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showObjects="none" defaultThemeVersion="124226"/>
  <bookViews>
    <workbookView xWindow="-105" yWindow="-105" windowWidth="23250" windowHeight="12450" tabRatio="568" firstSheet="14" activeTab="23"/>
  </bookViews>
  <sheets>
    <sheet name="Plumbing" sheetId="30" r:id="rId1"/>
    <sheet name="Upah" sheetId="19" r:id="rId2"/>
    <sheet name="Material" sheetId="21" r:id="rId3"/>
    <sheet name="Hitungan Tangga" sheetId="27" r:id="rId4"/>
    <sheet name="COVER" sheetId="22" r:id="rId5"/>
    <sheet name="REKAP RAB" sheetId="23" r:id="rId6"/>
    <sheet name="RAB (B)" sheetId="25" r:id="rId7"/>
    <sheet name="REKAP BETON BESI BEKISTING" sheetId="15" r:id="rId8"/>
    <sheet name="Retaining Wall" sheetId="11" r:id="rId9"/>
    <sheet name="Pas. Dinding" sheetId="14" r:id="rId10"/>
    <sheet name="PROSES BAJA" sheetId="18" r:id="rId11"/>
    <sheet name="DATA BAJA" sheetId="17" r:id="rId12"/>
    <sheet name="TABEL BAJA" sheetId="16" r:id="rId13"/>
    <sheet name="REKAP Plat" sheetId="29" r:id="rId14"/>
    <sheet name="Plat" sheetId="9" r:id="rId15"/>
    <sheet name="Hasil-Kolom" sheetId="13" r:id="rId16"/>
    <sheet name="Data-Kolom" sheetId="12" r:id="rId17"/>
    <sheet name="REKAP Balok" sheetId="4" r:id="rId18"/>
    <sheet name="Data Panjang Balok" sheetId="6" r:id="rId19"/>
    <sheet name="Detail Balok" sheetId="5" r:id="rId20"/>
    <sheet name="Besi Balok" sheetId="7" r:id="rId21"/>
    <sheet name="Data-PC" sheetId="1" r:id="rId22"/>
    <sheet name="Analisa" sheetId="20" r:id="rId23"/>
    <sheet name="RAB (A)" sheetId="24" r:id="rId24"/>
    <sheet name="Hasil-PC" sheetId="2" r:id="rId25"/>
    <sheet name="REKAP-PC" sheetId="3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</externalReferences>
  <definedNames>
    <definedName name="_____________HAL4">NA()</definedName>
    <definedName name="________AAD3">#N/A</definedName>
    <definedName name="___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localSheetId="15" hidden="1">{#N/A,#N/A,FALSE,"REK";#N/A,#N/A,FALSE,"rab"}</definedName>
    <definedName name="________hq1" localSheetId="9" hidden="1">{#N/A,#N/A,FALSE,"REK";#N/A,#N/A,FALSE,"rab"}</definedName>
    <definedName name="________hq1" localSheetId="0" hidden="1">{#N/A,#N/A,FALSE,"REK";#N/A,#N/A,FALSE,"rab"}</definedName>
    <definedName name="________hq1" localSheetId="7" hidden="1">{#N/A,#N/A,FALSE,"REK";#N/A,#N/A,FALSE,"rab"}</definedName>
    <definedName name="________hq1" localSheetId="13" hidden="1">{#N/A,#N/A,FALSE,"REK";#N/A,#N/A,FALSE,"rab"}</definedName>
    <definedName name="________hq1" localSheetId="8" hidden="1">{#N/A,#N/A,FALSE,"REK";#N/A,#N/A,FALSE,"rab"}</definedName>
    <definedName name="________hq1" localSheetId="12" hidden="1">{#N/A,#N/A,FALSE,"REK";#N/A,#N/A,FALSE,"rab"}</definedName>
    <definedName name="________hq1" hidden="1">{#N/A,#N/A,FALSE,"REK";#N/A,#N/A,FALSE,"rab"}</definedName>
    <definedName name="________hq1_2" localSheetId="15" hidden="1">{#N/A,#N/A,FALSE,"REK";#N/A,#N/A,FALSE,"rab"}</definedName>
    <definedName name="________hq1_2" localSheetId="9" hidden="1">{#N/A,#N/A,FALSE,"REK";#N/A,#N/A,FALSE,"rab"}</definedName>
    <definedName name="________hq1_2" localSheetId="0" hidden="1">{#N/A,#N/A,FALSE,"REK";#N/A,#N/A,FALSE,"rab"}</definedName>
    <definedName name="________hq1_2" localSheetId="7" hidden="1">{#N/A,#N/A,FALSE,"REK";#N/A,#N/A,FALSE,"rab"}</definedName>
    <definedName name="________hq1_2" localSheetId="13" hidden="1">{#N/A,#N/A,FALSE,"REK";#N/A,#N/A,FALSE,"rab"}</definedName>
    <definedName name="________hq1_2" localSheetId="8" hidden="1">{#N/A,#N/A,FALSE,"REK";#N/A,#N/A,FALSE,"rab"}</definedName>
    <definedName name="________hq1_2" localSheetId="12" hidden="1">{#N/A,#N/A,FALSE,"REK";#N/A,#N/A,FALSE,"rab"}</definedName>
    <definedName name="________hq1_2" hidden="1">{#N/A,#N/A,FALSE,"REK";#N/A,#N/A,FALSE,"rab"}</definedName>
    <definedName name="________hq1_3" localSheetId="15" hidden="1">{#N/A,#N/A,FALSE,"REK";#N/A,#N/A,FALSE,"rab"}</definedName>
    <definedName name="________hq1_3" localSheetId="9" hidden="1">{#N/A,#N/A,FALSE,"REK";#N/A,#N/A,FALSE,"rab"}</definedName>
    <definedName name="________hq1_3" localSheetId="0" hidden="1">{#N/A,#N/A,FALSE,"REK";#N/A,#N/A,FALSE,"rab"}</definedName>
    <definedName name="________hq1_3" localSheetId="7" hidden="1">{#N/A,#N/A,FALSE,"REK";#N/A,#N/A,FALSE,"rab"}</definedName>
    <definedName name="________hq1_3" localSheetId="13" hidden="1">{#N/A,#N/A,FALSE,"REK";#N/A,#N/A,FALSE,"rab"}</definedName>
    <definedName name="________hq1_3" localSheetId="8" hidden="1">{#N/A,#N/A,FALSE,"REK";#N/A,#N/A,FALSE,"rab"}</definedName>
    <definedName name="________hq1_3" localSheetId="12" hidden="1">{#N/A,#N/A,FALSE,"REK";#N/A,#N/A,FALSE,"rab"}</definedName>
    <definedName name="________hq1_3" hidden="1">{#N/A,#N/A,FALSE,"REK";#N/A,#N/A,FALSE,"rab"}</definedName>
    <definedName name="________hq1_4" localSheetId="15" hidden="1">{#N/A,#N/A,FALSE,"REK";#N/A,#N/A,FALSE,"rab"}</definedName>
    <definedName name="________hq1_4" localSheetId="9" hidden="1">{#N/A,#N/A,FALSE,"REK";#N/A,#N/A,FALSE,"rab"}</definedName>
    <definedName name="________hq1_4" localSheetId="0" hidden="1">{#N/A,#N/A,FALSE,"REK";#N/A,#N/A,FALSE,"rab"}</definedName>
    <definedName name="________hq1_4" localSheetId="7" hidden="1">{#N/A,#N/A,FALSE,"REK";#N/A,#N/A,FALSE,"rab"}</definedName>
    <definedName name="________hq1_4" localSheetId="13" hidden="1">{#N/A,#N/A,FALSE,"REK";#N/A,#N/A,FALSE,"rab"}</definedName>
    <definedName name="________hq1_4" localSheetId="8" hidden="1">{#N/A,#N/A,FALSE,"REK";#N/A,#N/A,FALSE,"rab"}</definedName>
    <definedName name="________hq1_4" localSheetId="12" hidden="1">{#N/A,#N/A,FALSE,"REK";#N/A,#N/A,FALSE,"rab"}</definedName>
    <definedName name="________hq1_4" hidden="1">{#N/A,#N/A,FALSE,"REK";#N/A,#N/A,FALSE,"rab"}</definedName>
    <definedName name="________hq1_5" localSheetId="15" hidden="1">{#N/A,#N/A,FALSE,"REK";#N/A,#N/A,FALSE,"rab"}</definedName>
    <definedName name="________hq1_5" localSheetId="9" hidden="1">{#N/A,#N/A,FALSE,"REK";#N/A,#N/A,FALSE,"rab"}</definedName>
    <definedName name="________hq1_5" localSheetId="0" hidden="1">{#N/A,#N/A,FALSE,"REK";#N/A,#N/A,FALSE,"rab"}</definedName>
    <definedName name="________hq1_5" localSheetId="7" hidden="1">{#N/A,#N/A,FALSE,"REK";#N/A,#N/A,FALSE,"rab"}</definedName>
    <definedName name="________hq1_5" localSheetId="13" hidden="1">{#N/A,#N/A,FALSE,"REK";#N/A,#N/A,FALSE,"rab"}</definedName>
    <definedName name="________hq1_5" localSheetId="8" hidden="1">{#N/A,#N/A,FALSE,"REK";#N/A,#N/A,FALSE,"rab"}</definedName>
    <definedName name="________hq1_5" localSheetId="12" hidden="1">{#N/A,#N/A,FALSE,"REK";#N/A,#N/A,FALSE,"rab"}</definedName>
    <definedName name="________hq1_5" hidden="1">{#N/A,#N/A,FALSE,"REK";#N/A,#N/A,FALSE,"rab"}</definedName>
    <definedName name="________hq2" localSheetId="15" hidden="1">{#N/A,#N/A,FALSE,"REK";#N/A,#N/A,FALSE,"rab"}</definedName>
    <definedName name="________hq2" localSheetId="9" hidden="1">{#N/A,#N/A,FALSE,"REK";#N/A,#N/A,FALSE,"rab"}</definedName>
    <definedName name="________hq2" localSheetId="0" hidden="1">{#N/A,#N/A,FALSE,"REK";#N/A,#N/A,FALSE,"rab"}</definedName>
    <definedName name="________hq2" localSheetId="7" hidden="1">{#N/A,#N/A,FALSE,"REK";#N/A,#N/A,FALSE,"rab"}</definedName>
    <definedName name="________hq2" localSheetId="13" hidden="1">{#N/A,#N/A,FALSE,"REK";#N/A,#N/A,FALSE,"rab"}</definedName>
    <definedName name="________hq2" localSheetId="8" hidden="1">{#N/A,#N/A,FALSE,"REK";#N/A,#N/A,FALSE,"rab"}</definedName>
    <definedName name="________hq2" localSheetId="12" hidden="1">{#N/A,#N/A,FALSE,"REK";#N/A,#N/A,FALSE,"rab"}</definedName>
    <definedName name="________hq2" hidden="1">{#N/A,#N/A,FALSE,"REK";#N/A,#N/A,FALSE,"rab"}</definedName>
    <definedName name="________hq2_2" localSheetId="15" hidden="1">{#N/A,#N/A,FALSE,"REK";#N/A,#N/A,FALSE,"rab"}</definedName>
    <definedName name="________hq2_2" localSheetId="9" hidden="1">{#N/A,#N/A,FALSE,"REK";#N/A,#N/A,FALSE,"rab"}</definedName>
    <definedName name="________hq2_2" localSheetId="0" hidden="1">{#N/A,#N/A,FALSE,"REK";#N/A,#N/A,FALSE,"rab"}</definedName>
    <definedName name="________hq2_2" localSheetId="7" hidden="1">{#N/A,#N/A,FALSE,"REK";#N/A,#N/A,FALSE,"rab"}</definedName>
    <definedName name="________hq2_2" localSheetId="13" hidden="1">{#N/A,#N/A,FALSE,"REK";#N/A,#N/A,FALSE,"rab"}</definedName>
    <definedName name="________hq2_2" localSheetId="8" hidden="1">{#N/A,#N/A,FALSE,"REK";#N/A,#N/A,FALSE,"rab"}</definedName>
    <definedName name="________hq2_2" localSheetId="12" hidden="1">{#N/A,#N/A,FALSE,"REK";#N/A,#N/A,FALSE,"rab"}</definedName>
    <definedName name="________hq2_2" hidden="1">{#N/A,#N/A,FALSE,"REK";#N/A,#N/A,FALSE,"rab"}</definedName>
    <definedName name="________hq2_3" localSheetId="15" hidden="1">{#N/A,#N/A,FALSE,"REK";#N/A,#N/A,FALSE,"rab"}</definedName>
    <definedName name="________hq2_3" localSheetId="9" hidden="1">{#N/A,#N/A,FALSE,"REK";#N/A,#N/A,FALSE,"rab"}</definedName>
    <definedName name="________hq2_3" localSheetId="0" hidden="1">{#N/A,#N/A,FALSE,"REK";#N/A,#N/A,FALSE,"rab"}</definedName>
    <definedName name="________hq2_3" localSheetId="7" hidden="1">{#N/A,#N/A,FALSE,"REK";#N/A,#N/A,FALSE,"rab"}</definedName>
    <definedName name="________hq2_3" localSheetId="13" hidden="1">{#N/A,#N/A,FALSE,"REK";#N/A,#N/A,FALSE,"rab"}</definedName>
    <definedName name="________hq2_3" localSheetId="8" hidden="1">{#N/A,#N/A,FALSE,"REK";#N/A,#N/A,FALSE,"rab"}</definedName>
    <definedName name="________hq2_3" localSheetId="12" hidden="1">{#N/A,#N/A,FALSE,"REK";#N/A,#N/A,FALSE,"rab"}</definedName>
    <definedName name="________hq2_3" hidden="1">{#N/A,#N/A,FALSE,"REK";#N/A,#N/A,FALSE,"rab"}</definedName>
    <definedName name="________hq2_4" localSheetId="15" hidden="1">{#N/A,#N/A,FALSE,"REK";#N/A,#N/A,FALSE,"rab"}</definedName>
    <definedName name="________hq2_4" localSheetId="9" hidden="1">{#N/A,#N/A,FALSE,"REK";#N/A,#N/A,FALSE,"rab"}</definedName>
    <definedName name="________hq2_4" localSheetId="0" hidden="1">{#N/A,#N/A,FALSE,"REK";#N/A,#N/A,FALSE,"rab"}</definedName>
    <definedName name="________hq2_4" localSheetId="7" hidden="1">{#N/A,#N/A,FALSE,"REK";#N/A,#N/A,FALSE,"rab"}</definedName>
    <definedName name="________hq2_4" localSheetId="13" hidden="1">{#N/A,#N/A,FALSE,"REK";#N/A,#N/A,FALSE,"rab"}</definedName>
    <definedName name="________hq2_4" localSheetId="8" hidden="1">{#N/A,#N/A,FALSE,"REK";#N/A,#N/A,FALSE,"rab"}</definedName>
    <definedName name="________hq2_4" localSheetId="12" hidden="1">{#N/A,#N/A,FALSE,"REK";#N/A,#N/A,FALSE,"rab"}</definedName>
    <definedName name="________hq2_4" hidden="1">{#N/A,#N/A,FALSE,"REK";#N/A,#N/A,FALSE,"rab"}</definedName>
    <definedName name="________hq2_5" localSheetId="15" hidden="1">{#N/A,#N/A,FALSE,"REK";#N/A,#N/A,FALSE,"rab"}</definedName>
    <definedName name="________hq2_5" localSheetId="9" hidden="1">{#N/A,#N/A,FALSE,"REK";#N/A,#N/A,FALSE,"rab"}</definedName>
    <definedName name="________hq2_5" localSheetId="0" hidden="1">{#N/A,#N/A,FALSE,"REK";#N/A,#N/A,FALSE,"rab"}</definedName>
    <definedName name="________hq2_5" localSheetId="7" hidden="1">{#N/A,#N/A,FALSE,"REK";#N/A,#N/A,FALSE,"rab"}</definedName>
    <definedName name="________hq2_5" localSheetId="13" hidden="1">{#N/A,#N/A,FALSE,"REK";#N/A,#N/A,FALSE,"rab"}</definedName>
    <definedName name="________hq2_5" localSheetId="8" hidden="1">{#N/A,#N/A,FALSE,"REK";#N/A,#N/A,FALSE,"rab"}</definedName>
    <definedName name="________hq2_5" localSheetId="12" hidden="1">{#N/A,#N/A,FALSE,"REK";#N/A,#N/A,FALSE,"rab"}</definedName>
    <definedName name="________hq2_5" hidden="1">{#N/A,#N/A,FALSE,"REK";#N/A,#N/A,FALSE,"rab"}</definedName>
    <definedName name="___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localSheetId="15" hidden="1">{#N/A,#N/A,FALSE,"REK";#N/A,#N/A,FALSE,"rab"}</definedName>
    <definedName name="______hq1" localSheetId="9" hidden="1">{#N/A,#N/A,FALSE,"REK";#N/A,#N/A,FALSE,"rab"}</definedName>
    <definedName name="______hq1" localSheetId="0" hidden="1">{#N/A,#N/A,FALSE,"REK";#N/A,#N/A,FALSE,"rab"}</definedName>
    <definedName name="______hq1" localSheetId="7" hidden="1">{#N/A,#N/A,FALSE,"REK";#N/A,#N/A,FALSE,"rab"}</definedName>
    <definedName name="______hq1" localSheetId="13" hidden="1">{#N/A,#N/A,FALSE,"REK";#N/A,#N/A,FALSE,"rab"}</definedName>
    <definedName name="______hq1" localSheetId="8" hidden="1">{#N/A,#N/A,FALSE,"REK";#N/A,#N/A,FALSE,"rab"}</definedName>
    <definedName name="______hq1" localSheetId="12" hidden="1">{#N/A,#N/A,FALSE,"REK";#N/A,#N/A,FALSE,"rab"}</definedName>
    <definedName name="______hq1" hidden="1">{#N/A,#N/A,FALSE,"REK";#N/A,#N/A,FALSE,"rab"}</definedName>
    <definedName name="______hq1_2" localSheetId="15" hidden="1">{#N/A,#N/A,FALSE,"REK";#N/A,#N/A,FALSE,"rab"}</definedName>
    <definedName name="______hq1_2" localSheetId="9" hidden="1">{#N/A,#N/A,FALSE,"REK";#N/A,#N/A,FALSE,"rab"}</definedName>
    <definedName name="______hq1_2" localSheetId="0" hidden="1">{#N/A,#N/A,FALSE,"REK";#N/A,#N/A,FALSE,"rab"}</definedName>
    <definedName name="______hq1_2" localSheetId="7" hidden="1">{#N/A,#N/A,FALSE,"REK";#N/A,#N/A,FALSE,"rab"}</definedName>
    <definedName name="______hq1_2" localSheetId="13" hidden="1">{#N/A,#N/A,FALSE,"REK";#N/A,#N/A,FALSE,"rab"}</definedName>
    <definedName name="______hq1_2" localSheetId="8" hidden="1">{#N/A,#N/A,FALSE,"REK";#N/A,#N/A,FALSE,"rab"}</definedName>
    <definedName name="______hq1_2" localSheetId="12" hidden="1">{#N/A,#N/A,FALSE,"REK";#N/A,#N/A,FALSE,"rab"}</definedName>
    <definedName name="______hq1_2" hidden="1">{#N/A,#N/A,FALSE,"REK";#N/A,#N/A,FALSE,"rab"}</definedName>
    <definedName name="______hq1_3" localSheetId="15" hidden="1">{#N/A,#N/A,FALSE,"REK";#N/A,#N/A,FALSE,"rab"}</definedName>
    <definedName name="______hq1_3" localSheetId="9" hidden="1">{#N/A,#N/A,FALSE,"REK";#N/A,#N/A,FALSE,"rab"}</definedName>
    <definedName name="______hq1_3" localSheetId="0" hidden="1">{#N/A,#N/A,FALSE,"REK";#N/A,#N/A,FALSE,"rab"}</definedName>
    <definedName name="______hq1_3" localSheetId="7" hidden="1">{#N/A,#N/A,FALSE,"REK";#N/A,#N/A,FALSE,"rab"}</definedName>
    <definedName name="______hq1_3" localSheetId="13" hidden="1">{#N/A,#N/A,FALSE,"REK";#N/A,#N/A,FALSE,"rab"}</definedName>
    <definedName name="______hq1_3" localSheetId="8" hidden="1">{#N/A,#N/A,FALSE,"REK";#N/A,#N/A,FALSE,"rab"}</definedName>
    <definedName name="______hq1_3" localSheetId="12" hidden="1">{#N/A,#N/A,FALSE,"REK";#N/A,#N/A,FALSE,"rab"}</definedName>
    <definedName name="______hq1_3" hidden="1">{#N/A,#N/A,FALSE,"REK";#N/A,#N/A,FALSE,"rab"}</definedName>
    <definedName name="______hq1_4" localSheetId="15" hidden="1">{#N/A,#N/A,FALSE,"REK";#N/A,#N/A,FALSE,"rab"}</definedName>
    <definedName name="______hq1_4" localSheetId="9" hidden="1">{#N/A,#N/A,FALSE,"REK";#N/A,#N/A,FALSE,"rab"}</definedName>
    <definedName name="______hq1_4" localSheetId="0" hidden="1">{#N/A,#N/A,FALSE,"REK";#N/A,#N/A,FALSE,"rab"}</definedName>
    <definedName name="______hq1_4" localSheetId="7" hidden="1">{#N/A,#N/A,FALSE,"REK";#N/A,#N/A,FALSE,"rab"}</definedName>
    <definedName name="______hq1_4" localSheetId="13" hidden="1">{#N/A,#N/A,FALSE,"REK";#N/A,#N/A,FALSE,"rab"}</definedName>
    <definedName name="______hq1_4" localSheetId="8" hidden="1">{#N/A,#N/A,FALSE,"REK";#N/A,#N/A,FALSE,"rab"}</definedName>
    <definedName name="______hq1_4" localSheetId="12" hidden="1">{#N/A,#N/A,FALSE,"REK";#N/A,#N/A,FALSE,"rab"}</definedName>
    <definedName name="______hq1_4" hidden="1">{#N/A,#N/A,FALSE,"REK";#N/A,#N/A,FALSE,"rab"}</definedName>
    <definedName name="______hq1_5" localSheetId="15" hidden="1">{#N/A,#N/A,FALSE,"REK";#N/A,#N/A,FALSE,"rab"}</definedName>
    <definedName name="______hq1_5" localSheetId="9" hidden="1">{#N/A,#N/A,FALSE,"REK";#N/A,#N/A,FALSE,"rab"}</definedName>
    <definedName name="______hq1_5" localSheetId="0" hidden="1">{#N/A,#N/A,FALSE,"REK";#N/A,#N/A,FALSE,"rab"}</definedName>
    <definedName name="______hq1_5" localSheetId="7" hidden="1">{#N/A,#N/A,FALSE,"REK";#N/A,#N/A,FALSE,"rab"}</definedName>
    <definedName name="______hq1_5" localSheetId="13" hidden="1">{#N/A,#N/A,FALSE,"REK";#N/A,#N/A,FALSE,"rab"}</definedName>
    <definedName name="______hq1_5" localSheetId="8" hidden="1">{#N/A,#N/A,FALSE,"REK";#N/A,#N/A,FALSE,"rab"}</definedName>
    <definedName name="______hq1_5" localSheetId="12" hidden="1">{#N/A,#N/A,FALSE,"REK";#N/A,#N/A,FALSE,"rab"}</definedName>
    <definedName name="______hq1_5" hidden="1">{#N/A,#N/A,FALSE,"REK";#N/A,#N/A,FALSE,"rab"}</definedName>
    <definedName name="______hq2" localSheetId="15" hidden="1">{#N/A,#N/A,FALSE,"REK";#N/A,#N/A,FALSE,"rab"}</definedName>
    <definedName name="______hq2" localSheetId="9" hidden="1">{#N/A,#N/A,FALSE,"REK";#N/A,#N/A,FALSE,"rab"}</definedName>
    <definedName name="______hq2" localSheetId="0" hidden="1">{#N/A,#N/A,FALSE,"REK";#N/A,#N/A,FALSE,"rab"}</definedName>
    <definedName name="______hq2" localSheetId="7" hidden="1">{#N/A,#N/A,FALSE,"REK";#N/A,#N/A,FALSE,"rab"}</definedName>
    <definedName name="______hq2" localSheetId="13" hidden="1">{#N/A,#N/A,FALSE,"REK";#N/A,#N/A,FALSE,"rab"}</definedName>
    <definedName name="______hq2" localSheetId="8" hidden="1">{#N/A,#N/A,FALSE,"REK";#N/A,#N/A,FALSE,"rab"}</definedName>
    <definedName name="______hq2" localSheetId="12" hidden="1">{#N/A,#N/A,FALSE,"REK";#N/A,#N/A,FALSE,"rab"}</definedName>
    <definedName name="______hq2" hidden="1">{#N/A,#N/A,FALSE,"REK";#N/A,#N/A,FALSE,"rab"}</definedName>
    <definedName name="______hq2_2" localSheetId="15" hidden="1">{#N/A,#N/A,FALSE,"REK";#N/A,#N/A,FALSE,"rab"}</definedName>
    <definedName name="______hq2_2" localSheetId="9" hidden="1">{#N/A,#N/A,FALSE,"REK";#N/A,#N/A,FALSE,"rab"}</definedName>
    <definedName name="______hq2_2" localSheetId="0" hidden="1">{#N/A,#N/A,FALSE,"REK";#N/A,#N/A,FALSE,"rab"}</definedName>
    <definedName name="______hq2_2" localSheetId="7" hidden="1">{#N/A,#N/A,FALSE,"REK";#N/A,#N/A,FALSE,"rab"}</definedName>
    <definedName name="______hq2_2" localSheetId="13" hidden="1">{#N/A,#N/A,FALSE,"REK";#N/A,#N/A,FALSE,"rab"}</definedName>
    <definedName name="______hq2_2" localSheetId="8" hidden="1">{#N/A,#N/A,FALSE,"REK";#N/A,#N/A,FALSE,"rab"}</definedName>
    <definedName name="______hq2_2" localSheetId="12" hidden="1">{#N/A,#N/A,FALSE,"REK";#N/A,#N/A,FALSE,"rab"}</definedName>
    <definedName name="______hq2_2" hidden="1">{#N/A,#N/A,FALSE,"REK";#N/A,#N/A,FALSE,"rab"}</definedName>
    <definedName name="______hq2_3" localSheetId="15" hidden="1">{#N/A,#N/A,FALSE,"REK";#N/A,#N/A,FALSE,"rab"}</definedName>
    <definedName name="______hq2_3" localSheetId="9" hidden="1">{#N/A,#N/A,FALSE,"REK";#N/A,#N/A,FALSE,"rab"}</definedName>
    <definedName name="______hq2_3" localSheetId="0" hidden="1">{#N/A,#N/A,FALSE,"REK";#N/A,#N/A,FALSE,"rab"}</definedName>
    <definedName name="______hq2_3" localSheetId="7" hidden="1">{#N/A,#N/A,FALSE,"REK";#N/A,#N/A,FALSE,"rab"}</definedName>
    <definedName name="______hq2_3" localSheetId="13" hidden="1">{#N/A,#N/A,FALSE,"REK";#N/A,#N/A,FALSE,"rab"}</definedName>
    <definedName name="______hq2_3" localSheetId="8" hidden="1">{#N/A,#N/A,FALSE,"REK";#N/A,#N/A,FALSE,"rab"}</definedName>
    <definedName name="______hq2_3" localSheetId="12" hidden="1">{#N/A,#N/A,FALSE,"REK";#N/A,#N/A,FALSE,"rab"}</definedName>
    <definedName name="______hq2_3" hidden="1">{#N/A,#N/A,FALSE,"REK";#N/A,#N/A,FALSE,"rab"}</definedName>
    <definedName name="______hq2_4" localSheetId="15" hidden="1">{#N/A,#N/A,FALSE,"REK";#N/A,#N/A,FALSE,"rab"}</definedName>
    <definedName name="______hq2_4" localSheetId="9" hidden="1">{#N/A,#N/A,FALSE,"REK";#N/A,#N/A,FALSE,"rab"}</definedName>
    <definedName name="______hq2_4" localSheetId="0" hidden="1">{#N/A,#N/A,FALSE,"REK";#N/A,#N/A,FALSE,"rab"}</definedName>
    <definedName name="______hq2_4" localSheetId="7" hidden="1">{#N/A,#N/A,FALSE,"REK";#N/A,#N/A,FALSE,"rab"}</definedName>
    <definedName name="______hq2_4" localSheetId="13" hidden="1">{#N/A,#N/A,FALSE,"REK";#N/A,#N/A,FALSE,"rab"}</definedName>
    <definedName name="______hq2_4" localSheetId="8" hidden="1">{#N/A,#N/A,FALSE,"REK";#N/A,#N/A,FALSE,"rab"}</definedName>
    <definedName name="______hq2_4" localSheetId="12" hidden="1">{#N/A,#N/A,FALSE,"REK";#N/A,#N/A,FALSE,"rab"}</definedName>
    <definedName name="______hq2_4" hidden="1">{#N/A,#N/A,FALSE,"REK";#N/A,#N/A,FALSE,"rab"}</definedName>
    <definedName name="______hq2_5" localSheetId="15" hidden="1">{#N/A,#N/A,FALSE,"REK";#N/A,#N/A,FALSE,"rab"}</definedName>
    <definedName name="______hq2_5" localSheetId="9" hidden="1">{#N/A,#N/A,FALSE,"REK";#N/A,#N/A,FALSE,"rab"}</definedName>
    <definedName name="______hq2_5" localSheetId="0" hidden="1">{#N/A,#N/A,FALSE,"REK";#N/A,#N/A,FALSE,"rab"}</definedName>
    <definedName name="______hq2_5" localSheetId="7" hidden="1">{#N/A,#N/A,FALSE,"REK";#N/A,#N/A,FALSE,"rab"}</definedName>
    <definedName name="______hq2_5" localSheetId="13" hidden="1">{#N/A,#N/A,FALSE,"REK";#N/A,#N/A,FALSE,"rab"}</definedName>
    <definedName name="______hq2_5" localSheetId="8" hidden="1">{#N/A,#N/A,FALSE,"REK";#N/A,#N/A,FALSE,"rab"}</definedName>
    <definedName name="______hq2_5" localSheetId="12" hidden="1">{#N/A,#N/A,FALSE,"REK";#N/A,#N/A,FALSE,"rab"}</definedName>
    <definedName name="______hq2_5" hidden="1">{#N/A,#N/A,FALSE,"REK";#N/A,#N/A,FALSE,"rab"}</definedName>
    <definedName name="_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localSheetId="9" hidden="1">#REF!</definedName>
    <definedName name="_____gk2" localSheetId="0" hidden="1">#REF!</definedName>
    <definedName name="_____gk2" localSheetId="7" hidden="1">#REF!</definedName>
    <definedName name="_____gk2" localSheetId="13" hidden="1">#REF!</definedName>
    <definedName name="_____gk2" localSheetId="8" hidden="1">#REF!</definedName>
    <definedName name="_____gk2" localSheetId="12" hidden="1">#REF!</definedName>
    <definedName name="_____gk2" hidden="1">#REF!</definedName>
    <definedName name="_____hq1" localSheetId="15" hidden="1">{#N/A,#N/A,FALSE,"REK";#N/A,#N/A,FALSE,"rab"}</definedName>
    <definedName name="_____hq1" localSheetId="9" hidden="1">{#N/A,#N/A,FALSE,"REK";#N/A,#N/A,FALSE,"rab"}</definedName>
    <definedName name="_____hq1" localSheetId="0" hidden="1">{#N/A,#N/A,FALSE,"REK";#N/A,#N/A,FALSE,"rab"}</definedName>
    <definedName name="_____hq1" localSheetId="7" hidden="1">{#N/A,#N/A,FALSE,"REK";#N/A,#N/A,FALSE,"rab"}</definedName>
    <definedName name="_____hq1" localSheetId="13" hidden="1">{#N/A,#N/A,FALSE,"REK";#N/A,#N/A,FALSE,"rab"}</definedName>
    <definedName name="_____hq1" localSheetId="8" hidden="1">{#N/A,#N/A,FALSE,"REK";#N/A,#N/A,FALSE,"rab"}</definedName>
    <definedName name="_____hq1" localSheetId="12" hidden="1">{#N/A,#N/A,FALSE,"REK";#N/A,#N/A,FALSE,"rab"}</definedName>
    <definedName name="_____hq1" hidden="1">{#N/A,#N/A,FALSE,"REK";#N/A,#N/A,FALSE,"rab"}</definedName>
    <definedName name="_____hq1_2" localSheetId="15" hidden="1">{#N/A,#N/A,FALSE,"REK";#N/A,#N/A,FALSE,"rab"}</definedName>
    <definedName name="_____hq1_2" localSheetId="9" hidden="1">{#N/A,#N/A,FALSE,"REK";#N/A,#N/A,FALSE,"rab"}</definedName>
    <definedName name="_____hq1_2" localSheetId="0" hidden="1">{#N/A,#N/A,FALSE,"REK";#N/A,#N/A,FALSE,"rab"}</definedName>
    <definedName name="_____hq1_2" localSheetId="7" hidden="1">{#N/A,#N/A,FALSE,"REK";#N/A,#N/A,FALSE,"rab"}</definedName>
    <definedName name="_____hq1_2" localSheetId="13" hidden="1">{#N/A,#N/A,FALSE,"REK";#N/A,#N/A,FALSE,"rab"}</definedName>
    <definedName name="_____hq1_2" localSheetId="8" hidden="1">{#N/A,#N/A,FALSE,"REK";#N/A,#N/A,FALSE,"rab"}</definedName>
    <definedName name="_____hq1_2" localSheetId="12" hidden="1">{#N/A,#N/A,FALSE,"REK";#N/A,#N/A,FALSE,"rab"}</definedName>
    <definedName name="_____hq1_2" hidden="1">{#N/A,#N/A,FALSE,"REK";#N/A,#N/A,FALSE,"rab"}</definedName>
    <definedName name="_____hq1_3" localSheetId="15" hidden="1">{#N/A,#N/A,FALSE,"REK";#N/A,#N/A,FALSE,"rab"}</definedName>
    <definedName name="_____hq1_3" localSheetId="9" hidden="1">{#N/A,#N/A,FALSE,"REK";#N/A,#N/A,FALSE,"rab"}</definedName>
    <definedName name="_____hq1_3" localSheetId="0" hidden="1">{#N/A,#N/A,FALSE,"REK";#N/A,#N/A,FALSE,"rab"}</definedName>
    <definedName name="_____hq1_3" localSheetId="7" hidden="1">{#N/A,#N/A,FALSE,"REK";#N/A,#N/A,FALSE,"rab"}</definedName>
    <definedName name="_____hq1_3" localSheetId="13" hidden="1">{#N/A,#N/A,FALSE,"REK";#N/A,#N/A,FALSE,"rab"}</definedName>
    <definedName name="_____hq1_3" localSheetId="8" hidden="1">{#N/A,#N/A,FALSE,"REK";#N/A,#N/A,FALSE,"rab"}</definedName>
    <definedName name="_____hq1_3" localSheetId="12" hidden="1">{#N/A,#N/A,FALSE,"REK";#N/A,#N/A,FALSE,"rab"}</definedName>
    <definedName name="_____hq1_3" hidden="1">{#N/A,#N/A,FALSE,"REK";#N/A,#N/A,FALSE,"rab"}</definedName>
    <definedName name="_____hq1_4" localSheetId="15" hidden="1">{#N/A,#N/A,FALSE,"REK";#N/A,#N/A,FALSE,"rab"}</definedName>
    <definedName name="_____hq1_4" localSheetId="9" hidden="1">{#N/A,#N/A,FALSE,"REK";#N/A,#N/A,FALSE,"rab"}</definedName>
    <definedName name="_____hq1_4" localSheetId="0" hidden="1">{#N/A,#N/A,FALSE,"REK";#N/A,#N/A,FALSE,"rab"}</definedName>
    <definedName name="_____hq1_4" localSheetId="7" hidden="1">{#N/A,#N/A,FALSE,"REK";#N/A,#N/A,FALSE,"rab"}</definedName>
    <definedName name="_____hq1_4" localSheetId="13" hidden="1">{#N/A,#N/A,FALSE,"REK";#N/A,#N/A,FALSE,"rab"}</definedName>
    <definedName name="_____hq1_4" localSheetId="8" hidden="1">{#N/A,#N/A,FALSE,"REK";#N/A,#N/A,FALSE,"rab"}</definedName>
    <definedName name="_____hq1_4" localSheetId="12" hidden="1">{#N/A,#N/A,FALSE,"REK";#N/A,#N/A,FALSE,"rab"}</definedName>
    <definedName name="_____hq1_4" hidden="1">{#N/A,#N/A,FALSE,"REK";#N/A,#N/A,FALSE,"rab"}</definedName>
    <definedName name="_____hq1_5" localSheetId="15" hidden="1">{#N/A,#N/A,FALSE,"REK";#N/A,#N/A,FALSE,"rab"}</definedName>
    <definedName name="_____hq1_5" localSheetId="9" hidden="1">{#N/A,#N/A,FALSE,"REK";#N/A,#N/A,FALSE,"rab"}</definedName>
    <definedName name="_____hq1_5" localSheetId="0" hidden="1">{#N/A,#N/A,FALSE,"REK";#N/A,#N/A,FALSE,"rab"}</definedName>
    <definedName name="_____hq1_5" localSheetId="7" hidden="1">{#N/A,#N/A,FALSE,"REK";#N/A,#N/A,FALSE,"rab"}</definedName>
    <definedName name="_____hq1_5" localSheetId="13" hidden="1">{#N/A,#N/A,FALSE,"REK";#N/A,#N/A,FALSE,"rab"}</definedName>
    <definedName name="_____hq1_5" localSheetId="8" hidden="1">{#N/A,#N/A,FALSE,"REK";#N/A,#N/A,FALSE,"rab"}</definedName>
    <definedName name="_____hq1_5" localSheetId="12" hidden="1">{#N/A,#N/A,FALSE,"REK";#N/A,#N/A,FALSE,"rab"}</definedName>
    <definedName name="_____hq1_5" hidden="1">{#N/A,#N/A,FALSE,"REK";#N/A,#N/A,FALSE,"rab"}</definedName>
    <definedName name="_____hq2" localSheetId="15" hidden="1">{#N/A,#N/A,FALSE,"REK";#N/A,#N/A,FALSE,"rab"}</definedName>
    <definedName name="_____hq2" localSheetId="9" hidden="1">{#N/A,#N/A,FALSE,"REK";#N/A,#N/A,FALSE,"rab"}</definedName>
    <definedName name="_____hq2" localSheetId="0" hidden="1">{#N/A,#N/A,FALSE,"REK";#N/A,#N/A,FALSE,"rab"}</definedName>
    <definedName name="_____hq2" localSheetId="7" hidden="1">{#N/A,#N/A,FALSE,"REK";#N/A,#N/A,FALSE,"rab"}</definedName>
    <definedName name="_____hq2" localSheetId="13" hidden="1">{#N/A,#N/A,FALSE,"REK";#N/A,#N/A,FALSE,"rab"}</definedName>
    <definedName name="_____hq2" localSheetId="8" hidden="1">{#N/A,#N/A,FALSE,"REK";#N/A,#N/A,FALSE,"rab"}</definedName>
    <definedName name="_____hq2" localSheetId="12" hidden="1">{#N/A,#N/A,FALSE,"REK";#N/A,#N/A,FALSE,"rab"}</definedName>
    <definedName name="_____hq2" hidden="1">{#N/A,#N/A,FALSE,"REK";#N/A,#N/A,FALSE,"rab"}</definedName>
    <definedName name="_____hq2_2" localSheetId="15" hidden="1">{#N/A,#N/A,FALSE,"REK";#N/A,#N/A,FALSE,"rab"}</definedName>
    <definedName name="_____hq2_2" localSheetId="9" hidden="1">{#N/A,#N/A,FALSE,"REK";#N/A,#N/A,FALSE,"rab"}</definedName>
    <definedName name="_____hq2_2" localSheetId="0" hidden="1">{#N/A,#N/A,FALSE,"REK";#N/A,#N/A,FALSE,"rab"}</definedName>
    <definedName name="_____hq2_2" localSheetId="7" hidden="1">{#N/A,#N/A,FALSE,"REK";#N/A,#N/A,FALSE,"rab"}</definedName>
    <definedName name="_____hq2_2" localSheetId="13" hidden="1">{#N/A,#N/A,FALSE,"REK";#N/A,#N/A,FALSE,"rab"}</definedName>
    <definedName name="_____hq2_2" localSheetId="8" hidden="1">{#N/A,#N/A,FALSE,"REK";#N/A,#N/A,FALSE,"rab"}</definedName>
    <definedName name="_____hq2_2" localSheetId="12" hidden="1">{#N/A,#N/A,FALSE,"REK";#N/A,#N/A,FALSE,"rab"}</definedName>
    <definedName name="_____hq2_2" hidden="1">{#N/A,#N/A,FALSE,"REK";#N/A,#N/A,FALSE,"rab"}</definedName>
    <definedName name="_____hq2_3" localSheetId="15" hidden="1">{#N/A,#N/A,FALSE,"REK";#N/A,#N/A,FALSE,"rab"}</definedName>
    <definedName name="_____hq2_3" localSheetId="9" hidden="1">{#N/A,#N/A,FALSE,"REK";#N/A,#N/A,FALSE,"rab"}</definedName>
    <definedName name="_____hq2_3" localSheetId="0" hidden="1">{#N/A,#N/A,FALSE,"REK";#N/A,#N/A,FALSE,"rab"}</definedName>
    <definedName name="_____hq2_3" localSheetId="7" hidden="1">{#N/A,#N/A,FALSE,"REK";#N/A,#N/A,FALSE,"rab"}</definedName>
    <definedName name="_____hq2_3" localSheetId="13" hidden="1">{#N/A,#N/A,FALSE,"REK";#N/A,#N/A,FALSE,"rab"}</definedName>
    <definedName name="_____hq2_3" localSheetId="8" hidden="1">{#N/A,#N/A,FALSE,"REK";#N/A,#N/A,FALSE,"rab"}</definedName>
    <definedName name="_____hq2_3" localSheetId="12" hidden="1">{#N/A,#N/A,FALSE,"REK";#N/A,#N/A,FALSE,"rab"}</definedName>
    <definedName name="_____hq2_3" hidden="1">{#N/A,#N/A,FALSE,"REK";#N/A,#N/A,FALSE,"rab"}</definedName>
    <definedName name="_____hq2_4" localSheetId="15" hidden="1">{#N/A,#N/A,FALSE,"REK";#N/A,#N/A,FALSE,"rab"}</definedName>
    <definedName name="_____hq2_4" localSheetId="9" hidden="1">{#N/A,#N/A,FALSE,"REK";#N/A,#N/A,FALSE,"rab"}</definedName>
    <definedName name="_____hq2_4" localSheetId="0" hidden="1">{#N/A,#N/A,FALSE,"REK";#N/A,#N/A,FALSE,"rab"}</definedName>
    <definedName name="_____hq2_4" localSheetId="7" hidden="1">{#N/A,#N/A,FALSE,"REK";#N/A,#N/A,FALSE,"rab"}</definedName>
    <definedName name="_____hq2_4" localSheetId="13" hidden="1">{#N/A,#N/A,FALSE,"REK";#N/A,#N/A,FALSE,"rab"}</definedName>
    <definedName name="_____hq2_4" localSheetId="8" hidden="1">{#N/A,#N/A,FALSE,"REK";#N/A,#N/A,FALSE,"rab"}</definedName>
    <definedName name="_____hq2_4" localSheetId="12" hidden="1">{#N/A,#N/A,FALSE,"REK";#N/A,#N/A,FALSE,"rab"}</definedName>
    <definedName name="_____hq2_4" hidden="1">{#N/A,#N/A,FALSE,"REK";#N/A,#N/A,FALSE,"rab"}</definedName>
    <definedName name="_____hq2_5" localSheetId="15" hidden="1">{#N/A,#N/A,FALSE,"REK";#N/A,#N/A,FALSE,"rab"}</definedName>
    <definedName name="_____hq2_5" localSheetId="9" hidden="1">{#N/A,#N/A,FALSE,"REK";#N/A,#N/A,FALSE,"rab"}</definedName>
    <definedName name="_____hq2_5" localSheetId="0" hidden="1">{#N/A,#N/A,FALSE,"REK";#N/A,#N/A,FALSE,"rab"}</definedName>
    <definedName name="_____hq2_5" localSheetId="7" hidden="1">{#N/A,#N/A,FALSE,"REK";#N/A,#N/A,FALSE,"rab"}</definedName>
    <definedName name="_____hq2_5" localSheetId="13" hidden="1">{#N/A,#N/A,FALSE,"REK";#N/A,#N/A,FALSE,"rab"}</definedName>
    <definedName name="_____hq2_5" localSheetId="8" hidden="1">{#N/A,#N/A,FALSE,"REK";#N/A,#N/A,FALSE,"rab"}</definedName>
    <definedName name="_____hq2_5" localSheetId="12" hidden="1">{#N/A,#N/A,FALSE,"REK";#N/A,#N/A,FALSE,"rab"}</definedName>
    <definedName name="_____hq2_5" hidden="1">{#N/A,#N/A,FALSE,"REK";#N/A,#N/A,FALSE,"rab"}</definedName>
    <definedName name="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localSheetId="9" hidden="1">#REF!</definedName>
    <definedName name="_____key1" localSheetId="0" hidden="1">#REF!</definedName>
    <definedName name="_____key1" localSheetId="7" hidden="1">#REF!</definedName>
    <definedName name="_____key1" localSheetId="13" hidden="1">#REF!</definedName>
    <definedName name="_____key1" localSheetId="8" hidden="1">#REF!</definedName>
    <definedName name="_____key1" localSheetId="12" hidden="1">#REF!</definedName>
    <definedName name="_____key1" hidden="1">#REF!</definedName>
    <definedName name="_____new5">#N/A</definedName>
    <definedName name="____AAD3">#N/A</definedName>
    <definedName name="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gk2" localSheetId="9" hidden="1">#REF!</definedName>
    <definedName name="____gk2" localSheetId="0" hidden="1">#REF!</definedName>
    <definedName name="____gk2" localSheetId="7" hidden="1">#REF!</definedName>
    <definedName name="____gk2" localSheetId="13" hidden="1">#REF!</definedName>
    <definedName name="____gk2" localSheetId="8" hidden="1">#REF!</definedName>
    <definedName name="____gk2" localSheetId="12" hidden="1">#REF!</definedName>
    <definedName name="____gk2" hidden="1">#REF!</definedName>
    <definedName name="____HAL4_2">NA()</definedName>
    <definedName name="____hq1" localSheetId="15" hidden="1">{#N/A,#N/A,FALSE,"REK";#N/A,#N/A,FALSE,"rab"}</definedName>
    <definedName name="____hq1" localSheetId="9" hidden="1">{#N/A,#N/A,FALSE,"REK";#N/A,#N/A,FALSE,"rab"}</definedName>
    <definedName name="____hq1" localSheetId="0" hidden="1">{#N/A,#N/A,FALSE,"REK";#N/A,#N/A,FALSE,"rab"}</definedName>
    <definedName name="____hq1" localSheetId="7" hidden="1">{#N/A,#N/A,FALSE,"REK";#N/A,#N/A,FALSE,"rab"}</definedName>
    <definedName name="____hq1" localSheetId="13" hidden="1">{#N/A,#N/A,FALSE,"REK";#N/A,#N/A,FALSE,"rab"}</definedName>
    <definedName name="____hq1" localSheetId="8" hidden="1">{#N/A,#N/A,FALSE,"REK";#N/A,#N/A,FALSE,"rab"}</definedName>
    <definedName name="____hq1" localSheetId="12" hidden="1">{#N/A,#N/A,FALSE,"REK";#N/A,#N/A,FALSE,"rab"}</definedName>
    <definedName name="____hq1" hidden="1">{#N/A,#N/A,FALSE,"REK";#N/A,#N/A,FALSE,"rab"}</definedName>
    <definedName name="____hq1_2" localSheetId="15" hidden="1">{#N/A,#N/A,FALSE,"REK";#N/A,#N/A,FALSE,"rab"}</definedName>
    <definedName name="____hq1_2" localSheetId="9" hidden="1">{#N/A,#N/A,FALSE,"REK";#N/A,#N/A,FALSE,"rab"}</definedName>
    <definedName name="____hq1_2" localSheetId="0" hidden="1">{#N/A,#N/A,FALSE,"REK";#N/A,#N/A,FALSE,"rab"}</definedName>
    <definedName name="____hq1_2" localSheetId="7" hidden="1">{#N/A,#N/A,FALSE,"REK";#N/A,#N/A,FALSE,"rab"}</definedName>
    <definedName name="____hq1_2" localSheetId="13" hidden="1">{#N/A,#N/A,FALSE,"REK";#N/A,#N/A,FALSE,"rab"}</definedName>
    <definedName name="____hq1_2" localSheetId="8" hidden="1">{#N/A,#N/A,FALSE,"REK";#N/A,#N/A,FALSE,"rab"}</definedName>
    <definedName name="____hq1_2" localSheetId="12" hidden="1">{#N/A,#N/A,FALSE,"REK";#N/A,#N/A,FALSE,"rab"}</definedName>
    <definedName name="____hq1_2" hidden="1">{#N/A,#N/A,FALSE,"REK";#N/A,#N/A,FALSE,"rab"}</definedName>
    <definedName name="____hq1_3" localSheetId="15" hidden="1">{#N/A,#N/A,FALSE,"REK";#N/A,#N/A,FALSE,"rab"}</definedName>
    <definedName name="____hq1_3" localSheetId="9" hidden="1">{#N/A,#N/A,FALSE,"REK";#N/A,#N/A,FALSE,"rab"}</definedName>
    <definedName name="____hq1_3" localSheetId="0" hidden="1">{#N/A,#N/A,FALSE,"REK";#N/A,#N/A,FALSE,"rab"}</definedName>
    <definedName name="____hq1_3" localSheetId="7" hidden="1">{#N/A,#N/A,FALSE,"REK";#N/A,#N/A,FALSE,"rab"}</definedName>
    <definedName name="____hq1_3" localSheetId="13" hidden="1">{#N/A,#N/A,FALSE,"REK";#N/A,#N/A,FALSE,"rab"}</definedName>
    <definedName name="____hq1_3" localSheetId="8" hidden="1">{#N/A,#N/A,FALSE,"REK";#N/A,#N/A,FALSE,"rab"}</definedName>
    <definedName name="____hq1_3" localSheetId="12" hidden="1">{#N/A,#N/A,FALSE,"REK";#N/A,#N/A,FALSE,"rab"}</definedName>
    <definedName name="____hq1_3" hidden="1">{#N/A,#N/A,FALSE,"REK";#N/A,#N/A,FALSE,"rab"}</definedName>
    <definedName name="____hq1_4" localSheetId="15" hidden="1">{#N/A,#N/A,FALSE,"REK";#N/A,#N/A,FALSE,"rab"}</definedName>
    <definedName name="____hq1_4" localSheetId="9" hidden="1">{#N/A,#N/A,FALSE,"REK";#N/A,#N/A,FALSE,"rab"}</definedName>
    <definedName name="____hq1_4" localSheetId="0" hidden="1">{#N/A,#N/A,FALSE,"REK";#N/A,#N/A,FALSE,"rab"}</definedName>
    <definedName name="____hq1_4" localSheetId="7" hidden="1">{#N/A,#N/A,FALSE,"REK";#N/A,#N/A,FALSE,"rab"}</definedName>
    <definedName name="____hq1_4" localSheetId="13" hidden="1">{#N/A,#N/A,FALSE,"REK";#N/A,#N/A,FALSE,"rab"}</definedName>
    <definedName name="____hq1_4" localSheetId="8" hidden="1">{#N/A,#N/A,FALSE,"REK";#N/A,#N/A,FALSE,"rab"}</definedName>
    <definedName name="____hq1_4" localSheetId="12" hidden="1">{#N/A,#N/A,FALSE,"REK";#N/A,#N/A,FALSE,"rab"}</definedName>
    <definedName name="____hq1_4" hidden="1">{#N/A,#N/A,FALSE,"REK";#N/A,#N/A,FALSE,"rab"}</definedName>
    <definedName name="____hq1_5" localSheetId="15" hidden="1">{#N/A,#N/A,FALSE,"REK";#N/A,#N/A,FALSE,"rab"}</definedName>
    <definedName name="____hq1_5" localSheetId="9" hidden="1">{#N/A,#N/A,FALSE,"REK";#N/A,#N/A,FALSE,"rab"}</definedName>
    <definedName name="____hq1_5" localSheetId="0" hidden="1">{#N/A,#N/A,FALSE,"REK";#N/A,#N/A,FALSE,"rab"}</definedName>
    <definedName name="____hq1_5" localSheetId="7" hidden="1">{#N/A,#N/A,FALSE,"REK";#N/A,#N/A,FALSE,"rab"}</definedName>
    <definedName name="____hq1_5" localSheetId="13" hidden="1">{#N/A,#N/A,FALSE,"REK";#N/A,#N/A,FALSE,"rab"}</definedName>
    <definedName name="____hq1_5" localSheetId="8" hidden="1">{#N/A,#N/A,FALSE,"REK";#N/A,#N/A,FALSE,"rab"}</definedName>
    <definedName name="____hq1_5" localSheetId="12" hidden="1">{#N/A,#N/A,FALSE,"REK";#N/A,#N/A,FALSE,"rab"}</definedName>
    <definedName name="____hq1_5" hidden="1">{#N/A,#N/A,FALSE,"REK";#N/A,#N/A,FALSE,"rab"}</definedName>
    <definedName name="____hq2" localSheetId="15" hidden="1">{#N/A,#N/A,FALSE,"REK";#N/A,#N/A,FALSE,"rab"}</definedName>
    <definedName name="____hq2" localSheetId="9" hidden="1">{#N/A,#N/A,FALSE,"REK";#N/A,#N/A,FALSE,"rab"}</definedName>
    <definedName name="____hq2" localSheetId="0" hidden="1">{#N/A,#N/A,FALSE,"REK";#N/A,#N/A,FALSE,"rab"}</definedName>
    <definedName name="____hq2" localSheetId="7" hidden="1">{#N/A,#N/A,FALSE,"REK";#N/A,#N/A,FALSE,"rab"}</definedName>
    <definedName name="____hq2" localSheetId="13" hidden="1">{#N/A,#N/A,FALSE,"REK";#N/A,#N/A,FALSE,"rab"}</definedName>
    <definedName name="____hq2" localSheetId="8" hidden="1">{#N/A,#N/A,FALSE,"REK";#N/A,#N/A,FALSE,"rab"}</definedName>
    <definedName name="____hq2" localSheetId="12" hidden="1">{#N/A,#N/A,FALSE,"REK";#N/A,#N/A,FALSE,"rab"}</definedName>
    <definedName name="____hq2" hidden="1">{#N/A,#N/A,FALSE,"REK";#N/A,#N/A,FALSE,"rab"}</definedName>
    <definedName name="____hq2_2" localSheetId="15" hidden="1">{#N/A,#N/A,FALSE,"REK";#N/A,#N/A,FALSE,"rab"}</definedName>
    <definedName name="____hq2_2" localSheetId="9" hidden="1">{#N/A,#N/A,FALSE,"REK";#N/A,#N/A,FALSE,"rab"}</definedName>
    <definedName name="____hq2_2" localSheetId="0" hidden="1">{#N/A,#N/A,FALSE,"REK";#N/A,#N/A,FALSE,"rab"}</definedName>
    <definedName name="____hq2_2" localSheetId="7" hidden="1">{#N/A,#N/A,FALSE,"REK";#N/A,#N/A,FALSE,"rab"}</definedName>
    <definedName name="____hq2_2" localSheetId="13" hidden="1">{#N/A,#N/A,FALSE,"REK";#N/A,#N/A,FALSE,"rab"}</definedName>
    <definedName name="____hq2_2" localSheetId="8" hidden="1">{#N/A,#N/A,FALSE,"REK";#N/A,#N/A,FALSE,"rab"}</definedName>
    <definedName name="____hq2_2" localSheetId="12" hidden="1">{#N/A,#N/A,FALSE,"REK";#N/A,#N/A,FALSE,"rab"}</definedName>
    <definedName name="____hq2_2" hidden="1">{#N/A,#N/A,FALSE,"REK";#N/A,#N/A,FALSE,"rab"}</definedName>
    <definedName name="____hq2_3" localSheetId="15" hidden="1">{#N/A,#N/A,FALSE,"REK";#N/A,#N/A,FALSE,"rab"}</definedName>
    <definedName name="____hq2_3" localSheetId="9" hidden="1">{#N/A,#N/A,FALSE,"REK";#N/A,#N/A,FALSE,"rab"}</definedName>
    <definedName name="____hq2_3" localSheetId="0" hidden="1">{#N/A,#N/A,FALSE,"REK";#N/A,#N/A,FALSE,"rab"}</definedName>
    <definedName name="____hq2_3" localSheetId="7" hidden="1">{#N/A,#N/A,FALSE,"REK";#N/A,#N/A,FALSE,"rab"}</definedName>
    <definedName name="____hq2_3" localSheetId="13" hidden="1">{#N/A,#N/A,FALSE,"REK";#N/A,#N/A,FALSE,"rab"}</definedName>
    <definedName name="____hq2_3" localSheetId="8" hidden="1">{#N/A,#N/A,FALSE,"REK";#N/A,#N/A,FALSE,"rab"}</definedName>
    <definedName name="____hq2_3" localSheetId="12" hidden="1">{#N/A,#N/A,FALSE,"REK";#N/A,#N/A,FALSE,"rab"}</definedName>
    <definedName name="____hq2_3" hidden="1">{#N/A,#N/A,FALSE,"REK";#N/A,#N/A,FALSE,"rab"}</definedName>
    <definedName name="____hq2_4" localSheetId="15" hidden="1">{#N/A,#N/A,FALSE,"REK";#N/A,#N/A,FALSE,"rab"}</definedName>
    <definedName name="____hq2_4" localSheetId="9" hidden="1">{#N/A,#N/A,FALSE,"REK";#N/A,#N/A,FALSE,"rab"}</definedName>
    <definedName name="____hq2_4" localSheetId="0" hidden="1">{#N/A,#N/A,FALSE,"REK";#N/A,#N/A,FALSE,"rab"}</definedName>
    <definedName name="____hq2_4" localSheetId="7" hidden="1">{#N/A,#N/A,FALSE,"REK";#N/A,#N/A,FALSE,"rab"}</definedName>
    <definedName name="____hq2_4" localSheetId="13" hidden="1">{#N/A,#N/A,FALSE,"REK";#N/A,#N/A,FALSE,"rab"}</definedName>
    <definedName name="____hq2_4" localSheetId="8" hidden="1">{#N/A,#N/A,FALSE,"REK";#N/A,#N/A,FALSE,"rab"}</definedName>
    <definedName name="____hq2_4" localSheetId="12" hidden="1">{#N/A,#N/A,FALSE,"REK";#N/A,#N/A,FALSE,"rab"}</definedName>
    <definedName name="____hq2_4" hidden="1">{#N/A,#N/A,FALSE,"REK";#N/A,#N/A,FALSE,"rab"}</definedName>
    <definedName name="____hq2_5" localSheetId="15" hidden="1">{#N/A,#N/A,FALSE,"REK";#N/A,#N/A,FALSE,"rab"}</definedName>
    <definedName name="____hq2_5" localSheetId="9" hidden="1">{#N/A,#N/A,FALSE,"REK";#N/A,#N/A,FALSE,"rab"}</definedName>
    <definedName name="____hq2_5" localSheetId="0" hidden="1">{#N/A,#N/A,FALSE,"REK";#N/A,#N/A,FALSE,"rab"}</definedName>
    <definedName name="____hq2_5" localSheetId="7" hidden="1">{#N/A,#N/A,FALSE,"REK";#N/A,#N/A,FALSE,"rab"}</definedName>
    <definedName name="____hq2_5" localSheetId="13" hidden="1">{#N/A,#N/A,FALSE,"REK";#N/A,#N/A,FALSE,"rab"}</definedName>
    <definedName name="____hq2_5" localSheetId="8" hidden="1">{#N/A,#N/A,FALSE,"REK";#N/A,#N/A,FALSE,"rab"}</definedName>
    <definedName name="____hq2_5" localSheetId="12" hidden="1">{#N/A,#N/A,FALSE,"REK";#N/A,#N/A,FALSE,"rab"}</definedName>
    <definedName name="____hq2_5" hidden="1">{#N/A,#N/A,FALSE,"REK";#N/A,#N/A,FALSE,"rab"}</definedName>
    <definedName name="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ey1" localSheetId="9" hidden="1">#REF!</definedName>
    <definedName name="____key1" localSheetId="0" hidden="1">#REF!</definedName>
    <definedName name="____key1" localSheetId="7" hidden="1">#REF!</definedName>
    <definedName name="____key1" localSheetId="13" hidden="1">#REF!</definedName>
    <definedName name="____key1" localSheetId="8" hidden="1">#REF!</definedName>
    <definedName name="____key1" localSheetId="12" hidden="1">#REF!</definedName>
    <definedName name="____key1" hidden="1">#REF!</definedName>
    <definedName name="____new5">#N/A</definedName>
    <definedName name="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gk2" hidden="1">#N/A</definedName>
    <definedName name="___hq1" localSheetId="15" hidden="1">{#N/A,#N/A,FALSE,"REK";#N/A,#N/A,FALSE,"rab"}</definedName>
    <definedName name="___hq1" localSheetId="9" hidden="1">{#N/A,#N/A,FALSE,"REK";#N/A,#N/A,FALSE,"rab"}</definedName>
    <definedName name="___hq1" localSheetId="0" hidden="1">{#N/A,#N/A,FALSE,"REK";#N/A,#N/A,FALSE,"rab"}</definedName>
    <definedName name="___hq1" localSheetId="7" hidden="1">{#N/A,#N/A,FALSE,"REK";#N/A,#N/A,FALSE,"rab"}</definedName>
    <definedName name="___hq1" localSheetId="13" hidden="1">{#N/A,#N/A,FALSE,"REK";#N/A,#N/A,FALSE,"rab"}</definedName>
    <definedName name="___hq1" localSheetId="8" hidden="1">{#N/A,#N/A,FALSE,"REK";#N/A,#N/A,FALSE,"rab"}</definedName>
    <definedName name="___hq1" localSheetId="12" hidden="1">{#N/A,#N/A,FALSE,"REK";#N/A,#N/A,FALSE,"rab"}</definedName>
    <definedName name="___hq1" hidden="1">{#N/A,#N/A,FALSE,"REK";#N/A,#N/A,FALSE,"rab"}</definedName>
    <definedName name="___hq1_2" localSheetId="15" hidden="1">{#N/A,#N/A,FALSE,"REK";#N/A,#N/A,FALSE,"rab"}</definedName>
    <definedName name="___hq1_2" localSheetId="9" hidden="1">{#N/A,#N/A,FALSE,"REK";#N/A,#N/A,FALSE,"rab"}</definedName>
    <definedName name="___hq1_2" localSheetId="0" hidden="1">{#N/A,#N/A,FALSE,"REK";#N/A,#N/A,FALSE,"rab"}</definedName>
    <definedName name="___hq1_2" localSheetId="7" hidden="1">{#N/A,#N/A,FALSE,"REK";#N/A,#N/A,FALSE,"rab"}</definedName>
    <definedName name="___hq1_2" localSheetId="13" hidden="1">{#N/A,#N/A,FALSE,"REK";#N/A,#N/A,FALSE,"rab"}</definedName>
    <definedName name="___hq1_2" localSheetId="8" hidden="1">{#N/A,#N/A,FALSE,"REK";#N/A,#N/A,FALSE,"rab"}</definedName>
    <definedName name="___hq1_2" localSheetId="12" hidden="1">{#N/A,#N/A,FALSE,"REK";#N/A,#N/A,FALSE,"rab"}</definedName>
    <definedName name="___hq1_2" hidden="1">{#N/A,#N/A,FALSE,"REK";#N/A,#N/A,FALSE,"rab"}</definedName>
    <definedName name="___hq1_3" localSheetId="15" hidden="1">{#N/A,#N/A,FALSE,"REK";#N/A,#N/A,FALSE,"rab"}</definedName>
    <definedName name="___hq1_3" localSheetId="9" hidden="1">{#N/A,#N/A,FALSE,"REK";#N/A,#N/A,FALSE,"rab"}</definedName>
    <definedName name="___hq1_3" localSheetId="0" hidden="1">{#N/A,#N/A,FALSE,"REK";#N/A,#N/A,FALSE,"rab"}</definedName>
    <definedName name="___hq1_3" localSheetId="7" hidden="1">{#N/A,#N/A,FALSE,"REK";#N/A,#N/A,FALSE,"rab"}</definedName>
    <definedName name="___hq1_3" localSheetId="13" hidden="1">{#N/A,#N/A,FALSE,"REK";#N/A,#N/A,FALSE,"rab"}</definedName>
    <definedName name="___hq1_3" localSheetId="8" hidden="1">{#N/A,#N/A,FALSE,"REK";#N/A,#N/A,FALSE,"rab"}</definedName>
    <definedName name="___hq1_3" localSheetId="12" hidden="1">{#N/A,#N/A,FALSE,"REK";#N/A,#N/A,FALSE,"rab"}</definedName>
    <definedName name="___hq1_3" hidden="1">{#N/A,#N/A,FALSE,"REK";#N/A,#N/A,FALSE,"rab"}</definedName>
    <definedName name="___hq1_4" localSheetId="15" hidden="1">{#N/A,#N/A,FALSE,"REK";#N/A,#N/A,FALSE,"rab"}</definedName>
    <definedName name="___hq1_4" localSheetId="9" hidden="1">{#N/A,#N/A,FALSE,"REK";#N/A,#N/A,FALSE,"rab"}</definedName>
    <definedName name="___hq1_4" localSheetId="0" hidden="1">{#N/A,#N/A,FALSE,"REK";#N/A,#N/A,FALSE,"rab"}</definedName>
    <definedName name="___hq1_4" localSheetId="7" hidden="1">{#N/A,#N/A,FALSE,"REK";#N/A,#N/A,FALSE,"rab"}</definedName>
    <definedName name="___hq1_4" localSheetId="13" hidden="1">{#N/A,#N/A,FALSE,"REK";#N/A,#N/A,FALSE,"rab"}</definedName>
    <definedName name="___hq1_4" localSheetId="8" hidden="1">{#N/A,#N/A,FALSE,"REK";#N/A,#N/A,FALSE,"rab"}</definedName>
    <definedName name="___hq1_4" localSheetId="12" hidden="1">{#N/A,#N/A,FALSE,"REK";#N/A,#N/A,FALSE,"rab"}</definedName>
    <definedName name="___hq1_4" hidden="1">{#N/A,#N/A,FALSE,"REK";#N/A,#N/A,FALSE,"rab"}</definedName>
    <definedName name="___hq1_5" localSheetId="15" hidden="1">{#N/A,#N/A,FALSE,"REK";#N/A,#N/A,FALSE,"rab"}</definedName>
    <definedName name="___hq1_5" localSheetId="9" hidden="1">{#N/A,#N/A,FALSE,"REK";#N/A,#N/A,FALSE,"rab"}</definedName>
    <definedName name="___hq1_5" localSheetId="0" hidden="1">{#N/A,#N/A,FALSE,"REK";#N/A,#N/A,FALSE,"rab"}</definedName>
    <definedName name="___hq1_5" localSheetId="7" hidden="1">{#N/A,#N/A,FALSE,"REK";#N/A,#N/A,FALSE,"rab"}</definedName>
    <definedName name="___hq1_5" localSheetId="13" hidden="1">{#N/A,#N/A,FALSE,"REK";#N/A,#N/A,FALSE,"rab"}</definedName>
    <definedName name="___hq1_5" localSheetId="8" hidden="1">{#N/A,#N/A,FALSE,"REK";#N/A,#N/A,FALSE,"rab"}</definedName>
    <definedName name="___hq1_5" localSheetId="12" hidden="1">{#N/A,#N/A,FALSE,"REK";#N/A,#N/A,FALSE,"rab"}</definedName>
    <definedName name="___hq1_5" hidden="1">{#N/A,#N/A,FALSE,"REK";#N/A,#N/A,FALSE,"rab"}</definedName>
    <definedName name="___hq2" localSheetId="15" hidden="1">{#N/A,#N/A,FALSE,"REK";#N/A,#N/A,FALSE,"rab"}</definedName>
    <definedName name="___hq2" localSheetId="9" hidden="1">{#N/A,#N/A,FALSE,"REK";#N/A,#N/A,FALSE,"rab"}</definedName>
    <definedName name="___hq2" localSheetId="0" hidden="1">{#N/A,#N/A,FALSE,"REK";#N/A,#N/A,FALSE,"rab"}</definedName>
    <definedName name="___hq2" localSheetId="7" hidden="1">{#N/A,#N/A,FALSE,"REK";#N/A,#N/A,FALSE,"rab"}</definedName>
    <definedName name="___hq2" localSheetId="13" hidden="1">{#N/A,#N/A,FALSE,"REK";#N/A,#N/A,FALSE,"rab"}</definedName>
    <definedName name="___hq2" localSheetId="8" hidden="1">{#N/A,#N/A,FALSE,"REK";#N/A,#N/A,FALSE,"rab"}</definedName>
    <definedName name="___hq2" localSheetId="12" hidden="1">{#N/A,#N/A,FALSE,"REK";#N/A,#N/A,FALSE,"rab"}</definedName>
    <definedName name="___hq2" hidden="1">{#N/A,#N/A,FALSE,"REK";#N/A,#N/A,FALSE,"rab"}</definedName>
    <definedName name="___hq2_2" localSheetId="15" hidden="1">{#N/A,#N/A,FALSE,"REK";#N/A,#N/A,FALSE,"rab"}</definedName>
    <definedName name="___hq2_2" localSheetId="9" hidden="1">{#N/A,#N/A,FALSE,"REK";#N/A,#N/A,FALSE,"rab"}</definedName>
    <definedName name="___hq2_2" localSheetId="0" hidden="1">{#N/A,#N/A,FALSE,"REK";#N/A,#N/A,FALSE,"rab"}</definedName>
    <definedName name="___hq2_2" localSheetId="7" hidden="1">{#N/A,#N/A,FALSE,"REK";#N/A,#N/A,FALSE,"rab"}</definedName>
    <definedName name="___hq2_2" localSheetId="13" hidden="1">{#N/A,#N/A,FALSE,"REK";#N/A,#N/A,FALSE,"rab"}</definedName>
    <definedName name="___hq2_2" localSheetId="8" hidden="1">{#N/A,#N/A,FALSE,"REK";#N/A,#N/A,FALSE,"rab"}</definedName>
    <definedName name="___hq2_2" localSheetId="12" hidden="1">{#N/A,#N/A,FALSE,"REK";#N/A,#N/A,FALSE,"rab"}</definedName>
    <definedName name="___hq2_2" hidden="1">{#N/A,#N/A,FALSE,"REK";#N/A,#N/A,FALSE,"rab"}</definedName>
    <definedName name="___hq2_3" localSheetId="15" hidden="1">{#N/A,#N/A,FALSE,"REK";#N/A,#N/A,FALSE,"rab"}</definedName>
    <definedName name="___hq2_3" localSheetId="9" hidden="1">{#N/A,#N/A,FALSE,"REK";#N/A,#N/A,FALSE,"rab"}</definedName>
    <definedName name="___hq2_3" localSheetId="0" hidden="1">{#N/A,#N/A,FALSE,"REK";#N/A,#N/A,FALSE,"rab"}</definedName>
    <definedName name="___hq2_3" localSheetId="7" hidden="1">{#N/A,#N/A,FALSE,"REK";#N/A,#N/A,FALSE,"rab"}</definedName>
    <definedName name="___hq2_3" localSheetId="13" hidden="1">{#N/A,#N/A,FALSE,"REK";#N/A,#N/A,FALSE,"rab"}</definedName>
    <definedName name="___hq2_3" localSheetId="8" hidden="1">{#N/A,#N/A,FALSE,"REK";#N/A,#N/A,FALSE,"rab"}</definedName>
    <definedName name="___hq2_3" localSheetId="12" hidden="1">{#N/A,#N/A,FALSE,"REK";#N/A,#N/A,FALSE,"rab"}</definedName>
    <definedName name="___hq2_3" hidden="1">{#N/A,#N/A,FALSE,"REK";#N/A,#N/A,FALSE,"rab"}</definedName>
    <definedName name="___hq2_4" localSheetId="15" hidden="1">{#N/A,#N/A,FALSE,"REK";#N/A,#N/A,FALSE,"rab"}</definedName>
    <definedName name="___hq2_4" localSheetId="9" hidden="1">{#N/A,#N/A,FALSE,"REK";#N/A,#N/A,FALSE,"rab"}</definedName>
    <definedName name="___hq2_4" localSheetId="0" hidden="1">{#N/A,#N/A,FALSE,"REK";#N/A,#N/A,FALSE,"rab"}</definedName>
    <definedName name="___hq2_4" localSheetId="7" hidden="1">{#N/A,#N/A,FALSE,"REK";#N/A,#N/A,FALSE,"rab"}</definedName>
    <definedName name="___hq2_4" localSheetId="13" hidden="1">{#N/A,#N/A,FALSE,"REK";#N/A,#N/A,FALSE,"rab"}</definedName>
    <definedName name="___hq2_4" localSheetId="8" hidden="1">{#N/A,#N/A,FALSE,"REK";#N/A,#N/A,FALSE,"rab"}</definedName>
    <definedName name="___hq2_4" localSheetId="12" hidden="1">{#N/A,#N/A,FALSE,"REK";#N/A,#N/A,FALSE,"rab"}</definedName>
    <definedName name="___hq2_4" hidden="1">{#N/A,#N/A,FALSE,"REK";#N/A,#N/A,FALSE,"rab"}</definedName>
    <definedName name="___hq2_5" localSheetId="15" hidden="1">{#N/A,#N/A,FALSE,"REK";#N/A,#N/A,FALSE,"rab"}</definedName>
    <definedName name="___hq2_5" localSheetId="9" hidden="1">{#N/A,#N/A,FALSE,"REK";#N/A,#N/A,FALSE,"rab"}</definedName>
    <definedName name="___hq2_5" localSheetId="0" hidden="1">{#N/A,#N/A,FALSE,"REK";#N/A,#N/A,FALSE,"rab"}</definedName>
    <definedName name="___hq2_5" localSheetId="7" hidden="1">{#N/A,#N/A,FALSE,"REK";#N/A,#N/A,FALSE,"rab"}</definedName>
    <definedName name="___hq2_5" localSheetId="13" hidden="1">{#N/A,#N/A,FALSE,"REK";#N/A,#N/A,FALSE,"rab"}</definedName>
    <definedName name="___hq2_5" localSheetId="8" hidden="1">{#N/A,#N/A,FALSE,"REK";#N/A,#N/A,FALSE,"rab"}</definedName>
    <definedName name="___hq2_5" localSheetId="12" hidden="1">{#N/A,#N/A,FALSE,"REK";#N/A,#N/A,FALSE,"rab"}</definedName>
    <definedName name="___hq2_5" hidden="1">{#N/A,#N/A,FALSE,"REK";#N/A,#N/A,FALSE,"rab"}</definedName>
    <definedName name="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er3030">[1]harsat!$H$18</definedName>
    <definedName name="___key1" localSheetId="9" hidden="1">#REF!</definedName>
    <definedName name="___key1" localSheetId="0" hidden="1">#REF!</definedName>
    <definedName name="___key1" localSheetId="7" hidden="1">#REF!</definedName>
    <definedName name="___key1" localSheetId="13" hidden="1">#REF!</definedName>
    <definedName name="___key1" localSheetId="8" hidden="1">#REF!</definedName>
    <definedName name="___key1" localSheetId="12" hidden="1">#REF!</definedName>
    <definedName name="___key1" hidden="1">#REF!</definedName>
    <definedName name="___xlfn.BAHTTEXT" hidden="1">#NAME?</definedName>
    <definedName name="__123Graph_A" localSheetId="9" hidden="1">[2]AC!#REF!</definedName>
    <definedName name="__123Graph_A" localSheetId="7" hidden="1">[2]AC!#REF!</definedName>
    <definedName name="__123Graph_A" localSheetId="13" hidden="1">[2]AC!#REF!</definedName>
    <definedName name="__123Graph_A" localSheetId="8" hidden="1">[2]AC!#REF!</definedName>
    <definedName name="__123Graph_A" localSheetId="12" hidden="1">[2]AC!#REF!</definedName>
    <definedName name="__123Graph_A" hidden="1">[2]AC!#REF!</definedName>
    <definedName name="__123Graph_B" localSheetId="9" hidden="1">[2]AC!#REF!</definedName>
    <definedName name="__123Graph_B" localSheetId="7" hidden="1">[2]AC!#REF!</definedName>
    <definedName name="__123Graph_B" localSheetId="13" hidden="1">[2]AC!#REF!</definedName>
    <definedName name="__123Graph_B" localSheetId="8" hidden="1">[2]AC!#REF!</definedName>
    <definedName name="__123Graph_B" localSheetId="12" hidden="1">[2]AC!#REF!</definedName>
    <definedName name="__123Graph_B" hidden="1">[2]AC!#REF!</definedName>
    <definedName name="__123Graph_C" hidden="1">[2]AC!#REF!</definedName>
    <definedName name="__123Graph_D" hidden="1">[3]SEX!$P$7:$P$7</definedName>
    <definedName name="__123Graph_E" localSheetId="9" hidden="1">[2]AC!#REF!</definedName>
    <definedName name="__123Graph_E" localSheetId="7" hidden="1">[2]AC!#REF!</definedName>
    <definedName name="__123Graph_E" localSheetId="13" hidden="1">[2]AC!#REF!</definedName>
    <definedName name="__123Graph_E" localSheetId="8" hidden="1">[2]AC!#REF!</definedName>
    <definedName name="__123Graph_E" localSheetId="12" hidden="1">[2]AC!#REF!</definedName>
    <definedName name="__123Graph_E" hidden="1">[2]AC!#REF!</definedName>
    <definedName name="__123Graph_F" localSheetId="9" hidden="1">[4]ESCON!#REF!</definedName>
    <definedName name="__123Graph_F" localSheetId="7" hidden="1">[4]ESCON!#REF!</definedName>
    <definedName name="__123Graph_F" localSheetId="13" hidden="1">[4]ESCON!#REF!</definedName>
    <definedName name="__123Graph_F" localSheetId="8" hidden="1">[4]ESCON!#REF!</definedName>
    <definedName name="__123Graph_F" localSheetId="12" hidden="1">[4]ESCON!#REF!</definedName>
    <definedName name="__123Graph_F" hidden="1">[4]ESCON!#REF!</definedName>
    <definedName name="__123Graph_X" localSheetId="9" hidden="1">[2]AC!#REF!</definedName>
    <definedName name="__123Graph_X" localSheetId="7" hidden="1">[2]AC!#REF!</definedName>
    <definedName name="__123Graph_X" localSheetId="13" hidden="1">[2]AC!#REF!</definedName>
    <definedName name="__123Graph_X" localSheetId="8" hidden="1">[2]AC!#REF!</definedName>
    <definedName name="__123Graph_X" hidden="1">[2]AC!#REF!</definedName>
    <definedName name="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es39">'[5]Sat Bah &amp; Up'!$G$58</definedName>
    <definedName name="__cat2">[6]Upah!$D$24</definedName>
    <definedName name="__cat3">[6]Upah!$D$25</definedName>
    <definedName name="__cle65">'[7]BAG-III'!$J$303</definedName>
    <definedName name="__faw10">'[7]BAG-III'!$J$316</definedName>
    <definedName name="__faw65">'[7]BAG-III'!$J$317</definedName>
    <definedName name="__gen1000">[8]Ahs.2!$L$313</definedName>
    <definedName name="__GID1">'[9]LKVL-CK-HT-GD1'!$A$4</definedName>
    <definedName name="__gip15">'[7]BAG-III'!$J$294</definedName>
    <definedName name="__gip20">'[7]BAG-III'!$J$293</definedName>
    <definedName name="__gip25">'[7]BAG-III'!$J$292</definedName>
    <definedName name="__gip32">'[7]BAG-III'!$J$291</definedName>
    <definedName name="__gip40">'[7]BAG-III'!$J$290</definedName>
    <definedName name="__gip50">'[7]BAG-III'!$J$289</definedName>
    <definedName name="__gk2" hidden="1">#N/A</definedName>
    <definedName name="__gra6060">[1]harsat!$H$27</definedName>
    <definedName name="__hq1" localSheetId="15" hidden="1">{#N/A,#N/A,FALSE,"REK";#N/A,#N/A,FALSE,"rab"}</definedName>
    <definedName name="__hq1" localSheetId="9" hidden="1">{#N/A,#N/A,FALSE,"REK";#N/A,#N/A,FALSE,"rab"}</definedName>
    <definedName name="__hq1" localSheetId="0" hidden="1">{#N/A,#N/A,FALSE,"REK";#N/A,#N/A,FALSE,"rab"}</definedName>
    <definedName name="__hq1" localSheetId="7" hidden="1">{#N/A,#N/A,FALSE,"REK";#N/A,#N/A,FALSE,"rab"}</definedName>
    <definedName name="__hq1" localSheetId="13" hidden="1">{#N/A,#N/A,FALSE,"REK";#N/A,#N/A,FALSE,"rab"}</definedName>
    <definedName name="__hq1" localSheetId="8" hidden="1">{#N/A,#N/A,FALSE,"REK";#N/A,#N/A,FALSE,"rab"}</definedName>
    <definedName name="__hq1" localSheetId="12" hidden="1">{#N/A,#N/A,FALSE,"REK";#N/A,#N/A,FALSE,"rab"}</definedName>
    <definedName name="__hq1" hidden="1">{#N/A,#N/A,FALSE,"REK";#N/A,#N/A,FALSE,"rab"}</definedName>
    <definedName name="__hq1_2" localSheetId="15" hidden="1">{#N/A,#N/A,FALSE,"REK";#N/A,#N/A,FALSE,"rab"}</definedName>
    <definedName name="__hq1_2" localSheetId="9" hidden="1">{#N/A,#N/A,FALSE,"REK";#N/A,#N/A,FALSE,"rab"}</definedName>
    <definedName name="__hq1_2" localSheetId="0" hidden="1">{#N/A,#N/A,FALSE,"REK";#N/A,#N/A,FALSE,"rab"}</definedName>
    <definedName name="__hq1_2" localSheetId="7" hidden="1">{#N/A,#N/A,FALSE,"REK";#N/A,#N/A,FALSE,"rab"}</definedName>
    <definedName name="__hq1_2" localSheetId="13" hidden="1">{#N/A,#N/A,FALSE,"REK";#N/A,#N/A,FALSE,"rab"}</definedName>
    <definedName name="__hq1_2" localSheetId="8" hidden="1">{#N/A,#N/A,FALSE,"REK";#N/A,#N/A,FALSE,"rab"}</definedName>
    <definedName name="__hq1_2" localSheetId="12" hidden="1">{#N/A,#N/A,FALSE,"REK";#N/A,#N/A,FALSE,"rab"}</definedName>
    <definedName name="__hq1_2" hidden="1">{#N/A,#N/A,FALSE,"REK";#N/A,#N/A,FALSE,"rab"}</definedName>
    <definedName name="__hq1_3" localSheetId="15" hidden="1">{#N/A,#N/A,FALSE,"REK";#N/A,#N/A,FALSE,"rab"}</definedName>
    <definedName name="__hq1_3" localSheetId="9" hidden="1">{#N/A,#N/A,FALSE,"REK";#N/A,#N/A,FALSE,"rab"}</definedName>
    <definedName name="__hq1_3" localSheetId="0" hidden="1">{#N/A,#N/A,FALSE,"REK";#N/A,#N/A,FALSE,"rab"}</definedName>
    <definedName name="__hq1_3" localSheetId="7" hidden="1">{#N/A,#N/A,FALSE,"REK";#N/A,#N/A,FALSE,"rab"}</definedName>
    <definedName name="__hq1_3" localSheetId="13" hidden="1">{#N/A,#N/A,FALSE,"REK";#N/A,#N/A,FALSE,"rab"}</definedName>
    <definedName name="__hq1_3" localSheetId="8" hidden="1">{#N/A,#N/A,FALSE,"REK";#N/A,#N/A,FALSE,"rab"}</definedName>
    <definedName name="__hq1_3" localSheetId="12" hidden="1">{#N/A,#N/A,FALSE,"REK";#N/A,#N/A,FALSE,"rab"}</definedName>
    <definedName name="__hq1_3" hidden="1">{#N/A,#N/A,FALSE,"REK";#N/A,#N/A,FALSE,"rab"}</definedName>
    <definedName name="__hq1_4" localSheetId="15" hidden="1">{#N/A,#N/A,FALSE,"REK";#N/A,#N/A,FALSE,"rab"}</definedName>
    <definedName name="__hq1_4" localSheetId="9" hidden="1">{#N/A,#N/A,FALSE,"REK";#N/A,#N/A,FALSE,"rab"}</definedName>
    <definedName name="__hq1_4" localSheetId="0" hidden="1">{#N/A,#N/A,FALSE,"REK";#N/A,#N/A,FALSE,"rab"}</definedName>
    <definedName name="__hq1_4" localSheetId="7" hidden="1">{#N/A,#N/A,FALSE,"REK";#N/A,#N/A,FALSE,"rab"}</definedName>
    <definedName name="__hq1_4" localSheetId="13" hidden="1">{#N/A,#N/A,FALSE,"REK";#N/A,#N/A,FALSE,"rab"}</definedName>
    <definedName name="__hq1_4" localSheetId="8" hidden="1">{#N/A,#N/A,FALSE,"REK";#N/A,#N/A,FALSE,"rab"}</definedName>
    <definedName name="__hq1_4" localSheetId="12" hidden="1">{#N/A,#N/A,FALSE,"REK";#N/A,#N/A,FALSE,"rab"}</definedName>
    <definedName name="__hq1_4" hidden="1">{#N/A,#N/A,FALSE,"REK";#N/A,#N/A,FALSE,"rab"}</definedName>
    <definedName name="__hq1_5" localSheetId="15" hidden="1">{#N/A,#N/A,FALSE,"REK";#N/A,#N/A,FALSE,"rab"}</definedName>
    <definedName name="__hq1_5" localSheetId="9" hidden="1">{#N/A,#N/A,FALSE,"REK";#N/A,#N/A,FALSE,"rab"}</definedName>
    <definedName name="__hq1_5" localSheetId="0" hidden="1">{#N/A,#N/A,FALSE,"REK";#N/A,#N/A,FALSE,"rab"}</definedName>
    <definedName name="__hq1_5" localSheetId="7" hidden="1">{#N/A,#N/A,FALSE,"REK";#N/A,#N/A,FALSE,"rab"}</definedName>
    <definedName name="__hq1_5" localSheetId="13" hidden="1">{#N/A,#N/A,FALSE,"REK";#N/A,#N/A,FALSE,"rab"}</definedName>
    <definedName name="__hq1_5" localSheetId="8" hidden="1">{#N/A,#N/A,FALSE,"REK";#N/A,#N/A,FALSE,"rab"}</definedName>
    <definedName name="__hq1_5" localSheetId="12" hidden="1">{#N/A,#N/A,FALSE,"REK";#N/A,#N/A,FALSE,"rab"}</definedName>
    <definedName name="__hq1_5" hidden="1">{#N/A,#N/A,FALSE,"REK";#N/A,#N/A,FALSE,"rab"}</definedName>
    <definedName name="__hq2" localSheetId="15" hidden="1">{#N/A,#N/A,FALSE,"REK";#N/A,#N/A,FALSE,"rab"}</definedName>
    <definedName name="__hq2" localSheetId="9" hidden="1">{#N/A,#N/A,FALSE,"REK";#N/A,#N/A,FALSE,"rab"}</definedName>
    <definedName name="__hq2" localSheetId="0" hidden="1">{#N/A,#N/A,FALSE,"REK";#N/A,#N/A,FALSE,"rab"}</definedName>
    <definedName name="__hq2" localSheetId="7" hidden="1">{#N/A,#N/A,FALSE,"REK";#N/A,#N/A,FALSE,"rab"}</definedName>
    <definedName name="__hq2" localSheetId="13" hidden="1">{#N/A,#N/A,FALSE,"REK";#N/A,#N/A,FALSE,"rab"}</definedName>
    <definedName name="__hq2" localSheetId="8" hidden="1">{#N/A,#N/A,FALSE,"REK";#N/A,#N/A,FALSE,"rab"}</definedName>
    <definedName name="__hq2" localSheetId="12" hidden="1">{#N/A,#N/A,FALSE,"REK";#N/A,#N/A,FALSE,"rab"}</definedName>
    <definedName name="__hq2" hidden="1">{#N/A,#N/A,FALSE,"REK";#N/A,#N/A,FALSE,"rab"}</definedName>
    <definedName name="__hq2_2" localSheetId="15" hidden="1">{#N/A,#N/A,FALSE,"REK";#N/A,#N/A,FALSE,"rab"}</definedName>
    <definedName name="__hq2_2" localSheetId="9" hidden="1">{#N/A,#N/A,FALSE,"REK";#N/A,#N/A,FALSE,"rab"}</definedName>
    <definedName name="__hq2_2" localSheetId="0" hidden="1">{#N/A,#N/A,FALSE,"REK";#N/A,#N/A,FALSE,"rab"}</definedName>
    <definedName name="__hq2_2" localSheetId="7" hidden="1">{#N/A,#N/A,FALSE,"REK";#N/A,#N/A,FALSE,"rab"}</definedName>
    <definedName name="__hq2_2" localSheetId="13" hidden="1">{#N/A,#N/A,FALSE,"REK";#N/A,#N/A,FALSE,"rab"}</definedName>
    <definedName name="__hq2_2" localSheetId="8" hidden="1">{#N/A,#N/A,FALSE,"REK";#N/A,#N/A,FALSE,"rab"}</definedName>
    <definedName name="__hq2_2" localSheetId="12" hidden="1">{#N/A,#N/A,FALSE,"REK";#N/A,#N/A,FALSE,"rab"}</definedName>
    <definedName name="__hq2_2" hidden="1">{#N/A,#N/A,FALSE,"REK";#N/A,#N/A,FALSE,"rab"}</definedName>
    <definedName name="__hq2_3" localSheetId="15" hidden="1">{#N/A,#N/A,FALSE,"REK";#N/A,#N/A,FALSE,"rab"}</definedName>
    <definedName name="__hq2_3" localSheetId="9" hidden="1">{#N/A,#N/A,FALSE,"REK";#N/A,#N/A,FALSE,"rab"}</definedName>
    <definedName name="__hq2_3" localSheetId="0" hidden="1">{#N/A,#N/A,FALSE,"REK";#N/A,#N/A,FALSE,"rab"}</definedName>
    <definedName name="__hq2_3" localSheetId="7" hidden="1">{#N/A,#N/A,FALSE,"REK";#N/A,#N/A,FALSE,"rab"}</definedName>
    <definedName name="__hq2_3" localSheetId="13" hidden="1">{#N/A,#N/A,FALSE,"REK";#N/A,#N/A,FALSE,"rab"}</definedName>
    <definedName name="__hq2_3" localSheetId="8" hidden="1">{#N/A,#N/A,FALSE,"REK";#N/A,#N/A,FALSE,"rab"}</definedName>
    <definedName name="__hq2_3" localSheetId="12" hidden="1">{#N/A,#N/A,FALSE,"REK";#N/A,#N/A,FALSE,"rab"}</definedName>
    <definedName name="__hq2_3" hidden="1">{#N/A,#N/A,FALSE,"REK";#N/A,#N/A,FALSE,"rab"}</definedName>
    <definedName name="__hq2_4" localSheetId="15" hidden="1">{#N/A,#N/A,FALSE,"REK";#N/A,#N/A,FALSE,"rab"}</definedName>
    <definedName name="__hq2_4" localSheetId="9" hidden="1">{#N/A,#N/A,FALSE,"REK";#N/A,#N/A,FALSE,"rab"}</definedName>
    <definedName name="__hq2_4" localSheetId="0" hidden="1">{#N/A,#N/A,FALSE,"REK";#N/A,#N/A,FALSE,"rab"}</definedName>
    <definedName name="__hq2_4" localSheetId="7" hidden="1">{#N/A,#N/A,FALSE,"REK";#N/A,#N/A,FALSE,"rab"}</definedName>
    <definedName name="__hq2_4" localSheetId="13" hidden="1">{#N/A,#N/A,FALSE,"REK";#N/A,#N/A,FALSE,"rab"}</definedName>
    <definedName name="__hq2_4" localSheetId="8" hidden="1">{#N/A,#N/A,FALSE,"REK";#N/A,#N/A,FALSE,"rab"}</definedName>
    <definedName name="__hq2_4" localSheetId="12" hidden="1">{#N/A,#N/A,FALSE,"REK";#N/A,#N/A,FALSE,"rab"}</definedName>
    <definedName name="__hq2_4" hidden="1">{#N/A,#N/A,FALSE,"REK";#N/A,#N/A,FALSE,"rab"}</definedName>
    <definedName name="__hq2_5" localSheetId="15" hidden="1">{#N/A,#N/A,FALSE,"REK";#N/A,#N/A,FALSE,"rab"}</definedName>
    <definedName name="__hq2_5" localSheetId="9" hidden="1">{#N/A,#N/A,FALSE,"REK";#N/A,#N/A,FALSE,"rab"}</definedName>
    <definedName name="__hq2_5" localSheetId="0" hidden="1">{#N/A,#N/A,FALSE,"REK";#N/A,#N/A,FALSE,"rab"}</definedName>
    <definedName name="__hq2_5" localSheetId="7" hidden="1">{#N/A,#N/A,FALSE,"REK";#N/A,#N/A,FALSE,"rab"}</definedName>
    <definedName name="__hq2_5" localSheetId="13" hidden="1">{#N/A,#N/A,FALSE,"REK";#N/A,#N/A,FALSE,"rab"}</definedName>
    <definedName name="__hq2_5" localSheetId="8" hidden="1">{#N/A,#N/A,FALSE,"REK";#N/A,#N/A,FALSE,"rab"}</definedName>
    <definedName name="__hq2_5" localSheetId="12" hidden="1">{#N/A,#N/A,FALSE,"REK";#N/A,#N/A,FALSE,"rab"}</definedName>
    <definedName name="__hq2_5" hidden="1">{#N/A,#N/A,FALSE,"REK";#N/A,#N/A,FALSE,"rab"}</definedName>
    <definedName name="__int2">'[10]Harga satuan'!$N$3</definedName>
    <definedName name="__IntlFixup" hidden="1">TRUE</definedName>
    <definedName name="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ey1" localSheetId="9" hidden="1">#REF!</definedName>
    <definedName name="__key1" localSheetId="0" hidden="1">#REF!</definedName>
    <definedName name="__key1" localSheetId="7" hidden="1">#REF!</definedName>
    <definedName name="__key1" localSheetId="13" hidden="1">#REF!</definedName>
    <definedName name="__key1" localSheetId="8" hidden="1">#REF!</definedName>
    <definedName name="__key1" localSheetId="12" hidden="1">#REF!</definedName>
    <definedName name="__key1" hidden="1">#REF!</definedName>
    <definedName name="__mp3">[8]Ahs.1!$N$1149</definedName>
    <definedName name="__paw25">'[7]BAG-III'!$J$313</definedName>
    <definedName name="__paw40">'[7]BAG-III'!$J$312</definedName>
    <definedName name="__paw50">'[7]BAG-III'!$J$311</definedName>
    <definedName name="__paw65">'[7]BAG-III'!$J$310</definedName>
    <definedName name="__pek2">[6]Upah!$D$15</definedName>
    <definedName name="__pek3">[6]Upah!$D$16</definedName>
    <definedName name="__ups10">[8]Ahs.2!$L$525</definedName>
    <definedName name="__xlfn.BAHTTEXT" hidden="1">#NAME?</definedName>
    <definedName name="_1__123Graph_ACHART_1" hidden="1">'[11]Cash Flow bulanan'!$K$203:$CX$203</definedName>
    <definedName name="_123Graph_F" localSheetId="9" hidden="1">[12]escon!#REF!</definedName>
    <definedName name="_123Graph_F" localSheetId="7" hidden="1">[12]escon!#REF!</definedName>
    <definedName name="_123Graph_F" localSheetId="13" hidden="1">[12]escon!#REF!</definedName>
    <definedName name="_123Graph_F" localSheetId="8" hidden="1">[12]escon!#REF!</definedName>
    <definedName name="_123Graph_F" localSheetId="12" hidden="1">[12]escon!#REF!</definedName>
    <definedName name="_123Graph_F" hidden="1">[12]escon!#REF!</definedName>
    <definedName name="_12Excel_BuiltIn_Print_Area_1_1">'[13]Spec Str'!$A$2:$E$60,'[13]Spec Str'!$A$2:$E$60</definedName>
    <definedName name="_13Excel_BuiltIn_Print_Area_9_1" localSheetId="9">#REF!,#REF!</definedName>
    <definedName name="_13Excel_BuiltIn_Print_Area_9_1" localSheetId="0">#REF!,#REF!</definedName>
    <definedName name="_13Excel_BuiltIn_Print_Area_9_1" localSheetId="7">#REF!,#REF!</definedName>
    <definedName name="_13Excel_BuiltIn_Print_Area_9_1" localSheetId="13">#REF!,#REF!</definedName>
    <definedName name="_13Excel_BuiltIn_Print_Area_9_1" localSheetId="8">#REF!,#REF!</definedName>
    <definedName name="_13Excel_BuiltIn_Print_Area_9_1" localSheetId="12">#REF!,#REF!</definedName>
    <definedName name="_13Excel_BuiltIn_Print_Area_9_1">#REF!,#REF!</definedName>
    <definedName name="_14Excel_BuiltIn_Print_Titles_4_1_1" localSheetId="9">#REF!,#REF!</definedName>
    <definedName name="_14Excel_BuiltIn_Print_Titles_4_1_1" localSheetId="0">#REF!,#REF!</definedName>
    <definedName name="_14Excel_BuiltIn_Print_Titles_4_1_1" localSheetId="7">#REF!,#REF!</definedName>
    <definedName name="_14Excel_BuiltIn_Print_Titles_4_1_1" localSheetId="13">#REF!,#REF!</definedName>
    <definedName name="_14Excel_BuiltIn_Print_Titles_4_1_1" localSheetId="8">#REF!,#REF!</definedName>
    <definedName name="_14Excel_BuiltIn_Print_Titles_4_1_1">#REF!,#REF!</definedName>
    <definedName name="_21Excel_BuiltIn_Print_Area_9_1" localSheetId="9">#REF!,#REF!</definedName>
    <definedName name="_21Excel_BuiltIn_Print_Area_9_1" localSheetId="0">#REF!,#REF!</definedName>
    <definedName name="_21Excel_BuiltIn_Print_Area_9_1" localSheetId="7">#REF!,#REF!</definedName>
    <definedName name="_21Excel_BuiltIn_Print_Area_9_1" localSheetId="13">#REF!,#REF!</definedName>
    <definedName name="_21Excel_BuiltIn_Print_Area_9_1" localSheetId="8">#REF!,#REF!</definedName>
    <definedName name="_21Excel_BuiltIn_Print_Area_9_1">#REF!,#REF!</definedName>
    <definedName name="_39Excel_BuiltIn_Print_Titles_4_1_1" localSheetId="9">#REF!,#REF!</definedName>
    <definedName name="_39Excel_BuiltIn_Print_Titles_4_1_1" localSheetId="0">#REF!,#REF!</definedName>
    <definedName name="_39Excel_BuiltIn_Print_Titles_4_1_1">#REF!,#REF!</definedName>
    <definedName name="_9__123Graph_ACHART_1" hidden="1">'[14]Cash Flow bulanan'!$K$203:$CX$203</definedName>
    <definedName name="_A_2">NA()</definedName>
    <definedName name="_AAD3" localSheetId="15">HAJIME:OWARI</definedName>
    <definedName name="_AAD3" localSheetId="9">[15]!HAJIME:[15]!OWARI</definedName>
    <definedName name="_AAD3" localSheetId="0">[0]!HAJIME:[0]!OWARI</definedName>
    <definedName name="_AAD3" localSheetId="6">HAJIME:OWARI</definedName>
    <definedName name="_AAD3" localSheetId="7">HAJIME:OWARI</definedName>
    <definedName name="_AAD3" localSheetId="13">HAJIME:OWARI</definedName>
    <definedName name="_AAD3" localSheetId="8">HAJIME:OWARI</definedName>
    <definedName name="_AAD3" localSheetId="12">[0]!HAJIME:[0]!OWARI</definedName>
    <definedName name="_AAD3">HAJIME:OWARI</definedName>
    <definedName name="_ADD1" localSheetId="4">STOP2:STOP2E</definedName>
    <definedName name="_ADD1" localSheetId="15">STOP2:STOP2E</definedName>
    <definedName name="_ADD1" localSheetId="9">STOP2:STOP2E</definedName>
    <definedName name="_ADD1" localSheetId="0">STOP2:STOP2E</definedName>
    <definedName name="_ADD1" localSheetId="6">STOP2:STOP2E</definedName>
    <definedName name="_ADD1" localSheetId="7">STOP2:STOP2E</definedName>
    <definedName name="_ADD1" localSheetId="13">STOP2:STOP2E</definedName>
    <definedName name="_ADD1" localSheetId="5">STOP2:STOP2E</definedName>
    <definedName name="_ADD1" localSheetId="8">STOP2:STOP2E</definedName>
    <definedName name="_ADD1" localSheetId="12">STOP2:STOP2E</definedName>
    <definedName name="_ADD1">STOP2:STOP2E</definedName>
    <definedName name="_ADD2" localSheetId="4">STOP:STOPE</definedName>
    <definedName name="_ADD2" localSheetId="15">STOP:STOPE</definedName>
    <definedName name="_ADD2" localSheetId="9">STOP:STOPE</definedName>
    <definedName name="_ADD2" localSheetId="0">STOP:STOPE</definedName>
    <definedName name="_ADD2" localSheetId="6">STOP:STOPE</definedName>
    <definedName name="_ADD2" localSheetId="7">STOP:STOPE</definedName>
    <definedName name="_ADD2" localSheetId="13">STOP:STOPE</definedName>
    <definedName name="_ADD2" localSheetId="5">STOP:STOPE</definedName>
    <definedName name="_ADD2" localSheetId="8">STOP:STOPE</definedName>
    <definedName name="_ADD2" localSheetId="12">STOP:STOPE</definedName>
    <definedName name="_ADD2">STOP:STOPE</definedName>
    <definedName name="_ADD3" localSheetId="4">STOP:STOPE</definedName>
    <definedName name="_ADD3" localSheetId="15">STOP:STOPE</definedName>
    <definedName name="_ADD3" localSheetId="9">STOP:STOPE</definedName>
    <definedName name="_ADD3" localSheetId="0">STOP:STOPE</definedName>
    <definedName name="_ADD3" localSheetId="6">STOP:STOPE</definedName>
    <definedName name="_ADD3" localSheetId="7">STOP:STOPE</definedName>
    <definedName name="_ADD3" localSheetId="13">STOP:STOPE</definedName>
    <definedName name="_ADD3" localSheetId="5">STOP:STOPE</definedName>
    <definedName name="_ADD3" localSheetId="8">STOP:STOPE</definedName>
    <definedName name="_ADD3" localSheetId="12">STOP:STOPE</definedName>
    <definedName name="_ADD3">STOP:STOPE</definedName>
    <definedName name="_alt1" localSheetId="9">'Pas. Dinding'!_alt1</definedName>
    <definedName name="_alt1" localSheetId="12">'TABEL BAJA'!_alt1</definedName>
    <definedName name="_alt1">[16]!_alt1</definedName>
    <definedName name="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 localSheetId="9">'Pas. Dinding'!_APP3</definedName>
    <definedName name="_APP3" localSheetId="12">'TABEL BAJA'!_APP3</definedName>
    <definedName name="_APP3">[16]!_APP3</definedName>
    <definedName name="_cat2">[6]Upah!$D$24</definedName>
    <definedName name="_cat3">[6]Upah!$D$25</definedName>
    <definedName name="_CH27..H27___C_" hidden="1">#REF!</definedName>
    <definedName name="_CH29..H29___C_" hidden="1">#REF!</definedName>
    <definedName name="_cle65">'[7]BAG-III'!$J$303</definedName>
    <definedName name="_dia13">'[17]tb. besi'!$H$15</definedName>
    <definedName name="_dia16">'[17]tb. besi'!$H$16</definedName>
    <definedName name="_dia19">[18]tulang!$H$17</definedName>
    <definedName name="_Dist_Bin" localSheetId="9" hidden="1">[19]H.Satuan!#REF!</definedName>
    <definedName name="_Dist_Bin" localSheetId="0" hidden="1">[19]H.Satuan!#REF!</definedName>
    <definedName name="_Dist_Bin" localSheetId="7" hidden="1">[19]H.Satuan!#REF!</definedName>
    <definedName name="_Dist_Bin" localSheetId="13" hidden="1">[19]H.Satuan!#REF!</definedName>
    <definedName name="_Dist_Bin" localSheetId="8" hidden="1">[19]H.Satuan!#REF!</definedName>
    <definedName name="_Dist_Bin" localSheetId="12" hidden="1">[19]H.Satuan!#REF!</definedName>
    <definedName name="_Dist_Bin" hidden="1">[19]H.Satuan!#REF!</definedName>
    <definedName name="_Dist_Values" localSheetId="9" hidden="1">#REF!</definedName>
    <definedName name="_Dist_Values" localSheetId="0" hidden="1">#REF!</definedName>
    <definedName name="_Dist_Values" localSheetId="7" hidden="1">#REF!</definedName>
    <definedName name="_Dist_Values" localSheetId="13" hidden="1">#REF!</definedName>
    <definedName name="_Dist_Values" localSheetId="8" hidden="1">#REF!</definedName>
    <definedName name="_Dist_Values" localSheetId="12" hidden="1">#REF!</definedName>
    <definedName name="_Dist_Values" hidden="1">#REF!</definedName>
    <definedName name="_f">NA()</definedName>
    <definedName name="_faw65">'[7]BAG-III'!$J$317</definedName>
    <definedName name="_Fill" localSheetId="9" hidden="1">#REF!</definedName>
    <definedName name="_Fill" localSheetId="0" hidden="1">#REF!</definedName>
    <definedName name="_Fill" localSheetId="7" hidden="1">#REF!</definedName>
    <definedName name="_Fill" localSheetId="13" hidden="1">#REF!</definedName>
    <definedName name="_Fill" localSheetId="8" hidden="1">#REF!</definedName>
    <definedName name="_Fill" localSheetId="12" hidden="1">#REF!</definedName>
    <definedName name="_Fill" hidden="1">#REF!</definedName>
    <definedName name="_xlnm._FilterDatabase" localSheetId="20" hidden="1">'Besi Balok'!$A$23:$AB$23</definedName>
    <definedName name="_xlnm._FilterDatabase" localSheetId="11" hidden="1">'DATA BAJA'!$C$5:$C$27</definedName>
    <definedName name="_xlnm._FilterDatabase" localSheetId="18" hidden="1">'Data Panjang Balok'!$A$9:$Q$254</definedName>
    <definedName name="_xlnm._FilterDatabase" localSheetId="16" hidden="1">'Data-Kolom'!$A$14:$U$248</definedName>
    <definedName name="_xlnm._FilterDatabase" localSheetId="19" hidden="1">'Detail Balok'!$B$10:$BH$140</definedName>
    <definedName name="_xlnm._FilterDatabase" localSheetId="15" hidden="1">'Hasil-Kolom'!$A$14:$BA$138</definedName>
    <definedName name="_xlnm._FilterDatabase" localSheetId="24" hidden="1">'Hasil-PC'!$A$9:$BA$63</definedName>
    <definedName name="_xlnm._FilterDatabase" localSheetId="9" hidden="1">'[20]HRG BAHAN &amp; UPAH okk'!#REF!</definedName>
    <definedName name="_xlnm._FilterDatabase" localSheetId="0" hidden="1">'[20]HRG BAHAN &amp; UPAH okk'!#REF!</definedName>
    <definedName name="_xlnm._FilterDatabase" localSheetId="10" hidden="1">'PROSES BAJA'!$A$11:$S$11</definedName>
    <definedName name="_xlnm._FilterDatabase" localSheetId="23" hidden="1">'RAB (A)'!$A$8:$AL$280</definedName>
    <definedName name="_xlnm._FilterDatabase" localSheetId="17" hidden="1">'REKAP Balok'!$A$12:$Z$257</definedName>
    <definedName name="_xlnm._FilterDatabase" localSheetId="7" hidden="1">'[20]HRG BAHAN &amp; UPAH okk'!#REF!</definedName>
    <definedName name="_xlnm._FilterDatabase" localSheetId="13" hidden="1">'[20]HRG BAHAN &amp; UPAH okk'!#REF!</definedName>
    <definedName name="_xlnm._FilterDatabase" localSheetId="8" hidden="1">'Retaining Wall'!$A$6:$W$156</definedName>
    <definedName name="_xlnm._FilterDatabase" localSheetId="12" hidden="1">'[20]HRG BAHAN &amp; UPAH okk'!#REF!</definedName>
    <definedName name="_xlnm._FilterDatabase" hidden="1">'[20]HRG BAHAN &amp; UPAH okk'!#REF!</definedName>
    <definedName name="_flo40">'[7]BAG-III'!$J$281</definedName>
    <definedName name="_gen1000">[8]Ahs.2!$L$313</definedName>
    <definedName name="_get40">'[20]DHS AC'!$D$72</definedName>
    <definedName name="_get50">'[20]DHS AC'!$D$73</definedName>
    <definedName name="_GID1">'[9]LKVL-CK-HT-GD1'!$A$4</definedName>
    <definedName name="_gip15">'[7]BAG-III'!$J$294</definedName>
    <definedName name="_gip20">'[7]BAG-III'!$J$293</definedName>
    <definedName name="_gip25">'[7]BAG-III'!$J$292</definedName>
    <definedName name="_gip32">'[7]BAG-III'!$J$291</definedName>
    <definedName name="_gip40">'[7]BAG-III'!$J$290</definedName>
    <definedName name="_gip50">'[7]BAG-III'!$J$289</definedName>
    <definedName name="_gk2" hidden="1">#N/A</definedName>
    <definedName name="_hq1" localSheetId="15" hidden="1">{#N/A,#N/A,FALSE,"REK";#N/A,#N/A,FALSE,"rab"}</definedName>
    <definedName name="_hq1" localSheetId="9" hidden="1">{#N/A,#N/A,FALSE,"REK";#N/A,#N/A,FALSE,"rab"}</definedName>
    <definedName name="_hq1" localSheetId="0" hidden="1">{#N/A,#N/A,FALSE,"REK";#N/A,#N/A,FALSE,"rab"}</definedName>
    <definedName name="_hq1" localSheetId="7" hidden="1">{#N/A,#N/A,FALSE,"REK";#N/A,#N/A,FALSE,"rab"}</definedName>
    <definedName name="_hq1" localSheetId="13" hidden="1">{#N/A,#N/A,FALSE,"REK";#N/A,#N/A,FALSE,"rab"}</definedName>
    <definedName name="_hq1" localSheetId="8" hidden="1">{#N/A,#N/A,FALSE,"REK";#N/A,#N/A,FALSE,"rab"}</definedName>
    <definedName name="_hq1" localSheetId="12" hidden="1">{#N/A,#N/A,FALSE,"REK";#N/A,#N/A,FALSE,"rab"}</definedName>
    <definedName name="_hq1" hidden="1">{#N/A,#N/A,FALSE,"REK";#N/A,#N/A,FALSE,"rab"}</definedName>
    <definedName name="_hq1_2" localSheetId="15" hidden="1">{#N/A,#N/A,FALSE,"REK";#N/A,#N/A,FALSE,"rab"}</definedName>
    <definedName name="_hq1_2" localSheetId="9" hidden="1">{#N/A,#N/A,FALSE,"REK";#N/A,#N/A,FALSE,"rab"}</definedName>
    <definedName name="_hq1_2" localSheetId="0" hidden="1">{#N/A,#N/A,FALSE,"REK";#N/A,#N/A,FALSE,"rab"}</definedName>
    <definedName name="_hq1_2" localSheetId="7" hidden="1">{#N/A,#N/A,FALSE,"REK";#N/A,#N/A,FALSE,"rab"}</definedName>
    <definedName name="_hq1_2" localSheetId="13" hidden="1">{#N/A,#N/A,FALSE,"REK";#N/A,#N/A,FALSE,"rab"}</definedName>
    <definedName name="_hq1_2" localSheetId="8" hidden="1">{#N/A,#N/A,FALSE,"REK";#N/A,#N/A,FALSE,"rab"}</definedName>
    <definedName name="_hq1_2" localSheetId="12" hidden="1">{#N/A,#N/A,FALSE,"REK";#N/A,#N/A,FALSE,"rab"}</definedName>
    <definedName name="_hq1_2" hidden="1">{#N/A,#N/A,FALSE,"REK";#N/A,#N/A,FALSE,"rab"}</definedName>
    <definedName name="_hq1_3" localSheetId="15" hidden="1">{#N/A,#N/A,FALSE,"REK";#N/A,#N/A,FALSE,"rab"}</definedName>
    <definedName name="_hq1_3" localSheetId="9" hidden="1">{#N/A,#N/A,FALSE,"REK";#N/A,#N/A,FALSE,"rab"}</definedName>
    <definedName name="_hq1_3" localSheetId="0" hidden="1">{#N/A,#N/A,FALSE,"REK";#N/A,#N/A,FALSE,"rab"}</definedName>
    <definedName name="_hq1_3" localSheetId="7" hidden="1">{#N/A,#N/A,FALSE,"REK";#N/A,#N/A,FALSE,"rab"}</definedName>
    <definedName name="_hq1_3" localSheetId="13" hidden="1">{#N/A,#N/A,FALSE,"REK";#N/A,#N/A,FALSE,"rab"}</definedName>
    <definedName name="_hq1_3" localSheetId="8" hidden="1">{#N/A,#N/A,FALSE,"REK";#N/A,#N/A,FALSE,"rab"}</definedName>
    <definedName name="_hq1_3" localSheetId="12" hidden="1">{#N/A,#N/A,FALSE,"REK";#N/A,#N/A,FALSE,"rab"}</definedName>
    <definedName name="_hq1_3" hidden="1">{#N/A,#N/A,FALSE,"REK";#N/A,#N/A,FALSE,"rab"}</definedName>
    <definedName name="_hq1_4" localSheetId="15" hidden="1">{#N/A,#N/A,FALSE,"REK";#N/A,#N/A,FALSE,"rab"}</definedName>
    <definedName name="_hq1_4" localSheetId="9" hidden="1">{#N/A,#N/A,FALSE,"REK";#N/A,#N/A,FALSE,"rab"}</definedName>
    <definedName name="_hq1_4" localSheetId="0" hidden="1">{#N/A,#N/A,FALSE,"REK";#N/A,#N/A,FALSE,"rab"}</definedName>
    <definedName name="_hq1_4" localSheetId="7" hidden="1">{#N/A,#N/A,FALSE,"REK";#N/A,#N/A,FALSE,"rab"}</definedName>
    <definedName name="_hq1_4" localSheetId="13" hidden="1">{#N/A,#N/A,FALSE,"REK";#N/A,#N/A,FALSE,"rab"}</definedName>
    <definedName name="_hq1_4" localSheetId="8" hidden="1">{#N/A,#N/A,FALSE,"REK";#N/A,#N/A,FALSE,"rab"}</definedName>
    <definedName name="_hq1_4" localSheetId="12" hidden="1">{#N/A,#N/A,FALSE,"REK";#N/A,#N/A,FALSE,"rab"}</definedName>
    <definedName name="_hq1_4" hidden="1">{#N/A,#N/A,FALSE,"REK";#N/A,#N/A,FALSE,"rab"}</definedName>
    <definedName name="_hq1_5" localSheetId="15" hidden="1">{#N/A,#N/A,FALSE,"REK";#N/A,#N/A,FALSE,"rab"}</definedName>
    <definedName name="_hq1_5" localSheetId="9" hidden="1">{#N/A,#N/A,FALSE,"REK";#N/A,#N/A,FALSE,"rab"}</definedName>
    <definedName name="_hq1_5" localSheetId="0" hidden="1">{#N/A,#N/A,FALSE,"REK";#N/A,#N/A,FALSE,"rab"}</definedName>
    <definedName name="_hq1_5" localSheetId="7" hidden="1">{#N/A,#N/A,FALSE,"REK";#N/A,#N/A,FALSE,"rab"}</definedName>
    <definedName name="_hq1_5" localSheetId="13" hidden="1">{#N/A,#N/A,FALSE,"REK";#N/A,#N/A,FALSE,"rab"}</definedName>
    <definedName name="_hq1_5" localSheetId="8" hidden="1">{#N/A,#N/A,FALSE,"REK";#N/A,#N/A,FALSE,"rab"}</definedName>
    <definedName name="_hq1_5" localSheetId="12" hidden="1">{#N/A,#N/A,FALSE,"REK";#N/A,#N/A,FALSE,"rab"}</definedName>
    <definedName name="_hq1_5" hidden="1">{#N/A,#N/A,FALSE,"REK";#N/A,#N/A,FALSE,"rab"}</definedName>
    <definedName name="_hq2" localSheetId="15" hidden="1">{#N/A,#N/A,FALSE,"REK";#N/A,#N/A,FALSE,"rab"}</definedName>
    <definedName name="_hq2" localSheetId="9" hidden="1">{#N/A,#N/A,FALSE,"REK";#N/A,#N/A,FALSE,"rab"}</definedName>
    <definedName name="_hq2" localSheetId="0" hidden="1">{#N/A,#N/A,FALSE,"REK";#N/A,#N/A,FALSE,"rab"}</definedName>
    <definedName name="_hq2" localSheetId="7" hidden="1">{#N/A,#N/A,FALSE,"REK";#N/A,#N/A,FALSE,"rab"}</definedName>
    <definedName name="_hq2" localSheetId="13" hidden="1">{#N/A,#N/A,FALSE,"REK";#N/A,#N/A,FALSE,"rab"}</definedName>
    <definedName name="_hq2" localSheetId="8" hidden="1">{#N/A,#N/A,FALSE,"REK";#N/A,#N/A,FALSE,"rab"}</definedName>
    <definedName name="_hq2" localSheetId="12" hidden="1">{#N/A,#N/A,FALSE,"REK";#N/A,#N/A,FALSE,"rab"}</definedName>
    <definedName name="_hq2" hidden="1">{#N/A,#N/A,FALSE,"REK";#N/A,#N/A,FALSE,"rab"}</definedName>
    <definedName name="_hq2_2" localSheetId="15" hidden="1">{#N/A,#N/A,FALSE,"REK";#N/A,#N/A,FALSE,"rab"}</definedName>
    <definedName name="_hq2_2" localSheetId="9" hidden="1">{#N/A,#N/A,FALSE,"REK";#N/A,#N/A,FALSE,"rab"}</definedName>
    <definedName name="_hq2_2" localSheetId="0" hidden="1">{#N/A,#N/A,FALSE,"REK";#N/A,#N/A,FALSE,"rab"}</definedName>
    <definedName name="_hq2_2" localSheetId="7" hidden="1">{#N/A,#N/A,FALSE,"REK";#N/A,#N/A,FALSE,"rab"}</definedName>
    <definedName name="_hq2_2" localSheetId="13" hidden="1">{#N/A,#N/A,FALSE,"REK";#N/A,#N/A,FALSE,"rab"}</definedName>
    <definedName name="_hq2_2" localSheetId="8" hidden="1">{#N/A,#N/A,FALSE,"REK";#N/A,#N/A,FALSE,"rab"}</definedName>
    <definedName name="_hq2_2" localSheetId="12" hidden="1">{#N/A,#N/A,FALSE,"REK";#N/A,#N/A,FALSE,"rab"}</definedName>
    <definedName name="_hq2_2" hidden="1">{#N/A,#N/A,FALSE,"REK";#N/A,#N/A,FALSE,"rab"}</definedName>
    <definedName name="_hq2_3" localSheetId="15" hidden="1">{#N/A,#N/A,FALSE,"REK";#N/A,#N/A,FALSE,"rab"}</definedName>
    <definedName name="_hq2_3" localSheetId="9" hidden="1">{#N/A,#N/A,FALSE,"REK";#N/A,#N/A,FALSE,"rab"}</definedName>
    <definedName name="_hq2_3" localSheetId="0" hidden="1">{#N/A,#N/A,FALSE,"REK";#N/A,#N/A,FALSE,"rab"}</definedName>
    <definedName name="_hq2_3" localSheetId="7" hidden="1">{#N/A,#N/A,FALSE,"REK";#N/A,#N/A,FALSE,"rab"}</definedName>
    <definedName name="_hq2_3" localSheetId="13" hidden="1">{#N/A,#N/A,FALSE,"REK";#N/A,#N/A,FALSE,"rab"}</definedName>
    <definedName name="_hq2_3" localSheetId="8" hidden="1">{#N/A,#N/A,FALSE,"REK";#N/A,#N/A,FALSE,"rab"}</definedName>
    <definedName name="_hq2_3" localSheetId="12" hidden="1">{#N/A,#N/A,FALSE,"REK";#N/A,#N/A,FALSE,"rab"}</definedName>
    <definedName name="_hq2_3" hidden="1">{#N/A,#N/A,FALSE,"REK";#N/A,#N/A,FALSE,"rab"}</definedName>
    <definedName name="_hq2_4" localSheetId="15" hidden="1">{#N/A,#N/A,FALSE,"REK";#N/A,#N/A,FALSE,"rab"}</definedName>
    <definedName name="_hq2_4" localSheetId="9" hidden="1">{#N/A,#N/A,FALSE,"REK";#N/A,#N/A,FALSE,"rab"}</definedName>
    <definedName name="_hq2_4" localSheetId="0" hidden="1">{#N/A,#N/A,FALSE,"REK";#N/A,#N/A,FALSE,"rab"}</definedName>
    <definedName name="_hq2_4" localSheetId="7" hidden="1">{#N/A,#N/A,FALSE,"REK";#N/A,#N/A,FALSE,"rab"}</definedName>
    <definedName name="_hq2_4" localSheetId="13" hidden="1">{#N/A,#N/A,FALSE,"REK";#N/A,#N/A,FALSE,"rab"}</definedName>
    <definedName name="_hq2_4" localSheetId="8" hidden="1">{#N/A,#N/A,FALSE,"REK";#N/A,#N/A,FALSE,"rab"}</definedName>
    <definedName name="_hq2_4" localSheetId="12" hidden="1">{#N/A,#N/A,FALSE,"REK";#N/A,#N/A,FALSE,"rab"}</definedName>
    <definedName name="_hq2_4" hidden="1">{#N/A,#N/A,FALSE,"REK";#N/A,#N/A,FALSE,"rab"}</definedName>
    <definedName name="_hq2_5" localSheetId="15" hidden="1">{#N/A,#N/A,FALSE,"REK";#N/A,#N/A,FALSE,"rab"}</definedName>
    <definedName name="_hq2_5" localSheetId="9" hidden="1">{#N/A,#N/A,FALSE,"REK";#N/A,#N/A,FALSE,"rab"}</definedName>
    <definedName name="_hq2_5" localSheetId="0" hidden="1">{#N/A,#N/A,FALSE,"REK";#N/A,#N/A,FALSE,"rab"}</definedName>
    <definedName name="_hq2_5" localSheetId="7" hidden="1">{#N/A,#N/A,FALSE,"REK";#N/A,#N/A,FALSE,"rab"}</definedName>
    <definedName name="_hq2_5" localSheetId="13" hidden="1">{#N/A,#N/A,FALSE,"REK";#N/A,#N/A,FALSE,"rab"}</definedName>
    <definedName name="_hq2_5" localSheetId="8" hidden="1">{#N/A,#N/A,FALSE,"REK";#N/A,#N/A,FALSE,"rab"}</definedName>
    <definedName name="_hq2_5" localSheetId="12" hidden="1">{#N/A,#N/A,FALSE,"REK";#N/A,#N/A,FALSE,"rab"}</definedName>
    <definedName name="_hq2_5" hidden="1">{#N/A,#N/A,FALSE,"REK";#N/A,#N/A,FALSE,"rab"}</definedName>
    <definedName name="_i">NA()</definedName>
    <definedName name="_int2">'[10]Harga satuan'!$N$3</definedName>
    <definedName name="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er3333">[1]harsat!$H$19</definedName>
    <definedName name="_KER4040">'[21]Sat-Rap'!$F$55</definedName>
    <definedName name="_Key1" localSheetId="9" hidden="1">#REF!</definedName>
    <definedName name="_Key1" localSheetId="0" hidden="1">#REF!</definedName>
    <definedName name="_Key1" localSheetId="7" hidden="1">#REF!</definedName>
    <definedName name="_Key1" localSheetId="13" hidden="1">#REF!</definedName>
    <definedName name="_Key1" localSheetId="8" hidden="1">#REF!</definedName>
    <definedName name="_Key1" localSheetId="12" hidden="1">#REF!</definedName>
    <definedName name="_Key1" hidden="1">#REF!</definedName>
    <definedName name="_Key2" localSheetId="9" hidden="1">#REF!</definedName>
    <definedName name="_Key2" localSheetId="0" hidden="1">#REF!</definedName>
    <definedName name="_Key2" localSheetId="7" hidden="1">#REF!</definedName>
    <definedName name="_Key2" localSheetId="13" hidden="1">#REF!</definedName>
    <definedName name="_Key2" localSheetId="8" hidden="1">#REF!</definedName>
    <definedName name="_Key2" hidden="1">#REF!</definedName>
    <definedName name="_krm2020">[22]harga!$F$119</definedName>
    <definedName name="_krm2025">[22]harga!$F$120</definedName>
    <definedName name="_krm3030">[22]harga!$F$118</definedName>
    <definedName name="_krm4040">[22]harga!$F$117</definedName>
    <definedName name="_M">"$#REF!.$K$72"</definedName>
    <definedName name="_mix300">[22]harga!$F$47</definedName>
    <definedName name="_mp3">[8]Ahs.1!$N$1149</definedName>
    <definedName name="_Order1" hidden="1">255</definedName>
    <definedName name="_Order2" hidden="1">0</definedName>
    <definedName name="_paw10">'[7]BAG-III'!$J$309</definedName>
    <definedName name="_paw25">'[7]BAG-III'!$J$313</definedName>
    <definedName name="_paw40">'[7]BAG-III'!$J$312</definedName>
    <definedName name="_paw50">'[7]BAG-III'!$J$311</definedName>
    <definedName name="_paw65">'[7]BAG-III'!$J$310</definedName>
    <definedName name="_pek2">[6]Upah!$D$15</definedName>
    <definedName name="_pek3">[6]Upah!$D$16</definedName>
    <definedName name="_pf0280">[23]PPC!$E$90</definedName>
    <definedName name="_pf0402">[24]DATA!$F$146</definedName>
    <definedName name="_pf0403">[24]DATA!$F$147</definedName>
    <definedName name="_pol10">'[17]tb. besi'!$H$8</definedName>
    <definedName name="_pol12">'[25]BERAT TUL.'!$H$9</definedName>
    <definedName name="_pol16">[18]tulang!$H$10</definedName>
    <definedName name="_pol8">'[17]tb. besi'!$H$7</definedName>
    <definedName name="_pr0004">[24]DATA!$F$259</definedName>
    <definedName name="_pr0005">[24]DATA!$F$260</definedName>
    <definedName name="_pr0102">[24]DATA!$F$276</definedName>
    <definedName name="_pr0104">[24]DATA!$F$278</definedName>
    <definedName name="_Regression_Int">1</definedName>
    <definedName name="_Regression_Int_1">1</definedName>
    <definedName name="_Regression_Int_2">1</definedName>
    <definedName name="_Regression_Int_3">1</definedName>
    <definedName name="_S">"$#REF!.$S$72"</definedName>
    <definedName name="_SAL1">[26]Sal!$H$22</definedName>
    <definedName name="_SAL15">[26]Sal!$H$34</definedName>
    <definedName name="_Sort" localSheetId="9" hidden="1">#REF!</definedName>
    <definedName name="_Sort" localSheetId="0" hidden="1">#REF!</definedName>
    <definedName name="_Sort" localSheetId="7" hidden="1">#REF!</definedName>
    <definedName name="_Sort" localSheetId="13" hidden="1">#REF!</definedName>
    <definedName name="_Sort" localSheetId="8" hidden="1">#REF!</definedName>
    <definedName name="_Sort" localSheetId="12" hidden="1">#REF!</definedName>
    <definedName name="_Sort" hidden="1">#REF!</definedName>
    <definedName name="_t">NA()</definedName>
    <definedName name="_Table1_In1" localSheetId="9" hidden="1">#REF!</definedName>
    <definedName name="_Table1_In1" localSheetId="0" hidden="1">#REF!</definedName>
    <definedName name="_Table1_In1" localSheetId="7" hidden="1">#REF!</definedName>
    <definedName name="_Table1_In1" localSheetId="13" hidden="1">#REF!</definedName>
    <definedName name="_Table1_In1" localSheetId="8" hidden="1">#REF!</definedName>
    <definedName name="_Table1_In1" localSheetId="12" hidden="1">#REF!</definedName>
    <definedName name="_Table1_In1" hidden="1">#REF!</definedName>
    <definedName name="_Table1_Out" localSheetId="9" hidden="1">#REF!</definedName>
    <definedName name="_Table1_Out" localSheetId="0" hidden="1">#REF!</definedName>
    <definedName name="_Table1_Out" localSheetId="7" hidden="1">#REF!</definedName>
    <definedName name="_Table1_Out" localSheetId="13" hidden="1">#REF!</definedName>
    <definedName name="_Table1_Out" localSheetId="8" hidden="1">#REF!</definedName>
    <definedName name="_Table1_Out" hidden="1">#REF!</definedName>
    <definedName name="_Table2_In1" localSheetId="9" hidden="1">[19]H.Satuan!#REF!</definedName>
    <definedName name="_Table2_In1" localSheetId="0" hidden="1">[19]H.Satuan!#REF!</definedName>
    <definedName name="_Table2_In1" localSheetId="7" hidden="1">[19]H.Satuan!#REF!</definedName>
    <definedName name="_Table2_In1" localSheetId="13" hidden="1">[19]H.Satuan!#REF!</definedName>
    <definedName name="_Table2_In1" localSheetId="8" hidden="1">[19]H.Satuan!#REF!</definedName>
    <definedName name="_Table2_In1" localSheetId="12" hidden="1">[19]H.Satuan!#REF!</definedName>
    <definedName name="_Table2_In1" hidden="1">[19]H.Satuan!#REF!</definedName>
    <definedName name="_Table2_Out" localSheetId="9" hidden="1">[19]H.Satuan!#REF!</definedName>
    <definedName name="_Table2_Out" localSheetId="0" hidden="1">[19]H.Satuan!#REF!</definedName>
    <definedName name="_Table2_Out" localSheetId="7" hidden="1">[19]H.Satuan!#REF!</definedName>
    <definedName name="_Table2_Out" localSheetId="13" hidden="1">[19]H.Satuan!#REF!</definedName>
    <definedName name="_Table2_Out" localSheetId="8" hidden="1">[19]H.Satuan!#REF!</definedName>
    <definedName name="_Table2_Out" localSheetId="12" hidden="1">[19]H.Satuan!#REF!</definedName>
    <definedName name="_Table2_Out" hidden="1">[19]H.Satuan!#REF!</definedName>
    <definedName name="_THP2" localSheetId="4">STOP:STOPE</definedName>
    <definedName name="_THP2" localSheetId="15">STOP:STOPE</definedName>
    <definedName name="_THP2" localSheetId="9">STOP:STOPE</definedName>
    <definedName name="_THP2" localSheetId="0">STOP:STOPE</definedName>
    <definedName name="_THP2" localSheetId="6">STOP:STOPE</definedName>
    <definedName name="_THP2" localSheetId="7">STOP:STOPE</definedName>
    <definedName name="_THP2" localSheetId="13">STOP:STOPE</definedName>
    <definedName name="_THP2" localSheetId="5">STOP:STOPE</definedName>
    <definedName name="_THP2" localSheetId="8">STOP:STOPE</definedName>
    <definedName name="_THP2" localSheetId="12">STOP:STOPE</definedName>
    <definedName name="_THP2">STOP:STOPE</definedName>
    <definedName name="_tsI3" localSheetId="9">'Pas. Dinding'!_tsI3</definedName>
    <definedName name="_tsI3" localSheetId="12">'TABEL BAJA'!_tsI3</definedName>
    <definedName name="_tsI3">[16]!_tsI3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hidden="1">'[27]HARGA MATERIAL'!$A$11:$A$202</definedName>
    <definedName name="aaaaa" localSheetId="9" hidden="1">[28]villa!#REF!</definedName>
    <definedName name="aaaaa" localSheetId="7" hidden="1">[28]villa!#REF!</definedName>
    <definedName name="aaaaa" localSheetId="13" hidden="1">[28]villa!#REF!</definedName>
    <definedName name="aaaaa" localSheetId="8" hidden="1">[28]villa!#REF!</definedName>
    <definedName name="aaaaa" localSheetId="12" hidden="1">[28]villa!#REF!</definedName>
    <definedName name="aaaaa" hidden="1">[28]villa!#REF!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BC" localSheetId="9" hidden="1">#REF!</definedName>
    <definedName name="ABC" localSheetId="0" hidden="1">#REF!</definedName>
    <definedName name="ABC" localSheetId="7" hidden="1">#REF!</definedName>
    <definedName name="ABC" localSheetId="13" hidden="1">#REF!</definedName>
    <definedName name="ABC" localSheetId="8" hidden="1">#REF!</definedName>
    <definedName name="ABC" localSheetId="12" hidden="1">#REF!</definedName>
    <definedName name="ABC" hidden="1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cces___1">[29]Anls!$E$41</definedName>
    <definedName name="Acces___2">[29]Anls!$E$41</definedName>
    <definedName name="Acces___3">[29]Anls!$E$41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R" localSheetId="15">HAJIME:OWARI</definedName>
    <definedName name="ADDR" localSheetId="9">[15]!HAJIME:[15]!OWARI</definedName>
    <definedName name="ADDR" localSheetId="0">[0]!HAJIME:[0]!OWARI</definedName>
    <definedName name="ADDR" localSheetId="6">HAJIME:OWARI</definedName>
    <definedName name="ADDR" localSheetId="7">HAJIME:OWARI</definedName>
    <definedName name="ADDR" localSheetId="13">HAJIME:OWARI</definedName>
    <definedName name="ADDR" localSheetId="8">HAJIME:OWARI</definedName>
    <definedName name="ADDR" localSheetId="12">[0]!HAJIME:[0]!OWARI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nan" localSheetId="4">STOP:STOPE</definedName>
    <definedName name="adnan" localSheetId="15">STOP:STOPE</definedName>
    <definedName name="adnan" localSheetId="9">STOP:STOPE</definedName>
    <definedName name="adnan" localSheetId="0">STOP:STOPE</definedName>
    <definedName name="adnan" localSheetId="6">STOP:STOPE</definedName>
    <definedName name="adnan" localSheetId="7">STOP:STOPE</definedName>
    <definedName name="adnan" localSheetId="13">STOP:STOPE</definedName>
    <definedName name="adnan" localSheetId="5">STOP:STOPE</definedName>
    <definedName name="adnan" localSheetId="8">STOP:STOPE</definedName>
    <definedName name="adnan" localSheetId="12">STOP:STOPE</definedName>
    <definedName name="adnan">STOP:STOPE</definedName>
    <definedName name="adnan___0">NA()</definedName>
    <definedName name="adnan___1">NA()</definedName>
    <definedName name="adnan___2">NA()</definedName>
    <definedName name="AGG.B">'[30]AGG B'!$G$43</definedName>
    <definedName name="AGREGATHALUS.A">'[30]DAFTAR BAHAN'!$G$20</definedName>
    <definedName name="AGREGATHALUS.B">'[30]DAFTAR BAHAN'!$G$22</definedName>
    <definedName name="AGREGATKASAR.A">'[30]DAFTAR BAHAN'!$G$19</definedName>
    <definedName name="AGREGATKASAR.B">'[30]DAFTAR BAHAN'!$G$21</definedName>
    <definedName name="agung" localSheetId="15" hidden="1">{#N/A,#N/A,FALSE,"Chi tiÆt"}</definedName>
    <definedName name="agung" localSheetId="9" hidden="1">{#N/A,#N/A,FALSE,"Chi tiÆt"}</definedName>
    <definedName name="agung" localSheetId="0" hidden="1">{#N/A,#N/A,FALSE,"Chi tiÆt"}</definedName>
    <definedName name="agung" localSheetId="7" hidden="1">{#N/A,#N/A,FALSE,"Chi tiÆt"}</definedName>
    <definedName name="agung" localSheetId="13" hidden="1">{#N/A,#N/A,FALSE,"Chi tiÆt"}</definedName>
    <definedName name="agung" localSheetId="8" hidden="1">{#N/A,#N/A,FALSE,"Chi tiÆt"}</definedName>
    <definedName name="agung" localSheetId="12" hidden="1">{#N/A,#N/A,FALSE,"Chi tiÆt"}</definedName>
    <definedName name="agung" hidden="1">{#N/A,#N/A,FALSE,"Chi tiÆt"}</definedName>
    <definedName name="agung_2" localSheetId="15" hidden="1">{#N/A,#N/A,FALSE,"Chi tiÆt"}</definedName>
    <definedName name="agung_2" localSheetId="9" hidden="1">{#N/A,#N/A,FALSE,"Chi tiÆt"}</definedName>
    <definedName name="agung_2" localSheetId="0" hidden="1">{#N/A,#N/A,FALSE,"Chi tiÆt"}</definedName>
    <definedName name="agung_2" localSheetId="7" hidden="1">{#N/A,#N/A,FALSE,"Chi tiÆt"}</definedName>
    <definedName name="agung_2" localSheetId="13" hidden="1">{#N/A,#N/A,FALSE,"Chi tiÆt"}</definedName>
    <definedName name="agung_2" localSheetId="8" hidden="1">{#N/A,#N/A,FALSE,"Chi tiÆt"}</definedName>
    <definedName name="agung_2" localSheetId="12" hidden="1">{#N/A,#N/A,FALSE,"Chi tiÆt"}</definedName>
    <definedName name="agung_2" hidden="1">{#N/A,#N/A,FALSE,"Chi tiÆt"}</definedName>
    <definedName name="agung_3" localSheetId="15" hidden="1">{#N/A,#N/A,FALSE,"Chi tiÆt"}</definedName>
    <definedName name="agung_3" localSheetId="9" hidden="1">{#N/A,#N/A,FALSE,"Chi tiÆt"}</definedName>
    <definedName name="agung_3" localSheetId="0" hidden="1">{#N/A,#N/A,FALSE,"Chi tiÆt"}</definedName>
    <definedName name="agung_3" localSheetId="7" hidden="1">{#N/A,#N/A,FALSE,"Chi tiÆt"}</definedName>
    <definedName name="agung_3" localSheetId="13" hidden="1">{#N/A,#N/A,FALSE,"Chi tiÆt"}</definedName>
    <definedName name="agung_3" localSheetId="8" hidden="1">{#N/A,#N/A,FALSE,"Chi tiÆt"}</definedName>
    <definedName name="agung_3" localSheetId="12" hidden="1">{#N/A,#N/A,FALSE,"Chi tiÆt"}</definedName>
    <definedName name="agung_3" hidden="1">{#N/A,#N/A,FALSE,"Chi tiÆt"}</definedName>
    <definedName name="agung_4" localSheetId="15" hidden="1">{#N/A,#N/A,FALSE,"Chi tiÆt"}</definedName>
    <definedName name="agung_4" localSheetId="9" hidden="1">{#N/A,#N/A,FALSE,"Chi tiÆt"}</definedName>
    <definedName name="agung_4" localSheetId="0" hidden="1">{#N/A,#N/A,FALSE,"Chi tiÆt"}</definedName>
    <definedName name="agung_4" localSheetId="7" hidden="1">{#N/A,#N/A,FALSE,"Chi tiÆt"}</definedName>
    <definedName name="agung_4" localSheetId="13" hidden="1">{#N/A,#N/A,FALSE,"Chi tiÆt"}</definedName>
    <definedName name="agung_4" localSheetId="8" hidden="1">{#N/A,#N/A,FALSE,"Chi tiÆt"}</definedName>
    <definedName name="agung_4" localSheetId="12" hidden="1">{#N/A,#N/A,FALSE,"Chi tiÆt"}</definedName>
    <definedName name="agung_4" hidden="1">{#N/A,#N/A,FALSE,"Chi tiÆt"}</definedName>
    <definedName name="agung_5" localSheetId="15" hidden="1">{#N/A,#N/A,FALSE,"Chi tiÆt"}</definedName>
    <definedName name="agung_5" localSheetId="9" hidden="1">{#N/A,#N/A,FALSE,"Chi tiÆt"}</definedName>
    <definedName name="agung_5" localSheetId="0" hidden="1">{#N/A,#N/A,FALSE,"Chi tiÆt"}</definedName>
    <definedName name="agung_5" localSheetId="7" hidden="1">{#N/A,#N/A,FALSE,"Chi tiÆt"}</definedName>
    <definedName name="agung_5" localSheetId="13" hidden="1">{#N/A,#N/A,FALSE,"Chi tiÆt"}</definedName>
    <definedName name="agung_5" localSheetId="8" hidden="1">{#N/A,#N/A,FALSE,"Chi tiÆt"}</definedName>
    <definedName name="agung_5" localSheetId="12" hidden="1">{#N/A,#N/A,FALSE,"Chi tiÆt"}</definedName>
    <definedName name="agung_5" hidden="1">{#N/A,#N/A,FALSE,"Chi tiÆt"}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localSheetId="9" hidden="1">#REF!</definedName>
    <definedName name="ajunk" localSheetId="0" hidden="1">#REF!</definedName>
    <definedName name="ajunk" localSheetId="7" hidden="1">#REF!</definedName>
    <definedName name="ajunk" localSheetId="13" hidden="1">#REF!</definedName>
    <definedName name="ajunk" localSheetId="8" hidden="1">#REF!</definedName>
    <definedName name="ajunk" localSheetId="12" hidden="1">#REF!</definedName>
    <definedName name="ajunk" hidden="1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 localSheetId="4">STOP:STOPE</definedName>
    <definedName name="AKU" localSheetId="15">STOP:STOPE</definedName>
    <definedName name="AKU" localSheetId="9">STOP:STOPE</definedName>
    <definedName name="AKU" localSheetId="0">STOP:STOPE</definedName>
    <definedName name="AKU" localSheetId="6">STOP:STOPE</definedName>
    <definedName name="AKU" localSheetId="7">STOP:STOPE</definedName>
    <definedName name="AKU" localSheetId="13">STOP:STOPE</definedName>
    <definedName name="AKU" localSheetId="5">STOP:STOPE</definedName>
    <definedName name="AKU" localSheetId="8">STOP:STOPE</definedName>
    <definedName name="AKU" localSheetId="12">STOP:STOPE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 localSheetId="9">'Pas. Dinding'!alat</definedName>
    <definedName name="alat" localSheetId="12">'TABEL BAJA'!alat</definedName>
    <definedName name="alat">[16]!alat</definedName>
    <definedName name="Alat_bantu_urug">[31]DATA!$G$43</definedName>
    <definedName name="alat_batu">'[32]Daf-Harga'!$H$45</definedName>
    <definedName name="alat_bt">'[32]Daf-Harga'!$H$45</definedName>
    <definedName name="alkali">'[5]Sat Bah &amp; Up'!$G$65</definedName>
    <definedName name="All_Report1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ooo" localSheetId="9">'Pas. Dinding'!alooo</definedName>
    <definedName name="alooo" localSheetId="12">'TABEL BAJA'!alooo</definedName>
    <definedName name="alooo">[16]!alooo</definedName>
    <definedName name="alt_bt">'[32]Daf-Harga'!$H$45</definedName>
    <definedName name="amp_30">'[32]Daf-Harga'!$H$35</definedName>
    <definedName name="ANALIS" localSheetId="9" hidden="1">#REF!</definedName>
    <definedName name="ANALIS" localSheetId="0" hidden="1">#REF!</definedName>
    <definedName name="ANALIS" localSheetId="7" hidden="1">#REF!</definedName>
    <definedName name="ANALIS" localSheetId="13" hidden="1">#REF!</definedName>
    <definedName name="ANALIS" localSheetId="8" hidden="1">#REF!</definedName>
    <definedName name="ANALIS" localSheetId="12" hidden="1">#REF!</definedName>
    <definedName name="ANALIS" hidden="1">#REF!</definedName>
    <definedName name="ANALISA" localSheetId="9" hidden="1">#REF!</definedName>
    <definedName name="ANALISA" localSheetId="0" hidden="1">#REF!</definedName>
    <definedName name="ANALISA" localSheetId="7" hidden="1">#REF!</definedName>
    <definedName name="ANALISA" localSheetId="13" hidden="1">#REF!</definedName>
    <definedName name="ANALISA" localSheetId="8" hidden="1">#REF!</definedName>
    <definedName name="ANALISA" hidden="1">#REF!</definedName>
    <definedName name="APARTEMEN" localSheetId="15">HAJIME:OWARI</definedName>
    <definedName name="APARTEMEN" localSheetId="9">[15]!HAJIME:[15]!OWARI</definedName>
    <definedName name="APARTEMEN" localSheetId="0">[0]!HAJIME:[0]!OWARI</definedName>
    <definedName name="APARTEMEN" localSheetId="6">HAJIME:OWARI</definedName>
    <definedName name="APARTEMEN" localSheetId="7">HAJIME:OWARI</definedName>
    <definedName name="APARTEMEN" localSheetId="13">HAJIME:OWARI</definedName>
    <definedName name="APARTEMEN" localSheetId="8">HAJIME:OWARI</definedName>
    <definedName name="APARTEMEN" localSheetId="12">[0]!HAJIME:[0]!OWARI</definedName>
    <definedName name="APARTEMEN">HAJIME:OWARI</definedName>
    <definedName name="APARTEMEN___0">NA()</definedName>
    <definedName name="APARTEMEN___2">NA()</definedName>
    <definedName name="App" localSheetId="9">'Pas. Dinding'!App</definedName>
    <definedName name="App" localSheetId="12">'TABEL BAJA'!App</definedName>
    <definedName name="App">[16]!App</definedName>
    <definedName name="aproval" localSheetId="9">'Pas. Dinding'!aproval</definedName>
    <definedName name="aproval" localSheetId="12">'TABEL BAJA'!aproval</definedName>
    <definedName name="aproval">[16]!aproval</definedName>
    <definedName name="ARMIX400">[33]Anal!$K$496</definedName>
    <definedName name="ARMIX500">[33]Anal!$K$503</definedName>
    <definedName name="arya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_sprayer">'[32]Daf-Harga'!$H$36</definedName>
    <definedName name="asd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gel6mm">'[34]HB '!$F$9</definedName>
    <definedName name="aswer" localSheetId="9" hidden="1">#REF!</definedName>
    <definedName name="aswer" localSheetId="0" hidden="1">#REF!</definedName>
    <definedName name="aswer" localSheetId="7" hidden="1">#REF!</definedName>
    <definedName name="aswer" localSheetId="13" hidden="1">#REF!</definedName>
    <definedName name="aswer" localSheetId="8" hidden="1">#REF!</definedName>
    <definedName name="aswer" localSheetId="12" hidden="1">#REF!</definedName>
    <definedName name="aswer" hidden="1">#REF!</definedName>
    <definedName name="aswung4mm">'[34]HB '!$F$10</definedName>
    <definedName name="ATBL">[30]ATBL!$G$46</definedName>
    <definedName name="ates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WDSTRF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b" localSheetId="9" hidden="1">#REF!</definedName>
    <definedName name="b" localSheetId="0" hidden="1">#REF!</definedName>
    <definedName name="b" localSheetId="7" hidden="1">#REF!</definedName>
    <definedName name="b" localSheetId="13" hidden="1">#REF!</definedName>
    <definedName name="b" localSheetId="8" hidden="1">#REF!</definedName>
    <definedName name="b" localSheetId="12" hidden="1">#REF!</definedName>
    <definedName name="b" hidden="1">#REF!</definedName>
    <definedName name="B.A.16">[35]ANALISA!$AS$72</definedName>
    <definedName name="B.A.6">[35]ANALISA!$AH$36</definedName>
    <definedName name="B.BATUKALI">[35]ANALISA!$BZ$36</definedName>
    <definedName name="b.bronjong">'[35]ANALISA BAHAN'!$K$33</definedName>
    <definedName name="B.PLESTERAN20">[35]ANALISA!$CV$36</definedName>
    <definedName name="B.RUMPUT">[35]ANALISA!$BO$36</definedName>
    <definedName name="B.SIAR">[35]ANALISA!$CV$72</definedName>
    <definedName name="b.tepi">[36]Analisa!$F$11</definedName>
    <definedName name="ba_ka_20_25">'[32]Daf-Harga'!$H$83</definedName>
    <definedName name="ba_pe_1_2">'[32]Daf-Harga'!$H$78</definedName>
    <definedName name="ba_pe_2_3">'[32]Daf-Harga'!$H$79</definedName>
    <definedName name="ba_pe_3_5">'[32]Daf-Harga'!$H$80</definedName>
    <definedName name="BAB.10">[30]RAB!$G$189</definedName>
    <definedName name="BAB.2">[30]RAB!$G$31</definedName>
    <definedName name="BAB.5">[30]RAB!$G$59</definedName>
    <definedName name="BAG">[37]FAKTOR!$B$25</definedName>
    <definedName name="BAGIAN_1___1">'[38]Daf 1'!$K$423</definedName>
    <definedName name="BAGIAN_1___2">'[38]Daf 1'!$K$423</definedName>
    <definedName name="BAGIAN_1___3">'[38]Daf 1'!$K$423</definedName>
    <definedName name="BAHAN1">[39]A!$A$29:$G$72</definedName>
    <definedName name="BAHAN2">[39]A!$A$73:$G$116</definedName>
    <definedName name="BAHAN3">[39]A!$A$117:$G$160</definedName>
    <definedName name="bajao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[22]harga!$F$20</definedName>
    <definedName name="bakmandi">'[34]HB '!$F$160</definedName>
    <definedName name="BakMandiFiber">'[40]Analisa Harga Satuan'!$G$1817</definedName>
    <definedName name="bambu">[26]Harsat!$D$51</definedName>
    <definedName name="bantu">[41]S.UPAH!$O$8</definedName>
    <definedName name="basis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ta161bata">'[40]Analisa Harga Satuan'!$G$1284</definedName>
    <definedName name="BataKerawang">'[40]Analisa Harga Satuan'!$G$1299</definedName>
    <definedName name="batako___1">[42]harsat!$H$26</definedName>
    <definedName name="batako___2">[42]harsat!$H$26</definedName>
    <definedName name="batamerah___0">[43]harsat!$H$25</definedName>
    <definedName name="batamerah___1">[42]harsat!$H$25</definedName>
    <definedName name="batamerah___2">[42]harsat!$H$25</definedName>
    <definedName name="batu2">[6]Upah!$D$18</definedName>
    <definedName name="batu3">[6]Upah!$D$19</definedName>
    <definedName name="Batukali___0">[43]harsat!$H$12</definedName>
    <definedName name="Batukali___1">[42]harsat!$H$12</definedName>
    <definedName name="Batukali___2">[42]harsat!$H$12</definedName>
    <definedName name="baut">[31]DATA!$G$34</definedName>
    <definedName name="bb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M___0">NA()</definedName>
    <definedName name="BBM___1">NA()</definedName>
    <definedName name="BBM___2">NA()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isting9mm">[44]Analisa!$I$163</definedName>
    <definedName name="bekistingbalok">'[45]Als Struk'!$I$401</definedName>
    <definedName name="bekistingdinding">'[45]Als Struk'!$I$379</definedName>
    <definedName name="bekistingkolom">'[45]Als Struk'!$I$390</definedName>
    <definedName name="bekistingplat">'[45]Als Struk'!$I$423</definedName>
    <definedName name="bekistingtangga">'[45]Als Struk'!$I$445</definedName>
    <definedName name="bend">[26]Harsat!$D$32</definedName>
    <definedName name="bengkirai">[22]harga!$F$106</definedName>
    <definedName name="BES">[46]BQ!$P$12</definedName>
    <definedName name="BESBET10">'[21]Sat-Rap'!$F$25</definedName>
    <definedName name="BESBET12">'[21]Sat-Rap'!$F$26</definedName>
    <definedName name="BESBET13">'[21]Sat-Rap'!$F$29</definedName>
    <definedName name="BESBET16">'[21]Sat-Rap'!$F$30</definedName>
    <definedName name="BESBET19">'[21]Sat-Rap'!$F$31</definedName>
    <definedName name="BESBET22">'[21]Sat-Rap'!$F$32</definedName>
    <definedName name="BESBET6">'[21]Sat-Rap'!$F$23</definedName>
    <definedName name="BESBET8">'[21]Sat-Rap'!$F$24</definedName>
    <definedName name="besibetonpolos">'[47]Analisa Harga'!$H$174</definedName>
    <definedName name="besibtn">[48]harsat!$K$24</definedName>
    <definedName name="besiwf">[48]harsat!$K$26</definedName>
    <definedName name="beton125">[49]harsat!$H$20</definedName>
    <definedName name="beton125___0">[43]harsat!$H$20</definedName>
    <definedName name="beton125___1">[42]harsat!$H$20</definedName>
    <definedName name="beton125___2">[42]harsat!$H$20</definedName>
    <definedName name="beton2">[6]Upah!$D$27</definedName>
    <definedName name="beton250___0">[43]harsat!$H$21</definedName>
    <definedName name="beton250___1">[42]harsat!$H$21</definedName>
    <definedName name="beton250___2">[42]harsat!$H$21</definedName>
    <definedName name="beton250nf">[49]harsat!$H$22</definedName>
    <definedName name="beton250nf___0">[43]harsat!$H$22</definedName>
    <definedName name="beton250nf___1">[42]harsat!$H$22</definedName>
    <definedName name="beton250nf___2">[42]harsat!$H$22</definedName>
    <definedName name="beton3">[6]Upah!$D$28</definedName>
    <definedName name="betonfc35">'[50]DAF-BAHAN'!$F$35</definedName>
    <definedName name="betonfc40">'[50]DAF-BAHAN'!$F$36</definedName>
    <definedName name="betonfc50">'[50]DAF-BAHAN'!$F$38</definedName>
    <definedName name="betonk125">'[50]DAF-BAHAN'!$F$30</definedName>
    <definedName name="betonk175">'[47]Analisa Harga'!$H$145</definedName>
    <definedName name="betonk225">'[47]Analisa Harga'!$H$160</definedName>
    <definedName name="betonk350">'[45]Als Struk'!$I$261</definedName>
    <definedName name="biaya" localSheetId="9">'Pas. Dinding'!biaya</definedName>
    <definedName name="biaya" localSheetId="12">'TABEL BAJA'!biaya</definedName>
    <definedName name="biaya">[16]!biaya</definedName>
    <definedName name="binjai.xls" localSheetId="9" hidden="1">[51]H.Satuan!#REF!</definedName>
    <definedName name="binjai.xls" localSheetId="0" hidden="1">[51]H.Satuan!#REF!</definedName>
    <definedName name="binjai.xls" localSheetId="7" hidden="1">[51]H.Satuan!#REF!</definedName>
    <definedName name="binjai.xls" localSheetId="13" hidden="1">[51]H.Satuan!#REF!</definedName>
    <definedName name="binjai.xls" localSheetId="8" hidden="1">[51]H.Satuan!#REF!</definedName>
    <definedName name="binjai.xls" localSheetId="12" hidden="1">[51]H.Satuan!#REF!</definedName>
    <definedName name="binjai.xls" hidden="1">[51]H.Satuan!#REF!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l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'[21]Sat-Rap'!$F$43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obos">[22]harga!$F$25</definedName>
    <definedName name="bongkar_kuda2">[31]DATA!$G$18</definedName>
    <definedName name="bongkar_kusen">[31]DATA!$G$17</definedName>
    <definedName name="bongkar_plafond">[31]DATA!$G$20</definedName>
    <definedName name="BONGKARAN">[52]L4!$H$51</definedName>
    <definedName name="book" localSheetId="9">'Pas. Dinding'!book</definedName>
    <definedName name="book" localSheetId="12">'TABEL BAJA'!book</definedName>
    <definedName name="book">[16]!book</definedName>
    <definedName name="book2" localSheetId="9">'Pas. Dinding'!book2</definedName>
    <definedName name="book2" localSheetId="12">'TABEL BAJA'!book2</definedName>
    <definedName name="book2">[16]!book2</definedName>
    <definedName name="book3" localSheetId="9">'Pas. Dinding'!book3</definedName>
    <definedName name="book3" localSheetId="12">'TABEL BAJA'!book3</definedName>
    <definedName name="book3">[16]!book3</definedName>
    <definedName name="boosteram">'[53]TE TS FA LAN MATV'!$F$88</definedName>
    <definedName name="borneo___0">[43]harsat!$H$29</definedName>
    <definedName name="borneo___1">[42]harsat!$H$29</definedName>
    <definedName name="borneo___2">[42]harsat!$H$29</definedName>
    <definedName name="bouplank">[22]upah!$E$18</definedName>
    <definedName name="bow">[54]anal!$H$19</definedName>
    <definedName name="bp___2">[55]sheet1!$H$68</definedName>
    <definedName name="BPR">[37]FAKTOR!$C$25</definedName>
    <definedName name="brcm6___0">[43]harsat!$H$16</definedName>
    <definedName name="brcm6___1">[42]harsat!$H$16</definedName>
    <definedName name="brcm6___2">[42]harsat!$H$16</definedName>
    <definedName name="Brigdoun" localSheetId="15">{"Book1","RAB PASAR 30 AUG SCRAB.xls"}</definedName>
    <definedName name="Brigdoun" localSheetId="9">{"Book1","RAB PASAR 30 AUG SCRAB.xls"}</definedName>
    <definedName name="Brigdoun" localSheetId="0">{"Book1","RAB PASAR 30 AUG SCRAB.xls"}</definedName>
    <definedName name="Brigdoun" localSheetId="7">{"Book1","RAB PASAR 30 AUG SCRAB.xls"}</definedName>
    <definedName name="Brigdoun" localSheetId="13">{"Book1","RAB PASAR 30 AUG SCRAB.xls"}</definedName>
    <definedName name="Brigdoun" localSheetId="8">{"Book1","RAB PASAR 30 AUG SCRAB.xls"}</definedName>
    <definedName name="Brigdoun" localSheetId="12">{"Book1","RAB PASAR 30 AUG SCRAB.xls"}</definedName>
    <definedName name="Brigdoun">{"Book1","RAB PASAR 30 AUG SCRAB.xls"}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tangga">'[56]Analisa STR'!$J$69</definedName>
    <definedName name="btbel">'[5]Sat Bah &amp; Up'!$G$34</definedName>
    <definedName name="BTBT">'[21]Sat-Rap'!$F$15</definedName>
    <definedName name="btcopondsi">'[55]DAF-5'!$I$189</definedName>
    <definedName name="bton550">[55]sheet1!$H$23</definedName>
    <definedName name="btonbalok250">'[55]DAF-5'!$I$96</definedName>
    <definedName name="btonbalok300">'[55]DAF-5'!$I$110</definedName>
    <definedName name="btonbalok400">'[55]DAF-5'!$I$124</definedName>
    <definedName name="btonbalok550">'[55]DAF-5'!$I$138</definedName>
    <definedName name="btonddg250">'[55]DAF-5'!$I$103</definedName>
    <definedName name="btonddg300">'[55]DAF-5'!$I$117</definedName>
    <definedName name="btonddg400">'[55]DAF-5'!$I$131</definedName>
    <definedName name="btonddg550">'[55]DAF-5'!$I$145</definedName>
    <definedName name="btonlantkrja">'[55]DAF-5'!$I$61</definedName>
    <definedName name="btpec2">'[5]Sat Bah &amp; Up'!$G$36</definedName>
    <definedName name="BUB">'[21]Sat-Rap'!$F$61</definedName>
    <definedName name="buruh_lapangan_setengah_terlatih">[57]UPAH!$D$32</definedName>
    <definedName name="buruh_lapangan_terlatih">[57]UPAH!$D$33</definedName>
    <definedName name="Buruh_Lapangan_terlatih___Pekerja_terampil">[58]UPAH!$C$26</definedName>
    <definedName name="buruh_lapangan_tidak_terlatih">[31]UPAH!$D$31</definedName>
    <definedName name="Bus___1">[59]Anls!$E$42</definedName>
    <definedName name="Bus___2">[59]Anls!$E$42</definedName>
    <definedName name="Bus___3">[59]Anls!$E$42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abinrak">'[53]TE TS FA LAN MATV'!$F$66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_Dasar_ICI_untuk_interior__2_Pelapis">[31]BAHAN!$C$55</definedName>
    <definedName name="Cat_Kayu">'[40]Analisa Harga Satuan'!$G$2673</definedName>
    <definedName name="Cat_Marka__Spotlight">[31]BAHAN!$C$57</definedName>
    <definedName name="Cat_Minyak">[31]BAHAN!$C$89</definedName>
    <definedName name="Cat_tembok_ICI_Eksterior__Beton">[31]BAHAN!$C$52</definedName>
    <definedName name="Cat_Tembok_ICI_Interior__Plafond_dan_Dinding">[31]BAHAN!$C$53</definedName>
    <definedName name="catdinding">[22]harga!$F$55</definedName>
    <definedName name="CatInterior">'[40]Analisa Harga Satuan'!$G$2712</definedName>
    <definedName name="CatPlafond">'[40]Analisa Harga Satuan'!$G$2725</definedName>
    <definedName name="catsupergloss">[60]Rekap!$H$121</definedName>
    <definedName name="cddd3p">'[9]TONG HOP VL-NC'!$C$2</definedName>
    <definedName name="Cermin5mm">'[40]Analisa Harga Satuan'!$G$2286</definedName>
    <definedName name="CEROCOK">[41]S.BAHAN!$K$26</definedName>
    <definedName name="CHAIN" localSheetId="9" hidden="1">#REF!</definedName>
    <definedName name="CHAIN" localSheetId="0" hidden="1">#REF!</definedName>
    <definedName name="CHAIN" localSheetId="7" hidden="1">#REF!</definedName>
    <definedName name="CHAIN" localSheetId="13" hidden="1">#REF!</definedName>
    <definedName name="CHAIN" localSheetId="8" hidden="1">#REF!</definedName>
    <definedName name="CHAIN" localSheetId="12" hidden="1">#REF!</definedName>
    <definedName name="CHAIN" hidden="1">#REF!</definedName>
    <definedName name="chainsaw">[61]harsat!$G$63</definedName>
    <definedName name="channelmodul">'[53]TE TS FA LAN MATV'!$F$85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[31]BAHAN!$C$139</definedName>
    <definedName name="Closet_Jongkok_Poslin_warna__TOTO">[31]BAHAN!$C$134</definedName>
    <definedName name="Closet_Jongkok_Standard_Putih_Poslin_TOTO">[31]BAHAN!$C$135</definedName>
    <definedName name="closetduduk">[60]Rekap!$H$47</definedName>
    <definedName name="CLVC3">0.1</definedName>
    <definedName name="CNGR">[62]bahan!$C$16</definedName>
    <definedName name="coba" hidden="1">'[62]SITE-E'!$AI$33:$AI$144</definedName>
    <definedName name="Code" localSheetId="9" hidden="1">#REF!</definedName>
    <definedName name="Code" localSheetId="0" hidden="1">#REF!</definedName>
    <definedName name="Code" localSheetId="7" hidden="1">#REF!</definedName>
    <definedName name="Code" localSheetId="13" hidden="1">#REF!</definedName>
    <definedName name="Code" localSheetId="8" hidden="1">#REF!</definedName>
    <definedName name="Code" localSheetId="12" hidden="1">#REF!</definedName>
    <definedName name="Code" hidden="1">#REF!</definedName>
    <definedName name="comismatv">'[53]TE TS FA LAN MATV'!$F$94</definedName>
    <definedName name="con_vibra">'[32]Daf-Harga'!$H$40</definedName>
    <definedName name="corbaloklantai">'[50]DAF-UPAH'!$E$15</definedName>
    <definedName name="cordindng">[63]h.satuan!$H$139</definedName>
    <definedName name="corkolom">'[50]DAF-UPAH'!$E$14</definedName>
    <definedName name="corlantaikerja">'[50]DAF-UPAH'!$E$11</definedName>
    <definedName name="CPVCDN">'[9]#REF'!$K$33</definedName>
    <definedName name="curb_t_60">'[32]Daf-Harga'!$H$87</definedName>
    <definedName name="d" localSheetId="9" hidden="1">#REF!</definedName>
    <definedName name="d" localSheetId="0" hidden="1">#REF!</definedName>
    <definedName name="d" localSheetId="7" hidden="1">#REF!</definedName>
    <definedName name="d" localSheetId="13" hidden="1">#REF!</definedName>
    <definedName name="d" localSheetId="8" hidden="1">#REF!</definedName>
    <definedName name="d" localSheetId="12" hidden="1">#REF!</definedName>
    <definedName name="d" hidden="1">#REF!</definedName>
    <definedName name="DAF" localSheetId="9" hidden="1">#REF!</definedName>
    <definedName name="DAF" localSheetId="0" hidden="1">#REF!</definedName>
    <definedName name="DAF" localSheetId="7" hidden="1">#REF!</definedName>
    <definedName name="DAF" localSheetId="13" hidden="1">#REF!</definedName>
    <definedName name="DAF" localSheetId="8" hidden="1">#REF!</definedName>
    <definedName name="DAF" hidden="1">#REF!</definedName>
    <definedName name="Daf_mat___0">[64]Pipe!$A$12:$I$33</definedName>
    <definedName name="Daf_mat___1">[64]Pipe!$A$12:$I$33</definedName>
    <definedName name="Daf_mat___2">[64]Pipe!$A$12:$I$33</definedName>
    <definedName name="Daf_mat___3">[64]Pipe!$A$12:$I$33</definedName>
    <definedName name="Daf_mt">[65]Pipe!$A$1:$IV$10</definedName>
    <definedName name="Daf_mt___0">[64]Pipe!$A$1:$IV$10</definedName>
    <definedName name="Daf_mt___1">[64]Pipe!$A$1:$IV$10</definedName>
    <definedName name="Daf_mt___2">[64]Pipe!$A$1:$IV$10</definedName>
    <definedName name="Daf_mt___3">[64]Pipe!$A$1:$IV$10</definedName>
    <definedName name="danan" localSheetId="15">HAJIME:OWARI</definedName>
    <definedName name="danan" localSheetId="9">[15]!HAJIME:[15]!OWARI</definedName>
    <definedName name="danan" localSheetId="0">[0]!HAJIME:[0]!OWARI</definedName>
    <definedName name="danan" localSheetId="6">HAJIME:OWARI</definedName>
    <definedName name="danan" localSheetId="7">HAJIME:OWARI</definedName>
    <definedName name="danan" localSheetId="13">HAJIME:OWARI</definedName>
    <definedName name="danan" localSheetId="8">HAJIME:OWARI</definedName>
    <definedName name="danan" localSheetId="12">[0]!HAJIME:[0]!OWARI</definedName>
    <definedName name="danan">HAJIME:OWARI</definedName>
    <definedName name="danan___0">NA()</definedName>
    <definedName name="danan___1">NA()</definedName>
    <definedName name="danan___2">NA()</definedName>
    <definedName name="dapur">[66]DAPUR!$N$21</definedName>
    <definedName name="data1" localSheetId="9" hidden="1">#REF!</definedName>
    <definedName name="data1" localSheetId="0" hidden="1">#REF!</definedName>
    <definedName name="data1" localSheetId="7" hidden="1">#REF!</definedName>
    <definedName name="data1" localSheetId="13" hidden="1">#REF!</definedName>
    <definedName name="data1" localSheetId="8" hidden="1">#REF!</definedName>
    <definedName name="data1" localSheetId="12" hidden="1">#REF!</definedName>
    <definedName name="data1" hidden="1">#REF!</definedName>
    <definedName name="data2" localSheetId="9" hidden="1">#REF!</definedName>
    <definedName name="data2" localSheetId="0" hidden="1">#REF!</definedName>
    <definedName name="data2" localSheetId="7" hidden="1">#REF!</definedName>
    <definedName name="data2" localSheetId="13" hidden="1">#REF!</definedName>
    <definedName name="data2" localSheetId="8" hidden="1">#REF!</definedName>
    <definedName name="data2" hidden="1">#REF!</definedName>
    <definedName name="data3" localSheetId="9" hidden="1">#REF!</definedName>
    <definedName name="data3" localSheetId="0" hidden="1">#REF!</definedName>
    <definedName name="data3" localSheetId="7" hidden="1">#REF!</definedName>
    <definedName name="data3" localSheetId="13" hidden="1">#REF!</definedName>
    <definedName name="data3" localSheetId="8" hidden="1">#REF!</definedName>
    <definedName name="data3" hidden="1">#REF!</definedName>
    <definedName name="db">'[67]BQ-Tenis'!$L$52</definedName>
    <definedName name="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[68]Analisa!$E$11</definedName>
    <definedName name="dd1pvl">[9]chitiet!$G$383</definedName>
    <definedName name="dd1x2">[69]gvl!$N$9</definedName>
    <definedName name="d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" hidden="1">[68]DIV1!$G$25:$G$31</definedName>
    <definedName name="Demolish" hidden="1">#N/A</definedName>
    <definedName name="Dempul_Duco">[31]BAHAN!$C$82</definedName>
    <definedName name="Dempul_Halus___Imfra___Wood_Filler">[31]BAHAN!$B$75</definedName>
    <definedName name="Dempul_halus__imfra__Wood_filler">[31]BAHAN!$C$75</definedName>
    <definedName name="Dempul_Plitur">[31]BAHAN!$C$74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gth2">[9]DONGIA!$A$414:$G$439</definedName>
    <definedName name="DGTR">[9]DONGIA!$A$472:$I$521</definedName>
    <definedName name="DGVT">'[9]DON GIA'!$C$5:$G$137</definedName>
    <definedName name="DI" localSheetId="15">HAJIME:OWARI</definedName>
    <definedName name="DI" localSheetId="9">[15]!HAJIME:[15]!OWARI</definedName>
    <definedName name="DI" localSheetId="0">[0]!HAJIME:[0]!OWARI</definedName>
    <definedName name="DI" localSheetId="6">HAJIME:OWARI</definedName>
    <definedName name="DI" localSheetId="7">HAJIME:OWARI</definedName>
    <definedName name="DI" localSheetId="13">HAJIME:OWARI</definedName>
    <definedName name="DI" localSheetId="8">HAJIME:OWARI</definedName>
    <definedName name="DI" localSheetId="12">[0]!HAJIME:[0]!OWARI</definedName>
    <definedName name="DI">HAJIME:OWARI</definedName>
    <definedName name="DI___0">NA()</definedName>
    <definedName name="DI___2">NA()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letasi">'[55]DAF-5'!$I$82</definedName>
    <definedName name="DIN.BETON">[36]Analisa!$F$30</definedName>
    <definedName name="Discount" localSheetId="9" hidden="1">#REF!</definedName>
    <definedName name="Discount" localSheetId="0" hidden="1">#REF!</definedName>
    <definedName name="Discount" localSheetId="7" hidden="1">#REF!</definedName>
    <definedName name="Discount" localSheetId="13" hidden="1">#REF!</definedName>
    <definedName name="Discount" localSheetId="8" hidden="1">#REF!</definedName>
    <definedName name="Discount" localSheetId="12" hidden="1">#REF!</definedName>
    <definedName name="Discount" hidden="1">#REF!</definedName>
    <definedName name="display_area_2" localSheetId="9" hidden="1">#REF!</definedName>
    <definedName name="display_area_2" localSheetId="0" hidden="1">#REF!</definedName>
    <definedName name="display_area_2" localSheetId="7" hidden="1">#REF!</definedName>
    <definedName name="display_area_2" localSheetId="13" hidden="1">#REF!</definedName>
    <definedName name="display_area_2" localSheetId="8" hidden="1">#REF!</definedName>
    <definedName name="display_area_2" hidden="1">#REF!</definedName>
    <definedName name="disPM">'[46]hsp-STR-ARS'!$N$37</definedName>
    <definedName name="dldl160">'[70]Isolasi Luar Dalam'!$L$46</definedName>
    <definedName name="dldl180">'[70]Isolasi Luar Dalam'!$M$46</definedName>
    <definedName name="dldlg100">'[70]Isolasi Luar Dalam'!$N$23</definedName>
    <definedName name="dllg100a">'[71]Isolasi Luar'!$N$342</definedName>
    <definedName name="dllg120">'[70]Isolasi Luar'!$O$342</definedName>
    <definedName name="dllg50">'[70]Isolasi Luar'!$K$342</definedName>
    <definedName name="dllg60">'[70]Isolasi Luar'!$L$342</definedName>
    <definedName name="dllg80">'[70]Isolasi Luar'!$M$342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ocument_array" localSheetId="15">{"Book1","RAB PASAR 30 AUG SCRAB.xls"}</definedName>
    <definedName name="Document_array" localSheetId="9">{"Book1","RAB PASAR 30 AUG SCRAB.xls"}</definedName>
    <definedName name="Document_array" localSheetId="0">{"Book1","RAB PASAR 30 AUG SCRAB.xls"}</definedName>
    <definedName name="Document_array" localSheetId="7">{"Book1","RAB PASAR 30 AUG SCRAB.xls"}</definedName>
    <definedName name="Document_array" localSheetId="13">{"Book1","RAB PASAR 30 AUG SCRAB.xls"}</definedName>
    <definedName name="Document_array" localSheetId="8">{"Book1","RAB PASAR 30 AUG SCRAB.xls"}</definedName>
    <definedName name="Document_array" localSheetId="12">{"Book1","RAB PASAR 30 AUG SCRAB.xls"}</definedName>
    <definedName name="Document_array">{"Book1","RAB PASAR 30 AUG SCRAB.xls"}</definedName>
    <definedName name="Document_array_2" localSheetId="15">{"Book1","RAB PASAR 30 AUG SCRAB.xls"}</definedName>
    <definedName name="Document_array_2" localSheetId="9">{"Book1","RAB PASAR 30 AUG SCRAB.xls"}</definedName>
    <definedName name="Document_array_2" localSheetId="0">{"Book1","RAB PASAR 30 AUG SCRAB.xls"}</definedName>
    <definedName name="Document_array_2" localSheetId="7">{"Book1","RAB PASAR 30 AUG SCRAB.xls"}</definedName>
    <definedName name="Document_array_2" localSheetId="13">{"Book1","RAB PASAR 30 AUG SCRAB.xls"}</definedName>
    <definedName name="Document_array_2" localSheetId="8">{"Book1","RAB PASAR 30 AUG SCRAB.xls"}</definedName>
    <definedName name="Document_array_2" localSheetId="12">{"Book1","RAB PASAR 30 AUG SCRAB.xls"}</definedName>
    <definedName name="Document_array_2">{"Book1","RAB PASAR 30 AUG SCRAB.xls"}</definedName>
    <definedName name="Document_array_4" localSheetId="15">{"Book1","RAB PASAR 30 AUG SCRAB.xls"}</definedName>
    <definedName name="Document_array_4" localSheetId="9">{"Book1","RAB PASAR 30 AUG SCRAB.xls"}</definedName>
    <definedName name="Document_array_4" localSheetId="0">{"Book1","RAB PASAR 30 AUG SCRAB.xls"}</definedName>
    <definedName name="Document_array_4" localSheetId="7">{"Book1","RAB PASAR 30 AUG SCRAB.xls"}</definedName>
    <definedName name="Document_array_4" localSheetId="13">{"Book1","RAB PASAR 30 AUG SCRAB.xls"}</definedName>
    <definedName name="Document_array_4" localSheetId="8">{"Book1","RAB PASAR 30 AUG SCRAB.xls"}</definedName>
    <definedName name="Document_array_4" localSheetId="12">{"Book1","RAB PASAR 30 AUG SCRAB.xls"}</definedName>
    <definedName name="Document_array_4">{"Book1","RAB PASAR 30 AUG SCRAB.xls"}</definedName>
    <definedName name="Document_array_6" localSheetId="15">{"Book1","RAB PASAR 30 AUG SCRAB.xls"}</definedName>
    <definedName name="Document_array_6" localSheetId="9">{"Book1","RAB PASAR 30 AUG SCRAB.xls"}</definedName>
    <definedName name="Document_array_6" localSheetId="0">{"Book1","RAB PASAR 30 AUG SCRAB.xls"}</definedName>
    <definedName name="Document_array_6" localSheetId="7">{"Book1","RAB PASAR 30 AUG SCRAB.xls"}</definedName>
    <definedName name="Document_array_6" localSheetId="13">{"Book1","RAB PASAR 30 AUG SCRAB.xls"}</definedName>
    <definedName name="Document_array_6" localSheetId="8">{"Book1","RAB PASAR 30 AUG SCRAB.xls"}</definedName>
    <definedName name="Document_array_6" localSheetId="12">{"Book1","RAB PASAR 30 AUG SCRAB.xls"}</definedName>
    <definedName name="Document_array_6">{"Book1","RAB PASAR 30 AUG SCRAB.xls"}</definedName>
    <definedName name="Document_array_8" localSheetId="15">{"Book1","RAB PASAR 30 AUG SCRAB.xls"}</definedName>
    <definedName name="Document_array_8" localSheetId="9">{"Book1","RAB PASAR 30 AUG SCRAB.xls"}</definedName>
    <definedName name="Document_array_8" localSheetId="0">{"Book1","RAB PASAR 30 AUG SCRAB.xls"}</definedName>
    <definedName name="Document_array_8" localSheetId="7">{"Book1","RAB PASAR 30 AUG SCRAB.xls"}</definedName>
    <definedName name="Document_array_8" localSheetId="13">{"Book1","RAB PASAR 30 AUG SCRAB.xls"}</definedName>
    <definedName name="Document_array_8" localSheetId="8">{"Book1","RAB PASAR 30 AUG SCRAB.xls"}</definedName>
    <definedName name="Document_array_8" localSheetId="12">{"Book1","RAB PASAR 30 AUG SCRAB.xls"}</definedName>
    <definedName name="Document_array_8">{"Book1","RAB PASAR 30 AUG SCRAB.xls"}</definedName>
    <definedName name="Document_array_9" localSheetId="15">{"Book1","RAB PASAR 30 AUG SCRAB.xls"}</definedName>
    <definedName name="Document_array_9" localSheetId="9">{"Book1","RAB PASAR 30 AUG SCRAB.xls"}</definedName>
    <definedName name="Document_array_9" localSheetId="0">{"Book1","RAB PASAR 30 AUG SCRAB.xls"}</definedName>
    <definedName name="Document_array_9" localSheetId="7">{"Book1","RAB PASAR 30 AUG SCRAB.xls"}</definedName>
    <definedName name="Document_array_9" localSheetId="13">{"Book1","RAB PASAR 30 AUG SCRAB.xls"}</definedName>
    <definedName name="Document_array_9" localSheetId="8">{"Book1","RAB PASAR 30 AUG SCRAB.xls"}</definedName>
    <definedName name="Document_array_9" localSheetId="12">{"Book1","RAB PASAR 30 AUG SCRAB.xls"}</definedName>
    <definedName name="Document_array_9">{"Book1","RAB PASAR 30 AUG SCRAB.xls"}</definedName>
    <definedName name="dongia1">[9]DG!$A$4:$H$606</definedName>
    <definedName name="door">'[72]D &amp; W sizes'!$B$3:$D$35</definedName>
    <definedName name="DSGA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.45">'[30]DAFTAR ALAT'!$H$19</definedName>
    <definedName name="dt_3.5">'[32]Daf-Harga'!$H$41</definedName>
    <definedName name="dt_5">'[32]Daf-Harga'!$H$42</definedName>
    <definedName name="DULUX">'[21]Sat-Rap'!$F$72</definedName>
    <definedName name="dumptruck20t">'[73]Sat Alat'!$I$14</definedName>
    <definedName name="ECON" localSheetId="9" hidden="1">[74]escon!#REF!</definedName>
    <definedName name="ECON" localSheetId="0" hidden="1">[74]escon!#REF!</definedName>
    <definedName name="ECON" localSheetId="7" hidden="1">[74]escon!#REF!</definedName>
    <definedName name="ECON" localSheetId="13" hidden="1">[74]escon!#REF!</definedName>
    <definedName name="ECON" localSheetId="8" hidden="1">[74]escon!#REF!</definedName>
    <definedName name="ECON" localSheetId="12" hidden="1">[74]escon!#REF!</definedName>
    <definedName name="ECON" hidden="1">[74]escon!#REF!</definedName>
    <definedName name="ECP">"'file://Donny/jfp (f)/2.1 Proposal/2.1 Excelcomindo Office Palembang/mmc.xls'#$'Fill this out first___'.$#REF!$#REF!"</definedName>
    <definedName name="ED" localSheetId="15">HAJIME:OWARI</definedName>
    <definedName name="ED" localSheetId="9">[15]!HAJIME:[15]!OWARI</definedName>
    <definedName name="ED" localSheetId="0">[0]!HAJIME:[0]!OWARI</definedName>
    <definedName name="ED" localSheetId="6">HAJIME:OWARI</definedName>
    <definedName name="ED" localSheetId="7">HAJIME:OWARI</definedName>
    <definedName name="ED" localSheetId="13">HAJIME:OWARI</definedName>
    <definedName name="ED" localSheetId="8">HAJIME:OWARI</definedName>
    <definedName name="ED" localSheetId="12">[0]!HAJIME:[0]!OWARI</definedName>
    <definedName name="ED">HAJIME:OWARI</definedName>
    <definedName name="ED___0">NA()</definedName>
    <definedName name="ED___2">NA()</definedName>
    <definedName name="EDS" localSheetId="15">{"Book1","RAB PASAR 30 AUG SCRAB.xls"}</definedName>
    <definedName name="EDS" localSheetId="9">{"Book1","RAB PASAR 30 AUG SCRAB.xls"}</definedName>
    <definedName name="EDS" localSheetId="0">{"Book1","RAB PASAR 30 AUG SCRAB.xls"}</definedName>
    <definedName name="EDS" localSheetId="7">{"Book1","RAB PASAR 30 AUG SCRAB.xls"}</definedName>
    <definedName name="EDS" localSheetId="13">{"Book1","RAB PASAR 30 AUG SCRAB.xls"}</definedName>
    <definedName name="EDS" localSheetId="8">{"Book1","RAB PASAR 30 AUG SCRAB.xls"}</definedName>
    <definedName name="EDS" localSheetId="12">{"Book1","RAB PASAR 30 AUG SCRAB.xls"}</definedName>
    <definedName name="EDS">{"Book1","RAB PASAR 30 AUG SCRAB.xls"}</definedName>
    <definedName name="efwfw" localSheetId="12" hidden="1">[75]AC!#REF!</definedName>
    <definedName name="efwfw" hidden="1">[75]AC!#REF!</definedName>
    <definedName name="EGY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ngselkun">'[76]HB '!$F$177</definedName>
    <definedName name="erq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'[77]Harga Material'!$F$53</definedName>
    <definedName name="essenza60x60">'[77]Harga Material'!$F$54</definedName>
    <definedName name="EWY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3_1_1_1_1">'[78]01A- RAB'!$A$1:$N$65536,'[78]01A- RAB'!$A$3:$IV$5</definedName>
    <definedName name="Excel_BuiltIn_Print_Titles_4">"$#REF!.$A$1:$IT$6"</definedName>
    <definedName name="Excel_BuiltIn_Print_Titles_4_1_1" localSheetId="9">#REF!,#REF!</definedName>
    <definedName name="Excel_BuiltIn_Print_Titles_4_1_1" localSheetId="0">#REF!,#REF!</definedName>
    <definedName name="Excel_BuiltIn_Print_Titles_4_1_1" localSheetId="7">#REF!,#REF!</definedName>
    <definedName name="Excel_BuiltIn_Print_Titles_4_1_1" localSheetId="13">#REF!,#REF!</definedName>
    <definedName name="Excel_BuiltIn_Print_Titles_4_1_1" localSheetId="8">#REF!,#REF!</definedName>
    <definedName name="Excel_BuiltIn_Print_Titles_4_1_1" localSheetId="12">#REF!,#REF!</definedName>
    <definedName name="Excel_BuiltIn_Print_Titles_4_1_1">#REF!,#REF!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ktor">'[79]bhn FINAL'!$F$3</definedName>
    <definedName name="fall" localSheetId="9" hidden="1">#REF!</definedName>
    <definedName name="fall" localSheetId="0" hidden="1">#REF!</definedName>
    <definedName name="fall" localSheetId="7" hidden="1">#REF!</definedName>
    <definedName name="fall" localSheetId="13" hidden="1">#REF!</definedName>
    <definedName name="fall" localSheetId="8" hidden="1">#REF!</definedName>
    <definedName name="fall" localSheetId="12" hidden="1">#REF!</definedName>
    <definedName name="fall" hidden="1">#REF!</definedName>
    <definedName name="FCode" localSheetId="9" hidden="1">#REF!</definedName>
    <definedName name="FCode" localSheetId="0" hidden="1">#REF!</definedName>
    <definedName name="FCode" localSheetId="7" hidden="1">#REF!</definedName>
    <definedName name="FCode" localSheetId="13" hidden="1">#REF!</definedName>
    <definedName name="FCode" localSheetId="8" hidden="1">#REF!</definedName>
    <definedName name="FCode" localSheetId="12" hidden="1">#REF!</definedName>
    <definedName name="FCode" hidden="1">#REF!</definedName>
    <definedName name="fdj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li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___0">[55]DAF_5!$I$196</definedName>
    <definedName name="fh___1">[55]DAF_5!$I$196</definedName>
    <definedName name="fh___2">[55]DAF_5!$I$196</definedName>
    <definedName name="FILLL" localSheetId="9" hidden="1">#REF!</definedName>
    <definedName name="FILLL" localSheetId="0" hidden="1">#REF!</definedName>
    <definedName name="FILLL" localSheetId="7" hidden="1">#REF!</definedName>
    <definedName name="FILLL" localSheetId="13" hidden="1">#REF!</definedName>
    <definedName name="FILLL" localSheetId="8" hidden="1">#REF!</definedName>
    <definedName name="FILLL" localSheetId="12" hidden="1">#REF!</definedName>
    <definedName name="FILLL" hidden="1">#REF!</definedName>
    <definedName name="fkieifi" hidden="1">[80]H.Satuan!$C$106:$P$132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PE">[33]Fak!$C$17</definedName>
    <definedName name="FRAKSIKASAR">'[30]DAFTAR BAHAN'!$G$23</definedName>
    <definedName name="FRAN">[81]FAK!$D$11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SB">#REF!</definedName>
    <definedName name="fsjs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g" localSheetId="9">'Pas. Dinding'!g</definedName>
    <definedName name="g" localSheetId="12">'TABEL BAJA'!g</definedName>
    <definedName name="g">[16]!g</definedName>
    <definedName name="galiantanah">[44]Analisa!$I$60</definedName>
    <definedName name="galiantanahbiasa">'[47]Analisa Harga'!$H$15</definedName>
    <definedName name="galtk">[82]anal!$H$19</definedName>
    <definedName name="gbesp10">[83]SAT!$F$12</definedName>
    <definedName name="gbesp12">[83]SAT!$F$13</definedName>
    <definedName name="gbesp6">[83]SAT!$F$10</definedName>
    <definedName name="gbesp8">[83]SAT!$F$11</definedName>
    <definedName name="gbesu13">[83]SAT!$F$15</definedName>
    <definedName name="gbesu16">[83]SAT!$F$16</definedName>
    <definedName name="gbesu19">[83]SAT!$F$17</definedName>
    <definedName name="gbesu22">[83]SAT!$F$18</definedName>
    <definedName name="gedek">[26]Harsat!$D$50</definedName>
    <definedName name="GENT">'[21]Sat-Rap'!$F$60</definedName>
    <definedName name="GentengMetal">'[40]Analisa Harga Satuan'!$G$2627</definedName>
    <definedName name="gf" hidden="1">[84]H.Satuan!$CF$82</definedName>
    <definedName name="GFF" hidden="1">[85]SEX!$P$7:$P$7</definedName>
    <definedName name="gfh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c">[86]harsat!$H$21</definedName>
    <definedName name="GGG">[87]REF.ONLY!$C$11:$E$265</definedName>
    <definedName name="gh">'[88]Bill of Qty MEP'!$AG$285</definedName>
    <definedName name="ghgfjhh">[89]Cover!$A$1</definedName>
    <definedName name="GORC">[26]Sal!$H$82</definedName>
    <definedName name="grblok">[22]harga!$F$86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'[5]Sat Bah &amp; Up'!$G$74</definedName>
    <definedName name="grcp">'[5]Sat Bah &amp; Up'!$G$73</definedName>
    <definedName name="grendbiasa">'[76]HB '!$F$178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[86]harsat!$H$69</definedName>
    <definedName name="gv___0">'[88]Analisa Upah _ Bahan Plum'!$Q$7</definedName>
    <definedName name="gv___1">'[90]Analisa Upah _ Bahan Plum'!$Q$7</definedName>
    <definedName name="gv___2">'[90]Analisa Upah _ Bahan Plum'!$Q$7</definedName>
    <definedName name="gv___3">'[90]Analisa Upah _ Bahan Plum'!$Q$7</definedName>
    <definedName name="Gypsum_uk._1200_x_2700_x_9_mm">[31]BAHAN!$C$96</definedName>
    <definedName name="h_mandor">[91]Sheet1!$E$13</definedName>
    <definedName name="h_pekerja">[91]Sheet1!$E$12</definedName>
    <definedName name="haha" localSheetId="9">'Pas. Dinding'!haha</definedName>
    <definedName name="haha" localSheetId="12">'TABEL BAJA'!haha</definedName>
    <definedName name="haha">[16]!haha</definedName>
    <definedName name="HAIII" localSheetId="9">'Pas. Dinding'!HAIII</definedName>
    <definedName name="HAIII" localSheetId="12">'TABEL BAJA'!HAIII</definedName>
    <definedName name="HAIII">[16]!HAIII</definedName>
    <definedName name="HAJIME">#REF!</definedName>
    <definedName name="HAL_2_2">NA()</definedName>
    <definedName name="HAL_3_2">NA()</definedName>
    <definedName name="hampar">[41]S.UPAH!$J$24</definedName>
    <definedName name="harga" hidden="1">'[92]351BQMCN'!$C$1:$C$4575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lo" localSheetId="9">'Pas. Dinding'!helo</definedName>
    <definedName name="helo" localSheetId="12">'TABEL BAJA'!helo</definedName>
    <definedName name="helo">[16]!helo</definedName>
    <definedName name="hengq" localSheetId="15" hidden="1">{#N/A,#N/A,FALSE,"REK";#N/A,#N/A,FALSE,"rab"}</definedName>
    <definedName name="hengq" localSheetId="9" hidden="1">{#N/A,#N/A,FALSE,"REK";#N/A,#N/A,FALSE,"rab"}</definedName>
    <definedName name="hengq" localSheetId="0" hidden="1">{#N/A,#N/A,FALSE,"REK";#N/A,#N/A,FALSE,"rab"}</definedName>
    <definedName name="hengq" localSheetId="7" hidden="1">{#N/A,#N/A,FALSE,"REK";#N/A,#N/A,FALSE,"rab"}</definedName>
    <definedName name="hengq" localSheetId="13" hidden="1">{#N/A,#N/A,FALSE,"REK";#N/A,#N/A,FALSE,"rab"}</definedName>
    <definedName name="hengq" localSheetId="8" hidden="1">{#N/A,#N/A,FALSE,"REK";#N/A,#N/A,FALSE,"rab"}</definedName>
    <definedName name="hengq" localSheetId="12" hidden="1">{#N/A,#N/A,FALSE,"REK";#N/A,#N/A,FALSE,"rab"}</definedName>
    <definedName name="hengq" hidden="1">{#N/A,#N/A,FALSE,"REK";#N/A,#N/A,FALSE,"rab"}</definedName>
    <definedName name="hengq_2" localSheetId="15" hidden="1">{#N/A,#N/A,FALSE,"REK";#N/A,#N/A,FALSE,"rab"}</definedName>
    <definedName name="hengq_2" localSheetId="9" hidden="1">{#N/A,#N/A,FALSE,"REK";#N/A,#N/A,FALSE,"rab"}</definedName>
    <definedName name="hengq_2" localSheetId="0" hidden="1">{#N/A,#N/A,FALSE,"REK";#N/A,#N/A,FALSE,"rab"}</definedName>
    <definedName name="hengq_2" localSheetId="7" hidden="1">{#N/A,#N/A,FALSE,"REK";#N/A,#N/A,FALSE,"rab"}</definedName>
    <definedName name="hengq_2" localSheetId="13" hidden="1">{#N/A,#N/A,FALSE,"REK";#N/A,#N/A,FALSE,"rab"}</definedName>
    <definedName name="hengq_2" localSheetId="8" hidden="1">{#N/A,#N/A,FALSE,"REK";#N/A,#N/A,FALSE,"rab"}</definedName>
    <definedName name="hengq_2" localSheetId="12" hidden="1">{#N/A,#N/A,FALSE,"REK";#N/A,#N/A,FALSE,"rab"}</definedName>
    <definedName name="hengq_2" hidden="1">{#N/A,#N/A,FALSE,"REK";#N/A,#N/A,FALSE,"rab"}</definedName>
    <definedName name="hengq_3" localSheetId="15" hidden="1">{#N/A,#N/A,FALSE,"REK";#N/A,#N/A,FALSE,"rab"}</definedName>
    <definedName name="hengq_3" localSheetId="9" hidden="1">{#N/A,#N/A,FALSE,"REK";#N/A,#N/A,FALSE,"rab"}</definedName>
    <definedName name="hengq_3" localSheetId="0" hidden="1">{#N/A,#N/A,FALSE,"REK";#N/A,#N/A,FALSE,"rab"}</definedName>
    <definedName name="hengq_3" localSheetId="7" hidden="1">{#N/A,#N/A,FALSE,"REK";#N/A,#N/A,FALSE,"rab"}</definedName>
    <definedName name="hengq_3" localSheetId="13" hidden="1">{#N/A,#N/A,FALSE,"REK";#N/A,#N/A,FALSE,"rab"}</definedName>
    <definedName name="hengq_3" localSheetId="8" hidden="1">{#N/A,#N/A,FALSE,"REK";#N/A,#N/A,FALSE,"rab"}</definedName>
    <definedName name="hengq_3" localSheetId="12" hidden="1">{#N/A,#N/A,FALSE,"REK";#N/A,#N/A,FALSE,"rab"}</definedName>
    <definedName name="hengq_3" hidden="1">{#N/A,#N/A,FALSE,"REK";#N/A,#N/A,FALSE,"rab"}</definedName>
    <definedName name="hengq_4" localSheetId="15" hidden="1">{#N/A,#N/A,FALSE,"REK";#N/A,#N/A,FALSE,"rab"}</definedName>
    <definedName name="hengq_4" localSheetId="9" hidden="1">{#N/A,#N/A,FALSE,"REK";#N/A,#N/A,FALSE,"rab"}</definedName>
    <definedName name="hengq_4" localSheetId="0" hidden="1">{#N/A,#N/A,FALSE,"REK";#N/A,#N/A,FALSE,"rab"}</definedName>
    <definedName name="hengq_4" localSheetId="7" hidden="1">{#N/A,#N/A,FALSE,"REK";#N/A,#N/A,FALSE,"rab"}</definedName>
    <definedName name="hengq_4" localSheetId="13" hidden="1">{#N/A,#N/A,FALSE,"REK";#N/A,#N/A,FALSE,"rab"}</definedName>
    <definedName name="hengq_4" localSheetId="8" hidden="1">{#N/A,#N/A,FALSE,"REK";#N/A,#N/A,FALSE,"rab"}</definedName>
    <definedName name="hengq_4" localSheetId="12" hidden="1">{#N/A,#N/A,FALSE,"REK";#N/A,#N/A,FALSE,"rab"}</definedName>
    <definedName name="hengq_4" hidden="1">{#N/A,#N/A,FALSE,"REK";#N/A,#N/A,FALSE,"rab"}</definedName>
    <definedName name="hengq_5" localSheetId="15" hidden="1">{#N/A,#N/A,FALSE,"REK";#N/A,#N/A,FALSE,"rab"}</definedName>
    <definedName name="hengq_5" localSheetId="9" hidden="1">{#N/A,#N/A,FALSE,"REK";#N/A,#N/A,FALSE,"rab"}</definedName>
    <definedName name="hengq_5" localSheetId="0" hidden="1">{#N/A,#N/A,FALSE,"REK";#N/A,#N/A,FALSE,"rab"}</definedName>
    <definedName name="hengq_5" localSheetId="7" hidden="1">{#N/A,#N/A,FALSE,"REK";#N/A,#N/A,FALSE,"rab"}</definedName>
    <definedName name="hengq_5" localSheetId="13" hidden="1">{#N/A,#N/A,FALSE,"REK";#N/A,#N/A,FALSE,"rab"}</definedName>
    <definedName name="hengq_5" localSheetId="8" hidden="1">{#N/A,#N/A,FALSE,"REK";#N/A,#N/A,FALSE,"rab"}</definedName>
    <definedName name="hengq_5" localSheetId="12" hidden="1">{#N/A,#N/A,FALSE,"REK";#N/A,#N/A,FALSE,"rab"}</definedName>
    <definedName name="hengq_5" hidden="1">{#N/A,#N/A,FALSE,"REK";#N/A,#N/A,FALSE,"rab"}</definedName>
    <definedName name="hERO">[93]Pipe!$A$12:$I$34</definedName>
    <definedName name="hERO___0">[94]Pipe!$A$12:$I$34</definedName>
    <definedName name="hERO___1">[94]Pipe!$A$12:$I$34</definedName>
    <definedName name="hERO___2">[94]Pipe!$A$12:$I$34</definedName>
    <definedName name="hERO___3">[94]Pipe!$A$12:$I$34</definedName>
    <definedName name="hERO_aNADUCT">[93]Pipe!$A$1:$IV$10</definedName>
    <definedName name="hERO_aNADUCT___0">[94]Pipe!$A$1:$IV$10</definedName>
    <definedName name="hERO_aNADUCT___1">[94]Pipe!$A$1:$IV$10</definedName>
    <definedName name="hERO_aNADUCT___2">[94]Pipe!$A$1:$IV$10</definedName>
    <definedName name="hERO_aNADUCT___3">[94]Pipe!$A$1:$IV$10</definedName>
    <definedName name="HiddenRows" localSheetId="9" hidden="1">#REF!</definedName>
    <definedName name="HiddenRows" localSheetId="0" hidden="1">#REF!</definedName>
    <definedName name="HiddenRows" localSheetId="7" hidden="1">#REF!</definedName>
    <definedName name="HiddenRows" localSheetId="13" hidden="1">#REF!</definedName>
    <definedName name="HiddenRows" localSheetId="8" hidden="1">#REF!</definedName>
    <definedName name="HiddenRows" localSheetId="12" hidden="1">#REF!</definedName>
    <definedName name="HiddenRows" hidden="1">#REF!</definedName>
    <definedName name="HOTEL" localSheetId="15">HAJIME:OWARI</definedName>
    <definedName name="HOTEL" localSheetId="9">[15]!HAJIME:[15]!OWARI</definedName>
    <definedName name="HOTEL" localSheetId="0">[0]!HAJIME:[0]!OWARI</definedName>
    <definedName name="HOTEL" localSheetId="6">HAJIME:OWARI</definedName>
    <definedName name="HOTEL" localSheetId="7">HAJIME:OWARI</definedName>
    <definedName name="HOTEL" localSheetId="13">HAJIME:OWARI</definedName>
    <definedName name="HOTEL" localSheetId="8">HAJIME:OWARI</definedName>
    <definedName name="HOTEL" localSheetId="12">[0]!HAJIME:[0]!OWARI</definedName>
    <definedName name="HOTEL">HAJIME:OWARI</definedName>
    <definedName name="HOTEL___0">NA()</definedName>
    <definedName name="HOTEL___2">NA()</definedName>
    <definedName name="HQ" localSheetId="15" hidden="1">{#N/A,#N/A,FALSE,"REK";#N/A,#N/A,FALSE,"rab"}</definedName>
    <definedName name="HQ" localSheetId="9" hidden="1">{#N/A,#N/A,FALSE,"REK";#N/A,#N/A,FALSE,"rab"}</definedName>
    <definedName name="HQ" localSheetId="0" hidden="1">{#N/A,#N/A,FALSE,"REK";#N/A,#N/A,FALSE,"rab"}</definedName>
    <definedName name="HQ" localSheetId="7" hidden="1">{#N/A,#N/A,FALSE,"REK";#N/A,#N/A,FALSE,"rab"}</definedName>
    <definedName name="HQ" localSheetId="13" hidden="1">{#N/A,#N/A,FALSE,"REK";#N/A,#N/A,FALSE,"rab"}</definedName>
    <definedName name="HQ" localSheetId="8" hidden="1">{#N/A,#N/A,FALSE,"REK";#N/A,#N/A,FALSE,"rab"}</definedName>
    <definedName name="HQ" localSheetId="12" hidden="1">{#N/A,#N/A,FALSE,"REK";#N/A,#N/A,FALSE,"rab"}</definedName>
    <definedName name="HQ" hidden="1">{#N/A,#N/A,FALSE,"REK";#N/A,#N/A,FALSE,"rab"}</definedName>
    <definedName name="HQ_2" localSheetId="15" hidden="1">{#N/A,#N/A,FALSE,"REK";#N/A,#N/A,FALSE,"rab"}</definedName>
    <definedName name="HQ_2" localSheetId="9" hidden="1">{#N/A,#N/A,FALSE,"REK";#N/A,#N/A,FALSE,"rab"}</definedName>
    <definedName name="HQ_2" localSheetId="0" hidden="1">{#N/A,#N/A,FALSE,"REK";#N/A,#N/A,FALSE,"rab"}</definedName>
    <definedName name="HQ_2" localSheetId="7" hidden="1">{#N/A,#N/A,FALSE,"REK";#N/A,#N/A,FALSE,"rab"}</definedName>
    <definedName name="HQ_2" localSheetId="13" hidden="1">{#N/A,#N/A,FALSE,"REK";#N/A,#N/A,FALSE,"rab"}</definedName>
    <definedName name="HQ_2" localSheetId="8" hidden="1">{#N/A,#N/A,FALSE,"REK";#N/A,#N/A,FALSE,"rab"}</definedName>
    <definedName name="HQ_2" localSheetId="12" hidden="1">{#N/A,#N/A,FALSE,"REK";#N/A,#N/A,FALSE,"rab"}</definedName>
    <definedName name="HQ_2" hidden="1">{#N/A,#N/A,FALSE,"REK";#N/A,#N/A,FALSE,"rab"}</definedName>
    <definedName name="HQ_3" localSheetId="15" hidden="1">{#N/A,#N/A,FALSE,"REK";#N/A,#N/A,FALSE,"rab"}</definedName>
    <definedName name="HQ_3" localSheetId="9" hidden="1">{#N/A,#N/A,FALSE,"REK";#N/A,#N/A,FALSE,"rab"}</definedName>
    <definedName name="HQ_3" localSheetId="0" hidden="1">{#N/A,#N/A,FALSE,"REK";#N/A,#N/A,FALSE,"rab"}</definedName>
    <definedName name="HQ_3" localSheetId="7" hidden="1">{#N/A,#N/A,FALSE,"REK";#N/A,#N/A,FALSE,"rab"}</definedName>
    <definedName name="HQ_3" localSheetId="13" hidden="1">{#N/A,#N/A,FALSE,"REK";#N/A,#N/A,FALSE,"rab"}</definedName>
    <definedName name="HQ_3" localSheetId="8" hidden="1">{#N/A,#N/A,FALSE,"REK";#N/A,#N/A,FALSE,"rab"}</definedName>
    <definedName name="HQ_3" localSheetId="12" hidden="1">{#N/A,#N/A,FALSE,"REK";#N/A,#N/A,FALSE,"rab"}</definedName>
    <definedName name="HQ_3" hidden="1">{#N/A,#N/A,FALSE,"REK";#N/A,#N/A,FALSE,"rab"}</definedName>
    <definedName name="HQ_4" localSheetId="15" hidden="1">{#N/A,#N/A,FALSE,"REK";#N/A,#N/A,FALSE,"rab"}</definedName>
    <definedName name="HQ_4" localSheetId="9" hidden="1">{#N/A,#N/A,FALSE,"REK";#N/A,#N/A,FALSE,"rab"}</definedName>
    <definedName name="HQ_4" localSheetId="0" hidden="1">{#N/A,#N/A,FALSE,"REK";#N/A,#N/A,FALSE,"rab"}</definedName>
    <definedName name="HQ_4" localSheetId="7" hidden="1">{#N/A,#N/A,FALSE,"REK";#N/A,#N/A,FALSE,"rab"}</definedName>
    <definedName name="HQ_4" localSheetId="13" hidden="1">{#N/A,#N/A,FALSE,"REK";#N/A,#N/A,FALSE,"rab"}</definedName>
    <definedName name="HQ_4" localSheetId="8" hidden="1">{#N/A,#N/A,FALSE,"REK";#N/A,#N/A,FALSE,"rab"}</definedName>
    <definedName name="HQ_4" localSheetId="12" hidden="1">{#N/A,#N/A,FALSE,"REK";#N/A,#N/A,FALSE,"rab"}</definedName>
    <definedName name="HQ_4" hidden="1">{#N/A,#N/A,FALSE,"REK";#N/A,#N/A,FALSE,"rab"}</definedName>
    <definedName name="HQ_5" localSheetId="15" hidden="1">{#N/A,#N/A,FALSE,"REK";#N/A,#N/A,FALSE,"rab"}</definedName>
    <definedName name="HQ_5" localSheetId="9" hidden="1">{#N/A,#N/A,FALSE,"REK";#N/A,#N/A,FALSE,"rab"}</definedName>
    <definedName name="HQ_5" localSheetId="0" hidden="1">{#N/A,#N/A,FALSE,"REK";#N/A,#N/A,FALSE,"rab"}</definedName>
    <definedName name="HQ_5" localSheetId="7" hidden="1">{#N/A,#N/A,FALSE,"REK";#N/A,#N/A,FALSE,"rab"}</definedName>
    <definedName name="HQ_5" localSheetId="13" hidden="1">{#N/A,#N/A,FALSE,"REK";#N/A,#N/A,FALSE,"rab"}</definedName>
    <definedName name="HQ_5" localSheetId="8" hidden="1">{#N/A,#N/A,FALSE,"REK";#N/A,#N/A,FALSE,"rab"}</definedName>
    <definedName name="HQ_5" localSheetId="12" hidden="1">{#N/A,#N/A,FALSE,"REK";#N/A,#N/A,FALSE,"rab"}</definedName>
    <definedName name="HQ_5" hidden="1">{#N/A,#N/A,FALSE,"REK";#N/A,#N/A,FALSE,"rab"}</definedName>
    <definedName name="h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[95]Du_lieu!$C$6</definedName>
    <definedName name="hsp">[8]Ahs.1!$J$1189</definedName>
    <definedName name="ht_4040">[86]harsat!$H$48</definedName>
    <definedName name="HTML_Description" hidden="1">""</definedName>
    <definedName name="HTML_LineAfter" hidden="1">FALSE</definedName>
    <definedName name="HTML_LineBefore" hidden="1">FALSE</definedName>
    <definedName name="HTML_OBDlg2" hidden="1">TRUE</definedName>
    <definedName name="HTML_OBDlg4" hidden="1">TRUE</definedName>
    <definedName name="HTML_OS" hidden="1">0</definedName>
    <definedName name="I">NA()</definedName>
    <definedName name="ilm">[8]Ahs.1!$L$1271</definedName>
    <definedName name="IMA" localSheetId="9">'Pas. Dinding'!IMA</definedName>
    <definedName name="IMA" localSheetId="12">'TABEL BAJA'!IMA</definedName>
    <definedName name="IMA">[16]!IMA</definedName>
    <definedName name="infrastruktur">'[66]INFR STR'!$N$19</definedName>
    <definedName name="injin">[8]Ahs.2!$L$625</definedName>
    <definedName name="insbs">[8]Ahs.2!$L$519</definedName>
    <definedName name="inscs">[8]Ahs.2!$L$495</definedName>
    <definedName name="insdet">[8]Ahs.2!$L$554</definedName>
    <definedName name="int1b">[86]harsat!$K$2</definedName>
    <definedName name="int2a">[86]harsat!$J$3</definedName>
    <definedName name="int2b">[86]harsat!$K$3</definedName>
    <definedName name="J.A.16">[35]ANALISA!$AR$72</definedName>
    <definedName name="J.A.6">[35]ANALISA!$AG$36</definedName>
    <definedName name="J.A.BINTANG">[35]ANALISA!$AR$36</definedName>
    <definedName name="J.BORROWAREA">[35]ANALISA!$BC$36</definedName>
    <definedName name="J.P.URUG">[35]harsat!$D$14</definedName>
    <definedName name="J.RUMPUT">[35]ANALISA!$BN$36</definedName>
    <definedName name="J.SIAR">[35]ANALISA!$CU$72</definedName>
    <definedName name="J.T.URUG">[35]harsat!$D$13</definedName>
    <definedName name="jangan" localSheetId="9" hidden="1">[84]H.Satuan!#REF!</definedName>
    <definedName name="jangan" localSheetId="0" hidden="1">[84]H.Satuan!#REF!</definedName>
    <definedName name="jangan" localSheetId="7" hidden="1">[84]H.Satuan!#REF!</definedName>
    <definedName name="jangan" localSheetId="13" hidden="1">[84]H.Satuan!#REF!</definedName>
    <definedName name="jangan" localSheetId="8" hidden="1">[84]H.Satuan!#REF!</definedName>
    <definedName name="jangan" localSheetId="12" hidden="1">[84]H.Satuan!#REF!</definedName>
    <definedName name="jangan" hidden="1">[84]H.Satuan!#REF!</definedName>
    <definedName name="janitor">[60]Rekap!$H$49</definedName>
    <definedName name="JendBV1">'[40]Analisa Harga Satuan'!$G$2448</definedName>
    <definedName name="JendBV2">'[40]Analisa Harga Satuan'!$G$2456</definedName>
    <definedName name="JT">[37]FAKTOR!$C$27</definedName>
    <definedName name="JUM">'[33]Rek-Tot'!$H$19</definedName>
    <definedName name="k_35">[96]HSATUAN!$H$23</definedName>
    <definedName name="KABEL___2">[97]price!$B$385:$Q$680</definedName>
    <definedName name="KABEL___3">[97]price!$B$385:$Q$680</definedName>
    <definedName name="kamper">[22]harga!$F$109</definedName>
    <definedName name="kamper___1">[42]harsat!$H$19</definedName>
    <definedName name="kamper___2">[42]harsat!$H$19</definedName>
    <definedName name="Kape_Kayu">[31]BAHAN!$C$62</definedName>
    <definedName name="Kape_Tembok">[31]BAHAN!$C$61</definedName>
    <definedName name="kapur_gamp">'[32]Daf-Harga'!$H$73</definedName>
    <definedName name="KASBUN" localSheetId="15">{"Book1","RAB PASAR 30 AUG SCRAB.xls"}</definedName>
    <definedName name="KASBUN" localSheetId="9">{"Book1","RAB PASAR 30 AUG SCRAB.xls"}</definedName>
    <definedName name="KASBUN" localSheetId="0">{"Book1","RAB PASAR 30 AUG SCRAB.xls"}</definedName>
    <definedName name="KASBUN" localSheetId="7">{"Book1","RAB PASAR 30 AUG SCRAB.xls"}</definedName>
    <definedName name="KASBUN" localSheetId="13">{"Book1","RAB PASAR 30 AUG SCRAB.xls"}</definedName>
    <definedName name="KASBUN" localSheetId="8">{"Book1","RAB PASAR 30 AUG SCRAB.xls"}</definedName>
    <definedName name="KASBUN" localSheetId="12">{"Book1","RAB PASAR 30 AUG SCRAB.xls"}</definedName>
    <definedName name="KASBUN">{"Book1","RAB PASAR 30 AUG SCRAB.xls"}</definedName>
    <definedName name="KASBUN_2" localSheetId="15">{"Book1","RAB PASAR 30 AUG SCRAB.xls"}</definedName>
    <definedName name="KASBUN_2" localSheetId="9">{"Book1","RAB PASAR 30 AUG SCRAB.xls"}</definedName>
    <definedName name="KASBUN_2" localSheetId="0">{"Book1","RAB PASAR 30 AUG SCRAB.xls"}</definedName>
    <definedName name="KASBUN_2" localSheetId="7">{"Book1","RAB PASAR 30 AUG SCRAB.xls"}</definedName>
    <definedName name="KASBUN_2" localSheetId="13">{"Book1","RAB PASAR 30 AUG SCRAB.xls"}</definedName>
    <definedName name="KASBUN_2" localSheetId="8">{"Book1","RAB PASAR 30 AUG SCRAB.xls"}</definedName>
    <definedName name="KASBUN_2" localSheetId="12">{"Book1","RAB PASAR 30 AUG SCRAB.xls"}</definedName>
    <definedName name="KASBUN_2">{"Book1","RAB PASAR 30 AUG SCRAB.xls"}</definedName>
    <definedName name="KASBUN_4" localSheetId="15">{"Book1","RAB PASAR 30 AUG SCRAB.xls"}</definedName>
    <definedName name="KASBUN_4" localSheetId="9">{"Book1","RAB PASAR 30 AUG SCRAB.xls"}</definedName>
    <definedName name="KASBUN_4" localSheetId="0">{"Book1","RAB PASAR 30 AUG SCRAB.xls"}</definedName>
    <definedName name="KASBUN_4" localSheetId="7">{"Book1","RAB PASAR 30 AUG SCRAB.xls"}</definedName>
    <definedName name="KASBUN_4" localSheetId="13">{"Book1","RAB PASAR 30 AUG SCRAB.xls"}</definedName>
    <definedName name="KASBUN_4" localSheetId="8">{"Book1","RAB PASAR 30 AUG SCRAB.xls"}</definedName>
    <definedName name="KASBUN_4" localSheetId="12">{"Book1","RAB PASAR 30 AUG SCRAB.xls"}</definedName>
    <definedName name="KASBUN_4">{"Book1","RAB PASAR 30 AUG SCRAB.xls"}</definedName>
    <definedName name="KASBUN_6" localSheetId="15">{"Book1","RAB PASAR 30 AUG SCRAB.xls"}</definedName>
    <definedName name="KASBUN_6" localSheetId="9">{"Book1","RAB PASAR 30 AUG SCRAB.xls"}</definedName>
    <definedName name="KASBUN_6" localSheetId="0">{"Book1","RAB PASAR 30 AUG SCRAB.xls"}</definedName>
    <definedName name="KASBUN_6" localSheetId="7">{"Book1","RAB PASAR 30 AUG SCRAB.xls"}</definedName>
    <definedName name="KASBUN_6" localSheetId="13">{"Book1","RAB PASAR 30 AUG SCRAB.xls"}</definedName>
    <definedName name="KASBUN_6" localSheetId="8">{"Book1","RAB PASAR 30 AUG SCRAB.xls"}</definedName>
    <definedName name="KASBUN_6" localSheetId="12">{"Book1","RAB PASAR 30 AUG SCRAB.xls"}</definedName>
    <definedName name="KASBUN_6">{"Book1","RAB PASAR 30 AUG SCRAB.xls"}</definedName>
    <definedName name="KASBUN_8" localSheetId="15">{"Book1","RAB PASAR 30 AUG SCRAB.xls"}</definedName>
    <definedName name="KASBUN_8" localSheetId="9">{"Book1","RAB PASAR 30 AUG SCRAB.xls"}</definedName>
    <definedName name="KASBUN_8" localSheetId="0">{"Book1","RAB PASAR 30 AUG SCRAB.xls"}</definedName>
    <definedName name="KASBUN_8" localSheetId="7">{"Book1","RAB PASAR 30 AUG SCRAB.xls"}</definedName>
    <definedName name="KASBUN_8" localSheetId="13">{"Book1","RAB PASAR 30 AUG SCRAB.xls"}</definedName>
    <definedName name="KASBUN_8" localSheetId="8">{"Book1","RAB PASAR 30 AUG SCRAB.xls"}</definedName>
    <definedName name="KASBUN_8" localSheetId="12">{"Book1","RAB PASAR 30 AUG SCRAB.xls"}</definedName>
    <definedName name="KASBUN_8">{"Book1","RAB PASAR 30 AUG SCRAB.xls"}</definedName>
    <definedName name="KASBUN_9" localSheetId="15">{"Book1","RAB PASAR 30 AUG SCRAB.xls"}</definedName>
    <definedName name="KASBUN_9" localSheetId="9">{"Book1","RAB PASAR 30 AUG SCRAB.xls"}</definedName>
    <definedName name="KASBUN_9" localSheetId="0">{"Book1","RAB PASAR 30 AUG SCRAB.xls"}</definedName>
    <definedName name="KASBUN_9" localSheetId="7">{"Book1","RAB PASAR 30 AUG SCRAB.xls"}</definedName>
    <definedName name="KASBUN_9" localSheetId="13">{"Book1","RAB PASAR 30 AUG SCRAB.xls"}</definedName>
    <definedName name="KASBUN_9" localSheetId="8">{"Book1","RAB PASAR 30 AUG SCRAB.xls"}</definedName>
    <definedName name="KASBUN_9" localSheetId="12">{"Book1","RAB PASAR 30 AUG SCRAB.xls"}</definedName>
    <definedName name="KASBUN_9">{"Book1","RAB PASAR 30 AUG SCRAB.xls"}</definedName>
    <definedName name="kawat___0">[43]harsat!$H$17</definedName>
    <definedName name="kawat___1">[42]harsat!$H$17</definedName>
    <definedName name="kawat___2">[42]harsat!$H$17</definedName>
    <definedName name="kayu1">[6]Upah!$D$20</definedName>
    <definedName name="kayu2">[6]Upah!$D$21</definedName>
    <definedName name="kayu3">[6]Upah!$D$22</definedName>
    <definedName name="kbdelapan">[22]harga!$F$93</definedName>
    <definedName name="kbduabelas">[22]harga!$F$94</definedName>
    <definedName name="kblima">[22]harga!$F$92</definedName>
    <definedName name="ke_tu_besi">'[32]Daf-Harga'!$H$17</definedName>
    <definedName name="ke_tu_cat">'[32]Daf-Harga'!$H$18</definedName>
    <definedName name="Ke_Tu_Kayu">'[32]Daf-Harga'!$H$15</definedName>
    <definedName name="kelima">[22]harga!$F$95</definedName>
    <definedName name="kep_tuk_bat">'[98]Daf-harga'!$H$18</definedName>
    <definedName name="KEPALA_TUKANG_GALI">'[99]Daftar Upah'!$D$32</definedName>
    <definedName name="keptkbesi">'[34]HB '!$F$200</definedName>
    <definedName name="keptkkayu">'[76]HB '!$F$198</definedName>
    <definedName name="Keramik_10_x_20_KW_I_DN_Corak___Warna___Anti_Slip">[31]BAHAN!$C$102</definedName>
    <definedName name="Keramik_20_x_20__KM__KWI_DN_Putih_Polos">[31]BAHAN!$C$104</definedName>
    <definedName name="Keramik_30_x_30_KW_I_DN_putih_polos_setara_mulia">[31]BAHAN!$C$106</definedName>
    <definedName name="Keramik_30_x_30_KW_I_DN_putih_polos_setara_roman">[31]BAHAN!$C$107</definedName>
    <definedName name="Keramik_30_x_30_KW_I_DN_Warna_Corak___ANTI_SLIP">[31]BAHAN!$C$108</definedName>
    <definedName name="KeramikLantai2020">'[40]Analisa Harga Satuan'!$G$1688</definedName>
    <definedName name="KeramikLantai3030">'[40]Analisa Harga Satuan'!$G$1672</definedName>
    <definedName name="kerddg20___0">[43]harsat!$H$33</definedName>
    <definedName name="kerddg20___1">[42]harsat!$H$33</definedName>
    <definedName name="kerddg20___2">[42]harsat!$H$33</definedName>
    <definedName name="kerlt20">[49]harsat!$H$31</definedName>
    <definedName name="kerlt20___0">[43]harsat!$H$31</definedName>
    <definedName name="kerlt20___1">[42]harsat!$H$31</definedName>
    <definedName name="kerlt20___2">[42]harsat!$H$31</definedName>
    <definedName name="kerlt30">[49]harsat!$H$32</definedName>
    <definedName name="kerlt30___0">[43]harsat!$H$32</definedName>
    <definedName name="kerlt30___1">[42]harsat!$H$32</definedName>
    <definedName name="kerlt30___2">[42]harsat!$H$32</definedName>
    <definedName name="kernet">[57]UPAH!$D$30</definedName>
    <definedName name="KEROSIN">'[30]DAFTAR BAHAN'!$G$37</definedName>
    <definedName name="kertgosok">[100]harga!$E$117</definedName>
    <definedName name="kerwall20">'[5]Sat Bah &amp; Up'!$G$79</definedName>
    <definedName name="ketam">[101]S.UPAH!$I$35</definedName>
    <definedName name="kfhkdt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harmonika">[22]harga!$F$103</definedName>
    <definedName name="kk" localSheetId="9" hidden="1">#REF!</definedName>
    <definedName name="kk" localSheetId="0" hidden="1">#REF!</definedName>
    <definedName name="kk" localSheetId="7" hidden="1">#REF!</definedName>
    <definedName name="kk" localSheetId="13" hidden="1">#REF!</definedName>
    <definedName name="kk" localSheetId="8" hidden="1">#REF!</definedName>
    <definedName name="kk" localSheetId="12" hidden="1">#REF!</definedName>
    <definedName name="kk" hidden="1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loset">'[76]HB '!$F$156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mer">[26]Harsat!$D$26</definedName>
    <definedName name="KOEF___1">[102]Analisa!$L$10</definedName>
    <definedName name="KOEF___2">[102]Analisa!$L$10</definedName>
    <definedName name="KOEF___3">[102]Analisa!$L$10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1___1">[103]Analisa!$AB$17</definedName>
    <definedName name="kof1___2">[103]Analisa!$AB$17</definedName>
    <definedName name="kof1___3">[103]Analisa!$AB$17</definedName>
    <definedName name="KOM">[104]HB!$H$5</definedName>
    <definedName name="kome">'[105]RAB ME'!$L$13</definedName>
    <definedName name="kp___2">[55]DAF_5!$I$212</definedName>
    <definedName name="KranShower">'[40]Analisa Harga Satuan'!$G$1780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BP">'[106]Harsat Upah'!$E$28</definedName>
    <definedName name="KULIM">[101]S.BAHAN!$J$24</definedName>
    <definedName name="Kumpon">[31]BAHAN!$C$79</definedName>
    <definedName name="KusenPA2">'[40]Analisa Harga Satuan'!$G$2345</definedName>
    <definedName name="KusenPA3">'[40]Analisa Harga Satuan'!$G$2358</definedName>
    <definedName name="KusenPA4">'[40]Analisa Harga Satuan'!$G$2370</definedName>
    <definedName name="KusenPA5">'[40]Analisa Harga Satuan'!$G$2382</definedName>
    <definedName name="KusenPA6">'[40]Analisa Harga Satuan'!$G$2394</definedName>
    <definedName name="KusenPA7">'[40]Analisa Harga Satuan'!$G$2406</definedName>
    <definedName name="KusenPB1Besi">'[40]Analisa Harga Satuan'!$G$2321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'[107]HARGA SATUAN'!$G$22</definedName>
    <definedName name="KYBEK">'[21]Sat-Rap'!$F$45</definedName>
    <definedName name="L" localSheetId="9" hidden="1">[108]ESCON!#REF!</definedName>
    <definedName name="L" localSheetId="0" hidden="1">[108]ESCON!#REF!</definedName>
    <definedName name="L" localSheetId="7" hidden="1">[108]ESCON!#REF!</definedName>
    <definedName name="L" localSheetId="13" hidden="1">[108]ESCON!#REF!</definedName>
    <definedName name="L" localSheetId="8" hidden="1">[108]ESCON!#REF!</definedName>
    <definedName name="L" localSheetId="12" hidden="1">[108]ESCON!#REF!</definedName>
    <definedName name="L" hidden="1">[108]ESCON!#REF!</definedName>
    <definedName name="L.02">'[30]Daftar Upah'!$G$14</definedName>
    <definedName name="L.03">'[30]Daftar Upah'!$G$16</definedName>
    <definedName name="lavatory521">[60]Rekap!$H$51</definedName>
    <definedName name="lavatory830">[60]Rekap!$H$48</definedName>
    <definedName name="LDBJ">[109]Duct!$U$2</definedName>
    <definedName name="LDBJIL">[109]Duct!$U$3</definedName>
    <definedName name="LDBJILD">[109]Duct!$U$5</definedName>
    <definedName name="ldj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[109]Duct!$U$1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tt" localSheetId="9" hidden="1">#REF!</definedName>
    <definedName name="Lett" localSheetId="0" hidden="1">#REF!</definedName>
    <definedName name="Lett" localSheetId="7" hidden="1">#REF!</definedName>
    <definedName name="Lett" localSheetId="13" hidden="1">#REF!</definedName>
    <definedName name="Lett" localSheetId="8" hidden="1">#REF!</definedName>
    <definedName name="Lett" localSheetId="12" hidden="1">#REF!</definedName>
    <definedName name="Lett" hidden="1">#REF!</definedName>
    <definedName name="LFD">[109]Duct!$U$63</definedName>
    <definedName name="LFDI">[109]Duct!$U$64</definedName>
    <definedName name="Lisa" localSheetId="15" hidden="1">{#N/A,#N/A,FALSE,"REK-S-TPL";#N/A,#N/A,FALSE,"REK-TPML";#N/A,#N/A,FALSE,"RAB-TEMPEL"}</definedName>
    <definedName name="Lisa" localSheetId="9" hidden="1">{#N/A,#N/A,FALSE,"REK-S-TPL";#N/A,#N/A,FALSE,"REK-TPML";#N/A,#N/A,FALSE,"RAB-TEMPEL"}</definedName>
    <definedName name="Lisa" localSheetId="0" hidden="1">{#N/A,#N/A,FALSE,"REK-S-TPL";#N/A,#N/A,FALSE,"REK-TPML";#N/A,#N/A,FALSE,"RAB-TEMPEL"}</definedName>
    <definedName name="Lisa" localSheetId="7" hidden="1">{#N/A,#N/A,FALSE,"REK-S-TPL";#N/A,#N/A,FALSE,"REK-TPML";#N/A,#N/A,FALSE,"RAB-TEMPEL"}</definedName>
    <definedName name="Lisa" localSheetId="13" hidden="1">{#N/A,#N/A,FALSE,"REK-S-TPL";#N/A,#N/A,FALSE,"REK-TPML";#N/A,#N/A,FALSE,"RAB-TEMPEL"}</definedName>
    <definedName name="Lisa" localSheetId="8" hidden="1">{#N/A,#N/A,FALSE,"REK-S-TPL";#N/A,#N/A,FALSE,"REK-TPML";#N/A,#N/A,FALSE,"RAB-TEMPEL"}</definedName>
    <definedName name="Lisa" localSheetId="12" hidden="1">{#N/A,#N/A,FALSE,"REK-S-TPL";#N/A,#N/A,FALSE,"REK-TPML";#N/A,#N/A,FALSE,"RAB-TEMPEL"}</definedName>
    <definedName name="Lisa" hidden="1">{#N/A,#N/A,FALSE,"REK-S-TPL";#N/A,#N/A,FALSE,"REK-TPML";#N/A,#N/A,FALSE,"RAB-TEMPEL"}</definedName>
    <definedName name="liskrm">[22]harga!$F$130</definedName>
    <definedName name="list_profil_gypsum">[110]BAHAN!$D$153</definedName>
    <definedName name="list1533">[1]harsat!$H$21</definedName>
    <definedName name="list16.533">[1]harsat!$H$22</definedName>
    <definedName name="List5cm">'[40]Analisa Harga Satuan'!$G$2522</definedName>
    <definedName name="listgypsum">'[76]HB '!$F$13</definedName>
    <definedName name="Listplank330">'[40]Analisa Harga Satuan'!$G$2576</definedName>
    <definedName name="LLAG">[109]Duct!$U$83</definedName>
    <definedName name="llfoeo" localSheetId="9" hidden="1">[80]H.Satuan!#REF!</definedName>
    <definedName name="llfoeo" localSheetId="0" hidden="1">[80]H.Satuan!#REF!</definedName>
    <definedName name="llfoeo" localSheetId="13" hidden="1">[80]H.Satuan!#REF!</definedName>
    <definedName name="llfoeo" localSheetId="12" hidden="1">[80]H.Satuan!#REF!</definedName>
    <definedName name="llfoeo" hidden="1">[80]H.Satuan!#REF!</definedName>
    <definedName name="lmpp" hidden="1">'[111]HARGA MATERIAL'!$H$32:$Y$35</definedName>
    <definedName name="Lp___2">[59]Anls!$E$23</definedName>
    <definedName name="Lp___3">[59]Anls!$E$23</definedName>
    <definedName name="LPBS">[109]Chiller!$R$8</definedName>
    <definedName name="LPBSI">[109]Chiller!$R$9</definedName>
    <definedName name="LPBSIJ">[109]Chiller!$R$10</definedName>
    <definedName name="LPPR">[109]Chiller!$R$183</definedName>
    <definedName name="LV">[109]Chiller!$R$210</definedName>
    <definedName name="LVI">[109]Chiller!$R$211</definedName>
    <definedName name="LVIJ">[109]Chiller!$R$212</definedName>
    <definedName name="M.020">[112]BAHAN!$F$13</definedName>
    <definedName name="M.022">[112]BAHAN!$F$19</definedName>
    <definedName name="M.023">[113]BAHAN!$F$20</definedName>
    <definedName name="M.024">[113]BAHAN!$F$21</definedName>
    <definedName name="M.025">[113]BAHAN!$F$22</definedName>
    <definedName name="M.026">[113]BAHAN!$F$23</definedName>
    <definedName name="M.040">[113]BAHAN!$F$29</definedName>
    <definedName name="M.041">[112]BAHAN!$F$30</definedName>
    <definedName name="M.042">[112]BAHAN!$F$31</definedName>
    <definedName name="M.061">[112]BAHAN!$F$33</definedName>
    <definedName name="M.061A">[112]BAHAN!$F$34</definedName>
    <definedName name="M.065">[112]BAHAN!$F$38</definedName>
    <definedName name="M.080">[112]BAHAN!$F$42</definedName>
    <definedName name="M.081">[112]BAHAN!$F$43</definedName>
    <definedName name="M.166">[112]BAHAN!$F$50</definedName>
    <definedName name="M.167">[112]BAHAN!$F$51</definedName>
    <definedName name="M.170">[113]BAHAN!$F$53</definedName>
    <definedName name="M.180">[112]BAHAN!$F$54</definedName>
    <definedName name="M.183">[112]BAHAN!$F$57</definedName>
    <definedName name="M.185">[112]BAHAN!$F$59</definedName>
    <definedName name="M.188">[112]BAHAN!$F$62</definedName>
    <definedName name="M.E">'[114]OH-10BLN'!$M$33</definedName>
    <definedName name="M___0">[115]Koefisien!$J$8</definedName>
    <definedName name="m_6060">[116]harsat!$H$47</definedName>
    <definedName name="M_RP___0">'[117]Rekap Direct Cost'!$G$12:$G$322</definedName>
    <definedName name="M_RP___1">'[118]Rekap Direct Cost'!$G$12:$G$408</definedName>
    <definedName name="M_RP___2">'[118]Rekap Direct Cost'!$G$12:$G$408</definedName>
    <definedName name="M_US___1">'[118]Rekap Direct Cost'!$F$12:$F$408</definedName>
    <definedName name="M_US___2">'[118]Rekap Direct Cost'!$F$12:$F$408</definedName>
    <definedName name="MA" localSheetId="9">'Pas. Dinding'!MA</definedName>
    <definedName name="MA" localSheetId="12">'TABEL BAJA'!MA</definedName>
    <definedName name="MA">[16]!MA</definedName>
    <definedName name="ma3.240">[8]Ahs.1!$L$1163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up_STR">[119]REKAP!$K$42</definedName>
    <definedName name="markupSTR">[113]REKAP!$K$42</definedName>
    <definedName name="mbm">[86]harsat!$H$30</definedName>
    <definedName name="mbr">[120]Material!$J$8</definedName>
    <definedName name="mdfts">[8]Ahs.1!$I$1202</definedName>
    <definedName name="Meni_kayu__Besi">[31]BAHAN!$C$86</definedName>
    <definedName name="menib">'[5]Sat Bah &amp; Up'!$G$67</definedName>
    <definedName name="menikayu">[22]harga!$F$176</definedName>
    <definedName name="minyakcat">[100]harga!$E$162</definedName>
    <definedName name="mk">[121]Harsat!$F$62</definedName>
    <definedName name="ml">[122]Material!$J$5</definedName>
    <definedName name="m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p">[86]harsat!$H$35</definedName>
    <definedName name="mplek12">[22]harga!$F$181</definedName>
    <definedName name="mplek9">[22]harga!$F$180</definedName>
    <definedName name="Mpres">"mt"</definedName>
    <definedName name="mra">[86]harsat!$H$71</definedName>
    <definedName name="mrev3">[123]Hargamat!$L$16</definedName>
    <definedName name="mrp">[86]harsat!$H$38</definedName>
    <definedName name="mstr">[124]Material!$J$5</definedName>
    <definedName name="mu___1">[125]harsat!$K$1</definedName>
    <definedName name="mu___2">[125]harsat!$K$1</definedName>
    <definedName name="mult9">'[5]Sat Bah &amp; Up'!$G$45</definedName>
    <definedName name="multi_15">[96]HSATUAN!$H$46</definedName>
    <definedName name="multi_4">[126]harsat!$H$15</definedName>
    <definedName name="multi12">'[21]Sat-Rap'!$F$46</definedName>
    <definedName name="multi15">[49]harsat!$H$30</definedName>
    <definedName name="multi15___0">[43]harsat!$H$30</definedName>
    <definedName name="multi15___1">[42]harsat!$H$30</definedName>
    <definedName name="multi15___2">[42]harsat!$H$30</definedName>
    <definedName name="n">[127]REKAP!$S$13</definedName>
    <definedName name="namabawah">[60]Rekap!$H$142</definedName>
    <definedName name="NH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RSE_CALL">[97]price!$B$322:$Q$332</definedName>
    <definedName name="Nusagolfres" localSheetId="9">'Pas. Dinding'!Nusagolfres</definedName>
    <definedName name="Nusagolfres" localSheetId="12">'TABEL BAJA'!Nusagolfres</definedName>
    <definedName name="Nusagolfres">[16]!Nusagolfres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'[128]ANALISA PEK.UMUM'!$F$2317</definedName>
    <definedName name="OFFI" localSheetId="15">HAJIME:OWARI</definedName>
    <definedName name="OFFI" localSheetId="9">[15]!HAJIME:[15]!OWARI</definedName>
    <definedName name="OFFI" localSheetId="0">[0]!HAJIME:[0]!OWARI</definedName>
    <definedName name="OFFI" localSheetId="6">HAJIME:OWARI</definedName>
    <definedName name="OFFI" localSheetId="7">HAJIME:OWARI</definedName>
    <definedName name="OFFI" localSheetId="13">HAJIME:OWARI</definedName>
    <definedName name="OFFI" localSheetId="8">HAJIME:OWARI</definedName>
    <definedName name="OFFI" localSheetId="12">[0]!HAJIME:[0]!OWARI</definedName>
    <definedName name="OFFI">HAJIME:OWARI</definedName>
    <definedName name="OFFI___0">NA()</definedName>
    <definedName name="OFFI___2">NA()</definedName>
    <definedName name="OFFICE" localSheetId="4">STOP2:STOP2E</definedName>
    <definedName name="OFFICE" localSheetId="15">STOP2:STOP2E</definedName>
    <definedName name="OFFICE" localSheetId="9">STOP2:STOP2E</definedName>
    <definedName name="OFFICE" localSheetId="0">STOP2:STOP2E</definedName>
    <definedName name="OFFICE" localSheetId="6">STOP2:STOP2E</definedName>
    <definedName name="OFFICE" localSheetId="7">STOP2:STOP2E</definedName>
    <definedName name="OFFICE" localSheetId="13">STOP2:STOP2E</definedName>
    <definedName name="OFFICE" localSheetId="5">STOP2:STOP2E</definedName>
    <definedName name="OFFICE" localSheetId="8">STOP2:STOP2E</definedName>
    <definedName name="OFFICE" localSheetId="12">STOP2:STOP2E</definedName>
    <definedName name="OFFICE">STOP2:STOP2E</definedName>
    <definedName name="OFFICE___0">NA()</definedName>
    <definedName name="OFFICE___2">NA()</definedName>
    <definedName name="OFFICE_TW1" localSheetId="4">STOP:STOPE</definedName>
    <definedName name="OFFICE_TW1" localSheetId="15">STOP:STOPE</definedName>
    <definedName name="OFFICE_TW1" localSheetId="9">STOP:STOPE</definedName>
    <definedName name="OFFICE_TW1" localSheetId="0">STOP:STOPE</definedName>
    <definedName name="OFFICE_TW1" localSheetId="6">STOP:STOPE</definedName>
    <definedName name="OFFICE_TW1" localSheetId="7">STOP:STOPE</definedName>
    <definedName name="OFFICE_TW1" localSheetId="13">STOP:STOPE</definedName>
    <definedName name="OFFICE_TW1" localSheetId="5">STOP:STOPE</definedName>
    <definedName name="OFFICE_TW1" localSheetId="8">STOP:STOPE</definedName>
    <definedName name="OFFICE_TW1" localSheetId="12">STOP:STOPE</definedName>
    <definedName name="OFFICE_TW1">STOP:STOPE</definedName>
    <definedName name="OFFICE_TW1___0">NA()</definedName>
    <definedName name="OFFICE_TW1___2">NA()</definedName>
    <definedName name="oke" hidden="1">'[129]HARGA MATERIAL'!$G$27:$X$33</definedName>
    <definedName name="Oker">[31]BAHAN!$C$68</definedName>
    <definedName name="Oker_Putih">[31]BAHAN!$C$69</definedName>
    <definedName name="OLF" hidden="1">'[130]HARGA MATERIAL'!$A$11:$A$208</definedName>
    <definedName name="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[31]DATA!$G$15</definedName>
    <definedName name="op">[121]Harsat!$F$63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or_terlatih">[31]UPAH!$D$26</definedName>
    <definedName name="OrderTable" localSheetId="9" hidden="1">#REF!</definedName>
    <definedName name="OrderTable" localSheetId="0" hidden="1">#REF!</definedName>
    <definedName name="OrderTable" localSheetId="7" hidden="1">#REF!</definedName>
    <definedName name="OrderTable" localSheetId="13" hidden="1">#REF!</definedName>
    <definedName name="OrderTable" localSheetId="8" hidden="1">#REF!</definedName>
    <definedName name="OrderTable" localSheetId="12" hidden="1">#REF!</definedName>
    <definedName name="OrderTable" hidden="1">#REF!</definedName>
    <definedName name="OWARI">#REF!</definedName>
    <definedName name="p.mak">[36]Analisa!$F$17</definedName>
    <definedName name="p.pnetra">[36]Analisa!$F$24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dat">[41]S.UPAH!$J$25</definedName>
    <definedName name="pagarkeliling">'[66]PAGAR KLLG'!$N$23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K">[37]FAKTOR!$C$26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_1_cm_s_d_3_cm">[31]BAHAN!$C$120</definedName>
    <definedName name="Paku_4_cm_s_d_7_cm">[31]BAHAN!$C$121</definedName>
    <definedName name="Paku_5___7">[31]BAHAN!$C$122</definedName>
    <definedName name="PAKU_5__7">[31]BAHAN!$C$122</definedName>
    <definedName name="Paku_5_7__10__12">'[99]Daftar Harga'!$G$209</definedName>
    <definedName name="Paku_8___12">[31]BAHAN!$C$123</definedName>
    <definedName name="Paku_8___12_cm">[31]BAHAN!$C$123</definedName>
    <definedName name="Paku_Beton_2_cm_s_d_5_cm">[31]BAHAN!$C$125</definedName>
    <definedName name="Paku_Cacing">[31]BAHAN!$C$127</definedName>
    <definedName name="Paku_Kait_Lengkap">[31]BAHAN!$C$126</definedName>
    <definedName name="PANEL___2">[97]price!$B$12:$Q$23</definedName>
    <definedName name="PANEL___3">[97]price!$B$12:$Q$23</definedName>
    <definedName name="papas">'[5]Sat Bah &amp; Up'!$G$32</definedName>
    <definedName name="pas" localSheetId="9">'Pas. Dinding'!pas</definedName>
    <definedName name="pas" localSheetId="12">'TABEL BAJA'!pas</definedName>
    <definedName name="pas">[16]!pas</definedName>
    <definedName name="pas.batukali">'[47]Analisa Harga'!$H$112</definedName>
    <definedName name="pas.batukosong">'[47]Analisa Harga'!$H$97</definedName>
    <definedName name="PASAGANBATU">'[30]PAS. BATU'!$G$43</definedName>
    <definedName name="pasang">[41]S.UPAH!$J$28</definedName>
    <definedName name="pasangbesibaja">'[45]Als Struk'!$I$504</definedName>
    <definedName name="pasangbesiulir">'[45]Als Struk'!$I$148</definedName>
    <definedName name="pasbata15">[131]SEMANAN!$I$290</definedName>
    <definedName name="pasirp___0">[43]harsat!$H$13</definedName>
    <definedName name="pasirp___1">[42]harsat!$H$13</definedName>
    <definedName name="pasirp___2">[42]harsat!$H$13</definedName>
    <definedName name="PASIRPADAT">'[132]Analisa &amp; Upah'!$I$484</definedName>
    <definedName name="pasirpasang">'[50]DAF-BAHAN'!$F$19</definedName>
    <definedName name="paving6">[22]harga!$F$195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ata">[22]upah!$E$12</definedName>
    <definedName name="pbb">[8]Ahs.2!$L$387</definedName>
    <definedName name="pbeg">[26]Harsat!$D$24</definedName>
    <definedName name="pbk___0">[55]DAF_5!$I$204</definedName>
    <definedName name="pbk___1">[55]DAF_5!$I$204</definedName>
    <definedName name="pbk___2">[55]DAF_5!$I$204</definedName>
    <definedName name="pbt_pemudi">'[32]Daf-Harga'!$H$29</definedName>
    <definedName name="pc_40">[133]HDasar!$H$11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or">[26]Harsat!$D$12</definedName>
    <definedName name="pd_40">[133]HDasar!$H$83</definedName>
    <definedName name="pek_tak_ter">'[32]Daf-Harga'!$H$25</definedName>
    <definedName name="pek_ter">'[32]Daf-Harga'!$H$24</definedName>
    <definedName name="PEKE">[134]Upah!$F$33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lapis_Alkali_ICI__Cat_dasar_Beton_Eksterior">[31]BAHAN!$C$56</definedName>
    <definedName name="Pemberesan_Lapangan">[31]DATA!$G$50</definedName>
    <definedName name="pembesian175">'[45]Als Struk'!$I$175</definedName>
    <definedName name="pembesian200">'[45]Als Struk'!$I$177</definedName>
    <definedName name="pembesian225">'[45]Als Struk'!$I$179</definedName>
    <definedName name="pembesian275">'[45]Als Struk'!$I$183</definedName>
    <definedName name="pembesian300">'[45]Als Struk'!$I$185</definedName>
    <definedName name="pembesian375">'[45]Als Struk'!$I$191</definedName>
    <definedName name="Pembulatan">'[117]Rekap Direct Cost'!$C$5</definedName>
    <definedName name="Pembulatan___0">'[117]Rekap Direct Cost'!$C$5</definedName>
    <definedName name="Pembulatan___1">'[118]Rekap Direct Cost'!$C$5</definedName>
    <definedName name="Pembulatan___2">'[118]Rekap Direct Cost'!$C$5</definedName>
    <definedName name="Pembulatan_US">'[117]Rekap Direct Cost'!$C$6</definedName>
    <definedName name="Pembulatan_US___0">'[117]Rekap Direct Cost'!$C$6</definedName>
    <definedName name="Pembulatan_US___1">'[118]Rekap Direct Cost'!$C$6</definedName>
    <definedName name="Pembulatan_US___2">'[118]Rekap Direct Cost'!$C$6</definedName>
    <definedName name="pemudi">'[32]Daf-Harga'!$H$28</definedName>
    <definedName name="PEN">[37]FAKTOR!$C$28</definedName>
    <definedName name="pendapat" localSheetId="9" hidden="1">#REF!</definedName>
    <definedName name="pendapat" localSheetId="0" hidden="1">#REF!</definedName>
    <definedName name="pendapat" localSheetId="7" hidden="1">#REF!</definedName>
    <definedName name="pendapat" localSheetId="13" hidden="1">#REF!</definedName>
    <definedName name="pendapat" localSheetId="8" hidden="1">#REF!</definedName>
    <definedName name="pendapat" localSheetId="12" hidden="1">#REF!</definedName>
    <definedName name="pendapat" hidden="1">#REF!</definedName>
    <definedName name="PENJUMLAHAN" localSheetId="15">HAJIME:OWARI</definedName>
    <definedName name="PENJUMLAHAN" localSheetId="9">[15]!HAJIME:[15]!OWARI</definedName>
    <definedName name="PENJUMLAHAN" localSheetId="0">[0]!HAJIME:[0]!OWARI</definedName>
    <definedName name="PENJUMLAHAN" localSheetId="6">HAJIME:OWARI</definedName>
    <definedName name="PENJUMLAHAN" localSheetId="7">HAJIME:OWARI</definedName>
    <definedName name="PENJUMLAHAN" localSheetId="13">HAJIME:OWARI</definedName>
    <definedName name="PENJUMLAHAN" localSheetId="8">HAJIME:OWARI</definedName>
    <definedName name="PENJUMLAHAN" localSheetId="12">[0]!HAJIME:[0]!OWARI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r">[135]Hargamaterial!$Q$4</definedName>
    <definedName name="Peralatan_lainya">[31]DATA!$G$11</definedName>
    <definedName name="Peralatan_los">[31]DATA!$G$8</definedName>
    <definedName name="Peralatan_oksigen">[31]DATA!$G$12</definedName>
    <definedName name="Peralatan_site">[31]DATA!$G$7</definedName>
    <definedName name="Peralatan_spencer">[31]DATA!$G$10</definedName>
    <definedName name="persiapan" hidden="1">'[136]HARGA MATERIAL'!$E$27:$E$33</definedName>
    <definedName name="ph_40">[133]HDasar!$H$85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localSheetId="15" hidden="1">{#N/A,#N/A,FALSE,"REK-S-TPL";#N/A,#N/A,FALSE,"REK-TPML";#N/A,#N/A,FALSE,"RAB-TEMPEL"}</definedName>
    <definedName name="Philip" localSheetId="9" hidden="1">{#N/A,#N/A,FALSE,"REK-S-TPL";#N/A,#N/A,FALSE,"REK-TPML";#N/A,#N/A,FALSE,"RAB-TEMPEL"}</definedName>
    <definedName name="Philip" localSheetId="0" hidden="1">{#N/A,#N/A,FALSE,"REK-S-TPL";#N/A,#N/A,FALSE,"REK-TPML";#N/A,#N/A,FALSE,"RAB-TEMPEL"}</definedName>
    <definedName name="Philip" localSheetId="7" hidden="1">{#N/A,#N/A,FALSE,"REK-S-TPL";#N/A,#N/A,FALSE,"REK-TPML";#N/A,#N/A,FALSE,"RAB-TEMPEL"}</definedName>
    <definedName name="Philip" localSheetId="13" hidden="1">{#N/A,#N/A,FALSE,"REK-S-TPL";#N/A,#N/A,FALSE,"REK-TPML";#N/A,#N/A,FALSE,"RAB-TEMPEL"}</definedName>
    <definedName name="Philip" localSheetId="8" hidden="1">{#N/A,#N/A,FALSE,"REK-S-TPL";#N/A,#N/A,FALSE,"REK-TPML";#N/A,#N/A,FALSE,"RAB-TEMPEL"}</definedName>
    <definedName name="Philip" localSheetId="12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2" localSheetId="15" hidden="1">{#N/A,#N/A,FALSE,"REK-S-TPL";#N/A,#N/A,FALSE,"REK-TPML";#N/A,#N/A,FALSE,"RAB-TEMPEL"}</definedName>
    <definedName name="Philip_2" localSheetId="9" hidden="1">{#N/A,#N/A,FALSE,"REK-S-TPL";#N/A,#N/A,FALSE,"REK-TPML";#N/A,#N/A,FALSE,"RAB-TEMPEL"}</definedName>
    <definedName name="Philip_2" localSheetId="0" hidden="1">{#N/A,#N/A,FALSE,"REK-S-TPL";#N/A,#N/A,FALSE,"REK-TPML";#N/A,#N/A,FALSE,"RAB-TEMPEL"}</definedName>
    <definedName name="Philip_2" localSheetId="7" hidden="1">{#N/A,#N/A,FALSE,"REK-S-TPL";#N/A,#N/A,FALSE,"REK-TPML";#N/A,#N/A,FALSE,"RAB-TEMPEL"}</definedName>
    <definedName name="Philip_2" localSheetId="13" hidden="1">{#N/A,#N/A,FALSE,"REK-S-TPL";#N/A,#N/A,FALSE,"REK-TPML";#N/A,#N/A,FALSE,"RAB-TEMPEL"}</definedName>
    <definedName name="Philip_2" localSheetId="8" hidden="1">{#N/A,#N/A,FALSE,"REK-S-TPL";#N/A,#N/A,FALSE,"REK-TPML";#N/A,#N/A,FALSE,"RAB-TEMPEL"}</definedName>
    <definedName name="Philip_2" localSheetId="12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localSheetId="15" hidden="1">{#N/A,#N/A,FALSE,"REK-S-TPL";#N/A,#N/A,FALSE,"REK-TPML";#N/A,#N/A,FALSE,"RAB-TEMPEL"}</definedName>
    <definedName name="Philip_3" localSheetId="9" hidden="1">{#N/A,#N/A,FALSE,"REK-S-TPL";#N/A,#N/A,FALSE,"REK-TPML";#N/A,#N/A,FALSE,"RAB-TEMPEL"}</definedName>
    <definedName name="Philip_3" localSheetId="0" hidden="1">{#N/A,#N/A,FALSE,"REK-S-TPL";#N/A,#N/A,FALSE,"REK-TPML";#N/A,#N/A,FALSE,"RAB-TEMPEL"}</definedName>
    <definedName name="Philip_3" localSheetId="7" hidden="1">{#N/A,#N/A,FALSE,"REK-S-TPL";#N/A,#N/A,FALSE,"REK-TPML";#N/A,#N/A,FALSE,"RAB-TEMPEL"}</definedName>
    <definedName name="Philip_3" localSheetId="13" hidden="1">{#N/A,#N/A,FALSE,"REK-S-TPL";#N/A,#N/A,FALSE,"REK-TPML";#N/A,#N/A,FALSE,"RAB-TEMPEL"}</definedName>
    <definedName name="Philip_3" localSheetId="8" hidden="1">{#N/A,#N/A,FALSE,"REK-S-TPL";#N/A,#N/A,FALSE,"REK-TPML";#N/A,#N/A,FALSE,"RAB-TEMPEL"}</definedName>
    <definedName name="Philip_3" localSheetId="12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localSheetId="15" hidden="1">{#N/A,#N/A,FALSE,"REK-S-TPL";#N/A,#N/A,FALSE,"REK-TPML";#N/A,#N/A,FALSE,"RAB-TEMPEL"}</definedName>
    <definedName name="Philip_4" localSheetId="9" hidden="1">{#N/A,#N/A,FALSE,"REK-S-TPL";#N/A,#N/A,FALSE,"REK-TPML";#N/A,#N/A,FALSE,"RAB-TEMPEL"}</definedName>
    <definedName name="Philip_4" localSheetId="0" hidden="1">{#N/A,#N/A,FALSE,"REK-S-TPL";#N/A,#N/A,FALSE,"REK-TPML";#N/A,#N/A,FALSE,"RAB-TEMPEL"}</definedName>
    <definedName name="Philip_4" localSheetId="7" hidden="1">{#N/A,#N/A,FALSE,"REK-S-TPL";#N/A,#N/A,FALSE,"REK-TPML";#N/A,#N/A,FALSE,"RAB-TEMPEL"}</definedName>
    <definedName name="Philip_4" localSheetId="13" hidden="1">{#N/A,#N/A,FALSE,"REK-S-TPL";#N/A,#N/A,FALSE,"REK-TPML";#N/A,#N/A,FALSE,"RAB-TEMPEL"}</definedName>
    <definedName name="Philip_4" localSheetId="8" hidden="1">{#N/A,#N/A,FALSE,"REK-S-TPL";#N/A,#N/A,FALSE,"REK-TPML";#N/A,#N/A,FALSE,"RAB-TEMPEL"}</definedName>
    <definedName name="Philip_4" localSheetId="12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localSheetId="15" hidden="1">{#N/A,#N/A,FALSE,"REK-S-TPL";#N/A,#N/A,FALSE,"REK-TPML";#N/A,#N/A,FALSE,"RAB-TEMPEL"}</definedName>
    <definedName name="Philip_5" localSheetId="9" hidden="1">{#N/A,#N/A,FALSE,"REK-S-TPL";#N/A,#N/A,FALSE,"REK-TPML";#N/A,#N/A,FALSE,"RAB-TEMPEL"}</definedName>
    <definedName name="Philip_5" localSheetId="0" hidden="1">{#N/A,#N/A,FALSE,"REK-S-TPL";#N/A,#N/A,FALSE,"REK-TPML";#N/A,#N/A,FALSE,"RAB-TEMPEL"}</definedName>
    <definedName name="Philip_5" localSheetId="7" hidden="1">{#N/A,#N/A,FALSE,"REK-S-TPL";#N/A,#N/A,FALSE,"REK-TPML";#N/A,#N/A,FALSE,"RAB-TEMPEL"}</definedName>
    <definedName name="Philip_5" localSheetId="13" hidden="1">{#N/A,#N/A,FALSE,"REK-S-TPL";#N/A,#N/A,FALSE,"REK-TPML";#N/A,#N/A,FALSE,"RAB-TEMPEL"}</definedName>
    <definedName name="Philip_5" localSheetId="8" hidden="1">{#N/A,#N/A,FALSE,"REK-S-TPL";#N/A,#N/A,FALSE,"REK-TPML";#N/A,#N/A,FALSE,"RAB-TEMPEL"}</definedName>
    <definedName name="Philip_5" localSheetId="12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lafondgyp10">[1]harsat!$H$134</definedName>
    <definedName name="plafondgyp9">[1]harsat!$H$133</definedName>
    <definedName name="PlafondGypsumRHollow">'[40]Analisa Harga Satuan'!$G$2501</definedName>
    <definedName name="plafondgypwp9">[1]harsat!$H$135</definedName>
    <definedName name="PLAMT">'[21]Sat-Rap'!$F$71</definedName>
    <definedName name="plamurkayu">[22]harga!$F$234</definedName>
    <definedName name="plamurtembok">[22]harga!$F$235</definedName>
    <definedName name="plastikcor">[44]Analisa!$I$175</definedName>
    <definedName name="Ples16_15cm">'[40]Analisa Harga Satuan'!$G$1571</definedName>
    <definedName name="Plest_Screet13_35cm">'[40]Analisa Harga Satuan'!$G$1655</definedName>
    <definedName name="pmeranti">[22]harga!$F$112</definedName>
    <definedName name="PNL___1">[59]Anls!$E$58</definedName>
    <definedName name="PNL___2">[59]Anls!$E$58</definedName>
    <definedName name="PNL___3">[59]Anls!$E$58</definedName>
    <definedName name="polos">[22]harga!$F$37</definedName>
    <definedName name="p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9">'Pas. Dinding'!pompa</definedName>
    <definedName name="pompa" localSheetId="12">'TABEL BAJA'!pompa</definedName>
    <definedName name="pompa">[16]!pompa</definedName>
    <definedName name="pompabeton">'[50]DAF-UPAH'!$E$16</definedName>
    <definedName name="ppas">[26]Harsat!$D$11</definedName>
    <definedName name="PPNBKR">'[21]Sat-Rap'!$F$44</definedName>
    <definedName name="ppnjati">'[34]HB '!$F$29</definedName>
    <definedName name="PPO">'[137]Analisa 2'!$B$1459:$J$1665</definedName>
    <definedName name="ppp" localSheetId="15">{"Book1","RAB PASAR 30 AUG SCRAB.xls"}</definedName>
    <definedName name="ppp" localSheetId="9">{"Book1","RAB PASAR 30 AUG SCRAB.xls"}</definedName>
    <definedName name="ppp" localSheetId="0">{"Book1","RAB PASAR 30 AUG SCRAB.xls"}</definedName>
    <definedName name="ppp" localSheetId="7">{"Book1","RAB PASAR 30 AUG SCRAB.xls"}</definedName>
    <definedName name="ppp" localSheetId="13">{"Book1","RAB PASAR 30 AUG SCRAB.xls"}</definedName>
    <definedName name="ppp" localSheetId="8">{"Book1","RAB PASAR 30 AUG SCRAB.xls"}</definedName>
    <definedName name="ppp" localSheetId="12">{"Book1","RAB PASAR 30 AUG SCRAB.xls"}</definedName>
    <definedName name="ppp">{"Book1","RAB PASAR 30 AUG SCRAB.xls"}</definedName>
    <definedName name="prelim" hidden="1">'[129]HARGA MATERIAL'!$A$11:$A$211</definedName>
    <definedName name="Prem" localSheetId="9" hidden="1">[138]A!#REF!</definedName>
    <definedName name="Prem" localSheetId="7" hidden="1">[138]A!#REF!</definedName>
    <definedName name="Prem" localSheetId="13" hidden="1">[138]A!#REF!</definedName>
    <definedName name="Prem" localSheetId="8" hidden="1">[138]A!#REF!</definedName>
    <definedName name="Prem" localSheetId="12" hidden="1">[138]A!#REF!</definedName>
    <definedName name="Prem" hidden="1">[138]A!#REF!</definedName>
    <definedName name="pr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'[21]Sat-Rap'!$F$73</definedName>
    <definedName name="_xlnm.Print_Area" localSheetId="4">COVER!$A$1:$I$25</definedName>
    <definedName name="_xlnm.Print_Area" localSheetId="18">'Data Panjang Balok'!$A$1:$N$254</definedName>
    <definedName name="_xlnm.Print_Area" localSheetId="16">'Data-Kolom'!$A$1:$Q$195</definedName>
    <definedName name="_xlnm.Print_Area" localSheetId="21">'Data-PC'!$B$1:$AP$56</definedName>
    <definedName name="_xlnm.Print_Area" localSheetId="15">'Hasil-Kolom'!$A$1:$AT$224</definedName>
    <definedName name="_xlnm.Print_Area" localSheetId="24">'Hasil-PC'!$A$1:$AE$64</definedName>
    <definedName name="_xlnm.Print_Area" localSheetId="14">Plat!$A$1:$S$103</definedName>
    <definedName name="_xlnm.Print_Area" localSheetId="23">'RAB (A)'!$A$1:$F$282</definedName>
    <definedName name="_xlnm.Print_Area" localSheetId="6">'RAB (B)'!$A$1:$F$33</definedName>
    <definedName name="_xlnm.Print_Area" localSheetId="17">'REKAP Balok'!$A$1:$AA$335</definedName>
    <definedName name="_xlnm.Print_Area" localSheetId="5">'REKAP RAB'!$A$1:$G$69</definedName>
    <definedName name="Print_Area_MI">'[139]A-ars'!$A$1:$G$693</definedName>
    <definedName name="_xlnm.Print_Titles" localSheetId="4">COVER!$1:$5</definedName>
    <definedName name="_xlnm.Print_Titles" localSheetId="18">'Data Panjang Balok'!$6:$8</definedName>
    <definedName name="_xlnm.Print_Titles" localSheetId="21">'Data-PC'!$10:$11</definedName>
    <definedName name="_xlnm.Print_Titles" localSheetId="19">'Detail Balok'!$7:$8</definedName>
    <definedName name="_xlnm.Print_Titles" localSheetId="15">'Hasil-Kolom'!$11:$13</definedName>
    <definedName name="_xlnm.Print_Titles" localSheetId="24">'Hasil-PC'!$6:$8</definedName>
    <definedName name="_xlnm.Print_Titles" localSheetId="14">Plat!$1:$5</definedName>
    <definedName name="_xlnm.Print_Titles" localSheetId="23">'RAB (A)'!$7:$7</definedName>
    <definedName name="_xlnm.Print_Titles" localSheetId="6">'RAB (B)'!$1:$7</definedName>
    <definedName name="_xlnm.Print_Titles" localSheetId="17">'REKAP Balok'!$9:$11</definedName>
    <definedName name="_xlnm.Print_Titles" localSheetId="5">'REKAP RAB'!$1:$5</definedName>
    <definedName name="Print_Titles_MI">'[139]A-ars'!$1:$9</definedName>
    <definedName name="ProdForm" localSheetId="9" hidden="1">#REF!</definedName>
    <definedName name="ProdForm" localSheetId="0" hidden="1">#REF!</definedName>
    <definedName name="ProdForm" localSheetId="7" hidden="1">#REF!</definedName>
    <definedName name="ProdForm" localSheetId="13" hidden="1">#REF!</definedName>
    <definedName name="ProdForm" localSheetId="8" hidden="1">#REF!</definedName>
    <definedName name="ProdForm" hidden="1">#REF!</definedName>
    <definedName name="Product" localSheetId="9" hidden="1">#REF!</definedName>
    <definedName name="Product" localSheetId="0" hidden="1">#REF!</definedName>
    <definedName name="Product" localSheetId="7" hidden="1">#REF!</definedName>
    <definedName name="Product" localSheetId="13" hidden="1">#REF!</definedName>
    <definedName name="Product" localSheetId="8" hidden="1">#REF!</definedName>
    <definedName name="Product" hidden="1">#REF!</definedName>
    <definedName name="PS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cor">[22]harga!$F$192</definedName>
    <definedName name="pspasang">[100]harga!$E$177</definedName>
    <definedName name="psrbton">[55]sheet1!$H$13</definedName>
    <definedName name="psrpsg">'[107]HARGA SATUAN'!$G$13</definedName>
    <definedName name="psrurug">[55]sheet1!$H$15</definedName>
    <definedName name="psurug">[22]harga!$F$194</definedName>
    <definedName name="purug">[26]Harsat!$D$10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q" localSheetId="9" hidden="1">#REF!</definedName>
    <definedName name="q" localSheetId="0" hidden="1">#REF!</definedName>
    <definedName name="q" localSheetId="7" hidden="1">#REF!</definedName>
    <definedName name="q" localSheetId="13" hidden="1">#REF!</definedName>
    <definedName name="q" localSheetId="8" hidden="1">#REF!</definedName>
    <definedName name="q" localSheetId="12" hidden="1">#REF!</definedName>
    <definedName name="q" hidden="1">#REF!</definedName>
    <definedName name="qq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b_4" localSheetId="15">{"Book1","RAB PASAR 30 AUG SCRAB.xls"}</definedName>
    <definedName name="rab_4" localSheetId="9">{"Book1","RAB PASAR 30 AUG SCRAB.xls"}</definedName>
    <definedName name="rab_4" localSheetId="0">{"Book1","RAB PASAR 30 AUG SCRAB.xls"}</definedName>
    <definedName name="rab_4" localSheetId="7">{"Book1","RAB PASAR 30 AUG SCRAB.xls"}</definedName>
    <definedName name="rab_4" localSheetId="13">{"Book1","RAB PASAR 30 AUG SCRAB.xls"}</definedName>
    <definedName name="rab_4" localSheetId="8">{"Book1","RAB PASAR 30 AUG SCRAB.xls"}</definedName>
    <definedName name="rab_4" localSheetId="12">{"Book1","RAB PASAR 30 AUG SCRAB.xls"}</definedName>
    <definedName name="rab_4">{"Book1","RAB PASAR 30 AUG SCRAB.xls"}</definedName>
    <definedName name="rab_6" localSheetId="15">{"Book1","RAB PASAR 30 AUG SCRAB.xls"}</definedName>
    <definedName name="rab_6" localSheetId="9">{"Book1","RAB PASAR 30 AUG SCRAB.xls"}</definedName>
    <definedName name="rab_6" localSheetId="0">{"Book1","RAB PASAR 30 AUG SCRAB.xls"}</definedName>
    <definedName name="rab_6" localSheetId="7">{"Book1","RAB PASAR 30 AUG SCRAB.xls"}</definedName>
    <definedName name="rab_6" localSheetId="13">{"Book1","RAB PASAR 30 AUG SCRAB.xls"}</definedName>
    <definedName name="rab_6" localSheetId="8">{"Book1","RAB PASAR 30 AUG SCRAB.xls"}</definedName>
    <definedName name="rab_6" localSheetId="12">{"Book1","RAB PASAR 30 AUG SCRAB.xls"}</definedName>
    <definedName name="rab_6">{"Book1","RAB PASAR 30 AUG SCRAB.xls"}</definedName>
    <definedName name="rab_8" localSheetId="15">{"Book1","RAB PASAR 30 AUG SCRAB.xls"}</definedName>
    <definedName name="rab_8" localSheetId="9">{"Book1","RAB PASAR 30 AUG SCRAB.xls"}</definedName>
    <definedName name="rab_8" localSheetId="0">{"Book1","RAB PASAR 30 AUG SCRAB.xls"}</definedName>
    <definedName name="rab_8" localSheetId="7">{"Book1","RAB PASAR 30 AUG SCRAB.xls"}</definedName>
    <definedName name="rab_8" localSheetId="13">{"Book1","RAB PASAR 30 AUG SCRAB.xls"}</definedName>
    <definedName name="rab_8" localSheetId="8">{"Book1","RAB PASAR 30 AUG SCRAB.xls"}</definedName>
    <definedName name="rab_8" localSheetId="12">{"Book1","RAB PASAR 30 AUG SCRAB.xls"}</definedName>
    <definedName name="rab_8">{"Book1","RAB PASAR 30 AUG SCRAB.xls"}</definedName>
    <definedName name="rab_9" localSheetId="15">{"Book1","RAB PASAR 30 AUG SCRAB.xls"}</definedName>
    <definedName name="rab_9" localSheetId="9">{"Book1","RAB PASAR 30 AUG SCRAB.xls"}</definedName>
    <definedName name="rab_9" localSheetId="0">{"Book1","RAB PASAR 30 AUG SCRAB.xls"}</definedName>
    <definedName name="rab_9" localSheetId="7">{"Book1","RAB PASAR 30 AUG SCRAB.xls"}</definedName>
    <definedName name="rab_9" localSheetId="13">{"Book1","RAB PASAR 30 AUG SCRAB.xls"}</definedName>
    <definedName name="rab_9" localSheetId="8">{"Book1","RAB PASAR 30 AUG SCRAB.xls"}</definedName>
    <definedName name="rab_9" localSheetId="12">{"Book1","RAB PASAR 30 AUG SCRAB.xls"}</definedName>
    <definedName name="rab_9">{"Book1","RAB PASAR 30 AUG SCRAB.xls"}</definedName>
    <definedName name="rakkabinmatv">'[53]TE TS FA LAN MATV'!$F$90</definedName>
    <definedName name="RCArea" localSheetId="9" hidden="1">#REF!</definedName>
    <definedName name="RCArea" localSheetId="0" hidden="1">#REF!</definedName>
    <definedName name="RCArea" localSheetId="7" hidden="1">#REF!</definedName>
    <definedName name="RCArea" localSheetId="13" hidden="1">#REF!</definedName>
    <definedName name="RCArea" localSheetId="8" hidden="1">#REF!</definedName>
    <definedName name="RCArea" localSheetId="12" hidden="1">#REF!</definedName>
    <definedName name="RCArea" hidden="1">#REF!</definedName>
    <definedName name="RE" localSheetId="9" hidden="1">#REF!</definedName>
    <definedName name="RE" localSheetId="0" hidden="1">#REF!</definedName>
    <definedName name="RE" localSheetId="7" hidden="1">#REF!</definedName>
    <definedName name="RE" localSheetId="13" hidden="1">#REF!</definedName>
    <definedName name="RE" localSheetId="8" hidden="1">#REF!</definedName>
    <definedName name="RE" localSheetId="12" hidden="1">#REF!</definedName>
    <definedName name="RE" hidden="1">#REF!</definedName>
    <definedName name="ready" localSheetId="15">FST:(FSB)</definedName>
    <definedName name="ready" localSheetId="9">[15]!FST:([15]!FSB)</definedName>
    <definedName name="ready" localSheetId="0">[0]!FST:([0]!FSB)</definedName>
    <definedName name="ready" localSheetId="6">FST:(FSB)</definedName>
    <definedName name="ready" localSheetId="7">FST:(FSB)</definedName>
    <definedName name="ready" localSheetId="13">FST:(FSB)</definedName>
    <definedName name="ready" localSheetId="8">FST:(FSB)</definedName>
    <definedName name="ready" localSheetId="12">FST:(FSB)</definedName>
    <definedName name="ready">FST:(FSB)</definedName>
    <definedName name="ready___0">NA()</definedName>
    <definedName name="ready___1">NA()</definedName>
    <definedName name="ready___2">NA()</definedName>
    <definedName name="RECORD" localSheetId="9">'Pas. Dinding'!RECORD</definedName>
    <definedName name="RECORD" localSheetId="12">'TABEL BAJA'!RECORD</definedName>
    <definedName name="RECORD">[16]!RECORD</definedName>
    <definedName name="RECORD___1" localSheetId="4">[140]!_A___0</definedName>
    <definedName name="RECORD___1" localSheetId="9">[0]!_A___0</definedName>
    <definedName name="RECORD___1" localSheetId="0">[0]!_A___0</definedName>
    <definedName name="RECORD___1" localSheetId="6">[140]!_A___0</definedName>
    <definedName name="RECORD___1" localSheetId="7">[140]!_A___0</definedName>
    <definedName name="RECORD___1" localSheetId="5">[140]!_A___0</definedName>
    <definedName name="RECORD___1" localSheetId="12">[140]!_A___0</definedName>
    <definedName name="RECORD___1">[141]!_A___0</definedName>
    <definedName name="Record1" localSheetId="9">'Pas. Dinding'!Record1</definedName>
    <definedName name="Record1" localSheetId="12">'TABEL BAJA'!Record1</definedName>
    <definedName name="Record1">[16]!Record1</definedName>
    <definedName name="Record1___0" localSheetId="15">'Hasil-Kolom'!_AAD3</definedName>
    <definedName name="Record1___0" localSheetId="9">'Pas. Dinding'!_AAD3</definedName>
    <definedName name="Record1___0" localSheetId="0">Plumbing!_AAD3</definedName>
    <definedName name="Record1___0" localSheetId="6">'RAB (B)'!_AAD3</definedName>
    <definedName name="Record1___0" localSheetId="7">'REKAP BETON BESI BEKISTING'!_AAD3</definedName>
    <definedName name="Record1___0" localSheetId="13">'REKAP Plat'!_AAD3</definedName>
    <definedName name="Record1___0" localSheetId="8">'Retaining Wall'!_AAD3</definedName>
    <definedName name="Record1___0" localSheetId="12">'TABEL BAJA'!_AAD3</definedName>
    <definedName name="Record1___0">_AAD3</definedName>
    <definedName name="Record10" localSheetId="9">'Pas. Dinding'!Record10</definedName>
    <definedName name="Record10" localSheetId="12">'TABEL BAJA'!Record10</definedName>
    <definedName name="Record10">[16]!Record10</definedName>
    <definedName name="Record11" localSheetId="9">'Pas. Dinding'!Record11</definedName>
    <definedName name="Record11" localSheetId="12">'TABEL BAJA'!Record11</definedName>
    <definedName name="Record11">[16]!Record11</definedName>
    <definedName name="Record12" localSheetId="9">'Pas. Dinding'!Record12</definedName>
    <definedName name="Record12" localSheetId="12">'TABEL BAJA'!Record12</definedName>
    <definedName name="Record12">[16]!Record12</definedName>
    <definedName name="Record13" localSheetId="9">'Pas. Dinding'!Record13</definedName>
    <definedName name="Record13" localSheetId="12">'TABEL BAJA'!Record13</definedName>
    <definedName name="Record13">[16]!Record13</definedName>
    <definedName name="Record14" localSheetId="9">'Pas. Dinding'!Record14</definedName>
    <definedName name="Record14" localSheetId="12">'TABEL BAJA'!Record14</definedName>
    <definedName name="Record14">[16]!Record14</definedName>
    <definedName name="Record15" localSheetId="9">'Pas. Dinding'!Record15</definedName>
    <definedName name="Record15" localSheetId="12">'TABEL BAJA'!Record15</definedName>
    <definedName name="Record15">[16]!Record15</definedName>
    <definedName name="Record16" localSheetId="9">'Pas. Dinding'!Record16</definedName>
    <definedName name="Record16" localSheetId="12">'TABEL BAJA'!Record16</definedName>
    <definedName name="Record16">[16]!Record16</definedName>
    <definedName name="Record17" localSheetId="9">'Pas. Dinding'!Record17</definedName>
    <definedName name="Record17" localSheetId="12">'TABEL BAJA'!Record17</definedName>
    <definedName name="Record17">[16]!Record17</definedName>
    <definedName name="Record18" localSheetId="9">'Pas. Dinding'!Record18</definedName>
    <definedName name="Record18" localSheetId="12">'TABEL BAJA'!Record18</definedName>
    <definedName name="Record18">[16]!Record18</definedName>
    <definedName name="Record19" localSheetId="9">'Pas. Dinding'!Record19</definedName>
    <definedName name="Record19" localSheetId="12">'TABEL BAJA'!Record19</definedName>
    <definedName name="Record19">[16]!Record19</definedName>
    <definedName name="Record2" localSheetId="9">'Pas. Dinding'!Record2</definedName>
    <definedName name="Record2" localSheetId="12">'TABEL BAJA'!Record2</definedName>
    <definedName name="Record2">[16]!Record2</definedName>
    <definedName name="Record20" localSheetId="9">'Pas. Dinding'!Record20</definedName>
    <definedName name="Record20" localSheetId="12">'TABEL BAJA'!Record20</definedName>
    <definedName name="Record20">[16]!Record20</definedName>
    <definedName name="Record21" localSheetId="9">'Pas. Dinding'!Record21</definedName>
    <definedName name="Record21" localSheetId="12">'TABEL BAJA'!Record21</definedName>
    <definedName name="Record21">[16]!Record21</definedName>
    <definedName name="Record22" localSheetId="9">'Pas. Dinding'!Record22</definedName>
    <definedName name="Record22" localSheetId="12">'TABEL BAJA'!Record22</definedName>
    <definedName name="Record22">[16]!Record22</definedName>
    <definedName name="Record22___0" localSheetId="9">[15]!_CH27..H27___C_</definedName>
    <definedName name="Record22___0" localSheetId="6">[16]!_CH27..H27___C_</definedName>
    <definedName name="Record22___0" localSheetId="12">[16]!_CH27..H27___C_</definedName>
    <definedName name="Record22___0">[16]!_CH27..H27___C_</definedName>
    <definedName name="Record23" localSheetId="9">'Pas. Dinding'!Record23</definedName>
    <definedName name="Record23" localSheetId="12">'TABEL BAJA'!Record23</definedName>
    <definedName name="Record23">[16]!Record23</definedName>
    <definedName name="Record23___1" localSheetId="9">[15]!_CH29..H29___C_</definedName>
    <definedName name="Record23___1" localSheetId="6">[16]!_CH29..H29___C_</definedName>
    <definedName name="Record23___1" localSheetId="12">[16]!_CH29..H29___C_</definedName>
    <definedName name="Record23___1">[16]!_CH29..H29___C_</definedName>
    <definedName name="Record3" localSheetId="9">'Pas. Dinding'!Record3</definedName>
    <definedName name="Record3" localSheetId="12">'TABEL BAJA'!Record3</definedName>
    <definedName name="Record3">[16]!Record3</definedName>
    <definedName name="Record4" localSheetId="9">'Pas. Dinding'!Record4</definedName>
    <definedName name="Record4" localSheetId="12">'TABEL BAJA'!Record4</definedName>
    <definedName name="Record4">[16]!Record4</definedName>
    <definedName name="Record5" localSheetId="9">'Pas. Dinding'!Record5</definedName>
    <definedName name="Record5" localSheetId="12">'TABEL BAJA'!Record5</definedName>
    <definedName name="Record5">[16]!Record5</definedName>
    <definedName name="Record6" localSheetId="9">'Pas. Dinding'!Record6</definedName>
    <definedName name="Record6" localSheetId="12">'TABEL BAJA'!Record6</definedName>
    <definedName name="Record6">[16]!Record6</definedName>
    <definedName name="Record7" localSheetId="9">'Pas. Dinding'!Record7</definedName>
    <definedName name="Record7" localSheetId="12">'TABEL BAJA'!Record7</definedName>
    <definedName name="Record7">[16]!Record7</definedName>
    <definedName name="Record8" localSheetId="9">'Pas. Dinding'!Record8</definedName>
    <definedName name="Record8" localSheetId="12">'TABEL BAJA'!Record8</definedName>
    <definedName name="Record8">[16]!Record8</definedName>
    <definedName name="Record9" localSheetId="9">'Pas. Dinding'!Record9</definedName>
    <definedName name="Record9" localSheetId="12">'TABEL BAJA'!Record9</definedName>
    <definedName name="Record9">[16]!Record9</definedName>
    <definedName name="red" localSheetId="9">'Pas. Dinding'!red</definedName>
    <definedName name="red" localSheetId="12">'TABEL BAJA'!red</definedName>
    <definedName name="red">[16]!red</definedName>
    <definedName name="re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 localSheetId="4">STOP2:STOP2E</definedName>
    <definedName name="REKAPITULASI" localSheetId="15">STOP2:STOP2E</definedName>
    <definedName name="REKAPITULASI" localSheetId="9">STOP2:STOP2E</definedName>
    <definedName name="REKAPITULASI" localSheetId="0">STOP2:STOP2E</definedName>
    <definedName name="REKAPITULASI" localSheetId="6">STOP2:STOP2E</definedName>
    <definedName name="REKAPITULASI" localSheetId="7">STOP2:STOP2E</definedName>
    <definedName name="REKAPITULASI" localSheetId="13">STOP2:STOP2E</definedName>
    <definedName name="REKAPITULASI" localSheetId="5">STOP2:STOP2E</definedName>
    <definedName name="REKAPITULASI" localSheetId="8">STOP2:STOP2E</definedName>
    <definedName name="REKAPITULASI" localSheetId="12">STOP2:STOP2E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[142]REKAP!$G$38</definedName>
    <definedName name="RESD" localSheetId="9">'Pas. Dinding'!RESD</definedName>
    <definedName name="RESD" localSheetId="12">'TABEL BAJA'!RESD</definedName>
    <definedName name="RESD">[16]!RESD</definedName>
    <definedName name="RINC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localSheetId="9" hidden="1">#REF!</definedName>
    <definedName name="ring" localSheetId="0" hidden="1">#REF!</definedName>
    <definedName name="ring" localSheetId="7" hidden="1">#REF!</definedName>
    <definedName name="ring" localSheetId="13" hidden="1">#REF!</definedName>
    <definedName name="ring" localSheetId="8" hidden="1">#REF!</definedName>
    <definedName name="ring" localSheetId="12" hidden="1">#REF!</definedName>
    <definedName name="ring" hidden="1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MIX12">'[21]Sat-Rap'!$F$18</definedName>
    <definedName name="round1___0">[55]sheet1!$J$3</definedName>
    <definedName name="round1___1">[55]sheet1!$J$3</definedName>
    <definedName name="round1___2">[55]sheet1!$J$3</definedName>
    <definedName name="ROUNDED">'[143]Bill rekap'!$E$19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PIAH">[144]Markup!$I$76</definedName>
    <definedName name="R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" localSheetId="9">'Pas. Dinding'!SA</definedName>
    <definedName name="SA" localSheetId="12">'TABEL BAJA'!SA</definedName>
    <definedName name="SA">[16]!SA</definedName>
    <definedName name="SA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m" localSheetId="9" hidden="1">#REF!</definedName>
    <definedName name="sam" localSheetId="0" hidden="1">#REF!</definedName>
    <definedName name="sam" localSheetId="7" hidden="1">#REF!</definedName>
    <definedName name="sam" localSheetId="13" hidden="1">#REF!</definedName>
    <definedName name="sam" localSheetId="8" hidden="1">#REF!</definedName>
    <definedName name="sam" localSheetId="12" hidden="1">#REF!</definedName>
    <definedName name="sam" hidden="1">#REF!</definedName>
    <definedName name="sda" hidden="1">#N/A</definedName>
    <definedName name="SD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.C1" localSheetId="9" hidden="1">#REF!</definedName>
    <definedName name="SEC.C1" localSheetId="0" hidden="1">#REF!</definedName>
    <definedName name="SEC.C1" localSheetId="7" hidden="1">#REF!</definedName>
    <definedName name="SEC.C1" localSheetId="13" hidden="1">#REF!</definedName>
    <definedName name="SEC.C1" localSheetId="8" hidden="1">#REF!</definedName>
    <definedName name="SEC.C1" localSheetId="12" hidden="1">#REF!</definedName>
    <definedName name="SEC.C1" hidden="1">#REF!</definedName>
    <definedName name="Section_8_Title_12">'[145]Fill this out first___'!$I$7</definedName>
    <definedName name="Section_8_Title_9">'[146]Fill this out first___'!$I$7</definedName>
    <definedName name="semen_40">'[32]Daf-Harga'!$H$89</definedName>
    <definedName name="semen_50">'[32]Daf-Harga'!$H$90</definedName>
    <definedName name="Semen_pc_tiga_roda_50_kg">[147]Bahan!$C$44</definedName>
    <definedName name="Semen_Putih">[31]BAHAN!$C$39</definedName>
    <definedName name="semenwarna">'[76]HB '!$F$54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iku">[22]harga!$F$39</definedName>
    <definedName name="siku40">'[76]HB '!$F$69</definedName>
    <definedName name="sinfchannelamp">'[53]TE TS FA LAN MATV'!$F$86</definedName>
    <definedName name="sinkromate">[22]harga!$F$175</definedName>
    <definedName name="sir">[148]PERSI!$H$12</definedName>
    <definedName name="SK" localSheetId="9" hidden="1">#REF!</definedName>
    <definedName name="SK" localSheetId="0" hidden="1">#REF!</definedName>
    <definedName name="SK" localSheetId="7" hidden="1">#REF!</definedName>
    <definedName name="SK" localSheetId="13" hidden="1">#REF!</definedName>
    <definedName name="SK" localSheetId="8" hidden="1">#REF!</definedName>
    <definedName name="SK" hidden="1">#REF!</definedName>
    <definedName name="slot_endela">[31]DATA!$G$33</definedName>
    <definedName name="smu">'[149]ANALISA PEK.UMUM'!$A$1:$G$3834</definedName>
    <definedName name="solignum">[31]DATA!$G$40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localSheetId="9" hidden="1">#REF!</definedName>
    <definedName name="sort" localSheetId="0" hidden="1">#REF!</definedName>
    <definedName name="sort" localSheetId="7" hidden="1">#REF!</definedName>
    <definedName name="sort" localSheetId="13" hidden="1">#REF!</definedName>
    <definedName name="sort" localSheetId="8" hidden="1">#REF!</definedName>
    <definedName name="sort" localSheetId="12" hidden="1">#REF!</definedName>
    <definedName name="sort" hidden="1">#REF!</definedName>
    <definedName name="SPEC">[150]upah!$D$24</definedName>
    <definedName name="SpecialPrice" localSheetId="9" hidden="1">#REF!</definedName>
    <definedName name="SpecialPrice" localSheetId="0" hidden="1">#REF!</definedName>
    <definedName name="SpecialPrice" localSheetId="7" hidden="1">#REF!</definedName>
    <definedName name="SpecialPrice" localSheetId="13" hidden="1">#REF!</definedName>
    <definedName name="SpecialPrice" localSheetId="8" hidden="1">#REF!</definedName>
    <definedName name="SpecialPrice" hidden="1">#REF!</definedName>
    <definedName name="spf">[8]Ahs.2!$L$334</definedName>
    <definedName name="split___0">[55]sheet1!$H$10</definedName>
    <definedName name="split___1">[55]sheet1!$H$10</definedName>
    <definedName name="split___2">[55]sheet1!$H$10</definedName>
    <definedName name="spp" hidden="1">#N/A</definedName>
    <definedName name="sputih">[100]harga!$E$236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LL_10">"$#REF!.$#REF!$#REF!"</definedName>
    <definedName name="STALL_13">"$#REF!.$#REF!$#REF!"</definedName>
    <definedName name="STALL_5">"$#REF!.$#REF!$#REF!"</definedName>
    <definedName name="STEN">'[21]Sat-Rap'!$F$13</definedName>
    <definedName name="sten12">'[76]HB '!$F$45</definedName>
    <definedName name="stenslag">[22]harga!$F$267</definedName>
    <definedName name="su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GENG" localSheetId="9">'Pas. Dinding'!SUGENG</definedName>
    <definedName name="SUGENG" localSheetId="12">'TABEL BAJA'!SUGENG</definedName>
    <definedName name="SUGENG">[16]!SUGENG</definedName>
    <definedName name="SW___2">[59]Anls!$E$59</definedName>
    <definedName name="SW___3">[59]Anls!$E$59</definedName>
    <definedName name="S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>NA()</definedName>
    <definedName name="T.061">[113]TENAGA!$E$13</definedName>
    <definedName name="T.073">[112]TENAGA!$E$17</definedName>
    <definedName name="T.079">[112]TENAGA!$E$18</definedName>
    <definedName name="T.081">[113]TENAGA!$E$18</definedName>
    <definedName name="T.083">[113]TENAGA!$E$20</definedName>
    <definedName name="T.091">[113]TENAGA!$E$21</definedName>
    <definedName name="T.093">[113]TENAGA!$E$23</definedName>
    <definedName name="T.101">[113]TENAGA!$E$24</definedName>
    <definedName name="T.103">[112]TENAGA!$E$26</definedName>
    <definedName name="T.106">[113]TENAGA!$E$26</definedName>
    <definedName name="table" localSheetId="9" hidden="1">[80]H.Satuan!#REF!</definedName>
    <definedName name="table" localSheetId="0" hidden="1">[80]H.Satuan!#REF!</definedName>
    <definedName name="table" localSheetId="13" hidden="1">[80]H.Satuan!#REF!</definedName>
    <definedName name="table" localSheetId="12" hidden="1">[80]H.Satuan!#REF!</definedName>
    <definedName name="table" hidden="1">[80]H.Satuan!#REF!</definedName>
    <definedName name="tanahtaman">'[76]HB '!$F$185</definedName>
    <definedName name="TANAHURUG">[41]S.BAHAN!$K$21</definedName>
    <definedName name="tanjd" localSheetId="9" hidden="1">[80]H.Satuan!#REF!</definedName>
    <definedName name="tanjd" localSheetId="0" hidden="1">[80]H.Satuan!#REF!</definedName>
    <definedName name="tanjd" localSheetId="13" hidden="1">[80]H.Satuan!#REF!</definedName>
    <definedName name="tanjd" localSheetId="12" hidden="1">[80]H.Satuan!#REF!</definedName>
    <definedName name="tanjd" hidden="1">[80]H.Satuan!#REF!</definedName>
    <definedName name="tasnim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'[5]Sat Bah &amp; Up'!$G$30</definedName>
    <definedName name="TaxTV">10%</definedName>
    <definedName name="TaxXL">5%</definedName>
    <definedName name="TBBT">'[106]Harsat Upah'!$E$24</definedName>
    <definedName name="tbl_ProdInfo" localSheetId="9" hidden="1">#REF!</definedName>
    <definedName name="tbl_ProdInfo" localSheetId="0" hidden="1">#REF!</definedName>
    <definedName name="tbl_ProdInfo" localSheetId="7" hidden="1">#REF!</definedName>
    <definedName name="tbl_ProdInfo" localSheetId="13" hidden="1">#REF!</definedName>
    <definedName name="tbl_ProdInfo" localSheetId="8" hidden="1">#REF!</definedName>
    <definedName name="tbl_ProdInfo" localSheetId="12" hidden="1">#REF!</definedName>
    <definedName name="tbl_ProdInfo" hidden="1">#REF!</definedName>
    <definedName name="TBPT">'[106]Harsat Upah'!$E$27</definedName>
    <definedName name="tbs">[121]Harsat!$F$60</definedName>
    <definedName name="tbset">'[5]Sat Bah &amp; Up'!$G$9</definedName>
    <definedName name="TCST">'[106]Harsat Upah'!$E$20</definedName>
    <definedName name="tcter">'[5]Sat Bah &amp; Up'!$G$13</definedName>
    <definedName name="ter" localSheetId="9" hidden="1">[151]H.Satuan!#REF!</definedName>
    <definedName name="ter" localSheetId="7" hidden="1">[151]H.Satuan!#REF!</definedName>
    <definedName name="ter" localSheetId="13" hidden="1">[151]H.Satuan!#REF!</definedName>
    <definedName name="ter" localSheetId="8" hidden="1">[151]H.Satuan!#REF!</definedName>
    <definedName name="ter" localSheetId="12" hidden="1">[151]H.Satuan!#REF!</definedName>
    <definedName name="ter" hidden="1">[151]H.Satuan!#REF!</definedName>
    <definedName name="th" localSheetId="9">'Pas. Dinding'!th</definedName>
    <definedName name="th" localSheetId="12">'TABEL BAJA'!th</definedName>
    <definedName name="th">[16]!th</definedName>
    <definedName name="th___2" localSheetId="4">[140]!aber2___5</definedName>
    <definedName name="th___2" localSheetId="9">[0]!aber2___5</definedName>
    <definedName name="th___2" localSheetId="0">[0]!aber2___5</definedName>
    <definedName name="th___2" localSheetId="6">[140]!aber2___5</definedName>
    <definedName name="th___2" localSheetId="7">[140]!aber2___5</definedName>
    <definedName name="th___2" localSheetId="5">[140]!aber2___5</definedName>
    <definedName name="th___2" localSheetId="12">[140]!aber2___5</definedName>
    <definedName name="th___2">[141]!aber2___5</definedName>
    <definedName name="THA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iner_A">[31]BAHAN!$C$77</definedName>
    <definedName name="Tiner_B">[31]BAHAN!$C$78</definedName>
    <definedName name="TK_03A">'[152]HRG BHN'!$G$456</definedName>
    <definedName name="TK_03B">'[153]HRG BHN'!$G$457</definedName>
    <definedName name="TK_04">'[152]HRG BHN'!$G$459</definedName>
    <definedName name="TK_04A">'[152]HRG BHN'!$G$460</definedName>
    <definedName name="TK_04B">'[153]HRG BHN'!$G$461</definedName>
    <definedName name="tk_batu">[154]harsat!$K$69</definedName>
    <definedName name="tk_besi">[154]harsat!$K$70</definedName>
    <definedName name="tk_bobokan">[154]harsat!$K$71</definedName>
    <definedName name="tkbesi">'[73]Sat Upah'!$I$16</definedName>
    <definedName name="tkcat">'[76]HB '!$F$205</definedName>
    <definedName name="tkgali">'[76]HB '!$F$201</definedName>
    <definedName name="tkset">'[5]Sat Bah &amp; Up'!$G$18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oile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tal_Payment_12">NA()</definedName>
    <definedName name="Total_Payment_9">NA()</definedName>
    <definedName name="tplek4">[22]harga!$F$286</definedName>
    <definedName name="tplek6">[22]harga!$F$287</definedName>
    <definedName name="TRAY___0">[97]price!$B$107:$Q$161</definedName>
    <definedName name="Triplek_3_mm">'[99]Daftar Harga'!$G$108</definedName>
    <definedName name="Try___1">[59]Anls!$E$36</definedName>
    <definedName name="Try___2">[59]Anls!$E$36</definedName>
    <definedName name="Try___3">[59]Anls!$E$36</definedName>
    <definedName name="tsI3___0" localSheetId="4">[140]!abfv80___2</definedName>
    <definedName name="tsI3___0" localSheetId="9">[0]!abfv80___2</definedName>
    <definedName name="tsI3___0" localSheetId="0">[0]!abfv80___2</definedName>
    <definedName name="tsI3___0" localSheetId="6">[140]!abfv80___2</definedName>
    <definedName name="tsI3___0" localSheetId="7">[140]!abfv80___2</definedName>
    <definedName name="tsI3___0" localSheetId="5">[140]!abfv80___2</definedName>
    <definedName name="tsI3___0" localSheetId="12">[140]!abfv80___2</definedName>
    <definedName name="tsI3___0">[141]!abfv80___2</definedName>
    <definedName name="TT___0">[59]Anls!$E$42</definedName>
    <definedName name="TT___1">[155]Anls!$E$42</definedName>
    <definedName name="TT___2">[155]Anls!$E$42</definedName>
    <definedName name="tuk_cat">'[32]Daf-Harga'!$H$22</definedName>
    <definedName name="Tukang_Cat_Pelitur_Terampil">[31]UPAH!$D$17</definedName>
    <definedName name="TV.Nas___1">[29]Anls!$E$35</definedName>
    <definedName name="TV.Nas___2">[29]Anls!$E$35</definedName>
    <definedName name="TV.Nas___3">[29]Anls!$E$35</definedName>
    <definedName name="TV.Phil___1">[29]Anls!$E$39</definedName>
    <definedName name="TV.Phil___2">[29]Anls!$E$39</definedName>
    <definedName name="TV.Phil___3">[29]Anls!$E$39</definedName>
    <definedName name="ty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lir">[22]harga!$F$38</definedName>
    <definedName name="umeranti">[22]harga!$F$114</definedName>
    <definedName name="umum" localSheetId="9">'Pas. Dinding'!umum</definedName>
    <definedName name="umum" localSheetId="12">'TABEL BAJA'!umum</definedName>
    <definedName name="umum">[16]!umum</definedName>
    <definedName name="uruganlimestone">'[47]Analisa Harga'!$H$71</definedName>
    <definedName name="uruganmacadam">[44]Analisa!$I$74</definedName>
    <definedName name="urugsirtupadat">[156]Analisa!$I$67</definedName>
    <definedName name="urukan">[30]URUKAN!$G$40</definedName>
    <definedName name="USUKBKR">'[21]Sat-Rap'!$F$42</definedName>
    <definedName name="uu" localSheetId="9" hidden="1">[157]H.Satuan!#REF!</definedName>
    <definedName name="uu" localSheetId="0" hidden="1">[157]H.Satuan!#REF!</definedName>
    <definedName name="uu" localSheetId="7" hidden="1">[157]H.Satuan!#REF!</definedName>
    <definedName name="uu" localSheetId="13" hidden="1">[157]H.Satuan!#REF!</definedName>
    <definedName name="uu" localSheetId="8" hidden="1">[157]H.Satuan!#REF!</definedName>
    <definedName name="uu" localSheetId="12" hidden="1">[157]H.Satuan!#REF!</definedName>
    <definedName name="uu" hidden="1">[157]H.Satuan!#REF!</definedName>
    <definedName name="V_2___0">[158]Pipe!$A$12:$I$33</definedName>
    <definedName name="V_2___1">[158]Pipe!$A$12:$I$33</definedName>
    <definedName name="V_2___2">[158]Pipe!$A$12:$I$33</definedName>
    <definedName name="V_2___3">[158]Pipe!$A$12:$I$33</definedName>
    <definedName name="val___0">[159]Pipe!$A$12:$I$31</definedName>
    <definedName name="val___1">[159]Pipe!$A$12:$I$31</definedName>
    <definedName name="val___2">[159]Pipe!$A$12:$I$31</definedName>
    <definedName name="val___3">[159]Pipe!$A$12:$I$31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VV" localSheetId="9" hidden="1">[160]LOADDAT!#REF!</definedName>
    <definedName name="VVV" localSheetId="0" hidden="1">[160]LOADDAT!#REF!</definedName>
    <definedName name="VVV" localSheetId="7" hidden="1">[160]LOADDAT!#REF!</definedName>
    <definedName name="VVV" localSheetId="13" hidden="1">[160]LOADDAT!#REF!</definedName>
    <definedName name="VVV" localSheetId="8" hidden="1">[160]LOADDAT!#REF!</definedName>
    <definedName name="VVV" localSheetId="12" hidden="1">[160]LOADDAT!#REF!</definedName>
    <definedName name="VVV" hidden="1">[160]LOADDAT!#REF!</definedName>
    <definedName name="vvvvvvv" localSheetId="9" hidden="1">[157]H.Satuan!#REF!</definedName>
    <definedName name="vvvvvvv" localSheetId="7" hidden="1">[157]H.Satuan!#REF!</definedName>
    <definedName name="vvvvvvv" localSheetId="13" hidden="1">[157]H.Satuan!#REF!</definedName>
    <definedName name="vvvvvvv" localSheetId="8" hidden="1">[157]H.Satuan!#REF!</definedName>
    <definedName name="vvvvvvv" localSheetId="12" hidden="1">[157]H.Satuan!#REF!</definedName>
    <definedName name="vvvvvvv" hidden="1">[157]H.Satuan!#REF!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[31]BAHAN!$C$138</definedName>
    <definedName name="Wastafel_Lengkap_INA">[31]BAHAN!$C$133</definedName>
    <definedName name="Wastafel_Lengkap_TOTO_LW_230">[31]BAHAN!$C$132</definedName>
    <definedName name="Water_Profing_Membrance">[31]BAHAN!$C$59</definedName>
    <definedName name="watertanker">'[30]DAFTAR ALAT'!$H$27</definedName>
    <definedName name="wayan" localSheetId="15" hidden="1">{#N/A,#N/A,FALSE,"Chi tiÆt"}</definedName>
    <definedName name="wayan" localSheetId="9" hidden="1">{#N/A,#N/A,FALSE,"Chi tiÆt"}</definedName>
    <definedName name="wayan" localSheetId="0" hidden="1">{#N/A,#N/A,FALSE,"Chi tiÆt"}</definedName>
    <definedName name="wayan" localSheetId="7" hidden="1">{#N/A,#N/A,FALSE,"Chi tiÆt"}</definedName>
    <definedName name="wayan" localSheetId="13" hidden="1">{#N/A,#N/A,FALSE,"Chi tiÆt"}</definedName>
    <definedName name="wayan" localSheetId="8" hidden="1">{#N/A,#N/A,FALSE,"Chi tiÆt"}</definedName>
    <definedName name="wayan" localSheetId="12" hidden="1">{#N/A,#N/A,FALSE,"Chi tiÆt"}</definedName>
    <definedName name="wayan" hidden="1">{#N/A,#N/A,FALSE,"Chi tiÆt"}</definedName>
    <definedName name="wayan_2" localSheetId="15" hidden="1">{#N/A,#N/A,FALSE,"Chi tiÆt"}</definedName>
    <definedName name="wayan_2" localSheetId="9" hidden="1">{#N/A,#N/A,FALSE,"Chi tiÆt"}</definedName>
    <definedName name="wayan_2" localSheetId="0" hidden="1">{#N/A,#N/A,FALSE,"Chi tiÆt"}</definedName>
    <definedName name="wayan_2" localSheetId="7" hidden="1">{#N/A,#N/A,FALSE,"Chi tiÆt"}</definedName>
    <definedName name="wayan_2" localSheetId="13" hidden="1">{#N/A,#N/A,FALSE,"Chi tiÆt"}</definedName>
    <definedName name="wayan_2" localSheetId="8" hidden="1">{#N/A,#N/A,FALSE,"Chi tiÆt"}</definedName>
    <definedName name="wayan_2" localSheetId="12" hidden="1">{#N/A,#N/A,FALSE,"Chi tiÆt"}</definedName>
    <definedName name="wayan_2" hidden="1">{#N/A,#N/A,FALSE,"Chi tiÆt"}</definedName>
    <definedName name="wayan_3" localSheetId="15" hidden="1">{#N/A,#N/A,FALSE,"Chi tiÆt"}</definedName>
    <definedName name="wayan_3" localSheetId="9" hidden="1">{#N/A,#N/A,FALSE,"Chi tiÆt"}</definedName>
    <definedName name="wayan_3" localSheetId="0" hidden="1">{#N/A,#N/A,FALSE,"Chi tiÆt"}</definedName>
    <definedName name="wayan_3" localSheetId="7" hidden="1">{#N/A,#N/A,FALSE,"Chi tiÆt"}</definedName>
    <definedName name="wayan_3" localSheetId="13" hidden="1">{#N/A,#N/A,FALSE,"Chi tiÆt"}</definedName>
    <definedName name="wayan_3" localSheetId="8" hidden="1">{#N/A,#N/A,FALSE,"Chi tiÆt"}</definedName>
    <definedName name="wayan_3" localSheetId="12" hidden="1">{#N/A,#N/A,FALSE,"Chi tiÆt"}</definedName>
    <definedName name="wayan_3" hidden="1">{#N/A,#N/A,FALSE,"Chi tiÆt"}</definedName>
    <definedName name="wayan_4" localSheetId="15" hidden="1">{#N/A,#N/A,FALSE,"Chi tiÆt"}</definedName>
    <definedName name="wayan_4" localSheetId="9" hidden="1">{#N/A,#N/A,FALSE,"Chi tiÆt"}</definedName>
    <definedName name="wayan_4" localSheetId="0" hidden="1">{#N/A,#N/A,FALSE,"Chi tiÆt"}</definedName>
    <definedName name="wayan_4" localSheetId="7" hidden="1">{#N/A,#N/A,FALSE,"Chi tiÆt"}</definedName>
    <definedName name="wayan_4" localSheetId="13" hidden="1">{#N/A,#N/A,FALSE,"Chi tiÆt"}</definedName>
    <definedName name="wayan_4" localSheetId="8" hidden="1">{#N/A,#N/A,FALSE,"Chi tiÆt"}</definedName>
    <definedName name="wayan_4" localSheetId="12" hidden="1">{#N/A,#N/A,FALSE,"Chi tiÆt"}</definedName>
    <definedName name="wayan_4" hidden="1">{#N/A,#N/A,FALSE,"Chi tiÆt"}</definedName>
    <definedName name="wayan_5" localSheetId="15" hidden="1">{#N/A,#N/A,FALSE,"Chi tiÆt"}</definedName>
    <definedName name="wayan_5" localSheetId="9" hidden="1">{#N/A,#N/A,FALSE,"Chi tiÆt"}</definedName>
    <definedName name="wayan_5" localSheetId="0" hidden="1">{#N/A,#N/A,FALSE,"Chi tiÆt"}</definedName>
    <definedName name="wayan_5" localSheetId="7" hidden="1">{#N/A,#N/A,FALSE,"Chi tiÆt"}</definedName>
    <definedName name="wayan_5" localSheetId="13" hidden="1">{#N/A,#N/A,FALSE,"Chi tiÆt"}</definedName>
    <definedName name="wayan_5" localSheetId="8" hidden="1">{#N/A,#N/A,FALSE,"Chi tiÆt"}</definedName>
    <definedName name="wayan_5" localSheetId="12" hidden="1">{#N/A,#N/A,FALSE,"Chi tiÆt"}</definedName>
    <definedName name="wayan_5" hidden="1">{#N/A,#N/A,FALSE,"Chi tiÆt"}</definedName>
    <definedName name="wedus" hidden="1">#N/A</definedName>
    <definedName name="wee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l_loder_1.7">'[32]Daf-Harga'!$H$51</definedName>
    <definedName name="WERQWREQ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f___1">[55]sheet1!$H$65</definedName>
    <definedName name="wf___2">[55]sheet1!$H$65</definedName>
    <definedName name="Window">'[72]D &amp; W sizes'!$G$3:$I$19</definedName>
    <definedName name="wr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localSheetId="15" hidden="1">{#N/A,#N/A,FALSE,"REK";#N/A,#N/A,FALSE,"Bq-ARS"}</definedName>
    <definedName name="wrn.AAA." localSheetId="9" hidden="1">{#N/A,#N/A,FALSE,"REK";#N/A,#N/A,FALSE,"Bq-ARS"}</definedName>
    <definedName name="wrn.AAA." localSheetId="0" hidden="1">{#N/A,#N/A,FALSE,"REK";#N/A,#N/A,FALSE,"Bq-ARS"}</definedName>
    <definedName name="wrn.AAA." localSheetId="7" hidden="1">{#N/A,#N/A,FALSE,"REK";#N/A,#N/A,FALSE,"Bq-ARS"}</definedName>
    <definedName name="wrn.AAA." localSheetId="13" hidden="1">{#N/A,#N/A,FALSE,"REK";#N/A,#N/A,FALSE,"Bq-ARS"}</definedName>
    <definedName name="wrn.AAA." localSheetId="8" hidden="1">{#N/A,#N/A,FALSE,"REK";#N/A,#N/A,FALSE,"Bq-ARS"}</definedName>
    <definedName name="wrn.AAA." localSheetId="12" hidden="1">{#N/A,#N/A,FALSE,"REK";#N/A,#N/A,FALSE,"Bq-ARS"}</definedName>
    <definedName name="wrn.AAA." hidden="1">{#N/A,#N/A,FALSE,"REK";#N/A,#N/A,FALSE,"Bq-ARS"}</definedName>
    <definedName name="wrn.AAA._2" localSheetId="15" hidden="1">{#N/A,#N/A,FALSE,"REK";#N/A,#N/A,FALSE,"Bq-ARS"}</definedName>
    <definedName name="wrn.AAA._2" localSheetId="9" hidden="1">{#N/A,#N/A,FALSE,"REK";#N/A,#N/A,FALSE,"Bq-ARS"}</definedName>
    <definedName name="wrn.AAA._2" localSheetId="0" hidden="1">{#N/A,#N/A,FALSE,"REK";#N/A,#N/A,FALSE,"Bq-ARS"}</definedName>
    <definedName name="wrn.AAA._2" localSheetId="7" hidden="1">{#N/A,#N/A,FALSE,"REK";#N/A,#N/A,FALSE,"Bq-ARS"}</definedName>
    <definedName name="wrn.AAA._2" localSheetId="13" hidden="1">{#N/A,#N/A,FALSE,"REK";#N/A,#N/A,FALSE,"Bq-ARS"}</definedName>
    <definedName name="wrn.AAA._2" localSheetId="8" hidden="1">{#N/A,#N/A,FALSE,"REK";#N/A,#N/A,FALSE,"Bq-ARS"}</definedName>
    <definedName name="wrn.AAA._2" localSheetId="12" hidden="1">{#N/A,#N/A,FALSE,"REK";#N/A,#N/A,FALSE,"Bq-ARS"}</definedName>
    <definedName name="wrn.AAA._2" hidden="1">{#N/A,#N/A,FALSE,"REK";#N/A,#N/A,FALSE,"Bq-ARS"}</definedName>
    <definedName name="wrn.AAA._3" localSheetId="15" hidden="1">{#N/A,#N/A,FALSE,"REK";#N/A,#N/A,FALSE,"Bq-ARS"}</definedName>
    <definedName name="wrn.AAA._3" localSheetId="9" hidden="1">{#N/A,#N/A,FALSE,"REK";#N/A,#N/A,FALSE,"Bq-ARS"}</definedName>
    <definedName name="wrn.AAA._3" localSheetId="0" hidden="1">{#N/A,#N/A,FALSE,"REK";#N/A,#N/A,FALSE,"Bq-ARS"}</definedName>
    <definedName name="wrn.AAA._3" localSheetId="7" hidden="1">{#N/A,#N/A,FALSE,"REK";#N/A,#N/A,FALSE,"Bq-ARS"}</definedName>
    <definedName name="wrn.AAA._3" localSheetId="13" hidden="1">{#N/A,#N/A,FALSE,"REK";#N/A,#N/A,FALSE,"Bq-ARS"}</definedName>
    <definedName name="wrn.AAA._3" localSheetId="8" hidden="1">{#N/A,#N/A,FALSE,"REK";#N/A,#N/A,FALSE,"Bq-ARS"}</definedName>
    <definedName name="wrn.AAA._3" localSheetId="12" hidden="1">{#N/A,#N/A,FALSE,"REK";#N/A,#N/A,FALSE,"Bq-ARS"}</definedName>
    <definedName name="wrn.AAA._3" hidden="1">{#N/A,#N/A,FALSE,"REK";#N/A,#N/A,FALSE,"Bq-ARS"}</definedName>
    <definedName name="wrn.AAA._4" localSheetId="15" hidden="1">{#N/A,#N/A,FALSE,"REK";#N/A,#N/A,FALSE,"Bq-ARS"}</definedName>
    <definedName name="wrn.AAA._4" localSheetId="9" hidden="1">{#N/A,#N/A,FALSE,"REK";#N/A,#N/A,FALSE,"Bq-ARS"}</definedName>
    <definedName name="wrn.AAA._4" localSheetId="0" hidden="1">{#N/A,#N/A,FALSE,"REK";#N/A,#N/A,FALSE,"Bq-ARS"}</definedName>
    <definedName name="wrn.AAA._4" localSheetId="7" hidden="1">{#N/A,#N/A,FALSE,"REK";#N/A,#N/A,FALSE,"Bq-ARS"}</definedName>
    <definedName name="wrn.AAA._4" localSheetId="13" hidden="1">{#N/A,#N/A,FALSE,"REK";#N/A,#N/A,FALSE,"Bq-ARS"}</definedName>
    <definedName name="wrn.AAA._4" localSheetId="8" hidden="1">{#N/A,#N/A,FALSE,"REK";#N/A,#N/A,FALSE,"Bq-ARS"}</definedName>
    <definedName name="wrn.AAA._4" localSheetId="12" hidden="1">{#N/A,#N/A,FALSE,"REK";#N/A,#N/A,FALSE,"Bq-ARS"}</definedName>
    <definedName name="wrn.AAA._4" hidden="1">{#N/A,#N/A,FALSE,"REK";#N/A,#N/A,FALSE,"Bq-ARS"}</definedName>
    <definedName name="wrn.AAA._5" localSheetId="15" hidden="1">{#N/A,#N/A,FALSE,"REK";#N/A,#N/A,FALSE,"Bq-ARS"}</definedName>
    <definedName name="wrn.AAA._5" localSheetId="9" hidden="1">{#N/A,#N/A,FALSE,"REK";#N/A,#N/A,FALSE,"Bq-ARS"}</definedName>
    <definedName name="wrn.AAA._5" localSheetId="0" hidden="1">{#N/A,#N/A,FALSE,"REK";#N/A,#N/A,FALSE,"Bq-ARS"}</definedName>
    <definedName name="wrn.AAA._5" localSheetId="7" hidden="1">{#N/A,#N/A,FALSE,"REK";#N/A,#N/A,FALSE,"Bq-ARS"}</definedName>
    <definedName name="wrn.AAA._5" localSheetId="13" hidden="1">{#N/A,#N/A,FALSE,"REK";#N/A,#N/A,FALSE,"Bq-ARS"}</definedName>
    <definedName name="wrn.AAA._5" localSheetId="8" hidden="1">{#N/A,#N/A,FALSE,"REK";#N/A,#N/A,FALSE,"Bq-ARS"}</definedName>
    <definedName name="wrn.AAA._5" localSheetId="12" hidden="1">{#N/A,#N/A,FALSE,"REK";#N/A,#N/A,FALSE,"Bq-ARS"}</definedName>
    <definedName name="wrn.AAA._5" hidden="1">{#N/A,#N/A,FALSE,"REK";#N/A,#N/A,FALSE,"Bq-ARS"}</definedName>
    <definedName name="wrn.All_Report1.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15" hidden="1">{#N/A,#N/A,FALSE,"WPO_6221 &amp; 6331"}</definedName>
    <definedName name="wrn.Bahan._.Bakar._.Pelumas._.Listrik." localSheetId="9" hidden="1">{#N/A,#N/A,FALSE,"WPO_6221 &amp; 6331"}</definedName>
    <definedName name="wrn.Bahan._.Bakar._.Pelumas._.Listrik." localSheetId="0" hidden="1">{#N/A,#N/A,FALSE,"WPO_6221 &amp; 6331"}</definedName>
    <definedName name="wrn.Bahan._.Bakar._.Pelumas._.Listrik." localSheetId="7" hidden="1">{#N/A,#N/A,FALSE,"WPO_6221 &amp; 6331"}</definedName>
    <definedName name="wrn.Bahan._.Bakar._.Pelumas._.Listrik." localSheetId="13" hidden="1">{#N/A,#N/A,FALSE,"WPO_6221 &amp; 6331"}</definedName>
    <definedName name="wrn.Bahan._.Bakar._.Pelumas._.Listrik." localSheetId="8" hidden="1">{#N/A,#N/A,FALSE,"WPO_6221 &amp; 6331"}</definedName>
    <definedName name="wrn.Bahan._.Bakar._.Pelumas._.Listrik." localSheetId="12" hidden="1">{#N/A,#N/A,FALSE,"WPO_6221 &amp; 6331"}</definedName>
    <definedName name="wrn.Bahan._.Bakar._.Pelumas._.Listrik." hidden="1">{#N/A,#N/A,FALSE,"WPO_6221 &amp; 6331"}</definedName>
    <definedName name="wrn.Bahan._.Bakar._.Pelumas._.Listrik._2" localSheetId="15" hidden="1">{#N/A,#N/A,FALSE,"WPO_6221 &amp; 6331"}</definedName>
    <definedName name="wrn.Bahan._.Bakar._.Pelumas._.Listrik._2" localSheetId="9" hidden="1">{#N/A,#N/A,FALSE,"WPO_6221 &amp; 6331"}</definedName>
    <definedName name="wrn.Bahan._.Bakar._.Pelumas._.Listrik._2" localSheetId="0" hidden="1">{#N/A,#N/A,FALSE,"WPO_6221 &amp; 6331"}</definedName>
    <definedName name="wrn.Bahan._.Bakar._.Pelumas._.Listrik._2" localSheetId="7" hidden="1">{#N/A,#N/A,FALSE,"WPO_6221 &amp; 6331"}</definedName>
    <definedName name="wrn.Bahan._.Bakar._.Pelumas._.Listrik._2" localSheetId="13" hidden="1">{#N/A,#N/A,FALSE,"WPO_6221 &amp; 6331"}</definedName>
    <definedName name="wrn.Bahan._.Bakar._.Pelumas._.Listrik._2" localSheetId="8" hidden="1">{#N/A,#N/A,FALSE,"WPO_6221 &amp; 6331"}</definedName>
    <definedName name="wrn.Bahan._.Bakar._.Pelumas._.Listrik._2" localSheetId="12" hidden="1">{#N/A,#N/A,FALSE,"WPO_6221 &amp; 6331"}</definedName>
    <definedName name="wrn.Bahan._.Bakar._.Pelumas._.Listrik._2" hidden="1">{#N/A,#N/A,FALSE,"WPO_6221 &amp; 6331"}</definedName>
    <definedName name="wrn.Bahan._.Bakar._.Pelumas._.Listrik._3" localSheetId="15" hidden="1">{#N/A,#N/A,FALSE,"WPO_6221 &amp; 6331"}</definedName>
    <definedName name="wrn.Bahan._.Bakar._.Pelumas._.Listrik._3" localSheetId="9" hidden="1">{#N/A,#N/A,FALSE,"WPO_6221 &amp; 6331"}</definedName>
    <definedName name="wrn.Bahan._.Bakar._.Pelumas._.Listrik._3" localSheetId="0" hidden="1">{#N/A,#N/A,FALSE,"WPO_6221 &amp; 6331"}</definedName>
    <definedName name="wrn.Bahan._.Bakar._.Pelumas._.Listrik._3" localSheetId="7" hidden="1">{#N/A,#N/A,FALSE,"WPO_6221 &amp; 6331"}</definedName>
    <definedName name="wrn.Bahan._.Bakar._.Pelumas._.Listrik._3" localSheetId="13" hidden="1">{#N/A,#N/A,FALSE,"WPO_6221 &amp; 6331"}</definedName>
    <definedName name="wrn.Bahan._.Bakar._.Pelumas._.Listrik._3" localSheetId="8" hidden="1">{#N/A,#N/A,FALSE,"WPO_6221 &amp; 6331"}</definedName>
    <definedName name="wrn.Bahan._.Bakar._.Pelumas._.Listrik._3" localSheetId="12" hidden="1">{#N/A,#N/A,FALSE,"WPO_6221 &amp; 6331"}</definedName>
    <definedName name="wrn.Bahan._.Bakar._.Pelumas._.Listrik._3" hidden="1">{#N/A,#N/A,FALSE,"WPO_6221 &amp; 6331"}</definedName>
    <definedName name="wrn.Bahan._.Bakar._.Pelumas._.Listrik._4" localSheetId="15" hidden="1">{#N/A,#N/A,FALSE,"WPO_6221 &amp; 6331"}</definedName>
    <definedName name="wrn.Bahan._.Bakar._.Pelumas._.Listrik._4" localSheetId="9" hidden="1">{#N/A,#N/A,FALSE,"WPO_6221 &amp; 6331"}</definedName>
    <definedName name="wrn.Bahan._.Bakar._.Pelumas._.Listrik._4" localSheetId="0" hidden="1">{#N/A,#N/A,FALSE,"WPO_6221 &amp; 6331"}</definedName>
    <definedName name="wrn.Bahan._.Bakar._.Pelumas._.Listrik._4" localSheetId="7" hidden="1">{#N/A,#N/A,FALSE,"WPO_6221 &amp; 6331"}</definedName>
    <definedName name="wrn.Bahan._.Bakar._.Pelumas._.Listrik._4" localSheetId="13" hidden="1">{#N/A,#N/A,FALSE,"WPO_6221 &amp; 6331"}</definedName>
    <definedName name="wrn.Bahan._.Bakar._.Pelumas._.Listrik._4" localSheetId="8" hidden="1">{#N/A,#N/A,FALSE,"WPO_6221 &amp; 6331"}</definedName>
    <definedName name="wrn.Bahan._.Bakar._.Pelumas._.Listrik._4" localSheetId="12" hidden="1">{#N/A,#N/A,FALSE,"WPO_6221 &amp; 6331"}</definedName>
    <definedName name="wrn.Bahan._.Bakar._.Pelumas._.Listrik._4" hidden="1">{#N/A,#N/A,FALSE,"WPO_6221 &amp; 6331"}</definedName>
    <definedName name="wrn.Bahan._.Bakar._.Pelumas._.Listrik._5" localSheetId="15" hidden="1">{#N/A,#N/A,FALSE,"WPO_6221 &amp; 6331"}</definedName>
    <definedName name="wrn.Bahan._.Bakar._.Pelumas._.Listrik._5" localSheetId="9" hidden="1">{#N/A,#N/A,FALSE,"WPO_6221 &amp; 6331"}</definedName>
    <definedName name="wrn.Bahan._.Bakar._.Pelumas._.Listrik._5" localSheetId="0" hidden="1">{#N/A,#N/A,FALSE,"WPO_6221 &amp; 6331"}</definedName>
    <definedName name="wrn.Bahan._.Bakar._.Pelumas._.Listrik._5" localSheetId="7" hidden="1">{#N/A,#N/A,FALSE,"WPO_6221 &amp; 6331"}</definedName>
    <definedName name="wrn.Bahan._.Bakar._.Pelumas._.Listrik._5" localSheetId="13" hidden="1">{#N/A,#N/A,FALSE,"WPO_6221 &amp; 6331"}</definedName>
    <definedName name="wrn.Bahan._.Bakar._.Pelumas._.Listrik._5" localSheetId="8" hidden="1">{#N/A,#N/A,FALSE,"WPO_6221 &amp; 6331"}</definedName>
    <definedName name="wrn.Bahan._.Bakar._.Pelumas._.Listrik._5" localSheetId="12" hidden="1">{#N/A,#N/A,FALSE,"WPO_6221 &amp; 6331"}</definedName>
    <definedName name="wrn.Bahan._.Bakar._.Pelumas._.Listrik._5" hidden="1">{#N/A,#N/A,FALSE,"WPO_6221 &amp; 6331"}</definedName>
    <definedName name="wrn.Biaya._.Cetak._.Ongkos._.Angkut." localSheetId="15" hidden="1">{#N/A,#N/A,FALSE,"WPO_6230 &amp; 6415"}</definedName>
    <definedName name="wrn.Biaya._.Cetak._.Ongkos._.Angkut." localSheetId="9" hidden="1">{#N/A,#N/A,FALSE,"WPO_6230 &amp; 6415"}</definedName>
    <definedName name="wrn.Biaya._.Cetak._.Ongkos._.Angkut." localSheetId="0" hidden="1">{#N/A,#N/A,FALSE,"WPO_6230 &amp; 6415"}</definedName>
    <definedName name="wrn.Biaya._.Cetak._.Ongkos._.Angkut." localSheetId="7" hidden="1">{#N/A,#N/A,FALSE,"WPO_6230 &amp; 6415"}</definedName>
    <definedName name="wrn.Biaya._.Cetak._.Ongkos._.Angkut." localSheetId="13" hidden="1">{#N/A,#N/A,FALSE,"WPO_6230 &amp; 6415"}</definedName>
    <definedName name="wrn.Biaya._.Cetak._.Ongkos._.Angkut." localSheetId="8" hidden="1">{#N/A,#N/A,FALSE,"WPO_6230 &amp; 6415"}</definedName>
    <definedName name="wrn.Biaya._.Cetak._.Ongkos._.Angkut." localSheetId="12" hidden="1">{#N/A,#N/A,FALSE,"WPO_6230 &amp; 6415"}</definedName>
    <definedName name="wrn.Biaya._.Cetak._.Ongkos._.Angkut." hidden="1">{#N/A,#N/A,FALSE,"WPO_6230 &amp; 6415"}</definedName>
    <definedName name="wrn.Biaya._.Cetak._.Ongkos._.Angkut._2" localSheetId="15" hidden="1">{#N/A,#N/A,FALSE,"WPO_6230 &amp; 6415"}</definedName>
    <definedName name="wrn.Biaya._.Cetak._.Ongkos._.Angkut._2" localSheetId="9" hidden="1">{#N/A,#N/A,FALSE,"WPO_6230 &amp; 6415"}</definedName>
    <definedName name="wrn.Biaya._.Cetak._.Ongkos._.Angkut._2" localSheetId="0" hidden="1">{#N/A,#N/A,FALSE,"WPO_6230 &amp; 6415"}</definedName>
    <definedName name="wrn.Biaya._.Cetak._.Ongkos._.Angkut._2" localSheetId="7" hidden="1">{#N/A,#N/A,FALSE,"WPO_6230 &amp; 6415"}</definedName>
    <definedName name="wrn.Biaya._.Cetak._.Ongkos._.Angkut._2" localSheetId="13" hidden="1">{#N/A,#N/A,FALSE,"WPO_6230 &amp; 6415"}</definedName>
    <definedName name="wrn.Biaya._.Cetak._.Ongkos._.Angkut._2" localSheetId="8" hidden="1">{#N/A,#N/A,FALSE,"WPO_6230 &amp; 6415"}</definedName>
    <definedName name="wrn.Biaya._.Cetak._.Ongkos._.Angkut._2" localSheetId="12" hidden="1">{#N/A,#N/A,FALSE,"WPO_6230 &amp; 6415"}</definedName>
    <definedName name="wrn.Biaya._.Cetak._.Ongkos._.Angkut._2" hidden="1">{#N/A,#N/A,FALSE,"WPO_6230 &amp; 6415"}</definedName>
    <definedName name="wrn.Biaya._.Cetak._.Ongkos._.Angkut._3" localSheetId="15" hidden="1">{#N/A,#N/A,FALSE,"WPO_6230 &amp; 6415"}</definedName>
    <definedName name="wrn.Biaya._.Cetak._.Ongkos._.Angkut._3" localSheetId="9" hidden="1">{#N/A,#N/A,FALSE,"WPO_6230 &amp; 6415"}</definedName>
    <definedName name="wrn.Biaya._.Cetak._.Ongkos._.Angkut._3" localSheetId="0" hidden="1">{#N/A,#N/A,FALSE,"WPO_6230 &amp; 6415"}</definedName>
    <definedName name="wrn.Biaya._.Cetak._.Ongkos._.Angkut._3" localSheetId="7" hidden="1">{#N/A,#N/A,FALSE,"WPO_6230 &amp; 6415"}</definedName>
    <definedName name="wrn.Biaya._.Cetak._.Ongkos._.Angkut._3" localSheetId="13" hidden="1">{#N/A,#N/A,FALSE,"WPO_6230 &amp; 6415"}</definedName>
    <definedName name="wrn.Biaya._.Cetak._.Ongkos._.Angkut._3" localSheetId="8" hidden="1">{#N/A,#N/A,FALSE,"WPO_6230 &amp; 6415"}</definedName>
    <definedName name="wrn.Biaya._.Cetak._.Ongkos._.Angkut._3" localSheetId="12" hidden="1">{#N/A,#N/A,FALSE,"WPO_6230 &amp; 6415"}</definedName>
    <definedName name="wrn.Biaya._.Cetak._.Ongkos._.Angkut._3" hidden="1">{#N/A,#N/A,FALSE,"WPO_6230 &amp; 6415"}</definedName>
    <definedName name="wrn.Biaya._.Cetak._.Ongkos._.Angkut._4" localSheetId="15" hidden="1">{#N/A,#N/A,FALSE,"WPO_6230 &amp; 6415"}</definedName>
    <definedName name="wrn.Biaya._.Cetak._.Ongkos._.Angkut._4" localSheetId="9" hidden="1">{#N/A,#N/A,FALSE,"WPO_6230 &amp; 6415"}</definedName>
    <definedName name="wrn.Biaya._.Cetak._.Ongkos._.Angkut._4" localSheetId="0" hidden="1">{#N/A,#N/A,FALSE,"WPO_6230 &amp; 6415"}</definedName>
    <definedName name="wrn.Biaya._.Cetak._.Ongkos._.Angkut._4" localSheetId="7" hidden="1">{#N/A,#N/A,FALSE,"WPO_6230 &amp; 6415"}</definedName>
    <definedName name="wrn.Biaya._.Cetak._.Ongkos._.Angkut._4" localSheetId="13" hidden="1">{#N/A,#N/A,FALSE,"WPO_6230 &amp; 6415"}</definedName>
    <definedName name="wrn.Biaya._.Cetak._.Ongkos._.Angkut._4" localSheetId="8" hidden="1">{#N/A,#N/A,FALSE,"WPO_6230 &amp; 6415"}</definedName>
    <definedName name="wrn.Biaya._.Cetak._.Ongkos._.Angkut._4" localSheetId="12" hidden="1">{#N/A,#N/A,FALSE,"WPO_6230 &amp; 6415"}</definedName>
    <definedName name="wrn.Biaya._.Cetak._.Ongkos._.Angkut._4" hidden="1">{#N/A,#N/A,FALSE,"WPO_6230 &amp; 6415"}</definedName>
    <definedName name="wrn.Biaya._.Cetak._.Ongkos._.Angkut._5" localSheetId="15" hidden="1">{#N/A,#N/A,FALSE,"WPO_6230 &amp; 6415"}</definedName>
    <definedName name="wrn.Biaya._.Cetak._.Ongkos._.Angkut._5" localSheetId="9" hidden="1">{#N/A,#N/A,FALSE,"WPO_6230 &amp; 6415"}</definedName>
    <definedName name="wrn.Biaya._.Cetak._.Ongkos._.Angkut._5" localSheetId="0" hidden="1">{#N/A,#N/A,FALSE,"WPO_6230 &amp; 6415"}</definedName>
    <definedName name="wrn.Biaya._.Cetak._.Ongkos._.Angkut._5" localSheetId="7" hidden="1">{#N/A,#N/A,FALSE,"WPO_6230 &amp; 6415"}</definedName>
    <definedName name="wrn.Biaya._.Cetak._.Ongkos._.Angkut._5" localSheetId="13" hidden="1">{#N/A,#N/A,FALSE,"WPO_6230 &amp; 6415"}</definedName>
    <definedName name="wrn.Biaya._.Cetak._.Ongkos._.Angkut._5" localSheetId="8" hidden="1">{#N/A,#N/A,FALSE,"WPO_6230 &amp; 6415"}</definedName>
    <definedName name="wrn.Biaya._.Cetak._.Ongkos._.Angkut._5" localSheetId="12" hidden="1">{#N/A,#N/A,FALSE,"WPO_6230 &amp; 6415"}</definedName>
    <definedName name="wrn.Biaya._.Cetak._.Ongkos._.Angkut._5" hidden="1">{#N/A,#N/A,FALSE,"WPO_6230 &amp; 6415"}</definedName>
    <definedName name="wrn.Biaya._.Produksi." localSheetId="15" hidden="1">{#N/A,#N/A,FALSE,"WPO6426_TBL";#N/A,#N/A,FALSE,"WPO6426"}</definedName>
    <definedName name="wrn.Biaya._.Produksi." localSheetId="9" hidden="1">{#N/A,#N/A,FALSE,"WPO6426_TBL";#N/A,#N/A,FALSE,"WPO6426"}</definedName>
    <definedName name="wrn.Biaya._.Produksi." localSheetId="0" hidden="1">{#N/A,#N/A,FALSE,"WPO6426_TBL";#N/A,#N/A,FALSE,"WPO6426"}</definedName>
    <definedName name="wrn.Biaya._.Produksi." localSheetId="7" hidden="1">{#N/A,#N/A,FALSE,"WPO6426_TBL";#N/A,#N/A,FALSE,"WPO6426"}</definedName>
    <definedName name="wrn.Biaya._.Produksi." localSheetId="13" hidden="1">{#N/A,#N/A,FALSE,"WPO6426_TBL";#N/A,#N/A,FALSE,"WPO6426"}</definedName>
    <definedName name="wrn.Biaya._.Produksi." localSheetId="8" hidden="1">{#N/A,#N/A,FALSE,"WPO6426_TBL";#N/A,#N/A,FALSE,"WPO6426"}</definedName>
    <definedName name="wrn.Biaya._.Produksi." localSheetId="12" hidden="1">{#N/A,#N/A,FALSE,"WPO6426_TBL";#N/A,#N/A,FALSE,"WPO6426"}</definedName>
    <definedName name="wrn.Biaya._.Produksi." hidden="1">{#N/A,#N/A,FALSE,"WPO6426_TBL";#N/A,#N/A,FALSE,"WPO6426"}</definedName>
    <definedName name="wrn.Biaya._.Produksi._2" localSheetId="15" hidden="1">{#N/A,#N/A,FALSE,"WPO6426_TBL";#N/A,#N/A,FALSE,"WPO6426"}</definedName>
    <definedName name="wrn.Biaya._.Produksi._2" localSheetId="9" hidden="1">{#N/A,#N/A,FALSE,"WPO6426_TBL";#N/A,#N/A,FALSE,"WPO6426"}</definedName>
    <definedName name="wrn.Biaya._.Produksi._2" localSheetId="0" hidden="1">{#N/A,#N/A,FALSE,"WPO6426_TBL";#N/A,#N/A,FALSE,"WPO6426"}</definedName>
    <definedName name="wrn.Biaya._.Produksi._2" localSheetId="7" hidden="1">{#N/A,#N/A,FALSE,"WPO6426_TBL";#N/A,#N/A,FALSE,"WPO6426"}</definedName>
    <definedName name="wrn.Biaya._.Produksi._2" localSheetId="13" hidden="1">{#N/A,#N/A,FALSE,"WPO6426_TBL";#N/A,#N/A,FALSE,"WPO6426"}</definedName>
    <definedName name="wrn.Biaya._.Produksi._2" localSheetId="8" hidden="1">{#N/A,#N/A,FALSE,"WPO6426_TBL";#N/A,#N/A,FALSE,"WPO6426"}</definedName>
    <definedName name="wrn.Biaya._.Produksi._2" localSheetId="12" hidden="1">{#N/A,#N/A,FALSE,"WPO6426_TBL";#N/A,#N/A,FALSE,"WPO6426"}</definedName>
    <definedName name="wrn.Biaya._.Produksi._2" hidden="1">{#N/A,#N/A,FALSE,"WPO6426_TBL";#N/A,#N/A,FALSE,"WPO6426"}</definedName>
    <definedName name="wrn.Biaya._.Produksi._3" localSheetId="15" hidden="1">{#N/A,#N/A,FALSE,"WPO6426_TBL";#N/A,#N/A,FALSE,"WPO6426"}</definedName>
    <definedName name="wrn.Biaya._.Produksi._3" localSheetId="9" hidden="1">{#N/A,#N/A,FALSE,"WPO6426_TBL";#N/A,#N/A,FALSE,"WPO6426"}</definedName>
    <definedName name="wrn.Biaya._.Produksi._3" localSheetId="0" hidden="1">{#N/A,#N/A,FALSE,"WPO6426_TBL";#N/A,#N/A,FALSE,"WPO6426"}</definedName>
    <definedName name="wrn.Biaya._.Produksi._3" localSheetId="7" hidden="1">{#N/A,#N/A,FALSE,"WPO6426_TBL";#N/A,#N/A,FALSE,"WPO6426"}</definedName>
    <definedName name="wrn.Biaya._.Produksi._3" localSheetId="13" hidden="1">{#N/A,#N/A,FALSE,"WPO6426_TBL";#N/A,#N/A,FALSE,"WPO6426"}</definedName>
    <definedName name="wrn.Biaya._.Produksi._3" localSheetId="8" hidden="1">{#N/A,#N/A,FALSE,"WPO6426_TBL";#N/A,#N/A,FALSE,"WPO6426"}</definedName>
    <definedName name="wrn.Biaya._.Produksi._3" localSheetId="12" hidden="1">{#N/A,#N/A,FALSE,"WPO6426_TBL";#N/A,#N/A,FALSE,"WPO6426"}</definedName>
    <definedName name="wrn.Biaya._.Produksi._3" hidden="1">{#N/A,#N/A,FALSE,"WPO6426_TBL";#N/A,#N/A,FALSE,"WPO6426"}</definedName>
    <definedName name="wrn.Biaya._.Produksi._4" localSheetId="15" hidden="1">{#N/A,#N/A,FALSE,"WPO6426_TBL";#N/A,#N/A,FALSE,"WPO6426"}</definedName>
    <definedName name="wrn.Biaya._.Produksi._4" localSheetId="9" hidden="1">{#N/A,#N/A,FALSE,"WPO6426_TBL";#N/A,#N/A,FALSE,"WPO6426"}</definedName>
    <definedName name="wrn.Biaya._.Produksi._4" localSheetId="0" hidden="1">{#N/A,#N/A,FALSE,"WPO6426_TBL";#N/A,#N/A,FALSE,"WPO6426"}</definedName>
    <definedName name="wrn.Biaya._.Produksi._4" localSheetId="7" hidden="1">{#N/A,#N/A,FALSE,"WPO6426_TBL";#N/A,#N/A,FALSE,"WPO6426"}</definedName>
    <definedName name="wrn.Biaya._.Produksi._4" localSheetId="13" hidden="1">{#N/A,#N/A,FALSE,"WPO6426_TBL";#N/A,#N/A,FALSE,"WPO6426"}</definedName>
    <definedName name="wrn.Biaya._.Produksi._4" localSheetId="8" hidden="1">{#N/A,#N/A,FALSE,"WPO6426_TBL";#N/A,#N/A,FALSE,"WPO6426"}</definedName>
    <definedName name="wrn.Biaya._.Produksi._4" localSheetId="12" hidden="1">{#N/A,#N/A,FALSE,"WPO6426_TBL";#N/A,#N/A,FALSE,"WPO6426"}</definedName>
    <definedName name="wrn.Biaya._.Produksi._4" hidden="1">{#N/A,#N/A,FALSE,"WPO6426_TBL";#N/A,#N/A,FALSE,"WPO6426"}</definedName>
    <definedName name="wrn.Biaya._.Produksi._5" localSheetId="15" hidden="1">{#N/A,#N/A,FALSE,"WPO6426_TBL";#N/A,#N/A,FALSE,"WPO6426"}</definedName>
    <definedName name="wrn.Biaya._.Produksi._5" localSheetId="9" hidden="1">{#N/A,#N/A,FALSE,"WPO6426_TBL";#N/A,#N/A,FALSE,"WPO6426"}</definedName>
    <definedName name="wrn.Biaya._.Produksi._5" localSheetId="0" hidden="1">{#N/A,#N/A,FALSE,"WPO6426_TBL";#N/A,#N/A,FALSE,"WPO6426"}</definedName>
    <definedName name="wrn.Biaya._.Produksi._5" localSheetId="7" hidden="1">{#N/A,#N/A,FALSE,"WPO6426_TBL";#N/A,#N/A,FALSE,"WPO6426"}</definedName>
    <definedName name="wrn.Biaya._.Produksi._5" localSheetId="13" hidden="1">{#N/A,#N/A,FALSE,"WPO6426_TBL";#N/A,#N/A,FALSE,"WPO6426"}</definedName>
    <definedName name="wrn.Biaya._.Produksi._5" localSheetId="8" hidden="1">{#N/A,#N/A,FALSE,"WPO6426_TBL";#N/A,#N/A,FALSE,"WPO6426"}</definedName>
    <definedName name="wrn.Biaya._.Produksi._5" localSheetId="12" hidden="1">{#N/A,#N/A,FALSE,"WPO6426_TBL";#N/A,#N/A,FALSE,"WPO6426"}</definedName>
    <definedName name="wrn.Biaya._.Produksi._5" hidden="1">{#N/A,#N/A,FALSE,"WPO6426_TBL";#N/A,#N/A,FALSE,"WPO6426"}</definedName>
    <definedName name="wrn.chi._.tiÆt." localSheetId="15" hidden="1">{#N/A,#N/A,FALSE,"Chi tiÆt"}</definedName>
    <definedName name="wrn.chi._.tiÆt." localSheetId="9" hidden="1">{#N/A,#N/A,FALSE,"Chi tiÆt"}</definedName>
    <definedName name="wrn.chi._.tiÆt." localSheetId="0" hidden="1">{#N/A,#N/A,FALSE,"Chi tiÆt"}</definedName>
    <definedName name="wrn.chi._.tiÆt." localSheetId="7" hidden="1">{#N/A,#N/A,FALSE,"Chi tiÆt"}</definedName>
    <definedName name="wrn.chi._.tiÆt." localSheetId="13" hidden="1">{#N/A,#N/A,FALSE,"Chi tiÆt"}</definedName>
    <definedName name="wrn.chi._.tiÆt." localSheetId="8" hidden="1">{#N/A,#N/A,FALSE,"Chi tiÆt"}</definedName>
    <definedName name="wrn.chi._.tiÆt." localSheetId="12" hidden="1">{#N/A,#N/A,FALSE,"Chi tiÆt"}</definedName>
    <definedName name="wrn.chi._.tiÆt." hidden="1">{#N/A,#N/A,FALSE,"Chi tiÆt"}</definedName>
    <definedName name="wrn.chi._.tiÆt._2" localSheetId="15" hidden="1">{#N/A,#N/A,FALSE,"Chi tiÆt"}</definedName>
    <definedName name="wrn.chi._.tiÆt._2" localSheetId="9" hidden="1">{#N/A,#N/A,FALSE,"Chi tiÆt"}</definedName>
    <definedName name="wrn.chi._.tiÆt._2" localSheetId="0" hidden="1">{#N/A,#N/A,FALSE,"Chi tiÆt"}</definedName>
    <definedName name="wrn.chi._.tiÆt._2" localSheetId="7" hidden="1">{#N/A,#N/A,FALSE,"Chi tiÆt"}</definedName>
    <definedName name="wrn.chi._.tiÆt._2" localSheetId="13" hidden="1">{#N/A,#N/A,FALSE,"Chi tiÆt"}</definedName>
    <definedName name="wrn.chi._.tiÆt._2" localSheetId="8" hidden="1">{#N/A,#N/A,FALSE,"Chi tiÆt"}</definedName>
    <definedName name="wrn.chi._.tiÆt._2" localSheetId="12" hidden="1">{#N/A,#N/A,FALSE,"Chi tiÆt"}</definedName>
    <definedName name="wrn.chi._.tiÆt._2" hidden="1">{#N/A,#N/A,FALSE,"Chi tiÆt"}</definedName>
    <definedName name="wrn.chi._.tiÆt._3" localSheetId="15" hidden="1">{#N/A,#N/A,FALSE,"Chi tiÆt"}</definedName>
    <definedName name="wrn.chi._.tiÆt._3" localSheetId="9" hidden="1">{#N/A,#N/A,FALSE,"Chi tiÆt"}</definedName>
    <definedName name="wrn.chi._.tiÆt._3" localSheetId="0" hidden="1">{#N/A,#N/A,FALSE,"Chi tiÆt"}</definedName>
    <definedName name="wrn.chi._.tiÆt._3" localSheetId="7" hidden="1">{#N/A,#N/A,FALSE,"Chi tiÆt"}</definedName>
    <definedName name="wrn.chi._.tiÆt._3" localSheetId="13" hidden="1">{#N/A,#N/A,FALSE,"Chi tiÆt"}</definedName>
    <definedName name="wrn.chi._.tiÆt._3" localSheetId="8" hidden="1">{#N/A,#N/A,FALSE,"Chi tiÆt"}</definedName>
    <definedName name="wrn.chi._.tiÆt._3" localSheetId="12" hidden="1">{#N/A,#N/A,FALSE,"Chi tiÆt"}</definedName>
    <definedName name="wrn.chi._.tiÆt._3" hidden="1">{#N/A,#N/A,FALSE,"Chi tiÆt"}</definedName>
    <definedName name="wrn.chi._.tiÆt._4" localSheetId="15" hidden="1">{#N/A,#N/A,FALSE,"Chi tiÆt"}</definedName>
    <definedName name="wrn.chi._.tiÆt._4" localSheetId="9" hidden="1">{#N/A,#N/A,FALSE,"Chi tiÆt"}</definedName>
    <definedName name="wrn.chi._.tiÆt._4" localSheetId="0" hidden="1">{#N/A,#N/A,FALSE,"Chi tiÆt"}</definedName>
    <definedName name="wrn.chi._.tiÆt._4" localSheetId="7" hidden="1">{#N/A,#N/A,FALSE,"Chi tiÆt"}</definedName>
    <definedName name="wrn.chi._.tiÆt._4" localSheetId="13" hidden="1">{#N/A,#N/A,FALSE,"Chi tiÆt"}</definedName>
    <definedName name="wrn.chi._.tiÆt._4" localSheetId="8" hidden="1">{#N/A,#N/A,FALSE,"Chi tiÆt"}</definedName>
    <definedName name="wrn.chi._.tiÆt._4" localSheetId="12" hidden="1">{#N/A,#N/A,FALSE,"Chi tiÆt"}</definedName>
    <definedName name="wrn.chi._.tiÆt._4" hidden="1">{#N/A,#N/A,FALSE,"Chi tiÆt"}</definedName>
    <definedName name="wrn.chi._.tiÆt._5" localSheetId="15" hidden="1">{#N/A,#N/A,FALSE,"Chi tiÆt"}</definedName>
    <definedName name="wrn.chi._.tiÆt._5" localSheetId="9" hidden="1">{#N/A,#N/A,FALSE,"Chi tiÆt"}</definedName>
    <definedName name="wrn.chi._.tiÆt._5" localSheetId="0" hidden="1">{#N/A,#N/A,FALSE,"Chi tiÆt"}</definedName>
    <definedName name="wrn.chi._.tiÆt._5" localSheetId="7" hidden="1">{#N/A,#N/A,FALSE,"Chi tiÆt"}</definedName>
    <definedName name="wrn.chi._.tiÆt._5" localSheetId="13" hidden="1">{#N/A,#N/A,FALSE,"Chi tiÆt"}</definedName>
    <definedName name="wrn.chi._.tiÆt._5" localSheetId="8" hidden="1">{#N/A,#N/A,FALSE,"Chi tiÆt"}</definedName>
    <definedName name="wrn.chi._.tiÆt._5" localSheetId="12" hidden="1">{#N/A,#N/A,FALSE,"Chi tiÆt"}</definedName>
    <definedName name="wrn.chi._.tiÆt._5" hidden="1">{#N/A,#N/A,FALSE,"Chi tiÆt"}</definedName>
    <definedName name="wrn.Cukai._.PPN._.Bandrol._.Rusak." localSheetId="15" hidden="1">{#N/A,#N/A,FALSE,"WPO6241_TBL";#N/A,#N/A,FALSE,"WPO6242_TBL";#N/A,#N/A,FALSE,"WPO_Cukai_PPN"}</definedName>
    <definedName name="wrn.Cukai._.PPN._.Bandrol._.Rusak." localSheetId="9" hidden="1">{#N/A,#N/A,FALSE,"WPO6241_TBL";#N/A,#N/A,FALSE,"WPO6242_TBL";#N/A,#N/A,FALSE,"WPO_Cukai_PPN"}</definedName>
    <definedName name="wrn.Cukai._.PPN._.Bandrol._.Rusak." localSheetId="0" hidden="1">{#N/A,#N/A,FALSE,"WPO6241_TBL";#N/A,#N/A,FALSE,"WPO6242_TBL";#N/A,#N/A,FALSE,"WPO_Cukai_PPN"}</definedName>
    <definedName name="wrn.Cukai._.PPN._.Bandrol._.Rusak." localSheetId="7" hidden="1">{#N/A,#N/A,FALSE,"WPO6241_TBL";#N/A,#N/A,FALSE,"WPO6242_TBL";#N/A,#N/A,FALSE,"WPO_Cukai_PPN"}</definedName>
    <definedName name="wrn.Cukai._.PPN._.Bandrol._.Rusak." localSheetId="13" hidden="1">{#N/A,#N/A,FALSE,"WPO6241_TBL";#N/A,#N/A,FALSE,"WPO6242_TBL";#N/A,#N/A,FALSE,"WPO_Cukai_PPN"}</definedName>
    <definedName name="wrn.Cukai._.PPN._.Bandrol._.Rusak." localSheetId="8" hidden="1">{#N/A,#N/A,FALSE,"WPO6241_TBL";#N/A,#N/A,FALSE,"WPO6242_TBL";#N/A,#N/A,FALSE,"WPO_Cukai_PPN"}</definedName>
    <definedName name="wrn.Cukai._.PPN._.Bandrol._.Rusak." localSheetId="12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kai._.PPN._.Bandrol._.Rusak._2" localSheetId="15" hidden="1">{#N/A,#N/A,FALSE,"WPO6241_TBL";#N/A,#N/A,FALSE,"WPO6242_TBL";#N/A,#N/A,FALSE,"WPO_Cukai_PPN"}</definedName>
    <definedName name="wrn.Cukai._.PPN._.Bandrol._.Rusak._2" localSheetId="9" hidden="1">{#N/A,#N/A,FALSE,"WPO6241_TBL";#N/A,#N/A,FALSE,"WPO6242_TBL";#N/A,#N/A,FALSE,"WPO_Cukai_PPN"}</definedName>
    <definedName name="wrn.Cukai._.PPN._.Bandrol._.Rusak._2" localSheetId="0" hidden="1">{#N/A,#N/A,FALSE,"WPO6241_TBL";#N/A,#N/A,FALSE,"WPO6242_TBL";#N/A,#N/A,FALSE,"WPO_Cukai_PPN"}</definedName>
    <definedName name="wrn.Cukai._.PPN._.Bandrol._.Rusak._2" localSheetId="7" hidden="1">{#N/A,#N/A,FALSE,"WPO6241_TBL";#N/A,#N/A,FALSE,"WPO6242_TBL";#N/A,#N/A,FALSE,"WPO_Cukai_PPN"}</definedName>
    <definedName name="wrn.Cukai._.PPN._.Bandrol._.Rusak._2" localSheetId="13" hidden="1">{#N/A,#N/A,FALSE,"WPO6241_TBL";#N/A,#N/A,FALSE,"WPO6242_TBL";#N/A,#N/A,FALSE,"WPO_Cukai_PPN"}</definedName>
    <definedName name="wrn.Cukai._.PPN._.Bandrol._.Rusak._2" localSheetId="8" hidden="1">{#N/A,#N/A,FALSE,"WPO6241_TBL";#N/A,#N/A,FALSE,"WPO6242_TBL";#N/A,#N/A,FALSE,"WPO_Cukai_PPN"}</definedName>
    <definedName name="wrn.Cukai._.PPN._.Bandrol._.Rusak._2" localSheetId="12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localSheetId="15" hidden="1">{#N/A,#N/A,FALSE,"WPO6241_TBL";#N/A,#N/A,FALSE,"WPO6242_TBL";#N/A,#N/A,FALSE,"WPO_Cukai_PPN"}</definedName>
    <definedName name="wrn.Cukai._.PPN._.Bandrol._.Rusak._3" localSheetId="9" hidden="1">{#N/A,#N/A,FALSE,"WPO6241_TBL";#N/A,#N/A,FALSE,"WPO6242_TBL";#N/A,#N/A,FALSE,"WPO_Cukai_PPN"}</definedName>
    <definedName name="wrn.Cukai._.PPN._.Bandrol._.Rusak._3" localSheetId="0" hidden="1">{#N/A,#N/A,FALSE,"WPO6241_TBL";#N/A,#N/A,FALSE,"WPO6242_TBL";#N/A,#N/A,FALSE,"WPO_Cukai_PPN"}</definedName>
    <definedName name="wrn.Cukai._.PPN._.Bandrol._.Rusak._3" localSheetId="7" hidden="1">{#N/A,#N/A,FALSE,"WPO6241_TBL";#N/A,#N/A,FALSE,"WPO6242_TBL";#N/A,#N/A,FALSE,"WPO_Cukai_PPN"}</definedName>
    <definedName name="wrn.Cukai._.PPN._.Bandrol._.Rusak._3" localSheetId="13" hidden="1">{#N/A,#N/A,FALSE,"WPO6241_TBL";#N/A,#N/A,FALSE,"WPO6242_TBL";#N/A,#N/A,FALSE,"WPO_Cukai_PPN"}</definedName>
    <definedName name="wrn.Cukai._.PPN._.Bandrol._.Rusak._3" localSheetId="8" hidden="1">{#N/A,#N/A,FALSE,"WPO6241_TBL";#N/A,#N/A,FALSE,"WPO6242_TBL";#N/A,#N/A,FALSE,"WPO_Cukai_PPN"}</definedName>
    <definedName name="wrn.Cukai._.PPN._.Bandrol._.Rusak._3" localSheetId="12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localSheetId="15" hidden="1">{#N/A,#N/A,FALSE,"WPO6241_TBL";#N/A,#N/A,FALSE,"WPO6242_TBL";#N/A,#N/A,FALSE,"WPO_Cukai_PPN"}</definedName>
    <definedName name="wrn.Cukai._.PPN._.Bandrol._.Rusak._4" localSheetId="9" hidden="1">{#N/A,#N/A,FALSE,"WPO6241_TBL";#N/A,#N/A,FALSE,"WPO6242_TBL";#N/A,#N/A,FALSE,"WPO_Cukai_PPN"}</definedName>
    <definedName name="wrn.Cukai._.PPN._.Bandrol._.Rusak._4" localSheetId="0" hidden="1">{#N/A,#N/A,FALSE,"WPO6241_TBL";#N/A,#N/A,FALSE,"WPO6242_TBL";#N/A,#N/A,FALSE,"WPO_Cukai_PPN"}</definedName>
    <definedName name="wrn.Cukai._.PPN._.Bandrol._.Rusak._4" localSheetId="7" hidden="1">{#N/A,#N/A,FALSE,"WPO6241_TBL";#N/A,#N/A,FALSE,"WPO6242_TBL";#N/A,#N/A,FALSE,"WPO_Cukai_PPN"}</definedName>
    <definedName name="wrn.Cukai._.PPN._.Bandrol._.Rusak._4" localSheetId="13" hidden="1">{#N/A,#N/A,FALSE,"WPO6241_TBL";#N/A,#N/A,FALSE,"WPO6242_TBL";#N/A,#N/A,FALSE,"WPO_Cukai_PPN"}</definedName>
    <definedName name="wrn.Cukai._.PPN._.Bandrol._.Rusak._4" localSheetId="8" hidden="1">{#N/A,#N/A,FALSE,"WPO6241_TBL";#N/A,#N/A,FALSE,"WPO6242_TBL";#N/A,#N/A,FALSE,"WPO_Cukai_PPN"}</definedName>
    <definedName name="wrn.Cukai._.PPN._.Bandrol._.Rusak._4" localSheetId="12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localSheetId="15" hidden="1">{#N/A,#N/A,FALSE,"WPO6241_TBL";#N/A,#N/A,FALSE,"WPO6242_TBL";#N/A,#N/A,FALSE,"WPO_Cukai_PPN"}</definedName>
    <definedName name="wrn.Cukai._.PPN._.Bandrol._.Rusak._5" localSheetId="9" hidden="1">{#N/A,#N/A,FALSE,"WPO6241_TBL";#N/A,#N/A,FALSE,"WPO6242_TBL";#N/A,#N/A,FALSE,"WPO_Cukai_PPN"}</definedName>
    <definedName name="wrn.Cukai._.PPN._.Bandrol._.Rusak._5" localSheetId="0" hidden="1">{#N/A,#N/A,FALSE,"WPO6241_TBL";#N/A,#N/A,FALSE,"WPO6242_TBL";#N/A,#N/A,FALSE,"WPO_Cukai_PPN"}</definedName>
    <definedName name="wrn.Cukai._.PPN._.Bandrol._.Rusak._5" localSheetId="7" hidden="1">{#N/A,#N/A,FALSE,"WPO6241_TBL";#N/A,#N/A,FALSE,"WPO6242_TBL";#N/A,#N/A,FALSE,"WPO_Cukai_PPN"}</definedName>
    <definedName name="wrn.Cukai._.PPN._.Bandrol._.Rusak._5" localSheetId="13" hidden="1">{#N/A,#N/A,FALSE,"WPO6241_TBL";#N/A,#N/A,FALSE,"WPO6242_TBL";#N/A,#N/A,FALSE,"WPO_Cukai_PPN"}</definedName>
    <definedName name="wrn.Cukai._.PPN._.Bandrol._.Rusak._5" localSheetId="8" hidden="1">{#N/A,#N/A,FALSE,"WPO6241_TBL";#N/A,#N/A,FALSE,"WPO6242_TBL";#N/A,#N/A,FALSE,"WPO_Cukai_PPN"}</definedName>
    <definedName name="wrn.Cukai._.PPN._.Bandrol._.Rusak._5" localSheetId="12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ull._.Report.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15" hidden="1">{#N/A,#N/A,FALSE,"WPO6101_TBL";#N/A,#N/A,FALSE,"WPO6101";#N/A,#N/A,FALSE,"WPO6102_TBL";#N/A,#N/A,FALSE,"WPO6102";#N/A,#N/A,FALSE,"WPO6111_TBL";#N/A,#N/A,FALSE,"WPO_borongan"}</definedName>
    <definedName name="wrn.Produksi._.Borongan." localSheetId="9" hidden="1">{#N/A,#N/A,FALSE,"WPO6101_TBL";#N/A,#N/A,FALSE,"WPO6101";#N/A,#N/A,FALSE,"WPO6102_TBL";#N/A,#N/A,FALSE,"WPO6102";#N/A,#N/A,FALSE,"WPO6111_TBL";#N/A,#N/A,FALSE,"WPO_borongan"}</definedName>
    <definedName name="wrn.Produksi._.Borongan." localSheetId="0" hidden="1">{#N/A,#N/A,FALSE,"WPO6101_TBL";#N/A,#N/A,FALSE,"WPO6101";#N/A,#N/A,FALSE,"WPO6102_TBL";#N/A,#N/A,FALSE,"WPO6102";#N/A,#N/A,FALSE,"WPO6111_TBL";#N/A,#N/A,FALSE,"WPO_borongan"}</definedName>
    <definedName name="wrn.Produksi._.Borongan." localSheetId="7" hidden="1">{#N/A,#N/A,FALSE,"WPO6101_TBL";#N/A,#N/A,FALSE,"WPO6101";#N/A,#N/A,FALSE,"WPO6102_TBL";#N/A,#N/A,FALSE,"WPO6102";#N/A,#N/A,FALSE,"WPO6111_TBL";#N/A,#N/A,FALSE,"WPO_borongan"}</definedName>
    <definedName name="wrn.Produksi._.Borongan." localSheetId="13" hidden="1">{#N/A,#N/A,FALSE,"WPO6101_TBL";#N/A,#N/A,FALSE,"WPO6101";#N/A,#N/A,FALSE,"WPO6102_TBL";#N/A,#N/A,FALSE,"WPO6102";#N/A,#N/A,FALSE,"WPO6111_TBL";#N/A,#N/A,FALSE,"WPO_borongan"}</definedName>
    <definedName name="wrn.Produksi._.Borongan." localSheetId="8" hidden="1">{#N/A,#N/A,FALSE,"WPO6101_TBL";#N/A,#N/A,FALSE,"WPO6101";#N/A,#N/A,FALSE,"WPO6102_TBL";#N/A,#N/A,FALSE,"WPO6102";#N/A,#N/A,FALSE,"WPO6111_TBL";#N/A,#N/A,FALSE,"WPO_borongan"}</definedName>
    <definedName name="wrn.Produksi._.Borongan." localSheetId="12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15" hidden="1">{#N/A,#N/A,FALSE,"WPO6105_TBL";#N/A,#N/A,FALSE,"WPO6105";#N/A,#N/A,FALSE,"WPO6106_TBL";#N/A,#N/A,FALSE,"WPO6106"}</definedName>
    <definedName name="wrn.Produksi._.Borongan._.Belajar." localSheetId="9" hidden="1">{#N/A,#N/A,FALSE,"WPO6105_TBL";#N/A,#N/A,FALSE,"WPO6105";#N/A,#N/A,FALSE,"WPO6106_TBL";#N/A,#N/A,FALSE,"WPO6106"}</definedName>
    <definedName name="wrn.Produksi._.Borongan._.Belajar." localSheetId="0" hidden="1">{#N/A,#N/A,FALSE,"WPO6105_TBL";#N/A,#N/A,FALSE,"WPO6105";#N/A,#N/A,FALSE,"WPO6106_TBL";#N/A,#N/A,FALSE,"WPO6106"}</definedName>
    <definedName name="wrn.Produksi._.Borongan._.Belajar." localSheetId="7" hidden="1">{#N/A,#N/A,FALSE,"WPO6105_TBL";#N/A,#N/A,FALSE,"WPO6105";#N/A,#N/A,FALSE,"WPO6106_TBL";#N/A,#N/A,FALSE,"WPO6106"}</definedName>
    <definedName name="wrn.Produksi._.Borongan._.Belajar." localSheetId="13" hidden="1">{#N/A,#N/A,FALSE,"WPO6105_TBL";#N/A,#N/A,FALSE,"WPO6105";#N/A,#N/A,FALSE,"WPO6106_TBL";#N/A,#N/A,FALSE,"WPO6106"}</definedName>
    <definedName name="wrn.Produksi._.Borongan._.Belajar." localSheetId="8" hidden="1">{#N/A,#N/A,FALSE,"WPO6105_TBL";#N/A,#N/A,FALSE,"WPO6105";#N/A,#N/A,FALSE,"WPO6106_TBL";#N/A,#N/A,FALSE,"WPO6106"}</definedName>
    <definedName name="wrn.Produksi._.Borongan._.Belajar." localSheetId="12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Borongan._.Belajar._2" localSheetId="15" hidden="1">{#N/A,#N/A,FALSE,"WPO6105_TBL";#N/A,#N/A,FALSE,"WPO6105";#N/A,#N/A,FALSE,"WPO6106_TBL";#N/A,#N/A,FALSE,"WPO6106"}</definedName>
    <definedName name="wrn.Produksi._.Borongan._.Belajar._2" localSheetId="9" hidden="1">{#N/A,#N/A,FALSE,"WPO6105_TBL";#N/A,#N/A,FALSE,"WPO6105";#N/A,#N/A,FALSE,"WPO6106_TBL";#N/A,#N/A,FALSE,"WPO6106"}</definedName>
    <definedName name="wrn.Produksi._.Borongan._.Belajar._2" localSheetId="0" hidden="1">{#N/A,#N/A,FALSE,"WPO6105_TBL";#N/A,#N/A,FALSE,"WPO6105";#N/A,#N/A,FALSE,"WPO6106_TBL";#N/A,#N/A,FALSE,"WPO6106"}</definedName>
    <definedName name="wrn.Produksi._.Borongan._.Belajar._2" localSheetId="7" hidden="1">{#N/A,#N/A,FALSE,"WPO6105_TBL";#N/A,#N/A,FALSE,"WPO6105";#N/A,#N/A,FALSE,"WPO6106_TBL";#N/A,#N/A,FALSE,"WPO6106"}</definedName>
    <definedName name="wrn.Produksi._.Borongan._.Belajar._2" localSheetId="13" hidden="1">{#N/A,#N/A,FALSE,"WPO6105_TBL";#N/A,#N/A,FALSE,"WPO6105";#N/A,#N/A,FALSE,"WPO6106_TBL";#N/A,#N/A,FALSE,"WPO6106"}</definedName>
    <definedName name="wrn.Produksi._.Borongan._.Belajar._2" localSheetId="8" hidden="1">{#N/A,#N/A,FALSE,"WPO6105_TBL";#N/A,#N/A,FALSE,"WPO6105";#N/A,#N/A,FALSE,"WPO6106_TBL";#N/A,#N/A,FALSE,"WPO6106"}</definedName>
    <definedName name="wrn.Produksi._.Borongan._.Belajar._2" localSheetId="12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localSheetId="15" hidden="1">{#N/A,#N/A,FALSE,"WPO6105_TBL";#N/A,#N/A,FALSE,"WPO6105";#N/A,#N/A,FALSE,"WPO6106_TBL";#N/A,#N/A,FALSE,"WPO6106"}</definedName>
    <definedName name="wrn.Produksi._.Borongan._.Belajar._3" localSheetId="9" hidden="1">{#N/A,#N/A,FALSE,"WPO6105_TBL";#N/A,#N/A,FALSE,"WPO6105";#N/A,#N/A,FALSE,"WPO6106_TBL";#N/A,#N/A,FALSE,"WPO6106"}</definedName>
    <definedName name="wrn.Produksi._.Borongan._.Belajar._3" localSheetId="0" hidden="1">{#N/A,#N/A,FALSE,"WPO6105_TBL";#N/A,#N/A,FALSE,"WPO6105";#N/A,#N/A,FALSE,"WPO6106_TBL";#N/A,#N/A,FALSE,"WPO6106"}</definedName>
    <definedName name="wrn.Produksi._.Borongan._.Belajar._3" localSheetId="7" hidden="1">{#N/A,#N/A,FALSE,"WPO6105_TBL";#N/A,#N/A,FALSE,"WPO6105";#N/A,#N/A,FALSE,"WPO6106_TBL";#N/A,#N/A,FALSE,"WPO6106"}</definedName>
    <definedName name="wrn.Produksi._.Borongan._.Belajar._3" localSheetId="13" hidden="1">{#N/A,#N/A,FALSE,"WPO6105_TBL";#N/A,#N/A,FALSE,"WPO6105";#N/A,#N/A,FALSE,"WPO6106_TBL";#N/A,#N/A,FALSE,"WPO6106"}</definedName>
    <definedName name="wrn.Produksi._.Borongan._.Belajar._3" localSheetId="8" hidden="1">{#N/A,#N/A,FALSE,"WPO6105_TBL";#N/A,#N/A,FALSE,"WPO6105";#N/A,#N/A,FALSE,"WPO6106_TBL";#N/A,#N/A,FALSE,"WPO6106"}</definedName>
    <definedName name="wrn.Produksi._.Borongan._.Belajar._3" localSheetId="12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localSheetId="15" hidden="1">{#N/A,#N/A,FALSE,"WPO6105_TBL";#N/A,#N/A,FALSE,"WPO6105";#N/A,#N/A,FALSE,"WPO6106_TBL";#N/A,#N/A,FALSE,"WPO6106"}</definedName>
    <definedName name="wrn.Produksi._.Borongan._.Belajar._4" localSheetId="9" hidden="1">{#N/A,#N/A,FALSE,"WPO6105_TBL";#N/A,#N/A,FALSE,"WPO6105";#N/A,#N/A,FALSE,"WPO6106_TBL";#N/A,#N/A,FALSE,"WPO6106"}</definedName>
    <definedName name="wrn.Produksi._.Borongan._.Belajar._4" localSheetId="0" hidden="1">{#N/A,#N/A,FALSE,"WPO6105_TBL";#N/A,#N/A,FALSE,"WPO6105";#N/A,#N/A,FALSE,"WPO6106_TBL";#N/A,#N/A,FALSE,"WPO6106"}</definedName>
    <definedName name="wrn.Produksi._.Borongan._.Belajar._4" localSheetId="7" hidden="1">{#N/A,#N/A,FALSE,"WPO6105_TBL";#N/A,#N/A,FALSE,"WPO6105";#N/A,#N/A,FALSE,"WPO6106_TBL";#N/A,#N/A,FALSE,"WPO6106"}</definedName>
    <definedName name="wrn.Produksi._.Borongan._.Belajar._4" localSheetId="13" hidden="1">{#N/A,#N/A,FALSE,"WPO6105_TBL";#N/A,#N/A,FALSE,"WPO6105";#N/A,#N/A,FALSE,"WPO6106_TBL";#N/A,#N/A,FALSE,"WPO6106"}</definedName>
    <definedName name="wrn.Produksi._.Borongan._.Belajar._4" localSheetId="8" hidden="1">{#N/A,#N/A,FALSE,"WPO6105_TBL";#N/A,#N/A,FALSE,"WPO6105";#N/A,#N/A,FALSE,"WPO6106_TBL";#N/A,#N/A,FALSE,"WPO6106"}</definedName>
    <definedName name="wrn.Produksi._.Borongan._.Belajar._4" localSheetId="12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localSheetId="15" hidden="1">{#N/A,#N/A,FALSE,"WPO6105_TBL";#N/A,#N/A,FALSE,"WPO6105";#N/A,#N/A,FALSE,"WPO6106_TBL";#N/A,#N/A,FALSE,"WPO6106"}</definedName>
    <definedName name="wrn.Produksi._.Borongan._.Belajar._5" localSheetId="9" hidden="1">{#N/A,#N/A,FALSE,"WPO6105_TBL";#N/A,#N/A,FALSE,"WPO6105";#N/A,#N/A,FALSE,"WPO6106_TBL";#N/A,#N/A,FALSE,"WPO6106"}</definedName>
    <definedName name="wrn.Produksi._.Borongan._.Belajar._5" localSheetId="0" hidden="1">{#N/A,#N/A,FALSE,"WPO6105_TBL";#N/A,#N/A,FALSE,"WPO6105";#N/A,#N/A,FALSE,"WPO6106_TBL";#N/A,#N/A,FALSE,"WPO6106"}</definedName>
    <definedName name="wrn.Produksi._.Borongan._.Belajar._5" localSheetId="7" hidden="1">{#N/A,#N/A,FALSE,"WPO6105_TBL";#N/A,#N/A,FALSE,"WPO6105";#N/A,#N/A,FALSE,"WPO6106_TBL";#N/A,#N/A,FALSE,"WPO6106"}</definedName>
    <definedName name="wrn.Produksi._.Borongan._.Belajar._5" localSheetId="13" hidden="1">{#N/A,#N/A,FALSE,"WPO6105_TBL";#N/A,#N/A,FALSE,"WPO6105";#N/A,#N/A,FALSE,"WPO6106_TBL";#N/A,#N/A,FALSE,"WPO6106"}</definedName>
    <definedName name="wrn.Produksi._.Borongan._.Belajar._5" localSheetId="8" hidden="1">{#N/A,#N/A,FALSE,"WPO6105_TBL";#N/A,#N/A,FALSE,"WPO6105";#N/A,#N/A,FALSE,"WPO6106_TBL";#N/A,#N/A,FALSE,"WPO6106"}</definedName>
    <definedName name="wrn.Produksi._.Borongan._.Belajar._5" localSheetId="12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localSheetId="15" hidden="1">{#N/A,#N/A,FALSE,"WPO6101_TBL";#N/A,#N/A,FALSE,"WPO6101";#N/A,#N/A,FALSE,"WPO6102_TBL";#N/A,#N/A,FALSE,"WPO6102";#N/A,#N/A,FALSE,"WPO6111_TBL";#N/A,#N/A,FALSE,"WPO_borongan"}</definedName>
    <definedName name="wrn.Produksi._.Borongan._2" localSheetId="9" hidden="1">{#N/A,#N/A,FALSE,"WPO6101_TBL";#N/A,#N/A,FALSE,"WPO6101";#N/A,#N/A,FALSE,"WPO6102_TBL";#N/A,#N/A,FALSE,"WPO6102";#N/A,#N/A,FALSE,"WPO6111_TBL";#N/A,#N/A,FALSE,"WPO_borongan"}</definedName>
    <definedName name="wrn.Produksi._.Borongan._2" localSheetId="0" hidden="1">{#N/A,#N/A,FALSE,"WPO6101_TBL";#N/A,#N/A,FALSE,"WPO6101";#N/A,#N/A,FALSE,"WPO6102_TBL";#N/A,#N/A,FALSE,"WPO6102";#N/A,#N/A,FALSE,"WPO6111_TBL";#N/A,#N/A,FALSE,"WPO_borongan"}</definedName>
    <definedName name="wrn.Produksi._.Borongan._2" localSheetId="7" hidden="1">{#N/A,#N/A,FALSE,"WPO6101_TBL";#N/A,#N/A,FALSE,"WPO6101";#N/A,#N/A,FALSE,"WPO6102_TBL";#N/A,#N/A,FALSE,"WPO6102";#N/A,#N/A,FALSE,"WPO6111_TBL";#N/A,#N/A,FALSE,"WPO_borongan"}</definedName>
    <definedName name="wrn.Produksi._.Borongan._2" localSheetId="13" hidden="1">{#N/A,#N/A,FALSE,"WPO6101_TBL";#N/A,#N/A,FALSE,"WPO6101";#N/A,#N/A,FALSE,"WPO6102_TBL";#N/A,#N/A,FALSE,"WPO6102";#N/A,#N/A,FALSE,"WPO6111_TBL";#N/A,#N/A,FALSE,"WPO_borongan"}</definedName>
    <definedName name="wrn.Produksi._.Borongan._2" localSheetId="8" hidden="1">{#N/A,#N/A,FALSE,"WPO6101_TBL";#N/A,#N/A,FALSE,"WPO6101";#N/A,#N/A,FALSE,"WPO6102_TBL";#N/A,#N/A,FALSE,"WPO6102";#N/A,#N/A,FALSE,"WPO6111_TBL";#N/A,#N/A,FALSE,"WPO_borongan"}</definedName>
    <definedName name="wrn.Produksi._.Borongan._2" localSheetId="12" hidden="1">{#N/A,#N/A,FALSE,"WPO6101_TBL";#N/A,#N/A,FALSE,"WPO6101";#N/A,#N/A,FALSE,"WPO6102_TBL";#N/A,#N/A,FALSE,"WPO6102";#N/A,#N/A,FALSE,"WPO6111_TBL";#N/A,#N/A,FALSE,"WPO_borongan"}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localSheetId="15" hidden="1">{#N/A,#N/A,FALSE,"WPO6101_TBL";#N/A,#N/A,FALSE,"WPO6101";#N/A,#N/A,FALSE,"WPO6102_TBL";#N/A,#N/A,FALSE,"WPO6102";#N/A,#N/A,FALSE,"WPO6111_TBL";#N/A,#N/A,FALSE,"WPO_borongan"}</definedName>
    <definedName name="wrn.Produksi._.Borongan._3" localSheetId="9" hidden="1">{#N/A,#N/A,FALSE,"WPO6101_TBL";#N/A,#N/A,FALSE,"WPO6101";#N/A,#N/A,FALSE,"WPO6102_TBL";#N/A,#N/A,FALSE,"WPO6102";#N/A,#N/A,FALSE,"WPO6111_TBL";#N/A,#N/A,FALSE,"WPO_borongan"}</definedName>
    <definedName name="wrn.Produksi._.Borongan._3" localSheetId="0" hidden="1">{#N/A,#N/A,FALSE,"WPO6101_TBL";#N/A,#N/A,FALSE,"WPO6101";#N/A,#N/A,FALSE,"WPO6102_TBL";#N/A,#N/A,FALSE,"WPO6102";#N/A,#N/A,FALSE,"WPO6111_TBL";#N/A,#N/A,FALSE,"WPO_borongan"}</definedName>
    <definedName name="wrn.Produksi._.Borongan._3" localSheetId="7" hidden="1">{#N/A,#N/A,FALSE,"WPO6101_TBL";#N/A,#N/A,FALSE,"WPO6101";#N/A,#N/A,FALSE,"WPO6102_TBL";#N/A,#N/A,FALSE,"WPO6102";#N/A,#N/A,FALSE,"WPO6111_TBL";#N/A,#N/A,FALSE,"WPO_borongan"}</definedName>
    <definedName name="wrn.Produksi._.Borongan._3" localSheetId="13" hidden="1">{#N/A,#N/A,FALSE,"WPO6101_TBL";#N/A,#N/A,FALSE,"WPO6101";#N/A,#N/A,FALSE,"WPO6102_TBL";#N/A,#N/A,FALSE,"WPO6102";#N/A,#N/A,FALSE,"WPO6111_TBL";#N/A,#N/A,FALSE,"WPO_borongan"}</definedName>
    <definedName name="wrn.Produksi._.Borongan._3" localSheetId="8" hidden="1">{#N/A,#N/A,FALSE,"WPO6101_TBL";#N/A,#N/A,FALSE,"WPO6101";#N/A,#N/A,FALSE,"WPO6102_TBL";#N/A,#N/A,FALSE,"WPO6102";#N/A,#N/A,FALSE,"WPO6111_TBL";#N/A,#N/A,FALSE,"WPO_borongan"}</definedName>
    <definedName name="wrn.Produksi._.Borongan._3" localSheetId="12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localSheetId="15" hidden="1">{#N/A,#N/A,FALSE,"WPO6101_TBL";#N/A,#N/A,FALSE,"WPO6101";#N/A,#N/A,FALSE,"WPO6102_TBL";#N/A,#N/A,FALSE,"WPO6102";#N/A,#N/A,FALSE,"WPO6111_TBL";#N/A,#N/A,FALSE,"WPO_borongan"}</definedName>
    <definedName name="wrn.Produksi._.Borongan._4" localSheetId="9" hidden="1">{#N/A,#N/A,FALSE,"WPO6101_TBL";#N/A,#N/A,FALSE,"WPO6101";#N/A,#N/A,FALSE,"WPO6102_TBL";#N/A,#N/A,FALSE,"WPO6102";#N/A,#N/A,FALSE,"WPO6111_TBL";#N/A,#N/A,FALSE,"WPO_borongan"}</definedName>
    <definedName name="wrn.Produksi._.Borongan._4" localSheetId="0" hidden="1">{#N/A,#N/A,FALSE,"WPO6101_TBL";#N/A,#N/A,FALSE,"WPO6101";#N/A,#N/A,FALSE,"WPO6102_TBL";#N/A,#N/A,FALSE,"WPO6102";#N/A,#N/A,FALSE,"WPO6111_TBL";#N/A,#N/A,FALSE,"WPO_borongan"}</definedName>
    <definedName name="wrn.Produksi._.Borongan._4" localSheetId="7" hidden="1">{#N/A,#N/A,FALSE,"WPO6101_TBL";#N/A,#N/A,FALSE,"WPO6101";#N/A,#N/A,FALSE,"WPO6102_TBL";#N/A,#N/A,FALSE,"WPO6102";#N/A,#N/A,FALSE,"WPO6111_TBL";#N/A,#N/A,FALSE,"WPO_borongan"}</definedName>
    <definedName name="wrn.Produksi._.Borongan._4" localSheetId="13" hidden="1">{#N/A,#N/A,FALSE,"WPO6101_TBL";#N/A,#N/A,FALSE,"WPO6101";#N/A,#N/A,FALSE,"WPO6102_TBL";#N/A,#N/A,FALSE,"WPO6102";#N/A,#N/A,FALSE,"WPO6111_TBL";#N/A,#N/A,FALSE,"WPO_borongan"}</definedName>
    <definedName name="wrn.Produksi._.Borongan._4" localSheetId="8" hidden="1">{#N/A,#N/A,FALSE,"WPO6101_TBL";#N/A,#N/A,FALSE,"WPO6101";#N/A,#N/A,FALSE,"WPO6102_TBL";#N/A,#N/A,FALSE,"WPO6102";#N/A,#N/A,FALSE,"WPO6111_TBL";#N/A,#N/A,FALSE,"WPO_borongan"}</definedName>
    <definedName name="wrn.Produksi._.Borongan._4" localSheetId="12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localSheetId="15" hidden="1">{#N/A,#N/A,FALSE,"WPO6101_TBL";#N/A,#N/A,FALSE,"WPO6101";#N/A,#N/A,FALSE,"WPO6102_TBL";#N/A,#N/A,FALSE,"WPO6102";#N/A,#N/A,FALSE,"WPO6111_TBL";#N/A,#N/A,FALSE,"WPO_borongan"}</definedName>
    <definedName name="wrn.Produksi._.Borongan._5" localSheetId="9" hidden="1">{#N/A,#N/A,FALSE,"WPO6101_TBL";#N/A,#N/A,FALSE,"WPO6101";#N/A,#N/A,FALSE,"WPO6102_TBL";#N/A,#N/A,FALSE,"WPO6102";#N/A,#N/A,FALSE,"WPO6111_TBL";#N/A,#N/A,FALSE,"WPO_borongan"}</definedName>
    <definedName name="wrn.Produksi._.Borongan._5" localSheetId="0" hidden="1">{#N/A,#N/A,FALSE,"WPO6101_TBL";#N/A,#N/A,FALSE,"WPO6101";#N/A,#N/A,FALSE,"WPO6102_TBL";#N/A,#N/A,FALSE,"WPO6102";#N/A,#N/A,FALSE,"WPO6111_TBL";#N/A,#N/A,FALSE,"WPO_borongan"}</definedName>
    <definedName name="wrn.Produksi._.Borongan._5" localSheetId="7" hidden="1">{#N/A,#N/A,FALSE,"WPO6101_TBL";#N/A,#N/A,FALSE,"WPO6101";#N/A,#N/A,FALSE,"WPO6102_TBL";#N/A,#N/A,FALSE,"WPO6102";#N/A,#N/A,FALSE,"WPO6111_TBL";#N/A,#N/A,FALSE,"WPO_borongan"}</definedName>
    <definedName name="wrn.Produksi._.Borongan._5" localSheetId="13" hidden="1">{#N/A,#N/A,FALSE,"WPO6101_TBL";#N/A,#N/A,FALSE,"WPO6101";#N/A,#N/A,FALSE,"WPO6102_TBL";#N/A,#N/A,FALSE,"WPO6102";#N/A,#N/A,FALSE,"WPO6111_TBL";#N/A,#N/A,FALSE,"WPO_borongan"}</definedName>
    <definedName name="wrn.Produksi._.Borongan._5" localSheetId="8" hidden="1">{#N/A,#N/A,FALSE,"WPO6101_TBL";#N/A,#N/A,FALSE,"WPO6101";#N/A,#N/A,FALSE,"WPO6102_TBL";#N/A,#N/A,FALSE,"WPO6102";#N/A,#N/A,FALSE,"WPO6111_TBL";#N/A,#N/A,FALSE,"WPO_borongan"}</definedName>
    <definedName name="wrn.Produksi._.Borongan._5" localSheetId="12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localSheetId="15" hidden="1">{#N/A,#N/A,FALSE,"WPO_produksi_kontrakan"}</definedName>
    <definedName name="wrn.Produksi._.Kontrakan." localSheetId="9" hidden="1">{#N/A,#N/A,FALSE,"WPO_produksi_kontrakan"}</definedName>
    <definedName name="wrn.Produksi._.Kontrakan." localSheetId="0" hidden="1">{#N/A,#N/A,FALSE,"WPO_produksi_kontrakan"}</definedName>
    <definedName name="wrn.Produksi._.Kontrakan." localSheetId="7" hidden="1">{#N/A,#N/A,FALSE,"WPO_produksi_kontrakan"}</definedName>
    <definedName name="wrn.Produksi._.Kontrakan." localSheetId="13" hidden="1">{#N/A,#N/A,FALSE,"WPO_produksi_kontrakan"}</definedName>
    <definedName name="wrn.Produksi._.Kontrakan." localSheetId="8" hidden="1">{#N/A,#N/A,FALSE,"WPO_produksi_kontrakan"}</definedName>
    <definedName name="wrn.Produksi._.Kontrakan." localSheetId="12" hidden="1">{#N/A,#N/A,FALSE,"WPO_produksi_kontrakan"}</definedName>
    <definedName name="wrn.Produksi._.Kontrakan." hidden="1">{#N/A,#N/A,FALSE,"WPO_produksi_kontrakan"}</definedName>
    <definedName name="wrn.Produksi._.Kontrakan._2" localSheetId="15" hidden="1">{#N/A,#N/A,FALSE,"WPO_produksi_kontrakan"}</definedName>
    <definedName name="wrn.Produksi._.Kontrakan._2" localSheetId="9" hidden="1">{#N/A,#N/A,FALSE,"WPO_produksi_kontrakan"}</definedName>
    <definedName name="wrn.Produksi._.Kontrakan._2" localSheetId="0" hidden="1">{#N/A,#N/A,FALSE,"WPO_produksi_kontrakan"}</definedName>
    <definedName name="wrn.Produksi._.Kontrakan._2" localSheetId="7" hidden="1">{#N/A,#N/A,FALSE,"WPO_produksi_kontrakan"}</definedName>
    <definedName name="wrn.Produksi._.Kontrakan._2" localSheetId="13" hidden="1">{#N/A,#N/A,FALSE,"WPO_produksi_kontrakan"}</definedName>
    <definedName name="wrn.Produksi._.Kontrakan._2" localSheetId="8" hidden="1">{#N/A,#N/A,FALSE,"WPO_produksi_kontrakan"}</definedName>
    <definedName name="wrn.Produksi._.Kontrakan._2" localSheetId="12" hidden="1">{#N/A,#N/A,FALSE,"WPO_produksi_kontrakan"}</definedName>
    <definedName name="wrn.Produksi._.Kontrakan._2" hidden="1">{#N/A,#N/A,FALSE,"WPO_produksi_kontrakan"}</definedName>
    <definedName name="wrn.Produksi._.Kontrakan._3" localSheetId="15" hidden="1">{#N/A,#N/A,FALSE,"WPO_produksi_kontrakan"}</definedName>
    <definedName name="wrn.Produksi._.Kontrakan._3" localSheetId="9" hidden="1">{#N/A,#N/A,FALSE,"WPO_produksi_kontrakan"}</definedName>
    <definedName name="wrn.Produksi._.Kontrakan._3" localSheetId="0" hidden="1">{#N/A,#N/A,FALSE,"WPO_produksi_kontrakan"}</definedName>
    <definedName name="wrn.Produksi._.Kontrakan._3" localSheetId="7" hidden="1">{#N/A,#N/A,FALSE,"WPO_produksi_kontrakan"}</definedName>
    <definedName name="wrn.Produksi._.Kontrakan._3" localSheetId="13" hidden="1">{#N/A,#N/A,FALSE,"WPO_produksi_kontrakan"}</definedName>
    <definedName name="wrn.Produksi._.Kontrakan._3" localSheetId="8" hidden="1">{#N/A,#N/A,FALSE,"WPO_produksi_kontrakan"}</definedName>
    <definedName name="wrn.Produksi._.Kontrakan._3" localSheetId="12" hidden="1">{#N/A,#N/A,FALSE,"WPO_produksi_kontrakan"}</definedName>
    <definedName name="wrn.Produksi._.Kontrakan._3" hidden="1">{#N/A,#N/A,FALSE,"WPO_produksi_kontrakan"}</definedName>
    <definedName name="wrn.Produksi._.Kontrakan._4" localSheetId="15" hidden="1">{#N/A,#N/A,FALSE,"WPO_produksi_kontrakan"}</definedName>
    <definedName name="wrn.Produksi._.Kontrakan._4" localSheetId="9" hidden="1">{#N/A,#N/A,FALSE,"WPO_produksi_kontrakan"}</definedName>
    <definedName name="wrn.Produksi._.Kontrakan._4" localSheetId="0" hidden="1">{#N/A,#N/A,FALSE,"WPO_produksi_kontrakan"}</definedName>
    <definedName name="wrn.Produksi._.Kontrakan._4" localSheetId="7" hidden="1">{#N/A,#N/A,FALSE,"WPO_produksi_kontrakan"}</definedName>
    <definedName name="wrn.Produksi._.Kontrakan._4" localSheetId="13" hidden="1">{#N/A,#N/A,FALSE,"WPO_produksi_kontrakan"}</definedName>
    <definedName name="wrn.Produksi._.Kontrakan._4" localSheetId="8" hidden="1">{#N/A,#N/A,FALSE,"WPO_produksi_kontrakan"}</definedName>
    <definedName name="wrn.Produksi._.Kontrakan._4" localSheetId="12" hidden="1">{#N/A,#N/A,FALSE,"WPO_produksi_kontrakan"}</definedName>
    <definedName name="wrn.Produksi._.Kontrakan._4" hidden="1">{#N/A,#N/A,FALSE,"WPO_produksi_kontrakan"}</definedName>
    <definedName name="wrn.Produksi._.Kontrakan._5" localSheetId="15" hidden="1">{#N/A,#N/A,FALSE,"WPO_produksi_kontrakan"}</definedName>
    <definedName name="wrn.Produksi._.Kontrakan._5" localSheetId="9" hidden="1">{#N/A,#N/A,FALSE,"WPO_produksi_kontrakan"}</definedName>
    <definedName name="wrn.Produksi._.Kontrakan._5" localSheetId="0" hidden="1">{#N/A,#N/A,FALSE,"WPO_produksi_kontrakan"}</definedName>
    <definedName name="wrn.Produksi._.Kontrakan._5" localSheetId="7" hidden="1">{#N/A,#N/A,FALSE,"WPO_produksi_kontrakan"}</definedName>
    <definedName name="wrn.Produksi._.Kontrakan._5" localSheetId="13" hidden="1">{#N/A,#N/A,FALSE,"WPO_produksi_kontrakan"}</definedName>
    <definedName name="wrn.Produksi._.Kontrakan._5" localSheetId="8" hidden="1">{#N/A,#N/A,FALSE,"WPO_produksi_kontrakan"}</definedName>
    <definedName name="wrn.Produksi._.Kontrakan._5" localSheetId="12" hidden="1">{#N/A,#N/A,FALSE,"WPO_produksi_kontrakan"}</definedName>
    <definedName name="wrn.Produksi._.Kontrakan._5" hidden="1">{#N/A,#N/A,FALSE,"WPO_produksi_kontrakan"}</definedName>
    <definedName name="wrn.Proses._.Produksi." localSheetId="15" hidden="1">{#N/A,#N/A,FALSE,"WPO_proses_produksi"}</definedName>
    <definedName name="wrn.Proses._.Produksi." localSheetId="9" hidden="1">{#N/A,#N/A,FALSE,"WPO_proses_produksi"}</definedName>
    <definedName name="wrn.Proses._.Produksi." localSheetId="0" hidden="1">{#N/A,#N/A,FALSE,"WPO_proses_produksi"}</definedName>
    <definedName name="wrn.Proses._.Produksi." localSheetId="7" hidden="1">{#N/A,#N/A,FALSE,"WPO_proses_produksi"}</definedName>
    <definedName name="wrn.Proses._.Produksi." localSheetId="13" hidden="1">{#N/A,#N/A,FALSE,"WPO_proses_produksi"}</definedName>
    <definedName name="wrn.Proses._.Produksi." localSheetId="8" hidden="1">{#N/A,#N/A,FALSE,"WPO_proses_produksi"}</definedName>
    <definedName name="wrn.Proses._.Produksi." localSheetId="12" hidden="1">{#N/A,#N/A,FALSE,"WPO_proses_produksi"}</definedName>
    <definedName name="wrn.Proses._.Produksi." hidden="1">{#N/A,#N/A,FALSE,"WPO_proses_produksi"}</definedName>
    <definedName name="wrn.Proses._.Produksi._2" localSheetId="15" hidden="1">{#N/A,#N/A,FALSE,"WPO_proses_produksi"}</definedName>
    <definedName name="wrn.Proses._.Produksi._2" localSheetId="9" hidden="1">{#N/A,#N/A,FALSE,"WPO_proses_produksi"}</definedName>
    <definedName name="wrn.Proses._.Produksi._2" localSheetId="0" hidden="1">{#N/A,#N/A,FALSE,"WPO_proses_produksi"}</definedName>
    <definedName name="wrn.Proses._.Produksi._2" localSheetId="7" hidden="1">{#N/A,#N/A,FALSE,"WPO_proses_produksi"}</definedName>
    <definedName name="wrn.Proses._.Produksi._2" localSheetId="13" hidden="1">{#N/A,#N/A,FALSE,"WPO_proses_produksi"}</definedName>
    <definedName name="wrn.Proses._.Produksi._2" localSheetId="8" hidden="1">{#N/A,#N/A,FALSE,"WPO_proses_produksi"}</definedName>
    <definedName name="wrn.Proses._.Produksi._2" localSheetId="12" hidden="1">{#N/A,#N/A,FALSE,"WPO_proses_produksi"}</definedName>
    <definedName name="wrn.Proses._.Produksi._2" hidden="1">{#N/A,#N/A,FALSE,"WPO_proses_produksi"}</definedName>
    <definedName name="wrn.Proses._.Produksi._3" localSheetId="15" hidden="1">{#N/A,#N/A,FALSE,"WPO_proses_produksi"}</definedName>
    <definedName name="wrn.Proses._.Produksi._3" localSheetId="9" hidden="1">{#N/A,#N/A,FALSE,"WPO_proses_produksi"}</definedName>
    <definedName name="wrn.Proses._.Produksi._3" localSheetId="0" hidden="1">{#N/A,#N/A,FALSE,"WPO_proses_produksi"}</definedName>
    <definedName name="wrn.Proses._.Produksi._3" localSheetId="7" hidden="1">{#N/A,#N/A,FALSE,"WPO_proses_produksi"}</definedName>
    <definedName name="wrn.Proses._.Produksi._3" localSheetId="13" hidden="1">{#N/A,#N/A,FALSE,"WPO_proses_produksi"}</definedName>
    <definedName name="wrn.Proses._.Produksi._3" localSheetId="8" hidden="1">{#N/A,#N/A,FALSE,"WPO_proses_produksi"}</definedName>
    <definedName name="wrn.Proses._.Produksi._3" localSheetId="12" hidden="1">{#N/A,#N/A,FALSE,"WPO_proses_produksi"}</definedName>
    <definedName name="wrn.Proses._.Produksi._3" hidden="1">{#N/A,#N/A,FALSE,"WPO_proses_produksi"}</definedName>
    <definedName name="wrn.Proses._.Produksi._4" localSheetId="15" hidden="1">{#N/A,#N/A,FALSE,"WPO_proses_produksi"}</definedName>
    <definedName name="wrn.Proses._.Produksi._4" localSheetId="9" hidden="1">{#N/A,#N/A,FALSE,"WPO_proses_produksi"}</definedName>
    <definedName name="wrn.Proses._.Produksi._4" localSheetId="0" hidden="1">{#N/A,#N/A,FALSE,"WPO_proses_produksi"}</definedName>
    <definedName name="wrn.Proses._.Produksi._4" localSheetId="7" hidden="1">{#N/A,#N/A,FALSE,"WPO_proses_produksi"}</definedName>
    <definedName name="wrn.Proses._.Produksi._4" localSheetId="13" hidden="1">{#N/A,#N/A,FALSE,"WPO_proses_produksi"}</definedName>
    <definedName name="wrn.Proses._.Produksi._4" localSheetId="8" hidden="1">{#N/A,#N/A,FALSE,"WPO_proses_produksi"}</definedName>
    <definedName name="wrn.Proses._.Produksi._4" localSheetId="12" hidden="1">{#N/A,#N/A,FALSE,"WPO_proses_produksi"}</definedName>
    <definedName name="wrn.Proses._.Produksi._4" hidden="1">{#N/A,#N/A,FALSE,"WPO_proses_produksi"}</definedName>
    <definedName name="wrn.Proses._.Produksi._5" localSheetId="15" hidden="1">{#N/A,#N/A,FALSE,"WPO_proses_produksi"}</definedName>
    <definedName name="wrn.Proses._.Produksi._5" localSheetId="9" hidden="1">{#N/A,#N/A,FALSE,"WPO_proses_produksi"}</definedName>
    <definedName name="wrn.Proses._.Produksi._5" localSheetId="0" hidden="1">{#N/A,#N/A,FALSE,"WPO_proses_produksi"}</definedName>
    <definedName name="wrn.Proses._.Produksi._5" localSheetId="7" hidden="1">{#N/A,#N/A,FALSE,"WPO_proses_produksi"}</definedName>
    <definedName name="wrn.Proses._.Produksi._5" localSheetId="13" hidden="1">{#N/A,#N/A,FALSE,"WPO_proses_produksi"}</definedName>
    <definedName name="wrn.Proses._.Produksi._5" localSheetId="8" hidden="1">{#N/A,#N/A,FALSE,"WPO_proses_produksi"}</definedName>
    <definedName name="wrn.Proses._.Produksi._5" localSheetId="12" hidden="1">{#N/A,#N/A,FALSE,"WPO_proses_produksi"}</definedName>
    <definedName name="wrn.Proses._.Produksi._5" hidden="1">{#N/A,#N/A,FALSE,"WPO_proses_produksi"}</definedName>
    <definedName name="wrn.rtpl." localSheetId="15" hidden="1">{#N/A,#N/A,FALSE,"REK-S-TPL";#N/A,#N/A,FALSE,"REK-TPML";#N/A,#N/A,FALSE,"RAB-TEMPEL"}</definedName>
    <definedName name="wrn.rtpl." localSheetId="9" hidden="1">{#N/A,#N/A,FALSE,"REK-S-TPL";#N/A,#N/A,FALSE,"REK-TPML";#N/A,#N/A,FALSE,"RAB-TEMPEL"}</definedName>
    <definedName name="wrn.rtpl." localSheetId="0" hidden="1">{#N/A,#N/A,FALSE,"REK-S-TPL";#N/A,#N/A,FALSE,"REK-TPML";#N/A,#N/A,FALSE,"RAB-TEMPEL"}</definedName>
    <definedName name="wrn.rtpl." localSheetId="7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8" hidden="1">{#N/A,#N/A,FALSE,"REK-S-TPL";#N/A,#N/A,FALSE,"REK-TPML";#N/A,#N/A,FALSE,"RAB-TEMPEL"}</definedName>
    <definedName name="wrn.rtpl." localSheetId="12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2" localSheetId="15" hidden="1">{#N/A,#N/A,FALSE,"REK-S-TPL";#N/A,#N/A,FALSE,"REK-TPML";#N/A,#N/A,FALSE,"RAB-TEMPEL"}</definedName>
    <definedName name="wrn.rtpl._2" localSheetId="9" hidden="1">{#N/A,#N/A,FALSE,"REK-S-TPL";#N/A,#N/A,FALSE,"REK-TPML";#N/A,#N/A,FALSE,"RAB-TEMPEL"}</definedName>
    <definedName name="wrn.rtpl._2" localSheetId="0" hidden="1">{#N/A,#N/A,FALSE,"REK-S-TPL";#N/A,#N/A,FALSE,"REK-TPML";#N/A,#N/A,FALSE,"RAB-TEMPEL"}</definedName>
    <definedName name="wrn.rtpl._2" localSheetId="7" hidden="1">{#N/A,#N/A,FALSE,"REK-S-TPL";#N/A,#N/A,FALSE,"REK-TPML";#N/A,#N/A,FALSE,"RAB-TEMPEL"}</definedName>
    <definedName name="wrn.rtpl._2" localSheetId="13" hidden="1">{#N/A,#N/A,FALSE,"REK-S-TPL";#N/A,#N/A,FALSE,"REK-TPML";#N/A,#N/A,FALSE,"RAB-TEMPEL"}</definedName>
    <definedName name="wrn.rtpl._2" localSheetId="8" hidden="1">{#N/A,#N/A,FALSE,"REK-S-TPL";#N/A,#N/A,FALSE,"REK-TPML";#N/A,#N/A,FALSE,"RAB-TEMPEL"}</definedName>
    <definedName name="wrn.rtpl._2" localSheetId="12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localSheetId="15" hidden="1">{#N/A,#N/A,FALSE,"REK-S-TPL";#N/A,#N/A,FALSE,"REK-TPML";#N/A,#N/A,FALSE,"RAB-TEMPEL"}</definedName>
    <definedName name="wrn.rtpl._3" localSheetId="9" hidden="1">{#N/A,#N/A,FALSE,"REK-S-TPL";#N/A,#N/A,FALSE,"REK-TPML";#N/A,#N/A,FALSE,"RAB-TEMPEL"}</definedName>
    <definedName name="wrn.rtpl._3" localSheetId="0" hidden="1">{#N/A,#N/A,FALSE,"REK-S-TPL";#N/A,#N/A,FALSE,"REK-TPML";#N/A,#N/A,FALSE,"RAB-TEMPEL"}</definedName>
    <definedName name="wrn.rtpl._3" localSheetId="7" hidden="1">{#N/A,#N/A,FALSE,"REK-S-TPL";#N/A,#N/A,FALSE,"REK-TPML";#N/A,#N/A,FALSE,"RAB-TEMPEL"}</definedName>
    <definedName name="wrn.rtpl._3" localSheetId="13" hidden="1">{#N/A,#N/A,FALSE,"REK-S-TPL";#N/A,#N/A,FALSE,"REK-TPML";#N/A,#N/A,FALSE,"RAB-TEMPEL"}</definedName>
    <definedName name="wrn.rtpl._3" localSheetId="8" hidden="1">{#N/A,#N/A,FALSE,"REK-S-TPL";#N/A,#N/A,FALSE,"REK-TPML";#N/A,#N/A,FALSE,"RAB-TEMPEL"}</definedName>
    <definedName name="wrn.rtpl._3" localSheetId="12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localSheetId="15" hidden="1">{#N/A,#N/A,FALSE,"REK-S-TPL";#N/A,#N/A,FALSE,"REK-TPML";#N/A,#N/A,FALSE,"RAB-TEMPEL"}</definedName>
    <definedName name="wrn.rtpl._4" localSheetId="9" hidden="1">{#N/A,#N/A,FALSE,"REK-S-TPL";#N/A,#N/A,FALSE,"REK-TPML";#N/A,#N/A,FALSE,"RAB-TEMPEL"}</definedName>
    <definedName name="wrn.rtpl._4" localSheetId="0" hidden="1">{#N/A,#N/A,FALSE,"REK-S-TPL";#N/A,#N/A,FALSE,"REK-TPML";#N/A,#N/A,FALSE,"RAB-TEMPEL"}</definedName>
    <definedName name="wrn.rtpl._4" localSheetId="7" hidden="1">{#N/A,#N/A,FALSE,"REK-S-TPL";#N/A,#N/A,FALSE,"REK-TPML";#N/A,#N/A,FALSE,"RAB-TEMPEL"}</definedName>
    <definedName name="wrn.rtpl._4" localSheetId="13" hidden="1">{#N/A,#N/A,FALSE,"REK-S-TPL";#N/A,#N/A,FALSE,"REK-TPML";#N/A,#N/A,FALSE,"RAB-TEMPEL"}</definedName>
    <definedName name="wrn.rtpl._4" localSheetId="8" hidden="1">{#N/A,#N/A,FALSE,"REK-S-TPL";#N/A,#N/A,FALSE,"REK-TPML";#N/A,#N/A,FALSE,"RAB-TEMPEL"}</definedName>
    <definedName name="wrn.rtpl._4" localSheetId="12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localSheetId="15" hidden="1">{#N/A,#N/A,FALSE,"REK-S-TPL";#N/A,#N/A,FALSE,"REK-TPML";#N/A,#N/A,FALSE,"RAB-TEMPEL"}</definedName>
    <definedName name="wrn.rtpl._5" localSheetId="9" hidden="1">{#N/A,#N/A,FALSE,"REK-S-TPL";#N/A,#N/A,FALSE,"REK-TPML";#N/A,#N/A,FALSE,"RAB-TEMPEL"}</definedName>
    <definedName name="wrn.rtpl._5" localSheetId="0" hidden="1">{#N/A,#N/A,FALSE,"REK-S-TPL";#N/A,#N/A,FALSE,"REK-TPML";#N/A,#N/A,FALSE,"RAB-TEMPEL"}</definedName>
    <definedName name="wrn.rtpl._5" localSheetId="7" hidden="1">{#N/A,#N/A,FALSE,"REK-S-TPL";#N/A,#N/A,FALSE,"REK-TPML";#N/A,#N/A,FALSE,"RAB-TEMPEL"}</definedName>
    <definedName name="wrn.rtpl._5" localSheetId="13" hidden="1">{#N/A,#N/A,FALSE,"REK-S-TPL";#N/A,#N/A,FALSE,"REK-TPML";#N/A,#N/A,FALSE,"RAB-TEMPEL"}</definedName>
    <definedName name="wrn.rtpl._5" localSheetId="8" hidden="1">{#N/A,#N/A,FALSE,"REK-S-TPL";#N/A,#N/A,FALSE,"REK-TPML";#N/A,#N/A,FALSE,"RAB-TEMPEL"}</definedName>
    <definedName name="wrn.rtpl._5" localSheetId="12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localSheetId="15" hidden="1">{#N/A,#N/A,FALSE,"REK";#N/A,#N/A,FALSE,"rab"}</definedName>
    <definedName name="wrn.ry" localSheetId="9" hidden="1">{#N/A,#N/A,FALSE,"REK";#N/A,#N/A,FALSE,"rab"}</definedName>
    <definedName name="wrn.ry" localSheetId="0" hidden="1">{#N/A,#N/A,FALSE,"REK";#N/A,#N/A,FALSE,"rab"}</definedName>
    <definedName name="wrn.ry" localSheetId="7" hidden="1">{#N/A,#N/A,FALSE,"REK";#N/A,#N/A,FALSE,"rab"}</definedName>
    <definedName name="wrn.ry" localSheetId="13" hidden="1">{#N/A,#N/A,FALSE,"REK";#N/A,#N/A,FALSE,"rab"}</definedName>
    <definedName name="wrn.ry" localSheetId="8" hidden="1">{#N/A,#N/A,FALSE,"REK";#N/A,#N/A,FALSE,"rab"}</definedName>
    <definedName name="wrn.ry" localSheetId="12" hidden="1">{#N/A,#N/A,FALSE,"REK";#N/A,#N/A,FALSE,"rab"}</definedName>
    <definedName name="wrn.ry" hidden="1">{#N/A,#N/A,FALSE,"REK";#N/A,#N/A,FALSE,"rab"}</definedName>
    <definedName name="wrn.ry." localSheetId="15" hidden="1">{#N/A,#N/A,FALSE,"REK";#N/A,#N/A,FALSE,"rab"}</definedName>
    <definedName name="wrn.ry." localSheetId="9" hidden="1">{#N/A,#N/A,FALSE,"REK";#N/A,#N/A,FALSE,"rab"}</definedName>
    <definedName name="wrn.ry." localSheetId="0" hidden="1">{#N/A,#N/A,FALSE,"REK";#N/A,#N/A,FALSE,"rab"}</definedName>
    <definedName name="wrn.ry." localSheetId="7" hidden="1">{#N/A,#N/A,FALSE,"REK";#N/A,#N/A,FALSE,"rab"}</definedName>
    <definedName name="wrn.ry." localSheetId="13" hidden="1">{#N/A,#N/A,FALSE,"REK";#N/A,#N/A,FALSE,"rab"}</definedName>
    <definedName name="wrn.ry." localSheetId="8" hidden="1">{#N/A,#N/A,FALSE,"REK";#N/A,#N/A,FALSE,"rab"}</definedName>
    <definedName name="wrn.ry." localSheetId="12" hidden="1">{#N/A,#N/A,FALSE,"REK";#N/A,#N/A,FALSE,"rab"}</definedName>
    <definedName name="wrn.ry." hidden="1">{#N/A,#N/A,FALSE,"REK";#N/A,#N/A,FALSE,"rab"}</definedName>
    <definedName name="wrn.ry._2" localSheetId="15" hidden="1">{#N/A,#N/A,FALSE,"REK";#N/A,#N/A,FALSE,"rab"}</definedName>
    <definedName name="wrn.ry._2" localSheetId="9" hidden="1">{#N/A,#N/A,FALSE,"REK";#N/A,#N/A,FALSE,"rab"}</definedName>
    <definedName name="wrn.ry._2" localSheetId="0" hidden="1">{#N/A,#N/A,FALSE,"REK";#N/A,#N/A,FALSE,"rab"}</definedName>
    <definedName name="wrn.ry._2" localSheetId="7" hidden="1">{#N/A,#N/A,FALSE,"REK";#N/A,#N/A,FALSE,"rab"}</definedName>
    <definedName name="wrn.ry._2" localSheetId="13" hidden="1">{#N/A,#N/A,FALSE,"REK";#N/A,#N/A,FALSE,"rab"}</definedName>
    <definedName name="wrn.ry._2" localSheetId="8" hidden="1">{#N/A,#N/A,FALSE,"REK";#N/A,#N/A,FALSE,"rab"}</definedName>
    <definedName name="wrn.ry._2" localSheetId="12" hidden="1">{#N/A,#N/A,FALSE,"REK";#N/A,#N/A,FALSE,"rab"}</definedName>
    <definedName name="wrn.ry._2" hidden="1">{#N/A,#N/A,FALSE,"REK";#N/A,#N/A,FALSE,"rab"}</definedName>
    <definedName name="wrn.ry._3" localSheetId="15" hidden="1">{#N/A,#N/A,FALSE,"REK";#N/A,#N/A,FALSE,"rab"}</definedName>
    <definedName name="wrn.ry._3" localSheetId="9" hidden="1">{#N/A,#N/A,FALSE,"REK";#N/A,#N/A,FALSE,"rab"}</definedName>
    <definedName name="wrn.ry._3" localSheetId="0" hidden="1">{#N/A,#N/A,FALSE,"REK";#N/A,#N/A,FALSE,"rab"}</definedName>
    <definedName name="wrn.ry._3" localSheetId="7" hidden="1">{#N/A,#N/A,FALSE,"REK";#N/A,#N/A,FALSE,"rab"}</definedName>
    <definedName name="wrn.ry._3" localSheetId="13" hidden="1">{#N/A,#N/A,FALSE,"REK";#N/A,#N/A,FALSE,"rab"}</definedName>
    <definedName name="wrn.ry._3" localSheetId="8" hidden="1">{#N/A,#N/A,FALSE,"REK";#N/A,#N/A,FALSE,"rab"}</definedName>
    <definedName name="wrn.ry._3" localSheetId="12" hidden="1">{#N/A,#N/A,FALSE,"REK";#N/A,#N/A,FALSE,"rab"}</definedName>
    <definedName name="wrn.ry._3" hidden="1">{#N/A,#N/A,FALSE,"REK";#N/A,#N/A,FALSE,"rab"}</definedName>
    <definedName name="wrn.ry._4" localSheetId="15" hidden="1">{#N/A,#N/A,FALSE,"REK";#N/A,#N/A,FALSE,"rab"}</definedName>
    <definedName name="wrn.ry._4" localSheetId="9" hidden="1">{#N/A,#N/A,FALSE,"REK";#N/A,#N/A,FALSE,"rab"}</definedName>
    <definedName name="wrn.ry._4" localSheetId="0" hidden="1">{#N/A,#N/A,FALSE,"REK";#N/A,#N/A,FALSE,"rab"}</definedName>
    <definedName name="wrn.ry._4" localSheetId="7" hidden="1">{#N/A,#N/A,FALSE,"REK";#N/A,#N/A,FALSE,"rab"}</definedName>
    <definedName name="wrn.ry._4" localSheetId="13" hidden="1">{#N/A,#N/A,FALSE,"REK";#N/A,#N/A,FALSE,"rab"}</definedName>
    <definedName name="wrn.ry._4" localSheetId="8" hidden="1">{#N/A,#N/A,FALSE,"REK";#N/A,#N/A,FALSE,"rab"}</definedName>
    <definedName name="wrn.ry._4" localSheetId="12" hidden="1">{#N/A,#N/A,FALSE,"REK";#N/A,#N/A,FALSE,"rab"}</definedName>
    <definedName name="wrn.ry._4" hidden="1">{#N/A,#N/A,FALSE,"REK";#N/A,#N/A,FALSE,"rab"}</definedName>
    <definedName name="wrn.ry._5" localSheetId="15" hidden="1">{#N/A,#N/A,FALSE,"REK";#N/A,#N/A,FALSE,"rab"}</definedName>
    <definedName name="wrn.ry._5" localSheetId="9" hidden="1">{#N/A,#N/A,FALSE,"REK";#N/A,#N/A,FALSE,"rab"}</definedName>
    <definedName name="wrn.ry._5" localSheetId="0" hidden="1">{#N/A,#N/A,FALSE,"REK";#N/A,#N/A,FALSE,"rab"}</definedName>
    <definedName name="wrn.ry._5" localSheetId="7" hidden="1">{#N/A,#N/A,FALSE,"REK";#N/A,#N/A,FALSE,"rab"}</definedName>
    <definedName name="wrn.ry._5" localSheetId="13" hidden="1">{#N/A,#N/A,FALSE,"REK";#N/A,#N/A,FALSE,"rab"}</definedName>
    <definedName name="wrn.ry._5" localSheetId="8" hidden="1">{#N/A,#N/A,FALSE,"REK";#N/A,#N/A,FALSE,"rab"}</definedName>
    <definedName name="wrn.ry._5" localSheetId="12" hidden="1">{#N/A,#N/A,FALSE,"REK";#N/A,#N/A,FALSE,"rab"}</definedName>
    <definedName name="wrn.ry._5" hidden="1">{#N/A,#N/A,FALSE,"REK";#N/A,#N/A,FALSE,"rab"}</definedName>
    <definedName name="wrn.Tabel.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15" hidden="1">{#N/A,#N/A,FALSE,"WPO_tenaga_kontrakan"}</definedName>
    <definedName name="wrn.Tenaga._.Kontrakan." localSheetId="9" hidden="1">{#N/A,#N/A,FALSE,"WPO_tenaga_kontrakan"}</definedName>
    <definedName name="wrn.Tenaga._.Kontrakan." localSheetId="0" hidden="1">{#N/A,#N/A,FALSE,"WPO_tenaga_kontrakan"}</definedName>
    <definedName name="wrn.Tenaga._.Kontrakan." localSheetId="7" hidden="1">{#N/A,#N/A,FALSE,"WPO_tenaga_kontrakan"}</definedName>
    <definedName name="wrn.Tenaga._.Kontrakan." localSheetId="13" hidden="1">{#N/A,#N/A,FALSE,"WPO_tenaga_kontrakan"}</definedName>
    <definedName name="wrn.Tenaga._.Kontrakan." localSheetId="8" hidden="1">{#N/A,#N/A,FALSE,"WPO_tenaga_kontrakan"}</definedName>
    <definedName name="wrn.Tenaga._.Kontrakan." localSheetId="12" hidden="1">{#N/A,#N/A,FALSE,"WPO_tenaga_kontrakan"}</definedName>
    <definedName name="wrn.Tenaga._.Kontrakan." hidden="1">{#N/A,#N/A,FALSE,"WPO_tenaga_kontrakan"}</definedName>
    <definedName name="wrn.Tenaga._.Kontrakan._2" localSheetId="15" hidden="1">{#N/A,#N/A,FALSE,"WPO_tenaga_kontrakan"}</definedName>
    <definedName name="wrn.Tenaga._.Kontrakan._2" localSheetId="9" hidden="1">{#N/A,#N/A,FALSE,"WPO_tenaga_kontrakan"}</definedName>
    <definedName name="wrn.Tenaga._.Kontrakan._2" localSheetId="0" hidden="1">{#N/A,#N/A,FALSE,"WPO_tenaga_kontrakan"}</definedName>
    <definedName name="wrn.Tenaga._.Kontrakan._2" localSheetId="7" hidden="1">{#N/A,#N/A,FALSE,"WPO_tenaga_kontrakan"}</definedName>
    <definedName name="wrn.Tenaga._.Kontrakan._2" localSheetId="13" hidden="1">{#N/A,#N/A,FALSE,"WPO_tenaga_kontrakan"}</definedName>
    <definedName name="wrn.Tenaga._.Kontrakan._2" localSheetId="8" hidden="1">{#N/A,#N/A,FALSE,"WPO_tenaga_kontrakan"}</definedName>
    <definedName name="wrn.Tenaga._.Kontrakan._2" localSheetId="12" hidden="1">{#N/A,#N/A,FALSE,"WPO_tenaga_kontrakan"}</definedName>
    <definedName name="wrn.Tenaga._.Kontrakan._2" hidden="1">{#N/A,#N/A,FALSE,"WPO_tenaga_kontrakan"}</definedName>
    <definedName name="wrn.Tenaga._.Kontrakan._3" localSheetId="15" hidden="1">{#N/A,#N/A,FALSE,"WPO_tenaga_kontrakan"}</definedName>
    <definedName name="wrn.Tenaga._.Kontrakan._3" localSheetId="9" hidden="1">{#N/A,#N/A,FALSE,"WPO_tenaga_kontrakan"}</definedName>
    <definedName name="wrn.Tenaga._.Kontrakan._3" localSheetId="0" hidden="1">{#N/A,#N/A,FALSE,"WPO_tenaga_kontrakan"}</definedName>
    <definedName name="wrn.Tenaga._.Kontrakan._3" localSheetId="7" hidden="1">{#N/A,#N/A,FALSE,"WPO_tenaga_kontrakan"}</definedName>
    <definedName name="wrn.Tenaga._.Kontrakan._3" localSheetId="13" hidden="1">{#N/A,#N/A,FALSE,"WPO_tenaga_kontrakan"}</definedName>
    <definedName name="wrn.Tenaga._.Kontrakan._3" localSheetId="8" hidden="1">{#N/A,#N/A,FALSE,"WPO_tenaga_kontrakan"}</definedName>
    <definedName name="wrn.Tenaga._.Kontrakan._3" localSheetId="12" hidden="1">{#N/A,#N/A,FALSE,"WPO_tenaga_kontrakan"}</definedName>
    <definedName name="wrn.Tenaga._.Kontrakan._3" hidden="1">{#N/A,#N/A,FALSE,"WPO_tenaga_kontrakan"}</definedName>
    <definedName name="wrn.Tenaga._.Kontrakan._4" localSheetId="15" hidden="1">{#N/A,#N/A,FALSE,"WPO_tenaga_kontrakan"}</definedName>
    <definedName name="wrn.Tenaga._.Kontrakan._4" localSheetId="9" hidden="1">{#N/A,#N/A,FALSE,"WPO_tenaga_kontrakan"}</definedName>
    <definedName name="wrn.Tenaga._.Kontrakan._4" localSheetId="0" hidden="1">{#N/A,#N/A,FALSE,"WPO_tenaga_kontrakan"}</definedName>
    <definedName name="wrn.Tenaga._.Kontrakan._4" localSheetId="7" hidden="1">{#N/A,#N/A,FALSE,"WPO_tenaga_kontrakan"}</definedName>
    <definedName name="wrn.Tenaga._.Kontrakan._4" localSheetId="13" hidden="1">{#N/A,#N/A,FALSE,"WPO_tenaga_kontrakan"}</definedName>
    <definedName name="wrn.Tenaga._.Kontrakan._4" localSheetId="8" hidden="1">{#N/A,#N/A,FALSE,"WPO_tenaga_kontrakan"}</definedName>
    <definedName name="wrn.Tenaga._.Kontrakan._4" localSheetId="12" hidden="1">{#N/A,#N/A,FALSE,"WPO_tenaga_kontrakan"}</definedName>
    <definedName name="wrn.Tenaga._.Kontrakan._4" hidden="1">{#N/A,#N/A,FALSE,"WPO_tenaga_kontrakan"}</definedName>
    <definedName name="wrn.Tenaga._.Kontrakan._5" localSheetId="15" hidden="1">{#N/A,#N/A,FALSE,"WPO_tenaga_kontrakan"}</definedName>
    <definedName name="wrn.Tenaga._.Kontrakan._5" localSheetId="9" hidden="1">{#N/A,#N/A,FALSE,"WPO_tenaga_kontrakan"}</definedName>
    <definedName name="wrn.Tenaga._.Kontrakan._5" localSheetId="0" hidden="1">{#N/A,#N/A,FALSE,"WPO_tenaga_kontrakan"}</definedName>
    <definedName name="wrn.Tenaga._.Kontrakan._5" localSheetId="7" hidden="1">{#N/A,#N/A,FALSE,"WPO_tenaga_kontrakan"}</definedName>
    <definedName name="wrn.Tenaga._.Kontrakan._5" localSheetId="13" hidden="1">{#N/A,#N/A,FALSE,"WPO_tenaga_kontrakan"}</definedName>
    <definedName name="wrn.Tenaga._.Kontrakan._5" localSheetId="8" hidden="1">{#N/A,#N/A,FALSE,"WPO_tenaga_kontrakan"}</definedName>
    <definedName name="wrn.Tenaga._.Kontrakan._5" localSheetId="12" hidden="1">{#N/A,#N/A,FALSE,"WPO_tenaga_kontrakan"}</definedName>
    <definedName name="wrn.Tenaga._.Kontrakan._5" hidden="1">{#N/A,#N/A,FALSE,"WPO_tenaga_kontrakan"}</definedName>
    <definedName name="wrn.Upah._.Buruh._.Langsung.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15" hidden="1">{#N/A,#N/A,FALSE,"WPO_upah_lain-lain"}</definedName>
    <definedName name="wrn.Upah._.Lain._.lain." localSheetId="9" hidden="1">{#N/A,#N/A,FALSE,"WPO_upah_lain-lain"}</definedName>
    <definedName name="wrn.Upah._.Lain._.lain." localSheetId="0" hidden="1">{#N/A,#N/A,FALSE,"WPO_upah_lain-lain"}</definedName>
    <definedName name="wrn.Upah._.Lain._.lain." localSheetId="7" hidden="1">{#N/A,#N/A,FALSE,"WPO_upah_lain-lain"}</definedName>
    <definedName name="wrn.Upah._.Lain._.lain." localSheetId="13" hidden="1">{#N/A,#N/A,FALSE,"WPO_upah_lain-lain"}</definedName>
    <definedName name="wrn.Upah._.Lain._.lain." localSheetId="8" hidden="1">{#N/A,#N/A,FALSE,"WPO_upah_lain-lain"}</definedName>
    <definedName name="wrn.Upah._.Lain._.lain." localSheetId="12" hidden="1">{#N/A,#N/A,FALSE,"WPO_upah_lain-lain"}</definedName>
    <definedName name="wrn.Upah._.Lain._.lain." hidden="1">{#N/A,#N/A,FALSE,"WPO_upah_lain-lain"}</definedName>
    <definedName name="wrn.Upah._.Lain._.lain._2" localSheetId="15" hidden="1">{#N/A,#N/A,FALSE,"WPO_upah_lain-lain"}</definedName>
    <definedName name="wrn.Upah._.Lain._.lain._2" localSheetId="9" hidden="1">{#N/A,#N/A,FALSE,"WPO_upah_lain-lain"}</definedName>
    <definedName name="wrn.Upah._.Lain._.lain._2" localSheetId="0" hidden="1">{#N/A,#N/A,FALSE,"WPO_upah_lain-lain"}</definedName>
    <definedName name="wrn.Upah._.Lain._.lain._2" localSheetId="7" hidden="1">{#N/A,#N/A,FALSE,"WPO_upah_lain-lain"}</definedName>
    <definedName name="wrn.Upah._.Lain._.lain._2" localSheetId="13" hidden="1">{#N/A,#N/A,FALSE,"WPO_upah_lain-lain"}</definedName>
    <definedName name="wrn.Upah._.Lain._.lain._2" localSheetId="8" hidden="1">{#N/A,#N/A,FALSE,"WPO_upah_lain-lain"}</definedName>
    <definedName name="wrn.Upah._.Lain._.lain._2" localSheetId="12" hidden="1">{#N/A,#N/A,FALSE,"WPO_upah_lain-lain"}</definedName>
    <definedName name="wrn.Upah._.Lain._.lain._2" hidden="1">{#N/A,#N/A,FALSE,"WPO_upah_lain-lain"}</definedName>
    <definedName name="wrn.Upah._.Lain._.lain._3" localSheetId="15" hidden="1">{#N/A,#N/A,FALSE,"WPO_upah_lain-lain"}</definedName>
    <definedName name="wrn.Upah._.Lain._.lain._3" localSheetId="9" hidden="1">{#N/A,#N/A,FALSE,"WPO_upah_lain-lain"}</definedName>
    <definedName name="wrn.Upah._.Lain._.lain._3" localSheetId="0" hidden="1">{#N/A,#N/A,FALSE,"WPO_upah_lain-lain"}</definedName>
    <definedName name="wrn.Upah._.Lain._.lain._3" localSheetId="7" hidden="1">{#N/A,#N/A,FALSE,"WPO_upah_lain-lain"}</definedName>
    <definedName name="wrn.Upah._.Lain._.lain._3" localSheetId="13" hidden="1">{#N/A,#N/A,FALSE,"WPO_upah_lain-lain"}</definedName>
    <definedName name="wrn.Upah._.Lain._.lain._3" localSheetId="8" hidden="1">{#N/A,#N/A,FALSE,"WPO_upah_lain-lain"}</definedName>
    <definedName name="wrn.Upah._.Lain._.lain._3" localSheetId="12" hidden="1">{#N/A,#N/A,FALSE,"WPO_upah_lain-lain"}</definedName>
    <definedName name="wrn.Upah._.Lain._.lain._3" hidden="1">{#N/A,#N/A,FALSE,"WPO_upah_lain-lain"}</definedName>
    <definedName name="wrn.Upah._.Lain._.lain._4" localSheetId="15" hidden="1">{#N/A,#N/A,FALSE,"WPO_upah_lain-lain"}</definedName>
    <definedName name="wrn.Upah._.Lain._.lain._4" localSheetId="9" hidden="1">{#N/A,#N/A,FALSE,"WPO_upah_lain-lain"}</definedName>
    <definedName name="wrn.Upah._.Lain._.lain._4" localSheetId="0" hidden="1">{#N/A,#N/A,FALSE,"WPO_upah_lain-lain"}</definedName>
    <definedName name="wrn.Upah._.Lain._.lain._4" localSheetId="7" hidden="1">{#N/A,#N/A,FALSE,"WPO_upah_lain-lain"}</definedName>
    <definedName name="wrn.Upah._.Lain._.lain._4" localSheetId="13" hidden="1">{#N/A,#N/A,FALSE,"WPO_upah_lain-lain"}</definedName>
    <definedName name="wrn.Upah._.Lain._.lain._4" localSheetId="8" hidden="1">{#N/A,#N/A,FALSE,"WPO_upah_lain-lain"}</definedName>
    <definedName name="wrn.Upah._.Lain._.lain._4" localSheetId="12" hidden="1">{#N/A,#N/A,FALSE,"WPO_upah_lain-lain"}</definedName>
    <definedName name="wrn.Upah._.Lain._.lain._4" hidden="1">{#N/A,#N/A,FALSE,"WPO_upah_lain-lain"}</definedName>
    <definedName name="wrn.Upah._.Lain._.lain._5" localSheetId="15" hidden="1">{#N/A,#N/A,FALSE,"WPO_upah_lain-lain"}</definedName>
    <definedName name="wrn.Upah._.Lain._.lain._5" localSheetId="9" hidden="1">{#N/A,#N/A,FALSE,"WPO_upah_lain-lain"}</definedName>
    <definedName name="wrn.Upah._.Lain._.lain._5" localSheetId="0" hidden="1">{#N/A,#N/A,FALSE,"WPO_upah_lain-lain"}</definedName>
    <definedName name="wrn.Upah._.Lain._.lain._5" localSheetId="7" hidden="1">{#N/A,#N/A,FALSE,"WPO_upah_lain-lain"}</definedName>
    <definedName name="wrn.Upah._.Lain._.lain._5" localSheetId="13" hidden="1">{#N/A,#N/A,FALSE,"WPO_upah_lain-lain"}</definedName>
    <definedName name="wrn.Upah._.Lain._.lain._5" localSheetId="8" hidden="1">{#N/A,#N/A,FALSE,"WPO_upah_lain-lain"}</definedName>
    <definedName name="wrn.Upah._.Lain._.lain._5" localSheetId="12" hidden="1">{#N/A,#N/A,FALSE,"WPO_upah_lain-lain"}</definedName>
    <definedName name="wrn.Upah._.Lain._.lain._5" hidden="1">{#N/A,#N/A,FALSE,"WPO_upah_lain-lain"}</definedName>
    <definedName name="wrn.Upah._.Tak._.Langsung." localSheetId="15" hidden="1">{#N/A,#N/A,FALSE,"WPO_tenaga_kontrakan";#N/A,#N/A,FALSE,"WPO_upah_lain-lain"}</definedName>
    <definedName name="wrn.Upah._.Tak._.Langsung." localSheetId="9" hidden="1">{#N/A,#N/A,FALSE,"WPO_tenaga_kontrakan";#N/A,#N/A,FALSE,"WPO_upah_lain-lain"}</definedName>
    <definedName name="wrn.Upah._.Tak._.Langsung." localSheetId="0" hidden="1">{#N/A,#N/A,FALSE,"WPO_tenaga_kontrakan";#N/A,#N/A,FALSE,"WPO_upah_lain-lain"}</definedName>
    <definedName name="wrn.Upah._.Tak._.Langsung." localSheetId="7" hidden="1">{#N/A,#N/A,FALSE,"WPO_tenaga_kontrakan";#N/A,#N/A,FALSE,"WPO_upah_lain-lain"}</definedName>
    <definedName name="wrn.Upah._.Tak._.Langsung." localSheetId="13" hidden="1">{#N/A,#N/A,FALSE,"WPO_tenaga_kontrakan";#N/A,#N/A,FALSE,"WPO_upah_lain-lain"}</definedName>
    <definedName name="wrn.Upah._.Tak._.Langsung." localSheetId="8" hidden="1">{#N/A,#N/A,FALSE,"WPO_tenaga_kontrakan";#N/A,#N/A,FALSE,"WPO_upah_lain-lain"}</definedName>
    <definedName name="wrn.Upah._.Tak._.Langsung." localSheetId="12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Upah._.Tak._.Langsung._2" localSheetId="15" hidden="1">{#N/A,#N/A,FALSE,"WPO_tenaga_kontrakan";#N/A,#N/A,FALSE,"WPO_upah_lain-lain"}</definedName>
    <definedName name="wrn.Upah._.Tak._.Langsung._2" localSheetId="9" hidden="1">{#N/A,#N/A,FALSE,"WPO_tenaga_kontrakan";#N/A,#N/A,FALSE,"WPO_upah_lain-lain"}</definedName>
    <definedName name="wrn.Upah._.Tak._.Langsung._2" localSheetId="0" hidden="1">{#N/A,#N/A,FALSE,"WPO_tenaga_kontrakan";#N/A,#N/A,FALSE,"WPO_upah_lain-lain"}</definedName>
    <definedName name="wrn.Upah._.Tak._.Langsung._2" localSheetId="7" hidden="1">{#N/A,#N/A,FALSE,"WPO_tenaga_kontrakan";#N/A,#N/A,FALSE,"WPO_upah_lain-lain"}</definedName>
    <definedName name="wrn.Upah._.Tak._.Langsung._2" localSheetId="13" hidden="1">{#N/A,#N/A,FALSE,"WPO_tenaga_kontrakan";#N/A,#N/A,FALSE,"WPO_upah_lain-lain"}</definedName>
    <definedName name="wrn.Upah._.Tak._.Langsung._2" localSheetId="8" hidden="1">{#N/A,#N/A,FALSE,"WPO_tenaga_kontrakan";#N/A,#N/A,FALSE,"WPO_upah_lain-lain"}</definedName>
    <definedName name="wrn.Upah._.Tak._.Langsung._2" localSheetId="12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localSheetId="15" hidden="1">{#N/A,#N/A,FALSE,"WPO_tenaga_kontrakan";#N/A,#N/A,FALSE,"WPO_upah_lain-lain"}</definedName>
    <definedName name="wrn.Upah._.Tak._.Langsung._3" localSheetId="9" hidden="1">{#N/A,#N/A,FALSE,"WPO_tenaga_kontrakan";#N/A,#N/A,FALSE,"WPO_upah_lain-lain"}</definedName>
    <definedName name="wrn.Upah._.Tak._.Langsung._3" localSheetId="0" hidden="1">{#N/A,#N/A,FALSE,"WPO_tenaga_kontrakan";#N/A,#N/A,FALSE,"WPO_upah_lain-lain"}</definedName>
    <definedName name="wrn.Upah._.Tak._.Langsung._3" localSheetId="7" hidden="1">{#N/A,#N/A,FALSE,"WPO_tenaga_kontrakan";#N/A,#N/A,FALSE,"WPO_upah_lain-lain"}</definedName>
    <definedName name="wrn.Upah._.Tak._.Langsung._3" localSheetId="13" hidden="1">{#N/A,#N/A,FALSE,"WPO_tenaga_kontrakan";#N/A,#N/A,FALSE,"WPO_upah_lain-lain"}</definedName>
    <definedName name="wrn.Upah._.Tak._.Langsung._3" localSheetId="8" hidden="1">{#N/A,#N/A,FALSE,"WPO_tenaga_kontrakan";#N/A,#N/A,FALSE,"WPO_upah_lain-lain"}</definedName>
    <definedName name="wrn.Upah._.Tak._.Langsung._3" localSheetId="12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localSheetId="15" hidden="1">{#N/A,#N/A,FALSE,"WPO_tenaga_kontrakan";#N/A,#N/A,FALSE,"WPO_upah_lain-lain"}</definedName>
    <definedName name="wrn.Upah._.Tak._.Langsung._4" localSheetId="9" hidden="1">{#N/A,#N/A,FALSE,"WPO_tenaga_kontrakan";#N/A,#N/A,FALSE,"WPO_upah_lain-lain"}</definedName>
    <definedName name="wrn.Upah._.Tak._.Langsung._4" localSheetId="0" hidden="1">{#N/A,#N/A,FALSE,"WPO_tenaga_kontrakan";#N/A,#N/A,FALSE,"WPO_upah_lain-lain"}</definedName>
    <definedName name="wrn.Upah._.Tak._.Langsung._4" localSheetId="7" hidden="1">{#N/A,#N/A,FALSE,"WPO_tenaga_kontrakan";#N/A,#N/A,FALSE,"WPO_upah_lain-lain"}</definedName>
    <definedName name="wrn.Upah._.Tak._.Langsung._4" localSheetId="13" hidden="1">{#N/A,#N/A,FALSE,"WPO_tenaga_kontrakan";#N/A,#N/A,FALSE,"WPO_upah_lain-lain"}</definedName>
    <definedName name="wrn.Upah._.Tak._.Langsung._4" localSheetId="8" hidden="1">{#N/A,#N/A,FALSE,"WPO_tenaga_kontrakan";#N/A,#N/A,FALSE,"WPO_upah_lain-lain"}</definedName>
    <definedName name="wrn.Upah._.Tak._.Langsung._4" localSheetId="12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localSheetId="15" hidden="1">{#N/A,#N/A,FALSE,"WPO_tenaga_kontrakan";#N/A,#N/A,FALSE,"WPO_upah_lain-lain"}</definedName>
    <definedName name="wrn.Upah._.Tak._.Langsung._5" localSheetId="9" hidden="1">{#N/A,#N/A,FALSE,"WPO_tenaga_kontrakan";#N/A,#N/A,FALSE,"WPO_upah_lain-lain"}</definedName>
    <definedName name="wrn.Upah._.Tak._.Langsung._5" localSheetId="0" hidden="1">{#N/A,#N/A,FALSE,"WPO_tenaga_kontrakan";#N/A,#N/A,FALSE,"WPO_upah_lain-lain"}</definedName>
    <definedName name="wrn.Upah._.Tak._.Langsung._5" localSheetId="7" hidden="1">{#N/A,#N/A,FALSE,"WPO_tenaga_kontrakan";#N/A,#N/A,FALSE,"WPO_upah_lain-lain"}</definedName>
    <definedName name="wrn.Upah._.Tak._.Langsung._5" localSheetId="13" hidden="1">{#N/A,#N/A,FALSE,"WPO_tenaga_kontrakan";#N/A,#N/A,FALSE,"WPO_upah_lain-lain"}</definedName>
    <definedName name="wrn.Upah._.Tak._.Langsung._5" localSheetId="8" hidden="1">{#N/A,#N/A,FALSE,"WPO_tenaga_kontrakan";#N/A,#N/A,FALSE,"WPO_upah_lain-lain"}</definedName>
    <definedName name="wrn.Upah._.Tak._.Langsung._5" localSheetId="12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terstop">'[55]DAF-5'!$I$75</definedName>
    <definedName name="wterstopbahan">[55]sheet1!$H$37</definedName>
    <definedName name="XCCT">0.5</definedName>
    <definedName name="xiggvl">'[9]CHITIET VL-NC'!$G$53</definedName>
    <definedName name="xittvl">'[9]CHITIET VL-NC'!$G$44</definedName>
    <definedName name="XX_10">"$#REF!.$#REF!$#REF!"</definedName>
    <definedName name="XX_13">"$#REF!.$#REF!$#REF!"</definedName>
    <definedName name="XX_5">"$#REF!.$#REF!$#REF!"</definedName>
    <definedName name="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localSheetId="9" hidden="1">#REF!</definedName>
    <definedName name="yayuk" localSheetId="0" hidden="1">#REF!</definedName>
    <definedName name="yayuk" localSheetId="7" hidden="1">#REF!</definedName>
    <definedName name="yayuk" localSheetId="13" hidden="1">#REF!</definedName>
    <definedName name="yayuk" localSheetId="8" hidden="1">#REF!</definedName>
    <definedName name="yayuk" localSheetId="12" hidden="1">#REF!</definedName>
    <definedName name="yayuk" hidden="1">#REF!</definedName>
    <definedName name="yuk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 localSheetId="15">{"Book1","RAB PASAR 30 AUG SCRAB.xls"}</definedName>
    <definedName name="yuyam" localSheetId="9">{"Book1","RAB PASAR 30 AUG SCRAB.xls"}</definedName>
    <definedName name="yuyam" localSheetId="0">{"Book1","RAB PASAR 30 AUG SCRAB.xls"}</definedName>
    <definedName name="yuyam" localSheetId="7">{"Book1","RAB PASAR 30 AUG SCRAB.xls"}</definedName>
    <definedName name="yuyam" localSheetId="13">{"Book1","RAB PASAR 30 AUG SCRAB.xls"}</definedName>
    <definedName name="yuyam" localSheetId="8">{"Book1","RAB PASAR 30 AUG SCRAB.xls"}</definedName>
    <definedName name="yuyam" localSheetId="12">{"Book1","RAB PASAR 30 AUG SCRAB.xls"}</definedName>
    <definedName name="yuyam">{"Book1","RAB PASAR 30 AUG SCRAB.xls"}</definedName>
    <definedName name="YWRY4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_4900D912_D400_4A61_8DD9_12CD5711EDE2_.wvu.FilterData" localSheetId="12" hidden="1">'[161]HRG BAHAN &amp; UPAH okk'!#REF!</definedName>
    <definedName name="Z_4900D912_D400_4A61_8DD9_12CD5711EDE2_.wvu.FilterData" hidden="1">'[161]HRG BAHAN &amp; UPAH okk'!#REF!</definedName>
    <definedName name="Z_4A4DBCF5_6E02_43D6_8F4D_223D21633DB8_.wvu.Rows" localSheetId="9" hidden="1">#REF!,#REF!</definedName>
    <definedName name="Z_4A4DBCF5_6E02_43D6_8F4D_223D21633DB8_.wvu.Rows" localSheetId="0" hidden="1">#REF!,#REF!</definedName>
    <definedName name="Z_4A4DBCF5_6E02_43D6_8F4D_223D21633DB8_.wvu.Rows" localSheetId="7" hidden="1">#REF!,#REF!</definedName>
    <definedName name="Z_4A4DBCF5_6E02_43D6_8F4D_223D21633DB8_.wvu.Rows" localSheetId="13" hidden="1">#REF!,#REF!</definedName>
    <definedName name="Z_4A4DBCF5_6E02_43D6_8F4D_223D21633DB8_.wvu.Rows" localSheetId="8" hidden="1">#REF!,#REF!</definedName>
    <definedName name="Z_4A4DBCF5_6E02_43D6_8F4D_223D21633DB8_.wvu.Rows" hidden="1">#REF!,#REF!</definedName>
    <definedName name="Z_5107985B_0AF1_481E_8B01_41E5AE471770_.wvu.FilterData" localSheetId="9" hidden="1">'[161]HRG BAHAN &amp; UPAH okk'!#REF!</definedName>
    <definedName name="Z_5107985B_0AF1_481E_8B01_41E5AE471770_.wvu.FilterData" localSheetId="0" hidden="1">'[161]HRG BAHAN &amp; UPAH okk'!#REF!</definedName>
    <definedName name="Z_5107985B_0AF1_481E_8B01_41E5AE471770_.wvu.FilterData" localSheetId="7" hidden="1">'[161]HRG BAHAN &amp; UPAH okk'!#REF!</definedName>
    <definedName name="Z_5107985B_0AF1_481E_8B01_41E5AE471770_.wvu.FilterData" localSheetId="13" hidden="1">'[161]HRG BAHAN &amp; UPAH okk'!#REF!</definedName>
    <definedName name="Z_5107985B_0AF1_481E_8B01_41E5AE471770_.wvu.FilterData" localSheetId="8" hidden="1">'[161]HRG BAHAN &amp; UPAH okk'!#REF!</definedName>
    <definedName name="Z_5107985B_0AF1_481E_8B01_41E5AE471770_.wvu.FilterData" localSheetId="12" hidden="1">'[161]HRG BAHAN &amp; UPAH okk'!#REF!</definedName>
    <definedName name="Z_5107985B_0AF1_481E_8B01_41E5AE471770_.wvu.FilterData" hidden="1">'[161]HRG BAHAN &amp; UPAH okk'!#REF!</definedName>
    <definedName name="Z_60C09D59_E1B8_4DE0_84A5_C4D52EC877AC_.wvu.Rows" hidden="1">'[161]Analis Kusen okk'!$A$17:$IV$20,'[161]Analis Kusen okk'!$A$25:$IV$26,'[161]Analis Kusen okk'!$A$28:$IV$30,'[161]Analis Kusen okk'!$A$33:$IV$42,'[161]Analis Kusen okk'!$A$44:$IV$44,'[161]Analis Kusen okk'!$A$47:$IV$50,'[161]Analis Kusen okk'!$A$52:$IV$60,'[161]Analis Kusen okk'!$A$65:$IV$67,'[161]Analis Kusen okk'!$A$143:$IV$878</definedName>
    <definedName name="Z_905CC869_795C_4E5E_B879_52BB42470404_.wvu.FilterData" localSheetId="9" hidden="1">'[161]HRG BAHAN &amp; UPAH okk'!#REF!</definedName>
    <definedName name="Z_905CC869_795C_4E5E_B879_52BB42470404_.wvu.FilterData" localSheetId="7" hidden="1">'[161]HRG BAHAN &amp; UPAH okk'!#REF!</definedName>
    <definedName name="Z_905CC869_795C_4E5E_B879_52BB42470404_.wvu.FilterData" localSheetId="13" hidden="1">'[161]HRG BAHAN &amp; UPAH okk'!#REF!</definedName>
    <definedName name="Z_905CC869_795C_4E5E_B879_52BB42470404_.wvu.FilterData" localSheetId="8" hidden="1">'[161]HRG BAHAN &amp; UPAH okk'!#REF!</definedName>
    <definedName name="Z_905CC869_795C_4E5E_B879_52BB42470404_.wvu.FilterData" hidden="1">'[161]HRG BAHAN &amp; UPAH okk'!#REF!</definedName>
    <definedName name="Z_951381D6_C6D1_4C6C_A572_59CAF1F656FA_.wvu.Rows" localSheetId="9" hidden="1">#REF!</definedName>
    <definedName name="Z_951381D6_C6D1_4C6C_A572_59CAF1F656FA_.wvu.Rows" localSheetId="0" hidden="1">#REF!</definedName>
    <definedName name="Z_951381D6_C6D1_4C6C_A572_59CAF1F656FA_.wvu.Rows" localSheetId="7" hidden="1">#REF!</definedName>
    <definedName name="Z_951381D6_C6D1_4C6C_A572_59CAF1F656FA_.wvu.Rows" localSheetId="13" hidden="1">#REF!</definedName>
    <definedName name="Z_951381D6_C6D1_4C6C_A572_59CAF1F656FA_.wvu.Rows" localSheetId="8" hidden="1">#REF!</definedName>
    <definedName name="Z_951381D6_C6D1_4C6C_A572_59CAF1F656FA_.wvu.Rows" hidden="1">#REF!</definedName>
    <definedName name="Z_C5F07B99_5B9B_4D7E_8E51_7715CFFC23CA_.wvu.Rows" hidden="1">[162]Estimate!$32:$42,[162]Estimate!$56:$63,[162]Estimate!$69:$72,[162]Estimate!$85:$90,[162]Estimate!$103:$108,[162]Estimate!$125:$126,[162]Estimate!$142:$147,[162]Estimate!$151:$154,[162]Estimate!$158:$191,[162]Estimate!$193:$194,[162]Estimate!$198:$225,[162]Estimate!$227:$232,[162]Estimate!$253:$254,[162]Estimate!$265:$274,[162]Estimate!$287:$316,[162]Estimate!$319:$354</definedName>
    <definedName name="Z_C68F7E66_DBEE_4C62_8CE7_6B99B31303FC_.wvu.Rows" hidden="1">'[163]AnalisaSIPIL RIIL'!$A$208:$IV$214,'[163]AnalisaSIPIL RIIL'!$A$224:$IV$231,'[163]AnalisaSIPIL RIIL'!$A$468:$IV$482</definedName>
    <definedName name="ZINCROMATE">'[21]Sat-Rap'!$F$76</definedName>
    <definedName name="給排水衛生">[164]概総括1!$A$1:$O$29</definedName>
    <definedName name="見積方式">[165]bq!$AA$1:$AB$5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" i="24" l="1"/>
  <c r="H99" i="24"/>
  <c r="H98" i="24"/>
  <c r="H97" i="24"/>
  <c r="H94" i="24"/>
  <c r="D94" i="24" s="1"/>
  <c r="F94" i="24" s="1"/>
  <c r="H93" i="24"/>
  <c r="H92" i="24"/>
  <c r="H91" i="24"/>
  <c r="H88" i="24"/>
  <c r="D88" i="24"/>
  <c r="F88" i="24" s="1"/>
  <c r="H87" i="24"/>
  <c r="H86" i="24"/>
  <c r="D86" i="24" s="1"/>
  <c r="F86" i="24" s="1"/>
  <c r="H85" i="24"/>
  <c r="D85" i="24" s="1"/>
  <c r="F85" i="24" s="1"/>
  <c r="H82" i="24"/>
  <c r="H81" i="24"/>
  <c r="H80" i="24"/>
  <c r="H79" i="24"/>
  <c r="H75" i="24"/>
  <c r="H76" i="24"/>
  <c r="D75" i="24"/>
  <c r="F75" i="24" s="1"/>
  <c r="H74" i="24"/>
  <c r="D74" i="24" s="1"/>
  <c r="F74" i="24" s="1"/>
  <c r="H73" i="24"/>
  <c r="D97" i="24"/>
  <c r="F97" i="24" s="1"/>
  <c r="E97" i="24"/>
  <c r="D98" i="24"/>
  <c r="E98" i="24"/>
  <c r="F98" i="24" s="1"/>
  <c r="D99" i="24"/>
  <c r="F99" i="24" s="1"/>
  <c r="E99" i="24"/>
  <c r="D100" i="24"/>
  <c r="F100" i="24" s="1"/>
  <c r="E100" i="24"/>
  <c r="D91" i="24"/>
  <c r="E91" i="24"/>
  <c r="D92" i="24"/>
  <c r="F92" i="24" s="1"/>
  <c r="E92" i="24"/>
  <c r="D93" i="24"/>
  <c r="F93" i="24" s="1"/>
  <c r="E93" i="24"/>
  <c r="E94" i="24"/>
  <c r="E85" i="24"/>
  <c r="E86" i="24"/>
  <c r="D87" i="24"/>
  <c r="F87" i="24" s="1"/>
  <c r="E87" i="24"/>
  <c r="E88" i="24"/>
  <c r="D79" i="24"/>
  <c r="E79" i="24"/>
  <c r="D80" i="24"/>
  <c r="F80" i="24" s="1"/>
  <c r="E80" i="24"/>
  <c r="D81" i="24"/>
  <c r="F81" i="24" s="1"/>
  <c r="E81" i="24"/>
  <c r="D82" i="24"/>
  <c r="F82" i="24" s="1"/>
  <c r="E82" i="24"/>
  <c r="D73" i="24"/>
  <c r="E73" i="24"/>
  <c r="E74" i="24"/>
  <c r="E75" i="24"/>
  <c r="D76" i="24"/>
  <c r="F76" i="24" s="1"/>
  <c r="E76" i="24"/>
  <c r="D67" i="24"/>
  <c r="F67" i="24" s="1"/>
  <c r="E67" i="24"/>
  <c r="D68" i="24"/>
  <c r="E68" i="24"/>
  <c r="F68" i="24"/>
  <c r="D69" i="24"/>
  <c r="E69" i="24"/>
  <c r="F69" i="24"/>
  <c r="D70" i="24"/>
  <c r="F70" i="24" s="1"/>
  <c r="E70" i="24"/>
  <c r="D61" i="24"/>
  <c r="F61" i="24" s="1"/>
  <c r="E61" i="24"/>
  <c r="D62" i="24"/>
  <c r="E62" i="24"/>
  <c r="F62" i="24"/>
  <c r="D63" i="24"/>
  <c r="E63" i="24"/>
  <c r="F63" i="24"/>
  <c r="D64" i="24"/>
  <c r="F64" i="24" s="1"/>
  <c r="E64" i="24"/>
  <c r="D55" i="24"/>
  <c r="F55" i="24" s="1"/>
  <c r="E55" i="24"/>
  <c r="D56" i="24"/>
  <c r="F56" i="24" s="1"/>
  <c r="E56" i="24"/>
  <c r="D57" i="24"/>
  <c r="E57" i="24"/>
  <c r="F57" i="24" s="1"/>
  <c r="D58" i="24"/>
  <c r="E58" i="24"/>
  <c r="F58" i="24"/>
  <c r="D49" i="24"/>
  <c r="E49" i="24"/>
  <c r="F49" i="24"/>
  <c r="D50" i="24"/>
  <c r="E50" i="24"/>
  <c r="F50" i="24"/>
  <c r="D51" i="24"/>
  <c r="F51" i="24" s="1"/>
  <c r="E51" i="24"/>
  <c r="D52" i="24"/>
  <c r="F52" i="24" s="1"/>
  <c r="E52" i="24"/>
  <c r="E43" i="24"/>
  <c r="F43" i="24" s="1"/>
  <c r="E44" i="24"/>
  <c r="F44" i="24" s="1"/>
  <c r="E45" i="24"/>
  <c r="F45" i="24" s="1"/>
  <c r="E46" i="24"/>
  <c r="F46" i="24" s="1"/>
  <c r="D43" i="24"/>
  <c r="D44" i="24"/>
  <c r="D45" i="24"/>
  <c r="D46" i="24"/>
  <c r="K100" i="24"/>
  <c r="N100" i="24" s="1"/>
  <c r="O100" i="24" s="1"/>
  <c r="J100" i="24"/>
  <c r="I100" i="24"/>
  <c r="N99" i="24"/>
  <c r="O99" i="24" s="1"/>
  <c r="K99" i="24"/>
  <c r="J99" i="24"/>
  <c r="I99" i="24"/>
  <c r="K98" i="24"/>
  <c r="J98" i="24"/>
  <c r="I98" i="24"/>
  <c r="N98" i="24" s="1"/>
  <c r="O98" i="24" s="1"/>
  <c r="K97" i="24"/>
  <c r="J97" i="24"/>
  <c r="N97" i="24" s="1"/>
  <c r="O97" i="24" s="1"/>
  <c r="I97" i="24"/>
  <c r="K94" i="24"/>
  <c r="J94" i="24"/>
  <c r="N94" i="24" s="1"/>
  <c r="I94" i="24"/>
  <c r="K93" i="24"/>
  <c r="N93" i="24" s="1"/>
  <c r="O93" i="24" s="1"/>
  <c r="J93" i="24"/>
  <c r="I93" i="24"/>
  <c r="N92" i="24"/>
  <c r="O92" i="24" s="1"/>
  <c r="K92" i="24"/>
  <c r="J92" i="24"/>
  <c r="I92" i="24"/>
  <c r="K91" i="24"/>
  <c r="J91" i="24"/>
  <c r="I91" i="24"/>
  <c r="N91" i="24" s="1"/>
  <c r="O91" i="24" s="1"/>
  <c r="K88" i="24"/>
  <c r="J88" i="24"/>
  <c r="I88" i="24"/>
  <c r="N88" i="24" s="1"/>
  <c r="N87" i="24"/>
  <c r="O87" i="24" s="1"/>
  <c r="K87" i="24"/>
  <c r="J87" i="24"/>
  <c r="I87" i="24"/>
  <c r="K86" i="24"/>
  <c r="J86" i="24"/>
  <c r="I86" i="24"/>
  <c r="N86" i="24" s="1"/>
  <c r="O86" i="24" s="1"/>
  <c r="K85" i="24"/>
  <c r="J85" i="24"/>
  <c r="I85" i="24"/>
  <c r="N85" i="24" s="1"/>
  <c r="O85" i="24" s="1"/>
  <c r="K82" i="24"/>
  <c r="J82" i="24"/>
  <c r="I82" i="24"/>
  <c r="N82" i="24" s="1"/>
  <c r="O82" i="24" s="1"/>
  <c r="K81" i="24"/>
  <c r="J81" i="24"/>
  <c r="I81" i="24"/>
  <c r="N81" i="24" s="1"/>
  <c r="O81" i="24" s="1"/>
  <c r="K80" i="24"/>
  <c r="J80" i="24"/>
  <c r="I80" i="24"/>
  <c r="N80" i="24" s="1"/>
  <c r="O80" i="24" s="1"/>
  <c r="N79" i="24"/>
  <c r="O79" i="24" s="1"/>
  <c r="K79" i="24"/>
  <c r="J79" i="24"/>
  <c r="I79" i="24"/>
  <c r="N76" i="24"/>
  <c r="O76" i="24" s="1"/>
  <c r="K76" i="24"/>
  <c r="J76" i="24"/>
  <c r="I76" i="24"/>
  <c r="K75" i="24"/>
  <c r="J75" i="24"/>
  <c r="I75" i="24"/>
  <c r="N75" i="24" s="1"/>
  <c r="O75" i="24" s="1"/>
  <c r="K74" i="24"/>
  <c r="J74" i="24"/>
  <c r="I74" i="24"/>
  <c r="N74" i="24" s="1"/>
  <c r="O74" i="24" s="1"/>
  <c r="K73" i="24"/>
  <c r="N73" i="24" s="1"/>
  <c r="O73" i="24" s="1"/>
  <c r="J73" i="24"/>
  <c r="I73" i="24"/>
  <c r="N70" i="24"/>
  <c r="O70" i="24" s="1"/>
  <c r="K70" i="24"/>
  <c r="J70" i="24"/>
  <c r="I70" i="24"/>
  <c r="K69" i="24"/>
  <c r="J69" i="24"/>
  <c r="I69" i="24"/>
  <c r="N69" i="24" s="1"/>
  <c r="O69" i="24" s="1"/>
  <c r="K68" i="24"/>
  <c r="J68" i="24"/>
  <c r="I68" i="24"/>
  <c r="N68" i="24" s="1"/>
  <c r="O68" i="24" s="1"/>
  <c r="K67" i="24"/>
  <c r="J67" i="24"/>
  <c r="I67" i="24"/>
  <c r="N67" i="24" s="1"/>
  <c r="O67" i="24" s="1"/>
  <c r="K64" i="24"/>
  <c r="J64" i="24"/>
  <c r="I64" i="24"/>
  <c r="N64" i="24" s="1"/>
  <c r="O64" i="24" s="1"/>
  <c r="K63" i="24"/>
  <c r="J63" i="24"/>
  <c r="N63" i="24" s="1"/>
  <c r="O63" i="24" s="1"/>
  <c r="I63" i="24"/>
  <c r="K62" i="24"/>
  <c r="N62" i="24" s="1"/>
  <c r="O62" i="24" s="1"/>
  <c r="J62" i="24"/>
  <c r="I62" i="24"/>
  <c r="N61" i="24"/>
  <c r="O61" i="24" s="1"/>
  <c r="K61" i="24"/>
  <c r="J61" i="24"/>
  <c r="I61" i="24"/>
  <c r="K58" i="24"/>
  <c r="N58" i="24" s="1"/>
  <c r="O58" i="24" s="1"/>
  <c r="J58" i="24"/>
  <c r="I58" i="24"/>
  <c r="N57" i="24"/>
  <c r="O57" i="24" s="1"/>
  <c r="K57" i="24"/>
  <c r="J57" i="24"/>
  <c r="I57" i="24"/>
  <c r="K56" i="24"/>
  <c r="J56" i="24"/>
  <c r="I56" i="24"/>
  <c r="N56" i="24" s="1"/>
  <c r="O56" i="24" s="1"/>
  <c r="K55" i="24"/>
  <c r="J55" i="24"/>
  <c r="N55" i="24" s="1"/>
  <c r="O55" i="24" s="1"/>
  <c r="I55" i="24"/>
  <c r="K52" i="24"/>
  <c r="J52" i="24"/>
  <c r="I52" i="24"/>
  <c r="N52" i="24" s="1"/>
  <c r="O52" i="24" s="1"/>
  <c r="K51" i="24"/>
  <c r="J51" i="24"/>
  <c r="I51" i="24"/>
  <c r="N51" i="24" s="1"/>
  <c r="O51" i="24" s="1"/>
  <c r="K50" i="24"/>
  <c r="J50" i="24"/>
  <c r="I50" i="24"/>
  <c r="N50" i="24" s="1"/>
  <c r="O50" i="24" s="1"/>
  <c r="N49" i="24"/>
  <c r="O49" i="24" s="1"/>
  <c r="K49" i="24"/>
  <c r="J49" i="24"/>
  <c r="I49" i="24"/>
  <c r="K46" i="24"/>
  <c r="J46" i="24"/>
  <c r="I46" i="24"/>
  <c r="N46" i="24" s="1"/>
  <c r="O46" i="24" s="1"/>
  <c r="K45" i="24"/>
  <c r="J45" i="24"/>
  <c r="I45" i="24"/>
  <c r="N45" i="24" s="1"/>
  <c r="O45" i="24" s="1"/>
  <c r="K44" i="24"/>
  <c r="J44" i="24"/>
  <c r="I44" i="24"/>
  <c r="N44" i="24" s="1"/>
  <c r="O44" i="24" s="1"/>
  <c r="N43" i="24"/>
  <c r="O43" i="24" s="1"/>
  <c r="K43" i="24"/>
  <c r="J43" i="24"/>
  <c r="I43" i="24"/>
  <c r="AH100" i="24"/>
  <c r="AG100" i="24"/>
  <c r="AF100" i="24"/>
  <c r="AH99" i="24"/>
  <c r="AG99" i="24"/>
  <c r="AF99" i="24"/>
  <c r="AH98" i="24"/>
  <c r="AG98" i="24"/>
  <c r="AF98" i="24"/>
  <c r="AH97" i="24"/>
  <c r="AG97" i="24"/>
  <c r="AF97" i="24"/>
  <c r="AH94" i="24"/>
  <c r="AG94" i="24"/>
  <c r="AF94" i="24"/>
  <c r="AH93" i="24"/>
  <c r="AG93" i="24"/>
  <c r="AF93" i="24"/>
  <c r="AH92" i="24"/>
  <c r="AG92" i="24"/>
  <c r="AF92" i="24"/>
  <c r="AH91" i="24"/>
  <c r="AG91" i="24"/>
  <c r="AF91" i="24"/>
  <c r="AH88" i="24"/>
  <c r="AG88" i="24"/>
  <c r="AF88" i="24"/>
  <c r="AH87" i="24"/>
  <c r="AG87" i="24"/>
  <c r="AF87" i="24"/>
  <c r="AH86" i="24"/>
  <c r="AG86" i="24"/>
  <c r="AF86" i="24"/>
  <c r="AH85" i="24"/>
  <c r="AG85" i="24"/>
  <c r="AF85" i="24"/>
  <c r="AH82" i="24"/>
  <c r="AG82" i="24"/>
  <c r="AF82" i="24"/>
  <c r="AH81" i="24"/>
  <c r="AG81" i="24"/>
  <c r="AF81" i="24"/>
  <c r="AH80" i="24"/>
  <c r="AG80" i="24"/>
  <c r="AF80" i="24"/>
  <c r="AH79" i="24"/>
  <c r="AG79" i="24"/>
  <c r="AF79" i="24"/>
  <c r="AH76" i="24"/>
  <c r="AG76" i="24"/>
  <c r="AF76" i="24"/>
  <c r="AH75" i="24"/>
  <c r="AG75" i="24"/>
  <c r="AF75" i="24"/>
  <c r="AH74" i="24"/>
  <c r="AG74" i="24"/>
  <c r="AF74" i="24"/>
  <c r="AH73" i="24"/>
  <c r="AG73" i="24"/>
  <c r="AF73" i="24"/>
  <c r="AH70" i="24"/>
  <c r="AG70" i="24"/>
  <c r="AF70" i="24"/>
  <c r="AH69" i="24"/>
  <c r="AG69" i="24"/>
  <c r="AF69" i="24"/>
  <c r="AH68" i="24"/>
  <c r="AG68" i="24"/>
  <c r="AF68" i="24"/>
  <c r="AH67" i="24"/>
  <c r="AG67" i="24"/>
  <c r="AF67" i="24"/>
  <c r="AH64" i="24"/>
  <c r="AG64" i="24"/>
  <c r="AF64" i="24"/>
  <c r="AH63" i="24"/>
  <c r="AG63" i="24"/>
  <c r="AF63" i="24"/>
  <c r="AH62" i="24"/>
  <c r="AG62" i="24"/>
  <c r="AF62" i="24"/>
  <c r="AH61" i="24"/>
  <c r="AG61" i="24"/>
  <c r="AF61" i="24"/>
  <c r="AH58" i="24"/>
  <c r="AG58" i="24"/>
  <c r="AF58" i="24"/>
  <c r="AH57" i="24"/>
  <c r="AG57" i="24"/>
  <c r="AF57" i="24"/>
  <c r="AH56" i="24"/>
  <c r="AG56" i="24"/>
  <c r="AF56" i="24"/>
  <c r="AH55" i="24"/>
  <c r="AG55" i="24"/>
  <c r="AF55" i="24"/>
  <c r="AH52" i="24"/>
  <c r="AG52" i="24"/>
  <c r="AF52" i="24"/>
  <c r="AH51" i="24"/>
  <c r="AG51" i="24"/>
  <c r="AF51" i="24"/>
  <c r="AH50" i="24"/>
  <c r="AG50" i="24"/>
  <c r="AF50" i="24"/>
  <c r="AH49" i="24"/>
  <c r="AG49" i="24"/>
  <c r="AF49" i="24"/>
  <c r="AH46" i="24"/>
  <c r="AG46" i="24"/>
  <c r="AF46" i="24"/>
  <c r="AH45" i="24"/>
  <c r="AG45" i="24"/>
  <c r="AF45" i="24"/>
  <c r="AH44" i="24"/>
  <c r="AG44" i="24"/>
  <c r="AF44" i="24"/>
  <c r="AH43" i="24"/>
  <c r="AG43" i="24"/>
  <c r="AF43" i="24"/>
  <c r="AH42" i="24"/>
  <c r="AG42" i="24"/>
  <c r="AF42" i="24"/>
  <c r="R100" i="24"/>
  <c r="R99" i="24"/>
  <c r="R98" i="24"/>
  <c r="R97" i="24"/>
  <c r="R94" i="24"/>
  <c r="R93" i="24"/>
  <c r="R92" i="24"/>
  <c r="R91" i="24"/>
  <c r="R88" i="24"/>
  <c r="R87" i="24"/>
  <c r="R86" i="24"/>
  <c r="R85" i="24"/>
  <c r="R82" i="24"/>
  <c r="R81" i="24"/>
  <c r="R80" i="24"/>
  <c r="R79" i="24"/>
  <c r="R76" i="24"/>
  <c r="R75" i="24"/>
  <c r="R74" i="24"/>
  <c r="R73" i="24"/>
  <c r="R70" i="24"/>
  <c r="R69" i="24"/>
  <c r="R68" i="24"/>
  <c r="R67" i="24"/>
  <c r="R64" i="24"/>
  <c r="R63" i="24"/>
  <c r="R62" i="24"/>
  <c r="R61" i="24"/>
  <c r="R58" i="24"/>
  <c r="R57" i="24"/>
  <c r="R56" i="24"/>
  <c r="R55" i="24"/>
  <c r="R52" i="24"/>
  <c r="R51" i="24"/>
  <c r="R50" i="24"/>
  <c r="R49" i="24"/>
  <c r="R46" i="24"/>
  <c r="R45" i="24"/>
  <c r="R44" i="24"/>
  <c r="R43" i="24"/>
  <c r="H70" i="24"/>
  <c r="H69" i="24"/>
  <c r="H68" i="24"/>
  <c r="H67" i="24"/>
  <c r="H64" i="24"/>
  <c r="H63" i="24"/>
  <c r="H62" i="24"/>
  <c r="H61" i="24"/>
  <c r="H58" i="24"/>
  <c r="H57" i="24"/>
  <c r="H56" i="24"/>
  <c r="H55" i="24"/>
  <c r="H52" i="24"/>
  <c r="H51" i="24"/>
  <c r="H50" i="24"/>
  <c r="H49" i="24"/>
  <c r="H46" i="24"/>
  <c r="H45" i="24"/>
  <c r="H44" i="24"/>
  <c r="H43" i="24"/>
  <c r="B95" i="24"/>
  <c r="B89" i="24"/>
  <c r="B83" i="24"/>
  <c r="B77" i="24"/>
  <c r="B71" i="24"/>
  <c r="B65" i="24"/>
  <c r="B59" i="24"/>
  <c r="B53" i="24"/>
  <c r="B47" i="24"/>
  <c r="B41" i="24"/>
  <c r="B35" i="24"/>
  <c r="B35" i="24"/>
  <c r="AH40" i="24"/>
  <c r="K40" i="24" s="1"/>
  <c r="AG40" i="24"/>
  <c r="J40" i="24" s="1"/>
  <c r="AH39" i="24"/>
  <c r="K39" i="24" s="1"/>
  <c r="AG39" i="24"/>
  <c r="J39" i="24" s="1"/>
  <c r="AH38" i="24"/>
  <c r="K38" i="24" s="1"/>
  <c r="AG38" i="24"/>
  <c r="J38" i="24" s="1"/>
  <c r="AH37" i="24"/>
  <c r="K37" i="24" s="1"/>
  <c r="AG37" i="24"/>
  <c r="J37" i="24" s="1"/>
  <c r="R40" i="24"/>
  <c r="AF40" i="24" s="1"/>
  <c r="I40" i="24" s="1"/>
  <c r="R39" i="24"/>
  <c r="AF39" i="24" s="1"/>
  <c r="I39" i="24" s="1"/>
  <c r="R38" i="24"/>
  <c r="AF38" i="24" s="1"/>
  <c r="I38" i="24" s="1"/>
  <c r="R37" i="24"/>
  <c r="AF37" i="24" s="1"/>
  <c r="I37" i="24" s="1"/>
  <c r="H40" i="24"/>
  <c r="D40" i="24" s="1"/>
  <c r="H39" i="24"/>
  <c r="D39" i="24" s="1"/>
  <c r="H38" i="24"/>
  <c r="D38" i="24" s="1"/>
  <c r="H37" i="24"/>
  <c r="D37" i="24" s="1"/>
  <c r="H42" i="24"/>
  <c r="D42" i="24" s="1"/>
  <c r="R42" i="24"/>
  <c r="S42" i="24"/>
  <c r="J42" i="24" s="1"/>
  <c r="T42" i="24"/>
  <c r="V117" i="24"/>
  <c r="F132" i="20"/>
  <c r="O94" i="24" l="1"/>
  <c r="F91" i="24"/>
  <c r="O88" i="24"/>
  <c r="F79" i="24"/>
  <c r="F73" i="24"/>
  <c r="N40" i="24"/>
  <c r="E40" i="24" s="1"/>
  <c r="F40" i="24" s="1"/>
  <c r="N38" i="24"/>
  <c r="O38" i="24" s="1"/>
  <c r="N39" i="24"/>
  <c r="O39" i="24" s="1"/>
  <c r="N37" i="24"/>
  <c r="O37" i="24" s="1"/>
  <c r="O40" i="24"/>
  <c r="K42" i="24"/>
  <c r="I42" i="24"/>
  <c r="B486" i="20"/>
  <c r="E37" i="24" l="1"/>
  <c r="F37" i="24" s="1"/>
  <c r="E38" i="24"/>
  <c r="F38" i="24" s="1"/>
  <c r="N42" i="24"/>
  <c r="E42" i="24" s="1"/>
  <c r="F42" i="24" s="1"/>
  <c r="E39" i="24"/>
  <c r="F39" i="24" s="1"/>
  <c r="G21" i="25"/>
  <c r="O42" i="24" l="1"/>
  <c r="T26" i="11"/>
  <c r="T9" i="11"/>
  <c r="T25" i="11"/>
  <c r="T12" i="11"/>
  <c r="D164" i="11"/>
  <c r="D163" i="11"/>
  <c r="D162" i="11"/>
  <c r="Z65" i="14"/>
  <c r="Z27" i="14"/>
  <c r="O62" i="14"/>
  <c r="O59" i="14"/>
  <c r="O58" i="14"/>
  <c r="O56" i="14"/>
  <c r="O55" i="14"/>
  <c r="O49" i="14"/>
  <c r="O47" i="14"/>
  <c r="O46" i="14"/>
  <c r="O45" i="14"/>
  <c r="O44" i="14"/>
  <c r="O41" i="14"/>
  <c r="H242" i="24"/>
  <c r="D242" i="24" s="1"/>
  <c r="J251" i="24"/>
  <c r="I251" i="24"/>
  <c r="I242" i="24"/>
  <c r="J242" i="24"/>
  <c r="B408" i="20"/>
  <c r="B407" i="20"/>
  <c r="B406" i="20"/>
  <c r="AH251" i="24"/>
  <c r="AG251" i="24"/>
  <c r="AF251" i="24"/>
  <c r="K251" i="24"/>
  <c r="AH242" i="24"/>
  <c r="AG242" i="24"/>
  <c r="AF242" i="24"/>
  <c r="K242" i="24"/>
  <c r="Y57" i="14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56" i="14"/>
  <c r="Y55" i="14"/>
  <c r="Y54" i="14"/>
  <c r="Y53" i="14"/>
  <c r="Y52" i="14"/>
  <c r="Y51" i="14"/>
  <c r="Y50" i="14"/>
  <c r="Y49" i="14"/>
  <c r="Y48" i="14"/>
  <c r="Y47" i="14"/>
  <c r="Y46" i="14"/>
  <c r="Y45" i="14"/>
  <c r="Y44" i="14"/>
  <c r="Y43" i="14"/>
  <c r="Y42" i="14"/>
  <c r="Y41" i="14"/>
  <c r="Y28" i="14"/>
  <c r="Y29" i="14"/>
  <c r="Y30" i="14"/>
  <c r="Y31" i="14"/>
  <c r="Y32" i="14"/>
  <c r="Y33" i="14"/>
  <c r="Y34" i="14"/>
  <c r="Y35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O17" i="14"/>
  <c r="O16" i="14"/>
  <c r="O25" i="14"/>
  <c r="O11" i="14"/>
  <c r="O10" i="14"/>
  <c r="O9" i="14"/>
  <c r="O12" i="14"/>
  <c r="C49" i="11"/>
  <c r="C37" i="11"/>
  <c r="C23" i="11"/>
  <c r="J24" i="25"/>
  <c r="L20" i="25"/>
  <c r="E21" i="25"/>
  <c r="B279" i="20"/>
  <c r="D20" i="25"/>
  <c r="L11" i="25"/>
  <c r="R13" i="11"/>
  <c r="R12" i="11"/>
  <c r="R39" i="11"/>
  <c r="R25" i="11"/>
  <c r="R26" i="11"/>
  <c r="H39" i="11"/>
  <c r="H26" i="11"/>
  <c r="H25" i="11"/>
  <c r="H13" i="11"/>
  <c r="H12" i="11"/>
  <c r="Q66" i="14"/>
  <c r="T66" i="14" s="1"/>
  <c r="S66" i="14"/>
  <c r="U66" i="14"/>
  <c r="V66" i="14"/>
  <c r="W66" i="14"/>
  <c r="X66" i="14"/>
  <c r="Q64" i="14"/>
  <c r="T64" i="14" s="1"/>
  <c r="S64" i="14"/>
  <c r="U64" i="14"/>
  <c r="V64" i="14"/>
  <c r="W64" i="14"/>
  <c r="X64" i="14"/>
  <c r="Q65" i="14"/>
  <c r="S65" i="14" s="1"/>
  <c r="T65" i="14"/>
  <c r="U65" i="14"/>
  <c r="V65" i="14"/>
  <c r="W65" i="14"/>
  <c r="X65" i="14"/>
  <c r="E12" i="25"/>
  <c r="W54" i="11"/>
  <c r="W55" i="11"/>
  <c r="W62" i="11"/>
  <c r="W64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90" i="11"/>
  <c r="W91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5" i="11"/>
  <c r="W126" i="11"/>
  <c r="O131" i="13"/>
  <c r="O133" i="13"/>
  <c r="O134" i="13"/>
  <c r="O135" i="13"/>
  <c r="O136" i="13"/>
  <c r="O137" i="13"/>
  <c r="Z66" i="14" l="1"/>
  <c r="Z64" i="14"/>
  <c r="L12" i="25"/>
  <c r="R49" i="11"/>
  <c r="H49" i="11"/>
  <c r="R37" i="11"/>
  <c r="H37" i="11"/>
  <c r="R23" i="11"/>
  <c r="V23" i="11"/>
  <c r="B110" i="24" l="1"/>
  <c r="B109" i="24"/>
  <c r="B108" i="24"/>
  <c r="P14" i="18"/>
  <c r="P15" i="18"/>
  <c r="V49" i="11"/>
  <c r="T49" i="11"/>
  <c r="AB49" i="11" s="1"/>
  <c r="S49" i="11"/>
  <c r="W49" i="11"/>
  <c r="U49" i="11"/>
  <c r="V37" i="11"/>
  <c r="U37" i="11"/>
  <c r="T37" i="11"/>
  <c r="AB37" i="11" s="1"/>
  <c r="S37" i="11"/>
  <c r="W37" i="11"/>
  <c r="Y105" i="14"/>
  <c r="X105" i="14"/>
  <c r="W105" i="14"/>
  <c r="V105" i="14"/>
  <c r="U105" i="14"/>
  <c r="S105" i="14"/>
  <c r="C105" i="14"/>
  <c r="Q105" i="14" s="1"/>
  <c r="T105" i="14" s="1"/>
  <c r="X67" i="14"/>
  <c r="W67" i="14"/>
  <c r="V67" i="14"/>
  <c r="U67" i="14"/>
  <c r="S67" i="14"/>
  <c r="C67" i="14"/>
  <c r="Q67" i="14" s="1"/>
  <c r="T67" i="14" s="1"/>
  <c r="X31" i="14"/>
  <c r="W31" i="14"/>
  <c r="V31" i="14"/>
  <c r="U31" i="14"/>
  <c r="S31" i="14"/>
  <c r="C31" i="14"/>
  <c r="Q31" i="14" s="1"/>
  <c r="T31" i="14" s="1"/>
  <c r="Y106" i="14"/>
  <c r="X106" i="14"/>
  <c r="W106" i="14"/>
  <c r="V106" i="14"/>
  <c r="U106" i="14"/>
  <c r="T106" i="14"/>
  <c r="Q106" i="14"/>
  <c r="S106" i="14" s="1"/>
  <c r="X68" i="14"/>
  <c r="W68" i="14"/>
  <c r="V68" i="14"/>
  <c r="U68" i="14"/>
  <c r="T68" i="14"/>
  <c r="Q68" i="14"/>
  <c r="S68" i="14" s="1"/>
  <c r="X32" i="14"/>
  <c r="W32" i="14"/>
  <c r="V32" i="14"/>
  <c r="U32" i="14"/>
  <c r="T32" i="14"/>
  <c r="Q32" i="14"/>
  <c r="S32" i="14" s="1"/>
  <c r="Z49" i="11" l="1"/>
  <c r="Y49" i="11"/>
  <c r="Z37" i="11"/>
  <c r="Y37" i="11"/>
  <c r="AD105" i="14"/>
  <c r="Z105" i="14"/>
  <c r="AD67" i="14"/>
  <c r="Z67" i="14"/>
  <c r="AD31" i="14"/>
  <c r="Z31" i="14"/>
  <c r="AD106" i="14"/>
  <c r="Z106" i="14"/>
  <c r="Z68" i="14"/>
  <c r="AD68" i="14"/>
  <c r="AD32" i="14"/>
  <c r="Z32" i="14"/>
  <c r="T23" i="11" l="1"/>
  <c r="AB23" i="11" s="1"/>
  <c r="S23" i="11"/>
  <c r="W23" i="11"/>
  <c r="H23" i="11"/>
  <c r="U23" i="11" s="1"/>
  <c r="Z23" i="11" l="1"/>
  <c r="Y23" i="11"/>
  <c r="L33" i="29" l="1"/>
  <c r="H33" i="29"/>
  <c r="B33" i="29"/>
  <c r="H87" i="9"/>
  <c r="K87" i="9" s="1"/>
  <c r="I33" i="29" s="1"/>
  <c r="D33" i="29" l="1"/>
  <c r="F33" i="29" s="1"/>
  <c r="I87" i="9"/>
  <c r="G33" i="29" s="1"/>
  <c r="G11" i="21" l="1"/>
  <c r="H26" i="24"/>
  <c r="N25" i="24"/>
  <c r="E25" i="24" s="1"/>
  <c r="F69" i="9"/>
  <c r="G69" i="9"/>
  <c r="P235" i="24"/>
  <c r="N230" i="24"/>
  <c r="H175" i="11"/>
  <c r="G175" i="11"/>
  <c r="E175" i="11"/>
  <c r="H174" i="11"/>
  <c r="G174" i="11"/>
  <c r="E174" i="11"/>
  <c r="H173" i="11"/>
  <c r="G173" i="11"/>
  <c r="E173" i="11"/>
  <c r="C163" i="11"/>
  <c r="V13" i="11"/>
  <c r="T13" i="11"/>
  <c r="AB13" i="11" s="1"/>
  <c r="S13" i="11"/>
  <c r="W13" i="11"/>
  <c r="U13" i="11"/>
  <c r="A13" i="11"/>
  <c r="V12" i="11"/>
  <c r="AB12" i="11"/>
  <c r="S12" i="11"/>
  <c r="W12" i="11"/>
  <c r="U12" i="11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F163" i="11" l="1"/>
  <c r="Z12" i="11"/>
  <c r="Z13" i="11"/>
  <c r="Y13" i="11"/>
  <c r="Y12" i="11"/>
  <c r="H13" i="24" l="1"/>
  <c r="H12" i="24"/>
  <c r="H11" i="24"/>
  <c r="B15" i="22"/>
  <c r="B16" i="22"/>
  <c r="B17" i="22"/>
  <c r="H273" i="24"/>
  <c r="J272" i="24"/>
  <c r="I272" i="24"/>
  <c r="I271" i="24"/>
  <c r="J271" i="24"/>
  <c r="J270" i="24"/>
  <c r="I270" i="24"/>
  <c r="I275" i="24"/>
  <c r="F80" i="9"/>
  <c r="G80" i="9"/>
  <c r="AH170" i="24"/>
  <c r="S170" i="24"/>
  <c r="AG170" i="24" s="1"/>
  <c r="R170" i="24"/>
  <c r="AF170" i="24" s="1"/>
  <c r="H170" i="24"/>
  <c r="F170" i="24"/>
  <c r="H137" i="24"/>
  <c r="D137" i="24" s="1"/>
  <c r="AH137" i="24"/>
  <c r="S137" i="24"/>
  <c r="AG137" i="24" s="1"/>
  <c r="R137" i="24"/>
  <c r="AF137" i="24" s="1"/>
  <c r="L9" i="29"/>
  <c r="B9" i="29"/>
  <c r="E66" i="9"/>
  <c r="K66" i="9" s="1"/>
  <c r="I9" i="29" s="1"/>
  <c r="D66" i="9"/>
  <c r="H66" i="9"/>
  <c r="J66" i="9" s="1"/>
  <c r="H9" i="29" s="1"/>
  <c r="H136" i="24"/>
  <c r="D136" i="24" s="1"/>
  <c r="H166" i="11"/>
  <c r="G166" i="11"/>
  <c r="E166" i="11"/>
  <c r="V22" i="11"/>
  <c r="T22" i="11"/>
  <c r="AB22" i="11" s="1"/>
  <c r="S22" i="11"/>
  <c r="R22" i="11"/>
  <c r="W22" i="11" s="1"/>
  <c r="H22" i="11"/>
  <c r="U22" i="11" s="1"/>
  <c r="V21" i="11"/>
  <c r="T21" i="11"/>
  <c r="AB21" i="11" s="1"/>
  <c r="S21" i="11"/>
  <c r="R21" i="11"/>
  <c r="W21" i="11" s="1"/>
  <c r="H21" i="11"/>
  <c r="U21" i="11" s="1"/>
  <c r="K64" i="4"/>
  <c r="H64" i="4"/>
  <c r="G64" i="4"/>
  <c r="C64" i="4"/>
  <c r="F64" i="4" s="1"/>
  <c r="B64" i="4"/>
  <c r="A64" i="4"/>
  <c r="K27" i="4"/>
  <c r="H27" i="4"/>
  <c r="C27" i="4"/>
  <c r="F27" i="4" s="1"/>
  <c r="B27" i="4"/>
  <c r="A27" i="4"/>
  <c r="I23" i="6"/>
  <c r="G27" i="4" s="1"/>
  <c r="B1551" i="7"/>
  <c r="B1550" i="7"/>
  <c r="B1549" i="7"/>
  <c r="B1547" i="7"/>
  <c r="B1546" i="7"/>
  <c r="B1545" i="7"/>
  <c r="B1543" i="7"/>
  <c r="B1542" i="7"/>
  <c r="B1541" i="7"/>
  <c r="B1540" i="7"/>
  <c r="B1537" i="7"/>
  <c r="B1535" i="7"/>
  <c r="B1534" i="7"/>
  <c r="B1533" i="7"/>
  <c r="B1532" i="7"/>
  <c r="I60" i="6"/>
  <c r="B114" i="24"/>
  <c r="AK64" i="13"/>
  <c r="AJ64" i="13"/>
  <c r="AI64" i="13"/>
  <c r="AH64" i="13"/>
  <c r="AG64" i="13"/>
  <c r="AF64" i="13"/>
  <c r="AE64" i="13"/>
  <c r="AD64" i="13"/>
  <c r="W64" i="13"/>
  <c r="V64" i="13"/>
  <c r="AC64" i="13" s="1"/>
  <c r="O64" i="13"/>
  <c r="Q64" i="13" s="1"/>
  <c r="N64" i="13"/>
  <c r="M64" i="13"/>
  <c r="J64" i="13"/>
  <c r="I64" i="13"/>
  <c r="H64" i="13"/>
  <c r="G64" i="13"/>
  <c r="F64" i="13"/>
  <c r="D64" i="13"/>
  <c r="C64" i="13"/>
  <c r="B64" i="13"/>
  <c r="A64" i="13"/>
  <c r="AK63" i="13"/>
  <c r="AJ63" i="13"/>
  <c r="AI63" i="13"/>
  <c r="AH63" i="13"/>
  <c r="AG63" i="13"/>
  <c r="AF63" i="13"/>
  <c r="AE63" i="13"/>
  <c r="AD63" i="13"/>
  <c r="W63" i="13"/>
  <c r="V63" i="13"/>
  <c r="AC63" i="13" s="1"/>
  <c r="O63" i="13"/>
  <c r="N63" i="13"/>
  <c r="U63" i="13" s="1"/>
  <c r="AZ63" i="13" s="1"/>
  <c r="M63" i="13"/>
  <c r="J63" i="13"/>
  <c r="I63" i="13"/>
  <c r="H63" i="13"/>
  <c r="G63" i="13"/>
  <c r="F63" i="13"/>
  <c r="D63" i="13"/>
  <c r="C63" i="13"/>
  <c r="B63" i="13"/>
  <c r="A63" i="13"/>
  <c r="AK62" i="13"/>
  <c r="AJ62" i="13"/>
  <c r="AI62" i="13"/>
  <c r="AH62" i="13"/>
  <c r="AG62" i="13"/>
  <c r="AF62" i="13"/>
  <c r="AE62" i="13"/>
  <c r="AD62" i="13"/>
  <c r="W62" i="13"/>
  <c r="V62" i="13"/>
  <c r="Y62" i="13" s="1"/>
  <c r="O62" i="13"/>
  <c r="N62" i="13"/>
  <c r="P62" i="13" s="1"/>
  <c r="M62" i="13"/>
  <c r="J62" i="13"/>
  <c r="I62" i="13"/>
  <c r="H62" i="13"/>
  <c r="G62" i="13"/>
  <c r="F62" i="13"/>
  <c r="D62" i="13"/>
  <c r="C62" i="13"/>
  <c r="B62" i="13"/>
  <c r="A62" i="13"/>
  <c r="AK61" i="13"/>
  <c r="AJ61" i="13"/>
  <c r="AI61" i="13"/>
  <c r="AH61" i="13"/>
  <c r="AG61" i="13"/>
  <c r="AF61" i="13"/>
  <c r="AE61" i="13"/>
  <c r="AD61" i="13"/>
  <c r="W61" i="13"/>
  <c r="V61" i="13"/>
  <c r="AC61" i="13" s="1"/>
  <c r="O61" i="13"/>
  <c r="N61" i="13"/>
  <c r="U61" i="13" s="1"/>
  <c r="M61" i="13"/>
  <c r="J61" i="13"/>
  <c r="I61" i="13"/>
  <c r="H61" i="13"/>
  <c r="G61" i="13"/>
  <c r="F61" i="13"/>
  <c r="D61" i="13"/>
  <c r="C61" i="13"/>
  <c r="B61" i="13"/>
  <c r="A61" i="13"/>
  <c r="AK60" i="13"/>
  <c r="AJ60" i="13"/>
  <c r="AI60" i="13"/>
  <c r="AH60" i="13"/>
  <c r="AG60" i="13"/>
  <c r="AF60" i="13"/>
  <c r="AE60" i="13"/>
  <c r="AD60" i="13"/>
  <c r="W60" i="13"/>
  <c r="V60" i="13"/>
  <c r="X60" i="13" s="1"/>
  <c r="O60" i="13"/>
  <c r="N60" i="13"/>
  <c r="U60" i="13" s="1"/>
  <c r="M60" i="13"/>
  <c r="J60" i="13"/>
  <c r="I60" i="13"/>
  <c r="H60" i="13"/>
  <c r="G60" i="13"/>
  <c r="F60" i="13"/>
  <c r="D60" i="13"/>
  <c r="C60" i="13"/>
  <c r="B60" i="13"/>
  <c r="A60" i="13"/>
  <c r="AK59" i="13"/>
  <c r="AJ59" i="13"/>
  <c r="AI59" i="13"/>
  <c r="AH59" i="13"/>
  <c r="AG59" i="13"/>
  <c r="AF59" i="13"/>
  <c r="AE59" i="13"/>
  <c r="AD59" i="13"/>
  <c r="W59" i="13"/>
  <c r="V59" i="13"/>
  <c r="X59" i="13" s="1"/>
  <c r="O59" i="13"/>
  <c r="Q59" i="13" s="1"/>
  <c r="N59" i="13"/>
  <c r="U59" i="13" s="1"/>
  <c r="M59" i="13"/>
  <c r="J59" i="13"/>
  <c r="I59" i="13"/>
  <c r="H59" i="13"/>
  <c r="G59" i="13"/>
  <c r="F59" i="13"/>
  <c r="D59" i="13"/>
  <c r="C59" i="13"/>
  <c r="B59" i="13"/>
  <c r="A59" i="13"/>
  <c r="O55" i="11"/>
  <c r="O62" i="11"/>
  <c r="O64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90" i="11"/>
  <c r="O91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5" i="11"/>
  <c r="O126" i="11"/>
  <c r="L55" i="11"/>
  <c r="L62" i="11"/>
  <c r="L64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90" i="11"/>
  <c r="L91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5" i="11"/>
  <c r="L126" i="11"/>
  <c r="L54" i="11"/>
  <c r="O54" i="11"/>
  <c r="H55" i="11"/>
  <c r="H62" i="11"/>
  <c r="H64" i="11"/>
  <c r="H68" i="11"/>
  <c r="U68" i="11" s="1"/>
  <c r="H69" i="11"/>
  <c r="U69" i="11" s="1"/>
  <c r="H70" i="11"/>
  <c r="U70" i="11" s="1"/>
  <c r="H71" i="11"/>
  <c r="U71" i="11" s="1"/>
  <c r="H72" i="11"/>
  <c r="U72" i="11" s="1"/>
  <c r="H73" i="11"/>
  <c r="U73" i="11" s="1"/>
  <c r="H74" i="11"/>
  <c r="U74" i="11" s="1"/>
  <c r="H75" i="11"/>
  <c r="U75" i="11" s="1"/>
  <c r="H76" i="11"/>
  <c r="U76" i="11" s="1"/>
  <c r="H77" i="11"/>
  <c r="U77" i="11" s="1"/>
  <c r="H78" i="11"/>
  <c r="U78" i="11" s="1"/>
  <c r="H79" i="11"/>
  <c r="U79" i="11" s="1"/>
  <c r="H80" i="11"/>
  <c r="U80" i="11" s="1"/>
  <c r="H81" i="11"/>
  <c r="H82" i="11"/>
  <c r="U82" i="11" s="1"/>
  <c r="H83" i="11"/>
  <c r="U83" i="11" s="1"/>
  <c r="H84" i="11"/>
  <c r="U84" i="11" s="1"/>
  <c r="H85" i="11"/>
  <c r="U85" i="11" s="1"/>
  <c r="H86" i="11"/>
  <c r="U86" i="11" s="1"/>
  <c r="H90" i="11"/>
  <c r="U90" i="11" s="1"/>
  <c r="H91" i="11"/>
  <c r="U91" i="11" s="1"/>
  <c r="H94" i="11"/>
  <c r="U94" i="11" s="1"/>
  <c r="H95" i="11"/>
  <c r="U95" i="11" s="1"/>
  <c r="H96" i="11"/>
  <c r="U96" i="11" s="1"/>
  <c r="H97" i="11"/>
  <c r="U97" i="11" s="1"/>
  <c r="H98" i="11"/>
  <c r="U98" i="11" s="1"/>
  <c r="H99" i="11"/>
  <c r="U99" i="11" s="1"/>
  <c r="H100" i="11"/>
  <c r="U100" i="11" s="1"/>
  <c r="H101" i="11"/>
  <c r="U101" i="11" s="1"/>
  <c r="H102" i="11"/>
  <c r="U102" i="11" s="1"/>
  <c r="H103" i="11"/>
  <c r="U103" i="11" s="1"/>
  <c r="H104" i="11"/>
  <c r="U104" i="11" s="1"/>
  <c r="H105" i="11"/>
  <c r="U105" i="11" s="1"/>
  <c r="H106" i="11"/>
  <c r="U106" i="11" s="1"/>
  <c r="H107" i="11"/>
  <c r="U107" i="11" s="1"/>
  <c r="H108" i="11"/>
  <c r="U108" i="11" s="1"/>
  <c r="H109" i="11"/>
  <c r="U109" i="11" s="1"/>
  <c r="H110" i="11"/>
  <c r="U110" i="11" s="1"/>
  <c r="H111" i="11"/>
  <c r="U111" i="11" s="1"/>
  <c r="H112" i="11"/>
  <c r="U112" i="11" s="1"/>
  <c r="H113" i="11"/>
  <c r="U113" i="11" s="1"/>
  <c r="H114" i="11"/>
  <c r="U114" i="11" s="1"/>
  <c r="H115" i="11"/>
  <c r="U115" i="11" s="1"/>
  <c r="H116" i="11"/>
  <c r="U116" i="11" s="1"/>
  <c r="H117" i="11"/>
  <c r="U117" i="11" s="1"/>
  <c r="H118" i="11"/>
  <c r="U118" i="11" s="1"/>
  <c r="H119" i="11"/>
  <c r="U119" i="11" s="1"/>
  <c r="H120" i="11"/>
  <c r="U120" i="11" s="1"/>
  <c r="H121" i="11"/>
  <c r="U121" i="11" s="1"/>
  <c r="H122" i="11"/>
  <c r="U122" i="11" s="1"/>
  <c r="H125" i="11"/>
  <c r="U125" i="11" s="1"/>
  <c r="H126" i="11"/>
  <c r="U126" i="11" s="1"/>
  <c r="R55" i="11"/>
  <c r="R62" i="11"/>
  <c r="R64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90" i="11"/>
  <c r="R91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5" i="11"/>
  <c r="R126" i="11"/>
  <c r="T86" i="11"/>
  <c r="AB86" i="11" s="1"/>
  <c r="S86" i="11"/>
  <c r="T85" i="11"/>
  <c r="S85" i="11"/>
  <c r="T84" i="11"/>
  <c r="AB84" i="11" s="1"/>
  <c r="S84" i="11"/>
  <c r="T83" i="11"/>
  <c r="AB83" i="11" s="1"/>
  <c r="S83" i="11"/>
  <c r="T82" i="11"/>
  <c r="AB82" i="11" s="1"/>
  <c r="S82" i="11"/>
  <c r="T81" i="11"/>
  <c r="AB81" i="11" s="1"/>
  <c r="S81" i="11"/>
  <c r="U81" i="11"/>
  <c r="T80" i="11"/>
  <c r="AB80" i="11" s="1"/>
  <c r="S80" i="11"/>
  <c r="T79" i="11"/>
  <c r="AB79" i="11" s="1"/>
  <c r="S79" i="11"/>
  <c r="T78" i="11"/>
  <c r="S78" i="11"/>
  <c r="T77" i="11"/>
  <c r="AB77" i="11" s="1"/>
  <c r="S77" i="11"/>
  <c r="T76" i="11"/>
  <c r="AB76" i="11" s="1"/>
  <c r="S76" i="11"/>
  <c r="T75" i="11"/>
  <c r="S75" i="11"/>
  <c r="T74" i="11"/>
  <c r="AB74" i="11" s="1"/>
  <c r="S74" i="11"/>
  <c r="T73" i="11"/>
  <c r="AB73" i="11" s="1"/>
  <c r="S73" i="11"/>
  <c r="T72" i="11"/>
  <c r="S72" i="11"/>
  <c r="T71" i="11"/>
  <c r="S71" i="11"/>
  <c r="T70" i="11"/>
  <c r="AB70" i="11" s="1"/>
  <c r="S70" i="11"/>
  <c r="T69" i="11"/>
  <c r="AB69" i="11" s="1"/>
  <c r="S69" i="11"/>
  <c r="T68" i="11"/>
  <c r="AB68" i="11" s="1"/>
  <c r="S68" i="11"/>
  <c r="T109" i="11"/>
  <c r="AB109" i="11" s="1"/>
  <c r="S109" i="11"/>
  <c r="T108" i="11"/>
  <c r="AB108" i="11" s="1"/>
  <c r="S108" i="11"/>
  <c r="T107" i="11"/>
  <c r="S107" i="11"/>
  <c r="T106" i="11"/>
  <c r="AB106" i="11" s="1"/>
  <c r="S106" i="11"/>
  <c r="T105" i="11"/>
  <c r="AB105" i="11" s="1"/>
  <c r="S105" i="11"/>
  <c r="T104" i="11"/>
  <c r="S104" i="11"/>
  <c r="T103" i="11"/>
  <c r="AB103" i="11" s="1"/>
  <c r="S103" i="11"/>
  <c r="T102" i="11"/>
  <c r="S102" i="11"/>
  <c r="T101" i="11"/>
  <c r="AB101" i="11" s="1"/>
  <c r="S101" i="11"/>
  <c r="T100" i="11"/>
  <c r="AB100" i="11" s="1"/>
  <c r="S100" i="11"/>
  <c r="T99" i="11"/>
  <c r="S99" i="11"/>
  <c r="T98" i="11"/>
  <c r="S98" i="11"/>
  <c r="T97" i="11"/>
  <c r="AB97" i="11" s="1"/>
  <c r="S97" i="11"/>
  <c r="T96" i="11"/>
  <c r="AB96" i="11" s="1"/>
  <c r="S96" i="11"/>
  <c r="T95" i="11"/>
  <c r="AB95" i="11" s="1"/>
  <c r="S95" i="11"/>
  <c r="Y95" i="11" s="1"/>
  <c r="T94" i="11"/>
  <c r="AB94" i="11" s="1"/>
  <c r="S94" i="11"/>
  <c r="T91" i="11"/>
  <c r="S91" i="11"/>
  <c r="T90" i="11"/>
  <c r="AB90" i="11" s="1"/>
  <c r="S90" i="11"/>
  <c r="T126" i="11"/>
  <c r="AB126" i="11" s="1"/>
  <c r="S126" i="11"/>
  <c r="T125" i="11"/>
  <c r="AB125" i="11" s="1"/>
  <c r="S125" i="11"/>
  <c r="AB123" i="11"/>
  <c r="T122" i="11"/>
  <c r="AB122" i="11" s="1"/>
  <c r="S122" i="11"/>
  <c r="T121" i="11"/>
  <c r="AB121" i="11" s="1"/>
  <c r="S121" i="11"/>
  <c r="T120" i="11"/>
  <c r="AB120" i="11" s="1"/>
  <c r="S120" i="11"/>
  <c r="T119" i="11"/>
  <c r="AB119" i="11" s="1"/>
  <c r="S119" i="11"/>
  <c r="T118" i="11"/>
  <c r="AB118" i="11" s="1"/>
  <c r="S118" i="11"/>
  <c r="T117" i="11"/>
  <c r="S117" i="11"/>
  <c r="T116" i="11"/>
  <c r="AB116" i="11" s="1"/>
  <c r="S116" i="11"/>
  <c r="T115" i="11"/>
  <c r="AB115" i="11" s="1"/>
  <c r="S115" i="11"/>
  <c r="T114" i="11"/>
  <c r="S114" i="11"/>
  <c r="T113" i="11"/>
  <c r="AB113" i="11" s="1"/>
  <c r="S113" i="11"/>
  <c r="T112" i="11"/>
  <c r="AB112" i="11" s="1"/>
  <c r="S112" i="11"/>
  <c r="T111" i="11"/>
  <c r="AB111" i="11" s="1"/>
  <c r="S111" i="11"/>
  <c r="T110" i="11"/>
  <c r="AB110" i="11" s="1"/>
  <c r="S110" i="11"/>
  <c r="I170" i="24" l="1"/>
  <c r="I137" i="24"/>
  <c r="J137" i="24"/>
  <c r="N137" i="24" s="1"/>
  <c r="D9" i="29"/>
  <c r="F9" i="29" s="1"/>
  <c r="V54" i="11"/>
  <c r="V75" i="11"/>
  <c r="V122" i="11"/>
  <c r="V106" i="11"/>
  <c r="Z106" i="11" s="1"/>
  <c r="V90" i="11"/>
  <c r="Z90" i="11" s="1"/>
  <c r="P64" i="13"/>
  <c r="J275" i="24"/>
  <c r="N275" i="24" s="1"/>
  <c r="E275" i="24" s="1"/>
  <c r="J170" i="24"/>
  <c r="N170" i="24" s="1"/>
  <c r="O170" i="24" s="1"/>
  <c r="I66" i="9"/>
  <c r="G9" i="29" s="1"/>
  <c r="V119" i="11"/>
  <c r="Z119" i="11" s="1"/>
  <c r="V112" i="11"/>
  <c r="Z112" i="11" s="1"/>
  <c r="V101" i="11"/>
  <c r="Z101" i="11" s="1"/>
  <c r="V96" i="11"/>
  <c r="Z96" i="11" s="1"/>
  <c r="V82" i="11"/>
  <c r="Z82" i="11" s="1"/>
  <c r="V81" i="11"/>
  <c r="Z81" i="11" s="1"/>
  <c r="V80" i="11"/>
  <c r="Z80" i="11" s="1"/>
  <c r="V73" i="11"/>
  <c r="Z73" i="11" s="1"/>
  <c r="Z22" i="11"/>
  <c r="V114" i="11"/>
  <c r="Z114" i="11" s="1"/>
  <c r="V94" i="11"/>
  <c r="Z94" i="11" s="1"/>
  <c r="V105" i="11"/>
  <c r="Z105" i="11" s="1"/>
  <c r="V108" i="11"/>
  <c r="Z108" i="11" s="1"/>
  <c r="Y22" i="11"/>
  <c r="V115" i="11"/>
  <c r="Z115" i="11" s="1"/>
  <c r="V126" i="11"/>
  <c r="Z126" i="11" s="1"/>
  <c r="V121" i="11"/>
  <c r="Z121" i="11" s="1"/>
  <c r="V91" i="11"/>
  <c r="Z91" i="11" s="1"/>
  <c r="Y21" i="11"/>
  <c r="V83" i="11"/>
  <c r="Z83" i="11" s="1"/>
  <c r="V97" i="11"/>
  <c r="Z97" i="11" s="1"/>
  <c r="V95" i="11"/>
  <c r="Z95" i="11" s="1"/>
  <c r="V125" i="11"/>
  <c r="Z125" i="11" s="1"/>
  <c r="V74" i="11"/>
  <c r="Z74" i="11" s="1"/>
  <c r="Z21" i="11"/>
  <c r="V107" i="11"/>
  <c r="Z107" i="11" s="1"/>
  <c r="V120" i="11"/>
  <c r="Z120" i="11" s="1"/>
  <c r="V104" i="11"/>
  <c r="Z104" i="11" s="1"/>
  <c r="V72" i="11"/>
  <c r="V99" i="11"/>
  <c r="Z99" i="11" s="1"/>
  <c r="V103" i="11"/>
  <c r="Z103" i="11" s="1"/>
  <c r="V71" i="11"/>
  <c r="Z71" i="11" s="1"/>
  <c r="V98" i="11"/>
  <c r="Z98" i="11" s="1"/>
  <c r="V113" i="11"/>
  <c r="Z113" i="11" s="1"/>
  <c r="V117" i="11"/>
  <c r="Z117" i="11" s="1"/>
  <c r="V85" i="11"/>
  <c r="Z85" i="11" s="1"/>
  <c r="Y76" i="11"/>
  <c r="V111" i="11"/>
  <c r="Z111" i="11" s="1"/>
  <c r="V79" i="11"/>
  <c r="Z79" i="11" s="1"/>
  <c r="V110" i="11"/>
  <c r="Z110" i="11" s="1"/>
  <c r="V78" i="11"/>
  <c r="Z78" i="11" s="1"/>
  <c r="Y104" i="11"/>
  <c r="V109" i="11"/>
  <c r="Z109" i="11" s="1"/>
  <c r="V77" i="11"/>
  <c r="Z77" i="11" s="1"/>
  <c r="V76" i="11"/>
  <c r="Z76" i="11" s="1"/>
  <c r="Y74" i="11"/>
  <c r="Y71" i="11"/>
  <c r="J64" i="4"/>
  <c r="W64" i="4"/>
  <c r="D64" i="4"/>
  <c r="Y64" i="4" s="1"/>
  <c r="J27" i="4"/>
  <c r="W27" i="4"/>
  <c r="D27" i="4"/>
  <c r="AN64" i="13"/>
  <c r="AC60" i="13"/>
  <c r="AC62" i="13"/>
  <c r="X61" i="13"/>
  <c r="Y59" i="13"/>
  <c r="Z59" i="13" s="1"/>
  <c r="AB59" i="13" s="1"/>
  <c r="Y61" i="13"/>
  <c r="Z61" i="13" s="1"/>
  <c r="AB61" i="13" s="1"/>
  <c r="AQ61" i="13" s="1"/>
  <c r="U64" i="13"/>
  <c r="AZ64" i="13" s="1"/>
  <c r="AN59" i="13"/>
  <c r="AN63" i="13"/>
  <c r="P63" i="13"/>
  <c r="Q63" i="13"/>
  <c r="R63" i="13" s="1"/>
  <c r="T63" i="13" s="1"/>
  <c r="AP63" i="13" s="1"/>
  <c r="BA63" i="13" s="1"/>
  <c r="AC59" i="13"/>
  <c r="R64" i="13"/>
  <c r="T64" i="13" s="1"/>
  <c r="AZ61" i="13"/>
  <c r="Z62" i="13"/>
  <c r="AB62" i="13" s="1"/>
  <c r="Q62" i="13"/>
  <c r="R62" i="13" s="1"/>
  <c r="T62" i="13" s="1"/>
  <c r="P61" i="13"/>
  <c r="Q61" i="13"/>
  <c r="R61" i="13" s="1"/>
  <c r="T61" i="13" s="1"/>
  <c r="AP61" i="13" s="1"/>
  <c r="X64" i="13"/>
  <c r="P60" i="13"/>
  <c r="AZ60" i="13"/>
  <c r="U62" i="13"/>
  <c r="AZ62" i="13" s="1"/>
  <c r="Y64" i="13"/>
  <c r="Z64" i="13" s="1"/>
  <c r="AB64" i="13" s="1"/>
  <c r="AQ64" i="13" s="1"/>
  <c r="Q60" i="13"/>
  <c r="R60" i="13" s="1"/>
  <c r="T60" i="13" s="1"/>
  <c r="AP60" i="13" s="1"/>
  <c r="X63" i="13"/>
  <c r="P59" i="13"/>
  <c r="R59" i="13" s="1"/>
  <c r="AZ59" i="13"/>
  <c r="AN62" i="13"/>
  <c r="Y63" i="13"/>
  <c r="X62" i="13"/>
  <c r="AN61" i="13"/>
  <c r="AN60" i="13"/>
  <c r="Y60" i="13"/>
  <c r="Z60" i="13" s="1"/>
  <c r="AB60" i="13" s="1"/>
  <c r="V118" i="11"/>
  <c r="Z118" i="11" s="1"/>
  <c r="V102" i="11"/>
  <c r="Z102" i="11" s="1"/>
  <c r="V86" i="11"/>
  <c r="Z86" i="11" s="1"/>
  <c r="V70" i="11"/>
  <c r="Z70" i="11" s="1"/>
  <c r="V69" i="11"/>
  <c r="Z69" i="11" s="1"/>
  <c r="V116" i="11"/>
  <c r="Z116" i="11" s="1"/>
  <c r="V100" i="11"/>
  <c r="Z100" i="11" s="1"/>
  <c r="V84" i="11"/>
  <c r="Z84" i="11" s="1"/>
  <c r="V68" i="11"/>
  <c r="Z68" i="11" s="1"/>
  <c r="Y79" i="11"/>
  <c r="Y99" i="11"/>
  <c r="Y75" i="11"/>
  <c r="Y68" i="11"/>
  <c r="Y84" i="11"/>
  <c r="Y73" i="11"/>
  <c r="AB75" i="11"/>
  <c r="Y108" i="11"/>
  <c r="Y78" i="11"/>
  <c r="AB71" i="11"/>
  <c r="Y85" i="11"/>
  <c r="AB78" i="11"/>
  <c r="Y81" i="11"/>
  <c r="Y102" i="11"/>
  <c r="Y105" i="11"/>
  <c r="Y98" i="11"/>
  <c r="Z75" i="11"/>
  <c r="Y91" i="11"/>
  <c r="Y77" i="11"/>
  <c r="Y96" i="11"/>
  <c r="Y80" i="11"/>
  <c r="Y83" i="11"/>
  <c r="Y70" i="11"/>
  <c r="Y86" i="11"/>
  <c r="Y82" i="11"/>
  <c r="Y69" i="11"/>
  <c r="AB99" i="11"/>
  <c r="Y107" i="11"/>
  <c r="AB102" i="11"/>
  <c r="AB85" i="11"/>
  <c r="Y114" i="11"/>
  <c r="Y117" i="11"/>
  <c r="Y101" i="11"/>
  <c r="Y94" i="11"/>
  <c r="AB104" i="11"/>
  <c r="Y110" i="11"/>
  <c r="Y120" i="11"/>
  <c r="AB91" i="11"/>
  <c r="Y97" i="11"/>
  <c r="AB107" i="11"/>
  <c r="Z122" i="11"/>
  <c r="AB114" i="11"/>
  <c r="AB98" i="11"/>
  <c r="Y100" i="11"/>
  <c r="Y103" i="11"/>
  <c r="Y90" i="11"/>
  <c r="Y106" i="11"/>
  <c r="Y109" i="11"/>
  <c r="Y113" i="11"/>
  <c r="Y126" i="11"/>
  <c r="AB117" i="11"/>
  <c r="Y116" i="11"/>
  <c r="Y119" i="11"/>
  <c r="Y122" i="11"/>
  <c r="Y112" i="11"/>
  <c r="Y115" i="11"/>
  <c r="Y118" i="11"/>
  <c r="Y121" i="11"/>
  <c r="AB124" i="11"/>
  <c r="Y125" i="11"/>
  <c r="Y111" i="11"/>
  <c r="L31" i="23"/>
  <c r="L32" i="23"/>
  <c r="L33" i="23"/>
  <c r="L34" i="23"/>
  <c r="L35" i="23"/>
  <c r="L36" i="23"/>
  <c r="L37" i="23"/>
  <c r="L38" i="23"/>
  <c r="L39" i="23"/>
  <c r="L40" i="23"/>
  <c r="O137" i="24" l="1"/>
  <c r="E137" i="24"/>
  <c r="F137" i="24" s="1"/>
  <c r="AP64" i="13"/>
  <c r="O275" i="24"/>
  <c r="F275" i="24"/>
  <c r="AC64" i="4"/>
  <c r="V64" i="4"/>
  <c r="Z64" i="4"/>
  <c r="AC27" i="4"/>
  <c r="V27" i="4"/>
  <c r="Y27" i="4"/>
  <c r="Z27" i="4"/>
  <c r="AQ60" i="13"/>
  <c r="AQ59" i="13"/>
  <c r="Z63" i="13"/>
  <c r="AB63" i="13" s="1"/>
  <c r="AQ63" i="13" s="1"/>
  <c r="AX63" i="13"/>
  <c r="AP62" i="13"/>
  <c r="BA62" i="13" s="1"/>
  <c r="AQ62" i="13"/>
  <c r="AX64" i="13"/>
  <c r="BA64" i="13"/>
  <c r="AX61" i="13"/>
  <c r="T59" i="13"/>
  <c r="AP59" i="13" s="1"/>
  <c r="BA59" i="13" s="1"/>
  <c r="AX59" i="13"/>
  <c r="AX62" i="13"/>
  <c r="BA61" i="13"/>
  <c r="BA60" i="13"/>
  <c r="AX60" i="13"/>
  <c r="H235" i="24" l="1"/>
  <c r="D235" i="24" s="1"/>
  <c r="N235" i="24"/>
  <c r="E235" i="24" s="1"/>
  <c r="N234" i="24"/>
  <c r="E234" i="24" s="1"/>
  <c r="H231" i="24"/>
  <c r="H26" i="18"/>
  <c r="G26" i="18"/>
  <c r="F26" i="18"/>
  <c r="E26" i="18"/>
  <c r="I16" i="18"/>
  <c r="H27" i="18"/>
  <c r="G27" i="18"/>
  <c r="E27" i="18"/>
  <c r="I15" i="18"/>
  <c r="I14" i="18"/>
  <c r="K236" i="4"/>
  <c r="H236" i="4"/>
  <c r="C236" i="4"/>
  <c r="F236" i="4" s="1"/>
  <c r="B236" i="4"/>
  <c r="K251" i="4"/>
  <c r="H251" i="4"/>
  <c r="C251" i="4"/>
  <c r="F251" i="4" s="1"/>
  <c r="B251" i="4"/>
  <c r="I247" i="6"/>
  <c r="G251" i="4" s="1"/>
  <c r="I232" i="6"/>
  <c r="G236" i="4" s="1"/>
  <c r="AH243" i="24"/>
  <c r="AG243" i="24"/>
  <c r="AF243" i="24"/>
  <c r="K243" i="24"/>
  <c r="B212" i="24"/>
  <c r="B191" i="24"/>
  <c r="B192" i="24"/>
  <c r="B184" i="24"/>
  <c r="B183" i="24"/>
  <c r="B182" i="24"/>
  <c r="E165" i="11"/>
  <c r="G165" i="11"/>
  <c r="H165" i="11"/>
  <c r="B152" i="24"/>
  <c r="B151" i="24"/>
  <c r="B150" i="24"/>
  <c r="B149" i="24"/>
  <c r="B148" i="24"/>
  <c r="O235" i="24" l="1"/>
  <c r="F235" i="24"/>
  <c r="H234" i="24"/>
  <c r="J236" i="4"/>
  <c r="D236" i="4"/>
  <c r="J251" i="4"/>
  <c r="D251" i="4"/>
  <c r="B116" i="24"/>
  <c r="B115" i="24"/>
  <c r="B113" i="24"/>
  <c r="B118" i="24"/>
  <c r="B117" i="24"/>
  <c r="B107" i="24"/>
  <c r="B106" i="24"/>
  <c r="B105" i="24"/>
  <c r="B104" i="24"/>
  <c r="L19" i="25"/>
  <c r="D18" i="3"/>
  <c r="D15" i="3"/>
  <c r="D14" i="3"/>
  <c r="D13" i="3"/>
  <c r="D12" i="3"/>
  <c r="Y25" i="1"/>
  <c r="Z25" i="1"/>
  <c r="J25" i="1"/>
  <c r="N25" i="1" s="1"/>
  <c r="Q25" i="1" s="1"/>
  <c r="H25" i="1"/>
  <c r="J24" i="1"/>
  <c r="H24" i="1"/>
  <c r="O24" i="1" s="1"/>
  <c r="V24" i="1" s="1"/>
  <c r="J17" i="1"/>
  <c r="H17" i="1"/>
  <c r="AW25" i="1"/>
  <c r="AX25" i="1" s="1"/>
  <c r="AS25" i="1"/>
  <c r="AT25" i="1" s="1"/>
  <c r="AN25" i="1"/>
  <c r="AJ25" i="1"/>
  <c r="AK25" i="1" s="1"/>
  <c r="AI25" i="1"/>
  <c r="AE25" i="1"/>
  <c r="AF25" i="1" s="1"/>
  <c r="AD25" i="1"/>
  <c r="AA25" i="1"/>
  <c r="M25" i="1"/>
  <c r="AO25" i="1" s="1"/>
  <c r="AP25" i="1" s="1"/>
  <c r="L25" i="1"/>
  <c r="G25" i="1"/>
  <c r="AW24" i="1"/>
  <c r="AX24" i="1" s="1"/>
  <c r="AS24" i="1"/>
  <c r="AT24" i="1" s="1"/>
  <c r="AN24" i="1"/>
  <c r="AI24" i="1"/>
  <c r="AD24" i="1"/>
  <c r="Y24" i="1"/>
  <c r="P24" i="1"/>
  <c r="N24" i="1"/>
  <c r="M24" i="1"/>
  <c r="L24" i="1" s="1"/>
  <c r="G24" i="1"/>
  <c r="AN17" i="1"/>
  <c r="AI17" i="1"/>
  <c r="AD17" i="1"/>
  <c r="Y17" i="1"/>
  <c r="AW17" i="1"/>
  <c r="AX17" i="1" s="1"/>
  <c r="AS17" i="1"/>
  <c r="AT17" i="1" s="1"/>
  <c r="M17" i="1"/>
  <c r="L17" i="1"/>
  <c r="G17" i="1"/>
  <c r="AK16" i="1"/>
  <c r="AE15" i="1"/>
  <c r="AE16" i="1"/>
  <c r="AE18" i="1"/>
  <c r="AE19" i="1"/>
  <c r="AE20" i="1"/>
  <c r="AE21" i="1"/>
  <c r="AE22" i="1"/>
  <c r="AE23" i="1"/>
  <c r="G138" i="12"/>
  <c r="G137" i="12"/>
  <c r="G136" i="12"/>
  <c r="G135" i="12"/>
  <c r="G134" i="12"/>
  <c r="G132" i="12"/>
  <c r="G130" i="12"/>
  <c r="G129" i="12"/>
  <c r="G128" i="12"/>
  <c r="G127" i="12"/>
  <c r="G126" i="12"/>
  <c r="G125" i="12"/>
  <c r="G123" i="12"/>
  <c r="G122" i="12"/>
  <c r="G121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8" i="12"/>
  <c r="G97" i="12"/>
  <c r="G96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J46" i="13"/>
  <c r="J45" i="13"/>
  <c r="J38" i="13"/>
  <c r="J27" i="13"/>
  <c r="AK46" i="13"/>
  <c r="AJ46" i="13"/>
  <c r="AI46" i="13"/>
  <c r="AH46" i="13"/>
  <c r="AG46" i="13"/>
  <c r="AF46" i="13"/>
  <c r="AE46" i="13"/>
  <c r="AD46" i="13"/>
  <c r="W46" i="13"/>
  <c r="V46" i="13"/>
  <c r="AC46" i="13" s="1"/>
  <c r="O46" i="13"/>
  <c r="Q46" i="13" s="1"/>
  <c r="N46" i="13"/>
  <c r="P46" i="13" s="1"/>
  <c r="M46" i="13"/>
  <c r="I46" i="13"/>
  <c r="H46" i="13"/>
  <c r="G46" i="13"/>
  <c r="F46" i="13"/>
  <c r="D46" i="13"/>
  <c r="C46" i="13"/>
  <c r="B46" i="13"/>
  <c r="A46" i="13"/>
  <c r="AK45" i="13"/>
  <c r="AJ45" i="13"/>
  <c r="AI45" i="13"/>
  <c r="AH45" i="13"/>
  <c r="AG45" i="13"/>
  <c r="AF45" i="13"/>
  <c r="AE45" i="13"/>
  <c r="AD45" i="13"/>
  <c r="W45" i="13"/>
  <c r="V45" i="13"/>
  <c r="AC45" i="13" s="1"/>
  <c r="O45" i="13"/>
  <c r="Q45" i="13" s="1"/>
  <c r="N45" i="13"/>
  <c r="U45" i="13" s="1"/>
  <c r="M45" i="13"/>
  <c r="I45" i="13"/>
  <c r="H45" i="13"/>
  <c r="G45" i="13"/>
  <c r="F45" i="13"/>
  <c r="D45" i="13"/>
  <c r="C45" i="13"/>
  <c r="B45" i="13"/>
  <c r="A45" i="13"/>
  <c r="AK38" i="13"/>
  <c r="AJ38" i="13"/>
  <c r="AI38" i="13"/>
  <c r="AH38" i="13"/>
  <c r="AG38" i="13"/>
  <c r="AF38" i="13"/>
  <c r="AE38" i="13"/>
  <c r="AD38" i="13"/>
  <c r="W38" i="13"/>
  <c r="V38" i="13"/>
  <c r="AC38" i="13" s="1"/>
  <c r="O38" i="13"/>
  <c r="N38" i="13"/>
  <c r="U38" i="13" s="1"/>
  <c r="M38" i="13"/>
  <c r="I38" i="13"/>
  <c r="H38" i="13"/>
  <c r="G38" i="13"/>
  <c r="F38" i="13"/>
  <c r="D38" i="13"/>
  <c r="C38" i="13"/>
  <c r="B38" i="13"/>
  <c r="A38" i="13"/>
  <c r="M27" i="13"/>
  <c r="AK27" i="13"/>
  <c r="AJ27" i="13"/>
  <c r="AI27" i="13"/>
  <c r="AH27" i="13"/>
  <c r="AG27" i="13"/>
  <c r="AF27" i="13"/>
  <c r="AE27" i="13"/>
  <c r="AD27" i="13"/>
  <c r="W27" i="13"/>
  <c r="V27" i="13"/>
  <c r="AC27" i="13" s="1"/>
  <c r="O27" i="13"/>
  <c r="N27" i="13"/>
  <c r="U27" i="13" s="1"/>
  <c r="I27" i="13"/>
  <c r="H27" i="13"/>
  <c r="G27" i="13"/>
  <c r="F27" i="13"/>
  <c r="D27" i="13"/>
  <c r="C27" i="13"/>
  <c r="A27" i="13"/>
  <c r="B27" i="13"/>
  <c r="AZ45" i="13" l="1"/>
  <c r="P27" i="13"/>
  <c r="U46" i="13"/>
  <c r="Q27" i="13"/>
  <c r="R27" i="13" s="1"/>
  <c r="T27" i="13" s="1"/>
  <c r="AP27" i="13" s="1"/>
  <c r="X27" i="13"/>
  <c r="Y27" i="13"/>
  <c r="Z27" i="13" s="1"/>
  <c r="AB27" i="13" s="1"/>
  <c r="AQ27" i="13" s="1"/>
  <c r="AZ46" i="13"/>
  <c r="P45" i="13"/>
  <c r="O234" i="24"/>
  <c r="D234" i="24"/>
  <c r="F234" i="24" s="1"/>
  <c r="AC236" i="4"/>
  <c r="V236" i="4"/>
  <c r="W236" i="4"/>
  <c r="AC251" i="4"/>
  <c r="V251" i="4"/>
  <c r="W251" i="4"/>
  <c r="O25" i="1"/>
  <c r="V25" i="1" s="1"/>
  <c r="P25" i="1"/>
  <c r="R25" i="1"/>
  <c r="Q24" i="1"/>
  <c r="AO17" i="1"/>
  <c r="AP17" i="1" s="1"/>
  <c r="N17" i="1"/>
  <c r="O17" i="1"/>
  <c r="V17" i="1" s="1"/>
  <c r="P17" i="1"/>
  <c r="Z17" i="1"/>
  <c r="AA17" i="1" s="1"/>
  <c r="AE17" i="1"/>
  <c r="AF17" i="1" s="1"/>
  <c r="AJ17" i="1"/>
  <c r="AK17" i="1" s="1"/>
  <c r="AE24" i="1"/>
  <c r="AF24" i="1" s="1"/>
  <c r="Z24" i="1"/>
  <c r="AA24" i="1" s="1"/>
  <c r="R24" i="1"/>
  <c r="AO24" i="1"/>
  <c r="AP24" i="1" s="1"/>
  <c r="AJ24" i="1"/>
  <c r="AK24" i="1" s="1"/>
  <c r="Q17" i="1"/>
  <c r="R17" i="1"/>
  <c r="R46" i="13"/>
  <c r="T46" i="13" s="1"/>
  <c r="AP46" i="13" s="1"/>
  <c r="AN46" i="13"/>
  <c r="AN45" i="13"/>
  <c r="P38" i="13"/>
  <c r="AZ38" i="13"/>
  <c r="R45" i="13"/>
  <c r="T45" i="13" s="1"/>
  <c r="AP45" i="13" s="1"/>
  <c r="Q38" i="13"/>
  <c r="R38" i="13" s="1"/>
  <c r="X46" i="13"/>
  <c r="Y46" i="13"/>
  <c r="Z46" i="13" s="1"/>
  <c r="AB46" i="13" s="1"/>
  <c r="AQ46" i="13" s="1"/>
  <c r="X45" i="13"/>
  <c r="AN38" i="13"/>
  <c r="Y45" i="13"/>
  <c r="Z45" i="13" s="1"/>
  <c r="AB45" i="13" s="1"/>
  <c r="AQ45" i="13" s="1"/>
  <c r="X38" i="13"/>
  <c r="Y38" i="13"/>
  <c r="Z38" i="13" s="1"/>
  <c r="AB38" i="13" s="1"/>
  <c r="AQ38" i="13" s="1"/>
  <c r="AN27" i="13"/>
  <c r="AZ27" i="13"/>
  <c r="BA46" i="13" l="1"/>
  <c r="AX46" i="13"/>
  <c r="T38" i="13"/>
  <c r="AP38" i="13" s="1"/>
  <c r="BA38" i="13" s="1"/>
  <c r="AX38" i="13"/>
  <c r="BA45" i="13"/>
  <c r="AX45" i="13"/>
  <c r="AX27" i="13"/>
  <c r="BA27" i="13"/>
  <c r="K221" i="4" l="1"/>
  <c r="H221" i="4"/>
  <c r="C221" i="4"/>
  <c r="D221" i="4" s="1"/>
  <c r="K220" i="4"/>
  <c r="H220" i="4"/>
  <c r="C220" i="4"/>
  <c r="F220" i="4" s="1"/>
  <c r="K219" i="4"/>
  <c r="H219" i="4"/>
  <c r="C219" i="4"/>
  <c r="D219" i="4" s="1"/>
  <c r="K218" i="4"/>
  <c r="H218" i="4"/>
  <c r="C218" i="4"/>
  <c r="F218" i="4" s="1"/>
  <c r="I217" i="6"/>
  <c r="G221" i="4" s="1"/>
  <c r="I216" i="6"/>
  <c r="G220" i="4" s="1"/>
  <c r="I215" i="6"/>
  <c r="G219" i="4" s="1"/>
  <c r="I214" i="6"/>
  <c r="G218" i="4" s="1"/>
  <c r="F221" i="4" l="1"/>
  <c r="J221" i="4" s="1"/>
  <c r="J218" i="4"/>
  <c r="J220" i="4"/>
  <c r="F219" i="4"/>
  <c r="AC219" i="4" s="1"/>
  <c r="D218" i="4"/>
  <c r="D220" i="4"/>
  <c r="W221" i="4" l="1"/>
  <c r="AC221" i="4"/>
  <c r="V221" i="4"/>
  <c r="AC218" i="4"/>
  <c r="V218" i="4"/>
  <c r="J219" i="4"/>
  <c r="W219" i="4"/>
  <c r="V219" i="4"/>
  <c r="W218" i="4"/>
  <c r="AC220" i="4"/>
  <c r="V220" i="4"/>
  <c r="W220" i="4"/>
  <c r="H171" i="11" l="1"/>
  <c r="E171" i="11"/>
  <c r="V48" i="11"/>
  <c r="T48" i="11"/>
  <c r="S48" i="11"/>
  <c r="R48" i="11"/>
  <c r="W48" i="11" s="1"/>
  <c r="H48" i="11"/>
  <c r="U48" i="11" s="1"/>
  <c r="V47" i="11"/>
  <c r="T47" i="11"/>
  <c r="AB47" i="11" s="1"/>
  <c r="S47" i="11"/>
  <c r="R47" i="11"/>
  <c r="W47" i="11" s="1"/>
  <c r="H47" i="11"/>
  <c r="U47" i="11" s="1"/>
  <c r="V46" i="11"/>
  <c r="T46" i="11"/>
  <c r="AB46" i="11" s="1"/>
  <c r="S46" i="11"/>
  <c r="R46" i="11"/>
  <c r="W46" i="11" s="1"/>
  <c r="H46" i="11"/>
  <c r="U46" i="11" s="1"/>
  <c r="A46" i="11"/>
  <c r="A47" i="11" s="1"/>
  <c r="A48" i="11" s="1"/>
  <c r="A49" i="11" s="1"/>
  <c r="V45" i="11"/>
  <c r="T45" i="11"/>
  <c r="S45" i="11"/>
  <c r="R45" i="11"/>
  <c r="W45" i="11" s="1"/>
  <c r="H45" i="11"/>
  <c r="U45" i="11" s="1"/>
  <c r="H172" i="11"/>
  <c r="E172" i="11"/>
  <c r="V36" i="11"/>
  <c r="T36" i="11"/>
  <c r="AB36" i="11" s="1"/>
  <c r="S36" i="11"/>
  <c r="R36" i="11"/>
  <c r="W36" i="11" s="1"/>
  <c r="H36" i="11"/>
  <c r="U36" i="11" s="1"/>
  <c r="V35" i="11"/>
  <c r="T35" i="11"/>
  <c r="AB35" i="11" s="1"/>
  <c r="S35" i="11"/>
  <c r="R35" i="11"/>
  <c r="W35" i="11" s="1"/>
  <c r="H35" i="11"/>
  <c r="U35" i="11" s="1"/>
  <c r="V34" i="11"/>
  <c r="T34" i="11"/>
  <c r="AB34" i="11" s="1"/>
  <c r="S34" i="11"/>
  <c r="R34" i="11"/>
  <c r="W34" i="11" s="1"/>
  <c r="H34" i="11"/>
  <c r="U34" i="11" s="1"/>
  <c r="V33" i="11"/>
  <c r="T33" i="11"/>
  <c r="S33" i="11"/>
  <c r="R33" i="11"/>
  <c r="W33" i="11" s="1"/>
  <c r="H33" i="11"/>
  <c r="U33" i="11" s="1"/>
  <c r="V32" i="11"/>
  <c r="T32" i="11"/>
  <c r="AB32" i="11" s="1"/>
  <c r="S32" i="11"/>
  <c r="R32" i="11"/>
  <c r="W32" i="11" s="1"/>
  <c r="H32" i="11"/>
  <c r="U32" i="11" s="1"/>
  <c r="V31" i="11"/>
  <c r="T31" i="11"/>
  <c r="AB31" i="11" s="1"/>
  <c r="S31" i="11"/>
  <c r="R31" i="11"/>
  <c r="W31" i="11" s="1"/>
  <c r="H31" i="11"/>
  <c r="U31" i="11" s="1"/>
  <c r="B424" i="20"/>
  <c r="K245" i="24"/>
  <c r="AH245" i="24"/>
  <c r="AG245" i="24"/>
  <c r="AF245" i="24"/>
  <c r="K259" i="24"/>
  <c r="K252" i="24"/>
  <c r="AH259" i="24"/>
  <c r="AG259" i="24"/>
  <c r="AF259" i="24"/>
  <c r="AH252" i="24"/>
  <c r="AG252" i="24"/>
  <c r="AF252" i="24"/>
  <c r="AH263" i="24"/>
  <c r="AG263" i="24"/>
  <c r="AF263" i="24"/>
  <c r="AH262" i="24"/>
  <c r="AG262" i="24"/>
  <c r="AF262" i="24"/>
  <c r="AH261" i="24"/>
  <c r="AG261" i="24"/>
  <c r="AF261" i="24"/>
  <c r="AH260" i="24"/>
  <c r="AG260" i="24"/>
  <c r="AF260" i="24"/>
  <c r="K260" i="24"/>
  <c r="AH256" i="24"/>
  <c r="AG256" i="24"/>
  <c r="AF256" i="24"/>
  <c r="AH255" i="24"/>
  <c r="AG255" i="24"/>
  <c r="AF255" i="24"/>
  <c r="AH254" i="24"/>
  <c r="AG254" i="24"/>
  <c r="AF254" i="24"/>
  <c r="AH253" i="24"/>
  <c r="AG253" i="24"/>
  <c r="AF253" i="24"/>
  <c r="K253" i="24"/>
  <c r="AA278" i="24"/>
  <c r="W278" i="24"/>
  <c r="V278" i="24"/>
  <c r="T278" i="24"/>
  <c r="S278" i="24"/>
  <c r="AG278" i="24" s="1"/>
  <c r="R278" i="24"/>
  <c r="N278" i="24"/>
  <c r="P277" i="24"/>
  <c r="N277" i="24"/>
  <c r="AH136" i="24"/>
  <c r="S136" i="24"/>
  <c r="AG136" i="24" s="1"/>
  <c r="R136" i="24"/>
  <c r="AF136" i="24" s="1"/>
  <c r="O277" i="24" l="1"/>
  <c r="E277" i="24"/>
  <c r="F277" i="24" s="1"/>
  <c r="O278" i="24"/>
  <c r="E278" i="24"/>
  <c r="F278" i="24" s="1"/>
  <c r="F171" i="11"/>
  <c r="Y48" i="11"/>
  <c r="AB48" i="11"/>
  <c r="Z48" i="11"/>
  <c r="Y45" i="11"/>
  <c r="Z46" i="11"/>
  <c r="AB45" i="11"/>
  <c r="Z45" i="11"/>
  <c r="Z47" i="11"/>
  <c r="Y46" i="11"/>
  <c r="Y47" i="11"/>
  <c r="Z36" i="11"/>
  <c r="Y36" i="11"/>
  <c r="Z33" i="11"/>
  <c r="Y33" i="11"/>
  <c r="Z31" i="11"/>
  <c r="Z34" i="11"/>
  <c r="Y34" i="11"/>
  <c r="Y31" i="11"/>
  <c r="Z32" i="11"/>
  <c r="Z35" i="11"/>
  <c r="AB33" i="11"/>
  <c r="Y32" i="11"/>
  <c r="Y35" i="11"/>
  <c r="I136" i="24"/>
  <c r="AH278" i="24"/>
  <c r="J136" i="24"/>
  <c r="AF278" i="24"/>
  <c r="N136" i="24" l="1"/>
  <c r="B187" i="24"/>
  <c r="B186" i="24"/>
  <c r="B185" i="24"/>
  <c r="B181" i="24"/>
  <c r="B155" i="24"/>
  <c r="B154" i="24"/>
  <c r="B153" i="24"/>
  <c r="B193" i="24"/>
  <c r="B190" i="24"/>
  <c r="B162" i="24"/>
  <c r="B161" i="24"/>
  <c r="B160" i="24"/>
  <c r="B159" i="24"/>
  <c r="B158" i="24"/>
  <c r="N20" i="25"/>
  <c r="E20" i="25" s="1"/>
  <c r="F20" i="25" s="1"/>
  <c r="O136" i="24" l="1"/>
  <c r="E136" i="24"/>
  <c r="F136" i="24" s="1"/>
  <c r="AJ164" i="24"/>
  <c r="AL164" i="24"/>
  <c r="N21" i="25"/>
  <c r="H30" i="25" l="1"/>
  <c r="AK137" i="13" l="1"/>
  <c r="AJ137" i="13"/>
  <c r="AI137" i="13"/>
  <c r="AH137" i="13"/>
  <c r="AG137" i="13"/>
  <c r="AF137" i="13"/>
  <c r="AE137" i="13"/>
  <c r="AD137" i="13"/>
  <c r="W137" i="13"/>
  <c r="V137" i="13"/>
  <c r="X137" i="13" s="1"/>
  <c r="N137" i="13"/>
  <c r="U137" i="13" s="1"/>
  <c r="M137" i="13"/>
  <c r="J137" i="13"/>
  <c r="I137" i="13"/>
  <c r="H137" i="13"/>
  <c r="G137" i="13"/>
  <c r="F137" i="13"/>
  <c r="D137" i="13"/>
  <c r="C137" i="13"/>
  <c r="B137" i="13"/>
  <c r="A137" i="13"/>
  <c r="AK136" i="13"/>
  <c r="AJ136" i="13"/>
  <c r="AI136" i="13"/>
  <c r="AH136" i="13"/>
  <c r="AG136" i="13"/>
  <c r="AF136" i="13"/>
  <c r="AE136" i="13"/>
  <c r="AD136" i="13"/>
  <c r="W136" i="13"/>
  <c r="V136" i="13"/>
  <c r="AC136" i="13" s="1"/>
  <c r="N136" i="13"/>
  <c r="M136" i="13"/>
  <c r="J136" i="13"/>
  <c r="I136" i="13"/>
  <c r="H136" i="13"/>
  <c r="G136" i="13"/>
  <c r="F136" i="13"/>
  <c r="D136" i="13"/>
  <c r="C136" i="13"/>
  <c r="B136" i="13"/>
  <c r="A136" i="13"/>
  <c r="AK135" i="13"/>
  <c r="AJ135" i="13"/>
  <c r="AI135" i="13"/>
  <c r="AH135" i="13"/>
  <c r="AG135" i="13"/>
  <c r="AF135" i="13"/>
  <c r="AE135" i="13"/>
  <c r="AD135" i="13"/>
  <c r="W135" i="13"/>
  <c r="V135" i="13"/>
  <c r="X135" i="13" s="1"/>
  <c r="N135" i="13"/>
  <c r="M135" i="13"/>
  <c r="J135" i="13"/>
  <c r="I135" i="13"/>
  <c r="H135" i="13"/>
  <c r="G135" i="13"/>
  <c r="F135" i="13"/>
  <c r="D135" i="13"/>
  <c r="C135" i="13"/>
  <c r="B135" i="13"/>
  <c r="A135" i="13"/>
  <c r="AK134" i="13"/>
  <c r="AJ134" i="13"/>
  <c r="AI134" i="13"/>
  <c r="AH134" i="13"/>
  <c r="AG134" i="13"/>
  <c r="AF134" i="13"/>
  <c r="AE134" i="13"/>
  <c r="AD134" i="13"/>
  <c r="W134" i="13"/>
  <c r="V134" i="13"/>
  <c r="N134" i="13"/>
  <c r="M134" i="13"/>
  <c r="J134" i="13"/>
  <c r="I134" i="13"/>
  <c r="H134" i="13"/>
  <c r="G134" i="13"/>
  <c r="F134" i="13"/>
  <c r="D134" i="13"/>
  <c r="C134" i="13"/>
  <c r="B134" i="13"/>
  <c r="A134" i="13"/>
  <c r="AK133" i="13"/>
  <c r="AJ133" i="13"/>
  <c r="AI133" i="13"/>
  <c r="AH133" i="13"/>
  <c r="AG133" i="13"/>
  <c r="AF133" i="13"/>
  <c r="AE133" i="13"/>
  <c r="AD133" i="13"/>
  <c r="W133" i="13"/>
  <c r="V133" i="13"/>
  <c r="AC133" i="13" s="1"/>
  <c r="Q133" i="13"/>
  <c r="N133" i="13"/>
  <c r="U133" i="13" s="1"/>
  <c r="M133" i="13"/>
  <c r="J133" i="13"/>
  <c r="I133" i="13"/>
  <c r="H133" i="13"/>
  <c r="G133" i="13"/>
  <c r="F133" i="13"/>
  <c r="D133" i="13"/>
  <c r="C133" i="13"/>
  <c r="B133" i="13"/>
  <c r="A133" i="13"/>
  <c r="AK131" i="13"/>
  <c r="AJ131" i="13"/>
  <c r="AI131" i="13"/>
  <c r="AH131" i="13"/>
  <c r="AG131" i="13"/>
  <c r="AF131" i="13"/>
  <c r="AE131" i="13"/>
  <c r="AD131" i="13"/>
  <c r="W131" i="13"/>
  <c r="V131" i="13"/>
  <c r="X131" i="13" s="1"/>
  <c r="Q131" i="13"/>
  <c r="N131" i="13"/>
  <c r="U131" i="13" s="1"/>
  <c r="M131" i="13"/>
  <c r="J131" i="13"/>
  <c r="I131" i="13"/>
  <c r="H131" i="13"/>
  <c r="G131" i="13"/>
  <c r="F131" i="13"/>
  <c r="D131" i="13"/>
  <c r="C131" i="13"/>
  <c r="B131" i="13"/>
  <c r="A131" i="13"/>
  <c r="AK129" i="13"/>
  <c r="AJ129" i="13"/>
  <c r="AI129" i="13"/>
  <c r="AH129" i="13"/>
  <c r="AG129" i="13"/>
  <c r="AF129" i="13"/>
  <c r="AE129" i="13"/>
  <c r="AD129" i="13"/>
  <c r="W129" i="13"/>
  <c r="V129" i="13"/>
  <c r="X129" i="13" s="1"/>
  <c r="O129" i="13"/>
  <c r="N129" i="13"/>
  <c r="M129" i="13"/>
  <c r="J129" i="13"/>
  <c r="I129" i="13"/>
  <c r="H129" i="13"/>
  <c r="G129" i="13"/>
  <c r="F129" i="13"/>
  <c r="D129" i="13"/>
  <c r="C129" i="13"/>
  <c r="B129" i="13"/>
  <c r="A129" i="13"/>
  <c r="AK128" i="13"/>
  <c r="AJ128" i="13"/>
  <c r="AI128" i="13"/>
  <c r="AH128" i="13"/>
  <c r="AG128" i="13"/>
  <c r="AF128" i="13"/>
  <c r="AE128" i="13"/>
  <c r="AD128" i="13"/>
  <c r="W128" i="13"/>
  <c r="V128" i="13"/>
  <c r="X128" i="13" s="1"/>
  <c r="O128" i="13"/>
  <c r="Q128" i="13" s="1"/>
  <c r="N128" i="13"/>
  <c r="U128" i="13" s="1"/>
  <c r="M128" i="13"/>
  <c r="J128" i="13"/>
  <c r="I128" i="13"/>
  <c r="H128" i="13"/>
  <c r="G128" i="13"/>
  <c r="F128" i="13"/>
  <c r="D128" i="13"/>
  <c r="C128" i="13"/>
  <c r="B128" i="13"/>
  <c r="A128" i="13"/>
  <c r="AK127" i="13"/>
  <c r="AJ127" i="13"/>
  <c r="AI127" i="13"/>
  <c r="AH127" i="13"/>
  <c r="AG127" i="13"/>
  <c r="AF127" i="13"/>
  <c r="AE127" i="13"/>
  <c r="AD127" i="13"/>
  <c r="W127" i="13"/>
  <c r="V127" i="13"/>
  <c r="O127" i="13"/>
  <c r="Q127" i="13" s="1"/>
  <c r="N127" i="13"/>
  <c r="P127" i="13" s="1"/>
  <c r="M127" i="13"/>
  <c r="J127" i="13"/>
  <c r="I127" i="13"/>
  <c r="H127" i="13"/>
  <c r="G127" i="13"/>
  <c r="F127" i="13"/>
  <c r="D127" i="13"/>
  <c r="C127" i="13"/>
  <c r="B127" i="13"/>
  <c r="A127" i="13"/>
  <c r="AK126" i="13"/>
  <c r="AJ126" i="13"/>
  <c r="AI126" i="13"/>
  <c r="AH126" i="13"/>
  <c r="AG126" i="13"/>
  <c r="AF126" i="13"/>
  <c r="AE126" i="13"/>
  <c r="AD126" i="13"/>
  <c r="W126" i="13"/>
  <c r="V126" i="13"/>
  <c r="AC126" i="13" s="1"/>
  <c r="O126" i="13"/>
  <c r="Q126" i="13" s="1"/>
  <c r="N126" i="13"/>
  <c r="M126" i="13"/>
  <c r="J126" i="13"/>
  <c r="I126" i="13"/>
  <c r="H126" i="13"/>
  <c r="G126" i="13"/>
  <c r="F126" i="13"/>
  <c r="D126" i="13"/>
  <c r="C126" i="13"/>
  <c r="B126" i="13"/>
  <c r="A126" i="13"/>
  <c r="AK125" i="13"/>
  <c r="AJ125" i="13"/>
  <c r="AI125" i="13"/>
  <c r="AH125" i="13"/>
  <c r="AG125" i="13"/>
  <c r="AF125" i="13"/>
  <c r="AE125" i="13"/>
  <c r="AD125" i="13"/>
  <c r="W125" i="13"/>
  <c r="V125" i="13"/>
  <c r="X125" i="13" s="1"/>
  <c r="O125" i="13"/>
  <c r="Q125" i="13" s="1"/>
  <c r="N125" i="13"/>
  <c r="M125" i="13"/>
  <c r="J125" i="13"/>
  <c r="I125" i="13"/>
  <c r="H125" i="13"/>
  <c r="G125" i="13"/>
  <c r="F125" i="13"/>
  <c r="D125" i="13"/>
  <c r="C125" i="13"/>
  <c r="B125" i="13"/>
  <c r="A125" i="13"/>
  <c r="AK124" i="13"/>
  <c r="AJ124" i="13"/>
  <c r="AI124" i="13"/>
  <c r="AH124" i="13"/>
  <c r="AG124" i="13"/>
  <c r="AF124" i="13"/>
  <c r="AE124" i="13"/>
  <c r="AD124" i="13"/>
  <c r="W124" i="13"/>
  <c r="V124" i="13"/>
  <c r="AC124" i="13" s="1"/>
  <c r="O124" i="13"/>
  <c r="Q124" i="13" s="1"/>
  <c r="N124" i="13"/>
  <c r="U124" i="13" s="1"/>
  <c r="M124" i="13"/>
  <c r="J124" i="13"/>
  <c r="I124" i="13"/>
  <c r="H124" i="13"/>
  <c r="G124" i="13"/>
  <c r="F124" i="13"/>
  <c r="D124" i="13"/>
  <c r="C124" i="13"/>
  <c r="B124" i="13"/>
  <c r="A124" i="13"/>
  <c r="AK122" i="13"/>
  <c r="AJ122" i="13"/>
  <c r="AI122" i="13"/>
  <c r="AH122" i="13"/>
  <c r="AG122" i="13"/>
  <c r="AF122" i="13"/>
  <c r="AE122" i="13"/>
  <c r="AD122" i="13"/>
  <c r="W122" i="13"/>
  <c r="V122" i="13"/>
  <c r="O122" i="13"/>
  <c r="N122" i="13"/>
  <c r="M122" i="13"/>
  <c r="J122" i="13"/>
  <c r="I122" i="13"/>
  <c r="H122" i="13"/>
  <c r="G122" i="13"/>
  <c r="F122" i="13"/>
  <c r="D122" i="13"/>
  <c r="C122" i="13"/>
  <c r="B122" i="13"/>
  <c r="A122" i="13"/>
  <c r="AK121" i="13"/>
  <c r="AJ121" i="13"/>
  <c r="AI121" i="13"/>
  <c r="AH121" i="13"/>
  <c r="AG121" i="13"/>
  <c r="AF121" i="13"/>
  <c r="AE121" i="13"/>
  <c r="AD121" i="13"/>
  <c r="W121" i="13"/>
  <c r="V121" i="13"/>
  <c r="AC121" i="13" s="1"/>
  <c r="O121" i="13"/>
  <c r="N121" i="13"/>
  <c r="M121" i="13"/>
  <c r="J121" i="13"/>
  <c r="I121" i="13"/>
  <c r="H121" i="13"/>
  <c r="G121" i="13"/>
  <c r="F121" i="13"/>
  <c r="D121" i="13"/>
  <c r="C121" i="13"/>
  <c r="B121" i="13"/>
  <c r="A121" i="13"/>
  <c r="AK120" i="13"/>
  <c r="AJ120" i="13"/>
  <c r="AI120" i="13"/>
  <c r="AH120" i="13"/>
  <c r="AG120" i="13"/>
  <c r="AF120" i="13"/>
  <c r="AE120" i="13"/>
  <c r="AD120" i="13"/>
  <c r="W120" i="13"/>
  <c r="V120" i="13"/>
  <c r="AC120" i="13" s="1"/>
  <c r="O120" i="13"/>
  <c r="N120" i="13"/>
  <c r="M120" i="13"/>
  <c r="J120" i="13"/>
  <c r="I120" i="13"/>
  <c r="H120" i="13"/>
  <c r="G120" i="13"/>
  <c r="F120" i="13"/>
  <c r="D120" i="13"/>
  <c r="C120" i="13"/>
  <c r="B120" i="13"/>
  <c r="A120" i="13"/>
  <c r="AK118" i="13"/>
  <c r="AJ118" i="13"/>
  <c r="AI118" i="13"/>
  <c r="AH118" i="13"/>
  <c r="AG118" i="13"/>
  <c r="AF118" i="13"/>
  <c r="AE118" i="13"/>
  <c r="AD118" i="13"/>
  <c r="W118" i="13"/>
  <c r="V118" i="13"/>
  <c r="AC118" i="13" s="1"/>
  <c r="O118" i="13"/>
  <c r="Q118" i="13" s="1"/>
  <c r="N118" i="13"/>
  <c r="M118" i="13"/>
  <c r="J118" i="13"/>
  <c r="I118" i="13"/>
  <c r="H118" i="13"/>
  <c r="G118" i="13"/>
  <c r="F118" i="13"/>
  <c r="D118" i="13"/>
  <c r="C118" i="13"/>
  <c r="B118" i="13"/>
  <c r="A118" i="13"/>
  <c r="AK117" i="13"/>
  <c r="AJ117" i="13"/>
  <c r="AI117" i="13"/>
  <c r="AH117" i="13"/>
  <c r="AG117" i="13"/>
  <c r="AF117" i="13"/>
  <c r="AE117" i="13"/>
  <c r="AD117" i="13"/>
  <c r="W117" i="13"/>
  <c r="V117" i="13"/>
  <c r="AC117" i="13" s="1"/>
  <c r="O117" i="13"/>
  <c r="Q117" i="13" s="1"/>
  <c r="N117" i="13"/>
  <c r="U117" i="13" s="1"/>
  <c r="M117" i="13"/>
  <c r="J117" i="13"/>
  <c r="I117" i="13"/>
  <c r="H117" i="13"/>
  <c r="G117" i="13"/>
  <c r="F117" i="13"/>
  <c r="D117" i="13"/>
  <c r="C117" i="13"/>
  <c r="B117" i="13"/>
  <c r="A117" i="13"/>
  <c r="AK116" i="13"/>
  <c r="AJ116" i="13"/>
  <c r="AI116" i="13"/>
  <c r="AH116" i="13"/>
  <c r="AG116" i="13"/>
  <c r="AF116" i="13"/>
  <c r="AE116" i="13"/>
  <c r="AD116" i="13"/>
  <c r="W116" i="13"/>
  <c r="V116" i="13"/>
  <c r="O116" i="13"/>
  <c r="N116" i="13"/>
  <c r="M116" i="13"/>
  <c r="J116" i="13"/>
  <c r="I116" i="13"/>
  <c r="H116" i="13"/>
  <c r="G116" i="13"/>
  <c r="F116" i="13"/>
  <c r="D116" i="13"/>
  <c r="C116" i="13"/>
  <c r="B116" i="13"/>
  <c r="A116" i="13"/>
  <c r="AK115" i="13"/>
  <c r="AJ115" i="13"/>
  <c r="AI115" i="13"/>
  <c r="AH115" i="13"/>
  <c r="AG115" i="13"/>
  <c r="AF115" i="13"/>
  <c r="AE115" i="13"/>
  <c r="AD115" i="13"/>
  <c r="W115" i="13"/>
  <c r="V115" i="13"/>
  <c r="AC115" i="13" s="1"/>
  <c r="O115" i="13"/>
  <c r="Q115" i="13" s="1"/>
  <c r="N115" i="13"/>
  <c r="M115" i="13"/>
  <c r="J115" i="13"/>
  <c r="I115" i="13"/>
  <c r="H115" i="13"/>
  <c r="G115" i="13"/>
  <c r="F115" i="13"/>
  <c r="D115" i="13"/>
  <c r="C115" i="13"/>
  <c r="B115" i="13"/>
  <c r="A115" i="13"/>
  <c r="AK114" i="13"/>
  <c r="AJ114" i="13"/>
  <c r="AI114" i="13"/>
  <c r="AH114" i="13"/>
  <c r="AG114" i="13"/>
  <c r="AF114" i="13"/>
  <c r="AE114" i="13"/>
  <c r="AD114" i="13"/>
  <c r="W114" i="13"/>
  <c r="V114" i="13"/>
  <c r="O114" i="13"/>
  <c r="Q114" i="13" s="1"/>
  <c r="N114" i="13"/>
  <c r="U114" i="13" s="1"/>
  <c r="M114" i="13"/>
  <c r="J114" i="13"/>
  <c r="I114" i="13"/>
  <c r="H114" i="13"/>
  <c r="G114" i="13"/>
  <c r="F114" i="13"/>
  <c r="D114" i="13"/>
  <c r="C114" i="13"/>
  <c r="B114" i="13"/>
  <c r="A114" i="13"/>
  <c r="AK113" i="13"/>
  <c r="AJ113" i="13"/>
  <c r="AI113" i="13"/>
  <c r="AH113" i="13"/>
  <c r="AG113" i="13"/>
  <c r="AF113" i="13"/>
  <c r="AE113" i="13"/>
  <c r="AD113" i="13"/>
  <c r="W113" i="13"/>
  <c r="V113" i="13"/>
  <c r="Y113" i="13" s="1"/>
  <c r="O113" i="13"/>
  <c r="Q113" i="13" s="1"/>
  <c r="N113" i="13"/>
  <c r="M113" i="13"/>
  <c r="J113" i="13"/>
  <c r="I113" i="13"/>
  <c r="H113" i="13"/>
  <c r="G113" i="13"/>
  <c r="F113" i="13"/>
  <c r="D113" i="13"/>
  <c r="C113" i="13"/>
  <c r="B113" i="13"/>
  <c r="A113" i="13"/>
  <c r="AK112" i="13"/>
  <c r="AJ112" i="13"/>
  <c r="AI112" i="13"/>
  <c r="AH112" i="13"/>
  <c r="AG112" i="13"/>
  <c r="AF112" i="13"/>
  <c r="AE112" i="13"/>
  <c r="AD112" i="13"/>
  <c r="W112" i="13"/>
  <c r="V112" i="13"/>
  <c r="X112" i="13" s="1"/>
  <c r="O112" i="13"/>
  <c r="Q112" i="13" s="1"/>
  <c r="N112" i="13"/>
  <c r="M112" i="13"/>
  <c r="J112" i="13"/>
  <c r="I112" i="13"/>
  <c r="H112" i="13"/>
  <c r="G112" i="13"/>
  <c r="F112" i="13"/>
  <c r="D112" i="13"/>
  <c r="C112" i="13"/>
  <c r="B112" i="13"/>
  <c r="A112" i="13"/>
  <c r="AK111" i="13"/>
  <c r="AJ111" i="13"/>
  <c r="AI111" i="13"/>
  <c r="AH111" i="13"/>
  <c r="AG111" i="13"/>
  <c r="AF111" i="13"/>
  <c r="AE111" i="13"/>
  <c r="AD111" i="13"/>
  <c r="W111" i="13"/>
  <c r="V111" i="13"/>
  <c r="AC111" i="13" s="1"/>
  <c r="O111" i="13"/>
  <c r="N111" i="13"/>
  <c r="M111" i="13"/>
  <c r="J111" i="13"/>
  <c r="I111" i="13"/>
  <c r="H111" i="13"/>
  <c r="G111" i="13"/>
  <c r="F111" i="13"/>
  <c r="D111" i="13"/>
  <c r="C111" i="13"/>
  <c r="B111" i="13"/>
  <c r="A111" i="13"/>
  <c r="AK110" i="13"/>
  <c r="AJ110" i="13"/>
  <c r="AI110" i="13"/>
  <c r="AH110" i="13"/>
  <c r="AG110" i="13"/>
  <c r="AF110" i="13"/>
  <c r="AE110" i="13"/>
  <c r="AD110" i="13"/>
  <c r="W110" i="13"/>
  <c r="V110" i="13"/>
  <c r="Y110" i="13" s="1"/>
  <c r="O110" i="13"/>
  <c r="N110" i="13"/>
  <c r="U110" i="13" s="1"/>
  <c r="M110" i="13"/>
  <c r="J110" i="13"/>
  <c r="I110" i="13"/>
  <c r="H110" i="13"/>
  <c r="G110" i="13"/>
  <c r="F110" i="13"/>
  <c r="D110" i="13"/>
  <c r="C110" i="13"/>
  <c r="B110" i="13"/>
  <c r="A110" i="13"/>
  <c r="AK109" i="13"/>
  <c r="AJ109" i="13"/>
  <c r="AI109" i="13"/>
  <c r="AH109" i="13"/>
  <c r="AG109" i="13"/>
  <c r="AF109" i="13"/>
  <c r="AE109" i="13"/>
  <c r="AD109" i="13"/>
  <c r="W109" i="13"/>
  <c r="V109" i="13"/>
  <c r="O109" i="13"/>
  <c r="N109" i="13"/>
  <c r="M109" i="13"/>
  <c r="J109" i="13"/>
  <c r="I109" i="13"/>
  <c r="H109" i="13"/>
  <c r="G109" i="13"/>
  <c r="F109" i="13"/>
  <c r="D109" i="13"/>
  <c r="C109" i="13"/>
  <c r="B109" i="13"/>
  <c r="A109" i="13"/>
  <c r="AK108" i="13"/>
  <c r="AJ108" i="13"/>
  <c r="AI108" i="13"/>
  <c r="AH108" i="13"/>
  <c r="AG108" i="13"/>
  <c r="AF108" i="13"/>
  <c r="AE108" i="13"/>
  <c r="AD108" i="13"/>
  <c r="W108" i="13"/>
  <c r="V108" i="13"/>
  <c r="Y108" i="13" s="1"/>
  <c r="O108" i="13"/>
  <c r="Q108" i="13" s="1"/>
  <c r="N108" i="13"/>
  <c r="U108" i="13" s="1"/>
  <c r="M108" i="13"/>
  <c r="J108" i="13"/>
  <c r="I108" i="13"/>
  <c r="H108" i="13"/>
  <c r="G108" i="13"/>
  <c r="F108" i="13"/>
  <c r="D108" i="13"/>
  <c r="C108" i="13"/>
  <c r="B108" i="13"/>
  <c r="A108" i="13"/>
  <c r="AK107" i="13"/>
  <c r="AJ107" i="13"/>
  <c r="AI107" i="13"/>
  <c r="AH107" i="13"/>
  <c r="AG107" i="13"/>
  <c r="AF107" i="13"/>
  <c r="AE107" i="13"/>
  <c r="AD107" i="13"/>
  <c r="W107" i="13"/>
  <c r="V107" i="13"/>
  <c r="Y107" i="13" s="1"/>
  <c r="O107" i="13"/>
  <c r="Q107" i="13" s="1"/>
  <c r="N107" i="13"/>
  <c r="M107" i="13"/>
  <c r="J107" i="13"/>
  <c r="I107" i="13"/>
  <c r="H107" i="13"/>
  <c r="G107" i="13"/>
  <c r="F107" i="13"/>
  <c r="D107" i="13"/>
  <c r="C107" i="13"/>
  <c r="B107" i="13"/>
  <c r="A107" i="13"/>
  <c r="AK106" i="13"/>
  <c r="AJ106" i="13"/>
  <c r="AI106" i="13"/>
  <c r="AH106" i="13"/>
  <c r="AG106" i="13"/>
  <c r="AF106" i="13"/>
  <c r="AE106" i="13"/>
  <c r="AD106" i="13"/>
  <c r="W106" i="13"/>
  <c r="V106" i="13"/>
  <c r="AC106" i="13" s="1"/>
  <c r="O106" i="13"/>
  <c r="N106" i="13"/>
  <c r="U106" i="13" s="1"/>
  <c r="M106" i="13"/>
  <c r="J106" i="13"/>
  <c r="I106" i="13"/>
  <c r="H106" i="13"/>
  <c r="G106" i="13"/>
  <c r="F106" i="13"/>
  <c r="D106" i="13"/>
  <c r="C106" i="13"/>
  <c r="B106" i="13"/>
  <c r="A106" i="13"/>
  <c r="AK105" i="13"/>
  <c r="AJ105" i="13"/>
  <c r="AI105" i="13"/>
  <c r="AH105" i="13"/>
  <c r="AG105" i="13"/>
  <c r="AF105" i="13"/>
  <c r="AE105" i="13"/>
  <c r="AD105" i="13"/>
  <c r="W105" i="13"/>
  <c r="V105" i="13"/>
  <c r="O105" i="13"/>
  <c r="N105" i="13"/>
  <c r="M105" i="13"/>
  <c r="J105" i="13"/>
  <c r="I105" i="13"/>
  <c r="H105" i="13"/>
  <c r="G105" i="13"/>
  <c r="F105" i="13"/>
  <c r="D105" i="13"/>
  <c r="C105" i="13"/>
  <c r="B105" i="13"/>
  <c r="A105" i="13"/>
  <c r="AK104" i="13"/>
  <c r="AJ104" i="13"/>
  <c r="AI104" i="13"/>
  <c r="AH104" i="13"/>
  <c r="AG104" i="13"/>
  <c r="AF104" i="13"/>
  <c r="AE104" i="13"/>
  <c r="AD104" i="13"/>
  <c r="W104" i="13"/>
  <c r="V104" i="13"/>
  <c r="AC104" i="13" s="1"/>
  <c r="O104" i="13"/>
  <c r="N104" i="13"/>
  <c r="M104" i="13"/>
  <c r="J104" i="13"/>
  <c r="I104" i="13"/>
  <c r="H104" i="13"/>
  <c r="G104" i="13"/>
  <c r="F104" i="13"/>
  <c r="D104" i="13"/>
  <c r="C104" i="13"/>
  <c r="B104" i="13"/>
  <c r="A104" i="13"/>
  <c r="AK103" i="13"/>
  <c r="AJ103" i="13"/>
  <c r="AI103" i="13"/>
  <c r="AH103" i="13"/>
  <c r="AG103" i="13"/>
  <c r="AF103" i="13"/>
  <c r="AE103" i="13"/>
  <c r="AD103" i="13"/>
  <c r="W103" i="13"/>
  <c r="V103" i="13"/>
  <c r="O103" i="13"/>
  <c r="N103" i="13"/>
  <c r="M103" i="13"/>
  <c r="J103" i="13"/>
  <c r="I103" i="13"/>
  <c r="H103" i="13"/>
  <c r="G103" i="13"/>
  <c r="F103" i="13"/>
  <c r="D103" i="13"/>
  <c r="C103" i="13"/>
  <c r="B103" i="13"/>
  <c r="A103" i="13"/>
  <c r="AK102" i="13"/>
  <c r="AJ102" i="13"/>
  <c r="AI102" i="13"/>
  <c r="AH102" i="13"/>
  <c r="AG102" i="13"/>
  <c r="AF102" i="13"/>
  <c r="AE102" i="13"/>
  <c r="AD102" i="13"/>
  <c r="W102" i="13"/>
  <c r="V102" i="13"/>
  <c r="O102" i="13"/>
  <c r="Q102" i="13" s="1"/>
  <c r="N102" i="13"/>
  <c r="U102" i="13" s="1"/>
  <c r="M102" i="13"/>
  <c r="J102" i="13"/>
  <c r="I102" i="13"/>
  <c r="H102" i="13"/>
  <c r="G102" i="13"/>
  <c r="F102" i="13"/>
  <c r="D102" i="13"/>
  <c r="C102" i="13"/>
  <c r="B102" i="13"/>
  <c r="A102" i="13"/>
  <c r="AK101" i="13"/>
  <c r="AJ101" i="13"/>
  <c r="AI101" i="13"/>
  <c r="AH101" i="13"/>
  <c r="AG101" i="13"/>
  <c r="AF101" i="13"/>
  <c r="AE101" i="13"/>
  <c r="AD101" i="13"/>
  <c r="W101" i="13"/>
  <c r="V101" i="13"/>
  <c r="Y101" i="13" s="1"/>
  <c r="O101" i="13"/>
  <c r="Q101" i="13" s="1"/>
  <c r="N101" i="13"/>
  <c r="U101" i="13" s="1"/>
  <c r="M101" i="13"/>
  <c r="J101" i="13"/>
  <c r="I101" i="13"/>
  <c r="H101" i="13"/>
  <c r="G101" i="13"/>
  <c r="F101" i="13"/>
  <c r="D101" i="13"/>
  <c r="C101" i="13"/>
  <c r="B101" i="13"/>
  <c r="A101" i="13"/>
  <c r="AK100" i="13"/>
  <c r="AJ100" i="13"/>
  <c r="AI100" i="13"/>
  <c r="AH100" i="13"/>
  <c r="AG100" i="13"/>
  <c r="AF100" i="13"/>
  <c r="AE100" i="13"/>
  <c r="AD100" i="13"/>
  <c r="W100" i="13"/>
  <c r="V100" i="13"/>
  <c r="O100" i="13"/>
  <c r="N100" i="13"/>
  <c r="M100" i="13"/>
  <c r="J100" i="13"/>
  <c r="I100" i="13"/>
  <c r="H100" i="13"/>
  <c r="G100" i="13"/>
  <c r="F100" i="13"/>
  <c r="D100" i="13"/>
  <c r="C100" i="13"/>
  <c r="B100" i="13"/>
  <c r="A100" i="13"/>
  <c r="AK99" i="13"/>
  <c r="AJ99" i="13"/>
  <c r="AI99" i="13"/>
  <c r="AH99" i="13"/>
  <c r="AG99" i="13"/>
  <c r="AF99" i="13"/>
  <c r="AE99" i="13"/>
  <c r="AD99" i="13"/>
  <c r="W99" i="13"/>
  <c r="V99" i="13"/>
  <c r="X99" i="13" s="1"/>
  <c r="O99" i="13"/>
  <c r="Q99" i="13" s="1"/>
  <c r="N99" i="13"/>
  <c r="M99" i="13"/>
  <c r="J99" i="13"/>
  <c r="I99" i="13"/>
  <c r="H99" i="13"/>
  <c r="G99" i="13"/>
  <c r="F99" i="13"/>
  <c r="D99" i="13"/>
  <c r="C99" i="13"/>
  <c r="B99" i="13"/>
  <c r="A99" i="13"/>
  <c r="AK97" i="13"/>
  <c r="AJ97" i="13"/>
  <c r="AI97" i="13"/>
  <c r="AH97" i="13"/>
  <c r="AG97" i="13"/>
  <c r="AF97" i="13"/>
  <c r="AE97" i="13"/>
  <c r="AD97" i="13"/>
  <c r="W97" i="13"/>
  <c r="V97" i="13"/>
  <c r="AC97" i="13" s="1"/>
  <c r="O97" i="13"/>
  <c r="N97" i="13"/>
  <c r="U97" i="13" s="1"/>
  <c r="M97" i="13"/>
  <c r="J97" i="13"/>
  <c r="I97" i="13"/>
  <c r="H97" i="13"/>
  <c r="G97" i="13"/>
  <c r="F97" i="13"/>
  <c r="D97" i="13"/>
  <c r="C97" i="13"/>
  <c r="B97" i="13"/>
  <c r="A97" i="13"/>
  <c r="AK96" i="13"/>
  <c r="AJ96" i="13"/>
  <c r="AI96" i="13"/>
  <c r="AH96" i="13"/>
  <c r="AG96" i="13"/>
  <c r="AF96" i="13"/>
  <c r="AE96" i="13"/>
  <c r="AD96" i="13"/>
  <c r="W96" i="13"/>
  <c r="V96" i="13"/>
  <c r="AC96" i="13" s="1"/>
  <c r="O96" i="13"/>
  <c r="Q96" i="13" s="1"/>
  <c r="N96" i="13"/>
  <c r="M96" i="13"/>
  <c r="J96" i="13"/>
  <c r="I96" i="13"/>
  <c r="H96" i="13"/>
  <c r="G96" i="13"/>
  <c r="F96" i="13"/>
  <c r="D96" i="13"/>
  <c r="C96" i="13"/>
  <c r="B96" i="13"/>
  <c r="A96" i="13"/>
  <c r="AK95" i="13"/>
  <c r="AJ95" i="13"/>
  <c r="AI95" i="13"/>
  <c r="AH95" i="13"/>
  <c r="AG95" i="13"/>
  <c r="AF95" i="13"/>
  <c r="AE95" i="13"/>
  <c r="AD95" i="13"/>
  <c r="W95" i="13"/>
  <c r="V95" i="13"/>
  <c r="AC95" i="13" s="1"/>
  <c r="O95" i="13"/>
  <c r="N95" i="13"/>
  <c r="M95" i="13"/>
  <c r="J95" i="13"/>
  <c r="I95" i="13"/>
  <c r="H95" i="13"/>
  <c r="G95" i="13"/>
  <c r="F95" i="13"/>
  <c r="D95" i="13"/>
  <c r="C95" i="13"/>
  <c r="B95" i="13"/>
  <c r="A95" i="13"/>
  <c r="AK93" i="13"/>
  <c r="AJ93" i="13"/>
  <c r="AI93" i="13"/>
  <c r="AH93" i="13"/>
  <c r="AG93" i="13"/>
  <c r="AF93" i="13"/>
  <c r="AE93" i="13"/>
  <c r="AD93" i="13"/>
  <c r="W93" i="13"/>
  <c r="V93" i="13"/>
  <c r="AC93" i="13" s="1"/>
  <c r="O93" i="13"/>
  <c r="Q93" i="13" s="1"/>
  <c r="N93" i="13"/>
  <c r="U93" i="13" s="1"/>
  <c r="M93" i="13"/>
  <c r="J93" i="13"/>
  <c r="I93" i="13"/>
  <c r="H93" i="13"/>
  <c r="G93" i="13"/>
  <c r="F93" i="13"/>
  <c r="D93" i="13"/>
  <c r="C93" i="13"/>
  <c r="B93" i="13"/>
  <c r="A93" i="13"/>
  <c r="AK92" i="13"/>
  <c r="AJ92" i="13"/>
  <c r="AI92" i="13"/>
  <c r="AH92" i="13"/>
  <c r="AG92" i="13"/>
  <c r="AF92" i="13"/>
  <c r="AE92" i="13"/>
  <c r="AD92" i="13"/>
  <c r="W92" i="13"/>
  <c r="V92" i="13"/>
  <c r="X92" i="13" s="1"/>
  <c r="O92" i="13"/>
  <c r="Q92" i="13" s="1"/>
  <c r="N92" i="13"/>
  <c r="U92" i="13" s="1"/>
  <c r="M92" i="13"/>
  <c r="J92" i="13"/>
  <c r="I92" i="13"/>
  <c r="H92" i="13"/>
  <c r="G92" i="13"/>
  <c r="F92" i="13"/>
  <c r="D92" i="13"/>
  <c r="C92" i="13"/>
  <c r="B92" i="13"/>
  <c r="A92" i="13"/>
  <c r="AK91" i="13"/>
  <c r="AJ91" i="13"/>
  <c r="AI91" i="13"/>
  <c r="AH91" i="13"/>
  <c r="AG91" i="13"/>
  <c r="AF91" i="13"/>
  <c r="AE91" i="13"/>
  <c r="AD91" i="13"/>
  <c r="W91" i="13"/>
  <c r="V91" i="13"/>
  <c r="AC91" i="13" s="1"/>
  <c r="O91" i="13"/>
  <c r="N91" i="13"/>
  <c r="U91" i="13" s="1"/>
  <c r="M91" i="13"/>
  <c r="J91" i="13"/>
  <c r="I91" i="13"/>
  <c r="H91" i="13"/>
  <c r="G91" i="13"/>
  <c r="F91" i="13"/>
  <c r="D91" i="13"/>
  <c r="C91" i="13"/>
  <c r="B91" i="13"/>
  <c r="A91" i="13"/>
  <c r="AK90" i="13"/>
  <c r="AJ90" i="13"/>
  <c r="AI90" i="13"/>
  <c r="AH90" i="13"/>
  <c r="AG90" i="13"/>
  <c r="AF90" i="13"/>
  <c r="AE90" i="13"/>
  <c r="AD90" i="13"/>
  <c r="W90" i="13"/>
  <c r="V90" i="13"/>
  <c r="Y90" i="13" s="1"/>
  <c r="O90" i="13"/>
  <c r="N90" i="13"/>
  <c r="U90" i="13" s="1"/>
  <c r="M90" i="13"/>
  <c r="J90" i="13"/>
  <c r="I90" i="13"/>
  <c r="H90" i="13"/>
  <c r="G90" i="13"/>
  <c r="F90" i="13"/>
  <c r="D90" i="13"/>
  <c r="C90" i="13"/>
  <c r="B90" i="13"/>
  <c r="A90" i="13"/>
  <c r="AK89" i="13"/>
  <c r="AJ89" i="13"/>
  <c r="AI89" i="13"/>
  <c r="AH89" i="13"/>
  <c r="AG89" i="13"/>
  <c r="AF89" i="13"/>
  <c r="AE89" i="13"/>
  <c r="AD89" i="13"/>
  <c r="W89" i="13"/>
  <c r="V89" i="13"/>
  <c r="AC89" i="13" s="1"/>
  <c r="O89" i="13"/>
  <c r="Q89" i="13" s="1"/>
  <c r="N89" i="13"/>
  <c r="U89" i="13" s="1"/>
  <c r="M89" i="13"/>
  <c r="J89" i="13"/>
  <c r="I89" i="13"/>
  <c r="H89" i="13"/>
  <c r="G89" i="13"/>
  <c r="F89" i="13"/>
  <c r="D89" i="13"/>
  <c r="C89" i="13"/>
  <c r="B89" i="13"/>
  <c r="A89" i="13"/>
  <c r="AK88" i="13"/>
  <c r="AJ88" i="13"/>
  <c r="AI88" i="13"/>
  <c r="AH88" i="13"/>
  <c r="AG88" i="13"/>
  <c r="AF88" i="13"/>
  <c r="AE88" i="13"/>
  <c r="AD88" i="13"/>
  <c r="W88" i="13"/>
  <c r="V88" i="13"/>
  <c r="Y88" i="13" s="1"/>
  <c r="O88" i="13"/>
  <c r="N88" i="13"/>
  <c r="U88" i="13" s="1"/>
  <c r="M88" i="13"/>
  <c r="J88" i="13"/>
  <c r="I88" i="13"/>
  <c r="H88" i="13"/>
  <c r="G88" i="13"/>
  <c r="F88" i="13"/>
  <c r="D88" i="13"/>
  <c r="C88" i="13"/>
  <c r="B88" i="13"/>
  <c r="A88" i="13"/>
  <c r="AK87" i="13"/>
  <c r="AJ87" i="13"/>
  <c r="AI87" i="13"/>
  <c r="AH87" i="13"/>
  <c r="AG87" i="13"/>
  <c r="AF87" i="13"/>
  <c r="AE87" i="13"/>
  <c r="AD87" i="13"/>
  <c r="W87" i="13"/>
  <c r="V87" i="13"/>
  <c r="AC87" i="13" s="1"/>
  <c r="O87" i="13"/>
  <c r="N87" i="13"/>
  <c r="U87" i="13" s="1"/>
  <c r="M87" i="13"/>
  <c r="J87" i="13"/>
  <c r="I87" i="13"/>
  <c r="H87" i="13"/>
  <c r="G87" i="13"/>
  <c r="F87" i="13"/>
  <c r="D87" i="13"/>
  <c r="C87" i="13"/>
  <c r="B87" i="13"/>
  <c r="A87" i="13"/>
  <c r="AK86" i="13"/>
  <c r="AJ86" i="13"/>
  <c r="AI86" i="13"/>
  <c r="AH86" i="13"/>
  <c r="AG86" i="13"/>
  <c r="AF86" i="13"/>
  <c r="AE86" i="13"/>
  <c r="AD86" i="13"/>
  <c r="W86" i="13"/>
  <c r="V86" i="13"/>
  <c r="O86" i="13"/>
  <c r="Q86" i="13" s="1"/>
  <c r="N86" i="13"/>
  <c r="M86" i="13"/>
  <c r="J86" i="13"/>
  <c r="I86" i="13"/>
  <c r="H86" i="13"/>
  <c r="G86" i="13"/>
  <c r="F86" i="13"/>
  <c r="D86" i="13"/>
  <c r="C86" i="13"/>
  <c r="B86" i="13"/>
  <c r="A86" i="13"/>
  <c r="AK85" i="13"/>
  <c r="AJ85" i="13"/>
  <c r="AI85" i="13"/>
  <c r="AH85" i="13"/>
  <c r="AG85" i="13"/>
  <c r="AF85" i="13"/>
  <c r="AE85" i="13"/>
  <c r="AD85" i="13"/>
  <c r="W85" i="13"/>
  <c r="V85" i="13"/>
  <c r="AC85" i="13" s="1"/>
  <c r="O85" i="13"/>
  <c r="Q85" i="13" s="1"/>
  <c r="N85" i="13"/>
  <c r="M85" i="13"/>
  <c r="J85" i="13"/>
  <c r="I85" i="13"/>
  <c r="H85" i="13"/>
  <c r="G85" i="13"/>
  <c r="F85" i="13"/>
  <c r="D85" i="13"/>
  <c r="C85" i="13"/>
  <c r="B85" i="13"/>
  <c r="A85" i="13"/>
  <c r="AK84" i="13"/>
  <c r="AJ84" i="13"/>
  <c r="AI84" i="13"/>
  <c r="AH84" i="13"/>
  <c r="AG84" i="13"/>
  <c r="AF84" i="13"/>
  <c r="AE84" i="13"/>
  <c r="AD84" i="13"/>
  <c r="W84" i="13"/>
  <c r="V84" i="13"/>
  <c r="AC84" i="13" s="1"/>
  <c r="O84" i="13"/>
  <c r="N84" i="13"/>
  <c r="U84" i="13" s="1"/>
  <c r="M84" i="13"/>
  <c r="J84" i="13"/>
  <c r="I84" i="13"/>
  <c r="H84" i="13"/>
  <c r="G84" i="13"/>
  <c r="F84" i="13"/>
  <c r="D84" i="13"/>
  <c r="C84" i="13"/>
  <c r="B84" i="13"/>
  <c r="A84" i="13"/>
  <c r="AK83" i="13"/>
  <c r="AJ83" i="13"/>
  <c r="AI83" i="13"/>
  <c r="AH83" i="13"/>
  <c r="AG83" i="13"/>
  <c r="AF83" i="13"/>
  <c r="AE83" i="13"/>
  <c r="AD83" i="13"/>
  <c r="W83" i="13"/>
  <c r="V83" i="13"/>
  <c r="AC83" i="13" s="1"/>
  <c r="O83" i="13"/>
  <c r="Q83" i="13" s="1"/>
  <c r="N83" i="13"/>
  <c r="M83" i="13"/>
  <c r="J83" i="13"/>
  <c r="I83" i="13"/>
  <c r="H83" i="13"/>
  <c r="G83" i="13"/>
  <c r="F83" i="13"/>
  <c r="D83" i="13"/>
  <c r="C83" i="13"/>
  <c r="B83" i="13"/>
  <c r="A83" i="13"/>
  <c r="AK82" i="13"/>
  <c r="AJ82" i="13"/>
  <c r="AI82" i="13"/>
  <c r="AH82" i="13"/>
  <c r="AG82" i="13"/>
  <c r="AF82" i="13"/>
  <c r="AE82" i="13"/>
  <c r="AD82" i="13"/>
  <c r="W82" i="13"/>
  <c r="V82" i="13"/>
  <c r="AC82" i="13" s="1"/>
  <c r="O82" i="13"/>
  <c r="Q82" i="13" s="1"/>
  <c r="N82" i="13"/>
  <c r="U82" i="13" s="1"/>
  <c r="M82" i="13"/>
  <c r="J82" i="13"/>
  <c r="I82" i="13"/>
  <c r="H82" i="13"/>
  <c r="G82" i="13"/>
  <c r="F82" i="13"/>
  <c r="D82" i="13"/>
  <c r="C82" i="13"/>
  <c r="B82" i="13"/>
  <c r="A82" i="13"/>
  <c r="AK81" i="13"/>
  <c r="AJ81" i="13"/>
  <c r="AI81" i="13"/>
  <c r="AH81" i="13"/>
  <c r="AG81" i="13"/>
  <c r="AF81" i="13"/>
  <c r="AE81" i="13"/>
  <c r="AD81" i="13"/>
  <c r="W81" i="13"/>
  <c r="V81" i="13"/>
  <c r="O81" i="13"/>
  <c r="N81" i="13"/>
  <c r="M81" i="13"/>
  <c r="J81" i="13"/>
  <c r="I81" i="13"/>
  <c r="H81" i="13"/>
  <c r="G81" i="13"/>
  <c r="F81" i="13"/>
  <c r="D81" i="13"/>
  <c r="C81" i="13"/>
  <c r="B81" i="13"/>
  <c r="A81" i="13"/>
  <c r="AK80" i="13"/>
  <c r="AJ80" i="13"/>
  <c r="AI80" i="13"/>
  <c r="AH80" i="13"/>
  <c r="AG80" i="13"/>
  <c r="AF80" i="13"/>
  <c r="AE80" i="13"/>
  <c r="AD80" i="13"/>
  <c r="W80" i="13"/>
  <c r="V80" i="13"/>
  <c r="Y80" i="13" s="1"/>
  <c r="O80" i="13"/>
  <c r="N80" i="13"/>
  <c r="U80" i="13" s="1"/>
  <c r="M80" i="13"/>
  <c r="J80" i="13"/>
  <c r="I80" i="13"/>
  <c r="H80" i="13"/>
  <c r="G80" i="13"/>
  <c r="F80" i="13"/>
  <c r="D80" i="13"/>
  <c r="C80" i="13"/>
  <c r="B80" i="13"/>
  <c r="A80" i="13"/>
  <c r="AK79" i="13"/>
  <c r="AJ79" i="13"/>
  <c r="AI79" i="13"/>
  <c r="AH79" i="13"/>
  <c r="AG79" i="13"/>
  <c r="AF79" i="13"/>
  <c r="AE79" i="13"/>
  <c r="AD79" i="13"/>
  <c r="W79" i="13"/>
  <c r="V79" i="13"/>
  <c r="Y79" i="13" s="1"/>
  <c r="O79" i="13"/>
  <c r="N79" i="13"/>
  <c r="U79" i="13" s="1"/>
  <c r="M79" i="13"/>
  <c r="J79" i="13"/>
  <c r="I79" i="13"/>
  <c r="H79" i="13"/>
  <c r="G79" i="13"/>
  <c r="F79" i="13"/>
  <c r="D79" i="13"/>
  <c r="C79" i="13"/>
  <c r="B79" i="13"/>
  <c r="A79" i="13"/>
  <c r="A16" i="13"/>
  <c r="B16" i="13"/>
  <c r="C16" i="13"/>
  <c r="D16" i="13"/>
  <c r="F16" i="13"/>
  <c r="G16" i="13"/>
  <c r="H16" i="13"/>
  <c r="I16" i="13"/>
  <c r="J16" i="13"/>
  <c r="M16" i="13"/>
  <c r="N16" i="13"/>
  <c r="O16" i="13"/>
  <c r="Q16" i="13" s="1"/>
  <c r="V16" i="13"/>
  <c r="X16" i="13" s="1"/>
  <c r="W16" i="13"/>
  <c r="AD16" i="13"/>
  <c r="AE16" i="13"/>
  <c r="AF16" i="13"/>
  <c r="AG16" i="13"/>
  <c r="AH16" i="13"/>
  <c r="AI16" i="13"/>
  <c r="AJ16" i="13"/>
  <c r="AK16" i="13"/>
  <c r="A17" i="13"/>
  <c r="B17" i="13"/>
  <c r="C17" i="13"/>
  <c r="D17" i="13"/>
  <c r="F17" i="13"/>
  <c r="G17" i="13"/>
  <c r="H17" i="13"/>
  <c r="I17" i="13"/>
  <c r="J17" i="13"/>
  <c r="M17" i="13"/>
  <c r="N17" i="13"/>
  <c r="O17" i="13"/>
  <c r="Q17" i="13" s="1"/>
  <c r="V17" i="13"/>
  <c r="W17" i="13"/>
  <c r="AD17" i="13"/>
  <c r="AE17" i="13"/>
  <c r="AF17" i="13"/>
  <c r="AG17" i="13"/>
  <c r="AH17" i="13"/>
  <c r="AI17" i="13"/>
  <c r="AJ17" i="13"/>
  <c r="AK17" i="13"/>
  <c r="A18" i="13"/>
  <c r="B18" i="13"/>
  <c r="C18" i="13"/>
  <c r="D18" i="13"/>
  <c r="F18" i="13"/>
  <c r="G18" i="13"/>
  <c r="H18" i="13"/>
  <c r="I18" i="13"/>
  <c r="J18" i="13"/>
  <c r="M18" i="13"/>
  <c r="N18" i="13"/>
  <c r="O18" i="13"/>
  <c r="Q18" i="13" s="1"/>
  <c r="V18" i="13"/>
  <c r="W18" i="13"/>
  <c r="AD18" i="13"/>
  <c r="AE18" i="13"/>
  <c r="AF18" i="13"/>
  <c r="AG18" i="13"/>
  <c r="AH18" i="13"/>
  <c r="AI18" i="13"/>
  <c r="AJ18" i="13"/>
  <c r="AK18" i="13"/>
  <c r="A19" i="13"/>
  <c r="B19" i="13"/>
  <c r="C19" i="13"/>
  <c r="D19" i="13"/>
  <c r="F19" i="13"/>
  <c r="G19" i="13"/>
  <c r="H19" i="13"/>
  <c r="I19" i="13"/>
  <c r="J19" i="13"/>
  <c r="M19" i="13"/>
  <c r="N19" i="13"/>
  <c r="O19" i="13"/>
  <c r="V19" i="13"/>
  <c r="X19" i="13" s="1"/>
  <c r="W19" i="13"/>
  <c r="AD19" i="13"/>
  <c r="AE19" i="13"/>
  <c r="AF19" i="13"/>
  <c r="AG19" i="13"/>
  <c r="AH19" i="13"/>
  <c r="AI19" i="13"/>
  <c r="AJ19" i="13"/>
  <c r="AK19" i="13"/>
  <c r="A20" i="13"/>
  <c r="B20" i="13"/>
  <c r="C20" i="13"/>
  <c r="D20" i="13"/>
  <c r="F20" i="13"/>
  <c r="G20" i="13"/>
  <c r="H20" i="13"/>
  <c r="I20" i="13"/>
  <c r="J20" i="13"/>
  <c r="M20" i="13"/>
  <c r="N20" i="13"/>
  <c r="O20" i="13"/>
  <c r="Q20" i="13" s="1"/>
  <c r="V20" i="13"/>
  <c r="X20" i="13" s="1"/>
  <c r="W20" i="13"/>
  <c r="AD20" i="13"/>
  <c r="AE20" i="13"/>
  <c r="AF20" i="13"/>
  <c r="AG20" i="13"/>
  <c r="AH20" i="13"/>
  <c r="AI20" i="13"/>
  <c r="AJ20" i="13"/>
  <c r="AK20" i="13"/>
  <c r="A21" i="13"/>
  <c r="B21" i="13"/>
  <c r="C21" i="13"/>
  <c r="D21" i="13"/>
  <c r="F21" i="13"/>
  <c r="G21" i="13"/>
  <c r="H21" i="13"/>
  <c r="I21" i="13"/>
  <c r="J21" i="13"/>
  <c r="M21" i="13"/>
  <c r="N21" i="13"/>
  <c r="O21" i="13"/>
  <c r="Q21" i="13" s="1"/>
  <c r="V21" i="13"/>
  <c r="Y21" i="13" s="1"/>
  <c r="W21" i="13"/>
  <c r="AD21" i="13"/>
  <c r="AE21" i="13"/>
  <c r="AF21" i="13"/>
  <c r="AG21" i="13"/>
  <c r="AH21" i="13"/>
  <c r="AI21" i="13"/>
  <c r="AJ21" i="13"/>
  <c r="AK21" i="13"/>
  <c r="A22" i="13"/>
  <c r="B22" i="13"/>
  <c r="C22" i="13"/>
  <c r="D22" i="13"/>
  <c r="F22" i="13"/>
  <c r="G22" i="13"/>
  <c r="H22" i="13"/>
  <c r="I22" i="13"/>
  <c r="J22" i="13"/>
  <c r="M22" i="13"/>
  <c r="N22" i="13"/>
  <c r="O22" i="13"/>
  <c r="V22" i="13"/>
  <c r="AC22" i="13" s="1"/>
  <c r="W22" i="13"/>
  <c r="AD22" i="13"/>
  <c r="AE22" i="13"/>
  <c r="AF22" i="13"/>
  <c r="AG22" i="13"/>
  <c r="AH22" i="13"/>
  <c r="AI22" i="13"/>
  <c r="AJ22" i="13"/>
  <c r="AK22" i="13"/>
  <c r="A23" i="13"/>
  <c r="B23" i="13"/>
  <c r="C23" i="13"/>
  <c r="D23" i="13"/>
  <c r="F23" i="13"/>
  <c r="G23" i="13"/>
  <c r="H23" i="13"/>
  <c r="I23" i="13"/>
  <c r="J23" i="13"/>
  <c r="M23" i="13"/>
  <c r="N23" i="13"/>
  <c r="O23" i="13"/>
  <c r="V23" i="13"/>
  <c r="AC23" i="13" s="1"/>
  <c r="W23" i="13"/>
  <c r="AD23" i="13"/>
  <c r="AE23" i="13"/>
  <c r="AF23" i="13"/>
  <c r="AG23" i="13"/>
  <c r="AH23" i="13"/>
  <c r="AI23" i="13"/>
  <c r="AJ23" i="13"/>
  <c r="AK23" i="13"/>
  <c r="A24" i="13"/>
  <c r="B24" i="13"/>
  <c r="C24" i="13"/>
  <c r="D24" i="13"/>
  <c r="F24" i="13"/>
  <c r="G24" i="13"/>
  <c r="H24" i="13"/>
  <c r="I24" i="13"/>
  <c r="J24" i="13"/>
  <c r="M24" i="13"/>
  <c r="N24" i="13"/>
  <c r="O24" i="13"/>
  <c r="V24" i="13"/>
  <c r="AC24" i="13" s="1"/>
  <c r="W24" i="13"/>
  <c r="AD24" i="13"/>
  <c r="AE24" i="13"/>
  <c r="AF24" i="13"/>
  <c r="AG24" i="13"/>
  <c r="AH24" i="13"/>
  <c r="AI24" i="13"/>
  <c r="AJ24" i="13"/>
  <c r="AK24" i="13"/>
  <c r="A25" i="13"/>
  <c r="B25" i="13"/>
  <c r="C25" i="13"/>
  <c r="D25" i="13"/>
  <c r="F25" i="13"/>
  <c r="G25" i="13"/>
  <c r="H25" i="13"/>
  <c r="I25" i="13"/>
  <c r="J25" i="13"/>
  <c r="M25" i="13"/>
  <c r="N25" i="13"/>
  <c r="U25" i="13" s="1"/>
  <c r="O25" i="13"/>
  <c r="V25" i="13"/>
  <c r="X25" i="13" s="1"/>
  <c r="W25" i="13"/>
  <c r="AD25" i="13"/>
  <c r="AE25" i="13"/>
  <c r="AF25" i="13"/>
  <c r="AG25" i="13"/>
  <c r="AH25" i="13"/>
  <c r="AI25" i="13"/>
  <c r="AJ25" i="13"/>
  <c r="AK25" i="13"/>
  <c r="A26" i="13"/>
  <c r="B26" i="13"/>
  <c r="C26" i="13"/>
  <c r="D26" i="13"/>
  <c r="F26" i="13"/>
  <c r="G26" i="13"/>
  <c r="H26" i="13"/>
  <c r="I26" i="13"/>
  <c r="J26" i="13"/>
  <c r="M26" i="13"/>
  <c r="N26" i="13"/>
  <c r="O26" i="13"/>
  <c r="V26" i="13"/>
  <c r="AC26" i="13" s="1"/>
  <c r="W26" i="13"/>
  <c r="AD26" i="13"/>
  <c r="AE26" i="13"/>
  <c r="AF26" i="13"/>
  <c r="AG26" i="13"/>
  <c r="AH26" i="13"/>
  <c r="AI26" i="13"/>
  <c r="AJ26" i="13"/>
  <c r="AK26" i="13"/>
  <c r="A28" i="13"/>
  <c r="B28" i="13"/>
  <c r="C28" i="13"/>
  <c r="D28" i="13"/>
  <c r="F28" i="13"/>
  <c r="G28" i="13"/>
  <c r="H28" i="13"/>
  <c r="I28" i="13"/>
  <c r="J28" i="13"/>
  <c r="M28" i="13"/>
  <c r="N28" i="13"/>
  <c r="O28" i="13"/>
  <c r="V28" i="13"/>
  <c r="X28" i="13" s="1"/>
  <c r="W28" i="13"/>
  <c r="AD28" i="13"/>
  <c r="AE28" i="13"/>
  <c r="AF28" i="13"/>
  <c r="AG28" i="13"/>
  <c r="AH28" i="13"/>
  <c r="AI28" i="13"/>
  <c r="AJ28" i="13"/>
  <c r="AK28" i="13"/>
  <c r="A29" i="13"/>
  <c r="B29" i="13"/>
  <c r="C29" i="13"/>
  <c r="D29" i="13"/>
  <c r="F29" i="13"/>
  <c r="G29" i="13"/>
  <c r="H29" i="13"/>
  <c r="I29" i="13"/>
  <c r="J29" i="13"/>
  <c r="M29" i="13"/>
  <c r="N29" i="13"/>
  <c r="O29" i="13"/>
  <c r="Q29" i="13" s="1"/>
  <c r="V29" i="13"/>
  <c r="W29" i="13"/>
  <c r="AD29" i="13"/>
  <c r="AE29" i="13"/>
  <c r="AF29" i="13"/>
  <c r="AG29" i="13"/>
  <c r="AH29" i="13"/>
  <c r="AI29" i="13"/>
  <c r="AJ29" i="13"/>
  <c r="AK29" i="13"/>
  <c r="A30" i="13"/>
  <c r="B30" i="13"/>
  <c r="C30" i="13"/>
  <c r="D30" i="13"/>
  <c r="F30" i="13"/>
  <c r="G30" i="13"/>
  <c r="H30" i="13"/>
  <c r="I30" i="13"/>
  <c r="J30" i="13"/>
  <c r="M30" i="13"/>
  <c r="N30" i="13"/>
  <c r="O30" i="13"/>
  <c r="V30" i="13"/>
  <c r="W30" i="13"/>
  <c r="AD30" i="13"/>
  <c r="AE30" i="13"/>
  <c r="AF30" i="13"/>
  <c r="AG30" i="13"/>
  <c r="AH30" i="13"/>
  <c r="AI30" i="13"/>
  <c r="AJ30" i="13"/>
  <c r="AK30" i="13"/>
  <c r="A31" i="13"/>
  <c r="B31" i="13"/>
  <c r="C31" i="13"/>
  <c r="D31" i="13"/>
  <c r="F31" i="13"/>
  <c r="G31" i="13"/>
  <c r="H31" i="13"/>
  <c r="I31" i="13"/>
  <c r="J31" i="13"/>
  <c r="M31" i="13"/>
  <c r="N31" i="13"/>
  <c r="O31" i="13"/>
  <c r="Q31" i="13" s="1"/>
  <c r="V31" i="13"/>
  <c r="X31" i="13" s="1"/>
  <c r="W31" i="13"/>
  <c r="AD31" i="13"/>
  <c r="AE31" i="13"/>
  <c r="AF31" i="13"/>
  <c r="AG31" i="13"/>
  <c r="AH31" i="13"/>
  <c r="AI31" i="13"/>
  <c r="AJ31" i="13"/>
  <c r="AK31" i="13"/>
  <c r="A32" i="13"/>
  <c r="B32" i="13"/>
  <c r="C32" i="13"/>
  <c r="D32" i="13"/>
  <c r="F32" i="13"/>
  <c r="G32" i="13"/>
  <c r="H32" i="13"/>
  <c r="I32" i="13"/>
  <c r="J32" i="13"/>
  <c r="M32" i="13"/>
  <c r="N32" i="13"/>
  <c r="O32" i="13"/>
  <c r="Q32" i="13" s="1"/>
  <c r="V32" i="13"/>
  <c r="Y32" i="13" s="1"/>
  <c r="W32" i="13"/>
  <c r="AD32" i="13"/>
  <c r="AE32" i="13"/>
  <c r="AF32" i="13"/>
  <c r="AG32" i="13"/>
  <c r="AH32" i="13"/>
  <c r="AI32" i="13"/>
  <c r="AJ32" i="13"/>
  <c r="AK32" i="13"/>
  <c r="A33" i="13"/>
  <c r="B33" i="13"/>
  <c r="C33" i="13"/>
  <c r="D33" i="13"/>
  <c r="F33" i="13"/>
  <c r="G33" i="13"/>
  <c r="H33" i="13"/>
  <c r="I33" i="13"/>
  <c r="J33" i="13"/>
  <c r="M33" i="13"/>
  <c r="N33" i="13"/>
  <c r="U33" i="13" s="1"/>
  <c r="O33" i="13"/>
  <c r="Q33" i="13" s="1"/>
  <c r="V33" i="13"/>
  <c r="X33" i="13" s="1"/>
  <c r="W33" i="13"/>
  <c r="AD33" i="13"/>
  <c r="AE33" i="13"/>
  <c r="AF33" i="13"/>
  <c r="AG33" i="13"/>
  <c r="AH33" i="13"/>
  <c r="AI33" i="13"/>
  <c r="AJ33" i="13"/>
  <c r="AK33" i="13"/>
  <c r="A34" i="13"/>
  <c r="B34" i="13"/>
  <c r="C34" i="13"/>
  <c r="D34" i="13"/>
  <c r="F34" i="13"/>
  <c r="G34" i="13"/>
  <c r="H34" i="13"/>
  <c r="I34" i="13"/>
  <c r="J34" i="13"/>
  <c r="M34" i="13"/>
  <c r="N34" i="13"/>
  <c r="O34" i="13"/>
  <c r="Q34" i="13" s="1"/>
  <c r="V34" i="13"/>
  <c r="AC34" i="13" s="1"/>
  <c r="W34" i="13"/>
  <c r="AD34" i="13"/>
  <c r="AE34" i="13"/>
  <c r="AF34" i="13"/>
  <c r="AG34" i="13"/>
  <c r="AH34" i="13"/>
  <c r="AI34" i="13"/>
  <c r="AJ34" i="13"/>
  <c r="AK34" i="13"/>
  <c r="A35" i="13"/>
  <c r="B35" i="13"/>
  <c r="C35" i="13"/>
  <c r="D35" i="13"/>
  <c r="F35" i="13"/>
  <c r="G35" i="13"/>
  <c r="H35" i="13"/>
  <c r="I35" i="13"/>
  <c r="J35" i="13"/>
  <c r="M35" i="13"/>
  <c r="N35" i="13"/>
  <c r="O35" i="13"/>
  <c r="V35" i="13"/>
  <c r="X35" i="13" s="1"/>
  <c r="W35" i="13"/>
  <c r="AD35" i="13"/>
  <c r="AE35" i="13"/>
  <c r="AF35" i="13"/>
  <c r="AG35" i="13"/>
  <c r="AH35" i="13"/>
  <c r="AI35" i="13"/>
  <c r="AJ35" i="13"/>
  <c r="AK35" i="13"/>
  <c r="A36" i="13"/>
  <c r="B36" i="13"/>
  <c r="C36" i="13"/>
  <c r="D36" i="13"/>
  <c r="F36" i="13"/>
  <c r="G36" i="13"/>
  <c r="H36" i="13"/>
  <c r="I36" i="13"/>
  <c r="J36" i="13"/>
  <c r="M36" i="13"/>
  <c r="N36" i="13"/>
  <c r="U36" i="13" s="1"/>
  <c r="O36" i="13"/>
  <c r="V36" i="13"/>
  <c r="W36" i="13"/>
  <c r="AD36" i="13"/>
  <c r="AE36" i="13"/>
  <c r="AF36" i="13"/>
  <c r="AG36" i="13"/>
  <c r="AH36" i="13"/>
  <c r="AI36" i="13"/>
  <c r="AJ36" i="13"/>
  <c r="AK36" i="13"/>
  <c r="A37" i="13"/>
  <c r="B37" i="13"/>
  <c r="C37" i="13"/>
  <c r="D37" i="13"/>
  <c r="F37" i="13"/>
  <c r="G37" i="13"/>
  <c r="H37" i="13"/>
  <c r="I37" i="13"/>
  <c r="J37" i="13"/>
  <c r="M37" i="13"/>
  <c r="N37" i="13"/>
  <c r="O37" i="13"/>
  <c r="Q37" i="13" s="1"/>
  <c r="V37" i="13"/>
  <c r="X37" i="13" s="1"/>
  <c r="W37" i="13"/>
  <c r="AD37" i="13"/>
  <c r="AE37" i="13"/>
  <c r="AF37" i="13"/>
  <c r="AG37" i="13"/>
  <c r="AH37" i="13"/>
  <c r="AI37" i="13"/>
  <c r="AJ37" i="13"/>
  <c r="AK37" i="13"/>
  <c r="A39" i="13"/>
  <c r="B39" i="13"/>
  <c r="C39" i="13"/>
  <c r="D39" i="13"/>
  <c r="F39" i="13"/>
  <c r="G39" i="13"/>
  <c r="H39" i="13"/>
  <c r="I39" i="13"/>
  <c r="J39" i="13"/>
  <c r="M39" i="13"/>
  <c r="N39" i="13"/>
  <c r="O39" i="13"/>
  <c r="V39" i="13"/>
  <c r="AC39" i="13" s="1"/>
  <c r="W39" i="13"/>
  <c r="AD39" i="13"/>
  <c r="AE39" i="13"/>
  <c r="AF39" i="13"/>
  <c r="AG39" i="13"/>
  <c r="AH39" i="13"/>
  <c r="AI39" i="13"/>
  <c r="AJ39" i="13"/>
  <c r="AK39" i="13"/>
  <c r="A40" i="13"/>
  <c r="B40" i="13"/>
  <c r="C40" i="13"/>
  <c r="D40" i="13"/>
  <c r="F40" i="13"/>
  <c r="G40" i="13"/>
  <c r="H40" i="13"/>
  <c r="I40" i="13"/>
  <c r="J40" i="13"/>
  <c r="M40" i="13"/>
  <c r="N40" i="13"/>
  <c r="O40" i="13"/>
  <c r="V40" i="13"/>
  <c r="Y40" i="13" s="1"/>
  <c r="W40" i="13"/>
  <c r="AD40" i="13"/>
  <c r="AE40" i="13"/>
  <c r="AF40" i="13"/>
  <c r="AG40" i="13"/>
  <c r="AH40" i="13"/>
  <c r="AI40" i="13"/>
  <c r="AJ40" i="13"/>
  <c r="AK40" i="13"/>
  <c r="A41" i="13"/>
  <c r="B41" i="13"/>
  <c r="C41" i="13"/>
  <c r="D41" i="13"/>
  <c r="F41" i="13"/>
  <c r="G41" i="13"/>
  <c r="H41" i="13"/>
  <c r="I41" i="13"/>
  <c r="J41" i="13"/>
  <c r="M41" i="13"/>
  <c r="N41" i="13"/>
  <c r="O41" i="13"/>
  <c r="V41" i="13"/>
  <c r="W41" i="13"/>
  <c r="AD41" i="13"/>
  <c r="AE41" i="13"/>
  <c r="AF41" i="13"/>
  <c r="AG41" i="13"/>
  <c r="AH41" i="13"/>
  <c r="AI41" i="13"/>
  <c r="AJ41" i="13"/>
  <c r="AK41" i="13"/>
  <c r="A42" i="13"/>
  <c r="B42" i="13"/>
  <c r="C42" i="13"/>
  <c r="D42" i="13"/>
  <c r="F42" i="13"/>
  <c r="G42" i="13"/>
  <c r="H42" i="13"/>
  <c r="I42" i="13"/>
  <c r="J42" i="13"/>
  <c r="M42" i="13"/>
  <c r="N42" i="13"/>
  <c r="O42" i="13"/>
  <c r="V42" i="13"/>
  <c r="W42" i="13"/>
  <c r="AD42" i="13"/>
  <c r="AE42" i="13"/>
  <c r="AF42" i="13"/>
  <c r="AG42" i="13"/>
  <c r="AH42" i="13"/>
  <c r="AI42" i="13"/>
  <c r="AJ42" i="13"/>
  <c r="AK42" i="13"/>
  <c r="A43" i="13"/>
  <c r="B43" i="13"/>
  <c r="C43" i="13"/>
  <c r="D43" i="13"/>
  <c r="F43" i="13"/>
  <c r="G43" i="13"/>
  <c r="H43" i="13"/>
  <c r="I43" i="13"/>
  <c r="J43" i="13"/>
  <c r="M43" i="13"/>
  <c r="N43" i="13"/>
  <c r="O43" i="13"/>
  <c r="V43" i="13"/>
  <c r="X43" i="13" s="1"/>
  <c r="W43" i="13"/>
  <c r="AD43" i="13"/>
  <c r="AE43" i="13"/>
  <c r="AF43" i="13"/>
  <c r="AG43" i="13"/>
  <c r="AH43" i="13"/>
  <c r="AI43" i="13"/>
  <c r="AJ43" i="13"/>
  <c r="AK43" i="13"/>
  <c r="A44" i="13"/>
  <c r="B44" i="13"/>
  <c r="C44" i="13"/>
  <c r="D44" i="13"/>
  <c r="F44" i="13"/>
  <c r="G44" i="13"/>
  <c r="H44" i="13"/>
  <c r="I44" i="13"/>
  <c r="J44" i="13"/>
  <c r="M44" i="13"/>
  <c r="N44" i="13"/>
  <c r="O44" i="13"/>
  <c r="V44" i="13"/>
  <c r="W44" i="13"/>
  <c r="AD44" i="13"/>
  <c r="AE44" i="13"/>
  <c r="AF44" i="13"/>
  <c r="AG44" i="13"/>
  <c r="AH44" i="13"/>
  <c r="AI44" i="13"/>
  <c r="AJ44" i="13"/>
  <c r="AK44" i="13"/>
  <c r="A47" i="13"/>
  <c r="B47" i="13"/>
  <c r="C47" i="13"/>
  <c r="D47" i="13"/>
  <c r="F47" i="13"/>
  <c r="G47" i="13"/>
  <c r="H47" i="13"/>
  <c r="I47" i="13"/>
  <c r="J47" i="13"/>
  <c r="M47" i="13"/>
  <c r="N47" i="13"/>
  <c r="O47" i="13"/>
  <c r="Q47" i="13" s="1"/>
  <c r="V47" i="13"/>
  <c r="W47" i="13"/>
  <c r="AD47" i="13"/>
  <c r="AE47" i="13"/>
  <c r="AF47" i="13"/>
  <c r="AG47" i="13"/>
  <c r="AH47" i="13"/>
  <c r="AI47" i="13"/>
  <c r="AJ47" i="13"/>
  <c r="AK47" i="13"/>
  <c r="A48" i="13"/>
  <c r="B48" i="13"/>
  <c r="C48" i="13"/>
  <c r="D48" i="13"/>
  <c r="F48" i="13"/>
  <c r="G48" i="13"/>
  <c r="H48" i="13"/>
  <c r="I48" i="13"/>
  <c r="J48" i="13"/>
  <c r="M48" i="13"/>
  <c r="N48" i="13"/>
  <c r="O48" i="13"/>
  <c r="Q48" i="13" s="1"/>
  <c r="V48" i="13"/>
  <c r="X48" i="13" s="1"/>
  <c r="W48" i="13"/>
  <c r="AD48" i="13"/>
  <c r="AE48" i="13"/>
  <c r="AF48" i="13"/>
  <c r="AG48" i="13"/>
  <c r="AH48" i="13"/>
  <c r="AI48" i="13"/>
  <c r="AJ48" i="13"/>
  <c r="AK48" i="13"/>
  <c r="A49" i="13"/>
  <c r="B49" i="13"/>
  <c r="C49" i="13"/>
  <c r="D49" i="13"/>
  <c r="F49" i="13"/>
  <c r="G49" i="13"/>
  <c r="H49" i="13"/>
  <c r="I49" i="13"/>
  <c r="J49" i="13"/>
  <c r="M49" i="13"/>
  <c r="N49" i="13"/>
  <c r="O49" i="13"/>
  <c r="Q49" i="13" s="1"/>
  <c r="V49" i="13"/>
  <c r="W49" i="13"/>
  <c r="AD49" i="13"/>
  <c r="AE49" i="13"/>
  <c r="AF49" i="13"/>
  <c r="AG49" i="13"/>
  <c r="AH49" i="13"/>
  <c r="AI49" i="13"/>
  <c r="AJ49" i="13"/>
  <c r="AK49" i="13"/>
  <c r="A50" i="13"/>
  <c r="B50" i="13"/>
  <c r="C50" i="13"/>
  <c r="D50" i="13"/>
  <c r="F50" i="13"/>
  <c r="G50" i="13"/>
  <c r="H50" i="13"/>
  <c r="I50" i="13"/>
  <c r="J50" i="13"/>
  <c r="M50" i="13"/>
  <c r="N50" i="13"/>
  <c r="U50" i="13" s="1"/>
  <c r="O50" i="13"/>
  <c r="Q50" i="13" s="1"/>
  <c r="V50" i="13"/>
  <c r="W50" i="13"/>
  <c r="AD50" i="13"/>
  <c r="AE50" i="13"/>
  <c r="AF50" i="13"/>
  <c r="AG50" i="13"/>
  <c r="AH50" i="13"/>
  <c r="AI50" i="13"/>
  <c r="AJ50" i="13"/>
  <c r="AK50" i="13"/>
  <c r="A51" i="13"/>
  <c r="B51" i="13"/>
  <c r="C51" i="13"/>
  <c r="D51" i="13"/>
  <c r="F51" i="13"/>
  <c r="G51" i="13"/>
  <c r="H51" i="13"/>
  <c r="I51" i="13"/>
  <c r="J51" i="13"/>
  <c r="M51" i="13"/>
  <c r="N51" i="13"/>
  <c r="U51" i="13" s="1"/>
  <c r="O51" i="13"/>
  <c r="Q51" i="13" s="1"/>
  <c r="V51" i="13"/>
  <c r="X51" i="13" s="1"/>
  <c r="W51" i="13"/>
  <c r="AD51" i="13"/>
  <c r="AE51" i="13"/>
  <c r="AF51" i="13"/>
  <c r="AG51" i="13"/>
  <c r="AH51" i="13"/>
  <c r="AI51" i="13"/>
  <c r="AJ51" i="13"/>
  <c r="AK51" i="13"/>
  <c r="A52" i="13"/>
  <c r="B52" i="13"/>
  <c r="C52" i="13"/>
  <c r="D52" i="13"/>
  <c r="F52" i="13"/>
  <c r="G52" i="13"/>
  <c r="H52" i="13"/>
  <c r="I52" i="13"/>
  <c r="J52" i="13"/>
  <c r="M52" i="13"/>
  <c r="N52" i="13"/>
  <c r="O52" i="13"/>
  <c r="V52" i="13"/>
  <c r="AC52" i="13" s="1"/>
  <c r="W52" i="13"/>
  <c r="AD52" i="13"/>
  <c r="AE52" i="13"/>
  <c r="AF52" i="13"/>
  <c r="AG52" i="13"/>
  <c r="AH52" i="13"/>
  <c r="AI52" i="13"/>
  <c r="AJ52" i="13"/>
  <c r="AK52" i="13"/>
  <c r="A53" i="13"/>
  <c r="B53" i="13"/>
  <c r="C53" i="13"/>
  <c r="D53" i="13"/>
  <c r="F53" i="13"/>
  <c r="G53" i="13"/>
  <c r="H53" i="13"/>
  <c r="I53" i="13"/>
  <c r="J53" i="13"/>
  <c r="M53" i="13"/>
  <c r="N53" i="13"/>
  <c r="O53" i="13"/>
  <c r="Q53" i="13" s="1"/>
  <c r="V53" i="13"/>
  <c r="Y53" i="13" s="1"/>
  <c r="W53" i="13"/>
  <c r="AD53" i="13"/>
  <c r="AE53" i="13"/>
  <c r="AF53" i="13"/>
  <c r="AG53" i="13"/>
  <c r="AH53" i="13"/>
  <c r="AI53" i="13"/>
  <c r="AJ53" i="13"/>
  <c r="AK53" i="13"/>
  <c r="A54" i="13"/>
  <c r="B54" i="13"/>
  <c r="C54" i="13"/>
  <c r="D54" i="13"/>
  <c r="F54" i="13"/>
  <c r="G54" i="13"/>
  <c r="H54" i="13"/>
  <c r="I54" i="13"/>
  <c r="J54" i="13"/>
  <c r="M54" i="13"/>
  <c r="N54" i="13"/>
  <c r="O54" i="13"/>
  <c r="Q54" i="13" s="1"/>
  <c r="V54" i="13"/>
  <c r="AC54" i="13" s="1"/>
  <c r="W54" i="13"/>
  <c r="AD54" i="13"/>
  <c r="AE54" i="13"/>
  <c r="AF54" i="13"/>
  <c r="AG54" i="13"/>
  <c r="AH54" i="13"/>
  <c r="AI54" i="13"/>
  <c r="AJ54" i="13"/>
  <c r="AK54" i="13"/>
  <c r="A55" i="13"/>
  <c r="B55" i="13"/>
  <c r="C55" i="13"/>
  <c r="D55" i="13"/>
  <c r="F55" i="13"/>
  <c r="G55" i="13"/>
  <c r="H55" i="13"/>
  <c r="I55" i="13"/>
  <c r="J55" i="13"/>
  <c r="M55" i="13"/>
  <c r="N55" i="13"/>
  <c r="U55" i="13" s="1"/>
  <c r="O55" i="13"/>
  <c r="Q55" i="13" s="1"/>
  <c r="V55" i="13"/>
  <c r="X55" i="13" s="1"/>
  <c r="W55" i="13"/>
  <c r="AD55" i="13"/>
  <c r="AE55" i="13"/>
  <c r="AF55" i="13"/>
  <c r="AG55" i="13"/>
  <c r="AH55" i="13"/>
  <c r="AI55" i="13"/>
  <c r="AJ55" i="13"/>
  <c r="AK55" i="13"/>
  <c r="A56" i="13"/>
  <c r="B56" i="13"/>
  <c r="C56" i="13"/>
  <c r="D56" i="13"/>
  <c r="F56" i="13"/>
  <c r="G56" i="13"/>
  <c r="H56" i="13"/>
  <c r="I56" i="13"/>
  <c r="J56" i="13"/>
  <c r="M56" i="13"/>
  <c r="N56" i="13"/>
  <c r="O56" i="13"/>
  <c r="V56" i="13"/>
  <c r="AC56" i="13" s="1"/>
  <c r="W56" i="13"/>
  <c r="AD56" i="13"/>
  <c r="AE56" i="13"/>
  <c r="AF56" i="13"/>
  <c r="AG56" i="13"/>
  <c r="AH56" i="13"/>
  <c r="AI56" i="13"/>
  <c r="AJ56" i="13"/>
  <c r="AK56" i="13"/>
  <c r="A57" i="13"/>
  <c r="B57" i="13"/>
  <c r="C57" i="13"/>
  <c r="D57" i="13"/>
  <c r="F57" i="13"/>
  <c r="G57" i="13"/>
  <c r="H57" i="13"/>
  <c r="I57" i="13"/>
  <c r="J57" i="13"/>
  <c r="M57" i="13"/>
  <c r="N57" i="13"/>
  <c r="O57" i="13"/>
  <c r="V57" i="13"/>
  <c r="X57" i="13" s="1"/>
  <c r="W57" i="13"/>
  <c r="AD57" i="13"/>
  <c r="AE57" i="13"/>
  <c r="AF57" i="13"/>
  <c r="AG57" i="13"/>
  <c r="AH57" i="13"/>
  <c r="AI57" i="13"/>
  <c r="AJ57" i="13"/>
  <c r="AK57" i="13"/>
  <c r="A58" i="13"/>
  <c r="B58" i="13"/>
  <c r="C58" i="13"/>
  <c r="D58" i="13"/>
  <c r="F58" i="13"/>
  <c r="G58" i="13"/>
  <c r="H58" i="13"/>
  <c r="I58" i="13"/>
  <c r="J58" i="13"/>
  <c r="M58" i="13"/>
  <c r="N58" i="13"/>
  <c r="U58" i="13" s="1"/>
  <c r="O58" i="13"/>
  <c r="V58" i="13"/>
  <c r="AC58" i="13" s="1"/>
  <c r="W58" i="13"/>
  <c r="AD58" i="13"/>
  <c r="AE58" i="13"/>
  <c r="AF58" i="13"/>
  <c r="AG58" i="13"/>
  <c r="AH58" i="13"/>
  <c r="AI58" i="13"/>
  <c r="AJ58" i="13"/>
  <c r="AK58" i="13"/>
  <c r="A66" i="13"/>
  <c r="B66" i="13"/>
  <c r="C66" i="13"/>
  <c r="D66" i="13"/>
  <c r="F66" i="13"/>
  <c r="G66" i="13"/>
  <c r="H66" i="13"/>
  <c r="I66" i="13"/>
  <c r="J66" i="13"/>
  <c r="M66" i="13"/>
  <c r="N66" i="13"/>
  <c r="O66" i="13"/>
  <c r="V66" i="13"/>
  <c r="W66" i="13"/>
  <c r="AD66" i="13"/>
  <c r="AE66" i="13"/>
  <c r="AF66" i="13"/>
  <c r="AG66" i="13"/>
  <c r="AH66" i="13"/>
  <c r="AI66" i="13"/>
  <c r="AJ66" i="13"/>
  <c r="AK66" i="13"/>
  <c r="A67" i="13"/>
  <c r="B67" i="13"/>
  <c r="C67" i="13"/>
  <c r="D67" i="13"/>
  <c r="F67" i="13"/>
  <c r="G67" i="13"/>
  <c r="H67" i="13"/>
  <c r="I67" i="13"/>
  <c r="J67" i="13"/>
  <c r="M67" i="13"/>
  <c r="N67" i="13"/>
  <c r="O67" i="13"/>
  <c r="Q67" i="13" s="1"/>
  <c r="V67" i="13"/>
  <c r="X67" i="13" s="1"/>
  <c r="W67" i="13"/>
  <c r="AD67" i="13"/>
  <c r="AE67" i="13"/>
  <c r="AF67" i="13"/>
  <c r="AG67" i="13"/>
  <c r="AH67" i="13"/>
  <c r="AI67" i="13"/>
  <c r="AJ67" i="13"/>
  <c r="AK67" i="13"/>
  <c r="A68" i="13"/>
  <c r="B68" i="13"/>
  <c r="C68" i="13"/>
  <c r="D68" i="13"/>
  <c r="F68" i="13"/>
  <c r="G68" i="13"/>
  <c r="H68" i="13"/>
  <c r="I68" i="13"/>
  <c r="J68" i="13"/>
  <c r="M68" i="13"/>
  <c r="N68" i="13"/>
  <c r="O68" i="13"/>
  <c r="V68" i="13"/>
  <c r="AC68" i="13" s="1"/>
  <c r="W68" i="13"/>
  <c r="AD68" i="13"/>
  <c r="AE68" i="13"/>
  <c r="AF68" i="13"/>
  <c r="AG68" i="13"/>
  <c r="AH68" i="13"/>
  <c r="AI68" i="13"/>
  <c r="AJ68" i="13"/>
  <c r="AK68" i="13"/>
  <c r="A69" i="13"/>
  <c r="B69" i="13"/>
  <c r="C69" i="13"/>
  <c r="D69" i="13"/>
  <c r="F69" i="13"/>
  <c r="G69" i="13"/>
  <c r="H69" i="13"/>
  <c r="I69" i="13"/>
  <c r="J69" i="13"/>
  <c r="M69" i="13"/>
  <c r="N69" i="13"/>
  <c r="O69" i="13"/>
  <c r="Q69" i="13" s="1"/>
  <c r="V69" i="13"/>
  <c r="AC69" i="13" s="1"/>
  <c r="W69" i="13"/>
  <c r="AD69" i="13"/>
  <c r="AE69" i="13"/>
  <c r="AF69" i="13"/>
  <c r="AG69" i="13"/>
  <c r="AH69" i="13"/>
  <c r="AI69" i="13"/>
  <c r="AJ69" i="13"/>
  <c r="AK69" i="13"/>
  <c r="A70" i="13"/>
  <c r="B70" i="13"/>
  <c r="C70" i="13"/>
  <c r="D70" i="13"/>
  <c r="F70" i="13"/>
  <c r="G70" i="13"/>
  <c r="H70" i="13"/>
  <c r="I70" i="13"/>
  <c r="J70" i="13"/>
  <c r="M70" i="13"/>
  <c r="N70" i="13"/>
  <c r="O70" i="13"/>
  <c r="Q70" i="13" s="1"/>
  <c r="V70" i="13"/>
  <c r="AC70" i="13" s="1"/>
  <c r="W70" i="13"/>
  <c r="AD70" i="13"/>
  <c r="AE70" i="13"/>
  <c r="AF70" i="13"/>
  <c r="AG70" i="13"/>
  <c r="AH70" i="13"/>
  <c r="AI70" i="13"/>
  <c r="AJ70" i="13"/>
  <c r="AK70" i="13"/>
  <c r="A71" i="13"/>
  <c r="B71" i="13"/>
  <c r="C71" i="13"/>
  <c r="D71" i="13"/>
  <c r="F71" i="13"/>
  <c r="G71" i="13"/>
  <c r="H71" i="13"/>
  <c r="I71" i="13"/>
  <c r="J71" i="13"/>
  <c r="M71" i="13"/>
  <c r="N71" i="13"/>
  <c r="O71" i="13"/>
  <c r="V71" i="13"/>
  <c r="W71" i="13"/>
  <c r="AD71" i="13"/>
  <c r="AE71" i="13"/>
  <c r="AF71" i="13"/>
  <c r="AG71" i="13"/>
  <c r="AH71" i="13"/>
  <c r="AI71" i="13"/>
  <c r="AJ71" i="13"/>
  <c r="AK71" i="13"/>
  <c r="A72" i="13"/>
  <c r="B72" i="13"/>
  <c r="C72" i="13"/>
  <c r="D72" i="13"/>
  <c r="F72" i="13"/>
  <c r="G72" i="13"/>
  <c r="H72" i="13"/>
  <c r="I72" i="13"/>
  <c r="J72" i="13"/>
  <c r="M72" i="13"/>
  <c r="N72" i="13"/>
  <c r="U72" i="13" s="1"/>
  <c r="O72" i="13"/>
  <c r="Q72" i="13" s="1"/>
  <c r="V72" i="13"/>
  <c r="X72" i="13" s="1"/>
  <c r="W72" i="13"/>
  <c r="AD72" i="13"/>
  <c r="AE72" i="13"/>
  <c r="AF72" i="13"/>
  <c r="AG72" i="13"/>
  <c r="AH72" i="13"/>
  <c r="AI72" i="13"/>
  <c r="AJ72" i="13"/>
  <c r="AK72" i="13"/>
  <c r="A73" i="13"/>
  <c r="B73" i="13"/>
  <c r="C73" i="13"/>
  <c r="D73" i="13"/>
  <c r="F73" i="13"/>
  <c r="G73" i="13"/>
  <c r="H73" i="13"/>
  <c r="I73" i="13"/>
  <c r="J73" i="13"/>
  <c r="M73" i="13"/>
  <c r="N73" i="13"/>
  <c r="O73" i="13"/>
  <c r="V73" i="13"/>
  <c r="X73" i="13" s="1"/>
  <c r="W73" i="13"/>
  <c r="AD73" i="13"/>
  <c r="AE73" i="13"/>
  <c r="AF73" i="13"/>
  <c r="AG73" i="13"/>
  <c r="AH73" i="13"/>
  <c r="AI73" i="13"/>
  <c r="AJ73" i="13"/>
  <c r="AK73" i="13"/>
  <c r="A74" i="13"/>
  <c r="B74" i="13"/>
  <c r="C74" i="13"/>
  <c r="D74" i="13"/>
  <c r="F74" i="13"/>
  <c r="G74" i="13"/>
  <c r="H74" i="13"/>
  <c r="I74" i="13"/>
  <c r="J74" i="13"/>
  <c r="M74" i="13"/>
  <c r="N74" i="13"/>
  <c r="O74" i="13"/>
  <c r="Q74" i="13" s="1"/>
  <c r="V74" i="13"/>
  <c r="AC74" i="13" s="1"/>
  <c r="W74" i="13"/>
  <c r="AD74" i="13"/>
  <c r="AE74" i="13"/>
  <c r="AF74" i="13"/>
  <c r="AG74" i="13"/>
  <c r="AH74" i="13"/>
  <c r="AI74" i="13"/>
  <c r="AJ74" i="13"/>
  <c r="AK74" i="13"/>
  <c r="A75" i="13"/>
  <c r="B75" i="13"/>
  <c r="C75" i="13"/>
  <c r="D75" i="13"/>
  <c r="F75" i="13"/>
  <c r="G75" i="13"/>
  <c r="H75" i="13"/>
  <c r="I75" i="13"/>
  <c r="J75" i="13"/>
  <c r="M75" i="13"/>
  <c r="N75" i="13"/>
  <c r="O75" i="13"/>
  <c r="Q75" i="13" s="1"/>
  <c r="V75" i="13"/>
  <c r="Y75" i="13" s="1"/>
  <c r="W75" i="13"/>
  <c r="AD75" i="13"/>
  <c r="AE75" i="13"/>
  <c r="AF75" i="13"/>
  <c r="AG75" i="13"/>
  <c r="AH75" i="13"/>
  <c r="AI75" i="13"/>
  <c r="AJ75" i="13"/>
  <c r="AK75" i="13"/>
  <c r="A76" i="13"/>
  <c r="B76" i="13"/>
  <c r="C76" i="13"/>
  <c r="D76" i="13"/>
  <c r="F76" i="13"/>
  <c r="G76" i="13"/>
  <c r="H76" i="13"/>
  <c r="I76" i="13"/>
  <c r="J76" i="13"/>
  <c r="M76" i="13"/>
  <c r="N76" i="13"/>
  <c r="O76" i="13"/>
  <c r="Q76" i="13" s="1"/>
  <c r="V76" i="13"/>
  <c r="X76" i="13" s="1"/>
  <c r="W76" i="13"/>
  <c r="AD76" i="13"/>
  <c r="AE76" i="13"/>
  <c r="AF76" i="13"/>
  <c r="AG76" i="13"/>
  <c r="AH76" i="13"/>
  <c r="AI76" i="13"/>
  <c r="AJ76" i="13"/>
  <c r="AK76" i="13"/>
  <c r="A77" i="13"/>
  <c r="B77" i="13"/>
  <c r="C77" i="13"/>
  <c r="D77" i="13"/>
  <c r="F77" i="13"/>
  <c r="G77" i="13"/>
  <c r="H77" i="13"/>
  <c r="I77" i="13"/>
  <c r="J77" i="13"/>
  <c r="M77" i="13"/>
  <c r="N77" i="13"/>
  <c r="O77" i="13"/>
  <c r="V77" i="13"/>
  <c r="X77" i="13" s="1"/>
  <c r="W77" i="13"/>
  <c r="AD77" i="13"/>
  <c r="AE77" i="13"/>
  <c r="AF77" i="13"/>
  <c r="AG77" i="13"/>
  <c r="AH77" i="13"/>
  <c r="AI77" i="13"/>
  <c r="AJ77" i="13"/>
  <c r="AK77" i="13"/>
  <c r="A78" i="13"/>
  <c r="B78" i="13"/>
  <c r="C78" i="13"/>
  <c r="D78" i="13"/>
  <c r="F78" i="13"/>
  <c r="G78" i="13"/>
  <c r="H78" i="13"/>
  <c r="I78" i="13"/>
  <c r="J78" i="13"/>
  <c r="M78" i="13"/>
  <c r="N78" i="13"/>
  <c r="U78" i="13" s="1"/>
  <c r="O78" i="13"/>
  <c r="V78" i="13"/>
  <c r="AC78" i="13" s="1"/>
  <c r="W78" i="13"/>
  <c r="AD78" i="13"/>
  <c r="AE78" i="13"/>
  <c r="AF78" i="13"/>
  <c r="AG78" i="13"/>
  <c r="AH78" i="13"/>
  <c r="AI78" i="13"/>
  <c r="AJ78" i="13"/>
  <c r="AK78" i="13"/>
  <c r="V20" i="11"/>
  <c r="T20" i="11"/>
  <c r="AB20" i="11" s="1"/>
  <c r="S20" i="11"/>
  <c r="R20" i="11"/>
  <c r="W20" i="11" s="1"/>
  <c r="H20" i="11"/>
  <c r="U20" i="11" s="1"/>
  <c r="B41" i="29"/>
  <c r="H41" i="29"/>
  <c r="L41" i="29"/>
  <c r="B42" i="29"/>
  <c r="H42" i="29"/>
  <c r="L42" i="29"/>
  <c r="L40" i="29"/>
  <c r="H40" i="29"/>
  <c r="B40" i="29"/>
  <c r="B23" i="29"/>
  <c r="H23" i="29"/>
  <c r="I23" i="29"/>
  <c r="L23" i="29"/>
  <c r="B24" i="29"/>
  <c r="H24" i="29"/>
  <c r="L24" i="29"/>
  <c r="B25" i="29"/>
  <c r="H25" i="29"/>
  <c r="I25" i="29"/>
  <c r="L25" i="29"/>
  <c r="B26" i="29"/>
  <c r="H26" i="29"/>
  <c r="L26" i="29"/>
  <c r="B27" i="29"/>
  <c r="H27" i="29"/>
  <c r="L27" i="29"/>
  <c r="B28" i="29"/>
  <c r="D28" i="29"/>
  <c r="F28" i="29" s="1"/>
  <c r="H28" i="29"/>
  <c r="L28" i="29"/>
  <c r="B29" i="29"/>
  <c r="D29" i="29"/>
  <c r="F29" i="29"/>
  <c r="H29" i="29"/>
  <c r="I29" i="29"/>
  <c r="L29" i="29"/>
  <c r="B30" i="29"/>
  <c r="H30" i="29"/>
  <c r="L30" i="29"/>
  <c r="B31" i="29"/>
  <c r="H31" i="29"/>
  <c r="L31" i="29"/>
  <c r="B32" i="29"/>
  <c r="H32" i="29"/>
  <c r="L32" i="29"/>
  <c r="B34" i="29"/>
  <c r="H34" i="29"/>
  <c r="L34" i="29"/>
  <c r="L22" i="29"/>
  <c r="H22" i="29"/>
  <c r="B22" i="29"/>
  <c r="B10" i="29"/>
  <c r="L10" i="29"/>
  <c r="B11" i="29"/>
  <c r="L11" i="29"/>
  <c r="B12" i="29"/>
  <c r="L12" i="29"/>
  <c r="B13" i="29"/>
  <c r="D13" i="29"/>
  <c r="F13" i="29"/>
  <c r="H13" i="29"/>
  <c r="I13" i="29"/>
  <c r="L13" i="29"/>
  <c r="B14" i="29"/>
  <c r="L14" i="29"/>
  <c r="B15" i="29"/>
  <c r="L15" i="29"/>
  <c r="B16" i="29"/>
  <c r="H16" i="29"/>
  <c r="L16" i="29"/>
  <c r="M44" i="29"/>
  <c r="K44" i="29"/>
  <c r="J44" i="29"/>
  <c r="M36" i="29"/>
  <c r="K36" i="29"/>
  <c r="J36" i="29"/>
  <c r="F92" i="9"/>
  <c r="H92" i="9" s="1"/>
  <c r="D41" i="29" s="1"/>
  <c r="F41" i="29" s="1"/>
  <c r="G92" i="9"/>
  <c r="H81" i="9"/>
  <c r="K81" i="9" s="1"/>
  <c r="I27" i="29" s="1"/>
  <c r="H80" i="9"/>
  <c r="D26" i="29" s="1"/>
  <c r="F26" i="29" s="1"/>
  <c r="H86" i="9"/>
  <c r="K86" i="9" s="1"/>
  <c r="I32" i="29" s="1"/>
  <c r="H79" i="9"/>
  <c r="K79" i="9" s="1"/>
  <c r="H78" i="9"/>
  <c r="K78" i="9" s="1"/>
  <c r="I24" i="29" s="1"/>
  <c r="H77" i="9"/>
  <c r="K77" i="9" s="1"/>
  <c r="H83" i="9"/>
  <c r="K83" i="9" s="1"/>
  <c r="H82" i="9"/>
  <c r="K82" i="9" s="1"/>
  <c r="I28" i="29" s="1"/>
  <c r="H88" i="9"/>
  <c r="K88" i="9" s="1"/>
  <c r="I34" i="29" s="1"/>
  <c r="H85" i="9"/>
  <c r="K85" i="9" s="1"/>
  <c r="I31" i="29" s="1"/>
  <c r="H84" i="9"/>
  <c r="K84" i="9" s="1"/>
  <c r="I30" i="29" s="1"/>
  <c r="H69" i="9"/>
  <c r="I69" i="9" s="1"/>
  <c r="G12" i="29" s="1"/>
  <c r="K69" i="9"/>
  <c r="I12" i="29" s="1"/>
  <c r="K72" i="9"/>
  <c r="I15" i="29" s="1"/>
  <c r="H72" i="9"/>
  <c r="J72" i="9" s="1"/>
  <c r="H15" i="29" s="1"/>
  <c r="K73" i="9"/>
  <c r="I16" i="29" s="1"/>
  <c r="H73" i="9"/>
  <c r="J73" i="9" s="1"/>
  <c r="K68" i="9"/>
  <c r="I11" i="29" s="1"/>
  <c r="H68" i="9"/>
  <c r="J68" i="9" s="1"/>
  <c r="H11" i="29" s="1"/>
  <c r="K67" i="9"/>
  <c r="I10" i="29" s="1"/>
  <c r="H67" i="9"/>
  <c r="I67" i="9" s="1"/>
  <c r="G10" i="29" s="1"/>
  <c r="K70" i="9"/>
  <c r="H70" i="9"/>
  <c r="J70" i="9" s="1"/>
  <c r="H164" i="11"/>
  <c r="E164" i="11"/>
  <c r="H163" i="11"/>
  <c r="E163" i="11"/>
  <c r="V19" i="11"/>
  <c r="T19" i="11"/>
  <c r="S19" i="11"/>
  <c r="R19" i="11"/>
  <c r="W19" i="11" s="1"/>
  <c r="H19" i="11"/>
  <c r="U19" i="11" s="1"/>
  <c r="Y103" i="14"/>
  <c r="X103" i="14"/>
  <c r="W103" i="14"/>
  <c r="V103" i="14"/>
  <c r="U103" i="14"/>
  <c r="Q103" i="14"/>
  <c r="T103" i="14" s="1"/>
  <c r="E410" i="20"/>
  <c r="E408" i="20"/>
  <c r="E407" i="20"/>
  <c r="F407" i="20"/>
  <c r="E406" i="20"/>
  <c r="H76" i="9"/>
  <c r="K76" i="9" s="1"/>
  <c r="I22" i="29" s="1"/>
  <c r="H93" i="9"/>
  <c r="I93" i="9" s="1"/>
  <c r="G42" i="29" s="1"/>
  <c r="H91" i="9"/>
  <c r="K91" i="9" s="1"/>
  <c r="I40" i="29" s="1"/>
  <c r="F406" i="20" l="1"/>
  <c r="F408" i="20"/>
  <c r="D16" i="29"/>
  <c r="F16" i="29" s="1"/>
  <c r="D31" i="29"/>
  <c r="F31" i="29" s="1"/>
  <c r="D23" i="29"/>
  <c r="F23" i="29" s="1"/>
  <c r="D22" i="29"/>
  <c r="F22" i="29" s="1"/>
  <c r="D10" i="29"/>
  <c r="F10" i="29" s="1"/>
  <c r="D32" i="29"/>
  <c r="F32" i="29" s="1"/>
  <c r="D34" i="29"/>
  <c r="F34" i="29" s="1"/>
  <c r="D30" i="29"/>
  <c r="F30" i="29" s="1"/>
  <c r="D15" i="29"/>
  <c r="F15" i="29" s="1"/>
  <c r="D40" i="29"/>
  <c r="F40" i="29" s="1"/>
  <c r="D12" i="29"/>
  <c r="D25" i="29"/>
  <c r="F25" i="29" s="1"/>
  <c r="D11" i="29"/>
  <c r="F11" i="29" s="1"/>
  <c r="D27" i="29"/>
  <c r="F27" i="29" s="1"/>
  <c r="D42" i="29"/>
  <c r="F42" i="29" s="1"/>
  <c r="F44" i="29" s="1"/>
  <c r="K15" i="23" s="1"/>
  <c r="C16" i="22" s="1"/>
  <c r="D24" i="29"/>
  <c r="F24" i="29" s="1"/>
  <c r="C165" i="11"/>
  <c r="H131" i="24" s="1"/>
  <c r="D131" i="24" s="1"/>
  <c r="P81" i="13"/>
  <c r="F165" i="11"/>
  <c r="J165" i="11" s="1"/>
  <c r="AB19" i="11"/>
  <c r="D165" i="11"/>
  <c r="P103" i="13"/>
  <c r="P44" i="13"/>
  <c r="P99" i="13"/>
  <c r="P85" i="13"/>
  <c r="R85" i="13" s="1"/>
  <c r="T85" i="13" s="1"/>
  <c r="P100" i="13"/>
  <c r="P129" i="13"/>
  <c r="P136" i="13"/>
  <c r="P134" i="13"/>
  <c r="P105" i="13"/>
  <c r="P30" i="13"/>
  <c r="P34" i="13"/>
  <c r="R34" i="13" s="1"/>
  <c r="T34" i="13" s="1"/>
  <c r="P67" i="13"/>
  <c r="R67" i="13" s="1"/>
  <c r="P66" i="13"/>
  <c r="P74" i="13"/>
  <c r="R74" i="13" s="1"/>
  <c r="T74" i="13" s="1"/>
  <c r="P49" i="13"/>
  <c r="R49" i="13" s="1"/>
  <c r="P116" i="13"/>
  <c r="P68" i="13"/>
  <c r="R68" i="13" s="1"/>
  <c r="T68" i="13" s="1"/>
  <c r="P121" i="13"/>
  <c r="X52" i="13"/>
  <c r="P52" i="13"/>
  <c r="P57" i="13"/>
  <c r="P21" i="13"/>
  <c r="R21" i="13" s="1"/>
  <c r="T21" i="13" s="1"/>
  <c r="P109" i="13"/>
  <c r="P112" i="13"/>
  <c r="P42" i="13"/>
  <c r="P18" i="13"/>
  <c r="R18" i="13" s="1"/>
  <c r="P17" i="13"/>
  <c r="R17" i="13" s="1"/>
  <c r="T17" i="13" s="1"/>
  <c r="X56" i="13"/>
  <c r="Y73" i="13"/>
  <c r="AZ137" i="13"/>
  <c r="AN124" i="13"/>
  <c r="AN127" i="13"/>
  <c r="AZ58" i="13"/>
  <c r="AZ131" i="13"/>
  <c r="Y20" i="11"/>
  <c r="Y39" i="13"/>
  <c r="R127" i="13"/>
  <c r="T127" i="13" s="1"/>
  <c r="R133" i="13"/>
  <c r="T133" i="13" s="1"/>
  <c r="AP133" i="13" s="1"/>
  <c r="AC80" i="13"/>
  <c r="AC20" i="13"/>
  <c r="R131" i="13"/>
  <c r="AX131" i="13" s="1"/>
  <c r="X97" i="13"/>
  <c r="U68" i="13"/>
  <c r="AZ68" i="13" s="1"/>
  <c r="AC35" i="13"/>
  <c r="AZ84" i="13"/>
  <c r="Y70" i="13"/>
  <c r="Y35" i="13"/>
  <c r="Z35" i="13" s="1"/>
  <c r="AB35" i="13" s="1"/>
  <c r="Y74" i="13"/>
  <c r="X74" i="13"/>
  <c r="Z74" i="13" s="1"/>
  <c r="AB74" i="13" s="1"/>
  <c r="AQ74" i="13" s="1"/>
  <c r="AN120" i="13"/>
  <c r="P133" i="13"/>
  <c r="X70" i="13"/>
  <c r="Z70" i="13" s="1"/>
  <c r="AB70" i="13" s="1"/>
  <c r="AQ70" i="13" s="1"/>
  <c r="AN99" i="13"/>
  <c r="AN135" i="13"/>
  <c r="Z107" i="13"/>
  <c r="AB107" i="13" s="1"/>
  <c r="Y77" i="13"/>
  <c r="AZ128" i="13"/>
  <c r="U136" i="13"/>
  <c r="AZ136" i="13" s="1"/>
  <c r="Y99" i="13"/>
  <c r="AC107" i="13"/>
  <c r="AC129" i="13"/>
  <c r="AC37" i="13"/>
  <c r="P90" i="13"/>
  <c r="P102" i="13"/>
  <c r="Y54" i="13"/>
  <c r="AC77" i="13"/>
  <c r="U74" i="13"/>
  <c r="AZ74" i="13" s="1"/>
  <c r="X68" i="13"/>
  <c r="Y56" i="13"/>
  <c r="X54" i="13"/>
  <c r="AZ93" i="13"/>
  <c r="X90" i="13"/>
  <c r="Z90" i="13" s="1"/>
  <c r="AB90" i="13" s="1"/>
  <c r="X75" i="13"/>
  <c r="Z75" i="13" s="1"/>
  <c r="AB75" i="13" s="1"/>
  <c r="AC51" i="13"/>
  <c r="AN101" i="13"/>
  <c r="Y115" i="13"/>
  <c r="X84" i="13"/>
  <c r="Z84" i="13" s="1"/>
  <c r="AB84" i="13" s="1"/>
  <c r="AQ84" i="13" s="1"/>
  <c r="X88" i="13"/>
  <c r="Z88" i="13" s="1"/>
  <c r="AB88" i="13" s="1"/>
  <c r="AC88" i="13"/>
  <c r="AC90" i="13"/>
  <c r="Y51" i="13"/>
  <c r="Z51" i="13" s="1"/>
  <c r="AB51" i="13" s="1"/>
  <c r="P80" i="13"/>
  <c r="AN100" i="13"/>
  <c r="AN107" i="13"/>
  <c r="AZ124" i="13"/>
  <c r="AZ72" i="13"/>
  <c r="X91" i="13"/>
  <c r="Z91" i="13" s="1"/>
  <c r="AB91" i="13" s="1"/>
  <c r="AQ91" i="13" s="1"/>
  <c r="R124" i="13"/>
  <c r="AX124" i="13" s="1"/>
  <c r="Y84" i="13"/>
  <c r="X93" i="13"/>
  <c r="Z93" i="13" s="1"/>
  <c r="AB93" i="13" s="1"/>
  <c r="AQ93" i="13" s="1"/>
  <c r="P72" i="13"/>
  <c r="R72" i="13" s="1"/>
  <c r="T72" i="13" s="1"/>
  <c r="AP72" i="13" s="1"/>
  <c r="AN137" i="13"/>
  <c r="Q81" i="13"/>
  <c r="X101" i="13"/>
  <c r="X106" i="13"/>
  <c r="R108" i="13"/>
  <c r="T108" i="13" s="1"/>
  <c r="AP108" i="13" s="1"/>
  <c r="Y128" i="13"/>
  <c r="Z128" i="13" s="1"/>
  <c r="AB128" i="13" s="1"/>
  <c r="Y133" i="13"/>
  <c r="Z133" i="13" s="1"/>
  <c r="AB133" i="13" s="1"/>
  <c r="AQ133" i="13" s="1"/>
  <c r="P91" i="13"/>
  <c r="U105" i="13"/>
  <c r="AZ105" i="13" s="1"/>
  <c r="U66" i="13"/>
  <c r="AZ66" i="13" s="1"/>
  <c r="X39" i="13"/>
  <c r="Y37" i="13"/>
  <c r="Z37" i="13" s="1"/>
  <c r="AB37" i="13" s="1"/>
  <c r="AZ82" i="13"/>
  <c r="X87" i="13"/>
  <c r="Z87" i="13" s="1"/>
  <c r="AB87" i="13" s="1"/>
  <c r="AQ87" i="13" s="1"/>
  <c r="AC101" i="13"/>
  <c r="Y106" i="13"/>
  <c r="P108" i="13"/>
  <c r="X118" i="13"/>
  <c r="AC128" i="13"/>
  <c r="Y135" i="13"/>
  <c r="Z135" i="13" s="1"/>
  <c r="AB135" i="13" s="1"/>
  <c r="X79" i="13"/>
  <c r="Z79" i="13" s="1"/>
  <c r="AB79" i="13" s="1"/>
  <c r="AC79" i="13"/>
  <c r="AZ87" i="13"/>
  <c r="Y83" i="13"/>
  <c r="U99" i="13"/>
  <c r="AZ99" i="13" s="1"/>
  <c r="X133" i="13"/>
  <c r="AN117" i="13"/>
  <c r="AC32" i="13"/>
  <c r="Y20" i="13"/>
  <c r="Z20" i="13" s="1"/>
  <c r="AB20" i="13" s="1"/>
  <c r="Y93" i="13"/>
  <c r="AC99" i="13"/>
  <c r="AN131" i="13"/>
  <c r="AN35" i="13"/>
  <c r="X32" i="13"/>
  <c r="Z32" i="13" s="1"/>
  <c r="AB32" i="13" s="1"/>
  <c r="P25" i="13"/>
  <c r="Y91" i="13"/>
  <c r="AZ102" i="13"/>
  <c r="AZ117" i="13"/>
  <c r="U127" i="13"/>
  <c r="AN128" i="13"/>
  <c r="P137" i="13"/>
  <c r="X136" i="13"/>
  <c r="Y112" i="13"/>
  <c r="Z112" i="13" s="1"/>
  <c r="AB112" i="13" s="1"/>
  <c r="X80" i="13"/>
  <c r="Z80" i="13" s="1"/>
  <c r="AB80" i="13" s="1"/>
  <c r="AN136" i="13"/>
  <c r="AC135" i="13"/>
  <c r="R125" i="13"/>
  <c r="T125" i="13" s="1"/>
  <c r="Y136" i="13"/>
  <c r="Z136" i="13" s="1"/>
  <c r="AB136" i="13" s="1"/>
  <c r="AQ136" i="13" s="1"/>
  <c r="P93" i="13"/>
  <c r="R93" i="13" s="1"/>
  <c r="AN43" i="13"/>
  <c r="AZ90" i="13"/>
  <c r="X111" i="13"/>
  <c r="X113" i="13"/>
  <c r="Q121" i="13"/>
  <c r="R121" i="13" s="1"/>
  <c r="T121" i="13" s="1"/>
  <c r="U129" i="13"/>
  <c r="AZ129" i="13" s="1"/>
  <c r="P131" i="13"/>
  <c r="P114" i="13"/>
  <c r="X83" i="13"/>
  <c r="Z83" i="13" s="1"/>
  <c r="AB83" i="13" s="1"/>
  <c r="AQ83" i="13" s="1"/>
  <c r="Y87" i="13"/>
  <c r="AN90" i="13"/>
  <c r="AC67" i="13"/>
  <c r="Y67" i="13"/>
  <c r="Z67" i="13" s="1"/>
  <c r="AB67" i="13" s="1"/>
  <c r="AC48" i="13"/>
  <c r="P79" i="13"/>
  <c r="R79" i="13" s="1"/>
  <c r="T79" i="13" s="1"/>
  <c r="AP79" i="13" s="1"/>
  <c r="AN82" i="13"/>
  <c r="U121" i="13"/>
  <c r="AZ121" i="13" s="1"/>
  <c r="U134" i="13"/>
  <c r="AZ134" i="13" s="1"/>
  <c r="Q136" i="13"/>
  <c r="R136" i="13" s="1"/>
  <c r="T136" i="13" s="1"/>
  <c r="Y137" i="13"/>
  <c r="Z137" i="13" s="1"/>
  <c r="AB137" i="13" s="1"/>
  <c r="AN118" i="13"/>
  <c r="U85" i="13"/>
  <c r="AZ85" i="13" s="1"/>
  <c r="AC112" i="13"/>
  <c r="Y118" i="13"/>
  <c r="Z118" i="13" s="1"/>
  <c r="AB118" i="13" s="1"/>
  <c r="AQ118" i="13" s="1"/>
  <c r="P88" i="13"/>
  <c r="P78" i="13"/>
  <c r="Y52" i="13"/>
  <c r="AN20" i="13"/>
  <c r="P92" i="13"/>
  <c r="R92" i="13" s="1"/>
  <c r="X107" i="13"/>
  <c r="AZ133" i="13"/>
  <c r="AC137" i="13"/>
  <c r="AN30" i="13"/>
  <c r="U32" i="13"/>
  <c r="AZ32" i="13" s="1"/>
  <c r="P32" i="13"/>
  <c r="R32" i="13" s="1"/>
  <c r="T32" i="13" s="1"/>
  <c r="P20" i="13"/>
  <c r="R20" i="13" s="1"/>
  <c r="T20" i="13" s="1"/>
  <c r="U20" i="13"/>
  <c r="AZ20" i="13" s="1"/>
  <c r="AC103" i="13"/>
  <c r="Y103" i="13"/>
  <c r="Z103" i="13" s="1"/>
  <c r="AB103" i="13" s="1"/>
  <c r="X103" i="13"/>
  <c r="U111" i="13"/>
  <c r="AZ111" i="13" s="1"/>
  <c r="P111" i="13"/>
  <c r="P29" i="13"/>
  <c r="R29" i="13" s="1"/>
  <c r="U29" i="13"/>
  <c r="AZ29" i="13" s="1"/>
  <c r="AN85" i="13"/>
  <c r="Y134" i="13"/>
  <c r="Z134" i="13" s="1"/>
  <c r="AB134" i="13" s="1"/>
  <c r="AC134" i="13"/>
  <c r="X134" i="13"/>
  <c r="AN44" i="13"/>
  <c r="U48" i="13"/>
  <c r="AZ48" i="13" s="1"/>
  <c r="P48" i="13"/>
  <c r="R48" i="13" s="1"/>
  <c r="T48" i="13" s="1"/>
  <c r="AC102" i="13"/>
  <c r="Y102" i="13"/>
  <c r="Z102" i="13" s="1"/>
  <c r="AB102" i="13" s="1"/>
  <c r="X102" i="13"/>
  <c r="U115" i="13"/>
  <c r="AZ115" i="13" s="1"/>
  <c r="P115" i="13"/>
  <c r="AC127" i="13"/>
  <c r="Y127" i="13"/>
  <c r="Z127" i="13" s="1"/>
  <c r="AB127" i="13" s="1"/>
  <c r="X127" i="13"/>
  <c r="P37" i="13"/>
  <c r="R37" i="13" s="1"/>
  <c r="T37" i="13" s="1"/>
  <c r="U37" i="13"/>
  <c r="AZ37" i="13" s="1"/>
  <c r="P53" i="13"/>
  <c r="R53" i="13" s="1"/>
  <c r="T53" i="13" s="1"/>
  <c r="U53" i="13"/>
  <c r="AZ53" i="13" s="1"/>
  <c r="U19" i="13"/>
  <c r="AZ19" i="13" s="1"/>
  <c r="P19" i="13"/>
  <c r="X47" i="13"/>
  <c r="Y47" i="13"/>
  <c r="AC47" i="13"/>
  <c r="AC81" i="13"/>
  <c r="Y81" i="13"/>
  <c r="X81" i="13"/>
  <c r="U135" i="13"/>
  <c r="AZ135" i="13" s="1"/>
  <c r="P135" i="13"/>
  <c r="U23" i="13"/>
  <c r="AZ23" i="13" s="1"/>
  <c r="P23" i="13"/>
  <c r="U16" i="13"/>
  <c r="AZ16" i="13" s="1"/>
  <c r="P16" i="13"/>
  <c r="R16" i="13" s="1"/>
  <c r="T16" i="13" s="1"/>
  <c r="AZ80" i="13"/>
  <c r="Q80" i="13"/>
  <c r="AC114" i="13"/>
  <c r="Y114" i="13"/>
  <c r="X114" i="13"/>
  <c r="Q135" i="13"/>
  <c r="R135" i="13" s="1"/>
  <c r="T135" i="13" s="1"/>
  <c r="P28" i="13"/>
  <c r="U28" i="13"/>
  <c r="AZ28" i="13" s="1"/>
  <c r="AN28" i="13"/>
  <c r="Q105" i="13"/>
  <c r="R105" i="13" s="1"/>
  <c r="U57" i="13"/>
  <c r="AZ57" i="13" s="1"/>
  <c r="AC43" i="13"/>
  <c r="AN91" i="13"/>
  <c r="Y97" i="13"/>
  <c r="AZ101" i="13"/>
  <c r="Z114" i="13"/>
  <c r="AB114" i="13" s="1"/>
  <c r="Y43" i="13"/>
  <c r="Z43" i="13" s="1"/>
  <c r="AB43" i="13" s="1"/>
  <c r="AZ92" i="13"/>
  <c r="R99" i="13"/>
  <c r="T99" i="13" s="1"/>
  <c r="AN133" i="13"/>
  <c r="R113" i="13"/>
  <c r="T113" i="13" s="1"/>
  <c r="Y117" i="13"/>
  <c r="X117" i="13"/>
  <c r="AC75" i="13"/>
  <c r="AN55" i="13"/>
  <c r="P33" i="13"/>
  <c r="R33" i="13" s="1"/>
  <c r="Y111" i="13"/>
  <c r="Z111" i="13" s="1"/>
  <c r="AB111" i="13" s="1"/>
  <c r="AQ111" i="13" s="1"/>
  <c r="X115" i="13"/>
  <c r="P128" i="13"/>
  <c r="R128" i="13" s="1"/>
  <c r="AN103" i="13"/>
  <c r="AZ33" i="13"/>
  <c r="P51" i="13"/>
  <c r="R51" i="13" s="1"/>
  <c r="Y92" i="13"/>
  <c r="Z92" i="13" s="1"/>
  <c r="AB92" i="13" s="1"/>
  <c r="P110" i="13"/>
  <c r="AN77" i="13"/>
  <c r="Q58" i="13"/>
  <c r="P82" i="13"/>
  <c r="R82" i="13" s="1"/>
  <c r="AZ88" i="13"/>
  <c r="AC92" i="13"/>
  <c r="AZ108" i="13"/>
  <c r="AN116" i="13"/>
  <c r="X124" i="13"/>
  <c r="AN129" i="13"/>
  <c r="U42" i="13"/>
  <c r="AZ42" i="13" s="1"/>
  <c r="U34" i="13"/>
  <c r="AZ34" i="13" s="1"/>
  <c r="U18" i="13"/>
  <c r="AZ18" i="13" s="1"/>
  <c r="X85" i="13"/>
  <c r="Q88" i="13"/>
  <c r="AN97" i="13"/>
  <c r="X104" i="13"/>
  <c r="X110" i="13"/>
  <c r="X121" i="13"/>
  <c r="Y124" i="13"/>
  <c r="Z124" i="13" s="1"/>
  <c r="AB124" i="13" s="1"/>
  <c r="AQ124" i="13" s="1"/>
  <c r="U30" i="13"/>
  <c r="AZ30" i="13" s="1"/>
  <c r="AN21" i="13"/>
  <c r="P84" i="13"/>
  <c r="Y85" i="13"/>
  <c r="Y104" i="13"/>
  <c r="Z104" i="13" s="1"/>
  <c r="AB104" i="13" s="1"/>
  <c r="AQ104" i="13" s="1"/>
  <c r="R107" i="13"/>
  <c r="T107" i="13" s="1"/>
  <c r="X108" i="13"/>
  <c r="AC110" i="13"/>
  <c r="U112" i="13"/>
  <c r="AZ112" i="13" s="1"/>
  <c r="U116" i="13"/>
  <c r="AZ116" i="13" s="1"/>
  <c r="R118" i="13"/>
  <c r="T118" i="13" s="1"/>
  <c r="Y121" i="13"/>
  <c r="Z121" i="13" s="1"/>
  <c r="AB121" i="13" s="1"/>
  <c r="AQ121" i="13" s="1"/>
  <c r="AN125" i="13"/>
  <c r="Q134" i="13"/>
  <c r="R134" i="13" s="1"/>
  <c r="AN78" i="13"/>
  <c r="AN68" i="13"/>
  <c r="AC108" i="13"/>
  <c r="AZ114" i="13"/>
  <c r="Z115" i="13"/>
  <c r="AB115" i="13" s="1"/>
  <c r="AQ115" i="13" s="1"/>
  <c r="Q129" i="13"/>
  <c r="R129" i="13" s="1"/>
  <c r="T129" i="13" s="1"/>
  <c r="AN134" i="13"/>
  <c r="AN112" i="13"/>
  <c r="R112" i="13"/>
  <c r="T112" i="13" s="1"/>
  <c r="AN72" i="13"/>
  <c r="AN36" i="13"/>
  <c r="U125" i="13"/>
  <c r="AZ125" i="13" s="1"/>
  <c r="P125" i="13"/>
  <c r="AC131" i="13"/>
  <c r="Y131" i="13"/>
  <c r="Z131" i="13" s="1"/>
  <c r="AB131" i="13" s="1"/>
  <c r="Q137" i="13"/>
  <c r="R137" i="13" s="1"/>
  <c r="AN104" i="13"/>
  <c r="AZ89" i="13"/>
  <c r="P101" i="13"/>
  <c r="Y129" i="13"/>
  <c r="Z129" i="13" s="1"/>
  <c r="AB129" i="13" s="1"/>
  <c r="U120" i="13"/>
  <c r="AZ120" i="13" s="1"/>
  <c r="P120" i="13"/>
  <c r="AC73" i="13"/>
  <c r="AN69" i="13"/>
  <c r="U35" i="13"/>
  <c r="AZ35" i="13" s="1"/>
  <c r="P35" i="13"/>
  <c r="Q100" i="13"/>
  <c r="R100" i="13" s="1"/>
  <c r="T100" i="13" s="1"/>
  <c r="P113" i="13"/>
  <c r="U113" i="13"/>
  <c r="AZ113" i="13" s="1"/>
  <c r="P117" i="13"/>
  <c r="Q120" i="13"/>
  <c r="R120" i="13" s="1"/>
  <c r="T120" i="13" s="1"/>
  <c r="P126" i="13"/>
  <c r="U126" i="13"/>
  <c r="AZ126" i="13" s="1"/>
  <c r="U96" i="13"/>
  <c r="P96" i="13"/>
  <c r="R96" i="13" s="1"/>
  <c r="T96" i="13" s="1"/>
  <c r="U67" i="13"/>
  <c r="AZ67" i="13" s="1"/>
  <c r="P58" i="13"/>
  <c r="P86" i="13"/>
  <c r="R86" i="13" s="1"/>
  <c r="T86" i="13" s="1"/>
  <c r="U86" i="13"/>
  <c r="AZ86" i="13" s="1"/>
  <c r="AN86" i="13"/>
  <c r="AN95" i="13"/>
  <c r="U100" i="13"/>
  <c r="AZ100" i="13" s="1"/>
  <c r="AN113" i="13"/>
  <c r="Y116" i="13"/>
  <c r="Z116" i="13" s="1"/>
  <c r="AB116" i="13" s="1"/>
  <c r="X116" i="13"/>
  <c r="AC116" i="13"/>
  <c r="Z73" i="13"/>
  <c r="AB73" i="13" s="1"/>
  <c r="P55" i="13"/>
  <c r="R55" i="13" s="1"/>
  <c r="T55" i="13" s="1"/>
  <c r="AP55" i="13" s="1"/>
  <c r="U52" i="13"/>
  <c r="AZ52" i="13" s="1"/>
  <c r="P89" i="13"/>
  <c r="R89" i="13" s="1"/>
  <c r="T89" i="13" s="1"/>
  <c r="AP89" i="13" s="1"/>
  <c r="AC100" i="13"/>
  <c r="X100" i="13"/>
  <c r="Y100" i="13"/>
  <c r="Z100" i="13" s="1"/>
  <c r="AB100" i="13" s="1"/>
  <c r="Z101" i="13"/>
  <c r="AB101" i="13" s="1"/>
  <c r="U49" i="13"/>
  <c r="AZ49" i="13" s="1"/>
  <c r="P36" i="13"/>
  <c r="U81" i="13"/>
  <c r="U95" i="13"/>
  <c r="AZ95" i="13" s="1"/>
  <c r="P95" i="13"/>
  <c r="U104" i="13"/>
  <c r="AZ104" i="13" s="1"/>
  <c r="P104" i="13"/>
  <c r="Y109" i="13"/>
  <c r="Z109" i="13" s="1"/>
  <c r="AB109" i="13" s="1"/>
  <c r="X109" i="13"/>
  <c r="AC109" i="13"/>
  <c r="AN115" i="13"/>
  <c r="R115" i="13"/>
  <c r="T115" i="13" s="1"/>
  <c r="Q19" i="13"/>
  <c r="AN92" i="13"/>
  <c r="AZ97" i="13"/>
  <c r="Q103" i="13"/>
  <c r="R103" i="13" s="1"/>
  <c r="Z106" i="13"/>
  <c r="AB106" i="13" s="1"/>
  <c r="AQ106" i="13" s="1"/>
  <c r="AN109" i="13"/>
  <c r="AZ110" i="13"/>
  <c r="Q110" i="13"/>
  <c r="R110" i="13" s="1"/>
  <c r="AN89" i="13"/>
  <c r="Q73" i="13"/>
  <c r="U70" i="13"/>
  <c r="AZ70" i="13" s="1"/>
  <c r="P70" i="13"/>
  <c r="R70" i="13" s="1"/>
  <c r="T70" i="13" s="1"/>
  <c r="Y41" i="13"/>
  <c r="AC41" i="13"/>
  <c r="X41" i="13"/>
  <c r="P83" i="13"/>
  <c r="R83" i="13" s="1"/>
  <c r="T83" i="13" s="1"/>
  <c r="U83" i="13"/>
  <c r="AZ83" i="13" s="1"/>
  <c r="Q116" i="13"/>
  <c r="R116" i="13" s="1"/>
  <c r="X86" i="13"/>
  <c r="Y86" i="13"/>
  <c r="Y18" i="13"/>
  <c r="X18" i="13"/>
  <c r="AC18" i="13"/>
  <c r="P97" i="13"/>
  <c r="AN18" i="13"/>
  <c r="U118" i="13"/>
  <c r="AZ118" i="13" s="1"/>
  <c r="P118" i="13"/>
  <c r="Y28" i="13"/>
  <c r="Z28" i="13" s="1"/>
  <c r="AB28" i="13" s="1"/>
  <c r="AC28" i="13"/>
  <c r="AN76" i="13"/>
  <c r="AZ91" i="13"/>
  <c r="X96" i="13"/>
  <c r="X105" i="13"/>
  <c r="Y105" i="13"/>
  <c r="Z105" i="13" s="1"/>
  <c r="AB105" i="13" s="1"/>
  <c r="Y96" i="13"/>
  <c r="Q97" i="13"/>
  <c r="U107" i="13"/>
  <c r="P107" i="13"/>
  <c r="U44" i="13"/>
  <c r="AZ44" i="13" s="1"/>
  <c r="Y34" i="13"/>
  <c r="X34" i="13"/>
  <c r="Y22" i="13"/>
  <c r="U21" i="13"/>
  <c r="AZ21" i="13" s="1"/>
  <c r="AC16" i="13"/>
  <c r="Y82" i="13"/>
  <c r="X82" i="13"/>
  <c r="AC86" i="13"/>
  <c r="Q87" i="13"/>
  <c r="AN87" i="13"/>
  <c r="Q91" i="13"/>
  <c r="Q106" i="13"/>
  <c r="R106" i="13" s="1"/>
  <c r="AZ106" i="13"/>
  <c r="AN108" i="13"/>
  <c r="Z108" i="13"/>
  <c r="AB108" i="13" s="1"/>
  <c r="AN122" i="13"/>
  <c r="U103" i="13"/>
  <c r="AZ103" i="13" s="1"/>
  <c r="AC21" i="13"/>
  <c r="X21" i="13"/>
  <c r="Z21" i="13" s="1"/>
  <c r="AB21" i="13" s="1"/>
  <c r="Y50" i="13"/>
  <c r="X50" i="13"/>
  <c r="AC50" i="13"/>
  <c r="AN42" i="13"/>
  <c r="X22" i="13"/>
  <c r="Y16" i="13"/>
  <c r="Z16" i="13" s="1"/>
  <c r="AB16" i="13" s="1"/>
  <c r="AN84" i="13"/>
  <c r="P87" i="13"/>
  <c r="P106" i="13"/>
  <c r="Z113" i="13"/>
  <c r="AB113" i="13" s="1"/>
  <c r="Z77" i="13"/>
  <c r="AB77" i="13" s="1"/>
  <c r="AN70" i="13"/>
  <c r="AN23" i="13"/>
  <c r="Q79" i="13"/>
  <c r="AZ79" i="13"/>
  <c r="Y48" i="13"/>
  <c r="Z48" i="13" s="1"/>
  <c r="AB48" i="13" s="1"/>
  <c r="AC19" i="13"/>
  <c r="AN79" i="13"/>
  <c r="AC105" i="13"/>
  <c r="AN106" i="13"/>
  <c r="Z110" i="13"/>
  <c r="AB110" i="13" s="1"/>
  <c r="AN110" i="13"/>
  <c r="R114" i="13"/>
  <c r="AN114" i="13"/>
  <c r="P122" i="13"/>
  <c r="U122" i="13"/>
  <c r="AZ122" i="13" s="1"/>
  <c r="Y89" i="13"/>
  <c r="X89" i="13"/>
  <c r="Q77" i="13"/>
  <c r="U76" i="13"/>
  <c r="AZ76" i="13" s="1"/>
  <c r="P76" i="13"/>
  <c r="R76" i="13" s="1"/>
  <c r="P50" i="13"/>
  <c r="R50" i="13" s="1"/>
  <c r="AN47" i="13"/>
  <c r="U24" i="13"/>
  <c r="AZ24" i="13" s="1"/>
  <c r="P24" i="13"/>
  <c r="AN80" i="13"/>
  <c r="Q84" i="13"/>
  <c r="Q111" i="13"/>
  <c r="R111" i="13" s="1"/>
  <c r="Z117" i="13"/>
  <c r="AB117" i="13" s="1"/>
  <c r="AQ117" i="13" s="1"/>
  <c r="R117" i="13"/>
  <c r="Q122" i="13"/>
  <c r="R122" i="13" s="1"/>
  <c r="X78" i="13"/>
  <c r="Y78" i="13"/>
  <c r="P77" i="13"/>
  <c r="U77" i="13"/>
  <c r="AZ77" i="13" s="1"/>
  <c r="AN53" i="13"/>
  <c r="AZ50" i="13"/>
  <c r="Y19" i="13"/>
  <c r="Z19" i="13" s="1"/>
  <c r="AB19" i="13" s="1"/>
  <c r="AN81" i="13"/>
  <c r="AN93" i="13"/>
  <c r="Y122" i="13"/>
  <c r="Z122" i="13" s="1"/>
  <c r="AB122" i="13" s="1"/>
  <c r="X122" i="13"/>
  <c r="AC122" i="13"/>
  <c r="AN58" i="13"/>
  <c r="Y24" i="13"/>
  <c r="AN19" i="13"/>
  <c r="Q95" i="13"/>
  <c r="AN96" i="13"/>
  <c r="AN105" i="13"/>
  <c r="AN111" i="13"/>
  <c r="AN66" i="13"/>
  <c r="AN34" i="13"/>
  <c r="X24" i="13"/>
  <c r="AN88" i="13"/>
  <c r="AN102" i="13"/>
  <c r="R102" i="13"/>
  <c r="T102" i="13" s="1"/>
  <c r="AP102" i="13" s="1"/>
  <c r="Q104" i="13"/>
  <c r="R104" i="13" s="1"/>
  <c r="T104" i="13" s="1"/>
  <c r="AN121" i="13"/>
  <c r="Z99" i="13"/>
  <c r="AB99" i="13" s="1"/>
  <c r="AN83" i="13"/>
  <c r="Q90" i="13"/>
  <c r="Y95" i="13"/>
  <c r="X95" i="13"/>
  <c r="R101" i="13"/>
  <c r="T101" i="13" s="1"/>
  <c r="AP101" i="13" s="1"/>
  <c r="Y125" i="13"/>
  <c r="Z125" i="13" s="1"/>
  <c r="AB125" i="13" s="1"/>
  <c r="X120" i="13"/>
  <c r="R126" i="13"/>
  <c r="T126" i="13" s="1"/>
  <c r="AN126" i="13"/>
  <c r="Q109" i="13"/>
  <c r="R109" i="13" s="1"/>
  <c r="Y120" i="13"/>
  <c r="Z120" i="13" s="1"/>
  <c r="AB120" i="13" s="1"/>
  <c r="AQ120" i="13" s="1"/>
  <c r="AC125" i="13"/>
  <c r="Y126" i="13"/>
  <c r="Z126" i="13" s="1"/>
  <c r="AB126" i="13" s="1"/>
  <c r="AQ126" i="13" s="1"/>
  <c r="X126" i="13"/>
  <c r="U109" i="13"/>
  <c r="AZ109" i="13" s="1"/>
  <c r="AC113" i="13"/>
  <c r="P124" i="13"/>
  <c r="Y66" i="13"/>
  <c r="X66" i="13"/>
  <c r="U73" i="13"/>
  <c r="AZ73" i="13" s="1"/>
  <c r="P73" i="13"/>
  <c r="P71" i="13"/>
  <c r="U71" i="13"/>
  <c r="AZ71" i="13" s="1"/>
  <c r="U69" i="13"/>
  <c r="AZ69" i="13" s="1"/>
  <c r="P69" i="13"/>
  <c r="R69" i="13" s="1"/>
  <c r="AN39" i="13"/>
  <c r="AN31" i="13"/>
  <c r="P43" i="13"/>
  <c r="U43" i="13"/>
  <c r="AZ43" i="13" s="1"/>
  <c r="Q68" i="13"/>
  <c r="Y57" i="13"/>
  <c r="Z57" i="13" s="1"/>
  <c r="AB57" i="13" s="1"/>
  <c r="AC57" i="13"/>
  <c r="AC55" i="13"/>
  <c r="Y55" i="13"/>
  <c r="Z55" i="13" s="1"/>
  <c r="AB55" i="13" s="1"/>
  <c r="AC40" i="13"/>
  <c r="X40" i="13"/>
  <c r="Z40" i="13" s="1"/>
  <c r="AB40" i="13" s="1"/>
  <c r="AC53" i="13"/>
  <c r="X53" i="13"/>
  <c r="Z53" i="13" s="1"/>
  <c r="AB53" i="13" s="1"/>
  <c r="U40" i="13"/>
  <c r="AZ40" i="13" s="1"/>
  <c r="P40" i="13"/>
  <c r="P26" i="13"/>
  <c r="U26" i="13"/>
  <c r="AZ26" i="13" s="1"/>
  <c r="Y49" i="13"/>
  <c r="AC49" i="13"/>
  <c r="X49" i="13"/>
  <c r="AC36" i="13"/>
  <c r="X36" i="13"/>
  <c r="Y36" i="13"/>
  <c r="AN49" i="13"/>
  <c r="Q56" i="13"/>
  <c r="Q52" i="13"/>
  <c r="Q22" i="13"/>
  <c r="Y30" i="13"/>
  <c r="X30" i="13"/>
  <c r="AC30" i="13"/>
  <c r="Q24" i="13"/>
  <c r="Y76" i="13"/>
  <c r="Z76" i="13" s="1"/>
  <c r="AB76" i="13" s="1"/>
  <c r="AC76" i="13"/>
  <c r="Y71" i="13"/>
  <c r="AC71" i="13"/>
  <c r="Y17" i="13"/>
  <c r="AC17" i="13"/>
  <c r="X17" i="13"/>
  <c r="Q78" i="13"/>
  <c r="AZ78" i="13"/>
  <c r="U56" i="13"/>
  <c r="AZ56" i="13" s="1"/>
  <c r="P56" i="13"/>
  <c r="AZ51" i="13"/>
  <c r="AN57" i="13"/>
  <c r="AN52" i="13"/>
  <c r="X23" i="13"/>
  <c r="Y23" i="13"/>
  <c r="Q42" i="13"/>
  <c r="Q26" i="13"/>
  <c r="AN48" i="13"/>
  <c r="AN75" i="13"/>
  <c r="AC44" i="13"/>
  <c r="X44" i="13"/>
  <c r="Y44" i="13"/>
  <c r="P75" i="13"/>
  <c r="R75" i="13" s="1"/>
  <c r="T75" i="13" s="1"/>
  <c r="U75" i="13"/>
  <c r="AZ75" i="13" s="1"/>
  <c r="X71" i="13"/>
  <c r="Q23" i="13"/>
  <c r="AN74" i="13"/>
  <c r="Y72" i="13"/>
  <c r="Z72" i="13" s="1"/>
  <c r="AB72" i="13" s="1"/>
  <c r="AC72" i="13"/>
  <c r="Y68" i="13"/>
  <c r="AC66" i="13"/>
  <c r="AN41" i="13"/>
  <c r="Y25" i="13"/>
  <c r="Z25" i="13" s="1"/>
  <c r="AB25" i="13" s="1"/>
  <c r="AC25" i="13"/>
  <c r="Q44" i="13"/>
  <c r="Y42" i="13"/>
  <c r="X42" i="13"/>
  <c r="AC42" i="13"/>
  <c r="AN29" i="13"/>
  <c r="AN73" i="13"/>
  <c r="Y58" i="13"/>
  <c r="X58" i="13"/>
  <c r="AZ55" i="13"/>
  <c r="AN37" i="13"/>
  <c r="AZ36" i="13"/>
  <c r="Q36" i="13"/>
  <c r="Q35" i="13"/>
  <c r="Q28" i="13"/>
  <c r="AN26" i="13"/>
  <c r="AN51" i="13"/>
  <c r="Q25" i="13"/>
  <c r="AZ25" i="13"/>
  <c r="Q71" i="13"/>
  <c r="Q43" i="13"/>
  <c r="P22" i="13"/>
  <c r="U22" i="13"/>
  <c r="AZ22" i="13" s="1"/>
  <c r="Y31" i="13"/>
  <c r="Z31" i="13" s="1"/>
  <c r="AB31" i="13" s="1"/>
  <c r="AC31" i="13"/>
  <c r="AN22" i="13"/>
  <c r="AN50" i="13"/>
  <c r="Q39" i="13"/>
  <c r="X29" i="13"/>
  <c r="Y29" i="13"/>
  <c r="AC29" i="13"/>
  <c r="X69" i="13"/>
  <c r="Y69" i="13"/>
  <c r="AN67" i="13"/>
  <c r="Q57" i="13"/>
  <c r="AN54" i="13"/>
  <c r="P41" i="13"/>
  <c r="U41" i="13"/>
  <c r="AZ41" i="13" s="1"/>
  <c r="U39" i="13"/>
  <c r="AZ39" i="13" s="1"/>
  <c r="P39" i="13"/>
  <c r="AN71" i="13"/>
  <c r="P54" i="13"/>
  <c r="R54" i="13" s="1"/>
  <c r="U54" i="13"/>
  <c r="AZ54" i="13" s="1"/>
  <c r="AN33" i="13"/>
  <c r="Q41" i="13"/>
  <c r="Q40" i="13"/>
  <c r="U31" i="13"/>
  <c r="AZ31" i="13" s="1"/>
  <c r="P31" i="13"/>
  <c r="R31" i="13" s="1"/>
  <c r="U17" i="13"/>
  <c r="AZ17" i="13" s="1"/>
  <c r="AN16" i="13"/>
  <c r="Y26" i="13"/>
  <c r="X26" i="13"/>
  <c r="Y33" i="13"/>
  <c r="Z33" i="13" s="1"/>
  <c r="AB33" i="13" s="1"/>
  <c r="AC33" i="13"/>
  <c r="AN25" i="13"/>
  <c r="U47" i="13"/>
  <c r="AZ47" i="13" s="1"/>
  <c r="P47" i="13"/>
  <c r="R47" i="13" s="1"/>
  <c r="Q30" i="13"/>
  <c r="Q66" i="13"/>
  <c r="AN32" i="13"/>
  <c r="AN17" i="13"/>
  <c r="AN56" i="13"/>
  <c r="AN40" i="13"/>
  <c r="AN24" i="13"/>
  <c r="Z20" i="11"/>
  <c r="L44" i="29"/>
  <c r="H44" i="29"/>
  <c r="H36" i="29"/>
  <c r="L36" i="29"/>
  <c r="K92" i="9"/>
  <c r="I41" i="29" s="1"/>
  <c r="K80" i="9"/>
  <c r="I26" i="29" s="1"/>
  <c r="I36" i="29" s="1"/>
  <c r="I81" i="9"/>
  <c r="G27" i="29" s="1"/>
  <c r="I86" i="9"/>
  <c r="G32" i="29" s="1"/>
  <c r="I83" i="9"/>
  <c r="G29" i="29" s="1"/>
  <c r="I77" i="9"/>
  <c r="G23" i="29" s="1"/>
  <c r="I79" i="9"/>
  <c r="G25" i="29" s="1"/>
  <c r="I78" i="9"/>
  <c r="G24" i="29" s="1"/>
  <c r="I88" i="9"/>
  <c r="G34" i="29" s="1"/>
  <c r="I80" i="9"/>
  <c r="G26" i="29" s="1"/>
  <c r="I82" i="9"/>
  <c r="G28" i="29" s="1"/>
  <c r="I84" i="9"/>
  <c r="G30" i="29" s="1"/>
  <c r="I85" i="9"/>
  <c r="G31" i="29" s="1"/>
  <c r="I72" i="9"/>
  <c r="G15" i="29" s="1"/>
  <c r="J67" i="9"/>
  <c r="H10" i="29" s="1"/>
  <c r="I68" i="9"/>
  <c r="G11" i="29" s="1"/>
  <c r="I73" i="9"/>
  <c r="G16" i="29" s="1"/>
  <c r="J69" i="9"/>
  <c r="H12" i="29" s="1"/>
  <c r="I70" i="9"/>
  <c r="G13" i="29" s="1"/>
  <c r="Z19" i="11"/>
  <c r="Y19" i="11"/>
  <c r="S103" i="14"/>
  <c r="Z103" i="14" s="1"/>
  <c r="I76" i="9"/>
  <c r="G22" i="29" s="1"/>
  <c r="K93" i="9"/>
  <c r="I42" i="29" s="1"/>
  <c r="I92" i="9"/>
  <c r="G41" i="29" s="1"/>
  <c r="I91" i="9"/>
  <c r="G40" i="29" s="1"/>
  <c r="AC90" i="14"/>
  <c r="AC89" i="14"/>
  <c r="AC88" i="14"/>
  <c r="AC87" i="14"/>
  <c r="AC86" i="14"/>
  <c r="AC83" i="14"/>
  <c r="AC82" i="14"/>
  <c r="AC81" i="14"/>
  <c r="AC80" i="14"/>
  <c r="AC78" i="14"/>
  <c r="AC77" i="14"/>
  <c r="AC76" i="14"/>
  <c r="O90" i="14"/>
  <c r="Q90" i="14" s="1"/>
  <c r="T90" i="14" s="1"/>
  <c r="O89" i="14"/>
  <c r="Q89" i="14" s="1"/>
  <c r="T89" i="14" s="1"/>
  <c r="O88" i="14"/>
  <c r="Q88" i="14" s="1"/>
  <c r="T88" i="14" s="1"/>
  <c r="O87" i="14"/>
  <c r="Q87" i="14" s="1"/>
  <c r="T87" i="14" s="1"/>
  <c r="O86" i="14"/>
  <c r="Q86" i="14" s="1"/>
  <c r="T86" i="14" s="1"/>
  <c r="O83" i="14"/>
  <c r="Q83" i="14" s="1"/>
  <c r="T83" i="14" s="1"/>
  <c r="O82" i="14"/>
  <c r="Q82" i="14" s="1"/>
  <c r="T82" i="14" s="1"/>
  <c r="O81" i="14"/>
  <c r="Q81" i="14" s="1"/>
  <c r="T81" i="14" s="1"/>
  <c r="O80" i="14"/>
  <c r="Q80" i="14" s="1"/>
  <c r="T80" i="14" s="1"/>
  <c r="O78" i="14"/>
  <c r="Q78" i="14" s="1"/>
  <c r="T78" i="14" s="1"/>
  <c r="O77" i="14"/>
  <c r="O76" i="14"/>
  <c r="AC62" i="14"/>
  <c r="AC59" i="14"/>
  <c r="AC58" i="14"/>
  <c r="AC57" i="14"/>
  <c r="AC56" i="14"/>
  <c r="AC55" i="14"/>
  <c r="AC49" i="14"/>
  <c r="AC48" i="14"/>
  <c r="AC47" i="14"/>
  <c r="AC46" i="14"/>
  <c r="AC45" i="14"/>
  <c r="AC44" i="14"/>
  <c r="AC41" i="14"/>
  <c r="Q58" i="14"/>
  <c r="T58" i="14" s="1"/>
  <c r="O57" i="14"/>
  <c r="Q57" i="14" s="1"/>
  <c r="T57" i="14" s="1"/>
  <c r="Q55" i="14"/>
  <c r="T55" i="14" s="1"/>
  <c r="O48" i="14"/>
  <c r="Q48" i="14" s="1"/>
  <c r="T48" i="14" s="1"/>
  <c r="Q47" i="14"/>
  <c r="T47" i="14" s="1"/>
  <c r="Q46" i="14"/>
  <c r="T46" i="14" s="1"/>
  <c r="Q45" i="14"/>
  <c r="T45" i="14" s="1"/>
  <c r="Q44" i="14"/>
  <c r="Q41" i="14"/>
  <c r="S41" i="14" s="1"/>
  <c r="AC25" i="14"/>
  <c r="AC22" i="14"/>
  <c r="AC21" i="14"/>
  <c r="AC18" i="14"/>
  <c r="AC17" i="14"/>
  <c r="AC16" i="14"/>
  <c r="AC12" i="14"/>
  <c r="AC11" i="14"/>
  <c r="AC10" i="14"/>
  <c r="AC9" i="14"/>
  <c r="Q25" i="14"/>
  <c r="T25" i="14" s="1"/>
  <c r="O22" i="14"/>
  <c r="Q22" i="14" s="1"/>
  <c r="T22" i="14" s="1"/>
  <c r="O21" i="14"/>
  <c r="Q21" i="14" s="1"/>
  <c r="T21" i="14" s="1"/>
  <c r="X120" i="14"/>
  <c r="X119" i="14"/>
  <c r="X118" i="14"/>
  <c r="X117" i="14"/>
  <c r="X116" i="14"/>
  <c r="X115" i="14"/>
  <c r="X114" i="14"/>
  <c r="X108" i="14"/>
  <c r="X107" i="14"/>
  <c r="X104" i="14"/>
  <c r="X102" i="14"/>
  <c r="X101" i="14"/>
  <c r="X100" i="14"/>
  <c r="X99" i="14"/>
  <c r="X98" i="14"/>
  <c r="X97" i="14"/>
  <c r="X96" i="14"/>
  <c r="X95" i="14"/>
  <c r="X94" i="14"/>
  <c r="X93" i="14"/>
  <c r="X92" i="14"/>
  <c r="X91" i="14"/>
  <c r="X90" i="14"/>
  <c r="X89" i="14"/>
  <c r="X88" i="14"/>
  <c r="X87" i="14"/>
  <c r="X86" i="14"/>
  <c r="X85" i="14"/>
  <c r="X84" i="14"/>
  <c r="X83" i="14"/>
  <c r="X82" i="14"/>
  <c r="X81" i="14"/>
  <c r="X80" i="14"/>
  <c r="X79" i="14"/>
  <c r="X78" i="14"/>
  <c r="X77" i="14"/>
  <c r="X76" i="14"/>
  <c r="X70" i="14"/>
  <c r="X69" i="14"/>
  <c r="X63" i="14"/>
  <c r="X62" i="14"/>
  <c r="X61" i="14"/>
  <c r="X60" i="14"/>
  <c r="X59" i="14"/>
  <c r="X58" i="14"/>
  <c r="X57" i="14"/>
  <c r="X56" i="14"/>
  <c r="X55" i="14"/>
  <c r="X54" i="14"/>
  <c r="X53" i="14"/>
  <c r="X52" i="14"/>
  <c r="X51" i="14"/>
  <c r="X50" i="14"/>
  <c r="X49" i="14"/>
  <c r="X48" i="14"/>
  <c r="X47" i="14"/>
  <c r="X46" i="14"/>
  <c r="X45" i="14"/>
  <c r="X44" i="14"/>
  <c r="X43" i="14"/>
  <c r="X42" i="14"/>
  <c r="X41" i="14"/>
  <c r="X35" i="14"/>
  <c r="X34" i="14"/>
  <c r="X33" i="14"/>
  <c r="X29" i="14"/>
  <c r="X28" i="14"/>
  <c r="X27" i="14"/>
  <c r="X26" i="14"/>
  <c r="X25" i="14"/>
  <c r="X24" i="14"/>
  <c r="X23" i="14"/>
  <c r="X22" i="14"/>
  <c r="X21" i="14"/>
  <c r="X20" i="14"/>
  <c r="X19" i="14"/>
  <c r="X17" i="14"/>
  <c r="X16" i="14"/>
  <c r="X15" i="14"/>
  <c r="X14" i="14"/>
  <c r="X13" i="14"/>
  <c r="X12" i="14"/>
  <c r="X11" i="14"/>
  <c r="X10" i="14"/>
  <c r="X9" i="14"/>
  <c r="X8" i="14"/>
  <c r="O18" i="14"/>
  <c r="Y102" i="14"/>
  <c r="W102" i="14"/>
  <c r="V102" i="14"/>
  <c r="U102" i="14"/>
  <c r="Q102" i="14"/>
  <c r="T102" i="14" s="1"/>
  <c r="M134" i="14"/>
  <c r="M133" i="14"/>
  <c r="Y101" i="14"/>
  <c r="W101" i="14"/>
  <c r="V101" i="14"/>
  <c r="U101" i="14"/>
  <c r="Q101" i="14"/>
  <c r="T101" i="14" s="1"/>
  <c r="Y100" i="14"/>
  <c r="W100" i="14"/>
  <c r="V100" i="14"/>
  <c r="U100" i="14"/>
  <c r="S100" i="14"/>
  <c r="Q100" i="14"/>
  <c r="T100" i="14" s="1"/>
  <c r="Y99" i="14"/>
  <c r="W99" i="14"/>
  <c r="V99" i="14"/>
  <c r="U99" i="14"/>
  <c r="S99" i="14"/>
  <c r="Q99" i="14"/>
  <c r="T99" i="14" s="1"/>
  <c r="Y98" i="14"/>
  <c r="W98" i="14"/>
  <c r="V98" i="14"/>
  <c r="U98" i="14"/>
  <c r="S98" i="14"/>
  <c r="Q98" i="14"/>
  <c r="T98" i="14" s="1"/>
  <c r="Y97" i="14"/>
  <c r="W97" i="14"/>
  <c r="V97" i="14"/>
  <c r="U97" i="14"/>
  <c r="S97" i="14"/>
  <c r="Q97" i="14"/>
  <c r="T97" i="14" s="1"/>
  <c r="Y96" i="14"/>
  <c r="W96" i="14"/>
  <c r="V96" i="14"/>
  <c r="U96" i="14"/>
  <c r="S96" i="14"/>
  <c r="Q96" i="14"/>
  <c r="T96" i="14" s="1"/>
  <c r="Y95" i="14"/>
  <c r="W95" i="14"/>
  <c r="V95" i="14"/>
  <c r="U95" i="14"/>
  <c r="S95" i="14"/>
  <c r="Q95" i="14"/>
  <c r="T95" i="14" s="1"/>
  <c r="Y94" i="14"/>
  <c r="W94" i="14"/>
  <c r="V94" i="14"/>
  <c r="U94" i="14"/>
  <c r="S94" i="14"/>
  <c r="Q94" i="14"/>
  <c r="T94" i="14" s="1"/>
  <c r="Y93" i="14"/>
  <c r="W93" i="14"/>
  <c r="V93" i="14"/>
  <c r="U93" i="14"/>
  <c r="S93" i="14"/>
  <c r="Q93" i="14"/>
  <c r="T93" i="14" s="1"/>
  <c r="Y92" i="14"/>
  <c r="W92" i="14"/>
  <c r="V92" i="14"/>
  <c r="U92" i="14"/>
  <c r="S92" i="14"/>
  <c r="Q92" i="14"/>
  <c r="T92" i="14" s="1"/>
  <c r="Y91" i="14"/>
  <c r="W91" i="14"/>
  <c r="V91" i="14"/>
  <c r="U91" i="14"/>
  <c r="S91" i="14"/>
  <c r="Q91" i="14"/>
  <c r="T91" i="14" s="1"/>
  <c r="Y90" i="14"/>
  <c r="W90" i="14"/>
  <c r="V90" i="14"/>
  <c r="U90" i="14"/>
  <c r="Y89" i="14"/>
  <c r="W89" i="14"/>
  <c r="V89" i="14"/>
  <c r="U89" i="14"/>
  <c r="W63" i="14"/>
  <c r="V63" i="14"/>
  <c r="U63" i="14"/>
  <c r="Q63" i="14"/>
  <c r="T63" i="14" s="1"/>
  <c r="W62" i="14"/>
  <c r="V62" i="14"/>
  <c r="U62" i="14"/>
  <c r="S62" i="14"/>
  <c r="Q62" i="14"/>
  <c r="T62" i="14" s="1"/>
  <c r="W61" i="14"/>
  <c r="V61" i="14"/>
  <c r="U61" i="14"/>
  <c r="Q61" i="14"/>
  <c r="T61" i="14" s="1"/>
  <c r="W60" i="14"/>
  <c r="V60" i="14"/>
  <c r="U60" i="14"/>
  <c r="Q60" i="14"/>
  <c r="T60" i="14" s="1"/>
  <c r="W59" i="14"/>
  <c r="V59" i="14"/>
  <c r="U59" i="14"/>
  <c r="Q59" i="14"/>
  <c r="T59" i="14" s="1"/>
  <c r="W58" i="14"/>
  <c r="V58" i="14"/>
  <c r="U58" i="14"/>
  <c r="S58" i="14"/>
  <c r="W57" i="14"/>
  <c r="V57" i="14"/>
  <c r="U57" i="14"/>
  <c r="S57" i="14"/>
  <c r="W56" i="14"/>
  <c r="V56" i="14"/>
  <c r="U56" i="14"/>
  <c r="Q56" i="14"/>
  <c r="T56" i="14" s="1"/>
  <c r="W55" i="14"/>
  <c r="V55" i="14"/>
  <c r="U55" i="14"/>
  <c r="S55" i="14"/>
  <c r="W54" i="14"/>
  <c r="V54" i="14"/>
  <c r="U54" i="14"/>
  <c r="S54" i="14"/>
  <c r="Q54" i="14"/>
  <c r="T54" i="14" s="1"/>
  <c r="W29" i="14"/>
  <c r="V29" i="14"/>
  <c r="U29" i="14"/>
  <c r="S29" i="14"/>
  <c r="Q29" i="14"/>
  <c r="T29" i="14" s="1"/>
  <c r="W28" i="14"/>
  <c r="V28" i="14"/>
  <c r="U28" i="14"/>
  <c r="S28" i="14"/>
  <c r="Q28" i="14"/>
  <c r="T28" i="14" s="1"/>
  <c r="W27" i="14"/>
  <c r="V27" i="14"/>
  <c r="U27" i="14"/>
  <c r="S27" i="14"/>
  <c r="Q27" i="14"/>
  <c r="T27" i="14" s="1"/>
  <c r="W26" i="14"/>
  <c r="V26" i="14"/>
  <c r="U26" i="14"/>
  <c r="S26" i="14"/>
  <c r="Q26" i="14"/>
  <c r="T26" i="14" s="1"/>
  <c r="W25" i="14"/>
  <c r="V25" i="14"/>
  <c r="U25" i="14"/>
  <c r="W24" i="14"/>
  <c r="V24" i="14"/>
  <c r="U24" i="14"/>
  <c r="S24" i="14"/>
  <c r="Q24" i="14"/>
  <c r="T24" i="14" s="1"/>
  <c r="W23" i="14"/>
  <c r="V23" i="14"/>
  <c r="U23" i="14"/>
  <c r="S23" i="14"/>
  <c r="Q23" i="14"/>
  <c r="T23" i="14" s="1"/>
  <c r="W22" i="14"/>
  <c r="V22" i="14"/>
  <c r="U22" i="14"/>
  <c r="W21" i="14"/>
  <c r="V21" i="14"/>
  <c r="U21" i="14"/>
  <c r="AA121" i="14"/>
  <c r="K134" i="14" s="1"/>
  <c r="R121" i="14"/>
  <c r="M121" i="14"/>
  <c r="K121" i="14"/>
  <c r="F121" i="14"/>
  <c r="Y120" i="14"/>
  <c r="W120" i="14"/>
  <c r="V120" i="14"/>
  <c r="U120" i="14"/>
  <c r="T120" i="14"/>
  <c r="S120" i="14"/>
  <c r="Q120" i="14"/>
  <c r="Y119" i="14"/>
  <c r="W119" i="14"/>
  <c r="V119" i="14"/>
  <c r="U119" i="14"/>
  <c r="T119" i="14"/>
  <c r="S119" i="14"/>
  <c r="Q119" i="14"/>
  <c r="Y118" i="14"/>
  <c r="W118" i="14"/>
  <c r="V118" i="14"/>
  <c r="U118" i="14"/>
  <c r="T118" i="14"/>
  <c r="S118" i="14"/>
  <c r="Q118" i="14"/>
  <c r="AC121" i="14"/>
  <c r="L134" i="14" s="1"/>
  <c r="Y117" i="14"/>
  <c r="W117" i="14"/>
  <c r="V117" i="14"/>
  <c r="U117" i="14"/>
  <c r="Q117" i="14"/>
  <c r="T117" i="14" s="1"/>
  <c r="Y116" i="14"/>
  <c r="W116" i="14"/>
  <c r="V116" i="14"/>
  <c r="U116" i="14"/>
  <c r="Q116" i="14"/>
  <c r="T116" i="14" s="1"/>
  <c r="Y115" i="14"/>
  <c r="W115" i="14"/>
  <c r="V115" i="14"/>
  <c r="U115" i="14"/>
  <c r="Q115" i="14"/>
  <c r="T115" i="14" s="1"/>
  <c r="Y114" i="14"/>
  <c r="W114" i="14"/>
  <c r="V114" i="14"/>
  <c r="U114" i="14"/>
  <c r="Q114" i="14"/>
  <c r="S114" i="14" s="1"/>
  <c r="AA109" i="14"/>
  <c r="K133" i="14" s="1"/>
  <c r="R109" i="14"/>
  <c r="M109" i="14"/>
  <c r="K109" i="14"/>
  <c r="F109" i="14"/>
  <c r="Y108" i="14"/>
  <c r="W108" i="14"/>
  <c r="V108" i="14"/>
  <c r="U108" i="14"/>
  <c r="T108" i="14"/>
  <c r="S108" i="14"/>
  <c r="Q108" i="14"/>
  <c r="Y107" i="14"/>
  <c r="W107" i="14"/>
  <c r="V107" i="14"/>
  <c r="U107" i="14"/>
  <c r="T107" i="14"/>
  <c r="S107" i="14"/>
  <c r="Q107" i="14"/>
  <c r="Y104" i="14"/>
  <c r="W104" i="14"/>
  <c r="V104" i="14"/>
  <c r="U104" i="14"/>
  <c r="T104" i="14"/>
  <c r="S104" i="14"/>
  <c r="Q104" i="14"/>
  <c r="Y88" i="14"/>
  <c r="W88" i="14"/>
  <c r="V88" i="14"/>
  <c r="U88" i="14"/>
  <c r="S88" i="14"/>
  <c r="Y87" i="14"/>
  <c r="W87" i="14"/>
  <c r="V87" i="14"/>
  <c r="U87" i="14"/>
  <c r="Y86" i="14"/>
  <c r="W86" i="14"/>
  <c r="V86" i="14"/>
  <c r="U86" i="14"/>
  <c r="Y85" i="14"/>
  <c r="W85" i="14"/>
  <c r="V85" i="14"/>
  <c r="U85" i="14"/>
  <c r="S85" i="14"/>
  <c r="Q85" i="14"/>
  <c r="T85" i="14" s="1"/>
  <c r="Y84" i="14"/>
  <c r="W84" i="14"/>
  <c r="V84" i="14"/>
  <c r="U84" i="14"/>
  <c r="S84" i="14"/>
  <c r="Y83" i="14"/>
  <c r="W83" i="14"/>
  <c r="V83" i="14"/>
  <c r="U83" i="14"/>
  <c r="Y82" i="14"/>
  <c r="W82" i="14"/>
  <c r="V82" i="14"/>
  <c r="U82" i="14"/>
  <c r="Y81" i="14"/>
  <c r="W81" i="14"/>
  <c r="V81" i="14"/>
  <c r="U81" i="14"/>
  <c r="Y80" i="14"/>
  <c r="W80" i="14"/>
  <c r="V80" i="14"/>
  <c r="U80" i="14"/>
  <c r="Y79" i="14"/>
  <c r="W79" i="14"/>
  <c r="V79" i="14"/>
  <c r="U79" i="14"/>
  <c r="Q79" i="14"/>
  <c r="T79" i="14" s="1"/>
  <c r="Y78" i="14"/>
  <c r="W78" i="14"/>
  <c r="V78" i="14"/>
  <c r="U78" i="14"/>
  <c r="S78" i="14"/>
  <c r="Y77" i="14"/>
  <c r="W77" i="14"/>
  <c r="V77" i="14"/>
  <c r="U77" i="14"/>
  <c r="Q77" i="14"/>
  <c r="T77" i="14" s="1"/>
  <c r="Y76" i="14"/>
  <c r="W76" i="14"/>
  <c r="V76" i="14"/>
  <c r="U76" i="14"/>
  <c r="Q76" i="14"/>
  <c r="S76" i="14" s="1"/>
  <c r="AA71" i="14"/>
  <c r="K132" i="14" s="1"/>
  <c r="R71" i="14"/>
  <c r="M71" i="14"/>
  <c r="K71" i="14"/>
  <c r="F71" i="14"/>
  <c r="W70" i="14"/>
  <c r="V70" i="14"/>
  <c r="U70" i="14"/>
  <c r="T70" i="14"/>
  <c r="S70" i="14"/>
  <c r="Q70" i="14"/>
  <c r="W69" i="14"/>
  <c r="V69" i="14"/>
  <c r="U69" i="14"/>
  <c r="T69" i="14"/>
  <c r="S69" i="14"/>
  <c r="Q69" i="14"/>
  <c r="W53" i="14"/>
  <c r="V53" i="14"/>
  <c r="U53" i="14"/>
  <c r="S53" i="14"/>
  <c r="Q53" i="14"/>
  <c r="T53" i="14" s="1"/>
  <c r="W52" i="14"/>
  <c r="V52" i="14"/>
  <c r="U52" i="14"/>
  <c r="Q52" i="14"/>
  <c r="T52" i="14" s="1"/>
  <c r="W51" i="14"/>
  <c r="V51" i="14"/>
  <c r="U51" i="14"/>
  <c r="S51" i="14"/>
  <c r="Q51" i="14"/>
  <c r="T51" i="14" s="1"/>
  <c r="W50" i="14"/>
  <c r="V50" i="14"/>
  <c r="U50" i="14"/>
  <c r="Q50" i="14"/>
  <c r="T50" i="14" s="1"/>
  <c r="W49" i="14"/>
  <c r="V49" i="14"/>
  <c r="U49" i="14"/>
  <c r="W48" i="14"/>
  <c r="V48" i="14"/>
  <c r="U48" i="14"/>
  <c r="W47" i="14"/>
  <c r="V47" i="14"/>
  <c r="U47" i="14"/>
  <c r="W46" i="14"/>
  <c r="V46" i="14"/>
  <c r="U46" i="14"/>
  <c r="S46" i="14"/>
  <c r="W45" i="14"/>
  <c r="V45" i="14"/>
  <c r="U45" i="14"/>
  <c r="S45" i="14"/>
  <c r="W44" i="14"/>
  <c r="V44" i="14"/>
  <c r="U44" i="14"/>
  <c r="W43" i="14"/>
  <c r="V43" i="14"/>
  <c r="U43" i="14"/>
  <c r="Q43" i="14"/>
  <c r="T43" i="14" s="1"/>
  <c r="W42" i="14"/>
  <c r="V42" i="14"/>
  <c r="U42" i="14"/>
  <c r="Q42" i="14"/>
  <c r="T42" i="14" s="1"/>
  <c r="W41" i="14"/>
  <c r="V41" i="14"/>
  <c r="U41" i="14"/>
  <c r="C301" i="4"/>
  <c r="C284" i="4"/>
  <c r="K118" i="4"/>
  <c r="H118" i="4"/>
  <c r="C118" i="4"/>
  <c r="F118" i="4" s="1"/>
  <c r="J118" i="4" s="1"/>
  <c r="K117" i="4"/>
  <c r="H117" i="4"/>
  <c r="C117" i="4"/>
  <c r="F117" i="4" s="1"/>
  <c r="J117" i="4" s="1"/>
  <c r="K116" i="4"/>
  <c r="H116" i="4"/>
  <c r="C116" i="4"/>
  <c r="F116" i="4" s="1"/>
  <c r="K115" i="4"/>
  <c r="H115" i="4"/>
  <c r="C115" i="4"/>
  <c r="F115" i="4" s="1"/>
  <c r="K114" i="4"/>
  <c r="H114" i="4"/>
  <c r="C114" i="4"/>
  <c r="F114" i="4" s="1"/>
  <c r="K113" i="4"/>
  <c r="H113" i="4"/>
  <c r="C113" i="4"/>
  <c r="D113" i="4" s="1"/>
  <c r="K112" i="4"/>
  <c r="H112" i="4"/>
  <c r="C112" i="4"/>
  <c r="F112" i="4" s="1"/>
  <c r="K111" i="4"/>
  <c r="H111" i="4"/>
  <c r="C111" i="4"/>
  <c r="K110" i="4"/>
  <c r="H110" i="4"/>
  <c r="C110" i="4"/>
  <c r="F110" i="4" s="1"/>
  <c r="K109" i="4"/>
  <c r="H109" i="4"/>
  <c r="C109" i="4"/>
  <c r="D109" i="4" s="1"/>
  <c r="K108" i="4"/>
  <c r="H108" i="4"/>
  <c r="C108" i="4"/>
  <c r="D108" i="4" s="1"/>
  <c r="K107" i="4"/>
  <c r="H107" i="4"/>
  <c r="C107" i="4"/>
  <c r="F107" i="4" s="1"/>
  <c r="K106" i="4"/>
  <c r="H106" i="4"/>
  <c r="C106" i="4"/>
  <c r="F106" i="4" s="1"/>
  <c r="K105" i="4"/>
  <c r="H105" i="4"/>
  <c r="C105" i="4"/>
  <c r="D105" i="4" s="1"/>
  <c r="K104" i="4"/>
  <c r="H104" i="4"/>
  <c r="C104" i="4"/>
  <c r="D104" i="4" s="1"/>
  <c r="K103" i="4"/>
  <c r="H103" i="4"/>
  <c r="C103" i="4"/>
  <c r="F103" i="4" s="1"/>
  <c r="J103" i="4" s="1"/>
  <c r="K102" i="4"/>
  <c r="H102" i="4"/>
  <c r="C102" i="4"/>
  <c r="F102" i="4" s="1"/>
  <c r="J102" i="4" s="1"/>
  <c r="B102" i="4"/>
  <c r="A102" i="4"/>
  <c r="K151" i="4"/>
  <c r="H151" i="4"/>
  <c r="C151" i="4"/>
  <c r="D151" i="4" s="1"/>
  <c r="K150" i="4"/>
  <c r="H150" i="4"/>
  <c r="C150" i="4"/>
  <c r="D150" i="4" s="1"/>
  <c r="K149" i="4"/>
  <c r="H149" i="4"/>
  <c r="C149" i="4"/>
  <c r="F149" i="4" s="1"/>
  <c r="J149" i="4" s="1"/>
  <c r="K148" i="4"/>
  <c r="H148" i="4"/>
  <c r="C148" i="4"/>
  <c r="F148" i="4" s="1"/>
  <c r="K147" i="4"/>
  <c r="H147" i="4"/>
  <c r="C147" i="4"/>
  <c r="F147" i="4" s="1"/>
  <c r="J147" i="4" s="1"/>
  <c r="K146" i="4"/>
  <c r="H146" i="4"/>
  <c r="C146" i="4"/>
  <c r="D146" i="4" s="1"/>
  <c r="K145" i="4"/>
  <c r="H145" i="4"/>
  <c r="C145" i="4"/>
  <c r="F145" i="4" s="1"/>
  <c r="K144" i="4"/>
  <c r="H144" i="4"/>
  <c r="C144" i="4"/>
  <c r="D144" i="4" s="1"/>
  <c r="K143" i="4"/>
  <c r="H143" i="4"/>
  <c r="C143" i="4"/>
  <c r="K142" i="4"/>
  <c r="H142" i="4"/>
  <c r="C142" i="4"/>
  <c r="D142" i="4" s="1"/>
  <c r="K141" i="4"/>
  <c r="H141" i="4"/>
  <c r="C141" i="4"/>
  <c r="F141" i="4" s="1"/>
  <c r="J141" i="4" s="1"/>
  <c r="K140" i="4"/>
  <c r="H140" i="4"/>
  <c r="C140" i="4"/>
  <c r="D140" i="4" s="1"/>
  <c r="K139" i="4"/>
  <c r="H139" i="4"/>
  <c r="C139" i="4"/>
  <c r="F139" i="4" s="1"/>
  <c r="J139" i="4" s="1"/>
  <c r="K138" i="4"/>
  <c r="H138" i="4"/>
  <c r="C138" i="4"/>
  <c r="D138" i="4" s="1"/>
  <c r="K137" i="4"/>
  <c r="H137" i="4"/>
  <c r="C137" i="4"/>
  <c r="F137" i="4" s="1"/>
  <c r="K136" i="4"/>
  <c r="H136" i="4"/>
  <c r="C136" i="4"/>
  <c r="D136" i="4" s="1"/>
  <c r="K135" i="4"/>
  <c r="H135" i="4"/>
  <c r="C135" i="4"/>
  <c r="D135" i="4" s="1"/>
  <c r="K134" i="4"/>
  <c r="H134" i="4"/>
  <c r="C134" i="4"/>
  <c r="D134" i="4" s="1"/>
  <c r="K133" i="4"/>
  <c r="H133" i="4"/>
  <c r="C133" i="4"/>
  <c r="F133" i="4" s="1"/>
  <c r="J133" i="4" s="1"/>
  <c r="K132" i="4"/>
  <c r="H132" i="4"/>
  <c r="C132" i="4"/>
  <c r="F132" i="4" s="1"/>
  <c r="K131" i="4"/>
  <c r="H131" i="4"/>
  <c r="C131" i="4"/>
  <c r="F131" i="4" s="1"/>
  <c r="J131" i="4" s="1"/>
  <c r="K130" i="4"/>
  <c r="H130" i="4"/>
  <c r="C130" i="4"/>
  <c r="D130" i="4" s="1"/>
  <c r="K129" i="4"/>
  <c r="H129" i="4"/>
  <c r="C129" i="4"/>
  <c r="F129" i="4" s="1"/>
  <c r="K128" i="4"/>
  <c r="H128" i="4"/>
  <c r="C128" i="4"/>
  <c r="D128" i="4" s="1"/>
  <c r="K127" i="4"/>
  <c r="H127" i="4"/>
  <c r="C127" i="4"/>
  <c r="D127" i="4" s="1"/>
  <c r="K126" i="4"/>
  <c r="H126" i="4"/>
  <c r="C126" i="4"/>
  <c r="F126" i="4" s="1"/>
  <c r="J126" i="4" s="1"/>
  <c r="K125" i="4"/>
  <c r="H125" i="4"/>
  <c r="C125" i="4"/>
  <c r="F125" i="4" s="1"/>
  <c r="J125" i="4" s="1"/>
  <c r="K124" i="4"/>
  <c r="H124" i="4"/>
  <c r="C124" i="4"/>
  <c r="D124" i="4" s="1"/>
  <c r="K123" i="4"/>
  <c r="H123" i="4"/>
  <c r="C123" i="4"/>
  <c r="F123" i="4" s="1"/>
  <c r="J123" i="4" s="1"/>
  <c r="K122" i="4"/>
  <c r="H122" i="4"/>
  <c r="C122" i="4"/>
  <c r="D122" i="4" s="1"/>
  <c r="K121" i="4"/>
  <c r="H121" i="4"/>
  <c r="C121" i="4"/>
  <c r="F121" i="4" s="1"/>
  <c r="K120" i="4"/>
  <c r="H120" i="4"/>
  <c r="C120" i="4"/>
  <c r="D120" i="4" s="1"/>
  <c r="K119" i="4"/>
  <c r="H119" i="4"/>
  <c r="C119" i="4"/>
  <c r="D119" i="4" s="1"/>
  <c r="K184" i="4"/>
  <c r="H184" i="4"/>
  <c r="C184" i="4"/>
  <c r="F184" i="4" s="1"/>
  <c r="K183" i="4"/>
  <c r="H183" i="4"/>
  <c r="C183" i="4"/>
  <c r="F183" i="4" s="1"/>
  <c r="K182" i="4"/>
  <c r="H182" i="4"/>
  <c r="C182" i="4"/>
  <c r="F182" i="4" s="1"/>
  <c r="K181" i="4"/>
  <c r="H181" i="4"/>
  <c r="C181" i="4"/>
  <c r="F181" i="4" s="1"/>
  <c r="K180" i="4"/>
  <c r="H180" i="4"/>
  <c r="C180" i="4"/>
  <c r="F180" i="4" s="1"/>
  <c r="K179" i="4"/>
  <c r="H179" i="4"/>
  <c r="C179" i="4"/>
  <c r="F179" i="4" s="1"/>
  <c r="K178" i="4"/>
  <c r="H178" i="4"/>
  <c r="C178" i="4"/>
  <c r="D178" i="4" s="1"/>
  <c r="K177" i="4"/>
  <c r="H177" i="4"/>
  <c r="C177" i="4"/>
  <c r="D177" i="4" s="1"/>
  <c r="K176" i="4"/>
  <c r="H176" i="4"/>
  <c r="C176" i="4"/>
  <c r="K175" i="4"/>
  <c r="H175" i="4"/>
  <c r="C175" i="4"/>
  <c r="F175" i="4" s="1"/>
  <c r="K174" i="4"/>
  <c r="H174" i="4"/>
  <c r="C174" i="4"/>
  <c r="F174" i="4" s="1"/>
  <c r="K173" i="4"/>
  <c r="H173" i="4"/>
  <c r="C173" i="4"/>
  <c r="F173" i="4" s="1"/>
  <c r="J173" i="4" s="1"/>
  <c r="K172" i="4"/>
  <c r="H172" i="4"/>
  <c r="C172" i="4"/>
  <c r="F172" i="4" s="1"/>
  <c r="J172" i="4" s="1"/>
  <c r="K171" i="4"/>
  <c r="H171" i="4"/>
  <c r="C171" i="4"/>
  <c r="K170" i="4"/>
  <c r="H170" i="4"/>
  <c r="C170" i="4"/>
  <c r="K169" i="4"/>
  <c r="H169" i="4"/>
  <c r="C169" i="4"/>
  <c r="D169" i="4" s="1"/>
  <c r="K168" i="4"/>
  <c r="H168" i="4"/>
  <c r="C168" i="4"/>
  <c r="K167" i="4"/>
  <c r="H167" i="4"/>
  <c r="C167" i="4"/>
  <c r="F167" i="4" s="1"/>
  <c r="J167" i="4" s="1"/>
  <c r="K166" i="4"/>
  <c r="H166" i="4"/>
  <c r="C166" i="4"/>
  <c r="F166" i="4" s="1"/>
  <c r="K165" i="4"/>
  <c r="H165" i="4"/>
  <c r="C165" i="4"/>
  <c r="K164" i="4"/>
  <c r="H164" i="4"/>
  <c r="C164" i="4"/>
  <c r="D164" i="4" s="1"/>
  <c r="K163" i="4"/>
  <c r="H163" i="4"/>
  <c r="C163" i="4"/>
  <c r="F163" i="4" s="1"/>
  <c r="K162" i="4"/>
  <c r="H162" i="4"/>
  <c r="C162" i="4"/>
  <c r="D162" i="4" s="1"/>
  <c r="K161" i="4"/>
  <c r="H161" i="4"/>
  <c r="C161" i="4"/>
  <c r="F161" i="4" s="1"/>
  <c r="J161" i="4" s="1"/>
  <c r="K160" i="4"/>
  <c r="H160" i="4"/>
  <c r="C160" i="4"/>
  <c r="K159" i="4"/>
  <c r="H159" i="4"/>
  <c r="C159" i="4"/>
  <c r="F159" i="4" s="1"/>
  <c r="K158" i="4"/>
  <c r="H158" i="4"/>
  <c r="C158" i="4"/>
  <c r="D158" i="4" s="1"/>
  <c r="B158" i="4"/>
  <c r="A158" i="4"/>
  <c r="K156" i="4"/>
  <c r="H156" i="4"/>
  <c r="C156" i="4"/>
  <c r="F156" i="4" s="1"/>
  <c r="K155" i="4"/>
  <c r="H155" i="4"/>
  <c r="C155" i="4"/>
  <c r="F155" i="4" s="1"/>
  <c r="K154" i="4"/>
  <c r="H154" i="4"/>
  <c r="C154" i="4"/>
  <c r="D154" i="4" s="1"/>
  <c r="K153" i="4"/>
  <c r="H153" i="4"/>
  <c r="C153" i="4"/>
  <c r="D153" i="4" s="1"/>
  <c r="K152" i="4"/>
  <c r="H152" i="4"/>
  <c r="C152" i="4"/>
  <c r="K217" i="4"/>
  <c r="H217" i="4"/>
  <c r="C217" i="4"/>
  <c r="F217" i="4" s="1"/>
  <c r="K216" i="4"/>
  <c r="H216" i="4"/>
  <c r="C216" i="4"/>
  <c r="K215" i="4"/>
  <c r="H215" i="4"/>
  <c r="C215" i="4"/>
  <c r="F215" i="4" s="1"/>
  <c r="K214" i="4"/>
  <c r="H214" i="4"/>
  <c r="C214" i="4"/>
  <c r="F214" i="4" s="1"/>
  <c r="K213" i="4"/>
  <c r="H213" i="4"/>
  <c r="C213" i="4"/>
  <c r="F213" i="4" s="1"/>
  <c r="K212" i="4"/>
  <c r="H212" i="4"/>
  <c r="C212" i="4"/>
  <c r="D212" i="4" s="1"/>
  <c r="K211" i="4"/>
  <c r="H211" i="4"/>
  <c r="C211" i="4"/>
  <c r="D211" i="4" s="1"/>
  <c r="K210" i="4"/>
  <c r="H210" i="4"/>
  <c r="C210" i="4"/>
  <c r="F210" i="4" s="1"/>
  <c r="K209" i="4"/>
  <c r="H209" i="4"/>
  <c r="C209" i="4"/>
  <c r="F209" i="4" s="1"/>
  <c r="K208" i="4"/>
  <c r="H208" i="4"/>
  <c r="C208" i="4"/>
  <c r="D208" i="4" s="1"/>
  <c r="K207" i="4"/>
  <c r="H207" i="4"/>
  <c r="C207" i="4"/>
  <c r="F207" i="4" s="1"/>
  <c r="K206" i="4"/>
  <c r="H206" i="4"/>
  <c r="C206" i="4"/>
  <c r="F206" i="4" s="1"/>
  <c r="K205" i="4"/>
  <c r="H205" i="4"/>
  <c r="C205" i="4"/>
  <c r="F205" i="4" s="1"/>
  <c r="K204" i="4"/>
  <c r="H204" i="4"/>
  <c r="C204" i="4"/>
  <c r="K203" i="4"/>
  <c r="H203" i="4"/>
  <c r="C203" i="4"/>
  <c r="D203" i="4" s="1"/>
  <c r="K202" i="4"/>
  <c r="H202" i="4"/>
  <c r="C202" i="4"/>
  <c r="F202" i="4" s="1"/>
  <c r="K201" i="4"/>
  <c r="H201" i="4"/>
  <c r="C201" i="4"/>
  <c r="F201" i="4" s="1"/>
  <c r="J201" i="4" s="1"/>
  <c r="K200" i="4"/>
  <c r="H200" i="4"/>
  <c r="C200" i="4"/>
  <c r="D200" i="4" s="1"/>
  <c r="K199" i="4"/>
  <c r="H199" i="4"/>
  <c r="C199" i="4"/>
  <c r="F199" i="4" s="1"/>
  <c r="K198" i="4"/>
  <c r="H198" i="4"/>
  <c r="C198" i="4"/>
  <c r="F198" i="4" s="1"/>
  <c r="K197" i="4"/>
  <c r="H197" i="4"/>
  <c r="C197" i="4"/>
  <c r="F197" i="4" s="1"/>
  <c r="K196" i="4"/>
  <c r="H196" i="4"/>
  <c r="C196" i="4"/>
  <c r="D196" i="4" s="1"/>
  <c r="K195" i="4"/>
  <c r="H195" i="4"/>
  <c r="C195" i="4"/>
  <c r="K194" i="4"/>
  <c r="H194" i="4"/>
  <c r="C194" i="4"/>
  <c r="F194" i="4" s="1"/>
  <c r="J194" i="4" s="1"/>
  <c r="K193" i="4"/>
  <c r="H193" i="4"/>
  <c r="C193" i="4"/>
  <c r="F193" i="4" s="1"/>
  <c r="J193" i="4" s="1"/>
  <c r="K192" i="4"/>
  <c r="H192" i="4"/>
  <c r="C192" i="4"/>
  <c r="D192" i="4" s="1"/>
  <c r="K191" i="4"/>
  <c r="H191" i="4"/>
  <c r="C191" i="4"/>
  <c r="F191" i="4" s="1"/>
  <c r="K190" i="4"/>
  <c r="H190" i="4"/>
  <c r="C190" i="4"/>
  <c r="F190" i="4" s="1"/>
  <c r="K189" i="4"/>
  <c r="H189" i="4"/>
  <c r="C189" i="4"/>
  <c r="F189" i="4" s="1"/>
  <c r="K188" i="4"/>
  <c r="H188" i="4"/>
  <c r="C188" i="4"/>
  <c r="D188" i="4" s="1"/>
  <c r="K187" i="4"/>
  <c r="H187" i="4"/>
  <c r="C187" i="4"/>
  <c r="D187" i="4" s="1"/>
  <c r="K186" i="4"/>
  <c r="H186" i="4"/>
  <c r="C186" i="4"/>
  <c r="F186" i="4" s="1"/>
  <c r="K185" i="4"/>
  <c r="H185" i="4"/>
  <c r="C185" i="4"/>
  <c r="K100" i="4"/>
  <c r="H100" i="4"/>
  <c r="C100" i="4"/>
  <c r="D100" i="4" s="1"/>
  <c r="K99" i="4"/>
  <c r="H99" i="4"/>
  <c r="C99" i="4"/>
  <c r="F99" i="4" s="1"/>
  <c r="K98" i="4"/>
  <c r="H98" i="4"/>
  <c r="C98" i="4"/>
  <c r="F98" i="4" s="1"/>
  <c r="K97" i="4"/>
  <c r="H97" i="4"/>
  <c r="C97" i="4"/>
  <c r="F97" i="4" s="1"/>
  <c r="K96" i="4"/>
  <c r="H96" i="4"/>
  <c r="C96" i="4"/>
  <c r="F96" i="4" s="1"/>
  <c r="K95" i="4"/>
  <c r="H95" i="4"/>
  <c r="C95" i="4"/>
  <c r="F95" i="4" s="1"/>
  <c r="K94" i="4"/>
  <c r="H94" i="4"/>
  <c r="C94" i="4"/>
  <c r="F94" i="4" s="1"/>
  <c r="K93" i="4"/>
  <c r="H93" i="4"/>
  <c r="C93" i="4"/>
  <c r="F93" i="4" s="1"/>
  <c r="K92" i="4"/>
  <c r="H92" i="4"/>
  <c r="C92" i="4"/>
  <c r="K91" i="4"/>
  <c r="H91" i="4"/>
  <c r="C91" i="4"/>
  <c r="F91" i="4" s="1"/>
  <c r="K90" i="4"/>
  <c r="H90" i="4"/>
  <c r="C90" i="4"/>
  <c r="F90" i="4" s="1"/>
  <c r="J90" i="4" s="1"/>
  <c r="K89" i="4"/>
  <c r="H89" i="4"/>
  <c r="C89" i="4"/>
  <c r="F89" i="4" s="1"/>
  <c r="K88" i="4"/>
  <c r="H88" i="4"/>
  <c r="C88" i="4"/>
  <c r="F88" i="4" s="1"/>
  <c r="J88" i="4" s="1"/>
  <c r="K87" i="4"/>
  <c r="H87" i="4"/>
  <c r="C87" i="4"/>
  <c r="F87" i="4" s="1"/>
  <c r="K86" i="4"/>
  <c r="H86" i="4"/>
  <c r="C86" i="4"/>
  <c r="K85" i="4"/>
  <c r="H85" i="4"/>
  <c r="C85" i="4"/>
  <c r="F85" i="4" s="1"/>
  <c r="K84" i="4"/>
  <c r="H84" i="4"/>
  <c r="C84" i="4"/>
  <c r="K83" i="4"/>
  <c r="H83" i="4"/>
  <c r="C83" i="4"/>
  <c r="D83" i="4" s="1"/>
  <c r="K82" i="4"/>
  <c r="H82" i="4"/>
  <c r="C82" i="4"/>
  <c r="F82" i="4" s="1"/>
  <c r="J82" i="4" s="1"/>
  <c r="K81" i="4"/>
  <c r="H81" i="4"/>
  <c r="C81" i="4"/>
  <c r="D81" i="4" s="1"/>
  <c r="K80" i="4"/>
  <c r="H80" i="4"/>
  <c r="C80" i="4"/>
  <c r="D80" i="4" s="1"/>
  <c r="K79" i="4"/>
  <c r="H79" i="4"/>
  <c r="C79" i="4"/>
  <c r="D79" i="4" s="1"/>
  <c r="K78" i="4"/>
  <c r="H78" i="4"/>
  <c r="C78" i="4"/>
  <c r="D78" i="4" s="1"/>
  <c r="K77" i="4"/>
  <c r="H77" i="4"/>
  <c r="C77" i="4"/>
  <c r="F77" i="4" s="1"/>
  <c r="K76" i="4"/>
  <c r="H76" i="4"/>
  <c r="C76" i="4"/>
  <c r="D76" i="4" s="1"/>
  <c r="K75" i="4"/>
  <c r="H75" i="4"/>
  <c r="C75" i="4"/>
  <c r="F75" i="4" s="1"/>
  <c r="K74" i="4"/>
  <c r="H74" i="4"/>
  <c r="C74" i="4"/>
  <c r="F74" i="4" s="1"/>
  <c r="J74" i="4" s="1"/>
  <c r="B4315" i="7"/>
  <c r="B4331" i="7" s="1"/>
  <c r="A4315" i="7"/>
  <c r="A4337" i="7" s="1"/>
  <c r="B4311" i="7"/>
  <c r="A4311" i="7"/>
  <c r="B4310" i="7"/>
  <c r="A4310" i="7"/>
  <c r="B4309" i="7"/>
  <c r="A4309" i="7"/>
  <c r="B4307" i="7"/>
  <c r="A4307" i="7"/>
  <c r="B4306" i="7"/>
  <c r="A4306" i="7"/>
  <c r="B4305" i="7"/>
  <c r="A4305" i="7"/>
  <c r="B4303" i="7"/>
  <c r="A4303" i="7"/>
  <c r="B4302" i="7"/>
  <c r="A4302" i="7"/>
  <c r="B4301" i="7"/>
  <c r="A4301" i="7"/>
  <c r="B4300" i="7"/>
  <c r="A4300" i="7"/>
  <c r="B4297" i="7"/>
  <c r="A4297" i="7"/>
  <c r="B4295" i="7"/>
  <c r="A4295" i="7"/>
  <c r="B4294" i="7"/>
  <c r="A4294" i="7"/>
  <c r="B4293" i="7"/>
  <c r="A4293" i="7"/>
  <c r="B4292" i="7"/>
  <c r="A4292" i="7"/>
  <c r="C4285" i="7"/>
  <c r="I213" i="6"/>
  <c r="G217" i="4" s="1"/>
  <c r="I212" i="6"/>
  <c r="G216" i="4" s="1"/>
  <c r="I211" i="6"/>
  <c r="G215" i="4" s="1"/>
  <c r="I210" i="6"/>
  <c r="G214" i="4" s="1"/>
  <c r="I209" i="6"/>
  <c r="G213" i="4" s="1"/>
  <c r="I208" i="6"/>
  <c r="G212" i="4" s="1"/>
  <c r="I207" i="6"/>
  <c r="G211" i="4" s="1"/>
  <c r="I206" i="6"/>
  <c r="G210" i="4" s="1"/>
  <c r="I205" i="6"/>
  <c r="G209" i="4" s="1"/>
  <c r="I204" i="6"/>
  <c r="G208" i="4" s="1"/>
  <c r="I203" i="6"/>
  <c r="G207" i="4" s="1"/>
  <c r="I202" i="6"/>
  <c r="G206" i="4" s="1"/>
  <c r="I201" i="6"/>
  <c r="G205" i="4" s="1"/>
  <c r="I200" i="6"/>
  <c r="G204" i="4" s="1"/>
  <c r="I199" i="6"/>
  <c r="G203" i="4" s="1"/>
  <c r="I198" i="6"/>
  <c r="G202" i="4" s="1"/>
  <c r="I197" i="6"/>
  <c r="G201" i="4" s="1"/>
  <c r="I196" i="6"/>
  <c r="G200" i="4" s="1"/>
  <c r="I195" i="6"/>
  <c r="G199" i="4" s="1"/>
  <c r="I194" i="6"/>
  <c r="G198" i="4" s="1"/>
  <c r="I193" i="6"/>
  <c r="G197" i="4" s="1"/>
  <c r="I192" i="6"/>
  <c r="G196" i="4" s="1"/>
  <c r="I191" i="6"/>
  <c r="G195" i="4" s="1"/>
  <c r="I190" i="6"/>
  <c r="G194" i="4" s="1"/>
  <c r="I189" i="6"/>
  <c r="G193" i="4" s="1"/>
  <c r="I188" i="6"/>
  <c r="G192" i="4" s="1"/>
  <c r="I187" i="6"/>
  <c r="G191" i="4" s="1"/>
  <c r="I186" i="6"/>
  <c r="G190" i="4" s="1"/>
  <c r="I185" i="6"/>
  <c r="G189" i="4" s="1"/>
  <c r="I184" i="6"/>
  <c r="G188" i="4" s="1"/>
  <c r="I183" i="6"/>
  <c r="G187" i="4" s="1"/>
  <c r="I182" i="6"/>
  <c r="G186" i="4" s="1"/>
  <c r="I181" i="6"/>
  <c r="G185" i="4" s="1"/>
  <c r="I180" i="6"/>
  <c r="G184" i="4" s="1"/>
  <c r="I179" i="6"/>
  <c r="G183" i="4" s="1"/>
  <c r="I178" i="6"/>
  <c r="G182" i="4" s="1"/>
  <c r="I177" i="6"/>
  <c r="G181" i="4" s="1"/>
  <c r="I176" i="6"/>
  <c r="G180" i="4" s="1"/>
  <c r="I175" i="6"/>
  <c r="G179" i="4" s="1"/>
  <c r="I174" i="6"/>
  <c r="G178" i="4" s="1"/>
  <c r="I173" i="6"/>
  <c r="G177" i="4" s="1"/>
  <c r="I172" i="6"/>
  <c r="G176" i="4" s="1"/>
  <c r="I171" i="6"/>
  <c r="G175" i="4" s="1"/>
  <c r="I170" i="6"/>
  <c r="G174" i="4" s="1"/>
  <c r="I169" i="6"/>
  <c r="G173" i="4" s="1"/>
  <c r="I168" i="6"/>
  <c r="G172" i="4" s="1"/>
  <c r="I167" i="6"/>
  <c r="G171" i="4" s="1"/>
  <c r="I166" i="6"/>
  <c r="G170" i="4" s="1"/>
  <c r="I165" i="6"/>
  <c r="G169" i="4" s="1"/>
  <c r="I164" i="6"/>
  <c r="G168" i="4" s="1"/>
  <c r="I163" i="6"/>
  <c r="G167" i="4" s="1"/>
  <c r="I162" i="6"/>
  <c r="G166" i="4" s="1"/>
  <c r="I161" i="6"/>
  <c r="G165" i="4" s="1"/>
  <c r="I160" i="6"/>
  <c r="G164" i="4" s="1"/>
  <c r="I159" i="6"/>
  <c r="G163" i="4" s="1"/>
  <c r="I158" i="6"/>
  <c r="G162" i="4" s="1"/>
  <c r="I157" i="6"/>
  <c r="G161" i="4" s="1"/>
  <c r="I156" i="6"/>
  <c r="G160" i="4" s="1"/>
  <c r="I155" i="6"/>
  <c r="G159" i="4" s="1"/>
  <c r="B155" i="6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A155" i="6"/>
  <c r="A159" i="4" s="1"/>
  <c r="I154" i="6"/>
  <c r="G158" i="4" s="1"/>
  <c r="C154" i="6"/>
  <c r="I152" i="6"/>
  <c r="G156" i="4" s="1"/>
  <c r="I151" i="6"/>
  <c r="G155" i="4" s="1"/>
  <c r="I150" i="6"/>
  <c r="G154" i="4" s="1"/>
  <c r="I149" i="6"/>
  <c r="G153" i="4" s="1"/>
  <c r="I148" i="6"/>
  <c r="G152" i="4" s="1"/>
  <c r="I147" i="6"/>
  <c r="G151" i="4" s="1"/>
  <c r="I146" i="6"/>
  <c r="G150" i="4" s="1"/>
  <c r="I145" i="6"/>
  <c r="G149" i="4" s="1"/>
  <c r="I144" i="6"/>
  <c r="G148" i="4" s="1"/>
  <c r="I143" i="6"/>
  <c r="G147" i="4" s="1"/>
  <c r="I142" i="6"/>
  <c r="G146" i="4" s="1"/>
  <c r="I141" i="6"/>
  <c r="G145" i="4" s="1"/>
  <c r="I140" i="6"/>
  <c r="G144" i="4" s="1"/>
  <c r="I139" i="6"/>
  <c r="G143" i="4" s="1"/>
  <c r="I138" i="6"/>
  <c r="G142" i="4" s="1"/>
  <c r="I137" i="6"/>
  <c r="G141" i="4" s="1"/>
  <c r="I136" i="6"/>
  <c r="G140" i="4" s="1"/>
  <c r="I135" i="6"/>
  <c r="G139" i="4" s="1"/>
  <c r="I134" i="6"/>
  <c r="G138" i="4" s="1"/>
  <c r="I133" i="6"/>
  <c r="G137" i="4" s="1"/>
  <c r="I132" i="6"/>
  <c r="G136" i="4" s="1"/>
  <c r="I131" i="6"/>
  <c r="G135" i="4" s="1"/>
  <c r="I130" i="6"/>
  <c r="G134" i="4" s="1"/>
  <c r="I129" i="6"/>
  <c r="G133" i="4" s="1"/>
  <c r="I128" i="6"/>
  <c r="G132" i="4" s="1"/>
  <c r="I127" i="6"/>
  <c r="G131" i="4" s="1"/>
  <c r="I126" i="6"/>
  <c r="G130" i="4" s="1"/>
  <c r="I125" i="6"/>
  <c r="G129" i="4" s="1"/>
  <c r="I124" i="6"/>
  <c r="G128" i="4" s="1"/>
  <c r="I123" i="6"/>
  <c r="G127" i="4" s="1"/>
  <c r="I122" i="6"/>
  <c r="G126" i="4" s="1"/>
  <c r="I121" i="6"/>
  <c r="G125" i="4" s="1"/>
  <c r="I120" i="6"/>
  <c r="G124" i="4" s="1"/>
  <c r="I119" i="6"/>
  <c r="G123" i="4" s="1"/>
  <c r="I118" i="6"/>
  <c r="G122" i="4" s="1"/>
  <c r="I117" i="6"/>
  <c r="G121" i="4" s="1"/>
  <c r="I116" i="6"/>
  <c r="G120" i="4" s="1"/>
  <c r="I115" i="6"/>
  <c r="G119" i="4" s="1"/>
  <c r="I114" i="6"/>
  <c r="G118" i="4" s="1"/>
  <c r="I113" i="6"/>
  <c r="G117" i="4" s="1"/>
  <c r="I112" i="6"/>
  <c r="G116" i="4" s="1"/>
  <c r="I111" i="6"/>
  <c r="G115" i="4" s="1"/>
  <c r="I110" i="6"/>
  <c r="G114" i="4" s="1"/>
  <c r="I109" i="6"/>
  <c r="G113" i="4" s="1"/>
  <c r="I108" i="6"/>
  <c r="G112" i="4" s="1"/>
  <c r="I107" i="6"/>
  <c r="G111" i="4" s="1"/>
  <c r="I106" i="6"/>
  <c r="G110" i="4" s="1"/>
  <c r="I105" i="6"/>
  <c r="G109" i="4" s="1"/>
  <c r="I104" i="6"/>
  <c r="G108" i="4" s="1"/>
  <c r="I103" i="6"/>
  <c r="G107" i="4" s="1"/>
  <c r="I102" i="6"/>
  <c r="G106" i="4" s="1"/>
  <c r="I101" i="6"/>
  <c r="G105" i="4" s="1"/>
  <c r="I100" i="6"/>
  <c r="G104" i="4" s="1"/>
  <c r="I99" i="6"/>
  <c r="G103" i="4" s="1"/>
  <c r="B99" i="6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6" i="4" s="1"/>
  <c r="A99" i="6"/>
  <c r="A100" i="6" s="1"/>
  <c r="A104" i="4" s="1"/>
  <c r="I98" i="6"/>
  <c r="G102" i="4" s="1"/>
  <c r="C98" i="6"/>
  <c r="I96" i="6"/>
  <c r="G100" i="4" s="1"/>
  <c r="I95" i="6"/>
  <c r="G99" i="4" s="1"/>
  <c r="I94" i="6"/>
  <c r="G98" i="4" s="1"/>
  <c r="I93" i="6"/>
  <c r="G97" i="4" s="1"/>
  <c r="I92" i="6"/>
  <c r="G96" i="4" s="1"/>
  <c r="I91" i="6"/>
  <c r="G95" i="4" s="1"/>
  <c r="I90" i="6"/>
  <c r="G94" i="4" s="1"/>
  <c r="I89" i="6"/>
  <c r="G93" i="4" s="1"/>
  <c r="I88" i="6"/>
  <c r="G92" i="4" s="1"/>
  <c r="I87" i="6"/>
  <c r="G91" i="4" s="1"/>
  <c r="I86" i="6"/>
  <c r="G90" i="4" s="1"/>
  <c r="I85" i="6"/>
  <c r="G89" i="4" s="1"/>
  <c r="I84" i="6"/>
  <c r="G88" i="4" s="1"/>
  <c r="I83" i="6"/>
  <c r="G87" i="4" s="1"/>
  <c r="I82" i="6"/>
  <c r="G86" i="4" s="1"/>
  <c r="I81" i="6"/>
  <c r="G85" i="4" s="1"/>
  <c r="I80" i="6"/>
  <c r="G84" i="4" s="1"/>
  <c r="I79" i="6"/>
  <c r="G83" i="4" s="1"/>
  <c r="I78" i="6"/>
  <c r="G82" i="4" s="1"/>
  <c r="I77" i="6"/>
  <c r="G81" i="4" s="1"/>
  <c r="I76" i="6"/>
  <c r="G80" i="4" s="1"/>
  <c r="I75" i="6"/>
  <c r="G79" i="4" s="1"/>
  <c r="I74" i="6"/>
  <c r="G78" i="4" s="1"/>
  <c r="I73" i="6"/>
  <c r="G77" i="4" s="1"/>
  <c r="I72" i="6"/>
  <c r="G76" i="4" s="1"/>
  <c r="I71" i="6"/>
  <c r="G75" i="4" s="1"/>
  <c r="I221" i="6"/>
  <c r="I222" i="6"/>
  <c r="I223" i="6"/>
  <c r="I224" i="6"/>
  <c r="I225" i="6"/>
  <c r="I226" i="6"/>
  <c r="I227" i="6"/>
  <c r="I228" i="6"/>
  <c r="I229" i="6"/>
  <c r="I230" i="6"/>
  <c r="I231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8" i="6"/>
  <c r="I249" i="6"/>
  <c r="I250" i="6"/>
  <c r="I251" i="6"/>
  <c r="I252" i="6"/>
  <c r="I253" i="6"/>
  <c r="I12" i="6"/>
  <c r="I13" i="6"/>
  <c r="I14" i="6"/>
  <c r="I15" i="6"/>
  <c r="I16" i="6"/>
  <c r="I17" i="6"/>
  <c r="I18" i="6"/>
  <c r="I19" i="6"/>
  <c r="I20" i="6"/>
  <c r="I21" i="6"/>
  <c r="I22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1" i="6"/>
  <c r="I62" i="6"/>
  <c r="I63" i="6"/>
  <c r="I64" i="6"/>
  <c r="I65" i="6"/>
  <c r="I66" i="6"/>
  <c r="I67" i="6"/>
  <c r="I68" i="6"/>
  <c r="I69" i="6"/>
  <c r="I70" i="6"/>
  <c r="G74" i="4" s="1"/>
  <c r="S48" i="14" l="1"/>
  <c r="Z48" i="14" s="1"/>
  <c r="S115" i="14"/>
  <c r="Z115" i="14" s="1"/>
  <c r="S25" i="14"/>
  <c r="AD25" i="14" s="1"/>
  <c r="S117" i="14"/>
  <c r="AD117" i="14" s="1"/>
  <c r="S22" i="14"/>
  <c r="Z22" i="14" s="1"/>
  <c r="S43" i="14"/>
  <c r="AD43" i="14" s="1"/>
  <c r="S101" i="14"/>
  <c r="AD101" i="14" s="1"/>
  <c r="S56" i="14"/>
  <c r="Z56" i="14" s="1"/>
  <c r="S61" i="14"/>
  <c r="AD61" i="14" s="1"/>
  <c r="S116" i="14"/>
  <c r="Z116" i="14" s="1"/>
  <c r="T44" i="14"/>
  <c r="S44" i="14"/>
  <c r="S81" i="14"/>
  <c r="Z81" i="14" s="1"/>
  <c r="S87" i="14"/>
  <c r="Z87" i="14" s="1"/>
  <c r="S47" i="14"/>
  <c r="Z47" i="14" s="1"/>
  <c r="S50" i="14"/>
  <c r="AD50" i="14" s="1"/>
  <c r="S90" i="14"/>
  <c r="Z90" i="14" s="1"/>
  <c r="S79" i="14"/>
  <c r="AD79" i="14" s="1"/>
  <c r="AD103" i="14"/>
  <c r="S42" i="14"/>
  <c r="Z42" i="14" s="1"/>
  <c r="S82" i="14"/>
  <c r="AD82" i="14" s="1"/>
  <c r="S21" i="14"/>
  <c r="AD21" i="14" s="1"/>
  <c r="S60" i="14"/>
  <c r="AD60" i="14" s="1"/>
  <c r="S77" i="14"/>
  <c r="Z77" i="14" s="1"/>
  <c r="S59" i="14"/>
  <c r="Z59" i="14" s="1"/>
  <c r="S80" i="14"/>
  <c r="Z80" i="14" s="1"/>
  <c r="S52" i="14"/>
  <c r="Z52" i="14" s="1"/>
  <c r="S83" i="14"/>
  <c r="Z83" i="14" s="1"/>
  <c r="S86" i="14"/>
  <c r="AD86" i="14" s="1"/>
  <c r="S89" i="14"/>
  <c r="AD89" i="14" s="1"/>
  <c r="S102" i="14"/>
  <c r="Z102" i="14" s="1"/>
  <c r="R44" i="13"/>
  <c r="T44" i="13" s="1"/>
  <c r="AP44" i="13" s="1"/>
  <c r="F12" i="29"/>
  <c r="L165" i="11"/>
  <c r="V131" i="24" s="1"/>
  <c r="M165" i="11"/>
  <c r="Z131" i="24" s="1"/>
  <c r="F36" i="29"/>
  <c r="K14" i="23" s="1"/>
  <c r="C15" i="22" s="1"/>
  <c r="U40" i="29"/>
  <c r="V178" i="24" s="1"/>
  <c r="G36" i="29"/>
  <c r="H145" i="24"/>
  <c r="U22" i="29"/>
  <c r="V145" i="24" s="1"/>
  <c r="G44" i="29"/>
  <c r="H178" i="24"/>
  <c r="D36" i="29"/>
  <c r="D44" i="29"/>
  <c r="O165" i="11"/>
  <c r="R81" i="13"/>
  <c r="T81" i="13" s="1"/>
  <c r="AP81" i="13" s="1"/>
  <c r="B215" i="6"/>
  <c r="B218" i="4"/>
  <c r="I44" i="29"/>
  <c r="R30" i="13"/>
  <c r="R66" i="13"/>
  <c r="AX66" i="13" s="1"/>
  <c r="R57" i="13"/>
  <c r="T57" i="13" s="1"/>
  <c r="AP57" i="13" s="1"/>
  <c r="R52" i="13"/>
  <c r="AX52" i="13" s="1"/>
  <c r="Z52" i="13"/>
  <c r="AB52" i="13" s="1"/>
  <c r="AQ52" i="13" s="1"/>
  <c r="AP37" i="13"/>
  <c r="BA37" i="13" s="1"/>
  <c r="R42" i="13"/>
  <c r="AX42" i="13" s="1"/>
  <c r="AQ51" i="13"/>
  <c r="AQ35" i="13"/>
  <c r="AP68" i="13"/>
  <c r="BA68" i="13" s="1"/>
  <c r="Z56" i="13"/>
  <c r="AB56" i="13" s="1"/>
  <c r="AQ56" i="13" s="1"/>
  <c r="BA102" i="13"/>
  <c r="AQ21" i="13"/>
  <c r="R43" i="13"/>
  <c r="T43" i="13" s="1"/>
  <c r="AP43" i="13" s="1"/>
  <c r="R71" i="13"/>
  <c r="AX71" i="13" s="1"/>
  <c r="Z39" i="13"/>
  <c r="AB39" i="13" s="1"/>
  <c r="AQ39" i="13" s="1"/>
  <c r="T131" i="13"/>
  <c r="AP131" i="13" s="1"/>
  <c r="BA131" i="13" s="1"/>
  <c r="AP70" i="13"/>
  <c r="BA70" i="13" s="1"/>
  <c r="AQ20" i="13"/>
  <c r="R28" i="13"/>
  <c r="T28" i="13" s="1"/>
  <c r="AP28" i="13" s="1"/>
  <c r="BA28" i="13" s="1"/>
  <c r="R90" i="13"/>
  <c r="T90" i="13" s="1"/>
  <c r="AP90" i="13" s="1"/>
  <c r="BA90" i="13" s="1"/>
  <c r="R91" i="13"/>
  <c r="T91" i="13" s="1"/>
  <c r="AP91" i="13" s="1"/>
  <c r="BA91" i="13" s="1"/>
  <c r="Z97" i="13"/>
  <c r="AB97" i="13" s="1"/>
  <c r="AQ97" i="13" s="1"/>
  <c r="AQ53" i="13"/>
  <c r="AP74" i="13"/>
  <c r="BA74" i="13" s="1"/>
  <c r="AP21" i="13"/>
  <c r="BA21" i="13" s="1"/>
  <c r="AQ75" i="13"/>
  <c r="AQ48" i="13"/>
  <c r="AP96" i="13"/>
  <c r="R56" i="13"/>
  <c r="T56" i="13" s="1"/>
  <c r="AP56" i="13" s="1"/>
  <c r="BA56" i="13" s="1"/>
  <c r="BA108" i="13"/>
  <c r="R78" i="13"/>
  <c r="T78" i="13" s="1"/>
  <c r="AP78" i="13" s="1"/>
  <c r="BA78" i="13" s="1"/>
  <c r="AP16" i="13"/>
  <c r="BA16" i="13" s="1"/>
  <c r="Z78" i="13"/>
  <c r="AB78" i="13" s="1"/>
  <c r="AQ78" i="13" s="1"/>
  <c r="AQ129" i="13"/>
  <c r="AP136" i="13"/>
  <c r="BA136" i="13" s="1"/>
  <c r="AX127" i="13"/>
  <c r="AQ90" i="13"/>
  <c r="Z66" i="13"/>
  <c r="AB66" i="13" s="1"/>
  <c r="AQ66" i="13" s="1"/>
  <c r="AQ77" i="13"/>
  <c r="AX133" i="13"/>
  <c r="AX108" i="13"/>
  <c r="AP135" i="13"/>
  <c r="BA135" i="13" s="1"/>
  <c r="C302" i="4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B104" i="4"/>
  <c r="B197" i="4"/>
  <c r="B159" i="4"/>
  <c r="B164" i="4"/>
  <c r="B141" i="4"/>
  <c r="B146" i="4"/>
  <c r="B115" i="4"/>
  <c r="B111" i="4"/>
  <c r="B112" i="4"/>
  <c r="B122" i="4"/>
  <c r="B137" i="4"/>
  <c r="B169" i="4"/>
  <c r="B155" i="4"/>
  <c r="B133" i="4"/>
  <c r="B216" i="4"/>
  <c r="B189" i="4"/>
  <c r="B175" i="4"/>
  <c r="B213" i="4"/>
  <c r="B199" i="4"/>
  <c r="B107" i="4"/>
  <c r="B180" i="4"/>
  <c r="B191" i="4"/>
  <c r="B172" i="4"/>
  <c r="B149" i="4"/>
  <c r="B205" i="4"/>
  <c r="B177" i="4"/>
  <c r="B210" i="4"/>
  <c r="C155" i="6"/>
  <c r="B186" i="4"/>
  <c r="A103" i="4"/>
  <c r="B194" i="4"/>
  <c r="B202" i="4"/>
  <c r="B145" i="4"/>
  <c r="B103" i="4"/>
  <c r="B161" i="4"/>
  <c r="B207" i="4"/>
  <c r="B215" i="4"/>
  <c r="B166" i="4"/>
  <c r="B174" i="4"/>
  <c r="B129" i="4"/>
  <c r="B182" i="4"/>
  <c r="B188" i="4"/>
  <c r="B125" i="4"/>
  <c r="B138" i="4"/>
  <c r="B192" i="4"/>
  <c r="B196" i="4"/>
  <c r="B121" i="4"/>
  <c r="B200" i="4"/>
  <c r="B204" i="4"/>
  <c r="B154" i="4"/>
  <c r="B179" i="4"/>
  <c r="B183" i="4"/>
  <c r="B208" i="4"/>
  <c r="B212" i="4"/>
  <c r="B163" i="4"/>
  <c r="B167" i="4"/>
  <c r="B171" i="4"/>
  <c r="B130" i="4"/>
  <c r="B124" i="4"/>
  <c r="B132" i="4"/>
  <c r="B140" i="4"/>
  <c r="B148" i="4"/>
  <c r="B106" i="4"/>
  <c r="B114" i="4"/>
  <c r="B152" i="4"/>
  <c r="B119" i="4"/>
  <c r="B127" i="4"/>
  <c r="B135" i="4"/>
  <c r="B143" i="4"/>
  <c r="B151" i="4"/>
  <c r="B109" i="4"/>
  <c r="B117" i="4"/>
  <c r="B187" i="4"/>
  <c r="B195" i="4"/>
  <c r="B203" i="4"/>
  <c r="B211" i="4"/>
  <c r="B153" i="4"/>
  <c r="B162" i="4"/>
  <c r="B170" i="4"/>
  <c r="B178" i="4"/>
  <c r="B120" i="4"/>
  <c r="B128" i="4"/>
  <c r="B136" i="4"/>
  <c r="B144" i="4"/>
  <c r="B110" i="4"/>
  <c r="B118" i="4"/>
  <c r="B190" i="4"/>
  <c r="B198" i="4"/>
  <c r="B206" i="4"/>
  <c r="B214" i="4"/>
  <c r="B165" i="4"/>
  <c r="B173" i="4"/>
  <c r="B181" i="4"/>
  <c r="B123" i="4"/>
  <c r="B131" i="4"/>
  <c r="B139" i="4"/>
  <c r="B147" i="4"/>
  <c r="B105" i="4"/>
  <c r="B113" i="4"/>
  <c r="B185" i="4"/>
  <c r="B193" i="4"/>
  <c r="B201" i="4"/>
  <c r="B209" i="4"/>
  <c r="B217" i="4"/>
  <c r="B160" i="4"/>
  <c r="B168" i="4"/>
  <c r="B176" i="4"/>
  <c r="B184" i="4"/>
  <c r="B126" i="4"/>
  <c r="B134" i="4"/>
  <c r="B142" i="4"/>
  <c r="B150" i="4"/>
  <c r="B108" i="4"/>
  <c r="B116" i="4"/>
  <c r="B4340" i="7"/>
  <c r="AP85" i="13"/>
  <c r="BA85" i="13" s="1"/>
  <c r="R36" i="13"/>
  <c r="T36" i="13" s="1"/>
  <c r="AP36" i="13" s="1"/>
  <c r="BA36" i="13" s="1"/>
  <c r="AX74" i="13"/>
  <c r="BA133" i="13"/>
  <c r="Z69" i="13"/>
  <c r="AB69" i="13" s="1"/>
  <c r="AQ69" i="13" s="1"/>
  <c r="Z54" i="13"/>
  <c r="AB54" i="13" s="1"/>
  <c r="AQ54" i="13" s="1"/>
  <c r="Z85" i="13"/>
  <c r="AB85" i="13" s="1"/>
  <c r="AQ85" i="13" s="1"/>
  <c r="R73" i="13"/>
  <c r="T73" i="13" s="1"/>
  <c r="AP73" i="13" s="1"/>
  <c r="BA73" i="13" s="1"/>
  <c r="AP53" i="13"/>
  <c r="BA53" i="13" s="1"/>
  <c r="R24" i="13"/>
  <c r="T24" i="13" s="1"/>
  <c r="AP24" i="13" s="1"/>
  <c r="AQ122" i="13"/>
  <c r="R87" i="13"/>
  <c r="T87" i="13" s="1"/>
  <c r="AP87" i="13" s="1"/>
  <c r="BA87" i="13" s="1"/>
  <c r="AQ80" i="13"/>
  <c r="AQ88" i="13"/>
  <c r="AP121" i="13"/>
  <c r="BA121" i="13" s="1"/>
  <c r="R35" i="13"/>
  <c r="T35" i="13" s="1"/>
  <c r="AP35" i="13" s="1"/>
  <c r="BA35" i="13" s="1"/>
  <c r="Z81" i="13"/>
  <c r="AB81" i="13" s="1"/>
  <c r="AQ81" i="13" s="1"/>
  <c r="R40" i="13"/>
  <c r="T40" i="13" s="1"/>
  <c r="AP40" i="13" s="1"/>
  <c r="AQ131" i="13"/>
  <c r="AQ103" i="13"/>
  <c r="Z47" i="13"/>
  <c r="AB47" i="13" s="1"/>
  <c r="AQ47" i="13" s="1"/>
  <c r="T124" i="13"/>
  <c r="AP124" i="13" s="1"/>
  <c r="BA124" i="13" s="1"/>
  <c r="AQ32" i="13"/>
  <c r="AQ79" i="13"/>
  <c r="Z29" i="13"/>
  <c r="AB29" i="13" s="1"/>
  <c r="AQ29" i="13" s="1"/>
  <c r="Z17" i="13"/>
  <c r="AB17" i="13" s="1"/>
  <c r="AQ17" i="13" s="1"/>
  <c r="AQ135" i="13"/>
  <c r="AQ128" i="13"/>
  <c r="R25" i="13"/>
  <c r="T25" i="13" s="1"/>
  <c r="AP25" i="13" s="1"/>
  <c r="Z22" i="13"/>
  <c r="AB22" i="13" s="1"/>
  <c r="AQ22" i="13" s="1"/>
  <c r="R84" i="13"/>
  <c r="T84" i="13" s="1"/>
  <c r="AP84" i="13" s="1"/>
  <c r="BA84" i="13" s="1"/>
  <c r="R19" i="13"/>
  <c r="T19" i="13" s="1"/>
  <c r="AP19" i="13" s="1"/>
  <c r="R58" i="13"/>
  <c r="T58" i="13" s="1"/>
  <c r="AP58" i="13" s="1"/>
  <c r="AP120" i="13"/>
  <c r="BA120" i="13" s="1"/>
  <c r="Z26" i="13"/>
  <c r="AB26" i="13" s="1"/>
  <c r="AQ26" i="13" s="1"/>
  <c r="Z95" i="13"/>
  <c r="AB95" i="13" s="1"/>
  <c r="AQ95" i="13" s="1"/>
  <c r="AQ112" i="13"/>
  <c r="Z24" i="13"/>
  <c r="AB24" i="13" s="1"/>
  <c r="AQ24" i="13" s="1"/>
  <c r="AQ100" i="13"/>
  <c r="AQ107" i="13"/>
  <c r="T93" i="13"/>
  <c r="AP93" i="13" s="1"/>
  <c r="BA93" i="13" s="1"/>
  <c r="AX93" i="13"/>
  <c r="T29" i="13"/>
  <c r="AP29" i="13" s="1"/>
  <c r="BA29" i="13" s="1"/>
  <c r="AX29" i="13"/>
  <c r="T51" i="13"/>
  <c r="AP51" i="13" s="1"/>
  <c r="BA51" i="13" s="1"/>
  <c r="AX51" i="13"/>
  <c r="R39" i="13"/>
  <c r="T39" i="13" s="1"/>
  <c r="AP39" i="13" s="1"/>
  <c r="BA39" i="13" s="1"/>
  <c r="Z23" i="13"/>
  <c r="AB23" i="13" s="1"/>
  <c r="AQ23" i="13" s="1"/>
  <c r="Z42" i="13"/>
  <c r="AB42" i="13" s="1"/>
  <c r="AQ42" i="13" s="1"/>
  <c r="Z71" i="13"/>
  <c r="AB71" i="13" s="1"/>
  <c r="AQ71" i="13" s="1"/>
  <c r="Z34" i="13"/>
  <c r="AB34" i="13" s="1"/>
  <c r="AQ34" i="13" s="1"/>
  <c r="AQ134" i="13"/>
  <c r="Z44" i="13"/>
  <c r="AB44" i="13" s="1"/>
  <c r="AQ44" i="13" s="1"/>
  <c r="AX96" i="13"/>
  <c r="AQ108" i="13"/>
  <c r="AQ16" i="13"/>
  <c r="R41" i="13"/>
  <c r="T41" i="13" s="1"/>
  <c r="AP41" i="13" s="1"/>
  <c r="BA41" i="13" s="1"/>
  <c r="AQ116" i="13"/>
  <c r="Z36" i="13"/>
  <c r="AB36" i="13" s="1"/>
  <c r="AQ36" i="13" s="1"/>
  <c r="Z41" i="13"/>
  <c r="AB41" i="13" s="1"/>
  <c r="AQ41" i="13" s="1"/>
  <c r="Z68" i="13"/>
  <c r="AB68" i="13" s="1"/>
  <c r="AQ68" i="13" s="1"/>
  <c r="R77" i="13"/>
  <c r="T77" i="13" s="1"/>
  <c r="AP77" i="13" s="1"/>
  <c r="BA77" i="13" s="1"/>
  <c r="AP112" i="13"/>
  <c r="BA112" i="13" s="1"/>
  <c r="AQ114" i="13"/>
  <c r="R88" i="13"/>
  <c r="AX88" i="13" s="1"/>
  <c r="R26" i="13"/>
  <c r="T26" i="13" s="1"/>
  <c r="AP26" i="13" s="1"/>
  <c r="BA26" i="13" s="1"/>
  <c r="Z30" i="13"/>
  <c r="AB30" i="13" s="1"/>
  <c r="AQ30" i="13" s="1"/>
  <c r="Z89" i="13"/>
  <c r="AB89" i="13" s="1"/>
  <c r="AQ89" i="13" s="1"/>
  <c r="AP126" i="13"/>
  <c r="BA126" i="13" s="1"/>
  <c r="Z50" i="13"/>
  <c r="AB50" i="13" s="1"/>
  <c r="AQ50" i="13" s="1"/>
  <c r="Z96" i="13"/>
  <c r="AB96" i="13" s="1"/>
  <c r="AQ96" i="13" s="1"/>
  <c r="AP129" i="13"/>
  <c r="BA129" i="13" s="1"/>
  <c r="AQ37" i="13"/>
  <c r="AQ72" i="13"/>
  <c r="R97" i="13"/>
  <c r="T97" i="13" s="1"/>
  <c r="AP97" i="13" s="1"/>
  <c r="BA97" i="13" s="1"/>
  <c r="R80" i="13"/>
  <c r="AX80" i="13" s="1"/>
  <c r="Z58" i="13"/>
  <c r="AB58" i="13" s="1"/>
  <c r="AQ58" i="13" s="1"/>
  <c r="R23" i="13"/>
  <c r="T23" i="13" s="1"/>
  <c r="AP23" i="13" s="1"/>
  <c r="BA23" i="13" s="1"/>
  <c r="R22" i="13"/>
  <c r="T22" i="13" s="1"/>
  <c r="AP22" i="13" s="1"/>
  <c r="BA22" i="13" s="1"/>
  <c r="Z49" i="13"/>
  <c r="AB49" i="13" s="1"/>
  <c r="AQ49" i="13" s="1"/>
  <c r="AP32" i="13"/>
  <c r="BA32" i="13" s="1"/>
  <c r="R95" i="13"/>
  <c r="T95" i="13" s="1"/>
  <c r="AP95" i="13" s="1"/>
  <c r="BA95" i="13" s="1"/>
  <c r="Z18" i="13"/>
  <c r="AB18" i="13" s="1"/>
  <c r="AQ18" i="13" s="1"/>
  <c r="AZ127" i="13"/>
  <c r="AP107" i="13"/>
  <c r="AP20" i="13"/>
  <c r="BA20" i="13" s="1"/>
  <c r="AX85" i="13"/>
  <c r="Z82" i="13"/>
  <c r="AB82" i="13" s="1"/>
  <c r="AQ82" i="13" s="1"/>
  <c r="Z86" i="13"/>
  <c r="AB86" i="13" s="1"/>
  <c r="AQ86" i="13" s="1"/>
  <c r="AQ92" i="13"/>
  <c r="AQ67" i="13"/>
  <c r="AX37" i="13"/>
  <c r="AQ40" i="13"/>
  <c r="AX112" i="13"/>
  <c r="AX99" i="13"/>
  <c r="T137" i="13"/>
  <c r="AP137" i="13" s="1"/>
  <c r="BA137" i="13" s="1"/>
  <c r="AX137" i="13"/>
  <c r="AQ31" i="13"/>
  <c r="AX120" i="13"/>
  <c r="AQ127" i="13"/>
  <c r="AX129" i="13"/>
  <c r="BA101" i="13"/>
  <c r="AX21" i="13"/>
  <c r="AP100" i="13"/>
  <c r="BA100" i="13" s="1"/>
  <c r="AP86" i="13"/>
  <c r="BA86" i="13" s="1"/>
  <c r="AP48" i="13"/>
  <c r="BA48" i="13" s="1"/>
  <c r="AQ76" i="13"/>
  <c r="AQ19" i="13"/>
  <c r="AQ110" i="13"/>
  <c r="AP115" i="13"/>
  <c r="BA115" i="13" s="1"/>
  <c r="AP99" i="13"/>
  <c r="BA99" i="13" s="1"/>
  <c r="AX72" i="13"/>
  <c r="AX136" i="13"/>
  <c r="AQ113" i="13"/>
  <c r="AQ43" i="13"/>
  <c r="AQ137" i="13"/>
  <c r="AP127" i="13"/>
  <c r="AQ99" i="13"/>
  <c r="AQ101" i="13"/>
  <c r="T134" i="13"/>
  <c r="AP134" i="13" s="1"/>
  <c r="BA134" i="13" s="1"/>
  <c r="AX134" i="13"/>
  <c r="T109" i="13"/>
  <c r="AP109" i="13" s="1"/>
  <c r="BA109" i="13" s="1"/>
  <c r="AX109" i="13"/>
  <c r="AP34" i="13"/>
  <c r="BA34" i="13" s="1"/>
  <c r="BA89" i="13"/>
  <c r="AX34" i="13"/>
  <c r="AX125" i="13"/>
  <c r="AP125" i="13"/>
  <c r="BA125" i="13" s="1"/>
  <c r="AP104" i="13"/>
  <c r="BA104" i="13" s="1"/>
  <c r="AQ73" i="13"/>
  <c r="AX16" i="13"/>
  <c r="AP118" i="13"/>
  <c r="BA118" i="13" s="1"/>
  <c r="AX118" i="13"/>
  <c r="AX32" i="13"/>
  <c r="AQ55" i="13"/>
  <c r="AX126" i="13"/>
  <c r="AX113" i="13"/>
  <c r="AX135" i="13"/>
  <c r="AQ125" i="13"/>
  <c r="AQ109" i="13"/>
  <c r="AX53" i="13"/>
  <c r="T128" i="13"/>
  <c r="AP128" i="13" s="1"/>
  <c r="BA128" i="13" s="1"/>
  <c r="AX128" i="13"/>
  <c r="AQ102" i="13"/>
  <c r="T111" i="13"/>
  <c r="AP111" i="13" s="1"/>
  <c r="BA111" i="13" s="1"/>
  <c r="AX111" i="13"/>
  <c r="T110" i="13"/>
  <c r="AP110" i="13" s="1"/>
  <c r="BA110" i="13" s="1"/>
  <c r="AX110" i="13"/>
  <c r="T116" i="13"/>
  <c r="AP116" i="13" s="1"/>
  <c r="BA116" i="13" s="1"/>
  <c r="AX116" i="13"/>
  <c r="T103" i="13"/>
  <c r="AP103" i="13" s="1"/>
  <c r="BA103" i="13" s="1"/>
  <c r="AX103" i="13"/>
  <c r="T106" i="13"/>
  <c r="AP106" i="13" s="1"/>
  <c r="BA106" i="13" s="1"/>
  <c r="AX106" i="13"/>
  <c r="T122" i="13"/>
  <c r="AP122" i="13" s="1"/>
  <c r="BA122" i="13" s="1"/>
  <c r="AX122" i="13"/>
  <c r="T105" i="13"/>
  <c r="AP105" i="13" s="1"/>
  <c r="BA105" i="13" s="1"/>
  <c r="AX105" i="13"/>
  <c r="AX86" i="13"/>
  <c r="AX17" i="13"/>
  <c r="AZ96" i="13"/>
  <c r="AX115" i="13"/>
  <c r="T117" i="13"/>
  <c r="AP117" i="13" s="1"/>
  <c r="BA117" i="13" s="1"/>
  <c r="AX117" i="13"/>
  <c r="AX89" i="13"/>
  <c r="AZ81" i="13"/>
  <c r="BA55" i="13"/>
  <c r="AP17" i="13"/>
  <c r="BA17" i="13" s="1"/>
  <c r="T92" i="13"/>
  <c r="AP92" i="13" s="1"/>
  <c r="BA92" i="13" s="1"/>
  <c r="AX92" i="13"/>
  <c r="AX55" i="13"/>
  <c r="AX121" i="13"/>
  <c r="BA79" i="13"/>
  <c r="AQ105" i="13"/>
  <c r="AX101" i="13"/>
  <c r="AX79" i="13"/>
  <c r="AX100" i="13"/>
  <c r="AX104" i="13"/>
  <c r="AX18" i="13"/>
  <c r="T18" i="13"/>
  <c r="AP18" i="13" s="1"/>
  <c r="BA18" i="13" s="1"/>
  <c r="AP83" i="13"/>
  <c r="BA83" i="13" s="1"/>
  <c r="T114" i="13"/>
  <c r="AP114" i="13" s="1"/>
  <c r="BA114" i="13" s="1"/>
  <c r="AX114" i="13"/>
  <c r="AX83" i="13"/>
  <c r="AP113" i="13"/>
  <c r="BA113" i="13" s="1"/>
  <c r="AX102" i="13"/>
  <c r="AZ107" i="13"/>
  <c r="AX107" i="13"/>
  <c r="AQ28" i="13"/>
  <c r="AX70" i="13"/>
  <c r="AQ57" i="13"/>
  <c r="T82" i="13"/>
  <c r="AP82" i="13" s="1"/>
  <c r="BA82" i="13" s="1"/>
  <c r="AX82" i="13"/>
  <c r="T30" i="13"/>
  <c r="AP30" i="13" s="1"/>
  <c r="AX30" i="13"/>
  <c r="AX57" i="13"/>
  <c r="AP75" i="13"/>
  <c r="BA75" i="13" s="1"/>
  <c r="AX67" i="13"/>
  <c r="T67" i="13"/>
  <c r="AP67" i="13" s="1"/>
  <c r="AQ25" i="13"/>
  <c r="AX75" i="13"/>
  <c r="AX20" i="13"/>
  <c r="T76" i="13"/>
  <c r="AP76" i="13" s="1"/>
  <c r="BA76" i="13" s="1"/>
  <c r="AX76" i="13"/>
  <c r="T33" i="13"/>
  <c r="AP33" i="13" s="1"/>
  <c r="BA33" i="13" s="1"/>
  <c r="AX33" i="13"/>
  <c r="AX68" i="13"/>
  <c r="AQ33" i="13"/>
  <c r="T49" i="13"/>
  <c r="AP49" i="13" s="1"/>
  <c r="BA49" i="13" s="1"/>
  <c r="AX49" i="13"/>
  <c r="BA72" i="13"/>
  <c r="AX47" i="13"/>
  <c r="T47" i="13"/>
  <c r="AP47" i="13" s="1"/>
  <c r="T54" i="13"/>
  <c r="AP54" i="13" s="1"/>
  <c r="AX54" i="13"/>
  <c r="T31" i="13"/>
  <c r="AP31" i="13" s="1"/>
  <c r="BA31" i="13" s="1"/>
  <c r="AX31" i="13"/>
  <c r="T50" i="13"/>
  <c r="AP50" i="13" s="1"/>
  <c r="AX50" i="13"/>
  <c r="AX48" i="13"/>
  <c r="T69" i="13"/>
  <c r="AP69" i="13" s="1"/>
  <c r="AX69" i="13"/>
  <c r="S63" i="14"/>
  <c r="AD63" i="14" s="1"/>
  <c r="AD100" i="14"/>
  <c r="Z95" i="14"/>
  <c r="AD91" i="14"/>
  <c r="AD93" i="14"/>
  <c r="Z100" i="14"/>
  <c r="AD98" i="14"/>
  <c r="Z98" i="14"/>
  <c r="AD96" i="14"/>
  <c r="Z96" i="14"/>
  <c r="AD99" i="14"/>
  <c r="AD97" i="14"/>
  <c r="AD94" i="14"/>
  <c r="AD92" i="14"/>
  <c r="Z93" i="14"/>
  <c r="AD95" i="14"/>
  <c r="Z92" i="14"/>
  <c r="Z70" i="14"/>
  <c r="Z97" i="14"/>
  <c r="Z94" i="14"/>
  <c r="Z91" i="14"/>
  <c r="Z99" i="14"/>
  <c r="AD57" i="14"/>
  <c r="AD65" i="14"/>
  <c r="Z54" i="14"/>
  <c r="Z55" i="14"/>
  <c r="AD55" i="14"/>
  <c r="AD62" i="14"/>
  <c r="AD58" i="14"/>
  <c r="Z58" i="14"/>
  <c r="Z57" i="14"/>
  <c r="AD54" i="14"/>
  <c r="Z62" i="14"/>
  <c r="AD28" i="14"/>
  <c r="AD27" i="14"/>
  <c r="Z28" i="14"/>
  <c r="Z26" i="14"/>
  <c r="AD24" i="14"/>
  <c r="AD22" i="14"/>
  <c r="AD29" i="14"/>
  <c r="AD23" i="14"/>
  <c r="Z118" i="14"/>
  <c r="Z120" i="14"/>
  <c r="Z24" i="14"/>
  <c r="AD26" i="14"/>
  <c r="Z23" i="14"/>
  <c r="Z119" i="14"/>
  <c r="Z29" i="14"/>
  <c r="Z46" i="14"/>
  <c r="U121" i="14"/>
  <c r="D134" i="14" s="1"/>
  <c r="V121" i="14"/>
  <c r="E134" i="14" s="1"/>
  <c r="W121" i="14"/>
  <c r="F134" i="14" s="1"/>
  <c r="Y121" i="14"/>
  <c r="H134" i="14" s="1"/>
  <c r="X121" i="14"/>
  <c r="G134" i="14" s="1"/>
  <c r="AD53" i="14"/>
  <c r="Q121" i="14"/>
  <c r="T114" i="14"/>
  <c r="T121" i="14" s="1"/>
  <c r="C134" i="14" s="1"/>
  <c r="Z104" i="14"/>
  <c r="Z108" i="14"/>
  <c r="Z85" i="14"/>
  <c r="U109" i="14"/>
  <c r="D133" i="14" s="1"/>
  <c r="W109" i="14"/>
  <c r="F133" i="14" s="1"/>
  <c r="Z107" i="14"/>
  <c r="X109" i="14"/>
  <c r="G133" i="14" s="1"/>
  <c r="V109" i="14"/>
  <c r="E133" i="14" s="1"/>
  <c r="Y109" i="14"/>
  <c r="H133" i="14" s="1"/>
  <c r="Q84" i="14"/>
  <c r="T84" i="14" s="1"/>
  <c r="Z84" i="14" s="1"/>
  <c r="Z78" i="14"/>
  <c r="AD78" i="14"/>
  <c r="T76" i="14"/>
  <c r="AD85" i="14"/>
  <c r="Z88" i="14"/>
  <c r="AD88" i="14"/>
  <c r="V71" i="14"/>
  <c r="E132" i="14" s="1"/>
  <c r="AC71" i="14"/>
  <c r="L132" i="14" s="1"/>
  <c r="U71" i="14"/>
  <c r="D132" i="14" s="1"/>
  <c r="W71" i="14"/>
  <c r="F132" i="14" s="1"/>
  <c r="AC109" i="14"/>
  <c r="L133" i="14" s="1"/>
  <c r="Z53" i="14"/>
  <c r="X71" i="14"/>
  <c r="G132" i="14" s="1"/>
  <c r="Q49" i="14"/>
  <c r="Z69" i="14"/>
  <c r="Y71" i="14"/>
  <c r="H132" i="14" s="1"/>
  <c r="H251" i="24" s="1"/>
  <c r="D251" i="24" s="1"/>
  <c r="AD45" i="14"/>
  <c r="Z45" i="14"/>
  <c r="AD51" i="14"/>
  <c r="T41" i="14"/>
  <c r="AD41" i="14" s="1"/>
  <c r="AD46" i="14"/>
  <c r="Z51" i="14"/>
  <c r="F151" i="4"/>
  <c r="J151" i="4" s="1"/>
  <c r="W97" i="4"/>
  <c r="D107" i="4"/>
  <c r="AC107" i="4" s="1"/>
  <c r="D163" i="4"/>
  <c r="V163" i="4" s="1"/>
  <c r="F144" i="4"/>
  <c r="V144" i="4" s="1"/>
  <c r="F158" i="4"/>
  <c r="J158" i="4" s="1"/>
  <c r="F120" i="4"/>
  <c r="J120" i="4" s="1"/>
  <c r="D155" i="4"/>
  <c r="V155" i="4" s="1"/>
  <c r="D125" i="4"/>
  <c r="AC125" i="4" s="1"/>
  <c r="C285" i="4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F113" i="4"/>
  <c r="J113" i="4" s="1"/>
  <c r="J110" i="4"/>
  <c r="D110" i="4"/>
  <c r="AC110" i="4" s="1"/>
  <c r="D161" i="4"/>
  <c r="W161" i="4" s="1"/>
  <c r="D118" i="4"/>
  <c r="AC118" i="4" s="1"/>
  <c r="D106" i="4"/>
  <c r="V106" i="4" s="1"/>
  <c r="F109" i="4"/>
  <c r="J109" i="4" s="1"/>
  <c r="D117" i="4"/>
  <c r="W117" i="4" s="1"/>
  <c r="F142" i="4"/>
  <c r="V142" i="4" s="1"/>
  <c r="F146" i="4"/>
  <c r="J146" i="4" s="1"/>
  <c r="F105" i="4"/>
  <c r="W105" i="4" s="1"/>
  <c r="F108" i="4"/>
  <c r="J108" i="4" s="1"/>
  <c r="F127" i="4"/>
  <c r="J127" i="4" s="1"/>
  <c r="D102" i="4"/>
  <c r="AC102" i="4" s="1"/>
  <c r="D115" i="4"/>
  <c r="AC115" i="4" s="1"/>
  <c r="J116" i="4"/>
  <c r="F111" i="4"/>
  <c r="D111" i="4"/>
  <c r="F150" i="4"/>
  <c r="V150" i="4" s="1"/>
  <c r="J114" i="4"/>
  <c r="F128" i="4"/>
  <c r="W128" i="4" s="1"/>
  <c r="D143" i="4"/>
  <c r="F143" i="4"/>
  <c r="D147" i="4"/>
  <c r="AC147" i="4" s="1"/>
  <c r="F134" i="4"/>
  <c r="V134" i="4" s="1"/>
  <c r="F178" i="4"/>
  <c r="J178" i="4" s="1"/>
  <c r="D116" i="4"/>
  <c r="D103" i="4"/>
  <c r="J107" i="4"/>
  <c r="F130" i="4"/>
  <c r="J130" i="4" s="1"/>
  <c r="J112" i="4"/>
  <c r="F162" i="4"/>
  <c r="J162" i="4" s="1"/>
  <c r="F135" i="4"/>
  <c r="J135" i="4" s="1"/>
  <c r="D195" i="4"/>
  <c r="F195" i="4"/>
  <c r="J195" i="4" s="1"/>
  <c r="D167" i="4"/>
  <c r="AC167" i="4" s="1"/>
  <c r="J115" i="4"/>
  <c r="J106" i="4"/>
  <c r="D114" i="4"/>
  <c r="D112" i="4"/>
  <c r="D139" i="4"/>
  <c r="AC139" i="4" s="1"/>
  <c r="F104" i="4"/>
  <c r="AC104" i="4" s="1"/>
  <c r="F122" i="4"/>
  <c r="J122" i="4" s="1"/>
  <c r="D126" i="4"/>
  <c r="F138" i="4"/>
  <c r="J138" i="4" s="1"/>
  <c r="F119" i="4"/>
  <c r="F136" i="4"/>
  <c r="W136" i="4" s="1"/>
  <c r="D141" i="4"/>
  <c r="W141" i="4" s="1"/>
  <c r="J129" i="4"/>
  <c r="D137" i="4"/>
  <c r="W137" i="4" s="1"/>
  <c r="J121" i="4"/>
  <c r="D129" i="4"/>
  <c r="D121" i="4"/>
  <c r="F196" i="4"/>
  <c r="W196" i="4" s="1"/>
  <c r="J137" i="4"/>
  <c r="D123" i="4"/>
  <c r="W123" i="4" s="1"/>
  <c r="F153" i="4"/>
  <c r="J153" i="4" s="1"/>
  <c r="F171" i="4"/>
  <c r="D171" i="4"/>
  <c r="D131" i="4"/>
  <c r="D174" i="4"/>
  <c r="V174" i="4" s="1"/>
  <c r="D183" i="4"/>
  <c r="W183" i="4" s="1"/>
  <c r="D149" i="4"/>
  <c r="W149" i="4" s="1"/>
  <c r="D145" i="4"/>
  <c r="W145" i="4" s="1"/>
  <c r="J179" i="4"/>
  <c r="J155" i="4"/>
  <c r="D173" i="4"/>
  <c r="AC173" i="4" s="1"/>
  <c r="D133" i="4"/>
  <c r="J148" i="4"/>
  <c r="D172" i="4"/>
  <c r="AC172" i="4" s="1"/>
  <c r="J145" i="4"/>
  <c r="D170" i="4"/>
  <c r="F170" i="4"/>
  <c r="F188" i="4"/>
  <c r="J188" i="4" s="1"/>
  <c r="D180" i="4"/>
  <c r="V180" i="4" s="1"/>
  <c r="J132" i="4"/>
  <c r="F200" i="4"/>
  <c r="J200" i="4" s="1"/>
  <c r="F165" i="4"/>
  <c r="J165" i="4" s="1"/>
  <c r="D165" i="4"/>
  <c r="D148" i="4"/>
  <c r="W148" i="4" s="1"/>
  <c r="D132" i="4"/>
  <c r="F124" i="4"/>
  <c r="V124" i="4" s="1"/>
  <c r="F140" i="4"/>
  <c r="D179" i="4"/>
  <c r="AC179" i="4" s="1"/>
  <c r="F169" i="4"/>
  <c r="J169" i="4" s="1"/>
  <c r="J166" i="4"/>
  <c r="J181" i="4"/>
  <c r="J156" i="4"/>
  <c r="J182" i="4"/>
  <c r="J159" i="4"/>
  <c r="J180" i="4"/>
  <c r="F154" i="4"/>
  <c r="AC154" i="4" s="1"/>
  <c r="F177" i="4"/>
  <c r="F187" i="4"/>
  <c r="F164" i="4"/>
  <c r="V164" i="4" s="1"/>
  <c r="D156" i="4"/>
  <c r="J174" i="4"/>
  <c r="D181" i="4"/>
  <c r="W181" i="4" s="1"/>
  <c r="F176" i="4"/>
  <c r="D176" i="4"/>
  <c r="D175" i="4"/>
  <c r="F192" i="4"/>
  <c r="J192" i="4" s="1"/>
  <c r="F208" i="4"/>
  <c r="J208" i="4" s="1"/>
  <c r="J175" i="4"/>
  <c r="F203" i="4"/>
  <c r="J203" i="4" s="1"/>
  <c r="F212" i="4"/>
  <c r="D166" i="4"/>
  <c r="F168" i="4"/>
  <c r="D168" i="4"/>
  <c r="D182" i="4"/>
  <c r="W182" i="4" s="1"/>
  <c r="J183" i="4"/>
  <c r="J184" i="4"/>
  <c r="J163" i="4"/>
  <c r="D159" i="4"/>
  <c r="W159" i="4" s="1"/>
  <c r="F160" i="4"/>
  <c r="D160" i="4"/>
  <c r="F152" i="4"/>
  <c r="D152" i="4"/>
  <c r="D204" i="4"/>
  <c r="F204" i="4"/>
  <c r="J204" i="4" s="1"/>
  <c r="F211" i="4"/>
  <c r="J211" i="4" s="1"/>
  <c r="F216" i="4"/>
  <c r="J216" i="4" s="1"/>
  <c r="D216" i="4"/>
  <c r="D184" i="4"/>
  <c r="W184" i="4" s="1"/>
  <c r="D210" i="4"/>
  <c r="AC210" i="4" s="1"/>
  <c r="J215" i="4"/>
  <c r="J207" i="4"/>
  <c r="J199" i="4"/>
  <c r="J191" i="4"/>
  <c r="D190" i="4"/>
  <c r="W190" i="4" s="1"/>
  <c r="J213" i="4"/>
  <c r="J210" i="4"/>
  <c r="J197" i="4"/>
  <c r="D202" i="4"/>
  <c r="W202" i="4" s="1"/>
  <c r="D207" i="4"/>
  <c r="F80" i="4"/>
  <c r="J80" i="4" s="1"/>
  <c r="Z80" i="4" s="1"/>
  <c r="D194" i="4"/>
  <c r="W194" i="4" s="1"/>
  <c r="J202" i="4"/>
  <c r="J206" i="4"/>
  <c r="J209" i="4"/>
  <c r="D199" i="4"/>
  <c r="D206" i="4"/>
  <c r="W206" i="4" s="1"/>
  <c r="D215" i="4"/>
  <c r="J217" i="4"/>
  <c r="J198" i="4"/>
  <c r="J189" i="4"/>
  <c r="D191" i="4"/>
  <c r="W191" i="4" s="1"/>
  <c r="D198" i="4"/>
  <c r="J205" i="4"/>
  <c r="J190" i="4"/>
  <c r="D186" i="4"/>
  <c r="W186" i="4" s="1"/>
  <c r="F185" i="4"/>
  <c r="D185" i="4"/>
  <c r="J186" i="4"/>
  <c r="J214" i="4"/>
  <c r="D189" i="4"/>
  <c r="W189" i="4" s="1"/>
  <c r="D197" i="4"/>
  <c r="W197" i="4" s="1"/>
  <c r="D205" i="4"/>
  <c r="W205" i="4" s="1"/>
  <c r="D213" i="4"/>
  <c r="W95" i="4"/>
  <c r="W93" i="4"/>
  <c r="W99" i="4"/>
  <c r="D214" i="4"/>
  <c r="D193" i="4"/>
  <c r="W193" i="4" s="1"/>
  <c r="D217" i="4"/>
  <c r="W217" i="4" s="1"/>
  <c r="D209" i="4"/>
  <c r="W209" i="4" s="1"/>
  <c r="D201" i="4"/>
  <c r="F100" i="4"/>
  <c r="V100" i="4" s="1"/>
  <c r="D74" i="4"/>
  <c r="AC74" i="4" s="1"/>
  <c r="F78" i="4"/>
  <c r="J78" i="4" s="1"/>
  <c r="Z78" i="4" s="1"/>
  <c r="J98" i="4"/>
  <c r="W98" i="4"/>
  <c r="J94" i="4"/>
  <c r="W94" i="4"/>
  <c r="Y100" i="4"/>
  <c r="W96" i="4"/>
  <c r="J96" i="4"/>
  <c r="D97" i="4"/>
  <c r="D82" i="4"/>
  <c r="AC82" i="4" s="1"/>
  <c r="F84" i="4"/>
  <c r="J84" i="4" s="1"/>
  <c r="D84" i="4"/>
  <c r="Y84" i="4" s="1"/>
  <c r="F86" i="4"/>
  <c r="J86" i="4" s="1"/>
  <c r="D86" i="4"/>
  <c r="Y86" i="4" s="1"/>
  <c r="D98" i="4"/>
  <c r="J97" i="4"/>
  <c r="D88" i="4"/>
  <c r="AC88" i="4" s="1"/>
  <c r="D93" i="4"/>
  <c r="D99" i="4"/>
  <c r="Y99" i="4" s="1"/>
  <c r="D95" i="4"/>
  <c r="F76" i="4"/>
  <c r="J76" i="4" s="1"/>
  <c r="Z76" i="4" s="1"/>
  <c r="D96" i="4"/>
  <c r="D90" i="4"/>
  <c r="AC90" i="4" s="1"/>
  <c r="F92" i="4"/>
  <c r="J92" i="4" s="1"/>
  <c r="D92" i="4"/>
  <c r="D94" i="4"/>
  <c r="J93" i="4"/>
  <c r="J99" i="4"/>
  <c r="J95" i="4"/>
  <c r="W87" i="4"/>
  <c r="J87" i="4"/>
  <c r="Y81" i="4"/>
  <c r="J75" i="4"/>
  <c r="W75" i="4"/>
  <c r="Y83" i="4"/>
  <c r="J89" i="4"/>
  <c r="W89" i="4"/>
  <c r="J77" i="4"/>
  <c r="W77" i="4"/>
  <c r="J91" i="4"/>
  <c r="W91" i="4"/>
  <c r="W85" i="4"/>
  <c r="J85" i="4"/>
  <c r="Y79" i="4"/>
  <c r="D77" i="4"/>
  <c r="D87" i="4"/>
  <c r="D89" i="4"/>
  <c r="D91" i="4"/>
  <c r="D75" i="4"/>
  <c r="F83" i="4"/>
  <c r="V83" i="4" s="1"/>
  <c r="F81" i="4"/>
  <c r="D85" i="4"/>
  <c r="F79" i="4"/>
  <c r="V79" i="4" s="1"/>
  <c r="W74" i="4"/>
  <c r="W82" i="4"/>
  <c r="W88" i="4"/>
  <c r="W90" i="4"/>
  <c r="Y76" i="4"/>
  <c r="Y78" i="4"/>
  <c r="Y80" i="4"/>
  <c r="B4341" i="7"/>
  <c r="B4336" i="7"/>
  <c r="B4332" i="7"/>
  <c r="B4324" i="7"/>
  <c r="B4322" i="7"/>
  <c r="B4325" i="7"/>
  <c r="A4325" i="7"/>
  <c r="A4332" i="7"/>
  <c r="A4336" i="7"/>
  <c r="C4315" i="7"/>
  <c r="A4324" i="7"/>
  <c r="A4331" i="7"/>
  <c r="B4335" i="7"/>
  <c r="B4339" i="7"/>
  <c r="A4345" i="7"/>
  <c r="A4330" i="7"/>
  <c r="B4345" i="7"/>
  <c r="A4323" i="7"/>
  <c r="B4330" i="7"/>
  <c r="A4333" i="7"/>
  <c r="B4323" i="7"/>
  <c r="A4340" i="7"/>
  <c r="A4335" i="7"/>
  <c r="A4339" i="7"/>
  <c r="A4327" i="7"/>
  <c r="B4337" i="7"/>
  <c r="B4333" i="7"/>
  <c r="B4327" i="7"/>
  <c r="A4341" i="7"/>
  <c r="A4322" i="7"/>
  <c r="A156" i="6"/>
  <c r="C100" i="6"/>
  <c r="A101" i="6"/>
  <c r="A105" i="4" s="1"/>
  <c r="C99" i="6"/>
  <c r="Z117" i="14" l="1"/>
  <c r="Z82" i="14"/>
  <c r="Z21" i="14"/>
  <c r="Z43" i="14"/>
  <c r="AD48" i="14"/>
  <c r="AD116" i="14"/>
  <c r="Z44" i="14"/>
  <c r="AD115" i="14"/>
  <c r="Z25" i="14"/>
  <c r="AX44" i="13"/>
  <c r="AD52" i="14"/>
  <c r="Z60" i="14"/>
  <c r="Z61" i="14"/>
  <c r="S121" i="14"/>
  <c r="B134" i="14" s="1"/>
  <c r="AD81" i="14"/>
  <c r="AD83" i="14"/>
  <c r="AD56" i="14"/>
  <c r="Z50" i="14"/>
  <c r="Z86" i="14"/>
  <c r="AD47" i="14"/>
  <c r="AD90" i="14"/>
  <c r="AD102" i="14"/>
  <c r="Z79" i="14"/>
  <c r="AD44" i="14"/>
  <c r="AD87" i="14"/>
  <c r="Z89" i="14"/>
  <c r="Z101" i="14"/>
  <c r="AD80" i="14"/>
  <c r="AD77" i="14"/>
  <c r="AD59" i="14"/>
  <c r="T49" i="14"/>
  <c r="T71" i="14" s="1"/>
  <c r="S49" i="14"/>
  <c r="S71" i="14" s="1"/>
  <c r="B132" i="14" s="1"/>
  <c r="H252" i="24" s="1"/>
  <c r="AD42" i="14"/>
  <c r="Z63" i="14"/>
  <c r="S109" i="14"/>
  <c r="B133" i="14" s="1"/>
  <c r="H259" i="24" s="1"/>
  <c r="D259" i="24" s="1"/>
  <c r="AX81" i="13"/>
  <c r="D178" i="24"/>
  <c r="AJ177" i="24"/>
  <c r="T66" i="13"/>
  <c r="AP66" i="13" s="1"/>
  <c r="BA66" i="13" s="1"/>
  <c r="B216" i="6"/>
  <c r="B219" i="4"/>
  <c r="T52" i="13"/>
  <c r="AP52" i="13" s="1"/>
  <c r="BA52" i="13" s="1"/>
  <c r="T42" i="13"/>
  <c r="AP42" i="13" s="1"/>
  <c r="BA42" i="13" s="1"/>
  <c r="AX43" i="13"/>
  <c r="T71" i="13"/>
  <c r="AP71" i="13" s="1"/>
  <c r="BA71" i="13" s="1"/>
  <c r="AX84" i="13"/>
  <c r="AX78" i="13"/>
  <c r="AX36" i="13"/>
  <c r="AX25" i="13"/>
  <c r="AX41" i="13"/>
  <c r="AX91" i="13"/>
  <c r="BA96" i="13"/>
  <c r="AX28" i="13"/>
  <c r="AX87" i="13"/>
  <c r="AX90" i="13"/>
  <c r="AX56" i="13"/>
  <c r="AX97" i="13"/>
  <c r="AX19" i="13"/>
  <c r="AX24" i="13"/>
  <c r="AX40" i="13"/>
  <c r="BA127" i="13"/>
  <c r="A157" i="6"/>
  <c r="C157" i="6" s="1"/>
  <c r="A160" i="4"/>
  <c r="J144" i="4"/>
  <c r="W144" i="4"/>
  <c r="AC106" i="4"/>
  <c r="W158" i="4"/>
  <c r="AC144" i="4"/>
  <c r="AC158" i="4"/>
  <c r="V158" i="4"/>
  <c r="V108" i="4"/>
  <c r="W120" i="4"/>
  <c r="V120" i="4"/>
  <c r="AC120" i="4"/>
  <c r="V171" i="4"/>
  <c r="V165" i="4"/>
  <c r="W173" i="4"/>
  <c r="AC163" i="4"/>
  <c r="AC80" i="4"/>
  <c r="W171" i="4"/>
  <c r="V195" i="4"/>
  <c r="AC203" i="4"/>
  <c r="V192" i="4"/>
  <c r="W195" i="4"/>
  <c r="AC195" i="4"/>
  <c r="W151" i="4"/>
  <c r="V151" i="4"/>
  <c r="W203" i="4"/>
  <c r="V127" i="4"/>
  <c r="AC151" i="4"/>
  <c r="V173" i="4"/>
  <c r="AC161" i="4"/>
  <c r="AC127" i="4"/>
  <c r="V107" i="4"/>
  <c r="W109" i="4"/>
  <c r="V161" i="4"/>
  <c r="W135" i="4"/>
  <c r="W188" i="4"/>
  <c r="W127" i="4"/>
  <c r="V110" i="4"/>
  <c r="V113" i="4"/>
  <c r="J196" i="4"/>
  <c r="AC188" i="4"/>
  <c r="W115" i="4"/>
  <c r="W107" i="4"/>
  <c r="W106" i="4"/>
  <c r="AC155" i="4"/>
  <c r="W155" i="4"/>
  <c r="J119" i="4"/>
  <c r="W119" i="4"/>
  <c r="AC105" i="4"/>
  <c r="AX23" i="13"/>
  <c r="AX58" i="13"/>
  <c r="AX35" i="13"/>
  <c r="AX73" i="13"/>
  <c r="T80" i="13"/>
  <c r="AP80" i="13" s="1"/>
  <c r="BA80" i="13" s="1"/>
  <c r="AX39" i="13"/>
  <c r="AX77" i="13"/>
  <c r="T88" i="13"/>
  <c r="AP88" i="13" s="1"/>
  <c r="BA88" i="13" s="1"/>
  <c r="AX22" i="13"/>
  <c r="AX95" i="13"/>
  <c r="AX26" i="13"/>
  <c r="BA107" i="13"/>
  <c r="BA81" i="13"/>
  <c r="BA54" i="13"/>
  <c r="BA43" i="13"/>
  <c r="BA69" i="13"/>
  <c r="BA50" i="13"/>
  <c r="BA58" i="13"/>
  <c r="BA57" i="13"/>
  <c r="BA44" i="13"/>
  <c r="BA24" i="13"/>
  <c r="BA30" i="13"/>
  <c r="BA67" i="13"/>
  <c r="BA47" i="13"/>
  <c r="BA19" i="13"/>
  <c r="BA25" i="13"/>
  <c r="BA40" i="13"/>
  <c r="Z114" i="14"/>
  <c r="Z121" i="14" s="1"/>
  <c r="I134" i="14" s="1"/>
  <c r="Q109" i="14"/>
  <c r="T109" i="14"/>
  <c r="AB121" i="14"/>
  <c r="AD76" i="14"/>
  <c r="AD114" i="14"/>
  <c r="AD84" i="14"/>
  <c r="Q71" i="14"/>
  <c r="Z76" i="14"/>
  <c r="Z41" i="14"/>
  <c r="V119" i="4"/>
  <c r="W153" i="4"/>
  <c r="W130" i="4"/>
  <c r="V153" i="4"/>
  <c r="W165" i="4"/>
  <c r="AC130" i="4"/>
  <c r="W125" i="4"/>
  <c r="V139" i="4"/>
  <c r="AC113" i="4"/>
  <c r="V188" i="4"/>
  <c r="AC108" i="4"/>
  <c r="W163" i="4"/>
  <c r="AC135" i="4"/>
  <c r="AC162" i="4"/>
  <c r="AC119" i="4"/>
  <c r="AC122" i="4"/>
  <c r="J105" i="4"/>
  <c r="AC174" i="4"/>
  <c r="W122" i="4"/>
  <c r="V147" i="4"/>
  <c r="V125" i="4"/>
  <c r="W118" i="4"/>
  <c r="W147" i="4"/>
  <c r="V118" i="4"/>
  <c r="W113" i="4"/>
  <c r="AC180" i="4"/>
  <c r="W108" i="4"/>
  <c r="V170" i="4"/>
  <c r="AC165" i="4"/>
  <c r="V138" i="4"/>
  <c r="V115" i="4"/>
  <c r="V178" i="4"/>
  <c r="AC143" i="4"/>
  <c r="V146" i="4"/>
  <c r="V102" i="4"/>
  <c r="AC138" i="4"/>
  <c r="V154" i="4"/>
  <c r="AC117" i="4"/>
  <c r="V117" i="4"/>
  <c r="V135" i="4"/>
  <c r="W178" i="4"/>
  <c r="V105" i="4"/>
  <c r="W110" i="4"/>
  <c r="AC170" i="4"/>
  <c r="W172" i="4"/>
  <c r="AC142" i="4"/>
  <c r="AC146" i="4"/>
  <c r="J142" i="4"/>
  <c r="W142" i="4"/>
  <c r="W208" i="4"/>
  <c r="W146" i="4"/>
  <c r="V109" i="4"/>
  <c r="W102" i="4"/>
  <c r="Z86" i="4"/>
  <c r="W211" i="4"/>
  <c r="W138" i="4"/>
  <c r="AC109" i="4"/>
  <c r="W167" i="4"/>
  <c r="V200" i="4"/>
  <c r="AC164" i="4"/>
  <c r="J136" i="4"/>
  <c r="AC112" i="4"/>
  <c r="V112" i="4"/>
  <c r="V104" i="4"/>
  <c r="AC116" i="4"/>
  <c r="V116" i="4"/>
  <c r="V130" i="4"/>
  <c r="AC141" i="4"/>
  <c r="V141" i="4"/>
  <c r="AC136" i="4"/>
  <c r="AC103" i="4"/>
  <c r="V103" i="4"/>
  <c r="AC178" i="4"/>
  <c r="W116" i="4"/>
  <c r="W162" i="4"/>
  <c r="V143" i="4"/>
  <c r="V114" i="4"/>
  <c r="AC114" i="4"/>
  <c r="AC128" i="4"/>
  <c r="W103" i="4"/>
  <c r="V128" i="4"/>
  <c r="Y88" i="4"/>
  <c r="V122" i="4"/>
  <c r="AC204" i="4"/>
  <c r="J104" i="4"/>
  <c r="W104" i="4"/>
  <c r="J134" i="4"/>
  <c r="W134" i="4"/>
  <c r="AC134" i="4"/>
  <c r="V80" i="4"/>
  <c r="V162" i="4"/>
  <c r="V179" i="4"/>
  <c r="V167" i="4"/>
  <c r="J128" i="4"/>
  <c r="V136" i="4"/>
  <c r="V126" i="4"/>
  <c r="W126" i="4"/>
  <c r="AC126" i="4"/>
  <c r="AC111" i="4"/>
  <c r="V111" i="4"/>
  <c r="V169" i="4"/>
  <c r="W111" i="4"/>
  <c r="J111" i="4"/>
  <c r="W200" i="4"/>
  <c r="W80" i="4"/>
  <c r="V172" i="4"/>
  <c r="W180" i="4"/>
  <c r="AC169" i="4"/>
  <c r="W139" i="4"/>
  <c r="AC200" i="4"/>
  <c r="W169" i="4"/>
  <c r="W112" i="4"/>
  <c r="W114" i="4"/>
  <c r="AC216" i="4"/>
  <c r="W143" i="4"/>
  <c r="J143" i="4"/>
  <c r="J150" i="4"/>
  <c r="W150" i="4"/>
  <c r="AC150" i="4"/>
  <c r="AC131" i="4"/>
  <c r="V131" i="4"/>
  <c r="AC171" i="4"/>
  <c r="J171" i="4"/>
  <c r="AC121" i="4"/>
  <c r="V121" i="4"/>
  <c r="AC129" i="4"/>
  <c r="V129" i="4"/>
  <c r="W129" i="4"/>
  <c r="W179" i="4"/>
  <c r="AC123" i="4"/>
  <c r="V123" i="4"/>
  <c r="W192" i="4"/>
  <c r="AC132" i="4"/>
  <c r="V132" i="4"/>
  <c r="AC133" i="4"/>
  <c r="V133" i="4"/>
  <c r="AC145" i="4"/>
  <c r="V145" i="4"/>
  <c r="W133" i="4"/>
  <c r="J140" i="4"/>
  <c r="W140" i="4"/>
  <c r="W121" i="4"/>
  <c r="W132" i="4"/>
  <c r="AC153" i="4"/>
  <c r="AC100" i="4"/>
  <c r="AC196" i="4"/>
  <c r="W204" i="4"/>
  <c r="AC148" i="4"/>
  <c r="V148" i="4"/>
  <c r="V140" i="4"/>
  <c r="J170" i="4"/>
  <c r="W170" i="4"/>
  <c r="AC137" i="4"/>
  <c r="V137" i="4"/>
  <c r="AC192" i="4"/>
  <c r="AC140" i="4"/>
  <c r="W131" i="4"/>
  <c r="AC183" i="4"/>
  <c r="V183" i="4"/>
  <c r="W174" i="4"/>
  <c r="J124" i="4"/>
  <c r="W124" i="4"/>
  <c r="AC149" i="4"/>
  <c r="V149" i="4"/>
  <c r="V196" i="4"/>
  <c r="AC124" i="4"/>
  <c r="W216" i="4"/>
  <c r="V210" i="4"/>
  <c r="V208" i="4"/>
  <c r="AC184" i="4"/>
  <c r="V184" i="4"/>
  <c r="AC175" i="4"/>
  <c r="V175" i="4"/>
  <c r="AC208" i="4"/>
  <c r="J187" i="4"/>
  <c r="W187" i="4"/>
  <c r="W210" i="4"/>
  <c r="V204" i="4"/>
  <c r="W212" i="4"/>
  <c r="J212" i="4"/>
  <c r="AC212" i="4"/>
  <c r="AC168" i="4"/>
  <c r="V168" i="4"/>
  <c r="AC166" i="4"/>
  <c r="V166" i="4"/>
  <c r="V203" i="4"/>
  <c r="J177" i="4"/>
  <c r="W177" i="4"/>
  <c r="AC159" i="4"/>
  <c r="V159" i="4"/>
  <c r="Z74" i="4"/>
  <c r="W168" i="4"/>
  <c r="J168" i="4"/>
  <c r="AC176" i="4"/>
  <c r="V176" i="4"/>
  <c r="AC152" i="4"/>
  <c r="V152" i="4"/>
  <c r="W176" i="4"/>
  <c r="J176" i="4"/>
  <c r="AC156" i="4"/>
  <c r="V156" i="4"/>
  <c r="W152" i="4"/>
  <c r="J152" i="4"/>
  <c r="W175" i="4"/>
  <c r="V216" i="4"/>
  <c r="AC160" i="4"/>
  <c r="V160" i="4"/>
  <c r="AC181" i="4"/>
  <c r="V181" i="4"/>
  <c r="V212" i="4"/>
  <c r="W160" i="4"/>
  <c r="J160" i="4"/>
  <c r="AC177" i="4"/>
  <c r="V90" i="4"/>
  <c r="V88" i="4"/>
  <c r="Y90" i="4"/>
  <c r="V211" i="4"/>
  <c r="AC182" i="4"/>
  <c r="V182" i="4"/>
  <c r="J154" i="4"/>
  <c r="W154" i="4"/>
  <c r="W156" i="4"/>
  <c r="V177" i="4"/>
  <c r="V187" i="4"/>
  <c r="Z88" i="4"/>
  <c r="Y74" i="4"/>
  <c r="V74" i="4"/>
  <c r="Z95" i="4"/>
  <c r="Z97" i="4"/>
  <c r="W92" i="4"/>
  <c r="AC211" i="4"/>
  <c r="W166" i="4"/>
  <c r="J164" i="4"/>
  <c r="W164" i="4"/>
  <c r="AC187" i="4"/>
  <c r="AC185" i="4"/>
  <c r="V185" i="4"/>
  <c r="W78" i="4"/>
  <c r="AC92" i="4"/>
  <c r="Z99" i="4"/>
  <c r="Y97" i="4"/>
  <c r="AC193" i="4"/>
  <c r="V193" i="4"/>
  <c r="W185" i="4"/>
  <c r="J185" i="4"/>
  <c r="W76" i="4"/>
  <c r="AC199" i="4"/>
  <c r="V199" i="4"/>
  <c r="V76" i="4"/>
  <c r="AC201" i="4"/>
  <c r="V201" i="4"/>
  <c r="V213" i="4"/>
  <c r="AC213" i="4"/>
  <c r="V189" i="4"/>
  <c r="AC189" i="4"/>
  <c r="AC214" i="4"/>
  <c r="V214" i="4"/>
  <c r="W213" i="4"/>
  <c r="W201" i="4"/>
  <c r="AC202" i="4"/>
  <c r="V202" i="4"/>
  <c r="V205" i="4"/>
  <c r="AC205" i="4"/>
  <c r="AC198" i="4"/>
  <c r="V198" i="4"/>
  <c r="W198" i="4"/>
  <c r="AC215" i="4"/>
  <c r="V215" i="4"/>
  <c r="AC207" i="4"/>
  <c r="V207" i="4"/>
  <c r="W199" i="4"/>
  <c r="AC209" i="4"/>
  <c r="V209" i="4"/>
  <c r="AC186" i="4"/>
  <c r="V186" i="4"/>
  <c r="W207" i="4"/>
  <c r="AC191" i="4"/>
  <c r="V191" i="4"/>
  <c r="AC217" i="4"/>
  <c r="V217" i="4"/>
  <c r="V197" i="4"/>
  <c r="AC197" i="4"/>
  <c r="W214" i="4"/>
  <c r="AC206" i="4"/>
  <c r="V206" i="4"/>
  <c r="W215" i="4"/>
  <c r="AC194" i="4"/>
  <c r="V194" i="4"/>
  <c r="AC190" i="4"/>
  <c r="V190" i="4"/>
  <c r="Z84" i="4"/>
  <c r="Y92" i="4"/>
  <c r="V92" i="4"/>
  <c r="Z90" i="4"/>
  <c r="AC78" i="4"/>
  <c r="V86" i="4"/>
  <c r="V78" i="4"/>
  <c r="Z93" i="4"/>
  <c r="W86" i="4"/>
  <c r="AC86" i="4"/>
  <c r="J100" i="4"/>
  <c r="Z100" i="4" s="1"/>
  <c r="W100" i="4"/>
  <c r="Y82" i="4"/>
  <c r="AC76" i="4"/>
  <c r="W84" i="4"/>
  <c r="AC94" i="4"/>
  <c r="Y94" i="4"/>
  <c r="Z94" i="4"/>
  <c r="V94" i="4"/>
  <c r="AC99" i="4"/>
  <c r="V99" i="4"/>
  <c r="V98" i="4"/>
  <c r="Z98" i="4"/>
  <c r="AC98" i="4"/>
  <c r="Y98" i="4"/>
  <c r="Y95" i="4"/>
  <c r="AC96" i="4"/>
  <c r="Y96" i="4"/>
  <c r="Z96" i="4"/>
  <c r="V96" i="4"/>
  <c r="Y93" i="4"/>
  <c r="AC79" i="4"/>
  <c r="V93" i="4"/>
  <c r="AC93" i="4"/>
  <c r="AC97" i="4"/>
  <c r="V97" i="4"/>
  <c r="Z92" i="4"/>
  <c r="AC83" i="4"/>
  <c r="V82" i="4"/>
  <c r="AC95" i="4"/>
  <c r="V95" i="4"/>
  <c r="V84" i="4"/>
  <c r="Z82" i="4"/>
  <c r="AC84" i="4"/>
  <c r="J81" i="4"/>
  <c r="Z81" i="4" s="1"/>
  <c r="W81" i="4"/>
  <c r="AC87" i="4"/>
  <c r="Z87" i="4"/>
  <c r="Y87" i="4"/>
  <c r="V87" i="4"/>
  <c r="AC77" i="4"/>
  <c r="Y77" i="4"/>
  <c r="Z77" i="4"/>
  <c r="V77" i="4"/>
  <c r="V81" i="4"/>
  <c r="J83" i="4"/>
  <c r="Z83" i="4" s="1"/>
  <c r="W83" i="4"/>
  <c r="AC81" i="4"/>
  <c r="Z75" i="4"/>
  <c r="AC75" i="4"/>
  <c r="Y75" i="4"/>
  <c r="V75" i="4"/>
  <c r="J79" i="4"/>
  <c r="Z79" i="4" s="1"/>
  <c r="W79" i="4"/>
  <c r="AC85" i="4"/>
  <c r="Z85" i="4"/>
  <c r="Y85" i="4"/>
  <c r="V85" i="4"/>
  <c r="AC91" i="4"/>
  <c r="Z91" i="4"/>
  <c r="Y91" i="4"/>
  <c r="V91" i="4"/>
  <c r="AC89" i="4"/>
  <c r="Z89" i="4"/>
  <c r="Y89" i="4"/>
  <c r="V89" i="4"/>
  <c r="A4363" i="7"/>
  <c r="A4357" i="7"/>
  <c r="A4369" i="7"/>
  <c r="A4353" i="7"/>
  <c r="A4371" i="7"/>
  <c r="A4375" i="7"/>
  <c r="A4361" i="7"/>
  <c r="A4352" i="7"/>
  <c r="A4365" i="7"/>
  <c r="A4362" i="7"/>
  <c r="A4355" i="7"/>
  <c r="A4370" i="7"/>
  <c r="A4366" i="7"/>
  <c r="C4345" i="7"/>
  <c r="A4360" i="7"/>
  <c r="A4354" i="7"/>
  <c r="A4367" i="7"/>
  <c r="B4369" i="7"/>
  <c r="B4353" i="7"/>
  <c r="B4375" i="7"/>
  <c r="B4370" i="7"/>
  <c r="B4365" i="7"/>
  <c r="B4362" i="7"/>
  <c r="B4357" i="7"/>
  <c r="B4366" i="7"/>
  <c r="B4363" i="7"/>
  <c r="B4355" i="7"/>
  <c r="B4361" i="7"/>
  <c r="B4360" i="7"/>
  <c r="B4354" i="7"/>
  <c r="B4367" i="7"/>
  <c r="B4352" i="7"/>
  <c r="B4371" i="7"/>
  <c r="C156" i="6"/>
  <c r="C101" i="6"/>
  <c r="A102" i="6"/>
  <c r="A106" i="4" s="1"/>
  <c r="N81" i="21"/>
  <c r="G8" i="21"/>
  <c r="G9" i="21"/>
  <c r="G54" i="21"/>
  <c r="AD121" i="14" l="1"/>
  <c r="Z109" i="14"/>
  <c r="I133" i="14" s="1"/>
  <c r="H261" i="24" s="1"/>
  <c r="D252" i="24"/>
  <c r="Z49" i="14"/>
  <c r="Z71" i="14" s="1"/>
  <c r="I132" i="14" s="1"/>
  <c r="H254" i="24" s="1"/>
  <c r="AD49" i="14"/>
  <c r="AD71" i="14" s="1"/>
  <c r="B217" i="6"/>
  <c r="B221" i="4" s="1"/>
  <c r="B220" i="4"/>
  <c r="J134" i="14"/>
  <c r="A158" i="6"/>
  <c r="A161" i="4"/>
  <c r="AD122" i="14"/>
  <c r="AB71" i="14"/>
  <c r="C132" i="14"/>
  <c r="AB109" i="14"/>
  <c r="C133" i="14"/>
  <c r="AD109" i="14"/>
  <c r="B4392" i="7"/>
  <c r="B4405" i="7"/>
  <c r="B4397" i="7"/>
  <c r="B4382" i="7"/>
  <c r="B4385" i="7"/>
  <c r="B4387" i="7"/>
  <c r="B4400" i="7"/>
  <c r="B4383" i="7"/>
  <c r="B4401" i="7"/>
  <c r="B4395" i="7"/>
  <c r="B4391" i="7"/>
  <c r="B4399" i="7"/>
  <c r="B4384" i="7"/>
  <c r="B4390" i="7"/>
  <c r="B4396" i="7"/>
  <c r="B4393" i="7"/>
  <c r="A4385" i="7"/>
  <c r="A4392" i="7"/>
  <c r="A4405" i="7"/>
  <c r="A4397" i="7"/>
  <c r="C4375" i="7"/>
  <c r="A4387" i="7"/>
  <c r="A4395" i="7"/>
  <c r="A4383" i="7"/>
  <c r="A4401" i="7"/>
  <c r="A4393" i="7"/>
  <c r="A4399" i="7"/>
  <c r="A4384" i="7"/>
  <c r="A4390" i="7"/>
  <c r="A4382" i="7"/>
  <c r="A4400" i="7"/>
  <c r="A4396" i="7"/>
  <c r="A4391" i="7"/>
  <c r="C102" i="6"/>
  <c r="A103" i="6"/>
  <c r="A107" i="4" s="1"/>
  <c r="I274" i="24"/>
  <c r="H230" i="24"/>
  <c r="F25" i="18"/>
  <c r="G12" i="21"/>
  <c r="G13" i="21"/>
  <c r="D261" i="24" l="1"/>
  <c r="D254" i="24"/>
  <c r="AD72" i="14"/>
  <c r="J133" i="14"/>
  <c r="H260" i="24"/>
  <c r="D260" i="24" s="1"/>
  <c r="J132" i="14"/>
  <c r="H253" i="24"/>
  <c r="D253" i="24" s="1"/>
  <c r="A159" i="6"/>
  <c r="A162" i="4"/>
  <c r="C158" i="6"/>
  <c r="AD110" i="14"/>
  <c r="B4431" i="7"/>
  <c r="B4426" i="7"/>
  <c r="B4435" i="7"/>
  <c r="B4427" i="7"/>
  <c r="B4415" i="7"/>
  <c r="B4414" i="7"/>
  <c r="B4423" i="7"/>
  <c r="B4413" i="7"/>
  <c r="B4421" i="7"/>
  <c r="B4412" i="7"/>
  <c r="B4430" i="7"/>
  <c r="B4422" i="7"/>
  <c r="B4417" i="7"/>
  <c r="B4425" i="7"/>
  <c r="B4429" i="7"/>
  <c r="B4420" i="7"/>
  <c r="A4421" i="7"/>
  <c r="A4414" i="7"/>
  <c r="C4405" i="7"/>
  <c r="A4431" i="7"/>
  <c r="A4426" i="7"/>
  <c r="A4429" i="7"/>
  <c r="A4420" i="7"/>
  <c r="A4427" i="7"/>
  <c r="A4415" i="7"/>
  <c r="A4425" i="7"/>
  <c r="A4423" i="7"/>
  <c r="A4430" i="7"/>
  <c r="A4422" i="7"/>
  <c r="A4435" i="7"/>
  <c r="A4413" i="7"/>
  <c r="A4417" i="7"/>
  <c r="A4412" i="7"/>
  <c r="A104" i="6"/>
  <c r="A108" i="4" s="1"/>
  <c r="C103" i="6"/>
  <c r="A163" i="4" l="1"/>
  <c r="C159" i="6"/>
  <c r="A160" i="6"/>
  <c r="B4460" i="7"/>
  <c r="B4455" i="7"/>
  <c r="B4461" i="7"/>
  <c r="B4456" i="7"/>
  <c r="B4450" i="7"/>
  <c r="B4445" i="7"/>
  <c r="B4452" i="7"/>
  <c r="B4459" i="7"/>
  <c r="B4443" i="7"/>
  <c r="B4453" i="7"/>
  <c r="B4451" i="7"/>
  <c r="B4465" i="7"/>
  <c r="B4447" i="7"/>
  <c r="B4444" i="7"/>
  <c r="B4457" i="7"/>
  <c r="B4442" i="7"/>
  <c r="A4450" i="7"/>
  <c r="A4460" i="7"/>
  <c r="A4455" i="7"/>
  <c r="A4461" i="7"/>
  <c r="A4445" i="7"/>
  <c r="C4435" i="7"/>
  <c r="A4459" i="7"/>
  <c r="A4456" i="7"/>
  <c r="A4443" i="7"/>
  <c r="A4465" i="7"/>
  <c r="A4453" i="7"/>
  <c r="A4451" i="7"/>
  <c r="A4447" i="7"/>
  <c r="A4442" i="7"/>
  <c r="A4444" i="7"/>
  <c r="A4457" i="7"/>
  <c r="A4452" i="7"/>
  <c r="C104" i="6"/>
  <c r="A105" i="6"/>
  <c r="A109" i="4" s="1"/>
  <c r="H168" i="11"/>
  <c r="E168" i="11"/>
  <c r="H167" i="11"/>
  <c r="E167" i="11"/>
  <c r="H169" i="11"/>
  <c r="E169" i="11"/>
  <c r="V10" i="11"/>
  <c r="T10" i="11"/>
  <c r="AB10" i="11" s="1"/>
  <c r="S10" i="11"/>
  <c r="R10" i="11"/>
  <c r="W10" i="11" s="1"/>
  <c r="H10" i="11"/>
  <c r="U10" i="11" s="1"/>
  <c r="A164" i="4" l="1"/>
  <c r="A161" i="6"/>
  <c r="C160" i="6"/>
  <c r="Z10" i="11"/>
  <c r="A4491" i="7"/>
  <c r="A4486" i="7"/>
  <c r="A4475" i="7"/>
  <c r="A4483" i="7"/>
  <c r="A4490" i="7"/>
  <c r="A4487" i="7"/>
  <c r="A4481" i="7"/>
  <c r="A4485" i="7"/>
  <c r="A4472" i="7"/>
  <c r="A4480" i="7"/>
  <c r="A4477" i="7"/>
  <c r="A4474" i="7"/>
  <c r="A4495" i="7"/>
  <c r="A4482" i="7"/>
  <c r="A4489" i="7"/>
  <c r="C4465" i="7"/>
  <c r="A4473" i="7"/>
  <c r="B4475" i="7"/>
  <c r="B4482" i="7"/>
  <c r="B4483" i="7"/>
  <c r="B4490" i="7"/>
  <c r="B4472" i="7"/>
  <c r="B4491" i="7"/>
  <c r="B4477" i="7"/>
  <c r="B4474" i="7"/>
  <c r="B4489" i="7"/>
  <c r="B4485" i="7"/>
  <c r="B4486" i="7"/>
  <c r="B4487" i="7"/>
  <c r="B4481" i="7"/>
  <c r="B4473" i="7"/>
  <c r="B4495" i="7"/>
  <c r="B4480" i="7"/>
  <c r="A106" i="6"/>
  <c r="A110" i="4" s="1"/>
  <c r="C105" i="6"/>
  <c r="Y10" i="11"/>
  <c r="A165" i="4" l="1"/>
  <c r="C161" i="6"/>
  <c r="A162" i="6"/>
  <c r="B4511" i="7"/>
  <c r="B4504" i="7"/>
  <c r="B4515" i="7"/>
  <c r="B4512" i="7"/>
  <c r="B4519" i="7"/>
  <c r="B4525" i="7"/>
  <c r="B4516" i="7"/>
  <c r="B4502" i="7"/>
  <c r="B4510" i="7"/>
  <c r="B4507" i="7"/>
  <c r="B4503" i="7"/>
  <c r="B4505" i="7"/>
  <c r="B4521" i="7"/>
  <c r="B4520" i="7"/>
  <c r="B4517" i="7"/>
  <c r="B4513" i="7"/>
  <c r="A4520" i="7"/>
  <c r="A4515" i="7"/>
  <c r="A4511" i="7"/>
  <c r="A4504" i="7"/>
  <c r="C4495" i="7"/>
  <c r="A4507" i="7"/>
  <c r="A4512" i="7"/>
  <c r="A4525" i="7"/>
  <c r="A4516" i="7"/>
  <c r="A4502" i="7"/>
  <c r="A4510" i="7"/>
  <c r="A4503" i="7"/>
  <c r="A4505" i="7"/>
  <c r="A4519" i="7"/>
  <c r="A4521" i="7"/>
  <c r="A4517" i="7"/>
  <c r="A4513" i="7"/>
  <c r="A107" i="6"/>
  <c r="A111" i="4" s="1"/>
  <c r="C106" i="6"/>
  <c r="D24" i="25"/>
  <c r="N23" i="25"/>
  <c r="E23" i="25" s="1"/>
  <c r="N19" i="25"/>
  <c r="D19" i="25"/>
  <c r="A166" i="4" l="1"/>
  <c r="A163" i="6"/>
  <c r="C162" i="6"/>
  <c r="B4533" i="7"/>
  <c r="B4540" i="7"/>
  <c r="B4543" i="7"/>
  <c r="B4541" i="7"/>
  <c r="B4547" i="7"/>
  <c r="B4551" i="7"/>
  <c r="B4545" i="7"/>
  <c r="B4537" i="7"/>
  <c r="B4549" i="7"/>
  <c r="B4555" i="7"/>
  <c r="B4535" i="7"/>
  <c r="B4550" i="7"/>
  <c r="B4546" i="7"/>
  <c r="B4534" i="7"/>
  <c r="B4542" i="7"/>
  <c r="B4532" i="7"/>
  <c r="A4549" i="7"/>
  <c r="A4533" i="7"/>
  <c r="A4540" i="7"/>
  <c r="A4535" i="7"/>
  <c r="A4543" i="7"/>
  <c r="A4541" i="7"/>
  <c r="A4547" i="7"/>
  <c r="A4551" i="7"/>
  <c r="A4545" i="7"/>
  <c r="A4542" i="7"/>
  <c r="A4555" i="7"/>
  <c r="C4525" i="7"/>
  <c r="A4546" i="7"/>
  <c r="A4534" i="7"/>
  <c r="A4537" i="7"/>
  <c r="A4550" i="7"/>
  <c r="A4532" i="7"/>
  <c r="A108" i="6"/>
  <c r="A112" i="4" s="1"/>
  <c r="C107" i="6"/>
  <c r="O19" i="25"/>
  <c r="E19" i="25"/>
  <c r="F19" i="25" s="1"/>
  <c r="A167" i="4" l="1"/>
  <c r="C163" i="6"/>
  <c r="A164" i="6"/>
  <c r="B4562" i="7"/>
  <c r="B4573" i="7"/>
  <c r="B4567" i="7"/>
  <c r="B4564" i="7"/>
  <c r="B4572" i="7"/>
  <c r="B4570" i="7"/>
  <c r="B4585" i="7"/>
  <c r="B4576" i="7"/>
  <c r="B4580" i="7"/>
  <c r="B4565" i="7"/>
  <c r="B4577" i="7"/>
  <c r="B4579" i="7"/>
  <c r="B4563" i="7"/>
  <c r="B4575" i="7"/>
  <c r="B4571" i="7"/>
  <c r="B4581" i="7"/>
  <c r="A4585" i="7"/>
  <c r="A4577" i="7"/>
  <c r="A4562" i="7"/>
  <c r="A4579" i="7"/>
  <c r="A4564" i="7"/>
  <c r="A4572" i="7"/>
  <c r="A4570" i="7"/>
  <c r="A4576" i="7"/>
  <c r="A4573" i="7"/>
  <c r="A4580" i="7"/>
  <c r="A4571" i="7"/>
  <c r="C4555" i="7"/>
  <c r="A4565" i="7"/>
  <c r="A4575" i="7"/>
  <c r="A4567" i="7"/>
  <c r="A4563" i="7"/>
  <c r="A4581" i="7"/>
  <c r="C108" i="6"/>
  <c r="A109" i="6"/>
  <c r="A113" i="4" s="1"/>
  <c r="K65" i="9"/>
  <c r="K36" i="9"/>
  <c r="L102" i="9"/>
  <c r="H96" i="9"/>
  <c r="I96" i="9" s="1"/>
  <c r="H97" i="9"/>
  <c r="I97" i="9" s="1"/>
  <c r="Q11" i="14"/>
  <c r="T11" i="14" s="1"/>
  <c r="Q8" i="14"/>
  <c r="T8" i="14" s="1"/>
  <c r="W11" i="14"/>
  <c r="V11" i="14"/>
  <c r="U11" i="14"/>
  <c r="W8" i="14"/>
  <c r="V8" i="14"/>
  <c r="U8" i="14"/>
  <c r="O14" i="18"/>
  <c r="H14" i="18"/>
  <c r="E14" i="18"/>
  <c r="O17" i="18"/>
  <c r="O16" i="18"/>
  <c r="H17" i="18"/>
  <c r="R28" i="11"/>
  <c r="R29" i="11"/>
  <c r="W29" i="11" s="1"/>
  <c r="R30" i="11"/>
  <c r="W30" i="11" s="1"/>
  <c r="R40" i="11"/>
  <c r="W40" i="11" s="1"/>
  <c r="R41" i="11"/>
  <c r="W41" i="11" s="1"/>
  <c r="R42" i="11"/>
  <c r="W42" i="11" s="1"/>
  <c r="R43" i="11"/>
  <c r="R44" i="11"/>
  <c r="W44" i="11" s="1"/>
  <c r="R51" i="11"/>
  <c r="R52" i="11"/>
  <c r="R54" i="11"/>
  <c r="R27" i="11"/>
  <c r="W27" i="11" s="1"/>
  <c r="W25" i="11"/>
  <c r="R18" i="11"/>
  <c r="W18" i="11" s="1"/>
  <c r="R17" i="11"/>
  <c r="W17" i="11" s="1"/>
  <c r="F164" i="11" s="1"/>
  <c r="R16" i="11"/>
  <c r="W16" i="11" s="1"/>
  <c r="R11" i="11"/>
  <c r="R15" i="11"/>
  <c r="W15" i="11" s="1"/>
  <c r="R8" i="11"/>
  <c r="R9" i="11"/>
  <c r="V64" i="11"/>
  <c r="S64" i="11"/>
  <c r="V62" i="11"/>
  <c r="T62" i="11"/>
  <c r="S62" i="11"/>
  <c r="U62" i="11"/>
  <c r="V55" i="11"/>
  <c r="T54" i="11"/>
  <c r="S54" i="11"/>
  <c r="H54" i="11"/>
  <c r="U54" i="11" s="1"/>
  <c r="V52" i="11"/>
  <c r="S52" i="11"/>
  <c r="V51" i="11"/>
  <c r="V44" i="11"/>
  <c r="T44" i="11"/>
  <c r="S44" i="11"/>
  <c r="H44" i="11"/>
  <c r="U44" i="11" s="1"/>
  <c r="V43" i="11"/>
  <c r="T43" i="11"/>
  <c r="V42" i="11"/>
  <c r="V41" i="11"/>
  <c r="T41" i="11"/>
  <c r="AB41" i="11" s="1"/>
  <c r="S41" i="11"/>
  <c r="H41" i="11"/>
  <c r="U41" i="11" s="1"/>
  <c r="V40" i="11"/>
  <c r="T40" i="11"/>
  <c r="V39" i="11"/>
  <c r="U39" i="11"/>
  <c r="V30" i="11"/>
  <c r="T30" i="11"/>
  <c r="S30" i="11"/>
  <c r="H30" i="11"/>
  <c r="U30" i="11" s="1"/>
  <c r="V29" i="11"/>
  <c r="T29" i="11"/>
  <c r="V28" i="11"/>
  <c r="V27" i="11"/>
  <c r="V26" i="11"/>
  <c r="S26" i="11"/>
  <c r="W26" i="11"/>
  <c r="U26" i="11"/>
  <c r="V25" i="11"/>
  <c r="U25" i="11"/>
  <c r="V18" i="11"/>
  <c r="T18" i="11"/>
  <c r="S18" i="11"/>
  <c r="H18" i="11"/>
  <c r="U18" i="11" s="1"/>
  <c r="V17" i="11"/>
  <c r="V16" i="11"/>
  <c r="T16" i="11"/>
  <c r="S16" i="11"/>
  <c r="H16" i="11"/>
  <c r="U16" i="11" s="1"/>
  <c r="H15" i="11"/>
  <c r="U15" i="11" s="1"/>
  <c r="S15" i="11"/>
  <c r="T15" i="11"/>
  <c r="V15" i="11"/>
  <c r="S8" i="14" l="1"/>
  <c r="S11" i="14"/>
  <c r="AD11" i="14" s="1"/>
  <c r="AB54" i="11"/>
  <c r="A168" i="4"/>
  <c r="A165" i="6"/>
  <c r="C164" i="6"/>
  <c r="AB40" i="11"/>
  <c r="AB15" i="11"/>
  <c r="K96" i="9"/>
  <c r="Z11" i="14"/>
  <c r="B4595" i="7"/>
  <c r="B4602" i="7"/>
  <c r="B4607" i="7"/>
  <c r="B4593" i="7"/>
  <c r="B4601" i="7"/>
  <c r="B4597" i="7"/>
  <c r="B4611" i="7"/>
  <c r="B4605" i="7"/>
  <c r="B4609" i="7"/>
  <c r="B4600" i="7"/>
  <c r="B4606" i="7"/>
  <c r="B4615" i="7"/>
  <c r="B4592" i="7"/>
  <c r="B4594" i="7"/>
  <c r="B4610" i="7"/>
  <c r="B4603" i="7"/>
  <c r="A4611" i="7"/>
  <c r="A4606" i="7"/>
  <c r="A4595" i="7"/>
  <c r="A4607" i="7"/>
  <c r="A4593" i="7"/>
  <c r="A4601" i="7"/>
  <c r="C4585" i="7"/>
  <c r="A4597" i="7"/>
  <c r="A4605" i="7"/>
  <c r="A4602" i="7"/>
  <c r="A4615" i="7"/>
  <c r="A4592" i="7"/>
  <c r="A4600" i="7"/>
  <c r="A4603" i="7"/>
  <c r="A4609" i="7"/>
  <c r="A4594" i="7"/>
  <c r="A4610" i="7"/>
  <c r="A110" i="6"/>
  <c r="A114" i="4" s="1"/>
  <c r="C109" i="6"/>
  <c r="K97" i="9"/>
  <c r="AD8" i="14"/>
  <c r="Z8" i="14"/>
  <c r="Z26" i="11"/>
  <c r="Y15" i="11"/>
  <c r="Z15" i="11"/>
  <c r="Z54" i="11"/>
  <c r="Y16" i="11"/>
  <c r="AB16" i="11"/>
  <c r="Y54" i="11"/>
  <c r="Z62" i="11"/>
  <c r="Z30" i="11"/>
  <c r="Z16" i="11"/>
  <c r="Z44" i="11"/>
  <c r="Z41" i="11"/>
  <c r="AB26" i="11"/>
  <c r="Y26" i="11"/>
  <c r="Y30" i="11"/>
  <c r="AB44" i="11"/>
  <c r="Y44" i="11"/>
  <c r="Y62" i="11"/>
  <c r="Z18" i="11"/>
  <c r="T28" i="11"/>
  <c r="S28" i="11"/>
  <c r="AB18" i="11"/>
  <c r="Y18" i="11"/>
  <c r="H28" i="11"/>
  <c r="U28" i="11" s="1"/>
  <c r="W28" i="11"/>
  <c r="AB29" i="11"/>
  <c r="AB43" i="11"/>
  <c r="T51" i="11"/>
  <c r="S51" i="11"/>
  <c r="H51" i="11"/>
  <c r="U51" i="11" s="1"/>
  <c r="W51" i="11"/>
  <c r="S39" i="11"/>
  <c r="C169" i="11" s="1"/>
  <c r="H196" i="24" s="1"/>
  <c r="T64" i="11"/>
  <c r="S25" i="11"/>
  <c r="T39" i="11"/>
  <c r="D169" i="11" s="1"/>
  <c r="H43" i="11"/>
  <c r="U43" i="11" s="1"/>
  <c r="AB62" i="11"/>
  <c r="AB30" i="11"/>
  <c r="S43" i="11"/>
  <c r="S29" i="11"/>
  <c r="H40" i="11"/>
  <c r="U40" i="11" s="1"/>
  <c r="G171" i="11" s="1"/>
  <c r="J171" i="11" s="1"/>
  <c r="W52" i="11"/>
  <c r="S40" i="11"/>
  <c r="T52" i="11"/>
  <c r="U64" i="11"/>
  <c r="T27" i="11"/>
  <c r="S27" i="11"/>
  <c r="H27" i="11"/>
  <c r="U27" i="11" s="1"/>
  <c r="F167" i="11" s="1"/>
  <c r="H29" i="11"/>
  <c r="U29" i="11" s="1"/>
  <c r="W43" i="11"/>
  <c r="Y41" i="11"/>
  <c r="H52" i="11"/>
  <c r="U52" i="11" s="1"/>
  <c r="T42" i="11"/>
  <c r="S42" i="11"/>
  <c r="H42" i="11"/>
  <c r="U42" i="11" s="1"/>
  <c r="T55" i="11"/>
  <c r="S55" i="11"/>
  <c r="U55" i="11"/>
  <c r="T17" i="11"/>
  <c r="S17" i="11"/>
  <c r="C164" i="11" s="1"/>
  <c r="H130" i="24" s="1"/>
  <c r="H17" i="11"/>
  <c r="U17" i="11" s="1"/>
  <c r="G164" i="11" s="1"/>
  <c r="J164" i="11" s="1"/>
  <c r="W39" i="11"/>
  <c r="G169" i="11" s="1"/>
  <c r="C226" i="4"/>
  <c r="D226" i="4" s="1"/>
  <c r="H226" i="4"/>
  <c r="K226" i="4"/>
  <c r="C227" i="4"/>
  <c r="D227" i="4" s="1"/>
  <c r="H227" i="4"/>
  <c r="K227" i="4"/>
  <c r="C228" i="4"/>
  <c r="F228" i="4" s="1"/>
  <c r="H228" i="4"/>
  <c r="K228" i="4"/>
  <c r="C229" i="4"/>
  <c r="D229" i="4" s="1"/>
  <c r="H229" i="4"/>
  <c r="K229" i="4"/>
  <c r="C230" i="4"/>
  <c r="F230" i="4" s="1"/>
  <c r="J230" i="4" s="1"/>
  <c r="H230" i="4"/>
  <c r="K230" i="4"/>
  <c r="C231" i="4"/>
  <c r="D231" i="4" s="1"/>
  <c r="H231" i="4"/>
  <c r="K231" i="4"/>
  <c r="C232" i="4"/>
  <c r="D232" i="4" s="1"/>
  <c r="H232" i="4"/>
  <c r="K232" i="4"/>
  <c r="C233" i="4"/>
  <c r="D233" i="4" s="1"/>
  <c r="H233" i="4"/>
  <c r="K233" i="4"/>
  <c r="C234" i="4"/>
  <c r="D234" i="4" s="1"/>
  <c r="H234" i="4"/>
  <c r="K234" i="4"/>
  <c r="C235" i="4"/>
  <c r="D235" i="4" s="1"/>
  <c r="H235" i="4"/>
  <c r="K235" i="4"/>
  <c r="C237" i="4"/>
  <c r="F237" i="4" s="1"/>
  <c r="H237" i="4"/>
  <c r="K237" i="4"/>
  <c r="C238" i="4"/>
  <c r="D238" i="4" s="1"/>
  <c r="H238" i="4"/>
  <c r="K238" i="4"/>
  <c r="C239" i="4"/>
  <c r="F239" i="4" s="1"/>
  <c r="J239" i="4" s="1"/>
  <c r="H239" i="4"/>
  <c r="K239" i="4"/>
  <c r="C240" i="4"/>
  <c r="H240" i="4"/>
  <c r="K240" i="4"/>
  <c r="C241" i="4"/>
  <c r="D241" i="4" s="1"/>
  <c r="H241" i="4"/>
  <c r="K241" i="4"/>
  <c r="C242" i="4"/>
  <c r="D242" i="4" s="1"/>
  <c r="H242" i="4"/>
  <c r="K242" i="4"/>
  <c r="C243" i="4"/>
  <c r="D243" i="4" s="1"/>
  <c r="H243" i="4"/>
  <c r="K243" i="4"/>
  <c r="C244" i="4"/>
  <c r="D244" i="4" s="1"/>
  <c r="H244" i="4"/>
  <c r="K244" i="4"/>
  <c r="C245" i="4"/>
  <c r="F245" i="4" s="1"/>
  <c r="H245" i="4"/>
  <c r="K245" i="4"/>
  <c r="C246" i="4"/>
  <c r="D246" i="4" s="1"/>
  <c r="H246" i="4"/>
  <c r="K246" i="4"/>
  <c r="C247" i="4"/>
  <c r="F247" i="4" s="1"/>
  <c r="H247" i="4"/>
  <c r="K247" i="4"/>
  <c r="C248" i="4"/>
  <c r="F248" i="4" s="1"/>
  <c r="H248" i="4"/>
  <c r="K248" i="4"/>
  <c r="C249" i="4"/>
  <c r="D249" i="4" s="1"/>
  <c r="H249" i="4"/>
  <c r="K249" i="4"/>
  <c r="C250" i="4"/>
  <c r="D250" i="4" s="1"/>
  <c r="H250" i="4"/>
  <c r="K250" i="4"/>
  <c r="C252" i="4"/>
  <c r="D252" i="4" s="1"/>
  <c r="H252" i="4"/>
  <c r="K252" i="4"/>
  <c r="C253" i="4"/>
  <c r="D253" i="4" s="1"/>
  <c r="H253" i="4"/>
  <c r="K253" i="4"/>
  <c r="C254" i="4"/>
  <c r="F254" i="4" s="1"/>
  <c r="H254" i="4"/>
  <c r="K254" i="4"/>
  <c r="C255" i="4"/>
  <c r="D255" i="4" s="1"/>
  <c r="H255" i="4"/>
  <c r="K255" i="4"/>
  <c r="C256" i="4"/>
  <c r="F256" i="4" s="1"/>
  <c r="J256" i="4" s="1"/>
  <c r="H256" i="4"/>
  <c r="K256" i="4"/>
  <c r="C257" i="4"/>
  <c r="F257" i="4" s="1"/>
  <c r="H257" i="4"/>
  <c r="K257" i="4"/>
  <c r="C17" i="4"/>
  <c r="D17" i="4" s="1"/>
  <c r="H17" i="4"/>
  <c r="K17" i="4"/>
  <c r="C18" i="4"/>
  <c r="F18" i="4" s="1"/>
  <c r="J18" i="4" s="1"/>
  <c r="H18" i="4"/>
  <c r="K18" i="4"/>
  <c r="C19" i="4"/>
  <c r="D19" i="4" s="1"/>
  <c r="H19" i="4"/>
  <c r="K19" i="4"/>
  <c r="C20" i="4"/>
  <c r="D20" i="4" s="1"/>
  <c r="H20" i="4"/>
  <c r="K20" i="4"/>
  <c r="C21" i="4"/>
  <c r="D21" i="4" s="1"/>
  <c r="H21" i="4"/>
  <c r="K21" i="4"/>
  <c r="C22" i="4"/>
  <c r="D22" i="4" s="1"/>
  <c r="H22" i="4"/>
  <c r="K22" i="4"/>
  <c r="C23" i="4"/>
  <c r="D23" i="4" s="1"/>
  <c r="H23" i="4"/>
  <c r="K23" i="4"/>
  <c r="C24" i="4"/>
  <c r="D24" i="4" s="1"/>
  <c r="H24" i="4"/>
  <c r="K24" i="4"/>
  <c r="C25" i="4"/>
  <c r="F25" i="4" s="1"/>
  <c r="H25" i="4"/>
  <c r="K25" i="4"/>
  <c r="C26" i="4"/>
  <c r="D26" i="4" s="1"/>
  <c r="H26" i="4"/>
  <c r="K26" i="4"/>
  <c r="C28" i="4"/>
  <c r="D28" i="4" s="1"/>
  <c r="H28" i="4"/>
  <c r="K28" i="4"/>
  <c r="C29" i="4"/>
  <c r="F29" i="4" s="1"/>
  <c r="H29" i="4"/>
  <c r="K29" i="4"/>
  <c r="C30" i="4"/>
  <c r="F30" i="4" s="1"/>
  <c r="J30" i="4" s="1"/>
  <c r="H30" i="4"/>
  <c r="K30" i="4"/>
  <c r="C31" i="4"/>
  <c r="F31" i="4" s="1"/>
  <c r="H31" i="4"/>
  <c r="K31" i="4"/>
  <c r="C32" i="4"/>
  <c r="F32" i="4" s="1"/>
  <c r="H32" i="4"/>
  <c r="K32" i="4"/>
  <c r="C33" i="4"/>
  <c r="F33" i="4" s="1"/>
  <c r="H33" i="4"/>
  <c r="K33" i="4"/>
  <c r="C34" i="4"/>
  <c r="F34" i="4" s="1"/>
  <c r="H34" i="4"/>
  <c r="K34" i="4"/>
  <c r="C35" i="4"/>
  <c r="F35" i="4" s="1"/>
  <c r="J35" i="4" s="1"/>
  <c r="H35" i="4"/>
  <c r="K35" i="4"/>
  <c r="C36" i="4"/>
  <c r="F36" i="4" s="1"/>
  <c r="J36" i="4" s="1"/>
  <c r="H36" i="4"/>
  <c r="K36" i="4"/>
  <c r="C37" i="4"/>
  <c r="F37" i="4" s="1"/>
  <c r="H37" i="4"/>
  <c r="K37" i="4"/>
  <c r="C38" i="4"/>
  <c r="F38" i="4" s="1"/>
  <c r="H38" i="4"/>
  <c r="K38" i="4"/>
  <c r="C39" i="4"/>
  <c r="D39" i="4" s="1"/>
  <c r="H39" i="4"/>
  <c r="K39" i="4"/>
  <c r="C40" i="4"/>
  <c r="D40" i="4" s="1"/>
  <c r="H40" i="4"/>
  <c r="K40" i="4"/>
  <c r="C41" i="4"/>
  <c r="H41" i="4"/>
  <c r="K41" i="4"/>
  <c r="C42" i="4"/>
  <c r="F42" i="4" s="1"/>
  <c r="J42" i="4" s="1"/>
  <c r="H42" i="4"/>
  <c r="K42" i="4"/>
  <c r="C43" i="4"/>
  <c r="D43" i="4" s="1"/>
  <c r="H43" i="4"/>
  <c r="K43" i="4"/>
  <c r="C44" i="4"/>
  <c r="F44" i="4" s="1"/>
  <c r="H44" i="4"/>
  <c r="K44" i="4"/>
  <c r="C45" i="4"/>
  <c r="D45" i="4" s="1"/>
  <c r="H45" i="4"/>
  <c r="K45" i="4"/>
  <c r="C46" i="4"/>
  <c r="D46" i="4" s="1"/>
  <c r="H46" i="4"/>
  <c r="K46" i="4"/>
  <c r="C47" i="4"/>
  <c r="D47" i="4" s="1"/>
  <c r="H47" i="4"/>
  <c r="K47" i="4"/>
  <c r="C48" i="4"/>
  <c r="D48" i="4" s="1"/>
  <c r="H48" i="4"/>
  <c r="K48" i="4"/>
  <c r="C49" i="4"/>
  <c r="H49" i="4"/>
  <c r="K49" i="4"/>
  <c r="C50" i="4"/>
  <c r="D50" i="4" s="1"/>
  <c r="H50" i="4"/>
  <c r="K50" i="4"/>
  <c r="C51" i="4"/>
  <c r="D51" i="4" s="1"/>
  <c r="H51" i="4"/>
  <c r="K51" i="4"/>
  <c r="C52" i="4"/>
  <c r="F52" i="4" s="1"/>
  <c r="H52" i="4"/>
  <c r="K52" i="4"/>
  <c r="C53" i="4"/>
  <c r="F53" i="4" s="1"/>
  <c r="H53" i="4"/>
  <c r="K53" i="4"/>
  <c r="C54" i="4"/>
  <c r="F54" i="4" s="1"/>
  <c r="H54" i="4"/>
  <c r="K54" i="4"/>
  <c r="C55" i="4"/>
  <c r="H55" i="4"/>
  <c r="K55" i="4"/>
  <c r="C56" i="4"/>
  <c r="D56" i="4" s="1"/>
  <c r="H56" i="4"/>
  <c r="K56" i="4"/>
  <c r="C57" i="4"/>
  <c r="F57" i="4" s="1"/>
  <c r="J57" i="4" s="1"/>
  <c r="H57" i="4"/>
  <c r="K57" i="4"/>
  <c r="C58" i="4"/>
  <c r="D58" i="4" s="1"/>
  <c r="H58" i="4"/>
  <c r="K58" i="4"/>
  <c r="C59" i="4"/>
  <c r="F59" i="4" s="1"/>
  <c r="H59" i="4"/>
  <c r="K59" i="4"/>
  <c r="C60" i="4"/>
  <c r="F60" i="4" s="1"/>
  <c r="J60" i="4" s="1"/>
  <c r="H60" i="4"/>
  <c r="K60" i="4"/>
  <c r="C61" i="4"/>
  <c r="F61" i="4" s="1"/>
  <c r="H61" i="4"/>
  <c r="K61" i="4"/>
  <c r="C62" i="4"/>
  <c r="D62" i="4" s="1"/>
  <c r="H62" i="4"/>
  <c r="K62" i="4"/>
  <c r="C63" i="4"/>
  <c r="F63" i="4" s="1"/>
  <c r="J63" i="4" s="1"/>
  <c r="H63" i="4"/>
  <c r="K63" i="4"/>
  <c r="C65" i="4"/>
  <c r="D65" i="4" s="1"/>
  <c r="H65" i="4"/>
  <c r="K65" i="4"/>
  <c r="C66" i="4"/>
  <c r="D66" i="4" s="1"/>
  <c r="H66" i="4"/>
  <c r="K66" i="4"/>
  <c r="C67" i="4"/>
  <c r="D67" i="4" s="1"/>
  <c r="H67" i="4"/>
  <c r="K67" i="4"/>
  <c r="C68" i="4"/>
  <c r="H68" i="4"/>
  <c r="K68" i="4"/>
  <c r="C69" i="4"/>
  <c r="F69" i="4" s="1"/>
  <c r="H69" i="4"/>
  <c r="K69" i="4"/>
  <c r="C70" i="4"/>
  <c r="F70" i="4" s="1"/>
  <c r="J70" i="4" s="1"/>
  <c r="H70" i="4"/>
  <c r="K70" i="4"/>
  <c r="C71" i="4"/>
  <c r="F71" i="4" s="1"/>
  <c r="H71" i="4"/>
  <c r="K71" i="4"/>
  <c r="C72" i="4"/>
  <c r="D72" i="4" s="1"/>
  <c r="H72" i="4"/>
  <c r="K72" i="4"/>
  <c r="C73" i="4"/>
  <c r="F73" i="4" s="1"/>
  <c r="J73" i="4" s="1"/>
  <c r="H73" i="4"/>
  <c r="K73" i="4"/>
  <c r="Z25" i="11" l="1"/>
  <c r="C167" i="11"/>
  <c r="C171" i="11"/>
  <c r="H198" i="24" s="1"/>
  <c r="D198" i="24" s="1"/>
  <c r="C170" i="11"/>
  <c r="D196" i="24"/>
  <c r="D130" i="24"/>
  <c r="F172" i="11"/>
  <c r="F169" i="11"/>
  <c r="J169" i="11" s="1"/>
  <c r="M169" i="11" s="1"/>
  <c r="Z196" i="24" s="1"/>
  <c r="AL195" i="24" s="1"/>
  <c r="A169" i="4"/>
  <c r="A166" i="6"/>
  <c r="C165" i="6"/>
  <c r="D172" i="11"/>
  <c r="D171" i="11"/>
  <c r="G172" i="11"/>
  <c r="C172" i="11"/>
  <c r="H217" i="24" s="1"/>
  <c r="L164" i="11"/>
  <c r="V130" i="24" s="1"/>
  <c r="M164" i="11"/>
  <c r="Z130" i="24" s="1"/>
  <c r="L169" i="11"/>
  <c r="V196" i="24" s="1"/>
  <c r="F249" i="4"/>
  <c r="J249" i="4" s="1"/>
  <c r="A4640" i="7"/>
  <c r="A4635" i="7"/>
  <c r="A4631" i="7"/>
  <c r="A4624" i="7"/>
  <c r="C4615" i="7"/>
  <c r="A4641" i="7"/>
  <c r="A4622" i="7"/>
  <c r="A4639" i="7"/>
  <c r="A4636" i="7"/>
  <c r="A4630" i="7"/>
  <c r="A4625" i="7"/>
  <c r="A4633" i="7"/>
  <c r="A4645" i="7"/>
  <c r="A4637" i="7"/>
  <c r="A4632" i="7"/>
  <c r="A4627" i="7"/>
  <c r="A4623" i="7"/>
  <c r="B4631" i="7"/>
  <c r="B4624" i="7"/>
  <c r="B4641" i="7"/>
  <c r="B4622" i="7"/>
  <c r="B4639" i="7"/>
  <c r="B4636" i="7"/>
  <c r="B4630" i="7"/>
  <c r="B4625" i="7"/>
  <c r="B4633" i="7"/>
  <c r="B4637" i="7"/>
  <c r="B4640" i="7"/>
  <c r="B4632" i="7"/>
  <c r="B4623" i="7"/>
  <c r="B4645" i="7"/>
  <c r="B4635" i="7"/>
  <c r="B4627" i="7"/>
  <c r="F39" i="4"/>
  <c r="J39" i="4" s="1"/>
  <c r="D38" i="4"/>
  <c r="D25" i="4"/>
  <c r="A111" i="6"/>
  <c r="A115" i="4" s="1"/>
  <c r="C110" i="6"/>
  <c r="D254" i="4"/>
  <c r="F43" i="4"/>
  <c r="J43" i="4" s="1"/>
  <c r="D57" i="4"/>
  <c r="D53" i="4"/>
  <c r="D30" i="4"/>
  <c r="F67" i="4"/>
  <c r="J67" i="4" s="1"/>
  <c r="F50" i="4"/>
  <c r="J50" i="4" s="1"/>
  <c r="Z43" i="11"/>
  <c r="Z64" i="11"/>
  <c r="Z17" i="11"/>
  <c r="Z29" i="11"/>
  <c r="Z52" i="11"/>
  <c r="Z55" i="11"/>
  <c r="AB25" i="11"/>
  <c r="Y25" i="11"/>
  <c r="Z51" i="11"/>
  <c r="Y51" i="11"/>
  <c r="AB51" i="11"/>
  <c r="AB55" i="11"/>
  <c r="Y55" i="11"/>
  <c r="AB63" i="11"/>
  <c r="AB27" i="11"/>
  <c r="Y27" i="11"/>
  <c r="AB42" i="11"/>
  <c r="Y42" i="11"/>
  <c r="Y29" i="11"/>
  <c r="Y43" i="11"/>
  <c r="Z42" i="11"/>
  <c r="AB28" i="11"/>
  <c r="Y28" i="11"/>
  <c r="AB64" i="11"/>
  <c r="Y64" i="11"/>
  <c r="Z40" i="11"/>
  <c r="Y40" i="11"/>
  <c r="AB39" i="11"/>
  <c r="O169" i="11" s="1"/>
  <c r="Y39" i="11"/>
  <c r="Z28" i="11"/>
  <c r="AB17" i="11"/>
  <c r="O164" i="11" s="1"/>
  <c r="Y17" i="11"/>
  <c r="Z27" i="11"/>
  <c r="AB52" i="11"/>
  <c r="Y52" i="11"/>
  <c r="Z39" i="11"/>
  <c r="D54" i="4"/>
  <c r="F17" i="4"/>
  <c r="J17" i="4" s="1"/>
  <c r="F66" i="4"/>
  <c r="J66" i="4" s="1"/>
  <c r="D33" i="4"/>
  <c r="F58" i="4"/>
  <c r="J58" i="4" s="1"/>
  <c r="D71" i="4"/>
  <c r="D60" i="4"/>
  <c r="F242" i="4"/>
  <c r="J242" i="4" s="1"/>
  <c r="D230" i="4"/>
  <c r="D34" i="4"/>
  <c r="D36" i="4"/>
  <c r="D237" i="4"/>
  <c r="D73" i="4"/>
  <c r="D35" i="4"/>
  <c r="F24" i="4"/>
  <c r="J24" i="4" s="1"/>
  <c r="D37" i="4"/>
  <c r="D257" i="4"/>
  <c r="D239" i="4"/>
  <c r="D61" i="4"/>
  <c r="D63" i="4"/>
  <c r="D256" i="4"/>
  <c r="F243" i="4"/>
  <c r="J243" i="4" s="1"/>
  <c r="D31" i="4"/>
  <c r="F231" i="4"/>
  <c r="J231" i="4" s="1"/>
  <c r="D42" i="4"/>
  <c r="F252" i="4"/>
  <c r="J252" i="4" s="1"/>
  <c r="D228" i="4"/>
  <c r="D248" i="4"/>
  <c r="D44" i="4"/>
  <c r="D32" i="4"/>
  <c r="F22" i="4"/>
  <c r="J22" i="4" s="1"/>
  <c r="D52" i="4"/>
  <c r="F62" i="4"/>
  <c r="J62" i="4" s="1"/>
  <c r="F233" i="4"/>
  <c r="J233" i="4" s="1"/>
  <c r="D69" i="4"/>
  <c r="D49" i="4"/>
  <c r="F49" i="4"/>
  <c r="J49" i="4" s="1"/>
  <c r="F250" i="4"/>
  <c r="D247" i="4"/>
  <c r="F68" i="4"/>
  <c r="D68" i="4"/>
  <c r="D55" i="4"/>
  <c r="F55" i="4"/>
  <c r="J55" i="4" s="1"/>
  <c r="J247" i="4"/>
  <c r="D245" i="4"/>
  <c r="D240" i="4"/>
  <c r="F240" i="4"/>
  <c r="J240" i="4" s="1"/>
  <c r="F241" i="4"/>
  <c r="F48" i="4"/>
  <c r="J48" i="4" s="1"/>
  <c r="F46" i="4"/>
  <c r="F40" i="4"/>
  <c r="F19" i="4"/>
  <c r="J19" i="4" s="1"/>
  <c r="F232" i="4"/>
  <c r="D70" i="4"/>
  <c r="F23" i="4"/>
  <c r="J23" i="4" s="1"/>
  <c r="J228" i="4"/>
  <c r="J245" i="4"/>
  <c r="J254" i="4"/>
  <c r="J237" i="4"/>
  <c r="F253" i="4"/>
  <c r="F244" i="4"/>
  <c r="F235" i="4"/>
  <c r="F227" i="4"/>
  <c r="F255" i="4"/>
  <c r="F246" i="4"/>
  <c r="F238" i="4"/>
  <c r="F229" i="4"/>
  <c r="J257" i="4"/>
  <c r="J248" i="4"/>
  <c r="F234" i="4"/>
  <c r="F226" i="4"/>
  <c r="J69" i="4"/>
  <c r="J44" i="4"/>
  <c r="J37" i="4"/>
  <c r="J61" i="4"/>
  <c r="J32" i="4"/>
  <c r="J53" i="4"/>
  <c r="F28" i="4"/>
  <c r="J28" i="4" s="1"/>
  <c r="F21" i="4"/>
  <c r="J21" i="4" s="1"/>
  <c r="F47" i="4"/>
  <c r="F26" i="4"/>
  <c r="F56" i="4"/>
  <c r="J33" i="4"/>
  <c r="D29" i="4"/>
  <c r="F65" i="4"/>
  <c r="F45" i="4"/>
  <c r="D59" i="4"/>
  <c r="J59" i="4"/>
  <c r="J31" i="4"/>
  <c r="J29" i="4"/>
  <c r="J34" i="4"/>
  <c r="J25" i="4"/>
  <c r="J54" i="4"/>
  <c r="D18" i="4"/>
  <c r="J71" i="4"/>
  <c r="J52" i="4"/>
  <c r="D41" i="4"/>
  <c r="F41" i="4"/>
  <c r="F72" i="4"/>
  <c r="F51" i="4"/>
  <c r="J38" i="4"/>
  <c r="F20" i="4"/>
  <c r="M171" i="11" l="1"/>
  <c r="Z198" i="24" s="1"/>
  <c r="L171" i="11"/>
  <c r="V198" i="24" s="1"/>
  <c r="J172" i="11"/>
  <c r="M172" i="11" s="1"/>
  <c r="Z217" i="24" s="1"/>
  <c r="AJ195" i="24"/>
  <c r="O172" i="11"/>
  <c r="L172" i="11"/>
  <c r="V217" i="24" s="1"/>
  <c r="A170" i="4"/>
  <c r="C166" i="6"/>
  <c r="A167" i="6"/>
  <c r="O171" i="11"/>
  <c r="B4670" i="7"/>
  <c r="B4665" i="7"/>
  <c r="B4675" i="7"/>
  <c r="B4653" i="7"/>
  <c r="B4663" i="7"/>
  <c r="B4660" i="7"/>
  <c r="B4667" i="7"/>
  <c r="B4654" i="7"/>
  <c r="B4655" i="7"/>
  <c r="B4671" i="7"/>
  <c r="B4652" i="7"/>
  <c r="B4662" i="7"/>
  <c r="B4666" i="7"/>
  <c r="B4657" i="7"/>
  <c r="B4661" i="7"/>
  <c r="B4669" i="7"/>
  <c r="A4670" i="7"/>
  <c r="A4665" i="7"/>
  <c r="A4675" i="7"/>
  <c r="A4653" i="7"/>
  <c r="A4663" i="7"/>
  <c r="A4667" i="7"/>
  <c r="A4661" i="7"/>
  <c r="A4671" i="7"/>
  <c r="A4660" i="7"/>
  <c r="A4652" i="7"/>
  <c r="A4654" i="7"/>
  <c r="A4662" i="7"/>
  <c r="A4657" i="7"/>
  <c r="A4655" i="7"/>
  <c r="A4666" i="7"/>
  <c r="C4645" i="7"/>
  <c r="A4669" i="7"/>
  <c r="A112" i="6"/>
  <c r="A116" i="4" s="1"/>
  <c r="C111" i="6"/>
  <c r="J40" i="4"/>
  <c r="J232" i="4"/>
  <c r="J46" i="4"/>
  <c r="J47" i="4"/>
  <c r="J241" i="4"/>
  <c r="J250" i="4"/>
  <c r="J68" i="4"/>
  <c r="J45" i="4"/>
  <c r="J227" i="4"/>
  <c r="J255" i="4"/>
  <c r="J235" i="4"/>
  <c r="J229" i="4"/>
  <c r="J234" i="4"/>
  <c r="J244" i="4"/>
  <c r="J238" i="4"/>
  <c r="J253" i="4"/>
  <c r="J226" i="4"/>
  <c r="J246" i="4"/>
  <c r="J26" i="4"/>
  <c r="J65" i="4"/>
  <c r="J56" i="4"/>
  <c r="J72" i="4"/>
  <c r="J51" i="4"/>
  <c r="J41" i="4"/>
  <c r="J20" i="4"/>
  <c r="A171" i="4" l="1"/>
  <c r="A168" i="6"/>
  <c r="C167" i="6"/>
  <c r="B4693" i="7"/>
  <c r="B4687" i="7"/>
  <c r="B4699" i="7"/>
  <c r="B4683" i="7"/>
  <c r="B4705" i="7"/>
  <c r="B4691" i="7"/>
  <c r="B4700" i="7"/>
  <c r="B4684" i="7"/>
  <c r="B4695" i="7"/>
  <c r="B4682" i="7"/>
  <c r="B4692" i="7"/>
  <c r="B4690" i="7"/>
  <c r="B4701" i="7"/>
  <c r="B4685" i="7"/>
  <c r="B4696" i="7"/>
  <c r="B4697" i="7"/>
  <c r="A4693" i="7"/>
  <c r="A4687" i="7"/>
  <c r="A4699" i="7"/>
  <c r="A4705" i="7"/>
  <c r="A4691" i="7"/>
  <c r="A4700" i="7"/>
  <c r="A4697" i="7"/>
  <c r="A4695" i="7"/>
  <c r="A4682" i="7"/>
  <c r="A4692" i="7"/>
  <c r="A4690" i="7"/>
  <c r="C4675" i="7"/>
  <c r="A4685" i="7"/>
  <c r="A4684" i="7"/>
  <c r="A4683" i="7"/>
  <c r="A4701" i="7"/>
  <c r="A4696" i="7"/>
  <c r="C112" i="6"/>
  <c r="A113" i="6"/>
  <c r="A117" i="4" s="1"/>
  <c r="A172" i="4" l="1"/>
  <c r="A169" i="6"/>
  <c r="C168" i="6"/>
  <c r="B4722" i="7"/>
  <c r="B4735" i="7"/>
  <c r="B4727" i="7"/>
  <c r="B4712" i="7"/>
  <c r="B4730" i="7"/>
  <c r="B4715" i="7"/>
  <c r="B4726" i="7"/>
  <c r="B4723" i="7"/>
  <c r="B4721" i="7"/>
  <c r="B4717" i="7"/>
  <c r="B4714" i="7"/>
  <c r="B4725" i="7"/>
  <c r="B4713" i="7"/>
  <c r="B4720" i="7"/>
  <c r="B4729" i="7"/>
  <c r="B4731" i="7"/>
  <c r="A4715" i="7"/>
  <c r="A4722" i="7"/>
  <c r="A4735" i="7"/>
  <c r="A4727" i="7"/>
  <c r="C4705" i="7"/>
  <c r="A4726" i="7"/>
  <c r="A4723" i="7"/>
  <c r="A4721" i="7"/>
  <c r="A4730" i="7"/>
  <c r="A4717" i="7"/>
  <c r="A4714" i="7"/>
  <c r="A4712" i="7"/>
  <c r="A4725" i="7"/>
  <c r="A4729" i="7"/>
  <c r="A4713" i="7"/>
  <c r="A4720" i="7"/>
  <c r="A4731" i="7"/>
  <c r="A114" i="6"/>
  <c r="A118" i="4" s="1"/>
  <c r="C113" i="6"/>
  <c r="G47" i="4"/>
  <c r="I10" i="6"/>
  <c r="I11" i="6"/>
  <c r="G17" i="4"/>
  <c r="G18" i="4"/>
  <c r="G19" i="4"/>
  <c r="G20" i="4"/>
  <c r="G21" i="4"/>
  <c r="G22" i="4"/>
  <c r="G23" i="4"/>
  <c r="G24" i="4"/>
  <c r="G25" i="4"/>
  <c r="G26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5" i="4"/>
  <c r="G66" i="4"/>
  <c r="G67" i="4"/>
  <c r="G68" i="4"/>
  <c r="G69" i="4"/>
  <c r="G70" i="4"/>
  <c r="G71" i="4"/>
  <c r="G72" i="4"/>
  <c r="G73" i="4"/>
  <c r="I219" i="6"/>
  <c r="I220" i="6"/>
  <c r="G226" i="4"/>
  <c r="G227" i="4"/>
  <c r="G228" i="4"/>
  <c r="G229" i="4"/>
  <c r="G230" i="4"/>
  <c r="G231" i="4"/>
  <c r="G232" i="4"/>
  <c r="G233" i="4"/>
  <c r="G234" i="4"/>
  <c r="G235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2" i="4"/>
  <c r="G253" i="4"/>
  <c r="G254" i="4"/>
  <c r="G255" i="4"/>
  <c r="G256" i="4"/>
  <c r="G257" i="4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I58" i="2"/>
  <c r="H58" i="2"/>
  <c r="G58" i="2"/>
  <c r="E58" i="2" s="1"/>
  <c r="F58" i="2"/>
  <c r="J58" i="2" s="1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I57" i="2"/>
  <c r="H57" i="2"/>
  <c r="G57" i="2"/>
  <c r="E57" i="2" s="1"/>
  <c r="F57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I56" i="2"/>
  <c r="H56" i="2"/>
  <c r="G56" i="2"/>
  <c r="E56" i="2" s="1"/>
  <c r="F56" i="2"/>
  <c r="K56" i="2" s="1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I55" i="2"/>
  <c r="H55" i="2"/>
  <c r="G55" i="2"/>
  <c r="E55" i="2" s="1"/>
  <c r="F55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I54" i="2"/>
  <c r="H54" i="2"/>
  <c r="G54" i="2"/>
  <c r="E54" i="2" s="1"/>
  <c r="F54" i="2"/>
  <c r="AW18" i="1"/>
  <c r="AX18" i="1" s="1"/>
  <c r="AS18" i="1"/>
  <c r="AT18" i="1" s="1"/>
  <c r="AM18" i="1"/>
  <c r="AH18" i="1"/>
  <c r="AC18" i="1"/>
  <c r="X18" i="1"/>
  <c r="P18" i="1"/>
  <c r="O18" i="1"/>
  <c r="V18" i="1" s="1"/>
  <c r="N18" i="1"/>
  <c r="M18" i="1"/>
  <c r="AO18" i="1" s="1"/>
  <c r="AP18" i="1" s="1"/>
  <c r="L18" i="1"/>
  <c r="AF18" i="1" s="1"/>
  <c r="G18" i="1"/>
  <c r="C58" i="30"/>
  <c r="L57" i="2" l="1"/>
  <c r="A173" i="4"/>
  <c r="A170" i="6"/>
  <c r="C169" i="6"/>
  <c r="B4761" i="7"/>
  <c r="B4756" i="7"/>
  <c r="B4750" i="7"/>
  <c r="B4745" i="7"/>
  <c r="B4752" i="7"/>
  <c r="B4743" i="7"/>
  <c r="B4765" i="7"/>
  <c r="B4760" i="7"/>
  <c r="B4759" i="7"/>
  <c r="B4751" i="7"/>
  <c r="B4742" i="7"/>
  <c r="B4757" i="7"/>
  <c r="B4747" i="7"/>
  <c r="B4753" i="7"/>
  <c r="B4755" i="7"/>
  <c r="B4744" i="7"/>
  <c r="A4751" i="7"/>
  <c r="A4744" i="7"/>
  <c r="C4735" i="7"/>
  <c r="A4761" i="7"/>
  <c r="A4756" i="7"/>
  <c r="A4755" i="7"/>
  <c r="A4745" i="7"/>
  <c r="A4752" i="7"/>
  <c r="A4750" i="7"/>
  <c r="A4743" i="7"/>
  <c r="A4757" i="7"/>
  <c r="A4765" i="7"/>
  <c r="A4760" i="7"/>
  <c r="A4759" i="7"/>
  <c r="A4742" i="7"/>
  <c r="A4747" i="7"/>
  <c r="A4753" i="7"/>
  <c r="C114" i="6"/>
  <c r="A115" i="6"/>
  <c r="A119" i="4" s="1"/>
  <c r="AC226" i="4"/>
  <c r="W226" i="4"/>
  <c r="V226" i="4"/>
  <c r="W42" i="4"/>
  <c r="Z42" i="4"/>
  <c r="AC42" i="4"/>
  <c r="Y42" i="4"/>
  <c r="V42" i="4"/>
  <c r="V240" i="4"/>
  <c r="AC240" i="4"/>
  <c r="W240" i="4"/>
  <c r="V24" i="4"/>
  <c r="AC24" i="4"/>
  <c r="Y24" i="4"/>
  <c r="Z24" i="4"/>
  <c r="W24" i="4"/>
  <c r="AC256" i="4"/>
  <c r="W256" i="4"/>
  <c r="V256" i="4"/>
  <c r="Y40" i="4"/>
  <c r="W40" i="4"/>
  <c r="V40" i="4"/>
  <c r="AC40" i="4"/>
  <c r="Z40" i="4"/>
  <c r="W44" i="4"/>
  <c r="Y44" i="4"/>
  <c r="Z44" i="4"/>
  <c r="V44" i="4"/>
  <c r="AC44" i="4"/>
  <c r="Y43" i="4"/>
  <c r="W43" i="4"/>
  <c r="V43" i="4"/>
  <c r="Z43" i="4"/>
  <c r="AC43" i="4"/>
  <c r="W25" i="4"/>
  <c r="AC25" i="4"/>
  <c r="Y25" i="4"/>
  <c r="V25" i="4"/>
  <c r="Z25" i="4"/>
  <c r="AC257" i="4"/>
  <c r="W257" i="4"/>
  <c r="V257" i="4"/>
  <c r="AC58" i="4"/>
  <c r="Y58" i="4"/>
  <c r="Z58" i="4"/>
  <c r="V58" i="4"/>
  <c r="W58" i="4"/>
  <c r="V41" i="4"/>
  <c r="W41" i="4"/>
  <c r="Y41" i="4"/>
  <c r="AC41" i="4"/>
  <c r="Z41" i="4"/>
  <c r="W239" i="4"/>
  <c r="AC239" i="4"/>
  <c r="V239" i="4"/>
  <c r="V57" i="4"/>
  <c r="Z57" i="4"/>
  <c r="AC57" i="4"/>
  <c r="Y57" i="4"/>
  <c r="W57" i="4"/>
  <c r="Y23" i="4"/>
  <c r="Z23" i="4"/>
  <c r="W23" i="4"/>
  <c r="V23" i="4"/>
  <c r="AC23" i="4"/>
  <c r="V255" i="4"/>
  <c r="AC255" i="4"/>
  <c r="W255" i="4"/>
  <c r="AC238" i="4"/>
  <c r="V238" i="4"/>
  <c r="W238" i="4"/>
  <c r="W73" i="4"/>
  <c r="V73" i="4"/>
  <c r="Y73" i="4"/>
  <c r="Z73" i="4"/>
  <c r="AC73" i="4"/>
  <c r="Y56" i="4"/>
  <c r="V56" i="4"/>
  <c r="AC56" i="4"/>
  <c r="W56" i="4"/>
  <c r="Z56" i="4"/>
  <c r="Y22" i="4"/>
  <c r="Z22" i="4"/>
  <c r="V22" i="4"/>
  <c r="AC22" i="4"/>
  <c r="W22" i="4"/>
  <c r="W61" i="4"/>
  <c r="Y61" i="4"/>
  <c r="V61" i="4"/>
  <c r="AC61" i="4"/>
  <c r="Z61" i="4"/>
  <c r="V242" i="4"/>
  <c r="W242" i="4"/>
  <c r="AC242" i="4"/>
  <c r="V53" i="4"/>
  <c r="Y53" i="4"/>
  <c r="W53" i="4"/>
  <c r="AC53" i="4"/>
  <c r="Z53" i="4"/>
  <c r="W250" i="4"/>
  <c r="V250" i="4"/>
  <c r="AC250" i="4"/>
  <c r="V233" i="4"/>
  <c r="AC233" i="4"/>
  <c r="W233" i="4"/>
  <c r="V52" i="4"/>
  <c r="AC52" i="4"/>
  <c r="W52" i="4"/>
  <c r="Z52" i="4"/>
  <c r="Y52" i="4"/>
  <c r="W18" i="4"/>
  <c r="V18" i="4"/>
  <c r="AC18" i="4"/>
  <c r="Y18" i="4"/>
  <c r="Z18" i="4"/>
  <c r="W249" i="4"/>
  <c r="AC249" i="4"/>
  <c r="V249" i="4"/>
  <c r="AC232" i="4"/>
  <c r="V232" i="4"/>
  <c r="W232" i="4"/>
  <c r="Y68" i="4"/>
  <c r="W68" i="4"/>
  <c r="V68" i="4"/>
  <c r="AC68" i="4"/>
  <c r="Z68" i="4"/>
  <c r="Y51" i="4"/>
  <c r="V51" i="4"/>
  <c r="W51" i="4"/>
  <c r="AC51" i="4"/>
  <c r="Z51" i="4"/>
  <c r="W34" i="4"/>
  <c r="AC34" i="4"/>
  <c r="Y34" i="4"/>
  <c r="Z34" i="4"/>
  <c r="V34" i="4"/>
  <c r="V17" i="4"/>
  <c r="Y17" i="4"/>
  <c r="W17" i="4"/>
  <c r="AC17" i="4"/>
  <c r="Z17" i="4"/>
  <c r="Y26" i="4"/>
  <c r="V26" i="4"/>
  <c r="W26" i="4"/>
  <c r="AC26" i="4"/>
  <c r="Z26" i="4"/>
  <c r="W254" i="4"/>
  <c r="V254" i="4"/>
  <c r="AC254" i="4"/>
  <c r="W54" i="4"/>
  <c r="Y54" i="4"/>
  <c r="V54" i="4"/>
  <c r="Z54" i="4"/>
  <c r="AC54" i="4"/>
  <c r="W36" i="4"/>
  <c r="V36" i="4"/>
  <c r="AC36" i="4"/>
  <c r="Z36" i="4"/>
  <c r="Y36" i="4"/>
  <c r="W248" i="4"/>
  <c r="AC248" i="4"/>
  <c r="V248" i="4"/>
  <c r="Y66" i="4"/>
  <c r="AC66" i="4"/>
  <c r="W66" i="4"/>
  <c r="V66" i="4"/>
  <c r="Z66" i="4"/>
  <c r="V49" i="4"/>
  <c r="W49" i="4"/>
  <c r="AC49" i="4"/>
  <c r="Y49" i="4"/>
  <c r="Z49" i="4"/>
  <c r="W32" i="4"/>
  <c r="Z32" i="4"/>
  <c r="V32" i="4"/>
  <c r="Y32" i="4"/>
  <c r="AC32" i="4"/>
  <c r="Y62" i="4"/>
  <c r="W62" i="4"/>
  <c r="AC62" i="4"/>
  <c r="V62" i="4"/>
  <c r="Z62" i="4"/>
  <c r="W60" i="4"/>
  <c r="Z60" i="4"/>
  <c r="Y60" i="4"/>
  <c r="AC60" i="4"/>
  <c r="V60" i="4"/>
  <c r="Y72" i="4"/>
  <c r="W72" i="4"/>
  <c r="AC72" i="4"/>
  <c r="V72" i="4"/>
  <c r="Z72" i="4"/>
  <c r="W37" i="4"/>
  <c r="Y37" i="4"/>
  <c r="AC37" i="4"/>
  <c r="V37" i="4"/>
  <c r="Z37" i="4"/>
  <c r="W252" i="4"/>
  <c r="AC252" i="4"/>
  <c r="V252" i="4"/>
  <c r="W70" i="4"/>
  <c r="AC70" i="4"/>
  <c r="Z70" i="4"/>
  <c r="Y70" i="4"/>
  <c r="V70" i="4"/>
  <c r="W231" i="4"/>
  <c r="AC231" i="4"/>
  <c r="V231" i="4"/>
  <c r="Y33" i="4"/>
  <c r="V33" i="4"/>
  <c r="W33" i="4"/>
  <c r="AC33" i="4"/>
  <c r="Z33" i="4"/>
  <c r="W230" i="4"/>
  <c r="AC230" i="4"/>
  <c r="V230" i="4"/>
  <c r="W246" i="4"/>
  <c r="V246" i="4"/>
  <c r="AC246" i="4"/>
  <c r="AC229" i="4"/>
  <c r="V229" i="4"/>
  <c r="W229" i="4"/>
  <c r="Y65" i="4"/>
  <c r="AC65" i="4"/>
  <c r="W65" i="4"/>
  <c r="V65" i="4"/>
  <c r="Z65" i="4"/>
  <c r="Y48" i="4"/>
  <c r="Z48" i="4"/>
  <c r="AC48" i="4"/>
  <c r="V48" i="4"/>
  <c r="W48" i="4"/>
  <c r="W31" i="4"/>
  <c r="Z31" i="4"/>
  <c r="Y31" i="4"/>
  <c r="V31" i="4"/>
  <c r="AC31" i="4"/>
  <c r="V244" i="4"/>
  <c r="AC244" i="4"/>
  <c r="W244" i="4"/>
  <c r="V227" i="4"/>
  <c r="AC227" i="4"/>
  <c r="W227" i="4"/>
  <c r="Y45" i="4"/>
  <c r="AC45" i="4"/>
  <c r="V45" i="4"/>
  <c r="W45" i="4"/>
  <c r="Z45" i="4"/>
  <c r="W29" i="4"/>
  <c r="Y29" i="4"/>
  <c r="V29" i="4"/>
  <c r="Z29" i="4"/>
  <c r="AC29" i="4"/>
  <c r="AC243" i="4"/>
  <c r="W243" i="4"/>
  <c r="V243" i="4"/>
  <c r="Y28" i="4"/>
  <c r="Z28" i="4"/>
  <c r="W28" i="4"/>
  <c r="V28" i="4"/>
  <c r="AC28" i="4"/>
  <c r="AC241" i="4"/>
  <c r="V241" i="4"/>
  <c r="W241" i="4"/>
  <c r="W59" i="4"/>
  <c r="Y59" i="4"/>
  <c r="V59" i="4"/>
  <c r="Z59" i="4"/>
  <c r="AC59" i="4"/>
  <c r="V237" i="4"/>
  <c r="AC237" i="4"/>
  <c r="W237" i="4"/>
  <c r="Z55" i="4"/>
  <c r="AC55" i="4"/>
  <c r="Y55" i="4"/>
  <c r="V55" i="4"/>
  <c r="W55" i="4"/>
  <c r="Y21" i="4"/>
  <c r="W21" i="4"/>
  <c r="AC21" i="4"/>
  <c r="Z21" i="4"/>
  <c r="V21" i="4"/>
  <c r="AC253" i="4"/>
  <c r="V253" i="4"/>
  <c r="W253" i="4"/>
  <c r="W235" i="4"/>
  <c r="AC235" i="4"/>
  <c r="V235" i="4"/>
  <c r="W71" i="4"/>
  <c r="Y71" i="4"/>
  <c r="V71" i="4"/>
  <c r="AC71" i="4"/>
  <c r="Z71" i="4"/>
  <c r="Y20" i="4"/>
  <c r="W20" i="4"/>
  <c r="AC20" i="4"/>
  <c r="V20" i="4"/>
  <c r="Z20" i="4"/>
  <c r="V234" i="4"/>
  <c r="AC234" i="4"/>
  <c r="W234" i="4"/>
  <c r="Y19" i="4"/>
  <c r="W19" i="4"/>
  <c r="AC19" i="4"/>
  <c r="V19" i="4"/>
  <c r="Z19" i="4"/>
  <c r="W69" i="4"/>
  <c r="Y69" i="4"/>
  <c r="V69" i="4"/>
  <c r="Z69" i="4"/>
  <c r="AC69" i="4"/>
  <c r="Y67" i="4"/>
  <c r="V67" i="4"/>
  <c r="W67" i="4"/>
  <c r="Z67" i="4"/>
  <c r="AC67" i="4"/>
  <c r="AC50" i="4"/>
  <c r="Z50" i="4"/>
  <c r="Y50" i="4"/>
  <c r="W50" i="4"/>
  <c r="V50" i="4"/>
  <c r="V247" i="4"/>
  <c r="W247" i="4"/>
  <c r="AC247" i="4"/>
  <c r="W245" i="4"/>
  <c r="AC245" i="4"/>
  <c r="V245" i="4"/>
  <c r="W228" i="4"/>
  <c r="AC228" i="4"/>
  <c r="V228" i="4"/>
  <c r="W63" i="4"/>
  <c r="AC63" i="4"/>
  <c r="Y63" i="4"/>
  <c r="V63" i="4"/>
  <c r="Z63" i="4"/>
  <c r="Y46" i="4"/>
  <c r="V46" i="4"/>
  <c r="AC46" i="4"/>
  <c r="W46" i="4"/>
  <c r="Z46" i="4"/>
  <c r="W30" i="4"/>
  <c r="AC30" i="4"/>
  <c r="Y30" i="4"/>
  <c r="Z30" i="4"/>
  <c r="V30" i="4"/>
  <c r="Y47" i="4"/>
  <c r="W47" i="4"/>
  <c r="AC47" i="4"/>
  <c r="V47" i="4"/>
  <c r="Z47" i="4"/>
  <c r="Z39" i="4"/>
  <c r="AC39" i="4"/>
  <c r="W39" i="4"/>
  <c r="V39" i="4"/>
  <c r="Y39" i="4"/>
  <c r="W38" i="4"/>
  <c r="AC38" i="4"/>
  <c r="Y38" i="4"/>
  <c r="V38" i="4"/>
  <c r="Z38" i="4"/>
  <c r="AC35" i="4"/>
  <c r="W35" i="4"/>
  <c r="V35" i="4"/>
  <c r="Y35" i="4"/>
  <c r="Z35" i="4"/>
  <c r="BA55" i="2"/>
  <c r="BA54" i="2"/>
  <c r="BA56" i="2"/>
  <c r="BA57" i="2"/>
  <c r="BA58" i="2"/>
  <c r="K58" i="2"/>
  <c r="L58" i="2"/>
  <c r="M58" i="2" s="1"/>
  <c r="S58" i="2" s="1"/>
  <c r="L54" i="2"/>
  <c r="L55" i="2"/>
  <c r="J57" i="2"/>
  <c r="K57" i="2"/>
  <c r="J56" i="2"/>
  <c r="J55" i="2"/>
  <c r="K55" i="2"/>
  <c r="L56" i="2"/>
  <c r="J54" i="2"/>
  <c r="K54" i="2"/>
  <c r="Q18" i="1"/>
  <c r="Z18" i="1"/>
  <c r="AA18" i="1" s="1"/>
  <c r="AJ18" i="1"/>
  <c r="AK18" i="1" s="1"/>
  <c r="R18" i="1"/>
  <c r="X53" i="30"/>
  <c r="X55" i="30" s="1"/>
  <c r="W53" i="30"/>
  <c r="W55" i="30" s="1"/>
  <c r="V53" i="30"/>
  <c r="V55" i="30" s="1"/>
  <c r="T53" i="30"/>
  <c r="T55" i="30" s="1"/>
  <c r="I53" i="30"/>
  <c r="I55" i="30" s="1"/>
  <c r="C64" i="30" s="1"/>
  <c r="D64" i="30" s="1"/>
  <c r="E64" i="30" s="1"/>
  <c r="F53" i="30"/>
  <c r="F55" i="30" s="1"/>
  <c r="U53" i="30"/>
  <c r="U55" i="30" s="1"/>
  <c r="S53" i="30"/>
  <c r="S55" i="30" s="1"/>
  <c r="R53" i="30"/>
  <c r="R55" i="30" s="1"/>
  <c r="M53" i="30"/>
  <c r="M55" i="30" s="1"/>
  <c r="C61" i="30" s="1"/>
  <c r="D61" i="30" s="1"/>
  <c r="E61" i="30" s="1"/>
  <c r="L53" i="30"/>
  <c r="L55" i="30" s="1"/>
  <c r="K53" i="30"/>
  <c r="K55" i="30" s="1"/>
  <c r="P53" i="30"/>
  <c r="P55" i="30" s="1"/>
  <c r="O53" i="30"/>
  <c r="O55" i="30" s="1"/>
  <c r="N53" i="30"/>
  <c r="N55" i="30" s="1"/>
  <c r="H53" i="30"/>
  <c r="H55" i="30" s="1"/>
  <c r="G53" i="30"/>
  <c r="G55" i="30" s="1"/>
  <c r="C63" i="30" s="1"/>
  <c r="D63" i="30" s="1"/>
  <c r="E63" i="30" s="1"/>
  <c r="E53" i="30"/>
  <c r="E55" i="30" s="1"/>
  <c r="D53" i="30"/>
  <c r="D55" i="30" s="1"/>
  <c r="C53" i="30"/>
  <c r="C55" i="30" s="1"/>
  <c r="C60" i="30" s="1"/>
  <c r="D60" i="30" s="1"/>
  <c r="E60" i="30" s="1"/>
  <c r="M57" i="2" l="1"/>
  <c r="S57" i="2" s="1"/>
  <c r="A174" i="4"/>
  <c r="A171" i="6"/>
  <c r="C170" i="6"/>
  <c r="B4790" i="7"/>
  <c r="B4785" i="7"/>
  <c r="B4780" i="7"/>
  <c r="B4795" i="7"/>
  <c r="B4789" i="7"/>
  <c r="B4786" i="7"/>
  <c r="B4781" i="7"/>
  <c r="B4774" i="7"/>
  <c r="B4787" i="7"/>
  <c r="B4772" i="7"/>
  <c r="B4777" i="7"/>
  <c r="B4783" i="7"/>
  <c r="B4791" i="7"/>
  <c r="B4773" i="7"/>
  <c r="B4782" i="7"/>
  <c r="B4775" i="7"/>
  <c r="A4780" i="7"/>
  <c r="A4790" i="7"/>
  <c r="A4785" i="7"/>
  <c r="A4795" i="7"/>
  <c r="A4786" i="7"/>
  <c r="A4772" i="7"/>
  <c r="A4783" i="7"/>
  <c r="A4781" i="7"/>
  <c r="A4787" i="7"/>
  <c r="A4774" i="7"/>
  <c r="A4777" i="7"/>
  <c r="C4765" i="7"/>
  <c r="A4773" i="7"/>
  <c r="A4789" i="7"/>
  <c r="A4782" i="7"/>
  <c r="A4775" i="7"/>
  <c r="A4791" i="7"/>
  <c r="A116" i="6"/>
  <c r="A120" i="4" s="1"/>
  <c r="C115" i="6"/>
  <c r="M54" i="2"/>
  <c r="S54" i="2" s="1"/>
  <c r="M56" i="2"/>
  <c r="S56" i="2" s="1"/>
  <c r="M55" i="2"/>
  <c r="S55" i="2" s="1"/>
  <c r="D58" i="30"/>
  <c r="E58" i="30" s="1"/>
  <c r="C62" i="30"/>
  <c r="D62" i="30" s="1"/>
  <c r="E62" i="30" s="1"/>
  <c r="A175" i="4" l="1"/>
  <c r="C171" i="6"/>
  <c r="A172" i="6"/>
  <c r="A4813" i="7"/>
  <c r="A4807" i="7"/>
  <c r="A4819" i="7"/>
  <c r="A4802" i="7"/>
  <c r="A4825" i="7"/>
  <c r="A4820" i="7"/>
  <c r="A4815" i="7"/>
  <c r="A4812" i="7"/>
  <c r="A4804" i="7"/>
  <c r="A4821" i="7"/>
  <c r="C4795" i="7"/>
  <c r="A4811" i="7"/>
  <c r="A4817" i="7"/>
  <c r="A4803" i="7"/>
  <c r="A4810" i="7"/>
  <c r="A4805" i="7"/>
  <c r="A4816" i="7"/>
  <c r="B4813" i="7"/>
  <c r="B4807" i="7"/>
  <c r="B4819" i="7"/>
  <c r="B4803" i="7"/>
  <c r="B4821" i="7"/>
  <c r="B4815" i="7"/>
  <c r="B4825" i="7"/>
  <c r="B4820" i="7"/>
  <c r="B4817" i="7"/>
  <c r="B4810" i="7"/>
  <c r="B4811" i="7"/>
  <c r="B4805" i="7"/>
  <c r="B4804" i="7"/>
  <c r="B4812" i="7"/>
  <c r="B4802" i="7"/>
  <c r="B4816" i="7"/>
  <c r="C116" i="6"/>
  <c r="A117" i="6"/>
  <c r="A121" i="4" s="1"/>
  <c r="H16" i="24"/>
  <c r="D15" i="24"/>
  <c r="N15" i="24"/>
  <c r="E15" i="24" s="1"/>
  <c r="AF15" i="24"/>
  <c r="AG15" i="24"/>
  <c r="AH15" i="24"/>
  <c r="A176" i="4" l="1"/>
  <c r="A173" i="6"/>
  <c r="C172" i="6"/>
  <c r="A4850" i="7"/>
  <c r="A4845" i="7"/>
  <c r="A4835" i="7"/>
  <c r="A4842" i="7"/>
  <c r="A4846" i="7"/>
  <c r="C4825" i="7"/>
  <c r="A4855" i="7"/>
  <c r="A4833" i="7"/>
  <c r="A4849" i="7"/>
  <c r="A4832" i="7"/>
  <c r="A4843" i="7"/>
  <c r="A4847" i="7"/>
  <c r="A4840" i="7"/>
  <c r="A4834" i="7"/>
  <c r="A4841" i="7"/>
  <c r="A4851" i="7"/>
  <c r="A4837" i="7"/>
  <c r="B4850" i="7"/>
  <c r="B4845" i="7"/>
  <c r="B4842" i="7"/>
  <c r="B4846" i="7"/>
  <c r="B4832" i="7"/>
  <c r="B4847" i="7"/>
  <c r="B4855" i="7"/>
  <c r="B4835" i="7"/>
  <c r="B4849" i="7"/>
  <c r="B4841" i="7"/>
  <c r="B4843" i="7"/>
  <c r="B4834" i="7"/>
  <c r="B4851" i="7"/>
  <c r="B4837" i="7"/>
  <c r="B4833" i="7"/>
  <c r="B4840" i="7"/>
  <c r="A118" i="6"/>
  <c r="A122" i="4" s="1"/>
  <c r="C117" i="6"/>
  <c r="F15" i="24"/>
  <c r="O15" i="24"/>
  <c r="A177" i="4" l="1"/>
  <c r="A174" i="6"/>
  <c r="C173" i="6"/>
  <c r="A4873" i="7"/>
  <c r="A4867" i="7"/>
  <c r="A4879" i="7"/>
  <c r="A4870" i="7"/>
  <c r="A4864" i="7"/>
  <c r="A4863" i="7"/>
  <c r="A4885" i="7"/>
  <c r="A4862" i="7"/>
  <c r="C4855" i="7"/>
  <c r="A4875" i="7"/>
  <c r="A4877" i="7"/>
  <c r="A4881" i="7"/>
  <c r="A4876" i="7"/>
  <c r="A4880" i="7"/>
  <c r="A4872" i="7"/>
  <c r="A4865" i="7"/>
  <c r="A4871" i="7"/>
  <c r="B4879" i="7"/>
  <c r="B4863" i="7"/>
  <c r="B4873" i="7"/>
  <c r="B4885" i="7"/>
  <c r="B4880" i="7"/>
  <c r="B4881" i="7"/>
  <c r="B4872" i="7"/>
  <c r="B4875" i="7"/>
  <c r="B4867" i="7"/>
  <c r="B4864" i="7"/>
  <c r="B4876" i="7"/>
  <c r="B4870" i="7"/>
  <c r="B4862" i="7"/>
  <c r="B4865" i="7"/>
  <c r="B4877" i="7"/>
  <c r="B4871" i="7"/>
  <c r="A119" i="6"/>
  <c r="A123" i="4" s="1"/>
  <c r="C118" i="6"/>
  <c r="H18" i="24"/>
  <c r="A178" i="4" l="1"/>
  <c r="C174" i="6"/>
  <c r="A175" i="6"/>
  <c r="B4915" i="7"/>
  <c r="B4907" i="7"/>
  <c r="B4892" i="7"/>
  <c r="B4901" i="7"/>
  <c r="B4895" i="7"/>
  <c r="B4910" i="7"/>
  <c r="B4906" i="7"/>
  <c r="B4909" i="7"/>
  <c r="B4900" i="7"/>
  <c r="B4903" i="7"/>
  <c r="B4902" i="7"/>
  <c r="B4894" i="7"/>
  <c r="B4905" i="7"/>
  <c r="B4893" i="7"/>
  <c r="B4911" i="7"/>
  <c r="B4897" i="7"/>
  <c r="A4902" i="7"/>
  <c r="A4915" i="7"/>
  <c r="A4907" i="7"/>
  <c r="A4911" i="7"/>
  <c r="A4901" i="7"/>
  <c r="A4895" i="7"/>
  <c r="A4910" i="7"/>
  <c r="A4906" i="7"/>
  <c r="A4897" i="7"/>
  <c r="A4903" i="7"/>
  <c r="A4900" i="7"/>
  <c r="A4909" i="7"/>
  <c r="A4905" i="7"/>
  <c r="C4885" i="7"/>
  <c r="A4894" i="7"/>
  <c r="A4893" i="7"/>
  <c r="A4892" i="7"/>
  <c r="A120" i="6"/>
  <c r="A124" i="4" s="1"/>
  <c r="C119" i="6"/>
  <c r="H17" i="24"/>
  <c r="N31" i="25"/>
  <c r="E31" i="25" s="1"/>
  <c r="N30" i="25"/>
  <c r="E30" i="25" s="1"/>
  <c r="D30" i="25"/>
  <c r="N13" i="25"/>
  <c r="O13" i="25" s="1"/>
  <c r="AH12" i="25"/>
  <c r="AG12" i="25"/>
  <c r="AF12" i="25"/>
  <c r="N12" i="25"/>
  <c r="D12" i="25"/>
  <c r="N11" i="25"/>
  <c r="E11" i="25" s="1"/>
  <c r="F11" i="25" s="1"/>
  <c r="D11" i="25"/>
  <c r="A179" i="4" l="1"/>
  <c r="C175" i="6"/>
  <c r="A176" i="6"/>
  <c r="A4941" i="7"/>
  <c r="A4936" i="7"/>
  <c r="A4935" i="7"/>
  <c r="A4923" i="7"/>
  <c r="A4939" i="7"/>
  <c r="A4940" i="7"/>
  <c r="A4933" i="7"/>
  <c r="C4915" i="7"/>
  <c r="A4931" i="7"/>
  <c r="A4924" i="7"/>
  <c r="A4930" i="7"/>
  <c r="A4932" i="7"/>
  <c r="A4937" i="7"/>
  <c r="A4922" i="7"/>
  <c r="A4927" i="7"/>
  <c r="A4945" i="7"/>
  <c r="A4925" i="7"/>
  <c r="B4941" i="7"/>
  <c r="B4936" i="7"/>
  <c r="B4923" i="7"/>
  <c r="B4939" i="7"/>
  <c r="B4932" i="7"/>
  <c r="B4927" i="7"/>
  <c r="B4937" i="7"/>
  <c r="B4922" i="7"/>
  <c r="B4931" i="7"/>
  <c r="B4945" i="7"/>
  <c r="B4940" i="7"/>
  <c r="B4935" i="7"/>
  <c r="B4930" i="7"/>
  <c r="B4924" i="7"/>
  <c r="B4933" i="7"/>
  <c r="B4925" i="7"/>
  <c r="C120" i="6"/>
  <c r="A121" i="6"/>
  <c r="A125" i="4" s="1"/>
  <c r="E13" i="25"/>
  <c r="F13" i="25" s="1"/>
  <c r="F30" i="25"/>
  <c r="H31" i="25"/>
  <c r="O31" i="25" s="1"/>
  <c r="O12" i="25"/>
  <c r="F12" i="25"/>
  <c r="O11" i="25"/>
  <c r="O30" i="25"/>
  <c r="A180" i="4" l="1"/>
  <c r="C176" i="6"/>
  <c r="A177" i="6"/>
  <c r="D31" i="25"/>
  <c r="F31" i="25" s="1"/>
  <c r="F33" i="25" s="1"/>
  <c r="F65" i="23" s="1"/>
  <c r="B4970" i="7"/>
  <c r="B4965" i="7"/>
  <c r="B4961" i="7"/>
  <c r="B4954" i="7"/>
  <c r="B4967" i="7"/>
  <c r="B4953" i="7"/>
  <c r="B4969" i="7"/>
  <c r="B4963" i="7"/>
  <c r="B4960" i="7"/>
  <c r="B4966" i="7"/>
  <c r="B4957" i="7"/>
  <c r="B4952" i="7"/>
  <c r="B4955" i="7"/>
  <c r="B4975" i="7"/>
  <c r="B4962" i="7"/>
  <c r="B4971" i="7"/>
  <c r="A4970" i="7"/>
  <c r="A4965" i="7"/>
  <c r="A4963" i="7"/>
  <c r="A4961" i="7"/>
  <c r="C4945" i="7"/>
  <c r="A4962" i="7"/>
  <c r="A4969" i="7"/>
  <c r="A4971" i="7"/>
  <c r="A4954" i="7"/>
  <c r="A4967" i="7"/>
  <c r="A4957" i="7"/>
  <c r="A4960" i="7"/>
  <c r="A4953" i="7"/>
  <c r="A4966" i="7"/>
  <c r="A4952" i="7"/>
  <c r="A4955" i="7"/>
  <c r="A4975" i="7"/>
  <c r="A122" i="6"/>
  <c r="A126" i="4" s="1"/>
  <c r="C121" i="6"/>
  <c r="O33" i="25"/>
  <c r="O65" i="23" s="1"/>
  <c r="F15" i="25"/>
  <c r="F63" i="23" s="1"/>
  <c r="O15" i="25"/>
  <c r="O63" i="23" s="1"/>
  <c r="A181" i="4" l="1"/>
  <c r="C177" i="6"/>
  <c r="A178" i="6"/>
  <c r="B4999" i="7"/>
  <c r="B4983" i="7"/>
  <c r="B4990" i="7"/>
  <c r="B4992" i="7"/>
  <c r="B4997" i="7"/>
  <c r="B5005" i="7"/>
  <c r="B4993" i="7"/>
  <c r="B4985" i="7"/>
  <c r="B4996" i="7"/>
  <c r="B4987" i="7"/>
  <c r="B4995" i="7"/>
  <c r="B4982" i="7"/>
  <c r="B4991" i="7"/>
  <c r="B5000" i="7"/>
  <c r="B4984" i="7"/>
  <c r="B5001" i="7"/>
  <c r="A4993" i="7"/>
  <c r="A4987" i="7"/>
  <c r="A4999" i="7"/>
  <c r="A4983" i="7"/>
  <c r="A4984" i="7"/>
  <c r="A4992" i="7"/>
  <c r="A4990" i="7"/>
  <c r="A4991" i="7"/>
  <c r="C4975" i="7"/>
  <c r="A5005" i="7"/>
  <c r="A4985" i="7"/>
  <c r="A4982" i="7"/>
  <c r="A5000" i="7"/>
  <c r="A4995" i="7"/>
  <c r="A5001" i="7"/>
  <c r="A4997" i="7"/>
  <c r="A4996" i="7"/>
  <c r="C122" i="6"/>
  <c r="A123" i="6"/>
  <c r="A127" i="4" s="1"/>
  <c r="B10" i="22"/>
  <c r="A182" i="4" l="1"/>
  <c r="C178" i="6"/>
  <c r="A179" i="6"/>
  <c r="A5022" i="7"/>
  <c r="A5035" i="7"/>
  <c r="A5027" i="7"/>
  <c r="A5012" i="7"/>
  <c r="A5030" i="7"/>
  <c r="A5025" i="7"/>
  <c r="A5026" i="7"/>
  <c r="A5023" i="7"/>
  <c r="A5013" i="7"/>
  <c r="A5021" i="7"/>
  <c r="C5005" i="7"/>
  <c r="A5017" i="7"/>
  <c r="A5029" i="7"/>
  <c r="A5015" i="7"/>
  <c r="A5020" i="7"/>
  <c r="A5031" i="7"/>
  <c r="A5014" i="7"/>
  <c r="B5035" i="7"/>
  <c r="B5027" i="7"/>
  <c r="B5012" i="7"/>
  <c r="B5021" i="7"/>
  <c r="B5022" i="7"/>
  <c r="B5020" i="7"/>
  <c r="B5029" i="7"/>
  <c r="B5013" i="7"/>
  <c r="B5015" i="7"/>
  <c r="B5026" i="7"/>
  <c r="B5025" i="7"/>
  <c r="B5023" i="7"/>
  <c r="B5017" i="7"/>
  <c r="B5030" i="7"/>
  <c r="B5031" i="7"/>
  <c r="B5014" i="7"/>
  <c r="A124" i="6"/>
  <c r="A128" i="4" s="1"/>
  <c r="C123" i="6"/>
  <c r="D17" i="24"/>
  <c r="N17" i="24"/>
  <c r="E17" i="24" s="1"/>
  <c r="AF17" i="24"/>
  <c r="AG17" i="24"/>
  <c r="AH17" i="24"/>
  <c r="A183" i="4" l="1"/>
  <c r="A180" i="6"/>
  <c r="C179" i="6"/>
  <c r="B5056" i="7"/>
  <c r="B5061" i="7"/>
  <c r="B5045" i="7"/>
  <c r="B5043" i="7"/>
  <c r="B5050" i="7"/>
  <c r="B5044" i="7"/>
  <c r="B5060" i="7"/>
  <c r="B5053" i="7"/>
  <c r="B5047" i="7"/>
  <c r="B5042" i="7"/>
  <c r="B5052" i="7"/>
  <c r="B5059" i="7"/>
  <c r="B5057" i="7"/>
  <c r="B5051" i="7"/>
  <c r="B5055" i="7"/>
  <c r="B5065" i="7"/>
  <c r="A5056" i="7"/>
  <c r="A5061" i="7"/>
  <c r="A5059" i="7"/>
  <c r="A5043" i="7"/>
  <c r="A5044" i="7"/>
  <c r="A5051" i="7"/>
  <c r="A5053" i="7"/>
  <c r="A5047" i="7"/>
  <c r="A5045" i="7"/>
  <c r="A5060" i="7"/>
  <c r="A5052" i="7"/>
  <c r="A5055" i="7"/>
  <c r="C5035" i="7"/>
  <c r="A5065" i="7"/>
  <c r="A5057" i="7"/>
  <c r="A5042" i="7"/>
  <c r="A5050" i="7"/>
  <c r="C124" i="6"/>
  <c r="A125" i="6"/>
  <c r="A129" i="4" s="1"/>
  <c r="O17" i="24"/>
  <c r="F17" i="24"/>
  <c r="A184" i="4" l="1"/>
  <c r="A181" i="6"/>
  <c r="C180" i="6"/>
  <c r="B5083" i="7"/>
  <c r="B5077" i="7"/>
  <c r="B5089" i="7"/>
  <c r="B5073" i="7"/>
  <c r="B5085" i="7"/>
  <c r="B5081" i="7"/>
  <c r="B5095" i="7"/>
  <c r="B5082" i="7"/>
  <c r="B5090" i="7"/>
  <c r="B5091" i="7"/>
  <c r="B5087" i="7"/>
  <c r="B5074" i="7"/>
  <c r="B5075" i="7"/>
  <c r="B5086" i="7"/>
  <c r="B5072" i="7"/>
  <c r="B5080" i="7"/>
  <c r="A5082" i="7"/>
  <c r="A5077" i="7"/>
  <c r="A5073" i="7"/>
  <c r="A5089" i="7"/>
  <c r="A5085" i="7"/>
  <c r="A5081" i="7"/>
  <c r="A5074" i="7"/>
  <c r="A5083" i="7"/>
  <c r="A5090" i="7"/>
  <c r="A5075" i="7"/>
  <c r="A5072" i="7"/>
  <c r="A5087" i="7"/>
  <c r="C5065" i="7"/>
  <c r="A5086" i="7"/>
  <c r="A5091" i="7"/>
  <c r="A5080" i="7"/>
  <c r="A5095" i="7"/>
  <c r="A126" i="6"/>
  <c r="A130" i="4" s="1"/>
  <c r="C125" i="6"/>
  <c r="Q69" i="15"/>
  <c r="P69" i="15"/>
  <c r="O69" i="15"/>
  <c r="N69" i="15"/>
  <c r="H69" i="15"/>
  <c r="G69" i="15"/>
  <c r="F69" i="15"/>
  <c r="Q58" i="15"/>
  <c r="P58" i="15"/>
  <c r="O58" i="15"/>
  <c r="N58" i="15"/>
  <c r="H58" i="15"/>
  <c r="G58" i="15"/>
  <c r="F58" i="15"/>
  <c r="M14" i="15"/>
  <c r="M58" i="15" s="1"/>
  <c r="M25" i="15"/>
  <c r="M69" i="15" s="1"/>
  <c r="A73" i="15"/>
  <c r="A67" i="15"/>
  <c r="A62" i="15"/>
  <c r="A56" i="15"/>
  <c r="A49" i="15"/>
  <c r="M8" i="15"/>
  <c r="A185" i="4" l="1"/>
  <c r="C181" i="6"/>
  <c r="A182" i="6"/>
  <c r="B5112" i="7"/>
  <c r="B5125" i="7"/>
  <c r="B5117" i="7"/>
  <c r="B5121" i="7"/>
  <c r="B5111" i="7"/>
  <c r="B5105" i="7"/>
  <c r="B5120" i="7"/>
  <c r="B5116" i="7"/>
  <c r="B5103" i="7"/>
  <c r="B5119" i="7"/>
  <c r="B5104" i="7"/>
  <c r="B5115" i="7"/>
  <c r="B5107" i="7"/>
  <c r="B5113" i="7"/>
  <c r="B5110" i="7"/>
  <c r="B5102" i="7"/>
  <c r="A5105" i="7"/>
  <c r="A5112" i="7"/>
  <c r="A5102" i="7"/>
  <c r="A5121" i="7"/>
  <c r="C5095" i="7"/>
  <c r="A5113" i="7"/>
  <c r="A5103" i="7"/>
  <c r="A5116" i="7"/>
  <c r="A5115" i="7"/>
  <c r="A5111" i="7"/>
  <c r="A5110" i="7"/>
  <c r="A5119" i="7"/>
  <c r="A5107" i="7"/>
  <c r="A5125" i="7"/>
  <c r="A5104" i="7"/>
  <c r="A5120" i="7"/>
  <c r="A5117" i="7"/>
  <c r="A127" i="6"/>
  <c r="A131" i="4" s="1"/>
  <c r="C126" i="6"/>
  <c r="I15" i="16"/>
  <c r="N224" i="24"/>
  <c r="N225" i="24"/>
  <c r="E225" i="24" s="1"/>
  <c r="N226" i="24"/>
  <c r="E226" i="24" s="1"/>
  <c r="D227" i="24"/>
  <c r="B214" i="24"/>
  <c r="B213" i="24"/>
  <c r="B211" i="24"/>
  <c r="B210" i="24"/>
  <c r="B121" i="24"/>
  <c r="B120" i="24"/>
  <c r="B119" i="24"/>
  <c r="H170" i="11"/>
  <c r="L14" i="15" s="1"/>
  <c r="L58" i="15" s="1"/>
  <c r="E170" i="11"/>
  <c r="I14" i="15" s="1"/>
  <c r="T155" i="11"/>
  <c r="S155" i="11"/>
  <c r="H9" i="11"/>
  <c r="H11" i="11"/>
  <c r="H8" i="11"/>
  <c r="D97" i="27"/>
  <c r="S17" i="18"/>
  <c r="E17" i="18"/>
  <c r="E15" i="18"/>
  <c r="E16" i="18"/>
  <c r="A186" i="4" l="1"/>
  <c r="A183" i="6"/>
  <c r="C182" i="6"/>
  <c r="B5151" i="7"/>
  <c r="B5146" i="7"/>
  <c r="B5149" i="7"/>
  <c r="B5145" i="7"/>
  <c r="B5155" i="7"/>
  <c r="B5133" i="7"/>
  <c r="B5143" i="7"/>
  <c r="B5147" i="7"/>
  <c r="B5135" i="7"/>
  <c r="B5137" i="7"/>
  <c r="B5134" i="7"/>
  <c r="B5142" i="7"/>
  <c r="B5150" i="7"/>
  <c r="B5140" i="7"/>
  <c r="B5132" i="7"/>
  <c r="B5141" i="7"/>
  <c r="A5141" i="7"/>
  <c r="A5134" i="7"/>
  <c r="C5125" i="7"/>
  <c r="A5151" i="7"/>
  <c r="A5149" i="7"/>
  <c r="A5145" i="7"/>
  <c r="A5155" i="7"/>
  <c r="A5133" i="7"/>
  <c r="A5140" i="7"/>
  <c r="A5143" i="7"/>
  <c r="A5146" i="7"/>
  <c r="A5135" i="7"/>
  <c r="A5147" i="7"/>
  <c r="A5137" i="7"/>
  <c r="A5142" i="7"/>
  <c r="A5132" i="7"/>
  <c r="A5150" i="7"/>
  <c r="A128" i="6"/>
  <c r="A132" i="4" s="1"/>
  <c r="C127" i="6"/>
  <c r="I58" i="15"/>
  <c r="E224" i="24"/>
  <c r="D25" i="17"/>
  <c r="H16" i="18" s="1"/>
  <c r="P16" i="18" s="1"/>
  <c r="F27" i="18" s="1"/>
  <c r="H225" i="24" l="1"/>
  <c r="A187" i="4"/>
  <c r="C183" i="6"/>
  <c r="A184" i="6"/>
  <c r="B5180" i="7"/>
  <c r="B5175" i="7"/>
  <c r="B5177" i="7"/>
  <c r="B5163" i="7"/>
  <c r="B5181" i="7"/>
  <c r="B5185" i="7"/>
  <c r="B5176" i="7"/>
  <c r="B5162" i="7"/>
  <c r="B5170" i="7"/>
  <c r="B5179" i="7"/>
  <c r="B5172" i="7"/>
  <c r="B5164" i="7"/>
  <c r="B5167" i="7"/>
  <c r="B5171" i="7"/>
  <c r="B5165" i="7"/>
  <c r="B5173" i="7"/>
  <c r="A5170" i="7"/>
  <c r="A5180" i="7"/>
  <c r="A5175" i="7"/>
  <c r="C5155" i="7"/>
  <c r="A5177" i="7"/>
  <c r="A5163" i="7"/>
  <c r="A5185" i="7"/>
  <c r="A5176" i="7"/>
  <c r="A5162" i="7"/>
  <c r="A5171" i="7"/>
  <c r="A5181" i="7"/>
  <c r="A5179" i="7"/>
  <c r="A5172" i="7"/>
  <c r="A5164" i="7"/>
  <c r="A5167" i="7"/>
  <c r="A5165" i="7"/>
  <c r="A5173" i="7"/>
  <c r="C128" i="6"/>
  <c r="A129" i="6"/>
  <c r="A133" i="4" s="1"/>
  <c r="A188" i="4" l="1"/>
  <c r="C184" i="6"/>
  <c r="A185" i="6"/>
  <c r="B5203" i="7"/>
  <c r="B5197" i="7"/>
  <c r="B5209" i="7"/>
  <c r="B5193" i="7"/>
  <c r="B5215" i="7"/>
  <c r="B5206" i="7"/>
  <c r="B5192" i="7"/>
  <c r="B5211" i="7"/>
  <c r="B5205" i="7"/>
  <c r="B5202" i="7"/>
  <c r="B5194" i="7"/>
  <c r="B5195" i="7"/>
  <c r="B5207" i="7"/>
  <c r="B5210" i="7"/>
  <c r="B5201" i="7"/>
  <c r="B5200" i="7"/>
  <c r="A5203" i="7"/>
  <c r="A5197" i="7"/>
  <c r="A5209" i="7"/>
  <c r="A5200" i="7"/>
  <c r="A5215" i="7"/>
  <c r="A5206" i="7"/>
  <c r="A5192" i="7"/>
  <c r="A5207" i="7"/>
  <c r="A5211" i="7"/>
  <c r="A5202" i="7"/>
  <c r="A5194" i="7"/>
  <c r="A5195" i="7"/>
  <c r="A5210" i="7"/>
  <c r="A5201" i="7"/>
  <c r="A5193" i="7"/>
  <c r="A5205" i="7"/>
  <c r="C5185" i="7"/>
  <c r="A130" i="6"/>
  <c r="A134" i="4" s="1"/>
  <c r="C129" i="6"/>
  <c r="A189" i="4" l="1"/>
  <c r="C185" i="6"/>
  <c r="A186" i="6"/>
  <c r="A5225" i="7"/>
  <c r="A5232" i="7"/>
  <c r="A5245" i="7"/>
  <c r="A5237" i="7"/>
  <c r="A5240" i="7"/>
  <c r="A5235" i="7"/>
  <c r="C5215" i="7"/>
  <c r="A5227" i="7"/>
  <c r="A5241" i="7"/>
  <c r="A5239" i="7"/>
  <c r="A5233" i="7"/>
  <c r="A5224" i="7"/>
  <c r="A5230" i="7"/>
  <c r="A5236" i="7"/>
  <c r="A5222" i="7"/>
  <c r="A5223" i="7"/>
  <c r="A5231" i="7"/>
  <c r="B5232" i="7"/>
  <c r="B5245" i="7"/>
  <c r="B5237" i="7"/>
  <c r="B5222" i="7"/>
  <c r="B5240" i="7"/>
  <c r="B5227" i="7"/>
  <c r="B5236" i="7"/>
  <c r="B5233" i="7"/>
  <c r="B5225" i="7"/>
  <c r="B5239" i="7"/>
  <c r="B5235" i="7"/>
  <c r="B5230" i="7"/>
  <c r="B5241" i="7"/>
  <c r="B5223" i="7"/>
  <c r="B5231" i="7"/>
  <c r="B5224" i="7"/>
  <c r="A131" i="6"/>
  <c r="A135" i="4" s="1"/>
  <c r="C130" i="6"/>
  <c r="A190" i="4" l="1"/>
  <c r="A187" i="6"/>
  <c r="C186" i="6"/>
  <c r="B5262" i="7"/>
  <c r="B5269" i="7"/>
  <c r="B5265" i="7"/>
  <c r="B5261" i="7"/>
  <c r="B5257" i="7"/>
  <c r="B5253" i="7"/>
  <c r="B5271" i="7"/>
  <c r="B5255" i="7"/>
  <c r="B5260" i="7"/>
  <c r="B5254" i="7"/>
  <c r="B5263" i="7"/>
  <c r="B5270" i="7"/>
  <c r="B5267" i="7"/>
  <c r="B5266" i="7"/>
  <c r="B5252" i="7"/>
  <c r="B5275" i="7"/>
  <c r="A5255" i="7"/>
  <c r="A5275" i="7"/>
  <c r="A5267" i="7"/>
  <c r="A5254" i="7"/>
  <c r="C5245" i="7"/>
  <c r="A5270" i="7"/>
  <c r="A5266" i="7"/>
  <c r="A5257" i="7"/>
  <c r="A5253" i="7"/>
  <c r="A5271" i="7"/>
  <c r="A5260" i="7"/>
  <c r="A5261" i="7"/>
  <c r="A5252" i="7"/>
  <c r="A5265" i="7"/>
  <c r="A5269" i="7"/>
  <c r="A5263" i="7"/>
  <c r="A5262" i="7"/>
  <c r="A132" i="6"/>
  <c r="A136" i="4" s="1"/>
  <c r="C131" i="6"/>
  <c r="A191" i="4" l="1"/>
  <c r="C187" i="6"/>
  <c r="A188" i="6"/>
  <c r="A5291" i="7"/>
  <c r="A5284" i="7"/>
  <c r="C5275" i="7"/>
  <c r="A5301" i="7"/>
  <c r="A5296" i="7"/>
  <c r="A5283" i="7"/>
  <c r="A5292" i="7"/>
  <c r="A5287" i="7"/>
  <c r="A5297" i="7"/>
  <c r="A5282" i="7"/>
  <c r="A5293" i="7"/>
  <c r="A5300" i="7"/>
  <c r="A5285" i="7"/>
  <c r="A5305" i="7"/>
  <c r="A5290" i="7"/>
  <c r="A5299" i="7"/>
  <c r="A5295" i="7"/>
  <c r="B5292" i="7"/>
  <c r="B5287" i="7"/>
  <c r="B5301" i="7"/>
  <c r="B5282" i="7"/>
  <c r="B5285" i="7"/>
  <c r="B5293" i="7"/>
  <c r="B5296" i="7"/>
  <c r="B5300" i="7"/>
  <c r="B5290" i="7"/>
  <c r="B5284" i="7"/>
  <c r="B5295" i="7"/>
  <c r="B5305" i="7"/>
  <c r="B5283" i="7"/>
  <c r="B5299" i="7"/>
  <c r="B5297" i="7"/>
  <c r="B5291" i="7"/>
  <c r="C132" i="6"/>
  <c r="A133" i="6"/>
  <c r="A137" i="4" s="1"/>
  <c r="A192" i="4" l="1"/>
  <c r="C188" i="6"/>
  <c r="A189" i="6"/>
  <c r="A5320" i="7"/>
  <c r="A5330" i="7"/>
  <c r="A5325" i="7"/>
  <c r="A5314" i="7"/>
  <c r="A5322" i="7"/>
  <c r="A5312" i="7"/>
  <c r="A5313" i="7"/>
  <c r="A5317" i="7"/>
  <c r="A5315" i="7"/>
  <c r="A5329" i="7"/>
  <c r="A5335" i="7"/>
  <c r="A5321" i="7"/>
  <c r="A5323" i="7"/>
  <c r="A5327" i="7"/>
  <c r="A5326" i="7"/>
  <c r="C5305" i="7"/>
  <c r="A5331" i="7"/>
  <c r="B5314" i="7"/>
  <c r="B5320" i="7"/>
  <c r="B5325" i="7"/>
  <c r="B5335" i="7"/>
  <c r="B5329" i="7"/>
  <c r="B5312" i="7"/>
  <c r="B5327" i="7"/>
  <c r="B5313" i="7"/>
  <c r="B5326" i="7"/>
  <c r="B5317" i="7"/>
  <c r="B5322" i="7"/>
  <c r="B5321" i="7"/>
  <c r="B5331" i="7"/>
  <c r="B5323" i="7"/>
  <c r="B5315" i="7"/>
  <c r="B5330" i="7"/>
  <c r="A134" i="6"/>
  <c r="A138" i="4" s="1"/>
  <c r="C133" i="6"/>
  <c r="A193" i="4" l="1"/>
  <c r="A190" i="6"/>
  <c r="C189" i="6"/>
  <c r="A5353" i="7"/>
  <c r="A5355" i="7"/>
  <c r="A5351" i="7"/>
  <c r="A5344" i="7"/>
  <c r="A5365" i="7"/>
  <c r="A5360" i="7"/>
  <c r="A5342" i="7"/>
  <c r="C5335" i="7"/>
  <c r="A5361" i="7"/>
  <c r="A5350" i="7"/>
  <c r="A5359" i="7"/>
  <c r="A5343" i="7"/>
  <c r="A5357" i="7"/>
  <c r="A5352" i="7"/>
  <c r="A5345" i="7"/>
  <c r="A5347" i="7"/>
  <c r="A5356" i="7"/>
  <c r="B5359" i="7"/>
  <c r="B5361" i="7"/>
  <c r="B5347" i="7"/>
  <c r="B5357" i="7"/>
  <c r="B5343" i="7"/>
  <c r="B5365" i="7"/>
  <c r="B5360" i="7"/>
  <c r="B5342" i="7"/>
  <c r="B5355" i="7"/>
  <c r="B5350" i="7"/>
  <c r="B5353" i="7"/>
  <c r="B5344" i="7"/>
  <c r="B5356" i="7"/>
  <c r="B5352" i="7"/>
  <c r="B5351" i="7"/>
  <c r="B5345" i="7"/>
  <c r="A135" i="6"/>
  <c r="A139" i="4" s="1"/>
  <c r="C134" i="6"/>
  <c r="B49" i="29"/>
  <c r="H49" i="29"/>
  <c r="L49" i="29"/>
  <c r="L48" i="29"/>
  <c r="H48" i="29"/>
  <c r="B48" i="29"/>
  <c r="L8" i="29"/>
  <c r="B8" i="29"/>
  <c r="L6" i="29"/>
  <c r="B6" i="29"/>
  <c r="M51" i="29"/>
  <c r="K51" i="29"/>
  <c r="J51" i="29"/>
  <c r="M18" i="29"/>
  <c r="K18" i="29"/>
  <c r="J18" i="29"/>
  <c r="A194" i="4" l="1"/>
  <c r="C190" i="6"/>
  <c r="A191" i="6"/>
  <c r="A5382" i="7"/>
  <c r="A5377" i="7"/>
  <c r="A5373" i="7"/>
  <c r="A5387" i="7"/>
  <c r="A5385" i="7"/>
  <c r="A5381" i="7"/>
  <c r="A5380" i="7"/>
  <c r="C5365" i="7"/>
  <c r="A5375" i="7"/>
  <c r="A5372" i="7"/>
  <c r="A5374" i="7"/>
  <c r="A5390" i="7"/>
  <c r="A5391" i="7"/>
  <c r="A5395" i="7"/>
  <c r="A5386" i="7"/>
  <c r="A5383" i="7"/>
  <c r="A5389" i="7"/>
  <c r="B5395" i="7"/>
  <c r="B5387" i="7"/>
  <c r="B5391" i="7"/>
  <c r="B5383" i="7"/>
  <c r="B5375" i="7"/>
  <c r="B5372" i="7"/>
  <c r="B5385" i="7"/>
  <c r="B5382" i="7"/>
  <c r="B5373" i="7"/>
  <c r="B5377" i="7"/>
  <c r="B5374" i="7"/>
  <c r="B5381" i="7"/>
  <c r="B5386" i="7"/>
  <c r="B5380" i="7"/>
  <c r="B5390" i="7"/>
  <c r="B5389" i="7"/>
  <c r="A136" i="6"/>
  <c r="A140" i="4" s="1"/>
  <c r="C135" i="6"/>
  <c r="L51" i="29"/>
  <c r="J55" i="29"/>
  <c r="L18" i="29"/>
  <c r="A195" i="4" l="1"/>
  <c r="C191" i="6"/>
  <c r="A192" i="6"/>
  <c r="B5421" i="7"/>
  <c r="B5416" i="7"/>
  <c r="B5413" i="7"/>
  <c r="B5405" i="7"/>
  <c r="B5402" i="7"/>
  <c r="B5419" i="7"/>
  <c r="B5420" i="7"/>
  <c r="B5417" i="7"/>
  <c r="B5407" i="7"/>
  <c r="B5425" i="7"/>
  <c r="B5403" i="7"/>
  <c r="B5410" i="7"/>
  <c r="B5415" i="7"/>
  <c r="B5411" i="7"/>
  <c r="B5404" i="7"/>
  <c r="B5412" i="7"/>
  <c r="A5421" i="7"/>
  <c r="A5407" i="7"/>
  <c r="A5403" i="7"/>
  <c r="A5417" i="7"/>
  <c r="A5415" i="7"/>
  <c r="A5411" i="7"/>
  <c r="A5405" i="7"/>
  <c r="A5425" i="7"/>
  <c r="A5420" i="7"/>
  <c r="A5412" i="7"/>
  <c r="A5413" i="7"/>
  <c r="A5416" i="7"/>
  <c r="A5404" i="7"/>
  <c r="C5395" i="7"/>
  <c r="A5419" i="7"/>
  <c r="A5410" i="7"/>
  <c r="A5402" i="7"/>
  <c r="C136" i="6"/>
  <c r="A137" i="6"/>
  <c r="A141" i="4" s="1"/>
  <c r="L55" i="29"/>
  <c r="A196" i="4" l="1"/>
  <c r="C192" i="6"/>
  <c r="A193" i="6"/>
  <c r="A5443" i="7"/>
  <c r="A5433" i="7"/>
  <c r="A5450" i="7"/>
  <c r="A5446" i="7"/>
  <c r="A5441" i="7"/>
  <c r="A5435" i="7"/>
  <c r="A5434" i="7"/>
  <c r="A5432" i="7"/>
  <c r="A5437" i="7"/>
  <c r="A5440" i="7"/>
  <c r="A5445" i="7"/>
  <c r="A5442" i="7"/>
  <c r="A5451" i="7"/>
  <c r="C5425" i="7"/>
  <c r="A5447" i="7"/>
  <c r="A5455" i="7"/>
  <c r="A5449" i="7"/>
  <c r="B5450" i="7"/>
  <c r="B5445" i="7"/>
  <c r="B5440" i="7"/>
  <c r="B5442" i="7"/>
  <c r="B5437" i="7"/>
  <c r="B5441" i="7"/>
  <c r="B5435" i="7"/>
  <c r="B5432" i="7"/>
  <c r="B5434" i="7"/>
  <c r="B5449" i="7"/>
  <c r="B5446" i="7"/>
  <c r="B5443" i="7"/>
  <c r="B5433" i="7"/>
  <c r="B5455" i="7"/>
  <c r="B5451" i="7"/>
  <c r="B5447" i="7"/>
  <c r="A138" i="6"/>
  <c r="A142" i="4" s="1"/>
  <c r="C137" i="6"/>
  <c r="H36" i="9"/>
  <c r="K71" i="9"/>
  <c r="I14" i="29" s="1"/>
  <c r="I8" i="29"/>
  <c r="H65" i="9"/>
  <c r="J65" i="9" s="1"/>
  <c r="J36" i="9" l="1"/>
  <c r="I36" i="9"/>
  <c r="A197" i="4"/>
  <c r="A194" i="6"/>
  <c r="C193" i="6"/>
  <c r="K102" i="9"/>
  <c r="H6" i="29"/>
  <c r="A5473" i="7"/>
  <c r="A5467" i="7"/>
  <c r="A5470" i="7"/>
  <c r="C5455" i="7"/>
  <c r="A5463" i="7"/>
  <c r="A5485" i="7"/>
  <c r="A5480" i="7"/>
  <c r="A5476" i="7"/>
  <c r="A5472" i="7"/>
  <c r="A5462" i="7"/>
  <c r="A5475" i="7"/>
  <c r="A5479" i="7"/>
  <c r="A5481" i="7"/>
  <c r="A5465" i="7"/>
  <c r="A5464" i="7"/>
  <c r="A5471" i="7"/>
  <c r="A5477" i="7"/>
  <c r="B5479" i="7"/>
  <c r="B5481" i="7"/>
  <c r="B5477" i="7"/>
  <c r="B5480" i="7"/>
  <c r="B5476" i="7"/>
  <c r="B5472" i="7"/>
  <c r="B5467" i="7"/>
  <c r="B5463" i="7"/>
  <c r="B5471" i="7"/>
  <c r="B5462" i="7"/>
  <c r="B5485" i="7"/>
  <c r="B5470" i="7"/>
  <c r="B5475" i="7"/>
  <c r="B5464" i="7"/>
  <c r="B5465" i="7"/>
  <c r="B5473" i="7"/>
  <c r="A139" i="6"/>
  <c r="A143" i="4" s="1"/>
  <c r="C138" i="6"/>
  <c r="H8" i="29"/>
  <c r="D8" i="29"/>
  <c r="I6" i="29"/>
  <c r="D6" i="29"/>
  <c r="F6" i="29" s="1"/>
  <c r="I65" i="9"/>
  <c r="G8" i="29" s="1"/>
  <c r="A198" i="4" l="1"/>
  <c r="A195" i="6"/>
  <c r="C194" i="6"/>
  <c r="I18" i="29"/>
  <c r="E9" i="15" s="1"/>
  <c r="G6" i="29"/>
  <c r="H125" i="24" s="1"/>
  <c r="A5502" i="7"/>
  <c r="A5500" i="7"/>
  <c r="C5485" i="7"/>
  <c r="A5501" i="7"/>
  <c r="A5495" i="7"/>
  <c r="A5515" i="7"/>
  <c r="A5509" i="7"/>
  <c r="A5505" i="7"/>
  <c r="A5494" i="7"/>
  <c r="A5493" i="7"/>
  <c r="A5503" i="7"/>
  <c r="A5497" i="7"/>
  <c r="A5492" i="7"/>
  <c r="A5510" i="7"/>
  <c r="A5506" i="7"/>
  <c r="A5507" i="7"/>
  <c r="A5511" i="7"/>
  <c r="B5515" i="7"/>
  <c r="B5507" i="7"/>
  <c r="B5494" i="7"/>
  <c r="B5500" i="7"/>
  <c r="B5495" i="7"/>
  <c r="B5505" i="7"/>
  <c r="B5502" i="7"/>
  <c r="B5503" i="7"/>
  <c r="B5501" i="7"/>
  <c r="B5497" i="7"/>
  <c r="B5509" i="7"/>
  <c r="B5492" i="7"/>
  <c r="B5510" i="7"/>
  <c r="B5493" i="7"/>
  <c r="B5511" i="7"/>
  <c r="B5506" i="7"/>
  <c r="A140" i="6"/>
  <c r="A144" i="4" s="1"/>
  <c r="C139" i="6"/>
  <c r="F8" i="29"/>
  <c r="E19" i="15"/>
  <c r="D19" i="15"/>
  <c r="B220" i="6"/>
  <c r="B221" i="6" s="1"/>
  <c r="B222" i="6" s="1"/>
  <c r="D21" i="3"/>
  <c r="D20" i="3"/>
  <c r="D19" i="3"/>
  <c r="AY53" i="2"/>
  <c r="AX53" i="2"/>
  <c r="AW53" i="2"/>
  <c r="AT53" i="2"/>
  <c r="AS53" i="2"/>
  <c r="AP53" i="2"/>
  <c r="AN53" i="2"/>
  <c r="AK53" i="2"/>
  <c r="AI53" i="2"/>
  <c r="AF53" i="2"/>
  <c r="AD53" i="2"/>
  <c r="AA53" i="2"/>
  <c r="Y53" i="2"/>
  <c r="W53" i="2"/>
  <c r="V53" i="2"/>
  <c r="I53" i="2"/>
  <c r="H53" i="2"/>
  <c r="G53" i="2"/>
  <c r="E53" i="2" s="1"/>
  <c r="U6" i="29" l="1"/>
  <c r="V125" i="24" s="1"/>
  <c r="A199" i="4"/>
  <c r="C195" i="6"/>
  <c r="A196" i="6"/>
  <c r="B5541" i="7"/>
  <c r="B5536" i="7"/>
  <c r="B5545" i="7"/>
  <c r="B5532" i="7"/>
  <c r="B5527" i="7"/>
  <c r="B5525" i="7"/>
  <c r="B5531" i="7"/>
  <c r="B5530" i="7"/>
  <c r="B5524" i="7"/>
  <c r="B5533" i="7"/>
  <c r="B5539" i="7"/>
  <c r="B5535" i="7"/>
  <c r="B5537" i="7"/>
  <c r="B5523" i="7"/>
  <c r="B5540" i="7"/>
  <c r="B5522" i="7"/>
  <c r="A5537" i="7"/>
  <c r="A5530" i="7"/>
  <c r="C5515" i="7"/>
  <c r="A5545" i="7"/>
  <c r="A5536" i="7"/>
  <c r="A5522" i="7"/>
  <c r="A5525" i="7"/>
  <c r="A5539" i="7"/>
  <c r="A5541" i="7"/>
  <c r="A5540" i="7"/>
  <c r="A5524" i="7"/>
  <c r="A5532" i="7"/>
  <c r="A5523" i="7"/>
  <c r="A5535" i="7"/>
  <c r="A5533" i="7"/>
  <c r="A5531" i="7"/>
  <c r="A5527" i="7"/>
  <c r="C140" i="6"/>
  <c r="A141" i="6"/>
  <c r="A145" i="4" s="1"/>
  <c r="B223" i="6"/>
  <c r="B226" i="4"/>
  <c r="B29" i="15"/>
  <c r="B73" i="15" s="1"/>
  <c r="D30" i="15"/>
  <c r="E30" i="15"/>
  <c r="B18" i="15"/>
  <c r="B62" i="15" s="1"/>
  <c r="AW20" i="1"/>
  <c r="AX20" i="1" s="1"/>
  <c r="AS20" i="1"/>
  <c r="AT20" i="1" s="1"/>
  <c r="AM20" i="1"/>
  <c r="AH20" i="1"/>
  <c r="AC20" i="1"/>
  <c r="X20" i="1"/>
  <c r="P20" i="1"/>
  <c r="O20" i="1"/>
  <c r="N20" i="1"/>
  <c r="M20" i="1"/>
  <c r="G20" i="1"/>
  <c r="AH19" i="1"/>
  <c r="AW16" i="1"/>
  <c r="AX16" i="1" s="1"/>
  <c r="AS16" i="1"/>
  <c r="AT16" i="1" s="1"/>
  <c r="AM16" i="1"/>
  <c r="AH16" i="1"/>
  <c r="AC16" i="1"/>
  <c r="X16" i="1"/>
  <c r="P16" i="1"/>
  <c r="O16" i="1"/>
  <c r="V16" i="1" s="1"/>
  <c r="N16" i="1"/>
  <c r="M16" i="1"/>
  <c r="AO16" i="1" s="1"/>
  <c r="AP16" i="1" s="1"/>
  <c r="G16" i="1"/>
  <c r="V9" i="14"/>
  <c r="W9" i="14"/>
  <c r="V10" i="14"/>
  <c r="W10" i="14"/>
  <c r="V12" i="14"/>
  <c r="W12" i="14"/>
  <c r="V13" i="14"/>
  <c r="W13" i="14"/>
  <c r="V14" i="14"/>
  <c r="W14" i="14"/>
  <c r="V15" i="14"/>
  <c r="W15" i="14"/>
  <c r="V16" i="14"/>
  <c r="W16" i="14"/>
  <c r="V17" i="14"/>
  <c r="W17" i="14"/>
  <c r="V18" i="14"/>
  <c r="W18" i="14"/>
  <c r="V19" i="14"/>
  <c r="W19" i="14"/>
  <c r="V20" i="14"/>
  <c r="W20" i="14"/>
  <c r="V33" i="14"/>
  <c r="W33" i="14"/>
  <c r="V34" i="14"/>
  <c r="W34" i="14"/>
  <c r="V35" i="14"/>
  <c r="W35" i="14"/>
  <c r="U9" i="14"/>
  <c r="U10" i="14"/>
  <c r="U12" i="14"/>
  <c r="U13" i="14"/>
  <c r="U14" i="14"/>
  <c r="U15" i="14"/>
  <c r="U16" i="14"/>
  <c r="U17" i="14"/>
  <c r="U18" i="14"/>
  <c r="U19" i="14"/>
  <c r="U20" i="14"/>
  <c r="U33" i="14"/>
  <c r="U34" i="14"/>
  <c r="U35" i="14"/>
  <c r="T33" i="14"/>
  <c r="T34" i="14"/>
  <c r="T35" i="14"/>
  <c r="S10" i="14"/>
  <c r="S12" i="14"/>
  <c r="S13" i="14"/>
  <c r="S14" i="14"/>
  <c r="S15" i="14"/>
  <c r="S16" i="14"/>
  <c r="S18" i="14"/>
  <c r="S20" i="14"/>
  <c r="D166" i="11"/>
  <c r="C166" i="11"/>
  <c r="F166" i="11"/>
  <c r="J166" i="11" s="1"/>
  <c r="B286" i="20"/>
  <c r="B293" i="20"/>
  <c r="B300" i="20"/>
  <c r="B285" i="20"/>
  <c r="B278" i="20"/>
  <c r="M166" i="11" l="1"/>
  <c r="Z132" i="24" s="1"/>
  <c r="H132" i="24"/>
  <c r="L166" i="11"/>
  <c r="V132" i="24" s="1"/>
  <c r="A200" i="4"/>
  <c r="A197" i="6"/>
  <c r="C196" i="6"/>
  <c r="B5570" i="7"/>
  <c r="B5565" i="7"/>
  <c r="B5563" i="7"/>
  <c r="B5560" i="7"/>
  <c r="B5575" i="7"/>
  <c r="B5554" i="7"/>
  <c r="B5561" i="7"/>
  <c r="B5562" i="7"/>
  <c r="B5571" i="7"/>
  <c r="B5566" i="7"/>
  <c r="B5569" i="7"/>
  <c r="B5557" i="7"/>
  <c r="B5567" i="7"/>
  <c r="B5553" i="7"/>
  <c r="B5555" i="7"/>
  <c r="B5552" i="7"/>
  <c r="A5567" i="7"/>
  <c r="A5563" i="7"/>
  <c r="A5560" i="7"/>
  <c r="A5575" i="7"/>
  <c r="A5553" i="7"/>
  <c r="A5562" i="7"/>
  <c r="A5566" i="7"/>
  <c r="A5569" i="7"/>
  <c r="C5545" i="7"/>
  <c r="A5561" i="7"/>
  <c r="A5557" i="7"/>
  <c r="A5565" i="7"/>
  <c r="A5552" i="7"/>
  <c r="A5571" i="7"/>
  <c r="A5555" i="7"/>
  <c r="A5554" i="7"/>
  <c r="A5570" i="7"/>
  <c r="A142" i="6"/>
  <c r="A146" i="4" s="1"/>
  <c r="C141" i="6"/>
  <c r="B224" i="6"/>
  <c r="B227" i="4"/>
  <c r="F168" i="11"/>
  <c r="H197" i="24"/>
  <c r="G170" i="11"/>
  <c r="K14" i="15" s="1"/>
  <c r="F170" i="11"/>
  <c r="J14" i="15" s="1"/>
  <c r="J58" i="15" s="1"/>
  <c r="O166" i="11"/>
  <c r="D170" i="11"/>
  <c r="AJ20" i="1"/>
  <c r="AK20" i="1" s="1"/>
  <c r="L20" i="1"/>
  <c r="AO20" i="1"/>
  <c r="AP20" i="1" s="1"/>
  <c r="Q20" i="1"/>
  <c r="R20" i="1"/>
  <c r="V20" i="1"/>
  <c r="L16" i="1"/>
  <c r="Z16" i="1" s="1"/>
  <c r="AA16" i="1" s="1"/>
  <c r="AJ16" i="1"/>
  <c r="Q16" i="1"/>
  <c r="R16" i="1"/>
  <c r="D132" i="24" l="1"/>
  <c r="D197" i="24"/>
  <c r="A201" i="4"/>
  <c r="A198" i="6"/>
  <c r="C197" i="6"/>
  <c r="D14" i="15"/>
  <c r="D58" i="15" s="1"/>
  <c r="B5601" i="7"/>
  <c r="B5597" i="7"/>
  <c r="B5593" i="7"/>
  <c r="B5590" i="7"/>
  <c r="B5584" i="7"/>
  <c r="B5592" i="7"/>
  <c r="B5600" i="7"/>
  <c r="B5583" i="7"/>
  <c r="B5585" i="7"/>
  <c r="B5582" i="7"/>
  <c r="B5596" i="7"/>
  <c r="B5595" i="7"/>
  <c r="B5599" i="7"/>
  <c r="B5605" i="7"/>
  <c r="B5587" i="7"/>
  <c r="B5591" i="7"/>
  <c r="A5593" i="7"/>
  <c r="A5587" i="7"/>
  <c r="A5601" i="7"/>
  <c r="A5597" i="7"/>
  <c r="A5590" i="7"/>
  <c r="C5575" i="7"/>
  <c r="A5596" i="7"/>
  <c r="A5583" i="7"/>
  <c r="A5591" i="7"/>
  <c r="A5582" i="7"/>
  <c r="A5600" i="7"/>
  <c r="A5592" i="7"/>
  <c r="A5584" i="7"/>
  <c r="A5585" i="7"/>
  <c r="A5595" i="7"/>
  <c r="A5605" i="7"/>
  <c r="A5599" i="7"/>
  <c r="A143" i="6"/>
  <c r="A147" i="4" s="1"/>
  <c r="C142" i="6"/>
  <c r="B225" i="6"/>
  <c r="B228" i="4"/>
  <c r="D217" i="24"/>
  <c r="O170" i="11"/>
  <c r="J170" i="11"/>
  <c r="M170" i="11" s="1"/>
  <c r="Z197" i="24" s="1"/>
  <c r="E14" i="15"/>
  <c r="L170" i="11"/>
  <c r="V197" i="24" s="1"/>
  <c r="K58" i="15"/>
  <c r="S58" i="15" s="1"/>
  <c r="S14" i="15"/>
  <c r="AF20" i="1"/>
  <c r="Z20" i="1"/>
  <c r="AA20" i="1" s="1"/>
  <c r="AF16" i="1"/>
  <c r="D230" i="24"/>
  <c r="E230" i="24"/>
  <c r="B103" i="24"/>
  <c r="A202" i="4" l="1"/>
  <c r="A199" i="6"/>
  <c r="C198" i="6"/>
  <c r="W14" i="15"/>
  <c r="A5613" i="7"/>
  <c r="A5620" i="7"/>
  <c r="A5621" i="7"/>
  <c r="A5612" i="7"/>
  <c r="A5622" i="7"/>
  <c r="A5631" i="7"/>
  <c r="A5629" i="7"/>
  <c r="A5630" i="7"/>
  <c r="A5626" i="7"/>
  <c r="A5617" i="7"/>
  <c r="A5615" i="7"/>
  <c r="A5614" i="7"/>
  <c r="A5623" i="7"/>
  <c r="A5635" i="7"/>
  <c r="A5627" i="7"/>
  <c r="C5605" i="7"/>
  <c r="A5625" i="7"/>
  <c r="B5615" i="7"/>
  <c r="B5620" i="7"/>
  <c r="B5627" i="7"/>
  <c r="B5613" i="7"/>
  <c r="B5622" i="7"/>
  <c r="B5631" i="7"/>
  <c r="B5612" i="7"/>
  <c r="B5630" i="7"/>
  <c r="B5623" i="7"/>
  <c r="B5625" i="7"/>
  <c r="B5629" i="7"/>
  <c r="B5617" i="7"/>
  <c r="B5626" i="7"/>
  <c r="B5614" i="7"/>
  <c r="B5635" i="7"/>
  <c r="B5621" i="7"/>
  <c r="A144" i="6"/>
  <c r="A148" i="4" s="1"/>
  <c r="C143" i="6"/>
  <c r="B226" i="6"/>
  <c r="B229" i="4"/>
  <c r="E58" i="15"/>
  <c r="V14" i="15"/>
  <c r="O230" i="24"/>
  <c r="F230" i="24"/>
  <c r="P49" i="15"/>
  <c r="F73" i="15"/>
  <c r="G73" i="15"/>
  <c r="Q73" i="15"/>
  <c r="F74" i="15"/>
  <c r="G74" i="15"/>
  <c r="H74" i="15"/>
  <c r="N74" i="15"/>
  <c r="O74" i="15"/>
  <c r="P74" i="15"/>
  <c r="Q74" i="15"/>
  <c r="F67" i="15"/>
  <c r="G67" i="15"/>
  <c r="Q67" i="15"/>
  <c r="F68" i="15"/>
  <c r="G68" i="15"/>
  <c r="H68" i="15"/>
  <c r="N68" i="15"/>
  <c r="O68" i="15"/>
  <c r="P68" i="15"/>
  <c r="Q68" i="15"/>
  <c r="F70" i="15"/>
  <c r="G70" i="15"/>
  <c r="H70" i="15"/>
  <c r="Q70" i="15"/>
  <c r="F63" i="15"/>
  <c r="G63" i="15"/>
  <c r="H63" i="15"/>
  <c r="N63" i="15"/>
  <c r="O63" i="15"/>
  <c r="P63" i="15"/>
  <c r="Q63" i="15"/>
  <c r="F64" i="15"/>
  <c r="G64" i="15"/>
  <c r="H64" i="15"/>
  <c r="Q64" i="15"/>
  <c r="F56" i="15"/>
  <c r="G56" i="15"/>
  <c r="Q56" i="15"/>
  <c r="G57" i="15"/>
  <c r="H57" i="15"/>
  <c r="N57" i="15"/>
  <c r="O57" i="15"/>
  <c r="P57" i="15"/>
  <c r="Q57" i="15"/>
  <c r="F59" i="15"/>
  <c r="G59" i="15"/>
  <c r="H59" i="15"/>
  <c r="Q59" i="15"/>
  <c r="F62" i="15"/>
  <c r="G62" i="15"/>
  <c r="Q62" i="15"/>
  <c r="F50" i="15"/>
  <c r="G50" i="15"/>
  <c r="H50" i="15"/>
  <c r="Q50" i="15"/>
  <c r="G51" i="15"/>
  <c r="Q51" i="15"/>
  <c r="F52" i="15"/>
  <c r="G52" i="15"/>
  <c r="H52" i="15"/>
  <c r="N52" i="15"/>
  <c r="O52" i="15"/>
  <c r="P52" i="15"/>
  <c r="Q52" i="15"/>
  <c r="G53" i="15"/>
  <c r="H53" i="15"/>
  <c r="N53" i="15"/>
  <c r="O53" i="15"/>
  <c r="P53" i="15"/>
  <c r="Q53" i="15"/>
  <c r="A203" i="4" l="1"/>
  <c r="A200" i="6"/>
  <c r="C199" i="6"/>
  <c r="A5650" i="7"/>
  <c r="A5652" i="7"/>
  <c r="A5645" i="7"/>
  <c r="A5642" i="7"/>
  <c r="A5659" i="7"/>
  <c r="A5653" i="7"/>
  <c r="A5644" i="7"/>
  <c r="A5651" i="7"/>
  <c r="A5647" i="7"/>
  <c r="A5643" i="7"/>
  <c r="A5665" i="7"/>
  <c r="C5635" i="7"/>
  <c r="A5657" i="7"/>
  <c r="A5661" i="7"/>
  <c r="A5660" i="7"/>
  <c r="A5656" i="7"/>
  <c r="A5655" i="7"/>
  <c r="B5652" i="7"/>
  <c r="B5665" i="7"/>
  <c r="B5657" i="7"/>
  <c r="B5659" i="7"/>
  <c r="B5642" i="7"/>
  <c r="B5651" i="7"/>
  <c r="B5661" i="7"/>
  <c r="B5656" i="7"/>
  <c r="B5647" i="7"/>
  <c r="B5644" i="7"/>
  <c r="B5653" i="7"/>
  <c r="B5655" i="7"/>
  <c r="B5650" i="7"/>
  <c r="B5645" i="7"/>
  <c r="B5643" i="7"/>
  <c r="B5660" i="7"/>
  <c r="C144" i="6"/>
  <c r="A145" i="6"/>
  <c r="A149" i="4" s="1"/>
  <c r="B227" i="6"/>
  <c r="B230" i="4"/>
  <c r="M52" i="15"/>
  <c r="A204" i="4" l="1"/>
  <c r="C200" i="6"/>
  <c r="A201" i="6"/>
  <c r="B5683" i="7"/>
  <c r="B5677" i="7"/>
  <c r="B5686" i="7"/>
  <c r="B5695" i="7"/>
  <c r="B5674" i="7"/>
  <c r="B5689" i="7"/>
  <c r="B5673" i="7"/>
  <c r="B5687" i="7"/>
  <c r="B5685" i="7"/>
  <c r="B5672" i="7"/>
  <c r="B5690" i="7"/>
  <c r="B5675" i="7"/>
  <c r="B5680" i="7"/>
  <c r="B5682" i="7"/>
  <c r="B5681" i="7"/>
  <c r="B5691" i="7"/>
  <c r="C5665" i="7"/>
  <c r="A5695" i="7"/>
  <c r="A5674" i="7"/>
  <c r="A5675" i="7"/>
  <c r="A5687" i="7"/>
  <c r="A5690" i="7"/>
  <c r="A5673" i="7"/>
  <c r="A5683" i="7"/>
  <c r="A5680" i="7"/>
  <c r="A5677" i="7"/>
  <c r="A5682" i="7"/>
  <c r="A5681" i="7"/>
  <c r="A5686" i="7"/>
  <c r="A5691" i="7"/>
  <c r="A5672" i="7"/>
  <c r="A5685" i="7"/>
  <c r="A5689" i="7"/>
  <c r="A146" i="6"/>
  <c r="A150" i="4" s="1"/>
  <c r="C145" i="6"/>
  <c r="B228" i="6"/>
  <c r="B231" i="4"/>
  <c r="Q13" i="14"/>
  <c r="T13" i="14" s="1"/>
  <c r="Z13" i="14" s="1"/>
  <c r="Q17" i="14"/>
  <c r="Q18" i="14"/>
  <c r="Q20" i="14"/>
  <c r="T20" i="14" s="1"/>
  <c r="Z20" i="14" s="1"/>
  <c r="Q15" i="14"/>
  <c r="T15" i="14" s="1"/>
  <c r="Z15" i="14" s="1"/>
  <c r="S11" i="11"/>
  <c r="C168" i="11" s="1"/>
  <c r="H166" i="24" s="1"/>
  <c r="S8" i="11"/>
  <c r="F8" i="13"/>
  <c r="E8" i="13"/>
  <c r="A8" i="13"/>
  <c r="A7" i="13"/>
  <c r="A15" i="13"/>
  <c r="B15" i="13"/>
  <c r="C15" i="13"/>
  <c r="D15" i="13"/>
  <c r="F150" i="13" s="1"/>
  <c r="F15" i="13"/>
  <c r="G15" i="13"/>
  <c r="H15" i="13"/>
  <c r="I15" i="13"/>
  <c r="M15" i="13"/>
  <c r="N15" i="13"/>
  <c r="O15" i="13"/>
  <c r="V15" i="13"/>
  <c r="W15" i="13"/>
  <c r="AD15" i="13"/>
  <c r="AE15" i="13"/>
  <c r="AF15" i="13"/>
  <c r="AG15" i="13"/>
  <c r="AH15" i="13"/>
  <c r="AI15" i="13"/>
  <c r="AJ15" i="13"/>
  <c r="AK15" i="13"/>
  <c r="J15" i="13"/>
  <c r="T17" i="14" l="1"/>
  <c r="S17" i="14"/>
  <c r="F206" i="13"/>
  <c r="K206" i="13"/>
  <c r="S206" i="13"/>
  <c r="R206" i="13"/>
  <c r="Q206" i="13"/>
  <c r="L206" i="13"/>
  <c r="J206" i="13"/>
  <c r="I206" i="13"/>
  <c r="G206" i="13"/>
  <c r="P206" i="13"/>
  <c r="O206" i="13"/>
  <c r="N206" i="13"/>
  <c r="M206" i="13"/>
  <c r="H206" i="13"/>
  <c r="F188" i="13"/>
  <c r="S188" i="13"/>
  <c r="Q188" i="13"/>
  <c r="L188" i="13"/>
  <c r="J188" i="13"/>
  <c r="H188" i="13"/>
  <c r="R188" i="13"/>
  <c r="G188" i="13"/>
  <c r="P188" i="13"/>
  <c r="O188" i="13"/>
  <c r="N188" i="13"/>
  <c r="M188" i="13"/>
  <c r="K188" i="13"/>
  <c r="I188" i="13"/>
  <c r="F170" i="13"/>
  <c r="S170" i="13"/>
  <c r="Q170" i="13"/>
  <c r="M170" i="13"/>
  <c r="K170" i="13"/>
  <c r="R170" i="13"/>
  <c r="J170" i="13"/>
  <c r="H170" i="13"/>
  <c r="P170" i="13"/>
  <c r="O170" i="13"/>
  <c r="N170" i="13"/>
  <c r="L170" i="13"/>
  <c r="I170" i="13"/>
  <c r="G170" i="13"/>
  <c r="S152" i="13"/>
  <c r="Q152" i="13"/>
  <c r="O152" i="13"/>
  <c r="M152" i="13"/>
  <c r="K152" i="13"/>
  <c r="R152" i="13"/>
  <c r="P152" i="13"/>
  <c r="N152" i="13"/>
  <c r="L152" i="13"/>
  <c r="J152" i="13"/>
  <c r="H152" i="13"/>
  <c r="D166" i="24"/>
  <c r="F208" i="13"/>
  <c r="G207" i="13"/>
  <c r="H205" i="13"/>
  <c r="F205" i="13"/>
  <c r="S207" i="13"/>
  <c r="Q208" i="13"/>
  <c r="S205" i="13"/>
  <c r="P208" i="13"/>
  <c r="P207" i="13"/>
  <c r="Q205" i="13"/>
  <c r="F209" i="13"/>
  <c r="H207" i="13"/>
  <c r="F207" i="13"/>
  <c r="G205" i="13"/>
  <c r="S209" i="13"/>
  <c r="R208" i="13"/>
  <c r="P209" i="13"/>
  <c r="O209" i="13"/>
  <c r="R205" i="13"/>
  <c r="O208" i="13"/>
  <c r="G209" i="13"/>
  <c r="G208" i="13"/>
  <c r="R209" i="13"/>
  <c r="S208" i="13"/>
  <c r="Q209" i="13"/>
  <c r="R207" i="13"/>
  <c r="Q207" i="13"/>
  <c r="H208" i="13"/>
  <c r="N209" i="13"/>
  <c r="M209" i="13"/>
  <c r="N208" i="13"/>
  <c r="O207" i="13"/>
  <c r="P205" i="13"/>
  <c r="I209" i="13"/>
  <c r="L205" i="13"/>
  <c r="I208" i="13"/>
  <c r="J205" i="13"/>
  <c r="L209" i="13"/>
  <c r="M208" i="13"/>
  <c r="N207" i="13"/>
  <c r="O205" i="13"/>
  <c r="K208" i="13"/>
  <c r="L207" i="13"/>
  <c r="J208" i="13"/>
  <c r="H209" i="13"/>
  <c r="K205" i="13"/>
  <c r="I205" i="13"/>
  <c r="K209" i="13"/>
  <c r="L208" i="13"/>
  <c r="M207" i="13"/>
  <c r="N205" i="13"/>
  <c r="J209" i="13"/>
  <c r="M205" i="13"/>
  <c r="K207" i="13"/>
  <c r="J207" i="13"/>
  <c r="I207" i="13"/>
  <c r="F213" i="13"/>
  <c r="G212" i="13"/>
  <c r="H211" i="13"/>
  <c r="I210" i="13"/>
  <c r="F212" i="13"/>
  <c r="G211" i="13"/>
  <c r="H210" i="13"/>
  <c r="F211" i="13"/>
  <c r="G210" i="13"/>
  <c r="S213" i="13"/>
  <c r="F210" i="13"/>
  <c r="R213" i="13"/>
  <c r="S212" i="13"/>
  <c r="N212" i="13"/>
  <c r="P210" i="13"/>
  <c r="M212" i="13"/>
  <c r="O210" i="13"/>
  <c r="K213" i="13"/>
  <c r="M211" i="13"/>
  <c r="J213" i="13"/>
  <c r="L211" i="13"/>
  <c r="J212" i="13"/>
  <c r="H213" i="13"/>
  <c r="J211" i="13"/>
  <c r="G213" i="13"/>
  <c r="I211" i="13"/>
  <c r="L210" i="13"/>
  <c r="Q213" i="13"/>
  <c r="R212" i="13"/>
  <c r="S211" i="13"/>
  <c r="P213" i="13"/>
  <c r="Q212" i="13"/>
  <c r="R211" i="13"/>
  <c r="S210" i="13"/>
  <c r="O213" i="13"/>
  <c r="P212" i="13"/>
  <c r="Q211" i="13"/>
  <c r="R210" i="13"/>
  <c r="N213" i="13"/>
  <c r="O212" i="13"/>
  <c r="P211" i="13"/>
  <c r="Q210" i="13"/>
  <c r="M213" i="13"/>
  <c r="O211" i="13"/>
  <c r="L213" i="13"/>
  <c r="N211" i="13"/>
  <c r="L212" i="13"/>
  <c r="N210" i="13"/>
  <c r="K212" i="13"/>
  <c r="M210" i="13"/>
  <c r="I213" i="13"/>
  <c r="K211" i="13"/>
  <c r="I212" i="13"/>
  <c r="K210" i="13"/>
  <c r="H212" i="13"/>
  <c r="J210" i="13"/>
  <c r="F190" i="13"/>
  <c r="G189" i="13"/>
  <c r="H187" i="13"/>
  <c r="F189" i="13"/>
  <c r="S191" i="13"/>
  <c r="R191" i="13"/>
  <c r="S190" i="13"/>
  <c r="I191" i="13"/>
  <c r="K189" i="13"/>
  <c r="J189" i="13"/>
  <c r="I189" i="13"/>
  <c r="G190" i="13"/>
  <c r="G191" i="13"/>
  <c r="H190" i="13"/>
  <c r="Q191" i="13"/>
  <c r="R190" i="13"/>
  <c r="S189" i="13"/>
  <c r="P191" i="13"/>
  <c r="Q190" i="13"/>
  <c r="R189" i="13"/>
  <c r="S187" i="13"/>
  <c r="O191" i="13"/>
  <c r="P190" i="13"/>
  <c r="Q189" i="13"/>
  <c r="R187" i="13"/>
  <c r="N191" i="13"/>
  <c r="O190" i="13"/>
  <c r="P189" i="13"/>
  <c r="Q187" i="13"/>
  <c r="J190" i="13"/>
  <c r="L187" i="13"/>
  <c r="K187" i="13"/>
  <c r="J187" i="13"/>
  <c r="H189" i="13"/>
  <c r="M191" i="13"/>
  <c r="N190" i="13"/>
  <c r="O189" i="13"/>
  <c r="P187" i="13"/>
  <c r="M189" i="13"/>
  <c r="J191" i="13"/>
  <c r="L189" i="13"/>
  <c r="H191" i="13"/>
  <c r="L191" i="13"/>
  <c r="M190" i="13"/>
  <c r="N189" i="13"/>
  <c r="O187" i="13"/>
  <c r="K191" i="13"/>
  <c r="L190" i="13"/>
  <c r="N187" i="13"/>
  <c r="K190" i="13"/>
  <c r="M187" i="13"/>
  <c r="I190" i="13"/>
  <c r="F191" i="13"/>
  <c r="F195" i="13"/>
  <c r="G194" i="13"/>
  <c r="H193" i="13"/>
  <c r="I192" i="13"/>
  <c r="F192" i="13"/>
  <c r="S194" i="13"/>
  <c r="S193" i="13"/>
  <c r="P195" i="13"/>
  <c r="O195" i="13"/>
  <c r="R192" i="13"/>
  <c r="P193" i="13"/>
  <c r="M195" i="13"/>
  <c r="P192" i="13"/>
  <c r="N193" i="13"/>
  <c r="K195" i="13"/>
  <c r="N192" i="13"/>
  <c r="L193" i="13"/>
  <c r="J194" i="13"/>
  <c r="H195" i="13"/>
  <c r="K192" i="13"/>
  <c r="F194" i="13"/>
  <c r="H192" i="13"/>
  <c r="R195" i="13"/>
  <c r="R194" i="13"/>
  <c r="Q194" i="13"/>
  <c r="S192" i="13"/>
  <c r="Q193" i="13"/>
  <c r="O194" i="13"/>
  <c r="N194" i="13"/>
  <c r="L195" i="13"/>
  <c r="O192" i="13"/>
  <c r="M193" i="13"/>
  <c r="K194" i="13"/>
  <c r="M192" i="13"/>
  <c r="K193" i="13"/>
  <c r="I194" i="13"/>
  <c r="G195" i="13"/>
  <c r="J192" i="13"/>
  <c r="G192" i="13"/>
  <c r="S195" i="13"/>
  <c r="Q195" i="13"/>
  <c r="R193" i="13"/>
  <c r="P194" i="13"/>
  <c r="N195" i="13"/>
  <c r="Q192" i="13"/>
  <c r="O193" i="13"/>
  <c r="M194" i="13"/>
  <c r="L194" i="13"/>
  <c r="J195" i="13"/>
  <c r="I195" i="13"/>
  <c r="L192" i="13"/>
  <c r="J193" i="13"/>
  <c r="H194" i="13"/>
  <c r="F173" i="13"/>
  <c r="G172" i="13"/>
  <c r="H171" i="13"/>
  <c r="I169" i="13"/>
  <c r="F172" i="13"/>
  <c r="G171" i="13"/>
  <c r="H169" i="13"/>
  <c r="F171" i="13"/>
  <c r="G169" i="13"/>
  <c r="S173" i="13"/>
  <c r="F169" i="13"/>
  <c r="R173" i="13"/>
  <c r="S171" i="13"/>
  <c r="N172" i="13"/>
  <c r="O171" i="13"/>
  <c r="M172" i="13"/>
  <c r="K173" i="13"/>
  <c r="M171" i="13"/>
  <c r="K172" i="13"/>
  <c r="I173" i="13"/>
  <c r="L169" i="13"/>
  <c r="I172" i="13"/>
  <c r="G173" i="13"/>
  <c r="J169" i="13"/>
  <c r="S172" i="13"/>
  <c r="Q173" i="13"/>
  <c r="R172" i="13"/>
  <c r="L173" i="13"/>
  <c r="O169" i="13"/>
  <c r="J173" i="13"/>
  <c r="M169" i="13"/>
  <c r="K171" i="13"/>
  <c r="J171" i="13"/>
  <c r="H172" i="13"/>
  <c r="P173" i="13"/>
  <c r="Q172" i="13"/>
  <c r="R171" i="13"/>
  <c r="S169" i="13"/>
  <c r="O173" i="13"/>
  <c r="P172" i="13"/>
  <c r="Q171" i="13"/>
  <c r="R169" i="13"/>
  <c r="N173" i="13"/>
  <c r="O172" i="13"/>
  <c r="P171" i="13"/>
  <c r="Q169" i="13"/>
  <c r="M173" i="13"/>
  <c r="P169" i="13"/>
  <c r="N171" i="13"/>
  <c r="L172" i="13"/>
  <c r="N169" i="13"/>
  <c r="L171" i="13"/>
  <c r="J172" i="13"/>
  <c r="H173" i="13"/>
  <c r="K169" i="13"/>
  <c r="I171" i="13"/>
  <c r="H175" i="13"/>
  <c r="I174" i="13"/>
  <c r="H174" i="13"/>
  <c r="G174" i="13"/>
  <c r="S177" i="13"/>
  <c r="F174" i="13"/>
  <c r="O177" i="13"/>
  <c r="R174" i="13"/>
  <c r="P175" i="13"/>
  <c r="N176" i="13"/>
  <c r="L177" i="13"/>
  <c r="O174" i="13"/>
  <c r="M175" i="13"/>
  <c r="K176" i="13"/>
  <c r="M174" i="13"/>
  <c r="K175" i="13"/>
  <c r="J174" i="13"/>
  <c r="R177" i="13"/>
  <c r="S176" i="13"/>
  <c r="P177" i="13"/>
  <c r="S174" i="13"/>
  <c r="P176" i="13"/>
  <c r="N177" i="13"/>
  <c r="Q174" i="13"/>
  <c r="O175" i="13"/>
  <c r="M176" i="13"/>
  <c r="K177" i="13"/>
  <c r="N174" i="13"/>
  <c r="L175" i="13"/>
  <c r="J176" i="13"/>
  <c r="H177" i="13"/>
  <c r="K174" i="13"/>
  <c r="Q177" i="13"/>
  <c r="R176" i="13"/>
  <c r="S175" i="13"/>
  <c r="Q176" i="13"/>
  <c r="R175" i="13"/>
  <c r="Q175" i="13"/>
  <c r="O176" i="13"/>
  <c r="M177" i="13"/>
  <c r="P174" i="13"/>
  <c r="N175" i="13"/>
  <c r="L176" i="13"/>
  <c r="J177" i="13"/>
  <c r="L174" i="13"/>
  <c r="J175" i="13"/>
  <c r="H176" i="13"/>
  <c r="F158" i="13"/>
  <c r="S158" i="13"/>
  <c r="R158" i="13"/>
  <c r="S157" i="13"/>
  <c r="Q158" i="13"/>
  <c r="R157" i="13"/>
  <c r="Q157" i="13"/>
  <c r="O158" i="13"/>
  <c r="P157" i="13"/>
  <c r="N158" i="13"/>
  <c r="O157" i="13"/>
  <c r="M158" i="13"/>
  <c r="M157" i="13"/>
  <c r="K158" i="13"/>
  <c r="J158" i="13"/>
  <c r="K157" i="13"/>
  <c r="J157" i="13"/>
  <c r="H157" i="13"/>
  <c r="N157" i="13"/>
  <c r="P158" i="13"/>
  <c r="L158" i="13"/>
  <c r="L157" i="13"/>
  <c r="I158" i="13"/>
  <c r="H158" i="13"/>
  <c r="G158" i="13"/>
  <c r="H153" i="13"/>
  <c r="R155" i="13"/>
  <c r="Q155" i="13"/>
  <c r="S153" i="13"/>
  <c r="O153" i="13"/>
  <c r="N153" i="13"/>
  <c r="M153" i="13"/>
  <c r="L153" i="13"/>
  <c r="K153" i="13"/>
  <c r="J153" i="13"/>
  <c r="H154" i="13"/>
  <c r="S155" i="13"/>
  <c r="S154" i="13"/>
  <c r="R154" i="13"/>
  <c r="N154" i="13"/>
  <c r="M154" i="13"/>
  <c r="K155" i="13"/>
  <c r="K154" i="13"/>
  <c r="J154" i="13"/>
  <c r="P155" i="13"/>
  <c r="Q154" i="13"/>
  <c r="R153" i="13"/>
  <c r="O155" i="13"/>
  <c r="P154" i="13"/>
  <c r="Q153" i="13"/>
  <c r="N155" i="13"/>
  <c r="O154" i="13"/>
  <c r="P153" i="13"/>
  <c r="M155" i="13"/>
  <c r="L155" i="13"/>
  <c r="L154" i="13"/>
  <c r="J155" i="13"/>
  <c r="H155" i="13"/>
  <c r="F160" i="13"/>
  <c r="H156" i="13"/>
  <c r="R160" i="13"/>
  <c r="I160" i="13"/>
  <c r="S160" i="13"/>
  <c r="S159" i="13"/>
  <c r="L156" i="13"/>
  <c r="H160" i="13"/>
  <c r="G160" i="13"/>
  <c r="Q160" i="13"/>
  <c r="R159" i="13"/>
  <c r="S156" i="13"/>
  <c r="P160" i="13"/>
  <c r="Q159" i="13"/>
  <c r="R156" i="13"/>
  <c r="O160" i="13"/>
  <c r="P159" i="13"/>
  <c r="Q156" i="13"/>
  <c r="N160" i="13"/>
  <c r="O159" i="13"/>
  <c r="P156" i="13"/>
  <c r="O156" i="13"/>
  <c r="L160" i="13"/>
  <c r="M159" i="13"/>
  <c r="K160" i="13"/>
  <c r="L159" i="13"/>
  <c r="J160" i="13"/>
  <c r="K159" i="13"/>
  <c r="J159" i="13"/>
  <c r="J156" i="13"/>
  <c r="H159" i="13"/>
  <c r="M160" i="13"/>
  <c r="N159" i="13"/>
  <c r="N156" i="13"/>
  <c r="M156" i="13"/>
  <c r="K156" i="13"/>
  <c r="I217" i="13"/>
  <c r="G216" i="13"/>
  <c r="S214" i="13"/>
  <c r="Q204" i="13"/>
  <c r="N199" i="13"/>
  <c r="L198" i="13"/>
  <c r="J197" i="13"/>
  <c r="H196" i="13"/>
  <c r="J204" i="13"/>
  <c r="Q196" i="13"/>
  <c r="Q217" i="13"/>
  <c r="N217" i="13"/>
  <c r="M217" i="13"/>
  <c r="L217" i="13"/>
  <c r="I216" i="13"/>
  <c r="H216" i="13"/>
  <c r="H217" i="13"/>
  <c r="F216" i="13"/>
  <c r="R214" i="13"/>
  <c r="P204" i="13"/>
  <c r="M199" i="13"/>
  <c r="K198" i="13"/>
  <c r="I197" i="13"/>
  <c r="G196" i="13"/>
  <c r="S197" i="13"/>
  <c r="R197" i="13"/>
  <c r="J215" i="13"/>
  <c r="O198" i="13"/>
  <c r="N198" i="13"/>
  <c r="O199" i="13"/>
  <c r="G217" i="13"/>
  <c r="S215" i="13"/>
  <c r="Q214" i="13"/>
  <c r="O204" i="13"/>
  <c r="L199" i="13"/>
  <c r="J198" i="13"/>
  <c r="H197" i="13"/>
  <c r="F196" i="13"/>
  <c r="N215" i="13"/>
  <c r="O186" i="13"/>
  <c r="M215" i="13"/>
  <c r="P196" i="13"/>
  <c r="H214" i="13"/>
  <c r="I215" i="13"/>
  <c r="J186" i="13"/>
  <c r="H215" i="13"/>
  <c r="K217" i="13"/>
  <c r="F215" i="13"/>
  <c r="V215" i="13" s="1"/>
  <c r="F217" i="13"/>
  <c r="R215" i="13"/>
  <c r="P214" i="13"/>
  <c r="N204" i="13"/>
  <c r="K199" i="13"/>
  <c r="G197" i="13"/>
  <c r="S186" i="13"/>
  <c r="G199" i="13"/>
  <c r="M196" i="13"/>
  <c r="L196" i="13"/>
  <c r="P199" i="13"/>
  <c r="K197" i="13"/>
  <c r="S216" i="13"/>
  <c r="Q215" i="13"/>
  <c r="O214" i="13"/>
  <c r="M204" i="13"/>
  <c r="J199" i="13"/>
  <c r="H198" i="13"/>
  <c r="F197" i="13"/>
  <c r="R186" i="13"/>
  <c r="P216" i="13"/>
  <c r="K214" i="13"/>
  <c r="O197" i="13"/>
  <c r="G214" i="13"/>
  <c r="F214" i="13"/>
  <c r="S204" i="13"/>
  <c r="R204" i="13"/>
  <c r="R216" i="13"/>
  <c r="P215" i="13"/>
  <c r="N214" i="13"/>
  <c r="L204" i="13"/>
  <c r="I199" i="13"/>
  <c r="S196" i="13"/>
  <c r="Q186" i="13"/>
  <c r="L214" i="13"/>
  <c r="F199" i="13"/>
  <c r="Q198" i="13"/>
  <c r="P198" i="13"/>
  <c r="J196" i="13"/>
  <c r="I196" i="13"/>
  <c r="S217" i="13"/>
  <c r="Q216" i="13"/>
  <c r="O215" i="13"/>
  <c r="M214" i="13"/>
  <c r="K204" i="13"/>
  <c r="H199" i="13"/>
  <c r="R196" i="13"/>
  <c r="P186" i="13"/>
  <c r="R217" i="13"/>
  <c r="O216" i="13"/>
  <c r="N186" i="13"/>
  <c r="L216" i="13"/>
  <c r="K186" i="13"/>
  <c r="K216" i="13"/>
  <c r="J216" i="13"/>
  <c r="G215" i="13"/>
  <c r="J217" i="13"/>
  <c r="P217" i="13"/>
  <c r="N216" i="13"/>
  <c r="L215" i="13"/>
  <c r="J214" i="13"/>
  <c r="H204" i="13"/>
  <c r="S198" i="13"/>
  <c r="Q197" i="13"/>
  <c r="O196" i="13"/>
  <c r="M186" i="13"/>
  <c r="O217" i="13"/>
  <c r="M216" i="13"/>
  <c r="K215" i="13"/>
  <c r="I214" i="13"/>
  <c r="R198" i="13"/>
  <c r="P197" i="13"/>
  <c r="N196" i="13"/>
  <c r="L186" i="13"/>
  <c r="S199" i="13"/>
  <c r="R199" i="13"/>
  <c r="K196" i="13"/>
  <c r="H186" i="13"/>
  <c r="N197" i="13"/>
  <c r="M197" i="13"/>
  <c r="L197" i="13"/>
  <c r="M198" i="13"/>
  <c r="Q199" i="13"/>
  <c r="K179" i="13"/>
  <c r="L180" i="13"/>
  <c r="O179" i="13"/>
  <c r="M180" i="13"/>
  <c r="S180" i="13"/>
  <c r="L181" i="13"/>
  <c r="N179" i="13"/>
  <c r="M179" i="13"/>
  <c r="N181" i="13"/>
  <c r="G168" i="13"/>
  <c r="J179" i="13"/>
  <c r="J168" i="13"/>
  <c r="G181" i="13"/>
  <c r="F181" i="13"/>
  <c r="K168" i="13"/>
  <c r="L178" i="13"/>
  <c r="L179" i="13"/>
  <c r="M181" i="13"/>
  <c r="Q179" i="13"/>
  <c r="R180" i="13"/>
  <c r="M178" i="13"/>
  <c r="M168" i="13"/>
  <c r="F168" i="13"/>
  <c r="I168" i="13"/>
  <c r="O180" i="13"/>
  <c r="N180" i="13"/>
  <c r="O181" i="13"/>
  <c r="S179" i="13"/>
  <c r="J181" i="13"/>
  <c r="Q180" i="13"/>
  <c r="R168" i="13"/>
  <c r="K181" i="13"/>
  <c r="H180" i="13"/>
  <c r="O178" i="13"/>
  <c r="S181" i="13"/>
  <c r="H178" i="13"/>
  <c r="R181" i="13"/>
  <c r="I179" i="13"/>
  <c r="N168" i="13"/>
  <c r="R178" i="13"/>
  <c r="Q178" i="13"/>
  <c r="L168" i="13"/>
  <c r="P178" i="13"/>
  <c r="J178" i="13"/>
  <c r="S178" i="13"/>
  <c r="P181" i="13"/>
  <c r="N178" i="13"/>
  <c r="K178" i="13"/>
  <c r="H181" i="13"/>
  <c r="F179" i="13"/>
  <c r="J180" i="13"/>
  <c r="P179" i="13"/>
  <c r="R179" i="13"/>
  <c r="K180" i="13"/>
  <c r="O168" i="13"/>
  <c r="I181" i="13"/>
  <c r="S168" i="13"/>
  <c r="Q181" i="13"/>
  <c r="Q168" i="13"/>
  <c r="P180" i="13"/>
  <c r="P168" i="13"/>
  <c r="H179" i="13"/>
  <c r="H168" i="13"/>
  <c r="G179" i="13"/>
  <c r="A205" i="4"/>
  <c r="A202" i="6"/>
  <c r="C201" i="6"/>
  <c r="T18" i="14"/>
  <c r="X18" i="14"/>
  <c r="X36" i="14" s="1"/>
  <c r="B5725" i="7"/>
  <c r="B5721" i="7"/>
  <c r="B5712" i="7"/>
  <c r="B5716" i="7"/>
  <c r="B5704" i="7"/>
  <c r="B5719" i="7"/>
  <c r="B5705" i="7"/>
  <c r="B5717" i="7"/>
  <c r="B5711" i="7"/>
  <c r="B5707" i="7"/>
  <c r="B5703" i="7"/>
  <c r="B5710" i="7"/>
  <c r="B5702" i="7"/>
  <c r="B5713" i="7"/>
  <c r="B5715" i="7"/>
  <c r="B5720" i="7"/>
  <c r="A5705" i="7"/>
  <c r="A5720" i="7"/>
  <c r="A5704" i="7"/>
  <c r="A5721" i="7"/>
  <c r="A5707" i="7"/>
  <c r="A5717" i="7"/>
  <c r="C5695" i="7"/>
  <c r="A5711" i="7"/>
  <c r="A5713" i="7"/>
  <c r="A5702" i="7"/>
  <c r="A5719" i="7"/>
  <c r="A5716" i="7"/>
  <c r="A5725" i="7"/>
  <c r="A5703" i="7"/>
  <c r="A5712" i="7"/>
  <c r="A5710" i="7"/>
  <c r="A5715" i="7"/>
  <c r="A147" i="6"/>
  <c r="A151" i="4" s="1"/>
  <c r="C146" i="6"/>
  <c r="B229" i="6"/>
  <c r="B232" i="4"/>
  <c r="T11" i="11"/>
  <c r="D168" i="11" s="1"/>
  <c r="Q14" i="14"/>
  <c r="T14" i="14" s="1"/>
  <c r="Z14" i="14" s="1"/>
  <c r="Q9" i="14"/>
  <c r="Q10" i="14"/>
  <c r="Q12" i="14"/>
  <c r="T12" i="14" s="1"/>
  <c r="Z12" i="14" s="1"/>
  <c r="Q19" i="14"/>
  <c r="S19" i="14" s="1"/>
  <c r="AD20" i="14"/>
  <c r="AD15" i="14"/>
  <c r="Q16" i="14"/>
  <c r="T16" i="14" s="1"/>
  <c r="Z16" i="14" s="1"/>
  <c r="AD13" i="14"/>
  <c r="AD17" i="14"/>
  <c r="S9" i="11"/>
  <c r="D175" i="11"/>
  <c r="H262" i="24" s="1"/>
  <c r="T8" i="11"/>
  <c r="U15" i="13"/>
  <c r="P15" i="13"/>
  <c r="Q15" i="13"/>
  <c r="AN15" i="13"/>
  <c r="X15" i="13"/>
  <c r="Y15" i="13"/>
  <c r="AC15" i="13"/>
  <c r="L168" i="11" l="1"/>
  <c r="V166" i="24" s="1"/>
  <c r="D262" i="24"/>
  <c r="H263" i="24"/>
  <c r="AD18" i="14"/>
  <c r="T9" i="14"/>
  <c r="S9" i="14"/>
  <c r="Z17" i="14"/>
  <c r="C174" i="11"/>
  <c r="H167" i="24" s="1"/>
  <c r="D167" i="24" s="1"/>
  <c r="C175" i="11"/>
  <c r="D173" i="11"/>
  <c r="H247" i="24" s="1"/>
  <c r="D174" i="11"/>
  <c r="H255" i="24" s="1"/>
  <c r="H256" i="24" s="1"/>
  <c r="H129" i="24"/>
  <c r="C173" i="11"/>
  <c r="H133" i="24" s="1"/>
  <c r="D133" i="24" s="1"/>
  <c r="T206" i="13"/>
  <c r="W206" i="13"/>
  <c r="V206" i="13"/>
  <c r="T188" i="13"/>
  <c r="W188" i="13"/>
  <c r="V188" i="13"/>
  <c r="T170" i="13"/>
  <c r="W170" i="13"/>
  <c r="V170" i="13"/>
  <c r="W209" i="13"/>
  <c r="V209" i="13"/>
  <c r="T208" i="13"/>
  <c r="T207" i="13"/>
  <c r="V207" i="13"/>
  <c r="W207" i="13"/>
  <c r="W205" i="13"/>
  <c r="V205" i="13"/>
  <c r="T205" i="13"/>
  <c r="T209" i="13"/>
  <c r="W208" i="13"/>
  <c r="V208" i="13"/>
  <c r="W210" i="13"/>
  <c r="V210" i="13"/>
  <c r="T212" i="13"/>
  <c r="T213" i="13"/>
  <c r="T210" i="13"/>
  <c r="W212" i="13"/>
  <c r="V212" i="13"/>
  <c r="T211" i="13"/>
  <c r="W211" i="13"/>
  <c r="V211" i="13"/>
  <c r="W213" i="13"/>
  <c r="V213" i="13"/>
  <c r="V191" i="13"/>
  <c r="W191" i="13"/>
  <c r="T189" i="13"/>
  <c r="W189" i="13"/>
  <c r="V189" i="13"/>
  <c r="T190" i="13"/>
  <c r="T191" i="13"/>
  <c r="W190" i="13"/>
  <c r="V190" i="13"/>
  <c r="T192" i="13"/>
  <c r="W192" i="13"/>
  <c r="V192" i="13"/>
  <c r="T195" i="13"/>
  <c r="T194" i="13"/>
  <c r="W194" i="13"/>
  <c r="V194" i="13"/>
  <c r="W195" i="13"/>
  <c r="V195" i="13"/>
  <c r="W171" i="13"/>
  <c r="V171" i="13"/>
  <c r="W169" i="13"/>
  <c r="V169" i="13"/>
  <c r="T169" i="13"/>
  <c r="T173" i="13"/>
  <c r="W172" i="13"/>
  <c r="V172" i="13"/>
  <c r="T171" i="13"/>
  <c r="T172" i="13"/>
  <c r="W173" i="13"/>
  <c r="V173" i="13"/>
  <c r="W174" i="13"/>
  <c r="V174" i="13"/>
  <c r="T174" i="13"/>
  <c r="T158" i="13"/>
  <c r="W158" i="13"/>
  <c r="V158" i="13"/>
  <c r="T160" i="13"/>
  <c r="W160" i="13"/>
  <c r="V160" i="13"/>
  <c r="R219" i="13"/>
  <c r="T215" i="13"/>
  <c r="K219" i="13"/>
  <c r="J219" i="13"/>
  <c r="A206" i="4"/>
  <c r="A203" i="6"/>
  <c r="C202" i="6"/>
  <c r="W214" i="13"/>
  <c r="V214" i="13"/>
  <c r="P219" i="13"/>
  <c r="L219" i="13"/>
  <c r="T217" i="13"/>
  <c r="N219" i="13"/>
  <c r="R201" i="13"/>
  <c r="M219" i="13"/>
  <c r="H219" i="13"/>
  <c r="S219" i="13"/>
  <c r="O219" i="13"/>
  <c r="Q219" i="13"/>
  <c r="T214" i="13"/>
  <c r="T199" i="13"/>
  <c r="W215" i="13"/>
  <c r="T216" i="13"/>
  <c r="T197" i="13"/>
  <c r="V217" i="13"/>
  <c r="W217" i="13"/>
  <c r="W216" i="13"/>
  <c r="V216" i="13"/>
  <c r="S201" i="13"/>
  <c r="M201" i="13"/>
  <c r="J201" i="13"/>
  <c r="W197" i="13"/>
  <c r="V197" i="13"/>
  <c r="R15" i="13"/>
  <c r="T15" i="13" s="1"/>
  <c r="AP15" i="13" s="1"/>
  <c r="K201" i="13"/>
  <c r="N201" i="13"/>
  <c r="V199" i="13"/>
  <c r="W199" i="13"/>
  <c r="Q201" i="13"/>
  <c r="L201" i="13"/>
  <c r="O183" i="13"/>
  <c r="T196" i="13"/>
  <c r="W196" i="13"/>
  <c r="V196" i="13"/>
  <c r="H201" i="13"/>
  <c r="O201" i="13"/>
  <c r="P201" i="13"/>
  <c r="V168" i="13"/>
  <c r="W168" i="13"/>
  <c r="R183" i="13"/>
  <c r="W179" i="13"/>
  <c r="V179" i="13"/>
  <c r="S183" i="13"/>
  <c r="J183" i="13"/>
  <c r="P183" i="13"/>
  <c r="T181" i="13"/>
  <c r="V181" i="13"/>
  <c r="W181" i="13"/>
  <c r="Q183" i="13"/>
  <c r="K183" i="13"/>
  <c r="T179" i="13"/>
  <c r="L183" i="13"/>
  <c r="T168" i="13"/>
  <c r="H183" i="13"/>
  <c r="N183" i="13"/>
  <c r="M183" i="13"/>
  <c r="D167" i="11"/>
  <c r="Z18" i="14"/>
  <c r="A5734" i="7"/>
  <c r="A5747" i="7"/>
  <c r="A5741" i="7"/>
  <c r="A5733" i="7"/>
  <c r="A5732" i="7"/>
  <c r="A5742" i="7"/>
  <c r="A5740" i="7"/>
  <c r="A5735" i="7"/>
  <c r="C5725" i="7"/>
  <c r="A5743" i="7"/>
  <c r="A5745" i="7"/>
  <c r="A5746" i="7"/>
  <c r="A5750" i="7"/>
  <c r="A5751" i="7"/>
  <c r="A5749" i="7"/>
  <c r="A5737" i="7"/>
  <c r="A5755" i="7"/>
  <c r="B5741" i="7"/>
  <c r="B5734" i="7"/>
  <c r="B5751" i="7"/>
  <c r="B5746" i="7"/>
  <c r="B5749" i="7"/>
  <c r="B5745" i="7"/>
  <c r="B5747" i="7"/>
  <c r="B5733" i="7"/>
  <c r="B5737" i="7"/>
  <c r="B5742" i="7"/>
  <c r="B5740" i="7"/>
  <c r="B5735" i="7"/>
  <c r="B5743" i="7"/>
  <c r="B5732" i="7"/>
  <c r="B5750" i="7"/>
  <c r="B5755" i="7"/>
  <c r="A148" i="6"/>
  <c r="A152" i="4" s="1"/>
  <c r="C147" i="6"/>
  <c r="B230" i="6"/>
  <c r="B233" i="4"/>
  <c r="H165" i="24"/>
  <c r="T19" i="14"/>
  <c r="Z19" i="14" s="1"/>
  <c r="T10" i="14"/>
  <c r="Z10" i="14" s="1"/>
  <c r="AD14" i="14"/>
  <c r="AD12" i="14"/>
  <c r="AD16" i="14"/>
  <c r="AZ15" i="13"/>
  <c r="Z15" i="13"/>
  <c r="AB15" i="13" s="1"/>
  <c r="AQ15" i="13" s="1"/>
  <c r="L175" i="11" l="1"/>
  <c r="V199" i="24" s="1"/>
  <c r="H199" i="24"/>
  <c r="D199" i="24" s="1"/>
  <c r="D263" i="24"/>
  <c r="D255" i="24"/>
  <c r="L174" i="11"/>
  <c r="V167" i="24" s="1"/>
  <c r="Z9" i="14"/>
  <c r="D165" i="24"/>
  <c r="L173" i="11"/>
  <c r="V133" i="24" s="1"/>
  <c r="AP141" i="13"/>
  <c r="A207" i="4"/>
  <c r="A204" i="6"/>
  <c r="C203" i="6"/>
  <c r="L163" i="11"/>
  <c r="V129" i="24" s="1"/>
  <c r="AX15" i="13"/>
  <c r="A5763" i="7"/>
  <c r="A5772" i="7"/>
  <c r="A5773" i="7"/>
  <c r="A5771" i="7"/>
  <c r="A5767" i="7"/>
  <c r="A5764" i="7"/>
  <c r="A5770" i="7"/>
  <c r="A5777" i="7"/>
  <c r="C5755" i="7"/>
  <c r="A5776" i="7"/>
  <c r="A5781" i="7"/>
  <c r="A5779" i="7"/>
  <c r="A5785" i="7"/>
  <c r="A5780" i="7"/>
  <c r="A5775" i="7"/>
  <c r="A5762" i="7"/>
  <c r="A5765" i="7"/>
  <c r="B5770" i="7"/>
  <c r="B5780" i="7"/>
  <c r="B5775" i="7"/>
  <c r="B5785" i="7"/>
  <c r="B5777" i="7"/>
  <c r="B5763" i="7"/>
  <c r="B5765" i="7"/>
  <c r="B5764" i="7"/>
  <c r="B5771" i="7"/>
  <c r="B5767" i="7"/>
  <c r="B5781" i="7"/>
  <c r="B5772" i="7"/>
  <c r="B5776" i="7"/>
  <c r="B5762" i="7"/>
  <c r="B5779" i="7"/>
  <c r="B5773" i="7"/>
  <c r="C148" i="6"/>
  <c r="A149" i="6"/>
  <c r="A153" i="4" s="1"/>
  <c r="B231" i="6"/>
  <c r="B234" i="4"/>
  <c r="L167" i="11"/>
  <c r="V165" i="24" s="1"/>
  <c r="D129" i="24"/>
  <c r="AJ216" i="24"/>
  <c r="AD19" i="14"/>
  <c r="AD10" i="14"/>
  <c r="A208" i="4" l="1"/>
  <c r="A205" i="6"/>
  <c r="C204" i="6"/>
  <c r="D256" i="24"/>
  <c r="B5803" i="7"/>
  <c r="B5797" i="7"/>
  <c r="B5809" i="7"/>
  <c r="B5811" i="7"/>
  <c r="B5806" i="7"/>
  <c r="B5807" i="7"/>
  <c r="B5805" i="7"/>
  <c r="B5802" i="7"/>
  <c r="B5800" i="7"/>
  <c r="B5792" i="7"/>
  <c r="B5815" i="7"/>
  <c r="B5810" i="7"/>
  <c r="B5793" i="7"/>
  <c r="B5794" i="7"/>
  <c r="B5801" i="7"/>
  <c r="B5795" i="7"/>
  <c r="A5792" i="7"/>
  <c r="A5803" i="7"/>
  <c r="A5797" i="7"/>
  <c r="C5785" i="7"/>
  <c r="A5794" i="7"/>
  <c r="A5795" i="7"/>
  <c r="A5801" i="7"/>
  <c r="A5809" i="7"/>
  <c r="A5806" i="7"/>
  <c r="A5811" i="7"/>
  <c r="A5805" i="7"/>
  <c r="A5800" i="7"/>
  <c r="A5810" i="7"/>
  <c r="A5793" i="7"/>
  <c r="A5815" i="7"/>
  <c r="A5802" i="7"/>
  <c r="A5807" i="7"/>
  <c r="C149" i="6"/>
  <c r="A150" i="6"/>
  <c r="A154" i="4" s="1"/>
  <c r="B233" i="6"/>
  <c r="B235" i="4"/>
  <c r="BA15" i="13"/>
  <c r="A209" i="4" l="1"/>
  <c r="C205" i="6"/>
  <c r="A206" i="6"/>
  <c r="A5825" i="7"/>
  <c r="A5832" i="7"/>
  <c r="A5830" i="7"/>
  <c r="A5824" i="7"/>
  <c r="A5839" i="7"/>
  <c r="C5815" i="7"/>
  <c r="A5831" i="7"/>
  <c r="A5845" i="7"/>
  <c r="A5835" i="7"/>
  <c r="A5840" i="7"/>
  <c r="A5833" i="7"/>
  <c r="A5827" i="7"/>
  <c r="A5822" i="7"/>
  <c r="A5841" i="7"/>
  <c r="A5823" i="7"/>
  <c r="A5836" i="7"/>
  <c r="A5837" i="7"/>
  <c r="B5825" i="7"/>
  <c r="B5832" i="7"/>
  <c r="B5845" i="7"/>
  <c r="B5837" i="7"/>
  <c r="B5840" i="7"/>
  <c r="B5835" i="7"/>
  <c r="B5841" i="7"/>
  <c r="B5827" i="7"/>
  <c r="B5822" i="7"/>
  <c r="B5839" i="7"/>
  <c r="B5831" i="7"/>
  <c r="B5833" i="7"/>
  <c r="B5824" i="7"/>
  <c r="B5830" i="7"/>
  <c r="B5823" i="7"/>
  <c r="B5836" i="7"/>
  <c r="C150" i="6"/>
  <c r="A151" i="6"/>
  <c r="A155" i="4" s="1"/>
  <c r="B234" i="6"/>
  <c r="B237" i="4"/>
  <c r="D17" i="3"/>
  <c r="D16" i="3"/>
  <c r="D11" i="3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G13" i="2"/>
  <c r="E13" i="2" s="1"/>
  <c r="H13" i="2"/>
  <c r="I13" i="2"/>
  <c r="V13" i="2"/>
  <c r="W13" i="2"/>
  <c r="Y13" i="2"/>
  <c r="AA13" i="2"/>
  <c r="AD13" i="2"/>
  <c r="AF13" i="2"/>
  <c r="AI13" i="2"/>
  <c r="AK13" i="2"/>
  <c r="AN13" i="2"/>
  <c r="AP13" i="2"/>
  <c r="AS13" i="2"/>
  <c r="AT13" i="2"/>
  <c r="AW13" i="2"/>
  <c r="AX13" i="2"/>
  <c r="G14" i="2"/>
  <c r="E14" i="2" s="1"/>
  <c r="H14" i="2"/>
  <c r="I14" i="2"/>
  <c r="V14" i="2"/>
  <c r="W14" i="2"/>
  <c r="Y14" i="2"/>
  <c r="AA14" i="2"/>
  <c r="AD14" i="2"/>
  <c r="AF14" i="2"/>
  <c r="AI14" i="2"/>
  <c r="AK14" i="2"/>
  <c r="AN14" i="2"/>
  <c r="AP14" i="2"/>
  <c r="AS14" i="2"/>
  <c r="AT14" i="2"/>
  <c r="AW14" i="2"/>
  <c r="AX14" i="2"/>
  <c r="G15" i="2"/>
  <c r="E15" i="2" s="1"/>
  <c r="H15" i="2"/>
  <c r="I15" i="2"/>
  <c r="V15" i="2"/>
  <c r="W15" i="2"/>
  <c r="Y15" i="2"/>
  <c r="AA15" i="2"/>
  <c r="AD15" i="2"/>
  <c r="AF15" i="2"/>
  <c r="AI15" i="2"/>
  <c r="AK15" i="2"/>
  <c r="AN15" i="2"/>
  <c r="AP15" i="2"/>
  <c r="AS15" i="2"/>
  <c r="AT15" i="2"/>
  <c r="AW15" i="2"/>
  <c r="AX15" i="2"/>
  <c r="G16" i="2"/>
  <c r="E16" i="2" s="1"/>
  <c r="H16" i="2"/>
  <c r="I16" i="2"/>
  <c r="V16" i="2"/>
  <c r="W16" i="2"/>
  <c r="Y16" i="2"/>
  <c r="AA16" i="2"/>
  <c r="AD16" i="2"/>
  <c r="AF16" i="2"/>
  <c r="AI16" i="2"/>
  <c r="AK16" i="2"/>
  <c r="AN16" i="2"/>
  <c r="AP16" i="2"/>
  <c r="AS16" i="2"/>
  <c r="AT16" i="2"/>
  <c r="AW16" i="2"/>
  <c r="AX16" i="2"/>
  <c r="AY16" i="2"/>
  <c r="G17" i="2"/>
  <c r="E17" i="2" s="1"/>
  <c r="H17" i="2"/>
  <c r="I17" i="2"/>
  <c r="V17" i="2"/>
  <c r="W17" i="2"/>
  <c r="Y17" i="2"/>
  <c r="AA17" i="2"/>
  <c r="AD17" i="2"/>
  <c r="AF17" i="2"/>
  <c r="AI17" i="2"/>
  <c r="AK17" i="2"/>
  <c r="AN17" i="2"/>
  <c r="AP17" i="2"/>
  <c r="AS17" i="2"/>
  <c r="AT17" i="2"/>
  <c r="AW17" i="2"/>
  <c r="AX17" i="2"/>
  <c r="G18" i="2"/>
  <c r="E18" i="2" s="1"/>
  <c r="H18" i="2"/>
  <c r="I18" i="2"/>
  <c r="V18" i="2"/>
  <c r="W18" i="2"/>
  <c r="Y18" i="2"/>
  <c r="AA18" i="2"/>
  <c r="AD18" i="2"/>
  <c r="AF18" i="2"/>
  <c r="AI18" i="2"/>
  <c r="AK18" i="2"/>
  <c r="AN18" i="2"/>
  <c r="AP18" i="2"/>
  <c r="AS18" i="2"/>
  <c r="AT18" i="2"/>
  <c r="AW18" i="2"/>
  <c r="AX18" i="2"/>
  <c r="G19" i="2"/>
  <c r="E19" i="2" s="1"/>
  <c r="H19" i="2"/>
  <c r="I19" i="2"/>
  <c r="V19" i="2"/>
  <c r="W19" i="2"/>
  <c r="Y19" i="2"/>
  <c r="AA19" i="2"/>
  <c r="AD19" i="2"/>
  <c r="AF19" i="2"/>
  <c r="AI19" i="2"/>
  <c r="AK19" i="2"/>
  <c r="AN19" i="2"/>
  <c r="AP19" i="2"/>
  <c r="AS19" i="2"/>
  <c r="AT19" i="2"/>
  <c r="AW19" i="2"/>
  <c r="AX19" i="2"/>
  <c r="F20" i="2"/>
  <c r="G20" i="2"/>
  <c r="E20" i="2" s="1"/>
  <c r="H20" i="2"/>
  <c r="I20" i="2"/>
  <c r="V20" i="2"/>
  <c r="W20" i="2"/>
  <c r="Y20" i="2"/>
  <c r="AA20" i="2"/>
  <c r="AD20" i="2"/>
  <c r="AF20" i="2"/>
  <c r="AI20" i="2"/>
  <c r="AK20" i="2"/>
  <c r="AN20" i="2"/>
  <c r="AP20" i="2"/>
  <c r="AS20" i="2"/>
  <c r="AT20" i="2"/>
  <c r="AW20" i="2"/>
  <c r="AX20" i="2"/>
  <c r="G21" i="2"/>
  <c r="E21" i="2" s="1"/>
  <c r="H21" i="2"/>
  <c r="I21" i="2"/>
  <c r="V21" i="2"/>
  <c r="W21" i="2"/>
  <c r="Y21" i="2"/>
  <c r="AA21" i="2"/>
  <c r="AD21" i="2"/>
  <c r="AF21" i="2"/>
  <c r="AI21" i="2"/>
  <c r="AK21" i="2"/>
  <c r="AN21" i="2"/>
  <c r="AP21" i="2"/>
  <c r="AS21" i="2"/>
  <c r="AT21" i="2"/>
  <c r="AW21" i="2"/>
  <c r="AX21" i="2"/>
  <c r="G22" i="2"/>
  <c r="E22" i="2" s="1"/>
  <c r="H22" i="2"/>
  <c r="I22" i="2"/>
  <c r="V22" i="2"/>
  <c r="W22" i="2"/>
  <c r="Y22" i="2"/>
  <c r="AA22" i="2"/>
  <c r="AD22" i="2"/>
  <c r="AF22" i="2"/>
  <c r="AI22" i="2"/>
  <c r="AK22" i="2"/>
  <c r="AN22" i="2"/>
  <c r="AP22" i="2"/>
  <c r="AS22" i="2"/>
  <c r="AT22" i="2"/>
  <c r="AW22" i="2"/>
  <c r="AX22" i="2"/>
  <c r="G23" i="2"/>
  <c r="E23" i="2" s="1"/>
  <c r="H23" i="2"/>
  <c r="I23" i="2"/>
  <c r="V23" i="2"/>
  <c r="W23" i="2"/>
  <c r="Y23" i="2"/>
  <c r="AA23" i="2"/>
  <c r="AD23" i="2"/>
  <c r="AF23" i="2"/>
  <c r="AI23" i="2"/>
  <c r="AK23" i="2"/>
  <c r="AN23" i="2"/>
  <c r="AP23" i="2"/>
  <c r="AS23" i="2"/>
  <c r="AT23" i="2"/>
  <c r="AW23" i="2"/>
  <c r="AX23" i="2"/>
  <c r="G24" i="2"/>
  <c r="E24" i="2" s="1"/>
  <c r="H24" i="2"/>
  <c r="I24" i="2"/>
  <c r="V24" i="2"/>
  <c r="W24" i="2"/>
  <c r="Y24" i="2"/>
  <c r="AA24" i="2"/>
  <c r="AD24" i="2"/>
  <c r="AF24" i="2"/>
  <c r="AI24" i="2"/>
  <c r="AK24" i="2"/>
  <c r="AN24" i="2"/>
  <c r="AP24" i="2"/>
  <c r="AS24" i="2"/>
  <c r="AT24" i="2"/>
  <c r="AW24" i="2"/>
  <c r="AX24" i="2"/>
  <c r="AY24" i="2"/>
  <c r="G25" i="2"/>
  <c r="E25" i="2" s="1"/>
  <c r="H25" i="2"/>
  <c r="I25" i="2"/>
  <c r="F15" i="3" s="1"/>
  <c r="V25" i="2"/>
  <c r="W25" i="2"/>
  <c r="Y25" i="2"/>
  <c r="AA25" i="2"/>
  <c r="AD25" i="2"/>
  <c r="AF25" i="2"/>
  <c r="AI25" i="2"/>
  <c r="AK25" i="2"/>
  <c r="AN25" i="2"/>
  <c r="AP25" i="2"/>
  <c r="AS25" i="2"/>
  <c r="AT25" i="2"/>
  <c r="AW25" i="2"/>
  <c r="AX25" i="2"/>
  <c r="G26" i="2"/>
  <c r="E26" i="2" s="1"/>
  <c r="H26" i="2"/>
  <c r="I26" i="2"/>
  <c r="V26" i="2"/>
  <c r="W26" i="2"/>
  <c r="Y26" i="2"/>
  <c r="AA26" i="2"/>
  <c r="AD26" i="2"/>
  <c r="AF26" i="2"/>
  <c r="AI26" i="2"/>
  <c r="AK26" i="2"/>
  <c r="AN26" i="2"/>
  <c r="AP26" i="2"/>
  <c r="AS26" i="2"/>
  <c r="AT26" i="2"/>
  <c r="AW26" i="2"/>
  <c r="AX26" i="2"/>
  <c r="AY26" i="2"/>
  <c r="G27" i="2"/>
  <c r="E27" i="2" s="1"/>
  <c r="H27" i="2"/>
  <c r="I27" i="2"/>
  <c r="V27" i="2"/>
  <c r="W27" i="2"/>
  <c r="Y27" i="2"/>
  <c r="AA27" i="2"/>
  <c r="AD27" i="2"/>
  <c r="AF27" i="2"/>
  <c r="AI27" i="2"/>
  <c r="AK27" i="2"/>
  <c r="AN27" i="2"/>
  <c r="AP27" i="2"/>
  <c r="AS27" i="2"/>
  <c r="AT27" i="2"/>
  <c r="AW27" i="2"/>
  <c r="AX27" i="2"/>
  <c r="G28" i="2"/>
  <c r="E28" i="2" s="1"/>
  <c r="H28" i="2"/>
  <c r="I28" i="2"/>
  <c r="V28" i="2"/>
  <c r="W28" i="2"/>
  <c r="Y28" i="2"/>
  <c r="AA28" i="2"/>
  <c r="AD28" i="2"/>
  <c r="AF28" i="2"/>
  <c r="AI28" i="2"/>
  <c r="AK28" i="2"/>
  <c r="AN28" i="2"/>
  <c r="AP28" i="2"/>
  <c r="AS28" i="2"/>
  <c r="AT28" i="2"/>
  <c r="AW28" i="2"/>
  <c r="AX28" i="2"/>
  <c r="G29" i="2"/>
  <c r="E29" i="2" s="1"/>
  <c r="H29" i="2"/>
  <c r="I29" i="2"/>
  <c r="V29" i="2"/>
  <c r="W29" i="2"/>
  <c r="Y29" i="2"/>
  <c r="AA29" i="2"/>
  <c r="AD29" i="2"/>
  <c r="AF29" i="2"/>
  <c r="AI29" i="2"/>
  <c r="AK29" i="2"/>
  <c r="AN29" i="2"/>
  <c r="AP29" i="2"/>
  <c r="AS29" i="2"/>
  <c r="AT29" i="2"/>
  <c r="AW29" i="2"/>
  <c r="AX29" i="2"/>
  <c r="G30" i="2"/>
  <c r="E30" i="2" s="1"/>
  <c r="H30" i="2"/>
  <c r="I30" i="2"/>
  <c r="V30" i="2"/>
  <c r="W30" i="2"/>
  <c r="Y30" i="2"/>
  <c r="AA30" i="2"/>
  <c r="AD30" i="2"/>
  <c r="AF30" i="2"/>
  <c r="AI30" i="2"/>
  <c r="AK30" i="2"/>
  <c r="AN30" i="2"/>
  <c r="AP30" i="2"/>
  <c r="AS30" i="2"/>
  <c r="AT30" i="2"/>
  <c r="AW30" i="2"/>
  <c r="AX30" i="2"/>
  <c r="G31" i="2"/>
  <c r="E31" i="2" s="1"/>
  <c r="H31" i="2"/>
  <c r="I31" i="2"/>
  <c r="V31" i="2"/>
  <c r="W31" i="2"/>
  <c r="Y31" i="2"/>
  <c r="AA31" i="2"/>
  <c r="AD31" i="2"/>
  <c r="AF31" i="2"/>
  <c r="AI31" i="2"/>
  <c r="AK31" i="2"/>
  <c r="AN31" i="2"/>
  <c r="AP31" i="2"/>
  <c r="AS31" i="2"/>
  <c r="AT31" i="2"/>
  <c r="AW31" i="2"/>
  <c r="AX31" i="2"/>
  <c r="G32" i="2"/>
  <c r="E32" i="2" s="1"/>
  <c r="H32" i="2"/>
  <c r="I32" i="2"/>
  <c r="V32" i="2"/>
  <c r="W32" i="2"/>
  <c r="Y32" i="2"/>
  <c r="AA32" i="2"/>
  <c r="AD32" i="2"/>
  <c r="AF32" i="2"/>
  <c r="AI32" i="2"/>
  <c r="AK32" i="2"/>
  <c r="AN32" i="2"/>
  <c r="AP32" i="2"/>
  <c r="AS32" i="2"/>
  <c r="AT32" i="2"/>
  <c r="AW32" i="2"/>
  <c r="AX32" i="2"/>
  <c r="G33" i="2"/>
  <c r="E33" i="2" s="1"/>
  <c r="H33" i="2"/>
  <c r="I33" i="2"/>
  <c r="V33" i="2"/>
  <c r="W33" i="2"/>
  <c r="Y33" i="2"/>
  <c r="AA33" i="2"/>
  <c r="AD33" i="2"/>
  <c r="AF33" i="2"/>
  <c r="AI33" i="2"/>
  <c r="AK33" i="2"/>
  <c r="AN33" i="2"/>
  <c r="AP33" i="2"/>
  <c r="AS33" i="2"/>
  <c r="AT33" i="2"/>
  <c r="AW33" i="2"/>
  <c r="AX33" i="2"/>
  <c r="G34" i="2"/>
  <c r="E34" i="2" s="1"/>
  <c r="H34" i="2"/>
  <c r="I34" i="2"/>
  <c r="V34" i="2"/>
  <c r="W34" i="2"/>
  <c r="Y34" i="2"/>
  <c r="AA34" i="2"/>
  <c r="AD34" i="2"/>
  <c r="AF34" i="2"/>
  <c r="AI34" i="2"/>
  <c r="AK34" i="2"/>
  <c r="AN34" i="2"/>
  <c r="AP34" i="2"/>
  <c r="AS34" i="2"/>
  <c r="AT34" i="2"/>
  <c r="AW34" i="2"/>
  <c r="AX34" i="2"/>
  <c r="G35" i="2"/>
  <c r="E35" i="2" s="1"/>
  <c r="H35" i="2"/>
  <c r="E12" i="3" s="1"/>
  <c r="I35" i="2"/>
  <c r="F12" i="3" s="1"/>
  <c r="V35" i="2"/>
  <c r="W35" i="2"/>
  <c r="Y35" i="2"/>
  <c r="AA35" i="2"/>
  <c r="AD35" i="2"/>
  <c r="AF35" i="2"/>
  <c r="AI35" i="2"/>
  <c r="AK35" i="2"/>
  <c r="AN35" i="2"/>
  <c r="AP35" i="2"/>
  <c r="AS35" i="2"/>
  <c r="AT35" i="2"/>
  <c r="AW35" i="2"/>
  <c r="AX35" i="2"/>
  <c r="AY35" i="2"/>
  <c r="G36" i="2"/>
  <c r="E36" i="2" s="1"/>
  <c r="H36" i="2"/>
  <c r="I36" i="2"/>
  <c r="V36" i="2"/>
  <c r="W36" i="2"/>
  <c r="Y36" i="2"/>
  <c r="AA36" i="2"/>
  <c r="AD36" i="2"/>
  <c r="AF36" i="2"/>
  <c r="AI36" i="2"/>
  <c r="AK36" i="2"/>
  <c r="AN36" i="2"/>
  <c r="AP36" i="2"/>
  <c r="AS36" i="2"/>
  <c r="AT36" i="2"/>
  <c r="AW36" i="2"/>
  <c r="AX36" i="2"/>
  <c r="G37" i="2"/>
  <c r="E37" i="2" s="1"/>
  <c r="H37" i="2"/>
  <c r="I37" i="2"/>
  <c r="V37" i="2"/>
  <c r="W37" i="2"/>
  <c r="Y37" i="2"/>
  <c r="AA37" i="2"/>
  <c r="AD37" i="2"/>
  <c r="AF37" i="2"/>
  <c r="AI37" i="2"/>
  <c r="AK37" i="2"/>
  <c r="AN37" i="2"/>
  <c r="AP37" i="2"/>
  <c r="AS37" i="2"/>
  <c r="AT37" i="2"/>
  <c r="AW37" i="2"/>
  <c r="AX37" i="2"/>
  <c r="G38" i="2"/>
  <c r="E38" i="2" s="1"/>
  <c r="H38" i="2"/>
  <c r="I38" i="2"/>
  <c r="V38" i="2"/>
  <c r="W38" i="2"/>
  <c r="Y38" i="2"/>
  <c r="AA38" i="2"/>
  <c r="AD38" i="2"/>
  <c r="AF38" i="2"/>
  <c r="AI38" i="2"/>
  <c r="AK38" i="2"/>
  <c r="AN38" i="2"/>
  <c r="AP38" i="2"/>
  <c r="AS38" i="2"/>
  <c r="AT38" i="2"/>
  <c r="AW38" i="2"/>
  <c r="AX38" i="2"/>
  <c r="G39" i="2"/>
  <c r="E39" i="2" s="1"/>
  <c r="H39" i="2"/>
  <c r="I39" i="2"/>
  <c r="V39" i="2"/>
  <c r="W39" i="2"/>
  <c r="Y39" i="2"/>
  <c r="AA39" i="2"/>
  <c r="AD39" i="2"/>
  <c r="AF39" i="2"/>
  <c r="AI39" i="2"/>
  <c r="AK39" i="2"/>
  <c r="AN39" i="2"/>
  <c r="AP39" i="2"/>
  <c r="AS39" i="2"/>
  <c r="AT39" i="2"/>
  <c r="AW39" i="2"/>
  <c r="AX39" i="2"/>
  <c r="G40" i="2"/>
  <c r="E40" i="2" s="1"/>
  <c r="H40" i="2"/>
  <c r="I40" i="2"/>
  <c r="V40" i="2"/>
  <c r="W40" i="2"/>
  <c r="Y40" i="2"/>
  <c r="AA40" i="2"/>
  <c r="AD40" i="2"/>
  <c r="AF40" i="2"/>
  <c r="AI40" i="2"/>
  <c r="AK40" i="2"/>
  <c r="AN40" i="2"/>
  <c r="AP40" i="2"/>
  <c r="AS40" i="2"/>
  <c r="AT40" i="2"/>
  <c r="AW40" i="2"/>
  <c r="AX40" i="2"/>
  <c r="G41" i="2"/>
  <c r="E41" i="2" s="1"/>
  <c r="H41" i="2"/>
  <c r="I41" i="2"/>
  <c r="V41" i="2"/>
  <c r="W41" i="2"/>
  <c r="Y41" i="2"/>
  <c r="AA41" i="2"/>
  <c r="AD41" i="2"/>
  <c r="AF41" i="2"/>
  <c r="AI41" i="2"/>
  <c r="AK41" i="2"/>
  <c r="AN41" i="2"/>
  <c r="AP41" i="2"/>
  <c r="AS41" i="2"/>
  <c r="AT41" i="2"/>
  <c r="AW41" i="2"/>
  <c r="AX41" i="2"/>
  <c r="G42" i="2"/>
  <c r="E42" i="2" s="1"/>
  <c r="H42" i="2"/>
  <c r="I42" i="2"/>
  <c r="V42" i="2"/>
  <c r="W42" i="2"/>
  <c r="Y42" i="2"/>
  <c r="AA42" i="2"/>
  <c r="AD42" i="2"/>
  <c r="AF42" i="2"/>
  <c r="AI42" i="2"/>
  <c r="AK42" i="2"/>
  <c r="AN42" i="2"/>
  <c r="AP42" i="2"/>
  <c r="AS42" i="2"/>
  <c r="AT42" i="2"/>
  <c r="AW42" i="2"/>
  <c r="AX42" i="2"/>
  <c r="AY42" i="2"/>
  <c r="G43" i="2"/>
  <c r="E43" i="2" s="1"/>
  <c r="H43" i="2"/>
  <c r="I43" i="2"/>
  <c r="V43" i="2"/>
  <c r="W43" i="2"/>
  <c r="Y43" i="2"/>
  <c r="AA43" i="2"/>
  <c r="AD43" i="2"/>
  <c r="AF43" i="2"/>
  <c r="AI43" i="2"/>
  <c r="AK43" i="2"/>
  <c r="AN43" i="2"/>
  <c r="AP43" i="2"/>
  <c r="AS43" i="2"/>
  <c r="AT43" i="2"/>
  <c r="AW43" i="2"/>
  <c r="AX43" i="2"/>
  <c r="G44" i="2"/>
  <c r="E44" i="2" s="1"/>
  <c r="H44" i="2"/>
  <c r="E14" i="3" s="1"/>
  <c r="I44" i="2"/>
  <c r="F14" i="3" s="1"/>
  <c r="V44" i="2"/>
  <c r="W44" i="2"/>
  <c r="Y44" i="2"/>
  <c r="AA44" i="2"/>
  <c r="AD44" i="2"/>
  <c r="AF44" i="2"/>
  <c r="AI44" i="2"/>
  <c r="AK44" i="2"/>
  <c r="AN44" i="2"/>
  <c r="AP44" i="2"/>
  <c r="AS44" i="2"/>
  <c r="AT44" i="2"/>
  <c r="AW44" i="2"/>
  <c r="AX44" i="2"/>
  <c r="G45" i="2"/>
  <c r="E45" i="2" s="1"/>
  <c r="H45" i="2"/>
  <c r="I45" i="2"/>
  <c r="V45" i="2"/>
  <c r="W45" i="2"/>
  <c r="Y45" i="2"/>
  <c r="AA45" i="2"/>
  <c r="AD45" i="2"/>
  <c r="AF45" i="2"/>
  <c r="AI45" i="2"/>
  <c r="AK45" i="2"/>
  <c r="AN45" i="2"/>
  <c r="AP45" i="2"/>
  <c r="AS45" i="2"/>
  <c r="AT45" i="2"/>
  <c r="AW45" i="2"/>
  <c r="AX45" i="2"/>
  <c r="G46" i="2"/>
  <c r="E46" i="2" s="1"/>
  <c r="H46" i="2"/>
  <c r="I46" i="2"/>
  <c r="V46" i="2"/>
  <c r="W46" i="2"/>
  <c r="Y46" i="2"/>
  <c r="AA46" i="2"/>
  <c r="AD46" i="2"/>
  <c r="AF46" i="2"/>
  <c r="AI46" i="2"/>
  <c r="AK46" i="2"/>
  <c r="AN46" i="2"/>
  <c r="AP46" i="2"/>
  <c r="AS46" i="2"/>
  <c r="AT46" i="2"/>
  <c r="AW46" i="2"/>
  <c r="AX46" i="2"/>
  <c r="G47" i="2"/>
  <c r="E47" i="2" s="1"/>
  <c r="H47" i="2"/>
  <c r="I47" i="2"/>
  <c r="V47" i="2"/>
  <c r="W47" i="2"/>
  <c r="Y47" i="2"/>
  <c r="AA47" i="2"/>
  <c r="AD47" i="2"/>
  <c r="AF47" i="2"/>
  <c r="AI47" i="2"/>
  <c r="AK47" i="2"/>
  <c r="AN47" i="2"/>
  <c r="AP47" i="2"/>
  <c r="AS47" i="2"/>
  <c r="AT47" i="2"/>
  <c r="AW47" i="2"/>
  <c r="AX47" i="2"/>
  <c r="G48" i="2"/>
  <c r="E48" i="2" s="1"/>
  <c r="H48" i="2"/>
  <c r="I48" i="2"/>
  <c r="V48" i="2"/>
  <c r="W48" i="2"/>
  <c r="Y48" i="2"/>
  <c r="AA48" i="2"/>
  <c r="AD48" i="2"/>
  <c r="AF48" i="2"/>
  <c r="AI48" i="2"/>
  <c r="AK48" i="2"/>
  <c r="AN48" i="2"/>
  <c r="AP48" i="2"/>
  <c r="AS48" i="2"/>
  <c r="AT48" i="2"/>
  <c r="AW48" i="2"/>
  <c r="AX48" i="2"/>
  <c r="G49" i="2"/>
  <c r="E49" i="2" s="1"/>
  <c r="H49" i="2"/>
  <c r="I49" i="2"/>
  <c r="V49" i="2"/>
  <c r="W49" i="2"/>
  <c r="Y49" i="2"/>
  <c r="AA49" i="2"/>
  <c r="AD49" i="2"/>
  <c r="AF49" i="2"/>
  <c r="AI49" i="2"/>
  <c r="AK49" i="2"/>
  <c r="AN49" i="2"/>
  <c r="AP49" i="2"/>
  <c r="AS49" i="2"/>
  <c r="AT49" i="2"/>
  <c r="AW49" i="2"/>
  <c r="AX49" i="2"/>
  <c r="G50" i="2"/>
  <c r="E50" i="2" s="1"/>
  <c r="H50" i="2"/>
  <c r="I50" i="2"/>
  <c r="V50" i="2"/>
  <c r="W50" i="2"/>
  <c r="Y50" i="2"/>
  <c r="AA50" i="2"/>
  <c r="AD50" i="2"/>
  <c r="AF50" i="2"/>
  <c r="AI50" i="2"/>
  <c r="AK50" i="2"/>
  <c r="AN50" i="2"/>
  <c r="AP50" i="2"/>
  <c r="AS50" i="2"/>
  <c r="AT50" i="2"/>
  <c r="AW50" i="2"/>
  <c r="AX50" i="2"/>
  <c r="G51" i="2"/>
  <c r="E51" i="2" s="1"/>
  <c r="H51" i="2"/>
  <c r="I51" i="2"/>
  <c r="V51" i="2"/>
  <c r="W51" i="2"/>
  <c r="Y51" i="2"/>
  <c r="AA51" i="2"/>
  <c r="AD51" i="2"/>
  <c r="AF51" i="2"/>
  <c r="AI51" i="2"/>
  <c r="AK51" i="2"/>
  <c r="AN51" i="2"/>
  <c r="AP51" i="2"/>
  <c r="AS51" i="2"/>
  <c r="AT51" i="2"/>
  <c r="AW51" i="2"/>
  <c r="AX51" i="2"/>
  <c r="AY51" i="2"/>
  <c r="G52" i="2"/>
  <c r="E52" i="2" s="1"/>
  <c r="H52" i="2"/>
  <c r="I52" i="2"/>
  <c r="V52" i="2"/>
  <c r="W52" i="2"/>
  <c r="Y52" i="2"/>
  <c r="AA52" i="2"/>
  <c r="AD52" i="2"/>
  <c r="AF52" i="2"/>
  <c r="AI52" i="2"/>
  <c r="AK52" i="2"/>
  <c r="AN52" i="2"/>
  <c r="AP52" i="2"/>
  <c r="AS52" i="2"/>
  <c r="AT52" i="2"/>
  <c r="AW52" i="2"/>
  <c r="AX52" i="2"/>
  <c r="AY52" i="2"/>
  <c r="AY20" i="2"/>
  <c r="AE20" i="2"/>
  <c r="G28" i="18"/>
  <c r="H28" i="18"/>
  <c r="H226" i="24" s="1"/>
  <c r="H25" i="18"/>
  <c r="G25" i="18"/>
  <c r="D24" i="18"/>
  <c r="E28" i="18"/>
  <c r="E25" i="18"/>
  <c r="D19" i="17"/>
  <c r="Q14" i="3" l="1"/>
  <c r="O14" i="3"/>
  <c r="P14" i="3"/>
  <c r="L14" i="3"/>
  <c r="K14" i="3"/>
  <c r="J14" i="3"/>
  <c r="F13" i="3"/>
  <c r="E15" i="3"/>
  <c r="J12" i="3"/>
  <c r="Q12" i="3"/>
  <c r="P12" i="3"/>
  <c r="O12" i="3"/>
  <c r="L12" i="3"/>
  <c r="K12" i="3"/>
  <c r="F18" i="3"/>
  <c r="E18" i="3"/>
  <c r="Q18" i="3"/>
  <c r="L18" i="3"/>
  <c r="P18" i="3"/>
  <c r="O18" i="3"/>
  <c r="K18" i="3"/>
  <c r="J18" i="3"/>
  <c r="Q15" i="3"/>
  <c r="P15" i="3"/>
  <c r="O15" i="3"/>
  <c r="L15" i="3"/>
  <c r="K15" i="3"/>
  <c r="J15" i="3"/>
  <c r="E13" i="3"/>
  <c r="Q13" i="3"/>
  <c r="P13" i="3"/>
  <c r="O13" i="3"/>
  <c r="L13" i="3"/>
  <c r="K13" i="3"/>
  <c r="J13" i="3"/>
  <c r="A210" i="4"/>
  <c r="C206" i="6"/>
  <c r="A207" i="6"/>
  <c r="A5861" i="7"/>
  <c r="A5854" i="7"/>
  <c r="C5845" i="7"/>
  <c r="A5863" i="7"/>
  <c r="A5857" i="7"/>
  <c r="A5852" i="7"/>
  <c r="A5855" i="7"/>
  <c r="A5853" i="7"/>
  <c r="A5862" i="7"/>
  <c r="A5860" i="7"/>
  <c r="A5865" i="7"/>
  <c r="A5875" i="7"/>
  <c r="A5869" i="7"/>
  <c r="A5871" i="7"/>
  <c r="A5870" i="7"/>
  <c r="A5867" i="7"/>
  <c r="A5866" i="7"/>
  <c r="B5861" i="7"/>
  <c r="B5854" i="7"/>
  <c r="B5871" i="7"/>
  <c r="B5866" i="7"/>
  <c r="B5869" i="7"/>
  <c r="B5865" i="7"/>
  <c r="B5862" i="7"/>
  <c r="B5863" i="7"/>
  <c r="B5860" i="7"/>
  <c r="B5875" i="7"/>
  <c r="B5852" i="7"/>
  <c r="B5867" i="7"/>
  <c r="B5853" i="7"/>
  <c r="B5870" i="7"/>
  <c r="B5855" i="7"/>
  <c r="B5857" i="7"/>
  <c r="A152" i="6"/>
  <c r="C151" i="6"/>
  <c r="B235" i="6"/>
  <c r="B238" i="4"/>
  <c r="K20" i="3"/>
  <c r="Q20" i="3"/>
  <c r="J20" i="3"/>
  <c r="P20" i="3"/>
  <c r="E20" i="3"/>
  <c r="O19" i="3"/>
  <c r="K19" i="3"/>
  <c r="J19" i="3"/>
  <c r="P19" i="3"/>
  <c r="Q19" i="3"/>
  <c r="F20" i="3"/>
  <c r="F19" i="3"/>
  <c r="E19" i="3"/>
  <c r="O226" i="24"/>
  <c r="D226" i="24"/>
  <c r="F226" i="24" s="1"/>
  <c r="G29" i="18"/>
  <c r="G31" i="18" s="1"/>
  <c r="AJ20" i="2"/>
  <c r="AO20" i="2"/>
  <c r="Z20" i="2"/>
  <c r="AY21" i="2"/>
  <c r="AU20" i="2"/>
  <c r="P11" i="3"/>
  <c r="E11" i="3"/>
  <c r="F11" i="3"/>
  <c r="Q11" i="3"/>
  <c r="O11" i="3"/>
  <c r="K11" i="3"/>
  <c r="J11" i="3"/>
  <c r="L20" i="2"/>
  <c r="K20" i="2"/>
  <c r="J20" i="2"/>
  <c r="C152" i="6" l="1"/>
  <c r="A156" i="4"/>
  <c r="A211" i="4"/>
  <c r="A208" i="6"/>
  <c r="C207" i="6"/>
  <c r="B5890" i="7"/>
  <c r="B5900" i="7"/>
  <c r="B5895" i="7"/>
  <c r="B5905" i="7"/>
  <c r="B5935" i="7" s="1"/>
  <c r="B5897" i="7"/>
  <c r="B5899" i="7"/>
  <c r="B5896" i="7"/>
  <c r="B5885" i="7"/>
  <c r="B5893" i="7"/>
  <c r="B5884" i="7"/>
  <c r="B5891" i="7"/>
  <c r="B5883" i="7"/>
  <c r="B5887" i="7"/>
  <c r="B5882" i="7"/>
  <c r="B5901" i="7"/>
  <c r="B5892" i="7"/>
  <c r="A5883" i="7"/>
  <c r="A5890" i="7"/>
  <c r="A5892" i="7"/>
  <c r="A5887" i="7"/>
  <c r="A5884" i="7"/>
  <c r="A5885" i="7"/>
  <c r="C5875" i="7"/>
  <c r="A5899" i="7"/>
  <c r="A5895" i="7"/>
  <c r="A5893" i="7"/>
  <c r="A5896" i="7"/>
  <c r="A5901" i="7"/>
  <c r="A5897" i="7"/>
  <c r="A5905" i="7"/>
  <c r="A5935" i="7" s="1"/>
  <c r="A5891" i="7"/>
  <c r="A5900" i="7"/>
  <c r="A5882" i="7"/>
  <c r="B236" i="6"/>
  <c r="B239" i="4"/>
  <c r="I48" i="29"/>
  <c r="D48" i="29"/>
  <c r="F48" i="29" s="1"/>
  <c r="I49" i="29"/>
  <c r="D49" i="29"/>
  <c r="F49" i="29" s="1"/>
  <c r="AL20" i="2"/>
  <c r="AG20" i="2"/>
  <c r="X20" i="2"/>
  <c r="AV20" i="2"/>
  <c r="AQ20" i="2"/>
  <c r="U20" i="2"/>
  <c r="T20" i="2"/>
  <c r="AZ20" i="2"/>
  <c r="G49" i="29"/>
  <c r="G48" i="29"/>
  <c r="H207" i="24" s="1"/>
  <c r="H71" i="9"/>
  <c r="C318" i="4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267" i="4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A14" i="4"/>
  <c r="B14" i="4"/>
  <c r="C14" i="4"/>
  <c r="H14" i="4"/>
  <c r="K14" i="4"/>
  <c r="C15" i="4"/>
  <c r="H15" i="4"/>
  <c r="K15" i="4"/>
  <c r="C16" i="4"/>
  <c r="F16" i="4" s="1"/>
  <c r="H16" i="4"/>
  <c r="K16" i="4"/>
  <c r="A223" i="4"/>
  <c r="B223" i="4"/>
  <c r="C223" i="4"/>
  <c r="H223" i="4"/>
  <c r="K223" i="4"/>
  <c r="C224" i="4"/>
  <c r="D224" i="4" s="1"/>
  <c r="H224" i="4"/>
  <c r="K224" i="4"/>
  <c r="C225" i="4"/>
  <c r="D225" i="4" s="1"/>
  <c r="H225" i="4"/>
  <c r="K225" i="4"/>
  <c r="D14" i="29" l="1"/>
  <c r="U48" i="29"/>
  <c r="A212" i="4"/>
  <c r="A209" i="6"/>
  <c r="C208" i="6"/>
  <c r="F14" i="4"/>
  <c r="J14" i="4" s="1"/>
  <c r="D207" i="24"/>
  <c r="A5951" i="7"/>
  <c r="A5944" i="7"/>
  <c r="C5935" i="7"/>
  <c r="A5955" i="7"/>
  <c r="A5945" i="7"/>
  <c r="A5943" i="7"/>
  <c r="A5956" i="7"/>
  <c r="A5953" i="7"/>
  <c r="A5961" i="7"/>
  <c r="A5950" i="7"/>
  <c r="A5957" i="7"/>
  <c r="A5947" i="7"/>
  <c r="A5952" i="7"/>
  <c r="A5960" i="7"/>
  <c r="A5965" i="7"/>
  <c r="A5959" i="7"/>
  <c r="A5942" i="7"/>
  <c r="B5951" i="7"/>
  <c r="B5944" i="7"/>
  <c r="B5959" i="7"/>
  <c r="B5952" i="7"/>
  <c r="B5943" i="7"/>
  <c r="B5953" i="7"/>
  <c r="B5957" i="7"/>
  <c r="B5947" i="7"/>
  <c r="B5956" i="7"/>
  <c r="B5960" i="7"/>
  <c r="B5965" i="7"/>
  <c r="B5942" i="7"/>
  <c r="B5961" i="7"/>
  <c r="B5950" i="7"/>
  <c r="B5955" i="7"/>
  <c r="B5945" i="7"/>
  <c r="A5912" i="7"/>
  <c r="A5923" i="7"/>
  <c r="A5917" i="7"/>
  <c r="A5929" i="7"/>
  <c r="A5921" i="7"/>
  <c r="A5920" i="7"/>
  <c r="A5922" i="7"/>
  <c r="A5930" i="7"/>
  <c r="A5915" i="7"/>
  <c r="A5931" i="7"/>
  <c r="C5905" i="7"/>
  <c r="A5926" i="7"/>
  <c r="A5913" i="7"/>
  <c r="A5925" i="7"/>
  <c r="A5927" i="7"/>
  <c r="A5914" i="7"/>
  <c r="B5923" i="7"/>
  <c r="B5917" i="7"/>
  <c r="B5929" i="7"/>
  <c r="B5931" i="7"/>
  <c r="B5926" i="7"/>
  <c r="B5921" i="7"/>
  <c r="B5922" i="7"/>
  <c r="B5925" i="7"/>
  <c r="B5914" i="7"/>
  <c r="B5930" i="7"/>
  <c r="B5915" i="7"/>
  <c r="B5920" i="7"/>
  <c r="B5912" i="7"/>
  <c r="B5913" i="7"/>
  <c r="B5927" i="7"/>
  <c r="B237" i="6"/>
  <c r="B240" i="4"/>
  <c r="D51" i="29"/>
  <c r="V207" i="24"/>
  <c r="M20" i="2"/>
  <c r="S20" i="2" s="1"/>
  <c r="I51" i="29"/>
  <c r="E13" i="15" s="1"/>
  <c r="J71" i="9"/>
  <c r="H14" i="29" s="1"/>
  <c r="E74" i="15"/>
  <c r="AH20" i="2"/>
  <c r="AB20" i="2"/>
  <c r="AM20" i="2"/>
  <c r="AR20" i="2"/>
  <c r="I71" i="9"/>
  <c r="D16" i="4"/>
  <c r="F224" i="4"/>
  <c r="F15" i="4"/>
  <c r="D15" i="4"/>
  <c r="F223" i="4"/>
  <c r="D223" i="4"/>
  <c r="F225" i="4"/>
  <c r="J16" i="4"/>
  <c r="D14" i="4"/>
  <c r="F14" i="29" l="1"/>
  <c r="F18" i="29" s="1"/>
  <c r="H25" i="24"/>
  <c r="D18" i="29"/>
  <c r="G14" i="29"/>
  <c r="U9" i="29" s="1"/>
  <c r="I102" i="9"/>
  <c r="A213" i="4"/>
  <c r="A210" i="6"/>
  <c r="C209" i="6"/>
  <c r="H51" i="29"/>
  <c r="F13" i="15" s="1"/>
  <c r="F57" i="15" s="1"/>
  <c r="J102" i="9"/>
  <c r="AJ206" i="24"/>
  <c r="B5975" i="7"/>
  <c r="B5973" i="7"/>
  <c r="B5980" i="7"/>
  <c r="B5991" i="7"/>
  <c r="B5983" i="7"/>
  <c r="B5981" i="7"/>
  <c r="B5982" i="7"/>
  <c r="B5990" i="7"/>
  <c r="B5987" i="7"/>
  <c r="B5974" i="7"/>
  <c r="B5995" i="7"/>
  <c r="B5989" i="7"/>
  <c r="B5986" i="7"/>
  <c r="B5977" i="7"/>
  <c r="B5972" i="7"/>
  <c r="B5985" i="7"/>
  <c r="A5989" i="7"/>
  <c r="A5973" i="7"/>
  <c r="A5980" i="7"/>
  <c r="A5991" i="7"/>
  <c r="A5972" i="7"/>
  <c r="A5990" i="7"/>
  <c r="A5987" i="7"/>
  <c r="A5974" i="7"/>
  <c r="A5995" i="7"/>
  <c r="A5983" i="7"/>
  <c r="A5977" i="7"/>
  <c r="C5965" i="7"/>
  <c r="A5981" i="7"/>
  <c r="A5982" i="7"/>
  <c r="A5975" i="7"/>
  <c r="A5985" i="7"/>
  <c r="A5986" i="7"/>
  <c r="B238" i="6"/>
  <c r="B241" i="4"/>
  <c r="H18" i="29"/>
  <c r="F9" i="15" s="1"/>
  <c r="F51" i="29"/>
  <c r="K16" i="23" s="1"/>
  <c r="C17" i="22" s="1"/>
  <c r="D24" i="15"/>
  <c r="D74" i="15"/>
  <c r="AC20" i="2"/>
  <c r="J15" i="4"/>
  <c r="J224" i="4"/>
  <c r="J225" i="4"/>
  <c r="J223" i="4"/>
  <c r="O25" i="24" l="1"/>
  <c r="D25" i="24"/>
  <c r="F25" i="24" s="1"/>
  <c r="H124" i="24"/>
  <c r="U8" i="29"/>
  <c r="V124" i="24" s="1"/>
  <c r="H55" i="29"/>
  <c r="A214" i="4"/>
  <c r="C210" i="6"/>
  <c r="A211" i="6"/>
  <c r="B6011" i="7"/>
  <c r="B6004" i="7"/>
  <c r="B6002" i="7"/>
  <c r="B6013" i="7"/>
  <c r="B6007" i="7"/>
  <c r="B6015" i="7"/>
  <c r="B6017" i="7"/>
  <c r="B6021" i="7"/>
  <c r="B6019" i="7"/>
  <c r="B6020" i="7"/>
  <c r="B6012" i="7"/>
  <c r="B6016" i="7"/>
  <c r="B6005" i="7"/>
  <c r="B6003" i="7"/>
  <c r="B6025" i="7"/>
  <c r="B6010" i="7"/>
  <c r="A6025" i="7"/>
  <c r="A6017" i="7"/>
  <c r="A6002" i="7"/>
  <c r="A6015" i="7"/>
  <c r="A6005" i="7"/>
  <c r="A6003" i="7"/>
  <c r="C5995" i="7"/>
  <c r="A6012" i="7"/>
  <c r="A6007" i="7"/>
  <c r="A6011" i="7"/>
  <c r="A6020" i="7"/>
  <c r="A6013" i="7"/>
  <c r="A6021" i="7"/>
  <c r="A6016" i="7"/>
  <c r="A6019" i="7"/>
  <c r="A6004" i="7"/>
  <c r="A6010" i="7"/>
  <c r="B239" i="6"/>
  <c r="B242" i="4"/>
  <c r="G51" i="29"/>
  <c r="D13" i="15" s="1"/>
  <c r="D55" i="29"/>
  <c r="B5" i="15"/>
  <c r="K13" i="23"/>
  <c r="I55" i="29"/>
  <c r="E24" i="15"/>
  <c r="B23" i="15"/>
  <c r="B67" i="15" s="1"/>
  <c r="B12" i="15"/>
  <c r="G18" i="29"/>
  <c r="F55" i="29"/>
  <c r="BA20" i="2"/>
  <c r="G225" i="4"/>
  <c r="G224" i="4"/>
  <c r="A220" i="6"/>
  <c r="G223" i="4"/>
  <c r="C219" i="6"/>
  <c r="G16" i="4"/>
  <c r="G15" i="4"/>
  <c r="Z15" i="4" s="1"/>
  <c r="B11" i="6"/>
  <c r="B12" i="6" s="1"/>
  <c r="B13" i="6" s="1"/>
  <c r="A11" i="6"/>
  <c r="G14" i="4"/>
  <c r="C10" i="6"/>
  <c r="D124" i="24" l="1"/>
  <c r="A215" i="4"/>
  <c r="A212" i="6"/>
  <c r="C211" i="6"/>
  <c r="A6033" i="7"/>
  <c r="A6050" i="7"/>
  <c r="A6045" i="7"/>
  <c r="A6051" i="7"/>
  <c r="A6046" i="7"/>
  <c r="A6042" i="7"/>
  <c r="A6035" i="7"/>
  <c r="A6047" i="7"/>
  <c r="A6055" i="7"/>
  <c r="A6085" i="7" s="1"/>
  <c r="A6115" i="7" s="1"/>
  <c r="A6145" i="7" s="1"/>
  <c r="A6175" i="7" s="1"/>
  <c r="A6043" i="7"/>
  <c r="A6032" i="7"/>
  <c r="A6040" i="7"/>
  <c r="A6034" i="7"/>
  <c r="A6041" i="7"/>
  <c r="A6037" i="7"/>
  <c r="A6049" i="7"/>
  <c r="C6025" i="7"/>
  <c r="B6040" i="7"/>
  <c r="B6035" i="7"/>
  <c r="B6055" i="7"/>
  <c r="B6085" i="7" s="1"/>
  <c r="B6115" i="7" s="1"/>
  <c r="B6145" i="7" s="1"/>
  <c r="B6175" i="7" s="1"/>
  <c r="B6047" i="7"/>
  <c r="B6042" i="7"/>
  <c r="B6045" i="7"/>
  <c r="B6041" i="7"/>
  <c r="B6037" i="7"/>
  <c r="B6032" i="7"/>
  <c r="B6050" i="7"/>
  <c r="B6046" i="7"/>
  <c r="B6034" i="7"/>
  <c r="B6033" i="7"/>
  <c r="B6043" i="7"/>
  <c r="B6051" i="7"/>
  <c r="B6049" i="7"/>
  <c r="B14" i="6"/>
  <c r="B17" i="4"/>
  <c r="A224" i="4"/>
  <c r="A221" i="6"/>
  <c r="A225" i="4" s="1"/>
  <c r="B240" i="6"/>
  <c r="B243" i="4"/>
  <c r="A15" i="4"/>
  <c r="A12" i="6"/>
  <c r="A16" i="4" s="1"/>
  <c r="AJ123" i="24"/>
  <c r="Y15" i="4"/>
  <c r="W15" i="4"/>
  <c r="W16" i="4"/>
  <c r="Y16" i="4"/>
  <c r="Z16" i="4"/>
  <c r="W14" i="4"/>
  <c r="Y14" i="4"/>
  <c r="Z14" i="4"/>
  <c r="G55" i="29"/>
  <c r="D9" i="15"/>
  <c r="B56" i="15"/>
  <c r="B33" i="15"/>
  <c r="V14" i="4"/>
  <c r="V224" i="4"/>
  <c r="W224" i="4"/>
  <c r="V225" i="4"/>
  <c r="W225" i="4"/>
  <c r="V15" i="4"/>
  <c r="V16" i="4"/>
  <c r="V223" i="4"/>
  <c r="W223" i="4"/>
  <c r="AC224" i="4"/>
  <c r="AC225" i="4"/>
  <c r="AC223" i="4"/>
  <c r="AC15" i="4"/>
  <c r="AC14" i="4"/>
  <c r="B15" i="4"/>
  <c r="B224" i="4"/>
  <c r="AC16" i="4"/>
  <c r="C11" i="6"/>
  <c r="C220" i="6"/>
  <c r="D145" i="24" l="1"/>
  <c r="AJ144" i="24"/>
  <c r="B6193" i="7"/>
  <c r="B6187" i="7"/>
  <c r="B6199" i="7"/>
  <c r="B6183" i="7"/>
  <c r="B6190" i="7"/>
  <c r="B6200" i="7"/>
  <c r="B6195" i="7"/>
  <c r="B6184" i="7"/>
  <c r="B6182" i="7"/>
  <c r="B6201" i="7"/>
  <c r="B6192" i="7"/>
  <c r="B6191" i="7"/>
  <c r="B6197" i="7"/>
  <c r="B6185" i="7"/>
  <c r="B6196" i="7"/>
  <c r="A6193" i="7"/>
  <c r="A6187" i="7"/>
  <c r="A6199" i="7"/>
  <c r="A6183" i="7"/>
  <c r="A6190" i="7"/>
  <c r="A6200" i="7"/>
  <c r="A6195" i="7"/>
  <c r="A6184" i="7"/>
  <c r="A6182" i="7"/>
  <c r="A6201" i="7"/>
  <c r="A6192" i="7"/>
  <c r="C6175" i="7"/>
  <c r="A6191" i="7"/>
  <c r="A6197" i="7"/>
  <c r="A6185" i="7"/>
  <c r="A6196" i="7"/>
  <c r="A6152" i="7"/>
  <c r="A6163" i="7"/>
  <c r="A6157" i="7"/>
  <c r="A6169" i="7"/>
  <c r="A6153" i="7"/>
  <c r="A6160" i="7"/>
  <c r="A6170" i="7"/>
  <c r="A6165" i="7"/>
  <c r="A6161" i="7"/>
  <c r="A6155" i="7"/>
  <c r="A6166" i="7"/>
  <c r="A6171" i="7"/>
  <c r="A6167" i="7"/>
  <c r="A6154" i="7"/>
  <c r="A6162" i="7"/>
  <c r="C6145" i="7"/>
  <c r="B6163" i="7"/>
  <c r="B6157" i="7"/>
  <c r="B6169" i="7"/>
  <c r="B6153" i="7"/>
  <c r="B6160" i="7"/>
  <c r="B6170" i="7"/>
  <c r="B6165" i="7"/>
  <c r="B6161" i="7"/>
  <c r="B6155" i="7"/>
  <c r="B6167" i="7"/>
  <c r="B6152" i="7"/>
  <c r="B6166" i="7"/>
  <c r="B6171" i="7"/>
  <c r="B6162" i="7"/>
  <c r="B6154" i="7"/>
  <c r="B6133" i="7"/>
  <c r="B6127" i="7"/>
  <c r="B6130" i="7"/>
  <c r="B6135" i="7"/>
  <c r="B6141" i="7"/>
  <c r="B6139" i="7"/>
  <c r="B6123" i="7"/>
  <c r="B6140" i="7"/>
  <c r="B6131" i="7"/>
  <c r="B6124" i="7"/>
  <c r="B6136" i="7"/>
  <c r="B6125" i="7"/>
  <c r="B6122" i="7"/>
  <c r="B6137" i="7"/>
  <c r="B6132" i="7"/>
  <c r="A6122" i="7"/>
  <c r="A6130" i="7"/>
  <c r="A6140" i="7"/>
  <c r="A6135" i="7"/>
  <c r="A6131" i="7"/>
  <c r="A6124" i="7"/>
  <c r="A6133" i="7"/>
  <c r="A6127" i="7"/>
  <c r="A6139" i="7"/>
  <c r="A6123" i="7"/>
  <c r="C6115" i="7"/>
  <c r="A6141" i="7"/>
  <c r="A6136" i="7"/>
  <c r="A6132" i="7"/>
  <c r="A6137" i="7"/>
  <c r="A6125" i="7"/>
  <c r="A216" i="4"/>
  <c r="A213" i="6"/>
  <c r="C212" i="6"/>
  <c r="B6103" i="7"/>
  <c r="B6097" i="7"/>
  <c r="B6109" i="7"/>
  <c r="B6105" i="7"/>
  <c r="B6106" i="7"/>
  <c r="B6102" i="7"/>
  <c r="B6093" i="7"/>
  <c r="B6100" i="7"/>
  <c r="B6110" i="7"/>
  <c r="B6101" i="7"/>
  <c r="B6094" i="7"/>
  <c r="B6111" i="7"/>
  <c r="B6095" i="7"/>
  <c r="B6107" i="7"/>
  <c r="B6092" i="7"/>
  <c r="A6092" i="7"/>
  <c r="A6103" i="7"/>
  <c r="A6097" i="7"/>
  <c r="A6110" i="7"/>
  <c r="A6105" i="7"/>
  <c r="A6094" i="7"/>
  <c r="A6111" i="7"/>
  <c r="A6106" i="7"/>
  <c r="A6109" i="7"/>
  <c r="A6093" i="7"/>
  <c r="A6100" i="7"/>
  <c r="A6101" i="7"/>
  <c r="C6085" i="7"/>
  <c r="A6095" i="7"/>
  <c r="A6107" i="7"/>
  <c r="A6102" i="7"/>
  <c r="A6062" i="7"/>
  <c r="A6079" i="7"/>
  <c r="A6070" i="7"/>
  <c r="A6080" i="7"/>
  <c r="A6075" i="7"/>
  <c r="A6071" i="7"/>
  <c r="A6064" i="7"/>
  <c r="C6055" i="7"/>
  <c r="A6081" i="7"/>
  <c r="A6076" i="7"/>
  <c r="A6077" i="7"/>
  <c r="A6067" i="7"/>
  <c r="A6073" i="7"/>
  <c r="A6065" i="7"/>
  <c r="A6063" i="7"/>
  <c r="A6072" i="7"/>
  <c r="B6063" i="7"/>
  <c r="B6071" i="7"/>
  <c r="B6064" i="7"/>
  <c r="B6081" i="7"/>
  <c r="B6076" i="7"/>
  <c r="B6070" i="7"/>
  <c r="B6062" i="7"/>
  <c r="B6075" i="7"/>
  <c r="B6065" i="7"/>
  <c r="B6080" i="7"/>
  <c r="B6077" i="7"/>
  <c r="B6067" i="7"/>
  <c r="B6073" i="7"/>
  <c r="B6072" i="7"/>
  <c r="B6079" i="7"/>
  <c r="Z259" i="4"/>
  <c r="B241" i="6"/>
  <c r="B244" i="4"/>
  <c r="C221" i="6"/>
  <c r="A222" i="6"/>
  <c r="B15" i="6"/>
  <c r="B18" i="4"/>
  <c r="C12" i="6"/>
  <c r="A13" i="6"/>
  <c r="B225" i="4"/>
  <c r="B16" i="4"/>
  <c r="A214" i="6" l="1"/>
  <c r="A218" i="4" s="1"/>
  <c r="A217" i="4"/>
  <c r="C213" i="6"/>
  <c r="C222" i="6"/>
  <c r="A223" i="6"/>
  <c r="A226" i="4"/>
  <c r="B16" i="6"/>
  <c r="B19" i="4"/>
  <c r="B242" i="6"/>
  <c r="B245" i="4"/>
  <c r="A14" i="6"/>
  <c r="C13" i="6"/>
  <c r="A17" i="4"/>
  <c r="C214" i="6" l="1"/>
  <c r="A215" i="6"/>
  <c r="A219" i="4" s="1"/>
  <c r="B243" i="6"/>
  <c r="B246" i="4"/>
  <c r="B17" i="6"/>
  <c r="B20" i="4"/>
  <c r="C223" i="6"/>
  <c r="A224" i="6"/>
  <c r="A227" i="4"/>
  <c r="A15" i="6"/>
  <c r="C14" i="6"/>
  <c r="A18" i="4"/>
  <c r="C215" i="6" l="1"/>
  <c r="A216" i="6"/>
  <c r="A220" i="4" s="1"/>
  <c r="B18" i="6"/>
  <c r="B21" i="4"/>
  <c r="A225" i="6"/>
  <c r="C224" i="6"/>
  <c r="A228" i="4"/>
  <c r="B244" i="6"/>
  <c r="B247" i="4"/>
  <c r="A16" i="6"/>
  <c r="C15" i="6"/>
  <c r="A19" i="4"/>
  <c r="C216" i="6" l="1"/>
  <c r="A217" i="6"/>
  <c r="B245" i="6"/>
  <c r="B248" i="4"/>
  <c r="C225" i="6"/>
  <c r="A226" i="6"/>
  <c r="A229" i="4"/>
  <c r="B19" i="6"/>
  <c r="B22" i="4"/>
  <c r="C16" i="6"/>
  <c r="A17" i="6"/>
  <c r="A20" i="4"/>
  <c r="C217" i="6" l="1"/>
  <c r="A221" i="4"/>
  <c r="B20" i="6"/>
  <c r="B23" i="4"/>
  <c r="A227" i="6"/>
  <c r="C226" i="6"/>
  <c r="A230" i="4"/>
  <c r="B246" i="6"/>
  <c r="B249" i="4"/>
  <c r="A18" i="6"/>
  <c r="C17" i="6"/>
  <c r="A21" i="4"/>
  <c r="B248" i="6" l="1"/>
  <c r="B250" i="4"/>
  <c r="C227" i="6"/>
  <c r="A228" i="6"/>
  <c r="A231" i="4"/>
  <c r="B21" i="6"/>
  <c r="B24" i="4"/>
  <c r="A19" i="6"/>
  <c r="C18" i="6"/>
  <c r="A22" i="4"/>
  <c r="A229" i="6" l="1"/>
  <c r="C228" i="6"/>
  <c r="A232" i="4"/>
  <c r="B22" i="6"/>
  <c r="B25" i="4"/>
  <c r="B249" i="6"/>
  <c r="B252" i="4"/>
  <c r="A20" i="6"/>
  <c r="C19" i="6"/>
  <c r="A23" i="4"/>
  <c r="B250" i="6" l="1"/>
  <c r="B253" i="4"/>
  <c r="B24" i="6"/>
  <c r="B26" i="4"/>
  <c r="C229" i="6"/>
  <c r="A230" i="6"/>
  <c r="A233" i="4"/>
  <c r="C20" i="6"/>
  <c r="A21" i="6"/>
  <c r="A23" i="6" s="1"/>
  <c r="C23" i="6" s="1"/>
  <c r="A24" i="4"/>
  <c r="B120" i="20"/>
  <c r="B119" i="20"/>
  <c r="H123" i="20"/>
  <c r="G123" i="20"/>
  <c r="E121" i="20"/>
  <c r="B121" i="20"/>
  <c r="E120" i="20"/>
  <c r="E119" i="20"/>
  <c r="E118" i="20"/>
  <c r="F118" i="20" s="1"/>
  <c r="E110" i="20"/>
  <c r="B112" i="20"/>
  <c r="B111" i="20"/>
  <c r="B110" i="20"/>
  <c r="H115" i="20"/>
  <c r="G115" i="20"/>
  <c r="E113" i="20"/>
  <c r="B113" i="20"/>
  <c r="E112" i="20"/>
  <c r="E111" i="20"/>
  <c r="X110" i="24" l="1"/>
  <c r="X106" i="24"/>
  <c r="X104" i="24"/>
  <c r="X109" i="24"/>
  <c r="X107" i="24"/>
  <c r="X105" i="24"/>
  <c r="X108" i="24"/>
  <c r="C230" i="6"/>
  <c r="A231" i="6"/>
  <c r="A232" i="6" s="1"/>
  <c r="A234" i="4"/>
  <c r="B25" i="6"/>
  <c r="B28" i="4"/>
  <c r="B251" i="6"/>
  <c r="B254" i="4"/>
  <c r="A22" i="6"/>
  <c r="C21" i="6"/>
  <c r="A25" i="4"/>
  <c r="F120" i="20"/>
  <c r="X103" i="24"/>
  <c r="F112" i="20"/>
  <c r="F113" i="20"/>
  <c r="F111" i="20"/>
  <c r="F119" i="20"/>
  <c r="F121" i="20"/>
  <c r="F110" i="20"/>
  <c r="C232" i="6" l="1"/>
  <c r="A236" i="4"/>
  <c r="C231" i="6"/>
  <c r="A233" i="6"/>
  <c r="A235" i="4"/>
  <c r="B252" i="6"/>
  <c r="B255" i="4"/>
  <c r="B26" i="6"/>
  <c r="B29" i="4"/>
  <c r="C22" i="6"/>
  <c r="A24" i="6"/>
  <c r="A26" i="4"/>
  <c r="F123" i="20"/>
  <c r="F115" i="20"/>
  <c r="I123" i="20"/>
  <c r="W107" i="24" l="1"/>
  <c r="W105" i="24"/>
  <c r="W108" i="24"/>
  <c r="W110" i="24"/>
  <c r="W106" i="24"/>
  <c r="W104" i="24"/>
  <c r="W109" i="24"/>
  <c r="B253" i="6"/>
  <c r="B256" i="4"/>
  <c r="A234" i="6"/>
  <c r="C233" i="6"/>
  <c r="A237" i="4"/>
  <c r="B27" i="6"/>
  <c r="B30" i="4"/>
  <c r="A25" i="6"/>
  <c r="C24" i="6"/>
  <c r="A28" i="4"/>
  <c r="I115" i="20"/>
  <c r="W103" i="24"/>
  <c r="V11" i="11"/>
  <c r="V9" i="11"/>
  <c r="A10" i="11"/>
  <c r="A11" i="11" s="1"/>
  <c r="A15" i="11" s="1"/>
  <c r="A16" i="11" s="1"/>
  <c r="A17" i="11" s="1"/>
  <c r="A18" i="11" s="1"/>
  <c r="A26" i="11" l="1"/>
  <c r="A27" i="11" s="1"/>
  <c r="A28" i="11" s="1"/>
  <c r="A29" i="11" s="1"/>
  <c r="A30" i="11" s="1"/>
  <c r="A19" i="11"/>
  <c r="A20" i="11" s="1"/>
  <c r="A21" i="11" s="1"/>
  <c r="A22" i="11" s="1"/>
  <c r="A23" i="11" s="1"/>
  <c r="B28" i="6"/>
  <c r="B31" i="4"/>
  <c r="C234" i="6"/>
  <c r="A235" i="6"/>
  <c r="A238" i="4"/>
  <c r="B257" i="4"/>
  <c r="C25" i="6"/>
  <c r="A26" i="6"/>
  <c r="A29" i="4"/>
  <c r="AZ139" i="13"/>
  <c r="W11" i="11"/>
  <c r="U9" i="11"/>
  <c r="F175" i="11" s="1"/>
  <c r="J175" i="11" s="1"/>
  <c r="M175" i="11" s="1"/>
  <c r="Z199" i="24" s="1"/>
  <c r="U11" i="11"/>
  <c r="G168" i="11" s="1"/>
  <c r="J168" i="11" s="1"/>
  <c r="M168" i="11" s="1"/>
  <c r="Z166" i="24" s="1"/>
  <c r="W9" i="11"/>
  <c r="D273" i="24"/>
  <c r="F173" i="11" l="1"/>
  <c r="J173" i="11" s="1"/>
  <c r="M173" i="11" s="1"/>
  <c r="Z133" i="24" s="1"/>
  <c r="F174" i="11"/>
  <c r="J174" i="11" s="1"/>
  <c r="M174" i="11" s="1"/>
  <c r="Z167" i="24" s="1"/>
  <c r="A52" i="1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31" i="11"/>
  <c r="A32" i="11" s="1"/>
  <c r="A33" i="11" s="1"/>
  <c r="A34" i="11" s="1"/>
  <c r="A35" i="11" s="1"/>
  <c r="A36" i="11" s="1"/>
  <c r="A37" i="11" s="1"/>
  <c r="G163" i="11"/>
  <c r="C235" i="6"/>
  <c r="A236" i="6"/>
  <c r="A239" i="4"/>
  <c r="B29" i="6"/>
  <c r="B32" i="4"/>
  <c r="A27" i="6"/>
  <c r="C26" i="6"/>
  <c r="A30" i="4"/>
  <c r="Z11" i="11"/>
  <c r="BA139" i="13"/>
  <c r="Z9" i="11"/>
  <c r="Y11" i="11"/>
  <c r="AB11" i="11"/>
  <c r="O168" i="11" s="1"/>
  <c r="AB9" i="11"/>
  <c r="O175" i="11" s="1"/>
  <c r="Y9" i="11"/>
  <c r="O173" i="11" l="1"/>
  <c r="O174" i="11"/>
  <c r="J163" i="11"/>
  <c r="M163" i="11" s="1"/>
  <c r="Z129" i="24" s="1"/>
  <c r="O163" i="11"/>
  <c r="B30" i="6"/>
  <c r="B33" i="4"/>
  <c r="A240" i="4"/>
  <c r="A237" i="6"/>
  <c r="C236" i="6"/>
  <c r="A31" i="4"/>
  <c r="C27" i="6"/>
  <c r="A28" i="6"/>
  <c r="N276" i="24"/>
  <c r="E276" i="24" s="1"/>
  <c r="D276" i="24"/>
  <c r="A238" i="6" l="1"/>
  <c r="C237" i="6"/>
  <c r="A241" i="4"/>
  <c r="B31" i="6"/>
  <c r="B34" i="4"/>
  <c r="A29" i="6"/>
  <c r="C28" i="6"/>
  <c r="A32" i="4"/>
  <c r="O276" i="24"/>
  <c r="F276" i="24"/>
  <c r="B32" i="6" l="1"/>
  <c r="B35" i="4"/>
  <c r="C238" i="6"/>
  <c r="A242" i="4"/>
  <c r="A239" i="6"/>
  <c r="A33" i="4"/>
  <c r="C29" i="6"/>
  <c r="A30" i="6"/>
  <c r="L83" i="27"/>
  <c r="L82" i="27"/>
  <c r="I83" i="27"/>
  <c r="G83" i="27"/>
  <c r="I82" i="27"/>
  <c r="G82" i="27"/>
  <c r="B82" i="27"/>
  <c r="D82" i="27" s="1"/>
  <c r="Q83" i="27"/>
  <c r="M83" i="27"/>
  <c r="J83" i="27"/>
  <c r="Q82" i="27"/>
  <c r="M82" i="27"/>
  <c r="J82" i="27"/>
  <c r="F12" i="27"/>
  <c r="F15" i="27"/>
  <c r="B14" i="27"/>
  <c r="F14" i="27" s="1"/>
  <c r="G88" i="27"/>
  <c r="B33" i="27"/>
  <c r="D33" i="27" s="1"/>
  <c r="B31" i="27"/>
  <c r="B29" i="27"/>
  <c r="B74" i="27"/>
  <c r="D74" i="27" s="1"/>
  <c r="Q73" i="27"/>
  <c r="M73" i="27"/>
  <c r="L73" i="27"/>
  <c r="J73" i="27"/>
  <c r="I73" i="27"/>
  <c r="G73" i="27"/>
  <c r="Q72" i="27"/>
  <c r="M72" i="27"/>
  <c r="L72" i="27"/>
  <c r="J72" i="27"/>
  <c r="I72" i="27"/>
  <c r="G72" i="27"/>
  <c r="B72" i="27"/>
  <c r="D72" i="27" s="1"/>
  <c r="Q71" i="27"/>
  <c r="M71" i="27"/>
  <c r="L71" i="27"/>
  <c r="J71" i="27"/>
  <c r="I71" i="27"/>
  <c r="G71" i="27"/>
  <c r="Q70" i="27"/>
  <c r="M70" i="27"/>
  <c r="L70" i="27"/>
  <c r="J70" i="27"/>
  <c r="I70" i="27"/>
  <c r="G70" i="27"/>
  <c r="B70" i="27"/>
  <c r="D70" i="27" s="1"/>
  <c r="B66" i="27"/>
  <c r="D66" i="27" s="1"/>
  <c r="B62" i="27"/>
  <c r="D62" i="27" s="1"/>
  <c r="G68" i="27"/>
  <c r="B68" i="27"/>
  <c r="D68" i="27" s="1"/>
  <c r="G65" i="27"/>
  <c r="G64" i="27"/>
  <c r="B64" i="27"/>
  <c r="D64" i="27" s="1"/>
  <c r="G61" i="27"/>
  <c r="L61" i="27"/>
  <c r="L64" i="27"/>
  <c r="L65" i="27"/>
  <c r="L68" i="27"/>
  <c r="L60" i="27"/>
  <c r="I61" i="27"/>
  <c r="I64" i="27"/>
  <c r="I65" i="27"/>
  <c r="I68" i="27"/>
  <c r="I60" i="27"/>
  <c r="G60" i="27"/>
  <c r="B60" i="27"/>
  <c r="D60" i="27" s="1"/>
  <c r="I57" i="27"/>
  <c r="G57" i="27"/>
  <c r="I56" i="27"/>
  <c r="G56" i="27"/>
  <c r="L57" i="27"/>
  <c r="L55" i="27"/>
  <c r="I55" i="27"/>
  <c r="G55" i="27"/>
  <c r="L56" i="27"/>
  <c r="L54" i="27"/>
  <c r="I54" i="27"/>
  <c r="G54" i="27"/>
  <c r="B56" i="27"/>
  <c r="D56" i="27" s="1"/>
  <c r="B58" i="27"/>
  <c r="D58" i="27" s="1"/>
  <c r="B54" i="27"/>
  <c r="D54" i="27" s="1"/>
  <c r="J68" i="27"/>
  <c r="M68" i="27"/>
  <c r="Q68" i="27"/>
  <c r="K49" i="27"/>
  <c r="G48" i="27"/>
  <c r="J48" i="27" s="1"/>
  <c r="G47" i="27"/>
  <c r="J47" i="27" s="1"/>
  <c r="G46" i="27"/>
  <c r="J46" i="27" s="1"/>
  <c r="G49" i="27"/>
  <c r="J49" i="27" s="1"/>
  <c r="G40" i="27"/>
  <c r="G41" i="27"/>
  <c r="G39" i="27"/>
  <c r="J39" i="27" s="1"/>
  <c r="K42" i="27"/>
  <c r="H49" i="27"/>
  <c r="H48" i="27"/>
  <c r="H47" i="27"/>
  <c r="H46" i="27"/>
  <c r="J12" i="27"/>
  <c r="B12" i="27"/>
  <c r="D12" i="27" s="1"/>
  <c r="Q65" i="27"/>
  <c r="M65" i="27"/>
  <c r="J65" i="27"/>
  <c r="Q64" i="27"/>
  <c r="M64" i="27"/>
  <c r="J64" i="27"/>
  <c r="Q61" i="27"/>
  <c r="M61" i="27"/>
  <c r="J61" i="27"/>
  <c r="Q60" i="27"/>
  <c r="M60" i="27"/>
  <c r="J60" i="27"/>
  <c r="Q57" i="27"/>
  <c r="M57" i="27"/>
  <c r="J57" i="27"/>
  <c r="Q56" i="27"/>
  <c r="M56" i="27"/>
  <c r="J56" i="27"/>
  <c r="Q55" i="27"/>
  <c r="M55" i="27"/>
  <c r="J55" i="27"/>
  <c r="Q54" i="27"/>
  <c r="M54" i="27"/>
  <c r="J54" i="27"/>
  <c r="H42" i="27"/>
  <c r="G42" i="27"/>
  <c r="H41" i="27"/>
  <c r="H40" i="27"/>
  <c r="H39" i="27"/>
  <c r="M34" i="27"/>
  <c r="G34" i="27"/>
  <c r="G33" i="27"/>
  <c r="G32" i="27"/>
  <c r="I33" i="27"/>
  <c r="I31" i="27"/>
  <c r="G31" i="27"/>
  <c r="Q29" i="27"/>
  <c r="M29" i="27"/>
  <c r="L30" i="27"/>
  <c r="L31" i="27"/>
  <c r="L32" i="27"/>
  <c r="L33" i="27"/>
  <c r="L34" i="27"/>
  <c r="L29" i="27"/>
  <c r="I30" i="27"/>
  <c r="J29" i="27"/>
  <c r="I29" i="27"/>
  <c r="G13" i="27"/>
  <c r="G30" i="27"/>
  <c r="G29" i="27"/>
  <c r="B15" i="27"/>
  <c r="C15" i="27"/>
  <c r="G22" i="27"/>
  <c r="J22" i="27" s="1"/>
  <c r="G23" i="27"/>
  <c r="J23" i="27" s="1"/>
  <c r="G21" i="27"/>
  <c r="J21" i="27" s="1"/>
  <c r="Q34" i="27"/>
  <c r="J34" i="27"/>
  <c r="I34" i="27"/>
  <c r="Q33" i="27"/>
  <c r="M33" i="27"/>
  <c r="J33" i="27"/>
  <c r="K24" i="27"/>
  <c r="G24" i="27"/>
  <c r="J24" i="27" s="1"/>
  <c r="H24" i="27"/>
  <c r="H23" i="27"/>
  <c r="H22" i="27"/>
  <c r="H21" i="27"/>
  <c r="M30" i="27"/>
  <c r="F5" i="27"/>
  <c r="F3" i="27"/>
  <c r="I3" i="27" s="1"/>
  <c r="G5" i="27"/>
  <c r="F6" i="27"/>
  <c r="G14" i="27"/>
  <c r="M14" i="27"/>
  <c r="L14" i="27"/>
  <c r="I14" i="27"/>
  <c r="Q14" i="27"/>
  <c r="J14" i="27"/>
  <c r="J6" i="27"/>
  <c r="M13" i="27"/>
  <c r="M12" i="27"/>
  <c r="L13" i="27"/>
  <c r="L12" i="27"/>
  <c r="I13" i="27"/>
  <c r="J13" i="27"/>
  <c r="I12" i="27"/>
  <c r="G12" i="27"/>
  <c r="C239" i="6" l="1"/>
  <c r="A240" i="6"/>
  <c r="A243" i="4"/>
  <c r="B33" i="6"/>
  <c r="B36" i="4"/>
  <c r="A31" i="6"/>
  <c r="C30" i="6"/>
  <c r="A34" i="4"/>
  <c r="N70" i="27"/>
  <c r="R70" i="27" s="1"/>
  <c r="N82" i="27"/>
  <c r="R82" i="27" s="1"/>
  <c r="D14" i="27"/>
  <c r="N83" i="27"/>
  <c r="R83" i="27" s="1"/>
  <c r="K82" i="27"/>
  <c r="N71" i="27"/>
  <c r="R71" i="27" s="1"/>
  <c r="K83" i="27"/>
  <c r="D84" i="27"/>
  <c r="F17" i="27"/>
  <c r="N73" i="27"/>
  <c r="R73" i="27" s="1"/>
  <c r="D77" i="27"/>
  <c r="D76" i="27"/>
  <c r="N72" i="27"/>
  <c r="R72" i="27" s="1"/>
  <c r="K70" i="27"/>
  <c r="K71" i="27"/>
  <c r="K73" i="27"/>
  <c r="K72" i="27"/>
  <c r="N61" i="27"/>
  <c r="R61" i="27" s="1"/>
  <c r="D78" i="27"/>
  <c r="K68" i="27"/>
  <c r="L48" i="27"/>
  <c r="L47" i="27"/>
  <c r="N65" i="27"/>
  <c r="R65" i="27" s="1"/>
  <c r="N68" i="27"/>
  <c r="R68" i="27" s="1"/>
  <c r="N57" i="27"/>
  <c r="R57" i="27" s="1"/>
  <c r="N56" i="27"/>
  <c r="R56" i="27" s="1"/>
  <c r="N60" i="27"/>
  <c r="R60" i="27" s="1"/>
  <c r="I46" i="27"/>
  <c r="L21" i="27"/>
  <c r="I41" i="27"/>
  <c r="I40" i="27"/>
  <c r="K12" i="27"/>
  <c r="L46" i="27"/>
  <c r="L49" i="27"/>
  <c r="L22" i="27"/>
  <c r="I47" i="27"/>
  <c r="I42" i="27"/>
  <c r="I48" i="27"/>
  <c r="N54" i="27"/>
  <c r="R54" i="27" s="1"/>
  <c r="I49" i="27"/>
  <c r="K57" i="27"/>
  <c r="N64" i="27"/>
  <c r="R64" i="27" s="1"/>
  <c r="N55" i="27"/>
  <c r="R55" i="27" s="1"/>
  <c r="K65" i="27"/>
  <c r="K29" i="27"/>
  <c r="L39" i="27"/>
  <c r="K60" i="27"/>
  <c r="K61" i="27"/>
  <c r="N33" i="27"/>
  <c r="R33" i="27" s="1"/>
  <c r="K56" i="27"/>
  <c r="K54" i="27"/>
  <c r="J40" i="27"/>
  <c r="L40" i="27" s="1"/>
  <c r="K55" i="27"/>
  <c r="K64" i="27"/>
  <c r="J41" i="27"/>
  <c r="L41" i="27" s="1"/>
  <c r="I39" i="27"/>
  <c r="J42" i="27"/>
  <c r="L42" i="27" s="1"/>
  <c r="N29" i="27"/>
  <c r="R29" i="27" s="1"/>
  <c r="N34" i="27"/>
  <c r="R34" i="27" s="1"/>
  <c r="N14" i="27"/>
  <c r="R14" i="27" s="1"/>
  <c r="D15" i="27"/>
  <c r="K34" i="27"/>
  <c r="L23" i="27"/>
  <c r="K33" i="27"/>
  <c r="I22" i="27"/>
  <c r="I24" i="27"/>
  <c r="I23" i="27"/>
  <c r="H5" i="27"/>
  <c r="I5" i="27"/>
  <c r="K5" i="27" s="1"/>
  <c r="L24" i="27"/>
  <c r="I21" i="27"/>
  <c r="K14" i="27"/>
  <c r="B34" i="6" l="1"/>
  <c r="B37" i="4"/>
  <c r="A241" i="6"/>
  <c r="C240" i="6"/>
  <c r="A244" i="4"/>
  <c r="A32" i="6"/>
  <c r="C31" i="6"/>
  <c r="A35" i="4"/>
  <c r="D17" i="27"/>
  <c r="E82" i="27"/>
  <c r="L50" i="27"/>
  <c r="E66" i="27" s="1"/>
  <c r="E14" i="27"/>
  <c r="E54" i="27"/>
  <c r="E33" i="27"/>
  <c r="L25" i="27"/>
  <c r="L43" i="27"/>
  <c r="E74" i="27" s="1"/>
  <c r="A242" i="6" l="1"/>
  <c r="A245" i="4"/>
  <c r="C241" i="6"/>
  <c r="B35" i="6"/>
  <c r="B38" i="4"/>
  <c r="A33" i="6"/>
  <c r="C32" i="6"/>
  <c r="A36" i="4"/>
  <c r="E72" i="27"/>
  <c r="E84" i="27"/>
  <c r="E70" i="27"/>
  <c r="E58" i="27"/>
  <c r="E62" i="27"/>
  <c r="E68" i="27"/>
  <c r="E60" i="27"/>
  <c r="E64" i="27"/>
  <c r="E56" i="27"/>
  <c r="E78" i="27"/>
  <c r="G3" i="27"/>
  <c r="K3" i="27" s="1"/>
  <c r="W8" i="11"/>
  <c r="B36" i="6" l="1"/>
  <c r="B39" i="4"/>
  <c r="C242" i="6"/>
  <c r="A243" i="6"/>
  <c r="A246" i="4"/>
  <c r="C33" i="6"/>
  <c r="A34" i="6"/>
  <c r="A37" i="4"/>
  <c r="E76" i="27"/>
  <c r="E77" i="27"/>
  <c r="C243" i="6" l="1"/>
  <c r="A247" i="4"/>
  <c r="A244" i="6"/>
  <c r="B37" i="6"/>
  <c r="B40" i="4"/>
  <c r="A35" i="6"/>
  <c r="C34" i="6"/>
  <c r="A38" i="4"/>
  <c r="E162" i="11"/>
  <c r="I8" i="15" s="1"/>
  <c r="H162" i="11"/>
  <c r="L8" i="15" s="1"/>
  <c r="I25" i="15"/>
  <c r="L25" i="15"/>
  <c r="L69" i="15" s="1"/>
  <c r="B3" i="24"/>
  <c r="C244" i="6" l="1"/>
  <c r="A245" i="6"/>
  <c r="A248" i="4"/>
  <c r="B38" i="6"/>
  <c r="B41" i="4"/>
  <c r="C35" i="6"/>
  <c r="A36" i="6"/>
  <c r="A39" i="4"/>
  <c r="I69" i="15"/>
  <c r="L52" i="15"/>
  <c r="I52" i="15"/>
  <c r="B39" i="6" l="1"/>
  <c r="B42" i="4"/>
  <c r="A246" i="6"/>
  <c r="A247" i="6" s="1"/>
  <c r="A249" i="4"/>
  <c r="C245" i="6"/>
  <c r="A37" i="6"/>
  <c r="A40" i="4"/>
  <c r="C36" i="6"/>
  <c r="H29" i="18"/>
  <c r="H31" i="18" s="1"/>
  <c r="D18" i="17"/>
  <c r="D7" i="17"/>
  <c r="C247" i="6" l="1"/>
  <c r="A251" i="4"/>
  <c r="C246" i="6"/>
  <c r="A248" i="6"/>
  <c r="A250" i="4"/>
  <c r="B40" i="6"/>
  <c r="B43" i="4"/>
  <c r="C37" i="6"/>
  <c r="A41" i="4"/>
  <c r="A38" i="6"/>
  <c r="Q33" i="14"/>
  <c r="S33" i="14"/>
  <c r="Z33" i="14" s="1"/>
  <c r="Q34" i="14"/>
  <c r="S34" i="14"/>
  <c r="Z34" i="14" s="1"/>
  <c r="Q35" i="14"/>
  <c r="S35" i="14"/>
  <c r="Z35" i="14" s="1"/>
  <c r="F36" i="14"/>
  <c r="K36" i="14"/>
  <c r="M36" i="14"/>
  <c r="R36" i="14"/>
  <c r="AA36" i="14"/>
  <c r="B41" i="6" l="1"/>
  <c r="B44" i="4"/>
  <c r="C248" i="6"/>
  <c r="A249" i="6"/>
  <c r="A252" i="4"/>
  <c r="C38" i="6"/>
  <c r="A42" i="4"/>
  <c r="A39" i="6"/>
  <c r="V36" i="14"/>
  <c r="U36" i="14"/>
  <c r="AC36" i="14"/>
  <c r="Y36" i="14"/>
  <c r="C249" i="6" l="1"/>
  <c r="A250" i="6"/>
  <c r="A253" i="4"/>
  <c r="B42" i="6"/>
  <c r="B45" i="4"/>
  <c r="C39" i="6"/>
  <c r="A43" i="4"/>
  <c r="A40" i="6"/>
  <c r="Q36" i="14"/>
  <c r="AD9" i="14"/>
  <c r="B43" i="6" l="1"/>
  <c r="B46" i="4"/>
  <c r="A251" i="6"/>
  <c r="C250" i="6"/>
  <c r="A254" i="4"/>
  <c r="A41" i="6"/>
  <c r="C40" i="6"/>
  <c r="A44" i="4"/>
  <c r="T36" i="14"/>
  <c r="C131" i="14" s="1"/>
  <c r="W36" i="14"/>
  <c r="S36" i="14"/>
  <c r="C251" i="6" l="1"/>
  <c r="A252" i="6"/>
  <c r="A255" i="4"/>
  <c r="B44" i="6"/>
  <c r="B47" i="4"/>
  <c r="C41" i="6"/>
  <c r="A42" i="6"/>
  <c r="A45" i="4"/>
  <c r="S162" i="13"/>
  <c r="S150" i="13"/>
  <c r="S163" i="13"/>
  <c r="S151" i="13"/>
  <c r="S161" i="13"/>
  <c r="Z36" i="14"/>
  <c r="AD36" i="14"/>
  <c r="AB36" i="14"/>
  <c r="J163" i="13"/>
  <c r="Q162" i="13"/>
  <c r="L151" i="13"/>
  <c r="L161" i="13"/>
  <c r="Q151" i="13"/>
  <c r="L162" i="13"/>
  <c r="M163" i="13"/>
  <c r="K163" i="13"/>
  <c r="N150" i="13"/>
  <c r="M150" i="13"/>
  <c r="Q163" i="13"/>
  <c r="N151" i="13"/>
  <c r="R161" i="13"/>
  <c r="N162" i="13"/>
  <c r="J150" i="13"/>
  <c r="P150" i="13"/>
  <c r="N163" i="13"/>
  <c r="O150" i="13"/>
  <c r="P162" i="13"/>
  <c r="K150" i="13"/>
  <c r="R162" i="13"/>
  <c r="K161" i="13"/>
  <c r="Q150" i="13"/>
  <c r="P161" i="13"/>
  <c r="O161" i="13"/>
  <c r="L150" i="13"/>
  <c r="R151" i="13"/>
  <c r="R163" i="13"/>
  <c r="N161" i="13"/>
  <c r="M161" i="13"/>
  <c r="M162" i="13"/>
  <c r="H163" i="13"/>
  <c r="K151" i="13"/>
  <c r="P163" i="13"/>
  <c r="R150" i="13"/>
  <c r="J151" i="13"/>
  <c r="L163" i="13"/>
  <c r="Q161" i="13"/>
  <c r="M151" i="13"/>
  <c r="P151" i="13"/>
  <c r="O151" i="13"/>
  <c r="K162" i="13"/>
  <c r="J162" i="13"/>
  <c r="O162" i="13"/>
  <c r="J161" i="13"/>
  <c r="O163" i="13"/>
  <c r="B45" i="6" l="1"/>
  <c r="B48" i="4"/>
  <c r="C252" i="6"/>
  <c r="A253" i="6"/>
  <c r="A256" i="4"/>
  <c r="C42" i="6"/>
  <c r="A43" i="6"/>
  <c r="A46" i="4"/>
  <c r="AD37" i="14"/>
  <c r="M132" i="14" s="1"/>
  <c r="S165" i="13"/>
  <c r="S221" i="13" s="1"/>
  <c r="K165" i="13"/>
  <c r="K221" i="13" s="1"/>
  <c r="Q165" i="13"/>
  <c r="O6" i="15" s="1"/>
  <c r="O50" i="15" s="1"/>
  <c r="R165" i="13"/>
  <c r="P6" i="15" s="1"/>
  <c r="P50" i="15" s="1"/>
  <c r="O165" i="13"/>
  <c r="M6" i="15" s="1"/>
  <c r="M50" i="15" s="1"/>
  <c r="M165" i="13"/>
  <c r="M221" i="13" s="1"/>
  <c r="L165" i="13"/>
  <c r="L221" i="13" s="1"/>
  <c r="P165" i="13"/>
  <c r="N6" i="15" s="1"/>
  <c r="N50" i="15" s="1"/>
  <c r="N165" i="13"/>
  <c r="N221" i="13" s="1"/>
  <c r="O221" i="13" l="1"/>
  <c r="R221" i="13"/>
  <c r="Q221" i="13"/>
  <c r="P221" i="13"/>
  <c r="C253" i="6"/>
  <c r="A257" i="4"/>
  <c r="B46" i="6"/>
  <c r="B49" i="4"/>
  <c r="A44" i="6"/>
  <c r="A47" i="4"/>
  <c r="C43" i="6"/>
  <c r="L6" i="15"/>
  <c r="L50" i="15" s="1"/>
  <c r="B47" i="6" l="1"/>
  <c r="B50" i="4"/>
  <c r="A45" i="6"/>
  <c r="C44" i="6"/>
  <c r="A48" i="4"/>
  <c r="X37" i="2"/>
  <c r="Z37" i="2"/>
  <c r="AE37" i="2"/>
  <c r="AJ37" i="2"/>
  <c r="F37" i="2"/>
  <c r="AO37" i="2"/>
  <c r="AY37" i="2"/>
  <c r="AU37" i="2"/>
  <c r="B48" i="6" l="1"/>
  <c r="B51" i="4"/>
  <c r="C45" i="6"/>
  <c r="A46" i="6"/>
  <c r="A49" i="4"/>
  <c r="J37" i="2"/>
  <c r="K37" i="2"/>
  <c r="L37" i="2"/>
  <c r="AL37" i="2"/>
  <c r="F41" i="2"/>
  <c r="F32" i="2"/>
  <c r="F40" i="2"/>
  <c r="F30" i="2"/>
  <c r="AV37" i="2"/>
  <c r="AQ37" i="2"/>
  <c r="AG37" i="2"/>
  <c r="AY31" i="2"/>
  <c r="AY41" i="2"/>
  <c r="AY17" i="2"/>
  <c r="AY30" i="2"/>
  <c r="AY50" i="2"/>
  <c r="AY32" i="2"/>
  <c r="AY40" i="2"/>
  <c r="AE36" i="2"/>
  <c r="AE30" i="2"/>
  <c r="AE31" i="2"/>
  <c r="AE32" i="2"/>
  <c r="AE40" i="2"/>
  <c r="AE41" i="2"/>
  <c r="AJ33" i="2"/>
  <c r="AJ48" i="2"/>
  <c r="AJ31" i="2"/>
  <c r="AJ32" i="2"/>
  <c r="AJ36" i="2"/>
  <c r="AJ40" i="2"/>
  <c r="AJ30" i="2"/>
  <c r="AB37" i="2"/>
  <c r="Z36" i="2"/>
  <c r="Z30" i="2"/>
  <c r="Z40" i="2"/>
  <c r="Z32" i="2"/>
  <c r="Z31" i="2"/>
  <c r="Z41" i="2"/>
  <c r="T37" i="2"/>
  <c r="AU48" i="2"/>
  <c r="AU30" i="2"/>
  <c r="AU40" i="2"/>
  <c r="AU32" i="2"/>
  <c r="AZ37" i="2"/>
  <c r="AO36" i="2"/>
  <c r="AO40" i="2"/>
  <c r="AO31" i="2"/>
  <c r="AO32" i="2"/>
  <c r="AO30" i="2"/>
  <c r="U37" i="2"/>
  <c r="X30" i="2"/>
  <c r="X40" i="2"/>
  <c r="X32" i="2"/>
  <c r="G31" i="1"/>
  <c r="M31" i="1"/>
  <c r="L31" i="1" s="1"/>
  <c r="N31" i="1"/>
  <c r="O31" i="1"/>
  <c r="V31" i="1" s="1"/>
  <c r="P31" i="1"/>
  <c r="X31" i="1"/>
  <c r="Z31" i="1"/>
  <c r="AA31" i="1" s="1"/>
  <c r="AC31" i="1"/>
  <c r="AE31" i="1"/>
  <c r="AF31" i="1" s="1"/>
  <c r="AH31" i="1"/>
  <c r="AJ31" i="1"/>
  <c r="AK31" i="1" s="1"/>
  <c r="AM31" i="1"/>
  <c r="AO31" i="1"/>
  <c r="AP31" i="1" s="1"/>
  <c r="AS31" i="1"/>
  <c r="AT31" i="1" s="1"/>
  <c r="AW31" i="1"/>
  <c r="AX31" i="1" s="1"/>
  <c r="G32" i="1"/>
  <c r="M32" i="1"/>
  <c r="L32" i="1" s="1"/>
  <c r="N32" i="1"/>
  <c r="O32" i="1"/>
  <c r="P32" i="1"/>
  <c r="X32" i="1"/>
  <c r="Z32" i="1"/>
  <c r="AA32" i="1" s="1"/>
  <c r="AC32" i="1"/>
  <c r="AE32" i="1"/>
  <c r="AF32" i="1" s="1"/>
  <c r="AH32" i="1"/>
  <c r="AJ32" i="1"/>
  <c r="AK32" i="1" s="1"/>
  <c r="AM32" i="1"/>
  <c r="AO32" i="1"/>
  <c r="AP32" i="1" s="1"/>
  <c r="AS32" i="1"/>
  <c r="AT32" i="1" s="1"/>
  <c r="AW32" i="1"/>
  <c r="AX32" i="1" s="1"/>
  <c r="G33" i="1"/>
  <c r="M33" i="1"/>
  <c r="L33" i="1" s="1"/>
  <c r="N33" i="1"/>
  <c r="Q33" i="1" s="1"/>
  <c r="O33" i="1"/>
  <c r="P33" i="1"/>
  <c r="X33" i="1"/>
  <c r="Z33" i="1"/>
  <c r="AA33" i="1" s="1"/>
  <c r="AC33" i="1"/>
  <c r="AE33" i="1"/>
  <c r="AF33" i="1" s="1"/>
  <c r="AH33" i="1"/>
  <c r="AJ33" i="1"/>
  <c r="AK33" i="1" s="1"/>
  <c r="AM33" i="1"/>
  <c r="AO33" i="1"/>
  <c r="AP33" i="1" s="1"/>
  <c r="AS33" i="1"/>
  <c r="AT33" i="1" s="1"/>
  <c r="AW33" i="1"/>
  <c r="AX33" i="1" s="1"/>
  <c r="G34" i="1"/>
  <c r="M34" i="1"/>
  <c r="L34" i="1" s="1"/>
  <c r="N34" i="1"/>
  <c r="O34" i="1"/>
  <c r="P34" i="1"/>
  <c r="X34" i="1"/>
  <c r="Z34" i="1"/>
  <c r="AA34" i="1" s="1"/>
  <c r="AC34" i="1"/>
  <c r="AE34" i="1"/>
  <c r="AF34" i="1" s="1"/>
  <c r="AH34" i="1"/>
  <c r="AJ34" i="1"/>
  <c r="AK34" i="1" s="1"/>
  <c r="AM34" i="1"/>
  <c r="AO34" i="1"/>
  <c r="AP34" i="1" s="1"/>
  <c r="AS34" i="1"/>
  <c r="AT34" i="1" s="1"/>
  <c r="AW34" i="1"/>
  <c r="AX34" i="1" s="1"/>
  <c r="G35" i="1"/>
  <c r="M35" i="1"/>
  <c r="L35" i="1" s="1"/>
  <c r="N35" i="1"/>
  <c r="O35" i="1"/>
  <c r="V35" i="1" s="1"/>
  <c r="P35" i="1"/>
  <c r="X35" i="1"/>
  <c r="Z35" i="1"/>
  <c r="AA35" i="1" s="1"/>
  <c r="AC35" i="1"/>
  <c r="AE35" i="1"/>
  <c r="AF35" i="1" s="1"/>
  <c r="AH35" i="1"/>
  <c r="AJ35" i="1"/>
  <c r="AK35" i="1" s="1"/>
  <c r="AM35" i="1"/>
  <c r="AO35" i="1"/>
  <c r="AP35" i="1" s="1"/>
  <c r="AS35" i="1"/>
  <c r="AT35" i="1" s="1"/>
  <c r="AW35" i="1"/>
  <c r="AX35" i="1" s="1"/>
  <c r="G36" i="1"/>
  <c r="M36" i="1"/>
  <c r="L36" i="1" s="1"/>
  <c r="N36" i="1"/>
  <c r="O36" i="1"/>
  <c r="V36" i="1" s="1"/>
  <c r="P36" i="1"/>
  <c r="X36" i="1"/>
  <c r="Z36" i="1"/>
  <c r="AA36" i="1" s="1"/>
  <c r="AC36" i="1"/>
  <c r="AE36" i="1"/>
  <c r="AF36" i="1" s="1"/>
  <c r="AH36" i="1"/>
  <c r="AJ36" i="1"/>
  <c r="AK36" i="1" s="1"/>
  <c r="AM36" i="1"/>
  <c r="AO36" i="1"/>
  <c r="AP36" i="1" s="1"/>
  <c r="AS36" i="1"/>
  <c r="AT36" i="1" s="1"/>
  <c r="AW36" i="1"/>
  <c r="AX36" i="1" s="1"/>
  <c r="G37" i="1"/>
  <c r="M37" i="1"/>
  <c r="L37" i="1" s="1"/>
  <c r="N37" i="1"/>
  <c r="O37" i="1"/>
  <c r="P37" i="1"/>
  <c r="X37" i="1"/>
  <c r="Z37" i="1"/>
  <c r="AA37" i="1" s="1"/>
  <c r="AC37" i="1"/>
  <c r="AE37" i="1"/>
  <c r="AF37" i="1" s="1"/>
  <c r="AH37" i="1"/>
  <c r="AJ37" i="1"/>
  <c r="AK37" i="1" s="1"/>
  <c r="AM37" i="1"/>
  <c r="AO37" i="1"/>
  <c r="AP37" i="1" s="1"/>
  <c r="AS37" i="1"/>
  <c r="AT37" i="1" s="1"/>
  <c r="AW37" i="1"/>
  <c r="AX37" i="1" s="1"/>
  <c r="G38" i="1"/>
  <c r="M38" i="1"/>
  <c r="L38" i="1" s="1"/>
  <c r="N38" i="1"/>
  <c r="O38" i="1"/>
  <c r="V38" i="1" s="1"/>
  <c r="P38" i="1"/>
  <c r="X38" i="1"/>
  <c r="Z38" i="1"/>
  <c r="AA38" i="1" s="1"/>
  <c r="AC38" i="1"/>
  <c r="AE38" i="1"/>
  <c r="AF38" i="1" s="1"/>
  <c r="AH38" i="1"/>
  <c r="AJ38" i="1"/>
  <c r="AK38" i="1" s="1"/>
  <c r="AM38" i="1"/>
  <c r="AO38" i="1"/>
  <c r="AP38" i="1" s="1"/>
  <c r="AS38" i="1"/>
  <c r="AT38" i="1" s="1"/>
  <c r="AW38" i="1"/>
  <c r="AX38" i="1" s="1"/>
  <c r="G39" i="1"/>
  <c r="M39" i="1"/>
  <c r="L39" i="1" s="1"/>
  <c r="N39" i="1"/>
  <c r="O39" i="1"/>
  <c r="V39" i="1" s="1"/>
  <c r="P39" i="1"/>
  <c r="X39" i="1"/>
  <c r="Z39" i="1"/>
  <c r="AA39" i="1" s="1"/>
  <c r="AC39" i="1"/>
  <c r="AE39" i="1"/>
  <c r="AF39" i="1" s="1"/>
  <c r="AH39" i="1"/>
  <c r="AJ39" i="1"/>
  <c r="AK39" i="1" s="1"/>
  <c r="AM39" i="1"/>
  <c r="AO39" i="1"/>
  <c r="AP39" i="1" s="1"/>
  <c r="AS39" i="1"/>
  <c r="AT39" i="1" s="1"/>
  <c r="AW39" i="1"/>
  <c r="AX39" i="1" s="1"/>
  <c r="G40" i="1"/>
  <c r="M40" i="1"/>
  <c r="L40" i="1" s="1"/>
  <c r="N40" i="1"/>
  <c r="O40" i="1"/>
  <c r="V40" i="1" s="1"/>
  <c r="P40" i="1"/>
  <c r="X40" i="1"/>
  <c r="Z40" i="1"/>
  <c r="AA40" i="1" s="1"/>
  <c r="AC40" i="1"/>
  <c r="AE40" i="1"/>
  <c r="AF40" i="1" s="1"/>
  <c r="AH40" i="1"/>
  <c r="AJ40" i="1"/>
  <c r="AK40" i="1" s="1"/>
  <c r="AM40" i="1"/>
  <c r="AO40" i="1"/>
  <c r="AP40" i="1" s="1"/>
  <c r="AS40" i="1"/>
  <c r="AT40" i="1" s="1"/>
  <c r="AW40" i="1"/>
  <c r="AX40" i="1" s="1"/>
  <c r="G21" i="1"/>
  <c r="M21" i="1"/>
  <c r="L21" i="1" s="1"/>
  <c r="N21" i="1"/>
  <c r="O21" i="1"/>
  <c r="P21" i="1"/>
  <c r="X21" i="1"/>
  <c r="Z21" i="1"/>
  <c r="AA21" i="1" s="1"/>
  <c r="AC21" i="1"/>
  <c r="AF21" i="1"/>
  <c r="AH21" i="1"/>
  <c r="AJ21" i="1"/>
  <c r="AK21" i="1" s="1"/>
  <c r="AM21" i="1"/>
  <c r="AO21" i="1"/>
  <c r="AP21" i="1" s="1"/>
  <c r="AS21" i="1"/>
  <c r="AT21" i="1" s="1"/>
  <c r="AW21" i="1"/>
  <c r="AX21" i="1" s="1"/>
  <c r="G22" i="1"/>
  <c r="M22" i="1"/>
  <c r="L22" i="1" s="1"/>
  <c r="N22" i="1"/>
  <c r="O22" i="1"/>
  <c r="V22" i="1" s="1"/>
  <c r="P22" i="1"/>
  <c r="X22" i="1"/>
  <c r="Z22" i="1"/>
  <c r="AA22" i="1" s="1"/>
  <c r="AC22" i="1"/>
  <c r="AF22" i="1"/>
  <c r="AH22" i="1"/>
  <c r="AJ22" i="1"/>
  <c r="AK22" i="1" s="1"/>
  <c r="AM22" i="1"/>
  <c r="AO22" i="1"/>
  <c r="AP22" i="1" s="1"/>
  <c r="AS22" i="1"/>
  <c r="AT22" i="1" s="1"/>
  <c r="AW22" i="1"/>
  <c r="AX22" i="1" s="1"/>
  <c r="G23" i="1"/>
  <c r="M23" i="1"/>
  <c r="L23" i="1" s="1"/>
  <c r="N23" i="1"/>
  <c r="O23" i="1"/>
  <c r="V23" i="1" s="1"/>
  <c r="P23" i="1"/>
  <c r="X23" i="1"/>
  <c r="Z23" i="1"/>
  <c r="AA23" i="1" s="1"/>
  <c r="AC23" i="1"/>
  <c r="AF23" i="1"/>
  <c r="AH23" i="1"/>
  <c r="AJ23" i="1"/>
  <c r="AK23" i="1" s="1"/>
  <c r="AM23" i="1"/>
  <c r="AO23" i="1"/>
  <c r="AP23" i="1" s="1"/>
  <c r="AS23" i="1"/>
  <c r="AT23" i="1" s="1"/>
  <c r="AW23" i="1"/>
  <c r="AX23" i="1" s="1"/>
  <c r="G26" i="1"/>
  <c r="M26" i="1"/>
  <c r="L26" i="1" s="1"/>
  <c r="N26" i="1"/>
  <c r="O26" i="1"/>
  <c r="V26" i="1" s="1"/>
  <c r="P26" i="1"/>
  <c r="X26" i="1"/>
  <c r="Z26" i="1"/>
  <c r="AA26" i="1" s="1"/>
  <c r="AC26" i="1"/>
  <c r="AE26" i="1"/>
  <c r="AF26" i="1" s="1"/>
  <c r="AH26" i="1"/>
  <c r="AJ26" i="1"/>
  <c r="AK26" i="1" s="1"/>
  <c r="AM26" i="1"/>
  <c r="AO26" i="1"/>
  <c r="AP26" i="1" s="1"/>
  <c r="AS26" i="1"/>
  <c r="AT26" i="1" s="1"/>
  <c r="AW26" i="1"/>
  <c r="AX26" i="1" s="1"/>
  <c r="G27" i="1"/>
  <c r="M27" i="1"/>
  <c r="L27" i="1" s="1"/>
  <c r="N27" i="1"/>
  <c r="O27" i="1"/>
  <c r="V27" i="1" s="1"/>
  <c r="P27" i="1"/>
  <c r="X27" i="1"/>
  <c r="Z27" i="1"/>
  <c r="AA27" i="1" s="1"/>
  <c r="AC27" i="1"/>
  <c r="AE27" i="1"/>
  <c r="AF27" i="1" s="1"/>
  <c r="AH27" i="1"/>
  <c r="AJ27" i="1"/>
  <c r="AK27" i="1" s="1"/>
  <c r="AM27" i="1"/>
  <c r="AO27" i="1"/>
  <c r="AP27" i="1" s="1"/>
  <c r="AS27" i="1"/>
  <c r="AT27" i="1" s="1"/>
  <c r="AW27" i="1"/>
  <c r="AX27" i="1" s="1"/>
  <c r="G28" i="1"/>
  <c r="M28" i="1"/>
  <c r="L28" i="1" s="1"/>
  <c r="N28" i="1"/>
  <c r="O28" i="1"/>
  <c r="P28" i="1"/>
  <c r="X28" i="1"/>
  <c r="Z28" i="1"/>
  <c r="AA28" i="1" s="1"/>
  <c r="AC28" i="1"/>
  <c r="AE28" i="1"/>
  <c r="AF28" i="1" s="1"/>
  <c r="AH28" i="1"/>
  <c r="AJ28" i="1"/>
  <c r="AK28" i="1" s="1"/>
  <c r="AM28" i="1"/>
  <c r="AO28" i="1"/>
  <c r="AP28" i="1" s="1"/>
  <c r="AS28" i="1"/>
  <c r="AT28" i="1" s="1"/>
  <c r="AW28" i="1"/>
  <c r="AX28" i="1" s="1"/>
  <c r="G29" i="1"/>
  <c r="M29" i="1"/>
  <c r="L29" i="1" s="1"/>
  <c r="N29" i="1"/>
  <c r="O29" i="1"/>
  <c r="P29" i="1"/>
  <c r="X29" i="1"/>
  <c r="Z29" i="1"/>
  <c r="AA29" i="1" s="1"/>
  <c r="AC29" i="1"/>
  <c r="AE29" i="1"/>
  <c r="AF29" i="1" s="1"/>
  <c r="AH29" i="1"/>
  <c r="AJ29" i="1"/>
  <c r="AK29" i="1" s="1"/>
  <c r="AM29" i="1"/>
  <c r="AO29" i="1"/>
  <c r="AP29" i="1" s="1"/>
  <c r="AS29" i="1"/>
  <c r="AT29" i="1" s="1"/>
  <c r="AW29" i="1"/>
  <c r="AX29" i="1" s="1"/>
  <c r="G30" i="1"/>
  <c r="M30" i="1"/>
  <c r="L30" i="1" s="1"/>
  <c r="N30" i="1"/>
  <c r="O30" i="1"/>
  <c r="P30" i="1"/>
  <c r="X30" i="1"/>
  <c r="Z30" i="1"/>
  <c r="AA30" i="1" s="1"/>
  <c r="AC30" i="1"/>
  <c r="AE30" i="1"/>
  <c r="AF30" i="1" s="1"/>
  <c r="AH30" i="1"/>
  <c r="AJ30" i="1"/>
  <c r="AK30" i="1" s="1"/>
  <c r="AM30" i="1"/>
  <c r="AO30" i="1"/>
  <c r="AP30" i="1" s="1"/>
  <c r="AS30" i="1"/>
  <c r="AT30" i="1" s="1"/>
  <c r="AW30" i="1"/>
  <c r="AX30" i="1" s="1"/>
  <c r="G19" i="1"/>
  <c r="M19" i="1"/>
  <c r="L19" i="1" s="1"/>
  <c r="Z19" i="1" s="1"/>
  <c r="N19" i="1"/>
  <c r="O19" i="1"/>
  <c r="P19" i="1"/>
  <c r="X19" i="1"/>
  <c r="AC19" i="1"/>
  <c r="AM19" i="1"/>
  <c r="AS19" i="1"/>
  <c r="AW19" i="1"/>
  <c r="AJ41" i="2"/>
  <c r="AO41" i="2"/>
  <c r="AU41" i="2"/>
  <c r="AY34" i="2"/>
  <c r="H3" i="27"/>
  <c r="G4" i="27"/>
  <c r="I4" i="27"/>
  <c r="G6" i="27"/>
  <c r="I6" i="27"/>
  <c r="N12" i="27"/>
  <c r="Q12" i="27"/>
  <c r="K13" i="27"/>
  <c r="N13" i="27"/>
  <c r="Q13" i="27"/>
  <c r="D29" i="27"/>
  <c r="J30" i="27"/>
  <c r="K30" i="27" s="1"/>
  <c r="Q30" i="27"/>
  <c r="D31" i="27"/>
  <c r="J31" i="27"/>
  <c r="M31" i="27"/>
  <c r="N31" i="27" s="1"/>
  <c r="Q31" i="27"/>
  <c r="I32" i="27"/>
  <c r="J32" i="27"/>
  <c r="M32" i="27"/>
  <c r="Q32" i="27"/>
  <c r="B49" i="6" l="1"/>
  <c r="B52" i="4"/>
  <c r="A47" i="6"/>
  <c r="C46" i="6"/>
  <c r="A50" i="4"/>
  <c r="AO48" i="2"/>
  <c r="AO33" i="2"/>
  <c r="AY43" i="2"/>
  <c r="AY48" i="2"/>
  <c r="AE33" i="2"/>
  <c r="F48" i="2"/>
  <c r="J48" i="2" s="1"/>
  <c r="X31" i="2"/>
  <c r="F31" i="2"/>
  <c r="J31" i="2" s="1"/>
  <c r="AU31" i="2"/>
  <c r="Z33" i="2"/>
  <c r="AY33" i="2"/>
  <c r="F33" i="2"/>
  <c r="K33" i="2" s="1"/>
  <c r="AE48" i="2"/>
  <c r="AU33" i="2"/>
  <c r="Z48" i="2"/>
  <c r="Q39" i="1"/>
  <c r="J32" i="2"/>
  <c r="L32" i="2"/>
  <c r="K32" i="2"/>
  <c r="AO44" i="2"/>
  <c r="AR37" i="2"/>
  <c r="AZ48" i="2"/>
  <c r="AZ31" i="2"/>
  <c r="AZ30" i="2"/>
  <c r="AZ33" i="2"/>
  <c r="AZ32" i="2"/>
  <c r="AZ40" i="2"/>
  <c r="AB46" i="2"/>
  <c r="AJ44" i="2"/>
  <c r="AM37" i="2"/>
  <c r="F28" i="2"/>
  <c r="F38" i="2"/>
  <c r="F15" i="2"/>
  <c r="F25" i="2"/>
  <c r="F13" i="2"/>
  <c r="F14" i="2"/>
  <c r="F19" i="2"/>
  <c r="F27" i="2"/>
  <c r="F49" i="2"/>
  <c r="F23" i="2"/>
  <c r="F47" i="2"/>
  <c r="F29" i="2"/>
  <c r="AB27" i="2"/>
  <c r="AB28" i="2"/>
  <c r="AB29" i="2"/>
  <c r="AB47" i="2"/>
  <c r="AB38" i="2"/>
  <c r="AB49" i="2"/>
  <c r="AB25" i="2"/>
  <c r="AB13" i="2"/>
  <c r="AB23" i="2"/>
  <c r="AB15" i="2"/>
  <c r="AB19" i="2"/>
  <c r="AB14" i="2"/>
  <c r="F44" i="2"/>
  <c r="AB44" i="2"/>
  <c r="AY46" i="2"/>
  <c r="AE44" i="2"/>
  <c r="Z44" i="2"/>
  <c r="K41" i="2"/>
  <c r="L41" i="2"/>
  <c r="J41" i="2"/>
  <c r="AU46" i="2"/>
  <c r="AX19" i="1"/>
  <c r="AY14" i="2"/>
  <c r="AY15" i="2"/>
  <c r="AY13" i="2"/>
  <c r="AY25" i="2"/>
  <c r="AY19" i="2"/>
  <c r="AY23" i="2"/>
  <c r="AY22" i="2"/>
  <c r="AY38" i="2"/>
  <c r="AY47" i="2"/>
  <c r="AY29" i="2"/>
  <c r="AY49" i="2"/>
  <c r="AY28" i="2"/>
  <c r="AY45" i="2"/>
  <c r="AY27" i="2"/>
  <c r="U30" i="2"/>
  <c r="U40" i="2"/>
  <c r="U41" i="2"/>
  <c r="U32" i="2"/>
  <c r="U31" i="2"/>
  <c r="M37" i="2"/>
  <c r="S37" i="2" s="1"/>
  <c r="AG40" i="2"/>
  <c r="AG30" i="2"/>
  <c r="AG32" i="2"/>
  <c r="AU28" i="2"/>
  <c r="AU38" i="2"/>
  <c r="AU15" i="2"/>
  <c r="AU19" i="2"/>
  <c r="AU27" i="2"/>
  <c r="AU29" i="2"/>
  <c r="AU47" i="2"/>
  <c r="AU13" i="2"/>
  <c r="AU25" i="2"/>
  <c r="AU14" i="2"/>
  <c r="AU23" i="2"/>
  <c r="AU49" i="2"/>
  <c r="T32" i="2"/>
  <c r="T40" i="2"/>
  <c r="T30" i="2"/>
  <c r="AH37" i="2"/>
  <c r="AO46" i="2"/>
  <c r="AJ46" i="2"/>
  <c r="AO13" i="2"/>
  <c r="AO23" i="2"/>
  <c r="AO29" i="2"/>
  <c r="AO14" i="2"/>
  <c r="AO27" i="2"/>
  <c r="AO49" i="2"/>
  <c r="AO28" i="2"/>
  <c r="AO19" i="2"/>
  <c r="AO15" i="2"/>
  <c r="AO18" i="2"/>
  <c r="AO25" i="2"/>
  <c r="AO47" i="2"/>
  <c r="AO39" i="2"/>
  <c r="AO38" i="2"/>
  <c r="AQ32" i="2"/>
  <c r="AQ30" i="2"/>
  <c r="AQ40" i="2"/>
  <c r="AV30" i="2"/>
  <c r="AV32" i="2"/>
  <c r="AV40" i="2"/>
  <c r="AE46" i="2"/>
  <c r="AJ27" i="2"/>
  <c r="AJ47" i="2"/>
  <c r="AJ14" i="2"/>
  <c r="AJ15" i="2"/>
  <c r="AJ25" i="2"/>
  <c r="AJ13" i="2"/>
  <c r="AJ18" i="2"/>
  <c r="AJ39" i="2"/>
  <c r="AJ49" i="2"/>
  <c r="AJ23" i="2"/>
  <c r="AJ28" i="2"/>
  <c r="AJ29" i="2"/>
  <c r="AJ38" i="2"/>
  <c r="AJ19" i="2"/>
  <c r="AB32" i="2"/>
  <c r="AB30" i="2"/>
  <c r="AB48" i="2"/>
  <c r="AB41" i="2"/>
  <c r="AB40" i="2"/>
  <c r="AB33" i="2"/>
  <c r="AB31" i="2"/>
  <c r="K30" i="2"/>
  <c r="J30" i="2"/>
  <c r="L30" i="2"/>
  <c r="AU44" i="2"/>
  <c r="Z46" i="2"/>
  <c r="AE18" i="2"/>
  <c r="AE28" i="2"/>
  <c r="AE38" i="2"/>
  <c r="AE15" i="2"/>
  <c r="AE14" i="2"/>
  <c r="AE19" i="2"/>
  <c r="AE27" i="2"/>
  <c r="AE29" i="2"/>
  <c r="AE23" i="2"/>
  <c r="AE13" i="2"/>
  <c r="AE25" i="2"/>
  <c r="AE47" i="2"/>
  <c r="AE49" i="2"/>
  <c r="AE39" i="2"/>
  <c r="AL30" i="2"/>
  <c r="AL40" i="2"/>
  <c r="AL32" i="2"/>
  <c r="AL31" i="2"/>
  <c r="J40" i="2"/>
  <c r="L40" i="2"/>
  <c r="K40" i="2"/>
  <c r="F46" i="2"/>
  <c r="AY44" i="2"/>
  <c r="Z19" i="2"/>
  <c r="Z29" i="2"/>
  <c r="Z39" i="2"/>
  <c r="Z49" i="2"/>
  <c r="Z13" i="2"/>
  <c r="Z28" i="2"/>
  <c r="Z47" i="2"/>
  <c r="Z38" i="2"/>
  <c r="Z15" i="2"/>
  <c r="Z14" i="2"/>
  <c r="Z18" i="2"/>
  <c r="Z25" i="2"/>
  <c r="Z27" i="2"/>
  <c r="Z23" i="2"/>
  <c r="AC37" i="2"/>
  <c r="T41" i="2"/>
  <c r="Q31" i="1"/>
  <c r="Q34" i="1"/>
  <c r="R31" i="1"/>
  <c r="Q22" i="1"/>
  <c r="Q37" i="1"/>
  <c r="R33" i="1"/>
  <c r="Q32" i="1"/>
  <c r="Q26" i="1"/>
  <c r="R29" i="1"/>
  <c r="Q19" i="1"/>
  <c r="R37" i="1"/>
  <c r="R40" i="1"/>
  <c r="R30" i="1"/>
  <c r="V29" i="1"/>
  <c r="R27" i="1"/>
  <c r="Q35" i="1"/>
  <c r="Q40" i="1"/>
  <c r="K6" i="27"/>
  <c r="AZ41" i="2"/>
  <c r="AV41" i="2"/>
  <c r="R35" i="1"/>
  <c r="AA19" i="1"/>
  <c r="AQ41" i="2"/>
  <c r="Q29" i="1"/>
  <c r="R21" i="1"/>
  <c r="Q36" i="1"/>
  <c r="AL41" i="2"/>
  <c r="AT19" i="1"/>
  <c r="R34" i="1"/>
  <c r="AG41" i="2"/>
  <c r="V33" i="1"/>
  <c r="Q27" i="1"/>
  <c r="D35" i="27"/>
  <c r="R12" i="27"/>
  <c r="K32" i="27"/>
  <c r="K4" i="27"/>
  <c r="K31" i="27"/>
  <c r="N32" i="27"/>
  <c r="R32" i="27" s="1"/>
  <c r="N30" i="27"/>
  <c r="R30" i="27" s="1"/>
  <c r="E29" i="27" s="1"/>
  <c r="R31" i="27"/>
  <c r="R13" i="27"/>
  <c r="H6" i="27"/>
  <c r="H4" i="27"/>
  <c r="X41" i="2"/>
  <c r="R22" i="1"/>
  <c r="R19" i="1"/>
  <c r="R28" i="1"/>
  <c r="R39" i="1"/>
  <c r="AO19" i="1"/>
  <c r="Q30" i="1"/>
  <c r="Q21" i="1"/>
  <c r="R36" i="1"/>
  <c r="Q23" i="1"/>
  <c r="R38" i="1"/>
  <c r="V37" i="1"/>
  <c r="Q28" i="1"/>
  <c r="AJ19" i="1"/>
  <c r="R23" i="1"/>
  <c r="R32" i="1"/>
  <c r="Q38" i="1"/>
  <c r="V34" i="1"/>
  <c r="V32" i="1"/>
  <c r="V30" i="1"/>
  <c r="V21" i="1"/>
  <c r="V28" i="1"/>
  <c r="R26" i="1"/>
  <c r="V19" i="1"/>
  <c r="X46" i="2" s="1"/>
  <c r="B50" i="6" l="1"/>
  <c r="B53" i="4"/>
  <c r="C47" i="6"/>
  <c r="A48" i="6"/>
  <c r="A51" i="4"/>
  <c r="L31" i="2"/>
  <c r="K31" i="2"/>
  <c r="AG33" i="2"/>
  <c r="AV33" i="2"/>
  <c r="AQ33" i="2"/>
  <c r="J33" i="2"/>
  <c r="L33" i="2"/>
  <c r="AQ48" i="2"/>
  <c r="AL48" i="2"/>
  <c r="AV48" i="2"/>
  <c r="U33" i="2"/>
  <c r="T33" i="2"/>
  <c r="U48" i="2"/>
  <c r="X33" i="2"/>
  <c r="X48" i="2"/>
  <c r="AG48" i="2"/>
  <c r="AV31" i="2"/>
  <c r="AL33" i="2"/>
  <c r="L48" i="2"/>
  <c r="AG31" i="2"/>
  <c r="K48" i="2"/>
  <c r="T48" i="2"/>
  <c r="T31" i="2"/>
  <c r="AQ31" i="2"/>
  <c r="K7" i="27"/>
  <c r="E15" i="27" s="1"/>
  <c r="U44" i="2"/>
  <c r="C14" i="3" s="1"/>
  <c r="M40" i="2"/>
  <c r="S40" i="2" s="1"/>
  <c r="K49" i="2"/>
  <c r="L49" i="2"/>
  <c r="J49" i="2"/>
  <c r="AG44" i="2"/>
  <c r="AZ46" i="2"/>
  <c r="AZ27" i="2"/>
  <c r="AZ47" i="2"/>
  <c r="AZ14" i="2"/>
  <c r="AZ15" i="2"/>
  <c r="AZ13" i="2"/>
  <c r="AZ25" i="2"/>
  <c r="AZ23" i="2"/>
  <c r="AZ38" i="2"/>
  <c r="AZ49" i="2"/>
  <c r="AZ19" i="2"/>
  <c r="AZ28" i="2"/>
  <c r="AZ29" i="2"/>
  <c r="J15" i="2"/>
  <c r="L15" i="2"/>
  <c r="K15" i="2"/>
  <c r="U27" i="2"/>
  <c r="U47" i="2"/>
  <c r="U14" i="2"/>
  <c r="U23" i="2"/>
  <c r="U29" i="2"/>
  <c r="U15" i="2"/>
  <c r="U49" i="2"/>
  <c r="U19" i="2"/>
  <c r="U28" i="2"/>
  <c r="U38" i="2"/>
  <c r="U25" i="2"/>
  <c r="C15" i="3" s="1"/>
  <c r="U13" i="2"/>
  <c r="AC46" i="2"/>
  <c r="AC15" i="2"/>
  <c r="AC25" i="2"/>
  <c r="AC19" i="2"/>
  <c r="AC29" i="2"/>
  <c r="AC49" i="2"/>
  <c r="AC27" i="2"/>
  <c r="AC28" i="2"/>
  <c r="AC47" i="2"/>
  <c r="AC38" i="2"/>
  <c r="AC13" i="2"/>
  <c r="O20" i="3" s="1"/>
  <c r="AC23" i="2"/>
  <c r="AC14" i="2"/>
  <c r="J44" i="2"/>
  <c r="I14" i="3" s="1"/>
  <c r="K44" i="2"/>
  <c r="H14" i="3" s="1"/>
  <c r="L44" i="2"/>
  <c r="G14" i="3" s="1"/>
  <c r="BA37" i="2"/>
  <c r="U46" i="2"/>
  <c r="M41" i="2"/>
  <c r="S41" i="2" s="1"/>
  <c r="AQ19" i="2"/>
  <c r="AQ29" i="2"/>
  <c r="AQ49" i="2"/>
  <c r="AQ38" i="2"/>
  <c r="AQ23" i="2"/>
  <c r="AQ28" i="2"/>
  <c r="AQ15" i="2"/>
  <c r="AQ14" i="2"/>
  <c r="AQ27" i="2"/>
  <c r="AQ47" i="2"/>
  <c r="AQ25" i="2"/>
  <c r="AQ13" i="2"/>
  <c r="AC30" i="2"/>
  <c r="AC31" i="2"/>
  <c r="AC32" i="2"/>
  <c r="AC41" i="2"/>
  <c r="AC40" i="2"/>
  <c r="AC48" i="2"/>
  <c r="AC33" i="2"/>
  <c r="AV44" i="2"/>
  <c r="J19" i="2"/>
  <c r="L19" i="2"/>
  <c r="K19" i="2"/>
  <c r="X13" i="2"/>
  <c r="X49" i="2"/>
  <c r="X23" i="2"/>
  <c r="X38" i="2"/>
  <c r="X47" i="2"/>
  <c r="X28" i="2"/>
  <c r="X29" i="2"/>
  <c r="X19" i="2"/>
  <c r="X14" i="2"/>
  <c r="X27" i="2"/>
  <c r="X25" i="2"/>
  <c r="X15" i="2"/>
  <c r="J14" i="2"/>
  <c r="L14" i="2"/>
  <c r="K14" i="2"/>
  <c r="AG15" i="2"/>
  <c r="AG25" i="2"/>
  <c r="AG13" i="2"/>
  <c r="AG14" i="2"/>
  <c r="AG19" i="2"/>
  <c r="AG27" i="2"/>
  <c r="AG23" i="2"/>
  <c r="AG38" i="2"/>
  <c r="AG47" i="2"/>
  <c r="AG29" i="2"/>
  <c r="AG28" i="2"/>
  <c r="AG49" i="2"/>
  <c r="AC44" i="2"/>
  <c r="T46" i="2"/>
  <c r="K25" i="2"/>
  <c r="H15" i="3" s="1"/>
  <c r="J25" i="2"/>
  <c r="I15" i="3" s="1"/>
  <c r="L25" i="2"/>
  <c r="G15" i="3" s="1"/>
  <c r="AQ44" i="2"/>
  <c r="T44" i="2"/>
  <c r="B14" i="3" s="1"/>
  <c r="H54" i="24" s="1"/>
  <c r="AQ46" i="2"/>
  <c r="AL23" i="2"/>
  <c r="AL15" i="2"/>
  <c r="AL19" i="2"/>
  <c r="AL27" i="2"/>
  <c r="AL25" i="2"/>
  <c r="AL14" i="2"/>
  <c r="AL49" i="2"/>
  <c r="AL13" i="2"/>
  <c r="AL47" i="2"/>
  <c r="AL29" i="2"/>
  <c r="AL38" i="2"/>
  <c r="AL28" i="2"/>
  <c r="AM31" i="2"/>
  <c r="AM41" i="2"/>
  <c r="AM32" i="2"/>
  <c r="AM40" i="2"/>
  <c r="AM30" i="2"/>
  <c r="X44" i="2"/>
  <c r="AH48" i="2"/>
  <c r="AH32" i="2"/>
  <c r="AH30" i="2"/>
  <c r="AH40" i="2"/>
  <c r="AH31" i="2"/>
  <c r="AH41" i="2"/>
  <c r="K47" i="2"/>
  <c r="L47" i="2"/>
  <c r="J47" i="2"/>
  <c r="AG46" i="2"/>
  <c r="AV46" i="2"/>
  <c r="AV28" i="2"/>
  <c r="AV38" i="2"/>
  <c r="AV15" i="2"/>
  <c r="AV25" i="2"/>
  <c r="AV19" i="2"/>
  <c r="AV29" i="2"/>
  <c r="AV27" i="2"/>
  <c r="AV13" i="2"/>
  <c r="AV47" i="2"/>
  <c r="AV23" i="2"/>
  <c r="AV49" i="2"/>
  <c r="AV14" i="2"/>
  <c r="K13" i="2"/>
  <c r="L13" i="2"/>
  <c r="J13" i="2"/>
  <c r="AR32" i="2"/>
  <c r="AR30" i="2"/>
  <c r="AR40" i="2"/>
  <c r="AR31" i="2"/>
  <c r="J29" i="2"/>
  <c r="K29" i="2"/>
  <c r="L29" i="2"/>
  <c r="K28" i="2"/>
  <c r="J28" i="2"/>
  <c r="L28" i="2"/>
  <c r="AZ44" i="2"/>
  <c r="AL44" i="2"/>
  <c r="K27" i="2"/>
  <c r="J27" i="2"/>
  <c r="L27" i="2"/>
  <c r="J38" i="2"/>
  <c r="L38" i="2"/>
  <c r="K38" i="2"/>
  <c r="AL46" i="2"/>
  <c r="K46" i="2"/>
  <c r="L46" i="2"/>
  <c r="J46" i="2"/>
  <c r="M32" i="2"/>
  <c r="S32" i="2" s="1"/>
  <c r="T27" i="2"/>
  <c r="T47" i="2"/>
  <c r="T14" i="2"/>
  <c r="T25" i="2"/>
  <c r="B15" i="3" s="1"/>
  <c r="H60" i="24" s="1"/>
  <c r="T19" i="2"/>
  <c r="T28" i="2"/>
  <c r="T49" i="2"/>
  <c r="T15" i="2"/>
  <c r="T23" i="2"/>
  <c r="T38" i="2"/>
  <c r="T29" i="2"/>
  <c r="T13" i="2"/>
  <c r="M30" i="2"/>
  <c r="S30" i="2" s="1"/>
  <c r="J23" i="2"/>
  <c r="K23" i="2"/>
  <c r="L23" i="2"/>
  <c r="AR41" i="2"/>
  <c r="AF19" i="1"/>
  <c r="AP19" i="1"/>
  <c r="AK19" i="1"/>
  <c r="E12" i="27"/>
  <c r="E17" i="27" s="1"/>
  <c r="E31" i="27"/>
  <c r="E35" i="27" s="1"/>
  <c r="D54" i="24" l="1"/>
  <c r="D60" i="24"/>
  <c r="T14" i="3"/>
  <c r="T15" i="3"/>
  <c r="M31" i="2"/>
  <c r="S31" i="2" s="1"/>
  <c r="M33" i="2"/>
  <c r="S33" i="2" s="1"/>
  <c r="B51" i="6"/>
  <c r="B54" i="4"/>
  <c r="A49" i="6"/>
  <c r="C48" i="6"/>
  <c r="A52" i="4"/>
  <c r="M48" i="2"/>
  <c r="S48" i="2" s="1"/>
  <c r="AR33" i="2"/>
  <c r="AR48" i="2"/>
  <c r="AM33" i="2"/>
  <c r="AH33" i="2"/>
  <c r="AM48" i="2"/>
  <c r="BA48" i="2" s="1"/>
  <c r="M38" i="2"/>
  <c r="S38" i="2" s="1"/>
  <c r="M29" i="2"/>
  <c r="S29" i="2" s="1"/>
  <c r="BA40" i="2"/>
  <c r="M13" i="2"/>
  <c r="S13" i="2" s="1"/>
  <c r="M47" i="2"/>
  <c r="S47" i="2" s="1"/>
  <c r="M28" i="2"/>
  <c r="S28" i="2" s="1"/>
  <c r="M27" i="2"/>
  <c r="S27" i="2" s="1"/>
  <c r="M25" i="2"/>
  <c r="S25" i="2" s="1"/>
  <c r="BA41" i="2"/>
  <c r="M49" i="2"/>
  <c r="S49" i="2" s="1"/>
  <c r="M14" i="2"/>
  <c r="S14" i="2" s="1"/>
  <c r="BA32" i="2"/>
  <c r="AH14" i="2"/>
  <c r="AH28" i="2"/>
  <c r="AH38" i="2"/>
  <c r="AH15" i="2"/>
  <c r="AH25" i="2"/>
  <c r="M15" i="3" s="1"/>
  <c r="AH19" i="2"/>
  <c r="AH13" i="2"/>
  <c r="AH27" i="2"/>
  <c r="AH23" i="2"/>
  <c r="AH49" i="2"/>
  <c r="AH29" i="2"/>
  <c r="AH47" i="2"/>
  <c r="M46" i="2"/>
  <c r="S46" i="2" s="1"/>
  <c r="AM44" i="2"/>
  <c r="N14" i="3" s="1"/>
  <c r="AR28" i="2"/>
  <c r="AR29" i="2"/>
  <c r="AR47" i="2"/>
  <c r="AR38" i="2"/>
  <c r="AR49" i="2"/>
  <c r="AR23" i="2"/>
  <c r="AR19" i="2"/>
  <c r="AR15" i="2"/>
  <c r="AR14" i="2"/>
  <c r="AR25" i="2"/>
  <c r="AR27" i="2"/>
  <c r="AR13" i="2"/>
  <c r="AR46" i="2"/>
  <c r="M19" i="2"/>
  <c r="S19" i="2" s="1"/>
  <c r="M15" i="2"/>
  <c r="S15" i="2" s="1"/>
  <c r="AM13" i="2"/>
  <c r="AM23" i="2"/>
  <c r="AM27" i="2"/>
  <c r="AM47" i="2"/>
  <c r="AM28" i="2"/>
  <c r="AM15" i="2"/>
  <c r="AM19" i="2"/>
  <c r="AM14" i="2"/>
  <c r="AM49" i="2"/>
  <c r="AM29" i="2"/>
  <c r="AM25" i="2"/>
  <c r="N15" i="3" s="1"/>
  <c r="AM38" i="2"/>
  <c r="AR44" i="2"/>
  <c r="BA31" i="2"/>
  <c r="AH44" i="2"/>
  <c r="M14" i="3" s="1"/>
  <c r="M23" i="2"/>
  <c r="S23" i="2" s="1"/>
  <c r="AM46" i="2"/>
  <c r="AH46" i="2"/>
  <c r="M44" i="2"/>
  <c r="S44" i="2" s="1"/>
  <c r="BA30" i="2"/>
  <c r="B3" i="25"/>
  <c r="B4" i="25"/>
  <c r="B5" i="25"/>
  <c r="B4" i="24"/>
  <c r="B5" i="24"/>
  <c r="D11" i="24"/>
  <c r="N11" i="24"/>
  <c r="E11" i="24" s="1"/>
  <c r="AF11" i="24"/>
  <c r="AG11" i="24"/>
  <c r="AH11" i="24"/>
  <c r="D12" i="24"/>
  <c r="N12" i="24"/>
  <c r="E12" i="24" s="1"/>
  <c r="AF12" i="24"/>
  <c r="AG12" i="24"/>
  <c r="AH12" i="24"/>
  <c r="N13" i="24"/>
  <c r="D14" i="24"/>
  <c r="N14" i="24"/>
  <c r="AF14" i="24"/>
  <c r="AG14" i="24"/>
  <c r="AH14" i="24"/>
  <c r="D16" i="24"/>
  <c r="N16" i="24"/>
  <c r="AF16" i="24"/>
  <c r="AG16" i="24"/>
  <c r="AH16" i="24"/>
  <c r="D18" i="24"/>
  <c r="N18" i="24"/>
  <c r="O18" i="24" s="1"/>
  <c r="AF18" i="24"/>
  <c r="AG18" i="24"/>
  <c r="AH18" i="24"/>
  <c r="N24" i="24"/>
  <c r="E24" i="24" s="1"/>
  <c r="AF24" i="24"/>
  <c r="AG24" i="24"/>
  <c r="AH24" i="24"/>
  <c r="D26" i="24"/>
  <c r="N26" i="24"/>
  <c r="E26" i="24" s="1"/>
  <c r="D231" i="24"/>
  <c r="N231" i="24"/>
  <c r="E231" i="24" s="1"/>
  <c r="K244" i="24"/>
  <c r="AF244" i="24"/>
  <c r="AG244" i="24"/>
  <c r="AH244" i="24"/>
  <c r="AF246" i="24"/>
  <c r="AG246" i="24"/>
  <c r="AH246" i="24"/>
  <c r="AF247" i="24"/>
  <c r="AG247" i="24"/>
  <c r="AH247" i="24"/>
  <c r="AF248" i="24"/>
  <c r="AG248" i="24"/>
  <c r="AH248" i="24"/>
  <c r="D270" i="24"/>
  <c r="AF270" i="24"/>
  <c r="AG270" i="24"/>
  <c r="AH270" i="24"/>
  <c r="D271" i="24"/>
  <c r="AF271" i="24"/>
  <c r="AG271" i="24"/>
  <c r="AH271" i="24"/>
  <c r="D272" i="24"/>
  <c r="AF272" i="24"/>
  <c r="AG272" i="24"/>
  <c r="AH272" i="24"/>
  <c r="D274" i="24"/>
  <c r="L29" i="23"/>
  <c r="L30" i="23"/>
  <c r="B2" i="22"/>
  <c r="B3" i="22"/>
  <c r="B4" i="22"/>
  <c r="B9" i="22"/>
  <c r="B14" i="22"/>
  <c r="E212" i="20"/>
  <c r="F212" i="20" s="1"/>
  <c r="F217" i="20" s="1"/>
  <c r="R145" i="24" s="1"/>
  <c r="E299" i="20"/>
  <c r="A17" i="21"/>
  <c r="A10" i="21" s="1"/>
  <c r="A18" i="21" s="1"/>
  <c r="A19" i="21" s="1"/>
  <c r="A20" i="21" s="1"/>
  <c r="A14" i="21" s="1"/>
  <c r="A22" i="21" s="1"/>
  <c r="A23" i="21" s="1"/>
  <c r="A24" i="21" s="1"/>
  <c r="A25" i="21" s="1"/>
  <c r="A26" i="21" s="1"/>
  <c r="A27" i="21" s="1"/>
  <c r="A11" i="21" s="1"/>
  <c r="A12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52" i="21" s="1"/>
  <c r="A53" i="21" s="1"/>
  <c r="M34" i="21"/>
  <c r="G34" i="21" s="1"/>
  <c r="H35" i="21"/>
  <c r="M35" i="21"/>
  <c r="G35" i="21" s="1"/>
  <c r="H36" i="21"/>
  <c r="M36" i="21"/>
  <c r="H37" i="21"/>
  <c r="M37" i="21"/>
  <c r="G37" i="21" s="1"/>
  <c r="M38" i="21"/>
  <c r="G38" i="21" s="1"/>
  <c r="G53" i="21"/>
  <c r="E126" i="20" s="1"/>
  <c r="F126" i="20" s="1"/>
  <c r="A56" i="21"/>
  <c r="A72" i="21"/>
  <c r="A73" i="21"/>
  <c r="A74" i="21"/>
  <c r="A75" i="21"/>
  <c r="A77" i="21" s="1"/>
  <c r="A79" i="21" s="1"/>
  <c r="A80" i="21" s="1"/>
  <c r="A81" i="21" s="1"/>
  <c r="N80" i="21"/>
  <c r="G87" i="21"/>
  <c r="G96" i="21"/>
  <c r="G97" i="21"/>
  <c r="J274" i="24" s="1"/>
  <c r="G98" i="21"/>
  <c r="G99" i="21"/>
  <c r="O10" i="20"/>
  <c r="P10" i="20" s="1"/>
  <c r="E15" i="20" s="1"/>
  <c r="O11" i="20"/>
  <c r="P11" i="20" s="1"/>
  <c r="E42" i="20" s="1"/>
  <c r="O12" i="20"/>
  <c r="P12" i="20" s="1"/>
  <c r="E28" i="20" s="1"/>
  <c r="F28" i="20" s="1"/>
  <c r="O13" i="20"/>
  <c r="P13" i="20" s="1"/>
  <c r="E40" i="20" s="1"/>
  <c r="F40" i="20" s="1"/>
  <c r="O14" i="20"/>
  <c r="P14" i="20" s="1"/>
  <c r="P15" i="20"/>
  <c r="E16" i="20" s="1"/>
  <c r="E29" i="20" s="1"/>
  <c r="B17" i="20"/>
  <c r="F17" i="20" s="1"/>
  <c r="J17" i="20"/>
  <c r="F18" i="20"/>
  <c r="G19" i="20"/>
  <c r="G20" i="20" s="1"/>
  <c r="I20" i="20" s="1"/>
  <c r="G30" i="20"/>
  <c r="G31" i="20"/>
  <c r="I31" i="20" s="1"/>
  <c r="I32" i="20" s="1"/>
  <c r="I33" i="20" s="1"/>
  <c r="I34" i="20" s="1"/>
  <c r="K40" i="20"/>
  <c r="P40" i="20"/>
  <c r="K41" i="20"/>
  <c r="P41" i="20"/>
  <c r="J42" i="20"/>
  <c r="P42" i="20"/>
  <c r="K43" i="20"/>
  <c r="P43" i="20"/>
  <c r="E44" i="20"/>
  <c r="F44" i="20" s="1"/>
  <c r="F45" i="20"/>
  <c r="F46" i="20"/>
  <c r="B47" i="20"/>
  <c r="B48" i="20" s="1"/>
  <c r="G48" i="20" s="1"/>
  <c r="P47" i="20"/>
  <c r="P48" i="20"/>
  <c r="L49" i="20"/>
  <c r="L50" i="20" s="1"/>
  <c r="P50" i="20" s="1"/>
  <c r="K55" i="20"/>
  <c r="K56" i="20"/>
  <c r="P56" i="20"/>
  <c r="J57" i="20"/>
  <c r="P57" i="20"/>
  <c r="K58" i="20"/>
  <c r="P58" i="20"/>
  <c r="E60" i="20"/>
  <c r="E76" i="20" s="1"/>
  <c r="E61" i="20"/>
  <c r="E77" i="20" s="1"/>
  <c r="F77" i="20" s="1"/>
  <c r="B62" i="20"/>
  <c r="B63" i="20" s="1"/>
  <c r="G63" i="20" s="1"/>
  <c r="P62" i="20"/>
  <c r="P63" i="20"/>
  <c r="P64" i="20"/>
  <c r="L65" i="20"/>
  <c r="L66" i="20" s="1"/>
  <c r="P66" i="20" s="1"/>
  <c r="P65" i="20"/>
  <c r="O71" i="20"/>
  <c r="P71" i="20" s="1"/>
  <c r="O72" i="20"/>
  <c r="P72" i="20" s="1"/>
  <c r="O73" i="20"/>
  <c r="O86" i="20" s="1"/>
  <c r="P86" i="20" s="1"/>
  <c r="L74" i="20"/>
  <c r="P74" i="20" s="1"/>
  <c r="B78" i="20"/>
  <c r="B79" i="20" s="1"/>
  <c r="E78" i="20"/>
  <c r="P78" i="20"/>
  <c r="E79" i="20"/>
  <c r="P79" i="20"/>
  <c r="P85" i="20"/>
  <c r="P87" i="20"/>
  <c r="B93" i="20"/>
  <c r="E93" i="20"/>
  <c r="E94" i="20"/>
  <c r="E102" i="20"/>
  <c r="F102" i="20" s="1"/>
  <c r="B103" i="20"/>
  <c r="E103" i="20"/>
  <c r="B104" i="20"/>
  <c r="E104" i="20"/>
  <c r="B105" i="20"/>
  <c r="E105" i="20"/>
  <c r="G107" i="20"/>
  <c r="H107" i="20"/>
  <c r="E125" i="20"/>
  <c r="F125" i="20" s="1"/>
  <c r="E128" i="20"/>
  <c r="F128" i="20" s="1"/>
  <c r="B129" i="20"/>
  <c r="E129" i="20"/>
  <c r="G131" i="20"/>
  <c r="G132" i="20" s="1"/>
  <c r="H131" i="20"/>
  <c r="H132" i="20" s="1"/>
  <c r="E135" i="20"/>
  <c r="F135" i="20" s="1"/>
  <c r="E138" i="20"/>
  <c r="F138" i="20" s="1"/>
  <c r="E139" i="20"/>
  <c r="F139" i="20" s="1"/>
  <c r="G142" i="20"/>
  <c r="G143" i="20"/>
  <c r="E146" i="20"/>
  <c r="F146" i="20" s="1"/>
  <c r="E148" i="20"/>
  <c r="F148" i="20" s="1"/>
  <c r="B149" i="20"/>
  <c r="E149" i="20"/>
  <c r="G152" i="20"/>
  <c r="G153" i="20" s="1"/>
  <c r="E156" i="20"/>
  <c r="F156" i="20" s="1"/>
  <c r="E158" i="20"/>
  <c r="F158" i="20" s="1"/>
  <c r="B159" i="20"/>
  <c r="E159" i="20"/>
  <c r="G161" i="20"/>
  <c r="G162" i="20" s="1"/>
  <c r="H161" i="20"/>
  <c r="H162" i="20" s="1"/>
  <c r="E165" i="20"/>
  <c r="F165" i="20" s="1"/>
  <c r="F168" i="20" s="1"/>
  <c r="H174" i="20"/>
  <c r="E175" i="20"/>
  <c r="G175" i="20" s="1"/>
  <c r="G177" i="20" s="1"/>
  <c r="H182" i="20"/>
  <c r="H190" i="20"/>
  <c r="E196" i="20"/>
  <c r="F196" i="20" s="1"/>
  <c r="F201" i="20" s="1"/>
  <c r="H198" i="20"/>
  <c r="E199" i="20"/>
  <c r="H206" i="20"/>
  <c r="E207" i="20"/>
  <c r="G207" i="20" s="1"/>
  <c r="G209" i="20" s="1"/>
  <c r="S124" i="24" s="1"/>
  <c r="AG124" i="24" s="1"/>
  <c r="J124" i="24" s="1"/>
  <c r="H214" i="20"/>
  <c r="H222" i="20"/>
  <c r="E223" i="20"/>
  <c r="G223" i="20" s="1"/>
  <c r="G225" i="20" s="1"/>
  <c r="E229" i="20"/>
  <c r="F229" i="20" s="1"/>
  <c r="F230" i="20"/>
  <c r="B231" i="20"/>
  <c r="E231" i="20"/>
  <c r="G233" i="20"/>
  <c r="H233" i="20"/>
  <c r="E236" i="20"/>
  <c r="F236" i="20" s="1"/>
  <c r="E237" i="20"/>
  <c r="G239" i="20"/>
  <c r="E243" i="20"/>
  <c r="G245" i="20"/>
  <c r="B248" i="20"/>
  <c r="E248" i="20"/>
  <c r="B254" i="20"/>
  <c r="B255" i="20" s="1"/>
  <c r="E254" i="20"/>
  <c r="E260" i="20"/>
  <c r="F260" i="20"/>
  <c r="E261" i="20"/>
  <c r="F261" i="20" s="1"/>
  <c r="E262" i="20"/>
  <c r="F262" i="20" s="1"/>
  <c r="H265" i="20"/>
  <c r="E268" i="20"/>
  <c r="F268" i="20" s="1"/>
  <c r="E269" i="20"/>
  <c r="F269" i="20" s="1"/>
  <c r="E270" i="20"/>
  <c r="F270" i="20" s="1"/>
  <c r="E271" i="20"/>
  <c r="F271" i="20" s="1"/>
  <c r="E272" i="20"/>
  <c r="F272" i="20" s="1"/>
  <c r="H275" i="20"/>
  <c r="E279" i="20"/>
  <c r="G280" i="20"/>
  <c r="G282" i="20" s="1"/>
  <c r="J22" i="25" s="1"/>
  <c r="H282" i="20"/>
  <c r="E286" i="20"/>
  <c r="F286" i="20" s="1"/>
  <c r="G287" i="20"/>
  <c r="G289" i="20" s="1"/>
  <c r="G314" i="20" s="1"/>
  <c r="H289" i="20"/>
  <c r="B292" i="20"/>
  <c r="E293" i="20"/>
  <c r="G294" i="20"/>
  <c r="G296" i="20" s="1"/>
  <c r="H296" i="20"/>
  <c r="B299" i="20"/>
  <c r="E300" i="20"/>
  <c r="G301" i="20"/>
  <c r="G303" i="20" s="1"/>
  <c r="H303" i="20"/>
  <c r="B306" i="20"/>
  <c r="E306" i="20"/>
  <c r="B307" i="20"/>
  <c r="E307" i="20"/>
  <c r="B308" i="20"/>
  <c r="E308" i="20"/>
  <c r="G309" i="20"/>
  <c r="G311" i="20" s="1"/>
  <c r="G315" i="20" s="1"/>
  <c r="H311" i="20"/>
  <c r="G316" i="20"/>
  <c r="H318" i="20"/>
  <c r="E322" i="20"/>
  <c r="F322" i="20" s="1"/>
  <c r="F325" i="20" s="1"/>
  <c r="G323" i="20"/>
  <c r="G325" i="20" s="1"/>
  <c r="E328" i="20"/>
  <c r="F328" i="20" s="1"/>
  <c r="E329" i="20"/>
  <c r="F329" i="20" s="1"/>
  <c r="G330" i="20"/>
  <c r="G332" i="20"/>
  <c r="E335" i="20"/>
  <c r="F335" i="20" s="1"/>
  <c r="B336" i="20"/>
  <c r="E336" i="20"/>
  <c r="B337" i="20"/>
  <c r="E337" i="20"/>
  <c r="E338" i="20"/>
  <c r="G338" i="20" s="1"/>
  <c r="G340" i="20" s="1"/>
  <c r="B343" i="20"/>
  <c r="B344" i="20"/>
  <c r="E344" i="20"/>
  <c r="B345" i="20"/>
  <c r="E345" i="20"/>
  <c r="B346" i="20"/>
  <c r="E346" i="20"/>
  <c r="B352" i="20"/>
  <c r="B353" i="20"/>
  <c r="E353" i="20"/>
  <c r="B354" i="20"/>
  <c r="E354" i="20"/>
  <c r="B355" i="20"/>
  <c r="E355" i="20"/>
  <c r="B361" i="20"/>
  <c r="B362" i="20"/>
  <c r="E362" i="20"/>
  <c r="B363" i="20"/>
  <c r="E363" i="20"/>
  <c r="F363" i="20" s="1"/>
  <c r="B364" i="20"/>
  <c r="E364" i="20"/>
  <c r="B370" i="20"/>
  <c r="B371" i="20"/>
  <c r="F371" i="20" s="1"/>
  <c r="E371" i="20"/>
  <c r="B372" i="20"/>
  <c r="E372" i="20"/>
  <c r="B373" i="20"/>
  <c r="E373" i="20"/>
  <c r="B379" i="20"/>
  <c r="B380" i="20"/>
  <c r="E380" i="20"/>
  <c r="B381" i="20"/>
  <c r="E381" i="20"/>
  <c r="B382" i="20"/>
  <c r="E382" i="20"/>
  <c r="B388" i="20"/>
  <c r="B389" i="20"/>
  <c r="E389" i="20"/>
  <c r="F389" i="20" s="1"/>
  <c r="B390" i="20"/>
  <c r="E390" i="20"/>
  <c r="B391" i="20"/>
  <c r="E391" i="20"/>
  <c r="B397" i="20"/>
  <c r="B398" i="20"/>
  <c r="E398" i="20"/>
  <c r="B399" i="20"/>
  <c r="E399" i="20"/>
  <c r="B400" i="20"/>
  <c r="E400" i="20"/>
  <c r="B415" i="20"/>
  <c r="B451" i="20" s="1"/>
  <c r="E415" i="20"/>
  <c r="E433" i="20" s="1"/>
  <c r="B416" i="20"/>
  <c r="E416" i="20"/>
  <c r="F416" i="20" s="1"/>
  <c r="B417" i="20"/>
  <c r="E417" i="20"/>
  <c r="E435" i="20" s="1"/>
  <c r="E462" i="20" s="1"/>
  <c r="F462" i="20" s="1"/>
  <c r="E419" i="20"/>
  <c r="G419" i="20" s="1"/>
  <c r="E424" i="20"/>
  <c r="B425" i="20"/>
  <c r="E425" i="20"/>
  <c r="B426" i="20"/>
  <c r="E426" i="20"/>
  <c r="E428" i="20"/>
  <c r="G428" i="20" s="1"/>
  <c r="B433" i="20"/>
  <c r="B469" i="20" s="1"/>
  <c r="B434" i="20"/>
  <c r="B435" i="20"/>
  <c r="B452" i="20"/>
  <c r="B453" i="20"/>
  <c r="B470" i="20"/>
  <c r="B471" i="20"/>
  <c r="B478" i="20"/>
  <c r="E478" i="20"/>
  <c r="B479" i="20"/>
  <c r="B495" i="20" s="1"/>
  <c r="E479" i="20"/>
  <c r="E486" i="20"/>
  <c r="E487" i="20"/>
  <c r="B494" i="20"/>
  <c r="E494" i="20"/>
  <c r="F494" i="20"/>
  <c r="E495" i="20"/>
  <c r="F495" i="20" s="1"/>
  <c r="E503" i="20"/>
  <c r="F503" i="20" s="1"/>
  <c r="F506" i="20" s="1"/>
  <c r="B509" i="20"/>
  <c r="E509" i="20"/>
  <c r="E516" i="20"/>
  <c r="F516" i="20" s="1"/>
  <c r="E517" i="20"/>
  <c r="F517" i="20" s="1"/>
  <c r="B525" i="20"/>
  <c r="E525" i="20"/>
  <c r="E531" i="20"/>
  <c r="F531" i="20" s="1"/>
  <c r="E532" i="20"/>
  <c r="F532" i="20" s="1"/>
  <c r="B540" i="20"/>
  <c r="B546" i="20"/>
  <c r="E547" i="20"/>
  <c r="G547" i="20" s="1"/>
  <c r="G549" i="20" s="1"/>
  <c r="B552" i="20"/>
  <c r="B553" i="20"/>
  <c r="E553" i="20"/>
  <c r="B554" i="20"/>
  <c r="B560" i="20"/>
  <c r="B561" i="20"/>
  <c r="E561" i="20"/>
  <c r="B562" i="20"/>
  <c r="B568" i="20"/>
  <c r="B574" i="20"/>
  <c r="B575" i="20"/>
  <c r="E575" i="20"/>
  <c r="B576" i="20"/>
  <c r="B582" i="20"/>
  <c r="B583" i="20"/>
  <c r="E583" i="20"/>
  <c r="B584" i="20"/>
  <c r="B590" i="20"/>
  <c r="B591" i="20"/>
  <c r="E591" i="20"/>
  <c r="B592" i="20"/>
  <c r="B598" i="20"/>
  <c r="B604" i="20"/>
  <c r="B605" i="20"/>
  <c r="E605" i="20"/>
  <c r="B606" i="20"/>
  <c r="B612" i="20"/>
  <c r="B613" i="20"/>
  <c r="E613" i="20"/>
  <c r="B614" i="20"/>
  <c r="B620" i="20"/>
  <c r="B621" i="20"/>
  <c r="B622" i="20"/>
  <c r="B623" i="20"/>
  <c r="F623" i="20" s="1"/>
  <c r="B624" i="20"/>
  <c r="B630" i="20"/>
  <c r="B631" i="20"/>
  <c r="B632" i="20"/>
  <c r="B633" i="20"/>
  <c r="F633" i="20" s="1"/>
  <c r="B634" i="20"/>
  <c r="B640" i="20"/>
  <c r="B641" i="20"/>
  <c r="B642" i="20"/>
  <c r="B643" i="20"/>
  <c r="B644" i="20"/>
  <c r="B645" i="20"/>
  <c r="B646" i="20"/>
  <c r="F646" i="20"/>
  <c r="E646" i="20" s="1"/>
  <c r="B647" i="20"/>
  <c r="F647" i="20"/>
  <c r="E647" i="20" s="1"/>
  <c r="B653" i="20"/>
  <c r="B654" i="20"/>
  <c r="B655" i="20"/>
  <c r="B656" i="20"/>
  <c r="B657" i="20"/>
  <c r="B663" i="20"/>
  <c r="B664" i="20"/>
  <c r="B665" i="20"/>
  <c r="B666" i="20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3" i="19" s="1"/>
  <c r="A24" i="19" s="1"/>
  <c r="A25" i="19" s="1"/>
  <c r="A26" i="19" s="1"/>
  <c r="A27" i="19" s="1"/>
  <c r="A28" i="19" s="1"/>
  <c r="D14" i="19"/>
  <c r="D15" i="19"/>
  <c r="D17" i="19"/>
  <c r="E263" i="20" s="1"/>
  <c r="G263" i="20" s="1"/>
  <c r="G265" i="20" s="1"/>
  <c r="D18" i="19"/>
  <c r="D19" i="19"/>
  <c r="D20" i="19"/>
  <c r="D21" i="19"/>
  <c r="E205" i="20" s="1"/>
  <c r="H205" i="20" s="1"/>
  <c r="H209" i="20" s="1"/>
  <c r="T124" i="24" s="1"/>
  <c r="AH124" i="24" s="1"/>
  <c r="K124" i="24" s="1"/>
  <c r="D22" i="19"/>
  <c r="D23" i="19"/>
  <c r="D24" i="19"/>
  <c r="D25" i="19"/>
  <c r="D26" i="19"/>
  <c r="D27" i="19"/>
  <c r="D28" i="19"/>
  <c r="D29" i="19"/>
  <c r="D30" i="19"/>
  <c r="E166" i="20" s="1"/>
  <c r="G166" i="20" s="1"/>
  <c r="G168" i="20" s="1"/>
  <c r="A31" i="19"/>
  <c r="D31" i="19"/>
  <c r="A32" i="19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D32" i="19"/>
  <c r="D33" i="19"/>
  <c r="D34" i="19"/>
  <c r="D35" i="19"/>
  <c r="D36" i="19"/>
  <c r="E392" i="20" s="1"/>
  <c r="G392" i="20" s="1"/>
  <c r="G394" i="20" s="1"/>
  <c r="G463" i="20" s="1"/>
  <c r="D72" i="19"/>
  <c r="D73" i="19"/>
  <c r="D74" i="19"/>
  <c r="D75" i="19"/>
  <c r="E183" i="20"/>
  <c r="G183" i="20" s="1"/>
  <c r="G185" i="20" s="1"/>
  <c r="E191" i="20"/>
  <c r="G191" i="20" s="1"/>
  <c r="G193" i="20" s="1"/>
  <c r="E215" i="20"/>
  <c r="G215" i="20" s="1"/>
  <c r="G217" i="20" s="1"/>
  <c r="D83" i="19"/>
  <c r="D84" i="19"/>
  <c r="E273" i="20" s="1"/>
  <c r="G273" i="20" s="1"/>
  <c r="G275" i="20" s="1"/>
  <c r="E437" i="20"/>
  <c r="G437" i="20" s="1"/>
  <c r="D89" i="19"/>
  <c r="E464" i="20" s="1"/>
  <c r="G464" i="20" s="1"/>
  <c r="D90" i="19"/>
  <c r="E481" i="20" s="1"/>
  <c r="G481" i="20" s="1"/>
  <c r="D91" i="19"/>
  <c r="E489" i="20" s="1"/>
  <c r="D92" i="19"/>
  <c r="E497" i="20" s="1"/>
  <c r="D93" i="19"/>
  <c r="E511" i="20" s="1"/>
  <c r="G511" i="20" s="1"/>
  <c r="D94" i="19"/>
  <c r="D95" i="19"/>
  <c r="E526" i="20" s="1"/>
  <c r="G526" i="20" s="1"/>
  <c r="G528" i="20" s="1"/>
  <c r="D96" i="19"/>
  <c r="E533" i="20" s="1"/>
  <c r="G533" i="20" s="1"/>
  <c r="G535" i="20" s="1"/>
  <c r="D97" i="19"/>
  <c r="E504" i="20" s="1"/>
  <c r="G504" i="20" s="1"/>
  <c r="G506" i="20" s="1"/>
  <c r="D98" i="19"/>
  <c r="E555" i="20" s="1"/>
  <c r="G555" i="20" s="1"/>
  <c r="G557" i="20" s="1"/>
  <c r="D99" i="19"/>
  <c r="E563" i="20" s="1"/>
  <c r="G563" i="20" s="1"/>
  <c r="G565" i="20" s="1"/>
  <c r="D100" i="19"/>
  <c r="E569" i="20" s="1"/>
  <c r="G569" i="20" s="1"/>
  <c r="G571" i="20" s="1"/>
  <c r="D101" i="19"/>
  <c r="D102" i="19"/>
  <c r="D103" i="19"/>
  <c r="S145" i="24" l="1"/>
  <c r="AG145" i="24" s="1"/>
  <c r="J145" i="24" s="1"/>
  <c r="S178" i="24"/>
  <c r="AG178" i="24" s="1"/>
  <c r="J178" i="24" s="1"/>
  <c r="F561" i="20"/>
  <c r="F553" i="20"/>
  <c r="S54" i="24"/>
  <c r="AG54" i="24" s="1"/>
  <c r="J54" i="24" s="1"/>
  <c r="S78" i="24"/>
  <c r="AG78" i="24" s="1"/>
  <c r="J78" i="24" s="1"/>
  <c r="S60" i="24"/>
  <c r="AG60" i="24" s="1"/>
  <c r="J60" i="24" s="1"/>
  <c r="S84" i="24"/>
  <c r="AG84" i="24" s="1"/>
  <c r="J84" i="24" s="1"/>
  <c r="S66" i="24"/>
  <c r="AG66" i="24" s="1"/>
  <c r="J66" i="24" s="1"/>
  <c r="S48" i="24"/>
  <c r="AG48" i="24" s="1"/>
  <c r="J48" i="24" s="1"/>
  <c r="S72" i="24"/>
  <c r="AG72" i="24" s="1"/>
  <c r="J72" i="24" s="1"/>
  <c r="J248" i="24"/>
  <c r="J263" i="24"/>
  <c r="J256" i="24"/>
  <c r="R154" i="24"/>
  <c r="R152" i="24"/>
  <c r="R150" i="24"/>
  <c r="R148" i="24"/>
  <c r="R186" i="24"/>
  <c r="R184" i="24"/>
  <c r="R182" i="24"/>
  <c r="R151" i="24"/>
  <c r="R187" i="24"/>
  <c r="R181" i="24"/>
  <c r="R155" i="24"/>
  <c r="R153" i="24"/>
  <c r="R149" i="24"/>
  <c r="R185" i="24"/>
  <c r="R183" i="24"/>
  <c r="R212" i="24"/>
  <c r="G644" i="20"/>
  <c r="E59" i="20"/>
  <c r="P49" i="20"/>
  <c r="P51" i="20" s="1"/>
  <c r="P52" i="20" s="1"/>
  <c r="G47" i="20"/>
  <c r="J44" i="20"/>
  <c r="S199" i="24"/>
  <c r="AG199" i="24" s="1"/>
  <c r="J199" i="24" s="1"/>
  <c r="S167" i="24"/>
  <c r="AG167" i="24" s="1"/>
  <c r="J167" i="24" s="1"/>
  <c r="S133" i="24"/>
  <c r="AG133" i="24" s="1"/>
  <c r="J133" i="24" s="1"/>
  <c r="S132" i="24"/>
  <c r="AG132" i="24" s="1"/>
  <c r="J132" i="24" s="1"/>
  <c r="S131" i="24"/>
  <c r="AG131" i="24" s="1"/>
  <c r="J131" i="24" s="1"/>
  <c r="S130" i="24"/>
  <c r="AG130" i="24" s="1"/>
  <c r="J130" i="24" s="1"/>
  <c r="S198" i="24"/>
  <c r="AG198" i="24" s="1"/>
  <c r="J198" i="24" s="1"/>
  <c r="S166" i="24"/>
  <c r="AG166" i="24" s="1"/>
  <c r="J166" i="24" s="1"/>
  <c r="S165" i="24"/>
  <c r="AG165" i="24" s="1"/>
  <c r="J165" i="24" s="1"/>
  <c r="S197" i="24"/>
  <c r="AG197" i="24" s="1"/>
  <c r="J197" i="24" s="1"/>
  <c r="S196" i="24"/>
  <c r="AG196" i="24" s="1"/>
  <c r="J196" i="24" s="1"/>
  <c r="S114" i="24"/>
  <c r="AG114" i="24" s="1"/>
  <c r="J114" i="24" s="1"/>
  <c r="S192" i="24"/>
  <c r="AG192" i="24" s="1"/>
  <c r="J192" i="24" s="1"/>
  <c r="S191" i="24"/>
  <c r="AG191" i="24" s="1"/>
  <c r="J191" i="24" s="1"/>
  <c r="S116" i="24"/>
  <c r="AG116" i="24" s="1"/>
  <c r="J116" i="24" s="1"/>
  <c r="S113" i="24"/>
  <c r="AG113" i="24" s="1"/>
  <c r="J113" i="24" s="1"/>
  <c r="S117" i="24"/>
  <c r="AG117" i="24" s="1"/>
  <c r="J117" i="24" s="1"/>
  <c r="S115" i="24"/>
  <c r="AG115" i="24" s="1"/>
  <c r="J115" i="24" s="1"/>
  <c r="S118" i="24"/>
  <c r="AG118" i="24" s="1"/>
  <c r="J118" i="24" s="1"/>
  <c r="S190" i="24"/>
  <c r="AG190" i="24" s="1"/>
  <c r="J190" i="24" s="1"/>
  <c r="S161" i="24"/>
  <c r="AG161" i="24" s="1"/>
  <c r="J161" i="24" s="1"/>
  <c r="S159" i="24"/>
  <c r="AG159" i="24" s="1"/>
  <c r="J159" i="24" s="1"/>
  <c r="S162" i="24"/>
  <c r="AG162" i="24" s="1"/>
  <c r="J162" i="24" s="1"/>
  <c r="S160" i="24"/>
  <c r="AG160" i="24" s="1"/>
  <c r="J160" i="24" s="1"/>
  <c r="S193" i="24"/>
  <c r="AG193" i="24" s="1"/>
  <c r="J193" i="24" s="1"/>
  <c r="S158" i="24"/>
  <c r="AG158" i="24" s="1"/>
  <c r="J158" i="24" s="1"/>
  <c r="S107" i="24"/>
  <c r="AG107" i="24" s="1"/>
  <c r="J107" i="24" s="1"/>
  <c r="S108" i="24"/>
  <c r="AG108" i="24" s="1"/>
  <c r="J108" i="24" s="1"/>
  <c r="S109" i="24"/>
  <c r="AG109" i="24" s="1"/>
  <c r="J109" i="24" s="1"/>
  <c r="S104" i="24"/>
  <c r="AG104" i="24" s="1"/>
  <c r="J104" i="24" s="1"/>
  <c r="S105" i="24"/>
  <c r="AG105" i="24" s="1"/>
  <c r="J105" i="24" s="1"/>
  <c r="S110" i="24"/>
  <c r="AG110" i="24" s="1"/>
  <c r="J110" i="24" s="1"/>
  <c r="S106" i="24"/>
  <c r="AG106" i="24" s="1"/>
  <c r="J106" i="24" s="1"/>
  <c r="R14" i="3"/>
  <c r="U14" i="3" s="1"/>
  <c r="R15" i="3"/>
  <c r="U15" i="3" s="1"/>
  <c r="S217" i="24"/>
  <c r="AG217" i="24" s="1"/>
  <c r="J217" i="24" s="1"/>
  <c r="S129" i="24"/>
  <c r="AG129" i="24" s="1"/>
  <c r="J129" i="24" s="1"/>
  <c r="G199" i="20"/>
  <c r="G201" i="20" s="1"/>
  <c r="S27" i="24"/>
  <c r="AG27" i="24" s="1"/>
  <c r="J27" i="24" s="1"/>
  <c r="T27" i="24"/>
  <c r="AH27" i="24" s="1"/>
  <c r="F104" i="20"/>
  <c r="F390" i="20"/>
  <c r="B52" i="6"/>
  <c r="B55" i="4"/>
  <c r="C49" i="6"/>
  <c r="A50" i="6"/>
  <c r="A53" i="4"/>
  <c r="BA33" i="2"/>
  <c r="R211" i="24"/>
  <c r="R210" i="24"/>
  <c r="R214" i="24"/>
  <c r="R213" i="24"/>
  <c r="R207" i="24"/>
  <c r="E401" i="20"/>
  <c r="G401" i="20" s="1"/>
  <c r="G403" i="20" s="1"/>
  <c r="G472" i="20" s="1"/>
  <c r="E577" i="20"/>
  <c r="G577" i="20" s="1"/>
  <c r="G579" i="20" s="1"/>
  <c r="G654" i="20" s="1"/>
  <c r="E541" i="20"/>
  <c r="G541" i="20" s="1"/>
  <c r="G543" i="20" s="1"/>
  <c r="G645" i="20" s="1"/>
  <c r="F426" i="20"/>
  <c r="F575" i="20"/>
  <c r="F486" i="20"/>
  <c r="S120" i="24"/>
  <c r="AG120" i="24" s="1"/>
  <c r="J120" i="24" s="1"/>
  <c r="S119" i="24"/>
  <c r="AG119" i="24" s="1"/>
  <c r="J119" i="24" s="1"/>
  <c r="S121" i="24"/>
  <c r="AG121" i="24" s="1"/>
  <c r="J121" i="24" s="1"/>
  <c r="S103" i="24"/>
  <c r="AG103" i="24" s="1"/>
  <c r="J103" i="24" s="1"/>
  <c r="F424" i="20"/>
  <c r="F354" i="20"/>
  <c r="F306" i="20"/>
  <c r="G49" i="20"/>
  <c r="E188" i="20"/>
  <c r="F188" i="20" s="1"/>
  <c r="F193" i="20" s="1"/>
  <c r="S207" i="24"/>
  <c r="AG207" i="24" s="1"/>
  <c r="J207" i="24" s="1"/>
  <c r="BA13" i="2"/>
  <c r="BA49" i="2"/>
  <c r="BA38" i="2"/>
  <c r="BA15" i="2"/>
  <c r="BA25" i="2"/>
  <c r="BA14" i="2"/>
  <c r="BA47" i="2"/>
  <c r="BA29" i="2"/>
  <c r="BA19" i="2"/>
  <c r="BA44" i="2"/>
  <c r="BA28" i="2"/>
  <c r="BA27" i="2"/>
  <c r="BA23" i="2"/>
  <c r="BA46" i="2"/>
  <c r="F613" i="20"/>
  <c r="F279" i="20"/>
  <c r="F254" i="20"/>
  <c r="F257" i="20" s="1"/>
  <c r="E635" i="20"/>
  <c r="G635" i="20" s="1"/>
  <c r="G637" i="20" s="1"/>
  <c r="J273" i="24" s="1"/>
  <c r="G642" i="20"/>
  <c r="F149" i="20"/>
  <c r="E607" i="20"/>
  <c r="G607" i="20" s="1"/>
  <c r="G609" i="20" s="1"/>
  <c r="G318" i="20"/>
  <c r="G78" i="20"/>
  <c r="G656" i="20"/>
  <c r="E625" i="20"/>
  <c r="G625" i="20" s="1"/>
  <c r="G627" i="20" s="1"/>
  <c r="E278" i="20"/>
  <c r="F278" i="20" s="1"/>
  <c r="F605" i="20"/>
  <c r="F425" i="20"/>
  <c r="P67" i="20"/>
  <c r="P68" i="20" s="1"/>
  <c r="F364" i="20"/>
  <c r="E574" i="20"/>
  <c r="F574" i="20" s="1"/>
  <c r="E582" i="20"/>
  <c r="G86" i="21"/>
  <c r="F299" i="20"/>
  <c r="E585" i="20"/>
  <c r="G585" i="20" s="1"/>
  <c r="G587" i="20" s="1"/>
  <c r="G653" i="20" s="1"/>
  <c r="F479" i="20"/>
  <c r="F400" i="20"/>
  <c r="F381" i="20"/>
  <c r="I325" i="20"/>
  <c r="P73" i="20"/>
  <c r="P80" i="20" s="1"/>
  <c r="P81" i="20" s="1"/>
  <c r="G62" i="20"/>
  <c r="E55" i="20"/>
  <c r="G85" i="21"/>
  <c r="E552" i="20" s="1"/>
  <c r="F552" i="20" s="1"/>
  <c r="O84" i="20"/>
  <c r="P84" i="20" s="1"/>
  <c r="G84" i="21"/>
  <c r="E546" i="20" s="1"/>
  <c r="F546" i="20" s="1"/>
  <c r="F549" i="20" s="1"/>
  <c r="F644" i="20" s="1"/>
  <c r="G466" i="20"/>
  <c r="J245" i="24" s="1"/>
  <c r="F478" i="20"/>
  <c r="F399" i="20"/>
  <c r="F380" i="20"/>
  <c r="F231" i="20"/>
  <c r="F233" i="20" s="1"/>
  <c r="F61" i="20"/>
  <c r="G83" i="21"/>
  <c r="E540" i="20" s="1"/>
  <c r="F540" i="20" s="1"/>
  <c r="F543" i="20" s="1"/>
  <c r="H543" i="20" s="1"/>
  <c r="E645" i="20" s="1"/>
  <c r="E189" i="20"/>
  <c r="H189" i="20" s="1"/>
  <c r="H193" i="20" s="1"/>
  <c r="E473" i="20"/>
  <c r="G473" i="20" s="1"/>
  <c r="F337" i="20"/>
  <c r="F60" i="20"/>
  <c r="G79" i="20"/>
  <c r="E519" i="20"/>
  <c r="G519" i="20" s="1"/>
  <c r="F103" i="20"/>
  <c r="F107" i="20" s="1"/>
  <c r="W124" i="24" s="1"/>
  <c r="E444" i="20"/>
  <c r="E453" i="20" s="1"/>
  <c r="F453" i="20" s="1"/>
  <c r="E220" i="20"/>
  <c r="F220" i="20" s="1"/>
  <c r="F225" i="20" s="1"/>
  <c r="F332" i="20"/>
  <c r="I332" i="20" s="1"/>
  <c r="G655" i="20"/>
  <c r="E221" i="20"/>
  <c r="H221" i="20" s="1"/>
  <c r="H225" i="20" s="1"/>
  <c r="B487" i="20"/>
  <c r="F487" i="20" s="1"/>
  <c r="E434" i="20"/>
  <c r="E443" i="20" s="1"/>
  <c r="F509" i="20"/>
  <c r="F345" i="20"/>
  <c r="E285" i="20"/>
  <c r="B237" i="20"/>
  <c r="F237" i="20" s="1"/>
  <c r="F239" i="20" s="1"/>
  <c r="I239" i="20" s="1"/>
  <c r="E157" i="20"/>
  <c r="F157" i="20" s="1"/>
  <c r="F129" i="20"/>
  <c r="F16" i="20"/>
  <c r="I168" i="20"/>
  <c r="F293" i="20"/>
  <c r="F525" i="20"/>
  <c r="F528" i="20" s="1"/>
  <c r="F582" i="20"/>
  <c r="F346" i="20"/>
  <c r="F344" i="20"/>
  <c r="F105" i="20"/>
  <c r="G664" i="20"/>
  <c r="F248" i="20"/>
  <c r="F251" i="20" s="1"/>
  <c r="F417" i="20"/>
  <c r="F307" i="20"/>
  <c r="F265" i="20"/>
  <c r="E361" i="20" s="1"/>
  <c r="F361" i="20" s="1"/>
  <c r="F362" i="20"/>
  <c r="F336" i="20"/>
  <c r="F535" i="20"/>
  <c r="F591" i="20"/>
  <c r="F355" i="20"/>
  <c r="F275" i="20"/>
  <c r="F391" i="20"/>
  <c r="T125" i="24"/>
  <c r="E460" i="20"/>
  <c r="F460" i="20" s="1"/>
  <c r="E442" i="20"/>
  <c r="F442" i="20" s="1"/>
  <c r="F415" i="20"/>
  <c r="S128" i="24"/>
  <c r="AG128" i="24" s="1"/>
  <c r="J128" i="24" s="1"/>
  <c r="S125" i="24"/>
  <c r="AG125" i="24" s="1"/>
  <c r="J125" i="24" s="1"/>
  <c r="E137" i="20"/>
  <c r="F137" i="20" s="1"/>
  <c r="F142" i="20" s="1"/>
  <c r="E127" i="20"/>
  <c r="F127" i="20" s="1"/>
  <c r="E136" i="20"/>
  <c r="F136" i="20" s="1"/>
  <c r="E147" i="20"/>
  <c r="F147" i="20" s="1"/>
  <c r="O11" i="24"/>
  <c r="N270" i="24"/>
  <c r="O12" i="24"/>
  <c r="F26" i="24"/>
  <c r="F12" i="24"/>
  <c r="F11" i="24"/>
  <c r="N271" i="24"/>
  <c r="E271" i="24" s="1"/>
  <c r="E18" i="24"/>
  <c r="F18" i="24" s="1"/>
  <c r="N272" i="24"/>
  <c r="E272" i="24" s="1"/>
  <c r="F42" i="20"/>
  <c r="E57" i="20"/>
  <c r="N274" i="24"/>
  <c r="E274" i="24" s="1"/>
  <c r="I275" i="20"/>
  <c r="F433" i="20"/>
  <c r="F353" i="20"/>
  <c r="G518" i="20"/>
  <c r="G510" i="20"/>
  <c r="G513" i="20" s="1"/>
  <c r="I21" i="20"/>
  <c r="I22" i="20" s="1"/>
  <c r="I23" i="20" s="1"/>
  <c r="E14" i="20"/>
  <c r="F14" i="20" s="1"/>
  <c r="E27" i="20"/>
  <c r="F15" i="20"/>
  <c r="I528" i="20"/>
  <c r="F231" i="24"/>
  <c r="O231" i="24"/>
  <c r="G663" i="20"/>
  <c r="E92" i="20"/>
  <c r="F92" i="20" s="1"/>
  <c r="F308" i="20"/>
  <c r="F76" i="20"/>
  <c r="E91" i="20"/>
  <c r="F91" i="20" s="1"/>
  <c r="F29" i="20"/>
  <c r="E43" i="20"/>
  <c r="E455" i="20"/>
  <c r="G455" i="20" s="1"/>
  <c r="E446" i="20"/>
  <c r="G446" i="20" s="1"/>
  <c r="B249" i="20"/>
  <c r="E181" i="20"/>
  <c r="H181" i="20" s="1"/>
  <c r="H185" i="20" s="1"/>
  <c r="E213" i="20"/>
  <c r="H213" i="20" s="1"/>
  <c r="H217" i="20" s="1"/>
  <c r="E197" i="20"/>
  <c r="H197" i="20" s="1"/>
  <c r="H201" i="20" s="1"/>
  <c r="E173" i="20"/>
  <c r="H173" i="20" s="1"/>
  <c r="H177" i="20" s="1"/>
  <c r="E599" i="20"/>
  <c r="G599" i="20" s="1"/>
  <c r="G601" i="20" s="1"/>
  <c r="G640" i="20" s="1"/>
  <c r="G643" i="20"/>
  <c r="G657" i="20"/>
  <c r="F159" i="20"/>
  <c r="F373" i="20"/>
  <c r="E249" i="20"/>
  <c r="E255" i="20"/>
  <c r="G255" i="20" s="1"/>
  <c r="G257" i="20" s="1"/>
  <c r="G93" i="20"/>
  <c r="B94" i="20"/>
  <c r="G94" i="20" s="1"/>
  <c r="F435" i="20"/>
  <c r="S96" i="24"/>
  <c r="AG96" i="24" s="1"/>
  <c r="J96" i="24" s="1"/>
  <c r="S36" i="24"/>
  <c r="AG36" i="24" s="1"/>
  <c r="J36" i="24" s="1"/>
  <c r="S90" i="24"/>
  <c r="AG90" i="24" s="1"/>
  <c r="J90" i="24" s="1"/>
  <c r="I506" i="20"/>
  <c r="F518" i="20"/>
  <c r="F521" i="20" s="1"/>
  <c r="F510" i="20"/>
  <c r="F382" i="20"/>
  <c r="P88" i="20"/>
  <c r="P89" i="20" s="1"/>
  <c r="G36" i="21"/>
  <c r="E242" i="20" s="1"/>
  <c r="F242" i="20" s="1"/>
  <c r="B243" i="20"/>
  <c r="F243" i="20" s="1"/>
  <c r="F372" i="20"/>
  <c r="E615" i="20"/>
  <c r="G615" i="20" s="1"/>
  <c r="G617" i="20" s="1"/>
  <c r="E593" i="20"/>
  <c r="G593" i="20" s="1"/>
  <c r="G595" i="20" s="1"/>
  <c r="G641" i="20" s="1"/>
  <c r="F583" i="20"/>
  <c r="F398" i="20"/>
  <c r="E383" i="20"/>
  <c r="G383" i="20" s="1"/>
  <c r="G385" i="20" s="1"/>
  <c r="G454" i="20" s="1"/>
  <c r="E374" i="20"/>
  <c r="G374" i="20" s="1"/>
  <c r="G376" i="20" s="1"/>
  <c r="E365" i="20"/>
  <c r="G365" i="20" s="1"/>
  <c r="G367" i="20" s="1"/>
  <c r="E356" i="20"/>
  <c r="G356" i="20" s="1"/>
  <c r="G358" i="20" s="1"/>
  <c r="G427" i="20" s="1"/>
  <c r="G430" i="20" s="1"/>
  <c r="E347" i="20"/>
  <c r="G347" i="20" s="1"/>
  <c r="G349" i="20" s="1"/>
  <c r="G409" i="20" s="1"/>
  <c r="G412" i="20" s="1"/>
  <c r="G64" i="20"/>
  <c r="E180" i="20"/>
  <c r="F180" i="20" s="1"/>
  <c r="F185" i="20" s="1"/>
  <c r="E204" i="20"/>
  <c r="F204" i="20" s="1"/>
  <c r="F209" i="20" s="1"/>
  <c r="E292" i="20"/>
  <c r="F292" i="20" s="1"/>
  <c r="E172" i="20"/>
  <c r="F172" i="20" s="1"/>
  <c r="F177" i="20" s="1"/>
  <c r="F300" i="20"/>
  <c r="G88" i="21"/>
  <c r="G90" i="21"/>
  <c r="E612" i="20" s="1"/>
  <c r="F612" i="20" s="1"/>
  <c r="G89" i="21"/>
  <c r="E604" i="20" s="1"/>
  <c r="F604" i="20" s="1"/>
  <c r="O16" i="24"/>
  <c r="E16" i="24"/>
  <c r="F16" i="24" s="1"/>
  <c r="E14" i="24"/>
  <c r="F14" i="24" s="1"/>
  <c r="O14" i="24"/>
  <c r="E13" i="24"/>
  <c r="O26" i="24"/>
  <c r="D6" i="17"/>
  <c r="J86" i="17"/>
  <c r="P86" i="17" s="1"/>
  <c r="J91" i="17"/>
  <c r="P91" i="17" s="1"/>
  <c r="P92" i="17"/>
  <c r="J94" i="17"/>
  <c r="P94" i="17" s="1"/>
  <c r="J95" i="17"/>
  <c r="P95" i="17"/>
  <c r="J104" i="17"/>
  <c r="P104" i="17" s="1"/>
  <c r="J118" i="17"/>
  <c r="P118" i="17" s="1"/>
  <c r="J122" i="17"/>
  <c r="P122" i="17" s="1"/>
  <c r="P123" i="17"/>
  <c r="J125" i="17"/>
  <c r="P125" i="17" s="1"/>
  <c r="J126" i="17"/>
  <c r="P126" i="17" s="1"/>
  <c r="J127" i="17"/>
  <c r="P127" i="17" s="1"/>
  <c r="J134" i="17"/>
  <c r="P134" i="17" s="1"/>
  <c r="P135" i="17"/>
  <c r="J137" i="17"/>
  <c r="P137" i="17" s="1"/>
  <c r="J138" i="17"/>
  <c r="P138" i="17" s="1"/>
  <c r="J149" i="17"/>
  <c r="P149" i="17"/>
  <c r="P150" i="17"/>
  <c r="J152" i="17"/>
  <c r="P152" i="17" s="1"/>
  <c r="P153" i="17"/>
  <c r="J158" i="17"/>
  <c r="P158" i="17" s="1"/>
  <c r="P159" i="17"/>
  <c r="J161" i="17"/>
  <c r="P161" i="17" s="1"/>
  <c r="J162" i="17"/>
  <c r="P162" i="17" s="1"/>
  <c r="J167" i="17"/>
  <c r="P167" i="17" s="1"/>
  <c r="P168" i="17"/>
  <c r="J174" i="17"/>
  <c r="P174" i="17" s="1"/>
  <c r="P175" i="17"/>
  <c r="P219" i="17"/>
  <c r="P220" i="17"/>
  <c r="P222" i="17"/>
  <c r="P224" i="17"/>
  <c r="P226" i="17"/>
  <c r="P228" i="17"/>
  <c r="P230" i="17"/>
  <c r="P232" i="17"/>
  <c r="P234" i="17"/>
  <c r="P239" i="17"/>
  <c r="F382" i="17"/>
  <c r="C7" i="16"/>
  <c r="D7" i="16"/>
  <c r="E7" i="16" s="1"/>
  <c r="F7" i="16" s="1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Q7" i="16" s="1"/>
  <c r="O8" i="16"/>
  <c r="P8" i="16"/>
  <c r="O9" i="16"/>
  <c r="P9" i="16"/>
  <c r="I10" i="16"/>
  <c r="P10" i="16"/>
  <c r="O11" i="16"/>
  <c r="P11" i="16"/>
  <c r="O12" i="16"/>
  <c r="P12" i="16"/>
  <c r="O13" i="16"/>
  <c r="P13" i="16"/>
  <c r="O14" i="16"/>
  <c r="P14" i="16"/>
  <c r="P15" i="16"/>
  <c r="I16" i="16"/>
  <c r="P16" i="16"/>
  <c r="I17" i="16"/>
  <c r="P17" i="16"/>
  <c r="O18" i="16"/>
  <c r="P18" i="16"/>
  <c r="I19" i="16"/>
  <c r="P19" i="16"/>
  <c r="I20" i="16"/>
  <c r="P20" i="16"/>
  <c r="O21" i="16"/>
  <c r="P21" i="16"/>
  <c r="I22" i="16"/>
  <c r="P22" i="16"/>
  <c r="O23" i="16"/>
  <c r="D8" i="17" s="1"/>
  <c r="P23" i="16"/>
  <c r="I24" i="16"/>
  <c r="P24" i="16"/>
  <c r="I25" i="16"/>
  <c r="P25" i="16"/>
  <c r="O26" i="16"/>
  <c r="P26" i="16"/>
  <c r="I27" i="16"/>
  <c r="P27" i="16"/>
  <c r="I28" i="16"/>
  <c r="P28" i="16"/>
  <c r="I29" i="16"/>
  <c r="P29" i="16"/>
  <c r="O30" i="16"/>
  <c r="P30" i="16"/>
  <c r="J31" i="16"/>
  <c r="P31" i="16" s="1"/>
  <c r="I32" i="16"/>
  <c r="P32" i="16"/>
  <c r="O33" i="16"/>
  <c r="P33" i="16"/>
  <c r="I34" i="16"/>
  <c r="P34" i="16"/>
  <c r="I35" i="16"/>
  <c r="P35" i="16"/>
  <c r="O36" i="16"/>
  <c r="P36" i="16"/>
  <c r="I37" i="16"/>
  <c r="P37" i="16"/>
  <c r="O38" i="16"/>
  <c r="P38" i="16"/>
  <c r="I39" i="16"/>
  <c r="P39" i="16"/>
  <c r="I40" i="16"/>
  <c r="P40" i="16"/>
  <c r="I41" i="16"/>
  <c r="P41" i="16"/>
  <c r="O42" i="16"/>
  <c r="P42" i="16"/>
  <c r="I43" i="16"/>
  <c r="P43" i="16"/>
  <c r="I44" i="16"/>
  <c r="P44" i="16"/>
  <c r="O45" i="16"/>
  <c r="P45" i="16"/>
  <c r="O46" i="16"/>
  <c r="P46" i="16"/>
  <c r="O47" i="16"/>
  <c r="P47" i="16"/>
  <c r="O48" i="16"/>
  <c r="P48" i="16"/>
  <c r="O49" i="16"/>
  <c r="P49" i="16"/>
  <c r="O50" i="16"/>
  <c r="P50" i="16"/>
  <c r="O51" i="16"/>
  <c r="P51" i="16"/>
  <c r="O52" i="16"/>
  <c r="P52" i="16"/>
  <c r="O53" i="16"/>
  <c r="P53" i="16"/>
  <c r="O54" i="16"/>
  <c r="P54" i="16"/>
  <c r="O55" i="16"/>
  <c r="P55" i="16"/>
  <c r="O56" i="16"/>
  <c r="P56" i="16"/>
  <c r="O57" i="16"/>
  <c r="P57" i="16"/>
  <c r="O58" i="16"/>
  <c r="P58" i="16"/>
  <c r="O59" i="16"/>
  <c r="P59" i="16"/>
  <c r="O60" i="16"/>
  <c r="P60" i="16"/>
  <c r="O61" i="16"/>
  <c r="P61" i="16"/>
  <c r="O62" i="16"/>
  <c r="P62" i="16"/>
  <c r="O63" i="16"/>
  <c r="P63" i="16"/>
  <c r="O64" i="16"/>
  <c r="P64" i="16"/>
  <c r="O65" i="16"/>
  <c r="P65" i="16"/>
  <c r="O66" i="16"/>
  <c r="P66" i="16"/>
  <c r="O67" i="16"/>
  <c r="P67" i="16"/>
  <c r="O68" i="16"/>
  <c r="P68" i="16"/>
  <c r="O69" i="16"/>
  <c r="P69" i="16"/>
  <c r="O70" i="16"/>
  <c r="P70" i="16"/>
  <c r="O71" i="16"/>
  <c r="P71" i="16"/>
  <c r="O72" i="16"/>
  <c r="P72" i="16"/>
  <c r="O73" i="16"/>
  <c r="P73" i="16"/>
  <c r="O74" i="16"/>
  <c r="P74" i="16"/>
  <c r="O75" i="16"/>
  <c r="P75" i="16"/>
  <c r="O76" i="16"/>
  <c r="P76" i="16"/>
  <c r="O77" i="16"/>
  <c r="P77" i="16"/>
  <c r="O78" i="16"/>
  <c r="P78" i="16"/>
  <c r="O79" i="16"/>
  <c r="P79" i="16"/>
  <c r="O80" i="16"/>
  <c r="P80" i="16"/>
  <c r="O81" i="16"/>
  <c r="P81" i="16"/>
  <c r="O82" i="16"/>
  <c r="P82" i="16"/>
  <c r="O83" i="16"/>
  <c r="P83" i="16"/>
  <c r="O84" i="16"/>
  <c r="P84" i="16"/>
  <c r="O85" i="16"/>
  <c r="P85" i="16"/>
  <c r="O86" i="16"/>
  <c r="P86" i="16"/>
  <c r="O87" i="16"/>
  <c r="P87" i="16"/>
  <c r="O88" i="16"/>
  <c r="P88" i="16"/>
  <c r="O89" i="16"/>
  <c r="P89" i="16"/>
  <c r="O90" i="16"/>
  <c r="P90" i="16"/>
  <c r="J91" i="16"/>
  <c r="O91" i="16"/>
  <c r="O92" i="16"/>
  <c r="P92" i="16"/>
  <c r="O93" i="16"/>
  <c r="P93" i="16"/>
  <c r="O94" i="16"/>
  <c r="P94" i="16"/>
  <c r="O95" i="16"/>
  <c r="P95" i="16"/>
  <c r="J96" i="16"/>
  <c r="O96" i="16"/>
  <c r="P96" i="16" s="1"/>
  <c r="O97" i="16"/>
  <c r="P97" i="16" s="1"/>
  <c r="O98" i="16"/>
  <c r="P98" i="16"/>
  <c r="J99" i="16"/>
  <c r="O99" i="16"/>
  <c r="P99" i="16" s="1"/>
  <c r="J100" i="16"/>
  <c r="O100" i="16"/>
  <c r="P100" i="16" s="1"/>
  <c r="O101" i="16"/>
  <c r="P101" i="16"/>
  <c r="O102" i="16"/>
  <c r="P102" i="16"/>
  <c r="O103" i="16"/>
  <c r="P103" i="16"/>
  <c r="O104" i="16"/>
  <c r="P104" i="16"/>
  <c r="O105" i="16"/>
  <c r="P105" i="16"/>
  <c r="O106" i="16"/>
  <c r="P106" i="16"/>
  <c r="I107" i="16"/>
  <c r="P107" i="16"/>
  <c r="O108" i="16"/>
  <c r="P108" i="16"/>
  <c r="J109" i="16"/>
  <c r="P109" i="16"/>
  <c r="O110" i="16"/>
  <c r="P110" i="16"/>
  <c r="O111" i="16"/>
  <c r="P111" i="16"/>
  <c r="O112" i="16"/>
  <c r="D23" i="17" s="1"/>
  <c r="P112" i="16"/>
  <c r="O113" i="16"/>
  <c r="P113" i="16"/>
  <c r="I114" i="16"/>
  <c r="P114" i="16"/>
  <c r="O115" i="16"/>
  <c r="P115" i="16"/>
  <c r="O116" i="16"/>
  <c r="P116" i="16"/>
  <c r="I117" i="16"/>
  <c r="P117" i="16"/>
  <c r="O118" i="16"/>
  <c r="P118" i="16"/>
  <c r="O119" i="16"/>
  <c r="P119" i="16"/>
  <c r="I120" i="16"/>
  <c r="P120" i="16"/>
  <c r="I121" i="16"/>
  <c r="P121" i="16"/>
  <c r="O122" i="16"/>
  <c r="P122" i="16"/>
  <c r="J123" i="16"/>
  <c r="O123" i="16"/>
  <c r="O124" i="16"/>
  <c r="P124" i="16"/>
  <c r="O125" i="16"/>
  <c r="P125" i="16"/>
  <c r="O126" i="16"/>
  <c r="P126" i="16"/>
  <c r="J127" i="16"/>
  <c r="P127" i="16"/>
  <c r="O128" i="16"/>
  <c r="P128" i="16" s="1"/>
  <c r="O129" i="16"/>
  <c r="P129" i="16"/>
  <c r="J130" i="16"/>
  <c r="P130" i="16" s="1"/>
  <c r="O130" i="16"/>
  <c r="J131" i="16"/>
  <c r="P131" i="16" s="1"/>
  <c r="J132" i="16"/>
  <c r="O132" i="16"/>
  <c r="O133" i="16"/>
  <c r="P133" i="16"/>
  <c r="O134" i="16"/>
  <c r="P134" i="16"/>
  <c r="I135" i="16"/>
  <c r="P135" i="16"/>
  <c r="O136" i="16"/>
  <c r="P136" i="16"/>
  <c r="O137" i="16"/>
  <c r="P137" i="16"/>
  <c r="O138" i="16"/>
  <c r="P138" i="16"/>
  <c r="J139" i="16"/>
  <c r="O139" i="16"/>
  <c r="P139" i="16" s="1"/>
  <c r="O140" i="16"/>
  <c r="P140" i="16" s="1"/>
  <c r="O141" i="16"/>
  <c r="P141" i="16"/>
  <c r="J142" i="16"/>
  <c r="P142" i="16"/>
  <c r="J143" i="16"/>
  <c r="O143" i="16"/>
  <c r="P143" i="16" s="1"/>
  <c r="O144" i="16"/>
  <c r="P144" i="16"/>
  <c r="O145" i="16"/>
  <c r="P145" i="16"/>
  <c r="O146" i="16"/>
  <c r="P146" i="16"/>
  <c r="O147" i="16"/>
  <c r="P147" i="16"/>
  <c r="I148" i="16"/>
  <c r="P148" i="16"/>
  <c r="O149" i="16"/>
  <c r="P149" i="16"/>
  <c r="O150" i="16"/>
  <c r="P150" i="16"/>
  <c r="O151" i="16"/>
  <c r="P151" i="16"/>
  <c r="O152" i="16"/>
  <c r="P152" i="16"/>
  <c r="O153" i="16"/>
  <c r="P153" i="16"/>
  <c r="J154" i="16"/>
  <c r="O154" i="16"/>
  <c r="P155" i="16"/>
  <c r="I156" i="16"/>
  <c r="P156" i="16"/>
  <c r="J157" i="16"/>
  <c r="O157" i="16"/>
  <c r="P157" i="16" s="1"/>
  <c r="O158" i="16"/>
  <c r="P158" i="16"/>
  <c r="O159" i="16"/>
  <c r="P159" i="16"/>
  <c r="I160" i="16"/>
  <c r="P160" i="16"/>
  <c r="O161" i="16"/>
  <c r="P161" i="16"/>
  <c r="O162" i="16"/>
  <c r="P162" i="16"/>
  <c r="J163" i="16"/>
  <c r="O163" i="16"/>
  <c r="O164" i="16"/>
  <c r="P164" i="16" s="1"/>
  <c r="O165" i="16"/>
  <c r="P165" i="16"/>
  <c r="J166" i="16"/>
  <c r="O166" i="16"/>
  <c r="P166" i="16" s="1"/>
  <c r="J167" i="16"/>
  <c r="O167" i="16"/>
  <c r="O168" i="16"/>
  <c r="P168" i="16"/>
  <c r="I169" i="16"/>
  <c r="P169" i="16"/>
  <c r="O170" i="16"/>
  <c r="P170" i="16"/>
  <c r="I171" i="16"/>
  <c r="P171" i="16"/>
  <c r="J172" i="16"/>
  <c r="P172" i="16" s="1"/>
  <c r="O172" i="16"/>
  <c r="O173" i="16"/>
  <c r="P173" i="16" s="1"/>
  <c r="O174" i="16"/>
  <c r="P174" i="16"/>
  <c r="I175" i="16"/>
  <c r="P175" i="16"/>
  <c r="O176" i="16"/>
  <c r="P176" i="16"/>
  <c r="I177" i="16"/>
  <c r="P177" i="16"/>
  <c r="O178" i="16"/>
  <c r="P178" i="16"/>
  <c r="J179" i="16"/>
  <c r="O179" i="16"/>
  <c r="P180" i="16"/>
  <c r="I181" i="16"/>
  <c r="P181" i="16"/>
  <c r="I182" i="16"/>
  <c r="P182" i="16"/>
  <c r="O183" i="16"/>
  <c r="P183" i="16"/>
  <c r="I184" i="16"/>
  <c r="P184" i="16"/>
  <c r="O185" i="16"/>
  <c r="P185" i="16"/>
  <c r="I186" i="16"/>
  <c r="P186" i="16"/>
  <c r="I187" i="16"/>
  <c r="P187" i="16"/>
  <c r="O188" i="16"/>
  <c r="I188" i="16" s="1"/>
  <c r="P188" i="16"/>
  <c r="O189" i="16"/>
  <c r="I189" i="16" s="1"/>
  <c r="P189" i="16"/>
  <c r="I190" i="16"/>
  <c r="P190" i="16"/>
  <c r="I191" i="16"/>
  <c r="P191" i="16"/>
  <c r="O192" i="16"/>
  <c r="I192" i="16" s="1"/>
  <c r="P192" i="16"/>
  <c r="I193" i="16"/>
  <c r="P193" i="16"/>
  <c r="P194" i="16"/>
  <c r="O195" i="16"/>
  <c r="I195" i="16" s="1"/>
  <c r="P195" i="16"/>
  <c r="O196" i="16"/>
  <c r="I196" i="16" s="1"/>
  <c r="P196" i="16"/>
  <c r="P197" i="16"/>
  <c r="P198" i="16"/>
  <c r="I199" i="16"/>
  <c r="P199" i="16"/>
  <c r="O200" i="16"/>
  <c r="I200" i="16" s="1"/>
  <c r="P200" i="16"/>
  <c r="I201" i="16"/>
  <c r="P201" i="16"/>
  <c r="O202" i="16"/>
  <c r="I202" i="16" s="1"/>
  <c r="P202" i="16"/>
  <c r="O203" i="16"/>
  <c r="I203" i="16" s="1"/>
  <c r="P203" i="16"/>
  <c r="O204" i="16"/>
  <c r="I204" i="16" s="1"/>
  <c r="P204" i="16"/>
  <c r="O205" i="16"/>
  <c r="P205" i="16"/>
  <c r="O206" i="16"/>
  <c r="P206" i="16"/>
  <c r="O207" i="16"/>
  <c r="P207" i="16"/>
  <c r="O208" i="16"/>
  <c r="P208" i="16"/>
  <c r="O209" i="16"/>
  <c r="P209" i="16"/>
  <c r="O210" i="16"/>
  <c r="P210" i="16"/>
  <c r="O211" i="16"/>
  <c r="P211" i="16"/>
  <c r="O212" i="16"/>
  <c r="P212" i="16"/>
  <c r="O213" i="16"/>
  <c r="P213" i="16"/>
  <c r="O214" i="16"/>
  <c r="P214" i="16"/>
  <c r="O215" i="16"/>
  <c r="P215" i="16"/>
  <c r="O216" i="16"/>
  <c r="P216" i="16"/>
  <c r="O217" i="16"/>
  <c r="P217" i="16"/>
  <c r="I218" i="16"/>
  <c r="P218" i="16"/>
  <c r="I219" i="16"/>
  <c r="P219" i="16"/>
  <c r="I220" i="16"/>
  <c r="P220" i="16"/>
  <c r="I221" i="16"/>
  <c r="P221" i="16"/>
  <c r="I222" i="16"/>
  <c r="P222" i="16"/>
  <c r="I223" i="16"/>
  <c r="P223" i="16"/>
  <c r="O224" i="16"/>
  <c r="P224" i="16" s="1"/>
  <c r="I225" i="16"/>
  <c r="P225" i="16"/>
  <c r="O226" i="16"/>
  <c r="P226" i="16"/>
  <c r="O227" i="16"/>
  <c r="P227" i="16" s="1"/>
  <c r="I228" i="16"/>
  <c r="P228" i="16"/>
  <c r="O229" i="16"/>
  <c r="P229" i="16" s="1"/>
  <c r="I230" i="16"/>
  <c r="P230" i="16"/>
  <c r="I231" i="16"/>
  <c r="P231" i="16" s="1"/>
  <c r="I232" i="16"/>
  <c r="P232" i="16"/>
  <c r="I233" i="16"/>
  <c r="P233" i="16"/>
  <c r="I234" i="16"/>
  <c r="P234" i="16"/>
  <c r="I235" i="16"/>
  <c r="P235" i="16" s="1"/>
  <c r="I236" i="16"/>
  <c r="P236" i="16"/>
  <c r="I237" i="16"/>
  <c r="P237" i="16" s="1"/>
  <c r="I238" i="16"/>
  <c r="P238" i="16"/>
  <c r="I239" i="16"/>
  <c r="P239" i="16"/>
  <c r="I240" i="16"/>
  <c r="I241" i="16"/>
  <c r="P241" i="16"/>
  <c r="I242" i="16"/>
  <c r="P242" i="16"/>
  <c r="I243" i="16"/>
  <c r="P243" i="16"/>
  <c r="I244" i="16"/>
  <c r="I245" i="16"/>
  <c r="P245" i="16"/>
  <c r="I246" i="16"/>
  <c r="P246" i="16"/>
  <c r="I247" i="16"/>
  <c r="P247" i="16"/>
  <c r="I248" i="16"/>
  <c r="P248" i="16"/>
  <c r="O249" i="16"/>
  <c r="P249" i="16"/>
  <c r="O250" i="16"/>
  <c r="P250" i="16"/>
  <c r="O251" i="16"/>
  <c r="P251" i="16"/>
  <c r="O252" i="16"/>
  <c r="P252" i="16"/>
  <c r="O253" i="16"/>
  <c r="P253" i="16"/>
  <c r="O254" i="16"/>
  <c r="P254" i="16"/>
  <c r="O255" i="16"/>
  <c r="P255" i="16"/>
  <c r="O256" i="16"/>
  <c r="P256" i="16"/>
  <c r="O257" i="16"/>
  <c r="P257" i="16"/>
  <c r="O258" i="16"/>
  <c r="P258" i="16"/>
  <c r="O259" i="16"/>
  <c r="P259" i="16"/>
  <c r="O260" i="16"/>
  <c r="P260" i="16"/>
  <c r="O261" i="16"/>
  <c r="P261" i="16"/>
  <c r="O262" i="16"/>
  <c r="P262" i="16"/>
  <c r="O263" i="16"/>
  <c r="P263" i="16"/>
  <c r="O264" i="16"/>
  <c r="P264" i="16"/>
  <c r="O265" i="16"/>
  <c r="P265" i="16"/>
  <c r="O266" i="16"/>
  <c r="P266" i="16"/>
  <c r="O267" i="16"/>
  <c r="P267" i="16"/>
  <c r="O268" i="16"/>
  <c r="P268" i="16"/>
  <c r="O269" i="16"/>
  <c r="P269" i="16"/>
  <c r="O270" i="16"/>
  <c r="P270" i="16"/>
  <c r="O271" i="16"/>
  <c r="P271" i="16"/>
  <c r="O272" i="16"/>
  <c r="P272" i="16"/>
  <c r="O273" i="16"/>
  <c r="P273" i="16"/>
  <c r="O274" i="16"/>
  <c r="P274" i="16"/>
  <c r="O275" i="16"/>
  <c r="P275" i="16"/>
  <c r="O276" i="16"/>
  <c r="P276" i="16"/>
  <c r="O277" i="16"/>
  <c r="P277" i="16"/>
  <c r="O278" i="16"/>
  <c r="P278" i="16"/>
  <c r="O279" i="16"/>
  <c r="P279" i="16"/>
  <c r="O280" i="16"/>
  <c r="P280" i="16"/>
  <c r="O281" i="16"/>
  <c r="P281" i="16"/>
  <c r="O282" i="16"/>
  <c r="P282" i="16"/>
  <c r="O283" i="16"/>
  <c r="P283" i="16"/>
  <c r="O284" i="16"/>
  <c r="P284" i="16"/>
  <c r="O285" i="16"/>
  <c r="P285" i="16"/>
  <c r="O286" i="16"/>
  <c r="P286" i="16"/>
  <c r="O287" i="16"/>
  <c r="P287" i="16"/>
  <c r="O288" i="16"/>
  <c r="P288" i="16"/>
  <c r="O289" i="16"/>
  <c r="P289" i="16"/>
  <c r="O290" i="16"/>
  <c r="P290" i="16"/>
  <c r="O291" i="16"/>
  <c r="P291" i="16"/>
  <c r="O292" i="16"/>
  <c r="P292" i="16"/>
  <c r="O293" i="16"/>
  <c r="P293" i="16"/>
  <c r="O294" i="16"/>
  <c r="P294" i="16"/>
  <c r="O295" i="16"/>
  <c r="P295" i="16"/>
  <c r="O296" i="16"/>
  <c r="P296" i="16"/>
  <c r="O297" i="16"/>
  <c r="P297" i="16"/>
  <c r="O298" i="16"/>
  <c r="P298" i="16"/>
  <c r="O299" i="16"/>
  <c r="P299" i="16"/>
  <c r="O300" i="16"/>
  <c r="P300" i="16"/>
  <c r="O301" i="16"/>
  <c r="P301" i="16"/>
  <c r="O302" i="16"/>
  <c r="P302" i="16"/>
  <c r="O303" i="16"/>
  <c r="P303" i="16"/>
  <c r="O304" i="16"/>
  <c r="P304" i="16"/>
  <c r="O305" i="16"/>
  <c r="P305" i="16"/>
  <c r="O306" i="16"/>
  <c r="P306" i="16"/>
  <c r="O307" i="16"/>
  <c r="P307" i="16"/>
  <c r="O308" i="16"/>
  <c r="P308" i="16"/>
  <c r="O309" i="16"/>
  <c r="P309" i="16"/>
  <c r="O310" i="16"/>
  <c r="P310" i="16"/>
  <c r="O311" i="16"/>
  <c r="P311" i="16"/>
  <c r="O312" i="16"/>
  <c r="P312" i="16"/>
  <c r="O313" i="16"/>
  <c r="P313" i="16"/>
  <c r="O314" i="16"/>
  <c r="P314" i="16"/>
  <c r="O315" i="16"/>
  <c r="P315" i="16"/>
  <c r="O316" i="16"/>
  <c r="P316" i="16"/>
  <c r="O317" i="16"/>
  <c r="P317" i="16"/>
  <c r="O318" i="16"/>
  <c r="P318" i="16"/>
  <c r="O319" i="16"/>
  <c r="P319" i="16"/>
  <c r="O320" i="16"/>
  <c r="P320" i="16"/>
  <c r="O321" i="16"/>
  <c r="P321" i="16"/>
  <c r="O322" i="16"/>
  <c r="P322" i="16"/>
  <c r="O323" i="16"/>
  <c r="P323" i="16"/>
  <c r="O324" i="16"/>
  <c r="P324" i="16"/>
  <c r="O325" i="16"/>
  <c r="P325" i="16"/>
  <c r="O326" i="16"/>
  <c r="P326" i="16"/>
  <c r="O327" i="16"/>
  <c r="D21" i="17" s="1"/>
  <c r="P327" i="16"/>
  <c r="O328" i="16"/>
  <c r="P328" i="16"/>
  <c r="O329" i="16"/>
  <c r="P329" i="16"/>
  <c r="O330" i="16"/>
  <c r="P330" i="16"/>
  <c r="O331" i="16"/>
  <c r="P331" i="16"/>
  <c r="O332" i="16"/>
  <c r="P332" i="16"/>
  <c r="O333" i="16"/>
  <c r="P333" i="16"/>
  <c r="O334" i="16"/>
  <c r="P334" i="16"/>
  <c r="O335" i="16"/>
  <c r="P335" i="16"/>
  <c r="O336" i="16"/>
  <c r="P336" i="16"/>
  <c r="O337" i="16"/>
  <c r="P337" i="16"/>
  <c r="O338" i="16"/>
  <c r="P338" i="16"/>
  <c r="O339" i="16"/>
  <c r="P339" i="16"/>
  <c r="O340" i="16"/>
  <c r="P340" i="16"/>
  <c r="O341" i="16"/>
  <c r="P341" i="16"/>
  <c r="O342" i="16"/>
  <c r="P342" i="16"/>
  <c r="O343" i="16"/>
  <c r="P343" i="16"/>
  <c r="O344" i="16"/>
  <c r="P344" i="16"/>
  <c r="O345" i="16"/>
  <c r="P345" i="16"/>
  <c r="O346" i="16"/>
  <c r="P346" i="16"/>
  <c r="O347" i="16"/>
  <c r="P347" i="16"/>
  <c r="O348" i="16"/>
  <c r="P348" i="16"/>
  <c r="O349" i="16"/>
  <c r="P349" i="16"/>
  <c r="O350" i="16"/>
  <c r="P350" i="16"/>
  <c r="O351" i="16"/>
  <c r="P351" i="16"/>
  <c r="O352" i="16"/>
  <c r="P352" i="16"/>
  <c r="O353" i="16"/>
  <c r="P353" i="16"/>
  <c r="O354" i="16"/>
  <c r="P354" i="16"/>
  <c r="I355" i="16"/>
  <c r="P355" i="16"/>
  <c r="I356" i="16"/>
  <c r="P356" i="16"/>
  <c r="I357" i="16"/>
  <c r="P357" i="16"/>
  <c r="I358" i="16"/>
  <c r="P358" i="16"/>
  <c r="I359" i="16"/>
  <c r="P359" i="16"/>
  <c r="I360" i="16"/>
  <c r="P360" i="16"/>
  <c r="I361" i="16"/>
  <c r="P361" i="16"/>
  <c r="I362" i="16"/>
  <c r="P362" i="16"/>
  <c r="I363" i="16"/>
  <c r="P363" i="16"/>
  <c r="I364" i="16"/>
  <c r="P364" i="16"/>
  <c r="I365" i="16"/>
  <c r="P365" i="16"/>
  <c r="I366" i="16"/>
  <c r="P366" i="16"/>
  <c r="I367" i="16"/>
  <c r="P367" i="16"/>
  <c r="I368" i="16"/>
  <c r="P368" i="16"/>
  <c r="I369" i="16"/>
  <c r="P369" i="16"/>
  <c r="I370" i="16"/>
  <c r="P370" i="16"/>
  <c r="I371" i="16"/>
  <c r="P371" i="16"/>
  <c r="I372" i="16"/>
  <c r="P372" i="16"/>
  <c r="I373" i="16"/>
  <c r="P373" i="16"/>
  <c r="I374" i="16"/>
  <c r="P374" i="16"/>
  <c r="I375" i="16"/>
  <c r="P375" i="16"/>
  <c r="I376" i="16"/>
  <c r="P376" i="16"/>
  <c r="I377" i="16"/>
  <c r="P377" i="16"/>
  <c r="I378" i="16"/>
  <c r="P378" i="16"/>
  <c r="I379" i="16"/>
  <c r="P379" i="16"/>
  <c r="I380" i="16"/>
  <c r="P380" i="16"/>
  <c r="I381" i="16"/>
  <c r="P381" i="16"/>
  <c r="I382" i="16"/>
  <c r="P382" i="16"/>
  <c r="I383" i="16"/>
  <c r="P383" i="16"/>
  <c r="I384" i="16"/>
  <c r="P384" i="16"/>
  <c r="I385" i="16"/>
  <c r="P385" i="16"/>
  <c r="I386" i="16"/>
  <c r="P386" i="16"/>
  <c r="F387" i="16"/>
  <c r="I387" i="16"/>
  <c r="P387" i="16"/>
  <c r="I388" i="16"/>
  <c r="P388" i="16"/>
  <c r="I389" i="16"/>
  <c r="P389" i="16"/>
  <c r="I390" i="16"/>
  <c r="P390" i="16"/>
  <c r="I391" i="16"/>
  <c r="P391" i="16"/>
  <c r="I392" i="16"/>
  <c r="P392" i="16"/>
  <c r="I393" i="16"/>
  <c r="P393" i="16"/>
  <c r="I394" i="16"/>
  <c r="P394" i="16"/>
  <c r="I395" i="16"/>
  <c r="P395" i="16"/>
  <c r="I396" i="16"/>
  <c r="P396" i="16"/>
  <c r="I397" i="16"/>
  <c r="P397" i="16"/>
  <c r="I398" i="16"/>
  <c r="P398" i="16"/>
  <c r="I399" i="16"/>
  <c r="P399" i="16"/>
  <c r="I400" i="16"/>
  <c r="P400" i="16"/>
  <c r="I401" i="16"/>
  <c r="P401" i="16"/>
  <c r="I402" i="16"/>
  <c r="P402" i="16"/>
  <c r="I403" i="16"/>
  <c r="P403" i="16"/>
  <c r="I404" i="16"/>
  <c r="P404" i="16"/>
  <c r="I405" i="16"/>
  <c r="P405" i="16"/>
  <c r="I406" i="16"/>
  <c r="P406" i="16"/>
  <c r="I407" i="16"/>
  <c r="P407" i="16"/>
  <c r="I408" i="16"/>
  <c r="P408" i="16"/>
  <c r="I409" i="16"/>
  <c r="P409" i="16"/>
  <c r="I410" i="16"/>
  <c r="P410" i="16"/>
  <c r="I411" i="16"/>
  <c r="P411" i="16"/>
  <c r="I412" i="16"/>
  <c r="P412" i="16"/>
  <c r="I413" i="16"/>
  <c r="P413" i="16"/>
  <c r="I414" i="16"/>
  <c r="P414" i="16"/>
  <c r="I415" i="16"/>
  <c r="P415" i="16"/>
  <c r="I416" i="16"/>
  <c r="P416" i="16"/>
  <c r="I417" i="16"/>
  <c r="P417" i="16"/>
  <c r="I418" i="16"/>
  <c r="P418" i="16"/>
  <c r="I419" i="16"/>
  <c r="P419" i="16"/>
  <c r="I420" i="16"/>
  <c r="P420" i="16"/>
  <c r="I421" i="16"/>
  <c r="P421" i="16"/>
  <c r="I422" i="16"/>
  <c r="P422" i="16"/>
  <c r="I423" i="16"/>
  <c r="P423" i="16"/>
  <c r="I424" i="16"/>
  <c r="P424" i="16"/>
  <c r="I425" i="16"/>
  <c r="P425" i="16"/>
  <c r="I426" i="16"/>
  <c r="P426" i="16"/>
  <c r="I427" i="16"/>
  <c r="P427" i="16"/>
  <c r="I428" i="16"/>
  <c r="P428" i="16"/>
  <c r="I429" i="16"/>
  <c r="P429" i="16"/>
  <c r="I430" i="16"/>
  <c r="P430" i="16"/>
  <c r="I431" i="16"/>
  <c r="P431" i="16"/>
  <c r="I432" i="16"/>
  <c r="P432" i="16"/>
  <c r="I433" i="16"/>
  <c r="P433" i="16"/>
  <c r="I434" i="16"/>
  <c r="P434" i="16"/>
  <c r="I435" i="16"/>
  <c r="P435" i="16"/>
  <c r="I436" i="16"/>
  <c r="P436" i="16"/>
  <c r="I437" i="16"/>
  <c r="P437" i="16"/>
  <c r="I438" i="16"/>
  <c r="P438" i="16"/>
  <c r="I439" i="16"/>
  <c r="P439" i="16"/>
  <c r="I440" i="16"/>
  <c r="P440" i="16"/>
  <c r="I441" i="16"/>
  <c r="P441" i="16"/>
  <c r="I442" i="16"/>
  <c r="P442" i="16"/>
  <c r="I443" i="16"/>
  <c r="P443" i="16"/>
  <c r="I444" i="16"/>
  <c r="P444" i="16"/>
  <c r="I445" i="16"/>
  <c r="P445" i="16"/>
  <c r="I446" i="16"/>
  <c r="P446" i="16"/>
  <c r="I447" i="16"/>
  <c r="P447" i="16"/>
  <c r="I448" i="16"/>
  <c r="P448" i="16"/>
  <c r="I449" i="16"/>
  <c r="P449" i="16"/>
  <c r="I450" i="16"/>
  <c r="P450" i="16"/>
  <c r="I451" i="16"/>
  <c r="P451" i="16"/>
  <c r="I452" i="16"/>
  <c r="P452" i="16"/>
  <c r="I453" i="16"/>
  <c r="P453" i="16"/>
  <c r="I454" i="16"/>
  <c r="P454" i="16"/>
  <c r="I455" i="16"/>
  <c r="P455" i="16"/>
  <c r="I456" i="16"/>
  <c r="P456" i="16"/>
  <c r="I457" i="16"/>
  <c r="P457" i="16"/>
  <c r="I458" i="16"/>
  <c r="P458" i="16"/>
  <c r="I459" i="16"/>
  <c r="P459" i="16"/>
  <c r="I460" i="16"/>
  <c r="P460" i="16"/>
  <c r="I461" i="16"/>
  <c r="P461" i="16"/>
  <c r="I462" i="16"/>
  <c r="P462" i="16"/>
  <c r="I463" i="16"/>
  <c r="P463" i="16"/>
  <c r="I464" i="16"/>
  <c r="P464" i="16"/>
  <c r="I465" i="16"/>
  <c r="P465" i="16"/>
  <c r="I466" i="16"/>
  <c r="P466" i="16"/>
  <c r="I467" i="16"/>
  <c r="P467" i="16"/>
  <c r="I468" i="16"/>
  <c r="P468" i="16"/>
  <c r="I469" i="16"/>
  <c r="P469" i="16"/>
  <c r="I470" i="16"/>
  <c r="P470" i="16"/>
  <c r="I471" i="16"/>
  <c r="P471" i="16"/>
  <c r="I472" i="16"/>
  <c r="P472" i="16"/>
  <c r="I473" i="16"/>
  <c r="P473" i="16"/>
  <c r="I474" i="16"/>
  <c r="P474" i="16"/>
  <c r="I475" i="16"/>
  <c r="P475" i="16"/>
  <c r="I476" i="16"/>
  <c r="P476" i="16"/>
  <c r="I477" i="16"/>
  <c r="P477" i="16"/>
  <c r="I478" i="16"/>
  <c r="P478" i="16"/>
  <c r="I479" i="16"/>
  <c r="P479" i="16"/>
  <c r="I480" i="16"/>
  <c r="P480" i="16"/>
  <c r="I481" i="16"/>
  <c r="P481" i="16"/>
  <c r="I482" i="16"/>
  <c r="P482" i="16"/>
  <c r="I483" i="16"/>
  <c r="P483" i="16"/>
  <c r="I484" i="16"/>
  <c r="P484" i="16"/>
  <c r="I485" i="16"/>
  <c r="P485" i="16"/>
  <c r="I486" i="16"/>
  <c r="P486" i="16"/>
  <c r="I487" i="16"/>
  <c r="P487" i="16"/>
  <c r="I488" i="16"/>
  <c r="P488" i="16"/>
  <c r="I489" i="16"/>
  <c r="P489" i="16"/>
  <c r="I490" i="16"/>
  <c r="P490" i="16"/>
  <c r="I491" i="16"/>
  <c r="P491" i="16"/>
  <c r="I492" i="16"/>
  <c r="P492" i="16"/>
  <c r="I493" i="16"/>
  <c r="P493" i="16"/>
  <c r="I494" i="16"/>
  <c r="P494" i="16"/>
  <c r="I495" i="16"/>
  <c r="P495" i="16"/>
  <c r="I496" i="16"/>
  <c r="P496" i="16"/>
  <c r="I497" i="16"/>
  <c r="P497" i="16"/>
  <c r="I498" i="16"/>
  <c r="P498" i="16"/>
  <c r="I499" i="16"/>
  <c r="P499" i="16"/>
  <c r="I500" i="16"/>
  <c r="P500" i="16"/>
  <c r="I501" i="16"/>
  <c r="P501" i="16"/>
  <c r="I502" i="16"/>
  <c r="P502" i="16"/>
  <c r="I503" i="16"/>
  <c r="P503" i="16"/>
  <c r="I504" i="16"/>
  <c r="P504" i="16"/>
  <c r="I505" i="16"/>
  <c r="P505" i="16"/>
  <c r="I506" i="16"/>
  <c r="P506" i="16"/>
  <c r="I507" i="16"/>
  <c r="P507" i="16"/>
  <c r="I508" i="16"/>
  <c r="P508" i="16"/>
  <c r="I509" i="16"/>
  <c r="P509" i="16"/>
  <c r="I510" i="16"/>
  <c r="P510" i="16"/>
  <c r="I511" i="16"/>
  <c r="P511" i="16"/>
  <c r="I512" i="16"/>
  <c r="P512" i="16"/>
  <c r="I513" i="16"/>
  <c r="P513" i="16"/>
  <c r="I514" i="16"/>
  <c r="P514" i="16"/>
  <c r="I515" i="16"/>
  <c r="P515" i="16"/>
  <c r="I516" i="16"/>
  <c r="P516" i="16"/>
  <c r="I517" i="16"/>
  <c r="P517" i="16"/>
  <c r="I518" i="16"/>
  <c r="P518" i="16"/>
  <c r="I519" i="16"/>
  <c r="P519" i="16"/>
  <c r="I520" i="16"/>
  <c r="P520" i="16"/>
  <c r="I521" i="16"/>
  <c r="P521" i="16"/>
  <c r="I522" i="16"/>
  <c r="P522" i="16"/>
  <c r="I523" i="16"/>
  <c r="P523" i="16"/>
  <c r="I524" i="16"/>
  <c r="P524" i="16"/>
  <c r="I525" i="16"/>
  <c r="P525" i="16"/>
  <c r="I526" i="16"/>
  <c r="P526" i="16"/>
  <c r="I527" i="16"/>
  <c r="P527" i="16"/>
  <c r="I528" i="16"/>
  <c r="P528" i="16"/>
  <c r="I529" i="16"/>
  <c r="P529" i="16"/>
  <c r="I530" i="16"/>
  <c r="P530" i="16"/>
  <c r="I531" i="16"/>
  <c r="P531" i="16"/>
  <c r="I532" i="16"/>
  <c r="P532" i="16"/>
  <c r="I533" i="16"/>
  <c r="P533" i="16"/>
  <c r="I534" i="16"/>
  <c r="P534" i="16"/>
  <c r="I535" i="16"/>
  <c r="P535" i="16"/>
  <c r="I536" i="16"/>
  <c r="P536" i="16"/>
  <c r="I537" i="16"/>
  <c r="P537" i="16"/>
  <c r="I538" i="16"/>
  <c r="P538" i="16"/>
  <c r="I539" i="16"/>
  <c r="P539" i="16"/>
  <c r="I540" i="16"/>
  <c r="P540" i="16"/>
  <c r="I541" i="16"/>
  <c r="P541" i="16"/>
  <c r="I542" i="16"/>
  <c r="P542" i="16"/>
  <c r="I543" i="16"/>
  <c r="P543" i="16"/>
  <c r="I544" i="16"/>
  <c r="P544" i="16"/>
  <c r="I545" i="16"/>
  <c r="P545" i="16"/>
  <c r="I546" i="16"/>
  <c r="P546" i="16"/>
  <c r="I547" i="16"/>
  <c r="P547" i="16"/>
  <c r="I548" i="16"/>
  <c r="P548" i="16"/>
  <c r="I549" i="16"/>
  <c r="P549" i="16"/>
  <c r="I550" i="16"/>
  <c r="P550" i="16"/>
  <c r="I551" i="16"/>
  <c r="P551" i="16"/>
  <c r="I552" i="16"/>
  <c r="P552" i="16"/>
  <c r="I553" i="16"/>
  <c r="P553" i="16"/>
  <c r="I554" i="16"/>
  <c r="P554" i="16"/>
  <c r="I555" i="16"/>
  <c r="P555" i="16"/>
  <c r="I556" i="16"/>
  <c r="P556" i="16"/>
  <c r="I557" i="16"/>
  <c r="P557" i="16"/>
  <c r="I558" i="16"/>
  <c r="P558" i="16"/>
  <c r="I559" i="16"/>
  <c r="P559" i="16"/>
  <c r="I560" i="16"/>
  <c r="P560" i="16"/>
  <c r="I561" i="16"/>
  <c r="P561" i="16"/>
  <c r="I562" i="16"/>
  <c r="P562" i="16"/>
  <c r="I563" i="16"/>
  <c r="P563" i="16"/>
  <c r="I564" i="16"/>
  <c r="P564" i="16"/>
  <c r="I565" i="16"/>
  <c r="P565" i="16"/>
  <c r="I566" i="16"/>
  <c r="P566" i="16"/>
  <c r="I567" i="16"/>
  <c r="P567" i="16"/>
  <c r="I568" i="16"/>
  <c r="P568" i="16"/>
  <c r="I569" i="16"/>
  <c r="P569" i="16"/>
  <c r="I570" i="16"/>
  <c r="P570" i="16"/>
  <c r="I571" i="16"/>
  <c r="P571" i="16"/>
  <c r="I572" i="16"/>
  <c r="P572" i="16"/>
  <c r="I573" i="16"/>
  <c r="P573" i="16"/>
  <c r="I574" i="16"/>
  <c r="P574" i="16"/>
  <c r="I575" i="16"/>
  <c r="P575" i="16"/>
  <c r="I576" i="16"/>
  <c r="P576" i="16"/>
  <c r="I577" i="16"/>
  <c r="P577" i="16"/>
  <c r="I578" i="16"/>
  <c r="P578" i="16"/>
  <c r="I579" i="16"/>
  <c r="P579" i="16"/>
  <c r="I580" i="16"/>
  <c r="P580" i="16"/>
  <c r="I581" i="16"/>
  <c r="P581" i="16"/>
  <c r="I582" i="16"/>
  <c r="P582" i="16"/>
  <c r="I583" i="16"/>
  <c r="P583" i="16"/>
  <c r="I584" i="16"/>
  <c r="P584" i="16"/>
  <c r="I585" i="16"/>
  <c r="P585" i="16"/>
  <c r="I586" i="16"/>
  <c r="P586" i="16"/>
  <c r="I587" i="16"/>
  <c r="P587" i="16"/>
  <c r="I588" i="16"/>
  <c r="P588" i="16"/>
  <c r="I589" i="16"/>
  <c r="P589" i="16"/>
  <c r="I590" i="16"/>
  <c r="P590" i="16"/>
  <c r="I591" i="16"/>
  <c r="P591" i="16"/>
  <c r="I592" i="16"/>
  <c r="P592" i="16"/>
  <c r="I593" i="16"/>
  <c r="P593" i="16"/>
  <c r="I594" i="16"/>
  <c r="P594" i="16"/>
  <c r="I595" i="16"/>
  <c r="P595" i="16"/>
  <c r="I596" i="16"/>
  <c r="P596" i="16"/>
  <c r="I597" i="16"/>
  <c r="P597" i="16"/>
  <c r="I598" i="16"/>
  <c r="P598" i="16"/>
  <c r="I599" i="16"/>
  <c r="P599" i="16"/>
  <c r="I600" i="16"/>
  <c r="P600" i="16"/>
  <c r="I601" i="16"/>
  <c r="P601" i="16"/>
  <c r="I602" i="16"/>
  <c r="P602" i="16"/>
  <c r="I603" i="16"/>
  <c r="P603" i="16"/>
  <c r="I604" i="16"/>
  <c r="P604" i="16"/>
  <c r="I605" i="16"/>
  <c r="P605" i="16"/>
  <c r="I606" i="16"/>
  <c r="P606" i="16"/>
  <c r="I607" i="16"/>
  <c r="P607" i="16"/>
  <c r="I608" i="16"/>
  <c r="P608" i="16"/>
  <c r="I609" i="16"/>
  <c r="P609" i="16"/>
  <c r="I610" i="16"/>
  <c r="P610" i="16"/>
  <c r="I611" i="16"/>
  <c r="P611" i="16"/>
  <c r="I612" i="16"/>
  <c r="P612" i="16"/>
  <c r="I613" i="16"/>
  <c r="P613" i="16"/>
  <c r="I614" i="16"/>
  <c r="P614" i="16"/>
  <c r="I615" i="16"/>
  <c r="P615" i="16"/>
  <c r="I616" i="16"/>
  <c r="P616" i="16"/>
  <c r="I617" i="16"/>
  <c r="P617" i="16"/>
  <c r="I618" i="16"/>
  <c r="P618" i="16"/>
  <c r="I619" i="16"/>
  <c r="P619" i="16"/>
  <c r="I620" i="16"/>
  <c r="P620" i="16"/>
  <c r="I621" i="16"/>
  <c r="P621" i="16"/>
  <c r="I622" i="16"/>
  <c r="P622" i="16"/>
  <c r="I623" i="16"/>
  <c r="P623" i="16"/>
  <c r="I624" i="16"/>
  <c r="P624" i="16"/>
  <c r="I625" i="16"/>
  <c r="P625" i="16"/>
  <c r="I626" i="16"/>
  <c r="P626" i="16"/>
  <c r="I627" i="16"/>
  <c r="P627" i="16"/>
  <c r="I628" i="16"/>
  <c r="P628" i="16"/>
  <c r="I629" i="16"/>
  <c r="P629" i="16"/>
  <c r="I630" i="16"/>
  <c r="P630" i="16"/>
  <c r="I631" i="16"/>
  <c r="P631" i="16"/>
  <c r="I632" i="16"/>
  <c r="P632" i="16"/>
  <c r="I633" i="16"/>
  <c r="P633" i="16"/>
  <c r="I634" i="16"/>
  <c r="P634" i="16"/>
  <c r="I635" i="16"/>
  <c r="P635" i="16"/>
  <c r="I636" i="16"/>
  <c r="P636" i="16"/>
  <c r="I637" i="16"/>
  <c r="P637" i="16"/>
  <c r="I638" i="16"/>
  <c r="P638" i="16"/>
  <c r="I639" i="16"/>
  <c r="P639" i="16"/>
  <c r="I640" i="16"/>
  <c r="P640" i="16"/>
  <c r="I641" i="16"/>
  <c r="P641" i="16"/>
  <c r="I642" i="16"/>
  <c r="P642" i="16"/>
  <c r="I643" i="16"/>
  <c r="P643" i="16"/>
  <c r="I644" i="16"/>
  <c r="P644" i="16"/>
  <c r="I645" i="16"/>
  <c r="P645" i="16"/>
  <c r="I646" i="16"/>
  <c r="P646" i="16"/>
  <c r="I647" i="16"/>
  <c r="P647" i="16"/>
  <c r="I648" i="16"/>
  <c r="P648" i="16"/>
  <c r="I649" i="16"/>
  <c r="P649" i="16"/>
  <c r="I650" i="16"/>
  <c r="P650" i="16"/>
  <c r="I651" i="16"/>
  <c r="P651" i="16"/>
  <c r="I652" i="16"/>
  <c r="P652" i="16"/>
  <c r="I653" i="16"/>
  <c r="P653" i="16"/>
  <c r="I654" i="16"/>
  <c r="P654" i="16"/>
  <c r="I655" i="16"/>
  <c r="P655" i="16"/>
  <c r="I656" i="16"/>
  <c r="P656" i="16"/>
  <c r="I657" i="16"/>
  <c r="P657" i="16"/>
  <c r="I658" i="16"/>
  <c r="P658" i="16"/>
  <c r="I659" i="16"/>
  <c r="P659" i="16"/>
  <c r="I660" i="16"/>
  <c r="P660" i="16"/>
  <c r="I661" i="16"/>
  <c r="P661" i="16"/>
  <c r="I662" i="16"/>
  <c r="P662" i="16"/>
  <c r="I663" i="16"/>
  <c r="P663" i="16"/>
  <c r="I664" i="16"/>
  <c r="P664" i="16"/>
  <c r="I665" i="16"/>
  <c r="P665" i="16"/>
  <c r="I666" i="16"/>
  <c r="P666" i="16"/>
  <c r="I667" i="16"/>
  <c r="P667" i="16"/>
  <c r="I668" i="16"/>
  <c r="P668" i="16"/>
  <c r="I669" i="16"/>
  <c r="P669" i="16"/>
  <c r="I670" i="16"/>
  <c r="P670" i="16"/>
  <c r="I671" i="16"/>
  <c r="P671" i="16"/>
  <c r="I672" i="16"/>
  <c r="P672" i="16"/>
  <c r="I673" i="16"/>
  <c r="P673" i="16"/>
  <c r="I674" i="16"/>
  <c r="P674" i="16"/>
  <c r="I675" i="16"/>
  <c r="P675" i="16"/>
  <c r="I676" i="16"/>
  <c r="P676" i="16"/>
  <c r="I677" i="16"/>
  <c r="P677" i="16"/>
  <c r="I678" i="16"/>
  <c r="P678" i="16"/>
  <c r="I679" i="16"/>
  <c r="P679" i="16"/>
  <c r="I680" i="16"/>
  <c r="P680" i="16"/>
  <c r="I681" i="16"/>
  <c r="P681" i="16"/>
  <c r="I682" i="16"/>
  <c r="P682" i="16"/>
  <c r="I683" i="16"/>
  <c r="P683" i="16"/>
  <c r="I684" i="16"/>
  <c r="P684" i="16"/>
  <c r="I685" i="16"/>
  <c r="P685" i="16"/>
  <c r="I686" i="16"/>
  <c r="P686" i="16"/>
  <c r="I687" i="16"/>
  <c r="P687" i="16"/>
  <c r="I688" i="16"/>
  <c r="P688" i="16"/>
  <c r="I689" i="16"/>
  <c r="P689" i="16"/>
  <c r="I690" i="16"/>
  <c r="P690" i="16"/>
  <c r="I691" i="16"/>
  <c r="P691" i="16"/>
  <c r="I692" i="16"/>
  <c r="P692" i="16"/>
  <c r="I693" i="16"/>
  <c r="P693" i="16"/>
  <c r="I694" i="16"/>
  <c r="P694" i="16"/>
  <c r="I695" i="16"/>
  <c r="P695" i="16"/>
  <c r="I696" i="16"/>
  <c r="P696" i="16"/>
  <c r="I697" i="16"/>
  <c r="P697" i="16"/>
  <c r="I698" i="16"/>
  <c r="P698" i="16"/>
  <c r="I699" i="16"/>
  <c r="P699" i="16"/>
  <c r="I700" i="16"/>
  <c r="P700" i="16"/>
  <c r="I701" i="16"/>
  <c r="P701" i="16"/>
  <c r="I702" i="16"/>
  <c r="P702" i="16"/>
  <c r="I703" i="16"/>
  <c r="P703" i="16"/>
  <c r="I704" i="16"/>
  <c r="P704" i="16"/>
  <c r="I705" i="16"/>
  <c r="P705" i="16"/>
  <c r="I706" i="16"/>
  <c r="P706" i="16"/>
  <c r="I707" i="16"/>
  <c r="P707" i="16"/>
  <c r="I708" i="16"/>
  <c r="P708" i="16"/>
  <c r="I709" i="16"/>
  <c r="P709" i="16"/>
  <c r="I710" i="16"/>
  <c r="P710" i="16"/>
  <c r="I711" i="16"/>
  <c r="P711" i="16"/>
  <c r="I712" i="16"/>
  <c r="P712" i="16"/>
  <c r="I713" i="16"/>
  <c r="P713" i="16"/>
  <c r="I714" i="16"/>
  <c r="P714" i="16"/>
  <c r="I715" i="16"/>
  <c r="P715" i="16"/>
  <c r="I716" i="16"/>
  <c r="P716" i="16"/>
  <c r="I717" i="16"/>
  <c r="P717" i="16"/>
  <c r="I718" i="16"/>
  <c r="P718" i="16"/>
  <c r="I719" i="16"/>
  <c r="P719" i="16"/>
  <c r="H720" i="16"/>
  <c r="I720" i="16"/>
  <c r="P720" i="16"/>
  <c r="H721" i="16"/>
  <c r="O721" i="16" s="1"/>
  <c r="P721" i="16"/>
  <c r="H722" i="16"/>
  <c r="O722" i="16" s="1"/>
  <c r="P722" i="16"/>
  <c r="H723" i="16"/>
  <c r="O723" i="16" s="1"/>
  <c r="P723" i="16"/>
  <c r="H724" i="16"/>
  <c r="O724" i="16" s="1"/>
  <c r="P724" i="16"/>
  <c r="H725" i="16"/>
  <c r="O725" i="16"/>
  <c r="P725" i="16"/>
  <c r="H726" i="16"/>
  <c r="O726" i="16" s="1"/>
  <c r="P726" i="16"/>
  <c r="H727" i="16"/>
  <c r="O727" i="16" s="1"/>
  <c r="P727" i="16"/>
  <c r="H728" i="16"/>
  <c r="O728" i="16" s="1"/>
  <c r="P728" i="16"/>
  <c r="H729" i="16"/>
  <c r="O729" i="16" s="1"/>
  <c r="P729" i="16"/>
  <c r="H730" i="16"/>
  <c r="O730" i="16"/>
  <c r="P730" i="16"/>
  <c r="H731" i="16"/>
  <c r="O731" i="16"/>
  <c r="P731" i="16"/>
  <c r="H732" i="16"/>
  <c r="O732" i="16"/>
  <c r="P732" i="16"/>
  <c r="H733" i="16"/>
  <c r="O733" i="16" s="1"/>
  <c r="P733" i="16"/>
  <c r="H734" i="16"/>
  <c r="O734" i="16" s="1"/>
  <c r="P734" i="16"/>
  <c r="H735" i="16"/>
  <c r="O735" i="16" s="1"/>
  <c r="P735" i="16"/>
  <c r="H736" i="16"/>
  <c r="O736" i="16" s="1"/>
  <c r="P736" i="16"/>
  <c r="H737" i="16"/>
  <c r="O737" i="16" s="1"/>
  <c r="P737" i="16"/>
  <c r="H738" i="16"/>
  <c r="O738" i="16"/>
  <c r="P738" i="16"/>
  <c r="H739" i="16"/>
  <c r="O739" i="16" s="1"/>
  <c r="P739" i="16"/>
  <c r="H740" i="16"/>
  <c r="O740" i="16" s="1"/>
  <c r="P740" i="16"/>
  <c r="H741" i="16"/>
  <c r="O741" i="16" s="1"/>
  <c r="P741" i="16"/>
  <c r="H742" i="16"/>
  <c r="O742" i="16" s="1"/>
  <c r="P742" i="16"/>
  <c r="H743" i="16"/>
  <c r="O743" i="16" s="1"/>
  <c r="P743" i="16"/>
  <c r="H744" i="16"/>
  <c r="O744" i="16" s="1"/>
  <c r="P744" i="16"/>
  <c r="H745" i="16"/>
  <c r="O745" i="16" s="1"/>
  <c r="P745" i="16"/>
  <c r="H746" i="16"/>
  <c r="O746" i="16"/>
  <c r="P746" i="16"/>
  <c r="H747" i="16"/>
  <c r="O747" i="16" s="1"/>
  <c r="P747" i="16"/>
  <c r="H748" i="16"/>
  <c r="O748" i="16" s="1"/>
  <c r="P748" i="16"/>
  <c r="H749" i="16"/>
  <c r="O749" i="16" s="1"/>
  <c r="P749" i="16"/>
  <c r="H750" i="16"/>
  <c r="O750" i="16" s="1"/>
  <c r="P750" i="16"/>
  <c r="H751" i="16"/>
  <c r="O751" i="16" s="1"/>
  <c r="P751" i="16"/>
  <c r="H752" i="16"/>
  <c r="O752" i="16" s="1"/>
  <c r="P752" i="16"/>
  <c r="H753" i="16"/>
  <c r="O753" i="16"/>
  <c r="P753" i="16"/>
  <c r="H754" i="16"/>
  <c r="O754" i="16" s="1"/>
  <c r="P754" i="16"/>
  <c r="H755" i="16"/>
  <c r="O755" i="16" s="1"/>
  <c r="P755" i="16"/>
  <c r="H756" i="16"/>
  <c r="O756" i="16" s="1"/>
  <c r="P756" i="16"/>
  <c r="H757" i="16"/>
  <c r="O757" i="16" s="1"/>
  <c r="P757" i="16"/>
  <c r="H758" i="16"/>
  <c r="O758" i="16" s="1"/>
  <c r="P758" i="16"/>
  <c r="H759" i="16"/>
  <c r="O759" i="16"/>
  <c r="P759" i="16"/>
  <c r="H760" i="16"/>
  <c r="O760" i="16"/>
  <c r="P760" i="16"/>
  <c r="H761" i="16"/>
  <c r="O761" i="16" s="1"/>
  <c r="P761" i="16"/>
  <c r="H762" i="16"/>
  <c r="O762" i="16" s="1"/>
  <c r="P762" i="16"/>
  <c r="H763" i="16"/>
  <c r="O763" i="16" s="1"/>
  <c r="P763" i="16"/>
  <c r="H764" i="16"/>
  <c r="O764" i="16" s="1"/>
  <c r="P764" i="16"/>
  <c r="H765" i="16"/>
  <c r="O765" i="16" s="1"/>
  <c r="P765" i="16"/>
  <c r="H766" i="16"/>
  <c r="O766" i="16" s="1"/>
  <c r="P766" i="16"/>
  <c r="H767" i="16"/>
  <c r="O767" i="16" s="1"/>
  <c r="D16" i="17" s="1"/>
  <c r="P767" i="16"/>
  <c r="H768" i="16"/>
  <c r="O768" i="16" s="1"/>
  <c r="P768" i="16"/>
  <c r="H769" i="16"/>
  <c r="O769" i="16" s="1"/>
  <c r="P769" i="16"/>
  <c r="H770" i="16"/>
  <c r="I770" i="16"/>
  <c r="O770" i="16" s="1"/>
  <c r="P770" i="16"/>
  <c r="H771" i="16"/>
  <c r="O771" i="16"/>
  <c r="D15" i="17" s="1"/>
  <c r="P771" i="16"/>
  <c r="H772" i="16"/>
  <c r="O772" i="16" s="1"/>
  <c r="P772" i="16"/>
  <c r="H773" i="16"/>
  <c r="O773" i="16" s="1"/>
  <c r="P773" i="16"/>
  <c r="H774" i="16"/>
  <c r="O774" i="16" s="1"/>
  <c r="P774" i="16"/>
  <c r="H775" i="16"/>
  <c r="O775" i="16"/>
  <c r="P775" i="16"/>
  <c r="H776" i="16"/>
  <c r="O776" i="16" s="1"/>
  <c r="P776" i="16"/>
  <c r="H777" i="16"/>
  <c r="I777" i="16"/>
  <c r="P777" i="16"/>
  <c r="H778" i="16"/>
  <c r="O778" i="16" s="1"/>
  <c r="P778" i="16"/>
  <c r="H779" i="16"/>
  <c r="O779" i="16"/>
  <c r="P779" i="16"/>
  <c r="H780" i="16"/>
  <c r="O780" i="16"/>
  <c r="P780" i="16"/>
  <c r="H781" i="16"/>
  <c r="O781" i="16"/>
  <c r="P781" i="16"/>
  <c r="H782" i="16"/>
  <c r="O782" i="16"/>
  <c r="P782" i="16"/>
  <c r="H783" i="16"/>
  <c r="I783" i="16"/>
  <c r="P783" i="16"/>
  <c r="H784" i="16"/>
  <c r="O784" i="16" s="1"/>
  <c r="P784" i="16"/>
  <c r="H785" i="16"/>
  <c r="O785" i="16" s="1"/>
  <c r="P785" i="16"/>
  <c r="H786" i="16"/>
  <c r="O786" i="16"/>
  <c r="P786" i="16"/>
  <c r="H787" i="16"/>
  <c r="O787" i="16"/>
  <c r="P787" i="16"/>
  <c r="H788" i="16"/>
  <c r="O788" i="16" s="1"/>
  <c r="P788" i="16"/>
  <c r="H789" i="16"/>
  <c r="O789" i="16" s="1"/>
  <c r="P789" i="16"/>
  <c r="H790" i="16"/>
  <c r="O790" i="16"/>
  <c r="P790" i="16"/>
  <c r="H791" i="16"/>
  <c r="O791" i="16"/>
  <c r="P791" i="16"/>
  <c r="H792" i="16"/>
  <c r="O792" i="16"/>
  <c r="P792" i="16"/>
  <c r="H793" i="16"/>
  <c r="O793" i="16"/>
  <c r="P793" i="16"/>
  <c r="H794" i="16"/>
  <c r="O794" i="16" s="1"/>
  <c r="P794" i="16"/>
  <c r="H795" i="16"/>
  <c r="O795" i="16" s="1"/>
  <c r="P795" i="16"/>
  <c r="H796" i="16"/>
  <c r="O796" i="16" s="1"/>
  <c r="P796" i="16"/>
  <c r="H797" i="16"/>
  <c r="O797" i="16"/>
  <c r="P797" i="16"/>
  <c r="H798" i="16"/>
  <c r="O798" i="16"/>
  <c r="P798" i="16"/>
  <c r="H799" i="16"/>
  <c r="O799" i="16" s="1"/>
  <c r="P799" i="16"/>
  <c r="H800" i="16"/>
  <c r="O800" i="16" s="1"/>
  <c r="P800" i="16"/>
  <c r="H801" i="16"/>
  <c r="O801" i="16"/>
  <c r="P801" i="16"/>
  <c r="H802" i="16"/>
  <c r="O802" i="16" s="1"/>
  <c r="P802" i="16"/>
  <c r="H803" i="16"/>
  <c r="O803" i="16"/>
  <c r="P803" i="16"/>
  <c r="H804" i="16"/>
  <c r="O804" i="16"/>
  <c r="P804" i="16"/>
  <c r="H805" i="16"/>
  <c r="O805" i="16" s="1"/>
  <c r="P805" i="16"/>
  <c r="H806" i="16"/>
  <c r="O806" i="16"/>
  <c r="P806" i="16"/>
  <c r="H807" i="16"/>
  <c r="O807" i="16" s="1"/>
  <c r="P807" i="16"/>
  <c r="H808" i="16"/>
  <c r="O808" i="16" s="1"/>
  <c r="P808" i="16"/>
  <c r="H809" i="16"/>
  <c r="O809" i="16" s="1"/>
  <c r="P809" i="16"/>
  <c r="H810" i="16"/>
  <c r="O810" i="16" s="1"/>
  <c r="P810" i="16"/>
  <c r="H811" i="16"/>
  <c r="O811" i="16" s="1"/>
  <c r="P811" i="16"/>
  <c r="H812" i="16"/>
  <c r="O812" i="16" s="1"/>
  <c r="P812" i="16"/>
  <c r="H813" i="16"/>
  <c r="O813" i="16" s="1"/>
  <c r="P813" i="16"/>
  <c r="H814" i="16"/>
  <c r="O814" i="16" s="1"/>
  <c r="J814" i="16"/>
  <c r="P814" i="16" s="1"/>
  <c r="H815" i="16"/>
  <c r="O815" i="16" s="1"/>
  <c r="J815" i="16"/>
  <c r="P815" i="16" s="1"/>
  <c r="H816" i="16"/>
  <c r="O816" i="16" s="1"/>
  <c r="J816" i="16"/>
  <c r="P816" i="16" s="1"/>
  <c r="H817" i="16"/>
  <c r="O817" i="16" s="1"/>
  <c r="J817" i="16"/>
  <c r="P817" i="16"/>
  <c r="H818" i="16"/>
  <c r="O818" i="16" s="1"/>
  <c r="J818" i="16"/>
  <c r="P818" i="16" s="1"/>
  <c r="H819" i="16"/>
  <c r="O819" i="16" s="1"/>
  <c r="J819" i="16"/>
  <c r="P819" i="16" s="1"/>
  <c r="H820" i="16"/>
  <c r="O820" i="16" s="1"/>
  <c r="J820" i="16"/>
  <c r="P820" i="16" s="1"/>
  <c r="H821" i="16"/>
  <c r="O821" i="16" s="1"/>
  <c r="J821" i="16"/>
  <c r="P821" i="16" s="1"/>
  <c r="H822" i="16"/>
  <c r="O822" i="16" s="1"/>
  <c r="J822" i="16"/>
  <c r="P822" i="16"/>
  <c r="H823" i="16"/>
  <c r="J823" i="16"/>
  <c r="P823" i="16" s="1"/>
  <c r="O823" i="16"/>
  <c r="H824" i="16"/>
  <c r="O824" i="16" s="1"/>
  <c r="J824" i="16"/>
  <c r="P824" i="16" s="1"/>
  <c r="H825" i="16"/>
  <c r="O825" i="16" s="1"/>
  <c r="J825" i="16"/>
  <c r="P825" i="16" s="1"/>
  <c r="H826" i="16"/>
  <c r="O826" i="16" s="1"/>
  <c r="J826" i="16"/>
  <c r="P826" i="16"/>
  <c r="H827" i="16"/>
  <c r="O827" i="16" s="1"/>
  <c r="P827" i="16"/>
  <c r="H828" i="16"/>
  <c r="O828" i="16" s="1"/>
  <c r="J828" i="16"/>
  <c r="P828" i="16" s="1"/>
  <c r="H829" i="16"/>
  <c r="O829" i="16" s="1"/>
  <c r="J829" i="16"/>
  <c r="P829" i="16"/>
  <c r="H830" i="16"/>
  <c r="O830" i="16" s="1"/>
  <c r="J830" i="16"/>
  <c r="P830" i="16" s="1"/>
  <c r="H831" i="16"/>
  <c r="O831" i="16" s="1"/>
  <c r="J831" i="16"/>
  <c r="P831" i="16" s="1"/>
  <c r="H832" i="16"/>
  <c r="O832" i="16" s="1"/>
  <c r="J832" i="16"/>
  <c r="P832" i="16" s="1"/>
  <c r="H833" i="16"/>
  <c r="O833" i="16" s="1"/>
  <c r="J833" i="16"/>
  <c r="P833" i="16" s="1"/>
  <c r="H834" i="16"/>
  <c r="O834" i="16" s="1"/>
  <c r="J834" i="16"/>
  <c r="P834" i="16" s="1"/>
  <c r="H835" i="16"/>
  <c r="O835" i="16" s="1"/>
  <c r="J835" i="16"/>
  <c r="P835" i="16"/>
  <c r="H836" i="16"/>
  <c r="J836" i="16"/>
  <c r="P836" i="16" s="1"/>
  <c r="O836" i="16"/>
  <c r="H837" i="16"/>
  <c r="O837" i="16" s="1"/>
  <c r="J837" i="16"/>
  <c r="P837" i="16" s="1"/>
  <c r="H838" i="16"/>
  <c r="J838" i="16"/>
  <c r="P838" i="16" s="1"/>
  <c r="O838" i="16"/>
  <c r="H839" i="16"/>
  <c r="O839" i="16" s="1"/>
  <c r="J839" i="16"/>
  <c r="P839" i="16" s="1"/>
  <c r="H840" i="16"/>
  <c r="O840" i="16" s="1"/>
  <c r="J840" i="16"/>
  <c r="P840" i="16"/>
  <c r="H841" i="16"/>
  <c r="O841" i="16" s="1"/>
  <c r="P841" i="16"/>
  <c r="H842" i="16"/>
  <c r="O842" i="16"/>
  <c r="P842" i="16"/>
  <c r="H843" i="16"/>
  <c r="O843" i="16" s="1"/>
  <c r="P843" i="16"/>
  <c r="H844" i="16"/>
  <c r="O844" i="16"/>
  <c r="P844" i="16"/>
  <c r="H845" i="16"/>
  <c r="O845" i="16" s="1"/>
  <c r="P845" i="16"/>
  <c r="H846" i="16"/>
  <c r="O846" i="16" s="1"/>
  <c r="P846" i="16"/>
  <c r="H847" i="16"/>
  <c r="O847" i="16" s="1"/>
  <c r="P847" i="16"/>
  <c r="H848" i="16"/>
  <c r="O848" i="16"/>
  <c r="P848" i="16"/>
  <c r="H849" i="16"/>
  <c r="O849" i="16" s="1"/>
  <c r="P849" i="16"/>
  <c r="H850" i="16"/>
  <c r="O850" i="16" s="1"/>
  <c r="P850" i="16"/>
  <c r="H851" i="16"/>
  <c r="O851" i="16" s="1"/>
  <c r="P851" i="16"/>
  <c r="J852" i="16"/>
  <c r="K852" i="16"/>
  <c r="O852" i="16"/>
  <c r="J853" i="16"/>
  <c r="K853" i="16"/>
  <c r="O853" i="16"/>
  <c r="P853" i="16"/>
  <c r="J854" i="16"/>
  <c r="K854" i="16"/>
  <c r="O854" i="16"/>
  <c r="J855" i="16"/>
  <c r="K855" i="16"/>
  <c r="O855" i="16"/>
  <c r="J856" i="16"/>
  <c r="K856" i="16"/>
  <c r="O856" i="16"/>
  <c r="J857" i="16"/>
  <c r="K857" i="16"/>
  <c r="O857" i="16"/>
  <c r="J858" i="16"/>
  <c r="K858" i="16"/>
  <c r="O858" i="16"/>
  <c r="J859" i="16"/>
  <c r="K859" i="16"/>
  <c r="O859" i="16"/>
  <c r="J860" i="16"/>
  <c r="K860" i="16"/>
  <c r="O860" i="16"/>
  <c r="J861" i="16"/>
  <c r="K861" i="16"/>
  <c r="O861" i="16"/>
  <c r="K862" i="16"/>
  <c r="P862" i="16" s="1"/>
  <c r="O862" i="16"/>
  <c r="K863" i="16"/>
  <c r="P863" i="16" s="1"/>
  <c r="O863" i="16"/>
  <c r="J864" i="16"/>
  <c r="K864" i="16"/>
  <c r="O864" i="16"/>
  <c r="J865" i="16"/>
  <c r="K865" i="16"/>
  <c r="O865" i="16"/>
  <c r="J866" i="16"/>
  <c r="K866" i="16"/>
  <c r="O866" i="16"/>
  <c r="J867" i="16"/>
  <c r="P867" i="16" s="1"/>
  <c r="K867" i="16"/>
  <c r="O867" i="16"/>
  <c r="J868" i="16"/>
  <c r="K868" i="16"/>
  <c r="O868" i="16"/>
  <c r="J869" i="16"/>
  <c r="K869" i="16"/>
  <c r="O869" i="16"/>
  <c r="J870" i="16"/>
  <c r="K870" i="16"/>
  <c r="O870" i="16"/>
  <c r="J871" i="16"/>
  <c r="K871" i="16"/>
  <c r="P871" i="16" s="1"/>
  <c r="O871" i="16"/>
  <c r="J872" i="16"/>
  <c r="P872" i="16" s="1"/>
  <c r="K872" i="16"/>
  <c r="O872" i="16"/>
  <c r="J873" i="16"/>
  <c r="K873" i="16"/>
  <c r="O873" i="16"/>
  <c r="J874" i="16"/>
  <c r="K874" i="16"/>
  <c r="O874" i="16"/>
  <c r="J875" i="16"/>
  <c r="K875" i="16"/>
  <c r="O875" i="16"/>
  <c r="J876" i="16"/>
  <c r="P876" i="16" s="1"/>
  <c r="K876" i="16"/>
  <c r="O876" i="16"/>
  <c r="J877" i="16"/>
  <c r="P877" i="16" s="1"/>
  <c r="K877" i="16"/>
  <c r="O877" i="16"/>
  <c r="J878" i="16"/>
  <c r="K878" i="16"/>
  <c r="O878" i="16"/>
  <c r="J879" i="16"/>
  <c r="K879" i="16"/>
  <c r="O879" i="16"/>
  <c r="J880" i="16"/>
  <c r="K880" i="16"/>
  <c r="O880" i="16"/>
  <c r="P880" i="16"/>
  <c r="J881" i="16"/>
  <c r="K881" i="16"/>
  <c r="O881" i="16"/>
  <c r="J882" i="16"/>
  <c r="K882" i="16"/>
  <c r="O882" i="16"/>
  <c r="J883" i="16"/>
  <c r="K883" i="16"/>
  <c r="O883" i="16"/>
  <c r="J884" i="16"/>
  <c r="K884" i="16"/>
  <c r="O884" i="16"/>
  <c r="P884" i="16"/>
  <c r="J885" i="16"/>
  <c r="K885" i="16"/>
  <c r="O885" i="16"/>
  <c r="J886" i="16"/>
  <c r="K886" i="16"/>
  <c r="O886" i="16"/>
  <c r="J887" i="16"/>
  <c r="K887" i="16"/>
  <c r="O887" i="16"/>
  <c r="J888" i="16"/>
  <c r="K888" i="16"/>
  <c r="O888" i="16"/>
  <c r="O889" i="16"/>
  <c r="P889" i="16"/>
  <c r="O890" i="16"/>
  <c r="P890" i="16"/>
  <c r="O891" i="16"/>
  <c r="P891" i="16"/>
  <c r="O892" i="16"/>
  <c r="P892" i="16"/>
  <c r="O893" i="16"/>
  <c r="P893" i="16"/>
  <c r="O894" i="16"/>
  <c r="P894" i="16"/>
  <c r="O895" i="16"/>
  <c r="P895" i="16"/>
  <c r="O896" i="16"/>
  <c r="P896" i="16"/>
  <c r="O897" i="16"/>
  <c r="P897" i="16"/>
  <c r="O898" i="16"/>
  <c r="P898" i="16"/>
  <c r="O899" i="16"/>
  <c r="P899" i="16"/>
  <c r="O900" i="16"/>
  <c r="P900" i="16"/>
  <c r="O901" i="16"/>
  <c r="P901" i="16"/>
  <c r="O902" i="16"/>
  <c r="P902" i="16"/>
  <c r="O903" i="16"/>
  <c r="P903" i="16"/>
  <c r="O904" i="16"/>
  <c r="P904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T132" i="24" l="1"/>
  <c r="AH132" i="24" s="1"/>
  <c r="K132" i="24" s="1"/>
  <c r="T199" i="24"/>
  <c r="AH199" i="24" s="1"/>
  <c r="K199" i="24" s="1"/>
  <c r="T167" i="24"/>
  <c r="AH167" i="24" s="1"/>
  <c r="K167" i="24" s="1"/>
  <c r="T133" i="24"/>
  <c r="AH133" i="24" s="1"/>
  <c r="K133" i="24" s="1"/>
  <c r="T130" i="24"/>
  <c r="AH130" i="24" s="1"/>
  <c r="K130" i="24" s="1"/>
  <c r="T131" i="24"/>
  <c r="AH131" i="24" s="1"/>
  <c r="K131" i="24" s="1"/>
  <c r="T166" i="24"/>
  <c r="AH166" i="24" s="1"/>
  <c r="K166" i="24" s="1"/>
  <c r="T165" i="24"/>
  <c r="AH165" i="24" s="1"/>
  <c r="K165" i="24" s="1"/>
  <c r="T198" i="24"/>
  <c r="AH198" i="24" s="1"/>
  <c r="K198" i="24" s="1"/>
  <c r="T197" i="24"/>
  <c r="AH197" i="24" s="1"/>
  <c r="K197" i="24" s="1"/>
  <c r="T196" i="24"/>
  <c r="AH196" i="24" s="1"/>
  <c r="K196" i="24" s="1"/>
  <c r="R114" i="24"/>
  <c r="R191" i="24"/>
  <c r="R192" i="24"/>
  <c r="R116" i="24"/>
  <c r="R117" i="24"/>
  <c r="R115" i="24"/>
  <c r="R113" i="24"/>
  <c r="R118" i="24"/>
  <c r="R190" i="24"/>
  <c r="R161" i="24"/>
  <c r="R159" i="24"/>
  <c r="R162" i="24"/>
  <c r="R158" i="24"/>
  <c r="R160" i="24"/>
  <c r="R193" i="24"/>
  <c r="R124" i="24"/>
  <c r="R178" i="24"/>
  <c r="J260" i="24"/>
  <c r="J253" i="24"/>
  <c r="T107" i="24"/>
  <c r="T105" i="24"/>
  <c r="T108" i="24"/>
  <c r="T110" i="24"/>
  <c r="T106" i="24"/>
  <c r="T104" i="24"/>
  <c r="T109" i="24"/>
  <c r="E75" i="20"/>
  <c r="F59" i="20"/>
  <c r="R106" i="24"/>
  <c r="R104" i="24"/>
  <c r="R109" i="24"/>
  <c r="R107" i="24"/>
  <c r="R105" i="24"/>
  <c r="R108" i="24"/>
  <c r="R110" i="24"/>
  <c r="T60" i="24"/>
  <c r="AH60" i="24" s="1"/>
  <c r="K60" i="24" s="1"/>
  <c r="T84" i="24"/>
  <c r="T66" i="24"/>
  <c r="T48" i="24"/>
  <c r="T72" i="24"/>
  <c r="T54" i="24"/>
  <c r="AH54" i="24" s="1"/>
  <c r="K54" i="24" s="1"/>
  <c r="T78" i="24"/>
  <c r="AA199" i="24"/>
  <c r="AA167" i="24"/>
  <c r="AA133" i="24"/>
  <c r="AA132" i="24"/>
  <c r="AA114" i="24"/>
  <c r="AA152" i="24"/>
  <c r="AA150" i="24"/>
  <c r="AA148" i="24"/>
  <c r="AA191" i="24"/>
  <c r="AA183" i="24"/>
  <c r="AA131" i="24"/>
  <c r="AA192" i="24"/>
  <c r="AA151" i="24"/>
  <c r="AA149" i="24"/>
  <c r="AA212" i="24"/>
  <c r="AA184" i="24"/>
  <c r="AA182" i="24"/>
  <c r="AA130" i="24"/>
  <c r="AA118" i="24"/>
  <c r="AA106" i="24"/>
  <c r="AA104" i="24"/>
  <c r="AA109" i="24"/>
  <c r="AA124" i="24"/>
  <c r="AA116" i="24"/>
  <c r="AA117" i="24"/>
  <c r="AA115" i="24"/>
  <c r="AA107" i="24"/>
  <c r="AA105" i="24"/>
  <c r="AA108" i="24"/>
  <c r="AA113" i="24"/>
  <c r="AA110" i="24"/>
  <c r="AA193" i="24"/>
  <c r="AA185" i="24"/>
  <c r="AA162" i="24"/>
  <c r="AA158" i="24"/>
  <c r="AA166" i="24"/>
  <c r="AA145" i="24"/>
  <c r="AA159" i="24"/>
  <c r="AA198" i="24"/>
  <c r="AA197" i="24"/>
  <c r="AA196" i="24"/>
  <c r="AA178" i="24"/>
  <c r="AA190" i="24"/>
  <c r="AA181" i="24"/>
  <c r="AA161" i="24"/>
  <c r="AA155" i="24"/>
  <c r="AA165" i="24"/>
  <c r="AA160" i="24"/>
  <c r="AA154" i="24"/>
  <c r="AA153" i="24"/>
  <c r="AA187" i="24"/>
  <c r="AA186" i="24"/>
  <c r="T178" i="24"/>
  <c r="T145" i="24"/>
  <c r="R48" i="24"/>
  <c r="R72" i="24"/>
  <c r="R54" i="24"/>
  <c r="R78" i="24"/>
  <c r="R60" i="24"/>
  <c r="AF60" i="24" s="1"/>
  <c r="I60" i="24" s="1"/>
  <c r="N60" i="24" s="1"/>
  <c r="R84" i="24"/>
  <c r="R66" i="24"/>
  <c r="I262" i="24"/>
  <c r="I255" i="24"/>
  <c r="I261" i="24"/>
  <c r="I254" i="24"/>
  <c r="T154" i="24"/>
  <c r="T152" i="24"/>
  <c r="T150" i="24"/>
  <c r="T148" i="24"/>
  <c r="T186" i="24"/>
  <c r="T184" i="24"/>
  <c r="T182" i="24"/>
  <c r="T155" i="24"/>
  <c r="T153" i="24"/>
  <c r="T151" i="24"/>
  <c r="T149" i="24"/>
  <c r="T187" i="24"/>
  <c r="T185" i="24"/>
  <c r="T183" i="24"/>
  <c r="T181" i="24"/>
  <c r="T212" i="24"/>
  <c r="E471" i="20"/>
  <c r="F471" i="20" s="1"/>
  <c r="I263" i="24"/>
  <c r="N263" i="24" s="1"/>
  <c r="I256" i="24"/>
  <c r="N256" i="24" s="1"/>
  <c r="R217" i="24"/>
  <c r="R199" i="24"/>
  <c r="R167" i="24"/>
  <c r="R133" i="24"/>
  <c r="R132" i="24"/>
  <c r="R131" i="24"/>
  <c r="R130" i="24"/>
  <c r="R198" i="24"/>
  <c r="R197" i="24"/>
  <c r="R196" i="24"/>
  <c r="R166" i="24"/>
  <c r="R165" i="24"/>
  <c r="T114" i="24"/>
  <c r="T192" i="24"/>
  <c r="T191" i="24"/>
  <c r="T115" i="24"/>
  <c r="T113" i="24"/>
  <c r="T118" i="24"/>
  <c r="T116" i="24"/>
  <c r="T117" i="24"/>
  <c r="T160" i="24"/>
  <c r="T158" i="24"/>
  <c r="T159" i="24"/>
  <c r="T162" i="24"/>
  <c r="T161" i="24"/>
  <c r="T193" i="24"/>
  <c r="T190" i="24"/>
  <c r="F282" i="20"/>
  <c r="S153" i="24"/>
  <c r="AG153" i="24" s="1"/>
  <c r="J153" i="24" s="1"/>
  <c r="S149" i="24"/>
  <c r="AG149" i="24" s="1"/>
  <c r="J149" i="24" s="1"/>
  <c r="S185" i="24"/>
  <c r="AG185" i="24" s="1"/>
  <c r="J185" i="24" s="1"/>
  <c r="S181" i="24"/>
  <c r="AG181" i="24" s="1"/>
  <c r="J181" i="24" s="1"/>
  <c r="S148" i="24"/>
  <c r="AG148" i="24" s="1"/>
  <c r="J148" i="24" s="1"/>
  <c r="S154" i="24"/>
  <c r="AG154" i="24" s="1"/>
  <c r="J154" i="24" s="1"/>
  <c r="S150" i="24"/>
  <c r="AG150" i="24" s="1"/>
  <c r="J150" i="24" s="1"/>
  <c r="S186" i="24"/>
  <c r="AG186" i="24" s="1"/>
  <c r="J186" i="24" s="1"/>
  <c r="S182" i="24"/>
  <c r="AG182" i="24" s="1"/>
  <c r="J182" i="24" s="1"/>
  <c r="S152" i="24"/>
  <c r="AG152" i="24" s="1"/>
  <c r="J152" i="24" s="1"/>
  <c r="S155" i="24"/>
  <c r="AG155" i="24" s="1"/>
  <c r="J155" i="24" s="1"/>
  <c r="S151" i="24"/>
  <c r="AG151" i="24" s="1"/>
  <c r="J151" i="24" s="1"/>
  <c r="S187" i="24"/>
  <c r="AG187" i="24" s="1"/>
  <c r="J187" i="24" s="1"/>
  <c r="S183" i="24"/>
  <c r="AG183" i="24" s="1"/>
  <c r="J183" i="24" s="1"/>
  <c r="S184" i="24"/>
  <c r="AG184" i="24" s="1"/>
  <c r="J184" i="24" s="1"/>
  <c r="S212" i="24"/>
  <c r="AG212" i="24" s="1"/>
  <c r="J212" i="24" s="1"/>
  <c r="S214" i="24"/>
  <c r="AG214" i="24" s="1"/>
  <c r="J214" i="24" s="1"/>
  <c r="S211" i="24"/>
  <c r="AG211" i="24" s="1"/>
  <c r="J211" i="24" s="1"/>
  <c r="S213" i="24"/>
  <c r="AG213" i="24" s="1"/>
  <c r="J213" i="24" s="1"/>
  <c r="S210" i="24"/>
  <c r="AG210" i="24" s="1"/>
  <c r="J210" i="24" s="1"/>
  <c r="T217" i="24"/>
  <c r="AH217" i="24" s="1"/>
  <c r="K217" i="24" s="1"/>
  <c r="T129" i="24"/>
  <c r="AH129" i="24" s="1"/>
  <c r="K129" i="24" s="1"/>
  <c r="R125" i="24"/>
  <c r="B53" i="6"/>
  <c r="B56" i="4"/>
  <c r="C50" i="6"/>
  <c r="A51" i="6"/>
  <c r="A54" i="4"/>
  <c r="R27" i="24"/>
  <c r="AF27" i="24" s="1"/>
  <c r="I27" i="24" s="1"/>
  <c r="N27" i="24" s="1"/>
  <c r="E27" i="24" s="1"/>
  <c r="AA217" i="24"/>
  <c r="AA129" i="24"/>
  <c r="R129" i="24"/>
  <c r="I225" i="20"/>
  <c r="D13" i="17"/>
  <c r="D11" i="17"/>
  <c r="F289" i="20"/>
  <c r="F314" i="20" s="1"/>
  <c r="F285" i="20"/>
  <c r="G475" i="20"/>
  <c r="T119" i="24"/>
  <c r="T120" i="24"/>
  <c r="T121" i="24"/>
  <c r="F444" i="20"/>
  <c r="P855" i="16"/>
  <c r="D14" i="17"/>
  <c r="P870" i="16"/>
  <c r="R128" i="24"/>
  <c r="H15" i="18"/>
  <c r="T207" i="24"/>
  <c r="P888" i="16"/>
  <c r="O777" i="16"/>
  <c r="P865" i="16"/>
  <c r="P873" i="16"/>
  <c r="P154" i="16"/>
  <c r="R103" i="24"/>
  <c r="F152" i="20"/>
  <c r="F153" i="20" s="1"/>
  <c r="G80" i="20"/>
  <c r="T103" i="24"/>
  <c r="I201" i="20"/>
  <c r="T211" i="24"/>
  <c r="T210" i="24"/>
  <c r="T213" i="24"/>
  <c r="T214" i="24"/>
  <c r="F367" i="20"/>
  <c r="F488" i="20" s="1"/>
  <c r="F491" i="20" s="1"/>
  <c r="P875" i="16"/>
  <c r="F303" i="20"/>
  <c r="I303" i="20" s="1"/>
  <c r="R120" i="24"/>
  <c r="R119" i="24"/>
  <c r="R121" i="24"/>
  <c r="P879" i="16"/>
  <c r="P859" i="16"/>
  <c r="D12" i="17"/>
  <c r="D10" i="17"/>
  <c r="F131" i="20"/>
  <c r="I131" i="20" s="1"/>
  <c r="I132" i="20" s="1"/>
  <c r="F340" i="20"/>
  <c r="I340" i="20" s="1"/>
  <c r="AA211" i="24"/>
  <c r="AA120" i="24"/>
  <c r="AA210" i="24"/>
  <c r="AA213" i="24"/>
  <c r="AA121" i="24"/>
  <c r="AA119" i="24"/>
  <c r="AA214" i="24"/>
  <c r="AA207" i="24"/>
  <c r="AA103" i="24"/>
  <c r="I257" i="20"/>
  <c r="F296" i="20"/>
  <c r="I296" i="20" s="1"/>
  <c r="P883" i="16"/>
  <c r="P874" i="16"/>
  <c r="P864" i="16"/>
  <c r="E451" i="20"/>
  <c r="P857" i="16"/>
  <c r="P244" i="16"/>
  <c r="P132" i="16"/>
  <c r="P123" i="16"/>
  <c r="F655" i="20"/>
  <c r="I193" i="20"/>
  <c r="P887" i="16"/>
  <c r="P868" i="16"/>
  <c r="F645" i="20"/>
  <c r="P856" i="16"/>
  <c r="P860" i="16"/>
  <c r="F161" i="20"/>
  <c r="F162" i="20" s="1"/>
  <c r="P878" i="16"/>
  <c r="P882" i="16"/>
  <c r="P881" i="16"/>
  <c r="P852" i="16"/>
  <c r="E469" i="20"/>
  <c r="F469" i="20" s="1"/>
  <c r="P861" i="16"/>
  <c r="H549" i="20"/>
  <c r="E655" i="20" s="1"/>
  <c r="F311" i="20"/>
  <c r="I311" i="20" s="1"/>
  <c r="E315" i="20" s="1"/>
  <c r="P869" i="16"/>
  <c r="F513" i="20"/>
  <c r="I513" i="20" s="1"/>
  <c r="P167" i="16"/>
  <c r="P885" i="16"/>
  <c r="P163" i="16"/>
  <c r="O783" i="16"/>
  <c r="E352" i="20"/>
  <c r="F352" i="20" s="1"/>
  <c r="F358" i="20" s="1"/>
  <c r="I358" i="20" s="1"/>
  <c r="E427" i="20" s="1"/>
  <c r="F343" i="20"/>
  <c r="F349" i="20" s="1"/>
  <c r="F418" i="20" s="1"/>
  <c r="I265" i="20"/>
  <c r="E379" i="20" s="1"/>
  <c r="F379" i="20" s="1"/>
  <c r="F385" i="20" s="1"/>
  <c r="P886" i="16"/>
  <c r="O720" i="16"/>
  <c r="P91" i="16"/>
  <c r="E461" i="20"/>
  <c r="F461" i="20" s="1"/>
  <c r="F434" i="20"/>
  <c r="E568" i="20"/>
  <c r="F568" i="20" s="1"/>
  <c r="F571" i="20" s="1"/>
  <c r="E560" i="20"/>
  <c r="F560" i="20" s="1"/>
  <c r="G521" i="20"/>
  <c r="P854" i="16"/>
  <c r="P858" i="16"/>
  <c r="P179" i="16"/>
  <c r="E71" i="20"/>
  <c r="F55" i="20"/>
  <c r="P866" i="16"/>
  <c r="G249" i="20"/>
  <c r="G251" i="20" s="1"/>
  <c r="I251" i="20" s="1"/>
  <c r="I535" i="20"/>
  <c r="I248" i="24"/>
  <c r="N248" i="24" s="1"/>
  <c r="E248" i="24" s="1"/>
  <c r="T128" i="24"/>
  <c r="E470" i="20"/>
  <c r="F470" i="20" s="1"/>
  <c r="F443" i="20"/>
  <c r="E452" i="20"/>
  <c r="F452" i="20" s="1"/>
  <c r="AA128" i="24"/>
  <c r="I233" i="20"/>
  <c r="AA125" i="24"/>
  <c r="W125" i="24"/>
  <c r="G457" i="20"/>
  <c r="O271" i="24"/>
  <c r="F271" i="24"/>
  <c r="E270" i="24"/>
  <c r="F270" i="24" s="1"/>
  <c r="O270" i="24"/>
  <c r="F272" i="24"/>
  <c r="O272" i="24"/>
  <c r="G667" i="20"/>
  <c r="G669" i="20"/>
  <c r="G480" i="20"/>
  <c r="G483" i="20" s="1"/>
  <c r="G418" i="20"/>
  <c r="G421" i="20" s="1"/>
  <c r="J244" i="24"/>
  <c r="I217" i="20"/>
  <c r="E41" i="20"/>
  <c r="F27" i="20"/>
  <c r="F31" i="20" s="1"/>
  <c r="G488" i="20"/>
  <c r="G491" i="20" s="1"/>
  <c r="G436" i="20"/>
  <c r="G439" i="20" s="1"/>
  <c r="E58" i="20"/>
  <c r="F43" i="20"/>
  <c r="F20" i="20"/>
  <c r="I246" i="24"/>
  <c r="I247" i="24"/>
  <c r="F143" i="20"/>
  <c r="G648" i="20"/>
  <c r="G650" i="20"/>
  <c r="I349" i="20"/>
  <c r="E409" i="20" s="1"/>
  <c r="I107" i="20"/>
  <c r="E624" i="20"/>
  <c r="F624" i="20" s="1"/>
  <c r="E634" i="20"/>
  <c r="F634" i="20" s="1"/>
  <c r="G658" i="20"/>
  <c r="G660" i="20"/>
  <c r="E388" i="20"/>
  <c r="F388" i="20" s="1"/>
  <c r="F394" i="20" s="1"/>
  <c r="T90" i="24"/>
  <c r="T96" i="24"/>
  <c r="T36" i="24"/>
  <c r="F451" i="20"/>
  <c r="G496" i="20"/>
  <c r="G499" i="20" s="1"/>
  <c r="G445" i="20"/>
  <c r="G448" i="20" s="1"/>
  <c r="E590" i="20"/>
  <c r="F590" i="20" s="1"/>
  <c r="E598" i="20"/>
  <c r="F598" i="20" s="1"/>
  <c r="F601" i="20" s="1"/>
  <c r="R96" i="24"/>
  <c r="R36" i="24"/>
  <c r="R90" i="24"/>
  <c r="I177" i="20"/>
  <c r="G666" i="20"/>
  <c r="G665" i="20"/>
  <c r="E518" i="20"/>
  <c r="E510" i="20"/>
  <c r="O274" i="24"/>
  <c r="F274" i="24"/>
  <c r="I185" i="20"/>
  <c r="E73" i="20"/>
  <c r="F57" i="20"/>
  <c r="F245" i="20"/>
  <c r="I245" i="20" s="1"/>
  <c r="I209" i="20"/>
  <c r="G95" i="20"/>
  <c r="AF54" i="24" l="1"/>
  <c r="I54" i="24" s="1"/>
  <c r="N54" i="24" s="1"/>
  <c r="O54" i="24" s="1"/>
  <c r="O60" i="24"/>
  <c r="E60" i="24"/>
  <c r="F60" i="24" s="1"/>
  <c r="W155" i="24"/>
  <c r="W153" i="24"/>
  <c r="W151" i="24"/>
  <c r="W149" i="24"/>
  <c r="W187" i="24"/>
  <c r="W185" i="24"/>
  <c r="W183" i="24"/>
  <c r="W181" i="24"/>
  <c r="W184" i="24"/>
  <c r="W154" i="24"/>
  <c r="W152" i="24"/>
  <c r="W150" i="24"/>
  <c r="W148" i="24"/>
  <c r="W186" i="24"/>
  <c r="W182" i="24"/>
  <c r="W212" i="24"/>
  <c r="J243" i="24"/>
  <c r="J252" i="24"/>
  <c r="J259" i="24"/>
  <c r="J261" i="24"/>
  <c r="N261" i="24" s="1"/>
  <c r="J254" i="24"/>
  <c r="N254" i="24" s="1"/>
  <c r="J255" i="24"/>
  <c r="N255" i="24" s="1"/>
  <c r="J262" i="24"/>
  <c r="N262" i="24" s="1"/>
  <c r="W167" i="24"/>
  <c r="AF167" i="24" s="1"/>
  <c r="I167" i="24" s="1"/>
  <c r="N167" i="24" s="1"/>
  <c r="W199" i="24"/>
  <c r="AF199" i="24" s="1"/>
  <c r="I199" i="24" s="1"/>
  <c r="N199" i="24" s="1"/>
  <c r="W133" i="24"/>
  <c r="W132" i="24"/>
  <c r="AF132" i="24" s="1"/>
  <c r="I132" i="24" s="1"/>
  <c r="N132" i="24" s="1"/>
  <c r="W131" i="24"/>
  <c r="AF131" i="24" s="1"/>
  <c r="I131" i="24" s="1"/>
  <c r="N131" i="24" s="1"/>
  <c r="W130" i="24"/>
  <c r="W166" i="24"/>
  <c r="AF166" i="24" s="1"/>
  <c r="I166" i="24" s="1"/>
  <c r="N166" i="24" s="1"/>
  <c r="W165" i="24"/>
  <c r="W198" i="24"/>
  <c r="AF198" i="24" s="1"/>
  <c r="I198" i="24" s="1"/>
  <c r="N198" i="24" s="1"/>
  <c r="W197" i="24"/>
  <c r="AF197" i="24" s="1"/>
  <c r="I197" i="24" s="1"/>
  <c r="N197" i="24" s="1"/>
  <c r="W196" i="24"/>
  <c r="E90" i="20"/>
  <c r="F90" i="20" s="1"/>
  <c r="F75" i="20"/>
  <c r="J75" i="20"/>
  <c r="AF133" i="24"/>
  <c r="I133" i="24" s="1"/>
  <c r="N133" i="24" s="1"/>
  <c r="E256" i="24"/>
  <c r="F256" i="24" s="1"/>
  <c r="O256" i="24"/>
  <c r="E644" i="20"/>
  <c r="E554" i="20"/>
  <c r="F554" i="20" s="1"/>
  <c r="F557" i="20" s="1"/>
  <c r="W178" i="24"/>
  <c r="W145" i="24"/>
  <c r="AF130" i="24"/>
  <c r="I130" i="24" s="1"/>
  <c r="N130" i="24" s="1"/>
  <c r="E263" i="24"/>
  <c r="F263" i="24" s="1"/>
  <c r="O263" i="24"/>
  <c r="AF196" i="24"/>
  <c r="I196" i="24" s="1"/>
  <c r="N196" i="24" s="1"/>
  <c r="F315" i="20"/>
  <c r="F421" i="20"/>
  <c r="F409" i="20"/>
  <c r="F412" i="20" s="1"/>
  <c r="I412" i="20" s="1"/>
  <c r="E592" i="20"/>
  <c r="F592" i="20" s="1"/>
  <c r="B54" i="6"/>
  <c r="B57" i="4"/>
  <c r="A52" i="6"/>
  <c r="C51" i="6"/>
  <c r="A55" i="4"/>
  <c r="E630" i="20"/>
  <c r="F630" i="20" s="1"/>
  <c r="E562" i="20"/>
  <c r="F562" i="20" s="1"/>
  <c r="F565" i="20" s="1"/>
  <c r="H565" i="20" s="1"/>
  <c r="E370" i="20"/>
  <c r="F370" i="20" s="1"/>
  <c r="F376" i="20" s="1"/>
  <c r="I376" i="20" s="1"/>
  <c r="E606" i="20"/>
  <c r="F606" i="20" s="1"/>
  <c r="F609" i="20" s="1"/>
  <c r="H609" i="20" s="1"/>
  <c r="E343" i="20"/>
  <c r="E614" i="20"/>
  <c r="F614" i="20" s="1"/>
  <c r="F617" i="20" s="1"/>
  <c r="F666" i="20" s="1"/>
  <c r="E397" i="20"/>
  <c r="F397" i="20" s="1"/>
  <c r="F403" i="20" s="1"/>
  <c r="F472" i="20" s="1"/>
  <c r="F475" i="20" s="1"/>
  <c r="W217" i="24"/>
  <c r="AF217" i="24" s="1"/>
  <c r="I217" i="24" s="1"/>
  <c r="N217" i="24" s="1"/>
  <c r="W129" i="24"/>
  <c r="I282" i="20"/>
  <c r="I22" i="25"/>
  <c r="W207" i="24"/>
  <c r="I289" i="20"/>
  <c r="E314" i="20" s="1"/>
  <c r="F318" i="20"/>
  <c r="I318" i="20" s="1"/>
  <c r="I367" i="20"/>
  <c r="E488" i="20" s="1"/>
  <c r="E576" i="20"/>
  <c r="F576" i="20" s="1"/>
  <c r="F579" i="20" s="1"/>
  <c r="F664" i="20" s="1"/>
  <c r="H224" i="24"/>
  <c r="F436" i="20"/>
  <c r="F439" i="20" s="1"/>
  <c r="I439" i="20" s="1"/>
  <c r="E584" i="20"/>
  <c r="F584" i="20" s="1"/>
  <c r="F587" i="20" s="1"/>
  <c r="F663" i="20" s="1"/>
  <c r="E620" i="20"/>
  <c r="F620" i="20" s="1"/>
  <c r="W211" i="24"/>
  <c r="W210" i="24"/>
  <c r="W213" i="24"/>
  <c r="W214" i="24"/>
  <c r="F480" i="20"/>
  <c r="F483" i="20" s="1"/>
  <c r="I483" i="20" s="1"/>
  <c r="I161" i="20"/>
  <c r="I162" i="20" s="1"/>
  <c r="I521" i="20"/>
  <c r="J247" i="24"/>
  <c r="N247" i="24" s="1"/>
  <c r="F71" i="20"/>
  <c r="E86" i="20"/>
  <c r="F86" i="20" s="1"/>
  <c r="F427" i="20"/>
  <c r="F430" i="20" s="1"/>
  <c r="H571" i="20"/>
  <c r="E642" i="20" s="1"/>
  <c r="F642" i="20"/>
  <c r="J246" i="24"/>
  <c r="N246" i="24" s="1"/>
  <c r="I491" i="20"/>
  <c r="E621" i="20"/>
  <c r="F621" i="20" s="1"/>
  <c r="E631" i="20"/>
  <c r="F631" i="20" s="1"/>
  <c r="F595" i="20"/>
  <c r="F641" i="20" s="1"/>
  <c r="W128" i="24"/>
  <c r="F454" i="20"/>
  <c r="F457" i="20" s="1"/>
  <c r="I385" i="20"/>
  <c r="E454" i="20" s="1"/>
  <c r="F73" i="20"/>
  <c r="E88" i="20"/>
  <c r="F88" i="20" s="1"/>
  <c r="E632" i="20"/>
  <c r="F632" i="20" s="1"/>
  <c r="E622" i="20"/>
  <c r="F622" i="20" s="1"/>
  <c r="H557" i="20"/>
  <c r="E656" i="20" s="1"/>
  <c r="F656" i="20"/>
  <c r="F58" i="20"/>
  <c r="E74" i="20"/>
  <c r="I421" i="20"/>
  <c r="F41" i="20"/>
  <c r="F49" i="20" s="1"/>
  <c r="I49" i="20" s="1"/>
  <c r="I51" i="20" s="1"/>
  <c r="I52" i="20" s="1"/>
  <c r="E150" i="20" s="1"/>
  <c r="H150" i="20" s="1"/>
  <c r="H152" i="20" s="1"/>
  <c r="H153" i="20" s="1"/>
  <c r="E56" i="20"/>
  <c r="H601" i="20"/>
  <c r="E640" i="20" s="1"/>
  <c r="E648" i="20" s="1"/>
  <c r="F640" i="20"/>
  <c r="E480" i="20"/>
  <c r="E418" i="20"/>
  <c r="I394" i="20"/>
  <c r="E463" i="20" s="1"/>
  <c r="F463" i="20"/>
  <c r="F466" i="20" s="1"/>
  <c r="I245" i="24" s="1"/>
  <c r="N245" i="24" s="1"/>
  <c r="E245" i="24" s="1"/>
  <c r="Q33" i="15"/>
  <c r="Q49" i="15"/>
  <c r="E54" i="24" l="1"/>
  <c r="F54" i="24" s="1"/>
  <c r="E132" i="24"/>
  <c r="F132" i="24" s="1"/>
  <c r="O132" i="24"/>
  <c r="N251" i="24"/>
  <c r="N242" i="24"/>
  <c r="I243" i="24"/>
  <c r="N243" i="24" s="1"/>
  <c r="E243" i="24" s="1"/>
  <c r="I252" i="24"/>
  <c r="N252" i="24" s="1"/>
  <c r="I259" i="24"/>
  <c r="N259" i="24" s="1"/>
  <c r="O196" i="24"/>
  <c r="E196" i="24"/>
  <c r="F196" i="24" s="1"/>
  <c r="E255" i="24"/>
  <c r="F255" i="24" s="1"/>
  <c r="O255" i="24"/>
  <c r="O133" i="24"/>
  <c r="E133" i="24"/>
  <c r="F133" i="24" s="1"/>
  <c r="E197" i="24"/>
  <c r="F197" i="24" s="1"/>
  <c r="O197" i="24"/>
  <c r="X178" i="24"/>
  <c r="AH178" i="24" s="1"/>
  <c r="K178" i="24" s="1"/>
  <c r="X145" i="24"/>
  <c r="AH145" i="24" s="1"/>
  <c r="K145" i="24" s="1"/>
  <c r="W121" i="24"/>
  <c r="W114" i="24"/>
  <c r="W191" i="24"/>
  <c r="W192" i="24"/>
  <c r="W113" i="24"/>
  <c r="W118" i="24"/>
  <c r="W116" i="24"/>
  <c r="W117" i="24"/>
  <c r="W115" i="24"/>
  <c r="W159" i="24"/>
  <c r="W160" i="24"/>
  <c r="W193" i="24"/>
  <c r="W162" i="24"/>
  <c r="W158" i="24"/>
  <c r="W190" i="24"/>
  <c r="W161" i="24"/>
  <c r="E262" i="24"/>
  <c r="F262" i="24" s="1"/>
  <c r="O262" i="24"/>
  <c r="E167" i="24"/>
  <c r="F167" i="24" s="1"/>
  <c r="O167" i="24"/>
  <c r="E198" i="24"/>
  <c r="F198" i="24" s="1"/>
  <c r="O198" i="24"/>
  <c r="E199" i="24"/>
  <c r="F199" i="24" s="1"/>
  <c r="O199" i="24"/>
  <c r="E254" i="24"/>
  <c r="F254" i="24" s="1"/>
  <c r="O254" i="24"/>
  <c r="O130" i="24"/>
  <c r="E130" i="24"/>
  <c r="F130" i="24" s="1"/>
  <c r="E261" i="24"/>
  <c r="F261" i="24" s="1"/>
  <c r="O261" i="24"/>
  <c r="E131" i="24"/>
  <c r="F131" i="24" s="1"/>
  <c r="O131" i="24"/>
  <c r="O166" i="24"/>
  <c r="E166" i="24"/>
  <c r="F166" i="24" s="1"/>
  <c r="I253" i="24"/>
  <c r="N253" i="24" s="1"/>
  <c r="I260" i="24"/>
  <c r="N260" i="24" s="1"/>
  <c r="F445" i="20"/>
  <c r="F448" i="20" s="1"/>
  <c r="I403" i="20"/>
  <c r="E472" i="20" s="1"/>
  <c r="F496" i="20"/>
  <c r="F499" i="20" s="1"/>
  <c r="I499" i="20" s="1"/>
  <c r="B55" i="6"/>
  <c r="B58" i="4"/>
  <c r="A53" i="6"/>
  <c r="C52" i="6"/>
  <c r="A56" i="4"/>
  <c r="F665" i="20"/>
  <c r="H617" i="20"/>
  <c r="E666" i="20" s="1"/>
  <c r="F653" i="20"/>
  <c r="F658" i="20" s="1"/>
  <c r="E436" i="20"/>
  <c r="W120" i="24"/>
  <c r="W119" i="24"/>
  <c r="E217" i="24"/>
  <c r="F217" i="24" s="1"/>
  <c r="O217" i="24"/>
  <c r="N22" i="25"/>
  <c r="F28" i="18"/>
  <c r="H587" i="20"/>
  <c r="E653" i="20" s="1"/>
  <c r="E658" i="20" s="1"/>
  <c r="X207" i="24"/>
  <c r="AH207" i="24" s="1"/>
  <c r="K207" i="24" s="1"/>
  <c r="P20" i="18"/>
  <c r="P22" i="18" s="1"/>
  <c r="D224" i="24"/>
  <c r="F224" i="24" s="1"/>
  <c r="O224" i="24"/>
  <c r="F654" i="20"/>
  <c r="H579" i="20"/>
  <c r="E654" i="20" s="1"/>
  <c r="I448" i="20"/>
  <c r="F657" i="20"/>
  <c r="F643" i="20"/>
  <c r="F627" i="20"/>
  <c r="H627" i="20" s="1"/>
  <c r="F637" i="20"/>
  <c r="I430" i="20"/>
  <c r="H595" i="20"/>
  <c r="E641" i="20" s="1"/>
  <c r="I244" i="24"/>
  <c r="N244" i="24" s="1"/>
  <c r="E244" i="24" s="1"/>
  <c r="I466" i="20"/>
  <c r="I475" i="20"/>
  <c r="I152" i="20"/>
  <c r="I153" i="20" s="1"/>
  <c r="E445" i="20"/>
  <c r="E496" i="20"/>
  <c r="I457" i="20"/>
  <c r="E643" i="20"/>
  <c r="E657" i="20"/>
  <c r="F648" i="20"/>
  <c r="F650" i="20"/>
  <c r="H650" i="20" s="1"/>
  <c r="E72" i="20"/>
  <c r="F56" i="20"/>
  <c r="F64" i="20" s="1"/>
  <c r="I64" i="20" s="1"/>
  <c r="I66" i="20" s="1"/>
  <c r="I67" i="20" s="1"/>
  <c r="E247" i="24"/>
  <c r="E246" i="24"/>
  <c r="E89" i="20"/>
  <c r="F89" i="20" s="1"/>
  <c r="F74" i="20"/>
  <c r="F667" i="20"/>
  <c r="F669" i="20"/>
  <c r="H669" i="20" s="1"/>
  <c r="Q77" i="15"/>
  <c r="E259" i="24" l="1"/>
  <c r="F259" i="24" s="1"/>
  <c r="O259" i="24"/>
  <c r="E242" i="24"/>
  <c r="F242" i="24" s="1"/>
  <c r="O242" i="24"/>
  <c r="E252" i="24"/>
  <c r="F252" i="24" s="1"/>
  <c r="O252" i="24"/>
  <c r="E251" i="24"/>
  <c r="F251" i="24" s="1"/>
  <c r="O251" i="24"/>
  <c r="E260" i="24"/>
  <c r="F260" i="24" s="1"/>
  <c r="O260" i="24"/>
  <c r="E253" i="24"/>
  <c r="F253" i="24" s="1"/>
  <c r="O253" i="24"/>
  <c r="E665" i="20"/>
  <c r="F660" i="20"/>
  <c r="H660" i="20" s="1"/>
  <c r="B56" i="6"/>
  <c r="B59" i="4"/>
  <c r="C53" i="6"/>
  <c r="A54" i="6"/>
  <c r="A57" i="4"/>
  <c r="E663" i="20"/>
  <c r="E667" i="20" s="1"/>
  <c r="I273" i="24"/>
  <c r="N273" i="24" s="1"/>
  <c r="E273" i="24" s="1"/>
  <c r="O225" i="24"/>
  <c r="L227" i="24" s="1"/>
  <c r="D225" i="24"/>
  <c r="F225" i="24" s="1"/>
  <c r="E22" i="25"/>
  <c r="F29" i="18"/>
  <c r="F30" i="18" s="1"/>
  <c r="E664" i="20"/>
  <c r="H637" i="20"/>
  <c r="F72" i="20"/>
  <c r="F80" i="20" s="1"/>
  <c r="I80" i="20" s="1"/>
  <c r="I82" i="20" s="1"/>
  <c r="I83" i="20" s="1"/>
  <c r="E140" i="20" s="1"/>
  <c r="H140" i="20" s="1"/>
  <c r="H142" i="20" s="1"/>
  <c r="H143" i="20" s="1"/>
  <c r="E87" i="20"/>
  <c r="F87" i="20" s="1"/>
  <c r="F95" i="20" s="1"/>
  <c r="I95" i="20" s="1"/>
  <c r="I97" i="20" s="1"/>
  <c r="I98" i="20" s="1"/>
  <c r="K131" i="14"/>
  <c r="L131" i="14"/>
  <c r="X155" i="24" l="1"/>
  <c r="X153" i="24"/>
  <c r="X151" i="24"/>
  <c r="X149" i="24"/>
  <c r="X187" i="24"/>
  <c r="X185" i="24"/>
  <c r="X183" i="24"/>
  <c r="X181" i="24"/>
  <c r="X154" i="24"/>
  <c r="X152" i="24"/>
  <c r="X150" i="24"/>
  <c r="X148" i="24"/>
  <c r="X186" i="24"/>
  <c r="X184" i="24"/>
  <c r="X182" i="24"/>
  <c r="X212" i="24"/>
  <c r="F31" i="18"/>
  <c r="B57" i="6"/>
  <c r="B60" i="4"/>
  <c r="A55" i="6"/>
  <c r="C54" i="6"/>
  <c r="A58" i="4"/>
  <c r="F273" i="24"/>
  <c r="F280" i="24" s="1"/>
  <c r="F37" i="23" s="1"/>
  <c r="O273" i="24"/>
  <c r="O280" i="24" s="1"/>
  <c r="O37" i="23" s="1"/>
  <c r="N227" i="24"/>
  <c r="X214" i="24"/>
  <c r="X213" i="24"/>
  <c r="X211" i="24"/>
  <c r="X210" i="24"/>
  <c r="K136" i="14"/>
  <c r="I142" i="20"/>
  <c r="I143" i="20" s="1"/>
  <c r="E131" i="14"/>
  <c r="L136" i="14"/>
  <c r="F131" i="14"/>
  <c r="H131" i="14"/>
  <c r="G131" i="14"/>
  <c r="H245" i="24" s="1"/>
  <c r="V8" i="11"/>
  <c r="D245" i="24" l="1"/>
  <c r="F245" i="24" s="1"/>
  <c r="O245" i="24"/>
  <c r="B58" i="6"/>
  <c r="B61" i="4"/>
  <c r="A56" i="6"/>
  <c r="C55" i="6"/>
  <c r="A59" i="4"/>
  <c r="E227" i="24"/>
  <c r="F227" i="24" s="1"/>
  <c r="F237" i="24" s="1"/>
  <c r="F35" i="23" s="1"/>
  <c r="O227" i="24"/>
  <c r="O237" i="24" s="1"/>
  <c r="O35" i="23" s="1"/>
  <c r="B131" i="14"/>
  <c r="H243" i="24" s="1"/>
  <c r="D131" i="14"/>
  <c r="H244" i="24"/>
  <c r="E136" i="14"/>
  <c r="H136" i="14"/>
  <c r="G136" i="14"/>
  <c r="F136" i="14"/>
  <c r="R58" i="9"/>
  <c r="Q53" i="9"/>
  <c r="P53" i="9"/>
  <c r="O53" i="9"/>
  <c r="M53" i="9"/>
  <c r="J53" i="9"/>
  <c r="K53" i="9" s="1"/>
  <c r="I53" i="9"/>
  <c r="Q51" i="9"/>
  <c r="P51" i="9"/>
  <c r="O51" i="9"/>
  <c r="J51" i="9"/>
  <c r="K51" i="9" s="1"/>
  <c r="M51" i="9" s="1"/>
  <c r="I51" i="9"/>
  <c r="Q50" i="9"/>
  <c r="P50" i="9"/>
  <c r="O50" i="9"/>
  <c r="J50" i="9"/>
  <c r="K50" i="9" s="1"/>
  <c r="M50" i="9" s="1"/>
  <c r="I50" i="9"/>
  <c r="Q49" i="9"/>
  <c r="P49" i="9"/>
  <c r="O49" i="9"/>
  <c r="J49" i="9"/>
  <c r="K49" i="9" s="1"/>
  <c r="I49" i="9"/>
  <c r="M49" i="9" s="1"/>
  <c r="Q48" i="9"/>
  <c r="P48" i="9"/>
  <c r="O48" i="9"/>
  <c r="J48" i="9"/>
  <c r="K48" i="9" s="1"/>
  <c r="I48" i="9"/>
  <c r="M48" i="9" l="1"/>
  <c r="D243" i="24"/>
  <c r="F243" i="24" s="1"/>
  <c r="O243" i="24"/>
  <c r="B59" i="6"/>
  <c r="B62" i="4"/>
  <c r="A57" i="6"/>
  <c r="A60" i="4"/>
  <c r="C56" i="6"/>
  <c r="D244" i="24"/>
  <c r="F244" i="24" s="1"/>
  <c r="O244" i="24"/>
  <c r="C136" i="14"/>
  <c r="D136" i="14"/>
  <c r="I131" i="14"/>
  <c r="H246" i="24" s="1"/>
  <c r="B136" i="14"/>
  <c r="N53" i="9"/>
  <c r="R53" i="9" s="1"/>
  <c r="N49" i="9"/>
  <c r="R49" i="9" s="1"/>
  <c r="N50" i="9"/>
  <c r="R50" i="9" s="1"/>
  <c r="N48" i="9"/>
  <c r="R48" i="9" s="1"/>
  <c r="N51" i="9"/>
  <c r="R51" i="9" s="1"/>
  <c r="O57" i="9"/>
  <c r="O59" i="9" s="1"/>
  <c r="P57" i="9"/>
  <c r="P59" i="9" s="1"/>
  <c r="Q57" i="9"/>
  <c r="Q59" i="9" s="1"/>
  <c r="M57" i="9"/>
  <c r="M59" i="9" s="1"/>
  <c r="A3" i="13"/>
  <c r="E3" i="13"/>
  <c r="A4" i="13"/>
  <c r="E4" i="13"/>
  <c r="F4" i="13"/>
  <c r="A5" i="13"/>
  <c r="E5" i="13"/>
  <c r="F5" i="13"/>
  <c r="J5" i="13"/>
  <c r="M5" i="13"/>
  <c r="O5" i="13"/>
  <c r="Q5" i="13"/>
  <c r="R5" i="13"/>
  <c r="S5" i="13"/>
  <c r="T5" i="13"/>
  <c r="A6" i="13"/>
  <c r="E6" i="13"/>
  <c r="F6" i="13"/>
  <c r="R6" i="13"/>
  <c r="S6" i="13"/>
  <c r="E7" i="13"/>
  <c r="F7" i="13"/>
  <c r="J7" i="13"/>
  <c r="M7" i="13"/>
  <c r="R7" i="13"/>
  <c r="S7" i="13"/>
  <c r="T7" i="13"/>
  <c r="M66" i="9" l="1"/>
  <c r="N9" i="29" s="1"/>
  <c r="M87" i="9"/>
  <c r="N33" i="29" s="1"/>
  <c r="P66" i="9"/>
  <c r="Q9" i="29" s="1"/>
  <c r="P87" i="9"/>
  <c r="Q33" i="29" s="1"/>
  <c r="Q66" i="9"/>
  <c r="R9" i="29" s="1"/>
  <c r="Q87" i="9"/>
  <c r="R33" i="29" s="1"/>
  <c r="O66" i="9"/>
  <c r="P9" i="29" s="1"/>
  <c r="O87" i="9"/>
  <c r="P33" i="29" s="1"/>
  <c r="AT60" i="13"/>
  <c r="AT64" i="13"/>
  <c r="AT61" i="13"/>
  <c r="AT63" i="13"/>
  <c r="AT62" i="13"/>
  <c r="AT59" i="13"/>
  <c r="AO64" i="13"/>
  <c r="AO61" i="13"/>
  <c r="AO59" i="13"/>
  <c r="AO63" i="13"/>
  <c r="AO60" i="13"/>
  <c r="AO62" i="13"/>
  <c r="AL64" i="13"/>
  <c r="AR64" i="13" s="1"/>
  <c r="AL63" i="13"/>
  <c r="AR63" i="13" s="1"/>
  <c r="AM64" i="13"/>
  <c r="AS64" i="13" s="1"/>
  <c r="AM62" i="13"/>
  <c r="AS62" i="13" s="1"/>
  <c r="AL62" i="13"/>
  <c r="AR62" i="13" s="1"/>
  <c r="AL60" i="13"/>
  <c r="AR60" i="13" s="1"/>
  <c r="AM61" i="13"/>
  <c r="AS61" i="13" s="1"/>
  <c r="AM59" i="13"/>
  <c r="AS59" i="13" s="1"/>
  <c r="AM63" i="13"/>
  <c r="AS63" i="13" s="1"/>
  <c r="AL59" i="13"/>
  <c r="AR59" i="13" s="1"/>
  <c r="AM60" i="13"/>
  <c r="AS60" i="13" s="1"/>
  <c r="AL61" i="13"/>
  <c r="AR61" i="13" s="1"/>
  <c r="AO46" i="13"/>
  <c r="AO27" i="13"/>
  <c r="AO38" i="13"/>
  <c r="AO45" i="13"/>
  <c r="AO15" i="13"/>
  <c r="AT38" i="13"/>
  <c r="AT46" i="13"/>
  <c r="AV46" i="13" s="1"/>
  <c r="AT45" i="13"/>
  <c r="AV45" i="13" s="1"/>
  <c r="AT27" i="13"/>
  <c r="AL45" i="13"/>
  <c r="AR45" i="13" s="1"/>
  <c r="AM46" i="13"/>
  <c r="AS46" i="13" s="1"/>
  <c r="AM45" i="13"/>
  <c r="AS45" i="13" s="1"/>
  <c r="AL38" i="13"/>
  <c r="AR38" i="13" s="1"/>
  <c r="AM38" i="13"/>
  <c r="AS38" i="13" s="1"/>
  <c r="AM27" i="13"/>
  <c r="AS27" i="13" s="1"/>
  <c r="AL46" i="13"/>
  <c r="AR46" i="13" s="1"/>
  <c r="AL27" i="13"/>
  <c r="AR27" i="13" s="1"/>
  <c r="AT136" i="13"/>
  <c r="AT131" i="13"/>
  <c r="AT134" i="13"/>
  <c r="AT135" i="13"/>
  <c r="AT127" i="13"/>
  <c r="AT133" i="13"/>
  <c r="AT129" i="13"/>
  <c r="AT137" i="13"/>
  <c r="AT128" i="13"/>
  <c r="AL127" i="13"/>
  <c r="AR127" i="13" s="1"/>
  <c r="AL135" i="13"/>
  <c r="AR135" i="13" s="1"/>
  <c r="AM129" i="13"/>
  <c r="AS129" i="13" s="1"/>
  <c r="AM127" i="13"/>
  <c r="AS127" i="13" s="1"/>
  <c r="AL134" i="13"/>
  <c r="AR134" i="13" s="1"/>
  <c r="AM135" i="13"/>
  <c r="AS135" i="13" s="1"/>
  <c r="AM128" i="13"/>
  <c r="AS128" i="13" s="1"/>
  <c r="AL136" i="13"/>
  <c r="AR136" i="13" s="1"/>
  <c r="AL133" i="13"/>
  <c r="AR133" i="13" s="1"/>
  <c r="AM133" i="13"/>
  <c r="AS133" i="13" s="1"/>
  <c r="AM137" i="13"/>
  <c r="AS137" i="13" s="1"/>
  <c r="AL129" i="13"/>
  <c r="AR129" i="13" s="1"/>
  <c r="AL137" i="13"/>
  <c r="AR137" i="13" s="1"/>
  <c r="AM134" i="13"/>
  <c r="AS134" i="13" s="1"/>
  <c r="AM131" i="13"/>
  <c r="AS131" i="13" s="1"/>
  <c r="AL128" i="13"/>
  <c r="AR128" i="13" s="1"/>
  <c r="AL131" i="13"/>
  <c r="AR131" i="13" s="1"/>
  <c r="AM136" i="13"/>
  <c r="AS136" i="13" s="1"/>
  <c r="AO135" i="13"/>
  <c r="AO127" i="13"/>
  <c r="AO136" i="13"/>
  <c r="AO133" i="13"/>
  <c r="AO134" i="13"/>
  <c r="AO129" i="13"/>
  <c r="AO137" i="13"/>
  <c r="AO131" i="13"/>
  <c r="AO128" i="13"/>
  <c r="AT121" i="13"/>
  <c r="AT125" i="13"/>
  <c r="AT83" i="13"/>
  <c r="AT34" i="13"/>
  <c r="G156" i="13" s="1"/>
  <c r="AT58" i="13"/>
  <c r="AT103" i="13"/>
  <c r="AT102" i="13"/>
  <c r="AT79" i="13"/>
  <c r="AT50" i="13"/>
  <c r="AT92" i="13"/>
  <c r="AT72" i="13"/>
  <c r="AT96" i="13"/>
  <c r="AT55" i="13"/>
  <c r="AT117" i="13"/>
  <c r="AT112" i="13"/>
  <c r="AT108" i="13"/>
  <c r="AT116" i="13"/>
  <c r="AT114" i="13"/>
  <c r="AT22" i="13"/>
  <c r="AT115" i="13"/>
  <c r="AT86" i="13"/>
  <c r="AT89" i="13"/>
  <c r="AT81" i="13"/>
  <c r="AT57" i="13"/>
  <c r="AT56" i="13"/>
  <c r="AT43" i="13"/>
  <c r="G152" i="13" s="1"/>
  <c r="AT40" i="13"/>
  <c r="AT29" i="13"/>
  <c r="AT110" i="13"/>
  <c r="AT126" i="13"/>
  <c r="AT49" i="13"/>
  <c r="AT76" i="13"/>
  <c r="AT71" i="13"/>
  <c r="AT20" i="13"/>
  <c r="AT111" i="13"/>
  <c r="AT33" i="13"/>
  <c r="AT99" i="13"/>
  <c r="AT23" i="13"/>
  <c r="AT77" i="13"/>
  <c r="AT74" i="13"/>
  <c r="AT51" i="13"/>
  <c r="AT67" i="13"/>
  <c r="AT35" i="13"/>
  <c r="AT66" i="13"/>
  <c r="AT107" i="13"/>
  <c r="AT44" i="13"/>
  <c r="AT87" i="13"/>
  <c r="AT30" i="13"/>
  <c r="AT17" i="13"/>
  <c r="AT104" i="13"/>
  <c r="AT106" i="13"/>
  <c r="AT52" i="13"/>
  <c r="AT90" i="13"/>
  <c r="G178" i="13" s="1"/>
  <c r="AT32" i="13"/>
  <c r="AT21" i="13"/>
  <c r="AT37" i="13"/>
  <c r="AT24" i="13"/>
  <c r="AT16" i="13"/>
  <c r="AT68" i="13"/>
  <c r="AT75" i="13"/>
  <c r="AT70" i="13"/>
  <c r="AT26" i="13"/>
  <c r="AT95" i="13"/>
  <c r="AT80" i="13"/>
  <c r="AT25" i="13"/>
  <c r="AT109" i="13"/>
  <c r="AT85" i="13"/>
  <c r="AT69" i="13"/>
  <c r="AT53" i="13"/>
  <c r="AT93" i="13"/>
  <c r="AT39" i="13"/>
  <c r="AT73" i="13"/>
  <c r="AT47" i="13"/>
  <c r="AT113" i="13"/>
  <c r="AT118" i="13"/>
  <c r="AT28" i="13"/>
  <c r="AT18" i="13"/>
  <c r="AT19" i="13"/>
  <c r="AT78" i="13"/>
  <c r="AT105" i="13"/>
  <c r="AT82" i="13"/>
  <c r="AT42" i="13"/>
  <c r="AT84" i="13"/>
  <c r="AT101" i="13"/>
  <c r="AT31" i="13"/>
  <c r="AT54" i="13"/>
  <c r="AT88" i="13"/>
  <c r="AT97" i="13"/>
  <c r="AT100" i="13"/>
  <c r="AT124" i="13"/>
  <c r="AT120" i="13"/>
  <c r="AT48" i="13"/>
  <c r="AT41" i="13"/>
  <c r="AT36" i="13"/>
  <c r="AT122" i="13"/>
  <c r="AT91" i="13"/>
  <c r="AM126" i="13"/>
  <c r="AS126" i="13" s="1"/>
  <c r="AL96" i="13"/>
  <c r="AR96" i="13" s="1"/>
  <c r="AL29" i="13"/>
  <c r="AR29" i="13" s="1"/>
  <c r="AL84" i="13"/>
  <c r="AR84" i="13" s="1"/>
  <c r="AL72" i="13"/>
  <c r="AR72" i="13" s="1"/>
  <c r="AM16" i="13"/>
  <c r="AS16" i="13" s="1"/>
  <c r="AM53" i="13"/>
  <c r="AS53" i="13" s="1"/>
  <c r="AL116" i="13"/>
  <c r="AR116" i="13" s="1"/>
  <c r="AL114" i="13"/>
  <c r="AR114" i="13" s="1"/>
  <c r="AL68" i="13"/>
  <c r="AR68" i="13" s="1"/>
  <c r="AM67" i="13"/>
  <c r="AS67" i="13" s="1"/>
  <c r="AL44" i="13"/>
  <c r="AR44" i="13" s="1"/>
  <c r="AM31" i="13"/>
  <c r="AS31" i="13" s="1"/>
  <c r="AM17" i="13"/>
  <c r="AS17" i="13" s="1"/>
  <c r="AL25" i="13"/>
  <c r="AR25" i="13" s="1"/>
  <c r="AL109" i="13"/>
  <c r="AR109" i="13" s="1"/>
  <c r="AM122" i="13"/>
  <c r="AS122" i="13" s="1"/>
  <c r="AL106" i="13"/>
  <c r="AR106" i="13" s="1"/>
  <c r="AL91" i="13"/>
  <c r="AR91" i="13" s="1"/>
  <c r="AM83" i="13"/>
  <c r="AS83" i="13" s="1"/>
  <c r="AL79" i="13"/>
  <c r="AR79" i="13" s="1"/>
  <c r="AL97" i="13"/>
  <c r="AR97" i="13" s="1"/>
  <c r="AL83" i="13"/>
  <c r="AR83" i="13" s="1"/>
  <c r="AM56" i="13"/>
  <c r="AS56" i="13" s="1"/>
  <c r="AL51" i="13"/>
  <c r="AR51" i="13" s="1"/>
  <c r="AM116" i="13"/>
  <c r="AS116" i="13" s="1"/>
  <c r="AM23" i="13"/>
  <c r="AS23" i="13" s="1"/>
  <c r="AL73" i="13"/>
  <c r="AR73" i="13" s="1"/>
  <c r="AM30" i="13"/>
  <c r="AS30" i="13" s="1"/>
  <c r="AL100" i="13"/>
  <c r="AR100" i="13" s="1"/>
  <c r="AM29" i="13"/>
  <c r="AS29" i="13" s="1"/>
  <c r="AM112" i="13"/>
  <c r="AS112" i="13" s="1"/>
  <c r="AL30" i="13"/>
  <c r="AR30" i="13" s="1"/>
  <c r="AM99" i="13"/>
  <c r="AS99" i="13" s="1"/>
  <c r="AM125" i="13"/>
  <c r="AS125" i="13" s="1"/>
  <c r="AM85" i="13"/>
  <c r="AS85" i="13" s="1"/>
  <c r="AL102" i="13"/>
  <c r="AR102" i="13" s="1"/>
  <c r="AM90" i="13"/>
  <c r="AS90" i="13" s="1"/>
  <c r="AL81" i="13"/>
  <c r="AR81" i="13" s="1"/>
  <c r="AM96" i="13"/>
  <c r="AS96" i="13" s="1"/>
  <c r="AM113" i="13"/>
  <c r="AS113" i="13" s="1"/>
  <c r="AM89" i="13"/>
  <c r="AS89" i="13" s="1"/>
  <c r="AM117" i="13"/>
  <c r="AS117" i="13" s="1"/>
  <c r="AL117" i="13"/>
  <c r="AR117" i="13" s="1"/>
  <c r="AL113" i="13"/>
  <c r="AR113" i="13" s="1"/>
  <c r="AL85" i="13"/>
  <c r="AR85" i="13" s="1"/>
  <c r="AM109" i="13"/>
  <c r="AS109" i="13" s="1"/>
  <c r="AL108" i="13"/>
  <c r="AR108" i="13" s="1"/>
  <c r="AM101" i="13"/>
  <c r="AS101" i="13" s="1"/>
  <c r="AM79" i="13"/>
  <c r="AS79" i="13" s="1"/>
  <c r="AL92" i="13"/>
  <c r="AR92" i="13" s="1"/>
  <c r="AL34" i="13"/>
  <c r="AR34" i="13" s="1"/>
  <c r="AM105" i="13"/>
  <c r="AS105" i="13" s="1"/>
  <c r="AM32" i="13"/>
  <c r="AS32" i="13" s="1"/>
  <c r="AL41" i="13"/>
  <c r="AR41" i="13" s="1"/>
  <c r="AM28" i="13"/>
  <c r="AS28" i="13" s="1"/>
  <c r="AL66" i="13"/>
  <c r="AR66" i="13" s="1"/>
  <c r="AL77" i="13"/>
  <c r="AR77" i="13" s="1"/>
  <c r="AM47" i="13"/>
  <c r="AS47" i="13" s="1"/>
  <c r="AM78" i="13"/>
  <c r="AS78" i="13" s="1"/>
  <c r="AM86" i="13"/>
  <c r="AS86" i="13" s="1"/>
  <c r="AL80" i="13"/>
  <c r="AR80" i="13" s="1"/>
  <c r="AM124" i="13"/>
  <c r="AS124" i="13" s="1"/>
  <c r="AM24" i="13"/>
  <c r="AS24" i="13" s="1"/>
  <c r="AL69" i="13"/>
  <c r="AR69" i="13" s="1"/>
  <c r="AL26" i="13"/>
  <c r="AR26" i="13" s="1"/>
  <c r="AL47" i="13"/>
  <c r="AR47" i="13" s="1"/>
  <c r="AL82" i="13"/>
  <c r="AR82" i="13" s="1"/>
  <c r="AM66" i="13"/>
  <c r="AS66" i="13" s="1"/>
  <c r="AL95" i="13"/>
  <c r="AR95" i="13" s="1"/>
  <c r="AL86" i="13"/>
  <c r="AR86" i="13" s="1"/>
  <c r="AM70" i="13"/>
  <c r="AS70" i="13" s="1"/>
  <c r="AL110" i="13"/>
  <c r="AR110" i="13" s="1"/>
  <c r="AL126" i="13"/>
  <c r="AR126" i="13" s="1"/>
  <c r="AL124" i="13"/>
  <c r="AR124" i="13" s="1"/>
  <c r="AM35" i="13"/>
  <c r="AS35" i="13" s="1"/>
  <c r="AL71" i="13"/>
  <c r="AR71" i="13" s="1"/>
  <c r="AL67" i="13"/>
  <c r="AR67" i="13" s="1"/>
  <c r="AL57" i="13"/>
  <c r="AR57" i="13" s="1"/>
  <c r="AM81" i="13"/>
  <c r="AS81" i="13" s="1"/>
  <c r="AM26" i="13"/>
  <c r="AS26" i="13" s="1"/>
  <c r="AL36" i="13"/>
  <c r="AR36" i="13" s="1"/>
  <c r="AM82" i="13"/>
  <c r="AS82" i="13" s="1"/>
  <c r="AL40" i="13"/>
  <c r="AR40" i="13" s="1"/>
  <c r="AL103" i="13"/>
  <c r="AR103" i="13" s="1"/>
  <c r="AL49" i="13"/>
  <c r="AR49" i="13" s="1"/>
  <c r="AM102" i="13"/>
  <c r="AS102" i="13" s="1"/>
  <c r="AM77" i="13"/>
  <c r="AS77" i="13" s="1"/>
  <c r="AL35" i="13"/>
  <c r="AR35" i="13" s="1"/>
  <c r="AL125" i="13"/>
  <c r="AR125" i="13" s="1"/>
  <c r="AL75" i="13"/>
  <c r="AR75" i="13" s="1"/>
  <c r="AL16" i="13"/>
  <c r="AR16" i="13" s="1"/>
  <c r="AL28" i="13"/>
  <c r="AR28" i="13" s="1"/>
  <c r="AL101" i="13"/>
  <c r="AR101" i="13" s="1"/>
  <c r="AL43" i="13"/>
  <c r="AR43" i="13" s="1"/>
  <c r="AM121" i="13"/>
  <c r="AS121" i="13" s="1"/>
  <c r="AL21" i="13"/>
  <c r="AR21" i="13" s="1"/>
  <c r="AM68" i="13"/>
  <c r="AS68" i="13" s="1"/>
  <c r="AM25" i="13"/>
  <c r="AS25" i="13" s="1"/>
  <c r="AL90" i="13"/>
  <c r="AR90" i="13" s="1"/>
  <c r="AL104" i="13"/>
  <c r="AR104" i="13" s="1"/>
  <c r="AM57" i="13"/>
  <c r="AS57" i="13" s="1"/>
  <c r="AM55" i="13"/>
  <c r="AS55" i="13" s="1"/>
  <c r="AL50" i="13"/>
  <c r="AR50" i="13" s="1"/>
  <c r="AM75" i="13"/>
  <c r="AS75" i="13" s="1"/>
  <c r="AM69" i="13"/>
  <c r="AS69" i="13" s="1"/>
  <c r="AM93" i="13"/>
  <c r="AS93" i="13" s="1"/>
  <c r="AL56" i="13"/>
  <c r="AR56" i="13" s="1"/>
  <c r="AL78" i="13"/>
  <c r="AR78" i="13" s="1"/>
  <c r="AL99" i="13"/>
  <c r="AR99" i="13" s="1"/>
  <c r="AM42" i="13"/>
  <c r="AS42" i="13" s="1"/>
  <c r="AM97" i="13"/>
  <c r="AS97" i="13" s="1"/>
  <c r="AL88" i="13"/>
  <c r="AR88" i="13" s="1"/>
  <c r="AL55" i="13"/>
  <c r="AR55" i="13" s="1"/>
  <c r="AM107" i="13"/>
  <c r="AS107" i="13" s="1"/>
  <c r="AL105" i="13"/>
  <c r="AR105" i="13" s="1"/>
  <c r="AL111" i="13"/>
  <c r="AR111" i="13" s="1"/>
  <c r="AL118" i="13"/>
  <c r="AR118" i="13" s="1"/>
  <c r="AL93" i="13"/>
  <c r="AR93" i="13" s="1"/>
  <c r="AL89" i="13"/>
  <c r="AR89" i="13" s="1"/>
  <c r="AM111" i="13"/>
  <c r="AS111" i="13" s="1"/>
  <c r="AM50" i="13"/>
  <c r="AS50" i="13" s="1"/>
  <c r="AL52" i="13"/>
  <c r="AR52" i="13" s="1"/>
  <c r="AM76" i="13"/>
  <c r="AS76" i="13" s="1"/>
  <c r="AM106" i="13"/>
  <c r="AS106" i="13" s="1"/>
  <c r="AM84" i="13"/>
  <c r="AS84" i="13" s="1"/>
  <c r="AM104" i="13"/>
  <c r="AS104" i="13" s="1"/>
  <c r="AM103" i="13"/>
  <c r="AS103" i="13" s="1"/>
  <c r="AM48" i="13"/>
  <c r="AS48" i="13" s="1"/>
  <c r="AL120" i="13"/>
  <c r="AR120" i="13" s="1"/>
  <c r="AL20" i="13"/>
  <c r="AR20" i="13" s="1"/>
  <c r="AL37" i="13"/>
  <c r="AR37" i="13" s="1"/>
  <c r="AL76" i="13"/>
  <c r="AR76" i="13" s="1"/>
  <c r="AM33" i="13"/>
  <c r="AS33" i="13" s="1"/>
  <c r="AL112" i="13"/>
  <c r="AR112" i="13" s="1"/>
  <c r="AM92" i="13"/>
  <c r="AS92" i="13" s="1"/>
  <c r="AM36" i="13"/>
  <c r="AS36" i="13" s="1"/>
  <c r="AM37" i="13"/>
  <c r="AS37" i="13" s="1"/>
  <c r="AM39" i="13"/>
  <c r="AS39" i="13" s="1"/>
  <c r="AM40" i="13"/>
  <c r="AS40" i="13" s="1"/>
  <c r="AM34" i="13"/>
  <c r="AS34" i="13" s="1"/>
  <c r="AM20" i="13"/>
  <c r="AS20" i="13" s="1"/>
  <c r="AM71" i="13"/>
  <c r="AS71" i="13" s="1"/>
  <c r="AM21" i="13"/>
  <c r="AS21" i="13" s="1"/>
  <c r="AL32" i="13"/>
  <c r="AR32" i="13" s="1"/>
  <c r="AL122" i="13"/>
  <c r="AR122" i="13" s="1"/>
  <c r="AM49" i="13"/>
  <c r="AS49" i="13" s="1"/>
  <c r="AM72" i="13"/>
  <c r="AS72" i="13" s="1"/>
  <c r="AM52" i="13"/>
  <c r="AS52" i="13" s="1"/>
  <c r="AL17" i="13"/>
  <c r="AR17" i="13" s="1"/>
  <c r="AM118" i="13"/>
  <c r="AS118" i="13" s="1"/>
  <c r="AM80" i="13"/>
  <c r="AS80" i="13" s="1"/>
  <c r="AL18" i="13"/>
  <c r="AR18" i="13" s="1"/>
  <c r="AL42" i="13"/>
  <c r="AR42" i="13" s="1"/>
  <c r="AM74" i="13"/>
  <c r="AS74" i="13" s="1"/>
  <c r="AM44" i="13"/>
  <c r="AS44" i="13" s="1"/>
  <c r="AL39" i="13"/>
  <c r="AR39" i="13" s="1"/>
  <c r="AL22" i="13"/>
  <c r="AR22" i="13" s="1"/>
  <c r="AL24" i="13"/>
  <c r="AR24" i="13" s="1"/>
  <c r="AM95" i="13"/>
  <c r="AS95" i="13" s="1"/>
  <c r="AM110" i="13"/>
  <c r="AS110" i="13" s="1"/>
  <c r="AM43" i="13"/>
  <c r="AS43" i="13" s="1"/>
  <c r="AL121" i="13"/>
  <c r="AR121" i="13" s="1"/>
  <c r="AM108" i="13"/>
  <c r="AS108" i="13" s="1"/>
  <c r="AM18" i="13"/>
  <c r="AS18" i="13" s="1"/>
  <c r="AM51" i="13"/>
  <c r="AS51" i="13" s="1"/>
  <c r="AL54" i="13"/>
  <c r="AR54" i="13" s="1"/>
  <c r="AL48" i="13"/>
  <c r="AR48" i="13" s="1"/>
  <c r="AM22" i="13"/>
  <c r="AS22" i="13" s="1"/>
  <c r="AM19" i="13"/>
  <c r="AS19" i="13" s="1"/>
  <c r="AL70" i="13"/>
  <c r="AR70" i="13" s="1"/>
  <c r="AL115" i="13"/>
  <c r="AR115" i="13" s="1"/>
  <c r="AL107" i="13"/>
  <c r="AR107" i="13" s="1"/>
  <c r="AM87" i="13"/>
  <c r="AS87" i="13" s="1"/>
  <c r="AM114" i="13"/>
  <c r="AS114" i="13" s="1"/>
  <c r="AM73" i="13"/>
  <c r="AS73" i="13" s="1"/>
  <c r="AM115" i="13"/>
  <c r="AS115" i="13" s="1"/>
  <c r="AL33" i="13"/>
  <c r="AR33" i="13" s="1"/>
  <c r="AL74" i="13"/>
  <c r="AR74" i="13" s="1"/>
  <c r="AM54" i="13"/>
  <c r="AS54" i="13" s="1"/>
  <c r="AL53" i="13"/>
  <c r="AR53" i="13" s="1"/>
  <c r="AL87" i="13"/>
  <c r="AR87" i="13" s="1"/>
  <c r="AM91" i="13"/>
  <c r="AS91" i="13" s="1"/>
  <c r="AM88" i="13"/>
  <c r="AS88" i="13" s="1"/>
  <c r="AL31" i="13"/>
  <c r="AR31" i="13" s="1"/>
  <c r="AL19" i="13"/>
  <c r="AR19" i="13" s="1"/>
  <c r="AM58" i="13"/>
  <c r="AS58" i="13" s="1"/>
  <c r="AM100" i="13"/>
  <c r="AS100" i="13" s="1"/>
  <c r="AL58" i="13"/>
  <c r="AR58" i="13" s="1"/>
  <c r="AM41" i="13"/>
  <c r="AS41" i="13" s="1"/>
  <c r="AL23" i="13"/>
  <c r="AR23" i="13" s="1"/>
  <c r="AM120" i="13"/>
  <c r="AS120" i="13" s="1"/>
  <c r="AO34" i="13"/>
  <c r="F156" i="13" s="1"/>
  <c r="H117" i="24" s="1"/>
  <c r="AO121" i="13"/>
  <c r="AO91" i="13"/>
  <c r="AO97" i="13"/>
  <c r="AO83" i="13"/>
  <c r="AO17" i="13"/>
  <c r="AO36" i="13"/>
  <c r="AO124" i="13"/>
  <c r="AO55" i="13"/>
  <c r="AO43" i="13"/>
  <c r="AO58" i="13"/>
  <c r="AO90" i="13"/>
  <c r="AO104" i="13"/>
  <c r="AO102" i="13"/>
  <c r="AO81" i="13"/>
  <c r="AO96" i="13"/>
  <c r="AO85" i="13"/>
  <c r="AO108" i="13"/>
  <c r="AO100" i="13"/>
  <c r="AO93" i="13"/>
  <c r="AO86" i="13"/>
  <c r="AO22" i="13"/>
  <c r="AO89" i="13"/>
  <c r="AO50" i="13"/>
  <c r="AO95" i="13"/>
  <c r="AO126" i="13"/>
  <c r="AO41" i="13"/>
  <c r="AO20" i="13"/>
  <c r="AO16" i="13"/>
  <c r="AO66" i="13"/>
  <c r="AO103" i="13"/>
  <c r="AO80" i="13"/>
  <c r="AO49" i="13"/>
  <c r="AO69" i="13"/>
  <c r="AO26" i="13"/>
  <c r="AO73" i="13"/>
  <c r="AO99" i="13"/>
  <c r="AO54" i="13"/>
  <c r="AO106" i="13"/>
  <c r="AO109" i="13"/>
  <c r="AO113" i="13"/>
  <c r="AO125" i="13"/>
  <c r="AO67" i="13"/>
  <c r="AO24" i="13"/>
  <c r="AO37" i="13"/>
  <c r="AO51" i="13"/>
  <c r="AO30" i="13"/>
  <c r="AO44" i="13"/>
  <c r="AO40" i="13"/>
  <c r="AO114" i="13"/>
  <c r="AO19" i="13"/>
  <c r="AO122" i="13"/>
  <c r="AO57" i="13"/>
  <c r="AO35" i="13"/>
  <c r="AO87" i="13"/>
  <c r="AO31" i="13"/>
  <c r="AO105" i="13"/>
  <c r="AO110" i="13"/>
  <c r="AO116" i="13"/>
  <c r="AO117" i="13"/>
  <c r="AO79" i="13"/>
  <c r="AO107" i="13"/>
  <c r="AO111" i="13"/>
  <c r="AO118" i="13"/>
  <c r="AO112" i="13"/>
  <c r="AO52" i="13"/>
  <c r="AO33" i="13"/>
  <c r="AO76" i="13"/>
  <c r="AO29" i="13"/>
  <c r="AO47" i="13"/>
  <c r="AO21" i="13"/>
  <c r="AO120" i="13"/>
  <c r="AO71" i="13"/>
  <c r="AO18" i="13"/>
  <c r="AO101" i="13"/>
  <c r="AO115" i="13"/>
  <c r="AO82" i="13"/>
  <c r="AO39" i="13"/>
  <c r="AO75" i="13"/>
  <c r="AO28" i="13"/>
  <c r="AO48" i="13"/>
  <c r="AO70" i="13"/>
  <c r="AO53" i="13"/>
  <c r="AO84" i="13"/>
  <c r="AO74" i="13"/>
  <c r="AO77" i="13"/>
  <c r="AO88" i="13"/>
  <c r="AO72" i="13"/>
  <c r="AO92" i="13"/>
  <c r="AO68" i="13"/>
  <c r="AO42" i="13"/>
  <c r="AO23" i="13"/>
  <c r="AO32" i="13"/>
  <c r="AO56" i="13"/>
  <c r="AO78" i="13"/>
  <c r="AO25" i="13"/>
  <c r="P86" i="9"/>
  <c r="Q32" i="29" s="1"/>
  <c r="P81" i="9"/>
  <c r="Q27" i="29" s="1"/>
  <c r="M86" i="9"/>
  <c r="N32" i="29" s="1"/>
  <c r="M81" i="9"/>
  <c r="N27" i="29" s="1"/>
  <c r="Q86" i="9"/>
  <c r="R32" i="29" s="1"/>
  <c r="Q81" i="9"/>
  <c r="R27" i="29" s="1"/>
  <c r="O86" i="9"/>
  <c r="P32" i="29" s="1"/>
  <c r="O81" i="9"/>
  <c r="P27" i="29" s="1"/>
  <c r="P79" i="9"/>
  <c r="Q25" i="29" s="1"/>
  <c r="P77" i="9"/>
  <c r="Q23" i="29" s="1"/>
  <c r="P78" i="9"/>
  <c r="Q24" i="29" s="1"/>
  <c r="M79" i="9"/>
  <c r="N25" i="29" s="1"/>
  <c r="M78" i="9"/>
  <c r="N24" i="29" s="1"/>
  <c r="M77" i="9"/>
  <c r="N23" i="29" s="1"/>
  <c r="Q79" i="9"/>
  <c r="R25" i="29" s="1"/>
  <c r="Q77" i="9"/>
  <c r="R23" i="29" s="1"/>
  <c r="Q78" i="9"/>
  <c r="R24" i="29" s="1"/>
  <c r="O79" i="9"/>
  <c r="P25" i="29" s="1"/>
  <c r="O78" i="9"/>
  <c r="P24" i="29" s="1"/>
  <c r="O77" i="9"/>
  <c r="P23" i="29" s="1"/>
  <c r="P83" i="9"/>
  <c r="Q29" i="29" s="1"/>
  <c r="P80" i="9"/>
  <c r="Q26" i="29" s="1"/>
  <c r="P82" i="9"/>
  <c r="Q28" i="29" s="1"/>
  <c r="M83" i="9"/>
  <c r="N29" i="29" s="1"/>
  <c r="M80" i="9"/>
  <c r="N26" i="29" s="1"/>
  <c r="M82" i="9"/>
  <c r="N28" i="29" s="1"/>
  <c r="Q83" i="9"/>
  <c r="R29" i="29" s="1"/>
  <c r="Q80" i="9"/>
  <c r="R26" i="29" s="1"/>
  <c r="Q82" i="9"/>
  <c r="R28" i="29" s="1"/>
  <c r="O83" i="9"/>
  <c r="P29" i="29" s="1"/>
  <c r="O80" i="9"/>
  <c r="P26" i="29" s="1"/>
  <c r="O82" i="9"/>
  <c r="P28" i="29" s="1"/>
  <c r="M88" i="9"/>
  <c r="N34" i="29" s="1"/>
  <c r="M84" i="9"/>
  <c r="N30" i="29" s="1"/>
  <c r="M85" i="9"/>
  <c r="N31" i="29" s="1"/>
  <c r="Q88" i="9"/>
  <c r="R34" i="29" s="1"/>
  <c r="Q84" i="9"/>
  <c r="R30" i="29" s="1"/>
  <c r="Q85" i="9"/>
  <c r="R31" i="29" s="1"/>
  <c r="P88" i="9"/>
  <c r="Q34" i="29" s="1"/>
  <c r="P84" i="9"/>
  <c r="Q30" i="29" s="1"/>
  <c r="P85" i="9"/>
  <c r="Q31" i="29" s="1"/>
  <c r="O84" i="9"/>
  <c r="P30" i="29" s="1"/>
  <c r="O88" i="9"/>
  <c r="P34" i="29" s="1"/>
  <c r="O85" i="9"/>
  <c r="P31" i="29" s="1"/>
  <c r="P73" i="9"/>
  <c r="Q16" i="29" s="1"/>
  <c r="P72" i="9"/>
  <c r="Q15" i="29" s="1"/>
  <c r="M73" i="9"/>
  <c r="N16" i="29" s="1"/>
  <c r="M72" i="9"/>
  <c r="N15" i="29" s="1"/>
  <c r="Q73" i="9"/>
  <c r="R16" i="29" s="1"/>
  <c r="Q72" i="9"/>
  <c r="R15" i="29" s="1"/>
  <c r="O73" i="9"/>
  <c r="P16" i="29" s="1"/>
  <c r="O72" i="9"/>
  <c r="P15" i="29" s="1"/>
  <c r="O68" i="9"/>
  <c r="P11" i="29" s="1"/>
  <c r="O67" i="9"/>
  <c r="P10" i="29" s="1"/>
  <c r="M68" i="9"/>
  <c r="N11" i="29" s="1"/>
  <c r="M67" i="9"/>
  <c r="N10" i="29" s="1"/>
  <c r="Q68" i="9"/>
  <c r="R11" i="29" s="1"/>
  <c r="Q67" i="9"/>
  <c r="R10" i="29" s="1"/>
  <c r="P68" i="9"/>
  <c r="Q11" i="29" s="1"/>
  <c r="P67" i="9"/>
  <c r="Q10" i="29" s="1"/>
  <c r="M69" i="9"/>
  <c r="N12" i="29" s="1"/>
  <c r="M70" i="9"/>
  <c r="N13" i="29" s="1"/>
  <c r="Q70" i="9"/>
  <c r="R13" i="29" s="1"/>
  <c r="Q69" i="9"/>
  <c r="R12" i="29" s="1"/>
  <c r="P70" i="9"/>
  <c r="Q13" i="29" s="1"/>
  <c r="P69" i="9"/>
  <c r="Q12" i="29" s="1"/>
  <c r="O70" i="9"/>
  <c r="P13" i="29" s="1"/>
  <c r="O69" i="9"/>
  <c r="P12" i="29" s="1"/>
  <c r="Q76" i="9"/>
  <c r="R22" i="29" s="1"/>
  <c r="P76" i="9"/>
  <c r="Q22" i="29" s="1"/>
  <c r="M76" i="9"/>
  <c r="N22" i="29" s="1"/>
  <c r="O76" i="9"/>
  <c r="P22" i="29" s="1"/>
  <c r="P91" i="9"/>
  <c r="Q40" i="29" s="1"/>
  <c r="P92" i="9"/>
  <c r="Q41" i="29" s="1"/>
  <c r="P93" i="9"/>
  <c r="Q42" i="29" s="1"/>
  <c r="M91" i="9"/>
  <c r="N40" i="29" s="1"/>
  <c r="M92" i="9"/>
  <c r="N41" i="29" s="1"/>
  <c r="M93" i="9"/>
  <c r="N42" i="29" s="1"/>
  <c r="Q92" i="9"/>
  <c r="R41" i="29" s="1"/>
  <c r="Q93" i="9"/>
  <c r="R42" i="29" s="1"/>
  <c r="Q91" i="9"/>
  <c r="R40" i="29" s="1"/>
  <c r="O91" i="9"/>
  <c r="P40" i="29" s="1"/>
  <c r="O92" i="9"/>
  <c r="P41" i="29" s="1"/>
  <c r="O93" i="9"/>
  <c r="P42" i="29" s="1"/>
  <c r="B61" i="6"/>
  <c r="B63" i="4"/>
  <c r="C57" i="6"/>
  <c r="A61" i="4"/>
  <c r="A58" i="6"/>
  <c r="A60" i="6" s="1"/>
  <c r="C60" i="6" s="1"/>
  <c r="M96" i="9"/>
  <c r="N48" i="29" s="1"/>
  <c r="M97" i="9"/>
  <c r="P96" i="9"/>
  <c r="Q48" i="29" s="1"/>
  <c r="P97" i="9"/>
  <c r="Q49" i="29" s="1"/>
  <c r="Q97" i="9"/>
  <c r="R49" i="29" s="1"/>
  <c r="Q96" i="9"/>
  <c r="R48" i="29" s="1"/>
  <c r="O96" i="9"/>
  <c r="P48" i="29" s="1"/>
  <c r="O97" i="9"/>
  <c r="P49" i="29" s="1"/>
  <c r="I151" i="13"/>
  <c r="M30" i="15"/>
  <c r="K30" i="15"/>
  <c r="Q65" i="9"/>
  <c r="R8" i="29" s="1"/>
  <c r="O65" i="9"/>
  <c r="P8" i="29" s="1"/>
  <c r="M65" i="9"/>
  <c r="N8" i="29" s="1"/>
  <c r="P65" i="9"/>
  <c r="Q8" i="29" s="1"/>
  <c r="AM15" i="13"/>
  <c r="AS15" i="13" s="1"/>
  <c r="AL15" i="13"/>
  <c r="AR15" i="13" s="1"/>
  <c r="AT15" i="13"/>
  <c r="P71" i="9"/>
  <c r="Q14" i="29" s="1"/>
  <c r="M71" i="9"/>
  <c r="N14" i="29" s="1"/>
  <c r="O71" i="9"/>
  <c r="P14" i="29" s="1"/>
  <c r="Q71" i="9"/>
  <c r="R14" i="29" s="1"/>
  <c r="I136" i="14"/>
  <c r="I137" i="14" s="1"/>
  <c r="J131" i="14"/>
  <c r="M131" i="14"/>
  <c r="N57" i="9"/>
  <c r="N59" i="9" s="1"/>
  <c r="R57" i="9"/>
  <c r="R59" i="9" s="1"/>
  <c r="D142" i="13"/>
  <c r="P50" i="1"/>
  <c r="P51" i="1"/>
  <c r="P15" i="1"/>
  <c r="AV38" i="13" l="1"/>
  <c r="I178" i="13"/>
  <c r="T178" i="13" s="1"/>
  <c r="AU59" i="13"/>
  <c r="N66" i="9"/>
  <c r="N87" i="9"/>
  <c r="O33" i="29" s="1"/>
  <c r="S33" i="29" s="1"/>
  <c r="AU60" i="13"/>
  <c r="Q36" i="29"/>
  <c r="I152" i="13"/>
  <c r="T152" i="13" s="1"/>
  <c r="F152" i="13"/>
  <c r="H113" i="24" s="1"/>
  <c r="D113" i="24" s="1"/>
  <c r="AU63" i="13"/>
  <c r="AU61" i="13"/>
  <c r="AU64" i="13"/>
  <c r="AV59" i="13"/>
  <c r="AV62" i="13"/>
  <c r="AV63" i="13"/>
  <c r="AU62" i="13"/>
  <c r="AV61" i="13"/>
  <c r="AV64" i="13"/>
  <c r="AV27" i="13"/>
  <c r="AV60" i="13"/>
  <c r="AU45" i="13"/>
  <c r="AU46" i="13"/>
  <c r="AU27" i="13"/>
  <c r="D117" i="24"/>
  <c r="AU38" i="13"/>
  <c r="Q44" i="29"/>
  <c r="P36" i="29"/>
  <c r="N36" i="29"/>
  <c r="R36" i="29"/>
  <c r="P44" i="29"/>
  <c r="R44" i="29"/>
  <c r="N44" i="29"/>
  <c r="AU127" i="13"/>
  <c r="AU135" i="13"/>
  <c r="AU106" i="13"/>
  <c r="I156" i="13"/>
  <c r="T156" i="13" s="1"/>
  <c r="W156" i="13" s="1"/>
  <c r="Z117" i="24" s="1"/>
  <c r="I155" i="13"/>
  <c r="T155" i="13" s="1"/>
  <c r="I180" i="13"/>
  <c r="T180" i="13" s="1"/>
  <c r="AU126" i="13"/>
  <c r="AV118" i="13"/>
  <c r="AV124" i="13"/>
  <c r="AV113" i="13"/>
  <c r="G163" i="13"/>
  <c r="G193" i="13"/>
  <c r="I163" i="13"/>
  <c r="T163" i="13" s="1"/>
  <c r="F180" i="13"/>
  <c r="AU101" i="13"/>
  <c r="AU25" i="13"/>
  <c r="F163" i="13"/>
  <c r="F177" i="13"/>
  <c r="H160" i="24" s="1"/>
  <c r="F187" i="13"/>
  <c r="H191" i="24" s="1"/>
  <c r="F198" i="13"/>
  <c r="H193" i="24" s="1"/>
  <c r="AU90" i="13"/>
  <c r="F178" i="13"/>
  <c r="H161" i="24" s="1"/>
  <c r="I187" i="13"/>
  <c r="T187" i="13" s="1"/>
  <c r="G176" i="13"/>
  <c r="F176" i="13"/>
  <c r="H159" i="24" s="1"/>
  <c r="I177" i="13"/>
  <c r="T177" i="13" s="1"/>
  <c r="AU54" i="13"/>
  <c r="AU52" i="13"/>
  <c r="AU50" i="13"/>
  <c r="I198" i="13"/>
  <c r="T198" i="13" s="1"/>
  <c r="G175" i="13"/>
  <c r="F204" i="13"/>
  <c r="G180" i="13"/>
  <c r="I176" i="13"/>
  <c r="T176" i="13" s="1"/>
  <c r="AU70" i="13"/>
  <c r="AU99" i="13"/>
  <c r="F186" i="13"/>
  <c r="H190" i="24" s="1"/>
  <c r="I193" i="13"/>
  <c r="T193" i="13" s="1"/>
  <c r="AU112" i="13"/>
  <c r="AU122" i="13"/>
  <c r="G177" i="13"/>
  <c r="G153" i="13"/>
  <c r="G198" i="13"/>
  <c r="AU76" i="13"/>
  <c r="F153" i="13"/>
  <c r="AU28" i="13"/>
  <c r="AU118" i="13"/>
  <c r="AU56" i="13"/>
  <c r="F155" i="13"/>
  <c r="H116" i="24" s="1"/>
  <c r="F175" i="13"/>
  <c r="H158" i="24" s="1"/>
  <c r="AU93" i="13"/>
  <c r="I186" i="13"/>
  <c r="G186" i="13"/>
  <c r="I204" i="13"/>
  <c r="G204" i="13"/>
  <c r="G219" i="13" s="1"/>
  <c r="V156" i="13"/>
  <c r="AU33" i="13"/>
  <c r="F193" i="13"/>
  <c r="H192" i="24" s="1"/>
  <c r="I153" i="13"/>
  <c r="T153" i="13" s="1"/>
  <c r="AU30" i="13"/>
  <c r="I175" i="13"/>
  <c r="G155" i="13"/>
  <c r="G187" i="13"/>
  <c r="AU23" i="13"/>
  <c r="F157" i="13"/>
  <c r="H118" i="24" s="1"/>
  <c r="AU92" i="13"/>
  <c r="I157" i="13"/>
  <c r="T157" i="13" s="1"/>
  <c r="G157" i="13"/>
  <c r="G154" i="13"/>
  <c r="I154" i="13"/>
  <c r="T154" i="13" s="1"/>
  <c r="F154" i="13"/>
  <c r="H115" i="24" s="1"/>
  <c r="I159" i="13"/>
  <c r="T159" i="13" s="1"/>
  <c r="G159" i="13"/>
  <c r="AU43" i="13"/>
  <c r="F159" i="13"/>
  <c r="AU137" i="13"/>
  <c r="AU134" i="13"/>
  <c r="AU124" i="13"/>
  <c r="AU133" i="13"/>
  <c r="AU125" i="13"/>
  <c r="AU136" i="13"/>
  <c r="AU89" i="13"/>
  <c r="AU58" i="13"/>
  <c r="AU129" i="13"/>
  <c r="AU128" i="13"/>
  <c r="AU114" i="13"/>
  <c r="AU44" i="13"/>
  <c r="AU39" i="13"/>
  <c r="AU40" i="13"/>
  <c r="AU24" i="13"/>
  <c r="AU31" i="13"/>
  <c r="AU29" i="13"/>
  <c r="AU37" i="13"/>
  <c r="AU34" i="13"/>
  <c r="AU80" i="13"/>
  <c r="AU95" i="13"/>
  <c r="AU78" i="13"/>
  <c r="AU75" i="13"/>
  <c r="AU26" i="13"/>
  <c r="AU36" i="13"/>
  <c r="AU49" i="13"/>
  <c r="AU42" i="13"/>
  <c r="AU51" i="13"/>
  <c r="AU19" i="13"/>
  <c r="AU55" i="13"/>
  <c r="AU53" i="13"/>
  <c r="AU57" i="13"/>
  <c r="AU48" i="13"/>
  <c r="AU97" i="13"/>
  <c r="AU96" i="13"/>
  <c r="AR141" i="13"/>
  <c r="AU21" i="13"/>
  <c r="AU71" i="13"/>
  <c r="AU20" i="13"/>
  <c r="AU47" i="13"/>
  <c r="AU17" i="13"/>
  <c r="AU32" i="13"/>
  <c r="AU35" i="13"/>
  <c r="AU68" i="13"/>
  <c r="AU67" i="13"/>
  <c r="AU16" i="13"/>
  <c r="AU41" i="13"/>
  <c r="AU18" i="13"/>
  <c r="AU121" i="13"/>
  <c r="AU73" i="13"/>
  <c r="AU69" i="13"/>
  <c r="AU74" i="13"/>
  <c r="AO141" i="13"/>
  <c r="AU100" i="13"/>
  <c r="AU102" i="13"/>
  <c r="AU109" i="13"/>
  <c r="AU82" i="13"/>
  <c r="AU86" i="13"/>
  <c r="AU91" i="13"/>
  <c r="AU117" i="13"/>
  <c r="AU81" i="13"/>
  <c r="AU111" i="13"/>
  <c r="AV54" i="13"/>
  <c r="AU107" i="13"/>
  <c r="AU115" i="13"/>
  <c r="AU79" i="13"/>
  <c r="AU108" i="13"/>
  <c r="AU83" i="13"/>
  <c r="AU131" i="13"/>
  <c r="AU116" i="13"/>
  <c r="AU85" i="13"/>
  <c r="AV96" i="13"/>
  <c r="AU103" i="13"/>
  <c r="AV23" i="13"/>
  <c r="AV56" i="13"/>
  <c r="AV72" i="13"/>
  <c r="AU72" i="13"/>
  <c r="AV106" i="13"/>
  <c r="AV99" i="13"/>
  <c r="AV57" i="13"/>
  <c r="AU110" i="13"/>
  <c r="AU77" i="13"/>
  <c r="AU105" i="13"/>
  <c r="AV26" i="13"/>
  <c r="AV104" i="13"/>
  <c r="AV33" i="13"/>
  <c r="AV81" i="13"/>
  <c r="AU88" i="13"/>
  <c r="AU113" i="13"/>
  <c r="AV70" i="13"/>
  <c r="AV111" i="13"/>
  <c r="AU120" i="13"/>
  <c r="AU66" i="13"/>
  <c r="AU84" i="13"/>
  <c r="AU87" i="13"/>
  <c r="AU104" i="13"/>
  <c r="AV75" i="13"/>
  <c r="AV30" i="13"/>
  <c r="AV137" i="13"/>
  <c r="AV97" i="13"/>
  <c r="AV47" i="13"/>
  <c r="AV129" i="13"/>
  <c r="AV20" i="13"/>
  <c r="AV120" i="13"/>
  <c r="AV100" i="13"/>
  <c r="AV126" i="13"/>
  <c r="AV34" i="13"/>
  <c r="AV135" i="13"/>
  <c r="AV87" i="13"/>
  <c r="AV17" i="13"/>
  <c r="AV134" i="13"/>
  <c r="AV133" i="13"/>
  <c r="AV53" i="13"/>
  <c r="AV128" i="13"/>
  <c r="AV131" i="13"/>
  <c r="AV136" i="13"/>
  <c r="AV127" i="13"/>
  <c r="AV79" i="13"/>
  <c r="AV31" i="13"/>
  <c r="AV39" i="13"/>
  <c r="AV16" i="13"/>
  <c r="AV44" i="13"/>
  <c r="AV86" i="13"/>
  <c r="AV102" i="13"/>
  <c r="AV101" i="13"/>
  <c r="AV93" i="13"/>
  <c r="AV107" i="13"/>
  <c r="AV76" i="13"/>
  <c r="AV115" i="13"/>
  <c r="AV103" i="13"/>
  <c r="AV73" i="13"/>
  <c r="AV71" i="13"/>
  <c r="AV114" i="13"/>
  <c r="AV91" i="13"/>
  <c r="AV82" i="13"/>
  <c r="AV69" i="13"/>
  <c r="AV66" i="13"/>
  <c r="AV110" i="13"/>
  <c r="AV50" i="13"/>
  <c r="AV84" i="13"/>
  <c r="AV58" i="13"/>
  <c r="AV105" i="13"/>
  <c r="AV85" i="13"/>
  <c r="AV37" i="13"/>
  <c r="AV35" i="13"/>
  <c r="AV116" i="13"/>
  <c r="AV122" i="13"/>
  <c r="AV78" i="13"/>
  <c r="AV109" i="13"/>
  <c r="AV21" i="13"/>
  <c r="AV67" i="13"/>
  <c r="AV108" i="13"/>
  <c r="AV83" i="13"/>
  <c r="AV88" i="13"/>
  <c r="AV36" i="13"/>
  <c r="AV19" i="13"/>
  <c r="AV25" i="13"/>
  <c r="AV32" i="13"/>
  <c r="AV51" i="13"/>
  <c r="AV29" i="13"/>
  <c r="AV112" i="13"/>
  <c r="AV125" i="13"/>
  <c r="AV89" i="13"/>
  <c r="AV42" i="13"/>
  <c r="AV41" i="13"/>
  <c r="AV18" i="13"/>
  <c r="AV80" i="13"/>
  <c r="AV90" i="13"/>
  <c r="AV74" i="13"/>
  <c r="AV40" i="13"/>
  <c r="AV117" i="13"/>
  <c r="AV121" i="13"/>
  <c r="AV22" i="13"/>
  <c r="AU22" i="13"/>
  <c r="AV92" i="13"/>
  <c r="AV68" i="13"/>
  <c r="AV49" i="13"/>
  <c r="AV24" i="13"/>
  <c r="AV48" i="13"/>
  <c r="AV28" i="13"/>
  <c r="AV95" i="13"/>
  <c r="AV52" i="13"/>
  <c r="AV77" i="13"/>
  <c r="AV43" i="13"/>
  <c r="AV55" i="13"/>
  <c r="N86" i="9"/>
  <c r="N81" i="9"/>
  <c r="N79" i="9"/>
  <c r="N77" i="9"/>
  <c r="N78" i="9"/>
  <c r="N83" i="9"/>
  <c r="N80" i="9"/>
  <c r="N82" i="9"/>
  <c r="N84" i="9"/>
  <c r="O30" i="29" s="1"/>
  <c r="S30" i="29" s="1"/>
  <c r="N88" i="9"/>
  <c r="O34" i="29" s="1"/>
  <c r="S34" i="29" s="1"/>
  <c r="N85" i="9"/>
  <c r="O31" i="29" s="1"/>
  <c r="S31" i="29" s="1"/>
  <c r="N73" i="9"/>
  <c r="N72" i="9"/>
  <c r="N68" i="9"/>
  <c r="N67" i="9"/>
  <c r="N70" i="9"/>
  <c r="N69" i="9"/>
  <c r="N76" i="9"/>
  <c r="N91" i="9"/>
  <c r="N92" i="9"/>
  <c r="N93" i="9"/>
  <c r="B62" i="6"/>
  <c r="B65" i="4"/>
  <c r="C58" i="6"/>
  <c r="A59" i="6"/>
  <c r="A62" i="4"/>
  <c r="N96" i="9"/>
  <c r="O48" i="29" s="1"/>
  <c r="S48" i="29" s="1"/>
  <c r="N97" i="9"/>
  <c r="O49" i="29" s="1"/>
  <c r="N49" i="29"/>
  <c r="F162" i="13"/>
  <c r="H120" i="24" s="1"/>
  <c r="G150" i="13"/>
  <c r="I150" i="13"/>
  <c r="I162" i="13"/>
  <c r="G162" i="13"/>
  <c r="F36" i="2"/>
  <c r="F18" i="2"/>
  <c r="F39" i="2"/>
  <c r="F53" i="2"/>
  <c r="F21" i="2"/>
  <c r="F50" i="2"/>
  <c r="F17" i="2"/>
  <c r="F45" i="2"/>
  <c r="F22" i="2"/>
  <c r="AT141" i="13"/>
  <c r="AS141" i="13"/>
  <c r="H150" i="13"/>
  <c r="H162" i="13"/>
  <c r="I30" i="15"/>
  <c r="L30" i="15"/>
  <c r="N65" i="9"/>
  <c r="F34" i="2"/>
  <c r="F26" i="2"/>
  <c r="F42" i="2"/>
  <c r="F52" i="2"/>
  <c r="F35" i="2"/>
  <c r="F51" i="2"/>
  <c r="F16" i="2"/>
  <c r="F24" i="2"/>
  <c r="F43" i="2"/>
  <c r="G161" i="13"/>
  <c r="H161" i="13"/>
  <c r="G151" i="13"/>
  <c r="I161" i="13"/>
  <c r="F151" i="13"/>
  <c r="H151" i="13"/>
  <c r="F161" i="13"/>
  <c r="H119" i="24" s="1"/>
  <c r="AU15" i="13"/>
  <c r="AV15" i="13"/>
  <c r="N71" i="9"/>
  <c r="O14" i="29" s="1"/>
  <c r="S14" i="29" s="1"/>
  <c r="P26" i="15"/>
  <c r="P70" i="15" s="1"/>
  <c r="P15" i="15"/>
  <c r="P59" i="15" s="1"/>
  <c r="K137" i="14"/>
  <c r="D246" i="24"/>
  <c r="F246" i="24" s="1"/>
  <c r="O246" i="24"/>
  <c r="M136" i="14"/>
  <c r="O15" i="15"/>
  <c r="O59" i="15" s="1"/>
  <c r="R87" i="9" l="1"/>
  <c r="R88" i="9"/>
  <c r="R84" i="9"/>
  <c r="R85" i="9"/>
  <c r="R66" i="9"/>
  <c r="O9" i="29"/>
  <c r="S9" i="29" s="1"/>
  <c r="H114" i="24"/>
  <c r="W152" i="13"/>
  <c r="Z113" i="24" s="1"/>
  <c r="V152" i="13"/>
  <c r="V113" i="24" s="1"/>
  <c r="D193" i="24"/>
  <c r="D158" i="24"/>
  <c r="D160" i="24"/>
  <c r="D118" i="24"/>
  <c r="H121" i="24"/>
  <c r="D121" i="24" s="1"/>
  <c r="D116" i="24"/>
  <c r="V180" i="13"/>
  <c r="V162" i="24" s="1"/>
  <c r="H162" i="24"/>
  <c r="D191" i="24"/>
  <c r="D192" i="24"/>
  <c r="D159" i="24"/>
  <c r="AF117" i="24"/>
  <c r="I117" i="24" s="1"/>
  <c r="AH117" i="24"/>
  <c r="K117" i="24" s="1"/>
  <c r="D115" i="24"/>
  <c r="D161" i="24"/>
  <c r="D190" i="24"/>
  <c r="R72" i="9"/>
  <c r="O15" i="29"/>
  <c r="S15" i="29" s="1"/>
  <c r="R93" i="9"/>
  <c r="O42" i="29"/>
  <c r="S42" i="29" s="1"/>
  <c r="R92" i="9"/>
  <c r="O41" i="29"/>
  <c r="S41" i="29" s="1"/>
  <c r="R83" i="9"/>
  <c r="O29" i="29"/>
  <c r="S29" i="29" s="1"/>
  <c r="R78" i="9"/>
  <c r="O24" i="29"/>
  <c r="S24" i="29" s="1"/>
  <c r="R77" i="9"/>
  <c r="O23" i="29"/>
  <c r="S23" i="29" s="1"/>
  <c r="R70" i="9"/>
  <c r="O13" i="29"/>
  <c r="S13" i="29" s="1"/>
  <c r="R67" i="9"/>
  <c r="O10" i="29"/>
  <c r="S10" i="29" s="1"/>
  <c r="R81" i="9"/>
  <c r="O27" i="29"/>
  <c r="S27" i="29" s="1"/>
  <c r="R73" i="9"/>
  <c r="O16" i="29"/>
  <c r="S16" i="29" s="1"/>
  <c r="R82" i="9"/>
  <c r="O28" i="29"/>
  <c r="S28" i="29" s="1"/>
  <c r="R80" i="9"/>
  <c r="O26" i="29"/>
  <c r="S26" i="29" s="1"/>
  <c r="R91" i="9"/>
  <c r="O40" i="29"/>
  <c r="R76" i="9"/>
  <c r="O22" i="29"/>
  <c r="R69" i="9"/>
  <c r="O12" i="29"/>
  <c r="S12" i="29" s="1"/>
  <c r="R79" i="9"/>
  <c r="O25" i="29"/>
  <c r="S25" i="29" s="1"/>
  <c r="R68" i="9"/>
  <c r="O11" i="29"/>
  <c r="S11" i="29" s="1"/>
  <c r="R86" i="9"/>
  <c r="O32" i="29"/>
  <c r="S32" i="29" s="1"/>
  <c r="W157" i="13"/>
  <c r="Z118" i="24" s="1"/>
  <c r="V163" i="13"/>
  <c r="W163" i="13"/>
  <c r="Z121" i="24" s="1"/>
  <c r="G183" i="13"/>
  <c r="W180" i="13"/>
  <c r="Z162" i="24" s="1"/>
  <c r="W193" i="13"/>
  <c r="Z192" i="24" s="1"/>
  <c r="V193" i="13"/>
  <c r="V192" i="24" s="1"/>
  <c r="T204" i="13"/>
  <c r="T219" i="13" s="1"/>
  <c r="I219" i="13"/>
  <c r="V176" i="13"/>
  <c r="V159" i="24" s="1"/>
  <c r="W176" i="13"/>
  <c r="Z159" i="24" s="1"/>
  <c r="G201" i="13"/>
  <c r="T186" i="13"/>
  <c r="T201" i="13" s="1"/>
  <c r="I201" i="13"/>
  <c r="V186" i="13"/>
  <c r="V190" i="24" s="1"/>
  <c r="F201" i="13"/>
  <c r="V175" i="13"/>
  <c r="V158" i="24" s="1"/>
  <c r="F183" i="13"/>
  <c r="V155" i="13"/>
  <c r="V116" i="24" s="1"/>
  <c r="W155" i="13"/>
  <c r="Z116" i="24" s="1"/>
  <c r="V178" i="13"/>
  <c r="V161" i="24" s="1"/>
  <c r="W178" i="13"/>
  <c r="Z161" i="24" s="1"/>
  <c r="V198" i="13"/>
  <c r="V193" i="24" s="1"/>
  <c r="W198" i="13"/>
  <c r="Z193" i="24" s="1"/>
  <c r="I183" i="13"/>
  <c r="T175" i="13"/>
  <c r="T183" i="13" s="1"/>
  <c r="V187" i="13"/>
  <c r="V191" i="24" s="1"/>
  <c r="W187" i="13"/>
  <c r="Z191" i="24" s="1"/>
  <c r="V153" i="13"/>
  <c r="V114" i="24" s="1"/>
  <c r="W153" i="13"/>
  <c r="Z114" i="24" s="1"/>
  <c r="V204" i="13"/>
  <c r="F219" i="13"/>
  <c r="W177" i="13"/>
  <c r="Z160" i="24" s="1"/>
  <c r="V177" i="13"/>
  <c r="V160" i="24" s="1"/>
  <c r="V157" i="13"/>
  <c r="V118" i="24" s="1"/>
  <c r="V154" i="13"/>
  <c r="V115" i="24" s="1"/>
  <c r="W154" i="13"/>
  <c r="Z115" i="24" s="1"/>
  <c r="W159" i="13"/>
  <c r="V159" i="13"/>
  <c r="R97" i="9"/>
  <c r="R96" i="9"/>
  <c r="D120" i="24"/>
  <c r="V162" i="13"/>
  <c r="B63" i="6"/>
  <c r="B66" i="4"/>
  <c r="A61" i="6"/>
  <c r="C59" i="6"/>
  <c r="A63" i="4"/>
  <c r="S49" i="29"/>
  <c r="T162" i="13"/>
  <c r="W162" i="13" s="1"/>
  <c r="Z120" i="24" s="1"/>
  <c r="V150" i="13"/>
  <c r="G165" i="13"/>
  <c r="E6" i="15" s="1"/>
  <c r="J39" i="2"/>
  <c r="L39" i="2"/>
  <c r="K39" i="2"/>
  <c r="L18" i="2"/>
  <c r="J18" i="2"/>
  <c r="K18" i="2"/>
  <c r="J36" i="2"/>
  <c r="K36" i="2"/>
  <c r="L36" i="2"/>
  <c r="D119" i="24"/>
  <c r="J22" i="2"/>
  <c r="L22" i="2"/>
  <c r="K22" i="2"/>
  <c r="K45" i="2"/>
  <c r="J45" i="2"/>
  <c r="L45" i="2"/>
  <c r="L17" i="2"/>
  <c r="J17" i="2"/>
  <c r="K17" i="2"/>
  <c r="L50" i="2"/>
  <c r="J50" i="2"/>
  <c r="K50" i="2"/>
  <c r="J21" i="2"/>
  <c r="K21" i="2"/>
  <c r="L21" i="2"/>
  <c r="L53" i="2"/>
  <c r="K53" i="2"/>
  <c r="J53" i="2"/>
  <c r="T150" i="13"/>
  <c r="AP142" i="13"/>
  <c r="R65" i="9"/>
  <c r="O8" i="29"/>
  <c r="R71" i="9"/>
  <c r="K43" i="2"/>
  <c r="L43" i="2"/>
  <c r="J43" i="2"/>
  <c r="J51" i="2"/>
  <c r="K51" i="2"/>
  <c r="L51" i="2"/>
  <c r="K35" i="2"/>
  <c r="H12" i="3" s="1"/>
  <c r="J35" i="2"/>
  <c r="I12" i="3" s="1"/>
  <c r="L35" i="2"/>
  <c r="G12" i="3" s="1"/>
  <c r="J34" i="2"/>
  <c r="I18" i="3" s="1"/>
  <c r="K34" i="2"/>
  <c r="H18" i="3" s="1"/>
  <c r="L34" i="2"/>
  <c r="L52" i="2"/>
  <c r="K52" i="2"/>
  <c r="J52" i="2"/>
  <c r="J42" i="2"/>
  <c r="K42" i="2"/>
  <c r="L42" i="2"/>
  <c r="J26" i="2"/>
  <c r="K26" i="2"/>
  <c r="L26" i="2"/>
  <c r="J24" i="2"/>
  <c r="K24" i="2"/>
  <c r="L24" i="2"/>
  <c r="J16" i="2"/>
  <c r="L16" i="2"/>
  <c r="K16" i="2"/>
  <c r="F165" i="13"/>
  <c r="D6" i="15" s="1"/>
  <c r="D50" i="15" s="1"/>
  <c r="V161" i="13"/>
  <c r="V119" i="24" s="1"/>
  <c r="J165" i="13"/>
  <c r="V151" i="13"/>
  <c r="K20" i="15"/>
  <c r="K64" i="15" s="1"/>
  <c r="T161" i="13"/>
  <c r="W161" i="13" s="1"/>
  <c r="Z119" i="24" s="1"/>
  <c r="K26" i="15"/>
  <c r="K70" i="15" s="1"/>
  <c r="I165" i="13"/>
  <c r="J6" i="15" s="1"/>
  <c r="J50" i="15" s="1"/>
  <c r="T151" i="13"/>
  <c r="H165" i="13"/>
  <c r="I6" i="15" s="1"/>
  <c r="I50" i="15" s="1"/>
  <c r="K15" i="15"/>
  <c r="K59" i="15" s="1"/>
  <c r="I15" i="15"/>
  <c r="I59" i="15" s="1"/>
  <c r="I26" i="15"/>
  <c r="I70" i="15" s="1"/>
  <c r="N26" i="15"/>
  <c r="N70" i="15" s="1"/>
  <c r="P20" i="15"/>
  <c r="P64" i="15" s="1"/>
  <c r="O26" i="15"/>
  <c r="O70" i="15" s="1"/>
  <c r="O20" i="15"/>
  <c r="O64" i="15" s="1"/>
  <c r="E26" i="15"/>
  <c r="E70" i="15" s="1"/>
  <c r="E20" i="15"/>
  <c r="E64" i="15" s="1"/>
  <c r="D26" i="15"/>
  <c r="D70" i="15" s="1"/>
  <c r="D20" i="15"/>
  <c r="D64" i="15" s="1"/>
  <c r="D15" i="15"/>
  <c r="D59" i="15" s="1"/>
  <c r="E15" i="15"/>
  <c r="E59" i="15" s="1"/>
  <c r="AV141" i="13"/>
  <c r="AT142" i="13"/>
  <c r="V9" i="29" l="1"/>
  <c r="AF114" i="24"/>
  <c r="I114" i="24" s="1"/>
  <c r="AH114" i="24"/>
  <c r="K114" i="24" s="1"/>
  <c r="D114" i="24"/>
  <c r="AJ189" i="24"/>
  <c r="AJ157" i="24"/>
  <c r="D162" i="24"/>
  <c r="AH191" i="24"/>
  <c r="K191" i="24" s="1"/>
  <c r="AF191" i="24"/>
  <c r="I191" i="24" s="1"/>
  <c r="AF113" i="24"/>
  <c r="I113" i="24" s="1"/>
  <c r="AH113" i="24"/>
  <c r="K113" i="24" s="1"/>
  <c r="AF193" i="24"/>
  <c r="I193" i="24" s="1"/>
  <c r="AH193" i="24"/>
  <c r="K193" i="24" s="1"/>
  <c r="AF192" i="24"/>
  <c r="I192" i="24" s="1"/>
  <c r="AH192" i="24"/>
  <c r="K192" i="24" s="1"/>
  <c r="AF161" i="24"/>
  <c r="I161" i="24" s="1"/>
  <c r="AH161" i="24"/>
  <c r="K161" i="24" s="1"/>
  <c r="AH159" i="24"/>
  <c r="K159" i="24" s="1"/>
  <c r="AF159" i="24"/>
  <c r="I159" i="24" s="1"/>
  <c r="AH118" i="24"/>
  <c r="K118" i="24" s="1"/>
  <c r="AF118" i="24"/>
  <c r="I118" i="24" s="1"/>
  <c r="N117" i="24"/>
  <c r="AF162" i="24"/>
  <c r="I162" i="24" s="1"/>
  <c r="AH162" i="24"/>
  <c r="K162" i="24" s="1"/>
  <c r="V120" i="24"/>
  <c r="AF120" i="24" s="1"/>
  <c r="I120" i="24" s="1"/>
  <c r="AH115" i="24"/>
  <c r="K115" i="24" s="1"/>
  <c r="AF115" i="24"/>
  <c r="I115" i="24" s="1"/>
  <c r="AH116" i="24"/>
  <c r="K116" i="24" s="1"/>
  <c r="AF116" i="24"/>
  <c r="I116" i="24" s="1"/>
  <c r="AH160" i="24"/>
  <c r="K160" i="24" s="1"/>
  <c r="AF160" i="24"/>
  <c r="I160" i="24" s="1"/>
  <c r="AH158" i="24"/>
  <c r="K158" i="24" s="1"/>
  <c r="AH190" i="24"/>
  <c r="K190" i="24" s="1"/>
  <c r="V121" i="24"/>
  <c r="G18" i="3"/>
  <c r="I13" i="3"/>
  <c r="G20" i="3"/>
  <c r="G13" i="3"/>
  <c r="H20" i="3"/>
  <c r="H13" i="3"/>
  <c r="O36" i="29"/>
  <c r="S22" i="29"/>
  <c r="O44" i="29"/>
  <c r="S40" i="29"/>
  <c r="W204" i="13"/>
  <c r="W186" i="13"/>
  <c r="Z190" i="24" s="1"/>
  <c r="AL189" i="24" s="1"/>
  <c r="W175" i="13"/>
  <c r="Z158" i="24" s="1"/>
  <c r="AL157" i="24" s="1"/>
  <c r="K6" i="15"/>
  <c r="K50" i="15" s="1"/>
  <c r="S50" i="15" s="1"/>
  <c r="J221" i="13"/>
  <c r="W150" i="13"/>
  <c r="I221" i="13"/>
  <c r="H221" i="13"/>
  <c r="F221" i="13"/>
  <c r="F222" i="13" s="1"/>
  <c r="G221" i="13"/>
  <c r="G222" i="13" s="1"/>
  <c r="V48" i="29"/>
  <c r="Z207" i="24" s="1"/>
  <c r="B64" i="6"/>
  <c r="B67" i="4"/>
  <c r="C61" i="6"/>
  <c r="A62" i="6"/>
  <c r="A65" i="4"/>
  <c r="AH119" i="24"/>
  <c r="K119" i="24" s="1"/>
  <c r="AF119" i="24"/>
  <c r="I119" i="24" s="1"/>
  <c r="I20" i="3"/>
  <c r="I19" i="3"/>
  <c r="G19" i="3"/>
  <c r="H19" i="3"/>
  <c r="E50" i="15"/>
  <c r="S8" i="29"/>
  <c r="V8" i="29" s="1"/>
  <c r="Z124" i="24" s="1"/>
  <c r="AF124" i="24" s="1"/>
  <c r="I124" i="24" s="1"/>
  <c r="N124" i="24" s="1"/>
  <c r="J30" i="15"/>
  <c r="I11" i="3"/>
  <c r="H11" i="3"/>
  <c r="G11" i="3"/>
  <c r="V15" i="15"/>
  <c r="V6" i="15"/>
  <c r="T165" i="13"/>
  <c r="T221" i="13" s="1"/>
  <c r="W151" i="13"/>
  <c r="I20" i="15"/>
  <c r="I64" i="15" s="1"/>
  <c r="N20" i="15"/>
  <c r="N64" i="15" s="1"/>
  <c r="L26" i="15"/>
  <c r="L70" i="15" s="1"/>
  <c r="V20" i="15"/>
  <c r="V26" i="15"/>
  <c r="N15" i="15"/>
  <c r="N59" i="15" s="1"/>
  <c r="J20" i="15"/>
  <c r="J64" i="15" s="1"/>
  <c r="L15" i="15"/>
  <c r="L59" i="15" s="1"/>
  <c r="M15" i="15"/>
  <c r="M59" i="15" s="1"/>
  <c r="J15" i="15"/>
  <c r="J59" i="15" s="1"/>
  <c r="AX141" i="13"/>
  <c r="AM15" i="1"/>
  <c r="AC15" i="1"/>
  <c r="X15" i="1"/>
  <c r="O50" i="1"/>
  <c r="V50" i="1" s="1"/>
  <c r="N50" i="1"/>
  <c r="M50" i="1"/>
  <c r="AO50" i="1" s="1"/>
  <c r="G50" i="1"/>
  <c r="AF190" i="24" l="1"/>
  <c r="N116" i="24"/>
  <c r="E116" i="24" s="1"/>
  <c r="F116" i="24" s="1"/>
  <c r="E124" i="24"/>
  <c r="F124" i="24" s="1"/>
  <c r="O124" i="24"/>
  <c r="N159" i="24"/>
  <c r="E159" i="24" s="1"/>
  <c r="F159" i="24" s="1"/>
  <c r="AJ112" i="24"/>
  <c r="N114" i="24"/>
  <c r="N115" i="24"/>
  <c r="E115" i="24" s="1"/>
  <c r="F115" i="24" s="1"/>
  <c r="N160" i="24"/>
  <c r="O160" i="24" s="1"/>
  <c r="N191" i="24"/>
  <c r="O191" i="24" s="1"/>
  <c r="N118" i="24"/>
  <c r="O118" i="24" s="1"/>
  <c r="AH121" i="24"/>
  <c r="K121" i="24" s="1"/>
  <c r="AF121" i="24"/>
  <c r="I121" i="24" s="1"/>
  <c r="N193" i="24"/>
  <c r="E193" i="24" s="1"/>
  <c r="F193" i="24" s="1"/>
  <c r="O116" i="24"/>
  <c r="N113" i="24"/>
  <c r="AF158" i="24"/>
  <c r="I158" i="24" s="1"/>
  <c r="N158" i="24" s="1"/>
  <c r="N192" i="24"/>
  <c r="N162" i="24"/>
  <c r="I190" i="24"/>
  <c r="N190" i="24" s="1"/>
  <c r="N161" i="24"/>
  <c r="AH120" i="24"/>
  <c r="K120" i="24" s="1"/>
  <c r="N120" i="24" s="1"/>
  <c r="E117" i="24"/>
  <c r="F117" i="24" s="1"/>
  <c r="O117" i="24"/>
  <c r="V22" i="29"/>
  <c r="Z145" i="24" s="1"/>
  <c r="S36" i="29"/>
  <c r="V40" i="29"/>
  <c r="Z178" i="24" s="1"/>
  <c r="S44" i="29"/>
  <c r="S6" i="15"/>
  <c r="W6" i="15" s="1"/>
  <c r="H222" i="13"/>
  <c r="AL112" i="24"/>
  <c r="B65" i="6"/>
  <c r="B68" i="4"/>
  <c r="C62" i="6"/>
  <c r="A63" i="6"/>
  <c r="A66" i="4"/>
  <c r="X36" i="2"/>
  <c r="X39" i="2"/>
  <c r="X18" i="2"/>
  <c r="AP50" i="1"/>
  <c r="AQ36" i="2"/>
  <c r="AQ18" i="2"/>
  <c r="AQ39" i="2"/>
  <c r="N119" i="24"/>
  <c r="O119" i="24" s="1"/>
  <c r="Z53" i="2"/>
  <c r="Z21" i="2"/>
  <c r="Z50" i="2"/>
  <c r="Z17" i="2"/>
  <c r="Z45" i="2"/>
  <c r="Z22" i="2"/>
  <c r="AE53" i="2"/>
  <c r="AE21" i="2"/>
  <c r="AE17" i="2"/>
  <c r="AE50" i="2"/>
  <c r="AE45" i="2"/>
  <c r="AE22" i="2"/>
  <c r="AO53" i="2"/>
  <c r="AO21" i="2"/>
  <c r="AO17" i="2"/>
  <c r="AO50" i="2"/>
  <c r="AO45" i="2"/>
  <c r="AO22" i="2"/>
  <c r="Z43" i="2"/>
  <c r="Z52" i="2"/>
  <c r="Z24" i="2"/>
  <c r="Z35" i="2"/>
  <c r="Z16" i="2"/>
  <c r="Z51" i="2"/>
  <c r="Z42" i="2"/>
  <c r="Z26" i="2"/>
  <c r="Z34" i="2"/>
  <c r="AO16" i="2"/>
  <c r="AO26" i="2"/>
  <c r="AO42" i="2"/>
  <c r="AO52" i="2"/>
  <c r="AO34" i="2"/>
  <c r="AO51" i="2"/>
  <c r="AO24" i="2"/>
  <c r="AO43" i="2"/>
  <c r="AO35" i="2"/>
  <c r="AE34" i="2"/>
  <c r="AE35" i="2"/>
  <c r="AE52" i="2"/>
  <c r="AE43" i="2"/>
  <c r="AE16" i="2"/>
  <c r="AE42" i="2"/>
  <c r="AE51" i="2"/>
  <c r="AE26" i="2"/>
  <c r="AE24" i="2"/>
  <c r="S15" i="15"/>
  <c r="W15" i="15" s="1"/>
  <c r="L50" i="1"/>
  <c r="AE50" i="1" s="1"/>
  <c r="M26" i="15"/>
  <c r="M70" i="15" s="1"/>
  <c r="J26" i="15"/>
  <c r="J70" i="15" s="1"/>
  <c r="M20" i="15"/>
  <c r="M64" i="15" s="1"/>
  <c r="L20" i="15"/>
  <c r="L64" i="15" s="1"/>
  <c r="Q50" i="1"/>
  <c r="AX142" i="13"/>
  <c r="AZ143" i="13" s="1"/>
  <c r="AU141" i="13"/>
  <c r="R50" i="1"/>
  <c r="AJ50" i="1"/>
  <c r="Z50" i="1"/>
  <c r="O159" i="24" l="1"/>
  <c r="N121" i="24"/>
  <c r="O121" i="24" s="1"/>
  <c r="E191" i="24"/>
  <c r="F191" i="24" s="1"/>
  <c r="AL177" i="24"/>
  <c r="AF178" i="24"/>
  <c r="I178" i="24" s="1"/>
  <c r="N178" i="24" s="1"/>
  <c r="AF145" i="24"/>
  <c r="I145" i="24" s="1"/>
  <c r="N145" i="24" s="1"/>
  <c r="AL144" i="24"/>
  <c r="O193" i="24"/>
  <c r="E118" i="24"/>
  <c r="F118" i="24" s="1"/>
  <c r="O115" i="24"/>
  <c r="E160" i="24"/>
  <c r="F160" i="24" s="1"/>
  <c r="E114" i="24"/>
  <c r="F114" i="24" s="1"/>
  <c r="O114" i="24"/>
  <c r="E120" i="24"/>
  <c r="F120" i="24" s="1"/>
  <c r="O120" i="24"/>
  <c r="E158" i="24"/>
  <c r="F158" i="24" s="1"/>
  <c r="O158" i="24"/>
  <c r="E161" i="24"/>
  <c r="F161" i="24" s="1"/>
  <c r="O161" i="24"/>
  <c r="O190" i="24"/>
  <c r="E190" i="24"/>
  <c r="F190" i="24" s="1"/>
  <c r="E162" i="24"/>
  <c r="F162" i="24" s="1"/>
  <c r="O162" i="24"/>
  <c r="E192" i="24"/>
  <c r="F192" i="24" s="1"/>
  <c r="O192" i="24"/>
  <c r="O113" i="24"/>
  <c r="E113" i="24"/>
  <c r="F113" i="24" s="1"/>
  <c r="B66" i="6"/>
  <c r="B69" i="4"/>
  <c r="C63" i="6"/>
  <c r="A64" i="6"/>
  <c r="A67" i="4"/>
  <c r="T36" i="2"/>
  <c r="M36" i="2" s="1"/>
  <c r="S36" i="2" s="1"/>
  <c r="T39" i="2"/>
  <c r="M39" i="2" s="1"/>
  <c r="S39" i="2" s="1"/>
  <c r="T18" i="2"/>
  <c r="M18" i="2" s="1"/>
  <c r="S18" i="2" s="1"/>
  <c r="AA50" i="1"/>
  <c r="AB18" i="2"/>
  <c r="AB36" i="2"/>
  <c r="AB39" i="2"/>
  <c r="AR36" i="2"/>
  <c r="AR39" i="2"/>
  <c r="AR18" i="2"/>
  <c r="AF50" i="1"/>
  <c r="AG36" i="2"/>
  <c r="AG39" i="2"/>
  <c r="AG18" i="2"/>
  <c r="AK50" i="1"/>
  <c r="AL36" i="2"/>
  <c r="AL39" i="2"/>
  <c r="AL18" i="2"/>
  <c r="U36" i="2"/>
  <c r="U39" i="2"/>
  <c r="U18" i="2"/>
  <c r="E119" i="24"/>
  <c r="F119" i="24" s="1"/>
  <c r="S70" i="15"/>
  <c r="S26" i="15"/>
  <c r="W26" i="15" s="1"/>
  <c r="S20" i="15"/>
  <c r="W20" i="15" s="1"/>
  <c r="S64" i="15"/>
  <c r="S59" i="15"/>
  <c r="Y52" i="1"/>
  <c r="Z52" i="1"/>
  <c r="V156" i="11"/>
  <c r="E121" i="24" l="1"/>
  <c r="F121" i="24" s="1"/>
  <c r="E178" i="24"/>
  <c r="F178" i="24" s="1"/>
  <c r="O178" i="24"/>
  <c r="E145" i="24"/>
  <c r="F145" i="24" s="1"/>
  <c r="O145" i="24"/>
  <c r="B67" i="6"/>
  <c r="B70" i="4"/>
  <c r="A65" i="6"/>
  <c r="C64" i="6"/>
  <c r="A68" i="4"/>
  <c r="AC39" i="2"/>
  <c r="AC18" i="2"/>
  <c r="AC36" i="2"/>
  <c r="AM36" i="2"/>
  <c r="AM18" i="2"/>
  <c r="AM39" i="2"/>
  <c r="AH36" i="2"/>
  <c r="AH18" i="2"/>
  <c r="AH39" i="2"/>
  <c r="H223" i="13"/>
  <c r="U8" i="11"/>
  <c r="Y8" i="11"/>
  <c r="H177" i="11"/>
  <c r="E177" i="11"/>
  <c r="J24" i="9"/>
  <c r="K24" i="9" s="1"/>
  <c r="J22" i="9"/>
  <c r="I24" i="9"/>
  <c r="R29" i="9"/>
  <c r="M19" i="9"/>
  <c r="B68" i="6" l="1"/>
  <c r="B71" i="4"/>
  <c r="A66" i="6"/>
  <c r="C65" i="6"/>
  <c r="A69" i="4"/>
  <c r="G167" i="11"/>
  <c r="J167" i="11" s="1"/>
  <c r="M167" i="11" s="1"/>
  <c r="J25" i="15"/>
  <c r="F162" i="11"/>
  <c r="J8" i="15" s="1"/>
  <c r="K25" i="15"/>
  <c r="K69" i="15" s="1"/>
  <c r="C162" i="11"/>
  <c r="H128" i="24" s="1"/>
  <c r="G162" i="11"/>
  <c r="K8" i="15" s="1"/>
  <c r="E25" i="15"/>
  <c r="U156" i="11"/>
  <c r="W156" i="11"/>
  <c r="S156" i="11"/>
  <c r="T156" i="11"/>
  <c r="AB8" i="11"/>
  <c r="Z8" i="11"/>
  <c r="E68" i="15"/>
  <c r="I19" i="9"/>
  <c r="J19" i="9"/>
  <c r="K19" i="9" s="1"/>
  <c r="O19" i="9" s="1"/>
  <c r="P19" i="9"/>
  <c r="Q19" i="9"/>
  <c r="I20" i="9"/>
  <c r="J20" i="9"/>
  <c r="K20" i="9" s="1"/>
  <c r="O20" i="9" s="1"/>
  <c r="M20" i="9"/>
  <c r="P20" i="9"/>
  <c r="Q20" i="9"/>
  <c r="I21" i="9"/>
  <c r="J21" i="9"/>
  <c r="K21" i="9" s="1"/>
  <c r="M21" i="9"/>
  <c r="P21" i="9"/>
  <c r="Q21" i="9"/>
  <c r="I22" i="9"/>
  <c r="K22" i="9"/>
  <c r="M22" i="9"/>
  <c r="O22" i="9"/>
  <c r="P22" i="9"/>
  <c r="Q22" i="9"/>
  <c r="M24" i="9"/>
  <c r="O24" i="9"/>
  <c r="P24" i="9"/>
  <c r="Q24" i="9"/>
  <c r="AF129" i="24" l="1"/>
  <c r="Z165" i="24"/>
  <c r="AF165" i="24" s="1"/>
  <c r="I165" i="24" s="1"/>
  <c r="E8" i="15"/>
  <c r="E52" i="15" s="1"/>
  <c r="H248" i="24"/>
  <c r="D177" i="11"/>
  <c r="O21" i="9"/>
  <c r="O28" i="9" s="1"/>
  <c r="O30" i="9" s="1"/>
  <c r="B69" i="6"/>
  <c r="B72" i="4"/>
  <c r="C66" i="6"/>
  <c r="A70" i="4"/>
  <c r="A67" i="6"/>
  <c r="AL216" i="24"/>
  <c r="O167" i="11"/>
  <c r="D8" i="15"/>
  <c r="D52" i="15" s="1"/>
  <c r="D128" i="24"/>
  <c r="E69" i="15"/>
  <c r="J69" i="15"/>
  <c r="S69" i="15" s="1"/>
  <c r="S25" i="15"/>
  <c r="D25" i="15"/>
  <c r="D69" i="15" s="1"/>
  <c r="J52" i="15"/>
  <c r="K52" i="15"/>
  <c r="E63" i="15"/>
  <c r="J162" i="11"/>
  <c r="M162" i="11" s="1"/>
  <c r="Z128" i="24" s="1"/>
  <c r="O162" i="11"/>
  <c r="L162" i="11"/>
  <c r="V128" i="24" s="1"/>
  <c r="C177" i="11"/>
  <c r="C178" i="11" s="1"/>
  <c r="D125" i="24"/>
  <c r="F177" i="11"/>
  <c r="G177" i="11"/>
  <c r="N22" i="9"/>
  <c r="R22" i="9" s="1"/>
  <c r="N21" i="9"/>
  <c r="N20" i="9"/>
  <c r="R20" i="9" s="1"/>
  <c r="N24" i="9"/>
  <c r="R24" i="9" s="1"/>
  <c r="Q28" i="9"/>
  <c r="Q30" i="9" s="1"/>
  <c r="N19" i="9"/>
  <c r="M28" i="9"/>
  <c r="M30" i="9" s="1"/>
  <c r="P28" i="9"/>
  <c r="P30" i="9" s="1"/>
  <c r="N165" i="24" l="1"/>
  <c r="E165" i="24" s="1"/>
  <c r="F165" i="24" s="1"/>
  <c r="I129" i="24"/>
  <c r="N129" i="24" s="1"/>
  <c r="E178" i="11"/>
  <c r="R21" i="9"/>
  <c r="B70" i="6"/>
  <c r="B73" i="4"/>
  <c r="A68" i="6"/>
  <c r="C67" i="6"/>
  <c r="A71" i="4"/>
  <c r="W25" i="15"/>
  <c r="V25" i="15"/>
  <c r="K19" i="15"/>
  <c r="M19" i="15"/>
  <c r="L19" i="15"/>
  <c r="P36" i="9"/>
  <c r="O36" i="9"/>
  <c r="M36" i="9"/>
  <c r="Q36" i="9"/>
  <c r="E57" i="15"/>
  <c r="AL127" i="24"/>
  <c r="AJ127" i="24"/>
  <c r="D63" i="15"/>
  <c r="AF128" i="24"/>
  <c r="I128" i="24" s="1"/>
  <c r="AH128" i="24"/>
  <c r="K128" i="24" s="1"/>
  <c r="J177" i="11"/>
  <c r="S8" i="15"/>
  <c r="E53" i="15"/>
  <c r="D178" i="11"/>
  <c r="N28" i="9"/>
  <c r="N30" i="9" s="1"/>
  <c r="R19" i="9"/>
  <c r="R28" i="9" s="1"/>
  <c r="R30" i="9" s="1"/>
  <c r="A8" i="3"/>
  <c r="B3" i="3"/>
  <c r="M51" i="1"/>
  <c r="L51" i="1" s="1"/>
  <c r="G49" i="1"/>
  <c r="M49" i="1"/>
  <c r="L49" i="1" s="1"/>
  <c r="N49" i="1"/>
  <c r="O49" i="1"/>
  <c r="V49" i="1" s="1"/>
  <c r="Z49" i="1"/>
  <c r="AA49" i="1" s="1"/>
  <c r="AE49" i="1"/>
  <c r="AF49" i="1" s="1"/>
  <c r="AJ49" i="1"/>
  <c r="AK49" i="1" s="1"/>
  <c r="AO49" i="1"/>
  <c r="AP49" i="1" s="1"/>
  <c r="AS49" i="1"/>
  <c r="AT49" i="1" s="1"/>
  <c r="AW49" i="1"/>
  <c r="AX49" i="1" s="1"/>
  <c r="AS50" i="1"/>
  <c r="AW50" i="1"/>
  <c r="G51" i="1"/>
  <c r="N51" i="1"/>
  <c r="O51" i="1"/>
  <c r="V51" i="1" s="1"/>
  <c r="Y51" i="1"/>
  <c r="Z51" i="1" s="1"/>
  <c r="AA51" i="1" s="1"/>
  <c r="AD51" i="1"/>
  <c r="AE51" i="1" s="1"/>
  <c r="AF51" i="1" s="1"/>
  <c r="AI51" i="1"/>
  <c r="AJ51" i="1" s="1"/>
  <c r="AK51" i="1" s="1"/>
  <c r="AN51" i="1"/>
  <c r="AO51" i="1" s="1"/>
  <c r="AP51" i="1" s="1"/>
  <c r="AS51" i="1"/>
  <c r="AT51" i="1" s="1"/>
  <c r="AW51" i="1"/>
  <c r="AX51" i="1" s="1"/>
  <c r="G52" i="1"/>
  <c r="M52" i="1"/>
  <c r="L52" i="1" s="1"/>
  <c r="N52" i="1"/>
  <c r="O52" i="1"/>
  <c r="P52" i="1"/>
  <c r="AD52" i="1"/>
  <c r="AI52" i="1"/>
  <c r="AN52" i="1"/>
  <c r="AS52" i="1"/>
  <c r="AT52" i="1" s="1"/>
  <c r="AW52" i="1"/>
  <c r="AX52" i="1" s="1"/>
  <c r="W14" i="7"/>
  <c r="F14" i="7"/>
  <c r="W13" i="7"/>
  <c r="F13" i="7"/>
  <c r="W12" i="7"/>
  <c r="F12" i="7"/>
  <c r="W11" i="7"/>
  <c r="F11" i="7"/>
  <c r="W10" i="7"/>
  <c r="F10" i="7"/>
  <c r="W9" i="7"/>
  <c r="F9" i="7"/>
  <c r="W8" i="7"/>
  <c r="F8" i="7"/>
  <c r="W7" i="7"/>
  <c r="F7" i="7"/>
  <c r="W6" i="7"/>
  <c r="F6" i="7"/>
  <c r="C9" i="5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W9" i="5" s="1"/>
  <c r="AX9" i="5" s="1"/>
  <c r="AY9" i="5" s="1"/>
  <c r="AZ9" i="5" s="1"/>
  <c r="BA9" i="5" s="1"/>
  <c r="BB9" i="5" s="1"/>
  <c r="BC9" i="5" s="1"/>
  <c r="BD9" i="5" s="1"/>
  <c r="BE9" i="5" s="1"/>
  <c r="BF9" i="5" s="1"/>
  <c r="BG9" i="5" s="1"/>
  <c r="BH9" i="5" s="1"/>
  <c r="BI9" i="5" s="1"/>
  <c r="BJ9" i="5" s="1"/>
  <c r="X6" i="5"/>
  <c r="O165" i="24" l="1"/>
  <c r="E129" i="24"/>
  <c r="F129" i="24" s="1"/>
  <c r="O129" i="24"/>
  <c r="B71" i="6"/>
  <c r="B74" i="4"/>
  <c r="N6" i="29"/>
  <c r="M102" i="9"/>
  <c r="P6" i="29"/>
  <c r="O102" i="9"/>
  <c r="Q6" i="29"/>
  <c r="P102" i="9"/>
  <c r="R6" i="29"/>
  <c r="R18" i="29" s="1"/>
  <c r="M9" i="15" s="1"/>
  <c r="M53" i="15" s="1"/>
  <c r="Q102" i="9"/>
  <c r="C68" i="6"/>
  <c r="A69" i="6"/>
  <c r="A72" i="4"/>
  <c r="N18" i="29"/>
  <c r="I9" i="15" s="1"/>
  <c r="AX50" i="1"/>
  <c r="AY36" i="2"/>
  <c r="AY39" i="2"/>
  <c r="AY18" i="2"/>
  <c r="AT50" i="1"/>
  <c r="AU36" i="2"/>
  <c r="AU39" i="2"/>
  <c r="AU18" i="2"/>
  <c r="I24" i="15"/>
  <c r="M24" i="15"/>
  <c r="M68" i="15" s="1"/>
  <c r="L24" i="15"/>
  <c r="L68" i="15" s="1"/>
  <c r="I19" i="15"/>
  <c r="R51" i="29"/>
  <c r="Q18" i="29"/>
  <c r="L9" i="15" s="1"/>
  <c r="L53" i="15" s="1"/>
  <c r="N51" i="29"/>
  <c r="Q51" i="29"/>
  <c r="L13" i="15" s="1"/>
  <c r="L57" i="15" s="1"/>
  <c r="N36" i="9"/>
  <c r="M74" i="15"/>
  <c r="L74" i="15"/>
  <c r="Q49" i="1"/>
  <c r="Q51" i="1"/>
  <c r="O248" i="24"/>
  <c r="V24" i="15"/>
  <c r="D68" i="15"/>
  <c r="K74" i="15"/>
  <c r="K63" i="15"/>
  <c r="K24" i="15"/>
  <c r="K68" i="15" s="1"/>
  <c r="R49" i="1"/>
  <c r="R51" i="1"/>
  <c r="R52" i="1"/>
  <c r="Q52" i="1"/>
  <c r="D247" i="24"/>
  <c r="F247" i="24" s="1"/>
  <c r="O247" i="24"/>
  <c r="F53" i="15"/>
  <c r="D53" i="15"/>
  <c r="V30" i="15"/>
  <c r="V19" i="15"/>
  <c r="N128" i="24"/>
  <c r="E128" i="24" s="1"/>
  <c r="F128" i="24" s="1"/>
  <c r="W8" i="15"/>
  <c r="V8" i="15"/>
  <c r="L63" i="15"/>
  <c r="M63" i="15"/>
  <c r="AP52" i="1"/>
  <c r="AO52" i="1"/>
  <c r="AA52" i="1"/>
  <c r="AE52" i="1"/>
  <c r="AF52" i="1" s="1"/>
  <c r="AJ52" i="1"/>
  <c r="V52" i="1"/>
  <c r="B72" i="6" l="1"/>
  <c r="B75" i="4"/>
  <c r="O6" i="29"/>
  <c r="N102" i="9"/>
  <c r="A70" i="6"/>
  <c r="A74" i="4" s="1"/>
  <c r="C69" i="6"/>
  <c r="A73" i="4"/>
  <c r="AV36" i="2"/>
  <c r="AV39" i="2"/>
  <c r="AV18" i="2"/>
  <c r="AZ36" i="2"/>
  <c r="AZ18" i="2"/>
  <c r="AZ39" i="2"/>
  <c r="R55" i="29"/>
  <c r="M13" i="15"/>
  <c r="M57" i="15" s="1"/>
  <c r="N55" i="29"/>
  <c r="I13" i="15"/>
  <c r="I57" i="15" s="1"/>
  <c r="D248" i="24"/>
  <c r="F248" i="24" s="1"/>
  <c r="F266" i="24" s="1"/>
  <c r="Q55" i="29"/>
  <c r="P51" i="29"/>
  <c r="K13" i="15" s="1"/>
  <c r="K57" i="15" s="1"/>
  <c r="P18" i="29"/>
  <c r="R36" i="9"/>
  <c r="AF207" i="24"/>
  <c r="I207" i="24" s="1"/>
  <c r="N207" i="24" s="1"/>
  <c r="O207" i="24" s="1"/>
  <c r="J74" i="15"/>
  <c r="I53" i="15"/>
  <c r="I63" i="15"/>
  <c r="I68" i="15"/>
  <c r="I74" i="15"/>
  <c r="K19" i="23"/>
  <c r="D57" i="15"/>
  <c r="V13" i="15"/>
  <c r="C14" i="22"/>
  <c r="C19" i="22" s="1"/>
  <c r="O266" i="24"/>
  <c r="O36" i="23" s="1"/>
  <c r="V9" i="15"/>
  <c r="AH125" i="24"/>
  <c r="K125" i="24" s="1"/>
  <c r="O128" i="24"/>
  <c r="F36" i="23" l="1"/>
  <c r="B73" i="6"/>
  <c r="B76" i="4"/>
  <c r="O18" i="29"/>
  <c r="J9" i="15" s="1"/>
  <c r="R102" i="9"/>
  <c r="R103" i="9" s="1"/>
  <c r="S6" i="29"/>
  <c r="V6" i="29" s="1"/>
  <c r="Z125" i="24" s="1"/>
  <c r="AF125" i="24" s="1"/>
  <c r="I125" i="24" s="1"/>
  <c r="N125" i="24" s="1"/>
  <c r="C70" i="6"/>
  <c r="A71" i="6"/>
  <c r="A75" i="4" s="1"/>
  <c r="BA18" i="2"/>
  <c r="BA39" i="2"/>
  <c r="BA36" i="2"/>
  <c r="P55" i="29"/>
  <c r="K9" i="15"/>
  <c r="K53" i="15" s="1"/>
  <c r="S18" i="29"/>
  <c r="J19" i="15"/>
  <c r="J63" i="15" s="1"/>
  <c r="S51" i="29"/>
  <c r="J24" i="15"/>
  <c r="J68" i="15" s="1"/>
  <c r="O51" i="29"/>
  <c r="E207" i="24"/>
  <c r="F207" i="24" s="1"/>
  <c r="B49" i="15"/>
  <c r="B77" i="15" s="1"/>
  <c r="Y259" i="4"/>
  <c r="V259" i="4"/>
  <c r="W259" i="4"/>
  <c r="X259" i="4"/>
  <c r="B74" i="6" l="1"/>
  <c r="B77" i="4"/>
  <c r="A72" i="6"/>
  <c r="A76" i="4" s="1"/>
  <c r="C71" i="6"/>
  <c r="AL123" i="24"/>
  <c r="O55" i="29"/>
  <c r="J13" i="15"/>
  <c r="J57" i="15" s="1"/>
  <c r="S57" i="15" s="1"/>
  <c r="AL206" i="24"/>
  <c r="E29" i="15"/>
  <c r="E73" i="15" s="1"/>
  <c r="E23" i="15"/>
  <c r="E67" i="15" s="1"/>
  <c r="E18" i="15"/>
  <c r="E62" i="15" s="1"/>
  <c r="S68" i="15"/>
  <c r="J53" i="15"/>
  <c r="O125" i="24"/>
  <c r="E125" i="24"/>
  <c r="F125" i="24" s="1"/>
  <c r="S24" i="15"/>
  <c r="W24" i="15" s="1"/>
  <c r="S63" i="15"/>
  <c r="S19" i="15"/>
  <c r="W19" i="15" s="1"/>
  <c r="S74" i="15"/>
  <c r="S30" i="15"/>
  <c r="W30" i="15" s="1"/>
  <c r="B75" i="6" l="1"/>
  <c r="B78" i="4"/>
  <c r="A73" i="6"/>
  <c r="A77" i="4" s="1"/>
  <c r="C72" i="6"/>
  <c r="S55" i="29"/>
  <c r="S56" i="29" s="1"/>
  <c r="S13" i="15"/>
  <c r="W13" i="15" s="1"/>
  <c r="D29" i="15"/>
  <c r="U31" i="15" s="1"/>
  <c r="D23" i="15"/>
  <c r="U27" i="15" s="1"/>
  <c r="D18" i="15"/>
  <c r="U21" i="15" s="1"/>
  <c r="S9" i="15"/>
  <c r="W9" i="15" s="1"/>
  <c r="B76" i="6" l="1"/>
  <c r="B79" i="4"/>
  <c r="A74" i="6"/>
  <c r="A78" i="4" s="1"/>
  <c r="C73" i="6"/>
  <c r="D67" i="15"/>
  <c r="V23" i="15"/>
  <c r="D62" i="15"/>
  <c r="V18" i="15"/>
  <c r="D73" i="15"/>
  <c r="V29" i="15"/>
  <c r="B77" i="6" l="1"/>
  <c r="B80" i="4"/>
  <c r="A75" i="6"/>
  <c r="A79" i="4" s="1"/>
  <c r="C74" i="6"/>
  <c r="B50" i="7"/>
  <c r="B37" i="7"/>
  <c r="B32" i="7"/>
  <c r="B49" i="7"/>
  <c r="B42" i="7"/>
  <c r="B33" i="7"/>
  <c r="B45" i="7"/>
  <c r="B35" i="7"/>
  <c r="B41" i="7"/>
  <c r="B51" i="7"/>
  <c r="B46" i="7"/>
  <c r="B55" i="7"/>
  <c r="B85" i="7" s="1"/>
  <c r="B40" i="7"/>
  <c r="B43" i="7"/>
  <c r="B47" i="7"/>
  <c r="B34" i="7"/>
  <c r="A49" i="7"/>
  <c r="C25" i="7"/>
  <c r="A40" i="7"/>
  <c r="A45" i="7"/>
  <c r="A47" i="7"/>
  <c r="A42" i="7"/>
  <c r="A41" i="7"/>
  <c r="A37" i="7"/>
  <c r="A55" i="7"/>
  <c r="A85" i="7" s="1"/>
  <c r="A32" i="7"/>
  <c r="A51" i="7"/>
  <c r="A43" i="7"/>
  <c r="A50" i="7"/>
  <c r="A35" i="7"/>
  <c r="A34" i="7"/>
  <c r="A46" i="7"/>
  <c r="A33" i="7"/>
  <c r="B78" i="6" l="1"/>
  <c r="B81" i="4"/>
  <c r="A76" i="6"/>
  <c r="A80" i="4" s="1"/>
  <c r="C75" i="6"/>
  <c r="B102" i="7"/>
  <c r="B110" i="7"/>
  <c r="B105" i="7"/>
  <c r="B103" i="7"/>
  <c r="B101" i="7"/>
  <c r="B100" i="7"/>
  <c r="B97" i="7"/>
  <c r="B95" i="7"/>
  <c r="B94" i="7"/>
  <c r="B93" i="7"/>
  <c r="B109" i="7"/>
  <c r="B107" i="7"/>
  <c r="B115" i="7"/>
  <c r="B92" i="7"/>
  <c r="B106" i="7"/>
  <c r="B111" i="7"/>
  <c r="A105" i="7"/>
  <c r="A111" i="7"/>
  <c r="A101" i="7"/>
  <c r="A110" i="7"/>
  <c r="A102" i="7"/>
  <c r="A107" i="7"/>
  <c r="A100" i="7"/>
  <c r="A106" i="7"/>
  <c r="A93" i="7"/>
  <c r="A92" i="7"/>
  <c r="A97" i="7"/>
  <c r="C85" i="7"/>
  <c r="A95" i="7"/>
  <c r="A115" i="7"/>
  <c r="A103" i="7"/>
  <c r="A109" i="7"/>
  <c r="A94" i="7"/>
  <c r="A73" i="7"/>
  <c r="A67" i="7"/>
  <c r="A71" i="7"/>
  <c r="A62" i="7"/>
  <c r="C55" i="7"/>
  <c r="A64" i="7"/>
  <c r="A70" i="7"/>
  <c r="A77" i="7"/>
  <c r="A75" i="7"/>
  <c r="A72" i="7"/>
  <c r="A65" i="7"/>
  <c r="A80" i="7"/>
  <c r="A76" i="7"/>
  <c r="A79" i="7"/>
  <c r="A63" i="7"/>
  <c r="A81" i="7"/>
  <c r="B79" i="7"/>
  <c r="B75" i="7"/>
  <c r="B81" i="7"/>
  <c r="B76" i="7"/>
  <c r="B67" i="7"/>
  <c r="B62" i="7"/>
  <c r="B64" i="7"/>
  <c r="B72" i="7"/>
  <c r="B65" i="7"/>
  <c r="B70" i="7"/>
  <c r="B80" i="7"/>
  <c r="B63" i="7"/>
  <c r="B77" i="7"/>
  <c r="B71" i="7"/>
  <c r="B73" i="7"/>
  <c r="B79" i="6" l="1"/>
  <c r="B82" i="4"/>
  <c r="A77" i="6"/>
  <c r="A81" i="4" s="1"/>
  <c r="C76" i="6"/>
  <c r="B135" i="7"/>
  <c r="B145" i="7"/>
  <c r="B124" i="7"/>
  <c r="B139" i="7"/>
  <c r="B123" i="7"/>
  <c r="B132" i="7"/>
  <c r="B131" i="7"/>
  <c r="B122" i="7"/>
  <c r="B137" i="7"/>
  <c r="B127" i="7"/>
  <c r="B130" i="7"/>
  <c r="B141" i="7"/>
  <c r="B136" i="7"/>
  <c r="B125" i="7"/>
  <c r="B133" i="7"/>
  <c r="B140" i="7"/>
  <c r="A131" i="7"/>
  <c r="A137" i="7"/>
  <c r="A124" i="7"/>
  <c r="C115" i="7"/>
  <c r="A141" i="7"/>
  <c r="A135" i="7"/>
  <c r="A130" i="7"/>
  <c r="A136" i="7"/>
  <c r="A140" i="7"/>
  <c r="A127" i="7"/>
  <c r="A145" i="7"/>
  <c r="A123" i="7"/>
  <c r="A139" i="7"/>
  <c r="A133" i="7"/>
  <c r="A122" i="7"/>
  <c r="A125" i="7"/>
  <c r="A132" i="7"/>
  <c r="B80" i="6" l="1"/>
  <c r="B83" i="4"/>
  <c r="A78" i="6"/>
  <c r="A82" i="4" s="1"/>
  <c r="C77" i="6"/>
  <c r="B155" i="7"/>
  <c r="B170" i="7"/>
  <c r="B165" i="7"/>
  <c r="B161" i="7"/>
  <c r="B162" i="7"/>
  <c r="B160" i="7"/>
  <c r="B152" i="7"/>
  <c r="B154" i="7"/>
  <c r="B171" i="7"/>
  <c r="B166" i="7"/>
  <c r="B169" i="7"/>
  <c r="B175" i="7"/>
  <c r="B153" i="7"/>
  <c r="B167" i="7"/>
  <c r="B163" i="7"/>
  <c r="B157" i="7"/>
  <c r="A160" i="7"/>
  <c r="A152" i="7"/>
  <c r="C145" i="7"/>
  <c r="A154" i="7"/>
  <c r="A170" i="7"/>
  <c r="A157" i="7"/>
  <c r="A162" i="7"/>
  <c r="A175" i="7"/>
  <c r="A167" i="7"/>
  <c r="A171" i="7"/>
  <c r="A153" i="7"/>
  <c r="A165" i="7"/>
  <c r="A161" i="7"/>
  <c r="A155" i="7"/>
  <c r="A163" i="7"/>
  <c r="A166" i="7"/>
  <c r="A169" i="7"/>
  <c r="B81" i="6" l="1"/>
  <c r="B84" i="4"/>
  <c r="A79" i="6"/>
  <c r="A83" i="4" s="1"/>
  <c r="C78" i="6"/>
  <c r="A187" i="7"/>
  <c r="A183" i="7"/>
  <c r="A191" i="7"/>
  <c r="A182" i="7"/>
  <c r="A201" i="7"/>
  <c r="A195" i="7"/>
  <c r="A190" i="7"/>
  <c r="A193" i="7"/>
  <c r="A199" i="7"/>
  <c r="A184" i="7"/>
  <c r="C175" i="7"/>
  <c r="A192" i="7"/>
  <c r="A197" i="7"/>
  <c r="A200" i="7"/>
  <c r="A196" i="7"/>
  <c r="A205" i="7"/>
  <c r="A185" i="7"/>
  <c r="B185" i="7"/>
  <c r="B199" i="7"/>
  <c r="B205" i="7"/>
  <c r="B197" i="7"/>
  <c r="B182" i="7"/>
  <c r="B184" i="7"/>
  <c r="B196" i="7"/>
  <c r="B192" i="7"/>
  <c r="B201" i="7"/>
  <c r="B193" i="7"/>
  <c r="B187" i="7"/>
  <c r="B183" i="7"/>
  <c r="B190" i="7"/>
  <c r="B200" i="7"/>
  <c r="B195" i="7"/>
  <c r="B191" i="7"/>
  <c r="B82" i="6" l="1"/>
  <c r="B85" i="4"/>
  <c r="A80" i="6"/>
  <c r="A84" i="4" s="1"/>
  <c r="C79" i="6"/>
  <c r="B215" i="7"/>
  <c r="B220" i="7"/>
  <c r="B230" i="7"/>
  <c r="B214" i="7"/>
  <c r="B225" i="7"/>
  <c r="B221" i="7"/>
  <c r="B213" i="7"/>
  <c r="B222" i="7"/>
  <c r="B235" i="7"/>
  <c r="B227" i="7"/>
  <c r="B212" i="7"/>
  <c r="B223" i="7"/>
  <c r="B217" i="7"/>
  <c r="B229" i="7"/>
  <c r="B231" i="7"/>
  <c r="B226" i="7"/>
  <c r="A227" i="7"/>
  <c r="A212" i="7"/>
  <c r="A223" i="7"/>
  <c r="A217" i="7"/>
  <c r="A222" i="7"/>
  <c r="A220" i="7"/>
  <c r="A230" i="7"/>
  <c r="C205" i="7"/>
  <c r="A215" i="7"/>
  <c r="A235" i="7"/>
  <c r="A231" i="7"/>
  <c r="A226" i="7"/>
  <c r="A225" i="7"/>
  <c r="A229" i="7"/>
  <c r="A213" i="7"/>
  <c r="A214" i="7"/>
  <c r="A221" i="7"/>
  <c r="B83" i="6" l="1"/>
  <c r="B86" i="4"/>
  <c r="A81" i="6"/>
  <c r="A85" i="4" s="1"/>
  <c r="C80" i="6"/>
  <c r="A260" i="7"/>
  <c r="A259" i="7"/>
  <c r="A243" i="7"/>
  <c r="A265" i="7"/>
  <c r="A255" i="7"/>
  <c r="A257" i="7"/>
  <c r="A250" i="7"/>
  <c r="A251" i="7"/>
  <c r="A247" i="7"/>
  <c r="A244" i="7"/>
  <c r="C235" i="7"/>
  <c r="A245" i="7"/>
  <c r="A261" i="7"/>
  <c r="A256" i="7"/>
  <c r="A252" i="7"/>
  <c r="A253" i="7"/>
  <c r="A242" i="7"/>
  <c r="B257" i="7"/>
  <c r="B253" i="7"/>
  <c r="B247" i="7"/>
  <c r="B260" i="7"/>
  <c r="B255" i="7"/>
  <c r="B251" i="7"/>
  <c r="B242" i="7"/>
  <c r="B250" i="7"/>
  <c r="B243" i="7"/>
  <c r="B259" i="7"/>
  <c r="B244" i="7"/>
  <c r="B261" i="7"/>
  <c r="B256" i="7"/>
  <c r="B245" i="7"/>
  <c r="B252" i="7"/>
  <c r="B265" i="7"/>
  <c r="B84" i="6" l="1"/>
  <c r="B87" i="4"/>
  <c r="A82" i="6"/>
  <c r="A86" i="4" s="1"/>
  <c r="C81" i="6"/>
  <c r="B274" i="7"/>
  <c r="B289" i="7"/>
  <c r="B287" i="7"/>
  <c r="B272" i="7"/>
  <c r="B277" i="7"/>
  <c r="B280" i="7"/>
  <c r="B295" i="7"/>
  <c r="B285" i="7"/>
  <c r="B291" i="7"/>
  <c r="B273" i="7"/>
  <c r="B275" i="7"/>
  <c r="B290" i="7"/>
  <c r="B282" i="7"/>
  <c r="B283" i="7"/>
  <c r="B281" i="7"/>
  <c r="B286" i="7"/>
  <c r="A274" i="7"/>
  <c r="A283" i="7"/>
  <c r="A277" i="7"/>
  <c r="A291" i="7"/>
  <c r="A287" i="7"/>
  <c r="A272" i="7"/>
  <c r="A280" i="7"/>
  <c r="A290" i="7"/>
  <c r="A275" i="7"/>
  <c r="A289" i="7"/>
  <c r="A273" i="7"/>
  <c r="A282" i="7"/>
  <c r="A286" i="7"/>
  <c r="A285" i="7"/>
  <c r="A281" i="7"/>
  <c r="C265" i="7"/>
  <c r="A295" i="7"/>
  <c r="B85" i="6" l="1"/>
  <c r="B88" i="4"/>
  <c r="A83" i="6"/>
  <c r="A87" i="4" s="1"/>
  <c r="C82" i="6"/>
  <c r="B317" i="7"/>
  <c r="B305" i="7"/>
  <c r="B320" i="7"/>
  <c r="B311" i="7"/>
  <c r="B321" i="7"/>
  <c r="B302" i="7"/>
  <c r="B307" i="7"/>
  <c r="B312" i="7"/>
  <c r="B304" i="7"/>
  <c r="B316" i="7"/>
  <c r="B319" i="7"/>
  <c r="B303" i="7"/>
  <c r="B310" i="7"/>
  <c r="B315" i="7"/>
  <c r="B325" i="7"/>
  <c r="B313" i="7"/>
  <c r="A303" i="7"/>
  <c r="A310" i="7"/>
  <c r="A311" i="7"/>
  <c r="A304" i="7"/>
  <c r="C295" i="7"/>
  <c r="A312" i="7"/>
  <c r="A325" i="7"/>
  <c r="A315" i="7"/>
  <c r="A317" i="7"/>
  <c r="A302" i="7"/>
  <c r="A305" i="7"/>
  <c r="A320" i="7"/>
  <c r="A307" i="7"/>
  <c r="A319" i="7"/>
  <c r="A313" i="7"/>
  <c r="A321" i="7"/>
  <c r="A316" i="7"/>
  <c r="B86" i="6" l="1"/>
  <c r="B89" i="4"/>
  <c r="A84" i="6"/>
  <c r="A88" i="4" s="1"/>
  <c r="C83" i="6"/>
  <c r="A332" i="7"/>
  <c r="A350" i="7"/>
  <c r="A343" i="7"/>
  <c r="A337" i="7"/>
  <c r="A340" i="7"/>
  <c r="A347" i="7"/>
  <c r="A346" i="7"/>
  <c r="A349" i="7"/>
  <c r="A341" i="7"/>
  <c r="A335" i="7"/>
  <c r="A355" i="7"/>
  <c r="A333" i="7"/>
  <c r="C325" i="7"/>
  <c r="A345" i="7"/>
  <c r="A334" i="7"/>
  <c r="A351" i="7"/>
  <c r="A342" i="7"/>
  <c r="B335" i="7"/>
  <c r="B340" i="7"/>
  <c r="B342" i="7"/>
  <c r="B355" i="7"/>
  <c r="B346" i="7"/>
  <c r="B347" i="7"/>
  <c r="B332" i="7"/>
  <c r="B334" i="7"/>
  <c r="B343" i="7"/>
  <c r="B333" i="7"/>
  <c r="B337" i="7"/>
  <c r="B349" i="7"/>
  <c r="B341" i="7"/>
  <c r="B350" i="7"/>
  <c r="B351" i="7"/>
  <c r="B345" i="7"/>
  <c r="B87" i="6" l="1"/>
  <c r="B90" i="4"/>
  <c r="A85" i="6"/>
  <c r="A89" i="4" s="1"/>
  <c r="C84" i="6"/>
  <c r="B362" i="7"/>
  <c r="B376" i="7"/>
  <c r="B365" i="7"/>
  <c r="B372" i="7"/>
  <c r="B385" i="7"/>
  <c r="B377" i="7"/>
  <c r="B373" i="7"/>
  <c r="B367" i="7"/>
  <c r="B380" i="7"/>
  <c r="B371" i="7"/>
  <c r="B381" i="7"/>
  <c r="B375" i="7"/>
  <c r="B364" i="7"/>
  <c r="B379" i="7"/>
  <c r="B363" i="7"/>
  <c r="B370" i="7"/>
  <c r="C355" i="7"/>
  <c r="A365" i="7"/>
  <c r="A372" i="7"/>
  <c r="A380" i="7"/>
  <c r="A385" i="7"/>
  <c r="A415" i="7" s="1"/>
  <c r="A367" i="7"/>
  <c r="A379" i="7"/>
  <c r="A363" i="7"/>
  <c r="A375" i="7"/>
  <c r="A381" i="7"/>
  <c r="A376" i="7"/>
  <c r="A370" i="7"/>
  <c r="A362" i="7"/>
  <c r="A373" i="7"/>
  <c r="A371" i="7"/>
  <c r="A364" i="7"/>
  <c r="A377" i="7"/>
  <c r="A422" i="7" l="1"/>
  <c r="A423" i="7"/>
  <c r="A440" i="7"/>
  <c r="A435" i="7"/>
  <c r="A433" i="7"/>
  <c r="A427" i="7"/>
  <c r="A439" i="7"/>
  <c r="A430" i="7"/>
  <c r="A432" i="7"/>
  <c r="A431" i="7"/>
  <c r="A424" i="7"/>
  <c r="C415" i="7"/>
  <c r="A437" i="7"/>
  <c r="A425" i="7"/>
  <c r="A441" i="7"/>
  <c r="A436" i="7"/>
  <c r="B430" i="7"/>
  <c r="B435" i="7"/>
  <c r="B431" i="7"/>
  <c r="B433" i="7"/>
  <c r="B427" i="7"/>
  <c r="B439" i="7"/>
  <c r="B423" i="7"/>
  <c r="B440" i="7"/>
  <c r="B424" i="7"/>
  <c r="B422" i="7"/>
  <c r="B437" i="7"/>
  <c r="B441" i="7"/>
  <c r="B436" i="7"/>
  <c r="B425" i="7"/>
  <c r="B432" i="7"/>
  <c r="B88" i="6"/>
  <c r="B91" i="4"/>
  <c r="A86" i="6"/>
  <c r="A90" i="4" s="1"/>
  <c r="C85" i="6"/>
  <c r="B395" i="7"/>
  <c r="B410" i="7"/>
  <c r="B405" i="7"/>
  <c r="B401" i="7"/>
  <c r="B445" i="7"/>
  <c r="B394" i="7"/>
  <c r="B411" i="7"/>
  <c r="B406" i="7"/>
  <c r="B393" i="7"/>
  <c r="B392" i="7"/>
  <c r="B403" i="7"/>
  <c r="B402" i="7"/>
  <c r="B409" i="7"/>
  <c r="B400" i="7"/>
  <c r="B397" i="7"/>
  <c r="B407" i="7"/>
  <c r="A407" i="7"/>
  <c r="A411" i="7"/>
  <c r="A393" i="7"/>
  <c r="A400" i="7"/>
  <c r="A392" i="7"/>
  <c r="A403" i="7"/>
  <c r="A397" i="7"/>
  <c r="A406" i="7"/>
  <c r="A402" i="7"/>
  <c r="A445" i="7"/>
  <c r="A410" i="7"/>
  <c r="A405" i="7"/>
  <c r="A401" i="7"/>
  <c r="A394" i="7"/>
  <c r="C385" i="7"/>
  <c r="A395" i="7"/>
  <c r="A409" i="7"/>
  <c r="D418" i="7" l="1"/>
  <c r="D415" i="7"/>
  <c r="D421" i="7"/>
  <c r="D420" i="7"/>
  <c r="D419" i="7"/>
  <c r="D417" i="7"/>
  <c r="B89" i="6"/>
  <c r="B92" i="4"/>
  <c r="A87" i="6"/>
  <c r="A91" i="4" s="1"/>
  <c r="C86" i="6"/>
  <c r="A469" i="7"/>
  <c r="A453" i="7"/>
  <c r="A460" i="7"/>
  <c r="A461" i="7"/>
  <c r="A467" i="7"/>
  <c r="A452" i="7"/>
  <c r="A470" i="7"/>
  <c r="A475" i="7"/>
  <c r="A471" i="7"/>
  <c r="A455" i="7"/>
  <c r="A457" i="7"/>
  <c r="A462" i="7"/>
  <c r="A466" i="7"/>
  <c r="A465" i="7"/>
  <c r="A454" i="7"/>
  <c r="C445" i="7"/>
  <c r="A463" i="7"/>
  <c r="B462" i="7"/>
  <c r="B471" i="7"/>
  <c r="B463" i="7"/>
  <c r="B457" i="7"/>
  <c r="B453" i="7"/>
  <c r="B460" i="7"/>
  <c r="B470" i="7"/>
  <c r="B475" i="7"/>
  <c r="B467" i="7"/>
  <c r="B454" i="7"/>
  <c r="B466" i="7"/>
  <c r="B461" i="7"/>
  <c r="B465" i="7"/>
  <c r="B452" i="7"/>
  <c r="B455" i="7"/>
  <c r="B469" i="7"/>
  <c r="J423" i="7" l="1"/>
  <c r="J424" i="7"/>
  <c r="J427" i="7"/>
  <c r="J422" i="7"/>
  <c r="Y431" i="7"/>
  <c r="Y432" i="7"/>
  <c r="Y433" i="7" s="1"/>
  <c r="Y436" i="7"/>
  <c r="Y437" i="7"/>
  <c r="Y422" i="7"/>
  <c r="Y427" i="7"/>
  <c r="Y424" i="7"/>
  <c r="Y425" i="7" s="1"/>
  <c r="Y435" i="7"/>
  <c r="Y430" i="7"/>
  <c r="Y423" i="7"/>
  <c r="F439" i="7"/>
  <c r="U439" i="7" s="1"/>
  <c r="D427" i="7"/>
  <c r="W427" i="7" s="1"/>
  <c r="F423" i="7"/>
  <c r="U423" i="7" s="1"/>
  <c r="F440" i="7"/>
  <c r="U440" i="7" s="1"/>
  <c r="F435" i="7"/>
  <c r="U435" i="7" s="1"/>
  <c r="G416" i="7"/>
  <c r="D431" i="7"/>
  <c r="F436" i="7"/>
  <c r="U436" i="7" s="1"/>
  <c r="H439" i="7"/>
  <c r="D439" i="7"/>
  <c r="F430" i="7"/>
  <c r="D423" i="7"/>
  <c r="H435" i="7"/>
  <c r="H440" i="7"/>
  <c r="D430" i="7"/>
  <c r="H436" i="7"/>
  <c r="D440" i="7"/>
  <c r="D435" i="7"/>
  <c r="F431" i="7"/>
  <c r="U431" i="7" s="1"/>
  <c r="F424" i="7"/>
  <c r="H441" i="7"/>
  <c r="D424" i="7"/>
  <c r="D416" i="7"/>
  <c r="F441" i="7"/>
  <c r="U441" i="7" s="1"/>
  <c r="D422" i="7"/>
  <c r="F427" i="7"/>
  <c r="D441" i="7"/>
  <c r="D436" i="7"/>
  <c r="F422" i="7"/>
  <c r="D432" i="7"/>
  <c r="H437" i="7"/>
  <c r="F432" i="7"/>
  <c r="F437" i="7"/>
  <c r="U437" i="7" s="1"/>
  <c r="D437" i="7"/>
  <c r="B90" i="6"/>
  <c r="B93" i="4"/>
  <c r="A88" i="6"/>
  <c r="A92" i="4" s="1"/>
  <c r="C87" i="6"/>
  <c r="A492" i="7"/>
  <c r="A505" i="7"/>
  <c r="A497" i="7"/>
  <c r="A482" i="7"/>
  <c r="A499" i="7"/>
  <c r="C475" i="7"/>
  <c r="A491" i="7"/>
  <c r="A484" i="7"/>
  <c r="A500" i="7"/>
  <c r="A495" i="7"/>
  <c r="A483" i="7"/>
  <c r="A493" i="7"/>
  <c r="A487" i="7"/>
  <c r="A490" i="7"/>
  <c r="A501" i="7"/>
  <c r="A496" i="7"/>
  <c r="A485" i="7"/>
  <c r="B499" i="7"/>
  <c r="B501" i="7"/>
  <c r="B496" i="7"/>
  <c r="B485" i="7"/>
  <c r="B495" i="7"/>
  <c r="B505" i="7"/>
  <c r="B482" i="7"/>
  <c r="B493" i="7"/>
  <c r="B484" i="7"/>
  <c r="B491" i="7"/>
  <c r="B483" i="7"/>
  <c r="B492" i="7"/>
  <c r="B490" i="7"/>
  <c r="B500" i="7"/>
  <c r="B497" i="7"/>
  <c r="B487" i="7"/>
  <c r="L440" i="7" l="1"/>
  <c r="P432" i="7"/>
  <c r="R432" i="7" s="1"/>
  <c r="L441" i="7"/>
  <c r="P423" i="7"/>
  <c r="R423" i="7" s="1"/>
  <c r="W436" i="7"/>
  <c r="W440" i="7" s="1"/>
  <c r="L436" i="7"/>
  <c r="J436" i="7"/>
  <c r="U427" i="7"/>
  <c r="L427" i="7"/>
  <c r="N427" i="7" s="1"/>
  <c r="J439" i="7"/>
  <c r="J440" i="7"/>
  <c r="N440" i="7" s="1"/>
  <c r="J441" i="7"/>
  <c r="P424" i="7"/>
  <c r="R424" i="7" s="1"/>
  <c r="W435" i="7"/>
  <c r="W439" i="7" s="1"/>
  <c r="L437" i="7"/>
  <c r="J437" i="7"/>
  <c r="D433" i="7"/>
  <c r="W433" i="7" s="1"/>
  <c r="P430" i="7"/>
  <c r="R430" i="7" s="1"/>
  <c r="U422" i="7"/>
  <c r="F425" i="7"/>
  <c r="Q27" i="4" s="1"/>
  <c r="L422" i="7"/>
  <c r="N422" i="7" s="1"/>
  <c r="L430" i="7"/>
  <c r="F433" i="7"/>
  <c r="U430" i="7"/>
  <c r="J430" i="7"/>
  <c r="W437" i="7"/>
  <c r="W441" i="7" s="1"/>
  <c r="U424" i="7"/>
  <c r="U425" i="7" s="1"/>
  <c r="L424" i="7"/>
  <c r="N424" i="7" s="1"/>
  <c r="J432" i="7"/>
  <c r="L435" i="7"/>
  <c r="J435" i="7"/>
  <c r="U432" i="7"/>
  <c r="U433" i="7" s="1"/>
  <c r="L432" i="7"/>
  <c r="L439" i="7"/>
  <c r="P422" i="7"/>
  <c r="R422" i="7" s="1"/>
  <c r="D425" i="7"/>
  <c r="P431" i="7"/>
  <c r="R431" i="7" s="1"/>
  <c r="N423" i="7"/>
  <c r="J431" i="7"/>
  <c r="N431" i="7" s="1"/>
  <c r="B91" i="6"/>
  <c r="B94" i="4"/>
  <c r="A89" i="6"/>
  <c r="A93" i="4" s="1"/>
  <c r="C88" i="6"/>
  <c r="A517" i="7"/>
  <c r="A535" i="7"/>
  <c r="A531" i="7"/>
  <c r="A515" i="7"/>
  <c r="A522" i="7"/>
  <c r="A525" i="7"/>
  <c r="A527" i="7"/>
  <c r="A530" i="7"/>
  <c r="A520" i="7"/>
  <c r="A521" i="7"/>
  <c r="A513" i="7"/>
  <c r="C505" i="7"/>
  <c r="A512" i="7"/>
  <c r="A514" i="7"/>
  <c r="A526" i="7"/>
  <c r="A523" i="7"/>
  <c r="A529" i="7"/>
  <c r="B529" i="7"/>
  <c r="B514" i="7"/>
  <c r="B522" i="7"/>
  <c r="B520" i="7"/>
  <c r="B531" i="7"/>
  <c r="B526" i="7"/>
  <c r="B513" i="7"/>
  <c r="B515" i="7"/>
  <c r="B535" i="7"/>
  <c r="B527" i="7"/>
  <c r="B523" i="7"/>
  <c r="B517" i="7"/>
  <c r="B530" i="7"/>
  <c r="B525" i="7"/>
  <c r="B521" i="7"/>
  <c r="B512" i="7"/>
  <c r="S27" i="4" l="1"/>
  <c r="O27" i="4"/>
  <c r="N441" i="7"/>
  <c r="N435" i="7"/>
  <c r="AA435" i="7" s="1"/>
  <c r="N437" i="7"/>
  <c r="AA437" i="7" s="1"/>
  <c r="N430" i="7"/>
  <c r="R27" i="4"/>
  <c r="T27" i="4"/>
  <c r="L27" i="4"/>
  <c r="N436" i="7"/>
  <c r="AA436" i="7" s="1"/>
  <c r="N425" i="7"/>
  <c r="P425" i="7" s="1"/>
  <c r="R425" i="7" s="1"/>
  <c r="N439" i="7"/>
  <c r="Y441" i="7"/>
  <c r="W425" i="7"/>
  <c r="Y439" i="7"/>
  <c r="Y440" i="7"/>
  <c r="AA440" i="7" s="1"/>
  <c r="N432" i="7"/>
  <c r="P427" i="7"/>
  <c r="R427" i="7" s="1"/>
  <c r="B92" i="6"/>
  <c r="B95" i="4"/>
  <c r="A90" i="6"/>
  <c r="A94" i="4" s="1"/>
  <c r="C89" i="6"/>
  <c r="B545" i="7"/>
  <c r="B557" i="7"/>
  <c r="B542" i="7"/>
  <c r="B565" i="7"/>
  <c r="B561" i="7"/>
  <c r="B559" i="7"/>
  <c r="B553" i="7"/>
  <c r="B560" i="7"/>
  <c r="B550" i="7"/>
  <c r="B555" i="7"/>
  <c r="B551" i="7"/>
  <c r="B544" i="7"/>
  <c r="B556" i="7"/>
  <c r="B552" i="7"/>
  <c r="B547" i="7"/>
  <c r="B543" i="7"/>
  <c r="A542" i="7"/>
  <c r="A557" i="7"/>
  <c r="A565" i="7"/>
  <c r="A556" i="7"/>
  <c r="A553" i="7"/>
  <c r="A550" i="7"/>
  <c r="A552" i="7"/>
  <c r="A551" i="7"/>
  <c r="A544" i="7"/>
  <c r="C535" i="7"/>
  <c r="A545" i="7"/>
  <c r="A559" i="7"/>
  <c r="A543" i="7"/>
  <c r="A560" i="7"/>
  <c r="A547" i="7"/>
  <c r="A555" i="7"/>
  <c r="A561" i="7"/>
  <c r="N433" i="7" l="1"/>
  <c r="P433" i="7" s="1"/>
  <c r="R433" i="7" s="1"/>
  <c r="AA441" i="7"/>
  <c r="N27" i="4"/>
  <c r="AA439" i="7"/>
  <c r="AA425" i="7"/>
  <c r="AA424" i="7" s="1"/>
  <c r="AA427" i="7"/>
  <c r="M27" i="4" s="1"/>
  <c r="B93" i="6"/>
  <c r="B96" i="4"/>
  <c r="A91" i="6"/>
  <c r="A95" i="4" s="1"/>
  <c r="C90" i="6"/>
  <c r="B572" i="7"/>
  <c r="B582" i="7"/>
  <c r="B574" i="7"/>
  <c r="B586" i="7"/>
  <c r="B587" i="7"/>
  <c r="B581" i="7"/>
  <c r="B583" i="7"/>
  <c r="B573" i="7"/>
  <c r="B580" i="7"/>
  <c r="B585" i="7"/>
  <c r="B595" i="7"/>
  <c r="B591" i="7"/>
  <c r="B577" i="7"/>
  <c r="B589" i="7"/>
  <c r="B590" i="7"/>
  <c r="B575" i="7"/>
  <c r="A574" i="7"/>
  <c r="C565" i="7"/>
  <c r="A582" i="7"/>
  <c r="A595" i="7"/>
  <c r="A573" i="7"/>
  <c r="A580" i="7"/>
  <c r="A585" i="7"/>
  <c r="A591" i="7"/>
  <c r="A587" i="7"/>
  <c r="A586" i="7"/>
  <c r="A590" i="7"/>
  <c r="A572" i="7"/>
  <c r="A575" i="7"/>
  <c r="A581" i="7"/>
  <c r="A583" i="7"/>
  <c r="A577" i="7"/>
  <c r="A589" i="7"/>
  <c r="AA433" i="7" l="1"/>
  <c r="AA423" i="7"/>
  <c r="AA422" i="7"/>
  <c r="AA432" i="7"/>
  <c r="AA431" i="7"/>
  <c r="P27" i="4" s="1"/>
  <c r="U27" i="4" s="1"/>
  <c r="AA430" i="7"/>
  <c r="B94" i="6"/>
  <c r="B97" i="4"/>
  <c r="A92" i="6"/>
  <c r="A96" i="4" s="1"/>
  <c r="C91" i="6"/>
  <c r="A610" i="7"/>
  <c r="A620" i="7"/>
  <c r="A604" i="7"/>
  <c r="A616" i="7"/>
  <c r="A619" i="7"/>
  <c r="A603" i="7"/>
  <c r="A621" i="7"/>
  <c r="A605" i="7"/>
  <c r="A612" i="7"/>
  <c r="A617" i="7"/>
  <c r="A613" i="7"/>
  <c r="A615" i="7"/>
  <c r="C595" i="7"/>
  <c r="A611" i="7"/>
  <c r="A625" i="7"/>
  <c r="A602" i="7"/>
  <c r="A607" i="7"/>
  <c r="B620" i="7"/>
  <c r="B617" i="7"/>
  <c r="B619" i="7"/>
  <c r="B615" i="7"/>
  <c r="B611" i="7"/>
  <c r="B612" i="7"/>
  <c r="B625" i="7"/>
  <c r="B613" i="7"/>
  <c r="B616" i="7"/>
  <c r="B604" i="7"/>
  <c r="B602" i="7"/>
  <c r="B607" i="7"/>
  <c r="B621" i="7"/>
  <c r="B603" i="7"/>
  <c r="B610" i="7"/>
  <c r="B605" i="7"/>
  <c r="B95" i="6" l="1"/>
  <c r="B98" i="4"/>
  <c r="A93" i="6"/>
  <c r="A97" i="4" s="1"/>
  <c r="C92" i="6"/>
  <c r="A646" i="7"/>
  <c r="A635" i="7"/>
  <c r="A642" i="7"/>
  <c r="A650" i="7"/>
  <c r="A647" i="7"/>
  <c r="A634" i="7"/>
  <c r="A651" i="7"/>
  <c r="A655" i="7"/>
  <c r="A649" i="7"/>
  <c r="A633" i="7"/>
  <c r="A643" i="7"/>
  <c r="A632" i="7"/>
  <c r="C625" i="7"/>
  <c r="A637" i="7"/>
  <c r="A645" i="7"/>
  <c r="A640" i="7"/>
  <c r="A641" i="7"/>
  <c r="B640" i="7"/>
  <c r="B651" i="7"/>
  <c r="B646" i="7"/>
  <c r="B635" i="7"/>
  <c r="B641" i="7"/>
  <c r="B642" i="7"/>
  <c r="B647" i="7"/>
  <c r="B650" i="7"/>
  <c r="B649" i="7"/>
  <c r="B633" i="7"/>
  <c r="B632" i="7"/>
  <c r="B655" i="7"/>
  <c r="B643" i="7"/>
  <c r="B637" i="7"/>
  <c r="B645" i="7"/>
  <c r="B634" i="7"/>
  <c r="B96" i="6" l="1"/>
  <c r="B100" i="4" s="1"/>
  <c r="B99" i="4"/>
  <c r="A94" i="6"/>
  <c r="A98" i="4" s="1"/>
  <c r="C93" i="6"/>
  <c r="B662" i="7"/>
  <c r="B667" i="7"/>
  <c r="B681" i="7"/>
  <c r="B672" i="7"/>
  <c r="B679" i="7"/>
  <c r="B663" i="7"/>
  <c r="B677" i="7"/>
  <c r="B665" i="7"/>
  <c r="B664" i="7"/>
  <c r="B673" i="7"/>
  <c r="B671" i="7"/>
  <c r="B676" i="7"/>
  <c r="B680" i="7"/>
  <c r="B685" i="7"/>
  <c r="B675" i="7"/>
  <c r="B670" i="7"/>
  <c r="A685" i="7"/>
  <c r="A679" i="7"/>
  <c r="A681" i="7"/>
  <c r="A671" i="7"/>
  <c r="A677" i="7"/>
  <c r="A664" i="7"/>
  <c r="C655" i="7"/>
  <c r="A673" i="7"/>
  <c r="A676" i="7"/>
  <c r="A672" i="7"/>
  <c r="A663" i="7"/>
  <c r="A662" i="7"/>
  <c r="A675" i="7"/>
  <c r="A670" i="7"/>
  <c r="A680" i="7"/>
  <c r="A665" i="7"/>
  <c r="A667" i="7"/>
  <c r="A95" i="6" l="1"/>
  <c r="A99" i="4" s="1"/>
  <c r="C94" i="6"/>
  <c r="A702" i="7"/>
  <c r="A715" i="7"/>
  <c r="A705" i="7"/>
  <c r="A707" i="7"/>
  <c r="A710" i="7"/>
  <c r="A695" i="7"/>
  <c r="A701" i="7"/>
  <c r="A692" i="7"/>
  <c r="A697" i="7"/>
  <c r="A709" i="7"/>
  <c r="A694" i="7"/>
  <c r="C685" i="7"/>
  <c r="A693" i="7"/>
  <c r="A700" i="7"/>
  <c r="A706" i="7"/>
  <c r="A711" i="7"/>
  <c r="A703" i="7"/>
  <c r="B711" i="7"/>
  <c r="B703" i="7"/>
  <c r="B697" i="7"/>
  <c r="B693" i="7"/>
  <c r="B710" i="7"/>
  <c r="B707" i="7"/>
  <c r="B702" i="7"/>
  <c r="B701" i="7"/>
  <c r="B709" i="7"/>
  <c r="B694" i="7"/>
  <c r="B715" i="7"/>
  <c r="B695" i="7"/>
  <c r="B700" i="7"/>
  <c r="B705" i="7"/>
  <c r="B692" i="7"/>
  <c r="B706" i="7"/>
  <c r="A96" i="6" l="1"/>
  <c r="A100" i="4" s="1"/>
  <c r="C95" i="6"/>
  <c r="B736" i="7"/>
  <c r="B725" i="7"/>
  <c r="B730" i="7"/>
  <c r="B740" i="7"/>
  <c r="B722" i="7"/>
  <c r="B733" i="7"/>
  <c r="B739" i="7"/>
  <c r="B727" i="7"/>
  <c r="B724" i="7"/>
  <c r="B731" i="7"/>
  <c r="B735" i="7"/>
  <c r="B723" i="7"/>
  <c r="B732" i="7"/>
  <c r="B745" i="7"/>
  <c r="B737" i="7"/>
  <c r="B741" i="7"/>
  <c r="A730" i="7"/>
  <c r="A741" i="7"/>
  <c r="A740" i="7"/>
  <c r="A736" i="7"/>
  <c r="A725" i="7"/>
  <c r="A732" i="7"/>
  <c r="A745" i="7"/>
  <c r="A737" i="7"/>
  <c r="A733" i="7"/>
  <c r="A727" i="7"/>
  <c r="A735" i="7"/>
  <c r="A723" i="7"/>
  <c r="A724" i="7"/>
  <c r="A739" i="7"/>
  <c r="C715" i="7"/>
  <c r="A722" i="7"/>
  <c r="A731" i="7"/>
  <c r="K319" i="4" l="1"/>
  <c r="I319" i="4"/>
  <c r="G320" i="4"/>
  <c r="I320" i="4"/>
  <c r="J320" i="4"/>
  <c r="G319" i="4"/>
  <c r="K320" i="4"/>
  <c r="N320" i="4"/>
  <c r="J319" i="4"/>
  <c r="Q320" i="4"/>
  <c r="H319" i="4"/>
  <c r="H320" i="4"/>
  <c r="M320" i="4"/>
  <c r="T320" i="4"/>
  <c r="S320" i="4"/>
  <c r="R320" i="4"/>
  <c r="P320" i="4"/>
  <c r="O320" i="4"/>
  <c r="L320" i="4"/>
  <c r="I304" i="4"/>
  <c r="H305" i="4"/>
  <c r="S304" i="4"/>
  <c r="P304" i="4"/>
  <c r="G304" i="4"/>
  <c r="N304" i="4"/>
  <c r="I305" i="4"/>
  <c r="G305" i="4"/>
  <c r="L304" i="4"/>
  <c r="J304" i="4"/>
  <c r="O304" i="4"/>
  <c r="K304" i="4"/>
  <c r="T304" i="4"/>
  <c r="Q304" i="4"/>
  <c r="R304" i="4"/>
  <c r="H304" i="4"/>
  <c r="J305" i="4"/>
  <c r="K305" i="4"/>
  <c r="M304" i="4"/>
  <c r="I286" i="4"/>
  <c r="S287" i="4"/>
  <c r="G287" i="4"/>
  <c r="N287" i="4"/>
  <c r="M287" i="4"/>
  <c r="K287" i="4"/>
  <c r="H287" i="4"/>
  <c r="Q287" i="4"/>
  <c r="I287" i="4"/>
  <c r="G286" i="4"/>
  <c r="O287" i="4"/>
  <c r="H286" i="4"/>
  <c r="T287" i="4"/>
  <c r="P287" i="4"/>
  <c r="L287" i="4"/>
  <c r="J286" i="4"/>
  <c r="K286" i="4"/>
  <c r="R287" i="4"/>
  <c r="J287" i="4"/>
  <c r="I269" i="4"/>
  <c r="G270" i="4"/>
  <c r="H107" i="24" s="1"/>
  <c r="H269" i="4"/>
  <c r="I270" i="4"/>
  <c r="J270" i="4"/>
  <c r="J269" i="4"/>
  <c r="K270" i="4"/>
  <c r="G266" i="4"/>
  <c r="G269" i="4"/>
  <c r="K269" i="4"/>
  <c r="H270" i="4"/>
  <c r="G300" i="4"/>
  <c r="G283" i="4"/>
  <c r="G317" i="4"/>
  <c r="G318" i="4"/>
  <c r="P283" i="4"/>
  <c r="I323" i="4"/>
  <c r="M317" i="4"/>
  <c r="S317" i="4"/>
  <c r="G307" i="4"/>
  <c r="H182" i="24" s="1"/>
  <c r="L284" i="4"/>
  <c r="P317" i="4"/>
  <c r="L283" i="4"/>
  <c r="S284" i="4"/>
  <c r="G291" i="4"/>
  <c r="H150" i="24" s="1"/>
  <c r="N300" i="4"/>
  <c r="H273" i="4"/>
  <c r="K310" i="4"/>
  <c r="Q314" i="4"/>
  <c r="H311" i="4"/>
  <c r="I318" i="4"/>
  <c r="M303" i="4"/>
  <c r="K295" i="4"/>
  <c r="P279" i="4"/>
  <c r="N278" i="4"/>
  <c r="L273" i="4"/>
  <c r="O317" i="4"/>
  <c r="T318" i="4"/>
  <c r="K294" i="4"/>
  <c r="I271" i="4"/>
  <c r="O279" i="4"/>
  <c r="J321" i="4"/>
  <c r="I310" i="4"/>
  <c r="O313" i="4"/>
  <c r="I275" i="4"/>
  <c r="G326" i="4"/>
  <c r="J297" i="4"/>
  <c r="G308" i="4"/>
  <c r="H183" i="24" s="1"/>
  <c r="K326" i="4"/>
  <c r="N324" i="4"/>
  <c r="J290" i="4"/>
  <c r="R283" i="4"/>
  <c r="H303" i="4"/>
  <c r="I280" i="4"/>
  <c r="G324" i="4"/>
  <c r="I292" i="4"/>
  <c r="H330" i="4"/>
  <c r="H325" i="4"/>
  <c r="K288" i="4"/>
  <c r="Q318" i="4"/>
  <c r="H293" i="4"/>
  <c r="N285" i="4"/>
  <c r="N272" i="4"/>
  <c r="G277" i="4"/>
  <c r="H110" i="24" s="1"/>
  <c r="D110" i="24" s="1"/>
  <c r="P278" i="4"/>
  <c r="I314" i="4"/>
  <c r="K297" i="4"/>
  <c r="H312" i="4"/>
  <c r="R285" i="4"/>
  <c r="N284" i="4"/>
  <c r="J267" i="4"/>
  <c r="I291" i="4"/>
  <c r="N306" i="4"/>
  <c r="T284" i="4"/>
  <c r="J277" i="4"/>
  <c r="S296" i="4"/>
  <c r="H308" i="4"/>
  <c r="R318" i="4"/>
  <c r="O283" i="4"/>
  <c r="I322" i="4"/>
  <c r="J274" i="4"/>
  <c r="Q321" i="4"/>
  <c r="T285" i="4"/>
  <c r="O306" i="4"/>
  <c r="M284" i="4"/>
  <c r="H317" i="4"/>
  <c r="S289" i="4"/>
  <c r="J294" i="4"/>
  <c r="O289" i="4"/>
  <c r="S314" i="4"/>
  <c r="N318" i="4"/>
  <c r="J268" i="4"/>
  <c r="P300" i="4"/>
  <c r="Q280" i="4"/>
  <c r="M324" i="4"/>
  <c r="T278" i="4"/>
  <c r="I300" i="4"/>
  <c r="S283" i="4"/>
  <c r="K292" i="4"/>
  <c r="K303" i="4"/>
  <c r="J318" i="4"/>
  <c r="H283" i="4"/>
  <c r="R296" i="4"/>
  <c r="Q317" i="4"/>
  <c r="I274" i="4"/>
  <c r="N301" i="4"/>
  <c r="G268" i="4"/>
  <c r="H105" i="24" s="1"/>
  <c r="Q289" i="4"/>
  <c r="L306" i="4"/>
  <c r="Q303" i="4"/>
  <c r="K289" i="4"/>
  <c r="G297" i="4"/>
  <c r="H155" i="24" s="1"/>
  <c r="M300" i="4"/>
  <c r="Q302" i="4"/>
  <c r="I325" i="4"/>
  <c r="J310" i="4"/>
  <c r="G322" i="4"/>
  <c r="J285" i="4"/>
  <c r="I268" i="4"/>
  <c r="H280" i="4"/>
  <c r="J313" i="4"/>
  <c r="G302" i="4"/>
  <c r="J309" i="4"/>
  <c r="P289" i="4"/>
  <c r="G310" i="4"/>
  <c r="H185" i="24" s="1"/>
  <c r="R272" i="4"/>
  <c r="K290" i="4"/>
  <c r="G289" i="4"/>
  <c r="G290" i="4"/>
  <c r="H149" i="24" s="1"/>
  <c r="K313" i="4"/>
  <c r="J291" i="4"/>
  <c r="H296" i="4"/>
  <c r="T283" i="4"/>
  <c r="H329" i="4"/>
  <c r="I303" i="4"/>
  <c r="I294" i="4"/>
  <c r="H323" i="4"/>
  <c r="J330" i="4"/>
  <c r="K322" i="4"/>
  <c r="L279" i="4"/>
  <c r="O278" i="4"/>
  <c r="J271" i="4"/>
  <c r="I277" i="4"/>
  <c r="T313" i="4"/>
  <c r="H301" i="4"/>
  <c r="H291" i="4"/>
  <c r="H277" i="4"/>
  <c r="I330" i="4"/>
  <c r="H307" i="4"/>
  <c r="N321" i="4"/>
  <c r="T314" i="4"/>
  <c r="K296" i="4"/>
  <c r="I317" i="4"/>
  <c r="K284" i="4"/>
  <c r="K300" i="4"/>
  <c r="J288" i="4"/>
  <c r="L280" i="4"/>
  <c r="P313" i="4"/>
  <c r="G321" i="4"/>
  <c r="S278" i="4"/>
  <c r="O296" i="4"/>
  <c r="H328" i="4"/>
  <c r="S324" i="4"/>
  <c r="H292" i="4"/>
  <c r="H272" i="4"/>
  <c r="H314" i="4"/>
  <c r="M296" i="4"/>
  <c r="N296" i="4"/>
  <c r="G278" i="4"/>
  <c r="S273" i="4"/>
  <c r="T302" i="4"/>
  <c r="G280" i="4"/>
  <c r="J311" i="4"/>
  <c r="H274" i="4"/>
  <c r="R279" i="4"/>
  <c r="J266" i="4"/>
  <c r="I295" i="4"/>
  <c r="J279" i="4"/>
  <c r="L302" i="4"/>
  <c r="K318" i="4"/>
  <c r="K306" i="4"/>
  <c r="K330" i="4"/>
  <c r="K317" i="4"/>
  <c r="P285" i="4"/>
  <c r="N317" i="4"/>
  <c r="H290" i="4"/>
  <c r="O318" i="4"/>
  <c r="M289" i="4"/>
  <c r="L272" i="4"/>
  <c r="J325" i="4"/>
  <c r="P318" i="4"/>
  <c r="P273" i="4"/>
  <c r="K302" i="4"/>
  <c r="S279" i="4"/>
  <c r="G301" i="4"/>
  <c r="S306" i="4"/>
  <c r="J276" i="4"/>
  <c r="L321" i="4"/>
  <c r="P321" i="4"/>
  <c r="L289" i="4"/>
  <c r="I329" i="4"/>
  <c r="R324" i="4"/>
  <c r="N280" i="4"/>
  <c r="I321" i="4"/>
  <c r="J289" i="4"/>
  <c r="P301" i="4"/>
  <c r="I293" i="4"/>
  <c r="O273" i="4"/>
  <c r="G313" i="4"/>
  <c r="N283" i="4"/>
  <c r="H288" i="4"/>
  <c r="L317" i="4"/>
  <c r="N273" i="4"/>
  <c r="O303" i="4"/>
  <c r="K279" i="4"/>
  <c r="K280" i="4"/>
  <c r="K309" i="4"/>
  <c r="J306" i="4"/>
  <c r="P272" i="4"/>
  <c r="S302" i="4"/>
  <c r="H322" i="4"/>
  <c r="I272" i="4"/>
  <c r="R301" i="4"/>
  <c r="L303" i="4"/>
  <c r="K285" i="4"/>
  <c r="G328" i="4"/>
  <c r="H213" i="24" s="1"/>
  <c r="T289" i="4"/>
  <c r="I288" i="4"/>
  <c r="I267" i="4"/>
  <c r="J278" i="4"/>
  <c r="H276" i="4"/>
  <c r="G267" i="4"/>
  <c r="H104" i="24" s="1"/>
  <c r="Q284" i="4"/>
  <c r="J317" i="4"/>
  <c r="S280" i="4"/>
  <c r="J312" i="4"/>
  <c r="J326" i="4"/>
  <c r="K331" i="4"/>
  <c r="R303" i="4"/>
  <c r="M272" i="4"/>
  <c r="M313" i="4"/>
  <c r="P324" i="4"/>
  <c r="Q279" i="4"/>
  <c r="H271" i="4"/>
  <c r="P314" i="4"/>
  <c r="R289" i="4"/>
  <c r="O301" i="4"/>
  <c r="G331" i="4"/>
  <c r="J284" i="4"/>
  <c r="M278" i="4"/>
  <c r="J331" i="4"/>
  <c r="G329" i="4"/>
  <c r="R300" i="4"/>
  <c r="I289" i="4"/>
  <c r="K272" i="4"/>
  <c r="R278" i="4"/>
  <c r="I290" i="4"/>
  <c r="G279" i="4"/>
  <c r="J280" i="4"/>
  <c r="P280" i="4"/>
  <c r="Q306" i="4"/>
  <c r="H266" i="4"/>
  <c r="P302" i="4"/>
  <c r="T300" i="4"/>
  <c r="H284" i="4"/>
  <c r="Q296" i="4"/>
  <c r="G312" i="4"/>
  <c r="H187" i="24" s="1"/>
  <c r="S318" i="4"/>
  <c r="I328" i="4"/>
  <c r="K328" i="4"/>
  <c r="M285" i="4"/>
  <c r="M279" i="4"/>
  <c r="Q313" i="4"/>
  <c r="Q283" i="4"/>
  <c r="N279" i="4"/>
  <c r="H278" i="4"/>
  <c r="J293" i="4"/>
  <c r="K266" i="4"/>
  <c r="T273" i="4"/>
  <c r="I302" i="4"/>
  <c r="L324" i="4"/>
  <c r="K311" i="4"/>
  <c r="M273" i="4"/>
  <c r="G271" i="4"/>
  <c r="J328" i="4"/>
  <c r="G285" i="4"/>
  <c r="N289" i="4"/>
  <c r="G294" i="4"/>
  <c r="H153" i="24" s="1"/>
  <c r="I308" i="4"/>
  <c r="J302" i="4"/>
  <c r="R273" i="4"/>
  <c r="I301" i="4"/>
  <c r="H326" i="4"/>
  <c r="T317" i="4"/>
  <c r="T321" i="4"/>
  <c r="S303" i="4"/>
  <c r="G288" i="4"/>
  <c r="H148" i="24" s="1"/>
  <c r="P306" i="4"/>
  <c r="T272" i="4"/>
  <c r="K277" i="4"/>
  <c r="M283" i="4"/>
  <c r="L301" i="4"/>
  <c r="N313" i="4"/>
  <c r="H331" i="4"/>
  <c r="H268" i="4"/>
  <c r="K268" i="4"/>
  <c r="N303" i="4"/>
  <c r="G272" i="4"/>
  <c r="J300" i="4"/>
  <c r="O272" i="4"/>
  <c r="Q273" i="4"/>
  <c r="R306" i="4"/>
  <c r="Q278" i="4"/>
  <c r="G309" i="4"/>
  <c r="H184" i="24" s="1"/>
  <c r="K324" i="4"/>
  <c r="I307" i="4"/>
  <c r="K314" i="4"/>
  <c r="G284" i="4"/>
  <c r="K307" i="4"/>
  <c r="I283" i="4"/>
  <c r="O300" i="4"/>
  <c r="T296" i="4"/>
  <c r="K323" i="4"/>
  <c r="S313" i="4"/>
  <c r="T279" i="4"/>
  <c r="G327" i="4"/>
  <c r="K273" i="4"/>
  <c r="H275" i="4"/>
  <c r="M302" i="4"/>
  <c r="M306" i="4"/>
  <c r="K321" i="4"/>
  <c r="M314" i="4"/>
  <c r="L313" i="4"/>
  <c r="J273" i="4"/>
  <c r="Q301" i="4"/>
  <c r="L318" i="4"/>
  <c r="G293" i="4"/>
  <c r="H152" i="24" s="1"/>
  <c r="J324" i="4"/>
  <c r="K327" i="4"/>
  <c r="H295" i="4"/>
  <c r="I312" i="4"/>
  <c r="H318" i="4"/>
  <c r="L278" i="4"/>
  <c r="J275" i="4"/>
  <c r="P284" i="4"/>
  <c r="S300" i="4"/>
  <c r="G311" i="4"/>
  <c r="H186" i="24" s="1"/>
  <c r="S301" i="4"/>
  <c r="O284" i="4"/>
  <c r="J301" i="4"/>
  <c r="O302" i="4"/>
  <c r="K325" i="4"/>
  <c r="I297" i="4"/>
  <c r="M301" i="4"/>
  <c r="H313" i="4"/>
  <c r="I331" i="4"/>
  <c r="L314" i="4"/>
  <c r="J296" i="4"/>
  <c r="I313" i="4"/>
  <c r="I324" i="4"/>
  <c r="R302" i="4"/>
  <c r="T324" i="4"/>
  <c r="H324" i="4"/>
  <c r="J303" i="4"/>
  <c r="I273" i="4"/>
  <c r="G276" i="4"/>
  <c r="K301" i="4"/>
  <c r="N302" i="4"/>
  <c r="I311" i="4"/>
  <c r="J283" i="4"/>
  <c r="H279" i="4"/>
  <c r="Q272" i="4"/>
  <c r="H294" i="4"/>
  <c r="G330" i="4"/>
  <c r="H214" i="24" s="1"/>
  <c r="T280" i="4"/>
  <c r="G296" i="4"/>
  <c r="I309" i="4"/>
  <c r="K291" i="4"/>
  <c r="G323" i="4"/>
  <c r="H211" i="24" s="1"/>
  <c r="H302" i="4"/>
  <c r="M280" i="4"/>
  <c r="O285" i="4"/>
  <c r="P296" i="4"/>
  <c r="R313" i="4"/>
  <c r="P303" i="4"/>
  <c r="K312" i="4"/>
  <c r="K293" i="4"/>
  <c r="J295" i="4"/>
  <c r="R284" i="4"/>
  <c r="G292" i="4"/>
  <c r="H151" i="24" s="1"/>
  <c r="H321" i="4"/>
  <c r="J272" i="4"/>
  <c r="K308" i="4"/>
  <c r="G306" i="4"/>
  <c r="I276" i="4"/>
  <c r="J307" i="4"/>
  <c r="R321" i="4"/>
  <c r="J308" i="4"/>
  <c r="O314" i="4"/>
  <c r="O280" i="4"/>
  <c r="K275" i="4"/>
  <c r="H267" i="4"/>
  <c r="J322" i="4"/>
  <c r="Q300" i="4"/>
  <c r="I278" i="4"/>
  <c r="H310" i="4"/>
  <c r="I285" i="4"/>
  <c r="N314" i="4"/>
  <c r="Q324" i="4"/>
  <c r="K276" i="4"/>
  <c r="G303" i="4"/>
  <c r="H300" i="4"/>
  <c r="K278" i="4"/>
  <c r="R314" i="4"/>
  <c r="L296" i="4"/>
  <c r="K267" i="4"/>
  <c r="H297" i="4"/>
  <c r="H309" i="4"/>
  <c r="G274" i="4"/>
  <c r="H108" i="24" s="1"/>
  <c r="D108" i="24" s="1"/>
  <c r="J329" i="4"/>
  <c r="I306" i="4"/>
  <c r="K329" i="4"/>
  <c r="I266" i="4"/>
  <c r="G314" i="4"/>
  <c r="O321" i="4"/>
  <c r="L285" i="4"/>
  <c r="S321" i="4"/>
  <c r="S285" i="4"/>
  <c r="I296" i="4"/>
  <c r="M318" i="4"/>
  <c r="J314" i="4"/>
  <c r="Q285" i="4"/>
  <c r="K271" i="4"/>
  <c r="H285" i="4"/>
  <c r="I326" i="4"/>
  <c r="M321" i="4"/>
  <c r="G275" i="4"/>
  <c r="H109" i="24" s="1"/>
  <c r="I284" i="4"/>
  <c r="I279" i="4"/>
  <c r="G273" i="4"/>
  <c r="K283" i="4"/>
  <c r="R280" i="4"/>
  <c r="O324" i="4"/>
  <c r="R317" i="4"/>
  <c r="H327" i="4"/>
  <c r="J327" i="4"/>
  <c r="K274" i="4"/>
  <c r="J292" i="4"/>
  <c r="I327" i="4"/>
  <c r="J323" i="4"/>
  <c r="L300" i="4"/>
  <c r="G325" i="4"/>
  <c r="H212" i="24" s="1"/>
  <c r="T301" i="4"/>
  <c r="T306" i="4"/>
  <c r="T303" i="4"/>
  <c r="G295" i="4"/>
  <c r="H154" i="24" s="1"/>
  <c r="S272" i="4"/>
  <c r="H289" i="4"/>
  <c r="H306" i="4"/>
  <c r="C96" i="6"/>
  <c r="B760" i="7"/>
  <c r="B753" i="7"/>
  <c r="B769" i="7"/>
  <c r="B754" i="7"/>
  <c r="B771" i="7"/>
  <c r="B766" i="7"/>
  <c r="B755" i="7"/>
  <c r="B763" i="7"/>
  <c r="B757" i="7"/>
  <c r="B762" i="7"/>
  <c r="B775" i="7"/>
  <c r="B767" i="7"/>
  <c r="B761" i="7"/>
  <c r="B770" i="7"/>
  <c r="B765" i="7"/>
  <c r="B752" i="7"/>
  <c r="A761" i="7"/>
  <c r="A753" i="7"/>
  <c r="A754" i="7"/>
  <c r="C745" i="7"/>
  <c r="A771" i="7"/>
  <c r="A766" i="7"/>
  <c r="A755" i="7"/>
  <c r="A762" i="7"/>
  <c r="A767" i="7"/>
  <c r="A752" i="7"/>
  <c r="A769" i="7"/>
  <c r="A765" i="7"/>
  <c r="A763" i="7"/>
  <c r="A770" i="7"/>
  <c r="A757" i="7"/>
  <c r="A775" i="7"/>
  <c r="A760" i="7"/>
  <c r="H106" i="24" l="1"/>
  <c r="D106" i="24" s="1"/>
  <c r="H181" i="24"/>
  <c r="D181" i="24" s="1"/>
  <c r="W305" i="4"/>
  <c r="V181" i="24" s="1"/>
  <c r="AH181" i="24" s="1"/>
  <c r="D150" i="24"/>
  <c r="D186" i="24"/>
  <c r="D148" i="24"/>
  <c r="D182" i="24"/>
  <c r="D107" i="24"/>
  <c r="D183" i="24"/>
  <c r="D109" i="24"/>
  <c r="D105" i="24"/>
  <c r="D104" i="24"/>
  <c r="D184" i="24"/>
  <c r="D187" i="24"/>
  <c r="D185" i="24"/>
  <c r="D212" i="24"/>
  <c r="D152" i="24"/>
  <c r="D149" i="24"/>
  <c r="D151" i="24"/>
  <c r="U320" i="4"/>
  <c r="W319" i="4"/>
  <c r="X320" i="4"/>
  <c r="W320" i="4"/>
  <c r="X304" i="4"/>
  <c r="W304" i="4"/>
  <c r="U304" i="4"/>
  <c r="W286" i="4"/>
  <c r="U287" i="4"/>
  <c r="X287" i="4"/>
  <c r="W287" i="4"/>
  <c r="W292" i="4"/>
  <c r="V151" i="24" s="1"/>
  <c r="W269" i="4"/>
  <c r="V106" i="24" s="1"/>
  <c r="W270" i="4"/>
  <c r="V107" i="24" s="1"/>
  <c r="W295" i="4"/>
  <c r="V154" i="24" s="1"/>
  <c r="U296" i="4"/>
  <c r="J281" i="4"/>
  <c r="F7" i="15" s="1"/>
  <c r="F51" i="15" s="1"/>
  <c r="D6179" i="7"/>
  <c r="D6175" i="7"/>
  <c r="D6181" i="7"/>
  <c r="D6180" i="7"/>
  <c r="D6178" i="7"/>
  <c r="D6177" i="7"/>
  <c r="W267" i="4"/>
  <c r="V104" i="24" s="1"/>
  <c r="W312" i="4"/>
  <c r="V187" i="24" s="1"/>
  <c r="D6149" i="7"/>
  <c r="D6150" i="7"/>
  <c r="D6147" i="7"/>
  <c r="D6148" i="7"/>
  <c r="D6151" i="7"/>
  <c r="D6145" i="7"/>
  <c r="W309" i="4"/>
  <c r="V184" i="24" s="1"/>
  <c r="W294" i="4"/>
  <c r="V153" i="24" s="1"/>
  <c r="D6115" i="7"/>
  <c r="D6120" i="7"/>
  <c r="D6118" i="7"/>
  <c r="D6119" i="7"/>
  <c r="D6117" i="7"/>
  <c r="D6121" i="7"/>
  <c r="H315" i="4"/>
  <c r="W275" i="4"/>
  <c r="V109" i="24" s="1"/>
  <c r="W284" i="4"/>
  <c r="X284" i="4"/>
  <c r="W321" i="4"/>
  <c r="X321" i="4"/>
  <c r="U283" i="4"/>
  <c r="U278" i="4"/>
  <c r="W291" i="4"/>
  <c r="V150" i="24" s="1"/>
  <c r="U285" i="4"/>
  <c r="H210" i="24"/>
  <c r="W322" i="4"/>
  <c r="V210" i="24" s="1"/>
  <c r="AH210" i="24" s="1"/>
  <c r="K210" i="24" s="1"/>
  <c r="W307" i="4"/>
  <c r="V182" i="24" s="1"/>
  <c r="W288" i="4"/>
  <c r="V148" i="24" s="1"/>
  <c r="W303" i="4"/>
  <c r="U273" i="4"/>
  <c r="W329" i="4"/>
  <c r="K315" i="4"/>
  <c r="W308" i="4"/>
  <c r="V183" i="24" s="1"/>
  <c r="W271" i="4"/>
  <c r="W268" i="4"/>
  <c r="V105" i="24" s="1"/>
  <c r="J298" i="4"/>
  <c r="U321" i="4"/>
  <c r="H298" i="4"/>
  <c r="K281" i="4"/>
  <c r="U300" i="4"/>
  <c r="K298" i="4"/>
  <c r="U324" i="4"/>
  <c r="K332" i="4"/>
  <c r="D213" i="24"/>
  <c r="W327" i="4"/>
  <c r="I332" i="4"/>
  <c r="W277" i="4"/>
  <c r="V110" i="24" s="1"/>
  <c r="X273" i="4"/>
  <c r="W273" i="4"/>
  <c r="U280" i="4"/>
  <c r="W297" i="4"/>
  <c r="V155" i="24" s="1"/>
  <c r="H281" i="4"/>
  <c r="E7" i="15" s="1"/>
  <c r="X313" i="4"/>
  <c r="W313" i="4"/>
  <c r="X301" i="4"/>
  <c r="W301" i="4"/>
  <c r="U279" i="4"/>
  <c r="W310" i="4"/>
  <c r="V185" i="24" s="1"/>
  <c r="X318" i="4"/>
  <c r="W318" i="4"/>
  <c r="U272" i="4"/>
  <c r="U284" i="4"/>
  <c r="W314" i="4"/>
  <c r="X314" i="4"/>
  <c r="W306" i="4"/>
  <c r="X306" i="4"/>
  <c r="U317" i="4"/>
  <c r="W293" i="4"/>
  <c r="V152" i="24" s="1"/>
  <c r="W296" i="4"/>
  <c r="X296" i="4"/>
  <c r="W324" i="4"/>
  <c r="X324" i="4"/>
  <c r="D214" i="24"/>
  <c r="W330" i="4"/>
  <c r="U303" i="4"/>
  <c r="X303" i="4" s="1"/>
  <c r="I315" i="4"/>
  <c r="W317" i="4"/>
  <c r="X317" i="4"/>
  <c r="G332" i="4"/>
  <c r="D12" i="15" s="1"/>
  <c r="W325" i="4"/>
  <c r="V212" i="24" s="1"/>
  <c r="I281" i="4"/>
  <c r="X289" i="4"/>
  <c r="W289" i="4"/>
  <c r="W276" i="4"/>
  <c r="W328" i="4"/>
  <c r="V213" i="24" s="1"/>
  <c r="W331" i="4"/>
  <c r="U318" i="4"/>
  <c r="J332" i="4"/>
  <c r="W274" i="4"/>
  <c r="V108" i="24" s="1"/>
  <c r="J315" i="4"/>
  <c r="D4797" i="7"/>
  <c r="D6091" i="7"/>
  <c r="D4497" i="7"/>
  <c r="D4348" i="7"/>
  <c r="D5488" i="7"/>
  <c r="D4288" i="7"/>
  <c r="D4980" i="7"/>
  <c r="D4410" i="7"/>
  <c r="D4620" i="7"/>
  <c r="D4679" i="7"/>
  <c r="D4291" i="7"/>
  <c r="D5791" i="7"/>
  <c r="D5399" i="7"/>
  <c r="D4289" i="7"/>
  <c r="D4981" i="7"/>
  <c r="D5069" i="7"/>
  <c r="D4315" i="7"/>
  <c r="D5427" i="7"/>
  <c r="D5550" i="7"/>
  <c r="D4710" i="7"/>
  <c r="D4650" i="7"/>
  <c r="D5101" i="7"/>
  <c r="D4708" i="7"/>
  <c r="D5787" i="7"/>
  <c r="D5789" i="7"/>
  <c r="D4977" i="7"/>
  <c r="D4829" i="7"/>
  <c r="D4979" i="7"/>
  <c r="D4409" i="7"/>
  <c r="D4709" i="7"/>
  <c r="D5365" i="7"/>
  <c r="D5489" i="7"/>
  <c r="D5880" i="7"/>
  <c r="D5697" i="7"/>
  <c r="D5279" i="7"/>
  <c r="D5278" i="7"/>
  <c r="D4287" i="7"/>
  <c r="D5879" i="7"/>
  <c r="D4499" i="7"/>
  <c r="D4317" i="7"/>
  <c r="D4320" i="7"/>
  <c r="D4589" i="7"/>
  <c r="D5127" i="7"/>
  <c r="D4885" i="7"/>
  <c r="D4918" i="7"/>
  <c r="D5967" i="7"/>
  <c r="D5068" i="7"/>
  <c r="D5850" i="7"/>
  <c r="D5490" i="7"/>
  <c r="D4319" i="7"/>
  <c r="D6058" i="7"/>
  <c r="D5129" i="7"/>
  <c r="D5487" i="7"/>
  <c r="D4649" i="7"/>
  <c r="D4949" i="7"/>
  <c r="D4707" i="7"/>
  <c r="D4349" i="7"/>
  <c r="D5935" i="7"/>
  <c r="D4498" i="7"/>
  <c r="D5040" i="7"/>
  <c r="D6087" i="7"/>
  <c r="D5275" i="7"/>
  <c r="D5821" i="7"/>
  <c r="D5307" i="7"/>
  <c r="D4647" i="7"/>
  <c r="D5910" i="7"/>
  <c r="D5431" i="7"/>
  <c r="D6027" i="7"/>
  <c r="D5637" i="7"/>
  <c r="D5817" i="7"/>
  <c r="D5251" i="7"/>
  <c r="D5698" i="7"/>
  <c r="D4380" i="7"/>
  <c r="D4741" i="7"/>
  <c r="D4765" i="7"/>
  <c r="D4945" i="7"/>
  <c r="D5907" i="7"/>
  <c r="D4887" i="7"/>
  <c r="D4621" i="7"/>
  <c r="D5638" i="7"/>
  <c r="D5247" i="7"/>
  <c r="D4615" i="7"/>
  <c r="D4798" i="7"/>
  <c r="D5848" i="7"/>
  <c r="D5430" i="7"/>
  <c r="D5191" i="7"/>
  <c r="D5100" i="7"/>
  <c r="D5909" i="7"/>
  <c r="D5400" i="7"/>
  <c r="D5818" i="7"/>
  <c r="D5640" i="7"/>
  <c r="D4917" i="7"/>
  <c r="D5731" i="7"/>
  <c r="D5131" i="7"/>
  <c r="D4467" i="7"/>
  <c r="D4321" i="7"/>
  <c r="D5458" i="7"/>
  <c r="D4407" i="7"/>
  <c r="D5457" i="7"/>
  <c r="D5339" i="7"/>
  <c r="D5005" i="7"/>
  <c r="D5281" i="7"/>
  <c r="D5461" i="7"/>
  <c r="D5250" i="7"/>
  <c r="D6028" i="7"/>
  <c r="D5218" i="7"/>
  <c r="D5877" i="7"/>
  <c r="D5547" i="7"/>
  <c r="D6055" i="7"/>
  <c r="D5551" i="7"/>
  <c r="D5338" i="7"/>
  <c r="D5970" i="7"/>
  <c r="D5190" i="7"/>
  <c r="D4439" i="7"/>
  <c r="D5397" i="7"/>
  <c r="D5609" i="7"/>
  <c r="D4591" i="7"/>
  <c r="D5155" i="7"/>
  <c r="D5757" i="7"/>
  <c r="D5398" i="7"/>
  <c r="D5308" i="7"/>
  <c r="D5845" i="7"/>
  <c r="D5965" i="7"/>
  <c r="D4471" i="7"/>
  <c r="D5579" i="7"/>
  <c r="D5671" i="7"/>
  <c r="D5518" i="7"/>
  <c r="D4290" i="7"/>
  <c r="D5815" i="7"/>
  <c r="D5071" i="7"/>
  <c r="D6059" i="7"/>
  <c r="D5881" i="7"/>
  <c r="D5188" i="7"/>
  <c r="D5277" i="7"/>
  <c r="D5851" i="7"/>
  <c r="D5428" i="7"/>
  <c r="D4408" i="7"/>
  <c r="D4801" i="7"/>
  <c r="D5220" i="7"/>
  <c r="D5580" i="7"/>
  <c r="D4530" i="7"/>
  <c r="D5128" i="7"/>
  <c r="D5997" i="7"/>
  <c r="D5125" i="7"/>
  <c r="D5245" i="7"/>
  <c r="D4648" i="7"/>
  <c r="D5729" i="7"/>
  <c r="D5070" i="7"/>
  <c r="D5971" i="7"/>
  <c r="D4891" i="7"/>
  <c r="D5311" i="7"/>
  <c r="D5340" i="7"/>
  <c r="D5037" i="7"/>
  <c r="D4740" i="7"/>
  <c r="D5968" i="7"/>
  <c r="D5669" i="7"/>
  <c r="D5095" i="7"/>
  <c r="D5667" i="7"/>
  <c r="D5425" i="7"/>
  <c r="D5367" i="7"/>
  <c r="D5577" i="7"/>
  <c r="D5999" i="7"/>
  <c r="D4590" i="7"/>
  <c r="D5908" i="7"/>
  <c r="D5758" i="7"/>
  <c r="D5067" i="7"/>
  <c r="D4381" i="7"/>
  <c r="D5700" i="7"/>
  <c r="D5545" i="7"/>
  <c r="D5730" i="7"/>
  <c r="D4435" i="7"/>
  <c r="D5249" i="7"/>
  <c r="D5189" i="7"/>
  <c r="D4345" i="7"/>
  <c r="D5065" i="7"/>
  <c r="D4465" i="7"/>
  <c r="D4771" i="7"/>
  <c r="D4651" i="7"/>
  <c r="D5219" i="7"/>
  <c r="D5701" i="7"/>
  <c r="D5217" i="7"/>
  <c r="D4855" i="7"/>
  <c r="D5491" i="7"/>
  <c r="D4825" i="7"/>
  <c r="D4677" i="7"/>
  <c r="D4767" i="7"/>
  <c r="D4830" i="7"/>
  <c r="D5760" i="7"/>
  <c r="D5215" i="7"/>
  <c r="D4528" i="7"/>
  <c r="D4585" i="7"/>
  <c r="D4799" i="7"/>
  <c r="D6085" i="7"/>
  <c r="D4470" i="7"/>
  <c r="D6088" i="7"/>
  <c r="D4705" i="7"/>
  <c r="D4558" i="7"/>
  <c r="D4950" i="7"/>
  <c r="D4890" i="7"/>
  <c r="D5725" i="7"/>
  <c r="D5280" i="7"/>
  <c r="D4501" i="7"/>
  <c r="D5521" i="7"/>
  <c r="D5011" i="7"/>
  <c r="D5161" i="7"/>
  <c r="D5878" i="7"/>
  <c r="D4619" i="7"/>
  <c r="D5160" i="7"/>
  <c r="D5157" i="7"/>
  <c r="D4559" i="7"/>
  <c r="D4525" i="7"/>
  <c r="D4560" i="7"/>
  <c r="D4438" i="7"/>
  <c r="D5010" i="7"/>
  <c r="D6057" i="7"/>
  <c r="D5485" i="7"/>
  <c r="D5607" i="7"/>
  <c r="D5785" i="7"/>
  <c r="D4978" i="7"/>
  <c r="D5337" i="7"/>
  <c r="D5221" i="7"/>
  <c r="D5455" i="7"/>
  <c r="D5370" i="7"/>
  <c r="D4347" i="7"/>
  <c r="D5305" i="7"/>
  <c r="D5905" i="7"/>
  <c r="D4889" i="7"/>
  <c r="D5941" i="7"/>
  <c r="D4860" i="7"/>
  <c r="D4468" i="7"/>
  <c r="D5371" i="7"/>
  <c r="D4915" i="7"/>
  <c r="D5635" i="7"/>
  <c r="D5969" i="7"/>
  <c r="D4378" i="7"/>
  <c r="D5759" i="7"/>
  <c r="D5309" i="7"/>
  <c r="D4738" i="7"/>
  <c r="D5875" i="7"/>
  <c r="D6000" i="7"/>
  <c r="D6001" i="7"/>
  <c r="D4768" i="7"/>
  <c r="D5788" i="7"/>
  <c r="D5847" i="7"/>
  <c r="D5401" i="7"/>
  <c r="D4888" i="7"/>
  <c r="D4440" i="7"/>
  <c r="D5911" i="7"/>
  <c r="D4379" i="7"/>
  <c r="D5035" i="7"/>
  <c r="D5099" i="7"/>
  <c r="D4531" i="7"/>
  <c r="D5939" i="7"/>
  <c r="D6031" i="7"/>
  <c r="D5641" i="7"/>
  <c r="D5341" i="7"/>
  <c r="D5665" i="7"/>
  <c r="D5549" i="7"/>
  <c r="D5761" i="7"/>
  <c r="D4675" i="7"/>
  <c r="D5938" i="7"/>
  <c r="D6061" i="7"/>
  <c r="D5039" i="7"/>
  <c r="D6030" i="7"/>
  <c r="D4495" i="7"/>
  <c r="D5790" i="7"/>
  <c r="D5517" i="7"/>
  <c r="D5429" i="7"/>
  <c r="D6029" i="7"/>
  <c r="D5998" i="7"/>
  <c r="D4737" i="7"/>
  <c r="D4529" i="7"/>
  <c r="D5515" i="7"/>
  <c r="D4857" i="7"/>
  <c r="D5611" i="7"/>
  <c r="D4377" i="7"/>
  <c r="D5097" i="7"/>
  <c r="D5395" i="7"/>
  <c r="D5368" i="7"/>
  <c r="D4617" i="7"/>
  <c r="D6090" i="7"/>
  <c r="D5007" i="7"/>
  <c r="D5639" i="7"/>
  <c r="D5937" i="7"/>
  <c r="D5459" i="7"/>
  <c r="D4859" i="7"/>
  <c r="D5130" i="7"/>
  <c r="D5849" i="7"/>
  <c r="D5158" i="7"/>
  <c r="D5187" i="7"/>
  <c r="D5610" i="7"/>
  <c r="D4769" i="7"/>
  <c r="D6089" i="7"/>
  <c r="D4770" i="7"/>
  <c r="D5519" i="7"/>
  <c r="D4919" i="7"/>
  <c r="D5820" i="7"/>
  <c r="D5608" i="7"/>
  <c r="D4828" i="7"/>
  <c r="D5575" i="7"/>
  <c r="D4555" i="7"/>
  <c r="D4350" i="7"/>
  <c r="D4469" i="7"/>
  <c r="D5699" i="7"/>
  <c r="D6025" i="7"/>
  <c r="D4951" i="7"/>
  <c r="D5520" i="7"/>
  <c r="D4975" i="7"/>
  <c r="D5727" i="7"/>
  <c r="D4795" i="7"/>
  <c r="D5995" i="7"/>
  <c r="D5098" i="7"/>
  <c r="D5581" i="7"/>
  <c r="D6060" i="7"/>
  <c r="D5248" i="7"/>
  <c r="D4318" i="7"/>
  <c r="D4800" i="7"/>
  <c r="D4827" i="7"/>
  <c r="D4441" i="7"/>
  <c r="D4678" i="7"/>
  <c r="D4681" i="7"/>
  <c r="D5578" i="7"/>
  <c r="D5008" i="7"/>
  <c r="D4285" i="7"/>
  <c r="D4948" i="7"/>
  <c r="D4920" i="7"/>
  <c r="D5038" i="7"/>
  <c r="D5755" i="7"/>
  <c r="D4711" i="7"/>
  <c r="D4561" i="7"/>
  <c r="D5335" i="7"/>
  <c r="D4375" i="7"/>
  <c r="D4405" i="7"/>
  <c r="D4921" i="7"/>
  <c r="D5310" i="7"/>
  <c r="D4735" i="7"/>
  <c r="D5695" i="7"/>
  <c r="D5159" i="7"/>
  <c r="D4411" i="7"/>
  <c r="D5819" i="7"/>
  <c r="D4557" i="7"/>
  <c r="D5668" i="7"/>
  <c r="D5185" i="7"/>
  <c r="D4739" i="7"/>
  <c r="D4618" i="7"/>
  <c r="D5548" i="7"/>
  <c r="D4645" i="7"/>
  <c r="D4947" i="7"/>
  <c r="D5369" i="7"/>
  <c r="D5940" i="7"/>
  <c r="D4351" i="7"/>
  <c r="D5605" i="7"/>
  <c r="D5670" i="7"/>
  <c r="D4588" i="7"/>
  <c r="D5460" i="7"/>
  <c r="D4861" i="7"/>
  <c r="D4587" i="7"/>
  <c r="D4858" i="7"/>
  <c r="D4831" i="7"/>
  <c r="D4437" i="7"/>
  <c r="D4527" i="7"/>
  <c r="D5041" i="7"/>
  <c r="D4500" i="7"/>
  <c r="D5009" i="7"/>
  <c r="D4680" i="7"/>
  <c r="D5728" i="7"/>
  <c r="H332" i="4"/>
  <c r="E12" i="15" s="1"/>
  <c r="W311" i="4"/>
  <c r="V186" i="24" s="1"/>
  <c r="W285" i="4"/>
  <c r="X285" i="4"/>
  <c r="U302" i="4"/>
  <c r="X283" i="4"/>
  <c r="W283" i="4"/>
  <c r="G298" i="4"/>
  <c r="W278" i="4"/>
  <c r="X278" i="4"/>
  <c r="D211" i="24"/>
  <c r="W326" i="4"/>
  <c r="U306" i="4"/>
  <c r="H103" i="24"/>
  <c r="W266" i="4"/>
  <c r="V103" i="24" s="1"/>
  <c r="AH103" i="24" s="1"/>
  <c r="K103" i="24" s="1"/>
  <c r="G281" i="4"/>
  <c r="D7" i="15" s="1"/>
  <c r="D51" i="15" s="1"/>
  <c r="U314" i="4"/>
  <c r="X280" i="4"/>
  <c r="W280" i="4"/>
  <c r="U289" i="4"/>
  <c r="W323" i="4"/>
  <c r="V211" i="24" s="1"/>
  <c r="U301" i="4"/>
  <c r="W290" i="4"/>
  <c r="V149" i="24" s="1"/>
  <c r="I298" i="4"/>
  <c r="X272" i="4"/>
  <c r="W272" i="4"/>
  <c r="U313" i="4"/>
  <c r="X279" i="4"/>
  <c r="W279" i="4"/>
  <c r="W302" i="4"/>
  <c r="X302" i="4"/>
  <c r="X300" i="4"/>
  <c r="G315" i="4"/>
  <c r="W300" i="4"/>
  <c r="D597" i="7"/>
  <c r="D565" i="7"/>
  <c r="D569" i="7"/>
  <c r="D539" i="7"/>
  <c r="D509" i="7"/>
  <c r="B805" i="7"/>
  <c r="B790" i="7"/>
  <c r="B796" i="7"/>
  <c r="B799" i="7"/>
  <c r="B793" i="7"/>
  <c r="B787" i="7"/>
  <c r="B791" i="7"/>
  <c r="B784" i="7"/>
  <c r="B801" i="7"/>
  <c r="B792" i="7"/>
  <c r="B785" i="7"/>
  <c r="B797" i="7"/>
  <c r="B782" i="7"/>
  <c r="B800" i="7"/>
  <c r="B795" i="7"/>
  <c r="B783" i="7"/>
  <c r="A791" i="7"/>
  <c r="A783" i="7"/>
  <c r="A790" i="7"/>
  <c r="A784" i="7"/>
  <c r="C775" i="7"/>
  <c r="A785" i="7"/>
  <c r="A797" i="7"/>
  <c r="A782" i="7"/>
  <c r="A792" i="7"/>
  <c r="A795" i="7"/>
  <c r="A793" i="7"/>
  <c r="A787" i="7"/>
  <c r="A799" i="7"/>
  <c r="A801" i="7"/>
  <c r="A805" i="7"/>
  <c r="A796" i="7"/>
  <c r="A800" i="7"/>
  <c r="AH211" i="24" l="1"/>
  <c r="K211" i="24" s="1"/>
  <c r="AH150" i="24"/>
  <c r="K150" i="24" s="1"/>
  <c r="AH148" i="24"/>
  <c r="K148" i="24" s="1"/>
  <c r="AH184" i="24"/>
  <c r="K184" i="24" s="1"/>
  <c r="AH152" i="24"/>
  <c r="K152" i="24" s="1"/>
  <c r="AH107" i="24"/>
  <c r="K107" i="24" s="1"/>
  <c r="V214" i="24"/>
  <c r="AH214" i="24" s="1"/>
  <c r="K214" i="24" s="1"/>
  <c r="AH105" i="24"/>
  <c r="K105" i="24" s="1"/>
  <c r="AH212" i="24"/>
  <c r="K212" i="24" s="1"/>
  <c r="AH182" i="24"/>
  <c r="K182" i="24" s="1"/>
  <c r="AH185" i="24"/>
  <c r="K185" i="24" s="1"/>
  <c r="K181" i="24"/>
  <c r="AH108" i="24"/>
  <c r="K108" i="24" s="1"/>
  <c r="AH151" i="24"/>
  <c r="K151" i="24" s="1"/>
  <c r="AH110" i="24"/>
  <c r="K110" i="24" s="1"/>
  <c r="AH109" i="24"/>
  <c r="K109" i="24" s="1"/>
  <c r="AH187" i="24"/>
  <c r="K187" i="24" s="1"/>
  <c r="AH186" i="24"/>
  <c r="K186" i="24" s="1"/>
  <c r="AH183" i="24"/>
  <c r="K183" i="24" s="1"/>
  <c r="AH149" i="24"/>
  <c r="K149" i="24" s="1"/>
  <c r="AH104" i="24"/>
  <c r="K104" i="24" s="1"/>
  <c r="AJ180" i="24"/>
  <c r="AH106" i="24"/>
  <c r="K106" i="24" s="1"/>
  <c r="AH213" i="24"/>
  <c r="K213" i="24" s="1"/>
  <c r="J6184" i="7"/>
  <c r="J6192" i="7" s="1"/>
  <c r="J6187" i="7"/>
  <c r="J6183" i="7"/>
  <c r="J6182" i="7"/>
  <c r="J6190" i="7" s="1"/>
  <c r="Y6191" i="7"/>
  <c r="Y6190" i="7"/>
  <c r="Y6197" i="7"/>
  <c r="Y6195" i="7"/>
  <c r="Y6182" i="7"/>
  <c r="Y6187" i="7"/>
  <c r="Y6183" i="7"/>
  <c r="Y6184" i="7"/>
  <c r="Y6185" i="7" s="1"/>
  <c r="Y6196" i="7"/>
  <c r="Y6192" i="7"/>
  <c r="Y6193" i="7" s="1"/>
  <c r="D6200" i="7"/>
  <c r="F6197" i="7"/>
  <c r="U6197" i="7" s="1"/>
  <c r="F6191" i="7"/>
  <c r="U6191" i="7" s="1"/>
  <c r="D6182" i="7"/>
  <c r="H6200" i="7"/>
  <c r="F6199" i="7"/>
  <c r="U6199" i="7" s="1"/>
  <c r="D6195" i="7"/>
  <c r="F6187" i="7"/>
  <c r="D6197" i="7"/>
  <c r="F6184" i="7"/>
  <c r="D6187" i="7"/>
  <c r="W6187" i="7" s="1"/>
  <c r="G6176" i="7"/>
  <c r="F6196" i="7"/>
  <c r="U6196" i="7" s="1"/>
  <c r="H6201" i="7"/>
  <c r="D6196" i="7"/>
  <c r="H6196" i="7"/>
  <c r="D6199" i="7"/>
  <c r="F6192" i="7"/>
  <c r="F6183" i="7"/>
  <c r="U6183" i="7" s="1"/>
  <c r="D6183" i="7"/>
  <c r="D6201" i="7"/>
  <c r="D6190" i="7"/>
  <c r="F6195" i="7"/>
  <c r="U6195" i="7" s="1"/>
  <c r="F6182" i="7"/>
  <c r="D6191" i="7"/>
  <c r="D6184" i="7"/>
  <c r="F6190" i="7"/>
  <c r="D6176" i="7"/>
  <c r="F6201" i="7"/>
  <c r="U6201" i="7" s="1"/>
  <c r="H6199" i="7"/>
  <c r="H6195" i="7"/>
  <c r="D6192" i="7"/>
  <c r="F6200" i="7"/>
  <c r="U6200" i="7" s="1"/>
  <c r="H6197" i="7"/>
  <c r="J6153" i="7"/>
  <c r="J6154" i="7"/>
  <c r="J6152" i="7"/>
  <c r="J6160" i="7" s="1"/>
  <c r="J6157" i="7"/>
  <c r="G6146" i="7"/>
  <c r="D6146" i="7"/>
  <c r="H6169" i="7"/>
  <c r="H6166" i="7"/>
  <c r="F6157" i="7"/>
  <c r="F6169" i="7"/>
  <c r="U6169" i="7" s="1"/>
  <c r="F6153" i="7"/>
  <c r="U6153" i="7" s="1"/>
  <c r="D6171" i="7"/>
  <c r="D6153" i="7"/>
  <c r="H6170" i="7"/>
  <c r="D6160" i="7"/>
  <c r="F6170" i="7"/>
  <c r="U6170" i="7" s="1"/>
  <c r="D6167" i="7"/>
  <c r="H6171" i="7"/>
  <c r="D6161" i="7"/>
  <c r="F6162" i="7"/>
  <c r="F6161" i="7"/>
  <c r="U6161" i="7" s="1"/>
  <c r="D6162" i="7"/>
  <c r="F6171" i="7"/>
  <c r="U6171" i="7" s="1"/>
  <c r="F6167" i="7"/>
  <c r="U6167" i="7" s="1"/>
  <c r="F6166" i="7"/>
  <c r="U6166" i="7" s="1"/>
  <c r="D6154" i="7"/>
  <c r="H6167" i="7"/>
  <c r="F6165" i="7"/>
  <c r="U6165" i="7" s="1"/>
  <c r="D6152" i="7"/>
  <c r="D6165" i="7"/>
  <c r="D6157" i="7"/>
  <c r="W6157" i="7" s="1"/>
  <c r="D6169" i="7"/>
  <c r="F6154" i="7"/>
  <c r="F6160" i="7"/>
  <c r="F6152" i="7"/>
  <c r="H6165" i="7"/>
  <c r="D6166" i="7"/>
  <c r="D6170" i="7"/>
  <c r="Y6154" i="7"/>
  <c r="Y6155" i="7" s="1"/>
  <c r="Y6165" i="7"/>
  <c r="Y6167" i="7"/>
  <c r="Y6160" i="7"/>
  <c r="Y6153" i="7"/>
  <c r="Y6161" i="7"/>
  <c r="Y6166" i="7"/>
  <c r="Y6162" i="7"/>
  <c r="Y6163" i="7" s="1"/>
  <c r="Y6152" i="7"/>
  <c r="Y6157" i="7"/>
  <c r="Y6135" i="7"/>
  <c r="Y6124" i="7"/>
  <c r="Y6125" i="7" s="1"/>
  <c r="Y6131" i="7"/>
  <c r="Y6136" i="7"/>
  <c r="Y6132" i="7"/>
  <c r="Y6133" i="7" s="1"/>
  <c r="Y6127" i="7"/>
  <c r="Y6123" i="7"/>
  <c r="Y6122" i="7"/>
  <c r="Y6130" i="7"/>
  <c r="Y6137" i="7"/>
  <c r="J6123" i="7"/>
  <c r="J6122" i="7"/>
  <c r="J6130" i="7" s="1"/>
  <c r="J6127" i="7"/>
  <c r="J6124" i="7"/>
  <c r="J6132" i="7" s="1"/>
  <c r="D6124" i="7"/>
  <c r="H6141" i="7"/>
  <c r="F6141" i="7"/>
  <c r="U6141" i="7" s="1"/>
  <c r="F6136" i="7"/>
  <c r="U6136" i="7" s="1"/>
  <c r="D6116" i="7"/>
  <c r="D6122" i="7"/>
  <c r="D6136" i="7"/>
  <c r="H6139" i="7"/>
  <c r="D6137" i="7"/>
  <c r="F6132" i="7"/>
  <c r="F6137" i="7"/>
  <c r="U6137" i="7" s="1"/>
  <c r="F6122" i="7"/>
  <c r="D6139" i="7"/>
  <c r="D6123" i="7"/>
  <c r="F6135" i="7"/>
  <c r="U6135" i="7" s="1"/>
  <c r="F6124" i="7"/>
  <c r="H6136" i="7"/>
  <c r="D6141" i="7"/>
  <c r="H6137" i="7"/>
  <c r="F6139" i="7"/>
  <c r="U6139" i="7" s="1"/>
  <c r="F6127" i="7"/>
  <c r="D6132" i="7"/>
  <c r="F6123" i="7"/>
  <c r="U6123" i="7" s="1"/>
  <c r="F6130" i="7"/>
  <c r="H6140" i="7"/>
  <c r="H6135" i="7"/>
  <c r="G6116" i="7"/>
  <c r="D6140" i="7"/>
  <c r="D6135" i="7"/>
  <c r="F6140" i="7"/>
  <c r="U6140" i="7" s="1"/>
  <c r="D6130" i="7"/>
  <c r="D6127" i="7"/>
  <c r="W6127" i="7" s="1"/>
  <c r="D6131" i="7"/>
  <c r="F6131" i="7"/>
  <c r="U6131" i="7" s="1"/>
  <c r="Y5687" i="7"/>
  <c r="Y5686" i="7"/>
  <c r="Y5681" i="7"/>
  <c r="Y5680" i="7"/>
  <c r="Y5673" i="7"/>
  <c r="Y5674" i="7"/>
  <c r="Y5675" i="7" s="1"/>
  <c r="Y5672" i="7"/>
  <c r="Y5685" i="7"/>
  <c r="Y5682" i="7"/>
  <c r="Y5683" i="7" s="1"/>
  <c r="Y5677" i="7"/>
  <c r="Y5223" i="7"/>
  <c r="Y5235" i="7"/>
  <c r="Y5231" i="7"/>
  <c r="Y5224" i="7"/>
  <c r="Y5225" i="7" s="1"/>
  <c r="Y5230" i="7"/>
  <c r="Y5232" i="7"/>
  <c r="Y5233" i="7" s="1"/>
  <c r="Y5237" i="7"/>
  <c r="Y5236" i="7"/>
  <c r="Y5222" i="7"/>
  <c r="Y5227" i="7"/>
  <c r="Y5172" i="7"/>
  <c r="Y5173" i="7" s="1"/>
  <c r="Y5171" i="7"/>
  <c r="Y5176" i="7"/>
  <c r="Y5170" i="7"/>
  <c r="Y5177" i="7"/>
  <c r="Y5175" i="7"/>
  <c r="Y5162" i="7"/>
  <c r="Y5167" i="7"/>
  <c r="Y5163" i="7"/>
  <c r="Y5164" i="7"/>
  <c r="Y5165" i="7" s="1"/>
  <c r="H5240" i="7"/>
  <c r="D5224" i="7"/>
  <c r="F5224" i="7"/>
  <c r="D5222" i="7"/>
  <c r="F5239" i="7"/>
  <c r="U5239" i="7" s="1"/>
  <c r="D5239" i="7"/>
  <c r="F5231" i="7"/>
  <c r="U5231" i="7" s="1"/>
  <c r="F5236" i="7"/>
  <c r="U5236" i="7" s="1"/>
  <c r="D5230" i="7"/>
  <c r="D5232" i="7"/>
  <c r="F5230" i="7"/>
  <c r="H5237" i="7"/>
  <c r="D5216" i="7"/>
  <c r="H5239" i="7"/>
  <c r="D5241" i="7"/>
  <c r="D5237" i="7"/>
  <c r="G5216" i="7"/>
  <c r="F5232" i="7"/>
  <c r="F5227" i="7"/>
  <c r="D5223" i="7"/>
  <c r="H5241" i="7"/>
  <c r="H5236" i="7"/>
  <c r="F5237" i="7"/>
  <c r="U5237" i="7" s="1"/>
  <c r="F5241" i="7"/>
  <c r="U5241" i="7" s="1"/>
  <c r="D5236" i="7"/>
  <c r="F5222" i="7"/>
  <c r="F5223" i="7"/>
  <c r="U5223" i="7" s="1"/>
  <c r="F5235" i="7"/>
  <c r="U5235" i="7" s="1"/>
  <c r="D5235" i="7"/>
  <c r="D5227" i="7"/>
  <c r="W5227" i="7" s="1"/>
  <c r="F5240" i="7"/>
  <c r="U5240" i="7" s="1"/>
  <c r="D5231" i="7"/>
  <c r="D5240" i="7"/>
  <c r="H5235" i="7"/>
  <c r="F5111" i="7"/>
  <c r="U5111" i="7" s="1"/>
  <c r="F5117" i="7"/>
  <c r="U5117" i="7" s="1"/>
  <c r="D5111" i="7"/>
  <c r="G5096" i="7"/>
  <c r="F5110" i="7"/>
  <c r="F5104" i="7"/>
  <c r="H5116" i="7"/>
  <c r="H5119" i="7"/>
  <c r="F5107" i="7"/>
  <c r="D5096" i="7"/>
  <c r="D5116" i="7"/>
  <c r="D5119" i="7"/>
  <c r="F5116" i="7"/>
  <c r="U5116" i="7" s="1"/>
  <c r="H5117" i="7"/>
  <c r="F5102" i="7"/>
  <c r="H5115" i="7"/>
  <c r="D5112" i="7"/>
  <c r="F5119" i="7"/>
  <c r="U5119" i="7" s="1"/>
  <c r="F5115" i="7"/>
  <c r="U5115" i="7" s="1"/>
  <c r="D5115" i="7"/>
  <c r="D5120" i="7"/>
  <c r="H5121" i="7"/>
  <c r="F5121" i="7"/>
  <c r="U5121" i="7" s="1"/>
  <c r="D5110" i="7"/>
  <c r="D5107" i="7"/>
  <c r="W5107" i="7" s="1"/>
  <c r="F5112" i="7"/>
  <c r="F5103" i="7"/>
  <c r="U5103" i="7" s="1"/>
  <c r="F5120" i="7"/>
  <c r="U5120" i="7" s="1"/>
  <c r="D5121" i="7"/>
  <c r="D5103" i="7"/>
  <c r="D5117" i="7"/>
  <c r="D5104" i="7"/>
  <c r="H5120" i="7"/>
  <c r="D5102" i="7"/>
  <c r="F6076" i="7"/>
  <c r="U6076" i="7" s="1"/>
  <c r="G6056" i="7"/>
  <c r="F6064" i="7"/>
  <c r="D6063" i="7"/>
  <c r="H6079" i="7"/>
  <c r="F6072" i="7"/>
  <c r="D6070" i="7"/>
  <c r="H6081" i="7"/>
  <c r="D6081" i="7"/>
  <c r="D6076" i="7"/>
  <c r="H6077" i="7"/>
  <c r="F6079" i="7"/>
  <c r="U6079" i="7" s="1"/>
  <c r="F6070" i="7"/>
  <c r="F6063" i="7"/>
  <c r="U6063" i="7" s="1"/>
  <c r="D6072" i="7"/>
  <c r="D6071" i="7"/>
  <c r="D6067" i="7"/>
  <c r="W6067" i="7" s="1"/>
  <c r="F6067" i="7"/>
  <c r="H6076" i="7"/>
  <c r="D6077" i="7"/>
  <c r="H6080" i="7"/>
  <c r="D6080" i="7"/>
  <c r="H6075" i="7"/>
  <c r="D6062" i="7"/>
  <c r="D6079" i="7"/>
  <c r="D6075" i="7"/>
  <c r="F6077" i="7"/>
  <c r="U6077" i="7" s="1"/>
  <c r="F6080" i="7"/>
  <c r="U6080" i="7" s="1"/>
  <c r="F6071" i="7"/>
  <c r="U6071" i="7" s="1"/>
  <c r="F6062" i="7"/>
  <c r="D6064" i="7"/>
  <c r="F6075" i="7"/>
  <c r="U6075" i="7" s="1"/>
  <c r="D6056" i="7"/>
  <c r="F6081" i="7"/>
  <c r="U6081" i="7" s="1"/>
  <c r="Y5740" i="7"/>
  <c r="Y5733" i="7"/>
  <c r="Y5742" i="7"/>
  <c r="Y5743" i="7" s="1"/>
  <c r="Y5746" i="7"/>
  <c r="Y5741" i="7"/>
  <c r="Y5732" i="7"/>
  <c r="Y5737" i="7"/>
  <c r="Y5745" i="7"/>
  <c r="Y5734" i="7"/>
  <c r="Y5735" i="7" s="1"/>
  <c r="Y5747" i="7"/>
  <c r="J5913" i="7"/>
  <c r="J5917" i="7"/>
  <c r="J5912" i="7"/>
  <c r="J5920" i="7" s="1"/>
  <c r="J5914" i="7"/>
  <c r="J5922" i="7" s="1"/>
  <c r="J6092" i="7"/>
  <c r="J6100" i="7" s="1"/>
  <c r="J6097" i="7"/>
  <c r="J6094" i="7"/>
  <c r="J6102" i="7" s="1"/>
  <c r="J6093" i="7"/>
  <c r="F5295" i="7"/>
  <c r="U5295" i="7" s="1"/>
  <c r="H5301" i="7"/>
  <c r="D5291" i="7"/>
  <c r="H5297" i="7"/>
  <c r="D5295" i="7"/>
  <c r="F5284" i="7"/>
  <c r="D5292" i="7"/>
  <c r="D5287" i="7"/>
  <c r="W5287" i="7" s="1"/>
  <c r="D5297" i="7"/>
  <c r="D5276" i="7"/>
  <c r="D5301" i="7"/>
  <c r="D5282" i="7"/>
  <c r="F5301" i="7"/>
  <c r="U5301" i="7" s="1"/>
  <c r="F5297" i="7"/>
  <c r="U5297" i="7" s="1"/>
  <c r="F5292" i="7"/>
  <c r="H5300" i="7"/>
  <c r="F5300" i="7"/>
  <c r="U5300" i="7" s="1"/>
  <c r="F5282" i="7"/>
  <c r="D5296" i="7"/>
  <c r="D5283" i="7"/>
  <c r="D5300" i="7"/>
  <c r="H5296" i="7"/>
  <c r="F5299" i="7"/>
  <c r="U5299" i="7" s="1"/>
  <c r="D5299" i="7"/>
  <c r="F5287" i="7"/>
  <c r="F5290" i="7"/>
  <c r="F5283" i="7"/>
  <c r="U5283" i="7" s="1"/>
  <c r="H5299" i="7"/>
  <c r="G5276" i="7"/>
  <c r="F5296" i="7"/>
  <c r="U5296" i="7" s="1"/>
  <c r="H5295" i="7"/>
  <c r="F5291" i="7"/>
  <c r="U5291" i="7" s="1"/>
  <c r="D5290" i="7"/>
  <c r="D5284" i="7"/>
  <c r="J5943" i="7"/>
  <c r="J5942" i="7"/>
  <c r="J5950" i="7" s="1"/>
  <c r="J5947" i="7"/>
  <c r="J5944" i="7"/>
  <c r="J5952" i="7" s="1"/>
  <c r="Y4540" i="7"/>
  <c r="Y4546" i="7"/>
  <c r="Y4533" i="7"/>
  <c r="Y4532" i="7"/>
  <c r="Y4541" i="7"/>
  <c r="Y4545" i="7"/>
  <c r="Y4537" i="7"/>
  <c r="Y4534" i="7"/>
  <c r="Y4535" i="7" s="1"/>
  <c r="Y4542" i="7"/>
  <c r="Y4543" i="7" s="1"/>
  <c r="Y4547" i="7"/>
  <c r="J5344" i="7"/>
  <c r="J5352" i="7" s="1"/>
  <c r="J5343" i="7"/>
  <c r="J5347" i="7"/>
  <c r="J5342" i="7"/>
  <c r="J5350" i="7" s="1"/>
  <c r="Y5027" i="7"/>
  <c r="Y5026" i="7"/>
  <c r="Y5021" i="7"/>
  <c r="Y5012" i="7"/>
  <c r="Y5013" i="7"/>
  <c r="Y5025" i="7"/>
  <c r="Y5014" i="7"/>
  <c r="Y5015" i="7" s="1"/>
  <c r="Y5017" i="7"/>
  <c r="Y5022" i="7"/>
  <c r="Y5023" i="7" s="1"/>
  <c r="Y5020" i="7"/>
  <c r="Y4481" i="7"/>
  <c r="Y4480" i="7"/>
  <c r="Y4482" i="7"/>
  <c r="Y4483" i="7" s="1"/>
  <c r="Y4485" i="7"/>
  <c r="Y4487" i="7"/>
  <c r="Y4473" i="7"/>
  <c r="Y4486" i="7"/>
  <c r="Y4472" i="7"/>
  <c r="Y4477" i="7"/>
  <c r="Y4474" i="7"/>
  <c r="Y4475" i="7" s="1"/>
  <c r="J5552" i="7"/>
  <c r="J5560" i="7" s="1"/>
  <c r="J5557" i="7"/>
  <c r="J5553" i="7"/>
  <c r="J5554" i="7"/>
  <c r="J5562" i="7" s="1"/>
  <c r="J4927" i="7"/>
  <c r="J4923" i="7"/>
  <c r="J4924" i="7"/>
  <c r="J4932" i="7" s="1"/>
  <c r="J4922" i="7"/>
  <c r="J4930" i="7" s="1"/>
  <c r="D4946" i="7"/>
  <c r="D4957" i="7"/>
  <c r="W4957" i="7" s="1"/>
  <c r="D4960" i="7"/>
  <c r="D4953" i="7"/>
  <c r="D4969" i="7"/>
  <c r="D4966" i="7"/>
  <c r="F4961" i="7"/>
  <c r="U4961" i="7" s="1"/>
  <c r="H4967" i="7"/>
  <c r="G4946" i="7"/>
  <c r="H4966" i="7"/>
  <c r="F4971" i="7"/>
  <c r="U4971" i="7" s="1"/>
  <c r="D4970" i="7"/>
  <c r="F4969" i="7"/>
  <c r="U4969" i="7" s="1"/>
  <c r="D4971" i="7"/>
  <c r="F4960" i="7"/>
  <c r="H4970" i="7"/>
  <c r="H4965" i="7"/>
  <c r="D4954" i="7"/>
  <c r="F4966" i="7"/>
  <c r="U4966" i="7" s="1"/>
  <c r="D4962" i="7"/>
  <c r="D4965" i="7"/>
  <c r="F4953" i="7"/>
  <c r="U4953" i="7" s="1"/>
  <c r="H4969" i="7"/>
  <c r="F4954" i="7"/>
  <c r="H4971" i="7"/>
  <c r="D4961" i="7"/>
  <c r="F4970" i="7"/>
  <c r="U4970" i="7" s="1"/>
  <c r="F4967" i="7"/>
  <c r="U4967" i="7" s="1"/>
  <c r="F4952" i="7"/>
  <c r="F4957" i="7"/>
  <c r="F4962" i="7"/>
  <c r="D4967" i="7"/>
  <c r="D4952" i="7"/>
  <c r="F4965" i="7"/>
  <c r="U4965" i="7" s="1"/>
  <c r="F4905" i="7"/>
  <c r="U4905" i="7" s="1"/>
  <c r="F4907" i="7"/>
  <c r="U4907" i="7" s="1"/>
  <c r="F4910" i="7"/>
  <c r="U4910" i="7" s="1"/>
  <c r="F4900" i="7"/>
  <c r="D4900" i="7"/>
  <c r="D4907" i="7"/>
  <c r="D4886" i="7"/>
  <c r="D4906" i="7"/>
  <c r="H4909" i="7"/>
  <c r="H4911" i="7"/>
  <c r="D4901" i="7"/>
  <c r="D4909" i="7"/>
  <c r="D4893" i="7"/>
  <c r="F4894" i="7"/>
  <c r="D4902" i="7"/>
  <c r="F4901" i="7"/>
  <c r="U4901" i="7" s="1"/>
  <c r="D4892" i="7"/>
  <c r="D4897" i="7"/>
  <c r="W4897" i="7" s="1"/>
  <c r="F4911" i="7"/>
  <c r="U4911" i="7" s="1"/>
  <c r="F4909" i="7"/>
  <c r="U4909" i="7" s="1"/>
  <c r="D4905" i="7"/>
  <c r="H4910" i="7"/>
  <c r="F4893" i="7"/>
  <c r="U4893" i="7" s="1"/>
  <c r="F4902" i="7"/>
  <c r="D4894" i="7"/>
  <c r="G4886" i="7"/>
  <c r="H4906" i="7"/>
  <c r="F4892" i="7"/>
  <c r="F4897" i="7"/>
  <c r="D4911" i="7"/>
  <c r="H4907" i="7"/>
  <c r="D4910" i="7"/>
  <c r="F4906" i="7"/>
  <c r="U4906" i="7" s="1"/>
  <c r="H4905" i="7"/>
  <c r="Y5793" i="7"/>
  <c r="Y5797" i="7"/>
  <c r="Y5792" i="7"/>
  <c r="Y5807" i="7"/>
  <c r="Y5802" i="7"/>
  <c r="Y5803" i="7" s="1"/>
  <c r="Y5800" i="7"/>
  <c r="Y5801" i="7"/>
  <c r="Y5806" i="7"/>
  <c r="Y5794" i="7"/>
  <c r="Y5795" i="7" s="1"/>
  <c r="Y5805" i="7"/>
  <c r="AH154" i="24"/>
  <c r="K154" i="24" s="1"/>
  <c r="D5464" i="7"/>
  <c r="D5480" i="7"/>
  <c r="H5481" i="7"/>
  <c r="H5476" i="7"/>
  <c r="F5467" i="7"/>
  <c r="D5479" i="7"/>
  <c r="F5476" i="7"/>
  <c r="U5476" i="7" s="1"/>
  <c r="F5470" i="7"/>
  <c r="D5463" i="7"/>
  <c r="F5481" i="7"/>
  <c r="U5481" i="7" s="1"/>
  <c r="D5476" i="7"/>
  <c r="F5472" i="7"/>
  <c r="F5477" i="7"/>
  <c r="U5477" i="7" s="1"/>
  <c r="F5463" i="7"/>
  <c r="U5463" i="7" s="1"/>
  <c r="D5462" i="7"/>
  <c r="H5480" i="7"/>
  <c r="D5471" i="7"/>
  <c r="F5471" i="7"/>
  <c r="U5471" i="7" s="1"/>
  <c r="F5479" i="7"/>
  <c r="U5479" i="7" s="1"/>
  <c r="F5464" i="7"/>
  <c r="D5475" i="7"/>
  <c r="F5475" i="7"/>
  <c r="U5475" i="7" s="1"/>
  <c r="D5481" i="7"/>
  <c r="D5472" i="7"/>
  <c r="F5462" i="7"/>
  <c r="D5470" i="7"/>
  <c r="F5480" i="7"/>
  <c r="U5480" i="7" s="1"/>
  <c r="D5477" i="7"/>
  <c r="D5467" i="7"/>
  <c r="W5467" i="7" s="1"/>
  <c r="H5479" i="7"/>
  <c r="G5456" i="7"/>
  <c r="H5475" i="7"/>
  <c r="H5477" i="7"/>
  <c r="D5456" i="7"/>
  <c r="J5523" i="7"/>
  <c r="J5524" i="7"/>
  <c r="J5532" i="7" s="1"/>
  <c r="J5522" i="7"/>
  <c r="J5530" i="7" s="1"/>
  <c r="J5527" i="7"/>
  <c r="Y5530" i="7"/>
  <c r="Y5537" i="7"/>
  <c r="Y5535" i="7"/>
  <c r="Y5522" i="7"/>
  <c r="Y5524" i="7"/>
  <c r="Y5525" i="7" s="1"/>
  <c r="Y5527" i="7"/>
  <c r="Y5536" i="7"/>
  <c r="Y5532" i="7"/>
  <c r="Y5533" i="7" s="1"/>
  <c r="Y5523" i="7"/>
  <c r="Y5531" i="7"/>
  <c r="D4451" i="7"/>
  <c r="F4455" i="7"/>
  <c r="U4455" i="7" s="1"/>
  <c r="D4450" i="7"/>
  <c r="F4457" i="7"/>
  <c r="U4457" i="7" s="1"/>
  <c r="D4447" i="7"/>
  <c r="W4447" i="7" s="1"/>
  <c r="F4447" i="7"/>
  <c r="D4452" i="7"/>
  <c r="D4459" i="7"/>
  <c r="F4456" i="7"/>
  <c r="U4456" i="7" s="1"/>
  <c r="D4461" i="7"/>
  <c r="F4443" i="7"/>
  <c r="U4443" i="7" s="1"/>
  <c r="G4436" i="7"/>
  <c r="D4443" i="7"/>
  <c r="D4444" i="7"/>
  <c r="H4457" i="7"/>
  <c r="H4459" i="7"/>
  <c r="D4442" i="7"/>
  <c r="D4457" i="7"/>
  <c r="F4451" i="7"/>
  <c r="U4451" i="7" s="1"/>
  <c r="D4456" i="7"/>
  <c r="H4456" i="7"/>
  <c r="D4436" i="7"/>
  <c r="H4455" i="7"/>
  <c r="F4460" i="7"/>
  <c r="U4460" i="7" s="1"/>
  <c r="F4459" i="7"/>
  <c r="U4459" i="7" s="1"/>
  <c r="F4442" i="7"/>
  <c r="F4450" i="7"/>
  <c r="D4455" i="7"/>
  <c r="F4452" i="7"/>
  <c r="H4460" i="7"/>
  <c r="D4460" i="7"/>
  <c r="F4444" i="7"/>
  <c r="F4461" i="7"/>
  <c r="U4461" i="7" s="1"/>
  <c r="H4461" i="7"/>
  <c r="D5990" i="7"/>
  <c r="D5973" i="7"/>
  <c r="G5966" i="7"/>
  <c r="W5987" i="7" s="1"/>
  <c r="W5991" i="7" s="1"/>
  <c r="F5989" i="7"/>
  <c r="U5989" i="7" s="1"/>
  <c r="H5991" i="7"/>
  <c r="F5991" i="7"/>
  <c r="U5991" i="7" s="1"/>
  <c r="F5982" i="7"/>
  <c r="D5982" i="7"/>
  <c r="D5981" i="7"/>
  <c r="F5990" i="7"/>
  <c r="U5990" i="7" s="1"/>
  <c r="D5985" i="7"/>
  <c r="H5987" i="7"/>
  <c r="F5980" i="7"/>
  <c r="H5990" i="7"/>
  <c r="D5977" i="7"/>
  <c r="W5977" i="7" s="1"/>
  <c r="H5989" i="7"/>
  <c r="D5987" i="7"/>
  <c r="D5991" i="7"/>
  <c r="D5966" i="7"/>
  <c r="F5977" i="7"/>
  <c r="H5985" i="7"/>
  <c r="D5980" i="7"/>
  <c r="D5989" i="7"/>
  <c r="D5972" i="7"/>
  <c r="F5981" i="7"/>
  <c r="U5981" i="7" s="1"/>
  <c r="D5974" i="7"/>
  <c r="H5986" i="7"/>
  <c r="D5986" i="7"/>
  <c r="F5986" i="7"/>
  <c r="U5986" i="7" s="1"/>
  <c r="F5987" i="7"/>
  <c r="U5987" i="7" s="1"/>
  <c r="F5972" i="7"/>
  <c r="F5974" i="7"/>
  <c r="F5985" i="7"/>
  <c r="U5985" i="7" s="1"/>
  <c r="F5973" i="7"/>
  <c r="U5973" i="7" s="1"/>
  <c r="J5887" i="7"/>
  <c r="J5883" i="7"/>
  <c r="J5884" i="7"/>
  <c r="J5892" i="7" s="1"/>
  <c r="J5882" i="7"/>
  <c r="J5890" i="7" s="1"/>
  <c r="D4785" i="7"/>
  <c r="F4791" i="7"/>
  <c r="U4791" i="7" s="1"/>
  <c r="F4785" i="7"/>
  <c r="U4785" i="7" s="1"/>
  <c r="F4774" i="7"/>
  <c r="D4786" i="7"/>
  <c r="G4766" i="7"/>
  <c r="H4786" i="7"/>
  <c r="D4789" i="7"/>
  <c r="F4782" i="7"/>
  <c r="D4782" i="7"/>
  <c r="F4781" i="7"/>
  <c r="U4781" i="7" s="1"/>
  <c r="H4789" i="7"/>
  <c r="D4791" i="7"/>
  <c r="H4791" i="7"/>
  <c r="D4781" i="7"/>
  <c r="D4773" i="7"/>
  <c r="D4780" i="7"/>
  <c r="F4789" i="7"/>
  <c r="U4789" i="7" s="1"/>
  <c r="F4773" i="7"/>
  <c r="U4773" i="7" s="1"/>
  <c r="D4774" i="7"/>
  <c r="D4766" i="7"/>
  <c r="H4790" i="7"/>
  <c r="F4790" i="7"/>
  <c r="U4790" i="7" s="1"/>
  <c r="D4787" i="7"/>
  <c r="F4777" i="7"/>
  <c r="H4785" i="7"/>
  <c r="H4787" i="7"/>
  <c r="F4780" i="7"/>
  <c r="D4777" i="7"/>
  <c r="W4777" i="7" s="1"/>
  <c r="F4787" i="7"/>
  <c r="U4787" i="7" s="1"/>
  <c r="D4772" i="7"/>
  <c r="F4786" i="7"/>
  <c r="U4786" i="7" s="1"/>
  <c r="F4772" i="7"/>
  <c r="D4790" i="7"/>
  <c r="J5134" i="7"/>
  <c r="J5142" i="7" s="1"/>
  <c r="J5133" i="7"/>
  <c r="J5137" i="7"/>
  <c r="J5132" i="7"/>
  <c r="J5140" i="7" s="1"/>
  <c r="Y4302" i="7"/>
  <c r="Y4303" i="7" s="1"/>
  <c r="Y4301" i="7"/>
  <c r="Y4300" i="7"/>
  <c r="Y4307" i="7"/>
  <c r="Y4292" i="7"/>
  <c r="Y4293" i="7"/>
  <c r="Y4297" i="7"/>
  <c r="Y4294" i="7"/>
  <c r="Y4295" i="7" s="1"/>
  <c r="Y4305" i="7"/>
  <c r="Y4306" i="7"/>
  <c r="D4426" i="7"/>
  <c r="F4421" i="7"/>
  <c r="U4421" i="7" s="1"/>
  <c r="D4414" i="7"/>
  <c r="F4430" i="7"/>
  <c r="U4430" i="7" s="1"/>
  <c r="D4421" i="7"/>
  <c r="G4406" i="7"/>
  <c r="F4427" i="7"/>
  <c r="U4427" i="7" s="1"/>
  <c r="D4406" i="7"/>
  <c r="H4431" i="7"/>
  <c r="F4412" i="7"/>
  <c r="H4425" i="7"/>
  <c r="D4412" i="7"/>
  <c r="H4427" i="7"/>
  <c r="D4413" i="7"/>
  <c r="D4417" i="7"/>
  <c r="W4417" i="7" s="1"/>
  <c r="D4427" i="7"/>
  <c r="F4417" i="7"/>
  <c r="F4413" i="7"/>
  <c r="U4413" i="7" s="1"/>
  <c r="F4425" i="7"/>
  <c r="U4425" i="7" s="1"/>
  <c r="D4422" i="7"/>
  <c r="F4422" i="7"/>
  <c r="D4420" i="7"/>
  <c r="H4426" i="7"/>
  <c r="D4430" i="7"/>
  <c r="F4431" i="7"/>
  <c r="U4431" i="7" s="1"/>
  <c r="F4420" i="7"/>
  <c r="D4425" i="7"/>
  <c r="D4429" i="7"/>
  <c r="F4426" i="7"/>
  <c r="U4426" i="7" s="1"/>
  <c r="D4431" i="7"/>
  <c r="F4414" i="7"/>
  <c r="H4429" i="7"/>
  <c r="H4430" i="7"/>
  <c r="F4429" i="7"/>
  <c r="U4429" i="7" s="1"/>
  <c r="D103" i="24"/>
  <c r="AJ102" i="24"/>
  <c r="J5012" i="7"/>
  <c r="J5020" i="7" s="1"/>
  <c r="J5014" i="7"/>
  <c r="J5022" i="7" s="1"/>
  <c r="J5017" i="7"/>
  <c r="J5013" i="7"/>
  <c r="H5055" i="7"/>
  <c r="D5044" i="7"/>
  <c r="H5059" i="7"/>
  <c r="F5047" i="7"/>
  <c r="F5042" i="7"/>
  <c r="D5056" i="7"/>
  <c r="D5043" i="7"/>
  <c r="D5042" i="7"/>
  <c r="D5050" i="7"/>
  <c r="D5059" i="7"/>
  <c r="F5043" i="7"/>
  <c r="U5043" i="7" s="1"/>
  <c r="F5050" i="7"/>
  <c r="H5056" i="7"/>
  <c r="D5047" i="7"/>
  <c r="W5047" i="7" s="1"/>
  <c r="D5060" i="7"/>
  <c r="F5056" i="7"/>
  <c r="U5056" i="7" s="1"/>
  <c r="H5060" i="7"/>
  <c r="F5051" i="7"/>
  <c r="U5051" i="7" s="1"/>
  <c r="D5051" i="7"/>
  <c r="G5036" i="7"/>
  <c r="F5060" i="7"/>
  <c r="U5060" i="7" s="1"/>
  <c r="D5061" i="7"/>
  <c r="D5057" i="7"/>
  <c r="F5052" i="7"/>
  <c r="F5059" i="7"/>
  <c r="U5059" i="7" s="1"/>
  <c r="F5055" i="7"/>
  <c r="U5055" i="7" s="1"/>
  <c r="D5055" i="7"/>
  <c r="D5036" i="7"/>
  <c r="F5057" i="7"/>
  <c r="U5057" i="7" s="1"/>
  <c r="F5061" i="7"/>
  <c r="U5061" i="7" s="1"/>
  <c r="H5057" i="7"/>
  <c r="H5061" i="7"/>
  <c r="F5044" i="7"/>
  <c r="D5052" i="7"/>
  <c r="F5806" i="7"/>
  <c r="U5806" i="7" s="1"/>
  <c r="D5802" i="7"/>
  <c r="F5797" i="7"/>
  <c r="F5792" i="7"/>
  <c r="F5801" i="7"/>
  <c r="U5801" i="7" s="1"/>
  <c r="F5793" i="7"/>
  <c r="U5793" i="7" s="1"/>
  <c r="F5794" i="7"/>
  <c r="F5807" i="7"/>
  <c r="U5807" i="7" s="1"/>
  <c r="D5811" i="7"/>
  <c r="H5810" i="7"/>
  <c r="H5806" i="7"/>
  <c r="D5809" i="7"/>
  <c r="D5801" i="7"/>
  <c r="D5793" i="7"/>
  <c r="F5810" i="7"/>
  <c r="U5810" i="7" s="1"/>
  <c r="F5802" i="7"/>
  <c r="H5807" i="7"/>
  <c r="D5786" i="7"/>
  <c r="F5809" i="7"/>
  <c r="U5809" i="7" s="1"/>
  <c r="G5786" i="7"/>
  <c r="D5797" i="7"/>
  <c r="W5797" i="7" s="1"/>
  <c r="H5811" i="7"/>
  <c r="H5805" i="7"/>
  <c r="F5800" i="7"/>
  <c r="F5805" i="7"/>
  <c r="U5805" i="7" s="1"/>
  <c r="F5811" i="7"/>
  <c r="U5811" i="7" s="1"/>
  <c r="D5805" i="7"/>
  <c r="D5810" i="7"/>
  <c r="D5807" i="7"/>
  <c r="D5800" i="7"/>
  <c r="D5806" i="7"/>
  <c r="D5792" i="7"/>
  <c r="H5809" i="7"/>
  <c r="D5794" i="7"/>
  <c r="Y4512" i="7"/>
  <c r="Y4513" i="7" s="1"/>
  <c r="Y4516" i="7"/>
  <c r="Y4515" i="7"/>
  <c r="Y4510" i="7"/>
  <c r="Y4503" i="7"/>
  <c r="Y4502" i="7"/>
  <c r="Y4504" i="7"/>
  <c r="Y4505" i="7" s="1"/>
  <c r="Y4511" i="7"/>
  <c r="Y4517" i="7"/>
  <c r="Y4507" i="7"/>
  <c r="J4773" i="7"/>
  <c r="J4777" i="7"/>
  <c r="J4772" i="7"/>
  <c r="J4780" i="7" s="1"/>
  <c r="J4774" i="7"/>
  <c r="J4782" i="7" s="1"/>
  <c r="Y4817" i="7"/>
  <c r="Y4811" i="7"/>
  <c r="Y4816" i="7"/>
  <c r="Y4802" i="7"/>
  <c r="Y4810" i="7"/>
  <c r="Y4804" i="7"/>
  <c r="Y4805" i="7" s="1"/>
  <c r="Y4803" i="7"/>
  <c r="Y4812" i="7"/>
  <c r="Y4813" i="7" s="1"/>
  <c r="Y4807" i="7"/>
  <c r="Y4815" i="7"/>
  <c r="D5857" i="7"/>
  <c r="W5857" i="7" s="1"/>
  <c r="F5854" i="7"/>
  <c r="D5846" i="7"/>
  <c r="D5862" i="7"/>
  <c r="F5869" i="7"/>
  <c r="U5869" i="7" s="1"/>
  <c r="F5866" i="7"/>
  <c r="U5866" i="7" s="1"/>
  <c r="F5865" i="7"/>
  <c r="U5865" i="7" s="1"/>
  <c r="F5857" i="7"/>
  <c r="D5854" i="7"/>
  <c r="D5870" i="7"/>
  <c r="F5867" i="7"/>
  <c r="U5867" i="7" s="1"/>
  <c r="F5860" i="7"/>
  <c r="F5853" i="7"/>
  <c r="U5853" i="7" s="1"/>
  <c r="F5861" i="7"/>
  <c r="U5861" i="7" s="1"/>
  <c r="H5869" i="7"/>
  <c r="H5870" i="7"/>
  <c r="H5871" i="7"/>
  <c r="F5862" i="7"/>
  <c r="H5865" i="7"/>
  <c r="F5852" i="7"/>
  <c r="H5867" i="7"/>
  <c r="D5869" i="7"/>
  <c r="D5861" i="7"/>
  <c r="G5846" i="7"/>
  <c r="F5870" i="7"/>
  <c r="U5870" i="7" s="1"/>
  <c r="F5871" i="7"/>
  <c r="U5871" i="7" s="1"/>
  <c r="D5867" i="7"/>
  <c r="D5852" i="7"/>
  <c r="D5871" i="7"/>
  <c r="H5866" i="7"/>
  <c r="D5853" i="7"/>
  <c r="D5866" i="7"/>
  <c r="D5860" i="7"/>
  <c r="D5865" i="7"/>
  <c r="Y4750" i="7"/>
  <c r="Y4744" i="7"/>
  <c r="Y4745" i="7" s="1"/>
  <c r="Y4756" i="7"/>
  <c r="Y4757" i="7"/>
  <c r="Y4742" i="7"/>
  <c r="Y4752" i="7"/>
  <c r="Y4753" i="7" s="1"/>
  <c r="Y4743" i="7"/>
  <c r="Y4751" i="7"/>
  <c r="Y4755" i="7"/>
  <c r="Y4747" i="7"/>
  <c r="D5959" i="7"/>
  <c r="D5960" i="7"/>
  <c r="H5959" i="7"/>
  <c r="H5955" i="7"/>
  <c r="F5951" i="7"/>
  <c r="U5951" i="7" s="1"/>
  <c r="F5957" i="7"/>
  <c r="U5957" i="7" s="1"/>
  <c r="D5955" i="7"/>
  <c r="D5947" i="7"/>
  <c r="W5947" i="7" s="1"/>
  <c r="G5936" i="7"/>
  <c r="W5956" i="7" s="1"/>
  <c r="W5960" i="7" s="1"/>
  <c r="D5952" i="7"/>
  <c r="F5952" i="7"/>
  <c r="D5936" i="7"/>
  <c r="F5955" i="7"/>
  <c r="U5955" i="7" s="1"/>
  <c r="D5942" i="7"/>
  <c r="F5960" i="7"/>
  <c r="U5960" i="7" s="1"/>
  <c r="F5944" i="7"/>
  <c r="F5943" i="7"/>
  <c r="U5943" i="7" s="1"/>
  <c r="H5961" i="7"/>
  <c r="D5951" i="7"/>
  <c r="D5950" i="7"/>
  <c r="H5960" i="7"/>
  <c r="D5944" i="7"/>
  <c r="D5943" i="7"/>
  <c r="H5957" i="7"/>
  <c r="F5956" i="7"/>
  <c r="U5956" i="7" s="1"/>
  <c r="D5956" i="7"/>
  <c r="F5942" i="7"/>
  <c r="F5959" i="7"/>
  <c r="U5959" i="7" s="1"/>
  <c r="F5961" i="7"/>
  <c r="U5961" i="7" s="1"/>
  <c r="D5957" i="7"/>
  <c r="F5947" i="7"/>
  <c r="F5950" i="7"/>
  <c r="D5961" i="7"/>
  <c r="H5956" i="7"/>
  <c r="J4983" i="7"/>
  <c r="J4982" i="7"/>
  <c r="J4990" i="7" s="1"/>
  <c r="J4984" i="7"/>
  <c r="J4992" i="7" s="1"/>
  <c r="J4987" i="7"/>
  <c r="D154" i="24"/>
  <c r="D210" i="24"/>
  <c r="J5677" i="7"/>
  <c r="J5673" i="7"/>
  <c r="J5674" i="7"/>
  <c r="J5682" i="7" s="1"/>
  <c r="J5672" i="7"/>
  <c r="J5680" i="7" s="1"/>
  <c r="D4496" i="7"/>
  <c r="F4511" i="7"/>
  <c r="U4511" i="7" s="1"/>
  <c r="D4517" i="7"/>
  <c r="G4496" i="7"/>
  <c r="H4521" i="7"/>
  <c r="H4516" i="7"/>
  <c r="F4521" i="7"/>
  <c r="U4521" i="7" s="1"/>
  <c r="F4503" i="7"/>
  <c r="U4503" i="7" s="1"/>
  <c r="D4516" i="7"/>
  <c r="D4512" i="7"/>
  <c r="F4512" i="7"/>
  <c r="H4515" i="7"/>
  <c r="H4517" i="7"/>
  <c r="F4515" i="7"/>
  <c r="U4515" i="7" s="1"/>
  <c r="F4516" i="7"/>
  <c r="U4516" i="7" s="1"/>
  <c r="D4503" i="7"/>
  <c r="H4519" i="7"/>
  <c r="F4507" i="7"/>
  <c r="D4519" i="7"/>
  <c r="D4502" i="7"/>
  <c r="D4510" i="7"/>
  <c r="F4510" i="7"/>
  <c r="F4520" i="7"/>
  <c r="U4520" i="7" s="1"/>
  <c r="D4507" i="7"/>
  <c r="W4507" i="7" s="1"/>
  <c r="D4511" i="7"/>
  <c r="D4521" i="7"/>
  <c r="F4517" i="7"/>
  <c r="U4517" i="7" s="1"/>
  <c r="D4515" i="7"/>
  <c r="F4519" i="7"/>
  <c r="U4519" i="7" s="1"/>
  <c r="D4504" i="7"/>
  <c r="F4504" i="7"/>
  <c r="H4520" i="7"/>
  <c r="F4502" i="7"/>
  <c r="D4520" i="7"/>
  <c r="D5655" i="7"/>
  <c r="D5644" i="7"/>
  <c r="F5647" i="7"/>
  <c r="F5644" i="7"/>
  <c r="F5650" i="7"/>
  <c r="D5651" i="7"/>
  <c r="F5660" i="7"/>
  <c r="U5660" i="7" s="1"/>
  <c r="F5655" i="7"/>
  <c r="U5655" i="7" s="1"/>
  <c r="F5651" i="7"/>
  <c r="U5651" i="7" s="1"/>
  <c r="D5657" i="7"/>
  <c r="D5647" i="7"/>
  <c r="W5647" i="7" s="1"/>
  <c r="D5650" i="7"/>
  <c r="F5656" i="7"/>
  <c r="U5656" i="7" s="1"/>
  <c r="F5661" i="7"/>
  <c r="U5661" i="7" s="1"/>
  <c r="G5636" i="7"/>
  <c r="D5661" i="7"/>
  <c r="D5652" i="7"/>
  <c r="F5652" i="7"/>
  <c r="H5657" i="7"/>
  <c r="F5657" i="7"/>
  <c r="U5657" i="7" s="1"/>
  <c r="F5643" i="7"/>
  <c r="U5643" i="7" s="1"/>
  <c r="H5656" i="7"/>
  <c r="D5643" i="7"/>
  <c r="D5636" i="7"/>
  <c r="H5660" i="7"/>
  <c r="F5642" i="7"/>
  <c r="F5659" i="7"/>
  <c r="U5659" i="7" s="1"/>
  <c r="D5642" i="7"/>
  <c r="H5661" i="7"/>
  <c r="D5660" i="7"/>
  <c r="H5659" i="7"/>
  <c r="D5656" i="7"/>
  <c r="D5659" i="7"/>
  <c r="H5655" i="7"/>
  <c r="J5612" i="7"/>
  <c r="J5620" i="7" s="1"/>
  <c r="J5614" i="7"/>
  <c r="J5622" i="7" s="1"/>
  <c r="J5617" i="7"/>
  <c r="J5613" i="7"/>
  <c r="J4687" i="7"/>
  <c r="J4684" i="7"/>
  <c r="J4692" i="7" s="1"/>
  <c r="J4682" i="7"/>
  <c r="J4690" i="7" s="1"/>
  <c r="J4683" i="7"/>
  <c r="F5561" i="7"/>
  <c r="U5561" i="7" s="1"/>
  <c r="F5570" i="7"/>
  <c r="U5570" i="7" s="1"/>
  <c r="F5562" i="7"/>
  <c r="D5554" i="7"/>
  <c r="F5571" i="7"/>
  <c r="U5571" i="7" s="1"/>
  <c r="D5570" i="7"/>
  <c r="D5571" i="7"/>
  <c r="F5553" i="7"/>
  <c r="U5553" i="7" s="1"/>
  <c r="F5560" i="7"/>
  <c r="F5557" i="7"/>
  <c r="D5562" i="7"/>
  <c r="D5557" i="7"/>
  <c r="W5557" i="7" s="1"/>
  <c r="F5554" i="7"/>
  <c r="H5567" i="7"/>
  <c r="F5567" i="7"/>
  <c r="U5567" i="7" s="1"/>
  <c r="F5569" i="7"/>
  <c r="U5569" i="7" s="1"/>
  <c r="D5566" i="7"/>
  <c r="G5546" i="7"/>
  <c r="H5566" i="7"/>
  <c r="H5569" i="7"/>
  <c r="D5553" i="7"/>
  <c r="H5570" i="7"/>
  <c r="D5569" i="7"/>
  <c r="D5552" i="7"/>
  <c r="D5560" i="7"/>
  <c r="F5566" i="7"/>
  <c r="U5566" i="7" s="1"/>
  <c r="H5571" i="7"/>
  <c r="F5565" i="7"/>
  <c r="U5565" i="7" s="1"/>
  <c r="H5565" i="7"/>
  <c r="D5565" i="7"/>
  <c r="D5546" i="7"/>
  <c r="F5552" i="7"/>
  <c r="D5561" i="7"/>
  <c r="D5567" i="7"/>
  <c r="J5043" i="7"/>
  <c r="J5042" i="7"/>
  <c r="J5050" i="7" s="1"/>
  <c r="J5047" i="7"/>
  <c r="J5044" i="7"/>
  <c r="J5052" i="7" s="1"/>
  <c r="H4369" i="7"/>
  <c r="F4361" i="7"/>
  <c r="U4361" i="7" s="1"/>
  <c r="D4346" i="7"/>
  <c r="H4365" i="7"/>
  <c r="F4353" i="7"/>
  <c r="U4353" i="7" s="1"/>
  <c r="F4371" i="7"/>
  <c r="U4371" i="7" s="1"/>
  <c r="F4369" i="7"/>
  <c r="U4369" i="7" s="1"/>
  <c r="F4366" i="7"/>
  <c r="U4366" i="7" s="1"/>
  <c r="F4365" i="7"/>
  <c r="U4365" i="7" s="1"/>
  <c r="D4370" i="7"/>
  <c r="F4352" i="7"/>
  <c r="D4352" i="7"/>
  <c r="D4353" i="7"/>
  <c r="D4362" i="7"/>
  <c r="H4371" i="7"/>
  <c r="D4366" i="7"/>
  <c r="D4361" i="7"/>
  <c r="H4370" i="7"/>
  <c r="D4360" i="7"/>
  <c r="H4366" i="7"/>
  <c r="F4362" i="7"/>
  <c r="D4354" i="7"/>
  <c r="F4370" i="7"/>
  <c r="U4370" i="7" s="1"/>
  <c r="F4367" i="7"/>
  <c r="U4367" i="7" s="1"/>
  <c r="F4360" i="7"/>
  <c r="D4369" i="7"/>
  <c r="F4357" i="7"/>
  <c r="H4367" i="7"/>
  <c r="D4357" i="7"/>
  <c r="W4357" i="7" s="1"/>
  <c r="G4346" i="7"/>
  <c r="W4367" i="7" s="1"/>
  <c r="W4371" i="7" s="1"/>
  <c r="D4365" i="7"/>
  <c r="D4367" i="7"/>
  <c r="D4371" i="7"/>
  <c r="F4354" i="7"/>
  <c r="D4579" i="7"/>
  <c r="D4577" i="7"/>
  <c r="H4577" i="7"/>
  <c r="H4580" i="7"/>
  <c r="H4579" i="7"/>
  <c r="D4563" i="7"/>
  <c r="F4563" i="7"/>
  <c r="U4563" i="7" s="1"/>
  <c r="H4575" i="7"/>
  <c r="H4576" i="7"/>
  <c r="F4562" i="7"/>
  <c r="D4567" i="7"/>
  <c r="W4567" i="7" s="1"/>
  <c r="D4572" i="7"/>
  <c r="F4581" i="7"/>
  <c r="U4581" i="7" s="1"/>
  <c r="G4556" i="7"/>
  <c r="F4576" i="7"/>
  <c r="U4576" i="7" s="1"/>
  <c r="F4577" i="7"/>
  <c r="U4577" i="7" s="1"/>
  <c r="F4579" i="7"/>
  <c r="U4579" i="7" s="1"/>
  <c r="F4570" i="7"/>
  <c r="F4575" i="7"/>
  <c r="U4575" i="7" s="1"/>
  <c r="D4556" i="7"/>
  <c r="F4572" i="7"/>
  <c r="F4567" i="7"/>
  <c r="H4581" i="7"/>
  <c r="D4570" i="7"/>
  <c r="D4580" i="7"/>
  <c r="F4571" i="7"/>
  <c r="U4571" i="7" s="1"/>
  <c r="D4576" i="7"/>
  <c r="D4571" i="7"/>
  <c r="D4575" i="7"/>
  <c r="D4562" i="7"/>
  <c r="F4564" i="7"/>
  <c r="F4580" i="7"/>
  <c r="U4580" i="7" s="1"/>
  <c r="D4564" i="7"/>
  <c r="D4581" i="7"/>
  <c r="Y5921" i="7"/>
  <c r="Y5927" i="7"/>
  <c r="Y5922" i="7"/>
  <c r="Y5923" i="7" s="1"/>
  <c r="Y5925" i="7"/>
  <c r="Y5917" i="7"/>
  <c r="Y5926" i="7"/>
  <c r="Y5912" i="7"/>
  <c r="Y5914" i="7"/>
  <c r="Y5915" i="7" s="1"/>
  <c r="Y5913" i="7"/>
  <c r="Y5920" i="7"/>
  <c r="F4937" i="7"/>
  <c r="U4937" i="7" s="1"/>
  <c r="D4931" i="7"/>
  <c r="D4927" i="7"/>
  <c r="W4927" i="7" s="1"/>
  <c r="G4916" i="7"/>
  <c r="D4916" i="7"/>
  <c r="D4922" i="7"/>
  <c r="D4940" i="7"/>
  <c r="H4941" i="7"/>
  <c r="F4931" i="7"/>
  <c r="U4931" i="7" s="1"/>
  <c r="F4935" i="7"/>
  <c r="U4935" i="7" s="1"/>
  <c r="F4932" i="7"/>
  <c r="D4939" i="7"/>
  <c r="H4940" i="7"/>
  <c r="F4930" i="7"/>
  <c r="F4924" i="7"/>
  <c r="D4924" i="7"/>
  <c r="F4936" i="7"/>
  <c r="U4936" i="7" s="1"/>
  <c r="F4927" i="7"/>
  <c r="F4940" i="7"/>
  <c r="U4940" i="7" s="1"/>
  <c r="D4930" i="7"/>
  <c r="D4937" i="7"/>
  <c r="D4941" i="7"/>
  <c r="F4939" i="7"/>
  <c r="U4939" i="7" s="1"/>
  <c r="F4941" i="7"/>
  <c r="U4941" i="7" s="1"/>
  <c r="D4932" i="7"/>
  <c r="D4935" i="7"/>
  <c r="F4922" i="7"/>
  <c r="D4923" i="7"/>
  <c r="D4936" i="7"/>
  <c r="H4939" i="7"/>
  <c r="F4923" i="7"/>
  <c r="U4923" i="7" s="1"/>
  <c r="H4935" i="7"/>
  <c r="H4936" i="7"/>
  <c r="H4937" i="7"/>
  <c r="H5510" i="7"/>
  <c r="F5492" i="7"/>
  <c r="F5510" i="7"/>
  <c r="U5510" i="7" s="1"/>
  <c r="F5493" i="7"/>
  <c r="U5493" i="7" s="1"/>
  <c r="F5505" i="7"/>
  <c r="U5505" i="7" s="1"/>
  <c r="F5497" i="7"/>
  <c r="D5502" i="7"/>
  <c r="D5497" i="7"/>
  <c r="W5497" i="7" s="1"/>
  <c r="F5509" i="7"/>
  <c r="U5509" i="7" s="1"/>
  <c r="D5494" i="7"/>
  <c r="H5509" i="7"/>
  <c r="D5500" i="7"/>
  <c r="H5511" i="7"/>
  <c r="H5505" i="7"/>
  <c r="D5501" i="7"/>
  <c r="D5492" i="7"/>
  <c r="F5502" i="7"/>
  <c r="D5486" i="7"/>
  <c r="F5507" i="7"/>
  <c r="U5507" i="7" s="1"/>
  <c r="G5486" i="7"/>
  <c r="F5494" i="7"/>
  <c r="D5507" i="7"/>
  <c r="F5511" i="7"/>
  <c r="U5511" i="7" s="1"/>
  <c r="D5505" i="7"/>
  <c r="H5507" i="7"/>
  <c r="F5500" i="7"/>
  <c r="H5506" i="7"/>
  <c r="D5509" i="7"/>
  <c r="D5511" i="7"/>
  <c r="D5510" i="7"/>
  <c r="F5506" i="7"/>
  <c r="U5506" i="7" s="1"/>
  <c r="D5493" i="7"/>
  <c r="D5506" i="7"/>
  <c r="F5501" i="7"/>
  <c r="U5501" i="7" s="1"/>
  <c r="D5741" i="7"/>
  <c r="H5750" i="7"/>
  <c r="D5749" i="7"/>
  <c r="D5751" i="7"/>
  <c r="F5740" i="7"/>
  <c r="G5726" i="7"/>
  <c r="D5740" i="7"/>
  <c r="D5742" i="7"/>
  <c r="F5741" i="7"/>
  <c r="U5741" i="7" s="1"/>
  <c r="F5750" i="7"/>
  <c r="U5750" i="7" s="1"/>
  <c r="F5751" i="7"/>
  <c r="U5751" i="7" s="1"/>
  <c r="D5750" i="7"/>
  <c r="H5746" i="7"/>
  <c r="D5726" i="7"/>
  <c r="F5734" i="7"/>
  <c r="H5747" i="7"/>
  <c r="F5749" i="7"/>
  <c r="U5749" i="7" s="1"/>
  <c r="D5746" i="7"/>
  <c r="F5733" i="7"/>
  <c r="U5733" i="7" s="1"/>
  <c r="D5737" i="7"/>
  <c r="W5737" i="7" s="1"/>
  <c r="F5745" i="7"/>
  <c r="U5745" i="7" s="1"/>
  <c r="F5746" i="7"/>
  <c r="U5746" i="7" s="1"/>
  <c r="D5747" i="7"/>
  <c r="F5737" i="7"/>
  <c r="F5732" i="7"/>
  <c r="H5751" i="7"/>
  <c r="F5742" i="7"/>
  <c r="D5734" i="7"/>
  <c r="F5747" i="7"/>
  <c r="U5747" i="7" s="1"/>
  <c r="H5749" i="7"/>
  <c r="H5745" i="7"/>
  <c r="D5733" i="7"/>
  <c r="D5745" i="7"/>
  <c r="D5732" i="7"/>
  <c r="D4851" i="7"/>
  <c r="F4846" i="7"/>
  <c r="U4846" i="7" s="1"/>
  <c r="F4840" i="7"/>
  <c r="F4850" i="7"/>
  <c r="U4850" i="7" s="1"/>
  <c r="H4849" i="7"/>
  <c r="D4833" i="7"/>
  <c r="D4847" i="7"/>
  <c r="H4851" i="7"/>
  <c r="H4847" i="7"/>
  <c r="F4833" i="7"/>
  <c r="U4833" i="7" s="1"/>
  <c r="D4846" i="7"/>
  <c r="F4849" i="7"/>
  <c r="U4849" i="7" s="1"/>
  <c r="D4840" i="7"/>
  <c r="D4826" i="7"/>
  <c r="H4845" i="7"/>
  <c r="D4841" i="7"/>
  <c r="D4845" i="7"/>
  <c r="H4846" i="7"/>
  <c r="D4837" i="7"/>
  <c r="W4837" i="7" s="1"/>
  <c r="F4834" i="7"/>
  <c r="F4832" i="7"/>
  <c r="D4834" i="7"/>
  <c r="D4850" i="7"/>
  <c r="D4849" i="7"/>
  <c r="F4847" i="7"/>
  <c r="U4847" i="7" s="1"/>
  <c r="H4850" i="7"/>
  <c r="F4845" i="7"/>
  <c r="U4845" i="7" s="1"/>
  <c r="D4832" i="7"/>
  <c r="F4851" i="7"/>
  <c r="U4851" i="7" s="1"/>
  <c r="F4837" i="7"/>
  <c r="F4842" i="7"/>
  <c r="G4826" i="7"/>
  <c r="W4847" i="7" s="1"/>
  <c r="W4851" i="7" s="1"/>
  <c r="F4841" i="7"/>
  <c r="U4841" i="7" s="1"/>
  <c r="D4842" i="7"/>
  <c r="J4712" i="7"/>
  <c r="J4720" i="7" s="1"/>
  <c r="J4714" i="7"/>
  <c r="J4722" i="7" s="1"/>
  <c r="J4713" i="7"/>
  <c r="J4717" i="7"/>
  <c r="J4323" i="7"/>
  <c r="J4322" i="7"/>
  <c r="J4330" i="7" s="1"/>
  <c r="J4327" i="7"/>
  <c r="J4324" i="7"/>
  <c r="J4332" i="7" s="1"/>
  <c r="J5793" i="7"/>
  <c r="J5792" i="7"/>
  <c r="J5800" i="7" s="1"/>
  <c r="J5794" i="7"/>
  <c r="J5802" i="7" s="1"/>
  <c r="J5797" i="7"/>
  <c r="AH155" i="24"/>
  <c r="K155" i="24" s="1"/>
  <c r="J4957" i="7"/>
  <c r="J4954" i="7"/>
  <c r="J4962" i="7" s="1"/>
  <c r="J4952" i="7"/>
  <c r="J4960" i="7" s="1"/>
  <c r="J4953" i="7"/>
  <c r="F5772" i="7"/>
  <c r="H5779" i="7"/>
  <c r="F5764" i="7"/>
  <c r="F5763" i="7"/>
  <c r="U5763" i="7" s="1"/>
  <c r="F5779" i="7"/>
  <c r="U5779" i="7" s="1"/>
  <c r="H5780" i="7"/>
  <c r="D5771" i="7"/>
  <c r="D5775" i="7"/>
  <c r="H5777" i="7"/>
  <c r="F5767" i="7"/>
  <c r="D5764" i="7"/>
  <c r="D5756" i="7"/>
  <c r="F5762" i="7"/>
  <c r="H5781" i="7"/>
  <c r="F5780" i="7"/>
  <c r="U5780" i="7" s="1"/>
  <c r="D5767" i="7"/>
  <c r="W5767" i="7" s="1"/>
  <c r="D5779" i="7"/>
  <c r="D5781" i="7"/>
  <c r="F5775" i="7"/>
  <c r="U5775" i="7" s="1"/>
  <c r="D5763" i="7"/>
  <c r="D5777" i="7"/>
  <c r="D5772" i="7"/>
  <c r="F5771" i="7"/>
  <c r="U5771" i="7" s="1"/>
  <c r="F5777" i="7"/>
  <c r="U5777" i="7" s="1"/>
  <c r="D5780" i="7"/>
  <c r="H5776" i="7"/>
  <c r="F5776" i="7"/>
  <c r="U5776" i="7" s="1"/>
  <c r="D5776" i="7"/>
  <c r="D5770" i="7"/>
  <c r="G5756" i="7"/>
  <c r="H5775" i="7"/>
  <c r="D5762" i="7"/>
  <c r="F5770" i="7"/>
  <c r="F5781" i="7"/>
  <c r="U5781" i="7" s="1"/>
  <c r="F6012" i="7"/>
  <c r="D6021" i="7"/>
  <c r="D6004" i="7"/>
  <c r="F6016" i="7"/>
  <c r="U6016" i="7" s="1"/>
  <c r="F6010" i="7"/>
  <c r="F6011" i="7"/>
  <c r="U6011" i="7" s="1"/>
  <c r="D6010" i="7"/>
  <c r="H6016" i="7"/>
  <c r="H6017" i="7"/>
  <c r="H6015" i="7"/>
  <c r="F6004" i="7"/>
  <c r="D6011" i="7"/>
  <c r="G5996" i="7"/>
  <c r="D6012" i="7"/>
  <c r="H6020" i="7"/>
  <c r="F6020" i="7"/>
  <c r="U6020" i="7" s="1"/>
  <c r="F6015" i="7"/>
  <c r="U6015" i="7" s="1"/>
  <c r="F6017" i="7"/>
  <c r="U6017" i="7" s="1"/>
  <c r="D6003" i="7"/>
  <c r="D6007" i="7"/>
  <c r="W6007" i="7" s="1"/>
  <c r="D6015" i="7"/>
  <c r="F6002" i="7"/>
  <c r="F6019" i="7"/>
  <c r="U6019" i="7" s="1"/>
  <c r="F6021" i="7"/>
  <c r="U6021" i="7" s="1"/>
  <c r="F6007" i="7"/>
  <c r="H6019" i="7"/>
  <c r="D6002" i="7"/>
  <c r="D6020" i="7"/>
  <c r="D6019" i="7"/>
  <c r="F6003" i="7"/>
  <c r="U6003" i="7" s="1"/>
  <c r="D6017" i="7"/>
  <c r="D5996" i="7"/>
  <c r="H6021" i="7"/>
  <c r="D6016" i="7"/>
  <c r="F4803" i="7"/>
  <c r="U4803" i="7" s="1"/>
  <c r="D4796" i="7"/>
  <c r="F4802" i="7"/>
  <c r="F4810" i="7"/>
  <c r="F4811" i="7"/>
  <c r="U4811" i="7" s="1"/>
  <c r="D4807" i="7"/>
  <c r="W4807" i="7" s="1"/>
  <c r="F4807" i="7"/>
  <c r="D4816" i="7"/>
  <c r="H4817" i="7"/>
  <c r="F4812" i="7"/>
  <c r="D4817" i="7"/>
  <c r="D4820" i="7"/>
  <c r="H4816" i="7"/>
  <c r="F4816" i="7"/>
  <c r="U4816" i="7" s="1"/>
  <c r="F4820" i="7"/>
  <c r="U4820" i="7" s="1"/>
  <c r="D4811" i="7"/>
  <c r="F4817" i="7"/>
  <c r="U4817" i="7" s="1"/>
  <c r="D4812" i="7"/>
  <c r="H4819" i="7"/>
  <c r="F4819" i="7"/>
  <c r="U4819" i="7" s="1"/>
  <c r="D4803" i="7"/>
  <c r="H4820" i="7"/>
  <c r="H4815" i="7"/>
  <c r="D4810" i="7"/>
  <c r="D4804" i="7"/>
  <c r="D4821" i="7"/>
  <c r="D4802" i="7"/>
  <c r="F4804" i="7"/>
  <c r="H4821" i="7"/>
  <c r="F4815" i="7"/>
  <c r="U4815" i="7" s="1"/>
  <c r="G4796" i="7"/>
  <c r="D4819" i="7"/>
  <c r="F4821" i="7"/>
  <c r="U4821" i="7" s="1"/>
  <c r="D4815" i="7"/>
  <c r="D5410" i="7"/>
  <c r="F5415" i="7"/>
  <c r="U5415" i="7" s="1"/>
  <c r="F5407" i="7"/>
  <c r="D5420" i="7"/>
  <c r="D5407" i="7"/>
  <c r="W5407" i="7" s="1"/>
  <c r="D5403" i="7"/>
  <c r="F5419" i="7"/>
  <c r="U5419" i="7" s="1"/>
  <c r="D5416" i="7"/>
  <c r="F5402" i="7"/>
  <c r="D5415" i="7"/>
  <c r="D5396" i="7"/>
  <c r="D5412" i="7"/>
  <c r="G5396" i="7"/>
  <c r="F5403" i="7"/>
  <c r="U5403" i="7" s="1"/>
  <c r="H5419" i="7"/>
  <c r="D5419" i="7"/>
  <c r="F5416" i="7"/>
  <c r="U5416" i="7" s="1"/>
  <c r="H5420" i="7"/>
  <c r="H5417" i="7"/>
  <c r="F5411" i="7"/>
  <c r="U5411" i="7" s="1"/>
  <c r="D5404" i="7"/>
  <c r="F5420" i="7"/>
  <c r="U5420" i="7" s="1"/>
  <c r="F5410" i="7"/>
  <c r="F5421" i="7"/>
  <c r="U5421" i="7" s="1"/>
  <c r="F5404" i="7"/>
  <c r="H5415" i="7"/>
  <c r="D5411" i="7"/>
  <c r="D5417" i="7"/>
  <c r="D5402" i="7"/>
  <c r="H5416" i="7"/>
  <c r="D5421" i="7"/>
  <c r="H5421" i="7"/>
  <c r="F5417" i="7"/>
  <c r="U5417" i="7" s="1"/>
  <c r="F5412" i="7"/>
  <c r="Y6072" i="7"/>
  <c r="Y6073" i="7" s="1"/>
  <c r="Y6077" i="7"/>
  <c r="Y6071" i="7"/>
  <c r="Y6075" i="7"/>
  <c r="Y6070" i="7"/>
  <c r="Y6064" i="7"/>
  <c r="Y6065" i="7" s="1"/>
  <c r="Y6067" i="7"/>
  <c r="Y6076" i="7"/>
  <c r="Y6063" i="7"/>
  <c r="Y6062" i="7"/>
  <c r="H4876" i="7"/>
  <c r="D4862" i="7"/>
  <c r="D4867" i="7"/>
  <c r="W4867" i="7" s="1"/>
  <c r="F4879" i="7"/>
  <c r="U4879" i="7" s="1"/>
  <c r="D4880" i="7"/>
  <c r="F4872" i="7"/>
  <c r="D4864" i="7"/>
  <c r="H4880" i="7"/>
  <c r="D4879" i="7"/>
  <c r="H4877" i="7"/>
  <c r="F4881" i="7"/>
  <c r="U4881" i="7" s="1"/>
  <c r="D4881" i="7"/>
  <c r="D4877" i="7"/>
  <c r="D4875" i="7"/>
  <c r="F4867" i="7"/>
  <c r="F4863" i="7"/>
  <c r="U4863" i="7" s="1"/>
  <c r="D4863" i="7"/>
  <c r="D4871" i="7"/>
  <c r="H4875" i="7"/>
  <c r="H4881" i="7"/>
  <c r="F4862" i="7"/>
  <c r="F4870" i="7"/>
  <c r="D4856" i="7"/>
  <c r="F4876" i="7"/>
  <c r="U4876" i="7" s="1"/>
  <c r="D4876" i="7"/>
  <c r="D4872" i="7"/>
  <c r="F4871" i="7"/>
  <c r="U4871" i="7" s="1"/>
  <c r="F4877" i="7"/>
  <c r="U4877" i="7" s="1"/>
  <c r="F4875" i="7"/>
  <c r="U4875" i="7" s="1"/>
  <c r="G4856" i="7"/>
  <c r="D4870" i="7"/>
  <c r="F4864" i="7"/>
  <c r="H4879" i="7"/>
  <c r="F4880" i="7"/>
  <c r="U4880" i="7" s="1"/>
  <c r="J5072" i="7"/>
  <c r="J5080" i="7" s="1"/>
  <c r="J5077" i="7"/>
  <c r="J5074" i="7"/>
  <c r="J5082" i="7" s="1"/>
  <c r="J5073" i="7"/>
  <c r="Y4894" i="7"/>
  <c r="Y4895" i="7" s="1"/>
  <c r="Y4906" i="7"/>
  <c r="Y4907" i="7"/>
  <c r="Y4892" i="7"/>
  <c r="Y4905" i="7"/>
  <c r="Y4900" i="7"/>
  <c r="Y4897" i="7"/>
  <c r="Y4901" i="7"/>
  <c r="Y4893" i="7"/>
  <c r="Y4902" i="7"/>
  <c r="Y4903" i="7" s="1"/>
  <c r="J5284" i="7"/>
  <c r="J5292" i="7" s="1"/>
  <c r="J5287" i="7"/>
  <c r="J5282" i="7"/>
  <c r="J5290" i="7" s="1"/>
  <c r="J5283" i="7"/>
  <c r="F5167" i="7"/>
  <c r="F5177" i="7"/>
  <c r="U5177" i="7" s="1"/>
  <c r="F5180" i="7"/>
  <c r="U5180" i="7" s="1"/>
  <c r="D5163" i="7"/>
  <c r="F5164" i="7"/>
  <c r="D5179" i="7"/>
  <c r="D5167" i="7"/>
  <c r="W5167" i="7" s="1"/>
  <c r="D5164" i="7"/>
  <c r="F5181" i="7"/>
  <c r="U5181" i="7" s="1"/>
  <c r="D5170" i="7"/>
  <c r="D5176" i="7"/>
  <c r="F5163" i="7"/>
  <c r="U5163" i="7" s="1"/>
  <c r="F5175" i="7"/>
  <c r="U5175" i="7" s="1"/>
  <c r="F5171" i="7"/>
  <c r="U5171" i="7" s="1"/>
  <c r="G5156" i="7"/>
  <c r="W5176" i="7" s="1"/>
  <c r="W5180" i="7" s="1"/>
  <c r="H5176" i="7"/>
  <c r="D5171" i="7"/>
  <c r="H5179" i="7"/>
  <c r="D5172" i="7"/>
  <c r="H5180" i="7"/>
  <c r="D5177" i="7"/>
  <c r="D5180" i="7"/>
  <c r="F5176" i="7"/>
  <c r="U5176" i="7" s="1"/>
  <c r="D5175" i="7"/>
  <c r="H5177" i="7"/>
  <c r="D5156" i="7"/>
  <c r="D5181" i="7"/>
  <c r="D5162" i="7"/>
  <c r="F5179" i="7"/>
  <c r="U5179" i="7" s="1"/>
  <c r="F5170" i="7"/>
  <c r="H5181" i="7"/>
  <c r="H5175" i="7"/>
  <c r="F5172" i="7"/>
  <c r="F5162" i="7"/>
  <c r="Y5287" i="7"/>
  <c r="Y5292" i="7"/>
  <c r="Y5293" i="7" s="1"/>
  <c r="Y5295" i="7"/>
  <c r="Y5284" i="7"/>
  <c r="Y5285" i="7" s="1"/>
  <c r="Y5290" i="7"/>
  <c r="Y5283" i="7"/>
  <c r="Y5297" i="7"/>
  <c r="Y5296" i="7"/>
  <c r="Y5282" i="7"/>
  <c r="Y5291" i="7"/>
  <c r="Y5200" i="7"/>
  <c r="Y5206" i="7"/>
  <c r="Y5193" i="7"/>
  <c r="Y5201" i="7"/>
  <c r="Y5197" i="7"/>
  <c r="Y5205" i="7"/>
  <c r="Y5194" i="7"/>
  <c r="Y5195" i="7" s="1"/>
  <c r="Y5207" i="7"/>
  <c r="Y5192" i="7"/>
  <c r="Y5202" i="7"/>
  <c r="Y5203" i="7" s="1"/>
  <c r="J5827" i="7"/>
  <c r="J5824" i="7"/>
  <c r="J5832" i="7" s="1"/>
  <c r="J5823" i="7"/>
  <c r="J5822" i="7"/>
  <c r="J5830" i="7" s="1"/>
  <c r="Y5104" i="7"/>
  <c r="Y5105" i="7" s="1"/>
  <c r="Y5117" i="7"/>
  <c r="Y5110" i="7"/>
  <c r="Y5102" i="7"/>
  <c r="Y5115" i="7"/>
  <c r="Y5112" i="7"/>
  <c r="Y5113" i="7" s="1"/>
  <c r="Y5111" i="7"/>
  <c r="Y5116" i="7"/>
  <c r="Y5103" i="7"/>
  <c r="Y5107" i="7"/>
  <c r="F5601" i="7"/>
  <c r="U5601" i="7" s="1"/>
  <c r="H5601" i="7"/>
  <c r="F5596" i="7"/>
  <c r="U5596" i="7" s="1"/>
  <c r="D5596" i="7"/>
  <c r="H5599" i="7"/>
  <c r="D5584" i="7"/>
  <c r="D5591" i="7"/>
  <c r="H5600" i="7"/>
  <c r="D5576" i="7"/>
  <c r="D5597" i="7"/>
  <c r="D5601" i="7"/>
  <c r="H5595" i="7"/>
  <c r="F5582" i="7"/>
  <c r="D5590" i="7"/>
  <c r="F5599" i="7"/>
  <c r="U5599" i="7" s="1"/>
  <c r="D5599" i="7"/>
  <c r="F5591" i="7"/>
  <c r="U5591" i="7" s="1"/>
  <c r="D5583" i="7"/>
  <c r="F5592" i="7"/>
  <c r="D5592" i="7"/>
  <c r="D5582" i="7"/>
  <c r="H5596" i="7"/>
  <c r="F5590" i="7"/>
  <c r="G5576" i="7"/>
  <c r="F5584" i="7"/>
  <c r="H5597" i="7"/>
  <c r="F5587" i="7"/>
  <c r="D5587" i="7"/>
  <c r="W5587" i="7" s="1"/>
  <c r="D5600" i="7"/>
  <c r="F5583" i="7"/>
  <c r="U5583" i="7" s="1"/>
  <c r="F5597" i="7"/>
  <c r="U5597" i="7" s="1"/>
  <c r="F5595" i="7"/>
  <c r="U5595" i="7" s="1"/>
  <c r="F5600" i="7"/>
  <c r="U5600" i="7" s="1"/>
  <c r="D5595" i="7"/>
  <c r="Y4576" i="7"/>
  <c r="Y4572" i="7"/>
  <c r="Y4573" i="7" s="1"/>
  <c r="Y4564" i="7"/>
  <c r="Y4565" i="7" s="1"/>
  <c r="Y4571" i="7"/>
  <c r="Y4577" i="7"/>
  <c r="Y4563" i="7"/>
  <c r="Y4567" i="7"/>
  <c r="Y4562" i="7"/>
  <c r="Y4575" i="7"/>
  <c r="Y4570" i="7"/>
  <c r="J4444" i="7"/>
  <c r="J4452" i="7" s="1"/>
  <c r="J4442" i="7"/>
  <c r="J4450" i="7" s="1"/>
  <c r="J4443" i="7"/>
  <c r="J4447" i="7"/>
  <c r="Y4847" i="7"/>
  <c r="Y4834" i="7"/>
  <c r="Y4835" i="7" s="1"/>
  <c r="Y4837" i="7"/>
  <c r="Y4841" i="7"/>
  <c r="Y4840" i="7"/>
  <c r="Y4845" i="7"/>
  <c r="Y4842" i="7"/>
  <c r="Y4843" i="7" s="1"/>
  <c r="Y4832" i="7"/>
  <c r="Y4846" i="7"/>
  <c r="Y4833" i="7"/>
  <c r="Y5381" i="7"/>
  <c r="Y5380" i="7"/>
  <c r="Y5373" i="7"/>
  <c r="Y5372" i="7"/>
  <c r="Y5374" i="7"/>
  <c r="Y5375" i="7" s="1"/>
  <c r="Y5385" i="7"/>
  <c r="Y5387" i="7"/>
  <c r="Y5377" i="7"/>
  <c r="Y5386" i="7"/>
  <c r="Y5382" i="7"/>
  <c r="Y5383" i="7" s="1"/>
  <c r="Y4383" i="7"/>
  <c r="Y4392" i="7"/>
  <c r="Y4393" i="7" s="1"/>
  <c r="Y4395" i="7"/>
  <c r="Y4391" i="7"/>
  <c r="Y4397" i="7"/>
  <c r="Y4387" i="7"/>
  <c r="Y4384" i="7"/>
  <c r="Y4385" i="7" s="1"/>
  <c r="Y4382" i="7"/>
  <c r="Y4396" i="7"/>
  <c r="Y4390" i="7"/>
  <c r="Y5253" i="7"/>
  <c r="Y5257" i="7"/>
  <c r="Y5261" i="7"/>
  <c r="Y5262" i="7"/>
  <c r="Y5263" i="7" s="1"/>
  <c r="Y5260" i="7"/>
  <c r="Y5266" i="7"/>
  <c r="Y5265" i="7"/>
  <c r="Y5254" i="7"/>
  <c r="Y5255" i="7" s="1"/>
  <c r="Y5252" i="7"/>
  <c r="Y5267" i="7"/>
  <c r="D155" i="24"/>
  <c r="J5737" i="7"/>
  <c r="J5732" i="7"/>
  <c r="J5740" i="7" s="1"/>
  <c r="J5733" i="7"/>
  <c r="J5734" i="7"/>
  <c r="J5742" i="7" s="1"/>
  <c r="J5102" i="7"/>
  <c r="J5110" i="7" s="1"/>
  <c r="J5103" i="7"/>
  <c r="J5104" i="7"/>
  <c r="J5112" i="7" s="1"/>
  <c r="J5107" i="7"/>
  <c r="Y5402" i="7"/>
  <c r="Y5415" i="7"/>
  <c r="Y5416" i="7"/>
  <c r="Y5411" i="7"/>
  <c r="Y5417" i="7"/>
  <c r="Y5404" i="7"/>
  <c r="Y5405" i="7" s="1"/>
  <c r="Y5410" i="7"/>
  <c r="Y5403" i="7"/>
  <c r="Y5407" i="7"/>
  <c r="Y5412" i="7"/>
  <c r="Y5413" i="7" s="1"/>
  <c r="J5224" i="7"/>
  <c r="J5232" i="7" s="1"/>
  <c r="J5227" i="7"/>
  <c r="J5223" i="7"/>
  <c r="J5222" i="7"/>
  <c r="J5230" i="7" s="1"/>
  <c r="Y5977" i="7"/>
  <c r="Y5972" i="7"/>
  <c r="Y5986" i="7"/>
  <c r="Y5982" i="7"/>
  <c r="Y5983" i="7" s="1"/>
  <c r="Y5985" i="7"/>
  <c r="Y5987" i="7"/>
  <c r="Y5974" i="7"/>
  <c r="Y5975" i="7" s="1"/>
  <c r="Y5980" i="7"/>
  <c r="Y5973" i="7"/>
  <c r="Y5981" i="7"/>
  <c r="Y4592" i="7"/>
  <c r="Y4594" i="7"/>
  <c r="Y4595" i="7" s="1"/>
  <c r="Y4601" i="7"/>
  <c r="Y4600" i="7"/>
  <c r="Y4607" i="7"/>
  <c r="Y4597" i="7"/>
  <c r="Y4593" i="7"/>
  <c r="Y4602" i="7"/>
  <c r="Y4603" i="7" s="1"/>
  <c r="Y4606" i="7"/>
  <c r="Y4605" i="7"/>
  <c r="D5012" i="7"/>
  <c r="D5031" i="7"/>
  <c r="F5013" i="7"/>
  <c r="U5013" i="7" s="1"/>
  <c r="D5017" i="7"/>
  <c r="W5017" i="7" s="1"/>
  <c r="F5014" i="7"/>
  <c r="H5031" i="7"/>
  <c r="H5026" i="7"/>
  <c r="F5022" i="7"/>
  <c r="D5020" i="7"/>
  <c r="H5029" i="7"/>
  <c r="H5027" i="7"/>
  <c r="D5013" i="7"/>
  <c r="H5030" i="7"/>
  <c r="F5031" i="7"/>
  <c r="U5031" i="7" s="1"/>
  <c r="D5029" i="7"/>
  <c r="D5027" i="7"/>
  <c r="F5027" i="7"/>
  <c r="U5027" i="7" s="1"/>
  <c r="H5025" i="7"/>
  <c r="F5025" i="7"/>
  <c r="U5025" i="7" s="1"/>
  <c r="F5017" i="7"/>
  <c r="D5025" i="7"/>
  <c r="G5006" i="7"/>
  <c r="W5027" i="7" s="1"/>
  <c r="W5031" i="7" s="1"/>
  <c r="D5021" i="7"/>
  <c r="D5030" i="7"/>
  <c r="D5006" i="7"/>
  <c r="F5012" i="7"/>
  <c r="F5029" i="7"/>
  <c r="U5029" i="7" s="1"/>
  <c r="F5020" i="7"/>
  <c r="D5014" i="7"/>
  <c r="F5030" i="7"/>
  <c r="U5030" i="7" s="1"/>
  <c r="F5021" i="7"/>
  <c r="U5021" i="7" s="1"/>
  <c r="D5022" i="7"/>
  <c r="F5026" i="7"/>
  <c r="U5026" i="7" s="1"/>
  <c r="D5026" i="7"/>
  <c r="J5647" i="7"/>
  <c r="J5642" i="7"/>
  <c r="J5650" i="7" s="1"/>
  <c r="J5643" i="7"/>
  <c r="J5644" i="7"/>
  <c r="J5652" i="7" s="1"/>
  <c r="J5492" i="7"/>
  <c r="J5500" i="7" s="1"/>
  <c r="J5494" i="7"/>
  <c r="J5502" i="7" s="1"/>
  <c r="J5493" i="7"/>
  <c r="J5497" i="7"/>
  <c r="J4297" i="7"/>
  <c r="J4292" i="7"/>
  <c r="J4300" i="7" s="1"/>
  <c r="J4293" i="7"/>
  <c r="J4294" i="7"/>
  <c r="J4302" i="7" s="1"/>
  <c r="Y4923" i="7"/>
  <c r="Y4927" i="7"/>
  <c r="Y4931" i="7"/>
  <c r="Y4937" i="7"/>
  <c r="Y4922" i="7"/>
  <c r="Y4924" i="7"/>
  <c r="Y4925" i="7" s="1"/>
  <c r="Y4930" i="7"/>
  <c r="Y4936" i="7"/>
  <c r="Y4935" i="7"/>
  <c r="Y4932" i="7"/>
  <c r="Y4933" i="7" s="1"/>
  <c r="Y5565" i="7"/>
  <c r="Y5560" i="7"/>
  <c r="Y5553" i="7"/>
  <c r="Y5552" i="7"/>
  <c r="Y5567" i="7"/>
  <c r="Y5561" i="7"/>
  <c r="Y5557" i="7"/>
  <c r="Y5562" i="7"/>
  <c r="Y5563" i="7" s="1"/>
  <c r="Y5554" i="7"/>
  <c r="Y5555" i="7" s="1"/>
  <c r="Y5566" i="7"/>
  <c r="Y5497" i="7"/>
  <c r="Y5494" i="7"/>
  <c r="Y5495" i="7" s="1"/>
  <c r="Y5502" i="7"/>
  <c r="Y5503" i="7" s="1"/>
  <c r="Y5501" i="7"/>
  <c r="Y5500" i="7"/>
  <c r="Y5492" i="7"/>
  <c r="Y5507" i="7"/>
  <c r="Y5493" i="7"/>
  <c r="Y5506" i="7"/>
  <c r="Y5505" i="7"/>
  <c r="Y4872" i="7"/>
  <c r="Y4873" i="7" s="1"/>
  <c r="Y4875" i="7"/>
  <c r="Y4877" i="7"/>
  <c r="Y4867" i="7"/>
  <c r="Y4864" i="7"/>
  <c r="Y4865" i="7" s="1"/>
  <c r="Y4863" i="7"/>
  <c r="Y4870" i="7"/>
  <c r="Y4871" i="7"/>
  <c r="Y4862" i="7"/>
  <c r="Y4876" i="7"/>
  <c r="J4384" i="7"/>
  <c r="J4392" i="7" s="1"/>
  <c r="J4382" i="7"/>
  <c r="J4390" i="7" s="1"/>
  <c r="J4383" i="7"/>
  <c r="J4387" i="7"/>
  <c r="F4700" i="7"/>
  <c r="U4700" i="7" s="1"/>
  <c r="F4696" i="7"/>
  <c r="U4696" i="7" s="1"/>
  <c r="D4699" i="7"/>
  <c r="D4695" i="7"/>
  <c r="F4692" i="7"/>
  <c r="D4691" i="7"/>
  <c r="D4696" i="7"/>
  <c r="D4700" i="7"/>
  <c r="F4682" i="7"/>
  <c r="F4684" i="7"/>
  <c r="H4697" i="7"/>
  <c r="G4676" i="7"/>
  <c r="F4690" i="7"/>
  <c r="F4697" i="7"/>
  <c r="U4697" i="7" s="1"/>
  <c r="H4696" i="7"/>
  <c r="F4695" i="7"/>
  <c r="U4695" i="7" s="1"/>
  <c r="F4687" i="7"/>
  <c r="D4676" i="7"/>
  <c r="F4683" i="7"/>
  <c r="U4683" i="7" s="1"/>
  <c r="D4697" i="7"/>
  <c r="F4691" i="7"/>
  <c r="U4691" i="7" s="1"/>
  <c r="D4683" i="7"/>
  <c r="D4687" i="7"/>
  <c r="W4687" i="7" s="1"/>
  <c r="D4692" i="7"/>
  <c r="H4700" i="7"/>
  <c r="H4701" i="7"/>
  <c r="H4699" i="7"/>
  <c r="F4699" i="7"/>
  <c r="U4699" i="7" s="1"/>
  <c r="H4695" i="7"/>
  <c r="D4682" i="7"/>
  <c r="D4701" i="7"/>
  <c r="D4684" i="7"/>
  <c r="D4690" i="7"/>
  <c r="F4701" i="7"/>
  <c r="U4701" i="7" s="1"/>
  <c r="J5857" i="7"/>
  <c r="J5852" i="7"/>
  <c r="J5860" i="7" s="1"/>
  <c r="J5853" i="7"/>
  <c r="J5854" i="7"/>
  <c r="J5862" i="7" s="1"/>
  <c r="Y5955" i="7"/>
  <c r="Y5956" i="7"/>
  <c r="Y5951" i="7"/>
  <c r="Y5947" i="7"/>
  <c r="Y5950" i="7"/>
  <c r="Y5944" i="7"/>
  <c r="Y5945" i="7" s="1"/>
  <c r="Y5957" i="7"/>
  <c r="Y5943" i="7"/>
  <c r="Y5952" i="7"/>
  <c r="Y5953" i="7" s="1"/>
  <c r="Y5942" i="7"/>
  <c r="F4727" i="7"/>
  <c r="U4727" i="7" s="1"/>
  <c r="F4729" i="7"/>
  <c r="U4729" i="7" s="1"/>
  <c r="H4725" i="7"/>
  <c r="F4714" i="7"/>
  <c r="D4725" i="7"/>
  <c r="F4721" i="7"/>
  <c r="U4721" i="7" s="1"/>
  <c r="H4730" i="7"/>
  <c r="F4726" i="7"/>
  <c r="U4726" i="7" s="1"/>
  <c r="D4717" i="7"/>
  <c r="W4717" i="7" s="1"/>
  <c r="H4727" i="7"/>
  <c r="G4706" i="7"/>
  <c r="D4727" i="7"/>
  <c r="F4712" i="7"/>
  <c r="F4720" i="7"/>
  <c r="F4717" i="7"/>
  <c r="D4713" i="7"/>
  <c r="F4713" i="7"/>
  <c r="U4713" i="7" s="1"/>
  <c r="D4730" i="7"/>
  <c r="D4729" i="7"/>
  <c r="F4725" i="7"/>
  <c r="U4725" i="7" s="1"/>
  <c r="D4731" i="7"/>
  <c r="H4729" i="7"/>
  <c r="D4722" i="7"/>
  <c r="D4720" i="7"/>
  <c r="D4714" i="7"/>
  <c r="H4726" i="7"/>
  <c r="F4730" i="7"/>
  <c r="U4730" i="7" s="1"/>
  <c r="D4726" i="7"/>
  <c r="F4722" i="7"/>
  <c r="D4712" i="7"/>
  <c r="H4731" i="7"/>
  <c r="D4721" i="7"/>
  <c r="F4731" i="7"/>
  <c r="U4731" i="7" s="1"/>
  <c r="D4706" i="7"/>
  <c r="Y5712" i="7"/>
  <c r="Y5713" i="7" s="1"/>
  <c r="Y5710" i="7"/>
  <c r="Y5707" i="7"/>
  <c r="Y5716" i="7"/>
  <c r="Y5703" i="7"/>
  <c r="Y5704" i="7"/>
  <c r="Y5705" i="7" s="1"/>
  <c r="Y5702" i="7"/>
  <c r="Y5715" i="7"/>
  <c r="Y5711" i="7"/>
  <c r="Y5717" i="7"/>
  <c r="Y5892" i="7"/>
  <c r="Y5893" i="7" s="1"/>
  <c r="Y5884" i="7"/>
  <c r="Y5885" i="7" s="1"/>
  <c r="Y5897" i="7"/>
  <c r="Y5887" i="7"/>
  <c r="Y5883" i="7"/>
  <c r="Y5882" i="7"/>
  <c r="Y5895" i="7"/>
  <c r="Y5890" i="7"/>
  <c r="Y5891" i="7"/>
  <c r="Y5896" i="7"/>
  <c r="J6034" i="7"/>
  <c r="J6042" i="7" s="1"/>
  <c r="J6032" i="7"/>
  <c r="J6040" i="7" s="1"/>
  <c r="J6037" i="7"/>
  <c r="J6033" i="7"/>
  <c r="Y6041" i="7"/>
  <c r="Y6045" i="7"/>
  <c r="Y6034" i="7"/>
  <c r="Y6035" i="7" s="1"/>
  <c r="Y6046" i="7"/>
  <c r="Y6047" i="7"/>
  <c r="Y6033" i="7"/>
  <c r="Y6037" i="7"/>
  <c r="Y6032" i="7"/>
  <c r="Y6042" i="7"/>
  <c r="Y6043" i="7" s="1"/>
  <c r="Y6040" i="7"/>
  <c r="J4897" i="7"/>
  <c r="J4894" i="7"/>
  <c r="J4902" i="7" s="1"/>
  <c r="J4893" i="7"/>
  <c r="J4892" i="7"/>
  <c r="J4900" i="7" s="1"/>
  <c r="Y5592" i="7"/>
  <c r="Y5593" i="7" s="1"/>
  <c r="Y5590" i="7"/>
  <c r="Y5597" i="7"/>
  <c r="Y5583" i="7"/>
  <c r="Y5587" i="7"/>
  <c r="Y5584" i="7"/>
  <c r="Y5585" i="7" s="1"/>
  <c r="Y5595" i="7"/>
  <c r="Y5582" i="7"/>
  <c r="Y5591" i="7"/>
  <c r="Y5596" i="7"/>
  <c r="D5205" i="7"/>
  <c r="D5197" i="7"/>
  <c r="W5197" i="7" s="1"/>
  <c r="D5202" i="7"/>
  <c r="D5194" i="7"/>
  <c r="F5193" i="7"/>
  <c r="U5193" i="7" s="1"/>
  <c r="F5200" i="7"/>
  <c r="D5186" i="7"/>
  <c r="H5206" i="7"/>
  <c r="D5192" i="7"/>
  <c r="F5210" i="7"/>
  <c r="U5210" i="7" s="1"/>
  <c r="H5207" i="7"/>
  <c r="F5197" i="7"/>
  <c r="D5201" i="7"/>
  <c r="H5209" i="7"/>
  <c r="F5211" i="7"/>
  <c r="U5211" i="7" s="1"/>
  <c r="H5205" i="7"/>
  <c r="F5206" i="7"/>
  <c r="U5206" i="7" s="1"/>
  <c r="D5206" i="7"/>
  <c r="F5194" i="7"/>
  <c r="H5211" i="7"/>
  <c r="F5192" i="7"/>
  <c r="D5209" i="7"/>
  <c r="F5207" i="7"/>
  <c r="U5207" i="7" s="1"/>
  <c r="D5207" i="7"/>
  <c r="G5186" i="7"/>
  <c r="D5193" i="7"/>
  <c r="F5209" i="7"/>
  <c r="U5209" i="7" s="1"/>
  <c r="D5210" i="7"/>
  <c r="F5205" i="7"/>
  <c r="U5205" i="7" s="1"/>
  <c r="H5210" i="7"/>
  <c r="D5211" i="7"/>
  <c r="D5200" i="7"/>
  <c r="F5201" i="7"/>
  <c r="U5201" i="7" s="1"/>
  <c r="F5202" i="7"/>
  <c r="J5767" i="7"/>
  <c r="J5762" i="7"/>
  <c r="J5770" i="7" s="1"/>
  <c r="J5763" i="7"/>
  <c r="J5764" i="7"/>
  <c r="J5772" i="7" s="1"/>
  <c r="Y4427" i="7"/>
  <c r="Y4417" i="7"/>
  <c r="Y4420" i="7"/>
  <c r="Y4425" i="7"/>
  <c r="Y4422" i="7"/>
  <c r="Y4423" i="7" s="1"/>
  <c r="Y4426" i="7"/>
  <c r="Y4421" i="7"/>
  <c r="Y4412" i="7"/>
  <c r="Y4414" i="7"/>
  <c r="Y4415" i="7" s="1"/>
  <c r="Y4413" i="7"/>
  <c r="Y5614" i="7"/>
  <c r="Y5615" i="7" s="1"/>
  <c r="Y5627" i="7"/>
  <c r="Y5625" i="7"/>
  <c r="Y5620" i="7"/>
  <c r="Y5622" i="7"/>
  <c r="Y5623" i="7" s="1"/>
  <c r="Y5613" i="7"/>
  <c r="Y5612" i="7"/>
  <c r="Y5617" i="7"/>
  <c r="Y5621" i="7"/>
  <c r="Y5626" i="7"/>
  <c r="Y5771" i="7"/>
  <c r="Y5777" i="7"/>
  <c r="Y5762" i="7"/>
  <c r="Y5767" i="7"/>
  <c r="Y5772" i="7"/>
  <c r="Y5773" i="7" s="1"/>
  <c r="Y5770" i="7"/>
  <c r="Y5763" i="7"/>
  <c r="Y5776" i="7"/>
  <c r="Y5764" i="7"/>
  <c r="Y5765" i="7" s="1"/>
  <c r="Y5775" i="7"/>
  <c r="G4526" i="7"/>
  <c r="W4546" i="7" s="1"/>
  <c r="W4550" i="7" s="1"/>
  <c r="F4532" i="7"/>
  <c r="H4550" i="7"/>
  <c r="H4545" i="7"/>
  <c r="D4550" i="7"/>
  <c r="F4542" i="7"/>
  <c r="H4547" i="7"/>
  <c r="F4547" i="7"/>
  <c r="U4547" i="7" s="1"/>
  <c r="D4546" i="7"/>
  <c r="F4551" i="7"/>
  <c r="U4551" i="7" s="1"/>
  <c r="H4549" i="7"/>
  <c r="F4533" i="7"/>
  <c r="U4533" i="7" s="1"/>
  <c r="F4540" i="7"/>
  <c r="D4533" i="7"/>
  <c r="D4551" i="7"/>
  <c r="F4546" i="7"/>
  <c r="U4546" i="7" s="1"/>
  <c r="D4526" i="7"/>
  <c r="D4532" i="7"/>
  <c r="D4549" i="7"/>
  <c r="D4534" i="7"/>
  <c r="H4551" i="7"/>
  <c r="H4546" i="7"/>
  <c r="D4541" i="7"/>
  <c r="D4547" i="7"/>
  <c r="F4541" i="7"/>
  <c r="U4541" i="7" s="1"/>
  <c r="D4542" i="7"/>
  <c r="F4549" i="7"/>
  <c r="U4549" i="7" s="1"/>
  <c r="D4545" i="7"/>
  <c r="D4540" i="7"/>
  <c r="F4537" i="7"/>
  <c r="F4545" i="7"/>
  <c r="U4545" i="7" s="1"/>
  <c r="F4550" i="7"/>
  <c r="U4550" i="7" s="1"/>
  <c r="D4537" i="7"/>
  <c r="W4537" i="7" s="1"/>
  <c r="F4534" i="7"/>
  <c r="J5404" i="7"/>
  <c r="J5412" i="7" s="1"/>
  <c r="J5407" i="7"/>
  <c r="J5403" i="7"/>
  <c r="J5402" i="7"/>
  <c r="J5410" i="7" s="1"/>
  <c r="J5462" i="7"/>
  <c r="J5470" i="7" s="1"/>
  <c r="J5464" i="7"/>
  <c r="J5472" i="7" s="1"/>
  <c r="J5467" i="7"/>
  <c r="J5463" i="7"/>
  <c r="Y5432" i="7"/>
  <c r="Y5442" i="7"/>
  <c r="Y5443" i="7" s="1"/>
  <c r="Y5433" i="7"/>
  <c r="Y5446" i="7"/>
  <c r="Y5437" i="7"/>
  <c r="Y5441" i="7"/>
  <c r="Y5440" i="7"/>
  <c r="Y5434" i="7"/>
  <c r="Y5435" i="7" s="1"/>
  <c r="Y5445" i="7"/>
  <c r="Y5447" i="7"/>
  <c r="J4502" i="7"/>
  <c r="J4510" i="7" s="1"/>
  <c r="J4507" i="7"/>
  <c r="J4503" i="7"/>
  <c r="J4504" i="7"/>
  <c r="J4512" i="7" s="1"/>
  <c r="Y5140" i="7"/>
  <c r="Y5145" i="7"/>
  <c r="Y5146" i="7"/>
  <c r="Y5147" i="7"/>
  <c r="Y5134" i="7"/>
  <c r="Y5135" i="7" s="1"/>
  <c r="Y5132" i="7"/>
  <c r="Y5137" i="7"/>
  <c r="Y5142" i="7"/>
  <c r="Y5143" i="7" s="1"/>
  <c r="Y5133" i="7"/>
  <c r="Y5141" i="7"/>
  <c r="J4532" i="7"/>
  <c r="J4540" i="7" s="1"/>
  <c r="J4534" i="7"/>
  <c r="J4542" i="7" s="1"/>
  <c r="J4533" i="7"/>
  <c r="J4537" i="7"/>
  <c r="Y5320" i="7"/>
  <c r="Y5314" i="7"/>
  <c r="Y5315" i="7" s="1"/>
  <c r="Y5322" i="7"/>
  <c r="Y5323" i="7" s="1"/>
  <c r="Y5327" i="7"/>
  <c r="Y5317" i="7"/>
  <c r="Y5313" i="7"/>
  <c r="Y5326" i="7"/>
  <c r="Y5321" i="7"/>
  <c r="Y5325" i="7"/>
  <c r="Y5312" i="7"/>
  <c r="J4597" i="7"/>
  <c r="J4594" i="7"/>
  <c r="J4602" i="7" s="1"/>
  <c r="J4593" i="7"/>
  <c r="J4592" i="7"/>
  <c r="J4600" i="7" s="1"/>
  <c r="H5000" i="7"/>
  <c r="F4983" i="7"/>
  <c r="U4983" i="7" s="1"/>
  <c r="F4995" i="7"/>
  <c r="U4995" i="7" s="1"/>
  <c r="H4996" i="7"/>
  <c r="D4976" i="7"/>
  <c r="D4995" i="7"/>
  <c r="D5001" i="7"/>
  <c r="D4982" i="7"/>
  <c r="H5001" i="7"/>
  <c r="D4997" i="7"/>
  <c r="D4983" i="7"/>
  <c r="H4995" i="7"/>
  <c r="F4999" i="7"/>
  <c r="U4999" i="7" s="1"/>
  <c r="F5000" i="7"/>
  <c r="U5000" i="7" s="1"/>
  <c r="F4987" i="7"/>
  <c r="G4976" i="7"/>
  <c r="H4999" i="7"/>
  <c r="D4984" i="7"/>
  <c r="D4990" i="7"/>
  <c r="D4991" i="7"/>
  <c r="D5000" i="7"/>
  <c r="D4999" i="7"/>
  <c r="F4982" i="7"/>
  <c r="F4991" i="7"/>
  <c r="U4991" i="7" s="1"/>
  <c r="F4990" i="7"/>
  <c r="D4987" i="7"/>
  <c r="W4987" i="7" s="1"/>
  <c r="F4996" i="7"/>
  <c r="U4996" i="7" s="1"/>
  <c r="H4997" i="7"/>
  <c r="D4996" i="7"/>
  <c r="F4992" i="7"/>
  <c r="D4992" i="7"/>
  <c r="F4997" i="7"/>
  <c r="U4997" i="7" s="1"/>
  <c r="F5001" i="7"/>
  <c r="U5001" i="7" s="1"/>
  <c r="F4984" i="7"/>
  <c r="Y4957" i="7"/>
  <c r="Y4966" i="7"/>
  <c r="Y4960" i="7"/>
  <c r="Y4954" i="7"/>
  <c r="Y4955" i="7" s="1"/>
  <c r="Y4962" i="7"/>
  <c r="Y4963" i="7" s="1"/>
  <c r="Y4967" i="7"/>
  <c r="Y4965" i="7"/>
  <c r="Y4952" i="7"/>
  <c r="Y4953" i="7"/>
  <c r="Y4961" i="7"/>
  <c r="J5197" i="7"/>
  <c r="J5192" i="7"/>
  <c r="J5200" i="7" s="1"/>
  <c r="J5193" i="7"/>
  <c r="J5194" i="7"/>
  <c r="J5202" i="7" s="1"/>
  <c r="J4864" i="7"/>
  <c r="J4872" i="7" s="1"/>
  <c r="J4863" i="7"/>
  <c r="J4862" i="7"/>
  <c r="J4870" i="7" s="1"/>
  <c r="J4867" i="7"/>
  <c r="D5917" i="7"/>
  <c r="W5917" i="7" s="1"/>
  <c r="D5920" i="7"/>
  <c r="F5917" i="7"/>
  <c r="F5931" i="7"/>
  <c r="U5931" i="7" s="1"/>
  <c r="D5925" i="7"/>
  <c r="F5930" i="7"/>
  <c r="U5930" i="7" s="1"/>
  <c r="D5929" i="7"/>
  <c r="H5931" i="7"/>
  <c r="D5913" i="7"/>
  <c r="D5906" i="7"/>
  <c r="D5930" i="7"/>
  <c r="G5906" i="7"/>
  <c r="F5913" i="7"/>
  <c r="U5913" i="7" s="1"/>
  <c r="D5927" i="7"/>
  <c r="F5921" i="7"/>
  <c r="U5921" i="7" s="1"/>
  <c r="H5930" i="7"/>
  <c r="D5931" i="7"/>
  <c r="F5927" i="7"/>
  <c r="U5927" i="7" s="1"/>
  <c r="F5922" i="7"/>
  <c r="F5925" i="7"/>
  <c r="U5925" i="7" s="1"/>
  <c r="F5920" i="7"/>
  <c r="D5914" i="7"/>
  <c r="D5921" i="7"/>
  <c r="H5925" i="7"/>
  <c r="H5929" i="7"/>
  <c r="D5912" i="7"/>
  <c r="F5929" i="7"/>
  <c r="U5929" i="7" s="1"/>
  <c r="F5914" i="7"/>
  <c r="F5926" i="7"/>
  <c r="U5926" i="7" s="1"/>
  <c r="D5926" i="7"/>
  <c r="H5926" i="7"/>
  <c r="H5927" i="7"/>
  <c r="F5912" i="7"/>
  <c r="D5922" i="7"/>
  <c r="Y4662" i="7"/>
  <c r="Y4663" i="7" s="1"/>
  <c r="Y4657" i="7"/>
  <c r="Y4661" i="7"/>
  <c r="Y4665" i="7"/>
  <c r="Y4667" i="7"/>
  <c r="Y4653" i="7"/>
  <c r="Y4652" i="7"/>
  <c r="Y4666" i="7"/>
  <c r="Y4660" i="7"/>
  <c r="Y4654" i="7"/>
  <c r="Y4655" i="7" s="1"/>
  <c r="Y5087" i="7"/>
  <c r="Y5086" i="7"/>
  <c r="Y5074" i="7"/>
  <c r="Y5075" i="7" s="1"/>
  <c r="Y5082" i="7"/>
  <c r="Y5083" i="7" s="1"/>
  <c r="Y5072" i="7"/>
  <c r="Y5081" i="7"/>
  <c r="Y5077" i="7"/>
  <c r="Y5073" i="7"/>
  <c r="Y5085" i="7"/>
  <c r="Y5080" i="7"/>
  <c r="J4417" i="7"/>
  <c r="J4412" i="7"/>
  <c r="J4420" i="7" s="1"/>
  <c r="J4414" i="7"/>
  <c r="J4422" i="7" s="1"/>
  <c r="J4413" i="7"/>
  <c r="D4631" i="7"/>
  <c r="D4623" i="7"/>
  <c r="F4641" i="7"/>
  <c r="U4641" i="7" s="1"/>
  <c r="F4636" i="7"/>
  <c r="U4636" i="7" s="1"/>
  <c r="D4632" i="7"/>
  <c r="F4640" i="7"/>
  <c r="U4640" i="7" s="1"/>
  <c r="H4639" i="7"/>
  <c r="D4637" i="7"/>
  <c r="D4622" i="7"/>
  <c r="H4640" i="7"/>
  <c r="F4631" i="7"/>
  <c r="U4631" i="7" s="1"/>
  <c r="D4624" i="7"/>
  <c r="D4640" i="7"/>
  <c r="F4632" i="7"/>
  <c r="F4637" i="7"/>
  <c r="U4637" i="7" s="1"/>
  <c r="G4616" i="7"/>
  <c r="D4616" i="7"/>
  <c r="H4635" i="7"/>
  <c r="F4627" i="7"/>
  <c r="F4635" i="7"/>
  <c r="U4635" i="7" s="1"/>
  <c r="D4641" i="7"/>
  <c r="D4636" i="7"/>
  <c r="D4635" i="7"/>
  <c r="D4627" i="7"/>
  <c r="W4627" i="7" s="1"/>
  <c r="F4639" i="7"/>
  <c r="U4639" i="7" s="1"/>
  <c r="F4624" i="7"/>
  <c r="D4639" i="7"/>
  <c r="H4641" i="7"/>
  <c r="H4637" i="7"/>
  <c r="F4630" i="7"/>
  <c r="D4630" i="7"/>
  <c r="F4623" i="7"/>
  <c r="U4623" i="7" s="1"/>
  <c r="H4636" i="7"/>
  <c r="F4622" i="7"/>
  <c r="J5703" i="7"/>
  <c r="J5704" i="7"/>
  <c r="J5712" i="7" s="1"/>
  <c r="J5707" i="7"/>
  <c r="J5702" i="7"/>
  <c r="J5710" i="7" s="1"/>
  <c r="J5434" i="7"/>
  <c r="J5442" i="7" s="1"/>
  <c r="J5437" i="7"/>
  <c r="J5432" i="7"/>
  <c r="J5440" i="7" s="1"/>
  <c r="J5433" i="7"/>
  <c r="Y6107" i="7"/>
  <c r="Y6094" i="7"/>
  <c r="Y6095" i="7" s="1"/>
  <c r="Y6101" i="7"/>
  <c r="Y6097" i="7"/>
  <c r="Y6092" i="7"/>
  <c r="Y6106" i="7"/>
  <c r="Y6105" i="7"/>
  <c r="Y6093" i="7"/>
  <c r="Y6102" i="7"/>
  <c r="Y6103" i="7" s="1"/>
  <c r="Y6100" i="7"/>
  <c r="E51" i="15"/>
  <c r="V7" i="15"/>
  <c r="J5974" i="7"/>
  <c r="J5982" i="7" s="1"/>
  <c r="J5977" i="7"/>
  <c r="J5972" i="7"/>
  <c r="J5980" i="7" s="1"/>
  <c r="J5973" i="7"/>
  <c r="D153" i="24"/>
  <c r="AJ147" i="24"/>
  <c r="F4382" i="7"/>
  <c r="F4397" i="7"/>
  <c r="U4397" i="7" s="1"/>
  <c r="H4401" i="7"/>
  <c r="F4390" i="7"/>
  <c r="D4390" i="7"/>
  <c r="F4396" i="7"/>
  <c r="U4396" i="7" s="1"/>
  <c r="D4391" i="7"/>
  <c r="D4382" i="7"/>
  <c r="F4392" i="7"/>
  <c r="F4395" i="7"/>
  <c r="U4395" i="7" s="1"/>
  <c r="F4400" i="7"/>
  <c r="U4400" i="7" s="1"/>
  <c r="F4384" i="7"/>
  <c r="D4397" i="7"/>
  <c r="H4399" i="7"/>
  <c r="D4384" i="7"/>
  <c r="F4401" i="7"/>
  <c r="U4401" i="7" s="1"/>
  <c r="D4387" i="7"/>
  <c r="W4387" i="7" s="1"/>
  <c r="D4401" i="7"/>
  <c r="D4395" i="7"/>
  <c r="D4399" i="7"/>
  <c r="F4383" i="7"/>
  <c r="U4383" i="7" s="1"/>
  <c r="F4399" i="7"/>
  <c r="U4399" i="7" s="1"/>
  <c r="H4400" i="7"/>
  <c r="D4383" i="7"/>
  <c r="F4387" i="7"/>
  <c r="D4392" i="7"/>
  <c r="F4391" i="7"/>
  <c r="U4391" i="7" s="1"/>
  <c r="H4396" i="7"/>
  <c r="D4400" i="7"/>
  <c r="G4376" i="7"/>
  <c r="W4397" i="7" s="1"/>
  <c r="W4401" i="7" s="1"/>
  <c r="D4396" i="7"/>
  <c r="D4376" i="7"/>
  <c r="H4395" i="7"/>
  <c r="H4397" i="7"/>
  <c r="Y5050" i="7"/>
  <c r="Y5051" i="7"/>
  <c r="Y5042" i="7"/>
  <c r="Y5043" i="7"/>
  <c r="Y5056" i="7"/>
  <c r="Y5052" i="7"/>
  <c r="Y5053" i="7" s="1"/>
  <c r="Y5055" i="7"/>
  <c r="Y5057" i="7"/>
  <c r="Y5047" i="7"/>
  <c r="Y5044" i="7"/>
  <c r="Y5045" i="7" s="1"/>
  <c r="J4622" i="7"/>
  <c r="J4630" i="7" s="1"/>
  <c r="J4623" i="7"/>
  <c r="J4624" i="7"/>
  <c r="J4632" i="7" s="1"/>
  <c r="J4627" i="7"/>
  <c r="J6063" i="7"/>
  <c r="J6062" i="7"/>
  <c r="J6070" i="7" s="1"/>
  <c r="J6067" i="7"/>
  <c r="J6064" i="7"/>
  <c r="J6072" i="7" s="1"/>
  <c r="Y5470" i="7"/>
  <c r="Y5471" i="7"/>
  <c r="Y5475" i="7"/>
  <c r="Y5464" i="7"/>
  <c r="Y5465" i="7" s="1"/>
  <c r="Y5472" i="7"/>
  <c r="Y5473" i="7" s="1"/>
  <c r="Y5476" i="7"/>
  <c r="Y5477" i="7"/>
  <c r="Y5463" i="7"/>
  <c r="Y5462" i="7"/>
  <c r="Y5467" i="7"/>
  <c r="H5715" i="7"/>
  <c r="H5721" i="7"/>
  <c r="D5716" i="7"/>
  <c r="G5696" i="7"/>
  <c r="F5704" i="7"/>
  <c r="F5710" i="7"/>
  <c r="D5712" i="7"/>
  <c r="F5715" i="7"/>
  <c r="U5715" i="7" s="1"/>
  <c r="H5717" i="7"/>
  <c r="F5719" i="7"/>
  <c r="U5719" i="7" s="1"/>
  <c r="D5721" i="7"/>
  <c r="D5715" i="7"/>
  <c r="D5696" i="7"/>
  <c r="D5704" i="7"/>
  <c r="D5717" i="7"/>
  <c r="F5702" i="7"/>
  <c r="F5703" i="7"/>
  <c r="U5703" i="7" s="1"/>
  <c r="D5720" i="7"/>
  <c r="F5711" i="7"/>
  <c r="U5711" i="7" s="1"/>
  <c r="H5719" i="7"/>
  <c r="F5716" i="7"/>
  <c r="U5716" i="7" s="1"/>
  <c r="F5712" i="7"/>
  <c r="D5710" i="7"/>
  <c r="D5703" i="7"/>
  <c r="F5721" i="7"/>
  <c r="U5721" i="7" s="1"/>
  <c r="H5716" i="7"/>
  <c r="D5702" i="7"/>
  <c r="D5707" i="7"/>
  <c r="W5707" i="7" s="1"/>
  <c r="H5720" i="7"/>
  <c r="D5711" i="7"/>
  <c r="D5719" i="7"/>
  <c r="F5717" i="7"/>
  <c r="U5717" i="7" s="1"/>
  <c r="F5707" i="7"/>
  <c r="F5720" i="7"/>
  <c r="U5720" i="7" s="1"/>
  <c r="Y4684" i="7"/>
  <c r="Y4685" i="7" s="1"/>
  <c r="Y4682" i="7"/>
  <c r="Y4687" i="7"/>
  <c r="Y4695" i="7"/>
  <c r="Y4696" i="7"/>
  <c r="Y4692" i="7"/>
  <c r="Y4693" i="7" s="1"/>
  <c r="Y4690" i="7"/>
  <c r="Y4691" i="7"/>
  <c r="Y4683" i="7"/>
  <c r="Y4697" i="7"/>
  <c r="F6050" i="7"/>
  <c r="U6050" i="7" s="1"/>
  <c r="D6040" i="7"/>
  <c r="F6051" i="7"/>
  <c r="U6051" i="7" s="1"/>
  <c r="D6050" i="7"/>
  <c r="H6049" i="7"/>
  <c r="D6051" i="7"/>
  <c r="D6046" i="7"/>
  <c r="D6037" i="7"/>
  <c r="W6037" i="7" s="1"/>
  <c r="F6040" i="7"/>
  <c r="D6041" i="7"/>
  <c r="F6045" i="7"/>
  <c r="U6045" i="7" s="1"/>
  <c r="F6041" i="7"/>
  <c r="U6041" i="7" s="1"/>
  <c r="F6049" i="7"/>
  <c r="U6049" i="7" s="1"/>
  <c r="H6051" i="7"/>
  <c r="F6046" i="7"/>
  <c r="U6046" i="7" s="1"/>
  <c r="G6026" i="7"/>
  <c r="H6045" i="7"/>
  <c r="F6032" i="7"/>
  <c r="H6046" i="7"/>
  <c r="F6037" i="7"/>
  <c r="F6042" i="7"/>
  <c r="F6033" i="7"/>
  <c r="U6033" i="7" s="1"/>
  <c r="D6047" i="7"/>
  <c r="D6034" i="7"/>
  <c r="H6050" i="7"/>
  <c r="H6047" i="7"/>
  <c r="D6049" i="7"/>
  <c r="F6047" i="7"/>
  <c r="U6047" i="7" s="1"/>
  <c r="D6045" i="7"/>
  <c r="D6042" i="7"/>
  <c r="D6026" i="7"/>
  <c r="D6032" i="7"/>
  <c r="F6034" i="7"/>
  <c r="D6033" i="7"/>
  <c r="H5541" i="7"/>
  <c r="F5530" i="7"/>
  <c r="H5537" i="7"/>
  <c r="F5539" i="7"/>
  <c r="U5539" i="7" s="1"/>
  <c r="F5537" i="7"/>
  <c r="U5537" i="7" s="1"/>
  <c r="D5537" i="7"/>
  <c r="F5540" i="7"/>
  <c r="U5540" i="7" s="1"/>
  <c r="G5516" i="7"/>
  <c r="D5535" i="7"/>
  <c r="D5539" i="7"/>
  <c r="D5536" i="7"/>
  <c r="F5536" i="7"/>
  <c r="U5536" i="7" s="1"/>
  <c r="F5532" i="7"/>
  <c r="D5531" i="7"/>
  <c r="D5527" i="7"/>
  <c r="W5527" i="7" s="1"/>
  <c r="F5523" i="7"/>
  <c r="U5523" i="7" s="1"/>
  <c r="D5540" i="7"/>
  <c r="H5539" i="7"/>
  <c r="D5530" i="7"/>
  <c r="D5524" i="7"/>
  <c r="D5523" i="7"/>
  <c r="F5541" i="7"/>
  <c r="U5541" i="7" s="1"/>
  <c r="H5535" i="7"/>
  <c r="F5527" i="7"/>
  <c r="D5541" i="7"/>
  <c r="F5535" i="7"/>
  <c r="U5535" i="7" s="1"/>
  <c r="F5522" i="7"/>
  <c r="H5540" i="7"/>
  <c r="F5524" i="7"/>
  <c r="D5522" i="7"/>
  <c r="F5531" i="7"/>
  <c r="U5531" i="7" s="1"/>
  <c r="D5516" i="7"/>
  <c r="D5532" i="7"/>
  <c r="H5536" i="7"/>
  <c r="F5681" i="7"/>
  <c r="U5681" i="7" s="1"/>
  <c r="D5677" i="7"/>
  <c r="W5677" i="7" s="1"/>
  <c r="H5687" i="7"/>
  <c r="F5677" i="7"/>
  <c r="H5689" i="7"/>
  <c r="H5686" i="7"/>
  <c r="F5686" i="7"/>
  <c r="U5686" i="7" s="1"/>
  <c r="F5689" i="7"/>
  <c r="U5689" i="7" s="1"/>
  <c r="F5685" i="7"/>
  <c r="U5685" i="7" s="1"/>
  <c r="D5686" i="7"/>
  <c r="F5682" i="7"/>
  <c r="D5672" i="7"/>
  <c r="F5690" i="7"/>
  <c r="U5690" i="7" s="1"/>
  <c r="H5691" i="7"/>
  <c r="H5685" i="7"/>
  <c r="G5666" i="7"/>
  <c r="F5680" i="7"/>
  <c r="H5690" i="7"/>
  <c r="D5674" i="7"/>
  <c r="F5672" i="7"/>
  <c r="F5691" i="7"/>
  <c r="U5691" i="7" s="1"/>
  <c r="F5674" i="7"/>
  <c r="D5691" i="7"/>
  <c r="D5685" i="7"/>
  <c r="D5689" i="7"/>
  <c r="D5680" i="7"/>
  <c r="F5687" i="7"/>
  <c r="U5687" i="7" s="1"/>
  <c r="D5673" i="7"/>
  <c r="F5673" i="7"/>
  <c r="U5673" i="7" s="1"/>
  <c r="D5690" i="7"/>
  <c r="D5681" i="7"/>
  <c r="D5687" i="7"/>
  <c r="D5682" i="7"/>
  <c r="D5666" i="7"/>
  <c r="Y6012" i="7"/>
  <c r="Y6013" i="7" s="1"/>
  <c r="Y6007" i="7"/>
  <c r="Y6004" i="7"/>
  <c r="Y6005" i="7" s="1"/>
  <c r="Y6002" i="7"/>
  <c r="Y6011" i="7"/>
  <c r="Y6017" i="7"/>
  <c r="Y6016" i="7"/>
  <c r="Y6003" i="7"/>
  <c r="Y6010" i="7"/>
  <c r="Y6015" i="7"/>
  <c r="H5326" i="7"/>
  <c r="D5326" i="7"/>
  <c r="D5322" i="7"/>
  <c r="F5320" i="7"/>
  <c r="D5320" i="7"/>
  <c r="D5317" i="7"/>
  <c r="W5317" i="7" s="1"/>
  <c r="D5321" i="7"/>
  <c r="H5329" i="7"/>
  <c r="F5322" i="7"/>
  <c r="D5306" i="7"/>
  <c r="H5327" i="7"/>
  <c r="F5329" i="7"/>
  <c r="U5329" i="7" s="1"/>
  <c r="D5329" i="7"/>
  <c r="F5317" i="7"/>
  <c r="H5325" i="7"/>
  <c r="D5325" i="7"/>
  <c r="H5331" i="7"/>
  <c r="D5314" i="7"/>
  <c r="H5330" i="7"/>
  <c r="F5326" i="7"/>
  <c r="U5326" i="7" s="1"/>
  <c r="F5312" i="7"/>
  <c r="F5331" i="7"/>
  <c r="U5331" i="7" s="1"/>
  <c r="F5321" i="7"/>
  <c r="U5321" i="7" s="1"/>
  <c r="D5313" i="7"/>
  <c r="D5331" i="7"/>
  <c r="F5314" i="7"/>
  <c r="F5327" i="7"/>
  <c r="U5327" i="7" s="1"/>
  <c r="D5330" i="7"/>
  <c r="F5330" i="7"/>
  <c r="U5330" i="7" s="1"/>
  <c r="G5306" i="7"/>
  <c r="D5327" i="7"/>
  <c r="D5312" i="7"/>
  <c r="F5313" i="7"/>
  <c r="U5313" i="7" s="1"/>
  <c r="F5325" i="7"/>
  <c r="U5325" i="7" s="1"/>
  <c r="J5164" i="7"/>
  <c r="J5172" i="7" s="1"/>
  <c r="J5167" i="7"/>
  <c r="J5162" i="7"/>
  <c r="J5170" i="7" s="1"/>
  <c r="J5163" i="7"/>
  <c r="F6100" i="7"/>
  <c r="F6110" i="7"/>
  <c r="U6110" i="7" s="1"/>
  <c r="G6086" i="7"/>
  <c r="H6111" i="7"/>
  <c r="D6101" i="7"/>
  <c r="F6111" i="7"/>
  <c r="U6111" i="7" s="1"/>
  <c r="F6092" i="7"/>
  <c r="D6093" i="7"/>
  <c r="F6105" i="7"/>
  <c r="U6105" i="7" s="1"/>
  <c r="F6101" i="7"/>
  <c r="U6101" i="7" s="1"/>
  <c r="D6110" i="7"/>
  <c r="F6094" i="7"/>
  <c r="D6105" i="7"/>
  <c r="H6106" i="7"/>
  <c r="D6102" i="7"/>
  <c r="D6111" i="7"/>
  <c r="H6107" i="7"/>
  <c r="F6102" i="7"/>
  <c r="F6109" i="7"/>
  <c r="U6109" i="7" s="1"/>
  <c r="F6106" i="7"/>
  <c r="U6106" i="7" s="1"/>
  <c r="F6107" i="7"/>
  <c r="U6107" i="7" s="1"/>
  <c r="H6109" i="7"/>
  <c r="D6092" i="7"/>
  <c r="D6094" i="7"/>
  <c r="D6086" i="7"/>
  <c r="D6106" i="7"/>
  <c r="D6107" i="7"/>
  <c r="F6097" i="7"/>
  <c r="D6109" i="7"/>
  <c r="F6093" i="7"/>
  <c r="U6093" i="7" s="1"/>
  <c r="H6105" i="7"/>
  <c r="D6097" i="7"/>
  <c r="W6097" i="7" s="1"/>
  <c r="H6110" i="7"/>
  <c r="D6100" i="7"/>
  <c r="Y4787" i="7"/>
  <c r="Y4777" i="7"/>
  <c r="Y4781" i="7"/>
  <c r="Y4782" i="7"/>
  <c r="Y4783" i="7" s="1"/>
  <c r="Y4774" i="7"/>
  <c r="Y4775" i="7" s="1"/>
  <c r="Y4785" i="7"/>
  <c r="Y4780" i="7"/>
  <c r="Y4786" i="7"/>
  <c r="Y4772" i="7"/>
  <c r="Y4773" i="7"/>
  <c r="J5583" i="7"/>
  <c r="J5582" i="7"/>
  <c r="J5590" i="7" s="1"/>
  <c r="J5584" i="7"/>
  <c r="J5592" i="7" s="1"/>
  <c r="J5587" i="7"/>
  <c r="D5267" i="7"/>
  <c r="D5252" i="7"/>
  <c r="F5266" i="7"/>
  <c r="U5266" i="7" s="1"/>
  <c r="D5271" i="7"/>
  <c r="D5257" i="7"/>
  <c r="W5257" i="7" s="1"/>
  <c r="H5266" i="7"/>
  <c r="F5253" i="7"/>
  <c r="U5253" i="7" s="1"/>
  <c r="H5269" i="7"/>
  <c r="H5271" i="7"/>
  <c r="D5266" i="7"/>
  <c r="F5261" i="7"/>
  <c r="U5261" i="7" s="1"/>
  <c r="F5270" i="7"/>
  <c r="U5270" i="7" s="1"/>
  <c r="D5265" i="7"/>
  <c r="D5270" i="7"/>
  <c r="D5260" i="7"/>
  <c r="D5246" i="7"/>
  <c r="H5265" i="7"/>
  <c r="F5269" i="7"/>
  <c r="U5269" i="7" s="1"/>
  <c r="F5271" i="7"/>
  <c r="U5271" i="7" s="1"/>
  <c r="D5269" i="7"/>
  <c r="F5257" i="7"/>
  <c r="H5267" i="7"/>
  <c r="G5246" i="7"/>
  <c r="F5254" i="7"/>
  <c r="D5254" i="7"/>
  <c r="F5252" i="7"/>
  <c r="F5265" i="7"/>
  <c r="U5265" i="7" s="1"/>
  <c r="F5260" i="7"/>
  <c r="D5261" i="7"/>
  <c r="D5253" i="7"/>
  <c r="D5262" i="7"/>
  <c r="F5262" i="7"/>
  <c r="F5267" i="7"/>
  <c r="U5267" i="7" s="1"/>
  <c r="H5270" i="7"/>
  <c r="H5839" i="7"/>
  <c r="H5835" i="7"/>
  <c r="D5832" i="7"/>
  <c r="D5827" i="7"/>
  <c r="W5827" i="7" s="1"/>
  <c r="H5840" i="7"/>
  <c r="H5841" i="7"/>
  <c r="F5841" i="7"/>
  <c r="U5841" i="7" s="1"/>
  <c r="F5835" i="7"/>
  <c r="U5835" i="7" s="1"/>
  <c r="D5831" i="7"/>
  <c r="D5836" i="7"/>
  <c r="F5831" i="7"/>
  <c r="U5831" i="7" s="1"/>
  <c r="G5816" i="7"/>
  <c r="W5836" i="7" s="1"/>
  <c r="W5840" i="7" s="1"/>
  <c r="D5841" i="7"/>
  <c r="H5837" i="7"/>
  <c r="F5837" i="7"/>
  <c r="U5837" i="7" s="1"/>
  <c r="F5839" i="7"/>
  <c r="U5839" i="7" s="1"/>
  <c r="D5830" i="7"/>
  <c r="D5835" i="7"/>
  <c r="D5837" i="7"/>
  <c r="F5840" i="7"/>
  <c r="U5840" i="7" s="1"/>
  <c r="F5824" i="7"/>
  <c r="F5823" i="7"/>
  <c r="U5823" i="7" s="1"/>
  <c r="D5823" i="7"/>
  <c r="F5830" i="7"/>
  <c r="F5822" i="7"/>
  <c r="D5822" i="7"/>
  <c r="H5836" i="7"/>
  <c r="D5824" i="7"/>
  <c r="F5836" i="7"/>
  <c r="U5836" i="7" s="1"/>
  <c r="D5839" i="7"/>
  <c r="F5827" i="7"/>
  <c r="D5840" i="7"/>
  <c r="F5832" i="7"/>
  <c r="D5816" i="7"/>
  <c r="J5257" i="7"/>
  <c r="J5252" i="7"/>
  <c r="J5260" i="7" s="1"/>
  <c r="J5254" i="7"/>
  <c r="J5262" i="7" s="1"/>
  <c r="J5253" i="7"/>
  <c r="J4652" i="7"/>
  <c r="J4660" i="7" s="1"/>
  <c r="J4657" i="7"/>
  <c r="J4653" i="7"/>
  <c r="J4654" i="7"/>
  <c r="J4662" i="7" s="1"/>
  <c r="F4341" i="7"/>
  <c r="U4341" i="7" s="1"/>
  <c r="D4322" i="7"/>
  <c r="H4339" i="7"/>
  <c r="H4336" i="7"/>
  <c r="F4327" i="7"/>
  <c r="F4336" i="7"/>
  <c r="U4336" i="7" s="1"/>
  <c r="H4335" i="7"/>
  <c r="D4337" i="7"/>
  <c r="F4335" i="7"/>
  <c r="U4335" i="7" s="1"/>
  <c r="F4330" i="7"/>
  <c r="F4331" i="7"/>
  <c r="U4331" i="7" s="1"/>
  <c r="D4323" i="7"/>
  <c r="D4316" i="7"/>
  <c r="D4336" i="7"/>
  <c r="D4335" i="7"/>
  <c r="F4340" i="7"/>
  <c r="U4340" i="7" s="1"/>
  <c r="F4332" i="7"/>
  <c r="H4337" i="7"/>
  <c r="H4341" i="7"/>
  <c r="D4341" i="7"/>
  <c r="D4331" i="7"/>
  <c r="D4339" i="7"/>
  <c r="F4324" i="7"/>
  <c r="F4323" i="7"/>
  <c r="U4323" i="7" s="1"/>
  <c r="D4327" i="7"/>
  <c r="W4327" i="7" s="1"/>
  <c r="D4330" i="7"/>
  <c r="D4340" i="7"/>
  <c r="F4339" i="7"/>
  <c r="U4339" i="7" s="1"/>
  <c r="D4324" i="7"/>
  <c r="F4337" i="7"/>
  <c r="U4337" i="7" s="1"/>
  <c r="G4316" i="7"/>
  <c r="D4332" i="7"/>
  <c r="F4322" i="7"/>
  <c r="H4340" i="7"/>
  <c r="J4802" i="7"/>
  <c r="J4810" i="7" s="1"/>
  <c r="J4807" i="7"/>
  <c r="J4803" i="7"/>
  <c r="J4804" i="7"/>
  <c r="J4812" i="7" s="1"/>
  <c r="U16" i="15"/>
  <c r="D56" i="15"/>
  <c r="J4833" i="7"/>
  <c r="J4837" i="7"/>
  <c r="J4834" i="7"/>
  <c r="J4842" i="7" s="1"/>
  <c r="J4832" i="7"/>
  <c r="J4840" i="7" s="1"/>
  <c r="H5356" i="7"/>
  <c r="D5351" i="7"/>
  <c r="D5357" i="7"/>
  <c r="F5355" i="7"/>
  <c r="U5355" i="7" s="1"/>
  <c r="F5359" i="7"/>
  <c r="U5359" i="7" s="1"/>
  <c r="D5356" i="7"/>
  <c r="D5360" i="7"/>
  <c r="H5360" i="7"/>
  <c r="D5343" i="7"/>
  <c r="H5355" i="7"/>
  <c r="D5347" i="7"/>
  <c r="W5347" i="7" s="1"/>
  <c r="F5352" i="7"/>
  <c r="F5350" i="7"/>
  <c r="D5336" i="7"/>
  <c r="D5359" i="7"/>
  <c r="F5343" i="7"/>
  <c r="U5343" i="7" s="1"/>
  <c r="D5350" i="7"/>
  <c r="F5344" i="7"/>
  <c r="D5342" i="7"/>
  <c r="F5347" i="7"/>
  <c r="H5359" i="7"/>
  <c r="D5352" i="7"/>
  <c r="F5342" i="7"/>
  <c r="D5344" i="7"/>
  <c r="F5360" i="7"/>
  <c r="U5360" i="7" s="1"/>
  <c r="H5357" i="7"/>
  <c r="F5361" i="7"/>
  <c r="U5361" i="7" s="1"/>
  <c r="D5361" i="7"/>
  <c r="H5361" i="7"/>
  <c r="G5336" i="7"/>
  <c r="W5356" i="7" s="1"/>
  <c r="W5360" i="7" s="1"/>
  <c r="F5356" i="7"/>
  <c r="U5356" i="7" s="1"/>
  <c r="F5357" i="7"/>
  <c r="U5357" i="7" s="1"/>
  <c r="F5351" i="7"/>
  <c r="U5351" i="7" s="1"/>
  <c r="D5355" i="7"/>
  <c r="Y4722" i="7"/>
  <c r="Y4723" i="7" s="1"/>
  <c r="Y4713" i="7"/>
  <c r="Y4721" i="7"/>
  <c r="Y4725" i="7"/>
  <c r="Y4714" i="7"/>
  <c r="Y4715" i="7" s="1"/>
  <c r="Y4712" i="7"/>
  <c r="Y4720" i="7"/>
  <c r="Y4726" i="7"/>
  <c r="Y4727" i="7"/>
  <c r="Y4717" i="7"/>
  <c r="Y5857" i="7"/>
  <c r="Y5860" i="7"/>
  <c r="Y5861" i="7"/>
  <c r="Y5866" i="7"/>
  <c r="Y5867" i="7"/>
  <c r="Y5862" i="7"/>
  <c r="Y5863" i="7" s="1"/>
  <c r="Y5854" i="7"/>
  <c r="Y5855" i="7" s="1"/>
  <c r="Y5865" i="7"/>
  <c r="Y5853" i="7"/>
  <c r="Y5852" i="7"/>
  <c r="J4562" i="7"/>
  <c r="J4570" i="7" s="1"/>
  <c r="J4563" i="7"/>
  <c r="J4567" i="7"/>
  <c r="J4564" i="7"/>
  <c r="J4572" i="7" s="1"/>
  <c r="F4294" i="7"/>
  <c r="D4293" i="7"/>
  <c r="G4286" i="7"/>
  <c r="D4307" i="7"/>
  <c r="H4306" i="7"/>
  <c r="D4297" i="7"/>
  <c r="W4297" i="7" s="1"/>
  <c r="D4292" i="7"/>
  <c r="D4286" i="7"/>
  <c r="F4310" i="7"/>
  <c r="U4310" i="7" s="1"/>
  <c r="F4301" i="7"/>
  <c r="U4301" i="7" s="1"/>
  <c r="H4305" i="7"/>
  <c r="D4302" i="7"/>
  <c r="H4311" i="7"/>
  <c r="F4292" i="7"/>
  <c r="H4309" i="7"/>
  <c r="D4294" i="7"/>
  <c r="H4310" i="7"/>
  <c r="F4300" i="7"/>
  <c r="F4309" i="7"/>
  <c r="U4309" i="7" s="1"/>
  <c r="F4311" i="7"/>
  <c r="U4311" i="7" s="1"/>
  <c r="D4301" i="7"/>
  <c r="D4309" i="7"/>
  <c r="H4307" i="7"/>
  <c r="F4305" i="7"/>
  <c r="U4305" i="7" s="1"/>
  <c r="F4306" i="7"/>
  <c r="U4306" i="7" s="1"/>
  <c r="D4300" i="7"/>
  <c r="F4307" i="7"/>
  <c r="U4307" i="7" s="1"/>
  <c r="F4293" i="7"/>
  <c r="U4293" i="7" s="1"/>
  <c r="D4310" i="7"/>
  <c r="D4311" i="7"/>
  <c r="F4302" i="7"/>
  <c r="D4305" i="7"/>
  <c r="D4306" i="7"/>
  <c r="F4297" i="7"/>
  <c r="D5629" i="7"/>
  <c r="D5606" i="7"/>
  <c r="D5622" i="7"/>
  <c r="H5630" i="7"/>
  <c r="D5612" i="7"/>
  <c r="H5627" i="7"/>
  <c r="F5626" i="7"/>
  <c r="U5626" i="7" s="1"/>
  <c r="F5613" i="7"/>
  <c r="U5613" i="7" s="1"/>
  <c r="H5626" i="7"/>
  <c r="F5617" i="7"/>
  <c r="F5631" i="7"/>
  <c r="U5631" i="7" s="1"/>
  <c r="F5622" i="7"/>
  <c r="D5626" i="7"/>
  <c r="F5630" i="7"/>
  <c r="U5630" i="7" s="1"/>
  <c r="F5625" i="7"/>
  <c r="U5625" i="7" s="1"/>
  <c r="F5621" i="7"/>
  <c r="U5621" i="7" s="1"/>
  <c r="H5631" i="7"/>
  <c r="D5614" i="7"/>
  <c r="F5620" i="7"/>
  <c r="F5629" i="7"/>
  <c r="U5629" i="7" s="1"/>
  <c r="D5620" i="7"/>
  <c r="F5612" i="7"/>
  <c r="D5627" i="7"/>
  <c r="F5627" i="7"/>
  <c r="U5627" i="7" s="1"/>
  <c r="D5621" i="7"/>
  <c r="F5614" i="7"/>
  <c r="D5613" i="7"/>
  <c r="H5625" i="7"/>
  <c r="D5617" i="7"/>
  <c r="W5617" i="7" s="1"/>
  <c r="D5630" i="7"/>
  <c r="D5631" i="7"/>
  <c r="D5625" i="7"/>
  <c r="G5606" i="7"/>
  <c r="H5629" i="7"/>
  <c r="H4757" i="7"/>
  <c r="F4755" i="7"/>
  <c r="U4755" i="7" s="1"/>
  <c r="H4755" i="7"/>
  <c r="D4742" i="7"/>
  <c r="F4756" i="7"/>
  <c r="U4756" i="7" s="1"/>
  <c r="G4736" i="7"/>
  <c r="W4756" i="7" s="1"/>
  <c r="W4760" i="7" s="1"/>
  <c r="D4750" i="7"/>
  <c r="D4743" i="7"/>
  <c r="F4751" i="7"/>
  <c r="U4751" i="7" s="1"/>
  <c r="F4752" i="7"/>
  <c r="D4757" i="7"/>
  <c r="F4742" i="7"/>
  <c r="D4751" i="7"/>
  <c r="H4759" i="7"/>
  <c r="F4743" i="7"/>
  <c r="U4743" i="7" s="1"/>
  <c r="H4761" i="7"/>
  <c r="D4755" i="7"/>
  <c r="F4747" i="7"/>
  <c r="D4747" i="7"/>
  <c r="W4747" i="7" s="1"/>
  <c r="D4752" i="7"/>
  <c r="H4756" i="7"/>
  <c r="D4744" i="7"/>
  <c r="F4759" i="7"/>
  <c r="U4759" i="7" s="1"/>
  <c r="D4760" i="7"/>
  <c r="F4760" i="7"/>
  <c r="U4760" i="7" s="1"/>
  <c r="F4744" i="7"/>
  <c r="F4757" i="7"/>
  <c r="U4757" i="7" s="1"/>
  <c r="F4761" i="7"/>
  <c r="U4761" i="7" s="1"/>
  <c r="D4759" i="7"/>
  <c r="D4761" i="7"/>
  <c r="D4756" i="7"/>
  <c r="H4760" i="7"/>
  <c r="F4750" i="7"/>
  <c r="D4736" i="7"/>
  <c r="Y5356" i="7"/>
  <c r="Y5344" i="7"/>
  <c r="Y5345" i="7" s="1"/>
  <c r="Y5355" i="7"/>
  <c r="Y5352" i="7"/>
  <c r="Y5353" i="7" s="1"/>
  <c r="Y5350" i="7"/>
  <c r="Y5357" i="7"/>
  <c r="Y5342" i="7"/>
  <c r="Y5343" i="7"/>
  <c r="Y5347" i="7"/>
  <c r="Y5351" i="7"/>
  <c r="J4354" i="7"/>
  <c r="J4362" i="7" s="1"/>
  <c r="J4353" i="7"/>
  <c r="J4352" i="7"/>
  <c r="J4360" i="7" s="1"/>
  <c r="J4357" i="7"/>
  <c r="F4477" i="7"/>
  <c r="H4489" i="7"/>
  <c r="D4491" i="7"/>
  <c r="F4482" i="7"/>
  <c r="F4487" i="7"/>
  <c r="U4487" i="7" s="1"/>
  <c r="D4482" i="7"/>
  <c r="D4490" i="7"/>
  <c r="F4490" i="7"/>
  <c r="U4490" i="7" s="1"/>
  <c r="H4491" i="7"/>
  <c r="H4485" i="7"/>
  <c r="G4466" i="7"/>
  <c r="F4486" i="7"/>
  <c r="U4486" i="7" s="1"/>
  <c r="H4487" i="7"/>
  <c r="F4474" i="7"/>
  <c r="D4474" i="7"/>
  <c r="F4489" i="7"/>
  <c r="U4489" i="7" s="1"/>
  <c r="D4485" i="7"/>
  <c r="H4490" i="7"/>
  <c r="H4486" i="7"/>
  <c r="F4491" i="7"/>
  <c r="U4491" i="7" s="1"/>
  <c r="D4480" i="7"/>
  <c r="D4486" i="7"/>
  <c r="D4489" i="7"/>
  <c r="D4477" i="7"/>
  <c r="W4477" i="7" s="1"/>
  <c r="F4472" i="7"/>
  <c r="D4481" i="7"/>
  <c r="F4481" i="7"/>
  <c r="U4481" i="7" s="1"/>
  <c r="D4473" i="7"/>
  <c r="F4480" i="7"/>
  <c r="F4485" i="7"/>
  <c r="U4485" i="7" s="1"/>
  <c r="D4472" i="7"/>
  <c r="D4487" i="7"/>
  <c r="F4473" i="7"/>
  <c r="U4473" i="7" s="1"/>
  <c r="D4466" i="7"/>
  <c r="J5373" i="7"/>
  <c r="J5372" i="7"/>
  <c r="J5380" i="7" s="1"/>
  <c r="J5377" i="7"/>
  <c r="J5374" i="7"/>
  <c r="J5382" i="7" s="1"/>
  <c r="D5132" i="7"/>
  <c r="H5146" i="7"/>
  <c r="D5151" i="7"/>
  <c r="D5146" i="7"/>
  <c r="H5150" i="7"/>
  <c r="D5133" i="7"/>
  <c r="F5134" i="7"/>
  <c r="D5137" i="7"/>
  <c r="W5137" i="7" s="1"/>
  <c r="H5149" i="7"/>
  <c r="F5146" i="7"/>
  <c r="U5146" i="7" s="1"/>
  <c r="F5140" i="7"/>
  <c r="D5126" i="7"/>
  <c r="D5150" i="7"/>
  <c r="D5140" i="7"/>
  <c r="D5142" i="7"/>
  <c r="D5141" i="7"/>
  <c r="F5132" i="7"/>
  <c r="H5151" i="7"/>
  <c r="H5147" i="7"/>
  <c r="F5149" i="7"/>
  <c r="U5149" i="7" s="1"/>
  <c r="H5145" i="7"/>
  <c r="F5145" i="7"/>
  <c r="U5145" i="7" s="1"/>
  <c r="F5150" i="7"/>
  <c r="U5150" i="7" s="1"/>
  <c r="D5134" i="7"/>
  <c r="F5137" i="7"/>
  <c r="F5141" i="7"/>
  <c r="U5141" i="7" s="1"/>
  <c r="D5149" i="7"/>
  <c r="D5145" i="7"/>
  <c r="F5142" i="7"/>
  <c r="F5147" i="7"/>
  <c r="U5147" i="7" s="1"/>
  <c r="G5126" i="7"/>
  <c r="F5151" i="7"/>
  <c r="U5151" i="7" s="1"/>
  <c r="F5133" i="7"/>
  <c r="U5133" i="7" s="1"/>
  <c r="D5147" i="7"/>
  <c r="Y4324" i="7"/>
  <c r="Y4325" i="7" s="1"/>
  <c r="Y4323" i="7"/>
  <c r="Y4330" i="7"/>
  <c r="Y4337" i="7"/>
  <c r="Y4335" i="7"/>
  <c r="Y4332" i="7"/>
  <c r="Y4333" i="7" s="1"/>
  <c r="Y4336" i="7"/>
  <c r="Y4331" i="7"/>
  <c r="Y4322" i="7"/>
  <c r="Y4327" i="7"/>
  <c r="J5313" i="7"/>
  <c r="J5317" i="7"/>
  <c r="J5314" i="7"/>
  <c r="J5322" i="7" s="1"/>
  <c r="J5312" i="7"/>
  <c r="J5320" i="7" s="1"/>
  <c r="D4646" i="7"/>
  <c r="D4653" i="7"/>
  <c r="H4671" i="7"/>
  <c r="F4662" i="7"/>
  <c r="D4666" i="7"/>
  <c r="H4665" i="7"/>
  <c r="D4654" i="7"/>
  <c r="D4661" i="7"/>
  <c r="D4657" i="7"/>
  <c r="W4657" i="7" s="1"/>
  <c r="F4671" i="7"/>
  <c r="U4671" i="7" s="1"/>
  <c r="G4646" i="7"/>
  <c r="W4666" i="7" s="1"/>
  <c r="W4670" i="7" s="1"/>
  <c r="D4667" i="7"/>
  <c r="D4671" i="7"/>
  <c r="F4669" i="7"/>
  <c r="U4669" i="7" s="1"/>
  <c r="H4666" i="7"/>
  <c r="F4667" i="7"/>
  <c r="U4667" i="7" s="1"/>
  <c r="D4670" i="7"/>
  <c r="F4665" i="7"/>
  <c r="U4665" i="7" s="1"/>
  <c r="F4657" i="7"/>
  <c r="D4665" i="7"/>
  <c r="H4669" i="7"/>
  <c r="D4669" i="7"/>
  <c r="F4661" i="7"/>
  <c r="U4661" i="7" s="1"/>
  <c r="F4652" i="7"/>
  <c r="D4652" i="7"/>
  <c r="F4670" i="7"/>
  <c r="U4670" i="7" s="1"/>
  <c r="F4653" i="7"/>
  <c r="U4653" i="7" s="1"/>
  <c r="F4660" i="7"/>
  <c r="F4666" i="7"/>
  <c r="U4666" i="7" s="1"/>
  <c r="F4654" i="7"/>
  <c r="D4660" i="7"/>
  <c r="H4670" i="7"/>
  <c r="D4662" i="7"/>
  <c r="H4667" i="7"/>
  <c r="G334" i="4"/>
  <c r="E56" i="15"/>
  <c r="V16" i="15"/>
  <c r="V12" i="15"/>
  <c r="Y4365" i="7"/>
  <c r="Y4352" i="7"/>
  <c r="Y4362" i="7"/>
  <c r="Y4363" i="7" s="1"/>
  <c r="Y4366" i="7"/>
  <c r="Y4353" i="7"/>
  <c r="Y4361" i="7"/>
  <c r="Y4354" i="7"/>
  <c r="Y4355" i="7" s="1"/>
  <c r="Y4357" i="7"/>
  <c r="Y4360" i="7"/>
  <c r="Y4367" i="7"/>
  <c r="Y4452" i="7"/>
  <c r="Y4453" i="7" s="1"/>
  <c r="Y4451" i="7"/>
  <c r="Y4450" i="7"/>
  <c r="Y4442" i="7"/>
  <c r="Y4447" i="7"/>
  <c r="Y4444" i="7"/>
  <c r="Y4445" i="7" s="1"/>
  <c r="Y4457" i="7"/>
  <c r="Y4443" i="7"/>
  <c r="Y4456" i="7"/>
  <c r="Y4455" i="7"/>
  <c r="J4743" i="7"/>
  <c r="J4747" i="7"/>
  <c r="J4742" i="7"/>
  <c r="J4750" i="7" s="1"/>
  <c r="J4744" i="7"/>
  <c r="J4752" i="7" s="1"/>
  <c r="Y5652" i="7"/>
  <c r="Y5653" i="7" s="1"/>
  <c r="Y5643" i="7"/>
  <c r="Y5651" i="7"/>
  <c r="Y5657" i="7"/>
  <c r="Y5650" i="7"/>
  <c r="Y5647" i="7"/>
  <c r="Y5642" i="7"/>
  <c r="Y5655" i="7"/>
  <c r="Y5644" i="7"/>
  <c r="Y5645" i="7" s="1"/>
  <c r="Y5656" i="7"/>
  <c r="F5882" i="7"/>
  <c r="H5896" i="7"/>
  <c r="F5896" i="7"/>
  <c r="U5896" i="7" s="1"/>
  <c r="H5899" i="7"/>
  <c r="F5891" i="7"/>
  <c r="U5891" i="7" s="1"/>
  <c r="D5891" i="7"/>
  <c r="D5896" i="7"/>
  <c r="F5883" i="7"/>
  <c r="U5883" i="7" s="1"/>
  <c r="F5892" i="7"/>
  <c r="D5876" i="7"/>
  <c r="F5887" i="7"/>
  <c r="D5892" i="7"/>
  <c r="D5900" i="7"/>
  <c r="F5899" i="7"/>
  <c r="U5899" i="7" s="1"/>
  <c r="D5884" i="7"/>
  <c r="D5883" i="7"/>
  <c r="D5901" i="7"/>
  <c r="D5890" i="7"/>
  <c r="H5901" i="7"/>
  <c r="F5895" i="7"/>
  <c r="U5895" i="7" s="1"/>
  <c r="D5895" i="7"/>
  <c r="D5899" i="7"/>
  <c r="F5884" i="7"/>
  <c r="D5897" i="7"/>
  <c r="H5897" i="7"/>
  <c r="H5895" i="7"/>
  <c r="H5900" i="7"/>
  <c r="F5900" i="7"/>
  <c r="U5900" i="7" s="1"/>
  <c r="D5887" i="7"/>
  <c r="W5887" i="7" s="1"/>
  <c r="G5876" i="7"/>
  <c r="F5901" i="7"/>
  <c r="U5901" i="7" s="1"/>
  <c r="F5890" i="7"/>
  <c r="F5897" i="7"/>
  <c r="U5897" i="7" s="1"/>
  <c r="D5882" i="7"/>
  <c r="H4607" i="7"/>
  <c r="H4609" i="7"/>
  <c r="D4610" i="7"/>
  <c r="F4592" i="7"/>
  <c r="D4601" i="7"/>
  <c r="D4606" i="7"/>
  <c r="F4597" i="7"/>
  <c r="F4605" i="7"/>
  <c r="U4605" i="7" s="1"/>
  <c r="F4601" i="7"/>
  <c r="U4601" i="7" s="1"/>
  <c r="F4602" i="7"/>
  <c r="D4605" i="7"/>
  <c r="H4606" i="7"/>
  <c r="D4586" i="7"/>
  <c r="D4600" i="7"/>
  <c r="F4607" i="7"/>
  <c r="U4607" i="7" s="1"/>
  <c r="F4609" i="7"/>
  <c r="U4609" i="7" s="1"/>
  <c r="F4594" i="7"/>
  <c r="D4594" i="7"/>
  <c r="F4606" i="7"/>
  <c r="U4606" i="7" s="1"/>
  <c r="H4610" i="7"/>
  <c r="F4600" i="7"/>
  <c r="D4592" i="7"/>
  <c r="D4602" i="7"/>
  <c r="D4609" i="7"/>
  <c r="H4611" i="7"/>
  <c r="D4607" i="7"/>
  <c r="G4586" i="7"/>
  <c r="F4611" i="7"/>
  <c r="U4611" i="7" s="1"/>
  <c r="D4597" i="7"/>
  <c r="W4597" i="7" s="1"/>
  <c r="D4593" i="7"/>
  <c r="D4611" i="7"/>
  <c r="H4605" i="7"/>
  <c r="F4593" i="7"/>
  <c r="U4593" i="7" s="1"/>
  <c r="F4610" i="7"/>
  <c r="U4610" i="7" s="1"/>
  <c r="F5073" i="7"/>
  <c r="U5073" i="7" s="1"/>
  <c r="D5082" i="7"/>
  <c r="D5091" i="7"/>
  <c r="F5089" i="7"/>
  <c r="U5089" i="7" s="1"/>
  <c r="F5087" i="7"/>
  <c r="U5087" i="7" s="1"/>
  <c r="H5086" i="7"/>
  <c r="H5089" i="7"/>
  <c r="D5080" i="7"/>
  <c r="D5077" i="7"/>
  <c r="W5077" i="7" s="1"/>
  <c r="H5090" i="7"/>
  <c r="F5080" i="7"/>
  <c r="D5074" i="7"/>
  <c r="D5086" i="7"/>
  <c r="H5085" i="7"/>
  <c r="D5089" i="7"/>
  <c r="H5091" i="7"/>
  <c r="D5087" i="7"/>
  <c r="F5082" i="7"/>
  <c r="F5074" i="7"/>
  <c r="F5090" i="7"/>
  <c r="U5090" i="7" s="1"/>
  <c r="D5090" i="7"/>
  <c r="D5066" i="7"/>
  <c r="H5087" i="7"/>
  <c r="D5085" i="7"/>
  <c r="F5091" i="7"/>
  <c r="U5091" i="7" s="1"/>
  <c r="G5066" i="7"/>
  <c r="F5072" i="7"/>
  <c r="F5077" i="7"/>
  <c r="D5073" i="7"/>
  <c r="F5081" i="7"/>
  <c r="U5081" i="7" s="1"/>
  <c r="F5086" i="7"/>
  <c r="U5086" i="7" s="1"/>
  <c r="D5072" i="7"/>
  <c r="F5085" i="7"/>
  <c r="U5085" i="7" s="1"/>
  <c r="D5081" i="7"/>
  <c r="F5434" i="7"/>
  <c r="F5446" i="7"/>
  <c r="U5446" i="7" s="1"/>
  <c r="F5442" i="7"/>
  <c r="H5445" i="7"/>
  <c r="D5445" i="7"/>
  <c r="D5432" i="7"/>
  <c r="D5447" i="7"/>
  <c r="H5446" i="7"/>
  <c r="D5426" i="7"/>
  <c r="D5449" i="7"/>
  <c r="G5426" i="7"/>
  <c r="D5437" i="7"/>
  <c r="W5437" i="7" s="1"/>
  <c r="F5447" i="7"/>
  <c r="U5447" i="7" s="1"/>
  <c r="F5437" i="7"/>
  <c r="F5432" i="7"/>
  <c r="D5433" i="7"/>
  <c r="H5449" i="7"/>
  <c r="D5451" i="7"/>
  <c r="D5446" i="7"/>
  <c r="D5442" i="7"/>
  <c r="F5449" i="7"/>
  <c r="U5449" i="7" s="1"/>
  <c r="F5445" i="7"/>
  <c r="U5445" i="7" s="1"/>
  <c r="H5451" i="7"/>
  <c r="D5441" i="7"/>
  <c r="D5440" i="7"/>
  <c r="F5450" i="7"/>
  <c r="U5450" i="7" s="1"/>
  <c r="H5450" i="7"/>
  <c r="H5447" i="7"/>
  <c r="F5440" i="7"/>
  <c r="F5451" i="7"/>
  <c r="U5451" i="7" s="1"/>
  <c r="F5441" i="7"/>
  <c r="U5441" i="7" s="1"/>
  <c r="D5450" i="7"/>
  <c r="D5434" i="7"/>
  <c r="F5433" i="7"/>
  <c r="U5433" i="7" s="1"/>
  <c r="J6003" i="7"/>
  <c r="J6002" i="7"/>
  <c r="J6010" i="7" s="1"/>
  <c r="J6004" i="7"/>
  <c r="J6012" i="7" s="1"/>
  <c r="J6007" i="7"/>
  <c r="J4477" i="7"/>
  <c r="J4474" i="7"/>
  <c r="J4482" i="7" s="1"/>
  <c r="J4472" i="7"/>
  <c r="J4480" i="7" s="1"/>
  <c r="J4473" i="7"/>
  <c r="Y4630" i="7"/>
  <c r="Y4627" i="7"/>
  <c r="Y4635" i="7"/>
  <c r="Y4636" i="7"/>
  <c r="Y4623" i="7"/>
  <c r="Y4637" i="7"/>
  <c r="Y4622" i="7"/>
  <c r="Y4632" i="7"/>
  <c r="Y4633" i="7" s="1"/>
  <c r="Y4631" i="7"/>
  <c r="Y4624" i="7"/>
  <c r="Y4625" i="7" s="1"/>
  <c r="Y5836" i="7"/>
  <c r="Y5832" i="7"/>
  <c r="Y5833" i="7" s="1"/>
  <c r="Y5835" i="7"/>
  <c r="Y5831" i="7"/>
  <c r="Y5823" i="7"/>
  <c r="Y5827" i="7"/>
  <c r="Y5837" i="7"/>
  <c r="Y5824" i="7"/>
  <c r="Y5825" i="7" s="1"/>
  <c r="Y5830" i="7"/>
  <c r="Y5822" i="7"/>
  <c r="F5391" i="7"/>
  <c r="U5391" i="7" s="1"/>
  <c r="F5386" i="7"/>
  <c r="U5386" i="7" s="1"/>
  <c r="H5390" i="7"/>
  <c r="H5389" i="7"/>
  <c r="F5372" i="7"/>
  <c r="H5386" i="7"/>
  <c r="D5391" i="7"/>
  <c r="F5381" i="7"/>
  <c r="U5381" i="7" s="1"/>
  <c r="D5372" i="7"/>
  <c r="F5380" i="7"/>
  <c r="H5385" i="7"/>
  <c r="F5390" i="7"/>
  <c r="U5390" i="7" s="1"/>
  <c r="H5387" i="7"/>
  <c r="D5373" i="7"/>
  <c r="D5382" i="7"/>
  <c r="D5386" i="7"/>
  <c r="D5377" i="7"/>
  <c r="W5377" i="7" s="1"/>
  <c r="F5373" i="7"/>
  <c r="U5373" i="7" s="1"/>
  <c r="D5366" i="7"/>
  <c r="D5390" i="7"/>
  <c r="H5391" i="7"/>
  <c r="G5366" i="7"/>
  <c r="F5382" i="7"/>
  <c r="F5385" i="7"/>
  <c r="U5385" i="7" s="1"/>
  <c r="F5374" i="7"/>
  <c r="F5387" i="7"/>
  <c r="U5387" i="7" s="1"/>
  <c r="D5380" i="7"/>
  <c r="F5389" i="7"/>
  <c r="U5389" i="7" s="1"/>
  <c r="F5377" i="7"/>
  <c r="D5381" i="7"/>
  <c r="D5374" i="7"/>
  <c r="D5387" i="7"/>
  <c r="D5385" i="7"/>
  <c r="D5389" i="7"/>
  <c r="Y4997" i="7"/>
  <c r="Y4982" i="7"/>
  <c r="Y4983" i="7"/>
  <c r="Y4990" i="7"/>
  <c r="Y4984" i="7"/>
  <c r="Y4985" i="7" s="1"/>
  <c r="Y4995" i="7"/>
  <c r="Y4991" i="7"/>
  <c r="Y4987" i="7"/>
  <c r="Y4996" i="7"/>
  <c r="Y4992" i="7"/>
  <c r="Y4993" i="7" s="1"/>
  <c r="AH153" i="24"/>
  <c r="K153" i="24" s="1"/>
  <c r="J603" i="7"/>
  <c r="J607" i="7"/>
  <c r="J602" i="7"/>
  <c r="J610" i="7" s="1"/>
  <c r="J604" i="7"/>
  <c r="J612" i="7" s="1"/>
  <c r="D718" i="7"/>
  <c r="D749" i="7"/>
  <c r="D595" i="7"/>
  <c r="D628" i="7"/>
  <c r="D625" i="7"/>
  <c r="D750" i="7"/>
  <c r="D751" i="7"/>
  <c r="Y757" i="7" s="1"/>
  <c r="D657" i="7"/>
  <c r="D659" i="7"/>
  <c r="D121" i="7"/>
  <c r="D59" i="7"/>
  <c r="D115" i="7"/>
  <c r="D120" i="7"/>
  <c r="D88" i="7"/>
  <c r="D28" i="7"/>
  <c r="D29" i="7"/>
  <c r="D30" i="7"/>
  <c r="D27" i="7"/>
  <c r="D31" i="7"/>
  <c r="D25" i="7"/>
  <c r="D90" i="7"/>
  <c r="D145" i="7"/>
  <c r="D118" i="7"/>
  <c r="D89" i="7"/>
  <c r="D119" i="7"/>
  <c r="D208" i="7"/>
  <c r="D55" i="7"/>
  <c r="D117" i="7"/>
  <c r="D60" i="7"/>
  <c r="D58" i="7"/>
  <c r="D87" i="7"/>
  <c r="D91" i="7"/>
  <c r="D57" i="7"/>
  <c r="D61" i="7"/>
  <c r="D85" i="7"/>
  <c r="D148" i="7"/>
  <c r="D149" i="7"/>
  <c r="D205" i="7"/>
  <c r="D147" i="7"/>
  <c r="D209" i="7"/>
  <c r="D175" i="7"/>
  <c r="D180" i="7"/>
  <c r="D211" i="7"/>
  <c r="D179" i="7"/>
  <c r="D150" i="7"/>
  <c r="D151" i="7"/>
  <c r="D177" i="7"/>
  <c r="D271" i="7"/>
  <c r="D207" i="7"/>
  <c r="D325" i="7"/>
  <c r="D235" i="7"/>
  <c r="D181" i="7"/>
  <c r="D327" i="7"/>
  <c r="D268" i="7"/>
  <c r="D178" i="7"/>
  <c r="D237" i="7"/>
  <c r="D270" i="7"/>
  <c r="D210" i="7"/>
  <c r="D265" i="7"/>
  <c r="D267" i="7"/>
  <c r="D295" i="7"/>
  <c r="D239" i="7"/>
  <c r="D391" i="7"/>
  <c r="D299" i="7"/>
  <c r="D269" i="7"/>
  <c r="D241" i="7"/>
  <c r="D238" i="7"/>
  <c r="D330" i="7"/>
  <c r="D301" i="7"/>
  <c r="D240" i="7"/>
  <c r="D355" i="7"/>
  <c r="D329" i="7"/>
  <c r="D298" i="7"/>
  <c r="D300" i="7"/>
  <c r="D360" i="7"/>
  <c r="D297" i="7"/>
  <c r="D357" i="7"/>
  <c r="D331" i="7"/>
  <c r="D390" i="7"/>
  <c r="D385" i="7"/>
  <c r="D328" i="7"/>
  <c r="D387" i="7"/>
  <c r="D359" i="7"/>
  <c r="D451" i="7"/>
  <c r="D358" i="7"/>
  <c r="D388" i="7"/>
  <c r="D361" i="7"/>
  <c r="D389" i="7"/>
  <c r="D478" i="7"/>
  <c r="D449" i="7"/>
  <c r="D481" i="7"/>
  <c r="D508" i="7"/>
  <c r="D448" i="7"/>
  <c r="D445" i="7"/>
  <c r="D475" i="7"/>
  <c r="D450" i="7"/>
  <c r="D571" i="7"/>
  <c r="D538" i="7"/>
  <c r="D447" i="7"/>
  <c r="D479" i="7"/>
  <c r="D480" i="7"/>
  <c r="D477" i="7"/>
  <c r="D507" i="7"/>
  <c r="D660" i="7"/>
  <c r="D598" i="7"/>
  <c r="D600" i="7"/>
  <c r="D601" i="7"/>
  <c r="D748" i="7"/>
  <c r="D631" i="7"/>
  <c r="D745" i="7"/>
  <c r="D761" i="7" s="1"/>
  <c r="D541" i="7"/>
  <c r="D719" i="7"/>
  <c r="D629" i="7"/>
  <c r="D567" i="7"/>
  <c r="D570" i="7"/>
  <c r="D689" i="7"/>
  <c r="D535" i="7"/>
  <c r="D661" i="7"/>
  <c r="D627" i="7"/>
  <c r="D630" i="7"/>
  <c r="D715" i="7"/>
  <c r="D721" i="7"/>
  <c r="D658" i="7"/>
  <c r="D568" i="7"/>
  <c r="D690" i="7"/>
  <c r="D510" i="7"/>
  <c r="D717" i="7"/>
  <c r="D691" i="7"/>
  <c r="D720" i="7"/>
  <c r="D685" i="7"/>
  <c r="D540" i="7"/>
  <c r="D747" i="7"/>
  <c r="J753" i="7" s="1"/>
  <c r="D688" i="7"/>
  <c r="D655" i="7"/>
  <c r="D599" i="7"/>
  <c r="D574" i="7"/>
  <c r="F587" i="7"/>
  <c r="U587" i="7" s="1"/>
  <c r="D591" i="7"/>
  <c r="F573" i="7"/>
  <c r="U573" i="7" s="1"/>
  <c r="H585" i="7"/>
  <c r="F591" i="7"/>
  <c r="U591" i="7" s="1"/>
  <c r="D585" i="7"/>
  <c r="H587" i="7"/>
  <c r="H586" i="7"/>
  <c r="G566" i="7"/>
  <c r="D586" i="7"/>
  <c r="D573" i="7"/>
  <c r="F582" i="7"/>
  <c r="D590" i="7"/>
  <c r="D582" i="7"/>
  <c r="D587" i="7"/>
  <c r="D581" i="7"/>
  <c r="D572" i="7"/>
  <c r="D589" i="7"/>
  <c r="D566" i="7"/>
  <c r="F577" i="7"/>
  <c r="D577" i="7"/>
  <c r="W577" i="7" s="1"/>
  <c r="H591" i="7"/>
  <c r="D580" i="7"/>
  <c r="H590" i="7"/>
  <c r="F581" i="7"/>
  <c r="U581" i="7" s="1"/>
  <c r="F574" i="7"/>
  <c r="F572" i="7"/>
  <c r="H589" i="7"/>
  <c r="F580" i="7"/>
  <c r="F586" i="7"/>
  <c r="U586" i="7" s="1"/>
  <c r="F589" i="7"/>
  <c r="U589" i="7" s="1"/>
  <c r="F590" i="7"/>
  <c r="U590" i="7" s="1"/>
  <c r="F585" i="7"/>
  <c r="U585" i="7" s="1"/>
  <c r="D537" i="7"/>
  <c r="D511" i="7"/>
  <c r="D687" i="7"/>
  <c r="D505" i="7"/>
  <c r="A826" i="7"/>
  <c r="A830" i="7"/>
  <c r="A815" i="7"/>
  <c r="A823" i="7"/>
  <c r="A812" i="7"/>
  <c r="A817" i="7"/>
  <c r="A821" i="7"/>
  <c r="A814" i="7"/>
  <c r="C805" i="7"/>
  <c r="A825" i="7"/>
  <c r="A831" i="7"/>
  <c r="A827" i="7"/>
  <c r="A829" i="7"/>
  <c r="A813" i="7"/>
  <c r="A820" i="7"/>
  <c r="A822" i="7"/>
  <c r="A835" i="7"/>
  <c r="D777" i="7"/>
  <c r="D775" i="7"/>
  <c r="D780" i="7"/>
  <c r="D779" i="7"/>
  <c r="D781" i="7"/>
  <c r="D778" i="7"/>
  <c r="B813" i="7"/>
  <c r="B820" i="7"/>
  <c r="B830" i="7"/>
  <c r="B825" i="7"/>
  <c r="B826" i="7"/>
  <c r="B817" i="7"/>
  <c r="B835" i="7"/>
  <c r="B821" i="7"/>
  <c r="B831" i="7"/>
  <c r="B815" i="7"/>
  <c r="B814" i="7"/>
  <c r="B822" i="7"/>
  <c r="B823" i="7"/>
  <c r="B829" i="7"/>
  <c r="B827" i="7"/>
  <c r="B812" i="7"/>
  <c r="L5931" i="7" l="1"/>
  <c r="L5419" i="7"/>
  <c r="W4905" i="7"/>
  <c r="W4909" i="7" s="1"/>
  <c r="L5601" i="7"/>
  <c r="AJ209" i="24"/>
  <c r="W6137" i="7"/>
  <c r="W6141" i="7" s="1"/>
  <c r="L5119" i="7"/>
  <c r="L6139" i="7"/>
  <c r="P5854" i="7"/>
  <c r="R5854" i="7" s="1"/>
  <c r="W4456" i="7"/>
  <c r="W4460" i="7" s="1"/>
  <c r="L6141" i="7"/>
  <c r="W6197" i="7"/>
  <c r="W6201" i="7" s="1"/>
  <c r="L6199" i="7"/>
  <c r="L5600" i="7"/>
  <c r="W6195" i="7"/>
  <c r="W6199" i="7" s="1"/>
  <c r="P6184" i="7"/>
  <c r="R6184" i="7" s="1"/>
  <c r="L4969" i="7"/>
  <c r="L5990" i="7"/>
  <c r="W6106" i="7"/>
  <c r="W6110" i="7" s="1"/>
  <c r="L5959" i="7"/>
  <c r="P6192" i="7"/>
  <c r="R6192" i="7" s="1"/>
  <c r="W5506" i="7"/>
  <c r="W5510" i="7" s="1"/>
  <c r="P5952" i="7"/>
  <c r="R5952" i="7" s="1"/>
  <c r="L5480" i="7"/>
  <c r="W5507" i="7"/>
  <c r="W5511" i="7" s="1"/>
  <c r="L6200" i="7"/>
  <c r="W6196" i="7"/>
  <c r="W6200" i="7" s="1"/>
  <c r="J6196" i="7"/>
  <c r="L6196" i="7"/>
  <c r="L5930" i="7"/>
  <c r="J6201" i="7"/>
  <c r="J6200" i="7"/>
  <c r="J6199" i="7"/>
  <c r="F6185" i="7"/>
  <c r="U6182" i="7"/>
  <c r="L6182" i="7"/>
  <c r="N6182" i="7" s="1"/>
  <c r="L6187" i="7"/>
  <c r="N6187" i="7" s="1"/>
  <c r="U6187" i="7"/>
  <c r="L6190" i="7"/>
  <c r="N6190" i="7" s="1"/>
  <c r="F6193" i="7"/>
  <c r="U6190" i="7"/>
  <c r="P6190" i="7"/>
  <c r="R6190" i="7" s="1"/>
  <c r="D6193" i="7"/>
  <c r="W6193" i="7" s="1"/>
  <c r="L6197" i="7"/>
  <c r="J6197" i="7"/>
  <c r="L6201" i="7"/>
  <c r="J6191" i="7"/>
  <c r="N6191" i="7" s="1"/>
  <c r="N6183" i="7"/>
  <c r="L6184" i="7"/>
  <c r="N6184" i="7" s="1"/>
  <c r="U6184" i="7"/>
  <c r="U6185" i="7" s="1"/>
  <c r="L6195" i="7"/>
  <c r="J6195" i="7"/>
  <c r="P6183" i="7"/>
  <c r="R6183" i="7" s="1"/>
  <c r="P6182" i="7"/>
  <c r="R6182" i="7" s="1"/>
  <c r="D6185" i="7"/>
  <c r="U6192" i="7"/>
  <c r="U6193" i="7" s="1"/>
  <c r="L6192" i="7"/>
  <c r="N6192" i="7" s="1"/>
  <c r="P6191" i="7"/>
  <c r="R6191" i="7" s="1"/>
  <c r="L6169" i="7"/>
  <c r="L5780" i="7"/>
  <c r="L6110" i="7"/>
  <c r="W5296" i="7"/>
  <c r="W5300" i="7" s="1"/>
  <c r="L5660" i="7"/>
  <c r="L6081" i="7"/>
  <c r="L6051" i="7"/>
  <c r="W6015" i="7"/>
  <c r="W6019" i="7" s="1"/>
  <c r="L5960" i="7"/>
  <c r="L5871" i="7"/>
  <c r="L5989" i="7"/>
  <c r="L6171" i="7"/>
  <c r="L6170" i="7"/>
  <c r="W6166" i="7"/>
  <c r="W6170" i="7" s="1"/>
  <c r="L6049" i="7"/>
  <c r="L6140" i="7"/>
  <c r="L6111" i="7"/>
  <c r="L6109" i="7"/>
  <c r="L6079" i="7"/>
  <c r="W6075" i="7"/>
  <c r="W6079" i="7" s="1"/>
  <c r="L6080" i="7"/>
  <c r="L6021" i="7"/>
  <c r="W4817" i="7"/>
  <c r="W4821" i="7" s="1"/>
  <c r="W6045" i="7"/>
  <c r="W6049" i="7" s="1"/>
  <c r="L6050" i="7"/>
  <c r="L6019" i="7"/>
  <c r="L6020" i="7"/>
  <c r="L5899" i="7"/>
  <c r="L5961" i="7"/>
  <c r="L5870" i="7"/>
  <c r="L5991" i="7"/>
  <c r="L5869" i="7"/>
  <c r="L5900" i="7"/>
  <c r="W5926" i="7"/>
  <c r="W5930" i="7" s="1"/>
  <c r="L5929" i="7"/>
  <c r="L5599" i="7"/>
  <c r="L5721" i="7"/>
  <c r="L5901" i="7"/>
  <c r="W5537" i="7"/>
  <c r="W5541" i="7" s="1"/>
  <c r="L5631" i="7"/>
  <c r="W5897" i="7"/>
  <c r="W5901" i="7" s="1"/>
  <c r="W5866" i="7"/>
  <c r="W5870" i="7" s="1"/>
  <c r="L5811" i="7"/>
  <c r="W5567" i="7"/>
  <c r="W5571" i="7" s="1"/>
  <c r="L5840" i="7"/>
  <c r="L5839" i="7"/>
  <c r="L5841" i="7"/>
  <c r="W5805" i="7"/>
  <c r="W5809" i="7" s="1"/>
  <c r="L5810" i="7"/>
  <c r="L5809" i="7"/>
  <c r="L5781" i="7"/>
  <c r="L5630" i="7"/>
  <c r="L5779" i="7"/>
  <c r="W5777" i="7"/>
  <c r="W5781" i="7" s="1"/>
  <c r="L5661" i="7"/>
  <c r="L5750" i="7"/>
  <c r="W5746" i="7"/>
  <c r="W5750" i="7" s="1"/>
  <c r="L5751" i="7"/>
  <c r="L5749" i="7"/>
  <c r="L5689" i="7"/>
  <c r="L5691" i="7"/>
  <c r="W5716" i="7"/>
  <c r="W5720" i="7" s="1"/>
  <c r="L5719" i="7"/>
  <c r="L5720" i="7"/>
  <c r="W5686" i="7"/>
  <c r="W5690" i="7" s="1"/>
  <c r="L5690" i="7"/>
  <c r="L5659" i="7"/>
  <c r="W5655" i="7"/>
  <c r="W5659" i="7" s="1"/>
  <c r="W5627" i="7"/>
  <c r="W5631" i="7" s="1"/>
  <c r="L5629" i="7"/>
  <c r="L5539" i="7"/>
  <c r="L5571" i="7"/>
  <c r="W5597" i="7"/>
  <c r="W5601" i="7" s="1"/>
  <c r="P6162" i="7"/>
  <c r="R6162" i="7" s="1"/>
  <c r="L5569" i="7"/>
  <c r="L5570" i="7"/>
  <c r="P4834" i="7"/>
  <c r="R4834" i="7" s="1"/>
  <c r="L5541" i="7"/>
  <c r="W4906" i="7"/>
  <c r="W4910" i="7" s="1"/>
  <c r="L5540" i="7"/>
  <c r="W5867" i="7"/>
  <c r="W5871" i="7" s="1"/>
  <c r="L5211" i="7"/>
  <c r="W5865" i="7"/>
  <c r="W5869" i="7" s="1"/>
  <c r="L5391" i="7"/>
  <c r="P6153" i="7"/>
  <c r="R6153" i="7" s="1"/>
  <c r="L5510" i="7"/>
  <c r="L5479" i="7"/>
  <c r="W5387" i="7"/>
  <c r="W5391" i="7" s="1"/>
  <c r="L5390" i="7"/>
  <c r="W5295" i="7"/>
  <c r="W5299" i="7" s="1"/>
  <c r="L5389" i="7"/>
  <c r="L5450" i="7"/>
  <c r="W5807" i="7"/>
  <c r="W5811" i="7" s="1"/>
  <c r="L5421" i="7"/>
  <c r="P6152" i="7"/>
  <c r="R6152" i="7" s="1"/>
  <c r="D6155" i="7"/>
  <c r="P6154" i="7"/>
  <c r="R6154" i="7" s="1"/>
  <c r="P4902" i="7"/>
  <c r="R4902" i="7" s="1"/>
  <c r="L6157" i="7"/>
  <c r="N6157" i="7" s="1"/>
  <c r="U6157" i="7"/>
  <c r="P6012" i="7"/>
  <c r="R6012" i="7" s="1"/>
  <c r="U6162" i="7"/>
  <c r="U6163" i="7" s="1"/>
  <c r="L6162" i="7"/>
  <c r="F6155" i="7"/>
  <c r="U6152" i="7"/>
  <c r="L6152" i="7"/>
  <c r="N6152" i="7" s="1"/>
  <c r="P6161" i="7"/>
  <c r="R6161" i="7" s="1"/>
  <c r="F6163" i="7"/>
  <c r="U6160" i="7"/>
  <c r="L6160" i="7"/>
  <c r="N6160" i="7" s="1"/>
  <c r="J6162" i="7"/>
  <c r="L6166" i="7"/>
  <c r="J6166" i="7"/>
  <c r="L6154" i="7"/>
  <c r="N6154" i="7" s="1"/>
  <c r="U6154" i="7"/>
  <c r="U6155" i="7" s="1"/>
  <c r="L6167" i="7"/>
  <c r="J6167" i="7"/>
  <c r="J6161" i="7"/>
  <c r="N6161" i="7" s="1"/>
  <c r="N6153" i="7"/>
  <c r="J6170" i="7"/>
  <c r="J6171" i="7"/>
  <c r="J6169" i="7"/>
  <c r="W5117" i="7"/>
  <c r="W5121" i="7" s="1"/>
  <c r="W6136" i="7"/>
  <c r="W6140" i="7" s="1"/>
  <c r="W6165" i="7"/>
  <c r="W6169" i="7" s="1"/>
  <c r="L6165" i="7"/>
  <c r="J6165" i="7"/>
  <c r="W4455" i="7"/>
  <c r="W4459" i="7" s="1"/>
  <c r="L5481" i="7"/>
  <c r="L5241" i="7"/>
  <c r="W6135" i="7"/>
  <c r="W6139" i="7" s="1"/>
  <c r="P6160" i="7"/>
  <c r="R6160" i="7" s="1"/>
  <c r="D6163" i="7"/>
  <c r="W6163" i="7" s="1"/>
  <c r="W6167" i="7"/>
  <c r="W6171" i="7" s="1"/>
  <c r="L5511" i="7"/>
  <c r="L5509" i="7"/>
  <c r="L5451" i="7"/>
  <c r="W5505" i="7"/>
  <c r="W5509" i="7" s="1"/>
  <c r="W5055" i="7"/>
  <c r="W5059" i="7" s="1"/>
  <c r="W5476" i="7"/>
  <c r="W5480" i="7" s="1"/>
  <c r="L5449" i="7"/>
  <c r="W5447" i="7"/>
  <c r="W5451" i="7" s="1"/>
  <c r="W5416" i="7"/>
  <c r="W5420" i="7" s="1"/>
  <c r="P4632" i="7"/>
  <c r="R4632" i="7" s="1"/>
  <c r="W4426" i="7"/>
  <c r="W4430" i="7" s="1"/>
  <c r="L5420" i="7"/>
  <c r="L5360" i="7"/>
  <c r="P6094" i="7"/>
  <c r="R6094" i="7" s="1"/>
  <c r="P6132" i="7"/>
  <c r="R6132" i="7" s="1"/>
  <c r="L5361" i="7"/>
  <c r="L4551" i="7"/>
  <c r="P5794" i="7"/>
  <c r="R5794" i="7" s="1"/>
  <c r="P5861" i="7"/>
  <c r="R5861" i="7" s="1"/>
  <c r="W4547" i="7"/>
  <c r="W4551" i="7" s="1"/>
  <c r="P4324" i="7"/>
  <c r="R4324" i="7" s="1"/>
  <c r="P5412" i="7"/>
  <c r="R5412" i="7" s="1"/>
  <c r="W5116" i="7"/>
  <c r="W5120" i="7" s="1"/>
  <c r="L5359" i="7"/>
  <c r="P5614" i="7"/>
  <c r="R5614" i="7" s="1"/>
  <c r="W5477" i="7"/>
  <c r="W5481" i="7" s="1"/>
  <c r="P5404" i="7"/>
  <c r="R5404" i="7" s="1"/>
  <c r="W4516" i="7"/>
  <c r="W4520" i="7" s="1"/>
  <c r="L5061" i="7"/>
  <c r="L4431" i="7"/>
  <c r="P6123" i="7"/>
  <c r="R6123" i="7" s="1"/>
  <c r="W4787" i="7"/>
  <c r="W4791" i="7" s="1"/>
  <c r="W5475" i="7"/>
  <c r="W5479" i="7" s="1"/>
  <c r="L4850" i="7"/>
  <c r="W4785" i="7"/>
  <c r="W4789" i="7" s="1"/>
  <c r="W5056" i="7"/>
  <c r="W5060" i="7" s="1"/>
  <c r="W6076" i="7"/>
  <c r="W6080" i="7" s="1"/>
  <c r="W5057" i="7"/>
  <c r="W5061" i="7" s="1"/>
  <c r="W6077" i="7"/>
  <c r="W6081" i="7" s="1"/>
  <c r="L6135" i="7"/>
  <c r="J6135" i="7"/>
  <c r="F6125" i="7"/>
  <c r="U6122" i="7"/>
  <c r="L6122" i="7"/>
  <c r="N6122" i="7" s="1"/>
  <c r="N6123" i="7"/>
  <c r="J6131" i="7"/>
  <c r="N6131" i="7" s="1"/>
  <c r="U6132" i="7"/>
  <c r="U6133" i="7" s="1"/>
  <c r="L6132" i="7"/>
  <c r="N6132" i="7" s="1"/>
  <c r="L6137" i="7"/>
  <c r="J6137" i="7"/>
  <c r="U6130" i="7"/>
  <c r="F6133" i="7"/>
  <c r="L6130" i="7"/>
  <c r="N6130" i="7" s="1"/>
  <c r="W4457" i="7"/>
  <c r="W4461" i="7" s="1"/>
  <c r="J6136" i="7"/>
  <c r="L6136" i="7"/>
  <c r="P6122" i="7"/>
  <c r="R6122" i="7" s="1"/>
  <c r="D6125" i="7"/>
  <c r="U6127" i="7"/>
  <c r="L6127" i="7"/>
  <c r="N6127" i="7" s="1"/>
  <c r="J6141" i="7"/>
  <c r="J6140" i="7"/>
  <c r="J6139" i="7"/>
  <c r="L6124" i="7"/>
  <c r="N6124" i="7" s="1"/>
  <c r="U6124" i="7"/>
  <c r="U6125" i="7" s="1"/>
  <c r="W4695" i="7"/>
  <c r="W4699" i="7" s="1"/>
  <c r="P5104" i="7"/>
  <c r="R5104" i="7" s="1"/>
  <c r="W5115" i="7"/>
  <c r="W5119" i="7" s="1"/>
  <c r="P5224" i="7"/>
  <c r="R5224" i="7" s="1"/>
  <c r="P6130" i="7"/>
  <c r="R6130" i="7" s="1"/>
  <c r="D6133" i="7"/>
  <c r="W6133" i="7" s="1"/>
  <c r="P5733" i="7"/>
  <c r="R5733" i="7" s="1"/>
  <c r="W4935" i="7"/>
  <c r="W4939" i="7" s="1"/>
  <c r="P6131" i="7"/>
  <c r="R6131" i="7" s="1"/>
  <c r="P6124" i="7"/>
  <c r="R6124" i="7" s="1"/>
  <c r="W4727" i="7"/>
  <c r="W4731" i="7" s="1"/>
  <c r="W4876" i="7"/>
  <c r="W4880" i="7" s="1"/>
  <c r="L4939" i="7"/>
  <c r="W4907" i="7"/>
  <c r="W4911" i="7" s="1"/>
  <c r="L5271" i="7"/>
  <c r="L4731" i="7"/>
  <c r="L4430" i="7"/>
  <c r="L4341" i="7"/>
  <c r="L4880" i="7"/>
  <c r="W4697" i="7"/>
  <c r="W4701" i="7" s="1"/>
  <c r="P4683" i="7"/>
  <c r="R4683" i="7" s="1"/>
  <c r="W4996" i="7"/>
  <c r="W5000" i="7" s="1"/>
  <c r="P4602" i="7"/>
  <c r="R4602" i="7" s="1"/>
  <c r="W4637" i="7"/>
  <c r="W4641" i="7" s="1"/>
  <c r="L5001" i="7"/>
  <c r="W4967" i="7"/>
  <c r="W4971" i="7" s="1"/>
  <c r="L5240" i="7"/>
  <c r="P5231" i="7"/>
  <c r="R5231" i="7" s="1"/>
  <c r="W5175" i="7"/>
  <c r="W5179" i="7" s="1"/>
  <c r="P5292" i="7"/>
  <c r="R5292" i="7" s="1"/>
  <c r="L5121" i="7"/>
  <c r="L4641" i="7"/>
  <c r="P5142" i="7"/>
  <c r="R5142" i="7" s="1"/>
  <c r="L4699" i="7"/>
  <c r="L4550" i="7"/>
  <c r="P5592" i="7"/>
  <c r="R5592" i="7" s="1"/>
  <c r="W4696" i="7"/>
  <c r="W4700" i="7" s="1"/>
  <c r="W5957" i="7"/>
  <c r="W5961" i="7" s="1"/>
  <c r="P4511" i="7"/>
  <c r="R4511" i="7" s="1"/>
  <c r="L5239" i="7"/>
  <c r="W5177" i="7"/>
  <c r="W5181" i="7" s="1"/>
  <c r="L5180" i="7"/>
  <c r="P5561" i="7"/>
  <c r="R5561" i="7" s="1"/>
  <c r="W4366" i="7"/>
  <c r="W4370" i="7" s="1"/>
  <c r="W4365" i="7"/>
  <c r="W4369" i="7" s="1"/>
  <c r="P5914" i="7"/>
  <c r="R5914" i="7" s="1"/>
  <c r="W4306" i="7"/>
  <c r="W4310" i="7" s="1"/>
  <c r="L4639" i="7"/>
  <c r="P4983" i="7"/>
  <c r="R4983" i="7" s="1"/>
  <c r="W5207" i="7"/>
  <c r="W5211" i="7" s="1"/>
  <c r="L5300" i="7"/>
  <c r="W4545" i="7"/>
  <c r="W4549" i="7" s="1"/>
  <c r="P5133" i="7"/>
  <c r="R5133" i="7" s="1"/>
  <c r="L4761" i="7"/>
  <c r="W5267" i="7"/>
  <c r="W5271" i="7" s="1"/>
  <c r="L4400" i="7"/>
  <c r="P5283" i="7"/>
  <c r="R5283" i="7" s="1"/>
  <c r="P5344" i="7"/>
  <c r="R5344" i="7" s="1"/>
  <c r="W5955" i="7"/>
  <c r="W5959" i="7" s="1"/>
  <c r="L4789" i="7"/>
  <c r="P5922" i="7"/>
  <c r="R5922" i="7" s="1"/>
  <c r="L5179" i="7"/>
  <c r="L4760" i="7"/>
  <c r="P4302" i="7"/>
  <c r="R4302" i="7" s="1"/>
  <c r="P5352" i="7"/>
  <c r="R5352" i="7" s="1"/>
  <c r="P5321" i="7"/>
  <c r="R5321" i="7" s="1"/>
  <c r="L5030" i="7"/>
  <c r="L4879" i="7"/>
  <c r="L4821" i="7"/>
  <c r="W4427" i="7"/>
  <c r="W4431" i="7" s="1"/>
  <c r="W4576" i="7"/>
  <c r="W4580" i="7" s="1"/>
  <c r="W4517" i="7"/>
  <c r="W4521" i="7" s="1"/>
  <c r="W5806" i="7"/>
  <c r="W5810" i="7" s="1"/>
  <c r="W5146" i="7"/>
  <c r="W5150" i="7" s="1"/>
  <c r="P5621" i="7"/>
  <c r="R5621" i="7" s="1"/>
  <c r="P4804" i="7"/>
  <c r="R4804" i="7" s="1"/>
  <c r="P4421" i="7"/>
  <c r="R4421" i="7" s="1"/>
  <c r="P4872" i="7"/>
  <c r="R4872" i="7" s="1"/>
  <c r="P4623" i="7"/>
  <c r="R4623" i="7" s="1"/>
  <c r="P4864" i="7"/>
  <c r="R4864" i="7" s="1"/>
  <c r="W4515" i="7"/>
  <c r="W4519" i="7" s="1"/>
  <c r="W5656" i="7"/>
  <c r="W5660" i="7" s="1"/>
  <c r="P4722" i="7"/>
  <c r="R4722" i="7" s="1"/>
  <c r="P5764" i="7"/>
  <c r="R5764" i="7" s="1"/>
  <c r="W4845" i="7"/>
  <c r="W4849" i="7" s="1"/>
  <c r="W5657" i="7"/>
  <c r="W5661" i="7" s="1"/>
  <c r="L4491" i="7"/>
  <c r="P4744" i="7"/>
  <c r="R4744" i="7" s="1"/>
  <c r="P5021" i="7"/>
  <c r="R5021" i="7" s="1"/>
  <c r="P5583" i="7"/>
  <c r="R5583" i="7" s="1"/>
  <c r="W4396" i="7"/>
  <c r="W4400" i="7" s="1"/>
  <c r="P5524" i="7"/>
  <c r="R5524" i="7" s="1"/>
  <c r="W4877" i="7"/>
  <c r="W4881" i="7" s="1"/>
  <c r="P4504" i="7"/>
  <c r="R4504" i="7" s="1"/>
  <c r="P5802" i="7"/>
  <c r="R5802" i="7" s="1"/>
  <c r="W5536" i="7"/>
  <c r="W5540" i="7" s="1"/>
  <c r="P4691" i="7"/>
  <c r="R4691" i="7" s="1"/>
  <c r="W4305" i="7"/>
  <c r="W4309" i="7" s="1"/>
  <c r="W5535" i="7"/>
  <c r="W5539" i="7" s="1"/>
  <c r="P5163" i="7"/>
  <c r="R5163" i="7" s="1"/>
  <c r="P4962" i="7"/>
  <c r="R4962" i="7" s="1"/>
  <c r="P4953" i="7"/>
  <c r="R4953" i="7" s="1"/>
  <c r="P4332" i="7"/>
  <c r="R4332" i="7" s="1"/>
  <c r="W4337" i="7"/>
  <c r="W4341" i="7" s="1"/>
  <c r="P5261" i="7"/>
  <c r="R5261" i="7" s="1"/>
  <c r="P4391" i="7"/>
  <c r="R4391" i="7" s="1"/>
  <c r="P4991" i="7"/>
  <c r="R4991" i="7" s="1"/>
  <c r="L5031" i="7"/>
  <c r="L4941" i="7"/>
  <c r="W5085" i="7"/>
  <c r="W5089" i="7" s="1"/>
  <c r="P5314" i="7"/>
  <c r="R5314" i="7" s="1"/>
  <c r="P5193" i="7"/>
  <c r="R5193" i="7" s="1"/>
  <c r="P5741" i="7"/>
  <c r="R5741" i="7" s="1"/>
  <c r="P4564" i="7"/>
  <c r="R4564" i="7" s="1"/>
  <c r="L4579" i="7"/>
  <c r="L4521" i="7"/>
  <c r="P4512" i="7"/>
  <c r="R4512" i="7" s="1"/>
  <c r="P4451" i="7"/>
  <c r="R4451" i="7" s="1"/>
  <c r="W4965" i="7"/>
  <c r="W4969" i="7" s="1"/>
  <c r="P4533" i="7"/>
  <c r="R4533" i="7" s="1"/>
  <c r="W4726" i="7"/>
  <c r="W4730" i="7" s="1"/>
  <c r="L4730" i="7"/>
  <c r="P5171" i="7"/>
  <c r="R5171" i="7" s="1"/>
  <c r="P5943" i="7"/>
  <c r="R5943" i="7" s="1"/>
  <c r="P5471" i="7"/>
  <c r="R5471" i="7" s="1"/>
  <c r="P5464" i="7"/>
  <c r="R5464" i="7" s="1"/>
  <c r="P5074" i="7"/>
  <c r="R5074" i="7" s="1"/>
  <c r="W4605" i="7"/>
  <c r="W4609" i="7" s="1"/>
  <c r="L5090" i="7"/>
  <c r="P4662" i="7"/>
  <c r="R4662" i="7" s="1"/>
  <c r="L4670" i="7"/>
  <c r="W5145" i="7"/>
  <c r="W5149" i="7" s="1"/>
  <c r="W4487" i="7"/>
  <c r="W4491" i="7" s="1"/>
  <c r="P4293" i="7"/>
  <c r="R4293" i="7" s="1"/>
  <c r="W5385" i="7"/>
  <c r="W5389" i="7" s="1"/>
  <c r="P5673" i="7"/>
  <c r="R5673" i="7" s="1"/>
  <c r="P5531" i="7"/>
  <c r="R5531" i="7" s="1"/>
  <c r="W4966" i="7"/>
  <c r="W4970" i="7" s="1"/>
  <c r="W6016" i="7"/>
  <c r="W6020" i="7" s="1"/>
  <c r="W4725" i="7"/>
  <c r="W4729" i="7" s="1"/>
  <c r="L4371" i="7"/>
  <c r="W4786" i="7"/>
  <c r="W4790" i="7" s="1"/>
  <c r="L4460" i="7"/>
  <c r="L4609" i="7"/>
  <c r="P5831" i="7"/>
  <c r="R5831" i="7" s="1"/>
  <c r="L4759" i="7"/>
  <c r="L4340" i="7"/>
  <c r="P5254" i="7"/>
  <c r="R5254" i="7" s="1"/>
  <c r="P6033" i="7"/>
  <c r="R6033" i="7" s="1"/>
  <c r="P5711" i="7"/>
  <c r="R5711" i="7" s="1"/>
  <c r="P5704" i="7"/>
  <c r="R5704" i="7" s="1"/>
  <c r="W4875" i="7"/>
  <c r="W4879" i="7" s="1"/>
  <c r="P4713" i="7"/>
  <c r="R4713" i="7" s="1"/>
  <c r="P5493" i="7"/>
  <c r="R5493" i="7" s="1"/>
  <c r="W4577" i="7"/>
  <c r="W4581" i="7" s="1"/>
  <c r="W5745" i="7"/>
  <c r="W5749" i="7" s="1"/>
  <c r="W5147" i="7"/>
  <c r="W5151" i="7" s="1"/>
  <c r="P4481" i="7"/>
  <c r="R4481" i="7" s="1"/>
  <c r="P4751" i="7"/>
  <c r="R4751" i="7" s="1"/>
  <c r="W5087" i="7"/>
  <c r="W5091" i="7" s="1"/>
  <c r="P5434" i="7"/>
  <c r="R5434" i="7" s="1"/>
  <c r="L5091" i="7"/>
  <c r="L5151" i="7"/>
  <c r="W5326" i="7"/>
  <c r="W5330" i="7" s="1"/>
  <c r="L4401" i="7"/>
  <c r="L5209" i="7"/>
  <c r="W4846" i="7"/>
  <c r="W4850" i="7" s="1"/>
  <c r="P5014" i="7"/>
  <c r="R5014" i="7" s="1"/>
  <c r="P5501" i="7"/>
  <c r="R5501" i="7" s="1"/>
  <c r="W5747" i="7"/>
  <c r="W5751" i="7" s="1"/>
  <c r="W5086" i="7"/>
  <c r="W5090" i="7" s="1"/>
  <c r="W5386" i="7"/>
  <c r="W5390" i="7" s="1"/>
  <c r="P5374" i="7"/>
  <c r="R5374" i="7" s="1"/>
  <c r="P5382" i="7"/>
  <c r="R5382" i="7" s="1"/>
  <c r="P5081" i="7"/>
  <c r="R5081" i="7" s="1"/>
  <c r="P5891" i="7"/>
  <c r="R5891" i="7" s="1"/>
  <c r="L5329" i="7"/>
  <c r="W5266" i="7"/>
  <c r="W5270" i="7" s="1"/>
  <c r="P4542" i="7"/>
  <c r="R4542" i="7" s="1"/>
  <c r="W5026" i="7"/>
  <c r="W5030" i="7" s="1"/>
  <c r="W5776" i="7"/>
  <c r="W5780" i="7" s="1"/>
  <c r="P4924" i="7"/>
  <c r="R4924" i="7" s="1"/>
  <c r="P4571" i="7"/>
  <c r="R4571" i="7" s="1"/>
  <c r="W4425" i="7"/>
  <c r="W4429" i="7" s="1"/>
  <c r="P4414" i="7"/>
  <c r="R4414" i="7" s="1"/>
  <c r="P4774" i="7"/>
  <c r="R4774" i="7" s="1"/>
  <c r="P5974" i="7"/>
  <c r="R5974" i="7" s="1"/>
  <c r="L4459" i="7"/>
  <c r="P5883" i="7"/>
  <c r="R5883" i="7" s="1"/>
  <c r="P5442" i="7"/>
  <c r="R5442" i="7" s="1"/>
  <c r="P4473" i="7"/>
  <c r="R4473" i="7" s="1"/>
  <c r="L4610" i="7"/>
  <c r="L4671" i="7"/>
  <c r="L4489" i="7"/>
  <c r="W5265" i="7"/>
  <c r="W5269" i="7" s="1"/>
  <c r="W5025" i="7"/>
  <c r="W5029" i="7" s="1"/>
  <c r="W5775" i="7"/>
  <c r="W5779" i="7" s="1"/>
  <c r="P4353" i="7"/>
  <c r="R4353" i="7" s="1"/>
  <c r="P5981" i="7"/>
  <c r="R5981" i="7" s="1"/>
  <c r="P4653" i="7"/>
  <c r="R4653" i="7" s="1"/>
  <c r="P4594" i="7"/>
  <c r="R4594" i="7" s="1"/>
  <c r="P4384" i="7"/>
  <c r="R4384" i="7" s="1"/>
  <c r="P5202" i="7"/>
  <c r="R5202" i="7" s="1"/>
  <c r="L5181" i="7"/>
  <c r="P5652" i="7"/>
  <c r="R5652" i="7" s="1"/>
  <c r="P5982" i="7"/>
  <c r="R5982" i="7" s="1"/>
  <c r="L5301" i="7"/>
  <c r="J5899" i="7"/>
  <c r="J5900" i="7"/>
  <c r="J5901" i="7"/>
  <c r="J5541" i="7"/>
  <c r="J5539" i="7"/>
  <c r="J5540" i="7"/>
  <c r="J4636" i="7"/>
  <c r="L4636" i="7"/>
  <c r="L4696" i="7"/>
  <c r="J4696" i="7"/>
  <c r="D5593" i="7"/>
  <c r="W5593" i="7" s="1"/>
  <c r="P5590" i="7"/>
  <c r="R5590" i="7" s="1"/>
  <c r="L5764" i="7"/>
  <c r="N5764" i="7" s="1"/>
  <c r="U5764" i="7"/>
  <c r="U5765" i="7" s="1"/>
  <c r="U6037" i="7"/>
  <c r="L6037" i="7"/>
  <c r="N6037" i="7" s="1"/>
  <c r="P6037" i="7" s="1"/>
  <c r="R6037" i="7" s="1"/>
  <c r="J5510" i="7"/>
  <c r="J5511" i="7"/>
  <c r="J5509" i="7"/>
  <c r="J5681" i="7"/>
  <c r="N5681" i="7" s="1"/>
  <c r="N5673" i="7"/>
  <c r="J5959" i="7"/>
  <c r="J5960" i="7"/>
  <c r="J5961" i="7"/>
  <c r="N5855" i="7"/>
  <c r="D5855" i="7"/>
  <c r="P5852" i="7"/>
  <c r="R5852" i="7" s="1"/>
  <c r="L5860" i="7"/>
  <c r="N5860" i="7" s="1"/>
  <c r="F5863" i="7"/>
  <c r="U5860" i="7"/>
  <c r="U5052" i="7"/>
  <c r="U5053" i="7" s="1"/>
  <c r="L5052" i="7"/>
  <c r="N5052" i="7" s="1"/>
  <c r="D5045" i="7"/>
  <c r="P5042" i="7"/>
  <c r="R5042" i="7" s="1"/>
  <c r="J4966" i="7"/>
  <c r="L4966" i="7"/>
  <c r="L5284" i="7"/>
  <c r="N5284" i="7" s="1"/>
  <c r="U5284" i="7"/>
  <c r="U5285" i="7" s="1"/>
  <c r="J5921" i="7"/>
  <c r="N5921" i="7" s="1"/>
  <c r="N5913" i="7"/>
  <c r="F6073" i="7"/>
  <c r="U6070" i="7"/>
  <c r="L6070" i="7"/>
  <c r="N6070" i="7" s="1"/>
  <c r="J5117" i="7"/>
  <c r="L5117" i="7"/>
  <c r="F5105" i="7"/>
  <c r="U5102" i="7"/>
  <c r="L5102" i="7"/>
  <c r="N5102" i="7" s="1"/>
  <c r="W5235" i="7"/>
  <c r="W5239" i="7" s="1"/>
  <c r="L5134" i="7"/>
  <c r="N5134" i="7" s="1"/>
  <c r="U5134" i="7"/>
  <c r="U5135" i="7" s="1"/>
  <c r="L4992" i="7"/>
  <c r="N4992" i="7" s="1"/>
  <c r="U4992" i="7"/>
  <c r="U4993" i="7" s="1"/>
  <c r="N5043" i="7"/>
  <c r="J5051" i="7"/>
  <c r="N5051" i="7" s="1"/>
  <c r="L4504" i="7"/>
  <c r="N4504" i="7" s="1"/>
  <c r="U4504" i="7"/>
  <c r="U4505" i="7" s="1"/>
  <c r="L4905" i="7"/>
  <c r="J4905" i="7"/>
  <c r="U5232" i="7"/>
  <c r="U5233" i="7" s="1"/>
  <c r="L5232" i="7"/>
  <c r="N5232" i="7" s="1"/>
  <c r="U5442" i="7"/>
  <c r="U5443" i="7" s="1"/>
  <c r="L5442" i="7"/>
  <c r="N5442" i="7" s="1"/>
  <c r="U5912" i="7"/>
  <c r="F5915" i="7"/>
  <c r="L5912" i="7"/>
  <c r="N5912" i="7" s="1"/>
  <c r="P5192" i="7"/>
  <c r="R5192" i="7" s="1"/>
  <c r="D5195" i="7"/>
  <c r="U5582" i="7"/>
  <c r="F5585" i="7"/>
  <c r="L5582" i="7"/>
  <c r="N5582" i="7" s="1"/>
  <c r="L4606" i="7"/>
  <c r="J4606" i="7"/>
  <c r="J5625" i="7"/>
  <c r="L5625" i="7"/>
  <c r="J5359" i="7"/>
  <c r="J5360" i="7"/>
  <c r="J5361" i="7"/>
  <c r="F5833" i="7"/>
  <c r="U5830" i="7"/>
  <c r="L5830" i="7"/>
  <c r="N5830" i="7" s="1"/>
  <c r="P5672" i="7"/>
  <c r="R5672" i="7" s="1"/>
  <c r="D5675" i="7"/>
  <c r="P5522" i="7"/>
  <c r="R5522" i="7" s="1"/>
  <c r="D5525" i="7"/>
  <c r="L5717" i="7"/>
  <c r="J5717" i="7"/>
  <c r="D4393" i="7"/>
  <c r="W4393" i="7" s="1"/>
  <c r="P4390" i="7"/>
  <c r="R4390" i="7" s="1"/>
  <c r="N4503" i="7"/>
  <c r="J4511" i="7"/>
  <c r="N4511" i="7" s="1"/>
  <c r="W4816" i="7"/>
  <c r="W4820" i="7" s="1"/>
  <c r="P4540" i="7"/>
  <c r="R4540" i="7" s="1"/>
  <c r="D4543" i="7"/>
  <c r="W4543" i="7" s="1"/>
  <c r="U4540" i="7"/>
  <c r="L4540" i="7"/>
  <c r="N4540" i="7" s="1"/>
  <c r="F4543" i="7"/>
  <c r="J5207" i="7"/>
  <c r="L5207" i="7"/>
  <c r="J4725" i="7"/>
  <c r="L4725" i="7"/>
  <c r="J5861" i="7"/>
  <c r="N5861" i="7" s="1"/>
  <c r="N5853" i="7"/>
  <c r="U4692" i="7"/>
  <c r="U4693" i="7" s="1"/>
  <c r="L4692" i="7"/>
  <c r="N4692" i="7" s="1"/>
  <c r="W4307" i="7"/>
  <c r="W4311" i="7" s="1"/>
  <c r="L5177" i="7"/>
  <c r="J5177" i="7"/>
  <c r="L5164" i="7"/>
  <c r="N5164" i="7" s="1"/>
  <c r="U5164" i="7"/>
  <c r="U5165" i="7" s="1"/>
  <c r="L4876" i="7"/>
  <c r="J4876" i="7"/>
  <c r="P5411" i="7"/>
  <c r="R5411" i="7" s="1"/>
  <c r="J5419" i="7"/>
  <c r="N5419" i="7" s="1"/>
  <c r="J5421" i="7"/>
  <c r="J5420" i="7"/>
  <c r="L6017" i="7"/>
  <c r="J6017" i="7"/>
  <c r="L5770" i="7"/>
  <c r="N5770" i="7" s="1"/>
  <c r="F5773" i="7"/>
  <c r="U5770" i="7"/>
  <c r="L5772" i="7"/>
  <c r="N5772" i="7" s="1"/>
  <c r="U5772" i="7"/>
  <c r="U5773" i="7" s="1"/>
  <c r="J4331" i="7"/>
  <c r="N4331" i="7" s="1"/>
  <c r="N4323" i="7"/>
  <c r="P4840" i="7"/>
  <c r="R4840" i="7" s="1"/>
  <c r="D4843" i="7"/>
  <c r="W4843" i="7" s="1"/>
  <c r="U5734" i="7"/>
  <c r="U5735" i="7" s="1"/>
  <c r="L5734" i="7"/>
  <c r="N5734" i="7" s="1"/>
  <c r="J5506" i="7"/>
  <c r="L5506" i="7"/>
  <c r="U5502" i="7"/>
  <c r="U5503" i="7" s="1"/>
  <c r="L5502" i="7"/>
  <c r="N5502" i="7" s="1"/>
  <c r="U4564" i="7"/>
  <c r="U4565" i="7" s="1"/>
  <c r="L4564" i="7"/>
  <c r="N4564" i="7" s="1"/>
  <c r="P4361" i="7"/>
  <c r="R4361" i="7" s="1"/>
  <c r="J5566" i="7"/>
  <c r="L5566" i="7"/>
  <c r="U5942" i="7"/>
  <c r="L5942" i="7"/>
  <c r="N5942" i="7" s="1"/>
  <c r="F5945" i="7"/>
  <c r="L5952" i="7"/>
  <c r="N5952" i="7" s="1"/>
  <c r="U5952" i="7"/>
  <c r="U5953" i="7" s="1"/>
  <c r="L5867" i="7"/>
  <c r="J5867" i="7"/>
  <c r="J5057" i="7"/>
  <c r="L5057" i="7"/>
  <c r="P5043" i="7"/>
  <c r="R5043" i="7" s="1"/>
  <c r="L4417" i="7"/>
  <c r="N4417" i="7" s="1"/>
  <c r="U4417" i="7"/>
  <c r="L4426" i="7"/>
  <c r="J4426" i="7"/>
  <c r="L5986" i="7"/>
  <c r="J5986" i="7"/>
  <c r="U4444" i="7"/>
  <c r="U4445" i="7" s="1"/>
  <c r="L4444" i="7"/>
  <c r="N4444" i="7" s="1"/>
  <c r="J5475" i="7"/>
  <c r="L5475" i="7"/>
  <c r="L5467" i="7"/>
  <c r="N5467" i="7" s="1"/>
  <c r="U5467" i="7"/>
  <c r="L4965" i="7"/>
  <c r="J4965" i="7"/>
  <c r="J5295" i="7"/>
  <c r="L5295" i="7"/>
  <c r="P5103" i="7"/>
  <c r="R5103" i="7" s="1"/>
  <c r="L5237" i="7"/>
  <c r="J5237" i="7"/>
  <c r="D5825" i="7"/>
  <c r="P5822" i="7"/>
  <c r="R5822" i="7" s="1"/>
  <c r="P5373" i="7"/>
  <c r="R5373" i="7" s="1"/>
  <c r="F5495" i="7"/>
  <c r="L5492" i="7"/>
  <c r="N5492" i="7" s="1"/>
  <c r="U5492" i="7"/>
  <c r="L591" i="7"/>
  <c r="F5353" i="7"/>
  <c r="U5350" i="7"/>
  <c r="L5350" i="7"/>
  <c r="N5350" i="7" s="1"/>
  <c r="P5823" i="7"/>
  <c r="R5823" i="7" s="1"/>
  <c r="J6111" i="7"/>
  <c r="J6109" i="7"/>
  <c r="J6110" i="7"/>
  <c r="J5327" i="7"/>
  <c r="L5327" i="7"/>
  <c r="U5682" i="7"/>
  <c r="U5683" i="7" s="1"/>
  <c r="L5682" i="7"/>
  <c r="N5682" i="7" s="1"/>
  <c r="L5524" i="7"/>
  <c r="N5524" i="7" s="1"/>
  <c r="U5524" i="7"/>
  <c r="U5525" i="7" s="1"/>
  <c r="U5532" i="7"/>
  <c r="U5533" i="7" s="1"/>
  <c r="L5532" i="7"/>
  <c r="N5532" i="7" s="1"/>
  <c r="L6032" i="7"/>
  <c r="N6032" i="7" s="1"/>
  <c r="F6035" i="7"/>
  <c r="U6032" i="7"/>
  <c r="P6040" i="7"/>
  <c r="R6040" i="7" s="1"/>
  <c r="D6043" i="7"/>
  <c r="W6043" i="7" s="1"/>
  <c r="J6071" i="7"/>
  <c r="N6071" i="7" s="1"/>
  <c r="N6063" i="7"/>
  <c r="L4399" i="7"/>
  <c r="F4393" i="7"/>
  <c r="U4390" i="7"/>
  <c r="L4390" i="7"/>
  <c r="N4390" i="7" s="1"/>
  <c r="J5711" i="7"/>
  <c r="N5711" i="7" s="1"/>
  <c r="N5703" i="7"/>
  <c r="U4627" i="7"/>
  <c r="L4627" i="7"/>
  <c r="N4627" i="7" s="1"/>
  <c r="N5463" i="7"/>
  <c r="J5471" i="7"/>
  <c r="N5471" i="7" s="1"/>
  <c r="L4545" i="7"/>
  <c r="J4545" i="7"/>
  <c r="J5211" i="7"/>
  <c r="J5209" i="7"/>
  <c r="J5210" i="7"/>
  <c r="U4714" i="7"/>
  <c r="U4715" i="7" s="1"/>
  <c r="L4714" i="7"/>
  <c r="N4714" i="7" s="1"/>
  <c r="L4697" i="7"/>
  <c r="J4697" i="7"/>
  <c r="L4695" i="7"/>
  <c r="J4695" i="7"/>
  <c r="F5015" i="7"/>
  <c r="U5012" i="7"/>
  <c r="L5012" i="7"/>
  <c r="N5012" i="7" s="1"/>
  <c r="L5587" i="7"/>
  <c r="N5587" i="7" s="1"/>
  <c r="U5587" i="7"/>
  <c r="L5415" i="7"/>
  <c r="J5415" i="7"/>
  <c r="L4804" i="7"/>
  <c r="N4804" i="7" s="1"/>
  <c r="U4804" i="7"/>
  <c r="U4805" i="7" s="1"/>
  <c r="L4820" i="7"/>
  <c r="D5765" i="7"/>
  <c r="P5762" i="7"/>
  <c r="R5762" i="7" s="1"/>
  <c r="W5565" i="7"/>
  <c r="W5569" i="7" s="1"/>
  <c r="P4832" i="7"/>
  <c r="R4832" i="7" s="1"/>
  <c r="D4835" i="7"/>
  <c r="J5749" i="7"/>
  <c r="J5750" i="7"/>
  <c r="J5751" i="7"/>
  <c r="P5492" i="7"/>
  <c r="R5492" i="7" s="1"/>
  <c r="D5495" i="7"/>
  <c r="U4927" i="7"/>
  <c r="L4927" i="7"/>
  <c r="N4927" i="7" s="1"/>
  <c r="P4931" i="7"/>
  <c r="R4931" i="7" s="1"/>
  <c r="P4562" i="7"/>
  <c r="R4562" i="7" s="1"/>
  <c r="D4565" i="7"/>
  <c r="L4367" i="7"/>
  <c r="J4367" i="7"/>
  <c r="L4366" i="7"/>
  <c r="J4366" i="7"/>
  <c r="U5552" i="7"/>
  <c r="F5555" i="7"/>
  <c r="L5552" i="7"/>
  <c r="N5552" i="7" s="1"/>
  <c r="J4691" i="7"/>
  <c r="N4691" i="7" s="1"/>
  <c r="N4683" i="7"/>
  <c r="F5645" i="7"/>
  <c r="U5642" i="7"/>
  <c r="L5642" i="7"/>
  <c r="N5642" i="7" s="1"/>
  <c r="L5657" i="7"/>
  <c r="J5657" i="7"/>
  <c r="J4515" i="7"/>
  <c r="L4515" i="7"/>
  <c r="J5956" i="7"/>
  <c r="L5956" i="7"/>
  <c r="L5792" i="7"/>
  <c r="N5792" i="7" s="1"/>
  <c r="F5795" i="7"/>
  <c r="U5792" i="7"/>
  <c r="L5056" i="7"/>
  <c r="J5056" i="7"/>
  <c r="L4427" i="7"/>
  <c r="J4427" i="7"/>
  <c r="W5896" i="7"/>
  <c r="W5900" i="7" s="1"/>
  <c r="J4789" i="7"/>
  <c r="J4791" i="7"/>
  <c r="J4790" i="7"/>
  <c r="L4786" i="7"/>
  <c r="J4786" i="7"/>
  <c r="L5985" i="7"/>
  <c r="J5985" i="7"/>
  <c r="U5464" i="7"/>
  <c r="U5465" i="7" s="1"/>
  <c r="L5464" i="7"/>
  <c r="N5464" i="7" s="1"/>
  <c r="L6097" i="7"/>
  <c r="N6097" i="7" s="1"/>
  <c r="U6097" i="7"/>
  <c r="U5892" i="7"/>
  <c r="U5893" i="7" s="1"/>
  <c r="L5892" i="7"/>
  <c r="N5892" i="7" s="1"/>
  <c r="U4354" i="7"/>
  <c r="U4355" i="7" s="1"/>
  <c r="L4354" i="7"/>
  <c r="N4354" i="7" s="1"/>
  <c r="L5146" i="7"/>
  <c r="J5146" i="7"/>
  <c r="P5433" i="7"/>
  <c r="R5433" i="7" s="1"/>
  <c r="U5082" i="7"/>
  <c r="U5083" i="7" s="1"/>
  <c r="L5082" i="7"/>
  <c r="N5082" i="7" s="1"/>
  <c r="P5082" i="7"/>
  <c r="R5082" i="7" s="1"/>
  <c r="U4592" i="7"/>
  <c r="L4592" i="7"/>
  <c r="N4592" i="7" s="1"/>
  <c r="F4595" i="7"/>
  <c r="L4654" i="7"/>
  <c r="N4654" i="7" s="1"/>
  <c r="U4654" i="7"/>
  <c r="U4655" i="7" s="1"/>
  <c r="L4472" i="7"/>
  <c r="N4472" i="7" s="1"/>
  <c r="F4475" i="7"/>
  <c r="U4472" i="7"/>
  <c r="F4745" i="7"/>
  <c r="L4742" i="7"/>
  <c r="N4742" i="7" s="1"/>
  <c r="U4742" i="7"/>
  <c r="L4305" i="7"/>
  <c r="J4305" i="7"/>
  <c r="P4294" i="7"/>
  <c r="R4294" i="7" s="1"/>
  <c r="U5352" i="7"/>
  <c r="U5353" i="7" s="1"/>
  <c r="L5352" i="7"/>
  <c r="N5352" i="7" s="1"/>
  <c r="P4330" i="7"/>
  <c r="R4330" i="7" s="1"/>
  <c r="D4333" i="7"/>
  <c r="W4333" i="7" s="1"/>
  <c r="L4330" i="7"/>
  <c r="N4330" i="7" s="1"/>
  <c r="U4330" i="7"/>
  <c r="F4333" i="7"/>
  <c r="L5254" i="7"/>
  <c r="N5254" i="7" s="1"/>
  <c r="U5254" i="7"/>
  <c r="U5255" i="7" s="1"/>
  <c r="P6093" i="7"/>
  <c r="R6093" i="7" s="1"/>
  <c r="L5317" i="7"/>
  <c r="N5317" i="7" s="1"/>
  <c r="U5317" i="7"/>
  <c r="D5683" i="7"/>
  <c r="W5683" i="7" s="1"/>
  <c r="P5680" i="7"/>
  <c r="R5680" i="7" s="1"/>
  <c r="J5686" i="7"/>
  <c r="L5686" i="7"/>
  <c r="U6034" i="7"/>
  <c r="U6035" i="7" s="1"/>
  <c r="L6034" i="7"/>
  <c r="N6034" i="7" s="1"/>
  <c r="J5719" i="7"/>
  <c r="J5720" i="7"/>
  <c r="J5721" i="7"/>
  <c r="L4395" i="7"/>
  <c r="J4395" i="7"/>
  <c r="F4625" i="7"/>
  <c r="L4622" i="7"/>
  <c r="N4622" i="7" s="1"/>
  <c r="U4622" i="7"/>
  <c r="W4667" i="7"/>
  <c r="W4671" i="7" s="1"/>
  <c r="L5926" i="7"/>
  <c r="J5926" i="7"/>
  <c r="L5927" i="7"/>
  <c r="J5927" i="7"/>
  <c r="L4997" i="7"/>
  <c r="J4997" i="7"/>
  <c r="U5200" i="7"/>
  <c r="F5203" i="7"/>
  <c r="L5200" i="7"/>
  <c r="N5200" i="7" s="1"/>
  <c r="L4729" i="7"/>
  <c r="W4636" i="7"/>
  <c r="W4640" i="7" s="1"/>
  <c r="N5493" i="7"/>
  <c r="N5495" i="7" s="1"/>
  <c r="J5501" i="7"/>
  <c r="N5501" i="7" s="1"/>
  <c r="J5031" i="7"/>
  <c r="J5029" i="7"/>
  <c r="J5030" i="7"/>
  <c r="D5023" i="7"/>
  <c r="W5023" i="7" s="1"/>
  <c r="P5020" i="7"/>
  <c r="R5020" i="7" s="1"/>
  <c r="L5597" i="7"/>
  <c r="J5597" i="7"/>
  <c r="P5172" i="7"/>
  <c r="R5172" i="7" s="1"/>
  <c r="J4880" i="7"/>
  <c r="J4881" i="7"/>
  <c r="J4879" i="7"/>
  <c r="L5404" i="7"/>
  <c r="N5404" i="7" s="1"/>
  <c r="U5404" i="7"/>
  <c r="U5405" i="7" s="1"/>
  <c r="L5402" i="7"/>
  <c r="N5402" i="7" s="1"/>
  <c r="U5402" i="7"/>
  <c r="F5405" i="7"/>
  <c r="D4805" i="7"/>
  <c r="P4802" i="7"/>
  <c r="R4802" i="7" s="1"/>
  <c r="N4805" i="7"/>
  <c r="J4817" i="7"/>
  <c r="L4817" i="7"/>
  <c r="W5566" i="7"/>
  <c r="W5570" i="7" s="1"/>
  <c r="J4721" i="7"/>
  <c r="N4721" i="7" s="1"/>
  <c r="N4713" i="7"/>
  <c r="J4846" i="7"/>
  <c r="L4846" i="7"/>
  <c r="J4575" i="7"/>
  <c r="L4575" i="7"/>
  <c r="J4365" i="7"/>
  <c r="L4365" i="7"/>
  <c r="J5571" i="7"/>
  <c r="J5569" i="7"/>
  <c r="J5570" i="7"/>
  <c r="L4512" i="7"/>
  <c r="N4512" i="7" s="1"/>
  <c r="U4512" i="7"/>
  <c r="U4513" i="7" s="1"/>
  <c r="U5797" i="7"/>
  <c r="L5797" i="7"/>
  <c r="N5797" i="7" s="1"/>
  <c r="L5042" i="7"/>
  <c r="N5042" i="7" s="1"/>
  <c r="U5042" i="7"/>
  <c r="F5045" i="7"/>
  <c r="U4414" i="7"/>
  <c r="U4415" i="7" s="1"/>
  <c r="L4414" i="7"/>
  <c r="N4414" i="7" s="1"/>
  <c r="W5895" i="7"/>
  <c r="W5899" i="7" s="1"/>
  <c r="L4774" i="7"/>
  <c r="N4774" i="7" s="1"/>
  <c r="U4774" i="7"/>
  <c r="U4775" i="7" s="1"/>
  <c r="P4444" i="7"/>
  <c r="R4444" i="7" s="1"/>
  <c r="N5523" i="7"/>
  <c r="J5531" i="7"/>
  <c r="N5531" i="7" s="1"/>
  <c r="D4895" i="7"/>
  <c r="P4892" i="7"/>
  <c r="R4892" i="7" s="1"/>
  <c r="D4963" i="7"/>
  <c r="W4963" i="7" s="1"/>
  <c r="P4960" i="7"/>
  <c r="R4960" i="7" s="1"/>
  <c r="N5943" i="7"/>
  <c r="J5951" i="7"/>
  <c r="N5951" i="7" s="1"/>
  <c r="J5296" i="7"/>
  <c r="L5296" i="7"/>
  <c r="P5291" i="7"/>
  <c r="R5291" i="7" s="1"/>
  <c r="J6075" i="7"/>
  <c r="L6075" i="7"/>
  <c r="J6076" i="7"/>
  <c r="L6076" i="7"/>
  <c r="J5089" i="7"/>
  <c r="J5090" i="7"/>
  <c r="J5091" i="7"/>
  <c r="L4307" i="7"/>
  <c r="J4307" i="7"/>
  <c r="U6042" i="7"/>
  <c r="U6043" i="7" s="1"/>
  <c r="L6042" i="7"/>
  <c r="N6042" i="7" s="1"/>
  <c r="P4930" i="7"/>
  <c r="R4930" i="7" s="1"/>
  <c r="D4933" i="7"/>
  <c r="W4933" i="7" s="1"/>
  <c r="D4445" i="7"/>
  <c r="N4445" i="7"/>
  <c r="P4442" i="7"/>
  <c r="R4442" i="7" s="1"/>
  <c r="L5147" i="7"/>
  <c r="J5147" i="7"/>
  <c r="L4757" i="7"/>
  <c r="J4757" i="7"/>
  <c r="L5626" i="7"/>
  <c r="J5626" i="7"/>
  <c r="U4302" i="7"/>
  <c r="U4303" i="7" s="1"/>
  <c r="L4302" i="7"/>
  <c r="N4302" i="7" s="1"/>
  <c r="N4833" i="7"/>
  <c r="J4841" i="7"/>
  <c r="N4841" i="7" s="1"/>
  <c r="L5824" i="7"/>
  <c r="N5824" i="7" s="1"/>
  <c r="U5824" i="7"/>
  <c r="U5825" i="7" s="1"/>
  <c r="P6092" i="7"/>
  <c r="R6092" i="7" s="1"/>
  <c r="D6095" i="7"/>
  <c r="U6092" i="7"/>
  <c r="F6095" i="7"/>
  <c r="L6092" i="7"/>
  <c r="N6092" i="7" s="1"/>
  <c r="U5522" i="7"/>
  <c r="F5525" i="7"/>
  <c r="L5522" i="7"/>
  <c r="N5522" i="7" s="1"/>
  <c r="L5536" i="7"/>
  <c r="J5536" i="7"/>
  <c r="P6032" i="7"/>
  <c r="R6032" i="7" s="1"/>
  <c r="D6035" i="7"/>
  <c r="J5715" i="7"/>
  <c r="L5715" i="7"/>
  <c r="J4641" i="7"/>
  <c r="J4640" i="7"/>
  <c r="J4639" i="7"/>
  <c r="P4631" i="7"/>
  <c r="R4631" i="7" s="1"/>
  <c r="W4665" i="7"/>
  <c r="W4669" i="7" s="1"/>
  <c r="F4993" i="7"/>
  <c r="U4990" i="7"/>
  <c r="L4990" i="7"/>
  <c r="N4990" i="7" s="1"/>
  <c r="N5763" i="7"/>
  <c r="J5771" i="7"/>
  <c r="N5771" i="7" s="1"/>
  <c r="F5195" i="7"/>
  <c r="L5192" i="7"/>
  <c r="N5192" i="7" s="1"/>
  <c r="U5192" i="7"/>
  <c r="J4730" i="7"/>
  <c r="J4729" i="7"/>
  <c r="J4731" i="7"/>
  <c r="J4700" i="7"/>
  <c r="J4699" i="7"/>
  <c r="J4701" i="7"/>
  <c r="W5687" i="7"/>
  <c r="W5691" i="7" s="1"/>
  <c r="W4635" i="7"/>
  <c r="W4639" i="7" s="1"/>
  <c r="L5022" i="7"/>
  <c r="N5022" i="7" s="1"/>
  <c r="U5022" i="7"/>
  <c r="U5023" i="7" s="1"/>
  <c r="U5584" i="7"/>
  <c r="U5585" i="7" s="1"/>
  <c r="L5584" i="7"/>
  <c r="N5584" i="7" s="1"/>
  <c r="J5599" i="7"/>
  <c r="J5600" i="7"/>
  <c r="J5601" i="7"/>
  <c r="U5162" i="7"/>
  <c r="L5162" i="7"/>
  <c r="N5162" i="7" s="1"/>
  <c r="F5165" i="7"/>
  <c r="N5073" i="7"/>
  <c r="J5081" i="7"/>
  <c r="N5081" i="7" s="1"/>
  <c r="F4873" i="7"/>
  <c r="U4870" i="7"/>
  <c r="L4870" i="7"/>
  <c r="N4870" i="7" s="1"/>
  <c r="U4872" i="7"/>
  <c r="U4873" i="7" s="1"/>
  <c r="L4872" i="7"/>
  <c r="N4872" i="7" s="1"/>
  <c r="J5416" i="7"/>
  <c r="L5416" i="7"/>
  <c r="U4812" i="7"/>
  <c r="U4813" i="7" s="1"/>
  <c r="L4812" i="7"/>
  <c r="N4812" i="7" s="1"/>
  <c r="P6011" i="7"/>
  <c r="R6011" i="7" s="1"/>
  <c r="N4953" i="7"/>
  <c r="J4961" i="7"/>
  <c r="N4961" i="7" s="1"/>
  <c r="P5734" i="7"/>
  <c r="R5734" i="7" s="1"/>
  <c r="P4572" i="7"/>
  <c r="R4572" i="7" s="1"/>
  <c r="P4362" i="7"/>
  <c r="R4362" i="7" s="1"/>
  <c r="W6047" i="7"/>
  <c r="W6051" i="7" s="1"/>
  <c r="L5565" i="7"/>
  <c r="J5565" i="7"/>
  <c r="J5659" i="7"/>
  <c r="J5661" i="7"/>
  <c r="J5660" i="7"/>
  <c r="U5857" i="7"/>
  <c r="L5857" i="7"/>
  <c r="N5857" i="7" s="1"/>
  <c r="J5811" i="7"/>
  <c r="J5809" i="7"/>
  <c r="J5810" i="7"/>
  <c r="U5047" i="7"/>
  <c r="L5047" i="7"/>
  <c r="N5047" i="7" s="1"/>
  <c r="P4413" i="7"/>
  <c r="R4413" i="7" s="1"/>
  <c r="U4452" i="7"/>
  <c r="U4453" i="7" s="1"/>
  <c r="L4452" i="7"/>
  <c r="N4452" i="7" s="1"/>
  <c r="P4443" i="7"/>
  <c r="R4443" i="7" s="1"/>
  <c r="J5480" i="7"/>
  <c r="J5481" i="7"/>
  <c r="J5479" i="7"/>
  <c r="L4910" i="7"/>
  <c r="P4954" i="7"/>
  <c r="R4954" i="7" s="1"/>
  <c r="J5351" i="7"/>
  <c r="N5351" i="7" s="1"/>
  <c r="N5343" i="7"/>
  <c r="P5284" i="7"/>
  <c r="R5284" i="7" s="1"/>
  <c r="U5282" i="7"/>
  <c r="F5285" i="7"/>
  <c r="L5282" i="7"/>
  <c r="N5282" i="7" s="1"/>
  <c r="J5116" i="7"/>
  <c r="L5116" i="7"/>
  <c r="J5235" i="7"/>
  <c r="L5235" i="7"/>
  <c r="J5239" i="7"/>
  <c r="J5241" i="7"/>
  <c r="J5240" i="7"/>
  <c r="J4301" i="7"/>
  <c r="N4301" i="7" s="1"/>
  <c r="N4293" i="7"/>
  <c r="L6012" i="7"/>
  <c r="N6012" i="7" s="1"/>
  <c r="U6012" i="7"/>
  <c r="U6013" i="7" s="1"/>
  <c r="J6011" i="7"/>
  <c r="N6011" i="7" s="1"/>
  <c r="N6003" i="7"/>
  <c r="J4849" i="7"/>
  <c r="J4850" i="7"/>
  <c r="J4851" i="7"/>
  <c r="N5645" i="7"/>
  <c r="D5645" i="7"/>
  <c r="P5642" i="7"/>
  <c r="R5642" i="7" s="1"/>
  <c r="J5141" i="7"/>
  <c r="N5141" i="7" s="1"/>
  <c r="N5133" i="7"/>
  <c r="J5266" i="7"/>
  <c r="L5266" i="7"/>
  <c r="L5374" i="7"/>
  <c r="N5374" i="7" s="1"/>
  <c r="U5374" i="7"/>
  <c r="U5375" i="7" s="1"/>
  <c r="F4295" i="7"/>
  <c r="L4292" i="7"/>
  <c r="N4292" i="7" s="1"/>
  <c r="U4292" i="7"/>
  <c r="L4337" i="7"/>
  <c r="J4337" i="7"/>
  <c r="L5330" i="7"/>
  <c r="L5685" i="7"/>
  <c r="J5685" i="7"/>
  <c r="J6049" i="7"/>
  <c r="J6050" i="7"/>
  <c r="J6051" i="7"/>
  <c r="P5702" i="7"/>
  <c r="R5702" i="7" s="1"/>
  <c r="D5705" i="7"/>
  <c r="F4385" i="7"/>
  <c r="U4382" i="7"/>
  <c r="L4382" i="7"/>
  <c r="N4382" i="7" s="1"/>
  <c r="N4413" i="7"/>
  <c r="J4421" i="7"/>
  <c r="N4421" i="7" s="1"/>
  <c r="U5914" i="7"/>
  <c r="U5915" i="7" s="1"/>
  <c r="L5914" i="7"/>
  <c r="N5914" i="7" s="1"/>
  <c r="P4982" i="7"/>
  <c r="R4982" i="7" s="1"/>
  <c r="D4985" i="7"/>
  <c r="L4546" i="7"/>
  <c r="J4546" i="7"/>
  <c r="P5194" i="7"/>
  <c r="R5194" i="7" s="1"/>
  <c r="P4690" i="7"/>
  <c r="R4690" i="7" s="1"/>
  <c r="N4693" i="7"/>
  <c r="D4693" i="7"/>
  <c r="W4693" i="7" s="1"/>
  <c r="L4687" i="7"/>
  <c r="N4687" i="7" s="1"/>
  <c r="U4687" i="7"/>
  <c r="W5685" i="7"/>
  <c r="W5689" i="7" s="1"/>
  <c r="U5172" i="7"/>
  <c r="U5173" i="7" s="1"/>
  <c r="L5172" i="7"/>
  <c r="N5172" i="7" s="1"/>
  <c r="L5167" i="7"/>
  <c r="N5167" i="7" s="1"/>
  <c r="U5167" i="7"/>
  <c r="F4865" i="7"/>
  <c r="L4862" i="7"/>
  <c r="N4862" i="7" s="1"/>
  <c r="U4862" i="7"/>
  <c r="U5410" i="7"/>
  <c r="F5413" i="7"/>
  <c r="L5410" i="7"/>
  <c r="N5410" i="7" s="1"/>
  <c r="D6005" i="7"/>
  <c r="P6002" i="7"/>
  <c r="R6002" i="7" s="1"/>
  <c r="L6004" i="7"/>
  <c r="N6004" i="7" s="1"/>
  <c r="U6004" i="7"/>
  <c r="U6005" i="7" s="1"/>
  <c r="D5773" i="7"/>
  <c r="W5773" i="7" s="1"/>
  <c r="P5770" i="7"/>
  <c r="R5770" i="7" s="1"/>
  <c r="F5765" i="7"/>
  <c r="U5762" i="7"/>
  <c r="L5762" i="7"/>
  <c r="N5762" i="7" s="1"/>
  <c r="L5742" i="7"/>
  <c r="N5742" i="7" s="1"/>
  <c r="U5742" i="7"/>
  <c r="U5743" i="7" s="1"/>
  <c r="U4924" i="7"/>
  <c r="U4925" i="7" s="1"/>
  <c r="L4924" i="7"/>
  <c r="N4924" i="7" s="1"/>
  <c r="J4576" i="7"/>
  <c r="L4576" i="7"/>
  <c r="W6046" i="7"/>
  <c r="W6050" i="7" s="1"/>
  <c r="U5554" i="7"/>
  <c r="U5555" i="7" s="1"/>
  <c r="L5554" i="7"/>
  <c r="N5554" i="7" s="1"/>
  <c r="P5643" i="7"/>
  <c r="R5643" i="7" s="1"/>
  <c r="L4516" i="7"/>
  <c r="J4516" i="7"/>
  <c r="J5955" i="7"/>
  <c r="L5955" i="7"/>
  <c r="P5051" i="7"/>
  <c r="R5051" i="7" s="1"/>
  <c r="L4790" i="7"/>
  <c r="D5975" i="7"/>
  <c r="P5972" i="7"/>
  <c r="R5972" i="7" s="1"/>
  <c r="J4455" i="7"/>
  <c r="L4455" i="7"/>
  <c r="P4952" i="7"/>
  <c r="R4952" i="7" s="1"/>
  <c r="D4955" i="7"/>
  <c r="J4970" i="7"/>
  <c r="J4971" i="7"/>
  <c r="J4969" i="7"/>
  <c r="P5290" i="7"/>
  <c r="R5290" i="7" s="1"/>
  <c r="D5293" i="7"/>
  <c r="W5293" i="7" s="1"/>
  <c r="N5293" i="7"/>
  <c r="D6065" i="7"/>
  <c r="P6062" i="7"/>
  <c r="R6062" i="7" s="1"/>
  <c r="U5112" i="7"/>
  <c r="U5113" i="7" s="1"/>
  <c r="L5112" i="7"/>
  <c r="N5112" i="7" s="1"/>
  <c r="J5121" i="7"/>
  <c r="J5119" i="7"/>
  <c r="J5120" i="7"/>
  <c r="J5836" i="7"/>
  <c r="L5836" i="7"/>
  <c r="P5920" i="7"/>
  <c r="R5920" i="7" s="1"/>
  <c r="D5923" i="7"/>
  <c r="W5923" i="7" s="1"/>
  <c r="J4939" i="7"/>
  <c r="J4940" i="7"/>
  <c r="J4941" i="7"/>
  <c r="J4671" i="7"/>
  <c r="J4670" i="7"/>
  <c r="J4669" i="7"/>
  <c r="J4341" i="7"/>
  <c r="J4340" i="7"/>
  <c r="J4339" i="7"/>
  <c r="L5702" i="7"/>
  <c r="N5702" i="7" s="1"/>
  <c r="U5702" i="7"/>
  <c r="F5705" i="7"/>
  <c r="J4996" i="7"/>
  <c r="L4996" i="7"/>
  <c r="U4537" i="7"/>
  <c r="L4537" i="7"/>
  <c r="N4537" i="7" s="1"/>
  <c r="L5020" i="7"/>
  <c r="N5020" i="7" s="1"/>
  <c r="U5020" i="7"/>
  <c r="F5023" i="7"/>
  <c r="L5884" i="7"/>
  <c r="N5884" i="7" s="1"/>
  <c r="U5884" i="7"/>
  <c r="U5885" i="7" s="1"/>
  <c r="L4294" i="7"/>
  <c r="N4294" i="7" s="1"/>
  <c r="U4294" i="7"/>
  <c r="U4295" i="7" s="1"/>
  <c r="P5372" i="7"/>
  <c r="R5372" i="7" s="1"/>
  <c r="D5375" i="7"/>
  <c r="J4481" i="7"/>
  <c r="N4481" i="7" s="1"/>
  <c r="N4473" i="7"/>
  <c r="F4663" i="7"/>
  <c r="L4660" i="7"/>
  <c r="N4660" i="7" s="1"/>
  <c r="U4660" i="7"/>
  <c r="F5135" i="7"/>
  <c r="U5132" i="7"/>
  <c r="L5132" i="7"/>
  <c r="N5132" i="7" s="1"/>
  <c r="P5132" i="7"/>
  <c r="R5132" i="7" s="1"/>
  <c r="N5135" i="7"/>
  <c r="D5135" i="7"/>
  <c r="L4490" i="7"/>
  <c r="L4744" i="7"/>
  <c r="N4744" i="7" s="1"/>
  <c r="U4744" i="7"/>
  <c r="U4745" i="7" s="1"/>
  <c r="L5622" i="7"/>
  <c r="N5622" i="7" s="1"/>
  <c r="U5622" i="7"/>
  <c r="U5623" i="7" s="1"/>
  <c r="L4311" i="7"/>
  <c r="N4563" i="7"/>
  <c r="J4571" i="7"/>
  <c r="N4571" i="7" s="1"/>
  <c r="F5443" i="7"/>
  <c r="L5440" i="7"/>
  <c r="N5440" i="7" s="1"/>
  <c r="U5440" i="7"/>
  <c r="L5089" i="7"/>
  <c r="L4594" i="7"/>
  <c r="N4594" i="7" s="1"/>
  <c r="U4594" i="7"/>
  <c r="U4595" i="7" s="1"/>
  <c r="N4743" i="7"/>
  <c r="J4751" i="7"/>
  <c r="N4751" i="7" s="1"/>
  <c r="P5141" i="7"/>
  <c r="R5141" i="7" s="1"/>
  <c r="J4486" i="7"/>
  <c r="L4486" i="7"/>
  <c r="P4482" i="7"/>
  <c r="R4482" i="7" s="1"/>
  <c r="P5613" i="7"/>
  <c r="R5613" i="7" s="1"/>
  <c r="L4310" i="7"/>
  <c r="P5343" i="7"/>
  <c r="R5343" i="7" s="1"/>
  <c r="U4324" i="7"/>
  <c r="U4325" i="7" s="1"/>
  <c r="L4324" i="7"/>
  <c r="N4324" i="7" s="1"/>
  <c r="L5837" i="7"/>
  <c r="J5837" i="7"/>
  <c r="P5832" i="7"/>
  <c r="R5832" i="7" s="1"/>
  <c r="U5257" i="7"/>
  <c r="L5257" i="7"/>
  <c r="N5257" i="7" s="1"/>
  <c r="P6101" i="7"/>
  <c r="R6101" i="7" s="1"/>
  <c r="J5535" i="7"/>
  <c r="L5535" i="7"/>
  <c r="P6042" i="7"/>
  <c r="R6042" i="7" s="1"/>
  <c r="J4401" i="7"/>
  <c r="J4399" i="7"/>
  <c r="J4400" i="7"/>
  <c r="D4633" i="7"/>
  <c r="W4633" i="7" s="1"/>
  <c r="P4630" i="7"/>
  <c r="R4630" i="7" s="1"/>
  <c r="J4871" i="7"/>
  <c r="N4871" i="7" s="1"/>
  <c r="N4863" i="7"/>
  <c r="W5596" i="7"/>
  <c r="W5600" i="7" s="1"/>
  <c r="L4982" i="7"/>
  <c r="N4982" i="7" s="1"/>
  <c r="U4982" i="7"/>
  <c r="F4985" i="7"/>
  <c r="L4547" i="7"/>
  <c r="J4547" i="7"/>
  <c r="L5194" i="7"/>
  <c r="N5194" i="7" s="1"/>
  <c r="U5194" i="7"/>
  <c r="U5195" i="7" s="1"/>
  <c r="N4893" i="7"/>
  <c r="J4901" i="7"/>
  <c r="N4901" i="7" s="1"/>
  <c r="P4721" i="7"/>
  <c r="R4721" i="7" s="1"/>
  <c r="P4684" i="7"/>
  <c r="R4684" i="7" s="1"/>
  <c r="W4336" i="7"/>
  <c r="W4340" i="7" s="1"/>
  <c r="W5205" i="7"/>
  <c r="W5209" i="7" s="1"/>
  <c r="J5231" i="7"/>
  <c r="N5231" i="7" s="1"/>
  <c r="N5223" i="7"/>
  <c r="L5590" i="7"/>
  <c r="N5590" i="7" s="1"/>
  <c r="U5590" i="7"/>
  <c r="F5593" i="7"/>
  <c r="P5591" i="7"/>
  <c r="R5591" i="7" s="1"/>
  <c r="J5291" i="7"/>
  <c r="N5291" i="7" s="1"/>
  <c r="N5283" i="7"/>
  <c r="P5403" i="7"/>
  <c r="R5403" i="7" s="1"/>
  <c r="P4810" i="7"/>
  <c r="R4810" i="7" s="1"/>
  <c r="N4813" i="7"/>
  <c r="D4813" i="7"/>
  <c r="W4813" i="7" s="1"/>
  <c r="J4816" i="7"/>
  <c r="L4816" i="7"/>
  <c r="L5776" i="7"/>
  <c r="J5776" i="7"/>
  <c r="J5779" i="7"/>
  <c r="J5780" i="7"/>
  <c r="J5781" i="7"/>
  <c r="W5715" i="7"/>
  <c r="W5719" i="7" s="1"/>
  <c r="L4849" i="7"/>
  <c r="P5500" i="7"/>
  <c r="R5500" i="7" s="1"/>
  <c r="D5503" i="7"/>
  <c r="W5503" i="7" s="1"/>
  <c r="N5503" i="7"/>
  <c r="F4933" i="7"/>
  <c r="U4930" i="7"/>
  <c r="L4930" i="7"/>
  <c r="N4930" i="7" s="1"/>
  <c r="L4562" i="7"/>
  <c r="N4562" i="7" s="1"/>
  <c r="F4565" i="7"/>
  <c r="U4562" i="7"/>
  <c r="D4355" i="7"/>
  <c r="P4352" i="7"/>
  <c r="R4352" i="7" s="1"/>
  <c r="W5327" i="7"/>
  <c r="W5331" i="7" s="1"/>
  <c r="N5613" i="7"/>
  <c r="J5621" i="7"/>
  <c r="N5621" i="7" s="1"/>
  <c r="P5651" i="7"/>
  <c r="R5651" i="7" s="1"/>
  <c r="P5944" i="7"/>
  <c r="R5944" i="7" s="1"/>
  <c r="W5835" i="7"/>
  <c r="W5839" i="7" s="1"/>
  <c r="D5795" i="7"/>
  <c r="P5792" i="7"/>
  <c r="R5792" i="7" s="1"/>
  <c r="L5802" i="7"/>
  <c r="N5802" i="7" s="1"/>
  <c r="U5802" i="7"/>
  <c r="U5803" i="7" s="1"/>
  <c r="P5052" i="7"/>
  <c r="R5052" i="7" s="1"/>
  <c r="P5044" i="7"/>
  <c r="R5044" i="7" s="1"/>
  <c r="L4429" i="7"/>
  <c r="D4415" i="7"/>
  <c r="P4412" i="7"/>
  <c r="R4412" i="7" s="1"/>
  <c r="U4772" i="7"/>
  <c r="F4775" i="7"/>
  <c r="L4772" i="7"/>
  <c r="N4772" i="7" s="1"/>
  <c r="D4783" i="7"/>
  <c r="W4783" i="7" s="1"/>
  <c r="P4780" i="7"/>
  <c r="R4780" i="7" s="1"/>
  <c r="J4785" i="7"/>
  <c r="L4785" i="7"/>
  <c r="U5982" i="7"/>
  <c r="U5983" i="7" s="1"/>
  <c r="L5982" i="7"/>
  <c r="N5982" i="7" s="1"/>
  <c r="L4450" i="7"/>
  <c r="N4450" i="7" s="1"/>
  <c r="F4453" i="7"/>
  <c r="U4450" i="7"/>
  <c r="L4911" i="7"/>
  <c r="L4894" i="7"/>
  <c r="N4894" i="7" s="1"/>
  <c r="U4894" i="7"/>
  <c r="U4895" i="7" s="1"/>
  <c r="L4967" i="7"/>
  <c r="J4967" i="7"/>
  <c r="W4937" i="7"/>
  <c r="W4941" i="7" s="1"/>
  <c r="P6070" i="7"/>
  <c r="R6070" i="7" s="1"/>
  <c r="D6073" i="7"/>
  <c r="W6073" i="7" s="1"/>
  <c r="L5107" i="7"/>
  <c r="N5107" i="7" s="1"/>
  <c r="U5107" i="7"/>
  <c r="U5230" i="7"/>
  <c r="L5230" i="7"/>
  <c r="N5230" i="7" s="1"/>
  <c r="F5233" i="7"/>
  <c r="L4842" i="7"/>
  <c r="N4842" i="7" s="1"/>
  <c r="U4842" i="7"/>
  <c r="U4843" i="7" s="1"/>
  <c r="L5794" i="7"/>
  <c r="N5794" i="7" s="1"/>
  <c r="U5794" i="7"/>
  <c r="U5795" i="7" s="1"/>
  <c r="J4457" i="7"/>
  <c r="L4457" i="7"/>
  <c r="L4297" i="7"/>
  <c r="N4297" i="7" s="1"/>
  <c r="U4297" i="7"/>
  <c r="L5434" i="7"/>
  <c r="N5434" i="7" s="1"/>
  <c r="U5434" i="7"/>
  <c r="U5435" i="7" s="1"/>
  <c r="P5380" i="7"/>
  <c r="R5380" i="7" s="1"/>
  <c r="D5383" i="7"/>
  <c r="W5383" i="7" s="1"/>
  <c r="U5437" i="7"/>
  <c r="L5437" i="7"/>
  <c r="N5437" i="7" s="1"/>
  <c r="J4667" i="7"/>
  <c r="L4667" i="7"/>
  <c r="L5382" i="7"/>
  <c r="N5382" i="7" s="1"/>
  <c r="U5382" i="7"/>
  <c r="U5383" i="7" s="1"/>
  <c r="D5885" i="7"/>
  <c r="P5882" i="7"/>
  <c r="R5882" i="7" s="1"/>
  <c r="D5893" i="7"/>
  <c r="W5893" i="7" s="1"/>
  <c r="P5890" i="7"/>
  <c r="R5890" i="7" s="1"/>
  <c r="J5321" i="7"/>
  <c r="N5321" i="7" s="1"/>
  <c r="N5313" i="7"/>
  <c r="P4480" i="7"/>
  <c r="R4480" i="7" s="1"/>
  <c r="D4483" i="7"/>
  <c r="W4483" i="7" s="1"/>
  <c r="P4743" i="7"/>
  <c r="R4743" i="7" s="1"/>
  <c r="U5614" i="7"/>
  <c r="U5615" i="7" s="1"/>
  <c r="L5614" i="7"/>
  <c r="N5614" i="7" s="1"/>
  <c r="L5617" i="7"/>
  <c r="N5617" i="7" s="1"/>
  <c r="U5617" i="7"/>
  <c r="L4339" i="7"/>
  <c r="J5839" i="7"/>
  <c r="J5841" i="7"/>
  <c r="J5840" i="7"/>
  <c r="L5835" i="7"/>
  <c r="J5835" i="7"/>
  <c r="L5269" i="7"/>
  <c r="U5314" i="7"/>
  <c r="U5315" i="7" s="1"/>
  <c r="L5314" i="7"/>
  <c r="N5314" i="7" s="1"/>
  <c r="J5331" i="7"/>
  <c r="J5330" i="7"/>
  <c r="J5329" i="7"/>
  <c r="U5674" i="7"/>
  <c r="U5675" i="7" s="1"/>
  <c r="L5674" i="7"/>
  <c r="N5674" i="7" s="1"/>
  <c r="U5527" i="7"/>
  <c r="L5527" i="7"/>
  <c r="N5527" i="7" s="1"/>
  <c r="P5527" i="7" s="1"/>
  <c r="R5527" i="7" s="1"/>
  <c r="L6045" i="7"/>
  <c r="J6045" i="7"/>
  <c r="L4396" i="7"/>
  <c r="J4396" i="7"/>
  <c r="L4630" i="7"/>
  <c r="N4630" i="7" s="1"/>
  <c r="U4630" i="7"/>
  <c r="F4633" i="7"/>
  <c r="L4632" i="7"/>
  <c r="N4632" i="7" s="1"/>
  <c r="U4632" i="7"/>
  <c r="U4633" i="7" s="1"/>
  <c r="P5912" i="7"/>
  <c r="R5912" i="7" s="1"/>
  <c r="D5915" i="7"/>
  <c r="J5929" i="7"/>
  <c r="J5930" i="7"/>
  <c r="J5931" i="7"/>
  <c r="W5595" i="7"/>
  <c r="W5599" i="7" s="1"/>
  <c r="L4999" i="7"/>
  <c r="J4995" i="7"/>
  <c r="L4995" i="7"/>
  <c r="N5403" i="7"/>
  <c r="J5411" i="7"/>
  <c r="N5411" i="7" s="1"/>
  <c r="P4541" i="7"/>
  <c r="R4541" i="7" s="1"/>
  <c r="L5202" i="7"/>
  <c r="N5202" i="7" s="1"/>
  <c r="U5202" i="7"/>
  <c r="U5203" i="7" s="1"/>
  <c r="L5206" i="7"/>
  <c r="J5206" i="7"/>
  <c r="U4717" i="7"/>
  <c r="L4717" i="7"/>
  <c r="N4717" i="7" s="1"/>
  <c r="L4701" i="7"/>
  <c r="N4383" i="7"/>
  <c r="J4391" i="7"/>
  <c r="N4391" i="7" s="1"/>
  <c r="N5643" i="7"/>
  <c r="J5651" i="7"/>
  <c r="N5651" i="7" s="1"/>
  <c r="L5025" i="7"/>
  <c r="J5025" i="7"/>
  <c r="U5014" i="7"/>
  <c r="U5015" i="7" s="1"/>
  <c r="L5014" i="7"/>
  <c r="N5014" i="7" s="1"/>
  <c r="W5206" i="7"/>
  <c r="W5210" i="7" s="1"/>
  <c r="P5584" i="7"/>
  <c r="R5584" i="7" s="1"/>
  <c r="U4807" i="7"/>
  <c r="L4807" i="7"/>
  <c r="N4807" i="7" s="1"/>
  <c r="U6007" i="7"/>
  <c r="L6007" i="7"/>
  <c r="N6007" i="7" s="1"/>
  <c r="W5717" i="7"/>
  <c r="W5721" i="7" s="1"/>
  <c r="L4847" i="7"/>
  <c r="J4847" i="7"/>
  <c r="F5735" i="7"/>
  <c r="L5732" i="7"/>
  <c r="N5732" i="7" s="1"/>
  <c r="U5732" i="7"/>
  <c r="L4936" i="7"/>
  <c r="J4936" i="7"/>
  <c r="L4580" i="7"/>
  <c r="L4357" i="7"/>
  <c r="N4357" i="7" s="1"/>
  <c r="U4357" i="7"/>
  <c r="F4355" i="7"/>
  <c r="L4352" i="7"/>
  <c r="N4352" i="7" s="1"/>
  <c r="U4352" i="7"/>
  <c r="W5325" i="7"/>
  <c r="W5329" i="7" s="1"/>
  <c r="P5562" i="7"/>
  <c r="R5562" i="7" s="1"/>
  <c r="U5650" i="7"/>
  <c r="F5653" i="7"/>
  <c r="L5650" i="7"/>
  <c r="N5650" i="7" s="1"/>
  <c r="W5837" i="7"/>
  <c r="W5841" i="7" s="1"/>
  <c r="J5806" i="7"/>
  <c r="L5806" i="7"/>
  <c r="U5044" i="7"/>
  <c r="U5045" i="7" s="1"/>
  <c r="L5044" i="7"/>
  <c r="N5044" i="7" s="1"/>
  <c r="L4425" i="7"/>
  <c r="J4425" i="7"/>
  <c r="P4773" i="7"/>
  <c r="R4773" i="7" s="1"/>
  <c r="D5983" i="7"/>
  <c r="W5983" i="7" s="1"/>
  <c r="P5980" i="7"/>
  <c r="R5980" i="7" s="1"/>
  <c r="L4442" i="7"/>
  <c r="N4442" i="7" s="1"/>
  <c r="U4442" i="7"/>
  <c r="F4445" i="7"/>
  <c r="L4461" i="7"/>
  <c r="N5465" i="7"/>
  <c r="D5465" i="7"/>
  <c r="P5462" i="7"/>
  <c r="R5462" i="7" s="1"/>
  <c r="U4897" i="7"/>
  <c r="L4897" i="7"/>
  <c r="N4897" i="7" s="1"/>
  <c r="P4893" i="7"/>
  <c r="R4893" i="7" s="1"/>
  <c r="L4962" i="7"/>
  <c r="N4962" i="7" s="1"/>
  <c r="U4962" i="7"/>
  <c r="U4963" i="7" s="1"/>
  <c r="F4963" i="7"/>
  <c r="U4960" i="7"/>
  <c r="L4960" i="7"/>
  <c r="N4960" i="7" s="1"/>
  <c r="U5292" i="7"/>
  <c r="U5293" i="7" s="1"/>
  <c r="L5292" i="7"/>
  <c r="N5292" i="7" s="1"/>
  <c r="W4936" i="7"/>
  <c r="W4940" i="7" s="1"/>
  <c r="L6072" i="7"/>
  <c r="N6072" i="7" s="1"/>
  <c r="U6072" i="7"/>
  <c r="U6073" i="7" s="1"/>
  <c r="P5110" i="7"/>
  <c r="R5110" i="7" s="1"/>
  <c r="D5113" i="7"/>
  <c r="W5113" i="7" s="1"/>
  <c r="U5222" i="7"/>
  <c r="L5222" i="7"/>
  <c r="N5222" i="7" s="1"/>
  <c r="F5225" i="7"/>
  <c r="P5232" i="7"/>
  <c r="R5232" i="7" s="1"/>
  <c r="J5629" i="7"/>
  <c r="J5631" i="7"/>
  <c r="J5630" i="7"/>
  <c r="L4336" i="7"/>
  <c r="J4336" i="7"/>
  <c r="J5745" i="7"/>
  <c r="L5745" i="7"/>
  <c r="J4937" i="7"/>
  <c r="L4937" i="7"/>
  <c r="J4369" i="7"/>
  <c r="J4371" i="7"/>
  <c r="J4370" i="7"/>
  <c r="L4756" i="7"/>
  <c r="J4756" i="7"/>
  <c r="F5825" i="7"/>
  <c r="L5822" i="7"/>
  <c r="N5822" i="7" s="1"/>
  <c r="U5822" i="7"/>
  <c r="P5013" i="7"/>
  <c r="R5013" i="7" s="1"/>
  <c r="N5653" i="7"/>
  <c r="P5650" i="7"/>
  <c r="R5650" i="7" s="1"/>
  <c r="D5653" i="7"/>
  <c r="W5653" i="7" s="1"/>
  <c r="F5983" i="7"/>
  <c r="U5980" i="7"/>
  <c r="L5980" i="7"/>
  <c r="N5980" i="7" s="1"/>
  <c r="D4595" i="7"/>
  <c r="P4592" i="7"/>
  <c r="R4592" i="7" s="1"/>
  <c r="D5315" i="7"/>
  <c r="P5312" i="7"/>
  <c r="R5312" i="7" s="1"/>
  <c r="J5896" i="7"/>
  <c r="L5896" i="7"/>
  <c r="L4306" i="7"/>
  <c r="J4306" i="7"/>
  <c r="F5383" i="7"/>
  <c r="L5380" i="7"/>
  <c r="N5380" i="7" s="1"/>
  <c r="U5380" i="7"/>
  <c r="D5075" i="7"/>
  <c r="P5072" i="7"/>
  <c r="R5072" i="7" s="1"/>
  <c r="L4752" i="7"/>
  <c r="N4752" i="7" s="1"/>
  <c r="U4752" i="7"/>
  <c r="U4753" i="7" s="1"/>
  <c r="P5073" i="7"/>
  <c r="R5073" i="7" s="1"/>
  <c r="L5086" i="7"/>
  <c r="J5086" i="7"/>
  <c r="L4611" i="7"/>
  <c r="L5882" i="7"/>
  <c r="N5882" i="7" s="1"/>
  <c r="N5885" i="7" s="1"/>
  <c r="F5885" i="7"/>
  <c r="U5882" i="7"/>
  <c r="D4655" i="7"/>
  <c r="P4652" i="7"/>
  <c r="R4652" i="7" s="1"/>
  <c r="P5140" i="7"/>
  <c r="R5140" i="7" s="1"/>
  <c r="N5143" i="7"/>
  <c r="D5143" i="7"/>
  <c r="W5143" i="7" s="1"/>
  <c r="U4482" i="7"/>
  <c r="U4483" i="7" s="1"/>
  <c r="L4482" i="7"/>
  <c r="N4482" i="7" s="1"/>
  <c r="P4750" i="7"/>
  <c r="R4750" i="7" s="1"/>
  <c r="D4753" i="7"/>
  <c r="W4753" i="7" s="1"/>
  <c r="U5342" i="7"/>
  <c r="F5345" i="7"/>
  <c r="L5342" i="7"/>
  <c r="N5342" i="7" s="1"/>
  <c r="J4811" i="7"/>
  <c r="N4811" i="7" s="1"/>
  <c r="N4803" i="7"/>
  <c r="P4331" i="7"/>
  <c r="R4331" i="7" s="1"/>
  <c r="U4327" i="7"/>
  <c r="L4327" i="7"/>
  <c r="N4327" i="7" s="1"/>
  <c r="U5832" i="7"/>
  <c r="U5833" i="7" s="1"/>
  <c r="L5832" i="7"/>
  <c r="N5832" i="7" s="1"/>
  <c r="D5833" i="7"/>
  <c r="W5833" i="7" s="1"/>
  <c r="P5830" i="7"/>
  <c r="R5830" i="7" s="1"/>
  <c r="L5331" i="7"/>
  <c r="U5322" i="7"/>
  <c r="U5323" i="7" s="1"/>
  <c r="L5322" i="7"/>
  <c r="N5322" i="7" s="1"/>
  <c r="P5703" i="7"/>
  <c r="R5703" i="7" s="1"/>
  <c r="N4623" i="7"/>
  <c r="J4631" i="7"/>
  <c r="N4631" i="7" s="1"/>
  <c r="L4640" i="7"/>
  <c r="P5913" i="7"/>
  <c r="R5913" i="7" s="1"/>
  <c r="W4607" i="7"/>
  <c r="W4611" i="7" s="1"/>
  <c r="L5000" i="7"/>
  <c r="J5001" i="7"/>
  <c r="J5000" i="7"/>
  <c r="J4999" i="7"/>
  <c r="U4542" i="7"/>
  <c r="U4543" i="7" s="1"/>
  <c r="L4542" i="7"/>
  <c r="N4542" i="7" s="1"/>
  <c r="L5205" i="7"/>
  <c r="J5205" i="7"/>
  <c r="N6033" i="7"/>
  <c r="J6041" i="7"/>
  <c r="N6041" i="7" s="1"/>
  <c r="W5925" i="7"/>
  <c r="W5929" i="7" s="1"/>
  <c r="D4715" i="7"/>
  <c r="P4712" i="7"/>
  <c r="R4712" i="7" s="1"/>
  <c r="N4715" i="7"/>
  <c r="F4723" i="7"/>
  <c r="L4720" i="7"/>
  <c r="N4720" i="7" s="1"/>
  <c r="U4720" i="7"/>
  <c r="P4682" i="7"/>
  <c r="R4682" i="7" s="1"/>
  <c r="D4685" i="7"/>
  <c r="N4685" i="7"/>
  <c r="U5017" i="7"/>
  <c r="L5017" i="7"/>
  <c r="N5017" i="7" s="1"/>
  <c r="P5582" i="7"/>
  <c r="R5582" i="7" s="1"/>
  <c r="D5585" i="7"/>
  <c r="U5170" i="7"/>
  <c r="F5173" i="7"/>
  <c r="L5170" i="7"/>
  <c r="N5170" i="7" s="1"/>
  <c r="P4871" i="7"/>
  <c r="R4871" i="7" s="1"/>
  <c r="P4862" i="7"/>
  <c r="R4862" i="7" s="1"/>
  <c r="D4865" i="7"/>
  <c r="L5767" i="7"/>
  <c r="N5767" i="7" s="1"/>
  <c r="U5767" i="7"/>
  <c r="W5417" i="7"/>
  <c r="W5421" i="7" s="1"/>
  <c r="P4833" i="7"/>
  <c r="R4833" i="7" s="1"/>
  <c r="U5737" i="7"/>
  <c r="L5737" i="7"/>
  <c r="N5737" i="7" s="1"/>
  <c r="P5742" i="7"/>
  <c r="R5742" i="7" s="1"/>
  <c r="U5500" i="7"/>
  <c r="L5500" i="7"/>
  <c r="N5500" i="7" s="1"/>
  <c r="F5503" i="7"/>
  <c r="P5494" i="7"/>
  <c r="R5494" i="7" s="1"/>
  <c r="P4923" i="7"/>
  <c r="R4923" i="7" s="1"/>
  <c r="D4573" i="7"/>
  <c r="W4573" i="7" s="1"/>
  <c r="P4570" i="7"/>
  <c r="R4570" i="7" s="1"/>
  <c r="L4369" i="7"/>
  <c r="L4370" i="7"/>
  <c r="L5557" i="7"/>
  <c r="N5557" i="7" s="1"/>
  <c r="U5557" i="7"/>
  <c r="U5644" i="7"/>
  <c r="U5645" i="7" s="1"/>
  <c r="L5644" i="7"/>
  <c r="N5644" i="7" s="1"/>
  <c r="F4513" i="7"/>
  <c r="U4510" i="7"/>
  <c r="L4510" i="7"/>
  <c r="N4510" i="7" s="1"/>
  <c r="D5953" i="7"/>
  <c r="W5953" i="7" s="1"/>
  <c r="P5950" i="7"/>
  <c r="R5950" i="7" s="1"/>
  <c r="W5237" i="7"/>
  <c r="W5241" i="7" s="1"/>
  <c r="L5852" i="7"/>
  <c r="N5852" i="7" s="1"/>
  <c r="U5852" i="7"/>
  <c r="F5855" i="7"/>
  <c r="P5862" i="7"/>
  <c r="R5862" i="7" s="1"/>
  <c r="D5803" i="7"/>
  <c r="W5803" i="7" s="1"/>
  <c r="P5800" i="7"/>
  <c r="R5800" i="7" s="1"/>
  <c r="P5793" i="7"/>
  <c r="R5793" i="7" s="1"/>
  <c r="N5013" i="7"/>
  <c r="J5021" i="7"/>
  <c r="N5021" i="7" s="1"/>
  <c r="L4420" i="7"/>
  <c r="N4420" i="7" s="1"/>
  <c r="F4423" i="7"/>
  <c r="U4420" i="7"/>
  <c r="L4412" i="7"/>
  <c r="N4412" i="7" s="1"/>
  <c r="U4412" i="7"/>
  <c r="F4415" i="7"/>
  <c r="P4772" i="7"/>
  <c r="R4772" i="7" s="1"/>
  <c r="D4775" i="7"/>
  <c r="P4781" i="7"/>
  <c r="R4781" i="7" s="1"/>
  <c r="U4892" i="7"/>
  <c r="L4892" i="7"/>
  <c r="N4892" i="7" s="1"/>
  <c r="F4895" i="7"/>
  <c r="L4909" i="7"/>
  <c r="L4957" i="7"/>
  <c r="N4957" i="7" s="1"/>
  <c r="U4957" i="7"/>
  <c r="L4971" i="7"/>
  <c r="N4923" i="7"/>
  <c r="J4931" i="7"/>
  <c r="N4931" i="7" s="1"/>
  <c r="L5236" i="7"/>
  <c r="J5236" i="7"/>
  <c r="P5230" i="7"/>
  <c r="R5230" i="7" s="1"/>
  <c r="D5233" i="7"/>
  <c r="W5233" i="7" s="1"/>
  <c r="J5326" i="7"/>
  <c r="L5326" i="7"/>
  <c r="U5562" i="7"/>
  <c r="U5563" i="7" s="1"/>
  <c r="L5562" i="7"/>
  <c r="N5562" i="7" s="1"/>
  <c r="D5053" i="7"/>
  <c r="W5053" i="7" s="1"/>
  <c r="P5050" i="7"/>
  <c r="R5050" i="7" s="1"/>
  <c r="P4323" i="7"/>
  <c r="R4323" i="7" s="1"/>
  <c r="D4663" i="7"/>
  <c r="W4663" i="7" s="1"/>
  <c r="P4660" i="7"/>
  <c r="R4660" i="7" s="1"/>
  <c r="W5357" i="7"/>
  <c r="W5361" i="7" s="1"/>
  <c r="L5077" i="7"/>
  <c r="N5077" i="7" s="1"/>
  <c r="U5077" i="7"/>
  <c r="P4593" i="7"/>
  <c r="R4593" i="7" s="1"/>
  <c r="D4603" i="7"/>
  <c r="W4603" i="7" s="1"/>
  <c r="P4600" i="7"/>
  <c r="R4600" i="7" s="1"/>
  <c r="F5893" i="7"/>
  <c r="U5890" i="7"/>
  <c r="L5890" i="7"/>
  <c r="N5890" i="7" s="1"/>
  <c r="L4652" i="7"/>
  <c r="N4652" i="7" s="1"/>
  <c r="F4655" i="7"/>
  <c r="U4652" i="7"/>
  <c r="P4661" i="7"/>
  <c r="R4661" i="7" s="1"/>
  <c r="L5142" i="7"/>
  <c r="N5142" i="7" s="1"/>
  <c r="U5142" i="7"/>
  <c r="U5143" i="7" s="1"/>
  <c r="L5150" i="7"/>
  <c r="N5373" i="7"/>
  <c r="J5381" i="7"/>
  <c r="N5381" i="7" s="1"/>
  <c r="P4300" i="7"/>
  <c r="R4300" i="7" s="1"/>
  <c r="D4303" i="7"/>
  <c r="W4303" i="7" s="1"/>
  <c r="J5356" i="7"/>
  <c r="L5356" i="7"/>
  <c r="N5255" i="7"/>
  <c r="P5252" i="7"/>
  <c r="R5252" i="7" s="1"/>
  <c r="D5255" i="7"/>
  <c r="P6100" i="7"/>
  <c r="R6100" i="7" s="1"/>
  <c r="D6103" i="7"/>
  <c r="W6103" i="7" s="1"/>
  <c r="L6102" i="7"/>
  <c r="N6102" i="7" s="1"/>
  <c r="U6102" i="7"/>
  <c r="U6103" i="7" s="1"/>
  <c r="P5313" i="7"/>
  <c r="R5313" i="7" s="1"/>
  <c r="F5675" i="7"/>
  <c r="L5672" i="7"/>
  <c r="N5672" i="7" s="1"/>
  <c r="U5672" i="7"/>
  <c r="L5677" i="7"/>
  <c r="N5677" i="7" s="1"/>
  <c r="U5677" i="7"/>
  <c r="J5537" i="7"/>
  <c r="L5537" i="7"/>
  <c r="D5713" i="7"/>
  <c r="W5713" i="7" s="1"/>
  <c r="P5710" i="7"/>
  <c r="R5710" i="7" s="1"/>
  <c r="P5712" i="7"/>
  <c r="R5712" i="7" s="1"/>
  <c r="J4397" i="7"/>
  <c r="L4397" i="7"/>
  <c r="J5981" i="7"/>
  <c r="N5981" i="7" s="1"/>
  <c r="N5973" i="7"/>
  <c r="P4624" i="7"/>
  <c r="R4624" i="7" s="1"/>
  <c r="J5201" i="7"/>
  <c r="N5201" i="7" s="1"/>
  <c r="N5193" i="7"/>
  <c r="W4606" i="7"/>
  <c r="W4610" i="7" s="1"/>
  <c r="D5203" i="7"/>
  <c r="W5203" i="7" s="1"/>
  <c r="P5200" i="7"/>
  <c r="R5200" i="7" s="1"/>
  <c r="W5927" i="7"/>
  <c r="W5931" i="7" s="1"/>
  <c r="U4722" i="7"/>
  <c r="U4723" i="7" s="1"/>
  <c r="L4722" i="7"/>
  <c r="N4722" i="7" s="1"/>
  <c r="U4712" i="7"/>
  <c r="L4712" i="7"/>
  <c r="N4712" i="7" s="1"/>
  <c r="F4715" i="7"/>
  <c r="U4690" i="7"/>
  <c r="L4690" i="7"/>
  <c r="N4690" i="7" s="1"/>
  <c r="F4693" i="7"/>
  <c r="L5596" i="7"/>
  <c r="J5596" i="7"/>
  <c r="P4863" i="7"/>
  <c r="R4863" i="7" s="1"/>
  <c r="L5407" i="7"/>
  <c r="N5407" i="7" s="1"/>
  <c r="U5407" i="7"/>
  <c r="P4803" i="7"/>
  <c r="R4803" i="7" s="1"/>
  <c r="P6010" i="7"/>
  <c r="R6010" i="7" s="1"/>
  <c r="D6013" i="7"/>
  <c r="W6013" i="7" s="1"/>
  <c r="W5415" i="7"/>
  <c r="W5419" i="7" s="1"/>
  <c r="U4832" i="7"/>
  <c r="F4835" i="7"/>
  <c r="L4832" i="7"/>
  <c r="N4832" i="7" s="1"/>
  <c r="L5747" i="7"/>
  <c r="J5747" i="7"/>
  <c r="D5743" i="7"/>
  <c r="W5743" i="7" s="1"/>
  <c r="P5740" i="7"/>
  <c r="R5740" i="7" s="1"/>
  <c r="U4922" i="7"/>
  <c r="F4925" i="7"/>
  <c r="L4922" i="7"/>
  <c r="N4922" i="7" s="1"/>
  <c r="L4932" i="7"/>
  <c r="N4932" i="7" s="1"/>
  <c r="U4932" i="7"/>
  <c r="U4933" i="7" s="1"/>
  <c r="L4360" i="7"/>
  <c r="N4360" i="7" s="1"/>
  <c r="U4360" i="7"/>
  <c r="F4363" i="7"/>
  <c r="P5560" i="7"/>
  <c r="R5560" i="7" s="1"/>
  <c r="D5563" i="7"/>
  <c r="W5563" i="7" s="1"/>
  <c r="L5560" i="7"/>
  <c r="N5560" i="7" s="1"/>
  <c r="U5560" i="7"/>
  <c r="F5563" i="7"/>
  <c r="L5647" i="7"/>
  <c r="N5647" i="7" s="1"/>
  <c r="P5647" i="7" s="1"/>
  <c r="R5647" i="7" s="1"/>
  <c r="U5647" i="7"/>
  <c r="D4513" i="7"/>
  <c r="W4513" i="7" s="1"/>
  <c r="P4510" i="7"/>
  <c r="R4510" i="7" s="1"/>
  <c r="N4513" i="7"/>
  <c r="J4991" i="7"/>
  <c r="N4991" i="7" s="1"/>
  <c r="N4983" i="7"/>
  <c r="P5951" i="7"/>
  <c r="R5951" i="7" s="1"/>
  <c r="W5236" i="7"/>
  <c r="W5240" i="7" s="1"/>
  <c r="J5870" i="7"/>
  <c r="J5871" i="7"/>
  <c r="J5869" i="7"/>
  <c r="J4781" i="7"/>
  <c r="N4781" i="7" s="1"/>
  <c r="N4773" i="7"/>
  <c r="J5807" i="7"/>
  <c r="L5807" i="7"/>
  <c r="P5801" i="7"/>
  <c r="R5801" i="7" s="1"/>
  <c r="L5060" i="7"/>
  <c r="J5891" i="7"/>
  <c r="N5891" i="7" s="1"/>
  <c r="N5883" i="7"/>
  <c r="L5977" i="7"/>
  <c r="N5977" i="7" s="1"/>
  <c r="U5977" i="7"/>
  <c r="P4901" i="7"/>
  <c r="R4901" i="7" s="1"/>
  <c r="L4952" i="7"/>
  <c r="N4952" i="7" s="1"/>
  <c r="U4952" i="7"/>
  <c r="F4955" i="7"/>
  <c r="W5297" i="7"/>
  <c r="W5301" i="7" s="1"/>
  <c r="J6101" i="7"/>
  <c r="N6101" i="7" s="1"/>
  <c r="N6093" i="7"/>
  <c r="L6077" i="7"/>
  <c r="J6077" i="7"/>
  <c r="P6063" i="7"/>
  <c r="R6063" i="7" s="1"/>
  <c r="U5104" i="7"/>
  <c r="U5105" i="7" s="1"/>
  <c r="L5104" i="7"/>
  <c r="N5104" i="7" s="1"/>
  <c r="U4480" i="7"/>
  <c r="F4483" i="7"/>
  <c r="L4480" i="7"/>
  <c r="N4480" i="7" s="1"/>
  <c r="J5446" i="7"/>
  <c r="L5446" i="7"/>
  <c r="N5733" i="7"/>
  <c r="J5741" i="7"/>
  <c r="N5741" i="7" s="1"/>
  <c r="J6021" i="7"/>
  <c r="J6020" i="7"/>
  <c r="J6019" i="7"/>
  <c r="J5897" i="7"/>
  <c r="L5897" i="7"/>
  <c r="F5255" i="7"/>
  <c r="U5252" i="7"/>
  <c r="L5252" i="7"/>
  <c r="N5252" i="7" s="1"/>
  <c r="W5355" i="7"/>
  <c r="W5359" i="7" s="1"/>
  <c r="N5443" i="7"/>
  <c r="D5443" i="7"/>
  <c r="W5443" i="7" s="1"/>
  <c r="P5440" i="7"/>
  <c r="R5440" i="7" s="1"/>
  <c r="J5450" i="7"/>
  <c r="J5451" i="7"/>
  <c r="J5449" i="7"/>
  <c r="F5075" i="7"/>
  <c r="L5072" i="7"/>
  <c r="N5072" i="7" s="1"/>
  <c r="U5072" i="7"/>
  <c r="F5083" i="7"/>
  <c r="U5080" i="7"/>
  <c r="L5080" i="7"/>
  <c r="N5080" i="7" s="1"/>
  <c r="J4610" i="7"/>
  <c r="J4611" i="7"/>
  <c r="J4609" i="7"/>
  <c r="P5884" i="7"/>
  <c r="R5884" i="7" s="1"/>
  <c r="P4654" i="7"/>
  <c r="R4654" i="7" s="1"/>
  <c r="J5145" i="7"/>
  <c r="L5145" i="7"/>
  <c r="J5150" i="7"/>
  <c r="J5149" i="7"/>
  <c r="J5151" i="7"/>
  <c r="J4489" i="7"/>
  <c r="J4491" i="7"/>
  <c r="J4490" i="7"/>
  <c r="J5627" i="7"/>
  <c r="L5627" i="7"/>
  <c r="L5827" i="7"/>
  <c r="N5827" i="7" s="1"/>
  <c r="P5827" i="7" s="1"/>
  <c r="R5827" i="7" s="1"/>
  <c r="U5827" i="7"/>
  <c r="L5267" i="7"/>
  <c r="J5267" i="7"/>
  <c r="U6100" i="7"/>
  <c r="F6103" i="7"/>
  <c r="L6100" i="7"/>
  <c r="N6100" i="7" s="1"/>
  <c r="P5674" i="7"/>
  <c r="R5674" i="7" s="1"/>
  <c r="P5523" i="7"/>
  <c r="R5523" i="7" s="1"/>
  <c r="P6041" i="7"/>
  <c r="R6041" i="7" s="1"/>
  <c r="L5712" i="7"/>
  <c r="N5712" i="7" s="1"/>
  <c r="U5712" i="7"/>
  <c r="U5713" i="7" s="1"/>
  <c r="U5710" i="7"/>
  <c r="F5713" i="7"/>
  <c r="L5710" i="7"/>
  <c r="N5710" i="7" s="1"/>
  <c r="U4384" i="7"/>
  <c r="U4385" i="7" s="1"/>
  <c r="L4384" i="7"/>
  <c r="N4384" i="7" s="1"/>
  <c r="P5921" i="7"/>
  <c r="R5921" i="7" s="1"/>
  <c r="D4993" i="7"/>
  <c r="W4993" i="7" s="1"/>
  <c r="P4990" i="7"/>
  <c r="R4990" i="7" s="1"/>
  <c r="W6107" i="7"/>
  <c r="W6111" i="7" s="1"/>
  <c r="P4534" i="7"/>
  <c r="R4534" i="7" s="1"/>
  <c r="J4726" i="7"/>
  <c r="L4726" i="7"/>
  <c r="J4727" i="7"/>
  <c r="L4727" i="7"/>
  <c r="L5026" i="7"/>
  <c r="J5026" i="7"/>
  <c r="W4575" i="7"/>
  <c r="W4579" i="7" s="1"/>
  <c r="U5592" i="7"/>
  <c r="U5593" i="7" s="1"/>
  <c r="L5592" i="7"/>
  <c r="N5592" i="7" s="1"/>
  <c r="D5165" i="7"/>
  <c r="P5162" i="7"/>
  <c r="R5162" i="7" s="1"/>
  <c r="L4864" i="7"/>
  <c r="N4864" i="7" s="1"/>
  <c r="U4864" i="7"/>
  <c r="U4865" i="7" s="1"/>
  <c r="W4485" i="7"/>
  <c r="W4489" i="7" s="1"/>
  <c r="L5412" i="7"/>
  <c r="N5412" i="7" s="1"/>
  <c r="U5412" i="7"/>
  <c r="U5413" i="7" s="1"/>
  <c r="F4813" i="7"/>
  <c r="L4810" i="7"/>
  <c r="N4810" i="7" s="1"/>
  <c r="U4810" i="7"/>
  <c r="U6002" i="7"/>
  <c r="F6005" i="7"/>
  <c r="L6002" i="7"/>
  <c r="N6002" i="7" s="1"/>
  <c r="L5775" i="7"/>
  <c r="J5775" i="7"/>
  <c r="W5446" i="7"/>
  <c r="W5450" i="7" s="1"/>
  <c r="L4834" i="7"/>
  <c r="N4834" i="7" s="1"/>
  <c r="U4834" i="7"/>
  <c r="U4835" i="7" s="1"/>
  <c r="J5505" i="7"/>
  <c r="L5505" i="7"/>
  <c r="J4935" i="7"/>
  <c r="L4935" i="7"/>
  <c r="U4567" i="7"/>
  <c r="L4567" i="7"/>
  <c r="N4567" i="7" s="1"/>
  <c r="P4563" i="7"/>
  <c r="R4563" i="7" s="1"/>
  <c r="P5552" i="7"/>
  <c r="R5552" i="7" s="1"/>
  <c r="D5555" i="7"/>
  <c r="U5652" i="7"/>
  <c r="U5653" i="7" s="1"/>
  <c r="L5652" i="7"/>
  <c r="N5652" i="7" s="1"/>
  <c r="P5644" i="7"/>
  <c r="R5644" i="7" s="1"/>
  <c r="N4505" i="7"/>
  <c r="P4502" i="7"/>
  <c r="R4502" i="7" s="1"/>
  <c r="D4505" i="7"/>
  <c r="L5865" i="7"/>
  <c r="J5865" i="7"/>
  <c r="L5862" i="7"/>
  <c r="N5862" i="7" s="1"/>
  <c r="U5862" i="7"/>
  <c r="U5863" i="7" s="1"/>
  <c r="U5854" i="7"/>
  <c r="U5855" i="7" s="1"/>
  <c r="L5854" i="7"/>
  <c r="N5854" i="7" s="1"/>
  <c r="J4429" i="7"/>
  <c r="J4430" i="7"/>
  <c r="J4431" i="7"/>
  <c r="L4791" i="7"/>
  <c r="J5989" i="7"/>
  <c r="J5991" i="7"/>
  <c r="J5990" i="7"/>
  <c r="P4452" i="7"/>
  <c r="R4452" i="7" s="1"/>
  <c r="J5477" i="7"/>
  <c r="L5477" i="7"/>
  <c r="L5472" i="7"/>
  <c r="N5472" i="7" s="1"/>
  <c r="U5472" i="7"/>
  <c r="U5473" i="7" s="1"/>
  <c r="L4970" i="7"/>
  <c r="N5285" i="7"/>
  <c r="D5285" i="7"/>
  <c r="P5282" i="7"/>
  <c r="R5282" i="7" s="1"/>
  <c r="L6064" i="7"/>
  <c r="N6064" i="7" s="1"/>
  <c r="U6064" i="7"/>
  <c r="U6065" i="7" s="1"/>
  <c r="L5120" i="7"/>
  <c r="U5110" i="7"/>
  <c r="L5110" i="7"/>
  <c r="N5110" i="7" s="1"/>
  <c r="F5113" i="7"/>
  <c r="L5260" i="7"/>
  <c r="N5260" i="7" s="1"/>
  <c r="U5260" i="7"/>
  <c r="F5263" i="7"/>
  <c r="L6062" i="7"/>
  <c r="N6062" i="7" s="1"/>
  <c r="F6065" i="7"/>
  <c r="U6062" i="7"/>
  <c r="J5417" i="7"/>
  <c r="L5417" i="7"/>
  <c r="U4837" i="7"/>
  <c r="L4837" i="7"/>
  <c r="N4837" i="7" s="1"/>
  <c r="F4303" i="7"/>
  <c r="L4300" i="7"/>
  <c r="N4300" i="7" s="1"/>
  <c r="U4300" i="7"/>
  <c r="N5253" i="7"/>
  <c r="J5261" i="7"/>
  <c r="N5261" i="7" s="1"/>
  <c r="L5087" i="7"/>
  <c r="J5087" i="7"/>
  <c r="J5389" i="7"/>
  <c r="J5391" i="7"/>
  <c r="J5390" i="7"/>
  <c r="L4669" i="7"/>
  <c r="L5149" i="7"/>
  <c r="U5140" i="7"/>
  <c r="L5140" i="7"/>
  <c r="N5140" i="7" s="1"/>
  <c r="F5143" i="7"/>
  <c r="J4485" i="7"/>
  <c r="L4485" i="7"/>
  <c r="L4477" i="7"/>
  <c r="N4477" i="7" s="1"/>
  <c r="U4477" i="7"/>
  <c r="P4752" i="7"/>
  <c r="R4752" i="7" s="1"/>
  <c r="P4742" i="7"/>
  <c r="R4742" i="7" s="1"/>
  <c r="D4745" i="7"/>
  <c r="U5612" i="7"/>
  <c r="F5615" i="7"/>
  <c r="L5612" i="7"/>
  <c r="N5612" i="7" s="1"/>
  <c r="J4311" i="7"/>
  <c r="J4310" i="7"/>
  <c r="J4309" i="7"/>
  <c r="U5347" i="7"/>
  <c r="L5347" i="7"/>
  <c r="N5347" i="7" s="1"/>
  <c r="D4325" i="7"/>
  <c r="P4322" i="7"/>
  <c r="R4322" i="7" s="1"/>
  <c r="U5262" i="7"/>
  <c r="U5263" i="7" s="1"/>
  <c r="L5262" i="7"/>
  <c r="N5262" i="7" s="1"/>
  <c r="J5271" i="7"/>
  <c r="J5270" i="7"/>
  <c r="J5269" i="7"/>
  <c r="J5171" i="7"/>
  <c r="N5171" i="7" s="1"/>
  <c r="N5163" i="7"/>
  <c r="J5691" i="7"/>
  <c r="J5690" i="7"/>
  <c r="J5689" i="7"/>
  <c r="F6043" i="7"/>
  <c r="U6040" i="7"/>
  <c r="L6040" i="7"/>
  <c r="N6040" i="7" s="1"/>
  <c r="U5704" i="7"/>
  <c r="U5705" i="7" s="1"/>
  <c r="L5704" i="7"/>
  <c r="N5704" i="7" s="1"/>
  <c r="J5441" i="7"/>
  <c r="N5441" i="7" s="1"/>
  <c r="N5433" i="7"/>
  <c r="U4624" i="7"/>
  <c r="U4625" i="7" s="1"/>
  <c r="L4624" i="7"/>
  <c r="N4624" i="7" s="1"/>
  <c r="L4984" i="7"/>
  <c r="N4984" i="7" s="1"/>
  <c r="U4984" i="7"/>
  <c r="U4985" i="7" s="1"/>
  <c r="P4984" i="7"/>
  <c r="R4984" i="7" s="1"/>
  <c r="W6105" i="7"/>
  <c r="W6109" i="7" s="1"/>
  <c r="L4549" i="7"/>
  <c r="P5012" i="7"/>
  <c r="R5012" i="7" s="1"/>
  <c r="D5015" i="7"/>
  <c r="J5595" i="7"/>
  <c r="L5595" i="7"/>
  <c r="J5176" i="7"/>
  <c r="L5176" i="7"/>
  <c r="D4873" i="7"/>
  <c r="W4873" i="7" s="1"/>
  <c r="P4870" i="7"/>
  <c r="R4870" i="7" s="1"/>
  <c r="U4867" i="7"/>
  <c r="L4867" i="7"/>
  <c r="N4867" i="7" s="1"/>
  <c r="W4486" i="7"/>
  <c r="W4490" i="7" s="1"/>
  <c r="P5410" i="7"/>
  <c r="R5410" i="7" s="1"/>
  <c r="D5413" i="7"/>
  <c r="W5413" i="7" s="1"/>
  <c r="L4802" i="7"/>
  <c r="N4802" i="7" s="1"/>
  <c r="F4805" i="7"/>
  <c r="U4802" i="7"/>
  <c r="J6015" i="7"/>
  <c r="L6015" i="7"/>
  <c r="F6013" i="7"/>
  <c r="L6010" i="7"/>
  <c r="N6010" i="7" s="1"/>
  <c r="U6010" i="7"/>
  <c r="P5771" i="7"/>
  <c r="R5771" i="7" s="1"/>
  <c r="W5445" i="7"/>
  <c r="W5449" i="7" s="1"/>
  <c r="U4840" i="7"/>
  <c r="F4843" i="7"/>
  <c r="L4840" i="7"/>
  <c r="N4840" i="7" s="1"/>
  <c r="U5740" i="7"/>
  <c r="F5743" i="7"/>
  <c r="L5740" i="7"/>
  <c r="N5740" i="7" s="1"/>
  <c r="P5502" i="7"/>
  <c r="R5502" i="7" s="1"/>
  <c r="P4932" i="7"/>
  <c r="R4932" i="7" s="1"/>
  <c r="U4572" i="7"/>
  <c r="U4573" i="7" s="1"/>
  <c r="L4572" i="7"/>
  <c r="N4572" i="7" s="1"/>
  <c r="L5655" i="7"/>
  <c r="J5655" i="7"/>
  <c r="L4519" i="7"/>
  <c r="L4517" i="7"/>
  <c r="J4517" i="7"/>
  <c r="N5863" i="7"/>
  <c r="P5860" i="7"/>
  <c r="R5860" i="7" s="1"/>
  <c r="D5863" i="7"/>
  <c r="W5863" i="7" s="1"/>
  <c r="L5805" i="7"/>
  <c r="J5805" i="7"/>
  <c r="L4780" i="7"/>
  <c r="N4780" i="7" s="1"/>
  <c r="U4780" i="7"/>
  <c r="F4783" i="7"/>
  <c r="P5973" i="7"/>
  <c r="R5973" i="7" s="1"/>
  <c r="J4460" i="7"/>
  <c r="J4459" i="7"/>
  <c r="J4461" i="7"/>
  <c r="U4447" i="7"/>
  <c r="L4447" i="7"/>
  <c r="N4447" i="7" s="1"/>
  <c r="W4995" i="7"/>
  <c r="W4999" i="7" s="1"/>
  <c r="L5476" i="7"/>
  <c r="J5476" i="7"/>
  <c r="P4894" i="7"/>
  <c r="R4894" i="7" s="1"/>
  <c r="J5561" i="7"/>
  <c r="N5561" i="7" s="1"/>
  <c r="N5553" i="7"/>
  <c r="U6067" i="7"/>
  <c r="L6067" i="7"/>
  <c r="N6067" i="7" s="1"/>
  <c r="J5115" i="7"/>
  <c r="L5115" i="7"/>
  <c r="U6094" i="7"/>
  <c r="U6095" i="7" s="1"/>
  <c r="L6094" i="7"/>
  <c r="N6094" i="7" s="1"/>
  <c r="P5402" i="7"/>
  <c r="R5402" i="7" s="1"/>
  <c r="D5405" i="7"/>
  <c r="J4787" i="7"/>
  <c r="L4787" i="7"/>
  <c r="D4903" i="7"/>
  <c r="W4903" i="7" s="1"/>
  <c r="P4900" i="7"/>
  <c r="R4900" i="7" s="1"/>
  <c r="L6107" i="7"/>
  <c r="J6107" i="7"/>
  <c r="W4815" i="7"/>
  <c r="W4819" i="7" s="1"/>
  <c r="J5567" i="7"/>
  <c r="L5567" i="7"/>
  <c r="F4903" i="7"/>
  <c r="U4900" i="7"/>
  <c r="L4900" i="7"/>
  <c r="N4900" i="7" s="1"/>
  <c r="U5377" i="7"/>
  <c r="L5377" i="7"/>
  <c r="N5377" i="7" s="1"/>
  <c r="L5325" i="7"/>
  <c r="J5325" i="7"/>
  <c r="L5074" i="7"/>
  <c r="N5074" i="7" s="1"/>
  <c r="U5074" i="7"/>
  <c r="U5075" i="7" s="1"/>
  <c r="U5432" i="7"/>
  <c r="L5432" i="7"/>
  <c r="N5432" i="7" s="1"/>
  <c r="F5435" i="7"/>
  <c r="P5441" i="7"/>
  <c r="R5441" i="7" s="1"/>
  <c r="J5447" i="7"/>
  <c r="L5447" i="7"/>
  <c r="L4605" i="7"/>
  <c r="J4605" i="7"/>
  <c r="L4666" i="7"/>
  <c r="J4666" i="7"/>
  <c r="J4487" i="7"/>
  <c r="L4487" i="7"/>
  <c r="P5620" i="7"/>
  <c r="R5620" i="7" s="1"/>
  <c r="D5623" i="7"/>
  <c r="W5623" i="7" s="1"/>
  <c r="P5612" i="7"/>
  <c r="R5612" i="7" s="1"/>
  <c r="D5615" i="7"/>
  <c r="P4292" i="7"/>
  <c r="R4292" i="7" s="1"/>
  <c r="D4295" i="7"/>
  <c r="P5342" i="7"/>
  <c r="R5342" i="7" s="1"/>
  <c r="D5345" i="7"/>
  <c r="J5357" i="7"/>
  <c r="L5357" i="7"/>
  <c r="U4322" i="7"/>
  <c r="F4325" i="7"/>
  <c r="L4322" i="7"/>
  <c r="N4322" i="7" s="1"/>
  <c r="L4332" i="7"/>
  <c r="N4332" i="7" s="1"/>
  <c r="U4332" i="7"/>
  <c r="U4333" i="7" s="1"/>
  <c r="P5262" i="7"/>
  <c r="R5262" i="7" s="1"/>
  <c r="N5263" i="7"/>
  <c r="P5263" i="7" s="1"/>
  <c r="R5263" i="7" s="1"/>
  <c r="P5260" i="7"/>
  <c r="R5260" i="7" s="1"/>
  <c r="D5263" i="7"/>
  <c r="W5263" i="7" s="1"/>
  <c r="P6102" i="7"/>
  <c r="R6102" i="7" s="1"/>
  <c r="L5312" i="7"/>
  <c r="N5312" i="7" s="1"/>
  <c r="F5315" i="7"/>
  <c r="U5312" i="7"/>
  <c r="D5323" i="7"/>
  <c r="W5323" i="7" s="1"/>
  <c r="P5320" i="7"/>
  <c r="R5320" i="7" s="1"/>
  <c r="P5682" i="7"/>
  <c r="R5682" i="7" s="1"/>
  <c r="F5683" i="7"/>
  <c r="U5680" i="7"/>
  <c r="L5680" i="7"/>
  <c r="N5680" i="7" s="1"/>
  <c r="D5533" i="7"/>
  <c r="W5533" i="7" s="1"/>
  <c r="P5530" i="7"/>
  <c r="R5530" i="7" s="1"/>
  <c r="P6034" i="7"/>
  <c r="R6034" i="7" s="1"/>
  <c r="P4392" i="7"/>
  <c r="R4392" i="7" s="1"/>
  <c r="D4625" i="7"/>
  <c r="P4622" i="7"/>
  <c r="R4622" i="7" s="1"/>
  <c r="L5920" i="7"/>
  <c r="N5920" i="7" s="1"/>
  <c r="F5923" i="7"/>
  <c r="U5920" i="7"/>
  <c r="J5925" i="7"/>
  <c r="L5925" i="7"/>
  <c r="J4541" i="7"/>
  <c r="N4541" i="7" s="1"/>
  <c r="N4533" i="7"/>
  <c r="W6017" i="7"/>
  <c r="W6021" i="7" s="1"/>
  <c r="U4534" i="7"/>
  <c r="U4535" i="7" s="1"/>
  <c r="L4534" i="7"/>
  <c r="N4534" i="7" s="1"/>
  <c r="D4535" i="7"/>
  <c r="P4532" i="7"/>
  <c r="R4532" i="7" s="1"/>
  <c r="F4535" i="7"/>
  <c r="L4532" i="7"/>
  <c r="N4532" i="7" s="1"/>
  <c r="U4532" i="7"/>
  <c r="P5201" i="7"/>
  <c r="R5201" i="7" s="1"/>
  <c r="U4684" i="7"/>
  <c r="U4685" i="7" s="1"/>
  <c r="L4684" i="7"/>
  <c r="N4684" i="7" s="1"/>
  <c r="P5022" i="7"/>
  <c r="R5022" i="7" s="1"/>
  <c r="L5027" i="7"/>
  <c r="J5027" i="7"/>
  <c r="J5181" i="7"/>
  <c r="J5180" i="7"/>
  <c r="J5179" i="7"/>
  <c r="D5173" i="7"/>
  <c r="W5173" i="7" s="1"/>
  <c r="P5170" i="7"/>
  <c r="R5170" i="7" s="1"/>
  <c r="L4875" i="7"/>
  <c r="J4875" i="7"/>
  <c r="L4815" i="7"/>
  <c r="J4815" i="7"/>
  <c r="P4812" i="7"/>
  <c r="R4812" i="7" s="1"/>
  <c r="J4820" i="7"/>
  <c r="J4821" i="7"/>
  <c r="J4819" i="7"/>
  <c r="P5772" i="7"/>
  <c r="R5772" i="7" s="1"/>
  <c r="P4842" i="7"/>
  <c r="R4842" i="7" s="1"/>
  <c r="J5507" i="7"/>
  <c r="L5507" i="7"/>
  <c r="U5497" i="7"/>
  <c r="L5497" i="7"/>
  <c r="N5497" i="7" s="1"/>
  <c r="P5497" i="7" s="1"/>
  <c r="R5497" i="7" s="1"/>
  <c r="J4580" i="7"/>
  <c r="J4579" i="7"/>
  <c r="J4581" i="7"/>
  <c r="P4354" i="7"/>
  <c r="R4354" i="7" s="1"/>
  <c r="L5656" i="7"/>
  <c r="J5656" i="7"/>
  <c r="L4520" i="7"/>
  <c r="U4507" i="7"/>
  <c r="L4507" i="7"/>
  <c r="N4507" i="7" s="1"/>
  <c r="U5950" i="7"/>
  <c r="L5950" i="7"/>
  <c r="N5950" i="7" s="1"/>
  <c r="F5953" i="7"/>
  <c r="L5944" i="7"/>
  <c r="N5944" i="7" s="1"/>
  <c r="U5944" i="7"/>
  <c r="U5945" i="7" s="1"/>
  <c r="L5866" i="7"/>
  <c r="J5866" i="7"/>
  <c r="J5059" i="7"/>
  <c r="J5060" i="7"/>
  <c r="J5061" i="7"/>
  <c r="L5050" i="7"/>
  <c r="N5050" i="7" s="1"/>
  <c r="U5050" i="7"/>
  <c r="F5053" i="7"/>
  <c r="W5626" i="7"/>
  <c r="W5630" i="7" s="1"/>
  <c r="P4420" i="7"/>
  <c r="R4420" i="7" s="1"/>
  <c r="D4423" i="7"/>
  <c r="W4423" i="7" s="1"/>
  <c r="J5987" i="7"/>
  <c r="L5987" i="7"/>
  <c r="W4997" i="7"/>
  <c r="W5001" i="7" s="1"/>
  <c r="D5473" i="7"/>
  <c r="W5473" i="7" s="1"/>
  <c r="P5470" i="7"/>
  <c r="R5470" i="7" s="1"/>
  <c r="N5473" i="7"/>
  <c r="U4902" i="7"/>
  <c r="U4903" i="7" s="1"/>
  <c r="L4902" i="7"/>
  <c r="N4902" i="7" s="1"/>
  <c r="J4906" i="7"/>
  <c r="L4906" i="7"/>
  <c r="P4961" i="7"/>
  <c r="R4961" i="7" s="1"/>
  <c r="U5290" i="7"/>
  <c r="F5293" i="7"/>
  <c r="L5290" i="7"/>
  <c r="N5290" i="7" s="1"/>
  <c r="J5301" i="7"/>
  <c r="J5300" i="7"/>
  <c r="J5299" i="7"/>
  <c r="J6079" i="7"/>
  <c r="J6081" i="7"/>
  <c r="J6080" i="7"/>
  <c r="P5111" i="7"/>
  <c r="R5111" i="7" s="1"/>
  <c r="L5707" i="7"/>
  <c r="N5707" i="7" s="1"/>
  <c r="U5707" i="7"/>
  <c r="P4360" i="7"/>
  <c r="R4360" i="7" s="1"/>
  <c r="D4363" i="7"/>
  <c r="W4363" i="7" s="1"/>
  <c r="F4603" i="7"/>
  <c r="U4600" i="7"/>
  <c r="L4600" i="7"/>
  <c r="N4600" i="7" s="1"/>
  <c r="L5895" i="7"/>
  <c r="J5895" i="7"/>
  <c r="F5375" i="7"/>
  <c r="L5372" i="7"/>
  <c r="N5372" i="7" s="1"/>
  <c r="U5372" i="7"/>
  <c r="D5435" i="7"/>
  <c r="P5432" i="7"/>
  <c r="R5432" i="7" s="1"/>
  <c r="N5435" i="7"/>
  <c r="J5085" i="7"/>
  <c r="L5085" i="7"/>
  <c r="P5080" i="7"/>
  <c r="R5080" i="7" s="1"/>
  <c r="D5083" i="7"/>
  <c r="W5083" i="7" s="1"/>
  <c r="J4607" i="7"/>
  <c r="L4607" i="7"/>
  <c r="U4602" i="7"/>
  <c r="U4603" i="7" s="1"/>
  <c r="L4602" i="7"/>
  <c r="N4602" i="7" s="1"/>
  <c r="P5892" i="7"/>
  <c r="R5892" i="7" s="1"/>
  <c r="L4665" i="7"/>
  <c r="J4665" i="7"/>
  <c r="U4662" i="7"/>
  <c r="U4663" i="7" s="1"/>
  <c r="L4662" i="7"/>
  <c r="N4662" i="7" s="1"/>
  <c r="U5137" i="7"/>
  <c r="L5137" i="7"/>
  <c r="N5137" i="7" s="1"/>
  <c r="D4475" i="7"/>
  <c r="P4472" i="7"/>
  <c r="R4472" i="7" s="1"/>
  <c r="P4474" i="7"/>
  <c r="R4474" i="7" s="1"/>
  <c r="J4760" i="7"/>
  <c r="J4761" i="7"/>
  <c r="J4759" i="7"/>
  <c r="U4747" i="7"/>
  <c r="L4747" i="7"/>
  <c r="N4747" i="7" s="1"/>
  <c r="P4747" i="7" s="1"/>
  <c r="R4747" i="7" s="1"/>
  <c r="L4309" i="7"/>
  <c r="J5355" i="7"/>
  <c r="L5355" i="7"/>
  <c r="U5344" i="7"/>
  <c r="U5345" i="7" s="1"/>
  <c r="L5344" i="7"/>
  <c r="N5344" i="7" s="1"/>
  <c r="P5351" i="7"/>
  <c r="R5351" i="7" s="1"/>
  <c r="P5824" i="7"/>
  <c r="R5824" i="7" s="1"/>
  <c r="P5253" i="7"/>
  <c r="R5253" i="7" s="1"/>
  <c r="L5270" i="7"/>
  <c r="F5323" i="7"/>
  <c r="U5320" i="7"/>
  <c r="L5320" i="7"/>
  <c r="N5320" i="7" s="1"/>
  <c r="L5687" i="7"/>
  <c r="J5687" i="7"/>
  <c r="F5533" i="7"/>
  <c r="L5530" i="7"/>
  <c r="N5530" i="7" s="1"/>
  <c r="U5530" i="7"/>
  <c r="L6047" i="7"/>
  <c r="J6047" i="7"/>
  <c r="L6046" i="7"/>
  <c r="J6046" i="7"/>
  <c r="L5716" i="7"/>
  <c r="J5716" i="7"/>
  <c r="L4387" i="7"/>
  <c r="N4387" i="7" s="1"/>
  <c r="U4387" i="7"/>
  <c r="L4392" i="7"/>
  <c r="N4392" i="7" s="1"/>
  <c r="U4392" i="7"/>
  <c r="U4393" i="7" s="1"/>
  <c r="L4637" i="7"/>
  <c r="J4637" i="7"/>
  <c r="J4551" i="7"/>
  <c r="J4549" i="7"/>
  <c r="J4550" i="7"/>
  <c r="L5210" i="7"/>
  <c r="L5197" i="7"/>
  <c r="N5197" i="7" s="1"/>
  <c r="U5197" i="7"/>
  <c r="P4714" i="7"/>
  <c r="R4714" i="7" s="1"/>
  <c r="U4682" i="7"/>
  <c r="F4685" i="7"/>
  <c r="L4682" i="7"/>
  <c r="N4682" i="7" s="1"/>
  <c r="L5029" i="7"/>
  <c r="N5103" i="7"/>
  <c r="J5111" i="7"/>
  <c r="N5111" i="7" s="1"/>
  <c r="W4755" i="7"/>
  <c r="W4759" i="7" s="1"/>
  <c r="J5831" i="7"/>
  <c r="N5831" i="7" s="1"/>
  <c r="N5823" i="7"/>
  <c r="L4877" i="7"/>
  <c r="J4877" i="7"/>
  <c r="P6003" i="7"/>
  <c r="R6003" i="7" s="1"/>
  <c r="P6004" i="7"/>
  <c r="R6004" i="7" s="1"/>
  <c r="L5777" i="7"/>
  <c r="J5777" i="7"/>
  <c r="N5793" i="7"/>
  <c r="J5801" i="7"/>
  <c r="N5801" i="7" s="1"/>
  <c r="J4845" i="7"/>
  <c r="L4845" i="7"/>
  <c r="L4851" i="7"/>
  <c r="L5494" i="7"/>
  <c r="N5494" i="7" s="1"/>
  <c r="U5494" i="7"/>
  <c r="U5495" i="7" s="1"/>
  <c r="L4940" i="7"/>
  <c r="L4362" i="7"/>
  <c r="N4362" i="7" s="1"/>
  <c r="U4362" i="7"/>
  <c r="U4363" i="7" s="1"/>
  <c r="P5553" i="7"/>
  <c r="R5553" i="7" s="1"/>
  <c r="U4502" i="7"/>
  <c r="L4502" i="7"/>
  <c r="N4502" i="7" s="1"/>
  <c r="F4505" i="7"/>
  <c r="J4520" i="7"/>
  <c r="J4519" i="7"/>
  <c r="J4521" i="7"/>
  <c r="U5947" i="7"/>
  <c r="L5947" i="7"/>
  <c r="N5947" i="7" s="1"/>
  <c r="P5853" i="7"/>
  <c r="R5853" i="7" s="1"/>
  <c r="J5055" i="7"/>
  <c r="L5055" i="7"/>
  <c r="W5625" i="7"/>
  <c r="W5629" i="7" s="1"/>
  <c r="L4422" i="7"/>
  <c r="N4422" i="7" s="1"/>
  <c r="U4422" i="7"/>
  <c r="U4423" i="7" s="1"/>
  <c r="P4782" i="7"/>
  <c r="R4782" i="7" s="1"/>
  <c r="U5974" i="7"/>
  <c r="U5975" i="7" s="1"/>
  <c r="L5974" i="7"/>
  <c r="N5974" i="7" s="1"/>
  <c r="W5986" i="7"/>
  <c r="W5990" i="7" s="1"/>
  <c r="J4456" i="7"/>
  <c r="L4456" i="7"/>
  <c r="U5462" i="7"/>
  <c r="L5462" i="7"/>
  <c r="N5462" i="7" s="1"/>
  <c r="F5465" i="7"/>
  <c r="P5463" i="7"/>
  <c r="R5463" i="7" s="1"/>
  <c r="J4911" i="7"/>
  <c r="J4910" i="7"/>
  <c r="J4909" i="7"/>
  <c r="L5287" i="7"/>
  <c r="N5287" i="7" s="1"/>
  <c r="U5287" i="7"/>
  <c r="L5297" i="7"/>
  <c r="J5297" i="7"/>
  <c r="P6071" i="7"/>
  <c r="R6071" i="7" s="1"/>
  <c r="D5105" i="7"/>
  <c r="P5102" i="7"/>
  <c r="R5102" i="7" s="1"/>
  <c r="P5223" i="7"/>
  <c r="R5223" i="7" s="1"/>
  <c r="D5225" i="7"/>
  <c r="P5222" i="7"/>
  <c r="R5222" i="7" s="1"/>
  <c r="P5381" i="7"/>
  <c r="R5381" i="7" s="1"/>
  <c r="U4597" i="7"/>
  <c r="L4597" i="7"/>
  <c r="N4597" i="7" s="1"/>
  <c r="J6106" i="7"/>
  <c r="L6106" i="7"/>
  <c r="P4601" i="7"/>
  <c r="R4601" i="7" s="1"/>
  <c r="L5385" i="7"/>
  <c r="J5385" i="7"/>
  <c r="L5387" i="7"/>
  <c r="J5387" i="7"/>
  <c r="L5386" i="7"/>
  <c r="J5386" i="7"/>
  <c r="L5445" i="7"/>
  <c r="J5445" i="7"/>
  <c r="L5887" i="7"/>
  <c r="N5887" i="7" s="1"/>
  <c r="U5887" i="7"/>
  <c r="L4657" i="7"/>
  <c r="N4657" i="7" s="1"/>
  <c r="U4657" i="7"/>
  <c r="P5134" i="7"/>
  <c r="R5134" i="7" s="1"/>
  <c r="U4474" i="7"/>
  <c r="U4475" i="7" s="1"/>
  <c r="L4474" i="7"/>
  <c r="N4474" i="7" s="1"/>
  <c r="J4361" i="7"/>
  <c r="N4361" i="7" s="1"/>
  <c r="N4353" i="7"/>
  <c r="L4750" i="7"/>
  <c r="N4750" i="7" s="1"/>
  <c r="F4753" i="7"/>
  <c r="U4750" i="7"/>
  <c r="L4755" i="7"/>
  <c r="J4755" i="7"/>
  <c r="F5623" i="7"/>
  <c r="L5620" i="7"/>
  <c r="N5620" i="7" s="1"/>
  <c r="U5620" i="7"/>
  <c r="P5622" i="7"/>
  <c r="R5622" i="7" s="1"/>
  <c r="P4301" i="7"/>
  <c r="R4301" i="7" s="1"/>
  <c r="P5350" i="7"/>
  <c r="R5350" i="7" s="1"/>
  <c r="D5353" i="7"/>
  <c r="W5353" i="7" s="1"/>
  <c r="W4335" i="7"/>
  <c r="W4339" i="7" s="1"/>
  <c r="L4335" i="7"/>
  <c r="J4335" i="7"/>
  <c r="J4661" i="7"/>
  <c r="N4661" i="7" s="1"/>
  <c r="N4653" i="7"/>
  <c r="L5265" i="7"/>
  <c r="J5265" i="7"/>
  <c r="J5591" i="7"/>
  <c r="N5591" i="7" s="1"/>
  <c r="N5583" i="7"/>
  <c r="J6105" i="7"/>
  <c r="L6105" i="7"/>
  <c r="P5322" i="7"/>
  <c r="R5322" i="7" s="1"/>
  <c r="P5681" i="7"/>
  <c r="R5681" i="7" s="1"/>
  <c r="P5532" i="7"/>
  <c r="R5532" i="7" s="1"/>
  <c r="P4383" i="7"/>
  <c r="R4383" i="7" s="1"/>
  <c r="P4382" i="7"/>
  <c r="R4382" i="7" s="1"/>
  <c r="D4385" i="7"/>
  <c r="L4635" i="7"/>
  <c r="J4635" i="7"/>
  <c r="L5922" i="7"/>
  <c r="N5922" i="7" s="1"/>
  <c r="U5922" i="7"/>
  <c r="U5923" i="7" s="1"/>
  <c r="U5917" i="7"/>
  <c r="L5917" i="7"/>
  <c r="N5917" i="7" s="1"/>
  <c r="P4992" i="7"/>
  <c r="R4992" i="7" s="1"/>
  <c r="U4987" i="7"/>
  <c r="L4987" i="7"/>
  <c r="N4987" i="7" s="1"/>
  <c r="J4601" i="7"/>
  <c r="N4601" i="7" s="1"/>
  <c r="N4593" i="7"/>
  <c r="P4720" i="7"/>
  <c r="R4720" i="7" s="1"/>
  <c r="D4723" i="7"/>
  <c r="W4723" i="7" s="1"/>
  <c r="N4723" i="7"/>
  <c r="P4692" i="7"/>
  <c r="R4692" i="7" s="1"/>
  <c r="L4700" i="7"/>
  <c r="N4443" i="7"/>
  <c r="J4451" i="7"/>
  <c r="N4451" i="7" s="1"/>
  <c r="W4757" i="7"/>
  <c r="W4761" i="7" s="1"/>
  <c r="L5175" i="7"/>
  <c r="J5175" i="7"/>
  <c r="P5164" i="7"/>
  <c r="R5164" i="7" s="1"/>
  <c r="L4881" i="7"/>
  <c r="L4819" i="7"/>
  <c r="P4811" i="7"/>
  <c r="R4811" i="7" s="1"/>
  <c r="J6016" i="7"/>
  <c r="L6016" i="7"/>
  <c r="P5763" i="7"/>
  <c r="R5763" i="7" s="1"/>
  <c r="P4841" i="7"/>
  <c r="R4841" i="7" s="1"/>
  <c r="P5732" i="7"/>
  <c r="R5732" i="7" s="1"/>
  <c r="D5735" i="7"/>
  <c r="L5746" i="7"/>
  <c r="J5746" i="7"/>
  <c r="P4922" i="7"/>
  <c r="R4922" i="7" s="1"/>
  <c r="D4925" i="7"/>
  <c r="L4581" i="7"/>
  <c r="U4570" i="7"/>
  <c r="L4570" i="7"/>
  <c r="N4570" i="7" s="1"/>
  <c r="F4573" i="7"/>
  <c r="L4577" i="7"/>
  <c r="J4577" i="7"/>
  <c r="P5554" i="7"/>
  <c r="R5554" i="7" s="1"/>
  <c r="P4503" i="7"/>
  <c r="R4503" i="7" s="1"/>
  <c r="L5957" i="7"/>
  <c r="J5957" i="7"/>
  <c r="P5942" i="7"/>
  <c r="R5942" i="7" s="1"/>
  <c r="D5945" i="7"/>
  <c r="F5803" i="7"/>
  <c r="U5800" i="7"/>
  <c r="L5800" i="7"/>
  <c r="N5800" i="7" s="1"/>
  <c r="L5059" i="7"/>
  <c r="P4422" i="7"/>
  <c r="R4422" i="7" s="1"/>
  <c r="L4777" i="7"/>
  <c r="N4777" i="7" s="1"/>
  <c r="U4777" i="7"/>
  <c r="U4782" i="7"/>
  <c r="U4783" i="7" s="1"/>
  <c r="L4782" i="7"/>
  <c r="N4782" i="7" s="1"/>
  <c r="F5975" i="7"/>
  <c r="L5972" i="7"/>
  <c r="N5972" i="7" s="1"/>
  <c r="U5972" i="7"/>
  <c r="W5985" i="7"/>
  <c r="W5989" i="7" s="1"/>
  <c r="D4453" i="7"/>
  <c r="W4453" i="7" s="1"/>
  <c r="P4450" i="7"/>
  <c r="R4450" i="7" s="1"/>
  <c r="N4453" i="7"/>
  <c r="W4395" i="7"/>
  <c r="W4399" i="7" s="1"/>
  <c r="P5472" i="7"/>
  <c r="R5472" i="7" s="1"/>
  <c r="U5470" i="7"/>
  <c r="F5473" i="7"/>
  <c r="L5470" i="7"/>
  <c r="N5470" i="7" s="1"/>
  <c r="J4907" i="7"/>
  <c r="L4907" i="7"/>
  <c r="U4954" i="7"/>
  <c r="U4955" i="7" s="1"/>
  <c r="L4954" i="7"/>
  <c r="N4954" i="7" s="1"/>
  <c r="L5299" i="7"/>
  <c r="P6064" i="7"/>
  <c r="R6064" i="7" s="1"/>
  <c r="P6072" i="7"/>
  <c r="R6072" i="7" s="1"/>
  <c r="P5112" i="7"/>
  <c r="R5112" i="7" s="1"/>
  <c r="U5227" i="7"/>
  <c r="L5227" i="7"/>
  <c r="N5227" i="7" s="1"/>
  <c r="L5224" i="7"/>
  <c r="N5224" i="7" s="1"/>
  <c r="U5224" i="7"/>
  <c r="U5225" i="7" s="1"/>
  <c r="L589" i="7"/>
  <c r="L590" i="7"/>
  <c r="P581" i="7"/>
  <c r="R581" i="7" s="1"/>
  <c r="D752" i="7"/>
  <c r="F765" i="7"/>
  <c r="U765" i="7" s="1"/>
  <c r="F770" i="7"/>
  <c r="U770" i="7" s="1"/>
  <c r="F767" i="7"/>
  <c r="U767" i="7" s="1"/>
  <c r="H770" i="7"/>
  <c r="D753" i="7"/>
  <c r="D767" i="7"/>
  <c r="F766" i="7"/>
  <c r="U766" i="7" s="1"/>
  <c r="H765" i="7"/>
  <c r="D746" i="7"/>
  <c r="J769" i="7" s="1"/>
  <c r="D760" i="7"/>
  <c r="P760" i="7" s="1"/>
  <c r="R760" i="7" s="1"/>
  <c r="F754" i="7"/>
  <c r="L754" i="7" s="1"/>
  <c r="F769" i="7"/>
  <c r="U769" i="7" s="1"/>
  <c r="D766" i="7"/>
  <c r="G746" i="7"/>
  <c r="F757" i="7"/>
  <c r="U757" i="7" s="1"/>
  <c r="F752" i="7"/>
  <c r="U752" i="7" s="1"/>
  <c r="H767" i="7"/>
  <c r="F761" i="7"/>
  <c r="U761" i="7" s="1"/>
  <c r="F771" i="7"/>
  <c r="U771" i="7" s="1"/>
  <c r="H769" i="7"/>
  <c r="H771" i="7"/>
  <c r="D770" i="7"/>
  <c r="H766" i="7"/>
  <c r="P574" i="7"/>
  <c r="R574" i="7" s="1"/>
  <c r="D757" i="7"/>
  <c r="W757" i="7" s="1"/>
  <c r="D765" i="7"/>
  <c r="D762" i="7"/>
  <c r="P762" i="7" s="1"/>
  <c r="R762" i="7" s="1"/>
  <c r="F753" i="7"/>
  <c r="U753" i="7" s="1"/>
  <c r="F760" i="7"/>
  <c r="L760" i="7" s="1"/>
  <c r="D769" i="7"/>
  <c r="D754" i="7"/>
  <c r="D771" i="7"/>
  <c r="Y762" i="7"/>
  <c r="Y763" i="7" s="1"/>
  <c r="Y754" i="7"/>
  <c r="Y755" i="7" s="1"/>
  <c r="Y760" i="7"/>
  <c r="Y761" i="7"/>
  <c r="Y752" i="7"/>
  <c r="Y766" i="7"/>
  <c r="J754" i="7"/>
  <c r="J762" i="7" s="1"/>
  <c r="Y765" i="7"/>
  <c r="Y753" i="7"/>
  <c r="J752" i="7"/>
  <c r="J760" i="7" s="1"/>
  <c r="Y767" i="7"/>
  <c r="J757" i="7"/>
  <c r="F762" i="7"/>
  <c r="L762" i="7" s="1"/>
  <c r="J304" i="7"/>
  <c r="J312" i="7" s="1"/>
  <c r="J307" i="7"/>
  <c r="J303" i="7"/>
  <c r="J302" i="7"/>
  <c r="J310" i="7" s="1"/>
  <c r="D266" i="7"/>
  <c r="F289" i="7"/>
  <c r="U289" i="7" s="1"/>
  <c r="H286" i="7"/>
  <c r="F273" i="7"/>
  <c r="U273" i="7" s="1"/>
  <c r="H289" i="7"/>
  <c r="D285" i="7"/>
  <c r="F272" i="7"/>
  <c r="F277" i="7"/>
  <c r="F285" i="7"/>
  <c r="U285" i="7" s="1"/>
  <c r="F282" i="7"/>
  <c r="D277" i="7"/>
  <c r="W277" i="7" s="1"/>
  <c r="G266" i="7"/>
  <c r="D286" i="7"/>
  <c r="D291" i="7"/>
  <c r="H287" i="7"/>
  <c r="F290" i="7"/>
  <c r="U290" i="7" s="1"/>
  <c r="D282" i="7"/>
  <c r="F280" i="7"/>
  <c r="D273" i="7"/>
  <c r="H285" i="7"/>
  <c r="D289" i="7"/>
  <c r="F286" i="7"/>
  <c r="U286" i="7" s="1"/>
  <c r="H291" i="7"/>
  <c r="F287" i="7"/>
  <c r="U287" i="7" s="1"/>
  <c r="F274" i="7"/>
  <c r="F291" i="7"/>
  <c r="U291" i="7" s="1"/>
  <c r="D272" i="7"/>
  <c r="D290" i="7"/>
  <c r="D281" i="7"/>
  <c r="H290" i="7"/>
  <c r="D287" i="7"/>
  <c r="F281" i="7"/>
  <c r="U281" i="7" s="1"/>
  <c r="D274" i="7"/>
  <c r="D280" i="7"/>
  <c r="J634" i="7"/>
  <c r="J642" i="7" s="1"/>
  <c r="J633" i="7"/>
  <c r="J632" i="7"/>
  <c r="J640" i="7" s="1"/>
  <c r="J637" i="7"/>
  <c r="J512" i="7"/>
  <c r="J520" i="7" s="1"/>
  <c r="J514" i="7"/>
  <c r="J522" i="7" s="1"/>
  <c r="J517" i="7"/>
  <c r="J513" i="7"/>
  <c r="Y377" i="7"/>
  <c r="Y363" i="7"/>
  <c r="Y362" i="7"/>
  <c r="Y371" i="7"/>
  <c r="Y370" i="7"/>
  <c r="Y376" i="7"/>
  <c r="Y375" i="7"/>
  <c r="Y367" i="7"/>
  <c r="Y372" i="7"/>
  <c r="Y373" i="7" s="1"/>
  <c r="Y364" i="7"/>
  <c r="Y365" i="7" s="1"/>
  <c r="F363" i="7"/>
  <c r="U363" i="7" s="1"/>
  <c r="F362" i="7"/>
  <c r="F371" i="7"/>
  <c r="U371" i="7" s="1"/>
  <c r="H376" i="7"/>
  <c r="D376" i="7"/>
  <c r="D356" i="7"/>
  <c r="H377" i="7"/>
  <c r="D370" i="7"/>
  <c r="F377" i="7"/>
  <c r="U377" i="7" s="1"/>
  <c r="D372" i="7"/>
  <c r="D379" i="7"/>
  <c r="D367" i="7"/>
  <c r="W367" i="7" s="1"/>
  <c r="D371" i="7"/>
  <c r="F364" i="7"/>
  <c r="F381" i="7"/>
  <c r="U381" i="7" s="1"/>
  <c r="H380" i="7"/>
  <c r="D375" i="7"/>
  <c r="D364" i="7"/>
  <c r="D381" i="7"/>
  <c r="D380" i="7"/>
  <c r="F376" i="7"/>
  <c r="U376" i="7" s="1"/>
  <c r="H375" i="7"/>
  <c r="F370" i="7"/>
  <c r="H381" i="7"/>
  <c r="F380" i="7"/>
  <c r="U380" i="7" s="1"/>
  <c r="D377" i="7"/>
  <c r="H379" i="7"/>
  <c r="G356" i="7"/>
  <c r="F375" i="7"/>
  <c r="U375" i="7" s="1"/>
  <c r="F372" i="7"/>
  <c r="F367" i="7"/>
  <c r="D363" i="7"/>
  <c r="D362" i="7"/>
  <c r="F379" i="7"/>
  <c r="U379" i="7" s="1"/>
  <c r="J152" i="7"/>
  <c r="J160" i="7" s="1"/>
  <c r="J154" i="7"/>
  <c r="J162" i="7" s="1"/>
  <c r="J157" i="7"/>
  <c r="J153" i="7"/>
  <c r="P582" i="7"/>
  <c r="R582" i="7" s="1"/>
  <c r="D680" i="7"/>
  <c r="D679" i="7"/>
  <c r="F670" i="7"/>
  <c r="G656" i="7"/>
  <c r="F671" i="7"/>
  <c r="U671" i="7" s="1"/>
  <c r="F679" i="7"/>
  <c r="U679" i="7" s="1"/>
  <c r="D681" i="7"/>
  <c r="H680" i="7"/>
  <c r="F675" i="7"/>
  <c r="U675" i="7" s="1"/>
  <c r="F676" i="7"/>
  <c r="U676" i="7" s="1"/>
  <c r="F663" i="7"/>
  <c r="U663" i="7" s="1"/>
  <c r="D667" i="7"/>
  <c r="W667" i="7" s="1"/>
  <c r="D672" i="7"/>
  <c r="D663" i="7"/>
  <c r="D677" i="7"/>
  <c r="F677" i="7"/>
  <c r="U677" i="7" s="1"/>
  <c r="F672" i="7"/>
  <c r="D675" i="7"/>
  <c r="H679" i="7"/>
  <c r="F681" i="7"/>
  <c r="U681" i="7" s="1"/>
  <c r="F664" i="7"/>
  <c r="F680" i="7"/>
  <c r="U680" i="7" s="1"/>
  <c r="H681" i="7"/>
  <c r="D656" i="7"/>
  <c r="H675" i="7"/>
  <c r="D676" i="7"/>
  <c r="D664" i="7"/>
  <c r="D670" i="7"/>
  <c r="F662" i="7"/>
  <c r="H677" i="7"/>
  <c r="H676" i="7"/>
  <c r="D662" i="7"/>
  <c r="D671" i="7"/>
  <c r="F667" i="7"/>
  <c r="Y667" i="7"/>
  <c r="Y672" i="7"/>
  <c r="Y673" i="7" s="1"/>
  <c r="Y663" i="7"/>
  <c r="Y662" i="7"/>
  <c r="Y670" i="7"/>
  <c r="Y677" i="7"/>
  <c r="Y671" i="7"/>
  <c r="Y675" i="7"/>
  <c r="Y676" i="7"/>
  <c r="Y664" i="7"/>
  <c r="Y665" i="7" s="1"/>
  <c r="J483" i="7"/>
  <c r="J482" i="7"/>
  <c r="J490" i="7" s="1"/>
  <c r="J487" i="7"/>
  <c r="J484" i="7"/>
  <c r="J492" i="7" s="1"/>
  <c r="D222" i="7"/>
  <c r="D231" i="7"/>
  <c r="F212" i="7"/>
  <c r="D206" i="7"/>
  <c r="F230" i="7"/>
  <c r="U230" i="7" s="1"/>
  <c r="D229" i="7"/>
  <c r="F226" i="7"/>
  <c r="U226" i="7" s="1"/>
  <c r="F213" i="7"/>
  <c r="U213" i="7" s="1"/>
  <c r="D230" i="7"/>
  <c r="H226" i="7"/>
  <c r="F220" i="7"/>
  <c r="H231" i="7"/>
  <c r="D227" i="7"/>
  <c r="F229" i="7"/>
  <c r="U229" i="7" s="1"/>
  <c r="D212" i="7"/>
  <c r="H230" i="7"/>
  <c r="D220" i="7"/>
  <c r="D214" i="7"/>
  <c r="F221" i="7"/>
  <c r="U221" i="7" s="1"/>
  <c r="D217" i="7"/>
  <c r="W217" i="7" s="1"/>
  <c r="F231" i="7"/>
  <c r="U231" i="7" s="1"/>
  <c r="F214" i="7"/>
  <c r="F222" i="7"/>
  <c r="D221" i="7"/>
  <c r="D226" i="7"/>
  <c r="H225" i="7"/>
  <c r="H229" i="7"/>
  <c r="D213" i="7"/>
  <c r="G206" i="7"/>
  <c r="F217" i="7"/>
  <c r="D225" i="7"/>
  <c r="H227" i="7"/>
  <c r="F227" i="7"/>
  <c r="U227" i="7" s="1"/>
  <c r="F225" i="7"/>
  <c r="U225" i="7" s="1"/>
  <c r="D169" i="7"/>
  <c r="H166" i="7"/>
  <c r="D152" i="7"/>
  <c r="D154" i="7"/>
  <c r="F161" i="7"/>
  <c r="U161" i="7" s="1"/>
  <c r="D157" i="7"/>
  <c r="W157" i="7" s="1"/>
  <c r="F171" i="7"/>
  <c r="U171" i="7" s="1"/>
  <c r="D162" i="7"/>
  <c r="D165" i="7"/>
  <c r="H169" i="7"/>
  <c r="D171" i="7"/>
  <c r="D160" i="7"/>
  <c r="D166" i="7"/>
  <c r="G146" i="7"/>
  <c r="F165" i="7"/>
  <c r="U165" i="7" s="1"/>
  <c r="F153" i="7"/>
  <c r="U153" i="7" s="1"/>
  <c r="F170" i="7"/>
  <c r="U170" i="7" s="1"/>
  <c r="D153" i="7"/>
  <c r="D161" i="7"/>
  <c r="F169" i="7"/>
  <c r="U169" i="7" s="1"/>
  <c r="H170" i="7"/>
  <c r="D146" i="7"/>
  <c r="F162" i="7"/>
  <c r="F166" i="7"/>
  <c r="U166" i="7" s="1"/>
  <c r="H171" i="7"/>
  <c r="F154" i="7"/>
  <c r="H167" i="7"/>
  <c r="F157" i="7"/>
  <c r="H165" i="7"/>
  <c r="D170" i="7"/>
  <c r="F160" i="7"/>
  <c r="F167" i="7"/>
  <c r="U167" i="7" s="1"/>
  <c r="F152" i="7"/>
  <c r="D167" i="7"/>
  <c r="Y602" i="7"/>
  <c r="Y616" i="7"/>
  <c r="Y611" i="7"/>
  <c r="Y603" i="7"/>
  <c r="Y612" i="7"/>
  <c r="Y613" i="7" s="1"/>
  <c r="Y610" i="7"/>
  <c r="Y604" i="7"/>
  <c r="Y605" i="7" s="1"/>
  <c r="Y607" i="7"/>
  <c r="Y615" i="7"/>
  <c r="Y617" i="7"/>
  <c r="J337" i="7"/>
  <c r="J332" i="7"/>
  <c r="J340" i="7" s="1"/>
  <c r="J334" i="7"/>
  <c r="J342" i="7" s="1"/>
  <c r="J333" i="7"/>
  <c r="Y182" i="7"/>
  <c r="Y195" i="7"/>
  <c r="Y184" i="7"/>
  <c r="Y185" i="7" s="1"/>
  <c r="Y196" i="7"/>
  <c r="Y192" i="7"/>
  <c r="Y193" i="7" s="1"/>
  <c r="Y187" i="7"/>
  <c r="Y190" i="7"/>
  <c r="Y197" i="7"/>
  <c r="Y183" i="7"/>
  <c r="Y191" i="7"/>
  <c r="J397" i="7"/>
  <c r="J393" i="7"/>
  <c r="J392" i="7"/>
  <c r="J400" i="7" s="1"/>
  <c r="J394" i="7"/>
  <c r="J402" i="7" s="1"/>
  <c r="Y242" i="7"/>
  <c r="Y257" i="7"/>
  <c r="Y252" i="7"/>
  <c r="Y253" i="7" s="1"/>
  <c r="Y243" i="7"/>
  <c r="Y250" i="7"/>
  <c r="Y247" i="7"/>
  <c r="Y251" i="7"/>
  <c r="Y256" i="7"/>
  <c r="Y244" i="7"/>
  <c r="Y245" i="7" s="1"/>
  <c r="Y255" i="7"/>
  <c r="F345" i="7"/>
  <c r="U345" i="7" s="1"/>
  <c r="D349" i="7"/>
  <c r="D346" i="7"/>
  <c r="D332" i="7"/>
  <c r="F346" i="7"/>
  <c r="U346" i="7" s="1"/>
  <c r="F333" i="7"/>
  <c r="U333" i="7" s="1"/>
  <c r="D351" i="7"/>
  <c r="D341" i="7"/>
  <c r="F347" i="7"/>
  <c r="U347" i="7" s="1"/>
  <c r="D345" i="7"/>
  <c r="F351" i="7"/>
  <c r="U351" i="7" s="1"/>
  <c r="D340" i="7"/>
  <c r="F349" i="7"/>
  <c r="U349" i="7" s="1"/>
  <c r="D347" i="7"/>
  <c r="D337" i="7"/>
  <c r="W337" i="7" s="1"/>
  <c r="F332" i="7"/>
  <c r="D333" i="7"/>
  <c r="D350" i="7"/>
  <c r="D326" i="7"/>
  <c r="F342" i="7"/>
  <c r="G326" i="7"/>
  <c r="H351" i="7"/>
  <c r="H345" i="7"/>
  <c r="H347" i="7"/>
  <c r="F341" i="7"/>
  <c r="U341" i="7" s="1"/>
  <c r="F340" i="7"/>
  <c r="F337" i="7"/>
  <c r="F334" i="7"/>
  <c r="H349" i="7"/>
  <c r="H346" i="7"/>
  <c r="D334" i="7"/>
  <c r="D342" i="7"/>
  <c r="H350" i="7"/>
  <c r="F350" i="7"/>
  <c r="U350" i="7" s="1"/>
  <c r="Y76" i="7"/>
  <c r="Y62" i="7"/>
  <c r="Y75" i="7"/>
  <c r="Y63" i="7"/>
  <c r="Y70" i="7"/>
  <c r="Y72" i="7"/>
  <c r="Y73" i="7" s="1"/>
  <c r="Y77" i="7"/>
  <c r="Y67" i="7"/>
  <c r="Y71" i="7"/>
  <c r="Y64" i="7"/>
  <c r="Y65" i="7" s="1"/>
  <c r="J34" i="7"/>
  <c r="J42" i="7" s="1"/>
  <c r="J33" i="7"/>
  <c r="J32" i="7"/>
  <c r="J40" i="7" s="1"/>
  <c r="J37" i="7"/>
  <c r="L577" i="7"/>
  <c r="U577" i="7"/>
  <c r="Y217" i="7"/>
  <c r="Y214" i="7"/>
  <c r="Y215" i="7" s="1"/>
  <c r="Y221" i="7"/>
  <c r="Y213" i="7"/>
  <c r="Y212" i="7"/>
  <c r="Y227" i="7"/>
  <c r="Y220" i="7"/>
  <c r="Y226" i="7"/>
  <c r="Y225" i="7"/>
  <c r="Y222" i="7"/>
  <c r="Y223" i="7" s="1"/>
  <c r="P572" i="7"/>
  <c r="R572" i="7" s="1"/>
  <c r="D575" i="7"/>
  <c r="Y316" i="7"/>
  <c r="Y304" i="7"/>
  <c r="Y305" i="7" s="1"/>
  <c r="Y303" i="7"/>
  <c r="Y317" i="7"/>
  <c r="Y310" i="7"/>
  <c r="Y315" i="7"/>
  <c r="Y307" i="7"/>
  <c r="Y312" i="7"/>
  <c r="Y313" i="7" s="1"/>
  <c r="Y302" i="7"/>
  <c r="Y311" i="7"/>
  <c r="U572" i="7"/>
  <c r="L572" i="7"/>
  <c r="F575" i="7"/>
  <c r="H255" i="7"/>
  <c r="F259" i="7"/>
  <c r="U259" i="7" s="1"/>
  <c r="F260" i="7"/>
  <c r="U260" i="7" s="1"/>
  <c r="F256" i="7"/>
  <c r="U256" i="7" s="1"/>
  <c r="H261" i="7"/>
  <c r="D260" i="7"/>
  <c r="H257" i="7"/>
  <c r="F242" i="7"/>
  <c r="D247" i="7"/>
  <c r="W247" i="7" s="1"/>
  <c r="F250" i="7"/>
  <c r="F255" i="7"/>
  <c r="U255" i="7" s="1"/>
  <c r="D259" i="7"/>
  <c r="D261" i="7"/>
  <c r="D255" i="7"/>
  <c r="H260" i="7"/>
  <c r="F243" i="7"/>
  <c r="U243" i="7" s="1"/>
  <c r="F252" i="7"/>
  <c r="D257" i="7"/>
  <c r="D244" i="7"/>
  <c r="D250" i="7"/>
  <c r="D243" i="7"/>
  <c r="H256" i="7"/>
  <c r="D236" i="7"/>
  <c r="F251" i="7"/>
  <c r="U251" i="7" s="1"/>
  <c r="H259" i="7"/>
  <c r="F257" i="7"/>
  <c r="U257" i="7" s="1"/>
  <c r="D252" i="7"/>
  <c r="F247" i="7"/>
  <c r="F261" i="7"/>
  <c r="U261" i="7" s="1"/>
  <c r="D251" i="7"/>
  <c r="D242" i="7"/>
  <c r="D256" i="7"/>
  <c r="F244" i="7"/>
  <c r="G236" i="7"/>
  <c r="F693" i="7"/>
  <c r="U693" i="7" s="1"/>
  <c r="F697" i="7"/>
  <c r="H706" i="7"/>
  <c r="F701" i="7"/>
  <c r="U701" i="7" s="1"/>
  <c r="F700" i="7"/>
  <c r="D697" i="7"/>
  <c r="W697" i="7" s="1"/>
  <c r="H705" i="7"/>
  <c r="D700" i="7"/>
  <c r="H707" i="7"/>
  <c r="D694" i="7"/>
  <c r="F694" i="7"/>
  <c r="D693" i="7"/>
  <c r="F692" i="7"/>
  <c r="D706" i="7"/>
  <c r="F711" i="7"/>
  <c r="U711" i="7" s="1"/>
  <c r="D705" i="7"/>
  <c r="D707" i="7"/>
  <c r="D686" i="7"/>
  <c r="H710" i="7"/>
  <c r="D709" i="7"/>
  <c r="H711" i="7"/>
  <c r="D701" i="7"/>
  <c r="D710" i="7"/>
  <c r="F710" i="7"/>
  <c r="U710" i="7" s="1"/>
  <c r="D692" i="7"/>
  <c r="D702" i="7"/>
  <c r="F709" i="7"/>
  <c r="U709" i="7" s="1"/>
  <c r="F706" i="7"/>
  <c r="U706" i="7" s="1"/>
  <c r="F707" i="7"/>
  <c r="U707" i="7" s="1"/>
  <c r="G686" i="7"/>
  <c r="W706" i="7" s="1"/>
  <c r="W710" i="7" s="1"/>
  <c r="F702" i="7"/>
  <c r="D711" i="7"/>
  <c r="F705" i="7"/>
  <c r="U705" i="7" s="1"/>
  <c r="H709" i="7"/>
  <c r="J214" i="7"/>
  <c r="J222" i="7" s="1"/>
  <c r="J217" i="7"/>
  <c r="J213" i="7"/>
  <c r="J212" i="7"/>
  <c r="J220" i="7" s="1"/>
  <c r="Y706" i="7"/>
  <c r="Y707" i="7"/>
  <c r="Y693" i="7"/>
  <c r="Y702" i="7"/>
  <c r="Y703" i="7" s="1"/>
  <c r="Y697" i="7"/>
  <c r="Y705" i="7"/>
  <c r="Y700" i="7"/>
  <c r="Y692" i="7"/>
  <c r="Y694" i="7"/>
  <c r="Y695" i="7" s="1"/>
  <c r="Y701" i="7"/>
  <c r="Y277" i="7"/>
  <c r="Y285" i="7"/>
  <c r="Y272" i="7"/>
  <c r="Y274" i="7"/>
  <c r="Y275" i="7" s="1"/>
  <c r="Y273" i="7"/>
  <c r="Y281" i="7"/>
  <c r="Y286" i="7"/>
  <c r="Y280" i="7"/>
  <c r="Y287" i="7"/>
  <c r="Y282" i="7"/>
  <c r="Y283" i="7" s="1"/>
  <c r="Y101" i="7"/>
  <c r="Y93" i="7"/>
  <c r="Y92" i="7"/>
  <c r="Y94" i="7"/>
  <c r="Y95" i="7" s="1"/>
  <c r="Y107" i="7"/>
  <c r="Y97" i="7"/>
  <c r="Y105" i="7"/>
  <c r="Y102" i="7"/>
  <c r="Y103" i="7" s="1"/>
  <c r="Y106" i="7"/>
  <c r="Y100" i="7"/>
  <c r="J697" i="7"/>
  <c r="J692" i="7"/>
  <c r="J700" i="7" s="1"/>
  <c r="J694" i="7"/>
  <c r="J702" i="7" s="1"/>
  <c r="J693" i="7"/>
  <c r="J277" i="7"/>
  <c r="J274" i="7"/>
  <c r="J282" i="7" s="1"/>
  <c r="J272" i="7"/>
  <c r="J280" i="7" s="1"/>
  <c r="J273" i="7"/>
  <c r="Y512" i="7"/>
  <c r="Y513" i="7"/>
  <c r="Y514" i="7"/>
  <c r="Y515" i="7" s="1"/>
  <c r="Y522" i="7"/>
  <c r="Y523" i="7" s="1"/>
  <c r="Y521" i="7"/>
  <c r="Y517" i="7"/>
  <c r="Y527" i="7"/>
  <c r="Y525" i="7"/>
  <c r="Y526" i="7"/>
  <c r="Y520" i="7"/>
  <c r="H81" i="7"/>
  <c r="F62" i="7"/>
  <c r="F76" i="7"/>
  <c r="U76" i="7" s="1"/>
  <c r="F71" i="7"/>
  <c r="U71" i="7" s="1"/>
  <c r="G56" i="7"/>
  <c r="D62" i="7"/>
  <c r="F79" i="7"/>
  <c r="U79" i="7" s="1"/>
  <c r="F81" i="7"/>
  <c r="U81" i="7" s="1"/>
  <c r="D71" i="7"/>
  <c r="H77" i="7"/>
  <c r="D72" i="7"/>
  <c r="D80" i="7"/>
  <c r="D75" i="7"/>
  <c r="D70" i="7"/>
  <c r="H75" i="7"/>
  <c r="D76" i="7"/>
  <c r="F72" i="7"/>
  <c r="D64" i="7"/>
  <c r="F77" i="7"/>
  <c r="U77" i="7" s="1"/>
  <c r="F75" i="7"/>
  <c r="U75" i="7" s="1"/>
  <c r="H76" i="7"/>
  <c r="D56" i="7"/>
  <c r="F80" i="7"/>
  <c r="U80" i="7" s="1"/>
  <c r="F70" i="7"/>
  <c r="D81" i="7"/>
  <c r="F67" i="7"/>
  <c r="D63" i="7"/>
  <c r="F64" i="7"/>
  <c r="F63" i="7"/>
  <c r="U63" i="7" s="1"/>
  <c r="D67" i="7"/>
  <c r="W67" i="7" s="1"/>
  <c r="H80" i="7"/>
  <c r="H79" i="7"/>
  <c r="D79" i="7"/>
  <c r="D77" i="7"/>
  <c r="D176" i="7"/>
  <c r="F184" i="7"/>
  <c r="D192" i="7"/>
  <c r="D196" i="7"/>
  <c r="D199" i="7"/>
  <c r="F199" i="7"/>
  <c r="U199" i="7" s="1"/>
  <c r="F197" i="7"/>
  <c r="U197" i="7" s="1"/>
  <c r="D183" i="7"/>
  <c r="H200" i="7"/>
  <c r="D191" i="7"/>
  <c r="H195" i="7"/>
  <c r="F182" i="7"/>
  <c r="D190" i="7"/>
  <c r="H197" i="7"/>
  <c r="D201" i="7"/>
  <c r="F191" i="7"/>
  <c r="U191" i="7" s="1"/>
  <c r="F196" i="7"/>
  <c r="U196" i="7" s="1"/>
  <c r="G176" i="7"/>
  <c r="F192" i="7"/>
  <c r="H196" i="7"/>
  <c r="H201" i="7"/>
  <c r="D182" i="7"/>
  <c r="H199" i="7"/>
  <c r="F183" i="7"/>
  <c r="U183" i="7" s="1"/>
  <c r="F201" i="7"/>
  <c r="U201" i="7" s="1"/>
  <c r="F200" i="7"/>
  <c r="U200" i="7" s="1"/>
  <c r="D197" i="7"/>
  <c r="F195" i="7"/>
  <c r="U195" i="7" s="1"/>
  <c r="F187" i="7"/>
  <c r="D195" i="7"/>
  <c r="D200" i="7"/>
  <c r="F190" i="7"/>
  <c r="D184" i="7"/>
  <c r="D187" i="7"/>
  <c r="W187" i="7" s="1"/>
  <c r="J247" i="7"/>
  <c r="J243" i="7"/>
  <c r="J242" i="7"/>
  <c r="J250" i="7" s="1"/>
  <c r="J244" i="7"/>
  <c r="J252" i="7" s="1"/>
  <c r="L587" i="7"/>
  <c r="J587" i="7"/>
  <c r="U580" i="7"/>
  <c r="F583" i="7"/>
  <c r="L580" i="7"/>
  <c r="D650" i="7"/>
  <c r="D632" i="7"/>
  <c r="D634" i="7"/>
  <c r="F646" i="7"/>
  <c r="U646" i="7" s="1"/>
  <c r="D645" i="7"/>
  <c r="D649" i="7"/>
  <c r="D633" i="7"/>
  <c r="H647" i="7"/>
  <c r="F642" i="7"/>
  <c r="F641" i="7"/>
  <c r="U641" i="7" s="1"/>
  <c r="D646" i="7"/>
  <c r="F647" i="7"/>
  <c r="U647" i="7" s="1"/>
  <c r="D651" i="7"/>
  <c r="F649" i="7"/>
  <c r="U649" i="7" s="1"/>
  <c r="D641" i="7"/>
  <c r="H646" i="7"/>
  <c r="F637" i="7"/>
  <c r="F634" i="7"/>
  <c r="H645" i="7"/>
  <c r="F645" i="7"/>
  <c r="U645" i="7" s="1"/>
  <c r="D637" i="7"/>
  <c r="W637" i="7" s="1"/>
  <c r="F633" i="7"/>
  <c r="U633" i="7" s="1"/>
  <c r="H650" i="7"/>
  <c r="D647" i="7"/>
  <c r="F632" i="7"/>
  <c r="H651" i="7"/>
  <c r="D642" i="7"/>
  <c r="G626" i="7"/>
  <c r="F640" i="7"/>
  <c r="F651" i="7"/>
  <c r="U651" i="7" s="1"/>
  <c r="F650" i="7"/>
  <c r="U650" i="7" s="1"/>
  <c r="D626" i="7"/>
  <c r="H649" i="7"/>
  <c r="D640" i="7"/>
  <c r="J457" i="7"/>
  <c r="J452" i="7"/>
  <c r="J460" i="7" s="1"/>
  <c r="J453" i="7"/>
  <c r="J454" i="7"/>
  <c r="J462" i="7" s="1"/>
  <c r="D107" i="7"/>
  <c r="F102" i="7"/>
  <c r="H109" i="7"/>
  <c r="F94" i="7"/>
  <c r="D111" i="7"/>
  <c r="D106" i="7"/>
  <c r="D102" i="7"/>
  <c r="F93" i="7"/>
  <c r="U93" i="7" s="1"/>
  <c r="F92" i="7"/>
  <c r="F111" i="7"/>
  <c r="U111" i="7" s="1"/>
  <c r="D101" i="7"/>
  <c r="H107" i="7"/>
  <c r="H111" i="7"/>
  <c r="D109" i="7"/>
  <c r="H106" i="7"/>
  <c r="F109" i="7"/>
  <c r="U109" i="7" s="1"/>
  <c r="F107" i="7"/>
  <c r="U107" i="7" s="1"/>
  <c r="H105" i="7"/>
  <c r="F105" i="7"/>
  <c r="U105" i="7" s="1"/>
  <c r="H110" i="7"/>
  <c r="F101" i="7"/>
  <c r="U101" i="7" s="1"/>
  <c r="D92" i="7"/>
  <c r="F110" i="7"/>
  <c r="U110" i="7" s="1"/>
  <c r="F97" i="7"/>
  <c r="F100" i="7"/>
  <c r="D93" i="7"/>
  <c r="D110" i="7"/>
  <c r="F106" i="7"/>
  <c r="U106" i="7" s="1"/>
  <c r="D97" i="7"/>
  <c r="W97" i="7" s="1"/>
  <c r="D94" i="7"/>
  <c r="D86" i="7"/>
  <c r="D105" i="7"/>
  <c r="D100" i="7"/>
  <c r="G86" i="7"/>
  <c r="J577" i="7"/>
  <c r="J572" i="7"/>
  <c r="J580" i="7" s="1"/>
  <c r="J573" i="7"/>
  <c r="J574" i="7"/>
  <c r="J582" i="7" s="1"/>
  <c r="Y581" i="7"/>
  <c r="Y586" i="7"/>
  <c r="Y574" i="7"/>
  <c r="Y575" i="7" s="1"/>
  <c r="Y585" i="7"/>
  <c r="Y577" i="7"/>
  <c r="Y582" i="7"/>
  <c r="Y583" i="7" s="1"/>
  <c r="Y587" i="7"/>
  <c r="Y572" i="7"/>
  <c r="Y580" i="7"/>
  <c r="Y573" i="7"/>
  <c r="P580" i="7"/>
  <c r="R580" i="7" s="1"/>
  <c r="D583" i="7"/>
  <c r="W583" i="7" s="1"/>
  <c r="J727" i="7"/>
  <c r="J724" i="7"/>
  <c r="J732" i="7" s="1"/>
  <c r="J722" i="7"/>
  <c r="J730" i="7" s="1"/>
  <c r="J723" i="7"/>
  <c r="Y547" i="7"/>
  <c r="Y542" i="7"/>
  <c r="Y556" i="7"/>
  <c r="Y557" i="7"/>
  <c r="Y555" i="7"/>
  <c r="Y544" i="7"/>
  <c r="Y545" i="7" s="1"/>
  <c r="Y543" i="7"/>
  <c r="Y550" i="7"/>
  <c r="Y552" i="7"/>
  <c r="Y553" i="7" s="1"/>
  <c r="Y551" i="7"/>
  <c r="D492" i="7"/>
  <c r="D496" i="7"/>
  <c r="H497" i="7"/>
  <c r="F484" i="7"/>
  <c r="H501" i="7"/>
  <c r="F482" i="7"/>
  <c r="H499" i="7"/>
  <c r="D484" i="7"/>
  <c r="F491" i="7"/>
  <c r="U491" i="7" s="1"/>
  <c r="F487" i="7"/>
  <c r="F483" i="7"/>
  <c r="U483" i="7" s="1"/>
  <c r="D491" i="7"/>
  <c r="D487" i="7"/>
  <c r="W487" i="7" s="1"/>
  <c r="F496" i="7"/>
  <c r="U496" i="7" s="1"/>
  <c r="F495" i="7"/>
  <c r="U495" i="7" s="1"/>
  <c r="D476" i="7"/>
  <c r="F497" i="7"/>
  <c r="U497" i="7" s="1"/>
  <c r="F500" i="7"/>
  <c r="U500" i="7" s="1"/>
  <c r="F501" i="7"/>
  <c r="U501" i="7" s="1"/>
  <c r="H500" i="7"/>
  <c r="D501" i="7"/>
  <c r="D497" i="7"/>
  <c r="D482" i="7"/>
  <c r="G476" i="7"/>
  <c r="D499" i="7"/>
  <c r="F492" i="7"/>
  <c r="F490" i="7"/>
  <c r="D490" i="7"/>
  <c r="D500" i="7"/>
  <c r="D483" i="7"/>
  <c r="D495" i="7"/>
  <c r="H495" i="7"/>
  <c r="H496" i="7"/>
  <c r="F499" i="7"/>
  <c r="U499" i="7" s="1"/>
  <c r="Y397" i="7"/>
  <c r="Y405" i="7"/>
  <c r="Y392" i="7"/>
  <c r="Y393" i="7"/>
  <c r="Y401" i="7"/>
  <c r="Y394" i="7"/>
  <c r="Y395" i="7" s="1"/>
  <c r="Y407" i="7"/>
  <c r="Y402" i="7"/>
  <c r="Y403" i="7" s="1"/>
  <c r="Y400" i="7"/>
  <c r="Y406" i="7"/>
  <c r="J183" i="7"/>
  <c r="J184" i="7"/>
  <c r="J192" i="7" s="1"/>
  <c r="J187" i="7"/>
  <c r="J182" i="7"/>
  <c r="J190" i="7" s="1"/>
  <c r="J97" i="7"/>
  <c r="J93" i="7"/>
  <c r="J94" i="7"/>
  <c r="J102" i="7" s="1"/>
  <c r="J92" i="7"/>
  <c r="J100" i="7" s="1"/>
  <c r="J122" i="7"/>
  <c r="J130" i="7" s="1"/>
  <c r="J127" i="7"/>
  <c r="J123" i="7"/>
  <c r="J124" i="7"/>
  <c r="J132" i="7" s="1"/>
  <c r="Y495" i="7"/>
  <c r="Y484" i="7"/>
  <c r="Y485" i="7" s="1"/>
  <c r="Y487" i="7"/>
  <c r="Y490" i="7"/>
  <c r="Y491" i="7"/>
  <c r="Y496" i="7"/>
  <c r="Y483" i="7"/>
  <c r="Y492" i="7"/>
  <c r="Y493" i="7" s="1"/>
  <c r="Y497" i="7"/>
  <c r="Y482" i="7"/>
  <c r="Y731" i="7"/>
  <c r="Y724" i="7"/>
  <c r="Y725" i="7" s="1"/>
  <c r="Y732" i="7"/>
  <c r="Y733" i="7" s="1"/>
  <c r="Y723" i="7"/>
  <c r="Y737" i="7"/>
  <c r="Y722" i="7"/>
  <c r="Y735" i="7"/>
  <c r="Y736" i="7"/>
  <c r="Y730" i="7"/>
  <c r="Y727" i="7"/>
  <c r="Y122" i="7"/>
  <c r="Y127" i="7"/>
  <c r="Y123" i="7"/>
  <c r="Y131" i="7"/>
  <c r="Y137" i="7"/>
  <c r="Y132" i="7"/>
  <c r="Y133" i="7" s="1"/>
  <c r="Y136" i="7"/>
  <c r="Y124" i="7"/>
  <c r="Y125" i="7" s="1"/>
  <c r="Y130" i="7"/>
  <c r="Y135" i="7"/>
  <c r="D557" i="7"/>
  <c r="D550" i="7"/>
  <c r="F542" i="7"/>
  <c r="D556" i="7"/>
  <c r="F552" i="7"/>
  <c r="F547" i="7"/>
  <c r="D560" i="7"/>
  <c r="F550" i="7"/>
  <c r="D552" i="7"/>
  <c r="D544" i="7"/>
  <c r="D536" i="7"/>
  <c r="D542" i="7"/>
  <c r="D555" i="7"/>
  <c r="H559" i="7"/>
  <c r="F557" i="7"/>
  <c r="U557" i="7" s="1"/>
  <c r="D561" i="7"/>
  <c r="D559" i="7"/>
  <c r="F560" i="7"/>
  <c r="U560" i="7" s="1"/>
  <c r="F559" i="7"/>
  <c r="U559" i="7" s="1"/>
  <c r="F544" i="7"/>
  <c r="G536" i="7"/>
  <c r="F551" i="7"/>
  <c r="U551" i="7" s="1"/>
  <c r="F555" i="7"/>
  <c r="U555" i="7" s="1"/>
  <c r="F561" i="7"/>
  <c r="U561" i="7" s="1"/>
  <c r="F543" i="7"/>
  <c r="U543" i="7" s="1"/>
  <c r="D543" i="7"/>
  <c r="F556" i="7"/>
  <c r="U556" i="7" s="1"/>
  <c r="H555" i="7"/>
  <c r="H560" i="7"/>
  <c r="H556" i="7"/>
  <c r="H561" i="7"/>
  <c r="D547" i="7"/>
  <c r="W547" i="7" s="1"/>
  <c r="D551" i="7"/>
  <c r="H557" i="7"/>
  <c r="P573" i="7"/>
  <c r="R573" i="7" s="1"/>
  <c r="F602" i="7"/>
  <c r="F619" i="7"/>
  <c r="U619" i="7" s="1"/>
  <c r="F612" i="7"/>
  <c r="D602" i="7"/>
  <c r="H620" i="7"/>
  <c r="D611" i="7"/>
  <c r="D607" i="7"/>
  <c r="W607" i="7" s="1"/>
  <c r="D616" i="7"/>
  <c r="D619" i="7"/>
  <c r="F615" i="7"/>
  <c r="U615" i="7" s="1"/>
  <c r="D610" i="7"/>
  <c r="G596" i="7"/>
  <c r="D603" i="7"/>
  <c r="D621" i="7"/>
  <c r="F604" i="7"/>
  <c r="D615" i="7"/>
  <c r="F611" i="7"/>
  <c r="U611" i="7" s="1"/>
  <c r="H616" i="7"/>
  <c r="D620" i="7"/>
  <c r="F603" i="7"/>
  <c r="U603" i="7" s="1"/>
  <c r="H621" i="7"/>
  <c r="H619" i="7"/>
  <c r="D604" i="7"/>
  <c r="F620" i="7"/>
  <c r="U620" i="7" s="1"/>
  <c r="D596" i="7"/>
  <c r="D612" i="7"/>
  <c r="H617" i="7"/>
  <c r="F617" i="7"/>
  <c r="U617" i="7" s="1"/>
  <c r="F621" i="7"/>
  <c r="U621" i="7" s="1"/>
  <c r="F616" i="7"/>
  <c r="U616" i="7" s="1"/>
  <c r="F607" i="7"/>
  <c r="H615" i="7"/>
  <c r="D617" i="7"/>
  <c r="F610" i="7"/>
  <c r="U574" i="7"/>
  <c r="U575" i="7" s="1"/>
  <c r="L574" i="7"/>
  <c r="J586" i="7"/>
  <c r="L586" i="7"/>
  <c r="J64" i="7"/>
  <c r="J72" i="7" s="1"/>
  <c r="J63" i="7"/>
  <c r="J67" i="7"/>
  <c r="J62" i="7"/>
  <c r="J70" i="7" s="1"/>
  <c r="D402" i="7"/>
  <c r="H407" i="7"/>
  <c r="F400" i="7"/>
  <c r="D411" i="7"/>
  <c r="D405" i="7"/>
  <c r="D406" i="7"/>
  <c r="H406" i="7"/>
  <c r="G386" i="7"/>
  <c r="F410" i="7"/>
  <c r="U410" i="7" s="1"/>
  <c r="F406" i="7"/>
  <c r="U406" i="7" s="1"/>
  <c r="D400" i="7"/>
  <c r="F402" i="7"/>
  <c r="F392" i="7"/>
  <c r="F411" i="7"/>
  <c r="U411" i="7" s="1"/>
  <c r="H409" i="7"/>
  <c r="D407" i="7"/>
  <c r="D394" i="7"/>
  <c r="D386" i="7"/>
  <c r="D392" i="7"/>
  <c r="F394" i="7"/>
  <c r="F393" i="7"/>
  <c r="U393" i="7" s="1"/>
  <c r="D393" i="7"/>
  <c r="F405" i="7"/>
  <c r="U405" i="7" s="1"/>
  <c r="D401" i="7"/>
  <c r="F401" i="7"/>
  <c r="U401" i="7" s="1"/>
  <c r="F409" i="7"/>
  <c r="U409" i="7" s="1"/>
  <c r="H410" i="7"/>
  <c r="D397" i="7"/>
  <c r="W397" i="7" s="1"/>
  <c r="H405" i="7"/>
  <c r="H411" i="7"/>
  <c r="D409" i="7"/>
  <c r="D410" i="7"/>
  <c r="F397" i="7"/>
  <c r="F407" i="7"/>
  <c r="U407" i="7" s="1"/>
  <c r="J585" i="7"/>
  <c r="L585" i="7"/>
  <c r="H471" i="7"/>
  <c r="D470" i="7"/>
  <c r="F465" i="7"/>
  <c r="U465" i="7" s="1"/>
  <c r="F471" i="7"/>
  <c r="U471" i="7" s="1"/>
  <c r="D452" i="7"/>
  <c r="F469" i="7"/>
  <c r="U469" i="7" s="1"/>
  <c r="F462" i="7"/>
  <c r="D471" i="7"/>
  <c r="D460" i="7"/>
  <c r="H466" i="7"/>
  <c r="H467" i="7"/>
  <c r="F470" i="7"/>
  <c r="U470" i="7" s="1"/>
  <c r="D461" i="7"/>
  <c r="H469" i="7"/>
  <c r="F466" i="7"/>
  <c r="U466" i="7" s="1"/>
  <c r="F467" i="7"/>
  <c r="U467" i="7" s="1"/>
  <c r="D466" i="7"/>
  <c r="D454" i="7"/>
  <c r="D465" i="7"/>
  <c r="D446" i="7"/>
  <c r="F461" i="7"/>
  <c r="U461" i="7" s="1"/>
  <c r="F454" i="7"/>
  <c r="F457" i="7"/>
  <c r="F452" i="7"/>
  <c r="D469" i="7"/>
  <c r="F460" i="7"/>
  <c r="D453" i="7"/>
  <c r="H470" i="7"/>
  <c r="G446" i="7"/>
  <c r="H465" i="7"/>
  <c r="D457" i="7"/>
  <c r="W457" i="7" s="1"/>
  <c r="D462" i="7"/>
  <c r="F453" i="7"/>
  <c r="U453" i="7" s="1"/>
  <c r="D467" i="7"/>
  <c r="Y334" i="7"/>
  <c r="Y335" i="7" s="1"/>
  <c r="Y340" i="7"/>
  <c r="Y346" i="7"/>
  <c r="Y341" i="7"/>
  <c r="Y337" i="7"/>
  <c r="Y345" i="7"/>
  <c r="Y347" i="7"/>
  <c r="Y333" i="7"/>
  <c r="Y332" i="7"/>
  <c r="Y342" i="7"/>
  <c r="Y343" i="7" s="1"/>
  <c r="Y152" i="7"/>
  <c r="Y157" i="7"/>
  <c r="Y165" i="7"/>
  <c r="Y166" i="7"/>
  <c r="Y160" i="7"/>
  <c r="Y167" i="7"/>
  <c r="Y161" i="7"/>
  <c r="Y162" i="7"/>
  <c r="Y163" i="7" s="1"/>
  <c r="Y153" i="7"/>
  <c r="Y154" i="7"/>
  <c r="Y155" i="7" s="1"/>
  <c r="W587" i="7"/>
  <c r="W591" i="7" s="1"/>
  <c r="W586" i="7"/>
  <c r="W590" i="7" s="1"/>
  <c r="W585" i="7"/>
  <c r="W589" i="7" s="1"/>
  <c r="F140" i="7"/>
  <c r="U140" i="7" s="1"/>
  <c r="D131" i="7"/>
  <c r="H137" i="7"/>
  <c r="D135" i="7"/>
  <c r="F127" i="7"/>
  <c r="D123" i="7"/>
  <c r="F132" i="7"/>
  <c r="H140" i="7"/>
  <c r="G116" i="7"/>
  <c r="D116" i="7"/>
  <c r="F131" i="7"/>
  <c r="U131" i="7" s="1"/>
  <c r="F137" i="7"/>
  <c r="U137" i="7" s="1"/>
  <c r="F122" i="7"/>
  <c r="D132" i="7"/>
  <c r="D127" i="7"/>
  <c r="W127" i="7" s="1"/>
  <c r="F123" i="7"/>
  <c r="U123" i="7" s="1"/>
  <c r="D141" i="7"/>
  <c r="D140" i="7"/>
  <c r="F141" i="7"/>
  <c r="U141" i="7" s="1"/>
  <c r="D136" i="7"/>
  <c r="D124" i="7"/>
  <c r="F136" i="7"/>
  <c r="U136" i="7" s="1"/>
  <c r="F139" i="7"/>
  <c r="U139" i="7" s="1"/>
  <c r="H139" i="7"/>
  <c r="D137" i="7"/>
  <c r="D122" i="7"/>
  <c r="H136" i="7"/>
  <c r="H141" i="7"/>
  <c r="H135" i="7"/>
  <c r="D130" i="7"/>
  <c r="D139" i="7"/>
  <c r="F124" i="7"/>
  <c r="F135" i="7"/>
  <c r="U135" i="7" s="1"/>
  <c r="F130" i="7"/>
  <c r="J589" i="7"/>
  <c r="J590" i="7"/>
  <c r="J591" i="7"/>
  <c r="J547" i="7"/>
  <c r="J544" i="7"/>
  <c r="J552" i="7" s="1"/>
  <c r="J543" i="7"/>
  <c r="J542" i="7"/>
  <c r="J550" i="7" s="1"/>
  <c r="F722" i="7"/>
  <c r="D739" i="7"/>
  <c r="H735" i="7"/>
  <c r="H739" i="7"/>
  <c r="D736" i="7"/>
  <c r="F732" i="7"/>
  <c r="D724" i="7"/>
  <c r="D723" i="7"/>
  <c r="D737" i="7"/>
  <c r="F736" i="7"/>
  <c r="U736" i="7" s="1"/>
  <c r="F740" i="7"/>
  <c r="U740" i="7" s="1"/>
  <c r="D731" i="7"/>
  <c r="F741" i="7"/>
  <c r="U741" i="7" s="1"/>
  <c r="F731" i="7"/>
  <c r="U731" i="7" s="1"/>
  <c r="D722" i="7"/>
  <c r="F730" i="7"/>
  <c r="F724" i="7"/>
  <c r="F739" i="7"/>
  <c r="U739" i="7" s="1"/>
  <c r="D741" i="7"/>
  <c r="D727" i="7"/>
  <c r="W727" i="7" s="1"/>
  <c r="D716" i="7"/>
  <c r="D740" i="7"/>
  <c r="F737" i="7"/>
  <c r="U737" i="7" s="1"/>
  <c r="F727" i="7"/>
  <c r="D732" i="7"/>
  <c r="F723" i="7"/>
  <c r="U723" i="7" s="1"/>
  <c r="H737" i="7"/>
  <c r="H741" i="7"/>
  <c r="H736" i="7"/>
  <c r="F735" i="7"/>
  <c r="U735" i="7" s="1"/>
  <c r="H740" i="7"/>
  <c r="D735" i="7"/>
  <c r="G716" i="7"/>
  <c r="D730" i="7"/>
  <c r="J662" i="7"/>
  <c r="J670" i="7" s="1"/>
  <c r="J663" i="7"/>
  <c r="J664" i="7"/>
  <c r="J672" i="7" s="1"/>
  <c r="J667" i="7"/>
  <c r="U582" i="7"/>
  <c r="U583" i="7" s="1"/>
  <c r="L582" i="7"/>
  <c r="Y465" i="7"/>
  <c r="Y461" i="7"/>
  <c r="Y460" i="7"/>
  <c r="Y462" i="7"/>
  <c r="Y463" i="7" s="1"/>
  <c r="Y452" i="7"/>
  <c r="Y454" i="7"/>
  <c r="Y455" i="7" s="1"/>
  <c r="Y467" i="7"/>
  <c r="Y466" i="7"/>
  <c r="Y457" i="7"/>
  <c r="Y453" i="7"/>
  <c r="D34" i="7"/>
  <c r="F50" i="7"/>
  <c r="U50" i="7" s="1"/>
  <c r="D33" i="7"/>
  <c r="D42" i="7"/>
  <c r="D37" i="7"/>
  <c r="W37" i="7" s="1"/>
  <c r="D46" i="7"/>
  <c r="D51" i="7"/>
  <c r="F40" i="7"/>
  <c r="F37" i="7"/>
  <c r="D32" i="7"/>
  <c r="F42" i="7"/>
  <c r="F46" i="7"/>
  <c r="U46" i="7" s="1"/>
  <c r="G26" i="7"/>
  <c r="F49" i="7"/>
  <c r="U49" i="7" s="1"/>
  <c r="H46" i="7"/>
  <c r="F34" i="7"/>
  <c r="F33" i="7"/>
  <c r="U33" i="7" s="1"/>
  <c r="D26" i="7"/>
  <c r="D50" i="7"/>
  <c r="H45" i="7"/>
  <c r="F45" i="7"/>
  <c r="U45" i="7" s="1"/>
  <c r="H49" i="7"/>
  <c r="D45" i="7"/>
  <c r="H47" i="7"/>
  <c r="D41" i="7"/>
  <c r="F51" i="7"/>
  <c r="U51" i="7" s="1"/>
  <c r="F47" i="7"/>
  <c r="U47" i="7" s="1"/>
  <c r="H51" i="7"/>
  <c r="D49" i="7"/>
  <c r="D47" i="7"/>
  <c r="D40" i="7"/>
  <c r="F32" i="7"/>
  <c r="F41" i="7"/>
  <c r="U41" i="7" s="1"/>
  <c r="H50" i="7"/>
  <c r="Y40" i="7"/>
  <c r="Y37" i="7"/>
  <c r="Y47" i="7"/>
  <c r="Y42" i="7"/>
  <c r="Y43" i="7" s="1"/>
  <c r="Y41" i="7"/>
  <c r="Y34" i="7"/>
  <c r="Y35" i="7" s="1"/>
  <c r="Y45" i="7"/>
  <c r="Y33" i="7"/>
  <c r="Y46" i="7"/>
  <c r="Y32" i="7"/>
  <c r="D529" i="7"/>
  <c r="H530" i="7"/>
  <c r="D522" i="7"/>
  <c r="F513" i="7"/>
  <c r="U513" i="7" s="1"/>
  <c r="D520" i="7"/>
  <c r="F527" i="7"/>
  <c r="U527" i="7" s="1"/>
  <c r="F521" i="7"/>
  <c r="U521" i="7" s="1"/>
  <c r="H526" i="7"/>
  <c r="D514" i="7"/>
  <c r="D506" i="7"/>
  <c r="D521" i="7"/>
  <c r="D526" i="7"/>
  <c r="H527" i="7"/>
  <c r="D513" i="7"/>
  <c r="F522" i="7"/>
  <c r="D527" i="7"/>
  <c r="F529" i="7"/>
  <c r="U529" i="7" s="1"/>
  <c r="D512" i="7"/>
  <c r="F520" i="7"/>
  <c r="F530" i="7"/>
  <c r="U530" i="7" s="1"/>
  <c r="F512" i="7"/>
  <c r="H529" i="7"/>
  <c r="D530" i="7"/>
  <c r="D531" i="7"/>
  <c r="F531" i="7"/>
  <c r="U531" i="7" s="1"/>
  <c r="H531" i="7"/>
  <c r="G506" i="7"/>
  <c r="F525" i="7"/>
  <c r="U525" i="7" s="1"/>
  <c r="F514" i="7"/>
  <c r="D525" i="7"/>
  <c r="H525" i="7"/>
  <c r="F517" i="7"/>
  <c r="D517" i="7"/>
  <c r="W517" i="7" s="1"/>
  <c r="F526" i="7"/>
  <c r="U526" i="7" s="1"/>
  <c r="Y637" i="7"/>
  <c r="Y634" i="7"/>
  <c r="Y635" i="7" s="1"/>
  <c r="Y641" i="7"/>
  <c r="Y642" i="7"/>
  <c r="Y643" i="7" s="1"/>
  <c r="Y633" i="7"/>
  <c r="Y632" i="7"/>
  <c r="Y645" i="7"/>
  <c r="Y647" i="7"/>
  <c r="Y640" i="7"/>
  <c r="Y646" i="7"/>
  <c r="J362" i="7"/>
  <c r="J370" i="7" s="1"/>
  <c r="J363" i="7"/>
  <c r="J367" i="7"/>
  <c r="J364" i="7"/>
  <c r="J372" i="7" s="1"/>
  <c r="F317" i="7"/>
  <c r="U317" i="7" s="1"/>
  <c r="F310" i="7"/>
  <c r="H317" i="7"/>
  <c r="D315" i="7"/>
  <c r="D321" i="7"/>
  <c r="F311" i="7"/>
  <c r="U311" i="7" s="1"/>
  <c r="D304" i="7"/>
  <c r="F307" i="7"/>
  <c r="G296" i="7"/>
  <c r="H320" i="7"/>
  <c r="D316" i="7"/>
  <c r="F320" i="7"/>
  <c r="U320" i="7" s="1"/>
  <c r="F304" i="7"/>
  <c r="D303" i="7"/>
  <c r="D296" i="7"/>
  <c r="F319" i="7"/>
  <c r="U319" i="7" s="1"/>
  <c r="D317" i="7"/>
  <c r="F312" i="7"/>
  <c r="H316" i="7"/>
  <c r="H315" i="7"/>
  <c r="F316" i="7"/>
  <c r="U316" i="7" s="1"/>
  <c r="D310" i="7"/>
  <c r="D320" i="7"/>
  <c r="D319" i="7"/>
  <c r="D302" i="7"/>
  <c r="F302" i="7"/>
  <c r="D312" i="7"/>
  <c r="D307" i="7"/>
  <c r="W307" i="7" s="1"/>
  <c r="H321" i="7"/>
  <c r="H319" i="7"/>
  <c r="F321" i="7"/>
  <c r="U321" i="7" s="1"/>
  <c r="F315" i="7"/>
  <c r="U315" i="7" s="1"/>
  <c r="F303" i="7"/>
  <c r="U303" i="7" s="1"/>
  <c r="D311" i="7"/>
  <c r="J611" i="7"/>
  <c r="N611" i="7" s="1"/>
  <c r="N603" i="7"/>
  <c r="F796" i="7"/>
  <c r="U796" i="7" s="1"/>
  <c r="D799" i="7"/>
  <c r="D792" i="7"/>
  <c r="D787" i="7"/>
  <c r="W787" i="7" s="1"/>
  <c r="F791" i="7"/>
  <c r="U791" i="7" s="1"/>
  <c r="F784" i="7"/>
  <c r="H801" i="7"/>
  <c r="H799" i="7"/>
  <c r="D801" i="7"/>
  <c r="F792" i="7"/>
  <c r="F783" i="7"/>
  <c r="U783" i="7" s="1"/>
  <c r="D800" i="7"/>
  <c r="D795" i="7"/>
  <c r="G776" i="7"/>
  <c r="F797" i="7"/>
  <c r="U797" i="7" s="1"/>
  <c r="D782" i="7"/>
  <c r="D784" i="7"/>
  <c r="D776" i="7"/>
  <c r="D796" i="7"/>
  <c r="F800" i="7"/>
  <c r="U800" i="7" s="1"/>
  <c r="D797" i="7"/>
  <c r="F782" i="7"/>
  <c r="F799" i="7"/>
  <c r="U799" i="7" s="1"/>
  <c r="D783" i="7"/>
  <c r="H795" i="7"/>
  <c r="H797" i="7"/>
  <c r="H796" i="7"/>
  <c r="H800" i="7"/>
  <c r="F790" i="7"/>
  <c r="F795" i="7"/>
  <c r="U795" i="7" s="1"/>
  <c r="D791" i="7"/>
  <c r="D790" i="7"/>
  <c r="F801" i="7"/>
  <c r="U801" i="7" s="1"/>
  <c r="F787" i="7"/>
  <c r="J783" i="7"/>
  <c r="J782" i="7"/>
  <c r="J790" i="7" s="1"/>
  <c r="J787" i="7"/>
  <c r="J784" i="7"/>
  <c r="D811" i="7"/>
  <c r="D808" i="7"/>
  <c r="D807" i="7"/>
  <c r="D805" i="7"/>
  <c r="D810" i="7"/>
  <c r="D809" i="7"/>
  <c r="B850" i="7"/>
  <c r="B865" i="7"/>
  <c r="B847" i="7"/>
  <c r="B856" i="7"/>
  <c r="B844" i="7"/>
  <c r="B845" i="7"/>
  <c r="B857" i="7"/>
  <c r="B842" i="7"/>
  <c r="B855" i="7"/>
  <c r="B852" i="7"/>
  <c r="B853" i="7"/>
  <c r="B851" i="7"/>
  <c r="B859" i="7"/>
  <c r="B861" i="7"/>
  <c r="B843" i="7"/>
  <c r="B860" i="7"/>
  <c r="J761" i="7"/>
  <c r="N761" i="7" s="1"/>
  <c r="N753" i="7"/>
  <c r="Y796" i="7"/>
  <c r="Y782" i="7"/>
  <c r="Y790" i="7"/>
  <c r="Y784" i="7"/>
  <c r="Y785" i="7" s="1"/>
  <c r="Y791" i="7"/>
  <c r="Y797" i="7"/>
  <c r="Y787" i="7"/>
  <c r="Y795" i="7"/>
  <c r="Y792" i="7"/>
  <c r="Y793" i="7" s="1"/>
  <c r="Y783" i="7"/>
  <c r="A851" i="7"/>
  <c r="A844" i="7"/>
  <c r="A845" i="7"/>
  <c r="C835" i="7"/>
  <c r="A853" i="7"/>
  <c r="A847" i="7"/>
  <c r="A856" i="7"/>
  <c r="A859" i="7"/>
  <c r="A843" i="7"/>
  <c r="A852" i="7"/>
  <c r="A857" i="7"/>
  <c r="A850" i="7"/>
  <c r="A860" i="7"/>
  <c r="A865" i="7"/>
  <c r="A842" i="7"/>
  <c r="A855" i="7"/>
  <c r="A861" i="7"/>
  <c r="N5931" i="7" l="1"/>
  <c r="N5601" i="7"/>
  <c r="N5119" i="7"/>
  <c r="N6139" i="7"/>
  <c r="N5480" i="7"/>
  <c r="N6141" i="7"/>
  <c r="N4969" i="7"/>
  <c r="N5959" i="7"/>
  <c r="N6199" i="7"/>
  <c r="N5600" i="7"/>
  <c r="N5990" i="7"/>
  <c r="N6169" i="7"/>
  <c r="N6079" i="7"/>
  <c r="N5930" i="7"/>
  <c r="N6110" i="7"/>
  <c r="N6200" i="7"/>
  <c r="N5871" i="7"/>
  <c r="N6081" i="7"/>
  <c r="N6197" i="7"/>
  <c r="AA6197" i="7" s="1"/>
  <c r="N6193" i="7"/>
  <c r="P6193" i="7" s="1"/>
  <c r="R6193" i="7" s="1"/>
  <c r="N6185" i="7"/>
  <c r="P6185" i="7" s="1"/>
  <c r="R6185" i="7" s="1"/>
  <c r="N6080" i="7"/>
  <c r="Y6201" i="7"/>
  <c r="W6185" i="7"/>
  <c r="Y6200" i="7"/>
  <c r="Y6199" i="7"/>
  <c r="N5660" i="7"/>
  <c r="N5630" i="7"/>
  <c r="N6195" i="7"/>
  <c r="AA6195" i="7" s="1"/>
  <c r="P6187" i="7"/>
  <c r="R6187" i="7" s="1"/>
  <c r="N5989" i="7"/>
  <c r="N5960" i="7"/>
  <c r="N6201" i="7"/>
  <c r="N5780" i="7"/>
  <c r="N6196" i="7"/>
  <c r="AA6196" i="7" s="1"/>
  <c r="N6051" i="7"/>
  <c r="N6103" i="7"/>
  <c r="P6103" i="7" s="1"/>
  <c r="R6103" i="7" s="1"/>
  <c r="N6170" i="7"/>
  <c r="N5899" i="7"/>
  <c r="N6140" i="7"/>
  <c r="N5869" i="7"/>
  <c r="N6049" i="7"/>
  <c r="N6095" i="7"/>
  <c r="P6095" i="7" s="1"/>
  <c r="R6095" i="7" s="1"/>
  <c r="N6155" i="7"/>
  <c r="P6155" i="7" s="1"/>
  <c r="R6155" i="7" s="1"/>
  <c r="N6171" i="7"/>
  <c r="N5750" i="7"/>
  <c r="N6109" i="7"/>
  <c r="N6111" i="7"/>
  <c r="N5689" i="7"/>
  <c r="N6020" i="7"/>
  <c r="N6125" i="7"/>
  <c r="P6125" i="7" s="1"/>
  <c r="R6125" i="7" s="1"/>
  <c r="N5599" i="7"/>
  <c r="N6133" i="7"/>
  <c r="P6133" i="7" s="1"/>
  <c r="R6133" i="7" s="1"/>
  <c r="N6073" i="7"/>
  <c r="P6073" i="7" s="1"/>
  <c r="R6073" i="7" s="1"/>
  <c r="N6065" i="7"/>
  <c r="P6065" i="7" s="1"/>
  <c r="R6065" i="7" s="1"/>
  <c r="N6021" i="7"/>
  <c r="N6050" i="7"/>
  <c r="N5961" i="7"/>
  <c r="N6043" i="7"/>
  <c r="P6043" i="7" s="1"/>
  <c r="R6043" i="7" s="1"/>
  <c r="N6035" i="7"/>
  <c r="P6035" i="7" s="1"/>
  <c r="R6035" i="7" s="1"/>
  <c r="N6013" i="7"/>
  <c r="P6013" i="7" s="1"/>
  <c r="R6013" i="7" s="1"/>
  <c r="N6019" i="7"/>
  <c r="N5691" i="7"/>
  <c r="N6005" i="7"/>
  <c r="P6005" i="7" s="1"/>
  <c r="R6005" i="7" s="1"/>
  <c r="N5870" i="7"/>
  <c r="N5929" i="7"/>
  <c r="N5721" i="7"/>
  <c r="N5991" i="7"/>
  <c r="N5779" i="7"/>
  <c r="N5983" i="7"/>
  <c r="P5983" i="7" s="1"/>
  <c r="R5983" i="7" s="1"/>
  <c r="N5975" i="7"/>
  <c r="P5975" i="7" s="1"/>
  <c r="R5975" i="7" s="1"/>
  <c r="N5945" i="7"/>
  <c r="P5945" i="7" s="1"/>
  <c r="R5945" i="7" s="1"/>
  <c r="N5751" i="7"/>
  <c r="N5953" i="7"/>
  <c r="P5953" i="7" s="1"/>
  <c r="R5953" i="7" s="1"/>
  <c r="N5901" i="7"/>
  <c r="N5915" i="7"/>
  <c r="P5915" i="7" s="1"/>
  <c r="R5915" i="7" s="1"/>
  <c r="N5900" i="7"/>
  <c r="N5825" i="7"/>
  <c r="P5825" i="7" s="1"/>
  <c r="R5825" i="7" s="1"/>
  <c r="N5923" i="7"/>
  <c r="P5923" i="7" s="1"/>
  <c r="R5923" i="7" s="1"/>
  <c r="N5811" i="7"/>
  <c r="N5631" i="7"/>
  <c r="N5571" i="7"/>
  <c r="N5893" i="7"/>
  <c r="P5893" i="7" s="1"/>
  <c r="R5893" i="7" s="1"/>
  <c r="N5810" i="7"/>
  <c r="N5840" i="7"/>
  <c r="N5841" i="7"/>
  <c r="N5839" i="7"/>
  <c r="N5781" i="7"/>
  <c r="N5713" i="7"/>
  <c r="P5713" i="7" s="1"/>
  <c r="R5713" i="7" s="1"/>
  <c r="N5833" i="7"/>
  <c r="P5833" i="7" s="1"/>
  <c r="R5833" i="7" s="1"/>
  <c r="N5809" i="7"/>
  <c r="N5765" i="7"/>
  <c r="P5765" i="7" s="1"/>
  <c r="R5765" i="7" s="1"/>
  <c r="N5803" i="7"/>
  <c r="P5803" i="7" s="1"/>
  <c r="R5803" i="7" s="1"/>
  <c r="N5749" i="7"/>
  <c r="N5795" i="7"/>
  <c r="P5795" i="7" s="1"/>
  <c r="R5795" i="7" s="1"/>
  <c r="N5773" i="7"/>
  <c r="P5773" i="7" s="1"/>
  <c r="R5773" i="7" s="1"/>
  <c r="N5659" i="7"/>
  <c r="N5735" i="7"/>
  <c r="P5735" i="7" s="1"/>
  <c r="R5735" i="7" s="1"/>
  <c r="N5719" i="7"/>
  <c r="N5661" i="7"/>
  <c r="N5690" i="7"/>
  <c r="N5743" i="7"/>
  <c r="P5743" i="7" s="1"/>
  <c r="R5743" i="7" s="1"/>
  <c r="N5720" i="7"/>
  <c r="N5629" i="7"/>
  <c r="N5705" i="7"/>
  <c r="P5705" i="7" s="1"/>
  <c r="R5705" i="7" s="1"/>
  <c r="N5675" i="7"/>
  <c r="P5675" i="7" s="1"/>
  <c r="R5675" i="7" s="1"/>
  <c r="N5569" i="7"/>
  <c r="N5390" i="7"/>
  <c r="N5623" i="7"/>
  <c r="P5623" i="7" s="1"/>
  <c r="R5623" i="7" s="1"/>
  <c r="N5389" i="7"/>
  <c r="N5683" i="7"/>
  <c r="P5683" i="7" s="1"/>
  <c r="R5683" i="7" s="1"/>
  <c r="N5570" i="7"/>
  <c r="N5615" i="7"/>
  <c r="P5615" i="7" s="1"/>
  <c r="R5615" i="7" s="1"/>
  <c r="N5479" i="7"/>
  <c r="N5539" i="7"/>
  <c r="N5211" i="7"/>
  <c r="N5540" i="7"/>
  <c r="N5391" i="7"/>
  <c r="N5420" i="7"/>
  <c r="N5585" i="7"/>
  <c r="P5585" i="7" s="1"/>
  <c r="R5585" i="7" s="1"/>
  <c r="N5061" i="7"/>
  <c r="N5593" i="7"/>
  <c r="P5593" i="7" s="1"/>
  <c r="R5593" i="7" s="1"/>
  <c r="N4431" i="7"/>
  <c r="N5555" i="7"/>
  <c r="P5555" i="7" s="1"/>
  <c r="R5555" i="7" s="1"/>
  <c r="N5563" i="7"/>
  <c r="P5563" i="7" s="1"/>
  <c r="R5563" i="7" s="1"/>
  <c r="N5541" i="7"/>
  <c r="N5525" i="7"/>
  <c r="P5525" i="7" s="1"/>
  <c r="R5525" i="7" s="1"/>
  <c r="N5533" i="7"/>
  <c r="P5533" i="7" s="1"/>
  <c r="R5533" i="7" s="1"/>
  <c r="N5510" i="7"/>
  <c r="N591" i="7"/>
  <c r="N4699" i="7"/>
  <c r="N5509" i="7"/>
  <c r="N5481" i="7"/>
  <c r="N5421" i="7"/>
  <c r="N5241" i="7"/>
  <c r="N5451" i="7"/>
  <c r="N5450" i="7"/>
  <c r="N6165" i="7"/>
  <c r="AA6165" i="7" s="1"/>
  <c r="N5353" i="7"/>
  <c r="P5353" i="7" s="1"/>
  <c r="R5353" i="7" s="1"/>
  <c r="P6157" i="7"/>
  <c r="R6157" i="7" s="1"/>
  <c r="N4551" i="7"/>
  <c r="N6167" i="7"/>
  <c r="AA6167" i="7" s="1"/>
  <c r="N6166" i="7"/>
  <c r="AA6166" i="7" s="1"/>
  <c r="N5511" i="7"/>
  <c r="N6162" i="7"/>
  <c r="N6163" i="7" s="1"/>
  <c r="P6163" i="7" s="1"/>
  <c r="R6163" i="7" s="1"/>
  <c r="Y6169" i="7"/>
  <c r="Y6170" i="7"/>
  <c r="W6155" i="7"/>
  <c r="Y6171" i="7"/>
  <c r="N5449" i="7"/>
  <c r="N5001" i="7"/>
  <c r="N5360" i="7"/>
  <c r="N5053" i="7"/>
  <c r="P5053" i="7" s="1"/>
  <c r="R5053" i="7" s="1"/>
  <c r="N5405" i="7"/>
  <c r="P5405" i="7" s="1"/>
  <c r="R5405" i="7" s="1"/>
  <c r="N4371" i="7"/>
  <c r="N4850" i="7"/>
  <c r="N5361" i="7"/>
  <c r="N4939" i="7"/>
  <c r="N5383" i="7"/>
  <c r="P5383" i="7" s="1"/>
  <c r="R5383" i="7" s="1"/>
  <c r="N5413" i="7"/>
  <c r="P5413" i="7" s="1"/>
  <c r="R5413" i="7" s="1"/>
  <c r="N6045" i="7"/>
  <c r="AA6045" i="7" s="1"/>
  <c r="N4579" i="7"/>
  <c r="N5345" i="7"/>
  <c r="P5345" i="7" s="1"/>
  <c r="R5345" i="7" s="1"/>
  <c r="N5375" i="7"/>
  <c r="P5375" i="7" s="1"/>
  <c r="R5375" i="7" s="1"/>
  <c r="N5271" i="7"/>
  <c r="N5476" i="7"/>
  <c r="AA5476" i="7" s="1"/>
  <c r="N5239" i="7"/>
  <c r="N6136" i="7"/>
  <c r="AA6136" i="7" s="1"/>
  <c r="N4400" i="7"/>
  <c r="N4491" i="7"/>
  <c r="N4595" i="7"/>
  <c r="P4595" i="7" s="1"/>
  <c r="R4595" i="7" s="1"/>
  <c r="N5240" i="7"/>
  <c r="N590" i="7"/>
  <c r="N4550" i="7"/>
  <c r="N4759" i="7"/>
  <c r="N5180" i="7"/>
  <c r="N5359" i="7"/>
  <c r="N4340" i="7"/>
  <c r="N4311" i="7"/>
  <c r="N4670" i="7"/>
  <c r="N4911" i="7"/>
  <c r="N4941" i="7"/>
  <c r="N4489" i="7"/>
  <c r="N5300" i="7"/>
  <c r="N5151" i="7"/>
  <c r="N4880" i="7"/>
  <c r="N6137" i="7"/>
  <c r="AA6137" i="7" s="1"/>
  <c r="N5301" i="7"/>
  <c r="N4415" i="7"/>
  <c r="P4415" i="7" s="1"/>
  <c r="R4415" i="7" s="1"/>
  <c r="N4430" i="7"/>
  <c r="N4639" i="7"/>
  <c r="P6127" i="7"/>
  <c r="R6127" i="7" s="1"/>
  <c r="Y6141" i="7"/>
  <c r="W6125" i="7"/>
  <c r="Y6140" i="7"/>
  <c r="Y6139" i="7"/>
  <c r="AA6139" i="7" s="1"/>
  <c r="N4341" i="7"/>
  <c r="N4731" i="7"/>
  <c r="N4760" i="7"/>
  <c r="N6135" i="7"/>
  <c r="AA6135" i="7" s="1"/>
  <c r="N5116" i="7"/>
  <c r="AA5116" i="7" s="1"/>
  <c r="N5265" i="7"/>
  <c r="AA5265" i="7" s="1"/>
  <c r="N5386" i="7"/>
  <c r="AA5386" i="7" s="1"/>
  <c r="N4517" i="7"/>
  <c r="AA4517" i="7" s="1"/>
  <c r="N5657" i="7"/>
  <c r="AA5657" i="7" s="1"/>
  <c r="N4385" i="7"/>
  <c r="P4385" i="7" s="1"/>
  <c r="R4385" i="7" s="1"/>
  <c r="N4573" i="7"/>
  <c r="P4573" i="7" s="1"/>
  <c r="R4573" i="7" s="1"/>
  <c r="N5147" i="7"/>
  <c r="AA5147" i="7" s="1"/>
  <c r="N5985" i="7"/>
  <c r="AA5985" i="7" s="1"/>
  <c r="N5717" i="7"/>
  <c r="AA5717" i="7" s="1"/>
  <c r="N4606" i="7"/>
  <c r="AA4606" i="7" s="1"/>
  <c r="N4696" i="7"/>
  <c r="AA4696" i="7" s="1"/>
  <c r="N4456" i="7"/>
  <c r="AA4456" i="7" s="1"/>
  <c r="N5837" i="7"/>
  <c r="AA5837" i="7" s="1"/>
  <c r="N6017" i="7"/>
  <c r="AA6017" i="7" s="1"/>
  <c r="N5173" i="7"/>
  <c r="P5173" i="7" s="1"/>
  <c r="R5173" i="7" s="1"/>
  <c r="N5597" i="7"/>
  <c r="AA5597" i="7" s="1"/>
  <c r="N4609" i="7"/>
  <c r="N5179" i="7"/>
  <c r="N4789" i="7"/>
  <c r="N4966" i="7"/>
  <c r="AA4966" i="7" s="1"/>
  <c r="N5085" i="7"/>
  <c r="AA5085" i="7" s="1"/>
  <c r="N6015" i="7"/>
  <c r="AA6015" i="7" s="1"/>
  <c r="N5505" i="7"/>
  <c r="AA5505" i="7" s="1"/>
  <c r="N5181" i="7"/>
  <c r="N4460" i="7"/>
  <c r="N5121" i="7"/>
  <c r="N5031" i="7"/>
  <c r="AA6037" i="7"/>
  <c r="N5805" i="7"/>
  <c r="AA5805" i="7" s="1"/>
  <c r="AA5527" i="7"/>
  <c r="N5030" i="7"/>
  <c r="N589" i="7"/>
  <c r="N5775" i="7"/>
  <c r="AA5775" i="7" s="1"/>
  <c r="N4865" i="7"/>
  <c r="P4865" i="7" s="1"/>
  <c r="R4865" i="7" s="1"/>
  <c r="N4745" i="7"/>
  <c r="P4745" i="7" s="1"/>
  <c r="R4745" i="7" s="1"/>
  <c r="N4671" i="7"/>
  <c r="N5206" i="7"/>
  <c r="AA5206" i="7" s="1"/>
  <c r="N5325" i="7"/>
  <c r="AA5325" i="7" s="1"/>
  <c r="N4697" i="7"/>
  <c r="AA4697" i="7" s="1"/>
  <c r="N4306" i="7"/>
  <c r="AA4306" i="7" s="1"/>
  <c r="N5836" i="7"/>
  <c r="AA5836" i="7" s="1"/>
  <c r="N4641" i="7"/>
  <c r="N5927" i="7"/>
  <c r="AA5927" i="7" s="1"/>
  <c r="N5209" i="7"/>
  <c r="N4519" i="7"/>
  <c r="N5777" i="7"/>
  <c r="AA5777" i="7" s="1"/>
  <c r="N5926" i="7"/>
  <c r="AA5926" i="7" s="1"/>
  <c r="N4965" i="7"/>
  <c r="AA4965" i="7" s="1"/>
  <c r="N4955" i="7"/>
  <c r="P4955" i="7" s="1"/>
  <c r="R4955" i="7" s="1"/>
  <c r="N4363" i="7"/>
  <c r="P4363" i="7" s="1"/>
  <c r="R4363" i="7" s="1"/>
  <c r="N4985" i="7"/>
  <c r="P4985" i="7" s="1"/>
  <c r="R4985" i="7" s="1"/>
  <c r="N6046" i="7"/>
  <c r="AA6046" i="7" s="1"/>
  <c r="N5655" i="7"/>
  <c r="AA5655" i="7" s="1"/>
  <c r="N4727" i="7"/>
  <c r="AA4727" i="7" s="1"/>
  <c r="N5446" i="7"/>
  <c r="AA5446" i="7" s="1"/>
  <c r="N5236" i="7"/>
  <c r="AA5236" i="7" s="1"/>
  <c r="N5233" i="7"/>
  <c r="N4401" i="7"/>
  <c r="N5415" i="7"/>
  <c r="AA5415" i="7" s="1"/>
  <c r="N5295" i="7"/>
  <c r="AA5295" i="7" s="1"/>
  <c r="N4725" i="7"/>
  <c r="AA4725" i="7" s="1"/>
  <c r="N4459" i="7"/>
  <c r="N4429" i="7"/>
  <c r="N4483" i="7"/>
  <c r="P4483" i="7" s="1"/>
  <c r="R4483" i="7" s="1"/>
  <c r="N4729" i="7"/>
  <c r="N5445" i="7"/>
  <c r="AA5445" i="7" s="1"/>
  <c r="N5745" i="7"/>
  <c r="AA5745" i="7" s="1"/>
  <c r="N4730" i="7"/>
  <c r="N4665" i="7"/>
  <c r="AA4665" i="7" s="1"/>
  <c r="N4821" i="7"/>
  <c r="N4605" i="7"/>
  <c r="AA4605" i="7" s="1"/>
  <c r="N4310" i="7"/>
  <c r="N4336" i="7"/>
  <c r="AA4336" i="7" s="1"/>
  <c r="N5685" i="7"/>
  <c r="AA5685" i="7" s="1"/>
  <c r="N4307" i="7"/>
  <c r="AA4307" i="7" s="1"/>
  <c r="N5867" i="7"/>
  <c r="AA5867" i="7" s="1"/>
  <c r="N4815" i="7"/>
  <c r="AA4815" i="7" s="1"/>
  <c r="N4535" i="7"/>
  <c r="P4535" i="7" s="1"/>
  <c r="R4535" i="7" s="1"/>
  <c r="N4425" i="7"/>
  <c r="AA4425" i="7" s="1"/>
  <c r="N5015" i="7"/>
  <c r="P5015" i="7" s="1"/>
  <c r="R5015" i="7" s="1"/>
  <c r="N4633" i="7"/>
  <c r="P4633" i="7" s="1"/>
  <c r="R4633" i="7" s="1"/>
  <c r="N4337" i="7"/>
  <c r="AA4337" i="7" s="1"/>
  <c r="N5475" i="7"/>
  <c r="AA5475" i="7" s="1"/>
  <c r="N5957" i="7"/>
  <c r="AA5957" i="7" s="1"/>
  <c r="N5387" i="7"/>
  <c r="AA5387" i="7" s="1"/>
  <c r="N5297" i="7"/>
  <c r="AA5297" i="7" s="1"/>
  <c r="N4610" i="7"/>
  <c r="N4396" i="7"/>
  <c r="AA4396" i="7" s="1"/>
  <c r="N4395" i="7"/>
  <c r="AA4395" i="7" s="1"/>
  <c r="N5060" i="7"/>
  <c r="N6076" i="7"/>
  <c r="AA6076" i="7" s="1"/>
  <c r="N4753" i="7"/>
  <c r="P4753" i="7" s="1"/>
  <c r="R4753" i="7" s="1"/>
  <c r="N4761" i="7"/>
  <c r="N4873" i="7"/>
  <c r="P4873" i="7" s="1"/>
  <c r="R4873" i="7" s="1"/>
  <c r="N4879" i="7"/>
  <c r="N4333" i="7"/>
  <c r="P4333" i="7" s="1"/>
  <c r="R4333" i="7" s="1"/>
  <c r="N5986" i="7"/>
  <c r="AA5986" i="7" s="1"/>
  <c r="N4909" i="7"/>
  <c r="N5105" i="7"/>
  <c r="P5105" i="7" s="1"/>
  <c r="R5105" i="7" s="1"/>
  <c r="N4655" i="7"/>
  <c r="P4655" i="7" s="1"/>
  <c r="R4655" i="7" s="1"/>
  <c r="N4295" i="7"/>
  <c r="P4295" i="7" s="1"/>
  <c r="R4295" i="7" s="1"/>
  <c r="AA5647" i="7"/>
  <c r="AA5497" i="7"/>
  <c r="N5237" i="7"/>
  <c r="AA5237" i="7" s="1"/>
  <c r="N4335" i="7"/>
  <c r="AA4335" i="7" s="1"/>
  <c r="N5385" i="7"/>
  <c r="AA5385" i="7" s="1"/>
  <c r="N4637" i="7"/>
  <c r="AA4637" i="7" s="1"/>
  <c r="N5357" i="7"/>
  <c r="AA5357" i="7" s="1"/>
  <c r="N5595" i="7"/>
  <c r="AA5595" i="7" s="1"/>
  <c r="N5326" i="7"/>
  <c r="AA5326" i="7" s="1"/>
  <c r="N5225" i="7"/>
  <c r="P5225" i="7" s="1"/>
  <c r="R5225" i="7" s="1"/>
  <c r="N4936" i="7"/>
  <c r="AA4936" i="7" s="1"/>
  <c r="N5835" i="7"/>
  <c r="AA5835" i="7" s="1"/>
  <c r="N5565" i="7"/>
  <c r="AA5565" i="7" s="1"/>
  <c r="N4366" i="7"/>
  <c r="AA4366" i="7" s="1"/>
  <c r="N5177" i="7"/>
  <c r="AA5177" i="7" s="1"/>
  <c r="N4577" i="7"/>
  <c r="AA4577" i="7" s="1"/>
  <c r="N4309" i="7"/>
  <c r="N4393" i="7"/>
  <c r="P4393" i="7" s="1"/>
  <c r="R4393" i="7" s="1"/>
  <c r="N5315" i="7"/>
  <c r="P5315" i="7" s="1"/>
  <c r="R5315" i="7" s="1"/>
  <c r="N4370" i="7"/>
  <c r="N4907" i="7"/>
  <c r="AA4907" i="7" s="1"/>
  <c r="N5567" i="7"/>
  <c r="AA5567" i="7" s="1"/>
  <c r="N5115" i="7"/>
  <c r="AA5115" i="7" s="1"/>
  <c r="N5537" i="7"/>
  <c r="AA5537" i="7" s="1"/>
  <c r="N5356" i="7"/>
  <c r="AA5356" i="7" s="1"/>
  <c r="N4933" i="7"/>
  <c r="P4933" i="7" s="1"/>
  <c r="R4933" i="7" s="1"/>
  <c r="N4775" i="7"/>
  <c r="P4775" i="7" s="1"/>
  <c r="R4775" i="7" s="1"/>
  <c r="N5956" i="7"/>
  <c r="AA5956" i="7" s="1"/>
  <c r="N6106" i="7"/>
  <c r="AA6106" i="7" s="1"/>
  <c r="N4910" i="7"/>
  <c r="N4783" i="7"/>
  <c r="P4783" i="7" s="1"/>
  <c r="R4783" i="7" s="1"/>
  <c r="N4369" i="7"/>
  <c r="N5235" i="7"/>
  <c r="AA5235" i="7" s="1"/>
  <c r="N5045" i="7"/>
  <c r="P5045" i="7" s="1"/>
  <c r="R5045" i="7" s="1"/>
  <c r="N5059" i="7"/>
  <c r="N6107" i="7"/>
  <c r="AA6107" i="7" s="1"/>
  <c r="N5023" i="7"/>
  <c r="P5023" i="7" s="1"/>
  <c r="R5023" i="7" s="1"/>
  <c r="N4457" i="7"/>
  <c r="AA4457" i="7" s="1"/>
  <c r="N4515" i="7"/>
  <c r="AA4515" i="7" s="1"/>
  <c r="N5625" i="7"/>
  <c r="AA5625" i="7" s="1"/>
  <c r="N4905" i="7"/>
  <c r="AA4905" i="7" s="1"/>
  <c r="N4580" i="7"/>
  <c r="N4925" i="7"/>
  <c r="P4925" i="7" s="1"/>
  <c r="R4925" i="7" s="1"/>
  <c r="N4993" i="7"/>
  <c r="P4993" i="7" s="1"/>
  <c r="R4993" i="7" s="1"/>
  <c r="N5165" i="7"/>
  <c r="P5165" i="7" s="1"/>
  <c r="R5165" i="7" s="1"/>
  <c r="L649" i="7"/>
  <c r="N4423" i="7"/>
  <c r="P4423" i="7" s="1"/>
  <c r="R4423" i="7" s="1"/>
  <c r="N5205" i="7"/>
  <c r="AA5205" i="7" s="1"/>
  <c r="N4851" i="7"/>
  <c r="N5146" i="7"/>
  <c r="AA5146" i="7" s="1"/>
  <c r="N4790" i="7"/>
  <c r="N4521" i="7"/>
  <c r="N5269" i="7"/>
  <c r="N4971" i="7"/>
  <c r="N5270" i="7"/>
  <c r="N5203" i="7"/>
  <c r="P5203" i="7" s="1"/>
  <c r="R5203" i="7" s="1"/>
  <c r="N4903" i="7"/>
  <c r="P4903" i="7" s="1"/>
  <c r="R4903" i="7" s="1"/>
  <c r="N4520" i="7"/>
  <c r="N6047" i="7"/>
  <c r="AA6047" i="7" s="1"/>
  <c r="N5897" i="7"/>
  <c r="AA5897" i="7" s="1"/>
  <c r="N4835" i="7"/>
  <c r="P4835" i="7" s="1"/>
  <c r="R4835" i="7" s="1"/>
  <c r="N4963" i="7"/>
  <c r="P4963" i="7" s="1"/>
  <c r="R4963" i="7" s="1"/>
  <c r="N5329" i="7"/>
  <c r="N4667" i="7"/>
  <c r="AA4667" i="7" s="1"/>
  <c r="N5626" i="7"/>
  <c r="AA5626" i="7" s="1"/>
  <c r="N5091" i="7"/>
  <c r="N4625" i="7"/>
  <c r="P4625" i="7" s="1"/>
  <c r="R4625" i="7" s="1"/>
  <c r="N5057" i="7"/>
  <c r="AA5057" i="7" s="1"/>
  <c r="N5506" i="7"/>
  <c r="AA5506" i="7" s="1"/>
  <c r="N4999" i="7"/>
  <c r="N4355" i="7"/>
  <c r="P4355" i="7" s="1"/>
  <c r="R4355" i="7" s="1"/>
  <c r="N4565" i="7"/>
  <c r="P4565" i="7" s="1"/>
  <c r="R4565" i="7" s="1"/>
  <c r="N4475" i="7"/>
  <c r="P4475" i="7" s="1"/>
  <c r="R4475" i="7" s="1"/>
  <c r="N5090" i="7"/>
  <c r="N4663" i="7"/>
  <c r="P4663" i="7" s="1"/>
  <c r="R4663" i="7" s="1"/>
  <c r="N5299" i="7"/>
  <c r="N4490" i="7"/>
  <c r="N4895" i="7"/>
  <c r="N5120" i="7"/>
  <c r="N4543" i="7"/>
  <c r="P4543" i="7" s="1"/>
  <c r="R4543" i="7" s="1"/>
  <c r="AA4543" i="7" s="1"/>
  <c r="AA4540" i="7" s="1"/>
  <c r="N4877" i="7"/>
  <c r="AA4877" i="7" s="1"/>
  <c r="N4549" i="7"/>
  <c r="N5895" i="7"/>
  <c r="AA5895" i="7" s="1"/>
  <c r="N5925" i="7"/>
  <c r="AA5925" i="7" s="1"/>
  <c r="N5075" i="7"/>
  <c r="P5075" i="7" s="1"/>
  <c r="R5075" i="7" s="1"/>
  <c r="N4399" i="7"/>
  <c r="N5056" i="7"/>
  <c r="AA5056" i="7" s="1"/>
  <c r="N4603" i="7"/>
  <c r="N4843" i="7"/>
  <c r="N5323" i="7"/>
  <c r="N4635" i="7"/>
  <c r="AA4635" i="7" s="1"/>
  <c r="P5197" i="7"/>
  <c r="R5197" i="7" s="1"/>
  <c r="P5137" i="7"/>
  <c r="R5137" i="7" s="1"/>
  <c r="P5473" i="7"/>
  <c r="R5473" i="7" s="1"/>
  <c r="N5866" i="7"/>
  <c r="AA5866" i="7" s="1"/>
  <c r="N5417" i="7"/>
  <c r="AA5417" i="7" s="1"/>
  <c r="N5627" i="7"/>
  <c r="AA5627" i="7" s="1"/>
  <c r="P5653" i="7"/>
  <c r="R5653" i="7" s="1"/>
  <c r="P6007" i="7"/>
  <c r="R6007" i="7" s="1"/>
  <c r="W5885" i="7"/>
  <c r="Y5899" i="7"/>
  <c r="Y5900" i="7"/>
  <c r="Y5901" i="7"/>
  <c r="N4967" i="7"/>
  <c r="AA4967" i="7" s="1"/>
  <c r="N4547" i="7"/>
  <c r="AA4547" i="7" s="1"/>
  <c r="N4996" i="7"/>
  <c r="AA4996" i="7" s="1"/>
  <c r="N4970" i="7"/>
  <c r="Y5660" i="7"/>
  <c r="W5645" i="7"/>
  <c r="Y5661" i="7"/>
  <c r="Y5659" i="7"/>
  <c r="N4700" i="7"/>
  <c r="N4640" i="7"/>
  <c r="Y6110" i="7"/>
  <c r="Y6109" i="7"/>
  <c r="W6095" i="7"/>
  <c r="Y6111" i="7"/>
  <c r="N6075" i="7"/>
  <c r="AA6075" i="7" s="1"/>
  <c r="N4365" i="7"/>
  <c r="AA4365" i="7" s="1"/>
  <c r="Y5870" i="7"/>
  <c r="Y5871" i="7"/>
  <c r="Y5869" i="7"/>
  <c r="W5855" i="7"/>
  <c r="P4777" i="7"/>
  <c r="R4777" i="7" s="1"/>
  <c r="W5105" i="7"/>
  <c r="Y5120" i="7"/>
  <c r="Y5119" i="7"/>
  <c r="Y5121" i="7"/>
  <c r="W5435" i="7"/>
  <c r="Y5450" i="7"/>
  <c r="Y5449" i="7"/>
  <c r="Y5451" i="7"/>
  <c r="Y5031" i="7"/>
  <c r="Y5029" i="7"/>
  <c r="Y5030" i="7"/>
  <c r="W5015" i="7"/>
  <c r="N4303" i="7"/>
  <c r="W5285" i="7"/>
  <c r="Y5299" i="7"/>
  <c r="Y5301" i="7"/>
  <c r="Y5300" i="7"/>
  <c r="W4655" i="7"/>
  <c r="Y4669" i="7"/>
  <c r="Y4670" i="7"/>
  <c r="Y4671" i="7"/>
  <c r="P4717" i="7"/>
  <c r="R4717" i="7" s="1"/>
  <c r="P5885" i="7"/>
  <c r="R5885" i="7" s="1"/>
  <c r="Y4999" i="7"/>
  <c r="Y5000" i="7"/>
  <c r="W4985" i="7"/>
  <c r="Y5001" i="7"/>
  <c r="P5645" i="7"/>
  <c r="R5645" i="7" s="1"/>
  <c r="P5047" i="7"/>
  <c r="R5047" i="7" s="1"/>
  <c r="P4445" i="7"/>
  <c r="R4445" i="7" s="1"/>
  <c r="N4786" i="7"/>
  <c r="AA4786" i="7" s="1"/>
  <c r="W4565" i="7"/>
  <c r="Y4581" i="7"/>
  <c r="Y4579" i="7"/>
  <c r="Y4580" i="7"/>
  <c r="W5765" i="7"/>
  <c r="Y5779" i="7"/>
  <c r="Y5781" i="7"/>
  <c r="Y5780" i="7"/>
  <c r="Y5689" i="7"/>
  <c r="W5675" i="7"/>
  <c r="Y5690" i="7"/>
  <c r="Y5691" i="7"/>
  <c r="Y5210" i="7"/>
  <c r="Y5209" i="7"/>
  <c r="W5195" i="7"/>
  <c r="Y5211" i="7"/>
  <c r="P5855" i="7"/>
  <c r="R5855" i="7" s="1"/>
  <c r="P5435" i="7"/>
  <c r="R5435" i="7" s="1"/>
  <c r="P4723" i="7"/>
  <c r="R4723" i="7" s="1"/>
  <c r="Y4549" i="7"/>
  <c r="Y4551" i="7"/>
  <c r="W4535" i="7"/>
  <c r="Y4550" i="7"/>
  <c r="N5447" i="7"/>
  <c r="AA5447" i="7" s="1"/>
  <c r="P6067" i="7"/>
  <c r="R6067" i="7" s="1"/>
  <c r="P5285" i="7"/>
  <c r="R5285" i="7" s="1"/>
  <c r="P4567" i="7"/>
  <c r="R4567" i="7" s="1"/>
  <c r="P4715" i="7"/>
  <c r="R4715" i="7" s="1"/>
  <c r="P4807" i="7"/>
  <c r="R4807" i="7" s="1"/>
  <c r="N4486" i="7"/>
  <c r="AA4486" i="7" s="1"/>
  <c r="Y5391" i="7"/>
  <c r="Y5389" i="7"/>
  <c r="Y5390" i="7"/>
  <c r="W5375" i="7"/>
  <c r="W4955" i="7"/>
  <c r="Y4971" i="7"/>
  <c r="Y4969" i="7"/>
  <c r="Y4970" i="7"/>
  <c r="Y4460" i="7"/>
  <c r="Y4459" i="7"/>
  <c r="Y4461" i="7"/>
  <c r="W4445" i="7"/>
  <c r="N4575" i="7"/>
  <c r="AA4575" i="7" s="1"/>
  <c r="N5327" i="7"/>
  <c r="AA5327" i="7" s="1"/>
  <c r="N6016" i="7"/>
  <c r="AA6016" i="7" s="1"/>
  <c r="W4295" i="7"/>
  <c r="Y4311" i="7"/>
  <c r="Y4309" i="7"/>
  <c r="Y4310" i="7"/>
  <c r="N4726" i="7"/>
  <c r="AA4726" i="7" s="1"/>
  <c r="Y5931" i="7"/>
  <c r="AA5931" i="7" s="1"/>
  <c r="Y5929" i="7"/>
  <c r="Y5930" i="7"/>
  <c r="W5915" i="7"/>
  <c r="P5617" i="7"/>
  <c r="R5617" i="7" s="1"/>
  <c r="N5535" i="7"/>
  <c r="AA5535" i="7" s="1"/>
  <c r="N5715" i="7"/>
  <c r="AA5715" i="7" s="1"/>
  <c r="N5296" i="7"/>
  <c r="AA5296" i="7" s="1"/>
  <c r="N4881" i="7"/>
  <c r="Y5840" i="7"/>
  <c r="Y5841" i="7"/>
  <c r="W5825" i="7"/>
  <c r="Y5839" i="7"/>
  <c r="W5345" i="7"/>
  <c r="Y5359" i="7"/>
  <c r="Y5361" i="7"/>
  <c r="Y5360" i="7"/>
  <c r="P5077" i="7"/>
  <c r="R5077" i="7" s="1"/>
  <c r="P4297" i="7"/>
  <c r="R4297" i="7" s="1"/>
  <c r="AA4297" i="7" s="1"/>
  <c r="Y4400" i="7"/>
  <c r="W4385" i="7"/>
  <c r="Y4401" i="7"/>
  <c r="Y4399" i="7"/>
  <c r="N5355" i="7"/>
  <c r="AA5355" i="7" s="1"/>
  <c r="N5507" i="7"/>
  <c r="AA5507" i="7" s="1"/>
  <c r="N4397" i="7"/>
  <c r="AA4397" i="7" s="1"/>
  <c r="Y5601" i="7"/>
  <c r="AA5601" i="7" s="1"/>
  <c r="W5585" i="7"/>
  <c r="Y5600" i="7"/>
  <c r="Y5599" i="7"/>
  <c r="Y4729" i="7"/>
  <c r="Y4731" i="7"/>
  <c r="W4715" i="7"/>
  <c r="Y4730" i="7"/>
  <c r="N5896" i="7"/>
  <c r="AA5896" i="7" s="1"/>
  <c r="N5083" i="7"/>
  <c r="N4339" i="7"/>
  <c r="N4576" i="7"/>
  <c r="AA4576" i="7" s="1"/>
  <c r="Y6021" i="7"/>
  <c r="W6005" i="7"/>
  <c r="Y6019" i="7"/>
  <c r="Y6020" i="7"/>
  <c r="N4849" i="7"/>
  <c r="Y6049" i="7"/>
  <c r="Y6051" i="7"/>
  <c r="W6035" i="7"/>
  <c r="Y6050" i="7"/>
  <c r="N4846" i="7"/>
  <c r="AA4846" i="7" s="1"/>
  <c r="N4791" i="7"/>
  <c r="P4927" i="7"/>
  <c r="R4927" i="7" s="1"/>
  <c r="N5210" i="7"/>
  <c r="N5566" i="7"/>
  <c r="AA5566" i="7" s="1"/>
  <c r="P5167" i="7"/>
  <c r="R5167" i="7" s="1"/>
  <c r="L170" i="7"/>
  <c r="N5987" i="7"/>
  <c r="AA5987" i="7" s="1"/>
  <c r="Y5630" i="7"/>
  <c r="Y5629" i="7"/>
  <c r="Y5631" i="7"/>
  <c r="W5615" i="7"/>
  <c r="N4935" i="7"/>
  <c r="AA4935" i="7" s="1"/>
  <c r="N5149" i="7"/>
  <c r="P4957" i="7"/>
  <c r="R4957" i="7" s="1"/>
  <c r="N4756" i="7"/>
  <c r="AA4756" i="7" s="1"/>
  <c r="Y4431" i="7"/>
  <c r="W4415" i="7"/>
  <c r="Y4429" i="7"/>
  <c r="Y4430" i="7"/>
  <c r="P5257" i="7"/>
  <c r="R5257" i="7" s="1"/>
  <c r="N4455" i="7"/>
  <c r="AA4455" i="7" s="1"/>
  <c r="N5195" i="7"/>
  <c r="N4426" i="7"/>
  <c r="AA4426" i="7" s="1"/>
  <c r="N5687" i="7"/>
  <c r="AA5687" i="7" s="1"/>
  <c r="AA4747" i="7"/>
  <c r="AA5263" i="7"/>
  <c r="N5087" i="7"/>
  <c r="AA5087" i="7" s="1"/>
  <c r="N5865" i="7"/>
  <c r="AA5865" i="7" s="1"/>
  <c r="N5150" i="7"/>
  <c r="N5086" i="7"/>
  <c r="AA5086" i="7" s="1"/>
  <c r="P4897" i="7"/>
  <c r="R4897" i="7" s="1"/>
  <c r="P4357" i="7"/>
  <c r="R4357" i="7" s="1"/>
  <c r="N5330" i="7"/>
  <c r="W5135" i="7"/>
  <c r="Y5149" i="7"/>
  <c r="Y5150" i="7"/>
  <c r="Y5151" i="7"/>
  <c r="P4687" i="7"/>
  <c r="R4687" i="7" s="1"/>
  <c r="P5857" i="7"/>
  <c r="R5857" i="7" s="1"/>
  <c r="W5495" i="7"/>
  <c r="Y5509" i="7"/>
  <c r="Y5511" i="7"/>
  <c r="Y5510" i="7"/>
  <c r="L765" i="7"/>
  <c r="P5227" i="7"/>
  <c r="R5227" i="7" s="1"/>
  <c r="P4453" i="7"/>
  <c r="R4453" i="7" s="1"/>
  <c r="P5287" i="7"/>
  <c r="R5287" i="7" s="1"/>
  <c r="P4507" i="7"/>
  <c r="R4507" i="7" s="1"/>
  <c r="P4867" i="7"/>
  <c r="R4867" i="7" s="1"/>
  <c r="Y4759" i="7"/>
  <c r="Y4761" i="7"/>
  <c r="Y4760" i="7"/>
  <c r="W4745" i="7"/>
  <c r="P5977" i="7"/>
  <c r="R5977" i="7" s="1"/>
  <c r="P4513" i="7"/>
  <c r="R4513" i="7" s="1"/>
  <c r="Y5271" i="7"/>
  <c r="Y5269" i="7"/>
  <c r="Y5270" i="7"/>
  <c r="W5255" i="7"/>
  <c r="P5737" i="7"/>
  <c r="R5737" i="7" s="1"/>
  <c r="W5315" i="7"/>
  <c r="Y5329" i="7"/>
  <c r="Y5331" i="7"/>
  <c r="Y5330" i="7"/>
  <c r="N5331" i="7"/>
  <c r="P5437" i="7"/>
  <c r="R5437" i="7" s="1"/>
  <c r="Y4371" i="7"/>
  <c r="Y4370" i="7"/>
  <c r="W4355" i="7"/>
  <c r="Y4369" i="7"/>
  <c r="N5776" i="7"/>
  <c r="AA5776" i="7" s="1"/>
  <c r="P5135" i="7"/>
  <c r="R5135" i="7" s="1"/>
  <c r="N4669" i="7"/>
  <c r="N5536" i="7"/>
  <c r="AA5536" i="7" s="1"/>
  <c r="P5797" i="7"/>
  <c r="R5797" i="7" s="1"/>
  <c r="N4997" i="7"/>
  <c r="AA4997" i="7" s="1"/>
  <c r="N4427" i="7"/>
  <c r="AA4427" i="7" s="1"/>
  <c r="N4545" i="7"/>
  <c r="AA4545" i="7" s="1"/>
  <c r="N4636" i="7"/>
  <c r="AA4636" i="7" s="1"/>
  <c r="L500" i="7"/>
  <c r="Y5961" i="7"/>
  <c r="Y5960" i="7"/>
  <c r="W5945" i="7"/>
  <c r="Y5959" i="7"/>
  <c r="Y4939" i="7"/>
  <c r="W4925" i="7"/>
  <c r="Y4941" i="7"/>
  <c r="Y4940" i="7"/>
  <c r="N5175" i="7"/>
  <c r="AA5175" i="7" s="1"/>
  <c r="P4597" i="7"/>
  <c r="R4597" i="7" s="1"/>
  <c r="N4819" i="7"/>
  <c r="N5027" i="7"/>
  <c r="AA5027" i="7" s="1"/>
  <c r="N4787" i="7"/>
  <c r="AA4787" i="7" s="1"/>
  <c r="P5863" i="7"/>
  <c r="R5863" i="7" s="1"/>
  <c r="N5477" i="7"/>
  <c r="AA5477" i="7" s="1"/>
  <c r="W4505" i="7"/>
  <c r="Y4521" i="7"/>
  <c r="Y4519" i="7"/>
  <c r="Y4520" i="7"/>
  <c r="N5145" i="7"/>
  <c r="AA5145" i="7" s="1"/>
  <c r="P5017" i="7"/>
  <c r="R5017" i="7" s="1"/>
  <c r="W6065" i="7"/>
  <c r="Y6080" i="7"/>
  <c r="Y6079" i="7"/>
  <c r="Y6081" i="7"/>
  <c r="Y5990" i="7"/>
  <c r="Y5991" i="7"/>
  <c r="Y5989" i="7"/>
  <c r="W5975" i="7"/>
  <c r="P4693" i="7"/>
  <c r="R4693" i="7" s="1"/>
  <c r="P5495" i="7"/>
  <c r="R5495" i="7" s="1"/>
  <c r="P4417" i="7"/>
  <c r="R4417" i="7" s="1"/>
  <c r="P4327" i="7"/>
  <c r="R4327" i="7" s="1"/>
  <c r="P4987" i="7"/>
  <c r="R4987" i="7" s="1"/>
  <c r="P4657" i="7"/>
  <c r="R4657" i="7" s="1"/>
  <c r="Y5419" i="7"/>
  <c r="AA5419" i="7" s="1"/>
  <c r="Y5420" i="7"/>
  <c r="W5405" i="7"/>
  <c r="Y5421" i="7"/>
  <c r="P5443" i="7"/>
  <c r="R5443" i="7" s="1"/>
  <c r="P5255" i="7"/>
  <c r="R5255" i="7" s="1"/>
  <c r="Y5481" i="7"/>
  <c r="W5465" i="7"/>
  <c r="Y5480" i="7"/>
  <c r="Y5479" i="7"/>
  <c r="N5806" i="7"/>
  <c r="AA5806" i="7" s="1"/>
  <c r="N5416" i="7"/>
  <c r="AA5416" i="7" s="1"/>
  <c r="N4817" i="7"/>
  <c r="AA4817" i="7" s="1"/>
  <c r="N5686" i="7"/>
  <c r="AA5686" i="7" s="1"/>
  <c r="P6097" i="7"/>
  <c r="R6097" i="7" s="1"/>
  <c r="P5587" i="7"/>
  <c r="R5587" i="7" s="1"/>
  <c r="W5045" i="7"/>
  <c r="Y5059" i="7"/>
  <c r="Y5060" i="7"/>
  <c r="Y5061" i="7"/>
  <c r="N5746" i="7"/>
  <c r="AA5746" i="7" s="1"/>
  <c r="N5055" i="7"/>
  <c r="AA5055" i="7" s="1"/>
  <c r="N4607" i="7"/>
  <c r="AA4607" i="7" s="1"/>
  <c r="N5656" i="7"/>
  <c r="AA5656" i="7" s="1"/>
  <c r="N4820" i="7"/>
  <c r="N4325" i="7"/>
  <c r="P4447" i="7"/>
  <c r="R4447" i="7" s="1"/>
  <c r="P4505" i="7"/>
  <c r="R4505" i="7" s="1"/>
  <c r="Y5180" i="7"/>
  <c r="W5165" i="7"/>
  <c r="Y5181" i="7"/>
  <c r="Y5179" i="7"/>
  <c r="N5267" i="7"/>
  <c r="AA5267" i="7" s="1"/>
  <c r="P5407" i="7"/>
  <c r="R5407" i="7" s="1"/>
  <c r="Y4611" i="7"/>
  <c r="Y4609" i="7"/>
  <c r="Y4610" i="7"/>
  <c r="W4595" i="7"/>
  <c r="P5465" i="7"/>
  <c r="R5465" i="7" s="1"/>
  <c r="N5025" i="7"/>
  <c r="AA5025" i="7" s="1"/>
  <c r="P5107" i="7"/>
  <c r="R5107" i="7" s="1"/>
  <c r="N4816" i="7"/>
  <c r="AA4816" i="7" s="1"/>
  <c r="P5293" i="7"/>
  <c r="R5293" i="7" s="1"/>
  <c r="N4757" i="7"/>
  <c r="AA4757" i="7" s="1"/>
  <c r="P4805" i="7"/>
  <c r="R4805" i="7" s="1"/>
  <c r="P5887" i="7"/>
  <c r="R5887" i="7" s="1"/>
  <c r="P5377" i="7"/>
  <c r="R5377" i="7" s="1"/>
  <c r="P4477" i="7"/>
  <c r="R4477" i="7" s="1"/>
  <c r="P5557" i="7"/>
  <c r="R5557" i="7" s="1"/>
  <c r="N4940" i="7"/>
  <c r="Y4911" i="7"/>
  <c r="W4895" i="7"/>
  <c r="Y4910" i="7"/>
  <c r="Y4909" i="7"/>
  <c r="P4627" i="7"/>
  <c r="R4627" i="7" s="1"/>
  <c r="L320" i="7"/>
  <c r="L470" i="7"/>
  <c r="P5917" i="7"/>
  <c r="R5917" i="7" s="1"/>
  <c r="N6105" i="7"/>
  <c r="AA6105" i="7" s="1"/>
  <c r="Y5240" i="7"/>
  <c r="Y5239" i="7"/>
  <c r="W5225" i="7"/>
  <c r="Y5241" i="7"/>
  <c r="P5947" i="7"/>
  <c r="R5947" i="7" s="1"/>
  <c r="N4845" i="7"/>
  <c r="AA4845" i="7" s="1"/>
  <c r="P4387" i="7"/>
  <c r="R4387" i="7" s="1"/>
  <c r="N4487" i="7"/>
  <c r="AA4487" i="7" s="1"/>
  <c r="N4461" i="7"/>
  <c r="N4611" i="7"/>
  <c r="P5767" i="7"/>
  <c r="R5767" i="7" s="1"/>
  <c r="P4685" i="7"/>
  <c r="R4685" i="7" s="1"/>
  <c r="N4937" i="7"/>
  <c r="AA4937" i="7" s="1"/>
  <c r="N4995" i="7"/>
  <c r="AA4995" i="7" s="1"/>
  <c r="N4785" i="7"/>
  <c r="AA4785" i="7" s="1"/>
  <c r="P4813" i="7"/>
  <c r="R4813" i="7" s="1"/>
  <c r="N5955" i="7"/>
  <c r="AA5955" i="7" s="1"/>
  <c r="W5705" i="7"/>
  <c r="Y5720" i="7"/>
  <c r="Y5719" i="7"/>
  <c r="Y5721" i="7"/>
  <c r="N5266" i="7"/>
  <c r="AA5266" i="7" s="1"/>
  <c r="N5089" i="7"/>
  <c r="Y4820" i="7"/>
  <c r="W4805" i="7"/>
  <c r="Y4819" i="7"/>
  <c r="Y4821" i="7"/>
  <c r="N5029" i="7"/>
  <c r="P5467" i="7"/>
  <c r="R5467" i="7" s="1"/>
  <c r="N5117" i="7"/>
  <c r="AA5117" i="7" s="1"/>
  <c r="Y5751" i="7"/>
  <c r="Y5750" i="7"/>
  <c r="W5735" i="7"/>
  <c r="Y5749" i="7"/>
  <c r="N5716" i="7"/>
  <c r="AA5716" i="7" s="1"/>
  <c r="N4906" i="7"/>
  <c r="AA4906" i="7" s="1"/>
  <c r="N4666" i="7"/>
  <c r="AA4666" i="7" s="1"/>
  <c r="N5176" i="7"/>
  <c r="AA5176" i="7" s="1"/>
  <c r="Y4341" i="7"/>
  <c r="W4325" i="7"/>
  <c r="Y4340" i="7"/>
  <c r="Y4339" i="7"/>
  <c r="N4485" i="7"/>
  <c r="AA4485" i="7" s="1"/>
  <c r="P4837" i="7"/>
  <c r="R4837" i="7" s="1"/>
  <c r="AA5827" i="7"/>
  <c r="N6077" i="7"/>
  <c r="AA6077" i="7" s="1"/>
  <c r="N5807" i="7"/>
  <c r="AA5807" i="7" s="1"/>
  <c r="N5596" i="7"/>
  <c r="AA5596" i="7" s="1"/>
  <c r="P5677" i="7"/>
  <c r="R5677" i="7" s="1"/>
  <c r="Y4789" i="7"/>
  <c r="Y4791" i="7"/>
  <c r="W4775" i="7"/>
  <c r="Y4790" i="7"/>
  <c r="W4685" i="7"/>
  <c r="Y4701" i="7"/>
  <c r="Y4700" i="7"/>
  <c r="Y4699" i="7"/>
  <c r="N5000" i="7"/>
  <c r="P5143" i="7"/>
  <c r="R5143" i="7" s="1"/>
  <c r="Y5089" i="7"/>
  <c r="Y5090" i="7"/>
  <c r="Y5091" i="7"/>
  <c r="W5075" i="7"/>
  <c r="N4847" i="7"/>
  <c r="AA4847" i="7" s="1"/>
  <c r="W5795" i="7"/>
  <c r="Y5809" i="7"/>
  <c r="Y5810" i="7"/>
  <c r="Y5811" i="7"/>
  <c r="P4537" i="7"/>
  <c r="R4537" i="7" s="1"/>
  <c r="N4516" i="7"/>
  <c r="AA4516" i="7" s="1"/>
  <c r="N4546" i="7"/>
  <c r="AA4546" i="7" s="1"/>
  <c r="N4305" i="7"/>
  <c r="AA4305" i="7" s="1"/>
  <c r="Y4851" i="7"/>
  <c r="Y4850" i="7"/>
  <c r="W4835" i="7"/>
  <c r="Y4849" i="7"/>
  <c r="N4695" i="7"/>
  <c r="AA4695" i="7" s="1"/>
  <c r="N5207" i="7"/>
  <c r="AA5207" i="7" s="1"/>
  <c r="W4475" i="7"/>
  <c r="Y4490" i="7"/>
  <c r="Y4491" i="7"/>
  <c r="Y4489" i="7"/>
  <c r="Y4641" i="7"/>
  <c r="Y4639" i="7"/>
  <c r="Y4640" i="7"/>
  <c r="W4625" i="7"/>
  <c r="N5113" i="7"/>
  <c r="N4755" i="7"/>
  <c r="AA4755" i="7" s="1"/>
  <c r="P5707" i="7"/>
  <c r="R5707" i="7" s="1"/>
  <c r="N4581" i="7"/>
  <c r="N4875" i="7"/>
  <c r="AA4875" i="7" s="1"/>
  <c r="P5347" i="7"/>
  <c r="R5347" i="7" s="1"/>
  <c r="Y5569" i="7"/>
  <c r="W5555" i="7"/>
  <c r="Y5571" i="7"/>
  <c r="Y5570" i="7"/>
  <c r="N5026" i="7"/>
  <c r="AA5026" i="7" s="1"/>
  <c r="N5747" i="7"/>
  <c r="AA5747" i="7" s="1"/>
  <c r="Y4881" i="7"/>
  <c r="Y4880" i="7"/>
  <c r="Y4879" i="7"/>
  <c r="W4865" i="7"/>
  <c r="P5503" i="7"/>
  <c r="R5503" i="7" s="1"/>
  <c r="N4701" i="7"/>
  <c r="P5317" i="7"/>
  <c r="R5317" i="7" s="1"/>
  <c r="N4367" i="7"/>
  <c r="AA4367" i="7" s="1"/>
  <c r="N4876" i="7"/>
  <c r="AA4876" i="7" s="1"/>
  <c r="Y5540" i="7"/>
  <c r="Y5541" i="7"/>
  <c r="W5525" i="7"/>
  <c r="Y5539" i="7"/>
  <c r="W316" i="7"/>
  <c r="W320" i="7" s="1"/>
  <c r="L740" i="7"/>
  <c r="L709" i="7"/>
  <c r="L499" i="7"/>
  <c r="L319" i="7"/>
  <c r="L770" i="7"/>
  <c r="L681" i="7"/>
  <c r="L321" i="7"/>
  <c r="L741" i="7"/>
  <c r="L259" i="7"/>
  <c r="L351" i="7"/>
  <c r="L680" i="7"/>
  <c r="L290" i="7"/>
  <c r="W287" i="7"/>
  <c r="W291" i="7" s="1"/>
  <c r="L79" i="7"/>
  <c r="L349" i="7"/>
  <c r="W556" i="7"/>
  <c r="W560" i="7" s="1"/>
  <c r="L289" i="7"/>
  <c r="L560" i="7"/>
  <c r="L530" i="7"/>
  <c r="L766" i="7"/>
  <c r="L381" i="7"/>
  <c r="J767" i="7"/>
  <c r="W617" i="7"/>
  <c r="W621" i="7" s="1"/>
  <c r="L771" i="7"/>
  <c r="L769" i="7"/>
  <c r="N769" i="7" s="1"/>
  <c r="W767" i="7"/>
  <c r="W771" i="7" s="1"/>
  <c r="L471" i="7"/>
  <c r="L739" i="7"/>
  <c r="L711" i="7"/>
  <c r="L710" i="7"/>
  <c r="W676" i="7"/>
  <c r="W680" i="7" s="1"/>
  <c r="L679" i="7"/>
  <c r="L650" i="7"/>
  <c r="W646" i="7"/>
  <c r="W650" i="7" s="1"/>
  <c r="L651" i="7"/>
  <c r="L620" i="7"/>
  <c r="L767" i="7"/>
  <c r="L621" i="7"/>
  <c r="W466" i="7"/>
  <c r="W470" i="7" s="1"/>
  <c r="L619" i="7"/>
  <c r="L231" i="7"/>
  <c r="L110" i="7"/>
  <c r="L411" i="7"/>
  <c r="L230" i="7"/>
  <c r="L469" i="7"/>
  <c r="L529" i="7"/>
  <c r="L559" i="7"/>
  <c r="L561" i="7"/>
  <c r="L531" i="7"/>
  <c r="W526" i="7"/>
  <c r="W530" i="7" s="1"/>
  <c r="L171" i="7"/>
  <c r="L260" i="7"/>
  <c r="W495" i="7"/>
  <c r="W499" i="7" s="1"/>
  <c r="L501" i="7"/>
  <c r="W406" i="7"/>
  <c r="W410" i="7" s="1"/>
  <c r="L410" i="7"/>
  <c r="L409" i="7"/>
  <c r="L380" i="7"/>
  <c r="W377" i="7"/>
  <c r="W381" i="7" s="1"/>
  <c r="L379" i="7"/>
  <c r="L80" i="7"/>
  <c r="W347" i="7"/>
  <c r="W351" i="7" s="1"/>
  <c r="L350" i="7"/>
  <c r="L291" i="7"/>
  <c r="W197" i="7"/>
  <c r="W201" i="7" s="1"/>
  <c r="L200" i="7"/>
  <c r="L201" i="7"/>
  <c r="W225" i="7"/>
  <c r="W229" i="7" s="1"/>
  <c r="W257" i="7"/>
  <c r="W261" i="7" s="1"/>
  <c r="L140" i="7"/>
  <c r="L261" i="7"/>
  <c r="L229" i="7"/>
  <c r="L199" i="7"/>
  <c r="W167" i="7"/>
  <c r="W171" i="7" s="1"/>
  <c r="L169" i="7"/>
  <c r="L139" i="7"/>
  <c r="L50" i="7"/>
  <c r="W135" i="7"/>
  <c r="W139" i="7" s="1"/>
  <c r="L141" i="7"/>
  <c r="L109" i="7"/>
  <c r="L111" i="7"/>
  <c r="W107" i="7"/>
  <c r="W111" i="7" s="1"/>
  <c r="L81" i="7"/>
  <c r="W77" i="7"/>
  <c r="W81" i="7" s="1"/>
  <c r="W45" i="7"/>
  <c r="W49" i="7" s="1"/>
  <c r="L51" i="7"/>
  <c r="L49" i="7"/>
  <c r="P752" i="7"/>
  <c r="R752" i="7" s="1"/>
  <c r="P753" i="7"/>
  <c r="R753" i="7" s="1"/>
  <c r="J770" i="7"/>
  <c r="J771" i="7"/>
  <c r="J766" i="7"/>
  <c r="U754" i="7"/>
  <c r="U755" i="7" s="1"/>
  <c r="L752" i="7"/>
  <c r="N752" i="7" s="1"/>
  <c r="P754" i="7"/>
  <c r="R754" i="7" s="1"/>
  <c r="L757" i="7"/>
  <c r="N757" i="7" s="1"/>
  <c r="P757" i="7" s="1"/>
  <c r="R757" i="7" s="1"/>
  <c r="W765" i="7"/>
  <c r="W769" i="7" s="1"/>
  <c r="D755" i="7"/>
  <c r="Y770" i="7" s="1"/>
  <c r="W766" i="7"/>
  <c r="W770" i="7" s="1"/>
  <c r="N754" i="7"/>
  <c r="F755" i="7"/>
  <c r="D763" i="7"/>
  <c r="W763" i="7" s="1"/>
  <c r="P671" i="7"/>
  <c r="R671" i="7" s="1"/>
  <c r="N760" i="7"/>
  <c r="W647" i="7"/>
  <c r="W651" i="7" s="1"/>
  <c r="W376" i="7"/>
  <c r="W380" i="7" s="1"/>
  <c r="N574" i="7"/>
  <c r="J765" i="7"/>
  <c r="U760" i="7"/>
  <c r="W405" i="7"/>
  <c r="W409" i="7" s="1"/>
  <c r="W256" i="7"/>
  <c r="W260" i="7" s="1"/>
  <c r="W317" i="7"/>
  <c r="W321" i="7" s="1"/>
  <c r="P333" i="7"/>
  <c r="R333" i="7" s="1"/>
  <c r="W255" i="7"/>
  <c r="W259" i="7" s="1"/>
  <c r="P612" i="7"/>
  <c r="R612" i="7" s="1"/>
  <c r="W227" i="7"/>
  <c r="W231" i="7" s="1"/>
  <c r="W645" i="7"/>
  <c r="W649" i="7" s="1"/>
  <c r="W675" i="7"/>
  <c r="W679" i="7" s="1"/>
  <c r="P642" i="7"/>
  <c r="R642" i="7" s="1"/>
  <c r="W407" i="7"/>
  <c r="W411" i="7" s="1"/>
  <c r="P184" i="7"/>
  <c r="R184" i="7" s="1"/>
  <c r="W226" i="7"/>
  <c r="W230" i="7" s="1"/>
  <c r="P483" i="7"/>
  <c r="R483" i="7" s="1"/>
  <c r="P192" i="7"/>
  <c r="R192" i="7" s="1"/>
  <c r="P761" i="7"/>
  <c r="R761" i="7" s="1"/>
  <c r="W137" i="7"/>
  <c r="W141" i="7" s="1"/>
  <c r="P664" i="7"/>
  <c r="R664" i="7" s="1"/>
  <c r="P401" i="7"/>
  <c r="R401" i="7" s="1"/>
  <c r="P221" i="7"/>
  <c r="R221" i="7" s="1"/>
  <c r="P341" i="7"/>
  <c r="R341" i="7" s="1"/>
  <c r="P724" i="7"/>
  <c r="R724" i="7" s="1"/>
  <c r="P72" i="7"/>
  <c r="R72" i="7" s="1"/>
  <c r="P123" i="7"/>
  <c r="R123" i="7" s="1"/>
  <c r="N585" i="7"/>
  <c r="AA585" i="7" s="1"/>
  <c r="N587" i="7"/>
  <c r="AA587" i="7" s="1"/>
  <c r="P282" i="7"/>
  <c r="R282" i="7" s="1"/>
  <c r="N577" i="7"/>
  <c r="P577" i="7" s="1"/>
  <c r="R577" i="7" s="1"/>
  <c r="P34" i="7"/>
  <c r="R34" i="7" s="1"/>
  <c r="P522" i="7"/>
  <c r="R522" i="7" s="1"/>
  <c r="W166" i="7"/>
  <c r="W170" i="7" s="1"/>
  <c r="P64" i="7"/>
  <c r="R64" i="7" s="1"/>
  <c r="W496" i="7"/>
  <c r="W500" i="7" s="1"/>
  <c r="W615" i="7"/>
  <c r="W619" i="7" s="1"/>
  <c r="P454" i="7"/>
  <c r="R454" i="7" s="1"/>
  <c r="W165" i="7"/>
  <c r="W169" i="7" s="1"/>
  <c r="P213" i="7"/>
  <c r="R213" i="7" s="1"/>
  <c r="W525" i="7"/>
  <c r="W529" i="7" s="1"/>
  <c r="P371" i="7"/>
  <c r="R371" i="7" s="1"/>
  <c r="F763" i="7"/>
  <c r="P93" i="7"/>
  <c r="R93" i="7" s="1"/>
  <c r="P634" i="7"/>
  <c r="R634" i="7" s="1"/>
  <c r="W527" i="7"/>
  <c r="W531" i="7" s="1"/>
  <c r="P551" i="7"/>
  <c r="R551" i="7" s="1"/>
  <c r="P162" i="7"/>
  <c r="R162" i="7" s="1"/>
  <c r="W136" i="7"/>
  <c r="W140" i="7" s="1"/>
  <c r="P41" i="7"/>
  <c r="R41" i="7" s="1"/>
  <c r="P731" i="7"/>
  <c r="R731" i="7" s="1"/>
  <c r="P461" i="7"/>
  <c r="R461" i="7" s="1"/>
  <c r="W46" i="7"/>
  <c r="W50" i="7" s="1"/>
  <c r="U762" i="7"/>
  <c r="U763" i="7" s="1"/>
  <c r="P514" i="7"/>
  <c r="R514" i="7" s="1"/>
  <c r="W196" i="7"/>
  <c r="W200" i="7" s="1"/>
  <c r="P492" i="7"/>
  <c r="R492" i="7" s="1"/>
  <c r="W677" i="7"/>
  <c r="W681" i="7" s="1"/>
  <c r="W195" i="7"/>
  <c r="W199" i="7" s="1"/>
  <c r="P304" i="7"/>
  <c r="R304" i="7" s="1"/>
  <c r="N572" i="7"/>
  <c r="P132" i="7"/>
  <c r="R132" i="7" s="1"/>
  <c r="N586" i="7"/>
  <c r="AA586" i="7" s="1"/>
  <c r="P693" i="7"/>
  <c r="R693" i="7" s="1"/>
  <c r="P251" i="7"/>
  <c r="R251" i="7" s="1"/>
  <c r="P364" i="7"/>
  <c r="R364" i="7" s="1"/>
  <c r="U37" i="7"/>
  <c r="L37" i="7"/>
  <c r="N37" i="7" s="1"/>
  <c r="U70" i="7"/>
  <c r="L70" i="7"/>
  <c r="N70" i="7" s="1"/>
  <c r="F73" i="7"/>
  <c r="J675" i="7"/>
  <c r="L675" i="7"/>
  <c r="L672" i="7"/>
  <c r="N672" i="7" s="1"/>
  <c r="U672" i="7"/>
  <c r="U673" i="7" s="1"/>
  <c r="L46" i="7"/>
  <c r="J46" i="7"/>
  <c r="J617" i="7"/>
  <c r="L617" i="7"/>
  <c r="L544" i="7"/>
  <c r="N544" i="7" s="1"/>
  <c r="U544" i="7"/>
  <c r="U545" i="7" s="1"/>
  <c r="J111" i="7"/>
  <c r="J110" i="7"/>
  <c r="J109" i="7"/>
  <c r="L647" i="7"/>
  <c r="J647" i="7"/>
  <c r="W707" i="7"/>
  <c r="W711" i="7" s="1"/>
  <c r="L677" i="7"/>
  <c r="J677" i="7"/>
  <c r="L406" i="7"/>
  <c r="J406" i="7"/>
  <c r="J615" i="7"/>
  <c r="L615" i="7"/>
  <c r="P633" i="7"/>
  <c r="R633" i="7" s="1"/>
  <c r="L184" i="7"/>
  <c r="N184" i="7" s="1"/>
  <c r="U184" i="7"/>
  <c r="U185" i="7" s="1"/>
  <c r="U694" i="7"/>
  <c r="U695" i="7" s="1"/>
  <c r="L694" i="7"/>
  <c r="N694" i="7" s="1"/>
  <c r="J169" i="7"/>
  <c r="J170" i="7"/>
  <c r="J171" i="7"/>
  <c r="P663" i="7"/>
  <c r="R663" i="7" s="1"/>
  <c r="W497" i="7"/>
  <c r="W501" i="7" s="1"/>
  <c r="D365" i="7"/>
  <c r="P362" i="7"/>
  <c r="R362" i="7" s="1"/>
  <c r="J375" i="7"/>
  <c r="L375" i="7"/>
  <c r="L277" i="7"/>
  <c r="N277" i="7" s="1"/>
  <c r="U277" i="7"/>
  <c r="J470" i="7"/>
  <c r="J469" i="7"/>
  <c r="J471" i="7"/>
  <c r="L135" i="7"/>
  <c r="J135" i="7"/>
  <c r="J465" i="7"/>
  <c r="L465" i="7"/>
  <c r="L602" i="7"/>
  <c r="N602" i="7" s="1"/>
  <c r="F605" i="7"/>
  <c r="U602" i="7"/>
  <c r="J461" i="7"/>
  <c r="N461" i="7" s="1"/>
  <c r="N453" i="7"/>
  <c r="L467" i="7"/>
  <c r="J467" i="7"/>
  <c r="P393" i="7"/>
  <c r="R393" i="7" s="1"/>
  <c r="U542" i="7"/>
  <c r="L542" i="7"/>
  <c r="N542" i="7" s="1"/>
  <c r="F545" i="7"/>
  <c r="N183" i="7"/>
  <c r="J191" i="7"/>
  <c r="N191" i="7" s="1"/>
  <c r="P94" i="7"/>
  <c r="R94" i="7" s="1"/>
  <c r="P311" i="7"/>
  <c r="R311" i="7" s="1"/>
  <c r="L312" i="7"/>
  <c r="N312" i="7" s="1"/>
  <c r="U312" i="7"/>
  <c r="U313" i="7" s="1"/>
  <c r="U310" i="7"/>
  <c r="F313" i="7"/>
  <c r="L310" i="7"/>
  <c r="N310" i="7" s="1"/>
  <c r="F515" i="7"/>
  <c r="U512" i="7"/>
  <c r="L512" i="7"/>
  <c r="N512" i="7" s="1"/>
  <c r="P520" i="7"/>
  <c r="R520" i="7" s="1"/>
  <c r="D523" i="7"/>
  <c r="W523" i="7" s="1"/>
  <c r="P42" i="7"/>
  <c r="R42" i="7" s="1"/>
  <c r="W375" i="7"/>
  <c r="W379" i="7" s="1"/>
  <c r="P732" i="7"/>
  <c r="R732" i="7" s="1"/>
  <c r="J737" i="7"/>
  <c r="L737" i="7"/>
  <c r="F133" i="7"/>
  <c r="U130" i="7"/>
  <c r="L130" i="7"/>
  <c r="N130" i="7" s="1"/>
  <c r="P131" i="7"/>
  <c r="R131" i="7" s="1"/>
  <c r="L466" i="7"/>
  <c r="J466" i="7"/>
  <c r="J405" i="7"/>
  <c r="L405" i="7"/>
  <c r="U607" i="7"/>
  <c r="L607" i="7"/>
  <c r="N607" i="7" s="1"/>
  <c r="L604" i="7"/>
  <c r="N604" i="7" s="1"/>
  <c r="U604" i="7"/>
  <c r="U605" i="7" s="1"/>
  <c r="D553" i="7"/>
  <c r="W553" i="7" s="1"/>
  <c r="P550" i="7"/>
  <c r="R550" i="7" s="1"/>
  <c r="P490" i="7"/>
  <c r="R490" i="7" s="1"/>
  <c r="D493" i="7"/>
  <c r="W493" i="7" s="1"/>
  <c r="P491" i="7"/>
  <c r="R491" i="7" s="1"/>
  <c r="J201" i="7"/>
  <c r="J200" i="7"/>
  <c r="J199" i="7"/>
  <c r="P702" i="7"/>
  <c r="R702" i="7" s="1"/>
  <c r="P694" i="7"/>
  <c r="R694" i="7" s="1"/>
  <c r="U247" i="7"/>
  <c r="L247" i="7"/>
  <c r="N247" i="7" s="1"/>
  <c r="W575" i="7"/>
  <c r="Y589" i="7"/>
  <c r="Y591" i="7"/>
  <c r="Y590" i="7"/>
  <c r="L342" i="7"/>
  <c r="N342" i="7" s="1"/>
  <c r="U342" i="7"/>
  <c r="U343" i="7" s="1"/>
  <c r="P332" i="7"/>
  <c r="R332" i="7" s="1"/>
  <c r="D335" i="7"/>
  <c r="N393" i="7"/>
  <c r="J401" i="7"/>
  <c r="N401" i="7" s="1"/>
  <c r="U222" i="7"/>
  <c r="U223" i="7" s="1"/>
  <c r="L222" i="7"/>
  <c r="N222" i="7" s="1"/>
  <c r="J491" i="7"/>
  <c r="N491" i="7" s="1"/>
  <c r="N483" i="7"/>
  <c r="U662" i="7"/>
  <c r="L662" i="7"/>
  <c r="N662" i="7" s="1"/>
  <c r="F665" i="7"/>
  <c r="P672" i="7"/>
  <c r="R672" i="7" s="1"/>
  <c r="P363" i="7"/>
  <c r="R363" i="7" s="1"/>
  <c r="J641" i="7"/>
  <c r="N641" i="7" s="1"/>
  <c r="N633" i="7"/>
  <c r="F275" i="7"/>
  <c r="L272" i="7"/>
  <c r="N272" i="7" s="1"/>
  <c r="U272" i="7"/>
  <c r="P452" i="7"/>
  <c r="R452" i="7" s="1"/>
  <c r="D455" i="7"/>
  <c r="J315" i="7"/>
  <c r="L315" i="7"/>
  <c r="L136" i="7"/>
  <c r="J136" i="7"/>
  <c r="L556" i="7"/>
  <c r="J556" i="7"/>
  <c r="U192" i="7"/>
  <c r="U193" i="7" s="1"/>
  <c r="L192" i="7"/>
  <c r="N192" i="7" s="1"/>
  <c r="L255" i="7"/>
  <c r="J255" i="7"/>
  <c r="L162" i="7"/>
  <c r="N162" i="7" s="1"/>
  <c r="U162" i="7"/>
  <c r="U163" i="7" s="1"/>
  <c r="J226" i="7"/>
  <c r="L226" i="7"/>
  <c r="F365" i="7"/>
  <c r="U362" i="7"/>
  <c r="L362" i="7"/>
  <c r="N362" i="7" s="1"/>
  <c r="U274" i="7"/>
  <c r="U275" i="7" s="1"/>
  <c r="L274" i="7"/>
  <c r="N274" i="7" s="1"/>
  <c r="J317" i="7"/>
  <c r="L317" i="7"/>
  <c r="P33" i="7"/>
  <c r="R33" i="7" s="1"/>
  <c r="L727" i="7"/>
  <c r="N727" i="7" s="1"/>
  <c r="P727" i="7" s="1"/>
  <c r="R727" i="7" s="1"/>
  <c r="U727" i="7"/>
  <c r="P723" i="7"/>
  <c r="R723" i="7" s="1"/>
  <c r="P462" i="7"/>
  <c r="R462" i="7" s="1"/>
  <c r="L394" i="7"/>
  <c r="N394" i="7" s="1"/>
  <c r="U394" i="7"/>
  <c r="U395" i="7" s="1"/>
  <c r="J557" i="7"/>
  <c r="L557" i="7"/>
  <c r="N123" i="7"/>
  <c r="J131" i="7"/>
  <c r="N131" i="7" s="1"/>
  <c r="U490" i="7"/>
  <c r="F493" i="7"/>
  <c r="L490" i="7"/>
  <c r="N490" i="7" s="1"/>
  <c r="L645" i="7"/>
  <c r="J645" i="7"/>
  <c r="L190" i="7"/>
  <c r="N190" i="7" s="1"/>
  <c r="F193" i="7"/>
  <c r="U190" i="7"/>
  <c r="J77" i="7"/>
  <c r="L77" i="7"/>
  <c r="F65" i="7"/>
  <c r="U62" i="7"/>
  <c r="L62" i="7"/>
  <c r="N62" i="7" s="1"/>
  <c r="J701" i="7"/>
  <c r="N701" i="7" s="1"/>
  <c r="N693" i="7"/>
  <c r="D695" i="7"/>
  <c r="P692" i="7"/>
  <c r="R692" i="7" s="1"/>
  <c r="P252" i="7"/>
  <c r="R252" i="7" s="1"/>
  <c r="J351" i="7"/>
  <c r="J350" i="7"/>
  <c r="J349" i="7"/>
  <c r="L346" i="7"/>
  <c r="J346" i="7"/>
  <c r="P154" i="7"/>
  <c r="R154" i="7" s="1"/>
  <c r="L214" i="7"/>
  <c r="N214" i="7" s="1"/>
  <c r="U214" i="7"/>
  <c r="U215" i="7" s="1"/>
  <c r="P670" i="7"/>
  <c r="R670" i="7" s="1"/>
  <c r="D673" i="7"/>
  <c r="W673" i="7" s="1"/>
  <c r="L367" i="7"/>
  <c r="N367" i="7" s="1"/>
  <c r="U367" i="7"/>
  <c r="J285" i="7"/>
  <c r="L285" i="7"/>
  <c r="U102" i="7"/>
  <c r="U103" i="7" s="1"/>
  <c r="L102" i="7"/>
  <c r="N102" i="7" s="1"/>
  <c r="D313" i="7"/>
  <c r="W313" i="7" s="1"/>
  <c r="P310" i="7"/>
  <c r="R310" i="7" s="1"/>
  <c r="N363" i="7"/>
  <c r="J371" i="7"/>
  <c r="N371" i="7" s="1"/>
  <c r="D613" i="7"/>
  <c r="W613" i="7" s="1"/>
  <c r="P610" i="7"/>
  <c r="R610" i="7" s="1"/>
  <c r="P342" i="7"/>
  <c r="R342" i="7" s="1"/>
  <c r="U332" i="7"/>
  <c r="F335" i="7"/>
  <c r="L332" i="7"/>
  <c r="N332" i="7" s="1"/>
  <c r="W557" i="7"/>
  <c r="W561" i="7" s="1"/>
  <c r="F155" i="7"/>
  <c r="L152" i="7"/>
  <c r="N152" i="7" s="1"/>
  <c r="U152" i="7"/>
  <c r="U212" i="7"/>
  <c r="F215" i="7"/>
  <c r="L212" i="7"/>
  <c r="N212" i="7" s="1"/>
  <c r="W616" i="7"/>
  <c r="W620" i="7" s="1"/>
  <c r="P273" i="7"/>
  <c r="R273" i="7" s="1"/>
  <c r="L304" i="7"/>
  <c r="N304" i="7" s="1"/>
  <c r="U304" i="7"/>
  <c r="U305" i="7" s="1"/>
  <c r="L517" i="7"/>
  <c r="N517" i="7" s="1"/>
  <c r="U517" i="7"/>
  <c r="L527" i="7"/>
  <c r="J527" i="7"/>
  <c r="W346" i="7"/>
  <c r="W350" i="7" s="1"/>
  <c r="D43" i="7"/>
  <c r="W43" i="7" s="1"/>
  <c r="P40" i="7"/>
  <c r="R40" i="7" s="1"/>
  <c r="N663" i="7"/>
  <c r="J671" i="7"/>
  <c r="N671" i="7" s="1"/>
  <c r="U122" i="7"/>
  <c r="F125" i="7"/>
  <c r="L122" i="7"/>
  <c r="N122" i="7" s="1"/>
  <c r="W105" i="7"/>
  <c r="W109" i="7" s="1"/>
  <c r="J407" i="7"/>
  <c r="L407" i="7"/>
  <c r="J555" i="7"/>
  <c r="L555" i="7"/>
  <c r="W47" i="7"/>
  <c r="W51" i="7" s="1"/>
  <c r="P482" i="7"/>
  <c r="R482" i="7" s="1"/>
  <c r="D485" i="7"/>
  <c r="L97" i="7"/>
  <c r="N97" i="7" s="1"/>
  <c r="U97" i="7"/>
  <c r="U637" i="7"/>
  <c r="L637" i="7"/>
  <c r="N637" i="7" s="1"/>
  <c r="L182" i="7"/>
  <c r="N182" i="7" s="1"/>
  <c r="U182" i="7"/>
  <c r="F185" i="7"/>
  <c r="P70" i="7"/>
  <c r="R70" i="7" s="1"/>
  <c r="D73" i="7"/>
  <c r="W73" i="7" s="1"/>
  <c r="J221" i="7"/>
  <c r="N221" i="7" s="1"/>
  <c r="N213" i="7"/>
  <c r="L700" i="7"/>
  <c r="N700" i="7" s="1"/>
  <c r="U700" i="7"/>
  <c r="F703" i="7"/>
  <c r="J259" i="7"/>
  <c r="J261" i="7"/>
  <c r="J260" i="7"/>
  <c r="P334" i="7"/>
  <c r="R334" i="7" s="1"/>
  <c r="P214" i="7"/>
  <c r="R214" i="7" s="1"/>
  <c r="J680" i="7"/>
  <c r="J681" i="7"/>
  <c r="J679" i="7"/>
  <c r="P280" i="7"/>
  <c r="R280" i="7" s="1"/>
  <c r="D283" i="7"/>
  <c r="W283" i="7" s="1"/>
  <c r="L280" i="7"/>
  <c r="N280" i="7" s="1"/>
  <c r="U280" i="7"/>
  <c r="F283" i="7"/>
  <c r="J529" i="7"/>
  <c r="J530" i="7"/>
  <c r="J531" i="7"/>
  <c r="L702" i="7"/>
  <c r="N702" i="7" s="1"/>
  <c r="U702" i="7"/>
  <c r="U703" i="7" s="1"/>
  <c r="U547" i="7"/>
  <c r="L547" i="7"/>
  <c r="N547" i="7" s="1"/>
  <c r="P547" i="7" s="1"/>
  <c r="R547" i="7" s="1"/>
  <c r="J501" i="7"/>
  <c r="J499" i="7"/>
  <c r="J500" i="7"/>
  <c r="L165" i="7"/>
  <c r="J165" i="7"/>
  <c r="P272" i="7"/>
  <c r="R272" i="7" s="1"/>
  <c r="D275" i="7"/>
  <c r="U127" i="7"/>
  <c r="L127" i="7"/>
  <c r="N127" i="7" s="1"/>
  <c r="J495" i="7"/>
  <c r="L495" i="7"/>
  <c r="F635" i="7"/>
  <c r="U632" i="7"/>
  <c r="L632" i="7"/>
  <c r="N632" i="7" s="1"/>
  <c r="J80" i="7"/>
  <c r="J81" i="7"/>
  <c r="J79" i="7"/>
  <c r="D245" i="7"/>
  <c r="P242" i="7"/>
  <c r="R242" i="7" s="1"/>
  <c r="P662" i="7"/>
  <c r="R662" i="7" s="1"/>
  <c r="D665" i="7"/>
  <c r="P603" i="7"/>
  <c r="R603" i="7" s="1"/>
  <c r="D703" i="7"/>
  <c r="W703" i="7" s="1"/>
  <c r="P700" i="7"/>
  <c r="R700" i="7" s="1"/>
  <c r="N333" i="7"/>
  <c r="J341" i="7"/>
  <c r="N341" i="7" s="1"/>
  <c r="P152" i="7"/>
  <c r="R152" i="7" s="1"/>
  <c r="D155" i="7"/>
  <c r="L195" i="7"/>
  <c r="J195" i="7"/>
  <c r="P303" i="7"/>
  <c r="R303" i="7" s="1"/>
  <c r="L34" i="7"/>
  <c r="N34" i="7" s="1"/>
  <c r="U34" i="7"/>
  <c r="U35" i="7" s="1"/>
  <c r="D133" i="7"/>
  <c r="W133" i="7" s="1"/>
  <c r="P130" i="7"/>
  <c r="R130" i="7" s="1"/>
  <c r="P394" i="7"/>
  <c r="R394" i="7" s="1"/>
  <c r="P484" i="7"/>
  <c r="R484" i="7" s="1"/>
  <c r="P640" i="7"/>
  <c r="R640" i="7" s="1"/>
  <c r="D643" i="7"/>
  <c r="W643" i="7" s="1"/>
  <c r="D193" i="7"/>
  <c r="W193" i="7" s="1"/>
  <c r="P190" i="7"/>
  <c r="R190" i="7" s="1"/>
  <c r="U242" i="7"/>
  <c r="F245" i="7"/>
  <c r="L242" i="7"/>
  <c r="N242" i="7" s="1"/>
  <c r="W345" i="7"/>
  <c r="W349" i="7" s="1"/>
  <c r="N723" i="7"/>
  <c r="J731" i="7"/>
  <c r="N731" i="7" s="1"/>
  <c r="J650" i="7"/>
  <c r="J651" i="7"/>
  <c r="J649" i="7"/>
  <c r="J197" i="7"/>
  <c r="L197" i="7"/>
  <c r="J41" i="7"/>
  <c r="N41" i="7" s="1"/>
  <c r="N33" i="7"/>
  <c r="L347" i="7"/>
  <c r="J347" i="7"/>
  <c r="P513" i="7"/>
  <c r="R513" i="7" s="1"/>
  <c r="F463" i="7"/>
  <c r="U460" i="7"/>
  <c r="L460" i="7"/>
  <c r="N460" i="7" s="1"/>
  <c r="N63" i="7"/>
  <c r="J71" i="7"/>
  <c r="N71" i="7" s="1"/>
  <c r="N582" i="7"/>
  <c r="D95" i="7"/>
  <c r="P92" i="7"/>
  <c r="R92" i="7" s="1"/>
  <c r="J106" i="7"/>
  <c r="L106" i="7"/>
  <c r="P641" i="7"/>
  <c r="R641" i="7" s="1"/>
  <c r="P191" i="7"/>
  <c r="R191" i="7" s="1"/>
  <c r="L64" i="7"/>
  <c r="N64" i="7" s="1"/>
  <c r="U64" i="7"/>
  <c r="U65" i="7" s="1"/>
  <c r="P243" i="7"/>
  <c r="R243" i="7" s="1"/>
  <c r="W315" i="7"/>
  <c r="W319" i="7" s="1"/>
  <c r="W285" i="7"/>
  <c r="W289" i="7" s="1"/>
  <c r="J161" i="7"/>
  <c r="N161" i="7" s="1"/>
  <c r="N153" i="7"/>
  <c r="L132" i="7"/>
  <c r="N132" i="7" s="1"/>
  <c r="U132" i="7"/>
  <c r="U133" i="7" s="1"/>
  <c r="L667" i="7"/>
  <c r="N667" i="7" s="1"/>
  <c r="U667" i="7"/>
  <c r="L706" i="7"/>
  <c r="J706" i="7"/>
  <c r="L45" i="7"/>
  <c r="J45" i="7"/>
  <c r="P124" i="7"/>
  <c r="R124" i="7" s="1"/>
  <c r="J251" i="7"/>
  <c r="N251" i="7" s="1"/>
  <c r="N243" i="7"/>
  <c r="D65" i="7"/>
  <c r="P62" i="7"/>
  <c r="R62" i="7" s="1"/>
  <c r="L282" i="7"/>
  <c r="N282" i="7" s="1"/>
  <c r="U282" i="7"/>
  <c r="U283" i="7" s="1"/>
  <c r="L487" i="7"/>
  <c r="N487" i="7" s="1"/>
  <c r="U487" i="7"/>
  <c r="P101" i="7"/>
  <c r="R101" i="7" s="1"/>
  <c r="L250" i="7"/>
  <c r="N250" i="7" s="1"/>
  <c r="U250" i="7"/>
  <c r="F253" i="7"/>
  <c r="W555" i="7"/>
  <c r="W559" i="7" s="1"/>
  <c r="P161" i="7"/>
  <c r="R161" i="7" s="1"/>
  <c r="P512" i="7"/>
  <c r="R512" i="7" s="1"/>
  <c r="D515" i="7"/>
  <c r="U732" i="7"/>
  <c r="U733" i="7" s="1"/>
  <c r="L732" i="7"/>
  <c r="N732" i="7" s="1"/>
  <c r="L76" i="7"/>
  <c r="J76" i="7"/>
  <c r="F35" i="7"/>
  <c r="L32" i="7"/>
  <c r="N32" i="7" s="1"/>
  <c r="U32" i="7"/>
  <c r="L736" i="7"/>
  <c r="J736" i="7"/>
  <c r="U397" i="7"/>
  <c r="L397" i="7"/>
  <c r="N397" i="7" s="1"/>
  <c r="L634" i="7"/>
  <c r="N634" i="7" s="1"/>
  <c r="U634" i="7"/>
  <c r="U635" i="7" s="1"/>
  <c r="L522" i="7"/>
  <c r="N522" i="7" s="1"/>
  <c r="U522" i="7"/>
  <c r="U523" i="7" s="1"/>
  <c r="W106" i="7"/>
  <c r="W110" i="7" s="1"/>
  <c r="L482" i="7"/>
  <c r="N482" i="7" s="1"/>
  <c r="F485" i="7"/>
  <c r="U482" i="7"/>
  <c r="L75" i="7"/>
  <c r="J75" i="7"/>
  <c r="F163" i="7"/>
  <c r="L160" i="7"/>
  <c r="N160" i="7" s="1"/>
  <c r="U160" i="7"/>
  <c r="P220" i="7"/>
  <c r="R220" i="7" s="1"/>
  <c r="D223" i="7"/>
  <c r="W223" i="7" s="1"/>
  <c r="P372" i="7"/>
  <c r="R372" i="7" s="1"/>
  <c r="J290" i="7"/>
  <c r="J289" i="7"/>
  <c r="J291" i="7"/>
  <c r="L316" i="7"/>
  <c r="J316" i="7"/>
  <c r="L525" i="7"/>
  <c r="J525" i="7"/>
  <c r="J560" i="7"/>
  <c r="J559" i="7"/>
  <c r="J561" i="7"/>
  <c r="U302" i="7"/>
  <c r="L302" i="7"/>
  <c r="N302" i="7" s="1"/>
  <c r="F305" i="7"/>
  <c r="W467" i="7"/>
  <c r="W471" i="7" s="1"/>
  <c r="U514" i="7"/>
  <c r="U515" i="7" s="1"/>
  <c r="L514" i="7"/>
  <c r="N514" i="7" s="1"/>
  <c r="W735" i="7"/>
  <c r="W739" i="7" s="1"/>
  <c r="W736" i="7"/>
  <c r="W740" i="7" s="1"/>
  <c r="W737" i="7"/>
  <c r="W741" i="7" s="1"/>
  <c r="U724" i="7"/>
  <c r="U725" i="7" s="1"/>
  <c r="L724" i="7"/>
  <c r="N724" i="7" s="1"/>
  <c r="L722" i="7"/>
  <c r="N722" i="7" s="1"/>
  <c r="F725" i="7"/>
  <c r="U722" i="7"/>
  <c r="P122" i="7"/>
  <c r="R122" i="7" s="1"/>
  <c r="D125" i="7"/>
  <c r="J141" i="7"/>
  <c r="J140" i="7"/>
  <c r="J139" i="7"/>
  <c r="W75" i="7"/>
  <c r="W79" i="7" s="1"/>
  <c r="P460" i="7"/>
  <c r="R460" i="7" s="1"/>
  <c r="D463" i="7"/>
  <c r="W463" i="7" s="1"/>
  <c r="U392" i="7"/>
  <c r="L392" i="7"/>
  <c r="N392" i="7" s="1"/>
  <c r="F395" i="7"/>
  <c r="P604" i="7"/>
  <c r="R604" i="7" s="1"/>
  <c r="P543" i="7"/>
  <c r="R543" i="7" s="1"/>
  <c r="P544" i="7"/>
  <c r="R544" i="7" s="1"/>
  <c r="L484" i="7"/>
  <c r="N484" i="7" s="1"/>
  <c r="U484" i="7"/>
  <c r="U485" i="7" s="1"/>
  <c r="N573" i="7"/>
  <c r="J581" i="7"/>
  <c r="N581" i="7" s="1"/>
  <c r="P63" i="7"/>
  <c r="R63" i="7" s="1"/>
  <c r="J710" i="7"/>
  <c r="J711" i="7"/>
  <c r="J709" i="7"/>
  <c r="U697" i="7"/>
  <c r="L697" i="7"/>
  <c r="N697" i="7" s="1"/>
  <c r="P250" i="7"/>
  <c r="R250" i="7" s="1"/>
  <c r="D253" i="7"/>
  <c r="W253" i="7" s="1"/>
  <c r="U334" i="7"/>
  <c r="U335" i="7" s="1"/>
  <c r="L334" i="7"/>
  <c r="N334" i="7" s="1"/>
  <c r="P340" i="7"/>
  <c r="R340" i="7" s="1"/>
  <c r="D343" i="7"/>
  <c r="W343" i="7" s="1"/>
  <c r="J166" i="7"/>
  <c r="L166" i="7"/>
  <c r="L225" i="7"/>
  <c r="J225" i="7"/>
  <c r="P212" i="7"/>
  <c r="R212" i="7" s="1"/>
  <c r="D215" i="7"/>
  <c r="W286" i="7"/>
  <c r="W290" i="7" s="1"/>
  <c r="L664" i="7"/>
  <c r="N664" i="7" s="1"/>
  <c r="U664" i="7"/>
  <c r="U665" i="7" s="1"/>
  <c r="P370" i="7"/>
  <c r="R370" i="7" s="1"/>
  <c r="D373" i="7"/>
  <c r="W373" i="7" s="1"/>
  <c r="J287" i="7"/>
  <c r="L287" i="7"/>
  <c r="J311" i="7"/>
  <c r="N311" i="7" s="1"/>
  <c r="N303" i="7"/>
  <c r="P182" i="7"/>
  <c r="R182" i="7" s="1"/>
  <c r="D185" i="7"/>
  <c r="U244" i="7"/>
  <c r="U245" i="7" s="1"/>
  <c r="L244" i="7"/>
  <c r="N244" i="7" s="1"/>
  <c r="F43" i="7"/>
  <c r="U40" i="7"/>
  <c r="L40" i="7"/>
  <c r="N40" i="7" s="1"/>
  <c r="L612" i="7"/>
  <c r="N612" i="7" s="1"/>
  <c r="U612" i="7"/>
  <c r="U613" i="7" s="1"/>
  <c r="P100" i="7"/>
  <c r="R100" i="7" s="1"/>
  <c r="D103" i="7"/>
  <c r="W103" i="7" s="1"/>
  <c r="J107" i="7"/>
  <c r="L107" i="7"/>
  <c r="J256" i="7"/>
  <c r="L256" i="7"/>
  <c r="W705" i="7"/>
  <c r="W709" i="7" s="1"/>
  <c r="U520" i="7"/>
  <c r="F523" i="7"/>
  <c r="L520" i="7"/>
  <c r="N520" i="7" s="1"/>
  <c r="J51" i="7"/>
  <c r="J50" i="7"/>
  <c r="J49" i="7"/>
  <c r="D395" i="7"/>
  <c r="P392" i="7"/>
  <c r="R392" i="7" s="1"/>
  <c r="U492" i="7"/>
  <c r="U493" i="7" s="1"/>
  <c r="L492" i="7"/>
  <c r="N492" i="7" s="1"/>
  <c r="U72" i="7"/>
  <c r="U73" i="7" s="1"/>
  <c r="L72" i="7"/>
  <c r="N72" i="7" s="1"/>
  <c r="L364" i="7"/>
  <c r="N364" i="7" s="1"/>
  <c r="U364" i="7"/>
  <c r="U365" i="7" s="1"/>
  <c r="J410" i="7"/>
  <c r="J409" i="7"/>
  <c r="J411" i="7"/>
  <c r="P153" i="7"/>
  <c r="R153" i="7" s="1"/>
  <c r="J230" i="7"/>
  <c r="J229" i="7"/>
  <c r="J231" i="7"/>
  <c r="U100" i="7"/>
  <c r="F103" i="7"/>
  <c r="L100" i="7"/>
  <c r="N100" i="7" s="1"/>
  <c r="P632" i="7"/>
  <c r="R632" i="7" s="1"/>
  <c r="D635" i="7"/>
  <c r="P701" i="7"/>
  <c r="R701" i="7" s="1"/>
  <c r="W465" i="7"/>
  <c r="W469" i="7" s="1"/>
  <c r="P453" i="7"/>
  <c r="R453" i="7" s="1"/>
  <c r="P542" i="7"/>
  <c r="R542" i="7" s="1"/>
  <c r="D545" i="7"/>
  <c r="J497" i="7"/>
  <c r="L497" i="7"/>
  <c r="P222" i="7"/>
  <c r="R222" i="7" s="1"/>
  <c r="J377" i="7"/>
  <c r="L377" i="7"/>
  <c r="P274" i="7"/>
  <c r="R274" i="7" s="1"/>
  <c r="L616" i="7"/>
  <c r="J616" i="7"/>
  <c r="D305" i="7"/>
  <c r="P302" i="7"/>
  <c r="R302" i="7" s="1"/>
  <c r="L526" i="7"/>
  <c r="J526" i="7"/>
  <c r="L42" i="7"/>
  <c r="N42" i="7" s="1"/>
  <c r="U42" i="7"/>
  <c r="U43" i="7" s="1"/>
  <c r="L735" i="7"/>
  <c r="J735" i="7"/>
  <c r="F733" i="7"/>
  <c r="U730" i="7"/>
  <c r="L730" i="7"/>
  <c r="N730" i="7" s="1"/>
  <c r="L137" i="7"/>
  <c r="J137" i="7"/>
  <c r="W76" i="7"/>
  <c r="W80" i="7" s="1"/>
  <c r="L452" i="7"/>
  <c r="N452" i="7" s="1"/>
  <c r="U452" i="7"/>
  <c r="F455" i="7"/>
  <c r="L402" i="7"/>
  <c r="N402" i="7" s="1"/>
  <c r="U402" i="7"/>
  <c r="U403" i="7" s="1"/>
  <c r="P611" i="7"/>
  <c r="R611" i="7" s="1"/>
  <c r="P552" i="7"/>
  <c r="R552" i="7" s="1"/>
  <c r="N580" i="7"/>
  <c r="U94" i="7"/>
  <c r="U95" i="7" s="1"/>
  <c r="L94" i="7"/>
  <c r="N94" i="7" s="1"/>
  <c r="L640" i="7"/>
  <c r="N640" i="7" s="1"/>
  <c r="F643" i="7"/>
  <c r="U640" i="7"/>
  <c r="P183" i="7"/>
  <c r="R183" i="7" s="1"/>
  <c r="L67" i="7"/>
  <c r="N67" i="7" s="1"/>
  <c r="P67" i="7" s="1"/>
  <c r="R67" i="7" s="1"/>
  <c r="U67" i="7"/>
  <c r="J707" i="7"/>
  <c r="L707" i="7"/>
  <c r="P244" i="7"/>
  <c r="R244" i="7" s="1"/>
  <c r="U337" i="7"/>
  <c r="L337" i="7"/>
  <c r="N337" i="7" s="1"/>
  <c r="L157" i="7"/>
  <c r="N157" i="7" s="1"/>
  <c r="U157" i="7"/>
  <c r="P160" i="7"/>
  <c r="R160" i="7" s="1"/>
  <c r="D163" i="7"/>
  <c r="W163" i="7" s="1"/>
  <c r="L217" i="7"/>
  <c r="N217" i="7" s="1"/>
  <c r="U217" i="7"/>
  <c r="F373" i="7"/>
  <c r="L370" i="7"/>
  <c r="N370" i="7" s="1"/>
  <c r="U370" i="7"/>
  <c r="L454" i="7"/>
  <c r="N454" i="7" s="1"/>
  <c r="U454" i="7"/>
  <c r="U455" i="7" s="1"/>
  <c r="D605" i="7"/>
  <c r="P602" i="7"/>
  <c r="R602" i="7" s="1"/>
  <c r="L646" i="7"/>
  <c r="J646" i="7"/>
  <c r="U252" i="7"/>
  <c r="U253" i="7" s="1"/>
  <c r="L252" i="7"/>
  <c r="N252" i="7" s="1"/>
  <c r="U154" i="7"/>
  <c r="U155" i="7" s="1"/>
  <c r="L154" i="7"/>
  <c r="N154" i="7" s="1"/>
  <c r="L376" i="7"/>
  <c r="J376" i="7"/>
  <c r="U220" i="7"/>
  <c r="F223" i="7"/>
  <c r="L220" i="7"/>
  <c r="N220" i="7" s="1"/>
  <c r="U610" i="7"/>
  <c r="F613" i="7"/>
  <c r="L610" i="7"/>
  <c r="N610" i="7" s="1"/>
  <c r="U552" i="7"/>
  <c r="U553" i="7" s="1"/>
  <c r="L552" i="7"/>
  <c r="N552" i="7" s="1"/>
  <c r="J105" i="7"/>
  <c r="L105" i="7"/>
  <c r="U642" i="7"/>
  <c r="U643" i="7" s="1"/>
  <c r="L642" i="7"/>
  <c r="N642" i="7" s="1"/>
  <c r="L196" i="7"/>
  <c r="J196" i="7"/>
  <c r="N273" i="7"/>
  <c r="J281" i="7"/>
  <c r="N281" i="7" s="1"/>
  <c r="F695" i="7"/>
  <c r="U692" i="7"/>
  <c r="L692" i="7"/>
  <c r="N692" i="7" s="1"/>
  <c r="U124" i="7"/>
  <c r="U125" i="7" s="1"/>
  <c r="L124" i="7"/>
  <c r="N124" i="7" s="1"/>
  <c r="F403" i="7"/>
  <c r="U400" i="7"/>
  <c r="L400" i="7"/>
  <c r="N400" i="7" s="1"/>
  <c r="L372" i="7"/>
  <c r="N372" i="7" s="1"/>
  <c r="U372" i="7"/>
  <c r="U373" i="7" s="1"/>
  <c r="J321" i="7"/>
  <c r="J319" i="7"/>
  <c r="J320" i="7"/>
  <c r="L167" i="7"/>
  <c r="J167" i="7"/>
  <c r="J676" i="7"/>
  <c r="L676" i="7"/>
  <c r="J740" i="7"/>
  <c r="J741" i="7"/>
  <c r="J739" i="7"/>
  <c r="P402" i="7"/>
  <c r="R402" i="7" s="1"/>
  <c r="F95" i="7"/>
  <c r="L92" i="7"/>
  <c r="N92" i="7" s="1"/>
  <c r="U92" i="7"/>
  <c r="U187" i="7"/>
  <c r="L187" i="7"/>
  <c r="N187" i="7" s="1"/>
  <c r="J47" i="7"/>
  <c r="L47" i="7"/>
  <c r="J619" i="7"/>
  <c r="J620" i="7"/>
  <c r="J621" i="7"/>
  <c r="P102" i="7"/>
  <c r="R102" i="7" s="1"/>
  <c r="P312" i="7"/>
  <c r="R312" i="7" s="1"/>
  <c r="D733" i="7"/>
  <c r="W733" i="7" s="1"/>
  <c r="P730" i="7"/>
  <c r="R730" i="7" s="1"/>
  <c r="L307" i="7"/>
  <c r="N307" i="7" s="1"/>
  <c r="U307" i="7"/>
  <c r="P521" i="7"/>
  <c r="R521" i="7" s="1"/>
  <c r="P32" i="7"/>
  <c r="R32" i="7" s="1"/>
  <c r="D35" i="7"/>
  <c r="D725" i="7"/>
  <c r="P722" i="7"/>
  <c r="R722" i="7" s="1"/>
  <c r="N543" i="7"/>
  <c r="J551" i="7"/>
  <c r="N551" i="7" s="1"/>
  <c r="U457" i="7"/>
  <c r="L457" i="7"/>
  <c r="N457" i="7" s="1"/>
  <c r="L462" i="7"/>
  <c r="N462" i="7" s="1"/>
  <c r="U462" i="7"/>
  <c r="U463" i="7" s="1"/>
  <c r="D403" i="7"/>
  <c r="W403" i="7" s="1"/>
  <c r="P400" i="7"/>
  <c r="R400" i="7" s="1"/>
  <c r="F553" i="7"/>
  <c r="L550" i="7"/>
  <c r="N550" i="7" s="1"/>
  <c r="U550" i="7"/>
  <c r="N93" i="7"/>
  <c r="J101" i="7"/>
  <c r="N101" i="7" s="1"/>
  <c r="J496" i="7"/>
  <c r="L496" i="7"/>
  <c r="P71" i="7"/>
  <c r="R71" i="7" s="1"/>
  <c r="L705" i="7"/>
  <c r="J705" i="7"/>
  <c r="J257" i="7"/>
  <c r="L257" i="7"/>
  <c r="U340" i="7"/>
  <c r="F343" i="7"/>
  <c r="L340" i="7"/>
  <c r="N340" i="7" s="1"/>
  <c r="L345" i="7"/>
  <c r="J345" i="7"/>
  <c r="L227" i="7"/>
  <c r="J227" i="7"/>
  <c r="U670" i="7"/>
  <c r="L670" i="7"/>
  <c r="N670" i="7" s="1"/>
  <c r="F673" i="7"/>
  <c r="J379" i="7"/>
  <c r="J381" i="7"/>
  <c r="J380" i="7"/>
  <c r="J521" i="7"/>
  <c r="N521" i="7" s="1"/>
  <c r="N513" i="7"/>
  <c r="P281" i="7"/>
  <c r="R281" i="7" s="1"/>
  <c r="J286" i="7"/>
  <c r="L286" i="7"/>
  <c r="P792" i="7"/>
  <c r="R792" i="7" s="1"/>
  <c r="L801" i="7"/>
  <c r="P783" i="7"/>
  <c r="R783" i="7" s="1"/>
  <c r="L800" i="7"/>
  <c r="Y827" i="7"/>
  <c r="Y812" i="7"/>
  <c r="Y821" i="7"/>
  <c r="Y820" i="7"/>
  <c r="Y814" i="7"/>
  <c r="Y815" i="7" s="1"/>
  <c r="Y813" i="7"/>
  <c r="Y817" i="7"/>
  <c r="Y825" i="7"/>
  <c r="Y826" i="7"/>
  <c r="Y822" i="7"/>
  <c r="Y823" i="7" s="1"/>
  <c r="U792" i="7"/>
  <c r="U793" i="7" s="1"/>
  <c r="L792" i="7"/>
  <c r="B885" i="7"/>
  <c r="B874" i="7"/>
  <c r="B889" i="7"/>
  <c r="B873" i="7"/>
  <c r="B880" i="7"/>
  <c r="B872" i="7"/>
  <c r="B881" i="7"/>
  <c r="B891" i="7"/>
  <c r="B886" i="7"/>
  <c r="B875" i="7"/>
  <c r="B882" i="7"/>
  <c r="B895" i="7"/>
  <c r="B887" i="7"/>
  <c r="B883" i="7"/>
  <c r="B890" i="7"/>
  <c r="B877" i="7"/>
  <c r="J792" i="7"/>
  <c r="U782" i="7"/>
  <c r="F785" i="7"/>
  <c r="L782" i="7"/>
  <c r="N782" i="7" s="1"/>
  <c r="U784" i="7"/>
  <c r="U785" i="7" s="1"/>
  <c r="L784" i="7"/>
  <c r="N784" i="7" s="1"/>
  <c r="C865" i="7"/>
  <c r="A891" i="7"/>
  <c r="A886" i="7"/>
  <c r="A875" i="7"/>
  <c r="A882" i="7"/>
  <c r="A890" i="7"/>
  <c r="A895" i="7"/>
  <c r="A877" i="7"/>
  <c r="A889" i="7"/>
  <c r="A873" i="7"/>
  <c r="A885" i="7"/>
  <c r="A872" i="7"/>
  <c r="A887" i="7"/>
  <c r="A880" i="7"/>
  <c r="A883" i="7"/>
  <c r="A881" i="7"/>
  <c r="A874" i="7"/>
  <c r="L797" i="7"/>
  <c r="J797" i="7"/>
  <c r="J814" i="7"/>
  <c r="J822" i="7" s="1"/>
  <c r="J817" i="7"/>
  <c r="J813" i="7"/>
  <c r="J812" i="7"/>
  <c r="J791" i="7"/>
  <c r="N791" i="7" s="1"/>
  <c r="N783" i="7"/>
  <c r="L796" i="7"/>
  <c r="J796" i="7"/>
  <c r="U787" i="7"/>
  <c r="L787" i="7"/>
  <c r="N787" i="7" s="1"/>
  <c r="J801" i="7"/>
  <c r="J800" i="7"/>
  <c r="J799" i="7"/>
  <c r="L799" i="7"/>
  <c r="P784" i="7"/>
  <c r="R784" i="7" s="1"/>
  <c r="P790" i="7"/>
  <c r="R790" i="7" s="1"/>
  <c r="D793" i="7"/>
  <c r="W793" i="7" s="1"/>
  <c r="D785" i="7"/>
  <c r="P782" i="7"/>
  <c r="R782" i="7" s="1"/>
  <c r="D841" i="7"/>
  <c r="D840" i="7"/>
  <c r="D837" i="7"/>
  <c r="D839" i="7"/>
  <c r="D838" i="7"/>
  <c r="D835" i="7"/>
  <c r="P791" i="7"/>
  <c r="R791" i="7" s="1"/>
  <c r="N762" i="7"/>
  <c r="W795" i="7"/>
  <c r="W799" i="7" s="1"/>
  <c r="W796" i="7"/>
  <c r="W800" i="7" s="1"/>
  <c r="H825" i="7"/>
  <c r="H831" i="7"/>
  <c r="D820" i="7"/>
  <c r="D821" i="7"/>
  <c r="F830" i="7"/>
  <c r="U830" i="7" s="1"/>
  <c r="F831" i="7"/>
  <c r="U831" i="7" s="1"/>
  <c r="F825" i="7"/>
  <c r="U825" i="7" s="1"/>
  <c r="H827" i="7"/>
  <c r="D830" i="7"/>
  <c r="F827" i="7"/>
  <c r="U827" i="7" s="1"/>
  <c r="D825" i="7"/>
  <c r="F822" i="7"/>
  <c r="F821" i="7"/>
  <c r="U821" i="7" s="1"/>
  <c r="D827" i="7"/>
  <c r="F814" i="7"/>
  <c r="H826" i="7"/>
  <c r="G806" i="7"/>
  <c r="F826" i="7"/>
  <c r="U826" i="7" s="1"/>
  <c r="D831" i="7"/>
  <c r="D814" i="7"/>
  <c r="D822" i="7"/>
  <c r="D829" i="7"/>
  <c r="F812" i="7"/>
  <c r="F813" i="7"/>
  <c r="U813" i="7" s="1"/>
  <c r="D806" i="7"/>
  <c r="F820" i="7"/>
  <c r="F817" i="7"/>
  <c r="D813" i="7"/>
  <c r="D817" i="7"/>
  <c r="W817" i="7" s="1"/>
  <c r="D826" i="7"/>
  <c r="D812" i="7"/>
  <c r="H829" i="7"/>
  <c r="F829" i="7"/>
  <c r="U829" i="7" s="1"/>
  <c r="H830" i="7"/>
  <c r="U790" i="7"/>
  <c r="F793" i="7"/>
  <c r="L790" i="7"/>
  <c r="N790" i="7" s="1"/>
  <c r="L795" i="7"/>
  <c r="J795" i="7"/>
  <c r="W797" i="7"/>
  <c r="W801" i="7" s="1"/>
  <c r="N763" i="7" l="1"/>
  <c r="P763" i="7" s="1"/>
  <c r="R763" i="7" s="1"/>
  <c r="AA4969" i="7"/>
  <c r="AA5119" i="7"/>
  <c r="AA5959" i="7"/>
  <c r="AA6141" i="7"/>
  <c r="N35" i="7"/>
  <c r="N365" i="7"/>
  <c r="P365" i="7" s="1"/>
  <c r="R365" i="7" s="1"/>
  <c r="N373" i="7"/>
  <c r="N455" i="7"/>
  <c r="N463" i="7"/>
  <c r="N43" i="7"/>
  <c r="P43" i="7" s="1"/>
  <c r="R43" i="7" s="1"/>
  <c r="N305" i="7"/>
  <c r="AA5480" i="7"/>
  <c r="AA6199" i="7"/>
  <c r="AA5600" i="7"/>
  <c r="AA5990" i="7"/>
  <c r="AA6110" i="7"/>
  <c r="AA6125" i="7"/>
  <c r="AA6124" i="7" s="1"/>
  <c r="AA6200" i="7"/>
  <c r="AA5871" i="7"/>
  <c r="AA6081" i="7"/>
  <c r="AA5899" i="7"/>
  <c r="AA6079" i="7"/>
  <c r="AA5930" i="7"/>
  <c r="AA6169" i="7"/>
  <c r="AA5780" i="7"/>
  <c r="AA6051" i="7"/>
  <c r="AA6201" i="7"/>
  <c r="AA5660" i="7"/>
  <c r="AA5630" i="7"/>
  <c r="AA5989" i="7"/>
  <c r="AA5869" i="7"/>
  <c r="AA6193" i="7"/>
  <c r="AA6192" i="7" s="1"/>
  <c r="AA6187" i="7"/>
  <c r="AA6080" i="7"/>
  <c r="AA5960" i="7"/>
  <c r="AA6185" i="7"/>
  <c r="AA6170" i="7"/>
  <c r="AA6049" i="7"/>
  <c r="AA6140" i="7"/>
  <c r="AA6155" i="7"/>
  <c r="AA6154" i="7" s="1"/>
  <c r="AA6171" i="7"/>
  <c r="AA6109" i="7"/>
  <c r="AA5750" i="7"/>
  <c r="AA6020" i="7"/>
  <c r="AA5901" i="7"/>
  <c r="AA5689" i="7"/>
  <c r="AA6111" i="7"/>
  <c r="AA6021" i="7"/>
  <c r="AA5961" i="7"/>
  <c r="AA5599" i="7"/>
  <c r="AA6050" i="7"/>
  <c r="AA5811" i="7"/>
  <c r="AA5870" i="7"/>
  <c r="AA5779" i="7"/>
  <c r="AA5991" i="7"/>
  <c r="AA5929" i="7"/>
  <c r="AA5721" i="7"/>
  <c r="AA5839" i="7"/>
  <c r="AA5810" i="7"/>
  <c r="AA6019" i="7"/>
  <c r="AA5691" i="7"/>
  <c r="AA5751" i="7"/>
  <c r="AA5571" i="7"/>
  <c r="AA5900" i="7"/>
  <c r="AA5841" i="7"/>
  <c r="AA5781" i="7"/>
  <c r="AA5809" i="7"/>
  <c r="AA5631" i="7"/>
  <c r="AA5569" i="7"/>
  <c r="AA5840" i="7"/>
  <c r="AA5833" i="7"/>
  <c r="AA5830" i="7" s="1"/>
  <c r="AA5749" i="7"/>
  <c r="AA5659" i="7"/>
  <c r="AA5479" i="7"/>
  <c r="AA5719" i="7"/>
  <c r="AA5690" i="7"/>
  <c r="AA5720" i="7"/>
  <c r="AA5629" i="7"/>
  <c r="AA5661" i="7"/>
  <c r="AA5450" i="7"/>
  <c r="AA5390" i="7"/>
  <c r="AA5389" i="7"/>
  <c r="AA5211" i="7"/>
  <c r="AA5570" i="7"/>
  <c r="AA5539" i="7"/>
  <c r="AA5061" i="7"/>
  <c r="AA5540" i="7"/>
  <c r="AA5420" i="7"/>
  <c r="AA5391" i="7"/>
  <c r="AA4431" i="7"/>
  <c r="AA5541" i="7"/>
  <c r="AA5510" i="7"/>
  <c r="AA4371" i="7"/>
  <c r="AA5481" i="7"/>
  <c r="AA5239" i="7"/>
  <c r="AA5421" i="7"/>
  <c r="AA5241" i="7"/>
  <c r="AA5271" i="7"/>
  <c r="AA5509" i="7"/>
  <c r="AA591" i="7"/>
  <c r="AA4699" i="7"/>
  <c r="AA5360" i="7"/>
  <c r="AA4551" i="7"/>
  <c r="AA4939" i="7"/>
  <c r="AA5451" i="7"/>
  <c r="AA6163" i="7"/>
  <c r="AA6162" i="7" s="1"/>
  <c r="AA4759" i="7"/>
  <c r="AA5511" i="7"/>
  <c r="AA5001" i="7"/>
  <c r="AA5449" i="7"/>
  <c r="AA6157" i="7"/>
  <c r="AA4579" i="7"/>
  <c r="AA5240" i="7"/>
  <c r="AA4850" i="7"/>
  <c r="AA5361" i="7"/>
  <c r="AA4911" i="7"/>
  <c r="AA4491" i="7"/>
  <c r="AA590" i="7"/>
  <c r="AA5180" i="7"/>
  <c r="AA4400" i="7"/>
  <c r="N500" i="7"/>
  <c r="AA4550" i="7"/>
  <c r="AA4609" i="7"/>
  <c r="AA4311" i="7"/>
  <c r="AA6133" i="7"/>
  <c r="AA6130" i="7" s="1"/>
  <c r="AA4340" i="7"/>
  <c r="AA4370" i="7"/>
  <c r="AA5151" i="7"/>
  <c r="AA4489" i="7"/>
  <c r="AA4521" i="7"/>
  <c r="AA5359" i="7"/>
  <c r="AA4670" i="7"/>
  <c r="AA5179" i="7"/>
  <c r="AA4789" i="7"/>
  <c r="AA4971" i="7"/>
  <c r="AA5467" i="7"/>
  <c r="AA4723" i="7"/>
  <c r="AA4721" i="7" s="1"/>
  <c r="AA4429" i="7"/>
  <c r="AA589" i="7"/>
  <c r="AA5270" i="7"/>
  <c r="AA4879" i="7"/>
  <c r="AA4941" i="7"/>
  <c r="AA4542" i="7"/>
  <c r="AA4880" i="7"/>
  <c r="AA5300" i="7"/>
  <c r="AA4639" i="7"/>
  <c r="AA5301" i="7"/>
  <c r="AA6127" i="7"/>
  <c r="AA4987" i="7"/>
  <c r="AA5017" i="7"/>
  <c r="N709" i="7"/>
  <c r="AA4760" i="7"/>
  <c r="AA4731" i="7"/>
  <c r="AA4729" i="7"/>
  <c r="N740" i="7"/>
  <c r="AA5031" i="7"/>
  <c r="AA4341" i="7"/>
  <c r="AA4430" i="7"/>
  <c r="AA5383" i="7"/>
  <c r="AA5380" i="7" s="1"/>
  <c r="AA5407" i="7"/>
  <c r="AA5210" i="7"/>
  <c r="AA4519" i="7"/>
  <c r="AA5915" i="7"/>
  <c r="AA5913" i="7" s="1"/>
  <c r="AA4401" i="7"/>
  <c r="AA5059" i="7"/>
  <c r="AA5030" i="7"/>
  <c r="AA4791" i="7"/>
  <c r="AA4309" i="7"/>
  <c r="AA5173" i="7"/>
  <c r="AA5170" i="7" s="1"/>
  <c r="AA5677" i="7"/>
  <c r="AA5091" i="7"/>
  <c r="N470" i="7"/>
  <c r="AA4460" i="7"/>
  <c r="AA5137" i="7"/>
  <c r="AA4310" i="7"/>
  <c r="AA4295" i="7"/>
  <c r="AA4292" i="7" s="1"/>
  <c r="AA4369" i="7"/>
  <c r="AA5121" i="7"/>
  <c r="AA4520" i="7"/>
  <c r="AA5617" i="7"/>
  <c r="AA5209" i="7"/>
  <c r="AA4819" i="7"/>
  <c r="AA4641" i="7"/>
  <c r="AA5181" i="7"/>
  <c r="AA4730" i="7"/>
  <c r="AA5615" i="7"/>
  <c r="AA5613" i="7" s="1"/>
  <c r="AA4461" i="7"/>
  <c r="AA5855" i="7"/>
  <c r="AA5854" i="7" s="1"/>
  <c r="AA5285" i="7"/>
  <c r="AA5283" i="7" s="1"/>
  <c r="AA4597" i="7"/>
  <c r="AA5737" i="7"/>
  <c r="AA4940" i="7"/>
  <c r="AA4415" i="7"/>
  <c r="AA4414" i="7" s="1"/>
  <c r="AA4671" i="7"/>
  <c r="AA5885" i="7"/>
  <c r="AA5884" i="7" s="1"/>
  <c r="P5233" i="7"/>
  <c r="R5233" i="7" s="1"/>
  <c r="AA4873" i="7"/>
  <c r="AA4872" i="7" s="1"/>
  <c r="N765" i="7"/>
  <c r="AA765" i="7" s="1"/>
  <c r="AA5347" i="7"/>
  <c r="AA5353" i="7"/>
  <c r="AA5350" i="7" s="1"/>
  <c r="AA4387" i="7"/>
  <c r="AA4627" i="7"/>
  <c r="AA5377" i="7"/>
  <c r="AA5077" i="7"/>
  <c r="AA4567" i="7"/>
  <c r="AA4903" i="7"/>
  <c r="AA4900" i="7" s="1"/>
  <c r="AA4417" i="7"/>
  <c r="AA5269" i="7"/>
  <c r="AA5947" i="7"/>
  <c r="AA4909" i="7"/>
  <c r="AA4805" i="7"/>
  <c r="AA4803" i="7" s="1"/>
  <c r="AA5060" i="7"/>
  <c r="AA4459" i="7"/>
  <c r="AA5953" i="7"/>
  <c r="AA5952" i="7" s="1"/>
  <c r="AA4663" i="7"/>
  <c r="AA4660" i="7" s="1"/>
  <c r="AA6097" i="7"/>
  <c r="AA5437" i="7"/>
  <c r="P4895" i="7"/>
  <c r="R4895" i="7" s="1"/>
  <c r="AA4993" i="7"/>
  <c r="AA4992" i="7" s="1"/>
  <c r="AA5923" i="7"/>
  <c r="AA5921" i="7" s="1"/>
  <c r="AA4761" i="7"/>
  <c r="AA4333" i="7"/>
  <c r="AA4330" i="7" s="1"/>
  <c r="AA4775" i="7"/>
  <c r="AA4772" i="7" s="1"/>
  <c r="AA4821" i="7"/>
  <c r="AA4790" i="7"/>
  <c r="AA4475" i="7"/>
  <c r="AA4474" i="7" s="1"/>
  <c r="AA5120" i="7"/>
  <c r="AA4610" i="7"/>
  <c r="AA4490" i="7"/>
  <c r="AA5797" i="7"/>
  <c r="AA5983" i="7"/>
  <c r="AA5981" i="7" s="1"/>
  <c r="AA5803" i="7"/>
  <c r="AA5802" i="7" s="1"/>
  <c r="AA5975" i="7"/>
  <c r="AA5974" i="7" s="1"/>
  <c r="AA5197" i="7"/>
  <c r="AA4363" i="7"/>
  <c r="AA4360" i="7" s="1"/>
  <c r="AA5023" i="7"/>
  <c r="AA5020" i="7" s="1"/>
  <c r="AA4925" i="7"/>
  <c r="AA4923" i="7" s="1"/>
  <c r="AA5317" i="7"/>
  <c r="AA5767" i="7"/>
  <c r="AA5293" i="7"/>
  <c r="AA5290" i="7" s="1"/>
  <c r="AA4933" i="7"/>
  <c r="AA4931" i="7" s="1"/>
  <c r="AA5443" i="7"/>
  <c r="AA5441" i="7" s="1"/>
  <c r="AA4453" i="7"/>
  <c r="AA4452" i="7" s="1"/>
  <c r="AA5585" i="7"/>
  <c r="AA5583" i="7" s="1"/>
  <c r="AA5167" i="7"/>
  <c r="AA4445" i="7"/>
  <c r="AA4443" i="7" s="1"/>
  <c r="AA4835" i="7"/>
  <c r="AA4832" i="7" s="1"/>
  <c r="AA5735" i="7"/>
  <c r="AA5733" i="7" s="1"/>
  <c r="AA4355" i="7"/>
  <c r="AA4354" i="7" s="1"/>
  <c r="AA4513" i="7"/>
  <c r="AA4510" i="7" s="1"/>
  <c r="AA5227" i="7"/>
  <c r="AA4957" i="7"/>
  <c r="AA5315" i="7"/>
  <c r="AA5313" i="7" s="1"/>
  <c r="AA5225" i="7"/>
  <c r="AA5222" i="7" s="1"/>
  <c r="AA5203" i="7"/>
  <c r="AA5200" i="7" s="1"/>
  <c r="AA5707" i="7"/>
  <c r="AA5405" i="7"/>
  <c r="AA5403" i="7" s="1"/>
  <c r="AA4655" i="7"/>
  <c r="AA4652" i="7" s="1"/>
  <c r="AA5645" i="7"/>
  <c r="AA5642" i="7" s="1"/>
  <c r="AA4423" i="7"/>
  <c r="AA4422" i="7" s="1"/>
  <c r="AA4865" i="7"/>
  <c r="AA4862" i="7" s="1"/>
  <c r="AA4851" i="7"/>
  <c r="AA5090" i="7"/>
  <c r="AA5977" i="7"/>
  <c r="AA4357" i="7"/>
  <c r="AA4985" i="7"/>
  <c r="AA4984" i="7" s="1"/>
  <c r="AA4633" i="7"/>
  <c r="AA4632" i="7" s="1"/>
  <c r="AA4595" i="7"/>
  <c r="AA4593" i="7" s="1"/>
  <c r="AA4399" i="7"/>
  <c r="AA5375" i="7"/>
  <c r="AA5373" i="7" s="1"/>
  <c r="AA5045" i="7"/>
  <c r="AA5044" i="7" s="1"/>
  <c r="AA5165" i="7"/>
  <c r="AA5163" i="7" s="1"/>
  <c r="AA4837" i="7"/>
  <c r="AA6043" i="7"/>
  <c r="AA6040" i="7" s="1"/>
  <c r="AA4897" i="7"/>
  <c r="AA5675" i="7"/>
  <c r="AA5674" i="7" s="1"/>
  <c r="AA4777" i="7"/>
  <c r="AA4881" i="7"/>
  <c r="AA4813" i="7"/>
  <c r="AA4811" i="7" s="1"/>
  <c r="AA5683" i="7"/>
  <c r="AA5681" i="7" s="1"/>
  <c r="AA4549" i="7"/>
  <c r="AA5299" i="7"/>
  <c r="AA4611" i="7"/>
  <c r="AA5330" i="7"/>
  <c r="AA4999" i="7"/>
  <c r="AA4541" i="7"/>
  <c r="N319" i="7"/>
  <c r="N649" i="7"/>
  <c r="AA4700" i="7"/>
  <c r="AA4339" i="7"/>
  <c r="AA5331" i="7"/>
  <c r="AA4537" i="7"/>
  <c r="AA4701" i="7"/>
  <c r="AA5029" i="7"/>
  <c r="AA5893" i="7"/>
  <c r="AA5892" i="7" s="1"/>
  <c r="AA4910" i="7"/>
  <c r="AA5945" i="7"/>
  <c r="AA5942" i="7" s="1"/>
  <c r="AA5329" i="7"/>
  <c r="AA4867" i="7"/>
  <c r="AA6035" i="7"/>
  <c r="AA6032" i="7" s="1"/>
  <c r="AA4580" i="7"/>
  <c r="AA5015" i="7"/>
  <c r="AA5014" i="7" s="1"/>
  <c r="AA5525" i="7"/>
  <c r="AA5495" i="7"/>
  <c r="AA5713" i="7"/>
  <c r="AA5825" i="7"/>
  <c r="AA5047" i="7"/>
  <c r="AA5345" i="7"/>
  <c r="AA4963" i="7"/>
  <c r="P4843" i="7"/>
  <c r="R4843" i="7" s="1"/>
  <c r="AA4669" i="7"/>
  <c r="P4603" i="7"/>
  <c r="R4603" i="7" s="1"/>
  <c r="AA5557" i="7"/>
  <c r="AA6065" i="7"/>
  <c r="AA4693" i="7"/>
  <c r="AA5135" i="7"/>
  <c r="AA4507" i="7"/>
  <c r="AA5857" i="7"/>
  <c r="AA6103" i="7"/>
  <c r="AA6013" i="7"/>
  <c r="AA4535" i="7"/>
  <c r="AA5765" i="7"/>
  <c r="AA4807" i="7"/>
  <c r="AA5473" i="7"/>
  <c r="AA4753" i="7"/>
  <c r="AA4385" i="7"/>
  <c r="P5195" i="7"/>
  <c r="R5195" i="7" s="1"/>
  <c r="AA5503" i="7"/>
  <c r="AA4849" i="7"/>
  <c r="AA6073" i="7"/>
  <c r="AA4820" i="7"/>
  <c r="AA4685" i="7"/>
  <c r="AA5743" i="7"/>
  <c r="AA5107" i="7"/>
  <c r="AA5773" i="7"/>
  <c r="AA4657" i="7"/>
  <c r="AA5287" i="7"/>
  <c r="AA4687" i="7"/>
  <c r="AA6005" i="7"/>
  <c r="AA4715" i="7"/>
  <c r="AA4505" i="7"/>
  <c r="AA5413" i="7"/>
  <c r="AA6095" i="7"/>
  <c r="AA5000" i="7"/>
  <c r="AA5563" i="7"/>
  <c r="AA6007" i="7"/>
  <c r="AA4393" i="7"/>
  <c r="AA5053" i="7"/>
  <c r="AA4565" i="7"/>
  <c r="P4325" i="7"/>
  <c r="R4325" i="7" s="1"/>
  <c r="AA5917" i="7"/>
  <c r="AA5705" i="7"/>
  <c r="AA4477" i="7"/>
  <c r="AA5465" i="7"/>
  <c r="AA4447" i="7"/>
  <c r="AA5863" i="7"/>
  <c r="AA4745" i="7"/>
  <c r="AA5257" i="7"/>
  <c r="AA4927" i="7"/>
  <c r="AA5435" i="7"/>
  <c r="AA4955" i="7"/>
  <c r="AA5653" i="7"/>
  <c r="P5323" i="7"/>
  <c r="R5323" i="7" s="1"/>
  <c r="AA4625" i="7"/>
  <c r="N320" i="7"/>
  <c r="P5113" i="7"/>
  <c r="R5113" i="7" s="1"/>
  <c r="AA5150" i="7"/>
  <c r="AA5262" i="7"/>
  <c r="AA5261" i="7"/>
  <c r="AA5260" i="7"/>
  <c r="AA4970" i="7"/>
  <c r="AA4581" i="7"/>
  <c r="N499" i="7"/>
  <c r="AA5089" i="7"/>
  <c r="AA5795" i="7"/>
  <c r="AA5587" i="7"/>
  <c r="AA4327" i="7"/>
  <c r="AA5149" i="7"/>
  <c r="AA5533" i="7"/>
  <c r="P5083" i="7"/>
  <c r="R5083" i="7" s="1"/>
  <c r="AA5593" i="7"/>
  <c r="AA6067" i="7"/>
  <c r="AA5555" i="7"/>
  <c r="AA4783" i="7"/>
  <c r="AA5075" i="7"/>
  <c r="N170" i="7"/>
  <c r="AA4640" i="7"/>
  <c r="AA5143" i="7"/>
  <c r="AA5887" i="7"/>
  <c r="AA5623" i="7"/>
  <c r="AA5255" i="7"/>
  <c r="AA5105" i="7"/>
  <c r="AA4717" i="7"/>
  <c r="P4303" i="7"/>
  <c r="R4303" i="7" s="1"/>
  <c r="AA4483" i="7"/>
  <c r="AA4573" i="7"/>
  <c r="N681" i="7"/>
  <c r="N79" i="7"/>
  <c r="N321" i="7"/>
  <c r="N770" i="7"/>
  <c r="AA770" i="7" s="1"/>
  <c r="N351" i="7"/>
  <c r="N741" i="7"/>
  <c r="N259" i="7"/>
  <c r="N289" i="7"/>
  <c r="N680" i="7"/>
  <c r="N290" i="7"/>
  <c r="N560" i="7"/>
  <c r="N349" i="7"/>
  <c r="N766" i="7"/>
  <c r="AA766" i="7" s="1"/>
  <c r="N530" i="7"/>
  <c r="N381" i="7"/>
  <c r="N679" i="7"/>
  <c r="N410" i="7"/>
  <c r="N471" i="7"/>
  <c r="N771" i="7"/>
  <c r="N725" i="7"/>
  <c r="P725" i="7" s="1"/>
  <c r="R725" i="7" s="1"/>
  <c r="N650" i="7"/>
  <c r="N755" i="7"/>
  <c r="P755" i="7" s="1"/>
  <c r="R755" i="7" s="1"/>
  <c r="N733" i="7"/>
  <c r="P733" i="7" s="1"/>
  <c r="R733" i="7" s="1"/>
  <c r="N739" i="7"/>
  <c r="N767" i="7"/>
  <c r="AA767" i="7" s="1"/>
  <c r="N620" i="7"/>
  <c r="N711" i="7"/>
  <c r="N651" i="7"/>
  <c r="N710" i="7"/>
  <c r="N695" i="7"/>
  <c r="P695" i="7" s="1"/>
  <c r="R695" i="7" s="1"/>
  <c r="N635" i="7"/>
  <c r="P635" i="7" s="1"/>
  <c r="R635" i="7" s="1"/>
  <c r="N613" i="7"/>
  <c r="P613" i="7" s="1"/>
  <c r="R613" i="7" s="1"/>
  <c r="N703" i="7"/>
  <c r="P703" i="7" s="1"/>
  <c r="R703" i="7" s="1"/>
  <c r="N231" i="7"/>
  <c r="N665" i="7"/>
  <c r="P665" i="7" s="1"/>
  <c r="R665" i="7" s="1"/>
  <c r="N673" i="7"/>
  <c r="P673" i="7" s="1"/>
  <c r="R673" i="7" s="1"/>
  <c r="N110" i="7"/>
  <c r="N643" i="7"/>
  <c r="P643" i="7" s="1"/>
  <c r="R643" i="7" s="1"/>
  <c r="N411" i="7"/>
  <c r="N621" i="7"/>
  <c r="N379" i="7"/>
  <c r="N230" i="7"/>
  <c r="N260" i="7"/>
  <c r="N561" i="7"/>
  <c r="N559" i="7"/>
  <c r="N469" i="7"/>
  <c r="N529" i="7"/>
  <c r="N619" i="7"/>
  <c r="N605" i="7"/>
  <c r="P605" i="7" s="1"/>
  <c r="R605" i="7" s="1"/>
  <c r="N171" i="7"/>
  <c r="N531" i="7"/>
  <c r="N515" i="7"/>
  <c r="P515" i="7" s="1"/>
  <c r="R515" i="7" s="1"/>
  <c r="N575" i="7"/>
  <c r="P575" i="7" s="1"/>
  <c r="R575" i="7" s="1"/>
  <c r="N553" i="7"/>
  <c r="P553" i="7" s="1"/>
  <c r="R553" i="7" s="1"/>
  <c r="N409" i="7"/>
  <c r="N583" i="7"/>
  <c r="N545" i="7"/>
  <c r="P545" i="7" s="1"/>
  <c r="R545" i="7" s="1"/>
  <c r="N501" i="7"/>
  <c r="N485" i="7"/>
  <c r="P485" i="7" s="1"/>
  <c r="R485" i="7" s="1"/>
  <c r="N380" i="7"/>
  <c r="N523" i="7"/>
  <c r="P523" i="7" s="1"/>
  <c r="R523" i="7" s="1"/>
  <c r="N395" i="7"/>
  <c r="P395" i="7" s="1"/>
  <c r="R395" i="7" s="1"/>
  <c r="N291" i="7"/>
  <c r="N493" i="7"/>
  <c r="P493" i="7" s="1"/>
  <c r="R493" i="7" s="1"/>
  <c r="N343" i="7"/>
  <c r="P343" i="7" s="1"/>
  <c r="R343" i="7" s="1"/>
  <c r="N80" i="7"/>
  <c r="N200" i="7"/>
  <c r="N140" i="7"/>
  <c r="N350" i="7"/>
  <c r="N81" i="7"/>
  <c r="N275" i="7"/>
  <c r="P275" i="7" s="1"/>
  <c r="R275" i="7" s="1"/>
  <c r="N403" i="7"/>
  <c r="P403" i="7" s="1"/>
  <c r="R403" i="7" s="1"/>
  <c r="N199" i="7"/>
  <c r="N335" i="7"/>
  <c r="P335" i="7" s="1"/>
  <c r="R335" i="7" s="1"/>
  <c r="N245" i="7"/>
  <c r="P245" i="7" s="1"/>
  <c r="R245" i="7" s="1"/>
  <c r="N169" i="7"/>
  <c r="N261" i="7"/>
  <c r="N201" i="7"/>
  <c r="N313" i="7"/>
  <c r="P313" i="7" s="1"/>
  <c r="R313" i="7" s="1"/>
  <c r="N283" i="7"/>
  <c r="P283" i="7" s="1"/>
  <c r="R283" i="7" s="1"/>
  <c r="N215" i="7"/>
  <c r="P215" i="7" s="1"/>
  <c r="R215" i="7" s="1"/>
  <c r="N229" i="7"/>
  <c r="N50" i="7"/>
  <c r="N139" i="7"/>
  <c r="N163" i="7"/>
  <c r="P163" i="7" s="1"/>
  <c r="R163" i="7" s="1"/>
  <c r="N141" i="7"/>
  <c r="N223" i="7"/>
  <c r="P223" i="7" s="1"/>
  <c r="R223" i="7" s="1"/>
  <c r="N253" i="7"/>
  <c r="P253" i="7" s="1"/>
  <c r="R253" i="7" s="1"/>
  <c r="N109" i="7"/>
  <c r="N185" i="7"/>
  <c r="P185" i="7" s="1"/>
  <c r="R185" i="7" s="1"/>
  <c r="N155" i="7"/>
  <c r="P155" i="7" s="1"/>
  <c r="R155" i="7" s="1"/>
  <c r="N103" i="7"/>
  <c r="P103" i="7" s="1"/>
  <c r="R103" i="7" s="1"/>
  <c r="N193" i="7"/>
  <c r="P193" i="7" s="1"/>
  <c r="R193" i="7" s="1"/>
  <c r="N49" i="7"/>
  <c r="N51" i="7"/>
  <c r="N125" i="7"/>
  <c r="P125" i="7" s="1"/>
  <c r="R125" i="7" s="1"/>
  <c r="N95" i="7"/>
  <c r="P95" i="7" s="1"/>
  <c r="R95" i="7" s="1"/>
  <c r="N133" i="7"/>
  <c r="P133" i="7" s="1"/>
  <c r="R133" i="7" s="1"/>
  <c r="N111" i="7"/>
  <c r="N65" i="7"/>
  <c r="P65" i="7" s="1"/>
  <c r="R65" i="7" s="1"/>
  <c r="N73" i="7"/>
  <c r="P73" i="7" s="1"/>
  <c r="R73" i="7" s="1"/>
  <c r="Y771" i="7"/>
  <c r="W755" i="7"/>
  <c r="Y769" i="7"/>
  <c r="AA769" i="7" s="1"/>
  <c r="N227" i="7"/>
  <c r="AA227" i="7" s="1"/>
  <c r="N556" i="7"/>
  <c r="AA556" i="7" s="1"/>
  <c r="N677" i="7"/>
  <c r="AA677" i="7" s="1"/>
  <c r="N375" i="7"/>
  <c r="AA375" i="7" s="1"/>
  <c r="N647" i="7"/>
  <c r="AA647" i="7" s="1"/>
  <c r="N736" i="7"/>
  <c r="AA736" i="7" s="1"/>
  <c r="N706" i="7"/>
  <c r="AA706" i="7" s="1"/>
  <c r="N645" i="7"/>
  <c r="AA645" i="7" s="1"/>
  <c r="N617" i="7"/>
  <c r="AA617" i="7" s="1"/>
  <c r="N345" i="7"/>
  <c r="AA345" i="7" s="1"/>
  <c r="N76" i="7"/>
  <c r="AA76" i="7" s="1"/>
  <c r="N525" i="7"/>
  <c r="AA525" i="7" s="1"/>
  <c r="N405" i="7"/>
  <c r="AA405" i="7" s="1"/>
  <c r="N257" i="7"/>
  <c r="AA257" i="7" s="1"/>
  <c r="N285" i="7"/>
  <c r="AA285" i="7" s="1"/>
  <c r="N315" i="7"/>
  <c r="AA315" i="7" s="1"/>
  <c r="N466" i="7"/>
  <c r="AA466" i="7" s="1"/>
  <c r="AA727" i="7"/>
  <c r="N196" i="7"/>
  <c r="AA196" i="7" s="1"/>
  <c r="N376" i="7"/>
  <c r="AA376" i="7" s="1"/>
  <c r="N256" i="7"/>
  <c r="AA256" i="7" s="1"/>
  <c r="N107" i="7"/>
  <c r="AA107" i="7" s="1"/>
  <c r="N407" i="7"/>
  <c r="AA407" i="7" s="1"/>
  <c r="N77" i="7"/>
  <c r="AA77" i="7" s="1"/>
  <c r="N526" i="7"/>
  <c r="AA526" i="7" s="1"/>
  <c r="N225" i="7"/>
  <c r="AA225" i="7" s="1"/>
  <c r="N735" i="7"/>
  <c r="AA735" i="7" s="1"/>
  <c r="N497" i="7"/>
  <c r="AA497" i="7" s="1"/>
  <c r="N45" i="7"/>
  <c r="AA45" i="7" s="1"/>
  <c r="N555" i="7"/>
  <c r="AA555" i="7" s="1"/>
  <c r="N646" i="7"/>
  <c r="AA646" i="7" s="1"/>
  <c r="N737" i="7"/>
  <c r="AA737" i="7" s="1"/>
  <c r="N135" i="7"/>
  <c r="AA135" i="7" s="1"/>
  <c r="N165" i="7"/>
  <c r="AA165" i="7" s="1"/>
  <c r="N346" i="7"/>
  <c r="AA346" i="7" s="1"/>
  <c r="AA577" i="7"/>
  <c r="N707" i="7"/>
  <c r="AA707" i="7" s="1"/>
  <c r="N616" i="7"/>
  <c r="AA616" i="7" s="1"/>
  <c r="N136" i="7"/>
  <c r="AA136" i="7" s="1"/>
  <c r="N467" i="7"/>
  <c r="AA467" i="7" s="1"/>
  <c r="AA547" i="7"/>
  <c r="N705" i="7"/>
  <c r="AA705" i="7" s="1"/>
  <c r="N137" i="7"/>
  <c r="AA137" i="7" s="1"/>
  <c r="N105" i="7"/>
  <c r="AA105" i="7" s="1"/>
  <c r="Y231" i="7"/>
  <c r="Y230" i="7"/>
  <c r="W215" i="7"/>
  <c r="Y229" i="7"/>
  <c r="N495" i="7"/>
  <c r="AA495" i="7" s="1"/>
  <c r="Y501" i="7"/>
  <c r="W485" i="7"/>
  <c r="Y500" i="7"/>
  <c r="Y499" i="7"/>
  <c r="N527" i="7"/>
  <c r="AA527" i="7" s="1"/>
  <c r="P367" i="7"/>
  <c r="R367" i="7" s="1"/>
  <c r="Y471" i="7"/>
  <c r="Y469" i="7"/>
  <c r="Y470" i="7"/>
  <c r="W455" i="7"/>
  <c r="P463" i="7"/>
  <c r="R463" i="7" s="1"/>
  <c r="P455" i="7"/>
  <c r="R455" i="7" s="1"/>
  <c r="P337" i="7"/>
  <c r="R337" i="7" s="1"/>
  <c r="AA337" i="7" s="1"/>
  <c r="N106" i="7"/>
  <c r="AA106" i="7" s="1"/>
  <c r="N557" i="7"/>
  <c r="AA557" i="7" s="1"/>
  <c r="N226" i="7"/>
  <c r="AA226" i="7" s="1"/>
  <c r="N615" i="7"/>
  <c r="AA615" i="7" s="1"/>
  <c r="N286" i="7"/>
  <c r="AA286" i="7" s="1"/>
  <c r="Y200" i="7"/>
  <c r="Y201" i="7"/>
  <c r="Y199" i="7"/>
  <c r="W185" i="7"/>
  <c r="Y141" i="7"/>
  <c r="W125" i="7"/>
  <c r="Y140" i="7"/>
  <c r="Y139" i="7"/>
  <c r="N75" i="7"/>
  <c r="AA75" i="7" s="1"/>
  <c r="P517" i="7"/>
  <c r="R517" i="7" s="1"/>
  <c r="N406" i="7"/>
  <c r="AA406" i="7" s="1"/>
  <c r="N46" i="7"/>
  <c r="AA46" i="7" s="1"/>
  <c r="Y680" i="7"/>
  <c r="W665" i="7"/>
  <c r="Y679" i="7"/>
  <c r="Y681" i="7"/>
  <c r="Y289" i="7"/>
  <c r="Y290" i="7"/>
  <c r="W275" i="7"/>
  <c r="Y291" i="7"/>
  <c r="W605" i="7"/>
  <c r="Y619" i="7"/>
  <c r="Y620" i="7"/>
  <c r="Y621" i="7"/>
  <c r="P667" i="7"/>
  <c r="R667" i="7" s="1"/>
  <c r="W335" i="7"/>
  <c r="Y349" i="7"/>
  <c r="Y350" i="7"/>
  <c r="Y351" i="7"/>
  <c r="N166" i="7"/>
  <c r="AA166" i="7" s="1"/>
  <c r="P487" i="7"/>
  <c r="R487" i="7" s="1"/>
  <c r="Y111" i="7"/>
  <c r="Y109" i="7"/>
  <c r="W95" i="7"/>
  <c r="Y110" i="7"/>
  <c r="N255" i="7"/>
  <c r="AA255" i="7" s="1"/>
  <c r="N465" i="7"/>
  <c r="AA465" i="7" s="1"/>
  <c r="N197" i="7"/>
  <c r="AA197" i="7" s="1"/>
  <c r="N167" i="7"/>
  <c r="AA167" i="7" s="1"/>
  <c r="AA67" i="7"/>
  <c r="N287" i="7"/>
  <c r="AA287" i="7" s="1"/>
  <c r="N316" i="7"/>
  <c r="AA316" i="7" s="1"/>
  <c r="N195" i="7"/>
  <c r="AA195" i="7" s="1"/>
  <c r="Y260" i="7"/>
  <c r="W245" i="7"/>
  <c r="Y261" i="7"/>
  <c r="Y259" i="7"/>
  <c r="N675" i="7"/>
  <c r="AA675" i="7" s="1"/>
  <c r="W695" i="7"/>
  <c r="Y710" i="7"/>
  <c r="Y711" i="7"/>
  <c r="Y709" i="7"/>
  <c r="Y559" i="7"/>
  <c r="W545" i="7"/>
  <c r="Y561" i="7"/>
  <c r="Y560" i="7"/>
  <c r="Y321" i="7"/>
  <c r="Y320" i="7"/>
  <c r="Y319" i="7"/>
  <c r="W305" i="7"/>
  <c r="N676" i="7"/>
  <c r="AA676" i="7" s="1"/>
  <c r="P127" i="7"/>
  <c r="R127" i="7" s="1"/>
  <c r="P307" i="7"/>
  <c r="R307" i="7" s="1"/>
  <c r="P305" i="7"/>
  <c r="R305" i="7" s="1"/>
  <c r="N377" i="7"/>
  <c r="AA377" i="7" s="1"/>
  <c r="Y411" i="7"/>
  <c r="W395" i="7"/>
  <c r="Y410" i="7"/>
  <c r="Y409" i="7"/>
  <c r="Y531" i="7"/>
  <c r="Y529" i="7"/>
  <c r="W515" i="7"/>
  <c r="Y530" i="7"/>
  <c r="W65" i="7"/>
  <c r="Y80" i="7"/>
  <c r="Y79" i="7"/>
  <c r="Y81" i="7"/>
  <c r="P637" i="7"/>
  <c r="R637" i="7" s="1"/>
  <c r="N317" i="7"/>
  <c r="AA317" i="7" s="1"/>
  <c r="P607" i="7"/>
  <c r="R607" i="7" s="1"/>
  <c r="Y649" i="7"/>
  <c r="Y651" i="7"/>
  <c r="Y650" i="7"/>
  <c r="W635" i="7"/>
  <c r="N496" i="7"/>
  <c r="AA496" i="7" s="1"/>
  <c r="W725" i="7"/>
  <c r="Y739" i="7"/>
  <c r="Y741" i="7"/>
  <c r="Y740" i="7"/>
  <c r="N47" i="7"/>
  <c r="AA47" i="7" s="1"/>
  <c r="P217" i="7"/>
  <c r="R217" i="7" s="1"/>
  <c r="P697" i="7"/>
  <c r="R697" i="7" s="1"/>
  <c r="Y170" i="7"/>
  <c r="Y171" i="7"/>
  <c r="W155" i="7"/>
  <c r="Y169" i="7"/>
  <c r="P247" i="7"/>
  <c r="R247" i="7" s="1"/>
  <c r="P277" i="7"/>
  <c r="R277" i="7" s="1"/>
  <c r="P37" i="7"/>
  <c r="R37" i="7" s="1"/>
  <c r="Y51" i="7"/>
  <c r="Y50" i="7"/>
  <c r="W35" i="7"/>
  <c r="Y49" i="7"/>
  <c r="P97" i="7"/>
  <c r="R97" i="7" s="1"/>
  <c r="P157" i="7"/>
  <c r="R157" i="7" s="1"/>
  <c r="Y381" i="7"/>
  <c r="Y379" i="7"/>
  <c r="Y380" i="7"/>
  <c r="W365" i="7"/>
  <c r="P457" i="7"/>
  <c r="R457" i="7" s="1"/>
  <c r="P373" i="7"/>
  <c r="R373" i="7" s="1"/>
  <c r="P35" i="7"/>
  <c r="R35" i="7" s="1"/>
  <c r="P187" i="7"/>
  <c r="R187" i="7" s="1"/>
  <c r="P397" i="7"/>
  <c r="R397" i="7" s="1"/>
  <c r="N347" i="7"/>
  <c r="AA347" i="7" s="1"/>
  <c r="N801" i="7"/>
  <c r="N800" i="7"/>
  <c r="W825" i="7"/>
  <c r="W829" i="7" s="1"/>
  <c r="P814" i="7"/>
  <c r="R814" i="7" s="1"/>
  <c r="P821" i="7"/>
  <c r="R821" i="7" s="1"/>
  <c r="AA763" i="7"/>
  <c r="AA762" i="7" s="1"/>
  <c r="L829" i="7"/>
  <c r="N797" i="7"/>
  <c r="AA797" i="7" s="1"/>
  <c r="N795" i="7"/>
  <c r="AA795" i="7" s="1"/>
  <c r="N799" i="7"/>
  <c r="W826" i="7"/>
  <c r="W830" i="7" s="1"/>
  <c r="B910" i="7"/>
  <c r="B925" i="7"/>
  <c r="B905" i="7"/>
  <c r="B920" i="7"/>
  <c r="B921" i="7"/>
  <c r="B916" i="7"/>
  <c r="B903" i="7"/>
  <c r="B902" i="7"/>
  <c r="B913" i="7"/>
  <c r="B917" i="7"/>
  <c r="B907" i="7"/>
  <c r="B915" i="7"/>
  <c r="B911" i="7"/>
  <c r="B904" i="7"/>
  <c r="B912" i="7"/>
  <c r="B919" i="7"/>
  <c r="P822" i="7"/>
  <c r="R822" i="7" s="1"/>
  <c r="L831" i="7"/>
  <c r="P820" i="7"/>
  <c r="R820" i="7" s="1"/>
  <c r="D823" i="7"/>
  <c r="W823" i="7" s="1"/>
  <c r="H855" i="7"/>
  <c r="F860" i="7"/>
  <c r="U860" i="7" s="1"/>
  <c r="D857" i="7"/>
  <c r="F855" i="7"/>
  <c r="U855" i="7" s="1"/>
  <c r="F857" i="7"/>
  <c r="U857" i="7" s="1"/>
  <c r="F842" i="7"/>
  <c r="F851" i="7"/>
  <c r="U851" i="7" s="1"/>
  <c r="D856" i="7"/>
  <c r="H861" i="7"/>
  <c r="H859" i="7"/>
  <c r="F861" i="7"/>
  <c r="U861" i="7" s="1"/>
  <c r="F859" i="7"/>
  <c r="U859" i="7" s="1"/>
  <c r="H857" i="7"/>
  <c r="H856" i="7"/>
  <c r="D861" i="7"/>
  <c r="D860" i="7"/>
  <c r="D850" i="7"/>
  <c r="D855" i="7"/>
  <c r="F856" i="7"/>
  <c r="U856" i="7" s="1"/>
  <c r="F852" i="7"/>
  <c r="G836" i="7"/>
  <c r="D842" i="7"/>
  <c r="D851" i="7"/>
  <c r="F847" i="7"/>
  <c r="D847" i="7"/>
  <c r="W847" i="7" s="1"/>
  <c r="D859" i="7"/>
  <c r="D844" i="7"/>
  <c r="F843" i="7"/>
  <c r="U843" i="7" s="1"/>
  <c r="D836" i="7"/>
  <c r="F850" i="7"/>
  <c r="D843" i="7"/>
  <c r="F844" i="7"/>
  <c r="D852" i="7"/>
  <c r="H860" i="7"/>
  <c r="D869" i="7"/>
  <c r="D868" i="7"/>
  <c r="D867" i="7"/>
  <c r="D871" i="7"/>
  <c r="D865" i="7"/>
  <c r="D870" i="7"/>
  <c r="AA757" i="7"/>
  <c r="J847" i="7"/>
  <c r="J843" i="7"/>
  <c r="J842" i="7"/>
  <c r="J844" i="7"/>
  <c r="N796" i="7"/>
  <c r="AA796" i="7" s="1"/>
  <c r="D815" i="7"/>
  <c r="P812" i="7"/>
  <c r="R812" i="7" s="1"/>
  <c r="L814" i="7"/>
  <c r="N814" i="7" s="1"/>
  <c r="U814" i="7"/>
  <c r="U815" i="7" s="1"/>
  <c r="N785" i="7"/>
  <c r="P785" i="7" s="1"/>
  <c r="R785" i="7" s="1"/>
  <c r="F815" i="7"/>
  <c r="L812" i="7"/>
  <c r="N812" i="7" s="1"/>
  <c r="U812" i="7"/>
  <c r="P787" i="7"/>
  <c r="R787" i="7" s="1"/>
  <c r="L826" i="7"/>
  <c r="J826" i="7"/>
  <c r="J827" i="7"/>
  <c r="L827" i="7"/>
  <c r="Y851" i="7"/>
  <c r="Y857" i="7"/>
  <c r="Y842" i="7"/>
  <c r="Y850" i="7"/>
  <c r="Y844" i="7"/>
  <c r="Y845" i="7" s="1"/>
  <c r="Y856" i="7"/>
  <c r="Y843" i="7"/>
  <c r="Y847" i="7"/>
  <c r="Y852" i="7"/>
  <c r="Y853" i="7" s="1"/>
  <c r="Y855" i="7"/>
  <c r="P813" i="7"/>
  <c r="R813" i="7" s="1"/>
  <c r="U822" i="7"/>
  <c r="U823" i="7" s="1"/>
  <c r="L822" i="7"/>
  <c r="N822" i="7" s="1"/>
  <c r="Y800" i="7"/>
  <c r="W785" i="7"/>
  <c r="Y801" i="7"/>
  <c r="Y799" i="7"/>
  <c r="J820" i="7"/>
  <c r="L817" i="7"/>
  <c r="N817" i="7" s="1"/>
  <c r="U817" i="7"/>
  <c r="J825" i="7"/>
  <c r="L825" i="7"/>
  <c r="J821" i="7"/>
  <c r="N821" i="7" s="1"/>
  <c r="N813" i="7"/>
  <c r="N792" i="7"/>
  <c r="N793" i="7" s="1"/>
  <c r="F823" i="7"/>
  <c r="U820" i="7"/>
  <c r="L820" i="7"/>
  <c r="J830" i="7"/>
  <c r="J831" i="7"/>
  <c r="J829" i="7"/>
  <c r="L830" i="7"/>
  <c r="W827" i="7"/>
  <c r="W831" i="7" s="1"/>
  <c r="A916" i="7"/>
  <c r="A912" i="7"/>
  <c r="A919" i="7"/>
  <c r="A903" i="7"/>
  <c r="A910" i="7"/>
  <c r="A920" i="7"/>
  <c r="A915" i="7"/>
  <c r="A904" i="7"/>
  <c r="A925" i="7"/>
  <c r="A917" i="7"/>
  <c r="A902" i="7"/>
  <c r="A921" i="7"/>
  <c r="A911" i="7"/>
  <c r="C895" i="7"/>
  <c r="A905" i="7"/>
  <c r="A913" i="7"/>
  <c r="A907" i="7"/>
  <c r="AA6123" i="7" l="1"/>
  <c r="AA6122" i="7"/>
  <c r="AA6191" i="7"/>
  <c r="AA6190" i="7"/>
  <c r="AA6153" i="7"/>
  <c r="AA6182" i="7"/>
  <c r="AA6184" i="7"/>
  <c r="AA6183" i="7"/>
  <c r="AA6152" i="7"/>
  <c r="AA5832" i="7"/>
  <c r="AA5831" i="7"/>
  <c r="AA5912" i="7"/>
  <c r="AA6161" i="7"/>
  <c r="AA6160" i="7"/>
  <c r="AA5914" i="7"/>
  <c r="AA500" i="7"/>
  <c r="AA4294" i="7"/>
  <c r="AA4902" i="7"/>
  <c r="AA4901" i="7"/>
  <c r="AA6131" i="7"/>
  <c r="AA6132" i="7"/>
  <c r="AA4293" i="7"/>
  <c r="AA4774" i="7"/>
  <c r="AA5291" i="7"/>
  <c r="AA5201" i="7"/>
  <c r="AA5202" i="7"/>
  <c r="AA709" i="7"/>
  <c r="AA319" i="7"/>
  <c r="AA4332" i="7"/>
  <c r="AA6034" i="7"/>
  <c r="AA4592" i="7"/>
  <c r="AA4413" i="7"/>
  <c r="AA740" i="7"/>
  <c r="AA4722" i="7"/>
  <c r="AA5113" i="7"/>
  <c r="AA5111" i="7" s="1"/>
  <c r="AA4720" i="7"/>
  <c r="AA4331" i="7"/>
  <c r="AA5381" i="7"/>
  <c r="AA4472" i="7"/>
  <c r="AA5292" i="7"/>
  <c r="AA4773" i="7"/>
  <c r="AA4473" i="7"/>
  <c r="AA4631" i="7"/>
  <c r="AA5382" i="7"/>
  <c r="AA5882" i="7"/>
  <c r="AA4630" i="7"/>
  <c r="AA470" i="7"/>
  <c r="AA5012" i="7"/>
  <c r="AA5013" i="7"/>
  <c r="AA5920" i="7"/>
  <c r="AA5022" i="7"/>
  <c r="AA5021" i="7"/>
  <c r="AA4983" i="7"/>
  <c r="AA5853" i="7"/>
  <c r="AA4982" i="7"/>
  <c r="AA5282" i="7"/>
  <c r="AA5172" i="7"/>
  <c r="AA5284" i="7"/>
  <c r="AA5171" i="7"/>
  <c r="AA5680" i="7"/>
  <c r="AA5852" i="7"/>
  <c r="AA5682" i="7"/>
  <c r="AA5944" i="7"/>
  <c r="AA5800" i="7"/>
  <c r="AA4352" i="7"/>
  <c r="AA5883" i="7"/>
  <c r="AA4804" i="7"/>
  <c r="AA4991" i="7"/>
  <c r="AA4361" i="7"/>
  <c r="AA4802" i="7"/>
  <c r="AA5612" i="7"/>
  <c r="AA6033" i="7"/>
  <c r="AA5351" i="7"/>
  <c r="AA5614" i="7"/>
  <c r="AA4594" i="7"/>
  <c r="AA741" i="7"/>
  <c r="AA5312" i="7"/>
  <c r="AA4810" i="7"/>
  <c r="AA4353" i="7"/>
  <c r="AA5973" i="7"/>
  <c r="AA5891" i="7"/>
  <c r="AA5972" i="7"/>
  <c r="AA5890" i="7"/>
  <c r="AA5402" i="7"/>
  <c r="AA4511" i="7"/>
  <c r="AA5734" i="7"/>
  <c r="AA4512" i="7"/>
  <c r="AA4662" i="7"/>
  <c r="AA5732" i="7"/>
  <c r="AA4870" i="7"/>
  <c r="AA5164" i="7"/>
  <c r="AA4812" i="7"/>
  <c r="AA5352" i="7"/>
  <c r="AA5801" i="7"/>
  <c r="AA4871" i="7"/>
  <c r="AA4932" i="7"/>
  <c r="AA4412" i="7"/>
  <c r="AA5233" i="7"/>
  <c r="AA4661" i="7"/>
  <c r="AA5982" i="7"/>
  <c r="AA5980" i="7"/>
  <c r="AA4930" i="7"/>
  <c r="AA5951" i="7"/>
  <c r="AA4444" i="7"/>
  <c r="AA4442" i="7"/>
  <c r="AA5922" i="7"/>
  <c r="AA5042" i="7"/>
  <c r="AA4864" i="7"/>
  <c r="AA5950" i="7"/>
  <c r="AA5043" i="7"/>
  <c r="AA5943" i="7"/>
  <c r="AA4990" i="7"/>
  <c r="AA4362" i="7"/>
  <c r="AA4922" i="7"/>
  <c r="AA6041" i="7"/>
  <c r="AA170" i="7"/>
  <c r="AA351" i="7"/>
  <c r="AA4420" i="7"/>
  <c r="AA5672" i="7"/>
  <c r="AA4924" i="7"/>
  <c r="AA4863" i="7"/>
  <c r="AA4421" i="7"/>
  <c r="AA5673" i="7"/>
  <c r="AA4895" i="7"/>
  <c r="AA6042" i="7"/>
  <c r="AA5162" i="7"/>
  <c r="AA5083" i="7"/>
  <c r="AA5080" i="7" s="1"/>
  <c r="AA5323" i="7"/>
  <c r="AA5322" i="7" s="1"/>
  <c r="AA5643" i="7"/>
  <c r="AA5404" i="7"/>
  <c r="AA5314" i="7"/>
  <c r="AA5582" i="7"/>
  <c r="AA4834" i="7"/>
  <c r="AA4833" i="7"/>
  <c r="AA5584" i="7"/>
  <c r="AA4451" i="7"/>
  <c r="AA5644" i="7"/>
  <c r="AA4450" i="7"/>
  <c r="AA4653" i="7"/>
  <c r="AA5442" i="7"/>
  <c r="AA4603" i="7"/>
  <c r="AA4600" i="7" s="1"/>
  <c r="AA4654" i="7"/>
  <c r="AA5440" i="7"/>
  <c r="AA5195" i="7"/>
  <c r="AA5192" i="7" s="1"/>
  <c r="AA5224" i="7"/>
  <c r="AA5372" i="7"/>
  <c r="AA649" i="7"/>
  <c r="AA5223" i="7"/>
  <c r="AA5374" i="7"/>
  <c r="AA4325" i="7"/>
  <c r="AA4322" i="7" s="1"/>
  <c r="AA4533" i="7"/>
  <c r="AA4532" i="7"/>
  <c r="AA4534" i="7"/>
  <c r="AA6102" i="7"/>
  <c r="AA6101" i="7"/>
  <c r="AA6100" i="7"/>
  <c r="AA5463" i="7"/>
  <c r="AA5464" i="7"/>
  <c r="AA5462" i="7"/>
  <c r="AA4303" i="7"/>
  <c r="AA5074" i="7"/>
  <c r="AA5073" i="7"/>
  <c r="AA5072" i="7"/>
  <c r="AA6072" i="7"/>
  <c r="AA6071" i="7"/>
  <c r="AA6070" i="7"/>
  <c r="AA4843" i="7"/>
  <c r="AA5772" i="7"/>
  <c r="AA5770" i="7"/>
  <c r="AA5771" i="7"/>
  <c r="AA681" i="7"/>
  <c r="AA4782" i="7"/>
  <c r="AA4781" i="7"/>
  <c r="AA4780" i="7"/>
  <c r="AA5704" i="7"/>
  <c r="AA5703" i="7"/>
  <c r="AA5702" i="7"/>
  <c r="AA5132" i="7"/>
  <c r="AA5134" i="7"/>
  <c r="AA5133" i="7"/>
  <c r="AA5824" i="7"/>
  <c r="AA5823" i="7"/>
  <c r="AA5822" i="7"/>
  <c r="AA4962" i="7"/>
  <c r="AA4960" i="7"/>
  <c r="AA4961" i="7"/>
  <c r="AA5104" i="7"/>
  <c r="AA5102" i="7"/>
  <c r="AA5103" i="7"/>
  <c r="AA6062" i="7"/>
  <c r="AA6063" i="7"/>
  <c r="AA6064" i="7"/>
  <c r="AA5493" i="7"/>
  <c r="AA5494" i="7"/>
  <c r="AA5492" i="7"/>
  <c r="AA5710" i="7"/>
  <c r="AA5712" i="7"/>
  <c r="AA5711" i="7"/>
  <c r="AA79" i="7"/>
  <c r="AA5253" i="7"/>
  <c r="AA5254" i="7"/>
  <c r="AA5252" i="7"/>
  <c r="AA5591" i="7"/>
  <c r="AA5592" i="7"/>
  <c r="AA5590" i="7"/>
  <c r="AA4624" i="7"/>
  <c r="AA4623" i="7"/>
  <c r="AA4622" i="7"/>
  <c r="AA4564" i="7"/>
  <c r="AA4562" i="7"/>
  <c r="AA4563" i="7"/>
  <c r="AA5763" i="7"/>
  <c r="AA5764" i="7"/>
  <c r="AA5762" i="7"/>
  <c r="AA5553" i="7"/>
  <c r="AA5554" i="7"/>
  <c r="AA5552" i="7"/>
  <c r="AA4692" i="7"/>
  <c r="AA4690" i="7"/>
  <c r="AA4691" i="7"/>
  <c r="AA320" i="7"/>
  <c r="AA4390" i="7"/>
  <c r="AA4391" i="7"/>
  <c r="AA4392" i="7"/>
  <c r="AA4713" i="7"/>
  <c r="AA4714" i="7"/>
  <c r="AA4712" i="7"/>
  <c r="AA5410" i="7"/>
  <c r="AA5412" i="7"/>
  <c r="AA5411" i="7"/>
  <c r="AA4504" i="7"/>
  <c r="AA4503" i="7"/>
  <c r="AA4502" i="7"/>
  <c r="AA6010" i="7"/>
  <c r="AA6011" i="7"/>
  <c r="AA6012" i="7"/>
  <c r="AA5142" i="7"/>
  <c r="AA5140" i="7"/>
  <c r="AA5141" i="7"/>
  <c r="AA5532" i="7"/>
  <c r="AA5530" i="7"/>
  <c r="AA5531" i="7"/>
  <c r="AA5650" i="7"/>
  <c r="AA5652" i="7"/>
  <c r="AA5651" i="7"/>
  <c r="AA6004" i="7"/>
  <c r="AA6002" i="7"/>
  <c r="AA6003" i="7"/>
  <c r="AA4384" i="7"/>
  <c r="AA4383" i="7"/>
  <c r="AA4382" i="7"/>
  <c r="AA5793" i="7"/>
  <c r="AA5794" i="7"/>
  <c r="AA5792" i="7"/>
  <c r="AA4683" i="7"/>
  <c r="AA4684" i="7"/>
  <c r="AA4682" i="7"/>
  <c r="AA5343" i="7"/>
  <c r="AA5342" i="7"/>
  <c r="AA5344" i="7"/>
  <c r="AA5050" i="7"/>
  <c r="AA5051" i="7"/>
  <c r="AA5052" i="7"/>
  <c r="AA321" i="7"/>
  <c r="AA4953" i="7"/>
  <c r="AA4952" i="7"/>
  <c r="AA4954" i="7"/>
  <c r="AA5561" i="7"/>
  <c r="AA5560" i="7"/>
  <c r="AA5562" i="7"/>
  <c r="AA4750" i="7"/>
  <c r="AA4752" i="7"/>
  <c r="AA4751" i="7"/>
  <c r="AA5860" i="7"/>
  <c r="AA5862" i="7"/>
  <c r="AA5861" i="7"/>
  <c r="AA5742" i="7"/>
  <c r="AA5741" i="7"/>
  <c r="AA5740" i="7"/>
  <c r="AA4572" i="7"/>
  <c r="AA4570" i="7"/>
  <c r="AA4571" i="7"/>
  <c r="AA499" i="7"/>
  <c r="AA4482" i="7"/>
  <c r="AA4481" i="7"/>
  <c r="AA4480" i="7"/>
  <c r="AA5621" i="7"/>
  <c r="AA5622" i="7"/>
  <c r="AA5620" i="7"/>
  <c r="AA5433" i="7"/>
  <c r="AA5434" i="7"/>
  <c r="AA5432" i="7"/>
  <c r="AA5472" i="7"/>
  <c r="AA5470" i="7"/>
  <c r="AA5471" i="7"/>
  <c r="AA4742" i="7"/>
  <c r="AA4743" i="7"/>
  <c r="AA4744" i="7"/>
  <c r="AA5502" i="7"/>
  <c r="AA5500" i="7"/>
  <c r="AA5501" i="7"/>
  <c r="AA6093" i="7"/>
  <c r="AA6094" i="7"/>
  <c r="AA6092" i="7"/>
  <c r="AA5524" i="7"/>
  <c r="AA5523" i="7"/>
  <c r="AA5522" i="7"/>
  <c r="AA289" i="7"/>
  <c r="AA259" i="7"/>
  <c r="AA290" i="7"/>
  <c r="AA680" i="7"/>
  <c r="AA725" i="7"/>
  <c r="AA723" i="7" s="1"/>
  <c r="AA560" i="7"/>
  <c r="AA530" i="7"/>
  <c r="AA410" i="7"/>
  <c r="AA349" i="7"/>
  <c r="AA733" i="7"/>
  <c r="AA731" i="7" s="1"/>
  <c r="AA381" i="7"/>
  <c r="AA679" i="7"/>
  <c r="AA771" i="7"/>
  <c r="AA471" i="7"/>
  <c r="AA755" i="7"/>
  <c r="AA752" i="7" s="1"/>
  <c r="AA650" i="7"/>
  <c r="AA739" i="7"/>
  <c r="AA411" i="7"/>
  <c r="AA703" i="7"/>
  <c r="AA702" i="7" s="1"/>
  <c r="AA651" i="7"/>
  <c r="AA711" i="7"/>
  <c r="AA231" i="7"/>
  <c r="AA620" i="7"/>
  <c r="AA710" i="7"/>
  <c r="AA529" i="7"/>
  <c r="AA621" i="7"/>
  <c r="AA559" i="7"/>
  <c r="AA110" i="7"/>
  <c r="AA230" i="7"/>
  <c r="AA379" i="7"/>
  <c r="AA260" i="7"/>
  <c r="AA141" i="7"/>
  <c r="AA380" i="7"/>
  <c r="AA171" i="7"/>
  <c r="AA469" i="7"/>
  <c r="AA200" i="7"/>
  <c r="AA561" i="7"/>
  <c r="AA619" i="7"/>
  <c r="AA350" i="7"/>
  <c r="AA531" i="7"/>
  <c r="AA501" i="7"/>
  <c r="AA575" i="7"/>
  <c r="AA573" i="7" s="1"/>
  <c r="AA409" i="7"/>
  <c r="AA80" i="7"/>
  <c r="AA140" i="7"/>
  <c r="P583" i="7"/>
  <c r="R583" i="7" s="1"/>
  <c r="AA291" i="7"/>
  <c r="AA403" i="7"/>
  <c r="AA401" i="7" s="1"/>
  <c r="AA81" i="7"/>
  <c r="AA199" i="7"/>
  <c r="AA201" i="7"/>
  <c r="AA169" i="7"/>
  <c r="AA261" i="7"/>
  <c r="AA109" i="7"/>
  <c r="AA139" i="7"/>
  <c r="AA163" i="7"/>
  <c r="AA160" i="7" s="1"/>
  <c r="AA229" i="7"/>
  <c r="AA50" i="7"/>
  <c r="AA49" i="7"/>
  <c r="AA51" i="7"/>
  <c r="AA111" i="7"/>
  <c r="AA457" i="7"/>
  <c r="AA247" i="7"/>
  <c r="AA523" i="7"/>
  <c r="AA522" i="7" s="1"/>
  <c r="AA673" i="7"/>
  <c r="AA670" i="7" s="1"/>
  <c r="AA397" i="7"/>
  <c r="AA223" i="7"/>
  <c r="AA221" i="7" s="1"/>
  <c r="AA215" i="7"/>
  <c r="AA212" i="7" s="1"/>
  <c r="AA637" i="7"/>
  <c r="AA283" i="7"/>
  <c r="AA280" i="7" s="1"/>
  <c r="AA455" i="7"/>
  <c r="AA454" i="7" s="1"/>
  <c r="AA343" i="7"/>
  <c r="AA342" i="7" s="1"/>
  <c r="AA367" i="7"/>
  <c r="AA103" i="7"/>
  <c r="AA101" i="7" s="1"/>
  <c r="AA37" i="7"/>
  <c r="AA127" i="7"/>
  <c r="AA665" i="7"/>
  <c r="AA664" i="7" s="1"/>
  <c r="AA95" i="7"/>
  <c r="AA92" i="7" s="1"/>
  <c r="AA485" i="7"/>
  <c r="AA482" i="7" s="1"/>
  <c r="AA643" i="7"/>
  <c r="AA642" i="7" s="1"/>
  <c r="AA245" i="7"/>
  <c r="AA244" i="7" s="1"/>
  <c r="AA313" i="7"/>
  <c r="AA312" i="7" s="1"/>
  <c r="AA217" i="7"/>
  <c r="AA667" i="7"/>
  <c r="AA553" i="7"/>
  <c r="AA551" i="7" s="1"/>
  <c r="AA277" i="7"/>
  <c r="AA125" i="7"/>
  <c r="AA122" i="7" s="1"/>
  <c r="AA487" i="7"/>
  <c r="AA365" i="7"/>
  <c r="AA362" i="7" s="1"/>
  <c r="AA43" i="7"/>
  <c r="AA40" i="7" s="1"/>
  <c r="AA695" i="7"/>
  <c r="AA693" i="7" s="1"/>
  <c r="AA373" i="7"/>
  <c r="AA372" i="7" s="1"/>
  <c r="AA607" i="7"/>
  <c r="AA517" i="7"/>
  <c r="AA155" i="7"/>
  <c r="AA153" i="7" s="1"/>
  <c r="AA193" i="7"/>
  <c r="AA190" i="7" s="1"/>
  <c r="AA97" i="7"/>
  <c r="AA307" i="7"/>
  <c r="AA605" i="7"/>
  <c r="AA602" i="7" s="1"/>
  <c r="AA275" i="7"/>
  <c r="AA272" i="7" s="1"/>
  <c r="AA253" i="7"/>
  <c r="AA251" i="7" s="1"/>
  <c r="AA187" i="7"/>
  <c r="AA697" i="7"/>
  <c r="AA65" i="7"/>
  <c r="AA545" i="7"/>
  <c r="AA635" i="7"/>
  <c r="AA493" i="7"/>
  <c r="AA35" i="7"/>
  <c r="AA395" i="7"/>
  <c r="AA613" i="7"/>
  <c r="AA335" i="7"/>
  <c r="AA133" i="7"/>
  <c r="AA515" i="7"/>
  <c r="AA305" i="7"/>
  <c r="AA73" i="7"/>
  <c r="AA463" i="7"/>
  <c r="AA157" i="7"/>
  <c r="AA185" i="7"/>
  <c r="AA761" i="7"/>
  <c r="AA799" i="7"/>
  <c r="AA760" i="7"/>
  <c r="N815" i="7"/>
  <c r="P815" i="7" s="1"/>
  <c r="R815" i="7" s="1"/>
  <c r="AA801" i="7"/>
  <c r="AA800" i="7"/>
  <c r="W857" i="7"/>
  <c r="W861" i="7" s="1"/>
  <c r="N829" i="7"/>
  <c r="W855" i="7"/>
  <c r="W859" i="7" s="1"/>
  <c r="L861" i="7"/>
  <c r="P851" i="7"/>
  <c r="R851" i="7" s="1"/>
  <c r="N826" i="7"/>
  <c r="AA826" i="7" s="1"/>
  <c r="AA787" i="7"/>
  <c r="N830" i="7"/>
  <c r="P793" i="7"/>
  <c r="R793" i="7" s="1"/>
  <c r="AA785" i="7"/>
  <c r="A947" i="7"/>
  <c r="A950" i="7"/>
  <c r="A945" i="7"/>
  <c r="A943" i="7"/>
  <c r="A937" i="7"/>
  <c r="A940" i="7"/>
  <c r="C925" i="7"/>
  <c r="A932" i="7"/>
  <c r="A946" i="7"/>
  <c r="A955" i="7"/>
  <c r="A951" i="7"/>
  <c r="A935" i="7"/>
  <c r="A933" i="7"/>
  <c r="A941" i="7"/>
  <c r="A934" i="7"/>
  <c r="A942" i="7"/>
  <c r="A949" i="7"/>
  <c r="P842" i="7"/>
  <c r="R842" i="7" s="1"/>
  <c r="D845" i="7"/>
  <c r="Y830" i="7"/>
  <c r="Y831" i="7"/>
  <c r="W815" i="7"/>
  <c r="Y829" i="7"/>
  <c r="L856" i="7"/>
  <c r="J856" i="7"/>
  <c r="N827" i="7"/>
  <c r="AA827" i="7" s="1"/>
  <c r="U852" i="7"/>
  <c r="U853" i="7" s="1"/>
  <c r="L852" i="7"/>
  <c r="L857" i="7"/>
  <c r="J857" i="7"/>
  <c r="J852" i="7"/>
  <c r="L855" i="7"/>
  <c r="J855" i="7"/>
  <c r="J850" i="7"/>
  <c r="P852" i="7"/>
  <c r="R852" i="7" s="1"/>
  <c r="P850" i="7"/>
  <c r="R850" i="7" s="1"/>
  <c r="D853" i="7"/>
  <c r="W853" i="7" s="1"/>
  <c r="J851" i="7"/>
  <c r="N851" i="7" s="1"/>
  <c r="N843" i="7"/>
  <c r="U844" i="7"/>
  <c r="U845" i="7" s="1"/>
  <c r="L844" i="7"/>
  <c r="N844" i="7" s="1"/>
  <c r="L860" i="7"/>
  <c r="N825" i="7"/>
  <c r="AA825" i="7" s="1"/>
  <c r="P843" i="7"/>
  <c r="R843" i="7" s="1"/>
  <c r="U850" i="7"/>
  <c r="F853" i="7"/>
  <c r="L850" i="7"/>
  <c r="W856" i="7"/>
  <c r="W860" i="7" s="1"/>
  <c r="P817" i="7"/>
  <c r="R817" i="7" s="1"/>
  <c r="J859" i="7"/>
  <c r="J860" i="7"/>
  <c r="J861" i="7"/>
  <c r="D899" i="7"/>
  <c r="D901" i="7"/>
  <c r="D898" i="7"/>
  <c r="D897" i="7"/>
  <c r="D895" i="7"/>
  <c r="D900" i="7"/>
  <c r="F873" i="7"/>
  <c r="U873" i="7" s="1"/>
  <c r="D881" i="7"/>
  <c r="F874" i="7"/>
  <c r="G866" i="7"/>
  <c r="F891" i="7"/>
  <c r="U891" i="7" s="1"/>
  <c r="H886" i="7"/>
  <c r="D874" i="7"/>
  <c r="F890" i="7"/>
  <c r="U890" i="7" s="1"/>
  <c r="D891" i="7"/>
  <c r="D866" i="7"/>
  <c r="D885" i="7"/>
  <c r="D886" i="7"/>
  <c r="F880" i="7"/>
  <c r="H887" i="7"/>
  <c r="F877" i="7"/>
  <c r="F889" i="7"/>
  <c r="U889" i="7" s="1"/>
  <c r="D877" i="7"/>
  <c r="W877" i="7" s="1"/>
  <c r="F872" i="7"/>
  <c r="H885" i="7"/>
  <c r="F881" i="7"/>
  <c r="U881" i="7" s="1"/>
  <c r="H890" i="7"/>
  <c r="D880" i="7"/>
  <c r="D890" i="7"/>
  <c r="F886" i="7"/>
  <c r="U886" i="7" s="1"/>
  <c r="F882" i="7"/>
  <c r="F887" i="7"/>
  <c r="U887" i="7" s="1"/>
  <c r="D882" i="7"/>
  <c r="D887" i="7"/>
  <c r="D873" i="7"/>
  <c r="D872" i="7"/>
  <c r="F885" i="7"/>
  <c r="U885" i="7" s="1"/>
  <c r="D889" i="7"/>
  <c r="H889" i="7"/>
  <c r="H891" i="7"/>
  <c r="B947" i="7"/>
  <c r="B946" i="7"/>
  <c r="B942" i="7"/>
  <c r="B949" i="7"/>
  <c r="B940" i="7"/>
  <c r="B950" i="7"/>
  <c r="B955" i="7"/>
  <c r="B932" i="7"/>
  <c r="B934" i="7"/>
  <c r="B941" i="7"/>
  <c r="B935" i="7"/>
  <c r="B943" i="7"/>
  <c r="B937" i="7"/>
  <c r="B933" i="7"/>
  <c r="B945" i="7"/>
  <c r="B951" i="7"/>
  <c r="N820" i="7"/>
  <c r="N823" i="7" s="1"/>
  <c r="P823" i="7" s="1"/>
  <c r="R823" i="7" s="1"/>
  <c r="Y881" i="7"/>
  <c r="Y887" i="7"/>
  <c r="Y882" i="7"/>
  <c r="Y883" i="7" s="1"/>
  <c r="Y874" i="7"/>
  <c r="Y875" i="7" s="1"/>
  <c r="Y880" i="7"/>
  <c r="Y885" i="7"/>
  <c r="Y877" i="7"/>
  <c r="Y873" i="7"/>
  <c r="Y886" i="7"/>
  <c r="Y872" i="7"/>
  <c r="P844" i="7"/>
  <c r="R844" i="7" s="1"/>
  <c r="L847" i="7"/>
  <c r="N847" i="7" s="1"/>
  <c r="U847" i="7"/>
  <c r="U842" i="7"/>
  <c r="F845" i="7"/>
  <c r="L842" i="7"/>
  <c r="N842" i="7" s="1"/>
  <c r="N831" i="7"/>
  <c r="J872" i="7"/>
  <c r="J880" i="7" s="1"/>
  <c r="J873" i="7"/>
  <c r="J874" i="7"/>
  <c r="J877" i="7"/>
  <c r="L859" i="7"/>
  <c r="AA5112" i="7" l="1"/>
  <c r="AA5110" i="7"/>
  <c r="AA5082" i="7"/>
  <c r="AA5232" i="7"/>
  <c r="AA5230" i="7"/>
  <c r="AA5231" i="7"/>
  <c r="AA4892" i="7"/>
  <c r="AA4894" i="7"/>
  <c r="AA4893" i="7"/>
  <c r="AA5320" i="7"/>
  <c r="AA5081" i="7"/>
  <c r="AA5321" i="7"/>
  <c r="AA4602" i="7"/>
  <c r="AA5194" i="7"/>
  <c r="AA4601" i="7"/>
  <c r="AA5193" i="7"/>
  <c r="AA722" i="7"/>
  <c r="AA4323" i="7"/>
  <c r="AA4324" i="7"/>
  <c r="AA4301" i="7"/>
  <c r="AA4300" i="7"/>
  <c r="AA4302" i="7"/>
  <c r="AA4841" i="7"/>
  <c r="AA4842" i="7"/>
  <c r="AA4840" i="7"/>
  <c r="AA724" i="7"/>
  <c r="AA753" i="7"/>
  <c r="AA754" i="7"/>
  <c r="AA701" i="7"/>
  <c r="AA732" i="7"/>
  <c r="AA730" i="7"/>
  <c r="AA700" i="7"/>
  <c r="AA574" i="7"/>
  <c r="AA572" i="7"/>
  <c r="AA402" i="7"/>
  <c r="AA400" i="7"/>
  <c r="AA583" i="7"/>
  <c r="AA161" i="7"/>
  <c r="AA162" i="7"/>
  <c r="AA671" i="7"/>
  <c r="AA520" i="7"/>
  <c r="AA521" i="7"/>
  <c r="AA672" i="7"/>
  <c r="AA220" i="7"/>
  <c r="AA281" i="7"/>
  <c r="AA453" i="7"/>
  <c r="AA340" i="7"/>
  <c r="AA341" i="7"/>
  <c r="AA222" i="7"/>
  <c r="AA282" i="7"/>
  <c r="AA42" i="7"/>
  <c r="AA552" i="7"/>
  <c r="AA214" i="7"/>
  <c r="AA452" i="7"/>
  <c r="AA213" i="7"/>
  <c r="AA102" i="7"/>
  <c r="AA663" i="7"/>
  <c r="AA100" i="7"/>
  <c r="AA662" i="7"/>
  <c r="AA41" i="7"/>
  <c r="AA93" i="7"/>
  <c r="AA94" i="7"/>
  <c r="AA692" i="7"/>
  <c r="AA273" i="7"/>
  <c r="AA242" i="7"/>
  <c r="AA243" i="7"/>
  <c r="AA484" i="7"/>
  <c r="AA694" i="7"/>
  <c r="AA124" i="7"/>
  <c r="AA274" i="7"/>
  <c r="AA250" i="7"/>
  <c r="AA252" i="7"/>
  <c r="AA310" i="7"/>
  <c r="AA123" i="7"/>
  <c r="AA311" i="7"/>
  <c r="AA603" i="7"/>
  <c r="AA604" i="7"/>
  <c r="AA640" i="7"/>
  <c r="AA364" i="7"/>
  <c r="AA641" i="7"/>
  <c r="AA483" i="7"/>
  <c r="AA550" i="7"/>
  <c r="AA363" i="7"/>
  <c r="AA152" i="7"/>
  <c r="AA191" i="7"/>
  <c r="AA154" i="7"/>
  <c r="AA192" i="7"/>
  <c r="AA370" i="7"/>
  <c r="AA371" i="7"/>
  <c r="AA302" i="7"/>
  <c r="AA304" i="7"/>
  <c r="AA303" i="7"/>
  <c r="AA393" i="7"/>
  <c r="AA394" i="7"/>
  <c r="AA392" i="7"/>
  <c r="AA542" i="7"/>
  <c r="AA543" i="7"/>
  <c r="AA544" i="7"/>
  <c r="AA513" i="7"/>
  <c r="AA514" i="7"/>
  <c r="AA512" i="7"/>
  <c r="AA34" i="7"/>
  <c r="AA33" i="7"/>
  <c r="AA32" i="7"/>
  <c r="AA131" i="7"/>
  <c r="AA132" i="7"/>
  <c r="AA130" i="7"/>
  <c r="AA462" i="7"/>
  <c r="AA460" i="7"/>
  <c r="AA461" i="7"/>
  <c r="AA492" i="7"/>
  <c r="AA491" i="7"/>
  <c r="AA490" i="7"/>
  <c r="AA62" i="7"/>
  <c r="AA63" i="7"/>
  <c r="AA64" i="7"/>
  <c r="AA182" i="7"/>
  <c r="AA184" i="7"/>
  <c r="AA183" i="7"/>
  <c r="AA332" i="7"/>
  <c r="AA334" i="7"/>
  <c r="AA333" i="7"/>
  <c r="AA70" i="7"/>
  <c r="AA71" i="7"/>
  <c r="AA72" i="7"/>
  <c r="AA632" i="7"/>
  <c r="AA633" i="7"/>
  <c r="AA634" i="7"/>
  <c r="AA611" i="7"/>
  <c r="AA612" i="7"/>
  <c r="AA610" i="7"/>
  <c r="N845" i="7"/>
  <c r="P845" i="7" s="1"/>
  <c r="R845" i="7" s="1"/>
  <c r="N852" i="7"/>
  <c r="N855" i="7"/>
  <c r="AA855" i="7" s="1"/>
  <c r="N857" i="7"/>
  <c r="AA857" i="7" s="1"/>
  <c r="AA829" i="7"/>
  <c r="AA831" i="7"/>
  <c r="AA830" i="7"/>
  <c r="W885" i="7"/>
  <c r="W889" i="7" s="1"/>
  <c r="N861" i="7"/>
  <c r="P881" i="7"/>
  <c r="R881" i="7" s="1"/>
  <c r="AA793" i="7"/>
  <c r="AA790" i="7" s="1"/>
  <c r="L890" i="7"/>
  <c r="AA817" i="7"/>
  <c r="L889" i="7"/>
  <c r="AA823" i="7"/>
  <c r="AA821" i="7" s="1"/>
  <c r="N856" i="7"/>
  <c r="AA856" i="7" s="1"/>
  <c r="N850" i="7"/>
  <c r="P873" i="7"/>
  <c r="R873" i="7" s="1"/>
  <c r="N860" i="7"/>
  <c r="AA815" i="7"/>
  <c r="AA812" i="7" s="1"/>
  <c r="F875" i="7"/>
  <c r="U872" i="7"/>
  <c r="L872" i="7"/>
  <c r="N872" i="7" s="1"/>
  <c r="A985" i="7"/>
  <c r="A977" i="7"/>
  <c r="A962" i="7"/>
  <c r="A973" i="7"/>
  <c r="A967" i="7"/>
  <c r="A970" i="7"/>
  <c r="A981" i="7"/>
  <c r="A980" i="7"/>
  <c r="A976" i="7"/>
  <c r="A975" i="7"/>
  <c r="A979" i="7"/>
  <c r="C955" i="7"/>
  <c r="A971" i="7"/>
  <c r="A964" i="7"/>
  <c r="A965" i="7"/>
  <c r="A963" i="7"/>
  <c r="A972" i="7"/>
  <c r="U877" i="7"/>
  <c r="L877" i="7"/>
  <c r="N877" i="7" s="1"/>
  <c r="D911" i="7"/>
  <c r="H919" i="7"/>
  <c r="D904" i="7"/>
  <c r="F907" i="7"/>
  <c r="D896" i="7"/>
  <c r="F919" i="7"/>
  <c r="U919" i="7" s="1"/>
  <c r="F921" i="7"/>
  <c r="U921" i="7" s="1"/>
  <c r="F916" i="7"/>
  <c r="U916" i="7" s="1"/>
  <c r="H915" i="7"/>
  <c r="D921" i="7"/>
  <c r="F915" i="7"/>
  <c r="U915" i="7" s="1"/>
  <c r="D916" i="7"/>
  <c r="D919" i="7"/>
  <c r="D917" i="7"/>
  <c r="D902" i="7"/>
  <c r="F902" i="7"/>
  <c r="H917" i="7"/>
  <c r="D920" i="7"/>
  <c r="F910" i="7"/>
  <c r="F917" i="7"/>
  <c r="U917" i="7" s="1"/>
  <c r="D915" i="7"/>
  <c r="D903" i="7"/>
  <c r="F903" i="7"/>
  <c r="U903" i="7" s="1"/>
  <c r="F911" i="7"/>
  <c r="U911" i="7" s="1"/>
  <c r="H920" i="7"/>
  <c r="F904" i="7"/>
  <c r="D910" i="7"/>
  <c r="G896" i="7"/>
  <c r="F920" i="7"/>
  <c r="U920" i="7" s="1"/>
  <c r="H921" i="7"/>
  <c r="F912" i="7"/>
  <c r="H916" i="7"/>
  <c r="D912" i="7"/>
  <c r="D907" i="7"/>
  <c r="W907" i="7" s="1"/>
  <c r="D928" i="7"/>
  <c r="D927" i="7"/>
  <c r="D925" i="7"/>
  <c r="D929" i="7"/>
  <c r="D931" i="7"/>
  <c r="D930" i="7"/>
  <c r="P872" i="7"/>
  <c r="R872" i="7" s="1"/>
  <c r="D875" i="7"/>
  <c r="J904" i="7"/>
  <c r="J912" i="7" s="1"/>
  <c r="J907" i="7"/>
  <c r="J903" i="7"/>
  <c r="J902" i="7"/>
  <c r="U880" i="7"/>
  <c r="F883" i="7"/>
  <c r="L880" i="7"/>
  <c r="N880" i="7" s="1"/>
  <c r="L887" i="7"/>
  <c r="J887" i="7"/>
  <c r="L886" i="7"/>
  <c r="J886" i="7"/>
  <c r="Y903" i="7"/>
  <c r="Y911" i="7"/>
  <c r="Y904" i="7"/>
  <c r="Y905" i="7" s="1"/>
  <c r="Y910" i="7"/>
  <c r="Y916" i="7"/>
  <c r="Y912" i="7"/>
  <c r="Y913" i="7" s="1"/>
  <c r="Y917" i="7"/>
  <c r="Y902" i="7"/>
  <c r="Y907" i="7"/>
  <c r="Y915" i="7"/>
  <c r="Y860" i="7"/>
  <c r="Y861" i="7"/>
  <c r="W845" i="7"/>
  <c r="Y859" i="7"/>
  <c r="P882" i="7"/>
  <c r="R882" i="7" s="1"/>
  <c r="L885" i="7"/>
  <c r="J885" i="7"/>
  <c r="J889" i="7"/>
  <c r="J891" i="7"/>
  <c r="J890" i="7"/>
  <c r="W886" i="7"/>
  <c r="W890" i="7" s="1"/>
  <c r="L882" i="7"/>
  <c r="U882" i="7"/>
  <c r="U883" i="7" s="1"/>
  <c r="L891" i="7"/>
  <c r="W887" i="7"/>
  <c r="W891" i="7" s="1"/>
  <c r="AA784" i="7"/>
  <c r="AA782" i="7"/>
  <c r="AA783" i="7"/>
  <c r="B970" i="7"/>
  <c r="B980" i="7"/>
  <c r="B964" i="7"/>
  <c r="B975" i="7"/>
  <c r="B971" i="7"/>
  <c r="B963" i="7"/>
  <c r="B972" i="7"/>
  <c r="B985" i="7"/>
  <c r="B977" i="7"/>
  <c r="B962" i="7"/>
  <c r="B973" i="7"/>
  <c r="B965" i="7"/>
  <c r="B967" i="7"/>
  <c r="B979" i="7"/>
  <c r="B981" i="7"/>
  <c r="B976" i="7"/>
  <c r="U874" i="7"/>
  <c r="U875" i="7" s="1"/>
  <c r="L874" i="7"/>
  <c r="N874" i="7" s="1"/>
  <c r="P847" i="7"/>
  <c r="R847" i="7" s="1"/>
  <c r="J882" i="7"/>
  <c r="P874" i="7"/>
  <c r="R874" i="7" s="1"/>
  <c r="N873" i="7"/>
  <c r="J881" i="7"/>
  <c r="N881" i="7" s="1"/>
  <c r="P880" i="7"/>
  <c r="R880" i="7" s="1"/>
  <c r="D883" i="7"/>
  <c r="W883" i="7" s="1"/>
  <c r="N859" i="7"/>
  <c r="AA582" i="7" l="1"/>
  <c r="AA581" i="7"/>
  <c r="AA580" i="7"/>
  <c r="N853" i="7"/>
  <c r="P853" i="7" s="1"/>
  <c r="R853" i="7" s="1"/>
  <c r="N887" i="7"/>
  <c r="AA887" i="7" s="1"/>
  <c r="N889" i="7"/>
  <c r="L921" i="7"/>
  <c r="AA791" i="7"/>
  <c r="AA792" i="7"/>
  <c r="AA820" i="7"/>
  <c r="AA822" i="7"/>
  <c r="N885" i="7"/>
  <c r="AA885" i="7" s="1"/>
  <c r="AA813" i="7"/>
  <c r="AA814" i="7"/>
  <c r="AA861" i="7"/>
  <c r="P912" i="7"/>
  <c r="R912" i="7" s="1"/>
  <c r="N890" i="7"/>
  <c r="AA859" i="7"/>
  <c r="AA860" i="7"/>
  <c r="W916" i="7"/>
  <c r="W920" i="7" s="1"/>
  <c r="N882" i="7"/>
  <c r="N883" i="7" s="1"/>
  <c r="AA845" i="7"/>
  <c r="AA844" i="7" s="1"/>
  <c r="P903" i="7"/>
  <c r="R903" i="7" s="1"/>
  <c r="W915" i="7"/>
  <c r="W919" i="7" s="1"/>
  <c r="AA847" i="7"/>
  <c r="L920" i="7"/>
  <c r="J934" i="7"/>
  <c r="J942" i="7" s="1"/>
  <c r="J933" i="7"/>
  <c r="J937" i="7"/>
  <c r="J932" i="7"/>
  <c r="U907" i="7"/>
  <c r="L907" i="7"/>
  <c r="N907" i="7" s="1"/>
  <c r="B1007" i="7"/>
  <c r="B1003" i="7"/>
  <c r="B1010" i="7"/>
  <c r="B1005" i="7"/>
  <c r="B1006" i="7"/>
  <c r="B1002" i="7"/>
  <c r="B1015" i="7"/>
  <c r="B997" i="7"/>
  <c r="B1001" i="7"/>
  <c r="B992" i="7"/>
  <c r="B1000" i="7"/>
  <c r="B993" i="7"/>
  <c r="B1009" i="7"/>
  <c r="B994" i="7"/>
  <c r="B1011" i="7"/>
  <c r="B995" i="7"/>
  <c r="J910" i="7"/>
  <c r="P911" i="7"/>
  <c r="R911" i="7" s="1"/>
  <c r="F945" i="7"/>
  <c r="U945" i="7" s="1"/>
  <c r="F937" i="7"/>
  <c r="D950" i="7"/>
  <c r="H947" i="7"/>
  <c r="H951" i="7"/>
  <c r="F934" i="7"/>
  <c r="F951" i="7"/>
  <c r="U951" i="7" s="1"/>
  <c r="D946" i="7"/>
  <c r="D949" i="7"/>
  <c r="D947" i="7"/>
  <c r="F933" i="7"/>
  <c r="U933" i="7" s="1"/>
  <c r="F940" i="7"/>
  <c r="D933" i="7"/>
  <c r="H950" i="7"/>
  <c r="F942" i="7"/>
  <c r="D942" i="7"/>
  <c r="H949" i="7"/>
  <c r="D945" i="7"/>
  <c r="G926" i="7"/>
  <c r="F949" i="7"/>
  <c r="U949" i="7" s="1"/>
  <c r="D951" i="7"/>
  <c r="F932" i="7"/>
  <c r="F947" i="7"/>
  <c r="U947" i="7" s="1"/>
  <c r="D932" i="7"/>
  <c r="H946" i="7"/>
  <c r="D937" i="7"/>
  <c r="W937" i="7" s="1"/>
  <c r="D934" i="7"/>
  <c r="D926" i="7"/>
  <c r="F946" i="7"/>
  <c r="U946" i="7" s="1"/>
  <c r="H945" i="7"/>
  <c r="D940" i="7"/>
  <c r="F950" i="7"/>
  <c r="U950" i="7" s="1"/>
  <c r="D941" i="7"/>
  <c r="F941" i="7"/>
  <c r="U941" i="7" s="1"/>
  <c r="J911" i="7"/>
  <c r="N911" i="7" s="1"/>
  <c r="N903" i="7"/>
  <c r="U902" i="7"/>
  <c r="L902" i="7"/>
  <c r="N902" i="7" s="1"/>
  <c r="F905" i="7"/>
  <c r="J920" i="7"/>
  <c r="J919" i="7"/>
  <c r="J921" i="7"/>
  <c r="P904" i="7"/>
  <c r="R904" i="7" s="1"/>
  <c r="N891" i="7"/>
  <c r="L917" i="7"/>
  <c r="J917" i="7"/>
  <c r="W875" i="7"/>
  <c r="Y890" i="7"/>
  <c r="Y891" i="7"/>
  <c r="Y889" i="7"/>
  <c r="L919" i="7"/>
  <c r="L910" i="7"/>
  <c r="U910" i="7"/>
  <c r="F913" i="7"/>
  <c r="P902" i="7"/>
  <c r="R902" i="7" s="1"/>
  <c r="D905" i="7"/>
  <c r="W917" i="7"/>
  <c r="W921" i="7" s="1"/>
  <c r="L916" i="7"/>
  <c r="J916" i="7"/>
  <c r="D961" i="7"/>
  <c r="D960" i="7"/>
  <c r="D958" i="7"/>
  <c r="D959" i="7"/>
  <c r="D955" i="7"/>
  <c r="D957" i="7"/>
  <c r="D913" i="7"/>
  <c r="W913" i="7" s="1"/>
  <c r="P910" i="7"/>
  <c r="R910" i="7" s="1"/>
  <c r="A1011" i="7"/>
  <c r="A1006" i="7"/>
  <c r="A1005" i="7"/>
  <c r="A1010" i="7"/>
  <c r="A1000" i="7"/>
  <c r="A997" i="7"/>
  <c r="A994" i="7"/>
  <c r="A1002" i="7"/>
  <c r="A1007" i="7"/>
  <c r="A992" i="7"/>
  <c r="A1003" i="7"/>
  <c r="A1009" i="7"/>
  <c r="A1015" i="7"/>
  <c r="A993" i="7"/>
  <c r="A1001" i="7"/>
  <c r="C985" i="7"/>
  <c r="A995" i="7"/>
  <c r="U912" i="7"/>
  <c r="U913" i="7" s="1"/>
  <c r="L912" i="7"/>
  <c r="N912" i="7" s="1"/>
  <c r="N886" i="7"/>
  <c r="AA886" i="7" s="1"/>
  <c r="U904" i="7"/>
  <c r="U905" i="7" s="1"/>
  <c r="L904" i="7"/>
  <c r="N904" i="7" s="1"/>
  <c r="P877" i="7"/>
  <c r="R877" i="7" s="1"/>
  <c r="N875" i="7"/>
  <c r="J915" i="7"/>
  <c r="L915" i="7"/>
  <c r="Y946" i="7"/>
  <c r="Y947" i="7"/>
  <c r="Y940" i="7"/>
  <c r="Y945" i="7"/>
  <c r="Y932" i="7"/>
  <c r="Y934" i="7"/>
  <c r="Y935" i="7" s="1"/>
  <c r="Y937" i="7"/>
  <c r="Y933" i="7"/>
  <c r="Y941" i="7"/>
  <c r="Y942" i="7"/>
  <c r="Y943" i="7" s="1"/>
  <c r="AA853" i="7" l="1"/>
  <c r="AA851" i="7" s="1"/>
  <c r="AA889" i="7"/>
  <c r="N921" i="7"/>
  <c r="N920" i="7"/>
  <c r="AA890" i="7"/>
  <c r="N905" i="7"/>
  <c r="P905" i="7" s="1"/>
  <c r="R905" i="7" s="1"/>
  <c r="AA877" i="7"/>
  <c r="AA843" i="7"/>
  <c r="AA842" i="7"/>
  <c r="P933" i="7"/>
  <c r="R933" i="7" s="1"/>
  <c r="N917" i="7"/>
  <c r="AA917" i="7" s="1"/>
  <c r="W945" i="7"/>
  <c r="W949" i="7" s="1"/>
  <c r="L950" i="7"/>
  <c r="P941" i="7"/>
  <c r="R941" i="7" s="1"/>
  <c r="W947" i="7"/>
  <c r="W951" i="7" s="1"/>
  <c r="N916" i="7"/>
  <c r="AA916" i="7" s="1"/>
  <c r="P907" i="7"/>
  <c r="R907" i="7" s="1"/>
  <c r="L951" i="7"/>
  <c r="B1023" i="7"/>
  <c r="B1030" i="7"/>
  <c r="B1045" i="7"/>
  <c r="B1040" i="7"/>
  <c r="B1025" i="7"/>
  <c r="B1037" i="7"/>
  <c r="B1022" i="7"/>
  <c r="B1033" i="7"/>
  <c r="B1027" i="7"/>
  <c r="B1035" i="7"/>
  <c r="B1031" i="7"/>
  <c r="B1024" i="7"/>
  <c r="B1041" i="7"/>
  <c r="B1036" i="7"/>
  <c r="B1032" i="7"/>
  <c r="B1039" i="7"/>
  <c r="Y921" i="7"/>
  <c r="W905" i="7"/>
  <c r="Y919" i="7"/>
  <c r="Y920" i="7"/>
  <c r="L945" i="7"/>
  <c r="J945" i="7"/>
  <c r="U937" i="7"/>
  <c r="L937" i="7"/>
  <c r="N937" i="7" s="1"/>
  <c r="P942" i="7"/>
  <c r="R942" i="7" s="1"/>
  <c r="D985" i="7"/>
  <c r="D991" i="7"/>
  <c r="D989" i="7"/>
  <c r="D987" i="7"/>
  <c r="D990" i="7"/>
  <c r="D988" i="7"/>
  <c r="D943" i="7"/>
  <c r="W943" i="7" s="1"/>
  <c r="P940" i="7"/>
  <c r="R940" i="7" s="1"/>
  <c r="U942" i="7"/>
  <c r="U943" i="7" s="1"/>
  <c r="L942" i="7"/>
  <c r="N942" i="7" s="1"/>
  <c r="N910" i="7"/>
  <c r="N913" i="7" s="1"/>
  <c r="P883" i="7"/>
  <c r="R883" i="7" s="1"/>
  <c r="Y975" i="7"/>
  <c r="Y971" i="7"/>
  <c r="Y967" i="7"/>
  <c r="Y963" i="7"/>
  <c r="Y964" i="7"/>
  <c r="Y965" i="7" s="1"/>
  <c r="Y976" i="7"/>
  <c r="Y977" i="7"/>
  <c r="Y970" i="7"/>
  <c r="Y972" i="7"/>
  <c r="Y973" i="7" s="1"/>
  <c r="Y962" i="7"/>
  <c r="U940" i="7"/>
  <c r="F943" i="7"/>
  <c r="L940" i="7"/>
  <c r="L934" i="7"/>
  <c r="N934" i="7" s="1"/>
  <c r="U934" i="7"/>
  <c r="U935" i="7" s="1"/>
  <c r="J950" i="7"/>
  <c r="J951" i="7"/>
  <c r="J949" i="7"/>
  <c r="N915" i="7"/>
  <c r="AA915" i="7" s="1"/>
  <c r="J964" i="7"/>
  <c r="J972" i="7" s="1"/>
  <c r="J963" i="7"/>
  <c r="J962" i="7"/>
  <c r="J967" i="7"/>
  <c r="P934" i="7"/>
  <c r="R934" i="7" s="1"/>
  <c r="J940" i="7"/>
  <c r="F967" i="7"/>
  <c r="H976" i="7"/>
  <c r="F963" i="7"/>
  <c r="U963" i="7" s="1"/>
  <c r="F972" i="7"/>
  <c r="D963" i="7"/>
  <c r="F971" i="7"/>
  <c r="U971" i="7" s="1"/>
  <c r="D975" i="7"/>
  <c r="H977" i="7"/>
  <c r="F977" i="7"/>
  <c r="U977" i="7" s="1"/>
  <c r="H980" i="7"/>
  <c r="D970" i="7"/>
  <c r="F980" i="7"/>
  <c r="U980" i="7" s="1"/>
  <c r="D962" i="7"/>
  <c r="F964" i="7"/>
  <c r="G956" i="7"/>
  <c r="F979" i="7"/>
  <c r="U979" i="7" s="1"/>
  <c r="D964" i="7"/>
  <c r="D967" i="7"/>
  <c r="W967" i="7" s="1"/>
  <c r="D956" i="7"/>
  <c r="D979" i="7"/>
  <c r="F976" i="7"/>
  <c r="U976" i="7" s="1"/>
  <c r="F970" i="7"/>
  <c r="H981" i="7"/>
  <c r="D971" i="7"/>
  <c r="D980" i="7"/>
  <c r="D976" i="7"/>
  <c r="H975" i="7"/>
  <c r="F975" i="7"/>
  <c r="U975" i="7" s="1"/>
  <c r="F981" i="7"/>
  <c r="U981" i="7" s="1"/>
  <c r="D977" i="7"/>
  <c r="D981" i="7"/>
  <c r="F962" i="7"/>
  <c r="D972" i="7"/>
  <c r="H979" i="7"/>
  <c r="AA891" i="7"/>
  <c r="N919" i="7"/>
  <c r="L947" i="7"/>
  <c r="J947" i="7"/>
  <c r="A1036" i="7"/>
  <c r="A1024" i="7"/>
  <c r="C1015" i="7"/>
  <c r="A1033" i="7"/>
  <c r="A1027" i="7"/>
  <c r="A1039" i="7"/>
  <c r="A1023" i="7"/>
  <c r="A1022" i="7"/>
  <c r="A1030" i="7"/>
  <c r="A1032" i="7"/>
  <c r="A1040" i="7"/>
  <c r="A1035" i="7"/>
  <c r="A1031" i="7"/>
  <c r="A1025" i="7"/>
  <c r="A1041" i="7"/>
  <c r="A1037" i="7"/>
  <c r="A1045" i="7"/>
  <c r="P875" i="7"/>
  <c r="R875" i="7" s="1"/>
  <c r="W946" i="7"/>
  <c r="W950" i="7" s="1"/>
  <c r="L949" i="7"/>
  <c r="J941" i="7"/>
  <c r="N941" i="7" s="1"/>
  <c r="N933" i="7"/>
  <c r="F935" i="7"/>
  <c r="L932" i="7"/>
  <c r="N932" i="7" s="1"/>
  <c r="U932" i="7"/>
  <c r="P932" i="7"/>
  <c r="R932" i="7" s="1"/>
  <c r="D935" i="7"/>
  <c r="J946" i="7"/>
  <c r="L946" i="7"/>
  <c r="AA852" i="7" l="1"/>
  <c r="AA850" i="7"/>
  <c r="AA921" i="7"/>
  <c r="AA920" i="7"/>
  <c r="W976" i="7"/>
  <c r="W980" i="7" s="1"/>
  <c r="L981" i="7"/>
  <c r="AA905" i="7"/>
  <c r="AA903" i="7" s="1"/>
  <c r="L979" i="7"/>
  <c r="AA919" i="7"/>
  <c r="N950" i="7"/>
  <c r="N947" i="7"/>
  <c r="AA947" i="7" s="1"/>
  <c r="AA875" i="7"/>
  <c r="AA873" i="7" s="1"/>
  <c r="AA883" i="7"/>
  <c r="AA882" i="7" s="1"/>
  <c r="AA907" i="7"/>
  <c r="W977" i="7"/>
  <c r="W981" i="7" s="1"/>
  <c r="N951" i="7"/>
  <c r="W975" i="7"/>
  <c r="W979" i="7" s="1"/>
  <c r="N945" i="7"/>
  <c r="AA945" i="7" s="1"/>
  <c r="P963" i="7"/>
  <c r="R963" i="7" s="1"/>
  <c r="N935" i="7"/>
  <c r="P935" i="7" s="1"/>
  <c r="R935" i="7" s="1"/>
  <c r="D1020" i="7"/>
  <c r="D1019" i="7"/>
  <c r="D1018" i="7"/>
  <c r="D1015" i="7"/>
  <c r="D1021" i="7"/>
  <c r="D1017" i="7"/>
  <c r="D1002" i="7"/>
  <c r="H1006" i="7"/>
  <c r="D1007" i="7"/>
  <c r="D994" i="7"/>
  <c r="D986" i="7"/>
  <c r="D992" i="7"/>
  <c r="D1009" i="7"/>
  <c r="H1009" i="7"/>
  <c r="F1001" i="7"/>
  <c r="U1001" i="7" s="1"/>
  <c r="F994" i="7"/>
  <c r="D1005" i="7"/>
  <c r="G986" i="7"/>
  <c r="D1001" i="7"/>
  <c r="F1009" i="7"/>
  <c r="U1009" i="7" s="1"/>
  <c r="D1011" i="7"/>
  <c r="F1006" i="7"/>
  <c r="U1006" i="7" s="1"/>
  <c r="F1000" i="7"/>
  <c r="D997" i="7"/>
  <c r="W997" i="7" s="1"/>
  <c r="H1010" i="7"/>
  <c r="D1000" i="7"/>
  <c r="F1007" i="7"/>
  <c r="U1007" i="7" s="1"/>
  <c r="F1010" i="7"/>
  <c r="U1010" i="7" s="1"/>
  <c r="F993" i="7"/>
  <c r="U993" i="7" s="1"/>
  <c r="F997" i="7"/>
  <c r="F1005" i="7"/>
  <c r="U1005" i="7" s="1"/>
  <c r="D1010" i="7"/>
  <c r="H1011" i="7"/>
  <c r="D993" i="7"/>
  <c r="F1011" i="7"/>
  <c r="U1011" i="7" s="1"/>
  <c r="D1006" i="7"/>
  <c r="H1007" i="7"/>
  <c r="F1002" i="7"/>
  <c r="F992" i="7"/>
  <c r="H1005" i="7"/>
  <c r="A1062" i="7"/>
  <c r="A1075" i="7"/>
  <c r="A1067" i="7"/>
  <c r="A1063" i="7"/>
  <c r="A1069" i="7"/>
  <c r="A1060" i="7"/>
  <c r="A1061" i="7"/>
  <c r="A1054" i="7"/>
  <c r="A1065" i="7"/>
  <c r="A1066" i="7"/>
  <c r="A1070" i="7"/>
  <c r="A1052" i="7"/>
  <c r="A1055" i="7"/>
  <c r="A1057" i="7"/>
  <c r="A1053" i="7"/>
  <c r="C1045" i="7"/>
  <c r="A1071" i="7"/>
  <c r="P971" i="7"/>
  <c r="R971" i="7" s="1"/>
  <c r="N949" i="7"/>
  <c r="P937" i="7"/>
  <c r="R937" i="7" s="1"/>
  <c r="J975" i="7"/>
  <c r="L975" i="7"/>
  <c r="L970" i="7"/>
  <c r="U970" i="7"/>
  <c r="F973" i="7"/>
  <c r="N946" i="7"/>
  <c r="AA946" i="7" s="1"/>
  <c r="Y1000" i="7"/>
  <c r="Y993" i="7"/>
  <c r="Y992" i="7"/>
  <c r="Y1002" i="7"/>
  <c r="Y1003" i="7" s="1"/>
  <c r="Y997" i="7"/>
  <c r="Y994" i="7"/>
  <c r="Y995" i="7" s="1"/>
  <c r="Y1007" i="7"/>
  <c r="Y1001" i="7"/>
  <c r="Y1005" i="7"/>
  <c r="Y1006" i="7"/>
  <c r="U972" i="7"/>
  <c r="U973" i="7" s="1"/>
  <c r="L972" i="7"/>
  <c r="N972" i="7" s="1"/>
  <c r="P913" i="7"/>
  <c r="R913" i="7" s="1"/>
  <c r="J979" i="7"/>
  <c r="J981" i="7"/>
  <c r="J980" i="7"/>
  <c r="B1069" i="7"/>
  <c r="B1053" i="7"/>
  <c r="B1065" i="7"/>
  <c r="B1067" i="7"/>
  <c r="B1071" i="7"/>
  <c r="B1055" i="7"/>
  <c r="B1062" i="7"/>
  <c r="B1057" i="7"/>
  <c r="B1060" i="7"/>
  <c r="B1075" i="7"/>
  <c r="B1061" i="7"/>
  <c r="B1052" i="7"/>
  <c r="B1054" i="7"/>
  <c r="B1066" i="7"/>
  <c r="B1063" i="7"/>
  <c r="B1070" i="7"/>
  <c r="L976" i="7"/>
  <c r="J976" i="7"/>
  <c r="P972" i="7"/>
  <c r="R972" i="7" s="1"/>
  <c r="P964" i="7"/>
  <c r="R964" i="7" s="1"/>
  <c r="L967" i="7"/>
  <c r="N967" i="7" s="1"/>
  <c r="U967" i="7"/>
  <c r="N963" i="7"/>
  <c r="J971" i="7"/>
  <c r="N971" i="7" s="1"/>
  <c r="F965" i="7"/>
  <c r="L962" i="7"/>
  <c r="N962" i="7" s="1"/>
  <c r="U962" i="7"/>
  <c r="N940" i="7"/>
  <c r="N943" i="7" s="1"/>
  <c r="J970" i="7"/>
  <c r="P970" i="7"/>
  <c r="R970" i="7" s="1"/>
  <c r="D973" i="7"/>
  <c r="W973" i="7" s="1"/>
  <c r="J977" i="7"/>
  <c r="L977" i="7"/>
  <c r="U964" i="7"/>
  <c r="U965" i="7" s="1"/>
  <c r="L964" i="7"/>
  <c r="N964" i="7" s="1"/>
  <c r="L980" i="7"/>
  <c r="Y951" i="7"/>
  <c r="Y950" i="7"/>
  <c r="W935" i="7"/>
  <c r="Y949" i="7"/>
  <c r="D965" i="7"/>
  <c r="P962" i="7"/>
  <c r="R962" i="7" s="1"/>
  <c r="J997" i="7"/>
  <c r="J994" i="7"/>
  <c r="J1002" i="7" s="1"/>
  <c r="J993" i="7"/>
  <c r="J992" i="7"/>
  <c r="AA902" i="7" l="1"/>
  <c r="AA874" i="7"/>
  <c r="AA950" i="7"/>
  <c r="AA904" i="7"/>
  <c r="AA872" i="7"/>
  <c r="N981" i="7"/>
  <c r="N979" i="7"/>
  <c r="AA951" i="7"/>
  <c r="AA881" i="7"/>
  <c r="AA880" i="7"/>
  <c r="N965" i="7"/>
  <c r="P965" i="7" s="1"/>
  <c r="R965" i="7" s="1"/>
  <c r="N970" i="7"/>
  <c r="N973" i="7" s="1"/>
  <c r="P994" i="7"/>
  <c r="R994" i="7" s="1"/>
  <c r="N980" i="7"/>
  <c r="AA913" i="7"/>
  <c r="AA912" i="7" s="1"/>
  <c r="AA935" i="7"/>
  <c r="AA932" i="7" s="1"/>
  <c r="N977" i="7"/>
  <c r="AA977" i="7" s="1"/>
  <c r="L1009" i="7"/>
  <c r="P967" i="7"/>
  <c r="R967" i="7" s="1"/>
  <c r="AA949" i="7"/>
  <c r="P992" i="7"/>
  <c r="R992" i="7" s="1"/>
  <c r="D995" i="7"/>
  <c r="P943" i="7"/>
  <c r="R943" i="7" s="1"/>
  <c r="P1000" i="7"/>
  <c r="R1000" i="7" s="1"/>
  <c r="D1003" i="7"/>
  <c r="W1003" i="7" s="1"/>
  <c r="L997" i="7"/>
  <c r="N997" i="7" s="1"/>
  <c r="U997" i="7"/>
  <c r="A1095" i="7"/>
  <c r="A1084" i="7"/>
  <c r="A1091" i="7"/>
  <c r="A1092" i="7"/>
  <c r="A1087" i="7"/>
  <c r="A1090" i="7"/>
  <c r="A1096" i="7"/>
  <c r="A1099" i="7"/>
  <c r="A1083" i="7"/>
  <c r="A1101" i="7"/>
  <c r="A1100" i="7"/>
  <c r="C1075" i="7"/>
  <c r="A1085" i="7"/>
  <c r="A1105" i="7"/>
  <c r="A1097" i="7"/>
  <c r="A1082" i="7"/>
  <c r="A1093" i="7"/>
  <c r="D1050" i="7"/>
  <c r="D1049" i="7"/>
  <c r="D1051" i="7"/>
  <c r="D1048" i="7"/>
  <c r="D1047" i="7"/>
  <c r="D1045" i="7"/>
  <c r="L1007" i="7"/>
  <c r="J1007" i="7"/>
  <c r="Y980" i="7"/>
  <c r="Y979" i="7"/>
  <c r="Y981" i="7"/>
  <c r="W965" i="7"/>
  <c r="J1009" i="7"/>
  <c r="J1011" i="7"/>
  <c r="J1010" i="7"/>
  <c r="B1085" i="7"/>
  <c r="B1093" i="7"/>
  <c r="B1087" i="7"/>
  <c r="B1099" i="7"/>
  <c r="B1096" i="7"/>
  <c r="B1095" i="7"/>
  <c r="B1091" i="7"/>
  <c r="B1100" i="7"/>
  <c r="B1084" i="7"/>
  <c r="B1090" i="7"/>
  <c r="B1092" i="7"/>
  <c r="B1105" i="7"/>
  <c r="B1097" i="7"/>
  <c r="B1082" i="7"/>
  <c r="B1101" i="7"/>
  <c r="B1083" i="7"/>
  <c r="L992" i="7"/>
  <c r="N992" i="7" s="1"/>
  <c r="F995" i="7"/>
  <c r="U992" i="7"/>
  <c r="U1000" i="7"/>
  <c r="F1003" i="7"/>
  <c r="L1000" i="7"/>
  <c r="P1002" i="7"/>
  <c r="R1002" i="7" s="1"/>
  <c r="U1002" i="7"/>
  <c r="U1003" i="7" s="1"/>
  <c r="L1002" i="7"/>
  <c r="N1002" i="7" s="1"/>
  <c r="J1027" i="7"/>
  <c r="J1024" i="7"/>
  <c r="J1022" i="7"/>
  <c r="J1023" i="7"/>
  <c r="L1011" i="7"/>
  <c r="Y1037" i="7"/>
  <c r="Y1022" i="7"/>
  <c r="Y1027" i="7"/>
  <c r="Y1032" i="7"/>
  <c r="Y1033" i="7" s="1"/>
  <c r="Y1031" i="7"/>
  <c r="Y1035" i="7"/>
  <c r="Y1030" i="7"/>
  <c r="Y1024" i="7"/>
  <c r="Y1025" i="7" s="1"/>
  <c r="Y1023" i="7"/>
  <c r="Y1036" i="7"/>
  <c r="L1006" i="7"/>
  <c r="J1006" i="7"/>
  <c r="F1031" i="7"/>
  <c r="U1031" i="7" s="1"/>
  <c r="H1035" i="7"/>
  <c r="H1036" i="7"/>
  <c r="D1022" i="7"/>
  <c r="D1031" i="7"/>
  <c r="H1040" i="7"/>
  <c r="D1024" i="7"/>
  <c r="H1039" i="7"/>
  <c r="F1027" i="7"/>
  <c r="F1039" i="7"/>
  <c r="U1039" i="7" s="1"/>
  <c r="D1041" i="7"/>
  <c r="D1032" i="7"/>
  <c r="D1037" i="7"/>
  <c r="F1022" i="7"/>
  <c r="F1030" i="7"/>
  <c r="D1023" i="7"/>
  <c r="F1024" i="7"/>
  <c r="F1035" i="7"/>
  <c r="U1035" i="7" s="1"/>
  <c r="G1016" i="7"/>
  <c r="H1037" i="7"/>
  <c r="H1041" i="7"/>
  <c r="F1037" i="7"/>
  <c r="U1037" i="7" s="1"/>
  <c r="D1030" i="7"/>
  <c r="D1016" i="7"/>
  <c r="F1041" i="7"/>
  <c r="U1041" i="7" s="1"/>
  <c r="F1036" i="7"/>
  <c r="U1036" i="7" s="1"/>
  <c r="D1036" i="7"/>
  <c r="D1039" i="7"/>
  <c r="F1040" i="7"/>
  <c r="U1040" i="7" s="1"/>
  <c r="D1027" i="7"/>
  <c r="W1027" i="7" s="1"/>
  <c r="D1040" i="7"/>
  <c r="F1032" i="7"/>
  <c r="D1035" i="7"/>
  <c r="F1023" i="7"/>
  <c r="U1023" i="7" s="1"/>
  <c r="J1000" i="7"/>
  <c r="P1001" i="7"/>
  <c r="R1001" i="7" s="1"/>
  <c r="J1001" i="7"/>
  <c r="N1001" i="7" s="1"/>
  <c r="N993" i="7"/>
  <c r="P993" i="7"/>
  <c r="R993" i="7" s="1"/>
  <c r="W1005" i="7"/>
  <c r="W1009" i="7" s="1"/>
  <c r="L1005" i="7"/>
  <c r="J1005" i="7"/>
  <c r="W1007" i="7"/>
  <c r="W1011" i="7" s="1"/>
  <c r="N975" i="7"/>
  <c r="AA975" i="7" s="1"/>
  <c r="L1010" i="7"/>
  <c r="U994" i="7"/>
  <c r="U995" i="7" s="1"/>
  <c r="L994" i="7"/>
  <c r="N994" i="7" s="1"/>
  <c r="W1006" i="7"/>
  <c r="W1010" i="7" s="1"/>
  <c r="N976" i="7"/>
  <c r="AA976" i="7" s="1"/>
  <c r="AA937" i="7"/>
  <c r="L1039" i="7" l="1"/>
  <c r="AA933" i="7"/>
  <c r="P1032" i="7"/>
  <c r="R1032" i="7" s="1"/>
  <c r="N995" i="7"/>
  <c r="P995" i="7" s="1"/>
  <c r="R995" i="7" s="1"/>
  <c r="AA979" i="7"/>
  <c r="AA934" i="7"/>
  <c r="AA981" i="7"/>
  <c r="L1041" i="7"/>
  <c r="W1035" i="7"/>
  <c r="W1039" i="7" s="1"/>
  <c r="AA980" i="7"/>
  <c r="N1007" i="7"/>
  <c r="AA1007" i="7" s="1"/>
  <c r="N1005" i="7"/>
  <c r="AA1005" i="7" s="1"/>
  <c r="W1036" i="7"/>
  <c r="W1040" i="7" s="1"/>
  <c r="W1037" i="7"/>
  <c r="W1041" i="7" s="1"/>
  <c r="AA943" i="7"/>
  <c r="AA941" i="7" s="1"/>
  <c r="AA967" i="7"/>
  <c r="AA910" i="7"/>
  <c r="N1009" i="7"/>
  <c r="L1040" i="7"/>
  <c r="AA911" i="7"/>
  <c r="AA965" i="7"/>
  <c r="AA962" i="7" s="1"/>
  <c r="P1023" i="7"/>
  <c r="R1023" i="7" s="1"/>
  <c r="N1006" i="7"/>
  <c r="AA1006" i="7" s="1"/>
  <c r="P997" i="7"/>
  <c r="R997" i="7" s="1"/>
  <c r="D1081" i="7"/>
  <c r="D1080" i="7"/>
  <c r="D1075" i="7"/>
  <c r="D1079" i="7"/>
  <c r="D1078" i="7"/>
  <c r="D1077" i="7"/>
  <c r="J1032" i="7"/>
  <c r="U1022" i="7"/>
  <c r="F1025" i="7"/>
  <c r="L1022" i="7"/>
  <c r="N1022" i="7" s="1"/>
  <c r="L1037" i="7"/>
  <c r="J1037" i="7"/>
  <c r="L1036" i="7"/>
  <c r="J1036" i="7"/>
  <c r="F1054" i="7"/>
  <c r="D1062" i="7"/>
  <c r="G1046" i="7"/>
  <c r="F1052" i="7"/>
  <c r="D1071" i="7"/>
  <c r="D1066" i="7"/>
  <c r="H1066" i="7"/>
  <c r="H1071" i="7"/>
  <c r="F1071" i="7"/>
  <c r="U1071" i="7" s="1"/>
  <c r="H1067" i="7"/>
  <c r="F1061" i="7"/>
  <c r="U1061" i="7" s="1"/>
  <c r="D1046" i="7"/>
  <c r="H1065" i="7"/>
  <c r="D1061" i="7"/>
  <c r="F1070" i="7"/>
  <c r="U1070" i="7" s="1"/>
  <c r="D1070" i="7"/>
  <c r="D1065" i="7"/>
  <c r="F1066" i="7"/>
  <c r="U1066" i="7" s="1"/>
  <c r="D1069" i="7"/>
  <c r="D1052" i="7"/>
  <c r="D1067" i="7"/>
  <c r="F1053" i="7"/>
  <c r="U1053" i="7" s="1"/>
  <c r="H1069" i="7"/>
  <c r="D1054" i="7"/>
  <c r="F1060" i="7"/>
  <c r="F1057" i="7"/>
  <c r="D1053" i="7"/>
  <c r="F1069" i="7"/>
  <c r="U1069" i="7" s="1"/>
  <c r="H1070" i="7"/>
  <c r="D1057" i="7"/>
  <c r="W1057" i="7" s="1"/>
  <c r="D1060" i="7"/>
  <c r="F1065" i="7"/>
  <c r="U1065" i="7" s="1"/>
  <c r="F1067" i="7"/>
  <c r="U1067" i="7" s="1"/>
  <c r="F1062" i="7"/>
  <c r="J1052" i="7"/>
  <c r="J1054" i="7"/>
  <c r="J1062" i="7" s="1"/>
  <c r="J1057" i="7"/>
  <c r="J1053" i="7"/>
  <c r="U1027" i="7"/>
  <c r="L1027" i="7"/>
  <c r="N1027" i="7" s="1"/>
  <c r="Y1009" i="7"/>
  <c r="Y1010" i="7"/>
  <c r="Y1011" i="7"/>
  <c r="W995" i="7"/>
  <c r="U1030" i="7"/>
  <c r="F1033" i="7"/>
  <c r="L1030" i="7"/>
  <c r="J1041" i="7"/>
  <c r="J1040" i="7"/>
  <c r="J1039" i="7"/>
  <c r="Y1052" i="7"/>
  <c r="Y1060" i="7"/>
  <c r="Y1054" i="7"/>
  <c r="Y1055" i="7" s="1"/>
  <c r="Y1065" i="7"/>
  <c r="Y1061" i="7"/>
  <c r="Y1066" i="7"/>
  <c r="Y1062" i="7"/>
  <c r="Y1063" i="7" s="1"/>
  <c r="Y1067" i="7"/>
  <c r="Y1053" i="7"/>
  <c r="Y1057" i="7"/>
  <c r="U1024" i="7"/>
  <c r="U1025" i="7" s="1"/>
  <c r="L1024" i="7"/>
  <c r="N1024" i="7" s="1"/>
  <c r="P1030" i="7"/>
  <c r="R1030" i="7" s="1"/>
  <c r="D1033" i="7"/>
  <c r="W1033" i="7" s="1"/>
  <c r="P1024" i="7"/>
  <c r="R1024" i="7" s="1"/>
  <c r="P1031" i="7"/>
  <c r="R1031" i="7" s="1"/>
  <c r="J1035" i="7"/>
  <c r="L1035" i="7"/>
  <c r="P973" i="7"/>
  <c r="R973" i="7" s="1"/>
  <c r="N1000" i="7"/>
  <c r="N1003" i="7" s="1"/>
  <c r="P1022" i="7"/>
  <c r="R1022" i="7" s="1"/>
  <c r="D1025" i="7"/>
  <c r="N1010" i="7"/>
  <c r="U1032" i="7"/>
  <c r="U1033" i="7" s="1"/>
  <c r="L1032" i="7"/>
  <c r="N1023" i="7"/>
  <c r="J1031" i="7"/>
  <c r="N1031" i="7" s="1"/>
  <c r="N1011" i="7"/>
  <c r="B1131" i="7"/>
  <c r="B1126" i="7"/>
  <c r="B1115" i="7"/>
  <c r="B1122" i="7"/>
  <c r="B1125" i="7"/>
  <c r="B1135" i="7"/>
  <c r="B1127" i="7"/>
  <c r="B1123" i="7"/>
  <c r="B1117" i="7"/>
  <c r="B1130" i="7"/>
  <c r="B1114" i="7"/>
  <c r="B1129" i="7"/>
  <c r="B1113" i="7"/>
  <c r="B1112" i="7"/>
  <c r="B1121" i="7"/>
  <c r="B1120" i="7"/>
  <c r="J1030" i="7"/>
  <c r="A1129" i="7"/>
  <c r="A1113" i="7"/>
  <c r="A1125" i="7"/>
  <c r="A1112" i="7"/>
  <c r="C1105" i="7"/>
  <c r="A1135" i="7"/>
  <c r="A1122" i="7"/>
  <c r="A1127" i="7"/>
  <c r="A1120" i="7"/>
  <c r="A1121" i="7"/>
  <c r="A1123" i="7"/>
  <c r="A1114" i="7"/>
  <c r="A1131" i="7"/>
  <c r="A1126" i="7"/>
  <c r="A1115" i="7"/>
  <c r="A1130" i="7"/>
  <c r="A1117" i="7"/>
  <c r="N1039" i="7" l="1"/>
  <c r="N1041" i="7"/>
  <c r="AA1009" i="7"/>
  <c r="AA942" i="7"/>
  <c r="AA963" i="7"/>
  <c r="AA964" i="7"/>
  <c r="AA940" i="7"/>
  <c r="AA995" i="7"/>
  <c r="AA994" i="7" s="1"/>
  <c r="AA1011" i="7"/>
  <c r="N1040" i="7"/>
  <c r="P1062" i="7"/>
  <c r="R1062" i="7" s="1"/>
  <c r="N1030" i="7"/>
  <c r="N1037" i="7"/>
  <c r="AA1037" i="7" s="1"/>
  <c r="AA997" i="7"/>
  <c r="L1069" i="7"/>
  <c r="W1065" i="7"/>
  <c r="W1069" i="7" s="1"/>
  <c r="N1035" i="7"/>
  <c r="AA1035" i="7" s="1"/>
  <c r="N1025" i="7"/>
  <c r="P1025" i="7" s="1"/>
  <c r="R1025" i="7" s="1"/>
  <c r="L1070" i="7"/>
  <c r="N1036" i="7"/>
  <c r="AA1036" i="7" s="1"/>
  <c r="L1071" i="7"/>
  <c r="P1003" i="7"/>
  <c r="R1003" i="7" s="1"/>
  <c r="P1052" i="7"/>
  <c r="R1052" i="7" s="1"/>
  <c r="D1055" i="7"/>
  <c r="J1060" i="7"/>
  <c r="N1032" i="7"/>
  <c r="U1062" i="7"/>
  <c r="U1063" i="7" s="1"/>
  <c r="L1062" i="7"/>
  <c r="N1062" i="7" s="1"/>
  <c r="J1082" i="7"/>
  <c r="J1090" i="7" s="1"/>
  <c r="J1083" i="7"/>
  <c r="J1087" i="7"/>
  <c r="J1084" i="7"/>
  <c r="P1027" i="7"/>
  <c r="R1027" i="7" s="1"/>
  <c r="L1065" i="7"/>
  <c r="J1065" i="7"/>
  <c r="U1054" i="7"/>
  <c r="U1055" i="7" s="1"/>
  <c r="L1054" i="7"/>
  <c r="N1054" i="7" s="1"/>
  <c r="U1052" i="7"/>
  <c r="F1055" i="7"/>
  <c r="L1052" i="7"/>
  <c r="N1052" i="7" s="1"/>
  <c r="P1060" i="7"/>
  <c r="R1060" i="7" s="1"/>
  <c r="D1063" i="7"/>
  <c r="W1063" i="7" s="1"/>
  <c r="H1099" i="7"/>
  <c r="D1091" i="7"/>
  <c r="F1087" i="7"/>
  <c r="F1101" i="7"/>
  <c r="U1101" i="7" s="1"/>
  <c r="F1099" i="7"/>
  <c r="U1099" i="7" s="1"/>
  <c r="H1097" i="7"/>
  <c r="D1087" i="7"/>
  <c r="W1087" i="7" s="1"/>
  <c r="H1096" i="7"/>
  <c r="D1095" i="7"/>
  <c r="F1092" i="7"/>
  <c r="H1100" i="7"/>
  <c r="F1100" i="7"/>
  <c r="U1100" i="7" s="1"/>
  <c r="G1076" i="7"/>
  <c r="F1091" i="7"/>
  <c r="U1091" i="7" s="1"/>
  <c r="D1082" i="7"/>
  <c r="D1099" i="7"/>
  <c r="D1084" i="7"/>
  <c r="F1083" i="7"/>
  <c r="U1083" i="7" s="1"/>
  <c r="D1076" i="7"/>
  <c r="F1090" i="7"/>
  <c r="D1101" i="7"/>
  <c r="D1083" i="7"/>
  <c r="F1096" i="7"/>
  <c r="U1096" i="7" s="1"/>
  <c r="D1100" i="7"/>
  <c r="D1096" i="7"/>
  <c r="F1084" i="7"/>
  <c r="D1092" i="7"/>
  <c r="H1095" i="7"/>
  <c r="D1090" i="7"/>
  <c r="D1097" i="7"/>
  <c r="F1095" i="7"/>
  <c r="U1095" i="7" s="1"/>
  <c r="F1097" i="7"/>
  <c r="U1097" i="7" s="1"/>
  <c r="H1101" i="7"/>
  <c r="F1082" i="7"/>
  <c r="W1025" i="7"/>
  <c r="Y1039" i="7"/>
  <c r="Y1040" i="7"/>
  <c r="Y1041" i="7"/>
  <c r="AA1010" i="7"/>
  <c r="P1061" i="7"/>
  <c r="R1061" i="7" s="1"/>
  <c r="Y1084" i="7"/>
  <c r="Y1085" i="7" s="1"/>
  <c r="Y1091" i="7"/>
  <c r="Y1096" i="7"/>
  <c r="Y1097" i="7"/>
  <c r="Y1083" i="7"/>
  <c r="Y1082" i="7"/>
  <c r="Y1090" i="7"/>
  <c r="Y1087" i="7"/>
  <c r="Y1092" i="7"/>
  <c r="Y1093" i="7" s="1"/>
  <c r="Y1095" i="7"/>
  <c r="A1150" i="7"/>
  <c r="A1161" i="7"/>
  <c r="A1160" i="7"/>
  <c r="A1155" i="7"/>
  <c r="A1151" i="7"/>
  <c r="A1143" i="7"/>
  <c r="A1144" i="7"/>
  <c r="C1135" i="7"/>
  <c r="A1145" i="7"/>
  <c r="A1153" i="7"/>
  <c r="A1147" i="7"/>
  <c r="A1156" i="7"/>
  <c r="A1152" i="7"/>
  <c r="A1165" i="7"/>
  <c r="A1159" i="7"/>
  <c r="A1157" i="7"/>
  <c r="A1142" i="7"/>
  <c r="W1066" i="7"/>
  <c r="W1070" i="7" s="1"/>
  <c r="J1070" i="7"/>
  <c r="J1071" i="7"/>
  <c r="J1069" i="7"/>
  <c r="J1061" i="7"/>
  <c r="N1061" i="7" s="1"/>
  <c r="N1053" i="7"/>
  <c r="D1111" i="7"/>
  <c r="D1105" i="7"/>
  <c r="D1109" i="7"/>
  <c r="D1110" i="7"/>
  <c r="D1108" i="7"/>
  <c r="D1107" i="7"/>
  <c r="P1053" i="7"/>
  <c r="R1053" i="7" s="1"/>
  <c r="L1067" i="7"/>
  <c r="J1067" i="7"/>
  <c r="B1159" i="7"/>
  <c r="B1150" i="7"/>
  <c r="B1165" i="7"/>
  <c r="B1143" i="7"/>
  <c r="B1155" i="7"/>
  <c r="B1161" i="7"/>
  <c r="B1142" i="7"/>
  <c r="B1153" i="7"/>
  <c r="B1145" i="7"/>
  <c r="B1157" i="7"/>
  <c r="B1147" i="7"/>
  <c r="B1160" i="7"/>
  <c r="B1151" i="7"/>
  <c r="B1144" i="7"/>
  <c r="B1156" i="7"/>
  <c r="B1152" i="7"/>
  <c r="U1057" i="7"/>
  <c r="L1057" i="7"/>
  <c r="N1057" i="7" s="1"/>
  <c r="P1057" i="7" s="1"/>
  <c r="R1057" i="7" s="1"/>
  <c r="W1067" i="7"/>
  <c r="W1071" i="7" s="1"/>
  <c r="AA973" i="7"/>
  <c r="L1060" i="7"/>
  <c r="U1060" i="7"/>
  <c r="F1063" i="7"/>
  <c r="L1066" i="7"/>
  <c r="J1066" i="7"/>
  <c r="P1054" i="7"/>
  <c r="R1054" i="7" s="1"/>
  <c r="AA1039" i="7" l="1"/>
  <c r="AA1040" i="7"/>
  <c r="AA1041" i="7"/>
  <c r="N1069" i="7"/>
  <c r="AA993" i="7"/>
  <c r="AA992" i="7"/>
  <c r="N1033" i="7"/>
  <c r="P1033" i="7" s="1"/>
  <c r="R1033" i="7" s="1"/>
  <c r="N1070" i="7"/>
  <c r="AA1003" i="7"/>
  <c r="AA1000" i="7" s="1"/>
  <c r="AA1057" i="7"/>
  <c r="N1071" i="7"/>
  <c r="AA1025" i="7"/>
  <c r="AA1023" i="7" s="1"/>
  <c r="W1095" i="7"/>
  <c r="W1099" i="7" s="1"/>
  <c r="N1065" i="7"/>
  <c r="AA1065" i="7" s="1"/>
  <c r="P1084" i="7"/>
  <c r="R1084" i="7" s="1"/>
  <c r="L1099" i="7"/>
  <c r="N1067" i="7"/>
  <c r="AA1067" i="7" s="1"/>
  <c r="N1055" i="7"/>
  <c r="P1055" i="7" s="1"/>
  <c r="R1055" i="7" s="1"/>
  <c r="P1092" i="7"/>
  <c r="R1092" i="7" s="1"/>
  <c r="J1112" i="7"/>
  <c r="J1120" i="7" s="1"/>
  <c r="J1117" i="7"/>
  <c r="J1113" i="7"/>
  <c r="J1114" i="7"/>
  <c r="J1122" i="7" s="1"/>
  <c r="D1085" i="7"/>
  <c r="P1082" i="7"/>
  <c r="R1082" i="7" s="1"/>
  <c r="L1097" i="7"/>
  <c r="J1097" i="7"/>
  <c r="P1090" i="7"/>
  <c r="R1090" i="7" s="1"/>
  <c r="D1093" i="7"/>
  <c r="W1093" i="7" s="1"/>
  <c r="N1066" i="7"/>
  <c r="AA1066" i="7" s="1"/>
  <c r="G1106" i="7"/>
  <c r="F1130" i="7"/>
  <c r="U1130" i="7" s="1"/>
  <c r="H1126" i="7"/>
  <c r="D1130" i="7"/>
  <c r="D1114" i="7"/>
  <c r="F1120" i="7"/>
  <c r="D1131" i="7"/>
  <c r="D1125" i="7"/>
  <c r="H1125" i="7"/>
  <c r="H1130" i="7"/>
  <c r="D1106" i="7"/>
  <c r="F1127" i="7"/>
  <c r="U1127" i="7" s="1"/>
  <c r="D1129" i="7"/>
  <c r="D1121" i="7"/>
  <c r="D1126" i="7"/>
  <c r="F1126" i="7"/>
  <c r="U1126" i="7" s="1"/>
  <c r="F1131" i="7"/>
  <c r="U1131" i="7" s="1"/>
  <c r="F1129" i="7"/>
  <c r="U1129" i="7" s="1"/>
  <c r="D1122" i="7"/>
  <c r="D1127" i="7"/>
  <c r="D1112" i="7"/>
  <c r="D1120" i="7"/>
  <c r="H1127" i="7"/>
  <c r="H1129" i="7"/>
  <c r="F1122" i="7"/>
  <c r="F1117" i="7"/>
  <c r="D1117" i="7"/>
  <c r="W1117" i="7" s="1"/>
  <c r="D1113" i="7"/>
  <c r="F1112" i="7"/>
  <c r="F1125" i="7"/>
  <c r="U1125" i="7" s="1"/>
  <c r="H1131" i="7"/>
  <c r="F1113" i="7"/>
  <c r="U1113" i="7" s="1"/>
  <c r="F1121" i="7"/>
  <c r="U1121" i="7" s="1"/>
  <c r="F1114" i="7"/>
  <c r="N1083" i="7"/>
  <c r="J1091" i="7"/>
  <c r="N1091" i="7" s="1"/>
  <c r="Y1122" i="7"/>
  <c r="Y1123" i="7" s="1"/>
  <c r="Y1127" i="7"/>
  <c r="Y1126" i="7"/>
  <c r="Y1112" i="7"/>
  <c r="Y1117" i="7"/>
  <c r="Y1120" i="7"/>
  <c r="Y1113" i="7"/>
  <c r="Y1125" i="7"/>
  <c r="Y1121" i="7"/>
  <c r="Y1114" i="7"/>
  <c r="Y1115" i="7" s="1"/>
  <c r="D1139" i="7"/>
  <c r="D1137" i="7"/>
  <c r="D1140" i="7"/>
  <c r="D1138" i="7"/>
  <c r="D1141" i="7"/>
  <c r="D1135" i="7"/>
  <c r="N1060" i="7"/>
  <c r="N1063" i="7" s="1"/>
  <c r="A1182" i="7"/>
  <c r="A1190" i="7"/>
  <c r="A1185" i="7"/>
  <c r="A1175" i="7"/>
  <c r="A1180" i="7"/>
  <c r="A1181" i="7"/>
  <c r="C1165" i="7"/>
  <c r="A1187" i="7"/>
  <c r="A1172" i="7"/>
  <c r="A1183" i="7"/>
  <c r="A1177" i="7"/>
  <c r="A1189" i="7"/>
  <c r="A1173" i="7"/>
  <c r="A1186" i="7"/>
  <c r="A1174" i="7"/>
  <c r="A1195" i="7"/>
  <c r="A1191" i="7"/>
  <c r="L1084" i="7"/>
  <c r="N1084" i="7" s="1"/>
  <c r="U1084" i="7"/>
  <c r="U1085" i="7" s="1"/>
  <c r="U1092" i="7"/>
  <c r="U1093" i="7" s="1"/>
  <c r="L1092" i="7"/>
  <c r="W1097" i="7"/>
  <c r="W1101" i="7" s="1"/>
  <c r="L1096" i="7"/>
  <c r="J1096" i="7"/>
  <c r="J1095" i="7"/>
  <c r="L1095" i="7"/>
  <c r="L1100" i="7"/>
  <c r="W1096" i="7"/>
  <c r="W1100" i="7" s="1"/>
  <c r="W1055" i="7"/>
  <c r="Y1070" i="7"/>
  <c r="Y1069" i="7"/>
  <c r="Y1071" i="7"/>
  <c r="AA971" i="7"/>
  <c r="AA970" i="7"/>
  <c r="AA972" i="7"/>
  <c r="B1187" i="7"/>
  <c r="B1172" i="7"/>
  <c r="B1174" i="7"/>
  <c r="B1186" i="7"/>
  <c r="B1183" i="7"/>
  <c r="B1190" i="7"/>
  <c r="B1175" i="7"/>
  <c r="B1173" i="7"/>
  <c r="B1180" i="7"/>
  <c r="B1181" i="7"/>
  <c r="B1191" i="7"/>
  <c r="B1182" i="7"/>
  <c r="B1177" i="7"/>
  <c r="B1189" i="7"/>
  <c r="B1185" i="7"/>
  <c r="B1195" i="7"/>
  <c r="P1083" i="7"/>
  <c r="R1083" i="7" s="1"/>
  <c r="L1101" i="7"/>
  <c r="AA1027" i="7"/>
  <c r="U1090" i="7"/>
  <c r="L1090" i="7"/>
  <c r="N1090" i="7" s="1"/>
  <c r="F1093" i="7"/>
  <c r="J1101" i="7"/>
  <c r="J1099" i="7"/>
  <c r="J1100" i="7"/>
  <c r="L1087" i="7"/>
  <c r="N1087" i="7" s="1"/>
  <c r="U1087" i="7"/>
  <c r="J1092" i="7"/>
  <c r="U1082" i="7"/>
  <c r="F1085" i="7"/>
  <c r="L1082" i="7"/>
  <c r="N1082" i="7" s="1"/>
  <c r="P1091" i="7"/>
  <c r="R1091" i="7" s="1"/>
  <c r="L1130" i="7" l="1"/>
  <c r="AA1069" i="7"/>
  <c r="AA1001" i="7"/>
  <c r="AA1071" i="7"/>
  <c r="N1099" i="7"/>
  <c r="AA1024" i="7"/>
  <c r="AA1002" i="7"/>
  <c r="AA1070" i="7"/>
  <c r="W1127" i="7"/>
  <c r="W1131" i="7" s="1"/>
  <c r="L1131" i="7"/>
  <c r="AA1022" i="7"/>
  <c r="AA1033" i="7"/>
  <c r="AA1030" i="7" s="1"/>
  <c r="AA1055" i="7"/>
  <c r="AA1052" i="7" s="1"/>
  <c r="N1092" i="7"/>
  <c r="N1093" i="7" s="1"/>
  <c r="P1093" i="7" s="1"/>
  <c r="R1093" i="7" s="1"/>
  <c r="L1129" i="7"/>
  <c r="P1113" i="7"/>
  <c r="R1113" i="7" s="1"/>
  <c r="N1096" i="7"/>
  <c r="AA1096" i="7" s="1"/>
  <c r="P1122" i="7"/>
  <c r="R1122" i="7" s="1"/>
  <c r="W1126" i="7"/>
  <c r="W1130" i="7" s="1"/>
  <c r="P1087" i="7"/>
  <c r="R1087" i="7" s="1"/>
  <c r="D1171" i="7"/>
  <c r="D1170" i="7"/>
  <c r="D1169" i="7"/>
  <c r="D1168" i="7"/>
  <c r="D1167" i="7"/>
  <c r="D1165" i="7"/>
  <c r="J1129" i="7"/>
  <c r="J1131" i="7"/>
  <c r="J1130" i="7"/>
  <c r="B1202" i="7"/>
  <c r="B1213" i="7"/>
  <c r="B1207" i="7"/>
  <c r="B1219" i="7"/>
  <c r="B1221" i="7"/>
  <c r="B1216" i="7"/>
  <c r="B1205" i="7"/>
  <c r="B1210" i="7"/>
  <c r="B1220" i="7"/>
  <c r="B1204" i="7"/>
  <c r="B1215" i="7"/>
  <c r="B1211" i="7"/>
  <c r="B1203" i="7"/>
  <c r="B1212" i="7"/>
  <c r="B1225" i="7"/>
  <c r="B1217" i="7"/>
  <c r="U1117" i="7"/>
  <c r="L1117" i="7"/>
  <c r="N1117" i="7" s="1"/>
  <c r="N1097" i="7"/>
  <c r="AA1097" i="7" s="1"/>
  <c r="U1122" i="7"/>
  <c r="U1123" i="7" s="1"/>
  <c r="L1122" i="7"/>
  <c r="N1122" i="7" s="1"/>
  <c r="N1100" i="7"/>
  <c r="L1125" i="7"/>
  <c r="J1125" i="7"/>
  <c r="Y1100" i="7"/>
  <c r="Y1101" i="7"/>
  <c r="W1085" i="7"/>
  <c r="Y1099" i="7"/>
  <c r="L1112" i="7"/>
  <c r="N1112" i="7" s="1"/>
  <c r="U1112" i="7"/>
  <c r="F1115" i="7"/>
  <c r="N1101" i="7"/>
  <c r="P1120" i="7"/>
  <c r="R1120" i="7" s="1"/>
  <c r="D1123" i="7"/>
  <c r="W1123" i="7" s="1"/>
  <c r="U1120" i="7"/>
  <c r="L1120" i="7"/>
  <c r="N1120" i="7" s="1"/>
  <c r="F1123" i="7"/>
  <c r="A1204" i="7"/>
  <c r="A1203" i="7"/>
  <c r="A1211" i="7"/>
  <c r="A1205" i="7"/>
  <c r="A1219" i="7"/>
  <c r="A1212" i="7"/>
  <c r="A1225" i="7"/>
  <c r="A1217" i="7"/>
  <c r="A1202" i="7"/>
  <c r="A1213" i="7"/>
  <c r="A1207" i="7"/>
  <c r="A1210" i="7"/>
  <c r="A1221" i="7"/>
  <c r="A1220" i="7"/>
  <c r="A1216" i="7"/>
  <c r="A1215" i="7"/>
  <c r="C1195" i="7"/>
  <c r="P1063" i="7"/>
  <c r="R1063" i="7" s="1"/>
  <c r="P1112" i="7"/>
  <c r="R1112" i="7" s="1"/>
  <c r="D1115" i="7"/>
  <c r="P1114" i="7"/>
  <c r="R1114" i="7" s="1"/>
  <c r="D1144" i="7"/>
  <c r="F1147" i="7"/>
  <c r="D1136" i="7"/>
  <c r="F1159" i="7"/>
  <c r="U1159" i="7" s="1"/>
  <c r="F1161" i="7"/>
  <c r="U1161" i="7" s="1"/>
  <c r="D1147" i="7"/>
  <c r="W1147" i="7" s="1"/>
  <c r="F1156" i="7"/>
  <c r="U1156" i="7" s="1"/>
  <c r="H1155" i="7"/>
  <c r="D1161" i="7"/>
  <c r="F1155" i="7"/>
  <c r="U1155" i="7" s="1"/>
  <c r="D1156" i="7"/>
  <c r="H1157" i="7"/>
  <c r="D1157" i="7"/>
  <c r="F1143" i="7"/>
  <c r="U1143" i="7" s="1"/>
  <c r="F1142" i="7"/>
  <c r="D1159" i="7"/>
  <c r="D1160" i="7"/>
  <c r="F1150" i="7"/>
  <c r="D1142" i="7"/>
  <c r="D1155" i="7"/>
  <c r="D1143" i="7"/>
  <c r="F1157" i="7"/>
  <c r="U1157" i="7" s="1"/>
  <c r="F1151" i="7"/>
  <c r="U1151" i="7" s="1"/>
  <c r="H1160" i="7"/>
  <c r="F1144" i="7"/>
  <c r="D1150" i="7"/>
  <c r="G1136" i="7"/>
  <c r="F1160" i="7"/>
  <c r="U1160" i="7" s="1"/>
  <c r="H1161" i="7"/>
  <c r="F1152" i="7"/>
  <c r="H1156" i="7"/>
  <c r="D1152" i="7"/>
  <c r="D1151" i="7"/>
  <c r="H1159" i="7"/>
  <c r="L1127" i="7"/>
  <c r="J1127" i="7"/>
  <c r="Y1152" i="7"/>
  <c r="Y1153" i="7" s="1"/>
  <c r="Y1143" i="7"/>
  <c r="Y1151" i="7"/>
  <c r="Y1144" i="7"/>
  <c r="Y1145" i="7" s="1"/>
  <c r="Y1156" i="7"/>
  <c r="Y1150" i="7"/>
  <c r="Y1157" i="7"/>
  <c r="Y1142" i="7"/>
  <c r="Y1147" i="7"/>
  <c r="Y1155" i="7"/>
  <c r="N1085" i="7"/>
  <c r="U1114" i="7"/>
  <c r="U1115" i="7" s="1"/>
  <c r="L1114" i="7"/>
  <c r="N1114" i="7" s="1"/>
  <c r="N1113" i="7"/>
  <c r="J1121" i="7"/>
  <c r="N1121" i="7" s="1"/>
  <c r="W1125" i="7"/>
  <c r="W1129" i="7" s="1"/>
  <c r="J1144" i="7"/>
  <c r="J1152" i="7" s="1"/>
  <c r="J1147" i="7"/>
  <c r="J1143" i="7"/>
  <c r="J1142" i="7"/>
  <c r="J1126" i="7"/>
  <c r="L1126" i="7"/>
  <c r="N1095" i="7"/>
  <c r="AA1095" i="7" s="1"/>
  <c r="P1121" i="7"/>
  <c r="R1121" i="7" s="1"/>
  <c r="AA1099" i="7" l="1"/>
  <c r="N1123" i="7"/>
  <c r="P1123" i="7" s="1"/>
  <c r="R1123" i="7" s="1"/>
  <c r="N1130" i="7"/>
  <c r="N1115" i="7"/>
  <c r="P1115" i="7" s="1"/>
  <c r="R1115" i="7" s="1"/>
  <c r="N1131" i="7"/>
  <c r="AA1031" i="7"/>
  <c r="AA1032" i="7"/>
  <c r="AA1053" i="7"/>
  <c r="AA1054" i="7"/>
  <c r="N1129" i="7"/>
  <c r="W1155" i="7"/>
  <c r="W1159" i="7" s="1"/>
  <c r="L1161" i="7"/>
  <c r="AA1087" i="7"/>
  <c r="L1159" i="7"/>
  <c r="N1125" i="7"/>
  <c r="AA1125" i="7" s="1"/>
  <c r="AA1093" i="7"/>
  <c r="AA1090" i="7" s="1"/>
  <c r="W1156" i="7"/>
  <c r="W1160" i="7" s="1"/>
  <c r="P1151" i="7"/>
  <c r="R1151" i="7" s="1"/>
  <c r="L1160" i="7"/>
  <c r="P1144" i="7"/>
  <c r="R1144" i="7" s="1"/>
  <c r="F1153" i="7"/>
  <c r="U1150" i="7"/>
  <c r="L1150" i="7"/>
  <c r="B1235" i="7"/>
  <c r="B1255" i="7"/>
  <c r="B1247" i="7"/>
  <c r="B1243" i="7"/>
  <c r="B1241" i="7"/>
  <c r="B1240" i="7"/>
  <c r="B1234" i="7"/>
  <c r="B1246" i="7"/>
  <c r="B1242" i="7"/>
  <c r="B1237" i="7"/>
  <c r="B1232" i="7"/>
  <c r="B1251" i="7"/>
  <c r="B1250" i="7"/>
  <c r="B1245" i="7"/>
  <c r="B1233" i="7"/>
  <c r="B1249" i="7"/>
  <c r="P1085" i="7"/>
  <c r="R1085" i="7" s="1"/>
  <c r="AA1085" i="7" s="1"/>
  <c r="P1152" i="7"/>
  <c r="R1152" i="7" s="1"/>
  <c r="A1255" i="7"/>
  <c r="A1237" i="7"/>
  <c r="A1241" i="7"/>
  <c r="A1233" i="7"/>
  <c r="A1234" i="7"/>
  <c r="A1246" i="7"/>
  <c r="A1245" i="7"/>
  <c r="C1225" i="7"/>
  <c r="A1251" i="7"/>
  <c r="A1235" i="7"/>
  <c r="A1250" i="7"/>
  <c r="A1249" i="7"/>
  <c r="A1242" i="7"/>
  <c r="A1247" i="7"/>
  <c r="A1232" i="7"/>
  <c r="A1243" i="7"/>
  <c r="A1240" i="7"/>
  <c r="F1190" i="7"/>
  <c r="U1190" i="7" s="1"/>
  <c r="H1189" i="7"/>
  <c r="F1185" i="7"/>
  <c r="U1185" i="7" s="1"/>
  <c r="F1177" i="7"/>
  <c r="D1190" i="7"/>
  <c r="H1187" i="7"/>
  <c r="D1185" i="7"/>
  <c r="D1181" i="7"/>
  <c r="F1181" i="7"/>
  <c r="U1181" i="7" s="1"/>
  <c r="F1191" i="7"/>
  <c r="U1191" i="7" s="1"/>
  <c r="F1172" i="7"/>
  <c r="F1187" i="7"/>
  <c r="U1187" i="7" s="1"/>
  <c r="D1177" i="7"/>
  <c r="W1177" i="7" s="1"/>
  <c r="F1173" i="7"/>
  <c r="U1173" i="7" s="1"/>
  <c r="H1191" i="7"/>
  <c r="D1173" i="7"/>
  <c r="F1186" i="7"/>
  <c r="U1186" i="7" s="1"/>
  <c r="F1182" i="7"/>
  <c r="D1180" i="7"/>
  <c r="F1174" i="7"/>
  <c r="G1166" i="7"/>
  <c r="D1186" i="7"/>
  <c r="D1187" i="7"/>
  <c r="D1172" i="7"/>
  <c r="H1186" i="7"/>
  <c r="F1180" i="7"/>
  <c r="D1166" i="7"/>
  <c r="H1185" i="7"/>
  <c r="D1182" i="7"/>
  <c r="F1189" i="7"/>
  <c r="U1189" i="7" s="1"/>
  <c r="D1191" i="7"/>
  <c r="D1189" i="7"/>
  <c r="D1174" i="7"/>
  <c r="H1190" i="7"/>
  <c r="P1142" i="7"/>
  <c r="R1142" i="7" s="1"/>
  <c r="D1145" i="7"/>
  <c r="U1142" i="7"/>
  <c r="F1145" i="7"/>
  <c r="L1142" i="7"/>
  <c r="N1142" i="7" s="1"/>
  <c r="Y1130" i="7"/>
  <c r="Y1131" i="7"/>
  <c r="W1115" i="7"/>
  <c r="Y1129" i="7"/>
  <c r="J1172" i="7"/>
  <c r="J1173" i="7"/>
  <c r="J1177" i="7"/>
  <c r="J1174" i="7"/>
  <c r="J1182" i="7" s="1"/>
  <c r="L1152" i="7"/>
  <c r="N1152" i="7" s="1"/>
  <c r="U1152" i="7"/>
  <c r="U1153" i="7" s="1"/>
  <c r="U1147" i="7"/>
  <c r="L1147" i="7"/>
  <c r="N1147" i="7" s="1"/>
  <c r="N1126" i="7"/>
  <c r="AA1126" i="7" s="1"/>
  <c r="J1157" i="7"/>
  <c r="L1157" i="7"/>
  <c r="AA1101" i="7"/>
  <c r="J1161" i="7"/>
  <c r="J1159" i="7"/>
  <c r="J1160" i="7"/>
  <c r="W1157" i="7"/>
  <c r="W1161" i="7" s="1"/>
  <c r="AA1063" i="7"/>
  <c r="J1150" i="7"/>
  <c r="L1156" i="7"/>
  <c r="J1156" i="7"/>
  <c r="Y1186" i="7"/>
  <c r="Y1187" i="7"/>
  <c r="Y1185" i="7"/>
  <c r="Y1181" i="7"/>
  <c r="Y1172" i="7"/>
  <c r="Y1177" i="7"/>
  <c r="Y1180" i="7"/>
  <c r="Y1182" i="7"/>
  <c r="Y1183" i="7" s="1"/>
  <c r="Y1174" i="7"/>
  <c r="Y1175" i="7" s="1"/>
  <c r="Y1173" i="7"/>
  <c r="J1151" i="7"/>
  <c r="N1151" i="7" s="1"/>
  <c r="N1143" i="7"/>
  <c r="P1150" i="7"/>
  <c r="R1150" i="7" s="1"/>
  <c r="D1153" i="7"/>
  <c r="W1153" i="7" s="1"/>
  <c r="D1201" i="7"/>
  <c r="D1200" i="7"/>
  <c r="D1197" i="7"/>
  <c r="D1199" i="7"/>
  <c r="D1198" i="7"/>
  <c r="D1195" i="7"/>
  <c r="U1144" i="7"/>
  <c r="U1145" i="7" s="1"/>
  <c r="L1144" i="7"/>
  <c r="N1144" i="7" s="1"/>
  <c r="AA1100" i="7"/>
  <c r="P1143" i="7"/>
  <c r="R1143" i="7" s="1"/>
  <c r="P1117" i="7"/>
  <c r="R1117" i="7" s="1"/>
  <c r="N1127" i="7"/>
  <c r="AA1127" i="7" s="1"/>
  <c r="J1155" i="7"/>
  <c r="L1155" i="7"/>
  <c r="AA1130" i="7" l="1"/>
  <c r="AA1092" i="7"/>
  <c r="N1159" i="7"/>
  <c r="AA1115" i="7"/>
  <c r="AA1112" i="7" s="1"/>
  <c r="N1161" i="7"/>
  <c r="AA1091" i="7"/>
  <c r="AA1131" i="7"/>
  <c r="N1160" i="7"/>
  <c r="AA1129" i="7"/>
  <c r="AA1117" i="7"/>
  <c r="L1191" i="7"/>
  <c r="N1156" i="7"/>
  <c r="AA1156" i="7" s="1"/>
  <c r="L1189" i="7"/>
  <c r="P1174" i="7"/>
  <c r="R1174" i="7" s="1"/>
  <c r="N1150" i="7"/>
  <c r="N1153" i="7" s="1"/>
  <c r="P1153" i="7" s="1"/>
  <c r="R1153" i="7" s="1"/>
  <c r="W1185" i="7"/>
  <c r="W1189" i="7" s="1"/>
  <c r="L1190" i="7"/>
  <c r="N1155" i="7"/>
  <c r="AA1155" i="7" s="1"/>
  <c r="N1157" i="7"/>
  <c r="AA1157" i="7" s="1"/>
  <c r="P1182" i="7"/>
  <c r="R1182" i="7" s="1"/>
  <c r="P1147" i="7"/>
  <c r="R1147" i="7" s="1"/>
  <c r="L1186" i="7"/>
  <c r="J1186" i="7"/>
  <c r="Y1215" i="7"/>
  <c r="Y1211" i="7"/>
  <c r="Y1210" i="7"/>
  <c r="Y1203" i="7"/>
  <c r="Y1204" i="7"/>
  <c r="Y1205" i="7" s="1"/>
  <c r="Y1216" i="7"/>
  <c r="Y1207" i="7"/>
  <c r="Y1217" i="7"/>
  <c r="Y1212" i="7"/>
  <c r="Y1213" i="7" s="1"/>
  <c r="Y1202" i="7"/>
  <c r="W1187" i="7"/>
  <c r="W1191" i="7" s="1"/>
  <c r="P1180" i="7"/>
  <c r="R1180" i="7" s="1"/>
  <c r="D1183" i="7"/>
  <c r="W1183" i="7" s="1"/>
  <c r="W1186" i="7"/>
  <c r="W1190" i="7" s="1"/>
  <c r="L1182" i="7"/>
  <c r="N1182" i="7" s="1"/>
  <c r="U1182" i="7"/>
  <c r="U1183" i="7" s="1"/>
  <c r="J1185" i="7"/>
  <c r="L1185" i="7"/>
  <c r="L1187" i="7"/>
  <c r="J1187" i="7"/>
  <c r="L1174" i="7"/>
  <c r="N1174" i="7" s="1"/>
  <c r="U1174" i="7"/>
  <c r="U1175" i="7" s="1"/>
  <c r="AA1061" i="7"/>
  <c r="AA1060" i="7"/>
  <c r="AA1062" i="7"/>
  <c r="P1173" i="7"/>
  <c r="R1173" i="7" s="1"/>
  <c r="A1265" i="7"/>
  <c r="A1277" i="7"/>
  <c r="A1262" i="7"/>
  <c r="A1272" i="7"/>
  <c r="C1255" i="7"/>
  <c r="A1273" i="7"/>
  <c r="A1267" i="7"/>
  <c r="A1276" i="7"/>
  <c r="A1270" i="7"/>
  <c r="A1271" i="7"/>
  <c r="A1279" i="7"/>
  <c r="A1281" i="7"/>
  <c r="A1285" i="7"/>
  <c r="A1263" i="7"/>
  <c r="A1280" i="7"/>
  <c r="A1275" i="7"/>
  <c r="A1264" i="7"/>
  <c r="L1177" i="7"/>
  <c r="N1177" i="7" s="1"/>
  <c r="U1177" i="7"/>
  <c r="J1207" i="7"/>
  <c r="J1203" i="7"/>
  <c r="J1204" i="7"/>
  <c r="J1202" i="7"/>
  <c r="J1210" i="7" s="1"/>
  <c r="AA1082" i="7"/>
  <c r="AA1083" i="7"/>
  <c r="AA1084" i="7"/>
  <c r="J1181" i="7"/>
  <c r="N1181" i="7" s="1"/>
  <c r="N1173" i="7"/>
  <c r="J1180" i="7"/>
  <c r="B1275" i="7"/>
  <c r="B1281" i="7"/>
  <c r="B1270" i="7"/>
  <c r="B1280" i="7"/>
  <c r="B1271" i="7"/>
  <c r="B1272" i="7"/>
  <c r="B1279" i="7"/>
  <c r="B1265" i="7"/>
  <c r="B1285" i="7"/>
  <c r="B1264" i="7"/>
  <c r="B1263" i="7"/>
  <c r="B1277" i="7"/>
  <c r="B1273" i="7"/>
  <c r="B1276" i="7"/>
  <c r="B1262" i="7"/>
  <c r="B1267" i="7"/>
  <c r="N1145" i="7"/>
  <c r="P1145" i="7" s="1"/>
  <c r="R1145" i="7" s="1"/>
  <c r="J1191" i="7"/>
  <c r="J1190" i="7"/>
  <c r="J1189" i="7"/>
  <c r="F1175" i="7"/>
  <c r="U1172" i="7"/>
  <c r="L1172" i="7"/>
  <c r="N1172" i="7" s="1"/>
  <c r="Y1159" i="7"/>
  <c r="W1145" i="7"/>
  <c r="Y1160" i="7"/>
  <c r="Y1161" i="7"/>
  <c r="U1180" i="7"/>
  <c r="F1183" i="7"/>
  <c r="L1180" i="7"/>
  <c r="D1229" i="7"/>
  <c r="D1225" i="7"/>
  <c r="D1231" i="7"/>
  <c r="D1228" i="7"/>
  <c r="D1227" i="7"/>
  <c r="D1230" i="7"/>
  <c r="AA1123" i="7"/>
  <c r="D1207" i="7"/>
  <c r="W1207" i="7" s="1"/>
  <c r="D1196" i="7"/>
  <c r="F1210" i="7"/>
  <c r="H1221" i="7"/>
  <c r="F1221" i="7"/>
  <c r="U1221" i="7" s="1"/>
  <c r="F1217" i="7"/>
  <c r="U1217" i="7" s="1"/>
  <c r="D1216" i="7"/>
  <c r="F1220" i="7"/>
  <c r="U1220" i="7" s="1"/>
  <c r="F1204" i="7"/>
  <c r="D1219" i="7"/>
  <c r="F1216" i="7"/>
  <c r="U1216" i="7" s="1"/>
  <c r="F1215" i="7"/>
  <c r="U1215" i="7" s="1"/>
  <c r="D1221" i="7"/>
  <c r="D1217" i="7"/>
  <c r="F1202" i="7"/>
  <c r="H1219" i="7"/>
  <c r="F1207" i="7"/>
  <c r="F1203" i="7"/>
  <c r="U1203" i="7" s="1"/>
  <c r="F1212" i="7"/>
  <c r="D1220" i="7"/>
  <c r="D1212" i="7"/>
  <c r="F1211" i="7"/>
  <c r="U1211" i="7" s="1"/>
  <c r="D1204" i="7"/>
  <c r="D1203" i="7"/>
  <c r="D1211" i="7"/>
  <c r="D1215" i="7"/>
  <c r="H1217" i="7"/>
  <c r="H1220" i="7"/>
  <c r="D1210" i="7"/>
  <c r="H1215" i="7"/>
  <c r="D1202" i="7"/>
  <c r="G1196" i="7"/>
  <c r="H1216" i="7"/>
  <c r="F1219" i="7"/>
  <c r="U1219" i="7" s="1"/>
  <c r="D1175" i="7"/>
  <c r="P1172" i="7"/>
  <c r="R1172" i="7" s="1"/>
  <c r="P1181" i="7"/>
  <c r="R1181" i="7" s="1"/>
  <c r="N1191" i="7" l="1"/>
  <c r="N1175" i="7"/>
  <c r="P1175" i="7" s="1"/>
  <c r="R1175" i="7" s="1"/>
  <c r="AA1113" i="7"/>
  <c r="AA1114" i="7"/>
  <c r="AA1161" i="7"/>
  <c r="AA1159" i="7"/>
  <c r="AA1160" i="7"/>
  <c r="N1189" i="7"/>
  <c r="N1190" i="7"/>
  <c r="AA1145" i="7"/>
  <c r="AA1143" i="7" s="1"/>
  <c r="W1217" i="7"/>
  <c r="W1221" i="7" s="1"/>
  <c r="AA1147" i="7"/>
  <c r="N1187" i="7"/>
  <c r="AA1187" i="7" s="1"/>
  <c r="AA1153" i="7"/>
  <c r="AA1151" i="7" s="1"/>
  <c r="L1220" i="7"/>
  <c r="N1185" i="7"/>
  <c r="AA1185" i="7" s="1"/>
  <c r="L1221" i="7"/>
  <c r="P1211" i="7"/>
  <c r="R1211" i="7" s="1"/>
  <c r="L1212" i="7"/>
  <c r="U1212" i="7"/>
  <c r="U1213" i="7" s="1"/>
  <c r="U1210" i="7"/>
  <c r="L1210" i="7"/>
  <c r="N1210" i="7" s="1"/>
  <c r="F1213" i="7"/>
  <c r="J1220" i="7"/>
  <c r="J1221" i="7"/>
  <c r="J1219" i="7"/>
  <c r="B1303" i="7"/>
  <c r="B1309" i="7"/>
  <c r="B1306" i="7"/>
  <c r="B1302" i="7"/>
  <c r="B1295" i="7"/>
  <c r="B1297" i="7"/>
  <c r="B1315" i="7"/>
  <c r="B1311" i="7"/>
  <c r="B1293" i="7"/>
  <c r="B1310" i="7"/>
  <c r="B1305" i="7"/>
  <c r="B1307" i="7"/>
  <c r="B1292" i="7"/>
  <c r="B1294" i="7"/>
  <c r="B1301" i="7"/>
  <c r="B1300" i="7"/>
  <c r="P1202" i="7"/>
  <c r="R1202" i="7" s="1"/>
  <c r="D1205" i="7"/>
  <c r="F1205" i="7"/>
  <c r="L1202" i="7"/>
  <c r="N1202" i="7" s="1"/>
  <c r="U1202" i="7"/>
  <c r="J1212" i="7"/>
  <c r="W1215" i="7"/>
  <c r="W1219" i="7" s="1"/>
  <c r="W1175" i="7"/>
  <c r="Y1191" i="7"/>
  <c r="Y1190" i="7"/>
  <c r="Y1189" i="7"/>
  <c r="J1217" i="7"/>
  <c r="L1217" i="7"/>
  <c r="J1211" i="7"/>
  <c r="N1211" i="7" s="1"/>
  <c r="N1203" i="7"/>
  <c r="W1216" i="7"/>
  <c r="W1220" i="7" s="1"/>
  <c r="P1210" i="7"/>
  <c r="R1210" i="7" s="1"/>
  <c r="D1213" i="7"/>
  <c r="W1213" i="7" s="1"/>
  <c r="D1260" i="7"/>
  <c r="D1261" i="7"/>
  <c r="D1257" i="7"/>
  <c r="D1259" i="7"/>
  <c r="D1258" i="7"/>
  <c r="D1255" i="7"/>
  <c r="J1232" i="7"/>
  <c r="J1240" i="7" s="1"/>
  <c r="J1233" i="7"/>
  <c r="J1234" i="7"/>
  <c r="J1242" i="7" s="1"/>
  <c r="J1237" i="7"/>
  <c r="L1207" i="7"/>
  <c r="N1207" i="7" s="1"/>
  <c r="U1207" i="7"/>
  <c r="L1215" i="7"/>
  <c r="J1215" i="7"/>
  <c r="L1219" i="7"/>
  <c r="N1186" i="7"/>
  <c r="AA1186" i="7" s="1"/>
  <c r="A1306" i="7"/>
  <c r="A1292" i="7"/>
  <c r="A1315" i="7"/>
  <c r="A1307" i="7"/>
  <c r="A1295" i="7"/>
  <c r="A1297" i="7"/>
  <c r="A1305" i="7"/>
  <c r="A1311" i="7"/>
  <c r="A1303" i="7"/>
  <c r="A1309" i="7"/>
  <c r="A1293" i="7"/>
  <c r="A1300" i="7"/>
  <c r="A1310" i="7"/>
  <c r="A1301" i="7"/>
  <c r="A1294" i="7"/>
  <c r="C1285" i="7"/>
  <c r="A1302" i="7"/>
  <c r="L1204" i="7"/>
  <c r="N1204" i="7" s="1"/>
  <c r="U1204" i="7"/>
  <c r="U1205" i="7" s="1"/>
  <c r="Y1247" i="7"/>
  <c r="Y1241" i="7"/>
  <c r="Y1240" i="7"/>
  <c r="Y1233" i="7"/>
  <c r="Y1245" i="7"/>
  <c r="Y1232" i="7"/>
  <c r="Y1242" i="7"/>
  <c r="Y1243" i="7" s="1"/>
  <c r="Y1237" i="7"/>
  <c r="Y1246" i="7"/>
  <c r="Y1234" i="7"/>
  <c r="Y1235" i="7" s="1"/>
  <c r="P1177" i="7"/>
  <c r="R1177" i="7" s="1"/>
  <c r="P1203" i="7"/>
  <c r="R1203" i="7" s="1"/>
  <c r="F1233" i="7"/>
  <c r="U1233" i="7" s="1"/>
  <c r="D1233" i="7"/>
  <c r="G1226" i="7"/>
  <c r="F1240" i="7"/>
  <c r="H1250" i="7"/>
  <c r="F1250" i="7"/>
  <c r="U1250" i="7" s="1"/>
  <c r="D1242" i="7"/>
  <c r="F1232" i="7"/>
  <c r="D1250" i="7"/>
  <c r="F1241" i="7"/>
  <c r="U1241" i="7" s="1"/>
  <c r="F1237" i="7"/>
  <c r="D1241" i="7"/>
  <c r="F1251" i="7"/>
  <c r="U1251" i="7" s="1"/>
  <c r="D1246" i="7"/>
  <c r="H1247" i="7"/>
  <c r="F1242" i="7"/>
  <c r="H1246" i="7"/>
  <c r="D1234" i="7"/>
  <c r="D1226" i="7"/>
  <c r="D1232" i="7"/>
  <c r="F1234" i="7"/>
  <c r="F1246" i="7"/>
  <c r="U1246" i="7" s="1"/>
  <c r="D1237" i="7"/>
  <c r="W1237" i="7" s="1"/>
  <c r="H1249" i="7"/>
  <c r="H1245" i="7"/>
  <c r="H1251" i="7"/>
  <c r="F1245" i="7"/>
  <c r="U1245" i="7" s="1"/>
  <c r="D1245" i="7"/>
  <c r="D1251" i="7"/>
  <c r="F1249" i="7"/>
  <c r="U1249" i="7" s="1"/>
  <c r="D1240" i="7"/>
  <c r="F1247" i="7"/>
  <c r="U1247" i="7" s="1"/>
  <c r="D1247" i="7"/>
  <c r="D1249" i="7"/>
  <c r="AA1121" i="7"/>
  <c r="AA1122" i="7"/>
  <c r="AA1120" i="7"/>
  <c r="P1204" i="7"/>
  <c r="R1204" i="7" s="1"/>
  <c r="J1216" i="7"/>
  <c r="L1216" i="7"/>
  <c r="N1180" i="7"/>
  <c r="N1183" i="7" s="1"/>
  <c r="P1183" i="7" s="1"/>
  <c r="R1183" i="7" s="1"/>
  <c r="P1212" i="7"/>
  <c r="R1212" i="7" s="1"/>
  <c r="AA1191" i="7" l="1"/>
  <c r="AA1190" i="7"/>
  <c r="AA1189" i="7"/>
  <c r="AA1142" i="7"/>
  <c r="AA1144" i="7"/>
  <c r="N1220" i="7"/>
  <c r="L1250" i="7"/>
  <c r="N1219" i="7"/>
  <c r="AA1152" i="7"/>
  <c r="N1221" i="7"/>
  <c r="P1234" i="7"/>
  <c r="R1234" i="7" s="1"/>
  <c r="L1249" i="7"/>
  <c r="L1251" i="7"/>
  <c r="AA1177" i="7"/>
  <c r="AA1150" i="7"/>
  <c r="N1216" i="7"/>
  <c r="AA1216" i="7" s="1"/>
  <c r="AA1183" i="7"/>
  <c r="AA1182" i="7" s="1"/>
  <c r="N1215" i="7"/>
  <c r="AA1215" i="7" s="1"/>
  <c r="P1242" i="7"/>
  <c r="R1242" i="7" s="1"/>
  <c r="N1217" i="7"/>
  <c r="AA1217" i="7" s="1"/>
  <c r="W1246" i="7"/>
  <c r="W1250" i="7" s="1"/>
  <c r="N1212" i="7"/>
  <c r="N1213" i="7" s="1"/>
  <c r="P1213" i="7" s="1"/>
  <c r="R1213" i="7" s="1"/>
  <c r="AA1213" i="7" s="1"/>
  <c r="AA1210" i="7" s="1"/>
  <c r="F1235" i="7"/>
  <c r="U1232" i="7"/>
  <c r="L1232" i="7"/>
  <c r="N1232" i="7" s="1"/>
  <c r="N1205" i="7"/>
  <c r="L1234" i="7"/>
  <c r="N1234" i="7" s="1"/>
  <c r="U1234" i="7"/>
  <c r="U1235" i="7" s="1"/>
  <c r="Y1219" i="7"/>
  <c r="Y1221" i="7"/>
  <c r="Y1220" i="7"/>
  <c r="W1205" i="7"/>
  <c r="P1232" i="7"/>
  <c r="R1232" i="7" s="1"/>
  <c r="D1235" i="7"/>
  <c r="U1240" i="7"/>
  <c r="L1240" i="7"/>
  <c r="N1240" i="7" s="1"/>
  <c r="F1243" i="7"/>
  <c r="J1250" i="7"/>
  <c r="J1249" i="7"/>
  <c r="J1251" i="7"/>
  <c r="P1207" i="7"/>
  <c r="R1207" i="7" s="1"/>
  <c r="AA1207" i="7" s="1"/>
  <c r="P1233" i="7"/>
  <c r="R1233" i="7" s="1"/>
  <c r="A1339" i="7"/>
  <c r="A1336" i="7"/>
  <c r="A1331" i="7"/>
  <c r="A1323" i="7"/>
  <c r="A1337" i="7"/>
  <c r="A1333" i="7"/>
  <c r="A1327" i="7"/>
  <c r="A1330" i="7"/>
  <c r="A1341" i="7"/>
  <c r="A1324" i="7"/>
  <c r="C1315" i="7"/>
  <c r="A1332" i="7"/>
  <c r="A1340" i="7"/>
  <c r="A1335" i="7"/>
  <c r="A1325" i="7"/>
  <c r="A1345" i="7"/>
  <c r="A1322" i="7"/>
  <c r="J1241" i="7"/>
  <c r="N1241" i="7" s="1"/>
  <c r="N1233" i="7"/>
  <c r="L1247" i="7"/>
  <c r="J1247" i="7"/>
  <c r="U1242" i="7"/>
  <c r="U1243" i="7" s="1"/>
  <c r="L1242" i="7"/>
  <c r="N1242" i="7" s="1"/>
  <c r="D1264" i="7"/>
  <c r="D1270" i="7"/>
  <c r="F1267" i="7"/>
  <c r="D1275" i="7"/>
  <c r="D1263" i="7"/>
  <c r="H1275" i="7"/>
  <c r="F1264" i="7"/>
  <c r="G1256" i="7"/>
  <c r="D1262" i="7"/>
  <c r="D1271" i="7"/>
  <c r="D1256" i="7"/>
  <c r="H1279" i="7"/>
  <c r="F1281" i="7"/>
  <c r="U1281" i="7" s="1"/>
  <c r="F1276" i="7"/>
  <c r="U1276" i="7" s="1"/>
  <c r="D1281" i="7"/>
  <c r="F1272" i="7"/>
  <c r="D1277" i="7"/>
  <c r="F1270" i="7"/>
  <c r="F1275" i="7"/>
  <c r="U1275" i="7" s="1"/>
  <c r="H1276" i="7"/>
  <c r="F1279" i="7"/>
  <c r="U1279" i="7" s="1"/>
  <c r="D1276" i="7"/>
  <c r="F1280" i="7"/>
  <c r="U1280" i="7" s="1"/>
  <c r="F1262" i="7"/>
  <c r="F1263" i="7"/>
  <c r="U1263" i="7" s="1"/>
  <c r="D1279" i="7"/>
  <c r="H1281" i="7"/>
  <c r="D1267" i="7"/>
  <c r="W1267" i="7" s="1"/>
  <c r="D1272" i="7"/>
  <c r="D1280" i="7"/>
  <c r="F1271" i="7"/>
  <c r="U1271" i="7" s="1"/>
  <c r="H1277" i="7"/>
  <c r="F1277" i="7"/>
  <c r="U1277" i="7" s="1"/>
  <c r="H1280" i="7"/>
  <c r="D1243" i="7"/>
  <c r="W1243" i="7" s="1"/>
  <c r="P1240" i="7"/>
  <c r="R1240" i="7" s="1"/>
  <c r="D1287" i="7"/>
  <c r="D1285" i="7"/>
  <c r="D1290" i="7"/>
  <c r="D1288" i="7"/>
  <c r="D1291" i="7"/>
  <c r="D1289" i="7"/>
  <c r="J1246" i="7"/>
  <c r="L1246" i="7"/>
  <c r="W1247" i="7"/>
  <c r="W1251" i="7" s="1"/>
  <c r="J1267" i="7"/>
  <c r="J1263" i="7"/>
  <c r="J1264" i="7"/>
  <c r="J1272" i="7" s="1"/>
  <c r="J1262" i="7"/>
  <c r="J1270" i="7" s="1"/>
  <c r="L1245" i="7"/>
  <c r="J1245" i="7"/>
  <c r="P1241" i="7"/>
  <c r="R1241" i="7" s="1"/>
  <c r="W1245" i="7"/>
  <c r="W1249" i="7" s="1"/>
  <c r="Y1272" i="7"/>
  <c r="Y1273" i="7" s="1"/>
  <c r="Y1270" i="7"/>
  <c r="Y1271" i="7"/>
  <c r="Y1277" i="7"/>
  <c r="Y1267" i="7"/>
  <c r="Y1263" i="7"/>
  <c r="Y1276" i="7"/>
  <c r="Y1262" i="7"/>
  <c r="Y1275" i="7"/>
  <c r="Y1264" i="7"/>
  <c r="Y1265" i="7" s="1"/>
  <c r="L1237" i="7"/>
  <c r="N1237" i="7" s="1"/>
  <c r="U1237" i="7"/>
  <c r="AA1175" i="7"/>
  <c r="B1322" i="7"/>
  <c r="B1336" i="7"/>
  <c r="B1332" i="7"/>
  <c r="B1333" i="7"/>
  <c r="B1339" i="7"/>
  <c r="B1341" i="7"/>
  <c r="B1340" i="7"/>
  <c r="B1345" i="7"/>
  <c r="B1337" i="7"/>
  <c r="B1327" i="7"/>
  <c r="B1331" i="7"/>
  <c r="B1324" i="7"/>
  <c r="B1323" i="7"/>
  <c r="B1335" i="7"/>
  <c r="B1325" i="7"/>
  <c r="B1330" i="7"/>
  <c r="AA1220" i="7" l="1"/>
  <c r="N1250" i="7"/>
  <c r="AA1180" i="7"/>
  <c r="N1249" i="7"/>
  <c r="AA1219" i="7"/>
  <c r="AA1221" i="7"/>
  <c r="W1275" i="7"/>
  <c r="W1279" i="7" s="1"/>
  <c r="N1251" i="7"/>
  <c r="AA1181" i="7"/>
  <c r="L1279" i="7"/>
  <c r="N1247" i="7"/>
  <c r="AA1247" i="7" s="1"/>
  <c r="N1235" i="7"/>
  <c r="P1235" i="7" s="1"/>
  <c r="R1235" i="7" s="1"/>
  <c r="N1243" i="7"/>
  <c r="P1243" i="7" s="1"/>
  <c r="R1243" i="7" s="1"/>
  <c r="AA1211" i="7"/>
  <c r="AA1212" i="7"/>
  <c r="P1272" i="7"/>
  <c r="R1272" i="7" s="1"/>
  <c r="W1277" i="7"/>
  <c r="W1281" i="7" s="1"/>
  <c r="J1280" i="7"/>
  <c r="J1279" i="7"/>
  <c r="J1281" i="7"/>
  <c r="P1271" i="7"/>
  <c r="R1271" i="7" s="1"/>
  <c r="Y1293" i="7"/>
  <c r="Y1294" i="7"/>
  <c r="Y1295" i="7" s="1"/>
  <c r="Y1300" i="7"/>
  <c r="Y1292" i="7"/>
  <c r="Y1302" i="7"/>
  <c r="Y1303" i="7" s="1"/>
  <c r="Y1307" i="7"/>
  <c r="Y1297" i="7"/>
  <c r="Y1305" i="7"/>
  <c r="Y1301" i="7"/>
  <c r="Y1306" i="7"/>
  <c r="D1265" i="7"/>
  <c r="P1262" i="7"/>
  <c r="R1262" i="7" s="1"/>
  <c r="U1262" i="7"/>
  <c r="F1265" i="7"/>
  <c r="L1262" i="7"/>
  <c r="N1262" i="7" s="1"/>
  <c r="L1264" i="7"/>
  <c r="N1264" i="7" s="1"/>
  <c r="U1264" i="7"/>
  <c r="U1265" i="7" s="1"/>
  <c r="C1345" i="7"/>
  <c r="A1371" i="7"/>
  <c r="A1366" i="7"/>
  <c r="A1375" i="7"/>
  <c r="A1367" i="7"/>
  <c r="A1370" i="7"/>
  <c r="A1365" i="7"/>
  <c r="A1360" i="7"/>
  <c r="A1362" i="7"/>
  <c r="A1352" i="7"/>
  <c r="A1369" i="7"/>
  <c r="A1353" i="7"/>
  <c r="A1361" i="7"/>
  <c r="A1354" i="7"/>
  <c r="A1355" i="7"/>
  <c r="A1363" i="7"/>
  <c r="A1357" i="7"/>
  <c r="Y1249" i="7"/>
  <c r="Y1250" i="7"/>
  <c r="Y1251" i="7"/>
  <c r="W1235" i="7"/>
  <c r="AA1174" i="7"/>
  <c r="AA1173" i="7"/>
  <c r="AA1172" i="7"/>
  <c r="D1305" i="7"/>
  <c r="F1292" i="7"/>
  <c r="F1307" i="7"/>
  <c r="U1307" i="7" s="1"/>
  <c r="F1309" i="7"/>
  <c r="U1309" i="7" s="1"/>
  <c r="F1311" i="7"/>
  <c r="U1311" i="7" s="1"/>
  <c r="F1293" i="7"/>
  <c r="U1293" i="7" s="1"/>
  <c r="D1307" i="7"/>
  <c r="F1300" i="7"/>
  <c r="D1293" i="7"/>
  <c r="D1306" i="7"/>
  <c r="H1305" i="7"/>
  <c r="D1300" i="7"/>
  <c r="D1302" i="7"/>
  <c r="F1305" i="7"/>
  <c r="U1305" i="7" s="1"/>
  <c r="H1306" i="7"/>
  <c r="D1294" i="7"/>
  <c r="D1310" i="7"/>
  <c r="F1301" i="7"/>
  <c r="U1301" i="7" s="1"/>
  <c r="F1294" i="7"/>
  <c r="G1286" i="7"/>
  <c r="D1311" i="7"/>
  <c r="H1310" i="7"/>
  <c r="F1306" i="7"/>
  <c r="U1306" i="7" s="1"/>
  <c r="D1309" i="7"/>
  <c r="H1311" i="7"/>
  <c r="H1307" i="7"/>
  <c r="D1286" i="7"/>
  <c r="D1292" i="7"/>
  <c r="F1302" i="7"/>
  <c r="F1310" i="7"/>
  <c r="U1310" i="7" s="1"/>
  <c r="F1297" i="7"/>
  <c r="D1297" i="7"/>
  <c r="W1297" i="7" s="1"/>
  <c r="D1301" i="7"/>
  <c r="H1309" i="7"/>
  <c r="L1276" i="7"/>
  <c r="J1276" i="7"/>
  <c r="J1294" i="7"/>
  <c r="J1302" i="7" s="1"/>
  <c r="J1293" i="7"/>
  <c r="J1297" i="7"/>
  <c r="J1292" i="7"/>
  <c r="J1300" i="7" s="1"/>
  <c r="P1263" i="7"/>
  <c r="R1263" i="7" s="1"/>
  <c r="P1237" i="7"/>
  <c r="R1237" i="7" s="1"/>
  <c r="N1245" i="7"/>
  <c r="AA1245" i="7" s="1"/>
  <c r="W1276" i="7"/>
  <c r="W1280" i="7" s="1"/>
  <c r="J1275" i="7"/>
  <c r="L1275" i="7"/>
  <c r="L1267" i="7"/>
  <c r="N1267" i="7" s="1"/>
  <c r="U1267" i="7"/>
  <c r="N1246" i="7"/>
  <c r="AA1246" i="7" s="1"/>
  <c r="U1270" i="7"/>
  <c r="L1270" i="7"/>
  <c r="N1270" i="7" s="1"/>
  <c r="F1273" i="7"/>
  <c r="D1273" i="7"/>
  <c r="W1273" i="7" s="1"/>
  <c r="P1270" i="7"/>
  <c r="R1270" i="7" s="1"/>
  <c r="D1320" i="7"/>
  <c r="D1317" i="7"/>
  <c r="D1315" i="7"/>
  <c r="D1321" i="7"/>
  <c r="D1319" i="7"/>
  <c r="D1318" i="7"/>
  <c r="L1277" i="7"/>
  <c r="J1277" i="7"/>
  <c r="P1264" i="7"/>
  <c r="R1264" i="7" s="1"/>
  <c r="P1205" i="7"/>
  <c r="R1205" i="7" s="1"/>
  <c r="AA1205" i="7" s="1"/>
  <c r="N1263" i="7"/>
  <c r="J1271" i="7"/>
  <c r="N1271" i="7" s="1"/>
  <c r="L1272" i="7"/>
  <c r="N1272" i="7" s="1"/>
  <c r="U1272" i="7"/>
  <c r="U1273" i="7" s="1"/>
  <c r="L1281" i="7"/>
  <c r="B1375" i="7"/>
  <c r="B1367" i="7"/>
  <c r="B1369" i="7"/>
  <c r="B1361" i="7"/>
  <c r="B1366" i="7"/>
  <c r="B1355" i="7"/>
  <c r="B1352" i="7"/>
  <c r="B1363" i="7"/>
  <c r="B1370" i="7"/>
  <c r="B1365" i="7"/>
  <c r="B1354" i="7"/>
  <c r="B1362" i="7"/>
  <c r="B1357" i="7"/>
  <c r="B1360" i="7"/>
  <c r="B1353" i="7"/>
  <c r="B1371" i="7"/>
  <c r="L1280" i="7"/>
  <c r="AA1250" i="7" l="1"/>
  <c r="AA1249" i="7"/>
  <c r="N1279" i="7"/>
  <c r="AA1251" i="7"/>
  <c r="L1311" i="7"/>
  <c r="N1276" i="7"/>
  <c r="AA1276" i="7" s="1"/>
  <c r="N1275" i="7"/>
  <c r="AA1275" i="7" s="1"/>
  <c r="P1302" i="7"/>
  <c r="R1302" i="7" s="1"/>
  <c r="N1265" i="7"/>
  <c r="P1265" i="7" s="1"/>
  <c r="R1265" i="7" s="1"/>
  <c r="AA1243" i="7"/>
  <c r="AA1240" i="7" s="1"/>
  <c r="N1273" i="7"/>
  <c r="P1273" i="7" s="1"/>
  <c r="R1273" i="7" s="1"/>
  <c r="P1294" i="7"/>
  <c r="R1294" i="7" s="1"/>
  <c r="J1323" i="7"/>
  <c r="J1327" i="7"/>
  <c r="J1324" i="7"/>
  <c r="J1322" i="7"/>
  <c r="J1330" i="7" s="1"/>
  <c r="AA1235" i="7"/>
  <c r="AA1237" i="7"/>
  <c r="P1292" i="7"/>
  <c r="R1292" i="7" s="1"/>
  <c r="D1295" i="7"/>
  <c r="P1300" i="7"/>
  <c r="R1300" i="7" s="1"/>
  <c r="D1303" i="7"/>
  <c r="W1303" i="7" s="1"/>
  <c r="A1382" i="7"/>
  <c r="A1405" i="7"/>
  <c r="A1399" i="7"/>
  <c r="A1392" i="7"/>
  <c r="A1395" i="7"/>
  <c r="A1396" i="7"/>
  <c r="A1397" i="7"/>
  <c r="A1390" i="7"/>
  <c r="A1383" i="7"/>
  <c r="A1400" i="7"/>
  <c r="A1391" i="7"/>
  <c r="C1375" i="7"/>
  <c r="A1401" i="7"/>
  <c r="A1385" i="7"/>
  <c r="A1393" i="7"/>
  <c r="A1384" i="7"/>
  <c r="A1387" i="7"/>
  <c r="J1310" i="7"/>
  <c r="J1311" i="7"/>
  <c r="J1309" i="7"/>
  <c r="Y1335" i="7"/>
  <c r="Y1324" i="7"/>
  <c r="Y1325" i="7" s="1"/>
  <c r="Y1331" i="7"/>
  <c r="Y1336" i="7"/>
  <c r="Y1332" i="7"/>
  <c r="Y1333" i="7" s="1"/>
  <c r="Y1330" i="7"/>
  <c r="Y1337" i="7"/>
  <c r="Y1322" i="7"/>
  <c r="Y1323" i="7"/>
  <c r="Y1327" i="7"/>
  <c r="L1306" i="7"/>
  <c r="J1306" i="7"/>
  <c r="B1382" i="7"/>
  <c r="B1385" i="7"/>
  <c r="B1390" i="7"/>
  <c r="B1387" i="7"/>
  <c r="B1384" i="7"/>
  <c r="B1399" i="7"/>
  <c r="B1405" i="7"/>
  <c r="B1397" i="7"/>
  <c r="B1393" i="7"/>
  <c r="B1383" i="7"/>
  <c r="B1400" i="7"/>
  <c r="B1395" i="7"/>
  <c r="B1391" i="7"/>
  <c r="B1401" i="7"/>
  <c r="B1396" i="7"/>
  <c r="B1392" i="7"/>
  <c r="Y1280" i="7"/>
  <c r="Y1281" i="7"/>
  <c r="Y1279" i="7"/>
  <c r="W1265" i="7"/>
  <c r="P1293" i="7"/>
  <c r="R1293" i="7" s="1"/>
  <c r="D1347" i="7"/>
  <c r="D1345" i="7"/>
  <c r="D1351" i="7"/>
  <c r="D1350" i="7"/>
  <c r="D1349" i="7"/>
  <c r="D1348" i="7"/>
  <c r="AA1204" i="7"/>
  <c r="AA1202" i="7"/>
  <c r="AA1203" i="7"/>
  <c r="L1309" i="7"/>
  <c r="L1300" i="7"/>
  <c r="N1300" i="7" s="1"/>
  <c r="U1300" i="7"/>
  <c r="F1303" i="7"/>
  <c r="U1297" i="7"/>
  <c r="L1297" i="7"/>
  <c r="N1297" i="7" s="1"/>
  <c r="L1307" i="7"/>
  <c r="J1307" i="7"/>
  <c r="J1301" i="7"/>
  <c r="N1301" i="7" s="1"/>
  <c r="N1293" i="7"/>
  <c r="L1302" i="7"/>
  <c r="N1302" i="7" s="1"/>
  <c r="U1302" i="7"/>
  <c r="U1303" i="7" s="1"/>
  <c r="N1277" i="7"/>
  <c r="AA1277" i="7" s="1"/>
  <c r="W1306" i="7"/>
  <c r="W1310" i="7" s="1"/>
  <c r="F1327" i="7"/>
  <c r="F1335" i="7"/>
  <c r="U1335" i="7" s="1"/>
  <c r="F1339" i="7"/>
  <c r="U1339" i="7" s="1"/>
  <c r="D1331" i="7"/>
  <c r="D1327" i="7"/>
  <c r="W1327" i="7" s="1"/>
  <c r="G1316" i="7"/>
  <c r="D1339" i="7"/>
  <c r="F1324" i="7"/>
  <c r="H1335" i="7"/>
  <c r="D1340" i="7"/>
  <c r="D1335" i="7"/>
  <c r="D1337" i="7"/>
  <c r="H1337" i="7"/>
  <c r="D1336" i="7"/>
  <c r="D1332" i="7"/>
  <c r="F1331" i="7"/>
  <c r="U1331" i="7" s="1"/>
  <c r="F1323" i="7"/>
  <c r="U1323" i="7" s="1"/>
  <c r="F1337" i="7"/>
  <c r="U1337" i="7" s="1"/>
  <c r="F1330" i="7"/>
  <c r="F1340" i="7"/>
  <c r="U1340" i="7" s="1"/>
  <c r="D1323" i="7"/>
  <c r="D1341" i="7"/>
  <c r="H1336" i="7"/>
  <c r="D1330" i="7"/>
  <c r="F1341" i="7"/>
  <c r="U1341" i="7" s="1"/>
  <c r="D1316" i="7"/>
  <c r="F1322" i="7"/>
  <c r="D1322" i="7"/>
  <c r="H1340" i="7"/>
  <c r="D1324" i="7"/>
  <c r="H1341" i="7"/>
  <c r="F1336" i="7"/>
  <c r="U1336" i="7" s="1"/>
  <c r="F1332" i="7"/>
  <c r="H1339" i="7"/>
  <c r="U1294" i="7"/>
  <c r="U1295" i="7" s="1"/>
  <c r="L1294" i="7"/>
  <c r="N1294" i="7" s="1"/>
  <c r="W1307" i="7"/>
  <c r="W1311" i="7" s="1"/>
  <c r="N1281" i="7"/>
  <c r="P1267" i="7"/>
  <c r="R1267" i="7" s="1"/>
  <c r="U1292" i="7"/>
  <c r="F1295" i="7"/>
  <c r="L1292" i="7"/>
  <c r="N1292" i="7" s="1"/>
  <c r="W1305" i="7"/>
  <c r="W1309" i="7" s="1"/>
  <c r="P1301" i="7"/>
  <c r="R1301" i="7" s="1"/>
  <c r="L1310" i="7"/>
  <c r="L1305" i="7"/>
  <c r="J1305" i="7"/>
  <c r="N1280" i="7"/>
  <c r="AA1279" i="7" l="1"/>
  <c r="N1311" i="7"/>
  <c r="N1305" i="7"/>
  <c r="AA1305" i="7" s="1"/>
  <c r="L1340" i="7"/>
  <c r="W1336" i="7"/>
  <c r="W1340" i="7" s="1"/>
  <c r="L1339" i="7"/>
  <c r="N1295" i="7"/>
  <c r="P1295" i="7" s="1"/>
  <c r="R1295" i="7" s="1"/>
  <c r="AA1281" i="7"/>
  <c r="AA1267" i="7"/>
  <c r="AA1280" i="7"/>
  <c r="AA1242" i="7"/>
  <c r="AA1273" i="7"/>
  <c r="AA1272" i="7" s="1"/>
  <c r="N1306" i="7"/>
  <c r="AA1306" i="7" s="1"/>
  <c r="AA1241" i="7"/>
  <c r="P1324" i="7"/>
  <c r="R1324" i="7" s="1"/>
  <c r="W1337" i="7"/>
  <c r="W1341" i="7" s="1"/>
  <c r="P1332" i="7"/>
  <c r="R1332" i="7" s="1"/>
  <c r="P1322" i="7"/>
  <c r="R1322" i="7" s="1"/>
  <c r="D1325" i="7"/>
  <c r="J1337" i="7"/>
  <c r="L1337" i="7"/>
  <c r="U1322" i="7"/>
  <c r="F1325" i="7"/>
  <c r="L1322" i="7"/>
  <c r="N1322" i="7" s="1"/>
  <c r="L1335" i="7"/>
  <c r="J1335" i="7"/>
  <c r="Y1310" i="7"/>
  <c r="Y1311" i="7"/>
  <c r="W1295" i="7"/>
  <c r="Y1309" i="7"/>
  <c r="N1303" i="7"/>
  <c r="J1339" i="7"/>
  <c r="J1340" i="7"/>
  <c r="J1341" i="7"/>
  <c r="D1379" i="7"/>
  <c r="D1375" i="7"/>
  <c r="D1378" i="7"/>
  <c r="D1377" i="7"/>
  <c r="D1380" i="7"/>
  <c r="D1381" i="7"/>
  <c r="Y1367" i="7"/>
  <c r="Y1361" i="7"/>
  <c r="Y1357" i="7"/>
  <c r="Y1360" i="7"/>
  <c r="Y1353" i="7"/>
  <c r="Y1362" i="7"/>
  <c r="Y1363" i="7" s="1"/>
  <c r="Y1365" i="7"/>
  <c r="Y1354" i="7"/>
  <c r="Y1355" i="7" s="1"/>
  <c r="Y1366" i="7"/>
  <c r="Y1352" i="7"/>
  <c r="D1333" i="7"/>
  <c r="W1333" i="7" s="1"/>
  <c r="P1330" i="7"/>
  <c r="R1330" i="7" s="1"/>
  <c r="U1324" i="7"/>
  <c r="U1325" i="7" s="1"/>
  <c r="L1324" i="7"/>
  <c r="N1324" i="7" s="1"/>
  <c r="N1307" i="7"/>
  <c r="AA1307" i="7" s="1"/>
  <c r="G1346" i="7"/>
  <c r="D1370" i="7"/>
  <c r="D1371" i="7"/>
  <c r="F1369" i="7"/>
  <c r="U1369" i="7" s="1"/>
  <c r="D1366" i="7"/>
  <c r="H1365" i="7"/>
  <c r="F1366" i="7"/>
  <c r="U1366" i="7" s="1"/>
  <c r="H1369" i="7"/>
  <c r="D1365" i="7"/>
  <c r="F1367" i="7"/>
  <c r="U1367" i="7" s="1"/>
  <c r="D1362" i="7"/>
  <c r="H1370" i="7"/>
  <c r="D1352" i="7"/>
  <c r="F1357" i="7"/>
  <c r="D1353" i="7"/>
  <c r="D1369" i="7"/>
  <c r="F1353" i="7"/>
  <c r="U1353" i="7" s="1"/>
  <c r="F1361" i="7"/>
  <c r="U1361" i="7" s="1"/>
  <c r="F1371" i="7"/>
  <c r="U1371" i="7" s="1"/>
  <c r="F1370" i="7"/>
  <c r="U1370" i="7" s="1"/>
  <c r="H1366" i="7"/>
  <c r="F1365" i="7"/>
  <c r="U1365" i="7" s="1"/>
  <c r="H1367" i="7"/>
  <c r="D1361" i="7"/>
  <c r="F1362" i="7"/>
  <c r="F1360" i="7"/>
  <c r="D1346" i="7"/>
  <c r="D1367" i="7"/>
  <c r="D1354" i="7"/>
  <c r="F1352" i="7"/>
  <c r="D1360" i="7"/>
  <c r="D1357" i="7"/>
  <c r="W1357" i="7" s="1"/>
  <c r="H1371" i="7"/>
  <c r="F1354" i="7"/>
  <c r="B1429" i="7"/>
  <c r="B1413" i="7"/>
  <c r="B1420" i="7"/>
  <c r="B1414" i="7"/>
  <c r="B1421" i="7"/>
  <c r="B1412" i="7"/>
  <c r="B1423" i="7"/>
  <c r="B1417" i="7"/>
  <c r="B1430" i="7"/>
  <c r="B1425" i="7"/>
  <c r="B1435" i="7"/>
  <c r="B1427" i="7"/>
  <c r="B1431" i="7"/>
  <c r="B1426" i="7"/>
  <c r="B1415" i="7"/>
  <c r="B1422" i="7"/>
  <c r="AA1233" i="7"/>
  <c r="AA1234" i="7"/>
  <c r="AA1232" i="7"/>
  <c r="J1352" i="7"/>
  <c r="J1360" i="7" s="1"/>
  <c r="J1357" i="7"/>
  <c r="J1354" i="7"/>
  <c r="J1362" i="7" s="1"/>
  <c r="J1353" i="7"/>
  <c r="L1341" i="7"/>
  <c r="W1335" i="7"/>
  <c r="W1339" i="7" s="1"/>
  <c r="P1297" i="7"/>
  <c r="R1297" i="7" s="1"/>
  <c r="J1332" i="7"/>
  <c r="P1323" i="7"/>
  <c r="R1323" i="7" s="1"/>
  <c r="P1331" i="7"/>
  <c r="R1331" i="7" s="1"/>
  <c r="N1323" i="7"/>
  <c r="J1331" i="7"/>
  <c r="N1331" i="7" s="1"/>
  <c r="F1333" i="7"/>
  <c r="L1330" i="7"/>
  <c r="N1330" i="7" s="1"/>
  <c r="U1330" i="7"/>
  <c r="N1309" i="7"/>
  <c r="AA1265" i="7"/>
  <c r="L1332" i="7"/>
  <c r="U1332" i="7"/>
  <c r="U1333" i="7" s="1"/>
  <c r="L1327" i="7"/>
  <c r="N1327" i="7" s="1"/>
  <c r="U1327" i="7"/>
  <c r="J1336" i="7"/>
  <c r="L1336" i="7"/>
  <c r="N1310" i="7"/>
  <c r="A1429" i="7"/>
  <c r="A1430" i="7"/>
  <c r="A1420" i="7"/>
  <c r="A1425" i="7"/>
  <c r="A1421" i="7"/>
  <c r="A1422" i="7"/>
  <c r="A1435" i="7"/>
  <c r="A1431" i="7"/>
  <c r="A1427" i="7"/>
  <c r="A1415" i="7"/>
  <c r="A1426" i="7"/>
  <c r="A1417" i="7"/>
  <c r="A1413" i="7"/>
  <c r="A1414" i="7"/>
  <c r="C1405" i="7"/>
  <c r="A1423" i="7"/>
  <c r="A1412" i="7"/>
  <c r="N1339" i="7" l="1"/>
  <c r="AA1311" i="7"/>
  <c r="N1340" i="7"/>
  <c r="N1332" i="7"/>
  <c r="N1333" i="7" s="1"/>
  <c r="P1333" i="7" s="1"/>
  <c r="R1333" i="7" s="1"/>
  <c r="AA1270" i="7"/>
  <c r="N1335" i="7"/>
  <c r="AA1335" i="7" s="1"/>
  <c r="AA1271" i="7"/>
  <c r="W1367" i="7"/>
  <c r="W1371" i="7" s="1"/>
  <c r="P1354" i="7"/>
  <c r="R1354" i="7" s="1"/>
  <c r="N1337" i="7"/>
  <c r="AA1337" i="7" s="1"/>
  <c r="P1362" i="7"/>
  <c r="R1362" i="7" s="1"/>
  <c r="AA1309" i="7"/>
  <c r="AA1297" i="7"/>
  <c r="L1371" i="7"/>
  <c r="P1327" i="7"/>
  <c r="R1327" i="7" s="1"/>
  <c r="U1354" i="7"/>
  <c r="U1355" i="7" s="1"/>
  <c r="L1354" i="7"/>
  <c r="N1354" i="7" s="1"/>
  <c r="L1370" i="7"/>
  <c r="L1369" i="7"/>
  <c r="Y1390" i="7"/>
  <c r="Y1387" i="7"/>
  <c r="Y1383" i="7"/>
  <c r="Y1396" i="7"/>
  <c r="Y1397" i="7"/>
  <c r="Y1382" i="7"/>
  <c r="Y1395" i="7"/>
  <c r="Y1384" i="7"/>
  <c r="Y1385" i="7" s="1"/>
  <c r="Y1391" i="7"/>
  <c r="Y1392" i="7"/>
  <c r="Y1393" i="7" s="1"/>
  <c r="N1325" i="7"/>
  <c r="N1336" i="7"/>
  <c r="AA1336" i="7" s="1"/>
  <c r="P1360" i="7"/>
  <c r="R1360" i="7" s="1"/>
  <c r="D1363" i="7"/>
  <c r="W1363" i="7" s="1"/>
  <c r="P1353" i="7"/>
  <c r="R1353" i="7" s="1"/>
  <c r="D1411" i="7"/>
  <c r="D1409" i="7"/>
  <c r="D1408" i="7"/>
  <c r="D1405" i="7"/>
  <c r="D1410" i="7"/>
  <c r="D1407" i="7"/>
  <c r="L1352" i="7"/>
  <c r="N1352" i="7" s="1"/>
  <c r="U1352" i="7"/>
  <c r="F1355" i="7"/>
  <c r="U1357" i="7"/>
  <c r="L1357" i="7"/>
  <c r="N1357" i="7" s="1"/>
  <c r="J1387" i="7"/>
  <c r="J1384" i="7"/>
  <c r="J1392" i="7" s="1"/>
  <c r="J1382" i="7"/>
  <c r="J1383" i="7"/>
  <c r="A1451" i="7"/>
  <c r="A1452" i="7"/>
  <c r="A1465" i="7"/>
  <c r="A1442" i="7"/>
  <c r="A1453" i="7"/>
  <c r="A1459" i="7"/>
  <c r="A1445" i="7"/>
  <c r="A1456" i="7"/>
  <c r="A1457" i="7"/>
  <c r="A1447" i="7"/>
  <c r="A1450" i="7"/>
  <c r="C1435" i="7"/>
  <c r="A1444" i="7"/>
  <c r="A1461" i="7"/>
  <c r="A1443" i="7"/>
  <c r="A1460" i="7"/>
  <c r="A1455" i="7"/>
  <c r="B1461" i="7"/>
  <c r="B1450" i="7"/>
  <c r="B1444" i="7"/>
  <c r="B1451" i="7"/>
  <c r="B1452" i="7"/>
  <c r="B1465" i="7"/>
  <c r="B1442" i="7"/>
  <c r="B1459" i="7"/>
  <c r="B1456" i="7"/>
  <c r="B1445" i="7"/>
  <c r="B1455" i="7"/>
  <c r="B1460" i="7"/>
  <c r="B1457" i="7"/>
  <c r="B1443" i="7"/>
  <c r="B1453" i="7"/>
  <c r="B1447" i="7"/>
  <c r="P1352" i="7"/>
  <c r="R1352" i="7" s="1"/>
  <c r="D1355" i="7"/>
  <c r="W1366" i="7"/>
  <c r="W1370" i="7" s="1"/>
  <c r="L1367" i="7"/>
  <c r="J1367" i="7"/>
  <c r="F1384" i="7"/>
  <c r="D1383" i="7"/>
  <c r="H1401" i="7"/>
  <c r="F1399" i="7"/>
  <c r="U1399" i="7" s="1"/>
  <c r="H1396" i="7"/>
  <c r="H1395" i="7"/>
  <c r="D1384" i="7"/>
  <c r="F1395" i="7"/>
  <c r="U1395" i="7" s="1"/>
  <c r="F1401" i="7"/>
  <c r="U1401" i="7" s="1"/>
  <c r="D1390" i="7"/>
  <c r="F1396" i="7"/>
  <c r="U1396" i="7" s="1"/>
  <c r="F1400" i="7"/>
  <c r="U1400" i="7" s="1"/>
  <c r="H1397" i="7"/>
  <c r="D1382" i="7"/>
  <c r="D1401" i="7"/>
  <c r="F1392" i="7"/>
  <c r="F1387" i="7"/>
  <c r="D1392" i="7"/>
  <c r="F1390" i="7"/>
  <c r="G1376" i="7"/>
  <c r="H1399" i="7"/>
  <c r="H1400" i="7"/>
  <c r="D1391" i="7"/>
  <c r="D1399" i="7"/>
  <c r="D1376" i="7"/>
  <c r="F1397" i="7"/>
  <c r="U1397" i="7" s="1"/>
  <c r="D1396" i="7"/>
  <c r="D1387" i="7"/>
  <c r="W1387" i="7" s="1"/>
  <c r="D1400" i="7"/>
  <c r="D1397" i="7"/>
  <c r="F1383" i="7"/>
  <c r="U1383" i="7" s="1"/>
  <c r="D1395" i="7"/>
  <c r="F1382" i="7"/>
  <c r="F1391" i="7"/>
  <c r="U1391" i="7" s="1"/>
  <c r="W1365" i="7"/>
  <c r="W1369" i="7" s="1"/>
  <c r="AA1262" i="7"/>
  <c r="AA1263" i="7"/>
  <c r="AA1264" i="7"/>
  <c r="J1369" i="7"/>
  <c r="J1371" i="7"/>
  <c r="J1370" i="7"/>
  <c r="U1360" i="7"/>
  <c r="F1363" i="7"/>
  <c r="L1360" i="7"/>
  <c r="N1360" i="7" s="1"/>
  <c r="N1341" i="7"/>
  <c r="N1353" i="7"/>
  <c r="J1361" i="7"/>
  <c r="N1361" i="7" s="1"/>
  <c r="L1362" i="7"/>
  <c r="N1362" i="7" s="1"/>
  <c r="U1362" i="7"/>
  <c r="U1363" i="7" s="1"/>
  <c r="L1365" i="7"/>
  <c r="J1365" i="7"/>
  <c r="Y1340" i="7"/>
  <c r="Y1339" i="7"/>
  <c r="Y1341" i="7"/>
  <c r="W1325" i="7"/>
  <c r="P1361" i="7"/>
  <c r="R1361" i="7" s="1"/>
  <c r="J1366" i="7"/>
  <c r="L1366" i="7"/>
  <c r="P1303" i="7"/>
  <c r="R1303" i="7" s="1"/>
  <c r="AA1310" i="7"/>
  <c r="AA1295" i="7"/>
  <c r="AA1339" i="7" l="1"/>
  <c r="L1399" i="7"/>
  <c r="N1371" i="7"/>
  <c r="AA1340" i="7"/>
  <c r="N1367" i="7"/>
  <c r="AA1367" i="7" s="1"/>
  <c r="N1370" i="7"/>
  <c r="P1384" i="7"/>
  <c r="R1384" i="7" s="1"/>
  <c r="N1365" i="7"/>
  <c r="AA1365" i="7" s="1"/>
  <c r="W1395" i="7"/>
  <c r="W1399" i="7" s="1"/>
  <c r="N1369" i="7"/>
  <c r="AA1327" i="7"/>
  <c r="W1396" i="7"/>
  <c r="W1400" i="7" s="1"/>
  <c r="N1355" i="7"/>
  <c r="P1355" i="7" s="1"/>
  <c r="R1355" i="7" s="1"/>
  <c r="L1401" i="7"/>
  <c r="L1400" i="7"/>
  <c r="N1363" i="7"/>
  <c r="AA1303" i="7"/>
  <c r="L1397" i="7"/>
  <c r="J1397" i="7"/>
  <c r="D1385" i="7"/>
  <c r="P1382" i="7"/>
  <c r="R1382" i="7" s="1"/>
  <c r="B1491" i="7"/>
  <c r="B1486" i="7"/>
  <c r="B1475" i="7"/>
  <c r="B1482" i="7"/>
  <c r="B1490" i="7"/>
  <c r="B1474" i="7"/>
  <c r="B1473" i="7"/>
  <c r="B1480" i="7"/>
  <c r="B1495" i="7"/>
  <c r="B1487" i="7"/>
  <c r="B1472" i="7"/>
  <c r="B1483" i="7"/>
  <c r="B1477" i="7"/>
  <c r="B1485" i="7"/>
  <c r="B1481" i="7"/>
  <c r="B1489" i="7"/>
  <c r="J1414" i="7"/>
  <c r="J1422" i="7" s="1"/>
  <c r="J1417" i="7"/>
  <c r="J1413" i="7"/>
  <c r="J1412" i="7"/>
  <c r="U1392" i="7"/>
  <c r="U1393" i="7" s="1"/>
  <c r="L1392" i="7"/>
  <c r="N1392" i="7" s="1"/>
  <c r="N1366" i="7"/>
  <c r="AA1366" i="7" s="1"/>
  <c r="F1414" i="7"/>
  <c r="H1429" i="7"/>
  <c r="D1429" i="7"/>
  <c r="G1406" i="7"/>
  <c r="F1417" i="7"/>
  <c r="F1413" i="7"/>
  <c r="U1413" i="7" s="1"/>
  <c r="H1431" i="7"/>
  <c r="D1417" i="7"/>
  <c r="W1417" i="7" s="1"/>
  <c r="F1420" i="7"/>
  <c r="D1421" i="7"/>
  <c r="H1427" i="7"/>
  <c r="D1414" i="7"/>
  <c r="F1430" i="7"/>
  <c r="U1430" i="7" s="1"/>
  <c r="F1426" i="7"/>
  <c r="U1426" i="7" s="1"/>
  <c r="D1430" i="7"/>
  <c r="F1412" i="7"/>
  <c r="D1422" i="7"/>
  <c r="F1425" i="7"/>
  <c r="U1425" i="7" s="1"/>
  <c r="D1425" i="7"/>
  <c r="D1413" i="7"/>
  <c r="D1431" i="7"/>
  <c r="D1406" i="7"/>
  <c r="D1426" i="7"/>
  <c r="H1430" i="7"/>
  <c r="D1412" i="7"/>
  <c r="H1425" i="7"/>
  <c r="F1429" i="7"/>
  <c r="U1429" i="7" s="1"/>
  <c r="D1420" i="7"/>
  <c r="F1431" i="7"/>
  <c r="U1431" i="7" s="1"/>
  <c r="H1426" i="7"/>
  <c r="F1427" i="7"/>
  <c r="U1427" i="7" s="1"/>
  <c r="D1427" i="7"/>
  <c r="F1422" i="7"/>
  <c r="F1421" i="7"/>
  <c r="U1421" i="7" s="1"/>
  <c r="L1396" i="7"/>
  <c r="J1396" i="7"/>
  <c r="P1390" i="7"/>
  <c r="R1390" i="7" s="1"/>
  <c r="D1393" i="7"/>
  <c r="W1393" i="7" s="1"/>
  <c r="Y1369" i="7"/>
  <c r="Y1371" i="7"/>
  <c r="W1355" i="7"/>
  <c r="Y1370" i="7"/>
  <c r="A1495" i="7"/>
  <c r="A1525" i="7" s="1"/>
  <c r="A1491" i="7"/>
  <c r="A1486" i="7"/>
  <c r="A1487" i="7"/>
  <c r="A1472" i="7"/>
  <c r="A1483" i="7"/>
  <c r="A1481" i="7"/>
  <c r="A1490" i="7"/>
  <c r="A1475" i="7"/>
  <c r="A1482" i="7"/>
  <c r="A1480" i="7"/>
  <c r="A1477" i="7"/>
  <c r="A1473" i="7"/>
  <c r="A1489" i="7"/>
  <c r="A1485" i="7"/>
  <c r="A1474" i="7"/>
  <c r="C1465" i="7"/>
  <c r="J1400" i="7"/>
  <c r="J1399" i="7"/>
  <c r="J1401" i="7"/>
  <c r="Y1426" i="7"/>
  <c r="Y1413" i="7"/>
  <c r="Y1420" i="7"/>
  <c r="Y1421" i="7"/>
  <c r="Y1422" i="7"/>
  <c r="Y1423" i="7" s="1"/>
  <c r="Y1417" i="7"/>
  <c r="Y1427" i="7"/>
  <c r="Y1412" i="7"/>
  <c r="Y1414" i="7"/>
  <c r="Y1415" i="7" s="1"/>
  <c r="Y1425" i="7"/>
  <c r="AA1341" i="7"/>
  <c r="P1391" i="7"/>
  <c r="R1391" i="7" s="1"/>
  <c r="N1383" i="7"/>
  <c r="J1391" i="7"/>
  <c r="N1391" i="7" s="1"/>
  <c r="J1390" i="7"/>
  <c r="P1357" i="7"/>
  <c r="R1357" i="7" s="1"/>
  <c r="W1397" i="7"/>
  <c r="W1401" i="7" s="1"/>
  <c r="P1325" i="7"/>
  <c r="R1325" i="7" s="1"/>
  <c r="J1395" i="7"/>
  <c r="L1395" i="7"/>
  <c r="AA1294" i="7"/>
  <c r="AA1293" i="7"/>
  <c r="AA1292" i="7"/>
  <c r="U1390" i="7"/>
  <c r="L1390" i="7"/>
  <c r="F1393" i="7"/>
  <c r="D1439" i="7"/>
  <c r="D1441" i="7"/>
  <c r="D1440" i="7"/>
  <c r="D1437" i="7"/>
  <c r="D1438" i="7"/>
  <c r="D1435" i="7"/>
  <c r="P1392" i="7"/>
  <c r="R1392" i="7" s="1"/>
  <c r="P1383" i="7"/>
  <c r="R1383" i="7" s="1"/>
  <c r="U1382" i="7"/>
  <c r="F1385" i="7"/>
  <c r="L1382" i="7"/>
  <c r="N1382" i="7" s="1"/>
  <c r="U1387" i="7"/>
  <c r="L1387" i="7"/>
  <c r="N1387" i="7" s="1"/>
  <c r="U1384" i="7"/>
  <c r="U1385" i="7" s="1"/>
  <c r="L1384" i="7"/>
  <c r="N1384" i="7" s="1"/>
  <c r="AA1333" i="7"/>
  <c r="A1532" i="7" l="1"/>
  <c r="A1542" i="7"/>
  <c r="A1543" i="7"/>
  <c r="A1537" i="7"/>
  <c r="A1550" i="7"/>
  <c r="A1534" i="7"/>
  <c r="A1549" i="7"/>
  <c r="A1540" i="7"/>
  <c r="A1545" i="7"/>
  <c r="A1547" i="7"/>
  <c r="A1533" i="7"/>
  <c r="A1535" i="7"/>
  <c r="A1541" i="7"/>
  <c r="C1525" i="7"/>
  <c r="A1551" i="7"/>
  <c r="A1546" i="7"/>
  <c r="N1399" i="7"/>
  <c r="N1396" i="7"/>
  <c r="AA1396" i="7" s="1"/>
  <c r="AA1371" i="7"/>
  <c r="AA1369" i="7"/>
  <c r="AA1370" i="7"/>
  <c r="AA1357" i="7"/>
  <c r="L1430" i="7"/>
  <c r="N1401" i="7"/>
  <c r="W1425" i="7"/>
  <c r="W1429" i="7" s="1"/>
  <c r="AA1355" i="7"/>
  <c r="AA1354" i="7" s="1"/>
  <c r="W1427" i="7"/>
  <c r="W1431" i="7" s="1"/>
  <c r="P1414" i="7"/>
  <c r="R1414" i="7" s="1"/>
  <c r="N1390" i="7"/>
  <c r="N1393" i="7" s="1"/>
  <c r="P1393" i="7" s="1"/>
  <c r="R1393" i="7" s="1"/>
  <c r="W1426" i="7"/>
  <c r="W1430" i="7" s="1"/>
  <c r="N1400" i="7"/>
  <c r="N1395" i="7"/>
  <c r="AA1395" i="7" s="1"/>
  <c r="P1422" i="7"/>
  <c r="R1422" i="7" s="1"/>
  <c r="Y1457" i="7"/>
  <c r="Y1452" i="7"/>
  <c r="Y1453" i="7" s="1"/>
  <c r="Y1447" i="7"/>
  <c r="Y1443" i="7"/>
  <c r="Y1442" i="7"/>
  <c r="Y1455" i="7"/>
  <c r="Y1444" i="7"/>
  <c r="Y1445" i="7" s="1"/>
  <c r="Y1456" i="7"/>
  <c r="Y1450" i="7"/>
  <c r="Y1451" i="7"/>
  <c r="N1385" i="7"/>
  <c r="L1427" i="7"/>
  <c r="J1427" i="7"/>
  <c r="U1412" i="7"/>
  <c r="F1415" i="7"/>
  <c r="L1412" i="7"/>
  <c r="N1412" i="7" s="1"/>
  <c r="U1422" i="7"/>
  <c r="U1423" i="7" s="1"/>
  <c r="L1422" i="7"/>
  <c r="N1422" i="7" s="1"/>
  <c r="AA1330" i="7"/>
  <c r="AA1332" i="7"/>
  <c r="AA1331" i="7"/>
  <c r="D1470" i="7"/>
  <c r="D1469" i="7"/>
  <c r="D1468" i="7"/>
  <c r="D1467" i="7"/>
  <c r="D1465" i="7"/>
  <c r="D1471" i="7"/>
  <c r="A1513" i="7"/>
  <c r="A1507" i="7"/>
  <c r="A1512" i="7"/>
  <c r="A1503" i="7"/>
  <c r="A1519" i="7"/>
  <c r="A1502" i="7"/>
  <c r="A1511" i="7"/>
  <c r="A1517" i="7"/>
  <c r="A1555" i="7"/>
  <c r="A1510" i="7"/>
  <c r="A1520" i="7"/>
  <c r="A1515" i="7"/>
  <c r="A1521" i="7"/>
  <c r="A1504" i="7"/>
  <c r="C1495" i="7"/>
  <c r="A1516" i="7"/>
  <c r="A1505" i="7"/>
  <c r="J1420" i="7"/>
  <c r="P1387" i="7"/>
  <c r="R1387" i="7" s="1"/>
  <c r="P1420" i="7"/>
  <c r="R1420" i="7" s="1"/>
  <c r="D1423" i="7"/>
  <c r="W1423" i="7" s="1"/>
  <c r="J1421" i="7"/>
  <c r="N1421" i="7" s="1"/>
  <c r="N1413" i="7"/>
  <c r="P1421" i="7"/>
  <c r="R1421" i="7" s="1"/>
  <c r="P1412" i="7"/>
  <c r="R1412" i="7" s="1"/>
  <c r="D1415" i="7"/>
  <c r="L1420" i="7"/>
  <c r="F1423" i="7"/>
  <c r="U1420" i="7"/>
  <c r="U1414" i="7"/>
  <c r="U1415" i="7" s="1"/>
  <c r="L1414" i="7"/>
  <c r="N1414" i="7" s="1"/>
  <c r="W1385" i="7"/>
  <c r="Y1399" i="7"/>
  <c r="Y1400" i="7"/>
  <c r="Y1401" i="7"/>
  <c r="AA1325" i="7"/>
  <c r="J1426" i="7"/>
  <c r="L1426" i="7"/>
  <c r="N1397" i="7"/>
  <c r="AA1397" i="7" s="1"/>
  <c r="J1430" i="7"/>
  <c r="J1431" i="7"/>
  <c r="J1429" i="7"/>
  <c r="D1447" i="7"/>
  <c r="W1447" i="7" s="1"/>
  <c r="D1456" i="7"/>
  <c r="D1459" i="7"/>
  <c r="D1452" i="7"/>
  <c r="F1443" i="7"/>
  <c r="U1443" i="7" s="1"/>
  <c r="G1436" i="7"/>
  <c r="F1450" i="7"/>
  <c r="F1456" i="7"/>
  <c r="U1456" i="7" s="1"/>
  <c r="D1450" i="7"/>
  <c r="D1443" i="7"/>
  <c r="F1452" i="7"/>
  <c r="D1455" i="7"/>
  <c r="F1455" i="7"/>
  <c r="U1455" i="7" s="1"/>
  <c r="D1457" i="7"/>
  <c r="D1444" i="7"/>
  <c r="F1444" i="7"/>
  <c r="F1442" i="7"/>
  <c r="H1461" i="7"/>
  <c r="D1436" i="7"/>
  <c r="H1460" i="7"/>
  <c r="F1461" i="7"/>
  <c r="U1461" i="7" s="1"/>
  <c r="H1457" i="7"/>
  <c r="H1459" i="7"/>
  <c r="D1461" i="7"/>
  <c r="F1447" i="7"/>
  <c r="F1457" i="7"/>
  <c r="U1457" i="7" s="1"/>
  <c r="F1460" i="7"/>
  <c r="U1460" i="7" s="1"/>
  <c r="F1459" i="7"/>
  <c r="U1459" i="7" s="1"/>
  <c r="H1456" i="7"/>
  <c r="H1455" i="7"/>
  <c r="F1451" i="7"/>
  <c r="U1451" i="7" s="1"/>
  <c r="D1460" i="7"/>
  <c r="D1451" i="7"/>
  <c r="D1442" i="7"/>
  <c r="L1431" i="7"/>
  <c r="U1417" i="7"/>
  <c r="L1417" i="7"/>
  <c r="N1417" i="7" s="1"/>
  <c r="AA1302" i="7"/>
  <c r="AA1300" i="7"/>
  <c r="AA1301" i="7"/>
  <c r="P1413" i="7"/>
  <c r="R1413" i="7" s="1"/>
  <c r="P1363" i="7"/>
  <c r="R1363" i="7" s="1"/>
  <c r="J1447" i="7"/>
  <c r="J1443" i="7"/>
  <c r="J1444" i="7"/>
  <c r="J1442" i="7"/>
  <c r="L1425" i="7"/>
  <c r="J1425" i="7"/>
  <c r="L1429" i="7"/>
  <c r="B1555" i="7"/>
  <c r="B1517" i="7"/>
  <c r="B1510" i="7"/>
  <c r="B1513" i="7"/>
  <c r="B1520" i="7"/>
  <c r="B1504" i="7"/>
  <c r="B1516" i="7"/>
  <c r="B1512" i="7"/>
  <c r="B1519" i="7"/>
  <c r="B1502" i="7"/>
  <c r="B1515" i="7"/>
  <c r="B1511" i="7"/>
  <c r="B1521" i="7"/>
  <c r="B1503" i="7"/>
  <c r="B1507" i="7"/>
  <c r="B1505" i="7"/>
  <c r="D1531" i="7" l="1"/>
  <c r="D1530" i="7"/>
  <c r="D1527" i="7"/>
  <c r="D1529" i="7"/>
  <c r="D1528" i="7"/>
  <c r="D1525" i="7"/>
  <c r="AA1399" i="7"/>
  <c r="W1457" i="7"/>
  <c r="W1461" i="7" s="1"/>
  <c r="AA1401" i="7"/>
  <c r="AA1352" i="7"/>
  <c r="AA1353" i="7"/>
  <c r="AA1400" i="7"/>
  <c r="N1427" i="7"/>
  <c r="AA1427" i="7" s="1"/>
  <c r="N1430" i="7"/>
  <c r="W1456" i="7"/>
  <c r="W1460" i="7" s="1"/>
  <c r="AA1393" i="7"/>
  <c r="AA1390" i="7" s="1"/>
  <c r="P1444" i="7"/>
  <c r="R1444" i="7" s="1"/>
  <c r="N1431" i="7"/>
  <c r="L1460" i="7"/>
  <c r="N1429" i="7"/>
  <c r="N1425" i="7"/>
  <c r="AA1425" i="7" s="1"/>
  <c r="N1415" i="7"/>
  <c r="P1415" i="7" s="1"/>
  <c r="R1415" i="7" s="1"/>
  <c r="J1457" i="7"/>
  <c r="L1457" i="7"/>
  <c r="AA1363" i="7"/>
  <c r="P1385" i="7"/>
  <c r="R1385" i="7" s="1"/>
  <c r="U1452" i="7"/>
  <c r="U1453" i="7" s="1"/>
  <c r="L1452" i="7"/>
  <c r="N1426" i="7"/>
  <c r="AA1426" i="7" s="1"/>
  <c r="A1580" i="7"/>
  <c r="A1570" i="7"/>
  <c r="A1575" i="7"/>
  <c r="A1565" i="7"/>
  <c r="A1562" i="7"/>
  <c r="A1567" i="7"/>
  <c r="A1563" i="7"/>
  <c r="A1572" i="7"/>
  <c r="A1585" i="7"/>
  <c r="A1581" i="7"/>
  <c r="A1571" i="7"/>
  <c r="A1564" i="7"/>
  <c r="C1555" i="7"/>
  <c r="A1576" i="7"/>
  <c r="A1577" i="7"/>
  <c r="A1573" i="7"/>
  <c r="A1579" i="7"/>
  <c r="J1452" i="7"/>
  <c r="P1443" i="7"/>
  <c r="R1443" i="7" s="1"/>
  <c r="AA1324" i="7"/>
  <c r="AA1322" i="7"/>
  <c r="AA1323" i="7"/>
  <c r="U1444" i="7"/>
  <c r="U1445" i="7" s="1"/>
  <c r="L1444" i="7"/>
  <c r="N1444" i="7" s="1"/>
  <c r="L1447" i="7"/>
  <c r="N1447" i="7" s="1"/>
  <c r="U1447" i="7"/>
  <c r="D1453" i="7"/>
  <c r="W1453" i="7" s="1"/>
  <c r="P1450" i="7"/>
  <c r="R1450" i="7" s="1"/>
  <c r="J1477" i="7"/>
  <c r="J1474" i="7"/>
  <c r="J1473" i="7"/>
  <c r="J1472" i="7"/>
  <c r="N1443" i="7"/>
  <c r="J1451" i="7"/>
  <c r="N1451" i="7" s="1"/>
  <c r="L1461" i="7"/>
  <c r="U1450" i="7"/>
  <c r="L1450" i="7"/>
  <c r="F1453" i="7"/>
  <c r="AA1387" i="7"/>
  <c r="W1455" i="7"/>
  <c r="W1459" i="7" s="1"/>
  <c r="P1452" i="7"/>
  <c r="R1452" i="7" s="1"/>
  <c r="N1420" i="7"/>
  <c r="N1423" i="7" s="1"/>
  <c r="B1562" i="7"/>
  <c r="B1581" i="7"/>
  <c r="B1573" i="7"/>
  <c r="B1580" i="7"/>
  <c r="B1575" i="7"/>
  <c r="B1585" i="7"/>
  <c r="B1576" i="7"/>
  <c r="B1572" i="7"/>
  <c r="B1564" i="7"/>
  <c r="B1567" i="7"/>
  <c r="B1579" i="7"/>
  <c r="B1563" i="7"/>
  <c r="B1570" i="7"/>
  <c r="B1577" i="7"/>
  <c r="B1571" i="7"/>
  <c r="B1565" i="7"/>
  <c r="J1461" i="7"/>
  <c r="J1460" i="7"/>
  <c r="J1459" i="7"/>
  <c r="L1459" i="7"/>
  <c r="Y1431" i="7"/>
  <c r="Y1429" i="7"/>
  <c r="Y1430" i="7"/>
  <c r="W1415" i="7"/>
  <c r="L1455" i="7"/>
  <c r="J1455" i="7"/>
  <c r="P1442" i="7"/>
  <c r="R1442" i="7" s="1"/>
  <c r="D1445" i="7"/>
  <c r="J1456" i="7"/>
  <c r="L1456" i="7"/>
  <c r="Y1480" i="7"/>
  <c r="Y1472" i="7"/>
  <c r="Y1473" i="7"/>
  <c r="Y1485" i="7"/>
  <c r="Y1474" i="7"/>
  <c r="Y1475" i="7" s="1"/>
  <c r="Y1486" i="7"/>
  <c r="Y1482" i="7"/>
  <c r="Y1483" i="7" s="1"/>
  <c r="Y1477" i="7"/>
  <c r="Y1481" i="7"/>
  <c r="Y1487" i="7"/>
  <c r="P1417" i="7"/>
  <c r="R1417" i="7" s="1"/>
  <c r="J1450" i="7"/>
  <c r="P1451" i="7"/>
  <c r="R1451" i="7" s="1"/>
  <c r="F1445" i="7"/>
  <c r="U1442" i="7"/>
  <c r="L1442" i="7"/>
  <c r="N1442" i="7" s="1"/>
  <c r="D1499" i="7"/>
  <c r="D1497" i="7"/>
  <c r="D1495" i="7"/>
  <c r="D1500" i="7"/>
  <c r="D1498" i="7"/>
  <c r="D1501" i="7"/>
  <c r="D1482" i="7"/>
  <c r="H1486" i="7"/>
  <c r="F1472" i="7"/>
  <c r="F1486" i="7"/>
  <c r="U1486" i="7" s="1"/>
  <c r="D1472" i="7"/>
  <c r="F1480" i="7"/>
  <c r="D1481" i="7"/>
  <c r="F1474" i="7"/>
  <c r="H1491" i="7"/>
  <c r="D1486" i="7"/>
  <c r="F1485" i="7"/>
  <c r="U1485" i="7" s="1"/>
  <c r="D1473" i="7"/>
  <c r="H1487" i="7"/>
  <c r="H1490" i="7"/>
  <c r="F1490" i="7"/>
  <c r="U1490" i="7" s="1"/>
  <c r="D1487" i="7"/>
  <c r="D1490" i="7"/>
  <c r="H1489" i="7"/>
  <c r="D1466" i="7"/>
  <c r="D1489" i="7"/>
  <c r="D1485" i="7"/>
  <c r="F1473" i="7"/>
  <c r="U1473" i="7" s="1"/>
  <c r="D1474" i="7"/>
  <c r="F1481" i="7"/>
  <c r="U1481" i="7" s="1"/>
  <c r="F1489" i="7"/>
  <c r="U1489" i="7" s="1"/>
  <c r="G1466" i="7"/>
  <c r="D1480" i="7"/>
  <c r="D1491" i="7"/>
  <c r="H1485" i="7"/>
  <c r="F1491" i="7"/>
  <c r="U1491" i="7" s="1"/>
  <c r="F1477" i="7"/>
  <c r="D1477" i="7"/>
  <c r="W1477" i="7" s="1"/>
  <c r="F1482" i="7"/>
  <c r="F1487" i="7"/>
  <c r="U1487" i="7" s="1"/>
  <c r="F1549" i="7" l="1"/>
  <c r="U1549" i="7" s="1"/>
  <c r="D1537" i="7"/>
  <c r="W1537" i="7" s="1"/>
  <c r="D1541" i="7"/>
  <c r="D1549" i="7"/>
  <c r="F1533" i="7"/>
  <c r="U1533" i="7" s="1"/>
  <c r="D1534" i="7"/>
  <c r="F1540" i="7"/>
  <c r="D1533" i="7"/>
  <c r="D1550" i="7"/>
  <c r="D1545" i="7"/>
  <c r="G1526" i="7"/>
  <c r="H1546" i="7"/>
  <c r="D1526" i="7"/>
  <c r="F1532" i="7"/>
  <c r="H1550" i="7"/>
  <c r="H1545" i="7"/>
  <c r="D1540" i="7"/>
  <c r="F1541" i="7"/>
  <c r="U1541" i="7" s="1"/>
  <c r="F1534" i="7"/>
  <c r="H1551" i="7"/>
  <c r="F1550" i="7"/>
  <c r="U1550" i="7" s="1"/>
  <c r="F1545" i="7"/>
  <c r="U1545" i="7" s="1"/>
  <c r="D1532" i="7"/>
  <c r="F1551" i="7"/>
  <c r="U1551" i="7" s="1"/>
  <c r="F1546" i="7"/>
  <c r="U1546" i="7" s="1"/>
  <c r="D1551" i="7"/>
  <c r="D1546" i="7"/>
  <c r="D1547" i="7"/>
  <c r="H1549" i="7"/>
  <c r="F1537" i="7"/>
  <c r="H1547" i="7"/>
  <c r="F1542" i="7"/>
  <c r="F1547" i="7"/>
  <c r="U1547" i="7" s="1"/>
  <c r="D1542" i="7"/>
  <c r="J1533" i="7"/>
  <c r="J1534" i="7"/>
  <c r="J1537" i="7"/>
  <c r="J1532" i="7"/>
  <c r="Y1541" i="7"/>
  <c r="Y1546" i="7"/>
  <c r="Y1547" i="7"/>
  <c r="Y1534" i="7"/>
  <c r="Y1535" i="7" s="1"/>
  <c r="Y1532" i="7"/>
  <c r="Y1537" i="7"/>
  <c r="Y1545" i="7"/>
  <c r="Y1542" i="7"/>
  <c r="Y1543" i="7" s="1"/>
  <c r="Y1540" i="7"/>
  <c r="Y1533" i="7"/>
  <c r="N1460" i="7"/>
  <c r="W1485" i="7"/>
  <c r="W1489" i="7" s="1"/>
  <c r="AA1430" i="7"/>
  <c r="AA1385" i="7"/>
  <c r="AA1382" i="7" s="1"/>
  <c r="AA1431" i="7"/>
  <c r="P1473" i="7"/>
  <c r="R1473" i="7" s="1"/>
  <c r="AA1417" i="7"/>
  <c r="AA1391" i="7"/>
  <c r="AA1392" i="7"/>
  <c r="N1455" i="7"/>
  <c r="AA1455" i="7" s="1"/>
  <c r="AA1415" i="7"/>
  <c r="AA1413" i="7" s="1"/>
  <c r="N1452" i="7"/>
  <c r="AA1429" i="7"/>
  <c r="L1490" i="7"/>
  <c r="N1445" i="7"/>
  <c r="P1445" i="7" s="1"/>
  <c r="R1445" i="7" s="1"/>
  <c r="W1486" i="7"/>
  <c r="W1490" i="7" s="1"/>
  <c r="N1457" i="7"/>
  <c r="AA1457" i="7" s="1"/>
  <c r="N1461" i="7"/>
  <c r="N1450" i="7"/>
  <c r="D1521" i="7"/>
  <c r="D1510" i="7"/>
  <c r="H1517" i="7"/>
  <c r="D1519" i="7"/>
  <c r="D1520" i="7"/>
  <c r="F1517" i="7"/>
  <c r="U1517" i="7" s="1"/>
  <c r="G1496" i="7"/>
  <c r="F1507" i="7"/>
  <c r="H1521" i="7"/>
  <c r="H1516" i="7"/>
  <c r="D1511" i="7"/>
  <c r="H1520" i="7"/>
  <c r="F1520" i="7"/>
  <c r="U1520" i="7" s="1"/>
  <c r="D1496" i="7"/>
  <c r="F1516" i="7"/>
  <c r="U1516" i="7" s="1"/>
  <c r="D1516" i="7"/>
  <c r="H1519" i="7"/>
  <c r="D1517" i="7"/>
  <c r="D1507" i="7"/>
  <c r="W1507" i="7" s="1"/>
  <c r="F1519" i="7"/>
  <c r="U1519" i="7" s="1"/>
  <c r="D1515" i="7"/>
  <c r="F1502" i="7"/>
  <c r="F1515" i="7"/>
  <c r="U1515" i="7" s="1"/>
  <c r="F1511" i="7"/>
  <c r="U1511" i="7" s="1"/>
  <c r="F1510" i="7"/>
  <c r="F1504" i="7"/>
  <c r="D1503" i="7"/>
  <c r="D1512" i="7"/>
  <c r="F1512" i="7"/>
  <c r="F1503" i="7"/>
  <c r="U1503" i="7" s="1"/>
  <c r="D1504" i="7"/>
  <c r="D1502" i="7"/>
  <c r="F1521" i="7"/>
  <c r="U1521" i="7" s="1"/>
  <c r="H1515" i="7"/>
  <c r="J1502" i="7"/>
  <c r="J1510" i="7" s="1"/>
  <c r="J1504" i="7"/>
  <c r="J1507" i="7"/>
  <c r="J1503" i="7"/>
  <c r="B1607" i="7"/>
  <c r="B1603" i="7"/>
  <c r="B1597" i="7"/>
  <c r="B1606" i="7"/>
  <c r="B1605" i="7"/>
  <c r="B1595" i="7"/>
  <c r="B1594" i="7"/>
  <c r="B1600" i="7"/>
  <c r="B1615" i="7"/>
  <c r="B1592" i="7"/>
  <c r="B1609" i="7"/>
  <c r="B1593" i="7"/>
  <c r="B1611" i="7"/>
  <c r="B1601" i="7"/>
  <c r="B1610" i="7"/>
  <c r="B1602" i="7"/>
  <c r="J1480" i="7"/>
  <c r="J1482" i="7"/>
  <c r="N1459" i="7"/>
  <c r="U1474" i="7"/>
  <c r="U1475" i="7" s="1"/>
  <c r="L1474" i="7"/>
  <c r="N1474" i="7" s="1"/>
  <c r="J1486" i="7"/>
  <c r="L1486" i="7"/>
  <c r="P1474" i="7"/>
  <c r="R1474" i="7" s="1"/>
  <c r="P1481" i="7"/>
  <c r="R1481" i="7" s="1"/>
  <c r="D1560" i="7"/>
  <c r="D1558" i="7"/>
  <c r="D1557" i="7"/>
  <c r="D1555" i="7"/>
  <c r="D1561" i="7"/>
  <c r="D1559" i="7"/>
  <c r="L1491" i="7"/>
  <c r="U1480" i="7"/>
  <c r="F1483" i="7"/>
  <c r="L1480" i="7"/>
  <c r="P1423" i="7"/>
  <c r="R1423" i="7" s="1"/>
  <c r="P1472" i="7"/>
  <c r="R1472" i="7" s="1"/>
  <c r="D1475" i="7"/>
  <c r="AA1361" i="7"/>
  <c r="AA1360" i="7"/>
  <c r="AA1362" i="7"/>
  <c r="L1489" i="7"/>
  <c r="P1447" i="7"/>
  <c r="R1447" i="7" s="1"/>
  <c r="L1485" i="7"/>
  <c r="J1485" i="7"/>
  <c r="J1489" i="7"/>
  <c r="J1491" i="7"/>
  <c r="J1490" i="7"/>
  <c r="F1475" i="7"/>
  <c r="U1472" i="7"/>
  <c r="L1472" i="7"/>
  <c r="N1472" i="7" s="1"/>
  <c r="N1456" i="7"/>
  <c r="AA1456" i="7" s="1"/>
  <c r="A1595" i="7"/>
  <c r="A1593" i="7"/>
  <c r="A1607" i="7"/>
  <c r="A1600" i="7"/>
  <c r="A1606" i="7"/>
  <c r="A1605" i="7"/>
  <c r="A1601" i="7"/>
  <c r="A1611" i="7"/>
  <c r="C1585" i="7"/>
  <c r="A1594" i="7"/>
  <c r="A1602" i="7"/>
  <c r="A1615" i="7"/>
  <c r="A1609" i="7"/>
  <c r="A1592" i="7"/>
  <c r="A1603" i="7"/>
  <c r="A1597" i="7"/>
  <c r="A1610" i="7"/>
  <c r="J1481" i="7"/>
  <c r="N1481" i="7" s="1"/>
  <c r="N1473" i="7"/>
  <c r="W1445" i="7"/>
  <c r="Y1459" i="7"/>
  <c r="Y1460" i="7"/>
  <c r="Y1461" i="7"/>
  <c r="P1480" i="7"/>
  <c r="R1480" i="7" s="1"/>
  <c r="D1483" i="7"/>
  <c r="W1483" i="7" s="1"/>
  <c r="W1487" i="7"/>
  <c r="W1491" i="7" s="1"/>
  <c r="Y1507" i="7"/>
  <c r="Y1503" i="7"/>
  <c r="Y1515" i="7"/>
  <c r="Y1504" i="7"/>
  <c r="Y1505" i="7" s="1"/>
  <c r="Y1517" i="7"/>
  <c r="Y1502" i="7"/>
  <c r="Y1510" i="7"/>
  <c r="Y1516" i="7"/>
  <c r="Y1512" i="7"/>
  <c r="Y1513" i="7" s="1"/>
  <c r="Y1511" i="7"/>
  <c r="L1482" i="7"/>
  <c r="U1482" i="7"/>
  <c r="U1483" i="7" s="1"/>
  <c r="P1482" i="7"/>
  <c r="R1482" i="7" s="1"/>
  <c r="L1487" i="7"/>
  <c r="J1487" i="7"/>
  <c r="L1477" i="7"/>
  <c r="N1477" i="7" s="1"/>
  <c r="U1477" i="7"/>
  <c r="L1549" i="7" l="1"/>
  <c r="L1550" i="7"/>
  <c r="Q64" i="4"/>
  <c r="L1551" i="7"/>
  <c r="P1541" i="7"/>
  <c r="R1541" i="7" s="1"/>
  <c r="P1534" i="7"/>
  <c r="R1534" i="7" s="1"/>
  <c r="W1547" i="7"/>
  <c r="W1551" i="7" s="1"/>
  <c r="P1533" i="7"/>
  <c r="R1533" i="7" s="1"/>
  <c r="P1542" i="7"/>
  <c r="R1542" i="7" s="1"/>
  <c r="J1547" i="7"/>
  <c r="L1547" i="7"/>
  <c r="U1537" i="7"/>
  <c r="L1537" i="7"/>
  <c r="N1537" i="7" s="1"/>
  <c r="L1545" i="7"/>
  <c r="J1545" i="7"/>
  <c r="U1532" i="7"/>
  <c r="F1535" i="7"/>
  <c r="R64" i="4" s="1"/>
  <c r="L1532" i="7"/>
  <c r="N1532" i="7" s="1"/>
  <c r="J1540" i="7"/>
  <c r="J1542" i="7"/>
  <c r="P1532" i="7"/>
  <c r="R1532" i="7" s="1"/>
  <c r="D1535" i="7"/>
  <c r="L1540" i="7"/>
  <c r="F1543" i="7"/>
  <c r="U1540" i="7"/>
  <c r="U1542" i="7"/>
  <c r="U1543" i="7" s="1"/>
  <c r="L1542" i="7"/>
  <c r="L1546" i="7"/>
  <c r="J1546" i="7"/>
  <c r="J1541" i="7"/>
  <c r="N1541" i="7" s="1"/>
  <c r="N1533" i="7"/>
  <c r="W1545" i="7"/>
  <c r="W1549" i="7" s="1"/>
  <c r="W1546" i="7"/>
  <c r="W1550" i="7" s="1"/>
  <c r="J1550" i="7"/>
  <c r="J1551" i="7"/>
  <c r="J1549" i="7"/>
  <c r="N1549" i="7" s="1"/>
  <c r="U1534" i="7"/>
  <c r="U1535" i="7" s="1"/>
  <c r="L1534" i="7"/>
  <c r="N1534" i="7" s="1"/>
  <c r="D1543" i="7"/>
  <c r="W1543" i="7" s="1"/>
  <c r="P1540" i="7"/>
  <c r="R1540" i="7" s="1"/>
  <c r="AA1384" i="7"/>
  <c r="AA1383" i="7"/>
  <c r="AA1460" i="7"/>
  <c r="N1475" i="7"/>
  <c r="P1475" i="7" s="1"/>
  <c r="R1475" i="7" s="1"/>
  <c r="P1504" i="7"/>
  <c r="R1504" i="7" s="1"/>
  <c r="N1485" i="7"/>
  <c r="AA1485" i="7" s="1"/>
  <c r="N1453" i="7"/>
  <c r="P1453" i="7" s="1"/>
  <c r="R1453" i="7" s="1"/>
  <c r="AA1412" i="7"/>
  <c r="AA1461" i="7"/>
  <c r="N1482" i="7"/>
  <c r="N1490" i="7"/>
  <c r="N1487" i="7"/>
  <c r="AA1487" i="7" s="1"/>
  <c r="AA1414" i="7"/>
  <c r="AA1445" i="7"/>
  <c r="AA1444" i="7" s="1"/>
  <c r="L1520" i="7"/>
  <c r="N1486" i="7"/>
  <c r="AA1486" i="7" s="1"/>
  <c r="AA1447" i="7"/>
  <c r="N1480" i="7"/>
  <c r="W1517" i="7"/>
  <c r="W1521" i="7" s="1"/>
  <c r="Y1576" i="7"/>
  <c r="Y1567" i="7"/>
  <c r="Y1571" i="7"/>
  <c r="Y1570" i="7"/>
  <c r="Y1563" i="7"/>
  <c r="Y1572" i="7"/>
  <c r="Y1573" i="7" s="1"/>
  <c r="Y1577" i="7"/>
  <c r="Y1562" i="7"/>
  <c r="Y1575" i="7"/>
  <c r="Y1564" i="7"/>
  <c r="Y1565" i="7" s="1"/>
  <c r="U1507" i="7"/>
  <c r="L1507" i="7"/>
  <c r="N1507" i="7" s="1"/>
  <c r="U1510" i="7"/>
  <c r="L1510" i="7"/>
  <c r="N1510" i="7" s="1"/>
  <c r="F1513" i="7"/>
  <c r="J1564" i="7"/>
  <c r="J1567" i="7"/>
  <c r="J1562" i="7"/>
  <c r="J1563" i="7"/>
  <c r="J1515" i="7"/>
  <c r="L1515" i="7"/>
  <c r="J1512" i="7"/>
  <c r="L1519" i="7"/>
  <c r="F1570" i="7"/>
  <c r="D1581" i="7"/>
  <c r="D1563" i="7"/>
  <c r="D1576" i="7"/>
  <c r="H1580" i="7"/>
  <c r="D1562" i="7"/>
  <c r="H1575" i="7"/>
  <c r="D1572" i="7"/>
  <c r="F1579" i="7"/>
  <c r="U1579" i="7" s="1"/>
  <c r="H1581" i="7"/>
  <c r="F1581" i="7"/>
  <c r="U1581" i="7" s="1"/>
  <c r="F1571" i="7"/>
  <c r="U1571" i="7" s="1"/>
  <c r="H1577" i="7"/>
  <c r="F1577" i="7"/>
  <c r="U1577" i="7" s="1"/>
  <c r="D1577" i="7"/>
  <c r="D1579" i="7"/>
  <c r="F1576" i="7"/>
  <c r="U1576" i="7" s="1"/>
  <c r="D1571" i="7"/>
  <c r="D1564" i="7"/>
  <c r="D1570" i="7"/>
  <c r="F1567" i="7"/>
  <c r="F1580" i="7"/>
  <c r="U1580" i="7" s="1"/>
  <c r="D1567" i="7"/>
  <c r="W1567" i="7" s="1"/>
  <c r="F1575" i="7"/>
  <c r="U1575" i="7" s="1"/>
  <c r="F1562" i="7"/>
  <c r="D1580" i="7"/>
  <c r="H1579" i="7"/>
  <c r="D1575" i="7"/>
  <c r="F1564" i="7"/>
  <c r="G1556" i="7"/>
  <c r="H1576" i="7"/>
  <c r="F1563" i="7"/>
  <c r="U1563" i="7" s="1"/>
  <c r="F1572" i="7"/>
  <c r="D1556" i="7"/>
  <c r="J1511" i="7"/>
  <c r="N1511" i="7" s="1"/>
  <c r="N1503" i="7"/>
  <c r="Y1490" i="7"/>
  <c r="Y1491" i="7"/>
  <c r="W1475" i="7"/>
  <c r="Y1489" i="7"/>
  <c r="W1515" i="7"/>
  <c r="W1519" i="7" s="1"/>
  <c r="AA1423" i="7"/>
  <c r="L1517" i="7"/>
  <c r="J1517" i="7"/>
  <c r="D1513" i="7"/>
  <c r="W1513" i="7" s="1"/>
  <c r="P1510" i="7"/>
  <c r="R1510" i="7" s="1"/>
  <c r="L1521" i="7"/>
  <c r="P1477" i="7"/>
  <c r="R1477" i="7" s="1"/>
  <c r="A1632" i="7"/>
  <c r="A1645" i="7"/>
  <c r="A1637" i="7"/>
  <c r="A1639" i="7"/>
  <c r="A1630" i="7"/>
  <c r="A1635" i="7"/>
  <c r="A1633" i="7"/>
  <c r="A1623" i="7"/>
  <c r="A1627" i="7"/>
  <c r="A1622" i="7"/>
  <c r="A1640" i="7"/>
  <c r="A1631" i="7"/>
  <c r="A1624" i="7"/>
  <c r="C1615" i="7"/>
  <c r="A1641" i="7"/>
  <c r="A1636" i="7"/>
  <c r="A1625" i="7"/>
  <c r="D1505" i="7"/>
  <c r="P1502" i="7"/>
  <c r="R1502" i="7" s="1"/>
  <c r="L1516" i="7"/>
  <c r="J1516" i="7"/>
  <c r="N1491" i="7"/>
  <c r="B1623" i="7"/>
  <c r="B1624" i="7"/>
  <c r="B1641" i="7"/>
  <c r="B1636" i="7"/>
  <c r="B1633" i="7"/>
  <c r="B1640" i="7"/>
  <c r="B1635" i="7"/>
  <c r="B1639" i="7"/>
  <c r="B1631" i="7"/>
  <c r="B1625" i="7"/>
  <c r="B1622" i="7"/>
  <c r="B1632" i="7"/>
  <c r="B1645" i="7"/>
  <c r="B1637" i="7"/>
  <c r="B1627" i="7"/>
  <c r="B1630" i="7"/>
  <c r="N1489" i="7"/>
  <c r="J1520" i="7"/>
  <c r="J1519" i="7"/>
  <c r="J1521" i="7"/>
  <c r="U1512" i="7"/>
  <c r="U1513" i="7" s="1"/>
  <c r="L1512" i="7"/>
  <c r="P1512" i="7"/>
  <c r="R1512" i="7" s="1"/>
  <c r="AA1459" i="7"/>
  <c r="P1503" i="7"/>
  <c r="R1503" i="7" s="1"/>
  <c r="P1511" i="7"/>
  <c r="R1511" i="7" s="1"/>
  <c r="F1505" i="7"/>
  <c r="L1502" i="7"/>
  <c r="N1502" i="7" s="1"/>
  <c r="U1502" i="7"/>
  <c r="D1589" i="7"/>
  <c r="D1591" i="7"/>
  <c r="D1590" i="7"/>
  <c r="D1587" i="7"/>
  <c r="D1588" i="7"/>
  <c r="D1585" i="7"/>
  <c r="L1504" i="7"/>
  <c r="N1504" i="7" s="1"/>
  <c r="U1504" i="7"/>
  <c r="U1505" i="7" s="1"/>
  <c r="W1516" i="7"/>
  <c r="W1520" i="7" s="1"/>
  <c r="N1550" i="7" l="1"/>
  <c r="N1540" i="7"/>
  <c r="N1535" i="7"/>
  <c r="P1535" i="7" s="1"/>
  <c r="R1535" i="7" s="1"/>
  <c r="O64" i="4"/>
  <c r="S64" i="4"/>
  <c r="L64" i="4"/>
  <c r="N1551" i="7"/>
  <c r="T64" i="4"/>
  <c r="N1546" i="7"/>
  <c r="AA1546" i="7" s="1"/>
  <c r="N1542" i="7"/>
  <c r="P1537" i="7"/>
  <c r="R1537" i="7" s="1"/>
  <c r="N1545" i="7"/>
  <c r="AA1545" i="7" s="1"/>
  <c r="Y1551" i="7"/>
  <c r="W1535" i="7"/>
  <c r="Y1549" i="7"/>
  <c r="AA1549" i="7" s="1"/>
  <c r="Y1550" i="7"/>
  <c r="AA1550" i="7" s="1"/>
  <c r="N1547" i="7"/>
  <c r="AA1547" i="7" s="1"/>
  <c r="N1483" i="7"/>
  <c r="P1483" i="7" s="1"/>
  <c r="R1483" i="7" s="1"/>
  <c r="AA1483" i="7" s="1"/>
  <c r="AA1481" i="7" s="1"/>
  <c r="AA1453" i="7"/>
  <c r="AA1451" i="7" s="1"/>
  <c r="AA1443" i="7"/>
  <c r="L1580" i="7"/>
  <c r="N1520" i="7"/>
  <c r="AA1490" i="7"/>
  <c r="AA1475" i="7"/>
  <c r="AA1472" i="7" s="1"/>
  <c r="AA1442" i="7"/>
  <c r="P1564" i="7"/>
  <c r="R1564" i="7" s="1"/>
  <c r="L1579" i="7"/>
  <c r="L1581" i="7"/>
  <c r="AA1477" i="7"/>
  <c r="N1515" i="7"/>
  <c r="AA1515" i="7" s="1"/>
  <c r="W1576" i="7"/>
  <c r="W1580" i="7" s="1"/>
  <c r="N1521" i="7"/>
  <c r="W1577" i="7"/>
  <c r="W1581" i="7" s="1"/>
  <c r="N1519" i="7"/>
  <c r="P1507" i="7"/>
  <c r="R1507" i="7" s="1"/>
  <c r="D1621" i="7"/>
  <c r="D1620" i="7"/>
  <c r="D1619" i="7"/>
  <c r="D1618" i="7"/>
  <c r="D1617" i="7"/>
  <c r="D1615" i="7"/>
  <c r="P1563" i="7"/>
  <c r="R1563" i="7" s="1"/>
  <c r="F1592" i="7"/>
  <c r="F1605" i="7"/>
  <c r="U1605" i="7" s="1"/>
  <c r="F1607" i="7"/>
  <c r="U1607" i="7" s="1"/>
  <c r="D1592" i="7"/>
  <c r="D1601" i="7"/>
  <c r="H1609" i="7"/>
  <c r="G1586" i="7"/>
  <c r="F1597" i="7"/>
  <c r="D1586" i="7"/>
  <c r="D1600" i="7"/>
  <c r="F1594" i="7"/>
  <c r="D1597" i="7"/>
  <c r="W1597" i="7" s="1"/>
  <c r="D1609" i="7"/>
  <c r="F1593" i="7"/>
  <c r="U1593" i="7" s="1"/>
  <c r="F1611" i="7"/>
  <c r="U1611" i="7" s="1"/>
  <c r="F1609" i="7"/>
  <c r="U1609" i="7" s="1"/>
  <c r="H1611" i="7"/>
  <c r="F1610" i="7"/>
  <c r="U1610" i="7" s="1"/>
  <c r="H1606" i="7"/>
  <c r="H1605" i="7"/>
  <c r="F1606" i="7"/>
  <c r="U1606" i="7" s="1"/>
  <c r="F1600" i="7"/>
  <c r="D1594" i="7"/>
  <c r="D1593" i="7"/>
  <c r="D1606" i="7"/>
  <c r="H1610" i="7"/>
  <c r="F1602" i="7"/>
  <c r="D1610" i="7"/>
  <c r="D1602" i="7"/>
  <c r="D1605" i="7"/>
  <c r="D1611" i="7"/>
  <c r="D1607" i="7"/>
  <c r="F1601" i="7"/>
  <c r="U1601" i="7" s="1"/>
  <c r="H1607" i="7"/>
  <c r="U1572" i="7"/>
  <c r="U1573" i="7" s="1"/>
  <c r="L1572" i="7"/>
  <c r="F1573" i="7"/>
  <c r="L1570" i="7"/>
  <c r="U1570" i="7"/>
  <c r="D1573" i="7"/>
  <c r="W1573" i="7" s="1"/>
  <c r="P1570" i="7"/>
  <c r="R1570" i="7" s="1"/>
  <c r="P1571" i="7"/>
  <c r="R1571" i="7" s="1"/>
  <c r="Y1592" i="7"/>
  <c r="Y1597" i="7"/>
  <c r="Y1593" i="7"/>
  <c r="Y1602" i="7"/>
  <c r="Y1603" i="7" s="1"/>
  <c r="Y1605" i="7"/>
  <c r="Y1594" i="7"/>
  <c r="Y1595" i="7" s="1"/>
  <c r="Y1601" i="7"/>
  <c r="Y1606" i="7"/>
  <c r="Y1607" i="7"/>
  <c r="Y1600" i="7"/>
  <c r="N1517" i="7"/>
  <c r="AA1517" i="7" s="1"/>
  <c r="L1577" i="7"/>
  <c r="J1577" i="7"/>
  <c r="J1580" i="7"/>
  <c r="J1581" i="7"/>
  <c r="J1579" i="7"/>
  <c r="N1512" i="7"/>
  <c r="N1513" i="7" s="1"/>
  <c r="N1505" i="7"/>
  <c r="P1505" i="7" s="1"/>
  <c r="R1505" i="7" s="1"/>
  <c r="AA1420" i="7"/>
  <c r="AA1422" i="7"/>
  <c r="AA1421" i="7"/>
  <c r="L1564" i="7"/>
  <c r="N1564" i="7" s="1"/>
  <c r="U1564" i="7"/>
  <c r="U1565" i="7" s="1"/>
  <c r="B1652" i="7"/>
  <c r="B1657" i="7"/>
  <c r="B1653" i="7"/>
  <c r="B1675" i="7"/>
  <c r="B1663" i="7"/>
  <c r="B1670" i="7"/>
  <c r="B1661" i="7"/>
  <c r="B1669" i="7"/>
  <c r="B1667" i="7"/>
  <c r="B1660" i="7"/>
  <c r="B1655" i="7"/>
  <c r="B1665" i="7"/>
  <c r="B1654" i="7"/>
  <c r="B1671" i="7"/>
  <c r="B1666" i="7"/>
  <c r="B1662" i="7"/>
  <c r="L1575" i="7"/>
  <c r="J1575" i="7"/>
  <c r="J1597" i="7"/>
  <c r="J1593" i="7"/>
  <c r="J1594" i="7"/>
  <c r="J1592" i="7"/>
  <c r="J1600" i="7" s="1"/>
  <c r="AA1489" i="7"/>
  <c r="J1571" i="7"/>
  <c r="N1571" i="7" s="1"/>
  <c r="N1563" i="7"/>
  <c r="N1516" i="7"/>
  <c r="AA1516" i="7" s="1"/>
  <c r="J1570" i="7"/>
  <c r="AA1491" i="7"/>
  <c r="F1565" i="7"/>
  <c r="U1562" i="7"/>
  <c r="L1562" i="7"/>
  <c r="N1562" i="7" s="1"/>
  <c r="U1567" i="7"/>
  <c r="L1567" i="7"/>
  <c r="N1567" i="7" s="1"/>
  <c r="P1572" i="7"/>
  <c r="R1572" i="7" s="1"/>
  <c r="J1572" i="7"/>
  <c r="A1652" i="7"/>
  <c r="A1653" i="7"/>
  <c r="A1660" i="7"/>
  <c r="A1662" i="7"/>
  <c r="A1671" i="7"/>
  <c r="A1663" i="7"/>
  <c r="A1670" i="7"/>
  <c r="A1654" i="7"/>
  <c r="A1665" i="7"/>
  <c r="A1666" i="7"/>
  <c r="A1661" i="7"/>
  <c r="C1645" i="7"/>
  <c r="A1655" i="7"/>
  <c r="A1657" i="7"/>
  <c r="A1675" i="7"/>
  <c r="A1669" i="7"/>
  <c r="A1667" i="7"/>
  <c r="W1575" i="7"/>
  <c r="W1579" i="7" s="1"/>
  <c r="J1576" i="7"/>
  <c r="L1576" i="7"/>
  <c r="W1505" i="7"/>
  <c r="Y1519" i="7"/>
  <c r="Y1520" i="7"/>
  <c r="Y1521" i="7"/>
  <c r="P1562" i="7"/>
  <c r="R1562" i="7" s="1"/>
  <c r="D1565" i="7"/>
  <c r="N1543" i="7" l="1"/>
  <c r="P1543" i="7" s="1"/>
  <c r="R1543" i="7" s="1"/>
  <c r="AA1551" i="7"/>
  <c r="N64" i="4"/>
  <c r="AA1535" i="7"/>
  <c r="AA1537" i="7"/>
  <c r="M64" i="4" s="1"/>
  <c r="AA1480" i="7"/>
  <c r="AA1482" i="7"/>
  <c r="N1580" i="7"/>
  <c r="W1606" i="7"/>
  <c r="W1610" i="7" s="1"/>
  <c r="AA1450" i="7"/>
  <c r="AA1452" i="7"/>
  <c r="N1581" i="7"/>
  <c r="AA1520" i="7"/>
  <c r="N1579" i="7"/>
  <c r="N1577" i="7"/>
  <c r="AA1577" i="7" s="1"/>
  <c r="AA1474" i="7"/>
  <c r="AA1473" i="7"/>
  <c r="AA1521" i="7"/>
  <c r="N1575" i="7"/>
  <c r="AA1575" i="7" s="1"/>
  <c r="L1611" i="7"/>
  <c r="AA1507" i="7"/>
  <c r="L1609" i="7"/>
  <c r="P1601" i="7"/>
  <c r="R1601" i="7" s="1"/>
  <c r="P1594" i="7"/>
  <c r="R1594" i="7" s="1"/>
  <c r="AA1519" i="7"/>
  <c r="AA1505" i="7"/>
  <c r="AA1503" i="7" s="1"/>
  <c r="N1570" i="7"/>
  <c r="W1605" i="7"/>
  <c r="W1609" i="7" s="1"/>
  <c r="P1592" i="7"/>
  <c r="R1592" i="7" s="1"/>
  <c r="D1595" i="7"/>
  <c r="P1513" i="7"/>
  <c r="R1513" i="7" s="1"/>
  <c r="N1576" i="7"/>
  <c r="AA1576" i="7" s="1"/>
  <c r="L1592" i="7"/>
  <c r="N1592" i="7" s="1"/>
  <c r="F1595" i="7"/>
  <c r="U1592" i="7"/>
  <c r="N1565" i="7"/>
  <c r="A1684" i="7"/>
  <c r="C1675" i="7"/>
  <c r="A1692" i="7"/>
  <c r="A1701" i="7"/>
  <c r="A1697" i="7"/>
  <c r="A1696" i="7"/>
  <c r="A1685" i="7"/>
  <c r="A1682" i="7"/>
  <c r="A1693" i="7"/>
  <c r="A1705" i="7"/>
  <c r="A1687" i="7"/>
  <c r="A1700" i="7"/>
  <c r="A1699" i="7"/>
  <c r="A1683" i="7"/>
  <c r="A1690" i="7"/>
  <c r="A1691" i="7"/>
  <c r="A1695" i="7"/>
  <c r="N1572" i="7"/>
  <c r="J1607" i="7"/>
  <c r="L1607" i="7"/>
  <c r="F1627" i="7"/>
  <c r="F1635" i="7"/>
  <c r="U1635" i="7" s="1"/>
  <c r="H1637" i="7"/>
  <c r="D1631" i="7"/>
  <c r="F1632" i="7"/>
  <c r="D1635" i="7"/>
  <c r="H1639" i="7"/>
  <c r="F1630" i="7"/>
  <c r="F1637" i="7"/>
  <c r="U1637" i="7" s="1"/>
  <c r="D1616" i="7"/>
  <c r="D1632" i="7"/>
  <c r="D1630" i="7"/>
  <c r="D1637" i="7"/>
  <c r="D1624" i="7"/>
  <c r="F1622" i="7"/>
  <c r="F1641" i="7"/>
  <c r="U1641" i="7" s="1"/>
  <c r="D1622" i="7"/>
  <c r="D1640" i="7"/>
  <c r="D1639" i="7"/>
  <c r="F1636" i="7"/>
  <c r="U1636" i="7" s="1"/>
  <c r="D1623" i="7"/>
  <c r="F1631" i="7"/>
  <c r="U1631" i="7" s="1"/>
  <c r="F1624" i="7"/>
  <c r="F1640" i="7"/>
  <c r="U1640" i="7" s="1"/>
  <c r="D1641" i="7"/>
  <c r="D1627" i="7"/>
  <c r="W1627" i="7" s="1"/>
  <c r="H1635" i="7"/>
  <c r="F1623" i="7"/>
  <c r="U1623" i="7" s="1"/>
  <c r="H1641" i="7"/>
  <c r="H1640" i="7"/>
  <c r="G1616" i="7"/>
  <c r="F1639" i="7"/>
  <c r="U1639" i="7" s="1"/>
  <c r="D1636" i="7"/>
  <c r="H1636" i="7"/>
  <c r="P1567" i="7"/>
  <c r="R1567" i="7" s="1"/>
  <c r="W1607" i="7"/>
  <c r="W1611" i="7" s="1"/>
  <c r="L1605" i="7"/>
  <c r="J1605" i="7"/>
  <c r="J1622" i="7"/>
  <c r="J1630" i="7" s="1"/>
  <c r="J1627" i="7"/>
  <c r="J1624" i="7"/>
  <c r="J1623" i="7"/>
  <c r="F1603" i="7"/>
  <c r="L1600" i="7"/>
  <c r="N1600" i="7" s="1"/>
  <c r="U1600" i="7"/>
  <c r="D1647" i="7"/>
  <c r="D1645" i="7"/>
  <c r="D1650" i="7"/>
  <c r="D1649" i="7"/>
  <c r="D1648" i="7"/>
  <c r="D1651" i="7"/>
  <c r="P1602" i="7"/>
  <c r="R1602" i="7" s="1"/>
  <c r="L1610" i="7"/>
  <c r="Y1581" i="7"/>
  <c r="W1565" i="7"/>
  <c r="Y1579" i="7"/>
  <c r="Y1580" i="7"/>
  <c r="U1602" i="7"/>
  <c r="U1603" i="7" s="1"/>
  <c r="L1602" i="7"/>
  <c r="U1594" i="7"/>
  <c r="U1595" i="7" s="1"/>
  <c r="L1594" i="7"/>
  <c r="N1594" i="7" s="1"/>
  <c r="J1602" i="7"/>
  <c r="P1600" i="7"/>
  <c r="R1600" i="7" s="1"/>
  <c r="D1603" i="7"/>
  <c r="W1603" i="7" s="1"/>
  <c r="Y1630" i="7"/>
  <c r="Y1623" i="7"/>
  <c r="Y1624" i="7"/>
  <c r="Y1625" i="7" s="1"/>
  <c r="Y1635" i="7"/>
  <c r="Y1636" i="7"/>
  <c r="Y1622" i="7"/>
  <c r="Y1637" i="7"/>
  <c r="Y1632" i="7"/>
  <c r="Y1633" i="7" s="1"/>
  <c r="Y1627" i="7"/>
  <c r="Y1631" i="7"/>
  <c r="N1593" i="7"/>
  <c r="J1601" i="7"/>
  <c r="N1601" i="7" s="1"/>
  <c r="L1606" i="7"/>
  <c r="J1606" i="7"/>
  <c r="J1609" i="7"/>
  <c r="J1610" i="7"/>
  <c r="J1611" i="7"/>
  <c r="B1691" i="7"/>
  <c r="B1693" i="7"/>
  <c r="B1687" i="7"/>
  <c r="B1699" i="7"/>
  <c r="B1683" i="7"/>
  <c r="B1690" i="7"/>
  <c r="B1700" i="7"/>
  <c r="B1695" i="7"/>
  <c r="B1705" i="7"/>
  <c r="B1697" i="7"/>
  <c r="B1684" i="7"/>
  <c r="B1692" i="7"/>
  <c r="B1685" i="7"/>
  <c r="B1682" i="7"/>
  <c r="B1701" i="7"/>
  <c r="B1696" i="7"/>
  <c r="P1593" i="7"/>
  <c r="R1593" i="7" s="1"/>
  <c r="L1597" i="7"/>
  <c r="N1597" i="7" s="1"/>
  <c r="U1597" i="7"/>
  <c r="AA1543" i="7" l="1"/>
  <c r="AA1532" i="7"/>
  <c r="AA1534" i="7"/>
  <c r="AA1533" i="7"/>
  <c r="N1609" i="7"/>
  <c r="AA1580" i="7"/>
  <c r="N1611" i="7"/>
  <c r="N1602" i="7"/>
  <c r="N1603" i="7" s="1"/>
  <c r="P1603" i="7" s="1"/>
  <c r="R1603" i="7" s="1"/>
  <c r="AA1581" i="7"/>
  <c r="AA1504" i="7"/>
  <c r="AA1502" i="7"/>
  <c r="AA1579" i="7"/>
  <c r="W1636" i="7"/>
  <c r="W1640" i="7" s="1"/>
  <c r="N1606" i="7"/>
  <c r="AA1606" i="7" s="1"/>
  <c r="N1605" i="7"/>
  <c r="AA1605" i="7" s="1"/>
  <c r="P1632" i="7"/>
  <c r="R1632" i="7" s="1"/>
  <c r="AA1513" i="7"/>
  <c r="AA1512" i="7" s="1"/>
  <c r="AA1567" i="7"/>
  <c r="N1595" i="7"/>
  <c r="P1595" i="7" s="1"/>
  <c r="R1595" i="7" s="1"/>
  <c r="W1637" i="7"/>
  <c r="W1641" i="7" s="1"/>
  <c r="P1624" i="7"/>
  <c r="R1624" i="7" s="1"/>
  <c r="U1622" i="7"/>
  <c r="F1625" i="7"/>
  <c r="L1622" i="7"/>
  <c r="N1622" i="7" s="1"/>
  <c r="N1607" i="7"/>
  <c r="AA1607" i="7" s="1"/>
  <c r="L1637" i="7"/>
  <c r="J1637" i="7"/>
  <c r="W1635" i="7"/>
  <c r="W1639" i="7" s="1"/>
  <c r="P1622" i="7"/>
  <c r="R1622" i="7" s="1"/>
  <c r="D1625" i="7"/>
  <c r="N1610" i="7"/>
  <c r="L1641" i="7"/>
  <c r="F1633" i="7"/>
  <c r="U1630" i="7"/>
  <c r="L1630" i="7"/>
  <c r="N1630" i="7" s="1"/>
  <c r="U1624" i="7"/>
  <c r="U1625" i="7" s="1"/>
  <c r="L1624" i="7"/>
  <c r="N1624" i="7" s="1"/>
  <c r="L1635" i="7"/>
  <c r="J1635" i="7"/>
  <c r="A1713" i="7"/>
  <c r="A1730" i="7"/>
  <c r="A1726" i="7"/>
  <c r="A1721" i="7"/>
  <c r="A1725" i="7"/>
  <c r="A1722" i="7"/>
  <c r="A1729" i="7"/>
  <c r="A1727" i="7"/>
  <c r="A1712" i="7"/>
  <c r="A1723" i="7"/>
  <c r="A1717" i="7"/>
  <c r="A1714" i="7"/>
  <c r="A1731" i="7"/>
  <c r="A1715" i="7"/>
  <c r="C1705" i="7"/>
  <c r="A1735" i="7"/>
  <c r="A1720" i="7"/>
  <c r="D1633" i="7"/>
  <c r="W1633" i="7" s="1"/>
  <c r="P1630" i="7"/>
  <c r="R1630" i="7" s="1"/>
  <c r="P1623" i="7"/>
  <c r="R1623" i="7" s="1"/>
  <c r="U1632" i="7"/>
  <c r="U1633" i="7" s="1"/>
  <c r="L1632" i="7"/>
  <c r="Y1611" i="7"/>
  <c r="W1595" i="7"/>
  <c r="Y1609" i="7"/>
  <c r="Y1610" i="7"/>
  <c r="D1681" i="7"/>
  <c r="D1680" i="7"/>
  <c r="D1679" i="7"/>
  <c r="D1678" i="7"/>
  <c r="D1677" i="7"/>
  <c r="D1675" i="7"/>
  <c r="P1565" i="7"/>
  <c r="R1565" i="7" s="1"/>
  <c r="Y1665" i="7"/>
  <c r="Y1661" i="7"/>
  <c r="Y1666" i="7"/>
  <c r="Y1654" i="7"/>
  <c r="Y1655" i="7" s="1"/>
  <c r="Y1662" i="7"/>
  <c r="Y1663" i="7" s="1"/>
  <c r="Y1660" i="7"/>
  <c r="Y1667" i="7"/>
  <c r="Y1652" i="7"/>
  <c r="Y1657" i="7"/>
  <c r="Y1653" i="7"/>
  <c r="P1631" i="7"/>
  <c r="R1631" i="7" s="1"/>
  <c r="J1636" i="7"/>
  <c r="L1636" i="7"/>
  <c r="N1623" i="7"/>
  <c r="J1631" i="7"/>
  <c r="N1631" i="7" s="1"/>
  <c r="J1632" i="7"/>
  <c r="P1597" i="7"/>
  <c r="R1597" i="7" s="1"/>
  <c r="J1639" i="7"/>
  <c r="J1641" i="7"/>
  <c r="J1640" i="7"/>
  <c r="B1726" i="7"/>
  <c r="B1730" i="7"/>
  <c r="B1721" i="7"/>
  <c r="B1715" i="7"/>
  <c r="B1725" i="7"/>
  <c r="B1720" i="7"/>
  <c r="B1735" i="7"/>
  <c r="B1713" i="7"/>
  <c r="B1717" i="7"/>
  <c r="B1714" i="7"/>
  <c r="B1722" i="7"/>
  <c r="B1727" i="7"/>
  <c r="B1712" i="7"/>
  <c r="B1723" i="7"/>
  <c r="B1729" i="7"/>
  <c r="B1731" i="7"/>
  <c r="U1627" i="7"/>
  <c r="L1627" i="7"/>
  <c r="N1627" i="7" s="1"/>
  <c r="F1662" i="7"/>
  <c r="F1669" i="7"/>
  <c r="U1669" i="7" s="1"/>
  <c r="D1670" i="7"/>
  <c r="D1667" i="7"/>
  <c r="D1657" i="7"/>
  <c r="W1657" i="7" s="1"/>
  <c r="D1665" i="7"/>
  <c r="F1652" i="7"/>
  <c r="H1665" i="7"/>
  <c r="F1661" i="7"/>
  <c r="U1661" i="7" s="1"/>
  <c r="F1660" i="7"/>
  <c r="F1654" i="7"/>
  <c r="D1653" i="7"/>
  <c r="H1671" i="7"/>
  <c r="F1665" i="7"/>
  <c r="U1665" i="7" s="1"/>
  <c r="H1666" i="7"/>
  <c r="D1661" i="7"/>
  <c r="F1657" i="7"/>
  <c r="H1667" i="7"/>
  <c r="F1653" i="7"/>
  <c r="U1653" i="7" s="1"/>
  <c r="D1652" i="7"/>
  <c r="H1670" i="7"/>
  <c r="H1669" i="7"/>
  <c r="G1646" i="7"/>
  <c r="D1669" i="7"/>
  <c r="F1667" i="7"/>
  <c r="U1667" i="7" s="1"/>
  <c r="D1660" i="7"/>
  <c r="D1654" i="7"/>
  <c r="D1662" i="7"/>
  <c r="D1646" i="7"/>
  <c r="F1671" i="7"/>
  <c r="U1671" i="7" s="1"/>
  <c r="F1666" i="7"/>
  <c r="U1666" i="7" s="1"/>
  <c r="D1671" i="7"/>
  <c r="F1670" i="7"/>
  <c r="U1670" i="7" s="1"/>
  <c r="D1666" i="7"/>
  <c r="L1639" i="7"/>
  <c r="J1654" i="7"/>
  <c r="J1653" i="7"/>
  <c r="J1652" i="7"/>
  <c r="J1657" i="7"/>
  <c r="L1640" i="7"/>
  <c r="N1573" i="7"/>
  <c r="P64" i="4" l="1"/>
  <c r="U64" i="4" s="1"/>
  <c r="AA1541" i="7"/>
  <c r="AA1540" i="7"/>
  <c r="AA1542" i="7"/>
  <c r="AA1609" i="7"/>
  <c r="AA1611" i="7"/>
  <c r="W1667" i="7"/>
  <c r="W1671" i="7" s="1"/>
  <c r="L1669" i="7"/>
  <c r="AA1511" i="7"/>
  <c r="AA1510" i="7"/>
  <c r="N1635" i="7"/>
  <c r="AA1635" i="7" s="1"/>
  <c r="L1671" i="7"/>
  <c r="AA1595" i="7"/>
  <c r="AA1594" i="7" s="1"/>
  <c r="N1637" i="7"/>
  <c r="AA1637" i="7" s="1"/>
  <c r="L1670" i="7"/>
  <c r="P1661" i="7"/>
  <c r="R1661" i="7" s="1"/>
  <c r="AA1610" i="7"/>
  <c r="N1641" i="7"/>
  <c r="N1632" i="7"/>
  <c r="N1633" i="7" s="1"/>
  <c r="AA1565" i="7"/>
  <c r="AA1562" i="7" s="1"/>
  <c r="L1665" i="7"/>
  <c r="J1665" i="7"/>
  <c r="F1695" i="7"/>
  <c r="U1695" i="7" s="1"/>
  <c r="F1697" i="7"/>
  <c r="U1697" i="7" s="1"/>
  <c r="D1684" i="7"/>
  <c r="D1697" i="7"/>
  <c r="D1700" i="7"/>
  <c r="F1696" i="7"/>
  <c r="U1696" i="7" s="1"/>
  <c r="D1695" i="7"/>
  <c r="F1692" i="7"/>
  <c r="H1701" i="7"/>
  <c r="D1687" i="7"/>
  <c r="W1687" i="7" s="1"/>
  <c r="H1699" i="7"/>
  <c r="D1676" i="7"/>
  <c r="F1691" i="7"/>
  <c r="U1691" i="7" s="1"/>
  <c r="D1699" i="7"/>
  <c r="F1687" i="7"/>
  <c r="G1676" i="7"/>
  <c r="H1696" i="7"/>
  <c r="D1701" i="7"/>
  <c r="H1700" i="7"/>
  <c r="H1695" i="7"/>
  <c r="D1690" i="7"/>
  <c r="H1697" i="7"/>
  <c r="D1691" i="7"/>
  <c r="D1692" i="7"/>
  <c r="F1699" i="7"/>
  <c r="U1699" i="7" s="1"/>
  <c r="F1684" i="7"/>
  <c r="F1683" i="7"/>
  <c r="U1683" i="7" s="1"/>
  <c r="F1682" i="7"/>
  <c r="F1690" i="7"/>
  <c r="D1683" i="7"/>
  <c r="D1696" i="7"/>
  <c r="D1682" i="7"/>
  <c r="F1701" i="7"/>
  <c r="U1701" i="7" s="1"/>
  <c r="F1700" i="7"/>
  <c r="U1700" i="7" s="1"/>
  <c r="Y1639" i="7"/>
  <c r="Y1640" i="7"/>
  <c r="W1625" i="7"/>
  <c r="Y1641" i="7"/>
  <c r="J1682" i="7"/>
  <c r="J1684" i="7"/>
  <c r="J1687" i="7"/>
  <c r="J1683" i="7"/>
  <c r="W1666" i="7"/>
  <c r="W1670" i="7" s="1"/>
  <c r="U1657" i="7"/>
  <c r="L1657" i="7"/>
  <c r="N1657" i="7" s="1"/>
  <c r="P1627" i="7"/>
  <c r="R1627" i="7" s="1"/>
  <c r="AA1627" i="7" s="1"/>
  <c r="D1711" i="7"/>
  <c r="D1710" i="7"/>
  <c r="D1709" i="7"/>
  <c r="D1707" i="7"/>
  <c r="D1705" i="7"/>
  <c r="D1708" i="7"/>
  <c r="L1666" i="7"/>
  <c r="J1666" i="7"/>
  <c r="Y1691" i="7"/>
  <c r="Y1696" i="7"/>
  <c r="Y1692" i="7"/>
  <c r="Y1693" i="7" s="1"/>
  <c r="Y1697" i="7"/>
  <c r="Y1682" i="7"/>
  <c r="Y1683" i="7"/>
  <c r="Y1695" i="7"/>
  <c r="Y1687" i="7"/>
  <c r="Y1690" i="7"/>
  <c r="Y1684" i="7"/>
  <c r="Y1685" i="7" s="1"/>
  <c r="F1655" i="7"/>
  <c r="U1652" i="7"/>
  <c r="L1652" i="7"/>
  <c r="N1652" i="7" s="1"/>
  <c r="D1655" i="7"/>
  <c r="P1652" i="7"/>
  <c r="R1652" i="7" s="1"/>
  <c r="N1640" i="7"/>
  <c r="N1636" i="7"/>
  <c r="AA1636" i="7" s="1"/>
  <c r="W1665" i="7"/>
  <c r="W1669" i="7" s="1"/>
  <c r="J1671" i="7"/>
  <c r="J1670" i="7"/>
  <c r="J1669" i="7"/>
  <c r="N1625" i="7"/>
  <c r="P1625" i="7" s="1"/>
  <c r="R1625" i="7" s="1"/>
  <c r="J1660" i="7"/>
  <c r="B1756" i="7"/>
  <c r="B1745" i="7"/>
  <c r="B1752" i="7"/>
  <c r="B1742" i="7"/>
  <c r="B1751" i="7"/>
  <c r="B1761" i="7"/>
  <c r="B1765" i="7"/>
  <c r="B1753" i="7"/>
  <c r="B1747" i="7"/>
  <c r="B1743" i="7"/>
  <c r="B1759" i="7"/>
  <c r="B1757" i="7"/>
  <c r="B1760" i="7"/>
  <c r="B1755" i="7"/>
  <c r="B1750" i="7"/>
  <c r="B1744" i="7"/>
  <c r="L1667" i="7"/>
  <c r="J1667" i="7"/>
  <c r="U1662" i="7"/>
  <c r="U1663" i="7" s="1"/>
  <c r="L1662" i="7"/>
  <c r="P1662" i="7"/>
  <c r="R1662" i="7" s="1"/>
  <c r="P1653" i="7"/>
  <c r="R1653" i="7" s="1"/>
  <c r="N1639" i="7"/>
  <c r="J1661" i="7"/>
  <c r="N1661" i="7" s="1"/>
  <c r="N1653" i="7"/>
  <c r="C1735" i="7"/>
  <c r="A1757" i="7"/>
  <c r="A1761" i="7"/>
  <c r="A1756" i="7"/>
  <c r="A1755" i="7"/>
  <c r="A1759" i="7"/>
  <c r="A1750" i="7"/>
  <c r="A1745" i="7"/>
  <c r="A1765" i="7"/>
  <c r="A1747" i="7"/>
  <c r="A1742" i="7"/>
  <c r="A1753" i="7"/>
  <c r="A1744" i="7"/>
  <c r="A1752" i="7"/>
  <c r="A1743" i="7"/>
  <c r="A1760" i="7"/>
  <c r="A1751" i="7"/>
  <c r="J1662" i="7"/>
  <c r="P1654" i="7"/>
  <c r="R1654" i="7" s="1"/>
  <c r="L1654" i="7"/>
  <c r="N1654" i="7" s="1"/>
  <c r="U1654" i="7"/>
  <c r="U1655" i="7" s="1"/>
  <c r="AA1597" i="7"/>
  <c r="P1660" i="7"/>
  <c r="R1660" i="7" s="1"/>
  <c r="D1663" i="7"/>
  <c r="W1663" i="7" s="1"/>
  <c r="L1660" i="7"/>
  <c r="F1663" i="7"/>
  <c r="U1660" i="7"/>
  <c r="AA1603" i="7"/>
  <c r="P1573" i="7"/>
  <c r="R1573" i="7" s="1"/>
  <c r="N1669" i="7" l="1"/>
  <c r="N1667" i="7"/>
  <c r="AA1667" i="7" s="1"/>
  <c r="N1665" i="7"/>
  <c r="AA1665" i="7" s="1"/>
  <c r="N1670" i="7"/>
  <c r="AA1563" i="7"/>
  <c r="N1671" i="7"/>
  <c r="AA1564" i="7"/>
  <c r="AA1593" i="7"/>
  <c r="AA1592" i="7"/>
  <c r="L1701" i="7"/>
  <c r="AA1573" i="7"/>
  <c r="AA1570" i="7" s="1"/>
  <c r="P1692" i="7"/>
  <c r="R1692" i="7" s="1"/>
  <c r="N1655" i="7"/>
  <c r="P1655" i="7" s="1"/>
  <c r="R1655" i="7" s="1"/>
  <c r="W1695" i="7"/>
  <c r="W1699" i="7" s="1"/>
  <c r="P1684" i="7"/>
  <c r="R1684" i="7" s="1"/>
  <c r="AA1641" i="7"/>
  <c r="P1633" i="7"/>
  <c r="R1633" i="7" s="1"/>
  <c r="W1697" i="7"/>
  <c r="W1701" i="7" s="1"/>
  <c r="AA1640" i="7"/>
  <c r="AA1639" i="7"/>
  <c r="AA1625" i="7"/>
  <c r="AA1623" i="7" s="1"/>
  <c r="L1700" i="7"/>
  <c r="N1666" i="7"/>
  <c r="AA1666" i="7" s="1"/>
  <c r="J1690" i="7"/>
  <c r="P1691" i="7"/>
  <c r="R1691" i="7" s="1"/>
  <c r="L1695" i="7"/>
  <c r="J1695" i="7"/>
  <c r="D1741" i="7"/>
  <c r="D1739" i="7"/>
  <c r="D1738" i="7"/>
  <c r="D1737" i="7"/>
  <c r="D1740" i="7"/>
  <c r="D1735" i="7"/>
  <c r="J1692" i="7"/>
  <c r="J1717" i="7"/>
  <c r="J1713" i="7"/>
  <c r="J1714" i="7"/>
  <c r="J1722" i="7" s="1"/>
  <c r="J1712" i="7"/>
  <c r="Y1714" i="7"/>
  <c r="Y1715" i="7" s="1"/>
  <c r="Y1722" i="7"/>
  <c r="Y1723" i="7" s="1"/>
  <c r="Y1717" i="7"/>
  <c r="Y1712" i="7"/>
  <c r="Y1720" i="7"/>
  <c r="Y1721" i="7"/>
  <c r="Y1726" i="7"/>
  <c r="Y1727" i="7"/>
  <c r="Y1713" i="7"/>
  <c r="Y1725" i="7"/>
  <c r="D1685" i="7"/>
  <c r="P1682" i="7"/>
  <c r="R1682" i="7" s="1"/>
  <c r="W1696" i="7"/>
  <c r="W1700" i="7" s="1"/>
  <c r="N1660" i="7"/>
  <c r="J1696" i="7"/>
  <c r="L1696" i="7"/>
  <c r="U1687" i="7"/>
  <c r="L1687" i="7"/>
  <c r="N1687" i="7" s="1"/>
  <c r="P1683" i="7"/>
  <c r="R1683" i="7" s="1"/>
  <c r="L1699" i="7"/>
  <c r="P1690" i="7"/>
  <c r="R1690" i="7" s="1"/>
  <c r="D1693" i="7"/>
  <c r="W1693" i="7" s="1"/>
  <c r="L1697" i="7"/>
  <c r="J1697" i="7"/>
  <c r="A1786" i="7"/>
  <c r="A1775" i="7"/>
  <c r="A1782" i="7"/>
  <c r="A1772" i="7"/>
  <c r="A1789" i="7"/>
  <c r="A1787" i="7"/>
  <c r="A1795" i="7"/>
  <c r="A1825" i="7" s="1"/>
  <c r="A1790" i="7"/>
  <c r="A1774" i="7"/>
  <c r="C1765" i="7"/>
  <c r="A1777" i="7"/>
  <c r="A1773" i="7"/>
  <c r="A1780" i="7"/>
  <c r="A1785" i="7"/>
  <c r="A1791" i="7"/>
  <c r="A1781" i="7"/>
  <c r="A1783" i="7"/>
  <c r="P1657" i="7"/>
  <c r="R1657" i="7" s="1"/>
  <c r="L1690" i="7"/>
  <c r="F1693" i="7"/>
  <c r="U1690" i="7"/>
  <c r="B1785" i="7"/>
  <c r="B1781" i="7"/>
  <c r="B1774" i="7"/>
  <c r="B1786" i="7"/>
  <c r="B1775" i="7"/>
  <c r="B1780" i="7"/>
  <c r="B1787" i="7"/>
  <c r="B1790" i="7"/>
  <c r="B1791" i="7"/>
  <c r="B1782" i="7"/>
  <c r="B1789" i="7"/>
  <c r="B1773" i="7"/>
  <c r="B1777" i="7"/>
  <c r="B1772" i="7"/>
  <c r="B1795" i="7"/>
  <c r="B1825" i="7" s="1"/>
  <c r="B1783" i="7"/>
  <c r="U1682" i="7"/>
  <c r="L1682" i="7"/>
  <c r="N1682" i="7" s="1"/>
  <c r="F1685" i="7"/>
  <c r="J1699" i="7"/>
  <c r="J1700" i="7"/>
  <c r="J1701" i="7"/>
  <c r="U1692" i="7"/>
  <c r="U1693" i="7" s="1"/>
  <c r="L1692" i="7"/>
  <c r="F1729" i="7"/>
  <c r="U1729" i="7" s="1"/>
  <c r="F1726" i="7"/>
  <c r="U1726" i="7" s="1"/>
  <c r="D1717" i="7"/>
  <c r="W1717" i="7" s="1"/>
  <c r="F1722" i="7"/>
  <c r="D1726" i="7"/>
  <c r="D1729" i="7"/>
  <c r="F1713" i="7"/>
  <c r="U1713" i="7" s="1"/>
  <c r="F1721" i="7"/>
  <c r="U1721" i="7" s="1"/>
  <c r="H1730" i="7"/>
  <c r="H1731" i="7"/>
  <c r="D1730" i="7"/>
  <c r="D1714" i="7"/>
  <c r="F1712" i="7"/>
  <c r="H1727" i="7"/>
  <c r="D1720" i="7"/>
  <c r="D1712" i="7"/>
  <c r="H1725" i="7"/>
  <c r="D1722" i="7"/>
  <c r="F1720" i="7"/>
  <c r="F1714" i="7"/>
  <c r="D1713" i="7"/>
  <c r="G1706" i="7"/>
  <c r="F1725" i="7"/>
  <c r="U1725" i="7" s="1"/>
  <c r="D1725" i="7"/>
  <c r="D1721" i="7"/>
  <c r="D1727" i="7"/>
  <c r="F1731" i="7"/>
  <c r="U1731" i="7" s="1"/>
  <c r="D1706" i="7"/>
  <c r="D1731" i="7"/>
  <c r="F1727" i="7"/>
  <c r="U1727" i="7" s="1"/>
  <c r="H1729" i="7"/>
  <c r="F1730" i="7"/>
  <c r="U1730" i="7" s="1"/>
  <c r="F1717" i="7"/>
  <c r="H1726" i="7"/>
  <c r="W1655" i="7"/>
  <c r="Y1671" i="7"/>
  <c r="Y1670" i="7"/>
  <c r="Y1669" i="7"/>
  <c r="AA1669" i="7" s="1"/>
  <c r="AA1601" i="7"/>
  <c r="AA1602" i="7"/>
  <c r="AA1600" i="7"/>
  <c r="N1662" i="7"/>
  <c r="J1691" i="7"/>
  <c r="N1691" i="7" s="1"/>
  <c r="N1683" i="7"/>
  <c r="L1684" i="7"/>
  <c r="N1684" i="7" s="1"/>
  <c r="U1684" i="7"/>
  <c r="U1685" i="7" s="1"/>
  <c r="A1845" i="7" l="1"/>
  <c r="A1835" i="7"/>
  <c r="A1855" i="7"/>
  <c r="A1849" i="7"/>
  <c r="A1832" i="7"/>
  <c r="A1850" i="7"/>
  <c r="A1837" i="7"/>
  <c r="A1833" i="7"/>
  <c r="A1843" i="7"/>
  <c r="C1825" i="7"/>
  <c r="A1846" i="7"/>
  <c r="A1851" i="7"/>
  <c r="A1840" i="7"/>
  <c r="A1834" i="7"/>
  <c r="A1847" i="7"/>
  <c r="A1842" i="7"/>
  <c r="A1841" i="7"/>
  <c r="B1845" i="7"/>
  <c r="B1841" i="7"/>
  <c r="B1834" i="7"/>
  <c r="B1835" i="7"/>
  <c r="B1855" i="7"/>
  <c r="B1849" i="7"/>
  <c r="B1832" i="7"/>
  <c r="B1842" i="7"/>
  <c r="B1846" i="7"/>
  <c r="B1833" i="7"/>
  <c r="B1847" i="7"/>
  <c r="B1840" i="7"/>
  <c r="B1843" i="7"/>
  <c r="B1851" i="7"/>
  <c r="B1837" i="7"/>
  <c r="B1850" i="7"/>
  <c r="AA1670" i="7"/>
  <c r="L271" i="4"/>
  <c r="AA1655" i="7"/>
  <c r="AA1653" i="7" s="1"/>
  <c r="AA1572" i="7"/>
  <c r="N1697" i="7"/>
  <c r="AA1697" i="7" s="1"/>
  <c r="AA1571" i="7"/>
  <c r="N1701" i="7"/>
  <c r="AA1671" i="7"/>
  <c r="AA1633" i="7"/>
  <c r="AA1630" i="7" s="1"/>
  <c r="AA1657" i="7"/>
  <c r="P1714" i="7"/>
  <c r="R1714" i="7" s="1"/>
  <c r="L1731" i="7"/>
  <c r="N1700" i="7"/>
  <c r="W1727" i="7"/>
  <c r="W1731" i="7" s="1"/>
  <c r="AA1622" i="7"/>
  <c r="AA1624" i="7"/>
  <c r="N1696" i="7"/>
  <c r="AA1696" i="7" s="1"/>
  <c r="N1685" i="7"/>
  <c r="P1685" i="7" s="1"/>
  <c r="R1685" i="7" s="1"/>
  <c r="P1722" i="7"/>
  <c r="R1722" i="7" s="1"/>
  <c r="W1725" i="7"/>
  <c r="W1729" i="7" s="1"/>
  <c r="N1699" i="7"/>
  <c r="D1767" i="7"/>
  <c r="D1765" i="7"/>
  <c r="D1771" i="7"/>
  <c r="D1768" i="7"/>
  <c r="D1770" i="7"/>
  <c r="D1769" i="7"/>
  <c r="P1687" i="7"/>
  <c r="R1687" i="7" s="1"/>
  <c r="F1751" i="7"/>
  <c r="U1751" i="7" s="1"/>
  <c r="D1736" i="7"/>
  <c r="F1744" i="7"/>
  <c r="F1759" i="7"/>
  <c r="U1759" i="7" s="1"/>
  <c r="G1736" i="7"/>
  <c r="F1750" i="7"/>
  <c r="D1761" i="7"/>
  <c r="D1743" i="7"/>
  <c r="H1755" i="7"/>
  <c r="D1742" i="7"/>
  <c r="F1743" i="7"/>
  <c r="U1743" i="7" s="1"/>
  <c r="D1756" i="7"/>
  <c r="D1747" i="7"/>
  <c r="W1747" i="7" s="1"/>
  <c r="D1755" i="7"/>
  <c r="H1756" i="7"/>
  <c r="H1759" i="7"/>
  <c r="F1756" i="7"/>
  <c r="U1756" i="7" s="1"/>
  <c r="D1757" i="7"/>
  <c r="D1759" i="7"/>
  <c r="F1747" i="7"/>
  <c r="H1760" i="7"/>
  <c r="H1757" i="7"/>
  <c r="F1760" i="7"/>
  <c r="U1760" i="7" s="1"/>
  <c r="F1752" i="7"/>
  <c r="D1760" i="7"/>
  <c r="F1757" i="7"/>
  <c r="U1757" i="7" s="1"/>
  <c r="D1752" i="7"/>
  <c r="F1755" i="7"/>
  <c r="U1755" i="7" s="1"/>
  <c r="D1751" i="7"/>
  <c r="F1742" i="7"/>
  <c r="D1744" i="7"/>
  <c r="D1750" i="7"/>
  <c r="H1761" i="7"/>
  <c r="F1761" i="7"/>
  <c r="U1761" i="7" s="1"/>
  <c r="J1727" i="7"/>
  <c r="L1727" i="7"/>
  <c r="Y1743" i="7"/>
  <c r="Y1755" i="7"/>
  <c r="Y1744" i="7"/>
  <c r="Y1745" i="7" s="1"/>
  <c r="Y1756" i="7"/>
  <c r="Y1742" i="7"/>
  <c r="Y1752" i="7"/>
  <c r="Y1753" i="7" s="1"/>
  <c r="Y1750" i="7"/>
  <c r="Y1751" i="7"/>
  <c r="Y1747" i="7"/>
  <c r="Y1757" i="7"/>
  <c r="P1721" i="7"/>
  <c r="R1721" i="7" s="1"/>
  <c r="A1819" i="7"/>
  <c r="A1803" i="7"/>
  <c r="A1810" i="7"/>
  <c r="A1815" i="7"/>
  <c r="A1820" i="7"/>
  <c r="A1804" i="7"/>
  <c r="C1795" i="7"/>
  <c r="A1805" i="7"/>
  <c r="A1802" i="7"/>
  <c r="A1821" i="7"/>
  <c r="A1816" i="7"/>
  <c r="A1817" i="7"/>
  <c r="A1807" i="7"/>
  <c r="A1811" i="7"/>
  <c r="A1812" i="7"/>
  <c r="A1813" i="7"/>
  <c r="N1695" i="7"/>
  <c r="AA1695" i="7" s="1"/>
  <c r="L1725" i="7"/>
  <c r="J1725" i="7"/>
  <c r="J1720" i="7"/>
  <c r="W1685" i="7"/>
  <c r="Y1699" i="7"/>
  <c r="Y1700" i="7"/>
  <c r="Y1701" i="7"/>
  <c r="D1715" i="7"/>
  <c r="P1712" i="7"/>
  <c r="R1712" i="7" s="1"/>
  <c r="N1692" i="7"/>
  <c r="F1715" i="7"/>
  <c r="U1712" i="7"/>
  <c r="L1712" i="7"/>
  <c r="N1712" i="7" s="1"/>
  <c r="J1731" i="7"/>
  <c r="J1729" i="7"/>
  <c r="J1730" i="7"/>
  <c r="B1812" i="7"/>
  <c r="B1813" i="7"/>
  <c r="B1807" i="7"/>
  <c r="B1819" i="7"/>
  <c r="B1821" i="7"/>
  <c r="B1803" i="7"/>
  <c r="B1815" i="7"/>
  <c r="B1805" i="7"/>
  <c r="B1804" i="7"/>
  <c r="B1810" i="7"/>
  <c r="B1820" i="7"/>
  <c r="B1817" i="7"/>
  <c r="B1811" i="7"/>
  <c r="B1802" i="7"/>
  <c r="B1816" i="7"/>
  <c r="N1663" i="7"/>
  <c r="L1717" i="7"/>
  <c r="N1717" i="7" s="1"/>
  <c r="U1717" i="7"/>
  <c r="J1744" i="7"/>
  <c r="J1742" i="7"/>
  <c r="J1747" i="7"/>
  <c r="J1743" i="7"/>
  <c r="L1730" i="7"/>
  <c r="W1726" i="7"/>
  <c r="W1730" i="7" s="1"/>
  <c r="L1729" i="7"/>
  <c r="N1713" i="7"/>
  <c r="J1721" i="7"/>
  <c r="N1721" i="7" s="1"/>
  <c r="P1713" i="7"/>
  <c r="R1713" i="7" s="1"/>
  <c r="L1726" i="7"/>
  <c r="J1726" i="7"/>
  <c r="N1690" i="7"/>
  <c r="F1723" i="7"/>
  <c r="L1720" i="7"/>
  <c r="U1720" i="7"/>
  <c r="P1720" i="7"/>
  <c r="R1720" i="7" s="1"/>
  <c r="D1723" i="7"/>
  <c r="W1723" i="7" s="1"/>
  <c r="U1714" i="7"/>
  <c r="U1715" i="7" s="1"/>
  <c r="L1714" i="7"/>
  <c r="N1714" i="7" s="1"/>
  <c r="L1722" i="7"/>
  <c r="N1722" i="7" s="1"/>
  <c r="U1722" i="7"/>
  <c r="U1723" i="7" s="1"/>
  <c r="D1825" i="7" l="1"/>
  <c r="D1831" i="7"/>
  <c r="D1827" i="7"/>
  <c r="D1830" i="7"/>
  <c r="D1829" i="7"/>
  <c r="D1828" i="7"/>
  <c r="B1880" i="7"/>
  <c r="B1876" i="7"/>
  <c r="B1870" i="7"/>
  <c r="B1864" i="7"/>
  <c r="B1862" i="7"/>
  <c r="B1875" i="7"/>
  <c r="B1885" i="7"/>
  <c r="B1879" i="7"/>
  <c r="B1873" i="7"/>
  <c r="B1877" i="7"/>
  <c r="B1881" i="7"/>
  <c r="B1863" i="7"/>
  <c r="B1867" i="7"/>
  <c r="B1872" i="7"/>
  <c r="B1865" i="7"/>
  <c r="B1871" i="7"/>
  <c r="A1870" i="7"/>
  <c r="A1875" i="7"/>
  <c r="A1871" i="7"/>
  <c r="A1872" i="7"/>
  <c r="A1867" i="7"/>
  <c r="C1855" i="7"/>
  <c r="A1880" i="7"/>
  <c r="A1876" i="7"/>
  <c r="A1881" i="7"/>
  <c r="A1877" i="7"/>
  <c r="A1873" i="7"/>
  <c r="A1865" i="7"/>
  <c r="A1863" i="7"/>
  <c r="A1879" i="7"/>
  <c r="A1864" i="7"/>
  <c r="A1885" i="7"/>
  <c r="A1862" i="7"/>
  <c r="AA1654" i="7"/>
  <c r="AA1652" i="7"/>
  <c r="AA1700" i="7"/>
  <c r="AA1701" i="7"/>
  <c r="N1731" i="7"/>
  <c r="AA1631" i="7"/>
  <c r="AA1632" i="7"/>
  <c r="W1757" i="7"/>
  <c r="W1761" i="7" s="1"/>
  <c r="AA1685" i="7"/>
  <c r="AA1683" i="7" s="1"/>
  <c r="AA1699" i="7"/>
  <c r="L1760" i="7"/>
  <c r="W1755" i="7"/>
  <c r="W1759" i="7" s="1"/>
  <c r="N1725" i="7"/>
  <c r="AA1725" i="7" s="1"/>
  <c r="P1744" i="7"/>
  <c r="R1744" i="7" s="1"/>
  <c r="W1756" i="7"/>
  <c r="W1760" i="7" s="1"/>
  <c r="N1715" i="7"/>
  <c r="P1715" i="7" s="1"/>
  <c r="R1715" i="7" s="1"/>
  <c r="P1751" i="7"/>
  <c r="R1751" i="7" s="1"/>
  <c r="N1726" i="7"/>
  <c r="AA1726" i="7" s="1"/>
  <c r="J1757" i="7"/>
  <c r="L1757" i="7"/>
  <c r="J1759" i="7"/>
  <c r="J1761" i="7"/>
  <c r="J1760" i="7"/>
  <c r="P1750" i="7"/>
  <c r="R1750" i="7" s="1"/>
  <c r="D1753" i="7"/>
  <c r="W1753" i="7" s="1"/>
  <c r="AA1687" i="7"/>
  <c r="U1742" i="7"/>
  <c r="F1745" i="7"/>
  <c r="L1742" i="7"/>
  <c r="N1742" i="7" s="1"/>
  <c r="N1743" i="7"/>
  <c r="J1751" i="7"/>
  <c r="N1751" i="7" s="1"/>
  <c r="J1756" i="7"/>
  <c r="L1756" i="7"/>
  <c r="Y1730" i="7"/>
  <c r="Y1731" i="7"/>
  <c r="W1715" i="7"/>
  <c r="Y1729" i="7"/>
  <c r="P1752" i="7"/>
  <c r="R1752" i="7" s="1"/>
  <c r="J1750" i="7"/>
  <c r="P1742" i="7"/>
  <c r="R1742" i="7" s="1"/>
  <c r="D1745" i="7"/>
  <c r="L1755" i="7"/>
  <c r="J1755" i="7"/>
  <c r="J1752" i="7"/>
  <c r="N1693" i="7"/>
  <c r="L1752" i="7"/>
  <c r="U1752" i="7"/>
  <c r="U1753" i="7" s="1"/>
  <c r="P1743" i="7"/>
  <c r="R1743" i="7" s="1"/>
  <c r="Y1773" i="7"/>
  <c r="Y1785" i="7"/>
  <c r="Y1781" i="7"/>
  <c r="Y1774" i="7"/>
  <c r="Y1775" i="7" s="1"/>
  <c r="Y1787" i="7"/>
  <c r="Y1772" i="7"/>
  <c r="Y1777" i="7"/>
  <c r="Y1780" i="7"/>
  <c r="Y1782" i="7"/>
  <c r="Y1783" i="7" s="1"/>
  <c r="Y1786" i="7"/>
  <c r="P1717" i="7"/>
  <c r="R1717" i="7" s="1"/>
  <c r="D1798" i="7"/>
  <c r="D1797" i="7"/>
  <c r="D1801" i="7"/>
  <c r="D1800" i="7"/>
  <c r="D1799" i="7"/>
  <c r="D1795" i="7"/>
  <c r="L1761" i="7"/>
  <c r="D1786" i="7"/>
  <c r="D1780" i="7"/>
  <c r="H1787" i="7"/>
  <c r="F1787" i="7"/>
  <c r="U1787" i="7" s="1"/>
  <c r="D1790" i="7"/>
  <c r="D1787" i="7"/>
  <c r="F1777" i="7"/>
  <c r="D1785" i="7"/>
  <c r="F1772" i="7"/>
  <c r="F1773" i="7"/>
  <c r="U1773" i="7" s="1"/>
  <c r="D1772" i="7"/>
  <c r="H1789" i="7"/>
  <c r="F1789" i="7"/>
  <c r="U1789" i="7" s="1"/>
  <c r="H1785" i="7"/>
  <c r="F1785" i="7"/>
  <c r="U1785" i="7" s="1"/>
  <c r="D1789" i="7"/>
  <c r="F1781" i="7"/>
  <c r="U1781" i="7" s="1"/>
  <c r="F1780" i="7"/>
  <c r="F1774" i="7"/>
  <c r="D1773" i="7"/>
  <c r="G1766" i="7"/>
  <c r="D1777" i="7"/>
  <c r="W1777" i="7" s="1"/>
  <c r="H1791" i="7"/>
  <c r="H1790" i="7"/>
  <c r="H1786" i="7"/>
  <c r="F1790" i="7"/>
  <c r="U1790" i="7" s="1"/>
  <c r="D1781" i="7"/>
  <c r="D1774" i="7"/>
  <c r="D1766" i="7"/>
  <c r="F1791" i="7"/>
  <c r="U1791" i="7" s="1"/>
  <c r="F1786" i="7"/>
  <c r="U1786" i="7" s="1"/>
  <c r="F1782" i="7"/>
  <c r="D1782" i="7"/>
  <c r="D1791" i="7"/>
  <c r="N1720" i="7"/>
  <c r="N1723" i="7" s="1"/>
  <c r="U1750" i="7"/>
  <c r="F1753" i="7"/>
  <c r="L1750" i="7"/>
  <c r="J1772" i="7"/>
  <c r="J1777" i="7"/>
  <c r="J1773" i="7"/>
  <c r="J1774" i="7"/>
  <c r="P1663" i="7"/>
  <c r="R1663" i="7" s="1"/>
  <c r="N1730" i="7"/>
  <c r="N1727" i="7"/>
  <c r="AA1727" i="7" s="1"/>
  <c r="U1747" i="7"/>
  <c r="L1747" i="7"/>
  <c r="N1747" i="7" s="1"/>
  <c r="N1729" i="7"/>
  <c r="L1759" i="7"/>
  <c r="U1744" i="7"/>
  <c r="U1745" i="7" s="1"/>
  <c r="L1744" i="7"/>
  <c r="N1744" i="7" s="1"/>
  <c r="D1857" i="7" l="1"/>
  <c r="D1855" i="7"/>
  <c r="D1858" i="7"/>
  <c r="D1861" i="7"/>
  <c r="D1860" i="7"/>
  <c r="D1859" i="7"/>
  <c r="A1905" i="7"/>
  <c r="A1901" i="7"/>
  <c r="A1903" i="7"/>
  <c r="A1911" i="7"/>
  <c r="A1907" i="7"/>
  <c r="A1892" i="7"/>
  <c r="A1895" i="7"/>
  <c r="A1909" i="7"/>
  <c r="A1910" i="7"/>
  <c r="A1915" i="7"/>
  <c r="A1902" i="7"/>
  <c r="C1885" i="7"/>
  <c r="A1894" i="7"/>
  <c r="A1900" i="7"/>
  <c r="A1893" i="7"/>
  <c r="A1897" i="7"/>
  <c r="A1906" i="7"/>
  <c r="B1903" i="7"/>
  <c r="B1897" i="7"/>
  <c r="B1911" i="7"/>
  <c r="B1907" i="7"/>
  <c r="B1892" i="7"/>
  <c r="B1895" i="7"/>
  <c r="B1901" i="7"/>
  <c r="B1915" i="7"/>
  <c r="B1893" i="7"/>
  <c r="B1910" i="7"/>
  <c r="B1909" i="7"/>
  <c r="B1894" i="7"/>
  <c r="B1905" i="7"/>
  <c r="B1900" i="7"/>
  <c r="B1902" i="7"/>
  <c r="B1906" i="7"/>
  <c r="J1833" i="7"/>
  <c r="J1837" i="7"/>
  <c r="J1834" i="7"/>
  <c r="J1832" i="7"/>
  <c r="Y1840" i="7"/>
  <c r="Y1834" i="7"/>
  <c r="Y1835" i="7" s="1"/>
  <c r="Y1847" i="7"/>
  <c r="Y1841" i="7"/>
  <c r="Y1842" i="7"/>
  <c r="Y1843" i="7" s="1"/>
  <c r="Y1837" i="7"/>
  <c r="Y1833" i="7"/>
  <c r="Y1846" i="7"/>
  <c r="Y1832" i="7"/>
  <c r="Y1845" i="7"/>
  <c r="D1851" i="7"/>
  <c r="D1846" i="7"/>
  <c r="H1850" i="7"/>
  <c r="D1849" i="7"/>
  <c r="D1845" i="7"/>
  <c r="D1832" i="7"/>
  <c r="F1842" i="7"/>
  <c r="H1846" i="7"/>
  <c r="D1842" i="7"/>
  <c r="F1850" i="7"/>
  <c r="U1850" i="7" s="1"/>
  <c r="F1846" i="7"/>
  <c r="U1846" i="7" s="1"/>
  <c r="F1833" i="7"/>
  <c r="U1833" i="7" s="1"/>
  <c r="D1833" i="7"/>
  <c r="F1840" i="7"/>
  <c r="F1851" i="7"/>
  <c r="U1851" i="7" s="1"/>
  <c r="F1849" i="7"/>
  <c r="U1849" i="7" s="1"/>
  <c r="D1840" i="7"/>
  <c r="H1847" i="7"/>
  <c r="F1834" i="7"/>
  <c r="D1847" i="7"/>
  <c r="F1837" i="7"/>
  <c r="F1847" i="7"/>
  <c r="U1847" i="7" s="1"/>
  <c r="G1826" i="7"/>
  <c r="H1851" i="7"/>
  <c r="D1826" i="7"/>
  <c r="D1834" i="7"/>
  <c r="D1837" i="7"/>
  <c r="W1837" i="7" s="1"/>
  <c r="D1850" i="7"/>
  <c r="H1845" i="7"/>
  <c r="F1845" i="7"/>
  <c r="U1845" i="7" s="1"/>
  <c r="F1841" i="7"/>
  <c r="U1841" i="7" s="1"/>
  <c r="D1841" i="7"/>
  <c r="F1832" i="7"/>
  <c r="H1849" i="7"/>
  <c r="M271" i="4"/>
  <c r="AA1682" i="7"/>
  <c r="AA1684" i="7"/>
  <c r="AA1731" i="7"/>
  <c r="L1789" i="7"/>
  <c r="N1760" i="7"/>
  <c r="AA1715" i="7"/>
  <c r="AA1712" i="7" s="1"/>
  <c r="AA1730" i="7"/>
  <c r="W1786" i="7"/>
  <c r="W1790" i="7" s="1"/>
  <c r="L1790" i="7"/>
  <c r="N1756" i="7"/>
  <c r="AA1756" i="7" s="1"/>
  <c r="N1752" i="7"/>
  <c r="L1791" i="7"/>
  <c r="N1750" i="7"/>
  <c r="P1782" i="7"/>
  <c r="R1782" i="7" s="1"/>
  <c r="AA1663" i="7"/>
  <c r="AA1661" i="7" s="1"/>
  <c r="P1774" i="7"/>
  <c r="R1774" i="7" s="1"/>
  <c r="AA1717" i="7"/>
  <c r="N1745" i="7"/>
  <c r="P1745" i="7" s="1"/>
  <c r="R1745" i="7" s="1"/>
  <c r="N1755" i="7"/>
  <c r="AA1755" i="7" s="1"/>
  <c r="P1747" i="7"/>
  <c r="R1747" i="7" s="1"/>
  <c r="P1780" i="7"/>
  <c r="R1780" i="7" s="1"/>
  <c r="D1783" i="7"/>
  <c r="W1783" i="7" s="1"/>
  <c r="W1745" i="7"/>
  <c r="Y1759" i="7"/>
  <c r="Y1760" i="7"/>
  <c r="Y1761" i="7"/>
  <c r="U1782" i="7"/>
  <c r="U1783" i="7" s="1"/>
  <c r="L1782" i="7"/>
  <c r="J1791" i="7"/>
  <c r="J1789" i="7"/>
  <c r="J1790" i="7"/>
  <c r="Y1812" i="7"/>
  <c r="Y1813" i="7" s="1"/>
  <c r="Y1802" i="7"/>
  <c r="Y1810" i="7"/>
  <c r="Y1807" i="7"/>
  <c r="Y1815" i="7"/>
  <c r="Y1811" i="7"/>
  <c r="Y1804" i="7"/>
  <c r="Y1805" i="7" s="1"/>
  <c r="Y1816" i="7"/>
  <c r="Y1817" i="7"/>
  <c r="Y1803" i="7"/>
  <c r="P1781" i="7"/>
  <c r="R1781" i="7" s="1"/>
  <c r="P1772" i="7"/>
  <c r="R1772" i="7" s="1"/>
  <c r="D1775" i="7"/>
  <c r="J1802" i="7"/>
  <c r="J1807" i="7"/>
  <c r="J1803" i="7"/>
  <c r="J1804" i="7"/>
  <c r="J1812" i="7" s="1"/>
  <c r="AA1729" i="7"/>
  <c r="N1761" i="7"/>
  <c r="J1782" i="7"/>
  <c r="N1759" i="7"/>
  <c r="J1781" i="7"/>
  <c r="N1781" i="7" s="1"/>
  <c r="N1773" i="7"/>
  <c r="L1772" i="7"/>
  <c r="N1772" i="7" s="1"/>
  <c r="U1772" i="7"/>
  <c r="F1775" i="7"/>
  <c r="P1693" i="7"/>
  <c r="R1693" i="7" s="1"/>
  <c r="J1785" i="7"/>
  <c r="L1785" i="7"/>
  <c r="W1785" i="7"/>
  <c r="W1789" i="7" s="1"/>
  <c r="N1757" i="7"/>
  <c r="AA1757" i="7" s="1"/>
  <c r="L1780" i="7"/>
  <c r="F1783" i="7"/>
  <c r="U1780" i="7"/>
  <c r="J1786" i="7"/>
  <c r="L1786" i="7"/>
  <c r="H1821" i="7"/>
  <c r="D1817" i="7"/>
  <c r="F1803" i="7"/>
  <c r="U1803" i="7" s="1"/>
  <c r="D1803" i="7"/>
  <c r="D1810" i="7"/>
  <c r="D1811" i="7"/>
  <c r="F1815" i="7"/>
  <c r="U1815" i="7" s="1"/>
  <c r="D1820" i="7"/>
  <c r="F1817" i="7"/>
  <c r="U1817" i="7" s="1"/>
  <c r="F1811" i="7"/>
  <c r="U1811" i="7" s="1"/>
  <c r="F1807" i="7"/>
  <c r="G1796" i="7"/>
  <c r="D1812" i="7"/>
  <c r="D1802" i="7"/>
  <c r="H1820" i="7"/>
  <c r="H1815" i="7"/>
  <c r="F1819" i="7"/>
  <c r="U1819" i="7" s="1"/>
  <c r="F1820" i="7"/>
  <c r="U1820" i="7" s="1"/>
  <c r="F1816" i="7"/>
  <c r="U1816" i="7" s="1"/>
  <c r="F1812" i="7"/>
  <c r="D1819" i="7"/>
  <c r="F1804" i="7"/>
  <c r="D1807" i="7"/>
  <c r="W1807" i="7" s="1"/>
  <c r="H1819" i="7"/>
  <c r="D1804" i="7"/>
  <c r="H1816" i="7"/>
  <c r="F1810" i="7"/>
  <c r="D1821" i="7"/>
  <c r="D1816" i="7"/>
  <c r="D1796" i="7"/>
  <c r="F1802" i="7"/>
  <c r="F1821" i="7"/>
  <c r="U1821" i="7" s="1"/>
  <c r="H1817" i="7"/>
  <c r="D1815" i="7"/>
  <c r="J1780" i="7"/>
  <c r="U1777" i="7"/>
  <c r="L1777" i="7"/>
  <c r="N1777" i="7" s="1"/>
  <c r="W1787" i="7"/>
  <c r="W1791" i="7" s="1"/>
  <c r="J1787" i="7"/>
  <c r="L1787" i="7"/>
  <c r="P1773" i="7"/>
  <c r="R1773" i="7" s="1"/>
  <c r="P1723" i="7"/>
  <c r="R1723" i="7" s="1"/>
  <c r="AA1723" i="7" s="1"/>
  <c r="L1774" i="7"/>
  <c r="N1774" i="7" s="1"/>
  <c r="U1774" i="7"/>
  <c r="U1775" i="7" s="1"/>
  <c r="L1849" i="7" l="1"/>
  <c r="L1851" i="7"/>
  <c r="W1846" i="7"/>
  <c r="W1850" i="7" s="1"/>
  <c r="L1850" i="7"/>
  <c r="L1847" i="7"/>
  <c r="J1847" i="7"/>
  <c r="L1834" i="7"/>
  <c r="N1834" i="7" s="1"/>
  <c r="U1834" i="7"/>
  <c r="U1835" i="7" s="1"/>
  <c r="N1833" i="7"/>
  <c r="J1841" i="7"/>
  <c r="N1841" i="7" s="1"/>
  <c r="J1842" i="7"/>
  <c r="L1846" i="7"/>
  <c r="J1846" i="7"/>
  <c r="W1845" i="7"/>
  <c r="W1849" i="7" s="1"/>
  <c r="A1925" i="7"/>
  <c r="A1935" i="7"/>
  <c r="A1931" i="7"/>
  <c r="A1945" i="7"/>
  <c r="A1939" i="7"/>
  <c r="A1923" i="7"/>
  <c r="A1940" i="7"/>
  <c r="A1936" i="7"/>
  <c r="A1924" i="7"/>
  <c r="C1915" i="7"/>
  <c r="A1927" i="7"/>
  <c r="A1922" i="7"/>
  <c r="A1930" i="7"/>
  <c r="A1937" i="7"/>
  <c r="A1933" i="7"/>
  <c r="A1932" i="7"/>
  <c r="A1941" i="7"/>
  <c r="P1840" i="7"/>
  <c r="R1840" i="7" s="1"/>
  <c r="D1843" i="7"/>
  <c r="W1843" i="7" s="1"/>
  <c r="W1847" i="7"/>
  <c r="W1851" i="7" s="1"/>
  <c r="U1840" i="7"/>
  <c r="L1840" i="7"/>
  <c r="F1843" i="7"/>
  <c r="J1840" i="7"/>
  <c r="L1837" i="7"/>
  <c r="N1837" i="7" s="1"/>
  <c r="U1837" i="7"/>
  <c r="Y1877" i="7"/>
  <c r="Y1871" i="7"/>
  <c r="Y1875" i="7"/>
  <c r="Y1863" i="7"/>
  <c r="Y1872" i="7"/>
  <c r="Y1873" i="7" s="1"/>
  <c r="Y1876" i="7"/>
  <c r="Y1867" i="7"/>
  <c r="Y1862" i="7"/>
  <c r="Y1870" i="7"/>
  <c r="Y1864" i="7"/>
  <c r="Y1865" i="7" s="1"/>
  <c r="L1842" i="7"/>
  <c r="U1842" i="7"/>
  <c r="U1843" i="7" s="1"/>
  <c r="P1841" i="7"/>
  <c r="R1841" i="7" s="1"/>
  <c r="P1833" i="7"/>
  <c r="R1833" i="7" s="1"/>
  <c r="P1834" i="7"/>
  <c r="R1834" i="7" s="1"/>
  <c r="B1932" i="7"/>
  <c r="B1945" i="7"/>
  <c r="B1939" i="7"/>
  <c r="B1935" i="7"/>
  <c r="B1923" i="7"/>
  <c r="B1927" i="7"/>
  <c r="B1941" i="7"/>
  <c r="B1940" i="7"/>
  <c r="B1931" i="7"/>
  <c r="B1936" i="7"/>
  <c r="B1922" i="7"/>
  <c r="B1925" i="7"/>
  <c r="B1930" i="7"/>
  <c r="B1924" i="7"/>
  <c r="B1933" i="7"/>
  <c r="B1937" i="7"/>
  <c r="D1891" i="7"/>
  <c r="D1890" i="7"/>
  <c r="D1887" i="7"/>
  <c r="D1885" i="7"/>
  <c r="D1889" i="7"/>
  <c r="D1888" i="7"/>
  <c r="D1880" i="7"/>
  <c r="D1875" i="7"/>
  <c r="H1880" i="7"/>
  <c r="F1862" i="7"/>
  <c r="F1864" i="7"/>
  <c r="F1870" i="7"/>
  <c r="D1864" i="7"/>
  <c r="F1881" i="7"/>
  <c r="U1881" i="7" s="1"/>
  <c r="H1881" i="7"/>
  <c r="H1877" i="7"/>
  <c r="D1870" i="7"/>
  <c r="F1877" i="7"/>
  <c r="U1877" i="7" s="1"/>
  <c r="F1871" i="7"/>
  <c r="U1871" i="7" s="1"/>
  <c r="F1875" i="7"/>
  <c r="U1875" i="7" s="1"/>
  <c r="G1856" i="7"/>
  <c r="F1867" i="7"/>
  <c r="D1856" i="7"/>
  <c r="D1871" i="7"/>
  <c r="D1877" i="7"/>
  <c r="D1867" i="7"/>
  <c r="W1867" i="7" s="1"/>
  <c r="F1880" i="7"/>
  <c r="U1880" i="7" s="1"/>
  <c r="H1879" i="7"/>
  <c r="H1875" i="7"/>
  <c r="F1879" i="7"/>
  <c r="U1879" i="7" s="1"/>
  <c r="D1879" i="7"/>
  <c r="D1881" i="7"/>
  <c r="D1863" i="7"/>
  <c r="F1863" i="7"/>
  <c r="U1863" i="7" s="1"/>
  <c r="H1876" i="7"/>
  <c r="D1862" i="7"/>
  <c r="D1876" i="7"/>
  <c r="F1872" i="7"/>
  <c r="F1876" i="7"/>
  <c r="U1876" i="7" s="1"/>
  <c r="D1872" i="7"/>
  <c r="D1835" i="7"/>
  <c r="P1832" i="7"/>
  <c r="R1832" i="7" s="1"/>
  <c r="L1845" i="7"/>
  <c r="J1845" i="7"/>
  <c r="U1832" i="7"/>
  <c r="F1835" i="7"/>
  <c r="L1832" i="7"/>
  <c r="N1832" i="7" s="1"/>
  <c r="J1850" i="7"/>
  <c r="N1850" i="7" s="1"/>
  <c r="J1851" i="7"/>
  <c r="N1851" i="7" s="1"/>
  <c r="J1849" i="7"/>
  <c r="P1842" i="7"/>
  <c r="R1842" i="7" s="1"/>
  <c r="J1864" i="7"/>
  <c r="J1867" i="7"/>
  <c r="J1863" i="7"/>
  <c r="J1862" i="7"/>
  <c r="N1753" i="7"/>
  <c r="P1753" i="7" s="1"/>
  <c r="R1753" i="7" s="1"/>
  <c r="N1775" i="7"/>
  <c r="P1775" i="7" s="1"/>
  <c r="R1775" i="7" s="1"/>
  <c r="N1789" i="7"/>
  <c r="L1820" i="7"/>
  <c r="P1804" i="7"/>
  <c r="R1804" i="7" s="1"/>
  <c r="L1819" i="7"/>
  <c r="N1791" i="7"/>
  <c r="AA1714" i="7"/>
  <c r="AA1760" i="7"/>
  <c r="AA1713" i="7"/>
  <c r="N1790" i="7"/>
  <c r="AA1660" i="7"/>
  <c r="AA1662" i="7"/>
  <c r="W1815" i="7"/>
  <c r="W1819" i="7" s="1"/>
  <c r="AA1693" i="7"/>
  <c r="AA1690" i="7" s="1"/>
  <c r="W1816" i="7"/>
  <c r="W1820" i="7" s="1"/>
  <c r="N1786" i="7"/>
  <c r="AA1786" i="7" s="1"/>
  <c r="P1812" i="7"/>
  <c r="R1812" i="7" s="1"/>
  <c r="N1782" i="7"/>
  <c r="L1821" i="7"/>
  <c r="AA1761" i="7"/>
  <c r="AA1720" i="7"/>
  <c r="AA1721" i="7"/>
  <c r="AA1722" i="7"/>
  <c r="U1810" i="7"/>
  <c r="L1810" i="7"/>
  <c r="F1813" i="7"/>
  <c r="U1807" i="7"/>
  <c r="L1807" i="7"/>
  <c r="N1807" i="7" s="1"/>
  <c r="J1820" i="7"/>
  <c r="J1821" i="7"/>
  <c r="J1819" i="7"/>
  <c r="L1816" i="7"/>
  <c r="J1816" i="7"/>
  <c r="N1787" i="7"/>
  <c r="AA1787" i="7" s="1"/>
  <c r="N1785" i="7"/>
  <c r="AA1785" i="7" s="1"/>
  <c r="N1803" i="7"/>
  <c r="J1811" i="7"/>
  <c r="N1811" i="7" s="1"/>
  <c r="P1777" i="7"/>
  <c r="R1777" i="7" s="1"/>
  <c r="L1804" i="7"/>
  <c r="N1804" i="7" s="1"/>
  <c r="U1804" i="7"/>
  <c r="U1805" i="7" s="1"/>
  <c r="P1811" i="7"/>
  <c r="R1811" i="7" s="1"/>
  <c r="J1810" i="7"/>
  <c r="P1810" i="7"/>
  <c r="R1810" i="7" s="1"/>
  <c r="D1813" i="7"/>
  <c r="W1813" i="7" s="1"/>
  <c r="AA1747" i="7"/>
  <c r="F1805" i="7"/>
  <c r="L1802" i="7"/>
  <c r="N1802" i="7" s="1"/>
  <c r="U1802" i="7"/>
  <c r="P1802" i="7"/>
  <c r="R1802" i="7" s="1"/>
  <c r="D1805" i="7"/>
  <c r="P1803" i="7"/>
  <c r="R1803" i="7" s="1"/>
  <c r="Y1790" i="7"/>
  <c r="Y1791" i="7"/>
  <c r="W1775" i="7"/>
  <c r="Y1789" i="7"/>
  <c r="N1780" i="7"/>
  <c r="L1815" i="7"/>
  <c r="J1815" i="7"/>
  <c r="J1817" i="7"/>
  <c r="L1817" i="7"/>
  <c r="U1812" i="7"/>
  <c r="U1813" i="7" s="1"/>
  <c r="L1812" i="7"/>
  <c r="N1812" i="7" s="1"/>
  <c r="W1817" i="7"/>
  <c r="W1821" i="7" s="1"/>
  <c r="AA1759" i="7"/>
  <c r="AA1745" i="7"/>
  <c r="L1880" i="7" l="1"/>
  <c r="N1849" i="7"/>
  <c r="N1835" i="7"/>
  <c r="L1881" i="7"/>
  <c r="L1879" i="7"/>
  <c r="W1876" i="7"/>
  <c r="W1880" i="7" s="1"/>
  <c r="N1847" i="7"/>
  <c r="AA1847" i="7" s="1"/>
  <c r="N1845" i="7"/>
  <c r="AA1845" i="7" s="1"/>
  <c r="N1842" i="7"/>
  <c r="N1840" i="7"/>
  <c r="P1872" i="7"/>
  <c r="R1872" i="7" s="1"/>
  <c r="N1846" i="7"/>
  <c r="AA1846" i="7" s="1"/>
  <c r="AA1789" i="7"/>
  <c r="P1837" i="7"/>
  <c r="R1837" i="7" s="1"/>
  <c r="A1961" i="7"/>
  <c r="A1954" i="7"/>
  <c r="C1945" i="7"/>
  <c r="A1965" i="7"/>
  <c r="A1962" i="7"/>
  <c r="A1957" i="7"/>
  <c r="A1966" i="7"/>
  <c r="A1970" i="7"/>
  <c r="A1971" i="7"/>
  <c r="A1967" i="7"/>
  <c r="A1955" i="7"/>
  <c r="A1969" i="7"/>
  <c r="A1953" i="7"/>
  <c r="A1960" i="7"/>
  <c r="A1963" i="7"/>
  <c r="A1975" i="7"/>
  <c r="A1952" i="7"/>
  <c r="B1955" i="7"/>
  <c r="B1966" i="7"/>
  <c r="B1970" i="7"/>
  <c r="B1960" i="7"/>
  <c r="B1954" i="7"/>
  <c r="B1952" i="7"/>
  <c r="B1965" i="7"/>
  <c r="B1961" i="7"/>
  <c r="B1971" i="7"/>
  <c r="B1969" i="7"/>
  <c r="B1953" i="7"/>
  <c r="B1975" i="7"/>
  <c r="B1967" i="7"/>
  <c r="B1962" i="7"/>
  <c r="B1957" i="7"/>
  <c r="B1963" i="7"/>
  <c r="Y1906" i="7"/>
  <c r="Y1907" i="7"/>
  <c r="Y1897" i="7"/>
  <c r="Y1893" i="7"/>
  <c r="Y1902" i="7"/>
  <c r="Y1903" i="7" s="1"/>
  <c r="Y1894" i="7"/>
  <c r="Y1895" i="7" s="1"/>
  <c r="Y1905" i="7"/>
  <c r="Y1900" i="7"/>
  <c r="Y1892" i="7"/>
  <c r="Y1901" i="7"/>
  <c r="J1872" i="7"/>
  <c r="P1864" i="7"/>
  <c r="R1864" i="7" s="1"/>
  <c r="L1870" i="7"/>
  <c r="F1873" i="7"/>
  <c r="U1870" i="7"/>
  <c r="D1919" i="7"/>
  <c r="D1918" i="7"/>
  <c r="D1917" i="7"/>
  <c r="D1915" i="7"/>
  <c r="D1921" i="7"/>
  <c r="D1920" i="7"/>
  <c r="D1909" i="7"/>
  <c r="F1893" i="7"/>
  <c r="U1893" i="7" s="1"/>
  <c r="F1910" i="7"/>
  <c r="U1910" i="7" s="1"/>
  <c r="F1892" i="7"/>
  <c r="D1911" i="7"/>
  <c r="D1907" i="7"/>
  <c r="D1892" i="7"/>
  <c r="F1901" i="7"/>
  <c r="U1901" i="7" s="1"/>
  <c r="D1901" i="7"/>
  <c r="F1905" i="7"/>
  <c r="U1905" i="7" s="1"/>
  <c r="H1905" i="7"/>
  <c r="H1909" i="7"/>
  <c r="H1906" i="7"/>
  <c r="F1906" i="7"/>
  <c r="U1906" i="7" s="1"/>
  <c r="D1906" i="7"/>
  <c r="F1900" i="7"/>
  <c r="D1894" i="7"/>
  <c r="D1886" i="7"/>
  <c r="G1886" i="7"/>
  <c r="D1900" i="7"/>
  <c r="D1905" i="7"/>
  <c r="F1909" i="7"/>
  <c r="U1909" i="7" s="1"/>
  <c r="F1894" i="7"/>
  <c r="D1893" i="7"/>
  <c r="H1911" i="7"/>
  <c r="H1907" i="7"/>
  <c r="F1897" i="7"/>
  <c r="F1911" i="7"/>
  <c r="U1911" i="7" s="1"/>
  <c r="F1907" i="7"/>
  <c r="U1907" i="7" s="1"/>
  <c r="F1902" i="7"/>
  <c r="D1897" i="7"/>
  <c r="W1897" i="7" s="1"/>
  <c r="D1902" i="7"/>
  <c r="D1910" i="7"/>
  <c r="H1910" i="7"/>
  <c r="U1872" i="7"/>
  <c r="U1873" i="7" s="1"/>
  <c r="L1872" i="7"/>
  <c r="D1873" i="7"/>
  <c r="W1873" i="7" s="1"/>
  <c r="P1870" i="7"/>
  <c r="R1870" i="7" s="1"/>
  <c r="U1862" i="7"/>
  <c r="L1862" i="7"/>
  <c r="N1862" i="7" s="1"/>
  <c r="F1865" i="7"/>
  <c r="W1877" i="7"/>
  <c r="W1881" i="7" s="1"/>
  <c r="P1835" i="7"/>
  <c r="R1835" i="7" s="1"/>
  <c r="L1877" i="7"/>
  <c r="J1877" i="7"/>
  <c r="W1875" i="7"/>
  <c r="W1879" i="7" s="1"/>
  <c r="L1876" i="7"/>
  <c r="J1876" i="7"/>
  <c r="J1892" i="7"/>
  <c r="J1897" i="7"/>
  <c r="J1893" i="7"/>
  <c r="J1894" i="7"/>
  <c r="P1863" i="7"/>
  <c r="R1863" i="7" s="1"/>
  <c r="J1870" i="7"/>
  <c r="P1871" i="7"/>
  <c r="R1871" i="7" s="1"/>
  <c r="L1875" i="7"/>
  <c r="J1875" i="7"/>
  <c r="U1867" i="7"/>
  <c r="L1867" i="7"/>
  <c r="N1867" i="7" s="1"/>
  <c r="D1865" i="7"/>
  <c r="P1862" i="7"/>
  <c r="R1862" i="7" s="1"/>
  <c r="L1864" i="7"/>
  <c r="N1864" i="7" s="1"/>
  <c r="U1864" i="7"/>
  <c r="U1865" i="7" s="1"/>
  <c r="Y1849" i="7"/>
  <c r="Y1851" i="7"/>
  <c r="AA1851" i="7" s="1"/>
  <c r="Y1850" i="7"/>
  <c r="AA1850" i="7" s="1"/>
  <c r="W1835" i="7"/>
  <c r="J1871" i="7"/>
  <c r="N1871" i="7" s="1"/>
  <c r="N1863" i="7"/>
  <c r="J1881" i="7"/>
  <c r="N1881" i="7" s="1"/>
  <c r="J1880" i="7"/>
  <c r="N1880" i="7" s="1"/>
  <c r="J1879" i="7"/>
  <c r="AA1775" i="7"/>
  <c r="AA1773" i="7" s="1"/>
  <c r="N1820" i="7"/>
  <c r="N1819" i="7"/>
  <c r="N1783" i="7"/>
  <c r="P1783" i="7" s="1"/>
  <c r="R1783" i="7" s="1"/>
  <c r="AA1791" i="7"/>
  <c r="N1805" i="7"/>
  <c r="P1805" i="7" s="1"/>
  <c r="R1805" i="7" s="1"/>
  <c r="AA1790" i="7"/>
  <c r="AA1692" i="7"/>
  <c r="AA1691" i="7"/>
  <c r="N1816" i="7"/>
  <c r="AA1816" i="7" s="1"/>
  <c r="N1815" i="7"/>
  <c r="AA1815" i="7" s="1"/>
  <c r="AA1753" i="7"/>
  <c r="AA1750" i="7" s="1"/>
  <c r="N1821" i="7"/>
  <c r="AA1777" i="7"/>
  <c r="N1817" i="7"/>
  <c r="AA1817" i="7" s="1"/>
  <c r="P1807" i="7"/>
  <c r="R1807" i="7" s="1"/>
  <c r="Y1821" i="7"/>
  <c r="W1805" i="7"/>
  <c r="Y1819" i="7"/>
  <c r="Y1820" i="7"/>
  <c r="AA1744" i="7"/>
  <c r="AA1743" i="7"/>
  <c r="AA1742" i="7"/>
  <c r="N1810" i="7"/>
  <c r="N1813" i="7" s="1"/>
  <c r="AA1849" i="7" l="1"/>
  <c r="N1879" i="7"/>
  <c r="N1843" i="7"/>
  <c r="P1843" i="7" s="1"/>
  <c r="R1843" i="7" s="1"/>
  <c r="N1865" i="7"/>
  <c r="P1865" i="7" s="1"/>
  <c r="R1865" i="7" s="1"/>
  <c r="L1911" i="7"/>
  <c r="W1905" i="7"/>
  <c r="W1909" i="7" s="1"/>
  <c r="L1910" i="7"/>
  <c r="L1909" i="7"/>
  <c r="N1877" i="7"/>
  <c r="AA1877" i="7" s="1"/>
  <c r="AA1835" i="7"/>
  <c r="AA1833" i="7" s="1"/>
  <c r="N1875" i="7"/>
  <c r="AA1875" i="7" s="1"/>
  <c r="P1902" i="7"/>
  <c r="R1902" i="7" s="1"/>
  <c r="P1894" i="7"/>
  <c r="R1894" i="7" s="1"/>
  <c r="N1870" i="7"/>
  <c r="AA1837" i="7"/>
  <c r="W1907" i="7"/>
  <c r="W1911" i="7" s="1"/>
  <c r="W1906" i="7"/>
  <c r="W1910" i="7" s="1"/>
  <c r="N1876" i="7"/>
  <c r="AA1876" i="7" s="1"/>
  <c r="P1867" i="7"/>
  <c r="R1867" i="7" s="1"/>
  <c r="N1872" i="7"/>
  <c r="Y1935" i="7"/>
  <c r="Y1937" i="7"/>
  <c r="Y1924" i="7"/>
  <c r="Y1925" i="7" s="1"/>
  <c r="Y1930" i="7"/>
  <c r="Y1931" i="7"/>
  <c r="Y1923" i="7"/>
  <c r="Y1922" i="7"/>
  <c r="Y1927" i="7"/>
  <c r="Y1932" i="7"/>
  <c r="Y1933" i="7" s="1"/>
  <c r="Y1936" i="7"/>
  <c r="D1937" i="7"/>
  <c r="F1922" i="7"/>
  <c r="F1940" i="7"/>
  <c r="U1940" i="7" s="1"/>
  <c r="D1922" i="7"/>
  <c r="D1939" i="7"/>
  <c r="D1935" i="7"/>
  <c r="F1923" i="7"/>
  <c r="U1923" i="7" s="1"/>
  <c r="D1923" i="7"/>
  <c r="F1927" i="7"/>
  <c r="H1936" i="7"/>
  <c r="F1932" i="7"/>
  <c r="D1927" i="7"/>
  <c r="W1927" i="7" s="1"/>
  <c r="G1916" i="7"/>
  <c r="H1940" i="7"/>
  <c r="D1916" i="7"/>
  <c r="F1936" i="7"/>
  <c r="U1936" i="7" s="1"/>
  <c r="D1932" i="7"/>
  <c r="F1930" i="7"/>
  <c r="F1924" i="7"/>
  <c r="F1941" i="7"/>
  <c r="U1941" i="7" s="1"/>
  <c r="D1941" i="7"/>
  <c r="H1935" i="7"/>
  <c r="D1940" i="7"/>
  <c r="D1930" i="7"/>
  <c r="H1939" i="7"/>
  <c r="F1931" i="7"/>
  <c r="U1931" i="7" s="1"/>
  <c r="D1924" i="7"/>
  <c r="F1935" i="7"/>
  <c r="U1935" i="7" s="1"/>
  <c r="D1931" i="7"/>
  <c r="F1939" i="7"/>
  <c r="U1939" i="7" s="1"/>
  <c r="H1941" i="7"/>
  <c r="H1937" i="7"/>
  <c r="F1937" i="7"/>
  <c r="U1937" i="7" s="1"/>
  <c r="D1936" i="7"/>
  <c r="F1895" i="7"/>
  <c r="U1892" i="7"/>
  <c r="L1892" i="7"/>
  <c r="N1892" i="7" s="1"/>
  <c r="J1909" i="7"/>
  <c r="J1911" i="7"/>
  <c r="J1910" i="7"/>
  <c r="B1985" i="7"/>
  <c r="B2005" i="7"/>
  <c r="B2000" i="7"/>
  <c r="B1993" i="7"/>
  <c r="B1982" i="7"/>
  <c r="B1997" i="7"/>
  <c r="B1991" i="7"/>
  <c r="B1996" i="7"/>
  <c r="B1987" i="7"/>
  <c r="B1983" i="7"/>
  <c r="B1992" i="7"/>
  <c r="B1984" i="7"/>
  <c r="B1995" i="7"/>
  <c r="B2001" i="7"/>
  <c r="B1990" i="7"/>
  <c r="B1999" i="7"/>
  <c r="P1893" i="7"/>
  <c r="R1893" i="7" s="1"/>
  <c r="D1903" i="7"/>
  <c r="W1903" i="7" s="1"/>
  <c r="P1900" i="7"/>
  <c r="R1900" i="7" s="1"/>
  <c r="U1900" i="7"/>
  <c r="F1903" i="7"/>
  <c r="L1900" i="7"/>
  <c r="J1927" i="7"/>
  <c r="J1922" i="7"/>
  <c r="J1924" i="7"/>
  <c r="J1923" i="7"/>
  <c r="J1900" i="7"/>
  <c r="P1901" i="7"/>
  <c r="R1901" i="7" s="1"/>
  <c r="U1894" i="7"/>
  <c r="U1895" i="7" s="1"/>
  <c r="L1894" i="7"/>
  <c r="N1894" i="7" s="1"/>
  <c r="D1895" i="7"/>
  <c r="P1892" i="7"/>
  <c r="R1892" i="7" s="1"/>
  <c r="A2005" i="7"/>
  <c r="A1990" i="7"/>
  <c r="A2000" i="7"/>
  <c r="A1993" i="7"/>
  <c r="A1985" i="7"/>
  <c r="A1982" i="7"/>
  <c r="A2001" i="7"/>
  <c r="A1995" i="7"/>
  <c r="A1983" i="7"/>
  <c r="A1996" i="7"/>
  <c r="A1987" i="7"/>
  <c r="A1999" i="7"/>
  <c r="A1984" i="7"/>
  <c r="A1992" i="7"/>
  <c r="C1975" i="7"/>
  <c r="A1997" i="7"/>
  <c r="A1991" i="7"/>
  <c r="L1905" i="7"/>
  <c r="J1905" i="7"/>
  <c r="J1906" i="7"/>
  <c r="L1906" i="7"/>
  <c r="U1902" i="7"/>
  <c r="U1903" i="7" s="1"/>
  <c r="L1902" i="7"/>
  <c r="J1902" i="7"/>
  <c r="J1901" i="7"/>
  <c r="N1901" i="7" s="1"/>
  <c r="N1893" i="7"/>
  <c r="U1897" i="7"/>
  <c r="L1897" i="7"/>
  <c r="N1897" i="7" s="1"/>
  <c r="D1945" i="7"/>
  <c r="D1949" i="7"/>
  <c r="D1950" i="7"/>
  <c r="D1951" i="7"/>
  <c r="D1948" i="7"/>
  <c r="D1947" i="7"/>
  <c r="W1865" i="7"/>
  <c r="Y1879" i="7"/>
  <c r="AA1879" i="7" s="1"/>
  <c r="Y1880" i="7"/>
  <c r="AA1880" i="7" s="1"/>
  <c r="Y1881" i="7"/>
  <c r="AA1881" i="7" s="1"/>
  <c r="AA1843" i="7"/>
  <c r="L1907" i="7"/>
  <c r="J1907" i="7"/>
  <c r="AA1819" i="7"/>
  <c r="AA1820" i="7"/>
  <c r="AA1772" i="7"/>
  <c r="AA1774" i="7"/>
  <c r="O271" i="4"/>
  <c r="AA1783" i="7"/>
  <c r="AA1780" i="7" s="1"/>
  <c r="AA1821" i="7"/>
  <c r="AA1805" i="7"/>
  <c r="AA1804" i="7" s="1"/>
  <c r="AA1752" i="7"/>
  <c r="AA1751" i="7"/>
  <c r="AA1807" i="7"/>
  <c r="P1813" i="7"/>
  <c r="R1813" i="7" s="1"/>
  <c r="N1911" i="7" l="1"/>
  <c r="N1910" i="7"/>
  <c r="L1940" i="7"/>
  <c r="N1909" i="7"/>
  <c r="W1936" i="7"/>
  <c r="W1940" i="7" s="1"/>
  <c r="N1895" i="7"/>
  <c r="P1895" i="7" s="1"/>
  <c r="R1895" i="7" s="1"/>
  <c r="L1941" i="7"/>
  <c r="L1939" i="7"/>
  <c r="N1873" i="7"/>
  <c r="P1873" i="7" s="1"/>
  <c r="R1873" i="7" s="1"/>
  <c r="AA1873" i="7" s="1"/>
  <c r="AA1872" i="7" s="1"/>
  <c r="AA1832" i="7"/>
  <c r="P1924" i="7"/>
  <c r="R1924" i="7" s="1"/>
  <c r="AA1834" i="7"/>
  <c r="N1902" i="7"/>
  <c r="N1907" i="7"/>
  <c r="AA1907" i="7" s="1"/>
  <c r="N1900" i="7"/>
  <c r="P1932" i="7"/>
  <c r="R1932" i="7" s="1"/>
  <c r="AA1782" i="7"/>
  <c r="AA1781" i="7"/>
  <c r="N1905" i="7"/>
  <c r="AA1905" i="7" s="1"/>
  <c r="P1897" i="7"/>
  <c r="R1897" i="7" s="1"/>
  <c r="J1931" i="7"/>
  <c r="N1931" i="7" s="1"/>
  <c r="N1923" i="7"/>
  <c r="B2015" i="7"/>
  <c r="B2020" i="7"/>
  <c r="B2014" i="7"/>
  <c r="B2023" i="7"/>
  <c r="B2021" i="7"/>
  <c r="B2035" i="7"/>
  <c r="B2027" i="7"/>
  <c r="B2030" i="7"/>
  <c r="B2017" i="7"/>
  <c r="B2022" i="7"/>
  <c r="B2031" i="7"/>
  <c r="B2013" i="7"/>
  <c r="B2012" i="7"/>
  <c r="B2025" i="7"/>
  <c r="B2026" i="7"/>
  <c r="B2029" i="7"/>
  <c r="P1931" i="7"/>
  <c r="R1931" i="7" s="1"/>
  <c r="J1932" i="7"/>
  <c r="L1932" i="7"/>
  <c r="U1932" i="7"/>
  <c r="U1933" i="7" s="1"/>
  <c r="J1940" i="7"/>
  <c r="N1940" i="7" s="1"/>
  <c r="J1939" i="7"/>
  <c r="J1941" i="7"/>
  <c r="L1927" i="7"/>
  <c r="N1927" i="7" s="1"/>
  <c r="U1927" i="7"/>
  <c r="P1930" i="7"/>
  <c r="R1930" i="7" s="1"/>
  <c r="D1933" i="7"/>
  <c r="W1933" i="7" s="1"/>
  <c r="P1923" i="7"/>
  <c r="R1923" i="7" s="1"/>
  <c r="AA1840" i="7"/>
  <c r="AA1842" i="7"/>
  <c r="AA1841" i="7"/>
  <c r="J1930" i="7"/>
  <c r="AA1865" i="7"/>
  <c r="J1954" i="7"/>
  <c r="J1952" i="7"/>
  <c r="J1957" i="7"/>
  <c r="J1953" i="7"/>
  <c r="L1935" i="7"/>
  <c r="J1935" i="7"/>
  <c r="D1977" i="7"/>
  <c r="D1981" i="7"/>
  <c r="D1978" i="7"/>
  <c r="D1975" i="7"/>
  <c r="D1980" i="7"/>
  <c r="D1979" i="7"/>
  <c r="W1935" i="7"/>
  <c r="W1939" i="7" s="1"/>
  <c r="D1925" i="7"/>
  <c r="P1922" i="7"/>
  <c r="R1922" i="7" s="1"/>
  <c r="N1906" i="7"/>
  <c r="AA1906" i="7" s="1"/>
  <c r="Y1911" i="7"/>
  <c r="AA1911" i="7" s="1"/>
  <c r="Y1910" i="7"/>
  <c r="Y1909" i="7"/>
  <c r="AA1909" i="7" s="1"/>
  <c r="W1895" i="7"/>
  <c r="W1937" i="7"/>
  <c r="W1941" i="7" s="1"/>
  <c r="U1924" i="7"/>
  <c r="U1925" i="7" s="1"/>
  <c r="L1924" i="7"/>
  <c r="N1924" i="7" s="1"/>
  <c r="L1937" i="7"/>
  <c r="J1937" i="7"/>
  <c r="Y1967" i="7"/>
  <c r="Y1952" i="7"/>
  <c r="Y1961" i="7"/>
  <c r="Y1965" i="7"/>
  <c r="Y1957" i="7"/>
  <c r="Y1966" i="7"/>
  <c r="Y1960" i="7"/>
  <c r="Y1962" i="7"/>
  <c r="Y1963" i="7" s="1"/>
  <c r="Y1954" i="7"/>
  <c r="Y1955" i="7" s="1"/>
  <c r="Y1953" i="7"/>
  <c r="A2031" i="7"/>
  <c r="A2026" i="7"/>
  <c r="A2025" i="7"/>
  <c r="A2021" i="7"/>
  <c r="A2030" i="7"/>
  <c r="A2020" i="7"/>
  <c r="A2014" i="7"/>
  <c r="A2035" i="7"/>
  <c r="A2027" i="7"/>
  <c r="A2017" i="7"/>
  <c r="A2023" i="7"/>
  <c r="A2013" i="7"/>
  <c r="A2012" i="7"/>
  <c r="C2005" i="7"/>
  <c r="A2015" i="7"/>
  <c r="A2022" i="7"/>
  <c r="A2029" i="7"/>
  <c r="D1971" i="7"/>
  <c r="D1966" i="7"/>
  <c r="F1970" i="7"/>
  <c r="U1970" i="7" s="1"/>
  <c r="D1952" i="7"/>
  <c r="D1970" i="7"/>
  <c r="F1960" i="7"/>
  <c r="F1954" i="7"/>
  <c r="F1967" i="7"/>
  <c r="U1967" i="7" s="1"/>
  <c r="H1967" i="7"/>
  <c r="D1960" i="7"/>
  <c r="D1954" i="7"/>
  <c r="H1971" i="7"/>
  <c r="H1969" i="7"/>
  <c r="H1965" i="7"/>
  <c r="D1961" i="7"/>
  <c r="D1965" i="7"/>
  <c r="F1961" i="7"/>
  <c r="U1961" i="7" s="1"/>
  <c r="F1971" i="7"/>
  <c r="U1971" i="7" s="1"/>
  <c r="H1966" i="7"/>
  <c r="G1946" i="7"/>
  <c r="D1967" i="7"/>
  <c r="F1952" i="7"/>
  <c r="D1962" i="7"/>
  <c r="F1957" i="7"/>
  <c r="D1957" i="7"/>
  <c r="W1957" i="7" s="1"/>
  <c r="F1962" i="7"/>
  <c r="F1966" i="7"/>
  <c r="U1966" i="7" s="1"/>
  <c r="D1946" i="7"/>
  <c r="F1965" i="7"/>
  <c r="U1965" i="7" s="1"/>
  <c r="H1970" i="7"/>
  <c r="F1969" i="7"/>
  <c r="U1969" i="7" s="1"/>
  <c r="D1969" i="7"/>
  <c r="F1953" i="7"/>
  <c r="U1953" i="7" s="1"/>
  <c r="D1953" i="7"/>
  <c r="J1936" i="7"/>
  <c r="L1936" i="7"/>
  <c r="U1930" i="7"/>
  <c r="L1930" i="7"/>
  <c r="F1933" i="7"/>
  <c r="U1922" i="7"/>
  <c r="F1925" i="7"/>
  <c r="L1922" i="7"/>
  <c r="N1922" i="7" s="1"/>
  <c r="AA1867" i="7"/>
  <c r="AA1803" i="7"/>
  <c r="AA1802" i="7"/>
  <c r="AA1813" i="7"/>
  <c r="K334" i="4"/>
  <c r="H24" i="24" s="1"/>
  <c r="D24" i="24" l="1"/>
  <c r="N1941" i="7"/>
  <c r="AA1910" i="7"/>
  <c r="N1939" i="7"/>
  <c r="N1925" i="7"/>
  <c r="P1925" i="7" s="1"/>
  <c r="R1925" i="7" s="1"/>
  <c r="AA1871" i="7"/>
  <c r="AA1870" i="7"/>
  <c r="N1903" i="7"/>
  <c r="P1903" i="7" s="1"/>
  <c r="R1903" i="7" s="1"/>
  <c r="L1970" i="7"/>
  <c r="L1971" i="7"/>
  <c r="W1967" i="7"/>
  <c r="W1971" i="7" s="1"/>
  <c r="L1969" i="7"/>
  <c r="N1935" i="7"/>
  <c r="AA1935" i="7" s="1"/>
  <c r="N1937" i="7"/>
  <c r="AA1937" i="7" s="1"/>
  <c r="AA1895" i="7"/>
  <c r="AA1893" i="7" s="1"/>
  <c r="N1930" i="7"/>
  <c r="P1961" i="7"/>
  <c r="R1961" i="7" s="1"/>
  <c r="J1962" i="7"/>
  <c r="Y1940" i="7"/>
  <c r="AA1940" i="7" s="1"/>
  <c r="Y1941" i="7"/>
  <c r="AA1941" i="7" s="1"/>
  <c r="Y1939" i="7"/>
  <c r="W1925" i="7"/>
  <c r="J1966" i="7"/>
  <c r="L1966" i="7"/>
  <c r="N1932" i="7"/>
  <c r="N1936" i="7"/>
  <c r="AA1936" i="7" s="1"/>
  <c r="L1967" i="7"/>
  <c r="J1967" i="7"/>
  <c r="J1960" i="7"/>
  <c r="L1965" i="7"/>
  <c r="J1965" i="7"/>
  <c r="H1999" i="7"/>
  <c r="F2000" i="7"/>
  <c r="U2000" i="7" s="1"/>
  <c r="D1995" i="7"/>
  <c r="H2000" i="7"/>
  <c r="H1996" i="7"/>
  <c r="D1982" i="7"/>
  <c r="D2000" i="7"/>
  <c r="F1996" i="7"/>
  <c r="U1996" i="7" s="1"/>
  <c r="H1997" i="7"/>
  <c r="F1982" i="7"/>
  <c r="F1997" i="7"/>
  <c r="U1997" i="7" s="1"/>
  <c r="F1991" i="7"/>
  <c r="U1991" i="7" s="1"/>
  <c r="D1997" i="7"/>
  <c r="D1991" i="7"/>
  <c r="D2001" i="7"/>
  <c r="F1995" i="7"/>
  <c r="U1995" i="7" s="1"/>
  <c r="D1983" i="7"/>
  <c r="F1999" i="7"/>
  <c r="U1999" i="7" s="1"/>
  <c r="D1992" i="7"/>
  <c r="D1987" i="7"/>
  <c r="W1987" i="7" s="1"/>
  <c r="D1976" i="7"/>
  <c r="D1999" i="7"/>
  <c r="F1983" i="7"/>
  <c r="U1983" i="7" s="1"/>
  <c r="H1995" i="7"/>
  <c r="D1984" i="7"/>
  <c r="H2001" i="7"/>
  <c r="F1990" i="7"/>
  <c r="D1996" i="7"/>
  <c r="F1984" i="7"/>
  <c r="F2001" i="7"/>
  <c r="U2001" i="7" s="1"/>
  <c r="D1990" i="7"/>
  <c r="F1987" i="7"/>
  <c r="G1976" i="7"/>
  <c r="W1996" i="7" s="1"/>
  <c r="W2000" i="7" s="1"/>
  <c r="F1992" i="7"/>
  <c r="AA1862" i="7"/>
  <c r="AA1863" i="7"/>
  <c r="AA1864" i="7"/>
  <c r="P1953" i="7"/>
  <c r="R1953" i="7" s="1"/>
  <c r="P1954" i="7"/>
  <c r="R1954" i="7" s="1"/>
  <c r="W1966" i="7"/>
  <c r="W1970" i="7" s="1"/>
  <c r="U1957" i="7"/>
  <c r="L1957" i="7"/>
  <c r="N1957" i="7" s="1"/>
  <c r="W1965" i="7"/>
  <c r="W1969" i="7" s="1"/>
  <c r="B2045" i="7"/>
  <c r="B2042" i="7"/>
  <c r="B2051" i="7"/>
  <c r="B2050" i="7"/>
  <c r="B2043" i="7"/>
  <c r="B2061" i="7"/>
  <c r="B2059" i="7"/>
  <c r="B2053" i="7"/>
  <c r="B2044" i="7"/>
  <c r="B2065" i="7"/>
  <c r="B2052" i="7"/>
  <c r="B2057" i="7"/>
  <c r="B2047" i="7"/>
  <c r="B2056" i="7"/>
  <c r="B2055" i="7"/>
  <c r="B2060" i="7"/>
  <c r="Y1997" i="7"/>
  <c r="Y1995" i="7"/>
  <c r="Y1987" i="7"/>
  <c r="Y1983" i="7"/>
  <c r="Y1992" i="7"/>
  <c r="Y1993" i="7" s="1"/>
  <c r="Y1996" i="7"/>
  <c r="Y1991" i="7"/>
  <c r="Y1982" i="7"/>
  <c r="Y1984" i="7"/>
  <c r="Y1985" i="7" s="1"/>
  <c r="Y1990" i="7"/>
  <c r="L1962" i="7"/>
  <c r="U1962" i="7"/>
  <c r="U1963" i="7" s="1"/>
  <c r="D1963" i="7"/>
  <c r="W1963" i="7" s="1"/>
  <c r="P1960" i="7"/>
  <c r="R1960" i="7" s="1"/>
  <c r="P1962" i="7"/>
  <c r="R1962" i="7" s="1"/>
  <c r="L1954" i="7"/>
  <c r="N1954" i="7" s="1"/>
  <c r="U1954" i="7"/>
  <c r="U1955" i="7" s="1"/>
  <c r="A2060" i="7"/>
  <c r="A2055" i="7"/>
  <c r="A2061" i="7"/>
  <c r="A2057" i="7"/>
  <c r="A2045" i="7"/>
  <c r="A2051" i="7"/>
  <c r="C2035" i="7"/>
  <c r="A2050" i="7"/>
  <c r="A2043" i="7"/>
  <c r="A2047" i="7"/>
  <c r="A2044" i="7"/>
  <c r="A2042" i="7"/>
  <c r="A2065" i="7"/>
  <c r="A2052" i="7"/>
  <c r="A2056" i="7"/>
  <c r="A2059" i="7"/>
  <c r="A2053" i="7"/>
  <c r="P1927" i="7"/>
  <c r="R1927" i="7" s="1"/>
  <c r="J1961" i="7"/>
  <c r="N1961" i="7" s="1"/>
  <c r="N1953" i="7"/>
  <c r="P1952" i="7"/>
  <c r="R1952" i="7" s="1"/>
  <c r="D1955" i="7"/>
  <c r="D2011" i="7"/>
  <c r="D2009" i="7"/>
  <c r="D2008" i="7"/>
  <c r="D2005" i="7"/>
  <c r="D2007" i="7"/>
  <c r="D2010" i="7"/>
  <c r="J1971" i="7"/>
  <c r="J1970" i="7"/>
  <c r="J1969" i="7"/>
  <c r="J1984" i="7"/>
  <c r="J1982" i="7"/>
  <c r="J1987" i="7"/>
  <c r="J1983" i="7"/>
  <c r="AA1897" i="7"/>
  <c r="U1952" i="7"/>
  <c r="L1952" i="7"/>
  <c r="N1952" i="7" s="1"/>
  <c r="F1955" i="7"/>
  <c r="L1960" i="7"/>
  <c r="F1963" i="7"/>
  <c r="U1960" i="7"/>
  <c r="AA1812" i="7"/>
  <c r="AA1811" i="7"/>
  <c r="AA1810" i="7"/>
  <c r="J334" i="4"/>
  <c r="H334" i="4"/>
  <c r="V27" i="15"/>
  <c r="V31" i="15"/>
  <c r="I334" i="4"/>
  <c r="N1970" i="7" l="1"/>
  <c r="AA1939" i="7"/>
  <c r="N1969" i="7"/>
  <c r="N1971" i="7"/>
  <c r="AA1903" i="7"/>
  <c r="AA1901" i="7" s="1"/>
  <c r="N1955" i="7"/>
  <c r="P1955" i="7" s="1"/>
  <c r="R1955" i="7" s="1"/>
  <c r="L2001" i="7"/>
  <c r="L2000" i="7"/>
  <c r="L1999" i="7"/>
  <c r="N1933" i="7"/>
  <c r="P1933" i="7" s="1"/>
  <c r="R1933" i="7" s="1"/>
  <c r="AA1927" i="7"/>
  <c r="AA1892" i="7"/>
  <c r="AA1894" i="7"/>
  <c r="W1995" i="7"/>
  <c r="W1999" i="7" s="1"/>
  <c r="P1984" i="7"/>
  <c r="R1984" i="7" s="1"/>
  <c r="W1997" i="7"/>
  <c r="W2001" i="7" s="1"/>
  <c r="P1992" i="7"/>
  <c r="R1992" i="7" s="1"/>
  <c r="N1965" i="7"/>
  <c r="AA1965" i="7" s="1"/>
  <c r="AA1925" i="7"/>
  <c r="AA1923" i="7" s="1"/>
  <c r="N1967" i="7"/>
  <c r="AA1967" i="7" s="1"/>
  <c r="N1960" i="7"/>
  <c r="D1985" i="7"/>
  <c r="P1982" i="7"/>
  <c r="R1982" i="7" s="1"/>
  <c r="J2001" i="7"/>
  <c r="J2000" i="7"/>
  <c r="J1999" i="7"/>
  <c r="U1990" i="7"/>
  <c r="L1990" i="7"/>
  <c r="F1993" i="7"/>
  <c r="J1992" i="7"/>
  <c r="H2027" i="7"/>
  <c r="F2022" i="7"/>
  <c r="F2030" i="7"/>
  <c r="U2030" i="7" s="1"/>
  <c r="D2012" i="7"/>
  <c r="H2031" i="7"/>
  <c r="F2027" i="7"/>
  <c r="U2027" i="7" s="1"/>
  <c r="D2027" i="7"/>
  <c r="F2031" i="7"/>
  <c r="U2031" i="7" s="1"/>
  <c r="H2030" i="7"/>
  <c r="F2017" i="7"/>
  <c r="D2030" i="7"/>
  <c r="D2017" i="7"/>
  <c r="W2017" i="7" s="1"/>
  <c r="H2025" i="7"/>
  <c r="F2014" i="7"/>
  <c r="F2025" i="7"/>
  <c r="U2025" i="7" s="1"/>
  <c r="F2012" i="7"/>
  <c r="F2029" i="7"/>
  <c r="U2029" i="7" s="1"/>
  <c r="D2020" i="7"/>
  <c r="D2029" i="7"/>
  <c r="H2026" i="7"/>
  <c r="D2026" i="7"/>
  <c r="G2006" i="7"/>
  <c r="D2021" i="7"/>
  <c r="D2013" i="7"/>
  <c r="D2025" i="7"/>
  <c r="D2031" i="7"/>
  <c r="F2026" i="7"/>
  <c r="U2026" i="7" s="1"/>
  <c r="F2020" i="7"/>
  <c r="D2006" i="7"/>
  <c r="D2022" i="7"/>
  <c r="D2014" i="7"/>
  <c r="F2021" i="7"/>
  <c r="U2021" i="7" s="1"/>
  <c r="F2013" i="7"/>
  <c r="U2013" i="7" s="1"/>
  <c r="H2029" i="7"/>
  <c r="U1992" i="7"/>
  <c r="U1993" i="7" s="1"/>
  <c r="L1992" i="7"/>
  <c r="N1966" i="7"/>
  <c r="AA1966" i="7" s="1"/>
  <c r="J1991" i="7"/>
  <c r="N1991" i="7" s="1"/>
  <c r="N1983" i="7"/>
  <c r="J1990" i="7"/>
  <c r="P1957" i="7"/>
  <c r="R1957" i="7" s="1"/>
  <c r="A2089" i="7"/>
  <c r="A2085" i="7"/>
  <c r="A2087" i="7"/>
  <c r="A2090" i="7"/>
  <c r="A2083" i="7"/>
  <c r="A2081" i="7"/>
  <c r="A2095" i="7"/>
  <c r="A2086" i="7"/>
  <c r="C2065" i="7"/>
  <c r="A2077" i="7"/>
  <c r="A2091" i="7"/>
  <c r="A2075" i="7"/>
  <c r="A2074" i="7"/>
  <c r="A2073" i="7"/>
  <c r="A2082" i="7"/>
  <c r="A2072" i="7"/>
  <c r="A2080" i="7"/>
  <c r="L1995" i="7"/>
  <c r="J1995" i="7"/>
  <c r="U1987" i="7"/>
  <c r="L1987" i="7"/>
  <c r="N1987" i="7" s="1"/>
  <c r="Y1969" i="7"/>
  <c r="AA1969" i="7" s="1"/>
  <c r="W1955" i="7"/>
  <c r="Y1970" i="7"/>
  <c r="Y1971" i="7"/>
  <c r="AA1971" i="7" s="1"/>
  <c r="B2073" i="7"/>
  <c r="B2075" i="7"/>
  <c r="B2095" i="7"/>
  <c r="B2089" i="7"/>
  <c r="B2082" i="7"/>
  <c r="B2077" i="7"/>
  <c r="B2090" i="7"/>
  <c r="B2080" i="7"/>
  <c r="B2074" i="7"/>
  <c r="B2083" i="7"/>
  <c r="B2087" i="7"/>
  <c r="B2085" i="7"/>
  <c r="B2072" i="7"/>
  <c r="B2091" i="7"/>
  <c r="B2086" i="7"/>
  <c r="B2081" i="7"/>
  <c r="P1991" i="7"/>
  <c r="R1991" i="7" s="1"/>
  <c r="F1985" i="7"/>
  <c r="L1982" i="7"/>
  <c r="N1982" i="7" s="1"/>
  <c r="U1982" i="7"/>
  <c r="Y2020" i="7"/>
  <c r="Y2013" i="7"/>
  <c r="Y2027" i="7"/>
  <c r="Y2022" i="7"/>
  <c r="Y2023" i="7" s="1"/>
  <c r="Y2012" i="7"/>
  <c r="Y2021" i="7"/>
  <c r="Y2026" i="7"/>
  <c r="Y2025" i="7"/>
  <c r="Y2017" i="7"/>
  <c r="Y2014" i="7"/>
  <c r="Y2015" i="7" s="1"/>
  <c r="D2041" i="7"/>
  <c r="D2040" i="7"/>
  <c r="D2037" i="7"/>
  <c r="D2035" i="7"/>
  <c r="D2039" i="7"/>
  <c r="D2038" i="7"/>
  <c r="U1984" i="7"/>
  <c r="U1985" i="7" s="1"/>
  <c r="L1984" i="7"/>
  <c r="N1984" i="7" s="1"/>
  <c r="J1997" i="7"/>
  <c r="L1997" i="7"/>
  <c r="J2012" i="7"/>
  <c r="J2017" i="7"/>
  <c r="J2014" i="7"/>
  <c r="J2013" i="7"/>
  <c r="P1983" i="7"/>
  <c r="R1983" i="7" s="1"/>
  <c r="D1993" i="7"/>
  <c r="W1993" i="7" s="1"/>
  <c r="P1990" i="7"/>
  <c r="R1990" i="7" s="1"/>
  <c r="AA1902" i="7"/>
  <c r="L1996" i="7"/>
  <c r="J1996" i="7"/>
  <c r="N1962" i="7"/>
  <c r="AT12" i="2"/>
  <c r="AX12" i="2"/>
  <c r="AA12" i="2"/>
  <c r="Z12" i="2"/>
  <c r="AU12" i="2"/>
  <c r="V12" i="2"/>
  <c r="W12" i="2"/>
  <c r="Y12" i="2"/>
  <c r="AD12" i="2"/>
  <c r="AE12" i="2"/>
  <c r="AF12" i="2"/>
  <c r="AI12" i="2"/>
  <c r="AJ12" i="2"/>
  <c r="AK12" i="2"/>
  <c r="AN12" i="2"/>
  <c r="AO12" i="2"/>
  <c r="AP12" i="2"/>
  <c r="AS12" i="2"/>
  <c r="AW12" i="2"/>
  <c r="S60" i="2"/>
  <c r="AW44" i="1"/>
  <c r="AX44" i="1" s="1"/>
  <c r="AS44" i="1"/>
  <c r="AT44" i="1" s="1"/>
  <c r="O44" i="1"/>
  <c r="V44" i="1" s="1"/>
  <c r="N44" i="1"/>
  <c r="M44" i="1"/>
  <c r="AJ44" i="1" s="1"/>
  <c r="AK44" i="1" s="1"/>
  <c r="G44" i="1"/>
  <c r="AW43" i="1"/>
  <c r="AX43" i="1" s="1"/>
  <c r="AS43" i="1"/>
  <c r="AT43" i="1" s="1"/>
  <c r="O43" i="1"/>
  <c r="N43" i="1"/>
  <c r="M43" i="1"/>
  <c r="G43" i="1"/>
  <c r="AW42" i="1"/>
  <c r="AX42" i="1" s="1"/>
  <c r="AS42" i="1"/>
  <c r="AT42" i="1" s="1"/>
  <c r="O42" i="1"/>
  <c r="V42" i="1" s="1"/>
  <c r="N42" i="1"/>
  <c r="M42" i="1"/>
  <c r="AJ42" i="1" s="1"/>
  <c r="AK42" i="1" s="1"/>
  <c r="G42" i="1"/>
  <c r="S10" i="2"/>
  <c r="S59" i="2"/>
  <c r="S61" i="2"/>
  <c r="S62" i="2"/>
  <c r="M41" i="1"/>
  <c r="AJ41" i="1" s="1"/>
  <c r="AK41" i="1" s="1"/>
  <c r="N41" i="1"/>
  <c r="O41" i="1"/>
  <c r="V41" i="1" s="1"/>
  <c r="AS41" i="1"/>
  <c r="AT41" i="1" s="1"/>
  <c r="AW41" i="1"/>
  <c r="AX41" i="1" s="1"/>
  <c r="M45" i="1"/>
  <c r="AJ45" i="1" s="1"/>
  <c r="AK45" i="1" s="1"/>
  <c r="N45" i="1"/>
  <c r="O45" i="1"/>
  <c r="V45" i="1" s="1"/>
  <c r="AS45" i="1"/>
  <c r="AT45" i="1" s="1"/>
  <c r="AW45" i="1"/>
  <c r="AX45" i="1" s="1"/>
  <c r="M46" i="1"/>
  <c r="AJ46" i="1" s="1"/>
  <c r="AK46" i="1" s="1"/>
  <c r="N46" i="1"/>
  <c r="O46" i="1"/>
  <c r="V46" i="1" s="1"/>
  <c r="AS46" i="1"/>
  <c r="AT46" i="1" s="1"/>
  <c r="AW46" i="1"/>
  <c r="AX46" i="1" s="1"/>
  <c r="M47" i="1"/>
  <c r="L47" i="1" s="1"/>
  <c r="N47" i="1"/>
  <c r="O47" i="1"/>
  <c r="AS47" i="1"/>
  <c r="AT47" i="1" s="1"/>
  <c r="AW47" i="1"/>
  <c r="AX47" i="1" s="1"/>
  <c r="M48" i="1"/>
  <c r="L48" i="1" s="1"/>
  <c r="Z48" i="1" s="1"/>
  <c r="AA48" i="1" s="1"/>
  <c r="N48" i="1"/>
  <c r="O48" i="1"/>
  <c r="V48" i="1" s="1"/>
  <c r="AS48" i="1"/>
  <c r="AT48" i="1" s="1"/>
  <c r="AW48" i="1"/>
  <c r="AX48" i="1" s="1"/>
  <c r="AS15" i="1"/>
  <c r="AW15" i="1"/>
  <c r="AX15" i="1" s="1"/>
  <c r="G41" i="1"/>
  <c r="G45" i="1"/>
  <c r="G46" i="1"/>
  <c r="G47" i="1"/>
  <c r="G48" i="1"/>
  <c r="O15" i="1"/>
  <c r="V15" i="1" s="1"/>
  <c r="N15" i="1"/>
  <c r="G15" i="1"/>
  <c r="M15" i="1"/>
  <c r="H68" i="2"/>
  <c r="H67" i="2"/>
  <c r="H66" i="2"/>
  <c r="R63" i="2"/>
  <c r="Q63" i="2"/>
  <c r="P63" i="2"/>
  <c r="O63" i="2"/>
  <c r="N63" i="2"/>
  <c r="C63" i="2"/>
  <c r="I12" i="2"/>
  <c r="F21" i="3" s="1"/>
  <c r="H12" i="2"/>
  <c r="E21" i="3" s="1"/>
  <c r="G12" i="2"/>
  <c r="E12" i="2" s="1"/>
  <c r="F3" i="2"/>
  <c r="AO62" i="1"/>
  <c r="AJ62" i="1"/>
  <c r="AE62" i="1"/>
  <c r="Z62" i="1"/>
  <c r="AO61" i="1"/>
  <c r="AJ61" i="1"/>
  <c r="AE61" i="1"/>
  <c r="Z61" i="1"/>
  <c r="AO60" i="1"/>
  <c r="AJ60" i="1"/>
  <c r="AE60" i="1"/>
  <c r="Z60" i="1"/>
  <c r="AE56" i="1"/>
  <c r="AF56" i="1" s="1"/>
  <c r="AE55" i="1"/>
  <c r="AF55" i="1" s="1"/>
  <c r="AS54" i="1"/>
  <c r="AT54" i="1" s="1"/>
  <c r="P54" i="1"/>
  <c r="O54" i="1"/>
  <c r="N54" i="1"/>
  <c r="M54" i="1"/>
  <c r="G54" i="1"/>
  <c r="W13" i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AA1970" i="7" l="1"/>
  <c r="P21" i="3"/>
  <c r="J21" i="3"/>
  <c r="Q21" i="3"/>
  <c r="K21" i="3"/>
  <c r="L21" i="3"/>
  <c r="AA1900" i="7"/>
  <c r="N1999" i="7"/>
  <c r="N2000" i="7"/>
  <c r="L2031" i="7"/>
  <c r="N2001" i="7"/>
  <c r="L2030" i="7"/>
  <c r="W2025" i="7"/>
  <c r="W2029" i="7" s="1"/>
  <c r="N1985" i="7"/>
  <c r="P1985" i="7" s="1"/>
  <c r="R1985" i="7" s="1"/>
  <c r="N1963" i="7"/>
  <c r="P1963" i="7" s="1"/>
  <c r="R1963" i="7" s="1"/>
  <c r="L2029" i="7"/>
  <c r="AA1933" i="7"/>
  <c r="AA1932" i="7" s="1"/>
  <c r="P2014" i="7"/>
  <c r="R2014" i="7" s="1"/>
  <c r="N1995" i="7"/>
  <c r="AA1995" i="7" s="1"/>
  <c r="P2022" i="7"/>
  <c r="R2022" i="7" s="1"/>
  <c r="W2026" i="7"/>
  <c r="W2030" i="7" s="1"/>
  <c r="AA1924" i="7"/>
  <c r="W2027" i="7"/>
  <c r="W2031" i="7" s="1"/>
  <c r="AA1922" i="7"/>
  <c r="N1992" i="7"/>
  <c r="N1996" i="7"/>
  <c r="AA1996" i="7" s="1"/>
  <c r="AA1957" i="7"/>
  <c r="AA1955" i="7"/>
  <c r="AA1952" i="7" s="1"/>
  <c r="P1987" i="7"/>
  <c r="R1987" i="7" s="1"/>
  <c r="J2043" i="7"/>
  <c r="J2044" i="7"/>
  <c r="J2042" i="7"/>
  <c r="J2047" i="7"/>
  <c r="H2061" i="7"/>
  <c r="H2056" i="7"/>
  <c r="D2051" i="7"/>
  <c r="D2044" i="7"/>
  <c r="D2036" i="7"/>
  <c r="F2060" i="7"/>
  <c r="U2060" i="7" s="1"/>
  <c r="D2042" i="7"/>
  <c r="H2059" i="7"/>
  <c r="H2055" i="7"/>
  <c r="F2059" i="7"/>
  <c r="U2059" i="7" s="1"/>
  <c r="F2055" i="7"/>
  <c r="U2055" i="7" s="1"/>
  <c r="F2061" i="7"/>
  <c r="U2061" i="7" s="1"/>
  <c r="D2061" i="7"/>
  <c r="D2059" i="7"/>
  <c r="F2056" i="7"/>
  <c r="U2056" i="7" s="1"/>
  <c r="D2056" i="7"/>
  <c r="D2047" i="7"/>
  <c r="W2047" i="7" s="1"/>
  <c r="F2042" i="7"/>
  <c r="H2060" i="7"/>
  <c r="D2060" i="7"/>
  <c r="H2057" i="7"/>
  <c r="F2057" i="7"/>
  <c r="U2057" i="7" s="1"/>
  <c r="D2052" i="7"/>
  <c r="D2057" i="7"/>
  <c r="G2036" i="7"/>
  <c r="F2050" i="7"/>
  <c r="F2047" i="7"/>
  <c r="D2055" i="7"/>
  <c r="D2050" i="7"/>
  <c r="F2044" i="7"/>
  <c r="F2052" i="7"/>
  <c r="F2051" i="7"/>
  <c r="U2051" i="7" s="1"/>
  <c r="F2043" i="7"/>
  <c r="U2043" i="7" s="1"/>
  <c r="D2043" i="7"/>
  <c r="U2017" i="7"/>
  <c r="L2017" i="7"/>
  <c r="N2017" i="7" s="1"/>
  <c r="L2025" i="7"/>
  <c r="J2025" i="7"/>
  <c r="J2022" i="7"/>
  <c r="B2102" i="7"/>
  <c r="B2105" i="7"/>
  <c r="B2110" i="7"/>
  <c r="B2104" i="7"/>
  <c r="B2113" i="7"/>
  <c r="B2121" i="7"/>
  <c r="B2116" i="7"/>
  <c r="B2119" i="7"/>
  <c r="B2125" i="7"/>
  <c r="B2115" i="7"/>
  <c r="B2117" i="7"/>
  <c r="B2111" i="7"/>
  <c r="B2103" i="7"/>
  <c r="B2107" i="7"/>
  <c r="B2112" i="7"/>
  <c r="B2120" i="7"/>
  <c r="P2021" i="7"/>
  <c r="R2021" i="7" s="1"/>
  <c r="L2027" i="7"/>
  <c r="J2027" i="7"/>
  <c r="L2012" i="7"/>
  <c r="N2012" i="7" s="1"/>
  <c r="U2012" i="7"/>
  <c r="F2015" i="7"/>
  <c r="L2014" i="7"/>
  <c r="N2014" i="7" s="1"/>
  <c r="U2014" i="7"/>
  <c r="U2015" i="7" s="1"/>
  <c r="J2030" i="7"/>
  <c r="J2031" i="7"/>
  <c r="J2029" i="7"/>
  <c r="N1990" i="7"/>
  <c r="P2013" i="7"/>
  <c r="R2013" i="7" s="1"/>
  <c r="D2015" i="7"/>
  <c r="P2012" i="7"/>
  <c r="R2012" i="7" s="1"/>
  <c r="N1997" i="7"/>
  <c r="AA1997" i="7" s="1"/>
  <c r="U2020" i="7"/>
  <c r="F2023" i="7"/>
  <c r="L2020" i="7"/>
  <c r="W1985" i="7"/>
  <c r="Y2001" i="7"/>
  <c r="Y1999" i="7"/>
  <c r="Y2000" i="7"/>
  <c r="AA2000" i="7" s="1"/>
  <c r="J2026" i="7"/>
  <c r="L2026" i="7"/>
  <c r="D2069" i="7"/>
  <c r="D2067" i="7"/>
  <c r="D2065" i="7"/>
  <c r="D2070" i="7"/>
  <c r="D2071" i="7"/>
  <c r="D2068" i="7"/>
  <c r="A2125" i="7"/>
  <c r="A2117" i="7"/>
  <c r="A2120" i="7"/>
  <c r="A2116" i="7"/>
  <c r="A2110" i="7"/>
  <c r="A2104" i="7"/>
  <c r="A2113" i="7"/>
  <c r="A2111" i="7"/>
  <c r="A2102" i="7"/>
  <c r="A2119" i="7"/>
  <c r="A2107" i="7"/>
  <c r="A2103" i="7"/>
  <c r="C2095" i="7"/>
  <c r="A2112" i="7"/>
  <c r="A2115" i="7"/>
  <c r="A2121" i="7"/>
  <c r="A2105" i="7"/>
  <c r="D2023" i="7"/>
  <c r="W2023" i="7" s="1"/>
  <c r="P2020" i="7"/>
  <c r="R2020" i="7" s="1"/>
  <c r="U2022" i="7"/>
  <c r="U2023" i="7" s="1"/>
  <c r="L2022" i="7"/>
  <c r="Y2047" i="7"/>
  <c r="Y2057" i="7"/>
  <c r="Y2056" i="7"/>
  <c r="Y2051" i="7"/>
  <c r="Y2044" i="7"/>
  <c r="Y2045" i="7" s="1"/>
  <c r="Y2042" i="7"/>
  <c r="Y2050" i="7"/>
  <c r="Y2052" i="7"/>
  <c r="Y2053" i="7" s="1"/>
  <c r="Y2043" i="7"/>
  <c r="Y2055" i="7"/>
  <c r="N2013" i="7"/>
  <c r="J2021" i="7"/>
  <c r="N2021" i="7" s="1"/>
  <c r="J2020" i="7"/>
  <c r="E16" i="3"/>
  <c r="E17" i="3"/>
  <c r="F16" i="3"/>
  <c r="F17" i="3"/>
  <c r="Q17" i="3"/>
  <c r="P17" i="3"/>
  <c r="K17" i="3"/>
  <c r="O17" i="3"/>
  <c r="J17" i="3"/>
  <c r="X53" i="2"/>
  <c r="X21" i="2"/>
  <c r="X50" i="2"/>
  <c r="X17" i="2"/>
  <c r="X22" i="2"/>
  <c r="X45" i="2"/>
  <c r="AZ53" i="2"/>
  <c r="AZ21" i="2"/>
  <c r="AZ50" i="2"/>
  <c r="AZ17" i="2"/>
  <c r="AZ45" i="2"/>
  <c r="AZ22" i="2"/>
  <c r="AU53" i="2"/>
  <c r="AU21" i="2"/>
  <c r="AU17" i="2"/>
  <c r="AU50" i="2"/>
  <c r="AU45" i="2"/>
  <c r="AU22" i="2"/>
  <c r="AU52" i="2"/>
  <c r="AU43" i="2"/>
  <c r="AU16" i="2"/>
  <c r="AU26" i="2"/>
  <c r="AU35" i="2"/>
  <c r="AU24" i="2"/>
  <c r="AU42" i="2"/>
  <c r="AU51" i="2"/>
  <c r="AU34" i="2"/>
  <c r="X26" i="2"/>
  <c r="X42" i="2"/>
  <c r="X52" i="2"/>
  <c r="X34" i="2"/>
  <c r="X43" i="2"/>
  <c r="X51" i="2"/>
  <c r="X35" i="2"/>
  <c r="X24" i="2"/>
  <c r="X16" i="2"/>
  <c r="AZ34" i="2"/>
  <c r="AZ43" i="2"/>
  <c r="AZ24" i="2"/>
  <c r="AZ35" i="2"/>
  <c r="AZ51" i="2"/>
  <c r="AZ16" i="2"/>
  <c r="AZ52" i="2"/>
  <c r="AZ26" i="2"/>
  <c r="AZ42" i="2"/>
  <c r="J16" i="3"/>
  <c r="K16" i="3"/>
  <c r="O16" i="3"/>
  <c r="P16" i="3"/>
  <c r="Q16" i="3"/>
  <c r="AT15" i="1"/>
  <c r="L15" i="1"/>
  <c r="AJ15" i="1"/>
  <c r="AO15" i="1"/>
  <c r="F12" i="2"/>
  <c r="X12" i="2"/>
  <c r="AL12" i="2"/>
  <c r="AY12" i="2"/>
  <c r="AV12" i="2"/>
  <c r="T12" i="2"/>
  <c r="AO43" i="1"/>
  <c r="AP43" i="1" s="1"/>
  <c r="L43" i="1"/>
  <c r="AE43" i="1" s="1"/>
  <c r="AF43" i="1" s="1"/>
  <c r="L42" i="1"/>
  <c r="Z42" i="1" s="1"/>
  <c r="AA42" i="1" s="1"/>
  <c r="L44" i="1"/>
  <c r="AE44" i="1" s="1"/>
  <c r="AF44" i="1" s="1"/>
  <c r="R45" i="1"/>
  <c r="Q43" i="1"/>
  <c r="AJ43" i="1"/>
  <c r="AK43" i="1" s="1"/>
  <c r="Q47" i="1"/>
  <c r="R47" i="1"/>
  <c r="R41" i="1"/>
  <c r="AO44" i="1"/>
  <c r="AP44" i="1" s="1"/>
  <c r="AO42" i="1"/>
  <c r="AP42" i="1" s="1"/>
  <c r="R43" i="1"/>
  <c r="Q46" i="1"/>
  <c r="R46" i="1"/>
  <c r="Q44" i="1"/>
  <c r="Q48" i="1"/>
  <c r="Q42" i="1"/>
  <c r="V43" i="1"/>
  <c r="Q45" i="1"/>
  <c r="Q41" i="1"/>
  <c r="Z43" i="1"/>
  <c r="AA43" i="1" s="1"/>
  <c r="R44" i="1"/>
  <c r="R48" i="1"/>
  <c r="V47" i="1"/>
  <c r="L46" i="1"/>
  <c r="L45" i="1"/>
  <c r="AO48" i="1"/>
  <c r="AP48" i="1" s="1"/>
  <c r="L41" i="1"/>
  <c r="AJ48" i="1"/>
  <c r="AK48" i="1" s="1"/>
  <c r="AO46" i="1"/>
  <c r="AP46" i="1" s="1"/>
  <c r="AO45" i="1"/>
  <c r="AP45" i="1" s="1"/>
  <c r="AO41" i="1"/>
  <c r="AP41" i="1" s="1"/>
  <c r="R42" i="1"/>
  <c r="H63" i="2"/>
  <c r="I63" i="2"/>
  <c r="Z47" i="1"/>
  <c r="AA47" i="1" s="1"/>
  <c r="AE47" i="1"/>
  <c r="AF47" i="1" s="1"/>
  <c r="AE48" i="1"/>
  <c r="AF48" i="1" s="1"/>
  <c r="AO47" i="1"/>
  <c r="AP47" i="1" s="1"/>
  <c r="AJ47" i="1"/>
  <c r="AK47" i="1" s="1"/>
  <c r="R15" i="1"/>
  <c r="Q15" i="1"/>
  <c r="Q54" i="1"/>
  <c r="R54" i="1"/>
  <c r="D22" i="3"/>
  <c r="AJ54" i="1"/>
  <c r="AK54" i="1" s="1"/>
  <c r="AO54" i="1"/>
  <c r="AP54" i="1" s="1"/>
  <c r="L54" i="1"/>
  <c r="V54" i="1"/>
  <c r="AA1999" i="7" l="1"/>
  <c r="AA2001" i="7"/>
  <c r="N2030" i="7"/>
  <c r="N2031" i="7"/>
  <c r="N2029" i="7"/>
  <c r="AA1931" i="7"/>
  <c r="L2061" i="7"/>
  <c r="N2015" i="7"/>
  <c r="P2015" i="7" s="1"/>
  <c r="R2015" i="7" s="1"/>
  <c r="W2057" i="7"/>
  <c r="W2061" i="7" s="1"/>
  <c r="L2059" i="7"/>
  <c r="AA1930" i="7"/>
  <c r="AA1963" i="7"/>
  <c r="AA1961" i="7" s="1"/>
  <c r="L2060" i="7"/>
  <c r="N1993" i="7"/>
  <c r="P1993" i="7" s="1"/>
  <c r="R1993" i="7" s="1"/>
  <c r="P2044" i="7"/>
  <c r="R2044" i="7" s="1"/>
  <c r="AA1954" i="7"/>
  <c r="AA1953" i="7"/>
  <c r="AA1985" i="7"/>
  <c r="AA1982" i="7" s="1"/>
  <c r="N2025" i="7"/>
  <c r="AA2025" i="7" s="1"/>
  <c r="P2052" i="7"/>
  <c r="R2052" i="7" s="1"/>
  <c r="N2027" i="7"/>
  <c r="AA2027" i="7" s="1"/>
  <c r="AA1987" i="7"/>
  <c r="N2022" i="7"/>
  <c r="P2017" i="7"/>
  <c r="R2017" i="7" s="1"/>
  <c r="P2051" i="7"/>
  <c r="R2051" i="7" s="1"/>
  <c r="D2045" i="7"/>
  <c r="P2042" i="7"/>
  <c r="R2042" i="7" s="1"/>
  <c r="H2090" i="7"/>
  <c r="H2085" i="7"/>
  <c r="D2080" i="7"/>
  <c r="D2090" i="7"/>
  <c r="H2086" i="7"/>
  <c r="D2072" i="7"/>
  <c r="D2073" i="7"/>
  <c r="F2086" i="7"/>
  <c r="U2086" i="7" s="1"/>
  <c r="D2082" i="7"/>
  <c r="D2077" i="7"/>
  <c r="W2077" i="7" s="1"/>
  <c r="D2066" i="7"/>
  <c r="F2090" i="7"/>
  <c r="U2090" i="7" s="1"/>
  <c r="D2086" i="7"/>
  <c r="H2091" i="7"/>
  <c r="H2087" i="7"/>
  <c r="D2091" i="7"/>
  <c r="D2087" i="7"/>
  <c r="F2087" i="7"/>
  <c r="U2087" i="7" s="1"/>
  <c r="D2085" i="7"/>
  <c r="F2074" i="7"/>
  <c r="F2072" i="7"/>
  <c r="F2081" i="7"/>
  <c r="U2081" i="7" s="1"/>
  <c r="D2074" i="7"/>
  <c r="G2066" i="7"/>
  <c r="W2087" i="7" s="1"/>
  <c r="W2091" i="7" s="1"/>
  <c r="H2089" i="7"/>
  <c r="F2089" i="7"/>
  <c r="U2089" i="7" s="1"/>
  <c r="F2091" i="7"/>
  <c r="U2091" i="7" s="1"/>
  <c r="F2077" i="7"/>
  <c r="F2085" i="7"/>
  <c r="U2085" i="7" s="1"/>
  <c r="F2082" i="7"/>
  <c r="F2073" i="7"/>
  <c r="U2073" i="7" s="1"/>
  <c r="D2081" i="7"/>
  <c r="D2089" i="7"/>
  <c r="F2080" i="7"/>
  <c r="B2145" i="7"/>
  <c r="B2141" i="7"/>
  <c r="B2135" i="7"/>
  <c r="B2132" i="7"/>
  <c r="B2155" i="7"/>
  <c r="B2150" i="7"/>
  <c r="B2137" i="7"/>
  <c r="B2147" i="7"/>
  <c r="B2140" i="7"/>
  <c r="B2143" i="7"/>
  <c r="B2134" i="7"/>
  <c r="B2133" i="7"/>
  <c r="B2149" i="7"/>
  <c r="B2151" i="7"/>
  <c r="B2146" i="7"/>
  <c r="B2142" i="7"/>
  <c r="P2043" i="7"/>
  <c r="R2043" i="7" s="1"/>
  <c r="U2042" i="7"/>
  <c r="F2045" i="7"/>
  <c r="L2042" i="7"/>
  <c r="N2042" i="7" s="1"/>
  <c r="L2052" i="7"/>
  <c r="U2052" i="7"/>
  <c r="U2053" i="7" s="1"/>
  <c r="J2061" i="7"/>
  <c r="J2059" i="7"/>
  <c r="J2060" i="7"/>
  <c r="L2057" i="7"/>
  <c r="J2057" i="7"/>
  <c r="J2077" i="7"/>
  <c r="J2074" i="7"/>
  <c r="J2072" i="7"/>
  <c r="J2073" i="7"/>
  <c r="W2055" i="7"/>
  <c r="W2059" i="7" s="1"/>
  <c r="U2044" i="7"/>
  <c r="U2045" i="7" s="1"/>
  <c r="L2044" i="7"/>
  <c r="N2044" i="7" s="1"/>
  <c r="N2020" i="7"/>
  <c r="W2056" i="7"/>
  <c r="W2060" i="7" s="1"/>
  <c r="L2055" i="7"/>
  <c r="J2055" i="7"/>
  <c r="J2051" i="7"/>
  <c r="N2051" i="7" s="1"/>
  <c r="N2043" i="7"/>
  <c r="J2050" i="7"/>
  <c r="Y2029" i="7"/>
  <c r="Y2031" i="7"/>
  <c r="AA2031" i="7" s="1"/>
  <c r="W2015" i="7"/>
  <c r="Y2030" i="7"/>
  <c r="P2050" i="7"/>
  <c r="R2050" i="7" s="1"/>
  <c r="D2053" i="7"/>
  <c r="W2053" i="7" s="1"/>
  <c r="U2047" i="7"/>
  <c r="L2047" i="7"/>
  <c r="N2047" i="7" s="1"/>
  <c r="A2151" i="7"/>
  <c r="A2146" i="7"/>
  <c r="A2145" i="7"/>
  <c r="A2141" i="7"/>
  <c r="A2135" i="7"/>
  <c r="A2150" i="7"/>
  <c r="A2155" i="7"/>
  <c r="A2137" i="7"/>
  <c r="A2147" i="7"/>
  <c r="A2142" i="7"/>
  <c r="A2140" i="7"/>
  <c r="A2143" i="7"/>
  <c r="A2134" i="7"/>
  <c r="C2125" i="7"/>
  <c r="A2132" i="7"/>
  <c r="A2133" i="7"/>
  <c r="A2149" i="7"/>
  <c r="Y2087" i="7"/>
  <c r="Y2072" i="7"/>
  <c r="Y2085" i="7"/>
  <c r="Y2081" i="7"/>
  <c r="Y2074" i="7"/>
  <c r="Y2075" i="7" s="1"/>
  <c r="Y2086" i="7"/>
  <c r="Y2073" i="7"/>
  <c r="Y2077" i="7"/>
  <c r="Y2082" i="7"/>
  <c r="Y2083" i="7" s="1"/>
  <c r="Y2080" i="7"/>
  <c r="D2101" i="7"/>
  <c r="D2099" i="7"/>
  <c r="D2100" i="7"/>
  <c r="D2098" i="7"/>
  <c r="D2097" i="7"/>
  <c r="D2095" i="7"/>
  <c r="J2056" i="7"/>
  <c r="L2056" i="7"/>
  <c r="N2026" i="7"/>
  <c r="AA2026" i="7" s="1"/>
  <c r="J2052" i="7"/>
  <c r="L2050" i="7"/>
  <c r="U2050" i="7"/>
  <c r="F2053" i="7"/>
  <c r="AV53" i="2"/>
  <c r="AV21" i="2"/>
  <c r="AV17" i="2"/>
  <c r="AV50" i="2"/>
  <c r="AV45" i="2"/>
  <c r="AV22" i="2"/>
  <c r="AL53" i="2"/>
  <c r="AL21" i="2"/>
  <c r="AL50" i="2"/>
  <c r="AL17" i="2"/>
  <c r="AL45" i="2"/>
  <c r="AL22" i="2"/>
  <c r="L20" i="3"/>
  <c r="AG53" i="2"/>
  <c r="AG21" i="2"/>
  <c r="AG50" i="2"/>
  <c r="AG17" i="2"/>
  <c r="AG22" i="2"/>
  <c r="AG45" i="2"/>
  <c r="L17" i="3"/>
  <c r="L19" i="3"/>
  <c r="T53" i="2"/>
  <c r="M53" i="2" s="1"/>
  <c r="S53" i="2" s="1"/>
  <c r="T21" i="2"/>
  <c r="M21" i="2" s="1"/>
  <c r="S21" i="2" s="1"/>
  <c r="T17" i="2"/>
  <c r="M17" i="2" s="1"/>
  <c r="S17" i="2" s="1"/>
  <c r="T50" i="2"/>
  <c r="M50" i="2" s="1"/>
  <c r="S50" i="2" s="1"/>
  <c r="T45" i="2"/>
  <c r="M45" i="2" s="1"/>
  <c r="S45" i="2" s="1"/>
  <c r="T22" i="2"/>
  <c r="M22" i="2" s="1"/>
  <c r="S22" i="2" s="1"/>
  <c r="U53" i="2"/>
  <c r="U21" i="2"/>
  <c r="U50" i="2"/>
  <c r="U17" i="2"/>
  <c r="U22" i="2"/>
  <c r="U45" i="2"/>
  <c r="AQ53" i="2"/>
  <c r="AQ21" i="2"/>
  <c r="AQ17" i="2"/>
  <c r="AQ50" i="2"/>
  <c r="AQ22" i="2"/>
  <c r="AQ45" i="2"/>
  <c r="L16" i="3"/>
  <c r="Z15" i="1"/>
  <c r="AA15" i="1" s="1"/>
  <c r="AV51" i="2"/>
  <c r="AV35" i="2"/>
  <c r="AV34" i="2"/>
  <c r="AV43" i="2"/>
  <c r="AV16" i="2"/>
  <c r="AV26" i="2"/>
  <c r="AV52" i="2"/>
  <c r="AV24" i="2"/>
  <c r="AV42" i="2"/>
  <c r="L11" i="3"/>
  <c r="AQ42" i="2"/>
  <c r="AQ16" i="2"/>
  <c r="AQ51" i="2"/>
  <c r="AQ34" i="2"/>
  <c r="AQ26" i="2"/>
  <c r="AQ52" i="2"/>
  <c r="AQ24" i="2"/>
  <c r="AQ35" i="2"/>
  <c r="AQ43" i="2"/>
  <c r="AG51" i="2"/>
  <c r="AG34" i="2"/>
  <c r="AG26" i="2"/>
  <c r="AG16" i="2"/>
  <c r="AG35" i="2"/>
  <c r="AG52" i="2"/>
  <c r="AG43" i="2"/>
  <c r="AG42" i="2"/>
  <c r="AG24" i="2"/>
  <c r="AB35" i="2"/>
  <c r="AB26" i="2"/>
  <c r="AB42" i="2"/>
  <c r="AB43" i="2"/>
  <c r="AB24" i="2"/>
  <c r="AB52" i="2"/>
  <c r="AB34" i="2"/>
  <c r="T43" i="2"/>
  <c r="M43" i="2" s="1"/>
  <c r="S43" i="2" s="1"/>
  <c r="T24" i="2"/>
  <c r="T34" i="2"/>
  <c r="T35" i="2"/>
  <c r="B12" i="3" s="1"/>
  <c r="T51" i="2"/>
  <c r="M51" i="2" s="1"/>
  <c r="S51" i="2" s="1"/>
  <c r="T16" i="2"/>
  <c r="T42" i="2"/>
  <c r="M42" i="2" s="1"/>
  <c r="S42" i="2" s="1"/>
  <c r="T26" i="2"/>
  <c r="M26" i="2" s="1"/>
  <c r="S26" i="2" s="1"/>
  <c r="T52" i="2"/>
  <c r="M52" i="2" s="1"/>
  <c r="S52" i="2" s="1"/>
  <c r="U52" i="2"/>
  <c r="U43" i="2"/>
  <c r="U24" i="2"/>
  <c r="U35" i="2"/>
  <c r="C12" i="3" s="1"/>
  <c r="U51" i="2"/>
  <c r="U26" i="2"/>
  <c r="U34" i="2"/>
  <c r="U16" i="2"/>
  <c r="U42" i="2"/>
  <c r="AL52" i="2"/>
  <c r="AL43" i="2"/>
  <c r="AL24" i="2"/>
  <c r="AL42" i="2"/>
  <c r="AL26" i="2"/>
  <c r="AL51" i="2"/>
  <c r="AL34" i="2"/>
  <c r="AL16" i="2"/>
  <c r="AL35" i="2"/>
  <c r="J12" i="2"/>
  <c r="I21" i="3" s="1"/>
  <c r="F63" i="2"/>
  <c r="AF15" i="1"/>
  <c r="AZ12" i="2"/>
  <c r="L12" i="2"/>
  <c r="G21" i="3" s="1"/>
  <c r="U12" i="2"/>
  <c r="K12" i="2"/>
  <c r="H21" i="3" s="1"/>
  <c r="AQ12" i="2"/>
  <c r="AK15" i="1"/>
  <c r="E22" i="3"/>
  <c r="H20" i="25" s="1"/>
  <c r="F22" i="3"/>
  <c r="H22" i="25" s="1"/>
  <c r="J22" i="3"/>
  <c r="H5" i="15" s="1"/>
  <c r="H49" i="15" s="1"/>
  <c r="Q22" i="3"/>
  <c r="O5" i="15" s="1"/>
  <c r="O49" i="15" s="1"/>
  <c r="AP15" i="1"/>
  <c r="P22" i="3"/>
  <c r="N5" i="15" s="1"/>
  <c r="N49" i="15" s="1"/>
  <c r="Z44" i="1"/>
  <c r="AA44" i="1" s="1"/>
  <c r="AE42" i="1"/>
  <c r="AF42" i="1" s="1"/>
  <c r="AE45" i="1"/>
  <c r="AF45" i="1" s="1"/>
  <c r="Z45" i="1"/>
  <c r="AA45" i="1" s="1"/>
  <c r="AE46" i="1"/>
  <c r="AF46" i="1" s="1"/>
  <c r="Z46" i="1"/>
  <c r="AA46" i="1" s="1"/>
  <c r="AE41" i="1"/>
  <c r="AF41" i="1" s="1"/>
  <c r="Z41" i="1"/>
  <c r="AA41" i="1" s="1"/>
  <c r="AE54" i="1"/>
  <c r="AF54" i="1" s="1"/>
  <c r="Z54" i="1"/>
  <c r="AA54" i="1" s="1"/>
  <c r="AW54" i="1"/>
  <c r="AX54" i="1" s="1"/>
  <c r="AA2029" i="7" l="1"/>
  <c r="AA2030" i="7"/>
  <c r="H21" i="25"/>
  <c r="O20" i="25"/>
  <c r="B19" i="3"/>
  <c r="H84" i="24" s="1"/>
  <c r="B13" i="3"/>
  <c r="H48" i="24" s="1"/>
  <c r="C13" i="3"/>
  <c r="C18" i="3"/>
  <c r="T12" i="3"/>
  <c r="B21" i="3"/>
  <c r="H96" i="24" s="1"/>
  <c r="B18" i="3"/>
  <c r="N2059" i="7"/>
  <c r="L2089" i="7"/>
  <c r="N2061" i="7"/>
  <c r="L2090" i="7"/>
  <c r="L2091" i="7"/>
  <c r="N2060" i="7"/>
  <c r="N2045" i="7"/>
  <c r="P2045" i="7" s="1"/>
  <c r="R2045" i="7" s="1"/>
  <c r="AA1962" i="7"/>
  <c r="AA1960" i="7"/>
  <c r="AA1993" i="7"/>
  <c r="AA1990" i="7" s="1"/>
  <c r="N2023" i="7"/>
  <c r="P2023" i="7" s="1"/>
  <c r="R2023" i="7" s="1"/>
  <c r="AA1984" i="7"/>
  <c r="AA1983" i="7"/>
  <c r="N2052" i="7"/>
  <c r="N2055" i="7"/>
  <c r="AA2055" i="7" s="1"/>
  <c r="AA2017" i="7"/>
  <c r="P2073" i="7"/>
  <c r="R2073" i="7" s="1"/>
  <c r="W2086" i="7"/>
  <c r="W2090" i="7" s="1"/>
  <c r="W2085" i="7"/>
  <c r="W2089" i="7" s="1"/>
  <c r="P2074" i="7"/>
  <c r="R2074" i="7" s="1"/>
  <c r="N2050" i="7"/>
  <c r="P2047" i="7"/>
  <c r="R2047" i="7" s="1"/>
  <c r="U2074" i="7"/>
  <c r="U2075" i="7" s="1"/>
  <c r="L2074" i="7"/>
  <c r="N2074" i="7" s="1"/>
  <c r="U2080" i="7"/>
  <c r="F2083" i="7"/>
  <c r="L2080" i="7"/>
  <c r="J2102" i="7"/>
  <c r="J2104" i="7"/>
  <c r="J2107" i="7"/>
  <c r="J2103" i="7"/>
  <c r="N2057" i="7"/>
  <c r="AA2057" i="7" s="1"/>
  <c r="J2087" i="7"/>
  <c r="L2087" i="7"/>
  <c r="A2172" i="7"/>
  <c r="A2185" i="7"/>
  <c r="A2177" i="7"/>
  <c r="A2170" i="7"/>
  <c r="A2181" i="7"/>
  <c r="A2179" i="7"/>
  <c r="A2176" i="7"/>
  <c r="A2165" i="7"/>
  <c r="A2163" i="7"/>
  <c r="A2175" i="7"/>
  <c r="A2173" i="7"/>
  <c r="A2167" i="7"/>
  <c r="A2171" i="7"/>
  <c r="C2155" i="7"/>
  <c r="A2180" i="7"/>
  <c r="A2164" i="7"/>
  <c r="A2162" i="7"/>
  <c r="J2082" i="7"/>
  <c r="L2085" i="7"/>
  <c r="J2085" i="7"/>
  <c r="D2130" i="7"/>
  <c r="D2128" i="7"/>
  <c r="D2125" i="7"/>
  <c r="D2131" i="7"/>
  <c r="D2129" i="7"/>
  <c r="D2127" i="7"/>
  <c r="L2082" i="7"/>
  <c r="U2082" i="7"/>
  <c r="U2083" i="7" s="1"/>
  <c r="Y2060" i="7"/>
  <c r="Y2061" i="7"/>
  <c r="W2045" i="7"/>
  <c r="Y2059" i="7"/>
  <c r="J2081" i="7"/>
  <c r="N2081" i="7" s="1"/>
  <c r="N2073" i="7"/>
  <c r="H2119" i="7"/>
  <c r="F2107" i="7"/>
  <c r="H2120" i="7"/>
  <c r="F2120" i="7"/>
  <c r="U2120" i="7" s="1"/>
  <c r="D2120" i="7"/>
  <c r="H2116" i="7"/>
  <c r="D2102" i="7"/>
  <c r="F2110" i="7"/>
  <c r="F2104" i="7"/>
  <c r="H2117" i="7"/>
  <c r="F2117" i="7"/>
  <c r="U2117" i="7" s="1"/>
  <c r="H2121" i="7"/>
  <c r="D2117" i="7"/>
  <c r="H2115" i="7"/>
  <c r="D2111" i="7"/>
  <c r="D2119" i="7"/>
  <c r="D2115" i="7"/>
  <c r="F2103" i="7"/>
  <c r="U2103" i="7" s="1"/>
  <c r="F2116" i="7"/>
  <c r="U2116" i="7" s="1"/>
  <c r="F2102" i="7"/>
  <c r="D2116" i="7"/>
  <c r="D2110" i="7"/>
  <c r="F2119" i="7"/>
  <c r="U2119" i="7" s="1"/>
  <c r="F2112" i="7"/>
  <c r="D2112" i="7"/>
  <c r="D2121" i="7"/>
  <c r="D2107" i="7"/>
  <c r="W2107" i="7" s="1"/>
  <c r="F2111" i="7"/>
  <c r="U2111" i="7" s="1"/>
  <c r="D2103" i="7"/>
  <c r="F2115" i="7"/>
  <c r="U2115" i="7" s="1"/>
  <c r="D2104" i="7"/>
  <c r="G2096" i="7"/>
  <c r="D2096" i="7"/>
  <c r="F2121" i="7"/>
  <c r="U2121" i="7" s="1"/>
  <c r="U2077" i="7"/>
  <c r="L2077" i="7"/>
  <c r="N2077" i="7" s="1"/>
  <c r="L2072" i="7"/>
  <c r="N2072" i="7" s="1"/>
  <c r="U2072" i="7"/>
  <c r="F2075" i="7"/>
  <c r="P2080" i="7"/>
  <c r="R2080" i="7" s="1"/>
  <c r="D2083" i="7"/>
  <c r="W2083" i="7" s="1"/>
  <c r="P2081" i="7"/>
  <c r="R2081" i="7" s="1"/>
  <c r="Y2104" i="7"/>
  <c r="Y2105" i="7" s="1"/>
  <c r="Y2111" i="7"/>
  <c r="Y2115" i="7"/>
  <c r="Y2116" i="7"/>
  <c r="Y2107" i="7"/>
  <c r="Y2110" i="7"/>
  <c r="Y2103" i="7"/>
  <c r="Y2102" i="7"/>
  <c r="Y2112" i="7"/>
  <c r="Y2113" i="7" s="1"/>
  <c r="Y2117" i="7"/>
  <c r="L2086" i="7"/>
  <c r="J2086" i="7"/>
  <c r="J2090" i="7"/>
  <c r="J2089" i="7"/>
  <c r="J2091" i="7"/>
  <c r="P2082" i="7"/>
  <c r="R2082" i="7" s="1"/>
  <c r="P2072" i="7"/>
  <c r="R2072" i="7" s="1"/>
  <c r="D2075" i="7"/>
  <c r="J2080" i="7"/>
  <c r="N2056" i="7"/>
  <c r="AA2056" i="7" s="1"/>
  <c r="AA2015" i="7"/>
  <c r="B2185" i="7"/>
  <c r="B2177" i="7"/>
  <c r="B2171" i="7"/>
  <c r="B2165" i="7"/>
  <c r="B2162" i="7"/>
  <c r="B2181" i="7"/>
  <c r="B2175" i="7"/>
  <c r="B2172" i="7"/>
  <c r="B2170" i="7"/>
  <c r="B2173" i="7"/>
  <c r="B2179" i="7"/>
  <c r="B2167" i="7"/>
  <c r="B2163" i="7"/>
  <c r="B2176" i="7"/>
  <c r="B2164" i="7"/>
  <c r="B2180" i="7"/>
  <c r="H23" i="25"/>
  <c r="D22" i="25"/>
  <c r="F22" i="25" s="1"/>
  <c r="O22" i="25"/>
  <c r="B11" i="3"/>
  <c r="H36" i="24" s="1"/>
  <c r="M35" i="2"/>
  <c r="S35" i="2" s="1"/>
  <c r="AH53" i="2"/>
  <c r="AH21" i="2"/>
  <c r="AH50" i="2"/>
  <c r="AH17" i="2"/>
  <c r="AH22" i="2"/>
  <c r="M19" i="3" s="1"/>
  <c r="AH45" i="2"/>
  <c r="C17" i="3"/>
  <c r="C19" i="3"/>
  <c r="T19" i="3" s="1"/>
  <c r="C21" i="3"/>
  <c r="T21" i="3" s="1"/>
  <c r="M24" i="2"/>
  <c r="S24" i="2" s="1"/>
  <c r="B20" i="3"/>
  <c r="H90" i="24" s="1"/>
  <c r="AB53" i="2"/>
  <c r="AB21" i="2"/>
  <c r="AB50" i="2"/>
  <c r="AB17" i="2"/>
  <c r="AB45" i="2"/>
  <c r="AB22" i="2"/>
  <c r="I16" i="3"/>
  <c r="I17" i="3"/>
  <c r="G16" i="3"/>
  <c r="G17" i="3"/>
  <c r="AR53" i="2"/>
  <c r="AR21" i="2"/>
  <c r="AR50" i="2"/>
  <c r="AR17" i="2"/>
  <c r="AR22" i="2"/>
  <c r="AR45" i="2"/>
  <c r="C20" i="3"/>
  <c r="AM53" i="2"/>
  <c r="AM21" i="2"/>
  <c r="AM50" i="2"/>
  <c r="AM17" i="2"/>
  <c r="AM45" i="2"/>
  <c r="AM22" i="2"/>
  <c r="AC53" i="2"/>
  <c r="AC21" i="2"/>
  <c r="AC50" i="2"/>
  <c r="AC45" i="2"/>
  <c r="AC22" i="2"/>
  <c r="AC17" i="2"/>
  <c r="AB16" i="2"/>
  <c r="H16" i="3"/>
  <c r="H17" i="3"/>
  <c r="AB51" i="2"/>
  <c r="C16" i="3"/>
  <c r="B17" i="3"/>
  <c r="H72" i="24" s="1"/>
  <c r="B16" i="3"/>
  <c r="H66" i="24" s="1"/>
  <c r="M34" i="2"/>
  <c r="S34" i="2" s="1"/>
  <c r="AH16" i="2"/>
  <c r="AH24" i="2"/>
  <c r="M20" i="3" s="1"/>
  <c r="AH42" i="2"/>
  <c r="AH51" i="2"/>
  <c r="AH35" i="2"/>
  <c r="AH26" i="2"/>
  <c r="AH43" i="2"/>
  <c r="AH34" i="2"/>
  <c r="M18" i="3" s="1"/>
  <c r="AH52" i="2"/>
  <c r="AR34" i="2"/>
  <c r="AR35" i="2"/>
  <c r="N12" i="3" s="1"/>
  <c r="AR43" i="2"/>
  <c r="AR42" i="2"/>
  <c r="AR26" i="2"/>
  <c r="AR52" i="2"/>
  <c r="AR51" i="2"/>
  <c r="AR24" i="2"/>
  <c r="AR16" i="2"/>
  <c r="M16" i="2"/>
  <c r="S16" i="2" s="1"/>
  <c r="C11" i="3"/>
  <c r="AC35" i="2"/>
  <c r="M12" i="3" s="1"/>
  <c r="AC51" i="2"/>
  <c r="AC16" i="2"/>
  <c r="AC43" i="2"/>
  <c r="AC42" i="2"/>
  <c r="AC24" i="2"/>
  <c r="AC26" i="2"/>
  <c r="AC52" i="2"/>
  <c r="AC34" i="2"/>
  <c r="AM26" i="2"/>
  <c r="AM42" i="2"/>
  <c r="AM52" i="2"/>
  <c r="AM43" i="2"/>
  <c r="AM51" i="2"/>
  <c r="AM34" i="2"/>
  <c r="AM16" i="2"/>
  <c r="AM24" i="2"/>
  <c r="AM35" i="2"/>
  <c r="AR12" i="2"/>
  <c r="AH12" i="2"/>
  <c r="AB12" i="2"/>
  <c r="AM12" i="2"/>
  <c r="N21" i="3" s="1"/>
  <c r="M12" i="2"/>
  <c r="S12" i="2" s="1"/>
  <c r="AG12" i="2"/>
  <c r="J63" i="2"/>
  <c r="T63" i="2"/>
  <c r="AZ63" i="2"/>
  <c r="L63" i="2"/>
  <c r="AV63" i="2"/>
  <c r="K63" i="2"/>
  <c r="X63" i="2"/>
  <c r="U63" i="2"/>
  <c r="T13" i="3" l="1"/>
  <c r="T18" i="3"/>
  <c r="H78" i="24"/>
  <c r="AH48" i="24"/>
  <c r="K48" i="24" s="1"/>
  <c r="D48" i="24"/>
  <c r="D84" i="24"/>
  <c r="O21" i="25"/>
  <c r="D21" i="25"/>
  <c r="F21" i="25" s="1"/>
  <c r="D66" i="24"/>
  <c r="AH84" i="24"/>
  <c r="K84" i="24" s="1"/>
  <c r="D72" i="24"/>
  <c r="M35" i="25"/>
  <c r="M36" i="25" s="1"/>
  <c r="N2091" i="7"/>
  <c r="AA2061" i="7"/>
  <c r="N17" i="3"/>
  <c r="R12" i="3"/>
  <c r="U12" i="3" s="1"/>
  <c r="M21" i="3"/>
  <c r="N18" i="3"/>
  <c r="R18" i="3" s="1"/>
  <c r="U18" i="3" s="1"/>
  <c r="N20" i="3"/>
  <c r="R20" i="3" s="1"/>
  <c r="U20" i="3" s="1"/>
  <c r="M13" i="3"/>
  <c r="N13" i="3"/>
  <c r="N19" i="3"/>
  <c r="R19" i="3" s="1"/>
  <c r="U19" i="3" s="1"/>
  <c r="AF84" i="24" s="1"/>
  <c r="I84" i="24" s="1"/>
  <c r="I35" i="25"/>
  <c r="I36" i="25" s="1"/>
  <c r="K35" i="25"/>
  <c r="K36" i="25" s="1"/>
  <c r="L35" i="25"/>
  <c r="L36" i="25" s="1"/>
  <c r="AA2059" i="7"/>
  <c r="L2120" i="7"/>
  <c r="N2089" i="7"/>
  <c r="N2090" i="7"/>
  <c r="AA2023" i="7"/>
  <c r="AA2021" i="7" s="1"/>
  <c r="AA1992" i="7"/>
  <c r="AA1991" i="7"/>
  <c r="L2121" i="7"/>
  <c r="N2075" i="7"/>
  <c r="P2075" i="7" s="1"/>
  <c r="R2075" i="7" s="1"/>
  <c r="W2117" i="7"/>
  <c r="W2121" i="7" s="1"/>
  <c r="L2119" i="7"/>
  <c r="AA2060" i="7"/>
  <c r="N2053" i="7"/>
  <c r="P2053" i="7" s="1"/>
  <c r="R2053" i="7" s="1"/>
  <c r="W2116" i="7"/>
  <c r="W2120" i="7" s="1"/>
  <c r="W2115" i="7"/>
  <c r="W2119" i="7" s="1"/>
  <c r="N2085" i="7"/>
  <c r="AA2085" i="7" s="1"/>
  <c r="AA2047" i="7"/>
  <c r="N2080" i="7"/>
  <c r="N2086" i="7"/>
  <c r="AA2086" i="7" s="1"/>
  <c r="P2112" i="7"/>
  <c r="R2112" i="7" s="1"/>
  <c r="P2103" i="7"/>
  <c r="R2103" i="7" s="1"/>
  <c r="L2117" i="7"/>
  <c r="J2117" i="7"/>
  <c r="P2077" i="7"/>
  <c r="R2077" i="7" s="1"/>
  <c r="L2112" i="7"/>
  <c r="U2112" i="7"/>
  <c r="U2113" i="7" s="1"/>
  <c r="F2113" i="7"/>
  <c r="L2110" i="7"/>
  <c r="U2110" i="7"/>
  <c r="N2103" i="7"/>
  <c r="J2111" i="7"/>
  <c r="N2111" i="7" s="1"/>
  <c r="A2211" i="7"/>
  <c r="A2206" i="7"/>
  <c r="A2201" i="7"/>
  <c r="A2215" i="7"/>
  <c r="A2194" i="7"/>
  <c r="A2200" i="7"/>
  <c r="A2192" i="7"/>
  <c r="A2210" i="7"/>
  <c r="A2203" i="7"/>
  <c r="A2195" i="7"/>
  <c r="A2202" i="7"/>
  <c r="A2205" i="7"/>
  <c r="A2197" i="7"/>
  <c r="A2207" i="7"/>
  <c r="A2209" i="7"/>
  <c r="C2185" i="7"/>
  <c r="A2193" i="7"/>
  <c r="J2134" i="7"/>
  <c r="J2132" i="7"/>
  <c r="J2133" i="7"/>
  <c r="J2137" i="7"/>
  <c r="D2161" i="7"/>
  <c r="D2155" i="7"/>
  <c r="D2159" i="7"/>
  <c r="D2157" i="7"/>
  <c r="D2158" i="7"/>
  <c r="D2160" i="7"/>
  <c r="H2147" i="7"/>
  <c r="F2142" i="7"/>
  <c r="H2150" i="7"/>
  <c r="F2132" i="7"/>
  <c r="F2150" i="7"/>
  <c r="U2150" i="7" s="1"/>
  <c r="D2132" i="7"/>
  <c r="D2150" i="7"/>
  <c r="H2146" i="7"/>
  <c r="D2141" i="7"/>
  <c r="F2137" i="7"/>
  <c r="D2147" i="7"/>
  <c r="F2134" i="7"/>
  <c r="H2145" i="7"/>
  <c r="D2134" i="7"/>
  <c r="H2151" i="7"/>
  <c r="F2140" i="7"/>
  <c r="D2151" i="7"/>
  <c r="H2149" i="7"/>
  <c r="D2140" i="7"/>
  <c r="G2126" i="7"/>
  <c r="D2126" i="7"/>
  <c r="F2146" i="7"/>
  <c r="U2146" i="7" s="1"/>
  <c r="D2146" i="7"/>
  <c r="D2142" i="7"/>
  <c r="D2137" i="7"/>
  <c r="W2137" i="7" s="1"/>
  <c r="F2149" i="7"/>
  <c r="U2149" i="7" s="1"/>
  <c r="D2149" i="7"/>
  <c r="F2145" i="7"/>
  <c r="U2145" i="7" s="1"/>
  <c r="D2145" i="7"/>
  <c r="F2141" i="7"/>
  <c r="U2141" i="7" s="1"/>
  <c r="F2147" i="7"/>
  <c r="U2147" i="7" s="1"/>
  <c r="F2133" i="7"/>
  <c r="U2133" i="7" s="1"/>
  <c r="D2133" i="7"/>
  <c r="F2151" i="7"/>
  <c r="U2151" i="7" s="1"/>
  <c r="L2104" i="7"/>
  <c r="N2104" i="7" s="1"/>
  <c r="U2104" i="7"/>
  <c r="U2105" i="7" s="1"/>
  <c r="Y2140" i="7"/>
  <c r="Y2133" i="7"/>
  <c r="Y2147" i="7"/>
  <c r="Y2141" i="7"/>
  <c r="Y2146" i="7"/>
  <c r="Y2142" i="7"/>
  <c r="Y2143" i="7" s="1"/>
  <c r="Y2137" i="7"/>
  <c r="Y2145" i="7"/>
  <c r="Y2132" i="7"/>
  <c r="Y2134" i="7"/>
  <c r="Y2135" i="7" s="1"/>
  <c r="Y2091" i="7"/>
  <c r="Y2089" i="7"/>
  <c r="Y2090" i="7"/>
  <c r="W2075" i="7"/>
  <c r="L2115" i="7"/>
  <c r="J2115" i="7"/>
  <c r="AA2012" i="7"/>
  <c r="AA2014" i="7"/>
  <c r="AA2013" i="7"/>
  <c r="N2087" i="7"/>
  <c r="AA2087" i="7" s="1"/>
  <c r="D2105" i="7"/>
  <c r="P2102" i="7"/>
  <c r="R2102" i="7" s="1"/>
  <c r="D2113" i="7"/>
  <c r="W2113" i="7" s="1"/>
  <c r="P2110" i="7"/>
  <c r="R2110" i="7" s="1"/>
  <c r="J2112" i="7"/>
  <c r="B2211" i="7"/>
  <c r="B2206" i="7"/>
  <c r="B2200" i="7"/>
  <c r="B2192" i="7"/>
  <c r="B2210" i="7"/>
  <c r="B2203" i="7"/>
  <c r="B2195" i="7"/>
  <c r="B2215" i="7"/>
  <c r="B2209" i="7"/>
  <c r="B2205" i="7"/>
  <c r="B2197" i="7"/>
  <c r="B2202" i="7"/>
  <c r="B2194" i="7"/>
  <c r="B2201" i="7"/>
  <c r="B2207" i="7"/>
  <c r="B2193" i="7"/>
  <c r="J2121" i="7"/>
  <c r="J2119" i="7"/>
  <c r="J2120" i="7"/>
  <c r="P2104" i="7"/>
  <c r="R2104" i="7" s="1"/>
  <c r="P2111" i="7"/>
  <c r="R2111" i="7" s="1"/>
  <c r="L2116" i="7"/>
  <c r="J2116" i="7"/>
  <c r="J2110" i="7"/>
  <c r="AA2045" i="7"/>
  <c r="L2102" i="7"/>
  <c r="N2102" i="7" s="1"/>
  <c r="U2102" i="7"/>
  <c r="F2105" i="7"/>
  <c r="U2107" i="7"/>
  <c r="L2107" i="7"/>
  <c r="N2107" i="7" s="1"/>
  <c r="N2082" i="7"/>
  <c r="D96" i="24"/>
  <c r="O23" i="25"/>
  <c r="D23" i="25"/>
  <c r="F23" i="25" s="1"/>
  <c r="I22" i="3"/>
  <c r="H27" i="24" s="1"/>
  <c r="J286" i="24" s="1"/>
  <c r="J287" i="24" s="1"/>
  <c r="T16" i="3"/>
  <c r="BA17" i="2"/>
  <c r="BA45" i="2"/>
  <c r="BA50" i="2"/>
  <c r="BA22" i="2"/>
  <c r="D90" i="24"/>
  <c r="BA21" i="2"/>
  <c r="T20" i="3"/>
  <c r="BA53" i="2"/>
  <c r="M11" i="3"/>
  <c r="N16" i="3"/>
  <c r="BA43" i="2"/>
  <c r="BA35" i="2"/>
  <c r="BA52" i="2"/>
  <c r="N11" i="3"/>
  <c r="BA16" i="2"/>
  <c r="BA26" i="2"/>
  <c r="BA51" i="2"/>
  <c r="BA24" i="2"/>
  <c r="BA34" i="2"/>
  <c r="BA42" i="2"/>
  <c r="D36" i="24"/>
  <c r="R34" i="25"/>
  <c r="X34" i="25"/>
  <c r="D13" i="24"/>
  <c r="O13" i="24"/>
  <c r="O20" i="24" s="1"/>
  <c r="O29" i="23" s="1"/>
  <c r="T17" i="3"/>
  <c r="T11" i="3"/>
  <c r="G22" i="3"/>
  <c r="H22" i="3"/>
  <c r="C22" i="3"/>
  <c r="G5" i="15" s="1"/>
  <c r="AM63" i="2"/>
  <c r="B22" i="3"/>
  <c r="D5" i="15" s="1"/>
  <c r="M63" i="2"/>
  <c r="AR63" i="2"/>
  <c r="F13" i="24" l="1"/>
  <c r="F20" i="24" s="1"/>
  <c r="F29" i="23" s="1"/>
  <c r="AA2022" i="7"/>
  <c r="AA2020" i="7"/>
  <c r="AA2090" i="7"/>
  <c r="AA2091" i="7"/>
  <c r="N84" i="24"/>
  <c r="E84" i="24" s="1"/>
  <c r="F84" i="24" s="1"/>
  <c r="AH72" i="24"/>
  <c r="K72" i="24" s="1"/>
  <c r="AH66" i="24"/>
  <c r="K66" i="24" s="1"/>
  <c r="D78" i="24"/>
  <c r="AH78" i="24"/>
  <c r="K78" i="24" s="1"/>
  <c r="AF78" i="24"/>
  <c r="I78" i="24" s="1"/>
  <c r="N2120" i="7"/>
  <c r="AA2089" i="7"/>
  <c r="R13" i="3"/>
  <c r="U13" i="3" s="1"/>
  <c r="AF48" i="24" s="1"/>
  <c r="I48" i="24" s="1"/>
  <c r="N48" i="24" s="1"/>
  <c r="N2119" i="7"/>
  <c r="N2121" i="7"/>
  <c r="L2149" i="7"/>
  <c r="W2146" i="7"/>
  <c r="W2150" i="7" s="1"/>
  <c r="L2151" i="7"/>
  <c r="N2105" i="7"/>
  <c r="P2105" i="7" s="1"/>
  <c r="R2105" i="7" s="1"/>
  <c r="L2150" i="7"/>
  <c r="AA2053" i="7"/>
  <c r="AA2050" i="7" s="1"/>
  <c r="N2083" i="7"/>
  <c r="P2083" i="7" s="1"/>
  <c r="R2083" i="7" s="1"/>
  <c r="N2112" i="7"/>
  <c r="N2116" i="7"/>
  <c r="AA2116" i="7" s="1"/>
  <c r="AA2051" i="7"/>
  <c r="N2115" i="7"/>
  <c r="AA2115" i="7" s="1"/>
  <c r="AA2077" i="7"/>
  <c r="N2117" i="7"/>
  <c r="AA2117" i="7" s="1"/>
  <c r="N2110" i="7"/>
  <c r="W2147" i="7"/>
  <c r="W2151" i="7" s="1"/>
  <c r="W2145" i="7"/>
  <c r="W2149" i="7" s="1"/>
  <c r="P2141" i="7"/>
  <c r="R2141" i="7" s="1"/>
  <c r="P2107" i="7"/>
  <c r="R2107" i="7" s="1"/>
  <c r="L2146" i="7"/>
  <c r="J2146" i="7"/>
  <c r="J2142" i="7"/>
  <c r="L2132" i="7"/>
  <c r="N2132" i="7" s="1"/>
  <c r="F2135" i="7"/>
  <c r="U2132" i="7"/>
  <c r="D2189" i="7"/>
  <c r="D2190" i="7"/>
  <c r="D2188" i="7"/>
  <c r="D2191" i="7"/>
  <c r="D2187" i="7"/>
  <c r="D2185" i="7"/>
  <c r="J2151" i="7"/>
  <c r="J2150" i="7"/>
  <c r="J2149" i="7"/>
  <c r="AA2075" i="7"/>
  <c r="Y2119" i="7"/>
  <c r="Y2120" i="7"/>
  <c r="W2105" i="7"/>
  <c r="Y2121" i="7"/>
  <c r="P2140" i="7"/>
  <c r="R2140" i="7" s="1"/>
  <c r="D2143" i="7"/>
  <c r="W2143" i="7" s="1"/>
  <c r="AA2044" i="7"/>
  <c r="AA2042" i="7"/>
  <c r="AA2043" i="7"/>
  <c r="P2142" i="7"/>
  <c r="R2142" i="7" s="1"/>
  <c r="J2140" i="7"/>
  <c r="D2135" i="7"/>
  <c r="P2132" i="7"/>
  <c r="R2132" i="7" s="1"/>
  <c r="L2142" i="7"/>
  <c r="U2142" i="7"/>
  <c r="U2143" i="7" s="1"/>
  <c r="N2133" i="7"/>
  <c r="J2141" i="7"/>
  <c r="N2141" i="7" s="1"/>
  <c r="L2134" i="7"/>
  <c r="N2134" i="7" s="1"/>
  <c r="U2134" i="7"/>
  <c r="U2135" i="7" s="1"/>
  <c r="H2179" i="7"/>
  <c r="D2181" i="7"/>
  <c r="D2177" i="7"/>
  <c r="D2164" i="7"/>
  <c r="D2156" i="7"/>
  <c r="H2177" i="7"/>
  <c r="F2171" i="7"/>
  <c r="U2171" i="7" s="1"/>
  <c r="F2162" i="7"/>
  <c r="F2177" i="7"/>
  <c r="U2177" i="7" s="1"/>
  <c r="D2171" i="7"/>
  <c r="D2162" i="7"/>
  <c r="H2181" i="7"/>
  <c r="H2175" i="7"/>
  <c r="D2175" i="7"/>
  <c r="F2179" i="7"/>
  <c r="U2179" i="7" s="1"/>
  <c r="D2163" i="7"/>
  <c r="F2172" i="7"/>
  <c r="F2181" i="7"/>
  <c r="U2181" i="7" s="1"/>
  <c r="D2172" i="7"/>
  <c r="D2170" i="7"/>
  <c r="F2175" i="7"/>
  <c r="U2175" i="7" s="1"/>
  <c r="F2180" i="7"/>
  <c r="U2180" i="7" s="1"/>
  <c r="D2167" i="7"/>
  <c r="W2167" i="7" s="1"/>
  <c r="F2164" i="7"/>
  <c r="D2179" i="7"/>
  <c r="F2167" i="7"/>
  <c r="F2163" i="7"/>
  <c r="U2163" i="7" s="1"/>
  <c r="H2176" i="7"/>
  <c r="D2176" i="7"/>
  <c r="G2156" i="7"/>
  <c r="H2180" i="7"/>
  <c r="F2170" i="7"/>
  <c r="D2180" i="7"/>
  <c r="F2176" i="7"/>
  <c r="U2176" i="7" s="1"/>
  <c r="A2240" i="7"/>
  <c r="A2235" i="7"/>
  <c r="C2215" i="7"/>
  <c r="A2241" i="7"/>
  <c r="A2227" i="7"/>
  <c r="A2232" i="7"/>
  <c r="A2224" i="7"/>
  <c r="A2239" i="7"/>
  <c r="A2236" i="7"/>
  <c r="A2245" i="7"/>
  <c r="A2231" i="7"/>
  <c r="A2223" i="7"/>
  <c r="A2237" i="7"/>
  <c r="A2230" i="7"/>
  <c r="A2222" i="7"/>
  <c r="A2233" i="7"/>
  <c r="A2225" i="7"/>
  <c r="B2240" i="7"/>
  <c r="B2235" i="7"/>
  <c r="B2232" i="7"/>
  <c r="B2227" i="7"/>
  <c r="B2239" i="7"/>
  <c r="B2224" i="7"/>
  <c r="B2245" i="7"/>
  <c r="B2241" i="7"/>
  <c r="B2237" i="7"/>
  <c r="B2231" i="7"/>
  <c r="B2223" i="7"/>
  <c r="B2233" i="7"/>
  <c r="B2225" i="7"/>
  <c r="B2222" i="7"/>
  <c r="B2230" i="7"/>
  <c r="B2236" i="7"/>
  <c r="U2140" i="7"/>
  <c r="F2143" i="7"/>
  <c r="L2140" i="7"/>
  <c r="P2134" i="7"/>
  <c r="R2134" i="7" s="1"/>
  <c r="Y2172" i="7"/>
  <c r="Y2173" i="7" s="1"/>
  <c r="Y2164" i="7"/>
  <c r="Y2165" i="7" s="1"/>
  <c r="Y2177" i="7"/>
  <c r="Y2175" i="7"/>
  <c r="Y2162" i="7"/>
  <c r="Y2176" i="7"/>
  <c r="Y2171" i="7"/>
  <c r="Y2167" i="7"/>
  <c r="Y2163" i="7"/>
  <c r="Y2170" i="7"/>
  <c r="P2133" i="7"/>
  <c r="R2133" i="7" s="1"/>
  <c r="J2167" i="7"/>
  <c r="J2163" i="7"/>
  <c r="J2162" i="7"/>
  <c r="J2164" i="7"/>
  <c r="L2145" i="7"/>
  <c r="J2145" i="7"/>
  <c r="J2147" i="7"/>
  <c r="L2147" i="7"/>
  <c r="U2137" i="7"/>
  <c r="L2137" i="7"/>
  <c r="N2137" i="7" s="1"/>
  <c r="F5" i="15"/>
  <c r="F33" i="15" s="1"/>
  <c r="N24" i="25"/>
  <c r="J35" i="25"/>
  <c r="J36" i="25" s="1"/>
  <c r="AJ34" i="24"/>
  <c r="U10" i="15"/>
  <c r="V10" i="15"/>
  <c r="G33" i="15"/>
  <c r="G49" i="15"/>
  <c r="G77" i="15" s="1"/>
  <c r="D27" i="24"/>
  <c r="F27" i="24" s="1"/>
  <c r="O27" i="24"/>
  <c r="F24" i="24"/>
  <c r="O24" i="24"/>
  <c r="D49" i="15"/>
  <c r="AH36" i="24"/>
  <c r="K36" i="24" s="1"/>
  <c r="E49" i="15"/>
  <c r="E77" i="15" s="1"/>
  <c r="E33" i="15"/>
  <c r="AH90" i="24"/>
  <c r="K90" i="24" s="1"/>
  <c r="AH96" i="24"/>
  <c r="K96" i="24" s="1"/>
  <c r="S63" i="2"/>
  <c r="O84" i="24" l="1"/>
  <c r="N78" i="24"/>
  <c r="E78" i="24" s="1"/>
  <c r="F78" i="24" s="1"/>
  <c r="AA2120" i="7"/>
  <c r="E48" i="24"/>
  <c r="F48" i="24" s="1"/>
  <c r="O48" i="24"/>
  <c r="O78" i="24"/>
  <c r="F49" i="15"/>
  <c r="F77" i="15" s="1"/>
  <c r="V5" i="15"/>
  <c r="AA2119" i="7"/>
  <c r="AA2121" i="7"/>
  <c r="N2151" i="7"/>
  <c r="AA2083" i="7"/>
  <c r="AA2082" i="7" s="1"/>
  <c r="AA2052" i="7"/>
  <c r="W2176" i="7"/>
  <c r="W2180" i="7" s="1"/>
  <c r="N2149" i="7"/>
  <c r="N2135" i="7"/>
  <c r="P2135" i="7" s="1"/>
  <c r="R2135" i="7" s="1"/>
  <c r="N2150" i="7"/>
  <c r="L2181" i="7"/>
  <c r="L2180" i="7"/>
  <c r="L2179" i="7"/>
  <c r="N2113" i="7"/>
  <c r="P2113" i="7" s="1"/>
  <c r="R2113" i="7" s="1"/>
  <c r="P2172" i="7"/>
  <c r="R2172" i="7" s="1"/>
  <c r="N2145" i="7"/>
  <c r="AA2145" i="7" s="1"/>
  <c r="N2142" i="7"/>
  <c r="AA2107" i="7"/>
  <c r="N2146" i="7"/>
  <c r="AA2146" i="7" s="1"/>
  <c r="P2163" i="7"/>
  <c r="R2163" i="7" s="1"/>
  <c r="AA2105" i="7"/>
  <c r="AA2104" i="7" s="1"/>
  <c r="H2207" i="7"/>
  <c r="F2202" i="7"/>
  <c r="D2209" i="7"/>
  <c r="D2205" i="7"/>
  <c r="F2193" i="7"/>
  <c r="U2193" i="7" s="1"/>
  <c r="F2206" i="7"/>
  <c r="U2206" i="7" s="1"/>
  <c r="D2200" i="7"/>
  <c r="D2192" i="7"/>
  <c r="H2210" i="7"/>
  <c r="D2206" i="7"/>
  <c r="F2210" i="7"/>
  <c r="U2210" i="7" s="1"/>
  <c r="F2207" i="7"/>
  <c r="U2207" i="7" s="1"/>
  <c r="H2206" i="7"/>
  <c r="H2211" i="7"/>
  <c r="D2202" i="7"/>
  <c r="D2211" i="7"/>
  <c r="H2205" i="7"/>
  <c r="F2194" i="7"/>
  <c r="G2186" i="7"/>
  <c r="F2197" i="7"/>
  <c r="F2192" i="7"/>
  <c r="D2210" i="7"/>
  <c r="D2197" i="7"/>
  <c r="W2197" i="7" s="1"/>
  <c r="D2186" i="7"/>
  <c r="H2209" i="7"/>
  <c r="F2209" i="7"/>
  <c r="U2209" i="7" s="1"/>
  <c r="D2207" i="7"/>
  <c r="F2201" i="7"/>
  <c r="U2201" i="7" s="1"/>
  <c r="D2194" i="7"/>
  <c r="D2201" i="7"/>
  <c r="F2211" i="7"/>
  <c r="U2211" i="7" s="1"/>
  <c r="F2205" i="7"/>
  <c r="U2205" i="7" s="1"/>
  <c r="F2200" i="7"/>
  <c r="D2193" i="7"/>
  <c r="P2137" i="7"/>
  <c r="R2137" i="7" s="1"/>
  <c r="U2172" i="7"/>
  <c r="U2173" i="7" s="1"/>
  <c r="L2172" i="7"/>
  <c r="F2173" i="7"/>
  <c r="U2170" i="7"/>
  <c r="L2170" i="7"/>
  <c r="L2175" i="7"/>
  <c r="J2175" i="7"/>
  <c r="P2171" i="7"/>
  <c r="R2171" i="7" s="1"/>
  <c r="J2177" i="7"/>
  <c r="L2177" i="7"/>
  <c r="A2263" i="7"/>
  <c r="A2257" i="7"/>
  <c r="A2269" i="7"/>
  <c r="A2260" i="7"/>
  <c r="A2254" i="7"/>
  <c r="A2270" i="7"/>
  <c r="A2255" i="7"/>
  <c r="A2267" i="7"/>
  <c r="C2245" i="7"/>
  <c r="A2266" i="7"/>
  <c r="A2262" i="7"/>
  <c r="A2275" i="7"/>
  <c r="A2271" i="7"/>
  <c r="A2265" i="7"/>
  <c r="A2252" i="7"/>
  <c r="A2261" i="7"/>
  <c r="A2253" i="7"/>
  <c r="J2193" i="7"/>
  <c r="J2197" i="7"/>
  <c r="J2192" i="7"/>
  <c r="J2194" i="7"/>
  <c r="L2176" i="7"/>
  <c r="J2176" i="7"/>
  <c r="J2172" i="7"/>
  <c r="D2165" i="7"/>
  <c r="P2162" i="7"/>
  <c r="R2162" i="7" s="1"/>
  <c r="J2171" i="7"/>
  <c r="N2171" i="7" s="1"/>
  <c r="N2163" i="7"/>
  <c r="U2167" i="7"/>
  <c r="L2167" i="7"/>
  <c r="N2167" i="7" s="1"/>
  <c r="AA2072" i="7"/>
  <c r="AA2074" i="7"/>
  <c r="AA2073" i="7"/>
  <c r="N2147" i="7"/>
  <c r="AA2147" i="7" s="1"/>
  <c r="B2269" i="7"/>
  <c r="B2253" i="7"/>
  <c r="B2263" i="7"/>
  <c r="B2255" i="7"/>
  <c r="B2261" i="7"/>
  <c r="B2271" i="7"/>
  <c r="B2254" i="7"/>
  <c r="B2266" i="7"/>
  <c r="B2275" i="7"/>
  <c r="B2262" i="7"/>
  <c r="B2265" i="7"/>
  <c r="B2260" i="7"/>
  <c r="B2252" i="7"/>
  <c r="B2257" i="7"/>
  <c r="B2267" i="7"/>
  <c r="B2270" i="7"/>
  <c r="W2175" i="7"/>
  <c r="W2179" i="7" s="1"/>
  <c r="D2221" i="7"/>
  <c r="D2218" i="7"/>
  <c r="D2217" i="7"/>
  <c r="D2215" i="7"/>
  <c r="D2219" i="7"/>
  <c r="D2220" i="7"/>
  <c r="J2179" i="7"/>
  <c r="J2181" i="7"/>
  <c r="J2180" i="7"/>
  <c r="Y2149" i="7"/>
  <c r="Y2150" i="7"/>
  <c r="W2135" i="7"/>
  <c r="Y2151" i="7"/>
  <c r="Y2200" i="7"/>
  <c r="Y2193" i="7"/>
  <c r="Y2194" i="7"/>
  <c r="Y2195" i="7" s="1"/>
  <c r="Y2207" i="7"/>
  <c r="Y2201" i="7"/>
  <c r="Y2197" i="7"/>
  <c r="Y2192" i="7"/>
  <c r="Y2202" i="7"/>
  <c r="Y2203" i="7" s="1"/>
  <c r="Y2206" i="7"/>
  <c r="Y2205" i="7"/>
  <c r="W2177" i="7"/>
  <c r="W2181" i="7" s="1"/>
  <c r="J2170" i="7"/>
  <c r="U2164" i="7"/>
  <c r="U2165" i="7" s="1"/>
  <c r="L2164" i="7"/>
  <c r="N2164" i="7" s="1"/>
  <c r="U2162" i="7"/>
  <c r="F2165" i="7"/>
  <c r="L2162" i="7"/>
  <c r="N2162" i="7" s="1"/>
  <c r="P2170" i="7"/>
  <c r="R2170" i="7" s="1"/>
  <c r="D2173" i="7"/>
  <c r="W2173" i="7" s="1"/>
  <c r="P2164" i="7"/>
  <c r="R2164" i="7" s="1"/>
  <c r="N2140" i="7"/>
  <c r="E24" i="25"/>
  <c r="F24" i="25" s="1"/>
  <c r="O24" i="25"/>
  <c r="O26" i="25" s="1"/>
  <c r="O29" i="24"/>
  <c r="O30" i="23" s="1"/>
  <c r="F29" i="24"/>
  <c r="F30" i="23" s="1"/>
  <c r="AA2080" i="7" l="1"/>
  <c r="AA2081" i="7"/>
  <c r="AA2151" i="7"/>
  <c r="N2179" i="7"/>
  <c r="AA2149" i="7"/>
  <c r="N2180" i="7"/>
  <c r="N2181" i="7"/>
  <c r="AA2150" i="7"/>
  <c r="L2211" i="7"/>
  <c r="N2165" i="7"/>
  <c r="P2165" i="7" s="1"/>
  <c r="R2165" i="7" s="1"/>
  <c r="L2210" i="7"/>
  <c r="W2207" i="7"/>
  <c r="W2211" i="7" s="1"/>
  <c r="L2209" i="7"/>
  <c r="N2143" i="7"/>
  <c r="P2143" i="7" s="1"/>
  <c r="R2143" i="7" s="1"/>
  <c r="AA2113" i="7"/>
  <c r="AA2111" i="7" s="1"/>
  <c r="W2206" i="7"/>
  <c r="W2210" i="7" s="1"/>
  <c r="W2205" i="7"/>
  <c r="W2209" i="7" s="1"/>
  <c r="N2176" i="7"/>
  <c r="AA2176" i="7" s="1"/>
  <c r="AA2102" i="7"/>
  <c r="AA2103" i="7"/>
  <c r="P2202" i="7"/>
  <c r="R2202" i="7" s="1"/>
  <c r="N2175" i="7"/>
  <c r="AA2175" i="7" s="1"/>
  <c r="P2194" i="7"/>
  <c r="R2194" i="7" s="1"/>
  <c r="N2177" i="7"/>
  <c r="AA2177" i="7" s="1"/>
  <c r="L2206" i="7"/>
  <c r="J2206" i="7"/>
  <c r="J2210" i="7"/>
  <c r="J2209" i="7"/>
  <c r="J2211" i="7"/>
  <c r="D2195" i="7"/>
  <c r="P2192" i="7"/>
  <c r="R2192" i="7" s="1"/>
  <c r="D2250" i="7"/>
  <c r="D2249" i="7"/>
  <c r="D2248" i="7"/>
  <c r="D2247" i="7"/>
  <c r="D2245" i="7"/>
  <c r="D2251" i="7"/>
  <c r="D2203" i="7"/>
  <c r="W2203" i="7" s="1"/>
  <c r="P2200" i="7"/>
  <c r="R2200" i="7" s="1"/>
  <c r="P2167" i="7"/>
  <c r="R2167" i="7" s="1"/>
  <c r="AA2137" i="7"/>
  <c r="L2197" i="7"/>
  <c r="N2197" i="7" s="1"/>
  <c r="U2197" i="7"/>
  <c r="L2205" i="7"/>
  <c r="J2205" i="7"/>
  <c r="N2172" i="7"/>
  <c r="A2299" i="7"/>
  <c r="A2292" i="7"/>
  <c r="A2297" i="7"/>
  <c r="A2305" i="7"/>
  <c r="A2293" i="7"/>
  <c r="A2287" i="7"/>
  <c r="A2295" i="7"/>
  <c r="A2284" i="7"/>
  <c r="A2290" i="7"/>
  <c r="A2285" i="7"/>
  <c r="A2296" i="7"/>
  <c r="A2283" i="7"/>
  <c r="C2275" i="7"/>
  <c r="A2301" i="7"/>
  <c r="A2300" i="7"/>
  <c r="A2291" i="7"/>
  <c r="A2282" i="7"/>
  <c r="P2193" i="7"/>
  <c r="R2193" i="7" s="1"/>
  <c r="F2203" i="7"/>
  <c r="L2200" i="7"/>
  <c r="U2200" i="7"/>
  <c r="J2224" i="7"/>
  <c r="J2222" i="7"/>
  <c r="J2223" i="7"/>
  <c r="J2227" i="7"/>
  <c r="N2193" i="7"/>
  <c r="J2201" i="7"/>
  <c r="N2201" i="7" s="1"/>
  <c r="J2207" i="7"/>
  <c r="L2207" i="7"/>
  <c r="N2170" i="7"/>
  <c r="J2202" i="7"/>
  <c r="F2231" i="7"/>
  <c r="U2231" i="7" s="1"/>
  <c r="F2224" i="7"/>
  <c r="G2216" i="7"/>
  <c r="H2241" i="7"/>
  <c r="H2236" i="7"/>
  <c r="D2231" i="7"/>
  <c r="D2224" i="7"/>
  <c r="D2216" i="7"/>
  <c r="H2240" i="7"/>
  <c r="D2236" i="7"/>
  <c r="F2235" i="7"/>
  <c r="U2235" i="7" s="1"/>
  <c r="F2227" i="7"/>
  <c r="H2239" i="7"/>
  <c r="D2235" i="7"/>
  <c r="D2227" i="7"/>
  <c r="W2227" i="7" s="1"/>
  <c r="F2239" i="7"/>
  <c r="U2239" i="7" s="1"/>
  <c r="F2232" i="7"/>
  <c r="F2236" i="7"/>
  <c r="U2236" i="7" s="1"/>
  <c r="F2230" i="7"/>
  <c r="F2222" i="7"/>
  <c r="D2240" i="7"/>
  <c r="D2232" i="7"/>
  <c r="D2239" i="7"/>
  <c r="F2241" i="7"/>
  <c r="U2241" i="7" s="1"/>
  <c r="H2235" i="7"/>
  <c r="D2223" i="7"/>
  <c r="F2237" i="7"/>
  <c r="U2237" i="7" s="1"/>
  <c r="D2237" i="7"/>
  <c r="F2223" i="7"/>
  <c r="U2223" i="7" s="1"/>
  <c r="F2240" i="7"/>
  <c r="U2240" i="7" s="1"/>
  <c r="D2222" i="7"/>
  <c r="H2237" i="7"/>
  <c r="D2241" i="7"/>
  <c r="D2230" i="7"/>
  <c r="AA2135" i="7"/>
  <c r="Y2179" i="7"/>
  <c r="Y2180" i="7"/>
  <c r="Y2181" i="7"/>
  <c r="W2165" i="7"/>
  <c r="B2297" i="7"/>
  <c r="B2282" i="7"/>
  <c r="B2305" i="7"/>
  <c r="B2293" i="7"/>
  <c r="B2295" i="7"/>
  <c r="B2284" i="7"/>
  <c r="B2301" i="7"/>
  <c r="B2290" i="7"/>
  <c r="B2296" i="7"/>
  <c r="B2292" i="7"/>
  <c r="B2300" i="7"/>
  <c r="B2299" i="7"/>
  <c r="B2285" i="7"/>
  <c r="B2283" i="7"/>
  <c r="B2287" i="7"/>
  <c r="B2291" i="7"/>
  <c r="F2195" i="7"/>
  <c r="L2192" i="7"/>
  <c r="N2192" i="7" s="1"/>
  <c r="U2192" i="7"/>
  <c r="J2200" i="7"/>
  <c r="U2194" i="7"/>
  <c r="U2195" i="7" s="1"/>
  <c r="L2194" i="7"/>
  <c r="N2194" i="7" s="1"/>
  <c r="U2202" i="7"/>
  <c r="U2203" i="7" s="1"/>
  <c r="L2202" i="7"/>
  <c r="Y2222" i="7"/>
  <c r="Y2227" i="7"/>
  <c r="Y2237" i="7"/>
  <c r="Y2236" i="7"/>
  <c r="Y2235" i="7"/>
  <c r="Y2223" i="7"/>
  <c r="Y2231" i="7"/>
  <c r="Y2230" i="7"/>
  <c r="Y2224" i="7"/>
  <c r="Y2225" i="7" s="1"/>
  <c r="Y2232" i="7"/>
  <c r="Y2233" i="7" s="1"/>
  <c r="P2201" i="7"/>
  <c r="R2201" i="7" s="1"/>
  <c r="O35" i="25"/>
  <c r="O36" i="25" s="1"/>
  <c r="O64" i="23"/>
  <c r="O67" i="23" s="1"/>
  <c r="H10" i="22" s="1"/>
  <c r="F26" i="25"/>
  <c r="F64" i="23" s="1"/>
  <c r="AA2179" i="7" l="1"/>
  <c r="AA2180" i="7"/>
  <c r="AA2112" i="7"/>
  <c r="AA2110" i="7"/>
  <c r="N2211" i="7"/>
  <c r="AA2181" i="7"/>
  <c r="N2209" i="7"/>
  <c r="N2195" i="7"/>
  <c r="P2195" i="7" s="1"/>
  <c r="R2195" i="7" s="1"/>
  <c r="N2210" i="7"/>
  <c r="AA2143" i="7"/>
  <c r="AA2140" i="7" s="1"/>
  <c r="L2241" i="7"/>
  <c r="W2237" i="7"/>
  <c r="W2241" i="7" s="1"/>
  <c r="L2239" i="7"/>
  <c r="L2240" i="7"/>
  <c r="N2173" i="7"/>
  <c r="P2173" i="7" s="1"/>
  <c r="R2173" i="7" s="1"/>
  <c r="W2236" i="7"/>
  <c r="W2240" i="7" s="1"/>
  <c r="W2235" i="7"/>
  <c r="W2239" i="7" s="1"/>
  <c r="F35" i="25"/>
  <c r="N2206" i="7"/>
  <c r="AA2206" i="7" s="1"/>
  <c r="P2232" i="7"/>
  <c r="R2232" i="7" s="1"/>
  <c r="N2205" i="7"/>
  <c r="AA2205" i="7" s="1"/>
  <c r="AA2165" i="7"/>
  <c r="AA2164" i="7" s="1"/>
  <c r="P2223" i="7"/>
  <c r="R2223" i="7" s="1"/>
  <c r="P2231" i="7"/>
  <c r="R2231" i="7" s="1"/>
  <c r="P2197" i="7"/>
  <c r="R2197" i="7" s="1"/>
  <c r="AA2197" i="7" s="1"/>
  <c r="N2207" i="7"/>
  <c r="AA2207" i="7" s="1"/>
  <c r="Y2211" i="7"/>
  <c r="W2195" i="7"/>
  <c r="Y2209" i="7"/>
  <c r="Y2210" i="7"/>
  <c r="Y2265" i="7"/>
  <c r="Y2262" i="7"/>
  <c r="Y2263" i="7" s="1"/>
  <c r="Y2260" i="7"/>
  <c r="Y2252" i="7"/>
  <c r="Y2257" i="7"/>
  <c r="Y2253" i="7"/>
  <c r="Y2267" i="7"/>
  <c r="Y2254" i="7"/>
  <c r="Y2255" i="7" s="1"/>
  <c r="Y2261" i="7"/>
  <c r="Y2266" i="7"/>
  <c r="J2237" i="7"/>
  <c r="L2237" i="7"/>
  <c r="AA2133" i="7"/>
  <c r="AA2132" i="7"/>
  <c r="AA2134" i="7"/>
  <c r="J2230" i="7"/>
  <c r="U2230" i="7"/>
  <c r="L2230" i="7"/>
  <c r="F2233" i="7"/>
  <c r="L2232" i="7"/>
  <c r="U2232" i="7"/>
  <c r="U2233" i="7" s="1"/>
  <c r="AA2167" i="7"/>
  <c r="F2260" i="7"/>
  <c r="D2253" i="7"/>
  <c r="H2270" i="7"/>
  <c r="H2265" i="7"/>
  <c r="D2260" i="7"/>
  <c r="H2271" i="7"/>
  <c r="H2267" i="7"/>
  <c r="F2261" i="7"/>
  <c r="U2261" i="7" s="1"/>
  <c r="F2267" i="7"/>
  <c r="U2267" i="7" s="1"/>
  <c r="D2261" i="7"/>
  <c r="D2267" i="7"/>
  <c r="F2253" i="7"/>
  <c r="U2253" i="7" s="1"/>
  <c r="G2246" i="7"/>
  <c r="D2271" i="7"/>
  <c r="F2265" i="7"/>
  <c r="U2265" i="7" s="1"/>
  <c r="D2265" i="7"/>
  <c r="D2269" i="7"/>
  <c r="D2262" i="7"/>
  <c r="D2254" i="7"/>
  <c r="D2266" i="7"/>
  <c r="D2246" i="7"/>
  <c r="F2262" i="7"/>
  <c r="H2269" i="7"/>
  <c r="F2269" i="7"/>
  <c r="U2269" i="7" s="1"/>
  <c r="F2257" i="7"/>
  <c r="D2257" i="7"/>
  <c r="W2257" i="7" s="1"/>
  <c r="D2252" i="7"/>
  <c r="F2270" i="7"/>
  <c r="U2270" i="7" s="1"/>
  <c r="F2254" i="7"/>
  <c r="F2271" i="7"/>
  <c r="U2271" i="7" s="1"/>
  <c r="D2270" i="7"/>
  <c r="F2252" i="7"/>
  <c r="H2266" i="7"/>
  <c r="F2266" i="7"/>
  <c r="U2266" i="7" s="1"/>
  <c r="J2236" i="7"/>
  <c r="L2236" i="7"/>
  <c r="J2241" i="7"/>
  <c r="J2239" i="7"/>
  <c r="J2240" i="7"/>
  <c r="N2223" i="7"/>
  <c r="J2231" i="7"/>
  <c r="N2231" i="7" s="1"/>
  <c r="P2230" i="7"/>
  <c r="R2230" i="7" s="1"/>
  <c r="D2233" i="7"/>
  <c r="W2233" i="7" s="1"/>
  <c r="L2224" i="7"/>
  <c r="N2224" i="7" s="1"/>
  <c r="U2224" i="7"/>
  <c r="U2225" i="7" s="1"/>
  <c r="N2200" i="7"/>
  <c r="P2222" i="7"/>
  <c r="R2222" i="7" s="1"/>
  <c r="D2225" i="7"/>
  <c r="N2202" i="7"/>
  <c r="A2330" i="7"/>
  <c r="A2326" i="7"/>
  <c r="A2320" i="7"/>
  <c r="A2314" i="7"/>
  <c r="C2305" i="7"/>
  <c r="A2313" i="7"/>
  <c r="A2329" i="7"/>
  <c r="A2323" i="7"/>
  <c r="A2315" i="7"/>
  <c r="A2322" i="7"/>
  <c r="A2331" i="7"/>
  <c r="A2321" i="7"/>
  <c r="A2335" i="7"/>
  <c r="A2312" i="7"/>
  <c r="A2327" i="7"/>
  <c r="A2325" i="7"/>
  <c r="A2317" i="7"/>
  <c r="B2335" i="7"/>
  <c r="B2321" i="7"/>
  <c r="B2330" i="7"/>
  <c r="B2326" i="7"/>
  <c r="B2312" i="7"/>
  <c r="B2323" i="7"/>
  <c r="B2313" i="7"/>
  <c r="B2331" i="7"/>
  <c r="B2320" i="7"/>
  <c r="B2322" i="7"/>
  <c r="B2314" i="7"/>
  <c r="B2315" i="7"/>
  <c r="B2327" i="7"/>
  <c r="B2329" i="7"/>
  <c r="B2325" i="7"/>
  <c r="B2317" i="7"/>
  <c r="U2227" i="7"/>
  <c r="L2227" i="7"/>
  <c r="N2227" i="7" s="1"/>
  <c r="J2253" i="7"/>
  <c r="J2257" i="7"/>
  <c r="J2254" i="7"/>
  <c r="J2252" i="7"/>
  <c r="D2281" i="7"/>
  <c r="D2280" i="7"/>
  <c r="D2279" i="7"/>
  <c r="D2275" i="7"/>
  <c r="D2278" i="7"/>
  <c r="D2277" i="7"/>
  <c r="P2224" i="7"/>
  <c r="R2224" i="7" s="1"/>
  <c r="J2232" i="7"/>
  <c r="U2222" i="7"/>
  <c r="F2225" i="7"/>
  <c r="L2222" i="7"/>
  <c r="N2222" i="7" s="1"/>
  <c r="J2235" i="7"/>
  <c r="L2235" i="7"/>
  <c r="F67" i="23"/>
  <c r="F10" i="23" s="1"/>
  <c r="E10" i="22" s="1"/>
  <c r="AC12" i="2"/>
  <c r="O21" i="3" s="1"/>
  <c r="R21" i="3" s="1"/>
  <c r="U21" i="3" s="1"/>
  <c r="AA2210" i="7" l="1"/>
  <c r="AA2209" i="7"/>
  <c r="AA2141" i="7"/>
  <c r="AA2142" i="7"/>
  <c r="AA2211" i="7"/>
  <c r="N2241" i="7"/>
  <c r="N2240" i="7"/>
  <c r="N2239" i="7"/>
  <c r="AA2173" i="7"/>
  <c r="AA2170" i="7" s="1"/>
  <c r="L2270" i="7"/>
  <c r="L2271" i="7"/>
  <c r="W2265" i="7"/>
  <c r="W2269" i="7" s="1"/>
  <c r="N2225" i="7"/>
  <c r="P2225" i="7" s="1"/>
  <c r="R2225" i="7" s="1"/>
  <c r="L2269" i="7"/>
  <c r="N2203" i="7"/>
  <c r="P2203" i="7" s="1"/>
  <c r="R2203" i="7" s="1"/>
  <c r="AA2162" i="7"/>
  <c r="W2266" i="7"/>
  <c r="W2270" i="7" s="1"/>
  <c r="P2262" i="7"/>
  <c r="R2262" i="7" s="1"/>
  <c r="AA2163" i="7"/>
  <c r="W2267" i="7"/>
  <c r="W2271" i="7" s="1"/>
  <c r="N2232" i="7"/>
  <c r="AA2195" i="7"/>
  <c r="AA2193" i="7" s="1"/>
  <c r="P2254" i="7"/>
  <c r="R2254" i="7" s="1"/>
  <c r="B2361" i="7"/>
  <c r="B2356" i="7"/>
  <c r="B2359" i="7"/>
  <c r="B2352" i="7"/>
  <c r="B2350" i="7"/>
  <c r="B2342" i="7"/>
  <c r="B2353" i="7"/>
  <c r="B2351" i="7"/>
  <c r="B2344" i="7"/>
  <c r="B2357" i="7"/>
  <c r="B2360" i="7"/>
  <c r="B2347" i="7"/>
  <c r="B2365" i="7"/>
  <c r="B2355" i="7"/>
  <c r="B2345" i="7"/>
  <c r="B2343" i="7"/>
  <c r="Y2241" i="7"/>
  <c r="Y2240" i="7"/>
  <c r="W2225" i="7"/>
  <c r="Y2239" i="7"/>
  <c r="P2253" i="7"/>
  <c r="R2253" i="7" s="1"/>
  <c r="L2252" i="7"/>
  <c r="N2252" i="7" s="1"/>
  <c r="U2252" i="7"/>
  <c r="F2255" i="7"/>
  <c r="J2265" i="7"/>
  <c r="L2265" i="7"/>
  <c r="U2262" i="7"/>
  <c r="U2263" i="7" s="1"/>
  <c r="L2262" i="7"/>
  <c r="P2227" i="7"/>
  <c r="R2227" i="7" s="1"/>
  <c r="AA2227" i="7" s="1"/>
  <c r="F2263" i="7"/>
  <c r="U2260" i="7"/>
  <c r="L2260" i="7"/>
  <c r="N2237" i="7"/>
  <c r="AA2237" i="7" s="1"/>
  <c r="N2236" i="7"/>
  <c r="AA2236" i="7" s="1"/>
  <c r="A2360" i="7"/>
  <c r="A2361" i="7"/>
  <c r="A2357" i="7"/>
  <c r="A2359" i="7"/>
  <c r="A2352" i="7"/>
  <c r="A2356" i="7"/>
  <c r="A2345" i="7"/>
  <c r="A2342" i="7"/>
  <c r="A2353" i="7"/>
  <c r="A2350" i="7"/>
  <c r="A2344" i="7"/>
  <c r="C2335" i="7"/>
  <c r="A2365" i="7"/>
  <c r="A2343" i="7"/>
  <c r="A2355" i="7"/>
  <c r="A2351" i="7"/>
  <c r="A2347" i="7"/>
  <c r="D2263" i="7"/>
  <c r="W2263" i="7" s="1"/>
  <c r="P2260" i="7"/>
  <c r="R2260" i="7" s="1"/>
  <c r="J2287" i="7"/>
  <c r="J2282" i="7"/>
  <c r="J2283" i="7"/>
  <c r="J2284" i="7"/>
  <c r="Y2284" i="7"/>
  <c r="Y2285" i="7" s="1"/>
  <c r="Y2296" i="7"/>
  <c r="Y2291" i="7"/>
  <c r="Y2292" i="7"/>
  <c r="Y2293" i="7" s="1"/>
  <c r="Y2287" i="7"/>
  <c r="Y2283" i="7"/>
  <c r="Y2282" i="7"/>
  <c r="Y2290" i="7"/>
  <c r="Y2297" i="7"/>
  <c r="Y2295" i="7"/>
  <c r="P2252" i="7"/>
  <c r="R2252" i="7" s="1"/>
  <c r="D2255" i="7"/>
  <c r="J2262" i="7"/>
  <c r="D2305" i="7"/>
  <c r="D2311" i="7"/>
  <c r="D2307" i="7"/>
  <c r="D2308" i="7"/>
  <c r="D2310" i="7"/>
  <c r="D2309" i="7"/>
  <c r="U2257" i="7"/>
  <c r="L2257" i="7"/>
  <c r="N2257" i="7" s="1"/>
  <c r="J2270" i="7"/>
  <c r="J2271" i="7"/>
  <c r="J2269" i="7"/>
  <c r="J2266" i="7"/>
  <c r="L2266" i="7"/>
  <c r="N2235" i="7"/>
  <c r="AA2235" i="7" s="1"/>
  <c r="P2261" i="7"/>
  <c r="R2261" i="7" s="1"/>
  <c r="AA2172" i="7"/>
  <c r="H2300" i="7"/>
  <c r="D2282" i="7"/>
  <c r="F2287" i="7"/>
  <c r="D2299" i="7"/>
  <c r="F2290" i="7"/>
  <c r="D2300" i="7"/>
  <c r="F2292" i="7"/>
  <c r="D2292" i="7"/>
  <c r="D2290" i="7"/>
  <c r="F2282" i="7"/>
  <c r="H2301" i="7"/>
  <c r="H2299" i="7"/>
  <c r="F2301" i="7"/>
  <c r="U2301" i="7" s="1"/>
  <c r="F2299" i="7"/>
  <c r="U2299" i="7" s="1"/>
  <c r="H2296" i="7"/>
  <c r="D2296" i="7"/>
  <c r="D2291" i="7"/>
  <c r="D2276" i="7"/>
  <c r="F2284" i="7"/>
  <c r="H2297" i="7"/>
  <c r="D2284" i="7"/>
  <c r="F2297" i="7"/>
  <c r="U2297" i="7" s="1"/>
  <c r="F2283" i="7"/>
  <c r="U2283" i="7" s="1"/>
  <c r="D2297" i="7"/>
  <c r="D2301" i="7"/>
  <c r="D2283" i="7"/>
  <c r="F2291" i="7"/>
  <c r="U2291" i="7" s="1"/>
  <c r="D2295" i="7"/>
  <c r="F2300" i="7"/>
  <c r="U2300" i="7" s="1"/>
  <c r="F2296" i="7"/>
  <c r="U2296" i="7" s="1"/>
  <c r="H2295" i="7"/>
  <c r="F2295" i="7"/>
  <c r="U2295" i="7" s="1"/>
  <c r="D2287" i="7"/>
  <c r="W2287" i="7" s="1"/>
  <c r="G2276" i="7"/>
  <c r="U2254" i="7"/>
  <c r="U2255" i="7" s="1"/>
  <c r="L2254" i="7"/>
  <c r="N2254" i="7" s="1"/>
  <c r="J2260" i="7"/>
  <c r="J2267" i="7"/>
  <c r="L2267" i="7"/>
  <c r="N2253" i="7"/>
  <c r="J2261" i="7"/>
  <c r="N2261" i="7" s="1"/>
  <c r="N2230" i="7"/>
  <c r="M16" i="3"/>
  <c r="R16" i="3" s="1"/>
  <c r="U16" i="3" s="1"/>
  <c r="AF66" i="24" s="1"/>
  <c r="I66" i="24" s="1"/>
  <c r="N66" i="24" s="1"/>
  <c r="M17" i="3"/>
  <c r="R17" i="3" s="1"/>
  <c r="U17" i="3" s="1"/>
  <c r="AF72" i="24" s="1"/>
  <c r="I72" i="24" s="1"/>
  <c r="N72" i="24" s="1"/>
  <c r="K22" i="3"/>
  <c r="I5" i="15" s="1"/>
  <c r="BA12" i="2"/>
  <c r="L22" i="3"/>
  <c r="J5" i="15" s="1"/>
  <c r="J49" i="15" s="1"/>
  <c r="O22" i="3"/>
  <c r="M5" i="15" s="1"/>
  <c r="M49" i="15" s="1"/>
  <c r="AC63" i="2"/>
  <c r="E72" i="24" l="1"/>
  <c r="F72" i="24" s="1"/>
  <c r="O72" i="24"/>
  <c r="E66" i="24"/>
  <c r="F66" i="24" s="1"/>
  <c r="O66" i="24"/>
  <c r="AA2240" i="7"/>
  <c r="N2270" i="7"/>
  <c r="AA2171" i="7"/>
  <c r="AA2241" i="7"/>
  <c r="N2269" i="7"/>
  <c r="AA2239" i="7"/>
  <c r="N2271" i="7"/>
  <c r="L2301" i="7"/>
  <c r="L2299" i="7"/>
  <c r="N2255" i="7"/>
  <c r="P2255" i="7" s="1"/>
  <c r="R2255" i="7" s="1"/>
  <c r="AA2203" i="7"/>
  <c r="L2300" i="7"/>
  <c r="W2297" i="7"/>
  <c r="W2301" i="7" s="1"/>
  <c r="N2233" i="7"/>
  <c r="P2233" i="7" s="1"/>
  <c r="R2233" i="7" s="1"/>
  <c r="P2283" i="7"/>
  <c r="R2283" i="7" s="1"/>
  <c r="P2292" i="7"/>
  <c r="R2292" i="7" s="1"/>
  <c r="W2295" i="7"/>
  <c r="W2299" i="7" s="1"/>
  <c r="AA2192" i="7"/>
  <c r="AA2194" i="7"/>
  <c r="W2296" i="7"/>
  <c r="W2300" i="7" s="1"/>
  <c r="P2257" i="7"/>
  <c r="R2257" i="7" s="1"/>
  <c r="AA2257" i="7" s="1"/>
  <c r="L2282" i="7"/>
  <c r="N2282" i="7" s="1"/>
  <c r="F2285" i="7"/>
  <c r="U2282" i="7"/>
  <c r="N2266" i="7"/>
  <c r="AA2266" i="7" s="1"/>
  <c r="F2293" i="7"/>
  <c r="L2290" i="7"/>
  <c r="U2290" i="7"/>
  <c r="AA2225" i="7"/>
  <c r="L2297" i="7"/>
  <c r="J2297" i="7"/>
  <c r="A2385" i="7"/>
  <c r="A2387" i="7"/>
  <c r="A2381" i="7"/>
  <c r="A2373" i="7"/>
  <c r="C2365" i="7"/>
  <c r="A2377" i="7"/>
  <c r="A2375" i="7"/>
  <c r="A2395" i="7"/>
  <c r="A2390" i="7"/>
  <c r="A2391" i="7"/>
  <c r="A2383" i="7"/>
  <c r="A2386" i="7"/>
  <c r="A2380" i="7"/>
  <c r="A2389" i="7"/>
  <c r="A2374" i="7"/>
  <c r="A2382" i="7"/>
  <c r="A2372" i="7"/>
  <c r="U2287" i="7"/>
  <c r="L2287" i="7"/>
  <c r="N2287" i="7" s="1"/>
  <c r="J2290" i="7"/>
  <c r="Y2269" i="7"/>
  <c r="Y2270" i="7"/>
  <c r="W2255" i="7"/>
  <c r="Y2271" i="7"/>
  <c r="D2285" i="7"/>
  <c r="P2282" i="7"/>
  <c r="R2282" i="7" s="1"/>
  <c r="J2296" i="7"/>
  <c r="L2296" i="7"/>
  <c r="Y2314" i="7"/>
  <c r="Y2315" i="7" s="1"/>
  <c r="Y2312" i="7"/>
  <c r="Y2321" i="7"/>
  <c r="Y2326" i="7"/>
  <c r="Y2322" i="7"/>
  <c r="Y2323" i="7" s="1"/>
  <c r="Y2325" i="7"/>
  <c r="Y2317" i="7"/>
  <c r="Y2327" i="7"/>
  <c r="Y2320" i="7"/>
  <c r="Y2313" i="7"/>
  <c r="P2290" i="7"/>
  <c r="R2290" i="7" s="1"/>
  <c r="D2293" i="7"/>
  <c r="W2293" i="7" s="1"/>
  <c r="U2292" i="7"/>
  <c r="U2293" i="7" s="1"/>
  <c r="L2292" i="7"/>
  <c r="P2284" i="7"/>
  <c r="R2284" i="7" s="1"/>
  <c r="U2284" i="7"/>
  <c r="U2285" i="7" s="1"/>
  <c r="L2284" i="7"/>
  <c r="N2284" i="7" s="1"/>
  <c r="J2299" i="7"/>
  <c r="J2300" i="7"/>
  <c r="J2301" i="7"/>
  <c r="P2291" i="7"/>
  <c r="R2291" i="7" s="1"/>
  <c r="D2341" i="7"/>
  <c r="D2340" i="7"/>
  <c r="D2339" i="7"/>
  <c r="D2338" i="7"/>
  <c r="D2337" i="7"/>
  <c r="D2335" i="7"/>
  <c r="J2317" i="7"/>
  <c r="J2314" i="7"/>
  <c r="J2312" i="7"/>
  <c r="J2313" i="7"/>
  <c r="F2326" i="7"/>
  <c r="U2326" i="7" s="1"/>
  <c r="D2322" i="7"/>
  <c r="F2330" i="7"/>
  <c r="U2330" i="7" s="1"/>
  <c r="D2306" i="7"/>
  <c r="D2330" i="7"/>
  <c r="F2320" i="7"/>
  <c r="F2314" i="7"/>
  <c r="H2331" i="7"/>
  <c r="D2327" i="7"/>
  <c r="F2331" i="7"/>
  <c r="U2331" i="7" s="1"/>
  <c r="H2329" i="7"/>
  <c r="D2331" i="7"/>
  <c r="F2329" i="7"/>
  <c r="U2329" i="7" s="1"/>
  <c r="D2329" i="7"/>
  <c r="D2326" i="7"/>
  <c r="D2321" i="7"/>
  <c r="F2313" i="7"/>
  <c r="U2313" i="7" s="1"/>
  <c r="D2313" i="7"/>
  <c r="H2330" i="7"/>
  <c r="H2326" i="7"/>
  <c r="D2320" i="7"/>
  <c r="D2312" i="7"/>
  <c r="F2322" i="7"/>
  <c r="G2306" i="7"/>
  <c r="H2327" i="7"/>
  <c r="F2327" i="7"/>
  <c r="U2327" i="7" s="1"/>
  <c r="D2314" i="7"/>
  <c r="F2321" i="7"/>
  <c r="U2321" i="7" s="1"/>
  <c r="H2325" i="7"/>
  <c r="F2325" i="7"/>
  <c r="U2325" i="7" s="1"/>
  <c r="F2317" i="7"/>
  <c r="D2317" i="7"/>
  <c r="W2317" i="7" s="1"/>
  <c r="D2325" i="7"/>
  <c r="F2312" i="7"/>
  <c r="J2292" i="7"/>
  <c r="B2390" i="7"/>
  <c r="B2385" i="7"/>
  <c r="B2386" i="7"/>
  <c r="B2395" i="7"/>
  <c r="B2389" i="7"/>
  <c r="B2391" i="7"/>
  <c r="B2387" i="7"/>
  <c r="B2372" i="7"/>
  <c r="B2374" i="7"/>
  <c r="B2382" i="7"/>
  <c r="B2383" i="7"/>
  <c r="B2375" i="7"/>
  <c r="B2373" i="7"/>
  <c r="B2381" i="7"/>
  <c r="B2380" i="7"/>
  <c r="B2377" i="7"/>
  <c r="N2265" i="7"/>
  <c r="AA2265" i="7" s="1"/>
  <c r="N2267" i="7"/>
  <c r="AA2267" i="7" s="1"/>
  <c r="J2295" i="7"/>
  <c r="L2295" i="7"/>
  <c r="N2260" i="7"/>
  <c r="N2262" i="7"/>
  <c r="N2283" i="7"/>
  <c r="J2291" i="7"/>
  <c r="N2291" i="7" s="1"/>
  <c r="AF90" i="24"/>
  <c r="I90" i="24" s="1"/>
  <c r="N90" i="24" s="1"/>
  <c r="BA63" i="2"/>
  <c r="I49" i="15"/>
  <c r="R11" i="3"/>
  <c r="U11" i="3" s="1"/>
  <c r="M22" i="3"/>
  <c r="K5" i="15" s="1"/>
  <c r="K49" i="15" s="1"/>
  <c r="N22" i="3"/>
  <c r="L5" i="15" s="1"/>
  <c r="L49" i="15" s="1"/>
  <c r="AA2270" i="7" l="1"/>
  <c r="N2300" i="7"/>
  <c r="AA2271" i="7"/>
  <c r="N2285" i="7"/>
  <c r="P2285" i="7" s="1"/>
  <c r="R2285" i="7" s="1"/>
  <c r="N2299" i="7"/>
  <c r="AA2269" i="7"/>
  <c r="N2301" i="7"/>
  <c r="L2331" i="7"/>
  <c r="L2329" i="7"/>
  <c r="L2330" i="7"/>
  <c r="W2326" i="7"/>
  <c r="W2330" i="7" s="1"/>
  <c r="AA2233" i="7"/>
  <c r="AA2231" i="7" s="1"/>
  <c r="AA2202" i="7"/>
  <c r="AA2200" i="7"/>
  <c r="AA2201" i="7"/>
  <c r="N2263" i="7"/>
  <c r="P2263" i="7" s="1"/>
  <c r="R2263" i="7" s="1"/>
  <c r="N2297" i="7"/>
  <c r="AA2297" i="7" s="1"/>
  <c r="P2314" i="7"/>
  <c r="R2314" i="7" s="1"/>
  <c r="N2296" i="7"/>
  <c r="AA2296" i="7" s="1"/>
  <c r="N2292" i="7"/>
  <c r="P2322" i="7"/>
  <c r="R2322" i="7" s="1"/>
  <c r="J2347" i="7"/>
  <c r="J2343" i="7"/>
  <c r="J2342" i="7"/>
  <c r="J2344" i="7"/>
  <c r="N2295" i="7"/>
  <c r="AA2295" i="7" s="1"/>
  <c r="F2323" i="7"/>
  <c r="U2320" i="7"/>
  <c r="L2320" i="7"/>
  <c r="AA2222" i="7"/>
  <c r="AA2223" i="7"/>
  <c r="AA2224" i="7"/>
  <c r="B2419" i="7"/>
  <c r="B2416" i="7"/>
  <c r="B2420" i="7"/>
  <c r="B2413" i="7"/>
  <c r="B2417" i="7"/>
  <c r="B2411" i="7"/>
  <c r="B2403" i="7"/>
  <c r="B2421" i="7"/>
  <c r="B2412" i="7"/>
  <c r="B2425" i="7"/>
  <c r="B2402" i="7"/>
  <c r="B2405" i="7"/>
  <c r="B2410" i="7"/>
  <c r="B2407" i="7"/>
  <c r="B2415" i="7"/>
  <c r="B2404" i="7"/>
  <c r="L2322" i="7"/>
  <c r="U2322" i="7"/>
  <c r="U2323" i="7" s="1"/>
  <c r="P2287" i="7"/>
  <c r="R2287" i="7" s="1"/>
  <c r="N2290" i="7"/>
  <c r="A2413" i="7"/>
  <c r="A2407" i="7"/>
  <c r="A2416" i="7"/>
  <c r="A2402" i="7"/>
  <c r="A2420" i="7"/>
  <c r="A2405" i="7"/>
  <c r="A2425" i="7"/>
  <c r="C2395" i="7"/>
  <c r="A2403" i="7"/>
  <c r="A2412" i="7"/>
  <c r="A2419" i="7"/>
  <c r="A2415" i="7"/>
  <c r="A2411" i="7"/>
  <c r="A2421" i="7"/>
  <c r="A2410" i="7"/>
  <c r="A2404" i="7"/>
  <c r="A2417" i="7"/>
  <c r="L2327" i="7"/>
  <c r="J2327" i="7"/>
  <c r="Y2300" i="7"/>
  <c r="AA2300" i="7" s="1"/>
  <c r="Y2299" i="7"/>
  <c r="W2285" i="7"/>
  <c r="Y2301" i="7"/>
  <c r="D2315" i="7"/>
  <c r="P2312" i="7"/>
  <c r="R2312" i="7" s="1"/>
  <c r="J2325" i="7"/>
  <c r="L2325" i="7"/>
  <c r="L2326" i="7"/>
  <c r="J2326" i="7"/>
  <c r="D2371" i="7"/>
  <c r="D2368" i="7"/>
  <c r="D2365" i="7"/>
  <c r="D2370" i="7"/>
  <c r="D2369" i="7"/>
  <c r="D2367" i="7"/>
  <c r="J2322" i="7"/>
  <c r="W2327" i="7"/>
  <c r="W2331" i="7" s="1"/>
  <c r="Y2344" i="7"/>
  <c r="Y2345" i="7" s="1"/>
  <c r="Y2347" i="7"/>
  <c r="Y2343" i="7"/>
  <c r="Y2352" i="7"/>
  <c r="Y2353" i="7" s="1"/>
  <c r="Y2356" i="7"/>
  <c r="Y2350" i="7"/>
  <c r="Y2355" i="7"/>
  <c r="Y2342" i="7"/>
  <c r="Y2351" i="7"/>
  <c r="Y2357" i="7"/>
  <c r="D2323" i="7"/>
  <c r="W2323" i="7" s="1"/>
  <c r="P2320" i="7"/>
  <c r="R2320" i="7" s="1"/>
  <c r="J2329" i="7"/>
  <c r="J2331" i="7"/>
  <c r="J2330" i="7"/>
  <c r="P2313" i="7"/>
  <c r="R2313" i="7" s="1"/>
  <c r="N2313" i="7"/>
  <c r="J2321" i="7"/>
  <c r="N2321" i="7" s="1"/>
  <c r="U2317" i="7"/>
  <c r="L2317" i="7"/>
  <c r="N2317" i="7" s="1"/>
  <c r="J2320" i="7"/>
  <c r="W2325" i="7"/>
  <c r="W2329" i="7" s="1"/>
  <c r="U2314" i="7"/>
  <c r="U2315" i="7" s="1"/>
  <c r="L2314" i="7"/>
  <c r="N2314" i="7" s="1"/>
  <c r="U2312" i="7"/>
  <c r="F2315" i="7"/>
  <c r="L2312" i="7"/>
  <c r="N2312" i="7" s="1"/>
  <c r="P2321" i="7"/>
  <c r="R2321" i="7" s="1"/>
  <c r="D2356" i="7"/>
  <c r="D2352" i="7"/>
  <c r="D2342" i="7"/>
  <c r="F2344" i="7"/>
  <c r="D2344" i="7"/>
  <c r="H2360" i="7"/>
  <c r="F2351" i="7"/>
  <c r="U2351" i="7" s="1"/>
  <c r="F2342" i="7"/>
  <c r="F2361" i="7"/>
  <c r="U2361" i="7" s="1"/>
  <c r="F2359" i="7"/>
  <c r="U2359" i="7" s="1"/>
  <c r="F2356" i="7"/>
  <c r="U2356" i="7" s="1"/>
  <c r="D2347" i="7"/>
  <c r="W2347" i="7" s="1"/>
  <c r="D2357" i="7"/>
  <c r="F2350" i="7"/>
  <c r="D2360" i="7"/>
  <c r="H2356" i="7"/>
  <c r="G2336" i="7"/>
  <c r="D2336" i="7"/>
  <c r="D2359" i="7"/>
  <c r="F2343" i="7"/>
  <c r="U2343" i="7" s="1"/>
  <c r="D2350" i="7"/>
  <c r="H2361" i="7"/>
  <c r="D2361" i="7"/>
  <c r="H2355" i="7"/>
  <c r="F2347" i="7"/>
  <c r="F2360" i="7"/>
  <c r="U2360" i="7" s="1"/>
  <c r="H2359" i="7"/>
  <c r="F2355" i="7"/>
  <c r="U2355" i="7" s="1"/>
  <c r="D2355" i="7"/>
  <c r="F2352" i="7"/>
  <c r="D2343" i="7"/>
  <c r="D2351" i="7"/>
  <c r="H2357" i="7"/>
  <c r="F2357" i="7"/>
  <c r="U2357" i="7" s="1"/>
  <c r="AA2255" i="7"/>
  <c r="O90" i="24"/>
  <c r="E90" i="24"/>
  <c r="F90" i="24" s="1"/>
  <c r="AF96" i="24"/>
  <c r="S5" i="15"/>
  <c r="W5" i="15" s="1"/>
  <c r="R22" i="3"/>
  <c r="R25" i="3" s="1"/>
  <c r="AA2301" i="7" l="1"/>
  <c r="N2331" i="7"/>
  <c r="N2330" i="7"/>
  <c r="N2329" i="7"/>
  <c r="AA2299" i="7"/>
  <c r="N2315" i="7"/>
  <c r="P2315" i="7" s="1"/>
  <c r="R2315" i="7" s="1"/>
  <c r="L2359" i="7"/>
  <c r="L2360" i="7"/>
  <c r="W2355" i="7"/>
  <c r="W2359" i="7" s="1"/>
  <c r="AA2232" i="7"/>
  <c r="AA2230" i="7"/>
  <c r="L2361" i="7"/>
  <c r="N2293" i="7"/>
  <c r="P2293" i="7" s="1"/>
  <c r="R2293" i="7" s="1"/>
  <c r="AA2263" i="7"/>
  <c r="AA2262" i="7" s="1"/>
  <c r="N2326" i="7"/>
  <c r="AA2326" i="7" s="1"/>
  <c r="W2357" i="7"/>
  <c r="W2361" i="7" s="1"/>
  <c r="W2356" i="7"/>
  <c r="W2360" i="7" s="1"/>
  <c r="P2344" i="7"/>
  <c r="R2344" i="7" s="1"/>
  <c r="P2352" i="7"/>
  <c r="R2352" i="7" s="1"/>
  <c r="N2327" i="7"/>
  <c r="AA2327" i="7" s="1"/>
  <c r="N2320" i="7"/>
  <c r="J2377" i="7"/>
  <c r="J2373" i="7"/>
  <c r="J2374" i="7"/>
  <c r="J2372" i="7"/>
  <c r="F2345" i="7"/>
  <c r="L2342" i="7"/>
  <c r="N2342" i="7" s="1"/>
  <c r="U2342" i="7"/>
  <c r="F2381" i="7"/>
  <c r="U2381" i="7" s="1"/>
  <c r="F2374" i="7"/>
  <c r="G2366" i="7"/>
  <c r="H2391" i="7"/>
  <c r="D2382" i="7"/>
  <c r="D2373" i="7"/>
  <c r="D2391" i="7"/>
  <c r="H2385" i="7"/>
  <c r="F2377" i="7"/>
  <c r="H2389" i="7"/>
  <c r="F2389" i="7"/>
  <c r="U2389" i="7" s="1"/>
  <c r="F2382" i="7"/>
  <c r="F2390" i="7"/>
  <c r="U2390" i="7" s="1"/>
  <c r="D2387" i="7"/>
  <c r="D2390" i="7"/>
  <c r="H2386" i="7"/>
  <c r="D2374" i="7"/>
  <c r="F2372" i="7"/>
  <c r="F2391" i="7"/>
  <c r="U2391" i="7" s="1"/>
  <c r="D2372" i="7"/>
  <c r="H2387" i="7"/>
  <c r="F2380" i="7"/>
  <c r="F2386" i="7"/>
  <c r="U2386" i="7" s="1"/>
  <c r="D2380" i="7"/>
  <c r="H2390" i="7"/>
  <c r="D2366" i="7"/>
  <c r="D2377" i="7"/>
  <c r="W2377" i="7" s="1"/>
  <c r="F2385" i="7"/>
  <c r="U2385" i="7" s="1"/>
  <c r="D2385" i="7"/>
  <c r="F2387" i="7"/>
  <c r="U2387" i="7" s="1"/>
  <c r="D2381" i="7"/>
  <c r="D2389" i="7"/>
  <c r="D2386" i="7"/>
  <c r="F2373" i="7"/>
  <c r="U2373" i="7" s="1"/>
  <c r="L2347" i="7"/>
  <c r="N2347" i="7" s="1"/>
  <c r="U2347" i="7"/>
  <c r="P2317" i="7"/>
  <c r="R2317" i="7" s="1"/>
  <c r="N2322" i="7"/>
  <c r="AA2254" i="7"/>
  <c r="AA2252" i="7"/>
  <c r="AA2253" i="7"/>
  <c r="D2400" i="7"/>
  <c r="D2401" i="7"/>
  <c r="D2399" i="7"/>
  <c r="D2397" i="7"/>
  <c r="D2395" i="7"/>
  <c r="D2398" i="7"/>
  <c r="J2361" i="7"/>
  <c r="J2359" i="7"/>
  <c r="J2360" i="7"/>
  <c r="P2351" i="7"/>
  <c r="R2351" i="7" s="1"/>
  <c r="Y2372" i="7"/>
  <c r="Y2374" i="7"/>
  <c r="Y2375" i="7" s="1"/>
  <c r="Y2380" i="7"/>
  <c r="Y2381" i="7"/>
  <c r="Y2377" i="7"/>
  <c r="Y2386" i="7"/>
  <c r="Y2385" i="7"/>
  <c r="Y2382" i="7"/>
  <c r="Y2383" i="7" s="1"/>
  <c r="Y2373" i="7"/>
  <c r="Y2387" i="7"/>
  <c r="L2355" i="7"/>
  <c r="J2355" i="7"/>
  <c r="J2357" i="7"/>
  <c r="L2357" i="7"/>
  <c r="J2350" i="7"/>
  <c r="Y2331" i="7"/>
  <c r="AA2331" i="7" s="1"/>
  <c r="Y2329" i="7"/>
  <c r="AA2329" i="7" s="1"/>
  <c r="Y2330" i="7"/>
  <c r="W2315" i="7"/>
  <c r="D2353" i="7"/>
  <c r="W2353" i="7" s="1"/>
  <c r="P2350" i="7"/>
  <c r="R2350" i="7" s="1"/>
  <c r="A2442" i="7"/>
  <c r="A2447" i="7"/>
  <c r="A2449" i="7"/>
  <c r="A2446" i="7"/>
  <c r="A2440" i="7"/>
  <c r="A2432" i="7"/>
  <c r="A2433" i="7"/>
  <c r="A2451" i="7"/>
  <c r="A2435" i="7"/>
  <c r="A2445" i="7"/>
  <c r="A2441" i="7"/>
  <c r="A2443" i="7"/>
  <c r="A2450" i="7"/>
  <c r="A2434" i="7"/>
  <c r="C2425" i="7"/>
  <c r="A2437" i="7"/>
  <c r="A2455" i="7"/>
  <c r="P2342" i="7"/>
  <c r="R2342" i="7" s="1"/>
  <c r="D2345" i="7"/>
  <c r="B2455" i="7"/>
  <c r="B2447" i="7"/>
  <c r="B2446" i="7"/>
  <c r="B2451" i="7"/>
  <c r="B2442" i="7"/>
  <c r="B2434" i="7"/>
  <c r="B2440" i="7"/>
  <c r="B2432" i="7"/>
  <c r="B2449" i="7"/>
  <c r="B2435" i="7"/>
  <c r="B2443" i="7"/>
  <c r="B2450" i="7"/>
  <c r="B2433" i="7"/>
  <c r="B2445" i="7"/>
  <c r="B2441" i="7"/>
  <c r="B2437" i="7"/>
  <c r="P2343" i="7"/>
  <c r="R2343" i="7" s="1"/>
  <c r="L2350" i="7"/>
  <c r="F2353" i="7"/>
  <c r="U2350" i="7"/>
  <c r="J2352" i="7"/>
  <c r="AA2287" i="7"/>
  <c r="J2351" i="7"/>
  <c r="N2351" i="7" s="1"/>
  <c r="N2343" i="7"/>
  <c r="AA2285" i="7"/>
  <c r="L2344" i="7"/>
  <c r="N2344" i="7" s="1"/>
  <c r="U2344" i="7"/>
  <c r="U2345" i="7" s="1"/>
  <c r="L2356" i="7"/>
  <c r="J2356" i="7"/>
  <c r="L2352" i="7"/>
  <c r="U2352" i="7"/>
  <c r="U2353" i="7" s="1"/>
  <c r="N2325" i="7"/>
  <c r="AA2325" i="7" s="1"/>
  <c r="AF36" i="24"/>
  <c r="I36" i="24" s="1"/>
  <c r="N36" i="24" s="1"/>
  <c r="O36" i="24" s="1"/>
  <c r="AL34" i="24"/>
  <c r="I96" i="24"/>
  <c r="N96" i="24" s="1"/>
  <c r="S49" i="15"/>
  <c r="AH15" i="1"/>
  <c r="N2360" i="7" l="1"/>
  <c r="N2359" i="7"/>
  <c r="AA2330" i="7"/>
  <c r="L2390" i="7"/>
  <c r="N2361" i="7"/>
  <c r="W2386" i="7"/>
  <c r="W2390" i="7" s="1"/>
  <c r="AA2293" i="7"/>
  <c r="AA2291" i="7" s="1"/>
  <c r="AA2261" i="7"/>
  <c r="L2391" i="7"/>
  <c r="L2389" i="7"/>
  <c r="N2345" i="7"/>
  <c r="AA2260" i="7"/>
  <c r="N2323" i="7"/>
  <c r="P2323" i="7" s="1"/>
  <c r="R2323" i="7" s="1"/>
  <c r="W2387" i="7"/>
  <c r="W2391" i="7" s="1"/>
  <c r="AA2317" i="7"/>
  <c r="N2356" i="7"/>
  <c r="AA2356" i="7" s="1"/>
  <c r="P2382" i="7"/>
  <c r="R2382" i="7" s="1"/>
  <c r="AA2315" i="7"/>
  <c r="AA2312" i="7" s="1"/>
  <c r="N2357" i="7"/>
  <c r="AA2357" i="7" s="1"/>
  <c r="N2355" i="7"/>
  <c r="AA2355" i="7" s="1"/>
  <c r="P2373" i="7"/>
  <c r="R2373" i="7" s="1"/>
  <c r="N2352" i="7"/>
  <c r="P2347" i="7"/>
  <c r="R2347" i="7" s="1"/>
  <c r="P2374" i="7"/>
  <c r="R2374" i="7" s="1"/>
  <c r="L2387" i="7"/>
  <c r="J2387" i="7"/>
  <c r="Y2359" i="7"/>
  <c r="AA2359" i="7" s="1"/>
  <c r="Y2361" i="7"/>
  <c r="Y2360" i="7"/>
  <c r="AA2360" i="7" s="1"/>
  <c r="W2345" i="7"/>
  <c r="P2345" i="7"/>
  <c r="R2345" i="7" s="1"/>
  <c r="F2410" i="7"/>
  <c r="D2403" i="7"/>
  <c r="H2421" i="7"/>
  <c r="D2412" i="7"/>
  <c r="F2404" i="7"/>
  <c r="D2420" i="7"/>
  <c r="H2417" i="7"/>
  <c r="D2417" i="7"/>
  <c r="D2411" i="7"/>
  <c r="F2403" i="7"/>
  <c r="U2403" i="7" s="1"/>
  <c r="F2421" i="7"/>
  <c r="U2421" i="7" s="1"/>
  <c r="G2396" i="7"/>
  <c r="H2419" i="7"/>
  <c r="H2416" i="7"/>
  <c r="D2419" i="7"/>
  <c r="D2416" i="7"/>
  <c r="H2420" i="7"/>
  <c r="F2416" i="7"/>
  <c r="U2416" i="7" s="1"/>
  <c r="F2412" i="7"/>
  <c r="F2420" i="7"/>
  <c r="U2420" i="7" s="1"/>
  <c r="F2407" i="7"/>
  <c r="D2407" i="7"/>
  <c r="W2407" i="7" s="1"/>
  <c r="F2419" i="7"/>
  <c r="U2419" i="7" s="1"/>
  <c r="F2415" i="7"/>
  <c r="U2415" i="7" s="1"/>
  <c r="D2415" i="7"/>
  <c r="F2402" i="7"/>
  <c r="D2404" i="7"/>
  <c r="F2417" i="7"/>
  <c r="U2417" i="7" s="1"/>
  <c r="F2411" i="7"/>
  <c r="U2411" i="7" s="1"/>
  <c r="D2410" i="7"/>
  <c r="D2402" i="7"/>
  <c r="D2421" i="7"/>
  <c r="H2415" i="7"/>
  <c r="D2396" i="7"/>
  <c r="U2374" i="7"/>
  <c r="U2375" i="7" s="1"/>
  <c r="L2374" i="7"/>
  <c r="N2374" i="7" s="1"/>
  <c r="J2380" i="7"/>
  <c r="L2382" i="7"/>
  <c r="U2382" i="7"/>
  <c r="U2383" i="7" s="1"/>
  <c r="N2350" i="7"/>
  <c r="J2391" i="7"/>
  <c r="J2390" i="7"/>
  <c r="N2390" i="7" s="1"/>
  <c r="J2389" i="7"/>
  <c r="J2407" i="7"/>
  <c r="J2403" i="7"/>
  <c r="J2404" i="7"/>
  <c r="J2402" i="7"/>
  <c r="P2372" i="7"/>
  <c r="R2372" i="7" s="1"/>
  <c r="D2375" i="7"/>
  <c r="AA2284" i="7"/>
  <c r="AA2283" i="7"/>
  <c r="AA2282" i="7"/>
  <c r="A2476" i="7"/>
  <c r="A2471" i="7"/>
  <c r="A2481" i="7"/>
  <c r="C2455" i="7"/>
  <c r="A2475" i="7"/>
  <c r="A2467" i="7"/>
  <c r="A2479" i="7"/>
  <c r="A2470" i="7"/>
  <c r="A2472" i="7"/>
  <c r="A2462" i="7"/>
  <c r="A2473" i="7"/>
  <c r="A2477" i="7"/>
  <c r="A2463" i="7"/>
  <c r="A2465" i="7"/>
  <c r="A2464" i="7"/>
  <c r="A2480" i="7"/>
  <c r="A2485" i="7"/>
  <c r="D2430" i="7"/>
  <c r="D2429" i="7"/>
  <c r="D2428" i="7"/>
  <c r="D2427" i="7"/>
  <c r="D2425" i="7"/>
  <c r="D2431" i="7"/>
  <c r="P2381" i="7"/>
  <c r="R2381" i="7" s="1"/>
  <c r="J2385" i="7"/>
  <c r="L2385" i="7"/>
  <c r="J2382" i="7"/>
  <c r="W2385" i="7"/>
  <c r="W2389" i="7" s="1"/>
  <c r="L2377" i="7"/>
  <c r="N2377" i="7" s="1"/>
  <c r="U2377" i="7"/>
  <c r="B2481" i="7"/>
  <c r="B2476" i="7"/>
  <c r="B2472" i="7"/>
  <c r="B2485" i="7"/>
  <c r="B2479" i="7"/>
  <c r="B2475" i="7"/>
  <c r="B2467" i="7"/>
  <c r="B2464" i="7"/>
  <c r="B2473" i="7"/>
  <c r="B2477" i="7"/>
  <c r="B2463" i="7"/>
  <c r="B2480" i="7"/>
  <c r="B2471" i="7"/>
  <c r="B2462" i="7"/>
  <c r="B2470" i="7"/>
  <c r="B2465" i="7"/>
  <c r="U2380" i="7"/>
  <c r="F2383" i="7"/>
  <c r="L2380" i="7"/>
  <c r="Y2404" i="7"/>
  <c r="Y2405" i="7" s="1"/>
  <c r="Y2415" i="7"/>
  <c r="Y2407" i="7"/>
  <c r="Y2412" i="7"/>
  <c r="Y2413" i="7" s="1"/>
  <c r="Y2403" i="7"/>
  <c r="Y2410" i="7"/>
  <c r="Y2402" i="7"/>
  <c r="Y2417" i="7"/>
  <c r="Y2416" i="7"/>
  <c r="Y2411" i="7"/>
  <c r="L2372" i="7"/>
  <c r="N2372" i="7" s="1"/>
  <c r="F2375" i="7"/>
  <c r="U2372" i="7"/>
  <c r="J2386" i="7"/>
  <c r="L2386" i="7"/>
  <c r="J2381" i="7"/>
  <c r="N2381" i="7" s="1"/>
  <c r="N2373" i="7"/>
  <c r="P2380" i="7"/>
  <c r="R2380" i="7" s="1"/>
  <c r="D2383" i="7"/>
  <c r="W2383" i="7" s="1"/>
  <c r="E36" i="24"/>
  <c r="F36" i="24" s="1"/>
  <c r="AJ53" i="2"/>
  <c r="AJ21" i="2"/>
  <c r="AJ17" i="2"/>
  <c r="AJ50" i="2"/>
  <c r="AJ22" i="2"/>
  <c r="AJ45" i="2"/>
  <c r="O96" i="24"/>
  <c r="E96" i="24"/>
  <c r="F96" i="24" s="1"/>
  <c r="AJ43" i="2"/>
  <c r="AJ42" i="2"/>
  <c r="AJ26" i="2"/>
  <c r="AJ52" i="2"/>
  <c r="AJ24" i="2"/>
  <c r="AJ16" i="2"/>
  <c r="AJ51" i="2"/>
  <c r="AJ34" i="2"/>
  <c r="AJ35" i="2"/>
  <c r="L2419" i="7" l="1"/>
  <c r="N2389" i="7"/>
  <c r="AA2361" i="7"/>
  <c r="L2420" i="7"/>
  <c r="AA2323" i="7"/>
  <c r="AA2321" i="7" s="1"/>
  <c r="AA2290" i="7"/>
  <c r="AA2292" i="7"/>
  <c r="N2391" i="7"/>
  <c r="N2353" i="7"/>
  <c r="P2353" i="7" s="1"/>
  <c r="R2353" i="7" s="1"/>
  <c r="L2421" i="7"/>
  <c r="N2375" i="7"/>
  <c r="P2375" i="7" s="1"/>
  <c r="R2375" i="7" s="1"/>
  <c r="W2416" i="7"/>
  <c r="W2420" i="7" s="1"/>
  <c r="AA2314" i="7"/>
  <c r="AA2313" i="7"/>
  <c r="N2387" i="7"/>
  <c r="AA2387" i="7" s="1"/>
  <c r="AA2347" i="7"/>
  <c r="P2404" i="7"/>
  <c r="R2404" i="7" s="1"/>
  <c r="Y2437" i="7"/>
  <c r="Y2433" i="7"/>
  <c r="Y2445" i="7"/>
  <c r="Y2447" i="7"/>
  <c r="Y2432" i="7"/>
  <c r="Y2434" i="7"/>
  <c r="Y2435" i="7" s="1"/>
  <c r="Y2440" i="7"/>
  <c r="Y2446" i="7"/>
  <c r="Y2442" i="7"/>
  <c r="Y2443" i="7" s="1"/>
  <c r="Y2441" i="7"/>
  <c r="P2377" i="7"/>
  <c r="R2377" i="7" s="1"/>
  <c r="AA2345" i="7"/>
  <c r="F2405" i="7"/>
  <c r="U2402" i="7"/>
  <c r="L2402" i="7"/>
  <c r="N2402" i="7" s="1"/>
  <c r="L2417" i="7"/>
  <c r="J2417" i="7"/>
  <c r="D2413" i="7"/>
  <c r="W2413" i="7" s="1"/>
  <c r="P2410" i="7"/>
  <c r="R2410" i="7" s="1"/>
  <c r="D2460" i="7"/>
  <c r="D2458" i="7"/>
  <c r="D2455" i="7"/>
  <c r="D2461" i="7"/>
  <c r="D2457" i="7"/>
  <c r="D2459" i="7"/>
  <c r="F2413" i="7"/>
  <c r="U2410" i="7"/>
  <c r="L2410" i="7"/>
  <c r="J2412" i="7"/>
  <c r="J2437" i="7"/>
  <c r="J2434" i="7"/>
  <c r="J2433" i="7"/>
  <c r="J2432" i="7"/>
  <c r="N2386" i="7"/>
  <c r="AA2386" i="7" s="1"/>
  <c r="J2415" i="7"/>
  <c r="L2415" i="7"/>
  <c r="A2493" i="7"/>
  <c r="A2511" i="7"/>
  <c r="A2505" i="7"/>
  <c r="A2500" i="7"/>
  <c r="A2509" i="7"/>
  <c r="A2506" i="7"/>
  <c r="A2495" i="7"/>
  <c r="A2501" i="7"/>
  <c r="A2507" i="7"/>
  <c r="A2515" i="7"/>
  <c r="A2545" i="7" s="1"/>
  <c r="A2503" i="7"/>
  <c r="A2497" i="7"/>
  <c r="A2510" i="7"/>
  <c r="A2502" i="7"/>
  <c r="A2492" i="7"/>
  <c r="A2494" i="7"/>
  <c r="C2485" i="7"/>
  <c r="W2415" i="7"/>
  <c r="W2419" i="7" s="1"/>
  <c r="L2407" i="7"/>
  <c r="N2407" i="7" s="1"/>
  <c r="U2407" i="7"/>
  <c r="Y2390" i="7"/>
  <c r="AA2390" i="7" s="1"/>
  <c r="Y2391" i="7"/>
  <c r="W2375" i="7"/>
  <c r="Y2389" i="7"/>
  <c r="P2412" i="7"/>
  <c r="R2412" i="7" s="1"/>
  <c r="AA2353" i="7"/>
  <c r="J2411" i="7"/>
  <c r="N2411" i="7" s="1"/>
  <c r="N2403" i="7"/>
  <c r="D2405" i="7"/>
  <c r="P2402" i="7"/>
  <c r="R2402" i="7" s="1"/>
  <c r="B2500" i="7"/>
  <c r="B2510" i="7"/>
  <c r="B2505" i="7"/>
  <c r="B2509" i="7"/>
  <c r="B2506" i="7"/>
  <c r="B2495" i="7"/>
  <c r="B2501" i="7"/>
  <c r="B2511" i="7"/>
  <c r="B2503" i="7"/>
  <c r="B2507" i="7"/>
  <c r="B2497" i="7"/>
  <c r="B2515" i="7"/>
  <c r="B2545" i="7" s="1"/>
  <c r="B2492" i="7"/>
  <c r="B2494" i="7"/>
  <c r="B2493" i="7"/>
  <c r="B2502" i="7"/>
  <c r="P2411" i="7"/>
  <c r="R2411" i="7" s="1"/>
  <c r="W2417" i="7"/>
  <c r="W2421" i="7" s="1"/>
  <c r="N2380" i="7"/>
  <c r="U2404" i="7"/>
  <c r="U2405" i="7" s="1"/>
  <c r="L2404" i="7"/>
  <c r="N2404" i="7" s="1"/>
  <c r="U2412" i="7"/>
  <c r="U2413" i="7" s="1"/>
  <c r="L2412" i="7"/>
  <c r="J2410" i="7"/>
  <c r="L2416" i="7"/>
  <c r="J2416" i="7"/>
  <c r="D2432" i="7"/>
  <c r="H2451" i="7"/>
  <c r="D2442" i="7"/>
  <c r="F2437" i="7"/>
  <c r="F2433" i="7"/>
  <c r="U2433" i="7" s="1"/>
  <c r="F2432" i="7"/>
  <c r="D2434" i="7"/>
  <c r="H2446" i="7"/>
  <c r="F2440" i="7"/>
  <c r="H2450" i="7"/>
  <c r="D2446" i="7"/>
  <c r="F2450" i="7"/>
  <c r="U2450" i="7" s="1"/>
  <c r="F2451" i="7"/>
  <c r="U2451" i="7" s="1"/>
  <c r="D2449" i="7"/>
  <c r="D2451" i="7"/>
  <c r="D2440" i="7"/>
  <c r="H2445" i="7"/>
  <c r="H2447" i="7"/>
  <c r="F2447" i="7"/>
  <c r="U2447" i="7" s="1"/>
  <c r="D2426" i="7"/>
  <c r="F2434" i="7"/>
  <c r="D2450" i="7"/>
  <c r="F2442" i="7"/>
  <c r="D2447" i="7"/>
  <c r="D2441" i="7"/>
  <c r="F2446" i="7"/>
  <c r="U2446" i="7" s="1"/>
  <c r="H2449" i="7"/>
  <c r="D2433" i="7"/>
  <c r="F2449" i="7"/>
  <c r="U2449" i="7" s="1"/>
  <c r="G2426" i="7"/>
  <c r="F2441" i="7"/>
  <c r="U2441" i="7" s="1"/>
  <c r="F2445" i="7"/>
  <c r="U2445" i="7" s="1"/>
  <c r="D2445" i="7"/>
  <c r="D2437" i="7"/>
  <c r="W2437" i="7" s="1"/>
  <c r="N2382" i="7"/>
  <c r="N2385" i="7"/>
  <c r="AA2385" i="7" s="1"/>
  <c r="J2420" i="7"/>
  <c r="J2421" i="7"/>
  <c r="J2419" i="7"/>
  <c r="N2419" i="7" s="1"/>
  <c r="P2403" i="7"/>
  <c r="R2403" i="7" s="1"/>
  <c r="O24" i="23"/>
  <c r="AH63" i="2"/>
  <c r="AA2391" i="7" l="1"/>
  <c r="AA2320" i="7"/>
  <c r="N2420" i="7"/>
  <c r="AA2322" i="7"/>
  <c r="AA2389" i="7"/>
  <c r="N2421" i="7"/>
  <c r="L2451" i="7"/>
  <c r="L2449" i="7"/>
  <c r="W2445" i="7"/>
  <c r="W2449" i="7" s="1"/>
  <c r="N2405" i="7"/>
  <c r="P2405" i="7" s="1"/>
  <c r="R2405" i="7" s="1"/>
  <c r="L2450" i="7"/>
  <c r="N2383" i="7"/>
  <c r="P2383" i="7" s="1"/>
  <c r="R2383" i="7" s="1"/>
  <c r="W2446" i="7"/>
  <c r="W2450" i="7" s="1"/>
  <c r="W2447" i="7"/>
  <c r="W2451" i="7" s="1"/>
  <c r="N2416" i="7"/>
  <c r="AA2416" i="7" s="1"/>
  <c r="N2417" i="7"/>
  <c r="AA2417" i="7" s="1"/>
  <c r="P2434" i="7"/>
  <c r="R2434" i="7" s="1"/>
  <c r="P2442" i="7"/>
  <c r="R2442" i="7" s="1"/>
  <c r="B2560" i="7"/>
  <c r="B2569" i="7"/>
  <c r="B2553" i="7"/>
  <c r="B2570" i="7"/>
  <c r="B2575" i="7"/>
  <c r="B2562" i="7"/>
  <c r="B2557" i="7"/>
  <c r="B2566" i="7"/>
  <c r="B2554" i="7"/>
  <c r="B2552" i="7"/>
  <c r="B2565" i="7"/>
  <c r="B2571" i="7"/>
  <c r="B2567" i="7"/>
  <c r="B2561" i="7"/>
  <c r="B2563" i="7"/>
  <c r="B2555" i="7"/>
  <c r="A2553" i="7"/>
  <c r="A2571" i="7"/>
  <c r="A2567" i="7"/>
  <c r="A2563" i="7"/>
  <c r="A2560" i="7"/>
  <c r="C2545" i="7"/>
  <c r="A2569" i="7"/>
  <c r="A2575" i="7"/>
  <c r="A2562" i="7"/>
  <c r="A2557" i="7"/>
  <c r="A2566" i="7"/>
  <c r="A2554" i="7"/>
  <c r="A2552" i="7"/>
  <c r="A2565" i="7"/>
  <c r="A2561" i="7"/>
  <c r="A2570" i="7"/>
  <c r="A2555" i="7"/>
  <c r="P2407" i="7"/>
  <c r="R2407" i="7" s="1"/>
  <c r="AA2407" i="7" s="1"/>
  <c r="J2467" i="7"/>
  <c r="J2464" i="7"/>
  <c r="J2462" i="7"/>
  <c r="J2463" i="7"/>
  <c r="AA2377" i="7"/>
  <c r="Y2470" i="7"/>
  <c r="Y2464" i="7"/>
  <c r="Y2465" i="7" s="1"/>
  <c r="Y2476" i="7"/>
  <c r="Y2462" i="7"/>
  <c r="Y2475" i="7"/>
  <c r="Y2477" i="7"/>
  <c r="Y2467" i="7"/>
  <c r="Y2471" i="7"/>
  <c r="Y2472" i="7"/>
  <c r="Y2473" i="7" s="1"/>
  <c r="Y2463" i="7"/>
  <c r="U2437" i="7"/>
  <c r="L2437" i="7"/>
  <c r="N2437" i="7" s="1"/>
  <c r="AA2343" i="7"/>
  <c r="AA2344" i="7"/>
  <c r="AA2342" i="7"/>
  <c r="H2481" i="7"/>
  <c r="F2467" i="7"/>
  <c r="F2463" i="7"/>
  <c r="U2463" i="7" s="1"/>
  <c r="D2463" i="7"/>
  <c r="D2481" i="7"/>
  <c r="H2475" i="7"/>
  <c r="F2475" i="7"/>
  <c r="U2475" i="7" s="1"/>
  <c r="D2467" i="7"/>
  <c r="W2467" i="7" s="1"/>
  <c r="H2479" i="7"/>
  <c r="D2475" i="7"/>
  <c r="F2479" i="7"/>
  <c r="U2479" i="7" s="1"/>
  <c r="F2472" i="7"/>
  <c r="D2479" i="7"/>
  <c r="D2472" i="7"/>
  <c r="F2464" i="7"/>
  <c r="F2462" i="7"/>
  <c r="D2462" i="7"/>
  <c r="F2481" i="7"/>
  <c r="U2481" i="7" s="1"/>
  <c r="D2477" i="7"/>
  <c r="H2480" i="7"/>
  <c r="H2476" i="7"/>
  <c r="F2480" i="7"/>
  <c r="U2480" i="7" s="1"/>
  <c r="F2476" i="7"/>
  <c r="U2476" i="7" s="1"/>
  <c r="F2471" i="7"/>
  <c r="U2471" i="7" s="1"/>
  <c r="D2464" i="7"/>
  <c r="D2480" i="7"/>
  <c r="F2477" i="7"/>
  <c r="U2477" i="7" s="1"/>
  <c r="F2470" i="7"/>
  <c r="D2470" i="7"/>
  <c r="G2456" i="7"/>
  <c r="D2471" i="7"/>
  <c r="H2477" i="7"/>
  <c r="D2476" i="7"/>
  <c r="D2456" i="7"/>
  <c r="L2432" i="7"/>
  <c r="N2432" i="7" s="1"/>
  <c r="F2435" i="7"/>
  <c r="U2432" i="7"/>
  <c r="U2434" i="7"/>
  <c r="U2435" i="7" s="1"/>
  <c r="L2434" i="7"/>
  <c r="N2434" i="7" s="1"/>
  <c r="L2445" i="7"/>
  <c r="J2445" i="7"/>
  <c r="D2435" i="7"/>
  <c r="P2432" i="7"/>
  <c r="R2432" i="7" s="1"/>
  <c r="P2440" i="7"/>
  <c r="R2440" i="7" s="1"/>
  <c r="D2443" i="7"/>
  <c r="W2443" i="7" s="1"/>
  <c r="D2490" i="7"/>
  <c r="D2491" i="7"/>
  <c r="D2489" i="7"/>
  <c r="D2488" i="7"/>
  <c r="D2487" i="7"/>
  <c r="D2485" i="7"/>
  <c r="N2410" i="7"/>
  <c r="J2441" i="7"/>
  <c r="N2441" i="7" s="1"/>
  <c r="N2433" i="7"/>
  <c r="J2442" i="7"/>
  <c r="P2433" i="7"/>
  <c r="R2433" i="7" s="1"/>
  <c r="Y2421" i="7"/>
  <c r="AA2421" i="7" s="1"/>
  <c r="W2405" i="7"/>
  <c r="Y2419" i="7"/>
  <c r="AA2419" i="7" s="1"/>
  <c r="Y2420" i="7"/>
  <c r="J2440" i="7"/>
  <c r="B2539" i="7"/>
  <c r="B2527" i="7"/>
  <c r="B2525" i="7"/>
  <c r="B2532" i="7"/>
  <c r="B2530" i="7"/>
  <c r="B2523" i="7"/>
  <c r="B2541" i="7"/>
  <c r="B2531" i="7"/>
  <c r="B2535" i="7"/>
  <c r="B2540" i="7"/>
  <c r="B2522" i="7"/>
  <c r="B2537" i="7"/>
  <c r="B2536" i="7"/>
  <c r="B2533" i="7"/>
  <c r="B2524" i="7"/>
  <c r="P2441" i="7"/>
  <c r="R2441" i="7" s="1"/>
  <c r="F2443" i="7"/>
  <c r="L2440" i="7"/>
  <c r="U2440" i="7"/>
  <c r="AA2375" i="7"/>
  <c r="AA2350" i="7"/>
  <c r="AA2352" i="7"/>
  <c r="AA2351" i="7"/>
  <c r="A2522" i="7"/>
  <c r="A2533" i="7"/>
  <c r="A2527" i="7"/>
  <c r="A2535" i="7"/>
  <c r="A2532" i="7"/>
  <c r="A2530" i="7"/>
  <c r="A2525" i="7"/>
  <c r="A2523" i="7"/>
  <c r="C2515" i="7"/>
  <c r="A2541" i="7"/>
  <c r="A2537" i="7"/>
  <c r="A2536" i="7"/>
  <c r="A2531" i="7"/>
  <c r="A2540" i="7"/>
  <c r="A2524" i="7"/>
  <c r="A2539" i="7"/>
  <c r="U2442" i="7"/>
  <c r="U2443" i="7" s="1"/>
  <c r="L2442" i="7"/>
  <c r="J2449" i="7"/>
  <c r="J2451" i="7"/>
  <c r="J2450" i="7"/>
  <c r="N2415" i="7"/>
  <c r="AA2415" i="7" s="1"/>
  <c r="J2446" i="7"/>
  <c r="L2446" i="7"/>
  <c r="L2447" i="7"/>
  <c r="J2447" i="7"/>
  <c r="N2412" i="7"/>
  <c r="BB63" i="2"/>
  <c r="AA2420" i="7" l="1"/>
  <c r="L2479" i="7"/>
  <c r="N2451" i="7"/>
  <c r="N2449" i="7"/>
  <c r="L2481" i="7"/>
  <c r="L2480" i="7"/>
  <c r="N2450" i="7"/>
  <c r="W2476" i="7"/>
  <c r="W2480" i="7" s="1"/>
  <c r="AA2383" i="7"/>
  <c r="AA2380" i="7" s="1"/>
  <c r="N2435" i="7"/>
  <c r="P2435" i="7" s="1"/>
  <c r="R2435" i="7" s="1"/>
  <c r="N2413" i="7"/>
  <c r="P2413" i="7" s="1"/>
  <c r="R2413" i="7" s="1"/>
  <c r="N2445" i="7"/>
  <c r="AA2445" i="7" s="1"/>
  <c r="P2471" i="7"/>
  <c r="R2471" i="7" s="1"/>
  <c r="W2477" i="7"/>
  <c r="W2481" i="7" s="1"/>
  <c r="N2447" i="7"/>
  <c r="AA2447" i="7" s="1"/>
  <c r="P2463" i="7"/>
  <c r="R2463" i="7" s="1"/>
  <c r="A2582" i="7"/>
  <c r="A2599" i="7"/>
  <c r="A2595" i="7"/>
  <c r="A2591" i="7"/>
  <c r="A2597" i="7"/>
  <c r="C2575" i="7"/>
  <c r="A2601" i="7"/>
  <c r="A2587" i="7"/>
  <c r="A2583" i="7"/>
  <c r="A2593" i="7"/>
  <c r="A2585" i="7"/>
  <c r="A2590" i="7"/>
  <c r="A2600" i="7"/>
  <c r="A2596" i="7"/>
  <c r="A2584" i="7"/>
  <c r="A2605" i="7"/>
  <c r="A2592" i="7"/>
  <c r="D2548" i="7"/>
  <c r="D2545" i="7"/>
  <c r="D2551" i="7"/>
  <c r="D2549" i="7"/>
  <c r="D2550" i="7"/>
  <c r="D2547" i="7"/>
  <c r="W2475" i="7"/>
  <c r="W2479" i="7" s="1"/>
  <c r="B2593" i="7"/>
  <c r="B2587" i="7"/>
  <c r="B2583" i="7"/>
  <c r="B2597" i="7"/>
  <c r="B2601" i="7"/>
  <c r="B2595" i="7"/>
  <c r="B2599" i="7"/>
  <c r="B2590" i="7"/>
  <c r="B2582" i="7"/>
  <c r="B2591" i="7"/>
  <c r="B2585" i="7"/>
  <c r="B2600" i="7"/>
  <c r="B2605" i="7"/>
  <c r="B2592" i="7"/>
  <c r="B2584" i="7"/>
  <c r="B2596" i="7"/>
  <c r="Y2502" i="7"/>
  <c r="Y2503" i="7" s="1"/>
  <c r="Y2492" i="7"/>
  <c r="Y2506" i="7"/>
  <c r="Y2501" i="7"/>
  <c r="Y2497" i="7"/>
  <c r="Y2507" i="7"/>
  <c r="Y2500" i="7"/>
  <c r="Y2494" i="7"/>
  <c r="Y2495" i="7" s="1"/>
  <c r="Y2493" i="7"/>
  <c r="Y2505" i="7"/>
  <c r="L2476" i="7"/>
  <c r="J2476" i="7"/>
  <c r="P2462" i="7"/>
  <c r="R2462" i="7" s="1"/>
  <c r="D2465" i="7"/>
  <c r="P2472" i="7"/>
  <c r="R2472" i="7" s="1"/>
  <c r="J2493" i="7"/>
  <c r="J2497" i="7"/>
  <c r="J2492" i="7"/>
  <c r="J2494" i="7"/>
  <c r="P2437" i="7"/>
  <c r="R2437" i="7" s="1"/>
  <c r="N2463" i="7"/>
  <c r="J2471" i="7"/>
  <c r="N2471" i="7" s="1"/>
  <c r="L2472" i="7"/>
  <c r="U2472" i="7"/>
  <c r="U2473" i="7" s="1"/>
  <c r="N2446" i="7"/>
  <c r="AA2446" i="7" s="1"/>
  <c r="L2475" i="7"/>
  <c r="J2475" i="7"/>
  <c r="F2510" i="7"/>
  <c r="U2510" i="7" s="1"/>
  <c r="F2505" i="7"/>
  <c r="U2505" i="7" s="1"/>
  <c r="F2501" i="7"/>
  <c r="U2501" i="7" s="1"/>
  <c r="F2494" i="7"/>
  <c r="G2486" i="7"/>
  <c r="F2509" i="7"/>
  <c r="U2509" i="7" s="1"/>
  <c r="D2505" i="7"/>
  <c r="D2497" i="7"/>
  <c r="W2497" i="7" s="1"/>
  <c r="D2509" i="7"/>
  <c r="H2506" i="7"/>
  <c r="D2500" i="7"/>
  <c r="F2506" i="7"/>
  <c r="U2506" i="7" s="1"/>
  <c r="D2506" i="7"/>
  <c r="F2493" i="7"/>
  <c r="U2493" i="7" s="1"/>
  <c r="D2493" i="7"/>
  <c r="D2486" i="7"/>
  <c r="D2511" i="7"/>
  <c r="H2507" i="7"/>
  <c r="F2507" i="7"/>
  <c r="U2507" i="7" s="1"/>
  <c r="D2507" i="7"/>
  <c r="D2510" i="7"/>
  <c r="H2509" i="7"/>
  <c r="F2500" i="7"/>
  <c r="F2497" i="7"/>
  <c r="F2511" i="7"/>
  <c r="U2511" i="7" s="1"/>
  <c r="D2502" i="7"/>
  <c r="D2492" i="7"/>
  <c r="F2502" i="7"/>
  <c r="F2492" i="7"/>
  <c r="D2501" i="7"/>
  <c r="H2511" i="7"/>
  <c r="D2494" i="7"/>
  <c r="H2510" i="7"/>
  <c r="H2505" i="7"/>
  <c r="AA2405" i="7"/>
  <c r="J2479" i="7"/>
  <c r="N2479" i="7" s="1"/>
  <c r="J2481" i="7"/>
  <c r="J2480" i="7"/>
  <c r="F2465" i="7"/>
  <c r="L2462" i="7"/>
  <c r="N2462" i="7" s="1"/>
  <c r="U2462" i="7"/>
  <c r="U2464" i="7"/>
  <c r="U2465" i="7" s="1"/>
  <c r="L2464" i="7"/>
  <c r="N2464" i="7" s="1"/>
  <c r="P2470" i="7"/>
  <c r="R2470" i="7" s="1"/>
  <c r="D2473" i="7"/>
  <c r="W2473" i="7" s="1"/>
  <c r="U2470" i="7"/>
  <c r="L2470" i="7"/>
  <c r="F2473" i="7"/>
  <c r="J2470" i="7"/>
  <c r="N2442" i="7"/>
  <c r="N2440" i="7"/>
  <c r="P2464" i="7"/>
  <c r="R2464" i="7" s="1"/>
  <c r="J2477" i="7"/>
  <c r="L2477" i="7"/>
  <c r="L2467" i="7"/>
  <c r="N2467" i="7" s="1"/>
  <c r="U2467" i="7"/>
  <c r="AA2372" i="7"/>
  <c r="AA2374" i="7"/>
  <c r="AA2373" i="7"/>
  <c r="D2520" i="7"/>
  <c r="D2515" i="7"/>
  <c r="D2518" i="7"/>
  <c r="D2519" i="7"/>
  <c r="D2517" i="7"/>
  <c r="D2521" i="7"/>
  <c r="W2435" i="7"/>
  <c r="Y2451" i="7"/>
  <c r="AA2451" i="7" s="1"/>
  <c r="Y2450" i="7"/>
  <c r="AA2450" i="7" s="1"/>
  <c r="Y2449" i="7"/>
  <c r="AA2449" i="7" s="1"/>
  <c r="J2472" i="7"/>
  <c r="A6231" i="7"/>
  <c r="A6221" i="7"/>
  <c r="C6205" i="7"/>
  <c r="A6213" i="7"/>
  <c r="A6215" i="7"/>
  <c r="A6217" i="7"/>
  <c r="A6230" i="7"/>
  <c r="A6226" i="7"/>
  <c r="A6225" i="7"/>
  <c r="A6227" i="7"/>
  <c r="A6223" i="7"/>
  <c r="A6214" i="7"/>
  <c r="A6222" i="7"/>
  <c r="A6212" i="7"/>
  <c r="A6229" i="7"/>
  <c r="A6220" i="7"/>
  <c r="A6235" i="7"/>
  <c r="B6221" i="7"/>
  <c r="B6230" i="7"/>
  <c r="B6223" i="7"/>
  <c r="B6214" i="7"/>
  <c r="B6213" i="7"/>
  <c r="B6212" i="7"/>
  <c r="B6222" i="7"/>
  <c r="B6217" i="7"/>
  <c r="B6231" i="7"/>
  <c r="B6229" i="7"/>
  <c r="B6226" i="7"/>
  <c r="B6225" i="7"/>
  <c r="B6227" i="7"/>
  <c r="B6220" i="7"/>
  <c r="B6235" i="7"/>
  <c r="B6215" i="7"/>
  <c r="N2481" i="7" l="1"/>
  <c r="N2480" i="7"/>
  <c r="N2465" i="7"/>
  <c r="P2465" i="7" s="1"/>
  <c r="R2465" i="7" s="1"/>
  <c r="L2511" i="7"/>
  <c r="AA2381" i="7"/>
  <c r="AA2382" i="7"/>
  <c r="L2509" i="7"/>
  <c r="W2505" i="7"/>
  <c r="W2509" i="7" s="1"/>
  <c r="L2510" i="7"/>
  <c r="N2443" i="7"/>
  <c r="P2443" i="7" s="1"/>
  <c r="R2443" i="7" s="1"/>
  <c r="AA2413" i="7"/>
  <c r="AA2410" i="7" s="1"/>
  <c r="P2494" i="7"/>
  <c r="R2494" i="7" s="1"/>
  <c r="AA2435" i="7"/>
  <c r="AA2434" i="7" s="1"/>
  <c r="N2475" i="7"/>
  <c r="AA2475" i="7" s="1"/>
  <c r="N2476" i="7"/>
  <c r="AA2476" i="7" s="1"/>
  <c r="W2506" i="7"/>
  <c r="W2510" i="7" s="1"/>
  <c r="W2507" i="7"/>
  <c r="W2511" i="7" s="1"/>
  <c r="N2470" i="7"/>
  <c r="N2472" i="7"/>
  <c r="A2630" i="7"/>
  <c r="A2615" i="7"/>
  <c r="A2622" i="7"/>
  <c r="C2605" i="7"/>
  <c r="A2629" i="7"/>
  <c r="A2623" i="7"/>
  <c r="A2626" i="7"/>
  <c r="A2617" i="7"/>
  <c r="A2613" i="7"/>
  <c r="A2621" i="7"/>
  <c r="A2625" i="7"/>
  <c r="A2627" i="7"/>
  <c r="A2612" i="7"/>
  <c r="A2631" i="7"/>
  <c r="A2620" i="7"/>
  <c r="A2614" i="7"/>
  <c r="Y2562" i="7"/>
  <c r="Y2563" i="7" s="1"/>
  <c r="Y2567" i="7"/>
  <c r="Y2552" i="7"/>
  <c r="Y2561" i="7"/>
  <c r="Y2553" i="7"/>
  <c r="Y2566" i="7"/>
  <c r="Y2560" i="7"/>
  <c r="Y2557" i="7"/>
  <c r="Y2554" i="7"/>
  <c r="Y2555" i="7" s="1"/>
  <c r="Y2565" i="7"/>
  <c r="AA2437" i="7"/>
  <c r="J2554" i="7"/>
  <c r="J2557" i="7"/>
  <c r="J2553" i="7"/>
  <c r="J2552" i="7"/>
  <c r="P2502" i="7"/>
  <c r="R2502" i="7" s="1"/>
  <c r="F2570" i="7"/>
  <c r="U2570" i="7" s="1"/>
  <c r="F2565" i="7"/>
  <c r="U2565" i="7" s="1"/>
  <c r="D2570" i="7"/>
  <c r="D2554" i="7"/>
  <c r="H2566" i="7"/>
  <c r="F2562" i="7"/>
  <c r="F2557" i="7"/>
  <c r="G2546" i="7"/>
  <c r="F2554" i="7"/>
  <c r="F2560" i="7"/>
  <c r="F2566" i="7"/>
  <c r="U2566" i="7" s="1"/>
  <c r="D2562" i="7"/>
  <c r="D2557" i="7"/>
  <c r="W2557" i="7" s="1"/>
  <c r="D2546" i="7"/>
  <c r="H2570" i="7"/>
  <c r="D2566" i="7"/>
  <c r="H2569" i="7"/>
  <c r="F2569" i="7"/>
  <c r="U2569" i="7" s="1"/>
  <c r="H2571" i="7"/>
  <c r="D2569" i="7"/>
  <c r="H2565" i="7"/>
  <c r="D2565" i="7"/>
  <c r="D2571" i="7"/>
  <c r="H2567" i="7"/>
  <c r="F2561" i="7"/>
  <c r="U2561" i="7" s="1"/>
  <c r="F2567" i="7"/>
  <c r="U2567" i="7" s="1"/>
  <c r="D2567" i="7"/>
  <c r="F2571" i="7"/>
  <c r="U2571" i="7" s="1"/>
  <c r="D2561" i="7"/>
  <c r="F2553" i="7"/>
  <c r="U2553" i="7" s="1"/>
  <c r="D2553" i="7"/>
  <c r="D2560" i="7"/>
  <c r="F2552" i="7"/>
  <c r="D2552" i="7"/>
  <c r="D2581" i="7"/>
  <c r="D2577" i="7"/>
  <c r="D2575" i="7"/>
  <c r="D2580" i="7"/>
  <c r="D2579" i="7"/>
  <c r="D2578" i="7"/>
  <c r="B2621" i="7"/>
  <c r="B2630" i="7"/>
  <c r="B2615" i="7"/>
  <c r="B2626" i="7"/>
  <c r="B2629" i="7"/>
  <c r="B2623" i="7"/>
  <c r="B2613" i="7"/>
  <c r="B2625" i="7"/>
  <c r="B2612" i="7"/>
  <c r="B2627" i="7"/>
  <c r="B2631" i="7"/>
  <c r="B2620" i="7"/>
  <c r="B2614" i="7"/>
  <c r="B2622" i="7"/>
  <c r="B2617" i="7"/>
  <c r="P2467" i="7"/>
  <c r="R2467" i="7" s="1"/>
  <c r="F2503" i="7"/>
  <c r="U2500" i="7"/>
  <c r="L2500" i="7"/>
  <c r="L2505" i="7"/>
  <c r="J2505" i="7"/>
  <c r="Y2480" i="7"/>
  <c r="AA2480" i="7" s="1"/>
  <c r="W2465" i="7"/>
  <c r="Y2479" i="7"/>
  <c r="AA2479" i="7" s="1"/>
  <c r="Y2481" i="7"/>
  <c r="AA2481" i="7" s="1"/>
  <c r="L2507" i="7"/>
  <c r="J2507" i="7"/>
  <c r="L2494" i="7"/>
  <c r="N2494" i="7" s="1"/>
  <c r="U2494" i="7"/>
  <c r="U2495" i="7" s="1"/>
  <c r="J2523" i="7"/>
  <c r="J2522" i="7"/>
  <c r="J2524" i="7"/>
  <c r="J2527" i="7"/>
  <c r="P2500" i="7"/>
  <c r="R2500" i="7" s="1"/>
  <c r="D2503" i="7"/>
  <c r="W2503" i="7" s="1"/>
  <c r="J2500" i="7"/>
  <c r="J2511" i="7"/>
  <c r="J2509" i="7"/>
  <c r="J2510" i="7"/>
  <c r="F2495" i="7"/>
  <c r="U2492" i="7"/>
  <c r="L2492" i="7"/>
  <c r="N2492" i="7" s="1"/>
  <c r="L2502" i="7"/>
  <c r="U2502" i="7"/>
  <c r="U2503" i="7" s="1"/>
  <c r="D2495" i="7"/>
  <c r="P2492" i="7"/>
  <c r="R2492" i="7" s="1"/>
  <c r="U2497" i="7"/>
  <c r="L2497" i="7"/>
  <c r="N2497" i="7" s="1"/>
  <c r="AA2404" i="7"/>
  <c r="AA2402" i="7"/>
  <c r="AA2403" i="7"/>
  <c r="J2502" i="7"/>
  <c r="P2493" i="7"/>
  <c r="R2493" i="7" s="1"/>
  <c r="N2493" i="7"/>
  <c r="J2501" i="7"/>
  <c r="N2501" i="7" s="1"/>
  <c r="J2506" i="7"/>
  <c r="L2506" i="7"/>
  <c r="N2477" i="7"/>
  <c r="AA2477" i="7" s="1"/>
  <c r="Y2531" i="7"/>
  <c r="Y2522" i="7"/>
  <c r="Y2532" i="7"/>
  <c r="Y2533" i="7" s="1"/>
  <c r="Y2536" i="7"/>
  <c r="Y2527" i="7"/>
  <c r="Y2530" i="7"/>
  <c r="Y2524" i="7"/>
  <c r="Y2525" i="7" s="1"/>
  <c r="Y2535" i="7"/>
  <c r="Y2537" i="7"/>
  <c r="Y2523" i="7"/>
  <c r="F2539" i="7"/>
  <c r="U2539" i="7" s="1"/>
  <c r="D2527" i="7"/>
  <c r="W2527" i="7" s="1"/>
  <c r="F2530" i="7"/>
  <c r="D2523" i="7"/>
  <c r="F2540" i="7"/>
  <c r="U2540" i="7" s="1"/>
  <c r="F2536" i="7"/>
  <c r="U2536" i="7" s="1"/>
  <c r="D2532" i="7"/>
  <c r="H2537" i="7"/>
  <c r="F2531" i="7"/>
  <c r="U2531" i="7" s="1"/>
  <c r="F2537" i="7"/>
  <c r="U2537" i="7" s="1"/>
  <c r="D2531" i="7"/>
  <c r="H2541" i="7"/>
  <c r="F2541" i="7"/>
  <c r="U2541" i="7" s="1"/>
  <c r="F2523" i="7"/>
  <c r="U2523" i="7" s="1"/>
  <c r="G2516" i="7"/>
  <c r="D2541" i="7"/>
  <c r="D2516" i="7"/>
  <c r="H2539" i="7"/>
  <c r="D2537" i="7"/>
  <c r="D2522" i="7"/>
  <c r="H2540" i="7"/>
  <c r="F2524" i="7"/>
  <c r="D2540" i="7"/>
  <c r="D2524" i="7"/>
  <c r="H2535" i="7"/>
  <c r="F2535" i="7"/>
  <c r="U2535" i="7" s="1"/>
  <c r="D2530" i="7"/>
  <c r="F2532" i="7"/>
  <c r="F2522" i="7"/>
  <c r="D2539" i="7"/>
  <c r="D2536" i="7"/>
  <c r="D2535" i="7"/>
  <c r="H2536" i="7"/>
  <c r="F2527" i="7"/>
  <c r="P2501" i="7"/>
  <c r="R2501" i="7" s="1"/>
  <c r="A6250" i="7"/>
  <c r="C6235" i="7"/>
  <c r="A6244" i="7"/>
  <c r="A6252" i="7"/>
  <c r="A6247" i="7"/>
  <c r="A6245" i="7"/>
  <c r="A6255" i="7"/>
  <c r="A6256" i="7"/>
  <c r="A6253" i="7"/>
  <c r="A6265" i="7"/>
  <c r="A6260" i="7"/>
  <c r="A6242" i="7"/>
  <c r="A6259" i="7"/>
  <c r="A6261" i="7"/>
  <c r="A6243" i="7"/>
  <c r="A6251" i="7"/>
  <c r="A6257" i="7"/>
  <c r="B6256" i="7"/>
  <c r="B6261" i="7"/>
  <c r="B6251" i="7"/>
  <c r="B6252" i="7"/>
  <c r="B6245" i="7"/>
  <c r="B6242" i="7"/>
  <c r="B6255" i="7"/>
  <c r="B6247" i="7"/>
  <c r="B6257" i="7"/>
  <c r="B6250" i="7"/>
  <c r="B6265" i="7"/>
  <c r="B6253" i="7"/>
  <c r="B6244" i="7"/>
  <c r="B6259" i="7"/>
  <c r="B6243" i="7"/>
  <c r="B6260" i="7"/>
  <c r="D6205" i="7"/>
  <c r="D6209" i="7"/>
  <c r="D6211" i="7"/>
  <c r="D6210" i="7"/>
  <c r="D6208" i="7"/>
  <c r="D6207" i="7"/>
  <c r="M286" i="24"/>
  <c r="M287" i="24" s="1"/>
  <c r="L286" i="24"/>
  <c r="L287" i="24" s="1"/>
  <c r="K286" i="24"/>
  <c r="K287" i="24" s="1"/>
  <c r="X285" i="24"/>
  <c r="R285" i="24"/>
  <c r="N2511" i="7" l="1"/>
  <c r="N2509" i="7"/>
  <c r="L2570" i="7"/>
  <c r="AA2411" i="7"/>
  <c r="L2569" i="7"/>
  <c r="AA2412" i="7"/>
  <c r="W2567" i="7"/>
  <c r="W2571" i="7" s="1"/>
  <c r="L2571" i="7"/>
  <c r="L2540" i="7"/>
  <c r="N2495" i="7"/>
  <c r="P2495" i="7" s="1"/>
  <c r="R2495" i="7" s="1"/>
  <c r="L2541" i="7"/>
  <c r="AA2443" i="7"/>
  <c r="AA2442" i="7" s="1"/>
  <c r="W2535" i="7"/>
  <c r="W2539" i="7" s="1"/>
  <c r="L2539" i="7"/>
  <c r="N2473" i="7"/>
  <c r="P2473" i="7" s="1"/>
  <c r="R2473" i="7" s="1"/>
  <c r="N2510" i="7"/>
  <c r="AA2433" i="7"/>
  <c r="AA2432" i="7"/>
  <c r="N2500" i="7"/>
  <c r="P2524" i="7"/>
  <c r="R2524" i="7" s="1"/>
  <c r="N2507" i="7"/>
  <c r="AA2507" i="7" s="1"/>
  <c r="W2565" i="7"/>
  <c r="W2569" i="7" s="1"/>
  <c r="N2505" i="7"/>
  <c r="AA2505" i="7" s="1"/>
  <c r="W2537" i="7"/>
  <c r="W2541" i="7" s="1"/>
  <c r="W2536" i="7"/>
  <c r="W2540" i="7" s="1"/>
  <c r="P2553" i="7"/>
  <c r="R2553" i="7" s="1"/>
  <c r="P2561" i="7"/>
  <c r="R2561" i="7" s="1"/>
  <c r="W2566" i="7"/>
  <c r="W2570" i="7" s="1"/>
  <c r="L2560" i="7"/>
  <c r="F2563" i="7"/>
  <c r="U2560" i="7"/>
  <c r="L2554" i="7"/>
  <c r="N2554" i="7" s="1"/>
  <c r="U2554" i="7"/>
  <c r="U2555" i="7" s="1"/>
  <c r="L2557" i="7"/>
  <c r="N2557" i="7" s="1"/>
  <c r="U2557" i="7"/>
  <c r="A2643" i="7"/>
  <c r="A2660" i="7"/>
  <c r="A2642" i="7"/>
  <c r="A2645" i="7"/>
  <c r="A2657" i="7"/>
  <c r="A2651" i="7"/>
  <c r="A2655" i="7"/>
  <c r="A2652" i="7"/>
  <c r="A2650" i="7"/>
  <c r="C2635" i="7"/>
  <c r="A2656" i="7"/>
  <c r="A2644" i="7"/>
  <c r="A2659" i="7"/>
  <c r="A2653" i="7"/>
  <c r="A2665" i="7"/>
  <c r="A2661" i="7"/>
  <c r="A2647" i="7"/>
  <c r="P2562" i="7"/>
  <c r="R2562" i="7" s="1"/>
  <c r="J2583" i="7"/>
  <c r="J2587" i="7"/>
  <c r="J2584" i="7"/>
  <c r="J2582" i="7"/>
  <c r="P2554" i="7"/>
  <c r="R2554" i="7" s="1"/>
  <c r="L2567" i="7"/>
  <c r="J2567" i="7"/>
  <c r="Y2591" i="7"/>
  <c r="Y2596" i="7"/>
  <c r="Y2590" i="7"/>
  <c r="Y2584" i="7"/>
  <c r="Y2585" i="7" s="1"/>
  <c r="Y2582" i="7"/>
  <c r="Y2592" i="7"/>
  <c r="Y2593" i="7" s="1"/>
  <c r="Y2587" i="7"/>
  <c r="Y2583" i="7"/>
  <c r="Y2597" i="7"/>
  <c r="Y2595" i="7"/>
  <c r="D2611" i="7"/>
  <c r="D2610" i="7"/>
  <c r="D2607" i="7"/>
  <c r="D2609" i="7"/>
  <c r="D2608" i="7"/>
  <c r="D2605" i="7"/>
  <c r="J2570" i="7"/>
  <c r="J2571" i="7"/>
  <c r="J2569" i="7"/>
  <c r="J2562" i="7"/>
  <c r="L2565" i="7"/>
  <c r="J2565" i="7"/>
  <c r="P2552" i="7"/>
  <c r="R2552" i="7" s="1"/>
  <c r="D2555" i="7"/>
  <c r="N2553" i="7"/>
  <c r="J2561" i="7"/>
  <c r="N2561" i="7" s="1"/>
  <c r="U2562" i="7"/>
  <c r="U2563" i="7" s="1"/>
  <c r="L2562" i="7"/>
  <c r="U2552" i="7"/>
  <c r="F2555" i="7"/>
  <c r="L2552" i="7"/>
  <c r="N2552" i="7" s="1"/>
  <c r="J2560" i="7"/>
  <c r="B2650" i="7"/>
  <c r="B2656" i="7"/>
  <c r="B2660" i="7"/>
  <c r="B2657" i="7"/>
  <c r="B2655" i="7"/>
  <c r="B2652" i="7"/>
  <c r="B2643" i="7"/>
  <c r="B2661" i="7"/>
  <c r="B2645" i="7"/>
  <c r="B2653" i="7"/>
  <c r="B2651" i="7"/>
  <c r="B2642" i="7"/>
  <c r="B2644" i="7"/>
  <c r="B2659" i="7"/>
  <c r="B2665" i="7"/>
  <c r="B2647" i="7"/>
  <c r="F2599" i="7"/>
  <c r="U2599" i="7" s="1"/>
  <c r="D2587" i="7"/>
  <c r="W2587" i="7" s="1"/>
  <c r="D2599" i="7"/>
  <c r="F2583" i="7"/>
  <c r="U2583" i="7" s="1"/>
  <c r="F2601" i="7"/>
  <c r="U2601" i="7" s="1"/>
  <c r="H2595" i="7"/>
  <c r="D2592" i="7"/>
  <c r="D2584" i="7"/>
  <c r="D2601" i="7"/>
  <c r="F2595" i="7"/>
  <c r="U2595" i="7" s="1"/>
  <c r="F2592" i="7"/>
  <c r="D2595" i="7"/>
  <c r="F2587" i="7"/>
  <c r="F2584" i="7"/>
  <c r="H2599" i="7"/>
  <c r="D2583" i="7"/>
  <c r="D2591" i="7"/>
  <c r="H2600" i="7"/>
  <c r="F2582" i="7"/>
  <c r="F2600" i="7"/>
  <c r="U2600" i="7" s="1"/>
  <c r="D2582" i="7"/>
  <c r="D2600" i="7"/>
  <c r="H2596" i="7"/>
  <c r="H2601" i="7"/>
  <c r="F2591" i="7"/>
  <c r="U2591" i="7" s="1"/>
  <c r="F2597" i="7"/>
  <c r="U2597" i="7" s="1"/>
  <c r="D2590" i="7"/>
  <c r="H2597" i="7"/>
  <c r="F2590" i="7"/>
  <c r="D2597" i="7"/>
  <c r="F2596" i="7"/>
  <c r="U2596" i="7" s="1"/>
  <c r="G2576" i="7"/>
  <c r="D2596" i="7"/>
  <c r="D2576" i="7"/>
  <c r="P2560" i="7"/>
  <c r="R2560" i="7" s="1"/>
  <c r="D2563" i="7"/>
  <c r="W2563" i="7" s="1"/>
  <c r="L2566" i="7"/>
  <c r="J2566" i="7"/>
  <c r="J2532" i="7"/>
  <c r="U2532" i="7"/>
  <c r="U2533" i="7" s="1"/>
  <c r="L2532" i="7"/>
  <c r="J2530" i="7"/>
  <c r="D2533" i="7"/>
  <c r="W2533" i="7" s="1"/>
  <c r="P2530" i="7"/>
  <c r="R2530" i="7" s="1"/>
  <c r="N2523" i="7"/>
  <c r="J2531" i="7"/>
  <c r="N2531" i="7" s="1"/>
  <c r="N2502" i="7"/>
  <c r="U2527" i="7"/>
  <c r="L2527" i="7"/>
  <c r="N2527" i="7" s="1"/>
  <c r="Y2510" i="7"/>
  <c r="W2495" i="7"/>
  <c r="Y2511" i="7"/>
  <c r="AA2511" i="7" s="1"/>
  <c r="Y2509" i="7"/>
  <c r="AA2509" i="7" s="1"/>
  <c r="J2540" i="7"/>
  <c r="J2541" i="7"/>
  <c r="J2539" i="7"/>
  <c r="N2506" i="7"/>
  <c r="AA2506" i="7" s="1"/>
  <c r="J2535" i="7"/>
  <c r="L2535" i="7"/>
  <c r="L2536" i="7"/>
  <c r="J2536" i="7"/>
  <c r="AA2465" i="7"/>
  <c r="F2525" i="7"/>
  <c r="L2522" i="7"/>
  <c r="N2522" i="7" s="1"/>
  <c r="U2522" i="7"/>
  <c r="P2532" i="7"/>
  <c r="R2532" i="7" s="1"/>
  <c r="U2524" i="7"/>
  <c r="U2525" i="7" s="1"/>
  <c r="L2524" i="7"/>
  <c r="N2524" i="7" s="1"/>
  <c r="D2525" i="7"/>
  <c r="P2522" i="7"/>
  <c r="R2522" i="7" s="1"/>
  <c r="P2523" i="7"/>
  <c r="R2523" i="7" s="1"/>
  <c r="P2531" i="7"/>
  <c r="R2531" i="7" s="1"/>
  <c r="P2497" i="7"/>
  <c r="R2497" i="7" s="1"/>
  <c r="L2537" i="7"/>
  <c r="J2537" i="7"/>
  <c r="L2530" i="7"/>
  <c r="U2530" i="7"/>
  <c r="F2533" i="7"/>
  <c r="AA2467" i="7"/>
  <c r="A6286" i="7"/>
  <c r="A6285" i="7"/>
  <c r="A6275" i="7"/>
  <c r="A6295" i="7"/>
  <c r="A6273" i="7"/>
  <c r="A6281" i="7"/>
  <c r="A6280" i="7"/>
  <c r="A6289" i="7"/>
  <c r="A6282" i="7"/>
  <c r="A6277" i="7"/>
  <c r="C6265" i="7"/>
  <c r="A6283" i="7"/>
  <c r="A6287" i="7"/>
  <c r="A6272" i="7"/>
  <c r="A6291" i="7"/>
  <c r="A6290" i="7"/>
  <c r="A6274" i="7"/>
  <c r="B6283" i="7"/>
  <c r="B6280" i="7"/>
  <c r="B6274" i="7"/>
  <c r="B6295" i="7"/>
  <c r="B6282" i="7"/>
  <c r="B6277" i="7"/>
  <c r="B6287" i="7"/>
  <c r="B6285" i="7"/>
  <c r="B6281" i="7"/>
  <c r="B6273" i="7"/>
  <c r="B6289" i="7"/>
  <c r="B6290" i="7"/>
  <c r="B6272" i="7"/>
  <c r="B6275" i="7"/>
  <c r="B6286" i="7"/>
  <c r="B6291" i="7"/>
  <c r="J6213" i="7"/>
  <c r="J6212" i="7"/>
  <c r="J6214" i="7"/>
  <c r="J6217" i="7"/>
  <c r="D6237" i="7"/>
  <c r="D6241" i="7"/>
  <c r="D6235" i="7"/>
  <c r="D6238" i="7"/>
  <c r="D6240" i="7"/>
  <c r="D6239" i="7"/>
  <c r="Y6220" i="7"/>
  <c r="Y6214" i="7"/>
  <c r="Y6215" i="7" s="1"/>
  <c r="Y6221" i="7"/>
  <c r="Y6225" i="7"/>
  <c r="Y6227" i="7"/>
  <c r="Y6213" i="7"/>
  <c r="Y6226" i="7"/>
  <c r="Y6217" i="7"/>
  <c r="Y6212" i="7"/>
  <c r="Y6222" i="7"/>
  <c r="Y6223" i="7" s="1"/>
  <c r="D6225" i="7"/>
  <c r="D6217" i="7"/>
  <c r="W6217" i="7" s="1"/>
  <c r="F6217" i="7"/>
  <c r="F6220" i="7"/>
  <c r="D6213" i="7"/>
  <c r="D6206" i="7"/>
  <c r="F6213" i="7"/>
  <c r="U6213" i="7" s="1"/>
  <c r="D6220" i="7"/>
  <c r="F6227" i="7"/>
  <c r="U6227" i="7" s="1"/>
  <c r="H6225" i="7"/>
  <c r="D6222" i="7"/>
  <c r="F6221" i="7"/>
  <c r="U6221" i="7" s="1"/>
  <c r="D6230" i="7"/>
  <c r="F6231" i="7"/>
  <c r="U6231" i="7" s="1"/>
  <c r="F6214" i="7"/>
  <c r="D6227" i="7"/>
  <c r="H6229" i="7"/>
  <c r="H6230" i="7"/>
  <c r="D6214" i="7"/>
  <c r="F6212" i="7"/>
  <c r="F6229" i="7"/>
  <c r="U6229" i="7" s="1"/>
  <c r="D6226" i="7"/>
  <c r="D6229" i="7"/>
  <c r="D6221" i="7"/>
  <c r="G6206" i="7"/>
  <c r="F6226" i="7"/>
  <c r="U6226" i="7" s="1"/>
  <c r="D6212" i="7"/>
  <c r="F6222" i="7"/>
  <c r="H6227" i="7"/>
  <c r="F6225" i="7"/>
  <c r="U6225" i="7" s="1"/>
  <c r="F6230" i="7"/>
  <c r="U6230" i="7" s="1"/>
  <c r="H6226" i="7"/>
  <c r="H6231" i="7"/>
  <c r="D6231" i="7"/>
  <c r="N2569" i="7" l="1"/>
  <c r="L2600" i="7"/>
  <c r="N2570" i="7"/>
  <c r="N2539" i="7"/>
  <c r="N2555" i="7"/>
  <c r="P2555" i="7" s="1"/>
  <c r="R2555" i="7" s="1"/>
  <c r="N2540" i="7"/>
  <c r="N2541" i="7"/>
  <c r="AA2473" i="7"/>
  <c r="AA2471" i="7" s="1"/>
  <c r="L2599" i="7"/>
  <c r="L2601" i="7"/>
  <c r="N2571" i="7"/>
  <c r="AA2440" i="7"/>
  <c r="W2596" i="7"/>
  <c r="W2600" i="7" s="1"/>
  <c r="AA2510" i="7"/>
  <c r="AA2441" i="7"/>
  <c r="N2525" i="7"/>
  <c r="P2525" i="7" s="1"/>
  <c r="R2525" i="7" s="1"/>
  <c r="N2503" i="7"/>
  <c r="P2503" i="7" s="1"/>
  <c r="R2503" i="7" s="1"/>
  <c r="N2565" i="7"/>
  <c r="AA2565" i="7" s="1"/>
  <c r="N2562" i="7"/>
  <c r="P2584" i="7"/>
  <c r="R2584" i="7" s="1"/>
  <c r="N2566" i="7"/>
  <c r="AA2566" i="7" s="1"/>
  <c r="P2592" i="7"/>
  <c r="R2592" i="7" s="1"/>
  <c r="N2537" i="7"/>
  <c r="AA2537" i="7" s="1"/>
  <c r="N2536" i="7"/>
  <c r="AA2536" i="7" s="1"/>
  <c r="W2597" i="7"/>
  <c r="W2601" i="7" s="1"/>
  <c r="N2560" i="7"/>
  <c r="Y2617" i="7"/>
  <c r="Y2614" i="7"/>
  <c r="Y2615" i="7" s="1"/>
  <c r="Y2627" i="7"/>
  <c r="Y2625" i="7"/>
  <c r="Y2621" i="7"/>
  <c r="Y2612" i="7"/>
  <c r="Y2620" i="7"/>
  <c r="Y2622" i="7"/>
  <c r="Y2623" i="7" s="1"/>
  <c r="Y2626" i="7"/>
  <c r="Y2613" i="7"/>
  <c r="AA2497" i="7"/>
  <c r="U2582" i="7"/>
  <c r="L2582" i="7"/>
  <c r="N2582" i="7" s="1"/>
  <c r="F2585" i="7"/>
  <c r="N2583" i="7"/>
  <c r="J2591" i="7"/>
  <c r="N2591" i="7" s="1"/>
  <c r="J2599" i="7"/>
  <c r="J2601" i="7"/>
  <c r="J2600" i="7"/>
  <c r="N2600" i="7" s="1"/>
  <c r="W2595" i="7"/>
  <c r="W2599" i="7" s="1"/>
  <c r="P2583" i="7"/>
  <c r="R2583" i="7" s="1"/>
  <c r="B2680" i="7"/>
  <c r="B2690" i="7"/>
  <c r="B2672" i="7"/>
  <c r="B2681" i="7"/>
  <c r="B2675" i="7"/>
  <c r="B2685" i="7"/>
  <c r="B2674" i="7"/>
  <c r="B2682" i="7"/>
  <c r="B2695" i="7"/>
  <c r="B2687" i="7"/>
  <c r="B2691" i="7"/>
  <c r="B2686" i="7"/>
  <c r="B2673" i="7"/>
  <c r="B2683" i="7"/>
  <c r="B2677" i="7"/>
  <c r="B2689" i="7"/>
  <c r="A2673" i="7"/>
  <c r="A2675" i="7"/>
  <c r="A2672" i="7"/>
  <c r="A2687" i="7"/>
  <c r="A2685" i="7"/>
  <c r="A2695" i="7"/>
  <c r="A2690" i="7"/>
  <c r="A2689" i="7"/>
  <c r="A2691" i="7"/>
  <c r="A2674" i="7"/>
  <c r="A2686" i="7"/>
  <c r="A2680" i="7"/>
  <c r="A2683" i="7"/>
  <c r="A2677" i="7"/>
  <c r="C2665" i="7"/>
  <c r="A2681" i="7"/>
  <c r="A2682" i="7"/>
  <c r="J2612" i="7"/>
  <c r="J2614" i="7"/>
  <c r="J2613" i="7"/>
  <c r="J2617" i="7"/>
  <c r="L2597" i="7"/>
  <c r="J2597" i="7"/>
  <c r="N2530" i="7"/>
  <c r="W2555" i="7"/>
  <c r="Y2570" i="7"/>
  <c r="Y2569" i="7"/>
  <c r="AA2569" i="7" s="1"/>
  <c r="Y2571" i="7"/>
  <c r="P2582" i="7"/>
  <c r="R2582" i="7" s="1"/>
  <c r="D2585" i="7"/>
  <c r="L2587" i="7"/>
  <c r="N2587" i="7" s="1"/>
  <c r="U2587" i="7"/>
  <c r="P2557" i="7"/>
  <c r="R2557" i="7" s="1"/>
  <c r="L2595" i="7"/>
  <c r="J2595" i="7"/>
  <c r="D2593" i="7"/>
  <c r="W2593" i="7" s="1"/>
  <c r="P2590" i="7"/>
  <c r="R2590" i="7" s="1"/>
  <c r="L2592" i="7"/>
  <c r="U2592" i="7"/>
  <c r="U2593" i="7" s="1"/>
  <c r="L2596" i="7"/>
  <c r="J2596" i="7"/>
  <c r="U2584" i="7"/>
  <c r="U2585" i="7" s="1"/>
  <c r="L2584" i="7"/>
  <c r="N2584" i="7" s="1"/>
  <c r="L2590" i="7"/>
  <c r="U2590" i="7"/>
  <c r="F2593" i="7"/>
  <c r="D2638" i="7"/>
  <c r="D2641" i="7"/>
  <c r="D2635" i="7"/>
  <c r="D2639" i="7"/>
  <c r="D2637" i="7"/>
  <c r="D2640" i="7"/>
  <c r="J2590" i="7"/>
  <c r="J2592" i="7"/>
  <c r="P2591" i="7"/>
  <c r="R2591" i="7" s="1"/>
  <c r="F2631" i="7"/>
  <c r="U2631" i="7" s="1"/>
  <c r="F2626" i="7"/>
  <c r="U2626" i="7" s="1"/>
  <c r="D2626" i="7"/>
  <c r="F2622" i="7"/>
  <c r="D2622" i="7"/>
  <c r="F2612" i="7"/>
  <c r="H2626" i="7"/>
  <c r="F2621" i="7"/>
  <c r="U2621" i="7" s="1"/>
  <c r="H2627" i="7"/>
  <c r="F2613" i="7"/>
  <c r="U2613" i="7" s="1"/>
  <c r="H2630" i="7"/>
  <c r="D2621" i="7"/>
  <c r="D2613" i="7"/>
  <c r="F2630" i="7"/>
  <c r="U2630" i="7" s="1"/>
  <c r="G2606" i="7"/>
  <c r="H2625" i="7"/>
  <c r="H2629" i="7"/>
  <c r="F2625" i="7"/>
  <c r="U2625" i="7" s="1"/>
  <c r="D2629" i="7"/>
  <c r="H2631" i="7"/>
  <c r="F2629" i="7"/>
  <c r="U2629" i="7" s="1"/>
  <c r="D2625" i="7"/>
  <c r="F2627" i="7"/>
  <c r="U2627" i="7" s="1"/>
  <c r="D2612" i="7"/>
  <c r="F2620" i="7"/>
  <c r="D2631" i="7"/>
  <c r="D2627" i="7"/>
  <c r="D2620" i="7"/>
  <c r="D2630" i="7"/>
  <c r="F2614" i="7"/>
  <c r="D2606" i="7"/>
  <c r="D2614" i="7"/>
  <c r="F2617" i="7"/>
  <c r="D2617" i="7"/>
  <c r="W2617" i="7" s="1"/>
  <c r="N2567" i="7"/>
  <c r="AA2567" i="7" s="1"/>
  <c r="P2527" i="7"/>
  <c r="R2527" i="7" s="1"/>
  <c r="Y2541" i="7"/>
  <c r="Y2539" i="7"/>
  <c r="AA2539" i="7" s="1"/>
  <c r="Y2540" i="7"/>
  <c r="AA2540" i="7" s="1"/>
  <c r="W2525" i="7"/>
  <c r="AA2463" i="7"/>
  <c r="AA2462" i="7"/>
  <c r="AA2464" i="7"/>
  <c r="AA2495" i="7"/>
  <c r="N2532" i="7"/>
  <c r="N2535" i="7"/>
  <c r="AA2535" i="7" s="1"/>
  <c r="P6222" i="7"/>
  <c r="R6222" i="7" s="1"/>
  <c r="L6231" i="7"/>
  <c r="W6227" i="7"/>
  <c r="W6231" i="7" s="1"/>
  <c r="L6229" i="7"/>
  <c r="L6230" i="7"/>
  <c r="W6225" i="7"/>
  <c r="W6229" i="7" s="1"/>
  <c r="L6225" i="7"/>
  <c r="J6225" i="7"/>
  <c r="J6221" i="7"/>
  <c r="N6221" i="7" s="1"/>
  <c r="N6213" i="7"/>
  <c r="L6227" i="7"/>
  <c r="J6227" i="7"/>
  <c r="B6303" i="7"/>
  <c r="B6319" i="7"/>
  <c r="B6316" i="7"/>
  <c r="B6311" i="7"/>
  <c r="B6304" i="7"/>
  <c r="B6310" i="7"/>
  <c r="B6313" i="7"/>
  <c r="B6321" i="7"/>
  <c r="B6317" i="7"/>
  <c r="B6312" i="7"/>
  <c r="B6307" i="7"/>
  <c r="B6315" i="7"/>
  <c r="B6325" i="7"/>
  <c r="B6320" i="7"/>
  <c r="B6305" i="7"/>
  <c r="B6302" i="7"/>
  <c r="L6214" i="7"/>
  <c r="N6214" i="7" s="1"/>
  <c r="U6214" i="7"/>
  <c r="U6215" i="7" s="1"/>
  <c r="A6310" i="7"/>
  <c r="A6313" i="7"/>
  <c r="A6319" i="7"/>
  <c r="A6303" i="7"/>
  <c r="C6295" i="7"/>
  <c r="A6321" i="7"/>
  <c r="A6312" i="7"/>
  <c r="A6307" i="7"/>
  <c r="A6304" i="7"/>
  <c r="A6320" i="7"/>
  <c r="A6315" i="7"/>
  <c r="A6305" i="7"/>
  <c r="A6317" i="7"/>
  <c r="A6302" i="7"/>
  <c r="A6325" i="7"/>
  <c r="A6311" i="7"/>
  <c r="A6316" i="7"/>
  <c r="W6226" i="7"/>
  <c r="W6230" i="7" s="1"/>
  <c r="P6221" i="7"/>
  <c r="R6221" i="7" s="1"/>
  <c r="P6220" i="7"/>
  <c r="R6220" i="7" s="1"/>
  <c r="D6223" i="7"/>
  <c r="W6223" i="7" s="1"/>
  <c r="L6226" i="7"/>
  <c r="J6226" i="7"/>
  <c r="J6229" i="7"/>
  <c r="J6230" i="7"/>
  <c r="J6231" i="7"/>
  <c r="D6265" i="7"/>
  <c r="D6269" i="7"/>
  <c r="D6268" i="7"/>
  <c r="D6267" i="7"/>
  <c r="D6271" i="7"/>
  <c r="D6270" i="7"/>
  <c r="P6213" i="7"/>
  <c r="R6213" i="7" s="1"/>
  <c r="F6215" i="7"/>
  <c r="L6212" i="7"/>
  <c r="N6212" i="7" s="1"/>
  <c r="U6212" i="7"/>
  <c r="L6220" i="7"/>
  <c r="U6220" i="7"/>
  <c r="F6223" i="7"/>
  <c r="F6259" i="7"/>
  <c r="U6259" i="7" s="1"/>
  <c r="D6256" i="7"/>
  <c r="H6255" i="7"/>
  <c r="D6252" i="7"/>
  <c r="F6255" i="7"/>
  <c r="U6255" i="7" s="1"/>
  <c r="G6236" i="7"/>
  <c r="F6251" i="7"/>
  <c r="U6251" i="7" s="1"/>
  <c r="D6243" i="7"/>
  <c r="F6244" i="7"/>
  <c r="D6260" i="7"/>
  <c r="H6261" i="7"/>
  <c r="D6242" i="7"/>
  <c r="F6252" i="7"/>
  <c r="F6257" i="7"/>
  <c r="U6257" i="7" s="1"/>
  <c r="D6259" i="7"/>
  <c r="D6255" i="7"/>
  <c r="H6260" i="7"/>
  <c r="D6257" i="7"/>
  <c r="F6260" i="7"/>
  <c r="U6260" i="7" s="1"/>
  <c r="H6259" i="7"/>
  <c r="D6244" i="7"/>
  <c r="H6256" i="7"/>
  <c r="F6261" i="7"/>
  <c r="U6261" i="7" s="1"/>
  <c r="D6261" i="7"/>
  <c r="F6247" i="7"/>
  <c r="H6257" i="7"/>
  <c r="D6247" i="7"/>
  <c r="W6247" i="7" s="1"/>
  <c r="F6243" i="7"/>
  <c r="U6243" i="7" s="1"/>
  <c r="D6251" i="7"/>
  <c r="D6250" i="7"/>
  <c r="D6236" i="7"/>
  <c r="F6242" i="7"/>
  <c r="F6256" i="7"/>
  <c r="U6256" i="7" s="1"/>
  <c r="F6250" i="7"/>
  <c r="U6222" i="7"/>
  <c r="U6223" i="7" s="1"/>
  <c r="L6222" i="7"/>
  <c r="P6212" i="7"/>
  <c r="R6212" i="7" s="1"/>
  <c r="D6215" i="7"/>
  <c r="P6214" i="7"/>
  <c r="R6214" i="7" s="1"/>
  <c r="U6217" i="7"/>
  <c r="L6217" i="7"/>
  <c r="N6217" i="7" s="1"/>
  <c r="Y6255" i="7"/>
  <c r="Y6243" i="7"/>
  <c r="Y6251" i="7"/>
  <c r="Y6250" i="7"/>
  <c r="Y6252" i="7"/>
  <c r="Y6253" i="7" s="1"/>
  <c r="Y6257" i="7"/>
  <c r="Y6256" i="7"/>
  <c r="Y6242" i="7"/>
  <c r="Y6247" i="7"/>
  <c r="Y6244" i="7"/>
  <c r="Y6245" i="7" s="1"/>
  <c r="J6222" i="7"/>
  <c r="J6242" i="7"/>
  <c r="J6243" i="7"/>
  <c r="J6247" i="7"/>
  <c r="J6244" i="7"/>
  <c r="J6252" i="7" s="1"/>
  <c r="J6220" i="7"/>
  <c r="AA2541" i="7" l="1"/>
  <c r="AA2570" i="7"/>
  <c r="N2599" i="7"/>
  <c r="N2601" i="7"/>
  <c r="AA2470" i="7"/>
  <c r="AA2571" i="7"/>
  <c r="AA2472" i="7"/>
  <c r="AA2503" i="7"/>
  <c r="AA2500" i="7" s="1"/>
  <c r="L2631" i="7"/>
  <c r="L2629" i="7"/>
  <c r="N2585" i="7"/>
  <c r="P2585" i="7" s="1"/>
  <c r="R2585" i="7" s="1"/>
  <c r="W2627" i="7"/>
  <c r="W2631" i="7" s="1"/>
  <c r="L2630" i="7"/>
  <c r="N2563" i="7"/>
  <c r="P2563" i="7" s="1"/>
  <c r="R2563" i="7" s="1"/>
  <c r="N2533" i="7"/>
  <c r="P2533" i="7" s="1"/>
  <c r="R2533" i="7" s="1"/>
  <c r="W2625" i="7"/>
  <c r="W2629" i="7" s="1"/>
  <c r="AA2525" i="7"/>
  <c r="AA2524" i="7" s="1"/>
  <c r="N2592" i="7"/>
  <c r="N2595" i="7"/>
  <c r="AA2595" i="7" s="1"/>
  <c r="N2596" i="7"/>
  <c r="AA2596" i="7" s="1"/>
  <c r="P2613" i="7"/>
  <c r="R2613" i="7" s="1"/>
  <c r="P2621" i="7"/>
  <c r="R2621" i="7" s="1"/>
  <c r="N2597" i="7"/>
  <c r="AA2597" i="7" s="1"/>
  <c r="W2626" i="7"/>
  <c r="W2630" i="7" s="1"/>
  <c r="P2587" i="7"/>
  <c r="R2587" i="7" s="1"/>
  <c r="U2622" i="7"/>
  <c r="U2623" i="7" s="1"/>
  <c r="L2622" i="7"/>
  <c r="L2626" i="7"/>
  <c r="J2626" i="7"/>
  <c r="P2614" i="7"/>
  <c r="R2614" i="7" s="1"/>
  <c r="D2668" i="7"/>
  <c r="D2671" i="7"/>
  <c r="D2669" i="7"/>
  <c r="D2670" i="7"/>
  <c r="D2667" i="7"/>
  <c r="D2665" i="7"/>
  <c r="J2631" i="7"/>
  <c r="J2630" i="7"/>
  <c r="J2629" i="7"/>
  <c r="AA2555" i="7"/>
  <c r="J2620" i="7"/>
  <c r="U2614" i="7"/>
  <c r="U2615" i="7" s="1"/>
  <c r="L2614" i="7"/>
  <c r="N2614" i="7" s="1"/>
  <c r="L2627" i="7"/>
  <c r="J2627" i="7"/>
  <c r="B2720" i="7"/>
  <c r="B2702" i="7"/>
  <c r="B2707" i="7"/>
  <c r="B2715" i="7"/>
  <c r="B2712" i="7"/>
  <c r="B2721" i="7"/>
  <c r="B2713" i="7"/>
  <c r="B2711" i="7"/>
  <c r="B2725" i="7"/>
  <c r="B2716" i="7"/>
  <c r="B2703" i="7"/>
  <c r="B2717" i="7"/>
  <c r="B2704" i="7"/>
  <c r="B2710" i="7"/>
  <c r="B2719" i="7"/>
  <c r="B2705" i="7"/>
  <c r="F2660" i="7"/>
  <c r="U2660" i="7" s="1"/>
  <c r="F2655" i="7"/>
  <c r="U2655" i="7" s="1"/>
  <c r="D2656" i="7"/>
  <c r="F2652" i="7"/>
  <c r="H2661" i="7"/>
  <c r="D2652" i="7"/>
  <c r="D2657" i="7"/>
  <c r="D2651" i="7"/>
  <c r="D2643" i="7"/>
  <c r="G2636" i="7"/>
  <c r="D2661" i="7"/>
  <c r="D2655" i="7"/>
  <c r="F2650" i="7"/>
  <c r="D2650" i="7"/>
  <c r="D2636" i="7"/>
  <c r="F2643" i="7"/>
  <c r="U2643" i="7" s="1"/>
  <c r="F2661" i="7"/>
  <c r="U2661" i="7" s="1"/>
  <c r="H2659" i="7"/>
  <c r="D2647" i="7"/>
  <c r="W2647" i="7" s="1"/>
  <c r="F2644" i="7"/>
  <c r="F2656" i="7"/>
  <c r="U2656" i="7" s="1"/>
  <c r="D2642" i="7"/>
  <c r="H2660" i="7"/>
  <c r="D2644" i="7"/>
  <c r="F2651" i="7"/>
  <c r="U2651" i="7" s="1"/>
  <c r="D2660" i="7"/>
  <c r="F2659" i="7"/>
  <c r="U2659" i="7" s="1"/>
  <c r="H2655" i="7"/>
  <c r="D2659" i="7"/>
  <c r="F2647" i="7"/>
  <c r="H2657" i="7"/>
  <c r="F2642" i="7"/>
  <c r="F2657" i="7"/>
  <c r="U2657" i="7" s="1"/>
  <c r="H2656" i="7"/>
  <c r="Y2601" i="7"/>
  <c r="AA2601" i="7" s="1"/>
  <c r="Y2600" i="7"/>
  <c r="AA2600" i="7" s="1"/>
  <c r="W2585" i="7"/>
  <c r="Y2599" i="7"/>
  <c r="AA2599" i="7" s="1"/>
  <c r="D2623" i="7"/>
  <c r="W2623" i="7" s="1"/>
  <c r="P2620" i="7"/>
  <c r="R2620" i="7" s="1"/>
  <c r="Y2652" i="7"/>
  <c r="Y2653" i="7" s="1"/>
  <c r="Y2644" i="7"/>
  <c r="Y2645" i="7" s="1"/>
  <c r="Y2656" i="7"/>
  <c r="Y2651" i="7"/>
  <c r="Y2647" i="7"/>
  <c r="Y2642" i="7"/>
  <c r="Y2657" i="7"/>
  <c r="Y2655" i="7"/>
  <c r="Y2650" i="7"/>
  <c r="Y2643" i="7"/>
  <c r="A2702" i="7"/>
  <c r="A2705" i="7"/>
  <c r="A2725" i="7"/>
  <c r="A2703" i="7"/>
  <c r="A2704" i="7"/>
  <c r="A2715" i="7"/>
  <c r="A2712" i="7"/>
  <c r="A2721" i="7"/>
  <c r="A2720" i="7"/>
  <c r="A2717" i="7"/>
  <c r="A2707" i="7"/>
  <c r="A2713" i="7"/>
  <c r="A2711" i="7"/>
  <c r="C2695" i="7"/>
  <c r="A2716" i="7"/>
  <c r="A2710" i="7"/>
  <c r="A2719" i="7"/>
  <c r="D2615" i="7"/>
  <c r="P2612" i="7"/>
  <c r="R2612" i="7" s="1"/>
  <c r="J2625" i="7"/>
  <c r="L2625" i="7"/>
  <c r="U2612" i="7"/>
  <c r="F2615" i="7"/>
  <c r="L2612" i="7"/>
  <c r="N2612" i="7" s="1"/>
  <c r="J2622" i="7"/>
  <c r="L2617" i="7"/>
  <c r="N2617" i="7" s="1"/>
  <c r="U2617" i="7"/>
  <c r="N2590" i="7"/>
  <c r="J2647" i="7"/>
  <c r="J2643" i="7"/>
  <c r="J2644" i="7"/>
  <c r="J2642" i="7"/>
  <c r="U2620" i="7"/>
  <c r="F2623" i="7"/>
  <c r="L2620" i="7"/>
  <c r="P2622" i="7"/>
  <c r="R2622" i="7" s="1"/>
  <c r="AA2557" i="7"/>
  <c r="N2613" i="7"/>
  <c r="J2621" i="7"/>
  <c r="N2621" i="7" s="1"/>
  <c r="AA2494" i="7"/>
  <c r="AA2492" i="7"/>
  <c r="AA2493" i="7"/>
  <c r="AA2527" i="7"/>
  <c r="W6255" i="7"/>
  <c r="W6259" i="7" s="1"/>
  <c r="N6231" i="7"/>
  <c r="N6230" i="7"/>
  <c r="N6229" i="7"/>
  <c r="L6260" i="7"/>
  <c r="N6215" i="7"/>
  <c r="P6215" i="7" s="1"/>
  <c r="R6215" i="7" s="1"/>
  <c r="N6227" i="7"/>
  <c r="AA6227" i="7" s="1"/>
  <c r="L6259" i="7"/>
  <c r="W6257" i="7"/>
  <c r="W6261" i="7" s="1"/>
  <c r="N6226" i="7"/>
  <c r="AA6226" i="7" s="1"/>
  <c r="L6261" i="7"/>
  <c r="P6243" i="7"/>
  <c r="R6243" i="7" s="1"/>
  <c r="W6256" i="7"/>
  <c r="W6260" i="7" s="1"/>
  <c r="N6222" i="7"/>
  <c r="N6225" i="7"/>
  <c r="AA6225" i="7" s="1"/>
  <c r="P6217" i="7"/>
  <c r="R6217" i="7" s="1"/>
  <c r="J6250" i="7"/>
  <c r="D6253" i="7"/>
  <c r="W6253" i="7" s="1"/>
  <c r="P6250" i="7"/>
  <c r="R6250" i="7" s="1"/>
  <c r="D6295" i="7"/>
  <c r="D6300" i="7"/>
  <c r="D6297" i="7"/>
  <c r="D6298" i="7"/>
  <c r="D6301" i="7"/>
  <c r="D6299" i="7"/>
  <c r="P6251" i="7"/>
  <c r="R6251" i="7" s="1"/>
  <c r="L6252" i="7"/>
  <c r="N6252" i="7" s="1"/>
  <c r="U6252" i="7"/>
  <c r="U6253" i="7" s="1"/>
  <c r="D6245" i="7"/>
  <c r="P6242" i="7"/>
  <c r="R6242" i="7" s="1"/>
  <c r="L6244" i="7"/>
  <c r="N6244" i="7" s="1"/>
  <c r="U6244" i="7"/>
  <c r="U6245" i="7" s="1"/>
  <c r="A6349" i="7"/>
  <c r="A6345" i="7"/>
  <c r="A6350" i="7"/>
  <c r="A6346" i="7"/>
  <c r="A6333" i="7"/>
  <c r="C6325" i="7"/>
  <c r="A6343" i="7"/>
  <c r="A6351" i="7"/>
  <c r="A6341" i="7"/>
  <c r="A6335" i="7"/>
  <c r="A6340" i="7"/>
  <c r="A6347" i="7"/>
  <c r="A6332" i="7"/>
  <c r="A6334" i="7"/>
  <c r="A6342" i="7"/>
  <c r="A6355" i="7"/>
  <c r="A6337" i="7"/>
  <c r="W6215" i="7"/>
  <c r="Y6229" i="7"/>
  <c r="Y6231" i="7"/>
  <c r="Y6230" i="7"/>
  <c r="Y6280" i="7"/>
  <c r="Y6286" i="7"/>
  <c r="Y6285" i="7"/>
  <c r="Y6287" i="7"/>
  <c r="Y6272" i="7"/>
  <c r="Y6281" i="7"/>
  <c r="Y6274" i="7"/>
  <c r="Y6275" i="7" s="1"/>
  <c r="Y6282" i="7"/>
  <c r="Y6283" i="7" s="1"/>
  <c r="Y6277" i="7"/>
  <c r="Y6273" i="7"/>
  <c r="P6244" i="7"/>
  <c r="R6244" i="7" s="1"/>
  <c r="J6272" i="7"/>
  <c r="J6274" i="7"/>
  <c r="J6282" i="7" s="1"/>
  <c r="J6277" i="7"/>
  <c r="J6273" i="7"/>
  <c r="P6252" i="7"/>
  <c r="R6252" i="7" s="1"/>
  <c r="N6220" i="7"/>
  <c r="B6346" i="7"/>
  <c r="B6343" i="7"/>
  <c r="B6342" i="7"/>
  <c r="B6350" i="7"/>
  <c r="B6340" i="7"/>
  <c r="B6341" i="7"/>
  <c r="B6335" i="7"/>
  <c r="B6349" i="7"/>
  <c r="B6333" i="7"/>
  <c r="B6351" i="7"/>
  <c r="B6347" i="7"/>
  <c r="B6332" i="7"/>
  <c r="B6345" i="7"/>
  <c r="B6355" i="7"/>
  <c r="B6337" i="7"/>
  <c r="B6334" i="7"/>
  <c r="U6250" i="7"/>
  <c r="F6253" i="7"/>
  <c r="L6250" i="7"/>
  <c r="L6257" i="7"/>
  <c r="J6257" i="7"/>
  <c r="L6256" i="7"/>
  <c r="J6256" i="7"/>
  <c r="H6286" i="7"/>
  <c r="D6274" i="7"/>
  <c r="F6282" i="7"/>
  <c r="F6285" i="7"/>
  <c r="U6285" i="7" s="1"/>
  <c r="D6266" i="7"/>
  <c r="F6281" i="7"/>
  <c r="U6281" i="7" s="1"/>
  <c r="F6290" i="7"/>
  <c r="U6290" i="7" s="1"/>
  <c r="F6277" i="7"/>
  <c r="F6286" i="7"/>
  <c r="U6286" i="7" s="1"/>
  <c r="H6285" i="7"/>
  <c r="D6286" i="7"/>
  <c r="H6291" i="7"/>
  <c r="F6280" i="7"/>
  <c r="D6291" i="7"/>
  <c r="D6281" i="7"/>
  <c r="F6287" i="7"/>
  <c r="U6287" i="7" s="1"/>
  <c r="D6273" i="7"/>
  <c r="D6272" i="7"/>
  <c r="D6287" i="7"/>
  <c r="F6272" i="7"/>
  <c r="D6277" i="7"/>
  <c r="W6277" i="7" s="1"/>
  <c r="G6266" i="7"/>
  <c r="H6290" i="7"/>
  <c r="D6290" i="7"/>
  <c r="H6289" i="7"/>
  <c r="F6274" i="7"/>
  <c r="F6291" i="7"/>
  <c r="U6291" i="7" s="1"/>
  <c r="D6282" i="7"/>
  <c r="F6289" i="7"/>
  <c r="U6289" i="7" s="1"/>
  <c r="D6289" i="7"/>
  <c r="D6285" i="7"/>
  <c r="F6273" i="7"/>
  <c r="U6273" i="7" s="1"/>
  <c r="H6287" i="7"/>
  <c r="D6280" i="7"/>
  <c r="U6247" i="7"/>
  <c r="L6247" i="7"/>
  <c r="N6247" i="7" s="1"/>
  <c r="U6242" i="7"/>
  <c r="L6242" i="7"/>
  <c r="N6242" i="7" s="1"/>
  <c r="F6245" i="7"/>
  <c r="L6255" i="7"/>
  <c r="J6255" i="7"/>
  <c r="J6251" i="7"/>
  <c r="N6251" i="7" s="1"/>
  <c r="N6243" i="7"/>
  <c r="J6261" i="7"/>
  <c r="J6260" i="7"/>
  <c r="J6259" i="7"/>
  <c r="D33" i="15"/>
  <c r="C39" i="15" s="1"/>
  <c r="V21" i="15"/>
  <c r="D77" i="15"/>
  <c r="N2630" i="7" l="1"/>
  <c r="AA2502" i="7"/>
  <c r="N2631" i="7"/>
  <c r="AA2501" i="7"/>
  <c r="L2661" i="7"/>
  <c r="AA2563" i="7"/>
  <c r="AA2560" i="7" s="1"/>
  <c r="L2660" i="7"/>
  <c r="N2629" i="7"/>
  <c r="AA2533" i="7"/>
  <c r="AA2532" i="7" s="1"/>
  <c r="N2593" i="7"/>
  <c r="P2593" i="7" s="1"/>
  <c r="R2593" i="7" s="1"/>
  <c r="L2659" i="7"/>
  <c r="W2655" i="7"/>
  <c r="W2659" i="7" s="1"/>
  <c r="N2615" i="7"/>
  <c r="P2615" i="7" s="1"/>
  <c r="R2615" i="7" s="1"/>
  <c r="W2656" i="7"/>
  <c r="W2660" i="7" s="1"/>
  <c r="AA2523" i="7"/>
  <c r="AA2522" i="7"/>
  <c r="N2627" i="7"/>
  <c r="AA2627" i="7" s="1"/>
  <c r="W2657" i="7"/>
  <c r="W2661" i="7" s="1"/>
  <c r="P2643" i="7"/>
  <c r="R2643" i="7" s="1"/>
  <c r="N2626" i="7"/>
  <c r="AA2626" i="7" s="1"/>
  <c r="F2645" i="7"/>
  <c r="L2642" i="7"/>
  <c r="N2642" i="7" s="1"/>
  <c r="U2642" i="7"/>
  <c r="Y2682" i="7"/>
  <c r="Y2683" i="7" s="1"/>
  <c r="Y2680" i="7"/>
  <c r="Y2686" i="7"/>
  <c r="Y2674" i="7"/>
  <c r="Y2675" i="7" s="1"/>
  <c r="Y2672" i="7"/>
  <c r="Y2681" i="7"/>
  <c r="Y2677" i="7"/>
  <c r="Y2687" i="7"/>
  <c r="Y2685" i="7"/>
  <c r="Y2673" i="7"/>
  <c r="U2652" i="7"/>
  <c r="U2653" i="7" s="1"/>
  <c r="L2652" i="7"/>
  <c r="L2656" i="7"/>
  <c r="J2656" i="7"/>
  <c r="J2661" i="7"/>
  <c r="J2659" i="7"/>
  <c r="J2660" i="7"/>
  <c r="P2617" i="7"/>
  <c r="R2617" i="7" s="1"/>
  <c r="L2647" i="7"/>
  <c r="N2647" i="7" s="1"/>
  <c r="U2647" i="7"/>
  <c r="J2652" i="7"/>
  <c r="N2625" i="7"/>
  <c r="AA2625" i="7" s="1"/>
  <c r="J2655" i="7"/>
  <c r="L2655" i="7"/>
  <c r="F2690" i="7"/>
  <c r="U2690" i="7" s="1"/>
  <c r="F2685" i="7"/>
  <c r="U2685" i="7" s="1"/>
  <c r="F2686" i="7"/>
  <c r="U2686" i="7" s="1"/>
  <c r="D2681" i="7"/>
  <c r="H2689" i="7"/>
  <c r="H2685" i="7"/>
  <c r="H2691" i="7"/>
  <c r="F2682" i="7"/>
  <c r="F2691" i="7"/>
  <c r="U2691" i="7" s="1"/>
  <c r="D2691" i="7"/>
  <c r="D2672" i="7"/>
  <c r="H2687" i="7"/>
  <c r="D2685" i="7"/>
  <c r="H2690" i="7"/>
  <c r="F2687" i="7"/>
  <c r="U2687" i="7" s="1"/>
  <c r="D2690" i="7"/>
  <c r="D2687" i="7"/>
  <c r="G2666" i="7"/>
  <c r="D2666" i="7"/>
  <c r="F2673" i="7"/>
  <c r="U2673" i="7" s="1"/>
  <c r="D2680" i="7"/>
  <c r="F2677" i="7"/>
  <c r="F2689" i="7"/>
  <c r="U2689" i="7" s="1"/>
  <c r="D2677" i="7"/>
  <c r="W2677" i="7" s="1"/>
  <c r="F2672" i="7"/>
  <c r="F2680" i="7"/>
  <c r="D2673" i="7"/>
  <c r="D2689" i="7"/>
  <c r="D2682" i="7"/>
  <c r="F2681" i="7"/>
  <c r="U2681" i="7" s="1"/>
  <c r="F2674" i="7"/>
  <c r="D2674" i="7"/>
  <c r="H2686" i="7"/>
  <c r="D2686" i="7"/>
  <c r="J2650" i="7"/>
  <c r="AA2585" i="7"/>
  <c r="B2733" i="7"/>
  <c r="B2745" i="7"/>
  <c r="B2741" i="7"/>
  <c r="B2735" i="7"/>
  <c r="B2749" i="7"/>
  <c r="B2742" i="7"/>
  <c r="B2755" i="7"/>
  <c r="B2737" i="7"/>
  <c r="B2732" i="7"/>
  <c r="B2750" i="7"/>
  <c r="B2734" i="7"/>
  <c r="B2751" i="7"/>
  <c r="B2747" i="7"/>
  <c r="B2743" i="7"/>
  <c r="B2740" i="7"/>
  <c r="B2746" i="7"/>
  <c r="N2620" i="7"/>
  <c r="J2672" i="7"/>
  <c r="J2677" i="7"/>
  <c r="J2674" i="7"/>
  <c r="J2673" i="7"/>
  <c r="P2644" i="7"/>
  <c r="R2644" i="7" s="1"/>
  <c r="P2651" i="7"/>
  <c r="R2651" i="7" s="1"/>
  <c r="AA2552" i="7"/>
  <c r="AA2553" i="7"/>
  <c r="AA2554" i="7"/>
  <c r="D2701" i="7"/>
  <c r="D2697" i="7"/>
  <c r="D2695" i="7"/>
  <c r="D2699" i="7"/>
  <c r="D2700" i="7"/>
  <c r="D2698" i="7"/>
  <c r="L2644" i="7"/>
  <c r="N2644" i="7" s="1"/>
  <c r="U2644" i="7"/>
  <c r="U2645" i="7" s="1"/>
  <c r="P2650" i="7"/>
  <c r="R2650" i="7" s="1"/>
  <c r="N2653" i="7"/>
  <c r="D2653" i="7"/>
  <c r="W2653" i="7" s="1"/>
  <c r="N2643" i="7"/>
  <c r="J2651" i="7"/>
  <c r="N2651" i="7" s="1"/>
  <c r="A2749" i="7"/>
  <c r="A2732" i="7"/>
  <c r="A2737" i="7"/>
  <c r="A2734" i="7"/>
  <c r="A2755" i="7"/>
  <c r="A2750" i="7"/>
  <c r="A2745" i="7"/>
  <c r="C2725" i="7"/>
  <c r="A2751" i="7"/>
  <c r="A2733" i="7"/>
  <c r="A2743" i="7"/>
  <c r="A2740" i="7"/>
  <c r="A2746" i="7"/>
  <c r="A2735" i="7"/>
  <c r="A2742" i="7"/>
  <c r="A2747" i="7"/>
  <c r="A2741" i="7"/>
  <c r="L2657" i="7"/>
  <c r="J2657" i="7"/>
  <c r="AA2561" i="7"/>
  <c r="U2650" i="7"/>
  <c r="F2653" i="7"/>
  <c r="L2650" i="7"/>
  <c r="Y2630" i="7"/>
  <c r="W2615" i="7"/>
  <c r="Y2631" i="7"/>
  <c r="Y2629" i="7"/>
  <c r="N2622" i="7"/>
  <c r="D2645" i="7"/>
  <c r="N2645" i="7"/>
  <c r="P2642" i="7"/>
  <c r="R2642" i="7" s="1"/>
  <c r="P2652" i="7"/>
  <c r="R2652" i="7" s="1"/>
  <c r="AA2587" i="7"/>
  <c r="AA6230" i="7"/>
  <c r="AA6231" i="7"/>
  <c r="AA6229" i="7"/>
  <c r="L6289" i="7"/>
  <c r="N6223" i="7"/>
  <c r="P6223" i="7" s="1"/>
  <c r="R6223" i="7" s="1"/>
  <c r="N6260" i="7"/>
  <c r="N6259" i="7"/>
  <c r="N6261" i="7"/>
  <c r="N6255" i="7"/>
  <c r="AA6255" i="7" s="1"/>
  <c r="L6290" i="7"/>
  <c r="L6291" i="7"/>
  <c r="AA6217" i="7"/>
  <c r="N6245" i="7"/>
  <c r="P6245" i="7" s="1"/>
  <c r="R6245" i="7" s="1"/>
  <c r="P6282" i="7"/>
  <c r="R6282" i="7" s="1"/>
  <c r="W6285" i="7"/>
  <c r="W6289" i="7" s="1"/>
  <c r="L6285" i="7"/>
  <c r="J6285" i="7"/>
  <c r="P6281" i="7"/>
  <c r="R6281" i="7" s="1"/>
  <c r="N6273" i="7"/>
  <c r="J6281" i="7"/>
  <c r="N6281" i="7" s="1"/>
  <c r="N6257" i="7"/>
  <c r="AA6257" i="7" s="1"/>
  <c r="L6280" i="7"/>
  <c r="F6283" i="7"/>
  <c r="U6280" i="7"/>
  <c r="D6321" i="7"/>
  <c r="D6296" i="7"/>
  <c r="D6316" i="7"/>
  <c r="D6315" i="7"/>
  <c r="F6310" i="7"/>
  <c r="F6311" i="7"/>
  <c r="U6311" i="7" s="1"/>
  <c r="F6304" i="7"/>
  <c r="D6311" i="7"/>
  <c r="H6320" i="7"/>
  <c r="H6317" i="7"/>
  <c r="H6319" i="7"/>
  <c r="D6304" i="7"/>
  <c r="F6320" i="7"/>
  <c r="U6320" i="7" s="1"/>
  <c r="H6321" i="7"/>
  <c r="D6317" i="7"/>
  <c r="F6302" i="7"/>
  <c r="D6302" i="7"/>
  <c r="D6312" i="7"/>
  <c r="F6315" i="7"/>
  <c r="U6315" i="7" s="1"/>
  <c r="H6315" i="7"/>
  <c r="H6316" i="7"/>
  <c r="D6310" i="7"/>
  <c r="F6307" i="7"/>
  <c r="F6303" i="7"/>
  <c r="U6303" i="7" s="1"/>
  <c r="F6317" i="7"/>
  <c r="U6317" i="7" s="1"/>
  <c r="F6312" i="7"/>
  <c r="D6303" i="7"/>
  <c r="D6320" i="7"/>
  <c r="F6319" i="7"/>
  <c r="U6319" i="7" s="1"/>
  <c r="G6296" i="7"/>
  <c r="D6319" i="7"/>
  <c r="F6321" i="7"/>
  <c r="U6321" i="7" s="1"/>
  <c r="F6316" i="7"/>
  <c r="U6316" i="7" s="1"/>
  <c r="D6307" i="7"/>
  <c r="W6307" i="7" s="1"/>
  <c r="D6328" i="7"/>
  <c r="D6327" i="7"/>
  <c r="D6331" i="7"/>
  <c r="D6330" i="7"/>
  <c r="D6325" i="7"/>
  <c r="D6329" i="7"/>
  <c r="J6302" i="7"/>
  <c r="J6310" i="7" s="1"/>
  <c r="J6303" i="7"/>
  <c r="J6307" i="7"/>
  <c r="J6304" i="7"/>
  <c r="P6247" i="7"/>
  <c r="R6247" i="7" s="1"/>
  <c r="W6286" i="7"/>
  <c r="W6290" i="7" s="1"/>
  <c r="A6364" i="7"/>
  <c r="A6376" i="7"/>
  <c r="A6372" i="7"/>
  <c r="A6373" i="7"/>
  <c r="A6381" i="7"/>
  <c r="A6380" i="7"/>
  <c r="A6371" i="7"/>
  <c r="A6370" i="7"/>
  <c r="A6375" i="7"/>
  <c r="A6363" i="7"/>
  <c r="C6355" i="7"/>
  <c r="A6365" i="7"/>
  <c r="A6362" i="7"/>
  <c r="A6379" i="7"/>
  <c r="A6385" i="7"/>
  <c r="A6367" i="7"/>
  <c r="A6377" i="7"/>
  <c r="J6290" i="7"/>
  <c r="J6291" i="7"/>
  <c r="J6289" i="7"/>
  <c r="W6287" i="7"/>
  <c r="W6291" i="7" s="1"/>
  <c r="Y6316" i="7"/>
  <c r="Y6310" i="7"/>
  <c r="Y6304" i="7"/>
  <c r="Y6305" i="7" s="1"/>
  <c r="Y6307" i="7"/>
  <c r="Y6312" i="7"/>
  <c r="Y6313" i="7" s="1"/>
  <c r="Y6315" i="7"/>
  <c r="Y6317" i="7"/>
  <c r="Y6302" i="7"/>
  <c r="Y6311" i="7"/>
  <c r="Y6303" i="7"/>
  <c r="L6274" i="7"/>
  <c r="N6274" i="7" s="1"/>
  <c r="U6274" i="7"/>
  <c r="U6275" i="7" s="1"/>
  <c r="L6277" i="7"/>
  <c r="N6277" i="7" s="1"/>
  <c r="U6277" i="7"/>
  <c r="B6373" i="7"/>
  <c r="B6367" i="7"/>
  <c r="B6379" i="7"/>
  <c r="B6375" i="7"/>
  <c r="B6371" i="7"/>
  <c r="B6363" i="7"/>
  <c r="B6370" i="7"/>
  <c r="B6364" i="7"/>
  <c r="B6376" i="7"/>
  <c r="B6372" i="7"/>
  <c r="B6380" i="7"/>
  <c r="B6385" i="7"/>
  <c r="B6362" i="7"/>
  <c r="B6377" i="7"/>
  <c r="B6381" i="7"/>
  <c r="B6365" i="7"/>
  <c r="U6272" i="7"/>
  <c r="F6275" i="7"/>
  <c r="L6272" i="7"/>
  <c r="N6272" i="7" s="1"/>
  <c r="L6287" i="7"/>
  <c r="J6287" i="7"/>
  <c r="U6282" i="7"/>
  <c r="U6283" i="7" s="1"/>
  <c r="L6282" i="7"/>
  <c r="N6282" i="7" s="1"/>
  <c r="P6280" i="7"/>
  <c r="R6280" i="7" s="1"/>
  <c r="D6283" i="7"/>
  <c r="W6283" i="7" s="1"/>
  <c r="P6272" i="7"/>
  <c r="R6272" i="7" s="1"/>
  <c r="D6275" i="7"/>
  <c r="P6274" i="7"/>
  <c r="R6274" i="7" s="1"/>
  <c r="N6250" i="7"/>
  <c r="N6253" i="7" s="1"/>
  <c r="J6280" i="7"/>
  <c r="P6273" i="7"/>
  <c r="R6273" i="7" s="1"/>
  <c r="J6286" i="7"/>
  <c r="L6286" i="7"/>
  <c r="N6256" i="7"/>
  <c r="AA6256" i="7" s="1"/>
  <c r="AA6215" i="7"/>
  <c r="Y6261" i="7"/>
  <c r="Y6260" i="7"/>
  <c r="Y6259" i="7"/>
  <c r="W6245" i="7"/>
  <c r="C38" i="15"/>
  <c r="AA2630" i="7" l="1"/>
  <c r="N2661" i="7"/>
  <c r="N2660" i="7"/>
  <c r="AA2631" i="7"/>
  <c r="AA2562" i="7"/>
  <c r="AA2629" i="7"/>
  <c r="L2689" i="7"/>
  <c r="L2691" i="7"/>
  <c r="AA2593" i="7"/>
  <c r="AA2591" i="7" s="1"/>
  <c r="AA2531" i="7"/>
  <c r="N2659" i="7"/>
  <c r="AA2530" i="7"/>
  <c r="W2686" i="7"/>
  <c r="W2690" i="7" s="1"/>
  <c r="L2690" i="7"/>
  <c r="N2623" i="7"/>
  <c r="P2623" i="7" s="1"/>
  <c r="R2623" i="7" s="1"/>
  <c r="P2682" i="7"/>
  <c r="R2682" i="7" s="1"/>
  <c r="W2687" i="7"/>
  <c r="W2691" i="7" s="1"/>
  <c r="W2685" i="7"/>
  <c r="W2689" i="7" s="1"/>
  <c r="P2674" i="7"/>
  <c r="R2674" i="7" s="1"/>
  <c r="AA2615" i="7"/>
  <c r="AA2612" i="7" s="1"/>
  <c r="N2657" i="7"/>
  <c r="AA2657" i="7" s="1"/>
  <c r="N2655" i="7"/>
  <c r="AA2655" i="7" s="1"/>
  <c r="N2673" i="7"/>
  <c r="J2681" i="7"/>
  <c r="N2681" i="7" s="1"/>
  <c r="N2652" i="7"/>
  <c r="P2653" i="7"/>
  <c r="R2653" i="7" s="1"/>
  <c r="J2682" i="7"/>
  <c r="P2673" i="7"/>
  <c r="R2673" i="7" s="1"/>
  <c r="D2675" i="7"/>
  <c r="P2672" i="7"/>
  <c r="R2672" i="7" s="1"/>
  <c r="N2675" i="7"/>
  <c r="J2685" i="7"/>
  <c r="L2685" i="7"/>
  <c r="U2680" i="7"/>
  <c r="L2680" i="7"/>
  <c r="F2683" i="7"/>
  <c r="P2647" i="7"/>
  <c r="R2647" i="7" s="1"/>
  <c r="B2762" i="7"/>
  <c r="B2775" i="7"/>
  <c r="B2771" i="7"/>
  <c r="B2777" i="7"/>
  <c r="B2763" i="7"/>
  <c r="B2765" i="7"/>
  <c r="B2781" i="7"/>
  <c r="B2779" i="7"/>
  <c r="B2776" i="7"/>
  <c r="B2785" i="7"/>
  <c r="B2780" i="7"/>
  <c r="B2773" i="7"/>
  <c r="B2770" i="7"/>
  <c r="B2772" i="7"/>
  <c r="B2767" i="7"/>
  <c r="B2764" i="7"/>
  <c r="D2731" i="7"/>
  <c r="D2730" i="7"/>
  <c r="D2729" i="7"/>
  <c r="D2725" i="7"/>
  <c r="D2727" i="7"/>
  <c r="D2728" i="7"/>
  <c r="J2680" i="7"/>
  <c r="U2672" i="7"/>
  <c r="L2672" i="7"/>
  <c r="N2672" i="7" s="1"/>
  <c r="F2675" i="7"/>
  <c r="U2682" i="7"/>
  <c r="U2683" i="7" s="1"/>
  <c r="L2682" i="7"/>
  <c r="F2719" i="7"/>
  <c r="U2719" i="7" s="1"/>
  <c r="D2707" i="7"/>
  <c r="W2707" i="7" s="1"/>
  <c r="F2716" i="7"/>
  <c r="U2716" i="7" s="1"/>
  <c r="F2712" i="7"/>
  <c r="F2707" i="7"/>
  <c r="G2696" i="7"/>
  <c r="H2720" i="7"/>
  <c r="H2716" i="7"/>
  <c r="D2712" i="7"/>
  <c r="D2696" i="7"/>
  <c r="F2721" i="7"/>
  <c r="U2721" i="7" s="1"/>
  <c r="D2715" i="7"/>
  <c r="F2702" i="7"/>
  <c r="D2721" i="7"/>
  <c r="F2710" i="7"/>
  <c r="D2702" i="7"/>
  <c r="D2710" i="7"/>
  <c r="H2719" i="7"/>
  <c r="D2711" i="7"/>
  <c r="D2716" i="7"/>
  <c r="F2703" i="7"/>
  <c r="U2703" i="7" s="1"/>
  <c r="D2703" i="7"/>
  <c r="D2719" i="7"/>
  <c r="H2715" i="7"/>
  <c r="D2717" i="7"/>
  <c r="D2704" i="7"/>
  <c r="H2717" i="7"/>
  <c r="F2717" i="7"/>
  <c r="U2717" i="7" s="1"/>
  <c r="F2704" i="7"/>
  <c r="F2711" i="7"/>
  <c r="U2711" i="7" s="1"/>
  <c r="H2721" i="7"/>
  <c r="F2720" i="7"/>
  <c r="U2720" i="7" s="1"/>
  <c r="D2720" i="7"/>
  <c r="F2715" i="7"/>
  <c r="U2715" i="7" s="1"/>
  <c r="P2681" i="7"/>
  <c r="R2681" i="7" s="1"/>
  <c r="L2674" i="7"/>
  <c r="N2674" i="7" s="1"/>
  <c r="U2674" i="7"/>
  <c r="U2675" i="7" s="1"/>
  <c r="U2677" i="7"/>
  <c r="L2677" i="7"/>
  <c r="N2677" i="7" s="1"/>
  <c r="AA2582" i="7"/>
  <c r="AA2584" i="7"/>
  <c r="AA2583" i="7"/>
  <c r="N2683" i="7"/>
  <c r="P2680" i="7"/>
  <c r="R2680" i="7" s="1"/>
  <c r="D2683" i="7"/>
  <c r="W2683" i="7" s="1"/>
  <c r="P2645" i="7"/>
  <c r="R2645" i="7" s="1"/>
  <c r="Y2661" i="7"/>
  <c r="AA2661" i="7" s="1"/>
  <c r="Y2659" i="7"/>
  <c r="Y2660" i="7"/>
  <c r="W2645" i="7"/>
  <c r="J2703" i="7"/>
  <c r="J2704" i="7"/>
  <c r="J2702" i="7"/>
  <c r="J2707" i="7"/>
  <c r="N2650" i="7"/>
  <c r="J2689" i="7"/>
  <c r="J2690" i="7"/>
  <c r="J2691" i="7"/>
  <c r="Y2711" i="7"/>
  <c r="Y2710" i="7"/>
  <c r="Y2717" i="7"/>
  <c r="Y2716" i="7"/>
  <c r="Y2703" i="7"/>
  <c r="Y2712" i="7"/>
  <c r="Y2713" i="7" s="1"/>
  <c r="Y2704" i="7"/>
  <c r="Y2705" i="7" s="1"/>
  <c r="Y2715" i="7"/>
  <c r="Y2702" i="7"/>
  <c r="Y2707" i="7"/>
  <c r="L2686" i="7"/>
  <c r="J2686" i="7"/>
  <c r="AA2617" i="7"/>
  <c r="A2785" i="7"/>
  <c r="A2777" i="7"/>
  <c r="A2763" i="7"/>
  <c r="A2771" i="7"/>
  <c r="A2765" i="7"/>
  <c r="A2781" i="7"/>
  <c r="A2779" i="7"/>
  <c r="A2776" i="7"/>
  <c r="A2772" i="7"/>
  <c r="A2780" i="7"/>
  <c r="A2762" i="7"/>
  <c r="A2764" i="7"/>
  <c r="A2773" i="7"/>
  <c r="A2770" i="7"/>
  <c r="C2755" i="7"/>
  <c r="A2767" i="7"/>
  <c r="A2775" i="7"/>
  <c r="L2687" i="7"/>
  <c r="J2687" i="7"/>
  <c r="N2656" i="7"/>
  <c r="AA2656" i="7" s="1"/>
  <c r="N6291" i="7"/>
  <c r="N6290" i="7"/>
  <c r="AA6223" i="7"/>
  <c r="AA6220" i="7" s="1"/>
  <c r="N6289" i="7"/>
  <c r="AA6259" i="7"/>
  <c r="AA6260" i="7"/>
  <c r="AA6261" i="7"/>
  <c r="N6287" i="7"/>
  <c r="AA6287" i="7" s="1"/>
  <c r="N6275" i="7"/>
  <c r="P6275" i="7" s="1"/>
  <c r="R6275" i="7" s="1"/>
  <c r="W6315" i="7"/>
  <c r="W6319" i="7" s="1"/>
  <c r="L6321" i="7"/>
  <c r="N6285" i="7"/>
  <c r="AA6285" i="7" s="1"/>
  <c r="AA6247" i="7"/>
  <c r="P6304" i="7"/>
  <c r="R6304" i="7" s="1"/>
  <c r="P6312" i="7"/>
  <c r="R6312" i="7" s="1"/>
  <c r="L6319" i="7"/>
  <c r="N6280" i="7"/>
  <c r="N6283" i="7" s="1"/>
  <c r="P6283" i="7" s="1"/>
  <c r="R6283" i="7" s="1"/>
  <c r="L6320" i="7"/>
  <c r="P6253" i="7"/>
  <c r="R6253" i="7" s="1"/>
  <c r="P6277" i="7"/>
  <c r="R6277" i="7" s="1"/>
  <c r="J6321" i="7"/>
  <c r="J6320" i="7"/>
  <c r="J6319" i="7"/>
  <c r="N6286" i="7"/>
  <c r="AA6286" i="7" s="1"/>
  <c r="P6302" i="7"/>
  <c r="R6302" i="7" s="1"/>
  <c r="D6305" i="7"/>
  <c r="AA6245" i="7"/>
  <c r="U6302" i="7"/>
  <c r="L6302" i="7"/>
  <c r="N6302" i="7" s="1"/>
  <c r="F6305" i="7"/>
  <c r="J6312" i="7"/>
  <c r="W6317" i="7"/>
  <c r="W6321" i="7" s="1"/>
  <c r="P6303" i="7"/>
  <c r="R6303" i="7" s="1"/>
  <c r="L6317" i="7"/>
  <c r="J6317" i="7"/>
  <c r="D6358" i="7"/>
  <c r="D6357" i="7"/>
  <c r="D6355" i="7"/>
  <c r="D6360" i="7"/>
  <c r="D6361" i="7"/>
  <c r="D6359" i="7"/>
  <c r="N6303" i="7"/>
  <c r="J6311" i="7"/>
  <c r="N6311" i="7" s="1"/>
  <c r="L6312" i="7"/>
  <c r="U6312" i="7"/>
  <c r="U6313" i="7" s="1"/>
  <c r="W6316" i="7"/>
  <c r="W6320" i="7" s="1"/>
  <c r="Y6289" i="7"/>
  <c r="Y6290" i="7"/>
  <c r="Y6291" i="7"/>
  <c r="W6275" i="7"/>
  <c r="A6402" i="7"/>
  <c r="A6392" i="7"/>
  <c r="A6403" i="7"/>
  <c r="A6400" i="7"/>
  <c r="A6411" i="7"/>
  <c r="A6394" i="7"/>
  <c r="A6415" i="7"/>
  <c r="A6406" i="7"/>
  <c r="A6393" i="7"/>
  <c r="A6401" i="7"/>
  <c r="C6385" i="7"/>
  <c r="A6407" i="7"/>
  <c r="A6410" i="7"/>
  <c r="A6395" i="7"/>
  <c r="A6397" i="7"/>
  <c r="A6405" i="7"/>
  <c r="A6409" i="7"/>
  <c r="P6311" i="7"/>
  <c r="R6311" i="7" s="1"/>
  <c r="H6347" i="7"/>
  <c r="D6351" i="7"/>
  <c r="D6340" i="7"/>
  <c r="H6350" i="7"/>
  <c r="F6350" i="7"/>
  <c r="U6350" i="7" s="1"/>
  <c r="F6337" i="7"/>
  <c r="G6326" i="7"/>
  <c r="F6345" i="7"/>
  <c r="U6345" i="7" s="1"/>
  <c r="F6333" i="7"/>
  <c r="U6333" i="7" s="1"/>
  <c r="F6342" i="7"/>
  <c r="F6340" i="7"/>
  <c r="D6350" i="7"/>
  <c r="D6349" i="7"/>
  <c r="F6341" i="7"/>
  <c r="U6341" i="7" s="1"/>
  <c r="F6351" i="7"/>
  <c r="U6351" i="7" s="1"/>
  <c r="F6332" i="7"/>
  <c r="D6346" i="7"/>
  <c r="H6345" i="7"/>
  <c r="H6346" i="7"/>
  <c r="F6346" i="7"/>
  <c r="U6346" i="7" s="1"/>
  <c r="D6326" i="7"/>
  <c r="D6342" i="7"/>
  <c r="H6351" i="7"/>
  <c r="D6345" i="7"/>
  <c r="D6333" i="7"/>
  <c r="D6332" i="7"/>
  <c r="F6347" i="7"/>
  <c r="U6347" i="7" s="1"/>
  <c r="D6341" i="7"/>
  <c r="H6349" i="7"/>
  <c r="F6349" i="7"/>
  <c r="U6349" i="7" s="1"/>
  <c r="F6334" i="7"/>
  <c r="D6347" i="7"/>
  <c r="D6337" i="7"/>
  <c r="W6337" i="7" s="1"/>
  <c r="D6334" i="7"/>
  <c r="U6307" i="7"/>
  <c r="L6307" i="7"/>
  <c r="N6307" i="7" s="1"/>
  <c r="U6304" i="7"/>
  <c r="U6305" i="7" s="1"/>
  <c r="L6304" i="7"/>
  <c r="N6304" i="7" s="1"/>
  <c r="D6313" i="7"/>
  <c r="W6313" i="7" s="1"/>
  <c r="P6310" i="7"/>
  <c r="R6310" i="7" s="1"/>
  <c r="Y6347" i="7"/>
  <c r="Y6346" i="7"/>
  <c r="Y6332" i="7"/>
  <c r="Y6345" i="7"/>
  <c r="Y6342" i="7"/>
  <c r="Y6343" i="7" s="1"/>
  <c r="Y6341" i="7"/>
  <c r="Y6340" i="7"/>
  <c r="Y6337" i="7"/>
  <c r="Y6334" i="7"/>
  <c r="Y6335" i="7" s="1"/>
  <c r="Y6333" i="7"/>
  <c r="U6310" i="7"/>
  <c r="F6313" i="7"/>
  <c r="L6310" i="7"/>
  <c r="N6310" i="7" s="1"/>
  <c r="AA6212" i="7"/>
  <c r="AA6214" i="7"/>
  <c r="AA6213" i="7"/>
  <c r="J6334" i="7"/>
  <c r="J6333" i="7"/>
  <c r="J6337" i="7"/>
  <c r="J6332" i="7"/>
  <c r="J6340" i="7" s="1"/>
  <c r="J6315" i="7"/>
  <c r="L6315" i="7"/>
  <c r="B6393" i="7"/>
  <c r="B6403" i="7"/>
  <c r="B6400" i="7"/>
  <c r="B6410" i="7"/>
  <c r="B6407" i="7"/>
  <c r="B6415" i="7"/>
  <c r="B6392" i="7"/>
  <c r="B6395" i="7"/>
  <c r="B6402" i="7"/>
  <c r="B6397" i="7"/>
  <c r="B6405" i="7"/>
  <c r="B6401" i="7"/>
  <c r="B6411" i="7"/>
  <c r="B6409" i="7"/>
  <c r="B6394" i="7"/>
  <c r="B6406" i="7"/>
  <c r="L6316" i="7"/>
  <c r="J6316" i="7"/>
  <c r="AA2659" i="7" l="1"/>
  <c r="AA2660" i="7"/>
  <c r="N2689" i="7"/>
  <c r="AA2592" i="7"/>
  <c r="N2691" i="7"/>
  <c r="AA2590" i="7"/>
  <c r="N2690" i="7"/>
  <c r="L2721" i="7"/>
  <c r="AA2623" i="7"/>
  <c r="AA2621" i="7" s="1"/>
  <c r="L2720" i="7"/>
  <c r="L2719" i="7"/>
  <c r="W2716" i="7"/>
  <c r="W2720" i="7" s="1"/>
  <c r="N2682" i="7"/>
  <c r="P2712" i="7"/>
  <c r="R2712" i="7" s="1"/>
  <c r="AA2614" i="7"/>
  <c r="AA2613" i="7"/>
  <c r="N2686" i="7"/>
  <c r="AA2686" i="7" s="1"/>
  <c r="W2715" i="7"/>
  <c r="W2719" i="7" s="1"/>
  <c r="W2717" i="7"/>
  <c r="W2721" i="7" s="1"/>
  <c r="AA2647" i="7"/>
  <c r="N2685" i="7"/>
  <c r="AA2685" i="7" s="1"/>
  <c r="P2703" i="7"/>
  <c r="R2703" i="7" s="1"/>
  <c r="N2687" i="7"/>
  <c r="AA2687" i="7" s="1"/>
  <c r="P2677" i="7"/>
  <c r="R2677" i="7" s="1"/>
  <c r="N2703" i="7"/>
  <c r="J2711" i="7"/>
  <c r="N2711" i="7" s="1"/>
  <c r="U2707" i="7"/>
  <c r="L2707" i="7"/>
  <c r="N2707" i="7" s="1"/>
  <c r="J2732" i="7"/>
  <c r="J2737" i="7"/>
  <c r="J2733" i="7"/>
  <c r="J2734" i="7"/>
  <c r="J2710" i="7"/>
  <c r="J2716" i="7"/>
  <c r="L2716" i="7"/>
  <c r="L2712" i="7"/>
  <c r="U2712" i="7"/>
  <c r="U2713" i="7" s="1"/>
  <c r="H2750" i="7"/>
  <c r="H2745" i="7"/>
  <c r="D2740" i="7"/>
  <c r="D2741" i="7"/>
  <c r="D2749" i="7"/>
  <c r="D2742" i="7"/>
  <c r="F2734" i="7"/>
  <c r="H2746" i="7"/>
  <c r="D2734" i="7"/>
  <c r="D2750" i="7"/>
  <c r="H2747" i="7"/>
  <c r="F2747" i="7"/>
  <c r="U2747" i="7" s="1"/>
  <c r="D2747" i="7"/>
  <c r="F2745" i="7"/>
  <c r="U2745" i="7" s="1"/>
  <c r="F2751" i="7"/>
  <c r="U2751" i="7" s="1"/>
  <c r="D2726" i="7"/>
  <c r="D2751" i="7"/>
  <c r="D2745" i="7"/>
  <c r="F2737" i="7"/>
  <c r="F2733" i="7"/>
  <c r="U2733" i="7" s="1"/>
  <c r="D2737" i="7"/>
  <c r="W2737" i="7" s="1"/>
  <c r="D2733" i="7"/>
  <c r="F2741" i="7"/>
  <c r="U2741" i="7" s="1"/>
  <c r="F2746" i="7"/>
  <c r="U2746" i="7" s="1"/>
  <c r="D2746" i="7"/>
  <c r="F2732" i="7"/>
  <c r="F2740" i="7"/>
  <c r="H2751" i="7"/>
  <c r="F2750" i="7"/>
  <c r="U2750" i="7" s="1"/>
  <c r="D2732" i="7"/>
  <c r="G2726" i="7"/>
  <c r="H2749" i="7"/>
  <c r="F2749" i="7"/>
  <c r="U2749" i="7" s="1"/>
  <c r="F2742" i="7"/>
  <c r="L2717" i="7"/>
  <c r="J2717" i="7"/>
  <c r="P2711" i="7"/>
  <c r="R2711" i="7" s="1"/>
  <c r="J2712" i="7"/>
  <c r="AA2645" i="7"/>
  <c r="P2702" i="7"/>
  <c r="R2702" i="7" s="1"/>
  <c r="D2705" i="7"/>
  <c r="Y2733" i="7"/>
  <c r="Y2747" i="7"/>
  <c r="Y2741" i="7"/>
  <c r="Y2734" i="7"/>
  <c r="Y2735" i="7" s="1"/>
  <c r="Y2740" i="7"/>
  <c r="Y2737" i="7"/>
  <c r="Y2745" i="7"/>
  <c r="Y2742" i="7"/>
  <c r="Y2743" i="7" s="1"/>
  <c r="Y2732" i="7"/>
  <c r="Y2746" i="7"/>
  <c r="AA2653" i="7"/>
  <c r="L2710" i="7"/>
  <c r="F2713" i="7"/>
  <c r="U2710" i="7"/>
  <c r="U2704" i="7"/>
  <c r="U2705" i="7" s="1"/>
  <c r="L2704" i="7"/>
  <c r="N2704" i="7" s="1"/>
  <c r="F2705" i="7"/>
  <c r="L2702" i="7"/>
  <c r="N2702" i="7" s="1"/>
  <c r="U2702" i="7"/>
  <c r="P2675" i="7"/>
  <c r="R2675" i="7" s="1"/>
  <c r="Y2690" i="7"/>
  <c r="Y2689" i="7"/>
  <c r="W2675" i="7"/>
  <c r="Y2691" i="7"/>
  <c r="A2811" i="7"/>
  <c r="A2806" i="7"/>
  <c r="A2815" i="7"/>
  <c r="A2809" i="7"/>
  <c r="A2810" i="7"/>
  <c r="A2797" i="7"/>
  <c r="A2794" i="7"/>
  <c r="A2792" i="7"/>
  <c r="A2807" i="7"/>
  <c r="A2793" i="7"/>
  <c r="C2785" i="7"/>
  <c r="A2802" i="7"/>
  <c r="A2795" i="7"/>
  <c r="A2805" i="7"/>
  <c r="A2801" i="7"/>
  <c r="A2800" i="7"/>
  <c r="A2803" i="7"/>
  <c r="P2683" i="7"/>
  <c r="R2683" i="7" s="1"/>
  <c r="J2715" i="7"/>
  <c r="L2715" i="7"/>
  <c r="D2713" i="7"/>
  <c r="W2713" i="7" s="1"/>
  <c r="P2710" i="7"/>
  <c r="R2710" i="7" s="1"/>
  <c r="D2755" i="7"/>
  <c r="D2758" i="7"/>
  <c r="D2757" i="7"/>
  <c r="D2761" i="7"/>
  <c r="D2760" i="7"/>
  <c r="D2759" i="7"/>
  <c r="P2704" i="7"/>
  <c r="R2704" i="7" s="1"/>
  <c r="J2720" i="7"/>
  <c r="J2719" i="7"/>
  <c r="J2721" i="7"/>
  <c r="N2680" i="7"/>
  <c r="B2811" i="7"/>
  <c r="B2805" i="7"/>
  <c r="B2801" i="7"/>
  <c r="B2810" i="7"/>
  <c r="B2803" i="7"/>
  <c r="B2795" i="7"/>
  <c r="B2797" i="7"/>
  <c r="B2794" i="7"/>
  <c r="B2792" i="7"/>
  <c r="B2807" i="7"/>
  <c r="B2802" i="7"/>
  <c r="B2809" i="7"/>
  <c r="B2800" i="7"/>
  <c r="B2806" i="7"/>
  <c r="B2793" i="7"/>
  <c r="B2815" i="7"/>
  <c r="AA6222" i="7"/>
  <c r="W6347" i="7"/>
  <c r="W6351" i="7" s="1"/>
  <c r="AA6291" i="7"/>
  <c r="AA6290" i="7"/>
  <c r="AA6289" i="7"/>
  <c r="AA6221" i="7"/>
  <c r="N6320" i="7"/>
  <c r="N6321" i="7"/>
  <c r="P6334" i="7"/>
  <c r="R6334" i="7" s="1"/>
  <c r="W6345" i="7"/>
  <c r="W6349" i="7" s="1"/>
  <c r="L6351" i="7"/>
  <c r="N6319" i="7"/>
  <c r="L6349" i="7"/>
  <c r="N6316" i="7"/>
  <c r="AA6316" i="7" s="1"/>
  <c r="N6305" i="7"/>
  <c r="P6305" i="7" s="1"/>
  <c r="R6305" i="7" s="1"/>
  <c r="AA6283" i="7"/>
  <c r="AA6281" i="7" s="1"/>
  <c r="N6317" i="7"/>
  <c r="AA6317" i="7" s="1"/>
  <c r="AA6277" i="7"/>
  <c r="L6350" i="7"/>
  <c r="W6346" i="7"/>
  <c r="W6350" i="7" s="1"/>
  <c r="N6312" i="7"/>
  <c r="N6313" i="7" s="1"/>
  <c r="P6313" i="7" s="1"/>
  <c r="R6313" i="7" s="1"/>
  <c r="P6342" i="7"/>
  <c r="R6342" i="7" s="1"/>
  <c r="AA6253" i="7"/>
  <c r="J6350" i="7"/>
  <c r="J6349" i="7"/>
  <c r="J6351" i="7"/>
  <c r="D6389" i="7"/>
  <c r="D6390" i="7"/>
  <c r="D6385" i="7"/>
  <c r="D6388" i="7"/>
  <c r="D6387" i="7"/>
  <c r="D6391" i="7"/>
  <c r="N6315" i="7"/>
  <c r="AA6315" i="7" s="1"/>
  <c r="L6346" i="7"/>
  <c r="J6346" i="7"/>
  <c r="J6347" i="7"/>
  <c r="L6347" i="7"/>
  <c r="F6335" i="7"/>
  <c r="L6332" i="7"/>
  <c r="N6332" i="7" s="1"/>
  <c r="U6332" i="7"/>
  <c r="A6431" i="7"/>
  <c r="A6430" i="7"/>
  <c r="A6422" i="7"/>
  <c r="A6424" i="7"/>
  <c r="C6415" i="7"/>
  <c r="A6425" i="7"/>
  <c r="A6432" i="7"/>
  <c r="A6445" i="7"/>
  <c r="A6437" i="7"/>
  <c r="A6433" i="7"/>
  <c r="A6423" i="7"/>
  <c r="A6435" i="7"/>
  <c r="A6440" i="7"/>
  <c r="A6441" i="7"/>
  <c r="A6427" i="7"/>
  <c r="A6436" i="7"/>
  <c r="A6439" i="7"/>
  <c r="AA6243" i="7"/>
  <c r="AA6244" i="7"/>
  <c r="AA6242" i="7"/>
  <c r="P6307" i="7"/>
  <c r="R6307" i="7" s="1"/>
  <c r="J6341" i="7"/>
  <c r="N6341" i="7" s="1"/>
  <c r="N6333" i="7"/>
  <c r="Y6375" i="7"/>
  <c r="Y6376" i="7"/>
  <c r="Y6367" i="7"/>
  <c r="Y6363" i="7"/>
  <c r="Y6372" i="7"/>
  <c r="Y6373" i="7" s="1"/>
  <c r="Y6364" i="7"/>
  <c r="Y6365" i="7" s="1"/>
  <c r="Y6370" i="7"/>
  <c r="Y6362" i="7"/>
  <c r="Y6371" i="7"/>
  <c r="Y6377" i="7"/>
  <c r="J6342" i="7"/>
  <c r="U6334" i="7"/>
  <c r="U6335" i="7" s="1"/>
  <c r="L6334" i="7"/>
  <c r="N6334" i="7" s="1"/>
  <c r="W6305" i="7"/>
  <c r="Y6319" i="7"/>
  <c r="Y6321" i="7"/>
  <c r="Y6320" i="7"/>
  <c r="P6341" i="7"/>
  <c r="R6341" i="7" s="1"/>
  <c r="AA6275" i="7"/>
  <c r="F6380" i="7"/>
  <c r="U6380" i="7" s="1"/>
  <c r="D6377" i="7"/>
  <c r="D6381" i="7"/>
  <c r="H6375" i="7"/>
  <c r="H6380" i="7"/>
  <c r="F6372" i="7"/>
  <c r="F6376" i="7"/>
  <c r="U6376" i="7" s="1"/>
  <c r="F6375" i="7"/>
  <c r="U6375" i="7" s="1"/>
  <c r="D6372" i="7"/>
  <c r="F6364" i="7"/>
  <c r="F6363" i="7"/>
  <c r="U6363" i="7" s="1"/>
  <c r="G6356" i="7"/>
  <c r="D6362" i="7"/>
  <c r="H6377" i="7"/>
  <c r="F6370" i="7"/>
  <c r="D6371" i="7"/>
  <c r="D6364" i="7"/>
  <c r="D6367" i="7"/>
  <c r="W6367" i="7" s="1"/>
  <c r="H6379" i="7"/>
  <c r="F6377" i="7"/>
  <c r="U6377" i="7" s="1"/>
  <c r="D6379" i="7"/>
  <c r="D6375" i="7"/>
  <c r="F6371" i="7"/>
  <c r="U6371" i="7" s="1"/>
  <c r="D6380" i="7"/>
  <c r="H6376" i="7"/>
  <c r="F6362" i="7"/>
  <c r="F6367" i="7"/>
  <c r="F6379" i="7"/>
  <c r="U6379" i="7" s="1"/>
  <c r="D6376" i="7"/>
  <c r="F6381" i="7"/>
  <c r="U6381" i="7" s="1"/>
  <c r="H6381" i="7"/>
  <c r="D6363" i="7"/>
  <c r="D6370" i="7"/>
  <c r="D6356" i="7"/>
  <c r="J6367" i="7"/>
  <c r="J6364" i="7"/>
  <c r="J6372" i="7" s="1"/>
  <c r="J6363" i="7"/>
  <c r="J6362" i="7"/>
  <c r="P6340" i="7"/>
  <c r="R6340" i="7" s="1"/>
  <c r="D6343" i="7"/>
  <c r="W6343" i="7" s="1"/>
  <c r="U6340" i="7"/>
  <c r="L6340" i="7"/>
  <c r="N6340" i="7" s="1"/>
  <c r="F6343" i="7"/>
  <c r="D6335" i="7"/>
  <c r="P6332" i="7"/>
  <c r="R6332" i="7" s="1"/>
  <c r="L6342" i="7"/>
  <c r="U6342" i="7"/>
  <c r="U6343" i="7" s="1"/>
  <c r="P6333" i="7"/>
  <c r="R6333" i="7" s="1"/>
  <c r="B6437" i="7"/>
  <c r="B6445" i="7"/>
  <c r="B6430" i="7"/>
  <c r="B6423" i="7"/>
  <c r="B6427" i="7"/>
  <c r="B6441" i="7"/>
  <c r="B6424" i="7"/>
  <c r="B6422" i="7"/>
  <c r="B6435" i="7"/>
  <c r="B6433" i="7"/>
  <c r="B6440" i="7"/>
  <c r="B6432" i="7"/>
  <c r="B6436" i="7"/>
  <c r="B6439" i="7"/>
  <c r="B6431" i="7"/>
  <c r="B6425" i="7"/>
  <c r="L6345" i="7"/>
  <c r="J6345" i="7"/>
  <c r="U6337" i="7"/>
  <c r="L6337" i="7"/>
  <c r="N6337" i="7" s="1"/>
  <c r="AA2689" i="7" l="1"/>
  <c r="L2749" i="7"/>
  <c r="AA2691" i="7"/>
  <c r="N2721" i="7"/>
  <c r="AA2620" i="7"/>
  <c r="AA2690" i="7"/>
  <c r="AA2622" i="7"/>
  <c r="N2719" i="7"/>
  <c r="N2720" i="7"/>
  <c r="L2750" i="7"/>
  <c r="L2751" i="7"/>
  <c r="W2747" i="7"/>
  <c r="W2751" i="7" s="1"/>
  <c r="N2705" i="7"/>
  <c r="P2705" i="7" s="1"/>
  <c r="R2705" i="7" s="1"/>
  <c r="W2745" i="7"/>
  <c r="W2749" i="7" s="1"/>
  <c r="P2742" i="7"/>
  <c r="R2742" i="7" s="1"/>
  <c r="N2717" i="7"/>
  <c r="AA2717" i="7" s="1"/>
  <c r="N2715" i="7"/>
  <c r="AA2715" i="7" s="1"/>
  <c r="AA2677" i="7"/>
  <c r="P2707" i="7"/>
  <c r="R2707" i="7" s="1"/>
  <c r="Y2721" i="7"/>
  <c r="W2705" i="7"/>
  <c r="Y2719" i="7"/>
  <c r="Y2720" i="7"/>
  <c r="A2840" i="7"/>
  <c r="A2835" i="7"/>
  <c r="A2836" i="7"/>
  <c r="A2824" i="7"/>
  <c r="A2832" i="7"/>
  <c r="A2830" i="7"/>
  <c r="A2825" i="7"/>
  <c r="C2815" i="7"/>
  <c r="A2831" i="7"/>
  <c r="A2845" i="7"/>
  <c r="A2833" i="7"/>
  <c r="A2827" i="7"/>
  <c r="A2841" i="7"/>
  <c r="A2839" i="7"/>
  <c r="A2837" i="7"/>
  <c r="A2823" i="7"/>
  <c r="A2822" i="7"/>
  <c r="AA2652" i="7"/>
  <c r="AA2651" i="7"/>
  <c r="AA2650" i="7"/>
  <c r="AA2644" i="7"/>
  <c r="AA2642" i="7"/>
  <c r="AA2643" i="7"/>
  <c r="L2740" i="7"/>
  <c r="U2740" i="7"/>
  <c r="F2743" i="7"/>
  <c r="N2710" i="7"/>
  <c r="F2735" i="7"/>
  <c r="L2732" i="7"/>
  <c r="N2732" i="7" s="1"/>
  <c r="U2732" i="7"/>
  <c r="L2746" i="7"/>
  <c r="J2746" i="7"/>
  <c r="P2734" i="7"/>
  <c r="R2734" i="7" s="1"/>
  <c r="J2742" i="7"/>
  <c r="N2733" i="7"/>
  <c r="J2741" i="7"/>
  <c r="N2741" i="7" s="1"/>
  <c r="N2712" i="7"/>
  <c r="P2733" i="7"/>
  <c r="R2733" i="7" s="1"/>
  <c r="J2740" i="7"/>
  <c r="AA2675" i="7"/>
  <c r="U2737" i="7"/>
  <c r="L2737" i="7"/>
  <c r="N2737" i="7" s="1"/>
  <c r="P2740" i="7"/>
  <c r="R2740" i="7" s="1"/>
  <c r="D2743" i="7"/>
  <c r="W2743" i="7" s="1"/>
  <c r="AA2683" i="7"/>
  <c r="J2747" i="7"/>
  <c r="L2747" i="7"/>
  <c r="J2762" i="7"/>
  <c r="J2764" i="7"/>
  <c r="J2767" i="7"/>
  <c r="J2763" i="7"/>
  <c r="H2779" i="7"/>
  <c r="F2767" i="7"/>
  <c r="H2780" i="7"/>
  <c r="H2776" i="7"/>
  <c r="F2772" i="7"/>
  <c r="D2767" i="7"/>
  <c r="W2767" i="7" s="1"/>
  <c r="G2756" i="7"/>
  <c r="F2781" i="7"/>
  <c r="U2781" i="7" s="1"/>
  <c r="D2756" i="7"/>
  <c r="D2781" i="7"/>
  <c r="H2775" i="7"/>
  <c r="H2781" i="7"/>
  <c r="D2763" i="7"/>
  <c r="F2779" i="7"/>
  <c r="U2779" i="7" s="1"/>
  <c r="D2779" i="7"/>
  <c r="F2776" i="7"/>
  <c r="U2776" i="7" s="1"/>
  <c r="D2776" i="7"/>
  <c r="D2780" i="7"/>
  <c r="H2777" i="7"/>
  <c r="F2780" i="7"/>
  <c r="U2780" i="7" s="1"/>
  <c r="F2771" i="7"/>
  <c r="U2771" i="7" s="1"/>
  <c r="D2771" i="7"/>
  <c r="F2762" i="7"/>
  <c r="F2775" i="7"/>
  <c r="U2775" i="7" s="1"/>
  <c r="D2762" i="7"/>
  <c r="D2775" i="7"/>
  <c r="F2777" i="7"/>
  <c r="U2777" i="7" s="1"/>
  <c r="D2772" i="7"/>
  <c r="D2770" i="7"/>
  <c r="F2770" i="7"/>
  <c r="D2777" i="7"/>
  <c r="F2764" i="7"/>
  <c r="D2764" i="7"/>
  <c r="F2763" i="7"/>
  <c r="U2763" i="7" s="1"/>
  <c r="U2742" i="7"/>
  <c r="U2743" i="7" s="1"/>
  <c r="L2742" i="7"/>
  <c r="J2745" i="7"/>
  <c r="L2745" i="7"/>
  <c r="N2716" i="7"/>
  <c r="AA2716" i="7" s="1"/>
  <c r="Y2764" i="7"/>
  <c r="Y2765" i="7" s="1"/>
  <c r="Y2763" i="7"/>
  <c r="Y2777" i="7"/>
  <c r="Y2767" i="7"/>
  <c r="Y2762" i="7"/>
  <c r="Y2771" i="7"/>
  <c r="Y2775" i="7"/>
  <c r="Y2770" i="7"/>
  <c r="Y2776" i="7"/>
  <c r="Y2772" i="7"/>
  <c r="Y2773" i="7" s="1"/>
  <c r="U2734" i="7"/>
  <c r="U2735" i="7" s="1"/>
  <c r="L2734" i="7"/>
  <c r="N2734" i="7" s="1"/>
  <c r="D2791" i="7"/>
  <c r="D2790" i="7"/>
  <c r="D2789" i="7"/>
  <c r="D2788" i="7"/>
  <c r="D2787" i="7"/>
  <c r="D2785" i="7"/>
  <c r="P2741" i="7"/>
  <c r="R2741" i="7" s="1"/>
  <c r="W2746" i="7"/>
  <c r="W2750" i="7" s="1"/>
  <c r="P2732" i="7"/>
  <c r="R2732" i="7" s="1"/>
  <c r="D2735" i="7"/>
  <c r="B2840" i="7"/>
  <c r="B2835" i="7"/>
  <c r="B2832" i="7"/>
  <c r="B2839" i="7"/>
  <c r="B2825" i="7"/>
  <c r="B2824" i="7"/>
  <c r="B2831" i="7"/>
  <c r="B2845" i="7"/>
  <c r="B2833" i="7"/>
  <c r="B2827" i="7"/>
  <c r="B2836" i="7"/>
  <c r="B2830" i="7"/>
  <c r="B2841" i="7"/>
  <c r="B2822" i="7"/>
  <c r="B2837" i="7"/>
  <c r="B2823" i="7"/>
  <c r="J2750" i="7"/>
  <c r="J2749" i="7"/>
  <c r="N2749" i="7" s="1"/>
  <c r="J2751" i="7"/>
  <c r="AA6320" i="7"/>
  <c r="AA6319" i="7"/>
  <c r="AA6321" i="7"/>
  <c r="L6381" i="7"/>
  <c r="N6350" i="7"/>
  <c r="L6379" i="7"/>
  <c r="N6335" i="7"/>
  <c r="P6335" i="7" s="1"/>
  <c r="R6335" i="7" s="1"/>
  <c r="AA6282" i="7"/>
  <c r="N6351" i="7"/>
  <c r="P6372" i="7"/>
  <c r="R6372" i="7" s="1"/>
  <c r="L6380" i="7"/>
  <c r="N6349" i="7"/>
  <c r="P6364" i="7"/>
  <c r="R6364" i="7" s="1"/>
  <c r="N6346" i="7"/>
  <c r="AA6346" i="7" s="1"/>
  <c r="AA6280" i="7"/>
  <c r="N6345" i="7"/>
  <c r="AA6345" i="7" s="1"/>
  <c r="AA6252" i="7"/>
  <c r="AA6250" i="7"/>
  <c r="AA6251" i="7"/>
  <c r="W6377" i="7"/>
  <c r="W6381" i="7" s="1"/>
  <c r="AA6305" i="7"/>
  <c r="AA6303" i="7" s="1"/>
  <c r="AA6307" i="7"/>
  <c r="P6337" i="7"/>
  <c r="R6337" i="7" s="1"/>
  <c r="U6362" i="7"/>
  <c r="L6362" i="7"/>
  <c r="N6362" i="7" s="1"/>
  <c r="F6365" i="7"/>
  <c r="W6375" i="7"/>
  <c r="W6379" i="7" s="1"/>
  <c r="L6370" i="7"/>
  <c r="U6370" i="7"/>
  <c r="F6373" i="7"/>
  <c r="U6364" i="7"/>
  <c r="U6365" i="7" s="1"/>
  <c r="L6364" i="7"/>
  <c r="N6364" i="7" s="1"/>
  <c r="W6376" i="7"/>
  <c r="W6380" i="7" s="1"/>
  <c r="L6376" i="7"/>
  <c r="J6376" i="7"/>
  <c r="P6362" i="7"/>
  <c r="R6362" i="7" s="1"/>
  <c r="D6365" i="7"/>
  <c r="N6347" i="7"/>
  <c r="AA6347" i="7" s="1"/>
  <c r="Y6397" i="7"/>
  <c r="Y6406" i="7"/>
  <c r="Y6402" i="7"/>
  <c r="Y6403" i="7" s="1"/>
  <c r="Y6393" i="7"/>
  <c r="Y6407" i="7"/>
  <c r="Y6401" i="7"/>
  <c r="Y6400" i="7"/>
  <c r="Y6392" i="7"/>
  <c r="Y6405" i="7"/>
  <c r="Y6394" i="7"/>
  <c r="Y6395" i="7" s="1"/>
  <c r="B6454" i="7"/>
  <c r="B6457" i="7"/>
  <c r="B6462" i="7"/>
  <c r="B6469" i="7"/>
  <c r="B6470" i="7"/>
  <c r="B6465" i="7"/>
  <c r="B6455" i="7"/>
  <c r="B6452" i="7"/>
  <c r="B6467" i="7"/>
  <c r="B6471" i="7"/>
  <c r="B6453" i="7"/>
  <c r="B6460" i="7"/>
  <c r="B6461" i="7"/>
  <c r="B6475" i="7"/>
  <c r="B6463" i="7"/>
  <c r="B6466" i="7"/>
  <c r="A6452" i="7"/>
  <c r="A6471" i="7"/>
  <c r="A6463" i="7"/>
  <c r="C6445" i="7"/>
  <c r="A6475" i="7"/>
  <c r="A6470" i="7"/>
  <c r="A6460" i="7"/>
  <c r="A6454" i="7"/>
  <c r="A6455" i="7"/>
  <c r="A6453" i="7"/>
  <c r="A6466" i="7"/>
  <c r="A6465" i="7"/>
  <c r="A6457" i="7"/>
  <c r="A6462" i="7"/>
  <c r="A6469" i="7"/>
  <c r="A6467" i="7"/>
  <c r="A6461" i="7"/>
  <c r="J6397" i="7"/>
  <c r="J6393" i="7"/>
  <c r="J6392" i="7"/>
  <c r="J6400" i="7" s="1"/>
  <c r="J6394" i="7"/>
  <c r="J6370" i="7"/>
  <c r="L6375" i="7"/>
  <c r="J6375" i="7"/>
  <c r="U6372" i="7"/>
  <c r="U6373" i="7" s="1"/>
  <c r="L6372" i="7"/>
  <c r="N6372" i="7" s="1"/>
  <c r="D6415" i="7"/>
  <c r="D6420" i="7"/>
  <c r="D6417" i="7"/>
  <c r="D6419" i="7"/>
  <c r="D6418" i="7"/>
  <c r="D6421" i="7"/>
  <c r="J6371" i="7"/>
  <c r="N6371" i="7" s="1"/>
  <c r="N6363" i="7"/>
  <c r="F6400" i="7"/>
  <c r="F6406" i="7"/>
  <c r="U6406" i="7" s="1"/>
  <c r="F6410" i="7"/>
  <c r="U6410" i="7" s="1"/>
  <c r="F6405" i="7"/>
  <c r="U6405" i="7" s="1"/>
  <c r="H6406" i="7"/>
  <c r="D6401" i="7"/>
  <c r="F6407" i="7"/>
  <c r="U6407" i="7" s="1"/>
  <c r="D6400" i="7"/>
  <c r="D6393" i="7"/>
  <c r="D6402" i="7"/>
  <c r="H6411" i="7"/>
  <c r="D6410" i="7"/>
  <c r="G6386" i="7"/>
  <c r="H6409" i="7"/>
  <c r="D6409" i="7"/>
  <c r="F6401" i="7"/>
  <c r="U6401" i="7" s="1"/>
  <c r="D6392" i="7"/>
  <c r="D6394" i="7"/>
  <c r="D6407" i="7"/>
  <c r="F6411" i="7"/>
  <c r="U6411" i="7" s="1"/>
  <c r="F6409" i="7"/>
  <c r="U6409" i="7" s="1"/>
  <c r="D6397" i="7"/>
  <c r="W6397" i="7" s="1"/>
  <c r="D6386" i="7"/>
  <c r="H6410" i="7"/>
  <c r="D6405" i="7"/>
  <c r="D6406" i="7"/>
  <c r="F6393" i="7"/>
  <c r="U6393" i="7" s="1"/>
  <c r="F6394" i="7"/>
  <c r="F6392" i="7"/>
  <c r="H6407" i="7"/>
  <c r="D6411" i="7"/>
  <c r="H6405" i="7"/>
  <c r="F6402" i="7"/>
  <c r="F6397" i="7"/>
  <c r="N6342" i="7"/>
  <c r="N6343" i="7" s="1"/>
  <c r="Y6349" i="7"/>
  <c r="Y6351" i="7"/>
  <c r="Y6350" i="7"/>
  <c r="W6335" i="7"/>
  <c r="J6380" i="7"/>
  <c r="J6379" i="7"/>
  <c r="J6381" i="7"/>
  <c r="J6377" i="7"/>
  <c r="L6377" i="7"/>
  <c r="L6367" i="7"/>
  <c r="N6367" i="7" s="1"/>
  <c r="U6367" i="7"/>
  <c r="D6373" i="7"/>
  <c r="W6373" i="7" s="1"/>
  <c r="P6370" i="7"/>
  <c r="R6370" i="7" s="1"/>
  <c r="AA6313" i="7"/>
  <c r="P6363" i="7"/>
  <c r="R6363" i="7" s="1"/>
  <c r="P6371" i="7"/>
  <c r="R6371" i="7" s="1"/>
  <c r="AA6272" i="7"/>
  <c r="AA6273" i="7"/>
  <c r="AA6274" i="7"/>
  <c r="AA2721" i="7" l="1"/>
  <c r="L2779" i="7"/>
  <c r="N2751" i="7"/>
  <c r="AA2719" i="7"/>
  <c r="AA2720" i="7"/>
  <c r="N2750" i="7"/>
  <c r="W2777" i="7"/>
  <c r="W2781" i="7" s="1"/>
  <c r="L2780" i="7"/>
  <c r="N2735" i="7"/>
  <c r="P2735" i="7" s="1"/>
  <c r="R2735" i="7" s="1"/>
  <c r="L2781" i="7"/>
  <c r="N2713" i="7"/>
  <c r="P2713" i="7" s="1"/>
  <c r="R2713" i="7" s="1"/>
  <c r="N2742" i="7"/>
  <c r="W2775" i="7"/>
  <c r="W2779" i="7" s="1"/>
  <c r="P2764" i="7"/>
  <c r="R2764" i="7" s="1"/>
  <c r="P2772" i="7"/>
  <c r="R2772" i="7" s="1"/>
  <c r="N2745" i="7"/>
  <c r="AA2745" i="7" s="1"/>
  <c r="P2737" i="7"/>
  <c r="R2737" i="7" s="1"/>
  <c r="N2747" i="7"/>
  <c r="AA2747" i="7" s="1"/>
  <c r="B2869" i="7"/>
  <c r="B2853" i="7"/>
  <c r="B2863" i="7"/>
  <c r="B2852" i="7"/>
  <c r="B2855" i="7"/>
  <c r="B2867" i="7"/>
  <c r="B2862" i="7"/>
  <c r="B2861" i="7"/>
  <c r="B2857" i="7"/>
  <c r="B2870" i="7"/>
  <c r="B2875" i="7"/>
  <c r="B2860" i="7"/>
  <c r="B2866" i="7"/>
  <c r="B2871" i="7"/>
  <c r="B2854" i="7"/>
  <c r="B2865" i="7"/>
  <c r="F2765" i="7"/>
  <c r="U2762" i="7"/>
  <c r="L2762" i="7"/>
  <c r="N2762" i="7" s="1"/>
  <c r="P2771" i="7"/>
  <c r="R2771" i="7" s="1"/>
  <c r="N2746" i="7"/>
  <c r="AA2746" i="7" s="1"/>
  <c r="J2770" i="7"/>
  <c r="AA2681" i="7"/>
  <c r="AA2682" i="7"/>
  <c r="AA2680" i="7"/>
  <c r="Y2800" i="7"/>
  <c r="Y2793" i="7"/>
  <c r="Y2805" i="7"/>
  <c r="Y2797" i="7"/>
  <c r="Y2801" i="7"/>
  <c r="Y2794" i="7"/>
  <c r="Y2795" i="7" s="1"/>
  <c r="Y2806" i="7"/>
  <c r="Y2802" i="7"/>
  <c r="Y2803" i="7" s="1"/>
  <c r="Y2792" i="7"/>
  <c r="Y2807" i="7"/>
  <c r="H2807" i="7"/>
  <c r="F2802" i="7"/>
  <c r="F2792" i="7"/>
  <c r="D2800" i="7"/>
  <c r="D2794" i="7"/>
  <c r="H2810" i="7"/>
  <c r="F2794" i="7"/>
  <c r="D2792" i="7"/>
  <c r="F2807" i="7"/>
  <c r="U2807" i="7" s="1"/>
  <c r="D2807" i="7"/>
  <c r="F2810" i="7"/>
  <c r="U2810" i="7" s="1"/>
  <c r="H2805" i="7"/>
  <c r="D2810" i="7"/>
  <c r="F2805" i="7"/>
  <c r="U2805" i="7" s="1"/>
  <c r="H2809" i="7"/>
  <c r="H2811" i="7"/>
  <c r="D2802" i="7"/>
  <c r="F2797" i="7"/>
  <c r="F2811" i="7"/>
  <c r="U2811" i="7" s="1"/>
  <c r="D2797" i="7"/>
  <c r="W2797" i="7" s="1"/>
  <c r="D2811" i="7"/>
  <c r="H2806" i="7"/>
  <c r="F2806" i="7"/>
  <c r="U2806" i="7" s="1"/>
  <c r="D2806" i="7"/>
  <c r="F2809" i="7"/>
  <c r="U2809" i="7" s="1"/>
  <c r="D2809" i="7"/>
  <c r="F2800" i="7"/>
  <c r="D2801" i="7"/>
  <c r="D2805" i="7"/>
  <c r="F2793" i="7"/>
  <c r="U2793" i="7" s="1"/>
  <c r="D2793" i="7"/>
  <c r="G2786" i="7"/>
  <c r="F2801" i="7"/>
  <c r="U2801" i="7" s="1"/>
  <c r="D2786" i="7"/>
  <c r="U2772" i="7"/>
  <c r="U2773" i="7" s="1"/>
  <c r="L2772" i="7"/>
  <c r="N2740" i="7"/>
  <c r="P2762" i="7"/>
  <c r="R2762" i="7" s="1"/>
  <c r="D2765" i="7"/>
  <c r="AA2673" i="7"/>
  <c r="AA2672" i="7"/>
  <c r="AA2674" i="7"/>
  <c r="AA2705" i="7"/>
  <c r="D2815" i="7"/>
  <c r="D2821" i="7"/>
  <c r="D2820" i="7"/>
  <c r="D2819" i="7"/>
  <c r="D2818" i="7"/>
  <c r="D2817" i="7"/>
  <c r="J2797" i="7"/>
  <c r="J2792" i="7"/>
  <c r="J2794" i="7"/>
  <c r="J2793" i="7"/>
  <c r="U2767" i="7"/>
  <c r="L2767" i="7"/>
  <c r="N2767" i="7" s="1"/>
  <c r="J2777" i="7"/>
  <c r="L2777" i="7"/>
  <c r="N2763" i="7"/>
  <c r="J2771" i="7"/>
  <c r="N2771" i="7" s="1"/>
  <c r="A2863" i="7"/>
  <c r="A2857" i="7"/>
  <c r="A2869" i="7"/>
  <c r="A2871" i="7"/>
  <c r="A2867" i="7"/>
  <c r="A2860" i="7"/>
  <c r="A2875" i="7"/>
  <c r="A2870" i="7"/>
  <c r="A2865" i="7"/>
  <c r="A2862" i="7"/>
  <c r="A2861" i="7"/>
  <c r="C2845" i="7"/>
  <c r="A2853" i="7"/>
  <c r="A2866" i="7"/>
  <c r="A2854" i="7"/>
  <c r="A2852" i="7"/>
  <c r="A2855" i="7"/>
  <c r="J2775" i="7"/>
  <c r="L2775" i="7"/>
  <c r="J2780" i="7"/>
  <c r="J2779" i="7"/>
  <c r="N2779" i="7" s="1"/>
  <c r="J2781" i="7"/>
  <c r="F2773" i="7"/>
  <c r="L2770" i="7"/>
  <c r="U2770" i="7"/>
  <c r="W2776" i="7"/>
  <c r="W2780" i="7" s="1"/>
  <c r="L2776" i="7"/>
  <c r="J2776" i="7"/>
  <c r="Y2751" i="7"/>
  <c r="W2735" i="7"/>
  <c r="Y2750" i="7"/>
  <c r="AA2750" i="7" s="1"/>
  <c r="Y2749" i="7"/>
  <c r="AA2749" i="7" s="1"/>
  <c r="U2764" i="7"/>
  <c r="U2765" i="7" s="1"/>
  <c r="L2764" i="7"/>
  <c r="N2764" i="7" s="1"/>
  <c r="D2773" i="7"/>
  <c r="W2773" i="7" s="1"/>
  <c r="P2770" i="7"/>
  <c r="R2770" i="7" s="1"/>
  <c r="P2763" i="7"/>
  <c r="R2763" i="7" s="1"/>
  <c r="J2772" i="7"/>
  <c r="AA2707" i="7"/>
  <c r="N6379" i="7"/>
  <c r="N6381" i="7"/>
  <c r="N6380" i="7"/>
  <c r="AA6350" i="7"/>
  <c r="AA6351" i="7"/>
  <c r="AA6349" i="7"/>
  <c r="AA6302" i="7"/>
  <c r="AA6304" i="7"/>
  <c r="AA6337" i="7"/>
  <c r="W6407" i="7"/>
  <c r="W6411" i="7" s="1"/>
  <c r="P6394" i="7"/>
  <c r="R6394" i="7" s="1"/>
  <c r="N6365" i="7"/>
  <c r="P6365" i="7" s="1"/>
  <c r="R6365" i="7" s="1"/>
  <c r="L6409" i="7"/>
  <c r="P6343" i="7"/>
  <c r="R6343" i="7" s="1"/>
  <c r="N6376" i="7"/>
  <c r="AA6376" i="7" s="1"/>
  <c r="L6411" i="7"/>
  <c r="L6410" i="7"/>
  <c r="N6375" i="7"/>
  <c r="AA6375" i="7" s="1"/>
  <c r="J6422" i="7"/>
  <c r="J6423" i="7"/>
  <c r="J6427" i="7"/>
  <c r="J6424" i="7"/>
  <c r="J6432" i="7" s="1"/>
  <c r="B6484" i="7"/>
  <c r="B6495" i="7"/>
  <c r="B6492" i="7"/>
  <c r="B6499" i="7"/>
  <c r="B6491" i="7"/>
  <c r="B6483" i="7"/>
  <c r="B6496" i="7"/>
  <c r="B6500" i="7"/>
  <c r="B6493" i="7"/>
  <c r="B6487" i="7"/>
  <c r="B6490" i="7"/>
  <c r="B6485" i="7"/>
  <c r="B6497" i="7"/>
  <c r="B6505" i="7"/>
  <c r="B6482" i="7"/>
  <c r="B6501" i="7"/>
  <c r="P6401" i="7"/>
  <c r="R6401" i="7" s="1"/>
  <c r="U6402" i="7"/>
  <c r="U6403" i="7" s="1"/>
  <c r="L6402" i="7"/>
  <c r="P6392" i="7"/>
  <c r="R6392" i="7" s="1"/>
  <c r="D6395" i="7"/>
  <c r="L6400" i="7"/>
  <c r="N6400" i="7" s="1"/>
  <c r="U6400" i="7"/>
  <c r="F6403" i="7"/>
  <c r="N6370" i="7"/>
  <c r="N6373" i="7" s="1"/>
  <c r="P6373" i="7" s="1"/>
  <c r="R6373" i="7" s="1"/>
  <c r="D6403" i="7"/>
  <c r="W6403" i="7" s="1"/>
  <c r="P6400" i="7"/>
  <c r="R6400" i="7" s="1"/>
  <c r="AA6312" i="7"/>
  <c r="AA6310" i="7"/>
  <c r="AA6311" i="7"/>
  <c r="D6440" i="7"/>
  <c r="D6427" i="7"/>
  <c r="W6427" i="7" s="1"/>
  <c r="H6437" i="7"/>
  <c r="F6439" i="7"/>
  <c r="U6439" i="7" s="1"/>
  <c r="F6423" i="7"/>
  <c r="U6423" i="7" s="1"/>
  <c r="D6422" i="7"/>
  <c r="D6437" i="7"/>
  <c r="F6430" i="7"/>
  <c r="D6416" i="7"/>
  <c r="F6435" i="7"/>
  <c r="U6435" i="7" s="1"/>
  <c r="F6436" i="7"/>
  <c r="U6436" i="7" s="1"/>
  <c r="D6439" i="7"/>
  <c r="H6435" i="7"/>
  <c r="F6432" i="7"/>
  <c r="F6427" i="7"/>
  <c r="F6440" i="7"/>
  <c r="U6440" i="7" s="1"/>
  <c r="F6431" i="7"/>
  <c r="U6431" i="7" s="1"/>
  <c r="F6424" i="7"/>
  <c r="F6422" i="7"/>
  <c r="D6435" i="7"/>
  <c r="H6436" i="7"/>
  <c r="D6441" i="7"/>
  <c r="D6423" i="7"/>
  <c r="D6424" i="7"/>
  <c r="D6431" i="7"/>
  <c r="H6441" i="7"/>
  <c r="G6416" i="7"/>
  <c r="H6439" i="7"/>
  <c r="F6441" i="7"/>
  <c r="U6441" i="7" s="1"/>
  <c r="D6430" i="7"/>
  <c r="D6436" i="7"/>
  <c r="F6437" i="7"/>
  <c r="U6437" i="7" s="1"/>
  <c r="D6432" i="7"/>
  <c r="H6440" i="7"/>
  <c r="J6407" i="7"/>
  <c r="L6407" i="7"/>
  <c r="P6367" i="7"/>
  <c r="R6367" i="7" s="1"/>
  <c r="AA6335" i="7"/>
  <c r="J6402" i="7"/>
  <c r="A6497" i="7"/>
  <c r="A6490" i="7"/>
  <c r="A6484" i="7"/>
  <c r="A6496" i="7"/>
  <c r="A6487" i="7"/>
  <c r="A6492" i="7"/>
  <c r="A6499" i="7"/>
  <c r="A6483" i="7"/>
  <c r="A6493" i="7"/>
  <c r="A6485" i="7"/>
  <c r="A6505" i="7"/>
  <c r="A6495" i="7"/>
  <c r="A6482" i="7"/>
  <c r="A6500" i="7"/>
  <c r="A6491" i="7"/>
  <c r="C6475" i="7"/>
  <c r="A6501" i="7"/>
  <c r="W6365" i="7"/>
  <c r="Y6380" i="7"/>
  <c r="Y6381" i="7"/>
  <c r="Y6379" i="7"/>
  <c r="D6448" i="7"/>
  <c r="D6447" i="7"/>
  <c r="D6445" i="7"/>
  <c r="D6450" i="7"/>
  <c r="D6451" i="7"/>
  <c r="D6449" i="7"/>
  <c r="U6392" i="7"/>
  <c r="F6395" i="7"/>
  <c r="L6392" i="7"/>
  <c r="N6392" i="7" s="1"/>
  <c r="U6394" i="7"/>
  <c r="U6395" i="7" s="1"/>
  <c r="L6394" i="7"/>
  <c r="N6394" i="7" s="1"/>
  <c r="W6405" i="7"/>
  <c r="W6409" i="7" s="1"/>
  <c r="N6393" i="7"/>
  <c r="J6401" i="7"/>
  <c r="N6401" i="7" s="1"/>
  <c r="J6411" i="7"/>
  <c r="J6410" i="7"/>
  <c r="J6409" i="7"/>
  <c r="N6377" i="7"/>
  <c r="AA6377" i="7" s="1"/>
  <c r="W6406" i="7"/>
  <c r="W6410" i="7" s="1"/>
  <c r="L6397" i="7"/>
  <c r="N6397" i="7" s="1"/>
  <c r="U6397" i="7"/>
  <c r="L6406" i="7"/>
  <c r="J6406" i="7"/>
  <c r="P6402" i="7"/>
  <c r="R6402" i="7" s="1"/>
  <c r="Y6436" i="7"/>
  <c r="Y6430" i="7"/>
  <c r="Y6437" i="7"/>
  <c r="Y6427" i="7"/>
  <c r="Y6432" i="7"/>
  <c r="Y6433" i="7" s="1"/>
  <c r="Y6431" i="7"/>
  <c r="Y6423" i="7"/>
  <c r="Y6435" i="7"/>
  <c r="Y6424" i="7"/>
  <c r="Y6425" i="7" s="1"/>
  <c r="Y6422" i="7"/>
  <c r="J6405" i="7"/>
  <c r="L6405" i="7"/>
  <c r="P6393" i="7"/>
  <c r="R6393" i="7" s="1"/>
  <c r="AA2751" i="7" l="1"/>
  <c r="AA2713" i="7"/>
  <c r="N2781" i="7"/>
  <c r="N2743" i="7"/>
  <c r="P2743" i="7" s="1"/>
  <c r="R2743" i="7" s="1"/>
  <c r="N2780" i="7"/>
  <c r="N2765" i="7"/>
  <c r="P2765" i="7" s="1"/>
  <c r="R2765" i="7" s="1"/>
  <c r="L2810" i="7"/>
  <c r="L2809" i="7"/>
  <c r="L2811" i="7"/>
  <c r="N2772" i="7"/>
  <c r="W2806" i="7"/>
  <c r="W2810" i="7" s="1"/>
  <c r="P2802" i="7"/>
  <c r="R2802" i="7" s="1"/>
  <c r="N2776" i="7"/>
  <c r="AA2776" i="7" s="1"/>
  <c r="N2770" i="7"/>
  <c r="P2793" i="7"/>
  <c r="R2793" i="7" s="1"/>
  <c r="N2775" i="7"/>
  <c r="AA2775" i="7" s="1"/>
  <c r="AA2735" i="7"/>
  <c r="U2802" i="7"/>
  <c r="U2803" i="7" s="1"/>
  <c r="L2802" i="7"/>
  <c r="N2777" i="7"/>
  <c r="AA2777" i="7" s="1"/>
  <c r="F2831" i="7"/>
  <c r="U2831" i="7" s="1"/>
  <c r="F2824" i="7"/>
  <c r="G2816" i="7"/>
  <c r="H2841" i="7"/>
  <c r="H2836" i="7"/>
  <c r="D2831" i="7"/>
  <c r="D2824" i="7"/>
  <c r="D2816" i="7"/>
  <c r="D2840" i="7"/>
  <c r="H2837" i="7"/>
  <c r="D2839" i="7"/>
  <c r="F2836" i="7"/>
  <c r="U2836" i="7" s="1"/>
  <c r="F2830" i="7"/>
  <c r="F2822" i="7"/>
  <c r="F2823" i="7"/>
  <c r="U2823" i="7" s="1"/>
  <c r="D2823" i="7"/>
  <c r="F2840" i="7"/>
  <c r="U2840" i="7" s="1"/>
  <c r="F2827" i="7"/>
  <c r="D2827" i="7"/>
  <c r="W2827" i="7" s="1"/>
  <c r="D2836" i="7"/>
  <c r="D2830" i="7"/>
  <c r="D2841" i="7"/>
  <c r="H2835" i="7"/>
  <c r="D2822" i="7"/>
  <c r="F2832" i="7"/>
  <c r="D2832" i="7"/>
  <c r="F2841" i="7"/>
  <c r="U2841" i="7" s="1"/>
  <c r="H2840" i="7"/>
  <c r="H2839" i="7"/>
  <c r="F2839" i="7"/>
  <c r="U2839" i="7" s="1"/>
  <c r="F2837" i="7"/>
  <c r="U2837" i="7" s="1"/>
  <c r="D2837" i="7"/>
  <c r="F2835" i="7"/>
  <c r="U2835" i="7" s="1"/>
  <c r="D2835" i="7"/>
  <c r="D2850" i="7"/>
  <c r="D2849" i="7"/>
  <c r="D2847" i="7"/>
  <c r="D2845" i="7"/>
  <c r="D2851" i="7"/>
  <c r="D2848" i="7"/>
  <c r="L2805" i="7"/>
  <c r="J2805" i="7"/>
  <c r="AA2743" i="7"/>
  <c r="AA2702" i="7"/>
  <c r="AA2703" i="7"/>
  <c r="AA2704" i="7"/>
  <c r="N2793" i="7"/>
  <c r="J2801" i="7"/>
  <c r="N2801" i="7" s="1"/>
  <c r="J2802" i="7"/>
  <c r="J2807" i="7"/>
  <c r="L2807" i="7"/>
  <c r="L2792" i="7"/>
  <c r="N2792" i="7" s="1"/>
  <c r="F2795" i="7"/>
  <c r="U2792" i="7"/>
  <c r="J2810" i="7"/>
  <c r="J2809" i="7"/>
  <c r="J2811" i="7"/>
  <c r="P2767" i="7"/>
  <c r="R2767" i="7" s="1"/>
  <c r="AA2712" i="7"/>
  <c r="AA2710" i="7"/>
  <c r="AA2711" i="7"/>
  <c r="W2807" i="7"/>
  <c r="W2811" i="7" s="1"/>
  <c r="P2801" i="7"/>
  <c r="R2801" i="7" s="1"/>
  <c r="J2824" i="7"/>
  <c r="J2822" i="7"/>
  <c r="J2827" i="7"/>
  <c r="J2823" i="7"/>
  <c r="U2794" i="7"/>
  <c r="U2795" i="7" s="1"/>
  <c r="L2794" i="7"/>
  <c r="N2794" i="7" s="1"/>
  <c r="W2805" i="7"/>
  <c r="W2809" i="7" s="1"/>
  <c r="U2797" i="7"/>
  <c r="L2797" i="7"/>
  <c r="N2797" i="7" s="1"/>
  <c r="B2885" i="7"/>
  <c r="B2882" i="7"/>
  <c r="B2893" i="7"/>
  <c r="B2892" i="7"/>
  <c r="B2901" i="7"/>
  <c r="B2899" i="7"/>
  <c r="B2884" i="7"/>
  <c r="B2895" i="7"/>
  <c r="B2887" i="7"/>
  <c r="B2900" i="7"/>
  <c r="B2897" i="7"/>
  <c r="B2896" i="7"/>
  <c r="B2890" i="7"/>
  <c r="B2883" i="7"/>
  <c r="B2905" i="7"/>
  <c r="B2891" i="7"/>
  <c r="AA6379" i="7"/>
  <c r="Y2780" i="7"/>
  <c r="AA2780" i="7" s="1"/>
  <c r="Y2779" i="7"/>
  <c r="AA2779" i="7" s="1"/>
  <c r="Y2781" i="7"/>
  <c r="AA2781" i="7" s="1"/>
  <c r="W2765" i="7"/>
  <c r="A2901" i="7"/>
  <c r="A2896" i="7"/>
  <c r="A2895" i="7"/>
  <c r="A2891" i="7"/>
  <c r="A2885" i="7"/>
  <c r="A2900" i="7"/>
  <c r="A2897" i="7"/>
  <c r="A2883" i="7"/>
  <c r="A2899" i="7"/>
  <c r="A2884" i="7"/>
  <c r="C2875" i="7"/>
  <c r="A2892" i="7"/>
  <c r="A2890" i="7"/>
  <c r="A2882" i="7"/>
  <c r="A2893" i="7"/>
  <c r="A2905" i="7"/>
  <c r="A2887" i="7"/>
  <c r="D2795" i="7"/>
  <c r="P2792" i="7"/>
  <c r="R2792" i="7" s="1"/>
  <c r="Y2822" i="7"/>
  <c r="Y2827" i="7"/>
  <c r="Y2836" i="7"/>
  <c r="Y2831" i="7"/>
  <c r="Y2823" i="7"/>
  <c r="Y2830" i="7"/>
  <c r="Y2837" i="7"/>
  <c r="Y2824" i="7"/>
  <c r="Y2825" i="7" s="1"/>
  <c r="Y2835" i="7"/>
  <c r="Y2832" i="7"/>
  <c r="Y2833" i="7" s="1"/>
  <c r="F2803" i="7"/>
  <c r="U2800" i="7"/>
  <c r="L2800" i="7"/>
  <c r="J2800" i="7"/>
  <c r="P2794" i="7"/>
  <c r="R2794" i="7" s="1"/>
  <c r="L2806" i="7"/>
  <c r="J2806" i="7"/>
  <c r="D2803" i="7"/>
  <c r="W2803" i="7" s="1"/>
  <c r="P2800" i="7"/>
  <c r="R2800" i="7" s="1"/>
  <c r="AA2737" i="7"/>
  <c r="AA6381" i="7"/>
  <c r="N6409" i="7"/>
  <c r="AA6380" i="7"/>
  <c r="P6424" i="7"/>
  <c r="R6424" i="7" s="1"/>
  <c r="N6410" i="7"/>
  <c r="N6411" i="7"/>
  <c r="P6432" i="7"/>
  <c r="R6432" i="7" s="1"/>
  <c r="L6440" i="7"/>
  <c r="N6395" i="7"/>
  <c r="P6395" i="7" s="1"/>
  <c r="R6395" i="7" s="1"/>
  <c r="AA6373" i="7"/>
  <c r="AA6371" i="7" s="1"/>
  <c r="L6439" i="7"/>
  <c r="W6437" i="7"/>
  <c r="W6441" i="7" s="1"/>
  <c r="AA6367" i="7"/>
  <c r="W6435" i="7"/>
  <c r="W6439" i="7" s="1"/>
  <c r="N6406" i="7"/>
  <c r="AA6406" i="7" s="1"/>
  <c r="L6441" i="7"/>
  <c r="AA6343" i="7"/>
  <c r="N6405" i="7"/>
  <c r="AA6405" i="7" s="1"/>
  <c r="P6397" i="7"/>
  <c r="R6397" i="7" s="1"/>
  <c r="AA6397" i="7" s="1"/>
  <c r="Y6467" i="7"/>
  <c r="Y6457" i="7"/>
  <c r="Y6461" i="7"/>
  <c r="Y6453" i="7"/>
  <c r="Y6460" i="7"/>
  <c r="Y6452" i="7"/>
  <c r="Y6454" i="7"/>
  <c r="Y6455" i="7" s="1"/>
  <c r="Y6462" i="7"/>
  <c r="Y6463" i="7" s="1"/>
  <c r="Y6465" i="7"/>
  <c r="Y6466" i="7"/>
  <c r="J6454" i="7"/>
  <c r="J6452" i="7"/>
  <c r="J6457" i="7"/>
  <c r="J6453" i="7"/>
  <c r="W6395" i="7"/>
  <c r="Y6409" i="7"/>
  <c r="Y6410" i="7"/>
  <c r="Y6411" i="7"/>
  <c r="U6422" i="7"/>
  <c r="L6422" i="7"/>
  <c r="N6422" i="7" s="1"/>
  <c r="F6425" i="7"/>
  <c r="J6435" i="7"/>
  <c r="L6435" i="7"/>
  <c r="U6424" i="7"/>
  <c r="U6425" i="7" s="1"/>
  <c r="L6424" i="7"/>
  <c r="N6424" i="7" s="1"/>
  <c r="L6436" i="7"/>
  <c r="J6436" i="7"/>
  <c r="U6427" i="7"/>
  <c r="L6427" i="7"/>
  <c r="N6427" i="7" s="1"/>
  <c r="D6425" i="7"/>
  <c r="P6422" i="7"/>
  <c r="R6422" i="7" s="1"/>
  <c r="H6466" i="7"/>
  <c r="D6453" i="7"/>
  <c r="F6452" i="7"/>
  <c r="H6470" i="7"/>
  <c r="D6466" i="7"/>
  <c r="D6467" i="7"/>
  <c r="F6470" i="7"/>
  <c r="U6470" i="7" s="1"/>
  <c r="F6460" i="7"/>
  <c r="F6453" i="7"/>
  <c r="U6453" i="7" s="1"/>
  <c r="F6465" i="7"/>
  <c r="U6465" i="7" s="1"/>
  <c r="D6452" i="7"/>
  <c r="D6457" i="7"/>
  <c r="W6457" i="7" s="1"/>
  <c r="F6471" i="7"/>
  <c r="U6471" i="7" s="1"/>
  <c r="D6461" i="7"/>
  <c r="H6471" i="7"/>
  <c r="F6462" i="7"/>
  <c r="D6446" i="7"/>
  <c r="D6460" i="7"/>
  <c r="F6457" i="7"/>
  <c r="D6470" i="7"/>
  <c r="D6471" i="7"/>
  <c r="F6467" i="7"/>
  <c r="U6467" i="7" s="1"/>
  <c r="H6467" i="7"/>
  <c r="D6454" i="7"/>
  <c r="D6469" i="7"/>
  <c r="D6465" i="7"/>
  <c r="F6461" i="7"/>
  <c r="U6461" i="7" s="1"/>
  <c r="F6466" i="7"/>
  <c r="U6466" i="7" s="1"/>
  <c r="H6469" i="7"/>
  <c r="H6465" i="7"/>
  <c r="F6454" i="7"/>
  <c r="F6469" i="7"/>
  <c r="U6469" i="7" s="1"/>
  <c r="D6462" i="7"/>
  <c r="G6446" i="7"/>
  <c r="P6430" i="7"/>
  <c r="R6430" i="7" s="1"/>
  <c r="D6433" i="7"/>
  <c r="W6433" i="7" s="1"/>
  <c r="L6432" i="7"/>
  <c r="N6432" i="7" s="1"/>
  <c r="U6432" i="7"/>
  <c r="U6433" i="7" s="1"/>
  <c r="A6531" i="7"/>
  <c r="A6523" i="7"/>
  <c r="A6521" i="7"/>
  <c r="C6505" i="7"/>
  <c r="A6525" i="7"/>
  <c r="A6515" i="7"/>
  <c r="A6527" i="7"/>
  <c r="A6514" i="7"/>
  <c r="A6535" i="7"/>
  <c r="A6530" i="7"/>
  <c r="A6512" i="7"/>
  <c r="A6522" i="7"/>
  <c r="A6529" i="7"/>
  <c r="A6520" i="7"/>
  <c r="A6526" i="7"/>
  <c r="A6513" i="7"/>
  <c r="A6517" i="7"/>
  <c r="N6407" i="7"/>
  <c r="AA6407" i="7" s="1"/>
  <c r="B6527" i="7"/>
  <c r="B6515" i="7"/>
  <c r="B6522" i="7"/>
  <c r="B6529" i="7"/>
  <c r="B6514" i="7"/>
  <c r="B6520" i="7"/>
  <c r="B6512" i="7"/>
  <c r="B6517" i="7"/>
  <c r="B6513" i="7"/>
  <c r="B6523" i="7"/>
  <c r="B6525" i="7"/>
  <c r="B6535" i="7"/>
  <c r="B6521" i="7"/>
  <c r="B6531" i="7"/>
  <c r="B6530" i="7"/>
  <c r="B6526" i="7"/>
  <c r="N6423" i="7"/>
  <c r="J6431" i="7"/>
  <c r="N6431" i="7" s="1"/>
  <c r="W6436" i="7"/>
  <c r="W6440" i="7" s="1"/>
  <c r="J6430" i="7"/>
  <c r="D6481" i="7"/>
  <c r="D6478" i="7"/>
  <c r="D6477" i="7"/>
  <c r="D6475" i="7"/>
  <c r="D6480" i="7"/>
  <c r="D6479" i="7"/>
  <c r="P6431" i="7"/>
  <c r="R6431" i="7" s="1"/>
  <c r="J6440" i="7"/>
  <c r="J6439" i="7"/>
  <c r="J6441" i="7"/>
  <c r="N6402" i="7"/>
  <c r="N6403" i="7" s="1"/>
  <c r="U6430" i="7"/>
  <c r="F6433" i="7"/>
  <c r="L6430" i="7"/>
  <c r="AA6365" i="7"/>
  <c r="AA6334" i="7"/>
  <c r="AA6333" i="7"/>
  <c r="AA6332" i="7"/>
  <c r="P6423" i="7"/>
  <c r="R6423" i="7" s="1"/>
  <c r="L6437" i="7"/>
  <c r="J6437" i="7"/>
  <c r="N2809" i="7" l="1"/>
  <c r="L2841" i="7"/>
  <c r="N2810" i="7"/>
  <c r="W2837" i="7"/>
  <c r="W2841" i="7" s="1"/>
  <c r="L2840" i="7"/>
  <c r="N2811" i="7"/>
  <c r="N2795" i="7"/>
  <c r="P2795" i="7" s="1"/>
  <c r="R2795" i="7" s="1"/>
  <c r="L2839" i="7"/>
  <c r="N2773" i="7"/>
  <c r="P2773" i="7" s="1"/>
  <c r="R2773" i="7" s="1"/>
  <c r="W2835" i="7"/>
  <c r="W2839" i="7" s="1"/>
  <c r="W2836" i="7"/>
  <c r="W2840" i="7" s="1"/>
  <c r="P2824" i="7"/>
  <c r="R2824" i="7" s="1"/>
  <c r="N2800" i="7"/>
  <c r="AA2765" i="7"/>
  <c r="AA2762" i="7" s="1"/>
  <c r="N2806" i="7"/>
  <c r="AA2806" i="7" s="1"/>
  <c r="N2805" i="7"/>
  <c r="AA2805" i="7" s="1"/>
  <c r="N2802" i="7"/>
  <c r="P2832" i="7"/>
  <c r="R2832" i="7" s="1"/>
  <c r="J2831" i="7"/>
  <c r="N2831" i="7" s="1"/>
  <c r="N2823" i="7"/>
  <c r="Y2857" i="7"/>
  <c r="Y2853" i="7"/>
  <c r="Y2861" i="7"/>
  <c r="Y2854" i="7"/>
  <c r="Y2855" i="7" s="1"/>
  <c r="Y2866" i="7"/>
  <c r="Y2860" i="7"/>
  <c r="Y2867" i="7"/>
  <c r="Y2865" i="7"/>
  <c r="Y2862" i="7"/>
  <c r="Y2863" i="7" s="1"/>
  <c r="Y2852" i="7"/>
  <c r="F2860" i="7"/>
  <c r="D2853" i="7"/>
  <c r="H2870" i="7"/>
  <c r="H2865" i="7"/>
  <c r="D2860" i="7"/>
  <c r="D2871" i="7"/>
  <c r="D2867" i="7"/>
  <c r="F2852" i="7"/>
  <c r="D2861" i="7"/>
  <c r="D2869" i="7"/>
  <c r="H2866" i="7"/>
  <c r="F2866" i="7"/>
  <c r="U2866" i="7" s="1"/>
  <c r="G2846" i="7"/>
  <c r="F2870" i="7"/>
  <c r="U2870" i="7" s="1"/>
  <c r="F2867" i="7"/>
  <c r="U2867" i="7" s="1"/>
  <c r="D2857" i="7"/>
  <c r="W2857" i="7" s="1"/>
  <c r="D2870" i="7"/>
  <c r="F2853" i="7"/>
  <c r="U2853" i="7" s="1"/>
  <c r="H2871" i="7"/>
  <c r="F2871" i="7"/>
  <c r="U2871" i="7" s="1"/>
  <c r="H2867" i="7"/>
  <c r="D2866" i="7"/>
  <c r="F2854" i="7"/>
  <c r="F2861" i="7"/>
  <c r="U2861" i="7" s="1"/>
  <c r="D2854" i="7"/>
  <c r="D2852" i="7"/>
  <c r="H2869" i="7"/>
  <c r="F2869" i="7"/>
  <c r="U2869" i="7" s="1"/>
  <c r="F2857" i="7"/>
  <c r="F2865" i="7"/>
  <c r="U2865" i="7" s="1"/>
  <c r="D2865" i="7"/>
  <c r="D2862" i="7"/>
  <c r="D2846" i="7"/>
  <c r="F2862" i="7"/>
  <c r="P2831" i="7"/>
  <c r="R2831" i="7" s="1"/>
  <c r="B2915" i="7"/>
  <c r="B2912" i="7"/>
  <c r="B2929" i="7"/>
  <c r="B2914" i="7"/>
  <c r="B2935" i="7"/>
  <c r="B2926" i="7"/>
  <c r="B2930" i="7"/>
  <c r="B2927" i="7"/>
  <c r="B2913" i="7"/>
  <c r="B2923" i="7"/>
  <c r="B2922" i="7"/>
  <c r="B2925" i="7"/>
  <c r="B2917" i="7"/>
  <c r="B2921" i="7"/>
  <c r="B2920" i="7"/>
  <c r="B2931" i="7"/>
  <c r="J2830" i="7"/>
  <c r="N2807" i="7"/>
  <c r="AA2807" i="7" s="1"/>
  <c r="J2853" i="7"/>
  <c r="J2852" i="7"/>
  <c r="J2854" i="7"/>
  <c r="J2857" i="7"/>
  <c r="D2833" i="7"/>
  <c r="W2833" i="7" s="1"/>
  <c r="P2830" i="7"/>
  <c r="R2830" i="7" s="1"/>
  <c r="L2835" i="7"/>
  <c r="J2835" i="7"/>
  <c r="L2827" i="7"/>
  <c r="N2827" i="7" s="1"/>
  <c r="U2827" i="7"/>
  <c r="L2824" i="7"/>
  <c r="N2824" i="7" s="1"/>
  <c r="U2824" i="7"/>
  <c r="U2825" i="7" s="1"/>
  <c r="AA2742" i="7"/>
  <c r="AA2741" i="7"/>
  <c r="AA2740" i="7"/>
  <c r="L2832" i="7"/>
  <c r="U2832" i="7"/>
  <c r="U2833" i="7" s="1"/>
  <c r="P2822" i="7"/>
  <c r="R2822" i="7" s="1"/>
  <c r="D2825" i="7"/>
  <c r="P2797" i="7"/>
  <c r="R2797" i="7" s="1"/>
  <c r="U2822" i="7"/>
  <c r="L2822" i="7"/>
  <c r="N2822" i="7" s="1"/>
  <c r="F2825" i="7"/>
  <c r="A2930" i="7"/>
  <c r="A2925" i="7"/>
  <c r="A2915" i="7"/>
  <c r="A2922" i="7"/>
  <c r="A2931" i="7"/>
  <c r="A2926" i="7"/>
  <c r="A2912" i="7"/>
  <c r="A2913" i="7"/>
  <c r="A2923" i="7"/>
  <c r="A2935" i="7"/>
  <c r="A2929" i="7"/>
  <c r="A2914" i="7"/>
  <c r="A2920" i="7"/>
  <c r="A2917" i="7"/>
  <c r="C2905" i="7"/>
  <c r="A2927" i="7"/>
  <c r="A2921" i="7"/>
  <c r="L2837" i="7"/>
  <c r="J2837" i="7"/>
  <c r="AA2767" i="7"/>
  <c r="L2830" i="7"/>
  <c r="F2833" i="7"/>
  <c r="U2830" i="7"/>
  <c r="J2841" i="7"/>
  <c r="N2841" i="7" s="1"/>
  <c r="J2839" i="7"/>
  <c r="J2840" i="7"/>
  <c r="J2832" i="7"/>
  <c r="J2836" i="7"/>
  <c r="L2836" i="7"/>
  <c r="W2795" i="7"/>
  <c r="Y2810" i="7"/>
  <c r="AA2810" i="7" s="1"/>
  <c r="Y2811" i="7"/>
  <c r="Y2809" i="7"/>
  <c r="AA2809" i="7" s="1"/>
  <c r="P2823" i="7"/>
  <c r="R2823" i="7" s="1"/>
  <c r="D2879" i="7"/>
  <c r="D2877" i="7"/>
  <c r="D2878" i="7"/>
  <c r="D2880" i="7"/>
  <c r="D2875" i="7"/>
  <c r="D2881" i="7"/>
  <c r="AA2733" i="7"/>
  <c r="AA2734" i="7"/>
  <c r="AA2732" i="7"/>
  <c r="AA6409" i="7"/>
  <c r="N6425" i="7"/>
  <c r="P6425" i="7" s="1"/>
  <c r="R6425" i="7" s="1"/>
  <c r="AA6410" i="7"/>
  <c r="AA6411" i="7"/>
  <c r="N6440" i="7"/>
  <c r="N6439" i="7"/>
  <c r="N6441" i="7"/>
  <c r="AA6372" i="7"/>
  <c r="AA6370" i="7"/>
  <c r="N6436" i="7"/>
  <c r="AA6436" i="7" s="1"/>
  <c r="N6437" i="7"/>
  <c r="AA6437" i="7" s="1"/>
  <c r="L6470" i="7"/>
  <c r="N6430" i="7"/>
  <c r="N6433" i="7" s="1"/>
  <c r="P6433" i="7" s="1"/>
  <c r="R6433" i="7" s="1"/>
  <c r="AA6433" i="7" s="1"/>
  <c r="W6467" i="7"/>
  <c r="W6471" i="7" s="1"/>
  <c r="P6453" i="7"/>
  <c r="R6453" i="7" s="1"/>
  <c r="P6462" i="7"/>
  <c r="R6462" i="7" s="1"/>
  <c r="AA6395" i="7"/>
  <c r="AA6394" i="7" s="1"/>
  <c r="P6403" i="7"/>
  <c r="R6403" i="7" s="1"/>
  <c r="AA6342" i="7"/>
  <c r="AA6340" i="7"/>
  <c r="AA6341" i="7"/>
  <c r="L6469" i="7"/>
  <c r="N6435" i="7"/>
  <c r="AA6435" i="7" s="1"/>
  <c r="L6471" i="7"/>
  <c r="D6491" i="7"/>
  <c r="D6490" i="7"/>
  <c r="D6483" i="7"/>
  <c r="G6476" i="7"/>
  <c r="F6487" i="7"/>
  <c r="H6496" i="7"/>
  <c r="D6484" i="7"/>
  <c r="F6495" i="7"/>
  <c r="U6495" i="7" s="1"/>
  <c r="D6492" i="7"/>
  <c r="F6497" i="7"/>
  <c r="U6497" i="7" s="1"/>
  <c r="F6483" i="7"/>
  <c r="U6483" i="7" s="1"/>
  <c r="F6496" i="7"/>
  <c r="U6496" i="7" s="1"/>
  <c r="D6476" i="7"/>
  <c r="D6500" i="7"/>
  <c r="F6499" i="7"/>
  <c r="U6499" i="7" s="1"/>
  <c r="H6499" i="7"/>
  <c r="D6499" i="7"/>
  <c r="F6491" i="7"/>
  <c r="U6491" i="7" s="1"/>
  <c r="H6501" i="7"/>
  <c r="D6482" i="7"/>
  <c r="F6501" i="7"/>
  <c r="U6501" i="7" s="1"/>
  <c r="H6495" i="7"/>
  <c r="D6487" i="7"/>
  <c r="W6487" i="7" s="1"/>
  <c r="H6500" i="7"/>
  <c r="F6490" i="7"/>
  <c r="F6484" i="7"/>
  <c r="H6497" i="7"/>
  <c r="D6497" i="7"/>
  <c r="D6496" i="7"/>
  <c r="D6495" i="7"/>
  <c r="F6482" i="7"/>
  <c r="D6501" i="7"/>
  <c r="F6492" i="7"/>
  <c r="F6500" i="7"/>
  <c r="U6500" i="7" s="1"/>
  <c r="J6460" i="7"/>
  <c r="J6483" i="7"/>
  <c r="J6484" i="7"/>
  <c r="J6492" i="7" s="1"/>
  <c r="J6482" i="7"/>
  <c r="J6490" i="7" s="1"/>
  <c r="J6487" i="7"/>
  <c r="J6467" i="7"/>
  <c r="L6467" i="7"/>
  <c r="J6462" i="7"/>
  <c r="L6466" i="7"/>
  <c r="J6466" i="7"/>
  <c r="F6455" i="7"/>
  <c r="U6452" i="7"/>
  <c r="L6452" i="7"/>
  <c r="N6452" i="7" s="1"/>
  <c r="A6557" i="7"/>
  <c r="A6543" i="7"/>
  <c r="A6552" i="7"/>
  <c r="A6565" i="7"/>
  <c r="A6595" i="7" s="1"/>
  <c r="C6535" i="7"/>
  <c r="A6544" i="7"/>
  <c r="A6559" i="7"/>
  <c r="A6545" i="7"/>
  <c r="A6561" i="7"/>
  <c r="A6556" i="7"/>
  <c r="A6553" i="7"/>
  <c r="A6560" i="7"/>
  <c r="A6555" i="7"/>
  <c r="A6550" i="7"/>
  <c r="A6542" i="7"/>
  <c r="A6547" i="7"/>
  <c r="A6551" i="7"/>
  <c r="J6470" i="7"/>
  <c r="J6471" i="7"/>
  <c r="J6469" i="7"/>
  <c r="D6507" i="7"/>
  <c r="D6510" i="7"/>
  <c r="D6508" i="7"/>
  <c r="D6505" i="7"/>
  <c r="D6511" i="7"/>
  <c r="D6509" i="7"/>
  <c r="P6461" i="7"/>
  <c r="R6461" i="7" s="1"/>
  <c r="Y6440" i="7"/>
  <c r="Y6439" i="7"/>
  <c r="Y6441" i="7"/>
  <c r="W6425" i="7"/>
  <c r="D6463" i="7"/>
  <c r="W6463" i="7" s="1"/>
  <c r="P6460" i="7"/>
  <c r="R6460" i="7" s="1"/>
  <c r="W6466" i="7"/>
  <c r="W6470" i="7" s="1"/>
  <c r="U6462" i="7"/>
  <c r="U6463" i="7" s="1"/>
  <c r="L6462" i="7"/>
  <c r="P6427" i="7"/>
  <c r="R6427" i="7" s="1"/>
  <c r="Y6496" i="7"/>
  <c r="Y6497" i="7"/>
  <c r="Y6490" i="7"/>
  <c r="Y6491" i="7"/>
  <c r="Y6492" i="7"/>
  <c r="Y6493" i="7" s="1"/>
  <c r="Y6495" i="7"/>
  <c r="Y6484" i="7"/>
  <c r="Y6485" i="7" s="1"/>
  <c r="Y6482" i="7"/>
  <c r="Y6487" i="7"/>
  <c r="Y6483" i="7"/>
  <c r="U6457" i="7"/>
  <c r="L6457" i="7"/>
  <c r="N6457" i="7" s="1"/>
  <c r="W6465" i="7"/>
  <c r="W6469" i="7" s="1"/>
  <c r="AA6364" i="7"/>
  <c r="AA6362" i="7"/>
  <c r="AA6363" i="7"/>
  <c r="L6454" i="7"/>
  <c r="N6454" i="7" s="1"/>
  <c r="U6454" i="7"/>
  <c r="U6455" i="7" s="1"/>
  <c r="P6452" i="7"/>
  <c r="R6452" i="7" s="1"/>
  <c r="D6455" i="7"/>
  <c r="J6465" i="7"/>
  <c r="L6465" i="7"/>
  <c r="B6550" i="7"/>
  <c r="B6553" i="7"/>
  <c r="B6560" i="7"/>
  <c r="B6547" i="7"/>
  <c r="B6559" i="7"/>
  <c r="B6552" i="7"/>
  <c r="B6551" i="7"/>
  <c r="B6545" i="7"/>
  <c r="B6557" i="7"/>
  <c r="B6561" i="7"/>
  <c r="B6542" i="7"/>
  <c r="B6565" i="7"/>
  <c r="B6543" i="7"/>
  <c r="B6555" i="7"/>
  <c r="B6556" i="7"/>
  <c r="B6544" i="7"/>
  <c r="N6453" i="7"/>
  <c r="J6461" i="7"/>
  <c r="N6461" i="7" s="1"/>
  <c r="P6454" i="7"/>
  <c r="R6454" i="7" s="1"/>
  <c r="L6460" i="7"/>
  <c r="F6463" i="7"/>
  <c r="U6460" i="7"/>
  <c r="B6613" i="7" l="1"/>
  <c r="B6607" i="7"/>
  <c r="B6619" i="7"/>
  <c r="B6603" i="7"/>
  <c r="B6610" i="7"/>
  <c r="B6620" i="7"/>
  <c r="B6615" i="7"/>
  <c r="B6604" i="7"/>
  <c r="B6602" i="7"/>
  <c r="B6611" i="7"/>
  <c r="B6617" i="7"/>
  <c r="B6621" i="7"/>
  <c r="B6612" i="7"/>
  <c r="B6605" i="7"/>
  <c r="B6616" i="7"/>
  <c r="A6602" i="7"/>
  <c r="A6613" i="7"/>
  <c r="A6607" i="7"/>
  <c r="A6619" i="7"/>
  <c r="A6603" i="7"/>
  <c r="A6610" i="7"/>
  <c r="A6621" i="7"/>
  <c r="A6612" i="7"/>
  <c r="C6595" i="7"/>
  <c r="A6604" i="7"/>
  <c r="A6615" i="7"/>
  <c r="A6611" i="7"/>
  <c r="A6620" i="7"/>
  <c r="A6605" i="7"/>
  <c r="A6616" i="7"/>
  <c r="A6617" i="7"/>
  <c r="L2871" i="7"/>
  <c r="AA2773" i="7"/>
  <c r="AA2770" i="7" s="1"/>
  <c r="N2840" i="7"/>
  <c r="N2839" i="7"/>
  <c r="N2803" i="7"/>
  <c r="P2803" i="7" s="1"/>
  <c r="R2803" i="7" s="1"/>
  <c r="AA2811" i="7"/>
  <c r="L2869" i="7"/>
  <c r="W2866" i="7"/>
  <c r="W2870" i="7" s="1"/>
  <c r="N2825" i="7"/>
  <c r="P2825" i="7" s="1"/>
  <c r="R2825" i="7" s="1"/>
  <c r="L2870" i="7"/>
  <c r="AA2763" i="7"/>
  <c r="AA2764" i="7"/>
  <c r="AA2797" i="7"/>
  <c r="N2837" i="7"/>
  <c r="AA2837" i="7" s="1"/>
  <c r="N2835" i="7"/>
  <c r="AA2835" i="7" s="1"/>
  <c r="W2865" i="7"/>
  <c r="W2869" i="7" s="1"/>
  <c r="N2836" i="7"/>
  <c r="AA2836" i="7" s="1"/>
  <c r="W2867" i="7"/>
  <c r="W2871" i="7" s="1"/>
  <c r="P2853" i="7"/>
  <c r="R2853" i="7" s="1"/>
  <c r="P2862" i="7"/>
  <c r="R2862" i="7" s="1"/>
  <c r="J2865" i="7"/>
  <c r="L2865" i="7"/>
  <c r="U2857" i="7"/>
  <c r="L2857" i="7"/>
  <c r="N2857" i="7" s="1"/>
  <c r="J2862" i="7"/>
  <c r="N2832" i="7"/>
  <c r="P2854" i="7"/>
  <c r="R2854" i="7" s="1"/>
  <c r="P2861" i="7"/>
  <c r="R2861" i="7" s="1"/>
  <c r="U2862" i="7"/>
  <c r="U2863" i="7" s="1"/>
  <c r="L2862" i="7"/>
  <c r="P2827" i="7"/>
  <c r="R2827" i="7" s="1"/>
  <c r="B2943" i="7"/>
  <c r="B2945" i="7"/>
  <c r="B2960" i="7"/>
  <c r="B2942" i="7"/>
  <c r="B2957" i="7"/>
  <c r="B2951" i="7"/>
  <c r="B2952" i="7"/>
  <c r="B2965" i="7"/>
  <c r="B2944" i="7"/>
  <c r="B2956" i="7"/>
  <c r="B2950" i="7"/>
  <c r="B2947" i="7"/>
  <c r="B2953" i="7"/>
  <c r="B2959" i="7"/>
  <c r="B2955" i="7"/>
  <c r="B2961" i="7"/>
  <c r="N2830" i="7"/>
  <c r="J2860" i="7"/>
  <c r="F2855" i="7"/>
  <c r="U2852" i="7"/>
  <c r="L2852" i="7"/>
  <c r="N2852" i="7" s="1"/>
  <c r="U2854" i="7"/>
  <c r="U2855" i="7" s="1"/>
  <c r="L2854" i="7"/>
  <c r="N2854" i="7" s="1"/>
  <c r="L2866" i="7"/>
  <c r="J2866" i="7"/>
  <c r="F2863" i="7"/>
  <c r="U2860" i="7"/>
  <c r="L2860" i="7"/>
  <c r="Y2890" i="7"/>
  <c r="Y2883" i="7"/>
  <c r="Y2897" i="7"/>
  <c r="Y2887" i="7"/>
  <c r="Y2884" i="7"/>
  <c r="Y2885" i="7" s="1"/>
  <c r="Y2895" i="7"/>
  <c r="Y2891" i="7"/>
  <c r="Y2892" i="7"/>
  <c r="Y2893" i="7" s="1"/>
  <c r="Y2896" i="7"/>
  <c r="Y2882" i="7"/>
  <c r="A2959" i="7"/>
  <c r="A2945" i="7"/>
  <c r="A2960" i="7"/>
  <c r="A2951" i="7"/>
  <c r="A2947" i="7"/>
  <c r="A2956" i="7"/>
  <c r="A2942" i="7"/>
  <c r="A2952" i="7"/>
  <c r="A2965" i="7"/>
  <c r="C2935" i="7"/>
  <c r="A2944" i="7"/>
  <c r="A2957" i="7"/>
  <c r="A2943" i="7"/>
  <c r="A2953" i="7"/>
  <c r="A2955" i="7"/>
  <c r="A2950" i="7"/>
  <c r="A2961" i="7"/>
  <c r="AA2795" i="7"/>
  <c r="D2863" i="7"/>
  <c r="W2863" i="7" s="1"/>
  <c r="P2860" i="7"/>
  <c r="R2860" i="7" s="1"/>
  <c r="J2870" i="7"/>
  <c r="J2871" i="7"/>
  <c r="J2869" i="7"/>
  <c r="D2855" i="7"/>
  <c r="P2852" i="7"/>
  <c r="R2852" i="7" s="1"/>
  <c r="H2897" i="7"/>
  <c r="F2892" i="7"/>
  <c r="F2900" i="7"/>
  <c r="U2900" i="7" s="1"/>
  <c r="D2882" i="7"/>
  <c r="D2900" i="7"/>
  <c r="H2896" i="7"/>
  <c r="D2897" i="7"/>
  <c r="F2891" i="7"/>
  <c r="U2891" i="7" s="1"/>
  <c r="D2883" i="7"/>
  <c r="F2895" i="7"/>
  <c r="U2895" i="7" s="1"/>
  <c r="D2892" i="7"/>
  <c r="D2895" i="7"/>
  <c r="F2890" i="7"/>
  <c r="G2876" i="7"/>
  <c r="H2901" i="7"/>
  <c r="D2899" i="7"/>
  <c r="F2884" i="7"/>
  <c r="F2901" i="7"/>
  <c r="U2901" i="7" s="1"/>
  <c r="D2884" i="7"/>
  <c r="D2876" i="7"/>
  <c r="D2901" i="7"/>
  <c r="H2895" i="7"/>
  <c r="F2887" i="7"/>
  <c r="D2887" i="7"/>
  <c r="W2887" i="7" s="1"/>
  <c r="H2900" i="7"/>
  <c r="H2899" i="7"/>
  <c r="F2899" i="7"/>
  <c r="U2899" i="7" s="1"/>
  <c r="F2897" i="7"/>
  <c r="U2897" i="7" s="1"/>
  <c r="D2891" i="7"/>
  <c r="D2896" i="7"/>
  <c r="F2883" i="7"/>
  <c r="U2883" i="7" s="1"/>
  <c r="F2896" i="7"/>
  <c r="U2896" i="7" s="1"/>
  <c r="F2882" i="7"/>
  <c r="D2890" i="7"/>
  <c r="D2907" i="7"/>
  <c r="D2911" i="7"/>
  <c r="D2910" i="7"/>
  <c r="D2909" i="7"/>
  <c r="D2908" i="7"/>
  <c r="D2905" i="7"/>
  <c r="J2861" i="7"/>
  <c r="N2861" i="7" s="1"/>
  <c r="N2853" i="7"/>
  <c r="L2867" i="7"/>
  <c r="J2867" i="7"/>
  <c r="J2883" i="7"/>
  <c r="J2887" i="7"/>
  <c r="J2884" i="7"/>
  <c r="J2882" i="7"/>
  <c r="Y2839" i="7"/>
  <c r="Y2840" i="7"/>
  <c r="W2825" i="7"/>
  <c r="Y2841" i="7"/>
  <c r="AA2841" i="7" s="1"/>
  <c r="N6455" i="7"/>
  <c r="P6455" i="7" s="1"/>
  <c r="R6455" i="7" s="1"/>
  <c r="AA6439" i="7"/>
  <c r="AA6393" i="7"/>
  <c r="AA6392" i="7"/>
  <c r="AA6440" i="7"/>
  <c r="L6499" i="7"/>
  <c r="AA6441" i="7"/>
  <c r="AA6425" i="7"/>
  <c r="AA6422" i="7" s="1"/>
  <c r="N6470" i="7"/>
  <c r="N6471" i="7"/>
  <c r="N6469" i="7"/>
  <c r="W6496" i="7"/>
  <c r="W6500" i="7" s="1"/>
  <c r="P6484" i="7"/>
  <c r="R6484" i="7" s="1"/>
  <c r="AA6427" i="7"/>
  <c r="L6501" i="7"/>
  <c r="W6497" i="7"/>
  <c r="W6501" i="7" s="1"/>
  <c r="W6495" i="7"/>
  <c r="W6499" i="7" s="1"/>
  <c r="N6462" i="7"/>
  <c r="P6492" i="7"/>
  <c r="R6492" i="7" s="1"/>
  <c r="L6500" i="7"/>
  <c r="AA6403" i="7"/>
  <c r="P6457" i="7"/>
  <c r="R6457" i="7" s="1"/>
  <c r="U6482" i="7"/>
  <c r="F6485" i="7"/>
  <c r="L6482" i="7"/>
  <c r="N6482" i="7" s="1"/>
  <c r="L6495" i="7"/>
  <c r="J6495" i="7"/>
  <c r="J6513" i="7"/>
  <c r="J6512" i="7"/>
  <c r="J6520" i="7" s="1"/>
  <c r="J6517" i="7"/>
  <c r="J6514" i="7"/>
  <c r="D6541" i="7"/>
  <c r="D6535" i="7"/>
  <c r="D6537" i="7"/>
  <c r="D6539" i="7"/>
  <c r="D6538" i="7"/>
  <c r="D6540" i="7"/>
  <c r="N6467" i="7"/>
  <c r="AA6467" i="7" s="1"/>
  <c r="F6493" i="7"/>
  <c r="L6490" i="7"/>
  <c r="N6490" i="7" s="1"/>
  <c r="U6490" i="7"/>
  <c r="A6586" i="7"/>
  <c r="A6580" i="7"/>
  <c r="A6572" i="7"/>
  <c r="A6582" i="7"/>
  <c r="C6565" i="7"/>
  <c r="A6587" i="7"/>
  <c r="A6573" i="7"/>
  <c r="A6575" i="7"/>
  <c r="A6590" i="7"/>
  <c r="A6585" i="7"/>
  <c r="A6583" i="7"/>
  <c r="A6591" i="7"/>
  <c r="A6577" i="7"/>
  <c r="A6574" i="7"/>
  <c r="A6581" i="7"/>
  <c r="A6589" i="7"/>
  <c r="A6625" i="7"/>
  <c r="J6496" i="7"/>
  <c r="L6496" i="7"/>
  <c r="J6497" i="7"/>
  <c r="L6497" i="7"/>
  <c r="B6625" i="7"/>
  <c r="B6591" i="7"/>
  <c r="B6573" i="7"/>
  <c r="B6574" i="7"/>
  <c r="B6583" i="7"/>
  <c r="B6577" i="7"/>
  <c r="B6589" i="7"/>
  <c r="B6581" i="7"/>
  <c r="B6572" i="7"/>
  <c r="B6585" i="7"/>
  <c r="B6582" i="7"/>
  <c r="B6586" i="7"/>
  <c r="B6590" i="7"/>
  <c r="B6580" i="7"/>
  <c r="B6575" i="7"/>
  <c r="B6587" i="7"/>
  <c r="Y6512" i="7"/>
  <c r="Y6513" i="7"/>
  <c r="Y6520" i="7"/>
  <c r="Y6526" i="7"/>
  <c r="Y6517" i="7"/>
  <c r="Y6525" i="7"/>
  <c r="Y6521" i="7"/>
  <c r="Y6522" i="7"/>
  <c r="Y6523" i="7" s="1"/>
  <c r="Y6514" i="7"/>
  <c r="Y6515" i="7" s="1"/>
  <c r="Y6527" i="7"/>
  <c r="J6501" i="7"/>
  <c r="J6499" i="7"/>
  <c r="J6500" i="7"/>
  <c r="N6483" i="7"/>
  <c r="J6491" i="7"/>
  <c r="N6491" i="7" s="1"/>
  <c r="U6487" i="7"/>
  <c r="L6487" i="7"/>
  <c r="N6487" i="7" s="1"/>
  <c r="AA6431" i="7"/>
  <c r="AA6432" i="7"/>
  <c r="AA6430" i="7"/>
  <c r="D6485" i="7"/>
  <c r="P6482" i="7"/>
  <c r="R6482" i="7" s="1"/>
  <c r="L6484" i="7"/>
  <c r="N6484" i="7" s="1"/>
  <c r="U6484" i="7"/>
  <c r="U6485" i="7" s="1"/>
  <c r="N6460" i="7"/>
  <c r="P6483" i="7"/>
  <c r="R6483" i="7" s="1"/>
  <c r="F6527" i="7"/>
  <c r="U6527" i="7" s="1"/>
  <c r="D6513" i="7"/>
  <c r="D6530" i="7"/>
  <c r="F6512" i="7"/>
  <c r="D6514" i="7"/>
  <c r="D6521" i="7"/>
  <c r="D6520" i="7"/>
  <c r="F6526" i="7"/>
  <c r="U6526" i="7" s="1"/>
  <c r="G6506" i="7"/>
  <c r="D6522" i="7"/>
  <c r="D6531" i="7"/>
  <c r="H6527" i="7"/>
  <c r="F6525" i="7"/>
  <c r="U6525" i="7" s="1"/>
  <c r="H6525" i="7"/>
  <c r="H6531" i="7"/>
  <c r="H6530" i="7"/>
  <c r="F6521" i="7"/>
  <c r="U6521" i="7" s="1"/>
  <c r="D6527" i="7"/>
  <c r="D6525" i="7"/>
  <c r="D6526" i="7"/>
  <c r="F6529" i="7"/>
  <c r="U6529" i="7" s="1"/>
  <c r="F6517" i="7"/>
  <c r="H6526" i="7"/>
  <c r="D6512" i="7"/>
  <c r="F6531" i="7"/>
  <c r="U6531" i="7" s="1"/>
  <c r="D6517" i="7"/>
  <c r="W6517" i="7" s="1"/>
  <c r="D6529" i="7"/>
  <c r="F6522" i="7"/>
  <c r="H6529" i="7"/>
  <c r="F6520" i="7"/>
  <c r="F6514" i="7"/>
  <c r="F6513" i="7"/>
  <c r="U6513" i="7" s="1"/>
  <c r="F6530" i="7"/>
  <c r="U6530" i="7" s="1"/>
  <c r="D6506" i="7"/>
  <c r="N6465" i="7"/>
  <c r="AA6465" i="7" s="1"/>
  <c r="Y6470" i="7"/>
  <c r="Y6471" i="7"/>
  <c r="W6455" i="7"/>
  <c r="Y6469" i="7"/>
  <c r="D6493" i="7"/>
  <c r="W6493" i="7" s="1"/>
  <c r="P6490" i="7"/>
  <c r="R6490" i="7" s="1"/>
  <c r="N6466" i="7"/>
  <c r="AA6466" i="7" s="1"/>
  <c r="U6492" i="7"/>
  <c r="U6493" i="7" s="1"/>
  <c r="L6492" i="7"/>
  <c r="N6492" i="7" s="1"/>
  <c r="P6491" i="7"/>
  <c r="R6491" i="7" s="1"/>
  <c r="AA2771" i="7" l="1"/>
  <c r="AA2772" i="7"/>
  <c r="N2871" i="7"/>
  <c r="D6601" i="7"/>
  <c r="D6600" i="7"/>
  <c r="D6599" i="7"/>
  <c r="D6598" i="7"/>
  <c r="D6597" i="7"/>
  <c r="D6595" i="7"/>
  <c r="L2900" i="7"/>
  <c r="L2901" i="7"/>
  <c r="AA2840" i="7"/>
  <c r="AA2839" i="7"/>
  <c r="N2869" i="7"/>
  <c r="W2897" i="7"/>
  <c r="W2901" i="7" s="1"/>
  <c r="N2870" i="7"/>
  <c r="AA2803" i="7"/>
  <c r="AA2802" i="7" s="1"/>
  <c r="L2899" i="7"/>
  <c r="N2855" i="7"/>
  <c r="P2855" i="7" s="1"/>
  <c r="R2855" i="7" s="1"/>
  <c r="N2833" i="7"/>
  <c r="P2833" i="7" s="1"/>
  <c r="R2833" i="7" s="1"/>
  <c r="W2896" i="7"/>
  <c r="W2900" i="7" s="1"/>
  <c r="N2866" i="7"/>
  <c r="AA2866" i="7" s="1"/>
  <c r="W2895" i="7"/>
  <c r="W2899" i="7" s="1"/>
  <c r="P2883" i="7"/>
  <c r="R2883" i="7" s="1"/>
  <c r="AA2827" i="7"/>
  <c r="U2887" i="7"/>
  <c r="L2887" i="7"/>
  <c r="N2887" i="7" s="1"/>
  <c r="J2897" i="7"/>
  <c r="L2897" i="7"/>
  <c r="AA2825" i="7"/>
  <c r="AA2793" i="7"/>
  <c r="AA2792" i="7"/>
  <c r="AA2794" i="7"/>
  <c r="Y2917" i="7"/>
  <c r="Y2927" i="7"/>
  <c r="Y2920" i="7"/>
  <c r="Y2921" i="7"/>
  <c r="Y2912" i="7"/>
  <c r="Y2926" i="7"/>
  <c r="Y2922" i="7"/>
  <c r="Y2923" i="7" s="1"/>
  <c r="Y2913" i="7"/>
  <c r="Y2914" i="7"/>
  <c r="Y2915" i="7" s="1"/>
  <c r="Y2925" i="7"/>
  <c r="J2890" i="7"/>
  <c r="J2892" i="7"/>
  <c r="J2901" i="7"/>
  <c r="J2900" i="7"/>
  <c r="J2899" i="7"/>
  <c r="D2885" i="7"/>
  <c r="P2882" i="7"/>
  <c r="R2882" i="7" s="1"/>
  <c r="L2892" i="7"/>
  <c r="U2892" i="7"/>
  <c r="U2893" i="7" s="1"/>
  <c r="N2867" i="7"/>
  <c r="AA2867" i="7" s="1"/>
  <c r="L2882" i="7"/>
  <c r="N2882" i="7" s="1"/>
  <c r="F2885" i="7"/>
  <c r="U2882" i="7"/>
  <c r="U2884" i="7"/>
  <c r="U2885" i="7" s="1"/>
  <c r="L2884" i="7"/>
  <c r="N2884" i="7" s="1"/>
  <c r="P2884" i="7"/>
  <c r="R2884" i="7" s="1"/>
  <c r="B2972" i="7"/>
  <c r="B2975" i="7"/>
  <c r="B2990" i="7"/>
  <c r="B2981" i="7"/>
  <c r="B2989" i="7"/>
  <c r="B2983" i="7"/>
  <c r="B2974" i="7"/>
  <c r="B2982" i="7"/>
  <c r="B2973" i="7"/>
  <c r="B2985" i="7"/>
  <c r="B2986" i="7"/>
  <c r="B2980" i="7"/>
  <c r="B2995" i="7"/>
  <c r="B2977" i="7"/>
  <c r="B2991" i="7"/>
  <c r="B2987" i="7"/>
  <c r="N2883" i="7"/>
  <c r="J2891" i="7"/>
  <c r="N2891" i="7" s="1"/>
  <c r="J2912" i="7"/>
  <c r="J2917" i="7"/>
  <c r="J2914" i="7"/>
  <c r="J2913" i="7"/>
  <c r="J2896" i="7"/>
  <c r="L2896" i="7"/>
  <c r="Y2870" i="7"/>
  <c r="Y2869" i="7"/>
  <c r="W2855" i="7"/>
  <c r="Y2871" i="7"/>
  <c r="N2862" i="7"/>
  <c r="D2893" i="7"/>
  <c r="W2893" i="7" s="1"/>
  <c r="P2890" i="7"/>
  <c r="R2890" i="7" s="1"/>
  <c r="P2857" i="7"/>
  <c r="R2857" i="7" s="1"/>
  <c r="H2931" i="7"/>
  <c r="H2926" i="7"/>
  <c r="D2921" i="7"/>
  <c r="D2914" i="7"/>
  <c r="D2906" i="7"/>
  <c r="F2930" i="7"/>
  <c r="U2930" i="7" s="1"/>
  <c r="D2912" i="7"/>
  <c r="D2930" i="7"/>
  <c r="F2926" i="7"/>
  <c r="U2926" i="7" s="1"/>
  <c r="D2920" i="7"/>
  <c r="F2912" i="7"/>
  <c r="F2929" i="7"/>
  <c r="U2929" i="7" s="1"/>
  <c r="D2926" i="7"/>
  <c r="D2929" i="7"/>
  <c r="H2930" i="7"/>
  <c r="D2927" i="7"/>
  <c r="F2925" i="7"/>
  <c r="U2925" i="7" s="1"/>
  <c r="D2925" i="7"/>
  <c r="D2922" i="7"/>
  <c r="F2931" i="7"/>
  <c r="U2931" i="7" s="1"/>
  <c r="F2917" i="7"/>
  <c r="G2906" i="7"/>
  <c r="H2925" i="7"/>
  <c r="D2917" i="7"/>
  <c r="W2917" i="7" s="1"/>
  <c r="H2927" i="7"/>
  <c r="F2927" i="7"/>
  <c r="U2927" i="7" s="1"/>
  <c r="F2914" i="7"/>
  <c r="F2921" i="7"/>
  <c r="U2921" i="7" s="1"/>
  <c r="F2922" i="7"/>
  <c r="F2920" i="7"/>
  <c r="D2931" i="7"/>
  <c r="H2929" i="7"/>
  <c r="D2913" i="7"/>
  <c r="F2913" i="7"/>
  <c r="U2913" i="7" s="1"/>
  <c r="P2891" i="7"/>
  <c r="R2891" i="7" s="1"/>
  <c r="L2890" i="7"/>
  <c r="F2893" i="7"/>
  <c r="U2890" i="7"/>
  <c r="D2939" i="7"/>
  <c r="D2935" i="7"/>
  <c r="D2941" i="7"/>
  <c r="D2940" i="7"/>
  <c r="D2938" i="7"/>
  <c r="D2937" i="7"/>
  <c r="N2860" i="7"/>
  <c r="L2895" i="7"/>
  <c r="J2895" i="7"/>
  <c r="A2995" i="7"/>
  <c r="A2987" i="7"/>
  <c r="A2975" i="7"/>
  <c r="A2972" i="7"/>
  <c r="A2990" i="7"/>
  <c r="A2977" i="7"/>
  <c r="A2991" i="7"/>
  <c r="A2986" i="7"/>
  <c r="A2983" i="7"/>
  <c r="A2981" i="7"/>
  <c r="A2989" i="7"/>
  <c r="A2974" i="7"/>
  <c r="C2965" i="7"/>
  <c r="A2980" i="7"/>
  <c r="A2985" i="7"/>
  <c r="A2982" i="7"/>
  <c r="A2973" i="7"/>
  <c r="P2892" i="7"/>
  <c r="R2892" i="7" s="1"/>
  <c r="N2865" i="7"/>
  <c r="AA2865" i="7" s="1"/>
  <c r="AA6470" i="7"/>
  <c r="AA6469" i="7"/>
  <c r="N6493" i="7"/>
  <c r="P6493" i="7" s="1"/>
  <c r="R6493" i="7" s="1"/>
  <c r="AA6471" i="7"/>
  <c r="N6499" i="7"/>
  <c r="AA6423" i="7"/>
  <c r="P6522" i="7"/>
  <c r="R6522" i="7" s="1"/>
  <c r="AA6424" i="7"/>
  <c r="L6529" i="7"/>
  <c r="N6463" i="7"/>
  <c r="P6463" i="7" s="1"/>
  <c r="R6463" i="7" s="1"/>
  <c r="N6485" i="7"/>
  <c r="P6485" i="7" s="1"/>
  <c r="R6485" i="7" s="1"/>
  <c r="L6530" i="7"/>
  <c r="N6495" i="7"/>
  <c r="AA6495" i="7" s="1"/>
  <c r="L6531" i="7"/>
  <c r="N6500" i="7"/>
  <c r="N6501" i="7"/>
  <c r="AA6455" i="7"/>
  <c r="AA6452" i="7" s="1"/>
  <c r="AA6400" i="7"/>
  <c r="AA6401" i="7"/>
  <c r="AA6402" i="7"/>
  <c r="W6527" i="7"/>
  <c r="W6531" i="7" s="1"/>
  <c r="N6497" i="7"/>
  <c r="AA6497" i="7" s="1"/>
  <c r="U6514" i="7"/>
  <c r="U6515" i="7" s="1"/>
  <c r="L6514" i="7"/>
  <c r="N6514" i="7" s="1"/>
  <c r="J6543" i="7"/>
  <c r="J6544" i="7"/>
  <c r="J6552" i="7" s="1"/>
  <c r="J6547" i="7"/>
  <c r="J6542" i="7"/>
  <c r="F6557" i="7"/>
  <c r="U6557" i="7" s="1"/>
  <c r="F6550" i="7"/>
  <c r="D6557" i="7"/>
  <c r="D6550" i="7"/>
  <c r="F6544" i="7"/>
  <c r="H6555" i="7"/>
  <c r="D6542" i="7"/>
  <c r="F6552" i="7"/>
  <c r="F6561" i="7"/>
  <c r="U6561" i="7" s="1"/>
  <c r="F6556" i="7"/>
  <c r="U6556" i="7" s="1"/>
  <c r="D6552" i="7"/>
  <c r="H6557" i="7"/>
  <c r="F6551" i="7"/>
  <c r="U6551" i="7" s="1"/>
  <c r="D6555" i="7"/>
  <c r="D6544" i="7"/>
  <c r="F6542" i="7"/>
  <c r="D6556" i="7"/>
  <c r="D6543" i="7"/>
  <c r="H6559" i="7"/>
  <c r="D6559" i="7"/>
  <c r="H6556" i="7"/>
  <c r="F6555" i="7"/>
  <c r="U6555" i="7" s="1"/>
  <c r="D6547" i="7"/>
  <c r="W6547" i="7" s="1"/>
  <c r="H6560" i="7"/>
  <c r="F6560" i="7"/>
  <c r="U6560" i="7" s="1"/>
  <c r="D6551" i="7"/>
  <c r="D6560" i="7"/>
  <c r="G6536" i="7"/>
  <c r="F6559" i="7"/>
  <c r="U6559" i="7" s="1"/>
  <c r="D6536" i="7"/>
  <c r="H6561" i="7"/>
  <c r="F6547" i="7"/>
  <c r="F6543" i="7"/>
  <c r="U6543" i="7" s="1"/>
  <c r="D6561" i="7"/>
  <c r="Y6544" i="7"/>
  <c r="Y6545" i="7" s="1"/>
  <c r="Y6547" i="7"/>
  <c r="Y6552" i="7"/>
  <c r="Y6553" i="7" s="1"/>
  <c r="Y6555" i="7"/>
  <c r="Y6557" i="7"/>
  <c r="Y6550" i="7"/>
  <c r="Y6556" i="7"/>
  <c r="Y6542" i="7"/>
  <c r="Y6551" i="7"/>
  <c r="Y6543" i="7"/>
  <c r="F6523" i="7"/>
  <c r="L6520" i="7"/>
  <c r="N6520" i="7" s="1"/>
  <c r="U6520" i="7"/>
  <c r="J6521" i="7"/>
  <c r="N6521" i="7" s="1"/>
  <c r="N6513" i="7"/>
  <c r="P6512" i="7"/>
  <c r="R6512" i="7" s="1"/>
  <c r="D6515" i="7"/>
  <c r="A6632" i="7"/>
  <c r="A6642" i="7"/>
  <c r="A6641" i="7"/>
  <c r="A6651" i="7"/>
  <c r="A6643" i="7"/>
  <c r="A6646" i="7"/>
  <c r="A6633" i="7"/>
  <c r="A6655" i="7"/>
  <c r="A6640" i="7"/>
  <c r="A6650" i="7"/>
  <c r="A6645" i="7"/>
  <c r="A6637" i="7"/>
  <c r="A6634" i="7"/>
  <c r="C6625" i="7"/>
  <c r="A6649" i="7"/>
  <c r="A6647" i="7"/>
  <c r="A6635" i="7"/>
  <c r="Y6501" i="7"/>
  <c r="Y6499" i="7"/>
  <c r="W6485" i="7"/>
  <c r="Y6500" i="7"/>
  <c r="D6523" i="7"/>
  <c r="W6523" i="7" s="1"/>
  <c r="P6520" i="7"/>
  <c r="R6520" i="7" s="1"/>
  <c r="P6521" i="7"/>
  <c r="R6521" i="7" s="1"/>
  <c r="W6525" i="7"/>
  <c r="W6529" i="7" s="1"/>
  <c r="D6568" i="7"/>
  <c r="D6565" i="7"/>
  <c r="D6567" i="7"/>
  <c r="D6571" i="7"/>
  <c r="D6570" i="7"/>
  <c r="D6569" i="7"/>
  <c r="P6514" i="7"/>
  <c r="R6514" i="7" s="1"/>
  <c r="W6526" i="7"/>
  <c r="W6530" i="7" s="1"/>
  <c r="N6496" i="7"/>
  <c r="AA6496" i="7" s="1"/>
  <c r="U6517" i="7"/>
  <c r="L6517" i="7"/>
  <c r="N6517" i="7" s="1"/>
  <c r="J6526" i="7"/>
  <c r="L6526" i="7"/>
  <c r="U6512" i="7"/>
  <c r="F6515" i="7"/>
  <c r="L6512" i="7"/>
  <c r="N6512" i="7" s="1"/>
  <c r="P6487" i="7"/>
  <c r="R6487" i="7" s="1"/>
  <c r="J6525" i="7"/>
  <c r="L6525" i="7"/>
  <c r="U6522" i="7"/>
  <c r="U6523" i="7" s="1"/>
  <c r="L6522" i="7"/>
  <c r="J6522" i="7"/>
  <c r="J6529" i="7"/>
  <c r="J6530" i="7"/>
  <c r="J6531" i="7"/>
  <c r="J6527" i="7"/>
  <c r="L6527" i="7"/>
  <c r="P6513" i="7"/>
  <c r="R6513" i="7" s="1"/>
  <c r="B6637" i="7"/>
  <c r="B6634" i="7"/>
  <c r="B6646" i="7"/>
  <c r="B6633" i="7"/>
  <c r="B6632" i="7"/>
  <c r="B6640" i="7"/>
  <c r="B6641" i="7"/>
  <c r="B6647" i="7"/>
  <c r="B6635" i="7"/>
  <c r="B6655" i="7"/>
  <c r="B6642" i="7"/>
  <c r="B6650" i="7"/>
  <c r="B6649" i="7"/>
  <c r="B6651" i="7"/>
  <c r="B6645" i="7"/>
  <c r="B6643" i="7"/>
  <c r="AA6457" i="7"/>
  <c r="AA2871" i="7" l="1"/>
  <c r="N2900" i="7"/>
  <c r="N2901" i="7"/>
  <c r="J6603" i="7"/>
  <c r="J6604" i="7"/>
  <c r="J6607" i="7"/>
  <c r="J6602" i="7"/>
  <c r="F6619" i="7"/>
  <c r="U6619" i="7" s="1"/>
  <c r="D6607" i="7"/>
  <c r="W6607" i="7" s="1"/>
  <c r="D6619" i="7"/>
  <c r="F6603" i="7"/>
  <c r="U6603" i="7" s="1"/>
  <c r="F6610" i="7"/>
  <c r="D6603" i="7"/>
  <c r="H6620" i="7"/>
  <c r="H6615" i="7"/>
  <c r="D6610" i="7"/>
  <c r="F6620" i="7"/>
  <c r="U6620" i="7" s="1"/>
  <c r="F6615" i="7"/>
  <c r="U6615" i="7" s="1"/>
  <c r="D6620" i="7"/>
  <c r="D6615" i="7"/>
  <c r="F6611" i="7"/>
  <c r="U6611" i="7" s="1"/>
  <c r="F6604" i="7"/>
  <c r="G6596" i="7"/>
  <c r="H6621" i="7"/>
  <c r="D6621" i="7"/>
  <c r="D6612" i="7"/>
  <c r="D6611" i="7"/>
  <c r="F6617" i="7"/>
  <c r="U6617" i="7" s="1"/>
  <c r="H6616" i="7"/>
  <c r="D6596" i="7"/>
  <c r="H6617" i="7"/>
  <c r="W6617" i="7" s="1"/>
  <c r="W6621" i="7" s="1"/>
  <c r="F6607" i="7"/>
  <c r="D6617" i="7"/>
  <c r="F6616" i="7"/>
  <c r="U6616" i="7" s="1"/>
  <c r="D6616" i="7"/>
  <c r="F6602" i="7"/>
  <c r="F6621" i="7"/>
  <c r="U6621" i="7" s="1"/>
  <c r="H6619" i="7"/>
  <c r="F6612" i="7"/>
  <c r="D6604" i="7"/>
  <c r="D6602" i="7"/>
  <c r="AA2869" i="7"/>
  <c r="Y6611" i="7"/>
  <c r="Y6616" i="7"/>
  <c r="Y6612" i="7"/>
  <c r="Y6613" i="7" s="1"/>
  <c r="Y6617" i="7"/>
  <c r="Y6602" i="7"/>
  <c r="Y6603" i="7"/>
  <c r="Y6607" i="7"/>
  <c r="Y6604" i="7"/>
  <c r="Y6605" i="7" s="1"/>
  <c r="Y6615" i="7"/>
  <c r="Y6610" i="7"/>
  <c r="AA2870" i="7"/>
  <c r="AA2801" i="7"/>
  <c r="AA2800" i="7"/>
  <c r="N2899" i="7"/>
  <c r="N2885" i="7"/>
  <c r="P2885" i="7" s="1"/>
  <c r="R2885" i="7" s="1"/>
  <c r="L2929" i="7"/>
  <c r="L2930" i="7"/>
  <c r="N2863" i="7"/>
  <c r="P2863" i="7" s="1"/>
  <c r="R2863" i="7" s="1"/>
  <c r="L2931" i="7"/>
  <c r="W2927" i="7"/>
  <c r="W2931" i="7" s="1"/>
  <c r="AA2833" i="7"/>
  <c r="AA2831" i="7" s="1"/>
  <c r="N2892" i="7"/>
  <c r="P2922" i="7"/>
  <c r="R2922" i="7" s="1"/>
  <c r="N2895" i="7"/>
  <c r="AA2895" i="7" s="1"/>
  <c r="P2914" i="7"/>
  <c r="R2914" i="7" s="1"/>
  <c r="AA2855" i="7"/>
  <c r="AA2853" i="7" s="1"/>
  <c r="Y2950" i="7"/>
  <c r="Y2957" i="7"/>
  <c r="Y2943" i="7"/>
  <c r="Y2947" i="7"/>
  <c r="Y2955" i="7"/>
  <c r="Y2951" i="7"/>
  <c r="Y2942" i="7"/>
  <c r="Y2956" i="7"/>
  <c r="Y2952" i="7"/>
  <c r="Y2953" i="7" s="1"/>
  <c r="Y2944" i="7"/>
  <c r="Y2945" i="7" s="1"/>
  <c r="L2914" i="7"/>
  <c r="N2914" i="7" s="1"/>
  <c r="U2914" i="7"/>
  <c r="U2915" i="7" s="1"/>
  <c r="U2912" i="7"/>
  <c r="L2912" i="7"/>
  <c r="N2912" i="7" s="1"/>
  <c r="F2915" i="7"/>
  <c r="H2960" i="7"/>
  <c r="H2955" i="7"/>
  <c r="D2950" i="7"/>
  <c r="D2960" i="7"/>
  <c r="H2956" i="7"/>
  <c r="D2942" i="7"/>
  <c r="F2956" i="7"/>
  <c r="U2956" i="7" s="1"/>
  <c r="D2956" i="7"/>
  <c r="F2952" i="7"/>
  <c r="F2957" i="7"/>
  <c r="U2957" i="7" s="1"/>
  <c r="D2947" i="7"/>
  <c r="W2947" i="7" s="1"/>
  <c r="D2951" i="7"/>
  <c r="G2936" i="7"/>
  <c r="D2936" i="7"/>
  <c r="F2944" i="7"/>
  <c r="H2959" i="7"/>
  <c r="D2944" i="7"/>
  <c r="F2959" i="7"/>
  <c r="U2959" i="7" s="1"/>
  <c r="H2961" i="7"/>
  <c r="D2959" i="7"/>
  <c r="F2955" i="7"/>
  <c r="U2955" i="7" s="1"/>
  <c r="D2957" i="7"/>
  <c r="H2957" i="7"/>
  <c r="F2951" i="7"/>
  <c r="U2951" i="7" s="1"/>
  <c r="F2943" i="7"/>
  <c r="U2943" i="7" s="1"/>
  <c r="D2943" i="7"/>
  <c r="F2961" i="7"/>
  <c r="U2961" i="7" s="1"/>
  <c r="F2950" i="7"/>
  <c r="D2961" i="7"/>
  <c r="F2942" i="7"/>
  <c r="F2960" i="7"/>
  <c r="U2960" i="7" s="1"/>
  <c r="D2955" i="7"/>
  <c r="D2952" i="7"/>
  <c r="F2947" i="7"/>
  <c r="D2923" i="7"/>
  <c r="W2923" i="7" s="1"/>
  <c r="N2923" i="7"/>
  <c r="P2920" i="7"/>
  <c r="R2920" i="7" s="1"/>
  <c r="J2920" i="7"/>
  <c r="J2947" i="7"/>
  <c r="J2944" i="7"/>
  <c r="J2943" i="7"/>
  <c r="J2942" i="7"/>
  <c r="J2926" i="7"/>
  <c r="L2926" i="7"/>
  <c r="L2917" i="7"/>
  <c r="N2917" i="7" s="1"/>
  <c r="U2917" i="7"/>
  <c r="J2930" i="7"/>
  <c r="J2931" i="7"/>
  <c r="J2929" i="7"/>
  <c r="N2890" i="7"/>
  <c r="B3019" i="7"/>
  <c r="B3017" i="7"/>
  <c r="B3021" i="7"/>
  <c r="B3002" i="7"/>
  <c r="B3005" i="7"/>
  <c r="B3025" i="7"/>
  <c r="B3020" i="7"/>
  <c r="B3011" i="7"/>
  <c r="B3003" i="7"/>
  <c r="B3015" i="7"/>
  <c r="B3007" i="7"/>
  <c r="B3016" i="7"/>
  <c r="B3010" i="7"/>
  <c r="B3004" i="7"/>
  <c r="B3013" i="7"/>
  <c r="B3012" i="7"/>
  <c r="AA2823" i="7"/>
  <c r="AA2824" i="7"/>
  <c r="AA2822" i="7"/>
  <c r="W2925" i="7"/>
  <c r="W2929" i="7" s="1"/>
  <c r="N2896" i="7"/>
  <c r="AA2896" i="7" s="1"/>
  <c r="N2897" i="7"/>
  <c r="AA2897" i="7" s="1"/>
  <c r="F2923" i="7"/>
  <c r="U2920" i="7"/>
  <c r="L2920" i="7"/>
  <c r="L2922" i="7"/>
  <c r="U2922" i="7"/>
  <c r="U2923" i="7" s="1"/>
  <c r="A3021" i="7"/>
  <c r="A3016" i="7"/>
  <c r="A3013" i="7"/>
  <c r="A3007" i="7"/>
  <c r="A3017" i="7"/>
  <c r="A3002" i="7"/>
  <c r="A3019" i="7"/>
  <c r="A3015" i="7"/>
  <c r="A3011" i="7"/>
  <c r="A3003" i="7"/>
  <c r="C2995" i="7"/>
  <c r="A3010" i="7"/>
  <c r="A3004" i="7"/>
  <c r="A3020" i="7"/>
  <c r="A3005" i="7"/>
  <c r="A3025" i="7"/>
  <c r="A3012" i="7"/>
  <c r="D2971" i="7"/>
  <c r="D2968" i="7"/>
  <c r="D2967" i="7"/>
  <c r="D2965" i="7"/>
  <c r="D2970" i="7"/>
  <c r="D2969" i="7"/>
  <c r="W2926" i="7"/>
  <c r="W2930" i="7" s="1"/>
  <c r="P2913" i="7"/>
  <c r="R2913" i="7" s="1"/>
  <c r="P2887" i="7"/>
  <c r="R2887" i="7" s="1"/>
  <c r="N2915" i="7"/>
  <c r="D2915" i="7"/>
  <c r="P2912" i="7"/>
  <c r="R2912" i="7" s="1"/>
  <c r="P2921" i="7"/>
  <c r="R2921" i="7" s="1"/>
  <c r="L2925" i="7"/>
  <c r="J2925" i="7"/>
  <c r="L2927" i="7"/>
  <c r="J2927" i="7"/>
  <c r="J2921" i="7"/>
  <c r="N2921" i="7" s="1"/>
  <c r="N2913" i="7"/>
  <c r="AA2857" i="7"/>
  <c r="J2922" i="7"/>
  <c r="Y2899" i="7"/>
  <c r="Y2901" i="7"/>
  <c r="AA2901" i="7" s="1"/>
  <c r="Y2900" i="7"/>
  <c r="AA2900" i="7" s="1"/>
  <c r="W2885" i="7"/>
  <c r="W6556" i="7"/>
  <c r="W6560" i="7" s="1"/>
  <c r="N6530" i="7"/>
  <c r="N6531" i="7"/>
  <c r="AA6501" i="7"/>
  <c r="AA6485" i="7"/>
  <c r="AA6484" i="7" s="1"/>
  <c r="AA6499" i="7"/>
  <c r="N6529" i="7"/>
  <c r="AA6500" i="7"/>
  <c r="AA6453" i="7"/>
  <c r="AA6463" i="7"/>
  <c r="AA6461" i="7" s="1"/>
  <c r="AA6454" i="7"/>
  <c r="AA6493" i="7"/>
  <c r="AA6492" i="7" s="1"/>
  <c r="AA6487" i="7"/>
  <c r="L6560" i="7"/>
  <c r="N6515" i="7"/>
  <c r="P6515" i="7" s="1"/>
  <c r="R6515" i="7" s="1"/>
  <c r="W6555" i="7"/>
  <c r="W6559" i="7" s="1"/>
  <c r="P6552" i="7"/>
  <c r="R6552" i="7" s="1"/>
  <c r="L6559" i="7"/>
  <c r="W6557" i="7"/>
  <c r="W6561" i="7" s="1"/>
  <c r="L6561" i="7"/>
  <c r="Y6587" i="7"/>
  <c r="Y6573" i="7"/>
  <c r="Y6586" i="7"/>
  <c r="Y6577" i="7"/>
  <c r="Y6574" i="7"/>
  <c r="Y6575" i="7" s="1"/>
  <c r="Y6582" i="7"/>
  <c r="Y6583" i="7" s="1"/>
  <c r="Y6585" i="7"/>
  <c r="Y6572" i="7"/>
  <c r="Y6580" i="7"/>
  <c r="Y6581" i="7"/>
  <c r="D6631" i="7"/>
  <c r="D6628" i="7"/>
  <c r="D6625" i="7"/>
  <c r="D6629" i="7"/>
  <c r="D6627" i="7"/>
  <c r="D6630" i="7"/>
  <c r="J6573" i="7"/>
  <c r="J6574" i="7"/>
  <c r="J6572" i="7"/>
  <c r="J6580" i="7" s="1"/>
  <c r="J6577" i="7"/>
  <c r="U6544" i="7"/>
  <c r="U6545" i="7" s="1"/>
  <c r="L6544" i="7"/>
  <c r="N6544" i="7" s="1"/>
  <c r="F6587" i="7"/>
  <c r="U6587" i="7" s="1"/>
  <c r="D6591" i="7"/>
  <c r="D6582" i="7"/>
  <c r="H6587" i="7"/>
  <c r="D6587" i="7"/>
  <c r="D6573" i="7"/>
  <c r="D6574" i="7"/>
  <c r="D6586" i="7"/>
  <c r="F6589" i="7"/>
  <c r="U6589" i="7" s="1"/>
  <c r="F6585" i="7"/>
  <c r="U6585" i="7" s="1"/>
  <c r="F6591" i="7"/>
  <c r="U6591" i="7" s="1"/>
  <c r="F6572" i="7"/>
  <c r="D6577" i="7"/>
  <c r="W6577" i="7" s="1"/>
  <c r="H6591" i="7"/>
  <c r="D6589" i="7"/>
  <c r="F6581" i="7"/>
  <c r="U6581" i="7" s="1"/>
  <c r="F6577" i="7"/>
  <c r="D6590" i="7"/>
  <c r="D6572" i="7"/>
  <c r="H6589" i="7"/>
  <c r="H6585" i="7"/>
  <c r="D6581" i="7"/>
  <c r="F6582" i="7"/>
  <c r="G6566" i="7"/>
  <c r="H6590" i="7"/>
  <c r="F6590" i="7"/>
  <c r="U6590" i="7" s="1"/>
  <c r="F6580" i="7"/>
  <c r="F6574" i="7"/>
  <c r="H6586" i="7"/>
  <c r="F6573" i="7"/>
  <c r="U6573" i="7" s="1"/>
  <c r="D6566" i="7"/>
  <c r="D6585" i="7"/>
  <c r="D6580" i="7"/>
  <c r="F6586" i="7"/>
  <c r="U6586" i="7" s="1"/>
  <c r="D6553" i="7"/>
  <c r="W6553" i="7" s="1"/>
  <c r="P6550" i="7"/>
  <c r="R6550" i="7" s="1"/>
  <c r="P6544" i="7"/>
  <c r="R6544" i="7" s="1"/>
  <c r="D6545" i="7"/>
  <c r="P6542" i="7"/>
  <c r="R6542" i="7" s="1"/>
  <c r="N6525" i="7"/>
  <c r="AA6525" i="7" s="1"/>
  <c r="P6543" i="7"/>
  <c r="R6543" i="7" s="1"/>
  <c r="N6526" i="7"/>
  <c r="AA6526" i="7" s="1"/>
  <c r="J6561" i="7"/>
  <c r="J6559" i="7"/>
  <c r="J6560" i="7"/>
  <c r="L6555" i="7"/>
  <c r="J6555" i="7"/>
  <c r="U6550" i="7"/>
  <c r="L6550" i="7"/>
  <c r="F6553" i="7"/>
  <c r="L6556" i="7"/>
  <c r="J6556" i="7"/>
  <c r="L6542" i="7"/>
  <c r="N6542" i="7" s="1"/>
  <c r="F6545" i="7"/>
  <c r="U6542" i="7"/>
  <c r="P6517" i="7"/>
  <c r="R6517" i="7" s="1"/>
  <c r="N6543" i="7"/>
  <c r="J6551" i="7"/>
  <c r="N6551" i="7" s="1"/>
  <c r="U6547" i="7"/>
  <c r="L6547" i="7"/>
  <c r="N6547" i="7" s="1"/>
  <c r="N6527" i="7"/>
  <c r="AA6527" i="7" s="1"/>
  <c r="L6557" i="7"/>
  <c r="J6557" i="7"/>
  <c r="J6550" i="7"/>
  <c r="B6680" i="7"/>
  <c r="B6664" i="7"/>
  <c r="B6663" i="7"/>
  <c r="B6676" i="7"/>
  <c r="B6677" i="7"/>
  <c r="B6673" i="7"/>
  <c r="B6675" i="7"/>
  <c r="B6671" i="7"/>
  <c r="B6665" i="7"/>
  <c r="B6685" i="7"/>
  <c r="B6662" i="7"/>
  <c r="B6667" i="7"/>
  <c r="B6681" i="7"/>
  <c r="B6672" i="7"/>
  <c r="B6670" i="7"/>
  <c r="B6679" i="7"/>
  <c r="A6673" i="7"/>
  <c r="A6667" i="7"/>
  <c r="A6676" i="7"/>
  <c r="A6681" i="7"/>
  <c r="A6677" i="7"/>
  <c r="A6665" i="7"/>
  <c r="A6671" i="7"/>
  <c r="A6663" i="7"/>
  <c r="A6664" i="7"/>
  <c r="A6680" i="7"/>
  <c r="A6670" i="7"/>
  <c r="A6675" i="7"/>
  <c r="A6672" i="7"/>
  <c r="A6685" i="7"/>
  <c r="A6662" i="7"/>
  <c r="C6655" i="7"/>
  <c r="A6679" i="7"/>
  <c r="P6551" i="7"/>
  <c r="R6551" i="7" s="1"/>
  <c r="N6522" i="7"/>
  <c r="N6523" i="7" s="1"/>
  <c r="W6515" i="7"/>
  <c r="Y6529" i="7"/>
  <c r="Y6531" i="7"/>
  <c r="Y6530" i="7"/>
  <c r="L6552" i="7"/>
  <c r="N6552" i="7" s="1"/>
  <c r="U6552" i="7"/>
  <c r="U6553" i="7" s="1"/>
  <c r="W6615" i="7" l="1"/>
  <c r="W6619" i="7" s="1"/>
  <c r="L6621" i="7"/>
  <c r="W6616" i="7"/>
  <c r="W6620" i="7" s="1"/>
  <c r="L6619" i="7"/>
  <c r="P6612" i="7"/>
  <c r="R6612" i="7" s="1"/>
  <c r="P6604" i="7"/>
  <c r="R6604" i="7" s="1"/>
  <c r="J6620" i="7"/>
  <c r="J6621" i="7"/>
  <c r="J6619" i="7"/>
  <c r="P6603" i="7"/>
  <c r="R6603" i="7" s="1"/>
  <c r="L6610" i="7"/>
  <c r="F6613" i="7"/>
  <c r="U6610" i="7"/>
  <c r="U6607" i="7"/>
  <c r="L6607" i="7"/>
  <c r="N6607" i="7" s="1"/>
  <c r="P6611" i="7"/>
  <c r="R6611" i="7" s="1"/>
  <c r="N2929" i="7"/>
  <c r="U6612" i="7"/>
  <c r="U6613" i="7" s="1"/>
  <c r="L6612" i="7"/>
  <c r="J6610" i="7"/>
  <c r="D6613" i="7"/>
  <c r="W6613" i="7" s="1"/>
  <c r="P6610" i="7"/>
  <c r="R6610" i="7" s="1"/>
  <c r="J6617" i="7"/>
  <c r="L6617" i="7"/>
  <c r="D6605" i="7"/>
  <c r="P6602" i="7"/>
  <c r="R6602" i="7" s="1"/>
  <c r="U6602" i="7"/>
  <c r="F6605" i="7"/>
  <c r="L6602" i="7"/>
  <c r="N6602" i="7" s="1"/>
  <c r="L6615" i="7"/>
  <c r="J6615" i="7"/>
  <c r="J6611" i="7"/>
  <c r="N6611" i="7" s="1"/>
  <c r="N6603" i="7"/>
  <c r="U6604" i="7"/>
  <c r="U6605" i="7" s="1"/>
  <c r="L6604" i="7"/>
  <c r="N6604" i="7" s="1"/>
  <c r="N2930" i="7"/>
  <c r="J6612" i="7"/>
  <c r="L6616" i="7"/>
  <c r="J6616" i="7"/>
  <c r="L6620" i="7"/>
  <c r="AA2899" i="7"/>
  <c r="L2961" i="7"/>
  <c r="W2957" i="7"/>
  <c r="W2961" i="7" s="1"/>
  <c r="L2959" i="7"/>
  <c r="AA2863" i="7"/>
  <c r="AA2862" i="7" s="1"/>
  <c r="L2960" i="7"/>
  <c r="N2931" i="7"/>
  <c r="N2893" i="7"/>
  <c r="P2893" i="7" s="1"/>
  <c r="R2893" i="7" s="1"/>
  <c r="AA2832" i="7"/>
  <c r="AA2830" i="7"/>
  <c r="AA2887" i="7"/>
  <c r="P2951" i="7"/>
  <c r="R2951" i="7" s="1"/>
  <c r="N2922" i="7"/>
  <c r="AA2854" i="7"/>
  <c r="AA2852" i="7"/>
  <c r="N2920" i="7"/>
  <c r="N2925" i="7"/>
  <c r="AA2925" i="7" s="1"/>
  <c r="P2943" i="7"/>
  <c r="R2943" i="7" s="1"/>
  <c r="N2927" i="7"/>
  <c r="AA2927" i="7" s="1"/>
  <c r="AA2885" i="7"/>
  <c r="AA2884" i="7" s="1"/>
  <c r="P2917" i="7"/>
  <c r="R2917" i="7" s="1"/>
  <c r="J2950" i="7"/>
  <c r="H2989" i="7"/>
  <c r="F2977" i="7"/>
  <c r="D2990" i="7"/>
  <c r="H2986" i="7"/>
  <c r="D2972" i="7"/>
  <c r="F2986" i="7"/>
  <c r="U2986" i="7" s="1"/>
  <c r="D2986" i="7"/>
  <c r="F2982" i="7"/>
  <c r="F2990" i="7"/>
  <c r="U2990" i="7" s="1"/>
  <c r="H2987" i="7"/>
  <c r="D2977" i="7"/>
  <c r="W2977" i="7" s="1"/>
  <c r="D2987" i="7"/>
  <c r="F2974" i="7"/>
  <c r="H2991" i="7"/>
  <c r="D2989" i="7"/>
  <c r="F2991" i="7"/>
  <c r="U2991" i="7" s="1"/>
  <c r="F2985" i="7"/>
  <c r="U2985" i="7" s="1"/>
  <c r="D2991" i="7"/>
  <c r="D2985" i="7"/>
  <c r="F2973" i="7"/>
  <c r="U2973" i="7" s="1"/>
  <c r="D2966" i="7"/>
  <c r="D2974" i="7"/>
  <c r="H2990" i="7"/>
  <c r="D2982" i="7"/>
  <c r="D2973" i="7"/>
  <c r="F2989" i="7"/>
  <c r="U2989" i="7" s="1"/>
  <c r="F2981" i="7"/>
  <c r="U2981" i="7" s="1"/>
  <c r="D2980" i="7"/>
  <c r="F2972" i="7"/>
  <c r="H2985" i="7"/>
  <c r="G2966" i="7"/>
  <c r="F2980" i="7"/>
  <c r="D2981" i="7"/>
  <c r="F2987" i="7"/>
  <c r="U2987" i="7" s="1"/>
  <c r="N2943" i="7"/>
  <c r="J2951" i="7"/>
  <c r="N2951" i="7" s="1"/>
  <c r="D3000" i="7"/>
  <c r="D3001" i="7"/>
  <c r="D2999" i="7"/>
  <c r="D2995" i="7"/>
  <c r="D2997" i="7"/>
  <c r="D2998" i="7"/>
  <c r="J2973" i="7"/>
  <c r="J2977" i="7"/>
  <c r="J2974" i="7"/>
  <c r="J2972" i="7"/>
  <c r="B3047" i="7"/>
  <c r="B3051" i="7"/>
  <c r="B3049" i="7"/>
  <c r="B3045" i="7"/>
  <c r="B3033" i="7"/>
  <c r="B3034" i="7"/>
  <c r="B3041" i="7"/>
  <c r="B3055" i="7"/>
  <c r="B3043" i="7"/>
  <c r="B3037" i="7"/>
  <c r="B3035" i="7"/>
  <c r="B3042" i="7"/>
  <c r="B3050" i="7"/>
  <c r="B3032" i="7"/>
  <c r="B3046" i="7"/>
  <c r="B3040" i="7"/>
  <c r="J2952" i="7"/>
  <c r="L2952" i="7"/>
  <c r="U2952" i="7"/>
  <c r="U2953" i="7" s="1"/>
  <c r="Y2974" i="7"/>
  <c r="Y2975" i="7" s="1"/>
  <c r="Y2980" i="7"/>
  <c r="Y2982" i="7"/>
  <c r="Y2983" i="7" s="1"/>
  <c r="Y2973" i="7"/>
  <c r="Y2985" i="7"/>
  <c r="Y2987" i="7"/>
  <c r="Y2977" i="7"/>
  <c r="Y2981" i="7"/>
  <c r="Y2972" i="7"/>
  <c r="Y2986" i="7"/>
  <c r="Y2929" i="7"/>
  <c r="Y2930" i="7"/>
  <c r="Y2931" i="7"/>
  <c r="W2915" i="7"/>
  <c r="L2957" i="7"/>
  <c r="J2957" i="7"/>
  <c r="N2945" i="7"/>
  <c r="P2942" i="7"/>
  <c r="R2942" i="7" s="1"/>
  <c r="D2945" i="7"/>
  <c r="P2915" i="7"/>
  <c r="R2915" i="7" s="1"/>
  <c r="A3055" i="7"/>
  <c r="A3045" i="7"/>
  <c r="A3042" i="7"/>
  <c r="A3051" i="7"/>
  <c r="A3049" i="7"/>
  <c r="A3041" i="7"/>
  <c r="A3037" i="7"/>
  <c r="A3032" i="7"/>
  <c r="C3025" i="7"/>
  <c r="A3033" i="7"/>
  <c r="A3040" i="7"/>
  <c r="A3034" i="7"/>
  <c r="A3043" i="7"/>
  <c r="A3047" i="7"/>
  <c r="A3035" i="7"/>
  <c r="A3050" i="7"/>
  <c r="A3046" i="7"/>
  <c r="U2942" i="7"/>
  <c r="F2945" i="7"/>
  <c r="L2942" i="7"/>
  <c r="N2942" i="7" s="1"/>
  <c r="L2956" i="7"/>
  <c r="J2956" i="7"/>
  <c r="L2944" i="7"/>
  <c r="N2944" i="7" s="1"/>
  <c r="U2944" i="7"/>
  <c r="U2945" i="7" s="1"/>
  <c r="L2950" i="7"/>
  <c r="F2953" i="7"/>
  <c r="U2950" i="7"/>
  <c r="N2953" i="7"/>
  <c r="P2950" i="7"/>
  <c r="R2950" i="7" s="1"/>
  <c r="D2953" i="7"/>
  <c r="W2953" i="7" s="1"/>
  <c r="U2947" i="7"/>
  <c r="L2947" i="7"/>
  <c r="N2947" i="7" s="1"/>
  <c r="J2955" i="7"/>
  <c r="L2955" i="7"/>
  <c r="J2961" i="7"/>
  <c r="J2959" i="7"/>
  <c r="J2960" i="7"/>
  <c r="N2926" i="7"/>
  <c r="AA2926" i="7" s="1"/>
  <c r="P2923" i="7"/>
  <c r="R2923" i="7" s="1"/>
  <c r="W2956" i="7"/>
  <c r="W2960" i="7" s="1"/>
  <c r="W2955" i="7"/>
  <c r="W2959" i="7" s="1"/>
  <c r="P2952" i="7"/>
  <c r="R2952" i="7" s="1"/>
  <c r="P2944" i="7"/>
  <c r="R2944" i="7" s="1"/>
  <c r="AA6530" i="7"/>
  <c r="AA6531" i="7"/>
  <c r="AA6483" i="7"/>
  <c r="AA6482" i="7"/>
  <c r="AA6529" i="7"/>
  <c r="W6586" i="7"/>
  <c r="W6590" i="7" s="1"/>
  <c r="AA6515" i="7"/>
  <c r="AA6514" i="7" s="1"/>
  <c r="N6561" i="7"/>
  <c r="AA6460" i="7"/>
  <c r="AA6462" i="7"/>
  <c r="AA6491" i="7"/>
  <c r="AA6490" i="7"/>
  <c r="AA6517" i="7"/>
  <c r="N6559" i="7"/>
  <c r="N6560" i="7"/>
  <c r="L6590" i="7"/>
  <c r="L6591" i="7"/>
  <c r="L6589" i="7"/>
  <c r="N6556" i="7"/>
  <c r="AA6556" i="7" s="1"/>
  <c r="W6587" i="7"/>
  <c r="W6591" i="7" s="1"/>
  <c r="P6581" i="7"/>
  <c r="R6581" i="7" s="1"/>
  <c r="W6585" i="7"/>
  <c r="W6589" i="7" s="1"/>
  <c r="N6555" i="7"/>
  <c r="AA6555" i="7" s="1"/>
  <c r="N6545" i="7"/>
  <c r="P6545" i="7" s="1"/>
  <c r="R6545" i="7" s="1"/>
  <c r="P6523" i="7"/>
  <c r="R6523" i="7" s="1"/>
  <c r="P6574" i="7"/>
  <c r="R6574" i="7" s="1"/>
  <c r="P6547" i="7"/>
  <c r="R6547" i="7" s="1"/>
  <c r="J6586" i="7"/>
  <c r="L6586" i="7"/>
  <c r="L6582" i="7"/>
  <c r="U6582" i="7"/>
  <c r="U6583" i="7" s="1"/>
  <c r="D6575" i="7"/>
  <c r="P6572" i="7"/>
  <c r="R6572" i="7" s="1"/>
  <c r="P6582" i="7"/>
  <c r="R6582" i="7" s="1"/>
  <c r="D6658" i="7"/>
  <c r="D6655" i="7"/>
  <c r="D6661" i="7"/>
  <c r="D6657" i="7"/>
  <c r="D6660" i="7"/>
  <c r="D6659" i="7"/>
  <c r="P6580" i="7"/>
  <c r="R6580" i="7" s="1"/>
  <c r="D6583" i="7"/>
  <c r="W6583" i="7" s="1"/>
  <c r="U6577" i="7"/>
  <c r="L6577" i="7"/>
  <c r="N6577" i="7" s="1"/>
  <c r="Y6647" i="7"/>
  <c r="Y6640" i="7"/>
  <c r="Y6633" i="7"/>
  <c r="Y6637" i="7"/>
  <c r="Y6634" i="7"/>
  <c r="Y6635" i="7" s="1"/>
  <c r="Y6646" i="7"/>
  <c r="Y6645" i="7"/>
  <c r="Y6632" i="7"/>
  <c r="Y6641" i="7"/>
  <c r="Y6642" i="7"/>
  <c r="Y6643" i="7" s="1"/>
  <c r="A6711" i="7"/>
  <c r="A6706" i="7"/>
  <c r="A6692" i="7"/>
  <c r="A6695" i="7"/>
  <c r="A6705" i="7"/>
  <c r="A6701" i="7"/>
  <c r="A6694" i="7"/>
  <c r="C6685" i="7"/>
  <c r="A6693" i="7"/>
  <c r="A6715" i="7"/>
  <c r="A6709" i="7"/>
  <c r="A6707" i="7"/>
  <c r="A6702" i="7"/>
  <c r="A6700" i="7"/>
  <c r="A6703" i="7"/>
  <c r="A6697" i="7"/>
  <c r="A6710" i="7"/>
  <c r="N6550" i="7"/>
  <c r="N6553" i="7" s="1"/>
  <c r="P6553" i="7" s="1"/>
  <c r="R6553" i="7" s="1"/>
  <c r="J6585" i="7"/>
  <c r="L6585" i="7"/>
  <c r="J6633" i="7"/>
  <c r="J6637" i="7"/>
  <c r="J6634" i="7"/>
  <c r="J6642" i="7" s="1"/>
  <c r="J6632" i="7"/>
  <c r="J6640" i="7" s="1"/>
  <c r="N6557" i="7"/>
  <c r="AA6557" i="7" s="1"/>
  <c r="J6589" i="7"/>
  <c r="J6590" i="7"/>
  <c r="J6591" i="7"/>
  <c r="F6646" i="7"/>
  <c r="U6646" i="7" s="1"/>
  <c r="D6642" i="7"/>
  <c r="H6650" i="7"/>
  <c r="F6641" i="7"/>
  <c r="U6641" i="7" s="1"/>
  <c r="H6647" i="7"/>
  <c r="F6632" i="7"/>
  <c r="D6651" i="7"/>
  <c r="D6640" i="7"/>
  <c r="D6645" i="7"/>
  <c r="D6650" i="7"/>
  <c r="D6646" i="7"/>
  <c r="D6633" i="7"/>
  <c r="H6651" i="7"/>
  <c r="F6637" i="7"/>
  <c r="F6642" i="7"/>
  <c r="G6626" i="7"/>
  <c r="H6649" i="7"/>
  <c r="D6647" i="7"/>
  <c r="D6641" i="7"/>
  <c r="D6626" i="7"/>
  <c r="D6649" i="7"/>
  <c r="F6633" i="7"/>
  <c r="U6633" i="7" s="1"/>
  <c r="F6650" i="7"/>
  <c r="U6650" i="7" s="1"/>
  <c r="F6651" i="7"/>
  <c r="U6651" i="7" s="1"/>
  <c r="F6634" i="7"/>
  <c r="D6632" i="7"/>
  <c r="F6647" i="7"/>
  <c r="U6647" i="7" s="1"/>
  <c r="D6634" i="7"/>
  <c r="H6646" i="7"/>
  <c r="F6649" i="7"/>
  <c r="U6649" i="7" s="1"/>
  <c r="H6645" i="7"/>
  <c r="D6637" i="7"/>
  <c r="W6637" i="7" s="1"/>
  <c r="F6640" i="7"/>
  <c r="F6645" i="7"/>
  <c r="U6645" i="7" s="1"/>
  <c r="P6573" i="7"/>
  <c r="R6573" i="7" s="1"/>
  <c r="J6587" i="7"/>
  <c r="L6587" i="7"/>
  <c r="L6574" i="7"/>
  <c r="N6574" i="7" s="1"/>
  <c r="U6574" i="7"/>
  <c r="U6575" i="7" s="1"/>
  <c r="U6572" i="7"/>
  <c r="F6575" i="7"/>
  <c r="L6572" i="7"/>
  <c r="N6572" i="7" s="1"/>
  <c r="J6582" i="7"/>
  <c r="B6703" i="7"/>
  <c r="B6697" i="7"/>
  <c r="B6692" i="7"/>
  <c r="B6700" i="7"/>
  <c r="B6693" i="7"/>
  <c r="B6715" i="7"/>
  <c r="B6707" i="7"/>
  <c r="B6701" i="7"/>
  <c r="B6711" i="7"/>
  <c r="B6702" i="7"/>
  <c r="B6705" i="7"/>
  <c r="B6694" i="7"/>
  <c r="B6706" i="7"/>
  <c r="B6695" i="7"/>
  <c r="B6710" i="7"/>
  <c r="B6709" i="7"/>
  <c r="Y6560" i="7"/>
  <c r="W6545" i="7"/>
  <c r="Y6559" i="7"/>
  <c r="Y6561" i="7"/>
  <c r="U6580" i="7"/>
  <c r="L6580" i="7"/>
  <c r="N6580" i="7" s="1"/>
  <c r="F6583" i="7"/>
  <c r="J6581" i="7"/>
  <c r="N6581" i="7" s="1"/>
  <c r="N6573" i="7"/>
  <c r="N6621" i="7" l="1"/>
  <c r="N6619" i="7"/>
  <c r="N6615" i="7"/>
  <c r="AA6615" i="7" s="1"/>
  <c r="AA2929" i="7"/>
  <c r="AA2930" i="7"/>
  <c r="N2959" i="7"/>
  <c r="N6605" i="7"/>
  <c r="P6605" i="7" s="1"/>
  <c r="R6605" i="7" s="1"/>
  <c r="P6607" i="7"/>
  <c r="R6607" i="7" s="1"/>
  <c r="N6610" i="7"/>
  <c r="N6616" i="7"/>
  <c r="AA6616" i="7" s="1"/>
  <c r="Y6621" i="7"/>
  <c r="AA6621" i="7" s="1"/>
  <c r="W6605" i="7"/>
  <c r="Y6620" i="7"/>
  <c r="Y6619" i="7"/>
  <c r="AA6619" i="7" s="1"/>
  <c r="N6612" i="7"/>
  <c r="N6617" i="7"/>
  <c r="AA6617" i="7" s="1"/>
  <c r="N2961" i="7"/>
  <c r="N6620" i="7"/>
  <c r="AA2931" i="7"/>
  <c r="N2960" i="7"/>
  <c r="AA2861" i="7"/>
  <c r="L2989" i="7"/>
  <c r="AA2893" i="7"/>
  <c r="AA2892" i="7" s="1"/>
  <c r="L2990" i="7"/>
  <c r="AA2860" i="7"/>
  <c r="L2991" i="7"/>
  <c r="W2986" i="7"/>
  <c r="W2990" i="7" s="1"/>
  <c r="AA2883" i="7"/>
  <c r="AA2882" i="7"/>
  <c r="AA2917" i="7"/>
  <c r="AA2915" i="7"/>
  <c r="AA2912" i="7" s="1"/>
  <c r="W2987" i="7"/>
  <c r="W2991" i="7" s="1"/>
  <c r="W2985" i="7"/>
  <c r="W2989" i="7" s="1"/>
  <c r="P2973" i="7"/>
  <c r="R2973" i="7" s="1"/>
  <c r="P2982" i="7"/>
  <c r="R2982" i="7" s="1"/>
  <c r="P2947" i="7"/>
  <c r="R2947" i="7" s="1"/>
  <c r="P2953" i="7"/>
  <c r="R2953" i="7" s="1"/>
  <c r="W2945" i="7"/>
  <c r="Y2959" i="7"/>
  <c r="Y2961" i="7"/>
  <c r="Y2960" i="7"/>
  <c r="P2945" i="7"/>
  <c r="R2945" i="7" s="1"/>
  <c r="N2956" i="7"/>
  <c r="AA2956" i="7" s="1"/>
  <c r="N2957" i="7"/>
  <c r="AA2957" i="7" s="1"/>
  <c r="J2985" i="7"/>
  <c r="L2985" i="7"/>
  <c r="J3004" i="7"/>
  <c r="J3007" i="7"/>
  <c r="J3002" i="7"/>
  <c r="J3003" i="7"/>
  <c r="P2974" i="7"/>
  <c r="R2974" i="7" s="1"/>
  <c r="D3029" i="7"/>
  <c r="D3028" i="7"/>
  <c r="D3027" i="7"/>
  <c r="D3025" i="7"/>
  <c r="D3031" i="7"/>
  <c r="D3030" i="7"/>
  <c r="P2981" i="7"/>
  <c r="R2981" i="7" s="1"/>
  <c r="B3071" i="7"/>
  <c r="B3064" i="7"/>
  <c r="B3085" i="7"/>
  <c r="B3077" i="7"/>
  <c r="B3067" i="7"/>
  <c r="B3062" i="7"/>
  <c r="B3076" i="7"/>
  <c r="B3070" i="7"/>
  <c r="B3072" i="7"/>
  <c r="B3080" i="7"/>
  <c r="B3075" i="7"/>
  <c r="B3079" i="7"/>
  <c r="B3073" i="7"/>
  <c r="B3065" i="7"/>
  <c r="B3063" i="7"/>
  <c r="B3081" i="7"/>
  <c r="N2952" i="7"/>
  <c r="F2983" i="7"/>
  <c r="U2980" i="7"/>
  <c r="L2980" i="7"/>
  <c r="H3017" i="7"/>
  <c r="F3012" i="7"/>
  <c r="F3010" i="7"/>
  <c r="D3003" i="7"/>
  <c r="D3021" i="7"/>
  <c r="D3002" i="7"/>
  <c r="F3011" i="7"/>
  <c r="U3011" i="7" s="1"/>
  <c r="H3015" i="7"/>
  <c r="D3011" i="7"/>
  <c r="H3021" i="7"/>
  <c r="F3019" i="7"/>
  <c r="U3019" i="7" s="1"/>
  <c r="F3016" i="7"/>
  <c r="U3016" i="7" s="1"/>
  <c r="F3020" i="7"/>
  <c r="U3020" i="7" s="1"/>
  <c r="F3017" i="7"/>
  <c r="U3017" i="7" s="1"/>
  <c r="F3002" i="7"/>
  <c r="D3020" i="7"/>
  <c r="D3017" i="7"/>
  <c r="F3004" i="7"/>
  <c r="F3007" i="7"/>
  <c r="D3004" i="7"/>
  <c r="F3015" i="7"/>
  <c r="U3015" i="7" s="1"/>
  <c r="D3015" i="7"/>
  <c r="F3021" i="7"/>
  <c r="U3021" i="7" s="1"/>
  <c r="F3003" i="7"/>
  <c r="U3003" i="7" s="1"/>
  <c r="D3007" i="7"/>
  <c r="W3007" i="7" s="1"/>
  <c r="H3016" i="7"/>
  <c r="D3016" i="7"/>
  <c r="D3012" i="7"/>
  <c r="H3019" i="7"/>
  <c r="G2996" i="7"/>
  <c r="D2996" i="7"/>
  <c r="D3010" i="7"/>
  <c r="H3020" i="7"/>
  <c r="D3019" i="7"/>
  <c r="N2975" i="7"/>
  <c r="P2972" i="7"/>
  <c r="R2972" i="7" s="1"/>
  <c r="D2975" i="7"/>
  <c r="N2955" i="7"/>
  <c r="AA2955" i="7" s="1"/>
  <c r="N2950" i="7"/>
  <c r="L2977" i="7"/>
  <c r="N2977" i="7" s="1"/>
  <c r="U2977" i="7"/>
  <c r="L2982" i="7"/>
  <c r="U2982" i="7"/>
  <c r="U2983" i="7" s="1"/>
  <c r="Y3010" i="7"/>
  <c r="Y3003" i="7"/>
  <c r="Y3007" i="7"/>
  <c r="Y3012" i="7"/>
  <c r="Y3013" i="7" s="1"/>
  <c r="Y3002" i="7"/>
  <c r="Y3011" i="7"/>
  <c r="Y3016" i="7"/>
  <c r="Y3017" i="7"/>
  <c r="Y3015" i="7"/>
  <c r="Y3004" i="7"/>
  <c r="Y3005" i="7" s="1"/>
  <c r="AA2923" i="7"/>
  <c r="J2991" i="7"/>
  <c r="J2990" i="7"/>
  <c r="J2989" i="7"/>
  <c r="J2980" i="7"/>
  <c r="J2982" i="7"/>
  <c r="P2980" i="7"/>
  <c r="R2980" i="7" s="1"/>
  <c r="D2983" i="7"/>
  <c r="W2983" i="7" s="1"/>
  <c r="N2983" i="7"/>
  <c r="L2987" i="7"/>
  <c r="J2987" i="7"/>
  <c r="A3071" i="7"/>
  <c r="A3064" i="7"/>
  <c r="C3055" i="7"/>
  <c r="A3081" i="7"/>
  <c r="A3076" i="7"/>
  <c r="A3079" i="7"/>
  <c r="A3070" i="7"/>
  <c r="A3067" i="7"/>
  <c r="A3062" i="7"/>
  <c r="A3072" i="7"/>
  <c r="A3080" i="7"/>
  <c r="A3073" i="7"/>
  <c r="A3065" i="7"/>
  <c r="A3077" i="7"/>
  <c r="A3085" i="7"/>
  <c r="A3075" i="7"/>
  <c r="A3063" i="7"/>
  <c r="F2975" i="7"/>
  <c r="L2972" i="7"/>
  <c r="N2972" i="7" s="1"/>
  <c r="U2972" i="7"/>
  <c r="N2973" i="7"/>
  <c r="J2981" i="7"/>
  <c r="N2981" i="7" s="1"/>
  <c r="L2986" i="7"/>
  <c r="J2986" i="7"/>
  <c r="L2974" i="7"/>
  <c r="N2974" i="7" s="1"/>
  <c r="U2974" i="7"/>
  <c r="U2975" i="7" s="1"/>
  <c r="AA6561" i="7"/>
  <c r="AA6512" i="7"/>
  <c r="AA6513" i="7"/>
  <c r="AA6559" i="7"/>
  <c r="AA6560" i="7"/>
  <c r="N6590" i="7"/>
  <c r="N6591" i="7"/>
  <c r="P6634" i="7"/>
  <c r="R6634" i="7" s="1"/>
  <c r="N6589" i="7"/>
  <c r="W6645" i="7"/>
  <c r="W6649" i="7" s="1"/>
  <c r="AA6547" i="7"/>
  <c r="N6575" i="7"/>
  <c r="P6575" i="7" s="1"/>
  <c r="R6575" i="7" s="1"/>
  <c r="L6649" i="7"/>
  <c r="N6585" i="7"/>
  <c r="AA6585" i="7" s="1"/>
  <c r="N6582" i="7"/>
  <c r="N6583" i="7" s="1"/>
  <c r="W6646" i="7"/>
  <c r="W6650" i="7" s="1"/>
  <c r="W6647" i="7"/>
  <c r="W6651" i="7" s="1"/>
  <c r="L6650" i="7"/>
  <c r="L6651" i="7"/>
  <c r="AA6523" i="7"/>
  <c r="J6650" i="7"/>
  <c r="J6649" i="7"/>
  <c r="J6651" i="7"/>
  <c r="P6641" i="7"/>
  <c r="R6641" i="7" s="1"/>
  <c r="B6725" i="7"/>
  <c r="B6737" i="7"/>
  <c r="B6727" i="7"/>
  <c r="B6730" i="7"/>
  <c r="B6722" i="7"/>
  <c r="B6736" i="7"/>
  <c r="B6735" i="7"/>
  <c r="B6724" i="7"/>
  <c r="B6741" i="7"/>
  <c r="B6732" i="7"/>
  <c r="B6745" i="7"/>
  <c r="B6739" i="7"/>
  <c r="B6733" i="7"/>
  <c r="B6723" i="7"/>
  <c r="B6740" i="7"/>
  <c r="B6731" i="7"/>
  <c r="J6647" i="7"/>
  <c r="L6647" i="7"/>
  <c r="P6642" i="7"/>
  <c r="R6642" i="7" s="1"/>
  <c r="A6730" i="7"/>
  <c r="A6741" i="7"/>
  <c r="A6740" i="7"/>
  <c r="A6735" i="7"/>
  <c r="A6724" i="7"/>
  <c r="A6733" i="7"/>
  <c r="A6739" i="7"/>
  <c r="C6715" i="7"/>
  <c r="A6736" i="7"/>
  <c r="A6722" i="7"/>
  <c r="A6731" i="7"/>
  <c r="A6732" i="7"/>
  <c r="A6723" i="7"/>
  <c r="A6737" i="7"/>
  <c r="A6745" i="7"/>
  <c r="A6727" i="7"/>
  <c r="A6725" i="7"/>
  <c r="N6587" i="7"/>
  <c r="AA6587" i="7" s="1"/>
  <c r="F6643" i="7"/>
  <c r="L6640" i="7"/>
  <c r="N6640" i="7" s="1"/>
  <c r="U6640" i="7"/>
  <c r="Y6591" i="7"/>
  <c r="Y6589" i="7"/>
  <c r="W6575" i="7"/>
  <c r="Y6590" i="7"/>
  <c r="Y6672" i="7"/>
  <c r="Y6673" i="7" s="1"/>
  <c r="Y6663" i="7"/>
  <c r="Y6675" i="7"/>
  <c r="Y6671" i="7"/>
  <c r="Y6664" i="7"/>
  <c r="Y6665" i="7" s="1"/>
  <c r="Y6677" i="7"/>
  <c r="Y6662" i="7"/>
  <c r="Y6670" i="7"/>
  <c r="Y6667" i="7"/>
  <c r="Y6676" i="7"/>
  <c r="D6685" i="7"/>
  <c r="D6689" i="7"/>
  <c r="D6688" i="7"/>
  <c r="D6690" i="7"/>
  <c r="D6691" i="7"/>
  <c r="D6687" i="7"/>
  <c r="D6679" i="7"/>
  <c r="D6670" i="7"/>
  <c r="F6671" i="7"/>
  <c r="U6671" i="7" s="1"/>
  <c r="F6681" i="7"/>
  <c r="U6681" i="7" s="1"/>
  <c r="D6681" i="7"/>
  <c r="F6663" i="7"/>
  <c r="U6663" i="7" s="1"/>
  <c r="F6679" i="7"/>
  <c r="U6679" i="7" s="1"/>
  <c r="D6664" i="7"/>
  <c r="F6670" i="7"/>
  <c r="H6676" i="7"/>
  <c r="D6663" i="7"/>
  <c r="D6662" i="7"/>
  <c r="G6656" i="7"/>
  <c r="D6656" i="7"/>
  <c r="H6679" i="7"/>
  <c r="F6676" i="7"/>
  <c r="U6676" i="7" s="1"/>
  <c r="D6676" i="7"/>
  <c r="F6667" i="7"/>
  <c r="D6672" i="7"/>
  <c r="F6672" i="7"/>
  <c r="F6662" i="7"/>
  <c r="F6664" i="7"/>
  <c r="D6667" i="7"/>
  <c r="W6667" i="7" s="1"/>
  <c r="H6675" i="7"/>
  <c r="D6675" i="7"/>
  <c r="D6671" i="7"/>
  <c r="H6680" i="7"/>
  <c r="F6677" i="7"/>
  <c r="U6677" i="7" s="1"/>
  <c r="D6680" i="7"/>
  <c r="H6677" i="7"/>
  <c r="D6677" i="7"/>
  <c r="F6680" i="7"/>
  <c r="U6680" i="7" s="1"/>
  <c r="F6675" i="7"/>
  <c r="U6675" i="7" s="1"/>
  <c r="H6681" i="7"/>
  <c r="U6642" i="7"/>
  <c r="U6643" i="7" s="1"/>
  <c r="L6642" i="7"/>
  <c r="N6642" i="7" s="1"/>
  <c r="L6637" i="7"/>
  <c r="N6637" i="7" s="1"/>
  <c r="U6637" i="7"/>
  <c r="P6577" i="7"/>
  <c r="R6577" i="7" s="1"/>
  <c r="U6632" i="7"/>
  <c r="F6635" i="7"/>
  <c r="L6632" i="7"/>
  <c r="N6632" i="7" s="1"/>
  <c r="N6633" i="7"/>
  <c r="J6641" i="7"/>
  <c r="N6641" i="7" s="1"/>
  <c r="P6633" i="7"/>
  <c r="R6633" i="7" s="1"/>
  <c r="AA6553" i="7"/>
  <c r="AA6545" i="7"/>
  <c r="J6646" i="7"/>
  <c r="L6646" i="7"/>
  <c r="P6632" i="7"/>
  <c r="R6632" i="7" s="1"/>
  <c r="D6635" i="7"/>
  <c r="L6634" i="7"/>
  <c r="N6634" i="7" s="1"/>
  <c r="U6634" i="7"/>
  <c r="U6635" i="7" s="1"/>
  <c r="L6645" i="7"/>
  <c r="J6645" i="7"/>
  <c r="N6586" i="7"/>
  <c r="AA6586" i="7" s="1"/>
  <c r="P6640" i="7"/>
  <c r="R6640" i="7" s="1"/>
  <c r="D6643" i="7"/>
  <c r="W6643" i="7" s="1"/>
  <c r="J6662" i="7"/>
  <c r="J6670" i="7" s="1"/>
  <c r="J6667" i="7"/>
  <c r="J6663" i="7"/>
  <c r="J6664" i="7"/>
  <c r="J6672" i="7" s="1"/>
  <c r="AA2960" i="7" l="1"/>
  <c r="AA2959" i="7"/>
  <c r="AA6620" i="7"/>
  <c r="N6613" i="7"/>
  <c r="P6613" i="7" s="1"/>
  <c r="R6613" i="7" s="1"/>
  <c r="AA2961" i="7"/>
  <c r="AA6605" i="7"/>
  <c r="AA6607" i="7"/>
  <c r="AA2890" i="7"/>
  <c r="AA2891" i="7"/>
  <c r="W3016" i="7"/>
  <c r="W3020" i="7" s="1"/>
  <c r="N2989" i="7"/>
  <c r="N2990" i="7"/>
  <c r="N2991" i="7"/>
  <c r="L3020" i="7"/>
  <c r="L3021" i="7"/>
  <c r="L3019" i="7"/>
  <c r="P3004" i="7"/>
  <c r="R3004" i="7" s="1"/>
  <c r="AA2913" i="7"/>
  <c r="AA2914" i="7"/>
  <c r="AA2947" i="7"/>
  <c r="AA2945" i="7"/>
  <c r="AA2943" i="7" s="1"/>
  <c r="N2986" i="7"/>
  <c r="AA2986" i="7" s="1"/>
  <c r="N2982" i="7"/>
  <c r="P2977" i="7"/>
  <c r="R2977" i="7" s="1"/>
  <c r="N2980" i="7"/>
  <c r="P3012" i="7"/>
  <c r="R3012" i="7" s="1"/>
  <c r="J3016" i="7"/>
  <c r="L3016" i="7"/>
  <c r="P3010" i="7"/>
  <c r="R3010" i="7" s="1"/>
  <c r="D3013" i="7"/>
  <c r="W3013" i="7" s="1"/>
  <c r="J3020" i="7"/>
  <c r="J3019" i="7"/>
  <c r="J3021" i="7"/>
  <c r="D3055" i="7"/>
  <c r="D3061" i="7"/>
  <c r="D3060" i="7"/>
  <c r="D3057" i="7"/>
  <c r="D3059" i="7"/>
  <c r="D3058" i="7"/>
  <c r="Y3037" i="7"/>
  <c r="Y3034" i="7"/>
  <c r="Y3035" i="7" s="1"/>
  <c r="Y3040" i="7"/>
  <c r="Y3045" i="7"/>
  <c r="Y3047" i="7"/>
  <c r="Y3032" i="7"/>
  <c r="Y3033" i="7"/>
  <c r="Y3042" i="7"/>
  <c r="Y3043" i="7" s="1"/>
  <c r="Y3041" i="7"/>
  <c r="Y3046" i="7"/>
  <c r="W3015" i="7"/>
  <c r="W3019" i="7" s="1"/>
  <c r="N2987" i="7"/>
  <c r="AA2987" i="7" s="1"/>
  <c r="P3011" i="7"/>
  <c r="R3011" i="7" s="1"/>
  <c r="W3017" i="7"/>
  <c r="W3021" i="7" s="1"/>
  <c r="A3093" i="7"/>
  <c r="A3100" i="7"/>
  <c r="A3110" i="7"/>
  <c r="A3105" i="7"/>
  <c r="A3111" i="7"/>
  <c r="A3094" i="7"/>
  <c r="A3092" i="7"/>
  <c r="A3101" i="7"/>
  <c r="A3115" i="7"/>
  <c r="A3095" i="7"/>
  <c r="A3109" i="7"/>
  <c r="A3097" i="7"/>
  <c r="C3085" i="7"/>
  <c r="A3107" i="7"/>
  <c r="A3102" i="7"/>
  <c r="A3106" i="7"/>
  <c r="A3103" i="7"/>
  <c r="AA2920" i="7"/>
  <c r="AA2921" i="7"/>
  <c r="AA2922" i="7"/>
  <c r="J3015" i="7"/>
  <c r="L3015" i="7"/>
  <c r="D3005" i="7"/>
  <c r="P3002" i="7"/>
  <c r="R3002" i="7" s="1"/>
  <c r="L3002" i="7"/>
  <c r="N3002" i="7" s="1"/>
  <c r="F3005" i="7"/>
  <c r="U3002" i="7"/>
  <c r="N2985" i="7"/>
  <c r="AA2985" i="7" s="1"/>
  <c r="J3037" i="7"/>
  <c r="J3033" i="7"/>
  <c r="J3032" i="7"/>
  <c r="J3034" i="7"/>
  <c r="J3012" i="7"/>
  <c r="Y2989" i="7"/>
  <c r="W2975" i="7"/>
  <c r="Y2990" i="7"/>
  <c r="Y2991" i="7"/>
  <c r="P3003" i="7"/>
  <c r="R3003" i="7" s="1"/>
  <c r="P2975" i="7"/>
  <c r="R2975" i="7" s="1"/>
  <c r="U3007" i="7"/>
  <c r="L3007" i="7"/>
  <c r="N3007" i="7" s="1"/>
  <c r="L3010" i="7"/>
  <c r="F3013" i="7"/>
  <c r="U3010" i="7"/>
  <c r="J3011" i="7"/>
  <c r="N3011" i="7" s="1"/>
  <c r="N3003" i="7"/>
  <c r="AA2953" i="7"/>
  <c r="H3049" i="7"/>
  <c r="F3050" i="7"/>
  <c r="U3050" i="7" s="1"/>
  <c r="H3046" i="7"/>
  <c r="D3041" i="7"/>
  <c r="D3034" i="7"/>
  <c r="D3026" i="7"/>
  <c r="F3051" i="7"/>
  <c r="U3051" i="7" s="1"/>
  <c r="D3032" i="7"/>
  <c r="D3051" i="7"/>
  <c r="D3049" i="7"/>
  <c r="D3045" i="7"/>
  <c r="F3033" i="7"/>
  <c r="U3033" i="7" s="1"/>
  <c r="D3033" i="7"/>
  <c r="F3037" i="7"/>
  <c r="F3032" i="7"/>
  <c r="F3041" i="7"/>
  <c r="U3041" i="7" s="1"/>
  <c r="F3046" i="7"/>
  <c r="U3046" i="7" s="1"/>
  <c r="D3046" i="7"/>
  <c r="D3037" i="7"/>
  <c r="W3037" i="7" s="1"/>
  <c r="H3045" i="7"/>
  <c r="F3045" i="7"/>
  <c r="U3045" i="7" s="1"/>
  <c r="H3047" i="7"/>
  <c r="F3047" i="7"/>
  <c r="U3047" i="7" s="1"/>
  <c r="D3047" i="7"/>
  <c r="F3042" i="7"/>
  <c r="H3050" i="7"/>
  <c r="D3050" i="7"/>
  <c r="F3034" i="7"/>
  <c r="F3049" i="7"/>
  <c r="U3049" i="7" s="1"/>
  <c r="F3040" i="7"/>
  <c r="G3026" i="7"/>
  <c r="H3051" i="7"/>
  <c r="D3042" i="7"/>
  <c r="D3040" i="7"/>
  <c r="P2983" i="7"/>
  <c r="R2983" i="7" s="1"/>
  <c r="U3004" i="7"/>
  <c r="U3005" i="7" s="1"/>
  <c r="L3004" i="7"/>
  <c r="N3004" i="7" s="1"/>
  <c r="U3012" i="7"/>
  <c r="U3013" i="7" s="1"/>
  <c r="L3012" i="7"/>
  <c r="J3010" i="7"/>
  <c r="B3100" i="7"/>
  <c r="B3111" i="7"/>
  <c r="B3106" i="7"/>
  <c r="B3110" i="7"/>
  <c r="B3107" i="7"/>
  <c r="B3094" i="7"/>
  <c r="B3092" i="7"/>
  <c r="B3101" i="7"/>
  <c r="B3115" i="7"/>
  <c r="B3097" i="7"/>
  <c r="B3109" i="7"/>
  <c r="B3105" i="7"/>
  <c r="B3095" i="7"/>
  <c r="B3093" i="7"/>
  <c r="B3102" i="7"/>
  <c r="B3103" i="7"/>
  <c r="L3017" i="7"/>
  <c r="J3017" i="7"/>
  <c r="AA6590" i="7"/>
  <c r="AA6589" i="7"/>
  <c r="AA6575" i="7"/>
  <c r="AA6572" i="7" s="1"/>
  <c r="AA6591" i="7"/>
  <c r="N6649" i="7"/>
  <c r="N6651" i="7"/>
  <c r="N6650" i="7"/>
  <c r="L6679" i="7"/>
  <c r="L6681" i="7"/>
  <c r="N6643" i="7"/>
  <c r="P6643" i="7" s="1"/>
  <c r="R6643" i="7" s="1"/>
  <c r="N6635" i="7"/>
  <c r="P6635" i="7" s="1"/>
  <c r="R6635" i="7" s="1"/>
  <c r="P6583" i="7"/>
  <c r="R6583" i="7" s="1"/>
  <c r="P6671" i="7"/>
  <c r="R6671" i="7" s="1"/>
  <c r="W6677" i="7"/>
  <c r="W6681" i="7" s="1"/>
  <c r="AA6522" i="7"/>
  <c r="AA6521" i="7"/>
  <c r="AA6520" i="7"/>
  <c r="L6680" i="7"/>
  <c r="P6662" i="7"/>
  <c r="R6662" i="7" s="1"/>
  <c r="D6665" i="7"/>
  <c r="P6663" i="7"/>
  <c r="R6663" i="7" s="1"/>
  <c r="D6700" i="7"/>
  <c r="D6693" i="7"/>
  <c r="G6686" i="7"/>
  <c r="D6707" i="7"/>
  <c r="F6701" i="7"/>
  <c r="U6701" i="7" s="1"/>
  <c r="F6705" i="7"/>
  <c r="U6705" i="7" s="1"/>
  <c r="D6701" i="7"/>
  <c r="F6702" i="7"/>
  <c r="F6707" i="7"/>
  <c r="U6707" i="7" s="1"/>
  <c r="H6705" i="7"/>
  <c r="D6702" i="7"/>
  <c r="F6709" i="7"/>
  <c r="U6709" i="7" s="1"/>
  <c r="D6697" i="7"/>
  <c r="W6697" i="7" s="1"/>
  <c r="F6700" i="7"/>
  <c r="F6692" i="7"/>
  <c r="H6711" i="7"/>
  <c r="F6710" i="7"/>
  <c r="U6710" i="7" s="1"/>
  <c r="D6711" i="7"/>
  <c r="D6709" i="7"/>
  <c r="D6706" i="7"/>
  <c r="H6707" i="7"/>
  <c r="H6709" i="7"/>
  <c r="D6710" i="7"/>
  <c r="D6705" i="7"/>
  <c r="D6694" i="7"/>
  <c r="F6711" i="7"/>
  <c r="U6711" i="7" s="1"/>
  <c r="F6697" i="7"/>
  <c r="H6710" i="7"/>
  <c r="F6706" i="7"/>
  <c r="U6706" i="7" s="1"/>
  <c r="F6694" i="7"/>
  <c r="H6706" i="7"/>
  <c r="F6693" i="7"/>
  <c r="U6693" i="7" s="1"/>
  <c r="D6686" i="7"/>
  <c r="D6692" i="7"/>
  <c r="AA6577" i="7"/>
  <c r="J6671" i="7"/>
  <c r="N6671" i="7" s="1"/>
  <c r="N6663" i="7"/>
  <c r="F6665" i="7"/>
  <c r="L6662" i="7"/>
  <c r="N6662" i="7" s="1"/>
  <c r="U6662" i="7"/>
  <c r="A6763" i="7"/>
  <c r="A6769" i="7"/>
  <c r="A6771" i="7"/>
  <c r="A6752" i="7"/>
  <c r="A6757" i="7"/>
  <c r="A6753" i="7"/>
  <c r="A6762" i="7"/>
  <c r="A6760" i="7"/>
  <c r="A6754" i="7"/>
  <c r="A6761" i="7"/>
  <c r="A6775" i="7"/>
  <c r="A6766" i="7"/>
  <c r="A6765" i="7"/>
  <c r="A6770" i="7"/>
  <c r="C6745" i="7"/>
  <c r="A6755" i="7"/>
  <c r="A6767" i="7"/>
  <c r="U6672" i="7"/>
  <c r="U6673" i="7" s="1"/>
  <c r="L6672" i="7"/>
  <c r="N6672" i="7" s="1"/>
  <c r="N6647" i="7"/>
  <c r="AA6647" i="7" s="1"/>
  <c r="P6637" i="7"/>
  <c r="R6637" i="7" s="1"/>
  <c r="N6646" i="7"/>
  <c r="AA6646" i="7" s="1"/>
  <c r="P6672" i="7"/>
  <c r="R6672" i="7" s="1"/>
  <c r="Y6650" i="7"/>
  <c r="Y6651" i="7"/>
  <c r="Y6649" i="7"/>
  <c r="W6635" i="7"/>
  <c r="U6664" i="7"/>
  <c r="U6665" i="7" s="1"/>
  <c r="L6664" i="7"/>
  <c r="N6664" i="7" s="1"/>
  <c r="AA6542" i="7"/>
  <c r="AA6544" i="7"/>
  <c r="AA6543" i="7"/>
  <c r="L6667" i="7"/>
  <c r="N6667" i="7" s="1"/>
  <c r="U6667" i="7"/>
  <c r="P6670" i="7"/>
  <c r="R6670" i="7" s="1"/>
  <c r="D6673" i="7"/>
  <c r="W6673" i="7" s="1"/>
  <c r="AA6552" i="7"/>
  <c r="AA6550" i="7"/>
  <c r="AA6551" i="7"/>
  <c r="J6676" i="7"/>
  <c r="L6676" i="7"/>
  <c r="J6693" i="7"/>
  <c r="J6697" i="7"/>
  <c r="J6694" i="7"/>
  <c r="J6702" i="7" s="1"/>
  <c r="J6692" i="7"/>
  <c r="J6700" i="7" s="1"/>
  <c r="U6670" i="7"/>
  <c r="F6673" i="7"/>
  <c r="L6670" i="7"/>
  <c r="N6670" i="7" s="1"/>
  <c r="P6664" i="7"/>
  <c r="R6664" i="7" s="1"/>
  <c r="Y6700" i="7"/>
  <c r="Y6693" i="7"/>
  <c r="Y6694" i="7"/>
  <c r="Y6695" i="7" s="1"/>
  <c r="Y6706" i="7"/>
  <c r="Y6702" i="7"/>
  <c r="Y6703" i="7" s="1"/>
  <c r="Y6697" i="7"/>
  <c r="Y6701" i="7"/>
  <c r="Y6707" i="7"/>
  <c r="Y6692" i="7"/>
  <c r="Y6705" i="7"/>
  <c r="L6677" i="7"/>
  <c r="J6677" i="7"/>
  <c r="J6679" i="7"/>
  <c r="J6681" i="7"/>
  <c r="J6680" i="7"/>
  <c r="D6715" i="7"/>
  <c r="D6718" i="7"/>
  <c r="D6717" i="7"/>
  <c r="D6721" i="7"/>
  <c r="D6720" i="7"/>
  <c r="D6719" i="7"/>
  <c r="B6770" i="7"/>
  <c r="B6765" i="7"/>
  <c r="B6755" i="7"/>
  <c r="B6775" i="7"/>
  <c r="B6766" i="7"/>
  <c r="B6769" i="7"/>
  <c r="B6761" i="7"/>
  <c r="B6752" i="7"/>
  <c r="B6771" i="7"/>
  <c r="B6762" i="7"/>
  <c r="B6767" i="7"/>
  <c r="B6763" i="7"/>
  <c r="B6757" i="7"/>
  <c r="B6753" i="7"/>
  <c r="B6760" i="7"/>
  <c r="B6754" i="7"/>
  <c r="W6676" i="7"/>
  <c r="W6680" i="7" s="1"/>
  <c r="J6675" i="7"/>
  <c r="L6675" i="7"/>
  <c r="N6645" i="7"/>
  <c r="AA6645" i="7" s="1"/>
  <c r="W6675" i="7"/>
  <c r="W6679" i="7" s="1"/>
  <c r="AA6613" i="7" l="1"/>
  <c r="AA6612" i="7" s="1"/>
  <c r="AA2989" i="7"/>
  <c r="AA6602" i="7"/>
  <c r="AA6603" i="7"/>
  <c r="AA6604" i="7"/>
  <c r="W6707" i="7"/>
  <c r="W6711" i="7" s="1"/>
  <c r="N3021" i="7"/>
  <c r="AA2990" i="7"/>
  <c r="N3020" i="7"/>
  <c r="N3019" i="7"/>
  <c r="AA2991" i="7"/>
  <c r="L3051" i="7"/>
  <c r="L3050" i="7"/>
  <c r="N3005" i="7"/>
  <c r="P3005" i="7" s="1"/>
  <c r="R3005" i="7" s="1"/>
  <c r="L3049" i="7"/>
  <c r="W3045" i="7"/>
  <c r="W3049" i="7" s="1"/>
  <c r="P3034" i="7"/>
  <c r="R3034" i="7" s="1"/>
  <c r="AA2942" i="7"/>
  <c r="AA2944" i="7"/>
  <c r="P3041" i="7"/>
  <c r="R3041" i="7" s="1"/>
  <c r="N3012" i="7"/>
  <c r="AA2975" i="7"/>
  <c r="AA2973" i="7" s="1"/>
  <c r="W3046" i="7"/>
  <c r="W3050" i="7" s="1"/>
  <c r="AA2977" i="7"/>
  <c r="N3016" i="7"/>
  <c r="AA3016" i="7" s="1"/>
  <c r="N3010" i="7"/>
  <c r="F3081" i="7"/>
  <c r="U3081" i="7" s="1"/>
  <c r="F3076" i="7"/>
  <c r="U3076" i="7" s="1"/>
  <c r="D3081" i="7"/>
  <c r="D3076" i="7"/>
  <c r="H3077" i="7"/>
  <c r="F3072" i="7"/>
  <c r="F3075" i="7"/>
  <c r="U3075" i="7" s="1"/>
  <c r="H3076" i="7"/>
  <c r="D3064" i="7"/>
  <c r="D3072" i="7"/>
  <c r="F3079" i="7"/>
  <c r="U3079" i="7" s="1"/>
  <c r="D3062" i="7"/>
  <c r="H3080" i="7"/>
  <c r="G3056" i="7"/>
  <c r="F3080" i="7"/>
  <c r="U3080" i="7" s="1"/>
  <c r="F3064" i="7"/>
  <c r="D3056" i="7"/>
  <c r="D3080" i="7"/>
  <c r="H3075" i="7"/>
  <c r="F3071" i="7"/>
  <c r="U3071" i="7" s="1"/>
  <c r="D3075" i="7"/>
  <c r="D3071" i="7"/>
  <c r="F3077" i="7"/>
  <c r="U3077" i="7" s="1"/>
  <c r="D3077" i="7"/>
  <c r="D3063" i="7"/>
  <c r="H3081" i="7"/>
  <c r="F3070" i="7"/>
  <c r="H3079" i="7"/>
  <c r="D3079" i="7"/>
  <c r="F3067" i="7"/>
  <c r="D3067" i="7"/>
  <c r="W3067" i="7" s="1"/>
  <c r="F3062" i="7"/>
  <c r="D3070" i="7"/>
  <c r="F3063" i="7"/>
  <c r="U3063" i="7" s="1"/>
  <c r="P3042" i="7"/>
  <c r="R3042" i="7" s="1"/>
  <c r="Y3070" i="7"/>
  <c r="Y3063" i="7"/>
  <c r="Y3075" i="7"/>
  <c r="Y3072" i="7"/>
  <c r="Y3073" i="7" s="1"/>
  <c r="Y3077" i="7"/>
  <c r="Y3067" i="7"/>
  <c r="Y3064" i="7"/>
  <c r="Y3065" i="7" s="1"/>
  <c r="Y3071" i="7"/>
  <c r="Y3076" i="7"/>
  <c r="Y3062" i="7"/>
  <c r="AA2952" i="7"/>
  <c r="AA2950" i="7"/>
  <c r="AA2951" i="7"/>
  <c r="U3032" i="7"/>
  <c r="L3032" i="7"/>
  <c r="N3032" i="7" s="1"/>
  <c r="F3035" i="7"/>
  <c r="L3046" i="7"/>
  <c r="J3046" i="7"/>
  <c r="L3037" i="7"/>
  <c r="N3037" i="7" s="1"/>
  <c r="U3037" i="7"/>
  <c r="J3042" i="7"/>
  <c r="J3040" i="7"/>
  <c r="N3017" i="7"/>
  <c r="AA3017" i="7" s="1"/>
  <c r="U3034" i="7"/>
  <c r="U3035" i="7" s="1"/>
  <c r="L3034" i="7"/>
  <c r="N3034" i="7" s="1"/>
  <c r="N3033" i="7"/>
  <c r="J3041" i="7"/>
  <c r="N3041" i="7" s="1"/>
  <c r="J3045" i="7"/>
  <c r="L3045" i="7"/>
  <c r="N3015" i="7"/>
  <c r="AA3015" i="7" s="1"/>
  <c r="AA2983" i="7"/>
  <c r="D3088" i="7"/>
  <c r="D3087" i="7"/>
  <c r="D3089" i="7"/>
  <c r="D3091" i="7"/>
  <c r="D3090" i="7"/>
  <c r="D3085" i="7"/>
  <c r="W3047" i="7"/>
  <c r="W3051" i="7" s="1"/>
  <c r="J3047" i="7"/>
  <c r="L3047" i="7"/>
  <c r="P3032" i="7"/>
  <c r="R3032" i="7" s="1"/>
  <c r="D3035" i="7"/>
  <c r="Y3020" i="7"/>
  <c r="W3005" i="7"/>
  <c r="Y3021" i="7"/>
  <c r="Y3019" i="7"/>
  <c r="U3040" i="7"/>
  <c r="F3043" i="7"/>
  <c r="L3040" i="7"/>
  <c r="J3062" i="7"/>
  <c r="J3064" i="7"/>
  <c r="J3067" i="7"/>
  <c r="J3063" i="7"/>
  <c r="B3133" i="7"/>
  <c r="B3127" i="7"/>
  <c r="B3123" i="7"/>
  <c r="B3140" i="7"/>
  <c r="B3135" i="7"/>
  <c r="B3131" i="7"/>
  <c r="B3145" i="7"/>
  <c r="B3124" i="7"/>
  <c r="B3122" i="7"/>
  <c r="B3141" i="7"/>
  <c r="B3136" i="7"/>
  <c r="B3125" i="7"/>
  <c r="B3139" i="7"/>
  <c r="B3137" i="7"/>
  <c r="B3130" i="7"/>
  <c r="B3132" i="7"/>
  <c r="P3040" i="7"/>
  <c r="R3040" i="7" s="1"/>
  <c r="D3043" i="7"/>
  <c r="W3043" i="7" s="1"/>
  <c r="P3007" i="7"/>
  <c r="R3007" i="7" s="1"/>
  <c r="P3033" i="7"/>
  <c r="R3033" i="7" s="1"/>
  <c r="L3042" i="7"/>
  <c r="U3042" i="7"/>
  <c r="U3043" i="7" s="1"/>
  <c r="J3050" i="7"/>
  <c r="J3049" i="7"/>
  <c r="J3051" i="7"/>
  <c r="A3122" i="7"/>
  <c r="A3139" i="7"/>
  <c r="A3133" i="7"/>
  <c r="A3127" i="7"/>
  <c r="A3137" i="7"/>
  <c r="A3135" i="7"/>
  <c r="C3115" i="7"/>
  <c r="A3130" i="7"/>
  <c r="A3140" i="7"/>
  <c r="A3136" i="7"/>
  <c r="A3131" i="7"/>
  <c r="A3125" i="7"/>
  <c r="A3141" i="7"/>
  <c r="A3145" i="7"/>
  <c r="A3124" i="7"/>
  <c r="A3123" i="7"/>
  <c r="A3132" i="7"/>
  <c r="AA6573" i="7"/>
  <c r="AA6574" i="7"/>
  <c r="AA6651" i="7"/>
  <c r="N6665" i="7"/>
  <c r="P6665" i="7" s="1"/>
  <c r="R6665" i="7" s="1"/>
  <c r="AA6649" i="7"/>
  <c r="N6681" i="7"/>
  <c r="N6679" i="7"/>
  <c r="AA6650" i="7"/>
  <c r="N6673" i="7"/>
  <c r="P6673" i="7" s="1"/>
  <c r="R6673" i="7" s="1"/>
  <c r="N6677" i="7"/>
  <c r="AA6677" i="7" s="1"/>
  <c r="N6680" i="7"/>
  <c r="AA6635" i="7"/>
  <c r="AA6633" i="7" s="1"/>
  <c r="L6711" i="7"/>
  <c r="AA6637" i="7"/>
  <c r="L6709" i="7"/>
  <c r="W6705" i="7"/>
  <c r="W6709" i="7" s="1"/>
  <c r="W6706" i="7"/>
  <c r="W6710" i="7" s="1"/>
  <c r="N6675" i="7"/>
  <c r="AA6675" i="7" s="1"/>
  <c r="P6694" i="7"/>
  <c r="R6694" i="7" s="1"/>
  <c r="L6710" i="7"/>
  <c r="P6701" i="7"/>
  <c r="R6701" i="7" s="1"/>
  <c r="AA6583" i="7"/>
  <c r="J6701" i="7"/>
  <c r="N6701" i="7" s="1"/>
  <c r="N6693" i="7"/>
  <c r="P6667" i="7"/>
  <c r="R6667" i="7" s="1"/>
  <c r="U6697" i="7"/>
  <c r="L6697" i="7"/>
  <c r="N6697" i="7" s="1"/>
  <c r="P6702" i="7"/>
  <c r="R6702" i="7" s="1"/>
  <c r="Y6724" i="7"/>
  <c r="Y6725" i="7" s="1"/>
  <c r="Y6736" i="7"/>
  <c r="Y6730" i="7"/>
  <c r="Y6735" i="7"/>
  <c r="Y6737" i="7"/>
  <c r="Y6723" i="7"/>
  <c r="Y6732" i="7"/>
  <c r="Y6733" i="7" s="1"/>
  <c r="Y6722" i="7"/>
  <c r="Y6731" i="7"/>
  <c r="Y6727" i="7"/>
  <c r="J6724" i="7"/>
  <c r="J6722" i="7"/>
  <c r="J6727" i="7"/>
  <c r="J6723" i="7"/>
  <c r="U6702" i="7"/>
  <c r="U6703" i="7" s="1"/>
  <c r="L6702" i="7"/>
  <c r="N6702" i="7" s="1"/>
  <c r="D6751" i="7"/>
  <c r="D6750" i="7"/>
  <c r="D6749" i="7"/>
  <c r="D6748" i="7"/>
  <c r="D6747" i="7"/>
  <c r="D6745" i="7"/>
  <c r="L6706" i="7"/>
  <c r="J6706" i="7"/>
  <c r="L6707" i="7"/>
  <c r="J6707" i="7"/>
  <c r="N6676" i="7"/>
  <c r="AA6676" i="7" s="1"/>
  <c r="A6799" i="7"/>
  <c r="A6796" i="7"/>
  <c r="A6801" i="7"/>
  <c r="A6795" i="7"/>
  <c r="A6791" i="7"/>
  <c r="A6797" i="7"/>
  <c r="A6783" i="7"/>
  <c r="A6787" i="7"/>
  <c r="A6792" i="7"/>
  <c r="A6784" i="7"/>
  <c r="A6790" i="7"/>
  <c r="A6785" i="7"/>
  <c r="C6775" i="7"/>
  <c r="A6805" i="7"/>
  <c r="A6782" i="7"/>
  <c r="A6800" i="7"/>
  <c r="A6793" i="7"/>
  <c r="D6695" i="7"/>
  <c r="P6692" i="7"/>
  <c r="R6692" i="7" s="1"/>
  <c r="P6693" i="7"/>
  <c r="R6693" i="7" s="1"/>
  <c r="J6709" i="7"/>
  <c r="J6710" i="7"/>
  <c r="J6711" i="7"/>
  <c r="D6703" i="7"/>
  <c r="W6703" i="7" s="1"/>
  <c r="P6700" i="7"/>
  <c r="R6700" i="7" s="1"/>
  <c r="F6731" i="7"/>
  <c r="U6731" i="7" s="1"/>
  <c r="D6722" i="7"/>
  <c r="F6724" i="7"/>
  <c r="D6737" i="7"/>
  <c r="G6716" i="7"/>
  <c r="F6727" i="7"/>
  <c r="H6741" i="7"/>
  <c r="D6727" i="7"/>
  <c r="W6727" i="7" s="1"/>
  <c r="F6723" i="7"/>
  <c r="U6723" i="7" s="1"/>
  <c r="H6737" i="7"/>
  <c r="D6735" i="7"/>
  <c r="H6740" i="7"/>
  <c r="H6736" i="7"/>
  <c r="D6730" i="7"/>
  <c r="D6724" i="7"/>
  <c r="D6716" i="7"/>
  <c r="D6739" i="7"/>
  <c r="F6732" i="7"/>
  <c r="D6741" i="7"/>
  <c r="D6736" i="7"/>
  <c r="F6737" i="7"/>
  <c r="U6737" i="7" s="1"/>
  <c r="D6732" i="7"/>
  <c r="D6740" i="7"/>
  <c r="D6731" i="7"/>
  <c r="H6739" i="7"/>
  <c r="F6739" i="7"/>
  <c r="U6739" i="7" s="1"/>
  <c r="F6722" i="7"/>
  <c r="F6741" i="7"/>
  <c r="U6741" i="7" s="1"/>
  <c r="F6736" i="7"/>
  <c r="U6736" i="7" s="1"/>
  <c r="F6730" i="7"/>
  <c r="D6723" i="7"/>
  <c r="F6740" i="7"/>
  <c r="U6740" i="7" s="1"/>
  <c r="F6735" i="7"/>
  <c r="U6735" i="7" s="1"/>
  <c r="H6735" i="7"/>
  <c r="B6782" i="7"/>
  <c r="B6793" i="7"/>
  <c r="B6787" i="7"/>
  <c r="B6790" i="7"/>
  <c r="B6785" i="7"/>
  <c r="B6792" i="7"/>
  <c r="B6799" i="7"/>
  <c r="B6791" i="7"/>
  <c r="B6796" i="7"/>
  <c r="B6795" i="7"/>
  <c r="B6797" i="7"/>
  <c r="B6783" i="7"/>
  <c r="B6800" i="7"/>
  <c r="B6784" i="7"/>
  <c r="B6801" i="7"/>
  <c r="B6805" i="7"/>
  <c r="L6692" i="7"/>
  <c r="N6692" i="7" s="1"/>
  <c r="U6692" i="7"/>
  <c r="F6695" i="7"/>
  <c r="AA6643" i="7"/>
  <c r="L6694" i="7"/>
  <c r="N6694" i="7" s="1"/>
  <c r="U6694" i="7"/>
  <c r="U6695" i="7" s="1"/>
  <c r="U6700" i="7"/>
  <c r="L6700" i="7"/>
  <c r="N6700" i="7" s="1"/>
  <c r="F6703" i="7"/>
  <c r="Y6679" i="7"/>
  <c r="Y6681" i="7"/>
  <c r="Y6680" i="7"/>
  <c r="W6665" i="7"/>
  <c r="L6705" i="7"/>
  <c r="J6705" i="7"/>
  <c r="AA6611" i="7" l="1"/>
  <c r="AA6610" i="7"/>
  <c r="AA3021" i="7"/>
  <c r="AA3019" i="7"/>
  <c r="AA3020" i="7"/>
  <c r="N3050" i="7"/>
  <c r="N3051" i="7"/>
  <c r="N3049" i="7"/>
  <c r="L3080" i="7"/>
  <c r="L3081" i="7"/>
  <c r="N3035" i="7"/>
  <c r="P3035" i="7" s="1"/>
  <c r="R3035" i="7" s="1"/>
  <c r="W3075" i="7"/>
  <c r="W3079" i="7" s="1"/>
  <c r="L3079" i="7"/>
  <c r="N3013" i="7"/>
  <c r="P3013" i="7" s="1"/>
  <c r="R3013" i="7" s="1"/>
  <c r="AA2974" i="7"/>
  <c r="AA2972" i="7"/>
  <c r="AA3005" i="7"/>
  <c r="AA3002" i="7" s="1"/>
  <c r="AA3007" i="7"/>
  <c r="W3076" i="7"/>
  <c r="W3080" i="7" s="1"/>
  <c r="W3077" i="7"/>
  <c r="W3081" i="7" s="1"/>
  <c r="P3072" i="7"/>
  <c r="R3072" i="7" s="1"/>
  <c r="P3063" i="7"/>
  <c r="R3063" i="7" s="1"/>
  <c r="P3064" i="7"/>
  <c r="R3064" i="7" s="1"/>
  <c r="AA2981" i="7"/>
  <c r="AA2980" i="7"/>
  <c r="AA2982" i="7"/>
  <c r="D3121" i="7"/>
  <c r="D3119" i="7"/>
  <c r="D3115" i="7"/>
  <c r="D3120" i="7"/>
  <c r="D3118" i="7"/>
  <c r="D3117" i="7"/>
  <c r="Y3050" i="7"/>
  <c r="Y3051" i="7"/>
  <c r="Y3049" i="7"/>
  <c r="W3035" i="7"/>
  <c r="N3045" i="7"/>
  <c r="AA3045" i="7" s="1"/>
  <c r="N3046" i="7"/>
  <c r="AA3046" i="7" s="1"/>
  <c r="L3077" i="7"/>
  <c r="J3077" i="7"/>
  <c r="B3155" i="7"/>
  <c r="B3162" i="7"/>
  <c r="B3152" i="7"/>
  <c r="B3169" i="7"/>
  <c r="B3166" i="7"/>
  <c r="B3163" i="7"/>
  <c r="B3175" i="7"/>
  <c r="B3161" i="7"/>
  <c r="B3160" i="7"/>
  <c r="B3153" i="7"/>
  <c r="B3157" i="7"/>
  <c r="B3171" i="7"/>
  <c r="B3170" i="7"/>
  <c r="B3154" i="7"/>
  <c r="B3167" i="7"/>
  <c r="B3165" i="7"/>
  <c r="L3075" i="7"/>
  <c r="J3075" i="7"/>
  <c r="J3072" i="7"/>
  <c r="N3047" i="7"/>
  <c r="AA3047" i="7" s="1"/>
  <c r="L3076" i="7"/>
  <c r="J3076" i="7"/>
  <c r="N3042" i="7"/>
  <c r="J3070" i="7"/>
  <c r="P3062" i="7"/>
  <c r="R3062" i="7" s="1"/>
  <c r="D3065" i="7"/>
  <c r="P3070" i="7"/>
  <c r="R3070" i="7" s="1"/>
  <c r="D3073" i="7"/>
  <c r="W3073" i="7" s="1"/>
  <c r="J3079" i="7"/>
  <c r="J3081" i="7"/>
  <c r="J3080" i="7"/>
  <c r="P3037" i="7"/>
  <c r="R3037" i="7" s="1"/>
  <c r="N3063" i="7"/>
  <c r="J3071" i="7"/>
  <c r="N3071" i="7" s="1"/>
  <c r="L3072" i="7"/>
  <c r="U3072" i="7"/>
  <c r="U3073" i="7" s="1"/>
  <c r="Y3102" i="7"/>
  <c r="Y3103" i="7" s="1"/>
  <c r="Y3107" i="7"/>
  <c r="Y3097" i="7"/>
  <c r="Y3093" i="7"/>
  <c r="Y3101" i="7"/>
  <c r="Y3100" i="7"/>
  <c r="Y3092" i="7"/>
  <c r="Y3106" i="7"/>
  <c r="Y3094" i="7"/>
  <c r="Y3095" i="7" s="1"/>
  <c r="Y3105" i="7"/>
  <c r="L3062" i="7"/>
  <c r="N3062" i="7" s="1"/>
  <c r="U3062" i="7"/>
  <c r="F3065" i="7"/>
  <c r="L3064" i="7"/>
  <c r="N3064" i="7" s="1"/>
  <c r="U3064" i="7"/>
  <c r="U3065" i="7" s="1"/>
  <c r="A3155" i="7"/>
  <c r="A3175" i="7"/>
  <c r="A3167" i="7"/>
  <c r="A3163" i="7"/>
  <c r="A3157" i="7"/>
  <c r="A3153" i="7"/>
  <c r="A3170" i="7"/>
  <c r="A3166" i="7"/>
  <c r="A3160" i="7"/>
  <c r="A3152" i="7"/>
  <c r="A3165" i="7"/>
  <c r="A3169" i="7"/>
  <c r="A3162" i="7"/>
  <c r="A3154" i="7"/>
  <c r="A3161" i="7"/>
  <c r="C3145" i="7"/>
  <c r="A3171" i="7"/>
  <c r="F3073" i="7"/>
  <c r="U3070" i="7"/>
  <c r="L3070" i="7"/>
  <c r="P3071" i="7"/>
  <c r="R3071" i="7" s="1"/>
  <c r="F3110" i="7"/>
  <c r="U3110" i="7" s="1"/>
  <c r="F3105" i="7"/>
  <c r="U3105" i="7" s="1"/>
  <c r="D3110" i="7"/>
  <c r="D3105" i="7"/>
  <c r="H3111" i="7"/>
  <c r="H3106" i="7"/>
  <c r="D3101" i="7"/>
  <c r="D3094" i="7"/>
  <c r="D3086" i="7"/>
  <c r="F3107" i="7"/>
  <c r="U3107" i="7" s="1"/>
  <c r="D3097" i="7"/>
  <c r="W3097" i="7" s="1"/>
  <c r="F3094" i="7"/>
  <c r="H3109" i="7"/>
  <c r="D3100" i="7"/>
  <c r="F3101" i="7"/>
  <c r="U3101" i="7" s="1"/>
  <c r="F3106" i="7"/>
  <c r="U3106" i="7" s="1"/>
  <c r="F3097" i="7"/>
  <c r="D3106" i="7"/>
  <c r="F3093" i="7"/>
  <c r="U3093" i="7" s="1"/>
  <c r="F3109" i="7"/>
  <c r="U3109" i="7" s="1"/>
  <c r="H3105" i="7"/>
  <c r="D3109" i="7"/>
  <c r="F3092" i="7"/>
  <c r="D3092" i="7"/>
  <c r="H3107" i="7"/>
  <c r="D3107" i="7"/>
  <c r="F3100" i="7"/>
  <c r="G3086" i="7"/>
  <c r="H3110" i="7"/>
  <c r="F3102" i="7"/>
  <c r="D3102" i="7"/>
  <c r="D3093" i="7"/>
  <c r="F3111" i="7"/>
  <c r="U3111" i="7" s="1"/>
  <c r="D3111" i="7"/>
  <c r="J3094" i="7"/>
  <c r="J3092" i="7"/>
  <c r="J3097" i="7"/>
  <c r="J3093" i="7"/>
  <c r="N3040" i="7"/>
  <c r="U3067" i="7"/>
  <c r="L3067" i="7"/>
  <c r="N3067" i="7" s="1"/>
  <c r="AA6679" i="7"/>
  <c r="L6739" i="7"/>
  <c r="AA6680" i="7"/>
  <c r="N6703" i="7"/>
  <c r="P6703" i="7" s="1"/>
  <c r="R6703" i="7" s="1"/>
  <c r="N6711" i="7"/>
  <c r="AA6665" i="7"/>
  <c r="AA6662" i="7" s="1"/>
  <c r="AA6681" i="7"/>
  <c r="AA6634" i="7"/>
  <c r="AA6632" i="7"/>
  <c r="N6706" i="7"/>
  <c r="AA6706" i="7" s="1"/>
  <c r="N6709" i="7"/>
  <c r="W6736" i="7"/>
  <c r="W6740" i="7" s="1"/>
  <c r="N6695" i="7"/>
  <c r="P6695" i="7" s="1"/>
  <c r="R6695" i="7" s="1"/>
  <c r="L6740" i="7"/>
  <c r="L6741" i="7"/>
  <c r="AA6673" i="7"/>
  <c r="AA6671" i="7" s="1"/>
  <c r="N6707" i="7"/>
  <c r="AA6707" i="7" s="1"/>
  <c r="W6735" i="7"/>
  <c r="W6739" i="7" s="1"/>
  <c r="AA6582" i="7"/>
  <c r="AA6581" i="7"/>
  <c r="AA6580" i="7"/>
  <c r="N6710" i="7"/>
  <c r="W6737" i="7"/>
  <c r="W6741" i="7" s="1"/>
  <c r="J6754" i="7"/>
  <c r="J6757" i="7"/>
  <c r="J6753" i="7"/>
  <c r="J6752" i="7"/>
  <c r="AA6640" i="7"/>
  <c r="AA6641" i="7"/>
  <c r="AA6642" i="7"/>
  <c r="P6732" i="7"/>
  <c r="R6732" i="7" s="1"/>
  <c r="U6727" i="7"/>
  <c r="L6727" i="7"/>
  <c r="N6727" i="7" s="1"/>
  <c r="J6731" i="7"/>
  <c r="N6731" i="7" s="1"/>
  <c r="N6723" i="7"/>
  <c r="U6730" i="7"/>
  <c r="F6733" i="7"/>
  <c r="L6730" i="7"/>
  <c r="N6705" i="7"/>
  <c r="AA6705" i="7" s="1"/>
  <c r="Y6753" i="7"/>
  <c r="Y6757" i="7"/>
  <c r="Y6754" i="7"/>
  <c r="Y6755" i="7" s="1"/>
  <c r="Y6752" i="7"/>
  <c r="Y6766" i="7"/>
  <c r="Y6762" i="7"/>
  <c r="Y6763" i="7" s="1"/>
  <c r="Y6767" i="7"/>
  <c r="Y6765" i="7"/>
  <c r="Y6760" i="7"/>
  <c r="Y6761" i="7"/>
  <c r="Y6709" i="7"/>
  <c r="W6695" i="7"/>
  <c r="Y6710" i="7"/>
  <c r="Y6711" i="7"/>
  <c r="L6736" i="7"/>
  <c r="J6736" i="7"/>
  <c r="L6737" i="7"/>
  <c r="J6737" i="7"/>
  <c r="J6730" i="7"/>
  <c r="P6697" i="7"/>
  <c r="R6697" i="7" s="1"/>
  <c r="L6722" i="7"/>
  <c r="N6722" i="7" s="1"/>
  <c r="F6725" i="7"/>
  <c r="U6722" i="7"/>
  <c r="L6724" i="7"/>
  <c r="N6724" i="7" s="1"/>
  <c r="U6724" i="7"/>
  <c r="U6725" i="7" s="1"/>
  <c r="J6732" i="7"/>
  <c r="P6730" i="7"/>
  <c r="R6730" i="7" s="1"/>
  <c r="D6733" i="7"/>
  <c r="W6733" i="7" s="1"/>
  <c r="P6731" i="7"/>
  <c r="R6731" i="7" s="1"/>
  <c r="B6812" i="7"/>
  <c r="B6817" i="7"/>
  <c r="B6835" i="7"/>
  <c r="B6813" i="7"/>
  <c r="B6830" i="7"/>
  <c r="B6825" i="7"/>
  <c r="B6829" i="7"/>
  <c r="B6831" i="7"/>
  <c r="B6826" i="7"/>
  <c r="B6815" i="7"/>
  <c r="B6820" i="7"/>
  <c r="B6821" i="7"/>
  <c r="B6814" i="7"/>
  <c r="B6822" i="7"/>
  <c r="B6827" i="7"/>
  <c r="B6823" i="7"/>
  <c r="U6732" i="7"/>
  <c r="U6733" i="7" s="1"/>
  <c r="L6732" i="7"/>
  <c r="D6725" i="7"/>
  <c r="P6722" i="7"/>
  <c r="R6722" i="7" s="1"/>
  <c r="A6826" i="7"/>
  <c r="A6835" i="7"/>
  <c r="A6830" i="7"/>
  <c r="A6821" i="7"/>
  <c r="A6815" i="7"/>
  <c r="A6812" i="7"/>
  <c r="A6817" i="7"/>
  <c r="A6813" i="7"/>
  <c r="A6814" i="7"/>
  <c r="C6805" i="7"/>
  <c r="A6829" i="7"/>
  <c r="A6827" i="7"/>
  <c r="A6822" i="7"/>
  <c r="A6823" i="7"/>
  <c r="A6820" i="7"/>
  <c r="A6825" i="7"/>
  <c r="A6831" i="7"/>
  <c r="AA6667" i="7"/>
  <c r="J6735" i="7"/>
  <c r="L6735" i="7"/>
  <c r="J6739" i="7"/>
  <c r="J6741" i="7"/>
  <c r="J6740" i="7"/>
  <c r="D6781" i="7"/>
  <c r="D6778" i="7"/>
  <c r="D6780" i="7"/>
  <c r="D6775" i="7"/>
  <c r="D6777" i="7"/>
  <c r="D6779" i="7"/>
  <c r="D6770" i="7"/>
  <c r="F6757" i="7"/>
  <c r="F6771" i="7"/>
  <c r="U6771" i="7" s="1"/>
  <c r="D6746" i="7"/>
  <c r="F6766" i="7"/>
  <c r="U6766" i="7" s="1"/>
  <c r="H6767" i="7"/>
  <c r="D6752" i="7"/>
  <c r="H6765" i="7"/>
  <c r="G6746" i="7"/>
  <c r="F6767" i="7"/>
  <c r="U6767" i="7" s="1"/>
  <c r="F6765" i="7"/>
  <c r="U6765" i="7" s="1"/>
  <c r="D6765" i="7"/>
  <c r="H6766" i="7"/>
  <c r="F6754" i="7"/>
  <c r="D6762" i="7"/>
  <c r="D6754" i="7"/>
  <c r="F6770" i="7"/>
  <c r="U6770" i="7" s="1"/>
  <c r="D6761" i="7"/>
  <c r="F6752" i="7"/>
  <c r="D6766" i="7"/>
  <c r="H6769" i="7"/>
  <c r="F6760" i="7"/>
  <c r="D6753" i="7"/>
  <c r="H6770" i="7"/>
  <c r="F6769" i="7"/>
  <c r="U6769" i="7" s="1"/>
  <c r="H6771" i="7"/>
  <c r="F6761" i="7"/>
  <c r="U6761" i="7" s="1"/>
  <c r="D6757" i="7"/>
  <c r="W6757" i="7" s="1"/>
  <c r="D6767" i="7"/>
  <c r="D6769" i="7"/>
  <c r="F6762" i="7"/>
  <c r="F6753" i="7"/>
  <c r="U6753" i="7" s="1"/>
  <c r="D6771" i="7"/>
  <c r="D6760" i="7"/>
  <c r="P6723" i="7"/>
  <c r="R6723" i="7" s="1"/>
  <c r="P6724" i="7"/>
  <c r="R6724" i="7" s="1"/>
  <c r="AA3051" i="7" l="1"/>
  <c r="AA3050" i="7"/>
  <c r="AA3049" i="7"/>
  <c r="AA3013" i="7"/>
  <c r="AA3011" i="7" s="1"/>
  <c r="W3106" i="7"/>
  <c r="W3110" i="7" s="1"/>
  <c r="N3081" i="7"/>
  <c r="N3080" i="7"/>
  <c r="N3079" i="7"/>
  <c r="L3110" i="7"/>
  <c r="L3111" i="7"/>
  <c r="N3065" i="7"/>
  <c r="P3065" i="7" s="1"/>
  <c r="R3065" i="7" s="1"/>
  <c r="L3109" i="7"/>
  <c r="N3043" i="7"/>
  <c r="P3043" i="7" s="1"/>
  <c r="R3043" i="7" s="1"/>
  <c r="AA3004" i="7"/>
  <c r="AA3003" i="7"/>
  <c r="N3075" i="7"/>
  <c r="AA3075" i="7" s="1"/>
  <c r="N3077" i="7"/>
  <c r="AA3077" i="7" s="1"/>
  <c r="W3105" i="7"/>
  <c r="W3109" i="7" s="1"/>
  <c r="W3107" i="7"/>
  <c r="W3111" i="7" s="1"/>
  <c r="N3072" i="7"/>
  <c r="P3102" i="7"/>
  <c r="R3102" i="7" s="1"/>
  <c r="P3093" i="7"/>
  <c r="R3093" i="7" s="1"/>
  <c r="N3076" i="7"/>
  <c r="AA3076" i="7" s="1"/>
  <c r="P3067" i="7"/>
  <c r="R3067" i="7" s="1"/>
  <c r="L3106" i="7"/>
  <c r="J3106" i="7"/>
  <c r="L3097" i="7"/>
  <c r="N3097" i="7" s="1"/>
  <c r="U3097" i="7"/>
  <c r="F3139" i="7"/>
  <c r="U3139" i="7" s="1"/>
  <c r="D3127" i="7"/>
  <c r="W3127" i="7" s="1"/>
  <c r="D3139" i="7"/>
  <c r="F3123" i="7"/>
  <c r="U3123" i="7" s="1"/>
  <c r="H3140" i="7"/>
  <c r="H3135" i="7"/>
  <c r="D3130" i="7"/>
  <c r="F3131" i="7"/>
  <c r="U3131" i="7" s="1"/>
  <c r="F3124" i="7"/>
  <c r="G3116" i="7"/>
  <c r="D3140" i="7"/>
  <c r="F3137" i="7"/>
  <c r="U3137" i="7" s="1"/>
  <c r="H3141" i="7"/>
  <c r="F3132" i="7"/>
  <c r="H3137" i="7"/>
  <c r="F3127" i="7"/>
  <c r="D3137" i="7"/>
  <c r="D3124" i="7"/>
  <c r="D3131" i="7"/>
  <c r="F3122" i="7"/>
  <c r="H3139" i="7"/>
  <c r="D3122" i="7"/>
  <c r="D3116" i="7"/>
  <c r="F3141" i="7"/>
  <c r="U3141" i="7" s="1"/>
  <c r="D3135" i="7"/>
  <c r="D3141" i="7"/>
  <c r="F3140" i="7"/>
  <c r="U3140" i="7" s="1"/>
  <c r="F3130" i="7"/>
  <c r="D3136" i="7"/>
  <c r="F3135" i="7"/>
  <c r="U3135" i="7" s="1"/>
  <c r="D3123" i="7"/>
  <c r="D3132" i="7"/>
  <c r="H3136" i="7"/>
  <c r="F3136" i="7"/>
  <c r="U3136" i="7" s="1"/>
  <c r="U3102" i="7"/>
  <c r="U3103" i="7" s="1"/>
  <c r="L3102" i="7"/>
  <c r="D3103" i="7"/>
  <c r="W3103" i="7" s="1"/>
  <c r="P3100" i="7"/>
  <c r="R3100" i="7" s="1"/>
  <c r="AA3035" i="7"/>
  <c r="Y3131" i="7"/>
  <c r="Y3136" i="7"/>
  <c r="Y3122" i="7"/>
  <c r="Y3123" i="7"/>
  <c r="Y3135" i="7"/>
  <c r="Y3132" i="7"/>
  <c r="Y3133" i="7" s="1"/>
  <c r="Y3124" i="7"/>
  <c r="Y3125" i="7" s="1"/>
  <c r="Y3127" i="7"/>
  <c r="Y3137" i="7"/>
  <c r="Y3130" i="7"/>
  <c r="A3191" i="7"/>
  <c r="A3184" i="7"/>
  <c r="C3175" i="7"/>
  <c r="A3201" i="7"/>
  <c r="A3196" i="7"/>
  <c r="A3192" i="7"/>
  <c r="A3185" i="7"/>
  <c r="A3183" i="7"/>
  <c r="A3205" i="7"/>
  <c r="A3195" i="7"/>
  <c r="A3200" i="7"/>
  <c r="A3193" i="7"/>
  <c r="A3182" i="7"/>
  <c r="A3197" i="7"/>
  <c r="A3190" i="7"/>
  <c r="A3199" i="7"/>
  <c r="A3187" i="7"/>
  <c r="Y3079" i="7"/>
  <c r="Y3080" i="7"/>
  <c r="AA3080" i="7" s="1"/>
  <c r="W3065" i="7"/>
  <c r="Y3081" i="7"/>
  <c r="L3094" i="7"/>
  <c r="N3094" i="7" s="1"/>
  <c r="U3094" i="7"/>
  <c r="U3095" i="7" s="1"/>
  <c r="U3100" i="7"/>
  <c r="F3103" i="7"/>
  <c r="L3100" i="7"/>
  <c r="D3150" i="7"/>
  <c r="D3145" i="7"/>
  <c r="D3151" i="7"/>
  <c r="D3149" i="7"/>
  <c r="D3148" i="7"/>
  <c r="D3147" i="7"/>
  <c r="J3107" i="7"/>
  <c r="L3107" i="7"/>
  <c r="J3101" i="7"/>
  <c r="N3101" i="7" s="1"/>
  <c r="N3093" i="7"/>
  <c r="P3101" i="7"/>
  <c r="R3101" i="7" s="1"/>
  <c r="J3100" i="7"/>
  <c r="AA3037" i="7"/>
  <c r="J3111" i="7"/>
  <c r="J3109" i="7"/>
  <c r="J3110" i="7"/>
  <c r="N3070" i="7"/>
  <c r="D3095" i="7"/>
  <c r="P3092" i="7"/>
  <c r="R3092" i="7" s="1"/>
  <c r="J3102" i="7"/>
  <c r="J3105" i="7"/>
  <c r="L3105" i="7"/>
  <c r="B3191" i="7"/>
  <c r="B3184" i="7"/>
  <c r="B3205" i="7"/>
  <c r="B3197" i="7"/>
  <c r="B3201" i="7"/>
  <c r="B3190" i="7"/>
  <c r="B3199" i="7"/>
  <c r="B3196" i="7"/>
  <c r="B3183" i="7"/>
  <c r="B3200" i="7"/>
  <c r="B3193" i="7"/>
  <c r="B3185" i="7"/>
  <c r="B3182" i="7"/>
  <c r="B3195" i="7"/>
  <c r="B3192" i="7"/>
  <c r="B3187" i="7"/>
  <c r="P3094" i="7"/>
  <c r="R3094" i="7" s="1"/>
  <c r="U3092" i="7"/>
  <c r="F3095" i="7"/>
  <c r="L3092" i="7"/>
  <c r="N3092" i="7" s="1"/>
  <c r="J3123" i="7"/>
  <c r="J3127" i="7"/>
  <c r="J3124" i="7"/>
  <c r="J3122" i="7"/>
  <c r="N6739" i="7"/>
  <c r="AA6695" i="7"/>
  <c r="AA6694" i="7" s="1"/>
  <c r="AA6711" i="7"/>
  <c r="N6740" i="7"/>
  <c r="N6741" i="7"/>
  <c r="AA6672" i="7"/>
  <c r="AA6663" i="7"/>
  <c r="AA6664" i="7"/>
  <c r="AA6709" i="7"/>
  <c r="AA6670" i="7"/>
  <c r="L6769" i="7"/>
  <c r="P6754" i="7"/>
  <c r="R6754" i="7" s="1"/>
  <c r="N6730" i="7"/>
  <c r="N6737" i="7"/>
  <c r="AA6737" i="7" s="1"/>
  <c r="AA6697" i="7"/>
  <c r="AA6710" i="7"/>
  <c r="N6725" i="7"/>
  <c r="P6725" i="7" s="1"/>
  <c r="R6725" i="7" s="1"/>
  <c r="L6770" i="7"/>
  <c r="W6766" i="7"/>
  <c r="W6770" i="7" s="1"/>
  <c r="L6771" i="7"/>
  <c r="AA6703" i="7"/>
  <c r="AA6701" i="7" s="1"/>
  <c r="L6766" i="7"/>
  <c r="J6766" i="7"/>
  <c r="J6770" i="7"/>
  <c r="J6771" i="7"/>
  <c r="J6769" i="7"/>
  <c r="U6752" i="7"/>
  <c r="L6752" i="7"/>
  <c r="N6752" i="7" s="1"/>
  <c r="F6755" i="7"/>
  <c r="N6735" i="7"/>
  <c r="AA6735" i="7" s="1"/>
  <c r="P6761" i="7"/>
  <c r="R6761" i="7" s="1"/>
  <c r="U6762" i="7"/>
  <c r="U6763" i="7" s="1"/>
  <c r="L6762" i="7"/>
  <c r="P6762" i="7"/>
  <c r="R6762" i="7" s="1"/>
  <c r="J6783" i="7"/>
  <c r="J6782" i="7"/>
  <c r="J6790" i="7" s="1"/>
  <c r="J6787" i="7"/>
  <c r="J6784" i="7"/>
  <c r="J6792" i="7" s="1"/>
  <c r="U6754" i="7"/>
  <c r="U6755" i="7" s="1"/>
  <c r="L6754" i="7"/>
  <c r="N6754" i="7" s="1"/>
  <c r="D6787" i="7"/>
  <c r="W6787" i="7" s="1"/>
  <c r="D6783" i="7"/>
  <c r="F6783" i="7"/>
  <c r="U6783" i="7" s="1"/>
  <c r="D6795" i="7"/>
  <c r="H6800" i="7"/>
  <c r="D6784" i="7"/>
  <c r="H6801" i="7"/>
  <c r="F6801" i="7"/>
  <c r="U6801" i="7" s="1"/>
  <c r="D6790" i="7"/>
  <c r="F6799" i="7"/>
  <c r="U6799" i="7" s="1"/>
  <c r="D6799" i="7"/>
  <c r="H6795" i="7"/>
  <c r="F6800" i="7"/>
  <c r="U6800" i="7" s="1"/>
  <c r="D6792" i="7"/>
  <c r="F6795" i="7"/>
  <c r="U6795" i="7" s="1"/>
  <c r="F6792" i="7"/>
  <c r="G6776" i="7"/>
  <c r="F6790" i="7"/>
  <c r="F6797" i="7"/>
  <c r="U6797" i="7" s="1"/>
  <c r="F6784" i="7"/>
  <c r="F6791" i="7"/>
  <c r="U6791" i="7" s="1"/>
  <c r="D6797" i="7"/>
  <c r="F6782" i="7"/>
  <c r="D6782" i="7"/>
  <c r="H6799" i="7"/>
  <c r="D6801" i="7"/>
  <c r="D6800" i="7"/>
  <c r="H6797" i="7"/>
  <c r="H6796" i="7"/>
  <c r="D6776" i="7"/>
  <c r="F6796" i="7"/>
  <c r="U6796" i="7" s="1"/>
  <c r="D6796" i="7"/>
  <c r="D6791" i="7"/>
  <c r="F6787" i="7"/>
  <c r="W6725" i="7"/>
  <c r="Y6740" i="7"/>
  <c r="Y6739" i="7"/>
  <c r="Y6741" i="7"/>
  <c r="B6852" i="7"/>
  <c r="B6857" i="7"/>
  <c r="B6865" i="7"/>
  <c r="B6856" i="7"/>
  <c r="B6847" i="7"/>
  <c r="B6859" i="7"/>
  <c r="B6843" i="7"/>
  <c r="B6861" i="7"/>
  <c r="B6850" i="7"/>
  <c r="B6851" i="7"/>
  <c r="B6844" i="7"/>
  <c r="B6845" i="7"/>
  <c r="B6853" i="7"/>
  <c r="B6860" i="7"/>
  <c r="B6855" i="7"/>
  <c r="B6842" i="7"/>
  <c r="U6757" i="7"/>
  <c r="L6757" i="7"/>
  <c r="N6757" i="7" s="1"/>
  <c r="P6727" i="7"/>
  <c r="R6727" i="7" s="1"/>
  <c r="L6767" i="7"/>
  <c r="J6767" i="7"/>
  <c r="A6850" i="7"/>
  <c r="A6860" i="7"/>
  <c r="A6851" i="7"/>
  <c r="A6853" i="7"/>
  <c r="A6855" i="7"/>
  <c r="A6847" i="7"/>
  <c r="A6859" i="7"/>
  <c r="A6852" i="7"/>
  <c r="A6857" i="7"/>
  <c r="A6842" i="7"/>
  <c r="A6844" i="7"/>
  <c r="A6865" i="7"/>
  <c r="A6843" i="7"/>
  <c r="C6835" i="7"/>
  <c r="A6845" i="7"/>
  <c r="A6856" i="7"/>
  <c r="A6861" i="7"/>
  <c r="Y6784" i="7"/>
  <c r="Y6785" i="7" s="1"/>
  <c r="Y6791" i="7"/>
  <c r="Y6783" i="7"/>
  <c r="Y6795" i="7"/>
  <c r="Y6796" i="7"/>
  <c r="Y6787" i="7"/>
  <c r="Y6797" i="7"/>
  <c r="Y6792" i="7"/>
  <c r="Y6793" i="7" s="1"/>
  <c r="Y6782" i="7"/>
  <c r="Y6790" i="7"/>
  <c r="W6765" i="7"/>
  <c r="W6769" i="7" s="1"/>
  <c r="L6765" i="7"/>
  <c r="J6765" i="7"/>
  <c r="D6805" i="7"/>
  <c r="D6809" i="7"/>
  <c r="D6807" i="7"/>
  <c r="D6810" i="7"/>
  <c r="D6811" i="7"/>
  <c r="D6808" i="7"/>
  <c r="N6736" i="7"/>
  <c r="AA6736" i="7" s="1"/>
  <c r="W6767" i="7"/>
  <c r="W6771" i="7" s="1"/>
  <c r="J6760" i="7"/>
  <c r="J6761" i="7"/>
  <c r="N6761" i="7" s="1"/>
  <c r="N6753" i="7"/>
  <c r="P6753" i="7"/>
  <c r="R6753" i="7" s="1"/>
  <c r="D6755" i="7"/>
  <c r="P6752" i="7"/>
  <c r="R6752" i="7" s="1"/>
  <c r="D6763" i="7"/>
  <c r="W6763" i="7" s="1"/>
  <c r="P6760" i="7"/>
  <c r="R6760" i="7" s="1"/>
  <c r="L6760" i="7"/>
  <c r="F6763" i="7"/>
  <c r="U6760" i="7"/>
  <c r="N6732" i="7"/>
  <c r="J6762" i="7"/>
  <c r="AA3081" i="7" l="1"/>
  <c r="AA3010" i="7"/>
  <c r="AA3012" i="7"/>
  <c r="AA3079" i="7"/>
  <c r="N3110" i="7"/>
  <c r="N3111" i="7"/>
  <c r="L3139" i="7"/>
  <c r="N3073" i="7"/>
  <c r="P3073" i="7" s="1"/>
  <c r="R3073" i="7" s="1"/>
  <c r="N3109" i="7"/>
  <c r="L3141" i="7"/>
  <c r="N3095" i="7"/>
  <c r="P3095" i="7" s="1"/>
  <c r="R3095" i="7" s="1"/>
  <c r="AA3043" i="7"/>
  <c r="AA3041" i="7" s="1"/>
  <c r="L3140" i="7"/>
  <c r="W3136" i="7"/>
  <c r="W3140" i="7" s="1"/>
  <c r="W3137" i="7"/>
  <c r="W3141" i="7" s="1"/>
  <c r="N3106" i="7"/>
  <c r="AA3106" i="7" s="1"/>
  <c r="W3135" i="7"/>
  <c r="W3139" i="7" s="1"/>
  <c r="AA3067" i="7"/>
  <c r="P3124" i="7"/>
  <c r="R3124" i="7" s="1"/>
  <c r="P3132" i="7"/>
  <c r="R3132" i="7" s="1"/>
  <c r="N3107" i="7"/>
  <c r="AA3107" i="7" s="1"/>
  <c r="P3097" i="7"/>
  <c r="R3097" i="7" s="1"/>
  <c r="J3141" i="7"/>
  <c r="J3140" i="7"/>
  <c r="J3139" i="7"/>
  <c r="AA3034" i="7"/>
  <c r="AA3033" i="7"/>
  <c r="AA3032" i="7"/>
  <c r="J3131" i="7"/>
  <c r="N3131" i="7" s="1"/>
  <c r="N3123" i="7"/>
  <c r="Y3165" i="7"/>
  <c r="Y3154" i="7"/>
  <c r="Y3155" i="7" s="1"/>
  <c r="Y3152" i="7"/>
  <c r="Y3162" i="7"/>
  <c r="Y3163" i="7" s="1"/>
  <c r="Y3160" i="7"/>
  <c r="Y3161" i="7"/>
  <c r="Y3166" i="7"/>
  <c r="Y3157" i="7"/>
  <c r="Y3167" i="7"/>
  <c r="Y3153" i="7"/>
  <c r="F3125" i="7"/>
  <c r="U3122" i="7"/>
  <c r="L3122" i="7"/>
  <c r="N3122" i="7" s="1"/>
  <c r="F3167" i="7"/>
  <c r="U3167" i="7" s="1"/>
  <c r="D3162" i="7"/>
  <c r="D3167" i="7"/>
  <c r="F3152" i="7"/>
  <c r="H3169" i="7"/>
  <c r="F3157" i="7"/>
  <c r="F3160" i="7"/>
  <c r="D3153" i="7"/>
  <c r="F3166" i="7"/>
  <c r="U3166" i="7" s="1"/>
  <c r="F3161" i="7"/>
  <c r="U3161" i="7" s="1"/>
  <c r="F3170" i="7"/>
  <c r="U3170" i="7" s="1"/>
  <c r="H3167" i="7"/>
  <c r="H3165" i="7"/>
  <c r="D3154" i="7"/>
  <c r="D3166" i="7"/>
  <c r="D3152" i="7"/>
  <c r="F3169" i="7"/>
  <c r="U3169" i="7" s="1"/>
  <c r="D3169" i="7"/>
  <c r="H3166" i="7"/>
  <c r="F3165" i="7"/>
  <c r="U3165" i="7" s="1"/>
  <c r="F3171" i="7"/>
  <c r="U3171" i="7" s="1"/>
  <c r="D3157" i="7"/>
  <c r="W3157" i="7" s="1"/>
  <c r="D3171" i="7"/>
  <c r="F3162" i="7"/>
  <c r="D3170" i="7"/>
  <c r="D3160" i="7"/>
  <c r="F3153" i="7"/>
  <c r="U3153" i="7" s="1"/>
  <c r="H3170" i="7"/>
  <c r="F3154" i="7"/>
  <c r="G3146" i="7"/>
  <c r="D3161" i="7"/>
  <c r="D3165" i="7"/>
  <c r="D3146" i="7"/>
  <c r="H3171" i="7"/>
  <c r="P3131" i="7"/>
  <c r="R3131" i="7" s="1"/>
  <c r="J3152" i="7"/>
  <c r="J3157" i="7"/>
  <c r="J3154" i="7"/>
  <c r="J3153" i="7"/>
  <c r="D3175" i="7"/>
  <c r="D3178" i="7"/>
  <c r="D3181" i="7"/>
  <c r="D3179" i="7"/>
  <c r="D3180" i="7"/>
  <c r="D3177" i="7"/>
  <c r="N3105" i="7"/>
  <c r="AA3105" i="7" s="1"/>
  <c r="P3123" i="7"/>
  <c r="R3123" i="7" s="1"/>
  <c r="A3213" i="7"/>
  <c r="A3220" i="7"/>
  <c r="A3230" i="7"/>
  <c r="A3225" i="7"/>
  <c r="A3212" i="7"/>
  <c r="A3222" i="7"/>
  <c r="A3229" i="7"/>
  <c r="A3226" i="7"/>
  <c r="A3214" i="7"/>
  <c r="A3223" i="7"/>
  <c r="A3217" i="7"/>
  <c r="A3215" i="7"/>
  <c r="A3235" i="7"/>
  <c r="A3265" i="7" s="1"/>
  <c r="A3231" i="7"/>
  <c r="C3205" i="7"/>
  <c r="A3227" i="7"/>
  <c r="A3221" i="7"/>
  <c r="U3132" i="7"/>
  <c r="U3133" i="7" s="1"/>
  <c r="L3132" i="7"/>
  <c r="D3125" i="7"/>
  <c r="P3122" i="7"/>
  <c r="R3122" i="7" s="1"/>
  <c r="L3127" i="7"/>
  <c r="N3127" i="7" s="1"/>
  <c r="U3127" i="7"/>
  <c r="J3136" i="7"/>
  <c r="L3136" i="7"/>
  <c r="L3130" i="7"/>
  <c r="U3130" i="7"/>
  <c r="F3133" i="7"/>
  <c r="J3130" i="7"/>
  <c r="W3095" i="7"/>
  <c r="Y3109" i="7"/>
  <c r="Y3110" i="7"/>
  <c r="AA3110" i="7" s="1"/>
  <c r="Y3111" i="7"/>
  <c r="D3133" i="7"/>
  <c r="W3133" i="7" s="1"/>
  <c r="P3130" i="7"/>
  <c r="R3130" i="7" s="1"/>
  <c r="B3220" i="7"/>
  <c r="B3231" i="7"/>
  <c r="B3226" i="7"/>
  <c r="B3225" i="7"/>
  <c r="B3215" i="7"/>
  <c r="B3213" i="7"/>
  <c r="B3229" i="7"/>
  <c r="B3222" i="7"/>
  <c r="B3214" i="7"/>
  <c r="B3230" i="7"/>
  <c r="B3217" i="7"/>
  <c r="B3223" i="7"/>
  <c r="B3235" i="7"/>
  <c r="B3265" i="7" s="1"/>
  <c r="B3212" i="7"/>
  <c r="B3227" i="7"/>
  <c r="B3221" i="7"/>
  <c r="N3100" i="7"/>
  <c r="J3137" i="7"/>
  <c r="L3137" i="7"/>
  <c r="N3102" i="7"/>
  <c r="J3132" i="7"/>
  <c r="AA3065" i="7"/>
  <c r="L3135" i="7"/>
  <c r="J3135" i="7"/>
  <c r="U3124" i="7"/>
  <c r="U3125" i="7" s="1"/>
  <c r="L3124" i="7"/>
  <c r="N3124" i="7" s="1"/>
  <c r="AA6739" i="7"/>
  <c r="AA6740" i="7"/>
  <c r="AA6693" i="7"/>
  <c r="AA6692" i="7"/>
  <c r="AA6741" i="7"/>
  <c r="N6733" i="7"/>
  <c r="P6733" i="7" s="1"/>
  <c r="R6733" i="7" s="1"/>
  <c r="AA6733" i="7" s="1"/>
  <c r="AA6730" i="7" s="1"/>
  <c r="W6795" i="7"/>
  <c r="W6799" i="7" s="1"/>
  <c r="N6770" i="7"/>
  <c r="N6769" i="7"/>
  <c r="N6766" i="7"/>
  <c r="AA6766" i="7" s="1"/>
  <c r="N6755" i="7"/>
  <c r="P6755" i="7" s="1"/>
  <c r="R6755" i="7" s="1"/>
  <c r="P6784" i="7"/>
  <c r="R6784" i="7" s="1"/>
  <c r="L6799" i="7"/>
  <c r="W6797" i="7"/>
  <c r="W6801" i="7" s="1"/>
  <c r="AA6702" i="7"/>
  <c r="N6765" i="7"/>
  <c r="AA6765" i="7" s="1"/>
  <c r="N6771" i="7"/>
  <c r="AA6700" i="7"/>
  <c r="W6796" i="7"/>
  <c r="W6800" i="7" s="1"/>
  <c r="AA6727" i="7"/>
  <c r="L6801" i="7"/>
  <c r="L6800" i="7"/>
  <c r="P6757" i="7"/>
  <c r="R6757" i="7" s="1"/>
  <c r="N6767" i="7"/>
  <c r="AA6767" i="7" s="1"/>
  <c r="C6865" i="7"/>
  <c r="A6895" i="7"/>
  <c r="A6882" i="7"/>
  <c r="A6872" i="7"/>
  <c r="A6886" i="7"/>
  <c r="A6883" i="7"/>
  <c r="A6889" i="7"/>
  <c r="A6875" i="7"/>
  <c r="A6874" i="7"/>
  <c r="A6877" i="7"/>
  <c r="A6873" i="7"/>
  <c r="A6890" i="7"/>
  <c r="A6885" i="7"/>
  <c r="A6880" i="7"/>
  <c r="A6881" i="7"/>
  <c r="A6887" i="7"/>
  <c r="A6891" i="7"/>
  <c r="N6783" i="7"/>
  <c r="J6791" i="7"/>
  <c r="N6791" i="7" s="1"/>
  <c r="U6782" i="7"/>
  <c r="F6785" i="7"/>
  <c r="L6782" i="7"/>
  <c r="N6782" i="7" s="1"/>
  <c r="L6797" i="7"/>
  <c r="J6797" i="7"/>
  <c r="P6790" i="7"/>
  <c r="R6790" i="7" s="1"/>
  <c r="D6793" i="7"/>
  <c r="W6793" i="7" s="1"/>
  <c r="Y6825" i="7"/>
  <c r="Y6821" i="7"/>
  <c r="Y6817" i="7"/>
  <c r="Y6827" i="7"/>
  <c r="Y6814" i="7"/>
  <c r="Y6815" i="7" s="1"/>
  <c r="Y6820" i="7"/>
  <c r="Y6813" i="7"/>
  <c r="Y6812" i="7"/>
  <c r="Y6826" i="7"/>
  <c r="Y6822" i="7"/>
  <c r="Y6823" i="7" s="1"/>
  <c r="L6784" i="7"/>
  <c r="N6784" i="7" s="1"/>
  <c r="U6784" i="7"/>
  <c r="U6785" i="7" s="1"/>
  <c r="L6795" i="7"/>
  <c r="J6795" i="7"/>
  <c r="B6883" i="7"/>
  <c r="B6877" i="7"/>
  <c r="B6889" i="7"/>
  <c r="B6873" i="7"/>
  <c r="B6880" i="7"/>
  <c r="B6891" i="7"/>
  <c r="B6881" i="7"/>
  <c r="B6886" i="7"/>
  <c r="B6874" i="7"/>
  <c r="B6890" i="7"/>
  <c r="B6887" i="7"/>
  <c r="B6895" i="7"/>
  <c r="B6882" i="7"/>
  <c r="B6885" i="7"/>
  <c r="B6872" i="7"/>
  <c r="B6875" i="7"/>
  <c r="Y6771" i="7"/>
  <c r="Y6770" i="7"/>
  <c r="W6755" i="7"/>
  <c r="Y6769" i="7"/>
  <c r="P6782" i="7"/>
  <c r="R6782" i="7" s="1"/>
  <c r="D6785" i="7"/>
  <c r="N6762" i="7"/>
  <c r="J6813" i="7"/>
  <c r="J6814" i="7"/>
  <c r="J6817" i="7"/>
  <c r="J6812" i="7"/>
  <c r="J6820" i="7" s="1"/>
  <c r="AA6725" i="7"/>
  <c r="U6787" i="7"/>
  <c r="L6787" i="7"/>
  <c r="N6787" i="7" s="1"/>
  <c r="L6790" i="7"/>
  <c r="N6790" i="7" s="1"/>
  <c r="U6790" i="7"/>
  <c r="F6793" i="7"/>
  <c r="P6783" i="7"/>
  <c r="R6783" i="7" s="1"/>
  <c r="D6838" i="7"/>
  <c r="D6837" i="7"/>
  <c r="D6835" i="7"/>
  <c r="D6841" i="7"/>
  <c r="D6839" i="7"/>
  <c r="D6840" i="7"/>
  <c r="N6760" i="7"/>
  <c r="P6791" i="7"/>
  <c r="R6791" i="7" s="1"/>
  <c r="F6831" i="7"/>
  <c r="U6831" i="7" s="1"/>
  <c r="F6817" i="7"/>
  <c r="D6812" i="7"/>
  <c r="F6826" i="7"/>
  <c r="U6826" i="7" s="1"/>
  <c r="D6814" i="7"/>
  <c r="H6826" i="7"/>
  <c r="D6831" i="7"/>
  <c r="D6825" i="7"/>
  <c r="D6826" i="7"/>
  <c r="G6806" i="7"/>
  <c r="F6814" i="7"/>
  <c r="H6827" i="7"/>
  <c r="D6806" i="7"/>
  <c r="D6813" i="7"/>
  <c r="F6821" i="7"/>
  <c r="U6821" i="7" s="1"/>
  <c r="F6812" i="7"/>
  <c r="F6813" i="7"/>
  <c r="U6813" i="7" s="1"/>
  <c r="H6825" i="7"/>
  <c r="H6830" i="7"/>
  <c r="F6830" i="7"/>
  <c r="U6830" i="7" s="1"/>
  <c r="F6822" i="7"/>
  <c r="D6830" i="7"/>
  <c r="D6822" i="7"/>
  <c r="D6827" i="7"/>
  <c r="D6817" i="7"/>
  <c r="W6817" i="7" s="1"/>
  <c r="H6829" i="7"/>
  <c r="F6827" i="7"/>
  <c r="U6827" i="7" s="1"/>
  <c r="D6829" i="7"/>
  <c r="D6821" i="7"/>
  <c r="F6829" i="7"/>
  <c r="U6829" i="7" s="1"/>
  <c r="F6820" i="7"/>
  <c r="H6831" i="7"/>
  <c r="D6820" i="7"/>
  <c r="F6825" i="7"/>
  <c r="U6825" i="7" s="1"/>
  <c r="J6796" i="7"/>
  <c r="L6796" i="7"/>
  <c r="U6792" i="7"/>
  <c r="U6793" i="7" s="1"/>
  <c r="L6792" i="7"/>
  <c r="N6792" i="7" s="1"/>
  <c r="J6801" i="7"/>
  <c r="J6799" i="7"/>
  <c r="J6800" i="7"/>
  <c r="P6792" i="7"/>
  <c r="R6792" i="7" s="1"/>
  <c r="AA3111" i="7" l="1"/>
  <c r="AA3042" i="7"/>
  <c r="AA3040" i="7"/>
  <c r="N3139" i="7"/>
  <c r="AA3073" i="7"/>
  <c r="AA3072" i="7" s="1"/>
  <c r="L3169" i="7"/>
  <c r="AA3109" i="7"/>
  <c r="N3125" i="7"/>
  <c r="P3125" i="7" s="1"/>
  <c r="R3125" i="7" s="1"/>
  <c r="N3141" i="7"/>
  <c r="L3171" i="7"/>
  <c r="L3170" i="7"/>
  <c r="N3140" i="7"/>
  <c r="W3166" i="7"/>
  <c r="W3170" i="7" s="1"/>
  <c r="N3103" i="7"/>
  <c r="P3103" i="7" s="1"/>
  <c r="R3103" i="7" s="1"/>
  <c r="P3154" i="7"/>
  <c r="R3154" i="7" s="1"/>
  <c r="N3130" i="7"/>
  <c r="W3165" i="7"/>
  <c r="W3169" i="7" s="1"/>
  <c r="N3135" i="7"/>
  <c r="AA3135" i="7" s="1"/>
  <c r="AA3097" i="7"/>
  <c r="P3162" i="7"/>
  <c r="R3162" i="7" s="1"/>
  <c r="A3275" i="7"/>
  <c r="A3282" i="7"/>
  <c r="A3283" i="7"/>
  <c r="A3290" i="7"/>
  <c r="A3289" i="7"/>
  <c r="A3274" i="7"/>
  <c r="A3286" i="7"/>
  <c r="A3291" i="7"/>
  <c r="A3295" i="7"/>
  <c r="A3273" i="7"/>
  <c r="A3281" i="7"/>
  <c r="C3265" i="7"/>
  <c r="A3272" i="7"/>
  <c r="A3280" i="7"/>
  <c r="A3287" i="7"/>
  <c r="A3277" i="7"/>
  <c r="A3285" i="7"/>
  <c r="B3275" i="7"/>
  <c r="B3282" i="7"/>
  <c r="B3295" i="7"/>
  <c r="B3287" i="7"/>
  <c r="B3290" i="7"/>
  <c r="B3273" i="7"/>
  <c r="B3289" i="7"/>
  <c r="B3283" i="7"/>
  <c r="B3274" i="7"/>
  <c r="B3291" i="7"/>
  <c r="B3285" i="7"/>
  <c r="B3286" i="7"/>
  <c r="B3281" i="7"/>
  <c r="B3272" i="7"/>
  <c r="B3277" i="7"/>
  <c r="B3280" i="7"/>
  <c r="W3167" i="7"/>
  <c r="W3171" i="7" s="1"/>
  <c r="P3127" i="7"/>
  <c r="R3127" i="7" s="1"/>
  <c r="P3161" i="7"/>
  <c r="R3161" i="7" s="1"/>
  <c r="L3166" i="7"/>
  <c r="J3166" i="7"/>
  <c r="A3242" i="7"/>
  <c r="A3259" i="7"/>
  <c r="A3247" i="7"/>
  <c r="A3261" i="7"/>
  <c r="A3243" i="7"/>
  <c r="A3255" i="7"/>
  <c r="A3257" i="7"/>
  <c r="A3250" i="7"/>
  <c r="A3260" i="7"/>
  <c r="A3253" i="7"/>
  <c r="A3251" i="7"/>
  <c r="C3235" i="7"/>
  <c r="A3256" i="7"/>
  <c r="A3252" i="7"/>
  <c r="A3245" i="7"/>
  <c r="A3244" i="7"/>
  <c r="J3187" i="7"/>
  <c r="J3183" i="7"/>
  <c r="J3184" i="7"/>
  <c r="J3182" i="7"/>
  <c r="L3154" i="7"/>
  <c r="N3154" i="7" s="1"/>
  <c r="U3154" i="7"/>
  <c r="U3155" i="7" s="1"/>
  <c r="J3165" i="7"/>
  <c r="L3165" i="7"/>
  <c r="F3201" i="7"/>
  <c r="U3201" i="7" s="1"/>
  <c r="F3196" i="7"/>
  <c r="U3196" i="7" s="1"/>
  <c r="D3201" i="7"/>
  <c r="D3196" i="7"/>
  <c r="H3197" i="7"/>
  <c r="F3192" i="7"/>
  <c r="D3182" i="7"/>
  <c r="F3199" i="7"/>
  <c r="U3199" i="7" s="1"/>
  <c r="D3183" i="7"/>
  <c r="G3176" i="7"/>
  <c r="H3200" i="7"/>
  <c r="D3191" i="7"/>
  <c r="F3187" i="7"/>
  <c r="F3200" i="7"/>
  <c r="U3200" i="7" s="1"/>
  <c r="F3183" i="7"/>
  <c r="U3183" i="7" s="1"/>
  <c r="D3200" i="7"/>
  <c r="D3195" i="7"/>
  <c r="H3201" i="7"/>
  <c r="D3197" i="7"/>
  <c r="D3190" i="7"/>
  <c r="F3184" i="7"/>
  <c r="D3176" i="7"/>
  <c r="F3191" i="7"/>
  <c r="U3191" i="7" s="1"/>
  <c r="D3184" i="7"/>
  <c r="H3195" i="7"/>
  <c r="F3190" i="7"/>
  <c r="H3196" i="7"/>
  <c r="F3197" i="7"/>
  <c r="U3197" i="7" s="1"/>
  <c r="F3182" i="7"/>
  <c r="F3195" i="7"/>
  <c r="U3195" i="7" s="1"/>
  <c r="D3187" i="7"/>
  <c r="W3187" i="7" s="1"/>
  <c r="D3192" i="7"/>
  <c r="H3199" i="7"/>
  <c r="D3199" i="7"/>
  <c r="L3162" i="7"/>
  <c r="U3162" i="7"/>
  <c r="U3163" i="7" s="1"/>
  <c r="P3153" i="7"/>
  <c r="R3153" i="7" s="1"/>
  <c r="D3208" i="7"/>
  <c r="D3207" i="7"/>
  <c r="D3210" i="7"/>
  <c r="D3211" i="7"/>
  <c r="D3209" i="7"/>
  <c r="D3205" i="7"/>
  <c r="P3152" i="7"/>
  <c r="R3152" i="7" s="1"/>
  <c r="D3155" i="7"/>
  <c r="N3137" i="7"/>
  <c r="AA3137" i="7" s="1"/>
  <c r="J3170" i="7"/>
  <c r="J3169" i="7"/>
  <c r="J3171" i="7"/>
  <c r="N3136" i="7"/>
  <c r="AA3136" i="7" s="1"/>
  <c r="L3157" i="7"/>
  <c r="N3157" i="7" s="1"/>
  <c r="U3157" i="7"/>
  <c r="B3253" i="7"/>
  <c r="B3247" i="7"/>
  <c r="B3243" i="7"/>
  <c r="B3260" i="7"/>
  <c r="B3255" i="7"/>
  <c r="B3244" i="7"/>
  <c r="B3257" i="7"/>
  <c r="B3259" i="7"/>
  <c r="B3245" i="7"/>
  <c r="B3251" i="7"/>
  <c r="B3261" i="7"/>
  <c r="B3256" i="7"/>
  <c r="B3252" i="7"/>
  <c r="B3242" i="7"/>
  <c r="B3250" i="7"/>
  <c r="Y3141" i="7"/>
  <c r="Y3140" i="7"/>
  <c r="Y3139" i="7"/>
  <c r="AA3139" i="7" s="1"/>
  <c r="W3125" i="7"/>
  <c r="D3163" i="7"/>
  <c r="W3163" i="7" s="1"/>
  <c r="P3160" i="7"/>
  <c r="R3160" i="7" s="1"/>
  <c r="U3160" i="7"/>
  <c r="F3163" i="7"/>
  <c r="L3160" i="7"/>
  <c r="J3162" i="7"/>
  <c r="AA3063" i="7"/>
  <c r="AA3064" i="7"/>
  <c r="AA3062" i="7"/>
  <c r="J3160" i="7"/>
  <c r="L3152" i="7"/>
  <c r="N3152" i="7" s="1"/>
  <c r="U3152" i="7"/>
  <c r="F3155" i="7"/>
  <c r="AA3095" i="7"/>
  <c r="Y3190" i="7"/>
  <c r="Y3183" i="7"/>
  <c r="Y3191" i="7"/>
  <c r="Y3196" i="7"/>
  <c r="Y3197" i="7"/>
  <c r="Y3192" i="7"/>
  <c r="Y3193" i="7" s="1"/>
  <c r="Y3182" i="7"/>
  <c r="Y3184" i="7"/>
  <c r="Y3185" i="7" s="1"/>
  <c r="Y3187" i="7"/>
  <c r="Y3195" i="7"/>
  <c r="N3153" i="7"/>
  <c r="J3161" i="7"/>
  <c r="N3161" i="7" s="1"/>
  <c r="N3132" i="7"/>
  <c r="L3167" i="7"/>
  <c r="J3167" i="7"/>
  <c r="N6785" i="7"/>
  <c r="P6785" i="7" s="1"/>
  <c r="R6785" i="7" s="1"/>
  <c r="AA6771" i="7"/>
  <c r="AA6731" i="7"/>
  <c r="AA6732" i="7"/>
  <c r="AA6770" i="7"/>
  <c r="AA6769" i="7"/>
  <c r="N6801" i="7"/>
  <c r="N6799" i="7"/>
  <c r="N6800" i="7"/>
  <c r="L6831" i="7"/>
  <c r="N6797" i="7"/>
  <c r="AA6797" i="7" s="1"/>
  <c r="L6829" i="7"/>
  <c r="L6830" i="7"/>
  <c r="AA6757" i="7"/>
  <c r="W6827" i="7"/>
  <c r="W6831" i="7" s="1"/>
  <c r="N6793" i="7"/>
  <c r="P6793" i="7" s="1"/>
  <c r="R6793" i="7" s="1"/>
  <c r="P6821" i="7"/>
  <c r="R6821" i="7" s="1"/>
  <c r="N6763" i="7"/>
  <c r="P6813" i="7"/>
  <c r="R6813" i="7" s="1"/>
  <c r="Y6857" i="7"/>
  <c r="Y6847" i="7"/>
  <c r="Y6844" i="7"/>
  <c r="Y6845" i="7" s="1"/>
  <c r="Y6852" i="7"/>
  <c r="Y6853" i="7" s="1"/>
  <c r="Y6842" i="7"/>
  <c r="Y6855" i="7"/>
  <c r="Y6856" i="7"/>
  <c r="Y6851" i="7"/>
  <c r="Y6843" i="7"/>
  <c r="Y6850" i="7"/>
  <c r="Y6800" i="7"/>
  <c r="Y6799" i="7"/>
  <c r="W6785" i="7"/>
  <c r="Y6801" i="7"/>
  <c r="J6844" i="7"/>
  <c r="J6852" i="7" s="1"/>
  <c r="J6842" i="7"/>
  <c r="J6850" i="7" s="1"/>
  <c r="J6847" i="7"/>
  <c r="J6843" i="7"/>
  <c r="P6822" i="7"/>
  <c r="R6822" i="7" s="1"/>
  <c r="A6911" i="7"/>
  <c r="A6913" i="7"/>
  <c r="A6910" i="7"/>
  <c r="A6921" i="7"/>
  <c r="A6905" i="7"/>
  <c r="A6904" i="7"/>
  <c r="A6925" i="7"/>
  <c r="A6902" i="7"/>
  <c r="A6920" i="7"/>
  <c r="A6919" i="7"/>
  <c r="A6916" i="7"/>
  <c r="A6912" i="7"/>
  <c r="A6917" i="7"/>
  <c r="A6907" i="7"/>
  <c r="C6895" i="7"/>
  <c r="A6915" i="7"/>
  <c r="A6903" i="7"/>
  <c r="D6867" i="7"/>
  <c r="D6865" i="7"/>
  <c r="D6868" i="7"/>
  <c r="D6871" i="7"/>
  <c r="D6870" i="7"/>
  <c r="D6869" i="7"/>
  <c r="J6831" i="7"/>
  <c r="J6829" i="7"/>
  <c r="J6830" i="7"/>
  <c r="J6827" i="7"/>
  <c r="L6827" i="7"/>
  <c r="L6822" i="7"/>
  <c r="U6822" i="7"/>
  <c r="U6823" i="7" s="1"/>
  <c r="P6814" i="7"/>
  <c r="R6814" i="7" s="1"/>
  <c r="N6795" i="7"/>
  <c r="AA6795" i="7" s="1"/>
  <c r="U6814" i="7"/>
  <c r="U6815" i="7" s="1"/>
  <c r="L6814" i="7"/>
  <c r="N6814" i="7" s="1"/>
  <c r="P6787" i="7"/>
  <c r="R6787" i="7" s="1"/>
  <c r="N6796" i="7"/>
  <c r="AA6796" i="7" s="1"/>
  <c r="P6812" i="7"/>
  <c r="R6812" i="7" s="1"/>
  <c r="D6815" i="7"/>
  <c r="U6817" i="7"/>
  <c r="L6817" i="7"/>
  <c r="N6817" i="7" s="1"/>
  <c r="AA6722" i="7"/>
  <c r="AA6723" i="7"/>
  <c r="AA6724" i="7"/>
  <c r="W6826" i="7"/>
  <c r="W6830" i="7" s="1"/>
  <c r="L6826" i="7"/>
  <c r="J6826" i="7"/>
  <c r="J6825" i="7"/>
  <c r="L6825" i="7"/>
  <c r="P6820" i="7"/>
  <c r="R6820" i="7" s="1"/>
  <c r="D6823" i="7"/>
  <c r="W6823" i="7" s="1"/>
  <c r="B6919" i="7"/>
  <c r="B6904" i="7"/>
  <c r="B6903" i="7"/>
  <c r="B6925" i="7"/>
  <c r="B6917" i="7"/>
  <c r="B6902" i="7"/>
  <c r="B6910" i="7"/>
  <c r="B6920" i="7"/>
  <c r="B6911" i="7"/>
  <c r="B6921" i="7"/>
  <c r="B6905" i="7"/>
  <c r="B6912" i="7"/>
  <c r="B6916" i="7"/>
  <c r="B6915" i="7"/>
  <c r="B6913" i="7"/>
  <c r="B6907" i="7"/>
  <c r="W6825" i="7"/>
  <c r="W6829" i="7" s="1"/>
  <c r="D6860" i="7"/>
  <c r="F6842" i="7"/>
  <c r="F6851" i="7"/>
  <c r="U6851" i="7" s="1"/>
  <c r="F6850" i="7"/>
  <c r="F6844" i="7"/>
  <c r="D6842" i="7"/>
  <c r="D6861" i="7"/>
  <c r="D6859" i="7"/>
  <c r="F6860" i="7"/>
  <c r="U6860" i="7" s="1"/>
  <c r="D6855" i="7"/>
  <c r="H6859" i="7"/>
  <c r="D6856" i="7"/>
  <c r="D6843" i="7"/>
  <c r="D6852" i="7"/>
  <c r="G6836" i="7"/>
  <c r="F6859" i="7"/>
  <c r="U6859" i="7" s="1"/>
  <c r="D6844" i="7"/>
  <c r="H6860" i="7"/>
  <c r="F6856" i="7"/>
  <c r="U6856" i="7" s="1"/>
  <c r="H6857" i="7"/>
  <c r="F6857" i="7"/>
  <c r="U6857" i="7" s="1"/>
  <c r="F6855" i="7"/>
  <c r="U6855" i="7" s="1"/>
  <c r="H6861" i="7"/>
  <c r="F6852" i="7"/>
  <c r="H6856" i="7"/>
  <c r="D6850" i="7"/>
  <c r="D6851" i="7"/>
  <c r="F6843" i="7"/>
  <c r="U6843" i="7" s="1"/>
  <c r="D6836" i="7"/>
  <c r="F6847" i="7"/>
  <c r="F6861" i="7"/>
  <c r="U6861" i="7" s="1"/>
  <c r="D6857" i="7"/>
  <c r="D6847" i="7"/>
  <c r="W6847" i="7" s="1"/>
  <c r="H6855" i="7"/>
  <c r="F6815" i="7"/>
  <c r="L6812" i="7"/>
  <c r="N6812" i="7" s="1"/>
  <c r="U6812" i="7"/>
  <c r="N6813" i="7"/>
  <c r="J6821" i="7"/>
  <c r="N6821" i="7" s="1"/>
  <c r="U6820" i="7"/>
  <c r="L6820" i="7"/>
  <c r="N6820" i="7" s="1"/>
  <c r="F6823" i="7"/>
  <c r="J6822" i="7"/>
  <c r="AA6755" i="7"/>
  <c r="AA3071" i="7" l="1"/>
  <c r="AA3141" i="7"/>
  <c r="AA3070" i="7"/>
  <c r="N3169" i="7"/>
  <c r="N3171" i="7"/>
  <c r="AA3140" i="7"/>
  <c r="L3201" i="7"/>
  <c r="L3200" i="7"/>
  <c r="N3170" i="7"/>
  <c r="AA3103" i="7"/>
  <c r="AA3101" i="7" s="1"/>
  <c r="W3195" i="7"/>
  <c r="W3199" i="7" s="1"/>
  <c r="L3199" i="7"/>
  <c r="N3155" i="7"/>
  <c r="P3155" i="7" s="1"/>
  <c r="R3155" i="7" s="1"/>
  <c r="N3133" i="7"/>
  <c r="P3133" i="7" s="1"/>
  <c r="R3133" i="7" s="1"/>
  <c r="N3167" i="7"/>
  <c r="AA3167" i="7" s="1"/>
  <c r="N3160" i="7"/>
  <c r="P3191" i="7"/>
  <c r="R3191" i="7" s="1"/>
  <c r="D3268" i="7"/>
  <c r="D3267" i="7"/>
  <c r="D3271" i="7"/>
  <c r="D3270" i="7"/>
  <c r="D3265" i="7"/>
  <c r="D3269" i="7"/>
  <c r="A3311" i="7"/>
  <c r="A3304" i="7"/>
  <c r="C3295" i="7"/>
  <c r="A3315" i="7"/>
  <c r="A3312" i="7"/>
  <c r="A3319" i="7"/>
  <c r="A3302" i="7"/>
  <c r="A3316" i="7"/>
  <c r="A3313" i="7"/>
  <c r="A3321" i="7"/>
  <c r="A3307" i="7"/>
  <c r="A3305" i="7"/>
  <c r="A3310" i="7"/>
  <c r="A3320" i="7"/>
  <c r="A3317" i="7"/>
  <c r="A3325" i="7"/>
  <c r="A3303" i="7"/>
  <c r="B3311" i="7"/>
  <c r="B3304" i="7"/>
  <c r="B3321" i="7"/>
  <c r="B3316" i="7"/>
  <c r="B3312" i="7"/>
  <c r="B3319" i="7"/>
  <c r="B3302" i="7"/>
  <c r="B3313" i="7"/>
  <c r="B3307" i="7"/>
  <c r="B3305" i="7"/>
  <c r="B3303" i="7"/>
  <c r="B3315" i="7"/>
  <c r="B3310" i="7"/>
  <c r="B3320" i="7"/>
  <c r="B3317" i="7"/>
  <c r="B3325" i="7"/>
  <c r="P3183" i="7"/>
  <c r="R3183" i="7" s="1"/>
  <c r="N3166" i="7"/>
  <c r="AA3166" i="7" s="1"/>
  <c r="AA3125" i="7"/>
  <c r="AA3123" i="7" s="1"/>
  <c r="J3214" i="7"/>
  <c r="J3213" i="7"/>
  <c r="J3217" i="7"/>
  <c r="J3212" i="7"/>
  <c r="P3184" i="7"/>
  <c r="R3184" i="7" s="1"/>
  <c r="J3190" i="7"/>
  <c r="P3157" i="7"/>
  <c r="R3157" i="7" s="1"/>
  <c r="P3182" i="7"/>
  <c r="R3182" i="7" s="1"/>
  <c r="D3185" i="7"/>
  <c r="J3192" i="7"/>
  <c r="J3199" i="7"/>
  <c r="J3200" i="7"/>
  <c r="J3201" i="7"/>
  <c r="L3192" i="7"/>
  <c r="U3192" i="7"/>
  <c r="U3193" i="7" s="1"/>
  <c r="N3183" i="7"/>
  <c r="J3191" i="7"/>
  <c r="N3191" i="7" s="1"/>
  <c r="N3162" i="7"/>
  <c r="U3184" i="7"/>
  <c r="U3185" i="7" s="1"/>
  <c r="L3184" i="7"/>
  <c r="N3184" i="7" s="1"/>
  <c r="F3230" i="7"/>
  <c r="U3230" i="7" s="1"/>
  <c r="F3225" i="7"/>
  <c r="U3225" i="7" s="1"/>
  <c r="D3230" i="7"/>
  <c r="D3225" i="7"/>
  <c r="H3231" i="7"/>
  <c r="H3226" i="7"/>
  <c r="D3221" i="7"/>
  <c r="D3214" i="7"/>
  <c r="D3206" i="7"/>
  <c r="D3222" i="7"/>
  <c r="D3231" i="7"/>
  <c r="F3220" i="7"/>
  <c r="F3229" i="7"/>
  <c r="U3229" i="7" s="1"/>
  <c r="G3206" i="7"/>
  <c r="F3214" i="7"/>
  <c r="F3231" i="7"/>
  <c r="U3231" i="7" s="1"/>
  <c r="F3226" i="7"/>
  <c r="U3226" i="7" s="1"/>
  <c r="F3217" i="7"/>
  <c r="F3213" i="7"/>
  <c r="U3213" i="7" s="1"/>
  <c r="F3222" i="7"/>
  <c r="H3225" i="7"/>
  <c r="H3229" i="7"/>
  <c r="D3229" i="7"/>
  <c r="D3217" i="7"/>
  <c r="W3217" i="7" s="1"/>
  <c r="H3227" i="7"/>
  <c r="H3230" i="7"/>
  <c r="F3227" i="7"/>
  <c r="U3227" i="7" s="1"/>
  <c r="D3227" i="7"/>
  <c r="F3212" i="7"/>
  <c r="D3220" i="7"/>
  <c r="D3226" i="7"/>
  <c r="D3212" i="7"/>
  <c r="F3221" i="7"/>
  <c r="U3221" i="7" s="1"/>
  <c r="D3213" i="7"/>
  <c r="P3190" i="7"/>
  <c r="R3190" i="7" s="1"/>
  <c r="D3193" i="7"/>
  <c r="W3193" i="7" s="1"/>
  <c r="J3196" i="7"/>
  <c r="L3196" i="7"/>
  <c r="Y3222" i="7"/>
  <c r="Y3223" i="7" s="1"/>
  <c r="Y3227" i="7"/>
  <c r="Y3217" i="7"/>
  <c r="Y3221" i="7"/>
  <c r="Y3214" i="7"/>
  <c r="Y3215" i="7" s="1"/>
  <c r="Y3226" i="7"/>
  <c r="Y3212" i="7"/>
  <c r="Y3220" i="7"/>
  <c r="Y3213" i="7"/>
  <c r="Y3225" i="7"/>
  <c r="L3197" i="7"/>
  <c r="J3197" i="7"/>
  <c r="P3192" i="7"/>
  <c r="R3192" i="7" s="1"/>
  <c r="W3197" i="7"/>
  <c r="W3201" i="7" s="1"/>
  <c r="N3165" i="7"/>
  <c r="AA3165" i="7" s="1"/>
  <c r="L3195" i="7"/>
  <c r="J3195" i="7"/>
  <c r="AA3092" i="7"/>
  <c r="AA3093" i="7"/>
  <c r="AA3094" i="7"/>
  <c r="Y3170" i="7"/>
  <c r="W3155" i="7"/>
  <c r="Y3169" i="7"/>
  <c r="AA3169" i="7" s="1"/>
  <c r="Y3171" i="7"/>
  <c r="W3196" i="7"/>
  <c r="W3200" i="7" s="1"/>
  <c r="F3193" i="7"/>
  <c r="U3190" i="7"/>
  <c r="L3190" i="7"/>
  <c r="L3182" i="7"/>
  <c r="N3182" i="7" s="1"/>
  <c r="F3185" i="7"/>
  <c r="U3182" i="7"/>
  <c r="U3187" i="7"/>
  <c r="L3187" i="7"/>
  <c r="N3187" i="7" s="1"/>
  <c r="D3241" i="7"/>
  <c r="D3239" i="7"/>
  <c r="D3240" i="7"/>
  <c r="D3235" i="7"/>
  <c r="D3237" i="7"/>
  <c r="D3238" i="7"/>
  <c r="AA3127" i="7"/>
  <c r="N6830" i="7"/>
  <c r="AA6799" i="7"/>
  <c r="AA6801" i="7"/>
  <c r="AA6800" i="7"/>
  <c r="L6859" i="7"/>
  <c r="N6826" i="7"/>
  <c r="AA6826" i="7" s="1"/>
  <c r="N6831" i="7"/>
  <c r="N6829" i="7"/>
  <c r="N6815" i="7"/>
  <c r="P6815" i="7" s="1"/>
  <c r="R6815" i="7" s="1"/>
  <c r="P6852" i="7"/>
  <c r="R6852" i="7" s="1"/>
  <c r="P6843" i="7"/>
  <c r="R6843" i="7" s="1"/>
  <c r="N6822" i="7"/>
  <c r="N6823" i="7" s="1"/>
  <c r="P6823" i="7" s="1"/>
  <c r="R6823" i="7" s="1"/>
  <c r="AA6823" i="7" s="1"/>
  <c r="AA6787" i="7"/>
  <c r="W6855" i="7"/>
  <c r="W6859" i="7" s="1"/>
  <c r="N6827" i="7"/>
  <c r="AA6827" i="7" s="1"/>
  <c r="AA6793" i="7"/>
  <c r="AA6791" i="7" s="1"/>
  <c r="AA6785" i="7"/>
  <c r="AA6782" i="7" s="1"/>
  <c r="W6856" i="7"/>
  <c r="W6860" i="7" s="1"/>
  <c r="L6861" i="7"/>
  <c r="W6857" i="7"/>
  <c r="W6861" i="7" s="1"/>
  <c r="L6860" i="7"/>
  <c r="P6763" i="7"/>
  <c r="R6763" i="7" s="1"/>
  <c r="J6859" i="7"/>
  <c r="J6861" i="7"/>
  <c r="J6860" i="7"/>
  <c r="L6856" i="7"/>
  <c r="J6856" i="7"/>
  <c r="Y6830" i="7"/>
  <c r="Y6829" i="7"/>
  <c r="Y6831" i="7"/>
  <c r="W6815" i="7"/>
  <c r="Y6882" i="7"/>
  <c r="Y6883" i="7" s="1"/>
  <c r="Y6880" i="7"/>
  <c r="Y6877" i="7"/>
  <c r="Y6874" i="7"/>
  <c r="Y6875" i="7" s="1"/>
  <c r="Y6881" i="7"/>
  <c r="Y6873" i="7"/>
  <c r="Y6886" i="7"/>
  <c r="Y6887" i="7"/>
  <c r="Y6872" i="7"/>
  <c r="Y6885" i="7"/>
  <c r="J6873" i="7"/>
  <c r="J6874" i="7"/>
  <c r="J6882" i="7" s="1"/>
  <c r="J6877" i="7"/>
  <c r="J6872" i="7"/>
  <c r="J6880" i="7" s="1"/>
  <c r="A6955" i="7"/>
  <c r="A6949" i="7"/>
  <c r="A6945" i="7"/>
  <c r="A6950" i="7"/>
  <c r="A6941" i="7"/>
  <c r="A6937" i="7"/>
  <c r="A6951" i="7"/>
  <c r="A6946" i="7"/>
  <c r="A6947" i="7"/>
  <c r="A6943" i="7"/>
  <c r="A6934" i="7"/>
  <c r="C6925" i="7"/>
  <c r="A6935" i="7"/>
  <c r="A6932" i="7"/>
  <c r="A6940" i="7"/>
  <c r="A6942" i="7"/>
  <c r="A6933" i="7"/>
  <c r="D6853" i="7"/>
  <c r="W6853" i="7" s="1"/>
  <c r="P6850" i="7"/>
  <c r="R6850" i="7" s="1"/>
  <c r="U6852" i="7"/>
  <c r="U6853" i="7" s="1"/>
  <c r="L6852" i="7"/>
  <c r="N6852" i="7" s="1"/>
  <c r="P6817" i="7"/>
  <c r="R6817" i="7" s="1"/>
  <c r="AA6817" i="7" s="1"/>
  <c r="L6844" i="7"/>
  <c r="N6844" i="7" s="1"/>
  <c r="U6844" i="7"/>
  <c r="U6845" i="7" s="1"/>
  <c r="D6845" i="7"/>
  <c r="P6842" i="7"/>
  <c r="R6842" i="7" s="1"/>
  <c r="L6850" i="7"/>
  <c r="N6850" i="7" s="1"/>
  <c r="U6850" i="7"/>
  <c r="F6853" i="7"/>
  <c r="B6945" i="7"/>
  <c r="B6934" i="7"/>
  <c r="B6955" i="7"/>
  <c r="B6941" i="7"/>
  <c r="B6951" i="7"/>
  <c r="B6946" i="7"/>
  <c r="B6932" i="7"/>
  <c r="B6943" i="7"/>
  <c r="B6933" i="7"/>
  <c r="B6940" i="7"/>
  <c r="B6937" i="7"/>
  <c r="B6950" i="7"/>
  <c r="B6935" i="7"/>
  <c r="B6942" i="7"/>
  <c r="B6947" i="7"/>
  <c r="B6949" i="7"/>
  <c r="D6895" i="7"/>
  <c r="D6901" i="7"/>
  <c r="D6898" i="7"/>
  <c r="D6900" i="7"/>
  <c r="D6899" i="7"/>
  <c r="D6897" i="7"/>
  <c r="U6842" i="7"/>
  <c r="L6842" i="7"/>
  <c r="N6842" i="7" s="1"/>
  <c r="F6845" i="7"/>
  <c r="L6847" i="7"/>
  <c r="N6847" i="7" s="1"/>
  <c r="U6847" i="7"/>
  <c r="P6851" i="7"/>
  <c r="R6851" i="7" s="1"/>
  <c r="J6855" i="7"/>
  <c r="L6855" i="7"/>
  <c r="N6825" i="7"/>
  <c r="AA6825" i="7" s="1"/>
  <c r="AA6752" i="7"/>
  <c r="AA6754" i="7"/>
  <c r="AA6753" i="7"/>
  <c r="P6844" i="7"/>
  <c r="R6844" i="7" s="1"/>
  <c r="D6885" i="7"/>
  <c r="D6886" i="7"/>
  <c r="F6886" i="7"/>
  <c r="U6886" i="7" s="1"/>
  <c r="H6891" i="7"/>
  <c r="G6866" i="7"/>
  <c r="H6885" i="7"/>
  <c r="D6880" i="7"/>
  <c r="F6885" i="7"/>
  <c r="U6885" i="7" s="1"/>
  <c r="D6890" i="7"/>
  <c r="F6891" i="7"/>
  <c r="U6891" i="7" s="1"/>
  <c r="F6882" i="7"/>
  <c r="D6882" i="7"/>
  <c r="H6887" i="7"/>
  <c r="F6872" i="7"/>
  <c r="D6874" i="7"/>
  <c r="F6889" i="7"/>
  <c r="U6889" i="7" s="1"/>
  <c r="F6881" i="7"/>
  <c r="U6881" i="7" s="1"/>
  <c r="F6874" i="7"/>
  <c r="F6873" i="7"/>
  <c r="U6873" i="7" s="1"/>
  <c r="F6877" i="7"/>
  <c r="F6880" i="7"/>
  <c r="H6890" i="7"/>
  <c r="D6872" i="7"/>
  <c r="H6889" i="7"/>
  <c r="D6877" i="7"/>
  <c r="W6877" i="7" s="1"/>
  <c r="F6887" i="7"/>
  <c r="U6887" i="7" s="1"/>
  <c r="D6866" i="7"/>
  <c r="D6889" i="7"/>
  <c r="D6881" i="7"/>
  <c r="D6887" i="7"/>
  <c r="D6873" i="7"/>
  <c r="D6891" i="7"/>
  <c r="F6890" i="7"/>
  <c r="U6890" i="7" s="1"/>
  <c r="H6886" i="7"/>
  <c r="L6857" i="7"/>
  <c r="J6857" i="7"/>
  <c r="N6843" i="7"/>
  <c r="J6851" i="7"/>
  <c r="N6851" i="7" s="1"/>
  <c r="AA3171" i="7" l="1"/>
  <c r="AA3170" i="7"/>
  <c r="N3201" i="7"/>
  <c r="N3200" i="7"/>
  <c r="AA3102" i="7"/>
  <c r="AA3100" i="7"/>
  <c r="N3199" i="7"/>
  <c r="W3226" i="7"/>
  <c r="W3230" i="7" s="1"/>
  <c r="AA3133" i="7"/>
  <c r="AA3132" i="7" s="1"/>
  <c r="N3185" i="7"/>
  <c r="P3185" i="7" s="1"/>
  <c r="R3185" i="7" s="1"/>
  <c r="L3230" i="7"/>
  <c r="L3231" i="7"/>
  <c r="L3229" i="7"/>
  <c r="N3163" i="7"/>
  <c r="P3163" i="7" s="1"/>
  <c r="R3163" i="7" s="1"/>
  <c r="P3222" i="7"/>
  <c r="R3222" i="7" s="1"/>
  <c r="AA3122" i="7"/>
  <c r="D3295" i="7"/>
  <c r="D3300" i="7"/>
  <c r="D3299" i="7"/>
  <c r="D3298" i="7"/>
  <c r="D3297" i="7"/>
  <c r="D3301" i="7"/>
  <c r="B3340" i="7"/>
  <c r="B3350" i="7"/>
  <c r="B3345" i="7"/>
  <c r="B3341" i="7"/>
  <c r="B3347" i="7"/>
  <c r="B3333" i="7"/>
  <c r="B3349" i="7"/>
  <c r="B3355" i="7"/>
  <c r="B3351" i="7"/>
  <c r="B3332" i="7"/>
  <c r="B3334" i="7"/>
  <c r="B3337" i="7"/>
  <c r="B3335" i="7"/>
  <c r="B3343" i="7"/>
  <c r="B3346" i="7"/>
  <c r="B3342" i="7"/>
  <c r="A3333" i="7"/>
  <c r="A3340" i="7"/>
  <c r="A3343" i="7"/>
  <c r="A3341" i="7"/>
  <c r="C3325" i="7"/>
  <c r="A3347" i="7"/>
  <c r="A3342" i="7"/>
  <c r="A3335" i="7"/>
  <c r="A3355" i="7"/>
  <c r="A3337" i="7"/>
  <c r="A3351" i="7"/>
  <c r="A3349" i="7"/>
  <c r="A3350" i="7"/>
  <c r="A3345" i="7"/>
  <c r="A3332" i="7"/>
  <c r="A3334" i="7"/>
  <c r="A3346" i="7"/>
  <c r="F3287" i="7"/>
  <c r="U3287" i="7" s="1"/>
  <c r="D3282" i="7"/>
  <c r="D3287" i="7"/>
  <c r="F3272" i="7"/>
  <c r="D3272" i="7"/>
  <c r="F3273" i="7"/>
  <c r="U3273" i="7" s="1"/>
  <c r="D3281" i="7"/>
  <c r="F3281" i="7"/>
  <c r="U3281" i="7" s="1"/>
  <c r="D3273" i="7"/>
  <c r="H3287" i="7"/>
  <c r="G3266" i="7"/>
  <c r="D3291" i="7"/>
  <c r="F3286" i="7"/>
  <c r="U3286" i="7" s="1"/>
  <c r="D3286" i="7"/>
  <c r="D3266" i="7"/>
  <c r="D3277" i="7"/>
  <c r="W3277" i="7" s="1"/>
  <c r="F3280" i="7"/>
  <c r="D3280" i="7"/>
  <c r="H3286" i="7"/>
  <c r="H3285" i="7"/>
  <c r="D3285" i="7"/>
  <c r="F3291" i="7"/>
  <c r="U3291" i="7" s="1"/>
  <c r="D3290" i="7"/>
  <c r="F3282" i="7"/>
  <c r="F3277" i="7"/>
  <c r="H3289" i="7"/>
  <c r="F3289" i="7"/>
  <c r="U3289" i="7" s="1"/>
  <c r="D3289" i="7"/>
  <c r="H3290" i="7"/>
  <c r="F3290" i="7"/>
  <c r="U3290" i="7" s="1"/>
  <c r="F3274" i="7"/>
  <c r="D3274" i="7"/>
  <c r="H3291" i="7"/>
  <c r="F3285" i="7"/>
  <c r="U3285" i="7" s="1"/>
  <c r="AA6830" i="7"/>
  <c r="AA3124" i="7"/>
  <c r="Y3285" i="7"/>
  <c r="Y3274" i="7"/>
  <c r="Y3275" i="7" s="1"/>
  <c r="Y3282" i="7"/>
  <c r="Y3283" i="7" s="1"/>
  <c r="Y3280" i="7"/>
  <c r="Y3287" i="7"/>
  <c r="Y3273" i="7"/>
  <c r="Y3286" i="7"/>
  <c r="Y3277" i="7"/>
  <c r="Y3281" i="7"/>
  <c r="Y3272" i="7"/>
  <c r="P3213" i="7"/>
  <c r="R3213" i="7" s="1"/>
  <c r="J3272" i="7"/>
  <c r="J3277" i="7"/>
  <c r="J3274" i="7"/>
  <c r="J3273" i="7"/>
  <c r="W3225" i="7"/>
  <c r="W3229" i="7" s="1"/>
  <c r="N3197" i="7"/>
  <c r="AA3197" i="7" s="1"/>
  <c r="Y3199" i="7"/>
  <c r="Y3200" i="7"/>
  <c r="AA3200" i="7" s="1"/>
  <c r="W3185" i="7"/>
  <c r="Y3201" i="7"/>
  <c r="AA3201" i="7" s="1"/>
  <c r="P3212" i="7"/>
  <c r="R3212" i="7" s="1"/>
  <c r="D3215" i="7"/>
  <c r="P3187" i="7"/>
  <c r="R3187" i="7" s="1"/>
  <c r="L3217" i="7"/>
  <c r="N3217" i="7" s="1"/>
  <c r="U3217" i="7"/>
  <c r="L3226" i="7"/>
  <c r="J3226" i="7"/>
  <c r="L3214" i="7"/>
  <c r="N3214" i="7" s="1"/>
  <c r="U3214" i="7"/>
  <c r="U3215" i="7" s="1"/>
  <c r="W3227" i="7"/>
  <c r="W3231" i="7" s="1"/>
  <c r="AA3155" i="7"/>
  <c r="D3223" i="7"/>
  <c r="W3223" i="7" s="1"/>
  <c r="P3220" i="7"/>
  <c r="R3220" i="7" s="1"/>
  <c r="J3243" i="7"/>
  <c r="J3242" i="7"/>
  <c r="J3244" i="7"/>
  <c r="J3247" i="7"/>
  <c r="N3190" i="7"/>
  <c r="L3220" i="7"/>
  <c r="F3223" i="7"/>
  <c r="U3220" i="7"/>
  <c r="F3259" i="7"/>
  <c r="U3259" i="7" s="1"/>
  <c r="D3247" i="7"/>
  <c r="W3247" i="7" s="1"/>
  <c r="D3259" i="7"/>
  <c r="F3243" i="7"/>
  <c r="U3243" i="7" s="1"/>
  <c r="H3260" i="7"/>
  <c r="H3255" i="7"/>
  <c r="D3250" i="7"/>
  <c r="F3251" i="7"/>
  <c r="U3251" i="7" s="1"/>
  <c r="F3244" i="7"/>
  <c r="G3236" i="7"/>
  <c r="F3257" i="7"/>
  <c r="U3257" i="7" s="1"/>
  <c r="D3255" i="7"/>
  <c r="D3242" i="7"/>
  <c r="F3261" i="7"/>
  <c r="U3261" i="7" s="1"/>
  <c r="D3252" i="7"/>
  <c r="F3250" i="7"/>
  <c r="H3259" i="7"/>
  <c r="H3256" i="7"/>
  <c r="D3236" i="7"/>
  <c r="F3256" i="7"/>
  <c r="U3256" i="7" s="1"/>
  <c r="D3243" i="7"/>
  <c r="F3255" i="7"/>
  <c r="U3255" i="7" s="1"/>
  <c r="F3247" i="7"/>
  <c r="H3261" i="7"/>
  <c r="D3251" i="7"/>
  <c r="D3261" i="7"/>
  <c r="F3260" i="7"/>
  <c r="U3260" i="7" s="1"/>
  <c r="D3260" i="7"/>
  <c r="F3242" i="7"/>
  <c r="H3257" i="7"/>
  <c r="D3244" i="7"/>
  <c r="D3257" i="7"/>
  <c r="D3256" i="7"/>
  <c r="F3252" i="7"/>
  <c r="J3220" i="7"/>
  <c r="L3225" i="7"/>
  <c r="J3225" i="7"/>
  <c r="J3227" i="7"/>
  <c r="L3227" i="7"/>
  <c r="AA3157" i="7"/>
  <c r="J3231" i="7"/>
  <c r="J3229" i="7"/>
  <c r="J3230" i="7"/>
  <c r="Y3251" i="7"/>
  <c r="Y3256" i="7"/>
  <c r="Y3242" i="7"/>
  <c r="Y3247" i="7"/>
  <c r="Y3244" i="7"/>
  <c r="Y3245" i="7" s="1"/>
  <c r="Y3252" i="7"/>
  <c r="Y3253" i="7" s="1"/>
  <c r="Y3250" i="7"/>
  <c r="Y3257" i="7"/>
  <c r="Y3255" i="7"/>
  <c r="Y3243" i="7"/>
  <c r="P3221" i="7"/>
  <c r="R3221" i="7" s="1"/>
  <c r="U3222" i="7"/>
  <c r="U3223" i="7" s="1"/>
  <c r="L3222" i="7"/>
  <c r="P3214" i="7"/>
  <c r="R3214" i="7" s="1"/>
  <c r="N3196" i="7"/>
  <c r="AA3196" i="7" s="1"/>
  <c r="J3221" i="7"/>
  <c r="N3221" i="7" s="1"/>
  <c r="N3213" i="7"/>
  <c r="U3212" i="7"/>
  <c r="F3215" i="7"/>
  <c r="L3212" i="7"/>
  <c r="N3212" i="7" s="1"/>
  <c r="N3195" i="7"/>
  <c r="AA3195" i="7" s="1"/>
  <c r="N3192" i="7"/>
  <c r="J3222" i="7"/>
  <c r="N6853" i="7"/>
  <c r="P6853" i="7" s="1"/>
  <c r="R6853" i="7" s="1"/>
  <c r="AA6853" i="7" s="1"/>
  <c r="N6845" i="7"/>
  <c r="P6845" i="7" s="1"/>
  <c r="R6845" i="7" s="1"/>
  <c r="N6859" i="7"/>
  <c r="AA6829" i="7"/>
  <c r="AA6831" i="7"/>
  <c r="AA6783" i="7"/>
  <c r="AA6784" i="7"/>
  <c r="AA6792" i="7"/>
  <c r="N6857" i="7"/>
  <c r="AA6857" i="7" s="1"/>
  <c r="AA6790" i="7"/>
  <c r="N6860" i="7"/>
  <c r="N6861" i="7"/>
  <c r="L6889" i="7"/>
  <c r="L6891" i="7"/>
  <c r="N6856" i="7"/>
  <c r="AA6856" i="7" s="1"/>
  <c r="P6882" i="7"/>
  <c r="R6882" i="7" s="1"/>
  <c r="AA6763" i="7"/>
  <c r="AA6761" i="7" s="1"/>
  <c r="AA6815" i="7"/>
  <c r="AA6814" i="7" s="1"/>
  <c r="W6885" i="7"/>
  <c r="W6889" i="7" s="1"/>
  <c r="N6855" i="7"/>
  <c r="AA6855" i="7" s="1"/>
  <c r="L6890" i="7"/>
  <c r="D6875" i="7"/>
  <c r="P6872" i="7"/>
  <c r="R6872" i="7" s="1"/>
  <c r="P6880" i="7"/>
  <c r="R6880" i="7" s="1"/>
  <c r="D6883" i="7"/>
  <c r="W6883" i="7" s="1"/>
  <c r="W6886" i="7"/>
  <c r="W6890" i="7" s="1"/>
  <c r="P6873" i="7"/>
  <c r="R6873" i="7" s="1"/>
  <c r="P6874" i="7"/>
  <c r="R6874" i="7" s="1"/>
  <c r="A6970" i="7"/>
  <c r="A6975" i="7"/>
  <c r="A6971" i="7"/>
  <c r="A6977" i="7"/>
  <c r="A6967" i="7"/>
  <c r="A6973" i="7"/>
  <c r="A6972" i="7"/>
  <c r="A6980" i="7"/>
  <c r="A6962" i="7"/>
  <c r="A6979" i="7"/>
  <c r="A6964" i="7"/>
  <c r="A6976" i="7"/>
  <c r="A6985" i="7"/>
  <c r="A6963" i="7"/>
  <c r="C6955" i="7"/>
  <c r="A6981" i="7"/>
  <c r="A6965" i="7"/>
  <c r="L6887" i="7"/>
  <c r="J6887" i="7"/>
  <c r="L6872" i="7"/>
  <c r="N6872" i="7" s="1"/>
  <c r="U6872" i="7"/>
  <c r="F6875" i="7"/>
  <c r="J6903" i="7"/>
  <c r="J6904" i="7"/>
  <c r="J6902" i="7"/>
  <c r="J6907" i="7"/>
  <c r="P6847" i="7"/>
  <c r="R6847" i="7" s="1"/>
  <c r="P6881" i="7"/>
  <c r="R6881" i="7" s="1"/>
  <c r="U6880" i="7"/>
  <c r="L6880" i="7"/>
  <c r="N6880" i="7" s="1"/>
  <c r="F6883" i="7"/>
  <c r="D6928" i="7"/>
  <c r="D6929" i="7"/>
  <c r="D6925" i="7"/>
  <c r="D6927" i="7"/>
  <c r="D6931" i="7"/>
  <c r="D6930" i="7"/>
  <c r="U6874" i="7"/>
  <c r="U6875" i="7" s="1"/>
  <c r="L6874" i="7"/>
  <c r="N6874" i="7" s="1"/>
  <c r="W6887" i="7"/>
  <c r="W6891" i="7" s="1"/>
  <c r="J6881" i="7"/>
  <c r="N6881" i="7" s="1"/>
  <c r="N6873" i="7"/>
  <c r="AA6821" i="7"/>
  <c r="AA6820" i="7"/>
  <c r="AA6822" i="7"/>
  <c r="J6890" i="7"/>
  <c r="J6891" i="7"/>
  <c r="J6889" i="7"/>
  <c r="U6882" i="7"/>
  <c r="U6883" i="7" s="1"/>
  <c r="L6882" i="7"/>
  <c r="N6882" i="7" s="1"/>
  <c r="B6971" i="7"/>
  <c r="B6965" i="7"/>
  <c r="B6979" i="7"/>
  <c r="B6972" i="7"/>
  <c r="B6964" i="7"/>
  <c r="B6973" i="7"/>
  <c r="B6967" i="7"/>
  <c r="B6976" i="7"/>
  <c r="B6963" i="7"/>
  <c r="B6975" i="7"/>
  <c r="B6985" i="7"/>
  <c r="B6970" i="7"/>
  <c r="B6981" i="7"/>
  <c r="B6977" i="7"/>
  <c r="B6962" i="7"/>
  <c r="B6980" i="7"/>
  <c r="L6886" i="7"/>
  <c r="J6886" i="7"/>
  <c r="Y6903" i="7"/>
  <c r="Y6916" i="7"/>
  <c r="Y6907" i="7"/>
  <c r="Y6917" i="7"/>
  <c r="Y6902" i="7"/>
  <c r="Y6912" i="7"/>
  <c r="Y6913" i="7" s="1"/>
  <c r="Y6910" i="7"/>
  <c r="Y6915" i="7"/>
  <c r="Y6904" i="7"/>
  <c r="Y6905" i="7" s="1"/>
  <c r="Y6911" i="7"/>
  <c r="U6877" i="7"/>
  <c r="L6877" i="7"/>
  <c r="N6877" i="7" s="1"/>
  <c r="Y6859" i="7"/>
  <c r="W6845" i="7"/>
  <c r="Y6861" i="7"/>
  <c r="Y6860" i="7"/>
  <c r="J6885" i="7"/>
  <c r="L6885" i="7"/>
  <c r="D6916" i="7"/>
  <c r="H6921" i="7"/>
  <c r="H6920" i="7"/>
  <c r="H6915" i="7"/>
  <c r="D6912" i="7"/>
  <c r="D6915" i="7"/>
  <c r="D6917" i="7"/>
  <c r="D6920" i="7"/>
  <c r="G6896" i="7"/>
  <c r="F6919" i="7"/>
  <c r="U6919" i="7" s="1"/>
  <c r="F6912" i="7"/>
  <c r="F6910" i="7"/>
  <c r="D6896" i="7"/>
  <c r="F6917" i="7"/>
  <c r="U6917" i="7" s="1"/>
  <c r="D6910" i="7"/>
  <c r="F6907" i="7"/>
  <c r="D6903" i="7"/>
  <c r="D6907" i="7"/>
  <c r="W6907" i="7" s="1"/>
  <c r="F6911" i="7"/>
  <c r="U6911" i="7" s="1"/>
  <c r="F6921" i="7"/>
  <c r="U6921" i="7" s="1"/>
  <c r="H6917" i="7"/>
  <c r="D6911" i="7"/>
  <c r="D6919" i="7"/>
  <c r="F6915" i="7"/>
  <c r="U6915" i="7" s="1"/>
  <c r="D6921" i="7"/>
  <c r="F6902" i="7"/>
  <c r="F6904" i="7"/>
  <c r="D6902" i="7"/>
  <c r="H6916" i="7"/>
  <c r="H6919" i="7"/>
  <c r="D6904" i="7"/>
  <c r="F6903" i="7"/>
  <c r="U6903" i="7" s="1"/>
  <c r="F6920" i="7"/>
  <c r="U6920" i="7" s="1"/>
  <c r="F6916" i="7"/>
  <c r="U6916" i="7" s="1"/>
  <c r="N3231" i="7" l="1"/>
  <c r="AA3199" i="7"/>
  <c r="L3290" i="7"/>
  <c r="AA3130" i="7"/>
  <c r="AA3131" i="7"/>
  <c r="N3229" i="7"/>
  <c r="L3259" i="7"/>
  <c r="N3230" i="7"/>
  <c r="L3260" i="7"/>
  <c r="L3289" i="7"/>
  <c r="L3291" i="7"/>
  <c r="W3285" i="7"/>
  <c r="W3289" i="7" s="1"/>
  <c r="L3261" i="7"/>
  <c r="W3257" i="7"/>
  <c r="W3261" i="7" s="1"/>
  <c r="N3215" i="7"/>
  <c r="P3215" i="7" s="1"/>
  <c r="R3215" i="7" s="1"/>
  <c r="N3193" i="7"/>
  <c r="P3193" i="7" s="1"/>
  <c r="R3193" i="7" s="1"/>
  <c r="AA3163" i="7"/>
  <c r="AA3160" i="7" s="1"/>
  <c r="W3286" i="7"/>
  <c r="W3290" i="7" s="1"/>
  <c r="W3287" i="7"/>
  <c r="W3291" i="7" s="1"/>
  <c r="AA3187" i="7"/>
  <c r="N3225" i="7"/>
  <c r="AA3225" i="7" s="1"/>
  <c r="P3281" i="7"/>
  <c r="R3281" i="7" s="1"/>
  <c r="P3273" i="7"/>
  <c r="R3273" i="7" s="1"/>
  <c r="L3285" i="7"/>
  <c r="J3285" i="7"/>
  <c r="D3275" i="7"/>
  <c r="P3272" i="7"/>
  <c r="R3272" i="7" s="1"/>
  <c r="U3282" i="7"/>
  <c r="U3283" i="7" s="1"/>
  <c r="L3282" i="7"/>
  <c r="L3272" i="7"/>
  <c r="N3272" i="7" s="1"/>
  <c r="U3272" i="7"/>
  <c r="F3275" i="7"/>
  <c r="D3328" i="7"/>
  <c r="D3327" i="7"/>
  <c r="D3325" i="7"/>
  <c r="D3329" i="7"/>
  <c r="D3331" i="7"/>
  <c r="D3330" i="7"/>
  <c r="J3281" i="7"/>
  <c r="N3281" i="7" s="1"/>
  <c r="N3273" i="7"/>
  <c r="L3287" i="7"/>
  <c r="J3287" i="7"/>
  <c r="L3277" i="7"/>
  <c r="N3277" i="7" s="1"/>
  <c r="U3277" i="7"/>
  <c r="A3362" i="7"/>
  <c r="A3373" i="7"/>
  <c r="A3367" i="7"/>
  <c r="A3379" i="7"/>
  <c r="A3364" i="7"/>
  <c r="A3370" i="7"/>
  <c r="A3372" i="7"/>
  <c r="A3371" i="7"/>
  <c r="A3380" i="7"/>
  <c r="A3385" i="7"/>
  <c r="A3375" i="7"/>
  <c r="C3355" i="7"/>
  <c r="A3365" i="7"/>
  <c r="A3377" i="7"/>
  <c r="A3381" i="7"/>
  <c r="A3376" i="7"/>
  <c r="A3363" i="7"/>
  <c r="P3251" i="7"/>
  <c r="R3251" i="7" s="1"/>
  <c r="J3282" i="7"/>
  <c r="P3280" i="7"/>
  <c r="R3280" i="7" s="1"/>
  <c r="D3283" i="7"/>
  <c r="W3283" i="7" s="1"/>
  <c r="P3282" i="7"/>
  <c r="R3282" i="7" s="1"/>
  <c r="U3280" i="7"/>
  <c r="L3280" i="7"/>
  <c r="F3283" i="7"/>
  <c r="J3280" i="7"/>
  <c r="P3274" i="7"/>
  <c r="R3274" i="7" s="1"/>
  <c r="U3274" i="7"/>
  <c r="U3275" i="7" s="1"/>
  <c r="L3274" i="7"/>
  <c r="N3274" i="7" s="1"/>
  <c r="J3289" i="7"/>
  <c r="J3290" i="7"/>
  <c r="J3291" i="7"/>
  <c r="Y3303" i="7"/>
  <c r="Y3310" i="7"/>
  <c r="Y3302" i="7"/>
  <c r="Y3315" i="7"/>
  <c r="Y3307" i="7"/>
  <c r="Y3312" i="7"/>
  <c r="Y3313" i="7" s="1"/>
  <c r="Y3316" i="7"/>
  <c r="Y3304" i="7"/>
  <c r="Y3305" i="7" s="1"/>
  <c r="Y3317" i="7"/>
  <c r="Y3311" i="7"/>
  <c r="L3286" i="7"/>
  <c r="J3286" i="7"/>
  <c r="J3302" i="7"/>
  <c r="J3307" i="7"/>
  <c r="J3304" i="7"/>
  <c r="J3303" i="7"/>
  <c r="B3373" i="7"/>
  <c r="B3367" i="7"/>
  <c r="B3379" i="7"/>
  <c r="B3372" i="7"/>
  <c r="B3370" i="7"/>
  <c r="B3385" i="7"/>
  <c r="B3371" i="7"/>
  <c r="B3376" i="7"/>
  <c r="B3363" i="7"/>
  <c r="B3362" i="7"/>
  <c r="B3381" i="7"/>
  <c r="B3375" i="7"/>
  <c r="B3377" i="7"/>
  <c r="B3364" i="7"/>
  <c r="B3380" i="7"/>
  <c r="B3365" i="7"/>
  <c r="N3226" i="7"/>
  <c r="AA3226" i="7" s="1"/>
  <c r="F3321" i="7"/>
  <c r="U3321" i="7" s="1"/>
  <c r="F3316" i="7"/>
  <c r="U3316" i="7" s="1"/>
  <c r="D3321" i="7"/>
  <c r="D3316" i="7"/>
  <c r="D3319" i="7"/>
  <c r="F3304" i="7"/>
  <c r="F3310" i="7"/>
  <c r="D3304" i="7"/>
  <c r="F3302" i="7"/>
  <c r="D3302" i="7"/>
  <c r="H3319" i="7"/>
  <c r="D3311" i="7"/>
  <c r="D3307" i="7"/>
  <c r="W3307" i="7" s="1"/>
  <c r="H3321" i="7"/>
  <c r="F3319" i="7"/>
  <c r="U3319" i="7" s="1"/>
  <c r="F3315" i="7"/>
  <c r="U3315" i="7" s="1"/>
  <c r="F3311" i="7"/>
  <c r="U3311" i="7" s="1"/>
  <c r="H3317" i="7"/>
  <c r="D3315" i="7"/>
  <c r="F3317" i="7"/>
  <c r="U3317" i="7" s="1"/>
  <c r="F3320" i="7"/>
  <c r="U3320" i="7" s="1"/>
  <c r="G3296" i="7"/>
  <c r="D3310" i="7"/>
  <c r="H3320" i="7"/>
  <c r="D3317" i="7"/>
  <c r="F3312" i="7"/>
  <c r="D3320" i="7"/>
  <c r="H3315" i="7"/>
  <c r="H3316" i="7"/>
  <c r="D3296" i="7"/>
  <c r="D3312" i="7"/>
  <c r="F3307" i="7"/>
  <c r="F3303" i="7"/>
  <c r="U3303" i="7" s="1"/>
  <c r="D3303" i="7"/>
  <c r="AA3185" i="7"/>
  <c r="AA3184" i="7" s="1"/>
  <c r="P3244" i="7"/>
  <c r="R3244" i="7" s="1"/>
  <c r="D3253" i="7"/>
  <c r="W3253" i="7" s="1"/>
  <c r="P3250" i="7"/>
  <c r="R3250" i="7" s="1"/>
  <c r="J3250" i="7"/>
  <c r="J3252" i="7"/>
  <c r="N3243" i="7"/>
  <c r="J3251" i="7"/>
  <c r="N3251" i="7" s="1"/>
  <c r="N3227" i="7"/>
  <c r="AA3227" i="7" s="1"/>
  <c r="P3243" i="7"/>
  <c r="R3243" i="7" s="1"/>
  <c r="P3217" i="7"/>
  <c r="R3217" i="7" s="1"/>
  <c r="U3244" i="7"/>
  <c r="U3245" i="7" s="1"/>
  <c r="L3244" i="7"/>
  <c r="N3244" i="7" s="1"/>
  <c r="W3215" i="7"/>
  <c r="Y3231" i="7"/>
  <c r="Y3230" i="7"/>
  <c r="Y3229" i="7"/>
  <c r="AA3229" i="7" s="1"/>
  <c r="N3220" i="7"/>
  <c r="J3261" i="7"/>
  <c r="J3260" i="7"/>
  <c r="J3259" i="7"/>
  <c r="L3247" i="7"/>
  <c r="N3247" i="7" s="1"/>
  <c r="U3247" i="7"/>
  <c r="U3252" i="7"/>
  <c r="U3253" i="7" s="1"/>
  <c r="L3252" i="7"/>
  <c r="AA3154" i="7"/>
  <c r="AA3152" i="7"/>
  <c r="AA3153" i="7"/>
  <c r="J3256" i="7"/>
  <c r="L3256" i="7"/>
  <c r="U3242" i="7"/>
  <c r="L3242" i="7"/>
  <c r="N3242" i="7" s="1"/>
  <c r="F3245" i="7"/>
  <c r="D3245" i="7"/>
  <c r="P3242" i="7"/>
  <c r="R3242" i="7" s="1"/>
  <c r="W3255" i="7"/>
  <c r="W3259" i="7" s="1"/>
  <c r="L3255" i="7"/>
  <c r="J3255" i="7"/>
  <c r="W3256" i="7"/>
  <c r="W3260" i="7" s="1"/>
  <c r="L3257" i="7"/>
  <c r="J3257" i="7"/>
  <c r="L3250" i="7"/>
  <c r="U3250" i="7"/>
  <c r="F3253" i="7"/>
  <c r="P3252" i="7"/>
  <c r="R3252" i="7" s="1"/>
  <c r="N3222" i="7"/>
  <c r="AA6861" i="7"/>
  <c r="AA6845" i="7"/>
  <c r="AA6842" i="7" s="1"/>
  <c r="AA6859" i="7"/>
  <c r="AA6860" i="7"/>
  <c r="N6889" i="7"/>
  <c r="N6891" i="7"/>
  <c r="L6921" i="7"/>
  <c r="AA6847" i="7"/>
  <c r="AA6812" i="7"/>
  <c r="AA6813" i="7"/>
  <c r="N6875" i="7"/>
  <c r="P6875" i="7" s="1"/>
  <c r="R6875" i="7" s="1"/>
  <c r="AA6762" i="7"/>
  <c r="AA6760" i="7"/>
  <c r="N6886" i="7"/>
  <c r="AA6886" i="7" s="1"/>
  <c r="N6883" i="7"/>
  <c r="P6883" i="7" s="1"/>
  <c r="R6883" i="7" s="1"/>
  <c r="N6885" i="7"/>
  <c r="AA6885" i="7" s="1"/>
  <c r="W6916" i="7"/>
  <c r="W6920" i="7" s="1"/>
  <c r="L6920" i="7"/>
  <c r="L6919" i="7"/>
  <c r="N6890" i="7"/>
  <c r="P6904" i="7"/>
  <c r="R6904" i="7" s="1"/>
  <c r="AA6852" i="7"/>
  <c r="AA6851" i="7"/>
  <c r="AA6850" i="7"/>
  <c r="P6903" i="7"/>
  <c r="R6903" i="7" s="1"/>
  <c r="J6916" i="7"/>
  <c r="L6916" i="7"/>
  <c r="U6907" i="7"/>
  <c r="L6907" i="7"/>
  <c r="N6907" i="7" s="1"/>
  <c r="P6910" i="7"/>
  <c r="R6910" i="7" s="1"/>
  <c r="D6913" i="7"/>
  <c r="W6913" i="7" s="1"/>
  <c r="L6912" i="7"/>
  <c r="U6912" i="7"/>
  <c r="U6913" i="7" s="1"/>
  <c r="W6917" i="7"/>
  <c r="W6921" i="7" s="1"/>
  <c r="L6902" i="7"/>
  <c r="N6902" i="7" s="1"/>
  <c r="F6905" i="7"/>
  <c r="U6902" i="7"/>
  <c r="P6877" i="7"/>
  <c r="R6877" i="7" s="1"/>
  <c r="AA6877" i="7" s="1"/>
  <c r="W6915" i="7"/>
  <c r="W6919" i="7" s="1"/>
  <c r="Y6932" i="7"/>
  <c r="Y6940" i="7"/>
  <c r="Y6934" i="7"/>
  <c r="Y6935" i="7" s="1"/>
  <c r="Y6937" i="7"/>
  <c r="Y6933" i="7"/>
  <c r="Y6941" i="7"/>
  <c r="Y6947" i="7"/>
  <c r="Y6946" i="7"/>
  <c r="Y6942" i="7"/>
  <c r="Y6943" i="7" s="1"/>
  <c r="Y6945" i="7"/>
  <c r="D6905" i="7"/>
  <c r="P6902" i="7"/>
  <c r="R6902" i="7" s="1"/>
  <c r="J6932" i="7"/>
  <c r="J6940" i="7" s="1"/>
  <c r="J6933" i="7"/>
  <c r="J6934" i="7"/>
  <c r="J6937" i="7"/>
  <c r="J6910" i="7"/>
  <c r="A7002" i="7"/>
  <c r="A7015" i="7"/>
  <c r="A7045" i="7" s="1"/>
  <c r="A7006" i="7"/>
  <c r="A7005" i="7"/>
  <c r="A7007" i="7"/>
  <c r="A7010" i="7"/>
  <c r="A7009" i="7"/>
  <c r="A6993" i="7"/>
  <c r="A6995" i="7"/>
  <c r="A7000" i="7"/>
  <c r="A7001" i="7"/>
  <c r="A6992" i="7"/>
  <c r="C6985" i="7"/>
  <c r="A7003" i="7"/>
  <c r="A7011" i="7"/>
  <c r="A6994" i="7"/>
  <c r="A6997" i="7"/>
  <c r="D6937" i="7"/>
  <c r="W6937" i="7" s="1"/>
  <c r="G6926" i="7"/>
  <c r="D6932" i="7"/>
  <c r="F6934" i="7"/>
  <c r="D6940" i="7"/>
  <c r="D6946" i="7"/>
  <c r="D6941" i="7"/>
  <c r="D6950" i="7"/>
  <c r="D6934" i="7"/>
  <c r="D6951" i="7"/>
  <c r="D6933" i="7"/>
  <c r="F6942" i="7"/>
  <c r="D6947" i="7"/>
  <c r="H6946" i="7"/>
  <c r="F6937" i="7"/>
  <c r="D6945" i="7"/>
  <c r="F6950" i="7"/>
  <c r="U6950" i="7" s="1"/>
  <c r="F6946" i="7"/>
  <c r="U6946" i="7" s="1"/>
  <c r="D6926" i="7"/>
  <c r="D6942" i="7"/>
  <c r="F6940" i="7"/>
  <c r="F6933" i="7"/>
  <c r="U6933" i="7" s="1"/>
  <c r="F6951" i="7"/>
  <c r="U6951" i="7" s="1"/>
  <c r="D6949" i="7"/>
  <c r="H6951" i="7"/>
  <c r="H6945" i="7"/>
  <c r="F6932" i="7"/>
  <c r="F6949" i="7"/>
  <c r="U6949" i="7" s="1"/>
  <c r="H6950" i="7"/>
  <c r="H6949" i="7"/>
  <c r="F6945" i="7"/>
  <c r="U6945" i="7" s="1"/>
  <c r="F6941" i="7"/>
  <c r="U6941" i="7" s="1"/>
  <c r="H6947" i="7"/>
  <c r="F6947" i="7"/>
  <c r="U6947" i="7" s="1"/>
  <c r="J6912" i="7"/>
  <c r="Y6889" i="7"/>
  <c r="Y6891" i="7"/>
  <c r="W6875" i="7"/>
  <c r="Y6890" i="7"/>
  <c r="U6910" i="7"/>
  <c r="F6913" i="7"/>
  <c r="L6910" i="7"/>
  <c r="U6904" i="7"/>
  <c r="U6905" i="7" s="1"/>
  <c r="L6904" i="7"/>
  <c r="N6904" i="7" s="1"/>
  <c r="L6917" i="7"/>
  <c r="J6917" i="7"/>
  <c r="N6903" i="7"/>
  <c r="J6911" i="7"/>
  <c r="N6911" i="7" s="1"/>
  <c r="P6911" i="7"/>
  <c r="R6911" i="7" s="1"/>
  <c r="J6921" i="7"/>
  <c r="J6920" i="7"/>
  <c r="J6919" i="7"/>
  <c r="J6915" i="7"/>
  <c r="L6915" i="7"/>
  <c r="B7006" i="7"/>
  <c r="B7005" i="7"/>
  <c r="B7011" i="7"/>
  <c r="B7015" i="7"/>
  <c r="B6995" i="7"/>
  <c r="B6992" i="7"/>
  <c r="B7001" i="7"/>
  <c r="B7010" i="7"/>
  <c r="B7007" i="7"/>
  <c r="B6993" i="7"/>
  <c r="B7003" i="7"/>
  <c r="B7009" i="7"/>
  <c r="B6994" i="7"/>
  <c r="B7002" i="7"/>
  <c r="B6997" i="7"/>
  <c r="B7000" i="7"/>
  <c r="P6912" i="7"/>
  <c r="R6912" i="7" s="1"/>
  <c r="D6957" i="7"/>
  <c r="D6959" i="7"/>
  <c r="D6960" i="7"/>
  <c r="D6958" i="7"/>
  <c r="D6961" i="7"/>
  <c r="D6955" i="7"/>
  <c r="N6887" i="7"/>
  <c r="AA6887" i="7" s="1"/>
  <c r="AA3231" i="7" l="1"/>
  <c r="B7053" i="7"/>
  <c r="B7066" i="7"/>
  <c r="B7055" i="7"/>
  <c r="B7052" i="7"/>
  <c r="B7063" i="7"/>
  <c r="B7057" i="7"/>
  <c r="B7070" i="7"/>
  <c r="B7065" i="7"/>
  <c r="B7071" i="7"/>
  <c r="B7062" i="7"/>
  <c r="B7067" i="7"/>
  <c r="B7069" i="7"/>
  <c r="B7060" i="7"/>
  <c r="B7061" i="7"/>
  <c r="B7054" i="7"/>
  <c r="A7052" i="7"/>
  <c r="A7069" i="7"/>
  <c r="A7053" i="7"/>
  <c r="A7060" i="7"/>
  <c r="A7070" i="7"/>
  <c r="A7061" i="7"/>
  <c r="A7054" i="7"/>
  <c r="C7045" i="7"/>
  <c r="A7055" i="7"/>
  <c r="A7057" i="7"/>
  <c r="A7065" i="7"/>
  <c r="A7062" i="7"/>
  <c r="A7063" i="7"/>
  <c r="A7071" i="7"/>
  <c r="A7066" i="7"/>
  <c r="A7067" i="7"/>
  <c r="N3290" i="7"/>
  <c r="L3319" i="7"/>
  <c r="N3260" i="7"/>
  <c r="N3261" i="7"/>
  <c r="W3315" i="7"/>
  <c r="W3319" i="7" s="1"/>
  <c r="AA3193" i="7"/>
  <c r="AA3192" i="7" s="1"/>
  <c r="N3259" i="7"/>
  <c r="N3289" i="7"/>
  <c r="N3291" i="7"/>
  <c r="AA3230" i="7"/>
  <c r="L3321" i="7"/>
  <c r="N3275" i="7"/>
  <c r="P3275" i="7" s="1"/>
  <c r="R3275" i="7" s="1"/>
  <c r="L3320" i="7"/>
  <c r="N3245" i="7"/>
  <c r="P3245" i="7" s="1"/>
  <c r="R3245" i="7" s="1"/>
  <c r="AA3162" i="7"/>
  <c r="AA3161" i="7"/>
  <c r="N3223" i="7"/>
  <c r="P3223" i="7" s="1"/>
  <c r="R3223" i="7" s="1"/>
  <c r="N3285" i="7"/>
  <c r="AA3285" i="7" s="1"/>
  <c r="W3316" i="7"/>
  <c r="W3320" i="7" s="1"/>
  <c r="N3282" i="7"/>
  <c r="P3312" i="7"/>
  <c r="R3312" i="7" s="1"/>
  <c r="W3317" i="7"/>
  <c r="W3321" i="7" s="1"/>
  <c r="P3304" i="7"/>
  <c r="R3304" i="7" s="1"/>
  <c r="N3287" i="7"/>
  <c r="AA3287" i="7" s="1"/>
  <c r="N3286" i="7"/>
  <c r="AA3286" i="7" s="1"/>
  <c r="AA3183" i="7"/>
  <c r="P3311" i="7"/>
  <c r="R3311" i="7" s="1"/>
  <c r="AA3182" i="7"/>
  <c r="F3350" i="7"/>
  <c r="U3350" i="7" s="1"/>
  <c r="F3345" i="7"/>
  <c r="U3345" i="7" s="1"/>
  <c r="D3350" i="7"/>
  <c r="D3345" i="7"/>
  <c r="F3341" i="7"/>
  <c r="U3341" i="7" s="1"/>
  <c r="F3334" i="7"/>
  <c r="G3326" i="7"/>
  <c r="F3347" i="7"/>
  <c r="U3347" i="7" s="1"/>
  <c r="F3333" i="7"/>
  <c r="U3333" i="7" s="1"/>
  <c r="D3326" i="7"/>
  <c r="F3351" i="7"/>
  <c r="U3351" i="7" s="1"/>
  <c r="H3351" i="7"/>
  <c r="D3347" i="7"/>
  <c r="D3333" i="7"/>
  <c r="H3350" i="7"/>
  <c r="D3334" i="7"/>
  <c r="F3332" i="7"/>
  <c r="F3349" i="7"/>
  <c r="U3349" i="7" s="1"/>
  <c r="D3340" i="7"/>
  <c r="D3349" i="7"/>
  <c r="D3341" i="7"/>
  <c r="F3337" i="7"/>
  <c r="H3345" i="7"/>
  <c r="D3332" i="7"/>
  <c r="H3347" i="7"/>
  <c r="H3346" i="7"/>
  <c r="F3346" i="7"/>
  <c r="U3346" i="7" s="1"/>
  <c r="F3340" i="7"/>
  <c r="D3346" i="7"/>
  <c r="F3342" i="7"/>
  <c r="D3337" i="7"/>
  <c r="W3337" i="7" s="1"/>
  <c r="D3351" i="7"/>
  <c r="H3349" i="7"/>
  <c r="D3342" i="7"/>
  <c r="J3334" i="7"/>
  <c r="J3332" i="7"/>
  <c r="J3337" i="7"/>
  <c r="J3333" i="7"/>
  <c r="A3395" i="7"/>
  <c r="A3402" i="7"/>
  <c r="A3407" i="7"/>
  <c r="A3393" i="7"/>
  <c r="A3401" i="7"/>
  <c r="C3385" i="7"/>
  <c r="A3415" i="7"/>
  <c r="A3392" i="7"/>
  <c r="A3400" i="7"/>
  <c r="A3410" i="7"/>
  <c r="A3406" i="7"/>
  <c r="A3394" i="7"/>
  <c r="A3411" i="7"/>
  <c r="A3405" i="7"/>
  <c r="A3403" i="7"/>
  <c r="A3409" i="7"/>
  <c r="A3397" i="7"/>
  <c r="J3311" i="7"/>
  <c r="N3311" i="7" s="1"/>
  <c r="N3303" i="7"/>
  <c r="Y3342" i="7"/>
  <c r="Y3343" i="7" s="1"/>
  <c r="Y3347" i="7"/>
  <c r="Y3332" i="7"/>
  <c r="Y3334" i="7"/>
  <c r="Y3335" i="7" s="1"/>
  <c r="Y3337" i="7"/>
  <c r="Y3341" i="7"/>
  <c r="Y3346" i="7"/>
  <c r="Y3340" i="7"/>
  <c r="Y3333" i="7"/>
  <c r="Y3345" i="7"/>
  <c r="L3312" i="7"/>
  <c r="U3312" i="7"/>
  <c r="U3313" i="7" s="1"/>
  <c r="P3302" i="7"/>
  <c r="R3302" i="7" s="1"/>
  <c r="D3305" i="7"/>
  <c r="J3312" i="7"/>
  <c r="U3307" i="7"/>
  <c r="L3307" i="7"/>
  <c r="N3307" i="7" s="1"/>
  <c r="L3317" i="7"/>
  <c r="J3317" i="7"/>
  <c r="F3305" i="7"/>
  <c r="U3302" i="7"/>
  <c r="L3302" i="7"/>
  <c r="N3302" i="7" s="1"/>
  <c r="J3310" i="7"/>
  <c r="P3310" i="7"/>
  <c r="R3310" i="7" s="1"/>
  <c r="D3313" i="7"/>
  <c r="W3313" i="7" s="1"/>
  <c r="L3310" i="7"/>
  <c r="F3313" i="7"/>
  <c r="U3310" i="7"/>
  <c r="L3304" i="7"/>
  <c r="N3304" i="7" s="1"/>
  <c r="U3304" i="7"/>
  <c r="U3305" i="7" s="1"/>
  <c r="J3321" i="7"/>
  <c r="J3320" i="7"/>
  <c r="J3319" i="7"/>
  <c r="N3319" i="7" s="1"/>
  <c r="L3316" i="7"/>
  <c r="J3316" i="7"/>
  <c r="B3395" i="7"/>
  <c r="B3402" i="7"/>
  <c r="B3415" i="7"/>
  <c r="B3407" i="7"/>
  <c r="B3393" i="7"/>
  <c r="B3401" i="7"/>
  <c r="B3397" i="7"/>
  <c r="B3409" i="7"/>
  <c r="B3400" i="7"/>
  <c r="B3403" i="7"/>
  <c r="B3411" i="7"/>
  <c r="B3394" i="7"/>
  <c r="B3410" i="7"/>
  <c r="B3405" i="7"/>
  <c r="B3392" i="7"/>
  <c r="B3406" i="7"/>
  <c r="N3280" i="7"/>
  <c r="Y3290" i="7"/>
  <c r="Y3291" i="7"/>
  <c r="W3275" i="7"/>
  <c r="Y3289" i="7"/>
  <c r="J3315" i="7"/>
  <c r="L3315" i="7"/>
  <c r="P3277" i="7"/>
  <c r="R3277" i="7" s="1"/>
  <c r="D3361" i="7"/>
  <c r="D3360" i="7"/>
  <c r="D3355" i="7"/>
  <c r="D3358" i="7"/>
  <c r="D3357" i="7"/>
  <c r="D3359" i="7"/>
  <c r="P3303" i="7"/>
  <c r="R3303" i="7" s="1"/>
  <c r="N3255" i="7"/>
  <c r="AA3255" i="7" s="1"/>
  <c r="N3252" i="7"/>
  <c r="N3256" i="7"/>
  <c r="AA3256" i="7" s="1"/>
  <c r="P3247" i="7"/>
  <c r="R3247" i="7" s="1"/>
  <c r="Y3261" i="7"/>
  <c r="AA3261" i="7" s="1"/>
  <c r="W3245" i="7"/>
  <c r="Y3260" i="7"/>
  <c r="AA3260" i="7" s="1"/>
  <c r="Y3259" i="7"/>
  <c r="AA3259" i="7" s="1"/>
  <c r="AA3215" i="7"/>
  <c r="AA3217" i="7"/>
  <c r="N3257" i="7"/>
  <c r="AA3257" i="7" s="1"/>
  <c r="N3250" i="7"/>
  <c r="AA6843" i="7"/>
  <c r="AA6844" i="7"/>
  <c r="N6921" i="7"/>
  <c r="N6905" i="7"/>
  <c r="P6905" i="7" s="1"/>
  <c r="R6905" i="7" s="1"/>
  <c r="L6950" i="7"/>
  <c r="AA6889" i="7"/>
  <c r="P6941" i="7"/>
  <c r="R6941" i="7" s="1"/>
  <c r="AA6890" i="7"/>
  <c r="AA6891" i="7"/>
  <c r="P6933" i="7"/>
  <c r="R6933" i="7" s="1"/>
  <c r="L6951" i="7"/>
  <c r="N6919" i="7"/>
  <c r="N6920" i="7"/>
  <c r="N6910" i="7"/>
  <c r="AA6875" i="7"/>
  <c r="AA6872" i="7" s="1"/>
  <c r="N6912" i="7"/>
  <c r="N6916" i="7"/>
  <c r="AA6916" i="7" s="1"/>
  <c r="W6946" i="7"/>
  <c r="W6950" i="7" s="1"/>
  <c r="N6917" i="7"/>
  <c r="AA6917" i="7" s="1"/>
  <c r="L6949" i="7"/>
  <c r="P6907" i="7"/>
  <c r="R6907" i="7" s="1"/>
  <c r="U6937" i="7"/>
  <c r="L6937" i="7"/>
  <c r="N6937" i="7" s="1"/>
  <c r="P6937" i="7" s="1"/>
  <c r="R6937" i="7" s="1"/>
  <c r="AA6883" i="7"/>
  <c r="B7036" i="7"/>
  <c r="B7040" i="7"/>
  <c r="B7025" i="7"/>
  <c r="B7033" i="7"/>
  <c r="B7039" i="7"/>
  <c r="B7023" i="7"/>
  <c r="B7035" i="7"/>
  <c r="B7041" i="7"/>
  <c r="B7032" i="7"/>
  <c r="B7024" i="7"/>
  <c r="B7031" i="7"/>
  <c r="B7037" i="7"/>
  <c r="B7022" i="7"/>
  <c r="B7075" i="7"/>
  <c r="B7027" i="7"/>
  <c r="B7030" i="7"/>
  <c r="D6989" i="7"/>
  <c r="D6988" i="7"/>
  <c r="D6990" i="7"/>
  <c r="D6991" i="7"/>
  <c r="D6987" i="7"/>
  <c r="D6985" i="7"/>
  <c r="U6932" i="7"/>
  <c r="F6935" i="7"/>
  <c r="L6932" i="7"/>
  <c r="N6932" i="7" s="1"/>
  <c r="J6942" i="7"/>
  <c r="L6942" i="7"/>
  <c r="U6942" i="7"/>
  <c r="U6943" i="7" s="1"/>
  <c r="N6915" i="7"/>
  <c r="AA6915" i="7" s="1"/>
  <c r="P6934" i="7"/>
  <c r="R6934" i="7" s="1"/>
  <c r="J6941" i="7"/>
  <c r="N6941" i="7" s="1"/>
  <c r="N6933" i="7"/>
  <c r="J6946" i="7"/>
  <c r="L6946" i="7"/>
  <c r="J6962" i="7"/>
  <c r="J6963" i="7"/>
  <c r="J6964" i="7"/>
  <c r="J6972" i="7" s="1"/>
  <c r="J6967" i="7"/>
  <c r="W6947" i="7"/>
  <c r="W6951" i="7" s="1"/>
  <c r="U6940" i="7"/>
  <c r="L6940" i="7"/>
  <c r="N6940" i="7" s="1"/>
  <c r="F6943" i="7"/>
  <c r="P6940" i="7"/>
  <c r="R6940" i="7" s="1"/>
  <c r="D6943" i="7"/>
  <c r="W6943" i="7" s="1"/>
  <c r="Y6920" i="7"/>
  <c r="Y6919" i="7"/>
  <c r="Y6921" i="7"/>
  <c r="W6905" i="7"/>
  <c r="W6945" i="7"/>
  <c r="W6949" i="7" s="1"/>
  <c r="P6942" i="7"/>
  <c r="R6942" i="7" s="1"/>
  <c r="U6934" i="7"/>
  <c r="U6935" i="7" s="1"/>
  <c r="L6934" i="7"/>
  <c r="N6934" i="7" s="1"/>
  <c r="J6951" i="7"/>
  <c r="J6950" i="7"/>
  <c r="J6949" i="7"/>
  <c r="D6935" i="7"/>
  <c r="P6932" i="7"/>
  <c r="R6932" i="7" s="1"/>
  <c r="D6956" i="7"/>
  <c r="H6975" i="7"/>
  <c r="F6976" i="7"/>
  <c r="U6976" i="7" s="1"/>
  <c r="H6980" i="7"/>
  <c r="D6981" i="7"/>
  <c r="F6970" i="7"/>
  <c r="F6981" i="7"/>
  <c r="U6981" i="7" s="1"/>
  <c r="F6967" i="7"/>
  <c r="D6975" i="7"/>
  <c r="F6971" i="7"/>
  <c r="U6971" i="7" s="1"/>
  <c r="D6977" i="7"/>
  <c r="H6981" i="7"/>
  <c r="H6976" i="7"/>
  <c r="D6971" i="7"/>
  <c r="F6972" i="7"/>
  <c r="D6976" i="7"/>
  <c r="D6970" i="7"/>
  <c r="D6980" i="7"/>
  <c r="F6964" i="7"/>
  <c r="G6956" i="7"/>
  <c r="F6962" i="7"/>
  <c r="F6979" i="7"/>
  <c r="U6979" i="7" s="1"/>
  <c r="F6980" i="7"/>
  <c r="U6980" i="7" s="1"/>
  <c r="F6977" i="7"/>
  <c r="U6977" i="7" s="1"/>
  <c r="H6979" i="7"/>
  <c r="F6975" i="7"/>
  <c r="U6975" i="7" s="1"/>
  <c r="D6972" i="7"/>
  <c r="D6963" i="7"/>
  <c r="D6979" i="7"/>
  <c r="F6963" i="7"/>
  <c r="U6963" i="7" s="1"/>
  <c r="H6977" i="7"/>
  <c r="D6962" i="7"/>
  <c r="D6967" i="7"/>
  <c r="W6967" i="7" s="1"/>
  <c r="D6964" i="7"/>
  <c r="L6945" i="7"/>
  <c r="J6945" i="7"/>
  <c r="L6947" i="7"/>
  <c r="J6947" i="7"/>
  <c r="Y6976" i="7"/>
  <c r="Y6971" i="7"/>
  <c r="Y6972" i="7"/>
  <c r="Y6973" i="7" s="1"/>
  <c r="Y6964" i="7"/>
  <c r="Y6965" i="7" s="1"/>
  <c r="Y6975" i="7"/>
  <c r="Y6977" i="7"/>
  <c r="Y6962" i="7"/>
  <c r="Y6967" i="7"/>
  <c r="Y6970" i="7"/>
  <c r="Y6963" i="7"/>
  <c r="A7037" i="7"/>
  <c r="A7032" i="7"/>
  <c r="A7022" i="7"/>
  <c r="A7075" i="7"/>
  <c r="A7023" i="7"/>
  <c r="A7036" i="7"/>
  <c r="A7031" i="7"/>
  <c r="A7027" i="7"/>
  <c r="A7035" i="7"/>
  <c r="A7033" i="7"/>
  <c r="A7030" i="7"/>
  <c r="A7041" i="7"/>
  <c r="A7024" i="7"/>
  <c r="C7015" i="7"/>
  <c r="A7039" i="7"/>
  <c r="A7040" i="7"/>
  <c r="A7025" i="7"/>
  <c r="D7050" i="7" l="1"/>
  <c r="D7049" i="7"/>
  <c r="D7047" i="7"/>
  <c r="D7045" i="7"/>
  <c r="D7051" i="7"/>
  <c r="D7048" i="7"/>
  <c r="AA3290" i="7"/>
  <c r="AA3190" i="7"/>
  <c r="AA3289" i="7"/>
  <c r="AA3291" i="7"/>
  <c r="AA3191" i="7"/>
  <c r="N3321" i="7"/>
  <c r="AA3223" i="7"/>
  <c r="AA3220" i="7" s="1"/>
  <c r="N3320" i="7"/>
  <c r="L3351" i="7"/>
  <c r="N3305" i="7"/>
  <c r="P3305" i="7" s="1"/>
  <c r="R3305" i="7" s="1"/>
  <c r="W3347" i="7"/>
  <c r="W3351" i="7" s="1"/>
  <c r="L3349" i="7"/>
  <c r="L3350" i="7"/>
  <c r="N3283" i="7"/>
  <c r="P3283" i="7" s="1"/>
  <c r="R3283" i="7" s="1"/>
  <c r="AA3283" i="7" s="1"/>
  <c r="AA3282" i="7" s="1"/>
  <c r="N3253" i="7"/>
  <c r="P3253" i="7" s="1"/>
  <c r="R3253" i="7" s="1"/>
  <c r="AA3275" i="7"/>
  <c r="AA3274" i="7" s="1"/>
  <c r="AA3277" i="7"/>
  <c r="P3341" i="7"/>
  <c r="R3341" i="7" s="1"/>
  <c r="N3316" i="7"/>
  <c r="AA3316" i="7" s="1"/>
  <c r="W3346" i="7"/>
  <c r="W3350" i="7" s="1"/>
  <c r="N3317" i="7"/>
  <c r="AA3317" i="7" s="1"/>
  <c r="P3333" i="7"/>
  <c r="R3333" i="7" s="1"/>
  <c r="N3312" i="7"/>
  <c r="W3345" i="7"/>
  <c r="W3349" i="7" s="1"/>
  <c r="P3334" i="7"/>
  <c r="R3334" i="7" s="1"/>
  <c r="A3431" i="7"/>
  <c r="A3424" i="7"/>
  <c r="C3415" i="7"/>
  <c r="A3436" i="7"/>
  <c r="A3441" i="7"/>
  <c r="A3440" i="7"/>
  <c r="A3437" i="7"/>
  <c r="A3432" i="7"/>
  <c r="A3422" i="7"/>
  <c r="A3435" i="7"/>
  <c r="A3425" i="7"/>
  <c r="A3439" i="7"/>
  <c r="A3430" i="7"/>
  <c r="A3445" i="7"/>
  <c r="A3423" i="7"/>
  <c r="A3433" i="7"/>
  <c r="A3427" i="7"/>
  <c r="L3346" i="7"/>
  <c r="J3346" i="7"/>
  <c r="L3347" i="7"/>
  <c r="J3347" i="7"/>
  <c r="D3385" i="7"/>
  <c r="D3389" i="7"/>
  <c r="D3388" i="7"/>
  <c r="D3391" i="7"/>
  <c r="D3390" i="7"/>
  <c r="D3387" i="7"/>
  <c r="F3343" i="7"/>
  <c r="U3340" i="7"/>
  <c r="L3340" i="7"/>
  <c r="B3431" i="7"/>
  <c r="B3424" i="7"/>
  <c r="B3441" i="7"/>
  <c r="B3436" i="7"/>
  <c r="B3422" i="7"/>
  <c r="B3432" i="7"/>
  <c r="B3435" i="7"/>
  <c r="B3439" i="7"/>
  <c r="B3433" i="7"/>
  <c r="B3425" i="7"/>
  <c r="B3440" i="7"/>
  <c r="B3423" i="7"/>
  <c r="B3430" i="7"/>
  <c r="B3445" i="7"/>
  <c r="B3437" i="7"/>
  <c r="B3427" i="7"/>
  <c r="J3351" i="7"/>
  <c r="J3350" i="7"/>
  <c r="J3349" i="7"/>
  <c r="N3310" i="7"/>
  <c r="J3363" i="7"/>
  <c r="J3362" i="7"/>
  <c r="J3364" i="7"/>
  <c r="J3367" i="7"/>
  <c r="P3307" i="7"/>
  <c r="R3307" i="7" s="1"/>
  <c r="P3332" i="7"/>
  <c r="R3332" i="7" s="1"/>
  <c r="D3335" i="7"/>
  <c r="F3379" i="7"/>
  <c r="U3379" i="7" s="1"/>
  <c r="D3367" i="7"/>
  <c r="W3367" i="7" s="1"/>
  <c r="D3379" i="7"/>
  <c r="F3363" i="7"/>
  <c r="U3363" i="7" s="1"/>
  <c r="F3370" i="7"/>
  <c r="D3363" i="7"/>
  <c r="H3376" i="7"/>
  <c r="D3370" i="7"/>
  <c r="H3380" i="7"/>
  <c r="F3376" i="7"/>
  <c r="U3376" i="7" s="1"/>
  <c r="F3362" i="7"/>
  <c r="D3376" i="7"/>
  <c r="D3362" i="7"/>
  <c r="H3381" i="7"/>
  <c r="D3377" i="7"/>
  <c r="H3375" i="7"/>
  <c r="D3371" i="7"/>
  <c r="F3367" i="7"/>
  <c r="G3356" i="7"/>
  <c r="D3356" i="7"/>
  <c r="D3381" i="7"/>
  <c r="H3379" i="7"/>
  <c r="D3372" i="7"/>
  <c r="F3364" i="7"/>
  <c r="F3381" i="7"/>
  <c r="U3381" i="7" s="1"/>
  <c r="D3364" i="7"/>
  <c r="F3380" i="7"/>
  <c r="U3380" i="7" s="1"/>
  <c r="F3371" i="7"/>
  <c r="U3371" i="7" s="1"/>
  <c r="D3375" i="7"/>
  <c r="F3377" i="7"/>
  <c r="U3377" i="7" s="1"/>
  <c r="D3380" i="7"/>
  <c r="F3375" i="7"/>
  <c r="U3375" i="7" s="1"/>
  <c r="H3377" i="7"/>
  <c r="F3372" i="7"/>
  <c r="J3341" i="7"/>
  <c r="N3341" i="7" s="1"/>
  <c r="N3333" i="7"/>
  <c r="L3337" i="7"/>
  <c r="N3337" i="7" s="1"/>
  <c r="U3337" i="7"/>
  <c r="L3334" i="7"/>
  <c r="N3334" i="7" s="1"/>
  <c r="U3334" i="7"/>
  <c r="U3335" i="7" s="1"/>
  <c r="Y3319" i="7"/>
  <c r="AA3319" i="7" s="1"/>
  <c r="W3305" i="7"/>
  <c r="Y3320" i="7"/>
  <c r="Y3321" i="7"/>
  <c r="Y3371" i="7"/>
  <c r="Y3376" i="7"/>
  <c r="Y3363" i="7"/>
  <c r="Y3377" i="7"/>
  <c r="Y3364" i="7"/>
  <c r="Y3365" i="7" s="1"/>
  <c r="Y3370" i="7"/>
  <c r="Y3372" i="7"/>
  <c r="Y3373" i="7" s="1"/>
  <c r="Y3367" i="7"/>
  <c r="Y3362" i="7"/>
  <c r="Y3375" i="7"/>
  <c r="J3340" i="7"/>
  <c r="L3345" i="7"/>
  <c r="J3345" i="7"/>
  <c r="U3342" i="7"/>
  <c r="U3343" i="7" s="1"/>
  <c r="L3342" i="7"/>
  <c r="J3342" i="7"/>
  <c r="P3340" i="7"/>
  <c r="R3340" i="7" s="1"/>
  <c r="D3343" i="7"/>
  <c r="W3343" i="7" s="1"/>
  <c r="P3342" i="7"/>
  <c r="R3342" i="7" s="1"/>
  <c r="N3315" i="7"/>
  <c r="AA3315" i="7" s="1"/>
  <c r="U3332" i="7"/>
  <c r="L3332" i="7"/>
  <c r="N3332" i="7" s="1"/>
  <c r="F3335" i="7"/>
  <c r="AA3212" i="7"/>
  <c r="AA3213" i="7"/>
  <c r="AA3214" i="7"/>
  <c r="AA3245" i="7"/>
  <c r="AA3247" i="7"/>
  <c r="AA6921" i="7"/>
  <c r="N6950" i="7"/>
  <c r="P6964" i="7"/>
  <c r="R6964" i="7" s="1"/>
  <c r="AA6920" i="7"/>
  <c r="AA6873" i="7"/>
  <c r="N6951" i="7"/>
  <c r="AA6874" i="7"/>
  <c r="N6913" i="7"/>
  <c r="P6913" i="7" s="1"/>
  <c r="R6913" i="7" s="1"/>
  <c r="N6935" i="7"/>
  <c r="P6935" i="7" s="1"/>
  <c r="R6935" i="7" s="1"/>
  <c r="AA6919" i="7"/>
  <c r="N6949" i="7"/>
  <c r="L6980" i="7"/>
  <c r="AA6937" i="7"/>
  <c r="L6979" i="7"/>
  <c r="AA6905" i="7"/>
  <c r="AA6903" i="7" s="1"/>
  <c r="W6976" i="7"/>
  <c r="W6980" i="7" s="1"/>
  <c r="AA6907" i="7"/>
  <c r="L6981" i="7"/>
  <c r="W6975" i="7"/>
  <c r="W6979" i="7" s="1"/>
  <c r="D6973" i="7"/>
  <c r="W6973" i="7" s="1"/>
  <c r="P6970" i="7"/>
  <c r="R6970" i="7" s="1"/>
  <c r="J6979" i="7"/>
  <c r="J6981" i="7"/>
  <c r="J6980" i="7"/>
  <c r="D7005" i="7"/>
  <c r="F7007" i="7"/>
  <c r="U7007" i="7" s="1"/>
  <c r="F7011" i="7"/>
  <c r="U7011" i="7" s="1"/>
  <c r="F7006" i="7"/>
  <c r="U7006" i="7" s="1"/>
  <c r="D6992" i="7"/>
  <c r="D7011" i="7"/>
  <c r="F7010" i="7"/>
  <c r="U7010" i="7" s="1"/>
  <c r="F7005" i="7"/>
  <c r="U7005" i="7" s="1"/>
  <c r="D7006" i="7"/>
  <c r="F6997" i="7"/>
  <c r="D7007" i="7"/>
  <c r="D6994" i="7"/>
  <c r="H7009" i="7"/>
  <c r="F7009" i="7"/>
  <c r="U7009" i="7" s="1"/>
  <c r="F6992" i="7"/>
  <c r="H7006" i="7"/>
  <c r="D6997" i="7"/>
  <c r="W6997" i="7" s="1"/>
  <c r="F7001" i="7"/>
  <c r="U7001" i="7" s="1"/>
  <c r="D7009" i="7"/>
  <c r="F6993" i="7"/>
  <c r="U6993" i="7" s="1"/>
  <c r="F7000" i="7"/>
  <c r="H7007" i="7"/>
  <c r="H7010" i="7"/>
  <c r="D6986" i="7"/>
  <c r="H7011" i="7"/>
  <c r="D7001" i="7"/>
  <c r="D6993" i="7"/>
  <c r="G6986" i="7"/>
  <c r="D7002" i="7"/>
  <c r="D7010" i="7"/>
  <c r="F6994" i="7"/>
  <c r="H7005" i="7"/>
  <c r="D7000" i="7"/>
  <c r="F7002" i="7"/>
  <c r="D7021" i="7"/>
  <c r="D7020" i="7"/>
  <c r="D7015" i="7"/>
  <c r="D7018" i="7"/>
  <c r="D7017" i="7"/>
  <c r="D7019" i="7"/>
  <c r="Y7007" i="7"/>
  <c r="Y6992" i="7"/>
  <c r="Y7005" i="7"/>
  <c r="Y7000" i="7"/>
  <c r="Y6994" i="7"/>
  <c r="Y6995" i="7" s="1"/>
  <c r="Y6993" i="7"/>
  <c r="Y6997" i="7"/>
  <c r="Y7006" i="7"/>
  <c r="Y7001" i="7"/>
  <c r="Y7002" i="7"/>
  <c r="Y7003" i="7" s="1"/>
  <c r="P6962" i="7"/>
  <c r="R6962" i="7" s="1"/>
  <c r="D6965" i="7"/>
  <c r="P6971" i="7"/>
  <c r="R6971" i="7" s="1"/>
  <c r="P6972" i="7"/>
  <c r="R6972" i="7" s="1"/>
  <c r="L6977" i="7"/>
  <c r="J6977" i="7"/>
  <c r="AA6880" i="7"/>
  <c r="AA6881" i="7"/>
  <c r="AA6882" i="7"/>
  <c r="P6963" i="7"/>
  <c r="R6963" i="7" s="1"/>
  <c r="U6964" i="7"/>
  <c r="U6965" i="7" s="1"/>
  <c r="L6964" i="7"/>
  <c r="N6964" i="7" s="1"/>
  <c r="L6975" i="7"/>
  <c r="J6975" i="7"/>
  <c r="W6977" i="7"/>
  <c r="W6981" i="7" s="1"/>
  <c r="B7082" i="7"/>
  <c r="B7093" i="7"/>
  <c r="B7090" i="7"/>
  <c r="B7101" i="7"/>
  <c r="B7085" i="7"/>
  <c r="B7097" i="7"/>
  <c r="B7100" i="7"/>
  <c r="B7105" i="7"/>
  <c r="B7084" i="7"/>
  <c r="B7099" i="7"/>
  <c r="B7092" i="7"/>
  <c r="B7087" i="7"/>
  <c r="B7083" i="7"/>
  <c r="B7095" i="7"/>
  <c r="B7096" i="7"/>
  <c r="B7091" i="7"/>
  <c r="J6997" i="7"/>
  <c r="J6992" i="7"/>
  <c r="J7000" i="7" s="1"/>
  <c r="J6993" i="7"/>
  <c r="J6994" i="7"/>
  <c r="Y6950" i="7"/>
  <c r="W6935" i="7"/>
  <c r="Y6951" i="7"/>
  <c r="Y6949" i="7"/>
  <c r="L6967" i="7"/>
  <c r="N6967" i="7" s="1"/>
  <c r="U6967" i="7"/>
  <c r="L6976" i="7"/>
  <c r="J6976" i="7"/>
  <c r="U6972" i="7"/>
  <c r="U6973" i="7" s="1"/>
  <c r="L6972" i="7"/>
  <c r="N6972" i="7" s="1"/>
  <c r="J6971" i="7"/>
  <c r="N6971" i="7" s="1"/>
  <c r="N6963" i="7"/>
  <c r="N6947" i="7"/>
  <c r="AA6947" i="7" s="1"/>
  <c r="U6970" i="7"/>
  <c r="L6970" i="7"/>
  <c r="F6973" i="7"/>
  <c r="J6970" i="7"/>
  <c r="L6962" i="7"/>
  <c r="N6962" i="7" s="1"/>
  <c r="U6962" i="7"/>
  <c r="F6965" i="7"/>
  <c r="N6942" i="7"/>
  <c r="N6943" i="7" s="1"/>
  <c r="P6943" i="7" s="1"/>
  <c r="R6943" i="7" s="1"/>
  <c r="A7087" i="7"/>
  <c r="A7083" i="7"/>
  <c r="A7105" i="7"/>
  <c r="A7092" i="7"/>
  <c r="A7085" i="7"/>
  <c r="A7084" i="7"/>
  <c r="A7095" i="7"/>
  <c r="A7096" i="7"/>
  <c r="A7099" i="7"/>
  <c r="A7097" i="7"/>
  <c r="A7101" i="7"/>
  <c r="A7090" i="7"/>
  <c r="A7100" i="7"/>
  <c r="A7093" i="7"/>
  <c r="C7075" i="7"/>
  <c r="A7091" i="7"/>
  <c r="A7082" i="7"/>
  <c r="N6945" i="7"/>
  <c r="AA6945" i="7" s="1"/>
  <c r="N6946" i="7"/>
  <c r="AA6946" i="7" s="1"/>
  <c r="F7069" i="7" l="1"/>
  <c r="U7069" i="7" s="1"/>
  <c r="D7057" i="7"/>
  <c r="W7057" i="7" s="1"/>
  <c r="H7070" i="7"/>
  <c r="F7070" i="7"/>
  <c r="U7070" i="7" s="1"/>
  <c r="F7065" i="7"/>
  <c r="U7065" i="7" s="1"/>
  <c r="D7070" i="7"/>
  <c r="D7065" i="7"/>
  <c r="F7054" i="7"/>
  <c r="D7061" i="7"/>
  <c r="D7046" i="7"/>
  <c r="F7066" i="7"/>
  <c r="U7066" i="7" s="1"/>
  <c r="H7067" i="7"/>
  <c r="F7062" i="7"/>
  <c r="D7062" i="7"/>
  <c r="F7052" i="7"/>
  <c r="D7052" i="7"/>
  <c r="H7069" i="7"/>
  <c r="D7069" i="7"/>
  <c r="F7053" i="7"/>
  <c r="U7053" i="7" s="1"/>
  <c r="D7060" i="7"/>
  <c r="H7071" i="7"/>
  <c r="F7071" i="7"/>
  <c r="U7071" i="7" s="1"/>
  <c r="D7066" i="7"/>
  <c r="D7067" i="7"/>
  <c r="F7057" i="7"/>
  <c r="F7060" i="7"/>
  <c r="D7053" i="7"/>
  <c r="H7065" i="7"/>
  <c r="F7061" i="7"/>
  <c r="U7061" i="7" s="1"/>
  <c r="G7046" i="7"/>
  <c r="W7067" i="7" s="1"/>
  <c r="W7071" i="7" s="1"/>
  <c r="H7066" i="7"/>
  <c r="D7054" i="7"/>
  <c r="D7071" i="7"/>
  <c r="F7067" i="7"/>
  <c r="U7067" i="7" s="1"/>
  <c r="J7053" i="7"/>
  <c r="J7054" i="7"/>
  <c r="J7057" i="7"/>
  <c r="J7052" i="7"/>
  <c r="AA3321" i="7"/>
  <c r="Y7061" i="7"/>
  <c r="Y7067" i="7"/>
  <c r="Y7052" i="7"/>
  <c r="Y7066" i="7"/>
  <c r="Y7057" i="7"/>
  <c r="Y7065" i="7"/>
  <c r="Y7062" i="7"/>
  <c r="Y7063" i="7" s="1"/>
  <c r="Y7060" i="7"/>
  <c r="Y7053" i="7"/>
  <c r="Y7054" i="7"/>
  <c r="Y7055" i="7" s="1"/>
  <c r="AA3320" i="7"/>
  <c r="AA3221" i="7"/>
  <c r="AA3222" i="7"/>
  <c r="N3351" i="7"/>
  <c r="N3349" i="7"/>
  <c r="AA3280" i="7"/>
  <c r="N3350" i="7"/>
  <c r="AA3253" i="7"/>
  <c r="AA3252" i="7" s="1"/>
  <c r="AA3281" i="7"/>
  <c r="N3313" i="7"/>
  <c r="P3313" i="7" s="1"/>
  <c r="R3313" i="7" s="1"/>
  <c r="L3379" i="7"/>
  <c r="AA3273" i="7"/>
  <c r="W3376" i="7"/>
  <c r="W3380" i="7" s="1"/>
  <c r="L3381" i="7"/>
  <c r="L3380" i="7"/>
  <c r="N3335" i="7"/>
  <c r="P3335" i="7" s="1"/>
  <c r="R3335" i="7" s="1"/>
  <c r="AA3272" i="7"/>
  <c r="N3345" i="7"/>
  <c r="AA3345" i="7" s="1"/>
  <c r="N3340" i="7"/>
  <c r="N3346" i="7"/>
  <c r="AA3346" i="7" s="1"/>
  <c r="N3342" i="7"/>
  <c r="AA3305" i="7"/>
  <c r="AA3304" i="7" s="1"/>
  <c r="P3364" i="7"/>
  <c r="R3364" i="7" s="1"/>
  <c r="N3347" i="7"/>
  <c r="AA3347" i="7" s="1"/>
  <c r="P3371" i="7"/>
  <c r="R3371" i="7" s="1"/>
  <c r="F3407" i="7"/>
  <c r="U3407" i="7" s="1"/>
  <c r="D3402" i="7"/>
  <c r="D3407" i="7"/>
  <c r="F3392" i="7"/>
  <c r="D3392" i="7"/>
  <c r="H3407" i="7"/>
  <c r="D3401" i="7"/>
  <c r="G3386" i="7"/>
  <c r="D3386" i="7"/>
  <c r="F3405" i="7"/>
  <c r="U3405" i="7" s="1"/>
  <c r="H3411" i="7"/>
  <c r="H3405" i="7"/>
  <c r="F3397" i="7"/>
  <c r="F3411" i="7"/>
  <c r="U3411" i="7" s="1"/>
  <c r="D3397" i="7"/>
  <c r="W3397" i="7" s="1"/>
  <c r="D3411" i="7"/>
  <c r="H3409" i="7"/>
  <c r="F3406" i="7"/>
  <c r="U3406" i="7" s="1"/>
  <c r="F3410" i="7"/>
  <c r="U3410" i="7" s="1"/>
  <c r="H3406" i="7"/>
  <c r="F3394" i="7"/>
  <c r="D3410" i="7"/>
  <c r="D3406" i="7"/>
  <c r="D3394" i="7"/>
  <c r="F3402" i="7"/>
  <c r="F3409" i="7"/>
  <c r="U3409" i="7" s="1"/>
  <c r="F3401" i="7"/>
  <c r="U3401" i="7" s="1"/>
  <c r="D3393" i="7"/>
  <c r="D3409" i="7"/>
  <c r="H3410" i="7"/>
  <c r="D3400" i="7"/>
  <c r="F3393" i="7"/>
  <c r="U3393" i="7" s="1"/>
  <c r="D3405" i="7"/>
  <c r="F3400" i="7"/>
  <c r="L3372" i="7"/>
  <c r="U3372" i="7"/>
  <c r="U3373" i="7" s="1"/>
  <c r="L3367" i="7"/>
  <c r="N3367" i="7" s="1"/>
  <c r="U3367" i="7"/>
  <c r="J3380" i="7"/>
  <c r="J3379" i="7"/>
  <c r="J3381" i="7"/>
  <c r="D3415" i="7"/>
  <c r="D3421" i="7"/>
  <c r="D3420" i="7"/>
  <c r="D3417" i="7"/>
  <c r="D3418" i="7"/>
  <c r="D3419" i="7"/>
  <c r="N3363" i="7"/>
  <c r="J3371" i="7"/>
  <c r="N3371" i="7" s="1"/>
  <c r="W3335" i="7"/>
  <c r="Y3349" i="7"/>
  <c r="Y3351" i="7"/>
  <c r="Y3350" i="7"/>
  <c r="L3377" i="7"/>
  <c r="J3377" i="7"/>
  <c r="L3375" i="7"/>
  <c r="J3375" i="7"/>
  <c r="D3365" i="7"/>
  <c r="P3362" i="7"/>
  <c r="R3362" i="7" s="1"/>
  <c r="J3372" i="7"/>
  <c r="J3376" i="7"/>
  <c r="L3376" i="7"/>
  <c r="W3375" i="7"/>
  <c r="W3379" i="7" s="1"/>
  <c r="A3453" i="7"/>
  <c r="A3460" i="7"/>
  <c r="A3470" i="7"/>
  <c r="A3465" i="7"/>
  <c r="A3475" i="7"/>
  <c r="A3457" i="7"/>
  <c r="A3454" i="7"/>
  <c r="A3467" i="7"/>
  <c r="A3462" i="7"/>
  <c r="A3455" i="7"/>
  <c r="C3445" i="7"/>
  <c r="A3469" i="7"/>
  <c r="A3466" i="7"/>
  <c r="A3461" i="7"/>
  <c r="A3471" i="7"/>
  <c r="A3452" i="7"/>
  <c r="A3463" i="7"/>
  <c r="F3365" i="7"/>
  <c r="U3362" i="7"/>
  <c r="L3362" i="7"/>
  <c r="N3362" i="7" s="1"/>
  <c r="W3377" i="7"/>
  <c r="W3381" i="7" s="1"/>
  <c r="B3460" i="7"/>
  <c r="B3470" i="7"/>
  <c r="B3465" i="7"/>
  <c r="B3454" i="7"/>
  <c r="B3467" i="7"/>
  <c r="B3457" i="7"/>
  <c r="B3452" i="7"/>
  <c r="B3462" i="7"/>
  <c r="B3471" i="7"/>
  <c r="B3453" i="7"/>
  <c r="B3475" i="7"/>
  <c r="B3455" i="7"/>
  <c r="B3469" i="7"/>
  <c r="B3461" i="7"/>
  <c r="B3463" i="7"/>
  <c r="B3466" i="7"/>
  <c r="L3370" i="7"/>
  <c r="U3370" i="7"/>
  <c r="F3373" i="7"/>
  <c r="J3392" i="7"/>
  <c r="J3397" i="7"/>
  <c r="J3394" i="7"/>
  <c r="J3393" i="7"/>
  <c r="P3337" i="7"/>
  <c r="R3337" i="7" s="1"/>
  <c r="D3373" i="7"/>
  <c r="W3373" i="7" s="1"/>
  <c r="P3370" i="7"/>
  <c r="R3370" i="7" s="1"/>
  <c r="AA3307" i="7"/>
  <c r="U3364" i="7"/>
  <c r="U3365" i="7" s="1"/>
  <c r="L3364" i="7"/>
  <c r="N3364" i="7" s="1"/>
  <c r="P3372" i="7"/>
  <c r="R3372" i="7" s="1"/>
  <c r="Y3405" i="7"/>
  <c r="Y3402" i="7"/>
  <c r="Y3403" i="7" s="1"/>
  <c r="Y3392" i="7"/>
  <c r="Y3406" i="7"/>
  <c r="Y3400" i="7"/>
  <c r="Y3407" i="7"/>
  <c r="Y3393" i="7"/>
  <c r="Y3401" i="7"/>
  <c r="Y3397" i="7"/>
  <c r="Y3394" i="7"/>
  <c r="Y3395" i="7" s="1"/>
  <c r="J3370" i="7"/>
  <c r="P3363" i="7"/>
  <c r="R3363" i="7" s="1"/>
  <c r="AA3243" i="7"/>
  <c r="AA3242" i="7"/>
  <c r="AA3244" i="7"/>
  <c r="AA6950" i="7"/>
  <c r="AA6951" i="7"/>
  <c r="N6965" i="7"/>
  <c r="P6965" i="7" s="1"/>
  <c r="R6965" i="7" s="1"/>
  <c r="N6977" i="7"/>
  <c r="AA6977" i="7" s="1"/>
  <c r="N6979" i="7"/>
  <c r="AA6913" i="7"/>
  <c r="AA6912" i="7" s="1"/>
  <c r="AA6935" i="7"/>
  <c r="AA6933" i="7" s="1"/>
  <c r="L7010" i="7"/>
  <c r="N6981" i="7"/>
  <c r="N6976" i="7"/>
  <c r="AA6976" i="7" s="1"/>
  <c r="AA6949" i="7"/>
  <c r="W7005" i="7"/>
  <c r="W7009" i="7" s="1"/>
  <c r="N6980" i="7"/>
  <c r="AA6904" i="7"/>
  <c r="AA6902" i="7"/>
  <c r="P7002" i="7"/>
  <c r="R7002" i="7" s="1"/>
  <c r="N6970" i="7"/>
  <c r="N6973" i="7" s="1"/>
  <c r="P6973" i="7" s="1"/>
  <c r="R6973" i="7" s="1"/>
  <c r="AA6943" i="7"/>
  <c r="AA6941" i="7" s="1"/>
  <c r="L7009" i="7"/>
  <c r="W7007" i="7"/>
  <c r="W7011" i="7" s="1"/>
  <c r="L7011" i="7"/>
  <c r="W7006" i="7"/>
  <c r="W7010" i="7" s="1"/>
  <c r="J7023" i="7"/>
  <c r="J7027" i="7"/>
  <c r="J7022" i="7"/>
  <c r="J7024" i="7"/>
  <c r="L7006" i="7"/>
  <c r="J7006" i="7"/>
  <c r="N6975" i="7"/>
  <c r="AA6975" i="7" s="1"/>
  <c r="J7011" i="7"/>
  <c r="J7009" i="7"/>
  <c r="J7010" i="7"/>
  <c r="D7037" i="7"/>
  <c r="F7031" i="7"/>
  <c r="U7031" i="7" s="1"/>
  <c r="H7039" i="7"/>
  <c r="D7027" i="7"/>
  <c r="W7027" i="7" s="1"/>
  <c r="F7040" i="7"/>
  <c r="U7040" i="7" s="1"/>
  <c r="D7023" i="7"/>
  <c r="F7032" i="7"/>
  <c r="F7022" i="7"/>
  <c r="D7031" i="7"/>
  <c r="F7036" i="7"/>
  <c r="U7036" i="7" s="1"/>
  <c r="H7040" i="7"/>
  <c r="D7035" i="7"/>
  <c r="D7022" i="7"/>
  <c r="F7030" i="7"/>
  <c r="H7041" i="7"/>
  <c r="F7024" i="7"/>
  <c r="D7024" i="7"/>
  <c r="F7027" i="7"/>
  <c r="H7037" i="7"/>
  <c r="F7039" i="7"/>
  <c r="U7039" i="7" s="1"/>
  <c r="D7039" i="7"/>
  <c r="D7041" i="7"/>
  <c r="F7041" i="7"/>
  <c r="U7041" i="7" s="1"/>
  <c r="D7036" i="7"/>
  <c r="G7016" i="7"/>
  <c r="H7035" i="7"/>
  <c r="D7032" i="7"/>
  <c r="D7030" i="7"/>
  <c r="H7036" i="7"/>
  <c r="F7023" i="7"/>
  <c r="U7023" i="7" s="1"/>
  <c r="D7016" i="7"/>
  <c r="F7035" i="7"/>
  <c r="U7035" i="7" s="1"/>
  <c r="D7040" i="7"/>
  <c r="F7037" i="7"/>
  <c r="U7037" i="7" s="1"/>
  <c r="D6995" i="7"/>
  <c r="P6992" i="7"/>
  <c r="R6992" i="7" s="1"/>
  <c r="B7121" i="7"/>
  <c r="B7130" i="7"/>
  <c r="B7112" i="7"/>
  <c r="B7123" i="7"/>
  <c r="B7113" i="7"/>
  <c r="B7122" i="7"/>
  <c r="B7117" i="7"/>
  <c r="B7114" i="7"/>
  <c r="B7135" i="7"/>
  <c r="B7125" i="7"/>
  <c r="B7131" i="7"/>
  <c r="B7126" i="7"/>
  <c r="B7129" i="7"/>
  <c r="B7127" i="7"/>
  <c r="B7115" i="7"/>
  <c r="B7120" i="7"/>
  <c r="J7005" i="7"/>
  <c r="L7005" i="7"/>
  <c r="L6994" i="7"/>
  <c r="N6994" i="7" s="1"/>
  <c r="U6994" i="7"/>
  <c r="U6995" i="7" s="1"/>
  <c r="F6995" i="7"/>
  <c r="U6992" i="7"/>
  <c r="L6992" i="7"/>
  <c r="N6992" i="7" s="1"/>
  <c r="Y6980" i="7"/>
  <c r="W6965" i="7"/>
  <c r="Y6981" i="7"/>
  <c r="Y6979" i="7"/>
  <c r="U7002" i="7"/>
  <c r="U7003" i="7" s="1"/>
  <c r="L7002" i="7"/>
  <c r="D7003" i="7"/>
  <c r="W7003" i="7" s="1"/>
  <c r="P7000" i="7"/>
  <c r="R7000" i="7" s="1"/>
  <c r="J7002" i="7"/>
  <c r="P6967" i="7"/>
  <c r="R6967" i="7" s="1"/>
  <c r="N6993" i="7"/>
  <c r="J7001" i="7"/>
  <c r="N7001" i="7" s="1"/>
  <c r="P6994" i="7"/>
  <c r="R6994" i="7" s="1"/>
  <c r="Y7037" i="7"/>
  <c r="Y7022" i="7"/>
  <c r="Y7023" i="7"/>
  <c r="Y7030" i="7"/>
  <c r="Y7035" i="7"/>
  <c r="Y7024" i="7"/>
  <c r="Y7025" i="7" s="1"/>
  <c r="Y7036" i="7"/>
  <c r="Y7032" i="7"/>
  <c r="Y7033" i="7" s="1"/>
  <c r="Y7027" i="7"/>
  <c r="Y7031" i="7"/>
  <c r="P6993" i="7"/>
  <c r="R6993" i="7" s="1"/>
  <c r="J7007" i="7"/>
  <c r="L7007" i="7"/>
  <c r="D7077" i="7"/>
  <c r="D7078" i="7"/>
  <c r="D7079" i="7"/>
  <c r="D7080" i="7"/>
  <c r="D7081" i="7"/>
  <c r="D7075" i="7"/>
  <c r="L7000" i="7"/>
  <c r="N7000" i="7" s="1"/>
  <c r="U7000" i="7"/>
  <c r="F7003" i="7"/>
  <c r="A7121" i="7"/>
  <c r="A7129" i="7"/>
  <c r="A7131" i="7"/>
  <c r="A7117" i="7"/>
  <c r="A7114" i="7"/>
  <c r="A7113" i="7"/>
  <c r="C7105" i="7"/>
  <c r="A7123" i="7"/>
  <c r="A7127" i="7"/>
  <c r="A7126" i="7"/>
  <c r="A7122" i="7"/>
  <c r="A7115" i="7"/>
  <c r="A7112" i="7"/>
  <c r="A7120" i="7"/>
  <c r="A7130" i="7"/>
  <c r="A7135" i="7"/>
  <c r="A7125" i="7"/>
  <c r="P7001" i="7"/>
  <c r="R7001" i="7" s="1"/>
  <c r="U6997" i="7"/>
  <c r="L6997" i="7"/>
  <c r="N6997" i="7" s="1"/>
  <c r="L7069" i="7" l="1"/>
  <c r="L7070" i="7"/>
  <c r="P7053" i="7"/>
  <c r="R7053" i="7" s="1"/>
  <c r="L7060" i="7"/>
  <c r="U7060" i="7"/>
  <c r="F7063" i="7"/>
  <c r="J7069" i="7"/>
  <c r="J7070" i="7"/>
  <c r="J7071" i="7"/>
  <c r="U7057" i="7"/>
  <c r="L7057" i="7"/>
  <c r="N7057" i="7" s="1"/>
  <c r="P7061" i="7"/>
  <c r="R7061" i="7" s="1"/>
  <c r="L7067" i="7"/>
  <c r="J7067" i="7"/>
  <c r="U7054" i="7"/>
  <c r="U7055" i="7" s="1"/>
  <c r="L7054" i="7"/>
  <c r="N7054" i="7" s="1"/>
  <c r="L7066" i="7"/>
  <c r="J7066" i="7"/>
  <c r="L7065" i="7"/>
  <c r="J7065" i="7"/>
  <c r="J7061" i="7"/>
  <c r="N7061" i="7" s="1"/>
  <c r="N7053" i="7"/>
  <c r="D7063" i="7"/>
  <c r="W7063" i="7" s="1"/>
  <c r="P7060" i="7"/>
  <c r="R7060" i="7" s="1"/>
  <c r="P7054" i="7"/>
  <c r="R7054" i="7" s="1"/>
  <c r="D7055" i="7"/>
  <c r="P7052" i="7"/>
  <c r="R7052" i="7" s="1"/>
  <c r="W7065" i="7"/>
  <c r="W7069" i="7" s="1"/>
  <c r="U7062" i="7"/>
  <c r="U7063" i="7" s="1"/>
  <c r="L7062" i="7"/>
  <c r="F7055" i="7"/>
  <c r="U7052" i="7"/>
  <c r="L7052" i="7"/>
  <c r="N7052" i="7" s="1"/>
  <c r="W7066" i="7"/>
  <c r="W7070" i="7" s="1"/>
  <c r="J7060" i="7"/>
  <c r="J7062" i="7"/>
  <c r="L7071" i="7"/>
  <c r="AA3351" i="7"/>
  <c r="P7062" i="7"/>
  <c r="R7062" i="7" s="1"/>
  <c r="AA3349" i="7"/>
  <c r="AA3350" i="7"/>
  <c r="AA3251" i="7"/>
  <c r="N3365" i="7"/>
  <c r="P3365" i="7" s="1"/>
  <c r="R3365" i="7" s="1"/>
  <c r="AA3250" i="7"/>
  <c r="AA3313" i="7"/>
  <c r="AA3310" i="7" s="1"/>
  <c r="L3411" i="7"/>
  <c r="N3380" i="7"/>
  <c r="L3410" i="7"/>
  <c r="N3381" i="7"/>
  <c r="N3379" i="7"/>
  <c r="W3405" i="7"/>
  <c r="W3409" i="7" s="1"/>
  <c r="N3343" i="7"/>
  <c r="P3343" i="7" s="1"/>
  <c r="R3343" i="7" s="1"/>
  <c r="L3409" i="7"/>
  <c r="N3370" i="7"/>
  <c r="AA3302" i="7"/>
  <c r="AA3303" i="7"/>
  <c r="N3375" i="7"/>
  <c r="AA3375" i="7" s="1"/>
  <c r="N3377" i="7"/>
  <c r="AA3377" i="7" s="1"/>
  <c r="N3372" i="7"/>
  <c r="P3393" i="7"/>
  <c r="R3393" i="7" s="1"/>
  <c r="P3401" i="7"/>
  <c r="R3401" i="7" s="1"/>
  <c r="AA3335" i="7"/>
  <c r="Y3430" i="7"/>
  <c r="Y3423" i="7"/>
  <c r="Y3436" i="7"/>
  <c r="Y3437" i="7"/>
  <c r="Y3435" i="7"/>
  <c r="Y3427" i="7"/>
  <c r="Y3424" i="7"/>
  <c r="Y3425" i="7" s="1"/>
  <c r="Y3431" i="7"/>
  <c r="Y3432" i="7"/>
  <c r="Y3433" i="7" s="1"/>
  <c r="Y3422" i="7"/>
  <c r="U3402" i="7"/>
  <c r="U3403" i="7" s="1"/>
  <c r="L3402" i="7"/>
  <c r="J3409" i="7"/>
  <c r="J3411" i="7"/>
  <c r="J3410" i="7"/>
  <c r="P3394" i="7"/>
  <c r="R3394" i="7" s="1"/>
  <c r="L3406" i="7"/>
  <c r="J3406" i="7"/>
  <c r="J3401" i="7"/>
  <c r="N3401" i="7" s="1"/>
  <c r="N3393" i="7"/>
  <c r="N3376" i="7"/>
  <c r="AA3376" i="7" s="1"/>
  <c r="AA3337" i="7"/>
  <c r="J3402" i="7"/>
  <c r="U3394" i="7"/>
  <c r="U3395" i="7" s="1"/>
  <c r="L3394" i="7"/>
  <c r="N3394" i="7" s="1"/>
  <c r="N3395" i="7"/>
  <c r="P3392" i="7"/>
  <c r="R3392" i="7" s="1"/>
  <c r="D3395" i="7"/>
  <c r="U3392" i="7"/>
  <c r="L3392" i="7"/>
  <c r="N3392" i="7" s="1"/>
  <c r="F3395" i="7"/>
  <c r="J3400" i="7"/>
  <c r="D3448" i="7"/>
  <c r="D3447" i="7"/>
  <c r="D3451" i="7"/>
  <c r="D3450" i="7"/>
  <c r="D3445" i="7"/>
  <c r="D3449" i="7"/>
  <c r="L3407" i="7"/>
  <c r="J3407" i="7"/>
  <c r="A3482" i="7"/>
  <c r="A3493" i="7"/>
  <c r="A3487" i="7"/>
  <c r="A3499" i="7"/>
  <c r="A3501" i="7"/>
  <c r="A3491" i="7"/>
  <c r="A3484" i="7"/>
  <c r="A3505" i="7"/>
  <c r="A3490" i="7"/>
  <c r="C3475" i="7"/>
  <c r="A3497" i="7"/>
  <c r="A3495" i="7"/>
  <c r="A3483" i="7"/>
  <c r="A3496" i="7"/>
  <c r="A3500" i="7"/>
  <c r="A3485" i="7"/>
  <c r="A3492" i="7"/>
  <c r="U3400" i="7"/>
  <c r="L3400" i="7"/>
  <c r="F3403" i="7"/>
  <c r="P3402" i="7"/>
  <c r="R3402" i="7" s="1"/>
  <c r="P3367" i="7"/>
  <c r="R3367" i="7" s="1"/>
  <c r="B3493" i="7"/>
  <c r="B3487" i="7"/>
  <c r="B3499" i="7"/>
  <c r="B3483" i="7"/>
  <c r="B3491" i="7"/>
  <c r="B3501" i="7"/>
  <c r="B3496" i="7"/>
  <c r="B3482" i="7"/>
  <c r="B3505" i="7"/>
  <c r="B3497" i="7"/>
  <c r="B3492" i="7"/>
  <c r="B3485" i="7"/>
  <c r="B3495" i="7"/>
  <c r="B3484" i="7"/>
  <c r="B3500" i="7"/>
  <c r="B3490" i="7"/>
  <c r="Y3381" i="7"/>
  <c r="Y3380" i="7"/>
  <c r="W3365" i="7"/>
  <c r="Y3379" i="7"/>
  <c r="L3405" i="7"/>
  <c r="J3405" i="7"/>
  <c r="F3441" i="7"/>
  <c r="U3441" i="7" s="1"/>
  <c r="F3436" i="7"/>
  <c r="U3436" i="7" s="1"/>
  <c r="D3441" i="7"/>
  <c r="D3436" i="7"/>
  <c r="H3437" i="7"/>
  <c r="F3432" i="7"/>
  <c r="H3435" i="7"/>
  <c r="D3424" i="7"/>
  <c r="D3422" i="7"/>
  <c r="F3435" i="7"/>
  <c r="U3435" i="7" s="1"/>
  <c r="D3432" i="7"/>
  <c r="D3435" i="7"/>
  <c r="F3430" i="7"/>
  <c r="H3441" i="7"/>
  <c r="H3439" i="7"/>
  <c r="D3430" i="7"/>
  <c r="D3439" i="7"/>
  <c r="D3423" i="7"/>
  <c r="H3436" i="7"/>
  <c r="F3422" i="7"/>
  <c r="H3440" i="7"/>
  <c r="D3431" i="7"/>
  <c r="F3440" i="7"/>
  <c r="U3440" i="7" s="1"/>
  <c r="G3416" i="7"/>
  <c r="F3427" i="7"/>
  <c r="D3416" i="7"/>
  <c r="F3439" i="7"/>
  <c r="U3439" i="7" s="1"/>
  <c r="F3431" i="7"/>
  <c r="U3431" i="7" s="1"/>
  <c r="D3427" i="7"/>
  <c r="W3427" i="7" s="1"/>
  <c r="F3424" i="7"/>
  <c r="F3423" i="7"/>
  <c r="U3423" i="7" s="1"/>
  <c r="D3437" i="7"/>
  <c r="F3437" i="7"/>
  <c r="U3437" i="7" s="1"/>
  <c r="D3440" i="7"/>
  <c r="W3407" i="7"/>
  <c r="W3411" i="7" s="1"/>
  <c r="W3406" i="7"/>
  <c r="W3410" i="7" s="1"/>
  <c r="N3403" i="7"/>
  <c r="P3400" i="7"/>
  <c r="R3400" i="7" s="1"/>
  <c r="D3403" i="7"/>
  <c r="W3403" i="7" s="1"/>
  <c r="L3397" i="7"/>
  <c r="N3397" i="7" s="1"/>
  <c r="U3397" i="7"/>
  <c r="J3422" i="7"/>
  <c r="J3423" i="7"/>
  <c r="J3427" i="7"/>
  <c r="J3424" i="7"/>
  <c r="N7010" i="7"/>
  <c r="AA6911" i="7"/>
  <c r="AA6981" i="7"/>
  <c r="AA6979" i="7"/>
  <c r="AA6980" i="7"/>
  <c r="AA6910" i="7"/>
  <c r="AA6932" i="7"/>
  <c r="AA6934" i="7"/>
  <c r="L7039" i="7"/>
  <c r="AA6940" i="7"/>
  <c r="AA6942" i="7"/>
  <c r="P7032" i="7"/>
  <c r="R7032" i="7" s="1"/>
  <c r="W7036" i="7"/>
  <c r="W7040" i="7" s="1"/>
  <c r="N7006" i="7"/>
  <c r="AA7006" i="7" s="1"/>
  <c r="N7011" i="7"/>
  <c r="L7040" i="7"/>
  <c r="N7009" i="7"/>
  <c r="N6995" i="7"/>
  <c r="P6995" i="7" s="1"/>
  <c r="R6995" i="7" s="1"/>
  <c r="W7037" i="7"/>
  <c r="W7041" i="7" s="1"/>
  <c r="P7024" i="7"/>
  <c r="R7024" i="7" s="1"/>
  <c r="W7035" i="7"/>
  <c r="W7039" i="7" s="1"/>
  <c r="N7005" i="7"/>
  <c r="AA7005" i="7" s="1"/>
  <c r="L7041" i="7"/>
  <c r="J7039" i="7"/>
  <c r="J7041" i="7"/>
  <c r="J7040" i="7"/>
  <c r="Y7011" i="7"/>
  <c r="W6995" i="7"/>
  <c r="Y7010" i="7"/>
  <c r="Y7009" i="7"/>
  <c r="P6997" i="7"/>
  <c r="R6997" i="7" s="1"/>
  <c r="L7037" i="7"/>
  <c r="J7037" i="7"/>
  <c r="D7025" i="7"/>
  <c r="P7022" i="7"/>
  <c r="R7022" i="7" s="1"/>
  <c r="N7002" i="7"/>
  <c r="N7003" i="7" s="1"/>
  <c r="P7003" i="7" s="1"/>
  <c r="R7003" i="7" s="1"/>
  <c r="L7027" i="7"/>
  <c r="N7027" i="7" s="1"/>
  <c r="U7027" i="7"/>
  <c r="L7035" i="7"/>
  <c r="J7035" i="7"/>
  <c r="AA6973" i="7"/>
  <c r="U7024" i="7"/>
  <c r="U7025" i="7" s="1"/>
  <c r="L7024" i="7"/>
  <c r="N7024" i="7" s="1"/>
  <c r="J7084" i="7"/>
  <c r="J7092" i="7" s="1"/>
  <c r="J7083" i="7"/>
  <c r="J7082" i="7"/>
  <c r="J7087" i="7"/>
  <c r="P7031" i="7"/>
  <c r="R7031" i="7" s="1"/>
  <c r="Y7095" i="7"/>
  <c r="Y7084" i="7"/>
  <c r="Y7085" i="7" s="1"/>
  <c r="Y7096" i="7"/>
  <c r="Y7092" i="7"/>
  <c r="Y7093" i="7" s="1"/>
  <c r="Y7083" i="7"/>
  <c r="Y7090" i="7"/>
  <c r="Y7091" i="7"/>
  <c r="Y7082" i="7"/>
  <c r="Y7087" i="7"/>
  <c r="Y7097" i="7"/>
  <c r="D7105" i="7"/>
  <c r="D7109" i="7"/>
  <c r="D7111" i="7"/>
  <c r="D7108" i="7"/>
  <c r="D7107" i="7"/>
  <c r="D7110" i="7"/>
  <c r="L7036" i="7"/>
  <c r="J7036" i="7"/>
  <c r="U7022" i="7"/>
  <c r="L7022" i="7"/>
  <c r="N7022" i="7" s="1"/>
  <c r="F7025" i="7"/>
  <c r="J7032" i="7"/>
  <c r="H7099" i="7"/>
  <c r="F7101" i="7"/>
  <c r="U7101" i="7" s="1"/>
  <c r="D7092" i="7"/>
  <c r="H7100" i="7"/>
  <c r="F7087" i="7"/>
  <c r="D7087" i="7"/>
  <c r="W7087" i="7" s="1"/>
  <c r="H7097" i="7"/>
  <c r="D7097" i="7"/>
  <c r="D7083" i="7"/>
  <c r="F7090" i="7"/>
  <c r="D7084" i="7"/>
  <c r="D7091" i="7"/>
  <c r="F7097" i="7"/>
  <c r="U7097" i="7" s="1"/>
  <c r="F7100" i="7"/>
  <c r="U7100" i="7" s="1"/>
  <c r="F7082" i="7"/>
  <c r="G7076" i="7"/>
  <c r="D7100" i="7"/>
  <c r="F7084" i="7"/>
  <c r="F7099" i="7"/>
  <c r="U7099" i="7" s="1"/>
  <c r="D7095" i="7"/>
  <c r="H7095" i="7"/>
  <c r="D7082" i="7"/>
  <c r="D7101" i="7"/>
  <c r="F7083" i="7"/>
  <c r="U7083" i="7" s="1"/>
  <c r="D7090" i="7"/>
  <c r="H7096" i="7"/>
  <c r="D7076" i="7"/>
  <c r="F7096" i="7"/>
  <c r="U7096" i="7" s="1"/>
  <c r="D7096" i="7"/>
  <c r="F7092" i="7"/>
  <c r="D7099" i="7"/>
  <c r="H7101" i="7"/>
  <c r="F7095" i="7"/>
  <c r="U7095" i="7" s="1"/>
  <c r="F7091" i="7"/>
  <c r="U7091" i="7" s="1"/>
  <c r="F7033" i="7"/>
  <c r="L7030" i="7"/>
  <c r="U7030" i="7"/>
  <c r="N7007" i="7"/>
  <c r="AA7007" i="7" s="1"/>
  <c r="L7032" i="7"/>
  <c r="U7032" i="7"/>
  <c r="U7033" i="7" s="1"/>
  <c r="J7030" i="7"/>
  <c r="B7159" i="7"/>
  <c r="B7157" i="7"/>
  <c r="B7156" i="7"/>
  <c r="B7155" i="7"/>
  <c r="B7152" i="7"/>
  <c r="B7147" i="7"/>
  <c r="B7150" i="7"/>
  <c r="B7145" i="7"/>
  <c r="B7160" i="7"/>
  <c r="B7161" i="7"/>
  <c r="B7142" i="7"/>
  <c r="B7143" i="7"/>
  <c r="B7151" i="7"/>
  <c r="B7144" i="7"/>
  <c r="B7153" i="7"/>
  <c r="B7165" i="7"/>
  <c r="P7023" i="7"/>
  <c r="R7023" i="7" s="1"/>
  <c r="A7151" i="7"/>
  <c r="A7159" i="7"/>
  <c r="A7145" i="7"/>
  <c r="A7165" i="7"/>
  <c r="A7142" i="7"/>
  <c r="A7152" i="7"/>
  <c r="C7135" i="7"/>
  <c r="A7161" i="7"/>
  <c r="A7147" i="7"/>
  <c r="A7156" i="7"/>
  <c r="A7160" i="7"/>
  <c r="A7143" i="7"/>
  <c r="A7155" i="7"/>
  <c r="A7144" i="7"/>
  <c r="A7150" i="7"/>
  <c r="A7153" i="7"/>
  <c r="A7157" i="7"/>
  <c r="D7033" i="7"/>
  <c r="W7033" i="7" s="1"/>
  <c r="P7030" i="7"/>
  <c r="R7030" i="7" s="1"/>
  <c r="AA6965" i="7"/>
  <c r="AA6967" i="7"/>
  <c r="N7023" i="7"/>
  <c r="J7031" i="7"/>
  <c r="N7031" i="7" s="1"/>
  <c r="N7069" i="7" l="1"/>
  <c r="N7070" i="7"/>
  <c r="N7066" i="7"/>
  <c r="AA7066" i="7" s="1"/>
  <c r="N7055" i="7"/>
  <c r="P7055" i="7" s="1"/>
  <c r="R7055" i="7" s="1"/>
  <c r="N7060" i="7"/>
  <c r="P7057" i="7"/>
  <c r="R7057" i="7" s="1"/>
  <c r="N7067" i="7"/>
  <c r="AA7067" i="7" s="1"/>
  <c r="N7062" i="7"/>
  <c r="N7071" i="7"/>
  <c r="Y7069" i="7"/>
  <c r="Y7071" i="7"/>
  <c r="W7055" i="7"/>
  <c r="Y7070" i="7"/>
  <c r="AA3312" i="7"/>
  <c r="N7065" i="7"/>
  <c r="AA7065" i="7" s="1"/>
  <c r="AA3311" i="7"/>
  <c r="AA3379" i="7"/>
  <c r="AA3380" i="7"/>
  <c r="AA3381" i="7"/>
  <c r="AA3343" i="7"/>
  <c r="AA3342" i="7" s="1"/>
  <c r="N3410" i="7"/>
  <c r="N3411" i="7"/>
  <c r="N3409" i="7"/>
  <c r="L3440" i="7"/>
  <c r="L3439" i="7"/>
  <c r="N3373" i="7"/>
  <c r="P3373" i="7" s="1"/>
  <c r="R3373" i="7" s="1"/>
  <c r="L3441" i="7"/>
  <c r="W3436" i="7"/>
  <c r="W3440" i="7" s="1"/>
  <c r="P3432" i="7"/>
  <c r="R3432" i="7" s="1"/>
  <c r="N3402" i="7"/>
  <c r="AA3365" i="7"/>
  <c r="AA3364" i="7" s="1"/>
  <c r="P3424" i="7"/>
  <c r="R3424" i="7" s="1"/>
  <c r="W3437" i="7"/>
  <c r="W3441" i="7" s="1"/>
  <c r="N3406" i="7"/>
  <c r="AA3406" i="7" s="1"/>
  <c r="W3435" i="7"/>
  <c r="W3439" i="7" s="1"/>
  <c r="N3405" i="7"/>
  <c r="AA3405" i="7" s="1"/>
  <c r="P3403" i="7"/>
  <c r="R3403" i="7" s="1"/>
  <c r="AA3403" i="7" s="1"/>
  <c r="J3441" i="7"/>
  <c r="J3439" i="7"/>
  <c r="J3440" i="7"/>
  <c r="A3529" i="7"/>
  <c r="A3521" i="7"/>
  <c r="A3515" i="7"/>
  <c r="A3527" i="7"/>
  <c r="A3513" i="7"/>
  <c r="A3525" i="7"/>
  <c r="A3531" i="7"/>
  <c r="A3512" i="7"/>
  <c r="A3530" i="7"/>
  <c r="A3523" i="7"/>
  <c r="A3522" i="7"/>
  <c r="A3535" i="7"/>
  <c r="C3505" i="7"/>
  <c r="A3520" i="7"/>
  <c r="A3517" i="7"/>
  <c r="A3526" i="7"/>
  <c r="A3514" i="7"/>
  <c r="Y3462" i="7"/>
  <c r="Y3463" i="7" s="1"/>
  <c r="Y3467" i="7"/>
  <c r="Y3452" i="7"/>
  <c r="Y3457" i="7"/>
  <c r="Y3460" i="7"/>
  <c r="Y3453" i="7"/>
  <c r="Y3466" i="7"/>
  <c r="Y3461" i="7"/>
  <c r="Y3465" i="7"/>
  <c r="Y3454" i="7"/>
  <c r="Y3455" i="7" s="1"/>
  <c r="P3422" i="7"/>
  <c r="R3422" i="7" s="1"/>
  <c r="D3425" i="7"/>
  <c r="J3454" i="7"/>
  <c r="J3452" i="7"/>
  <c r="J3453" i="7"/>
  <c r="J3457" i="7"/>
  <c r="AA3367" i="7"/>
  <c r="U3427" i="7"/>
  <c r="L3427" i="7"/>
  <c r="N3427" i="7" s="1"/>
  <c r="P3431" i="7"/>
  <c r="R3431" i="7" s="1"/>
  <c r="L3432" i="7"/>
  <c r="U3432" i="7"/>
  <c r="U3433" i="7" s="1"/>
  <c r="N3400" i="7"/>
  <c r="D3481" i="7"/>
  <c r="D3480" i="7"/>
  <c r="D3479" i="7"/>
  <c r="D3477" i="7"/>
  <c r="D3478" i="7"/>
  <c r="D3475" i="7"/>
  <c r="F3425" i="7"/>
  <c r="L3422" i="7"/>
  <c r="N3422" i="7" s="1"/>
  <c r="U3422" i="7"/>
  <c r="L3436" i="7"/>
  <c r="J3436" i="7"/>
  <c r="L3435" i="7"/>
  <c r="J3435" i="7"/>
  <c r="J3432" i="7"/>
  <c r="P3423" i="7"/>
  <c r="R3423" i="7" s="1"/>
  <c r="B3531" i="7"/>
  <c r="B3526" i="7"/>
  <c r="B3525" i="7"/>
  <c r="B3521" i="7"/>
  <c r="B3515" i="7"/>
  <c r="B3527" i="7"/>
  <c r="B3512" i="7"/>
  <c r="B3517" i="7"/>
  <c r="B3514" i="7"/>
  <c r="B3530" i="7"/>
  <c r="B3523" i="7"/>
  <c r="B3529" i="7"/>
  <c r="B3513" i="7"/>
  <c r="B3520" i="7"/>
  <c r="B3522" i="7"/>
  <c r="B3535" i="7"/>
  <c r="N3407" i="7"/>
  <c r="AA3407" i="7" s="1"/>
  <c r="P3397" i="7"/>
  <c r="R3397" i="7" s="1"/>
  <c r="AA3397" i="7" s="1"/>
  <c r="F3470" i="7"/>
  <c r="U3470" i="7" s="1"/>
  <c r="F3465" i="7"/>
  <c r="U3465" i="7" s="1"/>
  <c r="D3470" i="7"/>
  <c r="D3465" i="7"/>
  <c r="F3461" i="7"/>
  <c r="U3461" i="7" s="1"/>
  <c r="F3454" i="7"/>
  <c r="G3446" i="7"/>
  <c r="D3446" i="7"/>
  <c r="H3471" i="7"/>
  <c r="H3466" i="7"/>
  <c r="D3461" i="7"/>
  <c r="D3454" i="7"/>
  <c r="H3470" i="7"/>
  <c r="H3467" i="7"/>
  <c r="F3457" i="7"/>
  <c r="F3467" i="7"/>
  <c r="U3467" i="7" s="1"/>
  <c r="D3457" i="7"/>
  <c r="W3457" i="7" s="1"/>
  <c r="D3467" i="7"/>
  <c r="F3452" i="7"/>
  <c r="D3452" i="7"/>
  <c r="H3465" i="7"/>
  <c r="F3462" i="7"/>
  <c r="D3471" i="7"/>
  <c r="F3460" i="7"/>
  <c r="D3469" i="7"/>
  <c r="D3466" i="7"/>
  <c r="F3453" i="7"/>
  <c r="U3453" i="7" s="1"/>
  <c r="H3469" i="7"/>
  <c r="D3460" i="7"/>
  <c r="F3469" i="7"/>
  <c r="U3469" i="7" s="1"/>
  <c r="F3466" i="7"/>
  <c r="U3466" i="7" s="1"/>
  <c r="F3471" i="7"/>
  <c r="U3471" i="7" s="1"/>
  <c r="D3462" i="7"/>
  <c r="D3453" i="7"/>
  <c r="Y3410" i="7"/>
  <c r="Y3409" i="7"/>
  <c r="W3395" i="7"/>
  <c r="Y3411" i="7"/>
  <c r="J3430" i="7"/>
  <c r="D3433" i="7"/>
  <c r="W3433" i="7" s="1"/>
  <c r="P3430" i="7"/>
  <c r="R3430" i="7" s="1"/>
  <c r="AA3332" i="7"/>
  <c r="AA3334" i="7"/>
  <c r="AA3333" i="7"/>
  <c r="N3423" i="7"/>
  <c r="J3431" i="7"/>
  <c r="N3431" i="7" s="1"/>
  <c r="P3395" i="7"/>
  <c r="R3395" i="7" s="1"/>
  <c r="L3430" i="7"/>
  <c r="U3430" i="7"/>
  <c r="F3433" i="7"/>
  <c r="L3437" i="7"/>
  <c r="J3437" i="7"/>
  <c r="U3424" i="7"/>
  <c r="U3425" i="7" s="1"/>
  <c r="L3424" i="7"/>
  <c r="N3424" i="7" s="1"/>
  <c r="AA7010" i="7"/>
  <c r="AA7011" i="7"/>
  <c r="N7036" i="7"/>
  <c r="AA7036" i="7" s="1"/>
  <c r="N7039" i="7"/>
  <c r="P7092" i="7"/>
  <c r="R7092" i="7" s="1"/>
  <c r="N7040" i="7"/>
  <c r="N7037" i="7"/>
  <c r="AA7037" i="7" s="1"/>
  <c r="AA7009" i="7"/>
  <c r="N7025" i="7"/>
  <c r="P7025" i="7" s="1"/>
  <c r="R7025" i="7" s="1"/>
  <c r="N7041" i="7"/>
  <c r="L7100" i="7"/>
  <c r="N7035" i="7"/>
  <c r="AA7035" i="7" s="1"/>
  <c r="W7097" i="7"/>
  <c r="W7101" i="7" s="1"/>
  <c r="AA6995" i="7"/>
  <c r="AA6994" i="7" s="1"/>
  <c r="N7032" i="7"/>
  <c r="L7099" i="7"/>
  <c r="W7095" i="7"/>
  <c r="W7099" i="7" s="1"/>
  <c r="P7083" i="7"/>
  <c r="R7083" i="7" s="1"/>
  <c r="L7101" i="7"/>
  <c r="Y7040" i="7"/>
  <c r="Y7039" i="7"/>
  <c r="Y7041" i="7"/>
  <c r="W7025" i="7"/>
  <c r="D7141" i="7"/>
  <c r="D7135" i="7"/>
  <c r="D7140" i="7"/>
  <c r="D7139" i="7"/>
  <c r="D7138" i="7"/>
  <c r="D7137" i="7"/>
  <c r="D7122" i="7"/>
  <c r="F7112" i="7"/>
  <c r="H7125" i="7"/>
  <c r="D7106" i="7"/>
  <c r="D7130" i="7"/>
  <c r="D7125" i="7"/>
  <c r="F7117" i="7"/>
  <c r="D7114" i="7"/>
  <c r="D7117" i="7"/>
  <c r="W7117" i="7" s="1"/>
  <c r="D7129" i="7"/>
  <c r="H7130" i="7"/>
  <c r="F7121" i="7"/>
  <c r="U7121" i="7" s="1"/>
  <c r="D7120" i="7"/>
  <c r="F7122" i="7"/>
  <c r="H7126" i="7"/>
  <c r="H7129" i="7"/>
  <c r="G7106" i="7"/>
  <c r="H7131" i="7"/>
  <c r="F7114" i="7"/>
  <c r="F7131" i="7"/>
  <c r="U7131" i="7" s="1"/>
  <c r="D7131" i="7"/>
  <c r="F7127" i="7"/>
  <c r="U7127" i="7" s="1"/>
  <c r="F7130" i="7"/>
  <c r="U7130" i="7" s="1"/>
  <c r="D7121" i="7"/>
  <c r="F7126" i="7"/>
  <c r="U7126" i="7" s="1"/>
  <c r="F7129" i="7"/>
  <c r="U7129" i="7" s="1"/>
  <c r="F7125" i="7"/>
  <c r="U7125" i="7" s="1"/>
  <c r="D7127" i="7"/>
  <c r="F7113" i="7"/>
  <c r="U7113" i="7" s="1"/>
  <c r="D7126" i="7"/>
  <c r="F7120" i="7"/>
  <c r="H7127" i="7"/>
  <c r="D7112" i="7"/>
  <c r="D7113" i="7"/>
  <c r="L7084" i="7"/>
  <c r="N7084" i="7" s="1"/>
  <c r="U7084" i="7"/>
  <c r="U7085" i="7" s="1"/>
  <c r="L7087" i="7"/>
  <c r="N7087" i="7" s="1"/>
  <c r="U7087" i="7"/>
  <c r="L7095" i="7"/>
  <c r="J7095" i="7"/>
  <c r="A7183" i="7"/>
  <c r="A7177" i="7"/>
  <c r="A7189" i="7"/>
  <c r="A7174" i="7"/>
  <c r="A7173" i="7"/>
  <c r="A7181" i="7"/>
  <c r="A7185" i="7"/>
  <c r="A7195" i="7"/>
  <c r="A7180" i="7"/>
  <c r="A7182" i="7"/>
  <c r="A7191" i="7"/>
  <c r="A7187" i="7"/>
  <c r="A7172" i="7"/>
  <c r="A7190" i="7"/>
  <c r="A7175" i="7"/>
  <c r="C7165" i="7"/>
  <c r="A7186" i="7"/>
  <c r="AA7003" i="7"/>
  <c r="P7091" i="7"/>
  <c r="R7091" i="7" s="1"/>
  <c r="AA6972" i="7"/>
  <c r="AA6971" i="7"/>
  <c r="AA6970" i="7"/>
  <c r="J7096" i="7"/>
  <c r="L7096" i="7"/>
  <c r="J7101" i="7"/>
  <c r="J7099" i="7"/>
  <c r="J7100" i="7"/>
  <c r="P7084" i="7"/>
  <c r="R7084" i="7" s="1"/>
  <c r="AA6962" i="7"/>
  <c r="AA6964" i="7"/>
  <c r="AA6963" i="7"/>
  <c r="W7096" i="7"/>
  <c r="W7100" i="7" s="1"/>
  <c r="U7092" i="7"/>
  <c r="U7093" i="7" s="1"/>
  <c r="L7092" i="7"/>
  <c r="N7092" i="7" s="1"/>
  <c r="B7186" i="7"/>
  <c r="B7191" i="7"/>
  <c r="B7195" i="7"/>
  <c r="B7182" i="7"/>
  <c r="B7190" i="7"/>
  <c r="B7183" i="7"/>
  <c r="B7175" i="7"/>
  <c r="B7174" i="7"/>
  <c r="B7173" i="7"/>
  <c r="B7172" i="7"/>
  <c r="B7187" i="7"/>
  <c r="B7180" i="7"/>
  <c r="B7181" i="7"/>
  <c r="B7185" i="7"/>
  <c r="B7189" i="7"/>
  <c r="B7177" i="7"/>
  <c r="N7030" i="7"/>
  <c r="F7093" i="7"/>
  <c r="U7090" i="7"/>
  <c r="L7090" i="7"/>
  <c r="P7027" i="7"/>
  <c r="R7027" i="7" s="1"/>
  <c r="D7093" i="7"/>
  <c r="W7093" i="7" s="1"/>
  <c r="P7090" i="7"/>
  <c r="R7090" i="7" s="1"/>
  <c r="J7097" i="7"/>
  <c r="L7097" i="7"/>
  <c r="J7117" i="7"/>
  <c r="J7114" i="7"/>
  <c r="J7112" i="7"/>
  <c r="J7120" i="7" s="1"/>
  <c r="J7113" i="7"/>
  <c r="F7085" i="7"/>
  <c r="U7082" i="7"/>
  <c r="L7082" i="7"/>
  <c r="N7082" i="7" s="1"/>
  <c r="J7090" i="7"/>
  <c r="AA6997" i="7"/>
  <c r="P7082" i="7"/>
  <c r="R7082" i="7" s="1"/>
  <c r="D7085" i="7"/>
  <c r="Y7112" i="7"/>
  <c r="Y7125" i="7"/>
  <c r="Y7126" i="7"/>
  <c r="Y7122" i="7"/>
  <c r="Y7123" i="7" s="1"/>
  <c r="Y7120" i="7"/>
  <c r="Y7113" i="7"/>
  <c r="Y7121" i="7"/>
  <c r="Y7117" i="7"/>
  <c r="Y7127" i="7"/>
  <c r="Y7114" i="7"/>
  <c r="Y7115" i="7" s="1"/>
  <c r="N7083" i="7"/>
  <c r="J7091" i="7"/>
  <c r="N7091" i="7" s="1"/>
  <c r="AA7069" i="7" l="1"/>
  <c r="AA7070" i="7"/>
  <c r="N7063" i="7"/>
  <c r="P7063" i="7" s="1"/>
  <c r="AA7071" i="7"/>
  <c r="AA7055" i="7"/>
  <c r="AA7057" i="7"/>
  <c r="AA3410" i="7"/>
  <c r="AA3340" i="7"/>
  <c r="AA3411" i="7"/>
  <c r="AA3341" i="7"/>
  <c r="N3440" i="7"/>
  <c r="L3469" i="7"/>
  <c r="N3439" i="7"/>
  <c r="N3441" i="7"/>
  <c r="AA3409" i="7"/>
  <c r="AA3373" i="7"/>
  <c r="AA3371" i="7" s="1"/>
  <c r="N3425" i="7"/>
  <c r="P3425" i="7" s="1"/>
  <c r="R3425" i="7" s="1"/>
  <c r="L3471" i="7"/>
  <c r="W3465" i="7"/>
  <c r="W3469" i="7" s="1"/>
  <c r="L3470" i="7"/>
  <c r="AA3363" i="7"/>
  <c r="AA3362" i="7"/>
  <c r="N3432" i="7"/>
  <c r="N3435" i="7"/>
  <c r="AA3435" i="7" s="1"/>
  <c r="P3462" i="7"/>
  <c r="R3462" i="7" s="1"/>
  <c r="N3437" i="7"/>
  <c r="AA3437" i="7" s="1"/>
  <c r="AA3395" i="7"/>
  <c r="AA3394" i="7" s="1"/>
  <c r="N3436" i="7"/>
  <c r="AA3436" i="7" s="1"/>
  <c r="W3466" i="7"/>
  <c r="W3470" i="7" s="1"/>
  <c r="W3467" i="7"/>
  <c r="W3471" i="7" s="1"/>
  <c r="AA3400" i="7"/>
  <c r="AA3401" i="7"/>
  <c r="AA3402" i="7"/>
  <c r="P3453" i="7"/>
  <c r="R3453" i="7" s="1"/>
  <c r="J3467" i="7"/>
  <c r="L3467" i="7"/>
  <c r="F3499" i="7"/>
  <c r="U3499" i="7" s="1"/>
  <c r="D3487" i="7"/>
  <c r="W3487" i="7" s="1"/>
  <c r="D3499" i="7"/>
  <c r="F3483" i="7"/>
  <c r="U3483" i="7" s="1"/>
  <c r="F3490" i="7"/>
  <c r="D3483" i="7"/>
  <c r="D3490" i="7"/>
  <c r="H3500" i="7"/>
  <c r="H3495" i="7"/>
  <c r="F3501" i="7"/>
  <c r="U3501" i="7" s="1"/>
  <c r="F3496" i="7"/>
  <c r="U3496" i="7" s="1"/>
  <c r="H3501" i="7"/>
  <c r="D3501" i="7"/>
  <c r="H3496" i="7"/>
  <c r="F3491" i="7"/>
  <c r="U3491" i="7" s="1"/>
  <c r="H3499" i="7"/>
  <c r="D3496" i="7"/>
  <c r="D3491" i="7"/>
  <c r="F3484" i="7"/>
  <c r="D3484" i="7"/>
  <c r="F3482" i="7"/>
  <c r="D3482" i="7"/>
  <c r="D3500" i="7"/>
  <c r="H3497" i="7"/>
  <c r="F3495" i="7"/>
  <c r="U3495" i="7" s="1"/>
  <c r="D3497" i="7"/>
  <c r="D3492" i="7"/>
  <c r="D3476" i="7"/>
  <c r="F3500" i="7"/>
  <c r="U3500" i="7" s="1"/>
  <c r="F3497" i="7"/>
  <c r="U3497" i="7" s="1"/>
  <c r="F3492" i="7"/>
  <c r="F3487" i="7"/>
  <c r="D3495" i="7"/>
  <c r="G3476" i="7"/>
  <c r="J3483" i="7"/>
  <c r="J3484" i="7"/>
  <c r="J3487" i="7"/>
  <c r="J3482" i="7"/>
  <c r="J3461" i="7"/>
  <c r="N3461" i="7" s="1"/>
  <c r="N3453" i="7"/>
  <c r="U3457" i="7"/>
  <c r="L3457" i="7"/>
  <c r="N3457" i="7" s="1"/>
  <c r="J3460" i="7"/>
  <c r="U3452" i="7"/>
  <c r="L3452" i="7"/>
  <c r="N3452" i="7" s="1"/>
  <c r="F3455" i="7"/>
  <c r="J3462" i="7"/>
  <c r="Y3491" i="7"/>
  <c r="Y3496" i="7"/>
  <c r="Y3484" i="7"/>
  <c r="Y3485" i="7" s="1"/>
  <c r="Y3490" i="7"/>
  <c r="Y3495" i="7"/>
  <c r="Y3497" i="7"/>
  <c r="Y3492" i="7"/>
  <c r="Y3493" i="7" s="1"/>
  <c r="Y3487" i="7"/>
  <c r="Y3483" i="7"/>
  <c r="Y3482" i="7"/>
  <c r="Y3439" i="7"/>
  <c r="W3425" i="7"/>
  <c r="Y3440" i="7"/>
  <c r="Y3441" i="7"/>
  <c r="D3508" i="7"/>
  <c r="D3511" i="7"/>
  <c r="D3509" i="7"/>
  <c r="D3507" i="7"/>
  <c r="D3505" i="7"/>
  <c r="D3510" i="7"/>
  <c r="P3452" i="7"/>
  <c r="R3452" i="7" s="1"/>
  <c r="D3455" i="7"/>
  <c r="P3461" i="7"/>
  <c r="R3461" i="7" s="1"/>
  <c r="A3559" i="7"/>
  <c r="A3555" i="7"/>
  <c r="A3551" i="7"/>
  <c r="A3553" i="7"/>
  <c r="A3547" i="7"/>
  <c r="A3543" i="7"/>
  <c r="A3545" i="7"/>
  <c r="A3561" i="7"/>
  <c r="A3542" i="7"/>
  <c r="A3557" i="7"/>
  <c r="A3544" i="7"/>
  <c r="A3556" i="7"/>
  <c r="A3560" i="7"/>
  <c r="A3552" i="7"/>
  <c r="C3535" i="7"/>
  <c r="A3565" i="7"/>
  <c r="A3550" i="7"/>
  <c r="L3465" i="7"/>
  <c r="J3465" i="7"/>
  <c r="L3466" i="7"/>
  <c r="J3466" i="7"/>
  <c r="B3560" i="7"/>
  <c r="B3555" i="7"/>
  <c r="B3551" i="7"/>
  <c r="B3545" i="7"/>
  <c r="B3547" i="7"/>
  <c r="B3544" i="7"/>
  <c r="B3542" i="7"/>
  <c r="B3550" i="7"/>
  <c r="B3543" i="7"/>
  <c r="B3559" i="7"/>
  <c r="B3561" i="7"/>
  <c r="B3557" i="7"/>
  <c r="B3565" i="7"/>
  <c r="B3553" i="7"/>
  <c r="B3552" i="7"/>
  <c r="B3556" i="7"/>
  <c r="P3427" i="7"/>
  <c r="R3427" i="7" s="1"/>
  <c r="N3430" i="7"/>
  <c r="P3460" i="7"/>
  <c r="R3460" i="7" s="1"/>
  <c r="D3463" i="7"/>
  <c r="W3463" i="7" s="1"/>
  <c r="U3460" i="7"/>
  <c r="F3463" i="7"/>
  <c r="L3460" i="7"/>
  <c r="J3471" i="7"/>
  <c r="J3469" i="7"/>
  <c r="J3470" i="7"/>
  <c r="P3454" i="7"/>
  <c r="R3454" i="7" s="1"/>
  <c r="U3462" i="7"/>
  <c r="U3463" i="7" s="1"/>
  <c r="L3462" i="7"/>
  <c r="L3454" i="7"/>
  <c r="N3454" i="7" s="1"/>
  <c r="U3454" i="7"/>
  <c r="U3455" i="7" s="1"/>
  <c r="N7100" i="7"/>
  <c r="AA7039" i="7"/>
  <c r="AA7040" i="7"/>
  <c r="N7095" i="7"/>
  <c r="AA7095" i="7" s="1"/>
  <c r="AA6992" i="7"/>
  <c r="AA7025" i="7"/>
  <c r="AA7024" i="7" s="1"/>
  <c r="AA6993" i="7"/>
  <c r="AA7041" i="7"/>
  <c r="N7033" i="7"/>
  <c r="P7033" i="7" s="1"/>
  <c r="R7033" i="7" s="1"/>
  <c r="N7099" i="7"/>
  <c r="N7090" i="7"/>
  <c r="N7093" i="7" s="1"/>
  <c r="P7093" i="7" s="1"/>
  <c r="R7093" i="7" s="1"/>
  <c r="AA7027" i="7"/>
  <c r="W7127" i="7"/>
  <c r="W7131" i="7" s="1"/>
  <c r="P7122" i="7"/>
  <c r="R7122" i="7" s="1"/>
  <c r="N7085" i="7"/>
  <c r="P7085" i="7" s="1"/>
  <c r="R7085" i="7" s="1"/>
  <c r="N7101" i="7"/>
  <c r="P7113" i="7"/>
  <c r="R7113" i="7" s="1"/>
  <c r="L7129" i="7"/>
  <c r="L7131" i="7"/>
  <c r="L7130" i="7"/>
  <c r="P7087" i="7"/>
  <c r="R7087" i="7" s="1"/>
  <c r="W7126" i="7"/>
  <c r="W7130" i="7" s="1"/>
  <c r="J7130" i="7"/>
  <c r="J7129" i="7"/>
  <c r="J7131" i="7"/>
  <c r="W7125" i="7"/>
  <c r="W7129" i="7" s="1"/>
  <c r="U7114" i="7"/>
  <c r="U7115" i="7" s="1"/>
  <c r="L7114" i="7"/>
  <c r="N7114" i="7" s="1"/>
  <c r="D7123" i="7"/>
  <c r="W7123" i="7" s="1"/>
  <c r="P7120" i="7"/>
  <c r="R7120" i="7" s="1"/>
  <c r="J7142" i="7"/>
  <c r="J7150" i="7" s="1"/>
  <c r="J7147" i="7"/>
  <c r="J7144" i="7"/>
  <c r="J7143" i="7"/>
  <c r="B7219" i="7"/>
  <c r="B7202" i="7"/>
  <c r="B7203" i="7"/>
  <c r="B7210" i="7"/>
  <c r="B7215" i="7"/>
  <c r="B7225" i="7"/>
  <c r="B7220" i="7"/>
  <c r="B7216" i="7"/>
  <c r="B7205" i="7"/>
  <c r="B7217" i="7"/>
  <c r="B7207" i="7"/>
  <c r="B7212" i="7"/>
  <c r="B7213" i="7"/>
  <c r="B7211" i="7"/>
  <c r="B7221" i="7"/>
  <c r="B7204" i="7"/>
  <c r="L7122" i="7"/>
  <c r="U7122" i="7"/>
  <c r="U7123" i="7" s="1"/>
  <c r="L7127" i="7"/>
  <c r="J7127" i="7"/>
  <c r="D7144" i="7"/>
  <c r="H7159" i="7"/>
  <c r="D7136" i="7"/>
  <c r="H7155" i="7"/>
  <c r="F7161" i="7"/>
  <c r="U7161" i="7" s="1"/>
  <c r="F7159" i="7"/>
  <c r="U7159" i="7" s="1"/>
  <c r="F7156" i="7"/>
  <c r="U7156" i="7" s="1"/>
  <c r="F7155" i="7"/>
  <c r="U7155" i="7" s="1"/>
  <c r="F7150" i="7"/>
  <c r="D7160" i="7"/>
  <c r="F7152" i="7"/>
  <c r="F7144" i="7"/>
  <c r="D7151" i="7"/>
  <c r="D7161" i="7"/>
  <c r="D7147" i="7"/>
  <c r="W7147" i="7" s="1"/>
  <c r="D7152" i="7"/>
  <c r="D7159" i="7"/>
  <c r="D7155" i="7"/>
  <c r="F7143" i="7"/>
  <c r="U7143" i="7" s="1"/>
  <c r="H7157" i="7"/>
  <c r="G7136" i="7"/>
  <c r="F7157" i="7"/>
  <c r="U7157" i="7" s="1"/>
  <c r="F7147" i="7"/>
  <c r="D7143" i="7"/>
  <c r="H7161" i="7"/>
  <c r="H7156" i="7"/>
  <c r="D7150" i="7"/>
  <c r="H7160" i="7"/>
  <c r="D7156" i="7"/>
  <c r="D7157" i="7"/>
  <c r="F7142" i="7"/>
  <c r="D7142" i="7"/>
  <c r="F7151" i="7"/>
  <c r="U7151" i="7" s="1"/>
  <c r="F7160" i="7"/>
  <c r="U7160" i="7" s="1"/>
  <c r="L7112" i="7"/>
  <c r="N7112" i="7" s="1"/>
  <c r="U7112" i="7"/>
  <c r="F7115" i="7"/>
  <c r="N7096" i="7"/>
  <c r="AA7096" i="7" s="1"/>
  <c r="N7113" i="7"/>
  <c r="J7121" i="7"/>
  <c r="N7121" i="7" s="1"/>
  <c r="Y7147" i="7"/>
  <c r="Y7150" i="7"/>
  <c r="Y7142" i="7"/>
  <c r="Y7156" i="7"/>
  <c r="Y7157" i="7"/>
  <c r="Y7151" i="7"/>
  <c r="Y7155" i="7"/>
  <c r="Y7143" i="7"/>
  <c r="Y7152" i="7"/>
  <c r="Y7153" i="7" s="1"/>
  <c r="Y7144" i="7"/>
  <c r="Y7145" i="7" s="1"/>
  <c r="L7126" i="7"/>
  <c r="J7126" i="7"/>
  <c r="AA7002" i="7"/>
  <c r="AA7000" i="7"/>
  <c r="AA7001" i="7"/>
  <c r="A7219" i="7"/>
  <c r="A7203" i="7"/>
  <c r="A7205" i="7"/>
  <c r="A7202" i="7"/>
  <c r="A7215" i="7"/>
  <c r="A7207" i="7"/>
  <c r="A7221" i="7"/>
  <c r="A7217" i="7"/>
  <c r="C7195" i="7"/>
  <c r="A7213" i="7"/>
  <c r="A7211" i="7"/>
  <c r="A7212" i="7"/>
  <c r="A7210" i="7"/>
  <c r="A7204" i="7"/>
  <c r="A7220" i="7"/>
  <c r="A7216" i="7"/>
  <c r="A7225" i="7"/>
  <c r="Y7101" i="7"/>
  <c r="W7085" i="7"/>
  <c r="Y7099" i="7"/>
  <c r="Y7100" i="7"/>
  <c r="J7122" i="7"/>
  <c r="D7169" i="7"/>
  <c r="D7170" i="7"/>
  <c r="D7168" i="7"/>
  <c r="D7171" i="7"/>
  <c r="D7167" i="7"/>
  <c r="D7165" i="7"/>
  <c r="P7121" i="7"/>
  <c r="R7121" i="7" s="1"/>
  <c r="P7114" i="7"/>
  <c r="R7114" i="7" s="1"/>
  <c r="D7115" i="7"/>
  <c r="P7112" i="7"/>
  <c r="R7112" i="7" s="1"/>
  <c r="U7120" i="7"/>
  <c r="L7120" i="7"/>
  <c r="N7120" i="7" s="1"/>
  <c r="F7123" i="7"/>
  <c r="L7117" i="7"/>
  <c r="N7117" i="7" s="1"/>
  <c r="P7117" i="7" s="1"/>
  <c r="R7117" i="7" s="1"/>
  <c r="U7117" i="7"/>
  <c r="N7097" i="7"/>
  <c r="AA7097" i="7" s="1"/>
  <c r="L7125" i="7"/>
  <c r="J7125" i="7"/>
  <c r="R7063" i="7" l="1"/>
  <c r="AA7063" i="7" s="1"/>
  <c r="AA7052" i="7"/>
  <c r="AA7053" i="7"/>
  <c r="AA7054" i="7"/>
  <c r="AA3440" i="7"/>
  <c r="AA3441" i="7"/>
  <c r="N3455" i="7"/>
  <c r="P3455" i="7" s="1"/>
  <c r="R3455" i="7" s="1"/>
  <c r="AA3439" i="7"/>
  <c r="AA3370" i="7"/>
  <c r="N3466" i="7"/>
  <c r="AA3466" i="7" s="1"/>
  <c r="N3471" i="7"/>
  <c r="AA3372" i="7"/>
  <c r="L3501" i="7"/>
  <c r="N3469" i="7"/>
  <c r="N3470" i="7"/>
  <c r="N3433" i="7"/>
  <c r="P3433" i="7" s="1"/>
  <c r="R3433" i="7" s="1"/>
  <c r="W3496" i="7"/>
  <c r="W3500" i="7" s="1"/>
  <c r="L3500" i="7"/>
  <c r="L3499" i="7"/>
  <c r="N3465" i="7"/>
  <c r="AA3465" i="7" s="1"/>
  <c r="AA3393" i="7"/>
  <c r="AA3392" i="7"/>
  <c r="W3495" i="7"/>
  <c r="W3499" i="7" s="1"/>
  <c r="N3462" i="7"/>
  <c r="W3497" i="7"/>
  <c r="W3501" i="7" s="1"/>
  <c r="J3512" i="7"/>
  <c r="J3517" i="7"/>
  <c r="J3514" i="7"/>
  <c r="J3513" i="7"/>
  <c r="J3491" i="7"/>
  <c r="N3491" i="7" s="1"/>
  <c r="N3483" i="7"/>
  <c r="D3493" i="7"/>
  <c r="W3493" i="7" s="1"/>
  <c r="P3490" i="7"/>
  <c r="R3490" i="7" s="1"/>
  <c r="P3457" i="7"/>
  <c r="R3457" i="7" s="1"/>
  <c r="P3482" i="7"/>
  <c r="R3482" i="7" s="1"/>
  <c r="D3485" i="7"/>
  <c r="P3483" i="7"/>
  <c r="R3483" i="7" s="1"/>
  <c r="Y3527" i="7"/>
  <c r="Y3522" i="7"/>
  <c r="Y3523" i="7" s="1"/>
  <c r="Y3520" i="7"/>
  <c r="Y3514" i="7"/>
  <c r="Y3515" i="7" s="1"/>
  <c r="Y3521" i="7"/>
  <c r="Y3517" i="7"/>
  <c r="Y3526" i="7"/>
  <c r="Y3513" i="7"/>
  <c r="Y3512" i="7"/>
  <c r="Y3525" i="7"/>
  <c r="U3482" i="7"/>
  <c r="L3482" i="7"/>
  <c r="N3482" i="7" s="1"/>
  <c r="F3485" i="7"/>
  <c r="L3490" i="7"/>
  <c r="F3493" i="7"/>
  <c r="U3490" i="7"/>
  <c r="P3484" i="7"/>
  <c r="R3484" i="7" s="1"/>
  <c r="J3490" i="7"/>
  <c r="U3484" i="7"/>
  <c r="U3485" i="7" s="1"/>
  <c r="L3484" i="7"/>
  <c r="N3484" i="7" s="1"/>
  <c r="L3497" i="7"/>
  <c r="J3497" i="7"/>
  <c r="P3491" i="7"/>
  <c r="R3491" i="7" s="1"/>
  <c r="J3492" i="7"/>
  <c r="L3495" i="7"/>
  <c r="J3495" i="7"/>
  <c r="L3496" i="7"/>
  <c r="J3496" i="7"/>
  <c r="A3583" i="7"/>
  <c r="A3577" i="7"/>
  <c r="A3591" i="7"/>
  <c r="A3587" i="7"/>
  <c r="A3581" i="7"/>
  <c r="A3575" i="7"/>
  <c r="A3574" i="7"/>
  <c r="A3582" i="7"/>
  <c r="A3573" i="7"/>
  <c r="A3590" i="7"/>
  <c r="A3586" i="7"/>
  <c r="A3585" i="7"/>
  <c r="A3595" i="7"/>
  <c r="A3589" i="7"/>
  <c r="A3572" i="7"/>
  <c r="C3565" i="7"/>
  <c r="A3580" i="7"/>
  <c r="AA3425" i="7"/>
  <c r="L3487" i="7"/>
  <c r="N3487" i="7" s="1"/>
  <c r="U3487" i="7"/>
  <c r="D3538" i="7"/>
  <c r="D3541" i="7"/>
  <c r="D3540" i="7"/>
  <c r="D3539" i="7"/>
  <c r="D3537" i="7"/>
  <c r="D3535" i="7"/>
  <c r="N3460" i="7"/>
  <c r="U3492" i="7"/>
  <c r="U3493" i="7" s="1"/>
  <c r="L3492" i="7"/>
  <c r="N3467" i="7"/>
  <c r="AA3467" i="7" s="1"/>
  <c r="W3455" i="7"/>
  <c r="Y3471" i="7"/>
  <c r="Y3469" i="7"/>
  <c r="Y3470" i="7"/>
  <c r="J3500" i="7"/>
  <c r="J3501" i="7"/>
  <c r="J3499" i="7"/>
  <c r="D3525" i="7"/>
  <c r="H3530" i="7"/>
  <c r="F3530" i="7"/>
  <c r="U3530" i="7" s="1"/>
  <c r="D3527" i="7"/>
  <c r="D3521" i="7"/>
  <c r="F3512" i="7"/>
  <c r="H3525" i="7"/>
  <c r="D3512" i="7"/>
  <c r="H3531" i="7"/>
  <c r="F3525" i="7"/>
  <c r="U3525" i="7" s="1"/>
  <c r="D3529" i="7"/>
  <c r="F3526" i="7"/>
  <c r="U3526" i="7" s="1"/>
  <c r="F3531" i="7"/>
  <c r="U3531" i="7" s="1"/>
  <c r="D3531" i="7"/>
  <c r="D3514" i="7"/>
  <c r="F3517" i="7"/>
  <c r="F3514" i="7"/>
  <c r="D3517" i="7"/>
  <c r="W3517" i="7" s="1"/>
  <c r="H3527" i="7"/>
  <c r="F3521" i="7"/>
  <c r="U3521" i="7" s="1"/>
  <c r="D3526" i="7"/>
  <c r="D3513" i="7"/>
  <c r="D3530" i="7"/>
  <c r="G3506" i="7"/>
  <c r="D3506" i="7"/>
  <c r="F3522" i="7"/>
  <c r="H3529" i="7"/>
  <c r="D3522" i="7"/>
  <c r="H3526" i="7"/>
  <c r="F3513" i="7"/>
  <c r="U3513" i="7" s="1"/>
  <c r="F3529" i="7"/>
  <c r="U3529" i="7" s="1"/>
  <c r="F3527" i="7"/>
  <c r="U3527" i="7" s="1"/>
  <c r="F3520" i="7"/>
  <c r="D3520" i="7"/>
  <c r="B3589" i="7"/>
  <c r="B3580" i="7"/>
  <c r="B3591" i="7"/>
  <c r="B3587" i="7"/>
  <c r="B3581" i="7"/>
  <c r="B3575" i="7"/>
  <c r="B3572" i="7"/>
  <c r="B3573" i="7"/>
  <c r="B3595" i="7"/>
  <c r="B3590" i="7"/>
  <c r="B3583" i="7"/>
  <c r="B3582" i="7"/>
  <c r="B3586" i="7"/>
  <c r="B3577" i="7"/>
  <c r="B3585" i="7"/>
  <c r="B3574" i="7"/>
  <c r="AA3427" i="7"/>
  <c r="P3492" i="7"/>
  <c r="R3492" i="7" s="1"/>
  <c r="N7115" i="7"/>
  <c r="P7115" i="7" s="1"/>
  <c r="R7115" i="7" s="1"/>
  <c r="AA7100" i="7"/>
  <c r="AA7099" i="7"/>
  <c r="AA7022" i="7"/>
  <c r="AA7023" i="7"/>
  <c r="W7155" i="7"/>
  <c r="W7159" i="7" s="1"/>
  <c r="AA7101" i="7"/>
  <c r="AA7033" i="7"/>
  <c r="AA7031" i="7" s="1"/>
  <c r="N7129" i="7"/>
  <c r="P7152" i="7"/>
  <c r="R7152" i="7" s="1"/>
  <c r="N7130" i="7"/>
  <c r="N7127" i="7"/>
  <c r="AA7127" i="7" s="1"/>
  <c r="N7131" i="7"/>
  <c r="N7126" i="7"/>
  <c r="AA7126" i="7" s="1"/>
  <c r="P7144" i="7"/>
  <c r="R7144" i="7" s="1"/>
  <c r="L7161" i="7"/>
  <c r="AA7093" i="7"/>
  <c r="AA7090" i="7" s="1"/>
  <c r="L7159" i="7"/>
  <c r="N7122" i="7"/>
  <c r="N7123" i="7" s="1"/>
  <c r="P7123" i="7" s="1"/>
  <c r="R7123" i="7" s="1"/>
  <c r="L7160" i="7"/>
  <c r="W7156" i="7"/>
  <c r="W7160" i="7" s="1"/>
  <c r="AA7085" i="7"/>
  <c r="AA7082" i="7" s="1"/>
  <c r="J7177" i="7"/>
  <c r="J7174" i="7"/>
  <c r="J7182" i="7" s="1"/>
  <c r="J7172" i="7"/>
  <c r="J7173" i="7"/>
  <c r="U7147" i="7"/>
  <c r="L7147" i="7"/>
  <c r="N7147" i="7" s="1"/>
  <c r="Y7182" i="7"/>
  <c r="Y7183" i="7" s="1"/>
  <c r="Y7174" i="7"/>
  <c r="Y7175" i="7" s="1"/>
  <c r="Y7180" i="7"/>
  <c r="Y7185" i="7"/>
  <c r="Y7181" i="7"/>
  <c r="Y7173" i="7"/>
  <c r="Y7186" i="7"/>
  <c r="Y7187" i="7"/>
  <c r="Y7177" i="7"/>
  <c r="Y7172" i="7"/>
  <c r="W7157" i="7"/>
  <c r="W7161" i="7" s="1"/>
  <c r="D7195" i="7"/>
  <c r="D7197" i="7"/>
  <c r="D7200" i="7"/>
  <c r="D7201" i="7"/>
  <c r="D7199" i="7"/>
  <c r="D7198" i="7"/>
  <c r="L7157" i="7"/>
  <c r="J7157" i="7"/>
  <c r="L7156" i="7"/>
  <c r="J7156" i="7"/>
  <c r="P7151" i="7"/>
  <c r="R7151" i="7" s="1"/>
  <c r="J7159" i="7"/>
  <c r="J7160" i="7"/>
  <c r="J7161" i="7"/>
  <c r="Y7129" i="7"/>
  <c r="Y7130" i="7"/>
  <c r="Y7131" i="7"/>
  <c r="W7115" i="7"/>
  <c r="U7144" i="7"/>
  <c r="U7145" i="7" s="1"/>
  <c r="L7144" i="7"/>
  <c r="N7144" i="7" s="1"/>
  <c r="N7143" i="7"/>
  <c r="J7151" i="7"/>
  <c r="N7151" i="7" s="1"/>
  <c r="P7150" i="7"/>
  <c r="R7150" i="7" s="1"/>
  <c r="D7153" i="7"/>
  <c r="W7153" i="7" s="1"/>
  <c r="L7152" i="7"/>
  <c r="U7152" i="7"/>
  <c r="U7153" i="7" s="1"/>
  <c r="J7152" i="7"/>
  <c r="AA7117" i="7"/>
  <c r="D7145" i="7"/>
  <c r="P7142" i="7"/>
  <c r="R7142" i="7" s="1"/>
  <c r="B7251" i="7"/>
  <c r="B7242" i="7"/>
  <c r="B7233" i="7"/>
  <c r="B7237" i="7"/>
  <c r="B7235" i="7"/>
  <c r="B7232" i="7"/>
  <c r="B7250" i="7"/>
  <c r="B7240" i="7"/>
  <c r="B7243" i="7"/>
  <c r="B7247" i="7"/>
  <c r="B7249" i="7"/>
  <c r="B7241" i="7"/>
  <c r="B7245" i="7"/>
  <c r="B7234" i="7"/>
  <c r="B7246" i="7"/>
  <c r="U7142" i="7"/>
  <c r="F7145" i="7"/>
  <c r="L7142" i="7"/>
  <c r="N7142" i="7" s="1"/>
  <c r="A7233" i="7"/>
  <c r="A7249" i="7"/>
  <c r="A7242" i="7"/>
  <c r="A7243" i="7"/>
  <c r="A7247" i="7"/>
  <c r="A7241" i="7"/>
  <c r="A7251" i="7"/>
  <c r="A7246" i="7"/>
  <c r="A7250" i="7"/>
  <c r="A7234" i="7"/>
  <c r="A7245" i="7"/>
  <c r="A7232" i="7"/>
  <c r="A7237" i="7"/>
  <c r="A7240" i="7"/>
  <c r="A7235" i="7"/>
  <c r="C7225" i="7"/>
  <c r="F7153" i="7"/>
  <c r="L7150" i="7"/>
  <c r="N7150" i="7" s="1"/>
  <c r="U7150" i="7"/>
  <c r="L7155" i="7"/>
  <c r="J7155" i="7"/>
  <c r="N7125" i="7"/>
  <c r="AA7125" i="7" s="1"/>
  <c r="G7166" i="7"/>
  <c r="F7172" i="7"/>
  <c r="D7190" i="7"/>
  <c r="F7186" i="7"/>
  <c r="U7186" i="7" s="1"/>
  <c r="D7186" i="7"/>
  <c r="D7172" i="7"/>
  <c r="F7191" i="7"/>
  <c r="U7191" i="7" s="1"/>
  <c r="H7191" i="7"/>
  <c r="H7185" i="7"/>
  <c r="D7191" i="7"/>
  <c r="F7180" i="7"/>
  <c r="D7181" i="7"/>
  <c r="F7182" i="7"/>
  <c r="D7185" i="7"/>
  <c r="F7189" i="7"/>
  <c r="U7189" i="7" s="1"/>
  <c r="D7173" i="7"/>
  <c r="D7180" i="7"/>
  <c r="D7174" i="7"/>
  <c r="H7189" i="7"/>
  <c r="D7189" i="7"/>
  <c r="F7173" i="7"/>
  <c r="U7173" i="7" s="1"/>
  <c r="H7190" i="7"/>
  <c r="F7187" i="7"/>
  <c r="U7187" i="7" s="1"/>
  <c r="D7182" i="7"/>
  <c r="D7166" i="7"/>
  <c r="F7174" i="7"/>
  <c r="F7190" i="7"/>
  <c r="U7190" i="7" s="1"/>
  <c r="F7185" i="7"/>
  <c r="U7185" i="7" s="1"/>
  <c r="H7186" i="7"/>
  <c r="D7177" i="7"/>
  <c r="W7177" i="7" s="1"/>
  <c r="D7187" i="7"/>
  <c r="F7177" i="7"/>
  <c r="H7187" i="7"/>
  <c r="F7181" i="7"/>
  <c r="U7181" i="7" s="1"/>
  <c r="P7143" i="7"/>
  <c r="R7143" i="7" s="1"/>
  <c r="AA7087" i="7"/>
  <c r="W7186" i="7" l="1"/>
  <c r="W7190" i="7" s="1"/>
  <c r="AA7062" i="7"/>
  <c r="AA7061" i="7"/>
  <c r="AA7060" i="7"/>
  <c r="AA3469" i="7"/>
  <c r="AA3470" i="7"/>
  <c r="AA3471" i="7"/>
  <c r="N3499" i="7"/>
  <c r="N3501" i="7"/>
  <c r="N3500" i="7"/>
  <c r="L3531" i="7"/>
  <c r="W3527" i="7"/>
  <c r="W3531" i="7" s="1"/>
  <c r="AA3433" i="7"/>
  <c r="AA3430" i="7" s="1"/>
  <c r="N3485" i="7"/>
  <c r="P3485" i="7" s="1"/>
  <c r="R3485" i="7" s="1"/>
  <c r="L3530" i="7"/>
  <c r="L3529" i="7"/>
  <c r="N3463" i="7"/>
  <c r="P3463" i="7" s="1"/>
  <c r="R3463" i="7" s="1"/>
  <c r="N3495" i="7"/>
  <c r="AA3495" i="7" s="1"/>
  <c r="N3497" i="7"/>
  <c r="AA3497" i="7" s="1"/>
  <c r="AA3455" i="7"/>
  <c r="AA3452" i="7" s="1"/>
  <c r="N3496" i="7"/>
  <c r="AA3496" i="7" s="1"/>
  <c r="N3492" i="7"/>
  <c r="P3514" i="7"/>
  <c r="R3514" i="7" s="1"/>
  <c r="P3522" i="7"/>
  <c r="R3522" i="7" s="1"/>
  <c r="U3520" i="7"/>
  <c r="F3523" i="7"/>
  <c r="L3520" i="7"/>
  <c r="D3570" i="7"/>
  <c r="D3567" i="7"/>
  <c r="D3565" i="7"/>
  <c r="D3571" i="7"/>
  <c r="D3569" i="7"/>
  <c r="D3568" i="7"/>
  <c r="Y3542" i="7"/>
  <c r="Y3543" i="7"/>
  <c r="Y3557" i="7"/>
  <c r="Y3550" i="7"/>
  <c r="Y3555" i="7"/>
  <c r="Y3552" i="7"/>
  <c r="Y3553" i="7" s="1"/>
  <c r="Y3544" i="7"/>
  <c r="Y3545" i="7" s="1"/>
  <c r="Y3556" i="7"/>
  <c r="Y3551" i="7"/>
  <c r="Y3547" i="7"/>
  <c r="D3523" i="7"/>
  <c r="W3523" i="7" s="1"/>
  <c r="P3520" i="7"/>
  <c r="R3520" i="7" s="1"/>
  <c r="AA3457" i="7"/>
  <c r="L3525" i="7"/>
  <c r="J3525" i="7"/>
  <c r="B3625" i="7"/>
  <c r="B3617" i="7"/>
  <c r="B3619" i="7"/>
  <c r="B3615" i="7"/>
  <c r="B3603" i="7"/>
  <c r="B3607" i="7"/>
  <c r="B3604" i="7"/>
  <c r="B3602" i="7"/>
  <c r="B3613" i="7"/>
  <c r="B3616" i="7"/>
  <c r="B3611" i="7"/>
  <c r="B3610" i="7"/>
  <c r="B3612" i="7"/>
  <c r="B3621" i="7"/>
  <c r="B3605" i="7"/>
  <c r="B3620" i="7"/>
  <c r="W3525" i="7"/>
  <c r="W3529" i="7" s="1"/>
  <c r="U3522" i="7"/>
  <c r="U3523" i="7" s="1"/>
  <c r="L3522" i="7"/>
  <c r="W3526" i="7"/>
  <c r="W3530" i="7" s="1"/>
  <c r="A3612" i="7"/>
  <c r="A3602" i="7"/>
  <c r="A3619" i="7"/>
  <c r="A3615" i="7"/>
  <c r="A3625" i="7"/>
  <c r="A3603" i="7"/>
  <c r="A3607" i="7"/>
  <c r="A3604" i="7"/>
  <c r="A3613" i="7"/>
  <c r="A3616" i="7"/>
  <c r="A3611" i="7"/>
  <c r="A3610" i="7"/>
  <c r="A3617" i="7"/>
  <c r="A3621" i="7"/>
  <c r="A3605" i="7"/>
  <c r="C3595" i="7"/>
  <c r="A3620" i="7"/>
  <c r="J3530" i="7"/>
  <c r="J3531" i="7"/>
  <c r="J3529" i="7"/>
  <c r="P3512" i="7"/>
  <c r="R3512" i="7" s="1"/>
  <c r="D3515" i="7"/>
  <c r="P3487" i="7"/>
  <c r="R3487" i="7" s="1"/>
  <c r="N3513" i="7"/>
  <c r="J3521" i="7"/>
  <c r="N3521" i="7" s="1"/>
  <c r="Y3501" i="7"/>
  <c r="Y3500" i="7"/>
  <c r="W3485" i="7"/>
  <c r="Y3499" i="7"/>
  <c r="J3522" i="7"/>
  <c r="F3551" i="7"/>
  <c r="U3551" i="7" s="1"/>
  <c r="F3544" i="7"/>
  <c r="G3536" i="7"/>
  <c r="D3555" i="7"/>
  <c r="H3560" i="7"/>
  <c r="F3542" i="7"/>
  <c r="F3560" i="7"/>
  <c r="U3560" i="7" s="1"/>
  <c r="H3556" i="7"/>
  <c r="D3542" i="7"/>
  <c r="D3560" i="7"/>
  <c r="F3556" i="7"/>
  <c r="U3556" i="7" s="1"/>
  <c r="D3547" i="7"/>
  <c r="W3547" i="7" s="1"/>
  <c r="D3544" i="7"/>
  <c r="H3557" i="7"/>
  <c r="F3559" i="7"/>
  <c r="U3559" i="7" s="1"/>
  <c r="H3555" i="7"/>
  <c r="H3561" i="7"/>
  <c r="D3559" i="7"/>
  <c r="F3555" i="7"/>
  <c r="U3555" i="7" s="1"/>
  <c r="D3551" i="7"/>
  <c r="F3561" i="7"/>
  <c r="U3561" i="7" s="1"/>
  <c r="D3561" i="7"/>
  <c r="F3557" i="7"/>
  <c r="U3557" i="7" s="1"/>
  <c r="D3557" i="7"/>
  <c r="F3550" i="7"/>
  <c r="D3550" i="7"/>
  <c r="D3556" i="7"/>
  <c r="D3552" i="7"/>
  <c r="D3536" i="7"/>
  <c r="F3547" i="7"/>
  <c r="H3559" i="7"/>
  <c r="F3543" i="7"/>
  <c r="U3543" i="7" s="1"/>
  <c r="D3543" i="7"/>
  <c r="F3552" i="7"/>
  <c r="P3513" i="7"/>
  <c r="R3513" i="7" s="1"/>
  <c r="F3515" i="7"/>
  <c r="L3512" i="7"/>
  <c r="N3512" i="7" s="1"/>
  <c r="U3512" i="7"/>
  <c r="AA3423" i="7"/>
  <c r="AA3424" i="7"/>
  <c r="AA3422" i="7"/>
  <c r="N3490" i="7"/>
  <c r="J3527" i="7"/>
  <c r="L3527" i="7"/>
  <c r="J3542" i="7"/>
  <c r="J3544" i="7"/>
  <c r="J3543" i="7"/>
  <c r="J3547" i="7"/>
  <c r="L3514" i="7"/>
  <c r="N3514" i="7" s="1"/>
  <c r="U3514" i="7"/>
  <c r="U3515" i="7" s="1"/>
  <c r="U3517" i="7"/>
  <c r="L3517" i="7"/>
  <c r="N3517" i="7" s="1"/>
  <c r="L3526" i="7"/>
  <c r="J3526" i="7"/>
  <c r="P3521" i="7"/>
  <c r="R3521" i="7" s="1"/>
  <c r="J3520" i="7"/>
  <c r="N7159" i="7"/>
  <c r="N7155" i="7"/>
  <c r="AA7155" i="7" s="1"/>
  <c r="N7156" i="7"/>
  <c r="AA7156" i="7" s="1"/>
  <c r="L7191" i="7"/>
  <c r="AA7032" i="7"/>
  <c r="AA7030" i="7"/>
  <c r="N7157" i="7"/>
  <c r="AA7157" i="7" s="1"/>
  <c r="AA7129" i="7"/>
  <c r="N7161" i="7"/>
  <c r="AA7083" i="7"/>
  <c r="AA7130" i="7"/>
  <c r="N7160" i="7"/>
  <c r="AA7084" i="7"/>
  <c r="AA7131" i="7"/>
  <c r="AA7123" i="7"/>
  <c r="AA7120" i="7" s="1"/>
  <c r="N7145" i="7"/>
  <c r="P7145" i="7" s="1"/>
  <c r="R7145" i="7" s="1"/>
  <c r="N7152" i="7"/>
  <c r="N7153" i="7" s="1"/>
  <c r="P7153" i="7" s="1"/>
  <c r="R7153" i="7" s="1"/>
  <c r="P7173" i="7"/>
  <c r="R7173" i="7" s="1"/>
  <c r="AA7091" i="7"/>
  <c r="L7189" i="7"/>
  <c r="AA7092" i="7"/>
  <c r="L7190" i="7"/>
  <c r="AA7115" i="7"/>
  <c r="P7174" i="7"/>
  <c r="R7174" i="7" s="1"/>
  <c r="L7172" i="7"/>
  <c r="N7172" i="7" s="1"/>
  <c r="U7172" i="7"/>
  <c r="F7175" i="7"/>
  <c r="P7181" i="7"/>
  <c r="R7181" i="7" s="1"/>
  <c r="L7187" i="7"/>
  <c r="J7187" i="7"/>
  <c r="L7180" i="7"/>
  <c r="F7183" i="7"/>
  <c r="U7180" i="7"/>
  <c r="J7207" i="7"/>
  <c r="J7204" i="7"/>
  <c r="J7202" i="7"/>
  <c r="J7203" i="7"/>
  <c r="L7185" i="7"/>
  <c r="J7185" i="7"/>
  <c r="L7182" i="7"/>
  <c r="N7182" i="7" s="1"/>
  <c r="U7182" i="7"/>
  <c r="U7183" i="7" s="1"/>
  <c r="D7220" i="7"/>
  <c r="D7203" i="7"/>
  <c r="F7211" i="7"/>
  <c r="U7211" i="7" s="1"/>
  <c r="F7204" i="7"/>
  <c r="D7196" i="7"/>
  <c r="H7215" i="7"/>
  <c r="F7216" i="7"/>
  <c r="U7216" i="7" s="1"/>
  <c r="F7203" i="7"/>
  <c r="U7203" i="7" s="1"/>
  <c r="D7216" i="7"/>
  <c r="D7219" i="7"/>
  <c r="F7210" i="7"/>
  <c r="F7202" i="7"/>
  <c r="F7217" i="7"/>
  <c r="U7217" i="7" s="1"/>
  <c r="F7220" i="7"/>
  <c r="U7220" i="7" s="1"/>
  <c r="D7212" i="7"/>
  <c r="H7219" i="7"/>
  <c r="H7221" i="7"/>
  <c r="D7202" i="7"/>
  <c r="D7204" i="7"/>
  <c r="H7220" i="7"/>
  <c r="F7212" i="7"/>
  <c r="D7217" i="7"/>
  <c r="F7207" i="7"/>
  <c r="H7217" i="7"/>
  <c r="D7215" i="7"/>
  <c r="F7219" i="7"/>
  <c r="U7219" i="7" s="1"/>
  <c r="D7207" i="7"/>
  <c r="W7207" i="7" s="1"/>
  <c r="D7210" i="7"/>
  <c r="G7196" i="7"/>
  <c r="F7221" i="7"/>
  <c r="U7221" i="7" s="1"/>
  <c r="F7215" i="7"/>
  <c r="U7215" i="7" s="1"/>
  <c r="H7216" i="7"/>
  <c r="D7221" i="7"/>
  <c r="D7211" i="7"/>
  <c r="P7147" i="7"/>
  <c r="R7147" i="7" s="1"/>
  <c r="U7177" i="7"/>
  <c r="L7177" i="7"/>
  <c r="N7177" i="7" s="1"/>
  <c r="Y7216" i="7"/>
  <c r="Y7210" i="7"/>
  <c r="Y7204" i="7"/>
  <c r="Y7205" i="7" s="1"/>
  <c r="Y7207" i="7"/>
  <c r="Y7212" i="7"/>
  <c r="Y7213" i="7" s="1"/>
  <c r="Y7217" i="7"/>
  <c r="Y7202" i="7"/>
  <c r="Y7203" i="7"/>
  <c r="Y7211" i="7"/>
  <c r="Y7215" i="7"/>
  <c r="J7189" i="7"/>
  <c r="J7191" i="7"/>
  <c r="J7190" i="7"/>
  <c r="D7227" i="7"/>
  <c r="D7230" i="7"/>
  <c r="D7231" i="7"/>
  <c r="D7228" i="7"/>
  <c r="D7229" i="7"/>
  <c r="D7225" i="7"/>
  <c r="D7183" i="7"/>
  <c r="W7183" i="7" s="1"/>
  <c r="P7180" i="7"/>
  <c r="R7180" i="7" s="1"/>
  <c r="Y7159" i="7"/>
  <c r="W7145" i="7"/>
  <c r="Y7160" i="7"/>
  <c r="Y7161" i="7"/>
  <c r="P7182" i="7"/>
  <c r="R7182" i="7" s="1"/>
  <c r="W7185" i="7"/>
  <c r="W7189" i="7" s="1"/>
  <c r="N7173" i="7"/>
  <c r="J7181" i="7"/>
  <c r="N7181" i="7" s="1"/>
  <c r="U7174" i="7"/>
  <c r="U7175" i="7" s="1"/>
  <c r="L7174" i="7"/>
  <c r="N7174" i="7" s="1"/>
  <c r="W7187" i="7"/>
  <c r="W7191" i="7" s="1"/>
  <c r="J7180" i="7"/>
  <c r="D7175" i="7"/>
  <c r="P7172" i="7"/>
  <c r="R7172" i="7" s="1"/>
  <c r="J7186" i="7"/>
  <c r="L7186" i="7"/>
  <c r="AA3499" i="7" l="1"/>
  <c r="N3530" i="7"/>
  <c r="AA3501" i="7"/>
  <c r="AA3500" i="7"/>
  <c r="N3531" i="7"/>
  <c r="L3560" i="7"/>
  <c r="AA3432" i="7"/>
  <c r="L3561" i="7"/>
  <c r="N3529" i="7"/>
  <c r="AA3431" i="7"/>
  <c r="N3515" i="7"/>
  <c r="P3515" i="7" s="1"/>
  <c r="R3515" i="7" s="1"/>
  <c r="N3493" i="7"/>
  <c r="P3493" i="7" s="1"/>
  <c r="R3493" i="7" s="1"/>
  <c r="W3556" i="7"/>
  <c r="W3560" i="7" s="1"/>
  <c r="L3559" i="7"/>
  <c r="AA3463" i="7"/>
  <c r="AA3462" i="7" s="1"/>
  <c r="N3522" i="7"/>
  <c r="P3543" i="7"/>
  <c r="R3543" i="7" s="1"/>
  <c r="AA3454" i="7"/>
  <c r="AA3453" i="7"/>
  <c r="N3520" i="7"/>
  <c r="N3526" i="7"/>
  <c r="AA3526" i="7" s="1"/>
  <c r="W3557" i="7"/>
  <c r="W3561" i="7" s="1"/>
  <c r="P3552" i="7"/>
  <c r="R3552" i="7" s="1"/>
  <c r="N3525" i="7"/>
  <c r="AA3525" i="7" s="1"/>
  <c r="W3555" i="7"/>
  <c r="W3559" i="7" s="1"/>
  <c r="J3550" i="7"/>
  <c r="U3547" i="7"/>
  <c r="L3547" i="7"/>
  <c r="N3547" i="7" s="1"/>
  <c r="L3544" i="7"/>
  <c r="N3544" i="7" s="1"/>
  <c r="U3544" i="7"/>
  <c r="U3545" i="7" s="1"/>
  <c r="J3556" i="7"/>
  <c r="L3556" i="7"/>
  <c r="Y3582" i="7"/>
  <c r="Y3583" i="7" s="1"/>
  <c r="Y3573" i="7"/>
  <c r="Y3586" i="7"/>
  <c r="Y3585" i="7"/>
  <c r="Y3581" i="7"/>
  <c r="Y3572" i="7"/>
  <c r="Y3587" i="7"/>
  <c r="Y3580" i="7"/>
  <c r="Y3577" i="7"/>
  <c r="Y3574" i="7"/>
  <c r="Y3575" i="7" s="1"/>
  <c r="A3650" i="7"/>
  <c r="A3641" i="7"/>
  <c r="A3634" i="7"/>
  <c r="C3625" i="7"/>
  <c r="A3647" i="7"/>
  <c r="A3633" i="7"/>
  <c r="A3655" i="7"/>
  <c r="A3642" i="7"/>
  <c r="A3645" i="7"/>
  <c r="A3640" i="7"/>
  <c r="A3635" i="7"/>
  <c r="A3651" i="7"/>
  <c r="A3632" i="7"/>
  <c r="A3637" i="7"/>
  <c r="A3643" i="7"/>
  <c r="A3649" i="7"/>
  <c r="A3646" i="7"/>
  <c r="J3552" i="7"/>
  <c r="P3550" i="7"/>
  <c r="R3550" i="7" s="1"/>
  <c r="D3553" i="7"/>
  <c r="W3553" i="7" s="1"/>
  <c r="B3641" i="7"/>
  <c r="B3634" i="7"/>
  <c r="B3646" i="7"/>
  <c r="B3650" i="7"/>
  <c r="B3645" i="7"/>
  <c r="B3640" i="7"/>
  <c r="B3635" i="7"/>
  <c r="B3633" i="7"/>
  <c r="B3647" i="7"/>
  <c r="B3632" i="7"/>
  <c r="B3651" i="7"/>
  <c r="B3637" i="7"/>
  <c r="B3643" i="7"/>
  <c r="B3649" i="7"/>
  <c r="B3655" i="7"/>
  <c r="B3642" i="7"/>
  <c r="F3580" i="7"/>
  <c r="D3573" i="7"/>
  <c r="F3590" i="7"/>
  <c r="U3590" i="7" s="1"/>
  <c r="F3585" i="7"/>
  <c r="U3585" i="7" s="1"/>
  <c r="F3581" i="7"/>
  <c r="U3581" i="7" s="1"/>
  <c r="D3581" i="7"/>
  <c r="F3572" i="7"/>
  <c r="H3585" i="7"/>
  <c r="D3572" i="7"/>
  <c r="H3589" i="7"/>
  <c r="D3585" i="7"/>
  <c r="G3566" i="7"/>
  <c r="F3573" i="7"/>
  <c r="U3573" i="7" s="1"/>
  <c r="D3566" i="7"/>
  <c r="F3582" i="7"/>
  <c r="F3587" i="7"/>
  <c r="U3587" i="7" s="1"/>
  <c r="F3591" i="7"/>
  <c r="U3591" i="7" s="1"/>
  <c r="D3591" i="7"/>
  <c r="H3586" i="7"/>
  <c r="D3582" i="7"/>
  <c r="D3590" i="7"/>
  <c r="H3590" i="7"/>
  <c r="F3586" i="7"/>
  <c r="U3586" i="7" s="1"/>
  <c r="F3577" i="7"/>
  <c r="D3586" i="7"/>
  <c r="D3577" i="7"/>
  <c r="W3577" i="7" s="1"/>
  <c r="D3580" i="7"/>
  <c r="F3589" i="7"/>
  <c r="U3589" i="7" s="1"/>
  <c r="H3587" i="7"/>
  <c r="D3589" i="7"/>
  <c r="D3574" i="7"/>
  <c r="F3574" i="7"/>
  <c r="H3591" i="7"/>
  <c r="D3587" i="7"/>
  <c r="J3551" i="7"/>
  <c r="N3551" i="7" s="1"/>
  <c r="N3543" i="7"/>
  <c r="P3544" i="7"/>
  <c r="R3544" i="7" s="1"/>
  <c r="J3572" i="7"/>
  <c r="J3573" i="7"/>
  <c r="J3577" i="7"/>
  <c r="J3574" i="7"/>
  <c r="J3561" i="7"/>
  <c r="J3560" i="7"/>
  <c r="J3559" i="7"/>
  <c r="N3527" i="7"/>
  <c r="AA3527" i="7" s="1"/>
  <c r="U3550" i="7"/>
  <c r="L3550" i="7"/>
  <c r="F3553" i="7"/>
  <c r="L3557" i="7"/>
  <c r="J3557" i="7"/>
  <c r="L3552" i="7"/>
  <c r="U3552" i="7"/>
  <c r="U3553" i="7" s="1"/>
  <c r="D3598" i="7"/>
  <c r="D3597" i="7"/>
  <c r="D3601" i="7"/>
  <c r="D3600" i="7"/>
  <c r="D3599" i="7"/>
  <c r="D3595" i="7"/>
  <c r="D3545" i="7"/>
  <c r="P3542" i="7"/>
  <c r="R3542" i="7" s="1"/>
  <c r="F3545" i="7"/>
  <c r="L3542" i="7"/>
  <c r="N3542" i="7" s="1"/>
  <c r="U3542" i="7"/>
  <c r="AA3487" i="7"/>
  <c r="AA3485" i="7"/>
  <c r="P3517" i="7"/>
  <c r="R3517" i="7" s="1"/>
  <c r="P3551" i="7"/>
  <c r="R3551" i="7" s="1"/>
  <c r="J3555" i="7"/>
  <c r="L3555" i="7"/>
  <c r="Y3531" i="7"/>
  <c r="Y3529" i="7"/>
  <c r="Y3530" i="7"/>
  <c r="W3515" i="7"/>
  <c r="N7191" i="7"/>
  <c r="AA7159" i="7"/>
  <c r="AA7161" i="7"/>
  <c r="AA7122" i="7"/>
  <c r="AA7121" i="7"/>
  <c r="AA7160" i="7"/>
  <c r="W7215" i="7"/>
  <c r="W7219" i="7" s="1"/>
  <c r="P7204" i="7"/>
  <c r="R7204" i="7" s="1"/>
  <c r="N7189" i="7"/>
  <c r="N7190" i="7"/>
  <c r="L7221" i="7"/>
  <c r="L7220" i="7"/>
  <c r="W7216" i="7"/>
  <c r="W7220" i="7" s="1"/>
  <c r="N7186" i="7"/>
  <c r="AA7186" i="7" s="1"/>
  <c r="AA7145" i="7"/>
  <c r="AA7142" i="7" s="1"/>
  <c r="N7187" i="7"/>
  <c r="AA7187" i="7" s="1"/>
  <c r="AA7147" i="7"/>
  <c r="N7175" i="7"/>
  <c r="P7175" i="7" s="1"/>
  <c r="R7175" i="7" s="1"/>
  <c r="W7217" i="7"/>
  <c r="W7221" i="7" s="1"/>
  <c r="N7180" i="7"/>
  <c r="N7183" i="7" s="1"/>
  <c r="P7183" i="7" s="1"/>
  <c r="R7183" i="7" s="1"/>
  <c r="L7219" i="7"/>
  <c r="P7177" i="7"/>
  <c r="R7177" i="7" s="1"/>
  <c r="AA7177" i="7" s="1"/>
  <c r="L7216" i="7"/>
  <c r="J7216" i="7"/>
  <c r="P7210" i="7"/>
  <c r="R7210" i="7" s="1"/>
  <c r="D7213" i="7"/>
  <c r="W7213" i="7" s="1"/>
  <c r="F7205" i="7"/>
  <c r="U7202" i="7"/>
  <c r="L7202" i="7"/>
  <c r="N7202" i="7" s="1"/>
  <c r="N7203" i="7"/>
  <c r="J7211" i="7"/>
  <c r="N7211" i="7" s="1"/>
  <c r="F7213" i="7"/>
  <c r="U7210" i="7"/>
  <c r="L7210" i="7"/>
  <c r="J7210" i="7"/>
  <c r="J7212" i="7"/>
  <c r="L7207" i="7"/>
  <c r="N7207" i="7" s="1"/>
  <c r="U7207" i="7"/>
  <c r="U7204" i="7"/>
  <c r="U7205" i="7" s="1"/>
  <c r="L7204" i="7"/>
  <c r="N7204" i="7" s="1"/>
  <c r="AA7153" i="7"/>
  <c r="L7215" i="7"/>
  <c r="J7215" i="7"/>
  <c r="J7220" i="7"/>
  <c r="J7219" i="7"/>
  <c r="J7221" i="7"/>
  <c r="U7212" i="7"/>
  <c r="U7213" i="7" s="1"/>
  <c r="L7212" i="7"/>
  <c r="P7211" i="7"/>
  <c r="R7211" i="7" s="1"/>
  <c r="D7205" i="7"/>
  <c r="P7202" i="7"/>
  <c r="R7202" i="7" s="1"/>
  <c r="P7203" i="7"/>
  <c r="R7203" i="7" s="1"/>
  <c r="J7234" i="7"/>
  <c r="J7242" i="7" s="1"/>
  <c r="J7233" i="7"/>
  <c r="J7237" i="7"/>
  <c r="J7232" i="7"/>
  <c r="J7240" i="7" s="1"/>
  <c r="H7251" i="7"/>
  <c r="F7241" i="7"/>
  <c r="U7241" i="7" s="1"/>
  <c r="F7251" i="7"/>
  <c r="D7245" i="7"/>
  <c r="G7226" i="7"/>
  <c r="D7250" i="7"/>
  <c r="D7246" i="7"/>
  <c r="F7240" i="7"/>
  <c r="F7250" i="7"/>
  <c r="U7250" i="7" s="1"/>
  <c r="D7240" i="7"/>
  <c r="D7247" i="7"/>
  <c r="H7246" i="7"/>
  <c r="F7237" i="7"/>
  <c r="D7241" i="7"/>
  <c r="D7237" i="7"/>
  <c r="W7237" i="7" s="1"/>
  <c r="D7242" i="7"/>
  <c r="F7233" i="7"/>
  <c r="U7233" i="7" s="1"/>
  <c r="D7233" i="7"/>
  <c r="F7249" i="7"/>
  <c r="U7249" i="7" s="1"/>
  <c r="D7249" i="7"/>
  <c r="F7232" i="7"/>
  <c r="F7245" i="7"/>
  <c r="U7245" i="7" s="1"/>
  <c r="D7232" i="7"/>
  <c r="D7226" i="7"/>
  <c r="H7249" i="7"/>
  <c r="H7250" i="7"/>
  <c r="H7247" i="7"/>
  <c r="H7245" i="7"/>
  <c r="F7246" i="7"/>
  <c r="U7246" i="7" s="1"/>
  <c r="F7242" i="7"/>
  <c r="F7247" i="7"/>
  <c r="U7247" i="7" s="1"/>
  <c r="D7251" i="7"/>
  <c r="F7234" i="7"/>
  <c r="D7234" i="7"/>
  <c r="P7212" i="7"/>
  <c r="R7212" i="7" s="1"/>
  <c r="Y7245" i="7"/>
  <c r="Y7246" i="7"/>
  <c r="Y7234" i="7"/>
  <c r="Y7235" i="7" s="1"/>
  <c r="Y7232" i="7"/>
  <c r="Y7247" i="7"/>
  <c r="Y7240" i="7"/>
  <c r="Y7233" i="7"/>
  <c r="Y7241" i="7"/>
  <c r="Y7237" i="7"/>
  <c r="Y7242" i="7"/>
  <c r="Y7243" i="7" s="1"/>
  <c r="L7217" i="7"/>
  <c r="J7217" i="7"/>
  <c r="Y7189" i="7"/>
  <c r="Y7191" i="7"/>
  <c r="Y7190" i="7"/>
  <c r="W7175" i="7"/>
  <c r="N7185" i="7"/>
  <c r="AA7185" i="7" s="1"/>
  <c r="AA7114" i="7"/>
  <c r="AA7113" i="7"/>
  <c r="AA7112" i="7"/>
  <c r="AA3530" i="7" l="1"/>
  <c r="U7251" i="7"/>
  <c r="AA3531" i="7"/>
  <c r="N3561" i="7"/>
  <c r="N3560" i="7"/>
  <c r="AA3529" i="7"/>
  <c r="N3559" i="7"/>
  <c r="AA3493" i="7"/>
  <c r="AA3490" i="7" s="1"/>
  <c r="AA3461" i="7"/>
  <c r="AA3460" i="7"/>
  <c r="W3586" i="7"/>
  <c r="W3590" i="7" s="1"/>
  <c r="L3590" i="7"/>
  <c r="L3591" i="7"/>
  <c r="N3545" i="7"/>
  <c r="P3545" i="7" s="1"/>
  <c r="R3545" i="7" s="1"/>
  <c r="L3589" i="7"/>
  <c r="N3523" i="7"/>
  <c r="P3523" i="7" s="1"/>
  <c r="R3523" i="7" s="1"/>
  <c r="P3582" i="7"/>
  <c r="R3582" i="7" s="1"/>
  <c r="P3574" i="7"/>
  <c r="R3574" i="7" s="1"/>
  <c r="N3552" i="7"/>
  <c r="U3582" i="7"/>
  <c r="U3583" i="7" s="1"/>
  <c r="L3582" i="7"/>
  <c r="AA3515" i="7"/>
  <c r="N3556" i="7"/>
  <c r="AA3556" i="7" s="1"/>
  <c r="B3671" i="7"/>
  <c r="B3664" i="7"/>
  <c r="B3680" i="7"/>
  <c r="B3676" i="7"/>
  <c r="B3672" i="7"/>
  <c r="B3685" i="7"/>
  <c r="B3677" i="7"/>
  <c r="B3663" i="7"/>
  <c r="B3673" i="7"/>
  <c r="B3667" i="7"/>
  <c r="B3675" i="7"/>
  <c r="B3665" i="7"/>
  <c r="B3681" i="7"/>
  <c r="B3662" i="7"/>
  <c r="B3679" i="7"/>
  <c r="B3670" i="7"/>
  <c r="D3625" i="7"/>
  <c r="D3627" i="7"/>
  <c r="D3631" i="7"/>
  <c r="D3630" i="7"/>
  <c r="D3629" i="7"/>
  <c r="D3628" i="7"/>
  <c r="Y3561" i="7"/>
  <c r="W3545" i="7"/>
  <c r="Y3560" i="7"/>
  <c r="Y3559" i="7"/>
  <c r="P3580" i="7"/>
  <c r="R3580" i="7" s="1"/>
  <c r="D3583" i="7"/>
  <c r="W3583" i="7" s="1"/>
  <c r="J3585" i="7"/>
  <c r="L3585" i="7"/>
  <c r="J3590" i="7"/>
  <c r="J3589" i="7"/>
  <c r="J3591" i="7"/>
  <c r="J3607" i="7"/>
  <c r="J3603" i="7"/>
  <c r="J3602" i="7"/>
  <c r="J3604" i="7"/>
  <c r="P3547" i="7"/>
  <c r="R3547" i="7" s="1"/>
  <c r="W3585" i="7"/>
  <c r="W3589" i="7" s="1"/>
  <c r="AA3517" i="7"/>
  <c r="J3582" i="7"/>
  <c r="J3586" i="7"/>
  <c r="L3586" i="7"/>
  <c r="D3575" i="7"/>
  <c r="P3572" i="7"/>
  <c r="R3572" i="7" s="1"/>
  <c r="W3587" i="7"/>
  <c r="W3591" i="7" s="1"/>
  <c r="U3574" i="7"/>
  <c r="U3575" i="7" s="1"/>
  <c r="L3574" i="7"/>
  <c r="N3574" i="7" s="1"/>
  <c r="F3575" i="7"/>
  <c r="U3572" i="7"/>
  <c r="L3572" i="7"/>
  <c r="N3572" i="7" s="1"/>
  <c r="N3555" i="7"/>
  <c r="AA3555" i="7" s="1"/>
  <c r="AA3483" i="7"/>
  <c r="AA3484" i="7"/>
  <c r="AA3482" i="7"/>
  <c r="J3580" i="7"/>
  <c r="P3581" i="7"/>
  <c r="R3581" i="7" s="1"/>
  <c r="Y3611" i="7"/>
  <c r="Y3604" i="7"/>
  <c r="Y3605" i="7" s="1"/>
  <c r="Y3610" i="7"/>
  <c r="Y3617" i="7"/>
  <c r="Y3603" i="7"/>
  <c r="Y3602" i="7"/>
  <c r="Y3607" i="7"/>
  <c r="Y3612" i="7"/>
  <c r="Y3613" i="7" s="1"/>
  <c r="Y3615" i="7"/>
  <c r="Y3616" i="7"/>
  <c r="N3573" i="7"/>
  <c r="J3581" i="7"/>
  <c r="N3581" i="7" s="1"/>
  <c r="N3550" i="7"/>
  <c r="A3680" i="7"/>
  <c r="A3676" i="7"/>
  <c r="A3672" i="7"/>
  <c r="A3667" i="7"/>
  <c r="A3685" i="7"/>
  <c r="A3677" i="7"/>
  <c r="A3664" i="7"/>
  <c r="A3671" i="7"/>
  <c r="A3663" i="7"/>
  <c r="A3681" i="7"/>
  <c r="A3665" i="7"/>
  <c r="A3675" i="7"/>
  <c r="A3673" i="7"/>
  <c r="A3662" i="7"/>
  <c r="C3655" i="7"/>
  <c r="A3679" i="7"/>
  <c r="A3670" i="7"/>
  <c r="U3577" i="7"/>
  <c r="L3577" i="7"/>
  <c r="N3577" i="7" s="1"/>
  <c r="AA7191" i="7"/>
  <c r="N3557" i="7"/>
  <c r="AA3557" i="7" s="1"/>
  <c r="L3587" i="7"/>
  <c r="J3587" i="7"/>
  <c r="P3573" i="7"/>
  <c r="R3573" i="7" s="1"/>
  <c r="D3602" i="7"/>
  <c r="F3619" i="7"/>
  <c r="U3619" i="7" s="1"/>
  <c r="D3607" i="7"/>
  <c r="W3607" i="7" s="1"/>
  <c r="D3603" i="7"/>
  <c r="F3607" i="7"/>
  <c r="G3596" i="7"/>
  <c r="H3620" i="7"/>
  <c r="H3616" i="7"/>
  <c r="F3612" i="7"/>
  <c r="D3596" i="7"/>
  <c r="F3616" i="7"/>
  <c r="U3616" i="7" s="1"/>
  <c r="F3611" i="7"/>
  <c r="U3611" i="7" s="1"/>
  <c r="H3621" i="7"/>
  <c r="D3616" i="7"/>
  <c r="D3611" i="7"/>
  <c r="F3621" i="7"/>
  <c r="U3621" i="7" s="1"/>
  <c r="H3619" i="7"/>
  <c r="D3621" i="7"/>
  <c r="D3619" i="7"/>
  <c r="F3610" i="7"/>
  <c r="F3620" i="7"/>
  <c r="U3620" i="7" s="1"/>
  <c r="D3612" i="7"/>
  <c r="D3620" i="7"/>
  <c r="H3617" i="7"/>
  <c r="H3615" i="7"/>
  <c r="F3603" i="7"/>
  <c r="U3603" i="7" s="1"/>
  <c r="F3617" i="7"/>
  <c r="U3617" i="7" s="1"/>
  <c r="D3617" i="7"/>
  <c r="F3602" i="7"/>
  <c r="F3615" i="7"/>
  <c r="U3615" i="7" s="1"/>
  <c r="D3615" i="7"/>
  <c r="D3610" i="7"/>
  <c r="F3604" i="7"/>
  <c r="D3604" i="7"/>
  <c r="L3580" i="7"/>
  <c r="U3580" i="7"/>
  <c r="F3583" i="7"/>
  <c r="AA7190" i="7"/>
  <c r="AA7189" i="7"/>
  <c r="N7220" i="7"/>
  <c r="N7221" i="7"/>
  <c r="N7217" i="7"/>
  <c r="AA7217" i="7" s="1"/>
  <c r="P7242" i="7"/>
  <c r="R7242" i="7" s="1"/>
  <c r="AA7175" i="7"/>
  <c r="AA7172" i="7" s="1"/>
  <c r="AA7144" i="7"/>
  <c r="AA7143" i="7"/>
  <c r="W7245" i="7"/>
  <c r="W7249" i="7" s="1"/>
  <c r="P7234" i="7"/>
  <c r="R7234" i="7" s="1"/>
  <c r="L7251" i="7"/>
  <c r="N7215" i="7"/>
  <c r="AA7215" i="7" s="1"/>
  <c r="N7205" i="7"/>
  <c r="P7205" i="7" s="1"/>
  <c r="R7205" i="7" s="1"/>
  <c r="N7219" i="7"/>
  <c r="L7249" i="7"/>
  <c r="N7210" i="7"/>
  <c r="L7250" i="7"/>
  <c r="W7247" i="7"/>
  <c r="W7251" i="7" s="1"/>
  <c r="N7216" i="7"/>
  <c r="AA7216" i="7" s="1"/>
  <c r="P7233" i="7"/>
  <c r="R7233" i="7" s="1"/>
  <c r="W7246" i="7"/>
  <c r="W7250" i="7" s="1"/>
  <c r="U7237" i="7"/>
  <c r="L7237" i="7"/>
  <c r="N7237" i="7" s="1"/>
  <c r="L7232" i="7"/>
  <c r="N7232" i="7" s="1"/>
  <c r="U7232" i="7"/>
  <c r="F7235" i="7"/>
  <c r="P7241" i="7"/>
  <c r="R7241" i="7" s="1"/>
  <c r="L7245" i="7"/>
  <c r="J7245" i="7"/>
  <c r="W7205" i="7"/>
  <c r="Y7220" i="7"/>
  <c r="Y7221" i="7"/>
  <c r="Y7219" i="7"/>
  <c r="AA7150" i="7"/>
  <c r="AA7152" i="7"/>
  <c r="AA7151" i="7"/>
  <c r="L7242" i="7"/>
  <c r="N7242" i="7" s="1"/>
  <c r="U7242" i="7"/>
  <c r="U7243" i="7" s="1"/>
  <c r="P7207" i="7"/>
  <c r="R7207" i="7" s="1"/>
  <c r="AA7183" i="7"/>
  <c r="J7241" i="7"/>
  <c r="N7241" i="7" s="1"/>
  <c r="N7233" i="7"/>
  <c r="N7212" i="7"/>
  <c r="L7234" i="7"/>
  <c r="N7234" i="7" s="1"/>
  <c r="U7234" i="7"/>
  <c r="U7235" i="7" s="1"/>
  <c r="J7251" i="7"/>
  <c r="J7249" i="7"/>
  <c r="J7250" i="7"/>
  <c r="L7240" i="7"/>
  <c r="N7240" i="7" s="1"/>
  <c r="U7240" i="7"/>
  <c r="F7243" i="7"/>
  <c r="P7232" i="7"/>
  <c r="R7232" i="7" s="1"/>
  <c r="D7235" i="7"/>
  <c r="J7247" i="7"/>
  <c r="L7247" i="7"/>
  <c r="P7240" i="7"/>
  <c r="R7240" i="7" s="1"/>
  <c r="D7243" i="7"/>
  <c r="W7243" i="7" s="1"/>
  <c r="L7246" i="7"/>
  <c r="J7246" i="7"/>
  <c r="AA3561" i="7" l="1"/>
  <c r="AA3559" i="7"/>
  <c r="L3619" i="7"/>
  <c r="AA3560" i="7"/>
  <c r="AA3492" i="7"/>
  <c r="L3620" i="7"/>
  <c r="N3553" i="7"/>
  <c r="P3553" i="7" s="1"/>
  <c r="R3553" i="7" s="1"/>
  <c r="N3591" i="7"/>
  <c r="N3590" i="7"/>
  <c r="N3589" i="7"/>
  <c r="AA3491" i="7"/>
  <c r="L3621" i="7"/>
  <c r="N3575" i="7"/>
  <c r="P3575" i="7" s="1"/>
  <c r="R3575" i="7" s="1"/>
  <c r="W3615" i="7"/>
  <c r="W3619" i="7" s="1"/>
  <c r="AA3523" i="7"/>
  <c r="AA3520" i="7" s="1"/>
  <c r="P3603" i="7"/>
  <c r="R3603" i="7" s="1"/>
  <c r="N3587" i="7"/>
  <c r="AA3587" i="7" s="1"/>
  <c r="N3582" i="7"/>
  <c r="P3577" i="7"/>
  <c r="R3577" i="7" s="1"/>
  <c r="F3605" i="7"/>
  <c r="U3602" i="7"/>
  <c r="L3602" i="7"/>
  <c r="N3602" i="7" s="1"/>
  <c r="A3693" i="7"/>
  <c r="A3710" i="7"/>
  <c r="A3692" i="7"/>
  <c r="A3706" i="7"/>
  <c r="A3702" i="7"/>
  <c r="A3705" i="7"/>
  <c r="A3695" i="7"/>
  <c r="A3700" i="7"/>
  <c r="A3715" i="7"/>
  <c r="A3703" i="7"/>
  <c r="A3711" i="7"/>
  <c r="A3707" i="7"/>
  <c r="A3701" i="7"/>
  <c r="C3685" i="7"/>
  <c r="A3709" i="7"/>
  <c r="A3694" i="7"/>
  <c r="A3697" i="7"/>
  <c r="AA3547" i="7"/>
  <c r="J3615" i="7"/>
  <c r="L3615" i="7"/>
  <c r="J3617" i="7"/>
  <c r="L3617" i="7"/>
  <c r="J3612" i="7"/>
  <c r="J3619" i="7"/>
  <c r="J3620" i="7"/>
  <c r="J3621" i="7"/>
  <c r="J3610" i="7"/>
  <c r="B3700" i="7"/>
  <c r="B3706" i="7"/>
  <c r="B3702" i="7"/>
  <c r="B3695" i="7"/>
  <c r="B3711" i="7"/>
  <c r="B3710" i="7"/>
  <c r="B3692" i="7"/>
  <c r="B3715" i="7"/>
  <c r="B3703" i="7"/>
  <c r="B3697" i="7"/>
  <c r="B3693" i="7"/>
  <c r="B3694" i="7"/>
  <c r="B3705" i="7"/>
  <c r="B3701" i="7"/>
  <c r="B3707" i="7"/>
  <c r="B3709" i="7"/>
  <c r="L3612" i="7"/>
  <c r="U3612" i="7"/>
  <c r="U3613" i="7" s="1"/>
  <c r="N3603" i="7"/>
  <c r="J3611" i="7"/>
  <c r="N3611" i="7" s="1"/>
  <c r="Y3590" i="7"/>
  <c r="Y3589" i="7"/>
  <c r="W3575" i="7"/>
  <c r="Y3591" i="7"/>
  <c r="D3655" i="7"/>
  <c r="D3661" i="7"/>
  <c r="D3660" i="7"/>
  <c r="D3659" i="7"/>
  <c r="D3658" i="7"/>
  <c r="D3657" i="7"/>
  <c r="Y3640" i="7"/>
  <c r="Y3646" i="7"/>
  <c r="Y3632" i="7"/>
  <c r="Y3641" i="7"/>
  <c r="Y3637" i="7"/>
  <c r="Y3645" i="7"/>
  <c r="Y3642" i="7"/>
  <c r="Y3643" i="7" s="1"/>
  <c r="Y3634" i="7"/>
  <c r="Y3635" i="7" s="1"/>
  <c r="Y3633" i="7"/>
  <c r="Y3647" i="7"/>
  <c r="L3616" i="7"/>
  <c r="J3616" i="7"/>
  <c r="N3586" i="7"/>
  <c r="AA3586" i="7" s="1"/>
  <c r="J3637" i="7"/>
  <c r="J3633" i="7"/>
  <c r="J3632" i="7"/>
  <c r="J3634" i="7"/>
  <c r="L3607" i="7"/>
  <c r="N3607" i="7" s="1"/>
  <c r="U3607" i="7"/>
  <c r="N3580" i="7"/>
  <c r="F3646" i="7"/>
  <c r="U3646" i="7" s="1"/>
  <c r="H3651" i="7"/>
  <c r="D3646" i="7"/>
  <c r="F3651" i="7"/>
  <c r="U3651" i="7" s="1"/>
  <c r="D3626" i="7"/>
  <c r="D3651" i="7"/>
  <c r="F3645" i="7"/>
  <c r="U3645" i="7" s="1"/>
  <c r="D3637" i="7"/>
  <c r="W3637" i="7" s="1"/>
  <c r="D3640" i="7"/>
  <c r="F3633" i="7"/>
  <c r="U3633" i="7" s="1"/>
  <c r="G3626" i="7"/>
  <c r="D3633" i="7"/>
  <c r="H3649" i="7"/>
  <c r="H3647" i="7"/>
  <c r="F3641" i="7"/>
  <c r="U3641" i="7" s="1"/>
  <c r="F3647" i="7"/>
  <c r="U3647" i="7" s="1"/>
  <c r="D3641" i="7"/>
  <c r="D3647" i="7"/>
  <c r="F3650" i="7"/>
  <c r="U3650" i="7" s="1"/>
  <c r="H3646" i="7"/>
  <c r="F3649" i="7"/>
  <c r="U3649" i="7" s="1"/>
  <c r="D3649" i="7"/>
  <c r="F3642" i="7"/>
  <c r="F3634" i="7"/>
  <c r="F3640" i="7"/>
  <c r="F3632" i="7"/>
  <c r="D3632" i="7"/>
  <c r="H3645" i="7"/>
  <c r="F3637" i="7"/>
  <c r="H3650" i="7"/>
  <c r="D3645" i="7"/>
  <c r="D3650" i="7"/>
  <c r="D3634" i="7"/>
  <c r="D3642" i="7"/>
  <c r="L3610" i="7"/>
  <c r="U3610" i="7"/>
  <c r="F3613" i="7"/>
  <c r="W3616" i="7"/>
  <c r="W3620" i="7" s="1"/>
  <c r="AA3514" i="7"/>
  <c r="AA3513" i="7"/>
  <c r="AA3512" i="7"/>
  <c r="P3610" i="7"/>
  <c r="R3610" i="7" s="1"/>
  <c r="D3613" i="7"/>
  <c r="W3613" i="7" s="1"/>
  <c r="P3611" i="7"/>
  <c r="R3611" i="7" s="1"/>
  <c r="P3604" i="7"/>
  <c r="R3604" i="7" s="1"/>
  <c r="W3617" i="7"/>
  <c r="W3621" i="7" s="1"/>
  <c r="N3585" i="7"/>
  <c r="AA3585" i="7" s="1"/>
  <c r="P3612" i="7"/>
  <c r="R3612" i="7" s="1"/>
  <c r="AA3545" i="7"/>
  <c r="U3604" i="7"/>
  <c r="U3605" i="7" s="1"/>
  <c r="L3604" i="7"/>
  <c r="N3604" i="7" s="1"/>
  <c r="D3605" i="7"/>
  <c r="P3602" i="7"/>
  <c r="R3602" i="7" s="1"/>
  <c r="AA7221" i="7"/>
  <c r="N7235" i="7"/>
  <c r="P7235" i="7" s="1"/>
  <c r="R7235" i="7" s="1"/>
  <c r="AA7220" i="7"/>
  <c r="AA7174" i="7"/>
  <c r="AA7173" i="7"/>
  <c r="N7213" i="7"/>
  <c r="P7213" i="7" s="1"/>
  <c r="R7213" i="7" s="1"/>
  <c r="AA7219" i="7"/>
  <c r="N7249" i="7"/>
  <c r="N7246" i="7"/>
  <c r="AA7246" i="7" s="1"/>
  <c r="N7251" i="7"/>
  <c r="N7250" i="7"/>
  <c r="AA7205" i="7"/>
  <c r="AA7203" i="7" s="1"/>
  <c r="N7243" i="7"/>
  <c r="P7243" i="7" s="1"/>
  <c r="R7243" i="7" s="1"/>
  <c r="Y7250" i="7"/>
  <c r="Y7251" i="7"/>
  <c r="W7235" i="7"/>
  <c r="Y7249" i="7"/>
  <c r="N7245" i="7"/>
  <c r="AA7245" i="7" s="1"/>
  <c r="N7247" i="7"/>
  <c r="AA7247" i="7" s="1"/>
  <c r="P7237" i="7"/>
  <c r="R7237" i="7" s="1"/>
  <c r="AA7237" i="7" s="1"/>
  <c r="AA7181" i="7"/>
  <c r="AA7182" i="7"/>
  <c r="AA7180" i="7"/>
  <c r="AA7207" i="7"/>
  <c r="N3620" i="7" l="1"/>
  <c r="N3619" i="7"/>
  <c r="W3646" i="7"/>
  <c r="W3650" i="7" s="1"/>
  <c r="AA3553" i="7"/>
  <c r="AA3550" i="7" s="1"/>
  <c r="N3621" i="7"/>
  <c r="L3651" i="7"/>
  <c r="AA3591" i="7"/>
  <c r="AA3590" i="7"/>
  <c r="AA3589" i="7"/>
  <c r="L3649" i="7"/>
  <c r="N3605" i="7"/>
  <c r="P3605" i="7" s="1"/>
  <c r="R3605" i="7" s="1"/>
  <c r="AA3522" i="7"/>
  <c r="AA3521" i="7"/>
  <c r="L3650" i="7"/>
  <c r="N3583" i="7"/>
  <c r="P3583" i="7" s="1"/>
  <c r="R3583" i="7" s="1"/>
  <c r="N3612" i="7"/>
  <c r="P3634" i="7"/>
  <c r="R3634" i="7" s="1"/>
  <c r="N3617" i="7"/>
  <c r="AA3617" i="7" s="1"/>
  <c r="AA3577" i="7"/>
  <c r="N3616" i="7"/>
  <c r="AA3616" i="7" s="1"/>
  <c r="P3641" i="7"/>
  <c r="R3641" i="7" s="1"/>
  <c r="N3615" i="7"/>
  <c r="AA3615" i="7" s="1"/>
  <c r="P3607" i="7"/>
  <c r="R3607" i="7" s="1"/>
  <c r="J3645" i="7"/>
  <c r="L3645" i="7"/>
  <c r="B3732" i="7"/>
  <c r="B3740" i="7"/>
  <c r="B3736" i="7"/>
  <c r="B3727" i="7"/>
  <c r="B3723" i="7"/>
  <c r="B3733" i="7"/>
  <c r="B3731" i="7"/>
  <c r="B3724" i="7"/>
  <c r="B3725" i="7"/>
  <c r="B3735" i="7"/>
  <c r="B3730" i="7"/>
  <c r="B3741" i="7"/>
  <c r="B3737" i="7"/>
  <c r="B3722" i="7"/>
  <c r="B3745" i="7"/>
  <c r="B3739" i="7"/>
  <c r="U3637" i="7"/>
  <c r="L3637" i="7"/>
  <c r="N3637" i="7" s="1"/>
  <c r="P3633" i="7"/>
  <c r="R3633" i="7" s="1"/>
  <c r="J3642" i="7"/>
  <c r="P3632" i="7"/>
  <c r="R3632" i="7" s="1"/>
  <c r="D3635" i="7"/>
  <c r="J3640" i="7"/>
  <c r="F3635" i="7"/>
  <c r="U3632" i="7"/>
  <c r="L3632" i="7"/>
  <c r="N3632" i="7" s="1"/>
  <c r="J3641" i="7"/>
  <c r="N3641" i="7" s="1"/>
  <c r="N3633" i="7"/>
  <c r="J3667" i="7"/>
  <c r="J3663" i="7"/>
  <c r="J3662" i="7"/>
  <c r="J3664" i="7"/>
  <c r="AA3575" i="7"/>
  <c r="U3634" i="7"/>
  <c r="U3635" i="7" s="1"/>
  <c r="L3634" i="7"/>
  <c r="N3634" i="7" s="1"/>
  <c r="F3643" i="7"/>
  <c r="U3640" i="7"/>
  <c r="L3640" i="7"/>
  <c r="Y3664" i="7"/>
  <c r="Y3665" i="7" s="1"/>
  <c r="Y3670" i="7"/>
  <c r="Y3676" i="7"/>
  <c r="Y3662" i="7"/>
  <c r="Y3671" i="7"/>
  <c r="Y3675" i="7"/>
  <c r="Y3672" i="7"/>
  <c r="Y3673" i="7" s="1"/>
  <c r="Y3663" i="7"/>
  <c r="Y3667" i="7"/>
  <c r="Y3677" i="7"/>
  <c r="W3645" i="7"/>
  <c r="W3649" i="7" s="1"/>
  <c r="Y3621" i="7"/>
  <c r="W3605" i="7"/>
  <c r="Y3620" i="7"/>
  <c r="AA3620" i="7" s="1"/>
  <c r="Y3619" i="7"/>
  <c r="AA3619" i="7" s="1"/>
  <c r="F3681" i="7"/>
  <c r="U3681" i="7" s="1"/>
  <c r="F3676" i="7"/>
  <c r="U3676" i="7" s="1"/>
  <c r="D3676" i="7"/>
  <c r="D3672" i="7"/>
  <c r="H3681" i="7"/>
  <c r="F3667" i="7"/>
  <c r="F3663" i="7"/>
  <c r="U3663" i="7" s="1"/>
  <c r="D3681" i="7"/>
  <c r="H3677" i="7"/>
  <c r="D3667" i="7"/>
  <c r="W3667" i="7" s="1"/>
  <c r="D3663" i="7"/>
  <c r="H3680" i="7"/>
  <c r="D3677" i="7"/>
  <c r="F3664" i="7"/>
  <c r="F3680" i="7"/>
  <c r="U3680" i="7" s="1"/>
  <c r="H3675" i="7"/>
  <c r="D3664" i="7"/>
  <c r="D3680" i="7"/>
  <c r="F3675" i="7"/>
  <c r="U3675" i="7" s="1"/>
  <c r="F3662" i="7"/>
  <c r="D3675" i="7"/>
  <c r="D3662" i="7"/>
  <c r="F3671" i="7"/>
  <c r="U3671" i="7" s="1"/>
  <c r="D3671" i="7"/>
  <c r="F3672" i="7"/>
  <c r="H3676" i="7"/>
  <c r="F3679" i="7"/>
  <c r="U3679" i="7" s="1"/>
  <c r="F3670" i="7"/>
  <c r="G3656" i="7"/>
  <c r="D3679" i="7"/>
  <c r="D3670" i="7"/>
  <c r="D3656" i="7"/>
  <c r="H3679" i="7"/>
  <c r="F3677" i="7"/>
  <c r="U3677" i="7" s="1"/>
  <c r="W3647" i="7"/>
  <c r="W3651" i="7" s="1"/>
  <c r="A3722" i="7"/>
  <c r="A3745" i="7"/>
  <c r="A3732" i="7"/>
  <c r="A3736" i="7"/>
  <c r="A3733" i="7"/>
  <c r="A3727" i="7"/>
  <c r="A3724" i="7"/>
  <c r="C3715" i="7"/>
  <c r="A3731" i="7"/>
  <c r="A3725" i="7"/>
  <c r="A3740" i="7"/>
  <c r="A3739" i="7"/>
  <c r="A3730" i="7"/>
  <c r="A3723" i="7"/>
  <c r="A3737" i="7"/>
  <c r="A3735" i="7"/>
  <c r="A3741" i="7"/>
  <c r="AA3542" i="7"/>
  <c r="AA3544" i="7"/>
  <c r="AA3543" i="7"/>
  <c r="D3688" i="7"/>
  <c r="D3691" i="7"/>
  <c r="D3690" i="7"/>
  <c r="D3689" i="7"/>
  <c r="D3687" i="7"/>
  <c r="D3685" i="7"/>
  <c r="L3642" i="7"/>
  <c r="U3642" i="7"/>
  <c r="U3643" i="7" s="1"/>
  <c r="J3651" i="7"/>
  <c r="J3649" i="7"/>
  <c r="J3650" i="7"/>
  <c r="J3646" i="7"/>
  <c r="L3646" i="7"/>
  <c r="N3610" i="7"/>
  <c r="D3643" i="7"/>
  <c r="W3643" i="7" s="1"/>
  <c r="P3640" i="7"/>
  <c r="R3640" i="7" s="1"/>
  <c r="P3642" i="7"/>
  <c r="R3642" i="7" s="1"/>
  <c r="L3647" i="7"/>
  <c r="J3647" i="7"/>
  <c r="AA7213" i="7"/>
  <c r="AA7211" i="7" s="1"/>
  <c r="AA7251" i="7"/>
  <c r="AA7249" i="7"/>
  <c r="AA7250" i="7"/>
  <c r="AA7235" i="7"/>
  <c r="AA7232" i="7" s="1"/>
  <c r="AA7204" i="7"/>
  <c r="AA7202" i="7"/>
  <c r="AA7243" i="7"/>
  <c r="AA3551" i="7" l="1"/>
  <c r="AA3552" i="7"/>
  <c r="N3649" i="7"/>
  <c r="N3651" i="7"/>
  <c r="AA3621" i="7"/>
  <c r="N3635" i="7"/>
  <c r="P3635" i="7" s="1"/>
  <c r="R3635" i="7" s="1"/>
  <c r="L3680" i="7"/>
  <c r="L3679" i="7"/>
  <c r="N3650" i="7"/>
  <c r="W3675" i="7"/>
  <c r="W3679" i="7" s="1"/>
  <c r="N3613" i="7"/>
  <c r="P3613" i="7" s="1"/>
  <c r="R3613" i="7" s="1"/>
  <c r="AA3613" i="7" s="1"/>
  <c r="AA3612" i="7" s="1"/>
  <c r="L3681" i="7"/>
  <c r="AA3583" i="7"/>
  <c r="AA3582" i="7" s="1"/>
  <c r="P3671" i="7"/>
  <c r="R3671" i="7" s="1"/>
  <c r="N3647" i="7"/>
  <c r="AA3647" i="7" s="1"/>
  <c r="W3676" i="7"/>
  <c r="W3680" i="7" s="1"/>
  <c r="W3677" i="7"/>
  <c r="W3681" i="7" s="1"/>
  <c r="P3664" i="7"/>
  <c r="R3664" i="7" s="1"/>
  <c r="N3640" i="7"/>
  <c r="P3637" i="7"/>
  <c r="R3637" i="7" s="1"/>
  <c r="Y3649" i="7"/>
  <c r="Y3651" i="7"/>
  <c r="W3635" i="7"/>
  <c r="Y3650" i="7"/>
  <c r="P3662" i="7"/>
  <c r="R3662" i="7" s="1"/>
  <c r="D3665" i="7"/>
  <c r="L3667" i="7"/>
  <c r="N3667" i="7" s="1"/>
  <c r="U3667" i="7"/>
  <c r="A3752" i="7"/>
  <c r="A3770" i="7"/>
  <c r="A3766" i="7"/>
  <c r="A3760" i="7"/>
  <c r="A3754" i="7"/>
  <c r="A3763" i="7"/>
  <c r="A3767" i="7"/>
  <c r="A3765" i="7"/>
  <c r="A3762" i="7"/>
  <c r="A3775" i="7"/>
  <c r="A3769" i="7"/>
  <c r="A3753" i="7"/>
  <c r="A3757" i="7"/>
  <c r="A3771" i="7"/>
  <c r="C3745" i="7"/>
  <c r="A3755" i="7"/>
  <c r="A3761" i="7"/>
  <c r="AA3573" i="7"/>
  <c r="AA3572" i="7"/>
  <c r="AA3574" i="7"/>
  <c r="AA3605" i="7"/>
  <c r="L3662" i="7"/>
  <c r="N3662" i="7" s="1"/>
  <c r="F3665" i="7"/>
  <c r="U3662" i="7"/>
  <c r="P3672" i="7"/>
  <c r="R3672" i="7" s="1"/>
  <c r="J3672" i="7"/>
  <c r="L3672" i="7"/>
  <c r="U3672" i="7"/>
  <c r="U3673" i="7" s="1"/>
  <c r="L3676" i="7"/>
  <c r="J3676" i="7"/>
  <c r="J3670" i="7"/>
  <c r="N3642" i="7"/>
  <c r="N3663" i="7"/>
  <c r="J3671" i="7"/>
  <c r="N3671" i="7" s="1"/>
  <c r="F3710" i="7"/>
  <c r="U3710" i="7" s="1"/>
  <c r="F3705" i="7"/>
  <c r="U3705" i="7" s="1"/>
  <c r="D3706" i="7"/>
  <c r="F3702" i="7"/>
  <c r="H3711" i="7"/>
  <c r="D3702" i="7"/>
  <c r="F3711" i="7"/>
  <c r="U3711" i="7" s="1"/>
  <c r="F3697" i="7"/>
  <c r="F3693" i="7"/>
  <c r="U3693" i="7" s="1"/>
  <c r="D3711" i="7"/>
  <c r="H3707" i="7"/>
  <c r="D3697" i="7"/>
  <c r="W3697" i="7" s="1"/>
  <c r="D3693" i="7"/>
  <c r="H3709" i="7"/>
  <c r="H3710" i="7"/>
  <c r="F3692" i="7"/>
  <c r="D3710" i="7"/>
  <c r="H3706" i="7"/>
  <c r="F3700" i="7"/>
  <c r="D3692" i="7"/>
  <c r="F3706" i="7"/>
  <c r="U3706" i="7" s="1"/>
  <c r="D3700" i="7"/>
  <c r="F3694" i="7"/>
  <c r="D3694" i="7"/>
  <c r="F3707" i="7"/>
  <c r="U3707" i="7" s="1"/>
  <c r="D3707" i="7"/>
  <c r="G3686" i="7"/>
  <c r="F3701" i="7"/>
  <c r="U3701" i="7" s="1"/>
  <c r="D3686" i="7"/>
  <c r="F3709" i="7"/>
  <c r="U3709" i="7" s="1"/>
  <c r="D3701" i="7"/>
  <c r="H3705" i="7"/>
  <c r="D3709" i="7"/>
  <c r="D3705" i="7"/>
  <c r="J3681" i="7"/>
  <c r="J3680" i="7"/>
  <c r="J3679" i="7"/>
  <c r="J3697" i="7"/>
  <c r="J3693" i="7"/>
  <c r="J3694" i="7"/>
  <c r="J3692" i="7"/>
  <c r="P3670" i="7"/>
  <c r="R3670" i="7" s="1"/>
  <c r="D3673" i="7"/>
  <c r="W3673" i="7" s="1"/>
  <c r="U3664" i="7"/>
  <c r="U3665" i="7" s="1"/>
  <c r="L3664" i="7"/>
  <c r="N3664" i="7" s="1"/>
  <c r="L3677" i="7"/>
  <c r="J3677" i="7"/>
  <c r="Y3702" i="7"/>
  <c r="Y3703" i="7" s="1"/>
  <c r="Y3694" i="7"/>
  <c r="Y3695" i="7" s="1"/>
  <c r="Y3706" i="7"/>
  <c r="Y3701" i="7"/>
  <c r="Y3697" i="7"/>
  <c r="Y3692" i="7"/>
  <c r="Y3705" i="7"/>
  <c r="Y3707" i="7"/>
  <c r="Y3700" i="7"/>
  <c r="Y3693" i="7"/>
  <c r="U3670" i="7"/>
  <c r="L3670" i="7"/>
  <c r="F3673" i="7"/>
  <c r="B3755" i="7"/>
  <c r="B3760" i="7"/>
  <c r="B3754" i="7"/>
  <c r="B3763" i="7"/>
  <c r="B3765" i="7"/>
  <c r="B3762" i="7"/>
  <c r="B3775" i="7"/>
  <c r="B3770" i="7"/>
  <c r="B3769" i="7"/>
  <c r="B3753" i="7"/>
  <c r="B3757" i="7"/>
  <c r="B3752" i="7"/>
  <c r="B3767" i="7"/>
  <c r="B3771" i="7"/>
  <c r="B3766" i="7"/>
  <c r="B3761" i="7"/>
  <c r="N3645" i="7"/>
  <c r="AA3645" i="7" s="1"/>
  <c r="N3646" i="7"/>
  <c r="AA3646" i="7" s="1"/>
  <c r="D3721" i="7"/>
  <c r="D3720" i="7"/>
  <c r="D3719" i="7"/>
  <c r="D3718" i="7"/>
  <c r="D3715" i="7"/>
  <c r="D3717" i="7"/>
  <c r="P3663" i="7"/>
  <c r="R3663" i="7" s="1"/>
  <c r="J3675" i="7"/>
  <c r="L3675" i="7"/>
  <c r="AA3607" i="7"/>
  <c r="AA7212" i="7"/>
  <c r="AA7210" i="7"/>
  <c r="AA7234" i="7"/>
  <c r="AA7233" i="7"/>
  <c r="AA7240" i="7"/>
  <c r="AA7241" i="7"/>
  <c r="AA7242" i="7"/>
  <c r="AA3651" i="7" l="1"/>
  <c r="N3681" i="7"/>
  <c r="N3680" i="7"/>
  <c r="AA3649" i="7"/>
  <c r="AA3610" i="7"/>
  <c r="AA3650" i="7"/>
  <c r="L3710" i="7"/>
  <c r="W3706" i="7"/>
  <c r="W3710" i="7" s="1"/>
  <c r="AA3611" i="7"/>
  <c r="N3679" i="7"/>
  <c r="AA3580" i="7"/>
  <c r="L3711" i="7"/>
  <c r="L3709" i="7"/>
  <c r="N3665" i="7"/>
  <c r="P3665" i="7" s="1"/>
  <c r="R3665" i="7" s="1"/>
  <c r="N3643" i="7"/>
  <c r="P3643" i="7" s="1"/>
  <c r="R3643" i="7" s="1"/>
  <c r="AA3581" i="7"/>
  <c r="N3677" i="7"/>
  <c r="AA3677" i="7" s="1"/>
  <c r="P3702" i="7"/>
  <c r="R3702" i="7" s="1"/>
  <c r="P3694" i="7"/>
  <c r="R3694" i="7" s="1"/>
  <c r="AA3635" i="7"/>
  <c r="AA3633" i="7" s="1"/>
  <c r="N3676" i="7"/>
  <c r="AA3676" i="7" s="1"/>
  <c r="W3705" i="7"/>
  <c r="W3709" i="7" s="1"/>
  <c r="W3707" i="7"/>
  <c r="W3711" i="7" s="1"/>
  <c r="P3667" i="7"/>
  <c r="R3667" i="7" s="1"/>
  <c r="P3700" i="7"/>
  <c r="R3700" i="7" s="1"/>
  <c r="D3703" i="7"/>
  <c r="W3703" i="7" s="1"/>
  <c r="Y3679" i="7"/>
  <c r="Y3681" i="7"/>
  <c r="AA3681" i="7" s="1"/>
  <c r="W3665" i="7"/>
  <c r="Y3680" i="7"/>
  <c r="J3702" i="7"/>
  <c r="D3695" i="7"/>
  <c r="P3692" i="7"/>
  <c r="R3692" i="7" s="1"/>
  <c r="U3702" i="7"/>
  <c r="U3703" i="7" s="1"/>
  <c r="L3702" i="7"/>
  <c r="N3672" i="7"/>
  <c r="U3700" i="7"/>
  <c r="F3703" i="7"/>
  <c r="L3700" i="7"/>
  <c r="L3706" i="7"/>
  <c r="J3706" i="7"/>
  <c r="N3693" i="7"/>
  <c r="J3701" i="7"/>
  <c r="N3701" i="7" s="1"/>
  <c r="J3705" i="7"/>
  <c r="L3705" i="7"/>
  <c r="A3797" i="7"/>
  <c r="A3801" i="7"/>
  <c r="A3782" i="7"/>
  <c r="A3785" i="7"/>
  <c r="A3791" i="7"/>
  <c r="C3775" i="7"/>
  <c r="A3783" i="7"/>
  <c r="A3792" i="7"/>
  <c r="A3787" i="7"/>
  <c r="A3796" i="7"/>
  <c r="A3800" i="7"/>
  <c r="A3784" i="7"/>
  <c r="A3795" i="7"/>
  <c r="A3790" i="7"/>
  <c r="A3793" i="7"/>
  <c r="A3805" i="7"/>
  <c r="A3799" i="7"/>
  <c r="U3692" i="7"/>
  <c r="L3692" i="7"/>
  <c r="N3692" i="7" s="1"/>
  <c r="F3695" i="7"/>
  <c r="L3694" i="7"/>
  <c r="N3694" i="7" s="1"/>
  <c r="U3694" i="7"/>
  <c r="U3695" i="7" s="1"/>
  <c r="P3701" i="7"/>
  <c r="R3701" i="7" s="1"/>
  <c r="AA3604" i="7"/>
  <c r="AA3602" i="7"/>
  <c r="AA3603" i="7"/>
  <c r="J3700" i="7"/>
  <c r="Y3731" i="7"/>
  <c r="Y3732" i="7"/>
  <c r="Y3733" i="7" s="1"/>
  <c r="Y3737" i="7"/>
  <c r="Y3724" i="7"/>
  <c r="Y3725" i="7" s="1"/>
  <c r="Y3735" i="7"/>
  <c r="Y3727" i="7"/>
  <c r="Y3723" i="7"/>
  <c r="Y3730" i="7"/>
  <c r="Y3722" i="7"/>
  <c r="Y3736" i="7"/>
  <c r="F3739" i="7"/>
  <c r="U3739" i="7" s="1"/>
  <c r="D3727" i="7"/>
  <c r="W3727" i="7" s="1"/>
  <c r="F3740" i="7"/>
  <c r="U3740" i="7" s="1"/>
  <c r="F3735" i="7"/>
  <c r="U3735" i="7" s="1"/>
  <c r="H3736" i="7"/>
  <c r="F3732" i="7"/>
  <c r="H3740" i="7"/>
  <c r="F3736" i="7"/>
  <c r="U3736" i="7" s="1"/>
  <c r="D3732" i="7"/>
  <c r="F3723" i="7"/>
  <c r="U3723" i="7" s="1"/>
  <c r="D3740" i="7"/>
  <c r="D3736" i="7"/>
  <c r="F3727" i="7"/>
  <c r="D3723" i="7"/>
  <c r="H3741" i="7"/>
  <c r="F3731" i="7"/>
  <c r="U3731" i="7" s="1"/>
  <c r="F3741" i="7"/>
  <c r="U3741" i="7" s="1"/>
  <c r="D3731" i="7"/>
  <c r="F3724" i="7"/>
  <c r="D3741" i="7"/>
  <c r="H3739" i="7"/>
  <c r="D3724" i="7"/>
  <c r="G3716" i="7"/>
  <c r="D3716" i="7"/>
  <c r="H3735" i="7"/>
  <c r="D3735" i="7"/>
  <c r="D3739" i="7"/>
  <c r="F3730" i="7"/>
  <c r="H3737" i="7"/>
  <c r="F3722" i="7"/>
  <c r="D3722" i="7"/>
  <c r="F3737" i="7"/>
  <c r="U3737" i="7" s="1"/>
  <c r="D3737" i="7"/>
  <c r="D3730" i="7"/>
  <c r="J3711" i="7"/>
  <c r="J3709" i="7"/>
  <c r="J3710" i="7"/>
  <c r="P3693" i="7"/>
  <c r="R3693" i="7" s="1"/>
  <c r="L3697" i="7"/>
  <c r="N3697" i="7" s="1"/>
  <c r="U3697" i="7"/>
  <c r="D3748" i="7"/>
  <c r="D3747" i="7"/>
  <c r="D3750" i="7"/>
  <c r="D3749" i="7"/>
  <c r="D3745" i="7"/>
  <c r="D3751" i="7"/>
  <c r="B3791" i="7"/>
  <c r="B3784" i="7"/>
  <c r="B3785" i="7"/>
  <c r="B3801" i="7"/>
  <c r="B3782" i="7"/>
  <c r="B3783" i="7"/>
  <c r="B3792" i="7"/>
  <c r="B3797" i="7"/>
  <c r="B3800" i="7"/>
  <c r="B3795" i="7"/>
  <c r="B3790" i="7"/>
  <c r="B3805" i="7"/>
  <c r="B3799" i="7"/>
  <c r="B3793" i="7"/>
  <c r="B3787" i="7"/>
  <c r="B3796" i="7"/>
  <c r="N3675" i="7"/>
  <c r="AA3675" i="7" s="1"/>
  <c r="J3723" i="7"/>
  <c r="J3727" i="7"/>
  <c r="J3724" i="7"/>
  <c r="J3722" i="7"/>
  <c r="L3707" i="7"/>
  <c r="J3707" i="7"/>
  <c r="N3670" i="7"/>
  <c r="AA3637" i="7"/>
  <c r="L329" i="4"/>
  <c r="AA3680" i="7" l="1"/>
  <c r="N3710" i="7"/>
  <c r="N3711" i="7"/>
  <c r="AA3679" i="7"/>
  <c r="N3709" i="7"/>
  <c r="AA3643" i="7"/>
  <c r="AA3641" i="7" s="1"/>
  <c r="L3740" i="7"/>
  <c r="L3739" i="7"/>
  <c r="L3741" i="7"/>
  <c r="N3695" i="7"/>
  <c r="P3695" i="7" s="1"/>
  <c r="R3695" i="7" s="1"/>
  <c r="N3673" i="7"/>
  <c r="P3673" i="7" s="1"/>
  <c r="R3673" i="7" s="1"/>
  <c r="W3737" i="7"/>
  <c r="W3741" i="7" s="1"/>
  <c r="N3706" i="7"/>
  <c r="AA3706" i="7" s="1"/>
  <c r="AA3632" i="7"/>
  <c r="AA3634" i="7"/>
  <c r="AA3665" i="7"/>
  <c r="AA3662" i="7" s="1"/>
  <c r="AA3667" i="7"/>
  <c r="N3702" i="7"/>
  <c r="P3731" i="7"/>
  <c r="R3731" i="7" s="1"/>
  <c r="N3707" i="7"/>
  <c r="AA3707" i="7" s="1"/>
  <c r="P3697" i="7"/>
  <c r="R3697" i="7" s="1"/>
  <c r="L3737" i="7"/>
  <c r="J3737" i="7"/>
  <c r="Y3761" i="7"/>
  <c r="Y3765" i="7"/>
  <c r="Y3754" i="7"/>
  <c r="Y3755" i="7" s="1"/>
  <c r="Y3752" i="7"/>
  <c r="Y3766" i="7"/>
  <c r="Y3762" i="7"/>
  <c r="Y3763" i="7" s="1"/>
  <c r="Y3757" i="7"/>
  <c r="Y3753" i="7"/>
  <c r="Y3767" i="7"/>
  <c r="Y3760" i="7"/>
  <c r="P3722" i="7"/>
  <c r="R3722" i="7" s="1"/>
  <c r="D3725" i="7"/>
  <c r="F3767" i="7"/>
  <c r="U3767" i="7" s="1"/>
  <c r="D3762" i="7"/>
  <c r="F3769" i="7"/>
  <c r="U3769" i="7" s="1"/>
  <c r="D3757" i="7"/>
  <c r="W3757" i="7" s="1"/>
  <c r="D3760" i="7"/>
  <c r="D3754" i="7"/>
  <c r="H3771" i="7"/>
  <c r="H3767" i="7"/>
  <c r="F3771" i="7"/>
  <c r="U3771" i="7" s="1"/>
  <c r="D3767" i="7"/>
  <c r="F3752" i="7"/>
  <c r="F3770" i="7"/>
  <c r="U3770" i="7" s="1"/>
  <c r="D3770" i="7"/>
  <c r="D3752" i="7"/>
  <c r="F3760" i="7"/>
  <c r="F3754" i="7"/>
  <c r="G3746" i="7"/>
  <c r="H3770" i="7"/>
  <c r="H3766" i="7"/>
  <c r="D3746" i="7"/>
  <c r="D3753" i="7"/>
  <c r="F3757" i="7"/>
  <c r="D3771" i="7"/>
  <c r="F3762" i="7"/>
  <c r="F3766" i="7"/>
  <c r="U3766" i="7" s="1"/>
  <c r="F3761" i="7"/>
  <c r="U3761" i="7" s="1"/>
  <c r="D3766" i="7"/>
  <c r="D3761" i="7"/>
  <c r="H3769" i="7"/>
  <c r="D3769" i="7"/>
  <c r="F3753" i="7"/>
  <c r="U3753" i="7" s="1"/>
  <c r="D3765" i="7"/>
  <c r="H3765" i="7"/>
  <c r="F3765" i="7"/>
  <c r="U3765" i="7" s="1"/>
  <c r="L3722" i="7"/>
  <c r="N3722" i="7" s="1"/>
  <c r="U3722" i="7"/>
  <c r="F3725" i="7"/>
  <c r="P3723" i="7"/>
  <c r="R3723" i="7" s="1"/>
  <c r="L3727" i="7"/>
  <c r="N3727" i="7" s="1"/>
  <c r="U3727" i="7"/>
  <c r="D3775" i="7"/>
  <c r="D3781" i="7"/>
  <c r="D3780" i="7"/>
  <c r="D3779" i="7"/>
  <c r="D3778" i="7"/>
  <c r="D3777" i="7"/>
  <c r="L3730" i="7"/>
  <c r="U3730" i="7"/>
  <c r="F3733" i="7"/>
  <c r="L3736" i="7"/>
  <c r="J3736" i="7"/>
  <c r="D3733" i="7"/>
  <c r="W3733" i="7" s="1"/>
  <c r="P3730" i="7"/>
  <c r="R3730" i="7" s="1"/>
  <c r="J3752" i="7"/>
  <c r="J3753" i="7"/>
  <c r="J3754" i="7"/>
  <c r="J3757" i="7"/>
  <c r="W3736" i="7"/>
  <c r="W3740" i="7" s="1"/>
  <c r="L3735" i="7"/>
  <c r="J3735" i="7"/>
  <c r="W3735" i="7"/>
  <c r="W3739" i="7" s="1"/>
  <c r="B3820" i="7"/>
  <c r="B3821" i="7"/>
  <c r="B3814" i="7"/>
  <c r="B3825" i="7"/>
  <c r="B3813" i="7"/>
  <c r="B3826" i="7"/>
  <c r="B3823" i="7"/>
  <c r="B3829" i="7"/>
  <c r="B3835" i="7"/>
  <c r="B3865" i="7" s="1"/>
  <c r="B3830" i="7"/>
  <c r="B3827" i="7"/>
  <c r="B3815" i="7"/>
  <c r="B3831" i="7"/>
  <c r="B3812" i="7"/>
  <c r="B3822" i="7"/>
  <c r="B3817" i="7"/>
  <c r="P3732" i="7"/>
  <c r="R3732" i="7" s="1"/>
  <c r="N3723" i="7"/>
  <c r="J3731" i="7"/>
  <c r="N3731" i="7" s="1"/>
  <c r="J3740" i="7"/>
  <c r="J3741" i="7"/>
  <c r="J3739" i="7"/>
  <c r="A3813" i="7"/>
  <c r="A3830" i="7"/>
  <c r="A3825" i="7"/>
  <c r="A3831" i="7"/>
  <c r="A3817" i="7"/>
  <c r="A3812" i="7"/>
  <c r="A3821" i="7"/>
  <c r="A3826" i="7"/>
  <c r="A3823" i="7"/>
  <c r="C3805" i="7"/>
  <c r="A3829" i="7"/>
  <c r="A3835" i="7"/>
  <c r="A3865" i="7" s="1"/>
  <c r="A3814" i="7"/>
  <c r="A3820" i="7"/>
  <c r="A3822" i="7"/>
  <c r="A3815" i="7"/>
  <c r="A3827" i="7"/>
  <c r="J3730" i="7"/>
  <c r="P3724" i="7"/>
  <c r="R3724" i="7" s="1"/>
  <c r="L3732" i="7"/>
  <c r="U3732" i="7"/>
  <c r="U3733" i="7" s="1"/>
  <c r="N3705" i="7"/>
  <c r="AA3705" i="7" s="1"/>
  <c r="U3724" i="7"/>
  <c r="U3725" i="7" s="1"/>
  <c r="L3724" i="7"/>
  <c r="N3724" i="7" s="1"/>
  <c r="J3732" i="7"/>
  <c r="N3700" i="7"/>
  <c r="Y3709" i="7"/>
  <c r="AA3709" i="7" s="1"/>
  <c r="Y3711" i="7"/>
  <c r="Y3710" i="7"/>
  <c r="W3695" i="7"/>
  <c r="AA3710" i="7" l="1"/>
  <c r="AA3711" i="7"/>
  <c r="N3741" i="7"/>
  <c r="AA3640" i="7"/>
  <c r="N3740" i="7"/>
  <c r="AA3642" i="7"/>
  <c r="N3739" i="7"/>
  <c r="L3770" i="7"/>
  <c r="N3725" i="7"/>
  <c r="P3725" i="7" s="1"/>
  <c r="R3725" i="7" s="1"/>
  <c r="AA3663" i="7"/>
  <c r="W3765" i="7"/>
  <c r="W3769" i="7" s="1"/>
  <c r="AA3673" i="7"/>
  <c r="AA3670" i="7" s="1"/>
  <c r="L3771" i="7"/>
  <c r="L3769" i="7"/>
  <c r="N3703" i="7"/>
  <c r="P3703" i="7" s="1"/>
  <c r="R3703" i="7" s="1"/>
  <c r="AA3703" i="7" s="1"/>
  <c r="AA3702" i="7" s="1"/>
  <c r="N3737" i="7"/>
  <c r="AA3737" i="7" s="1"/>
  <c r="AA3664" i="7"/>
  <c r="N3730" i="7"/>
  <c r="AA3695" i="7"/>
  <c r="AA3693" i="7" s="1"/>
  <c r="P3754" i="7"/>
  <c r="R3754" i="7" s="1"/>
  <c r="A3890" i="7"/>
  <c r="A3885" i="7"/>
  <c r="A3881" i="7"/>
  <c r="A3874" i="7"/>
  <c r="C3865" i="7"/>
  <c r="A3886" i="7"/>
  <c r="A3880" i="7"/>
  <c r="A3875" i="7"/>
  <c r="A3887" i="7"/>
  <c r="A3882" i="7"/>
  <c r="A3873" i="7"/>
  <c r="A3895" i="7"/>
  <c r="A3883" i="7"/>
  <c r="A3872" i="7"/>
  <c r="A3891" i="7"/>
  <c r="A3877" i="7"/>
  <c r="A3889" i="7"/>
  <c r="W3767" i="7"/>
  <c r="W3771" i="7" s="1"/>
  <c r="W3766" i="7"/>
  <c r="W3770" i="7" s="1"/>
  <c r="B3890" i="7"/>
  <c r="B3874" i="7"/>
  <c r="B3887" i="7"/>
  <c r="B3882" i="7"/>
  <c r="B3873" i="7"/>
  <c r="B3895" i="7"/>
  <c r="B3885" i="7"/>
  <c r="B3891" i="7"/>
  <c r="B3877" i="7"/>
  <c r="B3886" i="7"/>
  <c r="B3880" i="7"/>
  <c r="B3883" i="7"/>
  <c r="B3872" i="7"/>
  <c r="B3889" i="7"/>
  <c r="B3875" i="7"/>
  <c r="B3881" i="7"/>
  <c r="P3761" i="7"/>
  <c r="R3761" i="7" s="1"/>
  <c r="P3727" i="7"/>
  <c r="R3727" i="7" s="1"/>
  <c r="J3761" i="7"/>
  <c r="N3761" i="7" s="1"/>
  <c r="N3753" i="7"/>
  <c r="F3801" i="7"/>
  <c r="U3801" i="7" s="1"/>
  <c r="F3796" i="7"/>
  <c r="U3796" i="7" s="1"/>
  <c r="F3797" i="7"/>
  <c r="U3797" i="7" s="1"/>
  <c r="D3792" i="7"/>
  <c r="F3791" i="7"/>
  <c r="U3791" i="7" s="1"/>
  <c r="H3799" i="7"/>
  <c r="H3795" i="7"/>
  <c r="D3791" i="7"/>
  <c r="F3799" i="7"/>
  <c r="U3799" i="7" s="1"/>
  <c r="F3795" i="7"/>
  <c r="U3795" i="7" s="1"/>
  <c r="D3783" i="7"/>
  <c r="F3792" i="7"/>
  <c r="F3790" i="7"/>
  <c r="H3800" i="7"/>
  <c r="D3795" i="7"/>
  <c r="D3790" i="7"/>
  <c r="H3797" i="7"/>
  <c r="H3801" i="7"/>
  <c r="D3797" i="7"/>
  <c r="F3782" i="7"/>
  <c r="D3801" i="7"/>
  <c r="D3782" i="7"/>
  <c r="G3776" i="7"/>
  <c r="H3796" i="7"/>
  <c r="D3776" i="7"/>
  <c r="F3800" i="7"/>
  <c r="U3800" i="7" s="1"/>
  <c r="D3796" i="7"/>
  <c r="D3800" i="7"/>
  <c r="F3784" i="7"/>
  <c r="D3784" i="7"/>
  <c r="F3787" i="7"/>
  <c r="D3787" i="7"/>
  <c r="W3787" i="7" s="1"/>
  <c r="F3783" i="7"/>
  <c r="U3783" i="7" s="1"/>
  <c r="D3799" i="7"/>
  <c r="U3762" i="7"/>
  <c r="U3763" i="7" s="1"/>
  <c r="L3762" i="7"/>
  <c r="J3762" i="7"/>
  <c r="A3842" i="7"/>
  <c r="A3859" i="7"/>
  <c r="A3843" i="7"/>
  <c r="A3860" i="7"/>
  <c r="A3853" i="7"/>
  <c r="A3845" i="7"/>
  <c r="A3856" i="7"/>
  <c r="A3861" i="7"/>
  <c r="A3850" i="7"/>
  <c r="C3835" i="7"/>
  <c r="A3857" i="7"/>
  <c r="A3844" i="7"/>
  <c r="A3855" i="7"/>
  <c r="A3847" i="7"/>
  <c r="A3852" i="7"/>
  <c r="A3851" i="7"/>
  <c r="U3757" i="7"/>
  <c r="L3757" i="7"/>
  <c r="N3757" i="7" s="1"/>
  <c r="L3766" i="7"/>
  <c r="J3766" i="7"/>
  <c r="D3808" i="7"/>
  <c r="D3805" i="7"/>
  <c r="D3809" i="7"/>
  <c r="D3807" i="7"/>
  <c r="D3811" i="7"/>
  <c r="D3810" i="7"/>
  <c r="P3753" i="7"/>
  <c r="R3753" i="7" s="1"/>
  <c r="D3763" i="7"/>
  <c r="W3763" i="7" s="1"/>
  <c r="P3760" i="7"/>
  <c r="R3760" i="7" s="1"/>
  <c r="N3735" i="7"/>
  <c r="AA3735" i="7" s="1"/>
  <c r="N3736" i="7"/>
  <c r="AA3736" i="7" s="1"/>
  <c r="J3771" i="7"/>
  <c r="J3770" i="7"/>
  <c r="J3769" i="7"/>
  <c r="J3760" i="7"/>
  <c r="Y3787" i="7"/>
  <c r="Y3792" i="7"/>
  <c r="Y3793" i="7" s="1"/>
  <c r="Y3796" i="7"/>
  <c r="Y3784" i="7"/>
  <c r="Y3785" i="7" s="1"/>
  <c r="Y3790" i="7"/>
  <c r="Y3791" i="7"/>
  <c r="Y3795" i="7"/>
  <c r="Y3782" i="7"/>
  <c r="Y3783" i="7"/>
  <c r="Y3797" i="7"/>
  <c r="P3762" i="7"/>
  <c r="R3762" i="7" s="1"/>
  <c r="J3765" i="7"/>
  <c r="L3765" i="7"/>
  <c r="U3754" i="7"/>
  <c r="U3755" i="7" s="1"/>
  <c r="L3754" i="7"/>
  <c r="N3754" i="7" s="1"/>
  <c r="N3732" i="7"/>
  <c r="U3760" i="7"/>
  <c r="L3760" i="7"/>
  <c r="F3763" i="7"/>
  <c r="Y3741" i="7"/>
  <c r="AA3741" i="7" s="1"/>
  <c r="Y3739" i="7"/>
  <c r="AA3739" i="7" s="1"/>
  <c r="W3725" i="7"/>
  <c r="Y3740" i="7"/>
  <c r="AA3740" i="7" s="1"/>
  <c r="L3767" i="7"/>
  <c r="J3767" i="7"/>
  <c r="B3843" i="7"/>
  <c r="B3850" i="7"/>
  <c r="B3860" i="7"/>
  <c r="B3853" i="7"/>
  <c r="B3845" i="7"/>
  <c r="B3851" i="7"/>
  <c r="B3856" i="7"/>
  <c r="B3859" i="7"/>
  <c r="B3861" i="7"/>
  <c r="B3857" i="7"/>
  <c r="B3844" i="7"/>
  <c r="B3855" i="7"/>
  <c r="B3847" i="7"/>
  <c r="B3842" i="7"/>
  <c r="B3852" i="7"/>
  <c r="J3782" i="7"/>
  <c r="J3783" i="7"/>
  <c r="J3787" i="7"/>
  <c r="J3784" i="7"/>
  <c r="P3752" i="7"/>
  <c r="R3752" i="7" s="1"/>
  <c r="D3755" i="7"/>
  <c r="L3752" i="7"/>
  <c r="N3752" i="7" s="1"/>
  <c r="U3752" i="7"/>
  <c r="F3755" i="7"/>
  <c r="AA3697" i="7"/>
  <c r="N3771" i="7" l="1"/>
  <c r="AA3672" i="7"/>
  <c r="N3770" i="7"/>
  <c r="L3800" i="7"/>
  <c r="AA3701" i="7"/>
  <c r="AA3700" i="7"/>
  <c r="W3796" i="7"/>
  <c r="W3800" i="7" s="1"/>
  <c r="L3799" i="7"/>
  <c r="N3769" i="7"/>
  <c r="N3755" i="7"/>
  <c r="P3755" i="7" s="1"/>
  <c r="R3755" i="7" s="1"/>
  <c r="L3801" i="7"/>
  <c r="AA3671" i="7"/>
  <c r="N3733" i="7"/>
  <c r="P3733" i="7" s="1"/>
  <c r="R3733" i="7" s="1"/>
  <c r="AA3692" i="7"/>
  <c r="AA3694" i="7"/>
  <c r="N3762" i="7"/>
  <c r="N3765" i="7"/>
  <c r="AA3765" i="7" s="1"/>
  <c r="A3919" i="7"/>
  <c r="A3910" i="7"/>
  <c r="A3920" i="7"/>
  <c r="A3913" i="7"/>
  <c r="C3895" i="7"/>
  <c r="A3916" i="7"/>
  <c r="A3921" i="7"/>
  <c r="A3905" i="7"/>
  <c r="A3903" i="7"/>
  <c r="A3912" i="7"/>
  <c r="A3915" i="7"/>
  <c r="A3917" i="7"/>
  <c r="A3907" i="7"/>
  <c r="A3904" i="7"/>
  <c r="A3911" i="7"/>
  <c r="A3902" i="7"/>
  <c r="A3925" i="7"/>
  <c r="P3784" i="7"/>
  <c r="R3784" i="7" s="1"/>
  <c r="N3766" i="7"/>
  <c r="AA3766" i="7" s="1"/>
  <c r="B3903" i="7"/>
  <c r="B3902" i="7"/>
  <c r="B3913" i="7"/>
  <c r="B3919" i="7"/>
  <c r="B3912" i="7"/>
  <c r="B3907" i="7"/>
  <c r="B3916" i="7"/>
  <c r="B3921" i="7"/>
  <c r="B3905" i="7"/>
  <c r="B3910" i="7"/>
  <c r="B3915" i="7"/>
  <c r="B3904" i="7"/>
  <c r="B3917" i="7"/>
  <c r="B3911" i="7"/>
  <c r="B3920" i="7"/>
  <c r="B3925" i="7"/>
  <c r="AA3727" i="7"/>
  <c r="P3791" i="7"/>
  <c r="R3791" i="7" s="1"/>
  <c r="N3767" i="7"/>
  <c r="AA3767" i="7" s="1"/>
  <c r="D3865" i="7"/>
  <c r="D3871" i="7"/>
  <c r="D3870" i="7"/>
  <c r="D3868" i="7"/>
  <c r="D3869" i="7"/>
  <c r="D3867" i="7"/>
  <c r="P3757" i="7"/>
  <c r="R3757" i="7" s="1"/>
  <c r="F3785" i="7"/>
  <c r="L3782" i="7"/>
  <c r="N3782" i="7" s="1"/>
  <c r="U3782" i="7"/>
  <c r="P3792" i="7"/>
  <c r="R3792" i="7" s="1"/>
  <c r="Y3822" i="7"/>
  <c r="Y3823" i="7" s="1"/>
  <c r="Y3826" i="7"/>
  <c r="Y3820" i="7"/>
  <c r="Y3814" i="7"/>
  <c r="Y3815" i="7" s="1"/>
  <c r="Y3813" i="7"/>
  <c r="Y3827" i="7"/>
  <c r="Y3825" i="7"/>
  <c r="Y3817" i="7"/>
  <c r="Y3812" i="7"/>
  <c r="Y3821" i="7"/>
  <c r="L3797" i="7"/>
  <c r="J3797" i="7"/>
  <c r="J3817" i="7"/>
  <c r="J3814" i="7"/>
  <c r="J3813" i="7"/>
  <c r="J3812" i="7"/>
  <c r="J3792" i="7"/>
  <c r="D3839" i="7"/>
  <c r="D3838" i="7"/>
  <c r="D3840" i="7"/>
  <c r="D3837" i="7"/>
  <c r="D3835" i="7"/>
  <c r="D3841" i="7"/>
  <c r="AA3725" i="7"/>
  <c r="N3760" i="7"/>
  <c r="F3830" i="7"/>
  <c r="U3830" i="7" s="1"/>
  <c r="F3825" i="7"/>
  <c r="U3825" i="7" s="1"/>
  <c r="H3831" i="7"/>
  <c r="H3826" i="7"/>
  <c r="F3831" i="7"/>
  <c r="U3831" i="7" s="1"/>
  <c r="F3826" i="7"/>
  <c r="U3826" i="7" s="1"/>
  <c r="D3825" i="7"/>
  <c r="F3813" i="7"/>
  <c r="U3813" i="7" s="1"/>
  <c r="H3829" i="7"/>
  <c r="D3813" i="7"/>
  <c r="F3829" i="7"/>
  <c r="U3829" i="7" s="1"/>
  <c r="F3822" i="7"/>
  <c r="F3817" i="7"/>
  <c r="G3806" i="7"/>
  <c r="W3826" i="7" s="1"/>
  <c r="W3830" i="7" s="1"/>
  <c r="D3829" i="7"/>
  <c r="D3822" i="7"/>
  <c r="D3817" i="7"/>
  <c r="W3817" i="7" s="1"/>
  <c r="D3806" i="7"/>
  <c r="D3826" i="7"/>
  <c r="D3821" i="7"/>
  <c r="H3825" i="7"/>
  <c r="F3821" i="7"/>
  <c r="U3821" i="7" s="1"/>
  <c r="F3814" i="7"/>
  <c r="F3820" i="7"/>
  <c r="D3814" i="7"/>
  <c r="H3830" i="7"/>
  <c r="D3820" i="7"/>
  <c r="D3830" i="7"/>
  <c r="H3827" i="7"/>
  <c r="F3812" i="7"/>
  <c r="D3831" i="7"/>
  <c r="D3812" i="7"/>
  <c r="F3827" i="7"/>
  <c r="U3827" i="7" s="1"/>
  <c r="D3827" i="7"/>
  <c r="P3790" i="7"/>
  <c r="R3790" i="7" s="1"/>
  <c r="D3793" i="7"/>
  <c r="W3793" i="7" s="1"/>
  <c r="U3787" i="7"/>
  <c r="L3787" i="7"/>
  <c r="N3787" i="7" s="1"/>
  <c r="L3795" i="7"/>
  <c r="J3795" i="7"/>
  <c r="W3755" i="7"/>
  <c r="Y3769" i="7"/>
  <c r="Y3771" i="7"/>
  <c r="AA3771" i="7" s="1"/>
  <c r="Y3770" i="7"/>
  <c r="AA3770" i="7" s="1"/>
  <c r="U3784" i="7"/>
  <c r="U3785" i="7" s="1"/>
  <c r="L3784" i="7"/>
  <c r="N3784" i="7" s="1"/>
  <c r="U3790" i="7"/>
  <c r="L3790" i="7"/>
  <c r="F3793" i="7"/>
  <c r="J3790" i="7"/>
  <c r="U3792" i="7"/>
  <c r="U3793" i="7" s="1"/>
  <c r="L3792" i="7"/>
  <c r="J3791" i="7"/>
  <c r="N3791" i="7" s="1"/>
  <c r="N3783" i="7"/>
  <c r="L3796" i="7"/>
  <c r="J3796" i="7"/>
  <c r="P3783" i="7"/>
  <c r="R3783" i="7" s="1"/>
  <c r="W3795" i="7"/>
  <c r="W3799" i="7" s="1"/>
  <c r="W3797" i="7"/>
  <c r="W3801" i="7" s="1"/>
  <c r="D3785" i="7"/>
  <c r="P3782" i="7"/>
  <c r="R3782" i="7" s="1"/>
  <c r="J3799" i="7"/>
  <c r="J3800" i="7"/>
  <c r="J3801" i="7"/>
  <c r="N3800" i="7" l="1"/>
  <c r="N3799" i="7"/>
  <c r="N3801" i="7"/>
  <c r="L3829" i="7"/>
  <c r="AA3769" i="7"/>
  <c r="AA3733" i="7"/>
  <c r="AA3731" i="7" s="1"/>
  <c r="N3785" i="7"/>
  <c r="P3785" i="7" s="1"/>
  <c r="R3785" i="7" s="1"/>
  <c r="L3831" i="7"/>
  <c r="L3830" i="7"/>
  <c r="N3763" i="7"/>
  <c r="P3763" i="7" s="1"/>
  <c r="R3763" i="7" s="1"/>
  <c r="N3796" i="7"/>
  <c r="AA3796" i="7" s="1"/>
  <c r="AA3755" i="7"/>
  <c r="AA3753" i="7" s="1"/>
  <c r="N3795" i="7"/>
  <c r="AA3795" i="7" s="1"/>
  <c r="N3797" i="7"/>
  <c r="AA3797" i="7" s="1"/>
  <c r="N3790" i="7"/>
  <c r="J3874" i="7"/>
  <c r="J3872" i="7"/>
  <c r="J3877" i="7"/>
  <c r="J3873" i="7"/>
  <c r="Y3877" i="7"/>
  <c r="Y3881" i="7"/>
  <c r="Y3885" i="7"/>
  <c r="Y3880" i="7"/>
  <c r="Y3874" i="7"/>
  <c r="Y3875" i="7" s="1"/>
  <c r="Y3886" i="7"/>
  <c r="Y3872" i="7"/>
  <c r="Y3873" i="7"/>
  <c r="Y3887" i="7"/>
  <c r="Y3882" i="7"/>
  <c r="Y3883" i="7" s="1"/>
  <c r="H3891" i="7"/>
  <c r="H3886" i="7"/>
  <c r="D3881" i="7"/>
  <c r="D3874" i="7"/>
  <c r="D3866" i="7"/>
  <c r="D3891" i="7"/>
  <c r="D3886" i="7"/>
  <c r="D3890" i="7"/>
  <c r="H3887" i="7"/>
  <c r="F3880" i="7"/>
  <c r="F3874" i="7"/>
  <c r="D3880" i="7"/>
  <c r="D3889" i="7"/>
  <c r="D3885" i="7"/>
  <c r="D3887" i="7"/>
  <c r="H3885" i="7"/>
  <c r="D3882" i="7"/>
  <c r="D3873" i="7"/>
  <c r="H3890" i="7"/>
  <c r="F3885" i="7"/>
  <c r="U3885" i="7" s="1"/>
  <c r="F3890" i="7"/>
  <c r="U3890" i="7" s="1"/>
  <c r="F3872" i="7"/>
  <c r="F3889" i="7"/>
  <c r="U3889" i="7" s="1"/>
  <c r="F3886" i="7"/>
  <c r="U3886" i="7" s="1"/>
  <c r="F3891" i="7"/>
  <c r="U3891" i="7" s="1"/>
  <c r="F3873" i="7"/>
  <c r="U3873" i="7" s="1"/>
  <c r="F3877" i="7"/>
  <c r="D3872" i="7"/>
  <c r="D3877" i="7"/>
  <c r="W3877" i="7" s="1"/>
  <c r="F3881" i="7"/>
  <c r="U3881" i="7" s="1"/>
  <c r="H3889" i="7"/>
  <c r="F3882" i="7"/>
  <c r="G3866" i="7"/>
  <c r="F3887" i="7"/>
  <c r="U3887" i="7" s="1"/>
  <c r="P3813" i="7"/>
  <c r="R3813" i="7" s="1"/>
  <c r="D3899" i="7"/>
  <c r="D3897" i="7"/>
  <c r="D3895" i="7"/>
  <c r="D3900" i="7"/>
  <c r="D3901" i="7"/>
  <c r="D3898" i="7"/>
  <c r="W3825" i="7"/>
  <c r="W3829" i="7" s="1"/>
  <c r="W3827" i="7"/>
  <c r="W3831" i="7" s="1"/>
  <c r="B3955" i="7"/>
  <c r="B3947" i="7"/>
  <c r="B3932" i="7"/>
  <c r="B3943" i="7"/>
  <c r="B3937" i="7"/>
  <c r="B3942" i="7"/>
  <c r="B3949" i="7"/>
  <c r="B3946" i="7"/>
  <c r="B3941" i="7"/>
  <c r="B3951" i="7"/>
  <c r="B3933" i="7"/>
  <c r="B3945" i="7"/>
  <c r="B3935" i="7"/>
  <c r="B3940" i="7"/>
  <c r="B3934" i="7"/>
  <c r="B3950" i="7"/>
  <c r="A3955" i="7"/>
  <c r="A3947" i="7"/>
  <c r="A3951" i="7"/>
  <c r="A3945" i="7"/>
  <c r="A3933" i="7"/>
  <c r="A3949" i="7"/>
  <c r="A3937" i="7"/>
  <c r="A3943" i="7"/>
  <c r="A3941" i="7"/>
  <c r="A3946" i="7"/>
  <c r="A3940" i="7"/>
  <c r="A3935" i="7"/>
  <c r="A3932" i="7"/>
  <c r="A3934" i="7"/>
  <c r="A3942" i="7"/>
  <c r="A3950" i="7"/>
  <c r="C3925" i="7"/>
  <c r="P3787" i="7"/>
  <c r="R3787" i="7" s="1"/>
  <c r="AA3787" i="7" s="1"/>
  <c r="L3822" i="7"/>
  <c r="U3822" i="7"/>
  <c r="U3823" i="7" s="1"/>
  <c r="U3820" i="7"/>
  <c r="L3820" i="7"/>
  <c r="F3823" i="7"/>
  <c r="L3814" i="7"/>
  <c r="N3814" i="7" s="1"/>
  <c r="U3814" i="7"/>
  <c r="U3815" i="7" s="1"/>
  <c r="L3825" i="7"/>
  <c r="J3825" i="7"/>
  <c r="L3817" i="7"/>
  <c r="N3817" i="7" s="1"/>
  <c r="U3817" i="7"/>
  <c r="Y3800" i="7"/>
  <c r="AA3800" i="7" s="1"/>
  <c r="W3785" i="7"/>
  <c r="Y3799" i="7"/>
  <c r="AA3799" i="7" s="1"/>
  <c r="Y3801" i="7"/>
  <c r="AA3801" i="7" s="1"/>
  <c r="F3859" i="7"/>
  <c r="U3859" i="7" s="1"/>
  <c r="D3847" i="7"/>
  <c r="W3847" i="7" s="1"/>
  <c r="H3860" i="7"/>
  <c r="H3855" i="7"/>
  <c r="D3850" i="7"/>
  <c r="F3860" i="7"/>
  <c r="U3860" i="7" s="1"/>
  <c r="F3855" i="7"/>
  <c r="U3855" i="7" s="1"/>
  <c r="F3851" i="7"/>
  <c r="U3851" i="7" s="1"/>
  <c r="H3857" i="7"/>
  <c r="D3851" i="7"/>
  <c r="F3843" i="7"/>
  <c r="U3843" i="7" s="1"/>
  <c r="G3836" i="7"/>
  <c r="F3857" i="7"/>
  <c r="U3857" i="7" s="1"/>
  <c r="D3843" i="7"/>
  <c r="D3836" i="7"/>
  <c r="H3861" i="7"/>
  <c r="H3859" i="7"/>
  <c r="D3856" i="7"/>
  <c r="F3861" i="7"/>
  <c r="U3861" i="7" s="1"/>
  <c r="D3859" i="7"/>
  <c r="D3861" i="7"/>
  <c r="F3850" i="7"/>
  <c r="D3844" i="7"/>
  <c r="D3855" i="7"/>
  <c r="D3860" i="7"/>
  <c r="F3847" i="7"/>
  <c r="F3842" i="7"/>
  <c r="F3852" i="7"/>
  <c r="D3842" i="7"/>
  <c r="D3852" i="7"/>
  <c r="D3857" i="7"/>
  <c r="H3856" i="7"/>
  <c r="F3856" i="7"/>
  <c r="U3856" i="7" s="1"/>
  <c r="F3844" i="7"/>
  <c r="P3821" i="7"/>
  <c r="R3821" i="7" s="1"/>
  <c r="J3821" i="7"/>
  <c r="N3821" i="7" s="1"/>
  <c r="N3813" i="7"/>
  <c r="L3826" i="7"/>
  <c r="J3826" i="7"/>
  <c r="J3822" i="7"/>
  <c r="Y3851" i="7"/>
  <c r="Y3852" i="7"/>
  <c r="Y3853" i="7" s="1"/>
  <c r="Y3855" i="7"/>
  <c r="Y3842" i="7"/>
  <c r="Y3857" i="7"/>
  <c r="Y3844" i="7"/>
  <c r="Y3845" i="7" s="1"/>
  <c r="Y3856" i="7"/>
  <c r="Y3847" i="7"/>
  <c r="Y3843" i="7"/>
  <c r="Y3850" i="7"/>
  <c r="N3792" i="7"/>
  <c r="J3820" i="7"/>
  <c r="L3827" i="7"/>
  <c r="J3827" i="7"/>
  <c r="J3829" i="7"/>
  <c r="J3830" i="7"/>
  <c r="J3831" i="7"/>
  <c r="P3820" i="7"/>
  <c r="R3820" i="7" s="1"/>
  <c r="D3823" i="7"/>
  <c r="W3823" i="7" s="1"/>
  <c r="P3812" i="7"/>
  <c r="R3812" i="7" s="1"/>
  <c r="D3815" i="7"/>
  <c r="P3822" i="7"/>
  <c r="R3822" i="7" s="1"/>
  <c r="J3843" i="7"/>
  <c r="J3847" i="7"/>
  <c r="J3842" i="7"/>
  <c r="J3844" i="7"/>
  <c r="AA3724" i="7"/>
  <c r="AA3723" i="7"/>
  <c r="AA3722" i="7"/>
  <c r="P3814" i="7"/>
  <c r="R3814" i="7" s="1"/>
  <c r="U3812" i="7"/>
  <c r="F3815" i="7"/>
  <c r="L3812" i="7"/>
  <c r="N3812" i="7" s="1"/>
  <c r="AA3757" i="7"/>
  <c r="AA3730" i="7" l="1"/>
  <c r="AA3732" i="7"/>
  <c r="N3829" i="7"/>
  <c r="N3831" i="7"/>
  <c r="W3855" i="7"/>
  <c r="W3859" i="7" s="1"/>
  <c r="N3830" i="7"/>
  <c r="L3860" i="7"/>
  <c r="W3886" i="7"/>
  <c r="W3890" i="7" s="1"/>
  <c r="AA3763" i="7"/>
  <c r="L3890" i="7"/>
  <c r="L3889" i="7"/>
  <c r="L3891" i="7"/>
  <c r="L3861" i="7"/>
  <c r="AA3754" i="7"/>
  <c r="AA3752" i="7"/>
  <c r="N3815" i="7"/>
  <c r="P3815" i="7" s="1"/>
  <c r="R3815" i="7" s="1"/>
  <c r="L3859" i="7"/>
  <c r="N3793" i="7"/>
  <c r="P3793" i="7" s="1"/>
  <c r="R3793" i="7" s="1"/>
  <c r="AA3793" i="7" s="1"/>
  <c r="AA3790" i="7" s="1"/>
  <c r="N3826" i="7"/>
  <c r="AA3826" i="7" s="1"/>
  <c r="W3887" i="7"/>
  <c r="W3891" i="7" s="1"/>
  <c r="W3885" i="7"/>
  <c r="W3889" i="7" s="1"/>
  <c r="N3825" i="7"/>
  <c r="AA3825" i="7" s="1"/>
  <c r="P3874" i="7"/>
  <c r="R3874" i="7" s="1"/>
  <c r="L3885" i="7"/>
  <c r="J3885" i="7"/>
  <c r="D3931" i="7"/>
  <c r="D3925" i="7"/>
  <c r="D3927" i="7"/>
  <c r="D3930" i="7"/>
  <c r="D3928" i="7"/>
  <c r="D3929" i="7"/>
  <c r="A3981" i="7"/>
  <c r="A3976" i="7"/>
  <c r="A3965" i="7"/>
  <c r="A3973" i="7"/>
  <c r="A3977" i="7"/>
  <c r="A3963" i="7"/>
  <c r="A3962" i="7"/>
  <c r="C3955" i="7"/>
  <c r="A3964" i="7"/>
  <c r="A3970" i="7"/>
  <c r="A3967" i="7"/>
  <c r="A3972" i="7"/>
  <c r="A3971" i="7"/>
  <c r="A3980" i="7"/>
  <c r="A3979" i="7"/>
  <c r="A3985" i="7"/>
  <c r="A3975" i="7"/>
  <c r="B3981" i="7"/>
  <c r="B3976" i="7"/>
  <c r="B3972" i="7"/>
  <c r="B3980" i="7"/>
  <c r="B3977" i="7"/>
  <c r="B3963" i="7"/>
  <c r="B3971" i="7"/>
  <c r="B3962" i="7"/>
  <c r="B3967" i="7"/>
  <c r="B3973" i="7"/>
  <c r="B3964" i="7"/>
  <c r="B3970" i="7"/>
  <c r="B3979" i="7"/>
  <c r="B3985" i="7"/>
  <c r="B3965" i="7"/>
  <c r="B3975" i="7"/>
  <c r="P3872" i="7"/>
  <c r="R3872" i="7" s="1"/>
  <c r="D3875" i="7"/>
  <c r="P3880" i="7"/>
  <c r="R3880" i="7" s="1"/>
  <c r="D3883" i="7"/>
  <c r="W3883" i="7" s="1"/>
  <c r="U3877" i="7"/>
  <c r="L3877" i="7"/>
  <c r="N3877" i="7" s="1"/>
  <c r="U3874" i="7"/>
  <c r="U3875" i="7" s="1"/>
  <c r="L3874" i="7"/>
  <c r="N3874" i="7" s="1"/>
  <c r="L3887" i="7"/>
  <c r="J3887" i="7"/>
  <c r="N3827" i="7"/>
  <c r="AA3827" i="7" s="1"/>
  <c r="F3883" i="7"/>
  <c r="U3880" i="7"/>
  <c r="L3880" i="7"/>
  <c r="U3872" i="7"/>
  <c r="L3872" i="7"/>
  <c r="N3872" i="7" s="1"/>
  <c r="F3875" i="7"/>
  <c r="J3904" i="7"/>
  <c r="J3903" i="7"/>
  <c r="J3907" i="7"/>
  <c r="J3902" i="7"/>
  <c r="J3890" i="7"/>
  <c r="J3891" i="7"/>
  <c r="J3889" i="7"/>
  <c r="Y3917" i="7"/>
  <c r="Y3915" i="7"/>
  <c r="Y3907" i="7"/>
  <c r="Y3903" i="7"/>
  <c r="Y3902" i="7"/>
  <c r="Y3904" i="7"/>
  <c r="Y3905" i="7" s="1"/>
  <c r="Y3912" i="7"/>
  <c r="Y3913" i="7" s="1"/>
  <c r="Y3911" i="7"/>
  <c r="Y3916" i="7"/>
  <c r="Y3910" i="7"/>
  <c r="P3881" i="7"/>
  <c r="R3881" i="7" s="1"/>
  <c r="J3881" i="7"/>
  <c r="N3881" i="7" s="1"/>
  <c r="N3873" i="7"/>
  <c r="W3857" i="7"/>
  <c r="W3861" i="7" s="1"/>
  <c r="P3873" i="7"/>
  <c r="R3873" i="7" s="1"/>
  <c r="H3920" i="7"/>
  <c r="H3915" i="7"/>
  <c r="D3910" i="7"/>
  <c r="D3920" i="7"/>
  <c r="D3915" i="7"/>
  <c r="F3902" i="7"/>
  <c r="D3902" i="7"/>
  <c r="F3917" i="7"/>
  <c r="U3917" i="7" s="1"/>
  <c r="H3917" i="7"/>
  <c r="F3911" i="7"/>
  <c r="U3911" i="7" s="1"/>
  <c r="D3911" i="7"/>
  <c r="H3916" i="7"/>
  <c r="H3921" i="7"/>
  <c r="F3919" i="7"/>
  <c r="U3919" i="7" s="1"/>
  <c r="D3896" i="7"/>
  <c r="F3921" i="7"/>
  <c r="U3921" i="7" s="1"/>
  <c r="D3919" i="7"/>
  <c r="F3903" i="7"/>
  <c r="U3903" i="7" s="1"/>
  <c r="D3921" i="7"/>
  <c r="D3903" i="7"/>
  <c r="F3912" i="7"/>
  <c r="F3910" i="7"/>
  <c r="F3915" i="7"/>
  <c r="U3915" i="7" s="1"/>
  <c r="D3912" i="7"/>
  <c r="F3920" i="7"/>
  <c r="U3920" i="7" s="1"/>
  <c r="G3896" i="7"/>
  <c r="F3904" i="7"/>
  <c r="H3919" i="7"/>
  <c r="D3904" i="7"/>
  <c r="D3917" i="7"/>
  <c r="D3916" i="7"/>
  <c r="D3907" i="7"/>
  <c r="W3907" i="7" s="1"/>
  <c r="F3907" i="7"/>
  <c r="F3916" i="7"/>
  <c r="U3916" i="7" s="1"/>
  <c r="W3856" i="7"/>
  <c r="W3860" i="7" s="1"/>
  <c r="P3882" i="7"/>
  <c r="R3882" i="7" s="1"/>
  <c r="J3880" i="7"/>
  <c r="L3886" i="7"/>
  <c r="J3886" i="7"/>
  <c r="P3852" i="7"/>
  <c r="R3852" i="7" s="1"/>
  <c r="P3843" i="7"/>
  <c r="R3843" i="7" s="1"/>
  <c r="L3882" i="7"/>
  <c r="U3882" i="7"/>
  <c r="U3883" i="7" s="1"/>
  <c r="J3882" i="7"/>
  <c r="L3856" i="7"/>
  <c r="J3856" i="7"/>
  <c r="U3844" i="7"/>
  <c r="U3845" i="7" s="1"/>
  <c r="L3844" i="7"/>
  <c r="N3844" i="7" s="1"/>
  <c r="AA3785" i="7"/>
  <c r="L3850" i="7"/>
  <c r="F3853" i="7"/>
  <c r="U3850" i="7"/>
  <c r="D3845" i="7"/>
  <c r="P3842" i="7"/>
  <c r="R3842" i="7" s="1"/>
  <c r="U3852" i="7"/>
  <c r="U3853" i="7" s="1"/>
  <c r="L3852" i="7"/>
  <c r="P3817" i="7"/>
  <c r="R3817" i="7" s="1"/>
  <c r="AA3817" i="7" s="1"/>
  <c r="J3852" i="7"/>
  <c r="U3842" i="7"/>
  <c r="F3845" i="7"/>
  <c r="L3842" i="7"/>
  <c r="N3842" i="7" s="1"/>
  <c r="L3857" i="7"/>
  <c r="J3857" i="7"/>
  <c r="N3822" i="7"/>
  <c r="U3847" i="7"/>
  <c r="L3847" i="7"/>
  <c r="N3847" i="7" s="1"/>
  <c r="P3851" i="7"/>
  <c r="R3851" i="7" s="1"/>
  <c r="Y3830" i="7"/>
  <c r="AA3830" i="7" s="1"/>
  <c r="Y3831" i="7"/>
  <c r="W3815" i="7"/>
  <c r="Y3829" i="7"/>
  <c r="AA3829" i="7" s="1"/>
  <c r="J3861" i="7"/>
  <c r="J3860" i="7"/>
  <c r="J3859" i="7"/>
  <c r="J3850" i="7"/>
  <c r="J3851" i="7"/>
  <c r="N3851" i="7" s="1"/>
  <c r="N3843" i="7"/>
  <c r="N3820" i="7"/>
  <c r="L3855" i="7"/>
  <c r="J3855" i="7"/>
  <c r="D3853" i="7"/>
  <c r="W3853" i="7" s="1"/>
  <c r="P3850" i="7"/>
  <c r="R3850" i="7" s="1"/>
  <c r="AA3761" i="7"/>
  <c r="AA3762" i="7"/>
  <c r="AA3760" i="7"/>
  <c r="P3844" i="7"/>
  <c r="R3844" i="7" s="1"/>
  <c r="N3845" i="7" l="1"/>
  <c r="L3921" i="7"/>
  <c r="W3915" i="7"/>
  <c r="W3919" i="7" s="1"/>
  <c r="AA3831" i="7"/>
  <c r="AA3792" i="7"/>
  <c r="AA3791" i="7"/>
  <c r="N3860" i="7"/>
  <c r="N3861" i="7"/>
  <c r="N3891" i="7"/>
  <c r="N3859" i="7"/>
  <c r="L3919" i="7"/>
  <c r="N3889" i="7"/>
  <c r="N3890" i="7"/>
  <c r="N3875" i="7"/>
  <c r="P3875" i="7" s="1"/>
  <c r="R3875" i="7" s="1"/>
  <c r="L3920" i="7"/>
  <c r="N3823" i="7"/>
  <c r="P3823" i="7" s="1"/>
  <c r="R3823" i="7" s="1"/>
  <c r="N3855" i="7"/>
  <c r="AA3855" i="7" s="1"/>
  <c r="N3857" i="7"/>
  <c r="AA3857" i="7" s="1"/>
  <c r="N3856" i="7"/>
  <c r="AA3856" i="7" s="1"/>
  <c r="N3885" i="7"/>
  <c r="AA3885" i="7" s="1"/>
  <c r="N3880" i="7"/>
  <c r="P3912" i="7"/>
  <c r="R3912" i="7" s="1"/>
  <c r="N3886" i="7"/>
  <c r="AA3886" i="7" s="1"/>
  <c r="N3850" i="7"/>
  <c r="N3852" i="7"/>
  <c r="N3887" i="7"/>
  <c r="AA3887" i="7" s="1"/>
  <c r="N3882" i="7"/>
  <c r="L3910" i="7"/>
  <c r="F3913" i="7"/>
  <c r="U3910" i="7"/>
  <c r="F3905" i="7"/>
  <c r="U3902" i="7"/>
  <c r="L3902" i="7"/>
  <c r="N3902" i="7" s="1"/>
  <c r="W3916" i="7"/>
  <c r="W3920" i="7" s="1"/>
  <c r="Y3889" i="7"/>
  <c r="W3875" i="7"/>
  <c r="Y3891" i="7"/>
  <c r="Y3890" i="7"/>
  <c r="D3905" i="7"/>
  <c r="P3902" i="7"/>
  <c r="R3902" i="7" s="1"/>
  <c r="U3912" i="7"/>
  <c r="U3913" i="7" s="1"/>
  <c r="L3912" i="7"/>
  <c r="J3915" i="7"/>
  <c r="L3915" i="7"/>
  <c r="W3917" i="7"/>
  <c r="W3921" i="7" s="1"/>
  <c r="J3912" i="7"/>
  <c r="P3903" i="7"/>
  <c r="R3903" i="7" s="1"/>
  <c r="D3913" i="7"/>
  <c r="W3913" i="7" s="1"/>
  <c r="P3910" i="7"/>
  <c r="R3910" i="7" s="1"/>
  <c r="A4010" i="7"/>
  <c r="A4005" i="7"/>
  <c r="A4001" i="7"/>
  <c r="A3994" i="7"/>
  <c r="C3985" i="7"/>
  <c r="A4011" i="7"/>
  <c r="A4009" i="7"/>
  <c r="A4000" i="7"/>
  <c r="A3993" i="7"/>
  <c r="A4002" i="7"/>
  <c r="A4007" i="7"/>
  <c r="A4006" i="7"/>
  <c r="A3997" i="7"/>
  <c r="A3992" i="7"/>
  <c r="A3995" i="7"/>
  <c r="A4015" i="7"/>
  <c r="A4003" i="7"/>
  <c r="B4010" i="7"/>
  <c r="B4005" i="7"/>
  <c r="B4002" i="7"/>
  <c r="B3994" i="7"/>
  <c r="B4009" i="7"/>
  <c r="B4006" i="7"/>
  <c r="B3992" i="7"/>
  <c r="B4007" i="7"/>
  <c r="B3997" i="7"/>
  <c r="B3993" i="7"/>
  <c r="B4001" i="7"/>
  <c r="B3995" i="7"/>
  <c r="B4015" i="7"/>
  <c r="B4003" i="7"/>
  <c r="B4011" i="7"/>
  <c r="B4000" i="7"/>
  <c r="D3958" i="7"/>
  <c r="D3960" i="7"/>
  <c r="D3959" i="7"/>
  <c r="D3957" i="7"/>
  <c r="D3955" i="7"/>
  <c r="D3961" i="7"/>
  <c r="L3916" i="7"/>
  <c r="J3916" i="7"/>
  <c r="J3919" i="7"/>
  <c r="J3921" i="7"/>
  <c r="N3921" i="7" s="1"/>
  <c r="J3920" i="7"/>
  <c r="J3937" i="7"/>
  <c r="J3934" i="7"/>
  <c r="J3933" i="7"/>
  <c r="J3932" i="7"/>
  <c r="P3877" i="7"/>
  <c r="R3877" i="7" s="1"/>
  <c r="J3917" i="7"/>
  <c r="L3917" i="7"/>
  <c r="H3949" i="7"/>
  <c r="F3937" i="7"/>
  <c r="D3949" i="7"/>
  <c r="F3933" i="7"/>
  <c r="U3933" i="7" s="1"/>
  <c r="F3949" i="7"/>
  <c r="U3949" i="7" s="1"/>
  <c r="G3926" i="7"/>
  <c r="D3942" i="7"/>
  <c r="H3946" i="7"/>
  <c r="H3951" i="7"/>
  <c r="D3946" i="7"/>
  <c r="D3941" i="7"/>
  <c r="F3951" i="7"/>
  <c r="U3951" i="7" s="1"/>
  <c r="D3934" i="7"/>
  <c r="D3951" i="7"/>
  <c r="D3937" i="7"/>
  <c r="W3937" i="7" s="1"/>
  <c r="F3934" i="7"/>
  <c r="F3945" i="7"/>
  <c r="U3945" i="7" s="1"/>
  <c r="D3945" i="7"/>
  <c r="F3941" i="7"/>
  <c r="U3941" i="7" s="1"/>
  <c r="F3940" i="7"/>
  <c r="F3932" i="7"/>
  <c r="D3947" i="7"/>
  <c r="H3947" i="7"/>
  <c r="D3940" i="7"/>
  <c r="D3932" i="7"/>
  <c r="F3947" i="7"/>
  <c r="U3947" i="7" s="1"/>
  <c r="F3950" i="7"/>
  <c r="U3950" i="7" s="1"/>
  <c r="H3945" i="7"/>
  <c r="H3950" i="7"/>
  <c r="F3942" i="7"/>
  <c r="D3950" i="7"/>
  <c r="D3933" i="7"/>
  <c r="D3926" i="7"/>
  <c r="F3946" i="7"/>
  <c r="U3946" i="7" s="1"/>
  <c r="U3907" i="7"/>
  <c r="L3907" i="7"/>
  <c r="N3907" i="7" s="1"/>
  <c r="P3904" i="7"/>
  <c r="R3904" i="7" s="1"/>
  <c r="J3910" i="7"/>
  <c r="Y3934" i="7"/>
  <c r="Y3935" i="7" s="1"/>
  <c r="Y3946" i="7"/>
  <c r="Y3932" i="7"/>
  <c r="Y3947" i="7"/>
  <c r="Y3942" i="7"/>
  <c r="Y3943" i="7" s="1"/>
  <c r="Y3937" i="7"/>
  <c r="Y3940" i="7"/>
  <c r="Y3933" i="7"/>
  <c r="Y3941" i="7"/>
  <c r="Y3945" i="7"/>
  <c r="L3904" i="7"/>
  <c r="N3904" i="7" s="1"/>
  <c r="U3904" i="7"/>
  <c r="U3905" i="7" s="1"/>
  <c r="P3911" i="7"/>
  <c r="R3911" i="7" s="1"/>
  <c r="J3911" i="7"/>
  <c r="N3911" i="7" s="1"/>
  <c r="N3903" i="7"/>
  <c r="Y3861" i="7"/>
  <c r="Y3859" i="7"/>
  <c r="Y3860" i="7"/>
  <c r="AA3860" i="7" s="1"/>
  <c r="W3845" i="7"/>
  <c r="AA3815" i="7"/>
  <c r="AA3784" i="7"/>
  <c r="AA3782" i="7"/>
  <c r="AA3783" i="7"/>
  <c r="P3845" i="7"/>
  <c r="R3845" i="7" s="1"/>
  <c r="P3847" i="7"/>
  <c r="R3847" i="7" s="1"/>
  <c r="AA3861" i="7" l="1"/>
  <c r="AA3859" i="7"/>
  <c r="L3950" i="7"/>
  <c r="AA3889" i="7"/>
  <c r="N3919" i="7"/>
  <c r="L3951" i="7"/>
  <c r="AA3890" i="7"/>
  <c r="AA3891" i="7"/>
  <c r="N3905" i="7"/>
  <c r="AA3823" i="7"/>
  <c r="AA3820" i="7" s="1"/>
  <c r="L3949" i="7"/>
  <c r="W3945" i="7"/>
  <c r="W3949" i="7" s="1"/>
  <c r="N3920" i="7"/>
  <c r="N3916" i="7"/>
  <c r="AA3916" i="7" s="1"/>
  <c r="N3883" i="7"/>
  <c r="P3883" i="7" s="1"/>
  <c r="R3883" i="7" s="1"/>
  <c r="AA3883" i="7" s="1"/>
  <c r="N3853" i="7"/>
  <c r="P3853" i="7" s="1"/>
  <c r="R3853" i="7" s="1"/>
  <c r="N3910" i="7"/>
  <c r="P3942" i="7"/>
  <c r="R3942" i="7" s="1"/>
  <c r="AA3847" i="7"/>
  <c r="AA3875" i="7"/>
  <c r="AA3874" i="7" s="1"/>
  <c r="W3946" i="7"/>
  <c r="W3950" i="7" s="1"/>
  <c r="W3947" i="7"/>
  <c r="W3951" i="7" s="1"/>
  <c r="P3907" i="7"/>
  <c r="R3907" i="7" s="1"/>
  <c r="J3942" i="7"/>
  <c r="W3905" i="7"/>
  <c r="Y3921" i="7"/>
  <c r="AA3921" i="7" s="1"/>
  <c r="Y3919" i="7"/>
  <c r="AA3919" i="7" s="1"/>
  <c r="Y3920" i="7"/>
  <c r="L3932" i="7"/>
  <c r="N3932" i="7" s="1"/>
  <c r="U3932" i="7"/>
  <c r="F3935" i="7"/>
  <c r="P3905" i="7"/>
  <c r="R3905" i="7" s="1"/>
  <c r="F3943" i="7"/>
  <c r="U3940" i="7"/>
  <c r="L3940" i="7"/>
  <c r="A4032" i="7"/>
  <c r="A4022" i="7"/>
  <c r="A4041" i="7"/>
  <c r="A4027" i="7"/>
  <c r="A4033" i="7"/>
  <c r="A4031" i="7"/>
  <c r="A4040" i="7"/>
  <c r="A4045" i="7"/>
  <c r="A4036" i="7"/>
  <c r="A4039" i="7"/>
  <c r="A4024" i="7"/>
  <c r="A4037" i="7"/>
  <c r="C4015" i="7"/>
  <c r="A4025" i="7"/>
  <c r="A4023" i="7"/>
  <c r="A4035" i="7"/>
  <c r="A4030" i="7"/>
  <c r="D3987" i="7"/>
  <c r="D3991" i="7"/>
  <c r="D3990" i="7"/>
  <c r="D3988" i="7"/>
  <c r="D3985" i="7"/>
  <c r="D3989" i="7"/>
  <c r="L3945" i="7"/>
  <c r="J3945" i="7"/>
  <c r="L3937" i="7"/>
  <c r="N3937" i="7" s="1"/>
  <c r="U3937" i="7"/>
  <c r="B4041" i="7"/>
  <c r="B4036" i="7"/>
  <c r="B4027" i="7"/>
  <c r="B4037" i="7"/>
  <c r="B4023" i="7"/>
  <c r="B4030" i="7"/>
  <c r="B4024" i="7"/>
  <c r="B4022" i="7"/>
  <c r="B4039" i="7"/>
  <c r="B4045" i="7"/>
  <c r="B4033" i="7"/>
  <c r="B4032" i="7"/>
  <c r="B4025" i="7"/>
  <c r="B4040" i="7"/>
  <c r="B4035" i="7"/>
  <c r="B4031" i="7"/>
  <c r="P3932" i="7"/>
  <c r="R3932" i="7" s="1"/>
  <c r="D3935" i="7"/>
  <c r="L3947" i="7"/>
  <c r="J3947" i="7"/>
  <c r="Y3970" i="7"/>
  <c r="Y3963" i="7"/>
  <c r="Y3975" i="7"/>
  <c r="Y3972" i="7"/>
  <c r="Y3973" i="7" s="1"/>
  <c r="Y3976" i="7"/>
  <c r="Y3967" i="7"/>
  <c r="Y3962" i="7"/>
  <c r="Y3977" i="7"/>
  <c r="Y3964" i="7"/>
  <c r="Y3965" i="7" s="1"/>
  <c r="Y3971" i="7"/>
  <c r="P3940" i="7"/>
  <c r="R3940" i="7" s="1"/>
  <c r="D3943" i="7"/>
  <c r="W3943" i="7" s="1"/>
  <c r="P3933" i="7"/>
  <c r="R3933" i="7" s="1"/>
  <c r="H3977" i="7"/>
  <c r="F3972" i="7"/>
  <c r="D3977" i="7"/>
  <c r="F3962" i="7"/>
  <c r="F3963" i="7"/>
  <c r="U3963" i="7" s="1"/>
  <c r="D3971" i="7"/>
  <c r="G3956" i="7"/>
  <c r="D3956" i="7"/>
  <c r="F3967" i="7"/>
  <c r="D3962" i="7"/>
  <c r="F3979" i="7"/>
  <c r="U3979" i="7" s="1"/>
  <c r="D3964" i="7"/>
  <c r="H3979" i="7"/>
  <c r="D3967" i="7"/>
  <c r="W3967" i="7" s="1"/>
  <c r="F3964" i="7"/>
  <c r="H3981" i="7"/>
  <c r="F3971" i="7"/>
  <c r="U3971" i="7" s="1"/>
  <c r="F3975" i="7"/>
  <c r="U3975" i="7" s="1"/>
  <c r="D3972" i="7"/>
  <c r="D3970" i="7"/>
  <c r="F3977" i="7"/>
  <c r="U3977" i="7" s="1"/>
  <c r="F3970" i="7"/>
  <c r="H3976" i="7"/>
  <c r="H3980" i="7"/>
  <c r="F3976" i="7"/>
  <c r="U3976" i="7" s="1"/>
  <c r="F3980" i="7"/>
  <c r="U3980" i="7" s="1"/>
  <c r="D3976" i="7"/>
  <c r="D3963" i="7"/>
  <c r="D3980" i="7"/>
  <c r="D3979" i="7"/>
  <c r="D3981" i="7"/>
  <c r="D3975" i="7"/>
  <c r="F3981" i="7"/>
  <c r="U3981" i="7" s="1"/>
  <c r="H3975" i="7"/>
  <c r="J3967" i="7"/>
  <c r="J3962" i="7"/>
  <c r="J3964" i="7"/>
  <c r="J3963" i="7"/>
  <c r="U3942" i="7"/>
  <c r="U3943" i="7" s="1"/>
  <c r="L3942" i="7"/>
  <c r="N3917" i="7"/>
  <c r="AA3917" i="7" s="1"/>
  <c r="N3912" i="7"/>
  <c r="P3934" i="7"/>
  <c r="R3934" i="7" s="1"/>
  <c r="L3934" i="7"/>
  <c r="N3934" i="7" s="1"/>
  <c r="U3934" i="7"/>
  <c r="U3935" i="7" s="1"/>
  <c r="AA3877" i="7"/>
  <c r="P3941" i="7"/>
  <c r="R3941" i="7" s="1"/>
  <c r="J3940" i="7"/>
  <c r="J3949" i="7"/>
  <c r="J3951" i="7"/>
  <c r="N3951" i="7" s="1"/>
  <c r="J3950" i="7"/>
  <c r="J3946" i="7"/>
  <c r="L3946" i="7"/>
  <c r="N3933" i="7"/>
  <c r="J3941" i="7"/>
  <c r="N3941" i="7" s="1"/>
  <c r="N3915" i="7"/>
  <c r="AA3915" i="7" s="1"/>
  <c r="AA3812" i="7"/>
  <c r="AA3813" i="7"/>
  <c r="AA3814" i="7"/>
  <c r="AA3845" i="7"/>
  <c r="N3950" i="7" l="1"/>
  <c r="N3949" i="7"/>
  <c r="L3979" i="7"/>
  <c r="L3980" i="7"/>
  <c r="AA3821" i="7"/>
  <c r="AA3822" i="7"/>
  <c r="N3935" i="7"/>
  <c r="P3935" i="7" s="1"/>
  <c r="R3935" i="7" s="1"/>
  <c r="AA3920" i="7"/>
  <c r="AA3853" i="7"/>
  <c r="AA3850" i="7" s="1"/>
  <c r="W3975" i="7"/>
  <c r="W3979" i="7" s="1"/>
  <c r="L3981" i="7"/>
  <c r="N3913" i="7"/>
  <c r="P3913" i="7" s="1"/>
  <c r="R3913" i="7" s="1"/>
  <c r="N3945" i="7"/>
  <c r="AA3945" i="7" s="1"/>
  <c r="N3940" i="7"/>
  <c r="AA3873" i="7"/>
  <c r="N3947" i="7"/>
  <c r="AA3947" i="7" s="1"/>
  <c r="AA3872" i="7"/>
  <c r="P3971" i="7"/>
  <c r="R3971" i="7" s="1"/>
  <c r="P3963" i="7"/>
  <c r="R3963" i="7" s="1"/>
  <c r="P3937" i="7"/>
  <c r="R3937" i="7" s="1"/>
  <c r="AA3937" i="7" s="1"/>
  <c r="AA3905" i="7"/>
  <c r="J3981" i="7"/>
  <c r="J3979" i="7"/>
  <c r="J3980" i="7"/>
  <c r="F3973" i="7"/>
  <c r="U3970" i="7"/>
  <c r="L3970" i="7"/>
  <c r="F3965" i="7"/>
  <c r="L3962" i="7"/>
  <c r="N3962" i="7" s="1"/>
  <c r="U3962" i="7"/>
  <c r="F4010" i="7"/>
  <c r="U4010" i="7" s="1"/>
  <c r="D4010" i="7"/>
  <c r="F4001" i="7"/>
  <c r="U4001" i="7" s="1"/>
  <c r="F3994" i="7"/>
  <c r="G3986" i="7"/>
  <c r="W4007" i="7" s="1"/>
  <c r="W4011" i="7" s="1"/>
  <c r="H4011" i="7"/>
  <c r="H4006" i="7"/>
  <c r="D4001" i="7"/>
  <c r="D3994" i="7"/>
  <c r="D3986" i="7"/>
  <c r="D4011" i="7"/>
  <c r="D4006" i="7"/>
  <c r="F4009" i="7"/>
  <c r="U4009" i="7" s="1"/>
  <c r="F4006" i="7"/>
  <c r="U4006" i="7" s="1"/>
  <c r="F4000" i="7"/>
  <c r="D3992" i="7"/>
  <c r="D4000" i="7"/>
  <c r="D4007" i="7"/>
  <c r="H4005" i="7"/>
  <c r="D4002" i="7"/>
  <c r="F4005" i="7"/>
  <c r="U4005" i="7" s="1"/>
  <c r="H4010" i="7"/>
  <c r="D4005" i="7"/>
  <c r="F4011" i="7"/>
  <c r="U4011" i="7" s="1"/>
  <c r="F3997" i="7"/>
  <c r="F3993" i="7"/>
  <c r="U3993" i="7" s="1"/>
  <c r="F4002" i="7"/>
  <c r="D3997" i="7"/>
  <c r="W3997" i="7" s="1"/>
  <c r="D3993" i="7"/>
  <c r="F3992" i="7"/>
  <c r="H4009" i="7"/>
  <c r="D4009" i="7"/>
  <c r="F4007" i="7"/>
  <c r="U4007" i="7" s="1"/>
  <c r="H4007" i="7"/>
  <c r="A4062" i="7"/>
  <c r="A4057" i="7"/>
  <c r="A4053" i="7"/>
  <c r="A4071" i="7"/>
  <c r="A4063" i="7"/>
  <c r="C4045" i="7"/>
  <c r="A4055" i="7"/>
  <c r="A4067" i="7"/>
  <c r="A4065" i="7"/>
  <c r="A4066" i="7"/>
  <c r="A4069" i="7"/>
  <c r="A4070" i="7"/>
  <c r="A4052" i="7"/>
  <c r="A4075" i="7"/>
  <c r="A4061" i="7"/>
  <c r="A4054" i="7"/>
  <c r="A4060" i="7"/>
  <c r="L3967" i="7"/>
  <c r="N3967" i="7" s="1"/>
  <c r="U3967" i="7"/>
  <c r="P3972" i="7"/>
  <c r="R3972" i="7" s="1"/>
  <c r="J3977" i="7"/>
  <c r="L3977" i="7"/>
  <c r="B4070" i="7"/>
  <c r="B4065" i="7"/>
  <c r="B4057" i="7"/>
  <c r="B4053" i="7"/>
  <c r="B4071" i="7"/>
  <c r="B4067" i="7"/>
  <c r="B4060" i="7"/>
  <c r="B4062" i="7"/>
  <c r="B4069" i="7"/>
  <c r="B4052" i="7"/>
  <c r="B4075" i="7"/>
  <c r="B4061" i="7"/>
  <c r="B4055" i="7"/>
  <c r="B4054" i="7"/>
  <c r="B4066" i="7"/>
  <c r="B4063" i="7"/>
  <c r="J3972" i="7"/>
  <c r="U3972" i="7"/>
  <c r="U3973" i="7" s="1"/>
  <c r="L3972" i="7"/>
  <c r="W3977" i="7"/>
  <c r="W3981" i="7" s="1"/>
  <c r="L3975" i="7"/>
  <c r="J3975" i="7"/>
  <c r="J3992" i="7"/>
  <c r="J3997" i="7"/>
  <c r="J3994" i="7"/>
  <c r="J3993" i="7"/>
  <c r="Y4007" i="7"/>
  <c r="Y3992" i="7"/>
  <c r="Y3997" i="7"/>
  <c r="Y3993" i="7"/>
  <c r="Y4001" i="7"/>
  <c r="Y3994" i="7"/>
  <c r="Y3995" i="7" s="1"/>
  <c r="Y4002" i="7"/>
  <c r="Y4003" i="7" s="1"/>
  <c r="Y4005" i="7"/>
  <c r="Y4000" i="7"/>
  <c r="Y4006" i="7"/>
  <c r="U3964" i="7"/>
  <c r="U3965" i="7" s="1"/>
  <c r="L3964" i="7"/>
  <c r="N3964" i="7" s="1"/>
  <c r="N3946" i="7"/>
  <c r="AA3946" i="7" s="1"/>
  <c r="J3970" i="7"/>
  <c r="W3976" i="7"/>
  <c r="W3980" i="7" s="1"/>
  <c r="P3964" i="7"/>
  <c r="R3964" i="7" s="1"/>
  <c r="N3942" i="7"/>
  <c r="L3976" i="7"/>
  <c r="J3976" i="7"/>
  <c r="Y3951" i="7"/>
  <c r="AA3951" i="7" s="1"/>
  <c r="Y3950" i="7"/>
  <c r="AA3950" i="7" s="1"/>
  <c r="Y3949" i="7"/>
  <c r="W3935" i="7"/>
  <c r="D4021" i="7"/>
  <c r="D4020" i="7"/>
  <c r="D4019" i="7"/>
  <c r="D4017" i="7"/>
  <c r="D4018" i="7"/>
  <c r="D4015" i="7"/>
  <c r="J3971" i="7"/>
  <c r="N3971" i="7" s="1"/>
  <c r="N3963" i="7"/>
  <c r="P3970" i="7"/>
  <c r="R3970" i="7" s="1"/>
  <c r="D3973" i="7"/>
  <c r="W3973" i="7" s="1"/>
  <c r="AA3881" i="7"/>
  <c r="AA3880" i="7"/>
  <c r="AA3882" i="7"/>
  <c r="D3965" i="7"/>
  <c r="P3962" i="7"/>
  <c r="R3962" i="7" s="1"/>
  <c r="AA3907" i="7"/>
  <c r="AA3844" i="7"/>
  <c r="AA3843" i="7"/>
  <c r="AA3842" i="7"/>
  <c r="AA3851" i="7" l="1"/>
  <c r="N3980" i="7"/>
  <c r="AA3852" i="7"/>
  <c r="AA3949" i="7"/>
  <c r="N3979" i="7"/>
  <c r="N3981" i="7"/>
  <c r="N3943" i="7"/>
  <c r="P3943" i="7" s="1"/>
  <c r="R3943" i="7" s="1"/>
  <c r="L4011" i="7"/>
  <c r="L4009" i="7"/>
  <c r="AA3913" i="7"/>
  <c r="AA3912" i="7" s="1"/>
  <c r="N3965" i="7"/>
  <c r="P3965" i="7" s="1"/>
  <c r="R3965" i="7" s="1"/>
  <c r="L4010" i="7"/>
  <c r="AA3935" i="7"/>
  <c r="AA3932" i="7" s="1"/>
  <c r="W4006" i="7"/>
  <c r="W4010" i="7" s="1"/>
  <c r="W4005" i="7"/>
  <c r="W4009" i="7" s="1"/>
  <c r="N3975" i="7"/>
  <c r="AA3975" i="7" s="1"/>
  <c r="N3976" i="7"/>
  <c r="AA3976" i="7" s="1"/>
  <c r="N3977" i="7"/>
  <c r="AA3977" i="7" s="1"/>
  <c r="P4002" i="7"/>
  <c r="R4002" i="7" s="1"/>
  <c r="P3967" i="7"/>
  <c r="R3967" i="7" s="1"/>
  <c r="AA3967" i="7" s="1"/>
  <c r="P4000" i="7"/>
  <c r="R4000" i="7" s="1"/>
  <c r="D4003" i="7"/>
  <c r="W4003" i="7" s="1"/>
  <c r="A4093" i="7"/>
  <c r="A4087" i="7"/>
  <c r="A4085" i="7"/>
  <c r="A4091" i="7"/>
  <c r="A4099" i="7"/>
  <c r="A4095" i="7"/>
  <c r="A4082" i="7"/>
  <c r="A4097" i="7"/>
  <c r="A4105" i="7"/>
  <c r="C4075" i="7"/>
  <c r="A4096" i="7"/>
  <c r="A4084" i="7"/>
  <c r="A4083" i="7"/>
  <c r="A4092" i="7"/>
  <c r="A4101" i="7"/>
  <c r="A4100" i="7"/>
  <c r="A4090" i="7"/>
  <c r="P3992" i="7"/>
  <c r="R3992" i="7" s="1"/>
  <c r="D3995" i="7"/>
  <c r="L4000" i="7"/>
  <c r="F4003" i="7"/>
  <c r="U4000" i="7"/>
  <c r="U3992" i="7"/>
  <c r="L3992" i="7"/>
  <c r="N3992" i="7" s="1"/>
  <c r="F3995" i="7"/>
  <c r="F4041" i="7"/>
  <c r="U4041" i="7" s="1"/>
  <c r="H4037" i="7"/>
  <c r="D4027" i="7"/>
  <c r="W4027" i="7" s="1"/>
  <c r="D4041" i="7"/>
  <c r="F4037" i="7"/>
  <c r="U4037" i="7" s="1"/>
  <c r="F4023" i="7"/>
  <c r="U4023" i="7" s="1"/>
  <c r="D4037" i="7"/>
  <c r="D4023" i="7"/>
  <c r="F4030" i="7"/>
  <c r="H4039" i="7"/>
  <c r="D4031" i="7"/>
  <c r="F4022" i="7"/>
  <c r="D4039" i="7"/>
  <c r="H4036" i="7"/>
  <c r="F4036" i="7"/>
  <c r="U4036" i="7" s="1"/>
  <c r="D4036" i="7"/>
  <c r="D4022" i="7"/>
  <c r="F4024" i="7"/>
  <c r="G4016" i="7"/>
  <c r="D4032" i="7"/>
  <c r="F4039" i="7"/>
  <c r="U4039" i="7" s="1"/>
  <c r="F4032" i="7"/>
  <c r="D4024" i="7"/>
  <c r="D4016" i="7"/>
  <c r="F4027" i="7"/>
  <c r="H4041" i="7"/>
  <c r="F4031" i="7"/>
  <c r="U4031" i="7" s="1"/>
  <c r="H4035" i="7"/>
  <c r="F4035" i="7"/>
  <c r="U4035" i="7" s="1"/>
  <c r="D4035" i="7"/>
  <c r="H4040" i="7"/>
  <c r="D4030" i="7"/>
  <c r="F4040" i="7"/>
  <c r="U4040" i="7" s="1"/>
  <c r="D4040" i="7"/>
  <c r="N3972" i="7"/>
  <c r="P3993" i="7"/>
  <c r="R3993" i="7" s="1"/>
  <c r="B4099" i="7"/>
  <c r="B4100" i="7"/>
  <c r="B4082" i="7"/>
  <c r="B4091" i="7"/>
  <c r="B4085" i="7"/>
  <c r="B4095" i="7"/>
  <c r="B4105" i="7"/>
  <c r="B4083" i="7"/>
  <c r="B4084" i="7"/>
  <c r="B4092" i="7"/>
  <c r="B4087" i="7"/>
  <c r="B4093" i="7"/>
  <c r="B4097" i="7"/>
  <c r="B4090" i="7"/>
  <c r="B4101" i="7"/>
  <c r="B4096" i="7"/>
  <c r="J4006" i="7"/>
  <c r="L4006" i="7"/>
  <c r="L4002" i="7"/>
  <c r="U4002" i="7"/>
  <c r="U4003" i="7" s="1"/>
  <c r="J4000" i="7"/>
  <c r="J4011" i="7"/>
  <c r="N4011" i="7" s="1"/>
  <c r="J4010" i="7"/>
  <c r="J4009" i="7"/>
  <c r="AA3943" i="7"/>
  <c r="U3997" i="7"/>
  <c r="L3997" i="7"/>
  <c r="N3997" i="7" s="1"/>
  <c r="P3994" i="7"/>
  <c r="R3994" i="7" s="1"/>
  <c r="U3994" i="7"/>
  <c r="U3995" i="7" s="1"/>
  <c r="L3994" i="7"/>
  <c r="N3994" i="7" s="1"/>
  <c r="L4007" i="7"/>
  <c r="J4007" i="7"/>
  <c r="Y4035" i="7"/>
  <c r="Y4031" i="7"/>
  <c r="Y4032" i="7"/>
  <c r="Y4033" i="7" s="1"/>
  <c r="Y4030" i="7"/>
  <c r="Y4023" i="7"/>
  <c r="Y4027" i="7"/>
  <c r="Y4036" i="7"/>
  <c r="Y4037" i="7"/>
  <c r="Y4022" i="7"/>
  <c r="Y4024" i="7"/>
  <c r="Y4025" i="7" s="1"/>
  <c r="N3970" i="7"/>
  <c r="D4049" i="7"/>
  <c r="D4048" i="7"/>
  <c r="D4047" i="7"/>
  <c r="D4051" i="7"/>
  <c r="D4050" i="7"/>
  <c r="D4045" i="7"/>
  <c r="P4001" i="7"/>
  <c r="R4001" i="7" s="1"/>
  <c r="N3993" i="7"/>
  <c r="J4001" i="7"/>
  <c r="N4001" i="7" s="1"/>
  <c r="L4005" i="7"/>
  <c r="J4005" i="7"/>
  <c r="AA3902" i="7"/>
  <c r="AA3904" i="7"/>
  <c r="AA3903" i="7"/>
  <c r="J4002" i="7"/>
  <c r="J4023" i="7"/>
  <c r="J4024" i="7"/>
  <c r="J4027" i="7"/>
  <c r="J4022" i="7"/>
  <c r="Y3980" i="7"/>
  <c r="AA3980" i="7" s="1"/>
  <c r="Y3979" i="7"/>
  <c r="Y3981" i="7"/>
  <c r="AA3981" i="7" s="1"/>
  <c r="W3965" i="7"/>
  <c r="AA3911" i="7" l="1"/>
  <c r="AA3979" i="7"/>
  <c r="N4009" i="7"/>
  <c r="L4040" i="7"/>
  <c r="L4039" i="7"/>
  <c r="AA3910" i="7"/>
  <c r="N4010" i="7"/>
  <c r="N3995" i="7"/>
  <c r="P3995" i="7" s="1"/>
  <c r="R3995" i="7" s="1"/>
  <c r="L4041" i="7"/>
  <c r="W4036" i="7"/>
  <c r="W4040" i="7" s="1"/>
  <c r="N3973" i="7"/>
  <c r="P3973" i="7" s="1"/>
  <c r="R3973" i="7" s="1"/>
  <c r="AA3973" i="7" s="1"/>
  <c r="AA3972" i="7" s="1"/>
  <c r="AA3933" i="7"/>
  <c r="AA3934" i="7"/>
  <c r="P4031" i="7"/>
  <c r="R4031" i="7" s="1"/>
  <c r="P4023" i="7"/>
  <c r="R4023" i="7" s="1"/>
  <c r="N4005" i="7"/>
  <c r="AA4005" i="7" s="1"/>
  <c r="N4006" i="7"/>
  <c r="AA4006" i="7" s="1"/>
  <c r="W4037" i="7"/>
  <c r="W4041" i="7" s="1"/>
  <c r="W4035" i="7"/>
  <c r="W4039" i="7" s="1"/>
  <c r="N4007" i="7"/>
  <c r="AA4007" i="7" s="1"/>
  <c r="AA3965" i="7"/>
  <c r="AA3963" i="7" s="1"/>
  <c r="P3997" i="7"/>
  <c r="R3997" i="7" s="1"/>
  <c r="Y4052" i="7"/>
  <c r="Y4065" i="7"/>
  <c r="Y4061" i="7"/>
  <c r="Y4057" i="7"/>
  <c r="Y4054" i="7"/>
  <c r="Y4055" i="7" s="1"/>
  <c r="Y4066" i="7"/>
  <c r="Y4053" i="7"/>
  <c r="Y4062" i="7"/>
  <c r="Y4063" i="7" s="1"/>
  <c r="Y4060" i="7"/>
  <c r="Y4067" i="7"/>
  <c r="J4030" i="7"/>
  <c r="J4032" i="7"/>
  <c r="J4052" i="7"/>
  <c r="J4057" i="7"/>
  <c r="J4054" i="7"/>
  <c r="J4053" i="7"/>
  <c r="U4022" i="7"/>
  <c r="L4022" i="7"/>
  <c r="N4022" i="7" s="1"/>
  <c r="F4025" i="7"/>
  <c r="N4023" i="7"/>
  <c r="J4031" i="7"/>
  <c r="N4031" i="7" s="1"/>
  <c r="B4135" i="7"/>
  <c r="B4127" i="7"/>
  <c r="B4131" i="7"/>
  <c r="B4125" i="7"/>
  <c r="B4117" i="7"/>
  <c r="B4129" i="7"/>
  <c r="B4122" i="7"/>
  <c r="B4114" i="7"/>
  <c r="B4120" i="7"/>
  <c r="B4123" i="7"/>
  <c r="B4113" i="7"/>
  <c r="B4112" i="7"/>
  <c r="B4121" i="7"/>
  <c r="B4126" i="7"/>
  <c r="B4130" i="7"/>
  <c r="B4115" i="7"/>
  <c r="F4061" i="7"/>
  <c r="U4061" i="7" s="1"/>
  <c r="F4054" i="7"/>
  <c r="G4046" i="7"/>
  <c r="D4070" i="7"/>
  <c r="F4071" i="7"/>
  <c r="U4071" i="7" s="1"/>
  <c r="H4067" i="7"/>
  <c r="D4057" i="7"/>
  <c r="W4057" i="7" s="1"/>
  <c r="D4053" i="7"/>
  <c r="D4071" i="7"/>
  <c r="F4067" i="7"/>
  <c r="U4067" i="7" s="1"/>
  <c r="D4067" i="7"/>
  <c r="F4060" i="7"/>
  <c r="D4046" i="7"/>
  <c r="H4069" i="7"/>
  <c r="D4054" i="7"/>
  <c r="F4065" i="7"/>
  <c r="U4065" i="7" s="1"/>
  <c r="F4062" i="7"/>
  <c r="H4070" i="7"/>
  <c r="F4070" i="7"/>
  <c r="U4070" i="7" s="1"/>
  <c r="D4069" i="7"/>
  <c r="D4062" i="7"/>
  <c r="H4065" i="7"/>
  <c r="D4065" i="7"/>
  <c r="F4057" i="7"/>
  <c r="D4061" i="7"/>
  <c r="H4071" i="7"/>
  <c r="H4066" i="7"/>
  <c r="F4066" i="7"/>
  <c r="U4066" i="7" s="1"/>
  <c r="F4069" i="7"/>
  <c r="U4069" i="7" s="1"/>
  <c r="D4066" i="7"/>
  <c r="F4053" i="7"/>
  <c r="U4053" i="7" s="1"/>
  <c r="D4060" i="7"/>
  <c r="F4052" i="7"/>
  <c r="D4052" i="7"/>
  <c r="Y4009" i="7"/>
  <c r="AA4009" i="7" s="1"/>
  <c r="Y4010" i="7"/>
  <c r="W3995" i="7"/>
  <c r="Y4011" i="7"/>
  <c r="AA4011" i="7" s="1"/>
  <c r="N4002" i="7"/>
  <c r="U4027" i="7"/>
  <c r="L4027" i="7"/>
  <c r="N4027" i="7" s="1"/>
  <c r="L4030" i="7"/>
  <c r="F4033" i="7"/>
  <c r="U4030" i="7"/>
  <c r="L4035" i="7"/>
  <c r="J4035" i="7"/>
  <c r="P4024" i="7"/>
  <c r="R4024" i="7" s="1"/>
  <c r="AA3941" i="7"/>
  <c r="AA3942" i="7"/>
  <c r="AA3940" i="7"/>
  <c r="P4032" i="7"/>
  <c r="R4032" i="7" s="1"/>
  <c r="L4032" i="7"/>
  <c r="U4032" i="7"/>
  <c r="U4033" i="7" s="1"/>
  <c r="J4037" i="7"/>
  <c r="L4037" i="7"/>
  <c r="U4024" i="7"/>
  <c r="U4025" i="7" s="1"/>
  <c r="L4024" i="7"/>
  <c r="N4024" i="7" s="1"/>
  <c r="J4039" i="7"/>
  <c r="J4041" i="7"/>
  <c r="J4040" i="7"/>
  <c r="D4025" i="7"/>
  <c r="P4022" i="7"/>
  <c r="R4022" i="7" s="1"/>
  <c r="A4122" i="7"/>
  <c r="A4121" i="7"/>
  <c r="A4115" i="7"/>
  <c r="A4112" i="7"/>
  <c r="A4125" i="7"/>
  <c r="A4117" i="7"/>
  <c r="C4105" i="7"/>
  <c r="A4131" i="7"/>
  <c r="A4129" i="7"/>
  <c r="A4135" i="7"/>
  <c r="A4120" i="7"/>
  <c r="A4114" i="7"/>
  <c r="A4123" i="7"/>
  <c r="A4126" i="7"/>
  <c r="A4113" i="7"/>
  <c r="A4127" i="7"/>
  <c r="A4130" i="7"/>
  <c r="N4000" i="7"/>
  <c r="D4033" i="7"/>
  <c r="W4033" i="7" s="1"/>
  <c r="P4030" i="7"/>
  <c r="R4030" i="7" s="1"/>
  <c r="L4036" i="7"/>
  <c r="J4036" i="7"/>
  <c r="D4080" i="7"/>
  <c r="D4081" i="7"/>
  <c r="D4079" i="7"/>
  <c r="D4078" i="7"/>
  <c r="D4077" i="7"/>
  <c r="D4075" i="7"/>
  <c r="L4070" i="7" l="1"/>
  <c r="AA3970" i="7"/>
  <c r="N4041" i="7"/>
  <c r="AA3971" i="7"/>
  <c r="N4039" i="7"/>
  <c r="N4040" i="7"/>
  <c r="AA4010" i="7"/>
  <c r="N4025" i="7"/>
  <c r="P4025" i="7" s="1"/>
  <c r="R4025" i="7" s="1"/>
  <c r="L4069" i="7"/>
  <c r="W4065" i="7"/>
  <c r="W4069" i="7" s="1"/>
  <c r="L4071" i="7"/>
  <c r="N4003" i="7"/>
  <c r="P4003" i="7" s="1"/>
  <c r="R4003" i="7" s="1"/>
  <c r="AA3964" i="7"/>
  <c r="AA3962" i="7"/>
  <c r="N4036" i="7"/>
  <c r="AA4036" i="7" s="1"/>
  <c r="W4067" i="7"/>
  <c r="W4071" i="7" s="1"/>
  <c r="N4035" i="7"/>
  <c r="AA4035" i="7" s="1"/>
  <c r="N4032" i="7"/>
  <c r="W4066" i="7"/>
  <c r="W4070" i="7" s="1"/>
  <c r="P4054" i="7"/>
  <c r="R4054" i="7" s="1"/>
  <c r="N4030" i="7"/>
  <c r="P4027" i="7"/>
  <c r="R4027" i="7" s="1"/>
  <c r="L4060" i="7"/>
  <c r="F4063" i="7"/>
  <c r="U4060" i="7"/>
  <c r="N4037" i="7"/>
  <c r="AA4037" i="7" s="1"/>
  <c r="L4067" i="7"/>
  <c r="J4067" i="7"/>
  <c r="D4063" i="7"/>
  <c r="W4063" i="7" s="1"/>
  <c r="P4060" i="7"/>
  <c r="R4060" i="7" s="1"/>
  <c r="P4061" i="7"/>
  <c r="R4061" i="7" s="1"/>
  <c r="U4057" i="7"/>
  <c r="L4057" i="7"/>
  <c r="N4057" i="7" s="1"/>
  <c r="P4053" i="7"/>
  <c r="R4053" i="7" s="1"/>
  <c r="J4071" i="7"/>
  <c r="J4070" i="7"/>
  <c r="J4069" i="7"/>
  <c r="Y4039" i="7"/>
  <c r="W4025" i="7"/>
  <c r="Y4041" i="7"/>
  <c r="Y4040" i="7"/>
  <c r="AA4040" i="7" s="1"/>
  <c r="L4065" i="7"/>
  <c r="J4065" i="7"/>
  <c r="D4105" i="7"/>
  <c r="D4108" i="7"/>
  <c r="D4110" i="7"/>
  <c r="D4109" i="7"/>
  <c r="D4107" i="7"/>
  <c r="D4111" i="7"/>
  <c r="J4066" i="7"/>
  <c r="L4066" i="7"/>
  <c r="J4083" i="7"/>
  <c r="J4087" i="7"/>
  <c r="J4082" i="7"/>
  <c r="J4084" i="7"/>
  <c r="P4062" i="7"/>
  <c r="R4062" i="7" s="1"/>
  <c r="J4061" i="7"/>
  <c r="N4061" i="7" s="1"/>
  <c r="N4053" i="7"/>
  <c r="F4090" i="7"/>
  <c r="D4083" i="7"/>
  <c r="F4096" i="7"/>
  <c r="U4096" i="7" s="1"/>
  <c r="H4099" i="7"/>
  <c r="F4095" i="7"/>
  <c r="U4095" i="7" s="1"/>
  <c r="F4099" i="7"/>
  <c r="U4099" i="7" s="1"/>
  <c r="D4095" i="7"/>
  <c r="D4099" i="7"/>
  <c r="F4083" i="7"/>
  <c r="U4083" i="7" s="1"/>
  <c r="H4100" i="7"/>
  <c r="H4096" i="7"/>
  <c r="D4092" i="7"/>
  <c r="D4087" i="7"/>
  <c r="W4087" i="7" s="1"/>
  <c r="D4076" i="7"/>
  <c r="D4100" i="7"/>
  <c r="D4097" i="7"/>
  <c r="F4087" i="7"/>
  <c r="F4091" i="7"/>
  <c r="U4091" i="7" s="1"/>
  <c r="F4092" i="7"/>
  <c r="F4097" i="7"/>
  <c r="U4097" i="7" s="1"/>
  <c r="F4082" i="7"/>
  <c r="F4100" i="7"/>
  <c r="U4100" i="7" s="1"/>
  <c r="D4082" i="7"/>
  <c r="G4076" i="7"/>
  <c r="D4091" i="7"/>
  <c r="F4084" i="7"/>
  <c r="H4095" i="7"/>
  <c r="H4101" i="7"/>
  <c r="D4090" i="7"/>
  <c r="F4101" i="7"/>
  <c r="U4101" i="7" s="1"/>
  <c r="D4101" i="7"/>
  <c r="D4084" i="7"/>
  <c r="H4097" i="7"/>
  <c r="D4096" i="7"/>
  <c r="AA3995" i="7"/>
  <c r="J4062" i="7"/>
  <c r="A4145" i="7"/>
  <c r="A4144" i="7"/>
  <c r="A4155" i="7"/>
  <c r="A4151" i="7"/>
  <c r="A4161" i="7"/>
  <c r="A4147" i="7"/>
  <c r="A4142" i="7"/>
  <c r="A4165" i="7"/>
  <c r="A4160" i="7"/>
  <c r="A4157" i="7"/>
  <c r="A4150" i="7"/>
  <c r="C4135" i="7"/>
  <c r="A4153" i="7"/>
  <c r="A4156" i="7"/>
  <c r="A4143" i="7"/>
  <c r="A4152" i="7"/>
  <c r="A4159" i="7"/>
  <c r="Y4090" i="7"/>
  <c r="Y4096" i="7"/>
  <c r="Y4084" i="7"/>
  <c r="Y4085" i="7" s="1"/>
  <c r="Y4097" i="7"/>
  <c r="Y4083" i="7"/>
  <c r="Y4087" i="7"/>
  <c r="Y4091" i="7"/>
  <c r="Y4082" i="7"/>
  <c r="Y4095" i="7"/>
  <c r="Y4092" i="7"/>
  <c r="Y4093" i="7" s="1"/>
  <c r="P4052" i="7"/>
  <c r="R4052" i="7" s="1"/>
  <c r="D4055" i="7"/>
  <c r="L4054" i="7"/>
  <c r="N4054" i="7" s="1"/>
  <c r="U4054" i="7"/>
  <c r="U4055" i="7" s="1"/>
  <c r="J4060" i="7"/>
  <c r="L4052" i="7"/>
  <c r="N4052" i="7" s="1"/>
  <c r="F4055" i="7"/>
  <c r="U4052" i="7"/>
  <c r="U4062" i="7"/>
  <c r="U4063" i="7" s="1"/>
  <c r="L4062" i="7"/>
  <c r="B4152" i="7"/>
  <c r="B4159" i="7"/>
  <c r="B4155" i="7"/>
  <c r="B4151" i="7"/>
  <c r="B4150" i="7"/>
  <c r="B4142" i="7"/>
  <c r="B4144" i="7"/>
  <c r="B4165" i="7"/>
  <c r="B4160" i="7"/>
  <c r="B4157" i="7"/>
  <c r="B4153" i="7"/>
  <c r="B4145" i="7"/>
  <c r="B4161" i="7"/>
  <c r="B4156" i="7"/>
  <c r="B4143" i="7"/>
  <c r="B4147" i="7"/>
  <c r="AA3997" i="7"/>
  <c r="AA4041" i="7" l="1"/>
  <c r="N4033" i="7"/>
  <c r="P4033" i="7" s="1"/>
  <c r="R4033" i="7" s="1"/>
  <c r="N4070" i="7"/>
  <c r="AA4039" i="7"/>
  <c r="L4100" i="7"/>
  <c r="N4071" i="7"/>
  <c r="N4055" i="7"/>
  <c r="N4069" i="7"/>
  <c r="L4099" i="7"/>
  <c r="L4101" i="7"/>
  <c r="W4097" i="7"/>
  <c r="W4101" i="7" s="1"/>
  <c r="AA4003" i="7"/>
  <c r="AA4001" i="7" s="1"/>
  <c r="AA4027" i="7"/>
  <c r="N4060" i="7"/>
  <c r="N4067" i="7"/>
  <c r="AA4067" i="7" s="1"/>
  <c r="N4065" i="7"/>
  <c r="AA4065" i="7" s="1"/>
  <c r="P4092" i="7"/>
  <c r="R4092" i="7" s="1"/>
  <c r="W4095" i="7"/>
  <c r="W4099" i="7" s="1"/>
  <c r="N4062" i="7"/>
  <c r="W4096" i="7"/>
  <c r="W4100" i="7" s="1"/>
  <c r="P4083" i="7"/>
  <c r="R4083" i="7" s="1"/>
  <c r="A4181" i="7"/>
  <c r="A4174" i="7"/>
  <c r="C4165" i="7"/>
  <c r="A4185" i="7"/>
  <c r="A4191" i="7"/>
  <c r="A4182" i="7"/>
  <c r="A4175" i="7"/>
  <c r="A4180" i="7"/>
  <c r="A4173" i="7"/>
  <c r="A4186" i="7"/>
  <c r="A4177" i="7"/>
  <c r="A4190" i="7"/>
  <c r="A4183" i="7"/>
  <c r="A4189" i="7"/>
  <c r="A4187" i="7"/>
  <c r="A4195" i="7"/>
  <c r="A4172" i="7"/>
  <c r="L4092" i="7"/>
  <c r="U4092" i="7"/>
  <c r="U4093" i="7" s="1"/>
  <c r="L4096" i="7"/>
  <c r="J4096" i="7"/>
  <c r="D4112" i="7"/>
  <c r="F4129" i="7"/>
  <c r="U4129" i="7" s="1"/>
  <c r="D4117" i="7"/>
  <c r="W4117" i="7" s="1"/>
  <c r="D4129" i="7"/>
  <c r="D4125" i="7"/>
  <c r="H4131" i="7"/>
  <c r="D4106" i="7"/>
  <c r="F4131" i="7"/>
  <c r="U4131" i="7" s="1"/>
  <c r="D4131" i="7"/>
  <c r="H4129" i="7"/>
  <c r="F4122" i="7"/>
  <c r="D4122" i="7"/>
  <c r="F4114" i="7"/>
  <c r="H4126" i="7"/>
  <c r="F4120" i="7"/>
  <c r="F4126" i="7"/>
  <c r="U4126" i="7" s="1"/>
  <c r="D4120" i="7"/>
  <c r="F4117" i="7"/>
  <c r="G4106" i="7"/>
  <c r="H4125" i="7"/>
  <c r="D4114" i="7"/>
  <c r="F4130" i="7"/>
  <c r="U4130" i="7" s="1"/>
  <c r="F4113" i="7"/>
  <c r="U4113" i="7" s="1"/>
  <c r="H4127" i="7"/>
  <c r="F4121" i="7"/>
  <c r="U4121" i="7" s="1"/>
  <c r="D4113" i="7"/>
  <c r="F4127" i="7"/>
  <c r="U4127" i="7" s="1"/>
  <c r="D4121" i="7"/>
  <c r="D4127" i="7"/>
  <c r="D4126" i="7"/>
  <c r="F4112" i="7"/>
  <c r="H4130" i="7"/>
  <c r="D4130" i="7"/>
  <c r="F4125" i="7"/>
  <c r="U4125" i="7" s="1"/>
  <c r="L4087" i="7"/>
  <c r="N4087" i="7" s="1"/>
  <c r="U4087" i="7"/>
  <c r="U4090" i="7"/>
  <c r="F4093" i="7"/>
  <c r="L4090" i="7"/>
  <c r="AA4025" i="7"/>
  <c r="P4084" i="7"/>
  <c r="R4084" i="7" s="1"/>
  <c r="L4097" i="7"/>
  <c r="J4097" i="7"/>
  <c r="J4100" i="7"/>
  <c r="J4099" i="7"/>
  <c r="J4101" i="7"/>
  <c r="Y4070" i="7"/>
  <c r="W4055" i="7"/>
  <c r="Y4071" i="7"/>
  <c r="AA4071" i="7" s="1"/>
  <c r="Y4069" i="7"/>
  <c r="AA4069" i="7" s="1"/>
  <c r="P4090" i="7"/>
  <c r="R4090" i="7" s="1"/>
  <c r="D4093" i="7"/>
  <c r="W4093" i="7" s="1"/>
  <c r="P4055" i="7"/>
  <c r="R4055" i="7" s="1"/>
  <c r="U4084" i="7"/>
  <c r="U4085" i="7" s="1"/>
  <c r="L4084" i="7"/>
  <c r="N4084" i="7" s="1"/>
  <c r="N4083" i="7"/>
  <c r="J4091" i="7"/>
  <c r="N4091" i="7" s="1"/>
  <c r="J4090" i="7"/>
  <c r="P4091" i="7"/>
  <c r="R4091" i="7" s="1"/>
  <c r="N4066" i="7"/>
  <c r="AA4066" i="7" s="1"/>
  <c r="D4085" i="7"/>
  <c r="P4082" i="7"/>
  <c r="R4082" i="7" s="1"/>
  <c r="J4095" i="7"/>
  <c r="L4095" i="7"/>
  <c r="Y4121" i="7"/>
  <c r="Y4126" i="7"/>
  <c r="Y4112" i="7"/>
  <c r="Y4113" i="7"/>
  <c r="Y4120" i="7"/>
  <c r="Y4127" i="7"/>
  <c r="Y4117" i="7"/>
  <c r="Y4114" i="7"/>
  <c r="Y4115" i="7" s="1"/>
  <c r="Y4125" i="7"/>
  <c r="Y4122" i="7"/>
  <c r="Y4123" i="7" s="1"/>
  <c r="B4189" i="7"/>
  <c r="B4185" i="7"/>
  <c r="B4181" i="7"/>
  <c r="B4175" i="7"/>
  <c r="B4180" i="7"/>
  <c r="B4173" i="7"/>
  <c r="B4191" i="7"/>
  <c r="B4186" i="7"/>
  <c r="B4177" i="7"/>
  <c r="B4172" i="7"/>
  <c r="B4174" i="7"/>
  <c r="B4190" i="7"/>
  <c r="B4183" i="7"/>
  <c r="B4182" i="7"/>
  <c r="B4187" i="7"/>
  <c r="B4195" i="7"/>
  <c r="D4139" i="7"/>
  <c r="D4141" i="7"/>
  <c r="D4140" i="7"/>
  <c r="D4138" i="7"/>
  <c r="D4137" i="7"/>
  <c r="D4135" i="7"/>
  <c r="AA3994" i="7"/>
  <c r="AA3992" i="7"/>
  <c r="AA3993" i="7"/>
  <c r="J4117" i="7"/>
  <c r="J4114" i="7"/>
  <c r="J4113" i="7"/>
  <c r="J4112" i="7"/>
  <c r="P4057" i="7"/>
  <c r="R4057" i="7" s="1"/>
  <c r="J4092" i="7"/>
  <c r="F4085" i="7"/>
  <c r="U4082" i="7"/>
  <c r="L4082" i="7"/>
  <c r="N4082" i="7" s="1"/>
  <c r="AA4033" i="7"/>
  <c r="AA4070" i="7" l="1"/>
  <c r="N4100" i="7"/>
  <c r="L4129" i="7"/>
  <c r="N4099" i="7"/>
  <c r="AA4002" i="7"/>
  <c r="N4101" i="7"/>
  <c r="L4131" i="7"/>
  <c r="L4130" i="7"/>
  <c r="W4125" i="7"/>
  <c r="W4129" i="7" s="1"/>
  <c r="N4085" i="7"/>
  <c r="P4085" i="7" s="1"/>
  <c r="R4085" i="7" s="1"/>
  <c r="N4063" i="7"/>
  <c r="P4063" i="7" s="1"/>
  <c r="R4063" i="7" s="1"/>
  <c r="AA4000" i="7"/>
  <c r="N4096" i="7"/>
  <c r="AA4096" i="7" s="1"/>
  <c r="N4092" i="7"/>
  <c r="N4097" i="7"/>
  <c r="AA4097" i="7" s="1"/>
  <c r="P4114" i="7"/>
  <c r="R4114" i="7" s="1"/>
  <c r="P4087" i="7"/>
  <c r="R4087" i="7" s="1"/>
  <c r="Y4100" i="7"/>
  <c r="Y4099" i="7"/>
  <c r="Y4101" i="7"/>
  <c r="W4085" i="7"/>
  <c r="J4125" i="7"/>
  <c r="L4125" i="7"/>
  <c r="B4225" i="7"/>
  <c r="B4210" i="7"/>
  <c r="B4217" i="7"/>
  <c r="B4211" i="7"/>
  <c r="B4205" i="7"/>
  <c r="B4215" i="7"/>
  <c r="B4219" i="7"/>
  <c r="B4207" i="7"/>
  <c r="B4202" i="7"/>
  <c r="B4216" i="7"/>
  <c r="B4213" i="7"/>
  <c r="B4204" i="7"/>
  <c r="B4221" i="7"/>
  <c r="B4212" i="7"/>
  <c r="B4203" i="7"/>
  <c r="B4220" i="7"/>
  <c r="J4129" i="7"/>
  <c r="J4131" i="7"/>
  <c r="J4130" i="7"/>
  <c r="AA4057" i="7"/>
  <c r="U4117" i="7"/>
  <c r="L4117" i="7"/>
  <c r="N4117" i="7" s="1"/>
  <c r="A4221" i="7"/>
  <c r="A4216" i="7"/>
  <c r="A4213" i="7"/>
  <c r="A4211" i="7"/>
  <c r="A4219" i="7"/>
  <c r="A4207" i="7"/>
  <c r="A4202" i="7"/>
  <c r="A4204" i="7"/>
  <c r="A4205" i="7"/>
  <c r="A4215" i="7"/>
  <c r="A4212" i="7"/>
  <c r="A4210" i="7"/>
  <c r="C4195" i="7"/>
  <c r="A4225" i="7"/>
  <c r="A4203" i="7"/>
  <c r="A4220" i="7"/>
  <c r="A4217" i="7"/>
  <c r="P4120" i="7"/>
  <c r="R4120" i="7" s="1"/>
  <c r="D4123" i="7"/>
  <c r="W4123" i="7" s="1"/>
  <c r="P4112" i="7"/>
  <c r="R4112" i="7" s="1"/>
  <c r="D4115" i="7"/>
  <c r="N4113" i="7"/>
  <c r="J4121" i="7"/>
  <c r="N4121" i="7" s="1"/>
  <c r="N4090" i="7"/>
  <c r="J4122" i="7"/>
  <c r="U4112" i="7"/>
  <c r="F4115" i="7"/>
  <c r="L4112" i="7"/>
  <c r="N4112" i="7" s="1"/>
  <c r="L4120" i="7"/>
  <c r="U4120" i="7"/>
  <c r="F4123" i="7"/>
  <c r="Y4155" i="7"/>
  <c r="Y4147" i="7"/>
  <c r="Y4143" i="7"/>
  <c r="Y4157" i="7"/>
  <c r="Y4151" i="7"/>
  <c r="Y4152" i="7"/>
  <c r="Y4153" i="7" s="1"/>
  <c r="Y4156" i="7"/>
  <c r="Y4144" i="7"/>
  <c r="Y4145" i="7" s="1"/>
  <c r="Y4142" i="7"/>
  <c r="Y4150" i="7"/>
  <c r="W4127" i="7"/>
  <c r="W4131" i="7" s="1"/>
  <c r="L4127" i="7"/>
  <c r="J4127" i="7"/>
  <c r="L4114" i="7"/>
  <c r="N4114" i="7" s="1"/>
  <c r="U4114" i="7"/>
  <c r="U4115" i="7" s="1"/>
  <c r="W4126" i="7"/>
  <c r="W4130" i="7" s="1"/>
  <c r="AA4022" i="7"/>
  <c r="AA4023" i="7"/>
  <c r="AA4024" i="7"/>
  <c r="L4126" i="7"/>
  <c r="J4126" i="7"/>
  <c r="P4121" i="7"/>
  <c r="R4121" i="7" s="1"/>
  <c r="P4122" i="7"/>
  <c r="R4122" i="7" s="1"/>
  <c r="L4122" i="7"/>
  <c r="U4122" i="7"/>
  <c r="U4123" i="7" s="1"/>
  <c r="D4169" i="7"/>
  <c r="D4165" i="7"/>
  <c r="D4168" i="7"/>
  <c r="D4167" i="7"/>
  <c r="D4171" i="7"/>
  <c r="D4170" i="7"/>
  <c r="J4120" i="7"/>
  <c r="D4157" i="7"/>
  <c r="F4155" i="7"/>
  <c r="U4155" i="7" s="1"/>
  <c r="F4151" i="7"/>
  <c r="U4151" i="7" s="1"/>
  <c r="H4160" i="7"/>
  <c r="F4160" i="7"/>
  <c r="U4160" i="7" s="1"/>
  <c r="F4142" i="7"/>
  <c r="F4159" i="7"/>
  <c r="U4159" i="7" s="1"/>
  <c r="H4156" i="7"/>
  <c r="D4144" i="7"/>
  <c r="D4160" i="7"/>
  <c r="H4157" i="7"/>
  <c r="F4157" i="7"/>
  <c r="U4157" i="7" s="1"/>
  <c r="F4152" i="7"/>
  <c r="H4155" i="7"/>
  <c r="D4155" i="7"/>
  <c r="D4152" i="7"/>
  <c r="F4150" i="7"/>
  <c r="F4143" i="7"/>
  <c r="U4143" i="7" s="1"/>
  <c r="F4161" i="7"/>
  <c r="U4161" i="7" s="1"/>
  <c r="H4161" i="7"/>
  <c r="F4144" i="7"/>
  <c r="D4161" i="7"/>
  <c r="D4143" i="7"/>
  <c r="D4142" i="7"/>
  <c r="G4136" i="7"/>
  <c r="D4156" i="7"/>
  <c r="F4156" i="7"/>
  <c r="U4156" i="7" s="1"/>
  <c r="D4136" i="7"/>
  <c r="D4151" i="7"/>
  <c r="D4150" i="7"/>
  <c r="H4159" i="7"/>
  <c r="D4159" i="7"/>
  <c r="F4147" i="7"/>
  <c r="D4147" i="7"/>
  <c r="W4147" i="7" s="1"/>
  <c r="AA4055" i="7"/>
  <c r="P4113" i="7"/>
  <c r="R4113" i="7" s="1"/>
  <c r="AA4030" i="7"/>
  <c r="AA4031" i="7"/>
  <c r="AA4032" i="7"/>
  <c r="J4142" i="7"/>
  <c r="J4143" i="7"/>
  <c r="J4144" i="7"/>
  <c r="J4147" i="7"/>
  <c r="N4095" i="7"/>
  <c r="AA4095" i="7" s="1"/>
  <c r="N4129" i="7" l="1"/>
  <c r="N4130" i="7"/>
  <c r="AA4100" i="7"/>
  <c r="N4131" i="7"/>
  <c r="W4156" i="7"/>
  <c r="W4160" i="7" s="1"/>
  <c r="AA4099" i="7"/>
  <c r="AA4101" i="7"/>
  <c r="L4159" i="7"/>
  <c r="L4160" i="7"/>
  <c r="L4161" i="7"/>
  <c r="N4115" i="7"/>
  <c r="P4115" i="7" s="1"/>
  <c r="R4115" i="7" s="1"/>
  <c r="N4093" i="7"/>
  <c r="P4093" i="7" s="1"/>
  <c r="R4093" i="7" s="1"/>
  <c r="AA4063" i="7"/>
  <c r="AA4061" i="7" s="1"/>
  <c r="N4120" i="7"/>
  <c r="N4126" i="7"/>
  <c r="AA4126" i="7" s="1"/>
  <c r="N4125" i="7"/>
  <c r="AA4125" i="7" s="1"/>
  <c r="P4151" i="7"/>
  <c r="R4151" i="7" s="1"/>
  <c r="P4143" i="7"/>
  <c r="R4143" i="7" s="1"/>
  <c r="N4122" i="7"/>
  <c r="N4127" i="7"/>
  <c r="AA4127" i="7" s="1"/>
  <c r="L4147" i="7"/>
  <c r="N4147" i="7" s="1"/>
  <c r="U4147" i="7"/>
  <c r="U4150" i="7"/>
  <c r="L4150" i="7"/>
  <c r="F4153" i="7"/>
  <c r="L4157" i="7"/>
  <c r="J4157" i="7"/>
  <c r="P4117" i="7"/>
  <c r="R4117" i="7" s="1"/>
  <c r="P4152" i="7"/>
  <c r="R4152" i="7" s="1"/>
  <c r="W4155" i="7"/>
  <c r="W4159" i="7" s="1"/>
  <c r="L4155" i="7"/>
  <c r="J4155" i="7"/>
  <c r="W4157" i="7"/>
  <c r="W4161" i="7" s="1"/>
  <c r="A4240" i="7"/>
  <c r="A4245" i="7"/>
  <c r="A4250" i="7"/>
  <c r="A4232" i="7"/>
  <c r="A4249" i="7"/>
  <c r="A4241" i="7"/>
  <c r="A4243" i="7"/>
  <c r="A4237" i="7"/>
  <c r="A4251" i="7"/>
  <c r="A4247" i="7"/>
  <c r="A4233" i="7"/>
  <c r="A4246" i="7"/>
  <c r="A4234" i="7"/>
  <c r="A4242" i="7"/>
  <c r="C4225" i="7"/>
  <c r="A4235" i="7"/>
  <c r="A4255" i="7"/>
  <c r="P4150" i="7"/>
  <c r="R4150" i="7" s="1"/>
  <c r="D4153" i="7"/>
  <c r="W4153" i="7" s="1"/>
  <c r="D4197" i="7"/>
  <c r="D4200" i="7"/>
  <c r="D4201" i="7"/>
  <c r="D4195" i="7"/>
  <c r="D4198" i="7"/>
  <c r="D4199" i="7"/>
  <c r="U4152" i="7"/>
  <c r="U4153" i="7" s="1"/>
  <c r="L4152" i="7"/>
  <c r="Y4177" i="7"/>
  <c r="Y4187" i="7"/>
  <c r="Y4186" i="7"/>
  <c r="Y4181" i="7"/>
  <c r="Y4174" i="7"/>
  <c r="Y4175" i="7" s="1"/>
  <c r="Y4172" i="7"/>
  <c r="Y4185" i="7"/>
  <c r="Y4173" i="7"/>
  <c r="Y4182" i="7"/>
  <c r="Y4183" i="7" s="1"/>
  <c r="Y4180" i="7"/>
  <c r="AA4052" i="7"/>
  <c r="AA4054" i="7"/>
  <c r="AA4053" i="7"/>
  <c r="J4152" i="7"/>
  <c r="J4160" i="7"/>
  <c r="J4159" i="7"/>
  <c r="N4159" i="7" s="1"/>
  <c r="J4161" i="7"/>
  <c r="J4174" i="7"/>
  <c r="J4173" i="7"/>
  <c r="J4172" i="7"/>
  <c r="J4177" i="7"/>
  <c r="B4250" i="7"/>
  <c r="B4241" i="7"/>
  <c r="B4234" i="7"/>
  <c r="B4246" i="7"/>
  <c r="B4251" i="7"/>
  <c r="B4243" i="7"/>
  <c r="B4245" i="7"/>
  <c r="B4237" i="7"/>
  <c r="B4247" i="7"/>
  <c r="B4233" i="7"/>
  <c r="B4232" i="7"/>
  <c r="B4240" i="7"/>
  <c r="B4242" i="7"/>
  <c r="B4249" i="7"/>
  <c r="B4235" i="7"/>
  <c r="B4255" i="7"/>
  <c r="N4143" i="7"/>
  <c r="J4151" i="7"/>
  <c r="N4151" i="7" s="1"/>
  <c r="J4150" i="7"/>
  <c r="P4144" i="7"/>
  <c r="R4144" i="7" s="1"/>
  <c r="D4145" i="7"/>
  <c r="P4142" i="7"/>
  <c r="R4142" i="7" s="1"/>
  <c r="Y4131" i="7"/>
  <c r="AA4131" i="7" s="1"/>
  <c r="W4115" i="7"/>
  <c r="Y4130" i="7"/>
  <c r="AA4130" i="7" s="1"/>
  <c r="Y4129" i="7"/>
  <c r="AA4129" i="7" s="1"/>
  <c r="F4145" i="7"/>
  <c r="U4142" i="7"/>
  <c r="L4142" i="7"/>
  <c r="N4142" i="7" s="1"/>
  <c r="L4156" i="7"/>
  <c r="J4156" i="7"/>
  <c r="L4144" i="7"/>
  <c r="N4144" i="7" s="1"/>
  <c r="U4144" i="7"/>
  <c r="U4145" i="7" s="1"/>
  <c r="AA4087" i="7"/>
  <c r="D4191" i="7"/>
  <c r="D4186" i="7"/>
  <c r="F4185" i="7"/>
  <c r="U4185" i="7" s="1"/>
  <c r="F4181" i="7"/>
  <c r="U4181" i="7" s="1"/>
  <c r="H4190" i="7"/>
  <c r="F4172" i="7"/>
  <c r="F4190" i="7"/>
  <c r="U4190" i="7" s="1"/>
  <c r="D4172" i="7"/>
  <c r="H4189" i="7"/>
  <c r="D4180" i="7"/>
  <c r="D4173" i="7"/>
  <c r="D4166" i="7"/>
  <c r="H4191" i="7"/>
  <c r="F4191" i="7"/>
  <c r="U4191" i="7" s="1"/>
  <c r="H4186" i="7"/>
  <c r="F4189" i="7"/>
  <c r="U4189" i="7" s="1"/>
  <c r="F4186" i="7"/>
  <c r="U4186" i="7" s="1"/>
  <c r="D4189" i="7"/>
  <c r="F4174" i="7"/>
  <c r="D4190" i="7"/>
  <c r="H4187" i="7"/>
  <c r="D4181" i="7"/>
  <c r="D4174" i="7"/>
  <c r="G4166" i="7"/>
  <c r="F4182" i="7"/>
  <c r="D4182" i="7"/>
  <c r="F4173" i="7"/>
  <c r="U4173" i="7" s="1"/>
  <c r="F4187" i="7"/>
  <c r="U4187" i="7" s="1"/>
  <c r="D4187" i="7"/>
  <c r="H4185" i="7"/>
  <c r="D4177" i="7"/>
  <c r="W4177" i="7" s="1"/>
  <c r="F4177" i="7"/>
  <c r="D4185" i="7"/>
  <c r="F4180" i="7"/>
  <c r="AA4085" i="7"/>
  <c r="N4160" i="7" l="1"/>
  <c r="N4161" i="7"/>
  <c r="AA4062" i="7"/>
  <c r="AA4060" i="7"/>
  <c r="N4145" i="7"/>
  <c r="W4185" i="7"/>
  <c r="W4189" i="7" s="1"/>
  <c r="L4189" i="7"/>
  <c r="N4123" i="7"/>
  <c r="P4123" i="7" s="1"/>
  <c r="R4123" i="7" s="1"/>
  <c r="L4191" i="7"/>
  <c r="N4157" i="7"/>
  <c r="AA4157" i="7" s="1"/>
  <c r="L4190" i="7"/>
  <c r="AA4093" i="7"/>
  <c r="AA4090" i="7" s="1"/>
  <c r="M152" i="4"/>
  <c r="AA4117" i="7"/>
  <c r="N4150" i="7"/>
  <c r="W4187" i="7"/>
  <c r="W4191" i="7" s="1"/>
  <c r="W4186" i="7"/>
  <c r="W4190" i="7" s="1"/>
  <c r="P4174" i="7"/>
  <c r="R4174" i="7" s="1"/>
  <c r="P4181" i="7"/>
  <c r="R4181" i="7" s="1"/>
  <c r="L4187" i="7"/>
  <c r="J4187" i="7"/>
  <c r="N4156" i="7"/>
  <c r="AA4156" i="7" s="1"/>
  <c r="Y4160" i="7"/>
  <c r="AA4160" i="7" s="1"/>
  <c r="W4145" i="7"/>
  <c r="Y4161" i="7"/>
  <c r="Y4159" i="7"/>
  <c r="AA4159" i="7" s="1"/>
  <c r="D4227" i="7"/>
  <c r="D4225" i="7"/>
  <c r="D4231" i="7"/>
  <c r="D4230" i="7"/>
  <c r="D4229" i="7"/>
  <c r="D4228" i="7"/>
  <c r="N4155" i="7"/>
  <c r="AA4155" i="7" s="1"/>
  <c r="J4191" i="7"/>
  <c r="J4189" i="7"/>
  <c r="J4190" i="7"/>
  <c r="P4173" i="7"/>
  <c r="R4173" i="7" s="1"/>
  <c r="P4182" i="7"/>
  <c r="R4182" i="7" s="1"/>
  <c r="P4180" i="7"/>
  <c r="R4180" i="7" s="1"/>
  <c r="D4183" i="7"/>
  <c r="W4183" i="7" s="1"/>
  <c r="N4152" i="7"/>
  <c r="L4182" i="7"/>
  <c r="U4182" i="7"/>
  <c r="U4183" i="7" s="1"/>
  <c r="P4172" i="7"/>
  <c r="R4172" i="7" s="1"/>
  <c r="D4175" i="7"/>
  <c r="Y4210" i="7"/>
  <c r="Y4207" i="7"/>
  <c r="Y4216" i="7"/>
  <c r="Y4212" i="7"/>
  <c r="Y4213" i="7" s="1"/>
  <c r="Y4204" i="7"/>
  <c r="Y4205" i="7" s="1"/>
  <c r="Y4211" i="7"/>
  <c r="Y4203" i="7"/>
  <c r="Y4202" i="7"/>
  <c r="Y4215" i="7"/>
  <c r="Y4217" i="7"/>
  <c r="L4172" i="7"/>
  <c r="N4172" i="7" s="1"/>
  <c r="U4172" i="7"/>
  <c r="F4175" i="7"/>
  <c r="U4174" i="7"/>
  <c r="U4175" i="7" s="1"/>
  <c r="L4174" i="7"/>
  <c r="N4174" i="7" s="1"/>
  <c r="L4186" i="7"/>
  <c r="J4186" i="7"/>
  <c r="D4221" i="7"/>
  <c r="H4217" i="7"/>
  <c r="F4212" i="7"/>
  <c r="F4221" i="7"/>
  <c r="U4221" i="7" s="1"/>
  <c r="H4215" i="7"/>
  <c r="D4211" i="7"/>
  <c r="F4202" i="7"/>
  <c r="H4221" i="7"/>
  <c r="H4219" i="7"/>
  <c r="F4215" i="7"/>
  <c r="U4215" i="7" s="1"/>
  <c r="D4202" i="7"/>
  <c r="D4220" i="7"/>
  <c r="D4217" i="7"/>
  <c r="D4212" i="7"/>
  <c r="F4219" i="7"/>
  <c r="U4219" i="7" s="1"/>
  <c r="H4216" i="7"/>
  <c r="F4211" i="7"/>
  <c r="U4211" i="7" s="1"/>
  <c r="F4207" i="7"/>
  <c r="D4219" i="7"/>
  <c r="F4216" i="7"/>
  <c r="U4216" i="7" s="1"/>
  <c r="D4207" i="7"/>
  <c r="W4207" i="7" s="1"/>
  <c r="F4204" i="7"/>
  <c r="D4216" i="7"/>
  <c r="D4204" i="7"/>
  <c r="F4210" i="7"/>
  <c r="F4203" i="7"/>
  <c r="U4203" i="7" s="1"/>
  <c r="D4196" i="7"/>
  <c r="D4215" i="7"/>
  <c r="D4210" i="7"/>
  <c r="D4203" i="7"/>
  <c r="H4220" i="7"/>
  <c r="F4217" i="7"/>
  <c r="U4217" i="7" s="1"/>
  <c r="F4220" i="7"/>
  <c r="U4220" i="7" s="1"/>
  <c r="G4196" i="7"/>
  <c r="J4204" i="7"/>
  <c r="J4207" i="7"/>
  <c r="J4202" i="7"/>
  <c r="J4203" i="7"/>
  <c r="J4180" i="7"/>
  <c r="AA4115" i="7"/>
  <c r="AA4084" i="7"/>
  <c r="AA4082" i="7"/>
  <c r="AA4083" i="7"/>
  <c r="U4177" i="7"/>
  <c r="L4177" i="7"/>
  <c r="N4177" i="7" s="1"/>
  <c r="N4173" i="7"/>
  <c r="J4181" i="7"/>
  <c r="N4181" i="7" s="1"/>
  <c r="P4145" i="7"/>
  <c r="R4145" i="7" s="1"/>
  <c r="P4147" i="7"/>
  <c r="R4147" i="7" s="1"/>
  <c r="B4271" i="7"/>
  <c r="B4264" i="7"/>
  <c r="B4265" i="7"/>
  <c r="B4280" i="7"/>
  <c r="B4276" i="7"/>
  <c r="B4281" i="7"/>
  <c r="B4272" i="7"/>
  <c r="B4277" i="7"/>
  <c r="B4262" i="7"/>
  <c r="B4267" i="7"/>
  <c r="B4263" i="7"/>
  <c r="P145" i="4" s="1"/>
  <c r="B4273" i="7"/>
  <c r="B4270" i="7"/>
  <c r="B4279" i="7"/>
  <c r="B4275" i="7"/>
  <c r="F4183" i="7"/>
  <c r="Q153" i="4" s="1"/>
  <c r="U4180" i="7"/>
  <c r="L4180" i="7"/>
  <c r="L4185" i="7"/>
  <c r="J4185" i="7"/>
  <c r="J4182" i="7"/>
  <c r="A4275" i="7"/>
  <c r="A4262" i="7"/>
  <c r="A4280" i="7"/>
  <c r="A4272" i="7"/>
  <c r="A4281" i="7"/>
  <c r="A4270" i="7"/>
  <c r="A4271" i="7"/>
  <c r="A4276" i="7"/>
  <c r="A4267" i="7"/>
  <c r="A4263" i="7"/>
  <c r="A4265" i="7"/>
  <c r="A4277" i="7"/>
  <c r="A4273" i="7"/>
  <c r="A4279" i="7"/>
  <c r="A4264" i="7"/>
  <c r="C4255" i="7"/>
  <c r="L251" i="4" l="1"/>
  <c r="N251" i="4"/>
  <c r="T236" i="4"/>
  <c r="R251" i="4"/>
  <c r="S251" i="4"/>
  <c r="T251" i="4"/>
  <c r="Q251" i="4"/>
  <c r="O236" i="4"/>
  <c r="M236" i="4"/>
  <c r="M251" i="4"/>
  <c r="P236" i="4"/>
  <c r="P251" i="4"/>
  <c r="Q236" i="4"/>
  <c r="R236" i="4"/>
  <c r="S236" i="4"/>
  <c r="N236" i="4"/>
  <c r="O251" i="4"/>
  <c r="L236" i="4"/>
  <c r="L221" i="4"/>
  <c r="S219" i="4"/>
  <c r="M218" i="4"/>
  <c r="N218" i="4"/>
  <c r="Q218" i="4"/>
  <c r="S218" i="4"/>
  <c r="N220" i="4"/>
  <c r="P218" i="4"/>
  <c r="T219" i="4"/>
  <c r="R220" i="4"/>
  <c r="L220" i="4"/>
  <c r="P219" i="4"/>
  <c r="M220" i="4"/>
  <c r="T218" i="4"/>
  <c r="N219" i="4"/>
  <c r="Q219" i="4"/>
  <c r="O220" i="4"/>
  <c r="O219" i="4"/>
  <c r="N221" i="4"/>
  <c r="P220" i="4"/>
  <c r="T220" i="4"/>
  <c r="P221" i="4"/>
  <c r="R218" i="4"/>
  <c r="T221" i="4"/>
  <c r="S220" i="4"/>
  <c r="O218" i="4"/>
  <c r="Q221" i="4"/>
  <c r="R219" i="4"/>
  <c r="M221" i="4"/>
  <c r="O221" i="4"/>
  <c r="R221" i="4"/>
  <c r="L218" i="4"/>
  <c r="L219" i="4"/>
  <c r="Q220" i="4"/>
  <c r="M219" i="4"/>
  <c r="S221" i="4"/>
  <c r="AA4161" i="7"/>
  <c r="N4175" i="7"/>
  <c r="AA4092" i="7"/>
  <c r="L147" i="4"/>
  <c r="R153" i="4"/>
  <c r="S150" i="4"/>
  <c r="L151" i="4"/>
  <c r="Q149" i="4"/>
  <c r="R146" i="4"/>
  <c r="L149" i="4"/>
  <c r="M148" i="4"/>
  <c r="N151" i="4"/>
  <c r="AA4123" i="7"/>
  <c r="AA4120" i="7" s="1"/>
  <c r="N4191" i="7"/>
  <c r="AA4091" i="7"/>
  <c r="N4189" i="7"/>
  <c r="N4190" i="7"/>
  <c r="O153" i="4"/>
  <c r="M149" i="4"/>
  <c r="R151" i="4"/>
  <c r="N148" i="4"/>
  <c r="S146" i="4"/>
  <c r="S152" i="4"/>
  <c r="L148" i="4"/>
  <c r="M147" i="4"/>
  <c r="R152" i="4"/>
  <c r="P148" i="4"/>
  <c r="O147" i="4"/>
  <c r="P147" i="4"/>
  <c r="T149" i="4"/>
  <c r="O151" i="4"/>
  <c r="T151" i="4"/>
  <c r="R147" i="4"/>
  <c r="P149" i="4"/>
  <c r="R145" i="4"/>
  <c r="R149" i="4"/>
  <c r="O150" i="4"/>
  <c r="N149" i="4"/>
  <c r="O152" i="4"/>
  <c r="Q151" i="4"/>
  <c r="T152" i="4"/>
  <c r="Q152" i="4"/>
  <c r="M127" i="4"/>
  <c r="N128" i="4"/>
  <c r="M117" i="4"/>
  <c r="P106" i="4"/>
  <c r="O108" i="4"/>
  <c r="S108" i="4"/>
  <c r="P113" i="4"/>
  <c r="P116" i="4"/>
  <c r="M105" i="4"/>
  <c r="Q111" i="4"/>
  <c r="R127" i="4"/>
  <c r="O107" i="4"/>
  <c r="T106" i="4"/>
  <c r="S121" i="4"/>
  <c r="M115" i="4"/>
  <c r="R128" i="4"/>
  <c r="O103" i="4"/>
  <c r="Q102" i="4"/>
  <c r="O104" i="4"/>
  <c r="P120" i="4"/>
  <c r="T125" i="4"/>
  <c r="N113" i="4"/>
  <c r="L105" i="4"/>
  <c r="N115" i="4"/>
  <c r="P111" i="4"/>
  <c r="O126" i="4"/>
  <c r="L130" i="4"/>
  <c r="Q131" i="4"/>
  <c r="P132" i="4"/>
  <c r="L135" i="4"/>
  <c r="O130" i="4"/>
  <c r="O132" i="4"/>
  <c r="Q137" i="4"/>
  <c r="T138" i="4"/>
  <c r="S136" i="4"/>
  <c r="L137" i="4"/>
  <c r="N138" i="4"/>
  <c r="T139" i="4"/>
  <c r="M140" i="4"/>
  <c r="R143" i="4"/>
  <c r="L143" i="4"/>
  <c r="M145" i="4"/>
  <c r="O144" i="4"/>
  <c r="N144" i="4"/>
  <c r="N147" i="4"/>
  <c r="M150" i="4"/>
  <c r="L152" i="4"/>
  <c r="S151" i="4"/>
  <c r="R150" i="4"/>
  <c r="N146" i="4"/>
  <c r="O145" i="4"/>
  <c r="R148" i="4"/>
  <c r="T148" i="4"/>
  <c r="L150" i="4"/>
  <c r="Q147" i="4"/>
  <c r="T150" i="4"/>
  <c r="P144" i="4"/>
  <c r="M151" i="4"/>
  <c r="O146" i="4"/>
  <c r="O149" i="4"/>
  <c r="O148" i="4"/>
  <c r="Q150" i="4"/>
  <c r="N150" i="4"/>
  <c r="S148" i="4"/>
  <c r="S147" i="4"/>
  <c r="T147" i="4"/>
  <c r="S124" i="4"/>
  <c r="R125" i="4"/>
  <c r="N121" i="4"/>
  <c r="R124" i="4"/>
  <c r="M124" i="4"/>
  <c r="N124" i="4"/>
  <c r="T124" i="4"/>
  <c r="N123" i="4"/>
  <c r="S125" i="4"/>
  <c r="O123" i="4"/>
  <c r="M125" i="4"/>
  <c r="O120" i="4"/>
  <c r="P125" i="4"/>
  <c r="L127" i="4"/>
  <c r="Q125" i="4"/>
  <c r="P122" i="4"/>
  <c r="L125" i="4"/>
  <c r="N125" i="4"/>
  <c r="O127" i="4"/>
  <c r="P121" i="4"/>
  <c r="N126" i="4"/>
  <c r="M126" i="4"/>
  <c r="P126" i="4"/>
  <c r="Q126" i="4"/>
  <c r="S126" i="4"/>
  <c r="T126" i="4"/>
  <c r="S195" i="4"/>
  <c r="R173" i="4"/>
  <c r="R98" i="4"/>
  <c r="N127" i="4"/>
  <c r="L175" i="4"/>
  <c r="Q127" i="4"/>
  <c r="T129" i="4"/>
  <c r="P124" i="4"/>
  <c r="R129" i="4"/>
  <c r="T127" i="4"/>
  <c r="T128" i="4"/>
  <c r="R177" i="4"/>
  <c r="M122" i="4"/>
  <c r="N118" i="4"/>
  <c r="R126" i="4"/>
  <c r="L126" i="4"/>
  <c r="S127" i="4"/>
  <c r="R210" i="4"/>
  <c r="O183" i="4"/>
  <c r="R184" i="4"/>
  <c r="N214" i="4"/>
  <c r="L85" i="4"/>
  <c r="S201" i="4"/>
  <c r="P95" i="4"/>
  <c r="N207" i="4"/>
  <c r="P178" i="4"/>
  <c r="O196" i="4"/>
  <c r="S123" i="4"/>
  <c r="Q185" i="4"/>
  <c r="O94" i="4"/>
  <c r="O167" i="4"/>
  <c r="M216" i="4"/>
  <c r="P102" i="4"/>
  <c r="S99" i="4"/>
  <c r="N199" i="4"/>
  <c r="S77" i="4"/>
  <c r="M190" i="4"/>
  <c r="O106" i="4"/>
  <c r="O76" i="4"/>
  <c r="Q182" i="4"/>
  <c r="R163" i="4"/>
  <c r="P185" i="4"/>
  <c r="M161" i="4"/>
  <c r="M83" i="4"/>
  <c r="M215" i="4"/>
  <c r="P167" i="4"/>
  <c r="T111" i="4"/>
  <c r="R109" i="4"/>
  <c r="N83" i="4"/>
  <c r="O215" i="4"/>
  <c r="O125" i="4"/>
  <c r="T165" i="4"/>
  <c r="S81" i="4"/>
  <c r="T183" i="4"/>
  <c r="Q124" i="4"/>
  <c r="O163" i="4"/>
  <c r="L193" i="4"/>
  <c r="S197" i="4"/>
  <c r="O84" i="4"/>
  <c r="N76" i="4"/>
  <c r="P79" i="4"/>
  <c r="M173" i="4"/>
  <c r="R112" i="4"/>
  <c r="M193" i="4"/>
  <c r="N87" i="4"/>
  <c r="T203" i="4"/>
  <c r="R171" i="4"/>
  <c r="Q189" i="4"/>
  <c r="O85" i="4"/>
  <c r="N93" i="4"/>
  <c r="N158" i="4"/>
  <c r="M180" i="4"/>
  <c r="O217" i="4"/>
  <c r="R159" i="4"/>
  <c r="L202" i="4"/>
  <c r="P180" i="4"/>
  <c r="S109" i="4"/>
  <c r="P127" i="4"/>
  <c r="Q85" i="4"/>
  <c r="N182" i="4"/>
  <c r="L213" i="4"/>
  <c r="M186" i="4"/>
  <c r="N189" i="4"/>
  <c r="R202" i="4"/>
  <c r="O89" i="4"/>
  <c r="M123" i="4"/>
  <c r="L216" i="4"/>
  <c r="M196" i="4"/>
  <c r="M207" i="4"/>
  <c r="O203" i="4"/>
  <c r="L169" i="4"/>
  <c r="T117" i="4"/>
  <c r="P159" i="4"/>
  <c r="S78" i="4"/>
  <c r="R123" i="4"/>
  <c r="T89" i="4"/>
  <c r="P189" i="4"/>
  <c r="Q193" i="4"/>
  <c r="O81" i="4"/>
  <c r="O114" i="4"/>
  <c r="R186" i="4"/>
  <c r="L160" i="4"/>
  <c r="S103" i="4"/>
  <c r="Q120" i="4"/>
  <c r="M177" i="4"/>
  <c r="S194" i="4"/>
  <c r="P172" i="4"/>
  <c r="P96" i="4"/>
  <c r="Q79" i="4"/>
  <c r="N167" i="4"/>
  <c r="O210" i="4"/>
  <c r="P91" i="4"/>
  <c r="M82" i="4"/>
  <c r="L102" i="4"/>
  <c r="S196" i="4"/>
  <c r="R212" i="4"/>
  <c r="P99" i="4"/>
  <c r="N107" i="4"/>
  <c r="S189" i="4"/>
  <c r="R168" i="4"/>
  <c r="P161" i="4"/>
  <c r="N175" i="4"/>
  <c r="S183" i="4"/>
  <c r="O198" i="4"/>
  <c r="N186" i="4"/>
  <c r="S85" i="4"/>
  <c r="L204" i="4"/>
  <c r="Q207" i="4"/>
  <c r="T99" i="4"/>
  <c r="T190" i="4"/>
  <c r="R113" i="4"/>
  <c r="T163" i="4"/>
  <c r="Q176" i="4"/>
  <c r="P162" i="4"/>
  <c r="T202" i="4"/>
  <c r="L185" i="4"/>
  <c r="T173" i="4"/>
  <c r="R91" i="4"/>
  <c r="S79" i="4"/>
  <c r="Q217" i="4"/>
  <c r="Q202" i="4"/>
  <c r="T168" i="4"/>
  <c r="T110" i="4"/>
  <c r="R191" i="4"/>
  <c r="S208" i="4"/>
  <c r="R213" i="4"/>
  <c r="S213" i="4"/>
  <c r="R179" i="4"/>
  <c r="P193" i="4"/>
  <c r="O206" i="4"/>
  <c r="R204" i="4"/>
  <c r="N166" i="4"/>
  <c r="O194" i="4"/>
  <c r="P174" i="4"/>
  <c r="L208" i="4"/>
  <c r="R95" i="4"/>
  <c r="Q103" i="4"/>
  <c r="L120" i="4"/>
  <c r="P198" i="4"/>
  <c r="M200" i="4"/>
  <c r="L200" i="4"/>
  <c r="M213" i="4"/>
  <c r="P82" i="4"/>
  <c r="L108" i="4"/>
  <c r="O118" i="4"/>
  <c r="L86" i="4"/>
  <c r="L159" i="4"/>
  <c r="N100" i="4"/>
  <c r="L94" i="4"/>
  <c r="M184" i="4"/>
  <c r="P108" i="4"/>
  <c r="T198" i="4"/>
  <c r="L89" i="4"/>
  <c r="N129" i="4"/>
  <c r="R162" i="4"/>
  <c r="R84" i="4"/>
  <c r="M171" i="4"/>
  <c r="Q201" i="4"/>
  <c r="R196" i="4"/>
  <c r="S211" i="4"/>
  <c r="Q206" i="4"/>
  <c r="R116" i="4"/>
  <c r="N122" i="4"/>
  <c r="L190" i="4"/>
  <c r="R78" i="4"/>
  <c r="N112" i="4"/>
  <c r="P164" i="4"/>
  <c r="O202" i="4"/>
  <c r="T97" i="4"/>
  <c r="Q99" i="4"/>
  <c r="L171" i="4"/>
  <c r="S119" i="4"/>
  <c r="S97" i="4"/>
  <c r="L162" i="4"/>
  <c r="L164" i="4"/>
  <c r="N161" i="4"/>
  <c r="L122" i="4"/>
  <c r="O117" i="4"/>
  <c r="M162" i="4"/>
  <c r="R182" i="4"/>
  <c r="R77" i="4"/>
  <c r="N170" i="4"/>
  <c r="O87" i="4"/>
  <c r="L83" i="4"/>
  <c r="M79" i="4"/>
  <c r="O110" i="4"/>
  <c r="Q114" i="4"/>
  <c r="S102" i="4"/>
  <c r="M182" i="4"/>
  <c r="M103" i="4"/>
  <c r="N114" i="4"/>
  <c r="L209" i="4"/>
  <c r="Q173" i="4"/>
  <c r="P93" i="4"/>
  <c r="P77" i="4"/>
  <c r="P166" i="4"/>
  <c r="R79" i="4"/>
  <c r="M114" i="4"/>
  <c r="S203" i="4"/>
  <c r="L165" i="4"/>
  <c r="M166" i="4"/>
  <c r="Q80" i="4"/>
  <c r="O82" i="4"/>
  <c r="Q211" i="4"/>
  <c r="N78" i="4"/>
  <c r="O199" i="4"/>
  <c r="P210" i="4"/>
  <c r="Q98" i="4"/>
  <c r="L97" i="4"/>
  <c r="S80" i="4"/>
  <c r="Q108" i="4"/>
  <c r="O111" i="4"/>
  <c r="O214" i="4"/>
  <c r="Q190" i="4"/>
  <c r="P165" i="4"/>
  <c r="S84" i="4"/>
  <c r="Q167" i="4"/>
  <c r="O96" i="4"/>
  <c r="R107" i="4"/>
  <c r="N85" i="4"/>
  <c r="Q87" i="4"/>
  <c r="M121" i="4"/>
  <c r="T105" i="4"/>
  <c r="N204" i="4"/>
  <c r="S191" i="4"/>
  <c r="Q195" i="4"/>
  <c r="T119" i="4"/>
  <c r="Q77" i="4"/>
  <c r="M187" i="4"/>
  <c r="P188" i="4"/>
  <c r="O188" i="4"/>
  <c r="O162" i="4"/>
  <c r="T85" i="4"/>
  <c r="O115" i="4"/>
  <c r="L173" i="4"/>
  <c r="P160" i="4"/>
  <c r="O173" i="4"/>
  <c r="Q196" i="4"/>
  <c r="R121" i="4"/>
  <c r="N200" i="4"/>
  <c r="N164" i="4"/>
  <c r="S165" i="4"/>
  <c r="S193" i="4"/>
  <c r="P217" i="4"/>
  <c r="L161" i="4"/>
  <c r="N178" i="4"/>
  <c r="N179" i="4"/>
  <c r="Q160" i="4"/>
  <c r="S129" i="4"/>
  <c r="T171" i="4"/>
  <c r="P103" i="4"/>
  <c r="T77" i="4"/>
  <c r="T191" i="4"/>
  <c r="L182" i="4"/>
  <c r="R192" i="4"/>
  <c r="R211" i="4"/>
  <c r="Q116" i="4"/>
  <c r="T112" i="4"/>
  <c r="P195" i="4"/>
  <c r="S113" i="4"/>
  <c r="R111" i="4"/>
  <c r="S173" i="4"/>
  <c r="T104" i="4"/>
  <c r="R90" i="4"/>
  <c r="N195" i="4"/>
  <c r="Q119" i="4"/>
  <c r="L184" i="4"/>
  <c r="R180" i="4"/>
  <c r="P179" i="4"/>
  <c r="S104" i="4"/>
  <c r="Q199" i="4"/>
  <c r="N103" i="4"/>
  <c r="S172" i="4"/>
  <c r="L163" i="4"/>
  <c r="S170" i="4"/>
  <c r="S167" i="4"/>
  <c r="L198" i="4"/>
  <c r="S96" i="4"/>
  <c r="T170" i="4"/>
  <c r="P203" i="4"/>
  <c r="M98" i="4"/>
  <c r="Q172" i="4"/>
  <c r="M93" i="4"/>
  <c r="L217" i="4"/>
  <c r="T79" i="4"/>
  <c r="Q158" i="4"/>
  <c r="M94" i="4"/>
  <c r="R166" i="4"/>
  <c r="M160" i="4"/>
  <c r="Q76" i="4"/>
  <c r="O102" i="4"/>
  <c r="O178" i="4"/>
  <c r="N174" i="4"/>
  <c r="S175" i="4"/>
  <c r="M181" i="4"/>
  <c r="T161" i="4"/>
  <c r="R198" i="4"/>
  <c r="T107" i="4"/>
  <c r="S93" i="4"/>
  <c r="T214" i="4"/>
  <c r="R189" i="4"/>
  <c r="P75" i="4"/>
  <c r="R103" i="4"/>
  <c r="P186" i="4"/>
  <c r="Q168" i="4"/>
  <c r="O158" i="4"/>
  <c r="R117" i="4"/>
  <c r="T82" i="4"/>
  <c r="L177" i="4"/>
  <c r="P197" i="4"/>
  <c r="S204" i="4"/>
  <c r="M179" i="4"/>
  <c r="Q210" i="4"/>
  <c r="N192" i="4"/>
  <c r="M77" i="4"/>
  <c r="M189" i="4"/>
  <c r="S176" i="4"/>
  <c r="L170" i="4"/>
  <c r="N98" i="4"/>
  <c r="S190" i="4"/>
  <c r="R106" i="4"/>
  <c r="R158" i="4"/>
  <c r="R85" i="4"/>
  <c r="L109" i="4"/>
  <c r="M80" i="4"/>
  <c r="L179" i="4"/>
  <c r="N215" i="4"/>
  <c r="L181" i="4"/>
  <c r="Q186" i="4"/>
  <c r="L168" i="4"/>
  <c r="S182" i="4"/>
  <c r="O86" i="4"/>
  <c r="L114" i="4"/>
  <c r="N80" i="4"/>
  <c r="L112" i="4"/>
  <c r="Q163" i="4"/>
  <c r="P216" i="4"/>
  <c r="O193" i="4"/>
  <c r="N191" i="4"/>
  <c r="T115" i="4"/>
  <c r="N104" i="4"/>
  <c r="M165" i="4"/>
  <c r="P97" i="4"/>
  <c r="T172" i="4"/>
  <c r="S177" i="4"/>
  <c r="O171" i="4"/>
  <c r="Q197" i="4"/>
  <c r="Q174" i="4"/>
  <c r="M192" i="4"/>
  <c r="P81" i="4"/>
  <c r="Q165" i="4"/>
  <c r="L104" i="4"/>
  <c r="L207" i="4"/>
  <c r="L212" i="4"/>
  <c r="L186" i="4"/>
  <c r="O166" i="4"/>
  <c r="N94" i="4"/>
  <c r="T120" i="4"/>
  <c r="M76" i="4"/>
  <c r="Q215" i="4"/>
  <c r="L166" i="4"/>
  <c r="L189" i="4"/>
  <c r="L203" i="4"/>
  <c r="S106" i="4"/>
  <c r="T174" i="4"/>
  <c r="N201" i="4"/>
  <c r="Q205" i="4"/>
  <c r="M185" i="4"/>
  <c r="S91" i="4"/>
  <c r="S161" i="4"/>
  <c r="S95" i="4"/>
  <c r="P118" i="4"/>
  <c r="L96" i="4"/>
  <c r="R115" i="4"/>
  <c r="T186" i="4"/>
  <c r="S110" i="4"/>
  <c r="Q86" i="4"/>
  <c r="N196" i="4"/>
  <c r="M212" i="4"/>
  <c r="N206" i="4"/>
  <c r="Q170" i="4"/>
  <c r="T86" i="4"/>
  <c r="T200" i="4"/>
  <c r="R104" i="4"/>
  <c r="N110" i="4"/>
  <c r="L205" i="4"/>
  <c r="Q93" i="4"/>
  <c r="R165" i="4"/>
  <c r="R88" i="4"/>
  <c r="T74" i="4"/>
  <c r="P192" i="4"/>
  <c r="R208" i="4"/>
  <c r="T212" i="4"/>
  <c r="P170" i="4"/>
  <c r="T209" i="4"/>
  <c r="N217" i="4"/>
  <c r="T205" i="4"/>
  <c r="L121" i="4"/>
  <c r="Q109" i="4"/>
  <c r="M203" i="4"/>
  <c r="M99" i="4"/>
  <c r="P201" i="4"/>
  <c r="P176" i="4"/>
  <c r="L210" i="4"/>
  <c r="T178" i="4"/>
  <c r="L79" i="4"/>
  <c r="P80" i="4"/>
  <c r="M159" i="4"/>
  <c r="P208" i="4"/>
  <c r="O184" i="4"/>
  <c r="P181" i="4"/>
  <c r="L172" i="4"/>
  <c r="S116" i="4"/>
  <c r="Q214" i="4"/>
  <c r="R92" i="4"/>
  <c r="T185" i="4"/>
  <c r="T92" i="4"/>
  <c r="Q118" i="4"/>
  <c r="N86" i="4"/>
  <c r="T100" i="4"/>
  <c r="O200" i="4"/>
  <c r="M112" i="4"/>
  <c r="N108" i="4"/>
  <c r="N185" i="4"/>
  <c r="N190" i="4"/>
  <c r="N88" i="4"/>
  <c r="S200" i="4"/>
  <c r="P110" i="4"/>
  <c r="T75" i="4"/>
  <c r="N193" i="4"/>
  <c r="R178" i="4"/>
  <c r="S214" i="4"/>
  <c r="P78" i="4"/>
  <c r="S118" i="4"/>
  <c r="T204" i="4"/>
  <c r="N159" i="4"/>
  <c r="R96" i="4"/>
  <c r="R190" i="4"/>
  <c r="T116" i="4"/>
  <c r="O97" i="4"/>
  <c r="N198" i="4"/>
  <c r="O79" i="4"/>
  <c r="Q100" i="4"/>
  <c r="R89" i="4"/>
  <c r="R209" i="4"/>
  <c r="P184" i="4"/>
  <c r="N180" i="4"/>
  <c r="S160" i="4"/>
  <c r="O205" i="4"/>
  <c r="S111" i="4"/>
  <c r="M119" i="4"/>
  <c r="M113" i="4"/>
  <c r="Q162" i="4"/>
  <c r="N183" i="4"/>
  <c r="L82" i="4"/>
  <c r="T162" i="4"/>
  <c r="L201" i="4"/>
  <c r="T195" i="4"/>
  <c r="R207" i="4"/>
  <c r="R93" i="4"/>
  <c r="M89" i="4"/>
  <c r="M87" i="4"/>
  <c r="N211" i="4"/>
  <c r="M206" i="4"/>
  <c r="Q129" i="4"/>
  <c r="O213" i="4"/>
  <c r="O124" i="4"/>
  <c r="S158" i="4"/>
  <c r="Q213" i="4"/>
  <c r="P209" i="4"/>
  <c r="Q216" i="4"/>
  <c r="Q194" i="4"/>
  <c r="M97" i="4"/>
  <c r="O182" i="4"/>
  <c r="T103" i="4"/>
  <c r="T206" i="4"/>
  <c r="L93" i="4"/>
  <c r="T91" i="4"/>
  <c r="R87" i="4"/>
  <c r="Q191" i="4"/>
  <c r="S82" i="4"/>
  <c r="N117" i="4"/>
  <c r="S188" i="4"/>
  <c r="M111" i="4"/>
  <c r="N95" i="4"/>
  <c r="T189" i="4"/>
  <c r="R99" i="4"/>
  <c r="R82" i="4"/>
  <c r="O177" i="4"/>
  <c r="R200" i="4"/>
  <c r="L192" i="4"/>
  <c r="N97" i="4"/>
  <c r="S163" i="4"/>
  <c r="L80" i="4"/>
  <c r="Q198" i="4"/>
  <c r="Q181" i="4"/>
  <c r="M175" i="4"/>
  <c r="M164" i="4"/>
  <c r="N208" i="4"/>
  <c r="R187" i="4"/>
  <c r="P119" i="4"/>
  <c r="O165" i="4"/>
  <c r="P87" i="4"/>
  <c r="N106" i="4"/>
  <c r="Q81" i="4"/>
  <c r="T95" i="4"/>
  <c r="T167" i="4"/>
  <c r="S94" i="4"/>
  <c r="S120" i="4"/>
  <c r="L195" i="4"/>
  <c r="M208" i="4"/>
  <c r="P202" i="4"/>
  <c r="T87" i="4"/>
  <c r="S217" i="4"/>
  <c r="Q130" i="4"/>
  <c r="T188" i="4"/>
  <c r="N165" i="4"/>
  <c r="M197" i="4"/>
  <c r="O113" i="4"/>
  <c r="N82" i="4"/>
  <c r="Q187" i="4"/>
  <c r="L117" i="4"/>
  <c r="S212" i="4"/>
  <c r="S114" i="4"/>
  <c r="O204" i="4"/>
  <c r="N119" i="4"/>
  <c r="O172" i="4"/>
  <c r="N160" i="4"/>
  <c r="R97" i="4"/>
  <c r="O191" i="4"/>
  <c r="T211" i="4"/>
  <c r="N109" i="4"/>
  <c r="M74" i="4"/>
  <c r="P212" i="4"/>
  <c r="L110" i="4"/>
  <c r="O121" i="4"/>
  <c r="R81" i="4"/>
  <c r="S100" i="4"/>
  <c r="P190" i="4"/>
  <c r="P92" i="4"/>
  <c r="Q104" i="4"/>
  <c r="R86" i="4"/>
  <c r="R122" i="4"/>
  <c r="M84" i="4"/>
  <c r="T197" i="4"/>
  <c r="P206" i="4"/>
  <c r="P112" i="4"/>
  <c r="P86" i="4"/>
  <c r="L124" i="4"/>
  <c r="O112" i="4"/>
  <c r="T169" i="4"/>
  <c r="S159" i="4"/>
  <c r="O161" i="4"/>
  <c r="L116" i="4"/>
  <c r="T78" i="4"/>
  <c r="T94" i="4"/>
  <c r="M75" i="4"/>
  <c r="O186" i="4"/>
  <c r="M217" i="4"/>
  <c r="Q178" i="4"/>
  <c r="R214" i="4"/>
  <c r="O212" i="4"/>
  <c r="T158" i="4"/>
  <c r="P183" i="4"/>
  <c r="M95" i="4"/>
  <c r="N111" i="4"/>
  <c r="P128" i="4"/>
  <c r="O92" i="4"/>
  <c r="M211" i="4"/>
  <c r="Q84" i="4"/>
  <c r="L111" i="4"/>
  <c r="P90" i="4"/>
  <c r="Q209" i="4"/>
  <c r="L77" i="4"/>
  <c r="P211" i="4"/>
  <c r="O90" i="4"/>
  <c r="N74" i="4"/>
  <c r="N213" i="4"/>
  <c r="R167" i="4"/>
  <c r="N99" i="4"/>
  <c r="S164" i="4"/>
  <c r="R102" i="4"/>
  <c r="Q106" i="4"/>
  <c r="T159" i="4"/>
  <c r="P115" i="4"/>
  <c r="M202" i="4"/>
  <c r="O93" i="4"/>
  <c r="L103" i="4"/>
  <c r="N216" i="4"/>
  <c r="T102" i="4"/>
  <c r="R195" i="4"/>
  <c r="N187" i="4"/>
  <c r="T114" i="4"/>
  <c r="Q96" i="4"/>
  <c r="O180" i="4"/>
  <c r="M102" i="4"/>
  <c r="N177" i="4"/>
  <c r="R75" i="4"/>
  <c r="T96" i="4"/>
  <c r="O74" i="4"/>
  <c r="Q203" i="4"/>
  <c r="L119" i="4"/>
  <c r="S75" i="4"/>
  <c r="M210" i="4"/>
  <c r="S209" i="4"/>
  <c r="M209" i="4"/>
  <c r="S112" i="4"/>
  <c r="N162" i="4"/>
  <c r="R216" i="4"/>
  <c r="L75" i="4"/>
  <c r="Q166" i="4"/>
  <c r="S207" i="4"/>
  <c r="S192" i="4"/>
  <c r="L98" i="4"/>
  <c r="S74" i="4"/>
  <c r="O109" i="4"/>
  <c r="Q200" i="4"/>
  <c r="O208" i="4"/>
  <c r="P88" i="4"/>
  <c r="L178" i="4"/>
  <c r="S169" i="4"/>
  <c r="L95" i="4"/>
  <c r="T181" i="4"/>
  <c r="M204" i="4"/>
  <c r="O207" i="4"/>
  <c r="S185" i="4"/>
  <c r="O179" i="4"/>
  <c r="M92" i="4"/>
  <c r="S98" i="4"/>
  <c r="M158" i="4"/>
  <c r="P117" i="4"/>
  <c r="N89" i="4"/>
  <c r="Q78" i="4"/>
  <c r="L128" i="4"/>
  <c r="P191" i="4"/>
  <c r="P100" i="4"/>
  <c r="R94" i="4"/>
  <c r="P76" i="4"/>
  <c r="Q188" i="4"/>
  <c r="T76" i="4"/>
  <c r="M163" i="4"/>
  <c r="T194" i="4"/>
  <c r="R80" i="4"/>
  <c r="Q94" i="4"/>
  <c r="R181" i="4"/>
  <c r="T207" i="4"/>
  <c r="Q184" i="4"/>
  <c r="Q117" i="4"/>
  <c r="R193" i="4"/>
  <c r="N210" i="4"/>
  <c r="S210" i="4"/>
  <c r="L214" i="4"/>
  <c r="Q82" i="4"/>
  <c r="L187" i="4"/>
  <c r="T118" i="4"/>
  <c r="S178" i="4"/>
  <c r="L106" i="4"/>
  <c r="M107" i="4"/>
  <c r="L199" i="4"/>
  <c r="N92" i="4"/>
  <c r="M188" i="4"/>
  <c r="S184" i="4"/>
  <c r="Q175" i="4"/>
  <c r="M176" i="4"/>
  <c r="Q183" i="4"/>
  <c r="R188" i="4"/>
  <c r="M174" i="4"/>
  <c r="R197" i="4"/>
  <c r="T216" i="4"/>
  <c r="P98" i="4"/>
  <c r="T121" i="4"/>
  <c r="N90" i="4"/>
  <c r="M191" i="4"/>
  <c r="T166" i="4"/>
  <c r="N176" i="4"/>
  <c r="O187" i="4"/>
  <c r="R206" i="4"/>
  <c r="Q121" i="4"/>
  <c r="L191" i="4"/>
  <c r="Q192" i="4"/>
  <c r="S180" i="4"/>
  <c r="R172" i="4"/>
  <c r="O77" i="4"/>
  <c r="Q112" i="4"/>
  <c r="O209" i="4"/>
  <c r="Q128" i="4"/>
  <c r="O168" i="4"/>
  <c r="T83" i="4"/>
  <c r="M172" i="4"/>
  <c r="R174" i="4"/>
  <c r="L74" i="4"/>
  <c r="L91" i="4"/>
  <c r="Q164" i="4"/>
  <c r="Q177" i="4"/>
  <c r="Q159" i="4"/>
  <c r="Q212" i="4"/>
  <c r="M91" i="4"/>
  <c r="O98" i="4"/>
  <c r="O211" i="4"/>
  <c r="P204" i="4"/>
  <c r="M214" i="4"/>
  <c r="R205" i="4"/>
  <c r="T98" i="4"/>
  <c r="L87" i="4"/>
  <c r="N184" i="4"/>
  <c r="L176" i="4"/>
  <c r="L88" i="4"/>
  <c r="P105" i="4"/>
  <c r="T215" i="4"/>
  <c r="R164" i="4"/>
  <c r="P175" i="4"/>
  <c r="T164" i="4"/>
  <c r="Q123" i="4"/>
  <c r="O189" i="4"/>
  <c r="O88" i="4"/>
  <c r="S179" i="4"/>
  <c r="R76" i="4"/>
  <c r="S83" i="4"/>
  <c r="M88" i="4"/>
  <c r="T213" i="4"/>
  <c r="R201" i="4"/>
  <c r="M96" i="4"/>
  <c r="T122" i="4"/>
  <c r="M194" i="4"/>
  <c r="T193" i="4"/>
  <c r="Q97" i="4"/>
  <c r="P207" i="4"/>
  <c r="T109" i="4"/>
  <c r="N163" i="4"/>
  <c r="M118" i="4"/>
  <c r="M104" i="4"/>
  <c r="Q74" i="4"/>
  <c r="R170" i="4"/>
  <c r="M106" i="4"/>
  <c r="T88" i="4"/>
  <c r="Q169" i="4"/>
  <c r="T184" i="4"/>
  <c r="S199" i="4"/>
  <c r="N79" i="4"/>
  <c r="R185" i="4"/>
  <c r="S181" i="4"/>
  <c r="L194" i="4"/>
  <c r="S107" i="4"/>
  <c r="Q75" i="4"/>
  <c r="R176" i="4"/>
  <c r="N116" i="4"/>
  <c r="S174" i="4"/>
  <c r="S92" i="4"/>
  <c r="L84" i="4"/>
  <c r="L107" i="4"/>
  <c r="Q110" i="4"/>
  <c r="P194" i="4"/>
  <c r="R194" i="4"/>
  <c r="P177" i="4"/>
  <c r="N203" i="4"/>
  <c r="O75" i="4"/>
  <c r="P182" i="4"/>
  <c r="R108" i="4"/>
  <c r="N173" i="4"/>
  <c r="L211" i="4"/>
  <c r="R175" i="4"/>
  <c r="S166" i="4"/>
  <c r="N172" i="4"/>
  <c r="O197" i="4"/>
  <c r="N205" i="4"/>
  <c r="O185" i="4"/>
  <c r="R119" i="4"/>
  <c r="P104" i="4"/>
  <c r="Q161" i="4"/>
  <c r="L76" i="4"/>
  <c r="T180" i="4"/>
  <c r="M205" i="4"/>
  <c r="M201" i="4"/>
  <c r="R105" i="4"/>
  <c r="R215" i="4"/>
  <c r="N197" i="4"/>
  <c r="T80" i="4"/>
  <c r="Q113" i="4"/>
  <c r="O160" i="4"/>
  <c r="L92" i="4"/>
  <c r="O192" i="4"/>
  <c r="R100" i="4"/>
  <c r="P83" i="4"/>
  <c r="Q171" i="4"/>
  <c r="M85" i="4"/>
  <c r="M183" i="4"/>
  <c r="M78" i="4"/>
  <c r="L90" i="4"/>
  <c r="O78" i="4"/>
  <c r="M108" i="4"/>
  <c r="L167" i="4"/>
  <c r="N169" i="4"/>
  <c r="N91" i="4"/>
  <c r="O128" i="4"/>
  <c r="M199" i="4"/>
  <c r="S88" i="4"/>
  <c r="M86" i="4"/>
  <c r="S105" i="4"/>
  <c r="L174" i="4"/>
  <c r="O216" i="4"/>
  <c r="O175" i="4"/>
  <c r="N105" i="4"/>
  <c r="O170" i="4"/>
  <c r="S215" i="4"/>
  <c r="N77" i="4"/>
  <c r="T179" i="4"/>
  <c r="N120" i="4"/>
  <c r="Q91" i="4"/>
  <c r="O174" i="4"/>
  <c r="P89" i="4"/>
  <c r="P123" i="4"/>
  <c r="P109" i="4"/>
  <c r="O122" i="4"/>
  <c r="T176" i="4"/>
  <c r="O95" i="4"/>
  <c r="P84" i="4"/>
  <c r="M120" i="4"/>
  <c r="L196" i="4"/>
  <c r="R114" i="4"/>
  <c r="R183" i="4"/>
  <c r="Q179" i="4"/>
  <c r="N75" i="4"/>
  <c r="S168" i="4"/>
  <c r="Q83" i="4"/>
  <c r="N81" i="4"/>
  <c r="N212" i="4"/>
  <c r="N181" i="4"/>
  <c r="T196" i="4"/>
  <c r="O99" i="4"/>
  <c r="S122" i="4"/>
  <c r="O80" i="4"/>
  <c r="M178" i="4"/>
  <c r="P200" i="4"/>
  <c r="P213" i="4"/>
  <c r="P169" i="4"/>
  <c r="N96" i="4"/>
  <c r="Q95" i="4"/>
  <c r="T217" i="4"/>
  <c r="Q89" i="4"/>
  <c r="P163" i="4"/>
  <c r="N209" i="4"/>
  <c r="L158" i="4"/>
  <c r="T113" i="4"/>
  <c r="N202" i="4"/>
  <c r="T192" i="4"/>
  <c r="L113" i="4"/>
  <c r="L81" i="4"/>
  <c r="R160" i="4"/>
  <c r="S117" i="4"/>
  <c r="R217" i="4"/>
  <c r="T93" i="4"/>
  <c r="O83" i="4"/>
  <c r="O91" i="4"/>
  <c r="O100" i="4"/>
  <c r="L188" i="4"/>
  <c r="L99" i="4"/>
  <c r="T201" i="4"/>
  <c r="L118" i="4"/>
  <c r="M198" i="4"/>
  <c r="P168" i="4"/>
  <c r="S216" i="4"/>
  <c r="L183" i="4"/>
  <c r="P199" i="4"/>
  <c r="R169" i="4"/>
  <c r="N168" i="4"/>
  <c r="S171" i="4"/>
  <c r="Q92" i="4"/>
  <c r="S187" i="4"/>
  <c r="L100" i="4"/>
  <c r="P107" i="4"/>
  <c r="M100" i="4"/>
  <c r="S90" i="4"/>
  <c r="Q204" i="4"/>
  <c r="N171" i="4"/>
  <c r="O105" i="4"/>
  <c r="T177" i="4"/>
  <c r="P215" i="4"/>
  <c r="R110" i="4"/>
  <c r="S198" i="4"/>
  <c r="M167" i="4"/>
  <c r="P94" i="4"/>
  <c r="L115" i="4"/>
  <c r="T182" i="4"/>
  <c r="Q88" i="4"/>
  <c r="M109" i="4"/>
  <c r="O181" i="4"/>
  <c r="R203" i="4"/>
  <c r="M169" i="4"/>
  <c r="M116" i="4"/>
  <c r="O169" i="4"/>
  <c r="O176" i="4"/>
  <c r="T81" i="4"/>
  <c r="L197" i="4"/>
  <c r="Q115" i="4"/>
  <c r="P214" i="4"/>
  <c r="N84" i="4"/>
  <c r="L180" i="4"/>
  <c r="M110" i="4"/>
  <c r="S186" i="4"/>
  <c r="M90" i="4"/>
  <c r="P171" i="4"/>
  <c r="Q107" i="4"/>
  <c r="T187" i="4"/>
  <c r="O201" i="4"/>
  <c r="L215" i="4"/>
  <c r="P187" i="4"/>
  <c r="L206" i="4"/>
  <c r="R83" i="4"/>
  <c r="O190" i="4"/>
  <c r="Q208" i="4"/>
  <c r="T208" i="4"/>
  <c r="N188" i="4"/>
  <c r="N194" i="4"/>
  <c r="T210" i="4"/>
  <c r="O164" i="4"/>
  <c r="S87" i="4"/>
  <c r="S206" i="4"/>
  <c r="R74" i="4"/>
  <c r="R118" i="4"/>
  <c r="R199" i="4"/>
  <c r="O116" i="4"/>
  <c r="S162" i="4"/>
  <c r="S205" i="4"/>
  <c r="Q90" i="4"/>
  <c r="L129" i="4"/>
  <c r="R161" i="4"/>
  <c r="S128" i="4"/>
  <c r="Q122" i="4"/>
  <c r="M128" i="4"/>
  <c r="P205" i="4"/>
  <c r="P74" i="4"/>
  <c r="T199" i="4"/>
  <c r="P114" i="4"/>
  <c r="S202" i="4"/>
  <c r="T108" i="4"/>
  <c r="T90" i="4"/>
  <c r="T84" i="4"/>
  <c r="P196" i="4"/>
  <c r="N102" i="4"/>
  <c r="L123" i="4"/>
  <c r="R131" i="4"/>
  <c r="M129" i="4"/>
  <c r="T131" i="4"/>
  <c r="P158" i="4"/>
  <c r="S86" i="4"/>
  <c r="T175" i="4"/>
  <c r="Q180" i="4"/>
  <c r="M81" i="4"/>
  <c r="S115" i="4"/>
  <c r="S130" i="4"/>
  <c r="O119" i="4"/>
  <c r="T130" i="4"/>
  <c r="M168" i="4"/>
  <c r="O131" i="4"/>
  <c r="L78" i="4"/>
  <c r="P85" i="4"/>
  <c r="O195" i="4"/>
  <c r="O159" i="4"/>
  <c r="S76" i="4"/>
  <c r="Q105" i="4"/>
  <c r="P129" i="4"/>
  <c r="P173" i="4"/>
  <c r="T160" i="4"/>
  <c r="R120" i="4"/>
  <c r="T123" i="4"/>
  <c r="M195" i="4"/>
  <c r="M170" i="4"/>
  <c r="P130" i="4"/>
  <c r="S89" i="4"/>
  <c r="R130" i="4"/>
  <c r="M131" i="4"/>
  <c r="S132" i="4"/>
  <c r="M130" i="4"/>
  <c r="S131" i="4"/>
  <c r="L131" i="4"/>
  <c r="T132" i="4"/>
  <c r="N130" i="4"/>
  <c r="Q132" i="4"/>
  <c r="R132" i="4"/>
  <c r="P131" i="4"/>
  <c r="L132" i="4"/>
  <c r="N132" i="4"/>
  <c r="O133" i="4"/>
  <c r="R133" i="4"/>
  <c r="S133" i="4"/>
  <c r="O129" i="4"/>
  <c r="N131" i="4"/>
  <c r="L133" i="4"/>
  <c r="M132" i="4"/>
  <c r="L134" i="4"/>
  <c r="T133" i="4"/>
  <c r="R134" i="4"/>
  <c r="N133" i="4"/>
  <c r="N134" i="4"/>
  <c r="N135" i="4"/>
  <c r="Q133" i="4"/>
  <c r="M133" i="4"/>
  <c r="P135" i="4"/>
  <c r="R135" i="4"/>
  <c r="O134" i="4"/>
  <c r="P134" i="4"/>
  <c r="M134" i="4"/>
  <c r="Q134" i="4"/>
  <c r="S134" i="4"/>
  <c r="T135" i="4"/>
  <c r="T134" i="4"/>
  <c r="M135" i="4"/>
  <c r="Q135" i="4"/>
  <c r="O135" i="4"/>
  <c r="N137" i="4"/>
  <c r="M136" i="4"/>
  <c r="T136" i="4"/>
  <c r="P133" i="4"/>
  <c r="L136" i="4"/>
  <c r="P137" i="4"/>
  <c r="R137" i="4"/>
  <c r="Q136" i="4"/>
  <c r="R136" i="4"/>
  <c r="O136" i="4"/>
  <c r="S139" i="4"/>
  <c r="O138" i="4"/>
  <c r="S135" i="4"/>
  <c r="O137" i="4"/>
  <c r="T137" i="4"/>
  <c r="N136" i="4"/>
  <c r="M142" i="4"/>
  <c r="M138" i="4"/>
  <c r="S137" i="4"/>
  <c r="M137" i="4"/>
  <c r="P136" i="4"/>
  <c r="R138" i="4"/>
  <c r="R139" i="4"/>
  <c r="Q138" i="4"/>
  <c r="P138" i="4"/>
  <c r="T140" i="4"/>
  <c r="S138" i="4"/>
  <c r="R141" i="4"/>
  <c r="T141" i="4"/>
  <c r="O140" i="4"/>
  <c r="Q140" i="4"/>
  <c r="L139" i="4"/>
  <c r="N140" i="4"/>
  <c r="M139" i="4"/>
  <c r="L138" i="4"/>
  <c r="Q139" i="4"/>
  <c r="N139" i="4"/>
  <c r="N141" i="4"/>
  <c r="M141" i="4"/>
  <c r="Q141" i="4"/>
  <c r="P139" i="4"/>
  <c r="O139" i="4"/>
  <c r="S140" i="4"/>
  <c r="L140" i="4"/>
  <c r="R140" i="4"/>
  <c r="L141" i="4"/>
  <c r="O143" i="4"/>
  <c r="T142" i="4"/>
  <c r="S141" i="4"/>
  <c r="R142" i="4"/>
  <c r="M144" i="4"/>
  <c r="M143" i="4"/>
  <c r="S143" i="4"/>
  <c r="N143" i="4"/>
  <c r="O141" i="4"/>
  <c r="Q142" i="4"/>
  <c r="Q143" i="4"/>
  <c r="L142" i="4"/>
  <c r="O142" i="4"/>
  <c r="R144" i="4"/>
  <c r="P141" i="4"/>
  <c r="S142" i="4"/>
  <c r="P146" i="4"/>
  <c r="T145" i="4"/>
  <c r="T143" i="4"/>
  <c r="Q144" i="4"/>
  <c r="L146" i="4"/>
  <c r="N145" i="4"/>
  <c r="S144" i="4"/>
  <c r="P140" i="4"/>
  <c r="M146" i="4"/>
  <c r="L145" i="4"/>
  <c r="N142" i="4"/>
  <c r="T144" i="4"/>
  <c r="L144" i="4"/>
  <c r="Q146" i="4"/>
  <c r="T146" i="4"/>
  <c r="Q145" i="4"/>
  <c r="S145" i="4"/>
  <c r="P142" i="4"/>
  <c r="P143" i="4"/>
  <c r="Q148" i="4"/>
  <c r="S149" i="4"/>
  <c r="L4220" i="7"/>
  <c r="W4216" i="7"/>
  <c r="W4220" i="7" s="1"/>
  <c r="L4219" i="7"/>
  <c r="L4221" i="7"/>
  <c r="N4153" i="7"/>
  <c r="P4153" i="7" s="1"/>
  <c r="R4153" i="7" s="1"/>
  <c r="S153" i="4"/>
  <c r="T153" i="4"/>
  <c r="W4217" i="7"/>
  <c r="W4221" i="7" s="1"/>
  <c r="L153" i="4"/>
  <c r="N4187" i="7"/>
  <c r="AA4187" i="7" s="1"/>
  <c r="M153" i="4"/>
  <c r="P4204" i="7"/>
  <c r="R4204" i="7" s="1"/>
  <c r="P4211" i="7"/>
  <c r="R4211" i="7" s="1"/>
  <c r="AA4147" i="7"/>
  <c r="N152" i="4" s="1"/>
  <c r="W4215" i="7"/>
  <c r="W4219" i="7" s="1"/>
  <c r="P4177" i="7"/>
  <c r="R4177" i="7" s="1"/>
  <c r="Y4189" i="7"/>
  <c r="Y4191" i="7"/>
  <c r="Y4190" i="7"/>
  <c r="AA4190" i="7" s="1"/>
  <c r="W4175" i="7"/>
  <c r="P4175" i="7"/>
  <c r="R4175" i="7" s="1"/>
  <c r="L4202" i="7"/>
  <c r="N4202" i="7" s="1"/>
  <c r="F4205" i="7"/>
  <c r="U4202" i="7"/>
  <c r="J4211" i="7"/>
  <c r="N4211" i="7" s="1"/>
  <c r="N4203" i="7"/>
  <c r="L4204" i="7"/>
  <c r="N4204" i="7" s="1"/>
  <c r="U4204" i="7"/>
  <c r="U4205" i="7" s="1"/>
  <c r="Y4247" i="7"/>
  <c r="Y4237" i="7"/>
  <c r="Y4245" i="7"/>
  <c r="Y4240" i="7"/>
  <c r="Y4241" i="7"/>
  <c r="Y4242" i="7"/>
  <c r="Y4243" i="7" s="1"/>
  <c r="Y4234" i="7"/>
  <c r="Y4235" i="7" s="1"/>
  <c r="Y4232" i="7"/>
  <c r="Y4246" i="7"/>
  <c r="Y4233" i="7"/>
  <c r="J4210" i="7"/>
  <c r="F4250" i="7"/>
  <c r="U4250" i="7" s="1"/>
  <c r="D4245" i="7"/>
  <c r="H4246" i="7"/>
  <c r="D4241" i="7"/>
  <c r="D4234" i="7"/>
  <c r="D4226" i="7"/>
  <c r="F4246" i="7"/>
  <c r="U4246" i="7" s="1"/>
  <c r="F4251" i="7"/>
  <c r="U4251" i="7" s="1"/>
  <c r="F4245" i="7"/>
  <c r="U4245" i="7" s="1"/>
  <c r="D4242" i="7"/>
  <c r="D4249" i="7"/>
  <c r="D4246" i="7"/>
  <c r="F4237" i="7"/>
  <c r="F4232" i="7"/>
  <c r="D4237" i="7"/>
  <c r="W4237" i="7" s="1"/>
  <c r="F4234" i="7"/>
  <c r="D4232" i="7"/>
  <c r="F4247" i="7"/>
  <c r="U4247" i="7" s="1"/>
  <c r="G4226" i="7"/>
  <c r="H4251" i="7"/>
  <c r="H4245" i="7"/>
  <c r="D4251" i="7"/>
  <c r="H4247" i="7"/>
  <c r="F4233" i="7"/>
  <c r="U4233" i="7" s="1"/>
  <c r="D4247" i="7"/>
  <c r="F4241" i="7"/>
  <c r="U4241" i="7" s="1"/>
  <c r="D4233" i="7"/>
  <c r="F4240" i="7"/>
  <c r="D4240" i="7"/>
  <c r="D4250" i="7"/>
  <c r="H4250" i="7"/>
  <c r="F4249" i="7"/>
  <c r="U4249" i="7" s="1"/>
  <c r="H4249" i="7"/>
  <c r="F4242" i="7"/>
  <c r="J4216" i="7"/>
  <c r="L4216" i="7"/>
  <c r="AA4145" i="7"/>
  <c r="J4234" i="7"/>
  <c r="J4237" i="7"/>
  <c r="J4233" i="7"/>
  <c r="J4232" i="7"/>
  <c r="N4180" i="7"/>
  <c r="F4213" i="7"/>
  <c r="U4210" i="7"/>
  <c r="L4210" i="7"/>
  <c r="J4212" i="7"/>
  <c r="N4186" i="7"/>
  <c r="AA4186" i="7" s="1"/>
  <c r="U4212" i="7"/>
  <c r="U4213" i="7" s="1"/>
  <c r="L4212" i="7"/>
  <c r="U4207" i="7"/>
  <c r="L4207" i="7"/>
  <c r="N4207" i="7" s="1"/>
  <c r="P4203" i="7"/>
  <c r="R4203" i="7" s="1"/>
  <c r="D4213" i="7"/>
  <c r="W4213" i="7" s="1"/>
  <c r="P4210" i="7"/>
  <c r="R4210" i="7" s="1"/>
  <c r="L4217" i="7"/>
  <c r="J4217" i="7"/>
  <c r="D4255" i="7"/>
  <c r="D4261" i="7"/>
  <c r="D4259" i="7"/>
  <c r="D4257" i="7"/>
  <c r="D4260" i="7"/>
  <c r="D4258" i="7"/>
  <c r="N4182" i="7"/>
  <c r="L4215" i="7"/>
  <c r="J4215" i="7"/>
  <c r="P4212" i="7"/>
  <c r="R4212" i="7" s="1"/>
  <c r="N4185" i="7"/>
  <c r="AA4185" i="7" s="1"/>
  <c r="AA4114" i="7"/>
  <c r="AA4112" i="7"/>
  <c r="AA4113" i="7"/>
  <c r="J4219" i="7"/>
  <c r="J4221" i="7"/>
  <c r="J4220" i="7"/>
  <c r="D4205" i="7"/>
  <c r="P4202" i="7"/>
  <c r="R4202" i="7" s="1"/>
  <c r="AA4191" i="7" l="1"/>
  <c r="S307" i="4"/>
  <c r="U236" i="4"/>
  <c r="U251" i="4"/>
  <c r="R307" i="4"/>
  <c r="Q307" i="4"/>
  <c r="R305" i="4"/>
  <c r="N307" i="4"/>
  <c r="T305" i="4"/>
  <c r="M307" i="4"/>
  <c r="P307" i="4"/>
  <c r="S305" i="4"/>
  <c r="Q305" i="4"/>
  <c r="L305" i="4"/>
  <c r="U218" i="4"/>
  <c r="U221" i="4"/>
  <c r="O305" i="4"/>
  <c r="P305" i="4"/>
  <c r="T307" i="4"/>
  <c r="N305" i="4"/>
  <c r="P290" i="4"/>
  <c r="M274" i="4"/>
  <c r="P150" i="4"/>
  <c r="U150" i="4" s="1"/>
  <c r="M305" i="4"/>
  <c r="O307" i="4"/>
  <c r="L307" i="4"/>
  <c r="U219" i="4"/>
  <c r="U220" i="4"/>
  <c r="O290" i="4"/>
  <c r="Q297" i="4"/>
  <c r="P297" i="4"/>
  <c r="M290" i="4"/>
  <c r="O288" i="4"/>
  <c r="O286" i="4"/>
  <c r="N288" i="4"/>
  <c r="N286" i="4"/>
  <c r="P288" i="4"/>
  <c r="P286" i="4"/>
  <c r="R288" i="4"/>
  <c r="R286" i="4"/>
  <c r="L288" i="4"/>
  <c r="L286" i="4"/>
  <c r="O274" i="4"/>
  <c r="S288" i="4"/>
  <c r="S286" i="4"/>
  <c r="Q288" i="4"/>
  <c r="Q286" i="4"/>
  <c r="O297" i="4"/>
  <c r="M288" i="4"/>
  <c r="M286" i="4"/>
  <c r="T288" i="4"/>
  <c r="T286" i="4"/>
  <c r="N308" i="4"/>
  <c r="M297" i="4"/>
  <c r="R308" i="4"/>
  <c r="O308" i="4"/>
  <c r="N297" i="4"/>
  <c r="T290" i="4"/>
  <c r="M308" i="4"/>
  <c r="N290" i="4"/>
  <c r="P308" i="4"/>
  <c r="R290" i="4"/>
  <c r="S308" i="4"/>
  <c r="Q308" i="4"/>
  <c r="L297" i="4"/>
  <c r="S290" i="4"/>
  <c r="Q290" i="4"/>
  <c r="L308" i="4"/>
  <c r="T297" i="4"/>
  <c r="T308" i="4"/>
  <c r="R297" i="4"/>
  <c r="L290" i="4"/>
  <c r="S297" i="4"/>
  <c r="AA4122" i="7"/>
  <c r="AA4121" i="7"/>
  <c r="AA4189" i="7"/>
  <c r="O310" i="4"/>
  <c r="N311" i="4"/>
  <c r="T310" i="4"/>
  <c r="O309" i="4"/>
  <c r="P312" i="4"/>
  <c r="L311" i="4"/>
  <c r="L312" i="4"/>
  <c r="M312" i="4"/>
  <c r="T312" i="4"/>
  <c r="T154" i="4"/>
  <c r="T292" i="4" s="1"/>
  <c r="M311" i="4"/>
  <c r="R309" i="4"/>
  <c r="Q311" i="4"/>
  <c r="O311" i="4"/>
  <c r="N312" i="4"/>
  <c r="P311" i="4"/>
  <c r="T311" i="4"/>
  <c r="S311" i="4"/>
  <c r="R311" i="4"/>
  <c r="P276" i="4"/>
  <c r="Q312" i="4"/>
  <c r="S312" i="4"/>
  <c r="R312" i="4"/>
  <c r="O312" i="4"/>
  <c r="Q309" i="4"/>
  <c r="Q310" i="4"/>
  <c r="S309" i="4"/>
  <c r="L309" i="4"/>
  <c r="T309" i="4"/>
  <c r="N309" i="4"/>
  <c r="R310" i="4"/>
  <c r="L310" i="4"/>
  <c r="T275" i="4"/>
  <c r="P310" i="4"/>
  <c r="S310" i="4"/>
  <c r="M310" i="4"/>
  <c r="N310" i="4"/>
  <c r="M309" i="4"/>
  <c r="P309" i="4"/>
  <c r="S275" i="4"/>
  <c r="R276" i="4"/>
  <c r="P275" i="4"/>
  <c r="N4220" i="7"/>
  <c r="U125" i="4"/>
  <c r="U123" i="4"/>
  <c r="T276" i="4"/>
  <c r="N4221" i="7"/>
  <c r="U184" i="4"/>
  <c r="U143" i="4"/>
  <c r="Q294" i="4"/>
  <c r="N4219" i="7"/>
  <c r="U174" i="4"/>
  <c r="L294" i="4"/>
  <c r="U183" i="4"/>
  <c r="R277" i="4"/>
  <c r="U197" i="4"/>
  <c r="U206" i="4"/>
  <c r="O294" i="4"/>
  <c r="U111" i="4"/>
  <c r="R294" i="4"/>
  <c r="U89" i="4"/>
  <c r="U98" i="4"/>
  <c r="U79" i="4"/>
  <c r="T294" i="4"/>
  <c r="U136" i="4"/>
  <c r="U107" i="4"/>
  <c r="O277" i="4"/>
  <c r="U194" i="4"/>
  <c r="L275" i="4"/>
  <c r="U179" i="4"/>
  <c r="T295" i="4"/>
  <c r="U133" i="4"/>
  <c r="L277" i="4"/>
  <c r="U78" i="4"/>
  <c r="N276" i="4"/>
  <c r="U177" i="4"/>
  <c r="U198" i="4"/>
  <c r="U161" i="4"/>
  <c r="L276" i="4"/>
  <c r="U94" i="4"/>
  <c r="U193" i="4"/>
  <c r="O295" i="4"/>
  <c r="U129" i="4"/>
  <c r="U140" i="4"/>
  <c r="W4247" i="7"/>
  <c r="W4251" i="7" s="1"/>
  <c r="Q154" i="4"/>
  <c r="Q292" i="4" s="1"/>
  <c r="U146" i="4"/>
  <c r="U138" i="4"/>
  <c r="U131" i="4"/>
  <c r="U75" i="4"/>
  <c r="Q276" i="4"/>
  <c r="U86" i="4"/>
  <c r="T277" i="4"/>
  <c r="U210" i="4"/>
  <c r="U118" i="4"/>
  <c r="U109" i="4"/>
  <c r="U190" i="4"/>
  <c r="N277" i="4"/>
  <c r="U185" i="4"/>
  <c r="U124" i="4"/>
  <c r="U137" i="4"/>
  <c r="U106" i="4"/>
  <c r="U134" i="4"/>
  <c r="U158" i="4"/>
  <c r="U199" i="4"/>
  <c r="U112" i="4"/>
  <c r="U186" i="4"/>
  <c r="U77" i="4"/>
  <c r="AB77" i="4" s="1"/>
  <c r="U159" i="4"/>
  <c r="U216" i="4"/>
  <c r="U76" i="4"/>
  <c r="U104" i="4"/>
  <c r="U176" i="4"/>
  <c r="U212" i="4"/>
  <c r="U163" i="4"/>
  <c r="U93" i="4"/>
  <c r="U160" i="4"/>
  <c r="Q295" i="4"/>
  <c r="U196" i="4"/>
  <c r="M294" i="4"/>
  <c r="U142" i="4"/>
  <c r="U180" i="4"/>
  <c r="U207" i="4"/>
  <c r="U122" i="4"/>
  <c r="U99" i="4"/>
  <c r="U85" i="4"/>
  <c r="U175" i="4"/>
  <c r="M295" i="4"/>
  <c r="U147" i="4"/>
  <c r="U84" i="4"/>
  <c r="AB84" i="4" s="1"/>
  <c r="Q275" i="4"/>
  <c r="U209" i="4"/>
  <c r="U108" i="4"/>
  <c r="U114" i="4"/>
  <c r="N295" i="4"/>
  <c r="L295" i="4"/>
  <c r="U127" i="4"/>
  <c r="U132" i="4"/>
  <c r="O275" i="4"/>
  <c r="U83" i="4"/>
  <c r="AB83" i="4" s="1"/>
  <c r="N275" i="4"/>
  <c r="M276" i="4"/>
  <c r="U164" i="4"/>
  <c r="U81" i="4"/>
  <c r="R275" i="4"/>
  <c r="U130" i="4"/>
  <c r="U141" i="4"/>
  <c r="U187" i="4"/>
  <c r="U95" i="4"/>
  <c r="U195" i="4"/>
  <c r="U121" i="4"/>
  <c r="U170" i="4"/>
  <c r="U182" i="4"/>
  <c r="U162" i="4"/>
  <c r="U120" i="4"/>
  <c r="U135" i="4"/>
  <c r="U205" i="4"/>
  <c r="U200" i="4"/>
  <c r="U213" i="4"/>
  <c r="U102" i="4"/>
  <c r="P295" i="4"/>
  <c r="S295" i="4"/>
  <c r="U148" i="4"/>
  <c r="S294" i="4"/>
  <c r="U214" i="4"/>
  <c r="U100" i="4"/>
  <c r="U178" i="4"/>
  <c r="U90" i="4"/>
  <c r="P277" i="4"/>
  <c r="U92" i="4"/>
  <c r="S276" i="4"/>
  <c r="U172" i="4"/>
  <c r="U217" i="4"/>
  <c r="U91" i="4"/>
  <c r="U149" i="4"/>
  <c r="U88" i="4"/>
  <c r="U192" i="4"/>
  <c r="Q277" i="4"/>
  <c r="U203" i="4"/>
  <c r="U103" i="4"/>
  <c r="U173" i="4"/>
  <c r="U82" i="4"/>
  <c r="U171" i="4"/>
  <c r="U204" i="4"/>
  <c r="R295" i="4"/>
  <c r="U139" i="4"/>
  <c r="U128" i="4"/>
  <c r="S277" i="4"/>
  <c r="U189" i="4"/>
  <c r="U168" i="4"/>
  <c r="O276" i="4"/>
  <c r="U126" i="4"/>
  <c r="U145" i="4"/>
  <c r="U215" i="4"/>
  <c r="U115" i="4"/>
  <c r="U201" i="4"/>
  <c r="U166" i="4"/>
  <c r="M275" i="4"/>
  <c r="U144" i="4"/>
  <c r="U211" i="4"/>
  <c r="U74" i="4"/>
  <c r="U181" i="4"/>
  <c r="U165" i="4"/>
  <c r="U96" i="4"/>
  <c r="U116" i="4"/>
  <c r="U119" i="4"/>
  <c r="M277" i="4"/>
  <c r="U188" i="4"/>
  <c r="U167" i="4"/>
  <c r="U191" i="4"/>
  <c r="U117" i="4"/>
  <c r="U110" i="4"/>
  <c r="U80" i="4"/>
  <c r="AB80" i="4" s="1"/>
  <c r="U97" i="4"/>
  <c r="U87" i="4"/>
  <c r="U208" i="4"/>
  <c r="U169" i="4"/>
  <c r="U202" i="4"/>
  <c r="U105" i="4"/>
  <c r="U113" i="4"/>
  <c r="L4251" i="7"/>
  <c r="L4249" i="7"/>
  <c r="N4205" i="7"/>
  <c r="P4205" i="7" s="1"/>
  <c r="R4205" i="7" s="1"/>
  <c r="L4250" i="7"/>
  <c r="AA4153" i="7"/>
  <c r="AA4151" i="7" s="1"/>
  <c r="N4183" i="7"/>
  <c r="P4183" i="7" s="1"/>
  <c r="R4183" i="7" s="1"/>
  <c r="S154" i="4"/>
  <c r="S292" i="4" s="1"/>
  <c r="R154" i="4"/>
  <c r="R292" i="4" s="1"/>
  <c r="P154" i="4"/>
  <c r="P292" i="4" s="1"/>
  <c r="L154" i="4"/>
  <c r="L292" i="4" s="1"/>
  <c r="N4215" i="7"/>
  <c r="AA4215" i="7" s="1"/>
  <c r="P4233" i="7"/>
  <c r="R4233" i="7" s="1"/>
  <c r="AA4175" i="7"/>
  <c r="AA4172" i="7" s="1"/>
  <c r="P4242" i="7"/>
  <c r="R4242" i="7" s="1"/>
  <c r="AA4177" i="7"/>
  <c r="N153" i="4" s="1"/>
  <c r="N294" i="4" s="1"/>
  <c r="N4217" i="7"/>
  <c r="AA4217" i="7" s="1"/>
  <c r="P4207" i="7"/>
  <c r="R4207" i="7" s="1"/>
  <c r="AA4207" i="7" s="1"/>
  <c r="M154" i="4" s="1"/>
  <c r="M292" i="4" s="1"/>
  <c r="J4247" i="7"/>
  <c r="L4247" i="7"/>
  <c r="J4251" i="7"/>
  <c r="J4250" i="7"/>
  <c r="J4249" i="7"/>
  <c r="AA4143" i="7"/>
  <c r="AA4144" i="7"/>
  <c r="AA4142" i="7"/>
  <c r="P4234" i="7"/>
  <c r="R4234" i="7" s="1"/>
  <c r="J4240" i="7"/>
  <c r="J4242" i="7"/>
  <c r="P4241" i="7"/>
  <c r="R4241" i="7" s="1"/>
  <c r="N4216" i="7"/>
  <c r="AA4216" i="7" s="1"/>
  <c r="J4241" i="7"/>
  <c r="N4241" i="7" s="1"/>
  <c r="N4233" i="7"/>
  <c r="J4267" i="7"/>
  <c r="J4263" i="7"/>
  <c r="J4264" i="7"/>
  <c r="J4262" i="7"/>
  <c r="N4212" i="7"/>
  <c r="U4242" i="7"/>
  <c r="U4243" i="7" s="1"/>
  <c r="L4242" i="7"/>
  <c r="J4245" i="7"/>
  <c r="L4245" i="7"/>
  <c r="Y4277" i="7"/>
  <c r="Y4264" i="7"/>
  <c r="Y4265" i="7" s="1"/>
  <c r="Y4271" i="7"/>
  <c r="Y4267" i="7"/>
  <c r="Y4262" i="7"/>
  <c r="Y4275" i="7"/>
  <c r="Y4276" i="7"/>
  <c r="Y4270" i="7"/>
  <c r="Y4272" i="7"/>
  <c r="Y4273" i="7" s="1"/>
  <c r="Y4263" i="7"/>
  <c r="L4234" i="7"/>
  <c r="N4234" i="7" s="1"/>
  <c r="U4234" i="7"/>
  <c r="U4235" i="7" s="1"/>
  <c r="W4245" i="7"/>
  <c r="W4249" i="7" s="1"/>
  <c r="Y4219" i="7"/>
  <c r="AA4219" i="7" s="1"/>
  <c r="W4205" i="7"/>
  <c r="Y4221" i="7"/>
  <c r="Y4220" i="7"/>
  <c r="F4281" i="7"/>
  <c r="F4276" i="7"/>
  <c r="U4276" i="7" s="1"/>
  <c r="F4280" i="7"/>
  <c r="U4280" i="7" s="1"/>
  <c r="D4262" i="7"/>
  <c r="D4276" i="7"/>
  <c r="F4272" i="7"/>
  <c r="D4272" i="7"/>
  <c r="D4281" i="7"/>
  <c r="H4277" i="7"/>
  <c r="D4267" i="7"/>
  <c r="W4267" i="7" s="1"/>
  <c r="D4263" i="7"/>
  <c r="H4279" i="7"/>
  <c r="F4279" i="7"/>
  <c r="U4279" i="7" s="1"/>
  <c r="D4277" i="7"/>
  <c r="F4275" i="7"/>
  <c r="U4275" i="7" s="1"/>
  <c r="F4262" i="7"/>
  <c r="D4275" i="7"/>
  <c r="F4264" i="7"/>
  <c r="H4281" i="7"/>
  <c r="F4263" i="7"/>
  <c r="U4263" i="7" s="1"/>
  <c r="D4279" i="7"/>
  <c r="F4271" i="7"/>
  <c r="U4271" i="7" s="1"/>
  <c r="F4277" i="7"/>
  <c r="U4277" i="7" s="1"/>
  <c r="G4256" i="7"/>
  <c r="F4270" i="7"/>
  <c r="D4264" i="7"/>
  <c r="D4256" i="7"/>
  <c r="H4276" i="7"/>
  <c r="D4280" i="7"/>
  <c r="F4267" i="7"/>
  <c r="H4280" i="7"/>
  <c r="D4270" i="7"/>
  <c r="H4275" i="7"/>
  <c r="D4271" i="7"/>
  <c r="W4246" i="7"/>
  <c r="W4250" i="7" s="1"/>
  <c r="D4235" i="7"/>
  <c r="P4232" i="7"/>
  <c r="R4232" i="7" s="1"/>
  <c r="U4232" i="7"/>
  <c r="F4235" i="7"/>
  <c r="L4232" i="7"/>
  <c r="N4232" i="7" s="1"/>
  <c r="P4240" i="7"/>
  <c r="R4240" i="7" s="1"/>
  <c r="D4243" i="7"/>
  <c r="W4243" i="7" s="1"/>
  <c r="L4237" i="7"/>
  <c r="N4237" i="7" s="1"/>
  <c r="U4237" i="7"/>
  <c r="L4240" i="7"/>
  <c r="F4243" i="7"/>
  <c r="U4240" i="7"/>
  <c r="L4246" i="7"/>
  <c r="J4246" i="7"/>
  <c r="N4210" i="7"/>
  <c r="P151" i="4" l="1"/>
  <c r="U151" i="4" s="1"/>
  <c r="U307" i="4"/>
  <c r="X307" i="4" s="1"/>
  <c r="Z182" i="24" s="1"/>
  <c r="AF182" i="24" s="1"/>
  <c r="I182" i="24" s="1"/>
  <c r="N182" i="24" s="1"/>
  <c r="U305" i="4"/>
  <c r="U4281" i="7"/>
  <c r="U288" i="4"/>
  <c r="X288" i="4" s="1"/>
  <c r="Z148" i="24" s="1"/>
  <c r="U286" i="4"/>
  <c r="X286" i="4" s="1"/>
  <c r="U290" i="4"/>
  <c r="X290" i="4" s="1"/>
  <c r="Z149" i="24" s="1"/>
  <c r="AF149" i="24" s="1"/>
  <c r="I149" i="24" s="1"/>
  <c r="N149" i="24" s="1"/>
  <c r="Q291" i="4"/>
  <c r="P291" i="4"/>
  <c r="S291" i="4"/>
  <c r="R291" i="4"/>
  <c r="L291" i="4"/>
  <c r="U308" i="4"/>
  <c r="X308" i="4" s="1"/>
  <c r="Z183" i="24" s="1"/>
  <c r="T291" i="4"/>
  <c r="M291" i="4"/>
  <c r="U297" i="4"/>
  <c r="X297" i="4" s="1"/>
  <c r="Z155" i="24" s="1"/>
  <c r="AF155" i="24" s="1"/>
  <c r="I155" i="24" s="1"/>
  <c r="N155" i="24" s="1"/>
  <c r="AA4220" i="7"/>
  <c r="S155" i="4"/>
  <c r="AA4221" i="7"/>
  <c r="N154" i="4"/>
  <c r="L4280" i="7"/>
  <c r="U311" i="4"/>
  <c r="X311" i="4" s="1"/>
  <c r="Z186" i="24" s="1"/>
  <c r="AF186" i="24" s="1"/>
  <c r="I186" i="24" s="1"/>
  <c r="N186" i="24" s="1"/>
  <c r="R315" i="4"/>
  <c r="N4251" i="7"/>
  <c r="T315" i="4"/>
  <c r="L315" i="4"/>
  <c r="Q315" i="4"/>
  <c r="P315" i="4"/>
  <c r="U312" i="4"/>
  <c r="X312" i="4" s="1"/>
  <c r="Z187" i="24" s="1"/>
  <c r="AF187" i="24" s="1"/>
  <c r="I187" i="24" s="1"/>
  <c r="N187" i="24" s="1"/>
  <c r="O315" i="4"/>
  <c r="N315" i="4"/>
  <c r="S315" i="4"/>
  <c r="U310" i="4"/>
  <c r="X310" i="4" s="1"/>
  <c r="Z185" i="24" s="1"/>
  <c r="AF185" i="24" s="1"/>
  <c r="I185" i="24" s="1"/>
  <c r="N185" i="24" s="1"/>
  <c r="M315" i="4"/>
  <c r="N4249" i="7"/>
  <c r="U309" i="4"/>
  <c r="AA4183" i="7"/>
  <c r="AA4181" i="7" s="1"/>
  <c r="N4250" i="7"/>
  <c r="U276" i="4"/>
  <c r="X276" i="4" s="1"/>
  <c r="U277" i="4"/>
  <c r="X277" i="4" s="1"/>
  <c r="Z110" i="24" s="1"/>
  <c r="AF110" i="24" s="1"/>
  <c r="I110" i="24" s="1"/>
  <c r="N110" i="24" s="1"/>
  <c r="U295" i="4"/>
  <c r="X295" i="4" s="1"/>
  <c r="Z154" i="24" s="1"/>
  <c r="AF154" i="24" s="1"/>
  <c r="I154" i="24" s="1"/>
  <c r="N154" i="24" s="1"/>
  <c r="W4277" i="7"/>
  <c r="W4281" i="7" s="1"/>
  <c r="U275" i="4"/>
  <c r="X275" i="4" s="1"/>
  <c r="Z109" i="24" s="1"/>
  <c r="AF109" i="24" s="1"/>
  <c r="I109" i="24" s="1"/>
  <c r="N109" i="24" s="1"/>
  <c r="N4235" i="7"/>
  <c r="P4235" i="7" s="1"/>
  <c r="R4235" i="7" s="1"/>
  <c r="L4281" i="7"/>
  <c r="L4279" i="7"/>
  <c r="N4213" i="7"/>
  <c r="P4213" i="7" s="1"/>
  <c r="R4213" i="7" s="1"/>
  <c r="AA4150" i="7"/>
  <c r="P152" i="4" s="1"/>
  <c r="U152" i="4" s="1"/>
  <c r="AA4152" i="7"/>
  <c r="L155" i="4"/>
  <c r="R155" i="4"/>
  <c r="T155" i="4"/>
  <c r="Q155" i="4"/>
  <c r="O155" i="4"/>
  <c r="P4263" i="7"/>
  <c r="R4263" i="7" s="1"/>
  <c r="AA4173" i="7"/>
  <c r="AA4174" i="7"/>
  <c r="P4271" i="7"/>
  <c r="R4271" i="7" s="1"/>
  <c r="N4246" i="7"/>
  <c r="AA4246" i="7" s="1"/>
  <c r="P4237" i="7"/>
  <c r="R4237" i="7" s="1"/>
  <c r="J4270" i="7"/>
  <c r="J4272" i="7"/>
  <c r="N4263" i="7"/>
  <c r="J4271" i="7"/>
  <c r="N4271" i="7" s="1"/>
  <c r="AA4205" i="7"/>
  <c r="U4262" i="7"/>
  <c r="L4262" i="7"/>
  <c r="N4262" i="7" s="1"/>
  <c r="F4265" i="7"/>
  <c r="U4270" i="7"/>
  <c r="F4273" i="7"/>
  <c r="L4270" i="7"/>
  <c r="D4273" i="7"/>
  <c r="W4273" i="7" s="1"/>
  <c r="P4270" i="7"/>
  <c r="R4270" i="7" s="1"/>
  <c r="J4275" i="7"/>
  <c r="L4275" i="7"/>
  <c r="L4277" i="7"/>
  <c r="J4277" i="7"/>
  <c r="P4264" i="7"/>
  <c r="R4264" i="7" s="1"/>
  <c r="P4272" i="7"/>
  <c r="R4272" i="7" s="1"/>
  <c r="W4276" i="7"/>
  <c r="W4280" i="7" s="1"/>
  <c r="L4272" i="7"/>
  <c r="U4272" i="7"/>
  <c r="U4273" i="7" s="1"/>
  <c r="W4275" i="7"/>
  <c r="W4279" i="7" s="1"/>
  <c r="N4242" i="7"/>
  <c r="N4247" i="7"/>
  <c r="AA4247" i="7" s="1"/>
  <c r="J4281" i="7"/>
  <c r="J4280" i="7"/>
  <c r="J4279" i="7"/>
  <c r="W4235" i="7"/>
  <c r="Y4249" i="7"/>
  <c r="Y4251" i="7"/>
  <c r="Y4250" i="7"/>
  <c r="J4276" i="7"/>
  <c r="L4276" i="7"/>
  <c r="N4240" i="7"/>
  <c r="P4262" i="7"/>
  <c r="R4262" i="7" s="1"/>
  <c r="D4265" i="7"/>
  <c r="U4264" i="7"/>
  <c r="U4265" i="7" s="1"/>
  <c r="L4264" i="7"/>
  <c r="N4264" i="7" s="1"/>
  <c r="L4267" i="7"/>
  <c r="N4267" i="7" s="1"/>
  <c r="U4267" i="7"/>
  <c r="N4245" i="7"/>
  <c r="AA4245" i="7" s="1"/>
  <c r="Q327" i="4"/>
  <c r="L327" i="4"/>
  <c r="T156" i="4" l="1"/>
  <c r="T293" i="4" s="1"/>
  <c r="T298" i="4" s="1"/>
  <c r="X305" i="4"/>
  <c r="Z181" i="24" s="1"/>
  <c r="AF181" i="24" s="1"/>
  <c r="I181" i="24" s="1"/>
  <c r="N181" i="24" s="1"/>
  <c r="H7267" i="7"/>
  <c r="E182" i="24"/>
  <c r="F182" i="24" s="1"/>
  <c r="O182" i="24"/>
  <c r="E185" i="24"/>
  <c r="F185" i="24" s="1"/>
  <c r="O185" i="24"/>
  <c r="E155" i="24"/>
  <c r="F155" i="24" s="1"/>
  <c r="O155" i="24"/>
  <c r="E187" i="24"/>
  <c r="F187" i="24" s="1"/>
  <c r="O187" i="24"/>
  <c r="AF183" i="24"/>
  <c r="I183" i="24" s="1"/>
  <c r="N183" i="24" s="1"/>
  <c r="E109" i="24"/>
  <c r="F109" i="24" s="1"/>
  <c r="O109" i="24"/>
  <c r="E154" i="24"/>
  <c r="F154" i="24" s="1"/>
  <c r="O154" i="24"/>
  <c r="O110" i="24"/>
  <c r="E110" i="24"/>
  <c r="F110" i="24" s="1"/>
  <c r="E149" i="24"/>
  <c r="F149" i="24" s="1"/>
  <c r="O149" i="24"/>
  <c r="E186" i="24"/>
  <c r="F186" i="24" s="1"/>
  <c r="O186" i="24"/>
  <c r="AF148" i="24"/>
  <c r="I148" i="24" s="1"/>
  <c r="N148" i="24" s="1"/>
  <c r="N292" i="4"/>
  <c r="N291" i="4"/>
  <c r="X309" i="4"/>
  <c r="Z184" i="24" s="1"/>
  <c r="AF184" i="24" s="1"/>
  <c r="I184" i="24" s="1"/>
  <c r="N184" i="24" s="1"/>
  <c r="U315" i="4"/>
  <c r="N4280" i="7"/>
  <c r="R156" i="4"/>
  <c r="R293" i="4" s="1"/>
  <c r="R298" i="4" s="1"/>
  <c r="AA4251" i="7"/>
  <c r="AA4249" i="7"/>
  <c r="AA4180" i="7"/>
  <c r="N155" i="4"/>
  <c r="L156" i="4"/>
  <c r="L293" i="4" s="1"/>
  <c r="AA4182" i="7"/>
  <c r="N4279" i="7"/>
  <c r="AA4250" i="7"/>
  <c r="N4281" i="7"/>
  <c r="AA4213" i="7"/>
  <c r="AA4212" i="7" s="1"/>
  <c r="N4265" i="7"/>
  <c r="P4265" i="7" s="1"/>
  <c r="R4265" i="7" s="1"/>
  <c r="N4243" i="7"/>
  <c r="P4243" i="7" s="1"/>
  <c r="R4243" i="7" s="1"/>
  <c r="S156" i="4"/>
  <c r="S293" i="4" s="1"/>
  <c r="S298" i="4" s="1"/>
  <c r="O156" i="4"/>
  <c r="O293" i="4" s="1"/>
  <c r="Q156" i="4"/>
  <c r="Q293" i="4" s="1"/>
  <c r="Q298" i="4" s="1"/>
  <c r="N4277" i="7"/>
  <c r="AA4277" i="7" s="1"/>
  <c r="N4272" i="7"/>
  <c r="N4270" i="7"/>
  <c r="N4275" i="7"/>
  <c r="AA4275" i="7" s="1"/>
  <c r="P4267" i="7"/>
  <c r="R4267" i="7" s="1"/>
  <c r="N4276" i="7"/>
  <c r="AA4276" i="7" s="1"/>
  <c r="Y4279" i="7"/>
  <c r="W4265" i="7"/>
  <c r="Y4280" i="7"/>
  <c r="Y4281" i="7"/>
  <c r="AA4235" i="7"/>
  <c r="AA4202" i="7"/>
  <c r="AA4203" i="7"/>
  <c r="AA4204" i="7"/>
  <c r="AA4237" i="7"/>
  <c r="E181" i="24" l="1"/>
  <c r="F181" i="24" s="1"/>
  <c r="O181" i="24"/>
  <c r="P153" i="4"/>
  <c r="U153" i="4" s="1"/>
  <c r="E184" i="24"/>
  <c r="F184" i="24" s="1"/>
  <c r="O184" i="24"/>
  <c r="AL180" i="24"/>
  <c r="M155" i="4"/>
  <c r="E183" i="24"/>
  <c r="F183" i="24" s="1"/>
  <c r="O183" i="24"/>
  <c r="E148" i="24"/>
  <c r="F148" i="24" s="1"/>
  <c r="O148" i="24"/>
  <c r="L298" i="4"/>
  <c r="AA4280" i="7"/>
  <c r="N156" i="4"/>
  <c r="N293" i="4" s="1"/>
  <c r="N298" i="4" s="1"/>
  <c r="AA4281" i="7"/>
  <c r="H7266" i="7" s="1"/>
  <c r="AA4279" i="7"/>
  <c r="N4273" i="7"/>
  <c r="P4273" i="7" s="1"/>
  <c r="R4273" i="7" s="1"/>
  <c r="AA4243" i="7"/>
  <c r="AA4240" i="7" s="1"/>
  <c r="AA4211" i="7"/>
  <c r="AA4210" i="7"/>
  <c r="AA4265" i="7"/>
  <c r="AA4264" i="7" s="1"/>
  <c r="AA4267" i="7"/>
  <c r="M156" i="4" s="1"/>
  <c r="AA4232" i="7"/>
  <c r="AA4233" i="7"/>
  <c r="AA4234" i="7"/>
  <c r="M327" i="4"/>
  <c r="H7265" i="7" l="1"/>
  <c r="O154" i="4"/>
  <c r="O291" i="4" s="1"/>
  <c r="U291" i="4" s="1"/>
  <c r="X291" i="4" s="1"/>
  <c r="Z150" i="24" s="1"/>
  <c r="O201" i="24"/>
  <c r="O33" i="23" s="1"/>
  <c r="P294" i="4"/>
  <c r="U294" i="4" s="1"/>
  <c r="X294" i="4" s="1"/>
  <c r="Z153" i="24" s="1"/>
  <c r="AF153" i="24" s="1"/>
  <c r="I153" i="24" s="1"/>
  <c r="N153" i="24" s="1"/>
  <c r="F201" i="24"/>
  <c r="F33" i="23" s="1"/>
  <c r="M293" i="4"/>
  <c r="M298" i="4" s="1"/>
  <c r="O292" i="4"/>
  <c r="AA4242" i="7"/>
  <c r="AA4241" i="7"/>
  <c r="AA4273" i="7"/>
  <c r="AA4270" i="7" s="1"/>
  <c r="AA4263" i="7"/>
  <c r="AA4262" i="7"/>
  <c r="O47" i="4"/>
  <c r="P36" i="4"/>
  <c r="T227" i="4"/>
  <c r="O45" i="4"/>
  <c r="T37" i="4"/>
  <c r="N45" i="4"/>
  <c r="N19" i="4"/>
  <c r="S58" i="4"/>
  <c r="O232" i="4"/>
  <c r="R36" i="4"/>
  <c r="M31" i="4"/>
  <c r="S39" i="4"/>
  <c r="P231" i="4"/>
  <c r="P71" i="4"/>
  <c r="R237" i="4"/>
  <c r="M40" i="4"/>
  <c r="M246" i="4"/>
  <c r="P41" i="4"/>
  <c r="R65" i="4"/>
  <c r="O257" i="4"/>
  <c r="O329" i="4" s="1"/>
  <c r="N255" i="4"/>
  <c r="M68" i="4"/>
  <c r="O35" i="4"/>
  <c r="R248" i="4"/>
  <c r="S248" i="4"/>
  <c r="L59" i="4"/>
  <c r="N31" i="4"/>
  <c r="Q235" i="4"/>
  <c r="Q227" i="4"/>
  <c r="R234" i="4"/>
  <c r="P233" i="4"/>
  <c r="T41" i="4"/>
  <c r="M48" i="4"/>
  <c r="Q47" i="4"/>
  <c r="S52" i="4"/>
  <c r="M22" i="4"/>
  <c r="Q73" i="4"/>
  <c r="Q274" i="4" s="1"/>
  <c r="N39" i="4"/>
  <c r="N249" i="4"/>
  <c r="R49" i="4"/>
  <c r="T72" i="4"/>
  <c r="N35" i="4"/>
  <c r="S252" i="4"/>
  <c r="T58" i="4"/>
  <c r="O65" i="4"/>
  <c r="S242" i="4"/>
  <c r="L65" i="4"/>
  <c r="L249" i="4"/>
  <c r="T244" i="4"/>
  <c r="P237" i="4"/>
  <c r="P35" i="4"/>
  <c r="O18" i="4"/>
  <c r="T232" i="4"/>
  <c r="T19" i="4"/>
  <c r="Q240" i="4"/>
  <c r="N50" i="4"/>
  <c r="S44" i="4"/>
  <c r="L244" i="4"/>
  <c r="P51" i="4"/>
  <c r="P255" i="4"/>
  <c r="L17" i="4"/>
  <c r="R254" i="4"/>
  <c r="N253" i="4"/>
  <c r="T23" i="4"/>
  <c r="Q241" i="4"/>
  <c r="R20" i="4"/>
  <c r="R240" i="4"/>
  <c r="N42" i="4"/>
  <c r="T243" i="4"/>
  <c r="N246" i="4"/>
  <c r="S19" i="4"/>
  <c r="P70" i="4"/>
  <c r="P271" i="4" s="1"/>
  <c r="L21" i="4"/>
  <c r="Q39" i="4"/>
  <c r="T67" i="4"/>
  <c r="N26" i="4"/>
  <c r="P32" i="4"/>
  <c r="P59" i="4"/>
  <c r="L33" i="4"/>
  <c r="P62" i="4"/>
  <c r="T60" i="4"/>
  <c r="Q51" i="4"/>
  <c r="Q25" i="4"/>
  <c r="N51" i="4"/>
  <c r="N48" i="4"/>
  <c r="R242" i="4"/>
  <c r="L55" i="4"/>
  <c r="P20" i="4"/>
  <c r="Q54" i="4"/>
  <c r="R62" i="4"/>
  <c r="M19" i="4"/>
  <c r="R70" i="4"/>
  <c r="R271" i="4" s="1"/>
  <c r="L73" i="4"/>
  <c r="O228" i="4"/>
  <c r="S69" i="4"/>
  <c r="P56" i="4"/>
  <c r="T53" i="4"/>
  <c r="L58" i="4"/>
  <c r="R58" i="4"/>
  <c r="M252" i="4"/>
  <c r="P256" i="4"/>
  <c r="P30" i="4"/>
  <c r="R232" i="4"/>
  <c r="L231" i="4"/>
  <c r="P23" i="4"/>
  <c r="T34" i="4"/>
  <c r="L29" i="4"/>
  <c r="L22" i="4"/>
  <c r="N24" i="4"/>
  <c r="M247" i="4"/>
  <c r="S247" i="4"/>
  <c r="N29" i="4"/>
  <c r="O38" i="4"/>
  <c r="Q37" i="4"/>
  <c r="O34" i="4"/>
  <c r="S228" i="4"/>
  <c r="O21" i="4"/>
  <c r="R22" i="4"/>
  <c r="T33" i="4"/>
  <c r="T235" i="4"/>
  <c r="M255" i="4"/>
  <c r="P252" i="4"/>
  <c r="N68" i="4"/>
  <c r="O242" i="4"/>
  <c r="P66" i="4"/>
  <c r="N254" i="4"/>
  <c r="R50" i="4"/>
  <c r="M46" i="4"/>
  <c r="T249" i="4"/>
  <c r="T242" i="4"/>
  <c r="Q246" i="4"/>
  <c r="S256" i="4"/>
  <c r="T252" i="4"/>
  <c r="R26" i="4"/>
  <c r="T47" i="4"/>
  <c r="O235" i="4"/>
  <c r="S66" i="4"/>
  <c r="P63" i="4"/>
  <c r="R231" i="4"/>
  <c r="N230" i="4"/>
  <c r="T43" i="4"/>
  <c r="L256" i="4"/>
  <c r="L254" i="4"/>
  <c r="Q60" i="4"/>
  <c r="Q67" i="4"/>
  <c r="R38" i="4"/>
  <c r="M62" i="4"/>
  <c r="L39" i="4"/>
  <c r="R245" i="4"/>
  <c r="R328" i="4" s="1"/>
  <c r="L69" i="4"/>
  <c r="L239" i="4"/>
  <c r="L230" i="4"/>
  <c r="P238" i="4"/>
  <c r="T62" i="4"/>
  <c r="R55" i="4"/>
  <c r="O66" i="4"/>
  <c r="O67" i="4"/>
  <c r="L34" i="4"/>
  <c r="N30" i="4"/>
  <c r="M50" i="4"/>
  <c r="Q243" i="4"/>
  <c r="P45" i="4"/>
  <c r="R241" i="4"/>
  <c r="P253" i="4"/>
  <c r="L237" i="4"/>
  <c r="N227" i="4"/>
  <c r="T73" i="4"/>
  <c r="T274" i="4" s="1"/>
  <c r="O234" i="4"/>
  <c r="T229" i="4"/>
  <c r="T246" i="4"/>
  <c r="T239" i="4"/>
  <c r="Q42" i="4"/>
  <c r="R35" i="4"/>
  <c r="P61" i="4"/>
  <c r="O33" i="4"/>
  <c r="R255" i="4"/>
  <c r="L49" i="4"/>
  <c r="Q56" i="4"/>
  <c r="R33" i="4"/>
  <c r="T24" i="4"/>
  <c r="L30" i="4"/>
  <c r="T39" i="4"/>
  <c r="R23" i="4"/>
  <c r="S63" i="4"/>
  <c r="Q33" i="4"/>
  <c r="S237" i="4"/>
  <c r="M244" i="4"/>
  <c r="N60" i="4"/>
  <c r="S244" i="4"/>
  <c r="P57" i="4"/>
  <c r="M240" i="4"/>
  <c r="P67" i="4"/>
  <c r="M72" i="4"/>
  <c r="Q46" i="4"/>
  <c r="S38" i="4"/>
  <c r="S53" i="4"/>
  <c r="R252" i="4"/>
  <c r="R53" i="4"/>
  <c r="N63" i="4"/>
  <c r="Q24" i="4"/>
  <c r="L247" i="4"/>
  <c r="T28" i="4"/>
  <c r="N72" i="4"/>
  <c r="M238" i="4"/>
  <c r="T25" i="4"/>
  <c r="O69" i="4"/>
  <c r="T42" i="4"/>
  <c r="R253" i="4"/>
  <c r="M71" i="4"/>
  <c r="L35" i="4"/>
  <c r="O229" i="4"/>
  <c r="O50" i="4"/>
  <c r="R246" i="4"/>
  <c r="Q62" i="4"/>
  <c r="P28" i="4"/>
  <c r="T247" i="4"/>
  <c r="R61" i="4"/>
  <c r="S26" i="4"/>
  <c r="Q59" i="4"/>
  <c r="N34" i="4"/>
  <c r="N59" i="4"/>
  <c r="L20" i="4"/>
  <c r="N65" i="4"/>
  <c r="P26" i="4"/>
  <c r="Q252" i="4"/>
  <c r="R41" i="4"/>
  <c r="S71" i="4"/>
  <c r="O59" i="4"/>
  <c r="L37" i="4"/>
  <c r="N247" i="4"/>
  <c r="T228" i="4"/>
  <c r="N237" i="4"/>
  <c r="M41" i="4"/>
  <c r="P37" i="4"/>
  <c r="S238" i="4"/>
  <c r="S49" i="4"/>
  <c r="O17" i="4"/>
  <c r="T63" i="4"/>
  <c r="R30" i="4"/>
  <c r="Q57" i="4"/>
  <c r="O60" i="4"/>
  <c r="M28" i="4"/>
  <c r="M58" i="4"/>
  <c r="N22" i="4"/>
  <c r="O226" i="4"/>
  <c r="O249" i="4"/>
  <c r="N257" i="4"/>
  <c r="N329" i="4" s="1"/>
  <c r="S34" i="4"/>
  <c r="S229" i="4"/>
  <c r="O241" i="4"/>
  <c r="L18" i="4"/>
  <c r="S40" i="4"/>
  <c r="P29" i="4"/>
  <c r="M242" i="4"/>
  <c r="O248" i="4"/>
  <c r="R63" i="4"/>
  <c r="T230" i="4"/>
  <c r="R46" i="4"/>
  <c r="T55" i="4"/>
  <c r="N244" i="4"/>
  <c r="N41" i="4"/>
  <c r="S327" i="4"/>
  <c r="T38" i="4"/>
  <c r="N229" i="4"/>
  <c r="R238" i="4"/>
  <c r="L53" i="4"/>
  <c r="R17" i="4"/>
  <c r="L32" i="4"/>
  <c r="O24" i="4"/>
  <c r="Q30" i="4"/>
  <c r="N25" i="4"/>
  <c r="P239" i="4"/>
  <c r="P43" i="4"/>
  <c r="S70" i="4"/>
  <c r="S271" i="4" s="1"/>
  <c r="L227" i="4"/>
  <c r="T71" i="4"/>
  <c r="O244" i="4"/>
  <c r="S56" i="4"/>
  <c r="P72" i="4"/>
  <c r="R243" i="4"/>
  <c r="T21" i="4"/>
  <c r="T233" i="4"/>
  <c r="T59" i="4"/>
  <c r="P68" i="4"/>
  <c r="R31" i="4"/>
  <c r="T45" i="4"/>
  <c r="M53" i="4"/>
  <c r="O22" i="4"/>
  <c r="M61" i="4"/>
  <c r="T254" i="4"/>
  <c r="R73" i="4"/>
  <c r="R274" i="4" s="1"/>
  <c r="S36" i="4"/>
  <c r="M235" i="4"/>
  <c r="L54" i="4"/>
  <c r="R18" i="4"/>
  <c r="O72" i="4"/>
  <c r="O37" i="4"/>
  <c r="S20" i="4"/>
  <c r="N245" i="4"/>
  <c r="N328" i="4" s="1"/>
  <c r="S62" i="4"/>
  <c r="O28" i="4"/>
  <c r="T234" i="4"/>
  <c r="L48" i="4"/>
  <c r="S17" i="4"/>
  <c r="N233" i="4"/>
  <c r="P50" i="4"/>
  <c r="P248" i="4"/>
  <c r="N235" i="4"/>
  <c r="N53" i="4"/>
  <c r="L23" i="4"/>
  <c r="Q63" i="4"/>
  <c r="O240" i="4"/>
  <c r="T57" i="4"/>
  <c r="Q23" i="4"/>
  <c r="N240" i="4"/>
  <c r="M55" i="4"/>
  <c r="M23" i="4"/>
  <c r="S255" i="4"/>
  <c r="Q68" i="4"/>
  <c r="R37" i="4"/>
  <c r="Q234" i="4"/>
  <c r="O46" i="4"/>
  <c r="P21" i="4"/>
  <c r="L71" i="4"/>
  <c r="M38" i="4"/>
  <c r="R66" i="4"/>
  <c r="S35" i="4"/>
  <c r="N231" i="4"/>
  <c r="R48" i="4"/>
  <c r="N252" i="4"/>
  <c r="R69" i="4"/>
  <c r="N37" i="4"/>
  <c r="L245" i="4"/>
  <c r="L328" i="4" s="1"/>
  <c r="L60" i="4"/>
  <c r="M29" i="4"/>
  <c r="R230" i="4"/>
  <c r="T48" i="4"/>
  <c r="O246" i="4"/>
  <c r="R226" i="4"/>
  <c r="S47" i="4"/>
  <c r="S61" i="4"/>
  <c r="R40" i="4"/>
  <c r="M229" i="4"/>
  <c r="L234" i="4"/>
  <c r="T50" i="4"/>
  <c r="N20" i="4"/>
  <c r="N248" i="4"/>
  <c r="S65" i="4"/>
  <c r="N32" i="4"/>
  <c r="L229" i="4"/>
  <c r="N44" i="4"/>
  <c r="R256" i="4"/>
  <c r="L250" i="4"/>
  <c r="M66" i="4"/>
  <c r="R34" i="4"/>
  <c r="P241" i="4"/>
  <c r="Q58" i="4"/>
  <c r="M26" i="4"/>
  <c r="Q228" i="4"/>
  <c r="M43" i="4"/>
  <c r="M60" i="4"/>
  <c r="L228" i="4"/>
  <c r="Q226" i="4"/>
  <c r="S42" i="4"/>
  <c r="O62" i="4"/>
  <c r="T256" i="4"/>
  <c r="O230" i="4"/>
  <c r="P249" i="4"/>
  <c r="M65" i="4"/>
  <c r="N33" i="4"/>
  <c r="T240" i="4"/>
  <c r="S55" i="4"/>
  <c r="N23" i="4"/>
  <c r="P226" i="4"/>
  <c r="R42" i="4"/>
  <c r="R47" i="4"/>
  <c r="O71" i="4"/>
  <c r="Q41" i="4"/>
  <c r="Q17" i="4"/>
  <c r="Q72" i="4"/>
  <c r="P39" i="4"/>
  <c r="O237" i="4"/>
  <c r="T70" i="4"/>
  <c r="T271" i="4" s="1"/>
  <c r="R32" i="4"/>
  <c r="P245" i="4"/>
  <c r="P328" i="4" s="1"/>
  <c r="N226" i="4"/>
  <c r="M42" i="4"/>
  <c r="S51" i="4"/>
  <c r="T245" i="4"/>
  <c r="T328" i="4" s="1"/>
  <c r="M63" i="4"/>
  <c r="L31" i="4"/>
  <c r="N239" i="4"/>
  <c r="O53" i="4"/>
  <c r="O19" i="4"/>
  <c r="M69" i="4"/>
  <c r="M39" i="4"/>
  <c r="O253" i="4"/>
  <c r="S67" i="4"/>
  <c r="O254" i="4"/>
  <c r="L253" i="4"/>
  <c r="Q65" i="4"/>
  <c r="R247" i="4"/>
  <c r="P228" i="4"/>
  <c r="R43" i="4"/>
  <c r="O231" i="4"/>
  <c r="Q245" i="4"/>
  <c r="Q328" i="4" s="1"/>
  <c r="M57" i="4"/>
  <c r="S28" i="4"/>
  <c r="O255" i="4"/>
  <c r="R71" i="4"/>
  <c r="R39" i="4"/>
  <c r="M21" i="4"/>
  <c r="R244" i="4"/>
  <c r="N62" i="4"/>
  <c r="M30" i="4"/>
  <c r="L235" i="4"/>
  <c r="L51" i="4"/>
  <c r="T20" i="4"/>
  <c r="T253" i="4"/>
  <c r="N36" i="4"/>
  <c r="N38" i="4"/>
  <c r="T69" i="4"/>
  <c r="Q34" i="4"/>
  <c r="L45" i="4"/>
  <c r="T30" i="4"/>
  <c r="L25" i="4"/>
  <c r="Q254" i="4"/>
  <c r="L68" i="4"/>
  <c r="M35" i="4"/>
  <c r="P244" i="4"/>
  <c r="O55" i="4"/>
  <c r="Q26" i="4"/>
  <c r="Q242" i="4"/>
  <c r="N234" i="4"/>
  <c r="L50" i="4"/>
  <c r="T18" i="4"/>
  <c r="L72" i="4"/>
  <c r="N250" i="4"/>
  <c r="N71" i="4"/>
  <c r="M37" i="4"/>
  <c r="Q35" i="4"/>
  <c r="P247" i="4"/>
  <c r="S234" i="4"/>
  <c r="L57" i="4"/>
  <c r="R21" i="4"/>
  <c r="P240" i="4"/>
  <c r="T255" i="4"/>
  <c r="S68" i="4"/>
  <c r="O36" i="4"/>
  <c r="L241" i="4"/>
  <c r="R59" i="4"/>
  <c r="P22" i="4"/>
  <c r="M73" i="4"/>
  <c r="S233" i="4"/>
  <c r="L47" i="4"/>
  <c r="M248" i="4"/>
  <c r="N67" i="4"/>
  <c r="Q36" i="4"/>
  <c r="T250" i="4"/>
  <c r="Q249" i="4"/>
  <c r="T66" i="4"/>
  <c r="M33" i="4"/>
  <c r="T248" i="4"/>
  <c r="R60" i="4"/>
  <c r="M52" i="4"/>
  <c r="T68" i="4"/>
  <c r="N40" i="4"/>
  <c r="Q237" i="4"/>
  <c r="Q53" i="4"/>
  <c r="S22" i="4"/>
  <c r="Q70" i="4"/>
  <c r="Q271" i="4" s="1"/>
  <c r="P254" i="4"/>
  <c r="M67" i="4"/>
  <c r="T35" i="4"/>
  <c r="Q239" i="4"/>
  <c r="R56" i="4"/>
  <c r="S21" i="4"/>
  <c r="Q231" i="4"/>
  <c r="P48" i="4"/>
  <c r="Q253" i="4"/>
  <c r="T65" i="4"/>
  <c r="L62" i="4"/>
  <c r="N327" i="4"/>
  <c r="N21" i="4"/>
  <c r="Q49" i="4"/>
  <c r="O252" i="4"/>
  <c r="Q69" i="4"/>
  <c r="Q38" i="4"/>
  <c r="M232" i="4"/>
  <c r="N52" i="4"/>
  <c r="Q20" i="4"/>
  <c r="S249" i="4"/>
  <c r="N66" i="4"/>
  <c r="S32" i="4"/>
  <c r="M234" i="4"/>
  <c r="T49" i="4"/>
  <c r="R19" i="4"/>
  <c r="M256" i="4"/>
  <c r="T31" i="4"/>
  <c r="R250" i="4"/>
  <c r="S246" i="4"/>
  <c r="T61" i="4"/>
  <c r="Q32" i="4"/>
  <c r="N232" i="4"/>
  <c r="S50" i="4"/>
  <c r="T17" i="4"/>
  <c r="L226" i="4"/>
  <c r="N43" i="4"/>
  <c r="N46" i="4"/>
  <c r="N243" i="4"/>
  <c r="P58" i="4"/>
  <c r="O29" i="4"/>
  <c r="P243" i="4"/>
  <c r="M59" i="4"/>
  <c r="N28" i="4"/>
  <c r="N56" i="4"/>
  <c r="O20" i="4"/>
  <c r="O247" i="4"/>
  <c r="Q18" i="4"/>
  <c r="N49" i="4"/>
  <c r="S257" i="4"/>
  <c r="S329" i="4" s="1"/>
  <c r="Q247" i="4"/>
  <c r="O58" i="4"/>
  <c r="T32" i="4"/>
  <c r="P232" i="4"/>
  <c r="Q50" i="4"/>
  <c r="O70" i="4"/>
  <c r="L40" i="4"/>
  <c r="N17" i="4"/>
  <c r="M241" i="4"/>
  <c r="T56" i="4"/>
  <c r="S25" i="4"/>
  <c r="L243" i="4"/>
  <c r="R28" i="4"/>
  <c r="Q55" i="4"/>
  <c r="M226" i="4"/>
  <c r="O30" i="4"/>
  <c r="S235" i="4"/>
  <c r="L255" i="4"/>
  <c r="N241" i="4"/>
  <c r="R57" i="4"/>
  <c r="T26" i="4"/>
  <c r="R235" i="4"/>
  <c r="O227" i="4"/>
  <c r="S45" i="4"/>
  <c r="R257" i="4"/>
  <c r="R329" i="4" s="1"/>
  <c r="N73" i="4"/>
  <c r="N274" i="4" s="1"/>
  <c r="L38" i="4"/>
  <c r="N256" i="4"/>
  <c r="O238" i="4"/>
  <c r="N57" i="4"/>
  <c r="M24" i="4"/>
  <c r="O239" i="4"/>
  <c r="O39" i="4"/>
  <c r="Q66" i="4"/>
  <c r="T231" i="4"/>
  <c r="O49" i="4"/>
  <c r="O327" i="4"/>
  <c r="S240" i="4"/>
  <c r="N54" i="4"/>
  <c r="R25" i="4"/>
  <c r="R327" i="4"/>
  <c r="R228" i="4"/>
  <c r="T46" i="4"/>
  <c r="S226" i="4"/>
  <c r="O73" i="4"/>
  <c r="M36" i="4"/>
  <c r="Q250" i="4"/>
  <c r="N238" i="4"/>
  <c r="M56" i="4"/>
  <c r="L24" i="4"/>
  <c r="Q238" i="4"/>
  <c r="T54" i="4"/>
  <c r="Q19" i="4"/>
  <c r="S23" i="4"/>
  <c r="T327" i="4"/>
  <c r="T51" i="4"/>
  <c r="S231" i="4"/>
  <c r="Q40" i="4"/>
  <c r="N242" i="4"/>
  <c r="N58" i="4"/>
  <c r="M25" i="4"/>
  <c r="M245" i="4"/>
  <c r="M328" i="4" s="1"/>
  <c r="Q61" i="4"/>
  <c r="P31" i="4"/>
  <c r="O250" i="4"/>
  <c r="M243" i="4"/>
  <c r="O57" i="4"/>
  <c r="S24" i="4"/>
  <c r="L257" i="4"/>
  <c r="P73" i="4"/>
  <c r="P274" i="4" s="1"/>
  <c r="P42" i="4"/>
  <c r="Q21" i="4"/>
  <c r="M239" i="4"/>
  <c r="R52" i="4"/>
  <c r="P47" i="4"/>
  <c r="M32" i="4"/>
  <c r="S46" i="4"/>
  <c r="S60" i="4"/>
  <c r="L242" i="4"/>
  <c r="M34" i="4"/>
  <c r="O41" i="4"/>
  <c r="P53" i="4"/>
  <c r="Q22" i="4"/>
  <c r="T226" i="4"/>
  <c r="Q233" i="4"/>
  <c r="Q229" i="4"/>
  <c r="P229" i="4"/>
  <c r="L66" i="4"/>
  <c r="S227" i="4"/>
  <c r="N55" i="4"/>
  <c r="M51" i="4"/>
  <c r="L36" i="4"/>
  <c r="R44" i="4"/>
  <c r="T44" i="4"/>
  <c r="O61" i="4"/>
  <c r="Q29" i="4"/>
  <c r="L44" i="4"/>
  <c r="P69" i="4"/>
  <c r="R51" i="4"/>
  <c r="R233" i="4"/>
  <c r="R29" i="4"/>
  <c r="P34" i="4"/>
  <c r="S253" i="4"/>
  <c r="O245" i="4"/>
  <c r="O328" i="4" s="1"/>
  <c r="P44" i="4"/>
  <c r="R229" i="4"/>
  <c r="L26" i="4"/>
  <c r="L61" i="4"/>
  <c r="U154" i="4" l="1"/>
  <c r="P155" i="4"/>
  <c r="U155" i="4" s="1"/>
  <c r="AA4272" i="7"/>
  <c r="P156" i="4" s="1"/>
  <c r="U156" i="4" s="1"/>
  <c r="AA4271" i="7"/>
  <c r="O330" i="4"/>
  <c r="T330" i="4"/>
  <c r="R330" i="4"/>
  <c r="T269" i="4"/>
  <c r="E153" i="24"/>
  <c r="F153" i="24" s="1"/>
  <c r="O153" i="24"/>
  <c r="AF150" i="24"/>
  <c r="I150" i="24" s="1"/>
  <c r="N150" i="24" s="1"/>
  <c r="S323" i="4"/>
  <c r="S319" i="4"/>
  <c r="O319" i="4"/>
  <c r="Q319" i="4"/>
  <c r="N319" i="4"/>
  <c r="S330" i="4"/>
  <c r="O298" i="4"/>
  <c r="U292" i="4"/>
  <c r="X292" i="4" s="1"/>
  <c r="Z151" i="24" s="1"/>
  <c r="AF151" i="24" s="1"/>
  <c r="I151" i="24" s="1"/>
  <c r="N151" i="24" s="1"/>
  <c r="Q323" i="4"/>
  <c r="N323" i="4"/>
  <c r="R325" i="4"/>
  <c r="O323" i="4"/>
  <c r="U62" i="4"/>
  <c r="U66" i="4"/>
  <c r="AB66" i="4" s="1"/>
  <c r="M230" i="4"/>
  <c r="Q248" i="4"/>
  <c r="P46" i="4"/>
  <c r="R68" i="4"/>
  <c r="N47" i="4"/>
  <c r="O26" i="4"/>
  <c r="U26" i="4" s="1"/>
  <c r="S54" i="4"/>
  <c r="L246" i="4"/>
  <c r="M47" i="4"/>
  <c r="M44" i="4"/>
  <c r="S41" i="4"/>
  <c r="U53" i="4"/>
  <c r="U21" i="4"/>
  <c r="T40" i="4"/>
  <c r="O68" i="4"/>
  <c r="P65" i="4"/>
  <c r="U65" i="4" s="1"/>
  <c r="S254" i="4"/>
  <c r="O63" i="4"/>
  <c r="T238" i="4"/>
  <c r="T323" i="4" s="1"/>
  <c r="O51" i="4"/>
  <c r="U51" i="4" s="1"/>
  <c r="S43" i="4"/>
  <c r="M250" i="4"/>
  <c r="N70" i="4"/>
  <c r="N271" i="4" s="1"/>
  <c r="U271" i="4" s="1"/>
  <c r="X271" i="4" s="1"/>
  <c r="M253" i="4"/>
  <c r="U253" i="4" s="1"/>
  <c r="Q71" i="4"/>
  <c r="U71" i="4" s="1"/>
  <c r="L56" i="4"/>
  <c r="Q255" i="4"/>
  <c r="U255" i="4" s="1"/>
  <c r="L252" i="4"/>
  <c r="U252" i="4" s="1"/>
  <c r="S57" i="4"/>
  <c r="U57" i="4" s="1"/>
  <c r="AB57" i="4" s="1"/>
  <c r="M231" i="4"/>
  <c r="S239" i="4"/>
  <c r="M18" i="4"/>
  <c r="R72" i="4"/>
  <c r="Q230" i="4"/>
  <c r="M249" i="4"/>
  <c r="S37" i="4"/>
  <c r="U37" i="4" s="1"/>
  <c r="L28" i="4"/>
  <c r="P257" i="4"/>
  <c r="P329" i="4" s="1"/>
  <c r="M233" i="4"/>
  <c r="T36" i="4"/>
  <c r="U36" i="4" s="1"/>
  <c r="R249" i="4"/>
  <c r="U50" i="4"/>
  <c r="U39" i="4"/>
  <c r="AB39" i="4" s="1"/>
  <c r="P55" i="4"/>
  <c r="U55" i="4" s="1"/>
  <c r="P19" i="4"/>
  <c r="L233" i="4"/>
  <c r="Q256" i="4"/>
  <c r="M257" i="4"/>
  <c r="M329" i="4" s="1"/>
  <c r="S59" i="4"/>
  <c r="U59" i="4" s="1"/>
  <c r="AB59" i="4" s="1"/>
  <c r="P250" i="4"/>
  <c r="L67" i="4"/>
  <c r="L240" i="4"/>
  <c r="U240" i="4" s="1"/>
  <c r="P40" i="4"/>
  <c r="M20" i="4"/>
  <c r="U20" i="4" s="1"/>
  <c r="S73" i="4"/>
  <c r="S274" i="4" s="1"/>
  <c r="R45" i="4"/>
  <c r="P18" i="4"/>
  <c r="R67" i="4"/>
  <c r="O54" i="4"/>
  <c r="Q244" i="4"/>
  <c r="T22" i="4"/>
  <c r="U22" i="4" s="1"/>
  <c r="U35" i="4"/>
  <c r="U34" i="4"/>
  <c r="U58" i="4"/>
  <c r="L41" i="4"/>
  <c r="P246" i="4"/>
  <c r="T237" i="4"/>
  <c r="T52" i="4"/>
  <c r="P25" i="4"/>
  <c r="O52" i="4"/>
  <c r="L232" i="4"/>
  <c r="M45" i="4"/>
  <c r="M269" i="4" s="1"/>
  <c r="R239" i="4"/>
  <c r="O31" i="4"/>
  <c r="O56" i="4"/>
  <c r="S232" i="4"/>
  <c r="S245" i="4"/>
  <c r="M227" i="4"/>
  <c r="S230" i="4"/>
  <c r="L43" i="4"/>
  <c r="O32" i="4"/>
  <c r="N69" i="4"/>
  <c r="U69" i="4" s="1"/>
  <c r="Q31" i="4"/>
  <c r="P54" i="4"/>
  <c r="O42" i="4"/>
  <c r="L42" i="4"/>
  <c r="M49" i="4"/>
  <c r="Q45" i="4"/>
  <c r="Q28" i="4"/>
  <c r="M17" i="4"/>
  <c r="Q48" i="4"/>
  <c r="Q44" i="4"/>
  <c r="P17" i="4"/>
  <c r="P230" i="4"/>
  <c r="U247" i="4"/>
  <c r="S30" i="4"/>
  <c r="U30" i="4" s="1"/>
  <c r="N18" i="4"/>
  <c r="S243" i="4"/>
  <c r="P52" i="4"/>
  <c r="N61" i="4"/>
  <c r="U61" i="4" s="1"/>
  <c r="AB61" i="4" s="1"/>
  <c r="M228" i="4"/>
  <c r="S18" i="4"/>
  <c r="R54" i="4"/>
  <c r="M254" i="4"/>
  <c r="U254" i="4" s="1"/>
  <c r="P49" i="4"/>
  <c r="S72" i="4"/>
  <c r="L52" i="4"/>
  <c r="Q43" i="4"/>
  <c r="O23" i="4"/>
  <c r="U23" i="4" s="1"/>
  <c r="S250" i="4"/>
  <c r="S48" i="4"/>
  <c r="O48" i="4"/>
  <c r="S31" i="4"/>
  <c r="M54" i="4"/>
  <c r="N228" i="4"/>
  <c r="N325" i="4" s="1"/>
  <c r="L238" i="4"/>
  <c r="R24" i="4"/>
  <c r="T257" i="4"/>
  <c r="T329" i="4" s="1"/>
  <c r="P242" i="4"/>
  <c r="U242" i="4" s="1"/>
  <c r="L274" i="4"/>
  <c r="P227" i="4"/>
  <c r="Q257" i="4"/>
  <c r="Q329" i="4" s="1"/>
  <c r="P33" i="4"/>
  <c r="O233" i="4"/>
  <c r="T29" i="4"/>
  <c r="O243" i="4"/>
  <c r="U226" i="4"/>
  <c r="P60" i="4"/>
  <c r="U60" i="4" s="1"/>
  <c r="AB60" i="4" s="1"/>
  <c r="L63" i="4"/>
  <c r="M237" i="4"/>
  <c r="R227" i="4"/>
  <c r="Q232" i="4"/>
  <c r="S29" i="4"/>
  <c r="S241" i="4"/>
  <c r="P24" i="4"/>
  <c r="O40" i="4"/>
  <c r="L248" i="4"/>
  <c r="U248" i="4" s="1"/>
  <c r="P235" i="4"/>
  <c r="U235" i="4" s="1"/>
  <c r="P234" i="4"/>
  <c r="U234" i="4" s="1"/>
  <c r="M70" i="4"/>
  <c r="U229" i="4"/>
  <c r="P38" i="4"/>
  <c r="U38" i="4" s="1"/>
  <c r="T241" i="4"/>
  <c r="Q52" i="4"/>
  <c r="L19" i="4"/>
  <c r="O256" i="4"/>
  <c r="L70" i="4"/>
  <c r="S33" i="4"/>
  <c r="L46" i="4"/>
  <c r="L330" i="4"/>
  <c r="U256" i="4" l="1"/>
  <c r="L323" i="4"/>
  <c r="U239" i="4"/>
  <c r="U63" i="4"/>
  <c r="AB63" i="4" s="1"/>
  <c r="Q269" i="4"/>
  <c r="N269" i="4"/>
  <c r="S269" i="4"/>
  <c r="R269" i="4"/>
  <c r="L325" i="4"/>
  <c r="L269" i="4"/>
  <c r="U32" i="4"/>
  <c r="AB32" i="4" s="1"/>
  <c r="O269" i="4"/>
  <c r="E151" i="24"/>
  <c r="F151" i="24" s="1"/>
  <c r="O151" i="24"/>
  <c r="E150" i="24"/>
  <c r="F150" i="24" s="1"/>
  <c r="O150" i="24"/>
  <c r="P269" i="4"/>
  <c r="P323" i="4"/>
  <c r="P319" i="4"/>
  <c r="L319" i="4"/>
  <c r="T319" i="4"/>
  <c r="R323" i="4"/>
  <c r="R319" i="4"/>
  <c r="P325" i="4"/>
  <c r="M323" i="4"/>
  <c r="M319" i="4"/>
  <c r="U46" i="4"/>
  <c r="T325" i="4"/>
  <c r="Q325" i="4"/>
  <c r="S325" i="4"/>
  <c r="O325" i="4"/>
  <c r="M325" i="4"/>
  <c r="P293" i="4"/>
  <c r="U244" i="4"/>
  <c r="Q330" i="4"/>
  <c r="U231" i="4"/>
  <c r="M330" i="4"/>
  <c r="U245" i="4"/>
  <c r="S328" i="4"/>
  <c r="U328" i="4" s="1"/>
  <c r="X328" i="4" s="1"/>
  <c r="Z213" i="24" s="1"/>
  <c r="U68" i="4"/>
  <c r="U249" i="4"/>
  <c r="U241" i="4"/>
  <c r="U238" i="4"/>
  <c r="U19" i="4"/>
  <c r="U48" i="4"/>
  <c r="AB48" i="4" s="1"/>
  <c r="U230" i="4"/>
  <c r="U29" i="4"/>
  <c r="U49" i="4"/>
  <c r="U42" i="4"/>
  <c r="U237" i="4"/>
  <c r="U250" i="4"/>
  <c r="U243" i="4"/>
  <c r="U31" i="4"/>
  <c r="U45" i="4"/>
  <c r="AB45" i="4" s="1"/>
  <c r="U47" i="4"/>
  <c r="U17" i="4"/>
  <c r="U24" i="4"/>
  <c r="U257" i="4"/>
  <c r="U40" i="4"/>
  <c r="U227" i="4"/>
  <c r="U54" i="4"/>
  <c r="U18" i="4"/>
  <c r="U41" i="4"/>
  <c r="U72" i="4"/>
  <c r="U33" i="4"/>
  <c r="U228" i="4"/>
  <c r="U52" i="4"/>
  <c r="U67" i="4"/>
  <c r="AB67" i="4" s="1"/>
  <c r="U56" i="4"/>
  <c r="AB56" i="4" s="1"/>
  <c r="U70" i="4"/>
  <c r="U329" i="4"/>
  <c r="X329" i="4" s="1"/>
  <c r="U28" i="4"/>
  <c r="U233" i="4"/>
  <c r="U246" i="4"/>
  <c r="U73" i="4"/>
  <c r="AB73" i="4" s="1"/>
  <c r="U232" i="4"/>
  <c r="U274" i="4"/>
  <c r="X274" i="4" s="1"/>
  <c r="Z108" i="24" s="1"/>
  <c r="AF108" i="24" s="1"/>
  <c r="I108" i="24" s="1"/>
  <c r="N108" i="24" s="1"/>
  <c r="P327" i="4"/>
  <c r="U327" i="4" s="1"/>
  <c r="X327" i="4" s="1"/>
  <c r="O25" i="4"/>
  <c r="U25" i="4" s="1"/>
  <c r="O43" i="4"/>
  <c r="U43" i="4" s="1"/>
  <c r="O44" i="4"/>
  <c r="U44" i="4" s="1"/>
  <c r="N330" i="4"/>
  <c r="U269" i="4" l="1"/>
  <c r="U323" i="4"/>
  <c r="X323" i="4" s="1"/>
  <c r="Z211" i="24" s="1"/>
  <c r="O108" i="24"/>
  <c r="E108" i="24"/>
  <c r="F108" i="24" s="1"/>
  <c r="U319" i="4"/>
  <c r="X319" i="4" s="1"/>
  <c r="U325" i="4"/>
  <c r="X325" i="4" s="1"/>
  <c r="Z212" i="24" s="1"/>
  <c r="AF212" i="24" s="1"/>
  <c r="I212" i="24" s="1"/>
  <c r="N212" i="24" s="1"/>
  <c r="U293" i="4"/>
  <c r="P298" i="4"/>
  <c r="P330" i="4"/>
  <c r="U330" i="4" s="1"/>
  <c r="X330" i="4" s="1"/>
  <c r="Z214" i="24" s="1"/>
  <c r="X269" i="4" l="1"/>
  <c r="Z106" i="24" s="1"/>
  <c r="AF106" i="24" s="1"/>
  <c r="I106" i="24" s="1"/>
  <c r="N106" i="24" s="1"/>
  <c r="E212" i="24"/>
  <c r="F212" i="24" s="1"/>
  <c r="O212" i="24"/>
  <c r="X293" i="4"/>
  <c r="Z152" i="24" s="1"/>
  <c r="U298" i="4"/>
  <c r="S53" i="15"/>
  <c r="S52" i="15"/>
  <c r="O106" i="24" l="1"/>
  <c r="E106" i="24"/>
  <c r="F106" i="24" s="1"/>
  <c r="AF152" i="24"/>
  <c r="I152" i="24" s="1"/>
  <c r="N152" i="24" s="1"/>
  <c r="AL147" i="24"/>
  <c r="L225" i="4"/>
  <c r="L326" i="4" s="1"/>
  <c r="M223" i="4"/>
  <c r="O223" i="4"/>
  <c r="P225" i="4"/>
  <c r="P326" i="4" s="1"/>
  <c r="O224" i="4"/>
  <c r="O331" i="4" s="1"/>
  <c r="S15" i="4"/>
  <c r="O15" i="4"/>
  <c r="M15" i="4"/>
  <c r="P224" i="4"/>
  <c r="P331" i="4" s="1"/>
  <c r="S223" i="4"/>
  <c r="S225" i="4"/>
  <c r="S326" i="4" s="1"/>
  <c r="R224" i="4"/>
  <c r="R331" i="4" s="1"/>
  <c r="P15" i="4"/>
  <c r="Q14" i="4"/>
  <c r="Q270" i="4" s="1"/>
  <c r="N223" i="4"/>
  <c r="P14" i="4"/>
  <c r="P270" i="4" s="1"/>
  <c r="N225" i="4"/>
  <c r="N326" i="4" s="1"/>
  <c r="N16" i="4"/>
  <c r="L224" i="4"/>
  <c r="L331" i="4" s="1"/>
  <c r="Q225" i="4"/>
  <c r="Q326" i="4" s="1"/>
  <c r="Q15" i="4"/>
  <c r="R223" i="4"/>
  <c r="O225" i="4"/>
  <c r="O326" i="4" s="1"/>
  <c r="L223" i="4"/>
  <c r="P223" i="4"/>
  <c r="R16" i="4"/>
  <c r="P16" i="4"/>
  <c r="T225" i="4"/>
  <c r="T326" i="4" s="1"/>
  <c r="R225" i="4"/>
  <c r="R326" i="4" s="1"/>
  <c r="L14" i="4"/>
  <c r="L270" i="4" s="1"/>
  <c r="T224" i="4"/>
  <c r="T331" i="4" s="1"/>
  <c r="M225" i="4"/>
  <c r="M326" i="4" s="1"/>
  <c r="R14" i="4"/>
  <c r="R270" i="4" s="1"/>
  <c r="M16" i="4"/>
  <c r="S16" i="4"/>
  <c r="S224" i="4"/>
  <c r="S331" i="4" s="1"/>
  <c r="S14" i="4"/>
  <c r="S270" i="4" s="1"/>
  <c r="N14" i="4"/>
  <c r="N270" i="4" s="1"/>
  <c r="M224" i="4"/>
  <c r="M331" i="4" s="1"/>
  <c r="Q223" i="4"/>
  <c r="T16" i="4"/>
  <c r="T223" i="4"/>
  <c r="T15" i="4"/>
  <c r="O16" i="4"/>
  <c r="Q224" i="4"/>
  <c r="Q331" i="4" s="1"/>
  <c r="N224" i="4"/>
  <c r="N331" i="4" s="1"/>
  <c r="R15" i="4"/>
  <c r="O14" i="4"/>
  <c r="O270" i="4" s="1"/>
  <c r="Q16" i="4"/>
  <c r="L16" i="4"/>
  <c r="M14" i="4"/>
  <c r="M270" i="4" s="1"/>
  <c r="L15" i="4"/>
  <c r="N15" i="4"/>
  <c r="T14" i="4"/>
  <c r="T270" i="4" s="1"/>
  <c r="P322" i="4" l="1"/>
  <c r="L322" i="4"/>
  <c r="U270" i="4"/>
  <c r="X270" i="4" s="1"/>
  <c r="Z107" i="24" s="1"/>
  <c r="AF107" i="24" s="1"/>
  <c r="I107" i="24" s="1"/>
  <c r="N107" i="24" s="1"/>
  <c r="E152" i="24"/>
  <c r="F152" i="24" s="1"/>
  <c r="F172" i="24" s="1"/>
  <c r="F32" i="23" s="1"/>
  <c r="O152" i="24"/>
  <c r="O172" i="24" s="1"/>
  <c r="O32" i="23" s="1"/>
  <c r="N322" i="4"/>
  <c r="L259" i="4"/>
  <c r="O322" i="4"/>
  <c r="S322" i="4"/>
  <c r="Q322" i="4"/>
  <c r="T322" i="4"/>
  <c r="R322" i="4"/>
  <c r="M322" i="4"/>
  <c r="U331" i="4"/>
  <c r="X331" i="4" s="1"/>
  <c r="U326" i="4"/>
  <c r="X326" i="4" s="1"/>
  <c r="AF211" i="24" s="1"/>
  <c r="I211" i="24" s="1"/>
  <c r="N211" i="24" s="1"/>
  <c r="S266" i="4"/>
  <c r="L266" i="4"/>
  <c r="P266" i="4"/>
  <c r="T266" i="4"/>
  <c r="M266" i="4"/>
  <c r="O266" i="4"/>
  <c r="R266" i="4"/>
  <c r="Q266" i="4"/>
  <c r="S267" i="4"/>
  <c r="T267" i="4"/>
  <c r="Q267" i="4"/>
  <c r="U15" i="4"/>
  <c r="Q259" i="4"/>
  <c r="P259" i="4"/>
  <c r="P267" i="4"/>
  <c r="O267" i="4"/>
  <c r="S259" i="4"/>
  <c r="L267" i="4"/>
  <c r="U16" i="4"/>
  <c r="R259" i="4"/>
  <c r="M267" i="4"/>
  <c r="M259" i="4"/>
  <c r="N259" i="4"/>
  <c r="U223" i="4"/>
  <c r="U224" i="4"/>
  <c r="R267" i="4"/>
  <c r="N267" i="4"/>
  <c r="O259" i="4"/>
  <c r="U14" i="4"/>
  <c r="T259" i="4"/>
  <c r="U225" i="4"/>
  <c r="E107" i="24" l="1"/>
  <c r="F107" i="24" s="1"/>
  <c r="O107" i="24"/>
  <c r="U322" i="4"/>
  <c r="X322" i="4" s="1"/>
  <c r="Z210" i="24" s="1"/>
  <c r="AF210" i="24" s="1"/>
  <c r="I210" i="24" s="1"/>
  <c r="N210" i="24" s="1"/>
  <c r="U259" i="4"/>
  <c r="AF213" i="24"/>
  <c r="I213" i="24" s="1"/>
  <c r="N213" i="24" s="1"/>
  <c r="E211" i="24"/>
  <c r="F211" i="24" s="1"/>
  <c r="O211" i="24"/>
  <c r="K18" i="15"/>
  <c r="K62" i="15" s="1"/>
  <c r="K29" i="15"/>
  <c r="K73" i="15" s="1"/>
  <c r="T332" i="4"/>
  <c r="P12" i="15" s="1"/>
  <c r="P56" i="15" s="1"/>
  <c r="R332" i="4"/>
  <c r="N12" i="15" s="1"/>
  <c r="N56" i="15" s="1"/>
  <c r="S332" i="4"/>
  <c r="O12" i="15" s="1"/>
  <c r="O56" i="15" s="1"/>
  <c r="P332" i="4"/>
  <c r="L12" i="15" s="1"/>
  <c r="L56" i="15" s="1"/>
  <c r="O332" i="4"/>
  <c r="K12" i="15" s="1"/>
  <c r="K56" i="15" s="1"/>
  <c r="L332" i="4"/>
  <c r="H12" i="15" s="1"/>
  <c r="Q332" i="4"/>
  <c r="M12" i="15" s="1"/>
  <c r="M56" i="15" s="1"/>
  <c r="H7271" i="7"/>
  <c r="R260" i="4" s="1"/>
  <c r="H7268" i="7"/>
  <c r="O260" i="4" s="1"/>
  <c r="O268" i="4" s="1"/>
  <c r="O281" i="4" s="1"/>
  <c r="K7" i="15" s="1"/>
  <c r="K51" i="15" s="1"/>
  <c r="H7264" i="7"/>
  <c r="H7273" i="7"/>
  <c r="T260" i="4" s="1"/>
  <c r="H7272" i="7"/>
  <c r="S260" i="4" s="1"/>
  <c r="H7270" i="7"/>
  <c r="Q260" i="4" s="1"/>
  <c r="Q268" i="4" s="1"/>
  <c r="Q281" i="4" s="1"/>
  <c r="M7" i="15" s="1"/>
  <c r="M51" i="15" s="1"/>
  <c r="N260" i="4"/>
  <c r="N266" i="4" s="1"/>
  <c r="U266" i="4" s="1"/>
  <c r="X266" i="4" s="1"/>
  <c r="Z103" i="24" s="1"/>
  <c r="M260" i="4"/>
  <c r="H7269" i="7"/>
  <c r="P260" i="4" s="1"/>
  <c r="P268" i="4" s="1"/>
  <c r="P281" i="4" s="1"/>
  <c r="L7" i="15" s="1"/>
  <c r="L51" i="15" s="1"/>
  <c r="M332" i="4"/>
  <c r="I12" i="15" s="1"/>
  <c r="I56" i="15" s="1"/>
  <c r="U267" i="4"/>
  <c r="N332" i="4"/>
  <c r="J12" i="15" s="1"/>
  <c r="J56" i="15" s="1"/>
  <c r="U332" i="4" l="1"/>
  <c r="H7275" i="7"/>
  <c r="V261" i="4" s="1"/>
  <c r="P334" i="4"/>
  <c r="I29" i="15"/>
  <c r="I73" i="15" s="1"/>
  <c r="M268" i="4"/>
  <c r="M281" i="4" s="1"/>
  <c r="I7" i="15" s="1"/>
  <c r="I51" i="15" s="1"/>
  <c r="J29" i="15"/>
  <c r="J73" i="15" s="1"/>
  <c r="N268" i="4"/>
  <c r="N281" i="4" s="1"/>
  <c r="J7" i="15" s="1"/>
  <c r="J51" i="15" s="1"/>
  <c r="P29" i="15"/>
  <c r="P73" i="15" s="1"/>
  <c r="T268" i="4"/>
  <c r="T281" i="4" s="1"/>
  <c r="P7" i="15" s="1"/>
  <c r="P51" i="15" s="1"/>
  <c r="N29" i="15"/>
  <c r="N73" i="15" s="1"/>
  <c r="R268" i="4"/>
  <c r="R281" i="4" s="1"/>
  <c r="N7" i="15" s="1"/>
  <c r="N51" i="15" s="1"/>
  <c r="O29" i="15"/>
  <c r="O73" i="15" s="1"/>
  <c r="S268" i="4"/>
  <c r="S281" i="4" s="1"/>
  <c r="O7" i="15" s="1"/>
  <c r="O51" i="15" s="1"/>
  <c r="E213" i="24"/>
  <c r="F213" i="24" s="1"/>
  <c r="O213" i="24"/>
  <c r="O210" i="24"/>
  <c r="E210" i="24"/>
  <c r="F210" i="24" s="1"/>
  <c r="M23" i="15"/>
  <c r="M67" i="15" s="1"/>
  <c r="M29" i="15"/>
  <c r="M73" i="15" s="1"/>
  <c r="L23" i="15"/>
  <c r="L67" i="15" s="1"/>
  <c r="L29" i="15"/>
  <c r="L73" i="15" s="1"/>
  <c r="I18" i="15"/>
  <c r="I62" i="15" s="1"/>
  <c r="P18" i="15"/>
  <c r="P62" i="15" s="1"/>
  <c r="N18" i="15"/>
  <c r="N62" i="15" s="1"/>
  <c r="J18" i="15"/>
  <c r="J62" i="15" s="1"/>
  <c r="M18" i="15"/>
  <c r="M62" i="15" s="1"/>
  <c r="L18" i="15"/>
  <c r="L62" i="15" s="1"/>
  <c r="O18" i="15"/>
  <c r="O62" i="15" s="1"/>
  <c r="X267" i="4"/>
  <c r="Z104" i="24" s="1"/>
  <c r="AF104" i="24" s="1"/>
  <c r="I104" i="24" s="1"/>
  <c r="N104" i="24" s="1"/>
  <c r="H56" i="15"/>
  <c r="S56" i="15" s="1"/>
  <c r="S12" i="15"/>
  <c r="W12" i="15" s="1"/>
  <c r="W16" i="15"/>
  <c r="L260" i="4"/>
  <c r="L268" i="4" s="1"/>
  <c r="U261" i="4"/>
  <c r="U260" i="4"/>
  <c r="E104" i="24" l="1"/>
  <c r="F104" i="24" s="1"/>
  <c r="O104" i="24"/>
  <c r="U268" i="4"/>
  <c r="L281" i="4"/>
  <c r="H7" i="15" s="1"/>
  <c r="L77" i="15"/>
  <c r="M77" i="15"/>
  <c r="L33" i="15"/>
  <c r="M33" i="15"/>
  <c r="P23" i="15"/>
  <c r="P67" i="15" s="1"/>
  <c r="P77" i="15" s="1"/>
  <c r="I23" i="15"/>
  <c r="I67" i="15" s="1"/>
  <c r="I77" i="15" s="1"/>
  <c r="H29" i="15"/>
  <c r="H18" i="15"/>
  <c r="O23" i="15"/>
  <c r="O67" i="15" s="1"/>
  <c r="O77" i="15" s="1"/>
  <c r="J23" i="15"/>
  <c r="J67" i="15" s="1"/>
  <c r="J77" i="15" s="1"/>
  <c r="N23" i="15"/>
  <c r="N67" i="15" s="1"/>
  <c r="N77" i="15" s="1"/>
  <c r="Q334" i="4"/>
  <c r="AF103" i="24"/>
  <c r="I103" i="24" s="1"/>
  <c r="U281" i="4" l="1"/>
  <c r="U334" i="4" s="1"/>
  <c r="P335" i="4" s="1"/>
  <c r="H51" i="15"/>
  <c r="S51" i="15" s="1"/>
  <c r="S7" i="15"/>
  <c r="W7" i="15" s="1"/>
  <c r="W10" i="15"/>
  <c r="X268" i="4"/>
  <c r="Z105" i="24" s="1"/>
  <c r="AF105" i="24" s="1"/>
  <c r="I105" i="24" s="1"/>
  <c r="N105" i="24" s="1"/>
  <c r="I33" i="15"/>
  <c r="J33" i="15"/>
  <c r="N33" i="15"/>
  <c r="O33" i="15"/>
  <c r="P33" i="15"/>
  <c r="W21" i="15"/>
  <c r="N103" i="24"/>
  <c r="E103" i="24" s="1"/>
  <c r="F103" i="24" s="1"/>
  <c r="T334" i="4"/>
  <c r="M334" i="4"/>
  <c r="S334" i="4"/>
  <c r="H73" i="15"/>
  <c r="S73" i="15" s="1"/>
  <c r="S29" i="15"/>
  <c r="W29" i="15" s="1"/>
  <c r="H23" i="15"/>
  <c r="R334" i="4"/>
  <c r="K23" i="15"/>
  <c r="O334" i="4"/>
  <c r="N334" i="4"/>
  <c r="H62" i="15"/>
  <c r="S18" i="15"/>
  <c r="E105" i="24" l="1"/>
  <c r="F105" i="24" s="1"/>
  <c r="F139" i="24" s="1"/>
  <c r="F31" i="23" s="1"/>
  <c r="O105" i="24"/>
  <c r="AL102" i="24"/>
  <c r="AF214" i="24"/>
  <c r="I214" i="24" s="1"/>
  <c r="N214" i="24" s="1"/>
  <c r="E214" i="24" s="1"/>
  <c r="F214" i="24" s="1"/>
  <c r="F219" i="24" s="1"/>
  <c r="F34" i="23" s="1"/>
  <c r="AL209" i="24"/>
  <c r="O103" i="24"/>
  <c r="S62" i="15"/>
  <c r="K67" i="15"/>
  <c r="K77" i="15" s="1"/>
  <c r="K33" i="15"/>
  <c r="W27" i="15"/>
  <c r="H33" i="15"/>
  <c r="W18" i="15"/>
  <c r="L334" i="4"/>
  <c r="S23" i="15"/>
  <c r="W23" i="15" s="1"/>
  <c r="H67" i="15"/>
  <c r="W31" i="15"/>
  <c r="F39" i="23" l="1"/>
  <c r="F9" i="23" s="1"/>
  <c r="S67" i="15"/>
  <c r="S77" i="15" s="1"/>
  <c r="O214" i="24"/>
  <c r="O219" i="24" s="1"/>
  <c r="O34" i="23" s="1"/>
  <c r="H77" i="15"/>
  <c r="S33" i="15"/>
  <c r="S34" i="15" s="1"/>
  <c r="O139" i="24" l="1"/>
  <c r="O31" i="23" s="1"/>
  <c r="O39" i="23" s="1"/>
  <c r="O19" i="23" s="1"/>
  <c r="C40" i="15"/>
  <c r="I286" i="24"/>
  <c r="I287" i="24" s="1"/>
  <c r="S78" i="15"/>
  <c r="S79" i="15" s="1"/>
  <c r="F286" i="24" l="1"/>
  <c r="O286" i="24"/>
  <c r="O22" i="23" l="1"/>
  <c r="O287" i="24"/>
  <c r="P286" i="24"/>
  <c r="O21" i="23"/>
  <c r="H9" i="22"/>
  <c r="C22" i="22" s="1"/>
  <c r="H12" i="22" l="1"/>
  <c r="F12" i="23"/>
  <c r="K27" i="23" s="1"/>
  <c r="L28" i="23" s="1"/>
  <c r="K21" i="23" l="1"/>
  <c r="Q21" i="23" s="1"/>
  <c r="K22" i="23"/>
  <c r="Q22" i="23" s="1"/>
  <c r="E9" i="22"/>
  <c r="C21" i="22" s="1"/>
  <c r="E12" i="22" l="1"/>
  <c r="C24" i="22"/>
</calcChain>
</file>

<file path=xl/comments1.xml><?xml version="1.0" encoding="utf-8"?>
<comments xmlns="http://schemas.openxmlformats.org/spreadsheetml/2006/main">
  <authors>
    <author>Heri</author>
  </authors>
  <commentList>
    <comment ref="X3" authorId="0">
      <text>
        <r>
          <rPr>
            <b/>
            <sz val="8"/>
            <color indexed="81"/>
            <rFont val="Tahoma"/>
            <family val="2"/>
          </rPr>
          <t>Lebar space 1 sisi</t>
        </r>
      </text>
    </comment>
    <comment ref="L5" authorId="0">
      <text>
        <r>
          <rPr>
            <b/>
            <sz val="8"/>
            <color indexed="81"/>
            <rFont val="Tahoma"/>
            <family val="2"/>
          </rPr>
          <t>El. Tanah hasil perataan lahan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<sst xmlns="http://schemas.openxmlformats.org/spreadsheetml/2006/main" count="46544" uniqueCount="2374">
  <si>
    <t>Program Perhitungan Volume Pile Cap + Tanah</t>
  </si>
  <si>
    <t>Proyek</t>
  </si>
  <si>
    <t>NB: RUMUS INI BERDASARKAN ASUMSI TULANGAN ATAS DAN BAWAH SALING OVERLAP (SEPERTI GAMBAR DI SAMPING). BILA DETAIL YANG DIBERIKAN KONSULTAN BERBEDA, RUMUS MOHON DISESUAIKAN</t>
  </si>
  <si>
    <t>T. Plat       =</t>
  </si>
  <si>
    <t>mm</t>
  </si>
  <si>
    <t>Waste  beton =</t>
  </si>
  <si>
    <t>Lebar space galian =</t>
  </si>
  <si>
    <t>T. psr urug =</t>
  </si>
  <si>
    <t>Waste   besi  =</t>
  </si>
  <si>
    <t>Tebal acuan =</t>
  </si>
  <si>
    <t>T. lt. kerja  =</t>
  </si>
  <si>
    <t>El. tanah rata   =</t>
  </si>
  <si>
    <t>m</t>
  </si>
  <si>
    <t>Waste  bkstg =</t>
  </si>
  <si>
    <t>Tebal selimut beton =</t>
  </si>
  <si>
    <t>Sambungan lewatan =</t>
  </si>
  <si>
    <t>D</t>
  </si>
  <si>
    <t>Kait =</t>
  </si>
  <si>
    <t>Tipe Pile Cap</t>
  </si>
  <si>
    <t>Lebar
(arah X)</t>
  </si>
  <si>
    <t>Panjang
(arah Y)</t>
  </si>
  <si>
    <t>Tebal Kotor Pile Cap</t>
  </si>
  <si>
    <t>Top of Pile Cap</t>
  </si>
  <si>
    <t>Tebal Bersih Pile Cap</t>
  </si>
  <si>
    <t>Pengurang</t>
  </si>
  <si>
    <t>Kait Tul. Atas</t>
  </si>
  <si>
    <t>Tinggi tul. Tegak</t>
  </si>
  <si>
    <t>Luas</t>
  </si>
  <si>
    <t>Keliling</t>
  </si>
  <si>
    <t>Luas Galian</t>
  </si>
  <si>
    <t>Vol. Beton</t>
  </si>
  <si>
    <t>Vol. Bekisting</t>
  </si>
  <si>
    <t>Jmlh Titik Pancang</t>
  </si>
  <si>
    <t>Peminggang (Tul. Cincin)</t>
  </si>
  <si>
    <t>Tulangan Atas</t>
  </si>
  <si>
    <t>Tulangan Bawah</t>
  </si>
  <si>
    <t>Kaki Ayam</t>
  </si>
  <si>
    <t>Tambahan Hook (seperti sengkang ekstra searah tebal)</t>
  </si>
  <si>
    <t>Jumlah Tiang Bor</t>
  </si>
  <si>
    <t>Sejajar dengan…</t>
  </si>
  <si>
    <t>Sejajar lebar</t>
  </si>
  <si>
    <t>Sejajar panjang</t>
  </si>
  <si>
    <t>Lebar</t>
  </si>
  <si>
    <t>Jmlh</t>
  </si>
  <si>
    <t>Panjang</t>
  </si>
  <si>
    <t>Jml</t>
  </si>
  <si>
    <t>Berat</t>
  </si>
  <si>
    <t>Jarak</t>
  </si>
  <si>
    <t>Jumlah</t>
  </si>
  <si>
    <t>m2</t>
  </si>
  <si>
    <t>m'</t>
  </si>
  <si>
    <t>m3</t>
  </si>
  <si>
    <t>bh</t>
  </si>
  <si>
    <t>kg</t>
  </si>
  <si>
    <t>CEK</t>
  </si>
  <si>
    <t>Cek Jumlah Tulangan Pile Cap Yang Tidak Kotak</t>
  </si>
  <si>
    <t>P3</t>
  </si>
  <si>
    <t>P3A</t>
  </si>
  <si>
    <t>P3B</t>
  </si>
  <si>
    <t>PROYEK</t>
  </si>
  <si>
    <t>Elv. Rata</t>
  </si>
  <si>
    <t>AREA</t>
  </si>
  <si>
    <t>: All</t>
  </si>
  <si>
    <t>No.</t>
  </si>
  <si>
    <t>TYPE</t>
  </si>
  <si>
    <t>Jmlh Pile Cap</t>
  </si>
  <si>
    <t>Elv. Top Pile Cap</t>
  </si>
  <si>
    <t>Elv. Bottom Galian</t>
  </si>
  <si>
    <t>Tebal Pile Cap</t>
  </si>
  <si>
    <t>Jmlh Titik PANCANG</t>
  </si>
  <si>
    <t>Jmlh Titik BORED PILE</t>
  </si>
  <si>
    <t>Lantai Kerja</t>
  </si>
  <si>
    <t>Pasir Urug</t>
  </si>
  <si>
    <t>Galian</t>
  </si>
  <si>
    <t>Urugan Kembali</t>
  </si>
  <si>
    <t>LUAS</t>
  </si>
  <si>
    <t>KEL.</t>
  </si>
  <si>
    <t>BUANG TANAH</t>
  </si>
  <si>
    <t>Buangan Tanah</t>
  </si>
  <si>
    <t>Tul. Atas Sejajar Lebar</t>
  </si>
  <si>
    <t>Tul. Atas Sejajar Panjang</t>
  </si>
  <si>
    <t>Tul. Bawah Sejajar Lebar</t>
  </si>
  <si>
    <t>Tul. Bawah Sejajar Panjang</t>
  </si>
  <si>
    <t>Tambahan Hook</t>
  </si>
  <si>
    <t>Vol. Besi Total</t>
  </si>
  <si>
    <t>GALIAN</t>
  </si>
  <si>
    <t>PC</t>
  </si>
  <si>
    <t>BETON</t>
  </si>
  <si>
    <t>BKSTG</t>
  </si>
  <si>
    <t>Diameter</t>
  </si>
  <si>
    <t>BANGUNAN UTAMA</t>
  </si>
  <si>
    <t>kontrol</t>
  </si>
  <si>
    <t>Jumlah titik pancang di elevasi TOPC:</t>
  </si>
  <si>
    <t>NB: GALIAN DIHITUNG DARI ELEVASI RATA, UNTUK MUDAHKAN PERHITUNGAN</t>
  </si>
  <si>
    <t>Rekapitulasi Perhitungan Volume Pile Cap + Tanah</t>
  </si>
  <si>
    <t>Beton</t>
  </si>
  <si>
    <t>Bekisting</t>
  </si>
  <si>
    <t>Jmlh Pancang</t>
  </si>
  <si>
    <t>Jmlh Bored Pile</t>
  </si>
  <si>
    <t>Besi</t>
  </si>
  <si>
    <t>Total Besi</t>
  </si>
  <si>
    <t>Rasio Bekisting</t>
  </si>
  <si>
    <t>Rasio Besi</t>
  </si>
  <si>
    <t>Total</t>
  </si>
  <si>
    <t>PC.3</t>
  </si>
  <si>
    <t>PC.3S</t>
  </si>
  <si>
    <t>PC.5S</t>
  </si>
  <si>
    <t>cek</t>
  </si>
  <si>
    <t>????</t>
  </si>
  <si>
    <t>PERHITUNGAN PEKERJAAN BALOK</t>
  </si>
  <si>
    <t>:</t>
  </si>
  <si>
    <t>Elevasi Existing</t>
  </si>
  <si>
    <t>Space Galian (per sisi)</t>
  </si>
  <si>
    <t>Tebal Lantai Kerja</t>
  </si>
  <si>
    <t>Tebal Pasir Urug</t>
  </si>
  <si>
    <t>Lantai / Elevasi</t>
  </si>
  <si>
    <t>Nomor Balok</t>
  </si>
  <si>
    <t>Type</t>
  </si>
  <si>
    <t>Dimensi</t>
  </si>
  <si>
    <t>RAP</t>
  </si>
  <si>
    <t>L net</t>
  </si>
  <si>
    <t>Tebal Plat</t>
  </si>
  <si>
    <t>Elv. Top</t>
  </si>
  <si>
    <t>Elv. Bottom</t>
  </si>
  <si>
    <t>TOTAL BESI</t>
  </si>
  <si>
    <t>x</t>
  </si>
  <si>
    <t>rasio</t>
  </si>
  <si>
    <t>REKAP BERDASARKAN TIPE BALOK</t>
  </si>
  <si>
    <t>RASIO (TOTAL)</t>
  </si>
  <si>
    <t>BEKISTING</t>
  </si>
  <si>
    <t>BESI</t>
  </si>
  <si>
    <t>Lantai 1</t>
  </si>
  <si>
    <t>B24-1</t>
  </si>
  <si>
    <t>B24-2</t>
  </si>
  <si>
    <t>B25-1</t>
  </si>
  <si>
    <t>B26-1</t>
  </si>
  <si>
    <t>Lantai 2</t>
  </si>
  <si>
    <t>Lantai Atap</t>
  </si>
  <si>
    <t>TOTAL</t>
  </si>
  <si>
    <t>CV. DUTA SARANA PRATAMA</t>
  </si>
  <si>
    <t>ADA TUL. SAMPING</t>
  </si>
  <si>
    <t>TUMPUAN, LAPANGAN, TUMPUAN BEDA</t>
  </si>
  <si>
    <t>DETAIL BALOK</t>
  </si>
  <si>
    <t>NO</t>
  </si>
  <si>
    <t>TIPE</t>
  </si>
  <si>
    <t>DIMENSI</t>
  </si>
  <si>
    <t>TUL. ATAS</t>
  </si>
  <si>
    <t>TUL. SAMPING</t>
  </si>
  <si>
    <t>TUL. BAWAH</t>
  </si>
  <si>
    <t>SENGKANG</t>
  </si>
  <si>
    <t>KAIT HORIZONTAL</t>
  </si>
  <si>
    <t>B</t>
  </si>
  <si>
    <t>H</t>
  </si>
  <si>
    <t>TUMPUAN</t>
  </si>
  <si>
    <t>LAPANGAN</t>
  </si>
  <si>
    <t>PEMINGGANG</t>
  </si>
  <si>
    <t>IKATAN TAMBAHAN</t>
  </si>
  <si>
    <t>-</t>
  </si>
  <si>
    <t>DATA BALOK</t>
  </si>
  <si>
    <t>S1, S2</t>
  </si>
  <si>
    <t>S7</t>
  </si>
  <si>
    <t>S3</t>
  </si>
  <si>
    <t>Area</t>
  </si>
  <si>
    <t>S5</t>
  </si>
  <si>
    <t>Lantai / Elevasi &amp; No. Balok</t>
  </si>
  <si>
    <t>Tipe Balok</t>
  </si>
  <si>
    <t>Panjang Bruto</t>
  </si>
  <si>
    <t>- Kiri</t>
  </si>
  <si>
    <t>- Kanan</t>
  </si>
  <si>
    <t>Panjang Netto</t>
  </si>
  <si>
    <t>Kolom / Balok Kiri</t>
  </si>
  <si>
    <t>Kolom / Balok Kanan</t>
  </si>
  <si>
    <t>Keterangan</t>
  </si>
  <si>
    <t>Tebal Plat
(real)</t>
  </si>
  <si>
    <t xml:space="preserve">Proyek          </t>
  </si>
  <si>
    <t>Tebal Selimut</t>
  </si>
  <si>
    <t>=</t>
  </si>
  <si>
    <t>Sambungan Lewatan (ls)</t>
  </si>
  <si>
    <t>ldh</t>
  </si>
  <si>
    <t>ld</t>
  </si>
  <si>
    <t>Kait tulangan utama</t>
  </si>
  <si>
    <t>Kait sengkang</t>
  </si>
  <si>
    <t>Penyaluran tul. Tumpuan</t>
  </si>
  <si>
    <t>Putusan tul. Lapangan</t>
  </si>
  <si>
    <t>ln</t>
  </si>
  <si>
    <t>No</t>
  </si>
  <si>
    <t>Type Balok</t>
  </si>
  <si>
    <t>Detail Balok</t>
  </si>
  <si>
    <t>Penjangkaran</t>
  </si>
  <si>
    <t>Panjang Besi</t>
  </si>
  <si>
    <t>Samb. Lewatan</t>
  </si>
  <si>
    <t>Jmlh Besi</t>
  </si>
  <si>
    <t>Jmlh Balok</t>
  </si>
  <si>
    <t>Vol. Besi</t>
  </si>
  <si>
    <t>(m1)</t>
  </si>
  <si>
    <t>(kg/m1)</t>
  </si>
  <si>
    <t>(btg)</t>
  </si>
  <si>
    <t>(kg)</t>
  </si>
  <si>
    <t>Panjang as ke as</t>
  </si>
  <si>
    <t>Panjang netto</t>
  </si>
  <si>
    <t>Kolom / balok kiri</t>
  </si>
  <si>
    <t>Kolom / balok kanan</t>
  </si>
  <si>
    <t>Tul Atas Tumpuan</t>
  </si>
  <si>
    <t>(</t>
  </si>
  <si>
    <t>+</t>
  </si>
  <si>
    <t>)</t>
  </si>
  <si>
    <t>Tul Atas Lapangan</t>
  </si>
  <si>
    <t>Total panjang per balok</t>
  </si>
  <si>
    <t>Tul Peminggang</t>
  </si>
  <si>
    <t>Tul Bawah Tumpuan</t>
  </si>
  <si>
    <t>Tul Bawah Lapangan</t>
  </si>
  <si>
    <t>Sengkang Tumpuan</t>
  </si>
  <si>
    <t>Sengkang Lapangan</t>
  </si>
  <si>
    <t>Kait Horizontal Tump.</t>
  </si>
  <si>
    <t>Kait Horizontal Lap.</t>
  </si>
  <si>
    <t>REKAPITULASI</t>
  </si>
  <si>
    <t>Ø</t>
  </si>
  <si>
    <t>Total besi</t>
  </si>
  <si>
    <t>S4</t>
  </si>
  <si>
    <t>Lantai 3</t>
  </si>
  <si>
    <t>VOLUME TOTAL</t>
  </si>
  <si>
    <t>Kayu
(m2)</t>
  </si>
  <si>
    <t>Lantai Kerja
(m3)</t>
  </si>
  <si>
    <t>Keliling (m)</t>
  </si>
  <si>
    <t>Luas (m2)</t>
  </si>
  <si>
    <t>Total Besi (kg)</t>
  </si>
  <si>
    <t>Vol. Besi per Diameter (kg)</t>
  </si>
  <si>
    <t>Wire Mesh</t>
  </si>
  <si>
    <t>Vol. Beton (m3)</t>
  </si>
  <si>
    <t>Luas Net (m2)</t>
  </si>
  <si>
    <t>Void</t>
  </si>
  <si>
    <t>Keliling
(m)</t>
  </si>
  <si>
    <t>Keterangan Area yang Dihitung</t>
  </si>
  <si>
    <t>Rasio Tulangan per Diameter</t>
  </si>
  <si>
    <t>Volume Beton</t>
  </si>
  <si>
    <t>Berat Total Tulangan</t>
  </si>
  <si>
    <t>C</t>
  </si>
  <si>
    <t>A</t>
  </si>
  <si>
    <t>Berat Tulangan per Diameter (kg)</t>
  </si>
  <si>
    <t>Panjang Tul. Total</t>
  </si>
  <si>
    <t>Overlap dan Kait</t>
  </si>
  <si>
    <t>Tipe Tulangan</t>
  </si>
  <si>
    <t>Tebal plat</t>
  </si>
  <si>
    <t>Sisi panjang (ly)</t>
  </si>
  <si>
    <t>Sisi pendek (lx)</t>
  </si>
  <si>
    <t>Ukuran Modul Dominan</t>
  </si>
  <si>
    <t>Tipe Plat</t>
  </si>
  <si>
    <t>Luas
(m2)</t>
  </si>
  <si>
    <t>PLAT DENGAN TULANGAN MENERUS 2 ARAH</t>
  </si>
  <si>
    <t>Tebal lantai kerja</t>
  </si>
  <si>
    <t>Selimut beton</t>
  </si>
  <si>
    <t>Panjang kait</t>
  </si>
  <si>
    <t>Panjang tul. Datar kaki ayam</t>
  </si>
  <si>
    <t>Pnjng lewatan bwh</t>
  </si>
  <si>
    <t>Over lap</t>
  </si>
  <si>
    <t>Pnjng lewatan atas</t>
  </si>
  <si>
    <t>PERHITUNGAN VOLUME PLAT</t>
  </si>
  <si>
    <t>Cek</t>
  </si>
  <si>
    <t>Rasio Besi
(kg/m3)</t>
  </si>
  <si>
    <t>Rasio Bekisting
(m2/m3)</t>
  </si>
  <si>
    <t>Luas Bangunan
(m2)</t>
  </si>
  <si>
    <t>Koef</t>
  </si>
  <si>
    <t>Luas Plat
(m2)</t>
  </si>
  <si>
    <t>Lantai</t>
  </si>
  <si>
    <t>Plesteran</t>
  </si>
  <si>
    <t>Rasio</t>
  </si>
  <si>
    <t>REKAP VOLUME</t>
  </si>
  <si>
    <t>Panjang Tul.</t>
  </si>
  <si>
    <t>Vol. Tul. Horizontal</t>
  </si>
  <si>
    <t>Vol. Tul. Vertikal</t>
  </si>
  <si>
    <t>Tul. Horizontal (2 sisi)</t>
  </si>
  <si>
    <t>Extra Tul. Vertikal (1,5 m) (1 sisi)</t>
  </si>
  <si>
    <t>Tul. Vertikal (2 sisi)</t>
  </si>
  <si>
    <t>Tebal</t>
  </si>
  <si>
    <t>Tinggi</t>
  </si>
  <si>
    <t>Tipe RW</t>
  </si>
  <si>
    <t>D (mm)</t>
  </si>
  <si>
    <t>Σ</t>
  </si>
  <si>
    <t>Atas</t>
  </si>
  <si>
    <t>Tengah</t>
  </si>
  <si>
    <t>Bawah</t>
  </si>
  <si>
    <t>Ø (mm)</t>
  </si>
  <si>
    <t>Σ Tul.</t>
  </si>
  <si>
    <t>H (panjang)</t>
  </si>
  <si>
    <t>h (tinggi)</t>
  </si>
  <si>
    <t>b (lebar)</t>
  </si>
  <si>
    <t>Mutu Beton fc'</t>
  </si>
  <si>
    <t>Mutu Beton K</t>
  </si>
  <si>
    <t>Skg Ext // h</t>
  </si>
  <si>
    <t>Skg Ext // b</t>
  </si>
  <si>
    <t>Jarak Sengkang (mm)</t>
  </si>
  <si>
    <r>
      <t>S</t>
    </r>
    <r>
      <rPr>
        <b/>
        <sz val="9"/>
        <rFont val="Arial"/>
        <family val="2"/>
      </rPr>
      <t>engkang</t>
    </r>
  </si>
  <si>
    <t>Tul. Extra</t>
  </si>
  <si>
    <t>Tulangan Utama</t>
  </si>
  <si>
    <t>DIMENSI (mm)</t>
  </si>
  <si>
    <t>As</t>
  </si>
  <si>
    <t>Lt.</t>
  </si>
  <si>
    <t>VARIABLE</t>
  </si>
  <si>
    <t>Mutu Beton</t>
  </si>
  <si>
    <t>IKUTI STANDAR DETAIL</t>
  </si>
  <si>
    <t>Panjang penjangkaran</t>
  </si>
  <si>
    <t>Last Update</t>
  </si>
  <si>
    <t>Panjang sambungan lewatan</t>
  </si>
  <si>
    <t xml:space="preserve">Beton </t>
  </si>
  <si>
    <t>Waste</t>
  </si>
  <si>
    <t>Tebal selimut beton</t>
  </si>
  <si>
    <t xml:space="preserve">Panjang kait sengkang                         </t>
  </si>
  <si>
    <t>Tower</t>
  </si>
  <si>
    <t>Project</t>
  </si>
  <si>
    <t>8D16</t>
  </si>
  <si>
    <t>6D16</t>
  </si>
  <si>
    <t>jadi</t>
  </si>
  <si>
    <t>200x400</t>
  </si>
  <si>
    <t>Note</t>
  </si>
  <si>
    <t>D A T A    T Y P E    K O L O M</t>
  </si>
  <si>
    <t>Besi Utama + Extra</t>
  </si>
  <si>
    <t>Besi Sengkang</t>
  </si>
  <si>
    <t>Tipe Kolom</t>
  </si>
  <si>
    <t>Bangunan</t>
  </si>
  <si>
    <t>"waste" dari BBS</t>
  </si>
  <si>
    <t>selisih vol besi BBS dan estimasi biasa</t>
  </si>
  <si>
    <t>CEK RASIO</t>
  </si>
  <si>
    <t>cek jumlah</t>
  </si>
  <si>
    <t>vol besi jika pakai hitungan estimasi biasa</t>
  </si>
  <si>
    <t>F</t>
  </si>
  <si>
    <t>T</t>
  </si>
  <si>
    <t>Waste BBS Tul. Utama</t>
  </si>
  <si>
    <t>Tul. Utama</t>
  </si>
  <si>
    <t>Sengkang Extra</t>
  </si>
  <si>
    <t>Sengkang Utama</t>
  </si>
  <si>
    <t>pcs</t>
  </si>
  <si>
    <t>Atas (mm)</t>
  </si>
  <si>
    <t>Tengah (mm)</t>
  </si>
  <si>
    <t>Bawah (mm)</t>
  </si>
  <si>
    <t>Kode</t>
  </si>
  <si>
    <t>Total Jumlah Tul. Extra</t>
  </si>
  <si>
    <t>Pjg. Final</t>
  </si>
  <si>
    <t>Pembulatan BBS</t>
  </si>
  <si>
    <t>Pjg. @Tul. Utama</t>
  </si>
  <si>
    <t>Pjg. Penjangkaran</t>
  </si>
  <si>
    <t>Total Jumlah Tul. Utama</t>
  </si>
  <si>
    <t>Besi (kg)</t>
  </si>
  <si>
    <t>Total Jumlah Sengkang</t>
  </si>
  <si>
    <t>Pjg. Skg Tmbhn</t>
  </si>
  <si>
    <t>Pjg. Skg. Utama</t>
  </si>
  <si>
    <t>Skg. Tambahan Arah h</t>
  </si>
  <si>
    <t>Skg. Tambahan Arah b</t>
  </si>
  <si>
    <t>Pile Cap</t>
  </si>
  <si>
    <t>Mutu (K)</t>
  </si>
  <si>
    <t>Mutu (fc')</t>
  </si>
  <si>
    <t>No. Kolom</t>
  </si>
  <si>
    <t>(u/ fc' 30 Mpa)</t>
  </si>
  <si>
    <t>ls</t>
  </si>
  <si>
    <t>Program Perhitungan Volume Kolom</t>
  </si>
  <si>
    <t xml:space="preserve"> </t>
  </si>
  <si>
    <t>Tul. Kait</t>
  </si>
  <si>
    <t>Vol. Tul. Kait</t>
  </si>
  <si>
    <t>total</t>
  </si>
  <si>
    <t>Plester Aci Opening</t>
  </si>
  <si>
    <t>Benangan Opening</t>
  </si>
  <si>
    <t>Benangan Sudut</t>
  </si>
  <si>
    <t>Plester &amp; Aci</t>
  </si>
  <si>
    <t>Luas Dinding 1 1/2 Bata</t>
  </si>
  <si>
    <t>Luas Dinding 1 1/4 Bata</t>
  </si>
  <si>
    <t>Luas Dinding 1 Bata</t>
  </si>
  <si>
    <t>Luas Dinding 3/4 Bata</t>
  </si>
  <si>
    <t>Luas Dinding 1/2 Bata</t>
  </si>
  <si>
    <t>VOLUME</t>
  </si>
  <si>
    <t>Luas BP</t>
  </si>
  <si>
    <t>Luas BL</t>
  </si>
  <si>
    <t>Luas Balok</t>
  </si>
  <si>
    <t>tinggi</t>
  </si>
  <si>
    <t>panjang</t>
  </si>
  <si>
    <t>Luas KP</t>
  </si>
  <si>
    <t>Tebal (mm)</t>
  </si>
  <si>
    <t>Nomor</t>
  </si>
  <si>
    <t>Tipe Kusen</t>
  </si>
  <si>
    <t>Luas Kusen</t>
  </si>
  <si>
    <t>Balok Praktis</t>
  </si>
  <si>
    <t>Balok Latei</t>
  </si>
  <si>
    <t>Balok Struktur</t>
  </si>
  <si>
    <t>Kolom Praktis</t>
  </si>
  <si>
    <t>Kolom Struktur</t>
  </si>
  <si>
    <t>Benangan</t>
  </si>
  <si>
    <t>Luas Bruto - Kusen dan Balok</t>
  </si>
  <si>
    <t>Luas Pengurang</t>
  </si>
  <si>
    <t>Luas Plesteran Opening</t>
  </si>
  <si>
    <t>BL</t>
  </si>
  <si>
    <t>BP</t>
  </si>
  <si>
    <t>KP</t>
  </si>
  <si>
    <t>Asumsi</t>
  </si>
  <si>
    <t>Luas Bruto - Kusen</t>
  </si>
  <si>
    <t>waste (kg)</t>
  </si>
  <si>
    <t>Kolom</t>
  </si>
  <si>
    <t>Plat Lantai</t>
  </si>
  <si>
    <t>Plat Lantai Bangunan</t>
  </si>
  <si>
    <t>Lantai Basement</t>
  </si>
  <si>
    <t>TOTAL BESI (KG)</t>
  </si>
  <si>
    <t>Bata / Batako</t>
  </si>
  <si>
    <t>Kayu</t>
  </si>
  <si>
    <t>Besi (LONJOR)</t>
  </si>
  <si>
    <t>Elemen Struktur</t>
  </si>
  <si>
    <t>Luas Bangunan</t>
  </si>
  <si>
    <t>waste besi</t>
  </si>
  <si>
    <t>kg/m3 beton</t>
  </si>
  <si>
    <t>m2/m3 beton</t>
  </si>
  <si>
    <t>m3/m2 luas bangunan</t>
  </si>
  <si>
    <t>RASIO TOTAL</t>
  </si>
  <si>
    <t>Besi
(kg/m3)</t>
  </si>
  <si>
    <t>Bekisting
(m2/m3)</t>
  </si>
  <si>
    <t>Beton
(m3/m2)</t>
  </si>
  <si>
    <t>Rasio per Lantai</t>
  </si>
  <si>
    <t>Retaining wall</t>
  </si>
  <si>
    <t>D 36mm</t>
  </si>
  <si>
    <t>D 32mm</t>
  </si>
  <si>
    <t>D 29mm</t>
  </si>
  <si>
    <t>D 26mm</t>
  </si>
  <si>
    <t>D 25mm</t>
  </si>
  <si>
    <t>D 22mm</t>
  </si>
  <si>
    <t>D 21mm</t>
  </si>
  <si>
    <t>D 20mm</t>
  </si>
  <si>
    <t>D 19mm</t>
  </si>
  <si>
    <t>D 16mm</t>
  </si>
  <si>
    <t>D 13mm</t>
  </si>
  <si>
    <t>D 12mm</t>
  </si>
  <si>
    <t>D 10mm</t>
  </si>
  <si>
    <t>D 8mm</t>
  </si>
  <si>
    <t>D 6mm</t>
  </si>
  <si>
    <t>CNP0</t>
  </si>
  <si>
    <t>PL0</t>
  </si>
  <si>
    <t>WF0</t>
  </si>
  <si>
    <t>SGJ</t>
  </si>
  <si>
    <t>PS 150x9</t>
  </si>
  <si>
    <t>PS 150x6</t>
  </si>
  <si>
    <t>PS 125x9</t>
  </si>
  <si>
    <t>PS 50x5</t>
  </si>
  <si>
    <t>PS 38x8</t>
  </si>
  <si>
    <t>PS 38x5</t>
  </si>
  <si>
    <t>PS 38x4</t>
  </si>
  <si>
    <t>PS 30x5</t>
  </si>
  <si>
    <t>PS 30x4</t>
  </si>
  <si>
    <t>PS 30x3</t>
  </si>
  <si>
    <t>PS 25x5</t>
  </si>
  <si>
    <t>PS 25x4</t>
  </si>
  <si>
    <t>PS 25x3</t>
  </si>
  <si>
    <t>PS 19x5</t>
  </si>
  <si>
    <t>PS 19x4</t>
  </si>
  <si>
    <t>PS 19x3</t>
  </si>
  <si>
    <t>Plat Strip (PS)</t>
  </si>
  <si>
    <t>PS 4"x1/2"</t>
  </si>
  <si>
    <t>PS 4"x3/8"</t>
  </si>
  <si>
    <t>PS 4"x1/4"</t>
  </si>
  <si>
    <t>PS 3"x1/2"</t>
  </si>
  <si>
    <t>PS 3"x3/8"</t>
  </si>
  <si>
    <t>PS 3"x1/4"</t>
  </si>
  <si>
    <t>PS 2 1/2x3/8"</t>
  </si>
  <si>
    <t>PS 2 1/2"x1/4"</t>
  </si>
  <si>
    <t>PS 2"x5/8"</t>
  </si>
  <si>
    <t>PS 2"x1/2"</t>
  </si>
  <si>
    <t>PS 2"x3/8"</t>
  </si>
  <si>
    <t>PS 2"x5/16"</t>
  </si>
  <si>
    <t>PS 2"x1/4"</t>
  </si>
  <si>
    <t>PS 2"x3/16"</t>
  </si>
  <si>
    <t>PS 2"x1/8"</t>
  </si>
  <si>
    <t>PS 1 1/2"x1/2"</t>
  </si>
  <si>
    <t>PS 1 1/2"x3/8</t>
  </si>
  <si>
    <t>PS 1 1/2"x5/16"</t>
  </si>
  <si>
    <t>PS 1 1/2"x1/4"</t>
  </si>
  <si>
    <t>PS 1 1/2x3/16"</t>
  </si>
  <si>
    <t>PS 1 1/2"x1/8"</t>
  </si>
  <si>
    <t>PS 1 1/4x3/8"</t>
  </si>
  <si>
    <t>PS 1 1/4"x1/4"</t>
  </si>
  <si>
    <t>PS 1 1/4"x3/16"</t>
  </si>
  <si>
    <t>PS 1 1/4"x1/8"</t>
  </si>
  <si>
    <t>PS 1"x3/8"</t>
  </si>
  <si>
    <t>PS 1"x5/16"</t>
  </si>
  <si>
    <t>PS 1"x1/4"</t>
  </si>
  <si>
    <t>PS 1"x3/16"</t>
  </si>
  <si>
    <t>PS 1"x1/8"</t>
  </si>
  <si>
    <t>PS 1 3/4"x1/4"</t>
  </si>
  <si>
    <t>PS 3/4"x3/8"</t>
  </si>
  <si>
    <t>PS 3/4"x1/4"</t>
  </si>
  <si>
    <t>PS 3/4"x3/16"</t>
  </si>
  <si>
    <t>PS 3/4"x1/8"</t>
  </si>
  <si>
    <t>PS 5/8"x3/16"</t>
  </si>
  <si>
    <t>PS 5/8"x1/8"</t>
  </si>
  <si>
    <t>PB 9</t>
  </si>
  <si>
    <t>PB 8</t>
  </si>
  <si>
    <t>PB 6</t>
  </si>
  <si>
    <t>PB 5</t>
  </si>
  <si>
    <t>PB 4,5</t>
  </si>
  <si>
    <t>PB 4</t>
  </si>
  <si>
    <t>PB 3,6</t>
  </si>
  <si>
    <t>PB 3,2</t>
  </si>
  <si>
    <t>PB 3</t>
  </si>
  <si>
    <t>PB 2,3</t>
  </si>
  <si>
    <t>Plat Bordes 4' x 8' (PB)</t>
  </si>
  <si>
    <t>PKS 1"</t>
  </si>
  <si>
    <t>PKS 15/16"</t>
  </si>
  <si>
    <t>PKS 7/8"</t>
  </si>
  <si>
    <t>PKS 13/16"</t>
  </si>
  <si>
    <t>PKS 3/4"</t>
  </si>
  <si>
    <t>PKS 11/16"</t>
  </si>
  <si>
    <t>PKS 5/8"</t>
  </si>
  <si>
    <t>PKS 9/16"</t>
  </si>
  <si>
    <t>PKS 1/2"</t>
  </si>
  <si>
    <t>PKS 7/16"</t>
  </si>
  <si>
    <t>PKS 3/8"</t>
  </si>
  <si>
    <t>PKS 5/16"</t>
  </si>
  <si>
    <t>PKS 1/4"</t>
  </si>
  <si>
    <t>PKS 3/16"</t>
  </si>
  <si>
    <t>Plat Kapal 6' x 20' (PK)</t>
  </si>
  <si>
    <t>PK 1"</t>
  </si>
  <si>
    <t>PK 15/16"</t>
  </si>
  <si>
    <t>PK 7/8"</t>
  </si>
  <si>
    <t>PK 13/16"</t>
  </si>
  <si>
    <t>PK 3/4"</t>
  </si>
  <si>
    <t>PK 11/16"</t>
  </si>
  <si>
    <t>PK 5/8"</t>
  </si>
  <si>
    <t>PK 9/16"</t>
  </si>
  <si>
    <t>PK 1/2"</t>
  </si>
  <si>
    <t>PK 7/16"</t>
  </si>
  <si>
    <t>PK 3/8"</t>
  </si>
  <si>
    <t>PK 5/16"</t>
  </si>
  <si>
    <t>PK 1/4"</t>
  </si>
  <si>
    <t>PK 3/16"</t>
  </si>
  <si>
    <t>Plat Kapal 5' x 20' (PK)</t>
  </si>
  <si>
    <t>PKS 25</t>
  </si>
  <si>
    <t>PKS 21</t>
  </si>
  <si>
    <t>PKS 19</t>
  </si>
  <si>
    <t>PKS 18</t>
  </si>
  <si>
    <t>PKS 16</t>
  </si>
  <si>
    <t>PKS 15</t>
  </si>
  <si>
    <t>PKS 14</t>
  </si>
  <si>
    <t>PKS 12</t>
  </si>
  <si>
    <t>PKS 10</t>
  </si>
  <si>
    <t>PKS 9</t>
  </si>
  <si>
    <t>PKS 8</t>
  </si>
  <si>
    <t>PKS 6</t>
  </si>
  <si>
    <t>PKS 4,5</t>
  </si>
  <si>
    <t>Plat Kapal 6' x 20' (PKS)</t>
  </si>
  <si>
    <t>PK 25</t>
  </si>
  <si>
    <t>PK 21</t>
  </si>
  <si>
    <t>PK 19</t>
  </si>
  <si>
    <t>PK 18</t>
  </si>
  <si>
    <t>PK 16</t>
  </si>
  <si>
    <t>PK 15</t>
  </si>
  <si>
    <t>PK 14</t>
  </si>
  <si>
    <t>PK 12</t>
  </si>
  <si>
    <t>PK 10</t>
  </si>
  <si>
    <t>PK 9</t>
  </si>
  <si>
    <t>PK 8</t>
  </si>
  <si>
    <t>PK 6</t>
  </si>
  <si>
    <t>PK 4,5</t>
  </si>
  <si>
    <t>PL 100</t>
  </si>
  <si>
    <t>PL 75</t>
  </si>
  <si>
    <t>PL 65</t>
  </si>
  <si>
    <t>PL 50</t>
  </si>
  <si>
    <t>tambahan berat</t>
  </si>
  <si>
    <t>PL 40</t>
  </si>
  <si>
    <t>PL 38</t>
  </si>
  <si>
    <t>PL 32</t>
  </si>
  <si>
    <t>PL 30</t>
  </si>
  <si>
    <t>PL 28</t>
  </si>
  <si>
    <t>PL 25</t>
  </si>
  <si>
    <t>PL 24</t>
  </si>
  <si>
    <t>PL 22</t>
  </si>
  <si>
    <t>PL 21</t>
  </si>
  <si>
    <t>PL 20</t>
  </si>
  <si>
    <t>PL 19</t>
  </si>
  <si>
    <t>PL 18</t>
  </si>
  <si>
    <t>PL 16</t>
  </si>
  <si>
    <t>PL 14</t>
  </si>
  <si>
    <t>PL 15</t>
  </si>
  <si>
    <t>PL 13</t>
  </si>
  <si>
    <t>PL 12</t>
  </si>
  <si>
    <t>PL 10</t>
  </si>
  <si>
    <t>PL 9</t>
  </si>
  <si>
    <t>PL 8</t>
  </si>
  <si>
    <t>PL 6</t>
  </si>
  <si>
    <t>PL 5</t>
  </si>
  <si>
    <t>PL 4,5</t>
  </si>
  <si>
    <t>PL 4</t>
  </si>
  <si>
    <t>PL 3,2</t>
  </si>
  <si>
    <t>PL 3</t>
  </si>
  <si>
    <t>PL 2,9</t>
  </si>
  <si>
    <t>PL 2,8</t>
  </si>
  <si>
    <t>PL 2,6</t>
  </si>
  <si>
    <t>PL 2,3</t>
  </si>
  <si>
    <t>PL 2</t>
  </si>
  <si>
    <t>PL 1,9</t>
  </si>
  <si>
    <t>SHC</t>
  </si>
  <si>
    <t>Pl 1,8</t>
  </si>
  <si>
    <t>PL 1,7</t>
  </si>
  <si>
    <t>PL 1,6</t>
  </si>
  <si>
    <t>SGJ, SHC</t>
  </si>
  <si>
    <t>PL 1,5</t>
  </si>
  <si>
    <t>PL 1,4</t>
  </si>
  <si>
    <t>PL 1,2</t>
  </si>
  <si>
    <t>Plat Hitam 4' x 8' (PL)</t>
  </si>
  <si>
    <t>PPS 2</t>
  </si>
  <si>
    <t>PPS 1,9</t>
  </si>
  <si>
    <t>PPS 1,6</t>
  </si>
  <si>
    <t>PPS 1,5</t>
  </si>
  <si>
    <t>PPS 1,2</t>
  </si>
  <si>
    <t>PPS 1</t>
  </si>
  <si>
    <t>PPS 0,9</t>
  </si>
  <si>
    <t>PPS 0,8</t>
  </si>
  <si>
    <t>PPS 0,7</t>
  </si>
  <si>
    <t>PPS 0,66</t>
  </si>
  <si>
    <t>PPS 0,6</t>
  </si>
  <si>
    <t>PPS 0,35</t>
  </si>
  <si>
    <t>Plat Putih 4' x 8' (PPS)</t>
  </si>
  <si>
    <t>PP 2</t>
  </si>
  <si>
    <t>PP 1,5</t>
  </si>
  <si>
    <t>PP 1,2</t>
  </si>
  <si>
    <t>PP 1</t>
  </si>
  <si>
    <t>PP 0,9</t>
  </si>
  <si>
    <t>PP 0,8</t>
  </si>
  <si>
    <t>PP 0,7</t>
  </si>
  <si>
    <t>PP 0,66</t>
  </si>
  <si>
    <t>PP 0,65</t>
  </si>
  <si>
    <t>PP 0,6</t>
  </si>
  <si>
    <t>PP 0,5</t>
  </si>
  <si>
    <t>PP 0,4</t>
  </si>
  <si>
    <t>PP 0,35</t>
  </si>
  <si>
    <t>Plat Putih 3' x 6' (PP)</t>
  </si>
  <si>
    <t>SWARNA BAJA</t>
  </si>
  <si>
    <t>P 609,6x12</t>
  </si>
  <si>
    <t>Pipa (P)</t>
  </si>
  <si>
    <t>P 24"x12,7</t>
  </si>
  <si>
    <t>P 24"x11,91</t>
  </si>
  <si>
    <t>P 24"x11,13</t>
  </si>
  <si>
    <t>P 24"x10,31</t>
  </si>
  <si>
    <t>P 24"x9,52</t>
  </si>
  <si>
    <t>P 24"x8,74</t>
  </si>
  <si>
    <t>P 24"x7,92</t>
  </si>
  <si>
    <t>P 24"x7,14</t>
  </si>
  <si>
    <t>P 24"x6,35</t>
  </si>
  <si>
    <t>P 20"x12,7</t>
  </si>
  <si>
    <t>P 20"x11,91</t>
  </si>
  <si>
    <t>P 20"x11,13</t>
  </si>
  <si>
    <t>P 20"x10,31</t>
  </si>
  <si>
    <t>P 20"x9,52</t>
  </si>
  <si>
    <t>P 20"x8,74</t>
  </si>
  <si>
    <t>P 20"x7,92</t>
  </si>
  <si>
    <t>P 20"x7,14</t>
  </si>
  <si>
    <t>P 20"x6,35</t>
  </si>
  <si>
    <t>P 18"x12,7</t>
  </si>
  <si>
    <t>P 18"x11,91</t>
  </si>
  <si>
    <t>P 18"x11,13</t>
  </si>
  <si>
    <t>P 18"x10,31</t>
  </si>
  <si>
    <t>P 18"x9,52</t>
  </si>
  <si>
    <t>P 18"x8,74</t>
  </si>
  <si>
    <t>P 18"x7,92</t>
  </si>
  <si>
    <t>P 18"x7,14</t>
  </si>
  <si>
    <t>P 18"x6,35</t>
  </si>
  <si>
    <t>Sc 80</t>
  </si>
  <si>
    <t>P 16"x21,4</t>
  </si>
  <si>
    <t>Sc 40</t>
  </si>
  <si>
    <t>P 16"x12,7</t>
  </si>
  <si>
    <t>P 16"x11,91</t>
  </si>
  <si>
    <t>P 16"x11,13</t>
  </si>
  <si>
    <t>P 16"x9,52</t>
  </si>
  <si>
    <t>P 16"x8,74</t>
  </si>
  <si>
    <t>P 16"x7,92</t>
  </si>
  <si>
    <t>P 16"x7,14</t>
  </si>
  <si>
    <t>P 16"x6,35</t>
  </si>
  <si>
    <t>P 16"x5,56</t>
  </si>
  <si>
    <t>P 14"x19</t>
  </si>
  <si>
    <t>P 14"x12,7</t>
  </si>
  <si>
    <t>P 14"x11,91</t>
  </si>
  <si>
    <t>P 14"x11,13</t>
  </si>
  <si>
    <t>P 14"x11,1</t>
  </si>
  <si>
    <t>P 14"x9,52</t>
  </si>
  <si>
    <t>P 14"x8,74</t>
  </si>
  <si>
    <t>P 14"x7,92</t>
  </si>
  <si>
    <t>Stk 41</t>
  </si>
  <si>
    <t>P 14"x7,9</t>
  </si>
  <si>
    <t>P 14"x7,14</t>
  </si>
  <si>
    <t>P 14"x6,35</t>
  </si>
  <si>
    <t>P 14"x5,56</t>
  </si>
  <si>
    <t>P 12"x17,4</t>
  </si>
  <si>
    <t>P 12"x12,7</t>
  </si>
  <si>
    <t>P 12"x11,13</t>
  </si>
  <si>
    <t>P 12"x10,31</t>
  </si>
  <si>
    <t>P 12"x10,3</t>
  </si>
  <si>
    <t>P 12"x9,52</t>
  </si>
  <si>
    <t>P 12"x8,74</t>
  </si>
  <si>
    <t>P 12"x8,38</t>
  </si>
  <si>
    <t>P 12"x7,92</t>
  </si>
  <si>
    <t>P 12"x7,14</t>
  </si>
  <si>
    <t>P 12"x6,9</t>
  </si>
  <si>
    <t>P 12"x6,35</t>
  </si>
  <si>
    <t>P 12"x5,56</t>
  </si>
  <si>
    <t>P 12"x5,16</t>
  </si>
  <si>
    <t>P 10"x15,1</t>
  </si>
  <si>
    <t>P 10"x12,7</t>
  </si>
  <si>
    <t>P 10"x11,13</t>
  </si>
  <si>
    <t>P 10"x9,3</t>
  </si>
  <si>
    <t>P 10"x9,27</t>
  </si>
  <si>
    <t>P 10"x8,74</t>
  </si>
  <si>
    <t>P 10"x7,8</t>
  </si>
  <si>
    <t>P 10"x7,09</t>
  </si>
  <si>
    <t>P 10"x6,6</t>
  </si>
  <si>
    <t>P 10"x6,35</t>
  </si>
  <si>
    <t>P 10"x5,56</t>
  </si>
  <si>
    <t>P 10"x5,16</t>
  </si>
  <si>
    <t>P 10"x4,78</t>
  </si>
  <si>
    <t>P 8"x12,7</t>
  </si>
  <si>
    <t>Sc 40 - Stk 41</t>
  </si>
  <si>
    <t>P 8"x8,2</t>
  </si>
  <si>
    <t>P 8"x8,18</t>
  </si>
  <si>
    <t>SPINDO</t>
  </si>
  <si>
    <t>i</t>
  </si>
  <si>
    <t>P 8"x7,92</t>
  </si>
  <si>
    <t>P 8"x7,04</t>
  </si>
  <si>
    <t>P 8"x7</t>
  </si>
  <si>
    <t>P 8"x6,35</t>
  </si>
  <si>
    <t>P 8"x6 Roll</t>
  </si>
  <si>
    <t>P 8"x6</t>
  </si>
  <si>
    <t>P 8"x5,8</t>
  </si>
  <si>
    <t>P 8"x5,56</t>
  </si>
  <si>
    <t>P 8"x5,16</t>
  </si>
  <si>
    <t>P 8"x4,78</t>
  </si>
  <si>
    <t>P 8"x4,5</t>
  </si>
  <si>
    <t>P 7"x5,3</t>
  </si>
  <si>
    <t>P 6"x11</t>
  </si>
  <si>
    <t>P 6"x7,11</t>
  </si>
  <si>
    <t>P 6"x7,1</t>
  </si>
  <si>
    <t>P 6"x7</t>
  </si>
  <si>
    <t>P 6"x6,35</t>
  </si>
  <si>
    <t>ALIM, SPINDO</t>
  </si>
  <si>
    <t>P 6"x6</t>
  </si>
  <si>
    <t>P 6"x5,56</t>
  </si>
  <si>
    <t>P 6"x5</t>
  </si>
  <si>
    <t>Medium</t>
  </si>
  <si>
    <t>P 6"x4,8</t>
  </si>
  <si>
    <t>P 6"x4,78</t>
  </si>
  <si>
    <t>P 6"x4,5</t>
  </si>
  <si>
    <t>Class A</t>
  </si>
  <si>
    <t>P 6"x3,6</t>
  </si>
  <si>
    <t>P 5"x9,5</t>
  </si>
  <si>
    <t>P 5"x6,6</t>
  </si>
  <si>
    <t>P 5"x6,55</t>
  </si>
  <si>
    <t>P 5"x6</t>
  </si>
  <si>
    <t>P 5"x5,56</t>
  </si>
  <si>
    <t>P 5"x4,8</t>
  </si>
  <si>
    <t>P 5"x4,78</t>
  </si>
  <si>
    <t>P 5"x4,5</t>
  </si>
  <si>
    <t>P 5"x4</t>
  </si>
  <si>
    <t>P 5"x3,96</t>
  </si>
  <si>
    <t>P 5"x3,6</t>
  </si>
  <si>
    <t>P 4"x8,6</t>
  </si>
  <si>
    <t>P 4"x6,02</t>
  </si>
  <si>
    <t>P 4"x6</t>
  </si>
  <si>
    <t>P 4"x5,6</t>
  </si>
  <si>
    <t>P 4"x5,56</t>
  </si>
  <si>
    <t>P 4"x4,78</t>
  </si>
  <si>
    <t>Stk 41 - Medium</t>
  </si>
  <si>
    <t>P 4"x4,5</t>
  </si>
  <si>
    <t>P 4"x3,96</t>
  </si>
  <si>
    <t>Light</t>
  </si>
  <si>
    <t>P 4"x3,6</t>
  </si>
  <si>
    <t>P 4"x3,5</t>
  </si>
  <si>
    <t>P 4"x3,25</t>
  </si>
  <si>
    <t>P 4"x3,2</t>
  </si>
  <si>
    <t>P 4"x3,18</t>
  </si>
  <si>
    <t>P 3"x7,6</t>
  </si>
  <si>
    <t>P 3"x5,5</t>
  </si>
  <si>
    <t>P 3"x5,49</t>
  </si>
  <si>
    <t>P 3"x4,78</t>
  </si>
  <si>
    <t>P 3"x4 Roll</t>
  </si>
  <si>
    <t>P 3"x4</t>
  </si>
  <si>
    <t>P 3"x3,96</t>
  </si>
  <si>
    <t>Stk 41 - Light</t>
  </si>
  <si>
    <t>P 3"x3,2</t>
  </si>
  <si>
    <t>P 3"x3,18</t>
  </si>
  <si>
    <t>P 3"x3</t>
  </si>
  <si>
    <t>P 3"x2,8</t>
  </si>
  <si>
    <t>P 2 1/2"x7</t>
  </si>
  <si>
    <t>P 2 1/2"x5,2</t>
  </si>
  <si>
    <t>P 2 1/2"x5,16</t>
  </si>
  <si>
    <t>P 2 1/2"x4</t>
  </si>
  <si>
    <t>P 2 1/2"x3,6</t>
  </si>
  <si>
    <t>P 2 1/2"x3,2</t>
  </si>
  <si>
    <t>P 2 1/2"x3</t>
  </si>
  <si>
    <t>P 2 1/2"x2,8</t>
  </si>
  <si>
    <t>Conduit</t>
  </si>
  <si>
    <t>P 2 1/4"x1,4</t>
  </si>
  <si>
    <t>P 2"x5,5</t>
  </si>
  <si>
    <t>P 2"x4</t>
  </si>
  <si>
    <t>P 2"x3,91</t>
  </si>
  <si>
    <t>P 2"x3,9</t>
  </si>
  <si>
    <t>P 2"x3,6</t>
  </si>
  <si>
    <t>P 2"x3,2</t>
  </si>
  <si>
    <t>P 2"x2,9</t>
  </si>
  <si>
    <t>ALIM</t>
  </si>
  <si>
    <t>P 2"x2,8</t>
  </si>
  <si>
    <t>P 2"x2,6</t>
  </si>
  <si>
    <t>P 2"x2,3</t>
  </si>
  <si>
    <t>P 2"x1,4</t>
  </si>
  <si>
    <t>P 1 3/4"x1,4</t>
  </si>
  <si>
    <t>P 1 5/8"x1,4</t>
  </si>
  <si>
    <t>P 1 5/8"x1,2</t>
  </si>
  <si>
    <t>P 1 1/2"x5,1</t>
  </si>
  <si>
    <t>P 1 1/2"x3,7</t>
  </si>
  <si>
    <t>P 1 1/2"x3,68</t>
  </si>
  <si>
    <t>P 1 1/2"x3,2</t>
  </si>
  <si>
    <t>P 1 1/2"x2,9</t>
  </si>
  <si>
    <t>P 1 1/2"x2,8</t>
  </si>
  <si>
    <t>P 1 1/2"x2,6</t>
  </si>
  <si>
    <t>P 1 1/2"x2,3</t>
  </si>
  <si>
    <t>P 1 1/2"x1,2</t>
  </si>
  <si>
    <t>P 1 3/8"x1,4</t>
  </si>
  <si>
    <t>P 1 3/8"x1,2</t>
  </si>
  <si>
    <t>P 1 1/4"x4,9</t>
  </si>
  <si>
    <t>P 1 1/4"x3,6</t>
  </si>
  <si>
    <t>P 1 1/4"x3,56</t>
  </si>
  <si>
    <t>P 1 1/4"x3,3</t>
  </si>
  <si>
    <t>P 1 1/4"x2,8</t>
  </si>
  <si>
    <t>P 1 1/4"x2,6</t>
  </si>
  <si>
    <t>P 1 1/4"x2,45</t>
  </si>
  <si>
    <t>P 1 1/4"x2,3</t>
  </si>
  <si>
    <t>P 1 1/4"x1,2</t>
  </si>
  <si>
    <t>P 1 1/8"x1,2</t>
  </si>
  <si>
    <t>P 1"x4,5</t>
  </si>
  <si>
    <t>P 1"x3,4</t>
  </si>
  <si>
    <t>P 1"x3,2</t>
  </si>
  <si>
    <t>P 1"x3,38</t>
  </si>
  <si>
    <t>P 1"x2,6</t>
  </si>
  <si>
    <t>P 1"x2,45</t>
  </si>
  <si>
    <t>P 1"x2,3</t>
  </si>
  <si>
    <t>P 1"x1,2</t>
  </si>
  <si>
    <t>P 15/16"x1</t>
  </si>
  <si>
    <t>P 7/8"x1</t>
  </si>
  <si>
    <t>P 3/4"x3,9</t>
  </si>
  <si>
    <t>P 3/4"x2,9</t>
  </si>
  <si>
    <t>P 3/4"x2,87</t>
  </si>
  <si>
    <t>P 3/4"x2,6</t>
  </si>
  <si>
    <t>P 3/4"x2,3</t>
  </si>
  <si>
    <t>P 3/4"x2,1</t>
  </si>
  <si>
    <t>P 3/4"x2</t>
  </si>
  <si>
    <t>P 3/4"x0,9</t>
  </si>
  <si>
    <t>P 5/8"x0,9</t>
  </si>
  <si>
    <t>P 9/16"x0,9</t>
  </si>
  <si>
    <t>P 1/2"x3,7</t>
  </si>
  <si>
    <t>P 1/2"x2,8</t>
  </si>
  <si>
    <t>P 1/2"x2,77</t>
  </si>
  <si>
    <t>P 1/2"x2,6</t>
  </si>
  <si>
    <t>P 1/2"x2</t>
  </si>
  <si>
    <t>P 1/2"x 1,9</t>
  </si>
  <si>
    <t>P 1/2"x0,9</t>
  </si>
  <si>
    <t>GG</t>
  </si>
  <si>
    <t>HL 300x200x12</t>
  </si>
  <si>
    <t>HL 300x200x8</t>
  </si>
  <si>
    <t>HL 300x200x6</t>
  </si>
  <si>
    <t>HL 300x100x12</t>
  </si>
  <si>
    <t>HL 300x100x8</t>
  </si>
  <si>
    <t>HL 300x100x6</t>
  </si>
  <si>
    <t>HL 250x150x12</t>
  </si>
  <si>
    <t>HL 250x150x8</t>
  </si>
  <si>
    <t>HL 250x150x6</t>
  </si>
  <si>
    <t>HL 250x150x4</t>
  </si>
  <si>
    <t>HL 200x100x8</t>
  </si>
  <si>
    <t>MO</t>
  </si>
  <si>
    <t>GG, SPINDO</t>
  </si>
  <si>
    <t>HL 200x100x6</t>
  </si>
  <si>
    <t>HL 200x100x4,5</t>
  </si>
  <si>
    <t>HL 200x100x4</t>
  </si>
  <si>
    <t>HL 150x100x8</t>
  </si>
  <si>
    <t>HL 150x100x6</t>
  </si>
  <si>
    <t>HL 150x100x4,5</t>
  </si>
  <si>
    <t>HL 150x100x4</t>
  </si>
  <si>
    <t>HL 150x100x3,2</t>
  </si>
  <si>
    <t>HL 150x80x6</t>
  </si>
  <si>
    <t>HL 150x80x5</t>
  </si>
  <si>
    <t>HL 150x80x4,5</t>
  </si>
  <si>
    <t>HL 127x50x3,2</t>
  </si>
  <si>
    <t>HL 127x50x2,3</t>
  </si>
  <si>
    <t>HL 125x75x6</t>
  </si>
  <si>
    <t>HL 125x75x4,5</t>
  </si>
  <si>
    <t>HL 125x75x4</t>
  </si>
  <si>
    <t>HL 125x75x3,2</t>
  </si>
  <si>
    <t>HL 120x80x5,5</t>
  </si>
  <si>
    <t>HL 120x80x5</t>
  </si>
  <si>
    <t>HL 120x80x4,5</t>
  </si>
  <si>
    <t>HL 120x80x4</t>
  </si>
  <si>
    <t>HL 120x80x3,5</t>
  </si>
  <si>
    <t>HL 120x80x3</t>
  </si>
  <si>
    <t>HL 100x80x5,5</t>
  </si>
  <si>
    <t>HL 100x80x5</t>
  </si>
  <si>
    <t>HL 100x80x4,5</t>
  </si>
  <si>
    <t>HL 100x80x4</t>
  </si>
  <si>
    <t>HL 100x80x3,5</t>
  </si>
  <si>
    <t>HL 100x80x3</t>
  </si>
  <si>
    <t>HL 100x80x2,5</t>
  </si>
  <si>
    <t>HL 100x80x2</t>
  </si>
  <si>
    <t>HL 100x50x4,5</t>
  </si>
  <si>
    <t>HL 100x50x3,2</t>
  </si>
  <si>
    <t>HL 100x50x2,3</t>
  </si>
  <si>
    <t>HL 100x50x1,6</t>
  </si>
  <si>
    <t>HL 95x85x5,5</t>
  </si>
  <si>
    <t>HL 95x85x5</t>
  </si>
  <si>
    <t>HL 95x85x4,5</t>
  </si>
  <si>
    <t>HL 95x85x4</t>
  </si>
  <si>
    <t>HL 95x85x3,5</t>
  </si>
  <si>
    <t>HL 95x85x3</t>
  </si>
  <si>
    <t>HL 95x85x2,5</t>
  </si>
  <si>
    <t>HL 95x85x2</t>
  </si>
  <si>
    <t>HL 80x40x3,2</t>
  </si>
  <si>
    <t>HL 80x40x2,3</t>
  </si>
  <si>
    <t>HL 80x40x1,6</t>
  </si>
  <si>
    <t>HL 75x45x3,2</t>
  </si>
  <si>
    <t>HL 75x45x2,3</t>
  </si>
  <si>
    <t>HL 75x45x1,6</t>
  </si>
  <si>
    <t>HL 60x30x3,2</t>
  </si>
  <si>
    <t>HL 60x30x2,3</t>
  </si>
  <si>
    <t>HL 60x30x1,6</t>
  </si>
  <si>
    <t>HL 60x20x1,4</t>
  </si>
  <si>
    <t>HL 50x30x2,3</t>
  </si>
  <si>
    <t>HL 50x30x1,6</t>
  </si>
  <si>
    <t>HL 50x25x1,4</t>
  </si>
  <si>
    <t>HL 50x20x2,3</t>
  </si>
  <si>
    <t>HL 50x20x1,6</t>
  </si>
  <si>
    <t>HL 40x20x1</t>
  </si>
  <si>
    <t>HL 30x15x0,9</t>
  </si>
  <si>
    <t>HL 27,5x12,5x0,9</t>
  </si>
  <si>
    <t>HL 20x10x0,9</t>
  </si>
  <si>
    <t>Rectangular Hollow (HL)</t>
  </si>
  <si>
    <t>HL 250x250x12</t>
  </si>
  <si>
    <t>HL 250x250x8</t>
  </si>
  <si>
    <t>HL 250x250x6</t>
  </si>
  <si>
    <t>HL 200x200x12</t>
  </si>
  <si>
    <t>HL 200x200x8</t>
  </si>
  <si>
    <t>HL 200x200x6</t>
  </si>
  <si>
    <t>HL 180x180x12</t>
  </si>
  <si>
    <t>HL 180x180x8</t>
  </si>
  <si>
    <t>HL 180x180x6</t>
  </si>
  <si>
    <t>HL 150x150x12</t>
  </si>
  <si>
    <t>HL 150x150x8</t>
  </si>
  <si>
    <t>HL 150x150x6</t>
  </si>
  <si>
    <t>HL 150x150x5</t>
  </si>
  <si>
    <t>HL 150x150x4,5</t>
  </si>
  <si>
    <t>HL 125x125x5</t>
  </si>
  <si>
    <t>HL 125x125x4,5</t>
  </si>
  <si>
    <t>HL 125x125x3,2</t>
  </si>
  <si>
    <t>HL 120x120x8</t>
  </si>
  <si>
    <t>HL 120x120x6</t>
  </si>
  <si>
    <t>HL 120x120x4</t>
  </si>
  <si>
    <t>HL 100x100x8</t>
  </si>
  <si>
    <t>HL 100x100x6</t>
  </si>
  <si>
    <t>HL 100x100x5,5</t>
  </si>
  <si>
    <t>HL 100x100x5</t>
  </si>
  <si>
    <t>HL 100x100x4,5</t>
  </si>
  <si>
    <t>HL 100x100x4</t>
  </si>
  <si>
    <t>HL 100x100x3,5</t>
  </si>
  <si>
    <t>HL 100x100x3,2</t>
  </si>
  <si>
    <t>HL 100x100x3</t>
  </si>
  <si>
    <t>HL 100x100x2,3</t>
  </si>
  <si>
    <t>HL 90x90x5,5</t>
  </si>
  <si>
    <t>HL 90x90x5</t>
  </si>
  <si>
    <t>HL 90x90x4,5</t>
  </si>
  <si>
    <t>HL 90x90x4</t>
  </si>
  <si>
    <t>HL 90x90x3,5</t>
  </si>
  <si>
    <t>HL 90x90x3,2</t>
  </si>
  <si>
    <t>HL 90x90x3</t>
  </si>
  <si>
    <t>HL 90x90x2,5</t>
  </si>
  <si>
    <t>HL 90x90x2,3</t>
  </si>
  <si>
    <t>HL 90x90x2</t>
  </si>
  <si>
    <t>HL 75x75x3,2</t>
  </si>
  <si>
    <t>HL 75x75x2,3</t>
  </si>
  <si>
    <t>HL 75x75x1,6</t>
  </si>
  <si>
    <t>HL 70x70x5,5</t>
  </si>
  <si>
    <t>HL 70x70x5</t>
  </si>
  <si>
    <t>HL 70x70x4,5</t>
  </si>
  <si>
    <t>HL 70x70x4</t>
  </si>
  <si>
    <t>HL 70x70x3,5</t>
  </si>
  <si>
    <t>HL 70x70x3</t>
  </si>
  <si>
    <t>HL 70x70x2,5</t>
  </si>
  <si>
    <t>HL 70x70x2</t>
  </si>
  <si>
    <t>HL 60x60x3,2</t>
  </si>
  <si>
    <t>HL 60x60x2,3</t>
  </si>
  <si>
    <t>HL 60x60x1,6</t>
  </si>
  <si>
    <t>HL 50x50x3,2</t>
  </si>
  <si>
    <t>HL 50x50x2,3</t>
  </si>
  <si>
    <t>HL 50x50x1,6</t>
  </si>
  <si>
    <t>HL 40x40x3,2</t>
  </si>
  <si>
    <t>HL 40x40x2,3</t>
  </si>
  <si>
    <t>HL 40x40x1,6</t>
  </si>
  <si>
    <t>HL 40x40x1,2</t>
  </si>
  <si>
    <t>HL 30x30x1</t>
  </si>
  <si>
    <t>HL 25x25x1</t>
  </si>
  <si>
    <t>HL 20x20x0,9</t>
  </si>
  <si>
    <t>HL 15x15x0,9</t>
  </si>
  <si>
    <t>HL 12,5x12,5x0,9</t>
  </si>
  <si>
    <t>Square Hollow (HL)</t>
  </si>
  <si>
    <t>UNP 380x100x13x20</t>
  </si>
  <si>
    <t>UNP 380x100x13x16,5</t>
  </si>
  <si>
    <t>UNP 380x100x10,5x16</t>
  </si>
  <si>
    <t>UNP 300x90x12x16</t>
  </si>
  <si>
    <t>UNP 300x90x10x15,5</t>
  </si>
  <si>
    <t>UNP 250x90x11x14,5</t>
  </si>
  <si>
    <t>UNP 250x90x9x13</t>
  </si>
  <si>
    <t>UNP 200x90x8x13,5</t>
  </si>
  <si>
    <t>UNP 200x80x7,5x11</t>
  </si>
  <si>
    <t>UNP 200x70x7x10</t>
  </si>
  <si>
    <t>UNP 180x75x7x10,5</t>
  </si>
  <si>
    <t>UNP 150x75x9x12,5</t>
  </si>
  <si>
    <t>UNP 150x75x6,5x10</t>
  </si>
  <si>
    <t>UNP 125x65x6x8</t>
  </si>
  <si>
    <t>UNP 100x50x5x7,5</t>
  </si>
  <si>
    <t>UNP 75x40x5x7</t>
  </si>
  <si>
    <t>U Channel (UNP)</t>
  </si>
  <si>
    <t>German</t>
  </si>
  <si>
    <t>UNP 400x110x14</t>
  </si>
  <si>
    <t>UNP 380x102x13,5</t>
  </si>
  <si>
    <t>UNP 350x100x14</t>
  </si>
  <si>
    <t>UNP 320x100x14</t>
  </si>
  <si>
    <t>Japan</t>
  </si>
  <si>
    <t>UNP 300x100x10 J</t>
  </si>
  <si>
    <t>UNP 300x100x10</t>
  </si>
  <si>
    <t>UNP 300x90x9</t>
  </si>
  <si>
    <t>UNP 280x95x10</t>
  </si>
  <si>
    <t>UNP 260x90x10</t>
  </si>
  <si>
    <t>UNP 250x90x9</t>
  </si>
  <si>
    <t>UNP 240x85x9,5</t>
  </si>
  <si>
    <t>UNP 220x80x9</t>
  </si>
  <si>
    <t>UNP 200x80x7,5</t>
  </si>
  <si>
    <t>UNP 200x75x8,5 J</t>
  </si>
  <si>
    <t>UNP 200x75x8,5</t>
  </si>
  <si>
    <t>UNP 180x75x7</t>
  </si>
  <si>
    <t>UNP 180x70x8 J</t>
  </si>
  <si>
    <t>UNP 180x70x8</t>
  </si>
  <si>
    <t>UNP 160x65x7,5</t>
  </si>
  <si>
    <t>UNP 150x75x6,5</t>
  </si>
  <si>
    <t>KS</t>
  </si>
  <si>
    <t>UNP 140x60x7</t>
  </si>
  <si>
    <t>UNP 125x65x6</t>
  </si>
  <si>
    <t>UNP 120x55x7</t>
  </si>
  <si>
    <t>Taiwan</t>
  </si>
  <si>
    <t>UNP 120x55x6</t>
  </si>
  <si>
    <t>UNP 100x50x6</t>
  </si>
  <si>
    <t>UNP 100x50x5</t>
  </si>
  <si>
    <t>UNP 80x45x6</t>
  </si>
  <si>
    <t>UNP 80x45x6 ks</t>
  </si>
  <si>
    <t>UNP 80x45x5</t>
  </si>
  <si>
    <t>UNP 80x45x5 ks</t>
  </si>
  <si>
    <t>UNP 75x40x5</t>
  </si>
  <si>
    <t>UNP 65x42x5</t>
  </si>
  <si>
    <t>UNP 50x38x5</t>
  </si>
  <si>
    <t>C 200x75x3</t>
  </si>
  <si>
    <t>C 200x75x2</t>
  </si>
  <si>
    <t>C 150x65x3</t>
  </si>
  <si>
    <t>C 150x65x2,8</t>
  </si>
  <si>
    <t>C 150x65x2,7</t>
  </si>
  <si>
    <t>C 150x65x2,2</t>
  </si>
  <si>
    <t>C 150x65x2</t>
  </si>
  <si>
    <t>C 150x65x1,8</t>
  </si>
  <si>
    <t>C 150x65x1,6</t>
  </si>
  <si>
    <t>C 150x50x3</t>
  </si>
  <si>
    <t>C 150x50x2,8</t>
  </si>
  <si>
    <t>C 150x50x2,7</t>
  </si>
  <si>
    <t>C 150x50x2,2</t>
  </si>
  <si>
    <t>C 150x50x2</t>
  </si>
  <si>
    <t>C 150x50x1,8</t>
  </si>
  <si>
    <t>C 150x50x1,6</t>
  </si>
  <si>
    <t>C 150x50x1,4</t>
  </si>
  <si>
    <t>C 150x50x1,2</t>
  </si>
  <si>
    <t>C 125x50x3</t>
  </si>
  <si>
    <t>C 125x50x2,8</t>
  </si>
  <si>
    <t>C 125x50x2,7</t>
  </si>
  <si>
    <t>C 125x50x2,2</t>
  </si>
  <si>
    <t>C 125x50x2</t>
  </si>
  <si>
    <t>C 125x50x1,8</t>
  </si>
  <si>
    <t>C 125x50x1,6</t>
  </si>
  <si>
    <t>C 125x50x1,4</t>
  </si>
  <si>
    <t>C 125x50x1,2</t>
  </si>
  <si>
    <t>C 120x45x2,2</t>
  </si>
  <si>
    <t>C 120x45x2</t>
  </si>
  <si>
    <t>C 120x45x1,8</t>
  </si>
  <si>
    <t>C 120x45x1,6</t>
  </si>
  <si>
    <t>C 120x45x1,4</t>
  </si>
  <si>
    <t>C 120x45x1,2</t>
  </si>
  <si>
    <t>C 100x50x3</t>
  </si>
  <si>
    <t>C 100x50x2,8</t>
  </si>
  <si>
    <t>C 100x50x2,7</t>
  </si>
  <si>
    <t>C 100x50x2,2</t>
  </si>
  <si>
    <t>C 100x50x2</t>
  </si>
  <si>
    <t>C 100x50x1,8</t>
  </si>
  <si>
    <t>C 100x50x1,6</t>
  </si>
  <si>
    <t>C 100x50x1,4</t>
  </si>
  <si>
    <t>C 100x50x1,2</t>
  </si>
  <si>
    <t>C 95x45x2,2</t>
  </si>
  <si>
    <t>C 95x45x1</t>
  </si>
  <si>
    <t>C 95x45x1,8</t>
  </si>
  <si>
    <t>C 95x45x1,6</t>
  </si>
  <si>
    <t>C 95x45x1,4</t>
  </si>
  <si>
    <t>C 95x45x1,2</t>
  </si>
  <si>
    <t>C 75x45x2,2</t>
  </si>
  <si>
    <t>C 75x45x2</t>
  </si>
  <si>
    <t>C 75x45x1,8</t>
  </si>
  <si>
    <t>C 75x45x1,6</t>
  </si>
  <si>
    <t>C 75x45x1,4</t>
  </si>
  <si>
    <t>C 75x45x1,2</t>
  </si>
  <si>
    <t>C 75x35x2</t>
  </si>
  <si>
    <t>C 75x35x1,8</t>
  </si>
  <si>
    <t>C 75x35x1,6</t>
  </si>
  <si>
    <t>C 75x35x1,4</t>
  </si>
  <si>
    <t>C 75x35x1,2</t>
  </si>
  <si>
    <t>C 70x30x2</t>
  </si>
  <si>
    <t>C 70x30x1,8</t>
  </si>
  <si>
    <t>C 70x30x1,6</t>
  </si>
  <si>
    <t>C 70x30x1,4</t>
  </si>
  <si>
    <t>C 70x30x1,2</t>
  </si>
  <si>
    <t>C 60x30x2</t>
  </si>
  <si>
    <t>C 60x30x1,8</t>
  </si>
  <si>
    <t>C 60x30x1,6</t>
  </si>
  <si>
    <t>C 60x30x1,4</t>
  </si>
  <si>
    <t>C 60x30x1,2</t>
  </si>
  <si>
    <t>C 50x25x1,8</t>
  </si>
  <si>
    <t>C 50x25x1,6</t>
  </si>
  <si>
    <t>C 50x25x1,4</t>
  </si>
  <si>
    <t>C 50x25x1,2</t>
  </si>
  <si>
    <t>C Channel</t>
  </si>
  <si>
    <t>CNP 200x75x20x4</t>
  </si>
  <si>
    <t>GG, UNION</t>
  </si>
  <si>
    <t>CNP 200x75x20x3,2</t>
  </si>
  <si>
    <t>UNION</t>
  </si>
  <si>
    <t>CNP 200x75x20x3</t>
  </si>
  <si>
    <t>CNP 200x75x20x2,3</t>
  </si>
  <si>
    <t>GG, UNION, ALIM</t>
  </si>
  <si>
    <t>CNP 150x65x20x3,2</t>
  </si>
  <si>
    <t>CNP 150x65x20x3</t>
  </si>
  <si>
    <t>CNP 150x65x20x2,3</t>
  </si>
  <si>
    <t>CNP 150x65x20x2</t>
  </si>
  <si>
    <t>CNP 150x50x20x3,2</t>
  </si>
  <si>
    <t>CNP 150x50x20x3</t>
  </si>
  <si>
    <t>CNP 150x50x20x2,3</t>
  </si>
  <si>
    <t>CNP 150x50x20x2</t>
  </si>
  <si>
    <t>CNP 125x50x20x3,2</t>
  </si>
  <si>
    <t>CNP 125x50x20x3</t>
  </si>
  <si>
    <t>CNP 125x50x20x2,3</t>
  </si>
  <si>
    <t>CNP 125x50x20x2</t>
  </si>
  <si>
    <t>CNP 100x50x20x3,2</t>
  </si>
  <si>
    <t>CNP 100x50x20x3</t>
  </si>
  <si>
    <t>GG, ALIM</t>
  </si>
  <si>
    <t>CNP 100x50x20x2,8</t>
  </si>
  <si>
    <t>CNP 100x50x20x2,3</t>
  </si>
  <si>
    <t>UNION, ALIM</t>
  </si>
  <si>
    <t>CNP 100x50x20x2</t>
  </si>
  <si>
    <t>CNP 100x50x20x1,6</t>
  </si>
  <si>
    <t>CNP 75x45x15x2,3</t>
  </si>
  <si>
    <t>CNP 75x45x15x2</t>
  </si>
  <si>
    <t>CNP 75x45x15x1,6</t>
  </si>
  <si>
    <t>CNP 75x35x15x2,3</t>
  </si>
  <si>
    <t>CNP 75x35x15x2</t>
  </si>
  <si>
    <t>CNP 75x35x15x1,6</t>
  </si>
  <si>
    <t>CNP 60x30x10x2,3</t>
  </si>
  <si>
    <t>CNP 60x30x10x2</t>
  </si>
  <si>
    <t>CNP 60x30x10x1,6</t>
  </si>
  <si>
    <t>Lipped Channel (CNP)</t>
  </si>
  <si>
    <t>DB 41</t>
  </si>
  <si>
    <t>DB 38</t>
  </si>
  <si>
    <t>DB 36</t>
  </si>
  <si>
    <t>DB 35</t>
  </si>
  <si>
    <t>DB 32</t>
  </si>
  <si>
    <t>DB 29</t>
  </si>
  <si>
    <t>DB 25</t>
  </si>
  <si>
    <t>DB 22</t>
  </si>
  <si>
    <t>DB 19</t>
  </si>
  <si>
    <t>DB 16</t>
  </si>
  <si>
    <t>DB 13</t>
  </si>
  <si>
    <t>DB 10</t>
  </si>
  <si>
    <t>DB 6</t>
  </si>
  <si>
    <t>Deformed Bar (DB)</t>
  </si>
  <si>
    <t>RB 32</t>
  </si>
  <si>
    <t>RB 31</t>
  </si>
  <si>
    <t>RB 28</t>
  </si>
  <si>
    <t>RB 25</t>
  </si>
  <si>
    <t>RB 23</t>
  </si>
  <si>
    <t>RB 22</t>
  </si>
  <si>
    <t>RB 19</t>
  </si>
  <si>
    <t>RB 16</t>
  </si>
  <si>
    <t>RB 14</t>
  </si>
  <si>
    <t>RB 13</t>
  </si>
  <si>
    <t>RB 12</t>
  </si>
  <si>
    <t>RB 10</t>
  </si>
  <si>
    <t>RB 9</t>
  </si>
  <si>
    <t>RB 8</t>
  </si>
  <si>
    <t>RB 7</t>
  </si>
  <si>
    <t>RB 6,5</t>
  </si>
  <si>
    <t>RB 6</t>
  </si>
  <si>
    <t>Round Bar (RB)</t>
  </si>
  <si>
    <t>L 250x250x35</t>
  </si>
  <si>
    <t>L 250x250x25</t>
  </si>
  <si>
    <t>L 200x200x25</t>
  </si>
  <si>
    <t>L 200x200x20</t>
  </si>
  <si>
    <t>L 200x200x15</t>
  </si>
  <si>
    <t>L 175x175x15</t>
  </si>
  <si>
    <t>L 175x175x12</t>
  </si>
  <si>
    <t>L 150x150x19</t>
  </si>
  <si>
    <t>L 150x150x15</t>
  </si>
  <si>
    <t>L 150x150x12</t>
  </si>
  <si>
    <t>L 130x130x15</t>
  </si>
  <si>
    <t>L 130x130x12</t>
  </si>
  <si>
    <t>L 130x130x9</t>
  </si>
  <si>
    <t>L 125x125x12</t>
  </si>
  <si>
    <t>L 120x120x12</t>
  </si>
  <si>
    <t>L 120x120x11</t>
  </si>
  <si>
    <t>L 120x120x8</t>
  </si>
  <si>
    <t>L 100x100x14</t>
  </si>
  <si>
    <t>L 100x100x13</t>
  </si>
  <si>
    <t>L 100x100x12</t>
  </si>
  <si>
    <t>GG, KS</t>
  </si>
  <si>
    <t>L 100x100x10</t>
  </si>
  <si>
    <t>L 100x100x9,5</t>
  </si>
  <si>
    <t>L 100x100x8</t>
  </si>
  <si>
    <t>L 100x100x7</t>
  </si>
  <si>
    <t>L 90x90x16</t>
  </si>
  <si>
    <t>L 90x90x13</t>
  </si>
  <si>
    <t>L 90x90x11</t>
  </si>
  <si>
    <t>L 90x90x10</t>
  </si>
  <si>
    <t>L 90x90x9</t>
  </si>
  <si>
    <t>L 90x90x8,5</t>
  </si>
  <si>
    <t>L 90x90x8</t>
  </si>
  <si>
    <t>L 90x90x7</t>
  </si>
  <si>
    <t>L 90x90x6</t>
  </si>
  <si>
    <t>L 80x80x14</t>
  </si>
  <si>
    <t>L 80x80x12</t>
  </si>
  <si>
    <t>L 80x80x10</t>
  </si>
  <si>
    <t>L 80x80x8</t>
  </si>
  <si>
    <t>L 80x80x7,5</t>
  </si>
  <si>
    <t>L 80x80x7</t>
  </si>
  <si>
    <t>L 80x80x6</t>
  </si>
  <si>
    <t>L 75x75x12</t>
  </si>
  <si>
    <t>L 75x75x10</t>
  </si>
  <si>
    <t>L 75x75x9</t>
  </si>
  <si>
    <t>L 75x75x8</t>
  </si>
  <si>
    <t>L 75x75x7</t>
  </si>
  <si>
    <t>L 75x75x6 m</t>
  </si>
  <si>
    <t>L 75x75x6</t>
  </si>
  <si>
    <t>L 70x70x5,5</t>
  </si>
  <si>
    <t>L 70x70x11</t>
  </si>
  <si>
    <t>L 70x70x9</t>
  </si>
  <si>
    <t>L 70x70x7</t>
  </si>
  <si>
    <t>L 70x70x6,5</t>
  </si>
  <si>
    <t>L 70x70x6</t>
  </si>
  <si>
    <t>L 65x65x11</t>
  </si>
  <si>
    <t>L 65x65x9</t>
  </si>
  <si>
    <t>L 65x65x8</t>
  </si>
  <si>
    <t>L 65x65x8 m</t>
  </si>
  <si>
    <t>L 65x65x7</t>
  </si>
  <si>
    <t>L 65x65x6</t>
  </si>
  <si>
    <t>L 65x65x5,5</t>
  </si>
  <si>
    <t>L 65x65x5</t>
  </si>
  <si>
    <t>L 60x60x10</t>
  </si>
  <si>
    <t>L 60x60x8</t>
  </si>
  <si>
    <t>L 60x60x6</t>
  </si>
  <si>
    <t>L 60x60x6 m</t>
  </si>
  <si>
    <t>L 60x60x5</t>
  </si>
  <si>
    <t>L 60x60x5 m</t>
  </si>
  <si>
    <t>L 60x60x4</t>
  </si>
  <si>
    <t>L 50x50x6</t>
  </si>
  <si>
    <t>L 50x50x5</t>
  </si>
  <si>
    <t>L 50x50x5 m</t>
  </si>
  <si>
    <t>L 50x50x4</t>
  </si>
  <si>
    <t>L 45x45x5</t>
  </si>
  <si>
    <t>L 45x45x4</t>
  </si>
  <si>
    <t>L 40x40x5</t>
  </si>
  <si>
    <t>L 40x40x4</t>
  </si>
  <si>
    <t>L 40x40x4 m</t>
  </si>
  <si>
    <t>L 40x40x3</t>
  </si>
  <si>
    <t>L 30x30x3</t>
  </si>
  <si>
    <t>L 25x25x5</t>
  </si>
  <si>
    <t>L 25x25x3</t>
  </si>
  <si>
    <t>L 20x20x3</t>
  </si>
  <si>
    <t>Equal Angle (L)</t>
  </si>
  <si>
    <t>INP 600x215x21,6x32,4x13</t>
  </si>
  <si>
    <t>INP 550x200x19x30x11,9</t>
  </si>
  <si>
    <t>INP 500x185x18x27x10,8</t>
  </si>
  <si>
    <t>INP 475x178x17,1x25,6x10,3</t>
  </si>
  <si>
    <t>INP 450x170x16,2x21,3x9,7</t>
  </si>
  <si>
    <t>INP 425x163x15,3x23x9,2</t>
  </si>
  <si>
    <t>INP 400x155x14,4x21,6x8,6</t>
  </si>
  <si>
    <t>INP 380x149x13,7x20,5x7,8</t>
  </si>
  <si>
    <t>INP 360x143x13x19,5x7,8</t>
  </si>
  <si>
    <t>INP 340x137x12,2x18,3x7,3</t>
  </si>
  <si>
    <t>INP 320x131x11,5x17,3x6,9</t>
  </si>
  <si>
    <t>INP 300x125x10,8x16,2x5</t>
  </si>
  <si>
    <t>INP 280x119x10,1x15,2x6,1</t>
  </si>
  <si>
    <t>INP 260x113x9,4x14,1x5,6</t>
  </si>
  <si>
    <t>INP 250x125x7,5x12,5</t>
  </si>
  <si>
    <t>INP 240x106x8,7x13,1x5,2</t>
  </si>
  <si>
    <t>INP 220x98x8,1x12,2x4,9</t>
  </si>
  <si>
    <t>INP 200x90x7,5x11,3x4,5</t>
  </si>
  <si>
    <t>INP 180x82x6,9x10,4x4,1</t>
  </si>
  <si>
    <t>INP 160x74x6,5x9,5x3,8</t>
  </si>
  <si>
    <t>INP 140x66x5,7x8,6x3,4</t>
  </si>
  <si>
    <t>INP 120x58x5,1x7,7x3,1</t>
  </si>
  <si>
    <t>INP 100x50x4,5x6,8x2,7</t>
  </si>
  <si>
    <t>INP 80x42x3,9x5,9x2,3</t>
  </si>
  <si>
    <t>INP</t>
  </si>
  <si>
    <t>IPE 600x220x12x19</t>
  </si>
  <si>
    <t>IPE 550x210x11,1x17,2</t>
  </si>
  <si>
    <t>IPE 500x200x10,2x16</t>
  </si>
  <si>
    <t>IPE 450x190x9,4x14,6</t>
  </si>
  <si>
    <t>IPE 400x180x8,6x13,5</t>
  </si>
  <si>
    <t>IPE 360x170x8x12,7</t>
  </si>
  <si>
    <t>IPE 330x160x7,5x11,5</t>
  </si>
  <si>
    <t>IPE 300x150x7,1x10,7</t>
  </si>
  <si>
    <t>IPE 270x135x6,6x10,2</t>
  </si>
  <si>
    <t>IPE 240x120x6,2x9,8</t>
  </si>
  <si>
    <t>IPE 220x110x5,9x9,2</t>
  </si>
  <si>
    <t>IPE 200x100x5,6x8,5</t>
  </si>
  <si>
    <t>IPE 180x91x5,3x8</t>
  </si>
  <si>
    <t>IPE 160x82x5x7,4</t>
  </si>
  <si>
    <t>IPE 140x73x4,7x6,9</t>
  </si>
  <si>
    <t>IPE 120x64x4,4x6,3</t>
  </si>
  <si>
    <t>IPE 100x55x4,1x5,7</t>
  </si>
  <si>
    <t>IPE 80x46x3,8x5,2</t>
  </si>
  <si>
    <t>IPE</t>
  </si>
  <si>
    <t>WF 18"x7 1/2" 45 lbs</t>
  </si>
  <si>
    <t>WF 16"x7" 50 lbs</t>
  </si>
  <si>
    <t>WF 16"x7" 40 lbs</t>
  </si>
  <si>
    <t>WF 16"x7" 36 lbs</t>
  </si>
  <si>
    <t>WF 14"x14 1/2" 73 lbs</t>
  </si>
  <si>
    <t>WF 14"x6 3/4" 30 lbs</t>
  </si>
  <si>
    <t>WF 12"x12" 65 lbs</t>
  </si>
  <si>
    <t>WF 12"x12" 53 lbs</t>
  </si>
  <si>
    <t>WF 12"x6 1/2" 31 lbs</t>
  </si>
  <si>
    <t>WF 12"x6 1/2" 27 lbs</t>
  </si>
  <si>
    <t>WF 10"x10" 49 lbs</t>
  </si>
  <si>
    <t>WF 10"x10" 42 lbs</t>
  </si>
  <si>
    <t>WF 10"x5 3/4" 25 lbs</t>
  </si>
  <si>
    <t>WF 10"x5 3/4" 21 lbs</t>
  </si>
  <si>
    <t>WF 10"x4" 17 lbs</t>
  </si>
  <si>
    <t>WF 8"x8" 35 lbs</t>
  </si>
  <si>
    <t>WF 8"x8" 31 lbs</t>
  </si>
  <si>
    <t>WF 8"x5 1/4" 17 lbs</t>
  </si>
  <si>
    <t>WF 6"x6" 15,5 lbs</t>
  </si>
  <si>
    <t>Wide Flange (WF)</t>
  </si>
  <si>
    <t>WF 800x300x14x26</t>
  </si>
  <si>
    <t>WF 700x300x13x24</t>
  </si>
  <si>
    <t>WF 692x300x13x20</t>
  </si>
  <si>
    <t>WF 600x200x11x17</t>
  </si>
  <si>
    <t>WF 588x300x12x20</t>
  </si>
  <si>
    <t>WF 500x200x10x16</t>
  </si>
  <si>
    <t>WF 496x199x9x14</t>
  </si>
  <si>
    <t>WF 450x200x9x14</t>
  </si>
  <si>
    <t>WF 446x199x8x12</t>
  </si>
  <si>
    <t>Import</t>
  </si>
  <si>
    <t>WF 400x400x13x21</t>
  </si>
  <si>
    <t>WF 400x200x8x13</t>
  </si>
  <si>
    <t>WF 396x199x7x11</t>
  </si>
  <si>
    <t>WF 350x350x12x19</t>
  </si>
  <si>
    <t>WF 350x175x7x11</t>
  </si>
  <si>
    <t>WF 346x174x6x9</t>
  </si>
  <si>
    <t>WF 300x300x10x15</t>
  </si>
  <si>
    <t>WF 300x150x6,5x9</t>
  </si>
  <si>
    <t>WF 298x149x5,5x8</t>
  </si>
  <si>
    <t>WF 250x250x9x14</t>
  </si>
  <si>
    <t>WF 250x125x6x9</t>
  </si>
  <si>
    <t>WF 248x124x5x8</t>
  </si>
  <si>
    <t>WF 200x200x8x12</t>
  </si>
  <si>
    <t>WF 200x100x5,5x8</t>
  </si>
  <si>
    <t>WF 200x100x3,2x4,5</t>
  </si>
  <si>
    <t>WF 198x99x4,5x7</t>
  </si>
  <si>
    <t>WF 175x175x7,5x11</t>
  </si>
  <si>
    <t>WF 175x90x5x8</t>
  </si>
  <si>
    <t>WF 150x150x7x10</t>
  </si>
  <si>
    <t>WF 150x100x6x9</t>
  </si>
  <si>
    <t>WF 150x75x5x7</t>
  </si>
  <si>
    <t>WF 148x100x6x9</t>
  </si>
  <si>
    <t>WF 125x125x6,5x9</t>
  </si>
  <si>
    <t>WF 125x125x5x7</t>
  </si>
  <si>
    <t>WF 125x60x6x8</t>
  </si>
  <si>
    <t>WF 100x100x6x8</t>
  </si>
  <si>
    <t>WF 100x59x4x7</t>
  </si>
  <si>
    <t>WF 150x50x5x7</t>
  </si>
  <si>
    <t>m atau m2</t>
  </si>
  <si>
    <t>/m atau /m2</t>
  </si>
  <si>
    <t>E</t>
  </si>
  <si>
    <t>/unit</t>
  </si>
  <si>
    <t>Catatan</t>
  </si>
  <si>
    <t>Ukuran</t>
  </si>
  <si>
    <t>Stok</t>
  </si>
  <si>
    <t>Ex</t>
  </si>
  <si>
    <t>Suplayer</t>
  </si>
  <si>
    <t>Produsen</t>
  </si>
  <si>
    <t>Profil</t>
  </si>
  <si>
    <t>Produk</t>
  </si>
  <si>
    <t>KATALOG BAJA KONSTRUKSI</t>
  </si>
  <si>
    <t>PL.10</t>
  </si>
  <si>
    <t>PL.6</t>
  </si>
  <si>
    <t>BERAT</t>
  </si>
  <si>
    <t>NAMA</t>
  </si>
  <si>
    <t>RANGKA ATAP UTAMA</t>
  </si>
  <si>
    <t>kg/m2</t>
  </si>
  <si>
    <t>RASIO</t>
  </si>
  <si>
    <t>REKAPITULASI VOLUME</t>
  </si>
  <si>
    <t>Buah</t>
  </si>
  <si>
    <t>Kg</t>
  </si>
  <si>
    <t>L</t>
  </si>
  <si>
    <t>P</t>
  </si>
  <si>
    <t>berat</t>
  </si>
  <si>
    <t>TOTAL VOL</t>
  </si>
  <si>
    <t>QTY</t>
  </si>
  <si>
    <t>Σ TIPIKAL</t>
  </si>
  <si>
    <t>Σ layer</t>
  </si>
  <si>
    <t>Σ /titik</t>
  </si>
  <si>
    <t>kg/(m'/m2)</t>
  </si>
  <si>
    <t>koef</t>
  </si>
  <si>
    <t>KETERANGAN</t>
  </si>
  <si>
    <t>ITEM MATERIAL</t>
  </si>
  <si>
    <t>PROFIL</t>
  </si>
  <si>
    <t>Ref :</t>
  </si>
  <si>
    <t>Gording</t>
  </si>
  <si>
    <t>KK2</t>
  </si>
  <si>
    <t>KK1</t>
  </si>
  <si>
    <t>MEASURE BY</t>
  </si>
  <si>
    <t>DATE OF MEASUREMENT</t>
  </si>
  <si>
    <t>: PEKERJAAN STRUKTUR BAJA</t>
  </si>
  <si>
    <t>SUBJECT TO MEASUREMENT</t>
  </si>
  <si>
    <t>LOCATION</t>
  </si>
  <si>
    <t>PROJECT</t>
  </si>
  <si>
    <t>unit</t>
  </si>
  <si>
    <t>Pekerjaan tandon bawah kaps. 9 m3</t>
  </si>
  <si>
    <t>Pekerjaan bak kontrol</t>
  </si>
  <si>
    <t>Pekerjaan bantalan pipa</t>
  </si>
  <si>
    <t>Pekerjaan pipa horizontal</t>
  </si>
  <si>
    <t>Pekerjaan pipa vertikal (kawat ayam + cor)</t>
  </si>
  <si>
    <t>Pekerjaan pipa horizontal lantai dasar (gali + bantalan + urug)</t>
  </si>
  <si>
    <t>Acian dinding &amp; kolom (konvensional)</t>
  </si>
  <si>
    <t>Acian dinding &amp; kolom (semen instan)</t>
  </si>
  <si>
    <t>Plesteran kolom (beton)</t>
  </si>
  <si>
    <t>Plesteran dinding (konvensional)</t>
  </si>
  <si>
    <t>Pasang bata ringan 1,5 batu (rata-rata)</t>
  </si>
  <si>
    <t>Pasang bata ringan 1 batu (rata-rata)</t>
  </si>
  <si>
    <t>Pasang bata ringan 1/2 batu (rata-rata)</t>
  </si>
  <si>
    <t>Pasang bata merah 1,5 batu (rata-rata)</t>
  </si>
  <si>
    <t>Pasang bata merah 1 batu (rata-rata)</t>
  </si>
  <si>
    <t>Pasang bata merah 3/4 batu (rata-rata)</t>
  </si>
  <si>
    <t>Pasang bata merah 1/2 batu (rata-rata)</t>
  </si>
  <si>
    <t>Lantai kerja</t>
  </si>
  <si>
    <t>Bekisting + pembesian + cor TANGGA (rata-rata)</t>
  </si>
  <si>
    <t>Bekisting + pembesian + cor DINDING BETON (rata-rata)</t>
  </si>
  <si>
    <t>Bekisting + pembesian + cor PLAT LANTAI (rata-rata)</t>
  </si>
  <si>
    <t>Bekisting + pembesian + cor PLAT LANTAI (lt. dasar)</t>
  </si>
  <si>
    <t>Bekisting + pembesian + cor KOLOM (rata-rata)</t>
  </si>
  <si>
    <t>Bekisting + pembesian + cor BALOK (rata-rata)</t>
  </si>
  <si>
    <t>Bekisting + pembesian + cor SLOOF</t>
  </si>
  <si>
    <t>Bekisting + pembesian + cor POER</t>
  </si>
  <si>
    <t>Perataan &amp; pemadatan tanah</t>
  </si>
  <si>
    <t>Buang bekas galian</t>
  </si>
  <si>
    <t>Urugan tanah manual</t>
  </si>
  <si>
    <t>Galian manual</t>
  </si>
  <si>
    <t>note: setiap naik 1 lantai, upah +5%</t>
  </si>
  <si>
    <t>Data Upah Mandor Slamet (sebelum diskon)</t>
  </si>
  <si>
    <t>Pasang dinding corrugated metal</t>
  </si>
  <si>
    <t>Pasang atap corrugated metal</t>
  </si>
  <si>
    <t>Pasang paving</t>
  </si>
  <si>
    <t>Unit</t>
  </si>
  <si>
    <t>Pasang Fixed Shower Head</t>
  </si>
  <si>
    <t>Pasang Soap Holder</t>
  </si>
  <si>
    <t>Pasang Kitchen Sink + cor meja</t>
  </si>
  <si>
    <t>Pasang robe hook</t>
  </si>
  <si>
    <t>Pasang towel bar</t>
  </si>
  <si>
    <t>Pasang mixing valve</t>
  </si>
  <si>
    <t>Pasang Kran Air</t>
  </si>
  <si>
    <t>Pasang Tissue Holder</t>
  </si>
  <si>
    <t>Pasang Sekat Urinoir</t>
  </si>
  <si>
    <t>Pasang Urinoir</t>
  </si>
  <si>
    <t>Pasang Hand dryer</t>
  </si>
  <si>
    <t>Pasang Lavatory</t>
  </si>
  <si>
    <t>Pasang Floor Drain</t>
  </si>
  <si>
    <t>Pasang Shower Spray</t>
  </si>
  <si>
    <t>Pasang Closet jongkok</t>
  </si>
  <si>
    <t>Pasang Closet duduk</t>
  </si>
  <si>
    <t>Skim coat</t>
  </si>
  <si>
    <t>Pasang Car Stoper</t>
  </si>
  <si>
    <t>Broom Finished lantai</t>
  </si>
  <si>
    <t>Trowel Finish Lantai</t>
  </si>
  <si>
    <t>Finish Floor Hardener</t>
  </si>
  <si>
    <t>Pasang Stepnosing</t>
  </si>
  <si>
    <t>Pasang Skirting Homogenous Tile</t>
  </si>
  <si>
    <t>Pasang Skirting Keramik</t>
  </si>
  <si>
    <t>Pasang Keramik dan HT / GT dinding</t>
  </si>
  <si>
    <t>Pasang Keramik lantai bermotif (susun bata / herringbone / dsb)</t>
  </si>
  <si>
    <t>Pasang Keramik dan HT / GT lantai</t>
  </si>
  <si>
    <t>Screed Lantai</t>
  </si>
  <si>
    <t>Pasang Kolom Praktis</t>
  </si>
  <si>
    <t xml:space="preserve">Benangan </t>
  </si>
  <si>
    <t>Acian Semen Konvensional</t>
  </si>
  <si>
    <t>Acian Semen Instant</t>
  </si>
  <si>
    <t>Plesteran Konvensional</t>
  </si>
  <si>
    <t>Plesteran Semen Instant</t>
  </si>
  <si>
    <t>Ongkos pasang bekisting bondek</t>
  </si>
  <si>
    <t>Ongkos bongkar bekisting</t>
  </si>
  <si>
    <t>Ongkos pasang bekisting</t>
  </si>
  <si>
    <t>Pasang bekisting batako posisi berdiri</t>
  </si>
  <si>
    <t>Pasang bekisting batako posisi tidur</t>
  </si>
  <si>
    <t xml:space="preserve">Pasang Wiremesh </t>
  </si>
  <si>
    <t>Pasang besi manual</t>
  </si>
  <si>
    <t>Pasang besi dengan Tower Crane</t>
  </si>
  <si>
    <t>Sewa concrete pump</t>
  </si>
  <si>
    <t>Vibrator</t>
  </si>
  <si>
    <t>Cor Beton Dengan Concrete Pump</t>
  </si>
  <si>
    <t>Cor Beton Dengan Tower Crane (komponen struktur vertikal)</t>
  </si>
  <si>
    <t>Cor Beton dengan site mix</t>
  </si>
  <si>
    <t>Cor Beton Manual</t>
  </si>
  <si>
    <t>Pasang Batu Kali</t>
  </si>
  <si>
    <t>Lantai kerja plastic sheet</t>
  </si>
  <si>
    <t>Lantai Kerja tebal : 7 cm</t>
  </si>
  <si>
    <t>titik</t>
  </si>
  <si>
    <t>Bobok kepala mini pile 25 cm x 25 cm</t>
  </si>
  <si>
    <t>Bobok kepala tiang diameter 50 cm</t>
  </si>
  <si>
    <t>Pemadatan tanah</t>
  </si>
  <si>
    <t>Pekerjaan urugan sirtu</t>
  </si>
  <si>
    <t>Pekerjaan Urugan Pasir</t>
  </si>
  <si>
    <t>Pekerjaan urugan kembali</t>
  </si>
  <si>
    <t>Pekerjaan Galian manual</t>
  </si>
  <si>
    <t>Rp.</t>
  </si>
  <si>
    <t>UPAH TATA</t>
  </si>
  <si>
    <t>UPAH MANDOR (LT. DASAR)</t>
  </si>
  <si>
    <t>UPAH NET</t>
  </si>
  <si>
    <t>SAT</t>
  </si>
  <si>
    <t>P E K E R J A A N</t>
  </si>
  <si>
    <t>Aksesoris pipa</t>
  </si>
  <si>
    <t>Pipa vent 1,5" (vertikal)</t>
  </si>
  <si>
    <t>Pipa vent 1,5" (horizontal)</t>
  </si>
  <si>
    <t>Pipa PVC 3" (horizontal)</t>
  </si>
  <si>
    <t>Pipa PVC 3" (vertikal)</t>
  </si>
  <si>
    <t>Pekerjaan Instalasi Air Buangan ( / Air WC)</t>
  </si>
  <si>
    <t>Pipa PVC 4" (main drain kolam renang)</t>
  </si>
  <si>
    <t>Pipa PVC 5" (overflow kolam renang)</t>
  </si>
  <si>
    <t>Pipa PVC 6" (horizontal)</t>
  </si>
  <si>
    <t>Pekerjaan Instalasi Air Bekas ( / Air Kotor)</t>
  </si>
  <si>
    <t>Roof drain 4"</t>
  </si>
  <si>
    <t>Roof drain 3"</t>
  </si>
  <si>
    <t>Pipa PVC 8" (PAH utama)</t>
  </si>
  <si>
    <t>Pipa PVC 6" (PAH utama)</t>
  </si>
  <si>
    <t>Pipa PVC 4" (vertikal)</t>
  </si>
  <si>
    <t>Pipa PVC 4" (horizontal)</t>
  </si>
  <si>
    <t>Pipa PVC 2,5" (vertikal)</t>
  </si>
  <si>
    <t>Pipa PVC 2,5" (horizontal)</t>
  </si>
  <si>
    <t>Pekerjaan Instalasi Air Hujan</t>
  </si>
  <si>
    <t>Upah pekerjaan</t>
  </si>
  <si>
    <t>Lantai kerja 5 cm</t>
  </si>
  <si>
    <t>Bekisting kayu (sisi dalam)</t>
  </si>
  <si>
    <t>Bekisting bata merah (sisi luar)</t>
  </si>
  <si>
    <t>Pembesian dia. 8 - 150 (1 lapis)</t>
  </si>
  <si>
    <t>Cor beton site mix 1:2:3</t>
  </si>
  <si>
    <t>1 m' Bantalan Pipa di lt. Dasar (asumsi lebar lunas 50 cm, dalam 30 cm, tebal 10 cm)</t>
  </si>
  <si>
    <t>1 m' Bantalan Pipa di lt. Dasar (asumsi lebar lunas 1m, dalam 30 cm, tebal 10 cm)</t>
  </si>
  <si>
    <t>Upah pekerjaan (kawat ayam + cor)</t>
  </si>
  <si>
    <t>Kawat ayam</t>
  </si>
  <si>
    <t>Pipa</t>
  </si>
  <si>
    <t>btg</t>
  </si>
  <si>
    <t>1 m' Pipa Hawa Septic Tank PVC AW 1,5"</t>
  </si>
  <si>
    <t>1 m' Pipa Hawa Septic Tank PVC AW 2"</t>
  </si>
  <si>
    <t>1 m' Pipa Air Hujan Horizontal PVC AW 2,5"</t>
  </si>
  <si>
    <t>1 m' Pipa Air Hujan Vertikal PVC AW 2,5"</t>
  </si>
  <si>
    <t>Cor beton site mix</t>
  </si>
  <si>
    <t>1 m' Pipa Air Kotor Horizontal PVC AW 3"</t>
  </si>
  <si>
    <t>1 m' Pipa Air Kotor Vertikal PVC AW 3"</t>
  </si>
  <si>
    <t>1 m' Pipa Air WC Horizontal PVC AW 4"</t>
  </si>
  <si>
    <t>1 m' Pipa Air WC Vertikal PVC AW 4"</t>
  </si>
  <si>
    <t>1 m' Pipa Air WC PVC AW 5"</t>
  </si>
  <si>
    <t>1 m' Pipa Utama PVC AW 6"</t>
  </si>
  <si>
    <t>1 m' Pipa Utama PVC AW 8"</t>
  </si>
  <si>
    <t>Upah acian konvensional</t>
  </si>
  <si>
    <t>Air Kerja</t>
  </si>
  <si>
    <t xml:space="preserve">Semen PC </t>
  </si>
  <si>
    <t>sak</t>
  </si>
  <si>
    <t>1 m2 Acian Konvensional</t>
  </si>
  <si>
    <t>Upah acian mortar instan</t>
  </si>
  <si>
    <t>Mortar Instan</t>
  </si>
  <si>
    <t>1 m2 Acian Mortar Instan</t>
  </si>
  <si>
    <t>Upah plesteran</t>
  </si>
  <si>
    <t>Pasir  Lumajang</t>
  </si>
  <si>
    <t>1 m2 Plesteran Konvensional 1:3 + Benangan</t>
  </si>
  <si>
    <t>Plesteran Mortar Instan</t>
  </si>
  <si>
    <t>1 m2 Plesteran Mortar Instan + Benangan</t>
  </si>
  <si>
    <t>Upah benangan</t>
  </si>
  <si>
    <t>Semen</t>
  </si>
  <si>
    <t>1 m' Benangan</t>
  </si>
  <si>
    <t>Ongkos pasang bata ringan</t>
  </si>
  <si>
    <t>Kolom praktis</t>
  </si>
  <si>
    <t>Perekat Mortar Instan</t>
  </si>
  <si>
    <t>Bata Ringan</t>
  </si>
  <si>
    <t>1 m2 Pasangan Dinding Bata Ringan 1,5 Batu (30 cm)</t>
  </si>
  <si>
    <t>1 m2 Pasangan Dinding Bata Ringan 1 Batu (20 cm)</t>
  </si>
  <si>
    <t>1 m2 Pasangan Dinding Bata Ringan 1/2 Batu (10 cm)</t>
  </si>
  <si>
    <t>Upah pasang bata merah</t>
  </si>
  <si>
    <t>Kolom praktis, balok praktis, balok sabuk</t>
  </si>
  <si>
    <t>Semen PC @50kg</t>
  </si>
  <si>
    <t>Bata MRH</t>
  </si>
  <si>
    <t>1 m2 Pasangan Dinding Bata Merah finish 50 cm, spesi 1:3</t>
  </si>
  <si>
    <t>1 m2 Pasangan Dinding Bata Merah finish 40 cm, spesi 1:3</t>
  </si>
  <si>
    <t>1 m2 Pasangan Dinding Bata Merah finish 35 cm, spesi 1:3</t>
  </si>
  <si>
    <t>1 m2 Pasangan Dinding Bata Merah finish 30 cm, spesi 1:3</t>
  </si>
  <si>
    <t>Upah pasang bata merah 1 batu</t>
  </si>
  <si>
    <t>1 m2 Pasangan Dinding Bata Merah 1 Batu (finish 25 cm), spesi 1:3</t>
  </si>
  <si>
    <t>Upah pasang bata merah 3/4 batu</t>
  </si>
  <si>
    <t>1 m2 Pasangan Dinding Bata Merah 3/4 Batu (finish 20 cm), spesi 1:3</t>
  </si>
  <si>
    <t>Upah pasang bata merah 1/2 batu</t>
  </si>
  <si>
    <t>1 m2 Pasangan Dinding Bata Merah 1/2 Batu (finish 15 cm), spesi 1:3</t>
  </si>
  <si>
    <t>Ongkos pasang kolom praktis</t>
  </si>
  <si>
    <t>Besi 6D10 + Æ8-200 + stek Æ8</t>
  </si>
  <si>
    <t>Beton site mix</t>
  </si>
  <si>
    <t>1 m' Kolom Praktis 15 x 45 cm</t>
  </si>
  <si>
    <t>1 m' Kolom Praktis 15 x 35 cm</t>
  </si>
  <si>
    <t>Besi 4D10 + Æ8-200 + stek Æ8</t>
  </si>
  <si>
    <t>1 m' Kolom Praktis 15 x 30 cm</t>
  </si>
  <si>
    <t>1 m' Kolom Praktis 15 x 25 cm</t>
  </si>
  <si>
    <t>1 m' Kolom Praktis 12 x 22 cm</t>
  </si>
  <si>
    <t>1 m' Kolom Praktis 12 x 17 cm</t>
  </si>
  <si>
    <t>1 m' Kolom Praktis 12 x 12 cm</t>
  </si>
  <si>
    <t>Upah pasangan batu kali</t>
  </si>
  <si>
    <t>Pasir pasang</t>
  </si>
  <si>
    <t>Batu kali</t>
  </si>
  <si>
    <t>1 m3 Pasangan Batu Kali (campuran 1 pc : 5 ps)</t>
  </si>
  <si>
    <t>Upah aanstamping</t>
  </si>
  <si>
    <t>1 m3 Pasangan Aanstamping (batu kosong)</t>
  </si>
  <si>
    <t>Upah pasir urug</t>
  </si>
  <si>
    <t>Pasir urug</t>
  </si>
  <si>
    <t>1 m2 Pasir Urug tebal 10 cm</t>
  </si>
  <si>
    <t>Mobdemob</t>
  </si>
  <si>
    <t>Bentonite pile</t>
  </si>
  <si>
    <t>Bored pile</t>
  </si>
  <si>
    <t>1 ls sistem Secant Pile</t>
  </si>
  <si>
    <t>Upah bor dan cor</t>
  </si>
  <si>
    <t>Air</t>
  </si>
  <si>
    <t>Bentonite</t>
  </si>
  <si>
    <t>1 titik Bentonite Pile dia. 40 cm, Panjang 10 m</t>
  </si>
  <si>
    <t>Upah gali, pembesian, dan cor</t>
  </si>
  <si>
    <t>Pembesian 6D13 + D10-100/150</t>
  </si>
  <si>
    <t>Beton readymix</t>
  </si>
  <si>
    <t>1 titik Bored Pile dia. 40 cm, Panjang 12,27 m</t>
  </si>
  <si>
    <t>1 titik Bored Pile dia. 40 cm, Panjang 16,2 m</t>
  </si>
  <si>
    <t>1 titik Bored Pile dia. 30 cm, Panjang 14 m</t>
  </si>
  <si>
    <t>Ongkos Kerja</t>
  </si>
  <si>
    <t>Bahan Bakar Molen</t>
  </si>
  <si>
    <t>ltr</t>
  </si>
  <si>
    <t>Batu split 1:1</t>
  </si>
  <si>
    <t>1 m3 Lantai Kerja (beton site mix 1:3:5)</t>
  </si>
  <si>
    <t>Upah cor site mix</t>
  </si>
  <si>
    <t>1 m3 Beton Site Mix 1:2:3</t>
  </si>
  <si>
    <t>Harga per m2</t>
  </si>
  <si>
    <t>Ongkos pembesian (las)</t>
  </si>
  <si>
    <t>Besi (asumsi total panjang 50 cm)</t>
  </si>
  <si>
    <t>Shear Connector D10-100</t>
  </si>
  <si>
    <t>Shear Connector D13-300</t>
  </si>
  <si>
    <t>Bendrat</t>
  </si>
  <si>
    <t>Wiremesh M7</t>
  </si>
  <si>
    <t>Wiremesh M7 (per 1 lapis)</t>
  </si>
  <si>
    <t>Wiremesh M6</t>
  </si>
  <si>
    <t>Pekerjaan Wiremesh M6 (per 1 lapis)</t>
  </si>
  <si>
    <t>Beton decking</t>
  </si>
  <si>
    <t>Besi beton</t>
  </si>
  <si>
    <t>Pembesian U24 &amp; U40</t>
  </si>
  <si>
    <t>Upah cor, besi, bekisting borongan</t>
  </si>
  <si>
    <t>Sewa vibrator</t>
  </si>
  <si>
    <t>Beton readymix K-350 slump 18 ± 2 cm</t>
  </si>
  <si>
    <r>
      <t>Pengecoran Beton Readymix (</t>
    </r>
    <r>
      <rPr>
        <b/>
        <sz val="10"/>
        <color rgb="FFFF0000"/>
        <rFont val="Arial"/>
        <family val="2"/>
      </rPr>
      <t>KHUSUS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DINDING BETON RATA-RATA</t>
    </r>
    <r>
      <rPr>
        <sz val="10"/>
        <rFont val="Arial"/>
        <family val="2"/>
      </rPr>
      <t>)</t>
    </r>
  </si>
  <si>
    <r>
      <t>Pengecoran Beton Readymix (</t>
    </r>
    <r>
      <rPr>
        <b/>
        <sz val="10"/>
        <color rgb="FFFF0000"/>
        <rFont val="Arial"/>
        <family val="2"/>
      </rPr>
      <t>KHUSUS PLAT LT. ATAS RATA-RATA</t>
    </r>
    <r>
      <rPr>
        <sz val="10"/>
        <rFont val="Arial"/>
        <family val="2"/>
      </rPr>
      <t>)</t>
    </r>
  </si>
  <si>
    <r>
      <t>Pengecoran Beton Readymix (</t>
    </r>
    <r>
      <rPr>
        <b/>
        <sz val="10"/>
        <color rgb="FFFF0000"/>
        <rFont val="Arial"/>
        <family val="2"/>
      </rPr>
      <t>KHUSUS PLAT LT. DASAR</t>
    </r>
    <r>
      <rPr>
        <sz val="10"/>
        <rFont val="Arial"/>
        <family val="2"/>
      </rPr>
      <t>)</t>
    </r>
  </si>
  <si>
    <r>
      <t>Pengecoran Beton Readymix (</t>
    </r>
    <r>
      <rPr>
        <b/>
        <sz val="10"/>
        <color rgb="FFFF0000"/>
        <rFont val="Arial"/>
        <family val="2"/>
      </rPr>
      <t>KHUSUS BALOK LT. ATAS RATA-RATA</t>
    </r>
    <r>
      <rPr>
        <sz val="10"/>
        <rFont val="Arial"/>
        <family val="2"/>
      </rPr>
      <t>)</t>
    </r>
  </si>
  <si>
    <r>
      <t>Pengecoran Beton Readymix (</t>
    </r>
    <r>
      <rPr>
        <b/>
        <sz val="10"/>
        <color rgb="FFFF0000"/>
        <rFont val="Arial"/>
        <family val="2"/>
      </rPr>
      <t>KHUSUS KOLOM RATA-RATA</t>
    </r>
    <r>
      <rPr>
        <sz val="10"/>
        <rFont val="Arial"/>
        <family val="2"/>
      </rPr>
      <t>)</t>
    </r>
  </si>
  <si>
    <r>
      <t>Pengecoran Beton Readymix (</t>
    </r>
    <r>
      <rPr>
        <b/>
        <sz val="10"/>
        <color rgb="FFFF0000"/>
        <rFont val="Arial"/>
        <family val="2"/>
      </rPr>
      <t>KHUSUS SLOOF</t>
    </r>
    <r>
      <rPr>
        <sz val="10"/>
        <rFont val="Arial"/>
        <family val="2"/>
      </rPr>
      <t>)</t>
    </r>
  </si>
  <si>
    <r>
      <t>Pengecoran Beton Readymix (</t>
    </r>
    <r>
      <rPr>
        <b/>
        <sz val="10"/>
        <color rgb="FFFF0000"/>
        <rFont val="Arial"/>
        <family val="2"/>
      </rPr>
      <t>KHUSUS POER</t>
    </r>
    <r>
      <rPr>
        <sz val="10"/>
        <rFont val="Arial"/>
        <family val="2"/>
      </rPr>
      <t>)</t>
    </r>
  </si>
  <si>
    <t>Structural decking 0,75 mm TCT</t>
  </si>
  <si>
    <t>Bekisting bondek</t>
  </si>
  <si>
    <t>JML SIKLUS</t>
  </si>
  <si>
    <t>Form oil</t>
  </si>
  <si>
    <t>Paku</t>
  </si>
  <si>
    <t>Usuk 5/7</t>
  </si>
  <si>
    <t>Multipleks 15 mm</t>
  </si>
  <si>
    <t>lbr</t>
  </si>
  <si>
    <t>1,2x2,4 m</t>
  </si>
  <si>
    <t>Bekisting dinding beton</t>
  </si>
  <si>
    <t>Perancah Bekisting Plat</t>
  </si>
  <si>
    <t>Bekisting plat</t>
  </si>
  <si>
    <t>Perancah Bekisting Balok</t>
  </si>
  <si>
    <t>Usuk 5/7 (horizontal)</t>
  </si>
  <si>
    <t>Usuk 5/7 (vertikal)</t>
  </si>
  <si>
    <t>30x50 panjang 4 m</t>
  </si>
  <si>
    <t>Bekisting Balok</t>
  </si>
  <si>
    <t>17x40 Tinggi 4 m</t>
  </si>
  <si>
    <t>Bekisting Kolom</t>
  </si>
  <si>
    <t>Pasir  Kertosono</t>
  </si>
  <si>
    <t>Bata Biasa (poklu')</t>
  </si>
  <si>
    <t>1 m2 Bekisting Bata Merah untuk Poer dan Sloof (campuran 1:4)</t>
  </si>
  <si>
    <t>Harga per M2</t>
  </si>
  <si>
    <t xml:space="preserve">Waste </t>
  </si>
  <si>
    <t>Ongkos bongkar</t>
  </si>
  <si>
    <t>M2</t>
  </si>
  <si>
    <t>Ongkos pasang</t>
  </si>
  <si>
    <t>Jack Base (5%)</t>
  </si>
  <si>
    <t>U Head (5%)</t>
  </si>
  <si>
    <t>Scafolding (2 FR, 2 CB, 4 JP) (12,5 %)</t>
  </si>
  <si>
    <t>set</t>
  </si>
  <si>
    <t>per m'</t>
  </si>
  <si>
    <t>Usuk  4/6 meranti</t>
  </si>
  <si>
    <t>Ongkos bouwplank</t>
  </si>
  <si>
    <t>Usuk  5/7 meranti (50%)</t>
  </si>
  <si>
    <t>paku</t>
  </si>
  <si>
    <t>Balok 6/12 meranti (35%)</t>
  </si>
  <si>
    <t>Papan meranti 2/20 (rangka)</t>
  </si>
  <si>
    <t>PERANCAH M', Tinggi 2.5 - 3 M</t>
  </si>
  <si>
    <t>Usuk meranti 5/7 (Tiang)</t>
  </si>
  <si>
    <t>Euitset/Bouwplank T 1,5 m</t>
  </si>
  <si>
    <t>4 M'</t>
  </si>
  <si>
    <t>Cor pondasi</t>
  </si>
  <si>
    <t>seng gel. BJLS 20, 180x80</t>
  </si>
  <si>
    <t>Usuk meranti 5/7 (rangka)</t>
  </si>
  <si>
    <t>Usuk meranti 6/12 (Tiang)</t>
  </si>
  <si>
    <t>Pagar Seng T 3 m</t>
  </si>
  <si>
    <t>PERANCAH M', Tinggi 4.5 - 5 M</t>
  </si>
  <si>
    <t>Per m2</t>
  </si>
  <si>
    <t>Jack Base</t>
  </si>
  <si>
    <t>U Head</t>
  </si>
  <si>
    <t>Scafolding</t>
  </si>
  <si>
    <t>balok 6/12</t>
  </si>
  <si>
    <t>Prosentasi</t>
  </si>
  <si>
    <t>Perancah Tinggi lantai 2.5~3.2 m</t>
  </si>
  <si>
    <t>PERANCAH 1,2 x 1,8 M2, Tinggi 2.5 - 3 M</t>
  </si>
  <si>
    <t>Perancah Tinggi lantai 4.5~5.0 m</t>
  </si>
  <si>
    <t>PERANCAH 1,2 x 1,8 M2, Tinggi 4.5 - 5 M</t>
  </si>
  <si>
    <t>Harga per M'</t>
  </si>
  <si>
    <t>PEKERJAAN Euitset/Bouwplank</t>
  </si>
  <si>
    <t>cor pondasi kaki tiang pagar</t>
  </si>
  <si>
    <t>per lembar</t>
  </si>
  <si>
    <t>Triplek 15 mm</t>
  </si>
  <si>
    <t>seng gel. BJLS 20, 180x90</t>
  </si>
  <si>
    <t>Triplek 18 mm</t>
  </si>
  <si>
    <t>Paku 1 dos @30 kg</t>
  </si>
  <si>
    <t>Harga Balok 8/12 per btg</t>
  </si>
  <si>
    <t>Harga Balok 6/12 per btg</t>
  </si>
  <si>
    <t>Harga papan 2/20 per btg</t>
  </si>
  <si>
    <t xml:space="preserve"> PEKERJAAN PAGAR SENG T. 3m</t>
  </si>
  <si>
    <t>Harga Usuk 4/6 per btg</t>
  </si>
  <si>
    <t>(Rp.)</t>
  </si>
  <si>
    <t>Harga Usuk 5/7 per btg</t>
  </si>
  <si>
    <t>HARGA</t>
  </si>
  <si>
    <t>SATUAN</t>
  </si>
  <si>
    <t>per m3</t>
  </si>
  <si>
    <t xml:space="preserve">Balok meranti 6/12, 8/12 </t>
  </si>
  <si>
    <t xml:space="preserve">JUMLAH </t>
  </si>
  <si>
    <t>PERALATAN</t>
  </si>
  <si>
    <t>UPAH</t>
  </si>
  <si>
    <t>MATERIAL</t>
  </si>
  <si>
    <t xml:space="preserve">HARGA </t>
  </si>
  <si>
    <t>URAIAN PEKERJAAN</t>
  </si>
  <si>
    <t>Usuk Meranti 4/6, 5/7 &amp; papan</t>
  </si>
  <si>
    <t>LOKASI               :</t>
  </si>
  <si>
    <t>PAKET                :</t>
  </si>
  <si>
    <t>Taman Dayu Golv Vila 3a</t>
  </si>
  <si>
    <t>12 Maret 2018</t>
  </si>
  <si>
    <t>Tanggal</t>
  </si>
  <si>
    <t>Pembangunan Villa Taman Dayu, Prigen</t>
  </si>
  <si>
    <t>PROYEK             :</t>
  </si>
  <si>
    <t>DAFTAR ANALISA HARGA</t>
  </si>
  <si>
    <t>Pancawira Perkasa</t>
  </si>
  <si>
    <t>Bioseptictank 2 m3</t>
  </si>
  <si>
    <t>Bioseptictank 1,5 m3</t>
  </si>
  <si>
    <t>Bioseptictank 1 m3</t>
  </si>
  <si>
    <t>Bioseptictank 0,5 m3</t>
  </si>
  <si>
    <t>San-Ei</t>
  </si>
  <si>
    <t>Roof drain 2"</t>
  </si>
  <si>
    <t>spec JIS</t>
  </si>
  <si>
    <t>Rucika - Wavin</t>
  </si>
  <si>
    <t>Pipa PVC 1,5"</t>
  </si>
  <si>
    <t>Pipa PVC 2"</t>
  </si>
  <si>
    <t>Pipa PVC 2,5"</t>
  </si>
  <si>
    <t>Pipa PVC 3"</t>
  </si>
  <si>
    <t>Pipa PVC 4"</t>
  </si>
  <si>
    <t>Pipa PVC 5"</t>
  </si>
  <si>
    <t>Pipa PVC 6"</t>
  </si>
  <si>
    <t>Pipa PVC 8"</t>
  </si>
  <si>
    <t>hrg dasar</t>
  </si>
  <si>
    <t>disc pakai</t>
  </si>
  <si>
    <t>ex : MU-202 / setara</t>
  </si>
  <si>
    <t>Acian mortar instan</t>
  </si>
  <si>
    <t>disc max</t>
  </si>
  <si>
    <t>ex : MU-302</t>
  </si>
  <si>
    <t>Plesteran mortar instan</t>
  </si>
  <si>
    <t>ex : MU-382</t>
  </si>
  <si>
    <t>Perekat bata ringan</t>
  </si>
  <si>
    <t>Bata ringan</t>
  </si>
  <si>
    <t>press (MRH)</t>
  </si>
  <si>
    <t>Bata merah</t>
  </si>
  <si>
    <t>biasa (poklu)</t>
  </si>
  <si>
    <t>ex : lokal</t>
  </si>
  <si>
    <t>ex : lokal full meranti</t>
  </si>
  <si>
    <t>Phenol Film t= 15 mm (4'x8')</t>
  </si>
  <si>
    <t>Phenol Film t= 12 mm (4'x8')</t>
  </si>
  <si>
    <t>Meranti campur</t>
  </si>
  <si>
    <t>Multipleks phenol film t = 18 mm</t>
  </si>
  <si>
    <t>Multipleks phenol film t = 15 mm</t>
  </si>
  <si>
    <t>Multipleks phenol film t = 12 mm</t>
  </si>
  <si>
    <t>Multipleks t = 18 mm</t>
  </si>
  <si>
    <t>Multipleks t = 15 mm</t>
  </si>
  <si>
    <t>Multipleks t = 12 mm</t>
  </si>
  <si>
    <t>Multipleks t = 9 mm</t>
  </si>
  <si>
    <t>Meranti full</t>
  </si>
  <si>
    <t>Multipleks t= 9 mm (4'x8')</t>
  </si>
  <si>
    <t>Papan 2/20</t>
  </si>
  <si>
    <t>Kayu usuk 4/6</t>
  </si>
  <si>
    <t>Kayu usuk 5/7</t>
  </si>
  <si>
    <t>Kayu balok</t>
  </si>
  <si>
    <t>Bekisting kolom praktis (simplified)</t>
  </si>
  <si>
    <t>Bekisting bondek / smartdeck 0.75 mm TCT</t>
  </si>
  <si>
    <t>Ikatan angin</t>
  </si>
  <si>
    <t>Sagrod / trekstang</t>
  </si>
  <si>
    <t>Plat baja</t>
  </si>
  <si>
    <t>Lisplank baja PL8 tinggi 260 mm</t>
  </si>
  <si>
    <t>Lisplank baja PL8 tinggi 350 mm</t>
  </si>
  <si>
    <t>Profil baja khusus (misal: gording)</t>
  </si>
  <si>
    <t>Profil baja besar</t>
  </si>
  <si>
    <t>Profil baja standar</t>
  </si>
  <si>
    <t>Kawat beton</t>
  </si>
  <si>
    <t>ex. BHP / Lion</t>
  </si>
  <si>
    <t>Wiremesh M-5</t>
  </si>
  <si>
    <t>Wiremesh M-7</t>
  </si>
  <si>
    <t>Wiremesh M-8</t>
  </si>
  <si>
    <t>Wiremesh M-9</t>
  </si>
  <si>
    <t>Wiremesh M-10</t>
  </si>
  <si>
    <t>brt/m2</t>
  </si>
  <si>
    <t>jarak</t>
  </si>
  <si>
    <t>dia</t>
  </si>
  <si>
    <t>standard SNI</t>
  </si>
  <si>
    <t>Besi beton BJTP U24 &amp; BJTD U40</t>
  </si>
  <si>
    <t>ex : Sikabond</t>
  </si>
  <si>
    <t>Bonding Agent</t>
  </si>
  <si>
    <t>/kg</t>
  </si>
  <si>
    <t>ex : Masterkure 128 ex. BASF</t>
  </si>
  <si>
    <t>Curing Compound</t>
  </si>
  <si>
    <t>ex : LN</t>
  </si>
  <si>
    <t>Additive</t>
  </si>
  <si>
    <t>Readymix K-250</t>
  </si>
  <si>
    <t>Readymix fc' 40 MPa</t>
  </si>
  <si>
    <t>Readymix fc' 35 MPa</t>
  </si>
  <si>
    <t>Readymix fc' 30 MPa</t>
  </si>
  <si>
    <t>Readymix fc' 25 MPa</t>
  </si>
  <si>
    <t>Readymix fc' 35 Mpa (khusus Raft)</t>
  </si>
  <si>
    <t>slump 12 ± 2 cm, FA max 10%</t>
  </si>
  <si>
    <t>Readymix B0</t>
  </si>
  <si>
    <t>Air kerja</t>
  </si>
  <si>
    <t>Batako tebal 10 cm</t>
  </si>
  <si>
    <t>Sirtu</t>
  </si>
  <si>
    <t>Bahan bakar molen</t>
  </si>
  <si>
    <t>additive hyperflow</t>
  </si>
  <si>
    <t>K-450 (fc'35)</t>
  </si>
  <si>
    <t>ex : Semen Gresik / Holcim / Tiga Roda @ 50 kg</t>
  </si>
  <si>
    <t>K-400 (fc'32,5)</t>
  </si>
  <si>
    <r>
      <t xml:space="preserve">slump 18 </t>
    </r>
    <r>
      <rPr>
        <sz val="12"/>
        <rFont val="Calibri"/>
        <family val="2"/>
      </rPr>
      <t>± 2 cm</t>
    </r>
    <r>
      <rPr>
        <sz val="10.199999999999999"/>
        <rFont val="Calibri"/>
        <family val="2"/>
      </rPr>
      <t xml:space="preserve">, </t>
    </r>
    <r>
      <rPr>
        <sz val="12"/>
        <rFont val="Calibri"/>
        <family val="2"/>
        <scheme val="minor"/>
      </rPr>
      <t>Non Fly Ash, split 1:1</t>
    </r>
  </si>
  <si>
    <t>Readymix K-350 (fc' 30 Mpa)</t>
  </si>
  <si>
    <t>K-350 (fc'30)</t>
  </si>
  <si>
    <t>Readymix K-350 (fc' 35 Mpa)</t>
  </si>
  <si>
    <t>K-300 (fc'25)</t>
  </si>
  <si>
    <r>
      <t xml:space="preserve">slump 18 </t>
    </r>
    <r>
      <rPr>
        <sz val="12"/>
        <rFont val="Calibri"/>
        <family val="2"/>
      </rPr>
      <t>± 2 cm</t>
    </r>
    <r>
      <rPr>
        <sz val="10.199999999999999"/>
        <rFont val="Calibri"/>
        <family val="2"/>
      </rPr>
      <t xml:space="preserve">, </t>
    </r>
    <r>
      <rPr>
        <sz val="12"/>
        <rFont val="Calibri"/>
        <family val="2"/>
        <scheme val="minor"/>
      </rPr>
      <t>Non Fly Ash, Self-Consolidating Concrete (SCC) atau ditambah additive hyperflow</t>
    </r>
  </si>
  <si>
    <r>
      <t xml:space="preserve">harga beton Jayamix BDG H-16 </t>
    </r>
    <r>
      <rPr>
        <b/>
        <sz val="10"/>
        <rFont val="Arial"/>
        <family val="2"/>
      </rPr>
      <t>SEBELUM PPN:</t>
    </r>
  </si>
  <si>
    <t>Split 1:1</t>
  </si>
  <si>
    <t>ex : Kertosono</t>
  </si>
  <si>
    <t>Pasir Pasang</t>
  </si>
  <si>
    <t>ex : Lumajang</t>
  </si>
  <si>
    <t>HARGA NET</t>
  </si>
  <si>
    <t>PRODUK / MODEL / TIPE</t>
  </si>
  <si>
    <t>M A T E R I A L S</t>
  </si>
  <si>
    <t>Lokasi</t>
  </si>
  <si>
    <t>TOTAL NETTO</t>
  </si>
  <si>
    <t>Preliminary</t>
  </si>
  <si>
    <t>(cut &amp; fill, pancang, baja, septic tank)</t>
  </si>
  <si>
    <t>Subkon</t>
  </si>
  <si>
    <t>(scaffolding, concrete pump, dsb)</t>
  </si>
  <si>
    <t>Peralatan</t>
  </si>
  <si>
    <t>(borongan mandor)</t>
  </si>
  <si>
    <t>Upah</t>
  </si>
  <si>
    <t>Material</t>
  </si>
  <si>
    <t>Komposisi RAB (netto):</t>
  </si>
  <si>
    <t>(belum termasuk potongan PPh)</t>
  </si>
  <si>
    <t>/m2</t>
  </si>
  <si>
    <t>Simpanan profit FISIK</t>
  </si>
  <si>
    <t>Harga Bangunan Fisik NETTO</t>
  </si>
  <si>
    <t>Harga Bangunan Fisik</t>
  </si>
  <si>
    <t>Total Luas Bangunan</t>
  </si>
  <si>
    <t>Luas :</t>
  </si>
  <si>
    <t>GRAND TOTAL</t>
  </si>
  <si>
    <t>NETTO</t>
  </si>
  <si>
    <t>PENAWARAN</t>
  </si>
  <si>
    <t>REKAPITULASI TOTAL:</t>
  </si>
  <si>
    <t>Pemilik</t>
  </si>
  <si>
    <t>Estimasi Biaya Pembangunan Fisik Rumah Tinggal</t>
  </si>
  <si>
    <t>Belum termasuk pekerjaan:</t>
  </si>
  <si>
    <t>KETERANGAN :</t>
  </si>
  <si>
    <t>III</t>
  </si>
  <si>
    <t>II</t>
  </si>
  <si>
    <t>Pekerjaan Persiapan</t>
  </si>
  <si>
    <t>I</t>
  </si>
  <si>
    <t>Asumsi harga cut and fill dengan syarat tanah dibuang ke luar (bukan dipindah ke lahan milik owner)</t>
  </si>
  <si>
    <t>TOTAL (B):</t>
  </si>
  <si>
    <t>Pekerjaan Anti Rayap</t>
  </si>
  <si>
    <t>Pekerjaan Cut &amp; Fill</t>
  </si>
  <si>
    <t>REKAPITULASI (B):</t>
  </si>
  <si>
    <t xml:space="preserve"> - Tandon atas</t>
  </si>
  <si>
    <t xml:space="preserve"> - Pekerjaan taman (tanah subur dan pohon + rumputnya)</t>
  </si>
  <si>
    <t xml:space="preserve"> - Pekerjaan plafond dan kelengkapannya (rangka dan lis / shadow line, drop ceiling, dan cove lampu)</t>
  </si>
  <si>
    <t xml:space="preserve"> - Pekerjaan waterproofing dan pengecatan</t>
  </si>
  <si>
    <t xml:space="preserve"> - Pekerjaan instalasi pemipaan air bersih</t>
  </si>
  <si>
    <t xml:space="preserve"> - Instalasi kabel telepon, TV &amp; CCTV serta penangkal petir</t>
  </si>
  <si>
    <t>Belum termasuk pekerjaan Pekerjaan Finishing, Mekanikal, Elektrikal, dan Elektronik, antara lain :</t>
  </si>
  <si>
    <t xml:space="preserve"> - Pekerjaan instalasi air bersih.</t>
  </si>
  <si>
    <t xml:space="preserve"> - Perizinan seperti IMB, penyambungan PLN, PDAM</t>
  </si>
  <si>
    <t>Perincian pekerjaan di atas belum termasuk biaya :</t>
  </si>
  <si>
    <t xml:space="preserve"> - Kaca kanopi dan aksesorisnya</t>
  </si>
  <si>
    <t xml:space="preserve"> - Penebalan dinding untuk keperluan finishing</t>
  </si>
  <si>
    <t xml:space="preserve"> - Lisplank dan badugan</t>
  </si>
  <si>
    <t>Pekerjaan di atas hanya pekerjaan fisik bangunan saja sesuai dengan perincian yang tertulis.</t>
  </si>
  <si>
    <t>TOTAL (A):</t>
  </si>
  <si>
    <t>Pekerjaan Instalasi Air Kotor &amp; Air Hujan</t>
  </si>
  <si>
    <t>Pekerjaan Pasangan Dinding Bata Merah</t>
  </si>
  <si>
    <t>Pekerjaan Baja dan Penutup Atap</t>
  </si>
  <si>
    <t>Pekerjaan Fisik Lantai Atap</t>
  </si>
  <si>
    <t>VII</t>
  </si>
  <si>
    <t>VI</t>
  </si>
  <si>
    <t>V</t>
  </si>
  <si>
    <t>IV</t>
  </si>
  <si>
    <t>Pekerjaan Tanah</t>
  </si>
  <si>
    <t>Pekerjaan Fisik Bangunan Utama</t>
  </si>
  <si>
    <t>REKAPITULASI (A):</t>
  </si>
  <si>
    <t>Perubahan (+ / -)</t>
  </si>
  <si>
    <t>Nilai Kontrak (incl. overhead)</t>
  </si>
  <si>
    <r>
      <t>/m</t>
    </r>
    <r>
      <rPr>
        <b/>
        <vertAlign val="superscript"/>
        <sz val="12"/>
        <rFont val="Arial"/>
        <family val="2"/>
      </rPr>
      <t>2</t>
    </r>
  </si>
  <si>
    <t>Harga Bangunan Fisik Total (incl. pancang, cut &amp; fill, anti rayap)</t>
  </si>
  <si>
    <r>
      <t>m</t>
    </r>
    <r>
      <rPr>
        <vertAlign val="superscript"/>
        <sz val="12"/>
        <rFont val="Arial"/>
        <family val="2"/>
      </rPr>
      <t>2</t>
    </r>
  </si>
  <si>
    <t xml:space="preserve">           - Lantai Atap</t>
  </si>
  <si>
    <r>
      <rPr>
        <b/>
        <sz val="12"/>
        <rFont val="Arial"/>
        <family val="2"/>
      </rPr>
      <t xml:space="preserve">Luas </t>
    </r>
    <r>
      <rPr>
        <sz val="12"/>
        <rFont val="Arial"/>
        <family val="2"/>
      </rPr>
      <t xml:space="preserve">: </t>
    </r>
  </si>
  <si>
    <t>Pek. Saluran</t>
  </si>
  <si>
    <t>Catatan :</t>
  </si>
  <si>
    <t>Pek. Pasangan Dinding</t>
  </si>
  <si>
    <t>Pek. Baja &amp; Atap</t>
  </si>
  <si>
    <t>Pek. Beton Borongan</t>
  </si>
  <si>
    <t>Pek. Pondasi Strauss</t>
  </si>
  <si>
    <t>(spare untuk nego. Yang dikalikan faktor ini: balok, kolom, pas. Dinding, gali, urug)</t>
  </si>
  <si>
    <t>Screed</t>
  </si>
  <si>
    <t>Pek. Tiang Pancang</t>
  </si>
  <si>
    <t>FAKTOR KALI VOLUME (BETON, TANAH, DAN DINDING)</t>
  </si>
  <si>
    <t>Pek. Tanah</t>
  </si>
  <si>
    <t>maid &amp; driver bathroom</t>
  </si>
  <si>
    <t>security + powder room</t>
  </si>
  <si>
    <t>TOTAL / m2</t>
  </si>
  <si>
    <t>jatah scaffolding</t>
  </si>
  <si>
    <t>jatah concrete pump</t>
  </si>
  <si>
    <t>Subtotal Pekerjaan Instalasi Air Kotor dan Air Hujan</t>
  </si>
  <si>
    <t>Instalasi pemipaan air WC dan pipa vent</t>
  </si>
  <si>
    <t>Instalasi pemipaan air kotor</t>
  </si>
  <si>
    <t>Instalasi pemipaan air hujan</t>
  </si>
  <si>
    <t>PEKERJAAN INSTALASI AIR KOTOR &amp; AIR HUJAN</t>
  </si>
  <si>
    <t>Subtotal Pekerjaan Baja dan Penutup Atap</t>
  </si>
  <si>
    <t>Acian konvensional</t>
  </si>
  <si>
    <t>Plesteran dinding beton</t>
  </si>
  <si>
    <t>Pasangan dinding bata merah tebal 20 cm; termasuk kolom praktis, balok praktis, dan balok latei</t>
  </si>
  <si>
    <t>PEKERJAAN PASANGAN DINDING BATA MERAH</t>
  </si>
  <si>
    <t>Pekerjaan Penutup Atap</t>
  </si>
  <si>
    <t>PEKERJAAN BAJA DAN PENUTUP ATAP</t>
  </si>
  <si>
    <t>Subtotal Pekerjaan Fisik Lantai Atap</t>
  </si>
  <si>
    <t>v</t>
  </si>
  <si>
    <r>
      <t>m</t>
    </r>
    <r>
      <rPr>
        <vertAlign val="superscript"/>
        <sz val="12"/>
        <rFont val="Arial"/>
        <family val="2"/>
      </rPr>
      <t>3</t>
    </r>
  </si>
  <si>
    <t>Pekerjaan Beton</t>
  </si>
  <si>
    <t>PEKERJAAN FISIK LANTAI ATAP</t>
  </si>
  <si>
    <t>Pekerjaan Beton Lain - Lain</t>
  </si>
  <si>
    <t>Tangga utama</t>
  </si>
  <si>
    <t>Pekerjaan Beton &amp; Pondasi</t>
  </si>
  <si>
    <t>Subtotal Pekerjaan Tanah</t>
  </si>
  <si>
    <t>Pemadatan tanah urug</t>
  </si>
  <si>
    <t>Subtotal Pekerjaan Persiapan</t>
  </si>
  <si>
    <t>bln</t>
  </si>
  <si>
    <t>Pembersihan lokasi selama proyek fisik berjalan</t>
  </si>
  <si>
    <t>Angkut tanah &amp; bongkaran keluar lokasi</t>
  </si>
  <si>
    <t>Jaga / keamanan / logistik proyek fisik</t>
  </si>
  <si>
    <t>Direksi keet, gudang material, dan area kerja</t>
  </si>
  <si>
    <t>Listrik kerja dan penerangan</t>
  </si>
  <si>
    <t>Pengukuran dan penandaan titik tiang pancang</t>
  </si>
  <si>
    <t>Uitzet/Pasang bowplank</t>
  </si>
  <si>
    <r>
      <t>m</t>
    </r>
    <r>
      <rPr>
        <vertAlign val="superscript"/>
        <sz val="12"/>
        <rFont val="Arial"/>
        <family val="2"/>
      </rPr>
      <t>1</t>
    </r>
  </si>
  <si>
    <t>Pagar pengaman</t>
  </si>
  <si>
    <t>PEKERJAAN PERSIAPAN</t>
  </si>
  <si>
    <t>Total Bekisting</t>
  </si>
  <si>
    <t>Harga Jadi PERALATAN / m3</t>
  </si>
  <si>
    <t>Harga Jadi UPAH / m3</t>
  </si>
  <si>
    <t>Harga Jadi MATERIAL / m3</t>
  </si>
  <si>
    <t>TOTAL HARGA</t>
  </si>
  <si>
    <t>TOTAL HARGA SATUAN</t>
  </si>
  <si>
    <t>Prelim</t>
  </si>
  <si>
    <t>HARGA SATUAN</t>
  </si>
  <si>
    <t xml:space="preserve">Tanggal </t>
  </si>
  <si>
    <t>: Pekerjaan Fisik Bangunan Utama</t>
  </si>
  <si>
    <t>Pekerjaan</t>
  </si>
  <si>
    <t>Subtotal Pekerjaan Anti Rayap</t>
  </si>
  <si>
    <t>Sistem pipa</t>
  </si>
  <si>
    <t>Anti rayap sistem injeksi tanah</t>
  </si>
  <si>
    <t>PEKERJAAN ANTI RAYAP</t>
  </si>
  <si>
    <t>Mobilisasi / demobilisasi alat+izin masuk</t>
  </si>
  <si>
    <t>Subtotal Pekerjaan Cut &amp; Fill</t>
  </si>
  <si>
    <t>Urugan sirtu rata untuk pekerjaan pondasi</t>
  </si>
  <si>
    <t>Cut and fill untuk persiapan pemancangan</t>
  </si>
  <si>
    <t>PEKERJAAN CUT &amp; FILL</t>
  </si>
  <si>
    <t>Tangga carport</t>
  </si>
  <si>
    <t>LT 2</t>
  </si>
  <si>
    <t>LT 1</t>
  </si>
  <si>
    <t>JUMLAH</t>
  </si>
  <si>
    <t>TULANGAN</t>
  </si>
  <si>
    <t>PENJANGKARAN</t>
  </si>
  <si>
    <t>PANJANG</t>
  </si>
  <si>
    <t>ARAH X</t>
  </si>
  <si>
    <t>ARAH Y</t>
  </si>
  <si>
    <t>BERAT BESI (KG)</t>
  </si>
  <si>
    <t>VOL.BETON</t>
  </si>
  <si>
    <t>LEBAR</t>
  </si>
  <si>
    <t>TUL BAWAH</t>
  </si>
  <si>
    <t>TUL PEMINGGANG</t>
  </si>
  <si>
    <t>TUL ATAS</t>
  </si>
  <si>
    <t>DIAMETER</t>
  </si>
  <si>
    <t>KAIT TULANGAN UTAMA</t>
  </si>
  <si>
    <t>ST1</t>
  </si>
  <si>
    <t>SP</t>
  </si>
  <si>
    <t>S6A-C</t>
  </si>
  <si>
    <t>ST2-3</t>
  </si>
  <si>
    <t>PL.12</t>
  </si>
  <si>
    <t>HL.95.45</t>
  </si>
  <si>
    <t>UNP.80.45</t>
  </si>
  <si>
    <t>L.40.40</t>
  </si>
  <si>
    <t>GORDING</t>
  </si>
  <si>
    <t>SUBTOTAL</t>
  </si>
  <si>
    <t>LUAS (m2)</t>
  </si>
  <si>
    <t>LEBAR (m)</t>
  </si>
  <si>
    <t>VOL.BETON (m3)</t>
  </si>
  <si>
    <t>BERAT TOTAL</t>
  </si>
  <si>
    <t>BORDES</t>
  </si>
  <si>
    <t>TANGGA</t>
  </si>
  <si>
    <t>BERAT/PCS</t>
  </si>
  <si>
    <t>BALOK BORDES 200/400</t>
  </si>
  <si>
    <t>PANJANG (m)</t>
  </si>
  <si>
    <t>Pot 3a</t>
  </si>
  <si>
    <t>Pot 3b</t>
  </si>
  <si>
    <t>Pot 3c</t>
  </si>
  <si>
    <t>Utama</t>
  </si>
  <si>
    <t>Tangga Maid</t>
  </si>
  <si>
    <t>BALOK BORDES 200/450</t>
  </si>
  <si>
    <t>BALOK BORDES 200/700</t>
  </si>
  <si>
    <t>Pot 4a</t>
  </si>
  <si>
    <t>Pot 4b</t>
  </si>
  <si>
    <t>Pot 4c (lt1)</t>
  </si>
  <si>
    <t>Pot 4d (lt1)</t>
  </si>
  <si>
    <t>Pot 4e (lt1)</t>
  </si>
  <si>
    <t>Balok bordes 700/200</t>
  </si>
  <si>
    <t>Balok bordes 450/200</t>
  </si>
  <si>
    <t>Pot 4c (lt2)</t>
  </si>
  <si>
    <t>Basement</t>
  </si>
  <si>
    <t>pl</t>
  </si>
  <si>
    <t>Atap aspal</t>
  </si>
  <si>
    <t>luas m2</t>
  </si>
  <si>
    <t>panjang m</t>
  </si>
  <si>
    <t>volume m3</t>
  </si>
  <si>
    <t>Bekisting m2</t>
  </si>
  <si>
    <t>Tangga mezzanine</t>
  </si>
  <si>
    <t>Pot 2a</t>
  </si>
  <si>
    <t>mezzanine</t>
  </si>
  <si>
    <t>Poer (Readymix K-350) :</t>
  </si>
  <si>
    <t>Kolom (Readymix K-350) :</t>
  </si>
  <si>
    <t>Plat lantai (Readymix K-350) :</t>
  </si>
  <si>
    <t>Dinding Beton (Readymix K-350) :</t>
  </si>
  <si>
    <t>Balok (Readymix K-350) :</t>
  </si>
  <si>
    <t>a</t>
  </si>
  <si>
    <t xml:space="preserve"> - Plat lantai - tebal 15 cm, besi D10-200 (2 lapis)</t>
  </si>
  <si>
    <t>Plesteran dinding bata; termasuk benangan sudut</t>
  </si>
  <si>
    <t>Bak kontrol</t>
  </si>
  <si>
    <t>Pekerjaan bantalan pipa di lantai basement</t>
  </si>
  <si>
    <t>Pile cap</t>
  </si>
  <si>
    <t>Benangan sudut</t>
  </si>
  <si>
    <r>
      <t xml:space="preserve">Mutu beton struktur menggunakan </t>
    </r>
    <r>
      <rPr>
        <b/>
        <sz val="12"/>
        <color rgb="FFFF0000"/>
        <rFont val="Arial"/>
        <family val="2"/>
      </rPr>
      <t>K-350</t>
    </r>
  </si>
  <si>
    <t>rasio besi</t>
  </si>
  <si>
    <t>rasio bekisting</t>
  </si>
  <si>
    <t>1 m2 Bekisting Batako POSISI TIDUR untuk Poer dan Sloof</t>
  </si>
  <si>
    <t>1 m2 Bekisting Batako POSISI BERDIRI untuk Poer dan Sloof</t>
  </si>
  <si>
    <t>Batako</t>
  </si>
  <si>
    <t>WF.250.125</t>
  </si>
  <si>
    <t>PL.16</t>
  </si>
  <si>
    <t>PL.14</t>
  </si>
  <si>
    <t>PL.25</t>
  </si>
  <si>
    <t>HL.40.40</t>
  </si>
  <si>
    <t>HL 40X40X3,2</t>
  </si>
  <si>
    <t>Atap Baja</t>
  </si>
  <si>
    <t>Kolom Lantai Basement</t>
  </si>
  <si>
    <t>Balok Lantai Basement</t>
  </si>
  <si>
    <t>Balok Lantai 1</t>
  </si>
  <si>
    <t>Balok Lantai 2</t>
  </si>
  <si>
    <t>Balok Lantai 3</t>
  </si>
  <si>
    <t>Balok Lantai Atap</t>
  </si>
  <si>
    <t>Sambungan profil baja, termasuk plat, baut, dan lain - lain</t>
  </si>
  <si>
    <t>1 titik Bored Pile dia. 40 cm, Panjang 14 m</t>
  </si>
  <si>
    <t>Subtotal Pekerjaan Pasangan Bata</t>
  </si>
  <si>
    <t>: JULIUS</t>
  </si>
  <si>
    <t>SEMARANG TUMPANG 2-4</t>
  </si>
  <si>
    <t>Luas Dinding 3 1/4 Bata</t>
  </si>
  <si>
    <t>20cm</t>
  </si>
  <si>
    <t>15cm</t>
  </si>
  <si>
    <t>35cm</t>
  </si>
  <si>
    <t>30cm</t>
  </si>
  <si>
    <t>25cm</t>
  </si>
  <si>
    <t>PAKUWON INDAH AH1</t>
  </si>
  <si>
    <t>Bondek
(m2)</t>
  </si>
  <si>
    <t>M6</t>
  </si>
  <si>
    <t>M7</t>
  </si>
  <si>
    <t>M8</t>
  </si>
  <si>
    <t>PAKUWON INDAH AH1 27</t>
  </si>
  <si>
    <t>WF.150.75</t>
  </si>
  <si>
    <t>CNP.150</t>
  </si>
  <si>
    <t>: PAKUWON INDAH AH1 27</t>
  </si>
  <si>
    <t>PL.8</t>
  </si>
  <si>
    <t>J</t>
  </si>
  <si>
    <t>Pekerjaan Rangka Penutup Atap</t>
  </si>
  <si>
    <t>draft R0 dari Julius</t>
  </si>
  <si>
    <t>Sloof (Readymix K-350) :</t>
  </si>
  <si>
    <t xml:space="preserve"> - PPN &amp; pajak-pajak lainnya</t>
  </si>
  <si>
    <t xml:space="preserve"> - Pekerjaan pemasangan batu alam &amp; keramik</t>
  </si>
  <si>
    <t>Pekerjaan Persiapan, Cut &amp; Fill, dan Anti Rayap</t>
  </si>
  <si>
    <t>(TOTAL A)</t>
  </si>
  <si>
    <t>: Pekerjaan Persiapan, Cut &amp; Fill, dan Pondasi</t>
  </si>
  <si>
    <t xml:space="preserve"> - Benangan / profile</t>
  </si>
  <si>
    <t>*</t>
  </si>
  <si>
    <t>Perhitungan Volume Plumbing</t>
  </si>
  <si>
    <t>: DHR C2</t>
  </si>
  <si>
    <t>Pipa Air Hujan Horizontal (2.5")</t>
  </si>
  <si>
    <t>Pipa Air Hujan Vertikal (2.5")</t>
  </si>
  <si>
    <t>Pipa Air Hujan Horizontal
(4")</t>
  </si>
  <si>
    <t>Pipa Air Hujan Vertikal (4")</t>
  </si>
  <si>
    <t>Pipa Air Hujan Horizontal
(6")</t>
  </si>
  <si>
    <t>Pipa Air Hujan Vertikal (6")</t>
  </si>
  <si>
    <t>Pipa Air Hujan Utama (8")</t>
  </si>
  <si>
    <t>Pipa Air Kotor Horizontal (1.5")</t>
  </si>
  <si>
    <t>Pipa Air Kotor Vertikal (1.5")</t>
  </si>
  <si>
    <t>Pipa Air Kotor Horizontal
(3")</t>
  </si>
  <si>
    <t>Pipa Air Kotor Vertikal
(3")</t>
  </si>
  <si>
    <t>Pipa Kitchen Horizontal
(3")</t>
  </si>
  <si>
    <t>Pipa Kitchen Vertikal
(3")</t>
  </si>
  <si>
    <t>Pipa WC Vertikal
(3")</t>
  </si>
  <si>
    <t>Pipa WC Horizontal (3")</t>
  </si>
  <si>
    <t>Pipa Hawa Septic Tank Horizontal (1.5")</t>
  </si>
  <si>
    <t>Pipa Hawa Septic Tank Vertikal (1.5")</t>
  </si>
  <si>
    <t>Pipa Resapan ke &amp; dari Septic Tank (4")</t>
  </si>
  <si>
    <t>Pipa Utama 4" vertikal</t>
  </si>
  <si>
    <t>Pipa Utama 8"</t>
  </si>
  <si>
    <t xml:space="preserve">PAH Atap </t>
  </si>
  <si>
    <t>PAH LT3</t>
  </si>
  <si>
    <t>PAH LT2</t>
  </si>
  <si>
    <t>PAH LT1</t>
  </si>
  <si>
    <t>PAH Basement</t>
  </si>
  <si>
    <t>PAH Basement only</t>
  </si>
  <si>
    <t>PAK LT3</t>
  </si>
  <si>
    <t>PAK LT2</t>
  </si>
  <si>
    <t>PAK LT1</t>
  </si>
  <si>
    <t>PAK Basement terusan</t>
  </si>
  <si>
    <t>PAK Basement only</t>
  </si>
  <si>
    <t>PWC LT3</t>
  </si>
  <si>
    <t>PWC LT2</t>
  </si>
  <si>
    <t>PWC LT1</t>
  </si>
  <si>
    <t>PWC Basement</t>
  </si>
  <si>
    <t>PWC Basement only</t>
  </si>
  <si>
    <t>Pipa Vent Atap</t>
  </si>
  <si>
    <t>Pipa Vent LT3</t>
  </si>
  <si>
    <t>Pipa Vent LT2</t>
  </si>
  <si>
    <t>Pipa Vent LT1</t>
  </si>
  <si>
    <t>Pipa Vent Basement</t>
  </si>
  <si>
    <t>TOTAL (mm' net)</t>
  </si>
  <si>
    <t>TOTAL (m' dibulatkan)</t>
  </si>
  <si>
    <t>Sisa</t>
  </si>
  <si>
    <t>1,5"</t>
  </si>
  <si>
    <t>2"</t>
  </si>
  <si>
    <t>2,5"</t>
  </si>
  <si>
    <t>3"</t>
  </si>
  <si>
    <t>4"</t>
  </si>
  <si>
    <t>6"</t>
  </si>
  <si>
    <t>8"</t>
  </si>
  <si>
    <t>PCS.1</t>
  </si>
  <si>
    <t>PCS.2</t>
  </si>
  <si>
    <t>S23-1</t>
  </si>
  <si>
    <t>S24-1</t>
  </si>
  <si>
    <t>S25-1</t>
  </si>
  <si>
    <t>Lantai Dak Atap</t>
  </si>
  <si>
    <t>Subtotal Lantai Dak Atap</t>
  </si>
  <si>
    <t>K25</t>
  </si>
  <si>
    <t>S1</t>
  </si>
  <si>
    <t>WF.200.100</t>
  </si>
  <si>
    <t>2D16</t>
  </si>
  <si>
    <t>DETAIL ANGKUR</t>
  </si>
  <si>
    <t>PEKERJAAN PONDASI</t>
  </si>
  <si>
    <t>Bobok bored pile</t>
  </si>
  <si>
    <t>PEKERJAAN TANAH</t>
  </si>
  <si>
    <t>Pagar Alas</t>
  </si>
  <si>
    <t xml:space="preserve"> - Dinding Pagar Alas</t>
  </si>
  <si>
    <t>Angkur D16</t>
  </si>
  <si>
    <t>CNP.150.65</t>
  </si>
  <si>
    <t>Penutup atap aspal ex. GAF Royal Souvereign + multipleks dan segala aksesoris nya</t>
  </si>
  <si>
    <t>Bioseptictank kapasitas 0,5 m3</t>
  </si>
  <si>
    <t>Pekerjaan Pondasi</t>
  </si>
  <si>
    <t>Buang lumpur bekas galian bored pile</t>
  </si>
  <si>
    <t>Pembesian 6D10 + dia. 8-100/150</t>
  </si>
  <si>
    <t>harga update 25 November 2025</t>
  </si>
  <si>
    <t>harga update 5 april 2023</t>
  </si>
  <si>
    <t>2,1jt/rit</t>
  </si>
  <si>
    <t>1,3jt/rit</t>
  </si>
  <si>
    <t>Dak Penutup Atap</t>
  </si>
  <si>
    <t>Kanopi</t>
  </si>
  <si>
    <t>: Ernawati</t>
  </si>
  <si>
    <t>Subtotal Lantai Atap</t>
  </si>
  <si>
    <t>Subtotal Lantai 3</t>
  </si>
  <si>
    <t>Subtotal Lantai 2</t>
  </si>
  <si>
    <t>Subtotal Lantai 1</t>
  </si>
  <si>
    <t>PG</t>
  </si>
  <si>
    <t>P,PJ</t>
  </si>
  <si>
    <t>O,PG</t>
  </si>
  <si>
    <t>O</t>
  </si>
  <si>
    <t>40cm</t>
  </si>
  <si>
    <t>Luas Dinding 1 3/4 Bata</t>
  </si>
  <si>
    <t xml:space="preserve">Luas Dinding 1 3/4 Bata </t>
  </si>
  <si>
    <t>2O</t>
  </si>
  <si>
    <t>PJ,P</t>
  </si>
  <si>
    <t>J,PG</t>
  </si>
  <si>
    <t>J,P</t>
  </si>
  <si>
    <t>Area Service, FFL ±0.00</t>
  </si>
  <si>
    <t>Kolam Renang</t>
  </si>
  <si>
    <t>Tanggulan KM</t>
  </si>
  <si>
    <t>Opening Lengkung</t>
  </si>
  <si>
    <t>16-17</t>
  </si>
  <si>
    <t>18-19</t>
  </si>
  <si>
    <t>20-21</t>
  </si>
  <si>
    <t>22-23</t>
  </si>
  <si>
    <t>24-25</t>
  </si>
  <si>
    <t>Pagar Alas Lt2</t>
  </si>
  <si>
    <t>Pagar Alas Lt3</t>
  </si>
  <si>
    <t>Garage, FFL -0.75</t>
  </si>
  <si>
    <t>Carport, FFL -1.00</t>
  </si>
  <si>
    <t>Living Room, FFL ±0.00</t>
  </si>
  <si>
    <t>PWD Room, FFL -0.47</t>
  </si>
  <si>
    <t>Terrace, FFL -0.10</t>
  </si>
  <si>
    <t>Garden Terrace, FFL -0.05</t>
  </si>
  <si>
    <t>Terrace, FFL -0.05</t>
  </si>
  <si>
    <t>S2</t>
  </si>
  <si>
    <t>Pool, FFL -1.60</t>
  </si>
  <si>
    <t>Balkon Bedroom 3, FFL +4.45</t>
  </si>
  <si>
    <t>Bathroom 3, FFL +4.48</t>
  </si>
  <si>
    <t>Bathroom Maid, FFL +4.48</t>
  </si>
  <si>
    <t>Main Building, FFL +4.50</t>
  </si>
  <si>
    <t>Bedroom 3, FFL +4.50</t>
  </si>
  <si>
    <t>Bathroom 2, FFL +4.48</t>
  </si>
  <si>
    <t>Bathroom 1, FFL +4.48</t>
  </si>
  <si>
    <t>Balkon Bedroom 2, FFL +4.45</t>
  </si>
  <si>
    <t>Balkon Bedroom 1, FFL +4.45</t>
  </si>
  <si>
    <t>Kanopi Depan, FFL +4.45</t>
  </si>
  <si>
    <t>Kanopi Bawah Balkon Bedroom 2, FFL +4.45</t>
  </si>
  <si>
    <t>Kanopi Terrace Garden, FFL +4.45</t>
  </si>
  <si>
    <t>Deck Belakang, FFL +8.87</t>
  </si>
  <si>
    <t>Main Building, FFL +9.00</t>
  </si>
  <si>
    <t>Balkon Depan, FFL +8.90</t>
  </si>
  <si>
    <t>Deck Atap, FFL +12.50</t>
  </si>
  <si>
    <t>Deck Atap, FFL +13.70</t>
  </si>
  <si>
    <t>RW150</t>
  </si>
  <si>
    <t>Kepras mini pile</t>
  </si>
  <si>
    <t>PEKERJAAN FISIK LANTAI 1</t>
  </si>
  <si>
    <t>Subtotal Pekerjaan Fisik Lantai 1</t>
  </si>
  <si>
    <t>PEKERJAAN FISIK LANTAI 2</t>
  </si>
  <si>
    <t>PEKERJAAN FISIK LANTAI 3</t>
  </si>
  <si>
    <t>Subtotal Pekerjaan Fisik Lantai 2</t>
  </si>
  <si>
    <t>Subtotal Pekerjaan Fisik Lantai 3</t>
  </si>
  <si>
    <t>Tandon air kapasitas 10 m3</t>
  </si>
  <si>
    <t>Balancing tank kolam renang</t>
  </si>
  <si>
    <t>Pasangan dinding bata merah tebal 15 cm; termasuk kolom praktis, balok praktis, dan balok latei</t>
  </si>
  <si>
    <t>Pasangan dinding bata merah tebal 40 cm; termasuk kolom praktis, balok praktis, dan balok latei</t>
  </si>
  <si>
    <t>Tanggulan Lt2</t>
  </si>
  <si>
    <t>Tanggulan Lt Atap</t>
  </si>
  <si>
    <t>Tanggulan Lt3</t>
  </si>
  <si>
    <t>S24-2</t>
  </si>
  <si>
    <t>S36-1</t>
  </si>
  <si>
    <t>B4-1</t>
  </si>
  <si>
    <t>B5-1</t>
  </si>
  <si>
    <t>B23-1</t>
  </si>
  <si>
    <t>CL24-1</t>
  </si>
  <si>
    <t>B2A4A-1</t>
  </si>
  <si>
    <t>B36-1</t>
  </si>
  <si>
    <t>KL66</t>
  </si>
  <si>
    <t>KL55</t>
  </si>
  <si>
    <t>K4</t>
  </si>
  <si>
    <t>K26</t>
  </si>
  <si>
    <t>K2A5</t>
  </si>
  <si>
    <t>KB2A</t>
  </si>
  <si>
    <t>K2A6</t>
  </si>
  <si>
    <t>K5</t>
  </si>
  <si>
    <t>K6</t>
  </si>
  <si>
    <t>K7</t>
  </si>
  <si>
    <t>K1A4</t>
  </si>
  <si>
    <t>K1A5</t>
  </si>
  <si>
    <t>PC.1</t>
  </si>
  <si>
    <t>PC.2</t>
  </si>
  <si>
    <t>PC.4</t>
  </si>
  <si>
    <t>PC.5</t>
  </si>
  <si>
    <t>PC.9</t>
  </si>
  <si>
    <t>PCS.3</t>
  </si>
  <si>
    <t>PCS.5</t>
  </si>
  <si>
    <t>PCS.3A</t>
  </si>
  <si>
    <t>: ERNAWATI</t>
  </si>
  <si>
    <t>dia. 30</t>
  </si>
  <si>
    <t>(pancang + borepile + kolam borepile)</t>
  </si>
  <si>
    <t xml:space="preserve"> - Plat kolam renang - tebal 20 cm, besi D10-150 (2 lapis)</t>
  </si>
  <si>
    <t xml:space="preserve"> - Dinding kolam renang</t>
  </si>
  <si>
    <t xml:space="preserve"> - Dinding pagar alas</t>
  </si>
  <si>
    <t xml:space="preserve"> - Dinding penahan tanah</t>
  </si>
  <si>
    <t>Mini Pile 20 x 20 cm (asumsi panjang tiang 12 meter)</t>
  </si>
  <si>
    <t>Bored Pile dia 30cm (panjang tiang 12 meter)</t>
  </si>
  <si>
    <t xml:space="preserve"> - Dinding tanggulan</t>
  </si>
  <si>
    <t xml:space="preserve"> - Dinding tanggulan kamar mandi</t>
  </si>
  <si>
    <t xml:space="preserve"> - Dinding lengkung</t>
  </si>
  <si>
    <t>13A</t>
  </si>
  <si>
    <t>27A</t>
  </si>
  <si>
    <t>BALOK BAJA</t>
  </si>
  <si>
    <t>BALOK LIFT</t>
  </si>
  <si>
    <t>Pekerjaan Penutup Atap Tegak</t>
  </si>
  <si>
    <t>: Ms. Ernawati</t>
  </si>
  <si>
    <t>: Citraland Emerald Mansion</t>
  </si>
  <si>
    <t>Pekerjaan Fisik Lantai 1</t>
  </si>
  <si>
    <t>Pekerjaan Fisik Lantai 2</t>
  </si>
  <si>
    <t>Pekerjaan Fisik Lantai 3</t>
  </si>
  <si>
    <t>VIII</t>
  </si>
  <si>
    <t>IX</t>
  </si>
  <si>
    <t>Penebalan Sloof</t>
  </si>
  <si>
    <t>K24</t>
  </si>
  <si>
    <t>49A</t>
  </si>
  <si>
    <t xml:space="preserve"> - Penebalan sloof</t>
  </si>
  <si>
    <t>Tangga Depan</t>
  </si>
  <si>
    <t>Ramp, FFL ±0.00</t>
  </si>
  <si>
    <t>Tangga Utama</t>
  </si>
  <si>
    <t>Bioseptictank kapasitas 1,5 m3</t>
  </si>
  <si>
    <t xml:space="preserve">           - Lantai 1</t>
  </si>
  <si>
    <t xml:space="preserve">           - Lantai 2</t>
  </si>
  <si>
    <t xml:space="preserve">           - Lantai 3</t>
  </si>
  <si>
    <t>Kanopi Carport, FFL +4.45</t>
  </si>
  <si>
    <t>Lift</t>
  </si>
  <si>
    <t>Lift lt3</t>
  </si>
  <si>
    <t>Lift lt2</t>
  </si>
  <si>
    <t>Urugan sirtu untuk lantai 1 +1.15 dari jalan</t>
  </si>
  <si>
    <t>Gali tanah poer, sloof, kolam &amp; pit lift</t>
  </si>
  <si>
    <t>Lantai kerja poer, sloof &amp; plat</t>
  </si>
  <si>
    <t xml:space="preserve"> - Dinding lift</t>
  </si>
  <si>
    <t>asumsi fill 70 cm (finish +15 cm dari jalan)</t>
  </si>
  <si>
    <t>Rangka atap aspal usuk baja ringan</t>
  </si>
  <si>
    <t>Rangka atap aspal Hollow + usuk reng Baja Ringan</t>
  </si>
  <si>
    <t>24A</t>
  </si>
  <si>
    <t>23A</t>
  </si>
  <si>
    <t>existing + 40cm dari jalan</t>
  </si>
  <si>
    <t>jadi tebal cut 95 Cm, fill 70 cm</t>
  </si>
  <si>
    <t>14M</t>
  </si>
  <si>
    <t>Luas Dinding 1/4 Bata</t>
  </si>
  <si>
    <t>Luas Dinding  1/4 Bata</t>
  </si>
  <si>
    <t>10cm</t>
  </si>
  <si>
    <t>Pasangan dinding bata merah tebal 10 cm; termasuk kolom praktis, balok praktis, dan balok latei</t>
  </si>
  <si>
    <t>1 m2 Pasangan Dinding Bata Merah 1/4 Batu (finish 10 cm), spesi 1:3</t>
  </si>
  <si>
    <t>: Januari 2026</t>
  </si>
  <si>
    <t>- Besi D13</t>
  </si>
  <si>
    <t>- Besi D16</t>
  </si>
  <si>
    <t>- Besi D19</t>
  </si>
  <si>
    <t>- Bekisting Batako</t>
  </si>
  <si>
    <t>- 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</si>
</sst>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0_);_(* \(#,##0.000\);_(* &quot;-&quot;??_);_(@_)"/>
    <numFmt numFmtId="169" formatCode="mmmm\ d\,\ yyyy"/>
    <numFmt numFmtId="170" formatCode="_-* #,##0.00_-;\-* #,##0.00_-;_-* &quot;-&quot;_-;_-@_-"/>
    <numFmt numFmtId="171" formatCode="\ 0.00"/>
    <numFmt numFmtId="172" formatCode="_(* #,##0.0000_);_(* \(#,##0.0000\);_(* &quot;-&quot;??_);_(@_)"/>
    <numFmt numFmtId="173" formatCode="0.000000"/>
    <numFmt numFmtId="174" formatCode="#,##0.000"/>
    <numFmt numFmtId="175" formatCode="_(* #,##0.00_);_(* \(#,##0.00\);_(* &quot;-&quot;_);_(@_)"/>
    <numFmt numFmtId="176" formatCode="_(* #,##0.00000000000000_);_(* \(#,##0.00000000000000\);_(* &quot;-&quot;??_);_(@_)"/>
    <numFmt numFmtId="177" formatCode="0.00_)"/>
    <numFmt numFmtId="178" formatCode="mm/dd/yy"/>
    <numFmt numFmtId="179" formatCode="_(* #,##0.0_);_(* \(#,##0.0\);_(* &quot;-&quot;_);_(@_)"/>
    <numFmt numFmtId="180" formatCode="0.000"/>
    <numFmt numFmtId="181" formatCode="0.0"/>
    <numFmt numFmtId="182" formatCode="_(* #,##0.000_);_(* \(#,##0.000\);_(* \-???_);_(@_)"/>
    <numFmt numFmtId="183" formatCode="_(* #,##0_);_(* \(#,##0\);_(* \-_);_(@_)"/>
    <numFmt numFmtId="184" formatCode="_(* #,##0.00_);_(* \(#,##0.00\);_(* \-??_);_(@_)"/>
    <numFmt numFmtId="185" formatCode="_(* #,##0_);_(* \(#,##0\);_(* \-??_);_(@_)"/>
    <numFmt numFmtId="186" formatCode="General_)"/>
    <numFmt numFmtId="187" formatCode="_([$Rp-421]* #,##0.00_);_([$Rp-421]* \(#,##0.00\);_([$Rp-421]* &quot;-&quot;??_);_(@_)"/>
  </numFmts>
  <fonts count="15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 Black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12"/>
      <color rgb="FFFF0000"/>
      <name val="Arial Narrow"/>
      <family val="2"/>
    </font>
    <font>
      <b/>
      <sz val="9"/>
      <name val="Arial Narrow"/>
      <family val="2"/>
    </font>
    <font>
      <sz val="9"/>
      <name val="Tahoma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 Narrow"/>
      <family val="2"/>
    </font>
    <font>
      <sz val="9"/>
      <color indexed="10"/>
      <name val="Arial Narrow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6"/>
      <name val="Swis721 BdCnOul BT"/>
      <family val="5"/>
    </font>
    <font>
      <sz val="11"/>
      <name val="Tahoma"/>
      <family val="2"/>
    </font>
    <font>
      <sz val="8"/>
      <color indexed="10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sz val="8"/>
      <name val="Times New Roman"/>
      <family val="1"/>
    </font>
    <font>
      <sz val="14"/>
      <name val="Terminal"/>
      <family val="3"/>
      <charset val="255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Geneva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  <charset val="1"/>
    </font>
    <font>
      <sz val="12"/>
      <name val="Times New Roma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name val="Arial"/>
      <family val="2"/>
    </font>
    <font>
      <b/>
      <sz val="8"/>
      <name val="MS Sans Serif"/>
      <family val="2"/>
    </font>
    <font>
      <b/>
      <i/>
      <sz val="16"/>
      <name val="Helv"/>
    </font>
    <font>
      <sz val="11"/>
      <color theme="1"/>
      <name val="Calibri"/>
      <family val="2"/>
    </font>
    <font>
      <sz val="10"/>
      <name val="Courier"/>
      <family val="3"/>
    </font>
    <font>
      <sz val="9"/>
      <color theme="1"/>
      <name val="Tahoma"/>
      <family val="2"/>
      <charset val="1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sz val="10"/>
      <name val="Helv"/>
      <family val="2"/>
    </font>
    <font>
      <b/>
      <sz val="8"/>
      <color indexed="8"/>
      <name val="Helv"/>
    </font>
    <font>
      <b/>
      <sz val="16"/>
      <name val="Arial"/>
      <family val="2"/>
    </font>
    <font>
      <b/>
      <u/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b/>
      <i/>
      <sz val="8"/>
      <color rgb="FFFF3300"/>
      <name val="Arial"/>
      <family val="2"/>
    </font>
    <font>
      <sz val="14"/>
      <color indexed="10"/>
      <name val="Arial"/>
      <family val="2"/>
    </font>
    <font>
      <sz val="12"/>
      <color indexed="10"/>
      <name val="Arial"/>
      <family val="2"/>
    </font>
    <font>
      <i/>
      <sz val="8"/>
      <color rgb="FFFF000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FF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omic Sans MS"/>
      <family val="4"/>
    </font>
    <font>
      <b/>
      <sz val="16"/>
      <color theme="1"/>
      <name val="Mongolian Baiti"/>
      <family val="4"/>
    </font>
    <font>
      <sz val="10"/>
      <name val="Calibri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sz val="8"/>
      <color indexed="10"/>
      <name val="Arial Narrow"/>
      <family val="2"/>
    </font>
    <font>
      <b/>
      <sz val="8"/>
      <name val="Arial Narrow"/>
      <family val="2"/>
    </font>
    <font>
      <b/>
      <sz val="8"/>
      <color indexed="10"/>
      <name val="Arial Narrow"/>
      <family val="2"/>
    </font>
    <font>
      <sz val="8"/>
      <name val="Calibri"/>
      <family val="2"/>
    </font>
    <font>
      <sz val="14"/>
      <name val="Vineta BT"/>
      <family val="5"/>
    </font>
    <font>
      <b/>
      <u/>
      <sz val="8"/>
      <name val="Arial"/>
      <family val="2"/>
    </font>
    <font>
      <b/>
      <sz val="11"/>
      <color theme="1"/>
      <name val="Calibri"/>
      <family val="1"/>
      <charset val="2"/>
    </font>
    <font>
      <sz val="12"/>
      <color rgb="FFFF0000"/>
      <name val="Calibri"/>
      <family val="2"/>
      <scheme val="minor"/>
    </font>
    <font>
      <sz val="10"/>
      <name val="Arial"/>
      <family val="2"/>
      <charset val="1"/>
    </font>
    <font>
      <sz val="10"/>
      <name val="Century Gothic"/>
      <family val="2"/>
    </font>
    <font>
      <sz val="10"/>
      <color rgb="FFFF0000"/>
      <name val="Century Gothic"/>
      <family val="2"/>
    </font>
    <font>
      <sz val="10"/>
      <color rgb="FFFF0000"/>
      <name val="Arial"/>
      <family val="2"/>
      <charset val="1"/>
    </font>
    <font>
      <b/>
      <sz val="10"/>
      <name val="Century Gothic"/>
      <family val="2"/>
    </font>
    <font>
      <b/>
      <sz val="16"/>
      <name val="Century Gothic"/>
      <family val="2"/>
    </font>
    <font>
      <i/>
      <sz val="11"/>
      <color theme="1"/>
      <name val="Arial"/>
      <family val="2"/>
    </font>
    <font>
      <i/>
      <sz val="11"/>
      <color rgb="FFFF000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indexed="12"/>
      <name val="Arial"/>
      <family val="2"/>
    </font>
    <font>
      <b/>
      <u/>
      <sz val="11"/>
      <color indexed="8"/>
      <name val="Arial"/>
      <family val="2"/>
    </font>
    <font>
      <b/>
      <sz val="11"/>
      <color indexed="12"/>
      <name val="Arial"/>
      <family val="2"/>
    </font>
    <font>
      <sz val="11"/>
      <color rgb="FFFF0000"/>
      <name val="Arial"/>
      <family val="2"/>
    </font>
    <font>
      <b/>
      <i/>
      <sz val="11"/>
      <color indexed="8"/>
      <name val="Calibri"/>
      <family val="2"/>
    </font>
    <font>
      <b/>
      <i/>
      <sz val="11"/>
      <color indexed="8"/>
      <name val="Arial"/>
      <family val="2"/>
    </font>
    <font>
      <b/>
      <i/>
      <sz val="11"/>
      <color rgb="FFFF0000"/>
      <name val="Arial"/>
      <family val="2"/>
    </font>
    <font>
      <b/>
      <i/>
      <sz val="12"/>
      <color theme="1"/>
      <name val="Arial"/>
      <family val="2"/>
    </font>
    <font>
      <b/>
      <i/>
      <sz val="12"/>
      <color rgb="FFFF0000"/>
      <name val="Arial"/>
      <family val="2"/>
    </font>
    <font>
      <sz val="8"/>
      <name val="Tms Rmn"/>
    </font>
    <font>
      <sz val="10"/>
      <color theme="1"/>
      <name val="Arial"/>
      <family val="2"/>
    </font>
    <font>
      <sz val="10"/>
      <color theme="6" tint="-0.4999847407452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b/>
      <u/>
      <sz val="12"/>
      <color indexed="8"/>
      <name val="Arial"/>
      <family val="2"/>
    </font>
    <font>
      <sz val="12"/>
      <name val="Calibri"/>
      <family val="2"/>
      <scheme val="minor"/>
    </font>
    <font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</font>
    <font>
      <sz val="10.199999999999999"/>
      <name val="Calibri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u val="doubleAccounting"/>
      <sz val="16"/>
      <color theme="1"/>
      <name val="Arial"/>
      <family val="2"/>
    </font>
    <font>
      <b/>
      <sz val="20"/>
      <name val="Arial"/>
      <family val="2"/>
    </font>
    <font>
      <b/>
      <u val="doubleAccounting"/>
      <sz val="12"/>
      <name val="Arial"/>
      <family val="2"/>
    </font>
    <font>
      <u val="singleAccounting"/>
      <sz val="12"/>
      <name val="Arial"/>
      <family val="2"/>
    </font>
    <font>
      <b/>
      <sz val="12"/>
      <color rgb="FFFF0000"/>
      <name val="Arial"/>
      <family val="2"/>
    </font>
    <font>
      <b/>
      <u val="doubleAccounting"/>
      <sz val="16"/>
      <name val="Arial"/>
      <family val="2"/>
    </font>
    <font>
      <b/>
      <vertAlign val="superscript"/>
      <sz val="12"/>
      <name val="Arial"/>
      <family val="2"/>
    </font>
    <font>
      <vertAlign val="superscript"/>
      <sz val="12"/>
      <name val="Arial"/>
      <family val="2"/>
    </font>
    <font>
      <sz val="10"/>
      <name val="Calibri"/>
      <family val="2"/>
      <scheme val="minor"/>
    </font>
    <font>
      <b/>
      <u/>
      <sz val="12"/>
      <name val="Arial"/>
      <family val="2"/>
    </font>
    <font>
      <b/>
      <sz val="12"/>
      <color rgb="FFFF0000"/>
      <name val="Calibri"/>
      <family val="2"/>
      <scheme val="minor"/>
    </font>
    <font>
      <sz val="16"/>
      <name val="Calibri"/>
      <family val="2"/>
      <scheme val="minor"/>
    </font>
    <font>
      <u/>
      <sz val="12"/>
      <name val="Arial"/>
      <family val="2"/>
    </font>
    <font>
      <sz val="10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rgb="FFFFFF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rgb="FFFFFF00"/>
        <bgColor indexed="34"/>
      </patternFill>
    </fill>
    <fill>
      <patternFill patternType="solid">
        <fgColor indexed="13"/>
        <bgColor indexed="34"/>
      </patternFill>
    </fill>
    <fill>
      <patternFill patternType="solid">
        <fgColor indexed="1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6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1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dotted">
        <color indexed="8"/>
      </bottom>
      <diagonal/>
    </border>
    <border>
      <left/>
      <right style="thin">
        <color indexed="8"/>
      </right>
      <top style="medium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tted">
        <color indexed="8"/>
      </bottom>
      <diagonal/>
    </border>
    <border>
      <left style="thin">
        <color indexed="8"/>
      </left>
      <right/>
      <top style="medium">
        <color indexed="8"/>
      </top>
      <bottom style="dotted">
        <color indexed="8"/>
      </bottom>
      <diagonal/>
    </border>
    <border>
      <left/>
      <right/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tted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dotted">
        <color indexed="8"/>
      </bottom>
      <diagonal/>
    </border>
    <border>
      <left style="medium">
        <color indexed="64"/>
      </left>
      <right style="thin">
        <color indexed="64"/>
      </right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dotted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8"/>
      </right>
      <top style="medium">
        <color indexed="64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tted">
        <color indexed="8"/>
      </bottom>
      <diagonal/>
    </border>
    <border>
      <left style="thin">
        <color indexed="8"/>
      </left>
      <right/>
      <top style="medium">
        <color indexed="64"/>
      </top>
      <bottom style="dotted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auto="1"/>
      </bottom>
      <diagonal/>
    </border>
    <border>
      <left/>
      <right style="thin">
        <color indexed="8"/>
      </right>
      <top style="dotted">
        <color indexed="8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indexed="8"/>
      </top>
      <bottom style="dotted">
        <color auto="1"/>
      </bottom>
      <diagonal/>
    </border>
    <border>
      <left style="thin">
        <color indexed="8"/>
      </left>
      <right/>
      <top style="dotted">
        <color indexed="8"/>
      </top>
      <bottom style="dotted">
        <color auto="1"/>
      </bottom>
      <diagonal/>
    </border>
    <border>
      <left style="thin">
        <color indexed="8"/>
      </left>
      <right style="medium">
        <color indexed="64"/>
      </right>
      <top style="dotted">
        <color indexed="8"/>
      </top>
      <bottom style="dotted">
        <color auto="1"/>
      </bottom>
      <diagonal/>
    </border>
    <border>
      <left/>
      <right/>
      <top style="dotted">
        <color indexed="8"/>
      </top>
      <bottom/>
      <diagonal/>
    </border>
    <border>
      <left/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indexed="8"/>
      </right>
      <top style="dotted">
        <color indexed="8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indexed="8"/>
      </top>
      <bottom style="dotted">
        <color auto="1"/>
      </bottom>
      <diagonal/>
    </border>
    <border>
      <left/>
      <right/>
      <top style="dotted">
        <color indexed="8"/>
      </top>
      <bottom/>
      <diagonal/>
    </border>
    <border>
      <left style="thin">
        <color indexed="8"/>
      </left>
      <right/>
      <top style="dotted">
        <color indexed="8"/>
      </top>
      <bottom style="dotted">
        <color auto="1"/>
      </bottom>
      <diagonal/>
    </border>
    <border>
      <left style="thin">
        <color indexed="8"/>
      </left>
      <right style="medium">
        <color indexed="64"/>
      </right>
      <top style="dotted">
        <color indexed="8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8"/>
      </top>
      <bottom/>
      <diagonal/>
    </border>
    <border>
      <left/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/>
      <top style="dotted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8"/>
      </bottom>
      <diagonal/>
    </border>
    <border>
      <left/>
      <right/>
      <top style="medium">
        <color indexed="64"/>
      </top>
      <bottom style="dotted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dotted">
        <color indexed="8"/>
      </bottom>
      <diagonal/>
    </border>
    <border>
      <left style="medium">
        <color indexed="64"/>
      </left>
      <right style="thin">
        <color indexed="64"/>
      </right>
      <top style="dotted">
        <color indexed="8"/>
      </top>
      <bottom style="medium">
        <color indexed="64"/>
      </bottom>
      <diagonal/>
    </border>
    <border>
      <left/>
      <right style="thin">
        <color indexed="8"/>
      </right>
      <top style="dotted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64"/>
      </bottom>
      <diagonal/>
    </border>
    <border>
      <left style="thin">
        <color indexed="8"/>
      </left>
      <right/>
      <top style="dotted">
        <color indexed="8"/>
      </top>
      <bottom style="medium">
        <color indexed="64"/>
      </bottom>
      <diagonal/>
    </border>
    <border>
      <left/>
      <right/>
      <top style="dotted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tted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dotted">
        <color indexed="8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79">
    <xf numFmtId="0" fontId="0" fillId="0" borderId="0"/>
    <xf numFmtId="164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34" fillId="0" borderId="0">
      <alignment horizontal="center" wrapText="1"/>
      <protection locked="0"/>
    </xf>
    <xf numFmtId="176" fontId="35" fillId="0" borderId="0" applyFill="0" applyBorder="0" applyAlignment="0"/>
    <xf numFmtId="38" fontId="36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0" fontId="36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2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7" fillId="0" borderId="0" applyFont="0" applyFill="0" applyBorder="0" applyAlignment="0" applyProtection="0"/>
    <xf numFmtId="40" fontId="3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3" fillId="0" borderId="0" applyNumberFormat="0" applyAlignment="0">
      <alignment horizontal="left"/>
    </xf>
    <xf numFmtId="0" fontId="44" fillId="0" borderId="0" applyNumberFormat="0" applyAlignment="0">
      <alignment horizontal="left"/>
    </xf>
    <xf numFmtId="38" fontId="20" fillId="13" borderId="0" applyNumberFormat="0" applyBorder="0" applyAlignment="0" applyProtection="0"/>
    <xf numFmtId="0" fontId="45" fillId="0" borderId="63" applyNumberFormat="0" applyAlignment="0" applyProtection="0">
      <alignment horizontal="left" vertical="center"/>
    </xf>
    <xf numFmtId="0" fontId="45" fillId="0" borderId="4">
      <alignment horizontal="left" vertical="center"/>
    </xf>
    <xf numFmtId="0" fontId="46" fillId="0" borderId="64">
      <alignment horizontal="center"/>
    </xf>
    <xf numFmtId="0" fontId="46" fillId="0" borderId="0">
      <alignment horizontal="center"/>
    </xf>
    <xf numFmtId="10" fontId="20" fillId="4" borderId="28" applyNumberFormat="0" applyBorder="0" applyAlignment="0" applyProtection="0"/>
    <xf numFmtId="177" fontId="4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48" fillId="0" borderId="0"/>
    <xf numFmtId="0" fontId="9" fillId="0" borderId="0"/>
    <xf numFmtId="0" fontId="37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40" fillId="0" borderId="0"/>
    <xf numFmtId="0" fontId="9" fillId="0" borderId="0"/>
    <xf numFmtId="0" fontId="9" fillId="0" borderId="0"/>
    <xf numFmtId="37" fontId="49" fillId="0" borderId="0"/>
    <xf numFmtId="0" fontId="41" fillId="0" borderId="0"/>
    <xf numFmtId="0" fontId="3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37" fillId="0" borderId="0"/>
    <xf numFmtId="0" fontId="50" fillId="0" borderId="0"/>
    <xf numFmtId="0" fontId="9" fillId="0" borderId="0"/>
    <xf numFmtId="0" fontId="37" fillId="0" borderId="0"/>
    <xf numFmtId="0" fontId="9" fillId="0" borderId="0"/>
    <xf numFmtId="37" fontId="49" fillId="0" borderId="0"/>
    <xf numFmtId="0" fontId="50" fillId="0" borderId="0"/>
    <xf numFmtId="0" fontId="50" fillId="0" borderId="0"/>
    <xf numFmtId="0" fontId="50" fillId="0" borderId="0"/>
    <xf numFmtId="14" fontId="34" fillId="0" borderId="0">
      <alignment horizontal="center" wrapText="1"/>
      <protection locked="0"/>
    </xf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1" fillId="14" borderId="0" applyNumberFormat="0" applyFont="0" applyBorder="0" applyAlignment="0">
      <alignment horizontal="center"/>
    </xf>
    <xf numFmtId="178" fontId="52" fillId="0" borderId="0" applyNumberFormat="0" applyFill="0" applyBorder="0" applyAlignment="0" applyProtection="0">
      <alignment horizontal="left"/>
    </xf>
    <xf numFmtId="0" fontId="51" fillId="1" borderId="4" applyNumberFormat="0" applyFont="0" applyAlignment="0">
      <alignment horizontal="center"/>
    </xf>
    <xf numFmtId="0" fontId="53" fillId="0" borderId="0" applyNumberFormat="0" applyFill="0" applyBorder="0" applyAlignment="0">
      <alignment horizontal="center"/>
    </xf>
    <xf numFmtId="0" fontId="54" fillId="0" borderId="0"/>
    <xf numFmtId="40" fontId="55" fillId="0" borderId="0" applyBorder="0">
      <alignment horizontal="right"/>
    </xf>
    <xf numFmtId="0" fontId="120" fillId="0" borderId="0"/>
    <xf numFmtId="0" fontId="9" fillId="0" borderId="0"/>
    <xf numFmtId="43" fontId="9" fillId="0" borderId="0" applyFont="0" applyFill="0" applyBorder="0" applyAlignment="0" applyProtection="0"/>
    <xf numFmtId="43" fontId="130" fillId="0" borderId="0" applyFont="0" applyFill="0" applyBorder="0" applyAlignment="0" applyProtection="0"/>
    <xf numFmtId="0" fontId="5" fillId="0" borderId="0"/>
    <xf numFmtId="9" fontId="8" fillId="0" borderId="0" applyFont="0" applyFill="0" applyBorder="0" applyAlignment="0" applyProtection="0"/>
  </cellStyleXfs>
  <cellXfs count="2657">
    <xf numFmtId="0" fontId="0" fillId="0" borderId="0" xfId="0"/>
    <xf numFmtId="0" fontId="10" fillId="0" borderId="0" xfId="2" applyFont="1" applyAlignment="1">
      <alignment vertical="center"/>
    </xf>
    <xf numFmtId="0" fontId="11" fillId="0" borderId="0" xfId="3" applyNumberFormat="1" applyFont="1" applyAlignment="1">
      <alignment horizontal="center" vertical="center"/>
    </xf>
    <xf numFmtId="0" fontId="11" fillId="0" borderId="0" xfId="3" applyNumberFormat="1" applyFont="1" applyAlignment="1">
      <alignment vertical="center"/>
    </xf>
    <xf numFmtId="0" fontId="12" fillId="0" borderId="0" xfId="3" applyNumberFormat="1" applyFont="1" applyAlignment="1">
      <alignment vertical="center"/>
    </xf>
    <xf numFmtId="0" fontId="13" fillId="0" borderId="0" xfId="3" applyNumberFormat="1" applyFont="1" applyAlignment="1">
      <alignment horizontal="left" vertical="center"/>
    </xf>
    <xf numFmtId="43" fontId="14" fillId="0" borderId="0" xfId="3" applyFont="1" applyAlignment="1">
      <alignment horizontal="left" vertical="center"/>
    </xf>
    <xf numFmtId="0" fontId="15" fillId="0" borderId="0" xfId="3" applyNumberFormat="1" applyFont="1" applyAlignment="1">
      <alignment horizontal="center" vertical="center"/>
    </xf>
    <xf numFmtId="0" fontId="17" fillId="0" borderId="0" xfId="3" applyNumberFormat="1" applyFont="1" applyAlignment="1">
      <alignment horizontal="center" vertical="center"/>
    </xf>
    <xf numFmtId="0" fontId="18" fillId="0" borderId="0" xfId="4" applyFont="1" applyAlignment="1">
      <alignment horizontal="left" vertical="center"/>
    </xf>
    <xf numFmtId="0" fontId="9" fillId="0" borderId="0" xfId="2" applyAlignment="1">
      <alignment horizontal="center" vertical="center"/>
    </xf>
    <xf numFmtId="167" fontId="19" fillId="2" borderId="0" xfId="3" applyNumberFormat="1" applyFont="1" applyFill="1" applyAlignment="1">
      <alignment vertical="center"/>
    </xf>
    <xf numFmtId="3" fontId="9" fillId="0" borderId="0" xfId="2" applyNumberFormat="1" applyAlignment="1">
      <alignment vertical="center"/>
    </xf>
    <xf numFmtId="0" fontId="9" fillId="0" borderId="0" xfId="2" applyAlignment="1">
      <alignment vertical="center"/>
    </xf>
    <xf numFmtId="0" fontId="9" fillId="0" borderId="0" xfId="3" applyNumberFormat="1" applyAlignment="1">
      <alignment horizontal="right" vertical="center"/>
    </xf>
    <xf numFmtId="9" fontId="9" fillId="2" borderId="0" xfId="3" applyNumberFormat="1" applyFill="1" applyAlignment="1">
      <alignment vertical="center"/>
    </xf>
    <xf numFmtId="168" fontId="9" fillId="0" borderId="0" xfId="3" applyNumberFormat="1" applyAlignment="1">
      <alignment vertical="center"/>
    </xf>
    <xf numFmtId="0" fontId="9" fillId="0" borderId="0" xfId="2" applyAlignment="1">
      <alignment horizontal="right" vertical="center"/>
    </xf>
    <xf numFmtId="3" fontId="9" fillId="2" borderId="0" xfId="2" applyNumberFormat="1" applyFill="1" applyAlignment="1">
      <alignment horizontal="center" vertical="center"/>
    </xf>
    <xf numFmtId="167" fontId="9" fillId="2" borderId="0" xfId="3" applyNumberFormat="1" applyFill="1" applyAlignment="1">
      <alignment vertical="center"/>
    </xf>
    <xf numFmtId="4" fontId="19" fillId="0" borderId="0" xfId="3" applyNumberFormat="1" applyFont="1" applyAlignment="1">
      <alignment horizontal="center" vertical="center"/>
    </xf>
    <xf numFmtId="0" fontId="9" fillId="0" borderId="0" xfId="3" applyNumberFormat="1" applyAlignment="1">
      <alignment vertical="center"/>
    </xf>
    <xf numFmtId="9" fontId="19" fillId="2" borderId="0" xfId="3" applyNumberFormat="1" applyFont="1" applyFill="1" applyAlignment="1">
      <alignment vertical="center"/>
    </xf>
    <xf numFmtId="169" fontId="9" fillId="0" borderId="0" xfId="2" applyNumberFormat="1" applyAlignment="1">
      <alignment vertical="center"/>
    </xf>
    <xf numFmtId="0" fontId="18" fillId="3" borderId="0" xfId="4" applyFont="1" applyFill="1" applyAlignment="1">
      <alignment horizontal="left" vertical="center"/>
    </xf>
    <xf numFmtId="0" fontId="9" fillId="3" borderId="0" xfId="2" applyFill="1" applyAlignment="1">
      <alignment horizontal="center" vertical="center"/>
    </xf>
    <xf numFmtId="167" fontId="9" fillId="3" borderId="0" xfId="3" applyNumberFormat="1" applyFill="1" applyAlignment="1">
      <alignment vertical="center"/>
    </xf>
    <xf numFmtId="3" fontId="9" fillId="3" borderId="0" xfId="2" applyNumberFormat="1" applyFill="1" applyAlignment="1">
      <alignment vertical="center"/>
    </xf>
    <xf numFmtId="170" fontId="19" fillId="2" borderId="0" xfId="1" applyNumberFormat="1" applyFont="1" applyFill="1" applyAlignment="1">
      <alignment horizontal="center" vertical="center"/>
    </xf>
    <xf numFmtId="169" fontId="9" fillId="0" borderId="0" xfId="2" applyNumberFormat="1" applyAlignment="1">
      <alignment horizontal="center" vertical="center"/>
    </xf>
    <xf numFmtId="167" fontId="9" fillId="0" borderId="0" xfId="3" applyNumberFormat="1" applyAlignment="1">
      <alignment vertical="center"/>
    </xf>
    <xf numFmtId="171" fontId="19" fillId="0" borderId="0" xfId="3" applyNumberFormat="1" applyFont="1" applyAlignment="1">
      <alignment horizontal="center" vertical="center"/>
    </xf>
    <xf numFmtId="9" fontId="9" fillId="0" borderId="0" xfId="3" applyNumberFormat="1" applyAlignment="1">
      <alignment vertical="center"/>
    </xf>
    <xf numFmtId="0" fontId="12" fillId="0" borderId="0" xfId="2" applyFont="1" applyAlignment="1">
      <alignment vertical="center"/>
    </xf>
    <xf numFmtId="43" fontId="9" fillId="0" borderId="0" xfId="3" applyAlignment="1">
      <alignment vertical="center"/>
    </xf>
    <xf numFmtId="3" fontId="9" fillId="0" borderId="0" xfId="2" applyNumberFormat="1" applyAlignment="1">
      <alignment horizontal="center" vertical="center"/>
    </xf>
    <xf numFmtId="169" fontId="9" fillId="0" borderId="1" xfId="2" applyNumberFormat="1" applyBorder="1" applyAlignment="1">
      <alignment vertical="center"/>
    </xf>
    <xf numFmtId="0" fontId="9" fillId="0" borderId="0" xfId="3" applyNumberFormat="1" applyAlignment="1">
      <alignment horizontal="center" vertical="center"/>
    </xf>
    <xf numFmtId="0" fontId="9" fillId="0" borderId="0" xfId="2"/>
    <xf numFmtId="0" fontId="21" fillId="0" borderId="0" xfId="3" applyNumberFormat="1" applyFont="1" applyAlignment="1">
      <alignment horizontal="center" vertical="center"/>
    </xf>
    <xf numFmtId="0" fontId="22" fillId="0" borderId="13" xfId="2" applyFont="1" applyBorder="1" applyAlignment="1">
      <alignment horizontal="center"/>
    </xf>
    <xf numFmtId="0" fontId="22" fillId="0" borderId="15" xfId="2" applyFont="1" applyBorder="1" applyAlignment="1">
      <alignment horizontal="center"/>
    </xf>
    <xf numFmtId="0" fontId="15" fillId="0" borderId="2" xfId="3" applyNumberFormat="1" applyFont="1" applyBorder="1" applyAlignment="1">
      <alignment horizontal="center" vertical="center"/>
    </xf>
    <xf numFmtId="0" fontId="15" fillId="0" borderId="5" xfId="3" applyNumberFormat="1" applyFont="1" applyBorder="1" applyAlignment="1">
      <alignment horizontal="center" vertical="center"/>
    </xf>
    <xf numFmtId="0" fontId="15" fillId="0" borderId="16" xfId="3" applyNumberFormat="1" applyFont="1" applyBorder="1" applyAlignment="1">
      <alignment horizontal="center" vertical="center"/>
    </xf>
    <xf numFmtId="0" fontId="15" fillId="0" borderId="17" xfId="3" applyNumberFormat="1" applyFont="1" applyBorder="1" applyAlignment="1">
      <alignment horizontal="center" vertical="center"/>
    </xf>
    <xf numFmtId="0" fontId="23" fillId="0" borderId="15" xfId="3" applyNumberFormat="1" applyFont="1" applyBorder="1" applyAlignment="1">
      <alignment horizontal="center" vertical="center"/>
    </xf>
    <xf numFmtId="0" fontId="19" fillId="0" borderId="13" xfId="2" applyFont="1" applyBorder="1" applyAlignment="1">
      <alignment horizontal="center"/>
    </xf>
    <xf numFmtId="0" fontId="19" fillId="0" borderId="15" xfId="2" applyFont="1" applyBorder="1" applyAlignment="1">
      <alignment horizont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3" xfId="3" applyNumberFormat="1" applyFont="1" applyBorder="1" applyAlignment="1">
      <alignment horizontal="center" vertical="center"/>
    </xf>
    <xf numFmtId="0" fontId="23" fillId="0" borderId="18" xfId="3" applyNumberFormat="1" applyFont="1" applyBorder="1" applyAlignment="1">
      <alignment horizontal="center" vertical="center"/>
    </xf>
    <xf numFmtId="0" fontId="23" fillId="4" borderId="11" xfId="3" applyNumberFormat="1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4" fillId="4" borderId="0" xfId="3" applyNumberFormat="1" applyFont="1" applyFill="1" applyAlignment="1">
      <alignment horizontal="center" vertical="center"/>
    </xf>
    <xf numFmtId="0" fontId="15" fillId="0" borderId="19" xfId="3" applyNumberFormat="1" applyFont="1" applyBorder="1" applyAlignment="1">
      <alignment horizontal="center" vertical="center"/>
    </xf>
    <xf numFmtId="167" fontId="15" fillId="0" borderId="19" xfId="3" applyNumberFormat="1" applyFont="1" applyBorder="1" applyAlignment="1">
      <alignment vertical="center"/>
    </xf>
    <xf numFmtId="167" fontId="15" fillId="6" borderId="19" xfId="3" applyNumberFormat="1" applyFont="1" applyFill="1" applyBorder="1" applyAlignment="1">
      <alignment vertical="center"/>
    </xf>
    <xf numFmtId="43" fontId="15" fillId="6" borderId="19" xfId="3" applyFont="1" applyFill="1" applyBorder="1" applyAlignment="1">
      <alignment vertical="center"/>
    </xf>
    <xf numFmtId="4" fontId="15" fillId="6" borderId="19" xfId="3" applyNumberFormat="1" applyFont="1" applyFill="1" applyBorder="1" applyAlignment="1">
      <alignment vertical="center"/>
    </xf>
    <xf numFmtId="4" fontId="15" fillId="7" borderId="19" xfId="3" applyNumberFormat="1" applyFont="1" applyFill="1" applyBorder="1" applyAlignment="1">
      <alignment vertical="center"/>
    </xf>
    <xf numFmtId="39" fontId="15" fillId="7" borderId="20" xfId="3" applyNumberFormat="1" applyFont="1" applyFill="1" applyBorder="1" applyAlignment="1">
      <alignment vertical="center"/>
    </xf>
    <xf numFmtId="41" fontId="15" fillId="0" borderId="19" xfId="3" applyNumberFormat="1" applyFont="1" applyBorder="1" applyAlignment="1">
      <alignment horizontal="right" vertical="center"/>
    </xf>
    <xf numFmtId="41" fontId="15" fillId="0" borderId="19" xfId="3" applyNumberFormat="1" applyFont="1" applyBorder="1" applyAlignment="1">
      <alignment vertical="center"/>
    </xf>
    <xf numFmtId="4" fontId="15" fillId="7" borderId="20" xfId="3" applyNumberFormat="1" applyFont="1" applyFill="1" applyBorder="1" applyAlignment="1">
      <alignment vertical="center"/>
    </xf>
    <xf numFmtId="41" fontId="15" fillId="0" borderId="21" xfId="3" applyNumberFormat="1" applyFont="1" applyBorder="1" applyAlignment="1">
      <alignment vertical="center"/>
    </xf>
    <xf numFmtId="39" fontId="15" fillId="7" borderId="19" xfId="3" applyNumberFormat="1" applyFont="1" applyFill="1" applyBorder="1" applyAlignment="1">
      <alignment vertical="center"/>
    </xf>
    <xf numFmtId="0" fontId="19" fillId="0" borderId="0" xfId="2" applyFont="1"/>
    <xf numFmtId="0" fontId="15" fillId="0" borderId="19" xfId="3" applyNumberFormat="1" applyFont="1" applyFill="1" applyBorder="1" applyAlignment="1">
      <alignment horizontal="center" vertical="center"/>
    </xf>
    <xf numFmtId="168" fontId="15" fillId="0" borderId="19" xfId="3" applyNumberFormat="1" applyFont="1" applyBorder="1" applyAlignment="1">
      <alignment vertical="center"/>
    </xf>
    <xf numFmtId="41" fontId="13" fillId="5" borderId="20" xfId="2" applyNumberFormat="1" applyFont="1" applyFill="1" applyBorder="1"/>
    <xf numFmtId="41" fontId="13" fillId="5" borderId="19" xfId="2" applyNumberFormat="1" applyFont="1" applyFill="1" applyBorder="1"/>
    <xf numFmtId="43" fontId="15" fillId="7" borderId="19" xfId="3" applyFont="1" applyFill="1" applyBorder="1" applyAlignment="1">
      <alignment vertical="center"/>
    </xf>
    <xf numFmtId="43" fontId="15" fillId="7" borderId="20" xfId="3" applyFont="1" applyFill="1" applyBorder="1" applyAlignment="1">
      <alignment vertical="center"/>
    </xf>
    <xf numFmtId="4" fontId="15" fillId="0" borderId="19" xfId="3" applyNumberFormat="1" applyFont="1" applyFill="1" applyBorder="1" applyAlignment="1">
      <alignment vertical="center"/>
    </xf>
    <xf numFmtId="39" fontId="15" fillId="0" borderId="19" xfId="3" applyNumberFormat="1" applyFont="1" applyFill="1" applyBorder="1" applyAlignment="1">
      <alignment vertical="center"/>
    </xf>
    <xf numFmtId="41" fontId="15" fillId="0" borderId="21" xfId="3" applyNumberFormat="1" applyFont="1" applyFill="1" applyBorder="1" applyAlignment="1">
      <alignment vertical="center"/>
    </xf>
    <xf numFmtId="41" fontId="15" fillId="8" borderId="21" xfId="3" applyNumberFormat="1" applyFont="1" applyFill="1" applyBorder="1" applyAlignment="1">
      <alignment vertical="center"/>
    </xf>
    <xf numFmtId="0" fontId="15" fillId="8" borderId="19" xfId="3" applyNumberFormat="1" applyFont="1" applyFill="1" applyBorder="1" applyAlignment="1">
      <alignment horizontal="center" vertical="center"/>
    </xf>
    <xf numFmtId="167" fontId="15" fillId="8" borderId="19" xfId="3" applyNumberFormat="1" applyFont="1" applyFill="1" applyBorder="1" applyAlignment="1">
      <alignment vertical="center"/>
    </xf>
    <xf numFmtId="43" fontId="15" fillId="8" borderId="19" xfId="3" applyFont="1" applyFill="1" applyBorder="1" applyAlignment="1">
      <alignment vertical="center"/>
    </xf>
    <xf numFmtId="4" fontId="15" fillId="8" borderId="19" xfId="3" applyNumberFormat="1" applyFont="1" applyFill="1" applyBorder="1" applyAlignment="1">
      <alignment vertical="center"/>
    </xf>
    <xf numFmtId="43" fontId="15" fillId="8" borderId="20" xfId="3" applyFont="1" applyFill="1" applyBorder="1" applyAlignment="1">
      <alignment vertical="center"/>
    </xf>
    <xf numFmtId="41" fontId="15" fillId="8" borderId="19" xfId="3" applyNumberFormat="1" applyFont="1" applyFill="1" applyBorder="1" applyAlignment="1">
      <alignment horizontal="right" vertical="center"/>
    </xf>
    <xf numFmtId="41" fontId="15" fillId="8" borderId="19" xfId="3" applyNumberFormat="1" applyFont="1" applyFill="1" applyBorder="1" applyAlignment="1">
      <alignment vertical="center"/>
    </xf>
    <xf numFmtId="39" fontId="15" fillId="8" borderId="19" xfId="3" applyNumberFormat="1" applyFont="1" applyFill="1" applyBorder="1" applyAlignment="1">
      <alignment vertical="center"/>
    </xf>
    <xf numFmtId="0" fontId="19" fillId="8" borderId="0" xfId="2" applyFont="1" applyFill="1"/>
    <xf numFmtId="0" fontId="9" fillId="8" borderId="0" xfId="2" applyFill="1"/>
    <xf numFmtId="167" fontId="9" fillId="8" borderId="0" xfId="3" applyNumberFormat="1" applyFill="1" applyAlignment="1">
      <alignment vertical="center"/>
    </xf>
    <xf numFmtId="0" fontId="9" fillId="8" borderId="0" xfId="3" applyNumberFormat="1" applyFill="1" applyAlignment="1">
      <alignment vertical="center"/>
    </xf>
    <xf numFmtId="167" fontId="15" fillId="0" borderId="19" xfId="3" applyNumberFormat="1" applyFont="1" applyFill="1" applyBorder="1" applyAlignment="1">
      <alignment vertical="center"/>
    </xf>
    <xf numFmtId="0" fontId="15" fillId="9" borderId="19" xfId="3" applyNumberFormat="1" applyFont="1" applyFill="1" applyBorder="1" applyAlignment="1">
      <alignment horizontal="center" vertical="center"/>
    </xf>
    <xf numFmtId="167" fontId="15" fillId="9" borderId="19" xfId="3" applyNumberFormat="1" applyFont="1" applyFill="1" applyBorder="1" applyAlignment="1">
      <alignment vertical="center"/>
    </xf>
    <xf numFmtId="41" fontId="13" fillId="9" borderId="20" xfId="2" applyNumberFormat="1" applyFont="1" applyFill="1" applyBorder="1"/>
    <xf numFmtId="41" fontId="13" fillId="9" borderId="19" xfId="2" applyNumberFormat="1" applyFont="1" applyFill="1" applyBorder="1"/>
    <xf numFmtId="43" fontId="15" fillId="9" borderId="19" xfId="3" applyFont="1" applyFill="1" applyBorder="1" applyAlignment="1">
      <alignment vertical="center"/>
    </xf>
    <xf numFmtId="4" fontId="15" fillId="9" borderId="19" xfId="3" applyNumberFormat="1" applyFont="1" applyFill="1" applyBorder="1" applyAlignment="1">
      <alignment vertical="center"/>
    </xf>
    <xf numFmtId="39" fontId="15" fillId="9" borderId="20" xfId="3" applyNumberFormat="1" applyFont="1" applyFill="1" applyBorder="1" applyAlignment="1">
      <alignment vertical="center"/>
    </xf>
    <xf numFmtId="41" fontId="15" fillId="9" borderId="19" xfId="3" applyNumberFormat="1" applyFont="1" applyFill="1" applyBorder="1" applyAlignment="1">
      <alignment horizontal="right" vertical="center"/>
    </xf>
    <xf numFmtId="41" fontId="15" fillId="9" borderId="19" xfId="3" applyNumberFormat="1" applyFont="1" applyFill="1" applyBorder="1" applyAlignment="1">
      <alignment vertical="center"/>
    </xf>
    <xf numFmtId="4" fontId="15" fillId="9" borderId="20" xfId="3" applyNumberFormat="1" applyFont="1" applyFill="1" applyBorder="1" applyAlignment="1">
      <alignment vertical="center"/>
    </xf>
    <xf numFmtId="41" fontId="15" fillId="9" borderId="21" xfId="3" applyNumberFormat="1" applyFont="1" applyFill="1" applyBorder="1" applyAlignment="1">
      <alignment vertical="center"/>
    </xf>
    <xf numFmtId="39" fontId="15" fillId="9" borderId="19" xfId="3" applyNumberFormat="1" applyFont="1" applyFill="1" applyBorder="1" applyAlignment="1">
      <alignment vertical="center"/>
    </xf>
    <xf numFmtId="0" fontId="19" fillId="9" borderId="0" xfId="2" applyFont="1" applyFill="1"/>
    <xf numFmtId="0" fontId="9" fillId="9" borderId="0" xfId="2" applyFill="1"/>
    <xf numFmtId="167" fontId="9" fillId="9" borderId="0" xfId="3" applyNumberFormat="1" applyFill="1" applyAlignment="1">
      <alignment vertical="center"/>
    </xf>
    <xf numFmtId="0" fontId="9" fillId="9" borderId="0" xfId="3" applyNumberFormat="1" applyFill="1" applyAlignment="1">
      <alignment vertical="center"/>
    </xf>
    <xf numFmtId="0" fontId="15" fillId="0" borderId="15" xfId="3" applyNumberFormat="1" applyFont="1" applyBorder="1" applyAlignment="1">
      <alignment horizontal="center" vertical="center"/>
    </xf>
    <xf numFmtId="167" fontId="15" fillId="0" borderId="15" xfId="3" applyNumberFormat="1" applyFont="1" applyBorder="1" applyAlignment="1">
      <alignment vertical="center"/>
    </xf>
    <xf numFmtId="41" fontId="13" fillId="5" borderId="22" xfId="2" applyNumberFormat="1" applyFont="1" applyFill="1" applyBorder="1"/>
    <xf numFmtId="41" fontId="13" fillId="5" borderId="23" xfId="2" applyNumberFormat="1" applyFont="1" applyFill="1" applyBorder="1"/>
    <xf numFmtId="167" fontId="15" fillId="6" borderId="15" xfId="3" applyNumberFormat="1" applyFont="1" applyFill="1" applyBorder="1" applyAlignment="1">
      <alignment vertical="center"/>
    </xf>
    <xf numFmtId="43" fontId="15" fillId="6" borderId="15" xfId="3" applyFont="1" applyFill="1" applyBorder="1" applyAlignment="1">
      <alignment vertical="center"/>
    </xf>
    <xf numFmtId="167" fontId="15" fillId="7" borderId="15" xfId="3" applyNumberFormat="1" applyFont="1" applyFill="1" applyBorder="1" applyAlignment="1">
      <alignment vertical="center"/>
    </xf>
    <xf numFmtId="167" fontId="15" fillId="7" borderId="13" xfId="3" applyNumberFormat="1" applyFont="1" applyFill="1" applyBorder="1" applyAlignment="1">
      <alignment vertical="center"/>
    </xf>
    <xf numFmtId="43" fontId="15" fillId="0" borderId="15" xfId="3" applyFont="1" applyBorder="1" applyAlignment="1">
      <alignment vertical="center"/>
    </xf>
    <xf numFmtId="43" fontId="15" fillId="7" borderId="13" xfId="3" applyFont="1" applyFill="1" applyBorder="1" applyAlignment="1">
      <alignment vertical="center"/>
    </xf>
    <xf numFmtId="43" fontId="15" fillId="0" borderId="18" xfId="3" applyFont="1" applyBorder="1" applyAlignment="1">
      <alignment vertical="center"/>
    </xf>
    <xf numFmtId="43" fontId="15" fillId="0" borderId="11" xfId="3" applyFont="1" applyBorder="1" applyAlignment="1">
      <alignment vertical="center"/>
    </xf>
    <xf numFmtId="43" fontId="15" fillId="7" borderId="15" xfId="3" applyFont="1" applyFill="1" applyBorder="1" applyAlignment="1">
      <alignment vertical="center"/>
    </xf>
    <xf numFmtId="167" fontId="25" fillId="4" borderId="0" xfId="3" applyNumberFormat="1" applyFont="1" applyFill="1" applyAlignment="1">
      <alignment vertical="center"/>
    </xf>
    <xf numFmtId="0" fontId="25" fillId="4" borderId="0" xfId="3" applyNumberFormat="1" applyFont="1" applyFill="1" applyAlignment="1">
      <alignment vertical="center"/>
    </xf>
    <xf numFmtId="0" fontId="12" fillId="0" borderId="0" xfId="3" applyNumberFormat="1" applyFont="1" applyAlignment="1">
      <alignment horizontal="left" vertical="center"/>
    </xf>
    <xf numFmtId="0" fontId="9" fillId="0" borderId="0" xfId="3" applyNumberFormat="1" applyAlignment="1">
      <alignment horizontal="left" vertical="center"/>
    </xf>
    <xf numFmtId="0" fontId="26" fillId="0" borderId="0" xfId="3" applyNumberFormat="1" applyFont="1" applyAlignment="1">
      <alignment vertical="center"/>
    </xf>
    <xf numFmtId="167" fontId="26" fillId="0" borderId="0" xfId="3" applyNumberFormat="1" applyFont="1" applyAlignment="1">
      <alignment vertical="center"/>
    </xf>
    <xf numFmtId="172" fontId="26" fillId="0" borderId="0" xfId="3" applyNumberFormat="1" applyFont="1" applyAlignment="1">
      <alignment vertical="center"/>
    </xf>
    <xf numFmtId="43" fontId="26" fillId="0" borderId="0" xfId="3" applyFont="1" applyAlignment="1">
      <alignment vertical="center"/>
    </xf>
    <xf numFmtId="173" fontId="9" fillId="0" borderId="0" xfId="3" applyNumberFormat="1" applyAlignment="1">
      <alignment horizontal="center" vertical="center"/>
    </xf>
    <xf numFmtId="0" fontId="29" fillId="0" borderId="0" xfId="2" applyFont="1" applyAlignment="1">
      <alignment vertical="center"/>
    </xf>
    <xf numFmtId="174" fontId="9" fillId="0" borderId="0" xfId="2" applyNumberFormat="1" applyAlignment="1">
      <alignment vertical="center"/>
    </xf>
    <xf numFmtId="0" fontId="30" fillId="0" borderId="0" xfId="4" applyFont="1" applyAlignment="1">
      <alignment horizontal="left" vertical="center"/>
    </xf>
    <xf numFmtId="43" fontId="9" fillId="0" borderId="0" xfId="3" applyAlignment="1">
      <alignment horizontal="center" vertical="center"/>
    </xf>
    <xf numFmtId="43" fontId="12" fillId="0" borderId="0" xfId="3" applyFont="1" applyAlignment="1">
      <alignment horizontal="left" vertical="center"/>
    </xf>
    <xf numFmtId="43" fontId="9" fillId="0" borderId="0" xfId="3" applyAlignment="1">
      <alignment horizontal="left" vertical="center"/>
    </xf>
    <xf numFmtId="168" fontId="20" fillId="0" borderId="25" xfId="3" applyNumberFormat="1" applyFont="1" applyBorder="1" applyAlignment="1">
      <alignment horizontal="center" vertical="center"/>
    </xf>
    <xf numFmtId="168" fontId="20" fillId="0" borderId="26" xfId="3" applyNumberFormat="1" applyFont="1" applyBorder="1" applyAlignment="1">
      <alignment horizontal="center" vertical="center"/>
    </xf>
    <xf numFmtId="0" fontId="15" fillId="11" borderId="28" xfId="3" applyNumberFormat="1" applyFont="1" applyFill="1" applyBorder="1" applyAlignment="1">
      <alignment horizontal="center" vertical="center"/>
    </xf>
    <xf numFmtId="0" fontId="20" fillId="0" borderId="0" xfId="2" applyFont="1" applyAlignment="1">
      <alignment vertical="center"/>
    </xf>
    <xf numFmtId="168" fontId="20" fillId="0" borderId="30" xfId="3" applyNumberFormat="1" applyFont="1" applyBorder="1" applyAlignment="1">
      <alignment horizontal="center" vertical="center"/>
    </xf>
    <xf numFmtId="168" fontId="20" fillId="0" borderId="31" xfId="3" applyNumberFormat="1" applyFont="1" applyBorder="1" applyAlignment="1">
      <alignment horizontal="center" vertical="center"/>
    </xf>
    <xf numFmtId="0" fontId="20" fillId="0" borderId="32" xfId="3" applyNumberFormat="1" applyFont="1" applyBorder="1" applyAlignment="1">
      <alignment horizontal="center" vertical="center"/>
    </xf>
    <xf numFmtId="43" fontId="31" fillId="10" borderId="34" xfId="3" applyFont="1" applyFill="1" applyBorder="1" applyAlignment="1">
      <alignment horizontal="center" vertical="center"/>
    </xf>
    <xf numFmtId="3" fontId="31" fillId="10" borderId="34" xfId="2" applyNumberFormat="1" applyFont="1" applyFill="1" applyBorder="1" applyAlignment="1">
      <alignment horizontal="center" vertical="center"/>
    </xf>
    <xf numFmtId="168" fontId="31" fillId="10" borderId="34" xfId="3" applyNumberFormat="1" applyFont="1" applyFill="1" applyBorder="1" applyAlignment="1">
      <alignment horizontal="center" vertical="center"/>
    </xf>
    <xf numFmtId="168" fontId="31" fillId="0" borderId="34" xfId="3" applyNumberFormat="1" applyFont="1" applyBorder="1" applyAlignment="1">
      <alignment horizontal="center" vertical="center"/>
    </xf>
    <xf numFmtId="168" fontId="31" fillId="0" borderId="35" xfId="3" applyNumberFormat="1" applyFont="1" applyBorder="1" applyAlignment="1">
      <alignment horizontal="center" vertical="center"/>
    </xf>
    <xf numFmtId="0" fontId="23" fillId="11" borderId="36" xfId="3" applyNumberFormat="1" applyFont="1" applyFill="1" applyBorder="1" applyAlignment="1">
      <alignment horizontal="center" vertical="center"/>
    </xf>
    <xf numFmtId="0" fontId="20" fillId="0" borderId="29" xfId="2" applyFont="1" applyBorder="1" applyAlignment="1">
      <alignment horizontal="center" vertical="center"/>
    </xf>
    <xf numFmtId="0" fontId="20" fillId="0" borderId="30" xfId="2" applyFont="1" applyBorder="1" applyAlignment="1">
      <alignment horizontal="center" vertical="center"/>
    </xf>
    <xf numFmtId="43" fontId="31" fillId="0" borderId="30" xfId="3" applyFont="1" applyFill="1" applyBorder="1" applyAlignment="1">
      <alignment horizontal="center" vertical="center"/>
    </xf>
    <xf numFmtId="3" fontId="31" fillId="0" borderId="30" xfId="2" applyNumberFormat="1" applyFont="1" applyBorder="1" applyAlignment="1">
      <alignment horizontal="center" vertical="center"/>
    </xf>
    <xf numFmtId="168" fontId="31" fillId="0" borderId="30" xfId="3" applyNumberFormat="1" applyFont="1" applyFill="1" applyBorder="1" applyAlignment="1">
      <alignment horizontal="center" vertical="center"/>
    </xf>
    <xf numFmtId="168" fontId="31" fillId="0" borderId="31" xfId="3" applyNumberFormat="1" applyFont="1" applyFill="1" applyBorder="1" applyAlignment="1">
      <alignment horizontal="center" vertical="center"/>
    </xf>
    <xf numFmtId="0" fontId="23" fillId="0" borderId="37" xfId="3" applyNumberFormat="1" applyFont="1" applyFill="1" applyBorder="1" applyAlignment="1">
      <alignment horizontal="center" vertical="center"/>
    </xf>
    <xf numFmtId="0" fontId="23" fillId="0" borderId="0" xfId="3" applyNumberFormat="1" applyFont="1" applyFill="1" applyBorder="1" applyAlignment="1">
      <alignment horizontal="center" vertical="center"/>
    </xf>
    <xf numFmtId="0" fontId="23" fillId="0" borderId="38" xfId="3" applyNumberFormat="1" applyFont="1" applyFill="1" applyBorder="1" applyAlignment="1">
      <alignment horizontal="center" vertical="center"/>
    </xf>
    <xf numFmtId="0" fontId="32" fillId="12" borderId="39" xfId="2" applyFont="1" applyFill="1" applyBorder="1" applyAlignment="1">
      <alignment vertical="center"/>
    </xf>
    <xf numFmtId="0" fontId="21" fillId="0" borderId="39" xfId="2" applyFont="1" applyBorder="1" applyAlignment="1">
      <alignment vertical="center"/>
    </xf>
    <xf numFmtId="0" fontId="21" fillId="0" borderId="40" xfId="2" applyFont="1" applyBorder="1" applyAlignment="1">
      <alignment horizontal="center" vertical="center"/>
    </xf>
    <xf numFmtId="3" fontId="21" fillId="0" borderId="40" xfId="3" applyNumberFormat="1" applyFont="1" applyFill="1" applyBorder="1" applyAlignment="1">
      <alignment horizontal="center" vertical="center"/>
    </xf>
    <xf numFmtId="174" fontId="21" fillId="0" borderId="40" xfId="3" applyNumberFormat="1" applyFont="1" applyFill="1" applyBorder="1" applyAlignment="1">
      <alignment horizontal="center" vertical="center"/>
    </xf>
    <xf numFmtId="4" fontId="21" fillId="2" borderId="40" xfId="3" applyNumberFormat="1" applyFont="1" applyFill="1" applyBorder="1" applyAlignment="1">
      <alignment horizontal="center" vertical="center"/>
    </xf>
    <xf numFmtId="3" fontId="21" fillId="2" borderId="40" xfId="3" applyNumberFormat="1" applyFont="1" applyFill="1" applyBorder="1" applyAlignment="1">
      <alignment horizontal="center" vertical="center"/>
    </xf>
    <xf numFmtId="41" fontId="21" fillId="11" borderId="40" xfId="3" applyNumberFormat="1" applyFont="1" applyFill="1" applyBorder="1" applyAlignment="1">
      <alignment horizontal="center" vertical="center"/>
    </xf>
    <xf numFmtId="43" fontId="21" fillId="11" borderId="40" xfId="3" applyFont="1" applyFill="1" applyBorder="1" applyAlignment="1">
      <alignment vertical="center"/>
    </xf>
    <xf numFmtId="43" fontId="21" fillId="8" borderId="40" xfId="3" applyFont="1" applyFill="1" applyBorder="1" applyAlignment="1">
      <alignment vertical="center"/>
    </xf>
    <xf numFmtId="43" fontId="21" fillId="6" borderId="40" xfId="3" applyFont="1" applyFill="1" applyBorder="1" applyAlignment="1">
      <alignment vertical="center"/>
    </xf>
    <xf numFmtId="41" fontId="21" fillId="0" borderId="41" xfId="2" applyNumberFormat="1" applyFont="1" applyBorder="1" applyAlignment="1">
      <alignment vertical="center"/>
    </xf>
    <xf numFmtId="41" fontId="21" fillId="0" borderId="42" xfId="2" applyNumberFormat="1" applyFont="1" applyBorder="1" applyAlignment="1">
      <alignment vertical="center"/>
    </xf>
    <xf numFmtId="43" fontId="21" fillId="0" borderId="43" xfId="2" applyNumberFormat="1" applyFont="1" applyBorder="1" applyAlignment="1">
      <alignment vertical="center"/>
    </xf>
    <xf numFmtId="41" fontId="21" fillId="0" borderId="44" xfId="2" applyNumberFormat="1" applyFont="1" applyBorder="1" applyAlignment="1">
      <alignment vertical="center"/>
    </xf>
    <xf numFmtId="175" fontId="21" fillId="0" borderId="42" xfId="2" applyNumberFormat="1" applyFont="1" applyBorder="1" applyAlignment="1">
      <alignment vertical="center"/>
    </xf>
    <xf numFmtId="0" fontId="21" fillId="0" borderId="0" xfId="2" applyFont="1" applyAlignment="1">
      <alignment vertical="center"/>
    </xf>
    <xf numFmtId="0" fontId="21" fillId="12" borderId="40" xfId="2" applyFont="1" applyFill="1" applyBorder="1" applyAlignment="1">
      <alignment horizontal="center" vertical="center"/>
    </xf>
    <xf numFmtId="3" fontId="21" fillId="12" borderId="40" xfId="3" applyNumberFormat="1" applyFont="1" applyFill="1" applyBorder="1" applyAlignment="1">
      <alignment horizontal="center" vertical="center"/>
    </xf>
    <xf numFmtId="174" fontId="21" fillId="12" borderId="40" xfId="3" applyNumberFormat="1" applyFont="1" applyFill="1" applyBorder="1" applyAlignment="1">
      <alignment horizontal="center" vertical="center"/>
    </xf>
    <xf numFmtId="4" fontId="21" fillId="12" borderId="40" xfId="3" applyNumberFormat="1" applyFont="1" applyFill="1" applyBorder="1" applyAlignment="1">
      <alignment horizontal="center" vertical="center"/>
    </xf>
    <xf numFmtId="41" fontId="21" fillId="12" borderId="40" xfId="3" applyNumberFormat="1" applyFont="1" applyFill="1" applyBorder="1" applyAlignment="1">
      <alignment horizontal="center" vertical="center"/>
    </xf>
    <xf numFmtId="43" fontId="21" fillId="12" borderId="40" xfId="3" applyFont="1" applyFill="1" applyBorder="1" applyAlignment="1">
      <alignment vertical="center"/>
    </xf>
    <xf numFmtId="41" fontId="21" fillId="12" borderId="41" xfId="2" applyNumberFormat="1" applyFont="1" applyFill="1" applyBorder="1" applyAlignment="1">
      <alignment vertical="center"/>
    </xf>
    <xf numFmtId="41" fontId="21" fillId="12" borderId="42" xfId="2" applyNumberFormat="1" applyFont="1" applyFill="1" applyBorder="1" applyAlignment="1">
      <alignment vertical="center"/>
    </xf>
    <xf numFmtId="43" fontId="21" fillId="12" borderId="43" xfId="2" applyNumberFormat="1" applyFont="1" applyFill="1" applyBorder="1" applyAlignment="1">
      <alignment vertical="center"/>
    </xf>
    <xf numFmtId="41" fontId="21" fillId="12" borderId="44" xfId="2" applyNumberFormat="1" applyFont="1" applyFill="1" applyBorder="1" applyAlignment="1">
      <alignment vertical="center"/>
    </xf>
    <xf numFmtId="175" fontId="21" fillId="12" borderId="42" xfId="2" applyNumberFormat="1" applyFont="1" applyFill="1" applyBorder="1" applyAlignment="1">
      <alignment vertical="center"/>
    </xf>
    <xf numFmtId="0" fontId="21" fillId="12" borderId="0" xfId="2" applyFont="1" applyFill="1" applyAlignment="1">
      <alignment vertical="center"/>
    </xf>
    <xf numFmtId="4" fontId="21" fillId="0" borderId="40" xfId="3" applyNumberFormat="1" applyFont="1" applyFill="1" applyBorder="1" applyAlignment="1">
      <alignment horizontal="center" vertical="center"/>
    </xf>
    <xf numFmtId="0" fontId="21" fillId="4" borderId="40" xfId="2" applyFont="1" applyFill="1" applyBorder="1" applyAlignment="1">
      <alignment horizontal="center" vertical="center"/>
    </xf>
    <xf numFmtId="3" fontId="21" fillId="4" borderId="40" xfId="3" applyNumberFormat="1" applyFont="1" applyFill="1" applyBorder="1" applyAlignment="1">
      <alignment horizontal="center" vertical="center"/>
    </xf>
    <xf numFmtId="3" fontId="21" fillId="0" borderId="40" xfId="3" applyNumberFormat="1" applyFont="1" applyBorder="1" applyAlignment="1">
      <alignment horizontal="center" vertical="center"/>
    </xf>
    <xf numFmtId="43" fontId="21" fillId="0" borderId="40" xfId="3" applyFont="1" applyBorder="1" applyAlignment="1">
      <alignment vertical="center"/>
    </xf>
    <xf numFmtId="43" fontId="21" fillId="10" borderId="3" xfId="3" applyFont="1" applyFill="1" applyBorder="1" applyAlignment="1">
      <alignment vertical="center"/>
    </xf>
    <xf numFmtId="43" fontId="21" fillId="10" borderId="4" xfId="3" applyFont="1" applyFill="1" applyBorder="1" applyAlignment="1">
      <alignment horizontal="center" vertical="center"/>
    </xf>
    <xf numFmtId="3" fontId="21" fillId="10" borderId="45" xfId="3" applyNumberFormat="1" applyFont="1" applyFill="1" applyBorder="1" applyAlignment="1">
      <alignment horizontal="center" vertical="center"/>
    </xf>
    <xf numFmtId="39" fontId="21" fillId="10" borderId="45" xfId="3" applyNumberFormat="1" applyFont="1" applyFill="1" applyBorder="1" applyAlignment="1">
      <alignment horizontal="center" vertical="center"/>
    </xf>
    <xf numFmtId="41" fontId="21" fillId="10" borderId="45" xfId="3" applyNumberFormat="1" applyFont="1" applyFill="1" applyBorder="1" applyAlignment="1">
      <alignment horizontal="center" vertical="center"/>
    </xf>
    <xf numFmtId="41" fontId="21" fillId="0" borderId="0" xfId="3" applyNumberFormat="1" applyFont="1" applyAlignment="1">
      <alignment vertical="center"/>
    </xf>
    <xf numFmtId="43" fontId="21" fillId="10" borderId="45" xfId="3" applyFont="1" applyFill="1" applyBorder="1" applyAlignment="1">
      <alignment horizontal="center" vertical="center"/>
    </xf>
    <xf numFmtId="43" fontId="21" fillId="0" borderId="0" xfId="3" applyFont="1" applyAlignment="1">
      <alignment vertical="center"/>
    </xf>
    <xf numFmtId="4" fontId="9" fillId="0" borderId="0" xfId="3" applyNumberFormat="1" applyAlignment="1">
      <alignment vertical="center"/>
    </xf>
    <xf numFmtId="168" fontId="33" fillId="0" borderId="0" xfId="3" applyNumberFormat="1" applyFont="1" applyAlignment="1">
      <alignment vertical="center"/>
    </xf>
    <xf numFmtId="4" fontId="20" fillId="0" borderId="0" xfId="3" applyNumberFormat="1" applyFont="1" applyAlignment="1">
      <alignment vertical="center"/>
    </xf>
    <xf numFmtId="168" fontId="9" fillId="0" borderId="0" xfId="3" applyNumberFormat="1" applyAlignment="1">
      <alignment horizontal="center" vertical="center"/>
    </xf>
    <xf numFmtId="43" fontId="9" fillId="0" borderId="0" xfId="2" applyNumberFormat="1" applyAlignment="1">
      <alignment vertical="center"/>
    </xf>
    <xf numFmtId="0" fontId="12" fillId="0" borderId="51" xfId="2" applyFont="1" applyBorder="1" applyAlignment="1">
      <alignment horizontal="center" vertical="center"/>
    </xf>
    <xf numFmtId="0" fontId="12" fillId="0" borderId="53" xfId="2" applyFont="1" applyBorder="1" applyAlignment="1">
      <alignment horizontal="center" vertical="center"/>
    </xf>
    <xf numFmtId="0" fontId="12" fillId="0" borderId="48" xfId="2" applyFont="1" applyBorder="1" applyAlignment="1">
      <alignment horizontal="center" vertical="center"/>
    </xf>
    <xf numFmtId="0" fontId="9" fillId="0" borderId="55" xfId="2" applyBorder="1" applyAlignment="1">
      <alignment horizontal="center" vertical="center" wrapText="1"/>
    </xf>
    <xf numFmtId="0" fontId="9" fillId="0" borderId="13" xfId="2" applyBorder="1" applyAlignment="1">
      <alignment horizontal="center" vertical="center" wrapText="1"/>
    </xf>
    <xf numFmtId="0" fontId="9" fillId="0" borderId="56" xfId="2" applyBorder="1" applyAlignment="1">
      <alignment horizontal="center" vertical="center" wrapText="1"/>
    </xf>
    <xf numFmtId="0" fontId="9" fillId="0" borderId="15" xfId="2" applyBorder="1" applyAlignment="1">
      <alignment horizontal="center" vertical="center" wrapText="1"/>
    </xf>
    <xf numFmtId="0" fontId="9" fillId="0" borderId="56" xfId="2" applyBorder="1" applyAlignment="1">
      <alignment vertical="center"/>
    </xf>
    <xf numFmtId="0" fontId="9" fillId="0" borderId="15" xfId="2" applyBorder="1" applyAlignment="1">
      <alignment vertical="center"/>
    </xf>
    <xf numFmtId="0" fontId="9" fillId="0" borderId="54" xfId="2" applyBorder="1" applyAlignment="1">
      <alignment vertical="center"/>
    </xf>
    <xf numFmtId="0" fontId="9" fillId="0" borderId="55" xfId="2" applyBorder="1" applyAlignment="1">
      <alignment vertical="center"/>
    </xf>
    <xf numFmtId="170" fontId="9" fillId="0" borderId="10" xfId="1" applyNumberFormat="1" applyFont="1" applyBorder="1" applyAlignment="1">
      <alignment vertical="center"/>
    </xf>
    <xf numFmtId="170" fontId="9" fillId="0" borderId="3" xfId="1" applyNumberFormat="1" applyFont="1" applyBorder="1" applyAlignment="1">
      <alignment vertical="center"/>
    </xf>
    <xf numFmtId="170" fontId="9" fillId="0" borderId="47" xfId="1" applyNumberFormat="1" applyFont="1" applyBorder="1" applyAlignment="1">
      <alignment vertical="center"/>
    </xf>
    <xf numFmtId="170" fontId="9" fillId="0" borderId="28" xfId="1" applyNumberFormat="1" applyFont="1" applyBorder="1" applyAlignment="1">
      <alignment vertical="center"/>
    </xf>
    <xf numFmtId="170" fontId="9" fillId="0" borderId="46" xfId="1" applyNumberFormat="1" applyFont="1" applyBorder="1" applyAlignment="1">
      <alignment vertical="center"/>
    </xf>
    <xf numFmtId="170" fontId="9" fillId="0" borderId="10" xfId="2" applyNumberFormat="1" applyBorder="1" applyAlignment="1">
      <alignment vertical="center"/>
    </xf>
    <xf numFmtId="170" fontId="9" fillId="0" borderId="0" xfId="1" applyNumberFormat="1" applyFont="1" applyAlignment="1">
      <alignment vertical="center"/>
    </xf>
    <xf numFmtId="0" fontId="12" fillId="0" borderId="58" xfId="2" applyFont="1" applyBorder="1" applyAlignment="1">
      <alignment vertical="center"/>
    </xf>
    <xf numFmtId="170" fontId="12" fillId="0" borderId="59" xfId="1" applyNumberFormat="1" applyFont="1" applyBorder="1" applyAlignment="1">
      <alignment vertical="center"/>
    </xf>
    <xf numFmtId="170" fontId="12" fillId="0" borderId="60" xfId="1" applyNumberFormat="1" applyFont="1" applyBorder="1" applyAlignment="1">
      <alignment vertical="center"/>
    </xf>
    <xf numFmtId="170" fontId="12" fillId="0" borderId="61" xfId="1" applyNumberFormat="1" applyFont="1" applyBorder="1" applyAlignment="1">
      <alignment vertical="center"/>
    </xf>
    <xf numFmtId="170" fontId="12" fillId="0" borderId="62" xfId="1" applyNumberFormat="1" applyFont="1" applyBorder="1" applyAlignment="1">
      <alignment vertical="center"/>
    </xf>
    <xf numFmtId="170" fontId="12" fillId="0" borderId="58" xfId="1" applyNumberFormat="1" applyFont="1" applyBorder="1" applyAlignment="1">
      <alignment vertical="center"/>
    </xf>
    <xf numFmtId="170" fontId="12" fillId="0" borderId="0" xfId="1" applyNumberFormat="1" applyFont="1" applyBorder="1" applyAlignment="1">
      <alignment vertical="center"/>
    </xf>
    <xf numFmtId="166" fontId="9" fillId="0" borderId="0" xfId="2" applyNumberFormat="1" applyAlignment="1">
      <alignment vertical="center"/>
    </xf>
    <xf numFmtId="168" fontId="15" fillId="0" borderId="19" xfId="3" applyNumberFormat="1" applyFont="1" applyFill="1" applyBorder="1" applyAlignment="1">
      <alignment vertical="center"/>
    </xf>
    <xf numFmtId="41" fontId="13" fillId="7" borderId="20" xfId="2" applyNumberFormat="1" applyFont="1" applyFill="1" applyBorder="1"/>
    <xf numFmtId="167" fontId="15" fillId="7" borderId="19" xfId="3" applyNumberFormat="1" applyFont="1" applyFill="1" applyBorder="1" applyAlignment="1">
      <alignment vertical="center"/>
    </xf>
    <xf numFmtId="0" fontId="9" fillId="0" borderId="0" xfId="3" applyNumberFormat="1" applyFill="1" applyAlignment="1">
      <alignment vertical="center"/>
    </xf>
    <xf numFmtId="167" fontId="9" fillId="0" borderId="0" xfId="3" applyNumberFormat="1" applyFill="1" applyAlignment="1">
      <alignment vertical="center"/>
    </xf>
    <xf numFmtId="41" fontId="15" fillId="7" borderId="20" xfId="2" applyNumberFormat="1" applyFont="1" applyFill="1" applyBorder="1"/>
    <xf numFmtId="41" fontId="15" fillId="7" borderId="19" xfId="2" applyNumberFormat="1" applyFont="1" applyFill="1" applyBorder="1"/>
    <xf numFmtId="168" fontId="15" fillId="8" borderId="19" xfId="3" applyNumberFormat="1" applyFont="1" applyFill="1" applyBorder="1" applyAlignment="1">
      <alignment vertical="center"/>
    </xf>
    <xf numFmtId="41" fontId="15" fillId="0" borderId="19" xfId="3" applyNumberFormat="1" applyFont="1" applyFill="1" applyBorder="1" applyAlignment="1">
      <alignment horizontal="right" vertical="center"/>
    </xf>
    <xf numFmtId="41" fontId="15" fillId="0" borderId="19" xfId="3" applyNumberFormat="1" applyFont="1" applyFill="1" applyBorder="1" applyAlignment="1">
      <alignment vertical="center"/>
    </xf>
    <xf numFmtId="41" fontId="13" fillId="7" borderId="19" xfId="2" applyNumberFormat="1" applyFont="1" applyFill="1" applyBorder="1"/>
    <xf numFmtId="179" fontId="15" fillId="0" borderId="19" xfId="3" applyNumberFormat="1" applyFont="1" applyFill="1" applyBorder="1" applyAlignment="1">
      <alignment vertical="center"/>
    </xf>
    <xf numFmtId="0" fontId="23" fillId="4" borderId="37" xfId="3" applyNumberFormat="1" applyFont="1" applyFill="1" applyBorder="1" applyAlignment="1">
      <alignment horizontal="center" vertical="center"/>
    </xf>
    <xf numFmtId="0" fontId="23" fillId="4" borderId="38" xfId="3" applyNumberFormat="1" applyFont="1" applyFill="1" applyBorder="1" applyAlignment="1">
      <alignment horizontal="center" vertical="center"/>
    </xf>
    <xf numFmtId="0" fontId="56" fillId="0" borderId="0" xfId="116" applyFont="1" applyAlignment="1">
      <alignment vertical="center"/>
    </xf>
    <xf numFmtId="0" fontId="57" fillId="0" borderId="0" xfId="150" applyFont="1" applyAlignment="1">
      <alignment vertical="center"/>
    </xf>
    <xf numFmtId="0" fontId="58" fillId="0" borderId="0" xfId="116" applyFont="1" applyAlignment="1">
      <alignment vertical="center"/>
    </xf>
    <xf numFmtId="0" fontId="58" fillId="0" borderId="0" xfId="116" applyFont="1" applyAlignment="1">
      <alignment horizontal="center" vertical="center"/>
    </xf>
    <xf numFmtId="43" fontId="58" fillId="0" borderId="0" xfId="62" applyFont="1" applyFill="1" applyAlignment="1">
      <alignment horizontal="center" vertical="center"/>
    </xf>
    <xf numFmtId="0" fontId="59" fillId="0" borderId="0" xfId="116" applyFont="1" applyAlignment="1">
      <alignment vertical="center"/>
    </xf>
    <xf numFmtId="0" fontId="59" fillId="0" borderId="0" xfId="116" applyFont="1" applyAlignment="1">
      <alignment horizontal="center" vertical="center"/>
    </xf>
    <xf numFmtId="0" fontId="59" fillId="0" borderId="0" xfId="116" quotePrefix="1" applyFont="1" applyAlignment="1">
      <alignment horizontal="center" vertical="center"/>
    </xf>
    <xf numFmtId="0" fontId="59" fillId="0" borderId="0" xfId="116" applyFont="1" applyAlignment="1">
      <alignment horizontal="left" vertical="center"/>
    </xf>
    <xf numFmtId="0" fontId="59" fillId="0" borderId="0" xfId="144" applyFont="1" applyAlignment="1">
      <alignment vertical="center"/>
    </xf>
    <xf numFmtId="0" fontId="59" fillId="0" borderId="0" xfId="144" applyFont="1" applyAlignment="1">
      <alignment horizontal="center"/>
    </xf>
    <xf numFmtId="180" fontId="59" fillId="0" borderId="0" xfId="116" applyNumberFormat="1" applyFont="1" applyAlignment="1">
      <alignment horizontal="left" vertical="center"/>
    </xf>
    <xf numFmtId="1" fontId="59" fillId="0" borderId="0" xfId="116" applyNumberFormat="1" applyFont="1" applyAlignment="1">
      <alignment horizontal="left" vertical="center"/>
    </xf>
    <xf numFmtId="0" fontId="12" fillId="0" borderId="75" xfId="116" applyFont="1" applyBorder="1" applyAlignment="1">
      <alignment horizontal="center" vertical="center"/>
    </xf>
    <xf numFmtId="0" fontId="12" fillId="0" borderId="74" xfId="116" applyFont="1" applyBorder="1" applyAlignment="1">
      <alignment horizontal="center" vertical="center"/>
    </xf>
    <xf numFmtId="0" fontId="12" fillId="0" borderId="84" xfId="116" applyFont="1" applyBorder="1" applyAlignment="1">
      <alignment horizontal="center" vertical="center"/>
    </xf>
    <xf numFmtId="0" fontId="12" fillId="0" borderId="88" xfId="116" applyFont="1" applyBorder="1" applyAlignment="1">
      <alignment horizontal="center" vertical="center"/>
    </xf>
    <xf numFmtId="0" fontId="58" fillId="0" borderId="91" xfId="116" applyFont="1" applyBorder="1" applyAlignment="1">
      <alignment vertical="center"/>
    </xf>
    <xf numFmtId="0" fontId="58" fillId="0" borderId="92" xfId="116" applyFont="1" applyBorder="1" applyAlignment="1">
      <alignment vertical="center"/>
    </xf>
    <xf numFmtId="0" fontId="58" fillId="0" borderId="93" xfId="116" applyFont="1" applyBorder="1" applyAlignment="1">
      <alignment vertical="center"/>
    </xf>
    <xf numFmtId="0" fontId="58" fillId="0" borderId="94" xfId="116" applyFont="1" applyBorder="1" applyAlignment="1">
      <alignment horizontal="center" vertical="center"/>
    </xf>
    <xf numFmtId="0" fontId="58" fillId="0" borderId="95" xfId="116" applyFont="1" applyBorder="1" applyAlignment="1">
      <alignment horizontal="center" vertical="center"/>
    </xf>
    <xf numFmtId="0" fontId="58" fillId="0" borderId="92" xfId="116" applyFont="1" applyBorder="1" applyAlignment="1">
      <alignment horizontal="center" vertical="center"/>
    </xf>
    <xf numFmtId="0" fontId="58" fillId="0" borderId="94" xfId="116" applyFont="1" applyBorder="1" applyAlignment="1">
      <alignment vertical="center"/>
    </xf>
    <xf numFmtId="43" fontId="58" fillId="0" borderId="94" xfId="62" applyFont="1" applyFill="1" applyBorder="1" applyAlignment="1">
      <alignment horizontal="center" vertical="center"/>
    </xf>
    <xf numFmtId="0" fontId="58" fillId="0" borderId="96" xfId="116" applyFont="1" applyBorder="1" applyAlignment="1">
      <alignment vertical="center"/>
    </xf>
    <xf numFmtId="0" fontId="58" fillId="0" borderId="97" xfId="116" applyFont="1" applyBorder="1" applyAlignment="1">
      <alignment vertical="center"/>
    </xf>
    <xf numFmtId="0" fontId="59" fillId="0" borderId="98" xfId="116" applyFont="1" applyBorder="1" applyAlignment="1">
      <alignment vertical="center"/>
    </xf>
    <xf numFmtId="0" fontId="58" fillId="0" borderId="99" xfId="116" applyFont="1" applyBorder="1" applyAlignment="1">
      <alignment horizontal="center" vertical="center"/>
    </xf>
    <xf numFmtId="0" fontId="58" fillId="0" borderId="100" xfId="116" applyFont="1" applyBorder="1" applyAlignment="1">
      <alignment horizontal="center" vertical="center"/>
    </xf>
    <xf numFmtId="0" fontId="58" fillId="0" borderId="101" xfId="116" applyFont="1" applyBorder="1" applyAlignment="1">
      <alignment horizontal="center" vertical="center"/>
    </xf>
    <xf numFmtId="167" fontId="58" fillId="0" borderId="102" xfId="62" applyNumberFormat="1" applyFont="1" applyFill="1" applyBorder="1" applyAlignment="1">
      <alignment horizontal="center" vertical="center"/>
    </xf>
    <xf numFmtId="0" fontId="58" fillId="0" borderId="103" xfId="62" applyNumberFormat="1" applyFont="1" applyFill="1" applyBorder="1" applyAlignment="1">
      <alignment horizontal="center" vertical="center"/>
    </xf>
    <xf numFmtId="167" fontId="58" fillId="0" borderId="100" xfId="62" applyNumberFormat="1" applyFont="1" applyFill="1" applyBorder="1" applyAlignment="1">
      <alignment horizontal="center" vertical="center"/>
    </xf>
    <xf numFmtId="167" fontId="58" fillId="0" borderId="101" xfId="62" applyNumberFormat="1" applyFont="1" applyFill="1" applyBorder="1" applyAlignment="1">
      <alignment vertical="center"/>
    </xf>
    <xf numFmtId="43" fontId="58" fillId="0" borderId="102" xfId="62" applyFont="1" applyFill="1" applyBorder="1" applyAlignment="1">
      <alignment vertical="center"/>
    </xf>
    <xf numFmtId="1" fontId="58" fillId="0" borderId="102" xfId="19" applyNumberFormat="1" applyFont="1" applyFill="1" applyBorder="1" applyAlignment="1">
      <alignment horizontal="center" vertical="center"/>
    </xf>
    <xf numFmtId="43" fontId="58" fillId="0" borderId="104" xfId="62" applyFont="1" applyFill="1" applyBorder="1" applyAlignment="1">
      <alignment vertical="center"/>
    </xf>
    <xf numFmtId="43" fontId="58" fillId="0" borderId="101" xfId="62" applyFont="1" applyFill="1" applyBorder="1" applyAlignment="1">
      <alignment vertical="center"/>
    </xf>
    <xf numFmtId="43" fontId="58" fillId="0" borderId="105" xfId="62" applyFont="1" applyFill="1" applyBorder="1" applyAlignment="1">
      <alignment vertical="center"/>
    </xf>
    <xf numFmtId="43" fontId="59" fillId="0" borderId="106" xfId="62" applyFont="1" applyFill="1" applyBorder="1" applyAlignment="1">
      <alignment vertical="center"/>
    </xf>
    <xf numFmtId="43" fontId="58" fillId="0" borderId="100" xfId="62" applyFont="1" applyFill="1" applyBorder="1" applyAlignment="1">
      <alignment vertical="center"/>
    </xf>
    <xf numFmtId="4" fontId="59" fillId="0" borderId="107" xfId="62" applyNumberFormat="1" applyFont="1" applyFill="1" applyBorder="1" applyAlignment="1">
      <alignment vertical="center"/>
    </xf>
    <xf numFmtId="0" fontId="60" fillId="0" borderId="0" xfId="116" applyFont="1" applyAlignment="1">
      <alignment vertical="center"/>
    </xf>
    <xf numFmtId="0" fontId="59" fillId="0" borderId="0" xfId="116" applyFont="1" applyAlignment="1">
      <alignment horizontal="right" vertical="center"/>
    </xf>
    <xf numFmtId="170" fontId="59" fillId="0" borderId="0" xfId="1" applyNumberFormat="1" applyFont="1" applyFill="1" applyAlignment="1">
      <alignment horizontal="right" vertical="center"/>
    </xf>
    <xf numFmtId="166" fontId="58" fillId="0" borderId="0" xfId="116" applyNumberFormat="1" applyFont="1" applyAlignment="1">
      <alignment vertical="center"/>
    </xf>
    <xf numFmtId="0" fontId="59" fillId="0" borderId="119" xfId="116" applyFont="1" applyBorder="1" applyAlignment="1">
      <alignment horizontal="center" vertical="center"/>
    </xf>
    <xf numFmtId="0" fontId="59" fillId="0" borderId="120" xfId="116" applyFont="1" applyBorder="1" applyAlignment="1">
      <alignment horizontal="center" vertical="center"/>
    </xf>
    <xf numFmtId="0" fontId="59" fillId="0" borderId="121" xfId="116" applyFont="1" applyBorder="1" applyAlignment="1">
      <alignment horizontal="center" vertical="center"/>
    </xf>
    <xf numFmtId="0" fontId="59" fillId="0" borderId="123" xfId="116" applyFont="1" applyBorder="1" applyAlignment="1">
      <alignment horizontal="center" vertical="center"/>
    </xf>
    <xf numFmtId="0" fontId="59" fillId="0" borderId="124" xfId="116" applyFont="1" applyBorder="1" applyAlignment="1">
      <alignment horizontal="center" vertical="center"/>
    </xf>
    <xf numFmtId="0" fontId="58" fillId="0" borderId="15" xfId="116" applyFont="1" applyBorder="1" applyAlignment="1">
      <alignment vertical="center" wrapText="1"/>
    </xf>
    <xf numFmtId="0" fontId="21" fillId="0" borderId="130" xfId="116" applyFont="1" applyBorder="1" applyAlignment="1">
      <alignment horizontal="center" vertical="center"/>
    </xf>
    <xf numFmtId="175" fontId="58" fillId="0" borderId="131" xfId="19" applyNumberFormat="1" applyFont="1" applyFill="1" applyBorder="1" applyAlignment="1">
      <alignment horizontal="center" vertical="center"/>
    </xf>
    <xf numFmtId="175" fontId="58" fillId="0" borderId="55" xfId="19" applyNumberFormat="1" applyFont="1" applyFill="1" applyBorder="1" applyAlignment="1">
      <alignment horizontal="center" vertical="center"/>
    </xf>
    <xf numFmtId="175" fontId="58" fillId="0" borderId="15" xfId="19" applyNumberFormat="1" applyFont="1" applyFill="1" applyBorder="1" applyAlignment="1">
      <alignment horizontal="center" vertical="center"/>
    </xf>
    <xf numFmtId="175" fontId="58" fillId="0" borderId="54" xfId="19" applyNumberFormat="1" applyFont="1" applyFill="1" applyBorder="1" applyAlignment="1">
      <alignment horizontal="center" vertical="center"/>
    </xf>
    <xf numFmtId="175" fontId="59" fillId="0" borderId="55" xfId="116" applyNumberFormat="1" applyFont="1" applyBorder="1" applyAlignment="1">
      <alignment vertical="center"/>
    </xf>
    <xf numFmtId="170" fontId="58" fillId="0" borderId="123" xfId="1" applyNumberFormat="1" applyFont="1" applyFill="1" applyBorder="1" applyAlignment="1">
      <alignment vertical="center"/>
    </xf>
    <xf numFmtId="170" fontId="58" fillId="0" borderId="124" xfId="1" applyNumberFormat="1" applyFont="1" applyFill="1" applyBorder="1" applyAlignment="1">
      <alignment vertical="center"/>
    </xf>
    <xf numFmtId="0" fontId="58" fillId="0" borderId="111" xfId="116" applyFont="1" applyBorder="1" applyAlignment="1">
      <alignment vertical="center"/>
    </xf>
    <xf numFmtId="0" fontId="58" fillId="0" borderId="13" xfId="116" applyFont="1" applyBorder="1" applyAlignment="1">
      <alignment vertical="center"/>
    </xf>
    <xf numFmtId="175" fontId="59" fillId="0" borderId="134" xfId="19" applyNumberFormat="1" applyFont="1" applyFill="1" applyBorder="1" applyAlignment="1">
      <alignment vertical="center"/>
    </xf>
    <xf numFmtId="0" fontId="58" fillId="0" borderId="139" xfId="116" applyFont="1" applyBorder="1" applyAlignment="1">
      <alignment vertical="center" wrapText="1"/>
    </xf>
    <xf numFmtId="0" fontId="58" fillId="0" borderId="140" xfId="116" applyFont="1" applyBorder="1" applyAlignment="1">
      <alignment vertical="center"/>
    </xf>
    <xf numFmtId="175" fontId="58" fillId="0" borderId="141" xfId="19" applyNumberFormat="1" applyFont="1" applyFill="1" applyBorder="1" applyAlignment="1">
      <alignment horizontal="center" vertical="center"/>
    </xf>
    <xf numFmtId="175" fontId="58" fillId="0" borderId="142" xfId="19" applyNumberFormat="1" applyFont="1" applyFill="1" applyBorder="1" applyAlignment="1">
      <alignment horizontal="center" vertical="center"/>
    </xf>
    <xf numFmtId="175" fontId="58" fillId="0" borderId="143" xfId="19" applyNumberFormat="1" applyFont="1" applyFill="1" applyBorder="1" applyAlignment="1">
      <alignment horizontal="center" vertical="center"/>
    </xf>
    <xf numFmtId="175" fontId="58" fillId="0" borderId="124" xfId="19" applyNumberFormat="1" applyFont="1" applyFill="1" applyBorder="1" applyAlignment="1">
      <alignment horizontal="center" vertical="center"/>
    </xf>
    <xf numFmtId="175" fontId="59" fillId="0" borderId="134" xfId="19" applyNumberFormat="1" applyFont="1" applyBorder="1" applyAlignment="1">
      <alignment vertical="center"/>
    </xf>
    <xf numFmtId="175" fontId="59" fillId="0" borderId="135" xfId="19" applyNumberFormat="1" applyFont="1" applyBorder="1" applyAlignment="1">
      <alignment vertical="center"/>
    </xf>
    <xf numFmtId="175" fontId="59" fillId="0" borderId="136" xfId="19" applyNumberFormat="1" applyFont="1" applyBorder="1" applyAlignment="1">
      <alignment vertical="center"/>
    </xf>
    <xf numFmtId="175" fontId="59" fillId="0" borderId="137" xfId="19" applyNumberFormat="1" applyFont="1" applyBorder="1" applyAlignment="1">
      <alignment vertical="center"/>
    </xf>
    <xf numFmtId="175" fontId="59" fillId="0" borderId="138" xfId="19" applyNumberFormat="1" applyFont="1" applyBorder="1" applyAlignment="1">
      <alignment vertical="center"/>
    </xf>
    <xf numFmtId="175" fontId="59" fillId="0" borderId="0" xfId="116" applyNumberFormat="1" applyFont="1" applyAlignment="1">
      <alignment vertical="center"/>
    </xf>
    <xf numFmtId="175" fontId="59" fillId="0" borderId="0" xfId="19" applyNumberFormat="1" applyFont="1" applyAlignment="1">
      <alignment vertical="center"/>
    </xf>
    <xf numFmtId="175" fontId="59" fillId="0" borderId="0" xfId="19" applyNumberFormat="1" applyFont="1" applyAlignment="1">
      <alignment horizontal="center" vertical="center"/>
    </xf>
    <xf numFmtId="175" fontId="60" fillId="0" borderId="0" xfId="19" applyNumberFormat="1" applyFont="1" applyAlignment="1">
      <alignment horizontal="center" vertical="center"/>
    </xf>
    <xf numFmtId="43" fontId="58" fillId="0" borderId="0" xfId="62" applyFont="1" applyAlignment="1">
      <alignment horizontal="center" vertical="center"/>
    </xf>
    <xf numFmtId="0" fontId="61" fillId="0" borderId="0" xfId="116" applyFont="1"/>
    <xf numFmtId="0" fontId="62" fillId="0" borderId="0" xfId="116" applyFont="1"/>
    <xf numFmtId="0" fontId="63" fillId="0" borderId="0" xfId="116" applyFont="1"/>
    <xf numFmtId="0" fontId="63" fillId="0" borderId="0" xfId="116" applyFont="1" applyAlignment="1">
      <alignment horizontal="right"/>
    </xf>
    <xf numFmtId="0" fontId="63" fillId="0" borderId="0" xfId="116" applyFont="1" applyAlignment="1">
      <alignment horizontal="left"/>
    </xf>
    <xf numFmtId="0" fontId="63" fillId="5" borderId="0" xfId="116" applyFont="1" applyFill="1" applyAlignment="1">
      <alignment horizontal="right"/>
    </xf>
    <xf numFmtId="0" fontId="63" fillId="8" borderId="0" xfId="116" applyFont="1" applyFill="1" applyAlignment="1">
      <alignment horizontal="right"/>
    </xf>
    <xf numFmtId="0" fontId="63" fillId="0" borderId="0" xfId="116" applyFont="1" applyAlignment="1">
      <alignment horizontal="center"/>
    </xf>
    <xf numFmtId="181" fontId="63" fillId="0" borderId="0" xfId="116" applyNumberFormat="1" applyFont="1" applyAlignment="1">
      <alignment horizontal="right"/>
    </xf>
    <xf numFmtId="0" fontId="65" fillId="0" borderId="0" xfId="116" applyFont="1" applyAlignment="1">
      <alignment vertical="center"/>
    </xf>
    <xf numFmtId="0" fontId="64" fillId="0" borderId="150" xfId="116" applyFont="1" applyBorder="1" applyAlignment="1">
      <alignment horizontal="center" vertical="center"/>
    </xf>
    <xf numFmtId="0" fontId="64" fillId="0" borderId="115" xfId="116" applyFont="1" applyBorder="1" applyAlignment="1">
      <alignment horizontal="center" vertical="center"/>
    </xf>
    <xf numFmtId="0" fontId="66" fillId="0" borderId="153" xfId="116" applyFont="1" applyBorder="1" applyAlignment="1">
      <alignment vertical="center" wrapText="1"/>
    </xf>
    <xf numFmtId="0" fontId="64" fillId="0" borderId="0" xfId="116" applyFont="1" applyAlignment="1">
      <alignment horizontal="center" vertical="center"/>
    </xf>
    <xf numFmtId="0" fontId="67" fillId="0" borderId="146" xfId="116" applyFont="1" applyBorder="1" applyAlignment="1">
      <alignment horizontal="center" vertical="center"/>
    </xf>
    <xf numFmtId="0" fontId="67" fillId="0" borderId="127" xfId="116" applyFont="1" applyBorder="1" applyAlignment="1">
      <alignment horizontal="center" vertical="center" wrapText="1"/>
    </xf>
    <xf numFmtId="0" fontId="67" fillId="0" borderId="126" xfId="116" applyFont="1" applyBorder="1" applyAlignment="1">
      <alignment horizontal="center" vertical="center" wrapText="1"/>
    </xf>
    <xf numFmtId="0" fontId="67" fillId="0" borderId="146" xfId="116" applyFont="1" applyBorder="1" applyAlignment="1">
      <alignment horizontal="center" vertical="center" wrapText="1"/>
    </xf>
    <xf numFmtId="0" fontId="67" fillId="0" borderId="128" xfId="116" applyFont="1" applyBorder="1" applyAlignment="1">
      <alignment horizontal="center" vertical="center" wrapText="1"/>
    </xf>
    <xf numFmtId="0" fontId="67" fillId="0" borderId="125" xfId="116" applyFont="1" applyBorder="1" applyAlignment="1">
      <alignment horizontal="center" vertical="center" wrapText="1"/>
    </xf>
    <xf numFmtId="0" fontId="67" fillId="0" borderId="147" xfId="116" applyFont="1" applyBorder="1" applyAlignment="1">
      <alignment horizontal="center" vertical="center" wrapText="1"/>
    </xf>
    <xf numFmtId="41" fontId="21" fillId="0" borderId="168" xfId="19" applyFont="1" applyFill="1" applyBorder="1" applyAlignment="1">
      <alignment horizontal="right" vertical="center"/>
    </xf>
    <xf numFmtId="0" fontId="21" fillId="8" borderId="165" xfId="116" applyFont="1" applyFill="1" applyBorder="1" applyAlignment="1">
      <alignment horizontal="center" vertical="center"/>
    </xf>
    <xf numFmtId="0" fontId="21" fillId="8" borderId="130" xfId="116" applyFont="1" applyFill="1" applyBorder="1" applyAlignment="1">
      <alignment horizontal="center" vertical="center"/>
    </xf>
    <xf numFmtId="0" fontId="21" fillId="8" borderId="166" xfId="116" applyFont="1" applyFill="1" applyBorder="1" applyAlignment="1">
      <alignment horizontal="center" vertical="center"/>
    </xf>
    <xf numFmtId="0" fontId="21" fillId="8" borderId="165" xfId="116" applyFont="1" applyFill="1" applyBorder="1" applyAlignment="1">
      <alignment horizontal="right" vertical="center"/>
    </xf>
    <xf numFmtId="0" fontId="21" fillId="8" borderId="167" xfId="116" applyFont="1" applyFill="1" applyBorder="1" applyAlignment="1">
      <alignment horizontal="left" vertical="center"/>
    </xf>
    <xf numFmtId="0" fontId="21" fillId="8" borderId="166" xfId="116" applyFont="1" applyFill="1" applyBorder="1" applyAlignment="1">
      <alignment horizontal="right" vertical="center"/>
    </xf>
    <xf numFmtId="0" fontId="21" fillId="8" borderId="166" xfId="116" applyFont="1" applyFill="1" applyBorder="1" applyAlignment="1">
      <alignment horizontal="left" vertical="center"/>
    </xf>
    <xf numFmtId="41" fontId="21" fillId="8" borderId="168" xfId="19" applyFont="1" applyFill="1" applyBorder="1" applyAlignment="1">
      <alignment horizontal="right" vertical="center"/>
    </xf>
    <xf numFmtId="0" fontId="21" fillId="8" borderId="169" xfId="116" applyFont="1" applyFill="1" applyBorder="1" applyAlignment="1">
      <alignment horizontal="left" vertical="center"/>
    </xf>
    <xf numFmtId="0" fontId="21" fillId="8" borderId="170" xfId="116" applyFont="1" applyFill="1" applyBorder="1" applyAlignment="1">
      <alignment horizontal="right" vertical="center"/>
    </xf>
    <xf numFmtId="0" fontId="21" fillId="8" borderId="171" xfId="116" applyFont="1" applyFill="1" applyBorder="1" applyAlignment="1">
      <alignment horizontal="center" vertical="center"/>
    </xf>
    <xf numFmtId="0" fontId="21" fillId="8" borderId="172" xfId="116" applyFont="1" applyFill="1" applyBorder="1" applyAlignment="1">
      <alignment horizontal="center" vertical="center"/>
    </xf>
    <xf numFmtId="0" fontId="21" fillId="8" borderId="20" xfId="116" applyFont="1" applyFill="1" applyBorder="1" applyAlignment="1">
      <alignment horizontal="right" vertical="center"/>
    </xf>
    <xf numFmtId="0" fontId="21" fillId="8" borderId="167" xfId="116" applyFont="1" applyFill="1" applyBorder="1" applyAlignment="1">
      <alignment horizontal="center" vertical="center"/>
    </xf>
    <xf numFmtId="0" fontId="21" fillId="8" borderId="173" xfId="116" applyFont="1" applyFill="1" applyBorder="1" applyAlignment="1">
      <alignment horizontal="center" vertical="center"/>
    </xf>
    <xf numFmtId="0" fontId="58" fillId="8" borderId="0" xfId="116" applyFont="1" applyFill="1"/>
    <xf numFmtId="168" fontId="9" fillId="0" borderId="194" xfId="62" applyNumberFormat="1" applyFont="1" applyFill="1" applyBorder="1" applyAlignment="1">
      <alignment horizontal="center" vertical="center"/>
    </xf>
    <xf numFmtId="167" fontId="9" fillId="0" borderId="194" xfId="62" applyNumberFormat="1" applyFont="1" applyFill="1" applyBorder="1" applyAlignment="1">
      <alignment horizontal="center" vertical="center"/>
    </xf>
    <xf numFmtId="0" fontId="71" fillId="0" borderId="0" xfId="116" applyFont="1" applyAlignment="1">
      <alignment horizontal="center" vertical="center"/>
    </xf>
    <xf numFmtId="0" fontId="45" fillId="0" borderId="0" xfId="150" applyFont="1" applyAlignment="1">
      <alignment vertical="center"/>
    </xf>
    <xf numFmtId="0" fontId="45" fillId="0" borderId="0" xfId="150" applyFont="1" applyAlignment="1">
      <alignment horizontal="center" vertical="center"/>
    </xf>
    <xf numFmtId="41" fontId="71" fillId="0" borderId="0" xfId="19" applyFont="1" applyAlignment="1">
      <alignment horizontal="center" vertical="center"/>
    </xf>
    <xf numFmtId="0" fontId="72" fillId="0" borderId="0" xfId="116" applyFont="1" applyAlignment="1">
      <alignment vertical="center"/>
    </xf>
    <xf numFmtId="0" fontId="11" fillId="0" borderId="0" xfId="150" applyFont="1" applyAlignment="1">
      <alignment vertical="center"/>
    </xf>
    <xf numFmtId="0" fontId="11" fillId="0" borderId="0" xfId="150" applyFont="1" applyAlignment="1">
      <alignment horizontal="center" vertical="center"/>
    </xf>
    <xf numFmtId="0" fontId="11" fillId="0" borderId="0" xfId="150" applyFont="1" applyAlignment="1">
      <alignment horizontal="left" vertical="center"/>
    </xf>
    <xf numFmtId="0" fontId="71" fillId="0" borderId="0" xfId="116" quotePrefix="1" applyFont="1" applyAlignment="1">
      <alignment horizontal="center" vertical="center"/>
    </xf>
    <xf numFmtId="0" fontId="71" fillId="0" borderId="0" xfId="116" applyFont="1" applyAlignment="1">
      <alignment vertical="center"/>
    </xf>
    <xf numFmtId="0" fontId="58" fillId="0" borderId="0" xfId="150" quotePrefix="1" applyFont="1" applyAlignment="1">
      <alignment horizontal="center" vertical="center"/>
    </xf>
    <xf numFmtId="0" fontId="71" fillId="0" borderId="0" xfId="116" applyFont="1" applyAlignment="1">
      <alignment horizontal="left" vertical="center"/>
    </xf>
    <xf numFmtId="0" fontId="72" fillId="0" borderId="0" xfId="116" applyFont="1" applyAlignment="1">
      <alignment horizontal="center" vertical="center"/>
    </xf>
    <xf numFmtId="0" fontId="71" fillId="0" borderId="174" xfId="116" applyFont="1" applyBorder="1" applyAlignment="1">
      <alignment vertical="center"/>
    </xf>
    <xf numFmtId="0" fontId="71" fillId="0" borderId="206" xfId="116" applyFont="1" applyBorder="1" applyAlignment="1">
      <alignment vertical="center"/>
    </xf>
    <xf numFmtId="0" fontId="71" fillId="0" borderId="207" xfId="116" applyFont="1" applyBorder="1" applyAlignment="1">
      <alignment horizontal="center" vertical="center"/>
    </xf>
    <xf numFmtId="0" fontId="71" fillId="0" borderId="208" xfId="116" applyFont="1" applyBorder="1" applyAlignment="1">
      <alignment horizontal="center" vertical="center"/>
    </xf>
    <xf numFmtId="0" fontId="71" fillId="0" borderId="209" xfId="116" applyFont="1" applyBorder="1" applyAlignment="1">
      <alignment horizontal="center" vertical="center"/>
    </xf>
    <xf numFmtId="41" fontId="71" fillId="0" borderId="208" xfId="14" applyFont="1" applyBorder="1" applyAlignment="1">
      <alignment horizontal="center" vertical="center"/>
    </xf>
    <xf numFmtId="0" fontId="71" fillId="0" borderId="210" xfId="116" applyFont="1" applyBorder="1" applyAlignment="1">
      <alignment horizontal="center" vertical="center"/>
    </xf>
    <xf numFmtId="0" fontId="71" fillId="0" borderId="179" xfId="116" applyFont="1" applyBorder="1" applyAlignment="1">
      <alignment horizontal="center" vertical="center"/>
    </xf>
    <xf numFmtId="0" fontId="71" fillId="0" borderId="211" xfId="116" applyFont="1" applyBorder="1" applyAlignment="1">
      <alignment horizontal="center" vertical="center"/>
    </xf>
    <xf numFmtId="0" fontId="74" fillId="0" borderId="211" xfId="116" applyFont="1" applyBorder="1" applyAlignment="1">
      <alignment horizontal="center" vertical="center"/>
    </xf>
    <xf numFmtId="0" fontId="9" fillId="0" borderId="213" xfId="117" applyBorder="1" applyAlignment="1">
      <alignment vertical="center"/>
    </xf>
    <xf numFmtId="0" fontId="71" fillId="0" borderId="213" xfId="116" applyFont="1" applyBorder="1" applyAlignment="1">
      <alignment horizontal="center" vertical="center"/>
    </xf>
    <xf numFmtId="41" fontId="71" fillId="0" borderId="213" xfId="14" applyFont="1" applyBorder="1" applyAlignment="1">
      <alignment horizontal="center" vertical="center"/>
    </xf>
    <xf numFmtId="0" fontId="71" fillId="0" borderId="215" xfId="116" applyFont="1" applyBorder="1" applyAlignment="1">
      <alignment horizontal="center" vertical="center"/>
    </xf>
    <xf numFmtId="0" fontId="71" fillId="0" borderId="179" xfId="116" applyFont="1" applyBorder="1" applyAlignment="1">
      <alignment vertical="center"/>
    </xf>
    <xf numFmtId="0" fontId="71" fillId="0" borderId="211" xfId="116" applyFont="1" applyBorder="1" applyAlignment="1">
      <alignment vertical="center"/>
    </xf>
    <xf numFmtId="0" fontId="71" fillId="0" borderId="211" xfId="116" applyFont="1" applyBorder="1" applyAlignment="1">
      <alignment horizontal="left" vertical="center"/>
    </xf>
    <xf numFmtId="0" fontId="71" fillId="0" borderId="212" xfId="116" applyFont="1" applyBorder="1" applyAlignment="1">
      <alignment horizontal="center" vertical="center"/>
    </xf>
    <xf numFmtId="0" fontId="71" fillId="0" borderId="214" xfId="116" applyFont="1" applyBorder="1" applyAlignment="1">
      <alignment horizontal="center" vertical="center"/>
    </xf>
    <xf numFmtId="167" fontId="71" fillId="0" borderId="213" xfId="62" applyNumberFormat="1" applyFont="1" applyBorder="1" applyAlignment="1">
      <alignment horizontal="center" vertical="center"/>
    </xf>
    <xf numFmtId="0" fontId="73" fillId="0" borderId="213" xfId="116" applyFont="1" applyBorder="1" applyAlignment="1">
      <alignment horizontal="center" vertical="center"/>
    </xf>
    <xf numFmtId="167" fontId="71" fillId="0" borderId="212" xfId="62" applyNumberFormat="1" applyFont="1" applyBorder="1" applyAlignment="1">
      <alignment horizontal="center" vertical="center"/>
    </xf>
    <xf numFmtId="43" fontId="71" fillId="0" borderId="213" xfId="62" applyFont="1" applyBorder="1" applyAlignment="1">
      <alignment horizontal="center" vertical="center"/>
    </xf>
    <xf numFmtId="43" fontId="71" fillId="0" borderId="213" xfId="62" quotePrefix="1" applyFont="1" applyBorder="1" applyAlignment="1">
      <alignment horizontal="center" vertical="center"/>
    </xf>
    <xf numFmtId="2" fontId="71" fillId="0" borderId="213" xfId="116" applyNumberFormat="1" applyFont="1" applyBorder="1" applyAlignment="1">
      <alignment horizontal="center" vertical="center"/>
    </xf>
    <xf numFmtId="43" fontId="71" fillId="0" borderId="213" xfId="116" applyNumberFormat="1" applyFont="1" applyBorder="1" applyAlignment="1">
      <alignment horizontal="center" vertical="center"/>
    </xf>
    <xf numFmtId="43" fontId="71" fillId="0" borderId="215" xfId="116" applyNumberFormat="1" applyFont="1" applyBorder="1" applyAlignment="1">
      <alignment horizontal="center" vertical="center"/>
    </xf>
    <xf numFmtId="167" fontId="71" fillId="0" borderId="213" xfId="62" applyNumberFormat="1" applyFont="1" applyBorder="1" applyAlignment="1">
      <alignment horizontal="right" vertical="center"/>
    </xf>
    <xf numFmtId="0" fontId="71" fillId="0" borderId="213" xfId="116" quotePrefix="1" applyFont="1" applyBorder="1" applyAlignment="1">
      <alignment horizontal="center" vertical="center"/>
    </xf>
    <xf numFmtId="0" fontId="71" fillId="0" borderId="183" xfId="116" applyFont="1" applyBorder="1" applyAlignment="1">
      <alignment vertical="center"/>
    </xf>
    <xf numFmtId="0" fontId="71" fillId="0" borderId="201" xfId="116" applyFont="1" applyBorder="1" applyAlignment="1">
      <alignment vertical="center"/>
    </xf>
    <xf numFmtId="0" fontId="71" fillId="0" borderId="216" xfId="116" applyFont="1" applyBorder="1" applyAlignment="1">
      <alignment horizontal="center" vertical="center"/>
    </xf>
    <xf numFmtId="0" fontId="71" fillId="0" borderId="217" xfId="116" applyFont="1" applyBorder="1" applyAlignment="1">
      <alignment horizontal="center" vertical="center"/>
    </xf>
    <xf numFmtId="0" fontId="71" fillId="0" borderId="200" xfId="116" applyFont="1" applyBorder="1" applyAlignment="1">
      <alignment horizontal="center" vertical="center"/>
    </xf>
    <xf numFmtId="41" fontId="71" fillId="0" borderId="217" xfId="14" applyFont="1" applyBorder="1" applyAlignment="1">
      <alignment horizontal="center" vertical="center"/>
    </xf>
    <xf numFmtId="43" fontId="71" fillId="0" borderId="217" xfId="116" applyNumberFormat="1" applyFont="1" applyBorder="1" applyAlignment="1">
      <alignment horizontal="center" vertical="center"/>
    </xf>
    <xf numFmtId="43" fontId="71" fillId="0" borderId="218" xfId="116" applyNumberFormat="1" applyFont="1" applyBorder="1" applyAlignment="1">
      <alignment horizontal="center" vertical="center"/>
    </xf>
    <xf numFmtId="0" fontId="8" fillId="0" borderId="0" xfId="116" applyAlignment="1">
      <alignment vertical="center"/>
    </xf>
    <xf numFmtId="0" fontId="75" fillId="0" borderId="0" xfId="116" applyFont="1" applyAlignment="1">
      <alignment vertical="center"/>
    </xf>
    <xf numFmtId="43" fontId="71" fillId="0" borderId="215" xfId="62" quotePrefix="1" applyFont="1" applyBorder="1" applyAlignment="1">
      <alignment horizontal="center" vertical="center"/>
    </xf>
    <xf numFmtId="0" fontId="71" fillId="0" borderId="183" xfId="116" applyFont="1" applyBorder="1" applyAlignment="1">
      <alignment horizontal="center" vertical="center"/>
    </xf>
    <xf numFmtId="0" fontId="71" fillId="0" borderId="201" xfId="116" applyFont="1" applyBorder="1" applyAlignment="1">
      <alignment horizontal="center" vertical="center"/>
    </xf>
    <xf numFmtId="0" fontId="71" fillId="0" borderId="201" xfId="116" applyFont="1" applyBorder="1" applyAlignment="1">
      <alignment horizontal="left" vertical="center"/>
    </xf>
    <xf numFmtId="167" fontId="71" fillId="0" borderId="216" xfId="62" applyNumberFormat="1" applyFont="1" applyBorder="1" applyAlignment="1">
      <alignment horizontal="center" vertical="center"/>
    </xf>
    <xf numFmtId="0" fontId="71" fillId="0" borderId="217" xfId="116" quotePrefix="1" applyFont="1" applyBorder="1" applyAlignment="1">
      <alignment horizontal="center" vertical="center"/>
    </xf>
    <xf numFmtId="43" fontId="71" fillId="0" borderId="217" xfId="62" quotePrefix="1" applyFont="1" applyBorder="1" applyAlignment="1">
      <alignment horizontal="center" vertical="center"/>
    </xf>
    <xf numFmtId="43" fontId="71" fillId="0" borderId="217" xfId="62" applyFont="1" applyBorder="1" applyAlignment="1">
      <alignment horizontal="center" vertical="center"/>
    </xf>
    <xf numFmtId="2" fontId="71" fillId="0" borderId="217" xfId="116" applyNumberFormat="1" applyFont="1" applyBorder="1" applyAlignment="1">
      <alignment horizontal="center" vertical="center"/>
    </xf>
    <xf numFmtId="43" fontId="71" fillId="0" borderId="218" xfId="62" quotePrefix="1" applyFont="1" applyBorder="1" applyAlignment="1">
      <alignment horizontal="center" vertical="center"/>
    </xf>
    <xf numFmtId="41" fontId="71" fillId="0" borderId="213" xfId="19" applyFont="1" applyBorder="1" applyAlignment="1">
      <alignment horizontal="center" vertical="center"/>
    </xf>
    <xf numFmtId="41" fontId="71" fillId="0" borderId="217" xfId="19" applyFont="1" applyBorder="1" applyAlignment="1">
      <alignment horizontal="center" vertical="center"/>
    </xf>
    <xf numFmtId="0" fontId="71" fillId="0" borderId="218" xfId="116" applyFont="1" applyBorder="1" applyAlignment="1">
      <alignment horizontal="center" vertical="center"/>
    </xf>
    <xf numFmtId="0" fontId="71" fillId="0" borderId="219" xfId="116" applyFont="1" applyBorder="1" applyAlignment="1">
      <alignment horizontal="center" vertical="center"/>
    </xf>
    <xf numFmtId="0" fontId="71" fillId="0" borderId="208" xfId="128" applyFont="1" applyBorder="1" applyAlignment="1">
      <alignment vertical="center"/>
    </xf>
    <xf numFmtId="41" fontId="71" fillId="0" borderId="208" xfId="19" applyFont="1" applyBorder="1" applyAlignment="1">
      <alignment vertical="center"/>
    </xf>
    <xf numFmtId="0" fontId="71" fillId="0" borderId="210" xfId="128" applyFont="1" applyBorder="1" applyAlignment="1">
      <alignment vertical="center"/>
    </xf>
    <xf numFmtId="0" fontId="71" fillId="0" borderId="220" xfId="116" applyFont="1" applyBorder="1" applyAlignment="1">
      <alignment horizontal="center" vertical="center"/>
    </xf>
    <xf numFmtId="0" fontId="71" fillId="0" borderId="213" xfId="128" applyFont="1" applyBorder="1" applyAlignment="1">
      <alignment vertical="center"/>
    </xf>
    <xf numFmtId="41" fontId="71" fillId="0" borderId="213" xfId="19" applyFont="1" applyBorder="1" applyAlignment="1">
      <alignment vertical="center"/>
    </xf>
    <xf numFmtId="0" fontId="71" fillId="0" borderId="215" xfId="128" applyFont="1" applyBorder="1" applyAlignment="1">
      <alignment vertical="center"/>
    </xf>
    <xf numFmtId="0" fontId="71" fillId="0" borderId="213" xfId="128" quotePrefix="1" applyFont="1" applyBorder="1" applyAlignment="1">
      <alignment vertical="center"/>
    </xf>
    <xf numFmtId="0" fontId="73" fillId="0" borderId="213" xfId="128" applyFont="1" applyBorder="1" applyAlignment="1">
      <alignment vertical="center"/>
    </xf>
    <xf numFmtId="0" fontId="73" fillId="0" borderId="213" xfId="128" quotePrefix="1" applyFont="1" applyBorder="1" applyAlignment="1">
      <alignment vertical="center"/>
    </xf>
    <xf numFmtId="0" fontId="71" fillId="0" borderId="221" xfId="116" applyFont="1" applyBorder="1" applyAlignment="1">
      <alignment vertical="center"/>
    </xf>
    <xf numFmtId="0" fontId="71" fillId="0" borderId="217" xfId="128" applyFont="1" applyBorder="1" applyAlignment="1">
      <alignment vertical="center"/>
    </xf>
    <xf numFmtId="41" fontId="71" fillId="0" borderId="217" xfId="19" applyFont="1" applyBorder="1" applyAlignment="1">
      <alignment vertical="center"/>
    </xf>
    <xf numFmtId="0" fontId="71" fillId="0" borderId="218" xfId="128" applyFont="1" applyBorder="1" applyAlignment="1">
      <alignment vertical="center"/>
    </xf>
    <xf numFmtId="41" fontId="75" fillId="0" borderId="0" xfId="19" applyFont="1" applyAlignment="1">
      <alignment vertical="center"/>
    </xf>
    <xf numFmtId="0" fontId="21" fillId="0" borderId="155" xfId="116" applyFont="1" applyBorder="1" applyAlignment="1">
      <alignment horizontal="center" vertical="center"/>
    </xf>
    <xf numFmtId="0" fontId="21" fillId="0" borderId="156" xfId="116" applyFont="1" applyBorder="1" applyAlignment="1">
      <alignment horizontal="center" vertical="center"/>
    </xf>
    <xf numFmtId="0" fontId="21" fillId="0" borderId="157" xfId="116" applyFont="1" applyBorder="1" applyAlignment="1">
      <alignment horizontal="center" vertical="center"/>
    </xf>
    <xf numFmtId="0" fontId="21" fillId="0" borderId="155" xfId="116" applyFont="1" applyBorder="1" applyAlignment="1">
      <alignment horizontal="right" vertical="center"/>
    </xf>
    <xf numFmtId="0" fontId="21" fillId="0" borderId="158" xfId="116" applyFont="1" applyBorder="1" applyAlignment="1">
      <alignment horizontal="left" vertical="center"/>
    </xf>
    <xf numFmtId="0" fontId="21" fillId="0" borderId="157" xfId="116" applyFont="1" applyBorder="1" applyAlignment="1">
      <alignment horizontal="right" vertical="center"/>
    </xf>
    <xf numFmtId="0" fontId="21" fillId="0" borderId="157" xfId="116" applyFont="1" applyBorder="1" applyAlignment="1">
      <alignment horizontal="left" vertical="center"/>
    </xf>
    <xf numFmtId="0" fontId="21" fillId="0" borderId="159" xfId="116" applyFont="1" applyBorder="1" applyAlignment="1">
      <alignment horizontal="right" vertical="center"/>
    </xf>
    <xf numFmtId="0" fontId="21" fillId="0" borderId="160" xfId="116" applyFont="1" applyBorder="1" applyAlignment="1">
      <alignment horizontal="right" vertical="center"/>
    </xf>
    <xf numFmtId="0" fontId="21" fillId="0" borderId="161" xfId="116" applyFont="1" applyBorder="1" applyAlignment="1">
      <alignment horizontal="center" vertical="center"/>
    </xf>
    <xf numFmtId="0" fontId="21" fillId="0" borderId="162" xfId="116" applyFont="1" applyBorder="1" applyAlignment="1">
      <alignment horizontal="left" vertical="center"/>
    </xf>
    <xf numFmtId="0" fontId="21" fillId="0" borderId="161" xfId="116" applyFont="1" applyBorder="1" applyAlignment="1">
      <alignment horizontal="right" vertical="center"/>
    </xf>
    <xf numFmtId="0" fontId="21" fillId="0" borderId="163" xfId="116" applyFont="1" applyBorder="1" applyAlignment="1">
      <alignment horizontal="left" vertical="center"/>
    </xf>
    <xf numFmtId="0" fontId="21" fillId="0" borderId="164" xfId="116" applyFont="1" applyBorder="1" applyAlignment="1">
      <alignment horizontal="left" vertical="center"/>
    </xf>
    <xf numFmtId="0" fontId="21" fillId="0" borderId="158" xfId="116" applyFont="1" applyBorder="1" applyAlignment="1">
      <alignment horizontal="center" vertical="center"/>
    </xf>
    <xf numFmtId="0" fontId="21" fillId="0" borderId="164" xfId="116" applyFont="1" applyBorder="1" applyAlignment="1">
      <alignment horizontal="center" vertical="center"/>
    </xf>
    <xf numFmtId="0" fontId="21" fillId="0" borderId="165" xfId="116" applyFont="1" applyBorder="1" applyAlignment="1">
      <alignment horizontal="center" vertical="center"/>
    </xf>
    <xf numFmtId="0" fontId="21" fillId="0" borderId="166" xfId="116" applyFont="1" applyBorder="1" applyAlignment="1">
      <alignment horizontal="center" vertical="center"/>
    </xf>
    <xf numFmtId="0" fontId="21" fillId="0" borderId="165" xfId="116" applyFont="1" applyBorder="1" applyAlignment="1">
      <alignment horizontal="right" vertical="center"/>
    </xf>
    <xf numFmtId="0" fontId="21" fillId="0" borderId="167" xfId="116" applyFont="1" applyBorder="1" applyAlignment="1">
      <alignment horizontal="left" vertical="center"/>
    </xf>
    <xf numFmtId="0" fontId="21" fillId="0" borderId="166" xfId="116" applyFont="1" applyBorder="1" applyAlignment="1">
      <alignment horizontal="right" vertical="center"/>
    </xf>
    <xf numFmtId="0" fontId="21" fillId="0" borderId="166" xfId="116" applyFont="1" applyBorder="1" applyAlignment="1">
      <alignment horizontal="left" vertical="center"/>
    </xf>
    <xf numFmtId="0" fontId="21" fillId="0" borderId="169" xfId="116" applyFont="1" applyBorder="1" applyAlignment="1">
      <alignment horizontal="left" vertical="center"/>
    </xf>
    <xf numFmtId="0" fontId="21" fillId="0" borderId="170" xfId="116" applyFont="1" applyBorder="1" applyAlignment="1">
      <alignment horizontal="right" vertical="center"/>
    </xf>
    <xf numFmtId="0" fontId="21" fillId="0" borderId="171" xfId="116" applyFont="1" applyBorder="1" applyAlignment="1">
      <alignment horizontal="center" vertical="center"/>
    </xf>
    <xf numFmtId="0" fontId="21" fillId="0" borderId="172" xfId="116" applyFont="1" applyBorder="1" applyAlignment="1">
      <alignment horizontal="center" vertical="center"/>
    </xf>
    <xf numFmtId="0" fontId="21" fillId="0" borderId="20" xfId="116" applyFont="1" applyBorder="1" applyAlignment="1">
      <alignment horizontal="right" vertical="center"/>
    </xf>
    <xf numFmtId="0" fontId="21" fillId="0" borderId="167" xfId="116" applyFont="1" applyBorder="1" applyAlignment="1">
      <alignment horizontal="center" vertical="center"/>
    </xf>
    <xf numFmtId="0" fontId="21" fillId="0" borderId="173" xfId="116" applyFont="1" applyBorder="1" applyAlignment="1">
      <alignment horizontal="center" vertical="center"/>
    </xf>
    <xf numFmtId="0" fontId="58" fillId="0" borderId="0" xfId="116" applyFont="1"/>
    <xf numFmtId="0" fontId="21" fillId="0" borderId="168" xfId="116" applyFont="1" applyBorder="1" applyAlignment="1">
      <alignment horizontal="right" vertical="center"/>
    </xf>
    <xf numFmtId="0" fontId="63" fillId="0" borderId="148" xfId="116" applyFont="1" applyBorder="1" applyAlignment="1">
      <alignment horizontal="center"/>
    </xf>
    <xf numFmtId="0" fontId="63" fillId="0" borderId="149" xfId="116" applyFont="1" applyBorder="1"/>
    <xf numFmtId="0" fontId="8" fillId="0" borderId="0" xfId="120" applyAlignment="1">
      <alignment vertical="center"/>
    </xf>
    <xf numFmtId="0" fontId="8" fillId="0" borderId="0" xfId="120" applyAlignment="1">
      <alignment horizontal="center" vertical="center"/>
    </xf>
    <xf numFmtId="4" fontId="8" fillId="0" borderId="0" xfId="120" applyNumberFormat="1" applyAlignment="1">
      <alignment horizontal="center" vertical="center"/>
    </xf>
    <xf numFmtId="43" fontId="8" fillId="0" borderId="0" xfId="52" applyAlignment="1">
      <alignment horizontal="center" vertical="center"/>
    </xf>
    <xf numFmtId="0" fontId="79" fillId="0" borderId="0" xfId="120" applyFont="1" applyAlignment="1">
      <alignment horizontal="center" vertical="center"/>
    </xf>
    <xf numFmtId="170" fontId="78" fillId="8" borderId="0" xfId="1" applyNumberFormat="1" applyFont="1" applyFill="1" applyAlignment="1">
      <alignment horizontal="center" vertical="center"/>
    </xf>
    <xf numFmtId="0" fontId="78" fillId="8" borderId="0" xfId="120" applyFont="1" applyFill="1" applyAlignment="1">
      <alignment horizontal="center" vertical="center"/>
    </xf>
    <xf numFmtId="4" fontId="78" fillId="0" borderId="0" xfId="120" applyNumberFormat="1" applyFont="1" applyAlignment="1">
      <alignment horizontal="center" vertical="center"/>
    </xf>
    <xf numFmtId="0" fontId="78" fillId="0" borderId="0" xfId="120" applyFont="1" applyAlignment="1">
      <alignment horizontal="center" vertical="center"/>
    </xf>
    <xf numFmtId="175" fontId="78" fillId="0" borderId="223" xfId="120" applyNumberFormat="1" applyFont="1" applyBorder="1" applyAlignment="1">
      <alignment horizontal="center" vertical="center"/>
    </xf>
    <xf numFmtId="43" fontId="8" fillId="0" borderId="0" xfId="52" applyFill="1" applyAlignment="1">
      <alignment horizontal="center" vertical="center"/>
    </xf>
    <xf numFmtId="175" fontId="8" fillId="0" borderId="235" xfId="10" applyNumberFormat="1" applyFont="1" applyFill="1" applyBorder="1" applyAlignment="1">
      <alignment horizontal="right" vertical="center"/>
    </xf>
    <xf numFmtId="175" fontId="8" fillId="0" borderId="236" xfId="10" applyNumberFormat="1" applyFont="1" applyFill="1" applyBorder="1" applyAlignment="1">
      <alignment horizontal="right" vertical="center"/>
    </xf>
    <xf numFmtId="175" fontId="8" fillId="0" borderId="6" xfId="10" applyNumberFormat="1" applyFont="1" applyFill="1" applyBorder="1" applyAlignment="1">
      <alignment horizontal="right" vertical="center"/>
    </xf>
    <xf numFmtId="175" fontId="8" fillId="0" borderId="234" xfId="10" applyNumberFormat="1" applyFont="1" applyFill="1" applyBorder="1" applyAlignment="1">
      <alignment horizontal="right" vertical="center"/>
    </xf>
    <xf numFmtId="43" fontId="8" fillId="0" borderId="238" xfId="52" applyFont="1" applyFill="1" applyBorder="1" applyAlignment="1">
      <alignment horizontal="center" vertical="center"/>
    </xf>
    <xf numFmtId="175" fontId="8" fillId="0" borderId="241" xfId="10" applyNumberFormat="1" applyFont="1" applyFill="1" applyBorder="1" applyAlignment="1">
      <alignment horizontal="center" vertical="center"/>
    </xf>
    <xf numFmtId="175" fontId="8" fillId="0" borderId="238" xfId="10" applyNumberFormat="1" applyFont="1" applyFill="1" applyBorder="1" applyAlignment="1">
      <alignment horizontal="right" vertical="center"/>
    </xf>
    <xf numFmtId="175" fontId="8" fillId="0" borderId="243" xfId="10" applyNumberFormat="1" applyFont="1" applyFill="1" applyBorder="1" applyAlignment="1">
      <alignment horizontal="right" vertical="center"/>
    </xf>
    <xf numFmtId="0" fontId="78" fillId="0" borderId="131" xfId="120" applyFont="1" applyBorder="1" applyAlignment="1">
      <alignment horizontal="right" vertical="center"/>
    </xf>
    <xf numFmtId="0" fontId="78" fillId="0" borderId="13" xfId="120" applyFont="1" applyBorder="1" applyAlignment="1">
      <alignment horizontal="right" vertical="center"/>
    </xf>
    <xf numFmtId="0" fontId="78" fillId="0" borderId="247" xfId="120" applyFont="1" applyBorder="1" applyAlignment="1">
      <alignment horizontal="right" vertical="center"/>
    </xf>
    <xf numFmtId="0" fontId="78" fillId="0" borderId="54" xfId="120" applyFont="1" applyBorder="1" applyAlignment="1">
      <alignment horizontal="right" vertical="center"/>
    </xf>
    <xf numFmtId="0" fontId="78" fillId="0" borderId="56" xfId="120" applyFont="1" applyBorder="1" applyAlignment="1">
      <alignment horizontal="right" vertical="center"/>
    </xf>
    <xf numFmtId="0" fontId="8" fillId="0" borderId="13" xfId="120" applyBorder="1" applyAlignment="1">
      <alignment vertical="center"/>
    </xf>
    <xf numFmtId="0" fontId="8" fillId="0" borderId="15" xfId="120" applyBorder="1" applyAlignment="1">
      <alignment vertical="center"/>
    </xf>
    <xf numFmtId="0" fontId="78" fillId="0" borderId="225" xfId="120" applyFont="1" applyBorder="1" applyAlignment="1">
      <alignment horizontal="center" vertical="center" wrapText="1"/>
    </xf>
    <xf numFmtId="0" fontId="78" fillId="0" borderId="226" xfId="120" applyFont="1" applyBorder="1" applyAlignment="1">
      <alignment horizontal="center" vertical="center" wrapText="1"/>
    </xf>
    <xf numFmtId="0" fontId="78" fillId="0" borderId="227" xfId="120" applyFont="1" applyBorder="1" applyAlignment="1">
      <alignment horizontal="center" vertical="center" wrapText="1"/>
    </xf>
    <xf numFmtId="0" fontId="78" fillId="0" borderId="228" xfId="120" applyFont="1" applyBorder="1" applyAlignment="1">
      <alignment horizontal="center" vertical="center" wrapText="1"/>
    </xf>
    <xf numFmtId="0" fontId="78" fillId="0" borderId="229" xfId="120" applyFont="1" applyBorder="1" applyAlignment="1">
      <alignment horizontal="center" vertical="center" wrapText="1"/>
    </xf>
    <xf numFmtId="0" fontId="78" fillId="0" borderId="230" xfId="120" applyFont="1" applyBorder="1" applyAlignment="1">
      <alignment horizontal="center" vertical="center" wrapText="1"/>
    </xf>
    <xf numFmtId="0" fontId="78" fillId="0" borderId="127" xfId="120" applyFont="1" applyBorder="1" applyAlignment="1">
      <alignment horizontal="center" vertical="center" wrapText="1"/>
    </xf>
    <xf numFmtId="43" fontId="78" fillId="0" borderId="0" xfId="52" applyFont="1" applyAlignment="1">
      <alignment horizontal="center" vertical="center"/>
    </xf>
    <xf numFmtId="0" fontId="78" fillId="0" borderId="0" xfId="120" applyFont="1" applyAlignment="1">
      <alignment horizontal="right" vertical="center"/>
    </xf>
    <xf numFmtId="43" fontId="78" fillId="8" borderId="223" xfId="52" applyFont="1" applyFill="1" applyBorder="1" applyAlignment="1">
      <alignment horizontal="center" vertical="center"/>
    </xf>
    <xf numFmtId="43" fontId="78" fillId="0" borderId="116" xfId="52" applyFont="1" applyBorder="1" applyAlignment="1">
      <alignment horizontal="center" vertical="center"/>
    </xf>
    <xf numFmtId="43" fontId="78" fillId="0" borderId="139" xfId="52" applyFont="1" applyBorder="1" applyAlignment="1">
      <alignment horizontal="center" vertical="center"/>
    </xf>
    <xf numFmtId="43" fontId="78" fillId="0" borderId="122" xfId="52" applyFont="1" applyBorder="1" applyAlignment="1">
      <alignment horizontal="center" vertical="center"/>
    </xf>
    <xf numFmtId="0" fontId="78" fillId="0" borderId="118" xfId="120" applyFont="1" applyBorder="1" applyAlignment="1">
      <alignment horizontal="right" vertical="center"/>
    </xf>
    <xf numFmtId="0" fontId="8" fillId="0" borderId="117" xfId="120" applyBorder="1" applyAlignment="1">
      <alignment vertical="center"/>
    </xf>
    <xf numFmtId="0" fontId="8" fillId="0" borderId="116" xfId="120" applyBorder="1" applyAlignment="1">
      <alignment vertical="center"/>
    </xf>
    <xf numFmtId="0" fontId="8" fillId="0" borderId="250" xfId="120" applyBorder="1" applyAlignment="1">
      <alignment vertical="center"/>
    </xf>
    <xf numFmtId="43" fontId="78" fillId="0" borderId="233" xfId="52" applyFont="1" applyBorder="1" applyAlignment="1">
      <alignment horizontal="center" vertical="center"/>
    </xf>
    <xf numFmtId="0" fontId="78" fillId="0" borderId="238" xfId="120" applyFont="1" applyBorder="1" applyAlignment="1">
      <alignment horizontal="right" vertical="center"/>
    </xf>
    <xf numFmtId="0" fontId="8" fillId="0" borderId="258" xfId="120" applyBorder="1" applyAlignment="1">
      <alignment vertical="center"/>
    </xf>
    <xf numFmtId="0" fontId="8" fillId="0" borderId="259" xfId="120" applyBorder="1" applyAlignment="1">
      <alignment vertical="center"/>
    </xf>
    <xf numFmtId="43" fontId="78" fillId="0" borderId="114" xfId="52" applyFont="1" applyBorder="1" applyAlignment="1">
      <alignment horizontal="center" vertical="center"/>
    </xf>
    <xf numFmtId="43" fontId="78" fillId="0" borderId="147" xfId="52" applyFont="1" applyBorder="1" applyAlignment="1">
      <alignment horizontal="center" vertical="center"/>
    </xf>
    <xf numFmtId="43" fontId="78" fillId="0" borderId="129" xfId="52" applyFont="1" applyBorder="1" applyAlignment="1">
      <alignment horizontal="center" vertical="center"/>
    </xf>
    <xf numFmtId="43" fontId="78" fillId="0" borderId="260" xfId="52" applyFont="1" applyBorder="1" applyAlignment="1">
      <alignment horizontal="center" vertical="center"/>
    </xf>
    <xf numFmtId="0" fontId="78" fillId="0" borderId="127" xfId="120" applyFont="1" applyBorder="1" applyAlignment="1">
      <alignment horizontal="right" vertical="center"/>
    </xf>
    <xf numFmtId="43" fontId="0" fillId="0" borderId="261" xfId="52" applyFont="1" applyBorder="1" applyAlignment="1">
      <alignment horizontal="center" vertical="center"/>
    </xf>
    <xf numFmtId="43" fontId="48" fillId="0" borderId="262" xfId="52" applyFont="1" applyBorder="1" applyAlignment="1">
      <alignment horizontal="center" vertical="center"/>
    </xf>
    <xf numFmtId="43" fontId="48" fillId="0" borderId="263" xfId="52" applyFont="1" applyBorder="1" applyAlignment="1">
      <alignment horizontal="center" vertical="center"/>
    </xf>
    <xf numFmtId="43" fontId="48" fillId="0" borderId="264" xfId="52" applyFont="1" applyBorder="1" applyAlignment="1">
      <alignment horizontal="center" vertical="center"/>
    </xf>
    <xf numFmtId="4" fontId="8" fillId="0" borderId="265" xfId="120" applyNumberFormat="1" applyBorder="1" applyAlignment="1">
      <alignment horizontal="center" vertical="center"/>
    </xf>
    <xf numFmtId="4" fontId="8" fillId="0" borderId="266" xfId="120" applyNumberFormat="1" applyBorder="1" applyAlignment="1">
      <alignment horizontal="center" vertical="center"/>
    </xf>
    <xf numFmtId="4" fontId="8" fillId="0" borderId="263" xfId="120" applyNumberFormat="1" applyBorder="1" applyAlignment="1">
      <alignment horizontal="center" vertical="center"/>
    </xf>
    <xf numFmtId="0" fontId="8" fillId="0" borderId="263" xfId="120" applyBorder="1" applyAlignment="1">
      <alignment horizontal="center" vertical="center"/>
    </xf>
    <xf numFmtId="43" fontId="8" fillId="0" borderId="263" xfId="52" applyFill="1" applyBorder="1" applyAlignment="1">
      <alignment horizontal="center" vertical="center"/>
    </xf>
    <xf numFmtId="0" fontId="8" fillId="0" borderId="264" xfId="120" applyBorder="1" applyAlignment="1">
      <alignment horizontal="center" vertical="center"/>
    </xf>
    <xf numFmtId="43" fontId="0" fillId="0" borderId="267" xfId="52" applyFont="1" applyBorder="1" applyAlignment="1">
      <alignment horizontal="center" vertical="center"/>
    </xf>
    <xf numFmtId="43" fontId="48" fillId="0" borderId="268" xfId="52" applyFont="1" applyBorder="1" applyAlignment="1">
      <alignment horizontal="center" vertical="center"/>
    </xf>
    <xf numFmtId="43" fontId="48" fillId="0" borderId="269" xfId="52" applyFont="1" applyBorder="1" applyAlignment="1">
      <alignment horizontal="center" vertical="center"/>
    </xf>
    <xf numFmtId="43" fontId="48" fillId="0" borderId="270" xfId="52" applyFont="1" applyBorder="1" applyAlignment="1">
      <alignment horizontal="center" vertical="center"/>
    </xf>
    <xf numFmtId="4" fontId="8" fillId="0" borderId="271" xfId="120" applyNumberFormat="1" applyBorder="1" applyAlignment="1">
      <alignment horizontal="center" vertical="center"/>
    </xf>
    <xf numFmtId="4" fontId="8" fillId="0" borderId="272" xfId="120" applyNumberFormat="1" applyBorder="1" applyAlignment="1">
      <alignment horizontal="center" vertical="center"/>
    </xf>
    <xf numFmtId="4" fontId="8" fillId="0" borderId="269" xfId="120" applyNumberFormat="1" applyBorder="1" applyAlignment="1">
      <alignment horizontal="center" vertical="center"/>
    </xf>
    <xf numFmtId="0" fontId="8" fillId="0" borderId="269" xfId="120" applyBorder="1" applyAlignment="1">
      <alignment horizontal="center" vertical="center"/>
    </xf>
    <xf numFmtId="43" fontId="8" fillId="0" borderId="269" xfId="52" applyFill="1" applyBorder="1" applyAlignment="1">
      <alignment horizontal="center" vertical="center"/>
    </xf>
    <xf numFmtId="0" fontId="8" fillId="0" borderId="270" xfId="120" applyBorder="1" applyAlignment="1">
      <alignment horizontal="center" vertical="center"/>
    </xf>
    <xf numFmtId="43" fontId="0" fillId="0" borderId="273" xfId="52" applyFont="1" applyBorder="1" applyAlignment="1">
      <alignment horizontal="center" vertical="center"/>
    </xf>
    <xf numFmtId="43" fontId="48" fillId="0" borderId="274" xfId="52" applyFont="1" applyBorder="1" applyAlignment="1">
      <alignment horizontal="center" vertical="center"/>
    </xf>
    <xf numFmtId="41" fontId="0" fillId="0" borderId="269" xfId="10" applyFont="1" applyFill="1" applyBorder="1" applyAlignment="1">
      <alignment horizontal="center" vertical="center"/>
    </xf>
    <xf numFmtId="167" fontId="8" fillId="0" borderId="269" xfId="52" applyNumberFormat="1" applyFill="1" applyBorder="1" applyAlignment="1">
      <alignment horizontal="center" vertical="center"/>
    </xf>
    <xf numFmtId="4" fontId="8" fillId="0" borderId="275" xfId="120" applyNumberFormat="1" applyBorder="1" applyAlignment="1">
      <alignment horizontal="center" vertical="center"/>
    </xf>
    <xf numFmtId="4" fontId="8" fillId="0" borderId="276" xfId="120" applyNumberFormat="1" applyBorder="1" applyAlignment="1">
      <alignment horizontal="center" vertical="center"/>
    </xf>
    <xf numFmtId="167" fontId="8" fillId="0" borderId="277" xfId="120" applyNumberFormat="1" applyBorder="1" applyAlignment="1">
      <alignment horizontal="center" vertical="center"/>
    </xf>
    <xf numFmtId="167" fontId="0" fillId="0" borderId="277" xfId="52" applyNumberFormat="1" applyFont="1" applyFill="1" applyBorder="1" applyAlignment="1">
      <alignment horizontal="center" vertical="center"/>
    </xf>
    <xf numFmtId="0" fontId="8" fillId="0" borderId="277" xfId="120" applyBorder="1" applyAlignment="1">
      <alignment horizontal="center" vertical="center"/>
    </xf>
    <xf numFmtId="4" fontId="8" fillId="0" borderId="277" xfId="120" applyNumberFormat="1" applyBorder="1" applyAlignment="1">
      <alignment horizontal="center" vertical="center"/>
    </xf>
    <xf numFmtId="0" fontId="8" fillId="0" borderId="278" xfId="120" applyBorder="1" applyAlignment="1">
      <alignment horizontal="center" vertical="center"/>
    </xf>
    <xf numFmtId="0" fontId="81" fillId="0" borderId="224" xfId="120" applyFont="1" applyBorder="1" applyAlignment="1">
      <alignment horizontal="center" vertical="center"/>
    </xf>
    <xf numFmtId="37" fontId="78" fillId="0" borderId="225" xfId="52" applyNumberFormat="1" applyFont="1" applyBorder="1" applyAlignment="1">
      <alignment horizontal="center" vertical="center"/>
    </xf>
    <xf numFmtId="37" fontId="78" fillId="0" borderId="226" xfId="52" applyNumberFormat="1" applyFont="1" applyBorder="1" applyAlignment="1">
      <alignment horizontal="center" vertical="center"/>
    </xf>
    <xf numFmtId="37" fontId="78" fillId="0" borderId="227" xfId="52" applyNumberFormat="1" applyFont="1" applyBorder="1" applyAlignment="1">
      <alignment horizontal="center" vertical="center"/>
    </xf>
    <xf numFmtId="0" fontId="81" fillId="0" borderId="228" xfId="120" applyFont="1" applyBorder="1" applyAlignment="1">
      <alignment horizontal="center" vertical="center"/>
    </xf>
    <xf numFmtId="0" fontId="81" fillId="0" borderId="229" xfId="120" applyFont="1" applyBorder="1" applyAlignment="1">
      <alignment horizontal="center" vertical="center"/>
    </xf>
    <xf numFmtId="0" fontId="81" fillId="0" borderId="226" xfId="120" applyFont="1" applyBorder="1" applyAlignment="1">
      <alignment horizontal="center" vertical="center"/>
    </xf>
    <xf numFmtId="0" fontId="82" fillId="0" borderId="226" xfId="120" applyFont="1" applyBorder="1" applyAlignment="1">
      <alignment horizontal="center" vertical="center"/>
    </xf>
    <xf numFmtId="43" fontId="82" fillId="0" borderId="226" xfId="52" applyFont="1" applyFill="1" applyBorder="1" applyAlignment="1">
      <alignment horizontal="center" vertical="center"/>
    </xf>
    <xf numFmtId="0" fontId="78" fillId="0" borderId="147" xfId="120" applyFont="1" applyBorder="1" applyAlignment="1">
      <alignment horizontal="center" vertical="center"/>
    </xf>
    <xf numFmtId="0" fontId="78" fillId="0" borderId="127" xfId="120" applyFont="1" applyBorder="1" applyAlignment="1">
      <alignment horizontal="center" vertical="center"/>
    </xf>
    <xf numFmtId="0" fontId="78" fillId="0" borderId="125" xfId="120" applyFont="1" applyBorder="1" applyAlignment="1">
      <alignment horizontal="center" vertical="center"/>
    </xf>
    <xf numFmtId="0" fontId="78" fillId="0" borderId="129" xfId="120" applyFont="1" applyBorder="1" applyAlignment="1">
      <alignment horizontal="center" vertical="center"/>
    </xf>
    <xf numFmtId="0" fontId="83" fillId="0" borderId="129" xfId="120" applyFont="1" applyBorder="1" applyAlignment="1">
      <alignment horizontal="center" vertical="center"/>
    </xf>
    <xf numFmtId="43" fontId="83" fillId="0" borderId="129" xfId="52" applyFont="1" applyFill="1" applyBorder="1" applyAlignment="1">
      <alignment horizontal="center" vertical="center"/>
    </xf>
    <xf numFmtId="0" fontId="8" fillId="0" borderId="259" xfId="120" applyBorder="1" applyAlignment="1">
      <alignment horizontal="center" vertical="center"/>
    </xf>
    <xf numFmtId="0" fontId="8" fillId="0" borderId="0" xfId="120" applyAlignment="1">
      <alignment horizontal="left" vertical="center"/>
    </xf>
    <xf numFmtId="0" fontId="75" fillId="0" borderId="0" xfId="120" applyFont="1" applyAlignment="1">
      <alignment horizontal="right" vertical="center"/>
    </xf>
    <xf numFmtId="43" fontId="75" fillId="0" borderId="0" xfId="52" applyFont="1" applyFill="1" applyAlignment="1">
      <alignment horizontal="center" vertical="center"/>
    </xf>
    <xf numFmtId="167" fontId="75" fillId="0" borderId="0" xfId="52" applyNumberFormat="1" applyFont="1" applyAlignment="1">
      <alignment horizontal="left" vertical="center"/>
    </xf>
    <xf numFmtId="0" fontId="75" fillId="0" borderId="0" xfId="120" applyFont="1" applyAlignment="1">
      <alignment horizontal="left" vertical="center"/>
    </xf>
    <xf numFmtId="167" fontId="84" fillId="8" borderId="0" xfId="52" applyNumberFormat="1" applyFont="1" applyFill="1" applyAlignment="1">
      <alignment horizontal="left" vertical="center"/>
    </xf>
    <xf numFmtId="43" fontId="84" fillId="0" borderId="0" xfId="52" applyFont="1" applyFill="1" applyAlignment="1">
      <alignment horizontal="center" vertical="center"/>
    </xf>
    <xf numFmtId="0" fontId="78" fillId="0" borderId="0" xfId="120" applyFont="1" applyAlignment="1">
      <alignment horizontal="left" vertical="center"/>
    </xf>
    <xf numFmtId="4" fontId="8" fillId="0" borderId="0" xfId="120" applyNumberFormat="1" applyAlignment="1">
      <alignment vertical="center"/>
    </xf>
    <xf numFmtId="0" fontId="84" fillId="8" borderId="0" xfId="120" applyFont="1" applyFill="1" applyAlignment="1">
      <alignment horizontal="center" vertical="center"/>
    </xf>
    <xf numFmtId="0" fontId="85" fillId="0" borderId="0" xfId="120" applyFont="1" applyAlignment="1">
      <alignment vertical="center"/>
    </xf>
    <xf numFmtId="0" fontId="78" fillId="0" borderId="55" xfId="120" applyFont="1" applyBorder="1" applyAlignment="1">
      <alignment horizontal="right" vertical="center"/>
    </xf>
    <xf numFmtId="0" fontId="0" fillId="0" borderId="237" xfId="120" applyFont="1" applyBorder="1" applyAlignment="1">
      <alignment horizontal="left" vertical="center"/>
    </xf>
    <xf numFmtId="175" fontId="8" fillId="0" borderId="224" xfId="10" applyNumberFormat="1" applyBorder="1" applyAlignment="1">
      <alignment horizontal="center" vertical="center"/>
    </xf>
    <xf numFmtId="175" fontId="8" fillId="0" borderId="225" xfId="10" applyNumberFormat="1" applyBorder="1" applyAlignment="1">
      <alignment horizontal="center" vertical="center"/>
    </xf>
    <xf numFmtId="175" fontId="8" fillId="0" borderId="226" xfId="10" applyNumberFormat="1" applyBorder="1" applyAlignment="1">
      <alignment horizontal="center" vertical="center"/>
    </xf>
    <xf numFmtId="175" fontId="8" fillId="0" borderId="227" xfId="10" applyNumberFormat="1" applyBorder="1" applyAlignment="1">
      <alignment horizontal="center" vertical="center"/>
    </xf>
    <xf numFmtId="175" fontId="0" fillId="0" borderId="228" xfId="10" applyNumberFormat="1" applyFont="1" applyFill="1" applyBorder="1" applyAlignment="1">
      <alignment horizontal="right" vertical="center"/>
    </xf>
    <xf numFmtId="175" fontId="0" fillId="0" borderId="229" xfId="10" applyNumberFormat="1" applyFont="1" applyFill="1" applyBorder="1" applyAlignment="1">
      <alignment horizontal="right" vertical="center"/>
    </xf>
    <xf numFmtId="175" fontId="0" fillId="0" borderId="230" xfId="10" applyNumberFormat="1" applyFont="1" applyFill="1" applyBorder="1" applyAlignment="1">
      <alignment horizontal="right" vertical="center"/>
    </xf>
    <xf numFmtId="175" fontId="0" fillId="0" borderId="231" xfId="10" applyNumberFormat="1" applyFont="1" applyFill="1" applyBorder="1" applyAlignment="1">
      <alignment horizontal="right" vertical="center"/>
    </xf>
    <xf numFmtId="175" fontId="0" fillId="0" borderId="225" xfId="10" applyNumberFormat="1" applyFont="1" applyFill="1" applyBorder="1" applyAlignment="1">
      <alignment horizontal="right" vertical="center"/>
    </xf>
    <xf numFmtId="175" fontId="0" fillId="0" borderId="227" xfId="10" applyNumberFormat="1" applyFont="1" applyFill="1" applyBorder="1" applyAlignment="1">
      <alignment horizontal="right" vertical="center"/>
    </xf>
    <xf numFmtId="175" fontId="0" fillId="0" borderId="229" xfId="10" applyNumberFormat="1" applyFont="1" applyBorder="1" applyAlignment="1">
      <alignment vertical="center"/>
    </xf>
    <xf numFmtId="175" fontId="0" fillId="0" borderId="226" xfId="10" applyNumberFormat="1" applyFont="1" applyBorder="1" applyAlignment="1">
      <alignment vertical="center"/>
    </xf>
    <xf numFmtId="43" fontId="78" fillId="0" borderId="246" xfId="52" applyFont="1" applyBorder="1" applyAlignment="1">
      <alignment horizontal="center" vertical="center"/>
    </xf>
    <xf numFmtId="43" fontId="78" fillId="0" borderId="54" xfId="52" applyFont="1" applyBorder="1" applyAlignment="1">
      <alignment horizontal="center" vertical="center"/>
    </xf>
    <xf numFmtId="43" fontId="78" fillId="0" borderId="15" xfId="52" applyFont="1" applyBorder="1" applyAlignment="1">
      <alignment horizontal="center" vertical="center"/>
    </xf>
    <xf numFmtId="43" fontId="78" fillId="0" borderId="56" xfId="52" applyFont="1" applyBorder="1" applyAlignment="1">
      <alignment horizontal="center" vertical="center"/>
    </xf>
    <xf numFmtId="41" fontId="77" fillId="8" borderId="0" xfId="10" applyFont="1" applyFill="1" applyAlignment="1">
      <alignment vertical="center"/>
    </xf>
    <xf numFmtId="0" fontId="48" fillId="0" borderId="0" xfId="120" applyFont="1" applyAlignment="1">
      <alignment vertical="center"/>
    </xf>
    <xf numFmtId="41" fontId="77" fillId="15" borderId="0" xfId="10" applyFont="1" applyFill="1" applyAlignment="1">
      <alignment vertical="center"/>
    </xf>
    <xf numFmtId="0" fontId="0" fillId="0" borderId="0" xfId="120" applyFont="1" applyAlignment="1">
      <alignment horizontal="center" vertical="center"/>
    </xf>
    <xf numFmtId="0" fontId="0" fillId="0" borderId="0" xfId="120" applyFont="1" applyAlignment="1">
      <alignment vertical="center"/>
    </xf>
    <xf numFmtId="41" fontId="77" fillId="15" borderId="0" xfId="10" applyFont="1" applyFill="1" applyAlignment="1">
      <alignment horizontal="center" vertical="center"/>
    </xf>
    <xf numFmtId="0" fontId="86" fillId="0" borderId="0" xfId="120" applyFont="1" applyAlignment="1">
      <alignment vertical="center"/>
    </xf>
    <xf numFmtId="0" fontId="87" fillId="0" borderId="0" xfId="12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70" fontId="78" fillId="0" borderId="138" xfId="1" applyNumberFormat="1" applyFont="1" applyBorder="1" applyAlignment="1">
      <alignment vertical="center"/>
    </xf>
    <xf numFmtId="170" fontId="78" fillId="0" borderId="137" xfId="1" applyNumberFormat="1" applyFont="1" applyBorder="1" applyAlignment="1">
      <alignment vertical="center"/>
    </xf>
    <xf numFmtId="170" fontId="78" fillId="0" borderId="135" xfId="1" applyNumberFormat="1" applyFont="1" applyBorder="1" applyAlignment="1">
      <alignment vertical="center"/>
    </xf>
    <xf numFmtId="170" fontId="78" fillId="0" borderId="280" xfId="1" applyNumberFormat="1" applyFont="1" applyBorder="1" applyAlignment="1">
      <alignment vertical="center"/>
    </xf>
    <xf numFmtId="170" fontId="78" fillId="0" borderId="281" xfId="1" applyNumberFormat="1" applyFont="1" applyBorder="1" applyAlignment="1">
      <alignment vertical="center"/>
    </xf>
    <xf numFmtId="170" fontId="78" fillId="0" borderId="134" xfId="1" applyNumberFormat="1" applyFont="1" applyBorder="1" applyAlignment="1">
      <alignment vertical="center"/>
    </xf>
    <xf numFmtId="0" fontId="0" fillId="0" borderId="258" xfId="0" applyBorder="1" applyAlignment="1">
      <alignment vertical="center"/>
    </xf>
    <xf numFmtId="0" fontId="0" fillId="0" borderId="282" xfId="0" applyBorder="1" applyAlignment="1">
      <alignment vertical="center"/>
    </xf>
    <xf numFmtId="0" fontId="0" fillId="0" borderId="73" xfId="0" applyBorder="1" applyAlignment="1">
      <alignment vertical="center"/>
    </xf>
    <xf numFmtId="0" fontId="0" fillId="0" borderId="259" xfId="0" applyBorder="1" applyAlignment="1">
      <alignment vertical="center"/>
    </xf>
    <xf numFmtId="0" fontId="0" fillId="0" borderId="283" xfId="0" applyBorder="1" applyAlignment="1">
      <alignment vertical="center"/>
    </xf>
    <xf numFmtId="170" fontId="0" fillId="0" borderId="258" xfId="1" applyNumberFormat="1" applyFont="1" applyBorder="1" applyAlignment="1">
      <alignment vertical="center"/>
    </xf>
    <xf numFmtId="170" fontId="0" fillId="0" borderId="282" xfId="1" applyNumberFormat="1" applyFont="1" applyBorder="1" applyAlignment="1">
      <alignment vertical="center"/>
    </xf>
    <xf numFmtId="170" fontId="0" fillId="0" borderId="73" xfId="1" applyNumberFormat="1" applyFont="1" applyBorder="1" applyAlignment="1">
      <alignment vertical="center"/>
    </xf>
    <xf numFmtId="170" fontId="0" fillId="0" borderId="283" xfId="1" applyNumberFormat="1" applyFont="1" applyBorder="1" applyAlignment="1">
      <alignment vertical="center"/>
    </xf>
    <xf numFmtId="170" fontId="0" fillId="0" borderId="0" xfId="1" applyNumberFormat="1" applyFont="1" applyAlignment="1">
      <alignment horizontal="center" vertical="center"/>
    </xf>
    <xf numFmtId="170" fontId="78" fillId="0" borderId="0" xfId="1" applyNumberFormat="1" applyFont="1" applyAlignment="1">
      <alignment vertical="center"/>
    </xf>
    <xf numFmtId="0" fontId="78" fillId="0" borderId="137" xfId="0" applyFont="1" applyBorder="1" applyAlignment="1">
      <alignment vertical="center"/>
    </xf>
    <xf numFmtId="170" fontId="0" fillId="0" borderId="0" xfId="1" applyNumberFormat="1" applyFont="1" applyAlignment="1">
      <alignment vertical="center"/>
    </xf>
    <xf numFmtId="168" fontId="9" fillId="0" borderId="222" xfId="62" applyNumberFormat="1" applyFont="1" applyFill="1" applyBorder="1" applyAlignment="1">
      <alignment horizontal="center" vertical="center"/>
    </xf>
    <xf numFmtId="167" fontId="9" fillId="0" borderId="222" xfId="62" applyNumberFormat="1" applyFont="1" applyFill="1" applyBorder="1" applyAlignment="1">
      <alignment horizontal="center" vertical="center"/>
    </xf>
    <xf numFmtId="164" fontId="9" fillId="0" borderId="22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0" fontId="0" fillId="0" borderId="0" xfId="1" applyNumberFormat="1" applyFont="1" applyFill="1" applyAlignment="1">
      <alignment horizontal="center" vertical="center"/>
    </xf>
    <xf numFmtId="170" fontId="78" fillId="0" borderId="129" xfId="1" applyNumberFormat="1" applyFont="1" applyFill="1" applyBorder="1" applyAlignment="1">
      <alignment horizontal="center" vertical="center"/>
    </xf>
    <xf numFmtId="0" fontId="78" fillId="0" borderId="129" xfId="0" applyFont="1" applyBorder="1" applyAlignment="1">
      <alignment horizontal="center" vertical="center"/>
    </xf>
    <xf numFmtId="170" fontId="0" fillId="0" borderId="290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0" fontId="0" fillId="0" borderId="240" xfId="1" applyNumberFormat="1" applyFont="1" applyFill="1" applyBorder="1" applyAlignment="1">
      <alignment horizontal="center" vertical="center"/>
    </xf>
    <xf numFmtId="0" fontId="0" fillId="0" borderId="242" xfId="0" applyBorder="1" applyAlignment="1">
      <alignment horizontal="center" vertical="center"/>
    </xf>
    <xf numFmtId="0" fontId="78" fillId="0" borderId="240" xfId="0" applyFont="1" applyBorder="1" applyAlignment="1">
      <alignment horizontal="center" vertical="center"/>
    </xf>
    <xf numFmtId="0" fontId="78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170" fontId="78" fillId="0" borderId="138" xfId="1" applyNumberFormat="1" applyFont="1" applyFill="1" applyBorder="1" applyAlignment="1">
      <alignment horizontal="center" vertical="center"/>
    </xf>
    <xf numFmtId="170" fontId="78" fillId="0" borderId="137" xfId="1" applyNumberFormat="1" applyFont="1" applyFill="1" applyBorder="1" applyAlignment="1">
      <alignment horizontal="center" vertical="center"/>
    </xf>
    <xf numFmtId="170" fontId="78" fillId="0" borderId="136" xfId="1" applyNumberFormat="1" applyFont="1" applyFill="1" applyBorder="1" applyAlignment="1">
      <alignment horizontal="center" vertical="center"/>
    </xf>
    <xf numFmtId="170" fontId="0" fillId="0" borderId="57" xfId="1" applyNumberFormat="1" applyFont="1" applyFill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70" fontId="0" fillId="0" borderId="243" xfId="1" applyNumberFormat="1" applyFont="1" applyFill="1" applyBorder="1" applyAlignment="1">
      <alignment horizontal="center" vertical="center"/>
    </xf>
    <xf numFmtId="0" fontId="0" fillId="0" borderId="239" xfId="0" applyBorder="1" applyAlignment="1">
      <alignment horizontal="center" vertical="center"/>
    </xf>
    <xf numFmtId="0" fontId="0" fillId="0" borderId="240" xfId="0" applyBorder="1" applyAlignment="1">
      <alignment horizontal="center" vertical="center"/>
    </xf>
    <xf numFmtId="0" fontId="0" fillId="0" borderId="241" xfId="0" applyBorder="1" applyAlignment="1">
      <alignment horizontal="center" vertical="center"/>
    </xf>
    <xf numFmtId="170" fontId="0" fillId="0" borderId="15" xfId="1" applyNumberFormat="1" applyFont="1" applyFill="1" applyBorder="1" applyAlignment="1">
      <alignment horizontal="center" vertical="center"/>
    </xf>
    <xf numFmtId="170" fontId="0" fillId="0" borderId="55" xfId="1" applyNumberFormat="1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8" fillId="0" borderId="226" xfId="0" applyFont="1" applyBorder="1" applyAlignment="1">
      <alignment horizontal="center" vertical="center"/>
    </xf>
    <xf numFmtId="0" fontId="78" fillId="0" borderId="230" xfId="0" applyFont="1" applyBorder="1" applyAlignment="1">
      <alignment horizontal="center" vertical="center"/>
    </xf>
    <xf numFmtId="0" fontId="0" fillId="0" borderId="225" xfId="0" applyBorder="1" applyAlignment="1">
      <alignment horizontal="center" vertical="center"/>
    </xf>
    <xf numFmtId="0" fontId="0" fillId="0" borderId="226" xfId="0" applyBorder="1" applyAlignment="1">
      <alignment horizontal="center" vertical="center"/>
    </xf>
    <xf numFmtId="0" fontId="0" fillId="0" borderId="227" xfId="0" applyBorder="1" applyAlignment="1">
      <alignment horizontal="center" vertical="center"/>
    </xf>
    <xf numFmtId="41" fontId="15" fillId="8" borderId="20" xfId="2" applyNumberFormat="1" applyFont="1" applyFill="1" applyBorder="1"/>
    <xf numFmtId="41" fontId="15" fillId="8" borderId="19" xfId="2" applyNumberFormat="1" applyFont="1" applyFill="1" applyBorder="1"/>
    <xf numFmtId="0" fontId="9" fillId="16" borderId="0" xfId="3" applyNumberFormat="1" applyFill="1" applyAlignment="1">
      <alignment vertical="center"/>
    </xf>
    <xf numFmtId="0" fontId="15" fillId="16" borderId="19" xfId="3" applyNumberFormat="1" applyFont="1" applyFill="1" applyBorder="1" applyAlignment="1">
      <alignment horizontal="center" vertical="center"/>
    </xf>
    <xf numFmtId="167" fontId="15" fillId="16" borderId="19" xfId="3" applyNumberFormat="1" applyFont="1" applyFill="1" applyBorder="1" applyAlignment="1">
      <alignment vertical="center"/>
    </xf>
    <xf numFmtId="168" fontId="15" fillId="16" borderId="19" xfId="3" applyNumberFormat="1" applyFont="1" applyFill="1" applyBorder="1" applyAlignment="1">
      <alignment vertical="center"/>
    </xf>
    <xf numFmtId="41" fontId="15" fillId="16" borderId="20" xfId="2" applyNumberFormat="1" applyFont="1" applyFill="1" applyBorder="1"/>
    <xf numFmtId="41" fontId="15" fillId="16" borderId="19" xfId="2" applyNumberFormat="1" applyFont="1" applyFill="1" applyBorder="1"/>
    <xf numFmtId="41" fontId="15" fillId="16" borderId="19" xfId="3" applyNumberFormat="1" applyFont="1" applyFill="1" applyBorder="1" applyAlignment="1">
      <alignment vertical="center"/>
    </xf>
    <xf numFmtId="43" fontId="15" fillId="16" borderId="19" xfId="3" applyFont="1" applyFill="1" applyBorder="1" applyAlignment="1">
      <alignment vertical="center"/>
    </xf>
    <xf numFmtId="4" fontId="15" fillId="16" borderId="19" xfId="3" applyNumberFormat="1" applyFont="1" applyFill="1" applyBorder="1" applyAlignment="1">
      <alignment vertical="center"/>
    </xf>
    <xf numFmtId="43" fontId="15" fillId="16" borderId="20" xfId="3" applyFont="1" applyFill="1" applyBorder="1" applyAlignment="1">
      <alignment vertical="center"/>
    </xf>
    <xf numFmtId="41" fontId="15" fillId="16" borderId="19" xfId="3" applyNumberFormat="1" applyFont="1" applyFill="1" applyBorder="1" applyAlignment="1">
      <alignment horizontal="right" vertical="center"/>
    </xf>
    <xf numFmtId="41" fontId="15" fillId="16" borderId="21" xfId="3" applyNumberFormat="1" applyFont="1" applyFill="1" applyBorder="1" applyAlignment="1">
      <alignment vertical="center"/>
    </xf>
    <xf numFmtId="39" fontId="15" fillId="16" borderId="19" xfId="3" applyNumberFormat="1" applyFont="1" applyFill="1" applyBorder="1" applyAlignment="1">
      <alignment vertical="center"/>
    </xf>
    <xf numFmtId="0" fontId="19" fillId="16" borderId="0" xfId="2" applyFont="1" applyFill="1"/>
    <xf numFmtId="0" fontId="9" fillId="16" borderId="0" xfId="2" applyFill="1"/>
    <xf numFmtId="167" fontId="9" fillId="16" borderId="0" xfId="3" applyNumberFormat="1" applyFill="1" applyAlignment="1">
      <alignment vertical="center"/>
    </xf>
    <xf numFmtId="0" fontId="9" fillId="17" borderId="0" xfId="3" applyNumberFormat="1" applyFill="1" applyAlignment="1">
      <alignment vertical="center"/>
    </xf>
    <xf numFmtId="0" fontId="15" fillId="17" borderId="19" xfId="3" applyNumberFormat="1" applyFont="1" applyFill="1" applyBorder="1" applyAlignment="1">
      <alignment horizontal="center" vertical="center"/>
    </xf>
    <xf numFmtId="167" fontId="15" fillId="17" borderId="19" xfId="3" applyNumberFormat="1" applyFont="1" applyFill="1" applyBorder="1" applyAlignment="1">
      <alignment vertical="center"/>
    </xf>
    <xf numFmtId="168" fontId="15" fillId="17" borderId="19" xfId="3" applyNumberFormat="1" applyFont="1" applyFill="1" applyBorder="1" applyAlignment="1">
      <alignment vertical="center"/>
    </xf>
    <xf numFmtId="41" fontId="15" fillId="17" borderId="20" xfId="2" applyNumberFormat="1" applyFont="1" applyFill="1" applyBorder="1"/>
    <xf numFmtId="41" fontId="15" fillId="17" borderId="19" xfId="2" applyNumberFormat="1" applyFont="1" applyFill="1" applyBorder="1"/>
    <xf numFmtId="43" fontId="15" fillId="17" borderId="19" xfId="3" applyFont="1" applyFill="1" applyBorder="1" applyAlignment="1">
      <alignment vertical="center"/>
    </xf>
    <xf numFmtId="4" fontId="15" fillId="17" borderId="19" xfId="3" applyNumberFormat="1" applyFont="1" applyFill="1" applyBorder="1" applyAlignment="1">
      <alignment vertical="center"/>
    </xf>
    <xf numFmtId="43" fontId="15" fillId="17" borderId="20" xfId="3" applyFont="1" applyFill="1" applyBorder="1" applyAlignment="1">
      <alignment vertical="center"/>
    </xf>
    <xf numFmtId="41" fontId="15" fillId="17" borderId="19" xfId="3" applyNumberFormat="1" applyFont="1" applyFill="1" applyBorder="1" applyAlignment="1">
      <alignment horizontal="right" vertical="center"/>
    </xf>
    <xf numFmtId="41" fontId="15" fillId="17" borderId="19" xfId="3" applyNumberFormat="1" applyFont="1" applyFill="1" applyBorder="1" applyAlignment="1">
      <alignment vertical="center"/>
    </xf>
    <xf numFmtId="41" fontId="15" fillId="17" borderId="21" xfId="3" applyNumberFormat="1" applyFont="1" applyFill="1" applyBorder="1" applyAlignment="1">
      <alignment vertical="center"/>
    </xf>
    <xf numFmtId="39" fontId="15" fillId="17" borderId="19" xfId="3" applyNumberFormat="1" applyFont="1" applyFill="1" applyBorder="1" applyAlignment="1">
      <alignment vertical="center"/>
    </xf>
    <xf numFmtId="0" fontId="19" fillId="17" borderId="0" xfId="2" applyFont="1" applyFill="1"/>
    <xf numFmtId="0" fontId="9" fillId="17" borderId="0" xfId="2" applyFill="1"/>
    <xf numFmtId="167" fontId="9" fillId="17" borderId="0" xfId="3" applyNumberFormat="1" applyFill="1" applyAlignment="1">
      <alignment vertical="center"/>
    </xf>
    <xf numFmtId="0" fontId="9" fillId="0" borderId="0" xfId="126" applyAlignment="1">
      <alignment vertical="center"/>
    </xf>
    <xf numFmtId="0" fontId="9" fillId="0" borderId="0" xfId="126" applyAlignment="1">
      <alignment horizontal="center" vertical="center"/>
    </xf>
    <xf numFmtId="0" fontId="9" fillId="0" borderId="19" xfId="126" applyBorder="1" applyAlignment="1">
      <alignment vertical="center"/>
    </xf>
    <xf numFmtId="41" fontId="9" fillId="0" borderId="292" xfId="130" applyNumberFormat="1" applyBorder="1" applyAlignment="1">
      <alignment horizontal="center" vertical="center"/>
    </xf>
    <xf numFmtId="41" fontId="9" fillId="0" borderId="293" xfId="130" applyNumberFormat="1" applyBorder="1" applyAlignment="1">
      <alignment horizontal="center" vertical="center"/>
    </xf>
    <xf numFmtId="41" fontId="9" fillId="0" borderId="40" xfId="130" applyNumberFormat="1" applyBorder="1" applyAlignment="1">
      <alignment horizontal="center" vertical="center"/>
    </xf>
    <xf numFmtId="41" fontId="9" fillId="0" borderId="39" xfId="130" applyNumberFormat="1" applyBorder="1" applyAlignment="1">
      <alignment horizontal="center" vertical="center"/>
    </xf>
    <xf numFmtId="41" fontId="9" fillId="0" borderId="294" xfId="130" applyNumberFormat="1" applyBorder="1" applyAlignment="1">
      <alignment horizontal="center" vertical="center"/>
    </xf>
    <xf numFmtId="0" fontId="9" fillId="0" borderId="20" xfId="130" applyBorder="1" applyAlignment="1">
      <alignment horizontal="center" vertical="center"/>
    </xf>
    <xf numFmtId="0" fontId="9" fillId="0" borderId="290" xfId="126" applyBorder="1" applyAlignment="1">
      <alignment vertical="center"/>
    </xf>
    <xf numFmtId="0" fontId="19" fillId="4" borderId="295" xfId="126" applyFont="1" applyFill="1" applyBorder="1" applyAlignment="1">
      <alignment horizontal="center" vertical="center"/>
    </xf>
    <xf numFmtId="0" fontId="19" fillId="4" borderId="43" xfId="126" applyFont="1" applyFill="1" applyBorder="1" applyAlignment="1">
      <alignment horizontal="center" vertical="center"/>
    </xf>
    <xf numFmtId="3" fontId="19" fillId="4" borderId="296" xfId="126" applyNumberFormat="1" applyFont="1" applyFill="1" applyBorder="1" applyAlignment="1">
      <alignment horizontal="center" vertical="center"/>
    </xf>
    <xf numFmtId="3" fontId="19" fillId="4" borderId="42" xfId="126" applyNumberFormat="1" applyFont="1" applyFill="1" applyBorder="1" applyAlignment="1">
      <alignment horizontal="center" vertical="center"/>
    </xf>
    <xf numFmtId="0" fontId="19" fillId="4" borderId="41" xfId="126" applyFont="1" applyFill="1" applyBorder="1" applyAlignment="1">
      <alignment horizontal="center" vertical="center"/>
    </xf>
    <xf numFmtId="0" fontId="19" fillId="4" borderId="296" xfId="126" applyFont="1" applyFill="1" applyBorder="1" applyAlignment="1">
      <alignment horizontal="center" vertical="center"/>
    </xf>
    <xf numFmtId="1" fontId="19" fillId="4" borderId="44" xfId="126" applyNumberFormat="1" applyFont="1" applyFill="1" applyBorder="1" applyAlignment="1">
      <alignment horizontal="center" vertical="center"/>
    </xf>
    <xf numFmtId="1" fontId="19" fillId="4" borderId="41" xfId="126" applyNumberFormat="1" applyFont="1" applyFill="1" applyBorder="1" applyAlignment="1">
      <alignment horizontal="center" vertical="center"/>
    </xf>
    <xf numFmtId="0" fontId="19" fillId="4" borderId="297" xfId="126" applyFont="1" applyFill="1" applyBorder="1" applyAlignment="1">
      <alignment horizontal="center" vertical="center"/>
    </xf>
    <xf numFmtId="0" fontId="19" fillId="4" borderId="159" xfId="126" applyFont="1" applyFill="1" applyBorder="1" applyAlignment="1">
      <alignment horizontal="center" vertical="center"/>
    </xf>
    <xf numFmtId="0" fontId="9" fillId="0" borderId="159" xfId="126" applyBorder="1" applyAlignment="1">
      <alignment horizontal="center" vertical="center"/>
    </xf>
    <xf numFmtId="0" fontId="9" fillId="19" borderId="240" xfId="126" applyFill="1" applyBorder="1" applyAlignment="1">
      <alignment horizontal="center" vertical="center"/>
    </xf>
    <xf numFmtId="0" fontId="88" fillId="19" borderId="240" xfId="126" applyFont="1" applyFill="1" applyBorder="1" applyAlignment="1">
      <alignment horizontal="center" vertical="center"/>
    </xf>
    <xf numFmtId="0" fontId="9" fillId="20" borderId="240" xfId="126" applyFill="1" applyBorder="1" applyAlignment="1">
      <alignment horizontal="center" vertical="center"/>
    </xf>
    <xf numFmtId="0" fontId="9" fillId="21" borderId="240" xfId="126" applyFill="1" applyBorder="1" applyAlignment="1">
      <alignment horizontal="center" vertical="center"/>
    </xf>
    <xf numFmtId="0" fontId="9" fillId="22" borderId="240" xfId="126" applyFill="1" applyBorder="1" applyAlignment="1">
      <alignment horizontal="center" vertical="center"/>
    </xf>
    <xf numFmtId="0" fontId="20" fillId="0" borderId="0" xfId="126" applyFont="1" applyAlignment="1">
      <alignment vertical="center"/>
    </xf>
    <xf numFmtId="0" fontId="89" fillId="0" borderId="0" xfId="126" applyFont="1" applyAlignment="1">
      <alignment vertical="center"/>
    </xf>
    <xf numFmtId="0" fontId="20" fillId="0" borderId="0" xfId="126" applyFont="1" applyAlignment="1">
      <alignment horizontal="center" vertical="center"/>
    </xf>
    <xf numFmtId="9" fontId="90" fillId="0" borderId="0" xfId="126" applyNumberFormat="1" applyFont="1" applyAlignment="1">
      <alignment vertical="center"/>
    </xf>
    <xf numFmtId="9" fontId="89" fillId="0" borderId="0" xfId="126" applyNumberFormat="1" applyFont="1" applyAlignment="1">
      <alignment vertical="center"/>
    </xf>
    <xf numFmtId="0" fontId="21" fillId="0" borderId="0" xfId="126" applyFont="1" applyAlignment="1">
      <alignment vertical="center"/>
    </xf>
    <xf numFmtId="0" fontId="89" fillId="0" borderId="0" xfId="126" applyFont="1" applyAlignment="1">
      <alignment horizontal="left" vertical="center"/>
    </xf>
    <xf numFmtId="0" fontId="91" fillId="0" borderId="0" xfId="126" applyFont="1" applyAlignment="1">
      <alignment vertical="center"/>
    </xf>
    <xf numFmtId="0" fontId="31" fillId="0" borderId="0" xfId="126" applyFont="1" applyAlignment="1">
      <alignment vertical="center"/>
    </xf>
    <xf numFmtId="14" fontId="31" fillId="0" borderId="0" xfId="126" applyNumberFormat="1" applyFont="1" applyAlignment="1">
      <alignment vertical="center"/>
    </xf>
    <xf numFmtId="0" fontId="21" fillId="0" borderId="0" xfId="126" applyFont="1" applyAlignment="1">
      <alignment horizontal="left" vertical="center"/>
    </xf>
    <xf numFmtId="0" fontId="20" fillId="4" borderId="0" xfId="126" applyFont="1" applyFill="1" applyAlignment="1">
      <alignment vertical="center"/>
    </xf>
    <xf numFmtId="0" fontId="20" fillId="0" borderId="0" xfId="126" applyFont="1" applyAlignment="1">
      <alignment horizontal="right" vertical="center"/>
    </xf>
    <xf numFmtId="0" fontId="90" fillId="0" borderId="0" xfId="126" applyFont="1" applyAlignment="1">
      <alignment horizontal="center" vertical="center"/>
    </xf>
    <xf numFmtId="0" fontId="89" fillId="0" borderId="0" xfId="126" applyFont="1" applyAlignment="1">
      <alignment horizontal="center" vertical="center"/>
    </xf>
    <xf numFmtId="0" fontId="91" fillId="0" borderId="0" xfId="126" applyFont="1" applyAlignment="1">
      <alignment horizontal="center" vertical="center"/>
    </xf>
    <xf numFmtId="0" fontId="20" fillId="0" borderId="0" xfId="126" applyFont="1" applyAlignment="1">
      <alignment horizontal="left" vertical="center"/>
    </xf>
    <xf numFmtId="0" fontId="45" fillId="0" borderId="0" xfId="126" applyFont="1" applyAlignment="1">
      <alignment horizontal="center" vertical="center"/>
    </xf>
    <xf numFmtId="43" fontId="20" fillId="0" borderId="0" xfId="126" applyNumberFormat="1" applyFont="1" applyAlignment="1">
      <alignment vertical="center"/>
    </xf>
    <xf numFmtId="0" fontId="91" fillId="0" borderId="0" xfId="126" applyFont="1" applyAlignment="1">
      <alignment horizontal="right" vertical="center"/>
    </xf>
    <xf numFmtId="43" fontId="91" fillId="0" borderId="0" xfId="52" applyFont="1" applyAlignment="1">
      <alignment horizontal="right" vertical="center"/>
    </xf>
    <xf numFmtId="166" fontId="89" fillId="0" borderId="0" xfId="126" applyNumberFormat="1" applyFont="1" applyAlignment="1">
      <alignment vertical="center"/>
    </xf>
    <xf numFmtId="170" fontId="91" fillId="0" borderId="0" xfId="126" applyNumberFormat="1" applyFont="1" applyAlignment="1">
      <alignment horizontal="center" vertical="center"/>
    </xf>
    <xf numFmtId="170" fontId="91" fillId="0" borderId="138" xfId="126" applyNumberFormat="1" applyFont="1" applyBorder="1" applyAlignment="1">
      <alignment horizontal="center" vertical="center"/>
    </xf>
    <xf numFmtId="170" fontId="91" fillId="0" borderId="137" xfId="126" applyNumberFormat="1" applyFont="1" applyBorder="1" applyAlignment="1">
      <alignment horizontal="center" vertical="center"/>
    </xf>
    <xf numFmtId="170" fontId="91" fillId="0" borderId="136" xfId="126" applyNumberFormat="1" applyFont="1" applyBorder="1" applyAlignment="1">
      <alignment horizontal="center" vertical="center"/>
    </xf>
    <xf numFmtId="170" fontId="91" fillId="0" borderId="135" xfId="126" applyNumberFormat="1" applyFont="1" applyBorder="1" applyAlignment="1">
      <alignment horizontal="center" vertical="center"/>
    </xf>
    <xf numFmtId="170" fontId="91" fillId="0" borderId="299" xfId="126" applyNumberFormat="1" applyFont="1" applyBorder="1" applyAlignment="1">
      <alignment horizontal="center" vertical="center"/>
    </xf>
    <xf numFmtId="0" fontId="91" fillId="0" borderId="300" xfId="126" applyFont="1" applyBorder="1" applyAlignment="1">
      <alignment vertical="center"/>
    </xf>
    <xf numFmtId="0" fontId="91" fillId="0" borderId="63" xfId="126" applyFont="1" applyBorder="1" applyAlignment="1">
      <alignment vertical="center"/>
    </xf>
    <xf numFmtId="0" fontId="91" fillId="0" borderId="281" xfId="126" applyFont="1" applyBorder="1" applyAlignment="1">
      <alignment vertical="center"/>
    </xf>
    <xf numFmtId="0" fontId="20" fillId="0" borderId="298" xfId="126" applyFont="1" applyBorder="1" applyAlignment="1">
      <alignment vertical="center"/>
    </xf>
    <xf numFmtId="0" fontId="20" fillId="0" borderId="38" xfId="126" applyFont="1" applyBorder="1" applyAlignment="1">
      <alignment vertical="center"/>
    </xf>
    <xf numFmtId="0" fontId="20" fillId="0" borderId="73" xfId="126" applyFont="1" applyBorder="1" applyAlignment="1">
      <alignment vertical="center"/>
    </xf>
    <xf numFmtId="0" fontId="20" fillId="0" borderId="282" xfId="126" applyFont="1" applyBorder="1" applyAlignment="1">
      <alignment vertical="center"/>
    </xf>
    <xf numFmtId="0" fontId="20" fillId="0" borderId="37" xfId="126" applyFont="1" applyBorder="1" applyAlignment="1">
      <alignment vertical="center"/>
    </xf>
    <xf numFmtId="170" fontId="91" fillId="0" borderId="0" xfId="28" applyNumberFormat="1" applyFont="1" applyBorder="1" applyAlignment="1">
      <alignment vertical="center"/>
    </xf>
    <xf numFmtId="170" fontId="91" fillId="0" borderId="301" xfId="28" applyNumberFormat="1" applyFont="1" applyBorder="1" applyAlignment="1">
      <alignment vertical="center"/>
    </xf>
    <xf numFmtId="170" fontId="91" fillId="0" borderId="302" xfId="28" applyNumberFormat="1" applyFont="1" applyBorder="1" applyAlignment="1">
      <alignment vertical="center"/>
    </xf>
    <xf numFmtId="170" fontId="91" fillId="0" borderId="303" xfId="28" applyNumberFormat="1" applyFont="1" applyBorder="1" applyAlignment="1">
      <alignment vertical="center"/>
    </xf>
    <xf numFmtId="170" fontId="91" fillId="0" borderId="304" xfId="28" applyNumberFormat="1" applyFont="1" applyBorder="1" applyAlignment="1">
      <alignment vertical="center"/>
    </xf>
    <xf numFmtId="170" fontId="91" fillId="0" borderId="305" xfId="28" applyNumberFormat="1" applyFont="1" applyBorder="1" applyAlignment="1">
      <alignment vertical="center"/>
    </xf>
    <xf numFmtId="170" fontId="91" fillId="0" borderId="306" xfId="28" applyNumberFormat="1" applyFont="1" applyBorder="1" applyAlignment="1">
      <alignment vertical="center"/>
    </xf>
    <xf numFmtId="0" fontId="91" fillId="0" borderId="303" xfId="126" applyFont="1" applyBorder="1" applyAlignment="1">
      <alignment vertical="center"/>
    </xf>
    <xf numFmtId="0" fontId="91" fillId="0" borderId="307" xfId="126" applyFont="1" applyBorder="1" applyAlignment="1">
      <alignment vertical="center"/>
    </xf>
    <xf numFmtId="0" fontId="91" fillId="0" borderId="308" xfId="126" applyFont="1" applyBorder="1" applyAlignment="1">
      <alignment vertical="center"/>
    </xf>
    <xf numFmtId="170" fontId="20" fillId="0" borderId="290" xfId="28" applyNumberFormat="1" applyFont="1" applyBorder="1" applyAlignment="1">
      <alignment vertical="center"/>
    </xf>
    <xf numFmtId="170" fontId="20" fillId="0" borderId="57" xfId="28" applyNumberFormat="1" applyFont="1" applyBorder="1" applyAlignment="1">
      <alignment vertical="center"/>
    </xf>
    <xf numFmtId="170" fontId="20" fillId="0" borderId="234" xfId="28" applyNumberFormat="1" applyFont="1" applyBorder="1" applyAlignment="1">
      <alignment vertical="center"/>
    </xf>
    <xf numFmtId="170" fontId="20" fillId="0" borderId="291" xfId="28" applyNumberFormat="1" applyFont="1" applyBorder="1" applyAlignment="1">
      <alignment vertical="center"/>
    </xf>
    <xf numFmtId="170" fontId="20" fillId="0" borderId="5" xfId="28" applyNumberFormat="1" applyFont="1" applyBorder="1" applyAlignment="1">
      <alignment vertical="center"/>
    </xf>
    <xf numFmtId="0" fontId="20" fillId="0" borderId="57" xfId="126" applyFont="1" applyBorder="1" applyAlignment="1">
      <alignment vertical="center"/>
    </xf>
    <xf numFmtId="0" fontId="20" fillId="0" borderId="5" xfId="126" applyFont="1" applyBorder="1" applyAlignment="1">
      <alignment vertical="center"/>
    </xf>
    <xf numFmtId="166" fontId="20" fillId="0" borderId="239" xfId="126" applyNumberFormat="1" applyFont="1" applyBorder="1" applyAlignment="1">
      <alignment vertical="center"/>
    </xf>
    <xf numFmtId="166" fontId="20" fillId="0" borderId="241" xfId="126" applyNumberFormat="1" applyFont="1" applyBorder="1" applyAlignment="1">
      <alignment vertical="center"/>
    </xf>
    <xf numFmtId="170" fontId="20" fillId="0" borderId="0" xfId="126" applyNumberFormat="1" applyFont="1" applyAlignment="1">
      <alignment vertical="center"/>
    </xf>
    <xf numFmtId="170" fontId="20" fillId="0" borderId="239" xfId="28" applyNumberFormat="1" applyFont="1" applyBorder="1" applyAlignment="1">
      <alignment vertical="center"/>
    </xf>
    <xf numFmtId="170" fontId="20" fillId="0" borderId="240" xfId="28" applyNumberFormat="1" applyFont="1" applyBorder="1" applyAlignment="1">
      <alignment vertical="center"/>
    </xf>
    <xf numFmtId="170" fontId="20" fillId="0" borderId="242" xfId="28" applyNumberFormat="1" applyFont="1" applyBorder="1" applyAlignment="1">
      <alignment vertical="center"/>
    </xf>
    <xf numFmtId="0" fontId="20" fillId="0" borderId="243" xfId="126" applyFont="1" applyBorder="1" applyAlignment="1">
      <alignment vertical="center"/>
    </xf>
    <xf numFmtId="0" fontId="20" fillId="0" borderId="242" xfId="126" applyFont="1" applyBorder="1" applyAlignment="1">
      <alignment vertical="center"/>
    </xf>
    <xf numFmtId="0" fontId="20" fillId="0" borderId="15" xfId="126" applyFont="1" applyBorder="1" applyAlignment="1">
      <alignment vertical="center"/>
    </xf>
    <xf numFmtId="0" fontId="20" fillId="0" borderId="55" xfId="126" applyFont="1" applyBorder="1" applyAlignment="1">
      <alignment vertical="center"/>
    </xf>
    <xf numFmtId="0" fontId="20" fillId="0" borderId="56" xfId="126" applyFont="1" applyBorder="1" applyAlignment="1">
      <alignment vertical="center"/>
    </xf>
    <xf numFmtId="0" fontId="20" fillId="0" borderId="54" xfId="126" applyFont="1" applyBorder="1" applyAlignment="1">
      <alignment vertical="center"/>
    </xf>
    <xf numFmtId="0" fontId="20" fillId="0" borderId="13" xfId="126" applyFont="1" applyBorder="1" applyAlignment="1">
      <alignment vertical="center"/>
    </xf>
    <xf numFmtId="0" fontId="91" fillId="0" borderId="239" xfId="126" applyFont="1" applyBorder="1" applyAlignment="1">
      <alignment horizontal="center" vertical="center"/>
    </xf>
    <xf numFmtId="0" fontId="91" fillId="0" borderId="241" xfId="126" applyFont="1" applyBorder="1" applyAlignment="1">
      <alignment horizontal="center" vertical="center"/>
    </xf>
    <xf numFmtId="0" fontId="91" fillId="0" borderId="226" xfId="126" applyFont="1" applyBorder="1" applyAlignment="1">
      <alignment horizontal="center" vertical="center"/>
    </xf>
    <xf numFmtId="0" fontId="91" fillId="0" borderId="230" xfId="126" applyFont="1" applyBorder="1" applyAlignment="1">
      <alignment horizontal="center" vertical="center"/>
    </xf>
    <xf numFmtId="0" fontId="91" fillId="0" borderId="227" xfId="126" applyFont="1" applyBorder="1" applyAlignment="1">
      <alignment horizontal="center" vertical="center"/>
    </xf>
    <xf numFmtId="0" fontId="91" fillId="0" borderId="225" xfId="126" applyFont="1" applyBorder="1" applyAlignment="1">
      <alignment horizontal="center" vertical="center"/>
    </xf>
    <xf numFmtId="0" fontId="91" fillId="0" borderId="150" xfId="126" applyFont="1" applyBorder="1" applyAlignment="1">
      <alignment vertical="center"/>
    </xf>
    <xf numFmtId="0" fontId="91" fillId="0" borderId="205" xfId="126" applyFont="1" applyBorder="1" applyAlignment="1">
      <alignment vertical="center"/>
    </xf>
    <xf numFmtId="0" fontId="91" fillId="0" borderId="57" xfId="126" applyFont="1" applyBorder="1" applyAlignment="1">
      <alignment vertical="center"/>
    </xf>
    <xf numFmtId="0" fontId="91" fillId="0" borderId="5" xfId="126" applyFont="1" applyBorder="1" applyAlignment="1">
      <alignment vertical="center"/>
    </xf>
    <xf numFmtId="10" fontId="89" fillId="0" borderId="0" xfId="166" applyNumberFormat="1" applyFont="1" applyAlignment="1">
      <alignment vertical="center"/>
    </xf>
    <xf numFmtId="4" fontId="89" fillId="0" borderId="0" xfId="126" applyNumberFormat="1" applyFont="1" applyAlignment="1">
      <alignment vertical="center"/>
    </xf>
    <xf numFmtId="4" fontId="90" fillId="0" borderId="309" xfId="126" applyNumberFormat="1" applyFont="1" applyBorder="1" applyAlignment="1">
      <alignment vertical="center"/>
    </xf>
    <xf numFmtId="4" fontId="90" fillId="0" borderId="309" xfId="126" applyNumberFormat="1" applyFont="1" applyBorder="1" applyAlignment="1">
      <alignment horizontal="center" vertical="center"/>
    </xf>
    <xf numFmtId="41" fontId="20" fillId="0" borderId="0" xfId="126" applyNumberFormat="1" applyFont="1" applyAlignment="1">
      <alignment vertical="center"/>
    </xf>
    <xf numFmtId="164" fontId="20" fillId="0" borderId="0" xfId="1" applyFont="1" applyAlignment="1">
      <alignment horizontal="center" vertical="center"/>
    </xf>
    <xf numFmtId="43" fontId="89" fillId="0" borderId="0" xfId="52" applyFont="1" applyAlignment="1">
      <alignment vertical="center"/>
    </xf>
    <xf numFmtId="170" fontId="20" fillId="0" borderId="0" xfId="28" applyNumberFormat="1" applyFont="1" applyAlignment="1">
      <alignment vertical="center"/>
    </xf>
    <xf numFmtId="4" fontId="90" fillId="0" borderId="134" xfId="126" applyNumberFormat="1" applyFont="1" applyBorder="1" applyAlignment="1">
      <alignment vertical="center"/>
    </xf>
    <xf numFmtId="4" fontId="90" fillId="0" borderId="134" xfId="126" applyNumberFormat="1" applyFont="1" applyBorder="1" applyAlignment="1">
      <alignment horizontal="right" vertical="center"/>
    </xf>
    <xf numFmtId="0" fontId="89" fillId="0" borderId="134" xfId="126" applyFont="1" applyBorder="1" applyAlignment="1">
      <alignment horizontal="center" vertical="center"/>
    </xf>
    <xf numFmtId="0" fontId="20" fillId="0" borderId="6" xfId="126" applyFont="1" applyBorder="1" applyAlignment="1">
      <alignment vertical="center"/>
    </xf>
    <xf numFmtId="41" fontId="20" fillId="0" borderId="6" xfId="126" applyNumberFormat="1" applyFont="1" applyBorder="1" applyAlignment="1">
      <alignment vertical="center"/>
    </xf>
    <xf numFmtId="0" fontId="20" fillId="0" borderId="6" xfId="126" applyFont="1" applyBorder="1" applyAlignment="1">
      <alignment horizontal="center" vertical="center"/>
    </xf>
    <xf numFmtId="4" fontId="20" fillId="0" borderId="41" xfId="126" applyNumberFormat="1" applyFont="1" applyBorder="1" applyAlignment="1">
      <alignment vertical="center"/>
    </xf>
    <xf numFmtId="4" fontId="20" fillId="0" borderId="19" xfId="126" applyNumberFormat="1" applyFont="1" applyBorder="1" applyAlignment="1">
      <alignment horizontal="right" vertical="center"/>
    </xf>
    <xf numFmtId="4" fontId="20" fillId="0" borderId="42" xfId="126" applyNumberFormat="1" applyFont="1" applyBorder="1" applyAlignment="1">
      <alignment vertical="center"/>
    </xf>
    <xf numFmtId="4" fontId="20" fillId="0" borderId="310" xfId="126" applyNumberFormat="1" applyFont="1" applyBorder="1" applyAlignment="1">
      <alignment horizontal="right" vertical="center"/>
    </xf>
    <xf numFmtId="41" fontId="20" fillId="0" borderId="20" xfId="126" applyNumberFormat="1" applyFont="1" applyBorder="1" applyAlignment="1">
      <alignment vertical="center"/>
    </xf>
    <xf numFmtId="41" fontId="20" fillId="0" borderId="172" xfId="126" applyNumberFormat="1" applyFont="1" applyBorder="1" applyAlignment="1">
      <alignment vertical="center"/>
    </xf>
    <xf numFmtId="41" fontId="20" fillId="0" borderId="311" xfId="126" applyNumberFormat="1" applyFont="1" applyBorder="1" applyAlignment="1">
      <alignment horizontal="center" vertical="center"/>
    </xf>
    <xf numFmtId="41" fontId="20" fillId="0" borderId="312" xfId="126" applyNumberFormat="1" applyFont="1" applyBorder="1" applyAlignment="1">
      <alignment horizontal="center" vertical="center"/>
    </xf>
    <xf numFmtId="41" fontId="20" fillId="0" borderId="313" xfId="126" applyNumberFormat="1" applyFont="1" applyBorder="1" applyAlignment="1">
      <alignment horizontal="center" vertical="center"/>
    </xf>
    <xf numFmtId="41" fontId="20" fillId="0" borderId="20" xfId="126" applyNumberFormat="1" applyFont="1" applyBorder="1" applyAlignment="1">
      <alignment horizontal="center" vertical="center"/>
    </xf>
    <xf numFmtId="41" fontId="20" fillId="0" borderId="292" xfId="126" applyNumberFormat="1" applyFont="1" applyBorder="1" applyAlignment="1">
      <alignment horizontal="center" vertical="center"/>
    </xf>
    <xf numFmtId="41" fontId="20" fillId="0" borderId="294" xfId="126" applyNumberFormat="1" applyFont="1" applyBorder="1" applyAlignment="1">
      <alignment horizontal="center" vertical="center"/>
    </xf>
    <xf numFmtId="3" fontId="20" fillId="0" borderId="311" xfId="126" applyNumberFormat="1" applyFont="1" applyBorder="1" applyAlignment="1">
      <alignment horizontal="right" vertical="center"/>
    </xf>
    <xf numFmtId="3" fontId="20" fillId="0" borderId="22" xfId="126" applyNumberFormat="1" applyFont="1" applyBorder="1" applyAlignment="1">
      <alignment horizontal="right" vertical="center"/>
    </xf>
    <xf numFmtId="41" fontId="20" fillId="0" borderId="22" xfId="126" applyNumberFormat="1" applyFont="1" applyBorder="1" applyAlignment="1">
      <alignment horizontal="center" vertical="center"/>
    </xf>
    <xf numFmtId="41" fontId="20" fillId="0" borderId="23" xfId="126" applyNumberFormat="1" applyFont="1" applyBorder="1" applyAlignment="1">
      <alignment horizontal="center" vertical="center"/>
    </xf>
    <xf numFmtId="41" fontId="20" fillId="0" borderId="314" xfId="126" applyNumberFormat="1" applyFont="1" applyBorder="1" applyAlignment="1">
      <alignment horizontal="center" vertical="center"/>
    </xf>
    <xf numFmtId="41" fontId="91" fillId="0" borderId="39" xfId="126" applyNumberFormat="1" applyFont="1" applyBorder="1" applyAlignment="1">
      <alignment horizontal="center" vertical="center"/>
    </xf>
    <xf numFmtId="41" fontId="20" fillId="0" borderId="171" xfId="126" applyNumberFormat="1" applyFont="1" applyBorder="1" applyAlignment="1">
      <alignment horizontal="center" vertical="center"/>
    </xf>
    <xf numFmtId="0" fontId="20" fillId="0" borderId="20" xfId="126" applyFont="1" applyBorder="1" applyAlignment="1">
      <alignment horizontal="center" vertical="center"/>
    </xf>
    <xf numFmtId="0" fontId="20" fillId="0" borderId="20" xfId="126" applyFont="1" applyBorder="1" applyAlignment="1">
      <alignment vertical="center"/>
    </xf>
    <xf numFmtId="4" fontId="20" fillId="0" borderId="0" xfId="126" applyNumberFormat="1" applyFont="1" applyAlignment="1">
      <alignment vertical="center"/>
    </xf>
    <xf numFmtId="170" fontId="20" fillId="0" borderId="0" xfId="28" applyNumberFormat="1" applyFont="1" applyFill="1" applyAlignment="1">
      <alignment vertical="center"/>
    </xf>
    <xf numFmtId="4" fontId="20" fillId="0" borderId="315" xfId="126" applyNumberFormat="1" applyFont="1" applyBorder="1" applyAlignment="1">
      <alignment horizontal="right" vertical="center"/>
    </xf>
    <xf numFmtId="41" fontId="20" fillId="0" borderId="39" xfId="126" applyNumberFormat="1" applyFont="1" applyBorder="1" applyAlignment="1">
      <alignment horizontal="center" vertical="center"/>
    </xf>
    <xf numFmtId="41" fontId="20" fillId="0" borderId="316" xfId="126" applyNumberFormat="1" applyFont="1" applyBorder="1" applyAlignment="1">
      <alignment horizontal="center" vertical="center"/>
    </xf>
    <xf numFmtId="3" fontId="20" fillId="0" borderId="317" xfId="126" applyNumberFormat="1" applyFont="1" applyBorder="1" applyAlignment="1">
      <alignment horizontal="right" vertical="center"/>
    </xf>
    <xf numFmtId="3" fontId="20" fillId="0" borderId="20" xfId="126" applyNumberFormat="1" applyFont="1" applyBorder="1" applyAlignment="1">
      <alignment horizontal="right" vertical="center"/>
    </xf>
    <xf numFmtId="41" fontId="20" fillId="0" borderId="19" xfId="126" applyNumberFormat="1" applyFont="1" applyBorder="1" applyAlignment="1">
      <alignment horizontal="center" vertical="center"/>
    </xf>
    <xf numFmtId="10" fontId="20" fillId="0" borderId="0" xfId="166" applyNumberFormat="1" applyFont="1" applyFill="1" applyAlignment="1">
      <alignment vertical="center"/>
    </xf>
    <xf numFmtId="170" fontId="20" fillId="0" borderId="0" xfId="1" applyNumberFormat="1" applyFont="1" applyFill="1" applyAlignment="1">
      <alignment vertical="center"/>
    </xf>
    <xf numFmtId="41" fontId="20" fillId="0" borderId="317" xfId="126" applyNumberFormat="1" applyFont="1" applyBorder="1" applyAlignment="1">
      <alignment horizontal="center" vertical="center"/>
    </xf>
    <xf numFmtId="0" fontId="92" fillId="0" borderId="0" xfId="126" applyFont="1" applyAlignment="1">
      <alignment vertical="center"/>
    </xf>
    <xf numFmtId="0" fontId="93" fillId="0" borderId="318" xfId="126" applyFont="1" applyBorder="1" applyAlignment="1">
      <alignment horizontal="center" vertical="center"/>
    </xf>
    <xf numFmtId="0" fontId="92" fillId="0" borderId="319" xfId="126" applyFont="1" applyBorder="1" applyAlignment="1">
      <alignment horizontal="center" vertical="center"/>
    </xf>
    <xf numFmtId="0" fontId="93" fillId="0" borderId="320" xfId="126" applyFont="1" applyBorder="1" applyAlignment="1">
      <alignment horizontal="center" vertical="center"/>
    </xf>
    <xf numFmtId="0" fontId="93" fillId="0" borderId="321" xfId="126" applyFont="1" applyBorder="1" applyAlignment="1">
      <alignment horizontal="center" vertical="center"/>
    </xf>
    <xf numFmtId="0" fontId="22" fillId="0" borderId="322" xfId="126" applyFont="1" applyBorder="1" applyAlignment="1">
      <alignment horizontal="center" vertical="center"/>
    </xf>
    <xf numFmtId="0" fontId="22" fillId="0" borderId="323" xfId="126" applyFont="1" applyBorder="1" applyAlignment="1">
      <alignment horizontal="center" vertical="center"/>
    </xf>
    <xf numFmtId="0" fontId="22" fillId="0" borderId="324" xfId="126" applyFont="1" applyBorder="1" applyAlignment="1">
      <alignment horizontal="center" vertical="center"/>
    </xf>
    <xf numFmtId="0" fontId="92" fillId="0" borderId="325" xfId="126" applyFont="1" applyBorder="1" applyAlignment="1">
      <alignment horizontal="center" vertical="center"/>
    </xf>
    <xf numFmtId="0" fontId="92" fillId="0" borderId="324" xfId="126" applyFont="1" applyBorder="1" applyAlignment="1">
      <alignment horizontal="center" vertical="center"/>
    </xf>
    <xf numFmtId="0" fontId="92" fillId="0" borderId="326" xfId="126" applyFont="1" applyBorder="1" applyAlignment="1">
      <alignment horizontal="center" vertical="center"/>
    </xf>
    <xf numFmtId="0" fontId="92" fillId="0" borderId="321" xfId="126" applyFont="1" applyBorder="1" applyAlignment="1">
      <alignment horizontal="center" vertical="center"/>
    </xf>
    <xf numFmtId="0" fontId="92" fillId="0" borderId="327" xfId="126" applyFont="1" applyBorder="1" applyAlignment="1">
      <alignment horizontal="center" vertical="center"/>
    </xf>
    <xf numFmtId="0" fontId="92" fillId="0" borderId="323" xfId="126" applyFont="1" applyBorder="1" applyAlignment="1">
      <alignment horizontal="center" vertical="center"/>
    </xf>
    <xf numFmtId="0" fontId="92" fillId="0" borderId="320" xfId="126" applyFont="1" applyBorder="1" applyAlignment="1">
      <alignment horizontal="center" vertical="center"/>
    </xf>
    <xf numFmtId="0" fontId="92" fillId="0" borderId="328" xfId="126" applyFont="1" applyBorder="1" applyAlignment="1">
      <alignment horizontal="center" vertical="center"/>
    </xf>
    <xf numFmtId="0" fontId="92" fillId="0" borderId="329" xfId="126" applyFont="1" applyBorder="1" applyAlignment="1">
      <alignment horizontal="center" vertical="center"/>
    </xf>
    <xf numFmtId="0" fontId="92" fillId="0" borderId="330" xfId="126" applyFont="1" applyBorder="1" applyAlignment="1">
      <alignment horizontal="center" vertical="center"/>
    </xf>
    <xf numFmtId="0" fontId="94" fillId="0" borderId="324" xfId="126" applyFont="1" applyBorder="1" applyAlignment="1">
      <alignment horizontal="center" vertical="center"/>
    </xf>
    <xf numFmtId="0" fontId="94" fillId="0" borderId="323" xfId="126" applyFont="1" applyBorder="1" applyAlignment="1">
      <alignment horizontal="center" vertical="center"/>
    </xf>
    <xf numFmtId="0" fontId="92" fillId="0" borderId="0" xfId="126" applyFont="1" applyAlignment="1">
      <alignment vertical="center" wrapText="1"/>
    </xf>
    <xf numFmtId="0" fontId="93" fillId="0" borderId="0" xfId="126" applyFont="1" applyAlignment="1">
      <alignment horizontal="center" vertical="center" wrapText="1"/>
    </xf>
    <xf numFmtId="0" fontId="93" fillId="0" borderId="244" xfId="126" applyFont="1" applyBorder="1" applyAlignment="1">
      <alignment horizontal="center" vertical="center" wrapText="1"/>
    </xf>
    <xf numFmtId="0" fontId="94" fillId="0" borderId="0" xfId="126" applyFont="1" applyAlignment="1">
      <alignment horizontal="center" vertical="center" wrapText="1"/>
    </xf>
    <xf numFmtId="0" fontId="22" fillId="0" borderId="36" xfId="126" applyFont="1" applyBorder="1" applyAlignment="1">
      <alignment horizontal="center" vertical="center" wrapText="1"/>
    </xf>
    <xf numFmtId="0" fontId="93" fillId="0" borderId="36" xfId="126" applyFont="1" applyBorder="1" applyAlignment="1">
      <alignment horizontal="center" vertical="center" wrapText="1"/>
    </xf>
    <xf numFmtId="0" fontId="93" fillId="0" borderId="331" xfId="126" applyFont="1" applyBorder="1" applyAlignment="1">
      <alignment horizontal="center" vertical="center" wrapText="1"/>
    </xf>
    <xf numFmtId="0" fontId="22" fillId="0" borderId="332" xfId="126" applyFont="1" applyBorder="1" applyAlignment="1">
      <alignment horizontal="center" vertical="center" wrapText="1"/>
    </xf>
    <xf numFmtId="0" fontId="22" fillId="0" borderId="333" xfId="126" applyFont="1" applyBorder="1" applyAlignment="1">
      <alignment horizontal="center" vertical="center" wrapText="1"/>
    </xf>
    <xf numFmtId="0" fontId="22" fillId="0" borderId="334" xfId="126" applyFont="1" applyBorder="1" applyAlignment="1">
      <alignment horizontal="center" vertical="center" wrapText="1"/>
    </xf>
    <xf numFmtId="0" fontId="95" fillId="0" borderId="36" xfId="126" applyFont="1" applyBorder="1" applyAlignment="1">
      <alignment horizontal="center" vertical="center" wrapText="1"/>
    </xf>
    <xf numFmtId="0" fontId="22" fillId="0" borderId="331" xfId="126" applyFont="1" applyBorder="1" applyAlignment="1">
      <alignment horizontal="center" vertical="center" wrapText="1"/>
    </xf>
    <xf numFmtId="0" fontId="22" fillId="0" borderId="0" xfId="126" applyFont="1" applyAlignment="1">
      <alignment vertical="center" wrapText="1"/>
    </xf>
    <xf numFmtId="0" fontId="93" fillId="0" borderId="242" xfId="126" applyFont="1" applyBorder="1" applyAlignment="1">
      <alignment horizontal="center" vertical="center" wrapText="1"/>
    </xf>
    <xf numFmtId="0" fontId="93" fillId="0" borderId="240" xfId="126" applyFont="1" applyBorder="1" applyAlignment="1">
      <alignment horizontal="center" vertical="center" wrapText="1"/>
    </xf>
    <xf numFmtId="0" fontId="93" fillId="0" borderId="338" xfId="126" applyFont="1" applyBorder="1" applyAlignment="1">
      <alignment horizontal="center" vertical="center" wrapText="1"/>
    </xf>
    <xf numFmtId="0" fontId="96" fillId="0" borderId="0" xfId="126" applyFont="1" applyAlignment="1">
      <alignment vertical="center"/>
    </xf>
    <xf numFmtId="0" fontId="97" fillId="0" borderId="0" xfId="126" applyFont="1" applyAlignment="1">
      <alignment horizontal="left" vertical="center"/>
    </xf>
    <xf numFmtId="0" fontId="10" fillId="0" borderId="0" xfId="126" applyFont="1" applyAlignment="1">
      <alignment vertical="center"/>
    </xf>
    <xf numFmtId="0" fontId="80" fillId="0" borderId="6" xfId="120" applyFont="1" applyBorder="1" applyAlignment="1">
      <alignment horizontal="left" vertical="center"/>
    </xf>
    <xf numFmtId="0" fontId="80" fillId="0" borderId="57" xfId="120" applyFont="1" applyBorder="1" applyAlignment="1">
      <alignment horizontal="left" vertical="center"/>
    </xf>
    <xf numFmtId="175" fontId="8" fillId="0" borderId="290" xfId="10" applyNumberFormat="1" applyFont="1" applyFill="1" applyBorder="1" applyAlignment="1">
      <alignment vertical="center"/>
    </xf>
    <xf numFmtId="175" fontId="8" fillId="0" borderId="5" xfId="10" applyNumberFormat="1" applyFont="1" applyFill="1" applyBorder="1" applyAlignment="1">
      <alignment vertical="center"/>
    </xf>
    <xf numFmtId="175" fontId="8" fillId="0" borderId="291" xfId="10" applyNumberFormat="1" applyFont="1" applyFill="1" applyBorder="1" applyAlignment="1">
      <alignment horizontal="right" vertical="center"/>
    </xf>
    <xf numFmtId="175" fontId="8" fillId="0" borderId="243" xfId="10" applyNumberFormat="1" applyFont="1" applyFill="1" applyBorder="1" applyAlignment="1">
      <alignment horizontal="center" vertical="center"/>
    </xf>
    <xf numFmtId="175" fontId="8" fillId="0" borderId="244" xfId="10" applyNumberFormat="1" applyFont="1" applyFill="1" applyBorder="1" applyAlignment="1">
      <alignment horizontal="center" vertical="center"/>
    </xf>
    <xf numFmtId="0" fontId="0" fillId="0" borderId="243" xfId="0" applyBorder="1" applyAlignment="1">
      <alignment horizontal="center" vertical="center"/>
    </xf>
    <xf numFmtId="0" fontId="0" fillId="0" borderId="23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60" xfId="0" applyBorder="1" applyAlignment="1">
      <alignment horizontal="center" vertical="center"/>
    </xf>
    <xf numFmtId="0" fontId="78" fillId="0" borderId="243" xfId="0" applyFont="1" applyBorder="1" applyAlignment="1">
      <alignment horizontal="center" vertical="center" wrapText="1"/>
    </xf>
    <xf numFmtId="0" fontId="78" fillId="0" borderId="226" xfId="0" applyFont="1" applyBorder="1" applyAlignment="1">
      <alignment horizontal="center" vertical="center" wrapText="1"/>
    </xf>
    <xf numFmtId="0" fontId="78" fillId="0" borderId="245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2" fontId="78" fillId="0" borderId="0" xfId="0" applyNumberFormat="1" applyFont="1" applyAlignment="1">
      <alignment vertical="center"/>
    </xf>
    <xf numFmtId="170" fontId="78" fillId="0" borderId="137" xfId="1" applyNumberFormat="1" applyFont="1" applyFill="1" applyBorder="1" applyAlignment="1">
      <alignment vertical="center"/>
    </xf>
    <xf numFmtId="170" fontId="78" fillId="0" borderId="134" xfId="1" applyNumberFormat="1" applyFont="1" applyFill="1" applyBorder="1" applyAlignment="1">
      <alignment vertical="center"/>
    </xf>
    <xf numFmtId="170" fontId="78" fillId="0" borderId="299" xfId="1" applyNumberFormat="1" applyFont="1" applyFill="1" applyBorder="1" applyAlignment="1">
      <alignment vertical="center"/>
    </xf>
    <xf numFmtId="170" fontId="78" fillId="0" borderId="300" xfId="1" applyNumberFormat="1" applyFont="1" applyFill="1" applyBorder="1" applyAlignment="1">
      <alignment vertical="center"/>
    </xf>
    <xf numFmtId="0" fontId="78" fillId="0" borderId="134" xfId="0" applyFont="1" applyBorder="1" applyAlignment="1">
      <alignment vertical="center"/>
    </xf>
    <xf numFmtId="170" fontId="0" fillId="0" borderId="204" xfId="1" applyNumberFormat="1" applyFont="1" applyFill="1" applyBorder="1" applyAlignment="1">
      <alignment vertical="center"/>
    </xf>
    <xf numFmtId="170" fontId="0" fillId="0" borderId="234" xfId="1" applyNumberFormat="1" applyFont="1" applyFill="1" applyBorder="1" applyAlignment="1">
      <alignment vertical="center"/>
    </xf>
    <xf numFmtId="170" fontId="0" fillId="0" borderId="5" xfId="1" applyNumberFormat="1" applyFont="1" applyFill="1" applyBorder="1" applyAlignment="1">
      <alignment vertical="center"/>
    </xf>
    <xf numFmtId="170" fontId="0" fillId="0" borderId="57" xfId="1" applyNumberFormat="1" applyFont="1" applyFill="1" applyBorder="1" applyAlignment="1">
      <alignment vertical="center"/>
    </xf>
    <xf numFmtId="0" fontId="0" fillId="0" borderId="233" xfId="0" applyBorder="1" applyAlignment="1">
      <alignment vertical="center"/>
    </xf>
    <xf numFmtId="170" fontId="0" fillId="0" borderId="0" xfId="1" applyNumberFormat="1" applyFont="1" applyFill="1" applyAlignment="1">
      <alignment vertical="center"/>
    </xf>
    <xf numFmtId="170" fontId="0" fillId="0" borderId="240" xfId="1" applyNumberFormat="1" applyFont="1" applyFill="1" applyBorder="1" applyAlignment="1">
      <alignment vertical="center"/>
    </xf>
    <xf numFmtId="170" fontId="0" fillId="0" borderId="0" xfId="0" applyNumberFormat="1" applyAlignment="1">
      <alignment vertical="center"/>
    </xf>
    <xf numFmtId="170" fontId="0" fillId="0" borderId="241" xfId="1" applyNumberFormat="1" applyFont="1" applyFill="1" applyBorder="1" applyAlignment="1">
      <alignment vertical="center"/>
    </xf>
    <xf numFmtId="170" fontId="0" fillId="0" borderId="242" xfId="1" applyNumberFormat="1" applyFont="1" applyFill="1" applyBorder="1" applyAlignment="1">
      <alignment vertical="center"/>
    </xf>
    <xf numFmtId="170" fontId="0" fillId="0" borderId="243" xfId="1" applyNumberFormat="1" applyFont="1" applyFill="1" applyBorder="1" applyAlignment="1">
      <alignment vertical="center"/>
    </xf>
    <xf numFmtId="0" fontId="0" fillId="0" borderId="239" xfId="0" applyBorder="1" applyAlignment="1">
      <alignment vertical="center"/>
    </xf>
    <xf numFmtId="170" fontId="0" fillId="0" borderId="15" xfId="1" applyNumberFormat="1" applyFont="1" applyFill="1" applyBorder="1" applyAlignment="1">
      <alignment vertical="center"/>
    </xf>
    <xf numFmtId="170" fontId="0" fillId="0" borderId="56" xfId="1" applyNumberFormat="1" applyFont="1" applyFill="1" applyBorder="1" applyAlignment="1">
      <alignment vertical="center"/>
    </xf>
    <xf numFmtId="170" fontId="0" fillId="0" borderId="13" xfId="1" applyNumberFormat="1" applyFont="1" applyFill="1" applyBorder="1" applyAlignment="1">
      <alignment vertical="center"/>
    </xf>
    <xf numFmtId="170" fontId="0" fillId="0" borderId="55" xfId="1" applyNumberFormat="1" applyFont="1" applyFill="1" applyBorder="1" applyAlignment="1">
      <alignment vertical="center"/>
    </xf>
    <xf numFmtId="0" fontId="0" fillId="0" borderId="54" xfId="0" applyBorder="1" applyAlignment="1">
      <alignment vertical="center"/>
    </xf>
    <xf numFmtId="0" fontId="78" fillId="0" borderId="227" xfId="0" applyFont="1" applyBorder="1" applyAlignment="1">
      <alignment horizontal="center" vertical="center" wrapText="1"/>
    </xf>
    <xf numFmtId="0" fontId="78" fillId="0" borderId="230" xfId="0" applyFont="1" applyBorder="1" applyAlignment="1">
      <alignment horizontal="center" vertical="center" wrapText="1"/>
    </xf>
    <xf numFmtId="10" fontId="0" fillId="0" borderId="0" xfId="166" applyNumberFormat="1" applyFont="1" applyAlignment="1">
      <alignment vertical="center"/>
    </xf>
    <xf numFmtId="170" fontId="78" fillId="0" borderId="135" xfId="1" applyNumberFormat="1" applyFont="1" applyFill="1" applyBorder="1" applyAlignment="1">
      <alignment vertical="center"/>
    </xf>
    <xf numFmtId="170" fontId="78" fillId="0" borderId="309" xfId="1" applyNumberFormat="1" applyFont="1" applyFill="1" applyBorder="1" applyAlignment="1">
      <alignment vertical="center"/>
    </xf>
    <xf numFmtId="170" fontId="78" fillId="0" borderId="280" xfId="1" applyNumberFormat="1" applyFont="1" applyFill="1" applyBorder="1" applyAlignment="1">
      <alignment vertical="center"/>
    </xf>
    <xf numFmtId="170" fontId="0" fillId="0" borderId="245" xfId="1" applyNumberFormat="1" applyFont="1" applyFill="1" applyBorder="1" applyAlignment="1">
      <alignment vertical="center"/>
    </xf>
    <xf numFmtId="170" fontId="0" fillId="0" borderId="238" xfId="1" applyNumberFormat="1" applyFont="1" applyFill="1" applyBorder="1" applyAlignment="1">
      <alignment vertical="center"/>
    </xf>
    <xf numFmtId="170" fontId="0" fillId="0" borderId="239" xfId="1" applyNumberFormat="1" applyFont="1" applyFill="1" applyBorder="1" applyAlignment="1">
      <alignment vertical="center"/>
    </xf>
    <xf numFmtId="164" fontId="8" fillId="0" borderId="54" xfId="1" applyFont="1" applyFill="1" applyBorder="1" applyAlignment="1">
      <alignment horizontal="center" vertical="center"/>
    </xf>
    <xf numFmtId="164" fontId="8" fillId="0" borderId="240" xfId="1" applyFont="1" applyFill="1" applyBorder="1" applyAlignment="1">
      <alignment horizontal="center" vertical="center"/>
    </xf>
    <xf numFmtId="0" fontId="78" fillId="0" borderId="228" xfId="0" applyFont="1" applyBorder="1" applyAlignment="1">
      <alignment horizontal="center" vertical="center" wrapText="1"/>
    </xf>
    <xf numFmtId="0" fontId="78" fillId="0" borderId="225" xfId="0" applyFont="1" applyBorder="1" applyAlignment="1">
      <alignment horizontal="center" vertical="center" wrapText="1"/>
    </xf>
    <xf numFmtId="0" fontId="78" fillId="0" borderId="232" xfId="0" applyFont="1" applyBorder="1" applyAlignment="1">
      <alignment horizontal="center" vertical="center" wrapText="1"/>
    </xf>
    <xf numFmtId="164" fontId="0" fillId="0" borderId="0" xfId="1" applyFont="1" applyFill="1" applyAlignment="1">
      <alignment vertical="center"/>
    </xf>
    <xf numFmtId="170" fontId="0" fillId="0" borderId="235" xfId="1" applyNumberFormat="1" applyFont="1" applyFill="1" applyBorder="1" applyAlignment="1">
      <alignment vertical="center"/>
    </xf>
    <xf numFmtId="170" fontId="0" fillId="0" borderId="233" xfId="1" applyNumberFormat="1" applyFont="1" applyFill="1" applyBorder="1" applyAlignment="1">
      <alignment vertical="center"/>
    </xf>
    <xf numFmtId="170" fontId="0" fillId="0" borderId="237" xfId="1" applyNumberFormat="1" applyFont="1" applyFill="1" applyBorder="1" applyAlignment="1">
      <alignment vertical="center"/>
    </xf>
    <xf numFmtId="164" fontId="8" fillId="0" borderId="204" xfId="1" applyFont="1" applyFill="1" applyBorder="1" applyAlignment="1">
      <alignment horizontal="center" vertical="center"/>
    </xf>
    <xf numFmtId="0" fontId="78" fillId="0" borderId="0" xfId="0" applyFont="1" applyAlignment="1">
      <alignment vertical="center"/>
    </xf>
    <xf numFmtId="170" fontId="78" fillId="0" borderId="0" xfId="1" applyNumberFormat="1" applyFont="1" applyAlignment="1">
      <alignment horizontal="center" vertical="center" wrapText="1"/>
    </xf>
    <xf numFmtId="170" fontId="0" fillId="0" borderId="0" xfId="1" applyNumberFormat="1" applyFont="1" applyFill="1" applyBorder="1" applyAlignment="1">
      <alignment vertical="center"/>
    </xf>
    <xf numFmtId="170" fontId="78" fillId="0" borderId="237" xfId="1" applyNumberFormat="1" applyFont="1" applyFill="1" applyBorder="1" applyAlignment="1">
      <alignment vertical="center"/>
    </xf>
    <xf numFmtId="170" fontId="78" fillId="0" borderId="245" xfId="1" applyNumberFormat="1" applyFont="1" applyFill="1" applyBorder="1" applyAlignment="1">
      <alignment vertical="center"/>
    </xf>
    <xf numFmtId="0" fontId="78" fillId="0" borderId="57" xfId="0" applyFont="1" applyBorder="1" applyAlignment="1">
      <alignment horizontal="center" vertical="center" wrapText="1"/>
    </xf>
    <xf numFmtId="0" fontId="78" fillId="0" borderId="234" xfId="0" applyFont="1" applyBorder="1" applyAlignment="1">
      <alignment horizontal="center" vertical="center" wrapText="1"/>
    </xf>
    <xf numFmtId="10" fontId="78" fillId="0" borderId="0" xfId="166" applyNumberFormat="1" applyFont="1" applyAlignment="1">
      <alignment vertical="center"/>
    </xf>
    <xf numFmtId="43" fontId="78" fillId="0" borderId="0" xfId="0" applyNumberFormat="1" applyFont="1" applyAlignment="1">
      <alignment vertical="center"/>
    </xf>
    <xf numFmtId="0" fontId="78" fillId="0" borderId="0" xfId="0" applyFont="1" applyAlignment="1">
      <alignment horizontal="right" vertical="center"/>
    </xf>
    <xf numFmtId="170" fontId="78" fillId="0" borderId="138" xfId="0" applyNumberFormat="1" applyFont="1" applyBorder="1" applyAlignment="1">
      <alignment horizontal="center" vertical="center"/>
    </xf>
    <xf numFmtId="43" fontId="78" fillId="0" borderId="138" xfId="52" applyFont="1" applyBorder="1" applyAlignment="1">
      <alignment horizontal="center" vertical="center"/>
    </xf>
    <xf numFmtId="43" fontId="78" fillId="0" borderId="137" xfId="52" applyFont="1" applyBorder="1" applyAlignment="1">
      <alignment horizontal="center" vertical="center"/>
    </xf>
    <xf numFmtId="170" fontId="78" fillId="0" borderId="343" xfId="0" applyNumberFormat="1" applyFont="1" applyBorder="1" applyAlignment="1">
      <alignment horizontal="center" vertical="center"/>
    </xf>
    <xf numFmtId="170" fontId="78" fillId="0" borderId="137" xfId="0" applyNumberFormat="1" applyFont="1" applyBorder="1" applyAlignment="1">
      <alignment horizontal="center" vertical="center"/>
    </xf>
    <xf numFmtId="170" fontId="78" fillId="0" borderId="135" xfId="0" applyNumberFormat="1" applyFont="1" applyBorder="1" applyAlignment="1">
      <alignment horizontal="center" vertical="center"/>
    </xf>
    <xf numFmtId="170" fontId="78" fillId="0" borderId="281" xfId="0" applyNumberFormat="1" applyFont="1" applyBorder="1" applyAlignment="1">
      <alignment horizontal="center" vertical="center"/>
    </xf>
    <xf numFmtId="0" fontId="78" fillId="0" borderId="299" xfId="0" applyFont="1" applyBorder="1" applyAlignment="1">
      <alignment horizontal="center" vertical="center"/>
    </xf>
    <xf numFmtId="0" fontId="78" fillId="0" borderId="135" xfId="0" applyFont="1" applyBorder="1" applyAlignment="1">
      <alignment horizontal="center" vertical="center"/>
    </xf>
    <xf numFmtId="170" fontId="0" fillId="0" borderId="226" xfId="1" applyNumberFormat="1" applyFont="1" applyBorder="1" applyAlignment="1">
      <alignment vertical="center"/>
    </xf>
    <xf numFmtId="170" fontId="0" fillId="0" borderId="230" xfId="1" applyNumberFormat="1" applyFont="1" applyBorder="1" applyAlignment="1">
      <alignment vertical="center"/>
    </xf>
    <xf numFmtId="170" fontId="0" fillId="0" borderId="225" xfId="1" applyNumberFormat="1" applyFont="1" applyBorder="1" applyAlignment="1">
      <alignment vertical="center"/>
    </xf>
    <xf numFmtId="170" fontId="0" fillId="0" borderId="227" xfId="1" applyNumberFormat="1" applyFont="1" applyBorder="1" applyAlignment="1">
      <alignment vertical="center"/>
    </xf>
    <xf numFmtId="170" fontId="0" fillId="0" borderId="232" xfId="1" applyNumberFormat="1" applyFont="1" applyBorder="1" applyAlignment="1">
      <alignment vertical="center"/>
    </xf>
    <xf numFmtId="0" fontId="0" fillId="0" borderId="229" xfId="0" applyBorder="1" applyAlignment="1">
      <alignment vertical="center"/>
    </xf>
    <xf numFmtId="0" fontId="0" fillId="0" borderId="226" xfId="0" applyBorder="1" applyAlignment="1">
      <alignment vertical="center" wrapText="1"/>
    </xf>
    <xf numFmtId="0" fontId="0" fillId="0" borderId="242" xfId="0" applyBorder="1" applyAlignment="1">
      <alignment vertical="center"/>
    </xf>
    <xf numFmtId="170" fontId="0" fillId="0" borderId="344" xfId="1" applyNumberFormat="1" applyFont="1" applyFill="1" applyBorder="1" applyAlignment="1">
      <alignment vertical="center"/>
    </xf>
    <xf numFmtId="170" fontId="0" fillId="0" borderId="345" xfId="1" applyNumberFormat="1" applyFont="1" applyFill="1" applyBorder="1" applyAlignment="1">
      <alignment vertical="center"/>
    </xf>
    <xf numFmtId="170" fontId="0" fillId="0" borderId="346" xfId="1" applyNumberFormat="1" applyFont="1" applyFill="1" applyBorder="1" applyAlignment="1">
      <alignment vertical="center"/>
    </xf>
    <xf numFmtId="170" fontId="0" fillId="0" borderId="260" xfId="1" applyNumberFormat="1" applyFont="1" applyFill="1" applyBorder="1" applyAlignment="1">
      <alignment vertical="center"/>
    </xf>
    <xf numFmtId="170" fontId="0" fillId="0" borderId="146" xfId="1" applyNumberFormat="1" applyFont="1" applyFill="1" applyBorder="1" applyAlignment="1">
      <alignment vertical="center"/>
    </xf>
    <xf numFmtId="0" fontId="0" fillId="0" borderId="347" xfId="0" applyBorder="1" applyAlignment="1">
      <alignment vertical="center"/>
    </xf>
    <xf numFmtId="170" fontId="0" fillId="0" borderId="344" xfId="1" applyNumberFormat="1" applyFont="1" applyBorder="1" applyAlignment="1">
      <alignment vertical="center"/>
    </xf>
    <xf numFmtId="0" fontId="0" fillId="0" borderId="344" xfId="0" applyBorder="1" applyAlignment="1">
      <alignment vertical="center" wrapText="1"/>
    </xf>
    <xf numFmtId="170" fontId="0" fillId="0" borderId="226" xfId="1" applyNumberFormat="1" applyFont="1" applyFill="1" applyBorder="1" applyAlignment="1">
      <alignment vertical="center"/>
    </xf>
    <xf numFmtId="170" fontId="0" fillId="0" borderId="230" xfId="1" applyNumberFormat="1" applyFont="1" applyFill="1" applyBorder="1" applyAlignment="1">
      <alignment vertical="center"/>
    </xf>
    <xf numFmtId="170" fontId="0" fillId="0" borderId="225" xfId="1" applyNumberFormat="1" applyFont="1" applyFill="1" applyBorder="1" applyAlignment="1">
      <alignment vertical="center"/>
    </xf>
    <xf numFmtId="170" fontId="0" fillId="0" borderId="227" xfId="1" applyNumberFormat="1" applyFont="1" applyFill="1" applyBorder="1" applyAlignment="1">
      <alignment vertical="center"/>
    </xf>
    <xf numFmtId="170" fontId="0" fillId="0" borderId="232" xfId="1" applyNumberFormat="1" applyFont="1" applyFill="1" applyBorder="1" applyAlignment="1">
      <alignment vertical="center"/>
    </xf>
    <xf numFmtId="170" fontId="0" fillId="0" borderId="298" xfId="1" applyNumberFormat="1" applyFont="1" applyFill="1" applyBorder="1" applyAlignment="1">
      <alignment vertical="center"/>
    </xf>
    <xf numFmtId="170" fontId="0" fillId="0" borderId="38" xfId="1" applyNumberFormat="1" applyFont="1" applyFill="1" applyBorder="1" applyAlignment="1">
      <alignment vertical="center"/>
    </xf>
    <xf numFmtId="170" fontId="0" fillId="0" borderId="282" xfId="1" applyNumberFormat="1" applyFont="1" applyFill="1" applyBorder="1" applyAlignment="1">
      <alignment vertical="center"/>
    </xf>
    <xf numFmtId="170" fontId="0" fillId="0" borderId="73" xfId="1" applyNumberFormat="1" applyFont="1" applyFill="1" applyBorder="1" applyAlignment="1">
      <alignment vertical="center"/>
    </xf>
    <xf numFmtId="170" fontId="0" fillId="0" borderId="259" xfId="1" applyNumberFormat="1" applyFont="1" applyFill="1" applyBorder="1" applyAlignment="1">
      <alignment vertical="center"/>
    </xf>
    <xf numFmtId="0" fontId="0" fillId="0" borderId="37" xfId="0" applyBorder="1" applyAlignment="1">
      <alignment vertical="center"/>
    </xf>
    <xf numFmtId="170" fontId="0" fillId="0" borderId="298" xfId="1" applyNumberFormat="1" applyFont="1" applyBorder="1" applyAlignment="1">
      <alignment vertical="center"/>
    </xf>
    <xf numFmtId="0" fontId="0" fillId="0" borderId="298" xfId="0" applyBorder="1" applyAlignment="1">
      <alignment vertical="center" wrapText="1"/>
    </xf>
    <xf numFmtId="170" fontId="0" fillId="0" borderId="345" xfId="1" applyNumberFormat="1" applyFont="1" applyBorder="1" applyAlignment="1">
      <alignment vertical="center"/>
    </xf>
    <xf numFmtId="170" fontId="0" fillId="0" borderId="346" xfId="1" applyNumberFormat="1" applyFont="1" applyBorder="1" applyAlignment="1">
      <alignment vertical="center"/>
    </xf>
    <xf numFmtId="170" fontId="0" fillId="0" borderId="260" xfId="1" applyNumberFormat="1" applyFont="1" applyBorder="1" applyAlignment="1">
      <alignment vertical="center"/>
    </xf>
    <xf numFmtId="170" fontId="0" fillId="0" borderId="146" xfId="1" applyNumberFormat="1" applyFont="1" applyBorder="1" applyAlignment="1">
      <alignment vertical="center"/>
    </xf>
    <xf numFmtId="0" fontId="0" fillId="0" borderId="344" xfId="0" applyBorder="1" applyAlignment="1">
      <alignment vertical="center"/>
    </xf>
    <xf numFmtId="0" fontId="78" fillId="0" borderId="25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8" fillId="0" borderId="253" xfId="0" applyFont="1" applyBorder="1" applyAlignment="1">
      <alignment horizontal="center" vertical="center" wrapText="1"/>
    </xf>
    <xf numFmtId="0" fontId="78" fillId="0" borderId="254" xfId="0" applyFont="1" applyBorder="1" applyAlignment="1">
      <alignment horizontal="center" vertical="center" wrapText="1"/>
    </xf>
    <xf numFmtId="0" fontId="78" fillId="0" borderId="252" xfId="0" applyFont="1" applyBorder="1" applyAlignment="1">
      <alignment horizontal="center" vertical="center" wrapText="1"/>
    </xf>
    <xf numFmtId="0" fontId="78" fillId="0" borderId="202" xfId="0" applyFont="1" applyBorder="1" applyAlignment="1">
      <alignment horizontal="center" vertical="center" wrapText="1"/>
    </xf>
    <xf numFmtId="0" fontId="78" fillId="0" borderId="256" xfId="0" applyFont="1" applyBorder="1" applyAlignment="1">
      <alignment horizontal="center" vertical="center" wrapText="1"/>
    </xf>
    <xf numFmtId="0" fontId="78" fillId="0" borderId="348" xfId="0" applyFont="1" applyBorder="1" applyAlignment="1">
      <alignment horizontal="center" vertical="center" wrapText="1"/>
    </xf>
    <xf numFmtId="0" fontId="78" fillId="0" borderId="203" xfId="0" applyFont="1" applyBorder="1" applyAlignment="1">
      <alignment horizontal="center" vertical="center" wrapText="1"/>
    </xf>
    <xf numFmtId="43" fontId="78" fillId="0" borderId="298" xfId="52" applyFont="1" applyBorder="1" applyAlignment="1">
      <alignment horizontal="center" vertical="center" wrapText="1"/>
    </xf>
    <xf numFmtId="43" fontId="83" fillId="0" borderId="298" xfId="52" applyFont="1" applyBorder="1" applyAlignment="1">
      <alignment horizontal="center" vertical="center" wrapText="1"/>
    </xf>
    <xf numFmtId="43" fontId="78" fillId="0" borderId="38" xfId="52" applyFont="1" applyBorder="1" applyAlignment="1">
      <alignment horizontal="center" vertical="center" wrapText="1"/>
    </xf>
    <xf numFmtId="0" fontId="78" fillId="0" borderId="204" xfId="0" applyFont="1" applyBorder="1" applyAlignment="1">
      <alignment horizontal="center" vertical="center" wrapText="1"/>
    </xf>
    <xf numFmtId="0" fontId="98" fillId="0" borderId="204" xfId="0" applyFont="1" applyBorder="1" applyAlignment="1">
      <alignment horizontal="center" vertical="center" wrapText="1"/>
    </xf>
    <xf numFmtId="0" fontId="78" fillId="0" borderId="233" xfId="0" applyFont="1" applyBorder="1" applyAlignment="1">
      <alignment horizontal="center" vertical="center" wrapText="1"/>
    </xf>
    <xf numFmtId="9" fontId="78" fillId="0" borderId="0" xfId="166" applyFont="1" applyAlignment="1">
      <alignment vertical="center"/>
    </xf>
    <xf numFmtId="43" fontId="77" fillId="0" borderId="0" xfId="0" applyNumberFormat="1" applyFont="1" applyAlignment="1">
      <alignment vertical="center"/>
    </xf>
    <xf numFmtId="0" fontId="77" fillId="0" borderId="0" xfId="0" applyFont="1" applyAlignment="1">
      <alignment vertical="center"/>
    </xf>
    <xf numFmtId="170" fontId="78" fillId="0" borderId="300" xfId="0" applyNumberFormat="1" applyFont="1" applyBorder="1" applyAlignment="1">
      <alignment horizontal="center" vertical="center"/>
    </xf>
    <xf numFmtId="43" fontId="0" fillId="0" borderId="0" xfId="52" applyFont="1" applyAlignment="1">
      <alignment vertical="center"/>
    </xf>
    <xf numFmtId="0" fontId="98" fillId="0" borderId="203" xfId="0" applyFont="1" applyBorder="1" applyAlignment="1">
      <alignment horizontal="center" vertical="center" wrapText="1"/>
    </xf>
    <xf numFmtId="0" fontId="48" fillId="0" borderId="0" xfId="121"/>
    <xf numFmtId="43" fontId="100" fillId="0" borderId="0" xfId="65" applyFont="1" applyAlignment="1">
      <alignment vertical="center"/>
    </xf>
    <xf numFmtId="0" fontId="101" fillId="0" borderId="0" xfId="121" applyFont="1" applyAlignment="1">
      <alignment vertical="center"/>
    </xf>
    <xf numFmtId="182" fontId="101" fillId="0" borderId="0" xfId="121" applyNumberFormat="1" applyFont="1" applyAlignment="1">
      <alignment vertical="center"/>
    </xf>
    <xf numFmtId="183" fontId="101" fillId="0" borderId="0" xfId="121" applyNumberFormat="1" applyFont="1" applyAlignment="1">
      <alignment horizontal="center" vertical="center"/>
    </xf>
    <xf numFmtId="184" fontId="101" fillId="0" borderId="0" xfId="121" applyNumberFormat="1" applyFont="1" applyAlignment="1">
      <alignment horizontal="center" vertical="center"/>
    </xf>
    <xf numFmtId="0" fontId="101" fillId="0" borderId="0" xfId="121" applyFont="1" applyAlignment="1">
      <alignment horizontal="center" vertical="center"/>
    </xf>
    <xf numFmtId="43" fontId="48" fillId="0" borderId="0" xfId="121" applyNumberFormat="1"/>
    <xf numFmtId="0" fontId="102" fillId="0" borderId="0" xfId="121" applyFont="1" applyAlignment="1">
      <alignment vertical="center"/>
    </xf>
    <xf numFmtId="184" fontId="103" fillId="0" borderId="0" xfId="65" applyNumberFormat="1" applyFont="1" applyAlignment="1">
      <alignment vertical="center"/>
    </xf>
    <xf numFmtId="185" fontId="103" fillId="0" borderId="0" xfId="65" applyNumberFormat="1" applyFont="1" applyAlignment="1">
      <alignment vertical="center"/>
    </xf>
    <xf numFmtId="43" fontId="102" fillId="23" borderId="351" xfId="121" applyNumberFormat="1" applyFont="1" applyFill="1" applyBorder="1" applyAlignment="1">
      <alignment vertical="center"/>
    </xf>
    <xf numFmtId="182" fontId="102" fillId="23" borderId="352" xfId="121" applyNumberFormat="1" applyFont="1" applyFill="1" applyBorder="1" applyAlignment="1">
      <alignment vertical="center"/>
    </xf>
    <xf numFmtId="183" fontId="102" fillId="23" borderId="353" xfId="121" applyNumberFormat="1" applyFont="1" applyFill="1" applyBorder="1" applyAlignment="1">
      <alignment horizontal="center" vertical="center"/>
    </xf>
    <xf numFmtId="183" fontId="102" fillId="23" borderId="354" xfId="121" applyNumberFormat="1" applyFont="1" applyFill="1" applyBorder="1" applyAlignment="1">
      <alignment horizontal="center" vertical="center"/>
    </xf>
    <xf numFmtId="183" fontId="102" fillId="23" borderId="355" xfId="121" applyNumberFormat="1" applyFont="1" applyFill="1" applyBorder="1" applyAlignment="1">
      <alignment horizontal="center" vertical="center"/>
    </xf>
    <xf numFmtId="184" fontId="102" fillId="23" borderId="352" xfId="121" applyNumberFormat="1" applyFont="1" applyFill="1" applyBorder="1" applyAlignment="1">
      <alignment horizontal="center" vertical="center"/>
    </xf>
    <xf numFmtId="0" fontId="102" fillId="23" borderId="352" xfId="121" applyFont="1" applyFill="1" applyBorder="1" applyAlignment="1">
      <alignment horizontal="center" vertical="center"/>
    </xf>
    <xf numFmtId="0" fontId="102" fillId="23" borderId="352" xfId="121" applyFont="1" applyFill="1" applyBorder="1" applyAlignment="1">
      <alignment vertical="center"/>
    </xf>
    <xf numFmtId="0" fontId="102" fillId="23" borderId="356" xfId="121" applyFont="1" applyFill="1" applyBorder="1" applyAlignment="1">
      <alignment vertical="center"/>
    </xf>
    <xf numFmtId="184" fontId="100" fillId="0" borderId="0" xfId="65" applyNumberFormat="1" applyFont="1" applyAlignment="1">
      <alignment vertical="center"/>
    </xf>
    <xf numFmtId="185" fontId="100" fillId="0" borderId="0" xfId="65" applyNumberFormat="1" applyFont="1" applyAlignment="1">
      <alignment vertical="center"/>
    </xf>
    <xf numFmtId="43" fontId="101" fillId="0" borderId="351" xfId="121" applyNumberFormat="1" applyFont="1" applyBorder="1" applyAlignment="1">
      <alignment vertical="center"/>
    </xf>
    <xf numFmtId="182" fontId="101" fillId="0" borderId="352" xfId="121" applyNumberFormat="1" applyFont="1" applyBorder="1" applyAlignment="1">
      <alignment vertical="center"/>
    </xf>
    <xf numFmtId="183" fontId="101" fillId="0" borderId="353" xfId="121" applyNumberFormat="1" applyFont="1" applyBorder="1" applyAlignment="1">
      <alignment horizontal="center" vertical="center"/>
    </xf>
    <xf numFmtId="183" fontId="101" fillId="0" borderId="354" xfId="121" applyNumberFormat="1" applyFont="1" applyBorder="1" applyAlignment="1">
      <alignment horizontal="center" vertical="center"/>
    </xf>
    <xf numFmtId="183" fontId="101" fillId="0" borderId="355" xfId="121" applyNumberFormat="1" applyFont="1" applyBorder="1" applyAlignment="1">
      <alignment horizontal="center" vertical="center"/>
    </xf>
    <xf numFmtId="184" fontId="101" fillId="0" borderId="352" xfId="121" applyNumberFormat="1" applyFont="1" applyBorder="1" applyAlignment="1">
      <alignment horizontal="center" vertical="center"/>
    </xf>
    <xf numFmtId="0" fontId="101" fillId="0" borderId="352" xfId="121" applyFont="1" applyBorder="1" applyAlignment="1">
      <alignment horizontal="center" vertical="center"/>
    </xf>
    <xf numFmtId="0" fontId="101" fillId="0" borderId="352" xfId="121" applyFont="1" applyBorder="1" applyAlignment="1">
      <alignment vertical="center"/>
    </xf>
    <xf numFmtId="0" fontId="101" fillId="0" borderId="356" xfId="121" applyFont="1" applyBorder="1" applyAlignment="1">
      <alignment vertical="center"/>
    </xf>
    <xf numFmtId="0" fontId="101" fillId="0" borderId="357" xfId="121" applyFont="1" applyBorder="1" applyAlignment="1">
      <alignment vertical="center"/>
    </xf>
    <xf numFmtId="182" fontId="101" fillId="0" borderId="358" xfId="121" applyNumberFormat="1" applyFont="1" applyBorder="1" applyAlignment="1">
      <alignment vertical="center"/>
    </xf>
    <xf numFmtId="183" fontId="101" fillId="0" borderId="359" xfId="121" applyNumberFormat="1" applyFont="1" applyBorder="1" applyAlignment="1">
      <alignment horizontal="center" vertical="center"/>
    </xf>
    <xf numFmtId="183" fontId="101" fillId="0" borderId="360" xfId="121" applyNumberFormat="1" applyFont="1" applyBorder="1" applyAlignment="1">
      <alignment horizontal="center" vertical="center"/>
    </xf>
    <xf numFmtId="183" fontId="101" fillId="0" borderId="361" xfId="121" applyNumberFormat="1" applyFont="1" applyBorder="1" applyAlignment="1">
      <alignment horizontal="center" vertical="center"/>
    </xf>
    <xf numFmtId="184" fontId="101" fillId="0" borderId="358" xfId="121" applyNumberFormat="1" applyFont="1" applyBorder="1" applyAlignment="1">
      <alignment horizontal="center" vertical="center"/>
    </xf>
    <xf numFmtId="0" fontId="101" fillId="0" borderId="358" xfId="121" applyFont="1" applyBorder="1" applyAlignment="1">
      <alignment horizontal="center" vertical="center"/>
    </xf>
    <xf numFmtId="0" fontId="101" fillId="0" borderId="358" xfId="121" applyFont="1" applyBorder="1" applyAlignment="1">
      <alignment vertical="center"/>
    </xf>
    <xf numFmtId="0" fontId="101" fillId="0" borderId="362" xfId="121" applyFont="1" applyBorder="1" applyAlignment="1">
      <alignment vertical="center"/>
    </xf>
    <xf numFmtId="0" fontId="101" fillId="0" borderId="351" xfId="121" applyFont="1" applyBorder="1" applyAlignment="1">
      <alignment vertical="center"/>
    </xf>
    <xf numFmtId="0" fontId="101" fillId="24" borderId="351" xfId="121" applyFont="1" applyFill="1" applyBorder="1" applyAlignment="1">
      <alignment vertical="center"/>
    </xf>
    <xf numFmtId="182" fontId="101" fillId="24" borderId="352" xfId="121" applyNumberFormat="1" applyFont="1" applyFill="1" applyBorder="1" applyAlignment="1">
      <alignment vertical="center"/>
    </xf>
    <xf numFmtId="183" fontId="101" fillId="24" borderId="353" xfId="121" applyNumberFormat="1" applyFont="1" applyFill="1" applyBorder="1" applyAlignment="1">
      <alignment horizontal="center" vertical="center"/>
    </xf>
    <xf numFmtId="183" fontId="101" fillId="24" borderId="354" xfId="121" applyNumberFormat="1" applyFont="1" applyFill="1" applyBorder="1" applyAlignment="1">
      <alignment horizontal="center" vertical="center"/>
    </xf>
    <xf numFmtId="183" fontId="101" fillId="24" borderId="355" xfId="121" applyNumberFormat="1" applyFont="1" applyFill="1" applyBorder="1" applyAlignment="1">
      <alignment horizontal="center" vertical="center"/>
    </xf>
    <xf numFmtId="184" fontId="101" fillId="24" borderId="352" xfId="121" applyNumberFormat="1" applyFont="1" applyFill="1" applyBorder="1" applyAlignment="1">
      <alignment horizontal="center" vertical="center"/>
    </xf>
    <xf numFmtId="0" fontId="101" fillId="24" borderId="352" xfId="121" applyFont="1" applyFill="1" applyBorder="1" applyAlignment="1">
      <alignment horizontal="center" vertical="center"/>
    </xf>
    <xf numFmtId="0" fontId="101" fillId="24" borderId="352" xfId="121" applyFont="1" applyFill="1" applyBorder="1" applyAlignment="1">
      <alignment vertical="center"/>
    </xf>
    <xf numFmtId="0" fontId="101" fillId="24" borderId="356" xfId="121" applyFont="1" applyFill="1" applyBorder="1" applyAlignment="1">
      <alignment vertical="center"/>
    </xf>
    <xf numFmtId="182" fontId="101" fillId="25" borderId="352" xfId="121" applyNumberFormat="1" applyFont="1" applyFill="1" applyBorder="1" applyAlignment="1">
      <alignment vertical="center"/>
    </xf>
    <xf numFmtId="43" fontId="100" fillId="26" borderId="0" xfId="65" applyFont="1" applyFill="1" applyAlignment="1">
      <alignment vertical="center"/>
    </xf>
    <xf numFmtId="0" fontId="101" fillId="26" borderId="0" xfId="121" applyFont="1" applyFill="1" applyAlignment="1">
      <alignment vertical="center"/>
    </xf>
    <xf numFmtId="0" fontId="101" fillId="26" borderId="351" xfId="121" applyFont="1" applyFill="1" applyBorder="1" applyAlignment="1">
      <alignment vertical="center"/>
    </xf>
    <xf numFmtId="182" fontId="101" fillId="26" borderId="352" xfId="121" applyNumberFormat="1" applyFont="1" applyFill="1" applyBorder="1" applyAlignment="1">
      <alignment vertical="center"/>
    </xf>
    <xf numFmtId="183" fontId="101" fillId="26" borderId="353" xfId="121" applyNumberFormat="1" applyFont="1" applyFill="1" applyBorder="1" applyAlignment="1">
      <alignment horizontal="center" vertical="center"/>
    </xf>
    <xf numFmtId="183" fontId="101" fillId="26" borderId="354" xfId="121" applyNumberFormat="1" applyFont="1" applyFill="1" applyBorder="1" applyAlignment="1">
      <alignment horizontal="center" vertical="center"/>
    </xf>
    <xf numFmtId="183" fontId="101" fillId="26" borderId="355" xfId="121" applyNumberFormat="1" applyFont="1" applyFill="1" applyBorder="1" applyAlignment="1">
      <alignment horizontal="center" vertical="center"/>
    </xf>
    <xf numFmtId="184" fontId="101" fillId="26" borderId="352" xfId="121" applyNumberFormat="1" applyFont="1" applyFill="1" applyBorder="1" applyAlignment="1">
      <alignment horizontal="center" vertical="center"/>
    </xf>
    <xf numFmtId="0" fontId="101" fillId="26" borderId="352" xfId="121" applyFont="1" applyFill="1" applyBorder="1" applyAlignment="1">
      <alignment horizontal="center" vertical="center"/>
    </xf>
    <xf numFmtId="0" fontId="101" fillId="26" borderId="352" xfId="121" applyFont="1" applyFill="1" applyBorder="1" applyAlignment="1">
      <alignment vertical="center"/>
    </xf>
    <xf numFmtId="0" fontId="101" fillId="26" borderId="356" xfId="121" applyFont="1" applyFill="1" applyBorder="1" applyAlignment="1">
      <alignment vertical="center"/>
    </xf>
    <xf numFmtId="43" fontId="100" fillId="27" borderId="0" xfId="65" applyFont="1" applyFill="1" applyAlignment="1">
      <alignment vertical="center"/>
    </xf>
    <xf numFmtId="0" fontId="101" fillId="27" borderId="0" xfId="121" applyFont="1" applyFill="1" applyAlignment="1">
      <alignment vertical="center"/>
    </xf>
    <xf numFmtId="0" fontId="101" fillId="27" borderId="351" xfId="121" applyFont="1" applyFill="1" applyBorder="1" applyAlignment="1">
      <alignment vertical="center"/>
    </xf>
    <xf numFmtId="182" fontId="101" fillId="27" borderId="352" xfId="121" applyNumberFormat="1" applyFont="1" applyFill="1" applyBorder="1" applyAlignment="1">
      <alignment vertical="center"/>
    </xf>
    <xf numFmtId="183" fontId="101" fillId="27" borderId="353" xfId="121" applyNumberFormat="1" applyFont="1" applyFill="1" applyBorder="1" applyAlignment="1">
      <alignment horizontal="center" vertical="center"/>
    </xf>
    <xf numFmtId="183" fontId="101" fillId="27" borderId="354" xfId="121" applyNumberFormat="1" applyFont="1" applyFill="1" applyBorder="1" applyAlignment="1">
      <alignment horizontal="center" vertical="center"/>
    </xf>
    <xf numFmtId="183" fontId="101" fillId="27" borderId="355" xfId="121" applyNumberFormat="1" applyFont="1" applyFill="1" applyBorder="1" applyAlignment="1">
      <alignment horizontal="center" vertical="center"/>
    </xf>
    <xf numFmtId="184" fontId="101" fillId="27" borderId="352" xfId="121" applyNumberFormat="1" applyFont="1" applyFill="1" applyBorder="1" applyAlignment="1">
      <alignment horizontal="center" vertical="center"/>
    </xf>
    <xf numFmtId="0" fontId="101" fillId="27" borderId="352" xfId="121" applyFont="1" applyFill="1" applyBorder="1" applyAlignment="1">
      <alignment horizontal="center" vertical="center"/>
    </xf>
    <xf numFmtId="0" fontId="101" fillId="27" borderId="352" xfId="121" applyFont="1" applyFill="1" applyBorder="1" applyAlignment="1">
      <alignment vertical="center"/>
    </xf>
    <xf numFmtId="0" fontId="101" fillId="27" borderId="356" xfId="121" applyFont="1" applyFill="1" applyBorder="1" applyAlignment="1">
      <alignment vertical="center"/>
    </xf>
    <xf numFmtId="0" fontId="101" fillId="0" borderId="363" xfId="121" applyFont="1" applyBorder="1" applyAlignment="1">
      <alignment vertical="center"/>
    </xf>
    <xf numFmtId="0" fontId="101" fillId="0" borderId="364" xfId="121" applyFont="1" applyBorder="1" applyAlignment="1">
      <alignment vertical="center"/>
    </xf>
    <xf numFmtId="182" fontId="104" fillId="0" borderId="366" xfId="121" applyNumberFormat="1" applyFont="1" applyBorder="1" applyAlignment="1">
      <alignment horizontal="center" vertical="center"/>
    </xf>
    <xf numFmtId="183" fontId="104" fillId="0" borderId="366" xfId="121" applyNumberFormat="1" applyFont="1" applyBorder="1" applyAlignment="1">
      <alignment horizontal="center" vertical="center"/>
    </xf>
    <xf numFmtId="184" fontId="104" fillId="0" borderId="366" xfId="121" applyNumberFormat="1" applyFont="1" applyBorder="1" applyAlignment="1">
      <alignment horizontal="center" vertical="center"/>
    </xf>
    <xf numFmtId="0" fontId="104" fillId="0" borderId="366" xfId="121" applyFont="1" applyBorder="1" applyAlignment="1">
      <alignment horizontal="center" vertical="center"/>
    </xf>
    <xf numFmtId="182" fontId="104" fillId="0" borderId="181" xfId="121" applyNumberFormat="1" applyFont="1" applyBorder="1" applyAlignment="1">
      <alignment horizontal="center" vertical="center"/>
    </xf>
    <xf numFmtId="183" fontId="104" fillId="0" borderId="369" xfId="121" applyNumberFormat="1" applyFont="1" applyBorder="1" applyAlignment="1">
      <alignment horizontal="center" vertical="center"/>
    </xf>
    <xf numFmtId="184" fontId="104" fillId="0" borderId="181" xfId="121" applyNumberFormat="1" applyFont="1" applyBorder="1" applyAlignment="1">
      <alignment horizontal="center" vertical="center"/>
    </xf>
    <xf numFmtId="0" fontId="104" fillId="0" borderId="181" xfId="121" applyFont="1" applyBorder="1" applyAlignment="1">
      <alignment horizontal="center" vertical="center"/>
    </xf>
    <xf numFmtId="182" fontId="104" fillId="0" borderId="370" xfId="121" applyNumberFormat="1" applyFont="1" applyBorder="1" applyAlignment="1">
      <alignment horizontal="center" vertical="center"/>
    </xf>
    <xf numFmtId="184" fontId="104" fillId="0" borderId="370" xfId="121" applyNumberFormat="1" applyFont="1" applyBorder="1" applyAlignment="1">
      <alignment horizontal="center" vertical="center"/>
    </xf>
    <xf numFmtId="0" fontId="104" fillId="0" borderId="370" xfId="121" applyFont="1" applyBorder="1" applyAlignment="1">
      <alignment horizontal="center" vertical="center"/>
    </xf>
    <xf numFmtId="0" fontId="7" fillId="0" borderId="0" xfId="121" applyFont="1"/>
    <xf numFmtId="43" fontId="7" fillId="0" borderId="0" xfId="65" applyFont="1"/>
    <xf numFmtId="43" fontId="7" fillId="0" borderId="240" xfId="65" applyFont="1" applyBorder="1"/>
    <xf numFmtId="0" fontId="7" fillId="8" borderId="0" xfId="121" applyFont="1" applyFill="1"/>
    <xf numFmtId="43" fontId="7" fillId="0" borderId="0" xfId="65" applyFont="1" applyBorder="1"/>
    <xf numFmtId="43" fontId="7" fillId="0" borderId="6" xfId="65" applyFont="1" applyFill="1" applyBorder="1"/>
    <xf numFmtId="0" fontId="7" fillId="0" borderId="6" xfId="121" applyFont="1" applyBorder="1"/>
    <xf numFmtId="0" fontId="99" fillId="0" borderId="0" xfId="121" applyFont="1"/>
    <xf numFmtId="0" fontId="7" fillId="0" borderId="240" xfId="121" applyFont="1" applyBorder="1"/>
    <xf numFmtId="0" fontId="0" fillId="0" borderId="240" xfId="121" applyFont="1" applyBorder="1"/>
    <xf numFmtId="43" fontId="85" fillId="0" borderId="240" xfId="65" applyFont="1" applyBorder="1"/>
    <xf numFmtId="0" fontId="85" fillId="0" borderId="240" xfId="121" applyFont="1" applyBorder="1"/>
    <xf numFmtId="43" fontId="63" fillId="0" borderId="0" xfId="65" applyFont="1" applyAlignment="1">
      <alignment vertical="center"/>
    </xf>
    <xf numFmtId="43" fontId="63" fillId="0" borderId="0" xfId="65" applyFont="1" applyAlignment="1">
      <alignment horizontal="center" vertical="center"/>
    </xf>
    <xf numFmtId="43" fontId="106" fillId="0" borderId="0" xfId="65" applyFont="1" applyAlignment="1">
      <alignment vertical="center"/>
    </xf>
    <xf numFmtId="167" fontId="106" fillId="0" borderId="0" xfId="65" applyNumberFormat="1" applyFont="1" applyAlignment="1">
      <alignment vertical="center"/>
    </xf>
    <xf numFmtId="43" fontId="107" fillId="0" borderId="0" xfId="65" applyFont="1" applyAlignment="1">
      <alignment horizontal="center" vertical="center"/>
    </xf>
    <xf numFmtId="43" fontId="107" fillId="0" borderId="0" xfId="65" applyFont="1" applyAlignment="1">
      <alignment horizontal="left" vertical="center" wrapText="1"/>
    </xf>
    <xf numFmtId="167" fontId="63" fillId="0" borderId="0" xfId="65" applyNumberFormat="1" applyFont="1" applyAlignment="1">
      <alignment horizontal="center" vertical="center"/>
    </xf>
    <xf numFmtId="43" fontId="107" fillId="0" borderId="0" xfId="65" applyFont="1" applyAlignment="1">
      <alignment horizontal="center" vertical="center" wrapText="1"/>
    </xf>
    <xf numFmtId="43" fontId="107" fillId="0" borderId="0" xfId="65" applyFont="1" applyAlignment="1">
      <alignment horizontal="left" vertical="center"/>
    </xf>
    <xf numFmtId="43" fontId="63" fillId="0" borderId="0" xfId="65" applyFont="1" applyAlignment="1">
      <alignment horizontal="right" vertical="center"/>
    </xf>
    <xf numFmtId="167" fontId="63" fillId="0" borderId="0" xfId="65" applyNumberFormat="1" applyFont="1" applyAlignment="1">
      <alignment horizontal="right" vertical="center"/>
    </xf>
    <xf numFmtId="0" fontId="63" fillId="0" borderId="0" xfId="65" applyNumberFormat="1" applyFont="1" applyAlignment="1">
      <alignment horizontal="right" vertical="center"/>
    </xf>
    <xf numFmtId="43" fontId="58" fillId="0" borderId="0" xfId="65" applyFont="1" applyAlignment="1">
      <alignment horizontal="center" vertical="center"/>
    </xf>
    <xf numFmtId="43" fontId="58" fillId="0" borderId="0" xfId="65" applyFont="1" applyAlignment="1">
      <alignment horizontal="center" vertical="center" wrapText="1"/>
    </xf>
    <xf numFmtId="43" fontId="108" fillId="0" borderId="0" xfId="65" applyFont="1" applyAlignment="1">
      <alignment horizontal="left" vertical="center"/>
    </xf>
    <xf numFmtId="0" fontId="108" fillId="0" borderId="0" xfId="65" applyNumberFormat="1" applyFont="1" applyAlignment="1">
      <alignment horizontal="center" vertical="center"/>
    </xf>
    <xf numFmtId="43" fontId="108" fillId="0" borderId="0" xfId="65" applyFont="1" applyAlignment="1">
      <alignment horizontal="right" vertical="center"/>
    </xf>
    <xf numFmtId="43" fontId="59" fillId="0" borderId="0" xfId="65" applyFont="1" applyBorder="1" applyAlignment="1">
      <alignment horizontal="left" vertical="center" wrapText="1"/>
    </xf>
    <xf numFmtId="43" fontId="109" fillId="0" borderId="0" xfId="65" applyFont="1" applyBorder="1" applyAlignment="1">
      <alignment horizontal="right" vertical="center"/>
    </xf>
    <xf numFmtId="43" fontId="59" fillId="0" borderId="372" xfId="65" applyFont="1" applyBorder="1" applyAlignment="1">
      <alignment horizontal="left" vertical="center" wrapText="1"/>
    </xf>
    <xf numFmtId="43" fontId="58" fillId="0" borderId="0" xfId="65" applyFont="1" applyAlignment="1">
      <alignment horizontal="left" vertical="center" wrapText="1"/>
    </xf>
    <xf numFmtId="43" fontId="110" fillId="0" borderId="0" xfId="65" applyFont="1" applyAlignment="1">
      <alignment horizontal="right" vertical="center"/>
    </xf>
    <xf numFmtId="43" fontId="111" fillId="0" borderId="0" xfId="65" applyFont="1" applyAlignment="1">
      <alignment horizontal="center" vertical="center"/>
    </xf>
    <xf numFmtId="43" fontId="110" fillId="0" borderId="0" xfId="88" applyFont="1" applyAlignment="1">
      <alignment horizontal="right" vertical="center"/>
    </xf>
    <xf numFmtId="43" fontId="59" fillId="0" borderId="0" xfId="65" applyFont="1" applyAlignment="1">
      <alignment horizontal="center" vertical="center"/>
    </xf>
    <xf numFmtId="0" fontId="109" fillId="0" borderId="0" xfId="65" applyNumberFormat="1" applyFont="1" applyAlignment="1">
      <alignment horizontal="left" vertical="center"/>
    </xf>
    <xf numFmtId="43" fontId="63" fillId="0" borderId="0" xfId="88" applyFont="1" applyAlignment="1">
      <alignment horizontal="right" vertical="center"/>
    </xf>
    <xf numFmtId="43" fontId="110" fillId="8" borderId="0" xfId="65" applyFont="1" applyFill="1" applyAlignment="1">
      <alignment horizontal="left" vertical="center"/>
    </xf>
    <xf numFmtId="43" fontId="110" fillId="8" borderId="0" xfId="65" applyFont="1" applyFill="1" applyAlignment="1">
      <alignment horizontal="right" vertical="center"/>
    </xf>
    <xf numFmtId="43" fontId="113" fillId="8" borderId="0" xfId="65" applyFont="1" applyFill="1" applyAlignment="1">
      <alignment horizontal="center" vertical="center"/>
    </xf>
    <xf numFmtId="43" fontId="63" fillId="0" borderId="23" xfId="65" applyFont="1" applyBorder="1" applyAlignment="1">
      <alignment horizontal="right" vertical="center"/>
    </xf>
    <xf numFmtId="43" fontId="111" fillId="0" borderId="23" xfId="65" applyFont="1" applyBorder="1" applyAlignment="1">
      <alignment horizontal="center" vertical="center"/>
    </xf>
    <xf numFmtId="167" fontId="63" fillId="0" borderId="23" xfId="65" applyNumberFormat="1" applyFont="1" applyBorder="1" applyAlignment="1">
      <alignment horizontal="right" vertical="center"/>
    </xf>
    <xf numFmtId="43" fontId="63" fillId="0" borderId="23" xfId="88" applyFont="1" applyBorder="1" applyAlignment="1">
      <alignment horizontal="right" vertical="center"/>
    </xf>
    <xf numFmtId="43" fontId="58" fillId="0" borderId="23" xfId="65" applyFont="1" applyBorder="1" applyAlignment="1">
      <alignment horizontal="center" vertical="center"/>
    </xf>
    <xf numFmtId="43" fontId="107" fillId="0" borderId="23" xfId="65" applyFont="1" applyBorder="1" applyAlignment="1">
      <alignment horizontal="left" vertical="center" wrapText="1"/>
    </xf>
    <xf numFmtId="43" fontId="108" fillId="0" borderId="23" xfId="88" applyFont="1" applyBorder="1" applyAlignment="1">
      <alignment horizontal="left" vertical="center"/>
    </xf>
    <xf numFmtId="43" fontId="108" fillId="0" borderId="23" xfId="65" applyFont="1" applyBorder="1" applyAlignment="1">
      <alignment horizontal="left" vertical="center"/>
    </xf>
    <xf numFmtId="0" fontId="108" fillId="0" borderId="374" xfId="65" applyNumberFormat="1" applyFont="1" applyBorder="1" applyAlignment="1">
      <alignment horizontal="center" vertical="center"/>
    </xf>
    <xf numFmtId="0" fontId="108" fillId="0" borderId="374" xfId="65" applyNumberFormat="1" applyFont="1" applyFill="1" applyBorder="1" applyAlignment="1">
      <alignment horizontal="center" vertical="center"/>
    </xf>
    <xf numFmtId="0" fontId="108" fillId="0" borderId="375" xfId="65" applyNumberFormat="1" applyFont="1" applyBorder="1" applyAlignment="1">
      <alignment horizontal="center" vertical="center"/>
    </xf>
    <xf numFmtId="43" fontId="63" fillId="0" borderId="376" xfId="65" applyFont="1" applyBorder="1" applyAlignment="1">
      <alignment horizontal="right" vertical="center"/>
    </xf>
    <xf numFmtId="43" fontId="111" fillId="0" borderId="376" xfId="65" applyFont="1" applyBorder="1" applyAlignment="1">
      <alignment horizontal="center" vertical="center"/>
    </xf>
    <xf numFmtId="167" fontId="63" fillId="0" borderId="376" xfId="65" applyNumberFormat="1" applyFont="1" applyBorder="1" applyAlignment="1">
      <alignment horizontal="right" vertical="center"/>
    </xf>
    <xf numFmtId="43" fontId="63" fillId="0" borderId="19" xfId="88" applyFont="1" applyBorder="1" applyAlignment="1">
      <alignment horizontal="right" vertical="center"/>
    </xf>
    <xf numFmtId="43" fontId="58" fillId="0" borderId="376" xfId="65" applyFont="1" applyBorder="1" applyAlignment="1">
      <alignment horizontal="center" vertical="center"/>
    </xf>
    <xf numFmtId="43" fontId="107" fillId="0" borderId="376" xfId="65" applyFont="1" applyBorder="1" applyAlignment="1">
      <alignment horizontal="left" vertical="center" wrapText="1"/>
    </xf>
    <xf numFmtId="43" fontId="108" fillId="0" borderId="19" xfId="88" applyFont="1" applyBorder="1" applyAlignment="1">
      <alignment horizontal="left" vertical="center"/>
    </xf>
    <xf numFmtId="43" fontId="108" fillId="0" borderId="376" xfId="65" applyFont="1" applyFill="1" applyBorder="1" applyAlignment="1">
      <alignment horizontal="left" vertical="center"/>
    </xf>
    <xf numFmtId="0" fontId="108" fillId="0" borderId="377" xfId="65" applyNumberFormat="1" applyFont="1" applyBorder="1" applyAlignment="1">
      <alignment horizontal="center" vertical="center"/>
    </xf>
    <xf numFmtId="0" fontId="108" fillId="0" borderId="377" xfId="65" applyNumberFormat="1" applyFont="1" applyFill="1" applyBorder="1" applyAlignment="1">
      <alignment horizontal="center" vertical="center"/>
    </xf>
    <xf numFmtId="0" fontId="108" fillId="0" borderId="378" xfId="65" applyNumberFormat="1" applyFont="1" applyBorder="1" applyAlignment="1">
      <alignment horizontal="center" vertical="center"/>
    </xf>
    <xf numFmtId="43" fontId="108" fillId="0" borderId="376" xfId="65" applyFont="1" applyBorder="1" applyAlignment="1">
      <alignment horizontal="left" vertical="center"/>
    </xf>
    <xf numFmtId="43" fontId="63" fillId="3" borderId="0" xfId="65" applyFont="1" applyFill="1" applyAlignment="1">
      <alignment vertical="center"/>
    </xf>
    <xf numFmtId="43" fontId="63" fillId="3" borderId="376" xfId="65" applyFont="1" applyFill="1" applyBorder="1" applyAlignment="1">
      <alignment horizontal="right" vertical="center"/>
    </xf>
    <xf numFmtId="43" fontId="111" fillId="3" borderId="376" xfId="65" applyFont="1" applyFill="1" applyBorder="1" applyAlignment="1">
      <alignment horizontal="center" vertical="center"/>
    </xf>
    <xf numFmtId="43" fontId="106" fillId="3" borderId="376" xfId="65" applyFont="1" applyFill="1" applyBorder="1" applyAlignment="1">
      <alignment horizontal="right" vertical="center"/>
    </xf>
    <xf numFmtId="167" fontId="106" fillId="3" borderId="376" xfId="65" applyNumberFormat="1" applyFont="1" applyFill="1" applyBorder="1" applyAlignment="1">
      <alignment horizontal="right" vertical="center"/>
    </xf>
    <xf numFmtId="43" fontId="107" fillId="3" borderId="376" xfId="65" applyFont="1" applyFill="1" applyBorder="1" applyAlignment="1">
      <alignment horizontal="center" vertical="center"/>
    </xf>
    <xf numFmtId="43" fontId="107" fillId="3" borderId="376" xfId="65" applyFont="1" applyFill="1" applyBorder="1" applyAlignment="1">
      <alignment horizontal="left" vertical="center" wrapText="1"/>
    </xf>
    <xf numFmtId="43" fontId="114" fillId="3" borderId="376" xfId="65" applyFont="1" applyFill="1" applyBorder="1" applyAlignment="1">
      <alignment horizontal="left" vertical="center"/>
    </xf>
    <xf numFmtId="43" fontId="109" fillId="3" borderId="376" xfId="65" applyFont="1" applyFill="1" applyBorder="1" applyAlignment="1">
      <alignment horizontal="left" vertical="center"/>
    </xf>
    <xf numFmtId="167" fontId="109" fillId="3" borderId="377" xfId="65" applyNumberFormat="1" applyFont="1" applyFill="1" applyBorder="1" applyAlignment="1">
      <alignment horizontal="left" vertical="center"/>
    </xf>
    <xf numFmtId="167" fontId="109" fillId="3" borderId="378" xfId="65" applyNumberFormat="1" applyFont="1" applyFill="1" applyBorder="1" applyAlignment="1">
      <alignment horizontal="left" vertical="center"/>
    </xf>
    <xf numFmtId="43" fontId="106" fillId="0" borderId="376" xfId="65" applyFont="1" applyBorder="1" applyAlignment="1">
      <alignment horizontal="right" vertical="center"/>
    </xf>
    <xf numFmtId="43" fontId="106" fillId="0" borderId="298" xfId="65" applyFont="1" applyBorder="1" applyAlignment="1">
      <alignment horizontal="right" vertical="center"/>
    </xf>
    <xf numFmtId="167" fontId="106" fillId="0" borderId="376" xfId="65" applyNumberFormat="1" applyFont="1" applyBorder="1" applyAlignment="1">
      <alignment horizontal="right" vertical="center"/>
    </xf>
    <xf numFmtId="43" fontId="107" fillId="0" borderId="376" xfId="65" applyFont="1" applyBorder="1" applyAlignment="1">
      <alignment horizontal="center" vertical="center"/>
    </xf>
    <xf numFmtId="167" fontId="108" fillId="0" borderId="377" xfId="65" applyNumberFormat="1" applyFont="1" applyBorder="1" applyAlignment="1">
      <alignment horizontal="center" vertical="center"/>
    </xf>
    <xf numFmtId="167" fontId="108" fillId="0" borderId="378" xfId="65" applyNumberFormat="1" applyFont="1" applyBorder="1" applyAlignment="1">
      <alignment horizontal="center" vertical="center"/>
    </xf>
    <xf numFmtId="43" fontId="109" fillId="8" borderId="36" xfId="65" applyFont="1" applyFill="1" applyBorder="1" applyAlignment="1">
      <alignment horizontal="center" vertical="center"/>
    </xf>
    <xf numFmtId="167" fontId="116" fillId="8" borderId="332" xfId="65" applyNumberFormat="1" applyFont="1" applyFill="1" applyBorder="1" applyAlignment="1">
      <alignment horizontal="center" vertical="center"/>
    </xf>
    <xf numFmtId="167" fontId="116" fillId="8" borderId="36" xfId="65" applyNumberFormat="1" applyFont="1" applyFill="1" applyBorder="1" applyAlignment="1">
      <alignment horizontal="center" vertical="center"/>
    </xf>
    <xf numFmtId="43" fontId="117" fillId="8" borderId="379" xfId="65" applyFont="1" applyFill="1" applyBorder="1" applyAlignment="1">
      <alignment horizontal="center" vertical="center"/>
    </xf>
    <xf numFmtId="43" fontId="117" fillId="8" borderId="385" xfId="65" applyFont="1" applyFill="1" applyBorder="1" applyAlignment="1">
      <alignment horizontal="center" vertical="center"/>
    </xf>
    <xf numFmtId="43" fontId="114" fillId="0" borderId="389" xfId="65" applyFont="1" applyBorder="1" applyAlignment="1">
      <alignment horizontal="left" vertical="center"/>
    </xf>
    <xf numFmtId="43" fontId="63" fillId="0" borderId="389" xfId="65" applyFont="1" applyBorder="1" applyAlignment="1">
      <alignment horizontal="right" vertical="center"/>
    </xf>
    <xf numFmtId="43" fontId="63" fillId="0" borderId="389" xfId="65" applyFont="1" applyBorder="1" applyAlignment="1">
      <alignment horizontal="center" vertical="center"/>
    </xf>
    <xf numFmtId="43" fontId="106" fillId="0" borderId="389" xfId="65" applyFont="1" applyBorder="1" applyAlignment="1">
      <alignment vertical="center"/>
    </xf>
    <xf numFmtId="167" fontId="106" fillId="0" borderId="389" xfId="65" applyNumberFormat="1" applyFont="1" applyBorder="1" applyAlignment="1">
      <alignment vertical="center"/>
    </xf>
    <xf numFmtId="43" fontId="107" fillId="0" borderId="389" xfId="65" applyFont="1" applyBorder="1" applyAlignment="1">
      <alignment horizontal="center" vertical="center"/>
    </xf>
    <xf numFmtId="43" fontId="107" fillId="0" borderId="389" xfId="65" applyFont="1" applyBorder="1" applyAlignment="1">
      <alignment horizontal="left" vertical="center" wrapText="1"/>
    </xf>
    <xf numFmtId="43" fontId="48" fillId="0" borderId="0" xfId="65" applyFont="1" applyAlignment="1">
      <alignment horizontal="center"/>
    </xf>
    <xf numFmtId="167" fontId="78" fillId="0" borderId="0" xfId="65" applyNumberFormat="1" applyFont="1"/>
    <xf numFmtId="167" fontId="48" fillId="0" borderId="0" xfId="65" applyNumberFormat="1" applyFont="1" applyAlignment="1">
      <alignment horizontal="center"/>
    </xf>
    <xf numFmtId="167" fontId="79" fillId="0" borderId="0" xfId="65" applyNumberFormat="1" applyFont="1"/>
    <xf numFmtId="43" fontId="79" fillId="0" borderId="0" xfId="65" applyFont="1"/>
    <xf numFmtId="15" fontId="79" fillId="0" borderId="0" xfId="65" applyNumberFormat="1" applyFont="1"/>
    <xf numFmtId="43" fontId="62" fillId="0" borderId="0" xfId="65" applyFont="1" applyAlignment="1">
      <alignment vertical="center"/>
    </xf>
    <xf numFmtId="43" fontId="61" fillId="0" borderId="0" xfId="65" applyFont="1" applyAlignment="1">
      <alignment vertical="center"/>
    </xf>
    <xf numFmtId="43" fontId="118" fillId="0" borderId="0" xfId="65" applyFont="1" applyAlignment="1">
      <alignment vertical="center"/>
    </xf>
    <xf numFmtId="167" fontId="118" fillId="0" borderId="0" xfId="65" applyNumberFormat="1" applyFont="1" applyAlignment="1">
      <alignment vertical="center"/>
    </xf>
    <xf numFmtId="43" fontId="119" fillId="0" borderId="0" xfId="65" applyFont="1" applyAlignment="1">
      <alignment horizontal="center" vertical="center"/>
    </xf>
    <xf numFmtId="43" fontId="119" fillId="0" borderId="0" xfId="65" applyFont="1" applyAlignment="1">
      <alignment horizontal="left" vertical="center" wrapText="1"/>
    </xf>
    <xf numFmtId="0" fontId="9" fillId="0" borderId="0" xfId="143"/>
    <xf numFmtId="0" fontId="9" fillId="8" borderId="0" xfId="143" applyFill="1"/>
    <xf numFmtId="167" fontId="9" fillId="8" borderId="390" xfId="64" applyNumberFormat="1" applyFont="1" applyFill="1" applyBorder="1"/>
    <xf numFmtId="167" fontId="9" fillId="0" borderId="0" xfId="64" applyNumberFormat="1" applyFont="1"/>
    <xf numFmtId="167" fontId="9" fillId="0" borderId="390" xfId="64" applyNumberFormat="1" applyFont="1" applyBorder="1"/>
    <xf numFmtId="167" fontId="9" fillId="0" borderId="0" xfId="64" applyNumberFormat="1" applyFont="1" applyBorder="1"/>
    <xf numFmtId="186" fontId="9" fillId="0" borderId="391" xfId="173" applyNumberFormat="1" applyFont="1" applyBorder="1" applyAlignment="1">
      <alignment horizontal="center" vertical="center"/>
    </xf>
    <xf numFmtId="186" fontId="9" fillId="0" borderId="392" xfId="173" applyNumberFormat="1" applyFont="1" applyBorder="1" applyAlignment="1">
      <alignment horizontal="left" vertical="center"/>
    </xf>
    <xf numFmtId="0" fontId="121" fillId="0" borderId="393" xfId="125" applyFont="1" applyBorder="1"/>
    <xf numFmtId="167" fontId="9" fillId="8" borderId="394" xfId="64" applyNumberFormat="1" applyFont="1" applyFill="1" applyBorder="1"/>
    <xf numFmtId="167" fontId="9" fillId="0" borderId="394" xfId="64" applyNumberFormat="1" applyFont="1" applyBorder="1"/>
    <xf numFmtId="186" fontId="9" fillId="0" borderId="376" xfId="173" applyNumberFormat="1" applyFont="1" applyBorder="1" applyAlignment="1">
      <alignment horizontal="center" vertical="center"/>
    </xf>
    <xf numFmtId="186" fontId="9" fillId="0" borderId="20" xfId="173" applyNumberFormat="1" applyFont="1" applyBorder="1" applyAlignment="1">
      <alignment horizontal="left" vertical="center"/>
    </xf>
    <xf numFmtId="0" fontId="121" fillId="0" borderId="395" xfId="125" applyFont="1" applyBorder="1" applyAlignment="1">
      <alignment horizontal="center"/>
    </xf>
    <xf numFmtId="167" fontId="9" fillId="3" borderId="394" xfId="64" applyNumberFormat="1" applyFont="1" applyFill="1" applyBorder="1"/>
    <xf numFmtId="167" fontId="9" fillId="3" borderId="0" xfId="64" applyNumberFormat="1" applyFont="1" applyFill="1" applyBorder="1"/>
    <xf numFmtId="186" fontId="9" fillId="3" borderId="376" xfId="173" applyNumberFormat="1" applyFont="1" applyFill="1" applyBorder="1" applyAlignment="1">
      <alignment horizontal="center" vertical="center"/>
    </xf>
    <xf numFmtId="186" fontId="9" fillId="3" borderId="20" xfId="173" applyNumberFormat="1" applyFont="1" applyFill="1" applyBorder="1" applyAlignment="1">
      <alignment horizontal="left" vertical="center"/>
    </xf>
    <xf numFmtId="167" fontId="9" fillId="0" borderId="394" xfId="64" applyNumberFormat="1" applyFont="1" applyFill="1" applyBorder="1"/>
    <xf numFmtId="167" fontId="9" fillId="0" borderId="0" xfId="64" applyNumberFormat="1" applyFont="1" applyFill="1" applyBorder="1"/>
    <xf numFmtId="186" fontId="9" fillId="0" borderId="19" xfId="173" applyNumberFormat="1" applyFont="1" applyBorder="1" applyAlignment="1">
      <alignment horizontal="center" vertical="center"/>
    </xf>
    <xf numFmtId="167" fontId="9" fillId="8" borderId="396" xfId="64" applyNumberFormat="1" applyFont="1" applyFill="1" applyBorder="1"/>
    <xf numFmtId="167" fontId="9" fillId="0" borderId="396" xfId="64" applyNumberFormat="1" applyFont="1" applyBorder="1"/>
    <xf numFmtId="0" fontId="121" fillId="0" borderId="397" xfId="125" applyFont="1" applyBorder="1" applyAlignment="1">
      <alignment horizontal="center"/>
    </xf>
    <xf numFmtId="167" fontId="9" fillId="12" borderId="394" xfId="64" applyNumberFormat="1" applyFont="1" applyFill="1" applyBorder="1"/>
    <xf numFmtId="186" fontId="33" fillId="0" borderId="20" xfId="173" applyNumberFormat="1" applyFont="1" applyBorder="1" applyAlignment="1">
      <alignment horizontal="left" vertical="center"/>
    </xf>
    <xf numFmtId="186" fontId="12" fillId="0" borderId="20" xfId="173" applyNumberFormat="1" applyFont="1" applyBorder="1" applyAlignment="1">
      <alignment horizontal="left" vertical="center"/>
    </xf>
    <xf numFmtId="0" fontId="121" fillId="0" borderId="20" xfId="125" applyFont="1" applyBorder="1" applyAlignment="1">
      <alignment horizontal="left"/>
    </xf>
    <xf numFmtId="167" fontId="9" fillId="8" borderId="0" xfId="64" applyNumberFormat="1" applyFont="1" applyFill="1" applyBorder="1"/>
    <xf numFmtId="186" fontId="9" fillId="8" borderId="19" xfId="173" applyNumberFormat="1" applyFont="1" applyFill="1" applyBorder="1" applyAlignment="1">
      <alignment horizontal="center" vertical="center"/>
    </xf>
    <xf numFmtId="186" fontId="9" fillId="8" borderId="20" xfId="173" applyNumberFormat="1" applyFont="1" applyFill="1" applyBorder="1" applyAlignment="1">
      <alignment horizontal="left" vertical="center"/>
    </xf>
    <xf numFmtId="0" fontId="121" fillId="8" borderId="397" xfId="125" applyFont="1" applyFill="1" applyBorder="1" applyAlignment="1">
      <alignment horizontal="center"/>
    </xf>
    <xf numFmtId="0" fontId="121" fillId="0" borderId="19" xfId="125" applyFont="1" applyBorder="1" applyAlignment="1">
      <alignment horizontal="center"/>
    </xf>
    <xf numFmtId="0" fontId="121" fillId="0" borderId="20" xfId="125" applyFont="1" applyBorder="1" applyAlignment="1">
      <alignment vertical="center"/>
    </xf>
    <xf numFmtId="186" fontId="12" fillId="8" borderId="398" xfId="173" applyNumberFormat="1" applyFont="1" applyFill="1" applyBorder="1" applyAlignment="1">
      <alignment horizontal="center" vertical="center"/>
    </xf>
    <xf numFmtId="0" fontId="121" fillId="0" borderId="0" xfId="125" applyFont="1" applyAlignment="1">
      <alignment horizontal="center"/>
    </xf>
    <xf numFmtId="186" fontId="12" fillId="0" borderId="398" xfId="173" applyNumberFormat="1" applyFont="1" applyBorder="1" applyAlignment="1">
      <alignment horizontal="center" vertical="center"/>
    </xf>
    <xf numFmtId="186" fontId="12" fillId="0" borderId="0" xfId="173" applyNumberFormat="1" applyFont="1" applyAlignment="1">
      <alignment horizontal="center" vertical="center"/>
    </xf>
    <xf numFmtId="186" fontId="12" fillId="0" borderId="295" xfId="173" quotePrefix="1" applyNumberFormat="1" applyFont="1" applyBorder="1" applyAlignment="1">
      <alignment horizontal="center" vertical="center"/>
    </xf>
    <xf numFmtId="186" fontId="12" fillId="0" borderId="323" xfId="173" quotePrefix="1" applyNumberFormat="1" applyFont="1" applyBorder="1" applyAlignment="1">
      <alignment horizontal="center" vertical="center"/>
    </xf>
    <xf numFmtId="186" fontId="12" fillId="0" borderId="399" xfId="173" quotePrefix="1" applyNumberFormat="1" applyFont="1" applyBorder="1" applyAlignment="1">
      <alignment horizontal="center" vertical="center"/>
    </xf>
    <xf numFmtId="0" fontId="122" fillId="0" borderId="0" xfId="125" applyFont="1" applyAlignment="1">
      <alignment horizontal="center"/>
    </xf>
    <xf numFmtId="186" fontId="12" fillId="0" borderId="400" xfId="173" applyNumberFormat="1" applyFont="1" applyBorder="1" applyAlignment="1">
      <alignment horizontal="center" vertical="center"/>
    </xf>
    <xf numFmtId="186" fontId="12" fillId="0" borderId="252" xfId="173" applyNumberFormat="1" applyFont="1" applyBorder="1" applyAlignment="1">
      <alignment horizontal="center" vertical="center"/>
    </xf>
    <xf numFmtId="0" fontId="9" fillId="8" borderId="0" xfId="117" applyFill="1"/>
    <xf numFmtId="164" fontId="123" fillId="8" borderId="134" xfId="1" applyFont="1" applyFill="1" applyBorder="1"/>
    <xf numFmtId="164" fontId="123" fillId="8" borderId="242" xfId="1" applyFont="1" applyFill="1" applyBorder="1"/>
    <xf numFmtId="164" fontId="123" fillId="8" borderId="240" xfId="1" applyFont="1" applyFill="1" applyBorder="1"/>
    <xf numFmtId="4" fontId="12" fillId="8" borderId="240" xfId="117" applyNumberFormat="1" applyFont="1" applyFill="1" applyBorder="1" applyAlignment="1">
      <alignment horizontal="center"/>
    </xf>
    <xf numFmtId="0" fontId="124" fillId="8" borderId="38" xfId="117" applyFont="1" applyFill="1" applyBorder="1"/>
    <xf numFmtId="0" fontId="124" fillId="8" borderId="0" xfId="117" applyFont="1" applyFill="1" applyAlignment="1">
      <alignment horizontal="center"/>
    </xf>
    <xf numFmtId="180" fontId="124" fillId="8" borderId="37" xfId="117" applyNumberFormat="1" applyFont="1" applyFill="1" applyBorder="1"/>
    <xf numFmtId="164" fontId="124" fillId="8" borderId="298" xfId="1" applyFont="1" applyFill="1" applyBorder="1"/>
    <xf numFmtId="164" fontId="124" fillId="8" borderId="37" xfId="1" applyFont="1" applyFill="1" applyBorder="1"/>
    <xf numFmtId="164" fontId="9" fillId="8" borderId="298" xfId="1" applyFont="1" applyFill="1" applyBorder="1"/>
    <xf numFmtId="2" fontId="124" fillId="8" borderId="37" xfId="117" applyNumberFormat="1" applyFont="1" applyFill="1" applyBorder="1"/>
    <xf numFmtId="4" fontId="124" fillId="8" borderId="298" xfId="117" applyNumberFormat="1" applyFont="1" applyFill="1" applyBorder="1"/>
    <xf numFmtId="4" fontId="124" fillId="8" borderId="37" xfId="117" applyNumberFormat="1" applyFont="1" applyFill="1" applyBorder="1"/>
    <xf numFmtId="4" fontId="9" fillId="8" borderId="298" xfId="117" applyNumberFormat="1" applyFill="1" applyBorder="1"/>
    <xf numFmtId="0" fontId="124" fillId="8" borderId="38" xfId="117" applyFont="1" applyFill="1" applyBorder="1" applyAlignment="1">
      <alignment horizontal="right"/>
    </xf>
    <xf numFmtId="4" fontId="9" fillId="8" borderId="298" xfId="117" applyNumberFormat="1" applyFill="1" applyBorder="1" applyAlignment="1">
      <alignment horizontal="center"/>
    </xf>
    <xf numFmtId="0" fontId="9" fillId="3" borderId="0" xfId="143" applyFill="1"/>
    <xf numFmtId="0" fontId="9" fillId="3" borderId="0" xfId="117" applyFill="1"/>
    <xf numFmtId="164" fontId="123" fillId="3" borderId="134" xfId="1" applyFont="1" applyFill="1" applyBorder="1"/>
    <xf numFmtId="164" fontId="123" fillId="3" borderId="242" xfId="1" applyFont="1" applyFill="1" applyBorder="1"/>
    <xf numFmtId="164" fontId="123" fillId="3" borderId="240" xfId="1" applyFont="1" applyFill="1" applyBorder="1"/>
    <xf numFmtId="4" fontId="12" fillId="3" borderId="240" xfId="117" applyNumberFormat="1" applyFont="1" applyFill="1" applyBorder="1" applyAlignment="1">
      <alignment horizontal="center"/>
    </xf>
    <xf numFmtId="0" fontId="124" fillId="3" borderId="38" xfId="117" applyFont="1" applyFill="1" applyBorder="1"/>
    <xf numFmtId="0" fontId="124" fillId="3" borderId="0" xfId="117" applyFont="1" applyFill="1" applyAlignment="1">
      <alignment horizontal="center"/>
    </xf>
    <xf numFmtId="180" fontId="124" fillId="3" borderId="37" xfId="117" applyNumberFormat="1" applyFont="1" applyFill="1" applyBorder="1"/>
    <xf numFmtId="164" fontId="124" fillId="3" borderId="298" xfId="1" applyFont="1" applyFill="1" applyBorder="1"/>
    <xf numFmtId="164" fontId="124" fillId="3" borderId="37" xfId="1" applyFont="1" applyFill="1" applyBorder="1"/>
    <xf numFmtId="164" fontId="9" fillId="3" borderId="298" xfId="1" applyFont="1" applyFill="1" applyBorder="1"/>
    <xf numFmtId="2" fontId="124" fillId="3" borderId="37" xfId="117" applyNumberFormat="1" applyFont="1" applyFill="1" applyBorder="1"/>
    <xf numFmtId="4" fontId="124" fillId="3" borderId="298" xfId="117" applyNumberFormat="1" applyFont="1" applyFill="1" applyBorder="1"/>
    <xf numFmtId="4" fontId="124" fillId="3" borderId="37" xfId="117" applyNumberFormat="1" applyFont="1" applyFill="1" applyBorder="1"/>
    <xf numFmtId="4" fontId="9" fillId="3" borderId="298" xfId="117" applyNumberFormat="1" applyFill="1" applyBorder="1"/>
    <xf numFmtId="0" fontId="124" fillId="3" borderId="38" xfId="117" applyFont="1" applyFill="1" applyBorder="1" applyAlignment="1">
      <alignment horizontal="right"/>
    </xf>
    <xf numFmtId="4" fontId="9" fillId="3" borderId="298" xfId="117" applyNumberFormat="1" applyFill="1" applyBorder="1" applyAlignment="1">
      <alignment horizontal="center"/>
    </xf>
    <xf numFmtId="0" fontId="9" fillId="0" borderId="0" xfId="117"/>
    <xf numFmtId="4" fontId="124" fillId="0" borderId="298" xfId="117" applyNumberFormat="1" applyFont="1" applyBorder="1"/>
    <xf numFmtId="4" fontId="124" fillId="0" borderId="37" xfId="117" applyNumberFormat="1" applyFont="1" applyBorder="1"/>
    <xf numFmtId="4" fontId="9" fillId="0" borderId="298" xfId="117" applyNumberFormat="1" applyBorder="1" applyAlignment="1">
      <alignment horizontal="center"/>
    </xf>
    <xf numFmtId="0" fontId="124" fillId="0" borderId="38" xfId="117" applyFont="1" applyBorder="1"/>
    <xf numFmtId="0" fontId="124" fillId="0" borderId="0" xfId="117" applyFont="1" applyAlignment="1">
      <alignment horizontal="center"/>
    </xf>
    <xf numFmtId="180" fontId="123" fillId="0" borderId="37" xfId="117" applyNumberFormat="1" applyFont="1" applyBorder="1"/>
    <xf numFmtId="0" fontId="123" fillId="0" borderId="38" xfId="117" applyFont="1" applyBorder="1" applyAlignment="1">
      <alignment horizontal="center"/>
    </xf>
    <xf numFmtId="180" fontId="124" fillId="0" borderId="37" xfId="117" applyNumberFormat="1" applyFont="1" applyBorder="1"/>
    <xf numFmtId="4" fontId="9" fillId="8" borderId="298" xfId="117" quotePrefix="1" applyNumberFormat="1" applyFill="1" applyBorder="1"/>
    <xf numFmtId="0" fontId="12" fillId="8" borderId="0" xfId="143" applyFont="1" applyFill="1"/>
    <xf numFmtId="0" fontId="12" fillId="8" borderId="0" xfId="117" applyFont="1" applyFill="1"/>
    <xf numFmtId="164" fontId="123" fillId="8" borderId="253" xfId="1" applyFont="1" applyFill="1" applyBorder="1"/>
    <xf numFmtId="164" fontId="123" fillId="8" borderId="37" xfId="1" applyFont="1" applyFill="1" applyBorder="1"/>
    <xf numFmtId="164" fontId="123" fillId="8" borderId="298" xfId="1" applyFont="1" applyFill="1" applyBorder="1"/>
    <xf numFmtId="4" fontId="12" fillId="8" borderId="298" xfId="117" applyNumberFormat="1" applyFont="1" applyFill="1" applyBorder="1" applyAlignment="1">
      <alignment horizontal="center"/>
    </xf>
    <xf numFmtId="0" fontId="123" fillId="8" borderId="38" xfId="117" applyFont="1" applyFill="1" applyBorder="1"/>
    <xf numFmtId="0" fontId="123" fillId="8" borderId="0" xfId="117" applyFont="1" applyFill="1" applyAlignment="1">
      <alignment horizontal="center"/>
    </xf>
    <xf numFmtId="180" fontId="123" fillId="8" borderId="37" xfId="117" applyNumberFormat="1" applyFont="1" applyFill="1" applyBorder="1"/>
    <xf numFmtId="0" fontId="124" fillId="8" borderId="38" xfId="117" applyFont="1" applyFill="1" applyBorder="1" applyAlignment="1">
      <alignment horizontal="center"/>
    </xf>
    <xf numFmtId="0" fontId="12" fillId="12" borderId="0" xfId="143" applyFont="1" applyFill="1"/>
    <xf numFmtId="0" fontId="12" fillId="12" borderId="0" xfId="117" applyFont="1" applyFill="1"/>
    <xf numFmtId="164" fontId="123" fillId="12" borderId="134" xfId="1" applyFont="1" applyFill="1" applyBorder="1"/>
    <xf numFmtId="164" fontId="123" fillId="12" borderId="240" xfId="1" applyFont="1" applyFill="1" applyBorder="1"/>
    <xf numFmtId="4" fontId="12" fillId="12" borderId="240" xfId="117" applyNumberFormat="1" applyFont="1" applyFill="1" applyBorder="1" applyAlignment="1">
      <alignment horizontal="center"/>
    </xf>
    <xf numFmtId="0" fontId="123" fillId="12" borderId="38" xfId="117" applyFont="1" applyFill="1" applyBorder="1"/>
    <xf numFmtId="0" fontId="123" fillId="12" borderId="0" xfId="117" applyFont="1" applyFill="1" applyAlignment="1">
      <alignment horizontal="center"/>
    </xf>
    <xf numFmtId="180" fontId="123" fillId="12" borderId="37" xfId="117" applyNumberFormat="1" applyFont="1" applyFill="1" applyBorder="1"/>
    <xf numFmtId="0" fontId="9" fillId="12" borderId="0" xfId="143" applyFill="1"/>
    <xf numFmtId="0" fontId="9" fillId="12" borderId="0" xfId="117" applyFill="1"/>
    <xf numFmtId="164" fontId="124" fillId="12" borderId="298" xfId="1" applyFont="1" applyFill="1" applyBorder="1"/>
    <xf numFmtId="164" fontId="124" fillId="12" borderId="0" xfId="1" applyFont="1" applyFill="1" applyBorder="1"/>
    <xf numFmtId="164" fontId="9" fillId="12" borderId="298" xfId="1" applyFont="1" applyFill="1" applyBorder="1"/>
    <xf numFmtId="0" fontId="124" fillId="12" borderId="38" xfId="117" applyFont="1" applyFill="1" applyBorder="1"/>
    <xf numFmtId="0" fontId="124" fillId="12" borderId="0" xfId="117" applyFont="1" applyFill="1" applyAlignment="1">
      <alignment horizontal="center"/>
    </xf>
    <xf numFmtId="2" fontId="124" fillId="12" borderId="37" xfId="117" applyNumberFormat="1" applyFont="1" applyFill="1" applyBorder="1"/>
    <xf numFmtId="4" fontId="124" fillId="12" borderId="298" xfId="117" applyNumberFormat="1" applyFont="1" applyFill="1" applyBorder="1"/>
    <xf numFmtId="4" fontId="124" fillId="12" borderId="0" xfId="117" applyNumberFormat="1" applyFont="1" applyFill="1"/>
    <xf numFmtId="4" fontId="9" fillId="12" borderId="298" xfId="117" applyNumberFormat="1" applyFill="1" applyBorder="1"/>
    <xf numFmtId="180" fontId="124" fillId="12" borderId="37" xfId="117" applyNumberFormat="1" applyFont="1" applyFill="1" applyBorder="1"/>
    <xf numFmtId="0" fontId="124" fillId="12" borderId="38" xfId="117" applyFont="1" applyFill="1" applyBorder="1" applyAlignment="1">
      <alignment horizontal="center"/>
    </xf>
    <xf numFmtId="41" fontId="9" fillId="12" borderId="0" xfId="117" applyNumberFormat="1" applyFill="1"/>
    <xf numFmtId="41" fontId="9" fillId="12" borderId="298" xfId="117" applyNumberFormat="1" applyFill="1" applyBorder="1"/>
    <xf numFmtId="4" fontId="9" fillId="12" borderId="406" xfId="117" applyNumberFormat="1" applyFill="1" applyBorder="1"/>
    <xf numFmtId="0" fontId="123" fillId="12" borderId="0" xfId="117" applyFont="1" applyFill="1"/>
    <xf numFmtId="164" fontId="124" fillId="8" borderId="0" xfId="1" applyFont="1" applyFill="1" applyBorder="1"/>
    <xf numFmtId="4" fontId="124" fillId="8" borderId="0" xfId="117" applyNumberFormat="1" applyFont="1" applyFill="1"/>
    <xf numFmtId="41" fontId="9" fillId="8" borderId="0" xfId="117" applyNumberFormat="1" applyFill="1"/>
    <xf numFmtId="41" fontId="9" fillId="8" borderId="298" xfId="117" applyNumberFormat="1" applyFill="1" applyBorder="1"/>
    <xf numFmtId="4" fontId="9" fillId="8" borderId="406" xfId="117" applyNumberFormat="1" applyFill="1" applyBorder="1"/>
    <xf numFmtId="0" fontId="123" fillId="8" borderId="0" xfId="117" applyFont="1" applyFill="1"/>
    <xf numFmtId="0" fontId="12" fillId="3" borderId="0" xfId="143" applyFont="1" applyFill="1"/>
    <xf numFmtId="0" fontId="12" fillId="3" borderId="0" xfId="117" applyFont="1" applyFill="1"/>
    <xf numFmtId="0" fontId="123" fillId="3" borderId="38" xfId="117" applyFont="1" applyFill="1" applyBorder="1"/>
    <xf numFmtId="0" fontId="123" fillId="3" borderId="0" xfId="117" applyFont="1" applyFill="1" applyAlignment="1">
      <alignment horizontal="center"/>
    </xf>
    <xf numFmtId="180" fontId="123" fillId="3" borderId="37" xfId="117" applyNumberFormat="1" applyFont="1" applyFill="1" applyBorder="1"/>
    <xf numFmtId="164" fontId="124" fillId="3" borderId="0" xfId="1" applyFont="1" applyFill="1" applyBorder="1"/>
    <xf numFmtId="4" fontId="124" fillId="3" borderId="0" xfId="117" applyNumberFormat="1" applyFont="1" applyFill="1"/>
    <xf numFmtId="0" fontId="124" fillId="3" borderId="38" xfId="117" applyFont="1" applyFill="1" applyBorder="1" applyAlignment="1">
      <alignment horizontal="center"/>
    </xf>
    <xf numFmtId="41" fontId="9" fillId="3" borderId="0" xfId="117" applyNumberFormat="1" applyFill="1"/>
    <xf numFmtId="41" fontId="9" fillId="3" borderId="298" xfId="117" applyNumberFormat="1" applyFill="1" applyBorder="1"/>
    <xf numFmtId="4" fontId="9" fillId="3" borderId="406" xfId="117" applyNumberFormat="1" applyFill="1" applyBorder="1"/>
    <xf numFmtId="0" fontId="123" fillId="3" borderId="0" xfId="117" applyFont="1" applyFill="1"/>
    <xf numFmtId="41" fontId="123" fillId="12" borderId="134" xfId="18" applyFont="1" applyFill="1" applyBorder="1"/>
    <xf numFmtId="41" fontId="123" fillId="12" borderId="242" xfId="18" applyFont="1" applyFill="1" applyBorder="1"/>
    <xf numFmtId="41" fontId="123" fillId="12" borderId="240" xfId="18" applyFont="1" applyFill="1" applyBorder="1"/>
    <xf numFmtId="41" fontId="12" fillId="12" borderId="240" xfId="18" applyFont="1" applyFill="1" applyBorder="1" applyAlignment="1">
      <alignment horizontal="center"/>
    </xf>
    <xf numFmtId="41" fontId="124" fillId="12" borderId="298" xfId="18" applyFont="1" applyFill="1" applyBorder="1"/>
    <xf numFmtId="41" fontId="124" fillId="12" borderId="0" xfId="18" applyFont="1" applyFill="1" applyBorder="1"/>
    <xf numFmtId="41" fontId="124" fillId="12" borderId="407" xfId="18" applyFont="1" applyFill="1" applyBorder="1"/>
    <xf numFmtId="41" fontId="9" fillId="12" borderId="298" xfId="18" applyFont="1" applyFill="1" applyBorder="1"/>
    <xf numFmtId="0" fontId="124" fillId="12" borderId="38" xfId="117" applyFont="1" applyFill="1" applyBorder="1" applyAlignment="1">
      <alignment horizontal="right"/>
    </xf>
    <xf numFmtId="164" fontId="123" fillId="12" borderId="253" xfId="1" applyFont="1" applyFill="1" applyBorder="1"/>
    <xf numFmtId="164" fontId="123" fillId="12" borderId="0" xfId="1" applyFont="1" applyFill="1" applyBorder="1"/>
    <xf numFmtId="164" fontId="123" fillId="12" borderId="298" xfId="1" applyFont="1" applyFill="1" applyBorder="1"/>
    <xf numFmtId="4" fontId="12" fillId="12" borderId="298" xfId="117" applyNumberFormat="1" applyFont="1" applyFill="1" applyBorder="1" applyAlignment="1">
      <alignment horizontal="center"/>
    </xf>
    <xf numFmtId="164" fontId="123" fillId="8" borderId="240" xfId="1" applyFont="1" applyFill="1" applyBorder="1" applyAlignment="1">
      <alignment horizontal="center"/>
    </xf>
    <xf numFmtId="164" fontId="123" fillId="8" borderId="373" xfId="1" applyFont="1" applyFill="1" applyBorder="1" applyAlignment="1">
      <alignment horizontal="center"/>
    </xf>
    <xf numFmtId="41" fontId="124" fillId="8" borderId="298" xfId="18" applyFont="1" applyFill="1" applyBorder="1"/>
    <xf numFmtId="41" fontId="9" fillId="8" borderId="0" xfId="18" applyFont="1" applyFill="1"/>
    <xf numFmtId="41" fontId="9" fillId="8" borderId="298" xfId="18" applyFont="1" applyFill="1" applyBorder="1"/>
    <xf numFmtId="0" fontId="9" fillId="8" borderId="298" xfId="143" applyFill="1" applyBorder="1"/>
    <xf numFmtId="2" fontId="9" fillId="8" borderId="0" xfId="117" applyNumberFormat="1" applyFill="1"/>
    <xf numFmtId="0" fontId="9" fillId="8" borderId="298" xfId="117" applyFill="1" applyBorder="1"/>
    <xf numFmtId="41" fontId="123" fillId="8" borderId="134" xfId="18" applyFont="1" applyFill="1" applyBorder="1" applyAlignment="1">
      <alignment horizontal="center"/>
    </xf>
    <xf numFmtId="41" fontId="123" fillId="8" borderId="373" xfId="18" applyFont="1" applyFill="1" applyBorder="1" applyAlignment="1">
      <alignment horizontal="center"/>
    </xf>
    <xf numFmtId="41" fontId="123" fillId="8" borderId="240" xfId="18" applyFont="1" applyFill="1" applyBorder="1" applyAlignment="1">
      <alignment horizontal="center"/>
    </xf>
    <xf numFmtId="164" fontId="9" fillId="8" borderId="0" xfId="1" applyFont="1" applyFill="1"/>
    <xf numFmtId="41" fontId="9" fillId="8" borderId="406" xfId="117" applyNumberFormat="1" applyFill="1" applyBorder="1"/>
    <xf numFmtId="41" fontId="123" fillId="12" borderId="134" xfId="18" applyFont="1" applyFill="1" applyBorder="1" applyAlignment="1">
      <alignment horizontal="center"/>
    </xf>
    <xf numFmtId="41" fontId="123" fillId="12" borderId="242" xfId="18" applyFont="1" applyFill="1" applyBorder="1" applyAlignment="1">
      <alignment horizontal="center"/>
    </xf>
    <xf numFmtId="41" fontId="123" fillId="12" borderId="240" xfId="18" applyFont="1" applyFill="1" applyBorder="1" applyAlignment="1">
      <alignment horizontal="center"/>
    </xf>
    <xf numFmtId="41" fontId="9" fillId="12" borderId="37" xfId="18" applyFont="1" applyFill="1" applyBorder="1"/>
    <xf numFmtId="41" fontId="9" fillId="12" borderId="0" xfId="18" applyFont="1" applyFill="1"/>
    <xf numFmtId="0" fontId="9" fillId="12" borderId="298" xfId="143" applyFill="1" applyBorder="1"/>
    <xf numFmtId="2" fontId="9" fillId="12" borderId="0" xfId="117" applyNumberFormat="1" applyFill="1"/>
    <xf numFmtId="0" fontId="9" fillId="12" borderId="37" xfId="143" applyFill="1" applyBorder="1"/>
    <xf numFmtId="41" fontId="124" fillId="12" borderId="0" xfId="18" applyFont="1" applyFill="1"/>
    <xf numFmtId="0" fontId="9" fillId="12" borderId="37" xfId="117" applyFill="1" applyBorder="1"/>
    <xf numFmtId="0" fontId="9" fillId="12" borderId="298" xfId="117" applyFill="1" applyBorder="1"/>
    <xf numFmtId="41" fontId="9" fillId="0" borderId="37" xfId="117" applyNumberFormat="1" applyBorder="1"/>
    <xf numFmtId="41" fontId="9" fillId="0" borderId="0" xfId="117" applyNumberFormat="1"/>
    <xf numFmtId="4" fontId="9" fillId="0" borderId="298" xfId="117" applyNumberFormat="1" applyBorder="1"/>
    <xf numFmtId="0" fontId="123" fillId="0" borderId="0" xfId="117" applyFont="1"/>
    <xf numFmtId="0" fontId="123" fillId="0" borderId="0" xfId="117" applyFont="1" applyAlignment="1">
      <alignment horizontal="center"/>
    </xf>
    <xf numFmtId="41" fontId="123" fillId="0" borderId="253" xfId="18" applyFont="1" applyFill="1" applyBorder="1"/>
    <xf numFmtId="41" fontId="123" fillId="0" borderId="37" xfId="18" applyFont="1" applyFill="1" applyBorder="1"/>
    <xf numFmtId="41" fontId="123" fillId="0" borderId="0" xfId="18" applyFont="1" applyFill="1" applyBorder="1"/>
    <xf numFmtId="41" fontId="123" fillId="0" borderId="298" xfId="18" applyFont="1" applyFill="1" applyBorder="1"/>
    <xf numFmtId="4" fontId="12" fillId="0" borderId="406" xfId="117" applyNumberFormat="1" applyFont="1" applyBorder="1" applyAlignment="1">
      <alignment horizontal="center"/>
    </xf>
    <xf numFmtId="41" fontId="124" fillId="12" borderId="37" xfId="18" applyFont="1" applyFill="1" applyBorder="1"/>
    <xf numFmtId="41" fontId="9" fillId="12" borderId="37" xfId="117" applyNumberFormat="1" applyFill="1" applyBorder="1"/>
    <xf numFmtId="180" fontId="123" fillId="0" borderId="0" xfId="117" applyNumberFormat="1" applyFont="1"/>
    <xf numFmtId="4" fontId="9" fillId="0" borderId="406" xfId="117" applyNumberFormat="1" applyBorder="1"/>
    <xf numFmtId="164" fontId="123" fillId="8" borderId="242" xfId="1" applyFont="1" applyFill="1" applyBorder="1" applyAlignment="1">
      <alignment horizontal="center"/>
    </xf>
    <xf numFmtId="41" fontId="9" fillId="8" borderId="37" xfId="18" applyFont="1" applyFill="1" applyBorder="1"/>
    <xf numFmtId="0" fontId="9" fillId="8" borderId="37" xfId="117" applyFill="1" applyBorder="1"/>
    <xf numFmtId="41" fontId="9" fillId="8" borderId="37" xfId="117" applyNumberFormat="1" applyFill="1" applyBorder="1"/>
    <xf numFmtId="0" fontId="12" fillId="12" borderId="0" xfId="117" applyFont="1" applyFill="1" applyAlignment="1">
      <alignment horizontal="left"/>
    </xf>
    <xf numFmtId="0" fontId="12" fillId="12" borderId="0" xfId="117" applyFont="1" applyFill="1" applyAlignment="1">
      <alignment horizontal="right"/>
    </xf>
    <xf numFmtId="41" fontId="124" fillId="12" borderId="406" xfId="18" applyFont="1" applyFill="1" applyBorder="1"/>
    <xf numFmtId="41" fontId="124" fillId="12" borderId="242" xfId="18" applyFont="1" applyFill="1" applyBorder="1"/>
    <xf numFmtId="41" fontId="124" fillId="12" borderId="240" xfId="18" applyFont="1" applyFill="1" applyBorder="1"/>
    <xf numFmtId="4" fontId="9" fillId="12" borderId="240" xfId="117" applyNumberFormat="1" applyFill="1" applyBorder="1" applyAlignment="1">
      <alignment horizontal="center"/>
    </xf>
    <xf numFmtId="164" fontId="9" fillId="12" borderId="37" xfId="1" applyFont="1" applyFill="1" applyBorder="1"/>
    <xf numFmtId="41" fontId="9" fillId="12" borderId="408" xfId="117" applyNumberFormat="1" applyFill="1" applyBorder="1"/>
    <xf numFmtId="4" fontId="124" fillId="12" borderId="37" xfId="117" applyNumberFormat="1" applyFont="1" applyFill="1" applyBorder="1"/>
    <xf numFmtId="4" fontId="9" fillId="12" borderId="0" xfId="117" applyNumberFormat="1" applyFill="1"/>
    <xf numFmtId="0" fontId="123" fillId="0" borderId="38" xfId="117" applyFont="1" applyBorder="1"/>
    <xf numFmtId="164" fontId="124" fillId="0" borderId="240" xfId="1" applyFont="1" applyBorder="1"/>
    <xf numFmtId="164" fontId="124" fillId="0" borderId="242" xfId="1" applyFont="1" applyBorder="1"/>
    <xf numFmtId="164" fontId="9" fillId="0" borderId="240" xfId="1" applyFont="1" applyBorder="1"/>
    <xf numFmtId="164" fontId="9" fillId="0" borderId="240" xfId="1" applyFont="1" applyBorder="1" applyAlignment="1">
      <alignment horizontal="center"/>
    </xf>
    <xf numFmtId="164" fontId="124" fillId="0" borderId="240" xfId="1" applyFont="1" applyBorder="1" applyAlignment="1">
      <alignment vertical="top"/>
    </xf>
    <xf numFmtId="164" fontId="124" fillId="0" borderId="242" xfId="1" applyFont="1" applyBorder="1" applyAlignment="1">
      <alignment vertical="top"/>
    </xf>
    <xf numFmtId="164" fontId="9" fillId="0" borderId="240" xfId="1" applyFont="1" applyBorder="1" applyAlignment="1">
      <alignment horizontal="center" vertical="justify" wrapText="1"/>
    </xf>
    <xf numFmtId="0" fontId="124" fillId="0" borderId="38" xfId="117" applyFont="1" applyBorder="1" applyAlignment="1">
      <alignment vertical="top"/>
    </xf>
    <xf numFmtId="0" fontId="124" fillId="0" borderId="0" xfId="117" applyFont="1" applyAlignment="1">
      <alignment horizontal="center" vertical="top"/>
    </xf>
    <xf numFmtId="180" fontId="124" fillId="0" borderId="37" xfId="117" applyNumberFormat="1" applyFont="1" applyBorder="1" applyAlignment="1">
      <alignment vertical="top"/>
    </xf>
    <xf numFmtId="164" fontId="124" fillId="0" borderId="298" xfId="1" applyFont="1" applyBorder="1"/>
    <xf numFmtId="164" fontId="124" fillId="0" borderId="37" xfId="1" applyFont="1" applyBorder="1"/>
    <xf numFmtId="164" fontId="9" fillId="0" borderId="298" xfId="1" applyFont="1" applyBorder="1"/>
    <xf numFmtId="2" fontId="124" fillId="0" borderId="37" xfId="117" applyNumberFormat="1" applyFont="1" applyBorder="1"/>
    <xf numFmtId="41" fontId="121" fillId="0" borderId="0" xfId="18" applyFont="1"/>
    <xf numFmtId="0" fontId="124" fillId="0" borderId="38" xfId="117" applyFont="1" applyBorder="1" applyAlignment="1">
      <alignment horizontal="right"/>
    </xf>
    <xf numFmtId="164" fontId="124" fillId="8" borderId="240" xfId="1" applyFont="1" applyFill="1" applyBorder="1"/>
    <xf numFmtId="164" fontId="124" fillId="8" borderId="242" xfId="1" applyFont="1" applyFill="1" applyBorder="1"/>
    <xf numFmtId="164" fontId="9" fillId="8" borderId="240" xfId="1" applyFont="1" applyFill="1" applyBorder="1"/>
    <xf numFmtId="164" fontId="9" fillId="8" borderId="240" xfId="1" applyFont="1" applyFill="1" applyBorder="1" applyAlignment="1">
      <alignment horizontal="center"/>
    </xf>
    <xf numFmtId="164" fontId="124" fillId="8" borderId="240" xfId="1" applyFont="1" applyFill="1" applyBorder="1" applyAlignment="1">
      <alignment vertical="top"/>
    </xf>
    <xf numFmtId="164" fontId="124" fillId="8" borderId="242" xfId="1" applyFont="1" applyFill="1" applyBorder="1" applyAlignment="1">
      <alignment vertical="top"/>
    </xf>
    <xf numFmtId="164" fontId="9" fillId="8" borderId="240" xfId="1" applyFont="1" applyFill="1" applyBorder="1" applyAlignment="1">
      <alignment horizontal="center" vertical="justify" wrapText="1"/>
    </xf>
    <xf numFmtId="0" fontId="124" fillId="8" borderId="38" xfId="117" applyFont="1" applyFill="1" applyBorder="1" applyAlignment="1">
      <alignment vertical="top"/>
    </xf>
    <xf numFmtId="0" fontId="124" fillId="8" borderId="0" xfId="117" applyFont="1" applyFill="1" applyAlignment="1">
      <alignment horizontal="center" vertical="top"/>
    </xf>
    <xf numFmtId="180" fontId="124" fillId="8" borderId="37" xfId="117" applyNumberFormat="1" applyFont="1" applyFill="1" applyBorder="1" applyAlignment="1">
      <alignment vertical="top"/>
    </xf>
    <xf numFmtId="41" fontId="121" fillId="8" borderId="0" xfId="18" applyFont="1" applyFill="1"/>
    <xf numFmtId="9" fontId="9" fillId="0" borderId="0" xfId="158" applyFont="1" applyAlignment="1">
      <alignment vertical="top"/>
    </xf>
    <xf numFmtId="41" fontId="9" fillId="0" borderId="0" xfId="18" applyFont="1" applyAlignment="1">
      <alignment vertical="top"/>
    </xf>
    <xf numFmtId="0" fontId="9" fillId="0" borderId="0" xfId="117" applyAlignment="1">
      <alignment vertical="top"/>
    </xf>
    <xf numFmtId="9" fontId="9" fillId="0" borderId="0" xfId="158" applyFont="1"/>
    <xf numFmtId="41" fontId="9" fillId="0" borderId="0" xfId="18" applyFont="1"/>
    <xf numFmtId="0" fontId="9" fillId="8" borderId="0" xfId="117" applyFill="1" applyAlignment="1">
      <alignment vertical="top"/>
    </xf>
    <xf numFmtId="9" fontId="9" fillId="8" borderId="0" xfId="158" applyFont="1" applyFill="1" applyAlignment="1">
      <alignment vertical="top"/>
    </xf>
    <xf numFmtId="41" fontId="9" fillId="8" borderId="0" xfId="18" applyFont="1" applyFill="1" applyAlignment="1">
      <alignment vertical="top"/>
    </xf>
    <xf numFmtId="9" fontId="9" fillId="8" borderId="0" xfId="158" applyFont="1" applyFill="1"/>
    <xf numFmtId="0" fontId="9" fillId="0" borderId="0" xfId="117" applyAlignment="1">
      <alignment horizontal="center"/>
    </xf>
    <xf numFmtId="4" fontId="124" fillId="0" borderId="240" xfId="117" applyNumberFormat="1" applyFont="1" applyBorder="1"/>
    <xf numFmtId="4" fontId="124" fillId="0" borderId="242" xfId="117" applyNumberFormat="1" applyFont="1" applyBorder="1"/>
    <xf numFmtId="4" fontId="9" fillId="0" borderId="240" xfId="117" applyNumberFormat="1" applyBorder="1"/>
    <xf numFmtId="4" fontId="124" fillId="0" borderId="240" xfId="117" applyNumberFormat="1" applyFont="1" applyBorder="1" applyAlignment="1">
      <alignment vertical="top"/>
    </xf>
    <xf numFmtId="4" fontId="124" fillId="0" borderId="242" xfId="117" applyNumberFormat="1" applyFont="1" applyBorder="1" applyAlignment="1">
      <alignment vertical="top"/>
    </xf>
    <xf numFmtId="4" fontId="9" fillId="0" borderId="240" xfId="117" applyNumberFormat="1" applyBorder="1" applyAlignment="1">
      <alignment horizontal="center" vertical="justify" wrapText="1"/>
    </xf>
    <xf numFmtId="41" fontId="9" fillId="0" borderId="242" xfId="117" applyNumberFormat="1" applyBorder="1"/>
    <xf numFmtId="41" fontId="9" fillId="0" borderId="373" xfId="117" applyNumberFormat="1" applyBorder="1"/>
    <xf numFmtId="0" fontId="9" fillId="0" borderId="240" xfId="117" applyBorder="1"/>
    <xf numFmtId="41" fontId="9" fillId="0" borderId="298" xfId="18" applyFont="1" applyBorder="1"/>
    <xf numFmtId="2" fontId="9" fillId="0" borderId="0" xfId="117" applyNumberFormat="1"/>
    <xf numFmtId="41" fontId="9" fillId="0" borderId="298" xfId="117" applyNumberFormat="1" applyBorder="1"/>
    <xf numFmtId="41" fontId="121" fillId="0" borderId="298" xfId="18" applyFont="1" applyBorder="1"/>
    <xf numFmtId="0" fontId="9" fillId="0" borderId="37" xfId="117" applyBorder="1"/>
    <xf numFmtId="0" fontId="9" fillId="0" borderId="298" xfId="117" applyBorder="1"/>
    <xf numFmtId="4" fontId="124" fillId="0" borderId="240" xfId="117" applyNumberFormat="1" applyFont="1" applyBorder="1" applyAlignment="1">
      <alignment horizontal="center" vertical="justify" wrapText="1"/>
    </xf>
    <xf numFmtId="4" fontId="124" fillId="0" borderId="407" xfId="117" applyNumberFormat="1" applyFont="1" applyBorder="1"/>
    <xf numFmtId="41" fontId="9" fillId="0" borderId="408" xfId="117" applyNumberFormat="1" applyBorder="1"/>
    <xf numFmtId="41" fontId="9" fillId="0" borderId="1" xfId="117" applyNumberFormat="1" applyBorder="1"/>
    <xf numFmtId="41" fontId="121" fillId="0" borderId="407" xfId="18" applyFont="1" applyBorder="1"/>
    <xf numFmtId="41" fontId="121" fillId="0" borderId="0" xfId="18" applyFont="1" applyAlignment="1">
      <alignment horizontal="center"/>
    </xf>
    <xf numFmtId="41" fontId="9" fillId="0" borderId="0" xfId="117" applyNumberFormat="1" applyAlignment="1">
      <alignment horizontal="center"/>
    </xf>
    <xf numFmtId="4" fontId="124" fillId="0" borderId="407" xfId="117" applyNumberFormat="1" applyFont="1" applyBorder="1" applyAlignment="1">
      <alignment horizontal="center"/>
    </xf>
    <xf numFmtId="4" fontId="124" fillId="0" borderId="408" xfId="117" applyNumberFormat="1" applyFont="1" applyBorder="1" applyAlignment="1">
      <alignment horizontal="center"/>
    </xf>
    <xf numFmtId="0" fontId="124" fillId="0" borderId="55" xfId="117" applyFont="1" applyBorder="1" applyAlignment="1">
      <alignment horizontal="center"/>
    </xf>
    <xf numFmtId="0" fontId="124" fillId="0" borderId="1" xfId="117" applyFont="1" applyBorder="1" applyAlignment="1">
      <alignment horizontal="center"/>
    </xf>
    <xf numFmtId="180" fontId="124" fillId="0" borderId="408" xfId="117" applyNumberFormat="1" applyFont="1" applyBorder="1" applyAlignment="1">
      <alignment horizontal="center"/>
    </xf>
    <xf numFmtId="4" fontId="124" fillId="0" borderId="298" xfId="117" applyNumberFormat="1" applyFont="1" applyBorder="1" applyAlignment="1">
      <alignment horizontal="center"/>
    </xf>
    <xf numFmtId="0" fontId="124" fillId="0" borderId="38" xfId="117" applyFont="1" applyBorder="1" applyAlignment="1">
      <alignment horizontal="center"/>
    </xf>
    <xf numFmtId="180" fontId="124" fillId="0" borderId="37" xfId="117" applyNumberFormat="1" applyFont="1" applyBorder="1" applyAlignment="1">
      <alignment horizontal="center"/>
    </xf>
    <xf numFmtId="4" fontId="124" fillId="0" borderId="406" xfId="117" applyNumberFormat="1" applyFont="1" applyBorder="1" applyAlignment="1">
      <alignment horizontal="center"/>
    </xf>
    <xf numFmtId="0" fontId="124" fillId="0" borderId="57" xfId="117" applyFont="1" applyBorder="1" applyAlignment="1">
      <alignment horizontal="center"/>
    </xf>
    <xf numFmtId="4" fontId="124" fillId="0" borderId="0" xfId="117" applyNumberFormat="1" applyFont="1"/>
    <xf numFmtId="0" fontId="124" fillId="0" borderId="0" xfId="117" applyFont="1"/>
    <xf numFmtId="180" fontId="124" fillId="0" borderId="0" xfId="117" applyNumberFormat="1" applyFont="1"/>
    <xf numFmtId="0" fontId="124" fillId="0" borderId="0" xfId="117" applyFont="1" applyAlignment="1">
      <alignment horizontal="left"/>
    </xf>
    <xf numFmtId="4" fontId="125" fillId="0" borderId="0" xfId="117" applyNumberFormat="1" applyFont="1"/>
    <xf numFmtId="4" fontId="19" fillId="0" borderId="0" xfId="117" applyNumberFormat="1" applyFont="1"/>
    <xf numFmtId="15" fontId="124" fillId="0" borderId="0" xfId="117" quotePrefix="1" applyNumberFormat="1" applyFont="1" applyAlignment="1">
      <alignment horizontal="left"/>
    </xf>
    <xf numFmtId="4" fontId="126" fillId="0" borderId="0" xfId="117" applyNumberFormat="1" applyFont="1"/>
    <xf numFmtId="0" fontId="126" fillId="0" borderId="0" xfId="117" applyFont="1"/>
    <xf numFmtId="0" fontId="126" fillId="0" borderId="0" xfId="117" applyFont="1" applyAlignment="1">
      <alignment horizontal="center"/>
    </xf>
    <xf numFmtId="180" fontId="126" fillId="0" borderId="0" xfId="117" applyNumberFormat="1" applyFont="1"/>
    <xf numFmtId="0" fontId="127" fillId="0" borderId="0" xfId="117" applyFont="1"/>
    <xf numFmtId="0" fontId="128" fillId="0" borderId="0" xfId="117" applyFont="1"/>
    <xf numFmtId="0" fontId="9" fillId="0" borderId="0" xfId="143" applyAlignment="1">
      <alignment vertical="center"/>
    </xf>
    <xf numFmtId="167" fontId="9" fillId="0" borderId="0" xfId="52" applyNumberFormat="1" applyFont="1" applyAlignment="1">
      <alignment vertical="center"/>
    </xf>
    <xf numFmtId="0" fontId="129" fillId="0" borderId="0" xfId="174" applyFont="1" applyAlignment="1">
      <alignment horizontal="center" vertical="center"/>
    </xf>
    <xf numFmtId="167" fontId="129" fillId="0" borderId="410" xfId="175" applyNumberFormat="1" applyFont="1" applyFill="1" applyBorder="1" applyAlignment="1">
      <alignment horizontal="center" vertical="center"/>
    </xf>
    <xf numFmtId="186" fontId="129" fillId="0" borderId="391" xfId="173" applyNumberFormat="1" applyFont="1" applyBorder="1" applyAlignment="1">
      <alignment horizontal="center" vertical="center"/>
    </xf>
    <xf numFmtId="186" fontId="129" fillId="0" borderId="392" xfId="173" applyNumberFormat="1" applyFont="1" applyBorder="1" applyAlignment="1">
      <alignment horizontal="left" vertical="center"/>
    </xf>
    <xf numFmtId="186" fontId="129" fillId="0" borderId="148" xfId="173" applyNumberFormat="1" applyFont="1" applyBorder="1" applyAlignment="1">
      <alignment horizontal="center" vertical="center"/>
    </xf>
    <xf numFmtId="167" fontId="129" fillId="0" borderId="0" xfId="59" applyNumberFormat="1" applyFont="1" applyAlignment="1">
      <alignment horizontal="center" vertical="center"/>
    </xf>
    <xf numFmtId="167" fontId="129" fillId="0" borderId="396" xfId="176" applyNumberFormat="1" applyFont="1" applyFill="1" applyBorder="1" applyAlignment="1">
      <alignment vertical="center"/>
    </xf>
    <xf numFmtId="186" fontId="129" fillId="0" borderId="20" xfId="173" applyNumberFormat="1" applyFont="1" applyBorder="1" applyAlignment="1">
      <alignment horizontal="center" vertical="center"/>
    </xf>
    <xf numFmtId="186" fontId="129" fillId="0" borderId="20" xfId="173" applyNumberFormat="1" applyFont="1" applyBorder="1" applyAlignment="1">
      <alignment horizontal="left" vertical="center" wrapText="1"/>
    </xf>
    <xf numFmtId="186" fontId="129" fillId="0" borderId="170" xfId="173" applyNumberFormat="1" applyFont="1" applyBorder="1" applyAlignment="1">
      <alignment horizontal="center" vertical="center"/>
    </xf>
    <xf numFmtId="167" fontId="129" fillId="0" borderId="0" xfId="52" applyNumberFormat="1" applyFont="1" applyAlignment="1">
      <alignment vertical="center"/>
    </xf>
    <xf numFmtId="9" fontId="129" fillId="0" borderId="0" xfId="166" applyFont="1" applyAlignment="1">
      <alignment vertical="center"/>
    </xf>
    <xf numFmtId="164" fontId="129" fillId="0" borderId="0" xfId="1" applyFont="1" applyAlignment="1">
      <alignment vertical="center"/>
    </xf>
    <xf numFmtId="186" fontId="129" fillId="0" borderId="20" xfId="173" applyNumberFormat="1" applyFont="1" applyBorder="1" applyAlignment="1">
      <alignment horizontal="left" vertical="center"/>
    </xf>
    <xf numFmtId="186" fontId="129" fillId="0" borderId="172" xfId="173" applyNumberFormat="1" applyFont="1" applyBorder="1" applyAlignment="1">
      <alignment horizontal="left" vertical="center"/>
    </xf>
    <xf numFmtId="186" fontId="129" fillId="0" borderId="171" xfId="173" applyNumberFormat="1" applyFont="1" applyBorder="1" applyAlignment="1">
      <alignment horizontal="left" vertical="center"/>
    </xf>
    <xf numFmtId="167" fontId="129" fillId="0" borderId="0" xfId="52" applyNumberFormat="1" applyFont="1" applyFill="1" applyAlignment="1">
      <alignment vertical="center"/>
    </xf>
    <xf numFmtId="167" fontId="131" fillId="0" borderId="0" xfId="52" applyNumberFormat="1" applyFont="1" applyAlignment="1">
      <alignment vertical="center"/>
    </xf>
    <xf numFmtId="43" fontId="131" fillId="0" borderId="0" xfId="52" applyFont="1" applyAlignment="1">
      <alignment vertical="center"/>
    </xf>
    <xf numFmtId="10" fontId="131" fillId="0" borderId="0" xfId="166" applyNumberFormat="1" applyFont="1" applyAlignment="1">
      <alignment vertical="center"/>
    </xf>
    <xf numFmtId="164" fontId="131" fillId="0" borderId="0" xfId="1" applyFont="1" applyAlignment="1">
      <alignment vertical="center"/>
    </xf>
    <xf numFmtId="186" fontId="129" fillId="0" borderId="19" xfId="173" applyNumberFormat="1" applyFont="1" applyBorder="1" applyAlignment="1">
      <alignment horizontal="center" vertical="center"/>
    </xf>
    <xf numFmtId="186" fontId="129" fillId="0" borderId="19" xfId="173" applyNumberFormat="1" applyFont="1" applyBorder="1" applyAlignment="1">
      <alignment horizontal="left" vertical="center"/>
    </xf>
    <xf numFmtId="167" fontId="129" fillId="8" borderId="396" xfId="176" applyNumberFormat="1" applyFont="1" applyFill="1" applyBorder="1" applyAlignment="1">
      <alignment vertical="center"/>
    </xf>
    <xf numFmtId="167" fontId="129" fillId="0" borderId="0" xfId="59" applyNumberFormat="1" applyFont="1" applyFill="1" applyAlignment="1">
      <alignment horizontal="center" vertical="center"/>
    </xf>
    <xf numFmtId="186" fontId="129" fillId="0" borderId="19" xfId="173" quotePrefix="1" applyNumberFormat="1" applyFont="1" applyBorder="1" applyAlignment="1">
      <alignment horizontal="left" vertical="center"/>
    </xf>
    <xf numFmtId="0" fontId="9" fillId="0" borderId="0" xfId="174" applyAlignment="1">
      <alignment vertical="center"/>
    </xf>
    <xf numFmtId="43" fontId="9" fillId="0" borderId="0" xfId="46" quotePrefix="1" applyFill="1" applyAlignment="1">
      <alignment vertical="center"/>
    </xf>
    <xf numFmtId="2" fontId="9" fillId="0" borderId="0" xfId="174" applyNumberFormat="1" applyAlignment="1">
      <alignment vertical="center"/>
    </xf>
    <xf numFmtId="43" fontId="9" fillId="0" borderId="0" xfId="46" applyFill="1" applyAlignment="1">
      <alignment vertical="center"/>
    </xf>
    <xf numFmtId="167" fontId="9" fillId="0" borderId="0" xfId="52" applyNumberFormat="1" applyFont="1" applyFill="1" applyAlignment="1">
      <alignment vertical="center"/>
    </xf>
    <xf numFmtId="0" fontId="9" fillId="0" borderId="0" xfId="174" applyAlignment="1">
      <alignment horizontal="center" vertical="center"/>
    </xf>
    <xf numFmtId="43" fontId="9" fillId="0" borderId="0" xfId="46" quotePrefix="1" applyAlignment="1">
      <alignment vertical="center"/>
    </xf>
    <xf numFmtId="43" fontId="9" fillId="0" borderId="0" xfId="46" applyAlignment="1">
      <alignment vertical="center"/>
    </xf>
    <xf numFmtId="167" fontId="9" fillId="0" borderId="0" xfId="46" applyNumberFormat="1" applyAlignment="1">
      <alignment vertical="center"/>
    </xf>
    <xf numFmtId="43" fontId="101" fillId="0" borderId="0" xfId="136" applyNumberFormat="1" applyFont="1" applyAlignment="1">
      <alignment horizontal="center" vertical="center"/>
    </xf>
    <xf numFmtId="43" fontId="9" fillId="0" borderId="0" xfId="46" applyAlignment="1">
      <alignment horizontal="center" vertical="center"/>
    </xf>
    <xf numFmtId="167" fontId="9" fillId="0" borderId="0" xfId="52" applyNumberFormat="1" applyFont="1" applyAlignment="1">
      <alignment horizontal="center" vertical="center"/>
    </xf>
    <xf numFmtId="167" fontId="9" fillId="0" borderId="0" xfId="46" applyNumberFormat="1" applyAlignment="1">
      <alignment horizontal="center" vertical="center"/>
    </xf>
    <xf numFmtId="0" fontId="9" fillId="0" borderId="0" xfId="174" quotePrefix="1" applyAlignment="1">
      <alignment vertical="center"/>
    </xf>
    <xf numFmtId="167" fontId="12" fillId="12" borderId="0" xfId="46" applyNumberFormat="1" applyFont="1" applyFill="1" applyAlignment="1">
      <alignment vertical="center"/>
    </xf>
    <xf numFmtId="167" fontId="12" fillId="0" borderId="0" xfId="52" applyNumberFormat="1" applyFont="1" applyAlignment="1">
      <alignment vertical="center"/>
    </xf>
    <xf numFmtId="186" fontId="129" fillId="0" borderId="19" xfId="173" applyNumberFormat="1" applyFont="1" applyBorder="1" applyAlignment="1">
      <alignment horizontal="left" vertical="center" wrapText="1"/>
    </xf>
    <xf numFmtId="186" fontId="129" fillId="0" borderId="19" xfId="173" quotePrefix="1" applyNumberFormat="1" applyFont="1" applyBorder="1" applyAlignment="1">
      <alignment horizontal="left" vertical="center" wrapText="1"/>
    </xf>
    <xf numFmtId="0" fontId="129" fillId="0" borderId="19" xfId="125" applyFont="1" applyBorder="1" applyAlignment="1">
      <alignment horizontal="center" vertical="center"/>
    </xf>
    <xf numFmtId="0" fontId="129" fillId="0" borderId="19" xfId="125" applyFont="1" applyBorder="1" applyAlignment="1">
      <alignment vertical="center"/>
    </xf>
    <xf numFmtId="0" fontId="129" fillId="0" borderId="172" xfId="132" applyFont="1" applyBorder="1" applyAlignment="1">
      <alignment horizontal="left" vertical="center"/>
    </xf>
    <xf numFmtId="0" fontId="129" fillId="0" borderId="171" xfId="132" applyFont="1" applyBorder="1" applyAlignment="1">
      <alignment horizontal="left" vertical="center"/>
    </xf>
    <xf numFmtId="0" fontId="129" fillId="0" borderId="20" xfId="132" applyFont="1" applyBorder="1" applyAlignment="1">
      <alignment horizontal="left" vertical="center"/>
    </xf>
    <xf numFmtId="0" fontId="9" fillId="0" borderId="0" xfId="143" applyAlignment="1">
      <alignment vertical="center" wrapText="1"/>
    </xf>
    <xf numFmtId="167" fontId="9" fillId="8" borderId="0" xfId="52" applyNumberFormat="1" applyFont="1" applyFill="1" applyAlignment="1">
      <alignment vertical="center"/>
    </xf>
    <xf numFmtId="167" fontId="129" fillId="0" borderId="0" xfId="59" applyNumberFormat="1" applyFont="1" applyAlignment="1">
      <alignment horizontal="left" vertical="center"/>
    </xf>
    <xf numFmtId="186" fontId="129" fillId="0" borderId="413" xfId="173" applyNumberFormat="1" applyFont="1" applyBorder="1" applyAlignment="1">
      <alignment vertical="center"/>
    </xf>
    <xf numFmtId="186" fontId="129" fillId="0" borderId="319" xfId="173" applyNumberFormat="1" applyFont="1" applyBorder="1" applyAlignment="1">
      <alignment vertical="center"/>
    </xf>
    <xf numFmtId="186" fontId="129" fillId="0" borderId="326" xfId="173" applyNumberFormat="1" applyFont="1" applyBorder="1" applyAlignment="1">
      <alignment vertical="center"/>
    </xf>
    <xf numFmtId="186" fontId="129" fillId="0" borderId="324" xfId="173" applyNumberFormat="1" applyFont="1" applyBorder="1" applyAlignment="1">
      <alignment vertical="center"/>
    </xf>
    <xf numFmtId="186" fontId="129" fillId="0" borderId="323" xfId="173" applyNumberFormat="1" applyFont="1" applyBorder="1" applyAlignment="1">
      <alignment vertical="center"/>
    </xf>
    <xf numFmtId="186" fontId="129" fillId="0" borderId="414" xfId="173" applyNumberFormat="1" applyFont="1" applyBorder="1" applyAlignment="1">
      <alignment vertical="center"/>
    </xf>
    <xf numFmtId="186" fontId="131" fillId="0" borderId="400" xfId="173" applyNumberFormat="1" applyFont="1" applyBorder="1" applyAlignment="1">
      <alignment horizontal="center" vertical="center"/>
    </xf>
    <xf numFmtId="186" fontId="131" fillId="0" borderId="252" xfId="173" applyNumberFormat="1" applyFont="1" applyBorder="1" applyAlignment="1">
      <alignment horizontal="center" vertical="center"/>
    </xf>
    <xf numFmtId="186" fontId="129" fillId="0" borderId="0" xfId="173" applyNumberFormat="1" applyFont="1" applyAlignment="1">
      <alignment vertical="center"/>
    </xf>
    <xf numFmtId="0" fontId="129" fillId="0" borderId="0" xfId="2" applyFont="1" applyAlignment="1">
      <alignment vertical="center"/>
    </xf>
    <xf numFmtId="0" fontId="131" fillId="0" borderId="0" xfId="2" applyFont="1" applyAlignment="1">
      <alignment vertical="center"/>
    </xf>
    <xf numFmtId="0" fontId="129" fillId="0" borderId="0" xfId="2" applyFont="1" applyAlignment="1">
      <alignment horizontal="left" vertical="center"/>
    </xf>
    <xf numFmtId="0" fontId="129" fillId="0" borderId="0" xfId="2" applyFont="1" applyAlignment="1">
      <alignment horizontal="center" vertical="center"/>
    </xf>
    <xf numFmtId="14" fontId="129" fillId="0" borderId="0" xfId="2" applyNumberFormat="1" applyFont="1" applyAlignment="1">
      <alignment vertical="center"/>
    </xf>
    <xf numFmtId="15" fontId="129" fillId="0" borderId="0" xfId="143" applyNumberFormat="1" applyFont="1" applyAlignment="1">
      <alignment horizontal="left" vertical="center"/>
    </xf>
    <xf numFmtId="0" fontId="9" fillId="0" borderId="0" xfId="142" applyAlignment="1">
      <alignment vertical="center"/>
    </xf>
    <xf numFmtId="0" fontId="9" fillId="0" borderId="0" xfId="142" applyAlignment="1">
      <alignment horizontal="center" vertical="center"/>
    </xf>
    <xf numFmtId="0" fontId="134" fillId="0" borderId="0" xfId="142" applyFont="1" applyAlignment="1">
      <alignment vertical="center"/>
    </xf>
    <xf numFmtId="0" fontId="134" fillId="0" borderId="0" xfId="142" applyFont="1" applyAlignment="1">
      <alignment horizontal="center" vertical="center"/>
    </xf>
    <xf numFmtId="175" fontId="135" fillId="0" borderId="0" xfId="18" applyNumberFormat="1" applyFont="1" applyAlignment="1">
      <alignment vertical="center"/>
    </xf>
    <xf numFmtId="175" fontId="135" fillId="0" borderId="0" xfId="18" quotePrefix="1" applyNumberFormat="1" applyFont="1" applyAlignment="1">
      <alignment vertical="center"/>
    </xf>
    <xf numFmtId="10" fontId="56" fillId="0" borderId="0" xfId="143" applyNumberFormat="1" applyFont="1" applyAlignment="1">
      <alignment vertical="center"/>
    </xf>
    <xf numFmtId="0" fontId="56" fillId="0" borderId="0" xfId="143" applyFont="1" applyAlignment="1">
      <alignment horizontal="right" vertical="center"/>
    </xf>
    <xf numFmtId="0" fontId="136" fillId="0" borderId="0" xfId="0" applyFont="1"/>
    <xf numFmtId="167" fontId="56" fillId="0" borderId="0" xfId="143" applyNumberFormat="1" applyFont="1" applyAlignment="1">
      <alignment vertical="center"/>
    </xf>
    <xf numFmtId="0" fontId="134" fillId="0" borderId="0" xfId="143" applyFont="1" applyAlignment="1">
      <alignment horizontal="left" vertical="center"/>
    </xf>
    <xf numFmtId="175" fontId="136" fillId="0" borderId="0" xfId="18" applyNumberFormat="1" applyFont="1" applyAlignment="1">
      <alignment vertical="center"/>
    </xf>
    <xf numFmtId="167" fontId="134" fillId="0" borderId="0" xfId="52" applyNumberFormat="1" applyFont="1" applyAlignment="1">
      <alignment vertical="center"/>
    </xf>
    <xf numFmtId="0" fontId="56" fillId="0" borderId="0" xfId="143" applyFont="1" applyAlignment="1">
      <alignment horizontal="left" vertical="center"/>
    </xf>
    <xf numFmtId="10" fontId="56" fillId="0" borderId="372" xfId="143" applyNumberFormat="1" applyFont="1" applyBorder="1" applyAlignment="1">
      <alignment vertical="center"/>
    </xf>
    <xf numFmtId="0" fontId="56" fillId="0" borderId="242" xfId="143" applyFont="1" applyBorder="1" applyAlignment="1">
      <alignment horizontal="right" vertical="center"/>
    </xf>
    <xf numFmtId="0" fontId="134" fillId="0" borderId="0" xfId="143" applyFont="1" applyAlignment="1">
      <alignment vertical="center"/>
    </xf>
    <xf numFmtId="0" fontId="134" fillId="0" borderId="0" xfId="143" applyFont="1" applyAlignment="1">
      <alignment horizontal="center" vertical="center"/>
    </xf>
    <xf numFmtId="164" fontId="135" fillId="0" borderId="0" xfId="1" applyFont="1" applyAlignment="1">
      <alignment vertical="center"/>
    </xf>
    <xf numFmtId="0" fontId="134" fillId="0" borderId="0" xfId="142" applyFont="1" applyAlignment="1">
      <alignment horizontal="left" vertical="center"/>
    </xf>
    <xf numFmtId="0" fontId="56" fillId="0" borderId="0" xfId="142" applyFont="1" applyAlignment="1">
      <alignment vertical="center"/>
    </xf>
    <xf numFmtId="170" fontId="137" fillId="0" borderId="0" xfId="1" applyNumberFormat="1" applyFont="1" applyAlignment="1">
      <alignment vertical="center"/>
    </xf>
    <xf numFmtId="170" fontId="135" fillId="0" borderId="0" xfId="1" applyNumberFormat="1" applyFont="1" applyAlignment="1">
      <alignment vertical="center"/>
    </xf>
    <xf numFmtId="0" fontId="56" fillId="0" borderId="0" xfId="143" quotePrefix="1" applyFont="1" applyAlignment="1">
      <alignment vertical="center"/>
    </xf>
    <xf numFmtId="0" fontId="127" fillId="0" borderId="0" xfId="142" applyFont="1" applyAlignment="1">
      <alignment vertical="center"/>
    </xf>
    <xf numFmtId="164" fontId="56" fillId="0" borderId="389" xfId="1" applyFont="1" applyFill="1" applyBorder="1" applyAlignment="1">
      <alignment vertical="center"/>
    </xf>
    <xf numFmtId="3" fontId="56" fillId="0" borderId="0" xfId="142" applyNumberFormat="1" applyFont="1" applyAlignment="1">
      <alignment vertical="center"/>
    </xf>
    <xf numFmtId="3" fontId="134" fillId="0" borderId="0" xfId="142" applyNumberFormat="1" applyFont="1" applyAlignment="1">
      <alignment vertical="center"/>
    </xf>
    <xf numFmtId="0" fontId="56" fillId="0" borderId="0" xfId="142" applyFont="1" applyAlignment="1">
      <alignment horizontal="center" vertical="center"/>
    </xf>
    <xf numFmtId="41" fontId="56" fillId="0" borderId="0" xfId="18" applyFont="1" applyFill="1" applyBorder="1" applyAlignment="1">
      <alignment vertical="center"/>
    </xf>
    <xf numFmtId="41" fontId="56" fillId="0" borderId="116" xfId="18" applyFont="1" applyFill="1" applyBorder="1" applyAlignment="1">
      <alignment vertical="center"/>
    </xf>
    <xf numFmtId="41" fontId="56" fillId="0" borderId="0" xfId="18" applyFont="1" applyFill="1" applyAlignment="1">
      <alignment vertical="center"/>
    </xf>
    <xf numFmtId="0" fontId="45" fillId="0" borderId="134" xfId="143" applyFont="1" applyBorder="1" applyAlignment="1">
      <alignment horizontal="center" vertical="center"/>
    </xf>
    <xf numFmtId="0" fontId="45" fillId="0" borderId="0" xfId="143" applyFont="1" applyAlignment="1">
      <alignment horizontal="center" vertical="center"/>
    </xf>
    <xf numFmtId="0" fontId="138" fillId="0" borderId="0" xfId="142" applyFont="1" applyAlignment="1">
      <alignment vertical="center"/>
    </xf>
    <xf numFmtId="3" fontId="134" fillId="0" borderId="0" xfId="142" applyNumberFormat="1" applyFont="1" applyAlignment="1">
      <alignment horizontal="center" vertical="center"/>
    </xf>
    <xf numFmtId="175" fontId="0" fillId="0" borderId="0" xfId="18" applyNumberFormat="1" applyFont="1" applyAlignment="1">
      <alignment vertical="center"/>
    </xf>
    <xf numFmtId="175" fontId="62" fillId="0" borderId="0" xfId="18" applyNumberFormat="1" applyFont="1" applyAlignment="1">
      <alignment vertical="center"/>
    </xf>
    <xf numFmtId="0" fontId="127" fillId="0" borderId="0" xfId="142" applyFont="1" applyAlignment="1">
      <alignment horizontal="center" vertical="center"/>
    </xf>
    <xf numFmtId="164" fontId="62" fillId="0" borderId="0" xfId="1" applyFont="1" applyAlignment="1">
      <alignment vertical="center"/>
    </xf>
    <xf numFmtId="0" fontId="127" fillId="0" borderId="0" xfId="142" quotePrefix="1" applyFont="1" applyAlignment="1">
      <alignment vertical="center"/>
    </xf>
    <xf numFmtId="0" fontId="127" fillId="0" borderId="0" xfId="142" applyFont="1" applyAlignment="1">
      <alignment horizontal="right" vertical="center"/>
    </xf>
    <xf numFmtId="0" fontId="45" fillId="0" borderId="0" xfId="142" applyFont="1" applyAlignment="1">
      <alignment vertical="center"/>
    </xf>
    <xf numFmtId="3" fontId="127" fillId="0" borderId="0" xfId="142" applyNumberFormat="1" applyFont="1" applyAlignment="1">
      <alignment horizontal="center" vertical="center"/>
    </xf>
    <xf numFmtId="0" fontId="45" fillId="0" borderId="0" xfId="142" applyFont="1" applyAlignment="1">
      <alignment horizontal="center" vertical="center"/>
    </xf>
    <xf numFmtId="41" fontId="45" fillId="0" borderId="0" xfId="142" applyNumberFormat="1" applyFont="1" applyAlignment="1">
      <alignment vertical="center"/>
    </xf>
    <xf numFmtId="166" fontId="127" fillId="0" borderId="0" xfId="142" applyNumberFormat="1" applyFont="1" applyAlignment="1">
      <alignment vertical="center"/>
    </xf>
    <xf numFmtId="41" fontId="127" fillId="0" borderId="0" xfId="18" applyFont="1" applyFill="1" applyAlignment="1">
      <alignment vertical="center"/>
    </xf>
    <xf numFmtId="41" fontId="139" fillId="0" borderId="0" xfId="18" applyFont="1" applyFill="1" applyAlignment="1">
      <alignment vertical="center"/>
    </xf>
    <xf numFmtId="0" fontId="45" fillId="0" borderId="0" xfId="142" applyFont="1" applyAlignment="1">
      <alignment horizontal="right" vertical="center"/>
    </xf>
    <xf numFmtId="41" fontId="140" fillId="0" borderId="255" xfId="18" applyFont="1" applyFill="1" applyBorder="1" applyAlignment="1">
      <alignment vertical="center"/>
    </xf>
    <xf numFmtId="41" fontId="45" fillId="0" borderId="116" xfId="18" applyFont="1" applyFill="1" applyBorder="1" applyAlignment="1">
      <alignment vertical="center"/>
    </xf>
    <xf numFmtId="41" fontId="45" fillId="0" borderId="0" xfId="18" applyFont="1" applyFill="1" applyBorder="1" applyAlignment="1">
      <alignment vertical="center"/>
    </xf>
    <xf numFmtId="41" fontId="45" fillId="0" borderId="0" xfId="18" applyFont="1" applyFill="1" applyAlignment="1">
      <alignment vertical="center"/>
    </xf>
    <xf numFmtId="0" fontId="127" fillId="0" borderId="0" xfId="142" quotePrefix="1" applyFont="1" applyAlignment="1">
      <alignment horizontal="right" vertical="center"/>
    </xf>
    <xf numFmtId="0" fontId="127" fillId="0" borderId="0" xfId="142" applyFont="1" applyAlignment="1">
      <alignment vertical="center" wrapText="1"/>
    </xf>
    <xf numFmtId="164" fontId="61" fillId="0" borderId="0" xfId="1" applyFont="1" applyAlignment="1">
      <alignment vertical="center"/>
    </xf>
    <xf numFmtId="175" fontId="127" fillId="0" borderId="0" xfId="18" applyNumberFormat="1" applyFont="1" applyAlignment="1">
      <alignment vertical="center"/>
    </xf>
    <xf numFmtId="164" fontId="127" fillId="0" borderId="0" xfId="1" applyFont="1" applyAlignment="1">
      <alignment vertical="center"/>
    </xf>
    <xf numFmtId="164" fontId="45" fillId="0" borderId="0" xfId="143" applyNumberFormat="1" applyFont="1" applyAlignment="1">
      <alignment horizontal="left" vertical="center"/>
    </xf>
    <xf numFmtId="187" fontId="45" fillId="0" borderId="0" xfId="143" applyNumberFormat="1" applyFont="1" applyAlignment="1">
      <alignment horizontal="right" vertical="center"/>
    </xf>
    <xf numFmtId="167" fontId="62" fillId="0" borderId="0" xfId="1" applyNumberFormat="1" applyFont="1" applyAlignment="1">
      <alignment vertical="center"/>
    </xf>
    <xf numFmtId="41" fontId="127" fillId="0" borderId="0" xfId="142" applyNumberFormat="1" applyFont="1" applyAlignment="1">
      <alignment vertical="center"/>
    </xf>
    <xf numFmtId="41" fontId="45" fillId="0" borderId="0" xfId="18" applyFont="1" applyAlignment="1">
      <alignment vertical="center"/>
    </xf>
    <xf numFmtId="175" fontId="61" fillId="0" borderId="0" xfId="18" applyNumberFormat="1" applyFont="1" applyAlignment="1">
      <alignment horizontal="center" vertical="center" wrapText="1"/>
    </xf>
    <xf numFmtId="0" fontId="127" fillId="0" borderId="0" xfId="142" applyFont="1" applyAlignment="1">
      <alignment horizontal="left" vertical="center"/>
    </xf>
    <xf numFmtId="187" fontId="139" fillId="0" borderId="0" xfId="142" applyNumberFormat="1" applyFont="1" applyAlignment="1">
      <alignment horizontal="center" vertical="center"/>
    </xf>
    <xf numFmtId="187" fontId="142" fillId="0" borderId="0" xfId="142" applyNumberFormat="1" applyFont="1" applyAlignment="1">
      <alignment horizontal="center" vertical="center"/>
    </xf>
    <xf numFmtId="10" fontId="61" fillId="0" borderId="0" xfId="166" applyNumberFormat="1" applyFont="1" applyAlignment="1">
      <alignment vertical="center"/>
    </xf>
    <xf numFmtId="0" fontId="45" fillId="0" borderId="0" xfId="142" applyFont="1" applyAlignment="1">
      <alignment horizontal="left" vertical="center"/>
    </xf>
    <xf numFmtId="164" fontId="45" fillId="0" borderId="0" xfId="1" applyFont="1" applyFill="1" applyAlignment="1">
      <alignment horizontal="center" vertical="center"/>
    </xf>
    <xf numFmtId="43" fontId="139" fillId="0" borderId="0" xfId="142" applyNumberFormat="1" applyFont="1" applyAlignment="1">
      <alignment vertical="center"/>
    </xf>
    <xf numFmtId="164" fontId="56" fillId="0" borderId="0" xfId="1" applyFont="1" applyFill="1" applyBorder="1" applyAlignment="1">
      <alignment vertical="center"/>
    </xf>
    <xf numFmtId="170" fontId="127" fillId="0" borderId="0" xfId="1" applyNumberFormat="1" applyFont="1" applyAlignment="1">
      <alignment vertical="center"/>
    </xf>
    <xf numFmtId="175" fontId="62" fillId="0" borderId="0" xfId="18" applyNumberFormat="1" applyFont="1" applyAlignment="1">
      <alignment horizontal="right" vertical="center"/>
    </xf>
    <xf numFmtId="175" fontId="45" fillId="0" borderId="0" xfId="18" applyNumberFormat="1" applyFont="1" applyAlignment="1">
      <alignment vertical="center"/>
    </xf>
    <xf numFmtId="175" fontId="8" fillId="0" borderId="0" xfId="18" applyNumberFormat="1" applyFont="1" applyFill="1" applyAlignment="1">
      <alignment vertical="center"/>
    </xf>
    <xf numFmtId="175" fontId="0" fillId="0" borderId="0" xfId="18" applyNumberFormat="1" applyFont="1" applyFill="1" applyAlignment="1">
      <alignment vertical="center"/>
    </xf>
    <xf numFmtId="167" fontId="127" fillId="0" borderId="0" xfId="52" applyNumberFormat="1" applyFont="1" applyFill="1" applyAlignment="1">
      <alignment vertical="center"/>
    </xf>
    <xf numFmtId="164" fontId="45" fillId="0" borderId="0" xfId="1" applyFont="1" applyFill="1" applyAlignment="1">
      <alignment vertical="center"/>
    </xf>
    <xf numFmtId="167" fontId="45" fillId="0" borderId="0" xfId="52" applyNumberFormat="1" applyFont="1" applyFill="1" applyAlignment="1">
      <alignment vertical="center"/>
    </xf>
    <xf numFmtId="175" fontId="6" fillId="0" borderId="0" xfId="18" applyNumberFormat="1" applyFont="1" applyFill="1" applyAlignment="1">
      <alignment vertical="center"/>
    </xf>
    <xf numFmtId="167" fontId="6" fillId="0" borderId="0" xfId="52" applyNumberFormat="1" applyFont="1" applyFill="1" applyAlignment="1">
      <alignment vertical="center"/>
    </xf>
    <xf numFmtId="41" fontId="45" fillId="0" borderId="309" xfId="18" applyFont="1" applyFill="1" applyBorder="1" applyAlignment="1">
      <alignment vertical="center"/>
    </xf>
    <xf numFmtId="164" fontId="45" fillId="0" borderId="134" xfId="1" applyFont="1" applyFill="1" applyBorder="1" applyAlignment="1">
      <alignment vertical="center" wrapText="1"/>
    </xf>
    <xf numFmtId="164" fontId="45" fillId="0" borderId="299" xfId="1" applyFont="1" applyFill="1" applyBorder="1" applyAlignment="1">
      <alignment vertical="center" wrapText="1"/>
    </xf>
    <xf numFmtId="164" fontId="45" fillId="0" borderId="137" xfId="1" applyFont="1" applyFill="1" applyBorder="1" applyAlignment="1">
      <alignment vertical="center" wrapText="1"/>
    </xf>
    <xf numFmtId="164" fontId="45" fillId="0" borderId="343" xfId="1" applyFont="1" applyFill="1" applyBorder="1" applyAlignment="1">
      <alignment vertical="center" wrapText="1"/>
    </xf>
    <xf numFmtId="41" fontId="45" fillId="0" borderId="134" xfId="18" applyFont="1" applyFill="1" applyBorder="1" applyAlignment="1">
      <alignment vertical="center" wrapText="1"/>
    </xf>
    <xf numFmtId="164" fontId="127" fillId="0" borderId="283" xfId="1" applyFont="1" applyFill="1" applyBorder="1" applyAlignment="1">
      <alignment vertical="center"/>
    </xf>
    <xf numFmtId="164" fontId="127" fillId="0" borderId="37" xfId="1" applyFont="1" applyFill="1" applyBorder="1" applyAlignment="1">
      <alignment vertical="center"/>
    </xf>
    <xf numFmtId="164" fontId="127" fillId="0" borderId="298" xfId="1" applyFont="1" applyFill="1" applyBorder="1" applyAlignment="1">
      <alignment vertical="center"/>
    </xf>
    <xf numFmtId="164" fontId="127" fillId="0" borderId="38" xfId="1" applyFont="1" applyFill="1" applyBorder="1" applyAlignment="1">
      <alignment vertical="center"/>
    </xf>
    <xf numFmtId="41" fontId="127" fillId="0" borderId="0" xfId="18" applyFont="1" applyFill="1" applyBorder="1" applyAlignment="1">
      <alignment vertical="center"/>
    </xf>
    <xf numFmtId="41" fontId="127" fillId="0" borderId="283" xfId="18" applyFont="1" applyFill="1" applyBorder="1" applyAlignment="1">
      <alignment vertical="center"/>
    </xf>
    <xf numFmtId="41" fontId="6" fillId="0" borderId="0" xfId="18" applyFont="1" applyFill="1" applyAlignment="1">
      <alignment vertical="center"/>
    </xf>
    <xf numFmtId="164" fontId="6" fillId="0" borderId="0" xfId="1" applyFont="1" applyFill="1" applyAlignment="1">
      <alignment vertical="center"/>
    </xf>
    <xf numFmtId="9" fontId="127" fillId="0" borderId="0" xfId="166" applyFont="1" applyFill="1" applyBorder="1" applyAlignment="1">
      <alignment vertical="center"/>
    </xf>
    <xf numFmtId="164" fontId="127" fillId="0" borderId="0" xfId="1" applyFont="1" applyFill="1" applyAlignment="1">
      <alignment vertical="center"/>
    </xf>
    <xf numFmtId="164" fontId="45" fillId="0" borderId="283" xfId="1" applyFont="1" applyFill="1" applyBorder="1" applyAlignment="1">
      <alignment vertical="center"/>
    </xf>
    <xf numFmtId="41" fontId="45" fillId="0" borderId="283" xfId="18" applyFont="1" applyFill="1" applyBorder="1" applyAlignment="1">
      <alignment vertical="center"/>
    </xf>
    <xf numFmtId="164" fontId="45" fillId="0" borderId="134" xfId="1" applyFont="1" applyFill="1" applyBorder="1" applyAlignment="1">
      <alignment vertical="center"/>
    </xf>
    <xf numFmtId="164" fontId="45" fillId="0" borderId="299" xfId="1" applyFont="1" applyFill="1" applyBorder="1" applyAlignment="1">
      <alignment vertical="center"/>
    </xf>
    <xf numFmtId="164" fontId="45" fillId="0" borderId="137" xfId="1" applyFont="1" applyFill="1" applyBorder="1" applyAlignment="1">
      <alignment vertical="center"/>
    </xf>
    <xf numFmtId="164" fontId="45" fillId="0" borderId="343" xfId="1" applyFont="1" applyFill="1" applyBorder="1" applyAlignment="1">
      <alignment vertical="center"/>
    </xf>
    <xf numFmtId="41" fontId="45" fillId="0" borderId="134" xfId="18" applyFont="1" applyFill="1" applyBorder="1" applyAlignment="1">
      <alignment vertical="center"/>
    </xf>
    <xf numFmtId="41" fontId="6" fillId="0" borderId="0" xfId="18" applyFont="1" applyFill="1" applyBorder="1" applyAlignment="1">
      <alignment vertical="center"/>
    </xf>
    <xf numFmtId="41" fontId="62" fillId="0" borderId="283" xfId="18" applyFont="1" applyFill="1" applyBorder="1" applyAlignment="1">
      <alignment vertical="center"/>
    </xf>
    <xf numFmtId="41" fontId="62" fillId="0" borderId="0" xfId="18" applyFont="1" applyFill="1" applyBorder="1" applyAlignment="1">
      <alignment vertical="center"/>
    </xf>
    <xf numFmtId="175" fontId="129" fillId="0" borderId="0" xfId="18" applyNumberFormat="1" applyFont="1" applyFill="1" applyAlignment="1">
      <alignment vertical="center"/>
    </xf>
    <xf numFmtId="175" fontId="127" fillId="0" borderId="0" xfId="18" applyNumberFormat="1" applyFont="1" applyFill="1" applyAlignment="1">
      <alignment vertical="center"/>
    </xf>
    <xf numFmtId="164" fontId="6" fillId="0" borderId="283" xfId="1" applyFont="1" applyFill="1" applyBorder="1" applyAlignment="1">
      <alignment vertical="center"/>
    </xf>
    <xf numFmtId="41" fontId="62" fillId="0" borderId="0" xfId="18" applyFont="1" applyFill="1" applyAlignment="1">
      <alignment vertical="center"/>
    </xf>
    <xf numFmtId="41" fontId="129" fillId="0" borderId="0" xfId="18" applyFont="1" applyFill="1" applyAlignment="1">
      <alignment vertical="center"/>
    </xf>
    <xf numFmtId="164" fontId="147" fillId="0" borderId="283" xfId="1" applyFont="1" applyFill="1" applyBorder="1" applyAlignment="1">
      <alignment horizontal="center" vertical="center"/>
    </xf>
    <xf numFmtId="41" fontId="147" fillId="0" borderId="0" xfId="18" applyFont="1" applyFill="1" applyBorder="1" applyAlignment="1">
      <alignment horizontal="center" vertical="center"/>
    </xf>
    <xf numFmtId="41" fontId="141" fillId="0" borderId="283" xfId="18" applyFont="1" applyFill="1" applyBorder="1" applyAlignment="1">
      <alignment horizontal="center" vertical="center"/>
    </xf>
    <xf numFmtId="175" fontId="145" fillId="0" borderId="0" xfId="18" applyNumberFormat="1" applyFont="1" applyFill="1" applyAlignment="1">
      <alignment vertical="center" wrapText="1"/>
    </xf>
    <xf numFmtId="175" fontId="9" fillId="0" borderId="0" xfId="18" applyNumberFormat="1" applyFill="1" applyAlignment="1">
      <alignment vertical="center" wrapText="1"/>
    </xf>
    <xf numFmtId="175" fontId="129" fillId="0" borderId="0" xfId="18" applyNumberFormat="1" applyFont="1" applyFill="1" applyAlignment="1">
      <alignment vertical="center" wrapText="1"/>
    </xf>
    <xf numFmtId="175" fontId="127" fillId="0" borderId="0" xfId="18" applyNumberFormat="1" applyFont="1" applyFill="1" applyAlignment="1">
      <alignment vertical="center" wrapText="1"/>
    </xf>
    <xf numFmtId="175" fontId="148" fillId="0" borderId="0" xfId="18" applyNumberFormat="1" applyFont="1" applyFill="1" applyAlignment="1">
      <alignment vertical="center"/>
    </xf>
    <xf numFmtId="175" fontId="134" fillId="0" borderId="0" xfId="18" applyNumberFormat="1" applyFont="1" applyFill="1" applyAlignment="1">
      <alignment vertical="center"/>
    </xf>
    <xf numFmtId="164" fontId="127" fillId="0" borderId="134" xfId="1" applyFont="1" applyFill="1" applyBorder="1" applyAlignment="1">
      <alignment vertical="center"/>
    </xf>
    <xf numFmtId="164" fontId="127" fillId="0" borderId="299" xfId="1" applyFont="1" applyFill="1" applyBorder="1" applyAlignment="1">
      <alignment vertical="center"/>
    </xf>
    <xf numFmtId="164" fontId="127" fillId="0" borderId="137" xfId="1" applyFont="1" applyFill="1" applyBorder="1" applyAlignment="1">
      <alignment vertical="center"/>
    </xf>
    <xf numFmtId="164" fontId="127" fillId="0" borderId="343" xfId="1" applyFont="1" applyFill="1" applyBorder="1" applyAlignment="1">
      <alignment vertical="center"/>
    </xf>
    <xf numFmtId="0" fontId="5" fillId="0" borderId="0" xfId="177"/>
    <xf numFmtId="0" fontId="5" fillId="0" borderId="118" xfId="177" applyBorder="1"/>
    <xf numFmtId="0" fontId="5" fillId="8" borderId="118" xfId="177" applyFill="1" applyBorder="1"/>
    <xf numFmtId="0" fontId="5" fillId="0" borderId="250" xfId="177" applyBorder="1"/>
    <xf numFmtId="0" fontId="5" fillId="0" borderId="406" xfId="177" applyBorder="1"/>
    <xf numFmtId="0" fontId="5" fillId="0" borderId="57" xfId="177" applyBorder="1"/>
    <xf numFmtId="0" fontId="5" fillId="0" borderId="283" xfId="177" applyBorder="1"/>
    <xf numFmtId="0" fontId="5" fillId="0" borderId="251" xfId="177" applyBorder="1"/>
    <xf numFmtId="0" fontId="5" fillId="0" borderId="134" xfId="177" applyBorder="1"/>
    <xf numFmtId="0" fontId="5" fillId="0" borderId="116" xfId="177" applyBorder="1"/>
    <xf numFmtId="0" fontId="5" fillId="0" borderId="258" xfId="177" applyBorder="1"/>
    <xf numFmtId="0" fontId="5" fillId="0" borderId="259" xfId="177" applyBorder="1"/>
    <xf numFmtId="0" fontId="5" fillId="0" borderId="117" xfId="177" applyBorder="1"/>
    <xf numFmtId="0" fontId="5" fillId="0" borderId="309" xfId="177" applyBorder="1"/>
    <xf numFmtId="0" fontId="5" fillId="0" borderId="280" xfId="177" applyBorder="1"/>
    <xf numFmtId="0" fontId="5" fillId="0" borderId="281" xfId="177" applyBorder="1"/>
    <xf numFmtId="0" fontId="5" fillId="0" borderId="372" xfId="177" applyBorder="1"/>
    <xf numFmtId="164" fontId="68" fillId="0" borderId="0" xfId="1" applyFont="1" applyFill="1" applyAlignment="1">
      <alignment horizontal="center" vertical="center"/>
    </xf>
    <xf numFmtId="167" fontId="9" fillId="0" borderId="0" xfId="62" applyNumberFormat="1" applyFont="1" applyFill="1" applyAlignment="1">
      <alignment horizontal="center" vertical="center"/>
    </xf>
    <xf numFmtId="164" fontId="9" fillId="0" borderId="0" xfId="1" applyFont="1" applyFill="1" applyAlignment="1">
      <alignment horizontal="center" vertical="center"/>
    </xf>
    <xf numFmtId="167" fontId="9" fillId="0" borderId="186" xfId="62" applyNumberFormat="1" applyFont="1" applyFill="1" applyBorder="1" applyAlignment="1">
      <alignment horizontal="center" vertical="center"/>
    </xf>
    <xf numFmtId="0" fontId="70" fillId="0" borderId="191" xfId="62" applyNumberFormat="1" applyFont="1" applyFill="1" applyBorder="1" applyAlignment="1">
      <alignment horizontal="center" vertical="center"/>
    </xf>
    <xf numFmtId="164" fontId="70" fillId="0" borderId="191" xfId="1" applyFont="1" applyFill="1" applyBorder="1" applyAlignment="1">
      <alignment horizontal="center" vertical="center"/>
    </xf>
    <xf numFmtId="164" fontId="8" fillId="0" borderId="0" xfId="1" applyFill="1" applyAlignment="1">
      <alignment horizontal="center"/>
    </xf>
    <xf numFmtId="41" fontId="21" fillId="0" borderId="419" xfId="19" applyFont="1" applyFill="1" applyBorder="1" applyAlignment="1">
      <alignment horizontal="right" vertical="center"/>
    </xf>
    <xf numFmtId="0" fontId="9" fillId="0" borderId="19" xfId="130" applyBorder="1" applyAlignment="1">
      <alignment horizontal="center" vertical="center"/>
    </xf>
    <xf numFmtId="0" fontId="9" fillId="0" borderId="0" xfId="130" applyAlignment="1">
      <alignment horizontal="center" vertical="center"/>
    </xf>
    <xf numFmtId="41" fontId="9" fillId="3" borderId="19" xfId="130" applyNumberFormat="1" applyFill="1" applyBorder="1" applyAlignment="1">
      <alignment horizontal="center" vertical="center"/>
    </xf>
    <xf numFmtId="0" fontId="20" fillId="3" borderId="0" xfId="126" applyFont="1" applyFill="1" applyAlignment="1">
      <alignment vertical="center"/>
    </xf>
    <xf numFmtId="4" fontId="20" fillId="3" borderId="0" xfId="126" applyNumberFormat="1" applyFont="1" applyFill="1" applyAlignment="1">
      <alignment vertical="center"/>
    </xf>
    <xf numFmtId="170" fontId="20" fillId="3" borderId="0" xfId="1" applyNumberFormat="1" applyFont="1" applyFill="1" applyAlignment="1">
      <alignment vertical="center"/>
    </xf>
    <xf numFmtId="10" fontId="20" fillId="3" borderId="0" xfId="166" applyNumberFormat="1" applyFont="1" applyFill="1" applyAlignment="1">
      <alignment vertical="center"/>
    </xf>
    <xf numFmtId="164" fontId="0" fillId="0" borderId="204" xfId="1" applyFont="1" applyFill="1" applyBorder="1" applyAlignment="1">
      <alignment horizontal="center" vertical="center"/>
    </xf>
    <xf numFmtId="164" fontId="0" fillId="0" borderId="54" xfId="1" applyFont="1" applyFill="1" applyBorder="1" applyAlignment="1">
      <alignment horizontal="center" vertical="center"/>
    </xf>
    <xf numFmtId="0" fontId="4" fillId="0" borderId="240" xfId="121" applyFont="1" applyBorder="1"/>
    <xf numFmtId="0" fontId="7" fillId="8" borderId="240" xfId="121" applyFont="1" applyFill="1" applyBorder="1"/>
    <xf numFmtId="167" fontId="112" fillId="0" borderId="0" xfId="65" applyNumberFormat="1" applyFont="1" applyAlignment="1">
      <alignment horizontal="left" vertical="center"/>
    </xf>
    <xf numFmtId="0" fontId="3" fillId="0" borderId="251" xfId="177" applyFont="1" applyBorder="1"/>
    <xf numFmtId="0" fontId="2" fillId="0" borderId="117" xfId="177" applyFont="1" applyBorder="1"/>
    <xf numFmtId="0" fontId="2" fillId="0" borderId="134" xfId="177" applyFont="1" applyBorder="1"/>
    <xf numFmtId="0" fontId="2" fillId="0" borderId="283" xfId="177" applyFont="1" applyBorder="1"/>
    <xf numFmtId="0" fontId="2" fillId="0" borderId="0" xfId="177" applyFont="1"/>
    <xf numFmtId="0" fontId="2" fillId="0" borderId="116" xfId="177" applyFont="1" applyBorder="1"/>
    <xf numFmtId="0" fontId="5" fillId="0" borderId="255" xfId="177" applyBorder="1"/>
    <xf numFmtId="0" fontId="2" fillId="0" borderId="250" xfId="177" applyFont="1" applyBorder="1"/>
    <xf numFmtId="0" fontId="2" fillId="0" borderId="251" xfId="177" applyFont="1" applyBorder="1"/>
    <xf numFmtId="0" fontId="1" fillId="0" borderId="250" xfId="177" applyFont="1" applyBorder="1"/>
    <xf numFmtId="0" fontId="5" fillId="0" borderId="428" xfId="177" applyBorder="1"/>
    <xf numFmtId="174" fontId="5" fillId="0" borderId="428" xfId="177" applyNumberFormat="1" applyBorder="1"/>
    <xf numFmtId="0" fontId="1" fillId="0" borderId="0" xfId="177" applyFont="1"/>
    <xf numFmtId="0" fontId="2" fillId="0" borderId="256" xfId="177" applyFont="1" applyBorder="1" applyAlignment="1">
      <alignment vertical="top" wrapText="1"/>
    </xf>
    <xf numFmtId="0" fontId="2" fillId="0" borderId="250" xfId="177" applyFont="1" applyBorder="1" applyAlignment="1">
      <alignment vertical="top" wrapText="1"/>
    </xf>
    <xf numFmtId="0" fontId="5" fillId="8" borderId="0" xfId="177" applyFill="1"/>
    <xf numFmtId="0" fontId="2" fillId="0" borderId="428" xfId="177" applyFont="1" applyBorder="1"/>
    <xf numFmtId="0" fontId="2" fillId="0" borderId="429" xfId="177" applyFont="1" applyBorder="1"/>
    <xf numFmtId="0" fontId="5" fillId="0" borderId="429" xfId="177" applyBorder="1"/>
    <xf numFmtId="0" fontId="5" fillId="0" borderId="430" xfId="177" applyBorder="1"/>
    <xf numFmtId="0" fontId="5" fillId="0" borderId="417" xfId="177" applyBorder="1"/>
    <xf numFmtId="0" fontId="5" fillId="0" borderId="431" xfId="177" applyBorder="1"/>
    <xf numFmtId="0" fontId="5" fillId="0" borderId="426" xfId="177" applyBorder="1"/>
    <xf numFmtId="0" fontId="5" fillId="0" borderId="424" xfId="177" applyBorder="1"/>
    <xf numFmtId="0" fontId="5" fillId="0" borderId="427" xfId="177" applyBorder="1"/>
    <xf numFmtId="0" fontId="2" fillId="0" borderId="430" xfId="177" applyFont="1" applyBorder="1"/>
    <xf numFmtId="0" fontId="5" fillId="0" borderId="425" xfId="177" applyBorder="1"/>
    <xf numFmtId="0" fontId="5" fillId="0" borderId="423" xfId="177" applyBorder="1"/>
    <xf numFmtId="0" fontId="5" fillId="8" borderId="283" xfId="177" applyFill="1" applyBorder="1"/>
    <xf numFmtId="0" fontId="1" fillId="0" borderId="431" xfId="177" applyFont="1" applyBorder="1"/>
    <xf numFmtId="174" fontId="5" fillId="0" borderId="424" xfId="177" applyNumberFormat="1" applyBorder="1"/>
    <xf numFmtId="0" fontId="5" fillId="0" borderId="432" xfId="177" applyBorder="1"/>
    <xf numFmtId="0" fontId="5" fillId="0" borderId="422" xfId="177" applyBorder="1"/>
    <xf numFmtId="0" fontId="2" fillId="0" borderId="431" xfId="177" applyFont="1" applyBorder="1"/>
    <xf numFmtId="174" fontId="5" fillId="0" borderId="431" xfId="177" applyNumberFormat="1" applyBorder="1"/>
    <xf numFmtId="174" fontId="5" fillId="0" borderId="256" xfId="177" applyNumberFormat="1" applyBorder="1"/>
    <xf numFmtId="0" fontId="2" fillId="0" borderId="279" xfId="177" applyFont="1" applyBorder="1"/>
    <xf numFmtId="0" fontId="1" fillId="0" borderId="251" xfId="177" applyFont="1" applyBorder="1"/>
    <xf numFmtId="0" fontId="85" fillId="0" borderId="0" xfId="177" applyFont="1"/>
    <xf numFmtId="0" fontId="127" fillId="0" borderId="38" xfId="142" quotePrefix="1" applyFont="1" applyBorder="1" applyAlignment="1">
      <alignment vertical="center" wrapText="1"/>
    </xf>
    <xf numFmtId="0" fontId="127" fillId="0" borderId="283" xfId="142" applyFont="1" applyBorder="1" applyAlignment="1">
      <alignment horizontal="center" vertical="center"/>
    </xf>
    <xf numFmtId="43" fontId="127" fillId="0" borderId="283" xfId="142" applyNumberFormat="1" applyFont="1" applyBorder="1" applyAlignment="1">
      <alignment vertical="center"/>
    </xf>
    <xf numFmtId="0" fontId="129" fillId="0" borderId="0" xfId="142" applyFont="1" applyAlignment="1">
      <alignment vertical="center"/>
    </xf>
    <xf numFmtId="170" fontId="59" fillId="0" borderId="0" xfId="1" applyNumberFormat="1" applyFont="1" applyAlignment="1">
      <alignment vertical="center"/>
    </xf>
    <xf numFmtId="175" fontId="59" fillId="8" borderId="134" xfId="19" applyNumberFormat="1" applyFont="1" applyFill="1" applyBorder="1" applyAlignment="1">
      <alignment vertical="center"/>
    </xf>
    <xf numFmtId="170" fontId="58" fillId="0" borderId="0" xfId="1" applyNumberFormat="1" applyFont="1" applyAlignment="1">
      <alignment vertical="center"/>
    </xf>
    <xf numFmtId="43" fontId="59" fillId="0" borderId="0" xfId="62" applyFont="1" applyAlignment="1">
      <alignment horizontal="center" vertical="center"/>
    </xf>
    <xf numFmtId="164" fontId="127" fillId="0" borderId="11" xfId="1" applyFont="1" applyFill="1" applyBorder="1" applyAlignment="1">
      <alignment vertical="center"/>
    </xf>
    <xf numFmtId="0" fontId="9" fillId="0" borderId="0" xfId="142" applyAlignment="1">
      <alignment vertical="center" wrapText="1"/>
    </xf>
    <xf numFmtId="0" fontId="148" fillId="0" borderId="0" xfId="142" applyFont="1" applyAlignment="1">
      <alignment vertical="center"/>
    </xf>
    <xf numFmtId="0" fontId="129" fillId="0" borderId="0" xfId="142" applyFont="1" applyAlignment="1">
      <alignment vertical="center" wrapText="1"/>
    </xf>
    <xf numFmtId="0" fontId="45" fillId="0" borderId="134" xfId="142" applyFont="1" applyBorder="1" applyAlignment="1">
      <alignment horizontal="center" vertical="center"/>
    </xf>
    <xf numFmtId="0" fontId="45" fillId="0" borderId="309" xfId="142" applyFont="1" applyBorder="1" applyAlignment="1">
      <alignment horizontal="center" vertical="center" wrapText="1"/>
    </xf>
    <xf numFmtId="0" fontId="45" fillId="0" borderId="134" xfId="142" applyFont="1" applyBorder="1" applyAlignment="1">
      <alignment horizontal="center" vertical="center" wrapText="1"/>
    </xf>
    <xf numFmtId="0" fontId="45" fillId="0" borderId="0" xfId="142" applyFont="1" applyAlignment="1">
      <alignment horizontal="center" vertical="center" wrapText="1"/>
    </xf>
    <xf numFmtId="0" fontId="45" fillId="0" borderId="343" xfId="143" applyFont="1" applyBorder="1" applyAlignment="1">
      <alignment horizontal="center" vertical="center" wrapText="1"/>
    </xf>
    <xf numFmtId="0" fontId="45" fillId="0" borderId="137" xfId="143" applyFont="1" applyBorder="1" applyAlignment="1">
      <alignment horizontal="center" vertical="center" wrapText="1"/>
    </xf>
    <xf numFmtId="0" fontId="45" fillId="0" borderId="299" xfId="143" applyFont="1" applyBorder="1" applyAlignment="1">
      <alignment horizontal="center" vertical="center" wrapText="1"/>
    </xf>
    <xf numFmtId="0" fontId="145" fillId="0" borderId="0" xfId="142" applyFont="1" applyAlignment="1">
      <alignment vertical="center" wrapText="1"/>
    </xf>
    <xf numFmtId="0" fontId="127" fillId="0" borderId="283" xfId="142" applyFont="1" applyBorder="1" applyAlignment="1">
      <alignment vertical="center"/>
    </xf>
    <xf numFmtId="0" fontId="127" fillId="0" borderId="258" xfId="142" applyFont="1" applyBorder="1" applyAlignment="1">
      <alignment vertical="center" wrapText="1"/>
    </xf>
    <xf numFmtId="0" fontId="45" fillId="0" borderId="283" xfId="142" applyFont="1" applyBorder="1" applyAlignment="1">
      <alignment horizontal="center" vertical="center"/>
    </xf>
    <xf numFmtId="0" fontId="146" fillId="0" borderId="258" xfId="142" applyFont="1" applyBorder="1" applyAlignment="1">
      <alignment vertical="center" wrapText="1"/>
    </xf>
    <xf numFmtId="187" fontId="45" fillId="0" borderId="0" xfId="142" applyNumberFormat="1" applyFont="1" applyAlignment="1">
      <alignment vertical="center"/>
    </xf>
    <xf numFmtId="187" fontId="127" fillId="0" borderId="283" xfId="142" applyNumberFormat="1" applyFont="1" applyBorder="1" applyAlignment="1">
      <alignment vertical="center"/>
    </xf>
    <xf numFmtId="187" fontId="127" fillId="0" borderId="0" xfId="142" applyNumberFormat="1" applyFont="1" applyAlignment="1">
      <alignment vertical="center"/>
    </xf>
    <xf numFmtId="0" fontId="127" fillId="0" borderId="283" xfId="142" applyFont="1" applyBorder="1" applyAlignment="1">
      <alignment horizontal="right" vertical="center"/>
    </xf>
    <xf numFmtId="0" fontId="146" fillId="0" borderId="283" xfId="142" applyFont="1" applyBorder="1" applyAlignment="1">
      <alignment vertical="center" wrapText="1"/>
    </xf>
    <xf numFmtId="0" fontId="149" fillId="0" borderId="283" xfId="142" applyFont="1" applyBorder="1" applyAlignment="1">
      <alignment vertical="center" wrapText="1"/>
    </xf>
    <xf numFmtId="187" fontId="45" fillId="0" borderId="283" xfId="142" applyNumberFormat="1" applyFont="1" applyBorder="1" applyAlignment="1">
      <alignment vertical="center"/>
    </xf>
    <xf numFmtId="0" fontId="45" fillId="0" borderId="258" xfId="142" applyFont="1" applyBorder="1" applyAlignment="1">
      <alignment vertical="center" wrapText="1"/>
    </xf>
    <xf numFmtId="0" fontId="45" fillId="0" borderId="283" xfId="142" applyFont="1" applyBorder="1" applyAlignment="1">
      <alignment horizontal="right" vertical="center"/>
    </xf>
    <xf numFmtId="166" fontId="129" fillId="0" borderId="0" xfId="142" applyNumberFormat="1" applyFont="1" applyAlignment="1">
      <alignment vertical="center"/>
    </xf>
    <xf numFmtId="0" fontId="127" fillId="0" borderId="0" xfId="142" quotePrefix="1" applyFont="1" applyAlignment="1">
      <alignment vertical="center" wrapText="1"/>
    </xf>
    <xf numFmtId="43" fontId="127" fillId="0" borderId="283" xfId="142" applyNumberFormat="1" applyFont="1" applyBorder="1" applyAlignment="1">
      <alignment horizontal="center" vertical="center"/>
    </xf>
    <xf numFmtId="0" fontId="147" fillId="0" borderId="0" xfId="142" applyFont="1" applyAlignment="1">
      <alignment vertical="center"/>
    </xf>
    <xf numFmtId="0" fontId="127" fillId="0" borderId="258" xfId="142" quotePrefix="1" applyFont="1" applyBorder="1" applyAlignment="1">
      <alignment vertical="center" wrapText="1"/>
    </xf>
    <xf numFmtId="0" fontId="127" fillId="0" borderId="38" xfId="143" applyFont="1" applyBorder="1" applyAlignment="1">
      <alignment vertical="center" wrapText="1"/>
    </xf>
    <xf numFmtId="0" fontId="127" fillId="0" borderId="283" xfId="143" applyFont="1" applyBorder="1" applyAlignment="1">
      <alignment horizontal="center" vertical="center"/>
    </xf>
    <xf numFmtId="0" fontId="127" fillId="0" borderId="0" xfId="143" applyFont="1" applyAlignment="1">
      <alignment vertical="center" wrapText="1"/>
    </xf>
    <xf numFmtId="0" fontId="146" fillId="0" borderId="258" xfId="142" applyFont="1" applyBorder="1" applyAlignment="1">
      <alignment vertical="center"/>
    </xf>
    <xf numFmtId="167" fontId="45" fillId="0" borderId="0" xfId="142" applyNumberFormat="1" applyFont="1" applyAlignment="1">
      <alignment vertical="center"/>
    </xf>
    <xf numFmtId="0" fontId="145" fillId="0" borderId="0" xfId="142" applyFont="1" applyAlignment="1">
      <alignment vertical="center"/>
    </xf>
    <xf numFmtId="43" fontId="9" fillId="0" borderId="0" xfId="142" applyNumberFormat="1" applyAlignment="1">
      <alignment vertical="center"/>
    </xf>
    <xf numFmtId="0" fontId="127" fillId="0" borderId="283" xfId="143" applyFont="1" applyBorder="1" applyAlignment="1">
      <alignment vertical="center"/>
    </xf>
    <xf numFmtId="43" fontId="127" fillId="0" borderId="134" xfId="143" applyNumberFormat="1" applyFont="1" applyBorder="1" applyAlignment="1">
      <alignment vertical="center"/>
    </xf>
    <xf numFmtId="0" fontId="127" fillId="0" borderId="283" xfId="143" applyFont="1" applyBorder="1" applyAlignment="1">
      <alignment vertical="center" wrapText="1"/>
    </xf>
    <xf numFmtId="0" fontId="45" fillId="0" borderId="283" xfId="143" applyFont="1" applyBorder="1" applyAlignment="1">
      <alignment horizontal="center" vertical="center"/>
    </xf>
    <xf numFmtId="0" fontId="146" fillId="0" borderId="283" xfId="143" applyFont="1" applyBorder="1" applyAlignment="1">
      <alignment vertical="center"/>
    </xf>
    <xf numFmtId="9" fontId="89" fillId="8" borderId="0" xfId="126" applyNumberFormat="1" applyFont="1" applyFill="1" applyAlignment="1">
      <alignment vertical="center"/>
    </xf>
    <xf numFmtId="0" fontId="0" fillId="8" borderId="242" xfId="0" applyFill="1" applyBorder="1" applyAlignment="1">
      <alignment vertical="center"/>
    </xf>
    <xf numFmtId="0" fontId="56" fillId="0" borderId="0" xfId="142" applyFont="1" applyAlignment="1">
      <alignment horizontal="right" vertical="center"/>
    </xf>
    <xf numFmtId="0" fontId="0" fillId="3" borderId="240" xfId="0" applyFill="1" applyBorder="1" applyAlignment="1">
      <alignment horizontal="center" vertical="center"/>
    </xf>
    <xf numFmtId="0" fontId="0" fillId="0" borderId="291" xfId="0" applyBorder="1" applyAlignment="1">
      <alignment horizontal="center" vertical="center"/>
    </xf>
    <xf numFmtId="170" fontId="78" fillId="0" borderId="0" xfId="1" applyNumberFormat="1" applyFont="1" applyFill="1" applyAlignment="1">
      <alignment horizontal="center" vertical="center"/>
    </xf>
    <xf numFmtId="164" fontId="127" fillId="0" borderId="433" xfId="1" applyFont="1" applyFill="1" applyBorder="1" applyAlignment="1">
      <alignment vertical="center"/>
    </xf>
    <xf numFmtId="174" fontId="21" fillId="3" borderId="40" xfId="3" applyNumberFormat="1" applyFont="1" applyFill="1" applyBorder="1" applyAlignment="1">
      <alignment horizontal="center" vertical="center"/>
    </xf>
    <xf numFmtId="167" fontId="129" fillId="3" borderId="396" xfId="176" applyNumberFormat="1" applyFont="1" applyFill="1" applyBorder="1" applyAlignment="1">
      <alignment vertical="center"/>
    </xf>
    <xf numFmtId="0" fontId="58" fillId="0" borderId="434" xfId="116" applyFont="1" applyBorder="1" applyAlignment="1">
      <alignment horizontal="center" vertical="center"/>
    </xf>
    <xf numFmtId="0" fontId="58" fillId="0" borderId="435" xfId="116" applyFont="1" applyBorder="1" applyAlignment="1">
      <alignment horizontal="center" vertical="center"/>
    </xf>
    <xf numFmtId="0" fontId="58" fillId="0" borderId="436" xfId="116" applyFont="1" applyBorder="1" applyAlignment="1">
      <alignment horizontal="center" vertical="center"/>
    </xf>
    <xf numFmtId="167" fontId="58" fillId="0" borderId="437" xfId="62" applyNumberFormat="1" applyFont="1" applyFill="1" applyBorder="1" applyAlignment="1">
      <alignment horizontal="center" vertical="center"/>
    </xf>
    <xf numFmtId="0" fontId="58" fillId="0" borderId="287" xfId="62" applyNumberFormat="1" applyFont="1" applyFill="1" applyBorder="1" applyAlignment="1">
      <alignment horizontal="center" vertical="center"/>
    </xf>
    <xf numFmtId="167" fontId="58" fillId="0" borderId="435" xfId="62" applyNumberFormat="1" applyFont="1" applyFill="1" applyBorder="1" applyAlignment="1">
      <alignment horizontal="center" vertical="center"/>
    </xf>
    <xf numFmtId="167" fontId="58" fillId="0" borderId="436" xfId="62" applyNumberFormat="1" applyFont="1" applyFill="1" applyBorder="1" applyAlignment="1">
      <alignment vertical="center"/>
    </xf>
    <xf numFmtId="43" fontId="58" fillId="0" borderId="437" xfId="62" applyFont="1" applyFill="1" applyBorder="1" applyAlignment="1">
      <alignment vertical="center"/>
    </xf>
    <xf numFmtId="1" fontId="58" fillId="0" borderId="437" xfId="19" applyNumberFormat="1" applyFont="1" applyFill="1" applyBorder="1" applyAlignment="1">
      <alignment horizontal="center" vertical="center"/>
    </xf>
    <xf numFmtId="43" fontId="58" fillId="0" borderId="438" xfId="62" applyFont="1" applyFill="1" applyBorder="1" applyAlignment="1">
      <alignment vertical="center"/>
    </xf>
    <xf numFmtId="43" fontId="58" fillId="0" borderId="439" xfId="62" applyFont="1" applyFill="1" applyBorder="1" applyAlignment="1">
      <alignment vertical="center"/>
    </xf>
    <xf numFmtId="43" fontId="58" fillId="0" borderId="75" xfId="62" applyFont="1" applyFill="1" applyBorder="1" applyAlignment="1">
      <alignment vertical="center"/>
    </xf>
    <xf numFmtId="43" fontId="58" fillId="0" borderId="90" xfId="62" applyFont="1" applyFill="1" applyBorder="1" applyAlignment="1">
      <alignment vertical="center"/>
    </xf>
    <xf numFmtId="43" fontId="59" fillId="0" borderId="440" xfId="62" applyFont="1" applyFill="1" applyBorder="1" applyAlignment="1">
      <alignment vertical="center"/>
    </xf>
    <xf numFmtId="0" fontId="58" fillId="0" borderId="441" xfId="116" applyFont="1" applyBorder="1" applyAlignment="1">
      <alignment horizontal="center" vertical="center"/>
    </xf>
    <xf numFmtId="0" fontId="58" fillId="0" borderId="190" xfId="116" applyFont="1" applyBorder="1" applyAlignment="1">
      <alignment horizontal="center" vertical="center"/>
    </xf>
    <xf numFmtId="0" fontId="58" fillId="0" borderId="191" xfId="116" applyFont="1" applyBorder="1" applyAlignment="1">
      <alignment vertical="center"/>
    </xf>
    <xf numFmtId="167" fontId="58" fillId="0" borderId="192" xfId="62" applyNumberFormat="1" applyFont="1" applyFill="1" applyBorder="1" applyAlignment="1">
      <alignment horizontal="center" vertical="center"/>
    </xf>
    <xf numFmtId="0" fontId="58" fillId="0" borderId="442" xfId="62" applyNumberFormat="1" applyFont="1" applyFill="1" applyBorder="1" applyAlignment="1">
      <alignment horizontal="center" vertical="center"/>
    </xf>
    <xf numFmtId="167" fontId="58" fillId="0" borderId="190" xfId="62" applyNumberFormat="1" applyFont="1" applyFill="1" applyBorder="1" applyAlignment="1">
      <alignment horizontal="center" vertical="center"/>
    </xf>
    <xf numFmtId="167" fontId="58" fillId="0" borderId="191" xfId="62" applyNumberFormat="1" applyFont="1" applyFill="1" applyBorder="1" applyAlignment="1">
      <alignment vertical="center"/>
    </xf>
    <xf numFmtId="167" fontId="58" fillId="0" borderId="192" xfId="62" applyNumberFormat="1" applyFont="1" applyFill="1" applyBorder="1" applyAlignment="1">
      <alignment vertical="center"/>
    </xf>
    <xf numFmtId="43" fontId="58" fillId="0" borderId="192" xfId="62" applyFont="1" applyFill="1" applyBorder="1" applyAlignment="1">
      <alignment horizontal="center" vertical="center"/>
    </xf>
    <xf numFmtId="43" fontId="59" fillId="0" borderId="443" xfId="62" applyFont="1" applyFill="1" applyBorder="1" applyAlignment="1">
      <alignment vertical="center"/>
    </xf>
    <xf numFmtId="43" fontId="59" fillId="0" borderId="190" xfId="62" applyFont="1" applyFill="1" applyBorder="1" applyAlignment="1">
      <alignment vertical="center"/>
    </xf>
    <xf numFmtId="43" fontId="59" fillId="0" borderId="191" xfId="62" applyFont="1" applyFill="1" applyBorder="1" applyAlignment="1">
      <alignment vertical="center"/>
    </xf>
    <xf numFmtId="43" fontId="59" fillId="0" borderId="107" xfId="62" applyFont="1" applyFill="1" applyBorder="1" applyAlignment="1">
      <alignment vertical="center"/>
    </xf>
    <xf numFmtId="43" fontId="59" fillId="0" borderId="444" xfId="62" applyFont="1" applyFill="1" applyBorder="1" applyAlignment="1">
      <alignment vertical="center"/>
    </xf>
    <xf numFmtId="0" fontId="58" fillId="0" borderId="445" xfId="116" applyFont="1" applyBorder="1" applyAlignment="1">
      <alignment vertical="center"/>
    </xf>
    <xf numFmtId="0" fontId="58" fillId="0" borderId="446" xfId="116" applyFont="1" applyBorder="1" applyAlignment="1">
      <alignment vertical="center"/>
    </xf>
    <xf numFmtId="0" fontId="58" fillId="0" borderId="447" xfId="116" applyFont="1" applyBorder="1" applyAlignment="1">
      <alignment vertical="center"/>
    </xf>
    <xf numFmtId="0" fontId="58" fillId="0" borderId="448" xfId="116" applyFont="1" applyBorder="1" applyAlignment="1">
      <alignment horizontal="center" vertical="center"/>
    </xf>
    <xf numFmtId="0" fontId="58" fillId="0" borderId="449" xfId="116" applyFont="1" applyBorder="1" applyAlignment="1">
      <alignment horizontal="center" vertical="center"/>
    </xf>
    <xf numFmtId="0" fontId="58" fillId="0" borderId="446" xfId="116" applyFont="1" applyBorder="1" applyAlignment="1">
      <alignment horizontal="center" vertical="center"/>
    </xf>
    <xf numFmtId="0" fontId="58" fillId="0" borderId="448" xfId="116" applyFont="1" applyBorder="1" applyAlignment="1">
      <alignment vertical="center"/>
    </xf>
    <xf numFmtId="43" fontId="59" fillId="0" borderId="448" xfId="62" applyFont="1" applyFill="1" applyBorder="1" applyAlignment="1">
      <alignment horizontal="center" vertical="center"/>
    </xf>
    <xf numFmtId="166" fontId="58" fillId="0" borderId="450" xfId="116" applyNumberFormat="1" applyFont="1" applyBorder="1" applyAlignment="1">
      <alignment vertical="center"/>
    </xf>
    <xf numFmtId="43" fontId="58" fillId="0" borderId="446" xfId="116" applyNumberFormat="1" applyFont="1" applyBorder="1" applyAlignment="1">
      <alignment vertical="center"/>
    </xf>
    <xf numFmtId="166" fontId="58" fillId="0" borderId="447" xfId="116" applyNumberFormat="1" applyFont="1" applyBorder="1" applyAlignment="1">
      <alignment vertical="center"/>
    </xf>
    <xf numFmtId="166" fontId="60" fillId="0" borderId="451" xfId="116" applyNumberFormat="1" applyFont="1" applyBorder="1" applyAlignment="1">
      <alignment horizontal="center" vertical="center"/>
    </xf>
    <xf numFmtId="0" fontId="58" fillId="0" borderId="452" xfId="116" applyFont="1" applyBorder="1" applyAlignment="1">
      <alignment vertical="center"/>
    </xf>
    <xf numFmtId="0" fontId="9" fillId="8" borderId="285" xfId="116" applyFont="1" applyFill="1" applyBorder="1" applyAlignment="1">
      <alignment horizontal="center" vertical="center"/>
    </xf>
    <xf numFmtId="0" fontId="9" fillId="8" borderId="287" xfId="116" applyFont="1" applyFill="1" applyBorder="1" applyAlignment="1">
      <alignment horizontal="center" vertical="center"/>
    </xf>
    <xf numFmtId="0" fontId="0" fillId="0" borderId="298" xfId="0" applyBorder="1" applyAlignment="1">
      <alignment vertical="center"/>
    </xf>
    <xf numFmtId="0" fontId="1" fillId="0" borderId="240" xfId="121" applyFont="1" applyBorder="1"/>
    <xf numFmtId="0" fontId="1" fillId="0" borderId="143" xfId="121" applyFont="1" applyBorder="1"/>
    <xf numFmtId="0" fontId="32" fillId="28" borderId="39" xfId="2" applyFont="1" applyFill="1" applyBorder="1" applyAlignment="1">
      <alignment vertical="center"/>
    </xf>
    <xf numFmtId="0" fontId="21" fillId="28" borderId="40" xfId="2" applyFont="1" applyFill="1" applyBorder="1" applyAlignment="1">
      <alignment horizontal="center" vertical="center"/>
    </xf>
    <xf numFmtId="174" fontId="21" fillId="28" borderId="40" xfId="3" applyNumberFormat="1" applyFont="1" applyFill="1" applyBorder="1" applyAlignment="1">
      <alignment horizontal="center" vertical="center"/>
    </xf>
    <xf numFmtId="4" fontId="21" fillId="28" borderId="40" xfId="3" applyNumberFormat="1" applyFont="1" applyFill="1" applyBorder="1" applyAlignment="1">
      <alignment horizontal="center" vertical="center"/>
    </xf>
    <xf numFmtId="3" fontId="21" fillId="28" borderId="40" xfId="3" applyNumberFormat="1" applyFont="1" applyFill="1" applyBorder="1" applyAlignment="1">
      <alignment horizontal="center" vertical="center"/>
    </xf>
    <xf numFmtId="41" fontId="21" fillId="28" borderId="40" xfId="3" applyNumberFormat="1" applyFont="1" applyFill="1" applyBorder="1" applyAlignment="1">
      <alignment horizontal="center" vertical="center"/>
    </xf>
    <xf numFmtId="43" fontId="21" fillId="28" borderId="40" xfId="3" applyFont="1" applyFill="1" applyBorder="1" applyAlignment="1">
      <alignment vertical="center"/>
    </xf>
    <xf numFmtId="41" fontId="21" fillId="28" borderId="41" xfId="2" applyNumberFormat="1" applyFont="1" applyFill="1" applyBorder="1" applyAlignment="1">
      <alignment vertical="center"/>
    </xf>
    <xf numFmtId="41" fontId="21" fillId="28" borderId="42" xfId="2" applyNumberFormat="1" applyFont="1" applyFill="1" applyBorder="1" applyAlignment="1">
      <alignment vertical="center"/>
    </xf>
    <xf numFmtId="43" fontId="21" fillId="28" borderId="43" xfId="2" applyNumberFormat="1" applyFont="1" applyFill="1" applyBorder="1" applyAlignment="1">
      <alignment vertical="center"/>
    </xf>
    <xf numFmtId="41" fontId="21" fillId="28" borderId="44" xfId="2" applyNumberFormat="1" applyFont="1" applyFill="1" applyBorder="1" applyAlignment="1">
      <alignment vertical="center"/>
    </xf>
    <xf numFmtId="175" fontId="21" fillId="28" borderId="42" xfId="2" applyNumberFormat="1" applyFont="1" applyFill="1" applyBorder="1" applyAlignment="1">
      <alignment vertical="center"/>
    </xf>
    <xf numFmtId="0" fontId="21" fillId="28" borderId="0" xfId="2" applyFont="1" applyFill="1" applyAlignment="1">
      <alignment vertical="center"/>
    </xf>
    <xf numFmtId="164" fontId="127" fillId="0" borderId="454" xfId="1" applyFont="1" applyFill="1" applyBorder="1" applyAlignment="1">
      <alignment vertical="center"/>
    </xf>
    <xf numFmtId="0" fontId="21" fillId="0" borderId="418" xfId="116" applyFont="1" applyBorder="1" applyAlignment="1">
      <alignment horizontal="center" vertical="center"/>
    </xf>
    <xf numFmtId="0" fontId="21" fillId="0" borderId="377" xfId="116" applyFont="1" applyBorder="1" applyAlignment="1">
      <alignment horizontal="left" vertical="center"/>
    </xf>
    <xf numFmtId="0" fontId="21" fillId="0" borderId="418" xfId="116" applyFont="1" applyBorder="1" applyAlignment="1">
      <alignment horizontal="right" vertical="center"/>
    </xf>
    <xf numFmtId="0" fontId="21" fillId="0" borderId="418" xfId="116" applyFont="1" applyBorder="1" applyAlignment="1">
      <alignment horizontal="left" vertical="center"/>
    </xf>
    <xf numFmtId="0" fontId="21" fillId="0" borderId="420" xfId="116" applyFont="1" applyBorder="1" applyAlignment="1">
      <alignment horizontal="right" vertical="center"/>
    </xf>
    <xf numFmtId="0" fontId="21" fillId="0" borderId="421" xfId="116" applyFont="1" applyBorder="1" applyAlignment="1">
      <alignment horizontal="left" vertical="center"/>
    </xf>
    <xf numFmtId="0" fontId="21" fillId="0" borderId="377" xfId="116" applyFont="1" applyBorder="1" applyAlignment="1">
      <alignment horizontal="center" vertical="center"/>
    </xf>
    <xf numFmtId="0" fontId="21" fillId="0" borderId="419" xfId="116" applyFont="1" applyBorder="1" applyAlignment="1">
      <alignment horizontal="right" vertical="center"/>
    </xf>
    <xf numFmtId="0" fontId="68" fillId="0" borderId="0" xfId="116" applyFont="1" applyAlignment="1">
      <alignment vertical="center"/>
    </xf>
    <xf numFmtId="0" fontId="68" fillId="0" borderId="0" xfId="116" applyFont="1" applyAlignment="1">
      <alignment horizontal="center" vertical="center"/>
    </xf>
    <xf numFmtId="0" fontId="9" fillId="0" borderId="0" xfId="116" applyFont="1" applyAlignment="1">
      <alignment vertical="center"/>
    </xf>
    <xf numFmtId="0" fontId="58" fillId="0" borderId="0" xfId="116" applyFont="1" applyAlignment="1">
      <alignment horizontal="left" vertical="center"/>
    </xf>
    <xf numFmtId="0" fontId="69" fillId="0" borderId="0" xfId="116" applyFont="1" applyAlignment="1">
      <alignment horizontal="center" vertical="center"/>
    </xf>
    <xf numFmtId="0" fontId="9" fillId="0" borderId="0" xfId="116" applyFont="1" applyAlignment="1">
      <alignment horizontal="center" vertical="center"/>
    </xf>
    <xf numFmtId="0" fontId="9" fillId="0" borderId="186" xfId="116" applyFont="1" applyBorder="1" applyAlignment="1">
      <alignment horizontal="center" vertical="center"/>
    </xf>
    <xf numFmtId="0" fontId="9" fillId="0" borderId="187" xfId="116" applyFont="1" applyBorder="1" applyAlignment="1">
      <alignment horizontal="center" vertical="center" wrapText="1"/>
    </xf>
    <xf numFmtId="0" fontId="70" fillId="0" borderId="189" xfId="116" applyFont="1" applyBorder="1" applyAlignment="1">
      <alignment horizontal="center" vertical="center"/>
    </xf>
    <xf numFmtId="0" fontId="70" fillId="0" borderId="190" xfId="116" applyFont="1" applyBorder="1" applyAlignment="1">
      <alignment horizontal="center" vertical="center"/>
    </xf>
    <xf numFmtId="0" fontId="70" fillId="0" borderId="191" xfId="116" applyFont="1" applyBorder="1" applyAlignment="1">
      <alignment horizontal="center" vertical="center"/>
    </xf>
    <xf numFmtId="167" fontId="70" fillId="0" borderId="191" xfId="116" applyNumberFormat="1" applyFont="1" applyBorder="1" applyAlignment="1">
      <alignment horizontal="center" vertical="center"/>
    </xf>
    <xf numFmtId="0" fontId="70" fillId="0" borderId="192" xfId="116" applyFont="1" applyBorder="1" applyAlignment="1">
      <alignment horizontal="center" vertical="center"/>
    </xf>
    <xf numFmtId="0" fontId="70" fillId="0" borderId="193" xfId="116" applyFont="1" applyBorder="1" applyAlignment="1">
      <alignment horizontal="center" vertical="center"/>
    </xf>
    <xf numFmtId="0" fontId="70" fillId="0" borderId="0" xfId="116" applyFont="1" applyAlignment="1">
      <alignment horizontal="center" vertical="center"/>
    </xf>
    <xf numFmtId="0" fontId="9" fillId="0" borderId="194" xfId="116" applyFont="1" applyBorder="1" applyAlignment="1">
      <alignment horizontal="center" vertical="center"/>
    </xf>
    <xf numFmtId="0" fontId="9" fillId="0" borderId="284" xfId="116" applyFont="1" applyBorder="1" applyAlignment="1">
      <alignment horizontal="center" vertical="center"/>
    </xf>
    <xf numFmtId="0" fontId="9" fillId="0" borderId="285" xfId="116" applyFont="1" applyBorder="1" applyAlignment="1">
      <alignment horizontal="center" vertical="center"/>
    </xf>
    <xf numFmtId="0" fontId="9" fillId="0" borderId="286" xfId="116" applyFont="1" applyBorder="1" applyAlignment="1">
      <alignment horizontal="center" vertical="center"/>
    </xf>
    <xf numFmtId="0" fontId="9" fillId="0" borderId="287" xfId="116" applyFont="1" applyBorder="1" applyAlignment="1">
      <alignment horizontal="center" vertical="center"/>
    </xf>
    <xf numFmtId="0" fontId="9" fillId="0" borderId="222" xfId="116" applyFont="1" applyBorder="1" applyAlignment="1">
      <alignment horizontal="center" vertical="center"/>
    </xf>
    <xf numFmtId="168" fontId="9" fillId="0" borderId="288" xfId="116" applyNumberFormat="1" applyFont="1" applyBorder="1" applyAlignment="1">
      <alignment horizontal="center" vertical="center"/>
    </xf>
    <xf numFmtId="0" fontId="9" fillId="0" borderId="289" xfId="116" applyFont="1" applyBorder="1" applyAlignment="1">
      <alignment horizontal="center" vertical="center"/>
    </xf>
    <xf numFmtId="0" fontId="9" fillId="0" borderId="179" xfId="116" applyFont="1" applyBorder="1" applyAlignment="1">
      <alignment horizontal="center" vertical="center"/>
    </xf>
    <xf numFmtId="0" fontId="9" fillId="0" borderId="195" xfId="116" applyFont="1" applyBorder="1" applyAlignment="1">
      <alignment horizontal="center" vertical="center"/>
    </xf>
    <xf numFmtId="0" fontId="9" fillId="0" borderId="196" xfId="116" applyFont="1" applyBorder="1" applyAlignment="1">
      <alignment horizontal="center" vertical="center"/>
    </xf>
    <xf numFmtId="0" fontId="9" fillId="0" borderId="199" xfId="116" applyFont="1" applyBorder="1" applyAlignment="1">
      <alignment horizontal="center" vertical="center"/>
    </xf>
    <xf numFmtId="168" fontId="9" fillId="0" borderId="197" xfId="116" applyNumberFormat="1" applyFont="1" applyBorder="1" applyAlignment="1">
      <alignment horizontal="center" vertical="center"/>
    </xf>
    <xf numFmtId="168" fontId="9" fillId="0" borderId="197" xfId="116" quotePrefix="1" applyNumberFormat="1" applyFont="1" applyBorder="1" applyAlignment="1">
      <alignment horizontal="center" vertical="center"/>
    </xf>
    <xf numFmtId="0" fontId="9" fillId="0" borderId="198" xfId="116" applyFont="1" applyBorder="1" applyAlignment="1">
      <alignment horizontal="center" vertical="center"/>
    </xf>
    <xf numFmtId="0" fontId="8" fillId="0" borderId="0" xfId="116"/>
    <xf numFmtId="0" fontId="0" fillId="0" borderId="0" xfId="116" applyFont="1" applyAlignment="1">
      <alignment horizontal="center"/>
    </xf>
    <xf numFmtId="0" fontId="8" fillId="0" borderId="0" xfId="116" applyAlignment="1">
      <alignment horizontal="center"/>
    </xf>
    <xf numFmtId="0" fontId="9" fillId="8" borderId="284" xfId="116" applyFont="1" applyFill="1" applyBorder="1" applyAlignment="1">
      <alignment horizontal="center" vertical="center"/>
    </xf>
    <xf numFmtId="0" fontId="9" fillId="8" borderId="286" xfId="116" applyFont="1" applyFill="1" applyBorder="1" applyAlignment="1">
      <alignment horizontal="center" vertical="center"/>
    </xf>
    <xf numFmtId="0" fontId="9" fillId="8" borderId="222" xfId="116" applyFont="1" applyFill="1" applyBorder="1" applyAlignment="1">
      <alignment horizontal="center" vertical="center"/>
    </xf>
    <xf numFmtId="167" fontId="9" fillId="8" borderId="222" xfId="62" applyNumberFormat="1" applyFont="1" applyFill="1" applyBorder="1" applyAlignment="1">
      <alignment horizontal="center" vertical="center"/>
    </xf>
    <xf numFmtId="168" fontId="9" fillId="8" borderId="222" xfId="62" applyNumberFormat="1" applyFont="1" applyFill="1" applyBorder="1" applyAlignment="1">
      <alignment horizontal="center" vertical="center"/>
    </xf>
    <xf numFmtId="168" fontId="9" fillId="8" borderId="288" xfId="116" applyNumberFormat="1" applyFont="1" applyFill="1" applyBorder="1" applyAlignment="1">
      <alignment horizontal="center" vertical="center"/>
    </xf>
    <xf numFmtId="0" fontId="9" fillId="8" borderId="289" xfId="116" applyFont="1" applyFill="1" applyBorder="1" applyAlignment="1">
      <alignment horizontal="center" vertical="center"/>
    </xf>
    <xf numFmtId="0" fontId="9" fillId="8" borderId="0" xfId="116" applyFont="1" applyFill="1" applyAlignment="1">
      <alignment horizontal="center" vertical="center"/>
    </xf>
    <xf numFmtId="0" fontId="0" fillId="8" borderId="237" xfId="120" applyFont="1" applyFill="1" applyBorder="1" applyAlignment="1">
      <alignment horizontal="left" vertical="center"/>
    </xf>
    <xf numFmtId="0" fontId="8" fillId="8" borderId="6" xfId="120" applyFill="1" applyBorder="1" applyAlignment="1">
      <alignment horizontal="left" vertical="center"/>
    </xf>
    <xf numFmtId="0" fontId="8" fillId="8" borderId="57" xfId="120" applyFill="1" applyBorder="1" applyAlignment="1">
      <alignment horizontal="right" vertical="center"/>
    </xf>
    <xf numFmtId="175" fontId="0" fillId="8" borderId="204" xfId="10" applyNumberFormat="1" applyFont="1" applyFill="1" applyBorder="1" applyAlignment="1">
      <alignment vertical="center"/>
    </xf>
    <xf numFmtId="175" fontId="8" fillId="8" borderId="236" xfId="10" applyNumberFormat="1" applyFont="1" applyFill="1" applyBorder="1" applyAlignment="1">
      <alignment vertical="center"/>
    </xf>
    <xf numFmtId="175" fontId="8" fillId="8" borderId="234" xfId="10" applyNumberFormat="1" applyFont="1" applyFill="1" applyBorder="1" applyAlignment="1">
      <alignment horizontal="right" vertical="center"/>
    </xf>
    <xf numFmtId="175" fontId="8" fillId="8" borderId="233" xfId="10" applyNumberFormat="1" applyFont="1" applyFill="1" applyBorder="1" applyAlignment="1">
      <alignment horizontal="right" vertical="center"/>
    </xf>
    <xf numFmtId="175" fontId="8" fillId="8" borderId="6" xfId="10" applyNumberFormat="1" applyFont="1" applyFill="1" applyBorder="1" applyAlignment="1">
      <alignment horizontal="right" vertical="center"/>
    </xf>
    <xf numFmtId="175" fontId="8" fillId="8" borderId="238" xfId="10" applyNumberFormat="1" applyFont="1" applyFill="1" applyBorder="1" applyAlignment="1">
      <alignment horizontal="right" vertical="center"/>
    </xf>
    <xf numFmtId="175" fontId="8" fillId="8" borderId="243" xfId="10" applyNumberFormat="1" applyFont="1" applyFill="1" applyBorder="1" applyAlignment="1">
      <alignment horizontal="right" vertical="center"/>
    </xf>
    <xf numFmtId="175" fontId="8" fillId="8" borderId="236" xfId="10" applyNumberFormat="1" applyFont="1" applyFill="1" applyBorder="1" applyAlignment="1">
      <alignment horizontal="right" vertical="center"/>
    </xf>
    <xf numFmtId="175" fontId="8" fillId="8" borderId="235" xfId="10" applyNumberFormat="1" applyFont="1" applyFill="1" applyBorder="1" applyAlignment="1">
      <alignment horizontal="right" vertical="center"/>
    </xf>
    <xf numFmtId="175" fontId="8" fillId="8" borderId="241" xfId="10" applyNumberFormat="1" applyFont="1" applyFill="1" applyBorder="1" applyAlignment="1">
      <alignment horizontal="center" vertical="center"/>
    </xf>
    <xf numFmtId="175" fontId="8" fillId="8" borderId="243" xfId="10" applyNumberFormat="1" applyFont="1" applyFill="1" applyBorder="1" applyAlignment="1">
      <alignment horizontal="center" vertical="center"/>
    </xf>
    <xf numFmtId="175" fontId="8" fillId="8" borderId="244" xfId="10" applyNumberFormat="1" applyFont="1" applyFill="1" applyBorder="1" applyAlignment="1">
      <alignment horizontal="center" vertical="center"/>
    </xf>
    <xf numFmtId="43" fontId="8" fillId="8" borderId="238" xfId="52" applyFont="1" applyFill="1" applyBorder="1" applyAlignment="1">
      <alignment horizontal="center" vertical="center"/>
    </xf>
    <xf numFmtId="0" fontId="8" fillId="8" borderId="0" xfId="120" applyFill="1" applyAlignment="1">
      <alignment vertical="center"/>
    </xf>
    <xf numFmtId="0" fontId="80" fillId="8" borderId="245" xfId="120" applyFont="1" applyFill="1" applyBorder="1" applyAlignment="1">
      <alignment horizontal="left" vertical="center"/>
    </xf>
    <xf numFmtId="0" fontId="80" fillId="8" borderId="244" xfId="120" applyFont="1" applyFill="1" applyBorder="1" applyAlignment="1">
      <alignment horizontal="left" vertical="center"/>
    </xf>
    <xf numFmtId="0" fontId="80" fillId="8" borderId="243" xfId="120" applyFont="1" applyFill="1" applyBorder="1" applyAlignment="1">
      <alignment horizontal="left" vertical="center"/>
    </xf>
    <xf numFmtId="175" fontId="8" fillId="8" borderId="204" xfId="10" applyNumberFormat="1" applyFont="1" applyFill="1" applyBorder="1" applyAlignment="1">
      <alignment vertical="center"/>
    </xf>
    <xf numFmtId="43" fontId="78" fillId="8" borderId="56" xfId="52" applyFont="1" applyFill="1" applyBorder="1" applyAlignment="1">
      <alignment horizontal="center" vertical="center"/>
    </xf>
    <xf numFmtId="43" fontId="78" fillId="8" borderId="15" xfId="52" applyFont="1" applyFill="1" applyBorder="1" applyAlignment="1">
      <alignment horizontal="center" vertical="center"/>
    </xf>
    <xf numFmtId="43" fontId="78" fillId="8" borderId="54" xfId="52" applyFont="1" applyFill="1" applyBorder="1" applyAlignment="1">
      <alignment horizontal="center" vertical="center"/>
    </xf>
    <xf numFmtId="0" fontId="78" fillId="0" borderId="459" xfId="120" applyFont="1" applyBorder="1" applyAlignment="1">
      <alignment vertical="center" wrapText="1"/>
    </xf>
    <xf numFmtId="0" fontId="78" fillId="0" borderId="344" xfId="120" applyFont="1" applyBorder="1" applyAlignment="1">
      <alignment vertical="center" wrapText="1"/>
    </xf>
    <xf numFmtId="0" fontId="78" fillId="0" borderId="346" xfId="120" applyFont="1" applyBorder="1" applyAlignment="1">
      <alignment vertical="center" wrapText="1"/>
    </xf>
    <xf numFmtId="0" fontId="78" fillId="0" borderId="426" xfId="120" applyFont="1" applyBorder="1" applyAlignment="1">
      <alignment horizontal="center" vertical="center" wrapText="1"/>
    </xf>
    <xf numFmtId="0" fontId="78" fillId="0" borderId="424" xfId="120" applyFont="1" applyBorder="1" applyAlignment="1">
      <alignment horizontal="center" vertical="center" wrapText="1"/>
    </xf>
    <xf numFmtId="0" fontId="78" fillId="0" borderId="427" xfId="120" applyFont="1" applyBorder="1" applyAlignment="1">
      <alignment horizontal="center" vertical="center" wrapText="1"/>
    </xf>
    <xf numFmtId="0" fontId="0" fillId="0" borderId="456" xfId="0" applyBorder="1" applyAlignment="1">
      <alignment vertical="center"/>
    </xf>
    <xf numFmtId="0" fontId="0" fillId="0" borderId="254" xfId="0" applyBorder="1" applyAlignment="1">
      <alignment vertical="center"/>
    </xf>
    <xf numFmtId="170" fontId="0" fillId="8" borderId="282" xfId="1" applyNumberFormat="1" applyFont="1" applyFill="1" applyBorder="1" applyAlignment="1">
      <alignment vertical="center"/>
    </xf>
    <xf numFmtId="0" fontId="78" fillId="0" borderId="259" xfId="0" applyFont="1" applyBorder="1" applyAlignment="1">
      <alignment vertical="center"/>
    </xf>
    <xf numFmtId="0" fontId="0" fillId="0" borderId="460" xfId="0" applyBorder="1" applyAlignment="1">
      <alignment vertical="center"/>
    </xf>
    <xf numFmtId="0" fontId="78" fillId="0" borderId="281" xfId="0" applyFont="1" applyBorder="1" applyAlignment="1">
      <alignment vertical="center"/>
    </xf>
    <xf numFmtId="0" fontId="78" fillId="0" borderId="343" xfId="0" applyFont="1" applyBorder="1" applyAlignment="1">
      <alignment vertical="center"/>
    </xf>
    <xf numFmtId="170" fontId="78" fillId="8" borderId="138" xfId="1" applyNumberFormat="1" applyFont="1" applyFill="1" applyBorder="1" applyAlignment="1">
      <alignment vertical="center"/>
    </xf>
    <xf numFmtId="170" fontId="78" fillId="0" borderId="309" xfId="1" applyNumberFormat="1" applyFont="1" applyBorder="1" applyAlignment="1">
      <alignment vertical="center"/>
    </xf>
    <xf numFmtId="170" fontId="0" fillId="0" borderId="202" xfId="1" applyNumberFormat="1" applyFont="1" applyBorder="1" applyAlignment="1">
      <alignment vertical="center"/>
    </xf>
    <xf numFmtId="170" fontId="0" fillId="0" borderId="203" xfId="1" applyNumberFormat="1" applyFont="1" applyBorder="1" applyAlignment="1">
      <alignment vertical="center"/>
    </xf>
    <xf numFmtId="170" fontId="0" fillId="0" borderId="252" xfId="1" applyNumberFormat="1" applyFont="1" applyBorder="1" applyAlignment="1">
      <alignment vertical="center"/>
    </xf>
    <xf numFmtId="0" fontId="0" fillId="0" borderId="461" xfId="0" applyBorder="1" applyAlignment="1">
      <alignment vertical="center"/>
    </xf>
    <xf numFmtId="0" fontId="0" fillId="8" borderId="282" xfId="0" applyFill="1" applyBorder="1" applyAlignment="1">
      <alignment vertical="center"/>
    </xf>
    <xf numFmtId="0" fontId="0" fillId="0" borderId="122" xfId="0" applyBorder="1" applyAlignment="1">
      <alignment vertical="center"/>
    </xf>
    <xf numFmtId="0" fontId="0" fillId="0" borderId="349" xfId="0" applyBorder="1" applyAlignment="1">
      <alignment vertical="center"/>
    </xf>
    <xf numFmtId="0" fontId="0" fillId="0" borderId="350" xfId="0" applyBorder="1" applyAlignment="1">
      <alignment vertical="center"/>
    </xf>
    <xf numFmtId="0" fontId="0" fillId="8" borderId="0" xfId="0" applyFill="1" applyAlignment="1">
      <alignment vertical="center"/>
    </xf>
    <xf numFmtId="166" fontId="0" fillId="8" borderId="0" xfId="0" applyNumberFormat="1" applyFill="1" applyAlignment="1">
      <alignment vertical="center"/>
    </xf>
    <xf numFmtId="0" fontId="0" fillId="0" borderId="453" xfId="0" applyBorder="1" applyAlignment="1">
      <alignment horizontal="center" vertical="center"/>
    </xf>
    <xf numFmtId="0" fontId="0" fillId="0" borderId="424" xfId="0" applyBorder="1" applyAlignment="1">
      <alignment horizontal="center" vertical="center"/>
    </xf>
    <xf numFmtId="0" fontId="0" fillId="8" borderId="240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41" fontId="45" fillId="0" borderId="258" xfId="18" applyFont="1" applyFill="1" applyBorder="1" applyAlignment="1">
      <alignment vertical="center"/>
    </xf>
    <xf numFmtId="164" fontId="45" fillId="0" borderId="460" xfId="1" applyFont="1" applyFill="1" applyBorder="1" applyAlignment="1">
      <alignment vertical="center"/>
    </xf>
    <xf numFmtId="164" fontId="45" fillId="0" borderId="298" xfId="1" applyFont="1" applyFill="1" applyBorder="1" applyAlignment="1">
      <alignment vertical="center"/>
    </xf>
    <xf numFmtId="164" fontId="45" fillId="0" borderId="37" xfId="1" applyFont="1" applyFill="1" applyBorder="1" applyAlignment="1">
      <alignment vertical="center"/>
    </xf>
    <xf numFmtId="41" fontId="45" fillId="0" borderId="251" xfId="18" applyFont="1" applyFill="1" applyBorder="1" applyAlignment="1">
      <alignment horizontal="right" vertical="center"/>
    </xf>
    <xf numFmtId="164" fontId="56" fillId="0" borderId="389" xfId="142" applyNumberFormat="1" applyFont="1" applyBorder="1" applyAlignment="1">
      <alignment horizontal="right" vertical="center"/>
    </xf>
    <xf numFmtId="0" fontId="75" fillId="0" borderId="0" xfId="0" applyFont="1" applyAlignment="1">
      <alignment vertical="center"/>
    </xf>
    <xf numFmtId="16" fontId="0" fillId="0" borderId="0" xfId="0" applyNumberFormat="1" applyAlignment="1">
      <alignment vertical="center"/>
    </xf>
    <xf numFmtId="16" fontId="0" fillId="0" borderId="0" xfId="178" applyNumberFormat="1" applyFont="1" applyAlignment="1">
      <alignment vertical="center"/>
    </xf>
    <xf numFmtId="164" fontId="78" fillId="0" borderId="428" xfId="1" applyFont="1" applyBorder="1" applyAlignment="1">
      <alignment vertical="center"/>
    </xf>
    <xf numFmtId="0" fontId="78" fillId="0" borderId="428" xfId="0" applyFont="1" applyBorder="1" applyAlignment="1">
      <alignment vertical="center"/>
    </xf>
    <xf numFmtId="164" fontId="78" fillId="8" borderId="134" xfId="1" applyFont="1" applyFill="1" applyBorder="1" applyAlignment="1">
      <alignment vertical="center"/>
    </xf>
    <xf numFmtId="164" fontId="78" fillId="0" borderId="134" xfId="1" applyFont="1" applyFill="1" applyBorder="1" applyAlignment="1">
      <alignment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9" fillId="8" borderId="222" xfId="1" applyFont="1" applyFill="1" applyBorder="1" applyAlignment="1">
      <alignment horizontal="center" vertical="center"/>
    </xf>
    <xf numFmtId="170" fontId="0" fillId="0" borderId="0" xfId="0" applyNumberFormat="1" applyAlignment="1">
      <alignment horizontal="right" vertical="center"/>
    </xf>
    <xf numFmtId="164" fontId="127" fillId="0" borderId="460" xfId="1" applyFont="1" applyFill="1" applyBorder="1" applyAlignment="1">
      <alignment vertical="center"/>
    </xf>
    <xf numFmtId="175" fontId="1" fillId="0" borderId="0" xfId="18" applyNumberFormat="1" applyFont="1" applyFill="1" applyAlignment="1">
      <alignment vertical="center"/>
    </xf>
    <xf numFmtId="0" fontId="0" fillId="16" borderId="240" xfId="0" applyFill="1" applyBorder="1" applyAlignment="1">
      <alignment horizontal="center" vertical="center"/>
    </xf>
    <xf numFmtId="0" fontId="0" fillId="0" borderId="428" xfId="0" applyBorder="1" applyAlignment="1">
      <alignment horizontal="center" vertical="center"/>
    </xf>
    <xf numFmtId="0" fontId="0" fillId="0" borderId="431" xfId="0" applyBorder="1" applyAlignment="1">
      <alignment horizontal="center" vertical="center"/>
    </xf>
    <xf numFmtId="0" fontId="0" fillId="3" borderId="428" xfId="0" applyFill="1" applyBorder="1" applyAlignment="1">
      <alignment horizontal="center" vertical="center"/>
    </xf>
    <xf numFmtId="0" fontId="0" fillId="0" borderId="429" xfId="0" applyBorder="1" applyAlignment="1">
      <alignment horizontal="center" vertical="center"/>
    </xf>
    <xf numFmtId="0" fontId="0" fillId="0" borderId="372" xfId="0" applyBorder="1" applyAlignment="1">
      <alignment horizontal="center" vertical="center"/>
    </xf>
    <xf numFmtId="170" fontId="0" fillId="0" borderId="372" xfId="1" applyNumberFormat="1" applyFont="1" applyFill="1" applyBorder="1" applyAlignment="1">
      <alignment horizontal="center" vertical="center"/>
    </xf>
    <xf numFmtId="170" fontId="0" fillId="0" borderId="428" xfId="1" applyNumberFormat="1" applyFont="1" applyFill="1" applyBorder="1" applyAlignment="1">
      <alignment horizontal="center" vertical="center"/>
    </xf>
    <xf numFmtId="0" fontId="0" fillId="0" borderId="407" xfId="0" applyBorder="1" applyAlignment="1">
      <alignment horizontal="center" vertical="center"/>
    </xf>
    <xf numFmtId="170" fontId="0" fillId="0" borderId="407" xfId="1" applyNumberFormat="1" applyFont="1" applyFill="1" applyBorder="1" applyAlignment="1">
      <alignment horizontal="center" vertical="center"/>
    </xf>
    <xf numFmtId="41" fontId="1" fillId="0" borderId="0" xfId="18" applyFont="1" applyFill="1" applyAlignment="1">
      <alignment vertical="center"/>
    </xf>
    <xf numFmtId="164" fontId="1" fillId="0" borderId="0" xfId="1" applyFont="1" applyFill="1" applyAlignment="1">
      <alignment vertical="center"/>
    </xf>
    <xf numFmtId="0" fontId="21" fillId="8" borderId="418" xfId="116" applyFont="1" applyFill="1" applyBorder="1" applyAlignment="1">
      <alignment horizontal="right" vertical="center"/>
    </xf>
    <xf numFmtId="0" fontId="21" fillId="8" borderId="420" xfId="116" applyFont="1" applyFill="1" applyBorder="1" applyAlignment="1">
      <alignment horizontal="right" vertical="center"/>
    </xf>
    <xf numFmtId="0" fontId="20" fillId="8" borderId="20" xfId="126" applyFont="1" applyFill="1" applyBorder="1" applyAlignment="1">
      <alignment vertical="center"/>
    </xf>
    <xf numFmtId="0" fontId="20" fillId="8" borderId="20" xfId="126" applyFont="1" applyFill="1" applyBorder="1" applyAlignment="1">
      <alignment horizontal="center" vertical="center"/>
    </xf>
    <xf numFmtId="41" fontId="20" fillId="8" borderId="292" xfId="126" applyNumberFormat="1" applyFont="1" applyFill="1" applyBorder="1" applyAlignment="1">
      <alignment horizontal="center" vertical="center"/>
    </xf>
    <xf numFmtId="41" fontId="20" fillId="8" borderId="171" xfId="126" applyNumberFormat="1" applyFont="1" applyFill="1" applyBorder="1" applyAlignment="1">
      <alignment horizontal="center" vertical="center"/>
    </xf>
    <xf numFmtId="41" fontId="91" fillId="8" borderId="39" xfId="126" applyNumberFormat="1" applyFont="1" applyFill="1" applyBorder="1" applyAlignment="1">
      <alignment horizontal="center" vertical="center"/>
    </xf>
    <xf numFmtId="41" fontId="20" fillId="8" borderId="20" xfId="126" applyNumberFormat="1" applyFont="1" applyFill="1" applyBorder="1" applyAlignment="1">
      <alignment horizontal="center" vertical="center"/>
    </xf>
    <xf numFmtId="41" fontId="20" fillId="8" borderId="316" xfId="126" applyNumberFormat="1" applyFont="1" applyFill="1" applyBorder="1" applyAlignment="1">
      <alignment horizontal="center" vertical="center"/>
    </xf>
    <xf numFmtId="41" fontId="20" fillId="8" borderId="19" xfId="126" applyNumberFormat="1" applyFont="1" applyFill="1" applyBorder="1" applyAlignment="1">
      <alignment horizontal="center" vertical="center"/>
    </xf>
    <xf numFmtId="3" fontId="20" fillId="8" borderId="20" xfId="126" applyNumberFormat="1" applyFont="1" applyFill="1" applyBorder="1" applyAlignment="1">
      <alignment horizontal="right" vertical="center"/>
    </xf>
    <xf numFmtId="3" fontId="20" fillId="8" borderId="317" xfId="126" applyNumberFormat="1" applyFont="1" applyFill="1" applyBorder="1" applyAlignment="1">
      <alignment horizontal="right" vertical="center"/>
    </xf>
    <xf numFmtId="41" fontId="20" fillId="8" borderId="294" xfId="126" applyNumberFormat="1" applyFont="1" applyFill="1" applyBorder="1" applyAlignment="1">
      <alignment horizontal="center" vertical="center"/>
    </xf>
    <xf numFmtId="41" fontId="20" fillId="8" borderId="39" xfId="126" applyNumberFormat="1" applyFont="1" applyFill="1" applyBorder="1" applyAlignment="1">
      <alignment horizontal="center" vertical="center"/>
    </xf>
    <xf numFmtId="41" fontId="20" fillId="8" borderId="317" xfId="126" applyNumberFormat="1" applyFont="1" applyFill="1" applyBorder="1" applyAlignment="1">
      <alignment horizontal="center" vertical="center"/>
    </xf>
    <xf numFmtId="41" fontId="20" fillId="8" borderId="172" xfId="126" applyNumberFormat="1" applyFont="1" applyFill="1" applyBorder="1" applyAlignment="1">
      <alignment vertical="center"/>
    </xf>
    <xf numFmtId="41" fontId="20" fillId="8" borderId="20" xfId="126" applyNumberFormat="1" applyFont="1" applyFill="1" applyBorder="1" applyAlignment="1">
      <alignment vertical="center"/>
    </xf>
    <xf numFmtId="4" fontId="20" fillId="8" borderId="315" xfId="126" applyNumberFormat="1" applyFont="1" applyFill="1" applyBorder="1" applyAlignment="1">
      <alignment horizontal="right" vertical="center"/>
    </xf>
    <xf numFmtId="4" fontId="20" fillId="8" borderId="41" xfId="126" applyNumberFormat="1" applyFont="1" applyFill="1" applyBorder="1" applyAlignment="1">
      <alignment vertical="center"/>
    </xf>
    <xf numFmtId="4" fontId="20" fillId="8" borderId="42" xfId="126" applyNumberFormat="1" applyFont="1" applyFill="1" applyBorder="1" applyAlignment="1">
      <alignment vertical="center"/>
    </xf>
    <xf numFmtId="4" fontId="20" fillId="8" borderId="19" xfId="126" applyNumberFormat="1" applyFont="1" applyFill="1" applyBorder="1" applyAlignment="1">
      <alignment horizontal="right" vertical="center"/>
    </xf>
    <xf numFmtId="170" fontId="20" fillId="8" borderId="0" xfId="28" applyNumberFormat="1" applyFont="1" applyFill="1" applyAlignment="1">
      <alignment vertical="center"/>
    </xf>
    <xf numFmtId="0" fontId="20" fillId="8" borderId="0" xfId="126" applyFont="1" applyFill="1" applyAlignment="1">
      <alignment vertical="center"/>
    </xf>
    <xf numFmtId="4" fontId="20" fillId="8" borderId="0" xfId="126" applyNumberFormat="1" applyFont="1" applyFill="1" applyAlignment="1">
      <alignment vertical="center"/>
    </xf>
    <xf numFmtId="170" fontId="20" fillId="8" borderId="0" xfId="1" applyNumberFormat="1" applyFont="1" applyFill="1" applyAlignment="1">
      <alignment vertical="center"/>
    </xf>
    <xf numFmtId="10" fontId="20" fillId="8" borderId="0" xfId="166" applyNumberFormat="1" applyFont="1" applyFill="1" applyAlignment="1">
      <alignment vertical="center"/>
    </xf>
    <xf numFmtId="0" fontId="20" fillId="29" borderId="20" xfId="126" applyFont="1" applyFill="1" applyBorder="1" applyAlignment="1">
      <alignment horizontal="right" vertical="center"/>
    </xf>
    <xf numFmtId="0" fontId="20" fillId="29" borderId="20" xfId="126" applyFont="1" applyFill="1" applyBorder="1" applyAlignment="1">
      <alignment vertical="center"/>
    </xf>
    <xf numFmtId="0" fontId="20" fillId="29" borderId="20" xfId="126" applyFont="1" applyFill="1" applyBorder="1" applyAlignment="1">
      <alignment horizontal="center" vertical="center"/>
    </xf>
    <xf numFmtId="41" fontId="20" fillId="29" borderId="292" xfId="126" applyNumberFormat="1" applyFont="1" applyFill="1" applyBorder="1" applyAlignment="1">
      <alignment horizontal="center" vertical="center"/>
    </xf>
    <xf numFmtId="41" fontId="20" fillId="29" borderId="171" xfId="126" applyNumberFormat="1" applyFont="1" applyFill="1" applyBorder="1" applyAlignment="1">
      <alignment horizontal="center" vertical="center"/>
    </xf>
    <xf numFmtId="41" fontId="91" fillId="29" borderId="39" xfId="126" applyNumberFormat="1" applyFont="1" applyFill="1" applyBorder="1" applyAlignment="1">
      <alignment horizontal="center" vertical="center"/>
    </xf>
    <xf numFmtId="41" fontId="20" fillId="29" borderId="20" xfId="126" applyNumberFormat="1" applyFont="1" applyFill="1" applyBorder="1" applyAlignment="1">
      <alignment horizontal="center" vertical="center"/>
    </xf>
    <xf numFmtId="41" fontId="20" fillId="29" borderId="316" xfId="126" applyNumberFormat="1" applyFont="1" applyFill="1" applyBorder="1" applyAlignment="1">
      <alignment horizontal="center" vertical="center"/>
    </xf>
    <xf numFmtId="41" fontId="20" fillId="29" borderId="19" xfId="126" applyNumberFormat="1" applyFont="1" applyFill="1" applyBorder="1" applyAlignment="1">
      <alignment horizontal="center" vertical="center"/>
    </xf>
    <xf numFmtId="3" fontId="20" fillId="29" borderId="20" xfId="126" applyNumberFormat="1" applyFont="1" applyFill="1" applyBorder="1" applyAlignment="1">
      <alignment horizontal="right" vertical="center"/>
    </xf>
    <xf numFmtId="3" fontId="20" fillId="29" borderId="317" xfId="126" applyNumberFormat="1" applyFont="1" applyFill="1" applyBorder="1" applyAlignment="1">
      <alignment horizontal="right" vertical="center"/>
    </xf>
    <xf numFmtId="41" fontId="20" fillId="29" borderId="294" xfId="126" applyNumberFormat="1" applyFont="1" applyFill="1" applyBorder="1" applyAlignment="1">
      <alignment horizontal="center" vertical="center"/>
    </xf>
    <xf numFmtId="41" fontId="20" fillId="29" borderId="39" xfId="126" applyNumberFormat="1" applyFont="1" applyFill="1" applyBorder="1" applyAlignment="1">
      <alignment horizontal="center" vertical="center"/>
    </xf>
    <xf numFmtId="41" fontId="20" fillId="29" borderId="317" xfId="126" applyNumberFormat="1" applyFont="1" applyFill="1" applyBorder="1" applyAlignment="1">
      <alignment horizontal="center" vertical="center"/>
    </xf>
    <xf numFmtId="41" fontId="20" fillId="29" borderId="172" xfId="126" applyNumberFormat="1" applyFont="1" applyFill="1" applyBorder="1" applyAlignment="1">
      <alignment vertical="center"/>
    </xf>
    <xf numFmtId="41" fontId="20" fillId="29" borderId="20" xfId="126" applyNumberFormat="1" applyFont="1" applyFill="1" applyBorder="1" applyAlignment="1">
      <alignment vertical="center"/>
    </xf>
    <xf numFmtId="4" fontId="20" fillId="29" borderId="315" xfId="126" applyNumberFormat="1" applyFont="1" applyFill="1" applyBorder="1" applyAlignment="1">
      <alignment horizontal="right" vertical="center"/>
    </xf>
    <xf numFmtId="4" fontId="20" fillId="29" borderId="41" xfId="126" applyNumberFormat="1" applyFont="1" applyFill="1" applyBorder="1" applyAlignment="1">
      <alignment vertical="center"/>
    </xf>
    <xf numFmtId="4" fontId="20" fillId="29" borderId="42" xfId="126" applyNumberFormat="1" applyFont="1" applyFill="1" applyBorder="1" applyAlignment="1">
      <alignment vertical="center"/>
    </xf>
    <xf numFmtId="4" fontId="20" fillId="29" borderId="19" xfId="126" applyNumberFormat="1" applyFont="1" applyFill="1" applyBorder="1" applyAlignment="1">
      <alignment horizontal="right" vertical="center"/>
    </xf>
    <xf numFmtId="170" fontId="20" fillId="29" borderId="0" xfId="28" applyNumberFormat="1" applyFont="1" applyFill="1" applyAlignment="1">
      <alignment vertical="center"/>
    </xf>
    <xf numFmtId="0" fontId="20" fillId="29" borderId="0" xfId="126" applyFont="1" applyFill="1" applyAlignment="1">
      <alignment vertical="center"/>
    </xf>
    <xf numFmtId="4" fontId="20" fillId="29" borderId="0" xfId="126" applyNumberFormat="1" applyFont="1" applyFill="1" applyAlignment="1">
      <alignment vertical="center"/>
    </xf>
    <xf numFmtId="170" fontId="20" fillId="29" borderId="0" xfId="1" applyNumberFormat="1" applyFont="1" applyFill="1" applyAlignment="1">
      <alignment vertical="center"/>
    </xf>
    <xf numFmtId="10" fontId="20" fillId="29" borderId="0" xfId="166" applyNumberFormat="1" applyFont="1" applyFill="1" applyAlignment="1">
      <alignment vertical="center"/>
    </xf>
    <xf numFmtId="165" fontId="127" fillId="0" borderId="0" xfId="142" applyNumberFormat="1" applyFont="1" applyAlignment="1">
      <alignment vertical="center"/>
    </xf>
    <xf numFmtId="0" fontId="21" fillId="8" borderId="40" xfId="2" applyFont="1" applyFill="1" applyBorder="1" applyAlignment="1">
      <alignment horizontal="center" vertical="center"/>
    </xf>
    <xf numFmtId="41" fontId="1" fillId="0" borderId="0" xfId="18" applyFont="1" applyFill="1" applyBorder="1" applyAlignment="1">
      <alignment vertical="center"/>
    </xf>
    <xf numFmtId="0" fontId="71" fillId="8" borderId="174" xfId="116" applyFont="1" applyFill="1" applyBorder="1" applyAlignment="1">
      <alignment vertical="center"/>
    </xf>
    <xf numFmtId="0" fontId="71" fillId="8" borderId="206" xfId="116" applyFont="1" applyFill="1" applyBorder="1" applyAlignment="1">
      <alignment vertical="center"/>
    </xf>
    <xf numFmtId="0" fontId="71" fillId="8" borderId="207" xfId="116" applyFont="1" applyFill="1" applyBorder="1" applyAlignment="1">
      <alignment horizontal="center" vertical="center"/>
    </xf>
    <xf numFmtId="0" fontId="71" fillId="8" borderId="208" xfId="116" applyFont="1" applyFill="1" applyBorder="1" applyAlignment="1">
      <alignment horizontal="center" vertical="center"/>
    </xf>
    <xf numFmtId="0" fontId="71" fillId="8" borderId="209" xfId="116" applyFont="1" applyFill="1" applyBorder="1" applyAlignment="1">
      <alignment horizontal="center" vertical="center"/>
    </xf>
    <xf numFmtId="41" fontId="71" fillId="8" borderId="208" xfId="14" applyFont="1" applyFill="1" applyBorder="1" applyAlignment="1">
      <alignment horizontal="center" vertical="center"/>
    </xf>
    <xf numFmtId="0" fontId="71" fillId="8" borderId="210" xfId="116" applyFont="1" applyFill="1" applyBorder="1" applyAlignment="1">
      <alignment horizontal="center" vertical="center"/>
    </xf>
    <xf numFmtId="0" fontId="8" fillId="8" borderId="0" xfId="116" applyFill="1" applyAlignment="1">
      <alignment vertical="center"/>
    </xf>
    <xf numFmtId="0" fontId="71" fillId="8" borderId="179" xfId="116" applyFont="1" applyFill="1" applyBorder="1" applyAlignment="1">
      <alignment horizontal="center" vertical="center"/>
    </xf>
    <xf numFmtId="0" fontId="71" fillId="8" borderId="211" xfId="116" applyFont="1" applyFill="1" applyBorder="1" applyAlignment="1">
      <alignment horizontal="center" vertical="center"/>
    </xf>
    <xf numFmtId="0" fontId="74" fillId="8" borderId="211" xfId="116" applyFont="1" applyFill="1" applyBorder="1" applyAlignment="1">
      <alignment horizontal="center" vertical="center"/>
    </xf>
    <xf numFmtId="0" fontId="9" fillId="8" borderId="213" xfId="117" applyFill="1" applyBorder="1" applyAlignment="1">
      <alignment vertical="center"/>
    </xf>
    <xf numFmtId="0" fontId="71" fillId="8" borderId="213" xfId="116" applyFont="1" applyFill="1" applyBorder="1" applyAlignment="1">
      <alignment horizontal="center" vertical="center"/>
    </xf>
    <xf numFmtId="41" fontId="71" fillId="8" borderId="213" xfId="14" applyFont="1" applyFill="1" applyBorder="1" applyAlignment="1">
      <alignment horizontal="center" vertical="center"/>
    </xf>
    <xf numFmtId="0" fontId="71" fillId="8" borderId="215" xfId="116" applyFont="1" applyFill="1" applyBorder="1" applyAlignment="1">
      <alignment horizontal="center" vertical="center"/>
    </xf>
    <xf numFmtId="0" fontId="71" fillId="8" borderId="179" xfId="116" applyFont="1" applyFill="1" applyBorder="1" applyAlignment="1">
      <alignment vertical="center"/>
    </xf>
    <xf numFmtId="0" fontId="71" fillId="8" borderId="211" xfId="116" applyFont="1" applyFill="1" applyBorder="1" applyAlignment="1">
      <alignment vertical="center"/>
    </xf>
    <xf numFmtId="0" fontId="71" fillId="8" borderId="211" xfId="116" applyFont="1" applyFill="1" applyBorder="1" applyAlignment="1">
      <alignment horizontal="left" vertical="center"/>
    </xf>
    <xf numFmtId="0" fontId="71" fillId="8" borderId="212" xfId="116" applyFont="1" applyFill="1" applyBorder="1" applyAlignment="1">
      <alignment horizontal="center" vertical="center"/>
    </xf>
    <xf numFmtId="0" fontId="71" fillId="8" borderId="214" xfId="116" applyFont="1" applyFill="1" applyBorder="1" applyAlignment="1">
      <alignment horizontal="center" vertical="center"/>
    </xf>
    <xf numFmtId="167" fontId="71" fillId="8" borderId="213" xfId="62" applyNumberFormat="1" applyFont="1" applyFill="1" applyBorder="1" applyAlignment="1">
      <alignment horizontal="center" vertical="center"/>
    </xf>
    <xf numFmtId="0" fontId="73" fillId="8" borderId="213" xfId="116" applyFont="1" applyFill="1" applyBorder="1" applyAlignment="1">
      <alignment horizontal="center" vertical="center"/>
    </xf>
    <xf numFmtId="167" fontId="71" fillId="8" borderId="212" xfId="62" applyNumberFormat="1" applyFont="1" applyFill="1" applyBorder="1" applyAlignment="1">
      <alignment horizontal="center" vertical="center"/>
    </xf>
    <xf numFmtId="43" fontId="71" fillId="8" borderId="213" xfId="62" applyFont="1" applyFill="1" applyBorder="1" applyAlignment="1">
      <alignment horizontal="center" vertical="center"/>
    </xf>
    <xf numFmtId="43" fontId="71" fillId="8" borderId="213" xfId="62" quotePrefix="1" applyFont="1" applyFill="1" applyBorder="1" applyAlignment="1">
      <alignment horizontal="center" vertical="center"/>
    </xf>
    <xf numFmtId="2" fontId="71" fillId="8" borderId="213" xfId="116" applyNumberFormat="1" applyFont="1" applyFill="1" applyBorder="1" applyAlignment="1">
      <alignment horizontal="center" vertical="center"/>
    </xf>
    <xf numFmtId="43" fontId="71" fillId="8" borderId="213" xfId="116" applyNumberFormat="1" applyFont="1" applyFill="1" applyBorder="1" applyAlignment="1">
      <alignment horizontal="center" vertical="center"/>
    </xf>
    <xf numFmtId="43" fontId="71" fillId="8" borderId="215" xfId="116" applyNumberFormat="1" applyFont="1" applyFill="1" applyBorder="1" applyAlignment="1">
      <alignment horizontal="center" vertical="center"/>
    </xf>
    <xf numFmtId="167" fontId="71" fillId="8" borderId="213" xfId="62" applyNumberFormat="1" applyFont="1" applyFill="1" applyBorder="1" applyAlignment="1">
      <alignment horizontal="right" vertical="center"/>
    </xf>
    <xf numFmtId="0" fontId="71" fillId="8" borderId="213" xfId="116" quotePrefix="1" applyFont="1" applyFill="1" applyBorder="1" applyAlignment="1">
      <alignment horizontal="center" vertical="center"/>
    </xf>
    <xf numFmtId="0" fontId="71" fillId="8" borderId="183" xfId="116" applyFont="1" applyFill="1" applyBorder="1" applyAlignment="1">
      <alignment vertical="center"/>
    </xf>
    <xf numFmtId="0" fontId="71" fillId="8" borderId="201" xfId="116" applyFont="1" applyFill="1" applyBorder="1" applyAlignment="1">
      <alignment vertical="center"/>
    </xf>
    <xf numFmtId="0" fontId="71" fillId="8" borderId="216" xfId="116" applyFont="1" applyFill="1" applyBorder="1" applyAlignment="1">
      <alignment horizontal="center" vertical="center"/>
    </xf>
    <xf numFmtId="0" fontId="71" fillId="8" borderId="217" xfId="116" applyFont="1" applyFill="1" applyBorder="1" applyAlignment="1">
      <alignment horizontal="center" vertical="center"/>
    </xf>
    <xf numFmtId="0" fontId="71" fillId="8" borderId="200" xfId="116" applyFont="1" applyFill="1" applyBorder="1" applyAlignment="1">
      <alignment horizontal="center" vertical="center"/>
    </xf>
    <xf numFmtId="41" fontId="71" fillId="8" borderId="217" xfId="14" applyFont="1" applyFill="1" applyBorder="1" applyAlignment="1">
      <alignment horizontal="center" vertical="center"/>
    </xf>
    <xf numFmtId="43" fontId="71" fillId="8" borderId="217" xfId="116" applyNumberFormat="1" applyFont="1" applyFill="1" applyBorder="1" applyAlignment="1">
      <alignment horizontal="center" vertical="center"/>
    </xf>
    <xf numFmtId="43" fontId="71" fillId="8" borderId="218" xfId="116" applyNumberFormat="1" applyFont="1" applyFill="1" applyBorder="1" applyAlignment="1">
      <alignment horizontal="center" vertical="center"/>
    </xf>
    <xf numFmtId="170" fontId="127" fillId="0" borderId="0" xfId="1" applyNumberFormat="1" applyFont="1" applyFill="1" applyAlignment="1">
      <alignment vertical="center"/>
    </xf>
    <xf numFmtId="170" fontId="129" fillId="0" borderId="0" xfId="1" applyNumberFormat="1" applyFont="1" applyFill="1" applyAlignment="1">
      <alignment vertical="center"/>
    </xf>
    <xf numFmtId="9" fontId="1" fillId="0" borderId="0" xfId="178" applyFont="1" applyFill="1" applyBorder="1" applyAlignment="1">
      <alignment vertical="center"/>
    </xf>
    <xf numFmtId="0" fontId="0" fillId="16" borderId="428" xfId="0" applyFill="1" applyBorder="1" applyAlignment="1">
      <alignment horizontal="center" vertical="center"/>
    </xf>
    <xf numFmtId="164" fontId="8" fillId="0" borderId="406" xfId="1" applyFont="1" applyFill="1" applyBorder="1" applyAlignment="1">
      <alignment horizontal="center" vertical="center"/>
    </xf>
    <xf numFmtId="170" fontId="78" fillId="0" borderId="453" xfId="1" applyNumberFormat="1" applyFont="1" applyFill="1" applyBorder="1" applyAlignment="1">
      <alignment vertical="center"/>
    </xf>
    <xf numFmtId="170" fontId="0" fillId="0" borderId="417" xfId="1" applyNumberFormat="1" applyFont="1" applyFill="1" applyBorder="1" applyAlignment="1">
      <alignment vertical="center"/>
    </xf>
    <xf numFmtId="170" fontId="0" fillId="0" borderId="416" xfId="1" applyNumberFormat="1" applyFont="1" applyFill="1" applyBorder="1" applyAlignment="1">
      <alignment vertical="center"/>
    </xf>
    <xf numFmtId="170" fontId="0" fillId="0" borderId="406" xfId="1" applyNumberFormat="1" applyFont="1" applyFill="1" applyBorder="1" applyAlignment="1">
      <alignment vertical="center"/>
    </xf>
    <xf numFmtId="170" fontId="0" fillId="0" borderId="372" xfId="1" applyNumberFormat="1" applyFont="1" applyFill="1" applyBorder="1" applyAlignment="1">
      <alignment vertical="center"/>
    </xf>
    <xf numFmtId="170" fontId="0" fillId="0" borderId="432" xfId="1" applyNumberFormat="1" applyFont="1" applyFill="1" applyBorder="1" applyAlignment="1">
      <alignment vertical="center"/>
    </xf>
    <xf numFmtId="170" fontId="0" fillId="0" borderId="463" xfId="1" applyNumberFormat="1" applyFont="1" applyFill="1" applyBorder="1" applyAlignment="1">
      <alignment vertical="center"/>
    </xf>
    <xf numFmtId="170" fontId="0" fillId="0" borderId="431" xfId="1" applyNumberFormat="1" applyFont="1" applyFill="1" applyBorder="1" applyAlignment="1">
      <alignment vertical="center"/>
    </xf>
    <xf numFmtId="164" fontId="8" fillId="0" borderId="428" xfId="1" applyFont="1" applyFill="1" applyBorder="1" applyAlignment="1">
      <alignment horizontal="center" vertical="center"/>
    </xf>
    <xf numFmtId="170" fontId="78" fillId="0" borderId="463" xfId="1" applyNumberFormat="1" applyFont="1" applyFill="1" applyBorder="1" applyAlignment="1">
      <alignment vertical="center"/>
    </xf>
    <xf numFmtId="170" fontId="0" fillId="0" borderId="429" xfId="1" applyNumberFormat="1" applyFont="1" applyFill="1" applyBorder="1" applyAlignment="1">
      <alignment vertical="center"/>
    </xf>
    <xf numFmtId="170" fontId="0" fillId="0" borderId="428" xfId="1" applyNumberFormat="1" applyFont="1" applyFill="1" applyBorder="1" applyAlignment="1">
      <alignment vertical="center"/>
    </xf>
    <xf numFmtId="0" fontId="0" fillId="8" borderId="239" xfId="0" applyFill="1" applyBorder="1" applyAlignment="1">
      <alignment horizontal="center" vertical="center"/>
    </xf>
    <xf numFmtId="0" fontId="78" fillId="0" borderId="109" xfId="0" applyFont="1" applyBorder="1" applyAlignment="1">
      <alignment horizontal="center" vertical="center" wrapText="1"/>
    </xf>
    <xf numFmtId="41" fontId="21" fillId="8" borderId="419" xfId="19" applyFont="1" applyFill="1" applyBorder="1" applyAlignment="1">
      <alignment horizontal="right" vertical="center"/>
    </xf>
    <xf numFmtId="0" fontId="77" fillId="0" borderId="242" xfId="0" applyFont="1" applyBorder="1" applyAlignment="1">
      <alignment horizontal="center" vertical="center"/>
    </xf>
    <xf numFmtId="0" fontId="77" fillId="0" borderId="241" xfId="0" applyFont="1" applyBorder="1" applyAlignment="1">
      <alignment horizontal="center" vertical="center"/>
    </xf>
    <xf numFmtId="0" fontId="75" fillId="8" borderId="240" xfId="0" applyFont="1" applyFill="1" applyBorder="1" applyAlignment="1">
      <alignment horizontal="center" vertical="center"/>
    </xf>
    <xf numFmtId="0" fontId="77" fillId="0" borderId="15" xfId="0" applyFont="1" applyBorder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0" fontId="0" fillId="8" borderId="428" xfId="0" applyFill="1" applyBorder="1" applyAlignment="1">
      <alignment horizontal="center" vertical="center"/>
    </xf>
    <xf numFmtId="164" fontId="77" fillId="0" borderId="240" xfId="1" applyFont="1" applyFill="1" applyBorder="1" applyAlignment="1">
      <alignment horizontal="center" vertical="center"/>
    </xf>
    <xf numFmtId="164" fontId="77" fillId="0" borderId="406" xfId="1" applyFont="1" applyFill="1" applyBorder="1" applyAlignment="1">
      <alignment horizontal="center" vertical="center"/>
    </xf>
    <xf numFmtId="164" fontId="77" fillId="0" borderId="204" xfId="1" applyFont="1" applyFill="1" applyBorder="1" applyAlignment="1">
      <alignment horizontal="center" vertical="center"/>
    </xf>
    <xf numFmtId="0" fontId="0" fillId="8" borderId="241" xfId="0" applyFill="1" applyBorder="1" applyAlignment="1">
      <alignment horizontal="center" vertical="center"/>
    </xf>
    <xf numFmtId="0" fontId="77" fillId="3" borderId="240" xfId="0" applyFont="1" applyFill="1" applyBorder="1" applyAlignment="1">
      <alignment horizontal="center" vertical="center"/>
    </xf>
    <xf numFmtId="167" fontId="150" fillId="8" borderId="394" xfId="64" applyNumberFormat="1" applyFont="1" applyFill="1" applyBorder="1"/>
    <xf numFmtId="170" fontId="77" fillId="0" borderId="243" xfId="1" applyNumberFormat="1" applyFont="1" applyFill="1" applyBorder="1" applyAlignment="1">
      <alignment vertical="center"/>
    </xf>
    <xf numFmtId="164" fontId="150" fillId="8" borderId="37" xfId="1" applyFont="1" applyFill="1" applyBorder="1"/>
    <xf numFmtId="164" fontId="77" fillId="0" borderId="54" xfId="1" applyFont="1" applyFill="1" applyBorder="1" applyAlignment="1">
      <alignment horizontal="center" vertical="center"/>
    </xf>
    <xf numFmtId="170" fontId="77" fillId="0" borderId="241" xfId="1" applyNumberFormat="1" applyFont="1" applyFill="1" applyBorder="1" applyAlignment="1">
      <alignment vertical="center"/>
    </xf>
    <xf numFmtId="170" fontId="77" fillId="0" borderId="240" xfId="1" applyNumberFormat="1" applyFont="1" applyFill="1" applyBorder="1" applyAlignment="1">
      <alignment horizontal="center" vertical="center"/>
    </xf>
    <xf numFmtId="0" fontId="45" fillId="0" borderId="258" xfId="142" applyFont="1" applyFill="1" applyBorder="1" applyAlignment="1">
      <alignment vertical="center" wrapText="1"/>
    </xf>
    <xf numFmtId="0" fontId="127" fillId="0" borderId="38" xfId="143" applyFont="1" applyFill="1" applyBorder="1" applyAlignment="1">
      <alignment vertical="center" wrapText="1"/>
    </xf>
    <xf numFmtId="0" fontId="78" fillId="0" borderId="428" xfId="0" applyFont="1" applyBorder="1" applyAlignment="1">
      <alignment horizontal="center" vertical="center"/>
    </xf>
    <xf numFmtId="0" fontId="78" fillId="0" borderId="281" xfId="0" applyFont="1" applyBorder="1" applyAlignment="1">
      <alignment horizontal="center" vertical="center"/>
    </xf>
    <xf numFmtId="0" fontId="78" fillId="0" borderId="309" xfId="0" applyFont="1" applyBorder="1" applyAlignment="1">
      <alignment horizontal="center" vertical="center"/>
    </xf>
    <xf numFmtId="186" fontId="12" fillId="0" borderId="405" xfId="173" quotePrefix="1" applyNumberFormat="1" applyFont="1" applyBorder="1" applyAlignment="1">
      <alignment horizontal="center" vertical="center"/>
    </xf>
    <xf numFmtId="186" fontId="12" fillId="0" borderId="403" xfId="173" quotePrefix="1" applyNumberFormat="1" applyFont="1" applyBorder="1" applyAlignment="1">
      <alignment horizontal="center" vertical="center"/>
    </xf>
    <xf numFmtId="186" fontId="12" fillId="0" borderId="348" xfId="173" applyNumberFormat="1" applyFont="1" applyBorder="1" applyAlignment="1">
      <alignment horizontal="center" vertical="center"/>
    </xf>
    <xf numFmtId="186" fontId="12" fillId="0" borderId="402" xfId="173" applyNumberFormat="1" applyFont="1" applyBorder="1" applyAlignment="1">
      <alignment horizontal="center" vertical="center"/>
    </xf>
    <xf numFmtId="186" fontId="12" fillId="0" borderId="404" xfId="173" applyNumberFormat="1" applyFont="1" applyBorder="1" applyAlignment="1">
      <alignment horizontal="center" vertical="center"/>
    </xf>
    <xf numFmtId="186" fontId="12" fillId="0" borderId="401" xfId="173" quotePrefix="1" applyNumberFormat="1" applyFont="1" applyBorder="1" applyAlignment="1">
      <alignment horizontal="center" vertical="center"/>
    </xf>
    <xf numFmtId="186" fontId="12" fillId="8" borderId="252" xfId="173" applyNumberFormat="1" applyFont="1" applyFill="1" applyBorder="1" applyAlignment="1">
      <alignment horizontal="center" vertical="center" wrapText="1"/>
    </xf>
    <xf numFmtId="186" fontId="12" fillId="8" borderId="400" xfId="173" applyNumberFormat="1" applyFont="1" applyFill="1" applyBorder="1" applyAlignment="1">
      <alignment horizontal="center" vertical="center" wrapText="1"/>
    </xf>
    <xf numFmtId="186" fontId="129" fillId="0" borderId="20" xfId="173" applyNumberFormat="1" applyFont="1" applyBorder="1" applyAlignment="1">
      <alignment horizontal="left" vertical="center"/>
    </xf>
    <xf numFmtId="186" fontId="129" fillId="0" borderId="171" xfId="173" applyNumberFormat="1" applyFont="1" applyBorder="1" applyAlignment="1">
      <alignment horizontal="left" vertical="center"/>
    </xf>
    <xf numFmtId="186" fontId="129" fillId="0" borderId="172" xfId="173" applyNumberFormat="1" applyFont="1" applyBorder="1" applyAlignment="1">
      <alignment horizontal="left" vertical="center"/>
    </xf>
    <xf numFmtId="186" fontId="129" fillId="0" borderId="392" xfId="173" applyNumberFormat="1" applyFont="1" applyBorder="1" applyAlignment="1">
      <alignment horizontal="left" vertical="center"/>
    </xf>
    <xf numFmtId="186" fontId="129" fillId="0" borderId="412" xfId="173" applyNumberFormat="1" applyFont="1" applyBorder="1" applyAlignment="1">
      <alignment horizontal="left" vertical="center"/>
    </xf>
    <xf numFmtId="186" fontId="129" fillId="0" borderId="411" xfId="173" applyNumberFormat="1" applyFont="1" applyBorder="1" applyAlignment="1">
      <alignment horizontal="left" vertical="center"/>
    </xf>
    <xf numFmtId="0" fontId="129" fillId="0" borderId="20" xfId="132" applyFont="1" applyBorder="1" applyAlignment="1">
      <alignment horizontal="left" vertical="center"/>
    </xf>
    <xf numFmtId="0" fontId="129" fillId="0" borderId="171" xfId="132" applyFont="1" applyBorder="1" applyAlignment="1">
      <alignment horizontal="left" vertical="center"/>
    </xf>
    <xf numFmtId="0" fontId="129" fillId="0" borderId="172" xfId="132" applyFont="1" applyBorder="1" applyAlignment="1">
      <alignment horizontal="left" vertical="center"/>
    </xf>
    <xf numFmtId="186" fontId="129" fillId="0" borderId="20" xfId="173" applyNumberFormat="1" applyFont="1" applyBorder="1" applyAlignment="1">
      <alignment horizontal="left" vertical="center" wrapText="1"/>
    </xf>
    <xf numFmtId="186" fontId="129" fillId="0" borderId="171" xfId="173" applyNumberFormat="1" applyFont="1" applyBorder="1" applyAlignment="1">
      <alignment horizontal="left" vertical="center" wrapText="1"/>
    </xf>
    <xf numFmtId="186" fontId="129" fillId="0" borderId="172" xfId="173" applyNumberFormat="1" applyFont="1" applyBorder="1" applyAlignment="1">
      <alignment horizontal="left" vertical="center" wrapText="1"/>
    </xf>
    <xf numFmtId="186" fontId="131" fillId="0" borderId="253" xfId="173" quotePrefix="1" applyNumberFormat="1" applyFont="1" applyBorder="1" applyAlignment="1">
      <alignment horizontal="center" vertical="center"/>
    </xf>
    <xf numFmtId="186" fontId="131" fillId="0" borderId="379" xfId="173" quotePrefix="1" applyNumberFormat="1" applyFont="1" applyBorder="1" applyAlignment="1">
      <alignment horizontal="center" vertical="center"/>
    </xf>
    <xf numFmtId="186" fontId="131" fillId="0" borderId="202" xfId="173" quotePrefix="1" applyNumberFormat="1" applyFont="1" applyBorder="1" applyAlignment="1">
      <alignment horizontal="center" vertical="center"/>
    </xf>
    <xf numFmtId="186" fontId="131" fillId="0" borderId="415" xfId="173" quotePrefix="1" applyNumberFormat="1" applyFont="1" applyBorder="1" applyAlignment="1">
      <alignment horizontal="center" vertical="center"/>
    </xf>
    <xf numFmtId="186" fontId="131" fillId="0" borderId="348" xfId="173" quotePrefix="1" applyNumberFormat="1" applyFont="1" applyBorder="1" applyAlignment="1">
      <alignment horizontal="center" vertical="center"/>
    </xf>
    <xf numFmtId="186" fontId="131" fillId="0" borderId="255" xfId="173" quotePrefix="1" applyNumberFormat="1" applyFont="1" applyBorder="1" applyAlignment="1">
      <alignment horizontal="center" vertical="center"/>
    </xf>
    <xf numFmtId="186" fontId="131" fillId="0" borderId="254" xfId="173" quotePrefix="1" applyNumberFormat="1" applyFont="1" applyBorder="1" applyAlignment="1">
      <alignment horizontal="center" vertical="center"/>
    </xf>
    <xf numFmtId="186" fontId="131" fillId="0" borderId="402" xfId="173" quotePrefix="1" applyNumberFormat="1" applyFont="1" applyBorder="1" applyAlignment="1">
      <alignment horizontal="center" vertical="center"/>
    </xf>
    <xf numFmtId="186" fontId="131" fillId="0" borderId="389" xfId="173" quotePrefix="1" applyNumberFormat="1" applyFont="1" applyBorder="1" applyAlignment="1">
      <alignment horizontal="center" vertical="center"/>
    </xf>
    <xf numFmtId="186" fontId="131" fillId="0" borderId="380" xfId="173" quotePrefix="1" applyNumberFormat="1" applyFont="1" applyBorder="1" applyAlignment="1">
      <alignment horizontal="center" vertical="center"/>
    </xf>
    <xf numFmtId="186" fontId="131" fillId="0" borderId="253" xfId="173" applyNumberFormat="1" applyFont="1" applyBorder="1" applyAlignment="1">
      <alignment horizontal="center" vertical="center"/>
    </xf>
    <xf numFmtId="0" fontId="5" fillId="0" borderId="345" xfId="177" applyBorder="1" applyAlignment="1">
      <alignment horizontal="center"/>
    </xf>
    <xf numFmtId="0" fontId="5" fillId="0" borderId="344" xfId="177" applyBorder="1" applyAlignment="1">
      <alignment horizontal="center"/>
    </xf>
    <xf numFmtId="0" fontId="5" fillId="0" borderId="347" xfId="177" applyBorder="1" applyAlignment="1">
      <alignment horizontal="center"/>
    </xf>
    <xf numFmtId="0" fontId="5" fillId="0" borderId="260" xfId="177" applyBorder="1" applyAlignment="1">
      <alignment horizontal="center"/>
    </xf>
    <xf numFmtId="0" fontId="5" fillId="0" borderId="346" xfId="177" applyBorder="1" applyAlignment="1">
      <alignment horizontal="center"/>
    </xf>
    <xf numFmtId="0" fontId="5" fillId="0" borderId="260" xfId="177" applyBorder="1" applyAlignment="1">
      <alignment horizontal="center" vertical="center"/>
    </xf>
    <xf numFmtId="0" fontId="5" fillId="0" borderId="417" xfId="177" applyBorder="1" applyAlignment="1">
      <alignment horizontal="center" vertical="center"/>
    </xf>
    <xf numFmtId="0" fontId="5" fillId="0" borderId="346" xfId="177" applyBorder="1" applyAlignment="1">
      <alignment horizontal="center" vertical="center"/>
    </xf>
    <xf numFmtId="0" fontId="5" fillId="0" borderId="416" xfId="177" applyBorder="1" applyAlignment="1">
      <alignment horizontal="center" vertical="center"/>
    </xf>
    <xf numFmtId="0" fontId="1" fillId="0" borderId="251" xfId="177" applyFont="1" applyBorder="1" applyAlignment="1">
      <alignment horizontal="center" vertical="center"/>
    </xf>
    <xf numFmtId="0" fontId="5" fillId="0" borderId="131" xfId="177" applyBorder="1" applyAlignment="1">
      <alignment horizontal="center" vertical="center"/>
    </xf>
    <xf numFmtId="0" fontId="2" fillId="0" borderId="260" xfId="177" applyFont="1" applyBorder="1" applyAlignment="1">
      <alignment horizontal="center" vertical="center"/>
    </xf>
    <xf numFmtId="0" fontId="5" fillId="0" borderId="431" xfId="177" applyBorder="1" applyAlignment="1">
      <alignment horizontal="center" vertical="center"/>
    </xf>
    <xf numFmtId="0" fontId="2" fillId="0" borderId="346" xfId="177" applyFont="1" applyBorder="1" applyAlignment="1">
      <alignment horizontal="center" vertical="center"/>
    </xf>
    <xf numFmtId="0" fontId="5" fillId="0" borderId="429" xfId="177" applyBorder="1" applyAlignment="1">
      <alignment horizontal="center" vertical="center"/>
    </xf>
    <xf numFmtId="0" fontId="124" fillId="0" borderId="406" xfId="117" applyFont="1" applyBorder="1" applyAlignment="1">
      <alignment horizontal="center"/>
    </xf>
    <xf numFmtId="4" fontId="124" fillId="0" borderId="406" xfId="117" applyNumberFormat="1" applyFont="1" applyBorder="1" applyAlignment="1">
      <alignment horizontal="center"/>
    </xf>
    <xf numFmtId="4" fontId="124" fillId="0" borderId="298" xfId="117" applyNumberFormat="1" applyFont="1" applyBorder="1" applyAlignment="1">
      <alignment horizontal="center"/>
    </xf>
    <xf numFmtId="4" fontId="124" fillId="0" borderId="409" xfId="117" applyNumberFormat="1" applyFont="1" applyBorder="1" applyAlignment="1">
      <alignment horizontal="center"/>
    </xf>
    <xf numFmtId="4" fontId="124" fillId="0" borderId="37" xfId="117" applyNumberFormat="1" applyFont="1" applyBorder="1" applyAlignment="1">
      <alignment horizontal="center"/>
    </xf>
    <xf numFmtId="0" fontId="127" fillId="0" borderId="0" xfId="142" applyFont="1" applyAlignment="1">
      <alignment horizontal="left" vertical="center" wrapText="1"/>
    </xf>
    <xf numFmtId="41" fontId="45" fillId="0" borderId="281" xfId="18" applyFont="1" applyFill="1" applyBorder="1" applyAlignment="1">
      <alignment horizontal="right" vertical="center" wrapText="1"/>
    </xf>
    <xf numFmtId="41" fontId="45" fillId="0" borderId="280" xfId="18" applyFont="1" applyFill="1" applyBorder="1" applyAlignment="1">
      <alignment horizontal="right" vertical="center" wrapText="1"/>
    </xf>
    <xf numFmtId="41" fontId="45" fillId="0" borderId="309" xfId="18" applyFont="1" applyFill="1" applyBorder="1" applyAlignment="1">
      <alignment horizontal="right" vertical="center" wrapText="1"/>
    </xf>
    <xf numFmtId="41" fontId="45" fillId="0" borderId="281" xfId="18" applyFont="1" applyFill="1" applyBorder="1" applyAlignment="1">
      <alignment horizontal="right" vertical="center"/>
    </xf>
    <xf numFmtId="41" fontId="45" fillId="0" borderId="280" xfId="18" applyFont="1" applyFill="1" applyBorder="1" applyAlignment="1">
      <alignment horizontal="right" vertical="center"/>
    </xf>
    <xf numFmtId="41" fontId="45" fillId="0" borderId="309" xfId="18" applyFont="1" applyFill="1" applyBorder="1" applyAlignment="1">
      <alignment horizontal="right" vertical="center"/>
    </xf>
    <xf numFmtId="0" fontId="0" fillId="0" borderId="298" xfId="0" applyBorder="1" applyAlignment="1">
      <alignment horizontal="center" vertical="center" wrapText="1"/>
    </xf>
    <xf numFmtId="170" fontId="0" fillId="0" borderId="298" xfId="1" applyNumberFormat="1" applyFont="1" applyBorder="1" applyAlignment="1">
      <alignment horizontal="center" vertical="center"/>
    </xf>
    <xf numFmtId="0" fontId="0" fillId="0" borderId="428" xfId="0" applyBorder="1" applyAlignment="1">
      <alignment horizontal="center" vertical="center" wrapText="1"/>
    </xf>
    <xf numFmtId="0" fontId="0" fillId="0" borderId="240" xfId="0" applyBorder="1" applyAlignment="1">
      <alignment horizontal="center" vertical="center" wrapText="1"/>
    </xf>
    <xf numFmtId="170" fontId="0" fillId="0" borderId="428" xfId="1" applyNumberFormat="1" applyFont="1" applyBorder="1" applyAlignment="1">
      <alignment horizontal="center" vertical="center"/>
    </xf>
    <xf numFmtId="170" fontId="0" fillId="0" borderId="240" xfId="1" applyNumberFormat="1" applyFont="1" applyBorder="1" applyAlignment="1">
      <alignment horizontal="center" vertical="center"/>
    </xf>
    <xf numFmtId="0" fontId="78" fillId="0" borderId="0" xfId="0" applyFont="1" applyAlignment="1">
      <alignment horizontal="center" vertical="center" wrapText="1"/>
    </xf>
    <xf numFmtId="0" fontId="78" fillId="0" borderId="244" xfId="0" applyFont="1" applyBorder="1" applyAlignment="1">
      <alignment horizontal="center" vertical="center" wrapText="1"/>
    </xf>
    <xf numFmtId="0" fontId="78" fillId="0" borderId="243" xfId="0" applyFont="1" applyBorder="1" applyAlignment="1">
      <alignment horizontal="center" vertical="center" wrapText="1"/>
    </xf>
    <xf numFmtId="0" fontId="78" fillId="0" borderId="245" xfId="0" applyFont="1" applyBorder="1" applyAlignment="1">
      <alignment horizontal="center" vertical="center" wrapText="1"/>
    </xf>
    <xf numFmtId="0" fontId="78" fillId="0" borderId="237" xfId="0" applyFont="1" applyBorder="1" applyAlignment="1">
      <alignment horizontal="center" vertical="center" wrapText="1"/>
    </xf>
    <xf numFmtId="0" fontId="78" fillId="0" borderId="241" xfId="0" applyFont="1" applyBorder="1" applyAlignment="1">
      <alignment horizontal="center" vertical="center" wrapText="1"/>
    </xf>
    <xf numFmtId="0" fontId="78" fillId="0" borderId="240" xfId="0" applyFont="1" applyBorder="1" applyAlignment="1">
      <alignment horizontal="center" vertical="center" wrapText="1"/>
    </xf>
    <xf numFmtId="0" fontId="78" fillId="0" borderId="239" xfId="0" applyFont="1" applyBorder="1" applyAlignment="1">
      <alignment horizontal="center" vertical="center" wrapText="1"/>
    </xf>
    <xf numFmtId="0" fontId="78" fillId="0" borderId="204" xfId="0" applyFont="1" applyBorder="1" applyAlignment="1">
      <alignment horizontal="center" vertical="center" wrapText="1"/>
    </xf>
    <xf numFmtId="0" fontId="78" fillId="0" borderId="242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0" fillId="0" borderId="407" xfId="0" applyBorder="1" applyAlignment="1">
      <alignment horizontal="center" vertical="center" wrapText="1"/>
    </xf>
    <xf numFmtId="170" fontId="0" fillId="0" borderId="407" xfId="1" applyNumberFormat="1" applyFont="1" applyBorder="1" applyAlignment="1">
      <alignment horizontal="center" vertical="center"/>
    </xf>
    <xf numFmtId="0" fontId="78" fillId="0" borderId="234" xfId="0" applyFont="1" applyBorder="1" applyAlignment="1">
      <alignment horizontal="center" vertical="center" wrapText="1"/>
    </xf>
    <xf numFmtId="0" fontId="78" fillId="0" borderId="122" xfId="0" applyFont="1" applyBorder="1" applyAlignment="1">
      <alignment horizontal="center" vertical="center" wrapText="1"/>
    </xf>
    <xf numFmtId="0" fontId="78" fillId="0" borderId="298" xfId="0" applyFont="1" applyBorder="1" applyAlignment="1">
      <alignment horizontal="center" vertical="center" wrapText="1"/>
    </xf>
    <xf numFmtId="0" fontId="78" fillId="0" borderId="349" xfId="0" applyFont="1" applyBorder="1" applyAlignment="1">
      <alignment horizontal="center" vertical="center" wrapText="1"/>
    </xf>
    <xf numFmtId="0" fontId="78" fillId="0" borderId="233" xfId="0" applyFont="1" applyBorder="1" applyAlignment="1">
      <alignment horizontal="center" vertical="center" wrapText="1"/>
    </xf>
    <xf numFmtId="0" fontId="78" fillId="0" borderId="282" xfId="0" applyFont="1" applyBorder="1" applyAlignment="1">
      <alignment horizontal="center" vertical="center" wrapText="1"/>
    </xf>
    <xf numFmtId="0" fontId="78" fillId="0" borderId="350" xfId="0" applyFont="1" applyBorder="1" applyAlignment="1">
      <alignment horizontal="center" vertical="center" wrapText="1"/>
    </xf>
    <xf numFmtId="0" fontId="78" fillId="0" borderId="235" xfId="0" applyFont="1" applyBorder="1" applyAlignment="1">
      <alignment horizontal="center" vertical="center" wrapText="1"/>
    </xf>
    <xf numFmtId="0" fontId="78" fillId="0" borderId="283" xfId="0" applyFont="1" applyBorder="1" applyAlignment="1">
      <alignment horizontal="center" vertical="center" wrapText="1"/>
    </xf>
    <xf numFmtId="0" fontId="78" fillId="0" borderId="118" xfId="0" applyFont="1" applyBorder="1" applyAlignment="1">
      <alignment horizontal="center" vertical="center" wrapText="1"/>
    </xf>
    <xf numFmtId="0" fontId="0" fillId="0" borderId="204" xfId="0" applyBorder="1" applyAlignment="1">
      <alignment horizontal="center" vertical="center" wrapText="1"/>
    </xf>
    <xf numFmtId="170" fontId="0" fillId="0" borderId="204" xfId="1" applyNumberFormat="1" applyFont="1" applyBorder="1" applyAlignment="1">
      <alignment horizontal="center" vertical="center"/>
    </xf>
    <xf numFmtId="0" fontId="0" fillId="0" borderId="430" xfId="0" applyBorder="1" applyAlignment="1">
      <alignment horizontal="center" vertical="center"/>
    </xf>
    <xf numFmtId="0" fontId="0" fillId="0" borderId="462" xfId="0" applyBorder="1" applyAlignment="1">
      <alignment horizontal="center" vertical="center"/>
    </xf>
    <xf numFmtId="0" fontId="78" fillId="0" borderId="240" xfId="0" applyFont="1" applyBorder="1" applyAlignment="1">
      <alignment horizontal="center" vertical="center"/>
    </xf>
    <xf numFmtId="0" fontId="78" fillId="0" borderId="281" xfId="0" applyFont="1" applyBorder="1" applyAlignment="1">
      <alignment horizontal="right" vertical="center"/>
    </xf>
    <xf numFmtId="0" fontId="78" fillId="0" borderId="280" xfId="0" applyFont="1" applyBorder="1" applyAlignment="1">
      <alignment horizontal="right" vertical="center"/>
    </xf>
    <xf numFmtId="0" fontId="78" fillId="0" borderId="133" xfId="0" applyFont="1" applyBorder="1" applyAlignment="1">
      <alignment horizontal="right" vertical="center"/>
    </xf>
    <xf numFmtId="0" fontId="78" fillId="0" borderId="226" xfId="0" applyFont="1" applyBorder="1" applyAlignment="1">
      <alignment horizontal="center" vertical="center" wrapText="1"/>
    </xf>
    <xf numFmtId="0" fontId="78" fillId="0" borderId="229" xfId="0" applyFont="1" applyBorder="1" applyAlignment="1">
      <alignment horizontal="center" vertical="center" wrapText="1"/>
    </xf>
    <xf numFmtId="0" fontId="78" fillId="0" borderId="257" xfId="0" applyFont="1" applyBorder="1" applyAlignment="1">
      <alignment horizontal="center" vertical="center" wrapText="1"/>
    </xf>
    <xf numFmtId="0" fontId="0" fillId="0" borderId="430" xfId="0" applyBorder="1" applyAlignment="1">
      <alignment horizontal="center" vertical="center" wrapText="1"/>
    </xf>
    <xf numFmtId="0" fontId="0" fillId="0" borderId="462" xfId="0" applyBorder="1" applyAlignment="1">
      <alignment horizontal="center" vertical="center" wrapText="1"/>
    </xf>
    <xf numFmtId="170" fontId="0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8" fillId="0" borderId="242" xfId="0" applyFont="1" applyBorder="1" applyAlignment="1">
      <alignment horizontal="center" vertical="center"/>
    </xf>
    <xf numFmtId="0" fontId="78" fillId="0" borderId="244" xfId="0" applyFont="1" applyBorder="1" applyAlignment="1">
      <alignment horizontal="center" vertical="center"/>
    </xf>
    <xf numFmtId="0" fontId="78" fillId="0" borderId="24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8" fillId="0" borderId="280" xfId="0" applyFont="1" applyBorder="1" applyAlignment="1">
      <alignment horizontal="center" vertical="center"/>
    </xf>
    <xf numFmtId="170" fontId="78" fillId="0" borderId="281" xfId="1" applyNumberFormat="1" applyFont="1" applyFill="1" applyBorder="1" applyAlignment="1">
      <alignment horizontal="center" vertical="center"/>
    </xf>
    <xf numFmtId="170" fontId="78" fillId="0" borderId="280" xfId="1" applyNumberFormat="1" applyFont="1" applyFill="1" applyBorder="1" applyAlignment="1">
      <alignment horizontal="center" vertical="center"/>
    </xf>
    <xf numFmtId="170" fontId="78" fillId="0" borderId="309" xfId="1" applyNumberFormat="1" applyFont="1" applyFill="1" applyBorder="1" applyAlignment="1">
      <alignment horizontal="center" vertical="center"/>
    </xf>
    <xf numFmtId="0" fontId="78" fillId="0" borderId="109" xfId="0" applyFont="1" applyBorder="1" applyAlignment="1">
      <alignment horizontal="center" vertical="center" wrapText="1"/>
    </xf>
    <xf numFmtId="0" fontId="78" fillId="0" borderId="131" xfId="0" applyFont="1" applyBorder="1" applyAlignment="1">
      <alignment horizontal="center" vertical="center" wrapText="1"/>
    </xf>
    <xf numFmtId="0" fontId="78" fillId="0" borderId="409" xfId="0" applyFont="1" applyBorder="1" applyAlignment="1">
      <alignment horizontal="center" vertical="center" wrapText="1"/>
    </xf>
    <xf numFmtId="0" fontId="78" fillId="0" borderId="57" xfId="0" applyFont="1" applyBorder="1" applyAlignment="1">
      <alignment horizontal="center" vertical="center" wrapText="1"/>
    </xf>
    <xf numFmtId="0" fontId="78" fillId="0" borderId="408" xfId="0" applyFont="1" applyBorder="1" applyAlignment="1">
      <alignment horizontal="center" vertical="center" wrapText="1"/>
    </xf>
    <xf numFmtId="0" fontId="78" fillId="0" borderId="55" xfId="0" applyFont="1" applyBorder="1" applyAlignment="1">
      <alignment horizontal="center" vertical="center" wrapText="1"/>
    </xf>
    <xf numFmtId="0" fontId="78" fillId="0" borderId="406" xfId="0" applyFont="1" applyBorder="1" applyAlignment="1">
      <alignment horizontal="center" vertical="center" wrapText="1"/>
    </xf>
    <xf numFmtId="0" fontId="78" fillId="0" borderId="416" xfId="0" applyFont="1" applyBorder="1" applyAlignment="1">
      <alignment horizontal="center" vertical="center" wrapText="1"/>
    </xf>
    <xf numFmtId="0" fontId="78" fillId="0" borderId="228" xfId="0" applyFont="1" applyBorder="1" applyAlignment="1">
      <alignment horizontal="center" vertical="center" wrapText="1"/>
    </xf>
    <xf numFmtId="0" fontId="78" fillId="0" borderId="417" xfId="0" applyFont="1" applyBorder="1" applyAlignment="1">
      <alignment horizontal="center" vertical="center" wrapText="1"/>
    </xf>
    <xf numFmtId="0" fontId="78" fillId="0" borderId="56" xfId="0" applyFont="1" applyBorder="1" applyAlignment="1">
      <alignment horizontal="center" vertical="center" wrapText="1"/>
    </xf>
    <xf numFmtId="0" fontId="78" fillId="0" borderId="110" xfId="0" applyFont="1" applyBorder="1" applyAlignment="1">
      <alignment horizontal="center" vertical="center" wrapText="1"/>
    </xf>
    <xf numFmtId="0" fontId="78" fillId="0" borderId="112" xfId="0" applyFont="1" applyBorder="1" applyAlignment="1">
      <alignment horizontal="center" vertical="center" wrapText="1"/>
    </xf>
    <xf numFmtId="0" fontId="78" fillId="0" borderId="373" xfId="0" applyFont="1" applyBorder="1" applyAlignment="1">
      <alignment horizontal="center" vertical="center" wrapText="1"/>
    </xf>
    <xf numFmtId="0" fontId="78" fillId="0" borderId="22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78" fillId="0" borderId="233" xfId="0" applyFont="1" applyBorder="1" applyAlignment="1">
      <alignment horizontal="center" vertical="center"/>
    </xf>
    <xf numFmtId="0" fontId="78" fillId="0" borderId="249" xfId="0" applyFont="1" applyBorder="1" applyAlignment="1">
      <alignment horizontal="center" vertical="center"/>
    </xf>
    <xf numFmtId="0" fontId="78" fillId="0" borderId="230" xfId="0" applyFont="1" applyBorder="1" applyAlignment="1">
      <alignment horizontal="center" vertical="center" wrapText="1"/>
    </xf>
    <xf numFmtId="167" fontId="109" fillId="8" borderId="388" xfId="65" applyNumberFormat="1" applyFont="1" applyFill="1" applyBorder="1" applyAlignment="1">
      <alignment horizontal="center" vertical="center"/>
    </xf>
    <xf numFmtId="167" fontId="109" fillId="8" borderId="381" xfId="65" applyNumberFormat="1" applyFont="1" applyFill="1" applyBorder="1" applyAlignment="1">
      <alignment horizontal="center" vertical="center"/>
    </xf>
    <xf numFmtId="167" fontId="109" fillId="8" borderId="387" xfId="65" applyNumberFormat="1" applyFont="1" applyFill="1" applyBorder="1" applyAlignment="1">
      <alignment horizontal="center" vertical="center"/>
    </xf>
    <xf numFmtId="167" fontId="109" fillId="8" borderId="36" xfId="65" applyNumberFormat="1" applyFont="1" applyFill="1" applyBorder="1" applyAlignment="1">
      <alignment horizontal="center" vertical="center"/>
    </xf>
    <xf numFmtId="43" fontId="109" fillId="8" borderId="387" xfId="65" applyFont="1" applyFill="1" applyBorder="1" applyAlignment="1">
      <alignment horizontal="center" vertical="center"/>
    </xf>
    <xf numFmtId="43" fontId="109" fillId="8" borderId="36" xfId="65" applyFont="1" applyFill="1" applyBorder="1" applyAlignment="1">
      <alignment horizontal="center" vertical="center"/>
    </xf>
    <xf numFmtId="43" fontId="109" fillId="0" borderId="242" xfId="65" applyFont="1" applyBorder="1" applyAlignment="1">
      <alignment horizontal="right" vertical="center"/>
    </xf>
    <xf numFmtId="43" fontId="109" fillId="0" borderId="373" xfId="65" applyFont="1" applyBorder="1" applyAlignment="1">
      <alignment horizontal="right" vertical="center"/>
    </xf>
    <xf numFmtId="43" fontId="109" fillId="8" borderId="384" xfId="65" applyFont="1" applyFill="1" applyBorder="1" applyAlignment="1">
      <alignment horizontal="center" vertical="center"/>
    </xf>
    <xf numFmtId="43" fontId="109" fillId="8" borderId="383" xfId="65" applyFont="1" applyFill="1" applyBorder="1" applyAlignment="1">
      <alignment horizontal="center" vertical="center"/>
    </xf>
    <xf numFmtId="43" fontId="109" fillId="8" borderId="382" xfId="65" applyFont="1" applyFill="1" applyBorder="1" applyAlignment="1">
      <alignment horizontal="center" vertical="center"/>
    </xf>
    <xf numFmtId="43" fontId="115" fillId="8" borderId="386" xfId="65" applyFont="1" applyFill="1" applyBorder="1" applyAlignment="1">
      <alignment horizontal="center" vertical="center" wrapText="1"/>
    </xf>
    <xf numFmtId="43" fontId="115" fillId="8" borderId="380" xfId="65" applyFont="1" applyFill="1" applyBorder="1" applyAlignment="1">
      <alignment horizontal="center" vertical="center" wrapText="1"/>
    </xf>
    <xf numFmtId="43" fontId="109" fillId="8" borderId="385" xfId="65" applyFont="1" applyFill="1" applyBorder="1" applyAlignment="1">
      <alignment horizontal="center" vertical="center"/>
    </xf>
    <xf numFmtId="43" fontId="109" fillId="8" borderId="379" xfId="65" applyFont="1" applyFill="1" applyBorder="1" applyAlignment="1">
      <alignment horizontal="center" vertical="center"/>
    </xf>
    <xf numFmtId="43" fontId="116" fillId="8" borderId="385" xfId="65" applyFont="1" applyFill="1" applyBorder="1" applyAlignment="1">
      <alignment horizontal="center" vertical="center" wrapText="1"/>
    </xf>
    <xf numFmtId="43" fontId="116" fillId="8" borderId="379" xfId="65" applyFont="1" applyFill="1" applyBorder="1" applyAlignment="1">
      <alignment horizontal="center" vertical="center" wrapText="1"/>
    </xf>
    <xf numFmtId="167" fontId="116" fillId="8" borderId="384" xfId="65" applyNumberFormat="1" applyFont="1" applyFill="1" applyBorder="1" applyAlignment="1">
      <alignment horizontal="center" vertical="center"/>
    </xf>
    <xf numFmtId="167" fontId="116" fillId="8" borderId="383" xfId="65" applyNumberFormat="1" applyFont="1" applyFill="1" applyBorder="1" applyAlignment="1">
      <alignment horizontal="center" vertical="center"/>
    </xf>
    <xf numFmtId="43" fontId="115" fillId="8" borderId="385" xfId="65" applyFont="1" applyFill="1" applyBorder="1" applyAlignment="1">
      <alignment horizontal="center" vertical="center" wrapText="1"/>
    </xf>
    <xf numFmtId="43" fontId="115" fillId="8" borderId="349" xfId="65" applyFont="1" applyFill="1" applyBorder="1" applyAlignment="1">
      <alignment horizontal="center" vertical="center" wrapText="1"/>
    </xf>
    <xf numFmtId="43" fontId="115" fillId="8" borderId="379" xfId="65" applyFont="1" applyFill="1" applyBorder="1" applyAlignment="1">
      <alignment horizontal="center" vertical="center" wrapText="1"/>
    </xf>
    <xf numFmtId="43" fontId="117" fillId="8" borderId="387" xfId="65" applyFont="1" applyFill="1" applyBorder="1" applyAlignment="1">
      <alignment horizontal="left" vertical="center" wrapText="1"/>
    </xf>
    <xf numFmtId="43" fontId="117" fillId="8" borderId="36" xfId="65" applyFont="1" applyFill="1" applyBorder="1" applyAlignment="1">
      <alignment horizontal="left" vertical="center" wrapText="1"/>
    </xf>
    <xf numFmtId="0" fontId="105" fillId="0" borderId="0" xfId="121" applyFont="1" applyAlignment="1">
      <alignment horizontal="center" vertical="center"/>
    </xf>
    <xf numFmtId="0" fontId="104" fillId="0" borderId="368" xfId="121" applyFont="1" applyBorder="1" applyAlignment="1">
      <alignment horizontal="center" vertical="center"/>
    </xf>
    <xf numFmtId="0" fontId="104" fillId="0" borderId="367" xfId="121" applyFont="1" applyBorder="1" applyAlignment="1">
      <alignment horizontal="center" vertical="center"/>
    </xf>
    <xf numFmtId="183" fontId="104" fillId="0" borderId="371" xfId="121" applyNumberFormat="1" applyFont="1" applyBorder="1" applyAlignment="1">
      <alignment horizontal="center" vertical="center"/>
    </xf>
    <xf numFmtId="0" fontId="104" fillId="0" borderId="365" xfId="121" applyFont="1" applyBorder="1" applyAlignment="1">
      <alignment horizontal="center" vertical="center"/>
    </xf>
    <xf numFmtId="0" fontId="0" fillId="8" borderId="251" xfId="0" applyFill="1" applyBorder="1" applyAlignment="1">
      <alignment horizontal="center" vertical="center" wrapText="1"/>
    </xf>
    <xf numFmtId="0" fontId="0" fillId="8" borderId="118" xfId="0" applyFill="1" applyBorder="1" applyAlignment="1">
      <alignment horizontal="center" vertical="center" wrapText="1"/>
    </xf>
    <xf numFmtId="0" fontId="78" fillId="0" borderId="457" xfId="120" applyFont="1" applyBorder="1" applyAlignment="1">
      <alignment horizontal="center" vertical="center" wrapText="1"/>
    </xf>
    <xf numFmtId="0" fontId="78" fillId="0" borderId="422" xfId="120" applyFont="1" applyBorder="1" applyAlignment="1">
      <alignment horizontal="center" vertical="center" wrapText="1"/>
    </xf>
    <xf numFmtId="0" fontId="78" fillId="0" borderId="343" xfId="0" applyFont="1" applyBorder="1" applyAlignment="1">
      <alignment horizontal="center" vertical="center"/>
    </xf>
    <xf numFmtId="0" fontId="0" fillId="0" borderId="256" xfId="0" applyBorder="1" applyAlignment="1">
      <alignment horizontal="center" vertical="center"/>
    </xf>
    <xf numFmtId="0" fontId="0" fillId="0" borderId="279" xfId="0" applyBorder="1" applyAlignment="1">
      <alignment horizontal="center" vertical="center"/>
    </xf>
    <xf numFmtId="0" fontId="0" fillId="0" borderId="250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251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251" xfId="0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78" fillId="0" borderId="458" xfId="120" applyFont="1" applyBorder="1" applyAlignment="1">
      <alignment horizontal="center" vertical="center" wrapText="1"/>
    </xf>
    <xf numFmtId="0" fontId="78" fillId="0" borderId="248" xfId="120" applyFont="1" applyBorder="1" applyAlignment="1">
      <alignment horizontal="center" vertical="center" wrapText="1"/>
    </xf>
    <xf numFmtId="0" fontId="78" fillId="0" borderId="455" xfId="120" applyFont="1" applyBorder="1" applyAlignment="1">
      <alignment horizontal="center" vertical="center" wrapText="1"/>
    </xf>
    <xf numFmtId="0" fontId="78" fillId="0" borderId="459" xfId="120" applyFont="1" applyBorder="1" applyAlignment="1">
      <alignment horizontal="center" vertical="center" wrapText="1"/>
    </xf>
    <xf numFmtId="0" fontId="78" fillId="0" borderId="344" xfId="120" applyFont="1" applyBorder="1" applyAlignment="1">
      <alignment horizontal="center" vertical="center" wrapText="1"/>
    </xf>
    <xf numFmtId="0" fontId="78" fillId="0" borderId="346" xfId="120" applyFont="1" applyBorder="1" applyAlignment="1">
      <alignment horizontal="center" vertical="center" wrapText="1"/>
    </xf>
    <xf numFmtId="43" fontId="78" fillId="0" borderId="279" xfId="52" applyFont="1" applyBorder="1" applyAlignment="1">
      <alignment horizontal="center" vertical="center" wrapText="1"/>
    </xf>
    <xf numFmtId="43" fontId="78" fillId="0" borderId="117" xfId="52" applyFont="1" applyBorder="1" applyAlignment="1">
      <alignment horizontal="center" vertical="center" wrapText="1"/>
    </xf>
    <xf numFmtId="0" fontId="78" fillId="0" borderId="255" xfId="0" applyFont="1" applyBorder="1" applyAlignment="1">
      <alignment horizontal="center" vertical="center" wrapText="1"/>
    </xf>
    <xf numFmtId="0" fontId="78" fillId="0" borderId="232" xfId="120" applyFont="1" applyBorder="1" applyAlignment="1">
      <alignment horizontal="right" vertical="center"/>
    </xf>
    <xf numFmtId="0" fontId="78" fillId="0" borderId="231" xfId="120" applyFont="1" applyBorder="1" applyAlignment="1">
      <alignment horizontal="right" vertical="center"/>
    </xf>
    <xf numFmtId="0" fontId="78" fillId="0" borderId="223" xfId="120" applyFont="1" applyBorder="1" applyAlignment="1">
      <alignment horizontal="center" vertical="center"/>
    </xf>
    <xf numFmtId="0" fontId="78" fillId="0" borderId="202" xfId="120" applyFont="1" applyBorder="1" applyAlignment="1">
      <alignment horizontal="center" vertical="center" wrapText="1"/>
    </xf>
    <xf numFmtId="0" fontId="78" fillId="0" borderId="122" xfId="120" applyFont="1" applyBorder="1" applyAlignment="1">
      <alignment horizontal="center" vertical="center" wrapText="1"/>
    </xf>
    <xf numFmtId="4" fontId="78" fillId="0" borderId="260" xfId="120" applyNumberFormat="1" applyFont="1" applyBorder="1" applyAlignment="1">
      <alignment horizontal="center" vertical="center"/>
    </xf>
    <xf numFmtId="4" fontId="78" fillId="0" borderId="129" xfId="120" applyNumberFormat="1" applyFont="1" applyBorder="1" applyAlignment="1">
      <alignment horizontal="center" vertical="center"/>
    </xf>
    <xf numFmtId="4" fontId="78" fillId="0" borderId="114" xfId="120" applyNumberFormat="1" applyFont="1" applyBorder="1" applyAlignment="1">
      <alignment horizontal="center" vertical="center"/>
    </xf>
    <xf numFmtId="0" fontId="78" fillId="0" borderId="146" xfId="120" applyFont="1" applyBorder="1" applyAlignment="1">
      <alignment horizontal="right" vertical="center"/>
    </xf>
    <xf numFmtId="0" fontId="78" fillId="0" borderId="248" xfId="120" applyFont="1" applyBorder="1" applyAlignment="1">
      <alignment horizontal="right" vertical="center"/>
    </xf>
    <xf numFmtId="0" fontId="78" fillId="0" borderId="245" xfId="120" applyFont="1" applyBorder="1" applyAlignment="1">
      <alignment horizontal="right" vertical="center"/>
    </xf>
    <xf numFmtId="0" fontId="78" fillId="0" borderId="244" xfId="120" applyFont="1" applyBorder="1" applyAlignment="1">
      <alignment horizontal="right" vertical="center"/>
    </xf>
    <xf numFmtId="4" fontId="78" fillId="0" borderId="245" xfId="120" applyNumberFormat="1" applyFont="1" applyBorder="1" applyAlignment="1">
      <alignment horizontal="center" vertical="center"/>
    </xf>
    <xf numFmtId="4" fontId="78" fillId="0" borderId="244" xfId="120" applyNumberFormat="1" applyFont="1" applyBorder="1" applyAlignment="1">
      <alignment horizontal="center" vertical="center"/>
    </xf>
    <xf numFmtId="4" fontId="78" fillId="0" borderId="257" xfId="120" applyNumberFormat="1" applyFont="1" applyBorder="1" applyAlignment="1">
      <alignment horizontal="center" vertical="center"/>
    </xf>
    <xf numFmtId="0" fontId="78" fillId="0" borderId="129" xfId="120" applyFont="1" applyBorder="1" applyAlignment="1">
      <alignment horizontal="center" vertical="center" wrapText="1"/>
    </xf>
    <xf numFmtId="0" fontId="78" fillId="0" borderId="226" xfId="120" applyFont="1" applyBorder="1" applyAlignment="1">
      <alignment horizontal="center" vertical="center" wrapText="1"/>
    </xf>
    <xf numFmtId="0" fontId="78" fillId="0" borderId="128" xfId="120" applyFont="1" applyBorder="1" applyAlignment="1">
      <alignment horizontal="center" vertical="center" wrapText="1"/>
    </xf>
    <xf numFmtId="0" fontId="78" fillId="0" borderId="125" xfId="120" applyFont="1" applyBorder="1" applyAlignment="1">
      <alignment horizontal="center" vertical="center" wrapText="1"/>
    </xf>
    <xf numFmtId="0" fontId="78" fillId="0" borderId="260" xfId="120" applyFont="1" applyBorder="1" applyAlignment="1">
      <alignment horizontal="center" vertical="center" wrapText="1"/>
    </xf>
    <xf numFmtId="0" fontId="78" fillId="0" borderId="114" xfId="120" applyFont="1" applyBorder="1" applyAlignment="1">
      <alignment horizontal="center" vertical="center" wrapText="1"/>
    </xf>
    <xf numFmtId="0" fontId="78" fillId="0" borderId="227" xfId="120" applyFont="1" applyBorder="1" applyAlignment="1">
      <alignment horizontal="center" vertical="center" wrapText="1"/>
    </xf>
    <xf numFmtId="0" fontId="78" fillId="0" borderId="231" xfId="120" applyFont="1" applyBorder="1" applyAlignment="1">
      <alignment horizontal="center" vertical="center" wrapText="1"/>
    </xf>
    <xf numFmtId="0" fontId="8" fillId="0" borderId="232" xfId="120" applyBorder="1" applyAlignment="1">
      <alignment horizontal="center" vertical="center"/>
    </xf>
    <xf numFmtId="0" fontId="8" fillId="0" borderId="231" xfId="120" applyBorder="1" applyAlignment="1">
      <alignment horizontal="center" vertical="center"/>
    </xf>
    <xf numFmtId="0" fontId="8" fillId="0" borderId="230" xfId="120" applyBorder="1" applyAlignment="1">
      <alignment horizontal="center" vertical="center"/>
    </xf>
    <xf numFmtId="0" fontId="8" fillId="0" borderId="56" xfId="120" applyBorder="1" applyAlignment="1">
      <alignment horizontal="center" vertical="center"/>
    </xf>
    <xf numFmtId="0" fontId="8" fillId="0" borderId="15" xfId="120" applyBorder="1" applyAlignment="1">
      <alignment horizontal="center" vertical="center"/>
    </xf>
    <xf numFmtId="0" fontId="78" fillId="0" borderId="229" xfId="120" applyFont="1" applyBorder="1" applyAlignment="1">
      <alignment horizontal="center" vertical="center" wrapText="1"/>
    </xf>
    <xf numFmtId="0" fontId="78" fillId="0" borderId="127" xfId="120" applyFont="1" applyBorder="1" applyAlignment="1">
      <alignment horizontal="center" vertical="center" wrapText="1"/>
    </xf>
    <xf numFmtId="0" fontId="78" fillId="0" borderId="228" xfId="120" applyFont="1" applyBorder="1" applyAlignment="1">
      <alignment horizontal="center" vertical="center" wrapText="1"/>
    </xf>
    <xf numFmtId="0" fontId="91" fillId="0" borderId="0" xfId="126" applyFont="1" applyAlignment="1">
      <alignment horizontal="left" vertical="center"/>
    </xf>
    <xf numFmtId="0" fontId="93" fillId="0" borderId="240" xfId="126" applyFont="1" applyBorder="1" applyAlignment="1">
      <alignment horizontal="center" vertical="center" wrapText="1"/>
    </xf>
    <xf numFmtId="0" fontId="93" fillId="0" borderId="36" xfId="126" applyFont="1" applyBorder="1" applyAlignment="1">
      <alignment horizontal="center" vertical="center" wrapText="1"/>
    </xf>
    <xf numFmtId="0" fontId="22" fillId="0" borderId="240" xfId="126" applyFont="1" applyBorder="1" applyAlignment="1">
      <alignment horizontal="center" vertical="center" wrapText="1"/>
    </xf>
    <xf numFmtId="0" fontId="22" fillId="0" borderId="36" xfId="126" applyFont="1" applyBorder="1" applyAlignment="1">
      <alignment horizontal="center" vertical="center" wrapText="1"/>
    </xf>
    <xf numFmtId="0" fontId="93" fillId="0" borderId="242" xfId="126" applyFont="1" applyBorder="1" applyAlignment="1">
      <alignment horizontal="center" vertical="center" wrapText="1"/>
    </xf>
    <xf numFmtId="0" fontId="93" fillId="0" borderId="339" xfId="126" applyFont="1" applyBorder="1" applyAlignment="1">
      <alignment horizontal="center" vertical="center" wrapText="1"/>
    </xf>
    <xf numFmtId="0" fontId="93" fillId="0" borderId="338" xfId="126" applyFont="1" applyBorder="1" applyAlignment="1">
      <alignment horizontal="center" vertical="center" wrapText="1"/>
    </xf>
    <xf numFmtId="0" fontId="93" fillId="0" borderId="243" xfId="126" applyFont="1" applyBorder="1" applyAlignment="1">
      <alignment horizontal="center" vertical="center" wrapText="1"/>
    </xf>
    <xf numFmtId="0" fontId="93" fillId="0" borderId="290" xfId="126" applyFont="1" applyBorder="1" applyAlignment="1">
      <alignment horizontal="center" vertical="center" wrapText="1"/>
    </xf>
    <xf numFmtId="0" fontId="93" fillId="0" borderId="15" xfId="126" applyFont="1" applyBorder="1" applyAlignment="1">
      <alignment horizontal="center" vertical="center" wrapText="1"/>
    </xf>
    <xf numFmtId="0" fontId="93" fillId="0" borderId="37" xfId="126" applyFont="1" applyBorder="1" applyAlignment="1">
      <alignment horizontal="center" vertical="center" wrapText="1"/>
    </xf>
    <xf numFmtId="0" fontId="93" fillId="0" borderId="0" xfId="126" applyFont="1" applyAlignment="1">
      <alignment horizontal="center" vertical="center" wrapText="1"/>
    </xf>
    <xf numFmtId="0" fontId="22" fillId="0" borderId="339" xfId="126" applyFont="1" applyBorder="1" applyAlignment="1">
      <alignment horizontal="center" vertical="center" wrapText="1"/>
    </xf>
    <xf numFmtId="0" fontId="22" fillId="0" borderId="331" xfId="126" applyFont="1" applyBorder="1" applyAlignment="1">
      <alignment horizontal="center" vertical="center" wrapText="1"/>
    </xf>
    <xf numFmtId="0" fontId="22" fillId="0" borderId="243" xfId="126" applyFont="1" applyBorder="1" applyAlignment="1">
      <alignment horizontal="center" vertical="center" wrapText="1"/>
    </xf>
    <xf numFmtId="0" fontId="22" fillId="0" borderId="333" xfId="126" applyFont="1" applyBorder="1" applyAlignment="1">
      <alignment horizontal="center" vertical="center" wrapText="1"/>
    </xf>
    <xf numFmtId="0" fontId="93" fillId="0" borderId="5" xfId="126" applyFont="1" applyBorder="1" applyAlignment="1">
      <alignment horizontal="center" vertical="center" wrapText="1"/>
    </xf>
    <xf numFmtId="0" fontId="93" fillId="0" borderId="57" xfId="126" applyFont="1" applyBorder="1" applyAlignment="1">
      <alignment horizontal="center" vertical="center" wrapText="1"/>
    </xf>
    <xf numFmtId="0" fontId="93" fillId="0" borderId="13" xfId="126" applyFont="1" applyBorder="1" applyAlignment="1">
      <alignment horizontal="center" vertical="center" wrapText="1"/>
    </xf>
    <xf numFmtId="0" fontId="93" fillId="0" borderId="55" xfId="126" applyFont="1" applyBorder="1" applyAlignment="1">
      <alignment horizontal="center" vertical="center" wrapText="1"/>
    </xf>
    <xf numFmtId="0" fontId="93" fillId="0" borderId="341" xfId="126" applyFont="1" applyBorder="1" applyAlignment="1">
      <alignment horizontal="center" vertical="center" wrapText="1"/>
    </xf>
    <xf numFmtId="0" fontId="93" fillId="0" borderId="336" xfId="126" applyFont="1" applyBorder="1" applyAlignment="1">
      <alignment horizontal="center" vertical="center" wrapText="1"/>
    </xf>
    <xf numFmtId="0" fontId="93" fillId="0" borderId="6" xfId="126" applyFont="1" applyBorder="1" applyAlignment="1">
      <alignment horizontal="center" vertical="center" wrapText="1"/>
    </xf>
    <xf numFmtId="0" fontId="93" fillId="0" borderId="247" xfId="126" applyFont="1" applyBorder="1" applyAlignment="1">
      <alignment horizontal="center" vertical="center" wrapText="1"/>
    </xf>
    <xf numFmtId="0" fontId="93" fillId="0" borderId="340" xfId="126" applyFont="1" applyBorder="1" applyAlignment="1">
      <alignment horizontal="center" vertical="center" wrapText="1"/>
    </xf>
    <xf numFmtId="0" fontId="93" fillId="0" borderId="335" xfId="126" applyFont="1" applyBorder="1" applyAlignment="1">
      <alignment horizontal="center" vertical="center" wrapText="1"/>
    </xf>
    <xf numFmtId="0" fontId="93" fillId="0" borderId="342" xfId="126" applyFont="1" applyBorder="1" applyAlignment="1">
      <alignment horizontal="center" vertical="center" wrapText="1"/>
    </xf>
    <xf numFmtId="0" fontId="93" fillId="0" borderId="337" xfId="126" applyFont="1" applyBorder="1" applyAlignment="1">
      <alignment horizontal="center" vertical="center" wrapText="1"/>
    </xf>
    <xf numFmtId="4" fontId="90" fillId="0" borderId="281" xfId="126" applyNumberFormat="1" applyFont="1" applyBorder="1" applyAlignment="1">
      <alignment horizontal="center" vertical="center"/>
    </xf>
    <xf numFmtId="4" fontId="90" fillId="0" borderId="309" xfId="126" applyNumberFormat="1" applyFont="1" applyBorder="1" applyAlignment="1">
      <alignment horizontal="center" vertical="center"/>
    </xf>
    <xf numFmtId="0" fontId="89" fillId="0" borderId="281" xfId="126" applyFont="1" applyBorder="1" applyAlignment="1">
      <alignment horizontal="center" vertical="center"/>
    </xf>
    <xf numFmtId="0" fontId="89" fillId="0" borderId="63" xfId="126" applyFont="1" applyBorder="1" applyAlignment="1">
      <alignment horizontal="center" vertical="center"/>
    </xf>
    <xf numFmtId="0" fontId="89" fillId="0" borderId="309" xfId="126" applyFont="1" applyBorder="1" applyAlignment="1">
      <alignment horizontal="center" vertical="center"/>
    </xf>
    <xf numFmtId="4" fontId="90" fillId="0" borderId="63" xfId="126" applyNumberFormat="1" applyFont="1" applyBorder="1" applyAlignment="1">
      <alignment horizontal="center" vertical="center"/>
    </xf>
    <xf numFmtId="0" fontId="91" fillId="0" borderId="5" xfId="126" applyFont="1" applyBorder="1" applyAlignment="1">
      <alignment horizontal="center" vertical="center"/>
    </xf>
    <xf numFmtId="0" fontId="91" fillId="0" borderId="57" xfId="126" applyFont="1" applyBorder="1" applyAlignment="1">
      <alignment horizontal="center" vertical="center"/>
    </xf>
    <xf numFmtId="0" fontId="91" fillId="0" borderId="205" xfId="126" applyFont="1" applyBorder="1" applyAlignment="1">
      <alignment horizontal="center" vertical="center"/>
    </xf>
    <xf numFmtId="0" fontId="91" fillId="0" borderId="150" xfId="126" applyFont="1" applyBorder="1" applyAlignment="1">
      <alignment horizontal="center" vertical="center"/>
    </xf>
    <xf numFmtId="0" fontId="91" fillId="0" borderId="290" xfId="126" applyFont="1" applyBorder="1" applyAlignment="1">
      <alignment horizontal="center" vertical="center"/>
    </xf>
    <xf numFmtId="0" fontId="91" fillId="0" borderId="139" xfId="126" applyFont="1" applyBorder="1" applyAlignment="1">
      <alignment horizontal="center" vertical="center"/>
    </xf>
    <xf numFmtId="0" fontId="91" fillId="0" borderId="291" xfId="126" applyFont="1" applyBorder="1" applyAlignment="1">
      <alignment horizontal="center" vertical="center"/>
    </xf>
    <xf numFmtId="0" fontId="91" fillId="0" borderId="249" xfId="126" applyFont="1" applyBorder="1" applyAlignment="1">
      <alignment horizontal="center" vertical="center"/>
    </xf>
    <xf numFmtId="0" fontId="91" fillId="0" borderId="245" xfId="126" applyFont="1" applyBorder="1" applyAlignment="1">
      <alignment horizontal="center" vertical="center"/>
    </xf>
    <xf numFmtId="0" fontId="91" fillId="0" borderId="244" xfId="126" applyFont="1" applyBorder="1" applyAlignment="1">
      <alignment horizontal="center" vertical="center"/>
    </xf>
    <xf numFmtId="0" fontId="91" fillId="0" borderId="257" xfId="126" applyFont="1" applyBorder="1" applyAlignment="1">
      <alignment horizontal="center" vertical="center"/>
    </xf>
    <xf numFmtId="0" fontId="91" fillId="0" borderId="146" xfId="126" applyFont="1" applyBorder="1" applyAlignment="1">
      <alignment horizontal="center" vertical="center"/>
    </xf>
    <xf numFmtId="0" fontId="91" fillId="0" borderId="455" xfId="126" applyFont="1" applyBorder="1" applyAlignment="1">
      <alignment horizontal="center" vertical="center"/>
    </xf>
    <xf numFmtId="0" fontId="91" fillId="0" borderId="456" xfId="126" applyFont="1" applyBorder="1" applyAlignment="1">
      <alignment horizontal="center" vertical="center"/>
    </xf>
    <xf numFmtId="0" fontId="91" fillId="0" borderId="0" xfId="126" applyFont="1" applyAlignment="1">
      <alignment horizontal="center" vertical="center"/>
    </xf>
    <xf numFmtId="0" fontId="45" fillId="0" borderId="0" xfId="126" applyFont="1" applyAlignment="1">
      <alignment horizontal="center" vertical="center"/>
    </xf>
    <xf numFmtId="0" fontId="20" fillId="0" borderId="0" xfId="126" applyFont="1" applyAlignment="1">
      <alignment horizontal="left" vertical="center"/>
    </xf>
    <xf numFmtId="0" fontId="12" fillId="13" borderId="290" xfId="126" applyFont="1" applyFill="1" applyBorder="1" applyAlignment="1">
      <alignment horizontal="center" vertical="center"/>
    </xf>
    <xf numFmtId="0" fontId="12" fillId="13" borderId="298" xfId="126" applyFont="1" applyFill="1" applyBorder="1" applyAlignment="1">
      <alignment horizontal="center" vertical="center"/>
    </xf>
    <xf numFmtId="0" fontId="12" fillId="13" borderId="15" xfId="126" applyFont="1" applyFill="1" applyBorder="1" applyAlignment="1">
      <alignment horizontal="center" vertical="center"/>
    </xf>
    <xf numFmtId="0" fontId="12" fillId="10" borderId="290" xfId="126" applyFont="1" applyFill="1" applyBorder="1" applyAlignment="1">
      <alignment horizontal="center" vertical="center"/>
    </xf>
    <xf numFmtId="0" fontId="12" fillId="10" borderId="298" xfId="126" applyFont="1" applyFill="1" applyBorder="1" applyAlignment="1">
      <alignment horizontal="center" vertical="center"/>
    </xf>
    <xf numFmtId="0" fontId="12" fillId="10" borderId="15" xfId="126" applyFont="1" applyFill="1" applyBorder="1" applyAlignment="1">
      <alignment horizontal="center" vertical="center"/>
    </xf>
    <xf numFmtId="0" fontId="12" fillId="22" borderId="5" xfId="126" applyFont="1" applyFill="1" applyBorder="1" applyAlignment="1">
      <alignment horizontal="center" vertical="center"/>
    </xf>
    <xf numFmtId="0" fontId="12" fillId="22" borderId="6" xfId="126" applyFont="1" applyFill="1" applyBorder="1" applyAlignment="1">
      <alignment horizontal="center" vertical="center"/>
    </xf>
    <xf numFmtId="0" fontId="12" fillId="22" borderId="57" xfId="126" applyFont="1" applyFill="1" applyBorder="1" applyAlignment="1">
      <alignment horizontal="center" vertical="center"/>
    </xf>
    <xf numFmtId="0" fontId="12" fillId="22" borderId="13" xfId="126" applyFont="1" applyFill="1" applyBorder="1" applyAlignment="1">
      <alignment horizontal="center" vertical="center"/>
    </xf>
    <xf numFmtId="0" fontId="12" fillId="22" borderId="247" xfId="126" applyFont="1" applyFill="1" applyBorder="1" applyAlignment="1">
      <alignment horizontal="center" vertical="center"/>
    </xf>
    <xf numFmtId="0" fontId="12" fillId="22" borderId="55" xfId="126" applyFont="1" applyFill="1" applyBorder="1" applyAlignment="1">
      <alignment horizontal="center" vertical="center"/>
    </xf>
    <xf numFmtId="0" fontId="12" fillId="21" borderId="5" xfId="126" applyFont="1" applyFill="1" applyBorder="1" applyAlignment="1">
      <alignment horizontal="center" vertical="center"/>
    </xf>
    <xf numFmtId="0" fontId="12" fillId="21" borderId="57" xfId="126" applyFont="1" applyFill="1" applyBorder="1" applyAlignment="1">
      <alignment horizontal="center" vertical="center"/>
    </xf>
    <xf numFmtId="0" fontId="12" fillId="21" borderId="13" xfId="126" applyFont="1" applyFill="1" applyBorder="1" applyAlignment="1">
      <alignment horizontal="center" vertical="center"/>
    </xf>
    <xf numFmtId="0" fontId="12" fillId="21" borderId="55" xfId="126" applyFont="1" applyFill="1" applyBorder="1" applyAlignment="1">
      <alignment horizontal="center" vertical="center"/>
    </xf>
    <xf numFmtId="0" fontId="12" fillId="18" borderId="240" xfId="126" applyFont="1" applyFill="1" applyBorder="1" applyAlignment="1">
      <alignment horizontal="center" vertical="center" wrapText="1"/>
    </xf>
    <xf numFmtId="0" fontId="12" fillId="20" borderId="5" xfId="126" applyFont="1" applyFill="1" applyBorder="1" applyAlignment="1">
      <alignment horizontal="center" vertical="center"/>
    </xf>
    <xf numFmtId="0" fontId="12" fillId="20" borderId="57" xfId="126" applyFont="1" applyFill="1" applyBorder="1" applyAlignment="1">
      <alignment horizontal="center" vertical="center"/>
    </xf>
    <xf numFmtId="0" fontId="12" fillId="20" borderId="13" xfId="126" applyFont="1" applyFill="1" applyBorder="1" applyAlignment="1">
      <alignment horizontal="center" vertical="center"/>
    </xf>
    <xf numFmtId="0" fontId="12" fillId="20" borderId="55" xfId="126" applyFont="1" applyFill="1" applyBorder="1" applyAlignment="1">
      <alignment horizontal="center" vertical="center"/>
    </xf>
    <xf numFmtId="0" fontId="12" fillId="19" borderId="290" xfId="126" applyFont="1" applyFill="1" applyBorder="1" applyAlignment="1">
      <alignment horizontal="center" vertical="center"/>
    </xf>
    <xf numFmtId="0" fontId="12" fillId="19" borderId="15" xfId="126" applyFont="1" applyFill="1" applyBorder="1" applyAlignment="1">
      <alignment horizontal="center" vertical="center"/>
    </xf>
    <xf numFmtId="0" fontId="12" fillId="19" borderId="5" xfId="126" applyFont="1" applyFill="1" applyBorder="1" applyAlignment="1">
      <alignment horizontal="center" vertical="center"/>
    </xf>
    <xf numFmtId="0" fontId="12" fillId="19" borderId="6" xfId="126" applyFont="1" applyFill="1" applyBorder="1" applyAlignment="1">
      <alignment horizontal="center" vertical="center"/>
    </xf>
    <xf numFmtId="0" fontId="12" fillId="19" borderId="57" xfId="126" applyFont="1" applyFill="1" applyBorder="1" applyAlignment="1">
      <alignment horizontal="center" vertical="center"/>
    </xf>
    <xf numFmtId="0" fontId="12" fillId="19" borderId="13" xfId="126" applyFont="1" applyFill="1" applyBorder="1" applyAlignment="1">
      <alignment horizontal="center" vertical="center"/>
    </xf>
    <xf numFmtId="0" fontId="12" fillId="19" borderId="247" xfId="126" applyFont="1" applyFill="1" applyBorder="1" applyAlignment="1">
      <alignment horizontal="center" vertical="center"/>
    </xf>
    <xf numFmtId="0" fontId="12" fillId="19" borderId="55" xfId="126" applyFont="1" applyFill="1" applyBorder="1" applyAlignment="1">
      <alignment horizontal="center" vertical="center"/>
    </xf>
    <xf numFmtId="0" fontId="12" fillId="0" borderId="65" xfId="116" applyFont="1" applyBorder="1" applyAlignment="1">
      <alignment horizontal="center" vertical="center" wrapText="1"/>
    </xf>
    <xf numFmtId="0" fontId="12" fillId="0" borderId="73" xfId="116" applyFont="1" applyBorder="1" applyAlignment="1">
      <alignment horizontal="center" vertical="center" wrapText="1"/>
    </xf>
    <xf numFmtId="0" fontId="12" fillId="0" borderId="85" xfId="116" applyFont="1" applyBorder="1" applyAlignment="1">
      <alignment horizontal="center" vertical="center" wrapText="1"/>
    </xf>
    <xf numFmtId="0" fontId="12" fillId="0" borderId="66" xfId="116" applyFont="1" applyBorder="1" applyAlignment="1">
      <alignment horizontal="center" vertical="center" wrapText="1"/>
    </xf>
    <xf numFmtId="0" fontId="12" fillId="0" borderId="74" xfId="116" applyFont="1" applyBorder="1" applyAlignment="1">
      <alignment horizontal="center" vertical="center" wrapText="1"/>
    </xf>
    <xf numFmtId="0" fontId="12" fillId="0" borderId="86" xfId="116" applyFont="1" applyBorder="1" applyAlignment="1">
      <alignment horizontal="center" vertical="center" wrapText="1"/>
    </xf>
    <xf numFmtId="0" fontId="12" fillId="0" borderId="67" xfId="116" applyFont="1" applyBorder="1" applyAlignment="1">
      <alignment horizontal="center" vertical="center"/>
    </xf>
    <xf numFmtId="0" fontId="12" fillId="0" borderId="75" xfId="116" applyFont="1" applyBorder="1" applyAlignment="1">
      <alignment horizontal="center" vertical="center"/>
    </xf>
    <xf numFmtId="0" fontId="12" fillId="0" borderId="68" xfId="116" applyFont="1" applyBorder="1" applyAlignment="1">
      <alignment horizontal="center" vertical="center"/>
    </xf>
    <xf numFmtId="0" fontId="12" fillId="0" borderId="69" xfId="116" applyFont="1" applyBorder="1" applyAlignment="1">
      <alignment horizontal="center" vertical="center"/>
    </xf>
    <xf numFmtId="0" fontId="12" fillId="0" borderId="66" xfId="116" applyFont="1" applyBorder="1" applyAlignment="1">
      <alignment horizontal="center" vertical="center"/>
    </xf>
    <xf numFmtId="0" fontId="12" fillId="0" borderId="76" xfId="116" applyFont="1" applyBorder="1" applyAlignment="1">
      <alignment horizontal="center" vertical="center"/>
    </xf>
    <xf numFmtId="0" fontId="12" fillId="0" borderId="0" xfId="116" applyFont="1" applyAlignment="1">
      <alignment horizontal="center" vertical="center"/>
    </xf>
    <xf numFmtId="0" fontId="12" fillId="0" borderId="74" xfId="116" applyFont="1" applyBorder="1" applyAlignment="1">
      <alignment horizontal="center" vertical="center"/>
    </xf>
    <xf numFmtId="0" fontId="58" fillId="0" borderId="5" xfId="116" applyFont="1" applyBorder="1" applyAlignment="1">
      <alignment horizontal="center" vertical="center"/>
    </xf>
    <xf numFmtId="0" fontId="58" fillId="0" borderId="6" xfId="116" applyFont="1" applyBorder="1" applyAlignment="1">
      <alignment horizontal="center" vertical="center"/>
    </xf>
    <xf numFmtId="0" fontId="58" fillId="0" borderId="108" xfId="116" applyFont="1" applyBorder="1" applyAlignment="1">
      <alignment horizontal="center" vertical="center"/>
    </xf>
    <xf numFmtId="0" fontId="58" fillId="0" borderId="115" xfId="116" applyFont="1" applyBorder="1" applyAlignment="1">
      <alignment horizontal="center" vertical="center"/>
    </xf>
    <xf numFmtId="0" fontId="58" fillId="0" borderId="116" xfId="116" applyFont="1" applyBorder="1" applyAlignment="1">
      <alignment horizontal="center" vertical="center"/>
    </xf>
    <xf numFmtId="0" fontId="58" fillId="0" borderId="117" xfId="116" applyFont="1" applyBorder="1" applyAlignment="1">
      <alignment horizontal="center" vertical="center"/>
    </xf>
    <xf numFmtId="0" fontId="12" fillId="0" borderId="70" xfId="116" applyFont="1" applyBorder="1" applyAlignment="1">
      <alignment horizontal="center" vertical="center"/>
    </xf>
    <xf numFmtId="0" fontId="12" fillId="0" borderId="71" xfId="116" applyFont="1" applyBorder="1" applyAlignment="1">
      <alignment horizontal="center" vertical="center"/>
    </xf>
    <xf numFmtId="0" fontId="12" fillId="0" borderId="72" xfId="116" applyFont="1" applyBorder="1" applyAlignment="1">
      <alignment horizontal="center" vertical="center"/>
    </xf>
    <xf numFmtId="0" fontId="12" fillId="0" borderId="77" xfId="116" applyFont="1" applyBorder="1" applyAlignment="1">
      <alignment horizontal="center" vertical="center"/>
    </xf>
    <xf numFmtId="0" fontId="12" fillId="0" borderId="87" xfId="116" applyFont="1" applyBorder="1" applyAlignment="1">
      <alignment horizontal="center" vertical="center"/>
    </xf>
    <xf numFmtId="0" fontId="12" fillId="0" borderId="77" xfId="116" applyFont="1" applyBorder="1" applyAlignment="1">
      <alignment horizontal="center" vertical="center" wrapText="1"/>
    </xf>
    <xf numFmtId="0" fontId="12" fillId="0" borderId="87" xfId="116" applyFont="1" applyBorder="1" applyAlignment="1">
      <alignment horizontal="center" vertical="center" wrapText="1"/>
    </xf>
    <xf numFmtId="43" fontId="12" fillId="0" borderId="78" xfId="62" applyFont="1" applyFill="1" applyBorder="1" applyAlignment="1">
      <alignment horizontal="center" vertical="center"/>
    </xf>
    <xf numFmtId="43" fontId="12" fillId="0" borderId="76" xfId="62" applyFont="1" applyFill="1" applyBorder="1" applyAlignment="1">
      <alignment horizontal="center" vertical="center"/>
    </xf>
    <xf numFmtId="0" fontId="12" fillId="0" borderId="84" xfId="116" applyFont="1" applyBorder="1" applyAlignment="1">
      <alignment horizontal="center" vertical="center"/>
    </xf>
    <xf numFmtId="0" fontId="12" fillId="0" borderId="90" xfId="116" applyFont="1" applyBorder="1" applyAlignment="1">
      <alignment horizontal="center" vertical="center"/>
    </xf>
    <xf numFmtId="0" fontId="59" fillId="0" borderId="61" xfId="116" applyFont="1" applyBorder="1" applyAlignment="1">
      <alignment horizontal="center" vertical="center"/>
    </xf>
    <xf numFmtId="0" fontId="59" fillId="0" borderId="114" xfId="116" applyFont="1" applyBorder="1" applyAlignment="1">
      <alignment horizontal="center" vertical="center"/>
    </xf>
    <xf numFmtId="0" fontId="12" fillId="0" borderId="79" xfId="116" applyFont="1" applyBorder="1" applyAlignment="1">
      <alignment horizontal="center" vertical="center"/>
    </xf>
    <xf numFmtId="0" fontId="12" fillId="0" borderId="80" xfId="116" applyFont="1" applyBorder="1" applyAlignment="1">
      <alignment horizontal="center" vertical="center"/>
    </xf>
    <xf numFmtId="0" fontId="12" fillId="0" borderId="81" xfId="116" applyFont="1" applyBorder="1" applyAlignment="1">
      <alignment horizontal="center" vertical="center"/>
    </xf>
    <xf numFmtId="0" fontId="12" fillId="0" borderId="82" xfId="116" applyFont="1" applyBorder="1" applyAlignment="1">
      <alignment horizontal="center" vertical="center"/>
    </xf>
    <xf numFmtId="0" fontId="12" fillId="0" borderId="89" xfId="116" applyFont="1" applyBorder="1" applyAlignment="1">
      <alignment horizontal="center" vertical="center"/>
    </xf>
    <xf numFmtId="0" fontId="12" fillId="0" borderId="83" xfId="116" applyFont="1" applyBorder="1" applyAlignment="1">
      <alignment horizontal="center" vertical="center"/>
    </xf>
    <xf numFmtId="175" fontId="59" fillId="0" borderId="132" xfId="19" applyNumberFormat="1" applyFont="1" applyBorder="1" applyAlignment="1">
      <alignment horizontal="center" vertical="center"/>
    </xf>
    <xf numFmtId="175" fontId="59" fillId="0" borderId="63" xfId="19" applyNumberFormat="1" applyFont="1" applyBorder="1" applyAlignment="1">
      <alignment horizontal="center" vertical="center"/>
    </xf>
    <xf numFmtId="175" fontId="59" fillId="0" borderId="133" xfId="19" applyNumberFormat="1" applyFont="1" applyBorder="1" applyAlignment="1">
      <alignment horizontal="center" vertical="center"/>
    </xf>
    <xf numFmtId="175" fontId="59" fillId="0" borderId="132" xfId="19" applyNumberFormat="1" applyFont="1" applyFill="1" applyBorder="1" applyAlignment="1">
      <alignment horizontal="center" vertical="center"/>
    </xf>
    <xf numFmtId="175" fontId="59" fillId="0" borderId="63" xfId="19" applyNumberFormat="1" applyFont="1" applyFill="1" applyBorder="1" applyAlignment="1">
      <alignment horizontal="center" vertical="center"/>
    </xf>
    <xf numFmtId="175" fontId="59" fillId="0" borderId="133" xfId="19" applyNumberFormat="1" applyFont="1" applyFill="1" applyBorder="1" applyAlignment="1">
      <alignment horizontal="center" vertical="center"/>
    </xf>
    <xf numFmtId="0" fontId="59" fillId="0" borderId="110" xfId="116" applyFont="1" applyBorder="1" applyAlignment="1">
      <alignment horizontal="center" vertical="center"/>
    </xf>
    <xf numFmtId="0" fontId="59" fillId="0" borderId="111" xfId="116" applyFont="1" applyBorder="1" applyAlignment="1">
      <alignment horizontal="center" vertical="center"/>
    </xf>
    <xf numFmtId="0" fontId="59" fillId="0" borderId="112" xfId="116" applyFont="1" applyBorder="1" applyAlignment="1">
      <alignment horizontal="center" vertical="center"/>
    </xf>
    <xf numFmtId="0" fontId="59" fillId="0" borderId="113" xfId="116" applyFont="1" applyBorder="1" applyAlignment="1">
      <alignment horizontal="center" vertical="center"/>
    </xf>
    <xf numFmtId="0" fontId="59" fillId="0" borderId="122" xfId="116" applyFont="1" applyBorder="1" applyAlignment="1">
      <alignment horizontal="center" vertical="center"/>
    </xf>
    <xf numFmtId="0" fontId="59" fillId="0" borderId="109" xfId="116" applyFont="1" applyBorder="1" applyAlignment="1">
      <alignment horizontal="center" vertical="center"/>
    </xf>
    <xf numFmtId="0" fontId="59" fillId="0" borderId="118" xfId="116" applyFont="1" applyBorder="1" applyAlignment="1">
      <alignment horizontal="center" vertical="center"/>
    </xf>
    <xf numFmtId="0" fontId="59" fillId="0" borderId="109" xfId="116" applyFont="1" applyBorder="1" applyAlignment="1">
      <alignment horizontal="center" vertical="center" wrapText="1"/>
    </xf>
    <xf numFmtId="0" fontId="59" fillId="0" borderId="118" xfId="116" applyFont="1" applyBorder="1" applyAlignment="1">
      <alignment horizontal="center" vertical="center" wrapText="1"/>
    </xf>
    <xf numFmtId="0" fontId="9" fillId="0" borderId="176" xfId="116" applyFont="1" applyBorder="1" applyAlignment="1">
      <alignment horizontal="center" vertical="center" wrapText="1"/>
    </xf>
    <xf numFmtId="0" fontId="9" fillId="0" borderId="181" xfId="116" applyFont="1" applyBorder="1" applyAlignment="1">
      <alignment horizontal="center" vertical="center" wrapText="1"/>
    </xf>
    <xf numFmtId="0" fontId="9" fillId="0" borderId="174" xfId="116" applyFont="1" applyBorder="1" applyAlignment="1">
      <alignment horizontal="center" vertical="center" wrapText="1"/>
    </xf>
    <xf numFmtId="0" fontId="9" fillId="0" borderId="179" xfId="116" applyFont="1" applyBorder="1" applyAlignment="1">
      <alignment horizontal="center" vertical="center" wrapText="1"/>
    </xf>
    <xf numFmtId="0" fontId="9" fillId="0" borderId="183" xfId="116" applyFont="1" applyBorder="1" applyAlignment="1">
      <alignment horizontal="center" vertical="center" wrapText="1"/>
    </xf>
    <xf numFmtId="0" fontId="9" fillId="0" borderId="175" xfId="116" applyFont="1" applyBorder="1" applyAlignment="1">
      <alignment horizontal="center" vertical="center" wrapText="1"/>
    </xf>
    <xf numFmtId="0" fontId="9" fillId="0" borderId="74" xfId="116" applyFont="1" applyBorder="1" applyAlignment="1">
      <alignment horizontal="center" vertical="center" wrapText="1"/>
    </xf>
    <xf numFmtId="0" fontId="9" fillId="0" borderId="184" xfId="116" applyFont="1" applyBorder="1" applyAlignment="1">
      <alignment horizontal="center" vertical="center" wrapText="1"/>
    </xf>
    <xf numFmtId="0" fontId="9" fillId="0" borderId="75" xfId="116" applyFont="1" applyBorder="1" applyAlignment="1">
      <alignment horizontal="center" vertical="center" wrapText="1"/>
    </xf>
    <xf numFmtId="0" fontId="9" fillId="0" borderId="185" xfId="116" applyFont="1" applyBorder="1" applyAlignment="1">
      <alignment horizontal="center" vertical="center" wrapText="1"/>
    </xf>
    <xf numFmtId="0" fontId="9" fillId="0" borderId="177" xfId="116" applyFont="1" applyBorder="1" applyAlignment="1">
      <alignment horizontal="center" vertical="center" wrapText="1"/>
    </xf>
    <xf numFmtId="0" fontId="9" fillId="0" borderId="180" xfId="116" applyFont="1" applyBorder="1" applyAlignment="1">
      <alignment horizontal="center" vertical="center" wrapText="1"/>
    </xf>
    <xf numFmtId="0" fontId="9" fillId="0" borderId="186" xfId="116" applyFont="1" applyBorder="1" applyAlignment="1">
      <alignment horizontal="center" vertical="center" wrapText="1"/>
    </xf>
    <xf numFmtId="0" fontId="9" fillId="0" borderId="177" xfId="116" applyFont="1" applyBorder="1" applyAlignment="1">
      <alignment horizontal="center" vertical="center"/>
    </xf>
    <xf numFmtId="0" fontId="9" fillId="0" borderId="180" xfId="116" applyFont="1" applyBorder="1" applyAlignment="1">
      <alignment horizontal="center" vertical="center"/>
    </xf>
    <xf numFmtId="0" fontId="9" fillId="0" borderId="186" xfId="116" applyFont="1" applyBorder="1" applyAlignment="1">
      <alignment horizontal="center" vertical="center"/>
    </xf>
    <xf numFmtId="0" fontId="9" fillId="0" borderId="178" xfId="116" applyFont="1" applyBorder="1" applyAlignment="1">
      <alignment horizontal="center" vertical="center"/>
    </xf>
    <xf numFmtId="0" fontId="9" fillId="0" borderId="182" xfId="116" applyFont="1" applyBorder="1" applyAlignment="1">
      <alignment horizontal="center" vertical="center"/>
    </xf>
    <xf numFmtId="0" fontId="9" fillId="0" borderId="188" xfId="116" applyFont="1" applyBorder="1" applyAlignment="1">
      <alignment horizontal="center" vertical="center"/>
    </xf>
    <xf numFmtId="167" fontId="9" fillId="0" borderId="177" xfId="62" quotePrefix="1" applyNumberFormat="1" applyFont="1" applyFill="1" applyBorder="1" applyAlignment="1">
      <alignment horizontal="center" vertical="center"/>
    </xf>
    <xf numFmtId="167" fontId="9" fillId="0" borderId="180" xfId="62" applyNumberFormat="1" applyFont="1" applyFill="1" applyBorder="1" applyAlignment="1">
      <alignment horizontal="center" vertical="center"/>
    </xf>
    <xf numFmtId="164" fontId="9" fillId="0" borderId="177" xfId="1" applyFont="1" applyFill="1" applyBorder="1" applyAlignment="1">
      <alignment horizontal="center" vertical="center" wrapText="1"/>
    </xf>
    <xf numFmtId="164" fontId="9" fillId="0" borderId="180" xfId="1" applyFont="1" applyFill="1" applyBorder="1" applyAlignment="1">
      <alignment horizontal="center" vertical="center" wrapText="1"/>
    </xf>
    <xf numFmtId="164" fontId="9" fillId="0" borderId="186" xfId="1" applyFont="1" applyFill="1" applyBorder="1" applyAlignment="1">
      <alignment horizontal="center" vertical="center" wrapText="1"/>
    </xf>
    <xf numFmtId="0" fontId="66" fillId="0" borderId="154" xfId="116" applyFont="1" applyBorder="1" applyAlignment="1">
      <alignment horizontal="center" vertical="center" wrapText="1"/>
    </xf>
    <xf numFmtId="0" fontId="66" fillId="0" borderId="120" xfId="116" applyFont="1" applyBorder="1" applyAlignment="1">
      <alignment horizontal="center" vertical="center" wrapText="1"/>
    </xf>
    <xf numFmtId="0" fontId="64" fillId="0" borderId="144" xfId="116" applyFont="1" applyBorder="1" applyAlignment="1">
      <alignment horizontal="center" vertical="center"/>
    </xf>
    <xf numFmtId="0" fontId="64" fillId="0" borderId="148" xfId="116" applyFont="1" applyBorder="1" applyAlignment="1">
      <alignment horizontal="center" vertical="center"/>
    </xf>
    <xf numFmtId="0" fontId="64" fillId="0" borderId="145" xfId="116" applyFont="1" applyBorder="1" applyAlignment="1">
      <alignment horizontal="center" vertical="center" wrapText="1"/>
    </xf>
    <xf numFmtId="0" fontId="64" fillId="0" borderId="149" xfId="116" applyFont="1" applyBorder="1" applyAlignment="1">
      <alignment horizontal="center" vertical="center" wrapText="1"/>
    </xf>
    <xf numFmtId="0" fontId="64" fillId="0" borderId="128" xfId="116" applyFont="1" applyBorder="1" applyAlignment="1">
      <alignment horizontal="center" vertical="center"/>
    </xf>
    <xf numFmtId="0" fontId="64" fillId="0" borderId="125" xfId="116" applyFont="1" applyBorder="1" applyAlignment="1">
      <alignment horizontal="center" vertical="center"/>
    </xf>
    <xf numFmtId="0" fontId="64" fillId="0" borderId="146" xfId="116" applyFont="1" applyBorder="1" applyAlignment="1">
      <alignment horizontal="center" vertical="center"/>
    </xf>
    <xf numFmtId="0" fontId="64" fillId="0" borderId="126" xfId="116" applyFont="1" applyBorder="1" applyAlignment="1">
      <alignment horizontal="center" vertical="center"/>
    </xf>
    <xf numFmtId="0" fontId="64" fillId="0" borderId="147" xfId="116" applyFont="1" applyBorder="1" applyAlignment="1">
      <alignment horizontal="center" vertical="center"/>
    </xf>
    <xf numFmtId="0" fontId="66" fillId="0" borderId="152" xfId="116" applyFont="1" applyBorder="1" applyAlignment="1">
      <alignment horizontal="center" vertical="center" wrapText="1"/>
    </xf>
    <xf numFmtId="0" fontId="66" fillId="0" borderId="121" xfId="116" applyFont="1" applyBorder="1" applyAlignment="1">
      <alignment horizontal="center" vertical="center" wrapText="1"/>
    </xf>
    <xf numFmtId="0" fontId="66" fillId="0" borderId="122" xfId="116" applyFont="1" applyBorder="1" applyAlignment="1">
      <alignment horizontal="center" vertical="center" wrapText="1"/>
    </xf>
    <xf numFmtId="0" fontId="66" fillId="0" borderId="139" xfId="116" applyFont="1" applyBorder="1" applyAlignment="1">
      <alignment horizontal="center" vertical="center" wrapText="1"/>
    </xf>
    <xf numFmtId="0" fontId="66" fillId="0" borderId="151" xfId="116" applyFont="1" applyBorder="1" applyAlignment="1">
      <alignment horizontal="center" vertical="center" wrapText="1"/>
    </xf>
    <xf numFmtId="43" fontId="64" fillId="0" borderId="146" xfId="62" applyFont="1" applyFill="1" applyBorder="1" applyAlignment="1">
      <alignment horizontal="center" vertical="center"/>
    </xf>
    <xf numFmtId="43" fontId="64" fillId="0" borderId="126" xfId="62" applyFont="1" applyFill="1" applyBorder="1" applyAlignment="1">
      <alignment horizontal="center" vertical="center"/>
    </xf>
    <xf numFmtId="43" fontId="64" fillId="0" borderId="147" xfId="62" applyFont="1" applyFill="1" applyBorder="1" applyAlignment="1">
      <alignment horizontal="center" vertical="center"/>
    </xf>
    <xf numFmtId="0" fontId="73" fillId="8" borderId="212" xfId="116" applyFont="1" applyFill="1" applyBorder="1" applyAlignment="1">
      <alignment horizontal="center" vertical="center"/>
    </xf>
    <xf numFmtId="0" fontId="73" fillId="8" borderId="213" xfId="116" applyFont="1" applyFill="1" applyBorder="1" applyAlignment="1">
      <alignment horizontal="center" vertical="center"/>
    </xf>
    <xf numFmtId="0" fontId="73" fillId="8" borderId="214" xfId="116" applyFont="1" applyFill="1" applyBorder="1" applyAlignment="1">
      <alignment horizontal="center" vertical="center"/>
    </xf>
    <xf numFmtId="0" fontId="9" fillId="8" borderId="213" xfId="117" applyFill="1" applyBorder="1" applyAlignment="1">
      <alignment vertical="center"/>
    </xf>
    <xf numFmtId="0" fontId="9" fillId="8" borderId="214" xfId="117" applyFill="1" applyBorder="1" applyAlignment="1">
      <alignment vertical="center"/>
    </xf>
    <xf numFmtId="0" fontId="71" fillId="8" borderId="212" xfId="116" applyFont="1" applyFill="1" applyBorder="1" applyAlignment="1">
      <alignment horizontal="center" vertical="center"/>
    </xf>
    <xf numFmtId="0" fontId="71" fillId="8" borderId="213" xfId="116" applyFont="1" applyFill="1" applyBorder="1" applyAlignment="1">
      <alignment horizontal="center" vertical="center"/>
    </xf>
    <xf numFmtId="0" fontId="71" fillId="8" borderId="214" xfId="116" applyFont="1" applyFill="1" applyBorder="1" applyAlignment="1">
      <alignment horizontal="center" vertical="center"/>
    </xf>
    <xf numFmtId="0" fontId="73" fillId="0" borderId="212" xfId="116" applyFont="1" applyBorder="1" applyAlignment="1">
      <alignment horizontal="center" vertical="center"/>
    </xf>
    <xf numFmtId="0" fontId="73" fillId="0" borderId="213" xfId="116" applyFont="1" applyBorder="1" applyAlignment="1">
      <alignment horizontal="center" vertical="center"/>
    </xf>
    <xf numFmtId="0" fontId="73" fillId="0" borderId="214" xfId="116" applyFont="1" applyBorder="1" applyAlignment="1">
      <alignment horizontal="center" vertical="center"/>
    </xf>
    <xf numFmtId="0" fontId="73" fillId="0" borderId="204" xfId="116" applyFont="1" applyBorder="1" applyAlignment="1">
      <alignment horizontal="center" vertical="center"/>
    </xf>
    <xf numFmtId="0" fontId="73" fillId="0" borderId="204" xfId="116" applyFont="1" applyBorder="1" applyAlignment="1">
      <alignment horizontal="center" vertical="center" wrapText="1"/>
    </xf>
    <xf numFmtId="0" fontId="73" fillId="0" borderId="139" xfId="116" applyFont="1" applyBorder="1" applyAlignment="1">
      <alignment horizontal="center" vertical="center" wrapText="1"/>
    </xf>
    <xf numFmtId="0" fontId="73" fillId="0" borderId="5" xfId="116" applyFont="1" applyBorder="1" applyAlignment="1">
      <alignment horizontal="center" vertical="center"/>
    </xf>
    <xf numFmtId="0" fontId="73" fillId="0" borderId="108" xfId="116" applyFont="1" applyBorder="1" applyAlignment="1">
      <alignment horizontal="center" vertical="center"/>
    </xf>
    <xf numFmtId="0" fontId="73" fillId="0" borderId="139" xfId="116" applyFont="1" applyBorder="1" applyAlignment="1">
      <alignment horizontal="center" vertical="center"/>
    </xf>
    <xf numFmtId="0" fontId="73" fillId="0" borderId="205" xfId="116" applyFont="1" applyBorder="1" applyAlignment="1">
      <alignment horizontal="center" vertical="center"/>
    </xf>
    <xf numFmtId="0" fontId="73" fillId="0" borderId="117" xfId="116" applyFont="1" applyBorder="1" applyAlignment="1">
      <alignment horizontal="center" vertical="center"/>
    </xf>
    <xf numFmtId="0" fontId="73" fillId="0" borderId="116" xfId="116" applyFont="1" applyBorder="1" applyAlignment="1">
      <alignment horizontal="center" vertical="center"/>
    </xf>
    <xf numFmtId="0" fontId="73" fillId="0" borderId="150" xfId="116" applyFont="1" applyBorder="1" applyAlignment="1">
      <alignment horizontal="center" vertical="center"/>
    </xf>
    <xf numFmtId="0" fontId="9" fillId="0" borderId="150" xfId="117" applyBorder="1"/>
    <xf numFmtId="0" fontId="9" fillId="0" borderId="213" xfId="117" applyBorder="1" applyAlignment="1">
      <alignment vertical="center"/>
    </xf>
    <xf numFmtId="0" fontId="9" fillId="0" borderId="214" xfId="117" applyBorder="1" applyAlignment="1">
      <alignment vertical="center"/>
    </xf>
    <xf numFmtId="0" fontId="71" fillId="0" borderId="212" xfId="116" applyFont="1" applyBorder="1" applyAlignment="1">
      <alignment horizontal="center" vertical="center"/>
    </xf>
    <xf numFmtId="0" fontId="71" fillId="0" borderId="213" xfId="116" applyFont="1" applyBorder="1" applyAlignment="1">
      <alignment horizontal="center" vertical="center"/>
    </xf>
    <xf numFmtId="0" fontId="71" fillId="0" borderId="214" xfId="116" applyFont="1" applyBorder="1" applyAlignment="1">
      <alignment horizontal="center" vertical="center"/>
    </xf>
    <xf numFmtId="0" fontId="73" fillId="0" borderId="202" xfId="116" applyFont="1" applyBorder="1" applyAlignment="1">
      <alignment horizontal="center" vertical="center" wrapText="1"/>
    </xf>
    <xf numFmtId="0" fontId="73" fillId="0" borderId="73" xfId="116" applyFont="1" applyBorder="1" applyAlignment="1">
      <alignment horizontal="center" vertical="center" wrapText="1"/>
    </xf>
    <xf numFmtId="0" fontId="73" fillId="0" borderId="122" xfId="116" applyFont="1" applyBorder="1" applyAlignment="1">
      <alignment horizontal="center" vertical="center" wrapText="1"/>
    </xf>
    <xf numFmtId="0" fontId="73" fillId="0" borderId="203" xfId="116" applyFont="1" applyBorder="1" applyAlignment="1">
      <alignment horizontal="center" vertical="center"/>
    </xf>
    <xf numFmtId="0" fontId="73" fillId="0" borderId="11" xfId="116" applyFont="1" applyBorder="1" applyAlignment="1">
      <alignment horizontal="center" vertical="center"/>
    </xf>
    <xf numFmtId="0" fontId="73" fillId="0" borderId="125" xfId="116" applyFont="1" applyBorder="1" applyAlignment="1">
      <alignment horizontal="center" vertical="center"/>
    </xf>
    <xf numFmtId="0" fontId="73" fillId="0" borderId="126" xfId="116" applyFont="1" applyBorder="1" applyAlignment="1">
      <alignment horizontal="center" vertical="center"/>
    </xf>
    <xf numFmtId="0" fontId="73" fillId="0" borderId="147" xfId="116" applyFont="1" applyBorder="1" applyAlignment="1">
      <alignment horizontal="center" vertical="center"/>
    </xf>
    <xf numFmtId="0" fontId="73" fillId="0" borderId="6" xfId="116" applyFont="1" applyBorder="1" applyAlignment="1">
      <alignment horizontal="center" vertical="center"/>
    </xf>
    <xf numFmtId="0" fontId="73" fillId="0" borderId="57" xfId="116" applyFont="1" applyBorder="1" applyAlignment="1">
      <alignment horizontal="center" vertical="center"/>
    </xf>
    <xf numFmtId="0" fontId="73" fillId="0" borderId="115" xfId="116" applyFont="1" applyBorder="1" applyAlignment="1">
      <alignment horizontal="center" vertical="center"/>
    </xf>
    <xf numFmtId="0" fontId="9" fillId="0" borderId="57" xfId="117" applyBorder="1"/>
    <xf numFmtId="43" fontId="73" fillId="0" borderId="213" xfId="62" applyFont="1" applyBorder="1" applyAlignment="1">
      <alignment horizontal="center" vertical="center"/>
    </xf>
    <xf numFmtId="43" fontId="71" fillId="0" borderId="213" xfId="62" applyFont="1" applyBorder="1" applyAlignment="1">
      <alignment horizontal="center" vertical="center"/>
    </xf>
    <xf numFmtId="0" fontId="9" fillId="0" borderId="0" xfId="3" applyNumberFormat="1" applyAlignment="1">
      <alignment horizontal="center" vertical="center"/>
    </xf>
    <xf numFmtId="0" fontId="9" fillId="0" borderId="1" xfId="3" applyNumberFormat="1" applyBorder="1" applyAlignment="1">
      <alignment horizontal="center" vertical="center"/>
    </xf>
    <xf numFmtId="0" fontId="20" fillId="0" borderId="12" xfId="3" applyNumberFormat="1" applyFont="1" applyBorder="1" applyAlignment="1">
      <alignment horizontal="center" vertical="center"/>
    </xf>
    <xf numFmtId="0" fontId="20" fillId="0" borderId="4" xfId="3" applyNumberFormat="1" applyFont="1" applyBorder="1" applyAlignment="1">
      <alignment horizontal="center" vertical="center"/>
    </xf>
    <xf numFmtId="0" fontId="20" fillId="0" borderId="10" xfId="3" applyNumberFormat="1" applyFont="1" applyBorder="1" applyAlignment="1">
      <alignment horizontal="center" vertical="center"/>
    </xf>
    <xf numFmtId="0" fontId="15" fillId="0" borderId="8" xfId="3" applyNumberFormat="1" applyFont="1" applyBorder="1" applyAlignment="1">
      <alignment horizontal="center" vertical="center"/>
    </xf>
    <xf numFmtId="0" fontId="15" fillId="0" borderId="4" xfId="3" applyNumberFormat="1" applyFont="1" applyBorder="1" applyAlignment="1">
      <alignment horizontal="center" vertical="center"/>
    </xf>
    <xf numFmtId="0" fontId="15" fillId="0" borderId="9" xfId="3" applyNumberFormat="1" applyFont="1" applyBorder="1" applyAlignment="1">
      <alignment horizontal="center" vertical="center"/>
    </xf>
    <xf numFmtId="0" fontId="15" fillId="0" borderId="10" xfId="3" applyNumberFormat="1" applyFont="1" applyBorder="1" applyAlignment="1">
      <alignment horizontal="center" vertical="center"/>
    </xf>
    <xf numFmtId="0" fontId="15" fillId="0" borderId="2" xfId="3" applyNumberFormat="1" applyFont="1" applyBorder="1" applyAlignment="1">
      <alignment horizontal="center" vertical="center" wrapText="1"/>
    </xf>
    <xf numFmtId="0" fontId="15" fillId="0" borderId="11" xfId="3" applyNumberFormat="1" applyFont="1" applyBorder="1" applyAlignment="1">
      <alignment horizontal="center" vertical="center" wrapText="1"/>
    </xf>
    <xf numFmtId="0" fontId="15" fillId="0" borderId="5" xfId="3" applyNumberFormat="1" applyFont="1" applyBorder="1" applyAlignment="1">
      <alignment horizontal="center" vertical="center" wrapText="1"/>
    </xf>
    <xf numFmtId="0" fontId="15" fillId="0" borderId="6" xfId="3" applyNumberFormat="1" applyFont="1" applyBorder="1" applyAlignment="1">
      <alignment horizontal="center" vertical="center" wrapText="1"/>
    </xf>
    <xf numFmtId="0" fontId="15" fillId="0" borderId="7" xfId="3" applyNumberFormat="1" applyFont="1" applyBorder="1" applyAlignment="1">
      <alignment horizontal="center" vertical="center" wrapText="1"/>
    </xf>
    <xf numFmtId="0" fontId="15" fillId="0" borderId="13" xfId="3" applyNumberFormat="1" applyFont="1" applyBorder="1" applyAlignment="1">
      <alignment horizontal="center" vertical="center" wrapText="1"/>
    </xf>
    <xf numFmtId="0" fontId="15" fillId="0" borderId="1" xfId="3" applyNumberFormat="1" applyFont="1" applyBorder="1" applyAlignment="1">
      <alignment horizontal="center" vertical="center" wrapText="1"/>
    </xf>
    <xf numFmtId="0" fontId="15" fillId="0" borderId="14" xfId="3" applyNumberFormat="1" applyFont="1" applyBorder="1" applyAlignment="1">
      <alignment horizontal="center" vertical="center" wrapText="1"/>
    </xf>
    <xf numFmtId="0" fontId="12" fillId="0" borderId="0" xfId="3" applyNumberFormat="1" applyFont="1" applyAlignment="1">
      <alignment horizontal="center" vertical="center"/>
    </xf>
    <xf numFmtId="0" fontId="16" fillId="0" borderId="0" xfId="3" applyNumberFormat="1" applyFont="1" applyAlignment="1">
      <alignment horizontal="center" vertical="center" wrapText="1"/>
    </xf>
    <xf numFmtId="0" fontId="15" fillId="0" borderId="15" xfId="3" applyNumberFormat="1" applyFont="1" applyBorder="1" applyAlignment="1">
      <alignment horizontal="center" vertical="center" wrapText="1"/>
    </xf>
    <xf numFmtId="0" fontId="15" fillId="0" borderId="11" xfId="3" applyNumberFormat="1" applyFont="1" applyBorder="1" applyAlignment="1">
      <alignment horizontal="center" vertical="center"/>
    </xf>
    <xf numFmtId="0" fontId="9" fillId="0" borderId="3" xfId="3" applyNumberFormat="1" applyBorder="1" applyAlignment="1">
      <alignment horizontal="center" vertical="center"/>
    </xf>
    <xf numFmtId="0" fontId="9" fillId="0" borderId="4" xfId="3" applyNumberFormat="1" applyBorder="1" applyAlignment="1">
      <alignment horizontal="center" vertical="center"/>
    </xf>
    <xf numFmtId="0" fontId="15" fillId="11" borderId="28" xfId="3" applyNumberFormat="1" applyFont="1" applyFill="1" applyBorder="1" applyAlignment="1">
      <alignment horizontal="center" vertical="center"/>
    </xf>
    <xf numFmtId="168" fontId="20" fillId="10" borderId="25" xfId="3" applyNumberFormat="1" applyFont="1" applyFill="1" applyBorder="1" applyAlignment="1">
      <alignment horizontal="center" vertical="center" wrapText="1"/>
    </xf>
    <xf numFmtId="168" fontId="20" fillId="10" borderId="30" xfId="3" applyNumberFormat="1" applyFont="1" applyFill="1" applyBorder="1" applyAlignment="1">
      <alignment horizontal="center" vertical="center" wrapText="1"/>
    </xf>
    <xf numFmtId="3" fontId="20" fillId="10" borderId="26" xfId="2" applyNumberFormat="1" applyFont="1" applyFill="1" applyBorder="1" applyAlignment="1">
      <alignment horizontal="center" vertical="center" wrapText="1"/>
    </xf>
    <xf numFmtId="3" fontId="20" fillId="10" borderId="31" xfId="2" applyNumberFormat="1" applyFont="1" applyFill="1" applyBorder="1" applyAlignment="1">
      <alignment horizontal="center" vertical="center" wrapText="1"/>
    </xf>
    <xf numFmtId="168" fontId="20" fillId="0" borderId="27" xfId="3" applyNumberFormat="1" applyFont="1" applyBorder="1" applyAlignment="1">
      <alignment horizontal="center" vertical="center"/>
    </xf>
    <xf numFmtId="0" fontId="15" fillId="11" borderId="28" xfId="3" applyNumberFormat="1" applyFont="1" applyFill="1" applyBorder="1" applyAlignment="1">
      <alignment horizontal="center" vertical="center" wrapText="1"/>
    </xf>
    <xf numFmtId="43" fontId="12" fillId="2" borderId="0" xfId="3" applyFont="1" applyFill="1" applyAlignment="1">
      <alignment horizontal="left" vertical="center"/>
    </xf>
    <xf numFmtId="0" fontId="20" fillId="10" borderId="24" xfId="2" applyFont="1" applyFill="1" applyBorder="1" applyAlignment="1">
      <alignment horizontal="center" vertical="center"/>
    </xf>
    <xf numFmtId="0" fontId="20" fillId="10" borderId="29" xfId="2" applyFont="1" applyFill="1" applyBorder="1" applyAlignment="1">
      <alignment horizontal="center" vertical="center"/>
    </xf>
    <xf numFmtId="0" fontId="20" fillId="10" borderId="33" xfId="2" applyFont="1" applyFill="1" applyBorder="1" applyAlignment="1">
      <alignment horizontal="center" vertical="center"/>
    </xf>
    <xf numFmtId="0" fontId="20" fillId="10" borderId="25" xfId="2" applyFont="1" applyFill="1" applyBorder="1" applyAlignment="1">
      <alignment horizontal="center" vertical="center"/>
    </xf>
    <xf numFmtId="0" fontId="20" fillId="10" borderId="30" xfId="2" applyFont="1" applyFill="1" applyBorder="1" applyAlignment="1">
      <alignment horizontal="center" vertical="center"/>
    </xf>
    <xf numFmtId="0" fontId="20" fillId="10" borderId="34" xfId="2" applyFont="1" applyFill="1" applyBorder="1" applyAlignment="1">
      <alignment horizontal="center" vertical="center"/>
    </xf>
    <xf numFmtId="43" fontId="20" fillId="10" borderId="25" xfId="3" applyFont="1" applyFill="1" applyBorder="1" applyAlignment="1">
      <alignment horizontal="center" vertical="center" wrapText="1"/>
    </xf>
    <xf numFmtId="43" fontId="20" fillId="10" borderId="30" xfId="3" applyFont="1" applyFill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49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52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53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47" xfId="2" applyFont="1" applyBorder="1" applyAlignment="1">
      <alignment horizontal="center" vertical="center" wrapText="1"/>
    </xf>
    <xf numFmtId="0" fontId="12" fillId="0" borderId="51" xfId="2" applyFont="1" applyBorder="1" applyAlignment="1">
      <alignment horizontal="center" vertical="center" wrapText="1"/>
    </xf>
    <xf numFmtId="0" fontId="12" fillId="0" borderId="4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46" xfId="2" applyFont="1" applyBorder="1" applyAlignment="1">
      <alignment horizontal="center" vertical="center"/>
    </xf>
    <xf numFmtId="0" fontId="127" fillId="0" borderId="283" xfId="142" applyFont="1" applyFill="1" applyBorder="1" applyAlignment="1">
      <alignment horizontal="center" vertical="center" wrapText="1"/>
    </xf>
    <xf numFmtId="0" fontId="127" fillId="0" borderId="283" xfId="142" applyFont="1" applyFill="1" applyBorder="1" applyAlignment="1">
      <alignment horizontal="right" vertical="center"/>
    </xf>
    <xf numFmtId="0" fontId="127" fillId="0" borderId="283" xfId="142" applyFont="1" applyFill="1" applyBorder="1" applyAlignment="1">
      <alignment horizontal="right" vertical="center" wrapText="1"/>
    </xf>
    <xf numFmtId="0" fontId="45" fillId="0" borderId="283" xfId="142" applyFont="1" applyFill="1" applyBorder="1" applyAlignment="1">
      <alignment horizontal="right" vertical="center"/>
    </xf>
    <xf numFmtId="0" fontId="127" fillId="0" borderId="283" xfId="142" applyFont="1" applyFill="1" applyBorder="1" applyAlignment="1">
      <alignment vertical="center"/>
    </xf>
    <xf numFmtId="0" fontId="45" fillId="0" borderId="283" xfId="142" applyFont="1" applyFill="1" applyBorder="1" applyAlignment="1">
      <alignment horizontal="center" vertical="center"/>
    </xf>
    <xf numFmtId="0" fontId="127" fillId="0" borderId="460" xfId="142" quotePrefix="1" applyFont="1" applyBorder="1" applyAlignment="1">
      <alignment vertical="center" wrapText="1"/>
    </xf>
    <xf numFmtId="0" fontId="45" fillId="0" borderId="38" xfId="142" quotePrefix="1" applyFont="1" applyBorder="1" applyAlignment="1">
      <alignment vertical="center" wrapText="1"/>
    </xf>
    <xf numFmtId="187" fontId="127" fillId="0" borderId="0" xfId="142" applyNumberFormat="1" applyFont="1" applyBorder="1" applyAlignment="1">
      <alignment vertical="center"/>
    </xf>
    <xf numFmtId="0" fontId="127" fillId="0" borderId="283" xfId="142" applyFont="1" applyFill="1" applyBorder="1" applyAlignment="1">
      <alignment horizontal="center" vertical="center" wrapText="1"/>
    </xf>
  </cellXfs>
  <cellStyles count="179">
    <cellStyle name="A4 Small 210 x 297 mm" xfId="5"/>
    <cellStyle name="args.style" xfId="6"/>
    <cellStyle name="Calc Currency (0)" xfId="7"/>
    <cellStyle name="Comma [0]" xfId="1" builtinId="6"/>
    <cellStyle name="Comma [0] 10" xfId="8"/>
    <cellStyle name="Comma [0] 10 2" xfId="9"/>
    <cellStyle name="Comma [0] 104" xfId="10"/>
    <cellStyle name="Comma [0] 104 2" xfId="11"/>
    <cellStyle name="Comma [0] 11" xfId="12"/>
    <cellStyle name="Comma [0] 11 2" xfId="13"/>
    <cellStyle name="Comma [0] 12 3 2" xfId="14"/>
    <cellStyle name="Comma [0] 12 3 2 2" xfId="15"/>
    <cellStyle name="Comma [0] 19 2" xfId="16"/>
    <cellStyle name="Comma [0] 19 2 2" xfId="17"/>
    <cellStyle name="Comma [0] 2" xfId="18"/>
    <cellStyle name="Comma [0] 2 19" xfId="19"/>
    <cellStyle name="Comma [0] 2 19 2" xfId="20"/>
    <cellStyle name="Comma [0] 2 2" xfId="21"/>
    <cellStyle name="Comma [0] 2 2 2" xfId="22"/>
    <cellStyle name="Comma [0] 2 3" xfId="23"/>
    <cellStyle name="Comma [0] 2 4" xfId="24"/>
    <cellStyle name="Comma [0] 2 5" xfId="25"/>
    <cellStyle name="Comma [0] 2 6" xfId="26"/>
    <cellStyle name="Comma [0] 2 7" xfId="27"/>
    <cellStyle name="Comma [0] 21" xfId="28"/>
    <cellStyle name="Comma [0] 21 2" xfId="29"/>
    <cellStyle name="Comma [0] 3" xfId="30"/>
    <cellStyle name="Comma [0] 3 2" xfId="31"/>
    <cellStyle name="Comma [0] 3 2 3" xfId="32"/>
    <cellStyle name="Comma [0] 3 2 3 2" xfId="33"/>
    <cellStyle name="Comma [0] 4" xfId="34"/>
    <cellStyle name="Comma [0] 4 2" xfId="35"/>
    <cellStyle name="Comma [0] 5" xfId="36"/>
    <cellStyle name="Comma [0] 6" xfId="37"/>
    <cellStyle name="Comma [0] 7" xfId="38"/>
    <cellStyle name="Comma [0] 7 2" xfId="39"/>
    <cellStyle name="Comma [0] 8" xfId="40"/>
    <cellStyle name="Comma [0] 8 2" xfId="41"/>
    <cellStyle name="Comma [0] 8 2 2" xfId="42"/>
    <cellStyle name="Comma [0] 9" xfId="43"/>
    <cellStyle name="Comma [0] 9 2" xfId="44"/>
    <cellStyle name="Comma 10" xfId="3"/>
    <cellStyle name="Comma 10 2" xfId="45"/>
    <cellStyle name="Comma 10 2 2" xfId="46"/>
    <cellStyle name="Comma 10 2 2 2" xfId="47"/>
    <cellStyle name="Comma 10 3" xfId="48"/>
    <cellStyle name="Comma 10 4" xfId="49"/>
    <cellStyle name="Comma 10 4 2" xfId="50"/>
    <cellStyle name="Comma 10 4 3" xfId="51"/>
    <cellStyle name="Comma 104" xfId="52"/>
    <cellStyle name="Comma 104 2" xfId="53"/>
    <cellStyle name="Comma 11" xfId="54"/>
    <cellStyle name="Comma 11 2 2" xfId="55"/>
    <cellStyle name="Comma 11 2 2 2" xfId="56"/>
    <cellStyle name="Comma 12" xfId="57"/>
    <cellStyle name="Comma 13" xfId="58"/>
    <cellStyle name="Comma 13 4" xfId="59"/>
    <cellStyle name="Comma 13 4 2" xfId="60"/>
    <cellStyle name="Comma 14" xfId="61"/>
    <cellStyle name="Comma 15 3 2 2" xfId="62"/>
    <cellStyle name="Comma 15 3 2 2 2" xfId="63"/>
    <cellStyle name="Comma 16 2" xfId="64"/>
    <cellStyle name="Comma 16 2 2" xfId="65"/>
    <cellStyle name="Comma 16 2 2 2" xfId="66"/>
    <cellStyle name="Comma 16 2 3" xfId="67"/>
    <cellStyle name="Comma 18 2 4" xfId="68"/>
    <cellStyle name="Comma 18 2 4 2" xfId="69"/>
    <cellStyle name="Comma 2" xfId="70"/>
    <cellStyle name="Comma 2 2" xfId="71"/>
    <cellStyle name="Comma 2 2 4 2" xfId="72"/>
    <cellStyle name="Comma 2 2 4 2 2" xfId="73"/>
    <cellStyle name="Comma 2 22" xfId="74"/>
    <cellStyle name="Comma 2 22 2" xfId="75"/>
    <cellStyle name="Comma 2 3" xfId="76"/>
    <cellStyle name="Comma 2 4" xfId="77"/>
    <cellStyle name="Comma 2 5" xfId="78"/>
    <cellStyle name="Comma 2 6" xfId="79"/>
    <cellStyle name="Comma 2_RAB - ELEKTRONIKA rev" xfId="80"/>
    <cellStyle name="Comma 26 2" xfId="81"/>
    <cellStyle name="Comma 26 2 2" xfId="82"/>
    <cellStyle name="Comma 3" xfId="83"/>
    <cellStyle name="Comma 3 2" xfId="84"/>
    <cellStyle name="Comma 3 3" xfId="85"/>
    <cellStyle name="Comma 3 3 4" xfId="86"/>
    <cellStyle name="Comma 3 3 4 2" xfId="87"/>
    <cellStyle name="Comma 34 2 2" xfId="88"/>
    <cellStyle name="Comma 34 2 2 2" xfId="89"/>
    <cellStyle name="Comma 4" xfId="90"/>
    <cellStyle name="Comma 4 2" xfId="91"/>
    <cellStyle name="Comma 4 3" xfId="92"/>
    <cellStyle name="Comma 4 3 2" xfId="93"/>
    <cellStyle name="Comma 4 3 3" xfId="94"/>
    <cellStyle name="Comma 4 3 4" xfId="95"/>
    <cellStyle name="Comma 41 2 2" xfId="96"/>
    <cellStyle name="Comma 5" xfId="97"/>
    <cellStyle name="Comma 5 2" xfId="98"/>
    <cellStyle name="Comma 6" xfId="99"/>
    <cellStyle name="Comma 7" xfId="100"/>
    <cellStyle name="Comma 8" xfId="101"/>
    <cellStyle name="Comma 8 2" xfId="102"/>
    <cellStyle name="Comma 8 5 2" xfId="103"/>
    <cellStyle name="Comma 8 5 2 2" xfId="104"/>
    <cellStyle name="Comma 9" xfId="105"/>
    <cellStyle name="Comma 9 2" xfId="106"/>
    <cellStyle name="Comma_BQ-PENAWARAN Gudang 2 = 23x72  PT. SAAA 19.01.07 rev.1" xfId="175"/>
    <cellStyle name="Comma_RAB Hotel Solaris Malang rev.2" xfId="176"/>
    <cellStyle name="Copied" xfId="107"/>
    <cellStyle name="Entered" xfId="108"/>
    <cellStyle name="Grey" xfId="109"/>
    <cellStyle name="Header1" xfId="110"/>
    <cellStyle name="Header2" xfId="111"/>
    <cellStyle name="HEADINGS" xfId="112"/>
    <cellStyle name="HEADINGSTOP" xfId="113"/>
    <cellStyle name="Input [yellow]" xfId="114"/>
    <cellStyle name="Normal" xfId="0" builtinId="0"/>
    <cellStyle name="Normal - Style1" xfId="115"/>
    <cellStyle name="Normal - Style1 19 2 2" xfId="116"/>
    <cellStyle name="Normal - Style1 2" xfId="117"/>
    <cellStyle name="Normal 10" xfId="118"/>
    <cellStyle name="Normal 10 2" xfId="119"/>
    <cellStyle name="Normal 100" xfId="120"/>
    <cellStyle name="Normal 100 2" xfId="121"/>
    <cellStyle name="Normal 11" xfId="122"/>
    <cellStyle name="Normal 12" xfId="123"/>
    <cellStyle name="Normal 13" xfId="124"/>
    <cellStyle name="Normal 14" xfId="177"/>
    <cellStyle name="Normal 15 2 2" xfId="125"/>
    <cellStyle name="Normal 2" xfId="126"/>
    <cellStyle name="Normal 2 2" xfId="127"/>
    <cellStyle name="Normal 2 2 10 2" xfId="128"/>
    <cellStyle name="Normal 2 2 2" xfId="129"/>
    <cellStyle name="Normal 2 2 2 10" xfId="130"/>
    <cellStyle name="Normal 2 2 3" xfId="131"/>
    <cellStyle name="Normal 2 24" xfId="132"/>
    <cellStyle name="Normal 2 3" xfId="133"/>
    <cellStyle name="Normal 2 4" xfId="134"/>
    <cellStyle name="Normal 3" xfId="135"/>
    <cellStyle name="Normal 3 10" xfId="2"/>
    <cellStyle name="Normal 3 2" xfId="136"/>
    <cellStyle name="Normal 3 3" xfId="137"/>
    <cellStyle name="Normal 3 3 2" xfId="138"/>
    <cellStyle name="Normal 3 3 3" xfId="139"/>
    <cellStyle name="Normal 3 3 4" xfId="140"/>
    <cellStyle name="Normal 3 4" xfId="141"/>
    <cellStyle name="Normal 4" xfId="142"/>
    <cellStyle name="Normal 4 2" xfId="143"/>
    <cellStyle name="Normal 4 5 2" xfId="144"/>
    <cellStyle name="Normal 5" xfId="145"/>
    <cellStyle name="Normal 5 2" xfId="146"/>
    <cellStyle name="Normal 52" xfId="147"/>
    <cellStyle name="Normal 6" xfId="148"/>
    <cellStyle name="Normal 6 2" xfId="149"/>
    <cellStyle name="Normal 6 2 3 2" xfId="150"/>
    <cellStyle name="Normal 6 3" xfId="151"/>
    <cellStyle name="Normal 6 3 2" xfId="152"/>
    <cellStyle name="Normal 7" xfId="153"/>
    <cellStyle name="Normal 8" xfId="154"/>
    <cellStyle name="Normal 9" xfId="155"/>
    <cellStyle name="Normal_BQ Yamaha Square  6.06.06 Rev.3" xfId="174"/>
    <cellStyle name="Normal_LAMP-3" xfId="173"/>
    <cellStyle name="Normal_REVISI BILL-Lhn parkr.JK (rev-3)" xfId="4"/>
    <cellStyle name="per.style" xfId="156"/>
    <cellStyle name="Percent" xfId="178" builtinId="5"/>
    <cellStyle name="Percent [2]" xfId="157"/>
    <cellStyle name="Percent 2" xfId="158"/>
    <cellStyle name="Percent 2 10" xfId="159"/>
    <cellStyle name="Percent 2 2" xfId="160"/>
    <cellStyle name="Percent 2 3" xfId="161"/>
    <cellStyle name="Percent 2 4" xfId="162"/>
    <cellStyle name="Percent 2 5" xfId="163"/>
    <cellStyle name="Percent 2 6" xfId="164"/>
    <cellStyle name="Percent 3" xfId="165"/>
    <cellStyle name="Percent 4 3" xfId="166"/>
    <cellStyle name="regstoresfromspecstores" xfId="167"/>
    <cellStyle name="RevList" xfId="168"/>
    <cellStyle name="SHADEDSTORES" xfId="169"/>
    <cellStyle name="specstores" xfId="170"/>
    <cellStyle name="Style 1" xfId="171"/>
    <cellStyle name="Subtotal" xfId="17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42.xml"/><Relationship Id="rId84" Type="http://schemas.openxmlformats.org/officeDocument/2006/relationships/externalLink" Target="externalLinks/externalLink58.xml"/><Relationship Id="rId89" Type="http://schemas.openxmlformats.org/officeDocument/2006/relationships/externalLink" Target="externalLinks/externalLink63.xml"/><Relationship Id="rId112" Type="http://schemas.openxmlformats.org/officeDocument/2006/relationships/externalLink" Target="externalLinks/externalLink86.xml"/><Relationship Id="rId133" Type="http://schemas.openxmlformats.org/officeDocument/2006/relationships/externalLink" Target="externalLinks/externalLink107.xml"/><Relationship Id="rId138" Type="http://schemas.openxmlformats.org/officeDocument/2006/relationships/externalLink" Target="externalLinks/externalLink112.xml"/><Relationship Id="rId154" Type="http://schemas.openxmlformats.org/officeDocument/2006/relationships/externalLink" Target="externalLinks/externalLink128.xml"/><Relationship Id="rId159" Type="http://schemas.openxmlformats.org/officeDocument/2006/relationships/externalLink" Target="externalLinks/externalLink133.xml"/><Relationship Id="rId175" Type="http://schemas.openxmlformats.org/officeDocument/2006/relationships/externalLink" Target="externalLinks/externalLink149.xml"/><Relationship Id="rId170" Type="http://schemas.openxmlformats.org/officeDocument/2006/relationships/externalLink" Target="externalLinks/externalLink144.xml"/><Relationship Id="rId191" Type="http://schemas.openxmlformats.org/officeDocument/2006/relationships/externalLink" Target="externalLinks/externalLink165.xml"/><Relationship Id="rId196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8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74" Type="http://schemas.openxmlformats.org/officeDocument/2006/relationships/externalLink" Target="externalLinks/externalLink48.xml"/><Relationship Id="rId79" Type="http://schemas.openxmlformats.org/officeDocument/2006/relationships/externalLink" Target="externalLinks/externalLink53.xml"/><Relationship Id="rId102" Type="http://schemas.openxmlformats.org/officeDocument/2006/relationships/externalLink" Target="externalLinks/externalLink76.xml"/><Relationship Id="rId123" Type="http://schemas.openxmlformats.org/officeDocument/2006/relationships/externalLink" Target="externalLinks/externalLink97.xml"/><Relationship Id="rId128" Type="http://schemas.openxmlformats.org/officeDocument/2006/relationships/externalLink" Target="externalLinks/externalLink102.xml"/><Relationship Id="rId144" Type="http://schemas.openxmlformats.org/officeDocument/2006/relationships/externalLink" Target="externalLinks/externalLink118.xml"/><Relationship Id="rId149" Type="http://schemas.openxmlformats.org/officeDocument/2006/relationships/externalLink" Target="externalLinks/externalLink12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4.xml"/><Relationship Id="rId95" Type="http://schemas.openxmlformats.org/officeDocument/2006/relationships/externalLink" Target="externalLinks/externalLink69.xml"/><Relationship Id="rId160" Type="http://schemas.openxmlformats.org/officeDocument/2006/relationships/externalLink" Target="externalLinks/externalLink134.xml"/><Relationship Id="rId165" Type="http://schemas.openxmlformats.org/officeDocument/2006/relationships/externalLink" Target="externalLinks/externalLink139.xml"/><Relationship Id="rId181" Type="http://schemas.openxmlformats.org/officeDocument/2006/relationships/externalLink" Target="externalLinks/externalLink155.xml"/><Relationship Id="rId186" Type="http://schemas.openxmlformats.org/officeDocument/2006/relationships/externalLink" Target="externalLinks/externalLink160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64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43.xml"/><Relationship Id="rId113" Type="http://schemas.openxmlformats.org/officeDocument/2006/relationships/externalLink" Target="externalLinks/externalLink87.xml"/><Relationship Id="rId118" Type="http://schemas.openxmlformats.org/officeDocument/2006/relationships/externalLink" Target="externalLinks/externalLink92.xml"/><Relationship Id="rId134" Type="http://schemas.openxmlformats.org/officeDocument/2006/relationships/externalLink" Target="externalLinks/externalLink108.xml"/><Relationship Id="rId139" Type="http://schemas.openxmlformats.org/officeDocument/2006/relationships/externalLink" Target="externalLinks/externalLink113.xml"/><Relationship Id="rId80" Type="http://schemas.openxmlformats.org/officeDocument/2006/relationships/externalLink" Target="externalLinks/externalLink54.xml"/><Relationship Id="rId85" Type="http://schemas.openxmlformats.org/officeDocument/2006/relationships/externalLink" Target="externalLinks/externalLink59.xml"/><Relationship Id="rId150" Type="http://schemas.openxmlformats.org/officeDocument/2006/relationships/externalLink" Target="externalLinks/externalLink124.xml"/><Relationship Id="rId155" Type="http://schemas.openxmlformats.org/officeDocument/2006/relationships/externalLink" Target="externalLinks/externalLink129.xml"/><Relationship Id="rId171" Type="http://schemas.openxmlformats.org/officeDocument/2006/relationships/externalLink" Target="externalLinks/externalLink145.xml"/><Relationship Id="rId176" Type="http://schemas.openxmlformats.org/officeDocument/2006/relationships/externalLink" Target="externalLinks/externalLink150.xml"/><Relationship Id="rId192" Type="http://schemas.openxmlformats.org/officeDocument/2006/relationships/externalLink" Target="externalLinks/externalLink166.xml"/><Relationship Id="rId197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33.xml"/><Relationship Id="rId103" Type="http://schemas.openxmlformats.org/officeDocument/2006/relationships/externalLink" Target="externalLinks/externalLink77.xml"/><Relationship Id="rId108" Type="http://schemas.openxmlformats.org/officeDocument/2006/relationships/externalLink" Target="externalLinks/externalLink82.xml"/><Relationship Id="rId124" Type="http://schemas.openxmlformats.org/officeDocument/2006/relationships/externalLink" Target="externalLinks/externalLink98.xml"/><Relationship Id="rId129" Type="http://schemas.openxmlformats.org/officeDocument/2006/relationships/externalLink" Target="externalLinks/externalLink103.xml"/><Relationship Id="rId54" Type="http://schemas.openxmlformats.org/officeDocument/2006/relationships/externalLink" Target="externalLinks/externalLink28.xml"/><Relationship Id="rId70" Type="http://schemas.openxmlformats.org/officeDocument/2006/relationships/externalLink" Target="externalLinks/externalLink44.xml"/><Relationship Id="rId75" Type="http://schemas.openxmlformats.org/officeDocument/2006/relationships/externalLink" Target="externalLinks/externalLink49.xml"/><Relationship Id="rId91" Type="http://schemas.openxmlformats.org/officeDocument/2006/relationships/externalLink" Target="externalLinks/externalLink65.xml"/><Relationship Id="rId96" Type="http://schemas.openxmlformats.org/officeDocument/2006/relationships/externalLink" Target="externalLinks/externalLink70.xml"/><Relationship Id="rId140" Type="http://schemas.openxmlformats.org/officeDocument/2006/relationships/externalLink" Target="externalLinks/externalLink114.xml"/><Relationship Id="rId145" Type="http://schemas.openxmlformats.org/officeDocument/2006/relationships/externalLink" Target="externalLinks/externalLink119.xml"/><Relationship Id="rId161" Type="http://schemas.openxmlformats.org/officeDocument/2006/relationships/externalLink" Target="externalLinks/externalLink135.xml"/><Relationship Id="rId166" Type="http://schemas.openxmlformats.org/officeDocument/2006/relationships/externalLink" Target="externalLinks/externalLink140.xml"/><Relationship Id="rId182" Type="http://schemas.openxmlformats.org/officeDocument/2006/relationships/externalLink" Target="externalLinks/externalLink156.xml"/><Relationship Id="rId187" Type="http://schemas.openxmlformats.org/officeDocument/2006/relationships/externalLink" Target="externalLinks/externalLink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49" Type="http://schemas.openxmlformats.org/officeDocument/2006/relationships/externalLink" Target="externalLinks/externalLink23.xml"/><Relationship Id="rId114" Type="http://schemas.openxmlformats.org/officeDocument/2006/relationships/externalLink" Target="externalLinks/externalLink88.xml"/><Relationship Id="rId119" Type="http://schemas.openxmlformats.org/officeDocument/2006/relationships/externalLink" Target="externalLinks/externalLink93.xml"/><Relationship Id="rId44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39.xml"/><Relationship Id="rId81" Type="http://schemas.openxmlformats.org/officeDocument/2006/relationships/externalLink" Target="externalLinks/externalLink55.xml"/><Relationship Id="rId86" Type="http://schemas.openxmlformats.org/officeDocument/2006/relationships/externalLink" Target="externalLinks/externalLink60.xml"/><Relationship Id="rId130" Type="http://schemas.openxmlformats.org/officeDocument/2006/relationships/externalLink" Target="externalLinks/externalLink104.xml"/><Relationship Id="rId135" Type="http://schemas.openxmlformats.org/officeDocument/2006/relationships/externalLink" Target="externalLinks/externalLink109.xml"/><Relationship Id="rId151" Type="http://schemas.openxmlformats.org/officeDocument/2006/relationships/externalLink" Target="externalLinks/externalLink125.xml"/><Relationship Id="rId156" Type="http://schemas.openxmlformats.org/officeDocument/2006/relationships/externalLink" Target="externalLinks/externalLink130.xml"/><Relationship Id="rId177" Type="http://schemas.openxmlformats.org/officeDocument/2006/relationships/externalLink" Target="externalLinks/externalLink151.xml"/><Relationship Id="rId172" Type="http://schemas.openxmlformats.org/officeDocument/2006/relationships/externalLink" Target="externalLinks/externalLink146.xml"/><Relationship Id="rId193" Type="http://schemas.openxmlformats.org/officeDocument/2006/relationships/externalLink" Target="externalLinks/externalLink167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109" Type="http://schemas.openxmlformats.org/officeDocument/2006/relationships/externalLink" Target="externalLinks/externalLink8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76" Type="http://schemas.openxmlformats.org/officeDocument/2006/relationships/externalLink" Target="externalLinks/externalLink50.xml"/><Relationship Id="rId97" Type="http://schemas.openxmlformats.org/officeDocument/2006/relationships/externalLink" Target="externalLinks/externalLink71.xml"/><Relationship Id="rId104" Type="http://schemas.openxmlformats.org/officeDocument/2006/relationships/externalLink" Target="externalLinks/externalLink78.xml"/><Relationship Id="rId120" Type="http://schemas.openxmlformats.org/officeDocument/2006/relationships/externalLink" Target="externalLinks/externalLink94.xml"/><Relationship Id="rId125" Type="http://schemas.openxmlformats.org/officeDocument/2006/relationships/externalLink" Target="externalLinks/externalLink99.xml"/><Relationship Id="rId141" Type="http://schemas.openxmlformats.org/officeDocument/2006/relationships/externalLink" Target="externalLinks/externalLink115.xml"/><Relationship Id="rId146" Type="http://schemas.openxmlformats.org/officeDocument/2006/relationships/externalLink" Target="externalLinks/externalLink120.xml"/><Relationship Id="rId167" Type="http://schemas.openxmlformats.org/officeDocument/2006/relationships/externalLink" Target="externalLinks/externalLink141.xml"/><Relationship Id="rId188" Type="http://schemas.openxmlformats.org/officeDocument/2006/relationships/externalLink" Target="externalLinks/externalLink16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5.xml"/><Relationship Id="rId92" Type="http://schemas.openxmlformats.org/officeDocument/2006/relationships/externalLink" Target="externalLinks/externalLink66.xml"/><Relationship Id="rId162" Type="http://schemas.openxmlformats.org/officeDocument/2006/relationships/externalLink" Target="externalLinks/externalLink136.xml"/><Relationship Id="rId183" Type="http://schemas.openxmlformats.org/officeDocument/2006/relationships/externalLink" Target="externalLinks/externalLink1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3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40.xml"/><Relationship Id="rId87" Type="http://schemas.openxmlformats.org/officeDocument/2006/relationships/externalLink" Target="externalLinks/externalLink61.xml"/><Relationship Id="rId110" Type="http://schemas.openxmlformats.org/officeDocument/2006/relationships/externalLink" Target="externalLinks/externalLink84.xml"/><Relationship Id="rId115" Type="http://schemas.openxmlformats.org/officeDocument/2006/relationships/externalLink" Target="externalLinks/externalLink89.xml"/><Relationship Id="rId131" Type="http://schemas.openxmlformats.org/officeDocument/2006/relationships/externalLink" Target="externalLinks/externalLink105.xml"/><Relationship Id="rId136" Type="http://schemas.openxmlformats.org/officeDocument/2006/relationships/externalLink" Target="externalLinks/externalLink110.xml"/><Relationship Id="rId157" Type="http://schemas.openxmlformats.org/officeDocument/2006/relationships/externalLink" Target="externalLinks/externalLink131.xml"/><Relationship Id="rId178" Type="http://schemas.openxmlformats.org/officeDocument/2006/relationships/externalLink" Target="externalLinks/externalLink152.xml"/><Relationship Id="rId61" Type="http://schemas.openxmlformats.org/officeDocument/2006/relationships/externalLink" Target="externalLinks/externalLink35.xml"/><Relationship Id="rId82" Type="http://schemas.openxmlformats.org/officeDocument/2006/relationships/externalLink" Target="externalLinks/externalLink56.xml"/><Relationship Id="rId152" Type="http://schemas.openxmlformats.org/officeDocument/2006/relationships/externalLink" Target="externalLinks/externalLink126.xml"/><Relationship Id="rId173" Type="http://schemas.openxmlformats.org/officeDocument/2006/relationships/externalLink" Target="externalLinks/externalLink147.xml"/><Relationship Id="rId194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56" Type="http://schemas.openxmlformats.org/officeDocument/2006/relationships/externalLink" Target="externalLinks/externalLink30.xml"/><Relationship Id="rId77" Type="http://schemas.openxmlformats.org/officeDocument/2006/relationships/externalLink" Target="externalLinks/externalLink51.xml"/><Relationship Id="rId100" Type="http://schemas.openxmlformats.org/officeDocument/2006/relationships/externalLink" Target="externalLinks/externalLink74.xml"/><Relationship Id="rId105" Type="http://schemas.openxmlformats.org/officeDocument/2006/relationships/externalLink" Target="externalLinks/externalLink79.xml"/><Relationship Id="rId126" Type="http://schemas.openxmlformats.org/officeDocument/2006/relationships/externalLink" Target="externalLinks/externalLink100.xml"/><Relationship Id="rId147" Type="http://schemas.openxmlformats.org/officeDocument/2006/relationships/externalLink" Target="externalLinks/externalLink121.xml"/><Relationship Id="rId168" Type="http://schemas.openxmlformats.org/officeDocument/2006/relationships/externalLink" Target="externalLinks/externalLink14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72" Type="http://schemas.openxmlformats.org/officeDocument/2006/relationships/externalLink" Target="externalLinks/externalLink46.xml"/><Relationship Id="rId93" Type="http://schemas.openxmlformats.org/officeDocument/2006/relationships/externalLink" Target="externalLinks/externalLink67.xml"/><Relationship Id="rId98" Type="http://schemas.openxmlformats.org/officeDocument/2006/relationships/externalLink" Target="externalLinks/externalLink72.xml"/><Relationship Id="rId121" Type="http://schemas.openxmlformats.org/officeDocument/2006/relationships/externalLink" Target="externalLinks/externalLink95.xml"/><Relationship Id="rId142" Type="http://schemas.openxmlformats.org/officeDocument/2006/relationships/externalLink" Target="externalLinks/externalLink116.xml"/><Relationship Id="rId163" Type="http://schemas.openxmlformats.org/officeDocument/2006/relationships/externalLink" Target="externalLinks/externalLink137.xml"/><Relationship Id="rId184" Type="http://schemas.openxmlformats.org/officeDocument/2006/relationships/externalLink" Target="externalLinks/externalLink158.xml"/><Relationship Id="rId189" Type="http://schemas.openxmlformats.org/officeDocument/2006/relationships/externalLink" Target="externalLinks/externalLink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41.xml"/><Relationship Id="rId116" Type="http://schemas.openxmlformats.org/officeDocument/2006/relationships/externalLink" Target="externalLinks/externalLink90.xml"/><Relationship Id="rId137" Type="http://schemas.openxmlformats.org/officeDocument/2006/relationships/externalLink" Target="externalLinks/externalLink111.xml"/><Relationship Id="rId158" Type="http://schemas.openxmlformats.org/officeDocument/2006/relationships/externalLink" Target="externalLinks/externalLink13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36.xml"/><Relationship Id="rId83" Type="http://schemas.openxmlformats.org/officeDocument/2006/relationships/externalLink" Target="externalLinks/externalLink57.xml"/><Relationship Id="rId88" Type="http://schemas.openxmlformats.org/officeDocument/2006/relationships/externalLink" Target="externalLinks/externalLink62.xml"/><Relationship Id="rId111" Type="http://schemas.openxmlformats.org/officeDocument/2006/relationships/externalLink" Target="externalLinks/externalLink85.xml"/><Relationship Id="rId132" Type="http://schemas.openxmlformats.org/officeDocument/2006/relationships/externalLink" Target="externalLinks/externalLink106.xml"/><Relationship Id="rId153" Type="http://schemas.openxmlformats.org/officeDocument/2006/relationships/externalLink" Target="externalLinks/externalLink127.xml"/><Relationship Id="rId174" Type="http://schemas.openxmlformats.org/officeDocument/2006/relationships/externalLink" Target="externalLinks/externalLink148.xml"/><Relationship Id="rId179" Type="http://schemas.openxmlformats.org/officeDocument/2006/relationships/externalLink" Target="externalLinks/externalLink153.xml"/><Relationship Id="rId195" Type="http://schemas.openxmlformats.org/officeDocument/2006/relationships/styles" Target="styles.xml"/><Relationship Id="rId190" Type="http://schemas.openxmlformats.org/officeDocument/2006/relationships/externalLink" Target="externalLinks/externalLink164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31.xml"/><Relationship Id="rId106" Type="http://schemas.openxmlformats.org/officeDocument/2006/relationships/externalLink" Target="externalLinks/externalLink80.xml"/><Relationship Id="rId127" Type="http://schemas.openxmlformats.org/officeDocument/2006/relationships/externalLink" Target="externalLinks/externalLink10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52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47.xml"/><Relationship Id="rId78" Type="http://schemas.openxmlformats.org/officeDocument/2006/relationships/externalLink" Target="externalLinks/externalLink52.xml"/><Relationship Id="rId94" Type="http://schemas.openxmlformats.org/officeDocument/2006/relationships/externalLink" Target="externalLinks/externalLink68.xml"/><Relationship Id="rId99" Type="http://schemas.openxmlformats.org/officeDocument/2006/relationships/externalLink" Target="externalLinks/externalLink73.xml"/><Relationship Id="rId101" Type="http://schemas.openxmlformats.org/officeDocument/2006/relationships/externalLink" Target="externalLinks/externalLink75.xml"/><Relationship Id="rId122" Type="http://schemas.openxmlformats.org/officeDocument/2006/relationships/externalLink" Target="externalLinks/externalLink96.xml"/><Relationship Id="rId143" Type="http://schemas.openxmlformats.org/officeDocument/2006/relationships/externalLink" Target="externalLinks/externalLink117.xml"/><Relationship Id="rId148" Type="http://schemas.openxmlformats.org/officeDocument/2006/relationships/externalLink" Target="externalLinks/externalLink122.xml"/><Relationship Id="rId164" Type="http://schemas.openxmlformats.org/officeDocument/2006/relationships/externalLink" Target="externalLinks/externalLink138.xml"/><Relationship Id="rId169" Type="http://schemas.openxmlformats.org/officeDocument/2006/relationships/externalLink" Target="externalLinks/externalLink143.xml"/><Relationship Id="rId185" Type="http://schemas.openxmlformats.org/officeDocument/2006/relationships/externalLink" Target="externalLinks/externalLink15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4.xml"/><Relationship Id="rId26" Type="http://schemas.openxmlformats.org/officeDocument/2006/relationships/worksheet" Target="worksheets/sheet2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78441</xdr:colOff>
      <xdr:row>84</xdr:row>
      <xdr:rowOff>67236</xdr:rowOff>
    </xdr:from>
    <xdr:ext cx="3824007" cy="3059205"/>
    <xdr:pic>
      <xdr:nvPicPr>
        <xdr:cNvPr id="2" name="Picture 1">
          <a:extLst>
            <a:ext uri="{FF2B5EF4-FFF2-40B4-BE49-F238E27FC236}">
              <a16:creationId xmlns="" xmlns:a16="http://schemas.microsoft.com/office/drawing/2014/main" id="{782EAE4A-2D07-451A-A20A-2BBFF135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14697636"/>
          <a:ext cx="3824007" cy="30592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0</xdr:col>
      <xdr:colOff>78441</xdr:colOff>
      <xdr:row>12</xdr:row>
      <xdr:rowOff>67236</xdr:rowOff>
    </xdr:from>
    <xdr:ext cx="3824007" cy="3059205"/>
    <xdr:pic>
      <xdr:nvPicPr>
        <xdr:cNvPr id="3" name="Picture 2">
          <a:extLst>
            <a:ext uri="{FF2B5EF4-FFF2-40B4-BE49-F238E27FC236}">
              <a16:creationId xmlns="" xmlns:a16="http://schemas.microsoft.com/office/drawing/2014/main" id="{9E01799B-319E-4A75-8AA4-A2277FE7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2261796"/>
          <a:ext cx="3824007" cy="30592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0</xdr:col>
      <xdr:colOff>78441</xdr:colOff>
      <xdr:row>152</xdr:row>
      <xdr:rowOff>67236</xdr:rowOff>
    </xdr:from>
    <xdr:ext cx="3824007" cy="3059205"/>
    <xdr:pic>
      <xdr:nvPicPr>
        <xdr:cNvPr id="4" name="Picture 3">
          <a:extLst>
            <a:ext uri="{FF2B5EF4-FFF2-40B4-BE49-F238E27FC236}">
              <a16:creationId xmlns="" xmlns:a16="http://schemas.microsoft.com/office/drawing/2014/main" id="{B2E5E387-50C2-4A25-A22B-D1B97052F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23841636"/>
          <a:ext cx="3824007" cy="30592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0</xdr:col>
      <xdr:colOff>78441</xdr:colOff>
      <xdr:row>200</xdr:row>
      <xdr:rowOff>67236</xdr:rowOff>
    </xdr:from>
    <xdr:ext cx="3824007" cy="3059205"/>
    <xdr:pic>
      <xdr:nvPicPr>
        <xdr:cNvPr id="5" name="Picture 4">
          <a:extLst>
            <a:ext uri="{FF2B5EF4-FFF2-40B4-BE49-F238E27FC236}">
              <a16:creationId xmlns="" xmlns:a16="http://schemas.microsoft.com/office/drawing/2014/main" id="{E0B79DDC-4275-4BCF-BD80-CB9FAF3DE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32985636"/>
          <a:ext cx="3824007" cy="30592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0</xdr:col>
      <xdr:colOff>78441</xdr:colOff>
      <xdr:row>44</xdr:row>
      <xdr:rowOff>67236</xdr:rowOff>
    </xdr:from>
    <xdr:ext cx="3824007" cy="3059205"/>
    <xdr:pic>
      <xdr:nvPicPr>
        <xdr:cNvPr id="13" name="Picture 12">
          <a:extLst>
            <a:ext uri="{FF2B5EF4-FFF2-40B4-BE49-F238E27FC236}">
              <a16:creationId xmlns="" xmlns:a16="http://schemas.microsoft.com/office/drawing/2014/main" id="{DFAAE199-6861-4B5C-A077-99A252913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2385893"/>
          <a:ext cx="3824007" cy="30592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0</xdr:col>
      <xdr:colOff>78441</xdr:colOff>
      <xdr:row>233</xdr:row>
      <xdr:rowOff>67236</xdr:rowOff>
    </xdr:from>
    <xdr:ext cx="3824007" cy="3059205"/>
    <xdr:pic>
      <xdr:nvPicPr>
        <xdr:cNvPr id="16" name="Picture 15">
          <a:extLst>
            <a:ext uri="{FF2B5EF4-FFF2-40B4-BE49-F238E27FC236}">
              <a16:creationId xmlns="" xmlns:a16="http://schemas.microsoft.com/office/drawing/2014/main" id="{DE5E787C-B900-40E3-B184-6D930CAB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39571493"/>
          <a:ext cx="3824007" cy="30592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0</xdr:col>
      <xdr:colOff>78441</xdr:colOff>
      <xdr:row>265</xdr:row>
      <xdr:rowOff>67236</xdr:rowOff>
    </xdr:from>
    <xdr:ext cx="3824007" cy="3059205"/>
    <xdr:pic>
      <xdr:nvPicPr>
        <xdr:cNvPr id="17" name="Picture 16">
          <a:extLst>
            <a:ext uri="{FF2B5EF4-FFF2-40B4-BE49-F238E27FC236}">
              <a16:creationId xmlns="" xmlns:a16="http://schemas.microsoft.com/office/drawing/2014/main" id="{7A68E2E9-300B-4DDA-B13A-EF5CDF895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50576950"/>
          <a:ext cx="3824007" cy="30592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483577</xdr:colOff>
      <xdr:row>0</xdr:row>
      <xdr:rowOff>210414</xdr:rowOff>
    </xdr:from>
    <xdr:to>
      <xdr:col>17</xdr:col>
      <xdr:colOff>483577</xdr:colOff>
      <xdr:row>1</xdr:row>
      <xdr:rowOff>294294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 flipV="1">
          <a:off x="8036902" y="210414"/>
          <a:ext cx="0" cy="369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483577</xdr:colOff>
      <xdr:row>1</xdr:row>
      <xdr:rowOff>286967</xdr:rowOff>
    </xdr:from>
    <xdr:to>
      <xdr:col>20</xdr:col>
      <xdr:colOff>81354</xdr:colOff>
      <xdr:row>1</xdr:row>
      <xdr:rowOff>286967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036902" y="572717"/>
          <a:ext cx="10455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79888</xdr:colOff>
      <xdr:row>0</xdr:row>
      <xdr:rowOff>201621</xdr:rowOff>
    </xdr:from>
    <xdr:to>
      <xdr:col>20</xdr:col>
      <xdr:colOff>79888</xdr:colOff>
      <xdr:row>1</xdr:row>
      <xdr:rowOff>285501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CxnSpPr/>
      </xdr:nvCxnSpPr>
      <xdr:spPr>
        <a:xfrm flipV="1">
          <a:off x="9081013" y="201621"/>
          <a:ext cx="0" cy="369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525987</xdr:colOff>
      <xdr:row>0</xdr:row>
      <xdr:rowOff>146538</xdr:rowOff>
    </xdr:from>
    <xdr:to>
      <xdr:col>20</xdr:col>
      <xdr:colOff>31087</xdr:colOff>
      <xdr:row>0</xdr:row>
      <xdr:rowOff>148126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8079312" y="146538"/>
          <a:ext cx="9529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533400</xdr:colOff>
      <xdr:row>0</xdr:row>
      <xdr:rowOff>146538</xdr:rowOff>
    </xdr:from>
    <xdr:to>
      <xdr:col>17</xdr:col>
      <xdr:colOff>533400</xdr:colOff>
      <xdr:row>1</xdr:row>
      <xdr:rowOff>131885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CxnSpPr/>
      </xdr:nvCxnSpPr>
      <xdr:spPr>
        <a:xfrm flipV="1">
          <a:off x="8086725" y="146538"/>
          <a:ext cx="0" cy="27109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26377</xdr:colOff>
      <xdr:row>0</xdr:row>
      <xdr:rowOff>145072</xdr:rowOff>
    </xdr:from>
    <xdr:to>
      <xdr:col>20</xdr:col>
      <xdr:colOff>26377</xdr:colOff>
      <xdr:row>1</xdr:row>
      <xdr:rowOff>130419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CxnSpPr/>
      </xdr:nvCxnSpPr>
      <xdr:spPr>
        <a:xfrm flipV="1">
          <a:off x="9027502" y="145072"/>
          <a:ext cx="0" cy="27109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Bandara\BQ%20HANGGAR%20NEW\Analisa%20Strukt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ELLEZA\Revisi%202\2001\AMBASADOR\BQ-10%20MECH%2010-11-2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PROYEK\1.%20BLISS%20PARK\2_QS\bliss\01_Budgeting\DIPAKAI\PENAWARAN%20JALAN%20BOLEVARD\file:\User\d\TEMPO\lintec-sumic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%20File\KDM%20II\Budget\RAB\project\yutaka\MECHANICAL-ts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ANLS\REKAPANALIS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ch_Breakdown_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analisa-DSPN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no\D\Documents%20and%20Settings\All%20Users\Documents\BQ%20Psr%20Jatinegara%20M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waldi\YOWALDI%20(E)\Kantor\Graha%20Jakpro\Sheraton-rev1a\BQ%20Sherat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Kondominium\mediterania_garden_2\analisa_mgr_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iawan\EE%20Utara%201007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admin\AppData\Local\Temp\DATA%20SANTOSO\TH.2012%20KOMP\09.RSAB\struktur%20ramp\PEKERJAAN%20BASEMENT%2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risno%20Adi%20Susilo\Downloads\20091203%20spek%20material%20kasana%20r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h%20bar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D\Downloads\Request%20for%20Information%20-%209%20Feb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TA%20SARANA%20PRATAMA%20('DUSANT')\022.%20(WIN)%20Tanggamus%20New%20Drawing\05.%20Data%20Proyek%20Berjalan\05.%20Material\Material%20Control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udio2\c\isnaini\pondok%20dadap\hitung\pdk%20dadap%20bar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udio15\fitri\FITRI\data%20proyek%20RAB\mojokerto\Poliklinik%20Cikko\Surabaya\BKMM\BKMM,All%20240304%20U%20STV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t0_0n\d\F_TEJA%20ROBERT\AGUS%20WIJAYA\DWI%20R%202%20JUNI%202006%20FILE%20FIX\8.%20PASAR%20PONCOL\RAP%20PONCOL%2016%2003%2007%20(0.850%20M%20B1%20KOMPLIT)\RAB%20%20BLOK%20~%20B_PRASARANA_PU_PAS_Harsat_SK.MEI%2022-05-06_Baru_44000_28-02-2007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ADI\Rab-Rap-IC-Total-(15670)-Ws-031204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%20ra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%202012\sunter%20icon\Users\Titan\Documents\Microsoft%20User%20Data\Office%202011%20AutoRecovery\Monofilament%20Renovation-ALT-1%20R1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essa\backup\Cdesign_1\Balisani\Klarifikasi\Review%20Klarifikasi\BQrev2.%20H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dekan\C\DATA%204\My%20Documents\Excel%20Sruktur%20200705\Struktur%20Aquatik%202007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yek\P3p\KUMUH\Laporan\WS-A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Proyek\SP3071%20HCMI\250701%20Transformer%20-%20HCM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Q\Maya%20Ubud\Contract\Main%20building\BQ\MAYA-UBUD-II\BOQ%20MAYA%20UBUD%20-%20MAIN%20BUILDING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lson\C\PROJECT\RELOKASI%20PLTG\FINAL\FADLI-ABUBAKA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ta_nt1\bq\BQ\99-952\SEKONGKANG\E20-02Guest%20Hous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van\c%20irvan\My%20Documents\Backup%20hardisk%20franky\FRANKY\EVALUASI%20GD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ratus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Volume_1\PROJECT\SUT%20BOJONEGORO\RAB%20KARANTINA%20JOGYA\RAB%20PRODUCT\Analis%20ME%2009090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Mall\Plaza%20Pondok%20Gede\RAB%20PLAZA%20PDGED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udio15\fitri\PRIGI\My%20Documents\JALAN&amp;PARKIR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W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702-BPK%20Penabur\Pulauintan%20Est\omni%20disket%20baru\D'BACH\Gandhi\Gandhi%20Bali\Volume%20GANDI%20BAL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FAD1BEA\4-QUARRY.WK4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proyek\Th-2002\0208\bq-ruko\final-wkc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admin\AppData\Local\Temp\DATA%20SANTOSO\TH.2012%20KOMP\09.RSAB\struktur%20ramp\RAB%20RAMP%20RSAB%20asli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Kantor\ACC%20Astra%20Final\Rawa%20Bunga\BQ-ke%20dev-Jun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opy%20of%20BQ-List.Elek.HYD.AC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royek\Ged%20Kanwil%20MTO,%20KPP%20MTO%20Dan%20KPP%20Menteng%203\Kanwil%20MTO,%20KPP%20MTO%20Dan%20KPP%20Menteng%203%20(Paket%202)\Review%20(RAB)\POP\PERDAGANGAN%20LANJUTAN\RAB%20LANJUTAN\RAB%20Mei_2006\RAB%20STRUKTUR%20LANJUTAN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ANLS\ANA-REKAP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gede\C\bq-psr%20banto\BQ-ST.AR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\2013\auto%202000\TABANAN-2\TENDER%20ULANG%20DP%20+%20PDC\BQ\Penawaran-3\PT%20DFN%20BQ%20Depo%20Part%2031072012%20UPDATE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v\My%20Documents\PROYEK%20P3KT\PROYEK%20TUBAN\JALAN\PROYEK%20NGAJUK\NGANJUK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HDR%20FILE\PROJECT\AMARIS\PROGRES\DOCUME~1\ACERTR~1\LOCALS~1\Temp\Rar$DI00.969\%3cNULL-DRIVE!%3e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RSUD%20MAD%20ME%20MAST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gas\BAGAS\PaNTAi%20IndAH%20KApUK\BQ\RAB-AVENTINO%201025%20-SBIP-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data%20(d)\BQ%202007\BQ%20elektrikal%202007(%2024%20jan%202007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yek\Embung-Progo\Rab-Embung-Progo-Rev01\WIDYA%20SATRIA-Rev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bk\darmo\Documents%20and%20Settings\POWER\My%20Documents\ME\Rosnia\Proyek\Sumber%20Jaya\Madiun\RSUD%20Madiun-m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HDR%20FILE\PROJECT\AMARIS\PROGRES\PROJECT%202003\The%20Manhattan%20&amp;%20Office%20Hotel\BQ-ME-Pl%20&amp;%20FF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@_MUST_LIE_Q\@@PROJECT_LEEKEE\@MAIN-CO\@WASKITA\THE%20REGATTA%20PLUIT\BOQ\BQ%20Pre-Tende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JS\PROYEK\MANHATTAN\ME\BQ\BQ%20FINAL\BQ-FINA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bk\darmo\Documents%20and%20Settings\POWER\My%20Documents\ME\INDAH\OTHER\Balik%20Papan\Balik%20Papan\Rosnia\Proyek\Sumber%20Jaya\Madiun\RSUD%20Madiun-m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ce%20list%20of%20Fa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UK-ME-WORK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MISC\DO-HUONG\GT-BO\TKTC10-8\phong%20nen\DT-THL7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DR%20FILE\AMARIS\bq%20amaris\bq%20amaris\UPI%20KANTOR%20PUSAT\RAB%20EKSTERN\Documents%20and%20Settings\WinXp\Local%20Settings\Temp\Brimob%20cost%20plan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HDR%20FILE\PROJECT\AMARIS\PROGRES\DOCUME~1\Victor\LOCALS~1\Temp\DOCUME~1\Victor\LOCALS~1\Temp\2001\ITC_Kuningan\BQ-ITC%20Kuninga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CT%20KONVENSIONAL\PROJECT%202010\Proyek%20RSCM-PKIA\New%20Data%2003032011\Project%20Drawing\TITIP%20SANTOS\05.rab%20tahap%201%20paket%202%20ahs%202009%20UNTK%20CCO%20rev\TENDER\PGCililitan\EV%20GROC%20CIL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DR%20FILE\AMARIS\bq%20amaris\bq%20amaris\Documents%20and%20Settings\PT%20SPEEDJAYA%20UTAMA\My%20Documents\edi\fif\WINDOWS\TEMP\Copy%20of%20BQ-List.Elek.HYD.AC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nec\AppData\Local\Microsoft\Windows\Temporary%20Internet%20Files\Content.Outlook\VIE9Q772\Documents%20and%20Settings\user\My%20Documents\STD\TENDER-TENDER\BINA%20MARGA\APBN%202005\OE\PAKET-PALUH2005\OEpaluh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Victor\LOCALS~1\Temp\DOCUME~1\Victor\LOCALS~1\Temp\2001\ITC_Bandung\ITC_BDG_Mechanica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y%20Documents\budget\justificatio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ah\PROYEK\An%20ME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TC%20DEPOK\HENDRICK.S\KEPALA%20GADING%20GAJAH\polisi%20baja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MANHATHAN\RAB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FORM-BQ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00server\denki-setubi\Documents%20and%20Settings\All%20Users\Documents\&#12491;&#12481;&#12450;&#12473;&#34311;&#24030;\&#26989;&#32773;&#35211;&#31309;0120&#22793;&#26356;\SNI_BQ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DR%20FILE\AMARIS\bq%20amaris\bq%20amaris\UPI%20KANTOR%20PUSAT\RAB%20EKSTERN\Pearl%20Garden\Struktur\04\20\BQ\PEK.%20PONDASI\BQ%20Final%20Doc\BQ%20PONDASI%20&amp;%20SOLDIER%20PILE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Kantor\BNI%20Aceh\BQ=VOL%20BNI%20ACEH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us_server\e\kenyo\SAMARINDA\P'SIAPN%20SAMARINDA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-PTPN-X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tie\C\DATA2%20RAB%20PITI%20DLL\data%20proyek%20RAB\cituis\RAB%20Cituis%20dipakai\RAB%20PASAR%20LEGI%20MUSHOLLA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pRevPasarNad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waldi\YOWALDI%20(E)\Kantor\Graha%20Jakpro\Kantor\Mahkamah%20Konst\BQ%20STR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ni\erni\2000\Mercure\Bq-Merc-el0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kecil\D\tender\LA_PIAZZA_STR_ARS_FINAL\ANALISA-AR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osnia\Proyek\Sumber%20Jaya\Madiun\RSUD%20Madiun-m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abang-3\Tahun%202007\Anggaran%20Gedung%20(Str%20&amp;%20Arst)\Direct%20Cost%20&amp;%20Finalisasi\IAIN%20SYARIF%20HIDAYATULLAH\BOQ%20SEPARO%20OPT%20AANWJ\BQ%20ME\02\02\bqprice\Me-prc\Penj-totall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TA\WINDOWS\Local%20Settings\Temporary%20Internet%20Files\Content.IE5\4HAFSLYF\351BQMCN(2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HDR%20FILE\PROJECT\AMARIS\PROGRES\DOCUME~1\Victor\LOCALS~1\Temp\DOCUME~1\Victor\LOCALS~1\Temp\PROYEK\proyek\Th-2002\0208\bq-ruko\final-wkc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qirq\My%20Documents\Town%20House%20Project\Town%20houses\RAB%2065\My%20Documents\DONI\My%20Documents\Riki\PN\Mal%20Diamond\diamond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Pro\Kota%20Delta%20Mas\KDM21\Rks-RAB\REDWOOD-A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GROSIRT.ABANG\BILL%20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DATA-REF\report\TUBAN-REQ_CONTENT-GSK-BLN-MIS-A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waldi\YOWALDI%20(E)\Kantor\Graha%20Jakpro\Niaga-2%20Rev.1\BQ%20Niag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fian\c\Master%20Form-%20X\FormX%20BPPN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aku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s\aris\WINDOWS\Desktop\24\POIN'S\pindah%20fire%20fightin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tur\project%2003\Erni\Erni%202003\Bekasi%20Trade%20Centre\BQ-Rev-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k3\data%20(d)\gong%202005\Copy%20of%20smu%20ngonib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lson\c\DATA\Project%202004\Power%20Plan-Cilegon\File%20IBRD\Schedule\Schedule%20Intern%20Rev%200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udi\Mr.%20Beben%2019\tahun%202007\Rab_Manggala\ket\P.%20Perencanaan%20Depok\Perhitungan%20Perencanaan\PROYEK~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4\c\2000\RIAU\Tampil\BILL%20DPRD%20RIAU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OYEK%20BINA%20MARGA\PROYEK%20WONOKROMO\MLIRIP-LEGUNDI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-CHS\Shared%20Files\project\yutaka\MECHANICAL-tsrt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GABYTE\Gigabyte2\Gigabyte\Harga\00%20REKAP%20HARGA\Analisa%20Biaya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Windows%20XP\Application%20Data\Microsoft\Excel\Documents%20and%20Settings\Wanet%2013\Local%20Settings\Temp\Tj.%20Pati-Lb.%20Bangku\DC%20Tj.Pati-Lb.Bangku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%20File\KDM%20II\Budget\RAB\Proyek\SP3082%20Hero%20PIM\020201%20HERO%20PIM%20R2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Lonsum\bill\Analisa_str_ars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DR%20FILE\AMARIS\bq%20amaris\bq%20amaris\Data%20Rokhib\TENDER%202006\Latumeten%20City\BOQ%20LATUMENTEN%20CITYR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KP%20PL-1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DR%20FILE\AMARIS\bq%20amaris\bq%20amaris\UPI%20KANTOR%20PUSAT\RAB%20EKSTERN\Data\PEMBIAYAAN%20QS\HITUNGAN%20BEKISTING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HDR%20FILE\PROJECT\AMARIS\PROGRES\DOCUME~1\Victor\LOCALS~1\Temp\DOCUME~1\Victor\LOCALS~1\Temp\Div~QS\Daan%20Mogot\Ruko%20Daan%20Mogot%20R2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HDR%20FILE\PROJECT\AMARIS\PROGRES\WINDOWS\TEMP\Copy%20of%20BQ-List.Elek.HYD.AC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Citra%20Super%20Mall%20Batam\waty\menara%20masindo\Menara%20masindo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us\zay\Senayan%20City\BQR3\ANALISA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EMBUNG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waldi\YOWALDI%20(E)\Kantor\Graha%20Jakpro\BQ-Menteng%20Offic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gede\C\Kantor\Rawa%20Bunga\Analisa%20PEKERJAAN%20%20STRUKTUR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js-dev105\c-mjs-dev105\DOCUME~1\hartati\LOCALS~1\Temp\analisa_ars_fwa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12%20Mabes%2012%20Lt%20(%20TNCC%20)\Mabes%20-%20TNCC%20(%20perhitungan%20bersama%20)\84%20(%20finish-louser%20)\Tender\RSUD-BA\BQ-RSUD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ee\joko-me\ye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BUARI\PROYEK%202003\PAJAK\TCR%2002\MADIUN%20'02\GROSIR\RAB%20GROSIR%20'02%20(ALTERNATIF%2010)%20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TAM\Proyek\BLISS%20PARK\QS\06_VE_VO\VO_BLisspark\Yahya\yahya_share\My%20Documents\Proyek\SP%20Pasar%20Baru-Bandung\Proyek\SP%20Sport%20Center%20Gading%20Serpong\120601Sport%20Center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TAM\Proyek\BLISS%20PARK\QS\06_VE_VO\VO_BLisspark\Lucia\share_ls\My%20Documents\Proyek\310801Pabrik%20PT%20Rehau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0610-Royal%20Kuningan%20Jakarta\Kantor\ACC%20Astra%20Final\BQ%20ACC%20TB%20Simatupang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gede\C\Cristal-tower\Hotel-anyer-rev0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ARTHA%20GDING\BQ-OWN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Copy%20of%20RSUD%20Mad%20THP%20IV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Project%202006\Bali%20GWK\CostPlan\GWK.ME-Pre.Cost%20Plan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Victor\LOCALS~1\Temp\DOCUME~1\Victor\LOCALS~1\Temp\2001\ITC_Kuningan\BQ-ITC%20Kuningan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WANTI\PROYEK%202012\9.RUMAH\1.%20RUMAH%20MATARAM\5.RAB\2.%2025%20MARET%202013\WORK\BudiTan\RABSTRARSMERUMAHINDRA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DUSANT/047.%20Pakuwon%20Indah%20ABD-7%20(Sudarsono)/02.%20RAB/R0/Balok%20Pakuwon%20Indah%20ABD-7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rive\DUSANT\047.%20Pakuwon%20Indah%20ABD-7%20(Sudarsono)\02.%20RAB\Balok%20Pakuwon%20Indah%20ABD-7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DISPND\anlis-dc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gh\ACH\Metha\BQ\GII%20Dago\RAB%20GII%20Dago-ok-%20FULL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idiet%2008\PAMA\PAMA%20Muara%20Teweh\Jembatan\project\grand%20wisata\JICT\BoQ%20C4%20REV%202%20Dec%2016%2004.rel%20pusat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aty\residence%20struktur%20atas\Data\Matraman\Bq-01%20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IME%20SHEET%20KITA-KITA\Standard\staff\RIDA\STRUKTUR\Data\PENAWARAN\KUJANG\Kujang%20Cost%20Breakdown-rev1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CT%20KONVENSIONAL\PROJECT%202010\Proyek%20RSCM-PKIA\New%20Data%2003032011\Kantor\Grha%20Energi\Graha%20Energi%20Rev.2\BQ-Graha%20Energi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EDUNG\Ponorogo\Progo-PL\Rap\RAB-RAP%20WS%20PASAR%20LEGI%20revnad%20neg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-MAIL%20KE%20DICK%20ARNAN\EI%20Doc%201995-2000\Citra%20Gran\Genset\Diesel%20genset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gas\BAGAS\FrEsH%20MarKEt%20PIK\ANALISA_FINAL_CTC(1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-aji\aji\mabes\Rkk\84%20(%20finish-otis%20)\Tender\RSUD-BA\BQ-RSUD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v\My%20Documents\PROYEK%20P3KT\PROYEK%20TUBAN\JALAN\TUBA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-%20DEPT\Percetakan%20Gramedia%20Surabaya\RAB\bill-sip%20(1)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DAH\OTHER\Balik%20Papan\Balik%20Papan\Rosnia\Proyek\Sumber%20Jaya\Madiun\RSUD%20Madiun-me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asty\nisp\BQ%20Pintu\proyek\9903\bq\bq-ars\BQ-PS&amp;A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tempat%20titip\priarsi\plumbon\DC-plumbon_cirebn13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Victor\LOCALS~1\Temp\DOCUME~1\Victor\LOCALS~1\Temp\2001\AMBASADOR\Bqplrev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ny\jfp%20(f)\2.1%20Proposal\2.1%20Dharma%20Deli%20Hotel\mmc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AHUN%202016\4.%20TENDER%202016\0027.%20SHOWROOM%20&amp;%20HOTEL%20BINTANG%203\6.%20Penawaran\SPH-2\BQ%20Showroom%20Honda%20&amp;%20Premier%20Inn%20SPH-2a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Volume_1\NEW%20RAB%20RSU%20GAMBIRAN\00.%20ANALISA%20SNI%20VER.%20PU%20KDR.%20AGT2008%20(PJ)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Dusant/2428%20-%20GRAHA%20VC-25%20-%20CHRISTIAN/ongoing/RAP%20Graha%20Famili%20VC-25.xlsx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DUSANT/047.%20Pakuwon%20Indah%20ABD-7%20(Sudarsono)/02.%20RAB/R0/Retaining%20Wall%20Pakuwon%20Indah%20ABD-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board"/>
      <sheetName val="Sub Gardu"/>
      <sheetName val="Rekap (3)"/>
      <sheetName val="Rekap (2)"/>
      <sheetName val="Rekap"/>
      <sheetName val="Struktur"/>
      <sheetName val="Arsitektur"/>
      <sheetName val="Mekanikal"/>
      <sheetName val="Elektrikal final"/>
      <sheetName val="Elektronika Final"/>
      <sheetName val="F. Parkir"/>
      <sheetName val="Harga satuan"/>
      <sheetName val="An.Ars"/>
      <sheetName val="Analisa"/>
      <sheetName val="daftar mat"/>
      <sheetName val="daftar alat"/>
      <sheetName val="Upah borong"/>
      <sheetName val="Dashboard Baja ttp"/>
      <sheetName val="harsat"/>
      <sheetName val="GRAND REKAP"/>
      <sheetName val="Materi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Fill this out first___"/>
      <sheetName val="update"/>
      <sheetName val="EPB"/>
      <sheetName val="BQ ARS"/>
      <sheetName val="A"/>
      <sheetName val="H.Satuan"/>
      <sheetName val="Cover"/>
      <sheetName val="ESCON"/>
      <sheetName val="SUM"/>
      <sheetName val="BQ-10 MECH 10-11-2000"/>
      <sheetName val="HB"/>
      <sheetName val="플랜트 설치"/>
      <sheetName val="LOADDAT"/>
      <sheetName val="proyek"/>
      <sheetName val="BQJKL"/>
      <sheetName val="BQM1"/>
      <sheetName val="BAG-2"/>
      <sheetName val="Rekap Direct Cost"/>
      <sheetName val="Steel-Twr"/>
      <sheetName val="K_TambahAC"/>
      <sheetName val="K_TambahFH"/>
      <sheetName val="valve_16k"/>
      <sheetName val="Ana_duct"/>
      <sheetName val="Hsd_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AC"/>
      <sheetName val="lintec-sumicon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Fill this out first___"/>
      <sheetName val="Cover Daf-2"/>
      <sheetName val="CAT_HAR"/>
      <sheetName val="Bill of Qty MEP"/>
      <sheetName val="I-KAMAR"/>
      <sheetName val="I_KAMAR"/>
      <sheetName val="Cash Flow bulanan"/>
      <sheetName val="#REF"/>
      <sheetName val="Unit_Rate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Fill_this_out_first___"/>
      <sheetName val="BAG-2"/>
      <sheetName val="Cover"/>
      <sheetName val="Daftar Upah"/>
      <sheetName val="harsat"/>
      <sheetName val="H.Satuan"/>
      <sheetName val="DSBDY"/>
      <sheetName val="NAMES"/>
      <sheetName val="4-Basic Price"/>
      <sheetName val="DAF-1"/>
      <sheetName val="PRD 01-7"/>
      <sheetName val="PRD 01-8"/>
      <sheetName val="PRD 01-9"/>
      <sheetName val="PRD 01-10"/>
      <sheetName val="PRD 01-11"/>
      <sheetName val="PRD 01-3"/>
      <sheetName val="PRD 01-4"/>
      <sheetName val="Material"/>
      <sheetName val="RAB AR&amp;STR"/>
      <sheetName val="GSMTOWER"/>
      <sheetName val="BQ-E20-02(Rp)"/>
      <sheetName val="RAB T-95 BK"/>
      <sheetName val="GTS I PS"/>
      <sheetName val="FINISHING"/>
      <sheetName val="SUM 200"/>
      <sheetName val="Pers"/>
      <sheetName val="HM"/>
      <sheetName val="Bahan"/>
      <sheetName val="HRG BHN"/>
      <sheetName val="HB "/>
      <sheetName val="COVERUSRP"/>
      <sheetName val="SITE"/>
      <sheetName val="ESCOND"/>
      <sheetName val="BQUSRP"/>
      <sheetName val="EE-PROP"/>
      <sheetName val="HARGA MATERIAL"/>
      <sheetName val="Mat"/>
      <sheetName val="JAD-PEL"/>
      <sheetName val="Isolasi Luar Dalam"/>
      <sheetName val="Isolasi Luar"/>
      <sheetName val="Analisa STR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NET表"/>
      <sheetName val="BQ表"/>
      <sheetName val="DAFTAR 7"/>
      <sheetName val="Kuantitas &amp; Harga"/>
      <sheetName val="Estimate"/>
      <sheetName val=" Rencana Vol per Section"/>
      <sheetName val="Div2"/>
      <sheetName val="LOADDAT"/>
      <sheetName val="Fill this out first..."/>
      <sheetName val="Tabel Berat"/>
      <sheetName val="STRUKTUR"/>
      <sheetName val="JKT (2)"/>
      <sheetName val="Markup"/>
      <sheetName val="TS"/>
      <sheetName val="L-Mechanical"/>
      <sheetName val="Faktor"/>
      <sheetName val="Plafond"/>
      <sheetName val="SITE-E"/>
      <sheetName val="STR"/>
      <sheetName val="Sheet1"/>
      <sheetName val="351BQMCN"/>
      <sheetName val="Analisa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NET?"/>
      <sheetName val="BQ?"/>
      <sheetName val="Prelim"/>
      <sheetName val="RAB"/>
      <sheetName val="struktur tdk dipakai"/>
      <sheetName val="NET_"/>
      <sheetName val="BQ_"/>
      <sheetName val="Urai _Resap pengikat"/>
      <sheetName val="index"/>
      <sheetName val="rekap ahs"/>
      <sheetName val="rekap-bialat"/>
      <sheetName val="CODE"/>
      <sheetName val="24V"/>
      <sheetName val="an. struktur"/>
      <sheetName val="Dashboard"/>
      <sheetName val="Currency Rate"/>
      <sheetName val="AHSbj"/>
      <sheetName val="Isolasi_Luar_Dalam"/>
      <sheetName val="Isolasi_Luar"/>
      <sheetName val="VLOOKUP"/>
      <sheetName val="TOTAL"/>
      <sheetName val="villa"/>
      <sheetName val="01A- RAB"/>
      <sheetName val="Panel,feeder,elek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L1"/>
      <sheetName val="PL2"/>
      <sheetName val="PL3"/>
      <sheetName val="PL4"/>
      <sheetName val="HRG_BHN"/>
      <sheetName val="HB_"/>
      <sheetName val="HARGA_MATERIAL"/>
      <sheetName val="SAT-BHN"/>
      <sheetName val="TJ1Q47"/>
      <sheetName val="Sch"/>
      <sheetName val="INPUT DATAS"/>
      <sheetName val="H. Satuan"/>
      <sheetName val="AHS. Keg"/>
      <sheetName val="plumbing"/>
      <sheetName val="Quantity"/>
      <sheetName val="Duc-3"/>
      <sheetName val="플랜트 설치"/>
      <sheetName val="Bahan upah"/>
      <sheetName val="BQ ARS"/>
      <sheetName val="TABEL BAJA"/>
      <sheetName val="Piping"/>
      <sheetName val="____"/>
      <sheetName val="Elec-ins"/>
      <sheetName val="Summary"/>
      <sheetName val="Memb Schd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BQ-Str"/>
      <sheetName val="DAF-9"/>
      <sheetName val="DAF-2"/>
      <sheetName val="AnalisaSIPIL RIIL"/>
      <sheetName val="TOWN"/>
      <sheetName val="tb. besi"/>
      <sheetName val="tulang"/>
      <sheetName val="upah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L_TIGA"/>
      <sheetName val="L-TIGA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HARGA MATERIAL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NDA1"/>
      <sheetName val="DISPNDA2"/>
      <sheetName val="KUJANG"/>
      <sheetName val="ALAT"/>
      <sheetName val="PERTMINA"/>
      <sheetName val="arsRSUPKU"/>
      <sheetName val="REKAP"/>
      <sheetName val="POMALA"/>
      <sheetName val="BKPM"/>
      <sheetName val="LAPIAZ"/>
      <sheetName val="ARST.ABANG"/>
      <sheetName val="MANHATTAN"/>
      <sheetName val="T.ABANG"/>
      <sheetName val="ARTAGDING"/>
      <sheetName val="PAKUBWONO"/>
      <sheetName val="BELAGIO"/>
      <sheetName val="BIJAMBI"/>
      <sheetName val="SENTUL"/>
      <sheetName val="SEMANAN"/>
      <sheetName val="PEKERJAAN"/>
      <sheetName val="UPAH"/>
      <sheetName val="BAHAN"/>
      <sheetName val="ALAT+BANTU"/>
      <sheetName val="BEKASI"/>
      <sheetName val="GTCMAKASAR"/>
      <sheetName val="MANGGA2"/>
      <sheetName val="MALARTA.GD"/>
      <sheetName val="TARAKAN"/>
      <sheetName val="SUN"/>
      <sheetName val="PGC"/>
      <sheetName val="Sat Bah &amp; Up"/>
      <sheetName val="T_ABANG"/>
      <sheetName val="harsat"/>
      <sheetName val="S.UPAH"/>
      <sheetName val="S.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Rate"/>
      <sheetName val="Unit Price M"/>
      <sheetName val="Elektrikal"/>
      <sheetName val="ES-aLL"/>
      <sheetName val="price"/>
      <sheetName val="FINISHING"/>
      <sheetName val="REF.ONLY"/>
      <sheetName val="Mech_Breakdown_Formula"/>
      <sheetName val="escon"/>
      <sheetName val="Analisa SNI STANDART "/>
      <sheetName val="REQDELTA"/>
      <sheetName val="Material"/>
      <sheetName val="Upah"/>
      <sheetName val="REF_ONLY"/>
      <sheetName val="Currency_Rate"/>
      <sheetName val="Unit_Price_M"/>
      <sheetName val="DAF-2"/>
      <sheetName val="An Arsitektur"/>
      <sheetName val="Unit Rate (2)"/>
      <sheetName val="BANGUNAN PENUNJANG"/>
      <sheetName val="Analisa_SNI_STANDART_"/>
      <sheetName val="TOWN"/>
      <sheetName val="ARSITEKTUR"/>
      <sheetName val="STRUKTUR"/>
      <sheetName val="Cover Daf_2"/>
      <sheetName val="Rekap Direct Cost"/>
      <sheetName val="satuan_pek_ars"/>
      <sheetName val="Analisa"/>
      <sheetName val="dasboard"/>
      <sheetName val="Rkp"/>
      <sheetName val="Str"/>
      <sheetName val="概総括1"/>
      <sheetName val="NET表"/>
      <sheetName val="BQ表"/>
      <sheetName val="SITE-E"/>
      <sheetName val="Kolom UT"/>
      <sheetName val="Bill of Qty MEP"/>
      <sheetName val="I_KAMAR"/>
      <sheetName val="D &amp; W sizes"/>
      <sheetName val="Bahan "/>
      <sheetName val="Pekerjaan "/>
      <sheetName val="plumbing"/>
      <sheetName val="REF_ONLY1"/>
      <sheetName val="An_Arsitektur"/>
      <sheetName val="Unit_Rate_(2)"/>
      <sheetName val="Currency_Rate1"/>
      <sheetName val="Unit_Price_M1"/>
      <sheetName val="REF_ONLY2"/>
      <sheetName val="Analisa_SNI_STANDART_1"/>
      <sheetName val="An_Arsitektur1"/>
      <sheetName val="Unit_Rate_(2)1"/>
      <sheetName val="HRG BHN"/>
      <sheetName val="Analisa Upah &amp; Bahan Plum"/>
      <sheetName val="Kuantitas &amp; Harga"/>
      <sheetName val="Peralatan"/>
      <sheetName val="Basic Price"/>
      <sheetName val="BQ"/>
      <sheetName val="I-KAMAR"/>
      <sheetName val="Bldg"/>
      <sheetName val="Bill rekap"/>
      <sheetName val="Cash Flow bulanan"/>
      <sheetName val="Cover"/>
      <sheetName val="TOWER D"/>
      <sheetName val="Rekap"/>
      <sheetName val="Currency_Rate2"/>
      <sheetName val="Unit_Price_M2"/>
      <sheetName val="REF_ONLY3"/>
      <sheetName val="Analisa_SNI_STANDART_2"/>
      <sheetName val="An_Arsitektur2"/>
      <sheetName val="Unit_Rate_(2)2"/>
      <sheetName val="BANGUNAN_PENUNJANG"/>
      <sheetName val="index"/>
      <sheetName val="BQ_ME"/>
      <sheetName val="analisa Str"/>
      <sheetName val="Mall"/>
      <sheetName val="Alat Kerja"/>
      <sheetName val="Daf 1"/>
      <sheetName val="Estimate"/>
      <sheetName val="H.Satuan"/>
      <sheetName val="villa"/>
      <sheetName val="#REF!"/>
      <sheetName val="Hrg.Sat"/>
      <sheetName val="Bunga"/>
      <sheetName val="SAP"/>
      <sheetName val=" anal hrg sat"/>
      <sheetName val="PO-2"/>
      <sheetName val="mat_me pipa"/>
      <sheetName val="DAF_2"/>
      <sheetName val="5.2.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-ALT"/>
      <sheetName val="Ahs.1"/>
      <sheetName val="Ahs.2"/>
      <sheetName val="Koef"/>
      <sheetName val="Analisa  (2)"/>
      <sheetName val="Bahan"/>
      <sheetName val="304_06"/>
      <sheetName val="PPC"/>
      <sheetName val="Harsat"/>
      <sheetName val="Metode"/>
      <sheetName val="Analisa DMPU"/>
      <sheetName val="Deep Well"/>
      <sheetName val="Pek Luar"/>
      <sheetName val="Parkir"/>
      <sheetName val="???1"/>
      <sheetName val="NET?"/>
      <sheetName val="BQ?"/>
      <sheetName val="LISTRIK"/>
      <sheetName val="anal"/>
      <sheetName val="BQ-E20-02(Rp)"/>
      <sheetName val="Cover Daf-2"/>
      <sheetName val="Breakdown"/>
      <sheetName val="Rate"/>
      <sheetName val="metode "/>
      <sheetName val="HSD"/>
      <sheetName val="RAB-SPL2"/>
      <sheetName val="OFFICE 2 LT"/>
      <sheetName val="Penjumlahan"/>
      <sheetName val="upahbahan"/>
      <sheetName val="A"/>
      <sheetName val="___1"/>
      <sheetName val="NET_"/>
      <sheetName val="BQ_"/>
      <sheetName val="Bill 2 Summary"/>
      <sheetName val="prime coal"/>
      <sheetName val="REKAP REV.SHARING"/>
      <sheetName val="OP. ALAT"/>
      <sheetName val="OP. PERJAM"/>
      <sheetName val="B. PERSONIL"/>
      <sheetName val="KAN. LOKAL"/>
      <sheetName val="Pricing"/>
      <sheetName val="Perm. Test"/>
      <sheetName val="Markup"/>
      <sheetName val="Anls"/>
      <sheetName val="HB "/>
      <sheetName val="Cover1"/>
      <sheetName val="DAF-1"/>
      <sheetName val="Pt"/>
      <sheetName val="mu"/>
      <sheetName val="RAB"/>
      <sheetName val="Master 1.0"/>
      <sheetName val="Analisa (me)"/>
      <sheetName val="B"/>
      <sheetName val="Volume"/>
      <sheetName val="BAG-2"/>
      <sheetName val="L-Mechanical"/>
      <sheetName val="sex"/>
      <sheetName val="Cover (x)"/>
      <sheetName val="Cor Apt"/>
      <sheetName val="VAC-1"/>
      <sheetName val="FORM X COST"/>
      <sheetName val="BAG_2"/>
      <sheetName val="RFP003"/>
      <sheetName val="RFP007"/>
      <sheetName val="RFP004"/>
      <sheetName val="RFP009"/>
      <sheetName val="tifico"/>
      <sheetName val="An Struktur"/>
      <sheetName val="RFP006"/>
      <sheetName val="RFP002"/>
      <sheetName val="Piping"/>
      <sheetName val="Elec_ins"/>
      <sheetName val="Duc-3"/>
      <sheetName val="Duc_3"/>
      <sheetName val="sort2"/>
      <sheetName val="Currency_Rate4"/>
      <sheetName val="Unit_Price_M4"/>
      <sheetName val="REF_ONLY5"/>
      <sheetName val="Analisa_SNI_STANDART_4"/>
      <sheetName val="An_Arsitektur4"/>
      <sheetName val="Unit_Rate_(2)4"/>
      <sheetName val="BANGUNAN_PENUNJANG3"/>
      <sheetName val="manhour"/>
      <sheetName val="BANGUNAN_PENUNJANG1"/>
      <sheetName val="Currency_Rate3"/>
      <sheetName val="Unit_Price_M3"/>
      <sheetName val="REF_ONLY4"/>
      <sheetName val="Analisa_SNI_STANDART_3"/>
      <sheetName val="An_Arsitektur3"/>
      <sheetName val="Unit_Rate_(2)3"/>
      <sheetName val="BANGUNAN_PENUNJANG2"/>
      <sheetName val="Cash_Flow_bulan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"/>
      <sheetName val="Pekerjaan_"/>
      <sheetName val="Cover_Daf_2"/>
      <sheetName val="Rekap_Direct_Cost"/>
      <sheetName val="D_&amp;_W_sizes"/>
      <sheetName val="Kuantitas_&amp;_Harga"/>
      <sheetName val="Basic_Price"/>
      <sheetName val="Kolom_UT"/>
      <sheetName val="Bill_of_Qty_MEP"/>
      <sheetName val="Bill_rekap"/>
      <sheetName val="Currency_Rate5"/>
      <sheetName val="Unit_Price_M5"/>
      <sheetName val="REF_ONLY6"/>
      <sheetName val="Analisa_SNI_STANDART_5"/>
      <sheetName val="An_Arsitektur5"/>
      <sheetName val="Unit_Rate_(2)5"/>
      <sheetName val="BANGUNAN_PENUNJANG4"/>
      <sheetName val="Cash_Flow_bulanan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1"/>
      <sheetName val="Pekerjaan_1"/>
      <sheetName val="Cover_Daf_21"/>
      <sheetName val="Rekap_Direct_Cost1"/>
      <sheetName val="D_&amp;_W_sizes1"/>
      <sheetName val="Kuantitas_&amp;_Harga1"/>
      <sheetName val="Basic_Price1"/>
      <sheetName val="Kolom_UT1"/>
      <sheetName val="Bill_of_Qty_MEP1"/>
      <sheetName val="Bill_rekap1"/>
      <sheetName val="An_Struktur4"/>
      <sheetName val="Currency_Rate6"/>
      <sheetName val="Unit_Price_M6"/>
      <sheetName val="REF_ONLY7"/>
      <sheetName val="Analisa_SNI_STANDART_6"/>
      <sheetName val="An_Arsitektur6"/>
      <sheetName val="Unit_Rate_(2)6"/>
      <sheetName val="BANGUNAN_PENUNJANG5"/>
      <sheetName val="Cash_Flow_bulanan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Bahan_2"/>
      <sheetName val="Pekerjaan_2"/>
      <sheetName val="Cover_Daf_22"/>
      <sheetName val="Rekap_Direct_Cost2"/>
      <sheetName val="D_&amp;_W_sizes2"/>
      <sheetName val="Kuantitas_&amp;_Harga2"/>
      <sheetName val="Basic_Price2"/>
      <sheetName val="Kolom_UT2"/>
      <sheetName val="Bill_of_Qty_MEP2"/>
      <sheetName val="Bill_rekap2"/>
      <sheetName val="RAB AR&amp;STR"/>
      <sheetName val="struktur tdk dipakai"/>
      <sheetName val="Har-mat"/>
      <sheetName val="Hargamat"/>
      <sheetName val="_anal_hrg_sat"/>
      <sheetName val="Hrg_Sat"/>
      <sheetName val="Breakdown Architecture"/>
      <sheetName val="共機計算"/>
      <sheetName val="共機J"/>
      <sheetName val="3.5 STR PH-2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 refreshError="1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/>
      <sheetData sheetId="234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.BAHAN"/>
      <sheetName val="ANLS-struktur&amp;ars"/>
      <sheetName val="ANALISA-RAB"/>
      <sheetName val="S.UPAH"/>
      <sheetName val="BAG-III"/>
      <sheetName val="S_BAHAN"/>
      <sheetName val="S_UPAH"/>
      <sheetName val="bau"/>
      <sheetName val="GAJI"/>
      <sheetName val="REKAP"/>
      <sheetName val="Elektrikal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RECAP TOTAL"/>
      <sheetName val="RECAP"/>
      <sheetName val="PERSIAPAN130208"/>
      <sheetName val="VAC130208"/>
      <sheetName val="PL130208"/>
      <sheetName val="PK130208"/>
      <sheetName val="EL130208"/>
      <sheetName val="EC130208"/>
      <sheetName val="GenseT130208"/>
      <sheetName val="Penyambungan PLN"/>
      <sheetName val="Cov.AHS"/>
      <sheetName val="Ahs.1"/>
      <sheetName val="Ahs.2"/>
      <sheetName val="Ahs_1"/>
      <sheetName val="Ahs_2"/>
      <sheetName val="BQ"/>
      <sheetName val="Currency Rate"/>
      <sheetName val="ESCON"/>
      <sheetName val="Peralatan"/>
      <sheetName val="Cover"/>
      <sheetName val="DAFTAR HARGA"/>
      <sheetName val="Analisa Harga Satuan"/>
      <sheetName val="DB_ET200(R. A)"/>
      <sheetName val="AC"/>
      <sheetName val="Cover Daf-2"/>
      <sheetName val="Cover Daf_2"/>
      <sheetName val="Volume"/>
      <sheetName val="#REF!"/>
      <sheetName val="DAF-2"/>
      <sheetName val="REF.ONLY"/>
      <sheetName val="Analisa &amp; Upah"/>
      <sheetName val="SAP"/>
      <sheetName val="Harga ME "/>
      <sheetName val="A"/>
      <sheetName val="Plat"/>
      <sheetName val="Material"/>
      <sheetName val="K"/>
      <sheetName val="Analisa 2"/>
      <sheetName val="Bangunan Utama"/>
      <sheetName val="bahan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>
        <row r="1149">
          <cell r="I1149">
            <v>34568800</v>
          </cell>
          <cell r="N1149">
            <v>3475150</v>
          </cell>
        </row>
        <row r="1163">
          <cell r="L1163">
            <v>3289020</v>
          </cell>
        </row>
        <row r="1189">
          <cell r="J1189">
            <v>959000</v>
          </cell>
        </row>
        <row r="1202">
          <cell r="I1202">
            <v>1260000</v>
          </cell>
        </row>
        <row r="1271">
          <cell r="L1271">
            <v>125720</v>
          </cell>
        </row>
      </sheetData>
      <sheetData sheetId="13" refreshError="1">
        <row r="54">
          <cell r="L54">
            <v>4207000</v>
          </cell>
        </row>
        <row r="313">
          <cell r="L313">
            <v>1867740000</v>
          </cell>
        </row>
        <row r="334">
          <cell r="L334">
            <v>210910</v>
          </cell>
        </row>
        <row r="387">
          <cell r="L387">
            <v>14056000</v>
          </cell>
        </row>
        <row r="495">
          <cell r="L495">
            <v>275590</v>
          </cell>
        </row>
        <row r="519">
          <cell r="L519">
            <v>358330</v>
          </cell>
        </row>
        <row r="525">
          <cell r="L525">
            <v>366310000</v>
          </cell>
        </row>
        <row r="554">
          <cell r="L554">
            <v>156590</v>
          </cell>
        </row>
        <row r="625">
          <cell r="L625">
            <v>255850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nga"/>
      <sheetName val="dasboard"/>
      <sheetName val="Sheet1"/>
      <sheetName val="Rekap 2"/>
      <sheetName val="Rekap"/>
      <sheetName val="Prel"/>
      <sheetName val="P.Tanah"/>
      <sheetName val="R.Struktur"/>
      <sheetName val="P.Struktur"/>
      <sheetName val="R.Arsitektur"/>
      <sheetName val="R.lantai"/>
      <sheetName val="lantai"/>
      <sheetName val="R.Plafond"/>
      <sheetName val="Plafond"/>
      <sheetName val="R.Dinding"/>
      <sheetName val="Dinding"/>
      <sheetName val="R.Pintu"/>
      <sheetName val="Pintu"/>
      <sheetName val="R.Sanitair"/>
      <sheetName val="Sanitair"/>
      <sheetName val="R.Railing"/>
      <sheetName val="Railing"/>
      <sheetName val="R Guest"/>
      <sheetName val="R.Standard"/>
      <sheetName val="Standard room"/>
      <sheetName val="R.Handicapped"/>
      <sheetName val="Handicapped"/>
      <sheetName val="R.Yunior A"/>
      <sheetName val="Yunior A"/>
      <sheetName val="R.Yunior B"/>
      <sheetName val="Yunior B"/>
      <sheetName val="R.GMS"/>
      <sheetName val="GMS"/>
      <sheetName val="R.Executive"/>
      <sheetName val="Executive"/>
      <sheetName val="R.Tower"/>
      <sheetName val="tower"/>
      <sheetName val="R.President"/>
      <sheetName val="President"/>
      <sheetName val="R.Royal"/>
      <sheetName val="Royal"/>
      <sheetName val="P.Luar"/>
      <sheetName val="ana-sani"/>
      <sheetName val="ana-str"/>
      <sheetName val="ana-ars"/>
      <sheetName val="hs-str"/>
      <sheetName val="hs-ars"/>
      <sheetName val="ana-pre"/>
      <sheetName val="Alat"/>
      <sheetName val="hs_str"/>
      <sheetName val="Hargama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 STR"/>
      <sheetName val="Bahan"/>
      <sheetName val="FORM X COST"/>
      <sheetName val="harsat"/>
      <sheetName val="H.Satuan"/>
      <sheetName val="H-BHN"/>
      <sheetName val="Plumbing"/>
      <sheetName val="Manpower"/>
      <sheetName val="Equipt,Tools&amp;Cons"/>
      <sheetName val="CAT_5"/>
      <sheetName val="Daftar 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sat"/>
      <sheetName val="ana_str"/>
      <sheetName val="ana_ars"/>
      <sheetName val="resume"/>
      <sheetName val="upah"/>
      <sheetName val="upah_borong"/>
      <sheetName val="satuan_alat"/>
      <sheetName val="satuan_pek_str"/>
      <sheetName val="satuan_pek_ars"/>
      <sheetName val="dewatering"/>
      <sheetName val="Harga satuan"/>
      <sheetName val="Rekap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ASP"/>
      <sheetName val="Rekap ME Utara"/>
      <sheetName val="Master ME Utara"/>
      <sheetName val="Daftar Jenis Material Utara"/>
      <sheetName val="304_06"/>
      <sheetName val="Cash Flow bulanan"/>
      <sheetName val="H.Satuan"/>
      <sheetName val="I-KAMAR"/>
      <sheetName val="ESCO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.2"/>
      <sheetName val="RKP"/>
      <sheetName val="---"/>
      <sheetName val="esco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Spec Str"/>
    </sheetNames>
    <sheetDataSet>
      <sheetData sheetId="0">
        <row r="2">
          <cell r="A2" t="str">
            <v>SPESIFIKASI  BAHAN - BAHAN  MATERIAL DAN PEKERJAAN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FORM X COST"/>
      <sheetName val="Bill rekap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BQ_STRUKTUR"/>
      <sheetName val="HB "/>
      <sheetName val="Rincian"/>
      <sheetName val="I-KAMAR"/>
      <sheetName val="I_KAMAR"/>
      <sheetName val="anal"/>
      <sheetName val="VAC-1"/>
      <sheetName val="r.tank"/>
      <sheetName val="prelim"/>
      <sheetName val="H.Satuan"/>
      <sheetName val="ESCON"/>
      <sheetName val="Urai _Resap pengikat"/>
      <sheetName val="Bill_1_VAC_Supply_A"/>
      <sheetName val=" "/>
      <sheetName val="내역표지"/>
      <sheetName val="TOWN"/>
      <sheetName val="Material"/>
      <sheetName val="listplank"/>
      <sheetName val="sanitary"/>
      <sheetName val="instalasi air bersih"/>
      <sheetName val="instalasi air kotor_bekas"/>
      <sheetName val="paving"/>
      <sheetName val="AC"/>
      <sheetName val="PROTECTION "/>
      <sheetName val="daffin"/>
      <sheetName val="Hrg.Sat"/>
      <sheetName val="TJ1Q47"/>
      <sheetName val="RAB MEK 15 M MB "/>
      <sheetName val="Menu"/>
      <sheetName val="Daf Harga"/>
      <sheetName val="Bill"/>
      <sheetName val="Rekap Bill"/>
      <sheetName val="An_ Harga"/>
      <sheetName val="Rekap Addendum"/>
      <sheetName val="SAP"/>
      <sheetName val="D_6"/>
      <sheetName val="D_7"/>
      <sheetName val="Bill.1.VAC-Supply-A"/>
      <sheetName val="jadw"/>
      <sheetName val="BQ"/>
      <sheetName val="ANALISA"/>
      <sheetName val="harga bahan"/>
      <sheetName val="harga "/>
      <sheetName val="ttn"/>
      <sheetName val="AHS"/>
      <sheetName val="Rate"/>
      <sheetName val="STR"/>
      <sheetName val="TOTAL RKP "/>
      <sheetName val="Rekapitulasi"/>
      <sheetName val="Sheet9"/>
      <sheetName val="RAB_KL"/>
      <sheetName val="Rekap RAB_Amd"/>
      <sheetName val="RAB_Amd"/>
      <sheetName val="REKAP_Dftr_Kuan_Hrg_Amd"/>
      <sheetName val="Dftr_Kuan_Hrg Amd"/>
      <sheetName val="Rekap"/>
      <sheetName val="ahs_utama"/>
      <sheetName val="boq"/>
      <sheetName val="UPAH&amp;BHN"/>
      <sheetName val="Py.Schedule"/>
      <sheetName val="TE TS FA LAN MATV"/>
      <sheetName val="Mat.Mek"/>
      <sheetName val="Duct"/>
      <sheetName val="OHD"/>
      <sheetName val="ahsAC"/>
      <sheetName val="Basic Price"/>
      <sheetName val="s-curve BP05 (7)"/>
      <sheetName val="HASAT"/>
      <sheetName val="SAT-BHN"/>
      <sheetName val="Split"/>
      <sheetName val="Mitsubishi"/>
      <sheetName val="61004"/>
      <sheetName val="61005"/>
      <sheetName val="61006"/>
      <sheetName val="61007"/>
      <sheetName val="61008"/>
      <sheetName val="A"/>
      <sheetName val="bau"/>
      <sheetName val="UPH,BHN,ALT"/>
      <sheetName val="Analis harga"/>
      <sheetName val="Chiller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I"/>
      <sheetName val="Request for Information - 9 Feb"/>
    </sheetNames>
    <definedNames>
      <definedName name="_CH27..H27___C_"/>
      <definedName name="_CH29..H29___C_"/>
      <definedName name="FSB"/>
      <definedName name="FST"/>
      <definedName name="HAJIME"/>
      <definedName name="OWARI"/>
    </defined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si"/>
      <sheetName val="Pipa PVC"/>
      <sheetName val="Beton Readymix"/>
      <sheetName val="Batako"/>
      <sheetName val="Kayu &amp; Multipleks"/>
      <sheetName val="Semen Pasir Kerikil"/>
      <sheetName val="Material Control"/>
    </sheetNames>
    <definedNames>
      <definedName name="_alt1" refersTo="#REF!"/>
      <definedName name="_APP3" refersTo="#REF!"/>
      <definedName name="_CH27..H27___C_"/>
      <definedName name="_CH29..H29___C_"/>
      <definedName name="_tsI3" refersTo="#REF!"/>
      <definedName name="alat" refersTo="#REF!"/>
      <definedName name="alooo" refersTo="#REF!"/>
      <definedName name="App" refersTo="#REF!"/>
      <definedName name="aproval" refersTo="#REF!"/>
      <definedName name="biaya" refersTo="#REF!"/>
      <definedName name="book" refersTo="#REF!"/>
      <definedName name="book2" refersTo="#REF!"/>
      <definedName name="book3" refersTo="#REF!"/>
      <definedName name="g" refersTo="#REF!"/>
      <definedName name="haha" refersTo="#REF!"/>
      <definedName name="HAIII" refersTo="#REF!"/>
      <definedName name="helo" refersTo="#REF!"/>
      <definedName name="IMA" refersTo="#REF!"/>
      <definedName name="MA" refersTo="#REF!"/>
      <definedName name="Nusagolfres" refersTo="#REF!"/>
      <definedName name="pas" refersTo="#REF!"/>
      <definedName name="pompa" refersTo="#REF!"/>
      <definedName name="RECORD" refersTo="#REF!"/>
      <definedName name="Record1" refersTo="#REF!"/>
      <definedName name="Record10" refersTo="#REF!"/>
      <definedName name="Record11" refersTo="#REF!"/>
      <definedName name="Record12" refersTo="#REF!"/>
      <definedName name="Record13" refersTo="#REF!"/>
      <definedName name="Record14" refersTo="#REF!"/>
      <definedName name="Record15" refersTo="#REF!"/>
      <definedName name="Record16" refersTo="#REF!"/>
      <definedName name="Record17" refersTo="#REF!"/>
      <definedName name="Record18" refersTo="#REF!"/>
      <definedName name="Record19" refersTo="#REF!"/>
      <definedName name="Record2" refersTo="#REF!"/>
      <definedName name="Record20" refersTo="#REF!"/>
      <definedName name="Record21" refersTo="#REF!"/>
      <definedName name="Record22" refersTo="#REF!"/>
      <definedName name="Record23" refersTo="#REF!"/>
      <definedName name="Record3" refersTo="#REF!"/>
      <definedName name="Record4" refersTo="#REF!"/>
      <definedName name="Record5" refersTo="#REF!"/>
      <definedName name="Record6" refersTo="#REF!"/>
      <definedName name="Record7" refersTo="#REF!"/>
      <definedName name="Record8" refersTo="#REF!"/>
      <definedName name="Record9" refersTo="#REF!"/>
      <definedName name="red" refersTo="#REF!"/>
      <definedName name="RESD" refersTo="#REF!"/>
      <definedName name="SA" refersTo="#REF!"/>
      <definedName name="SUGENG" refersTo="#REF!"/>
      <definedName name="th" refersTo="#REF!"/>
      <definedName name="umu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itungan"/>
      <sheetName val="atap tpi"/>
      <sheetName val="kawsan"/>
      <sheetName val="revetment"/>
      <sheetName val="turap"/>
      <sheetName val="TPI"/>
      <sheetName val="tandon atas"/>
      <sheetName val="GUDANG ES BARU"/>
      <sheetName val="gudang es"/>
      <sheetName val="saluran"/>
      <sheetName val="tangga"/>
      <sheetName val="atap gudang es"/>
      <sheetName val="tb. besi"/>
      <sheetName val="tb_ be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7">
          <cell r="H7">
            <v>0.39500000000000002</v>
          </cell>
        </row>
        <row r="8">
          <cell r="H8">
            <v>0.6166666666666667</v>
          </cell>
        </row>
        <row r="15">
          <cell r="H15">
            <v>1.04</v>
          </cell>
        </row>
        <row r="16">
          <cell r="H16">
            <v>1.58</v>
          </cell>
        </row>
      </sheetData>
      <sheetData sheetId="1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t.BKMM"/>
      <sheetName val="tulang"/>
      <sheetName val="anls.tulg"/>
      <sheetName val="Sheet1"/>
      <sheetName val="EST"/>
      <sheetName val="Rekap"/>
      <sheetName val="Rinci"/>
      <sheetName val="ME"/>
      <sheetName val="anls.harga"/>
      <sheetName val="harga"/>
      <sheetName val="huruf"/>
      <sheetName val="hit_BKMM"/>
    </sheetNames>
    <sheetDataSet>
      <sheetData sheetId="0" refreshError="1"/>
      <sheetData sheetId="1" refreshError="1">
        <row r="10">
          <cell r="H10">
            <v>1.58</v>
          </cell>
        </row>
        <row r="17">
          <cell r="H17">
            <v>2.23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I_KAMAR"/>
      <sheetName val="Genset"/>
      <sheetName val="Fill this out first___"/>
      <sheetName val="SAP"/>
      <sheetName val="RAB"/>
      <sheetName val="BQJlnWH3"/>
      <sheetName val="BQWH3"/>
      <sheetName val="Steel-Twr"/>
      <sheetName val="BQ"/>
      <sheetName val="LOADDAT"/>
      <sheetName val="S.UPAH"/>
      <sheetName val="S.BAHAN"/>
      <sheetName val="Bahan"/>
      <sheetName val="BAG-III"/>
      <sheetName val="tulang"/>
      <sheetName val="hit.BKMM"/>
      <sheetName val="FORM-0"/>
      <sheetName val="Anal"/>
      <sheetName val="RAB-NEGO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_Satuan"/>
      <sheetName val="DHS AC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D _ W sizes"/>
      <sheetName val="INDEX"/>
      <sheetName val="harsat_upah"/>
      <sheetName val="Anal Alat BID"/>
      <sheetName val="Rekapitulasi"/>
      <sheetName val="Cover Daf-2"/>
      <sheetName val="Fill this out first___"/>
      <sheetName val="Fill this out first..."/>
      <sheetName val="Elektrikal"/>
      <sheetName val="BOQ-Indonesia"/>
      <sheetName val="HSD"/>
      <sheetName val="Pipe"/>
      <sheetName val="Cover"/>
      <sheetName val="Cash Flow bulanan"/>
      <sheetName val="lanscap_All"/>
      <sheetName val="Ana. PU"/>
      <sheetName val="PLUMBING"/>
      <sheetName val="ESCON"/>
      <sheetName val="GEDUNG-A"/>
      <sheetName val="HRG BHN"/>
      <sheetName val="QTO-11P"/>
      <sheetName val="Har Sat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-S"/>
      <sheetName val="Sat-Rap"/>
      <sheetName val="FormRap"/>
      <sheetName val="Rap"/>
      <sheetName val="Hit-Bng-Rab"/>
      <sheetName val="Rek-Rab-Non-Bng"/>
      <sheetName val="Rab-Non-Bng"/>
      <sheetName val="Rek-Rab2M-Bng-Ws"/>
      <sheetName val="Rab2M-Bng-Ws"/>
      <sheetName val="Rek-RabTot-2M-Ws OK"/>
      <sheetName val="RabTot-2M-Ws OK"/>
      <sheetName val="Rek-RabTot-Ws"/>
      <sheetName val="RabTot-Ws"/>
      <sheetName val="Anal"/>
      <sheetName val="Sat-Rab"/>
      <sheetName val="Rek-RabTot-19M-2M-Ws"/>
      <sheetName val="Sat-Pek-Rab"/>
      <sheetName val="analisa"/>
      <sheetName val="bhn"/>
      <sheetName val="harga dasar"/>
      <sheetName val="FAK"/>
      <sheetName val="Harsat"/>
      <sheetName val="Sat_Rap"/>
      <sheetName val="#REF!"/>
      <sheetName val="OH-10BLN"/>
    </sheetNames>
    <sheetDataSet>
      <sheetData sheetId="0"/>
      <sheetData sheetId="1" refreshError="1">
        <row r="13">
          <cell r="F13">
            <v>120000</v>
          </cell>
        </row>
        <row r="15">
          <cell r="F15">
            <v>165</v>
          </cell>
        </row>
        <row r="18">
          <cell r="F18">
            <v>286000</v>
          </cell>
        </row>
        <row r="23">
          <cell r="F23">
            <v>15100</v>
          </cell>
        </row>
        <row r="24">
          <cell r="F24">
            <v>24175</v>
          </cell>
        </row>
        <row r="25">
          <cell r="F25">
            <v>37740</v>
          </cell>
        </row>
        <row r="26">
          <cell r="F26">
            <v>54570</v>
          </cell>
        </row>
        <row r="29">
          <cell r="F29">
            <v>66875</v>
          </cell>
        </row>
        <row r="30">
          <cell r="F30">
            <v>101650</v>
          </cell>
        </row>
        <row r="31">
          <cell r="F31">
            <v>143380</v>
          </cell>
        </row>
        <row r="32">
          <cell r="F32">
            <v>193320</v>
          </cell>
        </row>
        <row r="42">
          <cell r="F42">
            <v>1800000</v>
          </cell>
        </row>
        <row r="43">
          <cell r="F43">
            <v>2200000</v>
          </cell>
        </row>
        <row r="44">
          <cell r="F44">
            <v>2400000</v>
          </cell>
        </row>
        <row r="45">
          <cell r="F45">
            <v>800000</v>
          </cell>
        </row>
        <row r="46">
          <cell r="F46">
            <v>115000</v>
          </cell>
        </row>
        <row r="55">
          <cell r="F55">
            <v>40000</v>
          </cell>
        </row>
        <row r="60">
          <cell r="F60">
            <v>26125.000000000004</v>
          </cell>
        </row>
        <row r="61">
          <cell r="F61">
            <v>17325</v>
          </cell>
        </row>
        <row r="71">
          <cell r="F71">
            <v>4500</v>
          </cell>
        </row>
        <row r="72">
          <cell r="F72">
            <v>44800</v>
          </cell>
        </row>
        <row r="73">
          <cell r="F73">
            <v>21600</v>
          </cell>
        </row>
        <row r="76">
          <cell r="F76">
            <v>23500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anls.beton"/>
      <sheetName val="upah"/>
      <sheetName val="harga"/>
      <sheetName val="Kuantitas &amp; Harga"/>
      <sheetName val="Peralatan"/>
      <sheetName val="4-Basic Price"/>
      <sheetName val="D7(1)"/>
    </sheetNames>
    <sheetDataSet>
      <sheetData sheetId="0"/>
      <sheetData sheetId="1"/>
      <sheetData sheetId="2" refreshError="1">
        <row r="12">
          <cell r="E12">
            <v>12500</v>
          </cell>
        </row>
        <row r="18">
          <cell r="E18">
            <v>2500</v>
          </cell>
        </row>
      </sheetData>
      <sheetData sheetId="3" refreshError="1">
        <row r="20">
          <cell r="F20">
            <v>9500</v>
          </cell>
        </row>
        <row r="25">
          <cell r="F25">
            <v>69200</v>
          </cell>
        </row>
        <row r="37">
          <cell r="F37">
            <v>6000</v>
          </cell>
        </row>
        <row r="38">
          <cell r="F38">
            <v>8750</v>
          </cell>
        </row>
        <row r="39">
          <cell r="F39">
            <v>9500</v>
          </cell>
        </row>
        <row r="47">
          <cell r="F47">
            <v>662687</v>
          </cell>
        </row>
        <row r="55">
          <cell r="F55">
            <v>26575</v>
          </cell>
        </row>
        <row r="86">
          <cell r="F86">
            <v>4900</v>
          </cell>
        </row>
        <row r="92">
          <cell r="F92">
            <v>57750</v>
          </cell>
        </row>
        <row r="93">
          <cell r="F93">
            <v>114000</v>
          </cell>
        </row>
        <row r="94">
          <cell r="F94">
            <v>175000</v>
          </cell>
        </row>
        <row r="95">
          <cell r="F95">
            <v>77750</v>
          </cell>
        </row>
        <row r="103">
          <cell r="F103">
            <v>12200</v>
          </cell>
        </row>
        <row r="106">
          <cell r="F106">
            <v>1200000</v>
          </cell>
        </row>
        <row r="109">
          <cell r="F109">
            <v>800000</v>
          </cell>
        </row>
        <row r="112">
          <cell r="F112">
            <v>750000</v>
          </cell>
        </row>
        <row r="114">
          <cell r="F114">
            <v>500000</v>
          </cell>
        </row>
        <row r="117">
          <cell r="F117">
            <v>111000</v>
          </cell>
        </row>
        <row r="118">
          <cell r="F118">
            <v>41500</v>
          </cell>
        </row>
        <row r="119">
          <cell r="F119">
            <v>40000</v>
          </cell>
        </row>
        <row r="120">
          <cell r="F120">
            <v>45000</v>
          </cell>
        </row>
        <row r="130">
          <cell r="F130">
            <v>11000</v>
          </cell>
        </row>
        <row r="175">
          <cell r="F175">
            <v>19675</v>
          </cell>
        </row>
        <row r="176">
          <cell r="F176">
            <v>7675</v>
          </cell>
        </row>
        <row r="180">
          <cell r="F180">
            <v>67000</v>
          </cell>
        </row>
        <row r="181">
          <cell r="F181">
            <v>89000</v>
          </cell>
        </row>
        <row r="192">
          <cell r="F192">
            <v>177000</v>
          </cell>
        </row>
        <row r="194">
          <cell r="F194">
            <v>40000</v>
          </cell>
        </row>
        <row r="195">
          <cell r="F195">
            <v>81000</v>
          </cell>
        </row>
        <row r="234">
          <cell r="F234">
            <v>14600</v>
          </cell>
        </row>
        <row r="235">
          <cell r="F235">
            <v>8750</v>
          </cell>
        </row>
        <row r="267">
          <cell r="F267">
            <v>248000</v>
          </cell>
        </row>
        <row r="286">
          <cell r="F286">
            <v>32000</v>
          </cell>
        </row>
        <row r="287">
          <cell r="F287">
            <v>42500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-ME"/>
      <sheetName val="Cost- comparison"/>
      <sheetName val="Review-items"/>
      <sheetName val="G-1 "/>
      <sheetName val="PS"/>
      <sheetName val="Comparison sheet"/>
      <sheetName val="SUMMARY"/>
      <sheetName val="A-PREP.1"/>
      <sheetName val="B-STR.1"/>
      <sheetName val="C-FIN.1"/>
      <sheetName val="D-PREP.2"/>
      <sheetName val="E-PREP.3"/>
      <sheetName val="F-STR.2"/>
      <sheetName val="G-FIN.2"/>
      <sheetName val="H-OTHER"/>
      <sheetName val="TW"/>
      <sheetName val="EXP"/>
      <sheetName val="SCHEDULE"/>
      <sheetName val="prelim-schedule"/>
      <sheetName val="I_ME"/>
      <sheetName val="harsat"/>
      <sheetName val="YTD'97 Sales"/>
      <sheetName val="Week9-Feb    "/>
      <sheetName val="Week31-August"/>
      <sheetName val="ESCON"/>
      <sheetName val="Steel-Twr"/>
      <sheetName val="Ahs_2"/>
      <sheetName val="Ahs_1"/>
      <sheetName val="BQ"/>
      <sheetName val="anal"/>
      <sheetName val="351BQMCN"/>
      <sheetName val="Analisa HSP"/>
      <sheetName val="H.Satuan"/>
      <sheetName val="HB "/>
      <sheetName val="RAB"/>
      <sheetName val="Ahs.2"/>
      <sheetName val="Ahs.1"/>
      <sheetName val="an. struktur"/>
      <sheetName val="Dashboard"/>
      <sheetName val="DATA"/>
      <sheetName val="PPC"/>
      <sheetName val="SAP"/>
      <sheetName val="PC"/>
      <sheetName val="Balok"/>
      <sheetName val="Analisa Electronic"/>
      <sheetName val="upah"/>
      <sheetName val="PricePenawaran"/>
      <sheetName val="Analisa AC"/>
      <sheetName val="Analisa Lampu"/>
      <sheetName val="struktur"/>
      <sheetName val="Daf Harga"/>
      <sheetName val="Bill"/>
      <sheetName val="Rekap Bill"/>
      <sheetName val="Menu"/>
      <sheetName val="An_ Harga"/>
      <sheetName val="A"/>
      <sheetName val="SEX"/>
      <sheetName val="HARGA MATERIAL"/>
      <sheetName val="Estimate"/>
      <sheetName val="tifico"/>
      <sheetName val="AC"/>
      <sheetName val="Currency Rate"/>
      <sheetName val="Pipe"/>
      <sheetName val="BAG-2"/>
      <sheetName val="HRG BAHAN &amp; UPAH okk"/>
      <sheetName val="Analis Kusen okk"/>
      <sheetName val="HS"/>
      <sheetName val="rumus"/>
      <sheetName val="QTO_11P"/>
      <sheetName val="Anaisa  BETON "/>
      <sheetName val="STR"/>
      <sheetName val="luar"/>
      <sheetName val="RINC hotel"/>
      <sheetName val="RINC FIN T4 "/>
      <sheetName val="RINC FIN T4  _3_"/>
      <sheetName val="RINC FIN T4  _2_"/>
      <sheetName val="DHS 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ELIM"/>
      <sheetName val="Lobby"/>
      <sheetName val="Rest"/>
      <sheetName val="Junior"/>
      <sheetName val="Senior"/>
      <sheetName val="SCH"/>
      <sheetName val="DATA"/>
      <sheetName val="BAG-III"/>
      <sheetName val="4-MVAC"/>
      <sheetName val="PPC"/>
      <sheetName val="Ahs.2"/>
      <sheetName val="Ahs.1"/>
      <sheetName val="ESCON"/>
      <sheetName val="STR"/>
      <sheetName val="DAF-7"/>
      <sheetName val="DAF_7"/>
      <sheetName val="Sat Bah &amp; Up"/>
      <sheetName val="SAT-BHN"/>
      <sheetName val="SAP"/>
      <sheetName val="UPAH"/>
      <sheetName val="Cover"/>
      <sheetName val="4"/>
      <sheetName val="iTEM hARSAT"/>
      <sheetName val="DAF-4"/>
      <sheetName val="Memb Schd"/>
      <sheetName val="harga"/>
      <sheetName val="villa"/>
      <sheetName val="analisa"/>
      <sheetName val="MK"/>
      <sheetName val="IGD - nstdr (A)"/>
      <sheetName val="Harga satuan"/>
      <sheetName val="satuan_pek_ars"/>
      <sheetName val="DHS AC"/>
      <sheetName val="GIP"/>
      <sheetName val="HM.MEK."/>
      <sheetName val="P.UTMA"/>
      <sheetName val="ANA-PIPA"/>
      <sheetName val="GV10k"/>
      <sheetName val="KITZ"/>
      <sheetName val="U,Psg.pipa"/>
      <sheetName val="IPL_SCHEDULE"/>
      <sheetName val="QTO-11P"/>
      <sheetName val="STRUKTUR"/>
      <sheetName val="Rab"/>
      <sheetName val="NP 7"/>
      <sheetName val="anal"/>
      <sheetName val="D.1.5"/>
      <sheetName val="Ahs_2"/>
      <sheetName val="Ahs_1"/>
      <sheetName val="A"/>
      <sheetName val="Har-mat"/>
      <sheetName val="Daf Harga"/>
      <sheetName val="Bill"/>
      <sheetName val="Rekap Bill"/>
      <sheetName val="An_ Harga"/>
      <sheetName val="COST-SUM"/>
      <sheetName val="BAHAN"/>
      <sheetName val="Up &amp; bhn"/>
      <sheetName val="Plumbing"/>
      <sheetName val="Rate"/>
      <sheetName val="Peralatan"/>
      <sheetName val="Currency Rate"/>
      <sheetName val="SAT_BHN"/>
      <sheetName val="harsat"/>
      <sheetName val="chitimc"/>
      <sheetName val="dongia (2)"/>
      <sheetName val="LKVL-CK-HT-GD1"/>
      <sheetName val="giathanh1"/>
      <sheetName val="I_KAMAR"/>
      <sheetName val="BOQ"/>
      <sheetName val="TE TS FA LAN MATV"/>
      <sheetName val="BAG-2"/>
      <sheetName val="351BQMCN"/>
      <sheetName val="DAF_4"/>
      <sheetName val="Material"/>
      <sheetName val="304-06"/>
      <sheetName val="Utilitas"/>
    </sheetNames>
    <sheetDataSet>
      <sheetData sheetId="0">
        <row r="24">
          <cell r="F24">
            <v>1513400</v>
          </cell>
        </row>
      </sheetData>
      <sheetData sheetId="1">
        <row r="24">
          <cell r="F24">
            <v>1513400</v>
          </cell>
        </row>
      </sheetData>
      <sheetData sheetId="2">
        <row r="24">
          <cell r="F24">
            <v>1513400</v>
          </cell>
        </row>
      </sheetData>
      <sheetData sheetId="3">
        <row r="24">
          <cell r="F24">
            <v>1513400</v>
          </cell>
        </row>
      </sheetData>
      <sheetData sheetId="4">
        <row r="24">
          <cell r="F24">
            <v>1513400</v>
          </cell>
        </row>
      </sheetData>
      <sheetData sheetId="5"/>
      <sheetData sheetId="6"/>
      <sheetData sheetId="7" refreshError="1">
        <row r="24">
          <cell r="F24">
            <v>1513400</v>
          </cell>
        </row>
        <row r="146">
          <cell r="F146">
            <v>360300</v>
          </cell>
        </row>
        <row r="147">
          <cell r="F147">
            <v>176200</v>
          </cell>
        </row>
        <row r="259">
          <cell r="F259">
            <v>16600</v>
          </cell>
        </row>
        <row r="260">
          <cell r="F260">
            <v>8600</v>
          </cell>
        </row>
        <row r="276">
          <cell r="F276">
            <v>98400</v>
          </cell>
        </row>
        <row r="278">
          <cell r="F278">
            <v>16700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rekap"/>
      <sheetName val="sloof"/>
      <sheetName val="klm strktr"/>
      <sheetName val="blk lntng"/>
      <sheetName val="blk pnjng"/>
      <sheetName val="blk anak"/>
      <sheetName val="plat"/>
      <sheetName val="anlstul"/>
      <sheetName val="Tangga"/>
      <sheetName val="PRECAST"/>
      <sheetName val="BERAT TUL."/>
      <sheetName val="klm_strktr"/>
      <sheetName val="blk_lntng"/>
      <sheetName val="blk_pnjng"/>
      <sheetName val="blk_anak"/>
      <sheetName val="BERAT_TUL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9">
          <cell r="H9">
            <v>0.88833333333333331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k"/>
      <sheetName val="Harsat"/>
      <sheetName val="Anal"/>
      <sheetName val="Rek"/>
      <sheetName val="Sal"/>
      <sheetName val="Sced-T"/>
      <sheetName val="Met"/>
    </sheetNames>
    <sheetDataSet>
      <sheetData sheetId="0"/>
      <sheetData sheetId="1">
        <row r="10">
          <cell r="D10">
            <v>19000</v>
          </cell>
        </row>
        <row r="11">
          <cell r="D11">
            <v>28000</v>
          </cell>
        </row>
        <row r="12">
          <cell r="D12">
            <v>28000</v>
          </cell>
        </row>
        <row r="24">
          <cell r="D24">
            <v>400000</v>
          </cell>
        </row>
        <row r="26">
          <cell r="D26">
            <v>400000</v>
          </cell>
        </row>
        <row r="32">
          <cell r="D32">
            <v>5930</v>
          </cell>
        </row>
        <row r="50">
          <cell r="D50">
            <v>2400</v>
          </cell>
        </row>
        <row r="51">
          <cell r="D51">
            <v>4000</v>
          </cell>
        </row>
      </sheetData>
      <sheetData sheetId="2"/>
      <sheetData sheetId="3"/>
      <sheetData sheetId="4">
        <row r="22">
          <cell r="H22">
            <v>308796</v>
          </cell>
        </row>
        <row r="34">
          <cell r="H34">
            <v>389706</v>
          </cell>
        </row>
        <row r="82">
          <cell r="H82">
            <v>334007</v>
          </cell>
        </row>
      </sheetData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ter HCMI"/>
      <sheetName val="letter TOA"/>
      <sheetName val="fax"/>
      <sheetName val="scope of work"/>
      <sheetName val="G.SUM"/>
      <sheetName val="G.SUM (2)"/>
      <sheetName val="Temp.fac"/>
      <sheetName val="Site expenses"/>
      <sheetName val="Factory"/>
      <sheetName val="Transformer room"/>
      <sheetName val="Pump House"/>
      <sheetName val="Annex bldg"/>
      <sheetName val="Sand blast"/>
      <sheetName val="CO2 room"/>
      <sheetName val="Compressor"/>
      <sheetName val="External work "/>
      <sheetName val="crane&amp;me"/>
      <sheetName val="analisa baja"/>
      <sheetName val="m'trl baja"/>
      <sheetName val="Persiapan"/>
      <sheetName val="HARGA MATERIAL"/>
      <sheetName val="UPAH KERJA"/>
      <sheetName val="STRUKTUR"/>
      <sheetName val="FINISHING"/>
      <sheetName val="EXTERNAL"/>
      <sheetName val="Paint"/>
      <sheetName val="Door"/>
      <sheetName val="HARGA"/>
      <sheetName val="kolom b3-B1"/>
      <sheetName val="Abas (2)"/>
      <sheetName val="ke (2)"/>
      <sheetName val="ke (1)"/>
      <sheetName val="REKAP"/>
      <sheetName val="Abas (1)"/>
      <sheetName val="Ans Horizontal"/>
      <sheetName val="BAG_2"/>
      <sheetName val="BM"/>
      <sheetName val="BAG-2"/>
      <sheetName val="letter_HCMI"/>
      <sheetName val="letter_TOA"/>
      <sheetName val="scope_of_work"/>
      <sheetName val="G_SUM"/>
      <sheetName val="G_SUM_(2)"/>
      <sheetName val="Temp_fac"/>
      <sheetName val="Site_expenses"/>
      <sheetName val="Transformer_room"/>
      <sheetName val="Pump_House"/>
      <sheetName val="Annex_bldg"/>
      <sheetName val="Sand_blast"/>
      <sheetName val="CO2_room"/>
      <sheetName val="External_work_"/>
      <sheetName val="analisa_baja"/>
      <sheetName val="m'trl_baja"/>
      <sheetName val="HARGA_MATERIAL"/>
      <sheetName val="UPAH_KERJA"/>
      <sheetName val="kolom_b3-B1"/>
      <sheetName val="Abas_(2)"/>
      <sheetName val="ke_(2)"/>
      <sheetName val="ke_(1)"/>
      <sheetName val="Abas_(1)"/>
      <sheetName val="Ans_Horizontal"/>
      <sheetName val="escon"/>
      <sheetName val="SAT-BHN"/>
      <sheetName val="Elektrikal"/>
      <sheetName val="Analisa 2"/>
      <sheetName val="250701 Transformer - HCMI"/>
      <sheetName val="Pipe"/>
      <sheetName val="AHSbj"/>
      <sheetName val="A"/>
      <sheetName val="H.Satuan"/>
      <sheetName val="STR"/>
      <sheetName val="analisa"/>
      <sheetName val="플랜트 설치"/>
      <sheetName val="TOWN"/>
      <sheetName val="L_TIGA"/>
      <sheetName val="L-TIGA"/>
      <sheetName val="Grand Summary"/>
      <sheetName val="Cover"/>
      <sheetName val="I-KAMAR"/>
      <sheetName val="Week9-Feb    "/>
      <sheetName val="Bid Summary"/>
      <sheetName val="harsat"/>
      <sheetName val="Preliminary"/>
      <sheetName val="SEX"/>
      <sheetName val="TOTAL"/>
      <sheetName val="DAFTAR 7"/>
      <sheetName val="DAFTAR_8"/>
      <sheetName val="DAF_1"/>
      <sheetName val="Steel Material List"/>
      <sheetName val="Sheet1"/>
      <sheetName val="DAF-5"/>
      <sheetName val="satuan_pek_ars"/>
      <sheetName val="Pt"/>
      <sheetName val="I-ME"/>
      <sheetName val="Hrg.Sat"/>
      <sheetName val="SPK"/>
      <sheetName val="op-2"/>
      <sheetName val="GSMTOWER"/>
      <sheetName val="Steel-Twr"/>
      <sheetName val="hs-st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over Daf-2"/>
      <sheetName val="Cover Daf_2"/>
      <sheetName val="daf-3(OK)"/>
      <sheetName val="daf-7(OK)"/>
      <sheetName val="Panel,feeder,elek"/>
      <sheetName val="Analisa Upah &amp; Bahan Plum"/>
      <sheetName val="Cover (x)"/>
      <sheetName val="351BQMCN"/>
      <sheetName val="loadd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1">
          <cell r="A11">
            <v>3</v>
          </cell>
        </row>
        <row r="12">
          <cell r="A12">
            <v>4</v>
          </cell>
        </row>
        <row r="13">
          <cell r="A13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3">
          <cell r="A23">
            <v>12</v>
          </cell>
        </row>
        <row r="24">
          <cell r="A24">
            <v>13</v>
          </cell>
        </row>
        <row r="26">
          <cell r="A26">
            <v>14</v>
          </cell>
        </row>
        <row r="34">
          <cell r="A34">
            <v>15</v>
          </cell>
        </row>
        <row r="37">
          <cell r="A37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>
            <v>24</v>
          </cell>
        </row>
        <row r="51">
          <cell r="A51">
            <v>25</v>
          </cell>
        </row>
        <row r="52">
          <cell r="A52">
            <v>25</v>
          </cell>
        </row>
        <row r="53">
          <cell r="A53">
            <v>26</v>
          </cell>
        </row>
        <row r="54">
          <cell r="A54">
            <v>27</v>
          </cell>
        </row>
        <row r="55">
          <cell r="A55">
            <v>28</v>
          </cell>
        </row>
        <row r="56">
          <cell r="A56">
            <v>29</v>
          </cell>
        </row>
        <row r="58">
          <cell r="A58">
            <v>30</v>
          </cell>
        </row>
        <row r="59">
          <cell r="A59">
            <v>28</v>
          </cell>
        </row>
        <row r="60">
          <cell r="A60">
            <v>29</v>
          </cell>
        </row>
        <row r="61">
          <cell r="A61">
            <v>30</v>
          </cell>
        </row>
        <row r="62">
          <cell r="A62">
            <v>31</v>
          </cell>
        </row>
        <row r="63">
          <cell r="A63">
            <v>32</v>
          </cell>
        </row>
        <row r="64">
          <cell r="A64">
            <v>33</v>
          </cell>
        </row>
        <row r="65">
          <cell r="A65">
            <v>34</v>
          </cell>
        </row>
        <row r="68">
          <cell r="A68">
            <v>35</v>
          </cell>
        </row>
        <row r="69">
          <cell r="A69">
            <v>36</v>
          </cell>
        </row>
        <row r="71">
          <cell r="A71">
            <v>37</v>
          </cell>
        </row>
        <row r="73">
          <cell r="A73">
            <v>37</v>
          </cell>
        </row>
        <row r="74">
          <cell r="A74">
            <v>38</v>
          </cell>
        </row>
        <row r="75">
          <cell r="A75">
            <v>39</v>
          </cell>
        </row>
        <row r="76">
          <cell r="A76">
            <v>40</v>
          </cell>
        </row>
        <row r="77">
          <cell r="A77">
            <v>41</v>
          </cell>
        </row>
        <row r="78">
          <cell r="A78">
            <v>42</v>
          </cell>
        </row>
        <row r="82">
          <cell r="A82">
            <v>43</v>
          </cell>
        </row>
        <row r="85">
          <cell r="A85">
            <v>44</v>
          </cell>
        </row>
        <row r="87">
          <cell r="A87">
            <v>45</v>
          </cell>
        </row>
        <row r="89">
          <cell r="A89">
            <v>46</v>
          </cell>
        </row>
        <row r="90">
          <cell r="A90">
            <v>47</v>
          </cell>
        </row>
        <row r="91">
          <cell r="A91">
            <v>48</v>
          </cell>
        </row>
        <row r="92">
          <cell r="A92">
            <v>49</v>
          </cell>
        </row>
        <row r="93">
          <cell r="A93">
            <v>50</v>
          </cell>
        </row>
        <row r="94">
          <cell r="A94">
            <v>51</v>
          </cell>
        </row>
        <row r="99">
          <cell r="A99">
            <v>52</v>
          </cell>
        </row>
        <row r="108">
          <cell r="A108">
            <v>53</v>
          </cell>
        </row>
        <row r="117">
          <cell r="A117">
            <v>54</v>
          </cell>
        </row>
        <row r="122">
          <cell r="A122">
            <v>55</v>
          </cell>
        </row>
        <row r="124">
          <cell r="A124">
            <v>56</v>
          </cell>
        </row>
        <row r="125">
          <cell r="A125">
            <v>57</v>
          </cell>
        </row>
        <row r="126">
          <cell r="A126">
            <v>58</v>
          </cell>
        </row>
        <row r="127">
          <cell r="A127">
            <v>59</v>
          </cell>
        </row>
        <row r="128">
          <cell r="A128">
            <v>60</v>
          </cell>
        </row>
        <row r="132">
          <cell r="A132">
            <v>61</v>
          </cell>
        </row>
        <row r="133">
          <cell r="A133">
            <v>62</v>
          </cell>
        </row>
        <row r="140">
          <cell r="A140">
            <v>63</v>
          </cell>
        </row>
        <row r="141">
          <cell r="A141">
            <v>64</v>
          </cell>
        </row>
        <row r="143">
          <cell r="A143">
            <v>65</v>
          </cell>
        </row>
        <row r="145">
          <cell r="A145">
            <v>66</v>
          </cell>
        </row>
        <row r="146">
          <cell r="A146">
            <v>67</v>
          </cell>
        </row>
        <row r="150">
          <cell r="A150">
            <v>68</v>
          </cell>
        </row>
        <row r="151">
          <cell r="A151">
            <v>69</v>
          </cell>
        </row>
        <row r="152">
          <cell r="A152">
            <v>70</v>
          </cell>
        </row>
        <row r="153">
          <cell r="A153">
            <v>71</v>
          </cell>
        </row>
        <row r="154">
          <cell r="A154">
            <v>72</v>
          </cell>
        </row>
        <row r="155">
          <cell r="A155">
            <v>73</v>
          </cell>
        </row>
        <row r="156">
          <cell r="A156">
            <v>74</v>
          </cell>
        </row>
        <row r="157">
          <cell r="A157">
            <v>75</v>
          </cell>
        </row>
        <row r="158">
          <cell r="A158">
            <v>76</v>
          </cell>
        </row>
        <row r="159">
          <cell r="A159">
            <v>77</v>
          </cell>
        </row>
        <row r="160">
          <cell r="A160">
            <v>78</v>
          </cell>
        </row>
        <row r="161">
          <cell r="A161">
            <v>79</v>
          </cell>
        </row>
        <row r="162">
          <cell r="A162">
            <v>80</v>
          </cell>
        </row>
        <row r="166">
          <cell r="A166">
            <v>80</v>
          </cell>
        </row>
        <row r="167">
          <cell r="A167">
            <v>81</v>
          </cell>
        </row>
        <row r="174">
          <cell r="A174">
            <v>82</v>
          </cell>
        </row>
        <row r="175">
          <cell r="A175">
            <v>83</v>
          </cell>
        </row>
        <row r="181">
          <cell r="A181">
            <v>83</v>
          </cell>
        </row>
        <row r="182">
          <cell r="A182">
            <v>84</v>
          </cell>
        </row>
        <row r="183">
          <cell r="A183">
            <v>85</v>
          </cell>
        </row>
        <row r="184">
          <cell r="A184">
            <v>86</v>
          </cell>
        </row>
        <row r="185">
          <cell r="A185">
            <v>87</v>
          </cell>
        </row>
        <row r="186">
          <cell r="A186">
            <v>88</v>
          </cell>
        </row>
        <row r="187">
          <cell r="A187">
            <v>89</v>
          </cell>
        </row>
        <row r="188">
          <cell r="A188">
            <v>90</v>
          </cell>
        </row>
        <row r="189">
          <cell r="A189">
            <v>91</v>
          </cell>
        </row>
        <row r="190">
          <cell r="A190">
            <v>92</v>
          </cell>
        </row>
        <row r="191">
          <cell r="A191">
            <v>93</v>
          </cell>
        </row>
        <row r="192">
          <cell r="A192">
            <v>94</v>
          </cell>
        </row>
        <row r="193">
          <cell r="A193">
            <v>95</v>
          </cell>
        </row>
        <row r="194">
          <cell r="A194">
            <v>96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daf_3_OK_"/>
      <sheetName val="daf_7_OK_"/>
      <sheetName val="351BQMCN"/>
      <sheetName val="HRG BHN"/>
      <sheetName val="Material"/>
      <sheetName val="Mall"/>
      <sheetName val="daf-3(OK)"/>
      <sheetName val="daf-7(OK)"/>
      <sheetName val="A"/>
      <sheetName val="I-ME"/>
      <sheetName val="escon"/>
      <sheetName val="An. ALAt"/>
      <sheetName val="#REF!"/>
      <sheetName val="NP"/>
      <sheetName val="Sheet1"/>
      <sheetName val="DAF-5"/>
      <sheetName val="Analisa"/>
      <sheetName val="BAG-2"/>
      <sheetName val="Cover"/>
      <sheetName val="List material"/>
      <sheetName val="LAL - PASAR PAGI "/>
      <sheetName val="Komponen"/>
      <sheetName val="Mat.Elk"/>
      <sheetName val="ARMATURE, SK, SAKLAR"/>
      <sheetName val="Duct"/>
      <sheetName val="AHS"/>
      <sheetName val="SEX"/>
      <sheetName val="HARGA MATERIAL"/>
      <sheetName val="LOADDAT"/>
      <sheetName val="PPC"/>
      <sheetName val="BAG_2"/>
      <sheetName val="Instalasi Pemipaan"/>
      <sheetName val="pldt"/>
      <sheetName val="H.Satuan"/>
      <sheetName val="A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rat Plat"/>
      <sheetName val="ATT"/>
      <sheetName val="PINTU"/>
      <sheetName val="DAFTAR"/>
      <sheetName val="FADLI"/>
      <sheetName val="ABUBAKAR"/>
      <sheetName val="ABUBAKAR short"/>
      <sheetName val="BHN"/>
      <sheetName val="41,9&amp;36,3"/>
      <sheetName val="HARGA SATUAN"/>
      <sheetName val="Grand summary"/>
      <sheetName val="Analisa"/>
      <sheetName val="Cover (x)"/>
      <sheetName val="Cor Apt"/>
      <sheetName val="upah_borong"/>
      <sheetName val="satuan_pek"/>
      <sheetName val="Anls"/>
      <sheetName val="dasboard"/>
      <sheetName val="01A- RAB"/>
      <sheetName val="Bahan1"/>
      <sheetName val="Upah1"/>
      <sheetName val="SITE-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BQ_E20_02_Rp_"/>
      <sheetName val="Estimasi"/>
      <sheetName val="Sprinkler"/>
      <sheetName val="subkon"/>
      <sheetName val="Cover"/>
      <sheetName val="Penjumlahan"/>
      <sheetName val="Cover (x)"/>
      <sheetName val="Cor Apt"/>
      <sheetName val="daf-3(OK)"/>
      <sheetName val="daf-7(OK)"/>
      <sheetName val="upah_borong"/>
      <sheetName val="satuan_pek"/>
      <sheetName val="Bahan"/>
      <sheetName val="BAG-2"/>
      <sheetName val="Cover Daf-2"/>
      <sheetName val="HB"/>
      <sheetName val="SEX"/>
      <sheetName val="RAB-2"/>
      <sheetName val="Sales Parameter"/>
      <sheetName val="Parameter"/>
      <sheetName val="H.Satuan"/>
      <sheetName val="ESCO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bau"/>
      <sheetName val="L-Mechanical"/>
      <sheetName val="Anls"/>
      <sheetName val="Man Power"/>
      <sheetName val="Analisa"/>
      <sheetName val="dasboard"/>
      <sheetName val="HRG BHN"/>
      <sheetName val="Agregat"/>
      <sheetName val="Grand summary"/>
      <sheetName val="daf_3_OK_"/>
      <sheetName val="daf_7_OK_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UPAH &amp; BHN ARS"/>
      <sheetName val="AHS ARS"/>
      <sheetName val="Mall"/>
      <sheetName val="Plumbing &amp; Fire"/>
      <sheetName val="Mat.Mek"/>
      <sheetName val="Mat.Elk"/>
      <sheetName val="#REF"/>
      <sheetName val="STR"/>
      <sheetName val="Electrikal"/>
      <sheetName val="Elektronik"/>
      <sheetName val="AC"/>
      <sheetName val="Fire Fighting"/>
      <sheetName val="Item Kompensasi"/>
      <sheetName val="E20-02Guest House"/>
      <sheetName val="HARGA SATUAN"/>
      <sheetName val="Agregat Halus &amp; Kasar"/>
      <sheetName val="Jembatan I"/>
      <sheetName val="Material"/>
      <sheetName val="DAF_3"/>
      <sheetName val="DAF_4"/>
      <sheetName val="villa"/>
      <sheetName val="RAB"/>
      <sheetName val="OH"/>
      <sheetName val="Satuan"/>
      <sheetName val="Des-05"/>
      <sheetName val="blok 7"/>
      <sheetName val="Daftar Upah"/>
      <sheetName val="List material"/>
      <sheetName val="Ans-AC"/>
      <sheetName val="REKAP PANEL"/>
      <sheetName val="HB "/>
      <sheetName val="harga lama"/>
      <sheetName val="SAT-BHN"/>
      <sheetName val="BHN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rek det 1_3"/>
      <sheetName val="alat"/>
      <sheetName val="ARS"/>
      <sheetName val="Sheet1"/>
      <sheetName val="Sheet2"/>
      <sheetName val="I-KAMAR"/>
      <sheetName val="ARAB"/>
      <sheetName val="DAF.ALAT"/>
      <sheetName val="BOQ KSN"/>
      <sheetName val="DAF-2"/>
      <sheetName val="Ktitas_Hg"/>
      <sheetName val="Rkap Bya"/>
      <sheetName val="DAFTAR HARGA SATUAN MATERIAL"/>
      <sheetName val="Bill-19"/>
      <sheetName val="sum-bill22"/>
      <sheetName val="An Arsitektur"/>
      <sheetName val="An Struktur"/>
      <sheetName val="Ana"/>
      <sheetName val="Rekap Direct Cost"/>
      <sheetName val="Affiliate With Reporting Unit"/>
      <sheetName val="Exchange Rates"/>
      <sheetName val="pricing"/>
      <sheetName val="Rekap"/>
      <sheetName val="Anal_ Pancang"/>
      <sheetName val="hidran"/>
      <sheetName val="D &amp; W sizes"/>
      <sheetName val="HAR.SAT"/>
      <sheetName val="Bill No. 1"/>
      <sheetName val="ORETORET"/>
      <sheetName val="Bill No.3 Basement"/>
      <sheetName val="data_dci"/>
      <sheetName val="data_mci"/>
      <sheetName val="behind"/>
      <sheetName val="Main"/>
      <sheetName val="Pek. Utama"/>
      <sheetName val="112-885"/>
      <sheetName val="Anl.+"/>
      <sheetName val="eqp-rek"/>
      <sheetName val="AN-ME"/>
      <sheetName val="REKAP ME-I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dasar"/>
      <sheetName val="Summary"/>
      <sheetName val="LISTRIK"/>
      <sheetName val="hrg-sat.pek"/>
      <sheetName val="divI"/>
      <sheetName val="divII"/>
      <sheetName val="Quantity"/>
      <sheetName val="Ana_harsat_persiapan"/>
      <sheetName val="ANA_TRESTLE_REKLAMASI_JEMBATAN"/>
      <sheetName val="DATA"/>
      <sheetName val="Koefisien Besi ( hit. bareng )"/>
      <sheetName val="UPAH BORONG"/>
      <sheetName val="anal"/>
      <sheetName val="Harsat Bahan"/>
      <sheetName val="Cost CCTV"/>
      <sheetName val="Bill.2. PL - SUPPLY A"/>
      <sheetName val="tgp-02"/>
      <sheetName val="HARGA ALAT"/>
      <sheetName val="PRICE"/>
      <sheetName val="Harsat Upah"/>
      <sheetName val="bhn,upah,alat"/>
      <sheetName val="Ans Kom Precast"/>
      <sheetName val="MUA"/>
      <sheetName val="PENAWARAN"/>
      <sheetName val="CAT_5"/>
      <sheetName val="DAF-1"/>
      <sheetName val="Cover _x_"/>
      <sheetName val="Harga ME "/>
      <sheetName val="DAFTAR HARGA"/>
      <sheetName val="Master Data"/>
      <sheetName val="入力作成表"/>
      <sheetName val="Bill_2_ PL _ SUPPLY A"/>
      <sheetName val="bhn-upah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D2.8"/>
      <sheetName val="Ktr Cbg "/>
      <sheetName val="B000(Steel)"/>
      <sheetName val="2000_080401"/>
      <sheetName val="rekI"/>
      <sheetName val="Harga Bahan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Upah"/>
      <sheetName val="Harga Sat."/>
      <sheetName val="AHSbj"/>
      <sheetName val="Regenerator  Concrete Structure"/>
      <sheetName val="Harga"/>
      <sheetName val="rincian A"/>
      <sheetName val="h satuan pekerjaan"/>
      <sheetName val="BOI_SIPIL"/>
      <sheetName val="Analisa ME (2)"/>
      <sheetName val="Kantor"/>
      <sheetName val="3_DIV8"/>
      <sheetName val="Upah_Bahan"/>
      <sheetName val="ANAL2"/>
      <sheetName val="ANAL1"/>
      <sheetName val="Weight Bridge"/>
      <sheetName val="an__struktur1"/>
      <sheetName val="rek_det_1-31"/>
      <sheetName val="Analisa  BOW"/>
      <sheetName val="Panel,feeder,elek"/>
      <sheetName val="RAB-VAC"/>
      <sheetName val="RAB-PK"/>
      <sheetName val="RAB-ELC"/>
      <sheetName val="RAB-PL"/>
      <sheetName val="RAB-EL"/>
      <sheetName val="BAG_2"/>
      <sheetName val="ANALISA SOFT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Ur.Agregat"/>
      <sheetName val="Anl-Mobil(14)"/>
      <sheetName val="Anl.Ls(15)"/>
      <sheetName val="Umum"/>
      <sheetName val="HSD (8)"/>
      <sheetName val="Beban Box culvert"/>
      <sheetName val="H Satuan Dasar"/>
      <sheetName val="ADM"/>
      <sheetName val="Bank"/>
      <sheetName val="JK"/>
      <sheetName val="Rincian SIM"/>
      <sheetName val="PMS"/>
      <sheetName val="PP"/>
      <sheetName val="BQ-Str"/>
      <sheetName val="Daf 1"/>
      <sheetName val="Hrg Sat"/>
      <sheetName val="DC"/>
      <sheetName val="Harga Dasar"/>
      <sheetName val="bilangan"/>
      <sheetName val="Input"/>
      <sheetName val="SchC"/>
      <sheetName val="SchA"/>
      <sheetName val="SewAlat"/>
      <sheetName val="SchD"/>
      <sheetName val="mep"/>
      <sheetName val="hsd"/>
      <sheetName val="PDP"/>
      <sheetName val="RPP01-1"/>
      <sheetName val="ISIAN (2)"/>
      <sheetName val="BEK-UP-OVERLEY"/>
      <sheetName val="sal &amp; galian"/>
      <sheetName val="LPA"/>
      <sheetName val="bahu jalan"/>
      <sheetName val="An-Ars"/>
      <sheetName val=" An-Str "/>
      <sheetName val="basic"/>
      <sheetName val="total"/>
      <sheetName val="terbilang rp"/>
      <sheetName val="Daftar-Anal"/>
      <sheetName val="sdm"/>
      <sheetName val="map"/>
      <sheetName val="rkp"/>
      <sheetName val="R20_R30_work"/>
      <sheetName val="DAF-5"/>
      <sheetName val="Bangunan Utama"/>
      <sheetName val="DAFTAR 7"/>
      <sheetName val="DAF_1"/>
      <sheetName val="DAFTAR_8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DHS"/>
      <sheetName val="info"/>
      <sheetName val="an-aspal"/>
      <sheetName val="mob"/>
      <sheetName val="an_alat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SchB"/>
      <sheetName val="struktur"/>
      <sheetName val="304_06"/>
      <sheetName val="Prog CD"/>
      <sheetName val="BIOSEPTIC"/>
      <sheetName val="Analisa Upah &amp; Bahan Plum"/>
      <sheetName val="Rev0"/>
      <sheetName val="Sum"/>
      <sheetName val="Harga Bahan &amp; Upah "/>
      <sheetName val="Harga sewa alat"/>
      <sheetName val="MATERIAL ANALISA"/>
      <sheetName val="Analysis"/>
      <sheetName val="HARGA SATUAN UPAH PEKERJA"/>
      <sheetName val="HRGA SATUAN UPAH-BAHAN"/>
      <sheetName val="LAL - PASAR PAGI "/>
      <sheetName val="rab - persiapan &amp; lantai-1"/>
      <sheetName val="komp awal"/>
      <sheetName val="bahan "/>
      <sheetName val="ANALISA  (BARU)"/>
      <sheetName val="I_KAMAR"/>
      <sheetName val="I-ME"/>
      <sheetName val="ALT"/>
      <sheetName val="UPH"/>
      <sheetName val="penawaran elianto"/>
      <sheetName val="?????"/>
      <sheetName val="prog-dinding"/>
      <sheetName val="DB"/>
      <sheetName val="Rate"/>
      <sheetName val="LE_Total(G_Summ Proj)"/>
      <sheetName val="DIVI6"/>
      <sheetName val="DIVI5"/>
      <sheetName val="DIVI8"/>
      <sheetName val="DIVI7"/>
      <sheetName val="BOQ"/>
      <sheetName val="DIVI3"/>
      <sheetName val="DIVI2"/>
      <sheetName val="BASC"/>
      <sheetName val="DIVI1"/>
      <sheetName val="BQ (extern)"/>
      <sheetName val="rab lt 2 bo"/>
      <sheetName val="srt-pnwr"/>
      <sheetName val="huruf"/>
      <sheetName val="RAP"/>
      <sheetName val="depresiasi"/>
      <sheetName val="RAP (2)"/>
      <sheetName val="DIV.2"/>
      <sheetName val="geotekstil"/>
      <sheetName val="Budget"/>
      <sheetName val="Other PO's"/>
      <sheetName val="Contract &amp;V.O"/>
      <sheetName val="sort2"/>
      <sheetName val="mu"/>
      <sheetName val="Cipinang"/>
      <sheetName val="Bek.Sloof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CH"/>
      <sheetName val="tgp_02"/>
      <sheetName val="Hrg Bhn &amp; Upah"/>
      <sheetName val="rekap-PLPP"/>
      <sheetName val="Sumber Daya"/>
      <sheetName val="U&amp;B"/>
      <sheetName val="Bill rekap"/>
      <sheetName val="ES_PARK"/>
      <sheetName val="ES-PARK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metode"/>
      <sheetName val="Data2"/>
      <sheetName val="Commodity Codes 6.03.1"/>
      <sheetName val="2"/>
      <sheetName val="SITE-E"/>
      <sheetName val="Sipil"/>
      <sheetName val="TENES"/>
      <sheetName val="upahbahan"/>
      <sheetName val="rab1"/>
      <sheetName val="OUTPUT"/>
      <sheetName val="Hsatbahan"/>
      <sheetName val="1"/>
      <sheetName val="KET"/>
      <sheetName val="analisa_gedung"/>
      <sheetName val="Lab E (FKU)"/>
      <sheetName val="Anal. Pancang"/>
      <sheetName val="UP MINOR"/>
      <sheetName val="bahan dan upah"/>
      <sheetName val="Bab 6 -3(5)"/>
      <sheetName val="2.3(2) Gor"/>
      <sheetName val="8.4.2 Rambu"/>
      <sheetName val="lokasari-el"/>
      <sheetName val="_____"/>
      <sheetName val="peb'03"/>
      <sheetName val="Airy"/>
      <sheetName val="LAPIUT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Bill of Qty MEP"/>
      <sheetName val="Basic_Data"/>
      <sheetName val="rpp 1-5"/>
      <sheetName val="610 6"/>
      <sheetName val="rpp 1-6"/>
      <sheetName val="BAHAN1"/>
      <sheetName val="UBA"/>
      <sheetName val="Schedulle(S-curve)Break"/>
      <sheetName val="kop"/>
      <sheetName val="Rekap Utility"/>
      <sheetName val="Utility"/>
      <sheetName val="spek material"/>
      <sheetName val="ANALISA HARGA SATUAN"/>
      <sheetName val="REKAP AHS Lansekap"/>
      <sheetName val="Pekerjaan Utama"/>
      <sheetName val="Daf-Harga"/>
      <sheetName val="upah bahan"/>
      <sheetName val="PREAM"/>
      <sheetName val="l*****"/>
      <sheetName val="000000"/>
      <sheetName val="Rekapitulasi"/>
      <sheetName val="Harsat_Pekerjaan"/>
      <sheetName val="NC-CM"/>
      <sheetName val="CV"/>
      <sheetName val="FORM1"/>
      <sheetName val="Quarry"/>
      <sheetName val="1.0.견적기준(입력)"/>
      <sheetName val="단가표(2013.09.02)"/>
      <sheetName val="SD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GVL§CT"/>
      <sheetName val="Sat~Bahu"/>
      <sheetName val="HPS-VAC"/>
      <sheetName val="MCSet4 DB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E20-02Guest_House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List Rate"/>
      <sheetName val="SAT UPH&amp;BHN"/>
      <sheetName val="S-Kurve"/>
      <sheetName val="SAP"/>
      <sheetName val="REKAP_ME-I"/>
      <sheetName val="Bill_No__1"/>
      <sheetName val="Bill_No_3_Basement"/>
      <sheetName val="HS"/>
      <sheetName val="RPP01-6"/>
      <sheetName val="H.SAT"/>
      <sheetName val="Kuantitas _ Harga"/>
      <sheetName val="AHS Marka"/>
      <sheetName val="AHS Aspal"/>
      <sheetName val="Penwrn"/>
      <sheetName val="Scd_RAB"/>
      <sheetName val="Analisa 2"/>
      <sheetName val="hrg-sat_pek"/>
      <sheetName val="Rekap_Direct_Cost"/>
      <sheetName val="Koefisien_Besi_(_hit__bareng_)"/>
      <sheetName val="Harsat_Bahan"/>
      <sheetName val="Cost_CCTV"/>
      <sheetName val="ADD 2 (1)"/>
      <sheetName val="P.PPR"/>
      <sheetName val="Bek_Sloof"/>
      <sheetName val="Bill_2__PL_-_SUPPLY_A"/>
      <sheetName val="Harsat_Upah"/>
      <sheetName val="Master_Data"/>
      <sheetName val="HARGA_ALAT"/>
      <sheetName val="HARGA MATERIAL"/>
      <sheetName val="Connections"/>
      <sheetName val="DWTables"/>
      <sheetName val="L_TIGA"/>
      <sheetName val="L-TIGA"/>
      <sheetName val="Tanggapan"/>
      <sheetName val="ELKP"/>
      <sheetName val="a.h ars sum"/>
      <sheetName val="XL4Test5"/>
      <sheetName val="Accounts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ANALISA_SOFT"/>
      <sheetName val="Pipe_Bridge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Cover Daf_2"/>
      <sheetName val="Prod 02"/>
      <sheetName val="EVA 1"/>
      <sheetName val="DIV"/>
      <sheetName val="Met1"/>
      <sheetName val="Met2"/>
      <sheetName val="ANALISA AGGR"/>
      <sheetName val="URAIAN ANALISA  2"/>
      <sheetName val="ANALISA HARGA"/>
      <sheetName val="trans"/>
      <sheetName val="3 Koef Alat"/>
      <sheetName val="(ANALISA-lain)"/>
      <sheetName val="Bor pile"/>
      <sheetName val="Sat Das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Pag_hal"/>
      <sheetName val="Analisa Quarry"/>
      <sheetName val="BURDA"/>
      <sheetName val="ANTEK-GAL"/>
      <sheetName val="FINAL"/>
      <sheetName val="Sch"/>
      <sheetName val="JSiar"/>
      <sheetName val="MADC"/>
      <sheetName val="Rekap All me"/>
      <sheetName val="4. Elektrikal"/>
      <sheetName val="BasicPrice"/>
      <sheetName val="Analisa-S"/>
      <sheetName val="Vibro_Roller"/>
      <sheetName val="Kuantitas &amp; Harga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ANAL KOEF"/>
      <sheetName val="Mark-up"/>
      <sheetName val="Harmat Upah &amp; Bahan"/>
      <sheetName val="Rekap Ahs"/>
      <sheetName val="LAL_-_PASAR_PAGI_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H_Satuan4"/>
      <sheetName val="Man_Power3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ANALISA GEDUNG"/>
      <sheetName val="PAD-F"/>
      <sheetName val="Daf-3.5 Sanitair"/>
      <sheetName val="div2"/>
      <sheetName val="SRT"/>
      <sheetName val="List Plant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ME TU"/>
      <sheetName val="GENSET"/>
      <sheetName val="EL"/>
      <sheetName val="ME PL"/>
      <sheetName val="TRAFO"/>
      <sheetName val="Mekanikal"/>
      <sheetName val="GD 14"/>
      <sheetName val="DAFT_HARG_SAT_PEK."/>
      <sheetName val="DAFT_ALAT,UPAH &amp; MAT"/>
      <sheetName val="lab"/>
      <sheetName val="D6-1b"/>
      <sheetName val="BCT"/>
      <sheetName val="SE-C"/>
      <sheetName val="Antennas"/>
      <sheetName val="Val-sum"/>
      <sheetName val="INDIRECT DETAIL"/>
      <sheetName val="Market Positioning"/>
      <sheetName val="RT15918"/>
    </sheetNames>
    <sheetDataSet>
      <sheetData sheetId="0" refreshError="1"/>
      <sheetData sheetId="1">
        <row r="14">
          <cell r="B14" t="str">
            <v>I.</v>
          </cell>
        </row>
      </sheetData>
      <sheetData sheetId="2">
        <row r="14">
          <cell r="B14" t="str">
            <v>I.</v>
          </cell>
        </row>
      </sheetData>
      <sheetData sheetId="3">
        <row r="14">
          <cell r="B14" t="str">
            <v>I.</v>
          </cell>
        </row>
      </sheetData>
      <sheetData sheetId="4">
        <row r="14">
          <cell r="B14" t="str">
            <v>I.</v>
          </cell>
        </row>
      </sheetData>
      <sheetData sheetId="5">
        <row r="14">
          <cell r="B14" t="str">
            <v>I.</v>
          </cell>
        </row>
      </sheetData>
      <sheetData sheetId="6"/>
      <sheetData sheetId="7">
        <row r="14">
          <cell r="B14" t="str">
            <v>I.</v>
          </cell>
        </row>
      </sheetData>
      <sheetData sheetId="8">
        <row r="14">
          <cell r="B14" t="str">
            <v>I.</v>
          </cell>
        </row>
      </sheetData>
      <sheetData sheetId="9">
        <row r="14">
          <cell r="B14" t="str">
            <v>I.</v>
          </cell>
        </row>
      </sheetData>
      <sheetData sheetId="10">
        <row r="14">
          <cell r="B14" t="str">
            <v>I.</v>
          </cell>
        </row>
      </sheetData>
      <sheetData sheetId="11">
        <row r="14">
          <cell r="B14" t="str">
            <v>I.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3"/>
      <sheetName val="PENAWARAN"/>
      <sheetName val="HARGA JADI"/>
      <sheetName val="analisa"/>
      <sheetName val="BAHAN"/>
      <sheetName val="UPAH"/>
      <sheetName val="ALAT"/>
      <sheetName val="HARGA ALAT"/>
      <sheetName val="Rincian Bobot"/>
      <sheetName val="Schedule"/>
      <sheetName val="SINDO"/>
      <sheetName val="STRUKTUR ORG SINDO"/>
      <sheetName val="BQ-E20-02(Rp)"/>
      <sheetName val="ANALISA BL"/>
      <sheetName val="BQ_E20_02_Rp_"/>
      <sheetName val="Notes"/>
      <sheetName val="FINISHING"/>
      <sheetName val="Cover"/>
      <sheetName val="HARGA_JADI"/>
      <sheetName val="HARGA_ALAT"/>
      <sheetName val="Rincian_Bobot"/>
      <sheetName val="STRUKTUR_ORG_SINDO"/>
      <sheetName val="ANALISA_BL"/>
      <sheetName val="tgp-02"/>
      <sheetName val="upah_borong"/>
      <sheetName val="satuan_pek"/>
      <sheetName val="Elektronik"/>
      <sheetName val="Plumbing"/>
      <sheetName val="Electrikal"/>
      <sheetName val="AC"/>
      <sheetName val="Fire Fighting"/>
      <sheetName val="Item Kompensasi"/>
      <sheetName val="DAF-1"/>
      <sheetName val="Cash Flow"/>
      <sheetName val="Analisa Gabungan"/>
      <sheetName val="Sub"/>
      <sheetName val="Ws Jul-2004"/>
      <sheetName val="HARSAT_BAH"/>
      <sheetName val="analisa_gedung"/>
      <sheetName val="EQUIP-LIST"/>
      <sheetName val="MAT-LIST"/>
      <sheetName val="ANALISA BEKISTING PELAT"/>
      <sheetName val="ANALISA BEKISTING BALOK"/>
      <sheetName val="ANALISA BEKISTING R-WALL"/>
      <sheetName val="ANALISA BEKISTING TANGGA"/>
      <sheetName val="SUBKON"/>
      <sheetName val="MANP-LIST"/>
      <sheetName val="DATA"/>
      <sheetName val="ANALISA PEK.UMUM"/>
      <sheetName val="BoQ "/>
      <sheetName val="NP"/>
      <sheetName val="Anls"/>
      <sheetName val="DAFTAR HARGA SATUAN MATERIAL"/>
      <sheetName val="bahan "/>
      <sheetName val="Analisa 2"/>
      <sheetName val="DHS"/>
      <sheetName val="REKAP"/>
      <sheetName val="Anal"/>
      <sheetName val="daf-3(OK)"/>
      <sheetName val="daf-7(OK)"/>
      <sheetName val="H.Satuan"/>
      <sheetName val="BoQ"/>
      <sheetName val="daftarbhn"/>
      <sheetName val="EVALUASI GD 1"/>
      <sheetName val="SAP"/>
      <sheetName val="atap"/>
      <sheetName val="Bangunan Utama"/>
      <sheetName val="DAFTAR HARGA"/>
      <sheetName val="HARGA SATUAN"/>
      <sheetName val="Analisa_Gabungan"/>
      <sheetName val="Analisa_2"/>
      <sheetName val="REMUNERASISTANDAR"/>
      <sheetName val="TABEL-DETASIR"/>
      <sheetName val="BAG-2"/>
      <sheetName val="Daf-Harga"/>
      <sheetName val="HRG BHN"/>
      <sheetName val="ESCON"/>
      <sheetName val="Ktitas_Hg"/>
      <sheetName val="Rkap Bya"/>
      <sheetName val="A-11 Steel Str (2)"/>
      <sheetName val="MAPP"/>
      <sheetName val="rek det 1-3"/>
      <sheetName val="S_DAYA"/>
      <sheetName val="Harga bahan"/>
      <sheetName val="daf_3_OK_"/>
      <sheetName val="daf_7_OK_"/>
      <sheetName val="Bill rekap"/>
      <sheetName val="Penwrn"/>
      <sheetName val="Scd_RAB"/>
      <sheetName val="PERALATAN AHU"/>
      <sheetName val="AIR CURTAIN"/>
      <sheetName val="DUCTING "/>
      <sheetName val="DIFFUSER _ GRILLE "/>
      <sheetName val="HB"/>
      <sheetName val="tgp_02"/>
      <sheetName val="SBDY"/>
      <sheetName val="DAPRO"/>
      <sheetName val="AKP-1"/>
      <sheetName val="RBP-4"/>
      <sheetName val="RBP-1"/>
      <sheetName val="RBP- 2"/>
      <sheetName val="RAB"/>
      <sheetName val="OH"/>
      <sheetName val="Satuan"/>
      <sheetName val="Analisa ME "/>
      <sheetName val="Rkp1"/>
      <sheetName val="JK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Bill.2. PL - SUPPLY A"/>
      <sheetName val="Material"/>
      <sheetName val="arab"/>
      <sheetName val="ANAL2"/>
      <sheetName val="ANAL1"/>
      <sheetName val="Lambersering"/>
      <sheetName val="BQ-Str"/>
      <sheetName val="BK-PU"/>
      <sheetName val="basic"/>
      <sheetName val="Tanggapan"/>
      <sheetName val="ELKP"/>
      <sheetName val="XL4Test5"/>
      <sheetName val="rek det 1_3"/>
      <sheetName val="PERHITUNGAN"/>
      <sheetName val="Agregat Halus &amp; Kasar"/>
      <sheetName val="Rekap Prelim"/>
      <sheetName val="Rekap Direct Cost"/>
      <sheetName val="Wage &amp; Tool"/>
      <sheetName val="bhn-upah"/>
      <sheetName val="RAP"/>
      <sheetName val="Rekap "/>
      <sheetName val="Type"/>
      <sheetName val="Area"/>
      <sheetName val="Discipline"/>
      <sheetName val="Deliverable"/>
      <sheetName val="Form-7"/>
      <sheetName val="Quantity"/>
      <sheetName val="Harga S Dasar"/>
      <sheetName val="div4"/>
      <sheetName val="div71"/>
      <sheetName val="div7"/>
      <sheetName val="div3"/>
      <sheetName val="Sheet1"/>
      <sheetName val="Sheet2"/>
      <sheetName val="Hargamat"/>
      <sheetName val="SCH"/>
      <sheetName val="dasboard"/>
      <sheetName val="Harga ME "/>
      <sheetName val="AR1"/>
      <sheetName val="BQ-1A prelim"/>
      <sheetName val="Suit"/>
      <sheetName val="bahan, upah,alat"/>
      <sheetName val="Plumbing &amp; Fire"/>
      <sheetName val="bau"/>
      <sheetName val="611"/>
      <sheetName val="harga dasar T-M-A"/>
      <sheetName val="Sat. Alat"/>
      <sheetName val="Sat. Bahan"/>
      <sheetName val="Data Pekerjaan"/>
      <sheetName val="Data Input"/>
      <sheetName val="Data Rumus"/>
      <sheetName val="Sat. Upah"/>
      <sheetName val="COMBINE"/>
      <sheetName val="pricing"/>
      <sheetName val="index"/>
      <sheetName val="hsd"/>
      <sheetName val="faktor"/>
      <sheetName val="eskal"/>
      <sheetName val="8LT 12"/>
      <sheetName val="villa"/>
      <sheetName val="???1"/>
      <sheetName val="bq"/>
      <sheetName val="rab - persiapan &amp; lantai-1"/>
      <sheetName val="ahs"/>
      <sheetName val="bhn,upah,alat"/>
      <sheetName val="Ans Kom Precast"/>
      <sheetName val="___1"/>
      <sheetName val="H-BHN"/>
      <sheetName val="RAB-VAC"/>
      <sheetName val="RAB-PK"/>
      <sheetName val="RAB-ELC"/>
      <sheetName val="RAB-PL"/>
      <sheetName val="RAB-EL"/>
      <sheetName val="Currency"/>
      <sheetName val="lINGKUP PEK"/>
      <sheetName val="Harga"/>
      <sheetName val="anl"/>
      <sheetName val="umum"/>
      <sheetName val="H. Dasar"/>
      <sheetName val="SPK"/>
      <sheetName val="nama PT."/>
      <sheetName val="DAF-BAHAN"/>
      <sheetName val="DAF-UPAH"/>
      <sheetName val="Meto"/>
      <sheetName val="rekI"/>
      <sheetName val="HARGA_JADI1"/>
      <sheetName val="HARGA_ALAT1"/>
      <sheetName val="Rincian_Bobot1"/>
      <sheetName val="STRUKTUR_ORG_SINDO1"/>
      <sheetName val="ANALISA_BL1"/>
      <sheetName val="Fire_Fighting"/>
      <sheetName val="Item_Kompensasi"/>
      <sheetName val="DAFTAR_HARGA_SATUAN_MATERIAL"/>
      <sheetName val="Rkap_Bya"/>
      <sheetName val="keb-BHN"/>
      <sheetName val="HARGA DASAR"/>
      <sheetName val="RAPA"/>
      <sheetName val="HarSat"/>
      <sheetName val="HB "/>
      <sheetName val="RESUME"/>
      <sheetName val="FINAL"/>
      <sheetName val="info"/>
      <sheetName val="an-aspal"/>
      <sheetName val="mob"/>
      <sheetName val="an_alat"/>
      <sheetName val="SAT-BHN"/>
      <sheetName val="Kuantitas _ Harga"/>
      <sheetName val="AHS Marka"/>
      <sheetName val="AHS Aspal"/>
      <sheetName val="terbilang rp"/>
      <sheetName val="DAF-2"/>
      <sheetName val="BILL of QUANTITY"/>
      <sheetName val="DIV"/>
      <sheetName val="Met1"/>
      <sheetName val="Met2"/>
      <sheetName val="U-B-A"/>
      <sheetName val="CAT_5"/>
      <sheetName val="harga lama"/>
      <sheetName val="THP PEK"/>
      <sheetName val="Analisa HSP"/>
      <sheetName val="Equipment f CW"/>
      <sheetName val="Material f CW"/>
      <sheetName val="Preptr&amp;Gen_work(1)"/>
      <sheetName val="input"/>
      <sheetName val="Rkp"/>
      <sheetName val="bisidev-2"/>
      <sheetName val="H.Alat"/>
      <sheetName val="BOQ EXTERN"/>
      <sheetName val="REKAPITULASI"/>
      <sheetName val="XXXX"/>
      <sheetName val="pldt"/>
      <sheetName val="Apr02"/>
      <sheetName val="PO-2"/>
      <sheetName val="Payment"/>
      <sheetName val="Antisipasi"/>
      <sheetName val="Rekap By"/>
      <sheetName val="PHU"/>
      <sheetName val="srt Pengantar shop"/>
      <sheetName val="srt Pengantar"/>
      <sheetName val="BA MOS"/>
      <sheetName val="Serah-1"/>
      <sheetName val="Mohon"/>
      <sheetName val="Periksa -Saphir"/>
      <sheetName val="Periksa"/>
      <sheetName val="Bayar"/>
      <sheetName val="Bayar (2)"/>
      <sheetName val="Kwitansi"/>
      <sheetName val="CEK"/>
      <sheetName val="MU"/>
      <sheetName val="RAPI"/>
      <sheetName val="PO2"/>
      <sheetName val="P02 H. Baru"/>
      <sheetName val="LPP-101Agust 05"/>
      <sheetName val="REKAPRAB "/>
      <sheetName val="RABLembah"/>
      <sheetName val="RABRenang"/>
      <sheetName val="RABLab"/>
      <sheetName val="CASHFLOW"/>
      <sheetName val="SCHEDULE "/>
      <sheetName val="PO_2"/>
      <sheetName val="H Satuan Dasar"/>
      <sheetName val="trans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DAFTAR 7"/>
      <sheetName val="DAFTAR_8"/>
      <sheetName val="Resume.1"/>
      <sheetName val="H_Satuan"/>
      <sheetName val="An-Ars"/>
      <sheetName val=" An-Str "/>
      <sheetName val="sai"/>
      <sheetName val="SAT"/>
      <sheetName val="tidak dipakai 1"/>
      <sheetName val="Daft.Sewa Alat"/>
      <sheetName val="SNI"/>
      <sheetName val="Hrg Alat"/>
      <sheetName val="alat-1"/>
      <sheetName val="Daft Harsat"/>
      <sheetName val="Bill-2"/>
      <sheetName val="Break Down"/>
      <sheetName val="STR-PRD01-6"/>
      <sheetName val="PROD 15-5"/>
      <sheetName val="SchC"/>
      <sheetName val="SchA"/>
      <sheetName val="SewAlat"/>
      <sheetName val="SchB"/>
      <sheetName val="SchD"/>
      <sheetName val="Agregat"/>
      <sheetName val="Quarry"/>
      <sheetName val="analisa harga satuan"/>
      <sheetName val="DATA1"/>
      <sheetName val="Harga Upah"/>
      <sheetName val="5ALAT"/>
      <sheetName val="Harga Satuan (3)"/>
      <sheetName val="3-4HSD"/>
      <sheetName val="Bhn"/>
      <sheetName val="HSD Alat"/>
      <sheetName val="HSD Bahan"/>
      <sheetName val="Lamp 2"/>
      <sheetName val="Jadwal"/>
      <sheetName val="Sum_If"/>
      <sheetName val="HSD Upah"/>
      <sheetName val="AIR COM-490681-MRI"/>
      <sheetName val="RFP006"/>
      <sheetName val="RFP002"/>
      <sheetName val="RFP007"/>
      <sheetName val="RFP012"/>
      <sheetName val="RFP009"/>
      <sheetName val="RFP004"/>
      <sheetName val="Cost Summary"/>
      <sheetName val="Sat Upah"/>
      <sheetName val="Axial+bending"/>
      <sheetName val="Rot-Pack"/>
      <sheetName val="REFTABLE"/>
      <sheetName val="Analisa Baku STR ARS"/>
      <sheetName val="BASIC PRICE"/>
      <sheetName val="MCSet4"/>
      <sheetName val="Bagan"/>
      <sheetName val="Schedulle Peralatan"/>
      <sheetName val="Stuktur"/>
      <sheetName val="PRICE"/>
      <sheetName val="Komponen"/>
      <sheetName val="K210"/>
      <sheetName val="ana_str"/>
      <sheetName val="G.10x20"/>
      <sheetName val="Bengkel (Design RSPO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DASAR"/>
      <sheetName val="MAP"/>
      <sheetName val="Harga Mat"/>
      <sheetName val="DAFT_HARG_SAT_PEK."/>
      <sheetName val="ADM"/>
      <sheetName val="Bank"/>
      <sheetName val="Rincian SIM"/>
      <sheetName val="PMS"/>
      <sheetName val="PP"/>
      <sheetName val="API610 Process Data"/>
      <sheetName val="615E101AB(CASE85F)"/>
      <sheetName val="DCS"/>
      <sheetName val="ANALYSER"/>
      <sheetName val="STEP"/>
      <sheetName val="Insts"/>
      <sheetName val="HSBU"/>
      <sheetName val="LAPIUT"/>
      <sheetName val="BTL-Persiapan"/>
      <sheetName val="BTL-alat"/>
      <sheetName val="BTL-Bau"/>
      <sheetName val="Alat_k3"/>
      <sheetName val="BTL-Rupa"/>
      <sheetName val="HM"/>
      <sheetName val="LAL - PASAR PAGI "/>
      <sheetName val="Bahan &amp; Tenaga"/>
      <sheetName val="UPAH BORONG"/>
      <sheetName val="Ana_Jembatan_Reklamasi"/>
      <sheetName val="HRG SAT. MATERIAL"/>
      <sheetName val="HRG SAT. UPAH"/>
      <sheetName val="TABEL"/>
      <sheetName val="Ahs_2"/>
      <sheetName val="Ahs_1"/>
      <sheetName val="ANALISA (5)"/>
      <sheetName val="DAF-5"/>
      <sheetName val="AHS ARS"/>
      <sheetName val="UPAH &amp; BHN ARS"/>
      <sheetName val="Ikhtisar"/>
      <sheetName val="SEX"/>
      <sheetName val="Price Biaya Cadangan"/>
      <sheetName val="BQ.Rekapitulasi  Akhir"/>
      <sheetName val="Sat Bah &amp; Up"/>
      <sheetName val="Anal uph"/>
      <sheetName val="isian"/>
      <sheetName val="J.PERALATAN"/>
      <sheetName val="H.MATERIAL"/>
      <sheetName val="Lab E (FKU)"/>
      <sheetName val="REKLAMASI"/>
      <sheetName val="Bill 1 - 9"/>
      <sheetName val="Bill 12"/>
      <sheetName val="Bill 10"/>
      <sheetName val="Kuantitas &amp; Harga"/>
      <sheetName val="mortar"/>
      <sheetName val="mc adam"/>
      <sheetName val="ps batu&amp;brjg"/>
      <sheetName val="rumus"/>
      <sheetName val="Cover (x)"/>
      <sheetName val="Cor Apt"/>
      <sheetName val="Cipinang"/>
      <sheetName val="Bek.Sloof"/>
      <sheetName val="Sheet3"/>
      <sheetName val="3.LBK"/>
      <sheetName val="BOBOT MINGGUAN"/>
      <sheetName val="bayar_04_fak"/>
      <sheetName val="bu alat"/>
      <sheetName val="bu mat"/>
      <sheetName val="bu tenaga"/>
      <sheetName val="DAF.ALAT"/>
      <sheetName val="Analisa Alat Berat"/>
      <sheetName val="dt-1"/>
      <sheetName val="dt-2"/>
      <sheetName val="POS-4.1"/>
      <sheetName val="Des-05"/>
      <sheetName val="SAT.UPAH"/>
      <sheetName val="Mat.Mek"/>
      <sheetName val="Mat.Elk"/>
      <sheetName val="BL"/>
      <sheetName val="DSDY"/>
      <sheetName val="anaUTama"/>
      <sheetName val="AnaAlat"/>
      <sheetName val="anaMo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EL"/>
      <sheetName val="AHASS (3)"/>
      <sheetName val="Ahass (2)"/>
      <sheetName val="Rekap"/>
      <sheetName val="Preliminaries"/>
      <sheetName val="Electrikal"/>
      <sheetName val="Elektronik"/>
      <sheetName val="Plumbing"/>
      <sheetName val="Fire Fighting"/>
      <sheetName val="AC"/>
      <sheetName val="Item Kompensasi"/>
      <sheetName val="Spek"/>
      <sheetName val="H.Satuan"/>
      <sheetName val="HARSAT_BAH"/>
      <sheetName val="BQ-E20-02(Rp)"/>
      <sheetName val="Vol."/>
      <sheetName val="FINISHING"/>
      <sheetName val="ana-alat"/>
      <sheetName val="Analisa"/>
      <sheetName val="Plumbing &amp; Fire"/>
      <sheetName val="STRUKTUR"/>
      <sheetName val="ARSITEKTUR"/>
      <sheetName val="STR"/>
      <sheetName val="#REF"/>
      <sheetName val="Cover (x)"/>
      <sheetName val="Cor Apt"/>
      <sheetName val="H-BHN"/>
      <sheetName val="Hrg.Sat"/>
      <sheetName val="dasboard"/>
      <sheetName val="AHS_Kusen"/>
      <sheetName val="harsat&amp;upah"/>
      <sheetName val="input"/>
      <sheetName val="Bill of Qty MEP"/>
      <sheetName val="Hargamat"/>
      <sheetName val="Cover"/>
      <sheetName val="MAPP"/>
      <sheetName val="rek det 1-3"/>
      <sheetName val="PPC"/>
      <sheetName val="HARGA MATERIAL"/>
      <sheetName val="Mall"/>
      <sheetName val="Mat.Mek"/>
      <sheetName val="Mat.Elk"/>
      <sheetName val="Bangunan Utama"/>
      <sheetName val="struktur tdk dipakai"/>
      <sheetName val="HARGA ALAT"/>
      <sheetName val="harsat"/>
      <sheetName val="Daf-Harga"/>
      <sheetName val="satuan_pek_ars"/>
      <sheetName val="HARGA SATUAN"/>
      <sheetName val="BQ_E20_02_Rp_"/>
      <sheetName val="Ana"/>
      <sheetName val="Elektrikal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Anal"/>
      <sheetName val="Fak"/>
      <sheetName val="Rek-Tot"/>
      <sheetName val="HarSat"/>
      <sheetName val="alat"/>
      <sheetName val="HarSat (2)"/>
      <sheetName val="Str"/>
      <sheetName val="Ars"/>
      <sheetName val="STRUK"/>
      <sheetName val="STRUKTUR"/>
      <sheetName val="Rek-Str"/>
      <sheetName val="Rek-Ars"/>
      <sheetName val="Rek-Mek"/>
      <sheetName val="Mek"/>
      <sheetName val="Rek-Elek"/>
      <sheetName val="Elek"/>
      <sheetName val="SKE-BAHAN"/>
      <sheetName val="SKEDUL"/>
      <sheetName val="HIT.VOL"/>
      <sheetName val="SAT"/>
      <sheetName val="Rek_Tot"/>
      <sheetName val="Huruf"/>
      <sheetName val="Rekap Analisa"/>
      <sheetName val="analisa"/>
      <sheetName val="Harga Bahan &amp; Upah "/>
      <sheetName val="5_APEK"/>
      <sheetName val="5_ANALISA"/>
      <sheetName val="3_RAPI"/>
      <sheetName val="notasi"/>
      <sheetName val="4_RAPA evaluasi divisi"/>
      <sheetName val="vol-pek"/>
      <sheetName val="HB "/>
    </sheetNames>
    <sheetDataSet>
      <sheetData sheetId="0"/>
      <sheetData sheetId="1" refreshError="1">
        <row r="496">
          <cell r="K496">
            <v>544000</v>
          </cell>
        </row>
        <row r="503">
          <cell r="K503">
            <v>599000</v>
          </cell>
        </row>
      </sheetData>
      <sheetData sheetId="2" refreshError="1">
        <row r="16">
          <cell r="C16">
            <v>1</v>
          </cell>
        </row>
        <row r="17">
          <cell r="C17">
            <v>1</v>
          </cell>
        </row>
      </sheetData>
      <sheetData sheetId="3" refreshError="1">
        <row r="19">
          <cell r="H19">
            <v>15455563256.415501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BAhan ME"/>
      <sheetName val="Analis ME"/>
      <sheetName val="HB"/>
      <sheetName val="ANALISA"/>
      <sheetName val="HB "/>
      <sheetName val="BQ-E20-02(Rp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DASHBOARD"/>
      <sheetName val="Rekap Total"/>
      <sheetName val="Persiapan"/>
      <sheetName val="Sub Structure"/>
      <sheetName val="REKAP-STR"/>
      <sheetName val="RAB-STR"/>
      <sheetName val="ana_str"/>
      <sheetName val="harsat"/>
      <sheetName val="satuan_pek_str"/>
      <sheetName val="HDasar"/>
      <sheetName val="ANALISA"/>
      <sheetName val="ANALISA BAHAN"/>
      <sheetName val="upah"/>
      <sheetName val="Harga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lan&amp;parkir"/>
      <sheetName val="BBM"/>
      <sheetName val="perb. nelayan"/>
      <sheetName val="Analisa"/>
      <sheetName val="perk.jalan"/>
      <sheetName val="jln krj nelayan"/>
      <sheetName val="penerangan"/>
      <sheetName val="AO-UMUM"/>
    </sheetNames>
    <sheetDataSet>
      <sheetData sheetId="0" refreshError="1"/>
      <sheetData sheetId="1" refreshError="1"/>
      <sheetData sheetId="2" refreshError="1"/>
      <sheetData sheetId="3" refreshError="1">
        <row r="11">
          <cell r="F11">
            <v>3100</v>
          </cell>
        </row>
        <row r="17">
          <cell r="F17">
            <v>26800</v>
          </cell>
        </row>
        <row r="24">
          <cell r="F24">
            <v>22000</v>
          </cell>
        </row>
        <row r="30">
          <cell r="F30">
            <v>1819875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KTOR"/>
      <sheetName val="bahan"/>
      <sheetName val="RAPlenk"/>
      <sheetName val="RAP"/>
      <sheetName val="Rekap "/>
      <sheetName val="ANAL"/>
      <sheetName val="SAT"/>
      <sheetName val="Sub"/>
      <sheetName val="MON_OH"/>
      <sheetName val="8LT 12"/>
      <sheetName val="Rekap Analisa"/>
      <sheetName val="Fak"/>
      <sheetName val="Rek-Tot"/>
    </sheetNames>
    <sheetDataSet>
      <sheetData sheetId="0" refreshError="1">
        <row r="25">
          <cell r="B25" t="str">
            <v>BAGIAN PROYEK</v>
          </cell>
          <cell r="C25" t="str">
            <v>PENINGKATAN JALAN JOMBANG - KERTOSONO - KEDIRI</v>
          </cell>
        </row>
        <row r="26">
          <cell r="C26" t="str">
            <v xml:space="preserve">PENINGKATAN JALAN GEMEKAN - JOMBANG </v>
          </cell>
        </row>
        <row r="27">
          <cell r="C27" t="str">
            <v>JAWA TIMUR</v>
          </cell>
        </row>
        <row r="28">
          <cell r="C28" t="str">
            <v>PT. WIDYA SATRIA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ndisi SPH"/>
      <sheetName val="Persiapan"/>
      <sheetName val="Bill Of Quantity"/>
      <sheetName val="Tab Kolom GN"/>
      <sheetName val="PileCap"/>
      <sheetName val="Tie Beam GN"/>
      <sheetName val="Kolom "/>
      <sheetName val="Plat GN"/>
      <sheetName val="Tangga GN"/>
      <sheetName val="Balok L.2 GN"/>
      <sheetName val="Balok L.3 GN "/>
      <sheetName val="Balok L.Atap GN "/>
      <sheetName val="Balok L.4 GN"/>
      <sheetName val="Waterproofing"/>
      <sheetName val="Sheet2"/>
      <sheetName val="Sheet5"/>
      <sheetName val="Sheet4"/>
      <sheetName val="Sheet3"/>
      <sheetName val="Sheet1"/>
      <sheetName val="Daf 1"/>
      <sheetName val="Harsat Bahan"/>
      <sheetName val="Harsat Upah"/>
      <sheetName val="Fill this out first___"/>
      <sheetName val="harsat"/>
      <sheetName val="A"/>
      <sheetName val="Cover"/>
      <sheetName val="Traf&amp;Genst"/>
      <sheetName val="bahan"/>
      <sheetName val="Bahan-Upah 08"/>
      <sheetName val="DAF_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>
        <row r="3">
          <cell r="J3" t="str">
            <v>\0</v>
          </cell>
        </row>
        <row r="39">
          <cell r="A39" t="str">
            <v>ANALISA HARGA SATUAN DASAR BAHAN</v>
          </cell>
        </row>
        <row r="41">
          <cell r="A41" t="str">
            <v>Jenis</v>
          </cell>
          <cell r="B41" t="str">
            <v>:</v>
          </cell>
          <cell r="C41" t="str">
            <v>M01 -  Pasir</v>
          </cell>
        </row>
        <row r="42">
          <cell r="A42" t="str">
            <v>Lokasi</v>
          </cell>
          <cell r="B42" t="str">
            <v>:</v>
          </cell>
          <cell r="C42" t="str">
            <v>Quarry</v>
          </cell>
        </row>
        <row r="43">
          <cell r="A43" t="str">
            <v>Tujuan</v>
          </cell>
          <cell r="B43" t="str">
            <v>:</v>
          </cell>
          <cell r="C43" t="str">
            <v>Base Camp</v>
          </cell>
        </row>
        <row r="47">
          <cell r="A47" t="str">
            <v>No.</v>
          </cell>
          <cell r="B47" t="str">
            <v>URAIAN</v>
          </cell>
          <cell r="E47" t="str">
            <v>KODE</v>
          </cell>
          <cell r="F47" t="str">
            <v>KOEF.</v>
          </cell>
          <cell r="G47" t="str">
            <v>SATUAN</v>
          </cell>
        </row>
        <row r="50">
          <cell r="A50" t="str">
            <v>I.</v>
          </cell>
          <cell r="C50" t="str">
            <v>ASUMSI</v>
          </cell>
        </row>
        <row r="51">
          <cell r="A51">
            <v>1</v>
          </cell>
          <cell r="C51" t="str">
            <v>Menggunakan alat berat</v>
          </cell>
        </row>
        <row r="52">
          <cell r="A52">
            <v>2</v>
          </cell>
          <cell r="C52" t="str">
            <v>Kondisi Jalan   :  sedang / baik</v>
          </cell>
        </row>
        <row r="53">
          <cell r="A53">
            <v>3</v>
          </cell>
          <cell r="C53" t="str">
            <v>Jarak Quarry ke lokasi Base Camp</v>
          </cell>
          <cell r="E53" t="str">
            <v>L</v>
          </cell>
          <cell r="F53">
            <v>10</v>
          </cell>
          <cell r="G53" t="str">
            <v>Km</v>
          </cell>
        </row>
        <row r="54">
          <cell r="A54">
            <v>4</v>
          </cell>
          <cell r="C54" t="str">
            <v>Harga satuan pasir di Quarry</v>
          </cell>
          <cell r="E54" t="str">
            <v>RpM01</v>
          </cell>
          <cell r="F54">
            <v>1</v>
          </cell>
          <cell r="G54" t="str">
            <v>M3</v>
          </cell>
        </row>
        <row r="55">
          <cell r="A55">
            <v>5</v>
          </cell>
          <cell r="C55" t="str">
            <v>Harga Satuan Dasar Excavator</v>
          </cell>
          <cell r="E55" t="str">
            <v>RpE10</v>
          </cell>
          <cell r="F55">
            <v>1</v>
          </cell>
          <cell r="G55" t="str">
            <v>Jam</v>
          </cell>
        </row>
        <row r="56">
          <cell r="A56">
            <v>6</v>
          </cell>
          <cell r="C56" t="str">
            <v>Harga Satuan Dasar Dump Truck</v>
          </cell>
          <cell r="E56" t="str">
            <v>RpE08</v>
          </cell>
          <cell r="F56">
            <v>1</v>
          </cell>
          <cell r="G56" t="str">
            <v>Jam</v>
          </cell>
        </row>
        <row r="58">
          <cell r="A58" t="str">
            <v>II.</v>
          </cell>
          <cell r="C58" t="str">
            <v>URUTAN KERJA</v>
          </cell>
        </row>
        <row r="59">
          <cell r="A59">
            <v>1</v>
          </cell>
          <cell r="C59" t="str">
            <v>Pasir digali dengan Excavator</v>
          </cell>
        </row>
        <row r="60">
          <cell r="A60">
            <v>2</v>
          </cell>
          <cell r="C60" t="str">
            <v>Excavator sekaligus memuat pasir hasil</v>
          </cell>
        </row>
        <row r="61">
          <cell r="C61" t="str">
            <v>galian ke dalam Dump Truck</v>
          </cell>
        </row>
        <row r="62">
          <cell r="A62">
            <v>3</v>
          </cell>
          <cell r="C62" t="str">
            <v>Dump Truck mengangkut pasir ke lokasi</v>
          </cell>
        </row>
        <row r="63">
          <cell r="C63" t="str">
            <v>Base Camp</v>
          </cell>
        </row>
        <row r="65">
          <cell r="A65" t="str">
            <v>III.</v>
          </cell>
          <cell r="C65" t="str">
            <v>PERHITUNGAN</v>
          </cell>
        </row>
        <row r="67">
          <cell r="C67" t="str">
            <v>EXCAVATOR</v>
          </cell>
          <cell r="E67" t="str">
            <v>(E10)</v>
          </cell>
        </row>
        <row r="68">
          <cell r="C68" t="str">
            <v>Kapasitas Bucket</v>
          </cell>
          <cell r="E68" t="str">
            <v>V</v>
          </cell>
          <cell r="F68">
            <v>0.5</v>
          </cell>
          <cell r="G68" t="str">
            <v>M3</v>
          </cell>
        </row>
        <row r="69">
          <cell r="C69" t="str">
            <v>Faktor Bucket</v>
          </cell>
          <cell r="E69" t="str">
            <v>Fb</v>
          </cell>
          <cell r="F69">
            <v>0.9</v>
          </cell>
          <cell r="G69" t="str">
            <v>-</v>
          </cell>
        </row>
        <row r="70">
          <cell r="C70" t="str">
            <v>Faktor  Efisiensi alat</v>
          </cell>
          <cell r="E70" t="str">
            <v>Fa</v>
          </cell>
          <cell r="F70">
            <v>0.83</v>
          </cell>
          <cell r="G70" t="str">
            <v>-</v>
          </cell>
        </row>
        <row r="71">
          <cell r="C71" t="str">
            <v>Waktu siklus</v>
          </cell>
          <cell r="E71" t="str">
            <v>Ts1</v>
          </cell>
        </row>
        <row r="72">
          <cell r="C72" t="str">
            <v>- Menggali / memuat</v>
          </cell>
          <cell r="E72" t="str">
            <v>T1</v>
          </cell>
          <cell r="F72">
            <v>0.5</v>
          </cell>
          <cell r="G72" t="str">
            <v>menit</v>
          </cell>
        </row>
        <row r="73">
          <cell r="C73" t="str">
            <v>- Lain-lain</v>
          </cell>
          <cell r="E73" t="str">
            <v>T2</v>
          </cell>
          <cell r="F73">
            <v>0.5</v>
          </cell>
          <cell r="G73" t="str">
            <v>menit</v>
          </cell>
        </row>
        <row r="74">
          <cell r="E74" t="str">
            <v>Ts1</v>
          </cell>
          <cell r="F74">
            <v>1</v>
          </cell>
          <cell r="G74" t="str">
            <v>menit</v>
          </cell>
        </row>
        <row r="75">
          <cell r="C75" t="str">
            <v>Kap. Prod. / jam =</v>
          </cell>
        </row>
        <row r="76">
          <cell r="C76" t="str">
            <v>V  x Fb x Fa x 60</v>
          </cell>
          <cell r="E76" t="str">
            <v>Q1</v>
          </cell>
          <cell r="F76">
            <v>22.41</v>
          </cell>
          <cell r="G76" t="str">
            <v>M3 / Jam</v>
          </cell>
        </row>
        <row r="77">
          <cell r="C77" t="str">
            <v>Ts1</v>
          </cell>
        </row>
        <row r="79">
          <cell r="C79" t="str">
            <v>Biaya Excavator / M3  =  (1 : Q1) x RpE10</v>
          </cell>
          <cell r="E79" t="str">
            <v>Rp1</v>
          </cell>
          <cell r="F79">
            <v>4738.5658163363696</v>
          </cell>
          <cell r="G79" t="str">
            <v>Rupiah</v>
          </cell>
        </row>
        <row r="82">
          <cell r="C82" t="str">
            <v>DUMP TRUCK</v>
          </cell>
          <cell r="E82" t="str">
            <v>(E08)</v>
          </cell>
        </row>
        <row r="83">
          <cell r="C83" t="str">
            <v>Kapasitas bak</v>
          </cell>
          <cell r="E83" t="str">
            <v>V</v>
          </cell>
          <cell r="F83">
            <v>4</v>
          </cell>
          <cell r="G83" t="str">
            <v>M3</v>
          </cell>
        </row>
        <row r="84">
          <cell r="C84" t="str">
            <v>Faktor  efisiensi alat</v>
          </cell>
          <cell r="E84" t="str">
            <v>Fa</v>
          </cell>
          <cell r="F84">
            <v>0.83</v>
          </cell>
          <cell r="G84" t="str">
            <v>-</v>
          </cell>
        </row>
        <row r="85">
          <cell r="C85" t="str">
            <v>Kecepatan rata-rata bermuatan</v>
          </cell>
          <cell r="E85" t="str">
            <v>v1</v>
          </cell>
          <cell r="F85">
            <v>40</v>
          </cell>
          <cell r="G85" t="str">
            <v>KM/Jam</v>
          </cell>
        </row>
        <row r="86">
          <cell r="C86" t="str">
            <v>Kecepatan rata-rata kosong</v>
          </cell>
          <cell r="E86" t="str">
            <v>v2</v>
          </cell>
          <cell r="F86">
            <v>50</v>
          </cell>
          <cell r="G86" t="str">
            <v>KM/Jam</v>
          </cell>
        </row>
        <row r="87">
          <cell r="C87" t="str">
            <v>Waktu  siklus</v>
          </cell>
          <cell r="E87" t="str">
            <v>Ts2</v>
          </cell>
        </row>
        <row r="88">
          <cell r="C88" t="str">
            <v>- Waktu tempuh isi  =  (L/v1) x 60</v>
          </cell>
          <cell r="E88" t="str">
            <v>T1</v>
          </cell>
          <cell r="F88">
            <v>15</v>
          </cell>
          <cell r="G88" t="str">
            <v>menit</v>
          </cell>
        </row>
        <row r="89">
          <cell r="C89" t="str">
            <v>- Waktu tempuh kosong  =  (L/v2) x 60</v>
          </cell>
          <cell r="E89" t="str">
            <v>T2</v>
          </cell>
          <cell r="F89">
            <v>12</v>
          </cell>
          <cell r="G89" t="str">
            <v>menit</v>
          </cell>
        </row>
        <row r="90">
          <cell r="C90" t="str">
            <v>- Muat   =  (V/Q1) x 60</v>
          </cell>
          <cell r="E90" t="str">
            <v>T3</v>
          </cell>
          <cell r="F90">
            <v>10.7095046854083</v>
          </cell>
          <cell r="G90" t="str">
            <v>menit</v>
          </cell>
        </row>
        <row r="91">
          <cell r="C91" t="str">
            <v>- Lain-lain</v>
          </cell>
          <cell r="E91" t="str">
            <v>T4</v>
          </cell>
          <cell r="F91">
            <v>1</v>
          </cell>
          <cell r="G91" t="str">
            <v>menit</v>
          </cell>
        </row>
        <row r="92">
          <cell r="E92" t="str">
            <v>Ts2</v>
          </cell>
          <cell r="F92">
            <v>38.709504685408298</v>
          </cell>
          <cell r="G92" t="str">
            <v>menit</v>
          </cell>
        </row>
        <row r="95">
          <cell r="A95" t="str">
            <v>ANALISA HARGA SATUAN DASAR BAHAN</v>
          </cell>
        </row>
        <row r="97">
          <cell r="A97" t="str">
            <v>Jenis</v>
          </cell>
          <cell r="B97" t="str">
            <v>:</v>
          </cell>
          <cell r="C97" t="str">
            <v>M01 -  Pasir</v>
          </cell>
        </row>
        <row r="98">
          <cell r="A98" t="str">
            <v>Lokasi</v>
          </cell>
          <cell r="B98" t="str">
            <v>:</v>
          </cell>
          <cell r="C98" t="str">
            <v>Quarry</v>
          </cell>
        </row>
        <row r="99">
          <cell r="A99" t="str">
            <v>Tujuan</v>
          </cell>
          <cell r="B99" t="str">
            <v>:</v>
          </cell>
          <cell r="C99" t="str">
            <v>Base Camp</v>
          </cell>
        </row>
        <row r="103">
          <cell r="A103" t="str">
            <v>No.</v>
          </cell>
          <cell r="B103" t="str">
            <v>URAIAN</v>
          </cell>
          <cell r="E103" t="str">
            <v>KODE</v>
          </cell>
          <cell r="F103" t="str">
            <v>KOEF.</v>
          </cell>
          <cell r="G103" t="str">
            <v>SATUAN</v>
          </cell>
        </row>
        <row r="106">
          <cell r="C106" t="str">
            <v>Kapasitas Produksi / Jam   =</v>
          </cell>
        </row>
        <row r="107">
          <cell r="C107" t="str">
            <v>V x Fa x 60</v>
          </cell>
          <cell r="E107" t="str">
            <v>Q2</v>
          </cell>
          <cell r="F107">
            <v>5.1460229630654313</v>
          </cell>
          <cell r="G107" t="str">
            <v>M3 / Jam</v>
          </cell>
        </row>
        <row r="108">
          <cell r="C108" t="str">
            <v>Ts2</v>
          </cell>
        </row>
        <row r="110">
          <cell r="C110" t="str">
            <v>Biaya Dump Truck / M3  =  (1 : Q2) x RpE08</v>
          </cell>
          <cell r="E110" t="str">
            <v>Rp2</v>
          </cell>
          <cell r="F110">
            <v>15035.175487042825</v>
          </cell>
          <cell r="G110" t="str">
            <v>Rupiah</v>
          </cell>
        </row>
        <row r="113">
          <cell r="A113" t="str">
            <v>IV.</v>
          </cell>
          <cell r="C113" t="str">
            <v>HARGA SATUAN DASAR BAHAN</v>
          </cell>
        </row>
        <row r="114">
          <cell r="C114" t="str">
            <v>DI LOKASI BASE CAMP</v>
          </cell>
        </row>
        <row r="116">
          <cell r="C116" t="str">
            <v>Harga Satuan Dasar Pasir   =</v>
          </cell>
        </row>
        <row r="118">
          <cell r="C118" t="str">
            <v>(  RpM01  +  Rp1  +  Rp2  )</v>
          </cell>
          <cell r="E118" t="str">
            <v>M01</v>
          </cell>
          <cell r="F118">
            <v>45523.741303379196</v>
          </cell>
          <cell r="G118" t="str">
            <v>Rupiah</v>
          </cell>
        </row>
        <row r="120">
          <cell r="C120" t="str">
            <v>Dibulatkan   :</v>
          </cell>
          <cell r="E120" t="str">
            <v>M01</v>
          </cell>
          <cell r="F120">
            <v>45500</v>
          </cell>
          <cell r="G120" t="str">
            <v>Rupiah</v>
          </cell>
        </row>
        <row r="151">
          <cell r="A151" t="str">
            <v>ANALISA HARGA SATUAN DASAR BAHAN</v>
          </cell>
        </row>
        <row r="153">
          <cell r="A153" t="str">
            <v>Jenis</v>
          </cell>
          <cell r="B153" t="str">
            <v>:</v>
          </cell>
          <cell r="C153" t="str">
            <v>M02  -  Batu Kali</v>
          </cell>
        </row>
        <row r="154">
          <cell r="A154" t="str">
            <v>Lokasi</v>
          </cell>
          <cell r="B154" t="str">
            <v>:</v>
          </cell>
          <cell r="C154" t="str">
            <v>Quarry</v>
          </cell>
        </row>
        <row r="155">
          <cell r="A155" t="str">
            <v>Tujuan</v>
          </cell>
          <cell r="B155" t="str">
            <v>:</v>
          </cell>
          <cell r="C155" t="str">
            <v>Lokasi Pekerjaan</v>
          </cell>
        </row>
        <row r="159">
          <cell r="A159" t="str">
            <v>No.</v>
          </cell>
          <cell r="B159" t="str">
            <v>URAIAN</v>
          </cell>
          <cell r="E159" t="str">
            <v>KODE</v>
          </cell>
          <cell r="F159" t="str">
            <v>KOEF.</v>
          </cell>
          <cell r="G159" t="str">
            <v>SATUAN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 1"/>
      <sheetName val="Cat Harga"/>
      <sheetName val="Sum"/>
      <sheetName val="Daf 2"/>
      <sheetName val="Daf 3"/>
      <sheetName val="Daf 4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bahan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harsat"/>
      <sheetName val="satuan_pek_str"/>
      <sheetName val="BTL-Persiapan"/>
      <sheetName val="BTL-Bau"/>
      <sheetName val="BTL-alat"/>
      <sheetName val="BTL-Rupa"/>
      <sheetName val="Mall"/>
      <sheetName val="Anl"/>
      <sheetName val="I_KAMAR"/>
      <sheetName val="I-KAMAR"/>
      <sheetName val="Analisa Harga Satuan"/>
      <sheetName val="ES_PARK"/>
      <sheetName val="An Arsitektur"/>
      <sheetName val="An Struktur"/>
      <sheetName val="BOQ"/>
      <sheetName val="Unit Rate"/>
      <sheetName val="ME Mall"/>
      <sheetName val="Material"/>
      <sheetName val="Daftar Harga"/>
      <sheetName val="HSATUAN"/>
      <sheetName val="Analisa Upah &amp; Bahan Plum"/>
      <sheetName val="NAME"/>
      <sheetName val="daf-3(OK)"/>
      <sheetName val="daf-7(OK)"/>
      <sheetName val="Traf&amp;Genst"/>
      <sheetName val="Daftar Harga Material"/>
      <sheetName val="Isolasi Luar Dalam"/>
      <sheetName val="Isolasi Luar"/>
      <sheetName val="Bahan "/>
      <sheetName val="Pekerjaan "/>
      <sheetName val="RC-ANL"/>
      <sheetName val="Alat"/>
      <sheetName val="Analisa Gabungan"/>
      <sheetName val="Sub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2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ANALISA ALAT BERAT"/>
      <sheetName val="Ana"/>
      <sheetName val="Grand total"/>
      <sheetName val="rab - persiapan &amp; lantai-1"/>
      <sheetName val="STRUKTUR"/>
      <sheetName val="ARSITEKTUR"/>
      <sheetName val="DUCTING "/>
      <sheetName val="I-ME"/>
      <sheetName val="RAB Triduta"/>
      <sheetName val="analisa"/>
      <sheetName val="ana_str"/>
      <sheetName val="Hargamat"/>
      <sheetName val="data"/>
      <sheetName val="D4"/>
      <sheetName val="D6"/>
      <sheetName val="D7"/>
      <sheetName val="D8"/>
      <sheetName val="RAB"/>
      <sheetName val="Prelim"/>
      <sheetName val="Analisa ME "/>
      <sheetName val="Direct Cost"/>
      <sheetName val="Analisa -Baku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C"/>
      <sheetName val="harga dasar"/>
      <sheetName val="FINISHING"/>
      <sheetName val=" R A B"/>
      <sheetName val="HSBU ANA"/>
      <sheetName val="6_9D_W"/>
      <sheetName val="6_10__I"/>
      <sheetName val="2_12PA"/>
      <sheetName val="2_1P"/>
      <sheetName val="2_3C"/>
      <sheetName val="2_4F"/>
      <sheetName val="BQ-E20-02(Rp)"/>
      <sheetName val="Harsat Upah"/>
      <sheetName val="Perhitungan Besi"/>
      <sheetName val="HB "/>
      <sheetName val="Genst"/>
      <sheetName val="Hrg"/>
      <sheetName val="A"/>
      <sheetName val="FORM X COST"/>
      <sheetName val="Trafo"/>
      <sheetName val="Elekt"/>
      <sheetName val="Rekap TamKur"/>
      <sheetName val="DAF_5_1"/>
      <sheetName val="DAF_5_2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atap"/>
      <sheetName val="anal"/>
      <sheetName val="Elektrikal"/>
      <sheetName val="Hit Vol Str Jambi"/>
      <sheetName val="Packet"/>
      <sheetName val="Cover Daf_2"/>
      <sheetName val="STR"/>
      <sheetName val="p_luar"/>
      <sheetName val="RINC FIN T4  _3_"/>
      <sheetName val="RINC FIN T4  _2_"/>
      <sheetName val="fin SB"/>
      <sheetName val="FIN PARKIR"/>
      <sheetName val="RINC FIN T4 "/>
      <sheetName val="REKAP_Akap"/>
      <sheetName val="analt"/>
      <sheetName val="daf_3_OK_"/>
      <sheetName val="EXTERNAL WORK"/>
      <sheetName val="Harga"/>
      <sheetName val="Cover Daf-2"/>
      <sheetName val="Harga "/>
      <sheetName val="hs-str"/>
      <sheetName val="H Satuan Dasar"/>
      <sheetName val="PERALATAN AHU"/>
      <sheetName val="AIR CURTAIN"/>
      <sheetName val="DIFFUSER &amp; GRILLE "/>
      <sheetName val="PERALATAN EVB+CU"/>
      <sheetName val="PERALATAN FAN"/>
      <sheetName val="KATUP-KATUP"/>
      <sheetName val="Agregat Halus &amp; Kasar"/>
      <sheetName val="BASIC"/>
      <sheetName val="ANA-HRG"/>
      <sheetName val="RC-ANLPP"/>
      <sheetName val="DAFTAR NO_8"/>
      <sheetName val="Hsatbahan"/>
      <sheetName val="BasicPrice"/>
      <sheetName val="HIDRO"/>
      <sheetName val="HARGA ALAT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Bill_2"/>
      <sheetName val="dinding"/>
      <sheetName val="final-wkc"/>
      <sheetName val="HRG BHN"/>
      <sheetName val="Harga Satuan"/>
      <sheetName val="rekap RAP"/>
      <sheetName val="cash flow"/>
      <sheetName val="RAP"/>
      <sheetName val="Tawar"/>
      <sheetName val="Standard Room Deluxe Queen"/>
      <sheetName val="Rekap Harga Satuan"/>
      <sheetName val="Ahs.2"/>
      <sheetName val="Ahs.1"/>
      <sheetName val="#REF!"/>
      <sheetName val="H.SAT"/>
      <sheetName val="AHSbj"/>
      <sheetName val="ESCON"/>
      <sheetName val="Fire Fighting"/>
      <sheetName val="ahs-pipapl"/>
      <sheetName val="Anls FA (Inst)"/>
      <sheetName val="daf_7_OK_"/>
      <sheetName val="200"/>
      <sheetName val="blok 7"/>
      <sheetName val="Kell_Dind_"/>
      <sheetName val="Pintu Jendela"/>
      <sheetName val="A+Supl."/>
      <sheetName val="7"/>
      <sheetName val="KH_Q1_Q2_01"/>
      <sheetName val="AN-LANTAI"/>
      <sheetName val="AN-KUSEN"/>
      <sheetName val="AN-PLAFOND"/>
      <sheetName val="AN-GRC"/>
      <sheetName val="AN-RAILING"/>
      <sheetName val="Sheet3"/>
      <sheetName val="hsd"/>
      <sheetName val="anal_hs"/>
      <sheetName val="COST TO GO tanpa keluar"/>
      <sheetName val="COST TO GO dengan baju"/>
      <sheetName val="HARSAT_BAH"/>
      <sheetName val="Bill 4.2"/>
      <sheetName val="Bill 3.5"/>
      <sheetName val="BQ"/>
      <sheetName val="hsp_STR_ARS"/>
      <sheetName val="Rab "/>
      <sheetName val="Bill-2"/>
      <sheetName val="R A B"/>
      <sheetName val="Harga Bahan"/>
      <sheetName val="Harga ME "/>
      <sheetName val="H.Satuan"/>
      <sheetName val="Sheet1 (2)"/>
      <sheetName val="ANALISA HARGA "/>
      <sheetName val="Rekap"/>
      <sheetName val="Bill of Qty MEP"/>
      <sheetName val="lab bahasa"/>
      <sheetName val="Rek Arsitektur"/>
      <sheetName val="Upah&amp;Harga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Analisa hy"/>
      <sheetName val="formula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u"/>
      <sheetName val="MAPP"/>
      <sheetName val="rek det 1-3"/>
      <sheetName val="sdm"/>
      <sheetName val="map"/>
      <sheetName val="rkp"/>
      <sheetName val="Anls"/>
      <sheetName val="교통대책내역"/>
      <sheetName val="DAFTAR NO_2"/>
      <sheetName val="DAFTAR NO_3"/>
      <sheetName val="BQ_E20_02_Rp_"/>
      <sheetName val="Lt 1"/>
      <sheetName val="Bangunan Utama"/>
      <sheetName val="304_06"/>
      <sheetName val="ST-Kantor"/>
      <sheetName val="Analisa Harga"/>
      <sheetName val="Bahan dan Upah"/>
      <sheetName val="4"/>
      <sheetName val="304-06"/>
      <sheetName val="truth"/>
      <sheetName val="Summary"/>
      <sheetName val="Basic Price"/>
      <sheetName val="Peralatan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REF.ONLY"/>
      <sheetName val="STD GD.UTAMA"/>
      <sheetName val="Beton(B)"/>
      <sheetName val="Uph&amp;bhn"/>
      <sheetName val="ISIAN"/>
      <sheetName val="Resume"/>
      <sheetName val="??????"/>
      <sheetName val="REKAP STRUKTUR"/>
      <sheetName val="Dashboard"/>
      <sheetName val="AHS"/>
      <sheetName val="BABY"/>
      <sheetName val="BACK"/>
      <sheetName val="conc-mix"/>
      <sheetName val="NC-CM"/>
      <sheetName val="Gal Sal"/>
      <sheetName val="Bill rekap"/>
      <sheetName val="Bill of Qty"/>
      <sheetName val="351BQMCN"/>
      <sheetName val="MC-1"/>
      <sheetName val="STD"/>
      <sheetName val="analisa ARS"/>
      <sheetName val="SAP"/>
      <sheetName val="Outline"/>
      <sheetName val="Analisa Upah _ Bahan Plum"/>
      <sheetName val="REQDELTA"/>
      <sheetName val="Master 1.0"/>
      <sheetName val="Harsat Bahan"/>
      <sheetName val="anal pipa"/>
      <sheetName val="KOEF"/>
      <sheetName val="L2a"/>
      <sheetName val="SATPEK"/>
      <sheetName val="Bitung"/>
      <sheetName val="Prog CD"/>
      <sheetName val="OH_10BLN"/>
      <sheetName val="arab"/>
      <sheetName val="villa"/>
      <sheetName val=" RAB"/>
      <sheetName val="REK"/>
      <sheetName val="VA_code"/>
      <sheetName val="GORDING &amp; beban plat BEL MIRING"/>
      <sheetName val="GORDING storage"/>
      <sheetName val="valve"/>
      <sheetName val="Bill No. 6.1 Peralatan Utama"/>
      <sheetName val="Sat~Bahu"/>
      <sheetName val="majuLantai 1"/>
      <sheetName val="Analisa HSP"/>
      <sheetName val="RPP-6"/>
      <sheetName val="Upah&amp;Bahan"/>
      <sheetName val="______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Job Sheet"/>
      <sheetName val="LS-Rutin"/>
      <sheetName val="Analisa Teknik"/>
      <sheetName val="STRUKTUR-1"/>
      <sheetName val="DETAIL"/>
      <sheetName val="TAMKUR "/>
      <sheetName val="Analisa_Upah_&amp;_Bahan_Plum"/>
      <sheetName val="Harga_ME_"/>
      <sheetName val="An_Arsitektur"/>
      <sheetName val="An_Struktur"/>
      <sheetName val="Unit_Rate"/>
      <sheetName val="rab_-_persiapan_&amp;_lantai-1"/>
      <sheetName val="RAB_Triduta"/>
      <sheetName val="ME_Mall"/>
      <sheetName val="analisa_ARS"/>
      <sheetName val="Analisa_Upah___Bahan_Plum"/>
      <sheetName val="Master_1_0"/>
      <sheetName val="TAMKUR_"/>
      <sheetName val="Analisa_Upah_&amp;_Bahan_Plum1"/>
      <sheetName val="Harga_ME_1"/>
      <sheetName val="BOQ_EXTERN1"/>
      <sheetName val="BOQ_INTERN1"/>
      <sheetName val="Sumber_Daya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_Arsitektur1"/>
      <sheetName val="An_Struktur1"/>
      <sheetName val="Unit_Rate1"/>
      <sheetName val="rab_-_persiapan_&amp;_lantai-11"/>
      <sheetName val="RAB_Triduta1"/>
      <sheetName val="ME_Mall1"/>
      <sheetName val="analisa_ARS1"/>
      <sheetName val="Analisa_Upah___Bahan_Plum1"/>
      <sheetName val="Master_1_01"/>
      <sheetName val="TAMKUR_1"/>
      <sheetName val="6-MVAC"/>
      <sheetName val="D3"/>
      <sheetName val="10.1 (1)"/>
      <sheetName val="10.1 (2)"/>
      <sheetName val="10.1 (3)"/>
      <sheetName val="10.1 (4)"/>
      <sheetName val="10.1 (5)"/>
      <sheetName val="Panel"/>
      <sheetName val="rab me (by owner) "/>
      <sheetName val="rab me"/>
      <sheetName val="BQ (by owner)"/>
      <sheetName val="rab me (fisik)"/>
      <sheetName val="Bas vx_x0005_&amp;_x0000__x0000_"/>
      <sheetName val="Bas vx_x0005_&amp;"/>
      <sheetName val="bq-iabk"/>
      <sheetName val="bq_iabk"/>
      <sheetName val="rekap alat bantu STRUKTUR"/>
      <sheetName val="rekap bahan struktur"/>
      <sheetName val="rekap upah STRUKTUR"/>
      <sheetName val="2_1"/>
      <sheetName val="2_2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struktur tdk dipakai"/>
      <sheetName val="Elektronik"/>
      <sheetName val="Electrikal"/>
      <sheetName val="Item Kompensasi"/>
      <sheetName val="BQ-1A prelim"/>
      <sheetName val="Bas vx_x0005_&amp;??"/>
      <sheetName val="SNI 21-3-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TOTAL"/>
      <sheetName val="Rab selasar"/>
      <sheetName val="Rab ramp"/>
      <sheetName val="AHS.STR12"/>
      <sheetName val="AHS.ARS12"/>
      <sheetName val="AHS.MEK.12"/>
      <sheetName val="dafhar.12 "/>
      <sheetName val="Data Sub"/>
      <sheetName val="Ws Sub"/>
      <sheetName val="Data Klm"/>
      <sheetName val="Ws Klm"/>
      <sheetName val="Ws Pelat"/>
      <sheetName val="Data Blk"/>
      <sheetName val="Ws Blk"/>
      <sheetName val="Pipe+WF"/>
      <sheetName val="#REF"/>
      <sheetName val="S.UPAH"/>
      <sheetName val="S.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Plaza"/>
      <sheetName val="Sport"/>
      <sheetName val="Jembatan"/>
      <sheetName val="Service"/>
      <sheetName val="Hrg. Sat"/>
      <sheetName val="Ana Beton"/>
      <sheetName val="Dashboard"/>
      <sheetName val="Analisa STR"/>
      <sheetName val="Hargamat"/>
      <sheetName val="Harga Material"/>
      <sheetName val="tifico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"/>
      <sheetName val="Anls"/>
      <sheetName val="Hydrant"/>
      <sheetName val="Elek.List"/>
      <sheetName val="BQ_Listrik"/>
      <sheetName val="Daftar Material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harsat"/>
      <sheetName val="Markup"/>
      <sheetName val="Plumbing"/>
      <sheetName val="ESCON"/>
      <sheetName val="Cover"/>
      <sheetName val="Mall"/>
      <sheetName val="_bhn_uph"/>
      <sheetName val="HRG BHN"/>
      <sheetName val="Isolasi Luar"/>
      <sheetName val="Isolasi Luar Dalam"/>
      <sheetName val="BoQ C4"/>
      <sheetName val="Pt"/>
      <sheetName val="Fire Fighting"/>
      <sheetName val="BAG-2"/>
      <sheetName val="BAG_2"/>
      <sheetName val="MAPP"/>
      <sheetName val="rek det 1-3"/>
      <sheetName val="DAF_2"/>
      <sheetName val="FORM X COST"/>
      <sheetName val="daf-3(OK)"/>
      <sheetName val="daf-7(OK)"/>
      <sheetName val="Bahan"/>
      <sheetName val="Inputs"/>
      <sheetName val="BD"/>
      <sheetName val="Material"/>
      <sheetName val="an. struktur"/>
      <sheetName val="Dashboard"/>
      <sheetName val="villa"/>
      <sheetName val="Elek_List"/>
      <sheetName val="Daftar_Material"/>
      <sheetName val="TOWER_D"/>
      <sheetName val="TOWER_E"/>
      <sheetName val="RKP_FH"/>
      <sheetName val="FH_PRELIMINARY"/>
      <sheetName val="TOWER_A"/>
      <sheetName val="TOWER_B"/>
      <sheetName val="TOWER_C"/>
      <sheetName val="Elek_List1"/>
      <sheetName val="Daftar_Material1"/>
      <sheetName val="TOWER_D1"/>
      <sheetName val="TOWER_E1"/>
      <sheetName val="RKP_FH1"/>
      <sheetName val="FH_PRELIMINARY1"/>
      <sheetName val="TOWER_A1"/>
      <sheetName val="TOWER_B1"/>
      <sheetName val="TOWER_C1"/>
      <sheetName val="rek_det_1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p Prelim"/>
      <sheetName val="Persiapan"/>
      <sheetName val="Rkp Strk"/>
      <sheetName val="Pondasi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Analisa"/>
      <sheetName val="Sat Upah"/>
      <sheetName val="Sat Bahan"/>
      <sheetName val="Sat Alat"/>
      <sheetName val="Als Struk"/>
      <sheetName val="FLAF&amp;PARTSI"/>
      <sheetName val="STRUKTUR"/>
      <sheetName val="ARSITE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">
          <cell r="I9">
            <v>34760</v>
          </cell>
        </row>
      </sheetData>
      <sheetData sheetId="28">
        <row r="21">
          <cell r="H21">
            <v>40000</v>
          </cell>
        </row>
      </sheetData>
      <sheetData sheetId="29">
        <row r="13">
          <cell r="I13">
            <v>290000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SATUAN"/>
      <sheetName val="U.BORONG"/>
      <sheetName val="SAT.ALAT"/>
      <sheetName val="TNH-PERS"/>
      <sheetName val="besi"/>
      <sheetName val="BETON"/>
      <sheetName val="DIND"/>
      <sheetName val="LANT"/>
      <sheetName val="ATAP"/>
      <sheetName val="LUAR"/>
      <sheetName val="PINTU"/>
      <sheetName val="SANITER"/>
      <sheetName val="FLAF&amp;PARTSI"/>
      <sheetName val="CAT&amp;WTERPROOF"/>
      <sheetName val="Analisa"/>
      <sheetName val="FLAF_PARTSI"/>
      <sheetName val="Hargamat"/>
      <sheetName val="Analisa STR"/>
      <sheetName val="Hargapek"/>
      <sheetName val="Als Struk"/>
      <sheetName val="harsat"/>
      <sheetName val="H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kaptotal"/>
      <sheetName val="SCHEDULE"/>
      <sheetName val="dashboard"/>
      <sheetName val="rek.prelim"/>
      <sheetName val="prelim"/>
      <sheetName val="rek.str"/>
      <sheetName val="str"/>
      <sheetName val="Rek.Ars"/>
      <sheetName val="ddg"/>
      <sheetName val="Plester"/>
      <sheetName val="ATAP"/>
      <sheetName val="Kusen"/>
      <sheetName val="wp"/>
      <sheetName val="anti rayap"/>
      <sheetName val="plafond"/>
      <sheetName val="floor"/>
      <sheetName val="stair"/>
      <sheetName val="Sanitair"/>
      <sheetName val="paint"/>
      <sheetName val="external"/>
      <sheetName val="Landscape"/>
      <sheetName val="ana-pre"/>
      <sheetName val="ana-sanitair"/>
      <sheetName val="ana-str"/>
      <sheetName val="ana-ars"/>
      <sheetName val="harsat"/>
      <sheetName val="REKAP"/>
      <sheetName val="upah"/>
      <sheetName val="upah_borong"/>
      <sheetName val="satuan_pek"/>
      <sheetName val="DAF-BAHAN"/>
      <sheetName val="DAF-UPAH"/>
      <sheetName val="RESUME"/>
      <sheetName val="BILL OF QUANTITY"/>
      <sheetName val="Analisa Harga"/>
      <sheetName val="Analisa STR"/>
      <sheetName val="B.T"/>
      <sheetName val="BQ"/>
      <sheetName val="hsp_STR_ARS"/>
      <sheetName val="hsp-STR-ARS"/>
      <sheetName val="ANALISA"/>
      <sheetName val="Cover"/>
      <sheetName val="bhn-upah"/>
      <sheetName val="Sat Bahan"/>
      <sheetName val="Sat Alat"/>
      <sheetName val="Sat Upah"/>
      <sheetName val="Data"/>
      <sheetName val="Bangunan Utama"/>
      <sheetName val="ANAL. ME"/>
      <sheetName val="Analisa &amp; Upah"/>
    </sheetNames>
    <sheetDataSet>
      <sheetData sheetId="0">
        <row r="24">
          <cell r="K24">
            <v>5400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pek"/>
      <sheetName val="Analisa"/>
      <sheetName val="Bahan&amp;Upah"/>
      <sheetName val="Rek Tot"/>
      <sheetName val="GAB"/>
      <sheetName val="Pre"/>
      <sheetName val="TNH, PAGAR &amp; TURAP"/>
      <sheetName val="Office-DP"/>
      <sheetName val="Gudang Oli"/>
      <sheetName val="utility"/>
      <sheetName val="Canopy Parkir  "/>
      <sheetName val="Pos Jaga"/>
      <sheetName val="Luar"/>
      <sheetName val="REKAP MEK  (2)"/>
      <sheetName val="AC-DP (2)"/>
      <sheetName val="PLAMBING (2)"/>
      <sheetName val="MEK-SHOW ROOM"/>
      <sheetName val="electric-SHOWROOM."/>
      <sheetName val="MEK-WORKSHOP"/>
      <sheetName val="electric-WORKSHOP"/>
      <sheetName val="electric-UTILITAS"/>
      <sheetName val="MEK-UTILITAS"/>
      <sheetName val="MEK-SITE PLAN"/>
      <sheetName val="electric-SITE PLAN"/>
      <sheetName val="electric-Pos Jaga"/>
      <sheetName val="MEK-POS JAGA"/>
      <sheetName val="REKAP TOTAL"/>
      <sheetName val="harsat"/>
      <sheetName val="Analisa Harga"/>
    </sheetNames>
    <sheetDataSet>
      <sheetData sheetId="0">
        <row r="9">
          <cell r="D9">
            <v>60500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(2)"/>
      <sheetName val="REKAP"/>
      <sheetName val="RAB1"/>
      <sheetName val="RAB2"/>
      <sheetName val="RAB3"/>
      <sheetName val="RAB4"/>
      <sheetName val="RAB5"/>
      <sheetName val="RAB6"/>
      <sheetName val="RAB7"/>
      <sheetName val="RAB8"/>
      <sheetName val="RAB9"/>
      <sheetName val="BAHAN"/>
      <sheetName val="ALAT"/>
      <sheetName val="SPL-IIIC"/>
      <sheetName val="L4"/>
      <sheetName val="K331"/>
      <sheetName val="K33H"/>
      <sheetName val="K224"/>
      <sheetName val="K017"/>
      <sheetName val="K020"/>
      <sheetName val="K618"/>
      <sheetName val="K512"/>
      <sheetName val="K520"/>
      <sheetName val="K515"/>
      <sheetName val="K516"/>
      <sheetName val="K705"/>
      <sheetName val="K715"/>
      <sheetName val="K710"/>
      <sheetName val="K725"/>
      <sheetName val="K722"/>
      <sheetName val="K410"/>
      <sheetName val="K636"/>
      <sheetName val="K621"/>
      <sheetName val="K035"/>
      <sheetName val="K819"/>
      <sheetName val="K817"/>
      <sheetName val="K040"/>
      <sheetName val="K641"/>
      <sheetName val="W1"/>
      <sheetName val="A1+G2"/>
      <sheetName val="K.310"/>
      <sheetName val="K411"/>
      <sheetName val="G50i"/>
      <sheetName val="SCHEDULE"/>
      <sheetName val="ANALISA"/>
      <sheetName val="ANALISA SM"/>
      <sheetName val="Material"/>
      <sheetName val="Bor Pile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_KAMAR"/>
      <sheetName val="I-KAMAR"/>
      <sheetName val="harsat"/>
    </sheetNames>
    <sheetDataSet>
      <sheetData sheetId="0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B"/>
      <sheetName val="ANALISA"/>
      <sheetName val="RWT. Inap wedok"/>
      <sheetName val="RWT. Inap Laki"/>
      <sheetName val="RWT. Inap VIP"/>
      <sheetName val="RUMAH DINAS "/>
      <sheetName val="MEKANIK 2M"/>
      <sheetName val="MEKANIK 4M"/>
      <sheetName val="MEKANIK usulan 2004"/>
      <sheetName val="R MEKANIK (2)"/>
      <sheetName val="R MEKANIK"/>
      <sheetName val="bahan"/>
      <sheetName val="Upah"/>
      <sheetName val="H.Satuan"/>
      <sheetName val="BQ"/>
      <sheetName val="hsp-STR-ARS"/>
      <sheetName val="Anl"/>
      <sheetName val="61004"/>
      <sheetName val="Harga Bahan &amp; Upah "/>
      <sheetName val="Traf&amp;Genst"/>
      <sheetName val="Analisa &amp; Upah"/>
      <sheetName val="HB "/>
      <sheetName val="MON_OH"/>
      <sheetName val="FLAF&amp;PARTSI"/>
      <sheetName val="UBA"/>
      <sheetName val="Analisa HSP"/>
      <sheetName val="DAF-BAHAN"/>
      <sheetName val="DAF-UPAH"/>
      <sheetName val="Data"/>
      <sheetName val="AHS-Beton"/>
      <sheetName val="Analisa _ Upah"/>
      <sheetName val="AHS ASLI"/>
      <sheetName val="HSATUAN"/>
      <sheetName val="Harsat"/>
      <sheetName val="Harga Satuan (T.P.)"/>
      <sheetName val="Analisa HSP (T.P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villa"/>
      <sheetName val="harsat"/>
      <sheetName val="Bill 5 Summary"/>
      <sheetName val="BQ-E20-02(Rp)"/>
      <sheetName val="ANHAR"/>
      <sheetName val="D.1.7"/>
      <sheetName val="D.1.5"/>
      <sheetName val="D.2.3"/>
      <sheetName val="D.2.2"/>
      <sheetName val="FORM X COST"/>
      <sheetName val="struktur tdk dipakai"/>
      <sheetName val="Bill_Qua"/>
      <sheetName val="MAP"/>
      <sheetName val="D.BOARD LAMA"/>
      <sheetName val="Hrg Bhn"/>
      <sheetName val="RAB Arsitek"/>
      <sheetName val="analisa"/>
      <sheetName val="K725"/>
      <sheetName val="L4"/>
      <sheetName val="K33H"/>
      <sheetName val="K621"/>
      <sheetName val="K819"/>
      <sheetName val="K331"/>
      <sheetName val="ALAT"/>
      <sheetName val="Analisa &amp; Upah"/>
      <sheetName val="BQ ME"/>
      <sheetName val="Bank"/>
      <sheetName val="Bunga"/>
      <sheetName val="BAHAN"/>
      <sheetName val="Mark-up"/>
      <sheetName val="anal"/>
      <sheetName val="Daf 1"/>
      <sheetName val="Har_mat"/>
      <sheetName val="351BQMCN"/>
      <sheetName val="Upah &amp; Bahan"/>
      <sheetName val="data"/>
      <sheetName val="MAPDC"/>
      <sheetName val="ALUMUNIUM"/>
      <sheetName val="Daf Harga"/>
      <sheetName val="An_ Harga"/>
      <sheetName val="B.T"/>
      <sheetName val="Analisa Harga"/>
      <sheetName val="Summary"/>
      <sheetName val="Agregat Halus &amp; Kasar"/>
      <sheetName val="FINISHING"/>
      <sheetName val="Bill 4 Summary"/>
      <sheetName val="Cover"/>
      <sheetName val="harga bahan"/>
      <sheetName val="harga upah"/>
      <sheetName val="ESCON"/>
      <sheetName val="Sat Bahan"/>
      <sheetName val="Sat Alat"/>
      <sheetName val="Sat Upah"/>
      <sheetName val="Als Struk"/>
      <sheetName val="Analisa SNI"/>
      <sheetName val="HSD"/>
      <sheetName val="data Masjid Ksrn"/>
      <sheetName val="RAB Interior"/>
      <sheetName val="BAU"/>
      <sheetName val="Bill 2 Summary"/>
      <sheetName val="ANHSSat"/>
      <sheetName val="sub"/>
      <sheetName val="AHSbj"/>
      <sheetName val="A"/>
      <sheetName val="Analisa _ Upah"/>
      <sheetName val="AC_C"/>
      <sheetName val="HARGA MATERIAL"/>
      <sheetName val="Bill 2_4_"/>
      <sheetName val="Daftar Harga"/>
      <sheetName val="Daftar Upah"/>
      <sheetName val="ANALISA GRS TENGAH"/>
      <sheetName val="Anl"/>
      <sheetName val="DAF-BAHAN"/>
      <sheetName val="DAF-UPAH"/>
      <sheetName val="HARSAT BAHAN"/>
      <sheetName val="Bill 3 Summary"/>
      <sheetName val="bilangan"/>
      <sheetName val="Marshal"/>
      <sheetName val="MON_OH"/>
      <sheetName val="Unit Rate"/>
      <sheetName val="F 3-8"/>
      <sheetName val="Harsat Upah"/>
      <sheetName val="Harsat Pekerjaan"/>
      <sheetName val="I-ME"/>
      <sheetName val="BQ-IABK"/>
      <sheetName val="Analisa Upah &amp; Bahan Plum"/>
      <sheetName val="Utilitas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Bill 2.4."/>
      <sheetName val="GD 14"/>
      <sheetName val="4"/>
      <sheetName val="DAF-2"/>
      <sheetName val="rab-str.Adm"/>
      <sheetName val="EE-PROP"/>
      <sheetName val="Input"/>
      <sheetName val="BQ"/>
      <sheetName val="hsp-STR-ARS"/>
      <sheetName val="Div2"/>
      <sheetName val="As"/>
      <sheetName val="Mob"/>
      <sheetName val="Cash Flow bulanan"/>
      <sheetName val="Cover Daf-2"/>
      <sheetName val="Material"/>
      <sheetName val="HARGA ALAT"/>
      <sheetName val="KET"/>
      <sheetName val="Subkon"/>
      <sheetName val="Equip"/>
      <sheetName val="61004"/>
      <sheetName val="SCHEDULE"/>
      <sheetName val="Database"/>
      <sheetName val="basic"/>
      <sheetName val="BQ "/>
      <sheetName val="daf-3(OK)"/>
      <sheetName val="daf-7(OK)"/>
      <sheetName val="Perhitungan Besi"/>
      <sheetName val="Analisa Harga Satuan"/>
      <sheetName val="Hit Vol Str Jambi"/>
      <sheetName val="Analisa 2"/>
      <sheetName val="extern"/>
      <sheetName val="Data Ktr Bupati Tapsel"/>
      <sheetName val="Anl.Sipil"/>
      <sheetName val="slab"/>
      <sheetName val="Upah dan Bahan"/>
      <sheetName val="AC"/>
      <sheetName val="Perhit.Alat"/>
      <sheetName val="Fins-Beng&amp;Fas"/>
      <sheetName val="SITE-E"/>
      <sheetName val="Kabel"/>
      <sheetName val="5-Digit"/>
      <sheetName val="ANALISA PEK.UMUM"/>
      <sheetName val="DETAIL"/>
      <sheetName val="BOW"/>
      <sheetName val="3.Mob"/>
      <sheetName val="I-KAMAR"/>
      <sheetName val="SORT"/>
      <sheetName val="black_out"/>
      <sheetName val="610.07A"/>
      <sheetName val="BasicPrice"/>
      <sheetName val="H_Satuan2"/>
      <sheetName val="Jam_Alat1"/>
      <sheetName val="Vol_Lining1"/>
      <sheetName val="Vol_K_2251"/>
      <sheetName val="Hardas"/>
      <sheetName val="alm"/>
      <sheetName val="Dashboard"/>
      <sheetName val="BHN"/>
      <sheetName val="hs_str"/>
      <sheetName val="UBA"/>
      <sheetName val="Schedulle(S-curve)Break"/>
      <sheetName val="Daft.Kuantitas"/>
      <sheetName val="ANALISA ALAT BERAT"/>
      <sheetName val="Ana"/>
      <sheetName val="HL"/>
      <sheetName val="MASTER"/>
      <sheetName val="BIALANG"/>
      <sheetName val="MENU"/>
      <sheetName val="Rupa2"/>
      <sheetName val="HB "/>
      <sheetName val="har-sat"/>
      <sheetName val="DHS"/>
      <sheetName val="Bangunan Utama"/>
      <sheetName val="Analisa Gabungan"/>
      <sheetName val="BOQ1"/>
      <sheetName val="RAP"/>
      <sheetName val="Urai _Resap pengikat"/>
      <sheetName val="N-AC"/>
      <sheetName val="Economic Assumptions"/>
      <sheetName val="Harga Satuan"/>
      <sheetName val="STRUKTUR-1"/>
      <sheetName val="Fill this out first..."/>
      <sheetName val="BILL 1"/>
      <sheetName val="RESUME"/>
      <sheetName val="BILL OF QUANTITY"/>
      <sheetName val="ANAL2"/>
      <sheetName val="dil"/>
      <sheetName val="dild"/>
      <sheetName val="dti"/>
      <sheetName val="H-SATUAN"/>
      <sheetName val="Analisa HSP"/>
      <sheetName val="RL-01"/>
      <sheetName val="MAPP"/>
      <sheetName val="Mall"/>
      <sheetName val="FORM_X_COST"/>
      <sheetName val="Bill_5_Summary"/>
      <sheetName val="Daf_1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RAB"/>
      <sheetName val="Harga"/>
      <sheetName val="Pipa 200"/>
      <sheetName val="SEX"/>
      <sheetName val="TOT_RAP"/>
      <sheetName val="ANALISA SM"/>
      <sheetName val="TE TS FA LAN MATV"/>
      <sheetName val="BAG-2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SPEC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HARGA DASAR"/>
      <sheetName val="struktur"/>
      <sheetName val="BAG_2"/>
      <sheetName val="An_pdkg"/>
      <sheetName val="Bill of Qty"/>
      <sheetName val="Bill rekap"/>
      <sheetName val="9-1차이내역"/>
      <sheetName val="HrgUpahBahan"/>
      <sheetName val="#REF!"/>
      <sheetName val="Analisa Quarry"/>
      <sheetName val="Peralatan"/>
      <sheetName val="boq"/>
      <sheetName val="O&amp;O-Alat"/>
      <sheetName val="MB_SOFTCOST_DETAIL"/>
      <sheetName val="SOFTCOST_R2"/>
      <sheetName val="HARDCOST"/>
      <sheetName val="MB_GENERAL"/>
      <sheetName val="HargaSat"/>
      <sheetName val="TP ALAT"/>
      <sheetName val="REKAP ANALISA SESUAI PU"/>
      <sheetName val="ANALISA STRUKTUR "/>
      <sheetName val="REKAP ANALISA TO PRINT"/>
      <sheetName val="arab"/>
      <sheetName val="bhn,upah,alat"/>
      <sheetName val="Ans Kom Precast"/>
      <sheetName val="4-MVAC"/>
      <sheetName val=" R A B"/>
      <sheetName val="HARDAS PERKIM 2"/>
      <sheetName val="RPP01 6"/>
      <sheetName val="pricelist"/>
      <sheetName val="UPAH BAHAN ARST"/>
      <sheetName val="6106"/>
      <sheetName val="met bab3"/>
      <sheetName val="anal bab8"/>
      <sheetName val="R A B"/>
      <sheetName val="Rekap Direct Cost"/>
      <sheetName val="Analisa 021"/>
      <sheetName val="billed"/>
      <sheetName val="COST TOGO"/>
      <sheetName val="report"/>
      <sheetName val="antisipasi"/>
      <sheetName val="SAP"/>
      <sheetName val="ARSITEKTUR"/>
      <sheetName val="대비표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D.BOARD"/>
      <sheetName val="hsp_STR_ARS"/>
      <sheetName val="Bor Pile"/>
      <sheetName val="CH"/>
      <sheetName val="Analisa STR"/>
      <sheetName val="ANS STR"/>
      <sheetName val="HARGA BAHAN UPAH"/>
      <sheetName val="Hrg Bhn (2)"/>
      <sheetName val="II.1 STR GED A"/>
      <sheetName val="PANELKAST"/>
      <sheetName val="Upah&amp;Bahan"/>
      <sheetName val="KOEF"/>
      <sheetName val="DCF SD JUNI 04"/>
      <sheetName val="alok_bunga"/>
      <sheetName val="Based KV, palembang &amp; KJI"/>
      <sheetName val="BREAKER"/>
      <sheetName val="REKAP A BESAR"/>
      <sheetName val="H.SAT"/>
      <sheetName val="Elec-ins"/>
      <sheetName val="tabel berat"/>
      <sheetName val="MADC"/>
      <sheetName val="Rekap Anal"/>
      <sheetName val="Manpower"/>
      <sheetName val="Equipt,Tools&amp;Cons"/>
      <sheetName val="Rek"/>
      <sheetName val="ALATBERAT"/>
      <sheetName val="RAB_DURI"/>
      <sheetName val="Alat &amp; Bahan"/>
      <sheetName val="PRY01-1"/>
      <sheetName val="PRY02"/>
      <sheetName val="daf harga (reil)"/>
      <sheetName val=" Biaya alat jam (reil)"/>
      <sheetName val="Anal-Grout!Back!Water"/>
      <sheetName val=" Biaya alat jam"/>
      <sheetName val="AHSP"/>
      <sheetName val="ANALISA SNI'07(ubh bgsting)"/>
      <sheetName val="o rekap#4"/>
      <sheetName val="TJ1Q47"/>
      <sheetName val="Sch"/>
      <sheetName val="MAT"/>
      <sheetName val="UP"/>
      <sheetName val="POL"/>
      <sheetName val="Kode"/>
      <sheetName val="Hst_mat"/>
      <sheetName val="ANPRO"/>
      <sheetName val="Sum"/>
      <sheetName val="L_O&amp;O"/>
      <sheetName val="ALAT-1"/>
      <sheetName val="H Sat Jembatan"/>
      <sheetName val="Grading Tahap 1"/>
      <sheetName val="SUMBER DAYA"/>
      <sheetName val="RAB ME"/>
      <sheetName val="sheet 2"/>
      <sheetName val="hrg-dsr"/>
      <sheetName val="Harga Satuan (T.P.)"/>
      <sheetName val="Analisa HSP (T.P.)"/>
      <sheetName val="WAYANG"/>
      <sheetName val="DB"/>
      <sheetName val="Sheet15"/>
      <sheetName val="DAPRO"/>
      <sheetName val="BL"/>
      <sheetName val="SBDY"/>
      <sheetName val="an-satuan"/>
      <sheetName val="An Struktur"/>
      <sheetName val="Unit Rate (2)"/>
      <sheetName val="BQ-Str"/>
      <sheetName val="C3"/>
      <sheetName val="1.Cover"/>
      <sheetName val="Accept. Letter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HS"/>
      <sheetName val="PRELI-CAP"/>
      <sheetName val="DAF-1"/>
      <sheetName val="STR PODIUM"/>
      <sheetName val="STR PODIUM (2)"/>
      <sheetName val="REKAP STR"/>
      <sheetName val="REKAP ME CSPL"/>
      <sheetName val="Faktor"/>
      <sheetName val="Analysis"/>
      <sheetName val="Analysis2"/>
      <sheetName val="D-3"/>
      <sheetName val="sai"/>
      <sheetName val="PDP"/>
      <sheetName val="RPP01-1"/>
      <sheetName val="HSATUAN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.1"/>
      <sheetName val="BIL"/>
      <sheetName val="PI"/>
      <sheetName val="PileCap"/>
      <sheetName val="2. MVAC R1"/>
      <sheetName val="Rinci-Biaya"/>
      <sheetName val="Rinci-Pendapatan"/>
      <sheetName val="Str BT"/>
      <sheetName val="Calcu 02"/>
      <sheetName val="inter"/>
      <sheetName val="An H.Sat Pek.Ut"/>
      <sheetName val="Rekapitulasi"/>
      <sheetName val="01A- RAB"/>
      <sheetName val="DATA1"/>
      <sheetName val="div-2"/>
      <sheetName val="Input Data"/>
      <sheetName val="GVL§CT"/>
      <sheetName val="Allowance"/>
      <sheetName val="SPJ"/>
      <sheetName val="Gaji"/>
      <sheetName val="Anals.1"/>
      <sheetName val="Ana PasBatu 7.4"/>
      <sheetName val="uph"/>
      <sheetName val="IDLE ALAT"/>
      <sheetName val="D7(1)"/>
      <sheetName val="keb-BHN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Sec I ML"/>
      <sheetName val="HDS"/>
      <sheetName val="beton"/>
      <sheetName val="CashFlow"/>
      <sheetName val="HaSatUp"/>
      <sheetName val="GEDUNG-A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TSS"/>
      <sheetName val="rek det 1-3"/>
      <sheetName val="TOTAL"/>
      <sheetName val="Kolom"/>
      <sheetName val="TB"/>
      <sheetName val="CC"/>
      <sheetName val="R. Upah"/>
      <sheetName val="R. Bahan"/>
      <sheetName val="R. Alat"/>
      <sheetName val="R. Subkont"/>
      <sheetName val="ANALISA "/>
      <sheetName val="HG-UPAH"/>
      <sheetName val="HG_JADI"/>
      <sheetName val="IPA1"/>
      <sheetName val="7.ASAT"/>
      <sheetName val="7.DATA"/>
      <sheetName val="5.RBKI"/>
      <sheetName val="6.RBKA"/>
      <sheetName val="UPH,BHN,ALT"/>
      <sheetName val="Analis harga"/>
      <sheetName val="ESC"/>
      <sheetName val="anal SNI"/>
      <sheetName val="RAB AR&amp;STR"/>
      <sheetName val="Sat. Pek."/>
      <sheetName val="Balok L_2"/>
      <sheetName val="Spec ME"/>
      <sheetName val="Hrg-Bahan"/>
      <sheetName val="RAB -1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BBM-03"/>
      <sheetName val="SAT-DAS"/>
      <sheetName val="ANALIS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QSS Building"/>
      <sheetName val="Unit Cost"/>
      <sheetName val="BQ_IABK"/>
      <sheetName val="pricing"/>
      <sheetName val="DEPRE 05"/>
      <sheetName val="LR-OKT-06"/>
      <sheetName val="DivVI"/>
      <sheetName val="bidang"/>
      <sheetName val="Perm. Test"/>
      <sheetName val="DU&amp;B"/>
      <sheetName val="BREAKDOWN"/>
      <sheetName val="mVAC"/>
      <sheetName val="tulang"/>
      <sheetName val="Pipe"/>
      <sheetName val="hit_BKMM"/>
      <sheetName val="BOM_ACS"/>
      <sheetName val="BOM"/>
      <sheetName val="SCHEDULE "/>
      <sheetName val="VOLUME"/>
      <sheetName val="Rekap Vol"/>
      <sheetName val="H. Dasar"/>
      <sheetName val="BAR SCREEN"/>
      <sheetName val="Rekap-Alat"/>
      <sheetName val="A.1.Persiapan non std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Basic Price"/>
      <sheetName val="Currency Rate"/>
      <sheetName val="Hrg"/>
      <sheetName val="MASTER 1"/>
      <sheetName val="SNI"/>
      <sheetName val="schbhn"/>
      <sheetName val="rap rinci"/>
      <sheetName val="POINT SCHEDULE"/>
      <sheetName val="Upah Bhn"/>
      <sheetName val="AN-KOEF"/>
      <sheetName val="ca"/>
      <sheetName val="B Penunjang"/>
      <sheetName val="Daft.Sewa Alat"/>
      <sheetName val="Foundation"/>
      <sheetName val="SchA"/>
      <sheetName val="SchC"/>
      <sheetName val="SewAlat"/>
      <sheetName val="bale"/>
      <sheetName val="E.work"/>
      <sheetName val="paving"/>
      <sheetName val="ponds"/>
      <sheetName val="R.wall"/>
      <sheetName val="Det Str BT"/>
      <sheetName val="Sch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/>
      <sheetData sheetId="619" refreshError="1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ITULASI"/>
      <sheetName val="BQ-IABK"/>
      <sheetName val="ANALISA"/>
      <sheetName val="BRKDWN-Q'TY"/>
      <sheetName val="BQ_IABK"/>
      <sheetName val="Har-mat"/>
      <sheetName val="Hrg.Sat"/>
      <sheetName val="YTD'97 Sales"/>
      <sheetName val="Week9-Feb    "/>
      <sheetName val="Week31-August"/>
      <sheetName val="Penjumlahan"/>
      <sheetName val="dongia (2)"/>
      <sheetName val="chitimc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FORM X COST"/>
      <sheetName val="STRUKTUR-1"/>
      <sheetName val="Har_mat"/>
      <sheetName val="Analisa &amp; Upah"/>
      <sheetName val="bahan"/>
      <sheetName val="ESCON"/>
      <sheetName val="Hrg_Sat"/>
      <sheetName val="YTD'97_Sales"/>
      <sheetName val="Week9-Feb____"/>
      <sheetName val="harsat"/>
      <sheetName val="daf-3(OK)"/>
      <sheetName val="daf_3_OK_"/>
      <sheetName val="daf-7(OK)"/>
      <sheetName val="daf_7_OK_"/>
      <sheetName val="HRG BHN"/>
      <sheetName val="K725"/>
      <sheetName val="L4"/>
      <sheetName val="K33H"/>
      <sheetName val="K621"/>
      <sheetName val="K819"/>
      <sheetName val="K331"/>
      <sheetName val="Daftar Harga"/>
      <sheetName val="Daftar Upah"/>
      <sheetName val="Instalasi air "/>
      <sheetName val="Analisa Harga"/>
      <sheetName val="Summary"/>
      <sheetName val="Bank"/>
      <sheetName val="Bunga"/>
      <sheetName val="Mark-up"/>
      <sheetName val="I-KAMA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 TS FA LAN MATV"/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bd pabx"/>
      <sheetName val="BQ blat"/>
      <sheetName val="Nego 2006"/>
      <sheetName val="SAT-BHN"/>
    </sheetNames>
    <sheetDataSet>
      <sheetData sheetId="0">
        <row r="66">
          <cell r="F66">
            <v>15100000</v>
          </cell>
        </row>
        <row r="85">
          <cell r="F85">
            <v>1855000</v>
          </cell>
        </row>
        <row r="86">
          <cell r="F86">
            <v>1655000</v>
          </cell>
        </row>
        <row r="88">
          <cell r="F88">
            <v>1525000</v>
          </cell>
        </row>
        <row r="90">
          <cell r="F90">
            <v>14150000</v>
          </cell>
        </row>
        <row r="94">
          <cell r="F94">
            <v>5000000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H"/>
      <sheetName val="Rekap. "/>
      <sheetName val="RAB"/>
      <sheetName val="anal"/>
      <sheetName val="Harsat"/>
      <sheetName val="Skedul"/>
      <sheetName val="Shed-Spmk"/>
      <sheetName val="So-Spmk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>
        <row r="19">
          <cell r="H19">
            <v>19200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SITE-E"/>
      <sheetName val="daf-3(OK)"/>
      <sheetName val="daf-7(OK)"/>
      <sheetName val="Foundation"/>
      <sheetName val="lamp-d"/>
      <sheetName val="Material"/>
      <sheetName val="plumbing"/>
      <sheetName val="Cover"/>
      <sheetName val="DAF-2"/>
      <sheetName val="ah sanitary"/>
      <sheetName val="CONSUMABLE"/>
      <sheetName val="Currency Rate"/>
      <sheetName val="Steel-Twr"/>
      <sheetName val="BAG-III"/>
      <sheetName val="BAG_III"/>
      <sheetName val="BQ"/>
      <sheetName val="Eva_Spek"/>
      <sheetName val="Harga_Satuan"/>
      <sheetName val="BQ ARS"/>
      <sheetName val="Elektrikal"/>
      <sheetName val="Fill this out first..."/>
      <sheetName val="A"/>
      <sheetName val="ESCON"/>
      <sheetName val="daf_3_OK_"/>
      <sheetName val="daf_7_OK_"/>
      <sheetName val="I-KAMAR"/>
      <sheetName val="Daf 1"/>
      <sheetName val="DAF_2"/>
      <sheetName val="Bill_1_VAC_Supply_A"/>
      <sheetName val="BAG-2"/>
      <sheetName val="2_2"/>
      <sheetName val="harsat"/>
      <sheetName val="Kolom"/>
      <sheetName val="Analisa"/>
      <sheetName val="LS_Rutin"/>
      <sheetName val="ah_sanitary"/>
      <sheetName val="Currency_Rate"/>
      <sheetName val="STR"/>
      <sheetName val="INPUT DATAS"/>
      <sheetName val="Sch.1"/>
      <sheetName val="price"/>
      <sheetName val="SEX"/>
      <sheetName val="Scd_RAB"/>
      <sheetName val="Penwrn"/>
      <sheetName val="Bgt_Jun-05"/>
      <sheetName val="Total Load List"/>
      <sheetName val="SAT-BHN"/>
      <sheetName val="Bahan "/>
      <sheetName val="Upah"/>
      <sheetName val="Pekerjaan "/>
      <sheetName val="chitimc"/>
      <sheetName val="Rate"/>
      <sheetName val="BAG_2"/>
      <sheetName val="Isolasi Luar Dalam"/>
      <sheetName val="Isolasi Luar"/>
      <sheetName val="Alat"/>
      <sheetName val="Persiapan"/>
      <sheetName val="Fill this out first___"/>
      <sheetName val="BQ atap bengkel"/>
      <sheetName val="str bengkel"/>
      <sheetName val="Eva_Spek1"/>
      <sheetName val="Harga_Satuan1"/>
      <sheetName val="BQ_ARS"/>
      <sheetName val="Daf_1"/>
      <sheetName val="TE TS FA LAN MATV"/>
      <sheetName val="H.Satuan"/>
      <sheetName val="Harga ME "/>
      <sheetName val="ALEK"/>
      <sheetName val="Bill rekap"/>
      <sheetName val="Bill of Qty"/>
      <sheetName val="sheet1"/>
      <sheetName val="sort"/>
      <sheetName val="Bahan"/>
      <sheetName val="FINISHING"/>
      <sheetName val="STRUKTUR"/>
      <sheetName val="DAFTAR HARGA"/>
      <sheetName val="REF.ONLY"/>
      <sheetName val="INDEX"/>
      <sheetName val="A+Supl."/>
      <sheetName val="7"/>
      <sheetName val="Bldg"/>
      <sheetName val="drain"/>
      <sheetName val="Structure"/>
      <sheetName val="Bill No. 2"/>
      <sheetName val="machinery"/>
      <sheetName val="walk way"/>
      <sheetName val="Architecture"/>
      <sheetName val="BoQ"/>
      <sheetName val="HS_TRG"/>
      <sheetName val="REKAP"/>
      <sheetName val="data"/>
      <sheetName val="Cover1"/>
      <sheetName val="DAF-1"/>
      <sheetName val="Pt"/>
      <sheetName val="mu"/>
      <sheetName val="#REF!"/>
      <sheetName val="mat baja"/>
      <sheetName val="harga baja"/>
      <sheetName val="Rekapitulasi"/>
      <sheetName val="BQ-Str"/>
      <sheetName val="Bhn"/>
      <sheetName val="SPEC"/>
      <sheetName val="304_06"/>
      <sheetName val="Cash Flow bulanan"/>
      <sheetName val="Peralatan (2)"/>
      <sheetName val="合成単価作成表-BLDG"/>
      <sheetName val="mat_me pipa"/>
      <sheetName val="Ahs.2"/>
      <sheetName val="Ahs.1"/>
      <sheetName val="rab me (by owner) "/>
      <sheetName val="BQ (by owner)"/>
      <sheetName val="rab me (fisik)"/>
      <sheetName val="Biaya-Lat"/>
      <sheetName val="Rekap Direct Cost"/>
      <sheetName val="Hrg.Sat"/>
      <sheetName val="UNIT CHILLER"/>
      <sheetName val="AC"/>
      <sheetName val="PT."/>
      <sheetName val="Input"/>
      <sheetName val="Huruf"/>
      <sheetName val="Mob"/>
      <sheetName val="Penjumlahan"/>
      <sheetName val="I_KAMAR"/>
      <sheetName val="RAB MEK 15 M MB "/>
      <sheetName val="VAC-1"/>
      <sheetName val="Jurnal"/>
      <sheetName val="Listrik"/>
      <sheetName val="Perm. Test"/>
      <sheetName val="UNIT PRICE ANALYSIS (KSN)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ef"/>
      <sheetName val="Analisa  (2)"/>
      <sheetName val="TOWN"/>
      <sheetName val="Tataudara"/>
      <sheetName val="Analisa STR"/>
      <sheetName val="HB "/>
      <sheetName val="DATA GRAFIK"/>
      <sheetName val="rumus"/>
      <sheetName val="Kuantitas &amp; Harga"/>
      <sheetName val="AHS Marka"/>
      <sheetName val="AHS Aspal"/>
      <sheetName val="met bab3"/>
      <sheetName val="anal bab8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FACTOR"/>
      <sheetName val="prime coal"/>
      <sheetName val="arab"/>
      <sheetName val="RAB"/>
      <sheetName val="ah_sanitary1"/>
      <sheetName val="Currency_Rate1"/>
      <sheetName val="Fill_this_out_first___"/>
      <sheetName val="Volume"/>
      <sheetName val="HRG BHN"/>
      <sheetName val="analysis"/>
      <sheetName val="L-TIGA"/>
      <sheetName val="L_TIGA"/>
      <sheetName val="Fab+erect"/>
      <sheetName val="HARGA ALAT"/>
      <sheetName val="RKP"/>
      <sheetName val="???????-BLDG"/>
      <sheetName val="Analisa Upah &amp; Bahan Plum"/>
      <sheetName val="_______-BLDG"/>
      <sheetName val="HB me"/>
      <sheetName val="jobhist"/>
      <sheetName val="DAF-5"/>
      <sheetName val="DAF_5"/>
      <sheetName val="r.tank"/>
      <sheetName val="prelim"/>
      <sheetName val="wo 276&amp;1050 (98-99)"/>
      <sheetName val="Analisa Teknik"/>
      <sheetName val="R_Srikana"/>
      <sheetName val="UPAH~K"/>
      <sheetName val="ANALIS"/>
      <sheetName val="BAHAN~"/>
      <sheetName val="D7"/>
      <sheetName val="Bsc"/>
      <sheetName val="Alt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Fire Fighting"/>
      <sheetName val="satuan_pek_ars"/>
      <sheetName val="Analisa Harga Satuan"/>
      <sheetName val="hsp-STR-ARS"/>
      <sheetName val="8LT 12"/>
      <sheetName val="RAB-ARS"/>
      <sheetName val="HSBU"/>
      <sheetName val="schtng"/>
      <sheetName val="schbhn"/>
      <sheetName val="schalt"/>
      <sheetName val="Coord"/>
      <sheetName val="ANALISA PEK.UMUM"/>
      <sheetName val="ANALISA KONST BTN"/>
      <sheetName val="4-MVAC"/>
      <sheetName val="ES STG"/>
      <sheetName val="MAPDC"/>
      <sheetName val="E_TRIKAL"/>
      <sheetName val="E_TRONIK"/>
      <sheetName val="MEK"/>
      <sheetName val="ANAL_HPS"/>
      <sheetName val="Rekap1"/>
      <sheetName val="ARSITEK"/>
      <sheetName val="BASE_PL1_H_shape__OLD_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MUA"/>
      <sheetName val="HB"/>
      <sheetName val="Sal"/>
      <sheetName val="AHSbj"/>
      <sheetName val="Normalisasi"/>
      <sheetName val="Pipe"/>
      <sheetName val="95삼성급(본사)"/>
      <sheetName val="A_2"/>
      <sheetName val="Level"/>
      <sheetName val="ANA"/>
      <sheetName val="Koefisien"/>
      <sheetName val="BQ-E20-02(Rp)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DivVII"/>
      <sheetName val="IPL_SCHEDULE"/>
      <sheetName val="mat&amp;upah"/>
      <sheetName val="HARGA MATERIAL"/>
      <sheetName val=" anal hrg sat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div7"/>
      <sheetName val="Compare"/>
      <sheetName val="ALAT1"/>
      <sheetName val="BASIC"/>
      <sheetName val="DIV_3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Pembongkaran"/>
      <sheetName val="SKEDUL AV-05"/>
      <sheetName val="304-06"/>
      <sheetName val="An Arsitektur"/>
      <sheetName val="Unit Rate (2)"/>
      <sheetName val="An Struktur"/>
      <sheetName val="ETAB 2"/>
      <sheetName val="8LT_12"/>
      <sheetName val="REKAP GROSS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CERT"/>
      <sheetName val="Smry Wk (P I)"/>
      <sheetName val="Dokumentasi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Cover"/>
      <sheetName val="REF.ONLY"/>
      <sheetName val="DAF_2"/>
      <sheetName val="Analisa Harga"/>
      <sheetName val="Summary"/>
      <sheetName val="DAF-2"/>
      <sheetName val="TOWN"/>
      <sheetName val="Analisa ME "/>
      <sheetName val="FAKTOR"/>
      <sheetName val="Pt"/>
      <sheetName val="anal"/>
      <sheetName val="Bahan"/>
      <sheetName val="Upah"/>
      <sheetName val="HS"/>
      <sheetName val="STR"/>
      <sheetName val="luar"/>
      <sheetName val="RINC hotel"/>
      <sheetName val="RINC FIN T4 "/>
      <sheetName val="RINC FIN T4  _3_"/>
      <sheetName val="RINC FIN T4  _2_"/>
      <sheetName val="price"/>
      <sheetName val="Code03"/>
      <sheetName val="analisa"/>
      <sheetName val="ES-aLL"/>
      <sheetName val="satuan_pek_ars"/>
      <sheetName val="daf-3(OK)"/>
      <sheetName val="daf-7(OK)"/>
      <sheetName val="A+Supl."/>
      <sheetName val="7"/>
      <sheetName val="name"/>
      <sheetName val="BQ All-2"/>
      <sheetName val="Bunga"/>
      <sheetName val="BQ-Str"/>
      <sheetName val="Analisa STR"/>
      <sheetName val="NAMES"/>
      <sheetName val="DATA"/>
      <sheetName val="an_ struktur"/>
      <sheetName val="harsat"/>
      <sheetName val="Dashboard"/>
      <sheetName val="ADDENDUM"/>
      <sheetName val="Daf 1"/>
      <sheetName val="COLUMN-CR"/>
      <sheetName val="BQ"/>
      <sheetName val="OFFICE 2 LT"/>
      <sheetName val="Rekap Direct Cost"/>
      <sheetName val="HB"/>
      <sheetName val="Pag_hal"/>
      <sheetName val="COA"/>
      <sheetName val="B - Norelec"/>
      <sheetName val="Harga Satuan"/>
      <sheetName val="Meto"/>
      <sheetName val="Bill sipil"/>
      <sheetName val="ana_str"/>
      <sheetName val="har-sat"/>
      <sheetName val="Panel,feeder,elek"/>
      <sheetName val="ARSUtM "/>
      <sheetName val="Pipe"/>
      <sheetName val="FINISHING"/>
      <sheetName val="RAB"/>
      <sheetName val="an. struktur"/>
      <sheetName val="Rek_ME"/>
      <sheetName val="Analisa Gabungan"/>
      <sheetName val="Sub"/>
      <sheetName val="Hargamat"/>
      <sheetName val="Analisa Upah &amp; Bahan Plum"/>
      <sheetName val="FORM X COST"/>
      <sheetName val="Bill No 6 Koord &amp; Attendance"/>
      <sheetName val="Sheet1"/>
      <sheetName val="VIII. TANGGA"/>
      <sheetName val="HRG BHN"/>
      <sheetName val="Prelim"/>
      <sheetName val="Bhn"/>
      <sheetName val="I-KAMAR"/>
      <sheetName val="4-MVAC"/>
      <sheetName val="Public Area"/>
      <sheetName val="rekap_evals"/>
      <sheetName val="elec_evals"/>
      <sheetName val="elka_evals"/>
      <sheetName val="AC_evals"/>
      <sheetName val="Plum_evals"/>
      <sheetName val="ANALISA PEK.UMU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CAT-HRG "/>
      <sheetName val="TOTAL"/>
      <sheetName val="DAF-1 (2)"/>
      <sheetName val="DAF-1"/>
      <sheetName val="DAF-2"/>
      <sheetName val="DAF-3"/>
      <sheetName val="DAF- 4"/>
      <sheetName val="DAF-11"/>
      <sheetName val="DAFT-12"/>
      <sheetName val="Pipe"/>
      <sheetName val="FITT"/>
      <sheetName val="valve"/>
      <sheetName val="Dafmat"/>
      <sheetName val="Metode"/>
      <sheetName val="sch"/>
      <sheetName val="CP-1"/>
      <sheetName val="CP-2"/>
      <sheetName val="CP 3"/>
      <sheetName val="valve (2)"/>
      <sheetName val="DAF_2"/>
      <sheetName val="Anls"/>
      <sheetName val="BASEMENT"/>
      <sheetName val="FINISHING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-BAB"/>
      <sheetName val="CATATAN HARGA"/>
      <sheetName val="DAF-1"/>
      <sheetName val="LUAS GROSS"/>
      <sheetName val="GRN-TOT"/>
      <sheetName val="TOT-ME"/>
      <sheetName val="ES-aLL"/>
      <sheetName val="ES-B1&amp;2"/>
      <sheetName val="ES-T-A "/>
      <sheetName val="an.ksn"/>
      <sheetName val="an_dpk"/>
      <sheetName val="Plaf"/>
      <sheetName val="DAF-2"/>
      <sheetName val="UPAH"/>
      <sheetName val="ES_aL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I-KAMAR"/>
      <sheetName val="FINISHING"/>
      <sheetName val="Bahan"/>
      <sheetName val="Analisa Harga"/>
      <sheetName val="Summary"/>
      <sheetName val="2_2"/>
      <sheetName val="DAF_1"/>
      <sheetName val="NAMES"/>
      <sheetName val="MATERIAL"/>
      <sheetName val="Analisa &amp; Upah"/>
      <sheetName val="Anls"/>
      <sheetName val="BASEMENT"/>
      <sheetName val="Bahan _ Upah"/>
      <sheetName val="harsat"/>
      <sheetName val="BU"/>
      <sheetName val="Daf 1"/>
      <sheetName val="RAB"/>
      <sheetName val="an. struktur"/>
      <sheetName val="Dashboard"/>
      <sheetName val="Prelim"/>
      <sheetName val="ANALISA"/>
      <sheetName val="UPAH"/>
      <sheetName val="ANALISA ALAT BERAT"/>
      <sheetName val="TAMKUR "/>
      <sheetName val="Cover"/>
      <sheetName val="PRICE-COMP"/>
      <sheetName val="Elektrikal"/>
      <sheetName val="STR"/>
      <sheetName val="2"/>
      <sheetName val="Ana-ALAT"/>
      <sheetName val="CAPITOL MEKANIKAL"/>
      <sheetName val="STRUKTUR"/>
      <sheetName val="BAG-2"/>
      <sheetName val="Hargapek"/>
      <sheetName val="H_Satuan"/>
      <sheetName val="Bill sipil"/>
      <sheetName val="FORM X COST"/>
      <sheetName val="DAF_3"/>
      <sheetName val="DAF_4"/>
      <sheetName val="ana-str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dasboard"/>
      <sheetName val="Bhn"/>
      <sheetName val="ana drainase"/>
      <sheetName val="Data"/>
      <sheetName val="Sheet5"/>
      <sheetName val="Sat Bah &amp; Up"/>
      <sheetName val="PT."/>
      <sheetName val="Input"/>
      <sheetName val="Bill No.13.1"/>
      <sheetName val="hg sat 2"/>
      <sheetName val="hg sat BM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AHS ASLI"/>
      <sheetName val="Mon Upah+Alat+Material"/>
      <sheetName val="Sat. Pek."/>
      <sheetName val="CF"/>
      <sheetName val="DAFTAR (2)"/>
      <sheetName val="REF.ONLY"/>
      <sheetName val="daf_3_OK_"/>
      <sheetName val="daf_7_OK_"/>
      <sheetName val="H.Satuan"/>
      <sheetName val="Bill rekap"/>
      <sheetName val="Bill of Qty"/>
      <sheetName val="PT_"/>
      <sheetName val="ana_drainase"/>
      <sheetName val="Sat_Bah_&amp;_Up"/>
      <sheetName val="Bill_No_13_1"/>
      <sheetName val="2.2"/>
      <sheetName val="BQ mep"/>
      <sheetName val="4-MVAC"/>
      <sheetName val="I_KAMAR"/>
      <sheetName val="FAKTOR"/>
      <sheetName val="Pt"/>
      <sheetName val="Blk A"/>
      <sheetName val="Code"/>
      <sheetName val="DAF)6"/>
      <sheetName val="DAF-NO._x0012_"/>
      <sheetName val="rumus"/>
      <sheetName val="BAG_2"/>
      <sheetName val="RAP"/>
      <sheetName val="DHS"/>
      <sheetName val="Anal"/>
      <sheetName val="ARSITEKTUR"/>
      <sheetName val="daf-3(OK)"/>
      <sheetName val="daf-7(OK)"/>
      <sheetName val="DAF-4"/>
      <sheetName val="black_out"/>
      <sheetName val="Unit-P"/>
      <sheetName val="Sheet1"/>
      <sheetName val="ES_aLL"/>
      <sheetName val="4"/>
      <sheetName val="Sub"/>
      <sheetName val="AHAS PANEL"/>
      <sheetName val="Analisa ME "/>
      <sheetName val="Sat Bahan"/>
      <sheetName val="Sat Alat"/>
      <sheetName val="Sat Upah"/>
      <sheetName val="#REF!"/>
      <sheetName val="Ahs.2"/>
      <sheetName val="Ahs.1"/>
      <sheetName val="BQ-Tenis"/>
      <sheetName val="BOQ_Aula"/>
      <sheetName val="An Arsitektur"/>
      <sheetName val="An Struktur"/>
      <sheetName val="BOQ"/>
      <sheetName val="Unit Rate"/>
      <sheetName val="BQ"/>
      <sheetName val="hsp-STR-ARS"/>
      <sheetName val="Ana"/>
      <sheetName val="an_ struktur"/>
      <sheetName val="BIAYA UMUM"/>
      <sheetName val="SDM"/>
      <sheetName val="PAD-F"/>
      <sheetName val="lap-bulan"/>
      <sheetName val="Lap-Minggu"/>
      <sheetName val="Harsat Bahan"/>
      <sheetName val="Harsat Upah"/>
      <sheetName val="ANALISA MARET 09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BQ-Str"/>
      <sheetName val="NP"/>
      <sheetName val="Har_mat"/>
      <sheetName val="an mek"/>
      <sheetName val="HRG BHN"/>
      <sheetName val="PileCap"/>
      <sheetName val="Har-mat"/>
      <sheetName val="By"/>
      <sheetName val="Gaji"/>
      <sheetName val="B.T"/>
      <sheetName val="Batasan"/>
      <sheetName val="SAP"/>
      <sheetName val="Daftar Harga"/>
      <sheetName val="Daftar Upah"/>
      <sheetName val="Harga Bahan"/>
      <sheetName val="DAF-NO._x005f_x0012_"/>
      <sheetName val="Brd Unit Rate"/>
      <sheetName val="Basic Price"/>
      <sheetName val="pricing"/>
      <sheetName val="HB"/>
      <sheetName val="CashFlow"/>
      <sheetName val="LAB me"/>
      <sheetName val="UPL"/>
      <sheetName val="AHS"/>
      <sheetName val="Listrik"/>
      <sheetName val="2(SI-23mrt-PIT)"/>
      <sheetName val="trial balance"/>
      <sheetName val="BQ29"/>
      <sheetName val="SD"/>
      <sheetName val="HARGA ALAT"/>
      <sheetName val="BASE-PL1(H-shape)(OLD)"/>
      <sheetName val="TOT_RAP"/>
      <sheetName val="Sheet3"/>
      <sheetName val="analisa SNI"/>
      <sheetName val="Als Struk"/>
      <sheetName val="PileClm"/>
      <sheetName val="Harga"/>
      <sheetName val="SUBKON"/>
      <sheetName val="RAB (A) (2)"/>
      <sheetName val="Bobot"/>
      <sheetName val="NM"/>
      <sheetName val="Traf&amp;Genst"/>
      <sheetName val="320000 CABANG VI"/>
      <sheetName val="upah bahan"/>
      <sheetName val="bhn-upah"/>
      <sheetName val="SD (1)"/>
      <sheetName val="BQ-IABK"/>
      <sheetName val="Harga Satuan"/>
      <sheetName val="An_hrg"/>
      <sheetName val="Analisa _ Upah"/>
      <sheetName val="XL4Poppy"/>
      <sheetName val="Sheet8"/>
      <sheetName val="Harga ME "/>
      <sheetName val="DAF-NO._x005f_x005f_x005f_x0012_"/>
      <sheetName val="DAF-NO._x005f_x005f_x005f_x005f_x005f_x005f_x0012"/>
      <sheetName val="STRUKTUR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Pipe"/>
      <sheetName val="Bill No 6 Koord &amp; Attendance"/>
      <sheetName val="UPAH"/>
      <sheetName val="LAMP-A"/>
      <sheetName val="TOWN"/>
      <sheetName val="HSATUAN"/>
      <sheetName val="Cal_Slab_Admin"/>
      <sheetName val="BAHAN"/>
      <sheetName val="DAF-1"/>
      <sheetName val="Form-3.3"/>
      <sheetName val="LAMP_A"/>
      <sheetName val="Pt"/>
      <sheetName val="DAF-2"/>
      <sheetName val="UTILITAS"/>
      <sheetName val="A"/>
      <sheetName val="ADDENDUM"/>
      <sheetName val="KH-Q1,Q2,01"/>
      <sheetName val="3.1"/>
      <sheetName val="COST"/>
      <sheetName val="harsat"/>
      <sheetName val="Analisa Harga"/>
      <sheetName val="Summary"/>
      <sheetName val="Kurva -S_det"/>
      <sheetName val="kURV s"/>
      <sheetName val="RAB.SEKRETARIAT (1)"/>
      <sheetName val="Analisa"/>
      <sheetName val="BQ"/>
      <sheetName val="REF.ONLY"/>
      <sheetName val="OFFICE 2 LT"/>
      <sheetName val="Rekap Direct Cost"/>
      <sheetName val="price"/>
      <sheetName val="HB"/>
      <sheetName val="A+Supl."/>
      <sheetName val="7"/>
      <sheetName val="Pag_hal"/>
      <sheetName val="COA"/>
      <sheetName val="B - Norelec"/>
      <sheetName val="Harga Satuan"/>
      <sheetName val="Meto"/>
      <sheetName val="Daf 1"/>
      <sheetName val="Bill sipil"/>
      <sheetName val="ana_str"/>
      <sheetName val="har-sat"/>
      <sheetName val="Panel,feeder,elek"/>
      <sheetName val="ARSUtM "/>
      <sheetName val="COLUMN-CR"/>
      <sheetName val="Analisa Gabungan"/>
      <sheetName val="Sub"/>
      <sheetName val="Hargamat"/>
      <sheetName val="Bill of Quantity"/>
      <sheetName val="PileCap"/>
      <sheetName val="Kolom"/>
      <sheetName val="TB"/>
      <sheetName val="rekap str+ars"/>
      <sheetName val="List Material"/>
      <sheetName val="Analisa Upah &amp; Bahan Plum"/>
      <sheetName val="P.PPR"/>
      <sheetName val="INDEX"/>
      <sheetName val="daffin"/>
      <sheetName val="PL _5 LT "/>
      <sheetName val="FINISHING"/>
      <sheetName val="D_harga"/>
      <sheetName val="HB "/>
      <sheetName val="AHSbj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ST"/>
      <sheetName val="FDK"/>
      <sheetName val="harsat"/>
      <sheetName val="ANALISA PEK.UMUM"/>
      <sheetName val="Sat Bah &amp; Up"/>
      <sheetName val="BAG-III"/>
      <sheetName val="Fill this out first..."/>
      <sheetName val="BQ"/>
      <sheetName val="BAG_III"/>
      <sheetName val="Fill this out first___"/>
      <sheetName val="Currency Rate"/>
      <sheetName val="Elektrikal"/>
      <sheetName val="price"/>
      <sheetName val="#REF!"/>
      <sheetName val="Currency_Rate5"/>
      <sheetName val="Currency_Rate4"/>
      <sheetName val="Currency_Rate1"/>
      <sheetName val="LKVL-CK-HT-GD1"/>
      <sheetName val="GD_14"/>
      <sheetName val="HRG_BHN1"/>
      <sheetName val="Anls"/>
      <sheetName val="BQ-E20-02(Rp)"/>
      <sheetName val="Daf_1"/>
      <sheetName val="Analisa_&amp;_Upah"/>
      <sheetName val="An_Struktur"/>
      <sheetName val="An_Arsitektur"/>
      <sheetName val="BOQ"/>
      <sheetName val="Unit_Rate"/>
      <sheetName val="TONG_HOP_VL-NC"/>
      <sheetName val="chitiet"/>
      <sheetName val="TONGKE3p_"/>
      <sheetName val="Du_lieu"/>
      <sheetName val="Fill_this_out_first___"/>
      <sheetName val="TH_VL,_NC,_DDHT_Thanhphuoc"/>
      <sheetName val="#REF"/>
      <sheetName val="gvl"/>
      <sheetName val="Sheet1"/>
      <sheetName val="DONGIA"/>
      <sheetName val="DON_GIA"/>
      <sheetName val="Markup"/>
      <sheetName val="DG"/>
      <sheetName val="Unit_Rate_(2)"/>
      <sheetName val="PC"/>
      <sheetName val="Analisa_Upah_&amp;_Bahan_Plum1"/>
      <sheetName val="Rekap_Direct_Cost"/>
      <sheetName val="TNHCHINH"/>
      <sheetName val="CHITIET_VL-NC"/>
      <sheetName val="BASEMENT"/>
      <sheetName val="Analisa"/>
      <sheetName val="Tiepdia"/>
      <sheetName val="VCV-BE-TONG"/>
      <sheetName val="Currency_Rate2"/>
      <sheetName val="Currency_Rate"/>
      <sheetName val="D_&amp;_W_sizes1"/>
      <sheetName val="Bill_of_Qty_MEP2"/>
      <sheetName val="概総括1"/>
      <sheetName val="NET表"/>
      <sheetName val="BQ表"/>
      <sheetName val="Currency_Rate3"/>
      <sheetName val="Sag1"/>
      <sheetName val="Currency_Rate6"/>
      <sheetName val="Fill_this_out_first___1"/>
      <sheetName val="escon"/>
      <sheetName val="ﾃｨｰﾁﾝｸﾞ"/>
      <sheetName val="SEX"/>
      <sheetName val="komponen"/>
      <sheetName val="FINISHING"/>
      <sheetName val="DAF-2"/>
      <sheetName val="Fill_this_out_first___4"/>
      <sheetName val="Currency_Rate7"/>
      <sheetName val="Fill_this_out_first___2"/>
      <sheetName val="tifico"/>
      <sheetName val="RFP007"/>
      <sheetName val="RFP006"/>
      <sheetName val="RFP009"/>
      <sheetName val="RFP002"/>
      <sheetName val="Piping"/>
      <sheetName val="Daf 1"/>
      <sheetName val="Analisa Equip. Supply"/>
      <sheetName val="Bill No.4 Fire"/>
      <sheetName val="Analisa Fire"/>
      <sheetName val="data"/>
      <sheetName val="I-KAMA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Portion"/>
      <sheetName val="Local Portion"/>
      <sheetName val="LET"/>
      <sheetName val="BQE"/>
      <sheetName val="BQM"/>
      <sheetName val="SITE-E"/>
      <sheetName val="Analisa"/>
      <sheetName val="rumus"/>
      <sheetName val="#REF!"/>
      <sheetName val="Daf 1"/>
      <sheetName val="Sheet1"/>
      <sheetName val="daf-3(OK)"/>
      <sheetName val="bahan "/>
      <sheetName val="daf-7(OK)"/>
      <sheetName val="bahan"/>
      <sheetName val="REF.ONLY"/>
      <sheetName val="Harga ME "/>
      <sheetName val="prelim"/>
      <sheetName val="r.tank"/>
      <sheetName val="SAP"/>
      <sheetName val="ﾃｨｰﾁﾝｸﾞ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u_lieu"/>
      <sheetName val="h.satua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"/>
      <sheetName val="Rekap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rap"/>
      <sheetName val="bhn"/>
      <sheetName val="spek"/>
      <sheetName val="altok"/>
      <sheetName val="bumok"/>
      <sheetName val="altprec"/>
      <sheetName val="bumprec"/>
      <sheetName val="REMUNERASISTANDAR"/>
      <sheetName val="TABEL-DETASIR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Acessoris"/>
      <sheetName val="Apartement"/>
      <sheetName val="Jembatan"/>
      <sheetName val="MallAC"/>
      <sheetName val="Ana Duct"/>
      <sheetName val="Hsd Duct"/>
      <sheetName val="Pipe"/>
      <sheetName val="Grille"/>
      <sheetName val="valve"/>
      <sheetName val="Dafmat"/>
      <sheetName val="DM"/>
      <sheetName val="Peghitungan"/>
      <sheetName val="MALL_K"/>
      <sheetName val="Item Tambahan"/>
      <sheetName val="APARTment_K"/>
      <sheetName val="Jembatan_K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 t="str">
            <v>C:\Personal\Project'01\</v>
          </cell>
        </row>
        <row r="2">
          <cell r="C2" t="str">
            <v>ANALISA HARGA SATUAN</v>
          </cell>
          <cell r="AH2" t="str">
            <v>Mark Up</v>
          </cell>
        </row>
        <row r="3">
          <cell r="C3" t="str">
            <v xml:space="preserve">PROYEK              :   STANDARD  </v>
          </cell>
          <cell r="AH3">
            <v>1.1499999999999999</v>
          </cell>
        </row>
        <row r="4">
          <cell r="C4" t="str">
            <v>PEKERJAAN        :   PEMIPAAN AIR CONDITIONING</v>
          </cell>
        </row>
        <row r="5">
          <cell r="CB5" t="str">
            <v>Al.Foil</v>
          </cell>
          <cell r="CC5" t="str">
            <v>Adh.Tape</v>
          </cell>
        </row>
        <row r="6">
          <cell r="G6" t="str">
            <v>Harga / M'</v>
          </cell>
        </row>
        <row r="7">
          <cell r="A7" t="str">
            <v>Dia.</v>
          </cell>
          <cell r="C7" t="str">
            <v>Dia.</v>
          </cell>
          <cell r="E7" t="str">
            <v xml:space="preserve">Tebal </v>
          </cell>
          <cell r="G7" t="str">
            <v>Pipa</v>
          </cell>
          <cell r="I7" t="str">
            <v>Hanger</v>
          </cell>
          <cell r="K7" t="str">
            <v>Upah</v>
          </cell>
          <cell r="M7" t="str">
            <v>Fittings</v>
          </cell>
          <cell r="O7" t="str">
            <v>Isolasi</v>
          </cell>
          <cell r="Q7" t="str">
            <v>mat.</v>
          </cell>
          <cell r="S7" t="str">
            <v xml:space="preserve">Metal </v>
          </cell>
          <cell r="U7" t="str">
            <v>Total</v>
          </cell>
          <cell r="W7" t="str">
            <v>Total</v>
          </cell>
          <cell r="Y7" t="str">
            <v>Total</v>
          </cell>
          <cell r="AA7" t="str">
            <v>Total</v>
          </cell>
          <cell r="AC7" t="str">
            <v>Total</v>
          </cell>
          <cell r="AE7" t="str">
            <v>Total</v>
          </cell>
          <cell r="AH7" t="str">
            <v>Pipe</v>
          </cell>
          <cell r="AI7" t="str">
            <v>Hanger/</v>
          </cell>
          <cell r="AJ7" t="str">
            <v>Labour</v>
          </cell>
          <cell r="AK7" t="str">
            <v>Labour</v>
          </cell>
          <cell r="AL7" t="str">
            <v>Ins.</v>
          </cell>
          <cell r="AM7" t="str">
            <v>Misc.</v>
          </cell>
          <cell r="AN7" t="str">
            <v xml:space="preserve">M.Jack. </v>
          </cell>
          <cell r="AO7" t="str">
            <v>Aluminium</v>
          </cell>
          <cell r="AP7" t="str">
            <v>BJLS</v>
          </cell>
          <cell r="AQ7" t="str">
            <v>Vibration Control System</v>
          </cell>
          <cell r="AR7" t="str">
            <v>Vibration</v>
          </cell>
          <cell r="AU7" t="str">
            <v>Armaflex</v>
          </cell>
          <cell r="BC7" t="str">
            <v xml:space="preserve">Insulflex </v>
          </cell>
          <cell r="BJ7" t="str">
            <v>Thermaflex (FR-Z)</v>
          </cell>
          <cell r="BT7" t="str">
            <v>Phenofoam-K</v>
          </cell>
          <cell r="CB7" t="str">
            <v>Sisalation 430P</v>
          </cell>
          <cell r="CC7">
            <v>636.57407407407391</v>
          </cell>
          <cell r="CE7" t="str">
            <v>Price List</v>
          </cell>
        </row>
        <row r="8">
          <cell r="A8" t="str">
            <v>(inch)</v>
          </cell>
          <cell r="C8" t="str">
            <v>(mm)</v>
          </cell>
          <cell r="E8" t="str">
            <v>isolasi</v>
          </cell>
          <cell r="I8" t="str">
            <v>Support</v>
          </cell>
          <cell r="M8">
            <v>0.4</v>
          </cell>
          <cell r="Q8" t="str">
            <v>bantu</v>
          </cell>
          <cell r="S8" t="str">
            <v>Jacketing</v>
          </cell>
          <cell r="U8" t="str">
            <v>a+b</v>
          </cell>
          <cell r="W8" t="str">
            <v>a+b+d</v>
          </cell>
          <cell r="Y8" t="str">
            <v>h+e+f</v>
          </cell>
          <cell r="AA8" t="str">
            <v>i+e+f</v>
          </cell>
          <cell r="AC8" t="str">
            <v>j+g</v>
          </cell>
          <cell r="AE8" t="str">
            <v>k+g</v>
          </cell>
          <cell r="AI8" t="str">
            <v>Supports</v>
          </cell>
          <cell r="AJ8" t="str">
            <v>Pipe</v>
          </cell>
          <cell r="AK8" t="str">
            <v>Insulation</v>
          </cell>
          <cell r="AM8">
            <v>0.05</v>
          </cell>
          <cell r="AN8" t="str">
            <v xml:space="preserve">  0.4 mm</v>
          </cell>
          <cell r="AO8">
            <v>2546.2962962962961</v>
          </cell>
          <cell r="AP8">
            <v>2043.4375</v>
          </cell>
          <cell r="AQ8" t="str">
            <v xml:space="preserve">  HEA A140(8mm;144kg)</v>
          </cell>
          <cell r="AR8">
            <v>338100.00000000006</v>
          </cell>
          <cell r="AW8" t="str">
            <v>Disc =</v>
          </cell>
          <cell r="AX8">
            <v>0.3</v>
          </cell>
          <cell r="BE8" t="str">
            <v>Disc =</v>
          </cell>
          <cell r="BF8">
            <v>0.35</v>
          </cell>
          <cell r="BM8" t="str">
            <v>Disc =</v>
          </cell>
          <cell r="BN8">
            <v>0.15</v>
          </cell>
          <cell r="BV8" t="str">
            <v>Disc =</v>
          </cell>
          <cell r="BW8">
            <v>0.1</v>
          </cell>
          <cell r="CB8" t="str">
            <v>Sisalation 430</v>
          </cell>
          <cell r="CC8">
            <v>345.37037037037032</v>
          </cell>
          <cell r="CE8" t="str">
            <v>BSP</v>
          </cell>
          <cell r="CF8" t="str">
            <v>GIP</v>
          </cell>
          <cell r="CG8" t="str">
            <v>BSP</v>
          </cell>
        </row>
        <row r="9">
          <cell r="E9" t="str">
            <v>(Inch)</v>
          </cell>
          <cell r="G9" t="str">
            <v>(Rp.)</v>
          </cell>
          <cell r="I9" t="str">
            <v>(Rp.)</v>
          </cell>
          <cell r="K9" t="str">
            <v>(Rp.)</v>
          </cell>
          <cell r="M9" t="str">
            <v>(Rp.)</v>
          </cell>
          <cell r="O9" t="str">
            <v>(Rp.)</v>
          </cell>
          <cell r="Q9" t="str">
            <v>(Rp.)</v>
          </cell>
          <cell r="S9" t="str">
            <v>(Rp.)</v>
          </cell>
          <cell r="U9" t="str">
            <v>w/o fitt.&amp;ins.</v>
          </cell>
          <cell r="W9" t="str">
            <v>w/o insl.</v>
          </cell>
          <cell r="Y9" t="str">
            <v>w/o fitt</v>
          </cell>
          <cell r="AA9" t="str">
            <v>w/insl.</v>
          </cell>
          <cell r="AC9" t="str">
            <v>c/w M. Jack</v>
          </cell>
          <cell r="AE9" t="str">
            <v>c/w M. Jack</v>
          </cell>
          <cell r="AJ9">
            <v>2250</v>
          </cell>
          <cell r="AK9">
            <v>1000</v>
          </cell>
          <cell r="AN9" t="str">
            <v xml:space="preserve">  0.5 mm</v>
          </cell>
          <cell r="AO9">
            <v>3009.2592592592591</v>
          </cell>
          <cell r="AP9">
            <v>2516.71875</v>
          </cell>
          <cell r="AQ9" t="str">
            <v xml:space="preserve">  NM A30&amp;A50(7mm;133kg)</v>
          </cell>
          <cell r="AR9">
            <v>120540.00000000001</v>
          </cell>
          <cell r="AT9" t="str">
            <v>1/2"</v>
          </cell>
          <cell r="AU9" t="str">
            <v>3/4"</v>
          </cell>
          <cell r="AV9" t="str">
            <v>1</v>
          </cell>
          <cell r="AW9" t="str">
            <v>1 1/4"</v>
          </cell>
          <cell r="AX9" t="str">
            <v>1 1/2</v>
          </cell>
          <cell r="AY9" t="str">
            <v>2</v>
          </cell>
          <cell r="AZ9" t="str">
            <v>2 1/2</v>
          </cell>
          <cell r="BB9" t="str">
            <v>1/2"</v>
          </cell>
          <cell r="BC9" t="str">
            <v>3/4"</v>
          </cell>
          <cell r="BD9" t="str">
            <v>1</v>
          </cell>
          <cell r="BE9" t="str">
            <v>1 3/8"</v>
          </cell>
          <cell r="BF9" t="str">
            <v>1 1/2</v>
          </cell>
          <cell r="BG9" t="str">
            <v>2</v>
          </cell>
          <cell r="BH9" t="str">
            <v>2 1/2</v>
          </cell>
          <cell r="BJ9" t="str">
            <v>1/2 "</v>
          </cell>
          <cell r="BK9" t="str">
            <v>3/4 "</v>
          </cell>
          <cell r="BL9" t="str">
            <v>1</v>
          </cell>
          <cell r="BM9" t="str">
            <v>1 3/8"</v>
          </cell>
          <cell r="BN9" t="str">
            <v>1 1/2</v>
          </cell>
          <cell r="BO9" t="str">
            <v>1 3/4</v>
          </cell>
          <cell r="BP9" t="str">
            <v>2</v>
          </cell>
          <cell r="BQ9" t="str">
            <v>2 1/2</v>
          </cell>
          <cell r="BR9" t="str">
            <v>2 3/4</v>
          </cell>
          <cell r="BT9" t="str">
            <v>3/4"</v>
          </cell>
          <cell r="BU9" t="str">
            <v>1</v>
          </cell>
          <cell r="BV9" t="str">
            <v>1 1/4"</v>
          </cell>
          <cell r="BW9" t="str">
            <v>1 1/2</v>
          </cell>
          <cell r="BX9" t="str">
            <v>2</v>
          </cell>
          <cell r="BY9" t="str">
            <v>2 1/2</v>
          </cell>
          <cell r="BZ9" t="str">
            <v>2 3/4</v>
          </cell>
          <cell r="CB9" t="str">
            <v>Thermofoil 730</v>
          </cell>
          <cell r="CC9">
            <v>643.00411522633726</v>
          </cell>
          <cell r="CE9" t="str">
            <v>Medium</v>
          </cell>
          <cell r="CF9" t="str">
            <v>Medium</v>
          </cell>
          <cell r="CG9" t="str">
            <v>Sch 40</v>
          </cell>
        </row>
        <row r="10">
          <cell r="G10" t="str">
            <v>a</v>
          </cell>
          <cell r="I10" t="str">
            <v>b</v>
          </cell>
          <cell r="K10" t="str">
            <v>c</v>
          </cell>
          <cell r="M10" t="str">
            <v>d</v>
          </cell>
          <cell r="O10" t="str">
            <v>e</v>
          </cell>
          <cell r="Q10" t="str">
            <v>f</v>
          </cell>
          <cell r="S10" t="str">
            <v>g</v>
          </cell>
          <cell r="U10" t="str">
            <v>h</v>
          </cell>
          <cell r="W10" t="str">
            <v>i</v>
          </cell>
          <cell r="Y10" t="str">
            <v>j</v>
          </cell>
          <cell r="AA10" t="str">
            <v>k</v>
          </cell>
          <cell r="AC10" t="str">
            <v>l</v>
          </cell>
          <cell r="AE10" t="str">
            <v>m</v>
          </cell>
          <cell r="AH10">
            <v>0.4</v>
          </cell>
          <cell r="AN10" t="str">
            <v xml:space="preserve">  0.6 mm</v>
          </cell>
          <cell r="AO10">
            <v>4004.6296296296296</v>
          </cell>
          <cell r="AP10">
            <v>3026.5625</v>
          </cell>
          <cell r="AQ10" t="str">
            <v xml:space="preserve">  NM B50&amp;B60(7mm;216kg)</v>
          </cell>
          <cell r="AR10">
            <v>201390.00000000003</v>
          </cell>
          <cell r="CB10" t="str">
            <v>Thermofoil 731 EE</v>
          </cell>
          <cell r="CC10">
            <v>193.82716049382717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ktur(BQ)"/>
      <sheetName val="Arsitektur ( BQ )"/>
      <sheetName val="Tambah"/>
      <sheetName val="harsat"/>
      <sheetName val="anal"/>
      <sheetName val="BAU"/>
      <sheetName val="RekapBTL"/>
      <sheetName val="Gaji"/>
      <sheetName val="Persiapan"/>
      <sheetName val="Alat"/>
      <sheetName val="Bank"/>
      <sheetName val="Rupa"/>
      <sheetName val="DaftSub"/>
      <sheetName val="Daftmat"/>
      <sheetName val="dash"/>
      <sheetName val="pp"/>
      <sheetName val="pnl"/>
      <sheetName val="kbl"/>
      <sheetName val="cov"/>
      <sheetName val="cov1"/>
      <sheetName val="d1"/>
      <sheetName val="d8"/>
      <sheetName val="d4"/>
      <sheetName val="d7"/>
      <sheetName val="duct"/>
      <sheetName val="d3"/>
      <sheetName val="d2"/>
      <sheetName val="d5"/>
      <sheetName val="d51"/>
      <sheetName val="d52"/>
      <sheetName val="d53"/>
      <sheetName val="d54"/>
      <sheetName val="d55a"/>
      <sheetName val="d55"/>
      <sheetName val="d56"/>
      <sheetName val="tamb"/>
      <sheetName val="d6"/>
      <sheetName val="an71"/>
      <sheetName val="d71"/>
      <sheetName val="d72"/>
      <sheetName val="d73"/>
      <sheetName val="d74"/>
      <sheetName val="d75"/>
      <sheetName val="Rupa-rupa"/>
      <sheetName val="B.Bank"/>
      <sheetName val="Transpor karyawan"/>
      <sheetName val="Summary"/>
      <sheetName val="rekap"/>
      <sheetName val="Fill this out first___"/>
      <sheetName val="DAPUR"/>
      <sheetName val="INFR STR"/>
      <sheetName val="PAGAR KLL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"/>
      <sheetName val="Anls"/>
      <sheetName val="Hydrant"/>
      <sheetName val="Elek.List"/>
      <sheetName val="BQ_Listrik"/>
      <sheetName val="Daftar Material"/>
      <sheetName val="Cover"/>
      <sheetName val="Analisa"/>
      <sheetName val="Alat"/>
      <sheetName val="Persiapan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VER BAB"/>
      <sheetName val="PETA "/>
      <sheetName val="MPU"/>
      <sheetName val="VOLUME"/>
      <sheetName val="REKAP"/>
      <sheetName val="BOQ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Analis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</sheetData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>
        <row r="18">
          <cell r="AW18">
            <v>94220.419274722197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  <sheetName val="Analisa"/>
      <sheetName val="DAF-2"/>
      <sheetName val="REDWOOD BLOK A"/>
      <sheetName val="gvl"/>
      <sheetName val="str"/>
      <sheetName val="tbh 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stification"/>
      <sheetName val="#REF"/>
      <sheetName val="SAP"/>
      <sheetName val="L-Mechanical"/>
      <sheetName val="PAD-F"/>
      <sheetName val="Isolasi Luar"/>
      <sheetName val="Anls"/>
      <sheetName val="BASEMENT"/>
      <sheetName val="Isolasi Luar Dalam"/>
      <sheetName val="DIV1"/>
      <sheetName val="Target Grid"/>
      <sheetName val="Summary Sheet (old)"/>
      <sheetName val="Pipe"/>
      <sheetName val="Material"/>
      <sheetName val="ST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Upah &amp; Bahan Plum"/>
      <sheetName val="Analisa Instalasi Elek"/>
      <sheetName val="Analisa Upah _ Bahan Plum"/>
      <sheetName val="Bahan"/>
      <sheetName val="Markup"/>
      <sheetName val="REQDELTA"/>
      <sheetName val="Bill of Qty MEP"/>
      <sheetName val="saklar"/>
      <sheetName val="NAME"/>
      <sheetName val="Analisa_Upah_&amp;_Bahan_Plum"/>
      <sheetName val="Analisa_Instalasi_Elek"/>
      <sheetName val="Analisa_Upah___Bahan_Plum"/>
      <sheetName val="Bill_of_Qty_MEP"/>
      <sheetName val="harsat"/>
      <sheetName val="Cover"/>
      <sheetName val="Bill of Quantity"/>
      <sheetName val="PileCap"/>
      <sheetName val="Kolom"/>
      <sheetName val="TB"/>
      <sheetName val="Isolasi Luar Dalam"/>
      <sheetName val="Isolasi Luar"/>
      <sheetName val="REF.ONLY"/>
      <sheetName val="Master 1.0"/>
      <sheetName val="SEX"/>
      <sheetName val="TAMKUR "/>
      <sheetName val="Material"/>
      <sheetName val="upahbahan"/>
      <sheetName val="A"/>
      <sheetName val="Analisa_Upah_&amp;_Bahan_Plum1"/>
      <sheetName val="Analisa_Instalasi_Elek1"/>
      <sheetName val="Analisa_Upah___Bahan_Plum1"/>
      <sheetName val="Bill_of_Qty_MEP1"/>
      <sheetName val="Currency Rate"/>
      <sheetName val="H.Satuan"/>
      <sheetName val="MK"/>
      <sheetName val="REF_ONLY"/>
      <sheetName val="RATE&amp;FCTR"/>
      <sheetName val="REMUNERASISTANDAR"/>
      <sheetName val="TABEL-DETASIR"/>
      <sheetName val="Pipe"/>
      <sheetName val="H.SAT"/>
      <sheetName val="Daf 1"/>
      <sheetName val="Analisa_Upah_&amp;_Bahan_Plum2"/>
      <sheetName val="Analisa_Instalasi_Elek2"/>
      <sheetName val="Analisa_Upah___Bahan_Plum2"/>
      <sheetName val="Bill_of_Qty_MEP2"/>
      <sheetName val="DAF-1"/>
      <sheetName val="LISTRIK"/>
      <sheetName val="%"/>
      <sheetName val="LINE"/>
      <sheetName val="BQ"/>
      <sheetName val="Basic Price"/>
      <sheetName val="Analisa"/>
      <sheetName val="Analisa_Upah_&amp;_Bahan_Plum3"/>
      <sheetName val="Analisa_Instalasi_Elek3"/>
      <sheetName val="Analisa_Upah___Bahan_Plum3"/>
      <sheetName val="Bill_of_Qty_MEP3"/>
      <sheetName val="Master_1_01"/>
      <sheetName val="Master_1_0"/>
      <sheetName val="UPAH &amp; BHN ARS"/>
      <sheetName val="AHS ARS"/>
      <sheetName val="Elec-ins"/>
      <sheetName val="#REF!"/>
      <sheetName val="H_Satuan"/>
      <sheetName val="DATA1"/>
      <sheetName val="L_Mechanical"/>
      <sheetName val="Price Persiapan dan Penunjang"/>
      <sheetName val="Price Biaya Cadangan"/>
      <sheetName val="BQ.Rekapitulasi  Akhir"/>
      <sheetName val="HB "/>
      <sheetName val="Sheet1"/>
      <sheetName val="ocean voyage"/>
      <sheetName val="rab me (by owner) "/>
      <sheetName val="BQ (by owner)"/>
      <sheetName val="rab me (fisik)"/>
      <sheetName val="Mk Sub Grade"/>
      <sheetName val="Daftar Upah"/>
      <sheetName val="Girder-30"/>
      <sheetName val="Daftar Harga"/>
      <sheetName val="FLAF&amp;PARTSI"/>
      <sheetName val="Appendix 2_SatDas_"/>
      <sheetName val="data"/>
      <sheetName val="Elec_ins"/>
      <sheetName val="An Arsitektur"/>
      <sheetName val="Unit Rate (2)"/>
      <sheetName val="An Struktur"/>
      <sheetName val="Piping"/>
      <sheetName val="An ME"/>
      <sheetName val="3.4. CONCRETE ANLS. C.O.T"/>
      <sheetName val="L-Mechanical"/>
      <sheetName val="breakdown"/>
      <sheetName val="Balok"/>
      <sheetName val="OPALT"/>
      <sheetName val="UPH_BHN"/>
      <sheetName val="Grafik"/>
      <sheetName val="Unit Rate"/>
    </sheetNames>
    <sheetDataSet>
      <sheetData sheetId="0" refreshError="1"/>
      <sheetData sheetId="1">
        <row r="7">
          <cell r="Q7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anl.bj "/>
      <sheetName val="itung"/>
      <sheetName val="upah"/>
      <sheetName val="D &amp; W sizes"/>
      <sheetName val="NAME"/>
      <sheetName val="Isolasi Luar Dalam"/>
      <sheetName val="Isolasi Lua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_HRG"/>
      <sheetName val="DAF-1"/>
      <sheetName val="DAF-2"/>
      <sheetName val="DAF-3"/>
      <sheetName val="DAF-4"/>
      <sheetName val="DAF-5"/>
      <sheetName val="TOTAL"/>
      <sheetName val="DASH"/>
      <sheetName val="DAF-BAHAN"/>
      <sheetName val="DAF-UPAH"/>
      <sheetName val="ANALISA"/>
      <sheetName val="Preliminary"/>
      <sheetName val="Sheet1"/>
      <sheetName val="BQ"/>
      <sheetName val="hsp-STR-ARS"/>
      <sheetName val="DAF_BAHAN"/>
      <sheetName val="DAF_UPAH"/>
      <sheetName val="Sat Bahan"/>
      <sheetName val="Sat Alat"/>
      <sheetName val="Sat 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fit"/>
      <sheetName val="sum-pro"/>
      <sheetName val="sex"/>
      <sheetName val="dbp-0601"/>
      <sheetName val="DBP-0900"/>
      <sheetName val="DBP-0200"/>
      <sheetName val="QUERY"/>
      <sheetName val="D &amp; W sizes"/>
      <sheetName val="Harga Satuan"/>
      <sheetName val="H.Satuan"/>
      <sheetName val="Sheet1"/>
      <sheetName val="Cover1"/>
      <sheetName val="DAF-1"/>
      <sheetName val="Pt"/>
      <sheetName val="mu"/>
      <sheetName val="RAB AR&amp;STR"/>
      <sheetName val="Isolasi Luar Dalam"/>
      <sheetName val="Isolasi Luar"/>
      <sheetName val="tifico"/>
      <sheetName val="BCA 4414"/>
      <sheetName val="#REF!"/>
      <sheetName val="Summary Electrical"/>
      <sheetName val="Analisa"/>
      <sheetName val="Bill of Quantity"/>
      <sheetName val="PileCap"/>
      <sheetName val="Kolom"/>
      <sheetName val="TB"/>
      <sheetName val="SITE-E"/>
      <sheetName val="Markup"/>
      <sheetName val="D_&amp;_W_sizes"/>
      <sheetName val="DW"/>
      <sheetName val="Catatan"/>
      <sheetName val="upah"/>
      <sheetName val="D _ W sizes"/>
      <sheetName val="AC"/>
      <sheetName val="EE ELEKTRIKAL"/>
      <sheetName val="FIRE Hydrant"/>
      <sheetName val="PLUMBING"/>
      <sheetName val="an. struktur"/>
      <sheetName val="harsat"/>
      <sheetName val="Dashboard"/>
      <sheetName val="Kuantitas _ Harga"/>
      <sheetName val="DAS-SAT (2)"/>
      <sheetName val="DAS-SAT (3)"/>
      <sheetName val="Unit Rate"/>
      <sheetName val="ANAL.BOW"/>
      <sheetName val="Pipe"/>
      <sheetName val="Penwrn"/>
      <sheetName val="COVER"/>
      <sheetName val="Piping"/>
      <sheetName val="Harga ME "/>
      <sheetName val="Pile"/>
      <sheetName val="4-Basic Price"/>
      <sheetName val="Data basic price jgan diprint"/>
      <sheetName val="PRO"/>
      <sheetName val="SUMPRO"/>
      <sheetName val="Duc-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電気"/>
      <sheetName val="給排水"/>
      <sheetName val="空調"/>
      <sheetName val="一発シート"/>
      <sheetName val="L-Mechanical"/>
      <sheetName val="AC_C"/>
      <sheetName val="AC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LIMINARIES"/>
      <sheetName val="GONDOLA"/>
      <sheetName val="PEK.TAMBAH KURANG"/>
      <sheetName val="BIAYA CADANGAN"/>
      <sheetName val="REKAPITULASI AKHIR"/>
      <sheetName val="COVER"/>
      <sheetName val="Sheet2"/>
      <sheetName val="Sheet3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A"/>
      <sheetName val="Current"/>
      <sheetName val="PERTANYAAN"/>
      <sheetName val="Ana duct"/>
      <sheetName val="Hsd Duct"/>
      <sheetName val="Grille"/>
      <sheetName val="DM"/>
      <sheetName val="REKAP"/>
      <sheetName val="BQ"/>
      <sheetName val="Pipe"/>
      <sheetName val="valve"/>
      <sheetName val="Data Hitungan"/>
      <sheetName val="Aks Pipa"/>
      <sheetName val="AC"/>
      <sheetName val="K.TambahAC"/>
      <sheetName val="FH"/>
      <sheetName val="K.TambahFH"/>
      <sheetName val="valve 16k"/>
      <sheetName val="ASS-PL"/>
      <sheetName val="Fitting"/>
      <sheetName val="0000"/>
      <sheetName val="1000"/>
      <sheetName val="ELEKTRIKAL"/>
      <sheetName val="Plumbing"/>
      <sheetName val="Dafmat"/>
      <sheetName val="Pompa"/>
      <sheetName val="Ven Fan"/>
      <sheetName val="valve-20k"/>
      <sheetName val="valve-10k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KOP"/>
      <sheetName val="FF"/>
      <sheetName val="MAIN"/>
      <sheetName val="BOLT-DATA"/>
      <sheetName val="BOLT"/>
      <sheetName val="MU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rap"/>
      <sheetName val="bhn"/>
      <sheetName val="spek"/>
      <sheetName val="altok"/>
      <sheetName val="bumok"/>
      <sheetName val="altprec"/>
      <sheetName val="bumprec"/>
      <sheetName val="PLB"/>
      <sheetName val="VAC "/>
      <sheetName val="LIS"/>
      <sheetName val="EF "/>
      <sheetName val="TLP&amp;DATA "/>
      <sheetName val="SS&amp;MATV"/>
      <sheetName val="CCTV"/>
      <sheetName val="AHS- AC"/>
      <sheetName val="AHS-EE"/>
      <sheetName val="AHS-EL"/>
      <sheetName val="ahs-pipa"/>
      <sheetName val="ahs-Gate Valve "/>
      <sheetName val="#REF"/>
      <sheetName val="B _ Norelec"/>
      <sheetName val="Penjumlahan"/>
      <sheetName val="DAF-1"/>
      <sheetName val="DAF-2"/>
      <sheetName val="DAF-3"/>
      <sheetName val="DAF-4"/>
      <sheetName val="Cover depan"/>
      <sheetName val="cover(PJML)"/>
      <sheetName val="Cover (1)"/>
      <sheetName val="Cover (2)"/>
      <sheetName val="Cover (3)"/>
      <sheetName val="COVER (4)"/>
      <sheetName val="CAT_HRG"/>
      <sheetName val="Prelim"/>
      <sheetName val="Bag_1"/>
      <sheetName val="DAF_1"/>
      <sheetName val="DAF_2 "/>
      <sheetName val="DAF_3"/>
      <sheetName val="DAF_4"/>
      <sheetName val="DAF_5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ana"/>
      <sheetName val="u"/>
      <sheetName val="b"/>
      <sheetName val="s"/>
      <sheetName val="CF"/>
      <sheetName val="DAF-5"/>
      <sheetName val="DAF-6"/>
      <sheetName val="DAF-7"/>
      <sheetName val="DAF-8"/>
      <sheetName val="DAF-9"/>
      <sheetName val="DAF-10"/>
      <sheetName val="DAF-11"/>
      <sheetName val="Cover1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  <sheetName val="REKAP ELEKTRIKAL"/>
      <sheetName val="LISTRIK"/>
      <sheetName val="TELEPON"/>
      <sheetName val="SOUND"/>
      <sheetName val="F ALARM"/>
      <sheetName val="BAS"/>
      <sheetName val="GENSET"/>
      <sheetName val="TRAFO"/>
      <sheetName val="REKAP MEKANIKAL"/>
      <sheetName val="ELEVATOR"/>
      <sheetName val="HYDRANT"/>
      <sheetName val="SPRINKLER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Elekt"/>
      <sheetName val="SS"/>
      <sheetName val="MATV"/>
      <sheetName val="Elv"/>
      <sheetName val="Traf&amp;Genst"/>
      <sheetName val="List"/>
      <sheetName val="DATA CENTER"/>
      <sheetName val="OFFICE 4 LT"/>
      <sheetName val="OFFICE 2 LT"/>
      <sheetName val="COV2.4 "/>
      <sheetName val="D2.4"/>
      <sheetName val="COV3.3"/>
      <sheetName val="D3-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E"/>
      <sheetName val="01A- RAB"/>
      <sheetName val="1A RKAB TTL"/>
      <sheetName val="01A- RAB (ars)"/>
      <sheetName val="Mandor"/>
      <sheetName val="Sheet1"/>
      <sheetName val="HT"/>
      <sheetName val="SELASAR"/>
      <sheetName val="SELASAR-2"/>
      <sheetName val="GT-2 "/>
      <sheetName val="me"/>
      <sheetName val="REKAP UTAMA"/>
      <sheetName val="PERSIAPAN"/>
      <sheetName val="STRUKTUR"/>
      <sheetName val="FINISHING"/>
      <sheetName val="HALAMAN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Lingkup"/>
      <sheetName val="STR-ARS"/>
      <sheetName val="Cover Daf-2"/>
      <sheetName val="Cover Daf-2 (2)"/>
      <sheetName val="BQ Daf-2"/>
      <sheetName val="MISC"/>
      <sheetName val="BLN"/>
      <sheetName val="GSK"/>
      <sheetName val="FIRE FIGHTING"/>
      <sheetName val="COV_UTAMA"/>
      <sheetName val="PENJUMLAHAN TOTAL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PLB-Basement 2.8.2-R1"/>
      <sheetName val="harsat"/>
      <sheetName val="analisys"/>
      <sheetName val="unit_rate_works"/>
      <sheetName val="dewatering"/>
      <sheetName val="sparing"/>
      <sheetName val="ALT_MBT"/>
      <sheetName val="rekap_ana"/>
      <sheetName val="resume"/>
      <sheetName val="ALT_1"/>
      <sheetName val="Dashboard"/>
      <sheetName val="rekab"/>
      <sheetName val="RAB"/>
      <sheetName val="rekab Point"/>
      <sheetName val="RAB POINT"/>
      <sheetName val="Ana Beton"/>
      <sheetName val="Ana Sanitair"/>
      <sheetName val="analisa Str"/>
      <sheetName val="Material"/>
      <sheetName val="RekapITULASI "/>
      <sheetName val="Rekap_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TAMBAH KURANG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EE"/>
      <sheetName val="ANALISA SNI"/>
      <sheetName val="Analisa jalan"/>
      <sheetName val="Analisa non standar"/>
      <sheetName val="Analisa Pintu"/>
      <sheetName val="Analisa Preliminary "/>
      <sheetName val="ASRAMA (C)"/>
      <sheetName val="REKTORAT (A)"/>
      <sheetName val="WORKSHOP (H)"/>
      <sheetName val="GENSET,POMPA &amp; GROUNDTANK (K)"/>
      <sheetName val="R.KOMPRESOR"/>
      <sheetName val="POS JAGA"/>
      <sheetName val="SITE"/>
      <sheetName val="harga sat.bhn"/>
      <sheetName val="analisa bhn&amp;upah"/>
      <sheetName val="tt-suara"/>
      <sheetName val="telp"/>
      <sheetName val="tt-udr"/>
      <sheetName val="hdrant"/>
      <sheetName val="REKAP CIVIL &amp; ME"/>
      <sheetName val="000000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Alat"/>
      <sheetName val="Gaji"/>
      <sheetName val="ATK"/>
      <sheetName val="Perlengkapan ktr"/>
      <sheetName val="Bea Lap"/>
      <sheetName val="Lain2"/>
      <sheetName val="Safety_QC"/>
      <sheetName val="Asuransi"/>
      <sheetName val="Provisi"/>
      <sheetName val="Resiko Manajemen"/>
      <sheetName val="Rekap "/>
      <sheetName val="Termin "/>
      <sheetName val="Prelim versi Fidic davis langd"/>
      <sheetName val="pldt"/>
      <sheetName val="Rekapi"/>
      <sheetName val="AHS"/>
      <sheetName val="Bul"/>
      <sheetName val="Subkont"/>
      <sheetName val="Upah1"/>
      <sheetName val="Bang A"/>
      <sheetName val="Bang B"/>
      <sheetName val="Sarana"/>
      <sheetName val="Asrama"/>
      <sheetName val="Utility"/>
      <sheetName val="Kamar"/>
      <sheetName val="Currency Rate"/>
      <sheetName val="Cover_Luar"/>
      <sheetName val="PEKERJAAN PERSIAPAN"/>
      <sheetName val="LAIN-LAIN "/>
      <sheetName val="Catatan Harga"/>
      <sheetName val="PANEL TM "/>
      <sheetName val="KABEL TM "/>
      <sheetName val="PENTANAHAN"/>
      <sheetName val="KABEL LADDER"/>
      <sheetName val="HdSheet"/>
      <sheetName val="Deskrip"/>
      <sheetName val="Rasio"/>
      <sheetName val="luas"/>
      <sheetName val="BQ-1A"/>
      <sheetName val="K3"/>
      <sheetName val="eskal"/>
      <sheetName val="Dom "/>
      <sheetName val="Rasio (2)"/>
      <sheetName val="BQ_1A"/>
      <sheetName val="str"/>
      <sheetName val="floor"/>
      <sheetName val="wall"/>
      <sheetName val="ceiling"/>
      <sheetName val="dw"/>
      <sheetName val="others"/>
      <sheetName val="index"/>
      <sheetName val="rate (3)"/>
      <sheetName val="rate"/>
      <sheetName val="rate (2)"/>
      <sheetName val="3"/>
      <sheetName val="4"/>
      <sheetName val="5"/>
      <sheetName val="unit rate"/>
      <sheetName val="H.Satuan"/>
      <sheetName val="Perhitungan TOS type A&amp; A1"/>
      <sheetName val="Perhitungan TOS type A2"/>
      <sheetName val="Perhitungan TOS type B"/>
      <sheetName val="Perhitungan TOS type C &amp; C2 "/>
      <sheetName val="Perhitungan TOS type C1 &amp; C3"/>
      <sheetName val="Perhitungan TOS type P"/>
      <sheetName val="Perhitungan TOS type P 1"/>
      <sheetName val="Perhitungan TOS type P 2"/>
      <sheetName val="STR COSMOS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Isolasi Luar"/>
      <sheetName val="Isolasi Luar Dalam"/>
      <sheetName val="DAFTAR NO_1_PRELIM"/>
      <sheetName val="DAFTAR NO_2 PEK_ ELEKTRIKAL"/>
      <sheetName val="Trafo &amp; Panel"/>
      <sheetName val="Kab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reambul"/>
      <sheetName val="326CHEL"/>
      <sheetName val="analisa listrik"/>
      <sheetName val="Harga Satuan Bahan"/>
      <sheetName val="hrst upah"/>
      <sheetName val="analisa hrst elektrik"/>
      <sheetName val="cash flow"/>
      <sheetName val="Markup"/>
      <sheetName val="ME RR1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INFO"/>
      <sheetName val="CAT-HRG "/>
      <sheetName val="DAF- 4"/>
      <sheetName val="DAFT-12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HS"/>
      <sheetName val="Slab"/>
      <sheetName val="Time"/>
      <sheetName val="Kolom"/>
      <sheetName val="Ramps"/>
      <sheetName val="Stairs"/>
      <sheetName val="HS (2)"/>
      <sheetName val="Slab (2)"/>
      <sheetName val="Lap Bul"/>
      <sheetName val="Sheet2 (2)"/>
      <sheetName val="Sheet3 (2)"/>
      <sheetName val="Rek_Total "/>
      <sheetName val="Pers"/>
      <sheetName val="Ars"/>
      <sheetName val="Penunjang"/>
      <sheetName val="rate asli"/>
      <sheetName val="material-upah"/>
      <sheetName val="SO"/>
      <sheetName val="Rek_Total-alt"/>
      <sheetName val="Str-alt"/>
      <sheetName val="BQ - Mushola"/>
      <sheetName val="quantity"/>
      <sheetName val="Bahan _2_"/>
      <sheetName val="index _2_"/>
      <sheetName val="CAT-HRG"/>
      <sheetName val="BAG-2"/>
      <sheetName val="CAT_HRG "/>
      <sheetName val="GRAND TOTAL"/>
      <sheetName val="DAF_2"/>
      <sheetName val="DAF_7"/>
      <sheetName val="EL"/>
      <sheetName val="P.Petir"/>
      <sheetName val="TS"/>
      <sheetName val="TLP"/>
      <sheetName val="IT"/>
      <sheetName val="Std-Analisa"/>
      <sheetName val="FAK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ANAL"/>
      <sheetName val="SAT"/>
      <sheetName val="landscp"/>
      <sheetName val="rek-landscp"/>
      <sheetName val="REK PRINT"/>
      <sheetName val="RAB PRINT"/>
      <sheetName val="REK"/>
      <sheetName val="RAB CIMAHI"/>
      <sheetName val="8LT 12"/>
      <sheetName val="8LT PAK"/>
      <sheetName val="8LT SAR"/>
      <sheetName val="8LT TATA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DAFTAR ISI"/>
      <sheetName val="HRG (2)"/>
      <sheetName val="A4 (2)"/>
      <sheetName val="A4add"/>
      <sheetName val="COVTM3"/>
      <sheetName val="baop"/>
      <sheetName val="kwitansi"/>
      <sheetName val="lap (2)"/>
      <sheetName val="HRG"/>
      <sheetName val="lap"/>
      <sheetName val="lap 10"/>
      <sheetName val="lap 11"/>
      <sheetName val="lap 12"/>
      <sheetName val="lap 13"/>
      <sheetName val="lap 14"/>
      <sheetName val="lap 15"/>
      <sheetName val="rekap (2)"/>
      <sheetName val="Gal-ABC"/>
      <sheetName val="vol"/>
      <sheetName val="data"/>
      <sheetName val="BEKP"/>
      <sheetName val="gbr"/>
      <sheetName val="LK-BPh"/>
      <sheetName val="TRANS"/>
      <sheetName val="NO-LK"/>
      <sheetName val="Tabel"/>
      <sheetName val="NP"/>
      <sheetName val="COV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Ana-prel"/>
      <sheetName val="326BQSMB"/>
      <sheetName val="326BQSCC"/>
      <sheetName val="326BQSCF"/>
      <sheetName val="Hargamat"/>
      <sheetName val="APPENDIX-G"/>
      <sheetName val="APPENDIX-G table 2"/>
      <sheetName val="RUMUS BEKISTING"/>
      <sheetName val="HIT BEKISTING"/>
      <sheetName val="add"/>
      <sheetName val="Sum"/>
      <sheetName val="Archchg"/>
      <sheetName val="MEPchg"/>
      <sheetName val="MESpec"/>
      <sheetName val="Pre"/>
      <sheetName val="r1"/>
      <sheetName val="b1a"/>
      <sheetName val="b1b"/>
      <sheetName val="b1c"/>
      <sheetName val="bl1"/>
      <sheetName val="sp1"/>
      <sheetName val="p1"/>
      <sheetName val="pa1"/>
      <sheetName val="pw1"/>
      <sheetName val="e1"/>
      <sheetName val="cf1"/>
      <sheetName val="r2"/>
      <sheetName val="s2"/>
      <sheetName val="b21"/>
      <sheetName val="b22"/>
      <sheetName val="d2"/>
      <sheetName val="sp2"/>
      <sheetName val="c2"/>
      <sheetName val="f2"/>
      <sheetName val="b2"/>
      <sheetName val="pa2"/>
      <sheetName val="pw2"/>
      <sheetName val="e2"/>
      <sheetName val="cf2"/>
      <sheetName val="bp2"/>
      <sheetName val="r3"/>
      <sheetName val="b3a"/>
      <sheetName val="b3b"/>
      <sheetName val="b3c"/>
      <sheetName val="b3d"/>
      <sheetName val="b3e"/>
      <sheetName val="j3"/>
      <sheetName val="sp3"/>
      <sheetName val="cd3"/>
      <sheetName val="o3"/>
      <sheetName val="pa3"/>
      <sheetName val="pw3"/>
      <sheetName val="e3"/>
      <sheetName val="cf3"/>
      <sheetName val="r4"/>
      <sheetName val="b4a"/>
      <sheetName val="b4b"/>
      <sheetName val="b4c"/>
      <sheetName val="db4"/>
      <sheetName val="j4"/>
      <sheetName val="sp4"/>
      <sheetName val="p4"/>
      <sheetName val="pa4"/>
      <sheetName val="pw4"/>
      <sheetName val="e4"/>
      <sheetName val="cf4"/>
      <sheetName val="b4"/>
      <sheetName val="r5"/>
      <sheetName val="b5a"/>
      <sheetName val="b5b"/>
      <sheetName val="b5c"/>
      <sheetName val="b5d"/>
      <sheetName val="j5"/>
      <sheetName val="sp5"/>
      <sheetName val="p5"/>
      <sheetName val="pa5"/>
      <sheetName val="pw5"/>
      <sheetName val="e5"/>
      <sheetName val="cf5"/>
      <sheetName val="bt5"/>
      <sheetName val="fp5"/>
      <sheetName val="boh"/>
      <sheetName val="s3"/>
      <sheetName val="bf3"/>
      <sheetName val="s4"/>
      <sheetName val="RABT"/>
      <sheetName val="Subkontraktor"/>
      <sheetName val="Upah Kerja"/>
      <sheetName val="Harga Bahan"/>
      <sheetName val="Ana. STR"/>
      <sheetName val="PENJ_TOTAL"/>
      <sheetName val="Anls"/>
      <sheetName val="Elek.List"/>
      <sheetName val="BQ_Listrik"/>
      <sheetName val="Daftar Material"/>
      <sheetName val="Analisa (2)"/>
      <sheetName val="XXXXXXXXX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INDEKS"/>
      <sheetName val="JABATAN"/>
      <sheetName val="HITUNG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Tunjang"/>
      <sheetName val="Pegawai"/>
      <sheetName val="Umum"/>
      <sheetName val="Jml-Tot"/>
      <sheetName val="Resiko"/>
      <sheetName val="Cashflow"/>
      <sheetName val="hsat"/>
      <sheetName val="Pondasi-Apt"/>
      <sheetName val="Tanah"/>
      <sheetName val="STR-APRT-WIKA"/>
      <sheetName val="Lantai"/>
      <sheetName val="Dinding"/>
      <sheetName val="Pintu"/>
      <sheetName val="Plafon"/>
      <sheetName val="Sanitair"/>
      <sheetName val="Atap"/>
      <sheetName val="D-1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1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MALL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Cover 12.1"/>
      <sheetName val="Cover 12.2"/>
      <sheetName val="Cover 12.3"/>
      <sheetName val="Cover 12.4"/>
      <sheetName val="Cover 13"/>
      <sheetName val="Cover 13.1 "/>
      <sheetName val="Cover 13.2 "/>
      <sheetName val="A-ars"/>
      <sheetName val="RAB-ME"/>
      <sheetName val="RAB-ARS"/>
      <sheetName val="RAB-STR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Ratio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Bill 5 Summary"/>
      <sheetName val="DHSB"/>
      <sheetName val="COVER2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3-2"/>
      <sheetName val="D3-1"/>
      <sheetName val="Cat Harga"/>
      <sheetName val="Daf 1"/>
      <sheetName val="Daf 2"/>
      <sheetName val="Daf 3"/>
      <sheetName val="Daf 4"/>
      <sheetName val="SPH"/>
      <sheetName val="mu rev"/>
      <sheetName val="overhead"/>
      <sheetName val="simak"/>
      <sheetName val="MPU"/>
      <sheetName val="uraian teknis"/>
      <sheetName val="Met-Tek"/>
      <sheetName val="Sc Bahan"/>
      <sheetName val="Man Power"/>
      <sheetName val="O&amp;O-Alat"/>
      <sheetName val="Sc Alat"/>
      <sheetName val="metode"/>
      <sheetName val="RENC MUTU"/>
      <sheetName val="TS (2)"/>
      <sheetName val="Jadwal (2)"/>
      <sheetName val="Personil"/>
      <sheetName val="Sch Person"/>
      <sheetName val="Daftar Alat"/>
      <sheetName val="Konf"/>
      <sheetName val="Anal Mob"/>
      <sheetName val="Mob"/>
      <sheetName val="lalu lintas"/>
      <sheetName val="Pemel Rutin"/>
      <sheetName val="Subkontrak"/>
      <sheetName val="girder 1"/>
      <sheetName val="girder 2"/>
      <sheetName val="BGS"/>
      <sheetName val="Sheet4"/>
      <sheetName val="Met-Tek (2)"/>
      <sheetName val="100000"/>
      <sheetName val="REKAP_STRUKTUR_ALL"/>
      <sheetName val="REKAP_STRUKTUR"/>
      <sheetName val="RAB_PENDAHULUAN"/>
      <sheetName val="RAB_REKTORAT (A.)"/>
      <sheetName val="RAB_MASJID (D)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AFTAR HAR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GRAND SUMMARY"/>
      <sheetName val="UNIT PRICE ANALISYS"/>
      <sheetName val="UNIT PRICE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UMM2"/>
      <sheetName val="BASC"/>
      <sheetName val="HSPK DINAS"/>
      <sheetName val="Summary"/>
      <sheetName val="BOQ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lis Kusen Kosongan"/>
      <sheetName val="Form Back up STR K.UTM"/>
      <sheetName val="Form Back up ARS K.UTM"/>
      <sheetName val="BU_PLB_KANTOR &amp;R. TUNGGU"/>
      <sheetName val="BU_STR_R.TGG KBRNGKTN _ANGDES"/>
      <sheetName val="BU_ARS R.TGG KBRNGKTN _ANGDES"/>
      <sheetName val="BU_PLB_RUANG TUNGGU_ANGDES"/>
      <sheetName val="BU_STR_KEBERANGKATAN BUS"/>
      <sheetName val="B.U Atap"/>
      <sheetName val="BU_ARS KEBERANGKATAN BUS"/>
      <sheetName val="BU_AREA KEBERANGKATAN"/>
      <sheetName val="Form Back up STR K.ISTR"/>
      <sheetName val="Form Back up ARS K.ISTR"/>
      <sheetName val="BU_PLB_R. IASTIRAHAT"/>
      <sheetName val="Form Back up STR POS KEAMN"/>
      <sheetName val="Form Back up ARS POS KEAMN"/>
      <sheetName val="Form Back up STR POS RTR"/>
      <sheetName val="Form Back up ARS POS RTR"/>
      <sheetName val="3.1.1 BU STR Depo Sampah"/>
      <sheetName val="3.1.2 BU ARS  Depo Sampah"/>
      <sheetName val="BU_BAK KONTROLt"/>
      <sheetName val="Bu_Plb_Kawasan"/>
      <sheetName val="C.1_ BU_LANDSACAPE"/>
      <sheetName val="C.1_ BU_LANDSACAPE_pagar"/>
      <sheetName val="C.2.1_BU-ddg penahan"/>
      <sheetName val="BU_URUGAN"/>
      <sheetName val="HArga BAhan ME"/>
      <sheetName val="Analis ME"/>
      <sheetName val="HB"/>
      <sheetName val="BAHAN Str-Arc &quot;07 (2)"/>
      <sheetName val="BAHAN Str-Arc &quot;07"/>
      <sheetName val="BAHAN PLB &quot;07"/>
      <sheetName val="HSPK ANALIS"/>
      <sheetName val="HSPK ANALIS LAIN2"/>
      <sheetName val="Analisa LAIN2"/>
      <sheetName val="HSPK BETON)"/>
      <sheetName val="ANALISA BETON"/>
      <sheetName val="HSPK KUSEN"/>
      <sheetName val="ANALISA KUSEN"/>
      <sheetName val="HSPK ME Print"/>
      <sheetName val="Analis ME Print"/>
      <sheetName val="ANALIS PLUMBING"/>
      <sheetName val="ITUNG BESI"/>
      <sheetName val="BU-ARC-SMA"/>
      <sheetName val="BU-ARC-SMP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UNIT ASRAMA"/>
      <sheetName val="Pendidikan"/>
      <sheetName val="UNIT KELAS"/>
      <sheetName val="REKAPITULASI"/>
      <sheetName val="RekapItem"/>
      <sheetName val="Indoor"/>
      <sheetName val="StadUtama"/>
      <sheetName val="Infra"/>
      <sheetName val="BOQ RAB"/>
      <sheetName val="BOQ Rek"/>
      <sheetName val="RAPNew"/>
      <sheetName val="REKAP U"/>
      <sheetName val="BULNew"/>
      <sheetName val="HSD1"/>
      <sheetName val="Evaluasi"/>
      <sheetName val="Fasilitas"/>
      <sheetName val="Lansekap"/>
      <sheetName val="SSCJalan"/>
      <sheetName val="Anal-Pt"/>
      <sheetName val="Anal-ARS"/>
      <sheetName val="TC"/>
      <sheetName val="Hit TC"/>
      <sheetName val="BU"/>
      <sheetName val="Rincian"/>
      <sheetName val="Direksi kit"/>
      <sheetName val="PROPOSAL"/>
      <sheetName val="SUB K"/>
      <sheetName val="STUGAS"/>
      <sheetName val="PROCESSPLAN"/>
      <sheetName val="TELUSUR"/>
      <sheetName val="Horisontal"/>
      <sheetName val="REKAP III"/>
      <sheetName val="Est ME"/>
      <sheetName val="Lift &amp; Escalator"/>
      <sheetName val="Pareto"/>
      <sheetName val="G"/>
      <sheetName val="Alat (TC) (2)"/>
      <sheetName val="MU (2)"/>
      <sheetName val="Schedule"/>
      <sheetName val="Casflow (5)"/>
      <sheetName val="Casflow (4)"/>
      <sheetName val="Casflow (6)"/>
      <sheetName val="Casflow"/>
      <sheetName val="flow k3"/>
      <sheetName val="daftar brg lgs"/>
      <sheetName val="Prosedur Penagnanan K3"/>
      <sheetName val="ITP Material"/>
      <sheetName val="ITP Pekerjaan"/>
      <sheetName val="Daft WI"/>
      <sheetName val="daftar peralatan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BAHAN ME"/>
      <sheetName val="BAHAN_NGAWI_2008"/>
      <sheetName val="HSPK_SNI"/>
      <sheetName val="SNI_EDISI_REV"/>
      <sheetName val="HSPK_KUSEN"/>
      <sheetName val="HSPK_BETON"/>
      <sheetName val="Analis Beton"/>
      <sheetName val="BESTAT_BESI"/>
      <sheetName val="HSPK ME"/>
      <sheetName val="ANALIS PLB"/>
      <sheetName val="HARGA BAHAN MLG"/>
      <sheetName val="ANALISA_KOTA MALANG"/>
      <sheetName val="BESI Pre"/>
      <sheetName val="HARGA BAHAN 2007_MLG"/>
      <sheetName val="HSPK_BETON01"/>
      <sheetName val="ANALISA BETON01"/>
      <sheetName val="MASTER BAHAN ME"/>
      <sheetName val="MASTER Analis ME"/>
      <sheetName val="MASTER HSPK ME"/>
      <sheetName val="penerangan"/>
      <sheetName val="PANEL KABEL"/>
      <sheetName val="Sound Syst"/>
      <sheetName val="Fire"/>
      <sheetName val="LAN"/>
      <sheetName val="Telepone"/>
      <sheetName val="TRAY"/>
      <sheetName val="Tataudara"/>
      <sheetName val="PETIR"/>
      <sheetName val="REF.ONLY"/>
      <sheetName val="****00"/>
      <sheetName val="LCATAL"/>
      <sheetName val="B1"/>
      <sheetName val="C1"/>
      <sheetName val="FG"/>
      <sheetName val="D4"/>
      <sheetName val="L"/>
      <sheetName val="REQDELTA"/>
      <sheetName val="Shorts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Pek. Persiapan"/>
      <sheetName val="analisa rab"/>
      <sheetName val="bhn rab"/>
      <sheetName val="subcon"/>
      <sheetName val="Breakdown"/>
      <sheetName val="arab"/>
      <sheetName val="ORG-CHART"/>
      <sheetName val="ARAP"/>
      <sheetName val="MOBILISASI"/>
      <sheetName val="DAF.ALAT"/>
      <sheetName val="SRT PENAWARAN"/>
      <sheetName val="MPU-2"/>
      <sheetName val="Pealatan"/>
      <sheetName val="SubKon"/>
      <sheetName val="CV TAWAR (3)"/>
      <sheetName val="penawaran 11 jan 05"/>
      <sheetName val="jadwal (3)"/>
      <sheetName val="REKAP 3"/>
      <sheetName val="RAB (3)"/>
      <sheetName val="ARAB (3)"/>
      <sheetName val="BAHAN (3)"/>
      <sheetName val="DAF.ALAT (3)"/>
      <sheetName val="SRT"/>
      <sheetName val="CV TAWAR (2)"/>
      <sheetName val="METODHE"/>
      <sheetName val="jadwal"/>
      <sheetName val="ARAB (2)"/>
      <sheetName val="BAHAN (2)"/>
      <sheetName val="har-sat"/>
      <sheetName val="mos"/>
      <sheetName val="Anl-Teknik"/>
      <sheetName val="peralatan"/>
      <sheetName val="staf"/>
      <sheetName val="komponen"/>
      <sheetName val="Rekap-RAP"/>
      <sheetName val="bq-rap"/>
      <sheetName val="anl-rap"/>
      <sheetName val="MarcUp"/>
      <sheetName val="hotmix"/>
      <sheetName val="CV-TAWAR"/>
      <sheetName val="RAB STR REV LANDSCAPE"/>
      <sheetName val="STR-TP"/>
      <sheetName val="Pondasi-TP"/>
      <sheetName val="REKAP REV"/>
      <sheetName val="RAB ME REV"/>
      <sheetName val="RAB STR REV "/>
      <sheetName val="NWP"/>
      <sheetName val="RAB STR"/>
      <sheetName val="RAB ME"/>
      <sheetName val="vol pek"/>
      <sheetName val="PILE CAP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ALAT"/>
      <sheetName val="SCHEDULE PERSONIL"/>
      <sheetName val="SCHEDULE BAHAN"/>
      <sheetName val="vol pek (2)"/>
      <sheetName val="penawaran"/>
      <sheetName val="daftar hsp"/>
      <sheetName val="iktisar kusus"/>
      <sheetName val="H Satuan Dasar"/>
      <sheetName val="Analisa Teknik"/>
      <sheetName val="R.A.B."/>
      <sheetName val="SCEDULE"/>
      <sheetName val="Rangking"/>
      <sheetName val="BAGAN"/>
      <sheetName val="LAMP PENWR"/>
      <sheetName val="SP ASTEK"/>
      <sheetName val="SubKon "/>
      <sheetName val="HASAT PEK"/>
      <sheetName val="RAB-Add"/>
      <sheetName val="HASAT DASAR"/>
      <sheetName val="Tawar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upahbahan"/>
      <sheetName val="fin-kab"/>
      <sheetName val="DAFTAR BESI"/>
      <sheetName val="REKAP TOTAL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NYATDOK"/>
      <sheetName val="DATAADM"/>
      <sheetName val="IJINUSAHA"/>
      <sheetName val="SBU"/>
      <sheetName val="AKTE"/>
      <sheetName val="PENGURUS"/>
      <sheetName val="KEUANGAN"/>
      <sheetName val="PLMJBT"/>
      <sheetName val="00000"/>
      <sheetName val="FA"/>
      <sheetName val="Analisa HS"/>
      <sheetName val="BQFA"/>
      <sheetName val="FACP"/>
      <sheetName val="CostFA"/>
      <sheetName val="instalFA"/>
      <sheetName val="Ind-Cost"/>
      <sheetName val="I-Cost"/>
      <sheetName val="Detail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HRG ALAT"/>
      <sheetName val="ANL LS"/>
      <sheetName val="REKAP RAB BARU 11 Jan 05 "/>
      <sheetName val="RAB BARU 11 Jan 05"/>
      <sheetName val="REKAP STR"/>
      <sheetName val="BQ-Struktur MB"/>
      <sheetName val="REKAP ARS"/>
      <sheetName val="Rekap A. Emergency"/>
      <sheetName val="A. Emergency"/>
      <sheetName val="Rekap B. Laboratory"/>
      <sheetName val="B. Laboratory"/>
      <sheetName val="Rekap C. Radiology"/>
      <sheetName val="C. Radiology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ekap ME"/>
      <sheetName val="RAB MK all MB rofiq"/>
      <sheetName val="RAB ELEKTRIKAL rofiq"/>
      <sheetName val="ELECTRIC-MB"/>
      <sheetName val="Alat-P"/>
      <sheetName val="RAB Arsitektural"/>
      <sheetName val="Mark Up DK 1"/>
      <sheetName val="Mark Up C 8"/>
      <sheetName val="BQ-ME"/>
      <sheetName val="TU"/>
      <sheetName val="PL"/>
      <sheetName val="TD"/>
      <sheetName val="LS"/>
      <sheetName val="TDG"/>
      <sheetName val="LIFT "/>
      <sheetName val="LAIN-LAIN"/>
      <sheetName val="KONTRAK SERVICE"/>
      <sheetName val="DF-8"/>
      <sheetName val="Rekap32"/>
      <sheetName val="STR32"/>
      <sheetName val="Telephone"/>
      <sheetName val="Rek_ELEKT"/>
      <sheetName val="Rekap Pekerjaan"/>
      <sheetName val="Rinci Pekerjaan"/>
      <sheetName val="Volume Tanah"/>
      <sheetName val="Volume Beton"/>
      <sheetName val="Volume Baja"/>
      <sheetName val="Hitung Tulangan"/>
      <sheetName val="Upah - peralatan"/>
      <sheetName val="Tabel Besi"/>
      <sheetName val="Rinci Volume"/>
      <sheetName val="OH-10BLN"/>
      <sheetName val="basic price"/>
      <sheetName val="Rab-S"/>
      <sheetName val="Sat-Rap"/>
      <sheetName val="FormRap"/>
      <sheetName val="Hit-Bng-Rab"/>
      <sheetName val="Rek-Rab-Non-Bng"/>
      <sheetName val="Rab-Non-Bng"/>
      <sheetName val="Rek-Rab2M-Bng-Ws"/>
      <sheetName val="Rab2M-Bng-Ws"/>
      <sheetName val="Rek-RabTot-2M-Ws OK"/>
      <sheetName val="RabTot-2M-Ws OK"/>
      <sheetName val="Rek-RabTot-Ws"/>
      <sheetName val="RabTot-Ws"/>
      <sheetName val="Sat-Rab"/>
      <sheetName val="Rek-RabTot-19M-2M-Ws"/>
      <sheetName val="Sat-Pek-Rab"/>
      <sheetName val="MON_OH"/>
      <sheetName val="rekap-all"/>
      <sheetName val="harga"/>
      <sheetName val="I"/>
      <sheetName val="kantin"/>
      <sheetName val="III"/>
      <sheetName val="OFFICE"/>
      <sheetName val="V"/>
      <sheetName val="Warehouse"/>
      <sheetName val="VII"/>
      <sheetName val="VIII"/>
      <sheetName val="IX"/>
      <sheetName val="X"/>
      <sheetName val="XI"/>
      <sheetName val="Pipe Rack"/>
      <sheetName val="Menara"/>
      <sheetName val="II"/>
      <sheetName val="IV"/>
      <sheetName val="VI"/>
      <sheetName val="Plumbing-Hydrant"/>
      <sheetName val="Pompa &amp; Assesories Kolam"/>
      <sheetName val="ELEKTRONIKA"/>
      <sheetName val="AHS (pipa)"/>
      <sheetName val="GENZET DAN LIFT"/>
      <sheetName val="HYDRANT (ADD)"/>
      <sheetName val="ruko(ADD)"/>
      <sheetName val="Instalasi Pipa Kolam(ADD)"/>
      <sheetName val=" (addwork)"/>
      <sheetName val="OHD"/>
      <sheetName val="Spec"/>
      <sheetName val="RecoveredExternalLink1"/>
      <sheetName val="TANYA MMR"/>
      <sheetName val="Cover Paket"/>
      <sheetName val="KABEL TM"/>
      <sheetName val="KABEL TR"/>
      <sheetName val="2.4."/>
      <sheetName val="TOTAL (2)"/>
      <sheetName val="DAF-1 (2)"/>
      <sheetName val="DAF-2 (2)"/>
      <sheetName val="DAF-5 (TOTAL)"/>
      <sheetName val="5.9"/>
      <sheetName val="5.10"/>
      <sheetName val="DAF-4 (TOTAL)"/>
      <sheetName val="4.9"/>
      <sheetName val="4.10"/>
      <sheetName val="DAF-3 (TOTAL)"/>
      <sheetName val="3.9"/>
      <sheetName val="3.10"/>
      <sheetName val="DAF-2 (TOTAL)"/>
      <sheetName val="4.1"/>
      <sheetName val="4.2"/>
      <sheetName val="4.3"/>
      <sheetName val="4.4"/>
      <sheetName val="4.5"/>
      <sheetName val="4.6"/>
      <sheetName val="4.7"/>
      <sheetName val="4.8"/>
      <sheetName val="3.1"/>
      <sheetName val="3.2"/>
      <sheetName val="3.3"/>
      <sheetName val="3.4"/>
      <sheetName val="3.5"/>
      <sheetName val="3.6"/>
      <sheetName val="3.7"/>
      <sheetName val="3.8"/>
      <sheetName val="BQ-cab-Kos"/>
      <sheetName val="BOI BRI CABANG - Genset-Plb-Hyd"/>
      <sheetName val="TNH"/>
      <sheetName val="FORM X COST"/>
      <sheetName val="SPL"/>
      <sheetName val="PENYUSUTAN"/>
      <sheetName val="Pembatas"/>
      <sheetName val="BQ.Plambing"/>
      <sheetName val="BQ.Spr Hyd"/>
      <sheetName val="BQ.AC.FAN"/>
      <sheetName val="BQ.Listrik"/>
      <sheetName val="BQTelepon"/>
      <sheetName val="BQ.T Suara"/>
      <sheetName val="BQ F.Alarm"/>
      <sheetName val="BQ.CCTV"/>
      <sheetName val="BQ.MATV"/>
      <sheetName val="BQ.Data"/>
      <sheetName val="BQ.Acces.C"/>
      <sheetName val="BQ.BAS"/>
      <sheetName val="Test&amp;Com"/>
      <sheetName val="BY.CADANGAN"/>
      <sheetName val="Price Data"/>
      <sheetName val="GWK"/>
      <sheetName val="FRONT END"/>
      <sheetName val="SUMMARY (2)"/>
      <sheetName val="ELEMENT SUM"/>
      <sheetName val="ELEMENT SUM (2)"/>
      <sheetName val="Services"/>
      <sheetName val="UTILITIES"/>
      <sheetName val="CONTINGENCIES"/>
      <sheetName val="COV. D3"/>
      <sheetName val="COV. D3.1"/>
      <sheetName val="COV. D3.2"/>
      <sheetName val="COV. D3.3"/>
      <sheetName val="COV. D3.4"/>
      <sheetName val="COV. D3.5"/>
      <sheetName val="COV. D4"/>
      <sheetName val="Pek. luar"/>
      <sheetName val="COV.UTAMA"/>
      <sheetName val="shortlist"/>
      <sheetName val="COV.1"/>
      <sheetName val="1"/>
      <sheetName val="COV.2"/>
      <sheetName val="COV.3"/>
      <sheetName val="2 (2)"/>
      <sheetName val="COV.4"/>
      <sheetName val="Cover Analisa"/>
      <sheetName val="CP-PL"/>
      <sheetName val="rekap jk"/>
      <sheetName val="PERALATAN UTAMA PK"/>
      <sheetName val="PEMIPAAN PK"/>
      <sheetName val="PERALATAN &amp; KATUP2 PK"/>
      <sheetName val="QTY BQ"/>
      <sheetName val="valve "/>
      <sheetName val="Fitt"/>
      <sheetName val="Daftar Deviasi"/>
      <sheetName val="Daftar Supplier"/>
      <sheetName val="Daftar Gambar Tender"/>
      <sheetName val="Std-Spek PL"/>
      <sheetName val="Std-CP1"/>
      <sheetName val="Std-Metode"/>
      <sheetName val="DAF-2 "/>
      <sheetName val="iTEM hARSAT"/>
      <sheetName val="Analisa Pekerjaan Dalam"/>
      <sheetName val="Analisa Pekerjaan Luar"/>
      <sheetName val="Analisa Panel"/>
      <sheetName val="Informasi"/>
      <sheetName val="RST"/>
      <sheetName val="Cover PJT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BUDGET"/>
      <sheetName val="Cover 4.1."/>
      <sheetName val="COVER 2"/>
      <sheetName val="COVER 2.1."/>
      <sheetName val="COVER 2.2."/>
      <sheetName val="2.2 (2)"/>
      <sheetName val="DUCTING"/>
      <sheetName val="DIFFUSER&amp;GRILLE"/>
      <sheetName val="PENJUMLAHAN TOTAL "/>
      <sheetName val="PENJUMLAHAN TOTAL PLB"/>
      <sheetName val="Cover 1"/>
      <sheetName val="Cover Analisa "/>
      <sheetName val="UPAH "/>
      <sheetName val="PERALATAN UTAMA PLB"/>
      <sheetName val="PEMIPAAN PLB"/>
      <sheetName val="PERALATAN _ KATUP2 PLB"/>
      <sheetName val="CATU DAYA LISTRIK PLB"/>
      <sheetName val="REVIEW SPEK"/>
      <sheetName val="PENJUMLAHAN TOTAL PK "/>
      <sheetName val="Cover 2.2"/>
      <sheetName val="UPAH ' "/>
      <sheetName val="PERALATAN _ KATUP2 PK"/>
      <sheetName val="CATU DAYA LISTRIK PK"/>
      <sheetName val="PENJUMLAHAN TOTAL V M"/>
      <sheetName val="COVER 2.3"/>
      <sheetName val="ANALISA HARGA SATUAN"/>
      <sheetName val="PERATAN AC SPLIT"/>
      <sheetName val="DIFFUSER &amp; GRILLE"/>
      <sheetName val="Cover 3"/>
      <sheetName val="COVER 7"/>
      <sheetName val="7&quot;"/>
      <sheetName val="PEMIPAAN KOLAM RENANG"/>
      <sheetName val="KATUP - KATUP KOLAM RENANG"/>
      <sheetName val="STP"/>
      <sheetName val="COVER 4"/>
      <sheetName val="COVER 5"/>
      <sheetName val="REKAP PROGRESS"/>
      <sheetName val="Paket"/>
      <sheetName val="Cov."/>
      <sheetName val="PERALATAN &amp; KATUP2 PLB"/>
      <sheetName val="ELEKTRIKAL &amp; ELEKTRONIK"/>
      <sheetName val="MVAC"/>
      <sheetName val="BJLS"/>
      <sheetName val="LD"/>
      <sheetName val="TI"/>
      <sheetName val="RINC FIN T4  _3_"/>
      <sheetName val="RINC FIN T4  _2_"/>
      <sheetName val="tot_san _2_"/>
      <sheetName val="tot_san"/>
      <sheetName val="GRN_TOT _2_"/>
      <sheetName val="Tot_Ruang"/>
      <sheetName val="Rin_"/>
      <sheetName val="dt"/>
      <sheetName val="Luas Gross"/>
      <sheetName val="OPTION_1"/>
      <sheetName val="GRN_TOT"/>
      <sheetName val="luar"/>
      <sheetName val="M_Up"/>
      <sheetName val="MAP"/>
      <sheetName val="General"/>
      <sheetName val="PRICE LIST"/>
      <sheetName val="AHS.Umum"/>
      <sheetName val="AHS.Pers"/>
      <sheetName val="Site_Pre"/>
      <sheetName val="Power_BLK"/>
      <sheetName val="Raw Water"/>
      <sheetName val="WU"/>
      <sheetName val="Reinjection"/>
      <sheetName val="SYD"/>
      <sheetName val="Building"/>
      <sheetName val="Yard Pipe"/>
      <sheetName val="Land Scap"/>
      <sheetName val="Access_Road"/>
      <sheetName val="CW pipe"/>
      <sheetName val="Rekap HVAC_Plumbing"/>
      <sheetName val="Power"/>
      <sheetName val="WorkShop"/>
      <sheetName val="Guard"/>
      <sheetName val="Chemical"/>
      <sheetName val="Adm.Build"/>
      <sheetName val="Raw"/>
      <sheetName val="Electrical"/>
      <sheetName val="New items"/>
      <sheetName val="AHS_1"/>
      <sheetName val="AHS_2"/>
      <sheetName val="AHS_3"/>
      <sheetName val="AHS_4"/>
      <sheetName val="detail pasbat"/>
      <sheetName val="6104"/>
      <sheetName val="6105"/>
      <sheetName val="6106"/>
      <sheetName val="6107"/>
      <sheetName val="6108"/>
      <sheetName val="batching"/>
      <sheetName val="Mix Desain"/>
      <sheetName val="Concrete"/>
      <sheetName val="Piling"/>
      <sheetName val="fence"/>
      <sheetName val="antek tanah"/>
      <sheetName val="sheetpile"/>
      <sheetName val="Soil_invest"/>
      <sheetName val="ANALISA TENDER"/>
      <sheetName val="Fill this out first___"/>
      <sheetName val="Bahan "/>
      <sheetName val="Pekerjaan "/>
      <sheetName val="Rekap Interior &amp; Furniture"/>
      <sheetName val="Interior &amp; Furniture"/>
      <sheetName val="BAG_2"/>
      <sheetName val="Pipa"/>
      <sheetName val="Analisa Upah _ Bahan Plum"/>
      <sheetName val="ESCON"/>
      <sheetName val="DafProyek"/>
      <sheetName val="Bul (2)"/>
      <sheetName val="Alt (2)"/>
      <sheetName val="DafAlt"/>
      <sheetName val="laroux"/>
      <sheetName val="service"/>
      <sheetName val="bale"/>
      <sheetName val="spa"/>
      <sheetName val="towel"/>
      <sheetName val="pres-suite"/>
      <sheetName val="suite"/>
      <sheetName val="villa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ANDAT"/>
      <sheetName val="REKAP STR T"/>
      <sheetName val="BQ STR T"/>
      <sheetName val="ijin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Pemeliharaan"/>
      <sheetName val="Bul &amp; Persiapan"/>
      <sheetName val="sched alat"/>
      <sheetName val="Sched Man Power"/>
      <sheetName val="Sewa Alat"/>
      <sheetName val="Provisi &amp; Asuransi"/>
      <sheetName val="Review Listrik"/>
      <sheetName val="sched daya"/>
      <sheetName val="Bul dan Persiapan1"/>
      <sheetName val="Rekap Angg 12 Okt"/>
      <sheetName val="Cost"/>
      <sheetName val="rekap2"/>
      <sheetName val="MAPP"/>
      <sheetName val="rek det 1-3"/>
      <sheetName val="Arsitektur"/>
      <sheetName val="p&amp;p"/>
      <sheetName val="bau"/>
      <sheetName val="Rupa2"/>
      <sheetName val="Bank"/>
      <sheetName val="BDP Scaff"/>
      <sheetName val="BDP Tinggi"/>
      <sheetName val="Cover-depan"/>
      <sheetName val="sumintr"/>
      <sheetName val="Sum BUL &amp; Alat"/>
      <sheetName val="Bul "/>
      <sheetName val="Alat PLP2 "/>
      <sheetName val="Provisi "/>
      <sheetName val="analisa-komp"/>
      <sheetName val="analisa bore"/>
      <sheetName val="Sub-Kont"/>
      <sheetName val="pintuu"/>
      <sheetName val="BQ Struktur"/>
      <sheetName val="BQ Arsitektur"/>
      <sheetName val="1-LISTRIK print"/>
      <sheetName val="2-Genset print"/>
      <sheetName val="SumBoQ C4"/>
      <sheetName val="BoQ C4"/>
      <sheetName val="DayWorks"/>
      <sheetName val="mat.dominan"/>
      <sheetName val="DF-2 (2)"/>
      <sheetName val="DF-2"/>
      <sheetName val="Lamp. 10 (2)"/>
      <sheetName val=" rekap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RAB KONS"/>
      <sheetName val="Sch"/>
      <sheetName val="Analisa Quarry"/>
      <sheetName val="QUARRY"/>
      <sheetName val="HRG UP.BHN"/>
      <sheetName val="ANALISA ALAT"/>
      <sheetName val="DIV.1"/>
      <sheetName val="DIV.2"/>
      <sheetName val="DIV. 3"/>
      <sheetName val="DIV.4"/>
      <sheetName val="DIV.5"/>
      <sheetName val="DIV.6"/>
      <sheetName val="DIV.7"/>
      <sheetName val="DIV.8"/>
      <sheetName val="DIV.10"/>
      <sheetName val="Daftar stn qty "/>
      <sheetName val="REKAP BAHAN REALISASI"/>
      <sheetName val="REKAP BAHAN BOW"/>
      <sheetName val="RAB GENDUT"/>
      <sheetName val="bobot"/>
      <sheetName val="Harga UPAH"/>
      <sheetName val="Harga Material "/>
      <sheetName val="ADD Harga"/>
      <sheetName val="Analisa Harga"/>
      <sheetName val="BREAK DOWN BARU"/>
      <sheetName val="bi-pp"/>
      <sheetName val="Fin-Report (2)"/>
      <sheetName val="faktur"/>
      <sheetName val="Fin-Report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V-Tanah"/>
      <sheetName val="V-Pile Cap"/>
      <sheetName val="V-Balok"/>
      <sheetName val="Total panjang Tie Beam"/>
      <sheetName val="V BAJA"/>
      <sheetName val="V_Tangga"/>
      <sheetName val="VA-ltai"/>
      <sheetName val="VA-ddg"/>
      <sheetName val="LUAS BANGUNAN"/>
      <sheetName val="BET-BEK"/>
      <sheetName val="BESI"/>
      <sheetName val="DAF_9"/>
      <sheetName val="C"/>
      <sheetName val="Bill 2.4"/>
      <sheetName val="Bill 2.5 "/>
      <sheetName val="Bill 3.4"/>
      <sheetName val="Bill 3.5"/>
      <sheetName val="Bill 4.4"/>
      <sheetName val="Bill 4.5"/>
      <sheetName val="Bill 5.4"/>
      <sheetName val="Bill 5.5"/>
      <sheetName val="Bill 6.4"/>
      <sheetName val="Bill 6.5"/>
      <sheetName val="Bill 7.4"/>
      <sheetName val="Bill 7.5"/>
      <sheetName val="Bill 8.4"/>
      <sheetName val="Bill 8.5"/>
      <sheetName val="Bill 9.4 "/>
      <sheetName val="Bill 9.5"/>
      <sheetName val="Bill 10.4"/>
      <sheetName val="Bill 10.5"/>
      <sheetName val="Bill 11.4"/>
      <sheetName val="Bill 11.5"/>
      <sheetName val="Bill 12.3"/>
      <sheetName val="Bill 12.4"/>
      <sheetName val="Bill 13.4"/>
      <sheetName val="Bill 13.5"/>
      <sheetName val="Bill 14.3"/>
      <sheetName val="Bill 14.4"/>
      <sheetName val="Bill 16.3"/>
      <sheetName val="17"/>
      <sheetName val="Bill No 9 Cover"/>
      <sheetName val="Bill 9 Profit &amp; Attendance"/>
      <sheetName val="23A-TWR A"/>
      <sheetName val="23A-TWR B"/>
      <sheetName val="23A-PDM1"/>
      <sheetName val="23A-PYRUS1"/>
      <sheetName val="23B-CDN1"/>
      <sheetName val="23B-CMR1"/>
      <sheetName val="23C-AK1"/>
      <sheetName val="23C-AK2"/>
      <sheetName val="AAAAAAA"/>
      <sheetName val="anaalat (2)"/>
      <sheetName val="anaalat"/>
      <sheetName val="Bill 4 Summary"/>
      <sheetName val="D5_8"/>
      <sheetName val="ANALISA PIPA"/>
      <sheetName val="GrandSum"/>
      <sheetName val="struktur(BQ)"/>
      <sheetName val="Arsitektur ( BQ )"/>
      <sheetName val="RekapBTL"/>
      <sheetName val="Rupa"/>
      <sheetName val="DaftSub"/>
      <sheetName val="Daftmat"/>
      <sheetName val="dash"/>
      <sheetName val="Analisa Upah &amp; Bahan Plum"/>
      <sheetName val="Sampul"/>
      <sheetName val="LT&amp;Plafond"/>
      <sheetName val="ANKusen"/>
      <sheetName val="Sch-Kusen"/>
      <sheetName val="QTY-Kusen"/>
      <sheetName val="Pilecaps"/>
      <sheetName val="Tie Beam"/>
      <sheetName val="Balok"/>
      <sheetName val="Plat"/>
      <sheetName val="Tangga"/>
      <sheetName val="ANPrelim"/>
      <sheetName val="Lain-2"/>
      <sheetName val="M&amp;E"/>
      <sheetName val="BOQ KJ-D &amp; KJ-E"/>
      <sheetName val="RAB intern"/>
      <sheetName val="Preparation"/>
      <sheetName val="Mix_Storage_Silo"/>
      <sheetName val="Transportation - Steel Struc"/>
      <sheetName val="Transportation - Foundation"/>
      <sheetName val="DATABASE"/>
      <sheetName val="BC-RH.01"/>
      <sheetName val="BC-RH.02"/>
      <sheetName val="BC-RH.03"/>
      <sheetName val="BC-RH.03A"/>
      <sheetName val="BC-03.04"/>
      <sheetName val="BC-03.04A"/>
      <sheetName val="BC-03.04B"/>
      <sheetName val="BC-03.04C"/>
      <sheetName val="Other Items"/>
      <sheetName val="Analisa harga Fabrikasi"/>
      <sheetName val="SUM 2.7"/>
      <sheetName val="2.7A"/>
      <sheetName val="2.7B"/>
      <sheetName val="2.7C"/>
      <sheetName val="2.7D"/>
      <sheetName val="2.7E"/>
      <sheetName val="TOWN"/>
      <sheetName val="Bill of Qty MEP"/>
      <sheetName val="SUM 2.2"/>
      <sheetName val="2.2A-Cover"/>
      <sheetName val="2.2A"/>
      <sheetName val="2.2B-Cover"/>
      <sheetName val="2.2B"/>
      <sheetName val="2.2C-Cover"/>
      <sheetName val="2.2C"/>
      <sheetName val="HARGA ALAT"/>
      <sheetName val="BQ-E20-02(Rp)"/>
      <sheetName val="SUMM STR WORKS"/>
      <sheetName val="SUM 2.8"/>
      <sheetName val="2.8A-Cover"/>
      <sheetName val="2.8A"/>
      <sheetName val="2.8B-Cover"/>
      <sheetName val="2.8B RWT FOUND. "/>
      <sheetName val="2.8C-Cover"/>
      <sheetName val="2.8C FIRE FIGHTING PH"/>
      <sheetName val="SUM 2.10"/>
      <sheetName val="2.10A-Cover"/>
      <sheetName val="2.10A"/>
      <sheetName val="2.10B-Cover"/>
      <sheetName val="2.10B FLMMBLE"/>
      <sheetName val="2.10C-Cover"/>
      <sheetName val="2.10C EPH"/>
      <sheetName val="SUM 3.7"/>
      <sheetName val="3.7A COV DINDING"/>
      <sheetName val="3.7A BQ DINDING "/>
      <sheetName val="3.7B COV LANTAI"/>
      <sheetName val="3.7B BQ LANTAI "/>
      <sheetName val="3.7C COV DOOR &amp; WINDOW"/>
      <sheetName val="3.7C BQ DOOR &amp; WINDOW"/>
      <sheetName val="3.7D COV CEILING"/>
      <sheetName val="3.7D BQ CEILING"/>
      <sheetName val="3.7E COV SANITAIR"/>
      <sheetName val="3.7E BQ SANITAIR "/>
      <sheetName val="3.7F COV ATAP "/>
      <sheetName val="3.7F BQ ATAP"/>
      <sheetName val="SUM 4.1"/>
      <sheetName val="4.1A-Cover"/>
      <sheetName val="4.1A"/>
      <sheetName val="4.1B-Cover"/>
      <sheetName val="4.1B"/>
      <sheetName val="INSTALLATION"/>
      <sheetName val="4,1A"/>
      <sheetName val="4,1B"/>
      <sheetName val="SUM 4,1"/>
      <sheetName val="4,1A-Cover"/>
      <sheetName val="4.2A-Cover"/>
      <sheetName val="SUM 4.2"/>
      <sheetName val="anal umum"/>
      <sheetName val="anal besi"/>
      <sheetName val="oe"/>
      <sheetName val="WEP"/>
      <sheetName val="tower13"/>
      <sheetName val="tower18"/>
      <sheetName val="towerair1"/>
      <sheetName val="towerair2"/>
      <sheetName val="Form"/>
      <sheetName val="Charges"/>
      <sheetName val="Input"/>
      <sheetName val="Analisa _ Upah"/>
      <sheetName val="Daftar Upah"/>
      <sheetName val="Rekap Analisa"/>
      <sheetName val="analisa nuansa"/>
      <sheetName val="REKAP AKHIR"/>
      <sheetName val="Tbh-Krg"/>
      <sheetName val="Analisa 2"/>
      <sheetName val="Analisa &amp; Upah"/>
      <sheetName val="Project_P"/>
      <sheetName val="Ubas"/>
      <sheetName val="Analisa Alat Berat"/>
      <sheetName val="Renc. Pen Thd HPS"/>
      <sheetName val="informasi umum"/>
      <sheetName val="Perhitungan Alat Mob"/>
      <sheetName val="REKAP RA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DIV 10"/>
      <sheetName val="Aggregate"/>
      <sheetName val=" Alat Inves &amp; Susut"/>
      <sheetName val="General schdl"/>
      <sheetName val="ANRAB1"/>
      <sheetName val="Analisa Crusher"/>
      <sheetName val="ONSITE"/>
      <sheetName val="sub-kon"/>
      <sheetName val="Rekap Biaya"/>
      <sheetName val="Kuantitas &amp; Harga"/>
      <sheetName val="Pekerjaan Utama"/>
      <sheetName val="%"/>
      <sheetName val="Judul"/>
      <sheetName val="An Pipa"/>
      <sheetName val="An Duct"/>
      <sheetName val="Bill.1.VAC-Supply-A"/>
      <sheetName val="Bill.2.VAC-Install-A"/>
      <sheetName val="Bill.3.VAC-Supply-B"/>
      <sheetName val="Bill.4.VAC-Install-B 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Mark Up"/>
      <sheetName val="Rekap Upah"/>
      <sheetName val="Statement Pengadaan Bahan"/>
      <sheetName val="Proses Pengaadaan Subkon"/>
      <sheetName val="Biaya Umum"/>
      <sheetName val="Biaya Pegawai"/>
      <sheetName val="Sqce.Sahid"/>
      <sheetName val="Str org.sahid"/>
      <sheetName val="equip.Sahid.1"/>
      <sheetName val="equip.Sahid.2"/>
      <sheetName val="SPP.Sahid"/>
      <sheetName val="Cecklist"/>
      <sheetName val="BQ-RAB"/>
      <sheetName val="basa"/>
      <sheetName val="an stndr1"/>
      <sheetName val="an stndr2"/>
      <sheetName val="analisa manual"/>
      <sheetName val="Peg"/>
      <sheetName val="C-flow"/>
      <sheetName val="APPEND4"/>
      <sheetName val="APPEND4a"/>
      <sheetName val="ANALIS"/>
      <sheetName val="sublist"/>
      <sheetName val="APPENDIX7"/>
      <sheetName val="daftarbhn"/>
      <sheetName val="bekisting"/>
      <sheetName val="Tenaga"/>
      <sheetName val="CE"/>
      <sheetName val="GNL"/>
      <sheetName val="BP"/>
      <sheetName val="Cap"/>
      <sheetName val="An price"/>
      <sheetName val="Scp"/>
      <sheetName val="Ovh"/>
      <sheetName val="Sum of BoQ"/>
      <sheetName val="major"/>
      <sheetName val="Bill of Quantities"/>
      <sheetName val="UPA"/>
      <sheetName val="Daywork Rates"/>
      <sheetName val="17.Unit Price Analysis1"/>
      <sheetName val="18.Min Equipment"/>
      <sheetName val="20.Other Materials"/>
      <sheetName val="Unit Price Project"/>
      <sheetName val="sub-rekap"/>
      <sheetName val="lokasari-el"/>
      <sheetName val="lis material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Plumb"/>
      <sheetName val="par"/>
      <sheetName val="Plumb (2)"/>
      <sheetName val="REKAP A BESAR"/>
      <sheetName val="Harga Jadi"/>
      <sheetName val="Analisa Pekerjaan"/>
      <sheetName val="Daywork "/>
      <sheetName val="Bahan Alat"/>
      <sheetName val="Sub Kontraktor"/>
      <sheetName val="CH"/>
      <sheetName val="Surat"/>
      <sheetName val="DS"/>
      <sheetName val="Ana. PU"/>
      <sheetName val="ANA Mob"/>
      <sheetName val="ANA Rutin"/>
      <sheetName val="Confirm"/>
      <sheetName val="DPU"/>
      <sheetName val="Staff"/>
      <sheetName val="HSD"/>
      <sheetName val="Met-PU-2.2"/>
      <sheetName val="Met-PU-6.3 (5)"/>
      <sheetName val="Met-PU-6.3 (6)"/>
      <sheetName val="Met-PU-6.3 (7)"/>
      <sheetName val="Alamat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Ind"/>
      <sheetName val="COVER VERSI-2"/>
      <sheetName val="COVER VERSI-1"/>
      <sheetName val="JUMLAH BIAYA"/>
      <sheetName val="STATUS"/>
      <sheetName val="MONITORING"/>
      <sheetName val="PROGRES"/>
      <sheetName val="TRJMH"/>
      <sheetName val="Rekap PI"/>
      <sheetName val="Calc"/>
      <sheetName val="Lapangan"/>
      <sheetName val="WI"/>
      <sheetName val="Sumda"/>
      <sheetName val="AngL01B"/>
      <sheetName val="AngL03"/>
      <sheetName val="depo"/>
      <sheetName val="CASTINGYARD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Expantion Joint"/>
      <sheetName val="MU1"/>
      <sheetName val="BQ gab"/>
      <sheetName val="MEP"/>
      <sheetName val="(Alat)"/>
      <sheetName val="COVER BAB"/>
      <sheetName val="VOLUME (TDK DIPAKAI)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 (TDK DIPAKAI)"/>
      <sheetName val="ALAT1"/>
      <sheetName val="ALAT2 (TDK DIPAKAI)"/>
      <sheetName val="AGGREGAT"/>
      <sheetName val="Klas B0"/>
      <sheetName val="R.Tunai"/>
      <sheetName val="URAIAN"/>
      <sheetName val="REKAP JULI R2"/>
      <sheetName val="JULI R2"/>
      <sheetName val="JULI"/>
      <sheetName val="REKAP JULI R0"/>
      <sheetName val="29 JULI 2008"/>
      <sheetName val="Performance"/>
      <sheetName val="PENGELUARAN"/>
      <sheetName val="COST CONTROL"/>
      <sheetName val="29JULI 2008"/>
      <sheetName val="S-CURVE 1"/>
      <sheetName val="S-CURVE (2)"/>
      <sheetName val="BA"/>
      <sheetName val="Eva"/>
      <sheetName val="M"/>
      <sheetName val="B.Umum"/>
      <sheetName val="Direksi"/>
      <sheetName val="Jaminan"/>
      <sheetName val="B.Bahan"/>
      <sheetName val="B.Alat"/>
      <sheetName val="Org"/>
      <sheetName val="CFlow"/>
      <sheetName val="Sched Bahan"/>
      <sheetName val="bahan alat rap"/>
      <sheetName val="anal rap dasar"/>
      <sheetName val="Landscape"/>
      <sheetName val="Recovered_Sheet1"/>
      <sheetName val="Recovered_Sheet2"/>
      <sheetName val="Recovered_Sheet3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Rekap OK (2)"/>
      <sheetName val="Rekap OK"/>
      <sheetName val="pendanaan"/>
      <sheetName val="Mobilisasi (2)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analisa harga "/>
      <sheetName val="KURVA&quot;S&quot;"/>
      <sheetName val="Met-PU-3.2 (2)"/>
      <sheetName val="Met-PU-5.1 (1)"/>
      <sheetName val="Met-PU-5.1 (2)"/>
      <sheetName val="Met-PU-7.10 (3)"/>
      <sheetName val="LP-3"/>
      <sheetName val="Pt"/>
      <sheetName val="Cover Daf_2"/>
      <sheetName val="Bahan upah"/>
      <sheetName val="Traf_Genst"/>
      <sheetName val="Mess"/>
      <sheetName val="By"/>
      <sheetName val="HSatuan"/>
      <sheetName val="analisaRAB"/>
      <sheetName val="Sec I ML"/>
      <sheetName val="LOKASI RIG Litbang"/>
      <sheetName val="CHECK (2)"/>
      <sheetName val="Boq(p'arsad)"/>
      <sheetName val="CHECK"/>
      <sheetName val="ANALYSIS_U.P"/>
      <sheetName val="An_Ag"/>
      <sheetName val="An_Pc"/>
      <sheetName val="An_Cp"/>
      <sheetName val="An_Eq"/>
      <sheetName val="An_Eqn"/>
      <sheetName val="panduan"/>
      <sheetName val="Blank"/>
      <sheetName val="Panel"/>
      <sheetName val="Daftar Material Import"/>
      <sheetName val="Cover 6"/>
      <sheetName val="Cover 8"/>
      <sheetName val="Cover 9"/>
      <sheetName val="Cover 10"/>
      <sheetName val="Daf-12"/>
      <sheetName val="Daf-13"/>
      <sheetName val="Cover 14"/>
      <sheetName val="Daf-14"/>
      <sheetName val="Cover 15"/>
      <sheetName val="DAF-15"/>
      <sheetName val="analisac"/>
      <sheetName val="An-List"/>
      <sheetName val="An-Pipa"/>
      <sheetName val="aspal"/>
      <sheetName val="R"/>
      <sheetName val="KI"/>
      <sheetName val="KL"/>
      <sheetName val="RGaji"/>
      <sheetName val="L1"/>
      <sheetName val="S1"/>
      <sheetName val="Rbul"/>
      <sheetName val="Volume"/>
      <sheetName val="Unit Price M"/>
      <sheetName val="T.18"/>
      <sheetName val="masalah"/>
      <sheetName val="action"/>
      <sheetName val="On Time"/>
      <sheetName val="Curup"/>
      <sheetName val="Prabu"/>
      <sheetName val="Telkomsel"/>
      <sheetName val="PESANTREN"/>
      <sheetName val="cash"/>
      <sheetName val="bq-kon"/>
      <sheetName val="Bill"/>
      <sheetName val="Trans Mat"/>
      <sheetName val="U-P-A"/>
      <sheetName val="An_Gen"/>
      <sheetName val="BASE CAMP"/>
      <sheetName val="An_Sb"/>
      <sheetName val="Label"/>
      <sheetName val="Letter"/>
      <sheetName val="Jo"/>
      <sheetName val="Ap.4a"/>
      <sheetName val="Ap.4b"/>
      <sheetName val="Ap.5"/>
      <sheetName val="App.6"/>
      <sheetName val="Ap.7"/>
      <sheetName val="Sch.tba"/>
      <sheetName val="Preamble"/>
      <sheetName val="Adjst"/>
      <sheetName val="Div-1"/>
      <sheetName val="Div-2"/>
      <sheetName val="Div-3"/>
      <sheetName val="Div-4"/>
      <sheetName val="Div-5"/>
      <sheetName val="Div-6a"/>
      <sheetName val="Div-7a"/>
      <sheetName val="Div-8"/>
      <sheetName val="An-quarry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Upah RAB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Sat Upah"/>
      <sheetName val="Sat Bahan"/>
      <sheetName val="Sat Alat"/>
      <sheetName val="bq bsm_1"/>
      <sheetName val="bq bsm_2"/>
      <sheetName val="bq bsm_3"/>
      <sheetName val="Harga Material"/>
      <sheetName val="dasboard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An.Ars"/>
      <sheetName val="Material List"/>
      <sheetName val="PRELI_CAP"/>
      <sheetName val="REF_ONLY"/>
      <sheetName val="List Material"/>
      <sheetName val="BoQA"/>
      <sheetName val="LS-Rutin"/>
      <sheetName val="Kuantitas"/>
      <sheetName val="Analisa HSP"/>
      <sheetName val="Rek RAB"/>
      <sheetName val="STRUtm"/>
      <sheetName val="STRPjg"/>
      <sheetName val="ARSUtM "/>
      <sheetName val="Tbh-01"/>
      <sheetName val="Tbh-2"/>
      <sheetName val="Marktng"/>
      <sheetName val="Ev-MU"/>
      <sheetName val="BILL OF QU-ARS"/>
      <sheetName val="BILL OF QU-STR"/>
      <sheetName val="RAP-STR"/>
      <sheetName val="RAP-ARS"/>
      <sheetName val="krifikasi gambar &amp; bq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Home"/>
      <sheetName val="Analisa -Baku"/>
      <sheetName val="An-tampil"/>
      <sheetName val="An-Grnd"/>
      <sheetName val="Bill of Qty"/>
      <sheetName val="Rekap Prelim"/>
      <sheetName val="Rekap Direct Cost"/>
      <sheetName val="Pivot-tabel-Isi Data"/>
      <sheetName val="Pivot-tabel-Analisa"/>
      <sheetName val="Pivot-tabel-Copy Database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Man Power-Rev-lam"/>
      <sheetName val="BU-rev-lam"/>
      <sheetName val="kon-final"/>
      <sheetName val="prs"/>
      <sheetName val="land"/>
      <sheetName val="ars-vol"/>
      <sheetName val="FH-UNPADSTR2"/>
      <sheetName val="FH-UNPADSTR"/>
      <sheetName val="anl-rc"/>
      <sheetName val="An. Beton"/>
      <sheetName val="FH-konven"/>
      <sheetName val="anl-prelim"/>
      <sheetName val="Cover.1"/>
      <sheetName val="Cover-2"/>
      <sheetName val="Cover-3"/>
      <sheetName val="Cover-4"/>
      <sheetName val="Cover5"/>
      <sheetName val="Cover-6"/>
      <sheetName val="6"/>
      <sheetName val="RC-ANL"/>
      <sheetName val="Eva Spek"/>
      <sheetName val="LP-CRT"/>
      <sheetName val="SAP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RKP"/>
      <sheetName val="RKP (2)"/>
      <sheetName val="KLA"/>
      <sheetName val="LAMP-AO"/>
      <sheetName val="LAM-C"/>
      <sheetName val="LAM-A&amp;B"/>
      <sheetName val="DAF-16"/>
      <sheetName val="PENDAHULUAN (ME)"/>
      <sheetName val="HYD KT"/>
      <sheetName val="SPR KT"/>
      <sheetName val="PL KT"/>
      <sheetName val="Sheet5"/>
      <sheetName val="CP-2"/>
      <sheetName val="M.E."/>
      <sheetName val="analisa el"/>
      <sheetName val="analisa mek"/>
      <sheetName val="MEK"/>
      <sheetName val="MASTER SCADULLE "/>
      <sheetName val="NSC( KOORDINASI)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Condotel"/>
      <sheetName val="Recap"/>
      <sheetName val="F0"/>
      <sheetName val="F1"/>
      <sheetName val="F3"/>
      <sheetName val="F4"/>
      <sheetName val="F5"/>
      <sheetName val="F6"/>
      <sheetName val="F7"/>
      <sheetName val="F8"/>
      <sheetName val="F9"/>
      <sheetName val="F10"/>
      <sheetName val="F11"/>
      <sheetName val="SC"/>
      <sheetName val="Upah_Bahan"/>
      <sheetName val="PileCap"/>
      <sheetName val="Harsat Bahan"/>
      <sheetName val="Harsat Upah"/>
      <sheetName val="Bunga"/>
      <sheetName val="Mark-up"/>
      <sheetName val="Catatan"/>
      <sheetName val="Kondisi"/>
      <sheetName val="Evaluasi Ang"/>
      <sheetName val="sumEXL"/>
      <sheetName val="Rekap Ang"/>
      <sheetName val="Prelim Extr"/>
      <sheetName val="BreakD Prelim"/>
      <sheetName val="CM Temp Office"/>
      <sheetName val="Over Time"/>
      <sheetName val="390MC-PS"/>
      <sheetName val="Fee Coord"/>
      <sheetName val="NSC"/>
      <sheetName val="Scafolding"/>
      <sheetName val="GFA 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[BQ-PS&amp;A.xlsÝCAT_HRG"/>
      <sheetName val="Week (2)"/>
      <sheetName val="304-06"/>
      <sheetName val="304_06"/>
      <sheetName val="data grafik"/>
      <sheetName val="PAD-F"/>
      <sheetName val="SAT-BHN"/>
      <sheetName val="_BQ-PS&amp;A.xlsÝCAT_HRG"/>
      <sheetName val="DivVII"/>
      <sheetName val="S-Curve"/>
      <sheetName val="rab - persiapan &amp; lantai-1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rumus"/>
      <sheetName val="LAMP_AB "/>
      <sheetName val="LAMPU OUT DOOR"/>
      <sheetName val="sound system lapangan"/>
      <sheetName val="incenerator"/>
      <sheetName val="Penyambungan PLN 147 KVA"/>
      <sheetName val="Penyambungan PDAM "/>
      <sheetName val="Sub Rekap Indoor"/>
      <sheetName val="Sub Rekap Masjid"/>
      <sheetName val="Sub Rekap Infra"/>
      <sheetName val="Sub Rekap Std Ut"/>
      <sheetName val="Sipil Std Ut"/>
      <sheetName val="Ars Std Ut"/>
      <sheetName val="Kabel Feeder"/>
      <sheetName val="Sound Sistem Ged"/>
      <sheetName val="Fire Alarm"/>
      <sheetName val="Instal Data"/>
      <sheetName val="Kabel tray"/>
      <sheetName val="Tata Udara"/>
      <sheetName val="Petir &amp; Lift"/>
      <sheetName val="Lightning"/>
      <sheetName val="Sound Sistem lap."/>
      <sheetName val="Lap Std Ut"/>
      <sheetName val="Genset &amp; Ph"/>
      <sheetName val="Rekap Indoor"/>
      <sheetName val=" REKAP_SIMPEL"/>
      <sheetName val="Rekap Prog"/>
      <sheetName val="Stadion Utama"/>
      <sheetName val="2.A. NON_STD_POND_DALAM"/>
      <sheetName val="B. REKAP_LANDSCAPE"/>
      <sheetName val="1.2.B NON STD ELEKTRIKAL"/>
      <sheetName val="B.2.2 NON_STD_ME_KAWASAN"/>
      <sheetName val="Siap"/>
      <sheetName val="space frame"/>
      <sheetName val="Analis Pintu Jendela"/>
      <sheetName val="ANALISA railing"/>
      <sheetName val="Analis Railling"/>
      <sheetName val="Analisa Plumb"/>
      <sheetName val="Rekap Std Ut"/>
      <sheetName val="plumb std ut"/>
      <sheetName val="Genset dan PH"/>
      <sheetName val="Rekap Masjid"/>
      <sheetName val="Rekap Infra"/>
      <sheetName val="Penerang"/>
      <sheetName val="Ringkasan"/>
      <sheetName val="18.Str.Kolam"/>
      <sheetName val="8c.AsramaElitePutri"/>
      <sheetName val="Analisa Ars"/>
      <sheetName val="INFO ---- MUST READ"/>
      <sheetName val="CAT-HAR"/>
      <sheetName val="II.1"/>
      <sheetName val="II.2"/>
      <sheetName val="II.3"/>
      <sheetName val="II.4"/>
      <sheetName val="II.5"/>
      <sheetName val="II.6"/>
      <sheetName val="II.7"/>
      <sheetName val="II.8"/>
      <sheetName val="II.9"/>
      <sheetName val="III.1"/>
      <sheetName val="III.2"/>
      <sheetName val="III.3"/>
      <sheetName val="III.4"/>
      <sheetName val="III.5"/>
      <sheetName val="III.6"/>
      <sheetName val="III.7"/>
      <sheetName val="III.8"/>
      <sheetName val="III.9"/>
      <sheetName val="ANA-9"/>
      <sheetName val="ANA-4"/>
      <sheetName val="hitung alat"/>
      <sheetName val="sort"/>
      <sheetName val="S-KUASA"/>
      <sheetName val="PEN-NILAI"/>
      <sheetName val="Kuantitas kencleng"/>
      <sheetName val="Mobilisasi HRS"/>
      <sheetName val="DHSD"/>
      <sheetName val="KONFIRMASI PLAN 6a"/>
      <sheetName val="lalulintas"/>
      <sheetName val="div 2"/>
      <sheetName val="div 3"/>
      <sheetName val="div 4"/>
      <sheetName val="div 5"/>
      <sheetName val="div 6"/>
      <sheetName val="div 7"/>
      <sheetName val="div 8"/>
      <sheetName val="div 9"/>
      <sheetName val="alat usul"/>
      <sheetName val="DAFTAR GEL"/>
      <sheetName val="datakontrak"/>
      <sheetName val="DAFTARMPU"/>
      <sheetName val="lamp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UPLIER"/>
      <sheetName val="alat usulan"/>
      <sheetName val="Sheet6"/>
      <sheetName val="GWT  STP"/>
      <sheetName val="PSU"/>
      <sheetName val="ana-precast"/>
      <sheetName val="uang muka"/>
      <sheetName val="Kuda2"/>
      <sheetName val="Gording"/>
      <sheetName val="keramik"/>
      <sheetName val="Kebenaran"/>
      <sheetName val="biodata"/>
      <sheetName val="beton"/>
      <sheetName val="Ad_123"/>
      <sheetName val="Duiker_ringan"/>
      <sheetName val="btn_Jepit"/>
      <sheetName val="ringan_exp"/>
      <sheetName val="Bek_Berat_plat"/>
      <sheetName val="Bek_berat_exp"/>
      <sheetName val="batu kali"/>
      <sheetName val="Plesteran"/>
      <sheetName val="SCH  (2)"/>
      <sheetName val="SCH "/>
      <sheetName val="Konfirm"/>
      <sheetName val="Lamp2"/>
      <sheetName val="Lamp.3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LN"/>
      <sheetName val="SCHE"/>
      <sheetName val="KOMP"/>
      <sheetName val="Peng."/>
      <sheetName val="Modal"/>
      <sheetName val="Sipil"/>
      <sheetName val="surat "/>
      <sheetName val="IND (2)"/>
      <sheetName val="CH Met Bab"/>
      <sheetName val="Sub Kont"/>
      <sheetName val="k-300"/>
      <sheetName val="ac-wc"/>
      <sheetName val="tack"/>
      <sheetName val="ac-Bc"/>
      <sheetName val="****01"/>
      <sheetName val="Breakdown Cost"/>
      <sheetName val="Labor"/>
      <sheetName val="Consumable"/>
      <sheetName val="Mob-Demob"/>
      <sheetName val="Tools&amp;Consum"/>
      <sheetName val="Work Rate Analysis"/>
      <sheetName val="Mat. Unit Analysis"/>
      <sheetName val="COST SUMM"/>
      <sheetName val="prod"/>
      <sheetName val="Labor Cost"/>
      <sheetName val="consum"/>
      <sheetName val="tool"/>
      <sheetName val="hydro test"/>
      <sheetName val="salary"/>
      <sheetName val="BAP-fisik"/>
      <sheetName val="regresi GRAFIS"/>
      <sheetName val="regresi ANALISA"/>
      <sheetName val="phisik"/>
      <sheetName val="revisi ii add i (2)"/>
      <sheetName val="revisi ii add i (3)"/>
      <sheetName val="atb"/>
      <sheetName val="aggA"/>
      <sheetName val="u24"/>
      <sheetName val="mortar"/>
      <sheetName val="pilihan"/>
      <sheetName val="rincian A"/>
      <sheetName val="rincian B"/>
      <sheetName val="Rincian C"/>
      <sheetName val="rincian D"/>
      <sheetName val="rincian E"/>
      <sheetName val="RAP2"/>
      <sheetName val="RAP (2)"/>
      <sheetName val="SUM_CODES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Instrument"/>
      <sheetName val="Scope_Work"/>
      <sheetName val="AHS-Ls"/>
      <sheetName val="Daf-MPU"/>
      <sheetName val="AHS-MPU"/>
      <sheetName val="Jadual"/>
      <sheetName val="daf-alat"/>
      <sheetName val="MET-MPU"/>
      <sheetName val="Beton b"/>
      <sheetName val="Beton C"/>
      <sheetName val="pier head-cibodas"/>
      <sheetName val="ana-dc"/>
      <sheetName val="ana-major"/>
      <sheetName val="Harsat-ME"/>
      <sheetName val="ana-ME"/>
      <sheetName val="sce-alat"/>
      <sheetName val="ana-alat"/>
      <sheetName val="HOMIX-SENTUL"/>
      <sheetName val="shoring galian"/>
      <sheetName val="rekap-dc"/>
      <sheetName val="Photo Existing"/>
      <sheetName val="pancang"/>
      <sheetName val="schedul"/>
      <sheetName val="perincian"/>
      <sheetName val="metoda"/>
      <sheetName val="duba"/>
      <sheetName val="PENG"/>
      <sheetName val="lamp.6"/>
      <sheetName val="lamp.7"/>
      <sheetName val="Lamp.8"/>
      <sheetName val="lamp.9"/>
      <sheetName val="lamp.10"/>
      <sheetName val="cv"/>
      <sheetName val="lamp.11"/>
      <sheetName val="nonABRI"/>
      <sheetName val="REK (anak)"/>
      <sheetName val="BOQ (anak)"/>
      <sheetName val="ANA(2a)"/>
      <sheetName val="ANA (2b)"/>
      <sheetName val="RTN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CMK"/>
      <sheetName val="TM"/>
      <sheetName val="NP (2)"/>
      <sheetName val="Additional"/>
      <sheetName val="Minat"/>
      <sheetName val="Ana.Maj"/>
      <sheetName val="Met.baru"/>
      <sheetName val="1.20"/>
      <sheetName val="1.19"/>
      <sheetName val="Recyling"/>
      <sheetName val="Meth"/>
      <sheetName val="Lamp.Meth"/>
      <sheetName val="Ana.Non "/>
      <sheetName val="Meth.Non"/>
      <sheetName val="AN-E"/>
      <sheetName val="GEL"/>
      <sheetName val="ORG2"/>
      <sheetName val="CUR"/>
      <sheetName val="Peta"/>
      <sheetName val="Person"/>
      <sheetName val="PENG.3"/>
      <sheetName val="PENG.2"/>
      <sheetName val="analisa F-X"/>
      <sheetName val="metode-F-X"/>
      <sheetName val="metode-4"/>
      <sheetName val="Lamp.Meth (2)"/>
      <sheetName val="Rupiah"/>
      <sheetName val="Change"/>
      <sheetName val="Daftar"/>
      <sheetName val="SDY"/>
      <sheetName val="Meto"/>
      <sheetName val="Lamp 1"/>
      <sheetName val="Lamp.12"/>
      <sheetName val="u_Alat"/>
      <sheetName val="Inti"/>
      <sheetName val="Agg.A"/>
      <sheetName val="Ana .A"/>
      <sheetName val="BQ_Bongkar (LIST)"/>
      <sheetName val="BQ_Relokasi (List)"/>
      <sheetName val="Rekap_Bongkar"/>
      <sheetName val="BQ_Bongkar"/>
      <sheetName val="Rekap_Relokasi"/>
      <sheetName val="BQ_Relokasi"/>
      <sheetName val="AHS (Wajib)"/>
      <sheetName val="Daftar Harga Dasar"/>
      <sheetName val="AHS (Tambahan)"/>
      <sheetName val="met-2"/>
      <sheetName val="direc-hotmix"/>
      <sheetName val="met-1"/>
      <sheetName val="Anal-Alt"/>
      <sheetName val="Nomor Analisa"/>
      <sheetName val="Tbn.Pil"/>
      <sheetName val="Latasir"/>
      <sheetName val="Baja"/>
      <sheetName val="Pas. Batu Motar"/>
      <sheetName val="Agg.B"/>
      <sheetName val="Gal. Biasa"/>
      <sheetName val="ANA LS"/>
      <sheetName val="MOS."/>
      <sheetName val="DATA KONTRAK."/>
      <sheetName val="Usulan Alat"/>
      <sheetName val="Usulan Personil"/>
      <sheetName val="Sub.Kon"/>
      <sheetName val="Daf.mpu"/>
      <sheetName val="Keb BHN"/>
      <sheetName val="1 (2)"/>
      <sheetName val="1 (3)"/>
      <sheetName val="Sheet9"/>
      <sheetName val="AC-WC.3"/>
      <sheetName val="Beton K-300 (2)"/>
      <sheetName val="Beton K-250"/>
      <sheetName val="ana-1"/>
      <sheetName val="ana-2"/>
      <sheetName val="ana-tamb"/>
      <sheetName val="ana-6"/>
      <sheetName val="ana-10"/>
      <sheetName val="ana-12"/>
      <sheetName val="formwork"/>
      <sheetName val="precast"/>
      <sheetName val="ponton"/>
      <sheetName val="kisdam"/>
      <sheetName val="fax"/>
      <sheetName val="XXXXXX"/>
      <sheetName val="batu"/>
      <sheetName val="tumbukBek"/>
      <sheetName val="tumbukBekBes"/>
      <sheetName val="angk200"/>
      <sheetName val="PETA (TDK DIPAKAI)"/>
      <sheetName val="bq-dc"/>
      <sheetName val="sewa-alat"/>
      <sheetName val="ana-ls"/>
      <sheetName val="daf-major"/>
      <sheetName val="sce"/>
      <sheetName val="R A B blank"/>
      <sheetName val="Rekapitulasi blank"/>
      <sheetName val="Daftar - Isi"/>
      <sheetName val="Hit Vol Str "/>
      <sheetName val="Hit Vol_PSU"/>
      <sheetName val="Ris_Vol"/>
      <sheetName val="R A B"/>
      <sheetName val="&quot;S&quot; Kurve"/>
      <sheetName val="antek"/>
      <sheetName val="app-2"/>
      <sheetName val="app-2a"/>
      <sheetName val="WME"/>
      <sheetName val="NP (3)"/>
      <sheetName val="NP (4)"/>
      <sheetName val="NP (5)"/>
      <sheetName val="NP (6)"/>
      <sheetName val="NP (7)"/>
      <sheetName val="app 3 mob"/>
      <sheetName val="app 4 an-rutin"/>
      <sheetName val="app 5 ana-mos"/>
      <sheetName val="app 6 sub"/>
      <sheetName val="app 2a hsd"/>
      <sheetName val="app 7-foreign"/>
      <sheetName val="app 8 t bid"/>
      <sheetName val="app-1-jdwl"/>
      <sheetName val="terbilang total"/>
      <sheetName val="terbilang rp"/>
      <sheetName val="organisasi"/>
      <sheetName val="Jadwal MOB PERSON"/>
      <sheetName val="Jadwal MOB ALAT"/>
      <sheetName val="app 1 jadwal"/>
      <sheetName val="app 8 lam-pen"/>
      <sheetName val="9 list-equipmnt"/>
      <sheetName val="list Major pay item"/>
      <sheetName val="breakdown foreign currency "/>
      <sheetName val="h.sat dasar"/>
      <sheetName val="app-2 ana-major"/>
      <sheetName val="app-2a ana-major"/>
      <sheetName val="NP (7A)"/>
      <sheetName val="app 2aMPU"/>
      <sheetName val="app 2 mpu"/>
      <sheetName val="app 6 sub (2)"/>
      <sheetName val="Project Staff"/>
      <sheetName val="Cap AMP"/>
      <sheetName val="Contract Data"/>
      <sheetName val="Lamp X-1"/>
      <sheetName val="Sheet16"/>
      <sheetName val="Urtek-2"/>
      <sheetName val="Urtek3-4"/>
      <sheetName val="Urtek-6"/>
      <sheetName val="Urtek-7"/>
      <sheetName val="Urtek-8"/>
      <sheetName val="ana-MOB"/>
      <sheetName val="sce-mat"/>
      <sheetName val="crushing"/>
      <sheetName val="ana-routine"/>
      <sheetName val="crusher"/>
      <sheetName val="lokasi"/>
      <sheetName val="sce-alat (2)"/>
      <sheetName val="sce-mat (2)"/>
      <sheetName val="hit-vol-alat"/>
      <sheetName val="ke-bahan"/>
      <sheetName val="readymix"/>
      <sheetName val="ana_alat"/>
      <sheetName val="divII"/>
      <sheetName val="DivIII"/>
      <sheetName val="DivIV"/>
      <sheetName val="DivV"/>
      <sheetName val="DivVI"/>
      <sheetName val="DivVIII"/>
      <sheetName val="DivIX"/>
      <sheetName val="DivX"/>
      <sheetName val="rekI"/>
      <sheetName val="bqI"/>
      <sheetName val="mobilisation"/>
      <sheetName val="uraianII_VIII"/>
      <sheetName val="uraianIX"/>
      <sheetName val="UraianX"/>
      <sheetName val="kaputama"/>
      <sheetName val="PRODBAHAN"/>
      <sheetName val="satbahan"/>
      <sheetName val="satalat"/>
      <sheetName val="Hit Vol Str Jambi"/>
      <sheetName val="&quot;S&quot; Curve"/>
      <sheetName val="Jadwal MOB PERSON (2)"/>
      <sheetName val="Jadwal MOB ALAT (2)"/>
      <sheetName val="app 2 ana-major"/>
      <sheetName val="app 3 mobilization"/>
      <sheetName val="app 4 Routine Analysis"/>
      <sheetName val="app 5 mos analysis"/>
      <sheetName val="app 6 sub contract"/>
      <sheetName val="app 7 EST foreign currency"/>
      <sheetName val="app 2 Unit Price Analysis"/>
      <sheetName val="MJR"/>
      <sheetName val="Met Rtn"/>
      <sheetName val="lamp penw"/>
      <sheetName val="DT  KONT SL"/>
      <sheetName val="STF"/>
      <sheetName val="Peng STF"/>
      <sheetName val="ana alat"/>
      <sheetName val="ANALISA ME-STD"/>
      <sheetName val="ANALISA-A.YANI"/>
      <sheetName val="ANALISA-MARUNDA"/>
      <sheetName val="SP"/>
      <sheetName val="MET BAB-02"/>
      <sheetName val="MET BAB-03"/>
      <sheetName val="MET BAB-05"/>
      <sheetName val="MET BAB-07"/>
      <sheetName val="HSD Upah"/>
      <sheetName val="HSD Alat"/>
      <sheetName val="PEMBATAS (2)"/>
      <sheetName val="KEPADA (1)"/>
      <sheetName val="KEPADA (2)"/>
      <sheetName val="KEPADA (3)"/>
      <sheetName val="MP"/>
      <sheetName val="METODA-1"/>
      <sheetName val="METODA-2"/>
      <sheetName val="MET BAB-06"/>
      <sheetName val="JADWAL ALAT"/>
      <sheetName val="JADWAL BAHAN"/>
      <sheetName val="KEB BAHAN"/>
      <sheetName val="SK"/>
      <sheetName val="NON PNS"/>
      <sheetName val="KSO"/>
      <sheetName val="Kuantitas _ Harga"/>
      <sheetName val="SCHE."/>
      <sheetName val="SDY-rev"/>
      <sheetName val="Mob."/>
      <sheetName val="LAMP_3"/>
      <sheetName val="Conf."/>
      <sheetName val="ROUTINE"/>
      <sheetName val="STF (2)"/>
      <sheetName val="alt-cimangkok"/>
      <sheetName val="LMP.2"/>
      <sheetName val="Perhitungan RAB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LMP.6"/>
      <sheetName val="LMP 7"/>
      <sheetName val="Kar"/>
      <sheetName val="MET-BAB-04"/>
      <sheetName val="MET-BAB-06"/>
      <sheetName val="MET-BAB-06b"/>
      <sheetName val="MET-bab-08"/>
      <sheetName val="Sheet1 (2)"/>
      <sheetName val="BOQ (2)"/>
      <sheetName val="DAFTAR KUANTITAS"/>
      <sheetName val="ANALISA DIV-7"/>
      <sheetName val="bab 7"/>
      <sheetName val="HSD (2)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BAB 7 (2)"/>
      <sheetName val="BOQ INDUK (2)"/>
      <sheetName val="REK INDUK"/>
      <sheetName val="BOQ INDUK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SCH pekerjaan (2)"/>
      <sheetName val="DAFT PERALATAN"/>
      <sheetName val="SCH MOB (2)"/>
      <sheetName val="SCH bahan (2)"/>
      <sheetName val="REK ANAK"/>
      <sheetName val="BOQ ANAK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RETRIBUSI"/>
      <sheetName val="SCH pekerjaan"/>
      <sheetName val="Compatibility Report"/>
      <sheetName val="HSD BAHAN (2)"/>
      <sheetName val="HSD ALAT (2)"/>
      <sheetName val="Ana MPU"/>
      <sheetName val="Met Bab 02"/>
      <sheetName val="Met Bab 05 (a)"/>
      <sheetName val="Alat &amp; Bahan"/>
      <sheetName val="plt"/>
      <sheetName val="klm"/>
      <sheetName val="blk"/>
      <sheetName val=""/>
      <sheetName val="Har-mat"/>
      <sheetName val="bhn,upah,alat"/>
      <sheetName val="Ans Kom Precast"/>
      <sheetName val="LF"/>
      <sheetName val="W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BL PERSONIL"/>
      <sheetName val="Schedule Rev_2"/>
      <sheetName val="BL NON PERSONIL"/>
      <sheetName val="Fas_Personil"/>
      <sheetName val="Prlt_Kerja"/>
      <sheetName val="B Operasi"/>
      <sheetName val="Laporan"/>
      <sheetName val="L_Mob Demob"/>
      <sheetName val="L_Koord_Teknis"/>
      <sheetName val="cuti"/>
      <sheetName val="KEndaraan"/>
      <sheetName val="PRELI-CAP"/>
      <sheetName val="Bill 2.4."/>
      <sheetName val="chitiet"/>
      <sheetName val="Analisa_str"/>
      <sheetName val="PO-2"/>
      <sheetName val="CSFLOW"/>
      <sheetName val="Batas"/>
      <sheetName val="COVER PPB"/>
      <sheetName val="assistensi"/>
      <sheetName val="BA Pengesahan"/>
      <sheetName val="1.1 Data Teknik"/>
      <sheetName val="1.2 Data Keu"/>
      <sheetName val="II Tabel Telusur"/>
      <sheetName val="III.1.Master TSCH"/>
      <sheetName val="III.2 WBS"/>
      <sheetName val="III.3 Milestone"/>
      <sheetName val="IV.1 Strk Org"/>
      <sheetName val="IV.2 Job Desk"/>
      <sheetName val="IV.3 Sch Staff"/>
      <sheetName val="IV.4 SKP"/>
      <sheetName val="V.1 Schd Bahan"/>
      <sheetName val="V.2 Sch Alat"/>
      <sheetName val="VII. RENC CASH FLOW"/>
      <sheetName val="IX.1-pendahuluan "/>
      <sheetName val="IX.2.1-quality policy"/>
      <sheetName val="IX.2.2-Hub ISO"/>
      <sheetName val="IX.2.3-quality sistem"/>
      <sheetName val="IX.3-Ringkasan Speks "/>
      <sheetName val="IX.4-PROSEDUR KOORD."/>
      <sheetName val="IX.5 Daftar Barang lgs"/>
      <sheetName val="IX.6 flow chart kegiatan"/>
      <sheetName val="IX.7-dftr prosedur"/>
      <sheetName val="IX.8-ITP 1"/>
      <sheetName val="IX.8-ITP 2"/>
      <sheetName val="IX.8-ITP 3"/>
      <sheetName val="IX.9-Ident Produk"/>
      <sheetName val="X.2 Kondisi Lingkungan"/>
      <sheetName val="X.3-Ident Tk Resiko"/>
      <sheetName val="X.4-Org K3"/>
      <sheetName val="X.5-Pros Koordinasi"/>
      <sheetName val="X.5-Prosdur Koord"/>
      <sheetName val="X.5-Pengendalian K3"/>
      <sheetName val="X.6-Data Instansi"/>
      <sheetName val="X.7-Daftar Peraturan Extern"/>
      <sheetName val="X.9-Sch K3"/>
      <sheetName val="KESIMP"/>
      <sheetName val="ASUMSI"/>
      <sheetName val="EVAHS"/>
      <sheetName val="nilai"/>
      <sheetName val="Kron"/>
      <sheetName val="rk"/>
      <sheetName val="monpekme"/>
      <sheetName val="perencanaan"/>
      <sheetName val="INDUK-A"/>
      <sheetName val="SAYAP-A"/>
      <sheetName val="c-sayap"/>
      <sheetName val="IBS-B"/>
      <sheetName val="SAYAP -STR-A"/>
      <sheetName val="SAYAP-ARS&amp;ATP-A"/>
      <sheetName val="VIP-J"/>
      <sheetName val="c-vip"/>
      <sheetName val="IRNA1-G"/>
      <sheetName val="c-irna1"/>
      <sheetName val="IRNA2-H"/>
      <sheetName val="c-irna2"/>
      <sheetName val="IRNA3-I"/>
      <sheetName val="c-irna3"/>
      <sheetName val="c-gizi"/>
      <sheetName val="GIZI-K"/>
      <sheetName val="JNASAH-M"/>
      <sheetName val="c-jnasah"/>
      <sheetName val="UTD"/>
      <sheetName val="c-pmi"/>
      <sheetName val="ICU-F"/>
      <sheetName val="c-icu"/>
      <sheetName val="c-ibs"/>
      <sheetName val="FARMASI-C"/>
      <sheetName val="BIDAN-D"/>
      <sheetName val="C-bidan"/>
      <sheetName val="FISIO-E"/>
      <sheetName val="c-fisio"/>
      <sheetName val="MASJID-Q"/>
      <sheetName val="c-masjid"/>
      <sheetName val="ASRM-O"/>
      <sheetName val="c-asrm"/>
      <sheetName val="RMH-R"/>
      <sheetName val="c-rmh"/>
      <sheetName val="KAFE-L"/>
      <sheetName val="c-kafe"/>
      <sheetName val="GENSET-N"/>
      <sheetName val="c-genst"/>
      <sheetName val="TPS-T"/>
      <sheetName val="ME HALAMAN"/>
      <sheetName val="TWR-V"/>
      <sheetName val="c-twr"/>
      <sheetName val="SELASAR-W"/>
      <sheetName val="ANALISA CTFLL"/>
      <sheetName val="CUT-FILL-A3"/>
      <sheetName val="INFRA-X"/>
      <sheetName val="b-vip"/>
      <sheetName val="b-farm"/>
      <sheetName val="br.land"/>
      <sheetName val="br induk"/>
      <sheetName val="ANALISA INFRA"/>
      <sheetName val="ANALISA KOSEN"/>
      <sheetName val="BoQ "/>
      <sheetName val="j alat"/>
      <sheetName val="An_1"/>
      <sheetName val="An_2"/>
      <sheetName val="An_3"/>
      <sheetName val="0000000"/>
      <sheetName val="OH"/>
      <sheetName val="Anls Bd (2)"/>
      <sheetName val="Form tdr"/>
      <sheetName val="Pintu aluminium kosong"/>
      <sheetName val="Anls Bd"/>
      <sheetName val="Pintu aluminium R1"/>
      <sheetName val="tambah-kurang"/>
      <sheetName val="B (Nego)"/>
      <sheetName val="B (2)"/>
      <sheetName val="D"/>
      <sheetName val="D.alt"/>
      <sheetName val="data vol"/>
      <sheetName val="BI Cover"/>
      <sheetName val="Pilling"/>
      <sheetName val="Substruktur"/>
      <sheetName val="Prestressed"/>
      <sheetName val="Elektrikal "/>
      <sheetName val="Alat M&amp;E"/>
      <sheetName val="Prov.sum"/>
      <sheetName val="Biaya CK"/>
      <sheetName val="Hrg Material"/>
      <sheetName val="Hrg Upah"/>
      <sheetName val="Als Struk"/>
      <sheetName val="Als Arst"/>
      <sheetName val="up"/>
      <sheetName val="Kulit Luar"/>
      <sheetName val="Cat"/>
      <sheetName val="Planfont"/>
      <sheetName val="APP"/>
      <sheetName val="rekap TOT"/>
      <sheetName val="preliminaris"/>
      <sheetName val="an. prelim"/>
      <sheetName val="struk"/>
      <sheetName val="an. struktur"/>
      <sheetName val="rekap ARST"/>
      <sheetName val="arst"/>
      <sheetName val="an. arsitek"/>
      <sheetName val="fire figt"/>
      <sheetName val="IDC"/>
      <sheetName val="Scaffolding"/>
      <sheetName val="GajiPT&amp;PTT"/>
      <sheetName val="Daf-Har-Pening"/>
      <sheetName val="DaftarHargaPemel"/>
      <sheetName val="An-Mansur"/>
      <sheetName val="Kb-jepun"/>
      <sheetName val="Sosial"/>
      <sheetName val="U M"/>
      <sheetName val="analisa Str (2)"/>
      <sheetName val="An.Ars (0701)"/>
      <sheetName val="analisa Str (0701)"/>
      <sheetName val="An.Ars (2)"/>
      <sheetName val="REKAB-PICU A"/>
      <sheetName val="Rab. Strukt. picu A.1a"/>
      <sheetName val="BU-STR-picu"/>
      <sheetName val="Rab Arc picu A.1b"/>
      <sheetName val="Analisa Non Standart STR"/>
      <sheetName val="BU-ARC picu"/>
      <sheetName val="RAB ATAP"/>
      <sheetName val="BU-Atap"/>
      <sheetName val="RAB UTA STR"/>
      <sheetName val="RAB ARS"/>
      <sheetName val="Sat. Pekerjaan"/>
      <sheetName val="Hrg Sat"/>
      <sheetName val="Pek. Pers"/>
      <sheetName val="Pek. Tanah"/>
      <sheetName val="Pek. Beton"/>
      <sheetName val="analisa beton str"/>
      <sheetName val="Besi Baja Profil"/>
      <sheetName val="Pek. Pond"/>
      <sheetName val="Pek. Dinding"/>
      <sheetName val="Pek. Plesteran"/>
      <sheetName val="Pek. Langit2"/>
      <sheetName val="Pek. Penutup Lt &amp; Ddg"/>
      <sheetName val="Pek. Atap"/>
      <sheetName val="Pek. kayu"/>
      <sheetName val="Pek. Teralis"/>
      <sheetName val="Anls Pek. Pengecatan"/>
      <sheetName val="Pek. bongkar"/>
      <sheetName val="Pek. accsoris pintu"/>
      <sheetName val="Pek. Elektrikal"/>
      <sheetName val="Pek. Sanitasi"/>
      <sheetName val="Berton"/>
      <sheetName val="Gal AB"/>
      <sheetName val="URUG &amp; perataan"/>
      <sheetName val="sch bahan"/>
      <sheetName val="sch tenaga"/>
      <sheetName val="HB "/>
      <sheetName val="EQUIP"/>
      <sheetName val="COST COMPARISION"/>
      <sheetName val="Pipework"/>
      <sheetName val="EXRATES"/>
      <sheetName val="tifico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COVERUSRP"/>
      <sheetName val="ESCOND"/>
      <sheetName val="BQUSRP"/>
      <sheetName val="tifico_NO_"/>
      <sheetName val="tifico_Ext_"/>
      <sheetName val="PEF29_CD(IDR)"/>
      <sheetName val="SEX"/>
      <sheetName val="Urai _Resap pengikat"/>
      <sheetName val="mat-me pipa"/>
      <sheetName val="Pile"/>
      <sheetName val="Bill No 6 Koord _ Attendance"/>
      <sheetName val="Table Profil"/>
      <sheetName val="UPAH &amp; BAHAN"/>
      <sheetName val="ANALISA PEK"/>
      <sheetName val="hrg uph+bhn"/>
      <sheetName val="Tata Suara"/>
      <sheetName val="Titik kabel"/>
      <sheetName val="Tata Suara (2)"/>
      <sheetName val="Tata Suara (3)"/>
      <sheetName val="Tata Suara (4)"/>
      <sheetName val="Tanpa Isolasi"/>
      <sheetName val="CAT-HARGA"/>
      <sheetName val="DF-7"/>
      <sheetName val="DF-7 (2)"/>
      <sheetName val="Tsuara"/>
      <sheetName val="Tata Suara (5)"/>
      <sheetName val="Tata Suara (6)"/>
      <sheetName val="Pipa Air.Hjn"/>
      <sheetName val="GS"/>
      <sheetName val="1a"/>
      <sheetName val="1b"/>
      <sheetName val="1c"/>
      <sheetName val="1d"/>
      <sheetName val="Daf. Isi "/>
      <sheetName val="An- Arst"/>
      <sheetName val="An Sani"/>
      <sheetName val="An D&amp;W"/>
      <sheetName val="An- Str"/>
      <sheetName val="Hrg Besi"/>
      <sheetName val="Struktur bawah"/>
      <sheetName val="hrg (bhn&amp;Upah)"/>
      <sheetName val="Daf. Isi Struk"/>
      <sheetName val="An Struk"/>
      <sheetName val="Spesi btn"/>
      <sheetName val="Cost CPum"/>
      <sheetName val="Ana-Galian"/>
      <sheetName val="Daf. Isi Arstk"/>
      <sheetName val="An Arstk"/>
      <sheetName val="Spesi Mortar"/>
      <sheetName val="An upah pelapis"/>
      <sheetName val="An Pgr brc"/>
      <sheetName val="An sanitary"/>
      <sheetName val="ana-pintu"/>
      <sheetName val="Resum Prelim"/>
      <sheetName val="Prelim(Lrkota)"/>
      <sheetName val="Prelim (profit)"/>
      <sheetName val="An. Pcg (Disl)"/>
      <sheetName val="An Pcg (Hydlic) (2)"/>
      <sheetName val="An-Joint"/>
      <sheetName val="An-Loadtest"/>
      <sheetName val="Sum L-Test"/>
      <sheetName val="Ltest 375ton"/>
      <sheetName val="LTest 300ton"/>
      <sheetName val="Ltest 420ton"/>
      <sheetName val="5 ton"/>
      <sheetName val="7 ton"/>
      <sheetName val="lamp.Beton (Dmi)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gvl"/>
      <sheetName val="Tiepdia"/>
      <sheetName val="CHITIET VL-NC-TT-3p"/>
      <sheetName val="VCV-BE-TONG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Grand_Sum"/>
      <sheetName val="Twin Flip"/>
      <sheetName val="Roller Coaster"/>
      <sheetName val="An-Str "/>
      <sheetName val="An-Finsh"/>
      <sheetName val="Rekap_Akhir"/>
      <sheetName val="Diaphragm Wall"/>
      <sheetName val="Landscape Lt3"/>
      <sheetName val="Landscape Ground Floor"/>
      <sheetName val="Tampak"/>
      <sheetName val="Roof"/>
      <sheetName val="lantai 11"/>
      <sheetName val="lantai 10"/>
      <sheetName val="lantai 9"/>
      <sheetName val="lantai 8"/>
      <sheetName val="lantai 6"/>
      <sheetName val="lantai 5"/>
      <sheetName val="lantai4"/>
      <sheetName val="lantai3"/>
      <sheetName val="lantai 2"/>
      <sheetName val="lantai 1"/>
      <sheetName val="Ground Floor"/>
      <sheetName val="Lantai_Basement_1"/>
      <sheetName val="Lantai_Basement_2"/>
      <sheetName val="Basement _3"/>
      <sheetName val="Rekap_Arsitek"/>
      <sheetName val="Fill first"/>
      <sheetName val="Daft-isi"/>
      <sheetName val="Blok A-1"/>
      <sheetName val="Blok A-2"/>
      <sheetName val="Blok A-3"/>
      <sheetName val="Blok A-4"/>
      <sheetName val="Blok A-5"/>
      <sheetName val="Blok A-6"/>
      <sheetName val="Blok B"/>
      <sheetName val="Blok C"/>
      <sheetName val="Blok D"/>
      <sheetName val="Blok E"/>
      <sheetName val="Pek-luar"/>
      <sheetName val="Prov-sum"/>
      <sheetName val="HarSAT-4"/>
      <sheetName val="hARSAT-3"/>
      <sheetName val="HarSAT-1"/>
      <sheetName val="bleqoq"/>
      <sheetName val="Memb Schd"/>
      <sheetName val="Inter. 1(1)&amp;2(0)"/>
      <sheetName val="Inter. 1(1)&amp;2(1)"/>
      <sheetName val="rekap A"/>
      <sheetName val="rekap b"/>
      <sheetName val="grand sum"/>
      <sheetName val="rek det 1_3"/>
      <sheetName val="REKAP BANGUNAN UTAMA"/>
      <sheetName val="an_ struktur"/>
      <sheetName val="Post"/>
      <sheetName val="BILL (2)"/>
      <sheetName val="Daft.NP"/>
      <sheetName val="Kap.Alat"/>
      <sheetName val="sub "/>
      <sheetName val="Air Bersih"/>
      <sheetName val="Air Kotor"/>
      <sheetName val="DeepWell"/>
      <sheetName val="BU_GEDUNG A_STR lt. 1"/>
      <sheetName val="BU_GEDUNG A_ STR lt. 2"/>
      <sheetName val="BU_GEDUNG A_STR lt. 3"/>
      <sheetName val="BU_GEDUNG A_STR lt. 4"/>
      <sheetName val="atap gedung A"/>
      <sheetName val="BU_Atap"/>
      <sheetName val="BU_GEDUNG A_ARS LT. 1"/>
      <sheetName val="BU_GEDUNG A_ARS LT. 2"/>
      <sheetName val="BU_GEDUNG A_ARS LT. 3"/>
      <sheetName val="BU_GEDUNG A_ARS LT. 4"/>
      <sheetName val="BU_PLB_GEDUNG A"/>
      <sheetName val="2.1.A BU_STR_GEDUNG B"/>
      <sheetName val="2.1. B BU_ARC_GEDUNG B"/>
      <sheetName val="BU_PLB_GEDUNG B"/>
      <sheetName val="BU_STR_MUSHOLLA"/>
      <sheetName val="BU_ARC_MUSHOLLA"/>
      <sheetName val="BU_PLB_MUSHOLLA"/>
      <sheetName val="1.A. BU_STR_KANTIN"/>
      <sheetName val="atap Unit Kantin"/>
      <sheetName val="BU_Atap KANTIN"/>
      <sheetName val="1. B. BU_ARC_KANTIN"/>
      <sheetName val="BU_PLB_KANTIN"/>
      <sheetName val="1.A. BU_STR_RMH GENZET"/>
      <sheetName val="1. B. BU_ARC_RMH GENZET"/>
      <sheetName val="1.A. BU_STR_RMH  POMPA"/>
      <sheetName val="1. B. BU_ARC_RMH  POMPA"/>
      <sheetName val="1.A. BU_STR_PARKIR KADIN"/>
      <sheetName val="1. B. BU_ARC_PARKIR KADIN"/>
      <sheetName val="2.1.A BU_STR_GERBANG DPN"/>
      <sheetName val="2.1. B BU_ARC_GERBANG DPN"/>
      <sheetName val="1.A. BU_STR_GERBANG TENGAH"/>
      <sheetName val="1. B. BU_ARC_GERBANG TENGAH"/>
      <sheetName val="1.A. BU_STR_GERBANG BLKG"/>
      <sheetName val="1. B. BU_ARC_GERBANG BLKG"/>
      <sheetName val="BU_Elevasi"/>
      <sheetName val="Bu_Drainase"/>
      <sheetName val="Bu SMR RESAPAN"/>
      <sheetName val="dgct"/>
      <sheetName val="dtct"/>
      <sheetName val="Sheet10"/>
      <sheetName val="Sheet11"/>
      <sheetName val="Sheet12"/>
      <sheetName val="Sheet13"/>
      <sheetName val="Sheet14"/>
      <sheetName val="Sheet15"/>
      <sheetName val="Equip't_List"/>
      <sheetName val="SELLING_PRICE"/>
      <sheetName val="SELLING_PRICE_1.5"/>
      <sheetName val="SUMM_BARE_1"/>
      <sheetName val="SUMMM_BARE"/>
      <sheetName val="SUMMARY_1"/>
      <sheetName val="Sheet7"/>
      <sheetName val="Constr_Equip't"/>
      <sheetName val="Mech_1A"/>
      <sheetName val="Mech_2A"/>
      <sheetName val="TSP_1"/>
      <sheetName val="TSP_2"/>
      <sheetName val="Civil"/>
      <sheetName val="Electrical_1"/>
      <sheetName val="Piping_Material"/>
      <sheetName val="Indir_const"/>
      <sheetName val="Man_Power_Const"/>
      <sheetName val="Indir_Eng"/>
      <sheetName val="Man_Power_Eng"/>
      <sheetName val="Indir_PMS"/>
      <sheetName val="Man_Power_PMS"/>
      <sheetName val="SCOPE"/>
      <sheetName val="Scope_of_Work"/>
      <sheetName val="INCRO"/>
      <sheetName val="INCRO_analysis"/>
      <sheetName val="SUMMM_IN"/>
      <sheetName val="SUMMARY_SUMMARY"/>
      <sheetName val="Selling_Price_Final"/>
      <sheetName val="Sheet9-alt1"/>
      <sheetName val="Sheet6-alt1"/>
      <sheetName val="IPL_SCHEDULE"/>
      <sheetName val="UU_PR-4&amp;5"/>
      <sheetName val="BBS (UU_PR-4)"/>
      <sheetName val="BBS (UU_PR-5)"/>
      <sheetName val="Direct"/>
      <sheetName val="Equipm"/>
      <sheetName val="name"/>
      <sheetName val="PTools"/>
      <sheetName val="PConsCS"/>
      <sheetName val="PConsSS"/>
      <sheetName val="tool-ss (2)"/>
      <sheetName val="tool-ss"/>
      <sheetName val="Consum-cs"/>
      <sheetName val="BCCTQT-XLD4"/>
      <sheetName val="BCQT-TTD1"/>
      <sheetName val="CT-chuacoDT"/>
      <sheetName val="Sheet8"/>
      <sheetName val="Sheet17"/>
      <sheetName val="Sheet18"/>
      <sheetName val="Sheet19"/>
      <sheetName val="Sheet20"/>
      <sheetName val="XL4Poppy"/>
      <sheetName val="Grand Sum "/>
      <sheetName val="Lamp-SPH"/>
      <sheetName val="Bill-01 (1)"/>
      <sheetName val="Bill-01"/>
      <sheetName val="Bill-2"/>
      <sheetName val="Bill-3"/>
      <sheetName val="Bill-4"/>
      <sheetName val="Bill-5"/>
      <sheetName val="Bill-6"/>
      <sheetName val="Bill-7"/>
      <sheetName val="Bill-8"/>
      <sheetName val="Bill-9 (AddItem)"/>
      <sheetName val="Grand Sum  (2)"/>
      <sheetName val="Bill-2 (AdQty)"/>
      <sheetName val="Bill-3 (AdQty)"/>
      <sheetName val="Bill-4 (AdQty)"/>
      <sheetName val="Bill-5 (AdQty)"/>
      <sheetName val="Bill-6 (AdQty)"/>
      <sheetName val="Lamp. Bill 7"/>
      <sheetName val="Scd"/>
      <sheetName val="Daf. Isi An"/>
      <sheetName val="Ana Struk"/>
      <sheetName val="Ana Arst"/>
      <sheetName val="Ana-Galian "/>
      <sheetName val="Bill-01 (dpn)"/>
      <sheetName val="Bill-01 (Bsmn)"/>
      <sheetName val="Bill-2.1"/>
      <sheetName val="Bill-2.2"/>
      <sheetName val="Resum Prelim(Bsmn)"/>
      <sheetName val="Prelim(Bsmn)"/>
      <sheetName val="Beam"/>
      <sheetName val="Galian-TB"/>
      <sheetName val="1st+0,60"/>
      <sheetName val="Ver-2nd+6,10"/>
      <sheetName val="Hor-2nd+6,10"/>
      <sheetName val="Column"/>
      <sheetName val="2nd+6,100"/>
      <sheetName val="BQ Pcg"/>
      <sheetName val="An Pcg (Bhn)"/>
      <sheetName val="An Pcg (Hydlic)"/>
      <sheetName val="Mob&amp;demob"/>
      <sheetName val="Sch_5"/>
      <sheetName val="Piping"/>
      <sheetName val="Elec-ins"/>
      <sheetName val="Profit"/>
      <sheetName val="Append-1"/>
      <sheetName val="Append-2"/>
      <sheetName val="Engine"/>
      <sheetName val="Fabric"/>
      <sheetName val="Pipe-sap"/>
      <sheetName val="Equ 2-2"/>
      <sheetName val="Pipe 2-2"/>
      <sheetName val="Constr"/>
      <sheetName val="Indirect"/>
      <sheetName val="SM-EL"/>
      <sheetName val="Hand-sys"/>
      <sheetName val="Sch-1"/>
      <sheetName val="Sch-2"/>
      <sheetName val="Sch-3"/>
      <sheetName val="Sch-4"/>
      <sheetName val="Sch-5"/>
      <sheetName val="Parameter"/>
      <sheetName val="HPS Paket 3 RJKB"/>
      <sheetName val="HPS-Shd 1"/>
      <sheetName val="HPS-Shd 2"/>
      <sheetName val="HPS-Shd 3"/>
      <sheetName val="HPS-Shd 4"/>
      <sheetName val="Hg.Sat"/>
      <sheetName val="An.TW"/>
      <sheetName val="A.H.S.PEK"/>
      <sheetName val="AA"/>
      <sheetName val="BB"/>
      <sheetName val="CC"/>
      <sheetName val="DD"/>
      <sheetName val="DDRS"/>
      <sheetName val="DDR6"/>
      <sheetName val="Mt+Uph+Alt"/>
      <sheetName val="An. Hg Sat"/>
      <sheetName val="Hg.Sat "/>
      <sheetName val="A.H.S.PEK "/>
      <sheetName val="An.TW "/>
      <sheetName val="AA6"/>
      <sheetName val="BB6"/>
      <sheetName val="CC6"/>
      <sheetName val="DD6"/>
      <sheetName val="EE6"/>
      <sheetName val="RKP SAP"/>
      <sheetName val="RKP STR"/>
      <sheetName val="RKP ARSITEK"/>
      <sheetName val="STR "/>
      <sheetName val="PLMBG"/>
      <sheetName val="D3_1"/>
      <sheetName val="MAKER"/>
      <sheetName val="Mat List"/>
      <sheetName val="I-Hydrant"/>
      <sheetName val="II-PLUMB REV4"/>
      <sheetName val="II-Plumb"/>
      <sheetName val="III-AC"/>
      <sheetName val="IV-Elect"/>
      <sheetName val="V-Alarm"/>
      <sheetName val="VI-Telp"/>
      <sheetName val="VII-SS"/>
      <sheetName val="VIII-MATV"/>
      <sheetName val="IX-Genset"/>
      <sheetName val="X-Elvtr"/>
      <sheetName val="XI-Gondola"/>
      <sheetName val="XII-CCTV"/>
      <sheetName val="Fill in First"/>
      <sheetName val="Bill No11 Cover"/>
      <sheetName val="Cover11A"/>
      <sheetName val="Bill No.11A"/>
      <sheetName val="Cover11B"/>
      <sheetName val="Bill No.11B"/>
      <sheetName val="11B Cover Gas"/>
      <sheetName val="Bill No.11B gas"/>
      <sheetName val="Bill No.11B gen &amp; collection"/>
      <sheetName val="Cover11C"/>
      <sheetName val="Bill No.11C"/>
      <sheetName val="BQ-M&amp;E GOR MUARA BULIAN"/>
      <sheetName val="Reff"/>
      <sheetName val="MC-QUAY"/>
      <sheetName val="Daya"/>
      <sheetName val="Rekapan (2)"/>
      <sheetName val="Rekapan"/>
      <sheetName val="HOLIN"/>
      <sheetName val="MK HSP1"/>
      <sheetName val="MK HSP.Mandor"/>
      <sheetName val="An Duct 2"/>
      <sheetName val="RABP WBS (5)"/>
      <sheetName val="RABP WBS (6)"/>
      <sheetName val="RABP WBS (7)"/>
      <sheetName val="Hyd&amp;SP"/>
      <sheetName val="MK.Air BS."/>
      <sheetName val="MK Air PN"/>
      <sheetName val="MK Air.BK"/>
      <sheetName val="MK Air.HUJAN"/>
      <sheetName val="lamp kamar"/>
      <sheetName val="EL.REKAP"/>
      <sheetName val="EL.FA"/>
      <sheetName val="EL.SS"/>
      <sheetName val="EL.TELP"/>
      <sheetName val="EL.MATV"/>
      <sheetName val="EL.K TRAY"/>
      <sheetName val="Per Lift"/>
      <sheetName val="Rencana M"/>
      <sheetName val="Sub Con"/>
      <sheetName val="Ncang"/>
      <sheetName val="UANG"/>
      <sheetName val="RAB &amp; RAP"/>
      <sheetName val="Mtrial Schl"/>
      <sheetName val="Mtrl Sch (2)"/>
      <sheetName val="Mtrl (4)"/>
      <sheetName val=" keb daya"/>
      <sheetName val="REKAPRAp"/>
      <sheetName val="Renc Krj M 2"/>
      <sheetName val="Renc Krj M 3"/>
      <sheetName val="Progrs M 4"/>
      <sheetName val="Progrs M 6"/>
      <sheetName val="Progrs M 5"/>
      <sheetName val="Progrs M 7"/>
      <sheetName val="Progrs M 8"/>
      <sheetName val="Progrs M 9"/>
      <sheetName val="Progrs M 10"/>
      <sheetName val="Progrs M 11"/>
      <sheetName val="Progrs M 12"/>
      <sheetName val="SCHEDULE PELAKSANAAN (KURVA S)"/>
      <sheetName val="Renc Krj M 4 Agst_ok"/>
      <sheetName val="Renc Krj M 5 Sept._ok"/>
      <sheetName val="Renc Krj M 6 Sept._ok"/>
      <sheetName val="Renc Krj M 7 Sept._ok"/>
      <sheetName val="Renc Krj M 8 Sept._ok"/>
      <sheetName val="Renc Krj M 9 Okt._ok"/>
      <sheetName val="Renc Krj M 10 Okt._ok"/>
      <sheetName val="Renc Krj M 11 Okt._ok"/>
      <sheetName val="Renc Krj M 12._ok"/>
      <sheetName val="Renc Krj M 13._ok"/>
      <sheetName val="vol pipa"/>
      <sheetName val="Sch  R-1"/>
      <sheetName val="Renc Krj M 1"/>
      <sheetName val="Progress 23"/>
      <sheetName val="Progress 21 REAL "/>
      <sheetName val="Rekap 1 "/>
      <sheetName val="DAFTAR NO_1"/>
      <sheetName val="Pipa Tembaga"/>
      <sheetName val="DAFTAR NO_2"/>
      <sheetName val="DAFTAR NO_3"/>
      <sheetName val="DAFTAR NO_4"/>
      <sheetName val="Inst. Elektrikal-1"/>
      <sheetName val="BAGIAN I-(PRELIM)"/>
      <sheetName val="Real Cost"/>
      <sheetName val="rincian biaya"/>
      <sheetName val="harga sat"/>
      <sheetName val="RINC hotel"/>
      <sheetName val="RINC FIN T4 "/>
      <sheetName val="TOT_ME last"/>
      <sheetName val="RIN_ME last"/>
      <sheetName val="daffin"/>
      <sheetName val="sanitaire"/>
      <sheetName val="FF_E"/>
      <sheetName val="Pen. Tot"/>
      <sheetName val="4.1 Pek. Utama"/>
      <sheetName val="4.2 Shaft"/>
      <sheetName val="4.3 (Pen. Tot)"/>
      <sheetName val="4.3.1 (Basement)"/>
      <sheetName val="4.3.2 (Fasilitas)"/>
      <sheetName val="4.3.3 (Ruko)"/>
      <sheetName val="4.3.4 (Podium)"/>
      <sheetName val="4.3.5 (Apartement)"/>
      <sheetName val="4.4 Pek. Luar"/>
      <sheetName val="4.5 Listrik"/>
      <sheetName val="4.6 Sparing"/>
      <sheetName val="Da-Har"/>
      <sheetName val="4.1 Per. Utama"/>
      <sheetName val="4.3A Bas"/>
      <sheetName val="4.3B Fas"/>
      <sheetName val="4.3C RK"/>
      <sheetName val="Input-Project"/>
      <sheetName val="Rekap BQ"/>
      <sheetName val="Rek.Analisa"/>
      <sheetName val="F"/>
      <sheetName val="H"/>
      <sheetName val="Analisa.Hourly"/>
      <sheetName val="Gorong2 Standar"/>
      <sheetName val="Vol Beton&amp;Pasangan"/>
      <sheetName val="Backup_Bill No.7"/>
      <sheetName val="LOADDAT"/>
      <sheetName val="4.3D Podium"/>
      <sheetName val="4.3E APT"/>
      <sheetName val="5 Sparing"/>
      <sheetName val="BAG-III"/>
      <sheetName val="BAG-IV"/>
      <sheetName val="LAMP-C"/>
      <sheetName val="DAF_6"/>
      <sheetName val="DAFTAR NO.7"/>
      <sheetName val="RINC FIN T4  (3)"/>
      <sheetName val="RINC FIN T4  (2)"/>
      <sheetName val="tot_san (2)"/>
      <sheetName val="GRN-TOT (2)"/>
      <sheetName val="OPTION-1"/>
      <sheetName val="Total ruang"/>
      <sheetName val="Tot Bhn"/>
      <sheetName val="dt Ruang"/>
      <sheetName val="dt Bhn"/>
      <sheetName val="Luas Gross1"/>
      <sheetName val="GRN-TOT"/>
      <sheetName val="RINC FIN OFFICE"/>
      <sheetName val="RINC FIN APARTMENT"/>
      <sheetName val="TOT-ME last"/>
      <sheetName val="sanitaire "/>
      <sheetName val="COV-TOT"/>
      <sheetName val="COV-1"/>
      <sheetName val="COV-2"/>
      <sheetName val="COV-3"/>
      <sheetName val="3.1 (PLUMBING)"/>
      <sheetName val="3.2 (EE)  (2)"/>
      <sheetName val="3.5 (Water Feature)"/>
      <sheetName val="13"/>
      <sheetName val="15"/>
      <sheetName val="43"/>
      <sheetName val="44"/>
      <sheetName val="67"/>
      <sheetName val="68 "/>
      <sheetName val="69"/>
      <sheetName val="88"/>
      <sheetName val="Lt.5 (-)"/>
      <sheetName val="ana harga "/>
      <sheetName val="Uraian "/>
      <sheetName val="retail mall"/>
      <sheetName val="parkir mall "/>
      <sheetName val="Data Umum"/>
      <sheetName val="Data Harga satuan pekerjaan"/>
      <sheetName val="DAFT_1"/>
      <sheetName val="DAFT_2"/>
      <sheetName val="Tot BAG_3"/>
      <sheetName val="DAFT_3.1"/>
      <sheetName val="DAFT_3.2"/>
      <sheetName val="DAFT_3.3"/>
      <sheetName val="Daf_ No_ _ 4_2"/>
      <sheetName val="RAB_upper"/>
      <sheetName val="Resume_harga"/>
      <sheetName val="AHST"/>
      <sheetName val="pelat"/>
      <sheetName val="vol_PP"/>
      <sheetName val="CW"/>
      <sheetName val="KOLOM _2_"/>
      <sheetName val="Vol_dinding"/>
      <sheetName val="Vol_Attaqwa_II"/>
      <sheetName val="BQ_THPII"/>
      <sheetName val="vol_genset"/>
      <sheetName val="Ttl_ramp"/>
      <sheetName val="2_2"/>
      <sheetName val="ANALISA GRS TENGAH"/>
      <sheetName val="SUM-PRO (4)"/>
      <sheetName val="SUM-PRO (3)"/>
      <sheetName val="SUM-PRO (2)"/>
      <sheetName val="SUM-PRO"/>
      <sheetName val="SEX (4)"/>
      <sheetName val="SEX (3)"/>
      <sheetName val="SEX (2)"/>
      <sheetName val="PRO-PH3"/>
      <sheetName val="PRO-PH2"/>
      <sheetName val="PRO"/>
      <sheetName val="lintec-sumicon"/>
      <sheetName val="SUM-PRO_(4)"/>
      <sheetName val="SUM-PRO_(3)"/>
      <sheetName val="SUM-PRO_(2)"/>
      <sheetName val="SEX_(4)"/>
      <sheetName val="SEX_(3)"/>
      <sheetName val="SEX_(2)"/>
      <sheetName val="B_-_Norelec"/>
      <sheetName val="sort2"/>
      <sheetName val="CAT_HAR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DSBDY"/>
      <sheetName val="Cash Flow bulanan"/>
      <sheetName val="NAMES"/>
      <sheetName val="RAB AR&amp;STR"/>
      <sheetName val="4-Basic Price"/>
      <sheetName val="PRD 01-7"/>
      <sheetName val="PRD 01-8"/>
      <sheetName val="PRD 01-9"/>
      <sheetName val="PRD 01-10"/>
      <sheetName val="PRD 01-11"/>
      <sheetName val="PRD 01-3"/>
      <sheetName val="PRD 01-4"/>
      <sheetName val="HM"/>
      <sheetName val="NET表"/>
      <sheetName val="BQ表"/>
      <sheetName val="Mat"/>
      <sheetName val="EE-PRO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4-Basic_Price"/>
      <sheetName val="Cover_Daf-2"/>
      <sheetName val="Fill_this_out_first___1"/>
      <sheetName val="Cash_Flow_bulanan"/>
      <sheetName val="Bill_of_Qty_MEP"/>
      <sheetName val="Daftar_Upah"/>
      <sheetName val="H_Satuan"/>
      <sheetName val="Fill this out first..."/>
      <sheetName val="Tabel Berat"/>
      <sheetName val="JKT (2)"/>
      <sheetName val="Estimate"/>
      <sheetName val="Rekap BoQ"/>
      <sheetName val="1.8(1)"/>
      <sheetName val="L-1 JPP"/>
      <sheetName val="L-13"/>
      <sheetName val="L-2"/>
      <sheetName val="L-2 (2)"/>
      <sheetName val="BD Div-2 sd 7.1(8)"/>
      <sheetName val="BD Div-7.2(1) "/>
      <sheetName val="L-3 Mobilisasi"/>
      <sheetName val="L-4 Rutin"/>
      <sheetName val="L-5 MOS"/>
      <sheetName val="L-6a,b SC&amp;AMP"/>
      <sheetName val="L-7 DMPU"/>
      <sheetName val="L-11&amp;12"/>
      <sheetName val="L-14 DLP"/>
      <sheetName val="Lamp. 1"/>
      <sheetName val="Lamp.2,3&amp;4"/>
      <sheetName val="Menu"/>
      <sheetName val="Lamp.5"/>
      <sheetName val="Lamp.6a"/>
      <sheetName val="Lamp.9-10"/>
      <sheetName val="lAMP.11-12"/>
      <sheetName val="lAMP.13"/>
      <sheetName val="lAMP.14"/>
      <sheetName val="1.8a"/>
      <sheetName val="Srt Pen"/>
      <sheetName val="L-1"/>
      <sheetName val="L-3"/>
      <sheetName val="BD Div-2 sd 7.6"/>
      <sheetName val="BD 7.9 sd Div-8"/>
      <sheetName val="L 4a,b"/>
      <sheetName val="L-5abcde"/>
      <sheetName val="L-6"/>
      <sheetName val="L-7a,b"/>
      <sheetName val="L-8"/>
      <sheetName val="L-9"/>
      <sheetName val="L-10"/>
      <sheetName val="L-11"/>
      <sheetName val="L-12"/>
      <sheetName val="L-14"/>
      <sheetName val="Harga dan Jarak"/>
      <sheetName val="rab asli jakarta (3)"/>
      <sheetName val="Data Volume"/>
      <sheetName val="ts-kurva-s"/>
      <sheetName val="ts-balok"/>
      <sheetName val="U&amp;B"/>
      <sheetName val="HSB"/>
      <sheetName val="Ag Hls &amp; Ksr"/>
      <sheetName val="DA"/>
      <sheetName val="An-Alat"/>
      <sheetName val="Daftar Simak"/>
      <sheetName val="REK HARGA"/>
      <sheetName val="semen, aspal"/>
      <sheetName val="Rek HS"/>
      <sheetName val="ARP-1"/>
      <sheetName val="RBL"/>
      <sheetName val="rab-PLPP"/>
      <sheetName val="rekap-PLPP"/>
      <sheetName val="rbl-PLPP"/>
      <sheetName val="sumber daya-PLPP"/>
      <sheetName val="Pemb"/>
      <sheetName val="L 9"/>
      <sheetName val="L 4a-b"/>
      <sheetName val="BD Div-2"/>
      <sheetName val="BD Div-3"/>
      <sheetName val="BD Div-4"/>
      <sheetName val="BD Div-5"/>
      <sheetName val="BD Div-6"/>
      <sheetName val="BD Div-7"/>
      <sheetName val="BD Div-8"/>
      <sheetName val="BD Div-10"/>
      <sheetName val="Data Proyek"/>
      <sheetName val="Alat (2)"/>
      <sheetName val="D Simak"/>
      <sheetName val="Dafis"/>
      <sheetName val="Surat Pen"/>
      <sheetName val="Schedule Kurva S"/>
      <sheetName val="DA Phn Sawit"/>
      <sheetName val="AHS Umum+Struktur"/>
      <sheetName val="Rekap HS"/>
      <sheetName val="UMBA1"/>
      <sheetName val="UMBA2"/>
      <sheetName val="UMBA3"/>
      <sheetName val="REKUMUM"/>
      <sheetName val="UMUM1"/>
      <sheetName val="UMUM2"/>
      <sheetName val="UMUM3"/>
      <sheetName val="REKMATbantu"/>
      <sheetName val="ALASM"/>
      <sheetName val="ALASe"/>
      <sheetName val="UMBA4"/>
      <sheetName val="CUTOFF2"/>
      <sheetName val="RESINDC"/>
      <sheetName val="INDC2"/>
      <sheetName val="INDC"/>
      <sheetName val="SDBP(sisa)"/>
      <sheetName val="SDBP(new) (2)"/>
      <sheetName val="SDBP(newok)"/>
      <sheetName val="LR (new)v"/>
      <sheetName val="result"/>
      <sheetName val="LR2"/>
      <sheetName val="LR(newok)"/>
      <sheetName val="BOQSISA"/>
      <sheetName val="LR (hn)"/>
      <sheetName val="LR (hn) (2)"/>
      <sheetName val="LR (hn) (3)"/>
      <sheetName val="LR (cutoff)"/>
      <sheetName val="LR (cutoff) (2)"/>
      <sheetName val="PBLAHAN"/>
      <sheetName val="CLAHAN"/>
      <sheetName val="ANHAS"/>
      <sheetName val="ANHAS (rap)"/>
      <sheetName val="ANHASnon"/>
      <sheetName val="CHECK2"/>
      <sheetName val="CHECK2 rap"/>
      <sheetName val="CHECKnew"/>
      <sheetName val="CHECKRAP"/>
      <sheetName val="CHECKnewalat"/>
      <sheetName val="ADJ"/>
      <sheetName val="RESUME (cutoff)"/>
      <sheetName val="RESUME (new)"/>
      <sheetName val="HSDALAT"/>
      <sheetName val="HSDMAT"/>
      <sheetName val="GALC"/>
      <sheetName val="BYALAT"/>
      <sheetName val="BA M"/>
      <sheetName val="ALA M"/>
      <sheetName val="BA U"/>
      <sheetName val="ALA U"/>
      <sheetName val="BA S"/>
      <sheetName val="ALA S"/>
      <sheetName val="BA T"/>
      <sheetName val="ALA T"/>
      <sheetName val="REI T"/>
      <sheetName val="BA I"/>
      <sheetName val="ALA I"/>
      <sheetName val="REI I"/>
      <sheetName val="BA R"/>
      <sheetName val="ALA R"/>
      <sheetName val="BA O"/>
      <sheetName val="ALA O"/>
      <sheetName val="RekapEE"/>
      <sheetName val="RAB2EE"/>
      <sheetName val="RekapOE"/>
      <sheetName val="RAB2OE"/>
      <sheetName val="RekapKosong"/>
      <sheetName val="RAB2Kosong"/>
      <sheetName val="RAB1"/>
      <sheetName val="AnalisaKosong"/>
      <sheetName val="HitunganUtama"/>
      <sheetName val="B.T"/>
      <sheetName val="Hit Besi Puskesmas "/>
      <sheetName val="Hit Besi Gudang"/>
      <sheetName val="01.SUMMARY"/>
      <sheetName val="02.Collect Architecture"/>
      <sheetName val="03.BoQ Architecture"/>
      <sheetName val="04.Collect Structure"/>
      <sheetName val="05.BoQ Structure "/>
      <sheetName val="06.Collect ME"/>
      <sheetName val="07.RecaP VAC"/>
      <sheetName val="08.BoQ VAC"/>
      <sheetName val="09.Recap Plumbing"/>
      <sheetName val="10.BoQ Plumbing"/>
      <sheetName val="11.Recap Fire Fighting"/>
      <sheetName val="12.BoQ Fire Fighting"/>
      <sheetName val="13.Recap Lift"/>
      <sheetName val="14.BoQ Lift"/>
      <sheetName val="15.Recap Electrical"/>
      <sheetName val="16.BoQ Electrical"/>
      <sheetName val="17.Recap Fire Alarm"/>
      <sheetName val="18.Boq Fire Alarm"/>
      <sheetName val="19.Recap Sound System"/>
      <sheetName val="20.BoQ Sound System"/>
      <sheetName val="21.Recap Phone"/>
      <sheetName val="22.BoQ Phone"/>
      <sheetName val="23.Collect Landscape"/>
      <sheetName val="24.BoQ Landscape"/>
      <sheetName val="RAB pekerjaan"/>
      <sheetName val="Upah&amp;bahan"/>
      <sheetName val="DAf peralatan"/>
      <sheetName val="Back Hoe"/>
      <sheetName val="Dozer"/>
      <sheetName val="Roller"/>
      <sheetName val="Truck"/>
      <sheetName val="sigli (3)"/>
      <sheetName val="Stiker"/>
      <sheetName val="personil1"/>
      <sheetName val="personil2"/>
      <sheetName val="Anls teknis"/>
      <sheetName val="REKAP BILL"/>
      <sheetName val="BIIL"/>
      <sheetName val="FORM 8 (Jl)"/>
      <sheetName val="FORM 8 (Gdg)"/>
      <sheetName val="FORM 7 (Irg)"/>
      <sheetName val="FORM 7"/>
      <sheetName val="FORM 3"/>
      <sheetName val="An. Quarry"/>
      <sheetName val="DKP"/>
      <sheetName val="L-1 DKYD"/>
      <sheetName val="L-2 DMPU"/>
      <sheetName val="L-3 DHSD"/>
      <sheetName val="L-4 AHSMPU&amp;L"/>
      <sheetName val="Analisa Teknis"/>
      <sheetName val="BD 2.1 - 7.1(8)"/>
      <sheetName val="BD Div-7.3(1) - 10.1(3) "/>
      <sheetName val="L-5a,b Mobilisasi"/>
      <sheetName val="L-6abcde"/>
      <sheetName val="L-7 MOS"/>
      <sheetName val="L-8 JPP"/>
      <sheetName val="L-9,10,11 SC&amp;AMP"/>
      <sheetName val="L-12 MP"/>
      <sheetName val="L-2b,c"/>
      <sheetName val="L-2a"/>
      <sheetName val="L-3a,4"/>
      <sheetName val="L-4a,b"/>
      <sheetName val="L-7"/>
      <sheetName val="Sampah"/>
      <sheetName val="TP"/>
      <sheetName val="JP"/>
      <sheetName val="DAFSON"/>
      <sheetName val="DataProyek"/>
      <sheetName val="SPen"/>
      <sheetName val="JPP-Draft"/>
      <sheetName val="L-1JPP"/>
      <sheetName val="L-13JA"/>
      <sheetName val="L-2 AHSMPU"/>
      <sheetName val="BD MPU"/>
      <sheetName val="L-2a AHSMPL"/>
      <sheetName val="BD L"/>
      <sheetName val="L-4RUTIN"/>
      <sheetName val="L-5MOS"/>
      <sheetName val="L-6ab SC&amp;AMP"/>
      <sheetName val="L-9Alat"/>
      <sheetName val="L-10Person"/>
      <sheetName val="L-11SUB"/>
      <sheetName val="L-14DLP"/>
      <sheetName val="Undangan"/>
      <sheetName val="Eq-An"/>
      <sheetName val="CHANEL"/>
      <sheetName val="CB-Ag"/>
      <sheetName val="CB"/>
      <sheetName val="App t B-Annex1"/>
      <sheetName val="App t B-Annex2"/>
      <sheetName val="App t B-Annex3"/>
      <sheetName val="LoB"/>
      <sheetName val="Const Sche"/>
      <sheetName val="Mob Sche"/>
      <sheetName val="UPA 1-2.03"/>
      <sheetName val="UPA 2.04"/>
      <sheetName val="UPA 3.01-3.10"/>
      <sheetName val="UPA 4.01"/>
      <sheetName val="DA 1 sd 2.03"/>
      <sheetName val="DA 2.04-"/>
      <sheetName val="DA 3.01-"/>
      <sheetName val="Kover"/>
      <sheetName val="Koef"/>
      <sheetName val="Rangka"/>
      <sheetName val="Daf.Harga Sat."/>
      <sheetName val="Hardas"/>
      <sheetName val="Resume (2)"/>
      <sheetName val="PrelimStruktur"/>
      <sheetName val="H. Prelimstruktur"/>
      <sheetName val="H.Struktur"/>
      <sheetName val="PrelimFinishing"/>
      <sheetName val="H. PrelimFinishing"/>
      <sheetName val="H.Finishing"/>
      <sheetName val="Door"/>
      <sheetName val="Plafond"/>
      <sheetName val="Luasanlantai"/>
      <sheetName val="LuasanDinding"/>
      <sheetName val="VolBeton"/>
      <sheetName val="LuasBegisting"/>
      <sheetName val="Pembesian"/>
      <sheetName val="NEG02"/>
      <sheetName val="uraian kuantitas"/>
      <sheetName val="Jadual dok"/>
      <sheetName val="Analisa Mob"/>
      <sheetName val="Analisa Harsat"/>
      <sheetName val="DMP-Utama"/>
      <sheetName val="Check List"/>
      <sheetName val="Anl-Mob"/>
      <sheetName val="Analisa Sat"/>
      <sheetName val="On Site"/>
      <sheetName val="Susunan"/>
      <sheetName val="Instruksi"/>
      <sheetName val="Skedul"/>
      <sheetName val="Sub-Kontrak"/>
      <sheetName val="Bahan LN"/>
      <sheetName val="S-Penawaran (2)"/>
      <sheetName val="Skedul "/>
      <sheetName val="DMPU"/>
      <sheetName val="Met Ag A B"/>
      <sheetName val="met Besi dan bajaPas Sal"/>
      <sheetName val="Sekat"/>
      <sheetName val="Harga Satuan "/>
      <sheetName val="dt  personalia"/>
      <sheetName val="S-Penawaran"/>
      <sheetName val="cv jam"/>
      <sheetName val="2. cv srtpen (2)"/>
      <sheetName val="dafkuan"/>
      <sheetName val="Jadpel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ALAT"/>
      <sheetName val="dafper"/>
      <sheetName val="dafusul"/>
      <sheetName val="Plant"/>
      <sheetName val="2. cv srtpen"/>
      <sheetName val="2. cv srtpen (3)"/>
      <sheetName val="Analisa Mobilisasi (3)"/>
      <sheetName val="Cover "/>
      <sheetName val="Analisa Mobilisasi"/>
      <sheetName val="Analisa Mobilisasi (2)"/>
      <sheetName val="Analisa Harga MPU"/>
      <sheetName val="Kamus"/>
      <sheetName val="Rekap Progres"/>
      <sheetName val="Kontrak"/>
      <sheetName val="DATA KEUANGAN"/>
      <sheetName val="Rekap Costplan"/>
      <sheetName val="Statement Bahan"/>
      <sheetName val="Statement Subkon"/>
      <sheetName val="STO"/>
      <sheetName val="Data Pesonil Inti"/>
      <sheetName val="Surat Pernyataan"/>
      <sheetName val="Data_Data"/>
      <sheetName val="sLABcad"/>
      <sheetName val="SHEAR Wall "/>
      <sheetName val="CORE Wall"/>
      <sheetName val="result of Slab"/>
      <sheetName val="Result 4 all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Eva-bahan"/>
      <sheetName val="Progress "/>
      <sheetName val="cek sisa bahan"/>
      <sheetName val="Mntr BMP"/>
      <sheetName val="BoQ Merak"/>
      <sheetName val="UPAH _ ALAT"/>
      <sheetName val="B_Alat"/>
      <sheetName val="A_ars"/>
      <sheetName val="1-8"/>
      <sheetName val="rek1-8"/>
      <sheetName val="B-ARS"/>
      <sheetName val="U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RAB GABUNGAN"/>
      <sheetName val="Nota Dinas"/>
      <sheetName val="RAB PRASAR CLUSTER"/>
      <sheetName val="BOQJALAN MASUK ALT. 1 "/>
      <sheetName val="RAB JALAN MASUK ALT. 1"/>
      <sheetName val="RAB JALAN MASUK"/>
      <sheetName val="RUMAH"/>
      <sheetName val="RAB PAKET"/>
      <sheetName val="RAB CLUSTER 1"/>
      <sheetName val="BOQ CLUSTER 1 (2)"/>
      <sheetName val="RAB TERUSAN JLN MASUK"/>
      <sheetName val="BOQ TERUSAN JLN MASUK "/>
      <sheetName val="RAB MUTSANG (PRAS+RMH)"/>
      <sheetName val="RAB LISTRIK"/>
      <sheetName val="BOQ LISTRIK"/>
      <sheetName val="VOLUME URUGAN"/>
      <sheetName val="RUMAH DESIGN BARU KSN ALUM"/>
      <sheetName val="RUMAH DESIGN BARU KSN ALUM REDE"/>
      <sheetName val="RUMAH DESIGN BARU KSN KAMP+MRT"/>
      <sheetName val="RUMAH DESIGN BARU KSN KAMP+REDE"/>
      <sheetName val="RUMAH MUTSANG"/>
      <sheetName val="BOQ GERBANG CLUSTER "/>
      <sheetName val="LANDSCAPING"/>
      <sheetName val="GERBANG CLUSTER"/>
      <sheetName val="KDA"/>
      <sheetName val="Cut &amp; Fill"/>
      <sheetName val="HITUNG BKST"/>
      <sheetName val="HITUNG TLG"/>
      <sheetName val="BQ T 8x15"/>
      <sheetName val="DUCTINGÃ"/>
      <sheetName val="DUCTING_x0010_"/>
      <sheetName val="Final Summary"/>
      <sheetName val="Bill-1 Preliminary"/>
      <sheetName val="Bill-2-Spun Piling"/>
      <sheetName val="Bill-3 Add Deduct"/>
      <sheetName val="7122001 BOQ-Nutrifood-Piling Pa"/>
      <sheetName val="Elec_ins"/>
      <sheetName val="Equ_2-25"/>
      <sheetName val="Pipe_2-25"/>
      <sheetName val="Equ_2-22"/>
      <sheetName val="Pipe_2-22"/>
      <sheetName val="Equ_2-2"/>
      <sheetName val="Pipe_2-2"/>
      <sheetName val="NET?"/>
      <sheetName val="BQ?"/>
      <sheetName val="???1"/>
      <sheetName val="Currency_Rate"/>
      <sheetName val="GD_14"/>
      <sheetName val="HRG_BHN"/>
      <sheetName val="Analisa_&amp;_Upah"/>
      <sheetName val="An_Struktur"/>
      <sheetName val="An_Arsitektur"/>
      <sheetName val="TONG_HOP_VL-NC"/>
      <sheetName val="TONGKE3p_"/>
      <sheetName val="TH_VL,_NC,_DDHT_Thanhphuoc"/>
      <sheetName val="DON_GIA"/>
      <sheetName val="dia_pipe"/>
      <sheetName val="D_&amp;_W_sizes"/>
      <sheetName val="Unit_Rate_(2)"/>
      <sheetName val="Bill_of_Qty_MEP1"/>
      <sheetName val="Analisa_Upah_&amp;_Bahan_Plum"/>
      <sheetName val="Rekap_Direct_Cost"/>
      <sheetName val="Analisa_HS"/>
      <sheetName val="CHITIET_VL-NC"/>
      <sheetName val="z_ft"/>
      <sheetName val="概総括1"/>
      <sheetName val="Equ_2-21"/>
      <sheetName val="Pipe_2-21"/>
      <sheetName val="Currency_Rate1"/>
      <sheetName val="Calender"/>
      <sheetName val="Input_Data"/>
      <sheetName val="Exterior"/>
      <sheetName val="BEX"/>
      <sheetName val="Summaries"/>
      <sheetName val="Continous_Skala"/>
      <sheetName val="_"/>
      <sheetName val="CURVA_tYPE"/>
      <sheetName val="Summary_Info"/>
      <sheetName val="Title_Perusahaan"/>
      <sheetName val="Apart"/>
      <sheetName val="Podium"/>
      <sheetName val="Equ_2-24"/>
      <sheetName val="Pipe_2-24"/>
      <sheetName val="Equ_2-23"/>
      <sheetName val="Pipe_2-23"/>
      <sheetName val="Equ_2-27"/>
      <sheetName val="Pipe_2-27"/>
      <sheetName val="Equ_2-26"/>
      <sheetName val="Pipe_2-26"/>
      <sheetName val="Equ_2-28"/>
      <sheetName val="Pipe_2-28"/>
      <sheetName val="Equ_2-210"/>
      <sheetName val="Pipe_2-210"/>
      <sheetName val="Equ_2-29"/>
      <sheetName val="Pipe_2-29"/>
      <sheetName val="NET_"/>
      <sheetName val="BQ_"/>
      <sheetName val="___1"/>
      <sheetName val="Write off ME Jul-07"/>
      <sheetName val="Report Inspection Januari  08"/>
      <sheetName val="INSPEKSI jan 2008 "/>
      <sheetName val="G_SUMMARY"/>
      <sheetName val="daftar harsat"/>
      <sheetName val="daf_3_OK_"/>
      <sheetName val="daf-3(OK)"/>
      <sheetName val="daf_7_OK_"/>
      <sheetName val="daf-7(OK)"/>
      <sheetName val="TE TS FA LAN MATV"/>
      <sheetName val="Break_down"/>
      <sheetName val="Bag_9"/>
      <sheetName val="ES-PARK"/>
      <sheetName val="ES_PARK"/>
      <sheetName val="Std-Spek EL"/>
      <sheetName val="Analisa Gabungan"/>
      <sheetName val="anal_hs"/>
      <sheetName val="DUCT"/>
      <sheetName val="GRAND_TOTAL"/>
      <sheetName val="[BQ-PS&amp;A_xlsÝCAT_HRG"/>
      <sheetName val="Week_(2)"/>
      <sheetName val="DAFTAR_7"/>
      <sheetName val="data_grafik"/>
      <sheetName val="Cover_Daf_2"/>
      <sheetName val="_BQ-PS&amp;A_xlsÝCAT_HRG"/>
      <sheetName val="DAFTAR_HARGA"/>
      <sheetName val="LAMP_AB_"/>
      <sheetName val="04.GS"/>
      <sheetName val="BOQ KSN"/>
      <sheetName val="K"/>
      <sheetName val="NK-BP"/>
      <sheetName val="Payment Status"/>
      <sheetName val="Rev &amp; CI"/>
      <sheetName val="PPC"/>
      <sheetName val="REKAP_Akap"/>
      <sheetName val="Bill No 6 Koord &amp; Attendance"/>
      <sheetName val="Analis_Tanah"/>
      <sheetName val="合成単価作成表-BLDG"/>
      <sheetName val="合成単価作成表_BLDG"/>
      <sheetName val="eqp-rek"/>
      <sheetName val="D2.8"/>
      <sheetName val="sched"/>
      <sheetName val="TOTAL "/>
      <sheetName val="Panel,feeder,elek"/>
      <sheetName val="REKAP GROSS"/>
      <sheetName val="PREM"/>
      <sheetName val="CAT HRG"/>
      <sheetName val="PKK"/>
      <sheetName val="ANA-HRG"/>
      <sheetName val="Hrg.Sat"/>
      <sheetName val="GRAND_TOTAL1"/>
      <sheetName val="[BQ-PS&amp;A_xlsÝCAT_HRG1"/>
      <sheetName val="Week_(2)1"/>
      <sheetName val="DAFTAR_71"/>
      <sheetName val="_BQ-PS&amp;A_xlsÝCAT_HRG1"/>
      <sheetName val="data_grafik1"/>
      <sheetName val="HRG_BHN1"/>
      <sheetName val="Cover_Daf_21"/>
      <sheetName val="PMK"/>
      <sheetName val="LAMP-A"/>
      <sheetName val="Ahs. Pipa-Valve"/>
      <sheetName val="Ahs.Peralatan"/>
      <sheetName val="LAL _ PASAR PAGI "/>
      <sheetName val="BQ-1A prelim"/>
      <sheetName val="AHS_Kusen"/>
      <sheetName val="harsat&amp;upah"/>
      <sheetName val="BQ-PS&amp;A"/>
      <sheetName val="upah_borong"/>
      <sheetName val="satuan_pek"/>
      <sheetName val="Analisa  (2)"/>
      <sheetName val="AC-C"/>
      <sheetName val="BQ ARS"/>
      <sheetName val="6-MVAC"/>
      <sheetName val="[BQ-PS&amp;A.xls�CAT_HRG"/>
      <sheetName val="_BQ-PS&amp;A.xls�CAT_HRG"/>
      <sheetName val="[BQ-PS&amp;A_xls�CAT_HRG"/>
      <sheetName val="_BQ-PS&amp;A_xls�CAT_HRG"/>
      <sheetName val="Bill_2"/>
      <sheetName val="SUB LAIN2"/>
      <sheetName val="SUB ME"/>
      <sheetName val="SUB KUSE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ga Bahan &amp; Upah "/>
      <sheetName val="analisa struktur"/>
      <sheetName val="TNH, PAGAR &amp; TURAP"/>
      <sheetName val="_AnaBah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IABK"/>
      <sheetName val="BQ_IABK"/>
      <sheetName val="COV_3"/>
      <sheetName val="VLOOK"/>
      <sheetName val="Price"/>
      <sheetName val="A_2"/>
      <sheetName val="Level"/>
      <sheetName val="Bill rekap"/>
      <sheetName val="Daftar Harga Material"/>
      <sheetName val="???????-BLDG"/>
      <sheetName val="Art"/>
      <sheetName val="AA_Eng"/>
      <sheetName val="U_rate"/>
      <sheetName val="CPAoC"/>
      <sheetName val="Daf Alat"/>
      <sheetName val="Jdw Alat"/>
      <sheetName val="S Penawar"/>
      <sheetName val="O"/>
      <sheetName val="L_TIGA"/>
      <sheetName val="L-TIGA"/>
      <sheetName val="A2"/>
      <sheetName val="ANALISA VALVE"/>
      <sheetName val="_______-BLDG"/>
      <sheetName val="Outline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???????_BLDG"/>
      <sheetName val="[BQ-PS&amp;A.xls?CAT_HRG"/>
      <sheetName val="_BQ-PS&amp;A.xls?CAT_HRG"/>
      <sheetName val="[BQ-PS&amp;A_xls?CAT_HRG"/>
      <sheetName val="_BQ-PS&amp;A_xls?CAT_HRG"/>
      <sheetName val="rab me (by owner) "/>
      <sheetName val="BQ (by owner)"/>
      <sheetName val="rab me (fisik)"/>
      <sheetName val="BTL-Persiapan"/>
      <sheetName val="BTL-Bau"/>
      <sheetName val="BTL-alat"/>
      <sheetName val="________BLDG"/>
      <sheetName val="_BQ-PS&amp;A.xls_CAT_HRG"/>
      <sheetName val="_BQ-PS&amp;A_xls_CAT_HRG"/>
      <sheetName val="Harga "/>
      <sheetName val="총괄표"/>
      <sheetName val="Bangunan Utama"/>
      <sheetName val="refrig 12"/>
      <sheetName val="Ducting12"/>
      <sheetName val="Rekap MEP"/>
      <sheetName val="D.2.1.Peralatan Utama "/>
      <sheetName val="REKAPELEKTR"/>
      <sheetName val="Elek 2"/>
      <sheetName val="Elektro"/>
      <sheetName val="Rek-Utilitas"/>
      <sheetName val="Utilitas"/>
      <sheetName val="R-G.JAGA"/>
      <sheetName val="G-Jaga"/>
      <sheetName val="HrgSTN "/>
      <sheetName val="S-luar"/>
      <sheetName val="PVC"/>
      <sheetName val="GIP MEI 06"/>
      <sheetName val="Bill gardu jaga"/>
      <sheetName val="CORAT"/>
      <sheetName val="Analisa Instalasi Elek"/>
      <sheetName val="BQ_E20_02_Rp_"/>
      <sheetName val="Cover-Bab.1"/>
      <sheetName val="BQ dwall"/>
      <sheetName val="Lt semi basement"/>
      <sheetName val="aturan hitung"/>
      <sheetName val="Manual"/>
      <sheetName val="Type Balok"/>
      <sheetName val="Blk-Mnl"/>
      <sheetName val="Type Kolom"/>
      <sheetName val="Klm-Mnl"/>
      <sheetName val="Kolom Bulat"/>
      <sheetName val="CoreWall"/>
      <sheetName val="Corewall_To_KondoA"/>
      <sheetName val="CoreWall_To_KondoB"/>
      <sheetName val="Built_Up_Slab"/>
      <sheetName val="Parapet"/>
      <sheetName val="Luasan"/>
      <sheetName val="Besi-Mnl"/>
      <sheetName val="Pelat_Tangga"/>
      <sheetName val="Klm-Mnl_Tangga"/>
      <sheetName val="Blk-Mnl_Tangga"/>
      <sheetName val="Pertanyaan&amp;Asumsi"/>
      <sheetName val="Analisa ME "/>
      <sheetName val="target real cost"/>
      <sheetName val="Pelat_RINA"/>
      <sheetName val="Tangga "/>
      <sheetName val="Database Vertikal 2"/>
      <sheetName val="Database Vertikal"/>
      <sheetName val="Database Balok "/>
      <sheetName val="PROGRESS"/>
      <sheetName val="R. WALL"/>
      <sheetName val="DINDING KOLAM"/>
      <sheetName val="drop panel"/>
      <sheetName val="SLAB GWT"/>
      <sheetName val="Balok RAMP"/>
      <sheetName val="PLAT RAMP"/>
      <sheetName val="SUMP PIT"/>
      <sheetName val="DIDNDING KOLAM"/>
      <sheetName val="ADD KOLOM TW.B"/>
      <sheetName val="ADD BALOK TW.B"/>
      <sheetName val="ADD SLAB TW.B"/>
      <sheetName val="ADD PLENTER BOX TW.B"/>
      <sheetName val="ADD BALOK SPARATOR TW.B (2)"/>
      <sheetName val="ADD SHEER WALL MEZZANIN B"/>
      <sheetName val="add tangga MEZZANIN B"/>
      <sheetName val="add work B"/>
      <sheetName val="Rekap B (2)"/>
      <sheetName val="Rekap C (2)"/>
      <sheetName val="add work C"/>
      <sheetName val="ADD KOLOM TW.C"/>
      <sheetName val="ADD BALOK TW.C"/>
      <sheetName val="ADD SLAB TW.C"/>
      <sheetName val="ADD PLENTER BOX TW.C"/>
      <sheetName val="ADD BEAM SPARATOR"/>
      <sheetName val=" ADD SHEER WALL MEZZANIN C"/>
      <sheetName val="add tangga MEZZANIN C"/>
      <sheetName val="BLOCK OUT B"/>
      <sheetName val="BLOCK OUT C "/>
      <sheetName val="RAB "/>
      <sheetName val="ANALISA VOL"/>
      <sheetName val="REKAP HARGA SATUAN "/>
      <sheetName val="HRG SAT. UPAH"/>
      <sheetName val="HRG SAT. MATERIAL"/>
      <sheetName val="EE (2)"/>
      <sheetName val="agregat"/>
      <sheetName val="Div_1"/>
      <sheetName val="div7+"/>
      <sheetName val="CF_12"/>
      <sheetName val="C_12"/>
      <sheetName val="CF_24"/>
      <sheetName val="C_24"/>
      <sheetName val="CF_32"/>
      <sheetName val="C_32"/>
      <sheetName val="Calculation"/>
      <sheetName val="Q-1 columns"/>
      <sheetName val="WER)"/>
      <sheetName val="rekapitulasi(old)"/>
      <sheetName val="rekapitulasi(old2)"/>
      <sheetName val="CBS-100(GN)"/>
      <sheetName val="CBS-300(SP)"/>
      <sheetName val="CBS-400(TM)"/>
      <sheetName val="CBS-500(FI)"/>
      <sheetName val="CBS-600(WH)"/>
      <sheetName val="Instrumentation"/>
      <sheetName val="Other owner Cost"/>
      <sheetName val="WBS Code"/>
      <sheetName val="Prw Unit Rate"/>
      <sheetName val="civ"/>
      <sheetName val="CoverPage"/>
      <sheetName val="Deleted"/>
      <sheetName val="MAIN BQ"/>
      <sheetName val="BQ-10 MECH 10-11-2000"/>
      <sheetName val="Balok Slab"/>
      <sheetName val="bridge"/>
      <sheetName val="hallway"/>
      <sheetName val="FM-059"/>
      <sheetName val="mpp"/>
      <sheetName val="indir"/>
      <sheetName val="cvlRKYS"/>
      <sheetName val="Bare Summary"/>
      <sheetName val="AN_KSN"/>
      <sheetName val="Conn. Lib"/>
      <sheetName val="LOADING2"/>
      <sheetName val="GSMTOWER"/>
      <sheetName val="DATA HARGA"/>
      <sheetName val="BQ STP 35 M3 A&amp;B"/>
      <sheetName val="DETAIL RAP"/>
      <sheetName val="Week9-Feb    "/>
      <sheetName val="I-ME"/>
      <sheetName val="Steel-Twr"/>
      <sheetName val="MASTER R1"/>
      <sheetName val="Kantor"/>
      <sheetName val="SITE-E"/>
      <sheetName val="dia-in"/>
      <sheetName val="Matrl"/>
      <sheetName val="Anls-B1"/>
      <sheetName val="Anls-Um"/>
      <sheetName val="S-Material"/>
      <sheetName val="P. Tenaga"/>
      <sheetName val="METODE KERJA"/>
      <sheetName val="Anls_Um"/>
      <sheetName val="BRKDWN-Q'TY"/>
      <sheetName val="YTD'97 Sales"/>
      <sheetName val="Week31-August"/>
      <sheetName val="Hrg_Sat"/>
      <sheetName val="YTD'97_Sales"/>
      <sheetName val="Week9-Feb____"/>
      <sheetName val="Dinding partisi"/>
      <sheetName val="Penjumlahan partisi"/>
      <sheetName val="PLINT"/>
      <sheetName val="Penjumlahan PLINT"/>
      <sheetName val="BOX ROLLING DOOR"/>
      <sheetName val="Penjumlahan BOX ROLLING"/>
      <sheetName val="Penjumlahan Plafond"/>
      <sheetName val="wire mesh ok"/>
      <sheetName val="Penjumlahan wire mesh"/>
      <sheetName val="drop ceiling"/>
      <sheetName val="Penjumlahan Drop Ceiling"/>
      <sheetName val="tmbh krg"/>
      <sheetName val="prov sums"/>
      <sheetName val="hargasatuan"/>
      <sheetName val="Beban Box culvert"/>
      <sheetName val="Pembesian Box culvert"/>
      <sheetName val="Tabel Waterpass"/>
      <sheetName val="Tabel Situasi"/>
      <sheetName val="XL4Test5"/>
      <sheetName val="ANALISA MOB."/>
      <sheetName val="PEMEL &amp; PENGATRAN LALIN"/>
      <sheetName val="Harga Sat."/>
      <sheetName val="Plant Pecah Batu"/>
      <sheetName val="PLAN CAMP. ASPAL"/>
      <sheetName val="Mata Pemby. Utama"/>
      <sheetName val="Urugan Pilihan"/>
      <sheetName val="Penyiapan BDN Jln"/>
      <sheetName val="Lap. agregat B Bh Jl"/>
      <sheetName val="Pond. agregat A"/>
      <sheetName val="Pond. agregat B"/>
      <sheetName val="PRIME COAT"/>
      <sheetName val="Tack Coat"/>
      <sheetName val="AC BASE COURSE"/>
      <sheetName val="AC BC LEVL"/>
      <sheetName val="AC BC antara"/>
      <sheetName val="AC WC"/>
      <sheetName val="KERB"/>
      <sheetName val="PB-Adukan"/>
      <sheetName val="Patok Pengarah"/>
      <sheetName val="Tebang Pohon &amp; Pav."/>
      <sheetName val="Beton 175"/>
      <sheetName val="Beton 125"/>
      <sheetName val="MARKA JALAN"/>
      <sheetName val="B-Tulangan 24"/>
      <sheetName val="Rambu 2"/>
      <sheetName val="Rambu"/>
      <sheetName val="Jad. Alat"/>
      <sheetName val="Jad. Bahn"/>
      <sheetName val="Harga Sat. (2)"/>
      <sheetName val="HURUF"/>
      <sheetName val="HURUF (j.baru)"/>
      <sheetName val="HURUF (j.lama)"/>
      <sheetName val="HURUF (saluran)"/>
      <sheetName val="SCHEDULE "/>
      <sheetName val="Rek. PIER TOTAL Pakai"/>
      <sheetName val="Rek. Jalan Baru"/>
      <sheetName val="Rek. Jalan Lama"/>
      <sheetName val="Rek. Sal Kawasan"/>
      <sheetName val="Rinc. Jalan Baru"/>
      <sheetName val="Rinc. Jalan Lama"/>
      <sheetName val="Rinc. Sal Kawasan"/>
      <sheetName val="analisa hargaSNI"/>
      <sheetName val="ALAT "/>
      <sheetName val="An. Harga alat"/>
      <sheetName val="Analis LS"/>
      <sheetName val="Jad Alat"/>
      <sheetName val="Jad Bahan"/>
      <sheetName val="Jad Tenaga"/>
      <sheetName val="Flowchart"/>
      <sheetName val="Spek Teknis"/>
      <sheetName val="SPEk Bahan"/>
      <sheetName val="RMK"/>
      <sheetName val="FC-ITEM"/>
      <sheetName val="Kandungan Lokal"/>
      <sheetName val="Anal Kegiatan"/>
      <sheetName val="Daf. Peralatan"/>
      <sheetName val="Methoda Pelk."/>
      <sheetName val="SPEk Tek (2)"/>
      <sheetName val="Pembershn&amp;Pembgkr"/>
      <sheetName val="Gal-padasberbatu"/>
      <sheetName val="Pemdtan-Urugan"/>
      <sheetName val="P.Badan Jl"/>
      <sheetName val="K-275"/>
      <sheetName val="Beton K 175"/>
      <sheetName val="B-Tulangan"/>
      <sheetName val="Patok Damija"/>
      <sheetName val="REL-PENGAMAN"/>
      <sheetName val="Tebang Pohon"/>
      <sheetName val="SCHEDULE (2)"/>
      <sheetName val="pecahbatu"/>
      <sheetName val="campuraspal"/>
      <sheetName val="Lamp. 2b Pengg. alat"/>
      <sheetName val="Surat Penawaran"/>
      <sheetName val="CEKLIST"/>
      <sheetName val="DAFT-K&amp;H"/>
      <sheetName val="ALS-TKNIK"/>
      <sheetName val="DAF-ANALISA"/>
      <sheetName val="ANA-PAKAI"/>
      <sheetName val="METODE PEL (2)"/>
      <sheetName val="BAGAN ALIR POKOK"/>
      <sheetName val="bagan alir2"/>
      <sheetName val="Butuh Alat"/>
      <sheetName val="ANALISA PERALATAN"/>
      <sheetName val="metode (3)"/>
      <sheetName val="FC-POKOK (2)"/>
      <sheetName val="Air-1"/>
      <sheetName val="Air-2"/>
      <sheetName val="RAB-PPA"/>
      <sheetName val="ALS-PPA"/>
      <sheetName val="Huruf (2)"/>
      <sheetName val="Lamp Penawaran"/>
      <sheetName val="Alat untuk proyek"/>
      <sheetName val="BQ1"/>
      <sheetName val="Metode pakai"/>
      <sheetName val="Alat pakai"/>
      <sheetName val="matapembayaranutama"/>
      <sheetName val="Kerjaan Sub Kon"/>
      <sheetName val="URUT"/>
      <sheetName val="Data Kontrak"/>
      <sheetName val="TIMBUNAN"/>
      <sheetName val="GALIAN"/>
      <sheetName val="Huruf (3)"/>
      <sheetName val="hsp"/>
      <sheetName val="INDEK ALAT"/>
      <sheetName val="s. penawaran"/>
      <sheetName val="Daft K&amp;H"/>
      <sheetName val="Anls Lumpsump"/>
      <sheetName val="Spek Tek Alat"/>
      <sheetName val="Skedul versi 24mg"/>
      <sheetName val="S3B11R"/>
      <sheetName val="XLR_NoRangeSheet"/>
      <sheetName val="Rek."/>
      <sheetName val="Time "/>
      <sheetName val="B.Dsr"/>
      <sheetName val="An.Q"/>
      <sheetName val="U,B"/>
      <sheetName val="R.ALT"/>
      <sheetName val="AnalisaJEMBATAN"/>
      <sheetName val="RAB.JMB"/>
      <sheetName val="7"/>
      <sheetName val="7(a)"/>
      <sheetName val="11"/>
      <sheetName val="Rek Sukma "/>
      <sheetName val="RAB Sukma "/>
      <sheetName val="Rek SD"/>
      <sheetName val="RAB SD"/>
      <sheetName val="Rek Persip"/>
      <sheetName val="RAB Persip"/>
      <sheetName val="10"/>
      <sheetName val="Rek Persib"/>
      <sheetName val="RAB Persib"/>
      <sheetName val="8"/>
      <sheetName val="JMB"/>
      <sheetName val="ANALIS BOW2"/>
      <sheetName val="9"/>
      <sheetName val="Rek. (2)"/>
      <sheetName val="RAB (2)"/>
      <sheetName val="Nego"/>
      <sheetName val="Schdul"/>
      <sheetName val="paket K3 "/>
      <sheetName val="EV_Qlfk_K"/>
      <sheetName val="EV_SPR_CK"/>
      <sheetName val="D3"/>
      <sheetName val="D4 KAYU"/>
      <sheetName val="D5"/>
      <sheetName val="D6 BETON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on-site"/>
      <sheetName val="hrg-stn-dsr"/>
      <sheetName val="Mtd-SET"/>
      <sheetName val="KUANT"/>
      <sheetName val="twr"/>
      <sheetName val="an land"/>
      <sheetName val="an lev"/>
      <sheetName val="an ush tani"/>
      <sheetName val="terb"/>
      <sheetName val="LAP.BLN 4 REF"/>
      <sheetName val="lap-bulan"/>
      <sheetName val="Lap-Minggu"/>
      <sheetName val="SHEDULLE JULI"/>
      <sheetName val="SHEDULLE AGT"/>
      <sheetName val="LAP.BLN 1"/>
      <sheetName val="LAP.BLN 2"/>
      <sheetName val="LAP.BLN  3"/>
      <sheetName val="LAP.BLN  4"/>
      <sheetName val="LAP.BLN CCO F1"/>
      <sheetName val="LAP.MINGGUAN1"/>
      <sheetName val="LAP.MINGGUAN2"/>
      <sheetName val="LAP.MINGGUAN3"/>
      <sheetName val="LAP.MINGGUAN4"/>
      <sheetName val="LAP.MINGGUAN5"/>
      <sheetName val="LAP.MINGGUAN6"/>
      <sheetName val="LAP.MINGGUAN 7"/>
      <sheetName val="LAP.MINGGUAN 8"/>
      <sheetName val="LAP.MINGGUAN 9"/>
      <sheetName val="LAP.MINGGUAN  10"/>
      <sheetName val="LAP.MINGGUAN  11"/>
      <sheetName val="LAP.MINGGUAN  12"/>
      <sheetName val="LAP.MINGGUAN  13"/>
      <sheetName val="LAP.MINGGUAN  14"/>
      <sheetName val="LAP.MINGGUAN  15"/>
      <sheetName val="A1"/>
      <sheetName val="LAP.TEMBAKAN"/>
      <sheetName val="Data Debitur"/>
      <sheetName val="SKK"/>
      <sheetName val="Cessie"/>
      <sheetName val="SKJ Bergerak"/>
      <sheetName val="FEO"/>
      <sheetName val="Perjanjian Kredit"/>
      <sheetName val="SPPK"/>
      <sheetName val="Lampiran FEO"/>
      <sheetName val="Syarat-syarat"/>
      <sheetName val="Bukti "/>
      <sheetName val="Jadwal Angsuran"/>
      <sheetName val="Terbilang 1"/>
      <sheetName val="Terbilang 2"/>
      <sheetName val="Terbilang 3"/>
      <sheetName val="Terbilang 4"/>
      <sheetName val="Terbilang 5"/>
      <sheetName val="Terbilang 6"/>
      <sheetName val="Terbilang 7"/>
      <sheetName val="Kartu"/>
      <sheetName val="Bukti"/>
      <sheetName val="SKJ Tetap"/>
      <sheetName val="Kosong"/>
      <sheetName val="BACK UP"/>
      <sheetName val="PEMBESIAN BALOK ANAK!"/>
      <sheetName val="PEMBESIAN BALOK INDUK!"/>
      <sheetName val="1. BETON POOR DAN PEDESTAL!"/>
      <sheetName val="1. BEKISTING POER&amp;PEDESTAL! "/>
      <sheetName val="2. GLIN POOR PLAT ENTRANCE! "/>
      <sheetName val="2. URUGAN ENTRANCE! "/>
      <sheetName val="2. BTN POOR&amp; PEDESTAL ENTRA "/>
      <sheetName val="2.PEMBESIAN PEDESTALENTRANCE!"/>
      <sheetName val="2. BEKISTING POER&amp;PDSTAL ENtran"/>
      <sheetName val="2.PSR URUG BWH PONDASI POER!"/>
      <sheetName val="2.LANTAI KERJA!"/>
      <sheetName val="3. URUGAN  PONDASI BT. GUNUNG!"/>
      <sheetName val="4. URUGAN TANAH BAWAH LANTAI"/>
      <sheetName val="4.URUGAN TANAH BWH LANTAI!"/>
      <sheetName val="5.BETON SLOOF K175!"/>
      <sheetName val="5.PEMBESIAN SLOOF!"/>
      <sheetName val="5.BEKISTING SLOOF!"/>
      <sheetName val="5.BEKISTING SLOOF 100 %"/>
      <sheetName val="B.1BETON KOLOM!"/>
      <sheetName val="B.1PEMB. KOLOM"/>
      <sheetName val="B.1.BEKISTING KOLOM!"/>
      <sheetName val="B.1BETON KOLOM ENTRANCE"/>
      <sheetName val="B.2.PEMBESIAN KOLOM ENTRANCE!"/>
      <sheetName val="B.2.BEKISTING KOLOM ENTRANC (2)"/>
      <sheetName val="B.3.BEKISTING BALOK INDUK!"/>
      <sheetName val="BEKISTING BALOK ANAK!"/>
      <sheetName val="Pasangan Batu Gunung Showrom"/>
      <sheetName val="Urugan Kembali Pas. Bt Gunung"/>
      <sheetName val="Pas. Bt. Kosong"/>
      <sheetName val="Urugan Pasir bwh pondasi"/>
      <sheetName val="Urugan Tanah Dalam Bangunan"/>
      <sheetName val="Pengadaan Klm Pipa D 20&quot;"/>
      <sheetName val="Pengadaan Klm Pipa D 16&quot; "/>
      <sheetName val="Analisa JEMBATAN"/>
      <sheetName val="RAB JBT"/>
      <sheetName val="rehab jbt"/>
      <sheetName val="DIV1 (2)"/>
      <sheetName val="Siring Bt Kajang"/>
      <sheetName val="Psr BLKG"/>
      <sheetName val="Kuaro"/>
      <sheetName val="Long Ikis"/>
      <sheetName val="Hitungan Pas. Batu"/>
      <sheetName val="Hit Pas. Bt Baru"/>
      <sheetName val="PEMBESIAN BALOK R.PELATIHAN!"/>
      <sheetName val="PEMBESIAN BALOK R.PELATIHAN (4)"/>
      <sheetName val="PEMBESIAN LISPLANK"/>
      <sheetName val="PEMBESIAN BALOK R.PELATIHAN (3)"/>
      <sheetName val="PEMBESIAN BALOK GDG PELATIHAN!"/>
      <sheetName val="PEMBESIAN BALOK R.PELATIHAN (2)"/>
      <sheetName val="PEMBESIAN BALOK ATAP II!"/>
      <sheetName val="PEMBESIAN BALOK ATAP II! (2)"/>
      <sheetName val="PEMBESIAN BALOK ATAP (16 m)"/>
      <sheetName val="PEMBESIAN BALOK ATAP (24M)"/>
      <sheetName val="PEMBESIAN BLK ATAP(30 M)"/>
      <sheetName val="PEMBESIAN BLK LISPLANK W.ROTAN"/>
      <sheetName val="B.7 Pembesian pond kayu"/>
      <sheetName val="PEMBESIAN PENGERING"/>
      <sheetName val="PEMBESIAN ENTRANCE!"/>
      <sheetName val="PEMBESIAN ENTRANCE! (2)"/>
      <sheetName val="PEMBESIAN KOLOM ENTRANCE"/>
      <sheetName val="PEMBESIAN PEDESTALENTRANCE! "/>
      <sheetName val="PEMBESIAN ENTRANCE (2)"/>
      <sheetName val="B.7 Pembesian pond kayu (2)"/>
      <sheetName val="PEMB. POER,SLOOF,PEDEST ACTUAL"/>
      <sheetName val="PEMB. KOLOM"/>
      <sheetName val="PEMB SLOOF!"/>
      <sheetName val="PEMB. Poer"/>
      <sheetName val="PEMB. SLOOF BETON SIRIP"/>
      <sheetName val="PEMBESIAN PEDESTAL"/>
      <sheetName val="PEMBESIAN SLOOF SHOWROOM"/>
      <sheetName val="B.7 Pembesian pondasi Poer "/>
      <sheetName val="PEMBESIAN BALOK"/>
      <sheetName val="PEMBESIAN BALOK tukang"/>
      <sheetName val="PEMBESIAN BALOK tukang (2)"/>
      <sheetName val="PEMBESIAN BALOK WORKSHOP!"/>
      <sheetName val="PEMBESIAN BALOK INDUK DAN ANAK"/>
      <sheetName val="PEMBESIAN SEPTIKTANK "/>
      <sheetName val="GALIAN SEPTIKTANK"/>
      <sheetName val="BETON SEPTIKTANK"/>
      <sheetName val="LANTAI KERJA SEPTIKTANK "/>
      <sheetName val="PEMBESIAN SEPTIKTANK  (2)"/>
      <sheetName val="BETON SEPTIKTANK (2)"/>
      <sheetName val="PAS.BATA SHOWROOM"/>
      <sheetName val="PEMBESIAN BALOK LISPLANK"/>
      <sheetName val="PEMBESIAN BALOK LISPLANk rotan"/>
      <sheetName val="PEMBESIAN BLK LISPLANk PELATIHA"/>
      <sheetName val="PEMBESIAN BALOK (2)"/>
      <sheetName val="PEMBESIAN BALOK workshop kayu"/>
      <sheetName val="PEMBESIAN ENTRANCE"/>
      <sheetName val="PEMBESIAN PEDESTALENTRANCE! (2)"/>
      <sheetName val="Analisa (PEN)"/>
      <sheetName val="Anis"/>
      <sheetName val="Satuan"/>
      <sheetName val="RekapJeumphek"/>
      <sheetName val="Rab.Jeumphek"/>
      <sheetName val="RekapJeumphek rev1"/>
      <sheetName val="Rab.Jeumphek (2)"/>
      <sheetName val="Rab.Jeumphek (3)"/>
      <sheetName val="Rab.Jeumphek (4)"/>
      <sheetName val="Rab.Jeumphek (5)"/>
      <sheetName val="Rab.Jeumphek (6)"/>
      <sheetName val="Rab.Jeumphek (7)"/>
      <sheetName val="Analys"/>
      <sheetName val="Prod.Alat (1) drainage (2)"/>
      <sheetName val="Prod.Alat (2) jalan (2)"/>
      <sheetName val="Alat Kontrak (2)"/>
      <sheetName val="hit.vol"/>
      <sheetName val="HIT. VOL UGD"/>
      <sheetName val="RAB UGD"/>
      <sheetName val="RAB LANJUTAN"/>
      <sheetName val="pagar"/>
      <sheetName val="paving"/>
      <sheetName val="SAT.PEK.UMUM "/>
      <sheetName val="ANALISA KONST BTN"/>
      <sheetName val="UPAH (2)"/>
      <sheetName val="SAT.PEK.KONST.BTN"/>
      <sheetName val="PERHITUNGAN"/>
      <sheetName val="No. 1 Persiapan"/>
      <sheetName val="No. 2 Pek. Beton Pit Conveyor_C"/>
      <sheetName val="Beton htg agung_CEK EKO"/>
      <sheetName val="Bekisting_cek eko"/>
      <sheetName val="Besi half slap_cek eko"/>
      <sheetName val="Finishing lantai htg_CEK EKO"/>
      <sheetName val="Besi pre-cast dan insitudind_ce"/>
      <sheetName val="Besi lantai pit conveyor_CEK EK"/>
      <sheetName val="beton htg agung"/>
      <sheetName val="besi half slap"/>
      <sheetName val="besi pre-cast dan insitudinding"/>
      <sheetName val="besi lantai pit conveyor oke"/>
      <sheetName val="Finishing lantai htg"/>
      <sheetName val="ANALISA2 (2)"/>
      <sheetName val="AN.ALAT"/>
      <sheetName val="Peralatan1"/>
      <sheetName val="Peralatan2"/>
      <sheetName val="SUB REKAP MEP 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,B,C "/>
      <sheetName val="FIRE A"/>
      <sheetName val="FIRE B "/>
      <sheetName val="FIRE C"/>
      <sheetName val="CCTV A"/>
      <sheetName val="CCTV B"/>
      <sheetName val="CCTV C"/>
      <sheetName val="ANL MEK OKT 09"/>
      <sheetName val="ANALIS ELEK"/>
      <sheetName val="sumpit"/>
      <sheetName val="Cover Laporan"/>
      <sheetName val="A.0 Persiapan Umum"/>
      <sheetName val="A.1 Main Building"/>
      <sheetName val="MAIN BLD - Plumbing"/>
      <sheetName val="MAIN BLD - Elektrical"/>
      <sheetName val="A.2 Cooling Twr"/>
      <sheetName val="A.3 Pump Station"/>
      <sheetName val="A.4 Settling Basin"/>
      <sheetName val="A.5 Synthesis Building"/>
      <sheetName val="SHYNTESIS BLD - Plumbing"/>
      <sheetName val="REKAP TOTAL "/>
      <sheetName val="PLAMBING  (R)"/>
      <sheetName val="Anls Krm"/>
      <sheetName val="New"/>
      <sheetName val="Cov_bid"/>
      <sheetName val="THREE PASS"/>
      <sheetName val="vessel weight"/>
      <sheetName val="Proc_REK_1"/>
      <sheetName val="HPP"/>
      <sheetName val="Perm. Test"/>
      <sheetName val="Rekap Addendum"/>
      <sheetName val="struktur tdk dipakai"/>
      <sheetName val="대비표"/>
      <sheetName val="CBD"/>
      <sheetName val="XREF"/>
      <sheetName val="TBM"/>
      <sheetName val="Rek Total"/>
      <sheetName val="Rek Arsit"/>
      <sheetName val="Arsit"/>
      <sheetName val="Rek Struk"/>
      <sheetName val="Rek ME"/>
      <sheetName val="Rek Int"/>
      <sheetName val="Interior Melekat"/>
      <sheetName val="Rek SiteDevel"/>
      <sheetName val="Site Dev"/>
      <sheetName val="Sat Bah &amp; Up"/>
      <sheetName val="An HarSatPek"/>
      <sheetName val="Sat Bah _ Up"/>
      <sheetName val="Hargamaterial"/>
      <sheetName val="BQ-BJTamansari 12 April 2005 (D"/>
      <sheetName val="TOTAL  "/>
      <sheetName val="data-1"/>
      <sheetName val="data-2"/>
      <sheetName val="anal-mob"/>
      <sheetName val="anal-1"/>
      <sheetName val="produk"/>
      <sheetName val="div7-1"/>
      <sheetName val="div7-2"/>
      <sheetName val="dt-1"/>
      <sheetName val="dt-2"/>
      <sheetName val="dt-3"/>
      <sheetName val="dt-5"/>
      <sheetName val="railing"/>
      <sheetName val="61004"/>
      <sheetName val="61005"/>
      <sheetName val="61006"/>
      <sheetName val="61007"/>
      <sheetName val="61008"/>
      <sheetName val="DPK-ANT"/>
      <sheetName val="PULAU"/>
      <sheetName val="GARDU"/>
      <sheetName val="ANSTRUK-1"/>
      <sheetName val="ANSTRUK-2"/>
      <sheetName val="platpracetak"/>
      <sheetName val="sal"/>
      <sheetName val="HS-1"/>
      <sheetName val="HS-2"/>
      <sheetName val="OPOW"/>
      <sheetName val="UM32"/>
      <sheetName val="xx"/>
      <sheetName val="RECORD"/>
      <sheetName val="DEDI"/>
      <sheetName val="DB"/>
      <sheetName val="ANAL lump sum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HATSAT-KUDUS"/>
      <sheetName val="DC AM-02(baru)"/>
      <sheetName val="GIP"/>
      <sheetName val="HM.MEK."/>
      <sheetName val="P.UTMA"/>
      <sheetName val="GV10k"/>
      <sheetName val="KITZ"/>
      <sheetName val="U,Psg.pipa"/>
      <sheetName val="HS.KITZ"/>
      <sheetName val="RAB_KL"/>
      <sheetName val="Rekap RAB_Amd"/>
      <sheetName val="RAB_Amd"/>
      <sheetName val="REKAP_Dftr_Kuan_Hrg_Amd"/>
      <sheetName val="Dftr_Kuan_Hrg Amd"/>
      <sheetName val="bahan+upah"/>
      <sheetName val="Kolom ABCDG vGI"/>
      <sheetName val="AN Tdr"/>
      <sheetName val="4-MVAC"/>
      <sheetName val="schtng"/>
      <sheetName val="schbhn"/>
      <sheetName val="schalt"/>
      <sheetName val="AHS_LAL"/>
      <sheetName val="CONTRIBUSI"/>
      <sheetName val="STR (TAMBAHAN)"/>
      <sheetName val="ARS (TAMBAHAN)"/>
      <sheetName val="DOWN GRADE"/>
      <sheetName val="Pre-summary"/>
      <sheetName val="Pre-personnel"/>
      <sheetName val="Pre-equipment"/>
      <sheetName val="ANA (submit)"/>
      <sheetName val="Harsat pintu 5 bedroom"/>
      <sheetName val="Bill 1"/>
      <sheetName val="Bill 2"/>
      <sheetName val="Bill 3"/>
      <sheetName val="Cover Bill 5"/>
      <sheetName val="Bill 5.1"/>
      <sheetName val="Bill 5.2"/>
      <sheetName val="Bill 5.3"/>
      <sheetName val="Cover Sum Bill no 5"/>
      <sheetName val="Summary Bill no 5"/>
      <sheetName val="Bill No. 6"/>
      <sheetName val="Cover Bill 7"/>
      <sheetName val="Final Sum "/>
      <sheetName val="INTRODUCTION"/>
      <sheetName val="Appendix A"/>
      <sheetName val="Appendix B"/>
      <sheetName val="Appendix C"/>
      <sheetName val="Appendix-D"/>
      <sheetName val="Bill No 4.1 "/>
      <sheetName val="Bill No 4 Summary"/>
      <sheetName val="Bill No 6.0"/>
      <sheetName val="ACC"/>
      <sheetName val="Cover Daftar No. 1"/>
      <sheetName val="Daftar No. 1"/>
      <sheetName val="Cover Penjumlahan Daftar No. 2"/>
      <sheetName val="Penjumlahan Daftar No. 2"/>
      <sheetName val="Cover Daftar No. 2.1"/>
      <sheetName val="Daftar No. 2.1"/>
      <sheetName val="Cover Daftar No. 2.2"/>
      <sheetName val="Daftar No. 2.2"/>
      <sheetName val="Cover Daftar No. 2.3"/>
      <sheetName val="Daftar No. 2.3"/>
      <sheetName val="Cover Daftar No. 2.4"/>
      <sheetName val="Daftar No. 2.4"/>
      <sheetName val="Cover Daftar No. 2.5"/>
      <sheetName val="Daftar No. 2.5"/>
      <sheetName val="Cover Daftar No. 2.6"/>
      <sheetName val="Daftar No. 2.6"/>
      <sheetName val="Cover Daftar No. 2.7"/>
      <sheetName val="Daftar No. 2.7"/>
      <sheetName val="Cover Penjumlahan Daftar No. 3"/>
      <sheetName val="Penjumlahan Daftar No. 3"/>
      <sheetName val="Cover Daftar No. 3.1"/>
      <sheetName val="Daftar No. 3.1"/>
      <sheetName val="Cover Daftar No. 3.2"/>
      <sheetName val="Daftar No. 3.2"/>
      <sheetName val="Cover Daftar No. 3.3"/>
      <sheetName val="Daftar No. 3.3"/>
      <sheetName val="Cover Daftar No. 3.4"/>
      <sheetName val="Daftar No. 3.4"/>
      <sheetName val="Cover Daftar No. 3.5"/>
      <sheetName val="Daftar No. 3.5"/>
      <sheetName val="Cover Daftar No. 3.6"/>
      <sheetName val="Daftar No. 3.6"/>
      <sheetName val="Cover Daftar No. 3.7"/>
      <sheetName val="Daftar No. 3.7"/>
      <sheetName val="Cover Penjumlahan Daftar No. 4"/>
      <sheetName val="Penjumlahan Daftar No. 4"/>
      <sheetName val="Cover Daftar No. 4.1"/>
      <sheetName val="Daftar No. 4.1"/>
      <sheetName val="Cover Daftar No. 4.2"/>
      <sheetName val="Daftar No. 4.2"/>
      <sheetName val="Cover Daftar No. 4.3"/>
      <sheetName val="Daftar No. 4.3"/>
      <sheetName val="Cover Daftar No. 4.4"/>
      <sheetName val="Daftar No. 4.4"/>
      <sheetName val="Cover Daftar No. 4.5"/>
      <sheetName val="Daftar No. 4.5"/>
      <sheetName val="Cover Daftar No. 4.6"/>
      <sheetName val="Daftar No. 4.6"/>
      <sheetName val="Cover Daftar No. 4.7"/>
      <sheetName val="Daftar No. 4.7"/>
      <sheetName val="Cover Penjumlahan Daftar No. 5"/>
      <sheetName val="Penjumlahan Daftar No. 5"/>
      <sheetName val="Cover Daftar No. 5.1"/>
      <sheetName val="Daftar No. 5.1"/>
      <sheetName val="Cover Daftar No. 5.2"/>
      <sheetName val="Daftar No. 5.2"/>
      <sheetName val="Cover Daftar No. 5.3"/>
      <sheetName val="Daftar No. 5.3"/>
      <sheetName val="Cover Daftar No. 5.4"/>
      <sheetName val="Daftar No. 5.4"/>
      <sheetName val="Cover Daftar No. 5.5"/>
      <sheetName val="Daftar No. 5.5"/>
      <sheetName val="Cover Daftar No. 5.6"/>
      <sheetName val="Daftar No. 5.6"/>
      <sheetName val="Cover Daftar No. 5.7"/>
      <sheetName val="Daftar No. 5.7"/>
      <sheetName val="Cover Penjumlahan Daftar No. 6"/>
      <sheetName val="Penjumlahan Daftar No. 6"/>
      <sheetName val="Cover Daftar No. 6.1"/>
      <sheetName val="Daftar No. 6.1"/>
      <sheetName val="Cover Daftar No. 6.2"/>
      <sheetName val="Daftar No. 6.2"/>
      <sheetName val="Cover Daftar No. 6.3"/>
      <sheetName val="Daftar No. 6.3"/>
      <sheetName val="Cover Daftar No. 6.4"/>
      <sheetName val="Daftar No. 6.4"/>
      <sheetName val="Cover Daftar No. 6.5"/>
      <sheetName val="Daftar No. 6.5"/>
      <sheetName val="Cover Daftar No. 6.6"/>
      <sheetName val="Daftar No. 6.6"/>
      <sheetName val="Cover Daftar No. 6.7"/>
      <sheetName val="Daftar No. 6.7"/>
      <sheetName val="Analisa ELC"/>
      <sheetName val="Peralatan Telepon"/>
      <sheetName val="Instalasi Telepon"/>
      <sheetName val="Peralatan Fire Alarm"/>
      <sheetName val="Instalasi Fire Alarm"/>
      <sheetName val="Kabel Cage"/>
      <sheetName val="Peralatan Tata Suara"/>
      <sheetName val="Instalasi Tata Suara"/>
      <sheetName val="Peralatan MATV"/>
      <sheetName val="Instalasi MATV"/>
      <sheetName val="Instalasi CCTV"/>
      <sheetName val="Peralatan Audio Phone"/>
      <sheetName val="Instalasi Audio Phone"/>
      <sheetName val="Peralatan Access Control"/>
      <sheetName val="Instalasi Access Control"/>
      <sheetName val="Peralatan CCTV"/>
      <sheetName val="DAF_8"/>
      <sheetName val="DAF_10"/>
      <sheetName val="DAF_11"/>
      <sheetName val="DAF_12"/>
      <sheetName val="DAF_13"/>
      <sheetName val="No_2"/>
      <sheetName val="No_3"/>
      <sheetName val="No_4"/>
      <sheetName val="No_5"/>
      <sheetName val="PL1"/>
      <sheetName val="PL2"/>
      <sheetName val="Hyd1"/>
      <sheetName val="Hyd2"/>
      <sheetName val="1.Prel"/>
      <sheetName val="2.tanah"/>
      <sheetName val="3.Bet"/>
      <sheetName val="Prov"/>
      <sheetName val="Cover-4.04"/>
      <sheetName val="COV 4.1"/>
      <sheetName val="COV 4.2"/>
      <sheetName val="COV 4.3"/>
      <sheetName val="COV 4.6"/>
      <sheetName val="COV 4.7"/>
      <sheetName val="COV 4.8 "/>
      <sheetName val="COV 4.9"/>
      <sheetName val="COV3 (2)"/>
      <sheetName val="Alat Prod"/>
      <sheetName val="BTL"/>
      <sheetName val="pek tambah (selisih vol)"/>
      <sheetName val="BQ STRK"/>
      <sheetName val="BQ-ELEK"/>
      <sheetName val="BQ-MEK"/>
      <sheetName val="tgp-02"/>
      <sheetName val="Tanggapan"/>
      <sheetName val="ELKP"/>
      <sheetName val="DAF PEKERJAAN"/>
      <sheetName val="COV.GRAND"/>
      <sheetName val="JUMLAH SUB TOTAL "/>
      <sheetName val="Pricing Notes"/>
      <sheetName val="Daf-1 Persiapan"/>
      <sheetName val="Cov.2.1"/>
      <sheetName val="Daf-2.1"/>
      <sheetName val="Cov.2.2"/>
      <sheetName val="Daf-2.2"/>
      <sheetName val="terbilang"/>
      <sheetName val="TJ1Q47"/>
      <sheetName val="Consolidated BS"/>
      <sheetName val="Consolidated PL"/>
      <sheetName val="Equity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coa"/>
      <sheetName val="AWL2002 KIE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BBM-03"/>
      <sheetName val="BBM-03 (2)"/>
      <sheetName val="sulsel"/>
      <sheetName val="rekap_sulsel"/>
      <sheetName val="rkp_sulsel_baru"/>
      <sheetName val="ar_all"/>
      <sheetName val="dec03 (2)"/>
      <sheetName val="note"/>
      <sheetName val="sulsel (2)"/>
      <sheetName val="lama_sulsel"/>
      <sheetName val="sulsel (3)"/>
      <sheetName val="nonbti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Lead Sch"/>
      <sheetName val="Lead Schedule"/>
      <sheetName val="3 (2)"/>
      <sheetName val="4B"/>
      <sheetName val="4A"/>
      <sheetName val="12"/>
      <sheetName val="14"/>
      <sheetName val="2010"/>
      <sheetName val="2011"/>
      <sheetName val="18"/>
      <sheetName val="Win Loss Analysis"/>
      <sheetName val="RESUME OK CADANGAN"/>
      <sheetName val="OK CADANGAN"/>
      <sheetName val="Notes"/>
      <sheetName val="tgp_02"/>
      <sheetName val="TOTAL HC 1"/>
      <sheetName val="TOTAL HC"/>
      <sheetName val="Tunjab"/>
      <sheetName val="TOTAL all"/>
      <sheetName val="OS"/>
      <sheetName val="opini"/>
      <sheetName val="Ws Jul-2004"/>
      <sheetName val="AJE (2)"/>
      <sheetName val="Neraca "/>
      <sheetName val="Neraca  (2)"/>
      <sheetName val="Laba Rugi "/>
      <sheetName val="CF (2)"/>
      <sheetName val="NOTE7"/>
      <sheetName val="NOTE8"/>
      <sheetName val="Account (2)"/>
      <sheetName val="Buku Besar 1"/>
      <sheetName val="Buku Besar 2"/>
      <sheetName val="Rekap SPT Masa PPh 21"/>
      <sheetName val="RIgkasan Koreksi"/>
      <sheetName val="Koreksi Objek PPh 21"/>
      <sheetName val="Koreksi Objek PPh 23"/>
      <sheetName val="Koreksi Objek PPh 4 Ayat 2"/>
      <sheetName val="RIngkasan Koreksi Biaya"/>
      <sheetName val="Koreksi Biaya"/>
      <sheetName val="Sisa 1"/>
      <sheetName val="Sisa 2"/>
      <sheetName val="FIXED ASSET"/>
      <sheetName val="WBS &amp; WPL"/>
      <sheetName val="OPEX"/>
      <sheetName val="PAJE FIXED ASSET"/>
      <sheetName val="MATERIALITY - PL"/>
      <sheetName val="MATERIALITY - BS"/>
      <sheetName val="PREPAID ADJUSTMENT"/>
      <sheetName val="Adjustment"/>
      <sheetName val="AR"/>
      <sheetName val="AR -OTHER"/>
      <sheetName val="OTHER ASSET"/>
      <sheetName val="AP"/>
      <sheetName val="ACCRUED EXPENSE"/>
      <sheetName val="DEFFERED TAXES"/>
      <sheetName val="SALES"/>
      <sheetName val="COGS"/>
      <sheetName val="TAXATION"/>
      <sheetName val="NONOPEX"/>
      <sheetName val="AWP "/>
      <sheetName val="MATERIALITY "/>
      <sheetName val="Financial Ratios"/>
      <sheetName val="TEST FOR UNRECORDED AR"/>
      <sheetName val="STOT FIXED ASSET"/>
      <sheetName val="FA LISTING (PBC)"/>
      <sheetName val="REASONABLESS TEST"/>
      <sheetName val="SUBSTANTIF FIXED ASSET"/>
      <sheetName val="Asuransi kendaraan"/>
      <sheetName val="TEST FOR UNRECORDED AP"/>
      <sheetName val="PAYROLL DATA"/>
      <sheetName val="PAYROLL FLUCS"/>
      <sheetName val="SSP"/>
      <sheetName val="sample 1"/>
      <sheetName val="SUBSTANTIV SALES"/>
      <sheetName val="PENGHASILAN DEPOSIT"/>
      <sheetName val="LEASING"/>
      <sheetName val="vouching"/>
      <sheetName val="REKALKULASI U. PEND. JASA GIRO"/>
      <sheetName val="manfaat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dbgFIRNA"/>
      <sheetName val="DBG"/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  <sheetName val="details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  <sheetName val="Report"/>
      <sheetName val="May"/>
      <sheetName val="YTD"/>
      <sheetName val="NERACA"/>
      <sheetName val="IS"/>
      <sheetName val="CASHFLOW "/>
      <sheetName val="DETAILBS"/>
      <sheetName val="DETAILGA"/>
      <sheetName val="PIUTANG-AGING"/>
      <sheetName val="INV-LAB"/>
      <sheetName val="BARANG JADI"/>
      <sheetName val="prepaid"/>
      <sheetName val="INV-PEMB-RESIN"/>
      <sheetName val="hutang bank"/>
      <sheetName val="AcruedTax"/>
      <sheetName val="ACCOUNT-PAYABLE"/>
      <sheetName val="accrued"/>
      <sheetName val="SPLIT9907"/>
      <sheetName val="SPLIT9906"/>
      <sheetName val="Resin in Tank"/>
      <sheetName val="FA 06"/>
      <sheetName val="ASSETS05"/>
      <sheetName val="FA 06 OKE"/>
      <sheetName val="asset 2005"/>
      <sheetName val="ngitung akum. toniji"/>
      <sheetName val="FA 06 (2)"/>
      <sheetName val="WBS2"/>
      <sheetName val="OPsample"/>
      <sheetName val="TPsample"/>
      <sheetName val="AA.1"/>
      <sheetName val="AA.2"/>
      <sheetName val="AA.3"/>
      <sheetName val="AA.3.2"/>
      <sheetName val="AGING"/>
      <sheetName val="AP ACCRUED"/>
      <sheetName val="OTHER ACCOUNT CLAIM"/>
      <sheetName val="BB.1"/>
      <sheetName val="BB.1.1"/>
      <sheetName val="BB.1.2"/>
      <sheetName val="BB.2"/>
      <sheetName val="BB-2.1"/>
      <sheetName val="BB.2.1.1"/>
      <sheetName val="BB.2.2"/>
      <sheetName val="BB.2.3"/>
      <sheetName val="BB.3"/>
      <sheetName val="CC-1"/>
      <sheetName val="CC-2"/>
      <sheetName val="EE-1"/>
      <sheetName val="invt_jun03 _2_"/>
      <sheetName val="COMPARATTIVE"/>
      <sheetName val="vendorjun04"/>
      <sheetName val="INVTJUN04"/>
      <sheetName val="invt_jun03 (2)"/>
      <sheetName val="Comperative_by_Vendor jan_may"/>
      <sheetName val="CODE"/>
      <sheetName val="Jan"/>
      <sheetName val="Feb"/>
      <sheetName val="Mar"/>
      <sheetName val="Apr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reconsile"/>
      <sheetName val="potensi loss"/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BALANCE SHEET"/>
      <sheetName val="RM_COST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CAPEX"/>
      <sheetName val="MANPOWER"/>
      <sheetName val="LOAN&amp;INTEREST"/>
      <sheetName val="PRODUCTION SCHEDULE"/>
      <sheetName val="deprec"/>
      <sheetName val="Details in Rp"/>
      <sheetName val="By Dept"/>
      <sheetName val="By Dept in Rp"/>
      <sheetName val="by_type in USD"/>
      <sheetName val="by_type in Rp"/>
      <sheetName val="Depr&amp;Amort"/>
      <sheetName val="62404"/>
      <sheetName val="budget idr"/>
      <sheetName val="DATA U LK"/>
      <sheetName val="NT "/>
      <sheetName val="LR DEP "/>
      <sheetName val="SALDO BANK"/>
      <sheetName val="PENJ-INTERN"/>
      <sheetName val="PENJ-LOAN"/>
      <sheetName val="PIUT BAPEPAM-JUN"/>
      <sheetName val="RET-BAPEPAM-JUN"/>
      <sheetName val="MUTASI AKT"/>
      <sheetName val="TAGBRUT BAPEPAM"/>
      <sheetName val="IKHT-PYD&amp;PDP"/>
      <sheetName val="IKHT PYD"/>
      <sheetName val="IKHT PDDK"/>
      <sheetName val="IHTISAR KSO"/>
      <sheetName val="IKHT UTG PER NSBH "/>
      <sheetName val="SEGMEN GEOGRAFIS"/>
      <sheetName val="VALAS"/>
      <sheetName val="PERIKATAN"/>
      <sheetName val="LK-KONSOLIDASI "/>
      <sheetName val="CF KONSOL"/>
      <sheetName val="NOTES PUBLIS"/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Attachment"/>
      <sheetName val="lampiran"/>
      <sheetName val="Unearned premiums"/>
      <sheetName val="Cadangan premi"/>
      <sheetName val="List of Doc Received"/>
      <sheetName val="Judul 07"/>
      <sheetName val="Dafisi"/>
      <sheetName val="Rekap Aktiva Tetap+ Penys"/>
      <sheetName val="Konfirmasi Bank"/>
      <sheetName val="PPN"/>
      <sheetName val="PPN Keluaran"/>
      <sheetName val="PPN Masukan"/>
      <sheetName val="PPh 25 (2)"/>
      <sheetName val="Bayar 21"/>
      <sheetName val="Lampiran 2"/>
      <sheetName val="BRI Jakarta"/>
      <sheetName val="BRI Suraby"/>
      <sheetName val="Bukopin JKT"/>
      <sheetName val="Bukopin SBY"/>
      <sheetName val="Mandiri JKT"/>
      <sheetName val="Mandiri SBY"/>
      <sheetName val="Prepaid Insurance"/>
      <sheetName val="GL"/>
      <sheetName val="Prepaid Rent"/>
      <sheetName val="Imbln. Kerja"/>
      <sheetName val="Praoprasi"/>
      <sheetName val="BAP"/>
      <sheetName val="AJ 07"/>
      <sheetName val="WBS 07"/>
      <sheetName val="Khosim"/>
      <sheetName val="BNI JKT"/>
      <sheetName val="Voucher"/>
      <sheetName val="BNI SBY"/>
      <sheetName val="PPh 21 "/>
      <sheetName val="Hutang PPh 23"/>
      <sheetName val="Rekap PPh 23 Agung"/>
      <sheetName val="Attachement"/>
      <sheetName val="FisLoss95"/>
      <sheetName val="IntrVSLoan"/>
      <sheetName val="OperLease95"/>
      <sheetName val="Pernyataan"/>
      <sheetName val="D.Isi"/>
      <sheetName val="Disclose"/>
      <sheetName val="Peralatan kantor"/>
      <sheetName val="Bangunan"/>
      <sheetName val="PROJECT-BLN"/>
      <sheetName val="Penjualan 2010"/>
      <sheetName val="Biaya 2010"/>
      <sheetName val="LEDGER"/>
      <sheetName val="LEDGER SEPT"/>
      <sheetName val="NERACA&quot;T&quot;"/>
      <sheetName val="rugilaba"/>
      <sheetName val="RL 08-10"/>
      <sheetName val="Project"/>
      <sheetName val="Arus Kas"/>
      <sheetName val="simhu"/>
      <sheetName val="kas"/>
      <sheetName val="piutang usaha "/>
      <sheetName val="piutang lain"/>
      <sheetName val="Impairment"/>
      <sheetName val="BDD"/>
      <sheetName val="piutang retensi"/>
      <sheetName val="piutang kary"/>
      <sheetName val="pajak DD"/>
      <sheetName val="aktiva"/>
      <sheetName val="hutang usaha"/>
      <sheetName val="BAD"/>
      <sheetName val="hutang pajak"/>
      <sheetName val="PDD"/>
      <sheetName val="ap wika "/>
      <sheetName val="hutang lain"/>
      <sheetName val="PSAK"/>
      <sheetName val="beban usaha"/>
      <sheetName val="jasa giro"/>
      <sheetName val="beban lain "/>
      <sheetName val="beban pajak"/>
      <sheetName val="Persediaan"/>
      <sheetName val="LEDGER DES"/>
      <sheetName val="TIMOR LESTE (USD)"/>
      <sheetName val="AMBON"/>
      <sheetName val="DUMAI"/>
      <sheetName val="KETAPANG"/>
      <sheetName val="KUPANG (USD)"/>
      <sheetName val="KCM"/>
      <sheetName val="SEMEN PDG"/>
      <sheetName val="MEDCO"/>
      <sheetName val="ASAM2"/>
      <sheetName val="AMURANG"/>
      <sheetName val="BALI"/>
      <sheetName val="INDOCEMENT"/>
      <sheetName val="KUALANAMU"/>
      <sheetName val="PROYEK"/>
      <sheetName val="OPTIMA"/>
      <sheetName val="FAJAR"/>
      <sheetName val="SANKYU"/>
      <sheetName val="SANKYU - UBC"/>
      <sheetName val="SANKYU - EFM"/>
      <sheetName val="SANKYU - IKK"/>
      <sheetName val="CRA-Detail"/>
      <sheetName val="Control Risk Aspects"/>
      <sheetName val="Customize Work Program"/>
      <sheetName val="berita acara"/>
      <sheetName val="DAFTAR ISI (3)"/>
      <sheetName val="DAFTAR ISI (2)"/>
      <sheetName val="C-1"/>
      <sheetName val="J"/>
      <sheetName val="J-1"/>
      <sheetName val="I (2)"/>
      <sheetName val="AK-TL"/>
      <sheetName val="New CF"/>
      <sheetName val="14a"/>
      <sheetName val="16"/>
      <sheetName val="19"/>
      <sheetName val="20"/>
      <sheetName val="20a"/>
      <sheetName val="21"/>
      <sheetName val="22"/>
      <sheetName val="23"/>
      <sheetName val="24"/>
      <sheetName val="25"/>
      <sheetName val="26"/>
      <sheetName val="27"/>
      <sheetName val="FORMAT"/>
      <sheetName val="NT-IFRS"/>
      <sheetName val="LRDEPT IFRS"/>
      <sheetName val="PIUT BAPEPAM-DES"/>
      <sheetName val="RET-BAPEPAM-DES"/>
      <sheetName val="PYD"/>
      <sheetName val="UM DITERIMA"/>
      <sheetName val="IKHT PDPK"/>
      <sheetName val="IKHT UTG PER NSBH"/>
      <sheetName val="FORMAT JO"/>
      <sheetName val=" HUTANG TOTAL"/>
      <sheetName val="HUTANG PEMASOK (HANIK)"/>
      <sheetName val="HUTANG SUBKON"/>
      <sheetName val="lk konsolidasi des"/>
      <sheetName val="LR_SPK 2012 "/>
      <sheetName val="CABANGPPN"/>
      <sheetName val="CABANG21"/>
      <sheetName val="CABANG4(2)"/>
      <sheetName val="pendapatan"/>
      <sheetName val="hargapokok"/>
      <sheetName val="pend_lain2"/>
      <sheetName val="bi_lain2"/>
      <sheetName val="CADANGAN"/>
      <sheetName val="indukPPH"/>
      <sheetName val="IndukPPN"/>
      <sheetName val="induk42"/>
      <sheetName val="induk21"/>
      <sheetName val="induk22-23-26-pbb"/>
      <sheetName val="rekap23"/>
      <sheetName val="EQUALISASI"/>
      <sheetName val="KEND_FIS"/>
      <sheetName val="kend_WP"/>
      <sheetName val="note_4_wiston"/>
      <sheetName val="LPP"/>
      <sheetName val="LPP (2)"/>
      <sheetName val="LPP (3)"/>
      <sheetName val="LPP (4)"/>
      <sheetName val="SPHP"/>
      <sheetName val="MASa2326"/>
      <sheetName val="PBB"/>
      <sheetName val="koreksi"/>
      <sheetName val="Des '07"/>
      <sheetName val="CO '08"/>
      <sheetName val="DSU-2"/>
      <sheetName val="LPP Des 07"/>
      <sheetName val="rkap'08"/>
      <sheetName val="DSU-2 (OP)"/>
      <sheetName val="DSU-2 (LK)"/>
      <sheetName val="OP-bln"/>
      <sheetName val="LK-bln"/>
      <sheetName val="OK-bln"/>
      <sheetName val="DSU-2 (2)"/>
      <sheetName val="SWOT"/>
      <sheetName val="NER"/>
      <sheetName val="LR"/>
      <sheetName val="TKSEHAT"/>
      <sheetName val="KEYPEFOR"/>
      <sheetName val="ANSWOT"/>
      <sheetName val="PROGKER"/>
      <sheetName val="rinc-bius"/>
      <sheetName val="rl-lain"/>
      <sheetName val="PENGELUAR"/>
      <sheetName val="PENERIMAAN"/>
      <sheetName val="proyinv"/>
      <sheetName val="NAV0"/>
      <sheetName val="Profile"/>
      <sheetName val="Perubahan Modal"/>
      <sheetName val="Rasio 2"/>
      <sheetName val="Schedule A"/>
      <sheetName val="Schedule B"/>
      <sheetName val="Schedule C"/>
      <sheetName val="Schedule D"/>
      <sheetName val="Rasio Diklat "/>
      <sheetName val="Analisis"/>
      <sheetName val="Sub A"/>
      <sheetName val="Sub B (1)"/>
      <sheetName val="Sub B (2)"/>
      <sheetName val="Sub C"/>
      <sheetName val="Sub D"/>
      <sheetName val="Rincian A-1"/>
      <sheetName val="Rincian B-1"/>
      <sheetName val="Rincian C-1"/>
      <sheetName val="Rincian D-1"/>
      <sheetName val="Rincian F-1"/>
      <sheetName val="Rincian E-1"/>
      <sheetName val="Rincian G-1"/>
      <sheetName val="Rincian H-1"/>
      <sheetName val="Rincian L-1"/>
      <sheetName val="Rincian M-1"/>
      <sheetName val="Rincian N-1"/>
      <sheetName val="Rincian O-1"/>
      <sheetName val="Rincian P-1"/>
      <sheetName val="Rincian Q-1"/>
      <sheetName val="Rincian R-1"/>
      <sheetName val="Rincian S-1"/>
      <sheetName val="Rincian T-1"/>
      <sheetName val="Rincian U-1"/>
      <sheetName val="Rincian V-1"/>
      <sheetName val="Rincian W-1"/>
      <sheetName val="Rincian X-1"/>
      <sheetName val="Rincian Y-1"/>
      <sheetName val="BUAT LAMPIRAN NERACA 09"/>
      <sheetName val="NERACA 2009 NERACA"/>
      <sheetName val="NERACA 2009 ASLI"/>
      <sheetName val="02_2009"/>
      <sheetName val="01_2009"/>
      <sheetName val="12_2008  (epc)"/>
      <sheetName val="12_2008  (NRC) (2)"/>
      <sheetName val="12_2008  (NRC)"/>
      <sheetName val="12_2008 "/>
      <sheetName val="WBS-1"/>
      <sheetName val="WBS-2"/>
      <sheetName val="WPL"/>
      <sheetName val="PAJE&amp;CAJE"/>
      <sheetName val="Taxes"/>
      <sheetName val="Taxes-111"/>
      <sheetName val="Taxes (2)"/>
      <sheetName val="AR-Trade"/>
      <sheetName val="AR-Employees"/>
      <sheetName val="AR-Other"/>
      <sheetName val="Claim for tax refund"/>
      <sheetName val="Prepaid-Exp"/>
      <sheetName val="Prepaid-Tax"/>
      <sheetName val="Defered Tax Assets"/>
      <sheetName val="Investment"/>
      <sheetName val="Refundable-Dep"/>
      <sheetName val="MI for Disp"/>
      <sheetName val="AP Yimm"/>
      <sheetName val="Other payable"/>
      <sheetName val="LeasePayable"/>
      <sheetName val="TaxesPayable"/>
      <sheetName val="Est.Liab.Empl.Ben"/>
      <sheetName val="Accrued Exp"/>
      <sheetName val="CS"/>
      <sheetName val="Misc Dep Rec"/>
      <sheetName val="OtherIncome"/>
      <sheetName val="Other Expense"/>
      <sheetName val="OtherIncome (Expense)-report"/>
      <sheetName val="Perhit, PPh 21 bulnan 07"/>
      <sheetName val="TB-WP"/>
      <sheetName val="FS"/>
      <sheetName val="Checker"/>
      <sheetName val="00000000"/>
      <sheetName val="000000000"/>
      <sheetName val="Cross Check data Aktuari-PNP"/>
      <sheetName val="P-1.1"/>
      <sheetName val="LK 2002"/>
      <sheetName val="Movement of Hutang Leasing"/>
      <sheetName val="PAJE-CAJE-PRJE"/>
      <sheetName val="BS-PL Komersil and Fiskal"/>
      <sheetName val="Deferred Tax Calculation"/>
      <sheetName val="List of Disposal"/>
      <sheetName val="Predictive Depreciation Exp."/>
      <sheetName val="K-Mutation PNP"/>
      <sheetName val="FA Fiscal 2003"/>
      <sheetName val="AR Subsequent Collection"/>
      <sheetName val="AP Subsequent Payment"/>
      <sheetName val="E-3"/>
      <sheetName val="G-1"/>
      <sheetName val="G-2"/>
      <sheetName val="G-3"/>
      <sheetName val="J.1"/>
      <sheetName val="N"/>
      <sheetName val="N-1"/>
      <sheetName val="Pred. by APBMI N -1-1"/>
      <sheetName val="P-1"/>
      <sheetName val="P-2"/>
      <sheetName val="Q"/>
      <sheetName val="Perhit. def tax R-1"/>
      <sheetName val="T"/>
      <sheetName val="TT"/>
      <sheetName val="U-1"/>
      <sheetName val="U-2"/>
      <sheetName val="U-3"/>
      <sheetName val="U-4"/>
      <sheetName val="U-5"/>
      <sheetName val="Materiality and TE"/>
      <sheetName val="Fiskal"/>
      <sheetName val="CF Calculation"/>
      <sheetName val="Reclassification"/>
      <sheetName val="Hut-Piut Afiliasi"/>
      <sheetName val="NAV000"/>
      <sheetName val="P-1.1 Update"/>
      <sheetName val="Uang Muka Operasi"/>
      <sheetName val="Vouching Add. FA"/>
      <sheetName val="Koreksi Uang Muka "/>
      <sheetName val="Analytical Review-MTCont"/>
      <sheetName val="Uang Muka Sewa Lahan"/>
      <sheetName val="Review Notes to DD"/>
      <sheetName val="Point to be discussed w Client"/>
      <sheetName val="FA Fiscal MTCont 2003"/>
      <sheetName val="Deferred Tax Calculation MTCont"/>
      <sheetName val="Materiality &amp; TE"/>
      <sheetName val="PRJE'03"/>
      <sheetName val="PAJE'03"/>
      <sheetName val="CAJE'03"/>
      <sheetName val="To do List for Team"/>
      <sheetName val="Pending Items"/>
      <sheetName val="Basis Reclass Uang Muka"/>
      <sheetName val="Worksheet-03"/>
      <sheetName val="Analy Rvw"/>
      <sheetName val="PAJE-02"/>
      <sheetName val="PRJE-02"/>
      <sheetName val="CAJE-02"/>
      <sheetName val="E-1"/>
      <sheetName val="Sorted by USD E-1.1"/>
      <sheetName val="Sorted by IDR E-1.2"/>
      <sheetName val="AR-Aging IDR E-2 p.1"/>
      <sheetName val="AR-Aging USD E-2 p.2 "/>
      <sheetName val="Subsequent IDR E-3 p.1"/>
      <sheetName val="Subsequent USD E-3 p.2"/>
      <sheetName val="E-4"/>
      <sheetName val="E-4.1"/>
      <sheetName val="F-1"/>
      <sheetName val="Stock take result F-1.1"/>
      <sheetName val="Predictive Test Sewa Lahan"/>
      <sheetName val="Predictive sewa lahan J 5-1"/>
      <sheetName val="JJ"/>
      <sheetName val="pred. insurance"/>
      <sheetName val="Predictive of insurance"/>
      <sheetName val="Data polis"/>
      <sheetName val="Insurred Aktiva"/>
      <sheetName val="Harga perolehan"/>
      <sheetName val="Predict depre"/>
      <sheetName val="K coba"/>
      <sheetName val="trial K-3"/>
      <sheetName val="K-1"/>
      <sheetName val="NN-3"/>
      <sheetName val="N-4"/>
      <sheetName val="P-3"/>
      <sheetName val=" Q"/>
      <sheetName val="Movement of Bank Loan Q-1"/>
      <sheetName val="Movement of Leasing Q-2"/>
      <sheetName val="Interest exp Q-3"/>
      <sheetName val="QQ-3"/>
      <sheetName val="Current Leasing Q-4"/>
      <sheetName val="TT-1"/>
      <sheetName val="T-1"/>
      <sheetName val="Penjelasan Net"/>
      <sheetName val="U-4.1"/>
      <sheetName val="FISCAL 2002"/>
      <sheetName val="Table of Contents"/>
      <sheetName val="Wrap Up"/>
      <sheetName val="Labarugi fiskal"/>
      <sheetName val="Neraca fiskal"/>
      <sheetName val="fa-fiscal"/>
      <sheetName val="Penambahan FA"/>
      <sheetName val="Penj. AT_Fiskal"/>
      <sheetName val="NBV-Fiskal Sewa Lahan"/>
      <sheetName val="Daftar Karyawan yang keluar"/>
      <sheetName val="Amortisasi sewa lahan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CAR"/>
      <sheetName val="NRC"/>
      <sheetName val="EQ"/>
      <sheetName val="DEFFERED TAX"/>
      <sheetName val="AYD"/>
      <sheetName val="KYD Terkait"/>
      <sheetName val="CAJE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tickmark"/>
      <sheetName val="K1"/>
      <sheetName val="rekap report"/>
      <sheetName val="K2"/>
      <sheetName val="K4"/>
      <sheetName val="K5"/>
      <sheetName val="K6"/>
      <sheetName val="K7"/>
      <sheetName val="K8"/>
      <sheetName val="K8.1"/>
      <sheetName val="K9"/>
      <sheetName val="K10"/>
      <sheetName val="K11"/>
      <sheetName val="K11.1"/>
      <sheetName val="budget per type"/>
      <sheetName val="A1_ Income Statement Projection"/>
      <sheetName val="PjkTgghn"/>
      <sheetName val="Lamp_AT"/>
      <sheetName val="AT &amp; Depr (GL)"/>
      <sheetName val="Sst02BBng&lt;95 (Dep123)"/>
      <sheetName val="Sst02Bng&lt;95"/>
      <sheetName val="Sst02&gt;=95 (Dep123)"/>
      <sheetName val="Sst02&gt;=95 (Dep456)"/>
      <sheetName val="Sst02Bng&gt;=95"/>
      <sheetName val="Car_Jkt&gt;=2003"/>
      <sheetName val="Car_Ckp&gt;=2003"/>
      <sheetName val="Planning Materiality "/>
      <sheetName val="Subsequent event"/>
      <sheetName val="WBS1"/>
      <sheetName val="WPL Detail"/>
      <sheetName val="CashFlow (2)"/>
      <sheetName val="Deferred"/>
      <sheetName val="SPT 1721"/>
      <sheetName val="PAJE-PRJE-07"/>
      <sheetName val="CAJE-CRJE-07"/>
      <sheetName val="Tax"/>
      <sheetName val="SKP"/>
      <sheetName val="transaksi Istimewa"/>
      <sheetName val="Test of detail - Purchase"/>
      <sheetName val="ass kend."/>
      <sheetName val="ass_ stock_gdg"/>
      <sheetName val="temuan"/>
      <sheetName val="pending"/>
      <sheetName val="14 (2)"/>
      <sheetName val="TB_WP"/>
      <sheetName val="Rates"/>
      <sheetName val="BS"/>
      <sheetName val="Engagement Memorandum"/>
      <sheetName val="FISCOM"/>
      <sheetName val="ADJ'09"/>
      <sheetName val="tb_01122009"/>
      <sheetName val="Aset Tetap"/>
      <sheetName val="Vouch Fixed Asset"/>
      <sheetName val="Penjualan"/>
      <sheetName val="Sales_2009"/>
      <sheetName val="Harga Pokok"/>
      <sheetName val="HPP!"/>
      <sheetName val="Conf. Control"/>
      <sheetName val="PPH 21"/>
      <sheetName val="PPH 23"/>
      <sheetName val="PPh 4 (2) Penjualan"/>
      <sheetName val="PPh 4 (2)"/>
      <sheetName val="Petunjuk"/>
      <sheetName val="Summary-Customer"/>
      <sheetName val="LTLGroup-Trans"/>
      <sheetName val="LTLGroup-Rent"/>
      <sheetName val="LTLGroup-SD"/>
      <sheetName val="LTLGroup-Oth"/>
      <sheetName val="NONLTL-Trans"/>
      <sheetName val="NONLTL-Rent"/>
      <sheetName val="NONLTL-SD"/>
      <sheetName val="NONLTL-OTH"/>
      <sheetName val="PL monthly analysis"/>
      <sheetName val="EM"/>
      <sheetName val="LABA-RUGI"/>
      <sheetName val="RE"/>
      <sheetName val="PRJE"/>
      <sheetName val="ARUS-KAS"/>
      <sheetName val="TAX 1"/>
      <sheetName val="Kas &amp; Setara Kas"/>
      <sheetName val="Piutang Dagang"/>
      <sheetName val="Piutang Lain-lain"/>
      <sheetName val="Deposito"/>
      <sheetName val="Piutang Pemborong"/>
      <sheetName val="Pinjaman"/>
      <sheetName val="Persekot"/>
      <sheetName val="FA Komersial"/>
      <sheetName val="HGU-09 e SPT X"/>
      <sheetName val="REKAP-FIS09 HGU TERPISAH S.D'09"/>
      <sheetName val="Hutang Dagang"/>
      <sheetName val="Hutang Lain-lain"/>
      <sheetName val="Hutang Gaji"/>
      <sheetName val="Uang Muka Pelanggan."/>
      <sheetName val="Biaya"/>
      <sheetName val="Selisih kurs"/>
      <sheetName val="PPh 22"/>
      <sheetName val="Preapid 23"/>
      <sheetName val="PPh 21 Medan"/>
      <sheetName val="deviden"/>
      <sheetName val="Mutasi FA"/>
      <sheetName val="Pndp Bunga"/>
      <sheetName val="Barang impor"/>
      <sheetName val="PPN (2)"/>
      <sheetName val="IF add"/>
      <sheetName val="BARANG-GUDANG"/>
      <sheetName val="DAT-1"/>
      <sheetName val="DAT-2"/>
      <sheetName val="DAT-3"/>
      <sheetName val="DAT-4"/>
      <sheetName val="DAT-5"/>
      <sheetName val="ARPs 1"/>
      <sheetName val="ARPs 2"/>
      <sheetName val="Ket"/>
      <sheetName val="AR lain"/>
      <sheetName val="Blog"/>
      <sheetName val="DBase"/>
      <sheetName val="PPh Final"/>
      <sheetName val="HPS"/>
      <sheetName val="Uang Muka&amp;BYDM"/>
      <sheetName val="Aktiva Tetap"/>
      <sheetName val="Garansi"/>
      <sheetName val="Proyek Kemitraan Kokar"/>
      <sheetName val="Beban Pokok Penjualan"/>
      <sheetName val="Operating Exp"/>
      <sheetName val="Beban Lain-Lain"/>
      <sheetName val="TAX Computation"/>
      <sheetName val="Cut Off test"/>
      <sheetName val="TOC - Sales"/>
      <sheetName val="TOC - Purchases"/>
      <sheetName val="TOT - operating expenses"/>
      <sheetName val="TOT - Fixed Asset Addition"/>
      <sheetName val="Rekap Deposito"/>
      <sheetName val="REKAP PENJUALAN CANGKANG DAN MI"/>
      <sheetName val="REKAP PENJUALAN INTI DAN MINYAK"/>
      <sheetName val="PPH 21 Jakarta"/>
      <sheetName val="PPH 25 Jakarta"/>
      <sheetName val="PPh 23 Jakarta"/>
      <sheetName val="PPh 23 Medan"/>
      <sheetName val="PPh 4(2) Medan"/>
      <sheetName val="REKAP'09 Siddik"/>
      <sheetName val="Jakarta"/>
      <sheetName val="Medan"/>
      <sheetName val="Telda"/>
      <sheetName val="Kalsa"/>
      <sheetName val="Kalda"/>
      <sheetName val="Kokar"/>
      <sheetName val="FD-GAP09"/>
      <sheetName val="GAP09-BD"/>
      <sheetName val="nermfc-0206"/>
      <sheetName val="labamfc-0206"/>
      <sheetName val="nermfc-0207"/>
      <sheetName val="labamfc-0207"/>
      <sheetName val="nermfc-0208"/>
      <sheetName val="labamfc-0208"/>
      <sheetName val="nermfc-0209"/>
      <sheetName val="labamfc-0209"/>
      <sheetName val="nermfc-0210"/>
      <sheetName val="labamfc-0210"/>
      <sheetName val="ner-0211"/>
      <sheetName val="laba-0211"/>
      <sheetName val="ner-0212"/>
      <sheetName val="laba-0212"/>
      <sheetName val="ner-0301"/>
      <sheetName val="laba-0301"/>
      <sheetName val="ner-0302"/>
      <sheetName val="laba-0302"/>
      <sheetName val="ner-0303"/>
      <sheetName val="laba-0303"/>
      <sheetName val="ner-0304"/>
      <sheetName val="laba-0304"/>
      <sheetName val="ner-0305"/>
      <sheetName val="laba-0305"/>
      <sheetName val="ner-0306"/>
      <sheetName val="laba-0306"/>
      <sheetName val="ner-0307"/>
      <sheetName val="laba-0307"/>
      <sheetName val="ner-0308"/>
      <sheetName val="laba-0308"/>
      <sheetName val="ner-0309"/>
      <sheetName val="laba-0309"/>
      <sheetName val="ner-0310"/>
      <sheetName val="laba-0310"/>
      <sheetName val="ner-0311"/>
      <sheetName val="laba-0311"/>
      <sheetName val="ner-0312"/>
      <sheetName val="laba-0312"/>
      <sheetName val="ner-0401"/>
      <sheetName val="laba-0401"/>
      <sheetName val="ner-0402"/>
      <sheetName val="laba-0402"/>
      <sheetName val="ner-0403"/>
      <sheetName val="laba-0403"/>
      <sheetName val="ner-0404"/>
      <sheetName val="laba-0404"/>
      <sheetName val="ner-0405"/>
      <sheetName val="laba-0405"/>
      <sheetName val="ner-0406"/>
      <sheetName val="laba-0406"/>
      <sheetName val="ner-0407"/>
      <sheetName val="laba-0407"/>
      <sheetName val="ner-0408"/>
      <sheetName val="laba-0408"/>
      <sheetName val="ner-0409"/>
      <sheetName val="laba-0409"/>
      <sheetName val="laba-0409(proyeksi)"/>
      <sheetName val="evaby-0407"/>
      <sheetName val="evaby-0407 (BTL)"/>
      <sheetName val="eva-BTL(Peb05)"/>
      <sheetName val="Rab-sd-Peb05"/>
      <sheetName val="eva-BTL(Peb05)-01"/>
      <sheetName val="2308"/>
      <sheetName val="KKP SL-baru"/>
      <sheetName val="htung lama"/>
      <sheetName val="finalhpp"/>
      <sheetName val="Net"/>
      <sheetName val="A-Factory 1"/>
      <sheetName val="B-Factory 2"/>
      <sheetName val="C-Canteen 1"/>
      <sheetName val="D-Power House"/>
      <sheetName val="E-Rubbish"/>
      <sheetName val="F-Guard"/>
      <sheetName val="G-Chemical Storage"/>
      <sheetName val="H-Pump Room"/>
      <sheetName val="I-Scr-Stock"/>
      <sheetName val="J-Sewage"/>
      <sheetName val="K-External"/>
      <sheetName val="L-Mechanical"/>
      <sheetName val="M-Electrical"/>
      <sheetName val="TEMPORARY"/>
      <sheetName val="SITE EXPENSES"/>
      <sheetName val="L_Mechanical"/>
      <sheetName val="REKAPMEK"/>
      <sheetName val="RABMEK"/>
      <sheetName val="BQ SPH"/>
      <sheetName val="JUNI'00"/>
      <sheetName val="lr_divisi"/>
      <sheetName val="ratio_juni_2003"/>
      <sheetName val="Real"/>
      <sheetName val="Kuantitas (2)"/>
      <sheetName val="DIV.2.1"/>
      <sheetName val="Rekap Kososng"/>
      <sheetName val="Kuantitas Kosong"/>
      <sheetName val="Conversion"/>
      <sheetName val="Peta Quarry"/>
      <sheetName val="Conditions"/>
      <sheetName val="Master"/>
      <sheetName val="Schedule lot 8"/>
      <sheetName val="Unit Price-WIKA intern"/>
      <sheetName val="Unit Price-WIKA ext"/>
      <sheetName val="Unit Price-WK"/>
      <sheetName val="ExchangeRate"/>
      <sheetName val="An-TEK"/>
      <sheetName val="An-TEK (2)"/>
      <sheetName val="BASIC PRICE (2)"/>
      <sheetName val="Unit Price (2)"/>
      <sheetName val="SERIE C"/>
      <sheetName val="Unit Price-WIKA ext (2)"/>
      <sheetName val="SERIE B"/>
      <sheetName val="Rekap Harga Sipil"/>
      <sheetName val="Sat. Pek."/>
      <sheetName val="Pond Bangunan Utama"/>
      <sheetName val="Bangunan Utama A"/>
      <sheetName val="Bangunan Utama B "/>
      <sheetName val="Bangunan Utama C"/>
      <sheetName val=" Lantai Bangunan "/>
      <sheetName val="Dinding P. Tanah"/>
      <sheetName val="PAO, SCR &amp; MLR"/>
      <sheetName val="Transfer Carr"/>
      <sheetName val="L. Ramp"/>
      <sheetName val="Sterilizer"/>
      <sheetName val="Tippler"/>
      <sheetName val="Rel Track"/>
      <sheetName val="Capstan &amp; Bollard"/>
      <sheetName val="Threshing"/>
      <sheetName val="Pressing"/>
      <sheetName val="Kernel Recovery"/>
      <sheetName val=" Pondasi  KSB"/>
      <sheetName val=" Empty Bunch Area"/>
      <sheetName val="Clarification"/>
      <sheetName val="Fat Pit"/>
      <sheetName val="Power House"/>
      <sheetName val="Pondasi Boiler"/>
      <sheetName val="Cable Trench &amp; Pond Panel"/>
      <sheetName val="Pondasi CPO Tank"/>
      <sheetName val="WTP"/>
      <sheetName val="J. Timbang "/>
      <sheetName val="G. Kimia"/>
      <sheetName val="Loading Sheed"/>
      <sheetName val="Toilet Block"/>
      <sheetName val="T. Parkir M &amp; S"/>
      <sheetName val="Pos Jaga-2"/>
      <sheetName val="Musholla"/>
      <sheetName val="Balai P. Karyawan"/>
      <sheetName val="Pos Grading"/>
      <sheetName val="Bak Fiber"/>
      <sheetName val="Bak Shell"/>
      <sheetName val="R. Pompa Diesel"/>
      <sheetName val="R. P. Oil Despath"/>
      <sheetName val="R. Pompa K. Limbah"/>
      <sheetName val="Power Pack"/>
      <sheetName val="Area Parkir Truk"/>
      <sheetName val="Jalan &amp; Saluran "/>
      <sheetName val="Turfing"/>
      <sheetName val="Sal Underflow"/>
      <sheetName val="Pagar &amp; Pintu Pabrik"/>
      <sheetName val=" Pagar Waduk"/>
      <sheetName val="Pagar Kolam Limbah"/>
      <sheetName val="Gudang Kernel"/>
      <sheetName val="General Item"/>
      <sheetName val="Sub Contract"/>
      <sheetName val="Contigence"/>
      <sheetName val="Personnel"/>
      <sheetName val="DIV X"/>
      <sheetName val="AN-HSP"/>
      <sheetName val="ALAT-1"/>
      <sheetName val="AGG, C"/>
      <sheetName val="URAIAN ALAT"/>
      <sheetName val="LALIN"/>
      <sheetName val="URAI X"/>
      <sheetName val="REKAP - 2006"/>
      <sheetName val="BQ - 2006"/>
      <sheetName val="traffic"/>
      <sheetName val="Perhitungan Mobilisasi Alat"/>
      <sheetName val="Jembatan Sementara"/>
      <sheetName val="HRG MAT"/>
      <sheetName val="FINALISASI (1)"/>
      <sheetName val="REKAP (1)"/>
      <sheetName val="REKAP (3)"/>
      <sheetName val="BQ (1)"/>
      <sheetName val="BQ (2)"/>
      <sheetName val="BQ (3)"/>
      <sheetName val="AN-RC"/>
      <sheetName val="MOB Air Pangi"/>
      <sheetName val="MOB Air Empayang"/>
      <sheetName val="MOB Air Kikim"/>
      <sheetName val="k-350"/>
      <sheetName val="rigid"/>
      <sheetName val="kayu"/>
      <sheetName val="kayu1"/>
      <sheetName val="7.16.1"/>
      <sheetName val="demolition"/>
      <sheetName val="box culvert"/>
      <sheetName val="ready mix"/>
      <sheetName val="polos"/>
      <sheetName val="Unit Price(Barrier)"/>
      <sheetName val="Barrier"/>
      <sheetName val="Unit Price(1)"/>
      <sheetName val="Rekap(2)"/>
      <sheetName val="Civil Work(3-5)"/>
      <sheetName val="Equipment Cost(6)"/>
      <sheetName val="Material Cost(7)"/>
      <sheetName val="IDC(8-10)"/>
      <sheetName val="employer(11)"/>
      <sheetName val="Local Staff(12)"/>
      <sheetName val="sekret(13)"/>
      <sheetName val="facility(14)"/>
      <sheetName val="trans(15)"/>
      <sheetName val="Labour(16)"/>
      <sheetName val="BP(17)"/>
      <sheetName val="Eqp Opr(18)"/>
      <sheetName val="Exchange Rate"/>
      <sheetName val="rab-ver2"/>
      <sheetName val="ALJAZAIR  FINAL BEAM"/>
      <sheetName val="rapat"/>
      <sheetName val="hrg dasar"/>
      <sheetName val="Q'TY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3"/>
      <sheetName val="DIV.8.a"/>
      <sheetName val="DIV.9"/>
      <sheetName val="6.PEK ASPAL"/>
      <sheetName val="7.PEK-STRUKTUR"/>
      <sheetName val="SK 5.3"/>
      <sheetName val="5.1-5.4(1)-5.4(2)"/>
      <sheetName val="Sat_ Pek_"/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SD"/>
      <sheetName val="Komposisi"/>
      <sheetName val="AHS Aspal"/>
      <sheetName val="AHS Marka"/>
      <sheetName val="Analisa lampu"/>
      <sheetName val="Usulan"/>
      <sheetName val="BA PP (2)"/>
      <sheetName val="BA Prestasi"/>
      <sheetName val="Tindak Lanjut"/>
      <sheetName val="samsidb"/>
      <sheetName val="P2K3"/>
      <sheetName val="EvPBM"/>
      <sheetName val="PresBul"/>
      <sheetName val="PresPek"/>
      <sheetName val="EvProd"/>
      <sheetName val="Tahap"/>
      <sheetName val="MSL"/>
      <sheetName val="UPY"/>
      <sheetName val="6_PEK ASPAL"/>
      <sheetName val="TOTAL BTL"/>
      <sheetName val="SEKRETARIAT"/>
      <sheetName val="PERSONALIA"/>
      <sheetName val="SS MNGMNT"/>
      <sheetName val="DIV_3"/>
      <sheetName val="DIV_8"/>
      <sheetName val="DIV_9"/>
      <sheetName val="AN_RC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  <sheetName val="ANAL_BOW"/>
      <sheetName val="r.dokter"/>
      <sheetName val="R.JENAZAH"/>
      <sheetName val="R. MUSHOLA"/>
      <sheetName val="R. JAGA"/>
      <sheetName val="R.KBDANAN (2)"/>
      <sheetName val="VIP (2)"/>
      <sheetName val="G.2.1 (PPh Ps 22)"/>
      <sheetName val="DETAIL "/>
      <sheetName val="P.2.1.1"/>
      <sheetName val=" R.2.1"/>
      <sheetName val="Q.3.1-Payment of pension"/>
      <sheetName val="PENSION"/>
      <sheetName val="C.1"/>
      <sheetName val="C.2"/>
      <sheetName val="C.2.1"/>
      <sheetName val="C.3"/>
      <sheetName val="C.4"/>
      <sheetName val="D.1"/>
      <sheetName val="E-1.2"/>
      <sheetName val="E-2"/>
      <sheetName val="F.1"/>
      <sheetName val="F.2"/>
      <sheetName val="F.5"/>
      <sheetName val="F.6"/>
      <sheetName val="G-1.3"/>
      <sheetName val="K.1"/>
      <sheetName val="K.2"/>
      <sheetName val="K.2.1"/>
      <sheetName val="K.2.2"/>
      <sheetName val="K.3"/>
      <sheetName val="K.4"/>
      <sheetName val="J.2"/>
      <sheetName val="N.1"/>
      <sheetName val="N.2"/>
      <sheetName val="N.3"/>
      <sheetName val="NN"/>
      <sheetName val="P"/>
      <sheetName val="Pe"/>
      <sheetName val="Pen"/>
      <sheetName val="O.4"/>
      <sheetName val="U.1.1"/>
      <sheetName val="U.1.2"/>
      <sheetName val="U.1.3"/>
      <sheetName val="U.2.1"/>
      <sheetName val="U-3.1"/>
      <sheetName val="U.3.2"/>
      <sheetName val="Rekap SKP"/>
      <sheetName val="U-5.1"/>
      <sheetName val="WBS1-RIN"/>
      <sheetName val="WBS2-RIN "/>
      <sheetName val="GAJI-RIN"/>
      <sheetName val="WPL-RIN "/>
      <sheetName val="Wbs 2"/>
      <sheetName val="pembelian"/>
      <sheetName val="BS - Asset"/>
      <sheetName val="BS - Liabilities"/>
      <sheetName val="Ex-Rate"/>
      <sheetName val="ass"/>
      <sheetName val="ise"/>
      <sheetName val="sls"/>
      <sheetName val="dompr"/>
      <sheetName val="exppr"/>
      <sheetName val="grain"/>
      <sheetName val="CoS"/>
      <sheetName val="d&amp;s"/>
      <sheetName val="g&amp;a"/>
      <sheetName val="otinc"/>
      <sheetName val="forex"/>
      <sheetName val="ms"/>
      <sheetName val="artrd"/>
      <sheetName val="arot"/>
      <sheetName val="forward"/>
      <sheetName val="inv"/>
      <sheetName val="adpd"/>
      <sheetName val="pretx"/>
      <sheetName val="prexp"/>
      <sheetName val="ppe"/>
      <sheetName val="cip"/>
      <sheetName val="capex 2002"/>
      <sheetName val="def"/>
      <sheetName val="dep"/>
      <sheetName val="otas"/>
      <sheetName val="loan"/>
      <sheetName val="aptr"/>
      <sheetName val="apaf"/>
      <sheetName val="apot"/>
      <sheetName val="adrec"/>
      <sheetName val="corp"/>
      <sheetName val="gp"/>
      <sheetName val="rm"/>
      <sheetName val="im"/>
      <sheetName val="fgdet"/>
      <sheetName val="whcon"/>
      <sheetName val="whinv"/>
      <sheetName val="chesacomp"/>
      <sheetName val="Ingredient"/>
      <sheetName val="chesa"/>
      <sheetName val="udon"/>
      <sheetName val="fl"/>
      <sheetName val="mo"/>
      <sheetName val="pwr"/>
      <sheetName val="packing"/>
      <sheetName val="Pwr_Adm"/>
      <sheetName val="cke"/>
      <sheetName val="ck"/>
      <sheetName val="ks"/>
      <sheetName val="ke"/>
      <sheetName val="kb"/>
      <sheetName val="sellpr"/>
      <sheetName val="slsvol"/>
      <sheetName val="bppr"/>
      <sheetName val="cpxdp"/>
      <sheetName val="cpxndp"/>
      <sheetName val="loan (2)"/>
      <sheetName val="crmov"/>
      <sheetName val="grist"/>
      <sheetName val="trd"/>
      <sheetName val="PO"/>
      <sheetName val="Tran0104 (2)"/>
      <sheetName val="Tran0104"/>
      <sheetName val="9O 1.2 Tran0104 (2)"/>
      <sheetName val="9O 1.1"/>
      <sheetName val="TB per May"/>
      <sheetName val="TB0008"/>
      <sheetName val="TB JUNE 2007"/>
      <sheetName val="L-Otr.Ast "/>
      <sheetName val="Paje"/>
      <sheetName val="SRI L"/>
      <sheetName val="SING"/>
      <sheetName val="VIET"/>
      <sheetName val="MALE"/>
      <sheetName val="E1.2GROUP-DIRECT"/>
      <sheetName val="Ex_Rate"/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RINCIAN (2)"/>
      <sheetName val="Audit Issues"/>
      <sheetName val="A 3-1"/>
      <sheetName val="A 3-2"/>
      <sheetName val="A 3-3"/>
      <sheetName val="K 1"/>
      <sheetName val="U 2"/>
      <sheetName val="U 3"/>
      <sheetName val="U 4"/>
      <sheetName val="RL"/>
      <sheetName val="TB"/>
      <sheetName val="PA(R)JE"/>
      <sheetName val="Summary diff ARE"/>
      <sheetName val="Sum All"/>
      <sheetName val="BPW-Europe"/>
      <sheetName val="Thai"/>
      <sheetName val="BPWI"/>
      <sheetName val="Agustus"/>
      <sheetName val="September"/>
      <sheetName val="Oktober"/>
      <sheetName val="November"/>
      <sheetName val="December"/>
      <sheetName val="induk (2)"/>
      <sheetName val="Predictive FA Fiscal"/>
      <sheetName val="lre"/>
      <sheetName val="bre"/>
      <sheetName val="lrf"/>
      <sheetName val="BUT-1"/>
      <sheetName val="HEX-A"/>
      <sheetName val="HEX-E"/>
      <sheetName val="I-BUT"/>
      <sheetName val="RD I-BUT"/>
      <sheetName val="FIXED FLOAT"/>
      <sheetName val="11493-FIX"/>
      <sheetName val="11499"/>
      <sheetName val="TRAV ADV"/>
      <sheetName val="OTHER ADV"/>
      <sheetName val="PREPAID EXP"/>
      <sheetName val="INSC EXP"/>
      <sheetName val="CURRENT LIAB"/>
      <sheetName val="PM"/>
      <sheetName val="TMP1"/>
      <sheetName val="WORKS"/>
      <sheetName val="Elim"/>
      <sheetName val="U.1"/>
      <sheetName val="Sales Analysis"/>
      <sheetName val="U.1.2 (Sales Cut-Off)"/>
      <sheetName val="U.2"/>
      <sheetName val="U.2.1 (Purchase Cut-Off"/>
      <sheetName val="U.2-1 Attachment"/>
      <sheetName val="U.3"/>
      <sheetName val="U.4"/>
      <sheetName val="AI"/>
      <sheetName val="NIGERIA"/>
      <sheetName val="PM-TE"/>
      <sheetName val="PTD"/>
      <sheetName val="A3"/>
      <sheetName val="E-Lead"/>
      <sheetName val="E3.1"/>
      <sheetName val="E4.1a"/>
      <sheetName val="E4.1b"/>
      <sheetName val="E4.1c"/>
      <sheetName val="E4.1d"/>
      <sheetName val="RM Move"/>
      <sheetName val="PM Move "/>
      <sheetName val="Standard Costing Calculation FG"/>
      <sheetName val="RoFo"/>
      <sheetName val="G4"/>
      <sheetName val="G5"/>
      <sheetName val="Predictive test"/>
      <sheetName val="G6"/>
      <sheetName val="G7"/>
      <sheetName val="K - Lead"/>
      <sheetName val="List FA, Predictive TEst"/>
      <sheetName val="K1.2"/>
      <sheetName val="K1.4"/>
      <sheetName val="List SGU, Predictive test"/>
      <sheetName val="List CIP"/>
      <sheetName val="N Lead"/>
      <sheetName val="N1"/>
      <sheetName val="Aging-Local"/>
      <sheetName val="Aging-Import"/>
      <sheetName val="N2"/>
      <sheetName val="N3"/>
      <sheetName val="N3.1"/>
      <sheetName val="N3.4"/>
      <sheetName val="N3.2"/>
      <sheetName val="N3.3"/>
      <sheetName val="N4"/>
      <sheetName val="N4.1"/>
      <sheetName val="P1a"/>
      <sheetName val="P1b"/>
      <sheetName val="O1"/>
      <sheetName val="O1.1"/>
      <sheetName val="O2"/>
      <sheetName val="U1"/>
      <sheetName val="U1.1 ; U1.2 ; U1.4"/>
      <sheetName val="U1.3"/>
      <sheetName val="Sales by Class"/>
      <sheetName val="Product"/>
      <sheetName val="Sales Disc"/>
      <sheetName val="Predictive test sales disc"/>
      <sheetName val="Test Sales Price"/>
      <sheetName val="Sales Cutoff"/>
      <sheetName val="U2"/>
      <sheetName val="Test Purchase"/>
      <sheetName val="Purchase Cut off"/>
      <sheetName val="U3"/>
      <sheetName val="U5"/>
      <sheetName val="Vouching Buying Fee"/>
      <sheetName val="Predictive Insurance"/>
      <sheetName val="Insurance"/>
      <sheetName val="U4"/>
      <sheetName val="Cross Check"/>
      <sheetName val="Cash on hand and in banks"/>
      <sheetName val="Short-term investment"/>
      <sheetName val="Accounts receivable"/>
      <sheetName val="Other receivable (payable)"/>
      <sheetName val="Inventories"/>
      <sheetName val="Prepaid exp, tax and advance"/>
      <sheetName val="Fixed Assets"/>
      <sheetName val="Other Assets"/>
      <sheetName val="Notes Payable"/>
      <sheetName val="AP trade"/>
      <sheetName val="Taxes payable"/>
      <sheetName val="Advance from customer"/>
      <sheetName val="Pension Fund"/>
      <sheetName val="Deferred tax liabilities"/>
      <sheetName val="Unrealized Gain on MF"/>
      <sheetName val="Other charges (income)"/>
      <sheetName val="def tax"/>
      <sheetName val="LR Fiskal"/>
      <sheetName val="Rekon Fiscal"/>
      <sheetName val="CAJE-CRJE"/>
      <sheetName val="FA Fiskal"/>
      <sheetName val="List FA-Fis"/>
      <sheetName val="FA-Kom'04 (2)"/>
      <sheetName val="Addition FA"/>
      <sheetName val="FA Mutation"/>
      <sheetName val="WBS-1-Analytical"/>
      <sheetName val="WBS-1-Audit"/>
      <sheetName val="WBS-2-Analytical"/>
      <sheetName val="WBS-2-Audit"/>
      <sheetName val="Analytical B.S"/>
      <sheetName val="WPL-Analytical"/>
      <sheetName val="WPL-Audit"/>
      <sheetName val="Analytical I.S"/>
      <sheetName val="C Lead"/>
      <sheetName val="E Lead"/>
      <sheetName val="E.1-other receivable"/>
      <sheetName val="E.2-amount due from rel parties"/>
      <sheetName val="E.3-bill receivable"/>
      <sheetName val="E.4-receivable from employee"/>
      <sheetName val="E.5-subseq receipt"/>
      <sheetName val="F Lead"/>
      <sheetName val="F.1-Inv List as of Dec 31, 2006"/>
      <sheetName val="G Lead"/>
      <sheetName val="G-1.3 Sum of Insurance"/>
      <sheetName val="K Lead "/>
      <sheetName val="N-2 subseq paymnt"/>
      <sheetName val="O Lead"/>
      <sheetName val="P Lead"/>
      <sheetName val="P-2 accrued exp subseq payment"/>
      <sheetName val="R Lead"/>
      <sheetName val="U-1.1 analytical sales"/>
      <sheetName val="U-2.1 Analytical Purchase"/>
      <sheetName val="U-2.1.1 purch per supplier '06"/>
      <sheetName val="U-2.1.2 purch per supplier '05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Module1"/>
      <sheetName val="CENTRAL"/>
      <sheetName val="CENTRAL-1"/>
      <sheetName val="NOT-HIT"/>
      <sheetName val="PHP"/>
      <sheetName val="SP-PET"/>
      <sheetName val="JV"/>
      <sheetName val="Main table"/>
      <sheetName val="Expats' Rental"/>
      <sheetName val="Booked Rentals"/>
      <sheetName val="Accrued Rentals"/>
      <sheetName val="ROSS LIST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Opening"/>
      <sheetName val="F.2.1"/>
      <sheetName val="F.3.1"/>
      <sheetName val="G.1-2 Attachment"/>
      <sheetName val="A.4.1"/>
      <sheetName val="E.1"/>
      <sheetName val="E.2"/>
      <sheetName val="G.1"/>
      <sheetName val="G.2"/>
      <sheetName val="I.1"/>
      <sheetName val="A.4.2"/>
      <sheetName val="M.2"/>
      <sheetName val="I.2"/>
      <sheetName val="A.4.3"/>
      <sheetName val="U.5"/>
      <sheetName val="U.6"/>
      <sheetName val="U.7"/>
      <sheetName val="SAD"/>
      <sheetName val="A_4_2"/>
      <sheetName val="A_4_3"/>
      <sheetName val="Chart"/>
      <sheetName val="Journal"/>
      <sheetName val="Analytical Review"/>
      <sheetName val="NOT"/>
      <sheetName val="mutasiCF"/>
      <sheetName val="CF suppl."/>
      <sheetName val="Memo cash"/>
      <sheetName val="Memo AR"/>
      <sheetName val="E 1"/>
      <sheetName val="E 2"/>
      <sheetName val="Memo F"/>
      <sheetName val="Memo G"/>
      <sheetName val="G 1"/>
      <sheetName val="G 2"/>
      <sheetName val="Memo H"/>
      <sheetName val="H1"/>
      <sheetName val="HH"/>
      <sheetName val="Memo I"/>
      <sheetName val="I 1"/>
      <sheetName val="I 2"/>
      <sheetName val="I 3"/>
      <sheetName val="I 4"/>
      <sheetName val="Memo J"/>
      <sheetName val="J Lead"/>
      <sheetName val="J 1"/>
      <sheetName val="Memo K"/>
      <sheetName val="K Lead"/>
      <sheetName val="K 2"/>
      <sheetName val="K 2.1"/>
      <sheetName val="K 2.2"/>
      <sheetName val="K 2.3"/>
      <sheetName val="K 3"/>
      <sheetName val="K 4 FA combined"/>
      <sheetName val="N Memo"/>
      <sheetName val="N 1"/>
      <sheetName val="N 2"/>
      <sheetName val="N 3"/>
      <sheetName val="O Memo"/>
      <sheetName val="O 2"/>
      <sheetName val="P Memo"/>
      <sheetName val="P 1"/>
      <sheetName val="P 2"/>
      <sheetName val="P 2.1"/>
      <sheetName val="P 3"/>
      <sheetName val="P 3.1"/>
      <sheetName val="Q Lead"/>
      <sheetName val="QQ"/>
      <sheetName val="T lead"/>
      <sheetName val="U 1"/>
      <sheetName val="U 1.1"/>
      <sheetName val="U 1.2"/>
      <sheetName val="U 1.3"/>
      <sheetName val="U 1.4"/>
      <sheetName val="U 1.5"/>
      <sheetName val="U 3.1"/>
      <sheetName val="U 4.1"/>
      <sheetName val="U 5"/>
      <sheetName val="K 2_1"/>
      <sheetName val="NAMECODE"/>
      <sheetName val="Bank-GIRO"/>
      <sheetName val="Bank-real"/>
      <sheetName val="Bank-1"/>
      <sheetName val="Kas-Juli"/>
      <sheetName val="kas-Agust"/>
      <sheetName val="A-1 WBS-1"/>
      <sheetName val="A-2 WBS-2"/>
      <sheetName val="A-3 WPL"/>
      <sheetName val="E. AR"/>
      <sheetName val="F. Inventory"/>
      <sheetName val="G-2. Prepaid Expenses"/>
      <sheetName val="J. Other Assets"/>
      <sheetName val="M. Short-term Loan"/>
      <sheetName val="N. AP"/>
      <sheetName val="O. Tax Payable"/>
      <sheetName val="P-2. Accrued Expenses"/>
      <sheetName val="U-3-1 Analytical-Selling"/>
      <sheetName val="TAX LIST"/>
      <sheetName val="K 2.4"/>
      <sheetName val="BDG ROKAN "/>
      <sheetName val="BDG KOTA TENGAH "/>
      <sheetName val="BDG TRIKORA "/>
      <sheetName val="BDG SENGGARANG "/>
      <sheetName val="BDG PASIR.PTH "/>
      <sheetName val="BDG Alai "/>
      <sheetName val="BDG RANGSANG BARAT"/>
      <sheetName val="BDG PANCUR"/>
      <sheetName val="BoQ pond.Genset ROKAN"/>
      <sheetName val="Hit P.Genset ROKAN"/>
      <sheetName val="BoQ pond.Genset KOTA TENGAH"/>
      <sheetName val="Hit P.Genset KOTA TENGAH"/>
      <sheetName val="BoQ pond.Genset TRIKORA"/>
      <sheetName val="Hit P.Genset TRIKORA"/>
      <sheetName val="BoQ pond.Genset SENGGARANG"/>
      <sheetName val="BoQ pond.Genset Alai"/>
      <sheetName val="Hit P.Genset Alai"/>
      <sheetName val="BoQ pond.Genset Rangsang barat"/>
      <sheetName val="Hit P.Genset Rangsang brt"/>
      <sheetName val="BoQ pond.Genset Pancur"/>
      <sheetName val="Hit P.Genset P.Pancur"/>
      <sheetName val="BoQ P.Genset PASIR.PTH"/>
      <sheetName val="Hit P.Genset P.Putih"/>
      <sheetName val="ANALISA 011205 "/>
      <sheetName val="DAFHAR MAT&amp;UPAH"/>
      <sheetName val="BDG pond.Genset  "/>
      <sheetName val="BoQ pond.Genset "/>
      <sheetName val="Hit pond.Genset"/>
      <sheetName val="TB 29FEB08"/>
      <sheetName val="TB31MAR08"/>
      <sheetName val="TB30SEP07"/>
      <sheetName val="PL31March07"/>
      <sheetName val="TB31AUG08"/>
      <sheetName val="PL31AUG08"/>
      <sheetName val="TB30SEP08"/>
      <sheetName val="TOP-WP"/>
      <sheetName val="WS-BS MAR 09"/>
      <sheetName val="WS-IS MAR 09"/>
      <sheetName val="PAJE&amp;PRJE"/>
      <sheetName val="CAJE08"/>
      <sheetName val="Fluc IS 0706 "/>
      <sheetName val="Fluc BS 0706"/>
      <sheetName val="PM &amp; TE"/>
      <sheetName val="TB FEb'09"/>
      <sheetName val="WBS"/>
      <sheetName val="PP-05"/>
      <sheetName val="aktiva lain"/>
      <sheetName val="old"/>
      <sheetName val="Control Risk Apects"/>
      <sheetName val="bs-audit"/>
      <sheetName val="pl-audit"/>
      <sheetName val="PL_segment"/>
      <sheetName val="รายละเอียดประกอบ"/>
      <sheetName val="PL-เปรียบเทียบ"/>
      <sheetName val="asset"/>
      <sheetName val="asset-AUDIT"/>
      <sheetName val=" INCOME"/>
      <sheetName val="Dept. Obj"/>
      <sheetName val="Dept. Obj (2)"/>
      <sheetName val="วิเคราะห์"/>
      <sheetName val="pcs_avg"/>
      <sheetName val="sum_prd"/>
      <sheetName val="sum_pack"/>
      <sheetName val="personal"/>
      <sheetName val="note_defect"/>
      <sheetName val="lat"/>
      <sheetName val="STARBL"/>
      <sheetName val="AFTTAXPAY"/>
      <sheetName val="ACCAL"/>
      <sheetName val="BGT97STAFF"/>
      <sheetName val="Content"/>
      <sheetName val="PRSSC2"/>
      <sheetName val="Repair&amp;Maint-PRSSC2"/>
      <sheetName val="4.2 Productivity-PRSSC2"/>
      <sheetName val="Man-Power"/>
      <sheetName val="organize"/>
      <sheetName val="Break_Sep"/>
      <sheetName val="Break_Oct"/>
      <sheetName val="Break_Sep (2)"/>
      <sheetName val="Break_Oct (2)"/>
      <sheetName val="Break_Sep_60"/>
      <sheetName val="Break_Oct_60"/>
      <sheetName val="Break_Oct_60 (2)"/>
      <sheetName val="Cost STR20 "/>
      <sheetName val="DATA WP"/>
      <sheetName val="KKP I"/>
      <sheetName val="B.1"/>
      <sheetName val="B.1.1"/>
      <sheetName val="B.1.2"/>
      <sheetName val="B.1.3"/>
      <sheetName val="B.1.4"/>
      <sheetName val="B.1.5"/>
      <sheetName val="B.1.6"/>
      <sheetName val="B.1.6 (2)"/>
      <sheetName val="B.1.6 (3)"/>
      <sheetName val="B.2"/>
      <sheetName val="B.2.1"/>
      <sheetName val="B.2.1.1"/>
      <sheetName val="B.2.1.2"/>
      <sheetName val="B.2.1.3 "/>
      <sheetName val="B.2.1.4"/>
      <sheetName val="B.2.1.5"/>
      <sheetName val="B.2.1.6"/>
      <sheetName val="B.2.1.7"/>
      <sheetName val="B.2.1.8"/>
      <sheetName val="B.2.1.9"/>
      <sheetName val="B.2.1.10"/>
      <sheetName val="B.2.1.11"/>
      <sheetName val="B.2.1.12"/>
      <sheetName val="B.2.1.13"/>
      <sheetName val="B.2.1.14"/>
      <sheetName val="B.2.1.15"/>
      <sheetName val="B.2.1.16"/>
      <sheetName val="B.2.1.17"/>
      <sheetName val="B.2.2"/>
      <sheetName val="B.2.2 1"/>
      <sheetName val="B.2.3"/>
      <sheetName val="B.3"/>
      <sheetName val="B.3.1"/>
      <sheetName val="B.3.2"/>
      <sheetName val="B.4"/>
      <sheetName val="B.4.1"/>
      <sheetName val="B.4.2"/>
      <sheetName val="B.4.2.1 "/>
      <sheetName val="B.4.2.2"/>
      <sheetName val="B.4.2.3"/>
      <sheetName val="B.4.2.4 "/>
      <sheetName val="B.4.2.5"/>
      <sheetName val="B.4.2.6"/>
      <sheetName val="B.4.2.7"/>
      <sheetName val="B.4.2.8"/>
      <sheetName val="B.4.3"/>
      <sheetName val="B.4.3.1"/>
      <sheetName val="B.4.3.2"/>
      <sheetName val="B.4.3.3"/>
      <sheetName val="B.4.3.4"/>
      <sheetName val="B.4.3.5"/>
      <sheetName val="B.4.3.6"/>
      <sheetName val="B.4.3.7 "/>
      <sheetName val="B.4.3.8 "/>
      <sheetName val="B.4.3.9"/>
      <sheetName val="B.4.3.10"/>
      <sheetName val="B.4.3.11"/>
      <sheetName val="B.4.3.12"/>
      <sheetName val="B.4.3.13"/>
      <sheetName val="B.4.3.14"/>
      <sheetName val="B.4.3.15"/>
      <sheetName val="B.4.3.16"/>
      <sheetName val="B.4.3.18"/>
      <sheetName val="E.1.1"/>
      <sheetName val="E.1.3 (2)"/>
      <sheetName val="E.3"/>
      <sheetName val="E.3.1"/>
      <sheetName val="E.3.2"/>
      <sheetName val="E.3.3"/>
      <sheetName val="E.5"/>
      <sheetName val="E.5.1"/>
      <sheetName val="E.5.2"/>
      <sheetName val="E.6"/>
      <sheetName val="E.8.4 (2)"/>
      <sheetName val="E.8"/>
      <sheetName val="E.8.1"/>
      <sheetName val="E.8.4"/>
      <sheetName val="B.1.6 (4)"/>
      <sheetName val="B.1.6 (5)"/>
      <sheetName val="21pph"/>
      <sheetName val="PPH 21 (2)"/>
      <sheetName val="E.2.1"/>
      <sheetName val="duatiga"/>
      <sheetName val="4(2)"/>
      <sheetName val="E.4"/>
      <sheetName val="E.4.1"/>
      <sheetName val="duaenam"/>
      <sheetName val="E.8.1.1"/>
      <sheetName val="E.8.1.1.1-12"/>
      <sheetName val="E.8.1.2"/>
      <sheetName val="E.8.1.3"/>
      <sheetName val="E.8.2"/>
      <sheetName val="E.8.3"/>
      <sheetName val="E.8.5"/>
      <sheetName val="teliti"/>
      <sheetName val="FKT_PJK"/>
      <sheetName val="SPTSewa"/>
      <sheetName val="BPot_Sewa"/>
      <sheetName val="adm"/>
      <sheetName val="BP-21"/>
      <sheetName val="DT_PPH23"/>
      <sheetName val="SPT23"/>
      <sheetName val="SPT23(2)"/>
      <sheetName val="LapFinal"/>
      <sheetName val="SPTFinal"/>
      <sheetName val="BktPPhf"/>
      <sheetName val="SSP (final)"/>
      <sheetName val="SPm21"/>
      <sheetName val="SPm21 (2)"/>
      <sheetName val="Art23"/>
      <sheetName val="DATA_FP"/>
      <sheetName val="FP MODI_A"/>
      <sheetName val="PPh"/>
      <sheetName val="OBYEK"/>
      <sheetName val="REKONSILIASI"/>
      <sheetName val="Reclass"/>
      <sheetName val="DT 31 Dec 2001"/>
      <sheetName val="Tax Calc. 2002"/>
      <sheetName val="DT 31 Dec 2002"/>
      <sheetName val="BS-PL"/>
      <sheetName val="ShareCapital "/>
      <sheetName val="Data Sales tahunan"/>
      <sheetName val="Kalkulasi Loan"/>
      <sheetName val="Elimasi Induk by AR"/>
      <sheetName val="VERSI RILLY"/>
      <sheetName val="For RKAP OKOP"/>
      <sheetName val="PK"/>
      <sheetName val="ah.cp"/>
      <sheetName val="hs.cp"/>
      <sheetName val="hs me"/>
      <sheetName val="ah sanitary"/>
      <sheetName val="hs pipa"/>
      <sheetName val="acc pl"/>
      <sheetName val="p refr"/>
      <sheetName val="AN-ARS"/>
      <sheetName val="AN-STR"/>
      <sheetName val="HS-BAHAN"/>
      <sheetName val="HS-UPAH"/>
      <sheetName val="HS- ALAT"/>
      <sheetName val="LAIN"/>
      <sheetName val="refrigerant"/>
      <sheetName val="accesories pl"/>
      <sheetName val="saklar"/>
      <sheetName val="lampu"/>
      <sheetName val="hs inst. elektrikal"/>
      <sheetName val="itwil"/>
      <sheetName val="bupati"/>
      <sheetName val="bappeda"/>
      <sheetName val="exhaust"/>
      <sheetName val="spesifikasi mat dan type"/>
      <sheetName val="Non Std Mek"/>
      <sheetName val="Non Std Elekt"/>
      <sheetName val="hs elektrikal"/>
      <sheetName val="dft peralatan"/>
      <sheetName val="schedyle"/>
      <sheetName val="dft material"/>
      <sheetName val="kop brosur"/>
      <sheetName val="take up mtrl ducting"/>
      <sheetName val="lm4"/>
      <sheetName val="persed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Daf-Isi"/>
      <sheetName val="SAWIT"/>
      <sheetName val="KARET"/>
      <sheetName val="TEH"/>
      <sheetName val="KANDIR"/>
      <sheetName val="NERACA LAJUR"/>
      <sheetName val="LARU-KOM"/>
      <sheetName val="LARU-BI"/>
      <sheetName val="PER-HP"/>
      <sheetName val="L-R RKAP"/>
      <sheetName val="L-R per Kom"/>
      <sheetName val="L-R RKAP 1Thn"/>
      <sheetName val="L-R per Kom (2)"/>
      <sheetName val="L-R per Kom BI"/>
      <sheetName val="LR-PROG"/>
      <sheetName val="PJK_FIS"/>
      <sheetName val="ahp duct bdn"/>
      <sheetName val="pipa hydr bdn"/>
      <sheetName val="access duct bdn"/>
      <sheetName val="ahp duct dan hydrat bdn"/>
      <sheetName val="hs elektrikal bdn"/>
      <sheetName val="panel bdn &amp; acce ducting"/>
      <sheetName val="Beban-beban"/>
      <sheetName val="Beban-beban Jan-Jun Olah"/>
      <sheetName val="Pajak Tangguhan"/>
      <sheetName val="Pajak Tangguhan (2)"/>
      <sheetName val="Anggaran"/>
      <sheetName val="TBS"/>
      <sheetName val="Cash_Flow_Mar 03"/>
      <sheetName val="NewCash_Flow_Mar '03"/>
      <sheetName val="Perubahan EkuitasMar '03"/>
      <sheetName val="Neraca_Mar 03"/>
      <sheetName val="Form_Breakdown"/>
      <sheetName val="RL_JMver_Mar 03"/>
      <sheetName val="Maret2003"/>
      <sheetName val="Cash_Flow_Des '02"/>
      <sheetName val="Neraca_Des 02"/>
      <sheetName val="RL_JMver_Des'02"/>
      <sheetName val="Jun2002"/>
      <sheetName val="LEAD KONSOL"/>
      <sheetName val="AGING KONSOL"/>
      <sheetName val="PENDING KONFIRMASI ALL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A PJK_FIS N6"/>
      <sheetName val="L33B PJK_FIS BK"/>
      <sheetName val="L34A Perhit_Pjk Tangguhan PN6"/>
      <sheetName val="L34B Perhit_Pjk Tangguhan BK"/>
      <sheetName val="L37 PJK_FIS"/>
      <sheetName val="L38 Tenaker"/>
      <sheetName val="L40 Kinerja 198"/>
      <sheetName val="Ist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L33 PJK_FIS"/>
      <sheetName val="mm"/>
      <sheetName val="DAF.ISI"/>
      <sheetName val="NERKON "/>
      <sheetName val="P&amp;L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REKAP-AT"/>
      <sheetName val="BIBIT"/>
      <sheetName val="DEPRE-TM"/>
      <sheetName val="AK-PRS"/>
      <sheetName val="BTGH"/>
      <sheetName val="H-DGG"/>
      <sheetName val="BTH"/>
      <sheetName val="H-GJ"/>
      <sheetName val="H-KONT"/>
      <sheetName val="H-PJK"/>
      <sheetName val="H-LL"/>
      <sheetName val="H-B"/>
      <sheetName val="H-PMG-SHM"/>
      <sheetName val="LABA-DTHN"/>
      <sheetName val="AL-Peny-BTL-Fin"/>
      <sheetName val="BTL-PT'S"/>
      <sheetName val="HAL"/>
      <sheetName val="P-Kebun "/>
      <sheetName val="P-DGN"/>
      <sheetName val="PsDiPj"/>
      <sheetName val="PPEGxx"/>
      <sheetName val="BYRMXX"/>
      <sheetName val="PPEMxx"/>
      <sheetName val="PLL "/>
      <sheetName val="AL-BTL KK (2)"/>
      <sheetName val="XXXX"/>
      <sheetName val="BTL  "/>
      <sheetName val="XXX"/>
      <sheetName val="BTXX"/>
      <sheetName val="Ak_pro (2)"/>
      <sheetName val="Ak_pro"/>
      <sheetName val="HUT "/>
      <sheetName val="HK"/>
      <sheetName val="HR"/>
      <sheetName val="HLLXX"/>
      <sheetName val="pph "/>
      <sheetName val="HBJP"/>
      <sheetName val="PJR.PENJ "/>
      <sheetName val="JASAGIRO"/>
      <sheetName val="P-Kebun-XX "/>
      <sheetName val="PPEG"/>
      <sheetName val="BYRM-XX"/>
      <sheetName val="PPEM"/>
      <sheetName val="BT-XX"/>
      <sheetName val="Ak_pro-XX"/>
      <sheetName val="HUT"/>
      <sheetName val="HK-XX"/>
      <sheetName val="HLL"/>
      <sheetName val="AL-BTL KK"/>
      <sheetName val="BTL-RO"/>
      <sheetName val="Ak_pro "/>
      <sheetName val="PJR.PENJ"/>
      <sheetName val="N. AP trade"/>
      <sheetName val="P.1 Accrued expense"/>
      <sheetName val="P.2 Advance from customer"/>
      <sheetName val="O. Taxes payable"/>
      <sheetName val="O.1 Ps 21"/>
      <sheetName val="O.2 Ps 22"/>
      <sheetName val="O.3 Ps 23"/>
      <sheetName val="O.4 Ps 26"/>
      <sheetName val="O.5 Ps 25"/>
      <sheetName val="Q.1 Bank Loan"/>
      <sheetName val="Q.2 Leasing"/>
      <sheetName val="Q.3 Pension Fund"/>
      <sheetName val="R.Deferred tax liabilities"/>
      <sheetName val="T.CAPITAL STOCK"/>
      <sheetName val="U.1.1 Sales"/>
      <sheetName val="U.2.1 COGS"/>
      <sheetName val="U.2.1.1"/>
      <sheetName val="U.2.2 Opex"/>
      <sheetName val="U.1.2 Other charges (income)"/>
      <sheetName val="PROVISION INCOME TAX"/>
      <sheetName val="Plasma"/>
      <sheetName val="Inti_2000 (2)"/>
      <sheetName val="Deftax"/>
      <sheetName val="Tax recon"/>
      <sheetName val="Adj kash"/>
      <sheetName val="99-00"/>
      <sheetName val="Cflow00"/>
      <sheetName val="2000-2001"/>
      <sheetName val="Cflow01"/>
      <sheetName val="CFW-01"/>
      <sheetName val="CFS-01"/>
      <sheetName val="2001-2002"/>
      <sheetName val="Cflow02"/>
      <sheetName val="CFW-02"/>
      <sheetName val="CFS-02"/>
      <sheetName val="2002-2003"/>
      <sheetName val="Combined WBS PL"/>
      <sheetName val="WBS PL HO"/>
      <sheetName val="WBS PL Branch 1"/>
      <sheetName val="AJE HO"/>
      <sheetName val="AJE Branch 1"/>
      <sheetName val="RJE Combine"/>
      <sheetName val="UBS-Realisasi 1999"/>
      <sheetName val="UBS-bayar"/>
      <sheetName val="UBS-bayar (2)"/>
      <sheetName val="CRA-Det"/>
      <sheetName val="MH CIVIL"/>
      <sheetName val="28"/>
      <sheetName val="29"/>
      <sheetName val="30"/>
      <sheetName val="31"/>
      <sheetName val="32"/>
      <sheetName val="33"/>
      <sheetName val="34"/>
      <sheetName val="35"/>
      <sheetName val="36_1"/>
      <sheetName val="36_2"/>
      <sheetName val="36_3"/>
      <sheetName val="36_4"/>
      <sheetName val="37"/>
      <sheetName val="38"/>
      <sheetName val="41"/>
      <sheetName val="42"/>
      <sheetName val="45"/>
      <sheetName val="46"/>
      <sheetName val="49"/>
      <sheetName val="51"/>
      <sheetName val="52"/>
      <sheetName val="53 "/>
      <sheetName val="54"/>
      <sheetName val="61"/>
      <sheetName val="62"/>
      <sheetName val="63"/>
      <sheetName val="64_1"/>
      <sheetName val="64_2"/>
      <sheetName val="64_3"/>
      <sheetName val="64_4"/>
      <sheetName val="64_5"/>
      <sheetName val="64_6"/>
      <sheetName val="64_14"/>
      <sheetName val="Loss recap"/>
      <sheetName val="Rugi"/>
      <sheetName val="Depr"/>
      <sheetName val="Data Per 19 Mei 2005"/>
      <sheetName val="SILICATE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Assumption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Nt"/>
      <sheetName val="CIREBON"/>
      <sheetName val="Bandung"/>
      <sheetName val="BS BPKP"/>
      <sheetName val="PL BPKP"/>
      <sheetName val="ACC_CODE"/>
      <sheetName val="Saldo Awal"/>
      <sheetName val="Okt"/>
      <sheetName val="Nop"/>
      <sheetName val="Des"/>
      <sheetName val="Jurnal 2005"/>
      <sheetName val="Subtotal Akun"/>
      <sheetName val="Worksheet 2005"/>
      <sheetName val="Palopo Bermasalah"/>
      <sheetName val="Pere -Pare  Bermasalah"/>
      <sheetName val="Rekap Ptg"/>
      <sheetName val="Rincian Piutang"/>
      <sheetName val="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Rekap % 1"/>
      <sheetName val="% PaK Hsn"/>
      <sheetName val="Rkap (2)"/>
      <sheetName val="Rekap Piut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STOCK DO (3)"/>
      <sheetName val="STOCK DO (2)"/>
      <sheetName val="STOCK DO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LABA RUGI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GORONTALO"/>
      <sheetName val="SAMARINDA"/>
      <sheetName val="BALIKPAPAN"/>
      <sheetName val="BANYUWANGI"/>
      <sheetName val="SURABAYA setelah di ajust"/>
      <sheetName val="SURABAYA"/>
      <sheetName val="JAKARTA setelah di ajust"/>
      <sheetName val="DENPASAR"/>
      <sheetName val="SALES 04"/>
      <sheetName val="XXXXX"/>
      <sheetName val="XXXX0"/>
      <sheetName val="XXXX1"/>
      <sheetName val="XXXX2"/>
      <sheetName val="XXXX3"/>
      <sheetName val="Kashplo"/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Present"/>
      <sheetName val="Throughput"/>
      <sheetName val="Revenue"/>
      <sheetName val="Revenue Trend (XXX)"/>
      <sheetName val="FA-PELINDO (Koja)"/>
      <sheetName val="FA-HTP (Fiskal) "/>
      <sheetName val="FA-HTP (Fiskal) (2)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Maintenance"/>
      <sheetName val="Rent"/>
      <sheetName val="Royalty"/>
      <sheetName val="Fin Stat"/>
      <sheetName val="Fin Pro 1 (XXX)"/>
      <sheetName val="Loan Schedule"/>
      <sheetName val="Income Tax "/>
      <sheetName val="Fin Pro - HTP"/>
      <sheetName val="Graph (XXX)"/>
      <sheetName val="Rescheduling"/>
      <sheetName val="Revenue Trend"/>
      <sheetName val="FA-PELINDO"/>
      <sheetName val="FA-HTP"/>
      <sheetName val="Ass-Fiscal"/>
      <sheetName val="FA-HTP (Fiskal)"/>
      <sheetName val="Depr - HTP (inl. cap interest)"/>
      <sheetName val="Depr Forex"/>
      <sheetName val="Material @"/>
      <sheetName val="Fin Pro 1"/>
      <sheetName val="8_1 Bill_Collect Monthly"/>
      <sheetName val="Cities Area and Population"/>
      <sheetName val="Link Budget"/>
      <sheetName val="Java Roads"/>
      <sheetName val="3G Jakarta"/>
      <sheetName val="InBuilding List"/>
      <sheetName val="TP_DATABASE"/>
      <sheetName val="ML_PRICELIST 2004"/>
      <sheetName val="MISSING"/>
      <sheetName val="COMPLETE (2)"/>
      <sheetName val="Balance end 2002"/>
      <sheetName val="Balance 30-06-03"/>
      <sheetName val="Ecr"/>
      <sheetName val="Selisih"/>
      <sheetName val="Grafik mesin"/>
      <sheetName val="Dapur"/>
      <sheetName val="Tiris"/>
      <sheetName val="Molen"/>
      <sheetName val="mixer kanji"/>
      <sheetName val="Oven"/>
      <sheetName val="Juice bawang"/>
      <sheetName val="Bucket"/>
      <sheetName val="Roasting"/>
      <sheetName val="Mesin Ayak"/>
      <sheetName val="Lainnya"/>
      <sheetName val="Colloid mill"/>
      <sheetName val="Gotrok"/>
      <sheetName val="Grafik"/>
      <sheetName val="Pack"/>
      <sheetName val="Roaster"/>
      <sheetName val="F.Drying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Compta X - 2"/>
      <sheetName val="sept"/>
      <sheetName val="8500"/>
      <sheetName val="8500.1"/>
      <sheetName val="8500.1.2"/>
      <sheetName val="BIO DIESEL"/>
      <sheetName val="JURNAL"/>
      <sheetName val="8500.2"/>
      <sheetName val="8500.3"/>
      <sheetName val="8500.2.1 TOD"/>
      <sheetName val=" ARA"/>
      <sheetName val="Perincian HPP"/>
      <sheetName val="8500.1.3 JURNAL"/>
      <sheetName val="C2.1"/>
      <sheetName val="C2.2"/>
      <sheetName val="C2.3"/>
      <sheetName val="C3"/>
      <sheetName val="C4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srg"/>
      <sheetName val="tgr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Print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DATA2"/>
      <sheetName val="JUALLAN"/>
      <sheetName val="MAS"/>
      <sheetName val="JBR"/>
      <sheetName val="KDR"/>
      <sheetName val="MDN"/>
      <sheetName val="MDR"/>
      <sheetName val="MLG"/>
      <sheetName val="PRB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TCM"/>
      <sheetName val="Ranges"/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Tabel-LHP"/>
      <sheetName val="Type of deal --&gt;"/>
      <sheetName val="1.1 Deal characteristics"/>
      <sheetName val="High level costing --&gt;"/>
      <sheetName val="2.1 Day 1 top down"/>
      <sheetName val="2.2 Staff scen &amp; central costs"/>
      <sheetName val="2.3 To Be 2 top down"/>
      <sheetName val="Scenarios and cost ratios --&gt;"/>
      <sheetName val="3.1 Costs and key ratios"/>
      <sheetName val="3.2 Contr, lic and assets scen"/>
      <sheetName val="Bottom-up calculations --&gt;"/>
      <sheetName val="4.1 Applications"/>
      <sheetName val="4.2 MSDP"/>
      <sheetName val="4.3 Workplace and infra"/>
      <sheetName val="4.4 WAN"/>
      <sheetName val="4.5 Voice"/>
      <sheetName val="4.6 Cost summary"/>
      <sheetName val="Support sheet"/>
      <sheetName val="Calculations"/>
      <sheetName val="Calculations 1"/>
      <sheetName val="CODESS"/>
      <sheetName val="Term"/>
      <sheetName val="TPR-Management Summary"/>
      <sheetName val="TPR-Consolidated"/>
      <sheetName val="Contractual Terms"/>
      <sheetName val="TOTAL SUMMARY"/>
      <sheetName val="Ref. Mail"/>
      <sheetName val="SumRAN"/>
      <sheetName val="VerdiRAN"/>
      <sheetName val="Sum Minilink"/>
      <sheetName val="SoW Core"/>
      <sheetName val="Summary RNC-RXI-OSS"/>
      <sheetName val="Node B-RAN"/>
      <sheetName val="RXI"/>
      <sheetName val="LCM RAN"/>
      <sheetName val="TRANSMISSIONS"/>
      <sheetName val="LCM TRM"/>
      <sheetName val="CORE (2)"/>
      <sheetName val="DCN"/>
      <sheetName val="RNC"/>
      <sheetName val="Project Management"/>
      <sheetName val="Delivery &amp; WH RAN"/>
      <sheetName val="Input Data RAN"/>
      <sheetName val="Total Cost TRM"/>
      <sheetName val="Input Data TRM"/>
      <sheetName val="Total Cost Core"/>
      <sheetName val="Input Data Core"/>
      <sheetName val="Summary RAN &amp;TC"/>
      <sheetName val="Scope_"/>
      <sheetName val="3G Expansion 2007"/>
      <sheetName val="NPI_Improve"/>
      <sheetName val=" NPO_CNPO_TNPO MO 2007"/>
      <sheetName val="Summary TND"/>
      <sheetName val="Cost+Price ATND&amp;TND RO 2007"/>
      <sheetName val="Summary CND"/>
      <sheetName val="CND Exp2007"/>
      <sheetName val="CNPI Exp2007"/>
      <sheetName val="Summary SITAC &amp; CME rev.D 18s"/>
      <sheetName val="Manhour SITAC &amp; CME"/>
      <sheetName val="Summary SS &amp; SPMS"/>
      <sheetName val="3GSystem support"/>
      <sheetName val="SPMS"/>
      <sheetName val="Emer-site"/>
      <sheetName val="MSC"/>
      <sheetName val="MgW"/>
      <sheetName val="RNC (2)"/>
      <sheetName val="RXI (2)"/>
      <sheetName val="Node-B"/>
      <sheetName val="ML-Mgr"/>
      <sheetName val="SGSNGGSN"/>
      <sheetName val="DCN (2)"/>
      <sheetName val="OSS"/>
      <sheetName val="Summary Training"/>
      <sheetName val="RAN"/>
      <sheetName val="Minilink Training"/>
      <sheetName val="CORE"/>
      <sheetName val="Summary1"/>
      <sheetName val="Scope_1"/>
      <sheetName val="3G Expansion 20071"/>
      <sheetName val="NPI_Improve1"/>
      <sheetName val=" NPO_CNPO_TNPO MO 20071"/>
      <sheetName val="Information"/>
      <sheetName val="Assumptions"/>
      <sheetName val="I_Gen&amp;Fin"/>
      <sheetName val="Assumptions List"/>
      <sheetName val="Base"/>
      <sheetName val="Outsource_Costs"/>
      <sheetName val="Remaining_org"/>
      <sheetName val="T&amp;T"/>
      <sheetName val="I_RC_Capex"/>
      <sheetName val="I_RC_Rev"/>
      <sheetName val="I_OC_FTE"/>
      <sheetName val="I_OC_OpexSummary"/>
      <sheetName val="I_OC_remaining_FTEs"/>
      <sheetName val="Pricing"/>
      <sheetName val="I_OC_Ericsson_FTEs"/>
      <sheetName val="I_OC_Ericsson_FLPC"/>
      <sheetName val="Operator_Business_Case"/>
      <sheetName val="I_OC_Capex"/>
      <sheetName val="I_OC_Rev"/>
      <sheetName val="I_OC_transition_costs"/>
      <sheetName val="I_Price_Drivers"/>
      <sheetName val="I_Pricing"/>
      <sheetName val="I&amp;O_Profitability_&amp;_Cashflow"/>
      <sheetName val="Price_simulation"/>
      <sheetName val="C_Sales_Prices"/>
      <sheetName val="O_Opex_RC_vs_OC"/>
      <sheetName val="O_RC_Financial_Statements"/>
      <sheetName val="O_OC_Financial_Statements"/>
      <sheetName val="I&amp;O_Valuation"/>
      <sheetName val="C_RC_Financials"/>
      <sheetName val="C_OC_Financials"/>
      <sheetName val="C_Valuation"/>
      <sheetName val="10000"/>
      <sheetName val="PAJE '04"/>
      <sheetName val="PRJE '04"/>
      <sheetName val="CAJE-04"/>
      <sheetName val="PYJE '04"/>
      <sheetName val="WP-PBM-04"/>
      <sheetName val="WBS2005"/>
      <sheetName val="Rincian BS"/>
      <sheetName val="CC "/>
      <sheetName val="K Movement"/>
      <sheetName val="M-4"/>
      <sheetName val="N-2"/>
      <sheetName val="NN "/>
      <sheetName val="O-1_PPh 21"/>
      <sheetName val="O-1.1 Rekap gaji"/>
      <sheetName val="O-2_PPh 23"/>
      <sheetName val="O-3_PPh 25"/>
      <sheetName val="O-5_PPN"/>
      <sheetName val="Q-3"/>
      <sheetName val="Q-3.1"/>
      <sheetName val="R-1 Perhitungan def. tax"/>
      <sheetName val="Kep-150"/>
      <sheetName val="Area and population data"/>
      <sheetName val="Phases"/>
      <sheetName val="HSDPA"/>
      <sheetName val="DLCodes"/>
      <sheetName val="Coverage"/>
      <sheetName val="Propagation"/>
      <sheetName val="M Tool"/>
      <sheetName val="Mpole"/>
      <sheetName val="RN Globals"/>
      <sheetName val="CommonDataTemplate"/>
      <sheetName val="Advanced"/>
      <sheetName val="Link Budgets"/>
      <sheetName val="Tables"/>
      <sheetName val="MonteCarlo"/>
      <sheetName val="Balance"/>
      <sheetName val="RN Results"/>
      <sheetName val="Results"/>
      <sheetName val="Warnings"/>
      <sheetName val="Balancing Analysis"/>
      <sheetName val="Phase Template"/>
      <sheetName val="Defaults"/>
      <sheetName val="DL Noise Integral"/>
      <sheetName val="LNF"/>
      <sheetName val="LNF_DL"/>
      <sheetName val="LNF_DL_HHO"/>
      <sheetName val="Tools"/>
      <sheetName val="CE Tool"/>
      <sheetName val="DL CCH Power Tool"/>
      <sheetName val="Customize"/>
      <sheetName val="Rev. History"/>
      <sheetName val="Cost Contribution"/>
      <sheetName val="Celcom AS IS Capex"/>
      <sheetName val="Celcom AS IS OPEX"/>
      <sheetName val="Celcom TO BE OPEX"/>
      <sheetName val="HR OPEX Malaysia"/>
      <sheetName val="Off-Shoring OPEX India"/>
      <sheetName val="Sub-contracting"/>
      <sheetName val="MSDP Capex"/>
      <sheetName val="MSDP Opex"/>
      <sheetName val="Drive testing"/>
      <sheetName val="MO Growth 100"/>
      <sheetName val="NRO growth 100"/>
      <sheetName val="NOC India Offshoring"/>
      <sheetName val="Transition Cost Estimation "/>
      <sheetName val="Transformation Cost "/>
      <sheetName val="ISIT  Cost summary"/>
      <sheetName val="Site Maintenance"/>
      <sheetName val="Annual Business Case"/>
      <sheetName val="40 Memo"/>
      <sheetName val="40 Lead"/>
      <sheetName val="40.1Freight Expense"/>
      <sheetName val="Biaya Air (2)"/>
      <sheetName val="40.2Biaya Listrik"/>
      <sheetName val="40.3 ARP"/>
      <sheetName val="Purchase Cutoff"/>
      <sheetName val="DNR_Sep"/>
      <sheetName val="Other_Sep"/>
      <sheetName val="Advance "/>
      <sheetName val="UMS LT-1"/>
      <sheetName val="UMS LT-2"/>
      <sheetName val="UMS LT-3"/>
      <sheetName val="AKUM-TB (2)"/>
      <sheetName val="AKUM-TB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ELIMINASI"/>
      <sheetName val="Investasi"/>
      <sheetName val="WS Konsolidasi"/>
      <sheetName val="TPS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HutangBank"/>
      <sheetName val="Hut Obligasi"/>
      <sheetName val="Hut Usaha"/>
      <sheetName val="Pajak"/>
      <sheetName val="BMHD"/>
      <sheetName val="HSGU"/>
      <sheetName val="Pinj Jk Panjang"/>
      <sheetName val="Modal Saham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NOV03"/>
      <sheetName val="OCT03"/>
      <sheetName val="SEP03"/>
      <sheetName val="AUG03"/>
      <sheetName val="MAR03"/>
      <sheetName val="DEC02"/>
      <sheetName val="NOV02"/>
      <sheetName val="OCT02"/>
      <sheetName val="2701 Lead "/>
      <sheetName val="2701.1 Lead"/>
      <sheetName val="2701.2 Lead"/>
      <sheetName val="2701.3 Lead"/>
      <sheetName val="2701.4 Lead"/>
      <sheetName val="2701.5 Lead"/>
      <sheetName val="2701.6 Lead"/>
      <sheetName val="2701.7 Lead"/>
      <sheetName val="2701.8 Lead"/>
      <sheetName val="Work Step 2700 "/>
      <sheetName val="2701-Lead "/>
      <sheetName val="Summary Asuransi (Index)"/>
      <sheetName val="2701.1 Bintaro"/>
      <sheetName val="2701.1.1 PBC"/>
      <sheetName val="2701.1.2"/>
      <sheetName val="2701.2 Graha Raya"/>
      <sheetName val="2701.3 BTC"/>
      <sheetName val="2701.3.1 PBC"/>
      <sheetName val="2701.3.2"/>
      <sheetName val="2701.3.3"/>
      <sheetName val="2701.4 Pasar Senen V"/>
      <sheetName val="2701.4.1 PBC"/>
      <sheetName val="2701.4.2 PBC"/>
      <sheetName val="2701.4.3"/>
      <sheetName val="2701.4.4"/>
      <sheetName val="2701.5 Pasar Senen Jaya"/>
      <sheetName val="2700.5.1 PBC"/>
      <sheetName val="2701.5.2 "/>
      <sheetName val="2701.5.3"/>
      <sheetName val="2701.6 Slipi Jaya"/>
      <sheetName val="2701.6.1 PBC"/>
      <sheetName val="2701.6.2 PBC"/>
      <sheetName val="2701.6.3 "/>
      <sheetName val="2701.1.6.4"/>
      <sheetName val="2701.7 PBJ"/>
      <sheetName val="2701.7.1 PBC"/>
      <sheetName val="2701.7.2 "/>
      <sheetName val="2702.7.3 TOD "/>
      <sheetName val="2701.8 PKB"/>
      <sheetName val="2701.8.1"/>
      <sheetName val="Input Jurnal"/>
      <sheetName val="Voucher - ISO"/>
      <sheetName val="Input Jurnal (2)"/>
      <sheetName val="worksheet Actual"/>
      <sheetName val="worksheet Budget"/>
      <sheetName val="Analysis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C1 NOV"/>
      <sheetName val="2005"/>
      <sheetName val="Scenario"/>
      <sheetName val="_43_9_1"/>
      <sheetName val="P2"/>
      <sheetName val="K2-FA"/>
      <sheetName val="P3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Invoice"/>
      <sheetName val="Tracker"/>
      <sheetName val="Time Report"/>
      <sheetName val="Help"/>
      <sheetName val="Codestable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gedung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8500.05"/>
      <sheetName val="8510.05"/>
      <sheetName val="2003"/>
      <sheetName val="2004"/>
      <sheetName val="2006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DOC"/>
      <sheetName val="FARM "/>
      <sheetName val="SUPPLIER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INTEREST"/>
      <sheetName val="CAPITAL"/>
      <sheetName val="DEF.CHARGES"/>
      <sheetName val="INVENTORY"/>
      <sheetName val="Detail CIP"/>
      <sheetName val="INTERCO"/>
      <sheetName val="ALLOWANCE"/>
      <sheetName val="ALLOWANCE-FINAL"/>
      <sheetName val="H_KONTRAK"/>
      <sheetName val="DAT_1"/>
      <sheetName val="Memo"/>
      <sheetName val="Konfirmasi Hutang"/>
      <sheetName val="WS AKE"/>
      <sheetName val="MJE"/>
      <sheetName val="tax(client)"/>
      <sheetName val="WBS Induk"/>
      <sheetName val="Korfis"/>
      <sheetName val="Correction List"/>
      <sheetName val="LabaRugi"/>
      <sheetName val="Catatan Neraca"/>
      <sheetName val="Catatan Laba Rugi"/>
      <sheetName val="2009"/>
      <sheetName val="hut. Bank"/>
      <sheetName val="hut. lain-lain"/>
      <sheetName val="hut. Pajak"/>
      <sheetName val="hut. usaha"/>
      <sheetName val="2008"/>
      <sheetName val="Ratio-C"/>
      <sheetName val="Ratio-P"/>
      <sheetName val="BS-C"/>
      <sheetName val="BS-P"/>
      <sheetName val="IS-C"/>
      <sheetName val="IS-P"/>
      <sheetName val="SE-C"/>
      <sheetName val="SE-P"/>
      <sheetName val="ICF-C"/>
      <sheetName val="DCF-C"/>
      <sheetName val="DCF-C_2003"/>
      <sheetName val="ICF-P"/>
      <sheetName val="Mutation CF"/>
      <sheetName val="Catatan-C"/>
      <sheetName val="Catatan-P"/>
      <sheetName val="Detail-C+P"/>
      <sheetName val="Combine Entries"/>
      <sheetName val="Consolidation Entries"/>
      <sheetName val="Investment-P"/>
      <sheetName val="Intercompany-C"/>
      <sheetName val="Intercompany-P"/>
      <sheetName val="FA-C"/>
      <sheetName val="FA-P"/>
      <sheetName val="Allowance-P"/>
      <sheetName val="Retained Earnings"/>
      <sheetName val="Rekon-Fiskal-BSU"/>
      <sheetName val="Tax Calculation up to 2004"/>
      <sheetName val="DIT - Up to 2004"/>
      <sheetName val="Fiscal Loss up to 2004"/>
      <sheetName val="Bank Loans-BSU"/>
      <sheetName val="Hutang Usaha-BSU"/>
      <sheetName val="Freeze+Resticted fund"/>
      <sheetName val="Foreign Currency-C"/>
      <sheetName val="Foreign Currency-P"/>
      <sheetName val="SE_C"/>
      <sheetName val="EQ "/>
      <sheetName val="WS 2007"/>
      <sheetName val="AJE 2007"/>
      <sheetName val="TAX 07 "/>
      <sheetName val="DEPR07"/>
      <sheetName val="WSCF07"/>
      <sheetName val="WSBS 05-ok"/>
      <sheetName val="BS-Pro WBS"/>
      <sheetName val="PL-Pro WSIS06"/>
      <sheetName val="WSIS 04"/>
      <sheetName val="WSBS 04"/>
      <sheetName val="WS 2005"/>
      <sheetName val="WS 2006"/>
      <sheetName val="AJE 2006"/>
      <sheetName val="TAX 06"/>
      <sheetName val="TAX05"/>
      <sheetName val="DEPR05"/>
      <sheetName val="DEPR06"/>
      <sheetName val="WSCF06"/>
      <sheetName val="WSCF05"/>
      <sheetName val="WSBS 05_ok"/>
      <sheetName val="BS_Pro WBS"/>
      <sheetName val="PL_Pro WSIS06"/>
      <sheetName val="AREA 1"/>
      <sheetName val="AREA 2"/>
      <sheetName val="AREA 3"/>
      <sheetName val="DATA KPI"/>
      <sheetName val="REGION"/>
      <sheetName val="PERUMUSAN MSL "/>
      <sheetName val="DATA UNIT"/>
      <sheetName val="DATA VALUE"/>
      <sheetName val="B Memo"/>
      <sheetName val="B Lead"/>
      <sheetName val="B1.Aging Summary"/>
      <sheetName val="B1.1 Subsequent Aging IDR"/>
      <sheetName val="B1.2 Subsequent Aging USD"/>
      <sheetName val="B.2 Confirm"/>
      <sheetName val="IDR until 31_12_5 original"/>
      <sheetName val="USD until 31_12_5_original"/>
      <sheetName val="CRJ-01"/>
      <sheetName val="OM"/>
      <sheetName val="T5"/>
      <sheetName val="COVERR"/>
      <sheetName val="ULAS"/>
      <sheetName val="01"/>
      <sheetName val="01a"/>
      <sheetName val="47"/>
      <sheetName val="48"/>
      <sheetName val="50"/>
      <sheetName val="(      )9.5"/>
      <sheetName val="(     )9.4"/>
      <sheetName val="T4"/>
      <sheetName val="VROON"/>
      <sheetName val="BOQ FORM FOR INQUIRY"/>
      <sheetName val="FORM OF PROPOSAL RFP-003"/>
      <sheetName val="뜃맟뭁돽띿맟?-BLDG"/>
      <sheetName val="合成??作成表-BLDG"/>
      <sheetName val="崌惉扨壙嶌惉?-BLDG"/>
      <sheetName val="??-BLDG"/>
      <sheetName val="?-BLDG"/>
      <sheetName val="‡¬’P‰¿ì¬?-BLDG"/>
      <sheetName val="NERACA T"/>
      <sheetName val="WEEKLY REPORT"/>
      <sheetName val="Competitor"/>
      <sheetName val="cashflow2"/>
      <sheetName val="LEMBAR1"/>
      <sheetName val="LEMBAR2"/>
      <sheetName val="LEMBAR3"/>
      <sheetName val="LEMBAR4"/>
      <sheetName val="LEMBAR5"/>
      <sheetName val="qual_q"/>
      <sheetName val="qual_r"/>
      <sheetName val="qual_t"/>
      <sheetName val="Base DPR"/>
      <sheetName val="Cost Code"/>
      <sheetName val="Coal"/>
      <sheetName val="Hours"/>
      <sheetName val="Haul Dist"/>
      <sheetName val="Rain &amp; Slippery"/>
      <sheetName val="DB Mining Coal"/>
      <sheetName val="Central DB"/>
      <sheetName val="DPR_MORISS"/>
      <sheetName val="DPR_MTN_HO"/>
      <sheetName val="Review DPR"/>
      <sheetName val="CO PLAN VS ACT"/>
      <sheetName val="Graph"/>
      <sheetName val="Mat_Balance_New"/>
      <sheetName val="Rain Fall"/>
      <sheetName val="Weekly Plan"/>
      <sheetName val="Daily Meeting_MTN New"/>
      <sheetName val="Daily Meeting_MTN"/>
      <sheetName val="Daily Meeting_MRS"/>
      <sheetName val="DPR For Big Boss MTN"/>
      <sheetName val="DPR_C1 SDK R"/>
      <sheetName val="DPR_C1 SDK"/>
      <sheetName val="Fuel_C1 SDK"/>
      <sheetName val="DPR_GELORA R"/>
      <sheetName val="Fuel_GELORA"/>
      <sheetName val="DPR_GELORA"/>
      <sheetName val="DPR_D SDK R "/>
      <sheetName val="DPR_D SDK "/>
      <sheetName val="Fuel_D SDK "/>
      <sheetName val="Production"/>
      <sheetName val="Avg.Haul Dist"/>
      <sheetName val="Food,Mess&amp;Fuel"/>
      <sheetName val="DB Coal Hauling"/>
      <sheetName val="DB Coal Barge"/>
      <sheetName val="DB Coal Hopper"/>
      <sheetName val="OVERBURDEN"/>
      <sheetName val="Tyre Life Time"/>
      <sheetName val="Insentif"/>
      <sheetName val="Data Entry"/>
      <sheetName val="Table"/>
      <sheetName val="PRODUKSI"/>
      <sheetName val="Ritase"/>
      <sheetName val="Hourly OB"/>
      <sheetName val="Equper"/>
      <sheetName val="OB"/>
      <sheetName val="Rain Slippery &amp; FOG Pit"/>
      <sheetName val="Rain Slippery &amp; FOG Haul"/>
      <sheetName val="Fuel Cons"/>
      <sheetName val="Res"/>
      <sheetName val="Plan"/>
      <sheetName val="Ritasi"/>
      <sheetName val="Hourly"/>
      <sheetName val="CEK"/>
      <sheetName val="EP"/>
      <sheetName val="PTY"/>
      <sheetName val="M!"/>
      <sheetName val="PCKr2"/>
      <sheetName val="R2 "/>
      <sheetName val="FPJr2"/>
      <sheetName val="PCKr4"/>
      <sheetName val="FPJr4"/>
      <sheetName val="COVR"/>
      <sheetName val="KPI"/>
      <sheetName val="RASL"/>
      <sheetName val="UNTP"/>
      <sheetName val="UNTQ"/>
      <sheetName val="UQPT"/>
      <sheetName val="STBY"/>
      <sheetName val="OVBD"/>
      <sheetName val="BLST"/>
      <sheetName val="AVAIL"/>
      <sheetName val="OOCS"/>
      <sheetName val="BLSP"/>
      <sheetName val="Capex Requirement"/>
      <sheetName val="P &amp; L"/>
      <sheetName val="RKA"/>
      <sheetName val="Fixed_Asset"/>
      <sheetName val="FORM INPUT_NRC LAJUR_ENERGI"/>
      <sheetName val="NERACA (KONSOLIDASI)"/>
      <sheetName val="NR VERSI SIMDIV"/>
      <sheetName val="LABA RUGI (KONSOLIDASI)"/>
      <sheetName val="LR VERSI SIMDIV"/>
      <sheetName val="LAP POSISI KEUANGAN"/>
      <sheetName val="LAP. LABA RUGI KOMPREHENSIF"/>
      <sheetName val="SALDO BANK DAN DEPOSITO"/>
      <sheetName val="LABA RUGI LAIN"/>
      <sheetName val="PIUT USAHA BAPEPAM"/>
      <sheetName val="PIUT RET BAPEPAM"/>
      <sheetName val="LR PER SPK "/>
      <sheetName val="IKT TAGBRUT &amp; PDP"/>
      <sheetName val="IKT TAGBRUT"/>
      <sheetName val="HUTANG SUPLIER"/>
      <sheetName val="HUTANG MANDOR"/>
      <sheetName val="BIAYA USAHA"/>
      <sheetName val="HUBUNGAN RK"/>
      <sheetName val="RESUME AKTIVA-PASIVA VALAS"/>
      <sheetName val="LR JO"/>
      <sheetName val="UM diberikan pemasok"/>
      <sheetName val="UM diberikan Subkon"/>
      <sheetName val="BAD MATERIAL1"/>
      <sheetName val="BAD UPAH1"/>
      <sheetName val="BAD ALAT1"/>
      <sheetName val="BAD SUBKON1"/>
      <sheetName val="BAD BU1"/>
      <sheetName val="BAD BTL1"/>
      <sheetName val="BAD HUT PPH FINAL"/>
      <sheetName val="BAD RETENSI1"/>
      <sheetName val="11242"/>
      <sheetName val="21115"/>
      <sheetName val="21119"/>
      <sheetName val="21121"/>
      <sheetName val="21122"/>
      <sheetName val="21123"/>
      <sheetName val="21125"/>
      <sheetName val="21132"/>
      <sheetName val="21131"/>
      <sheetName val="21133"/>
      <sheetName val="21128"/>
      <sheetName val="21419"/>
      <sheetName val="11232"/>
      <sheetName val="11233"/>
      <sheetName val="11234"/>
      <sheetName val="11238"/>
      <sheetName val="11241"/>
      <sheetName val="11243"/>
      <sheetName val="Kode Subkon"/>
      <sheetName val="Rekap Opname"/>
      <sheetName val="Potongan"/>
      <sheetName val="Pjk"/>
      <sheetName val="Nama Pek"/>
      <sheetName val="BPM"/>
      <sheetName val="PNT-QUOT-#3"/>
      <sheetName val="COAT&amp;WRAP-QIOT-#3"/>
      <sheetName val="daf isi"/>
      <sheetName val="SKAT1"/>
      <sheetName val="skat"/>
      <sheetName val="RINCIAN PU"/>
      <sheetName val="CATATAN KOREKSI"/>
      <sheetName val="Review"/>
      <sheetName val="BSPL konsolidasi"/>
      <sheetName val="Ekuitas Konsolidasi"/>
      <sheetName val="SKAT2"/>
      <sheetName val="Notes to "/>
      <sheetName val="SKAT3)"/>
      <sheetName val="PL INDUK"/>
      <sheetName val="BSPL Induk"/>
      <sheetName val="Ekuitas Induk"/>
      <sheetName val="CF Induk"/>
      <sheetName val="KKP CF INDUK"/>
      <sheetName val="WKSInduk"/>
      <sheetName val="AJE-PERUSAHAAN"/>
      <sheetName val="KKP CF KONSOL "/>
      <sheetName val="LR JUTAAN"/>
      <sheetName val="WS SEGMEN"/>
      <sheetName val="AGING HUT-PIUT"/>
      <sheetName val="BANK JK PJNG"/>
      <sheetName val="LK DEPT"/>
      <sheetName val="DAFTAR INVESTASI"/>
      <sheetName val="Eliminasi Ksl by AR"/>
      <sheetName val="minority interest"/>
      <sheetName val="CF Induk VS Konsol"/>
      <sheetName val="LR GAB"/>
      <sheetName val="holding"/>
      <sheetName val="TABRUT"/>
      <sheetName val="Holding Eq)"/>
      <sheetName val="LABA PER SAHAM"/>
      <sheetName val="RES DATA"/>
      <sheetName val="REALTY"/>
      <sheetName val="Intrade"/>
      <sheetName val="WIP"/>
      <sheetName val="SAKA"/>
      <sheetName val="SEIMANGKEI"/>
      <sheetName val="AJE-PM"/>
      <sheetName val="TACC-PM"/>
      <sheetName val="AJE PM"/>
      <sheetName val="DEP SU"/>
      <sheetName val="AJE DSU"/>
      <sheetName val="TACC-DSU"/>
      <sheetName val="AJE DEP DSU"/>
      <sheetName val="DEP WIL"/>
      <sheetName val="AJE WIL"/>
      <sheetName val="TACC-WIL"/>
      <sheetName val="AJE DEP WIL"/>
      <sheetName val="UTILITAS DIP"/>
      <sheetName val="AJE Utilitas DIP"/>
      <sheetName val=" AJE LN"/>
      <sheetName val="AJE LN"/>
      <sheetName val="TACC-LN"/>
      <sheetName val="DKPW"/>
      <sheetName val="AJE DKPW"/>
      <sheetName val="BETANO"/>
      <sheetName val="AJE DIPW"/>
      <sheetName val="BORANG"/>
      <sheetName val="RENGAT"/>
      <sheetName val="PLTDBALI"/>
      <sheetName val="CIBATU"/>
      <sheetName val="PLTD AMBON"/>
      <sheetName val="AJE_DEN"/>
      <sheetName val="TACC-DEN"/>
      <sheetName val="ELIMINASI-DEN-HLB"/>
      <sheetName val="AJE DIP"/>
      <sheetName val="TACC-DIP"/>
      <sheetName val="AJE DBG"/>
      <sheetName val="TACC-DBG"/>
      <sheetName val="AJE DEP DBG"/>
      <sheetName val="Ba H"/>
      <sheetName val="Mgg"/>
      <sheetName val="Dape"/>
      <sheetName val="Opinion Director"/>
      <sheetName val="skat kons."/>
      <sheetName val="Isi kons"/>
      <sheetName val="ekuitas"/>
      <sheetName val="rugi laba"/>
      <sheetName val="w.s konsol 2007"/>
      <sheetName val="hub. istimewa"/>
      <sheetName val="AJE ELIMINASI"/>
      <sheetName val="selisih nilai buku"/>
      <sheetName val="aruskas- konsol"/>
      <sheetName val="piutang pihak ketiga"/>
      <sheetName val="aset tetap 06"/>
      <sheetName val="aset tetap 07"/>
      <sheetName val="pajak-tangguhan"/>
      <sheetName val="lampiran 1"/>
      <sheetName val="lampiran 3"/>
      <sheetName val="rincian beban langsung"/>
      <sheetName val="beban lansung"/>
      <sheetName val="rincian pendapatan usaha"/>
      <sheetName val="aset lain-lain"/>
      <sheetName val="kas&amp; setara kas"/>
      <sheetName val="laba ditahan final05-06"/>
      <sheetName val="transaksi valuta thn 06"/>
      <sheetName val="prpajakan"/>
      <sheetName val="slip (2)"/>
      <sheetName val="rapel"/>
      <sheetName val="bruto"/>
      <sheetName val="TANDA TERIMA"/>
      <sheetName val="absen"/>
      <sheetName val="lembur"/>
      <sheetName val="pot. absen"/>
      <sheetName val="lembutr (2)"/>
      <sheetName val="REKAP LEMBUR"/>
      <sheetName val="pajak "/>
      <sheetName val="SINDIKASI"/>
      <sheetName val="Bilateral"/>
      <sheetName val="PKS add2"/>
      <sheetName val="BY 1"/>
      <sheetName val="BY 2"/>
      <sheetName val="Rkap Hut&amp;INT"/>
      <sheetName val="SCED LC"/>
      <sheetName val="ANGSURAN"/>
      <sheetName val="ANG INT 03"/>
      <sheetName val="INT 03"/>
      <sheetName val="INT DEFF SINDK"/>
      <sheetName val="MINING EQUIP"/>
      <sheetName val="DES 2001"/>
      <sheetName val="MARET2001"/>
      <sheetName val="PEG &amp; ABB &amp; MINING"/>
      <sheetName val="PERSON SINDIKASI"/>
      <sheetName val="CONTOH (1)"/>
      <sheetName val="CONTOH"/>
      <sheetName val="SCHEDULE KKSK"/>
      <sheetName val="AGENCY FEE"/>
      <sheetName val="rekap bahas"/>
      <sheetName val="report1"/>
      <sheetName val="report1 (2)"/>
      <sheetName val="reg"/>
      <sheetName val="lunas"/>
      <sheetName val="report2"/>
      <sheetName val="MTS AR"/>
      <sheetName val="MTS PIUT KARYW"/>
      <sheetName val="MTS ANGS. KEND"/>
      <sheetName val="MTS HUT AFLS"/>
      <sheetName val="MTS DP"/>
      <sheetName val="MTS AUC"/>
      <sheetName val="MTS PIU AFLS"/>
      <sheetName val="MTS HUTANG"/>
      <sheetName val="MTS 2006"/>
      <sheetName val="TOTAL STOCK"/>
      <sheetName val="AT DES"/>
      <sheetName val="Jur_Kor"/>
      <sheetName val="NS"/>
      <sheetName val="G.HPP"/>
      <sheetName val="HPP1"/>
      <sheetName val="H.USAHA"/>
      <sheetName val="H.Angs Kend"/>
      <sheetName val="KARYAWAN"/>
      <sheetName val="AR AFLS"/>
      <sheetName val="BOP"/>
      <sheetName val="DATA KRY"/>
      <sheetName val="PORMAT"/>
      <sheetName val="G A J I"/>
      <sheetName val="PK.KERJA"/>
      <sheetName val="THR"/>
      <sheetName val="PENSIUN"/>
      <sheetName val="T. KONSUMSI"/>
      <sheetName val="ASTEK"/>
      <sheetName val="PENGOBATAN"/>
      <sheetName val="REKREASI"/>
      <sheetName val="PERJ. DNS"/>
      <sheetName val="ADM KTR"/>
      <sheetName val="EKS.UMUM"/>
      <sheetName val="TRANSPORT"/>
      <sheetName val="TELPON"/>
      <sheetName val="SEWA KTR-RMH"/>
      <sheetName val="AS. AKTIVA"/>
      <sheetName val="KONS-RISET"/>
      <sheetName val="PEM.KTR"/>
      <sheetName val="PEM. KEND"/>
      <sheetName val="PEM.INVENT"/>
      <sheetName val="PEM. RM.DNS"/>
      <sheetName val="IZIN-PBB"/>
      <sheetName val="ENTERTAINT"/>
      <sheetName val="SUMBANGAN"/>
      <sheetName val="IKLAN"/>
      <sheetName val="PROMOSI"/>
      <sheetName val="PROSPEK"/>
      <sheetName val="FEE PENJ."/>
      <sheetName val="PENAGIHAN"/>
      <sheetName val="BY.USED CAR"/>
      <sheetName val="PENY.BGN"/>
      <sheetName val="PENY.RM DNS"/>
      <sheetName val="PENY. KEND"/>
      <sheetName val="PENY.BENGKEL-GDG"/>
      <sheetName val="PENY. INV"/>
      <sheetName val="BEBAN BUNGA"/>
      <sheetName val="ADM.BANK"/>
      <sheetName val="ZAKAT"/>
      <sheetName val="ONH"/>
      <sheetName val="PD.ADM JUAL"/>
      <sheetName val="PD.BABIT"/>
      <sheetName val="PD. BUNGA"/>
      <sheetName val="PD.DPST"/>
      <sheetName val="PD. PNJ SMT"/>
      <sheetName val="PD.JASA GIRO"/>
      <sheetName val="PD.CL AS"/>
      <sheetName val="PD. CAB"/>
      <sheetName val="PD.SEWA"/>
      <sheetName val="PD.HD FEE"/>
      <sheetName val="PD. PRV.FID"/>
      <sheetName val="FD. DEPOSIT"/>
      <sheetName val="PD. INSENTIF"/>
      <sheetName val="Daf_Isi"/>
      <sheetName val="Jrnl_Umum"/>
      <sheetName val="Nerc_Perc"/>
      <sheetName val="Sum_CoA"/>
      <sheetName val="Buku Besar "/>
      <sheetName val="Laba_Rugi"/>
      <sheetName val="Budget_Real"/>
      <sheetName val="Voucer"/>
      <sheetName val="Buku_Besar"/>
      <sheetName val="Penj_Nerc"/>
      <sheetName val="Sts_Sales"/>
      <sheetName val="Stock"/>
      <sheetName val="Hutang"/>
      <sheetName val="Cover WS"/>
      <sheetName val="Isi WS"/>
      <sheetName val="Ekuit"/>
      <sheetName val="Catatan WS"/>
      <sheetName val="Lampiran Khusus WS"/>
      <sheetName val="NRC Potret"/>
      <sheetName val="AJE-2007"/>
      <sheetName val="WS 2K3"/>
      <sheetName val="AJE 2"/>
      <sheetName val="P_Tannguh"/>
      <sheetName val="Catatan (2)"/>
      <sheetName val="4 ROA"/>
      <sheetName val="6 BOPO"/>
      <sheetName val="3CAR"/>
      <sheetName val="T.O.C."/>
      <sheetName val="Cover AJE"/>
      <sheetName val="Cover Utama"/>
      <sheetName val="DISCUS"/>
      <sheetName val="Isi"/>
      <sheetName val="BS RIG+KATERING"/>
      <sheetName val="IS per biaya RIG+KATERING"/>
      <sheetName val="Aruskas"/>
      <sheetName val="WS RIG+KATERING"/>
      <sheetName val="AJE AUDIT"/>
      <sheetName val="IS per RIG+KATERING"/>
      <sheetName val="saldo akhir"/>
      <sheetName val="mapping"/>
      <sheetName val="note05-06"/>
      <sheetName val="penyertaan 07"/>
      <sheetName val="cf "/>
      <sheetName val="minta bukti"/>
      <sheetName val="Chart Account"/>
      <sheetName val="GL_Account"/>
      <sheetName val="JK"/>
      <sheetName val="JB"/>
      <sheetName val="JM"/>
      <sheetName val="Notes BS"/>
      <sheetName val="pembelian sparepart &amp; bag 12.20"/>
      <sheetName val="pembelian MATERIAL 122007"/>
      <sheetName val="penjualan material (2)"/>
      <sheetName val="Tagihan BTI des"/>
      <sheetName val="Rhia"/>
      <sheetName val="tari"/>
      <sheetName val="buku besar"/>
      <sheetName val="mutasi hutang des07"/>
      <sheetName val="jurnal umum(HO)"/>
      <sheetName val="kartu hutang"/>
      <sheetName val="Piutang Kary Okt 07 (3)"/>
      <sheetName val="master COA"/>
      <sheetName val="uang muka penjualan"/>
      <sheetName val="NS_Oktober"/>
      <sheetName val="master VENDOR CUSTOMER"/>
      <sheetName val=" Cost Center"/>
      <sheetName val="worksheet (2)"/>
      <sheetName val="New Notes"/>
      <sheetName val="bayar_04_fak"/>
      <sheetName val="bayar_04_cus"/>
      <sheetName val="bandarlampung"/>
      <sheetName val="opini PTPN I_2008"/>
      <sheetName val="Lead - LK PTPN PRINT"/>
      <sheetName val="CLK"/>
      <sheetName val="Lead - LK PTPN"/>
      <sheetName val="PSAK 46"/>
      <sheetName val="Jurnal koreksi &amp; reklas print"/>
      <sheetName val="penjelasan aje &amp; reklas_2008"/>
      <sheetName val="Taksiran PPh Badan"/>
      <sheetName val="WS NET OFF"/>
      <sheetName val="JURNAL NET OFF"/>
      <sheetName val="Z Score PTPN I"/>
      <sheetName val="Aje Eks KSO Karet"/>
      <sheetName val="Jurnal koreksi &amp; reklas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Ref- Curr. code"/>
      <sheetName val="worksheet DBP updated march16"/>
      <sheetName val="CODE,NAME"/>
      <sheetName val="description"/>
      <sheetName val="Marshal -1"/>
      <sheetName val="ING Basis"/>
      <sheetName val="TB 2006"/>
      <sheetName val="Shunde"/>
      <sheetName val="KNIT"/>
      <sheetName val="SCORE_RC_Code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K.3.3"/>
      <sheetName val="Exc. Rate"/>
      <sheetName val="AFTER 55"/>
      <sheetName val="Order_Nov_w45"/>
      <sheetName val="RWP 33"/>
      <sheetName val="bantu"/>
      <sheetName val="Journal Template"/>
      <sheetName val="A.4. Trial Balance"/>
      <sheetName val="A.4.1 AKTIVA"/>
      <sheetName val="A.4.2 PASIVA"/>
      <sheetName val="A.4.3 P&amp;L"/>
      <sheetName val=" CAJE"/>
      <sheetName val="C. Lead"/>
      <sheetName val="C.1 - C-4 Bank Recons"/>
      <sheetName val="C.5 Deposit on call"/>
      <sheetName val="C.6 Bank CO"/>
      <sheetName val="CC. BAnk Confirmation Control"/>
      <sheetName val="E. Lead"/>
      <sheetName val="E-1. Reval Forex"/>
      <sheetName val="E.1.1 SUMMARY  Aging AR"/>
      <sheetName val="E-1.1.1 AGING AR"/>
      <sheetName val="E-2 Mutation Of AR_2"/>
      <sheetName val="E-3 subsequent"/>
      <sheetName val="E-4.SUMARY ROLL FRWRD AR"/>
      <sheetName val="E4.1.PERTAMINA"/>
      <sheetName val="E- 4.2 SCU"/>
      <sheetName val="E-4.3ELMIK"/>
      <sheetName val="E-4.4 EWS"/>
      <sheetName val="E-4.5MDM"/>
      <sheetName val="E-4.6ANADARCO"/>
      <sheetName val="EE. Confirmation control"/>
      <sheetName val="G-1.1 Adv Project - Intrcm"/>
      <sheetName val=" G-1.2 Detail Adv Employee"/>
      <sheetName val="G-1.3AGING ADVANCE"/>
      <sheetName val="G-1.4 Subsequent ADV_EMPY"/>
      <sheetName val=" G-1.5Subsequent ADV_INTCM"/>
      <sheetName val="G-2.1Art 22"/>
      <sheetName val="Prepaid 23"/>
      <sheetName val="G2.2Prepaid 23"/>
      <sheetName val="G-2.3Prepaid 25"/>
      <sheetName val="G-2.4PPN"/>
      <sheetName val="K-Lead"/>
      <sheetName val="K-1 Mutasi "/>
      <sheetName val="K-1.1 Detail Acquisition"/>
      <sheetName val="K-1.1.1 detail FA"/>
      <sheetName val="L. Deferred Tax"/>
      <sheetName val="L.1 PPH_BADAN"/>
      <sheetName val="L-1.1 Rincian_Koreksi_Fiscal"/>
      <sheetName val="N. Lead"/>
      <sheetName val="N.1PRHTNGAN AP-KURS DEC 29,2006"/>
      <sheetName val="N.1.1 SUMMARY Aging AP "/>
      <sheetName val="N.1.1.1Aging AP"/>
      <sheetName val="N.2 MUTATION OF AP"/>
      <sheetName val="N.3 Subsequent AP"/>
      <sheetName val="NN. Confr Control AP"/>
      <sheetName val="N-4 SUMMARY ROLL FRWRD AP"/>
      <sheetName val="N-4.1 PATRA LOGISTIK"/>
      <sheetName val="N-4.2 SCU"/>
      <sheetName val="N-4.3 GEOSAINS"/>
      <sheetName val="N-4.4ELNUSA -HOLDING"/>
      <sheetName val="N-4.5 TRIAS"/>
      <sheetName val="N-4.6 KOP Expro"/>
      <sheetName val="N-4.7 Allen"/>
      <sheetName val="O-1 PPh4(3)"/>
      <sheetName val="O-1,1"/>
      <sheetName val="O-2 pph pasal 23"/>
      <sheetName val="O-2.1."/>
      <sheetName val="O-3 PPh21 (2)"/>
      <sheetName val="P-1. CUSTOMER DEPOSIT"/>
      <sheetName val="P-1.1 KURS - DEC 29, 2006"/>
      <sheetName val="P-1.2 DETAIL CUST DEPOSIT"/>
      <sheetName val="P-2. Accrued Expense"/>
      <sheetName val="p2.1DETAIL_Acc Aff"/>
      <sheetName val="P2.2DETAIL ACCR INTRCMP"/>
      <sheetName val="P2.3DETAIL ACCR TP"/>
      <sheetName val="P2.4 Subsequent Accrued"/>
      <sheetName val="P-3. GR_IR ACCOUNT"/>
      <sheetName val="P-3.1 detail GR_IR"/>
      <sheetName val="Q. Lead"/>
      <sheetName val="Q.1 Aging Long Term Payable"/>
      <sheetName val="R. Other liabilities"/>
      <sheetName val="T. equity"/>
      <sheetName val="T.1"/>
      <sheetName val="TT Confirmation Control"/>
      <sheetName val="U-1. Revenue"/>
      <sheetName val="U-1.1  DETAIL AFFILIATED"/>
      <sheetName val="U-1.2 DETAIL INTERCOMPANY"/>
      <sheetName val="U-1.3 DETAIL THIRD PARTY"/>
      <sheetName val="U-1.4 Cut Off Revenue"/>
      <sheetName val="U-2. Cost of sales"/>
      <sheetName val="U-2.1detail cost of sales"/>
      <sheetName val="U-3. Operating Exp"/>
      <sheetName val="U-3.1detail operating exp"/>
      <sheetName val="U-4. Other Incm (Exp)"/>
      <sheetName val="other"/>
      <sheetName val="COGS STD"/>
      <sheetName val="ALL"/>
      <sheetName val="COGS cek"/>
      <sheetName val="COGS upload"/>
      <sheetName val="ALL ok"/>
      <sheetName val="COGS utk di upload"/>
      <sheetName val="ReportSales"/>
      <sheetName val="COGS Utk Upload"/>
      <sheetName val="TOP Report"/>
      <sheetName val="F1-09"/>
      <sheetName val="F2-09"/>
      <sheetName val="F3-09"/>
      <sheetName val="Jurnal Dividen-Kalbe"/>
      <sheetName val="Elim Summary"/>
      <sheetName val="Consolidation (MI)"/>
      <sheetName val="KAgeo"/>
      <sheetName val="Adj consol"/>
      <sheetName val="Input_tables"/>
      <sheetName val="Data Karyawan"/>
      <sheetName val="Benefit_Tab"/>
      <sheetName val="JHT"/>
      <sheetName val="PSC_Calc"/>
      <sheetName val="output"/>
      <sheetName val="Payments"/>
      <sheetName val="summary_frm_output"/>
      <sheetName val="Presentation1"/>
      <sheetName val="Lap Akturia 2004"/>
      <sheetName val="discl_present_gab"/>
      <sheetName val="AG_presntn"/>
      <sheetName val="decr_table"/>
      <sheetName val="GraphBen"/>
      <sheetName val="PPH1298S"/>
      <sheetName val="sal april"/>
      <sheetName val="WS Report-Audited"/>
      <sheetName val="Cut-off"/>
      <sheetName val="segmen sales"/>
      <sheetName val="segmen piutang"/>
      <sheetName val="Pengalihan Tanah"/>
      <sheetName val="AktivaTetap"/>
      <sheetName val="TB1206"/>
      <sheetName val="Aktuaris FINAL"/>
      <sheetName val="COA (2)"/>
      <sheetName val="%Opini"/>
      <sheetName val="RE Recon"/>
      <sheetName val="BS1"/>
      <sheetName val="BS2"/>
      <sheetName val="Jurnal Elim"/>
      <sheetName val="Goodwill"/>
      <sheetName val="EL14-Minority"/>
      <sheetName val="Rent.Service.Royalty Income"/>
      <sheetName val="Jurnal Consol"/>
      <sheetName val="Identification"/>
      <sheetName val="Cash&amp;Equiv"/>
      <sheetName val="ShtTermInv"/>
      <sheetName val="AgingAR"/>
      <sheetName val="OR"/>
      <sheetName val="Affco_transactionsNA"/>
      <sheetName val="due from-to"/>
      <sheetName val="Intangible assetsNA"/>
      <sheetName val="Deferred_tax"/>
      <sheetName val="LoansNA"/>
      <sheetName val="LOAN MUTATION"/>
      <sheetName val="Schedule-LT-LoanNA"/>
      <sheetName val="Aging AP"/>
      <sheetName val="OL"/>
      <sheetName val="tax and taxes payable"/>
      <sheetName val="LONG TERM DEBTSNA"/>
      <sheetName val="Employee Benefit"/>
      <sheetName val="Foreign CurrencyNA"/>
      <sheetName val="collateralNA"/>
      <sheetName val="Sales &amp; Purchase"/>
      <sheetName val="COGS mutation"/>
      <sheetName val="Opex-Selling"/>
      <sheetName val="opex-G&amp;A"/>
      <sheetName val="Opex-R&amp;DNA"/>
      <sheetName val="Int inc (exp)"/>
      <sheetName val="Oth Inc (Charges)"/>
      <sheetName val="Segmen usaha-Kalbe"/>
      <sheetName val="segmen EPMT"/>
      <sheetName val="List of affiliates"/>
      <sheetName val="GPM"/>
      <sheetName val="ST-Invest."/>
      <sheetName val="SWAP"/>
      <sheetName val="total marketing"/>
      <sheetName val="marketing opal"/>
      <sheetName val="marketing amethys"/>
      <sheetName val="Profit &amp; loss"/>
      <sheetName val="product development"/>
      <sheetName val="Amt.rvd.HITACHI"/>
      <sheetName val="1214 Kartu"/>
      <sheetName val="附件21-1"/>
      <sheetName val="附件11"/>
      <sheetName val="CAJE RNI Summary"/>
      <sheetName val="CAJE RNI Detail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Links"/>
      <sheetName val="opini_07"/>
      <sheetName val="Client RE"/>
      <sheetName val="Cover_07"/>
      <sheetName val="isi_07"/>
      <sheetName val="skat_07"/>
      <sheetName val="BS-09"/>
      <sheetName val="PL-09"/>
      <sheetName val="EQ-09"/>
      <sheetName val="CF-09"/>
      <sheetName val="CLK-09"/>
      <sheetName val="ws_new"/>
      <sheetName val="WS-2009"/>
      <sheetName val="bs_07"/>
      <sheetName val="pl_07"/>
      <sheetName val="cf_07"/>
      <sheetName val="ws_07"/>
      <sheetName val="ws_06"/>
      <sheetName val="fa_audited_06_07"/>
      <sheetName val="ws_07 (2)"/>
      <sheetName val="aje_07"/>
      <sheetName val="aje_cleint"/>
      <sheetName val="clk_06"/>
      <sheetName val="aje_06"/>
      <sheetName val="Lampiran piutang 2007"/>
      <sheetName val="Lampiran Utang 2007"/>
      <sheetName val="aje_2007"/>
      <sheetName val="Cover_06"/>
      <sheetName val="isi_06"/>
      <sheetName val="skat_06"/>
      <sheetName val="opini_06"/>
      <sheetName val="bs_06"/>
      <sheetName val="pl_06"/>
      <sheetName val="eq_06"/>
      <sheetName val="cf_06"/>
      <sheetName val="Lamp 1 Piutang"/>
      <sheetName val="rincian_PPN"/>
      <sheetName val="ARUS KAS TIDAK LANGSUNG"/>
      <sheetName val="REKAP_KAS 2006"/>
      <sheetName val="ATFISKAL06"/>
      <sheetName val="ATSGU06"/>
      <sheetName val="ATSGUFKL06"/>
      <sheetName val="Lamp 2a PiutangAfiliasi"/>
      <sheetName val="Lamp 2b PiutangLain"/>
      <sheetName val="Lamp 3a HutangBank"/>
      <sheetName val="Lamp 3b HutangUsaha"/>
      <sheetName val="Lam 3c HutangRelasi"/>
      <sheetName val="Lam 3d HutangAfiliasi"/>
      <sheetName val="Rincian Pjk21"/>
      <sheetName val="Rincian Pjk25"/>
      <sheetName val="Rincian Pjk PPN"/>
      <sheetName val="KIMA"/>
      <sheetName val="PBM"/>
      <sheetName val="TarikMundurKasPBM"/>
      <sheetName val="TarikMundurKasMKSR"/>
      <sheetName val="TarikMundurPersed"/>
      <sheetName val="PSAK46"/>
      <sheetName val="bunga KI 1001"/>
      <sheetName val="RE1001"/>
      <sheetName val="HutangBank1001"/>
      <sheetName val="OLAH22"/>
      <sheetName val="OLAH2"/>
      <sheetName val="Asuransi Kndraan"/>
      <sheetName val="Isi induk"/>
      <sheetName val="Note2009"/>
      <sheetName val="AJE.RJE"/>
      <sheetName val="AJE.RJE CLIENT"/>
      <sheetName val="Lampiran Adj 2009"/>
      <sheetName val="lampiran aset (2)"/>
      <sheetName val="lampiran aset"/>
      <sheetName val="Cover consol"/>
      <sheetName val="Isi consol"/>
      <sheetName val="opini consol"/>
      <sheetName val="Sekat consol"/>
      <sheetName val="Bs Consol"/>
      <sheetName val="pl consol"/>
      <sheetName val="eq consol"/>
      <sheetName val="CF Consol"/>
      <sheetName val="Notes consol"/>
      <sheetName val="J. ELIMINASI"/>
      <sheetName val="GT_Custom"/>
      <sheetName val="Rekap - Penyisihan piutang"/>
      <sheetName val="PROY Cab Real"/>
      <sheetName val="Jasa KOnstruksi"/>
      <sheetName val="Fab, Design dan Inst"/>
      <sheetName val="Industri PK"/>
      <sheetName val="Rekap - Piutang 2010"/>
      <sheetName val="Arus Kas Langsung"/>
      <sheetName val="Aje Reclass"/>
      <sheetName val="UMBU"/>
      <sheetName val="analisisumbu"/>
      <sheetName val="Gabungan"/>
      <sheetName val="Gabungan AMKA 2"/>
      <sheetName val="Gabungan AMKA 1"/>
      <sheetName val="GT_Mutasi"/>
      <sheetName val="Gabungan Pa' Yaqin"/>
      <sheetName val="KP"/>
      <sheetName val="DJK"/>
      <sheetName val="PLANT YK"/>
      <sheetName val="DFP BKS"/>
      <sheetName val="DFP SMG"/>
      <sheetName val="JATENG"/>
      <sheetName val="SUMBAGSEL"/>
      <sheetName val="KALTIM"/>
      <sheetName val="SUMUT"/>
      <sheetName val="RIAU"/>
      <sheetName val="CABSUS"/>
      <sheetName val="UPL"/>
      <sheetName val="Alamat Piutang "/>
      <sheetName val="Final + Non Final"/>
      <sheetName val="Pajak Kini "/>
      <sheetName val="worksheet"/>
      <sheetName val="AJEKLIEN"/>
      <sheetName val="Subtotal"/>
      <sheetName val="Subtotal (2)"/>
      <sheetName val="UMBK"/>
      <sheetName val="PIUT1"/>
      <sheetName val="PIUT2"/>
      <sheetName val="PIUT3"/>
      <sheetName val="Pdptn"/>
      <sheetName val="Ut.UMP"/>
      <sheetName val="25-TR"/>
      <sheetName val="KODEPLAN"/>
      <sheetName val="25-SUBTOTAL"/>
      <sheetName val="neraca saldo awal"/>
      <sheetName val="25-SUBTOTAL (2)"/>
      <sheetName val="mutasi gabungan"/>
      <sheetName val="BIAYA REK AIR DAN LISTRIK"/>
      <sheetName val="25-SUBTOTAL (3)"/>
      <sheetName val="IURAN JAMSOSTEK"/>
      <sheetName val="DROPING DANA"/>
      <sheetName val="Daftar_Print"/>
      <sheetName val="inventaris kator"/>
      <sheetName val="alat angkut konstruksi"/>
      <sheetName val="inventaris pabrik "/>
      <sheetName val="inv rmh dinas"/>
      <sheetName val="kend opr"/>
      <sheetName val="peral pabrik bengkel"/>
      <sheetName val="perl proyek"/>
      <sheetName val="Koreksi Audited (2)"/>
      <sheetName val="Koreksi Audited"/>
      <sheetName val="SPD"/>
      <sheetName val="Opini'08"/>
      <sheetName val="Daft. Proyek"/>
      <sheetName val="BS (2)"/>
      <sheetName val="PL (2)"/>
      <sheetName val="Notes (2)"/>
      <sheetName val="A-1"/>
      <sheetName val="B-1"/>
      <sheetName val="GG"/>
      <sheetName val="KK"/>
      <sheetName val="LL"/>
      <sheetName val="10-1"/>
      <sheetName val="Kurs"/>
      <sheetName val="20-1"/>
      <sheetName val="40"/>
      <sheetName val="60"/>
      <sheetName val="Detail Piutang"/>
      <sheetName val="Tdk Bermasalah"/>
      <sheetName val="Yang Bermasalah"/>
      <sheetName val="Report3"/>
      <sheetName val="seluruh"/>
      <sheetName val="CER Collector"/>
      <sheetName val="Rank Per Location"/>
      <sheetName val="BBM PER JAM"/>
      <sheetName val="ROUTE"/>
      <sheetName val="ROUTE NEW"/>
      <sheetName val="Pengiriman 1 Bulan"/>
      <sheetName val="Coa LD Per Month"/>
      <sheetName val="NERACA SALDO"/>
      <sheetName val="REKAP OMZET KAPAL"/>
      <sheetName val="OMZET HARIAN"/>
      <sheetName val="HPP-perkapal"/>
      <sheetName val="HPP PER BULAN"/>
      <sheetName val="Rekap simulasi"/>
      <sheetName val="Revisi BBM"/>
      <sheetName val="Cash Flow (2)"/>
      <sheetName val="CASH FLOW (3)"/>
      <sheetName val="KKL"/>
      <sheetName val="Rincian Capex"/>
      <sheetName val="HPP HARI 09"/>
      <sheetName val="Simulasi"/>
      <sheetName val="kLP BIAYA"/>
      <sheetName val="Agent"/>
      <sheetName val="OMZET"/>
      <sheetName val="HPP-Bulan (2)"/>
      <sheetName val="HPP HARI 09 (2)"/>
      <sheetName val="HPP-Bulan Lama"/>
      <sheetName val="RMS-PENSIUN"/>
      <sheetName val="Masa Kerja"/>
      <sheetName val="TM3"/>
      <sheetName val="RMS - STR (2)"/>
      <sheetName val="TK- FUNG"/>
      <sheetName val="RMS - STR"/>
      <sheetName val="SEN_FUNG"/>
      <sheetName val="RMS FUNGSIONAL"/>
      <sheetName val="TK1"/>
      <sheetName val="rekstru"/>
      <sheetName val="rekfung"/>
      <sheetName val="fungsional "/>
      <sheetName val="Instansi"/>
      <sheetName val="Non Rek"/>
      <sheetName val="Ros"/>
      <sheetName val="struktur (2)"/>
      <sheetName val="Atur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Akun"/>
      <sheetName val="JPb"/>
      <sheetName val="JPn"/>
      <sheetName val="NL"/>
      <sheetName val="Laba Ditahan"/>
      <sheetName val="Arus Kas-1"/>
      <sheetName val="Arus Kas-2"/>
      <sheetName val="Rekonsi"/>
      <sheetName val="CRD"/>
      <sheetName val="solar"/>
      <sheetName val="CHIPPING"/>
      <sheetName val="TRASS&amp;CHIP"/>
      <sheetName val="BLANGKO"/>
      <sheetName val="LAP-PROD"/>
      <sheetName val="TRASS '09"/>
      <sheetName val="trass'10"/>
      <sheetName val="REC'10"/>
      <sheetName val="form trass"/>
      <sheetName val="Rekap-User"/>
      <sheetName val="Dokter-User"/>
      <sheetName val="Lelang"/>
      <sheetName val="Rekap-Mngmt"/>
      <sheetName val="Manajemen Fee"/>
      <sheetName val="local"/>
      <sheetName val="sales_07 (3)"/>
      <sheetName val="eksport"/>
      <sheetName val="sales_07 (2)"/>
      <sheetName val="sales_07"/>
      <sheetName val="Etalase-Bsl"/>
      <sheetName val="Lab-RO"/>
      <sheetName val="Stok+Lab+RO+Gigi"/>
      <sheetName val="Dr.Ahli"/>
      <sheetName val="Hpp."/>
      <sheetName val="SAA"/>
      <sheetName val="JU"/>
      <sheetName val="NR"/>
      <sheetName val="PRICE PACKING (2)"/>
      <sheetName val=" Cash Flow"/>
      <sheetName val="PRICE PACKING"/>
      <sheetName val="PRICE SALES JASA"/>
      <sheetName val=" TARIF FLAT STORAGE"/>
      <sheetName val="Rekap Per Cab"/>
      <sheetName val="Rekap Perbulan"/>
      <sheetName val="Rekap Budget"/>
      <sheetName val="Ho"/>
      <sheetName val="Shipp"/>
      <sheetName val="TO SMD"/>
      <sheetName val="TO Cwd"/>
      <sheetName val="TO Bwi"/>
      <sheetName val="Rekap HO"/>
      <sheetName val="Cash Flow HO"/>
      <sheetName val="Cash Flow Samarinda"/>
      <sheetName val="Resume SMD"/>
      <sheetName val="Smd1"/>
      <sheetName val="Smd2"/>
      <sheetName val="Rekap  SMD"/>
      <sheetName val="Cash Flow Banyuwangi"/>
      <sheetName val="Rekap BWI"/>
      <sheetName val="Resume Banyuwangi"/>
      <sheetName val="Bwi1"/>
      <sheetName val="Bwi2"/>
      <sheetName val="Produksi Smd "/>
      <sheetName val="Produksi Bwi"/>
      <sheetName val="Produksi Cwd Baru"/>
      <sheetName val="Cwd1"/>
      <sheetName val="Cwd2"/>
      <sheetName val="Cash Flow Ciwandan"/>
      <sheetName val="Resume Ciwandan"/>
      <sheetName val="Rekap Cwd Baru"/>
      <sheetName val="Rekap Cwd lama"/>
      <sheetName val="Cwd2 lama"/>
      <sheetName val="Produksi Cwd Lama"/>
      <sheetName val="Bengkel"/>
      <sheetName val="Kendaraan Operasional"/>
      <sheetName val="Kendaraan Dinas"/>
      <sheetName val="DeptKeu"/>
      <sheetName val="Dept HRD"/>
      <sheetName val="Keu (Pajak)"/>
      <sheetName val="Keu(Purch)"/>
      <sheetName val="Dept Logstk"/>
      <sheetName val="DeptKeu (Acc)"/>
      <sheetName val="DeptKeu (WH)"/>
      <sheetName val="Sales&amp;DIST"/>
      <sheetName val="Dept SD"/>
      <sheetName val="Cwd2 Baru"/>
      <sheetName val="Sampul 08"/>
      <sheetName val="Sampul 1"/>
      <sheetName val="Sampul 2"/>
      <sheetName val="Pengesahan"/>
      <sheetName val="Rencana transfer OKT 05"/>
      <sheetName val="CASH IN OKT"/>
      <sheetName val="PRESENTASE TRANSFER 10 2005"/>
      <sheetName val="MUTASI KAS 2005"/>
      <sheetName val="PIUTANG FIKRI"/>
      <sheetName val="MUTASI PIUTANG 2005"/>
      <sheetName val="SEWA DIBYR DIMUKA"/>
      <sheetName val="RINCI. DEP.2005"/>
      <sheetName val="data base"/>
      <sheetName val="COSTUMER CODE"/>
      <sheetName val="CONTROL PENJUALAN TUNAI"/>
      <sheetName val="BAG"/>
      <sheetName val="CRH"/>
      <sheetName val="REKP PENJUALAN BULANAN"/>
      <sheetName val="fill SAP BUKOPIN"/>
      <sheetName val="fill SAP BNI"/>
      <sheetName val="fill SAP MANDIRI"/>
      <sheetName val="fill SAP KAS"/>
      <sheetName val="BUKOPIN"/>
      <sheetName val="BNI"/>
      <sheetName val="MANDIRI"/>
      <sheetName val="MASTER1"/>
      <sheetName val="PEMAKAIAN BY PRODUKSI"/>
      <sheetName val="HUTANG TITIPAN"/>
      <sheetName val="PERSEDIAAN SPAREPART"/>
      <sheetName val="STOCK AWAL"/>
      <sheetName val="PEMAKAIAN WAREHOUSE"/>
      <sheetName val="MASTER CODE"/>
      <sheetName val="PEMBELIAN TONY 09"/>
      <sheetName val="HUTANG PER PO 09"/>
      <sheetName val="HUTANG PER VENDOR 09"/>
      <sheetName val="Formula"/>
      <sheetName val="VENDORE CODE"/>
      <sheetName val="Mutasi"/>
      <sheetName val="IMPUT PENERIMAAN BULK WB"/>
      <sheetName val="IMPUT PENERIMAAN BAG PRODUKSI"/>
      <sheetName val="LAP. HARIAN"/>
      <sheetName val="RAW MATREIAL FLAT STORAGE"/>
      <sheetName val="Lap. Laba Rugi September"/>
      <sheetName val="Lap. Laba Rugi 2005"/>
      <sheetName val="MARGIN ANALISIS"/>
      <sheetName val="Cash Flow 2005"/>
      <sheetName val="PEMAKAIAN BY PRODUKSI 2005"/>
      <sheetName val="rep letter"/>
      <sheetName val="pph 29"/>
      <sheetName val="PA"/>
      <sheetName val="panding matter"/>
      <sheetName val="SAP vs C&amp;R"/>
      <sheetName val="BSW"/>
      <sheetName val="Takeover"/>
      <sheetName val="Rekap (L)"/>
      <sheetName val="M-GOWA"/>
      <sheetName val="TKO"/>
      <sheetName val="BPP"/>
      <sheetName val="BWI"/>
      <sheetName val="BON"/>
      <sheetName val="CWD"/>
      <sheetName val="GRT"/>
      <sheetName val="GOW"/>
      <sheetName val="JKT"/>
      <sheetName val="JNP"/>
      <sheetName val="KDI"/>
      <sheetName val="KLK"/>
      <sheetName val="KPG"/>
      <sheetName val="MKS"/>
      <sheetName val="MMJ"/>
      <sheetName val="MDO"/>
      <sheetName val="MSB"/>
      <sheetName val="PLP"/>
      <sheetName val="PLU"/>
      <sheetName val="PKP"/>
      <sheetName val="PNR"/>
      <sheetName val="POL"/>
      <sheetName val="SMD"/>
      <sheetName val="WJO"/>
      <sheetName val="SDP"/>
      <sheetName val="SJI"/>
      <sheetName val="SOP"/>
      <sheetName val="SBY"/>
      <sheetName val="TTR"/>
      <sheetName val="XNS"/>
      <sheetName val="XRKP"/>
      <sheetName val="ABMetal"/>
      <sheetName val="Asaba"/>
      <sheetName val="AlkaJaya"/>
      <sheetName val="Adhireksa"/>
      <sheetName val="Belibis"/>
      <sheetName val="Chuson"/>
      <sheetName val="DayaPrima"/>
      <sheetName val="DieselJY"/>
      <sheetName val="Genta"/>
      <sheetName val="GdGajah"/>
      <sheetName val="Hamasa"/>
      <sheetName val="IndoPorlen"/>
      <sheetName val="InterCasting"/>
      <sheetName val="Interworld"/>
      <sheetName val="Indowan"/>
      <sheetName val="KPMB"/>
      <sheetName val="Karunia"/>
      <sheetName val="KryTeguh"/>
      <sheetName val="KryOlindo"/>
      <sheetName val="Leman's"/>
      <sheetName val="LancarS"/>
      <sheetName val="MakmurMG"/>
      <sheetName val="MitraCh"/>
      <sheetName val="Octo"/>
      <sheetName val="Praxair"/>
      <sheetName val="Persada"/>
      <sheetName val="PLN"/>
      <sheetName val="Rancang"/>
      <sheetName val="SaranaCntrl"/>
      <sheetName val="Samator"/>
      <sheetName val="SariMas"/>
      <sheetName val="Sucofindo"/>
      <sheetName val="Silica"/>
      <sheetName val="SuryaTM"/>
      <sheetName val="Siswandi"/>
      <sheetName val="TDS"/>
      <sheetName val="Tepak"/>
      <sheetName val="IK - Query Voucher Rows - GL 05"/>
      <sheetName val="IK - Query Voucher Rows - G (2)"/>
      <sheetName val="IK - Query Voucher Rows - G (6)"/>
      <sheetName val="Tendering Cost"/>
      <sheetName val="General Expense"/>
      <sheetName val="IK - Query Voucher Rows - G (4)"/>
      <sheetName val="IK - Query Voucher Rows - G (5)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F.1 FG CKP"/>
      <sheetName val="F.1.1 CKP"/>
      <sheetName val="F.2 WIP CKP"/>
      <sheetName val="F.2.1 CKP"/>
      <sheetName val="F.3 RM CKP"/>
      <sheetName val="F.3.1 CKP"/>
      <sheetName val="F.1 FG BIC"/>
      <sheetName val="F.1.1 BIC "/>
      <sheetName val="F.2 WIP BIC"/>
      <sheetName val="F.2.1 BIC"/>
      <sheetName val="F.3 RM BIC"/>
      <sheetName val="F.3.1 BIC"/>
      <sheetName val="Sheet Q Pro"/>
      <sheetName val="Qpro"/>
      <sheetName val="NotesBS"/>
      <sheetName val="NotesPL"/>
      <sheetName val="PL_div"/>
      <sheetName val="adj smart"/>
      <sheetName val="MCU"/>
      <sheetName val="MCU (2)"/>
      <sheetName val="Budget 2008"/>
      <sheetName val="asumsi1"/>
      <sheetName val="asumsi2"/>
      <sheetName val="analysis (2)"/>
      <sheetName val="skenario"/>
      <sheetName val="jangmed"/>
      <sheetName val="Kend Leasing"/>
      <sheetName val="Pdpt dtrm dmk"/>
      <sheetName val="B Dby Dmk"/>
      <sheetName val="bank_loan"/>
      <sheetName val="Depr Kend"/>
      <sheetName val="EXP"/>
      <sheetName val="INVEST"/>
      <sheetName val="SDM"/>
      <sheetName val="SDM (2)"/>
      <sheetName val="Cad_Tbs Mob"/>
      <sheetName val="Cad_HPP"/>
      <sheetName val="P&amp;B_Selain_Bunga_2005 (2)"/>
      <sheetName val="Skema jual"/>
      <sheetName val="JUAL_UNIT"/>
      <sheetName val="Angs. Jual_05"/>
      <sheetName val="Plan Piutg 2005"/>
      <sheetName val="Pendap&amp;Beban Lain"/>
      <sheetName val="Rkp Anggaran"/>
      <sheetName val="Penebusan"/>
      <sheetName val="P&amp;B_Selain_Bunga_2005"/>
      <sheetName val="P&amp;B_Selain_Bunga_2004"/>
      <sheetName val="Omzet_Spareparts_2005"/>
      <sheetName val="Omzet_Spareparts_2004"/>
      <sheetName val="Omzet Service"/>
      <sheetName val="Biaya Umum &amp; Adm"/>
      <sheetName val="Biaya Umum &amp; Adm (2)"/>
      <sheetName val="Angs.Bank"/>
      <sheetName val="Hutang Lainnya"/>
      <sheetName val="Bayar Tebus"/>
      <sheetName val="Angs.B.Group"/>
      <sheetName val="Slide by month"/>
      <sheetName val="Breakdown-KPI"/>
      <sheetName val="fin bud OPU Transport"/>
      <sheetName val="KPI Difinisi"/>
      <sheetName val="KPI PER BULAN"/>
      <sheetName val="Financialhighlight"/>
      <sheetName val="Unit Opr"/>
      <sheetName val="Komp. Budget"/>
      <sheetName val="Rev.COGS.OPEX Bizplan 09"/>
      <sheetName val="CM-COST"/>
      <sheetName val="Analisa Revenue"/>
      <sheetName val="Review Tgl 15"/>
      <sheetName val="MPP Bizplan 09"/>
      <sheetName val="Sumber Data"/>
      <sheetName val="MARKETING"/>
      <sheetName val="HR 09"/>
      <sheetName val="HR 08"/>
      <sheetName val="CAPEX KENDRAAN"/>
      <sheetName val="CAPEX NON KENDARAAN"/>
      <sheetName val="NEWDEBT"/>
      <sheetName val="PENJUALAN ASSET"/>
      <sheetName val="TRAINING"/>
      <sheetName val="DEPRESIASI"/>
      <sheetName val="CUSTUME"/>
      <sheetName val="USI3"/>
      <sheetName val="LIST dn (4)"/>
      <sheetName val="LIST dn (3)"/>
      <sheetName val="LIST dn (2)"/>
      <sheetName val="dwim3 (2)"/>
      <sheetName val="dwim3"/>
      <sheetName val="dwim2"/>
      <sheetName val="DWIM"/>
      <sheetName val="MIRA"/>
      <sheetName val="MITSU (2)"/>
      <sheetName val="MITSU"/>
      <sheetName val="NUSA"/>
      <sheetName val="CABDI"/>
      <sheetName val="SSL"/>
      <sheetName val="SNP (3)"/>
      <sheetName val="SNP (2)"/>
      <sheetName val="SNP"/>
      <sheetName val="CHYSLO (5)"/>
      <sheetName val="CHYSLO (6)"/>
      <sheetName val="CHYSLO (7)"/>
      <sheetName val="CHYSLO (3)"/>
      <sheetName val="CHYSLO (4)"/>
      <sheetName val="CHYSLO (2)"/>
      <sheetName val="CHYSLO"/>
      <sheetName val="BALINDO"/>
      <sheetName val="Lima Saudara (2)"/>
      <sheetName val="Lima Saudara"/>
      <sheetName val="ABP REv"/>
      <sheetName val="dmp"/>
      <sheetName val="CBSP"/>
      <sheetName val="USI"/>
      <sheetName val="DGI"/>
      <sheetName val="MELATY"/>
      <sheetName val="kbm"/>
      <sheetName val="mbp"/>
      <sheetName val="ABP"/>
      <sheetName val="BSB"/>
      <sheetName val="MIGS"/>
      <sheetName val="LIST dn"/>
      <sheetName val="MASTER (2)"/>
      <sheetName val="MINGGUAN"/>
      <sheetName val="Bulan"/>
      <sheetName val="Tahun"/>
      <sheetName val="Drill"/>
      <sheetName val="Shovel"/>
      <sheetName val="Tronton"/>
      <sheetName val="Handak"/>
      <sheetName val="OLI"/>
      <sheetName val="rata-rata"/>
      <sheetName val="Rencana"/>
      <sheetName val="MARMER"/>
      <sheetName val="TRASS"/>
      <sheetName val="OLI PAKAI"/>
      <sheetName val="SPARE PART"/>
      <sheetName val="OLI HEQ"/>
      <sheetName val="DOR"/>
      <sheetName val="E_7_1"/>
      <sheetName val="3000"/>
      <sheetName val="SAPDb"/>
      <sheetName val="ORIGINAL"/>
      <sheetName val="Contracts_ Parts _ Tech"/>
      <sheetName val="KODE"/>
      <sheetName val="DWP"/>
      <sheetName val="LOOKUP"/>
      <sheetName val="1771"/>
      <sheetName val="1771_2"/>
      <sheetName val="A4"/>
      <sheetName val="TB per Dec 08 Final 6feb09 7"/>
      <sheetName val="CAJE Lease 08"/>
      <sheetName val="U_1_2"/>
      <sheetName val="U_1_3"/>
      <sheetName val="U_1_5"/>
      <sheetName val="G_2"/>
      <sheetName val="G_1"/>
      <sheetName val="CAJE&amp;CRJE"/>
      <sheetName val="set PM&amp;TE"/>
      <sheetName val="WBS 1 &amp; 2, WPL"/>
      <sheetName val="Cash(C)"/>
      <sheetName val="FA(K)"/>
      <sheetName val="AR(E)"/>
      <sheetName val="AR OTHERS-TRADE ART 23 (E.3)"/>
      <sheetName val="Intercompany (I)"/>
      <sheetName val="Inv. (F)"/>
      <sheetName val="prepaid exp(J)"/>
      <sheetName val="AP(N)"/>
      <sheetName val="Accrued Payable(P-1)"/>
      <sheetName val="Tax payable(O)"/>
      <sheetName val="Leasing(Q)"/>
      <sheetName val="Unearned revenue(P-2)"/>
      <sheetName val="cap.stock(T)"/>
      <sheetName val="sales(U-1)"/>
      <sheetName val="Cost of revenues(U-2)"/>
      <sheetName val="Opex(U-3)"/>
      <sheetName val="Other inc.(U-4)"/>
      <sheetName val="gross profit"/>
      <sheetName val="Assets&amp;liab in foreign curr."/>
      <sheetName val="BS 2005"/>
      <sheetName val="LIAB 2005"/>
      <sheetName val="WPL 2005"/>
      <sheetName val="BS_DTA"/>
      <sheetName val="DIT 05 AUDIT"/>
      <sheetName val="Fiscal Comp 05"/>
      <sheetName val="Restatement 2004"/>
      <sheetName val="To Report (FS)"/>
      <sheetName val="PPh23$22"/>
      <sheetName val="AccList"/>
      <sheetName val="PnL"/>
      <sheetName val="TB_PL_02_03"/>
      <sheetName val="P_LFiskal"/>
      <sheetName val="BLS03"/>
      <sheetName val="Tmp"/>
      <sheetName val="OHDFIN"/>
      <sheetName val="OHDMGM"/>
      <sheetName val="OHDTRN"/>
      <sheetName val="OHDHRD"/>
      <sheetName val="OHDMKT"/>
      <sheetName val="OHDPS"/>
      <sheetName val="OHDSLS"/>
      <sheetName val="FI"/>
      <sheetName val="DbCC"/>
      <sheetName val="OHD-Proj"/>
      <sheetName val="OHD-CC"/>
      <sheetName val="LLItems"/>
      <sheetName val="FleetPurch"/>
      <sheetName val="CAPEX REKAP"/>
      <sheetName val="LL Calc"/>
      <sheetName val="Param"/>
      <sheetName val="EwyAdj"/>
      <sheetName val="DbProj"/>
      <sheetName val="SAPAcc"/>
      <sheetName val="NEWCOPA"/>
      <sheetName val="COPA"/>
      <sheetName val="Copa2"/>
      <sheetName val="Margin Calc"/>
      <sheetName val="NewCopa2"/>
      <sheetName val="Reconstr"/>
      <sheetName val="SM"/>
      <sheetName val="SMb"/>
      <sheetName val="CFb"/>
      <sheetName val="OHDb"/>
      <sheetName val="LLb"/>
      <sheetName val="CAPb"/>
      <sheetName val="SM1"/>
      <sheetName val="OH1"/>
      <sheetName val="LL1"/>
      <sheetName val="CAP1"/>
      <sheetName val="SM2"/>
      <sheetName val="OH2"/>
      <sheetName val="LL2"/>
      <sheetName val="CAP2"/>
      <sheetName val="Fisc. Rec."/>
      <sheetName val="DIT BS"/>
      <sheetName val="DIT Flow"/>
      <sheetName val="Report Purposes"/>
      <sheetName val="1ST CLOSING"/>
      <sheetName val="T-Account"/>
      <sheetName val="PAJE PRJE"/>
      <sheetName val="Intercoy Reconciliation"/>
      <sheetName val="C-1-1"/>
      <sheetName val="C-2"/>
      <sheetName val="E-3-1 AFDA Analysis"/>
      <sheetName val="SOLAR ONLY"/>
      <sheetName val="sampling"/>
      <sheetName val="Leasing_"/>
      <sheetName val="M-1"/>
      <sheetName val="M-2"/>
      <sheetName val="M-3"/>
      <sheetName val="N-2-1"/>
      <sheetName val="O-1"/>
      <sheetName val="O-2"/>
      <sheetName val="O-3"/>
      <sheetName val="O-4"/>
      <sheetName val="P-1.2"/>
      <sheetName val="P-1.3"/>
      <sheetName val="P-1.9"/>
      <sheetName val="P-2-1"/>
      <sheetName val="CFI Balance"/>
      <sheetName val="Q-1"/>
      <sheetName val="CSUL"/>
      <sheetName val="Q-2"/>
      <sheetName val="R-2"/>
      <sheetName val="U-1-1"/>
      <sheetName val="Cut Of Sales"/>
      <sheetName val="U-2-1"/>
      <sheetName val="U-2-1.1"/>
      <sheetName val="U-2-2"/>
      <sheetName val="U-2-2-1"/>
      <sheetName val="U-2-3"/>
      <sheetName val="U-2-3-1"/>
      <sheetName val="U-3-1"/>
      <sheetName val="U-3-1-1"/>
      <sheetName val="U-3-2"/>
      <sheetName val="U-3-2-1"/>
      <sheetName val="U-4-1"/>
      <sheetName val="AP reval"/>
      <sheetName val="Flow of Loan"/>
      <sheetName val="List AR"/>
      <sheetName val="not up date"/>
      <sheetName val="Analytical WBSWPL (not update)"/>
      <sheetName val="Leasing (not up date)"/>
      <sheetName val="Analytical (not up date)"/>
      <sheetName val="COS REV (not up date)"/>
      <sheetName val="OPEX (not up date)"/>
      <sheetName val="Other Inc Charges (not up date)"/>
      <sheetName val="COS RATE"/>
      <sheetName val="AdjAmount_311206"/>
      <sheetName val="Quantity Base"/>
      <sheetName val="Blc_QTY_aftrQADJ"/>
      <sheetName val="Inv_311206"/>
      <sheetName val="AdjQty_311206"/>
      <sheetName val="MoveCurrAll"/>
      <sheetName val="moveaftervar"/>
      <sheetName val="VARMTN"/>
      <sheetName val="VAROVH"/>
      <sheetName val="VARFUEL"/>
      <sheetName val="VAREQP"/>
      <sheetName val="VARTYRE"/>
      <sheetName val="VARSI"/>
      <sheetName val="VARMPR"/>
      <sheetName val="VARSUB"/>
      <sheetName val="VAROTH"/>
      <sheetName val="2007"/>
      <sheetName val="Pst_akt"/>
      <sheetName val="TND"/>
      <sheetName val="03-07"/>
      <sheetName val="Move"/>
      <sheetName val="Contr"/>
      <sheetName val="Aktuaria07"/>
      <sheetName val="Not Aktif 2008 (2)"/>
      <sheetName val="Not Aktif 2008"/>
      <sheetName val="Jubilee PT CK 2008"/>
      <sheetName val="DPTU ok"/>
      <sheetName val="DPLK"/>
      <sheetName val="NON DPTU &amp; DPLK"/>
      <sheetName val="DPTU ok (2)"/>
      <sheetName val="DPLK (2)"/>
      <sheetName val="NON DPTU &amp; DPLK (2)"/>
      <sheetName val="WBS 1"/>
      <sheetName val="PAJE,PRJE"/>
      <sheetName val="Passed Adj"/>
      <sheetName val="T account"/>
      <sheetName val="ML Point"/>
      <sheetName val="C-4"/>
      <sheetName val="E Memo"/>
      <sheetName val="E-1 (Aging)"/>
      <sheetName val="EE "/>
      <sheetName val="Sample Selection"/>
      <sheetName val="F-2.1"/>
      <sheetName val="F-4"/>
      <sheetName val="G-5"/>
      <sheetName val="G-6"/>
      <sheetName val="G-6.1"/>
      <sheetName val="H Lead"/>
      <sheetName val="H-4"/>
      <sheetName val="H-5.1"/>
      <sheetName val="Status Tax"/>
      <sheetName val="J Memo"/>
      <sheetName val="I-1 Lead"/>
      <sheetName val="II-1"/>
      <sheetName val="LS-Pajak dibyr Dimuka"/>
      <sheetName val="Inv2005-01"/>
      <sheetName val="Jan05"/>
      <sheetName val="WIP Rate"/>
      <sheetName val="COS Analysis"/>
      <sheetName val="Quantity Prod"/>
      <sheetName val="Adjustment on RE Parent"/>
      <sheetName val="CONSOL '09"/>
      <sheetName val="Restatement Entries"/>
      <sheetName val="Investment KE"/>
      <sheetName val="Investment IM"/>
      <sheetName val="Elimination 09"/>
      <sheetName val="CF 2007 Before restate"/>
      <sheetName val="Detail BS_PL"/>
      <sheetName val="Fixed Assets'09"/>
      <sheetName val="InterCo AR_AP"/>
      <sheetName val="(DTA)DIT"/>
      <sheetName val="T-Account "/>
      <sheetName val="PSAK 24 to Report"/>
      <sheetName val="InterCo Revenue_COGS"/>
      <sheetName val="COGS Details"/>
      <sheetName val="Selling"/>
      <sheetName val="AR (2)"/>
      <sheetName val="Claim"/>
      <sheetName val="PP"/>
      <sheetName val="UM"/>
      <sheetName val="G-1 AdvP"/>
      <sheetName val="BDM"/>
      <sheetName val="G-2.1 Prep"/>
      <sheetName val="AT-Software"/>
      <sheetName val="AT-tdk terpakai"/>
      <sheetName val="AT-tdk terpakai (2)"/>
      <sheetName val="BYMHD"/>
      <sheetName val="UMD"/>
      <sheetName val="617900000"/>
      <sheetName val="825100000"/>
      <sheetName val="Interest ok"/>
      <sheetName val="July 31, 2005 - WBS1"/>
      <sheetName val="July 31, 2005 - WBS2"/>
      <sheetName val="July 31, 2005 - WPL"/>
      <sheetName val="VAT"/>
      <sheetName val="PM TE"/>
      <sheetName val="WBS I"/>
      <sheetName val="WBS II"/>
      <sheetName val="C-Memo"/>
      <sheetName val="E-1.1"/>
      <sheetName val="E-1.atch"/>
      <sheetName val="E-1.Subqnt"/>
      <sheetName val="E-2.1"/>
      <sheetName val="Test Pricing"/>
      <sheetName val="G-atc"/>
      <sheetName val="N-atch"/>
      <sheetName val="U-3.2"/>
      <sheetName val="U-3.3"/>
      <sheetName val="U-3.4"/>
      <sheetName val="U-3.5"/>
      <sheetName val="U-3.5.1"/>
      <sheetName val="TOC Purc"/>
      <sheetName val="TOC Sales"/>
      <sheetName val="TotEx"/>
      <sheetName val="C(Cash&amp;bank)"/>
      <sheetName val="1105-B&amp;I-OK"/>
      <sheetName val="1106-M&amp;E"/>
      <sheetName val="1101-LR-OK"/>
      <sheetName val="1102-B&amp;I-OK"/>
      <sheetName val="1103-M&amp;E"/>
      <sheetName val="1104-M&amp;E"/>
      <sheetName val="1107-V&amp;T"/>
      <sheetName val="1108-V&amp;T"/>
      <sheetName val="1109-T&amp;O"/>
      <sheetName val=" Leasing"/>
      <sheetName val="KOMPARASI"/>
      <sheetName val="Sale-Leaseback"/>
      <sheetName val="Contracts, Parts &amp; Tech"/>
      <sheetName val="CSARL File Location"/>
      <sheetName val="ADJ CODA TUS(S)PL"/>
      <sheetName val="ADJ CODA PTTU"/>
      <sheetName val="ADJ CODA TUS(S)PL (2)"/>
      <sheetName val="U4.2.1"/>
      <sheetName val="U4.2"/>
      <sheetName val="PPh23 th.04"/>
      <sheetName val="MRC1"/>
      <sheetName val="MRC2"/>
      <sheetName val="MRC3"/>
      <sheetName val="MRC4"/>
      <sheetName val="RMRC"/>
      <sheetName val="MSTR"/>
      <sheetName val="1000000"/>
      <sheetName val="2000000"/>
      <sheetName val="3000000"/>
      <sheetName val="4000000"/>
      <sheetName val="E-2.2"/>
      <sheetName val="pll feb 06"/>
      <sheetName val="E2.2"/>
      <sheetName val="N  3"/>
      <sheetName val="N 4"/>
      <sheetName val="CC AP"/>
      <sheetName val="Sub Payment"/>
      <sheetName val="P-2.1 Def Income"/>
      <sheetName val="P3 LaborLaw"/>
      <sheetName val="O Taxes Payable"/>
      <sheetName val="O-1Art21"/>
      <sheetName val="O-3VATOut"/>
      <sheetName val="O-3.1 VAT Out Recon"/>
      <sheetName val="M1 ADJ KURS CB LOAN"/>
      <sheetName val="MM-Loan"/>
      <sheetName val="TT-Equity"/>
      <sheetName val="T Equity"/>
      <sheetName val="N.4"/>
      <sheetName val="N.5.1"/>
      <sheetName val="N.6.1"/>
      <sheetName val="N.6.3"/>
      <sheetName val="O4"/>
      <sheetName val="O4(2)"/>
      <sheetName val="O.5"/>
      <sheetName val="P2 (2)"/>
      <sheetName val="P.3"/>
      <sheetName val="P.4"/>
      <sheetName val="PM (Dec 31, 2005)"/>
      <sheetName val="LTR"/>
      <sheetName val="PRJE - December 31, 2005"/>
      <sheetName val="CAJE - December 31, 2005 "/>
      <sheetName val="Lead TB"/>
      <sheetName val="Trial Balance Dec 31, 05"/>
      <sheetName val="Assets"/>
      <sheetName val="Passiva"/>
      <sheetName val="Summary over-under accrued"/>
      <sheetName val="C Memo (1)"/>
      <sheetName val="C-11"/>
      <sheetName val="C-12"/>
      <sheetName val="C-13"/>
      <sheetName val="C Memo (2)"/>
      <sheetName val="E-2.3"/>
      <sheetName val="E-2.4"/>
      <sheetName val="GHB-BHH"/>
      <sheetName val="Aging Receivable"/>
      <sheetName val="Aging Receivable (2)"/>
      <sheetName val="F-2"/>
      <sheetName val="F-2.4"/>
      <sheetName val="F-2.5"/>
      <sheetName val="F-2.6"/>
      <sheetName val="F-2.7"/>
      <sheetName val="Iss Jrn"/>
      <sheetName val="G-1.1"/>
      <sheetName val="G-1.1 Memo"/>
      <sheetName val="G-1.1.1 "/>
      <sheetName val="CashFlow Combined"/>
      <sheetName val="Expense clasiffication"/>
      <sheetName val="TB-December 31, 2005"/>
      <sheetName val="T - Account"/>
      <sheetName val="Cost Analysis"/>
      <sheetName val="Retail"/>
      <sheetName val="Recap Inv"/>
      <sheetName val="Purchase"/>
      <sheetName val="Consumed"/>
      <sheetName val="Tobacco"/>
      <sheetName val="Tbc Jrn"/>
      <sheetName val="Eng"/>
      <sheetName val="Engineering"/>
      <sheetName val="Retcostboard"/>
      <sheetName val="Macro"/>
      <sheetName val="FA REGISTER"/>
      <sheetName val="FA DETAILS"/>
      <sheetName val="ADD_PERIOD"/>
      <sheetName val="DISP_PERIOD"/>
      <sheetName val="DISP_YEAR"/>
      <sheetName val="Ls_XLB_WorkbookFile"/>
      <sheetName val="O.1 (Art 21)"/>
      <sheetName val="O.2 (Art 23)"/>
      <sheetName val="Person Incharge"/>
      <sheetName val="ELIM UCC"/>
      <sheetName val="CONSOL '08"/>
      <sheetName val="Reclass Entry07"/>
      <sheetName val="COGS (1)"/>
      <sheetName val="Reclass08"/>
      <sheetName val="Effect Tax Rate"/>
      <sheetName val="Elimination"/>
      <sheetName val="Fixed Assets'08"/>
      <sheetName val="Elimination InterCo"/>
      <sheetName val="InterCo_"/>
      <sheetName val="Movement for CF"/>
      <sheetName val="Reclassification FY07"/>
      <sheetName val="ELIM Sale of Asset"/>
      <sheetName val="RE Reconciliation"/>
      <sheetName val="Contribution Paid"/>
      <sheetName val="DIT"/>
      <sheetName val="Natra Raya"/>
      <sheetName val="Equity Method"/>
      <sheetName val="PSAK 24"/>
      <sheetName val="Add inf CF"/>
      <sheetName val="COGS (2)"/>
      <sheetName val="Sales Parameter"/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CONSOL '07 &amp; 08"/>
      <sheetName val="Elimination 07"/>
      <sheetName val="Investment 07"/>
      <sheetName val="Elimination 08"/>
      <sheetName val="Investment 08"/>
      <sheetName val="JANUARI"/>
      <sheetName val="FEBRUARI"/>
      <sheetName val="MARET"/>
      <sheetName val="APRIL"/>
      <sheetName val="MEI"/>
      <sheetName val="JUNI"/>
      <sheetName val="DESEMBER"/>
      <sheetName val="Colsolidasi"/>
      <sheetName val="TMT"/>
      <sheetName val="SSB"/>
      <sheetName val="CP"/>
      <sheetName val="MST"/>
      <sheetName val="CJ"/>
      <sheetName val="CKB"/>
      <sheetName val="CONSOL '05"/>
      <sheetName val="EJE '05"/>
      <sheetName val="AJE PSAK 4"/>
      <sheetName val="EJE to be added"/>
      <sheetName val="EJE to be deleted"/>
      <sheetName val="t acc 2005"/>
      <sheetName val="Fixed Assets'05"/>
      <sheetName val="CONSOL '06"/>
      <sheetName val="Fixed Assets'06"/>
      <sheetName val="RECON CJ SALES"/>
      <sheetName val="SALES USD (2)"/>
      <sheetName val="SALES IDR (2)"/>
      <sheetName val="WHT Jan -Des 2010"/>
      <sheetName val="SALES USD"/>
      <sheetName val="SALES IDR"/>
      <sheetName val="SALES USD_CJ"/>
      <sheetName val="SALES IDR_CJ"/>
      <sheetName val="#REF!"/>
      <sheetName val="Summary Pengiriman Dist Sept 08"/>
      <sheetName val="CREDIT LIMIT"/>
      <sheetName val="Proyeksi Cash In"/>
      <sheetName val="AR OVD"/>
      <sheetName val="AR N_ OD"/>
      <sheetName val="PIC MKT"/>
      <sheetName val="Distributor"/>
      <sheetName val="Rekonsiliasi Aug_08"/>
      <sheetName val="Rekonsiliasi Juli_08"/>
      <sheetName val="Rekonsiliasi Juni_08"/>
      <sheetName val="Rekonsiliasi April _08"/>
      <sheetName val="Rekonsiliasi May_08"/>
      <sheetName val="Pengiriman Distri_ Aug 08"/>
      <sheetName val="Molasses _Juli 08"/>
      <sheetName val="Gudang _ Gula Murah08"/>
      <sheetName val="Reconciliation"/>
      <sheetName val="control"/>
      <sheetName val="Fiscal per pak agus"/>
      <sheetName val="Fiscal  per audit"/>
      <sheetName val="Tax-IDR"/>
      <sheetName val="TAX-USD"/>
      <sheetName val="NDE"/>
      <sheetName val="Analytical WBS1"/>
      <sheetName val="Analytical WBS2"/>
      <sheetName val="Analytical WPL"/>
      <sheetName val="CASH &amp; BANK (C)"/>
      <sheetName val="Analytical Cash"/>
      <sheetName val="TRADE AR (E-1)"/>
      <sheetName val="AR-USD"/>
      <sheetName val="AR-VAT"/>
      <sheetName val="OTHER AR (E-2)"/>
      <sheetName val="Detail Miscellaneous"/>
      <sheetName val="INVENTORY (F)"/>
      <sheetName val="Production of methanol"/>
      <sheetName val="ADVANCE&amp;PREPAID EXPENSES (G-2)"/>
      <sheetName val="COP-LOAN"/>
      <sheetName val="ADV"/>
      <sheetName val="details confirmation Loan &amp; Adv"/>
      <sheetName val="Prepaid insurance (G2.1)"/>
      <sheetName val="cOVER INSURANCE (G.2.2)"/>
      <sheetName val="Plan &amp; insurance exp(U.4-9)"/>
      <sheetName val="Others asset (J)"/>
      <sheetName val="AP TRADE (N)"/>
      <sheetName val="Detail AP Supplier"/>
      <sheetName val="Detail AP Others"/>
      <sheetName val="subsequent payment"/>
      <sheetName val="ACCRUED (P)"/>
      <sheetName val="Accrued insurance(P.1)"/>
      <sheetName val="GR-IR"/>
      <sheetName val="TAXES PAYABLE (O)"/>
      <sheetName val="CAPITAL (T)"/>
      <sheetName val="REVENUE (U-1)"/>
      <sheetName val="Analytical Revenue"/>
      <sheetName val="COGS (U-2)"/>
      <sheetName val="Analitical COGS "/>
      <sheetName val="OPEX (U-3)"/>
      <sheetName val="analitical opex"/>
      <sheetName val="Detail COGS and OPEX USD"/>
      <sheetName val="Detail COGS and OPEX IDR"/>
      <sheetName val="OTHER INC (EXP) (U-4)"/>
      <sheetName val="Accrue interst income"/>
      <sheetName val="Gain(loss) forex"/>
      <sheetName val="PAJE "/>
      <sheetName val="PRJE "/>
      <sheetName val="CAJE "/>
      <sheetName val="Materiality IDR &amp; USD"/>
      <sheetName val="XXXXXXXX"/>
      <sheetName val="Ay080671"/>
      <sheetName val="Kapitalisasi"/>
      <sheetName val="Neraca (2)"/>
      <sheetName val="Prl-99 (2)"/>
      <sheetName val="Note to FS"/>
      <sheetName val="Prl-99"/>
      <sheetName val="Rugi-Laba"/>
      <sheetName val="WBS-trial"/>
      <sheetName val="WPL-trial"/>
      <sheetName val="WBS-March31,2005"/>
      <sheetName val="WPL-March31,2005"/>
      <sheetName val="Depre Test"/>
      <sheetName val="Depre Test adi"/>
      <sheetName val="Machinary yg depr tdk 9 bln"/>
      <sheetName val="Machinary 2006 (2)"/>
      <sheetName val="MAchenery 2005"/>
      <sheetName val="Off &amp; Komp USD full depr"/>
      <sheetName val="2002 komp IDR full depr"/>
      <sheetName val="2002 IDR full Depr equip"/>
      <sheetName val="add machinery"/>
      <sheetName val="add vehicle"/>
      <sheetName val="add office equip"/>
      <sheetName val="add office equip IDR"/>
      <sheetName val="add leasehold"/>
      <sheetName val="vouch addition"/>
      <sheetName val="Compare Saldo"/>
      <sheetName val="PM,TE &amp; SAD"/>
      <sheetName val="Deff Tax"/>
      <sheetName val="Rekon Fiskal"/>
      <sheetName val="Int Inc U.6-1"/>
      <sheetName val="vehicles"/>
      <sheetName val="LEAS"/>
      <sheetName val="AMOR"/>
      <sheetName val="DISPOSAL"/>
      <sheetName val="Loan Covenant"/>
      <sheetName val="is-sum"/>
      <sheetName val="isdetail"/>
      <sheetName val="bs-sum"/>
      <sheetName val="bsdetail"/>
      <sheetName val="G.3"/>
      <sheetName val="G.4"/>
      <sheetName val="I.AR"/>
      <sheetName val="I.AP"/>
      <sheetName val="Memo Journal"/>
      <sheetName val="K (Dec)"/>
      <sheetName val="Predictive depre"/>
      <sheetName val="O Prepaid"/>
      <sheetName val="O Payable"/>
      <sheetName val="UA"/>
      <sheetName val="Sales Cut Off"/>
      <sheetName val="VA"/>
      <sheetName val="VD"/>
      <sheetName val="Point to Do"/>
      <sheetName val="U.1 Lead"/>
      <sheetName val="U.1.1.1 Sales Cut Off AP"/>
      <sheetName val="U.1.1.2 Sales Cut Off WCP"/>
      <sheetName val="U.1.2.1 Test Recorded Sales AP"/>
      <sheetName val="U.1.2.2 Test Recorded Sales WCP"/>
      <sheetName val="U.2 Lead"/>
      <sheetName val="U.2.1 COGS Test - coba"/>
      <sheetName val="U.3 Lead"/>
      <sheetName val="U3.1 Breakdown"/>
      <sheetName val="U.4 Lead"/>
      <sheetName val="VB.1.1"/>
      <sheetName val="C.1 Forex Test"/>
      <sheetName val="C.2 Cut Off"/>
      <sheetName val="CC Confirmation Cash"/>
      <sheetName val="E.1 Aging AR"/>
      <sheetName val="E.2 Test Aging AR"/>
      <sheetName val="E.3 AR Turn Over"/>
      <sheetName val="E.4 Subsequent AR"/>
      <sheetName val="EE Conf. AR"/>
      <sheetName val="F.1 RM and WIP"/>
      <sheetName val="F.2 Finished Goods"/>
      <sheetName val="F.3 Material In Transit"/>
      <sheetName val="F.4 Provision Inventory"/>
      <sheetName val="F.4.1 Test Provision"/>
      <sheetName val="F.5 Inventory Turn Over"/>
      <sheetName val="F.6 Roll Forward"/>
      <sheetName val="F.7 Test Pricing Inventory"/>
      <sheetName val="F.8 Inventory Reconciliation"/>
      <sheetName val="DEC05 (2)"/>
      <sheetName val="Items 2005"/>
      <sheetName val="Items 0606"/>
      <sheetName val="Items 0706"/>
      <sheetName val="Items 0806"/>
      <sheetName val="Items 0906"/>
      <sheetName val="Items 1006 "/>
      <sheetName val="Items 1106 "/>
      <sheetName val="Items 1206"/>
      <sheetName val="Provision-2006"/>
      <sheetName val="PR0104"/>
      <sheetName val="PR0204"/>
      <sheetName val="PR0304"/>
      <sheetName val="PR0404"/>
      <sheetName val="PR0504"/>
      <sheetName val="PR0604"/>
      <sheetName val="PR0704"/>
      <sheetName val="PR0804"/>
      <sheetName val="PR0904"/>
      <sheetName val="PR1004"/>
      <sheetName val="PR1104"/>
      <sheetName val="PR1204"/>
      <sheetName val="PR0105"/>
      <sheetName val="PR0205"/>
      <sheetName val="PR0305"/>
      <sheetName val="PR0405"/>
      <sheetName val="PR0505"/>
      <sheetName val="PR0605"/>
      <sheetName val="PR0705"/>
      <sheetName val="PR0805"/>
      <sheetName val="PR0905"/>
      <sheetName val="PR1005"/>
      <sheetName val="PR1105"/>
      <sheetName val="PR1205"/>
      <sheetName val="PR0106"/>
      <sheetName val="PR0206"/>
      <sheetName val="PR0306"/>
      <sheetName val="PR0406"/>
      <sheetName val="PR0506"/>
      <sheetName val="PR0606"/>
      <sheetName val="PR0706"/>
      <sheetName val="PR0806"/>
      <sheetName val="PR0906"/>
      <sheetName val="PR1006"/>
      <sheetName val="PR1106"/>
      <sheetName val="PR1206"/>
      <sheetName val="M.2 Lead - Due To"/>
      <sheetName val="M.2.1 Movement Due To"/>
      <sheetName val="MM Due to Confirm."/>
      <sheetName val="M.3 Advance Payable"/>
      <sheetName val="M.3.1 Advance Pay. AP"/>
      <sheetName val="M.3.2 Advance Pay. WCP"/>
      <sheetName val="O Lead - Tax Pay."/>
      <sheetName val="O.1 PPh art 21"/>
      <sheetName val="O.2 PPh art 23"/>
      <sheetName val="O.3 PPh art 26"/>
      <sheetName val="O.4 Vat out"/>
      <sheetName val="O.4.1 Recon Sales"/>
      <sheetName val="O.4.2 VAT - Installation"/>
      <sheetName val="O.4.3 Dasa"/>
      <sheetName val="O.4.4 DP Received"/>
      <sheetName val="O.4.5 Retur"/>
      <sheetName val="P.1 Lead - Other Pay."/>
      <sheetName val="P.1.1 OUCL"/>
      <sheetName val="P.2 Lead - Accrued Exp"/>
      <sheetName val="P.3 Lead - Employees' Benefit"/>
      <sheetName val="P.3.1 Movement PSAK 24"/>
      <sheetName val="P.3.2 Recon Actuary"/>
      <sheetName val="P.3.3 Individual PVO"/>
      <sheetName val="T Lead - SHE"/>
      <sheetName val="T.1 Recon RE"/>
      <sheetName val="TT Capital Conf."/>
      <sheetName val="TOP F-123 (2)"/>
      <sheetName val="F-123"/>
      <sheetName val="TOP F-123"/>
      <sheetName val="Tab DPA"/>
      <sheetName val="Calc (Awal)"/>
      <sheetName val="VESTED"/>
      <sheetName val="DBvsLL(V)"/>
      <sheetName val="C-trans"/>
      <sheetName val="DBvsLL(T)"/>
      <sheetName val="DCvsLL(V)"/>
      <sheetName val="DCvsLL(T)"/>
      <sheetName val="DBvsLL(T) (2)"/>
      <sheetName val="List_DPvsLL (2)"/>
      <sheetName val="T Mortalita"/>
      <sheetName val="Fyos&lt;1"/>
      <sheetName val="Recap55"/>
      <sheetName val="List_13"/>
      <sheetName val="T LL"/>
      <sheetName val="List_DPvsLL"/>
      <sheetName val="List_indDP"/>
      <sheetName val="ProjBen"/>
      <sheetName val="T1_ValPF"/>
      <sheetName val="T_Pelu"/>
      <sheetName val="Tab_k150"/>
      <sheetName val="C-vested"/>
      <sheetName val="T1_Val150"/>
      <sheetName val="T2_Val150"/>
      <sheetName val="Tab_Ann"/>
      <sheetName val="T2_ValPF"/>
      <sheetName val="SummRecX55"/>
      <sheetName val="SummRec55"/>
      <sheetName val="Tab_Iuran"/>
      <sheetName val="OPSEN"/>
      <sheetName val="KONS DIT HULU"/>
      <sheetName val="KONS BID P"/>
      <sheetName val="KONS BID P_N"/>
      <sheetName val="DIT HILIR"/>
      <sheetName val="RANTAU"/>
      <sheetName val="PRABUMULIH"/>
      <sheetName val="JAMBI"/>
      <sheetName val="KR_AMPEL"/>
      <sheetName val="CEPU"/>
      <sheetName val="SORONG"/>
      <sheetName val="SANGATA_BUNYU"/>
      <sheetName val="KAMOJANG"/>
      <sheetName val="SIBAYAK"/>
      <sheetName val="KP_DIT_HULU"/>
      <sheetName val="UP 1 BRANDAN"/>
      <sheetName val="UP II DUMAI"/>
      <sheetName val="UP III PLAJU"/>
      <sheetName val="UP IV CILACAP"/>
      <sheetName val="UP V BALIKPAPAN"/>
      <sheetName val="UP VI BALONGAN"/>
      <sheetName val="UP VII KASIM"/>
      <sheetName val="KPC"/>
      <sheetName val="Giro"/>
      <sheetName val="SSP SPT 21 26"/>
      <sheetName val="SSP SPT 42"/>
      <sheetName val="SSP SPT 23 26"/>
      <sheetName val="POT 23 26"/>
      <sheetName val="DBP"/>
      <sheetName val="DBP2"/>
      <sheetName val="DBP3"/>
      <sheetName val="BP23"/>
      <sheetName val="BP23 (2)"/>
      <sheetName val="SSP SPT 22"/>
      <sheetName val="POT 42"/>
      <sheetName val="SSP SPT 25"/>
      <sheetName val="1771.2"/>
      <sheetName val="2A"/>
      <sheetName val="3A"/>
      <sheetName val="5A"/>
      <sheetName val="6A"/>
      <sheetName val="7A"/>
      <sheetName val="C10a"/>
      <sheetName val="C10c"/>
      <sheetName val="CGS"/>
      <sheetName val="MKT"/>
      <sheetName val="GA"/>
      <sheetName val="OTH"/>
      <sheetName val="Pos"/>
      <sheetName val="WPL "/>
      <sheetName val="U1 Sales"/>
      <sheetName val="U-1.1"/>
      <sheetName val="U-1.2"/>
      <sheetName val="Sales Cut-Off"/>
      <sheetName val="U2 COGS"/>
      <sheetName val="U-2.1"/>
      <sheetName val="U-2.2"/>
      <sheetName val="U-2.3"/>
      <sheetName val="U-2.4"/>
      <sheetName val="U-2.5"/>
      <sheetName val="U-2.6"/>
      <sheetName val="U-2.7"/>
      <sheetName val="U3.1 Selling expenses"/>
      <sheetName val="U-3.1.1"/>
      <sheetName val="U3.2 G&amp;A expenses"/>
      <sheetName val="U4 Memo"/>
      <sheetName val="U-4.2 forex Pending"/>
      <sheetName val="lead"/>
      <sheetName val="Summary recon sd Nov 09"/>
      <sheetName val="Detail recon sd Nov 09"/>
      <sheetName val="Summary Jan-Nov 09"/>
      <sheetName val="Summary Jan-Des 09 "/>
      <sheetName val="MRT"/>
      <sheetName val="AGS"/>
      <sheetName val="SAP USD - New"/>
      <sheetName val="WHT (PPh23) Monthly"/>
      <sheetName val="SAP IDR-New"/>
      <sheetName val="PPn Monthly"/>
      <sheetName val="whtax31des09"/>
      <sheetName val="SAP (USD)"/>
      <sheetName val="SAP (IDR)"/>
      <sheetName val="Intercoy"/>
      <sheetName val="CAJE CRJE"/>
      <sheetName val="CF 09"/>
      <sheetName val="Direct CF'09 "/>
      <sheetName val="Direct CF'08"/>
      <sheetName val="A4 Dec 2010"/>
      <sheetName val="C_1"/>
      <sheetName val="C_2"/>
      <sheetName val="C_3"/>
      <sheetName val="Corp_new"/>
      <sheetName val="DIT_FA"/>
      <sheetName val="VA_1"/>
      <sheetName val="VA_2"/>
      <sheetName val="VA_3"/>
      <sheetName val="VC_1"/>
      <sheetName val="VC_2"/>
      <sheetName val="VC_3"/>
      <sheetName val="UB"/>
      <sheetName val="TB201012"/>
      <sheetName val="TB201009"/>
      <sheetName val="Audited Balance 2008 - 2009"/>
      <sheetName val="TB YTD 3rd Closing"/>
      <sheetName val="TB After 2nd Draft"/>
      <sheetName val="Notes Reclassification "/>
      <sheetName val="Reclassification of Accounts"/>
      <sheetName val="For Reporting Purposes"/>
      <sheetName val="Rekonsiliasi Fiskal new TB"/>
      <sheetName val="P-1-1"/>
      <sheetName val="P-1-2"/>
      <sheetName val="P-1-3"/>
      <sheetName val="P-1-4"/>
      <sheetName val="P-1.4.2"/>
      <sheetName val="P-1.4.3"/>
      <sheetName val="P-1-5"/>
      <sheetName val="P-1.5.2 Attch A."/>
      <sheetName val="P-1.5.2 Attch B"/>
      <sheetName val="P-1.5.3 &amp; 1.6.3"/>
      <sheetName val="P-1-6"/>
      <sheetName val="Diff"/>
      <sheetName val="Pred Test"/>
      <sheetName val="P-1.6.2"/>
      <sheetName val="Calc Prov"/>
      <sheetName val="P-1-7"/>
      <sheetName val="Mekanisme Jurnal Accrued"/>
      <sheetName val="movement awal"/>
      <sheetName val="P-1-8"/>
      <sheetName val="E-4 AFDA"/>
      <sheetName val="E-5"/>
      <sheetName val="E-6 Aging"/>
      <sheetName val="E-7 Subs."/>
      <sheetName val="E-7.1"/>
      <sheetName val="E-8"/>
      <sheetName val="E (2)"/>
      <sheetName val="G-1 Lead"/>
      <sheetName val="G-Nature"/>
      <sheetName val="G-1.2"/>
      <sheetName val="G-1.4"/>
      <sheetName val="G-1.5"/>
      <sheetName val="G-1.5.1"/>
      <sheetName val="Comparison with TMT Group"/>
      <sheetName val="G-1.6"/>
      <sheetName val="CF Non Cash Activity"/>
      <sheetName val="DIT_BS"/>
      <sheetName val="DIT_PL 30_"/>
      <sheetName val="DIT_BS 30_"/>
      <sheetName val="CF 08"/>
      <sheetName val="PY PAJE PRJE"/>
      <sheetName val="J_1"/>
      <sheetName val="N_2"/>
      <sheetName val="Q_1"/>
      <sheetName val="Q_2"/>
      <sheetName val="U_2_2 "/>
      <sheetName val="S_1 CK"/>
      <sheetName val="U_1"/>
      <sheetName val="U_2_1"/>
      <sheetName val="U_2_3"/>
      <sheetName val="U_3_1"/>
      <sheetName val="U_3_2"/>
      <sheetName val="U_4"/>
      <sheetName val="Due to Tax Rate"/>
      <sheetName val="DIT-FA"/>
      <sheetName val="DTA _WP"/>
      <sheetName val="For Rep Let "/>
      <sheetName val="Due to Tax Rate (2)"/>
      <sheetName val="DIT - EY BS 25%"/>
      <sheetName val="Rekonsiliasi Fiskal old"/>
      <sheetName val="TB 2009_Old"/>
      <sheetName val="TE"/>
      <sheetName val="A4-2002"/>
      <sheetName val="CF-2002"/>
      <sheetName val="CF supp-2002"/>
      <sheetName val="CF supp"/>
      <sheetName val="T-Acc"/>
      <sheetName val="LCM "/>
      <sheetName val="G1"/>
      <sheetName val="G2"/>
      <sheetName val="G3"/>
      <sheetName val="DTA"/>
      <sheetName val="Kdetail"/>
      <sheetName val="Sale-Leaseback (2)"/>
      <sheetName val="N-3"/>
      <sheetName val="O-1-1"/>
      <sheetName val="O-1-2"/>
      <sheetName val="O-1-3"/>
      <sheetName val="O-1-4"/>
      <sheetName val="V1"/>
      <sheetName val="U-1 (2)"/>
      <sheetName val="quantity-sales"/>
      <sheetName val="GPA "/>
      <sheetName val="U-1 Analysis"/>
      <sheetName val="xport-cut"/>
      <sheetName val="local-cut (2)"/>
      <sheetName val="U-2 "/>
      <sheetName val="U2-1"/>
      <sheetName val="Costing-Test"/>
      <sheetName val="quantity-COGS"/>
      <sheetName val="purchase-cutoff"/>
      <sheetName val="U-3 (2)"/>
      <sheetName val="U-4 (2)"/>
      <sheetName val="U-5 (2)"/>
      <sheetName val="U-5-1"/>
      <sheetName val="i test"/>
      <sheetName val="Tax Rec"/>
      <sheetName val="NDE-i"/>
      <sheetName val="PPE-fis"/>
      <sheetName val="lease-forex"/>
      <sheetName val="FSC- Lease Rec"/>
      <sheetName val="monetary"/>
      <sheetName val="FPR"/>
      <sheetName val="PTTU P &amp; L 2002"/>
      <sheetName val="APX. 1 &amp; 5"/>
      <sheetName val="APX. 2 &amp; 3"/>
      <sheetName val="APX. 4"/>
      <sheetName val="APX. 6"/>
      <sheetName val="APX. 6 Addition (Audit)"/>
      <sheetName val="APX. 7"/>
      <sheetName val="APX. 8"/>
      <sheetName val="APX. 9"/>
      <sheetName val="APX.9 (Audit)"/>
      <sheetName val="APX. 10"/>
      <sheetName val="APX. 11"/>
      <sheetName val="APX. 12"/>
      <sheetName val="APX. 13"/>
      <sheetName val="APX. 14"/>
      <sheetName val="APX. 15"/>
      <sheetName val="APX. 16"/>
      <sheetName val="APX. 17"/>
      <sheetName val="PPH21_Cal"/>
      <sheetName val="Equal"/>
      <sheetName val="Equal For Tax"/>
      <sheetName val="Rekap SPT_Per Des Ok"/>
      <sheetName val="1721 KIP"/>
      <sheetName val="1721 TED"/>
      <sheetName val="1721 BHI"/>
      <sheetName val="1721 SGT"/>
      <sheetName val="1721 SMD"/>
      <sheetName val="BenefitHouse"/>
      <sheetName val="BenefitHouse_new"/>
      <sheetName val=" K-1 PPE reporting "/>
      <sheetName val="asset dec'09 rEV2"/>
      <sheetName val="Asset Transaction09"/>
      <sheetName val="List by classs"/>
      <sheetName val="asset transaction08"/>
      <sheetName val="asset depreciation08"/>
      <sheetName val="tb08.02.02.09"/>
      <sheetName val="Asset sales"/>
      <sheetName val="Useful life"/>
      <sheetName val="111121105"/>
      <sheetName val="Penjelasan"/>
      <sheetName val="K&amp;B"/>
      <sheetName val="PHI"/>
      <sheetName val="PMHD"/>
      <sheetName val="INTRA"/>
      <sheetName val="CAD PIUT"/>
      <sheetName val="BANK-INTRANSIT"/>
      <sheetName val="AR-INTRANSIT"/>
      <sheetName val="AUP"/>
      <sheetName val="TOP20"/>
      <sheetName val="JOURNAL-BDM"/>
      <sheetName val="Cisco"/>
      <sheetName val="Tax (2)"/>
      <sheetName val="Reklase"/>
      <sheetName val="WLS"/>
      <sheetName val="trf gl"/>
      <sheetName val="Sheet1 (4)"/>
      <sheetName val="Deposit POS"/>
      <sheetName val="212400100"/>
      <sheetName val="Sheet1 (3)"/>
      <sheetName val="jan04"/>
      <sheetName val="CRITERIA2"/>
      <sheetName val="Land Not Used-print"/>
      <sheetName val="Land Not Used"/>
      <sheetName val="HQ"/>
      <sheetName val="SUM-NAT"/>
      <sheetName val="Asset disposal"/>
      <sheetName val="Detail-SAP"/>
      <sheetName val="PPH GB"/>
      <sheetName val="Trf-SAP-GL"/>
      <sheetName val="Trf-SAP-PCA"/>
      <sheetName val="By Month"/>
      <sheetName val="List-Mei"/>
      <sheetName val="List-Juni"/>
      <sheetName val="115100100-SBI Juni"/>
      <sheetName val="trend"/>
      <sheetName val="J-Blk"/>
      <sheetName val="DIA"/>
      <sheetName val="PST"/>
      <sheetName val="SBG"/>
      <sheetName val="PDG"/>
      <sheetName val="PKU"/>
      <sheetName val="LPG"/>
      <sheetName val="INV (2)"/>
      <sheetName val="KEND"/>
      <sheetName val="KEND (2)"/>
      <sheetName val="jnrl reverse"/>
      <sheetName val="Depr-Inv"/>
      <sheetName val="Depr-Kend"/>
      <sheetName val="Depr-Bgn"/>
      <sheetName val="Jnrl Reklase"/>
      <sheetName val="Rev-ADP"/>
      <sheetName val="Saldo"/>
      <sheetName val="ACL"/>
      <sheetName val="BTR"/>
      <sheetName val="BGR"/>
      <sheetName val="BKS"/>
      <sheetName val="PTK"/>
      <sheetName val="Var-Des'04"/>
      <sheetName val="Audit Adj'04"/>
      <sheetName val="FA Fiscal"/>
      <sheetName val="Tax Comp"/>
      <sheetName val="Detail DTA"/>
      <sheetName val="Fiscal"/>
      <sheetName val="to FS"/>
      <sheetName val="PAJE-RJE"/>
      <sheetName val="CAJE-RJE"/>
      <sheetName val="CF Package Jun10"/>
      <sheetName val="CF report"/>
      <sheetName val="Tax Comp Juni 2010"/>
      <sheetName val="I-2"/>
      <sheetName val="Flow Loan"/>
      <sheetName val="VA-1(DL)"/>
      <sheetName val="VA-2(FOH)"/>
      <sheetName val="VC_Opex"/>
      <sheetName val="COGS_PBC"/>
      <sheetName val="TB as of 30.06.2010"/>
      <sheetName val="Tax21 (O-1)"/>
      <sheetName val="Tax23 (O-2)"/>
      <sheetName val="Tax25 (O-3)"/>
      <sheetName val="O-4 VAT"/>
      <sheetName val="O-4.1VAT Recon"/>
      <sheetName val="O-5 Tax 23 Prepaid"/>
      <sheetName val="BS+PL"/>
      <sheetName val="Trf-SAP"/>
      <sheetName val="PCA-SBG"/>
      <sheetName val="Reklase Intra"/>
      <sheetName val="TB Dec printed  29-02-08"/>
      <sheetName val="AssetDisp.Fiscal"/>
      <sheetName val="Sum_AssetDisp"/>
      <sheetName val="AssetDispComm"/>
      <sheetName val="Tetap&amp;Waktu"/>
      <sheetName val="TB2010"/>
      <sheetName val="Forex Leasing"/>
      <sheetName val="Leasing 2010 USD"/>
      <sheetName val="EmpHouseRent"/>
      <sheetName val="PPh25Prepaid_2010"/>
      <sheetName val="Asset Fiscal"/>
      <sheetName val="RekonPPh21"/>
      <sheetName val="Flow of COGS"/>
      <sheetName val="Company"/>
      <sheetName val="Detail Nov 09"/>
      <sheetName val="Asset data"/>
      <sheetName val="Dep1012"/>
      <sheetName val="Bal2010"/>
      <sheetName val="Sheet1 (5)"/>
      <sheetName val="Lease2009"/>
      <sheetName val="Dtl2009"/>
      <sheetName val="Dtl2010"/>
      <sheetName val="Dep2010"/>
      <sheetName val="Bal Dec 2010"/>
      <sheetName val="Dep10-12"/>
      <sheetName val="Sep2010"/>
      <sheetName val="Asset Acq Nov 2010"/>
      <sheetName val="asset trransfer"/>
      <sheetName val="PM-PL"/>
      <sheetName val="Reports"/>
      <sheetName val="SK HTM"/>
      <sheetName val="TLKM-J"/>
      <sheetName val="N-TLKM"/>
      <sheetName val="Table Array"/>
      <sheetName val="1771-I"/>
      <sheetName val="1771-II"/>
      <sheetName val="TU By Div (2)"/>
      <sheetName val="detail pph from tu"/>
      <sheetName val="INC"/>
      <sheetName val="MED"/>
      <sheetName val="ENT"/>
      <sheetName val="CUST"/>
      <sheetName val="Sum_1211120_30 &amp; 60"/>
      <sheetName val="1211120-Query"/>
      <sheetName val="1211130-Query"/>
      <sheetName val="1211160-Query"/>
      <sheetName val="Details GR_1211120,30 &amp; 60 "/>
      <sheetName val="7411230"/>
      <sheetName val="7411231"/>
      <sheetName val="7411240"/>
      <sheetName val="7411242"/>
      <sheetName val="7411242-GL"/>
      <sheetName val="7411250"/>
      <sheetName val="7411260"/>
      <sheetName val="7411260-GL"/>
      <sheetName val="7411268"/>
      <sheetName val="7411268-GL"/>
      <sheetName val="Detail Direct PO_ZSSBPOHIST (2)"/>
      <sheetName val="Sum_Direct Purchase"/>
      <sheetName val="Detail Direct PO_ZSSBPOHISTORY "/>
      <sheetName val="2000"/>
      <sheetName val="Tax Comp 2010"/>
      <sheetName val="TB_Periode14"/>
      <sheetName val="cashflow Package_2010"/>
      <sheetName val="Direct CF_reporting"/>
      <sheetName val="CAJE and CRJE"/>
      <sheetName val="C "/>
      <sheetName val="I.1 AR"/>
      <sheetName val="I.2 AP"/>
      <sheetName val="K "/>
      <sheetName val="O.1 Prepaid"/>
      <sheetName val="O.2 Payable"/>
      <sheetName val="Point To Do SBY"/>
      <sheetName val="R.1 RECON FISCAL"/>
      <sheetName val="R.1 Def. Tax"/>
      <sheetName val="R.1.1 N.D.E"/>
      <sheetName val="Rental"/>
      <sheetName val="R.1.2 Interest Inc."/>
      <sheetName val="R.1.3 Vehicle depre."/>
      <sheetName val="R.1.4 Depreciation"/>
      <sheetName val="R.1.7 Leasing"/>
      <sheetName val="R.1.8 Disposal FA"/>
      <sheetName val="R.1.6 Amort."/>
      <sheetName val="R.1.5 Real Bad Stock"/>
      <sheetName val="LESIND"/>
      <sheetName val="RKIN"/>
      <sheetName val="SSM"/>
      <sheetName val="UA Jul - Oct"/>
      <sheetName val="E.2 Lead"/>
      <sheetName val="E.2.2"/>
      <sheetName val="E.2.2.1"/>
      <sheetName val="E.2.2.2"/>
      <sheetName val="E.2.3"/>
      <sheetName val="E.2.4"/>
      <sheetName val="E.2.4.1"/>
      <sheetName val="RETUR"/>
      <sheetName val="NET SALES"/>
      <sheetName val="SALESJAN_03"/>
      <sheetName val="SALESFEB_03"/>
      <sheetName val="SALESMRT_03"/>
      <sheetName val="SALESAPR_03"/>
      <sheetName val="SALESMEI_03"/>
      <sheetName val="SALESJUNI_03"/>
      <sheetName val="SALESJULI_03"/>
      <sheetName val="SALESAGT_03"/>
      <sheetName val="SALESSEP_03"/>
      <sheetName val="SALESOKT_03"/>
      <sheetName val="SALESNOP_03"/>
      <sheetName val="SALESDES_03"/>
      <sheetName val="printCDV"/>
      <sheetName val="LIST "/>
      <sheetName val="Pending Item"/>
      <sheetName val="BSPL Komersial"/>
      <sheetName val="AR PL"/>
      <sheetName val="Analytical Expl"/>
      <sheetName val="Fixed Assets Fiscal 2004"/>
      <sheetName val="PAJE-04"/>
      <sheetName val="PRJE-04"/>
      <sheetName val="CAJE(CRJE)-04"/>
      <sheetName val="E-3.Aging"/>
      <sheetName val="E-4.Analisa Aging"/>
      <sheetName val="E-5.Aging Afiliasi"/>
      <sheetName val="E-6.AR TO"/>
      <sheetName val="E-7"/>
      <sheetName val="Pallet dll"/>
      <sheetName val="Asuransi G-2.1.1"/>
      <sheetName val="G-2.1.2"/>
      <sheetName val="G-2.2"/>
      <sheetName val="K-1.FA Movement"/>
      <sheetName val="K-2.FA Addition"/>
      <sheetName val="K-3.Predict.Test"/>
      <sheetName val="K-4.FA Register"/>
      <sheetName val="N-Subs Paym"/>
      <sheetName val="Q-1.Loan Mov."/>
      <sheetName val="Q-2.Loan Schedule"/>
      <sheetName val="U-1a"/>
      <sheetName val="U-1.2.Margin Analysis"/>
      <sheetName val="Vouching Biaya"/>
      <sheetName val="U-4.2"/>
      <sheetName val="U-4.3"/>
      <sheetName val="U-4.4"/>
      <sheetName val="PL-fis"/>
      <sheetName val="BS-fis"/>
      <sheetName val="WBS-WPL"/>
      <sheetName val="PM and TE"/>
      <sheetName val="I.S. Fiscal"/>
      <sheetName val="CRJE"/>
      <sheetName val="Rest. 02"/>
      <sheetName val="PAJE(PRJE)03"/>
      <sheetName val="Cash Flow 2004"/>
      <sheetName val="G-2.1"/>
      <sheetName val="FA Register (K.1)"/>
      <sheetName val="Vouch Phase II (K.2)"/>
      <sheetName val="FA Fiscal (K.3)"/>
      <sheetName val="Ageing AP(N-1.1)"/>
      <sheetName val="Subs Payment AP(N-1.2)"/>
      <sheetName val="Att. O-2"/>
      <sheetName val="O-5"/>
      <sheetName val="Q-1.1"/>
      <sheetName val="Q-1.2"/>
      <sheetName val="Q-1.3"/>
      <sheetName val="(Bank Loan Mutation)Q-1.4"/>
      <sheetName val="R-1"/>
      <sheetName val="R-2a"/>
      <sheetName val="JAMSOSTEK(R-2b)"/>
      <sheetName val="Pensiun fund(R-2c)"/>
      <sheetName val="U-1.3"/>
      <sheetName val="U-2.1(payroll)"/>
      <sheetName val="U-4a"/>
      <sheetName val="CAJE Fathun"/>
      <sheetName val="CAJEAR-Deny"/>
      <sheetName val="PPN OUT"/>
      <sheetName val="PPN OUT1"/>
      <sheetName val="PPN OUT2"/>
      <sheetName val="CN1"/>
      <sheetName val="CN2"/>
      <sheetName val="DN"/>
      <sheetName val="NO FAKTUR"/>
      <sheetName val="NPWP"/>
      <sheetName val="SRYDNCN"/>
      <sheetName val="List Inv"/>
      <sheetName val="1.Ageing AR"/>
      <sheetName val="2.1410"/>
      <sheetName val="3.1490"/>
      <sheetName val="4.1550-WIP"/>
      <sheetName val="5.(Art-23)"/>
      <sheetName val="6.(VAT-in)"/>
      <sheetName val="7.1.1830"/>
      <sheetName val="7.2.1831"/>
      <sheetName val="7.3.1832"/>
      <sheetName val="7.4.1860"/>
      <sheetName val="7.5.1861"/>
      <sheetName val="7.6.1870"/>
      <sheetName val="7.7.1880"/>
      <sheetName val="7.8.1881"/>
      <sheetName val="8.1420"/>
      <sheetName val="9.AP-ageing"/>
      <sheetName val="10.Loan GAC"/>
      <sheetName val="11a.2369"/>
      <sheetName val="11b.2302"/>
      <sheetName val="12.Revenue"/>
      <sheetName val="13.JobCost"/>
      <sheetName val="Ageing AR"/>
      <sheetName val="J (1420-Deposit)"/>
      <sheetName val="J (1490-Other AR)"/>
      <sheetName val="1881"/>
      <sheetName val="G-1.1(Art-23)"/>
      <sheetName val="G-1.2(VAT-in)"/>
      <sheetName val="1550-WIP"/>
      <sheetName val="2302.Accrued Tax"/>
      <sheetName val="2369.Accrued exp"/>
      <sheetName val="TICK MARK"/>
      <sheetName val="WB1"/>
      <sheetName val="Prep exp. 2003"/>
      <sheetName val="NN1"/>
      <sheetName val="AP Cut off"/>
      <sheetName val="O 1 "/>
      <sheetName val="T 1"/>
      <sheetName val="T 2"/>
      <sheetName val="Pensiun fund"/>
      <sheetName val="Interest Income details"/>
      <sheetName val="Associates"/>
      <sheetName val="BOM"/>
      <sheetName val="BOM USD"/>
      <sheetName val="Assc bu"/>
      <sheetName val="C.1 Cash &amp; Bank"/>
      <sheetName val="C.2 Cash Clearing"/>
      <sheetName val="CC.Confirmation Control"/>
      <sheetName val="PPh21"/>
      <sheetName val="Payroll"/>
      <sheetName val="Address"/>
      <sheetName val="PPh23"/>
      <sheetName val="BP 04"/>
      <sheetName val="23 Summary"/>
      <sheetName val="PPh26"/>
      <sheetName val="26 Summary"/>
      <sheetName val="PPh25"/>
      <sheetName val="SEWA TB"/>
      <sheetName val="Pvt"/>
      <sheetName val="Vat GL"/>
      <sheetName val="Prepaid GL"/>
      <sheetName val="Sales GL"/>
      <sheetName val="Pvt Rev"/>
      <sheetName val="GL Rev Nov"/>
      <sheetName val="Credit"/>
      <sheetName val="Subsequent 2005"/>
      <sheetName val="SAP Running Repair - Swakelola"/>
      <sheetName val="Anggaran 2006"/>
      <sheetName val="Movement 2006"/>
      <sheetName val="Rekap Running 2006"/>
      <sheetName val="Kartu Anggaran 2005"/>
      <sheetName val="Rekap Budget 2006 to be vouched"/>
      <sheetName val="data request SAP Running 2006"/>
      <sheetName val="SAP Running Repair"/>
      <sheetName val="COST N SUM"/>
      <sheetName val="Hasil Vouching"/>
      <sheetName val="WP-Panu'02"/>
      <sheetName val="inven"/>
      <sheetName val="Neraca 1"/>
      <sheetName val="Neraca 2"/>
      <sheetName val="Neraca per book"/>
      <sheetName val="P&amp;L per book"/>
      <sheetName val="P&amp;L detail per book"/>
      <sheetName val="Neraca detail per book"/>
      <sheetName val="Lain-lain detail per book"/>
      <sheetName val="XXXXXXXXXXX"/>
      <sheetName val="IS-USD"/>
      <sheetName val="IS-RP"/>
      <sheetName val="IS-USD Budget"/>
      <sheetName val="IS-USD Budget (Chart)"/>
      <sheetName val="IS-USD Budget (Chart) (2)"/>
      <sheetName val="Chart1"/>
      <sheetName val="IS-RP Budget"/>
      <sheetName val="IS-RP Budget (Chart)"/>
      <sheetName val="IS-RP Budget (Chart) (2)"/>
      <sheetName val="0702 - Backup IS Rp"/>
      <sheetName val="BS-USD"/>
      <sheetName val="BS-RP"/>
      <sheetName val="Addition"/>
      <sheetName val="CadUU13"/>
      <sheetName val="Distribusi"/>
      <sheetName val="PPIP"/>
      <sheetName val="Fak UU13"/>
      <sheetName val="Tabel Rek Ind"/>
      <sheetName val="Tabel Rek Ing"/>
      <sheetName val="Mort"/>
      <sheetName val="Dapes"/>
      <sheetName val="Rkn Bdn GSL 08"/>
      <sheetName val="E-1-1"/>
      <sheetName val="Detail WBS - WPL"/>
      <sheetName val=" Work Program"/>
      <sheetName val="C Cash in Bank"/>
      <sheetName val="C.6 Cut Off Cash"/>
      <sheetName val="Cut Off Cash"/>
      <sheetName val="Rekap FA kom (K-1)"/>
      <sheetName val="Tnh Bgn (K-1.1)"/>
      <sheetName val="Kend (K-1.2)"/>
      <sheetName val="Inv (K-1.3)"/>
      <sheetName val="ABJ (K-1.4)"/>
      <sheetName val="Penjualan (K-1.5)"/>
      <sheetName val="Rekap FA fis (K-2)"/>
      <sheetName val="Bgn (K-2.5)"/>
      <sheetName val="Kend (K-2.1)"/>
      <sheetName val="89-94 (K-2.1.1)"/>
      <sheetName val="95-00 (K-2.1.2)"/>
      <sheetName val="01-03 (K-2.1.3)"/>
      <sheetName val="BOKDR-04 (K-2.1.4)"/>
      <sheetName val="Inv (K-2.2)"/>
      <sheetName val="Inv HO (K-2.2.1)"/>
      <sheetName val="Inv BO (K-2.2.2)"/>
      <sheetName val="Inv 89-94 (K-2.2.3)"/>
      <sheetName val="ABJ fis (K-2.3)"/>
      <sheetName val="Penjualan (K-2.4)"/>
      <sheetName val="K-2.1.5"/>
      <sheetName val="GL Ytd 05"/>
      <sheetName val="ADMIN"/>
      <sheetName val="2h"/>
      <sheetName val="USD"/>
      <sheetName val="Top10-USD"/>
      <sheetName val="Top10-LC"/>
      <sheetName val="P-L Qtr"/>
      <sheetName val="KEY"/>
      <sheetName val="BSH (2)"/>
      <sheetName val="BSH"/>
      <sheetName val="HIT"/>
      <sheetName val="BS final"/>
      <sheetName val="fiscal pl"/>
      <sheetName val="WPComSummary"/>
      <sheetName val="RecPAybreport"/>
      <sheetName val="op.exp"/>
      <sheetName val="Rec&amp;Payb-net"/>
      <sheetName val="Accruals"/>
      <sheetName val="SPT Masa_4(2) "/>
      <sheetName val="DBP_4(2)T&amp;B"/>
      <sheetName val="BP_4(2)T&amp;B "/>
      <sheetName val="SPT Masa"/>
      <sheetName val="DBP1"/>
      <sheetName val="DBP4"/>
      <sheetName val="DBP5"/>
      <sheetName val="DBP6"/>
      <sheetName val="DBP7"/>
      <sheetName val="DBP8"/>
      <sheetName val="DBP9"/>
      <sheetName val="Bukti Potong"/>
      <sheetName val="DPP"/>
      <sheetName val="GL 05"/>
      <sheetName val="BP 05"/>
      <sheetName val="Worksheet_03"/>
      <sheetName val="WP-SP-04"/>
      <sheetName val="CRJE-04"/>
      <sheetName val="G-3.1"/>
      <sheetName val="FA Reg"/>
      <sheetName val="Att N-1"/>
      <sheetName val="Deferred Tax"/>
      <sheetName val="Revenue cut-off"/>
      <sheetName val="Perhitungan def. tax"/>
      <sheetName val="WP_SP_04"/>
      <sheetName val="Memo BS Sby&amp; G&amp;U"/>
      <sheetName val="Memo Uang Muka"/>
      <sheetName val="REKAP Ptgngjwbn BS"/>
      <sheetName val="Vouch BS"/>
      <sheetName val="25 ND aja"/>
      <sheetName val="Memo Affiliasi"/>
      <sheetName val="ia"/>
      <sheetName val="I "/>
      <sheetName val="memo Jaminan UM"/>
      <sheetName val="memo gENERAL&amp; Poijt TO dO"/>
      <sheetName val="100000000"/>
      <sheetName val="Predictive Depreciation Expense"/>
      <sheetName val="K-Mutation"/>
      <sheetName val="Fixed Assets Fiscal FY 2003"/>
      <sheetName val="Fixed Assets Fiscal-master"/>
      <sheetName val="Predict.Insurance Exp &amp; Assets"/>
      <sheetName val="Predict.Rental Exp &amp; Assets"/>
      <sheetName val="Predict.Office Exp &amp; Assets"/>
      <sheetName val="Handling"/>
      <sheetName val="List AP"/>
      <sheetName val="Pre. exp_TO G 1-3"/>
      <sheetName val="I baru"/>
      <sheetName val="fa_fiskal"/>
      <sheetName val="PAJE-PRJE-CAJE"/>
      <sheetName val="P&amp;LFromSUN"/>
      <sheetName val="P&amp;LCalculation"/>
      <sheetName val="J001"/>
      <sheetName val="EXPLJ102"/>
      <sheetName val="CSDTYTD"/>
      <sheetName val="Ls_AgXLB_WorkbookFile"/>
      <sheetName val="TB98_oct99_sap99_WPL"/>
      <sheetName val="TB98,oct99&amp;sap99-WPL"/>
      <sheetName val="PL98"/>
      <sheetName val="Neraca 31 Des 2007"/>
      <sheetName val="K-Memo"/>
      <sheetName val="K-Flow"/>
      <sheetName val="FA Addition"/>
      <sheetName val="K-1 Land"/>
      <sheetName val="K-2 CIP"/>
      <sheetName val="K-3 140,150,151 Motor veh own"/>
      <sheetName val="K-4 160 Computer"/>
      <sheetName val="K-5 170 &amp; 180 Office &amp; Equip"/>
      <sheetName val="K-6 Plant &amp; equip"/>
      <sheetName val="K-7 vehicle leased"/>
      <sheetName val="K-8 110 Plant &amp; equip"/>
      <sheetName val=" FA Sample"/>
      <sheetName val="TBMAP-HO"/>
      <sheetName val="TB-HO"/>
      <sheetName val="Adjusting Entries"/>
      <sheetName val="TB-HO-07-&amp; 06"/>
      <sheetName val="Ratios"/>
      <sheetName val="Internal AJE"/>
      <sheetName val="NewTB"/>
      <sheetName val="Investment SAAC"/>
      <sheetName val="GLInvestment"/>
      <sheetName val="TB_CW"/>
      <sheetName val="TB_CW (2)"/>
      <sheetName val="TBMAP-HO (2)"/>
      <sheetName val="BUKTI JURNAL"/>
      <sheetName val="KERTAS KERJA TB"/>
      <sheetName val="F3 NRV test"/>
      <sheetName val="Rollforward"/>
      <sheetName val="Q1 Lead WB"/>
      <sheetName val="Q1.1"/>
      <sheetName val="Q1.2 Agreement"/>
      <sheetName val="Q1.2.1 Covenant"/>
      <sheetName val="QQ1"/>
      <sheetName val="Q1 Lead SJ"/>
      <sheetName val="Q2.1 Agreement"/>
      <sheetName val="Q2.1.1 Covenant"/>
      <sheetName val="Q2.2 Summary Interest"/>
      <sheetName val="QQ2"/>
      <sheetName val="E Lead - WB"/>
      <sheetName val="E-1.3 Cut off Sales"/>
      <sheetName val="E Lead - SH"/>
      <sheetName val="E Lead - KB"/>
      <sheetName val="E-3.1"/>
      <sheetName val="E-3.2"/>
      <sheetName val="E-3.3 Cut off Sales "/>
      <sheetName val="E Lead - U2"/>
      <sheetName val="E-4.2"/>
      <sheetName val="E-4.3 Cut off Sales  "/>
      <sheetName val="Montlhy Analysis"/>
      <sheetName val="Debit"/>
      <sheetName val="TB-LPG"/>
      <sheetName val="Peb"/>
      <sheetName val="C Significant Issue"/>
      <sheetName val="FormGL"/>
      <sheetName val="EXPENSE"/>
      <sheetName val="VA lead"/>
      <sheetName val="VA1 "/>
      <sheetName val="VA2"/>
      <sheetName val="Recon"/>
      <sheetName val="Profitaly"/>
      <sheetName val="Sales-03 Revisi"/>
      <sheetName val="BS 09"/>
      <sheetName val="Lanjutan Jurnal"/>
      <sheetName val="kk-HPP"/>
      <sheetName val="kk-Sales Ytd 2007"/>
      <sheetName val="BS.2007"/>
      <sheetName val="IS (2)"/>
      <sheetName val="Jurnal cc"/>
      <sheetName val="Per 29 D"/>
      <sheetName val="RptTaxInvRekap.rpt"/>
      <sheetName val="AR Detail SPM bdg+mdn"/>
      <sheetName val="AR SPM RPTbdg+mdn"/>
      <sheetName val="Pocari"/>
      <sheetName val="AR Detail SPM"/>
      <sheetName val="AR SPM RPT"/>
      <sheetName val="TREND HO"/>
      <sheetName val="TREND AR SPM Gabungan"/>
      <sheetName val="BDG"/>
      <sheetName val="SUMMARY AR"/>
      <sheetName val="AR Detail DIST"/>
      <sheetName val="AR DIST RPT"/>
      <sheetName val="Bank Guarantee"/>
      <sheetName val="BG Triwulan"/>
      <sheetName val="List RK Dist"/>
      <sheetName val="Journal Memorial"/>
      <sheetName val="PL Summary"/>
      <sheetName val="PL Detail"/>
      <sheetName val="Ref 1"/>
      <sheetName val="Ref 1.2"/>
      <sheetName val="Ref 2"/>
      <sheetName val="Ref 3"/>
      <sheetName val="Ref 4"/>
      <sheetName val="Ref 5"/>
      <sheetName val="Ref 6"/>
      <sheetName val="Ref 7"/>
      <sheetName val="Tickmarks"/>
      <sheetName val="ID"/>
      <sheetName val="B3"/>
      <sheetName val="B32"/>
      <sheetName val="DA1"/>
      <sheetName val="DA2"/>
      <sheetName val="DA3"/>
      <sheetName val="DB1"/>
      <sheetName val="DB2"/>
      <sheetName val="DB3"/>
      <sheetName val="Customer"/>
      <sheetName val="KUM"/>
      <sheetName val="Sederhana"/>
      <sheetName val="Counts"/>
      <sheetName val="Sales-1"/>
      <sheetName val="Sales-2"/>
      <sheetName val="Sales-3"/>
      <sheetName val="COGS "/>
      <sheetName val="Prod Cost (M)"/>
      <sheetName val="Prod Cost (Y)"/>
      <sheetName val="Other Inc-Exp"/>
      <sheetName val="Nop'07"/>
      <sheetName val="Dec'07"/>
      <sheetName val="Nov (koreksi)"/>
      <sheetName val="Dec'08"/>
      <sheetName val="BS 09 May"/>
      <sheetName val="Denominated in Forex"/>
      <sheetName val="Analytical BS"/>
      <sheetName val="Analytical PL"/>
      <sheetName val="PM, TE &amp; SAD"/>
      <sheetName val="By Notes Layout"/>
      <sheetName val="Revised 7 Jan 2011"/>
      <sheetName val="MapData"/>
      <sheetName val="By Group Map"/>
      <sheetName val="LS AY and PY"/>
      <sheetName val="Con"/>
      <sheetName val="Uncon"/>
      <sheetName val="By.fkl"/>
      <sheetName val="Pyst.fkl"/>
      <sheetName val="Int.fkl"/>
      <sheetName val="Nrc.fkl"/>
      <sheetName val="nrc&amp;rl"/>
      <sheetName val="1771.I"/>
      <sheetName val="1771.I1c"/>
      <sheetName val="1771.I1e"/>
      <sheetName val="1771.I3"/>
      <sheetName val="1771.I4"/>
      <sheetName val="Aging Pulp"/>
      <sheetName val="BS.2010"/>
      <sheetName val="BS.01"/>
      <sheetName val="BS.02"/>
      <sheetName val="BS.03"/>
      <sheetName val="BS.04"/>
      <sheetName val="BS05"/>
      <sheetName val="BS.06"/>
      <sheetName val="BS.06 (2)"/>
      <sheetName val="BS.07"/>
      <sheetName val="BS.08"/>
      <sheetName val="BS 09A"/>
      <sheetName val="BS.8A"/>
      <sheetName val="TB 1010"/>
      <sheetName val="TB1209"/>
      <sheetName val="TB 1210"/>
      <sheetName val="TB Syteline"/>
      <sheetName val="BS.09A"/>
      <sheetName val="BS.10"/>
      <sheetName val="BS.11"/>
      <sheetName val="BS.12"/>
      <sheetName val="BS.12 (2)"/>
      <sheetName val="BS.13"/>
      <sheetName val="BS.14"/>
      <sheetName val="PPH 25Babp"/>
      <sheetName val="DivTax (2)"/>
      <sheetName val="Perhit.ERB"/>
      <sheetName val="DivTax"/>
      <sheetName val="Fiskal_09"/>
      <sheetName val="Flow"/>
      <sheetName val="Draft CF"/>
      <sheetName val="TB Dec 10"/>
      <sheetName val="Ledger Dec 10"/>
      <sheetName val="CF - NEW"/>
      <sheetName val="by notes"/>
      <sheetName val="LS AY and PY(1)"/>
      <sheetName val="PL-lamp1771"/>
      <sheetName val="income"/>
      <sheetName val="expenses"/>
      <sheetName val="Notes_TA"/>
      <sheetName val="Notes-provision"/>
      <sheetName val="Notes-salary"/>
      <sheetName val="nde-jkt"/>
      <sheetName val="nde-bdg"/>
      <sheetName val="nde-sby"/>
      <sheetName val="Kom awal Depr'09"/>
      <sheetName val="Kom_09"/>
      <sheetName val="Koreksi Fiskal"/>
      <sheetName val="Capex'09"/>
      <sheetName val="Kom_2009"/>
      <sheetName val="POS DIPERIKSA"/>
      <sheetName val="PPN1"/>
      <sheetName val="PPN2"/>
      <sheetName val="PR"/>
      <sheetName val="Pos Koreksi"/>
      <sheetName val="B.3.1Penyusutan "/>
      <sheetName val="DataWP"/>
      <sheetName val="Abstraksi "/>
      <sheetName val="PosDiperiksa"/>
      <sheetName val="B.2.3.1"/>
      <sheetName val="B.3.1."/>
      <sheetName val="B.3.3"/>
      <sheetName val="B.3.4 "/>
      <sheetName val="E.7 hit PPN"/>
      <sheetName val="E.7.1 Rekap SPM"/>
      <sheetName val="E.7.2"/>
      <sheetName val="Nothit25"/>
      <sheetName val="Nothit21"/>
      <sheetName val="Nothit23"/>
      <sheetName val="NothitFinal "/>
      <sheetName val="NothitPPN"/>
      <sheetName val="Konpm"/>
      <sheetName val="Rekpk"/>
      <sheetName val="Rekpk2"/>
      <sheetName val="Rekpenj."/>
      <sheetName val="Stock Euy (3)"/>
      <sheetName val="DAFTAR PPh 23"/>
      <sheetName val="tELITI FK"/>
      <sheetName val="tELITI FK (2)"/>
      <sheetName val="Neraca WP"/>
      <sheetName val="Neraca FISKUS"/>
      <sheetName val="LR (2)"/>
      <sheetName val="LR (3)"/>
      <sheetName val="HPP SPAREPART"/>
      <sheetName val="BankBCA"/>
      <sheetName val="Analisa Penerimaan"/>
      <sheetName val="Analisa Pengeluaran"/>
      <sheetName val="Analisa Pengeluaran1"/>
      <sheetName val="Stock Euy"/>
      <sheetName val="Stock Euy (2)"/>
      <sheetName val="pENJ. NISSAN"/>
      <sheetName val="kkp21"/>
      <sheetName val="PPNKeluar "/>
      <sheetName val="PPNMasukan"/>
      <sheetName val="Lamp.LPP "/>
      <sheetName val="dataKPP"/>
      <sheetName val="Bypassindo 01"/>
      <sheetName val="Klarifikasi PM"/>
      <sheetName val="Klarifikasi PPN"/>
      <sheetName val="Lamp."/>
      <sheetName val="Neraca FISKUS (2)"/>
      <sheetName val="Arus Kas (2)"/>
      <sheetName val="Stock (2)"/>
      <sheetName val="Stock (3)"/>
      <sheetName val="StockSuzuki"/>
      <sheetName val="StockNissan"/>
      <sheetName val="StockHino"/>
      <sheetName val="Stock Mazda"/>
      <sheetName val="TOT PENJ"/>
      <sheetName val="Suzuki"/>
      <sheetName val=" Nissan"/>
      <sheetName val="Hino"/>
      <sheetName val="SUJA-SALES"/>
      <sheetName val="LOAN-CJI"/>
      <sheetName val="SUMMARY-SUJA"/>
      <sheetName val="SUMMARY ALL REL PARTIES"/>
      <sheetName val="REL PARTY FOR CONSOLIDATION"/>
      <sheetName val="REMAINDER AP-USD"/>
      <sheetName val="REM AP 31122005"/>
      <sheetName val="INVENTORY REL PART"/>
      <sheetName val="pend"/>
      <sheetName val="PPN masa"/>
      <sheetName val="1999"/>
      <sheetName val="hit ulang99"/>
      <sheetName val="INDUK 99"/>
      <sheetName val="INDUK II 99"/>
      <sheetName val="INDUK III 99 "/>
      <sheetName val="TOTAL TAX 99"/>
      <sheetName val="BREDOWN 1999 "/>
      <sheetName val="RENT AND TAX 99"/>
      <sheetName val="Psl 21 99"/>
      <sheetName val="1996"/>
      <sheetName val="INDUK 96"/>
      <sheetName val="INDUK II 96"/>
      <sheetName val="INDUK III 96"/>
      <sheetName val="TOTAL TAX 96"/>
      <sheetName val="BREDOWN 1996 "/>
      <sheetName val="RENT AND TAX 96"/>
      <sheetName val="RENT AND TAX 96 (2)"/>
      <sheetName val="23masa"/>
      <sheetName val="Psl 21 96"/>
      <sheetName val="1995"/>
      <sheetName val="objek 2326 95"/>
      <sheetName val="kredit pph"/>
      <sheetName val="INDUK 95"/>
      <sheetName val="INDUK II 95"/>
      <sheetName val="INDUK III 95 "/>
      <sheetName val="TOTAL TAX 95"/>
      <sheetName val="BREDOWN CP 1995 "/>
      <sheetName val="DEPRESS 9596"/>
      <sheetName val="RENT AND TAX 95"/>
      <sheetName val="Psl 21 95"/>
      <sheetName val="TOTAL TAX 99 96 95"/>
      <sheetName val="INDUK min 99"/>
      <sheetName val="TOTAL TAX min 99 96 95 "/>
      <sheetName val="INDUK min 99 (2)"/>
      <sheetName val="interest 99"/>
      <sheetName val="PH LUAR"/>
      <sheetName val="March"/>
      <sheetName val="Worksheet Jan-Jun 2004"/>
      <sheetName val="Worksheet Jul-Dec 2004"/>
      <sheetName val="opinides"/>
      <sheetName val="BSvsNOTES"/>
      <sheetName val="rekaplapkeu"/>
      <sheetName val="AJE_JUL-DES"/>
      <sheetName val="TAXreconc"/>
      <sheetName val="Txrec_indo"/>
      <sheetName val="ACc dep FA"/>
      <sheetName val="C_E"/>
      <sheetName val="cttan&amp;DAFT.PRTNYAAN(PNDINGWORK)"/>
      <sheetName val="EE Sales"/>
      <sheetName val="NN Purchase"/>
      <sheetName val="TT equity"/>
      <sheetName val="QQ Loan"/>
      <sheetName val="NN AP"/>
      <sheetName val="EE AR"/>
      <sheetName val="CC Banks"/>
      <sheetName val="CF supp-2002 (2)"/>
      <sheetName val="Proforma"/>
      <sheetName val="Mflow (2)"/>
      <sheetName val="Reval"/>
      <sheetName val="summarry"/>
      <sheetName val="EE Lead"/>
      <sheetName val="E1.9"/>
      <sheetName val="AK"/>
      <sheetName val="KKN"/>
      <sheetName val="rek.pem"/>
      <sheetName val="sel-penj"/>
      <sheetName val="AJE01"/>
      <sheetName val="M Lead"/>
      <sheetName val="M1.1"/>
      <sheetName val="M1.2"/>
      <sheetName val="M1.3"/>
      <sheetName val="M1.4"/>
      <sheetName val="M1.4.1"/>
      <sheetName val="M1.5"/>
      <sheetName val="GL interest expense"/>
      <sheetName val="M2.1"/>
      <sheetName val="MM Lead"/>
      <sheetName val="Gl prepared by coy"/>
      <sheetName val="Data-CF2003"/>
      <sheetName val="CF-2003"/>
      <sheetName val="Detail WBS"/>
      <sheetName val="segmen"/>
      <sheetName val="List CAJE"/>
      <sheetName val="List PAJE"/>
      <sheetName val="Taccount CAJE &amp; Paje"/>
      <sheetName val="Note analitical review"/>
      <sheetName val="Inv-Con"/>
      <sheetName val="Aff transaction"/>
      <sheetName val="T-acc Elimination"/>
      <sheetName val="Detail WBS 1 C+P"/>
      <sheetName val="Supp ICF-C"/>
      <sheetName val="Detail DCF-C"/>
      <sheetName val="DCF-C(tidak update)"/>
      <sheetName val="ICF-C(tidak update)"/>
      <sheetName val="DCF-Update"/>
      <sheetName val="Detail DCF-P"/>
      <sheetName val="DCF-P"/>
      <sheetName val="supp ICF-P"/>
      <sheetName val="Detail WBS 2 C+P"/>
      <sheetName val="DIT-HIM"/>
      <sheetName val="Detail WPL C+P"/>
      <sheetName val="DIT meimei"/>
      <sheetName val="T-ACC PAJE&amp;PRJE"/>
      <sheetName val="PAJE-P"/>
      <sheetName val="PRJE-P"/>
      <sheetName val="T-ACC CAJE&amp;CRJE"/>
      <sheetName val="CAJE-P"/>
      <sheetName val="CRJE-P"/>
      <sheetName val="T-ACC ELIMINASI"/>
      <sheetName val="Balance sheets"/>
      <sheetName val="Modal shm"/>
      <sheetName val="Detail piutang BSP"/>
      <sheetName val=" longterm loan (blm update)"/>
      <sheetName val="kurs BI selama Jan - Mar 07"/>
      <sheetName val="ownused"/>
      <sheetName val="ownused-bbm"/>
      <sheetName val="ownused-nbbm"/>
      <sheetName val="U-1-SALESBYCUST"/>
      <sheetName val="PBJ TB"/>
      <sheetName val="Bio Assets"/>
      <sheetName val="Landrights"/>
      <sheetName val="Employee loans 2007"/>
      <sheetName val="Employee loans 2006"/>
      <sheetName val="BS-Rupiah"/>
      <sheetName val="PL-IDR"/>
      <sheetName val="PL-USD"/>
      <sheetName val="Cash &amp; cash equivalent"/>
      <sheetName val="Trade Receivable"/>
      <sheetName val="Other Receivable"/>
      <sheetName val="Tax Recoverable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Other Forex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List of contents"/>
      <sheetName val="Income Statement"/>
      <sheetName val="R-Sales "/>
      <sheetName val=" Cogs "/>
      <sheetName val="Selling &amp; GE"/>
      <sheetName val="Income Taxes"/>
      <sheetName val="Debtors-BS"/>
      <sheetName val="Creditors-BS"/>
      <sheetName val="Interco-BSP"/>
      <sheetName val="Interco-BPP"/>
      <sheetName val="Interco-HIM"/>
      <sheetName val="Interco-Nibung"/>
      <sheetName val="PT.MB"/>
      <sheetName val="CFA &amp; Depr"/>
      <sheetName val="Prod &amp; Karyawan"/>
      <sheetName val="shipping_program"/>
      <sheetName val="govt.Pinang"/>
      <sheetName val="govt.mlwn"/>
      <sheetName val="govt.mlwn (3)"/>
      <sheetName val="govt.mlwn (2)"/>
      <sheetName val="Adm Fee"/>
      <sheetName val="sales Mlw"/>
      <sheetName val="Mkt fee"/>
      <sheetName val="govt mlw"/>
      <sheetName val="govt mlw (2)"/>
      <sheetName val="govt prima"/>
      <sheetName val="govt pinang"/>
      <sheetName val="correc jour"/>
      <sheetName val="mkt fee mlw"/>
      <sheetName val="mktfee pri"/>
      <sheetName val="mkt fee pin"/>
      <sheetName val="comm mlw"/>
      <sheetName val="comm pri"/>
      <sheetName val="comm pin"/>
      <sheetName val="sales Pri"/>
      <sheetName val="sales Pin"/>
      <sheetName val="sortby_MO_CF"/>
      <sheetName val="T-Account Adj"/>
      <sheetName val="T-Account Elim"/>
      <sheetName val="DETAIL (EY SG - finalised)"/>
      <sheetName val="Elim (CJE - finalised by EYSG)"/>
      <sheetName val="BAVJun-Des07|June 07 update EY "/>
      <sheetName val="DETAIL (Revised - AC column)"/>
      <sheetName val="IFRS Adj"/>
      <sheetName val="T-Account IFRS"/>
      <sheetName val="Biological Asset Valuation"/>
      <sheetName val="Simulasi Elim"/>
      <sheetName val="Juli Audit 2007"/>
      <sheetName val="u-1-5-2-Sales to UPMS"/>
      <sheetName val="u-1-5-1-Sales to UP"/>
      <sheetName val="u-1-5- Sales to UPMS and UP"/>
      <sheetName val="U-1-NON BBM - export"/>
      <sheetName val="U-1-NON BBM - local"/>
      <sheetName val="U-1-BBM export"/>
      <sheetName val="U-1-5-MBAKAR"/>
      <sheetName val="U-1-4-MDIESEL"/>
      <sheetName val="U-1-3-MSOLAR "/>
      <sheetName val="U-1-2-MTANAH"/>
      <sheetName val="U-1-1-PREMIUM"/>
      <sheetName val="U-1-BBM local"/>
      <sheetName val="triwulan-4"/>
      <sheetName val="triwulan-3"/>
      <sheetName val="triwulan-2"/>
      <sheetName val="triwulan-1"/>
      <sheetName val="U-1RET002"/>
      <sheetName val="Location and Statistic Code"/>
      <sheetName val="salesprice 2005"/>
      <sheetName val="salesprice 2004"/>
      <sheetName val="FD-premium"/>
      <sheetName val="FD-solar"/>
      <sheetName val="FD-mfo"/>
      <sheetName val="FD-kero"/>
      <sheetName val="FD-diesel"/>
      <sheetName val="Outstanding PNBP Tunai"/>
      <sheetName val="Delivery"/>
      <sheetName val="Delivery -1"/>
      <sheetName val="unusual SKPP"/>
      <sheetName val="point ML"/>
      <sheetName val="u-1-5-2"/>
      <sheetName val="u-1-5-1"/>
      <sheetName val="u-1-5"/>
      <sheetName val="ARBV Consolidated"/>
      <sheetName val="ARBV IS Consolidated"/>
      <sheetName val="ARBV Cash flows"/>
      <sheetName val="AR BV"/>
      <sheetName val="GFI BVI"/>
      <sheetName val="Solegna BV"/>
      <sheetName val="IS-ARBV"/>
      <sheetName val="IS-GFI BVI"/>
      <sheetName val="IS-Solegna BV"/>
      <sheetName val="AR BV-Balance sheet"/>
      <sheetName val="Solegna-Balance sheet"/>
      <sheetName val="GFI-Balance sheet"/>
      <sheetName val="Solegna-Ytd"/>
      <sheetName val="GFI- Ytd"/>
      <sheetName val="Solegna - This Month"/>
      <sheetName val="GFI-This Month"/>
      <sheetName val="CFI"/>
      <sheetName val="BS (print)"/>
      <sheetName val="pl-"/>
      <sheetName val="pl- (2)"/>
      <sheetName val="TB (2)"/>
      <sheetName val="GJ"/>
      <sheetName val="LDG"/>
      <sheetName val="CF2.0"/>
      <sheetName val="By.Praoperasi(JULI)"/>
      <sheetName val="By Praoperasi agst"/>
      <sheetName val="By Praoperasi des"/>
      <sheetName val="B.Peny TRW II "/>
      <sheetName val="Penyst Juli"/>
      <sheetName val="Penyst Agustus"/>
      <sheetName val="Penyst Agustus (2)"/>
      <sheetName val="Penyst -2006"/>
      <sheetName val="bs-2006"/>
      <sheetName val="aktiva (2)"/>
      <sheetName val="pl agt"/>
      <sheetName val="CF1.0"/>
      <sheetName val="By.Praoperasi des"/>
      <sheetName val="B.Peny. mar"/>
      <sheetName val="B.Peny. jun"/>
      <sheetName val="B.Peny. jul"/>
      <sheetName val="B.Peny. AGT"/>
      <sheetName val="B.Peny. 2006"/>
      <sheetName val="BS-"/>
      <sheetName val="tes"/>
      <sheetName val="p&amp;l-audit"/>
      <sheetName val="detail-bs-audit"/>
      <sheetName val="BBT-12'00"/>
      <sheetName val="BBT-01"/>
      <sheetName val="BBT-02"/>
      <sheetName val="BBT-03"/>
      <sheetName val="BBT-04"/>
      <sheetName val="BBT-05"/>
      <sheetName val="BBT-06"/>
      <sheetName val="BBT-07"/>
      <sheetName val="BBT-08"/>
      <sheetName val="BBT-09"/>
      <sheetName val="BBT-10"/>
      <sheetName val="BBT-11"/>
      <sheetName val="BBT-12"/>
      <sheetName val="PENY_tw1"/>
      <sheetName val="LIST_tw1"/>
      <sheetName val="Fin Highlights Revised $158m"/>
      <sheetName val="Working Capital - $83.6m"/>
      <sheetName val="Cost to complete - $19.808m"/>
      <sheetName val="AP Smy"/>
      <sheetName val="1.0 Oversea supplier 19-03-08"/>
      <sheetName val="Local Supplier 150608 Detail"/>
      <sheetName val="2.0 Local Supplier 15-06-08 Smy"/>
      <sheetName val="Post Dated Chequ Detail 180608"/>
      <sheetName val="3.0Post Dated Cheque smy 180608"/>
      <sheetName val="4.0 AP Overhead 15-06-08"/>
      <sheetName val="5.0 AP Contractor 160608"/>
      <sheetName val="AP CONT. PER PT"/>
      <sheetName val="Summary of Replacement Cost"/>
      <sheetName val="Acid1, Alco1 (R)"/>
      <sheetName val="DAP-CIP (DET)"/>
      <sheetName val="Alco2 (R)"/>
      <sheetName val="SMAP-CIP (DET)"/>
      <sheetName val="DAIP (R)"/>
      <sheetName val="DAIP-CIP (DET)"/>
      <sheetName val="DSIP (R)"/>
      <sheetName val="DSIP-CIP (DET)"/>
      <sheetName val="FSC (R)"/>
      <sheetName val="FSC-CIP (DET)"/>
      <sheetName val="SIP (R)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Revenue Audit Program"/>
      <sheetName val="Cost &amp; Expenses Audit Program"/>
      <sheetName val="U1.1"/>
      <sheetName val="U1.2"/>
      <sheetName val="U1.4"/>
      <sheetName val="U1.5"/>
      <sheetName val="U1.6"/>
      <sheetName val="U1.7"/>
      <sheetName val="U2.2"/>
      <sheetName val="U2.3"/>
      <sheetName val="U3.1"/>
      <sheetName val="U3.2"/>
      <sheetName val="U3.3"/>
      <sheetName val="U3.4"/>
      <sheetName val="XXXXXXX"/>
      <sheetName val="WP "/>
      <sheetName val="Journal Unit "/>
      <sheetName val="LOAN CS &amp; MANDIRI"/>
      <sheetName val="AP-Advance sales-Due to"/>
      <sheetName val="AR-Advance-Due from"/>
      <sheetName val="SIP"/>
      <sheetName val="Aging AR"/>
      <sheetName val="Depreciation"/>
      <sheetName val="Inv.Equity"/>
      <sheetName val="acc_bal_mutation_consol"/>
      <sheetName val="CF-CONSO"/>
      <sheetName val="Rencana Tanam"/>
      <sheetName val="MB"/>
      <sheetName val="WorkSheet-produksi"/>
      <sheetName val="Rekap Produksi"/>
      <sheetName val="Standar"/>
      <sheetName val="SIMP"/>
      <sheetName val="Alokasi TBS"/>
      <sheetName val="CTP"/>
      <sheetName val="IP"/>
      <sheetName val="GMR"/>
      <sheetName val="SRE1"/>
      <sheetName val="SRE2"/>
      <sheetName val="SBE1"/>
      <sheetName val="SBE2"/>
      <sheetName val="KGP - KBE"/>
      <sheetName val="KGP - THE (Plasma)"/>
      <sheetName val="CNIS - KDE"/>
      <sheetName val="CNIS - SME (Plasma)"/>
      <sheetName val="CNIS - TME (Plasma)"/>
      <sheetName val="RAP - MME (Plasma)"/>
      <sheetName val="CKS - TPE (Plasma)"/>
      <sheetName val="ASP"/>
      <sheetName val="MSA - MRE"/>
      <sheetName val="MSA - MSE"/>
      <sheetName val="SBN - PGE"/>
      <sheetName val="KMS - PNE"/>
      <sheetName val="KMS - Karet"/>
      <sheetName val="Rencana PKS"/>
      <sheetName val="RAP - NSE"/>
      <sheetName val="CKS - SPE"/>
      <sheetName val="JS"/>
      <sheetName val="RAP - NSE Ext Yield"/>
      <sheetName val="CKS - SPE Ext Yield"/>
      <sheetName val="JS Ext Yield"/>
      <sheetName val="FFB Price"/>
      <sheetName val="CKS Production"/>
      <sheetName val="Actual &amp; Valuation by PY"/>
      <sheetName val="Summary of Value per Dec 06"/>
      <sheetName val="Summary by Year of Planting"/>
      <sheetName val="Solegna"/>
      <sheetName val="MMM"/>
      <sheetName val="PBJ"/>
      <sheetName val="TSP"/>
      <sheetName val="ARBV"/>
      <sheetName val="AI FINANCE"/>
      <sheetName val="Revisi"/>
      <sheetName val="MMM (A)"/>
      <sheetName val="Leasing-JAW-IDR"/>
      <sheetName val="Leasing-Emal-IDR"/>
      <sheetName val="Leasing-MMM-Dipo Star Fin-USD"/>
      <sheetName val="Leasing-MMM-Astragrapia-IDR"/>
      <sheetName val="Leasing-PBJ Dipo Star Finan"/>
      <sheetName val="Leasing-PP-Dipo Star Fin-USD"/>
      <sheetName val="sumary leasing"/>
      <sheetName val="InputSheet"/>
      <sheetName val="1.GasAcct"/>
      <sheetName val="PGN TOP"/>
      <sheetName val="3.Gas(MMSCF)"/>
      <sheetName val="2.Gas(MMBTU)"/>
      <sheetName val="4.Gas(USD) "/>
      <sheetName val="5.Cond"/>
      <sheetName val="LoadingDoc.Letter"/>
      <sheetName val="Letter for Inv"/>
      <sheetName val="GSAInvoice"/>
      <sheetName val="sig-bonus"/>
      <sheetName val="3.CMR-GAS&gt;ACQ(MSCF) "/>
      <sheetName val="7.CMR-GAS&gt;ACQ(MMBTU)"/>
      <sheetName val="10. ($) Gas &gt; acq "/>
      <sheetName val="C&amp;D (Year end)"/>
      <sheetName val="14.MT-1(qrt)"/>
      <sheetName val="GSAInvoice.2"/>
      <sheetName val="KuitansiPJB"/>
      <sheetName val="KuitansiPJB.2"/>
      <sheetName val="Aprroval Letter"/>
      <sheetName val="Rev.Approv.Letter"/>
      <sheetName val="Approval"/>
      <sheetName val="DI-PartA"/>
      <sheetName val="DI-Part-B"/>
      <sheetName val="Rev.DI-PartA"/>
      <sheetName val="Rev.DI-PartB"/>
      <sheetName val="CoverC&amp;D-HO"/>
      <sheetName val="10.C&amp;DReq"/>
      <sheetName val="CoverC&amp;DRep"/>
      <sheetName val="11.C&amp;DTaxK60"/>
      <sheetName val="12.PSC7.1-K60"/>
      <sheetName val="13.PSC7.2-K60"/>
      <sheetName val="14.C&amp;DTaxK40"/>
      <sheetName val="15. PSC7.1-K40"/>
      <sheetName val="16.PSC7.2-K40"/>
      <sheetName val="Letter for Inv_CorrPLN"/>
      <sheetName val="22.C&amp;D(R)"/>
      <sheetName val="DMO-LTR"/>
      <sheetName val="18.DMO"/>
      <sheetName val="Supp'l"/>
      <sheetName val="RRS"/>
      <sheetName val="MA-5"/>
      <sheetName val="MA-6"/>
      <sheetName val="Reinstate PGN-96"/>
      <sheetName val="lettter PGN-96"/>
      <sheetName val="UKGAAP-adj"/>
      <sheetName val="DataEntry"/>
      <sheetName val="Variance"/>
      <sheetName val="Data Graph"/>
      <sheetName val="preBud"/>
      <sheetName val="HFM"/>
      <sheetName val="ST144"/>
      <sheetName val="BIAYA03"/>
      <sheetName val="ANALISABIAYA"/>
      <sheetName val="BIAYA20"/>
      <sheetName val="REKBIAYA"/>
      <sheetName val="BIAYA21"/>
      <sheetName val="ANAL22"/>
      <sheetName val="BIAYA22"/>
      <sheetName val="BIAYA23"/>
      <sheetName val="DataBase(Per;300905)"/>
      <sheetName val="PLN Rengat-MR Att 4"/>
      <sheetName val="PLN Rengat-MR_Att_5"/>
      <sheetName val="TFT_PLN_Rengat"/>
      <sheetName val="TFT-PLN Rengat_12-05_e"/>
      <sheetName val="BOQ_FORM_FOR_INQUIRY"/>
      <sheetName val="FORM_OF_PROPOSAL_RFP-003"/>
      <sheetName val="????·???·-BLDGL-03E.X"/>
      <sheetName val="‡¬’P‰¿ì¬E-BLDG"/>
      <sheetName val="¬P¿ì¬E-BLDG"/>
      <sheetName val="Proposal Schedule"/>
      <sheetName val="合成単価作成・-BLDG"/>
      <sheetName val="‡¬’P‰¿ì_x0010_¬?-BLDG"/>
      <sheetName val="뜃맟뭁돽띿맟__BLDG"/>
      <sheetName val="노임단가"/>
      <sheetName val="Administrative Prices"/>
      <sheetName val="WIL VII"/>
      <sheetName val="HASIL USAHA WIL. 7"/>
      <sheetName val="Melak"/>
      <sheetName val="Wahau"/>
      <sheetName val="Berau"/>
      <sheetName val="Tarakan"/>
      <sheetName val="Muru II"/>
      <sheetName val="Drainase"/>
      <sheetName val="Kelinjau"/>
      <sheetName val="Box"/>
      <sheetName val="Box 1"/>
      <sheetName val="1.REK"/>
      <sheetName val="L3 An H Sat Mob"/>
      <sheetName val="pro ra op"/>
      <sheetName val="renc mgn"/>
      <sheetName val="DAFTAR TBL _ FORM"/>
      <sheetName val="Form 4 _ 4_A"/>
      <sheetName val="4-1"/>
      <sheetName val="Lamp 1 - KPI 2005"/>
      <sheetName val="SKOR KPI "/>
      <sheetName val="5-1"/>
      <sheetName val="5-2"/>
      <sheetName val="6-1"/>
      <sheetName val="ALL EKSTERN"/>
      <sheetName val="7-1"/>
      <sheetName val="7.2"/>
      <sheetName val="8-1"/>
      <sheetName val="8-2"/>
      <sheetName val="9-1"/>
      <sheetName val="9-2"/>
      <sheetName val="DATA SASPOK "/>
      <sheetName val="RESUME BY US SD SEPT05"/>
      <sheetName val="Konsolidasi"/>
      <sheetName val="DIR 1"/>
      <sheetName val="DIR 2"/>
      <sheetName val="P-ANAK"/>
      <sheetName val="WIKA NDUK"/>
      <sheetName val="KKDAMPAK-LAMP 17"/>
      <sheetName val="LR DGN BBM NAIK-LAMP16"/>
      <sheetName val="AL-BI-PUS"/>
      <sheetName val="biaya usaha thn 2005"/>
      <sheetName val="BIAYA USAHA 2006"/>
      <sheetName val="EFISIENSI"/>
      <sheetName val="Form 9"/>
      <sheetName val="Form 17"/>
      <sheetName val="Form 18"/>
      <sheetName val="Form 20"/>
      <sheetName val="KK-PUKK"/>
      <sheetName val="KK-Neraca"/>
      <sheetName val="7_2"/>
      <sheetName val="VHCPar"/>
      <sheetName val="Sales Rental"/>
      <sheetName val="Sales&amp;Margin"/>
      <sheetName val="HR Detail"/>
      <sheetName val="HR Resume"/>
      <sheetName val="Asset Detail"/>
      <sheetName val="Asset Resume"/>
      <sheetName val="IT Charges"/>
      <sheetName val="Vehicle"/>
      <sheetName val="ITPar"/>
      <sheetName val="AssetPar"/>
      <sheetName val="HRPar"/>
      <sheetName val="Sales Mining"/>
      <sheetName val="SRE"/>
      <sheetName val="P&amp;L Condensed"/>
      <sheetName val="R&amp;F"/>
      <sheetName val="Monthly Report"/>
      <sheetName val="Payment Certificate"/>
      <sheetName val="Monthly Summary"/>
      <sheetName val="Weekly S-curve"/>
      <sheetName val="Week Sum"/>
      <sheetName val="Week no. 1"/>
      <sheetName val="Week no. 2"/>
      <sheetName val="Week no. 3"/>
      <sheetName val="Week no. 4"/>
      <sheetName val="Week no. 5a"/>
      <sheetName val="Monthly Progress"/>
      <sheetName val="S-PLAN"/>
      <sheetName val="QD5data"/>
      <sheetName val="Sum (1)"/>
      <sheetName val="Sum (2)"/>
      <sheetName val="Sum (3)"/>
      <sheetName val="Sum (4)"/>
      <sheetName val="Sum (5)"/>
      <sheetName val="Scurve"/>
      <sheetName val="S-QD5"/>
      <sheetName val="Weekly Sum"/>
      <sheetName val="Week1"/>
      <sheetName val="Week2"/>
      <sheetName val="Week3"/>
      <sheetName val="Week4"/>
      <sheetName val="Week5"/>
      <sheetName val="Monthly Sum"/>
      <sheetName val="WeekQty"/>
      <sheetName val="Week (3)"/>
      <sheetName val="Week (1)"/>
      <sheetName val="Monthly"/>
      <sheetName val="Progress Sum"/>
      <sheetName val="Payment Certificate QD5"/>
      <sheetName val="SCHEDULE SWH"/>
      <sheetName val="BOQ EXTERN"/>
      <sheetName val="Mob_Demob"/>
      <sheetName val="HargaDsrBhn"/>
      <sheetName val="SBDY"/>
      <sheetName val="Kriteria HIRARC"/>
      <sheetName val="DAPRO"/>
      <sheetName val="BL"/>
      <sheetName val="RAB Ekstern"/>
      <sheetName val="hit tarif"/>
      <sheetName val="Est Exc"/>
      <sheetName val="est DT"/>
      <sheetName val="Est DZ"/>
      <sheetName val="fleet UTAMA"/>
      <sheetName val="est wheel L"/>
      <sheetName val="Rekap Ekstern"/>
      <sheetName val="ANHAREXT"/>
      <sheetName val="BBM"/>
      <sheetName val="PROD ALAT"/>
      <sheetName val="REK_FISIK"/>
      <sheetName val="S_CURVE"/>
      <sheetName val="kk bg lb"/>
      <sheetName val="DAFTAR TBL &amp; FORM"/>
      <sheetName val="Master Schedule"/>
      <sheetName val="rkpm 2007"/>
      <sheetName val="rkpm 2003"/>
      <sheetName val="Check List LBP"/>
      <sheetName val="Info Manajemen"/>
      <sheetName val="1. Data Proyek"/>
      <sheetName val="Penilaian Proj SC"/>
      <sheetName val="KPI New"/>
      <sheetName val="2.a. Project Score Card"/>
      <sheetName val="2.b. Analisa&amp;RTL PSC"/>
      <sheetName val="3.a. LBP-Hasil Usaha"/>
      <sheetName val="RI-BIAYA"/>
      <sheetName val="3.b. Rolling Cash Flow"/>
      <sheetName val="3.c. Grafik HU."/>
      <sheetName val="3.d. Data Grafik HU."/>
      <sheetName val="3.e. Penij.Amandemen"/>
      <sheetName val="3.f. Rincian OK,OP"/>
      <sheetName val="3.g. Ikht.Biaya"/>
      <sheetName val="4.a. Mon-Subkont"/>
      <sheetName val="4.b. Mon-Suplier"/>
      <sheetName val="4.c Mon-Alat"/>
      <sheetName val="4.d. Mon. Proses Dan"/>
      <sheetName val="5. SIMPRO PROD."/>
      <sheetName val="6. LAP. KEUANGAN"/>
      <sheetName val="6.i. Mon-SDM"/>
      <sheetName val="7.1 Mon. SMM"/>
      <sheetName val="7.2 Lap. SMM"/>
      <sheetName val="8.a. Grafik SIL"/>
      <sheetName val="8.b. Penilaian SIL"/>
      <sheetName val="9.a. Grafik 5 R"/>
      <sheetName val="9.b. Penilaian 5 R"/>
      <sheetName val="10.a Karya Inovasi"/>
      <sheetName val="11.a. Gambar Lay Out"/>
      <sheetName val="11.b. Gambar Mon. Progres Pek."/>
      <sheetName val="skedul-ori"/>
      <sheetName val="skedul-rev"/>
      <sheetName val="11.c. Photo Progres Pek."/>
      <sheetName val="12. Surat Penting"/>
      <sheetName val="13. Temuan SPI"/>
      <sheetName val="14. Survey Kepuasan Plg"/>
      <sheetName val="Foto"/>
      <sheetName val="DSU"/>
      <sheetName val="REKAP-Total"/>
      <sheetName val="RAB-2006-Total"/>
      <sheetName val="ABT2006-5,7 M-Propose"/>
      <sheetName val="REKAP-Propose"/>
      <sheetName val="RAB-2006-Propose"/>
      <sheetName val="rincjad at"/>
      <sheetName val="ihk-mut at"/>
      <sheetName val="proyhapus-at"/>
      <sheetName val="jual-AT"/>
      <sheetName val="alat-hapus"/>
      <sheetName val="proyoiut"/>
      <sheetName val="CASH-DIREKSI"/>
      <sheetName val="RESUME-RENSTRS"/>
      <sheetName val="RESUME form ihu total"/>
      <sheetName val="NAD&amp;LN OPLK"/>
      <sheetName val="LPP NAD &amp; LN"/>
      <sheetName val="NAD&amp;LN 0K"/>
      <sheetName val="LPP Wil 4"/>
      <sheetName val="LPP Wil 5"/>
      <sheetName val="LPP Wil 6"/>
      <sheetName val="LPP Wil 7"/>
      <sheetName val="LPP Wil 8"/>
      <sheetName val="LPP Wil 9"/>
      <sheetName val="Data 08"/>
      <sheetName val="LPP DSU-2"/>
      <sheetName val="RKAP 08"/>
      <sheetName val="RKAP2009"/>
      <sheetName val="sekat DWLN"/>
      <sheetName val="sekat NAD"/>
      <sheetName val="sekat Wilayah"/>
      <sheetName val="sekat LN"/>
      <sheetName val="LPP NAD &amp; LN (2)"/>
      <sheetName val="Proyeksi DSU-1 (OK)"/>
      <sheetName val="Proyeksi DSU-1 (OP)"/>
      <sheetName val="Proyeksi DSU-1 (LK)"/>
      <sheetName val="RESUME form ihu total (2)"/>
      <sheetName val="RESUME form ihu total (3)"/>
      <sheetName val="RESUME form ihu total (4)"/>
      <sheetName val="K &amp; H"/>
      <sheetName val="D-2"/>
      <sheetName val="D-3"/>
      <sheetName val="D-4"/>
      <sheetName val="D-5"/>
      <sheetName val="D-6"/>
      <sheetName val="D-7"/>
      <sheetName val="D-8"/>
      <sheetName val="D-9"/>
      <sheetName val="D-10"/>
      <sheetName val="D-11"/>
      <sheetName val="D-12"/>
      <sheetName val="D-13"/>
      <sheetName val="D-14"/>
      <sheetName val="D-15"/>
      <sheetName val="D-16"/>
      <sheetName val="Uraian struktur"/>
      <sheetName val="Rekap Biaya (2)"/>
      <sheetName val="K &amp; H (2)"/>
      <sheetName val="HAL KOSONG"/>
      <sheetName val="H3"/>
      <sheetName val="1-1A"/>
      <sheetName val="1b-Konst"/>
      <sheetName val="1b-Mrgn Konstr"/>
      <sheetName val="8A"/>
      <sheetName val="9A"/>
      <sheetName val="PKBL 1"/>
      <sheetName val="PKBL 2"/>
      <sheetName val="PKBL 3"/>
      <sheetName val="PKBL 4"/>
      <sheetName val="PKBL 5"/>
      <sheetName val="SIPIL UMUM "/>
      <sheetName val="DSU1-OP"/>
      <sheetName val="DSU1- LK"/>
      <sheetName val="DSU2"/>
      <sheetName val="inf mnj"/>
      <sheetName val="LBK"/>
      <sheetName val="Data S"/>
      <sheetName val="Kurva S"/>
      <sheetName val="Score Card"/>
      <sheetName val="Waste M"/>
      <sheetName val="Foto Progres Pek."/>
      <sheetName val="8.a Gambar Mon. Progres Pek."/>
      <sheetName val="AnlsRisk"/>
      <sheetName val="ES STG"/>
      <sheetName val="Normalisasi"/>
      <sheetName val="Bulanan"/>
      <sheetName val="Normalisasi intern"/>
      <sheetName val="DIR-1-Okt"/>
      <sheetName val="DWLN"/>
      <sheetName val="Peluang &amp; Ancaman"/>
      <sheetName val="lamp 1a"/>
      <sheetName val="lamp 1B"/>
      <sheetName val="lamp 1C"/>
      <sheetName val="Lampiran 2a"/>
      <sheetName val="AC Base"/>
      <sheetName val="ACBC"/>
      <sheetName val="CTB"/>
      <sheetName val="Drn"/>
      <sheetName val="Pasbatu"/>
      <sheetName val="LAP 033HO"/>
      <sheetName val="TOT-BLN"/>
      <sheetName val="TOT-SBU"/>
      <sheetName val="AGT"/>
      <sheetName val="HPP-TW1"/>
      <sheetName val="HPP-TW1B"/>
      <sheetName val="HPP-TW2"/>
      <sheetName val="HPP-TW3"/>
      <sheetName val="HPP-TW4"/>
      <sheetName val="pro ra op (bhn rakor )"/>
      <sheetName val="renc mgn (BHN RAKOR)"/>
      <sheetName val="idx-03"/>
      <sheetName val="setaraan-ppb"/>
      <sheetName val="rekap_kompr"/>
      <sheetName val="komprs_jab"/>
      <sheetName val="kompars-ppu"/>
      <sheetName val="penil"/>
      <sheetName val="kol-igp"/>
      <sheetName val="kol-skl"/>
      <sheetName val="per-ppu"/>
      <sheetName val="1. Ra Investasi TPR"/>
      <sheetName val="Prog "/>
      <sheetName val="2014"/>
      <sheetName val="EHU"/>
      <sheetName val="2015"/>
      <sheetName val="P&amp;L 10 Tahun"/>
      <sheetName val="1. Pend. Penjualan Rooms"/>
      <sheetName val="2. Pend. Penjualan Non Rooms"/>
      <sheetName val="3. Pend. Sewa Area Komersial"/>
      <sheetName val="4. Pend. Pengelolaan"/>
      <sheetName val="5. Analisa Pengunjung"/>
      <sheetName val="1. Bi. Pemasaran"/>
      <sheetName val="2. Bi. Konsultan &amp; Profesional"/>
      <sheetName val="3. Bi. SDM"/>
      <sheetName val="4. Bi OPR"/>
      <sheetName val="1. Bi. TL Dep &amp; Amort ROOM"/>
      <sheetName val="2. Bi. TL DEP &amp; AMORT NON ROOM"/>
      <sheetName val="3. Bi. TL Asuransi"/>
      <sheetName val="4. Bi. TL BANK"/>
      <sheetName val="5. Bi. TL Pajak"/>
      <sheetName val="6. Bi. Dsg &amp; Const"/>
      <sheetName val="3.1. Bi. SDM-Management"/>
      <sheetName val="3.2. Bi. SDM-Sport Club"/>
      <sheetName val="3.3. Bi. SDM-Room Hotels"/>
      <sheetName val="3.4. Bi. SDM-TC MICE FB REST"/>
      <sheetName val="SDM TPR &amp; TPB"/>
      <sheetName val="4.1 Bi. Komersial"/>
      <sheetName val="4.2 Bi. Perijinan &amp; Humas"/>
      <sheetName val="4.3 Bi. Admin Kantor"/>
      <sheetName val="4.4. Bi. Utilitas"/>
      <sheetName val="4.5. Bi. Perawatan Properti"/>
      <sheetName val="4.6. Bi. Opr Kebersihan"/>
      <sheetName val="4.7. Bi. Opr Keamanan"/>
      <sheetName val="4.8. Bi. Opr Perparkiran"/>
      <sheetName val="4.9. Bi. Opr Sport Club"/>
      <sheetName val="4.10. Bi. Opr HOtel Room"/>
      <sheetName val="4.11. Bi. Opr TC-MICE &amp; FB"/>
      <sheetName val="4.12. Bi. Opr Htl Mgmt"/>
      <sheetName val="4.13. Bi. Opr Retail &amp; Rest"/>
      <sheetName val="8.7.1. Bi. RH-FO Room"/>
      <sheetName val="8.7.2. Bi. RH-HK Room"/>
      <sheetName val="8.7.3. Bi. Telp Room"/>
      <sheetName val="8.7.4. Bi. Others Room Sales "/>
      <sheetName val="8.8.1 Bi.MICE-TC"/>
      <sheetName val="8.8.2. Bi.FB"/>
      <sheetName val="8.8.2. Bi.FB Retail"/>
      <sheetName val="SO TIPE A"/>
      <sheetName val="Biaya Lapangan"/>
      <sheetName val="Time Schedule"/>
      <sheetName val="transmittal"/>
      <sheetName val="Final Sum"/>
      <sheetName val="beton,bekisting lama"/>
      <sheetName val="pembesian lama"/>
      <sheetName val="beton,bekisting Baru"/>
      <sheetName val="pembesian baru"/>
      <sheetName val="overlab sambungan"/>
      <sheetName val="Final Sum."/>
      <sheetName val="BATAS 1"/>
      <sheetName val="gal,lt kerja,pasir,beton lama"/>
      <sheetName val="gal,lt kerja,pasir,beton Baru"/>
      <sheetName val="Penamb overlap sambungan"/>
      <sheetName val="Penamb bar chair"/>
      <sheetName val="perbaikan boredpile"/>
      <sheetName val="Penam tul sampai dasar raft"/>
      <sheetName val="pembesian lama U40"/>
      <sheetName val="Penamb bar chair for tender"/>
      <sheetName val="pembesian baru U50"/>
      <sheetName val="Penamb bar chair SD"/>
      <sheetName val="PC FOR TENDER"/>
      <sheetName val="PC SHOPDRAWING 2"/>
      <sheetName val="Balok TB "/>
      <sheetName val="PLAT "/>
      <sheetName val="PC pulau intan"/>
      <sheetName val="Balok TB PULAU INTAN"/>
      <sheetName val="PLAT Pulau Intan"/>
      <sheetName val="VOL BALOK"/>
      <sheetName val="VOL PLAT"/>
      <sheetName val="Penambahan Overlap Kolom"/>
      <sheetName val="BOBOKAN"/>
      <sheetName val="pembesian Kolom"/>
      <sheetName val="Beton Kolom"/>
      <sheetName val="Balok UG Mezz SD M0-M3, MA-MF"/>
      <sheetName val="PLAT UG shopdrawing"/>
      <sheetName val="stek kolom"/>
      <sheetName val="pembesaran kolom"/>
      <sheetName val="pembesian BS"/>
      <sheetName val="pembesian LG"/>
      <sheetName val="pembesian GF"/>
      <sheetName val="aSPAL AC"/>
      <sheetName val="LAPIS "/>
      <sheetName val="long1"/>
      <sheetName val="long3"/>
      <sheetName val="rekap1"/>
      <sheetName val="rekap3"/>
      <sheetName val="rkp1"/>
      <sheetName val="rkp3"/>
      <sheetName val="DUMP TRUCK"/>
      <sheetName val="EXC"/>
      <sheetName val="prodblz"/>
      <sheetName val="CL_GR"/>
      <sheetName val="prodcmp"/>
      <sheetName val="prodmgr"/>
      <sheetName val="prod exc"/>
      <sheetName val="dtpro"/>
      <sheetName val="SUMBERDAYA 12m"/>
      <sheetName val="rekap 12M"/>
      <sheetName val="tahap 12m"/>
      <sheetName val="RINCIAN12M"/>
      <sheetName val="ev_pbm"/>
      <sheetName val="HUTANG (2)"/>
      <sheetName val="pola pmb"/>
      <sheetName val="KEB SDSUB"/>
      <sheetName val="KEB SDM"/>
      <sheetName val="KEB ALAT"/>
      <sheetName val="Mk (2)"/>
      <sheetName val="Sch1 "/>
      <sheetName val="kebmat (2)"/>
      <sheetName val="layout (2)"/>
      <sheetName val="dtproy"/>
      <sheetName val="8.4.1"/>
      <sheetName val="babI"/>
      <sheetName val="8.4.2"/>
      <sheetName val="BOQ (3)"/>
      <sheetName val="layout"/>
      <sheetName val="TARIP"/>
      <sheetName val="matting"/>
      <sheetName val="kebmat"/>
      <sheetName val="gb.GAL"/>
      <sheetName val="gb.inlet"/>
      <sheetName val="cover4"/>
      <sheetName val="Penjumlahan Arsitektur"/>
      <sheetName val="BILL NO. 4.1"/>
      <sheetName val="BILL NO. 4.2"/>
      <sheetName val="BILL NO. 4.3"/>
      <sheetName val="BILL NO. 4.4"/>
      <sheetName val="BILL NO. 4.5"/>
      <sheetName val="BILL NO. 4.6"/>
      <sheetName val="BILL NO. 4.7"/>
      <sheetName val="BILL NO. 4.8"/>
      <sheetName val="BILL NO. 4.9"/>
      <sheetName val="BILL NO. 4.10"/>
      <sheetName val="BILL NO. 4.11"/>
      <sheetName val="BILL NO. 4.12"/>
      <sheetName val="BILL NO. 4.13"/>
      <sheetName val="BILL NO. 4.14"/>
      <sheetName val="BILL NO. 4.15"/>
      <sheetName val="BILL NO. 4.16"/>
      <sheetName val="BILL NO. 4.17"/>
      <sheetName val="BILL NO. 4.18"/>
      <sheetName val="BILL NO. 4.19"/>
      <sheetName val="BILL NO. 4.20"/>
      <sheetName val="BILL NO. 4.21"/>
      <sheetName val="BILL NO. 4.22"/>
      <sheetName val="BILL NO. 4.23"/>
      <sheetName val="BILL NO. 4.24"/>
      <sheetName val="BILL NO. 4.25"/>
      <sheetName val="Persiapan "/>
      <sheetName val="Ana.ARS"/>
      <sheetName val="3.1 Demolition"/>
      <sheetName val="SUM 3"/>
      <sheetName val="4.1 Excv."/>
      <sheetName val="4.2 Found."/>
      <sheetName val="4.3 F&amp;U"/>
      <sheetName val="4.4 Stair"/>
      <sheetName val="4.5 Ramp"/>
      <sheetName val="SUM 4"/>
      <sheetName val="5.1 Excv."/>
      <sheetName val="5.2 Basement Wall"/>
      <sheetName val="5.3 Found."/>
      <sheetName val="5.4 GSlabs"/>
      <sheetName val="5.5 F&amp;U"/>
      <sheetName val="5.6 Stair"/>
      <sheetName val="5.7 Ramp"/>
      <sheetName val="SUM 5"/>
      <sheetName val="6.1 Excv."/>
      <sheetName val="6.2 Basement Wall"/>
      <sheetName val="6.3 Found."/>
      <sheetName val="6.4 GSlabs"/>
      <sheetName val="6.5 F&amp;U"/>
      <sheetName val="6.6 Stair"/>
      <sheetName val="SUM 6"/>
      <sheetName val="Prov-sums Bill 7"/>
      <sheetName val="Prov-sums Bill 8"/>
      <sheetName val="dok m"/>
      <sheetName val="RINCI M1"/>
      <sheetName val="RINCI M2"/>
      <sheetName val="RINCI M3"/>
      <sheetName val="RINCI M4"/>
      <sheetName val="RINCI M5"/>
      <sheetName val="RINCI M6"/>
      <sheetName val="RINCI M7"/>
      <sheetName val="Resume M % (7)"/>
      <sheetName val="Resume M %"/>
      <sheetName val="TIME SCHEDULE (1)"/>
      <sheetName val="TIME SCHEDULE (2)"/>
      <sheetName val="TIME SCHEDULE (3)"/>
      <sheetName val="TIME SCHEDULE (4)"/>
      <sheetName val="Mingguan TK"/>
      <sheetName val="Bill No.1 Pekerjaan Persiapan"/>
      <sheetName val="Operating Cycle"/>
      <sheetName val="DuPont Analysis"/>
      <sheetName val="Sources &amp; Uses"/>
      <sheetName val="Altman Z"/>
      <sheetName val="ISK 01-03"/>
      <sheetName val="ISK 01-03 (2)"/>
      <sheetName val="RATIO NEW (2)"/>
      <sheetName val="dpt 2002 Kntrk Mjn"/>
      <sheetName val="dpt Lap.UnAudited Des'02"/>
      <sheetName val="dpt 2003 Kntrk Mjn"/>
      <sheetName val="dpt 2003 RKAP"/>
      <sheetName val="Altman Z Score"/>
      <sheetName val="Finance Ratio"/>
      <sheetName val="dpt 02 kntrk man."/>
      <sheetName val="dpt 02 un-audited"/>
      <sheetName val="dpt RKAP 2003"/>
      <sheetName val="REVISI 2003 (Novetel)"/>
      <sheetName val="IS Komparatif"/>
      <sheetName val="SB0103 (3)"/>
      <sheetName val="GAB JUL0102"/>
      <sheetName val="PLTELKOM"/>
      <sheetName val="ALL-FA"/>
      <sheetName val="Instructions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Work Progress"/>
      <sheetName val="Final Work Progress"/>
      <sheetName val="Kurva-S Revisi "/>
      <sheetName val="Rekap Laporan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Kernel Recovery "/>
      <sheetName val="Depricarping "/>
      <sheetName val="Cable Trench B "/>
      <sheetName val="Pondasi Panel B"/>
      <sheetName val="Clarifikasi "/>
      <sheetName val="Power House 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Retaining Wall "/>
      <sheetName val="Drainase "/>
      <sheetName val="Jalan"/>
      <sheetName val="Parking Area"/>
      <sheetName val="Pagar Pabrik "/>
      <sheetName val="Pagar Kolam Limbah "/>
      <sheetName val="Saluran"/>
      <sheetName val="Bak Exces Fibre"/>
      <sheetName val="Tanam Rumput"/>
      <sheetName val="KK2 SEKRETARIAT DAN UMUM "/>
      <sheetName val="KK2 SEKRETARIAT DAN UMUM  (2)"/>
      <sheetName val="REKAP UMUM "/>
      <sheetName val="REKAP UTK BUKTI KAS "/>
      <sheetName val="KK2 KENDARAAN "/>
      <sheetName val="REKAP KENDARAAN "/>
      <sheetName val="Pengajuan Kasbon"/>
      <sheetName val="KK2"/>
      <sheetName val="HARGRAS"/>
      <sheetName val="Jalur-vol"/>
      <sheetName val="jalur-Rp"/>
      <sheetName val="TL-S"/>
      <sheetName val="tl"/>
      <sheetName val="tljr"/>
      <sheetName val="tpju"/>
      <sheetName val="tp (16)"/>
      <sheetName val="tp3"/>
      <sheetName val="trans-s"/>
      <sheetName val="bjr"/>
      <sheetName val="fcsp-w"/>
      <sheetName val="fcsp-s"/>
      <sheetName val="ccsp"/>
      <sheetName val="PROD-ACUAN"/>
      <sheetName val="dsc1"/>
      <sheetName val="dsc3"/>
      <sheetName val="dsp1"/>
      <sheetName val="dsp2"/>
      <sheetName val="DSU1001"/>
      <sheetName val="K.4CASHINBANK"/>
      <sheetName val="K.5CASHONHAND"/>
      <sheetName val="K.6DEPOSIT"/>
      <sheetName val="Objective"/>
      <sheetName val="K.1 - Lead Schedule"/>
      <sheetName val="K.2 AuditProgram"/>
      <sheetName val="K.4 CashInBanks"/>
      <sheetName val="K.4-1 BankRecon1"/>
      <sheetName val="K.5 CashOnHand"/>
      <sheetName val="K.5-1 Opname1"/>
      <sheetName val="K.5-2 Opname2"/>
      <sheetName val="K.6-1 TimeDep1"/>
      <sheetName val="K.6-2 TimeDep2"/>
      <sheetName val="K.7-1 Cert1"/>
      <sheetName val="K.7-2 Cert2"/>
      <sheetName val="K.8 Circularization"/>
      <sheetName val="K.9-1 ConReply1"/>
      <sheetName val="K.9-2 ConfReply2"/>
      <sheetName val="K.9-3 ConfReply3"/>
      <sheetName val="RCP 1000A"/>
      <sheetName val="Gali Tanah"/>
      <sheetName val="Excav Pav"/>
      <sheetName val="Timbun"/>
      <sheetName val="Timbun (2)"/>
      <sheetName val="Persiap Badan"/>
      <sheetName val="Lampiran 2b"/>
      <sheetName val="lamp 3a "/>
      <sheetName val="lamp 3B"/>
      <sheetName val="lamp 3c"/>
      <sheetName val="lamp 3D"/>
      <sheetName val="lamp 4"/>
      <sheetName val="lamp 5a"/>
      <sheetName val="lamp 5b"/>
      <sheetName val="lamp 6"/>
      <sheetName val="lamp 8"/>
      <sheetName val="Div7.1"/>
      <sheetName val="Div7.2"/>
      <sheetName val="Div7.3"/>
      <sheetName val="Tenaga dan Bahan"/>
      <sheetName val="Tenaga dan Bahan Fix"/>
      <sheetName val="Alat Fix"/>
      <sheetName val="SHCDL"/>
      <sheetName val="BPDP"/>
      <sheetName val="LBK1"/>
      <sheetName val="LBK2"/>
      <sheetName val="LBK4"/>
      <sheetName val="LBK5"/>
      <sheetName val="RAB (A) (3)"/>
      <sheetName val="RAB (A) (2)"/>
      <sheetName val="Rekap vul (3)"/>
      <sheetName val="Rekap vul"/>
      <sheetName val="RAB Btl "/>
      <sheetName val="Rekap vul (2)"/>
      <sheetName val="Sheet3 (3)"/>
      <sheetName val="RAB _A_ _2_"/>
      <sheetName val="PASAR (3)"/>
      <sheetName val="OP per bln"/>
      <sheetName val="LK per bln"/>
      <sheetName val="OP Lama"/>
      <sheetName val="PASAR (2)"/>
      <sheetName val="Ri sd jun 07"/>
      <sheetName val="Rekap (manual)"/>
      <sheetName val="OK-OP-LK (Prog) manual"/>
      <sheetName val="OK-OP-LK (Prog)"/>
      <sheetName val="OK-OP-LK (rev)"/>
      <sheetName val="OK-OP-LK"/>
      <sheetName val="OK"/>
      <sheetName val="OP Prog"/>
      <sheetName val="OP Rev"/>
      <sheetName val="LK Prog"/>
      <sheetName val="LK REv"/>
      <sheetName val="RES-IHU"/>
      <sheetName val="SP17"/>
      <sheetName val="Rekap17"/>
      <sheetName val="ANAL17"/>
      <sheetName val="BQX17"/>
      <sheetName val="Utm17"/>
      <sheetName val="anal alat"/>
      <sheetName val="JnsKapAlat17"/>
      <sheetName val="SDAS17"/>
      <sheetName val="JnsKapAlat18"/>
      <sheetName val="Utm18"/>
      <sheetName val="anal alat 18"/>
      <sheetName val="anal alat 19"/>
      <sheetName val="SP18"/>
      <sheetName val="SDAS"/>
      <sheetName val="Hasil Usaha"/>
      <sheetName val="Ra Ri"/>
      <sheetName val="RESUME Ri"/>
      <sheetName val="Pusat"/>
      <sheetName val="C5.2"/>
      <sheetName val="C6.1"/>
      <sheetName val="C6.2"/>
      <sheetName val="TOC Retro Jiwa"/>
      <sheetName val="TOC Retro Fac"/>
      <sheetName val="TOC Retro XOL"/>
      <sheetName val="J - Pajak Dibayar Dimuka"/>
      <sheetName val="Symbol"/>
      <sheetName val="RL-3"/>
      <sheetName val="PENJ NERACA"/>
      <sheetName val="TM &amp; TBM"/>
      <sheetName val="HTG ESTATE"/>
      <sheetName val="HTG PKS"/>
      <sheetName val="RINC-RL,18,19"/>
      <sheetName val="PENJUALAN 2006"/>
      <sheetName val="RINC-HPP21,22,23"/>
      <sheetName val="HPPENJ-24"/>
      <sheetName val="HITUNG-HPP,25"/>
      <sheetName val="L107"/>
      <sheetName val="ISMY"/>
      <sheetName val="TO"/>
      <sheetName val="OD"/>
      <sheetName val="Ford Options"/>
      <sheetName val="HPP audit"/>
      <sheetName val="EK"/>
      <sheetName val="Kas dan Bank"/>
      <sheetName val="Investasi Saham"/>
      <sheetName val="Tanaman Perkebunan "/>
      <sheetName val="Tanaman Perkebunan 2"/>
      <sheetName val="List Inventory"/>
      <sheetName val="Perpajakan"/>
      <sheetName val="HU"/>
      <sheetName val="Hutang Lain2 HI"/>
      <sheetName val="Hutang Jangka Pjg"/>
      <sheetName val="Biaya yg msh hrs dibayar"/>
      <sheetName val="OLT"/>
      <sheetName val="PEB &amp; OLT"/>
      <sheetName val="LAP-PENJ"/>
      <sheetName val="Beban Pokok Pend."/>
      <sheetName val="Penghasilan B.Lain-lain"/>
      <sheetName val="Tran. Hub. Istimewa"/>
      <sheetName val="Analytical Review Okt 31, 2008"/>
      <sheetName val="8600.05"/>
      <sheetName val="8600.10"/>
      <sheetName val="8600.10-1 "/>
      <sheetName val="8600.10-1.1"/>
      <sheetName val="8600.10-2"/>
      <sheetName val="8600.10-3"/>
      <sheetName val="8600.10-4"/>
      <sheetName val="8600.10-5"/>
      <sheetName val="8600.10-6"/>
      <sheetName val="8600.10-7"/>
      <sheetName val="TOT Admin Expense"/>
      <sheetName val="Vouching Opex"/>
      <sheetName val="mazda"/>
      <sheetName val="chery"/>
      <sheetName val="hino gubeng"/>
      <sheetName val="hino kletek"/>
      <sheetName val="HINO MALANG"/>
      <sheetName val="HINO GRESIK"/>
      <sheetName val="PRT_MLG"/>
      <sheetName val="prt"/>
      <sheetName val="GRESIK Mar_08"/>
      <sheetName val="GRESIK Mar_08 _2_"/>
      <sheetName val="GRESIK Apr_08 _2_"/>
      <sheetName val="GRESIK Mei_08 _3_"/>
      <sheetName val="GRESIK Juni_08 _4_"/>
      <sheetName val="akumulasi mar_jun_08"/>
      <sheetName val="GRESIK Juli_08 "/>
      <sheetName val="GRESIK Agusts_08 "/>
      <sheetName val="GRESIK September_08 _"/>
      <sheetName val="GRESIK Oktober_08 "/>
      <sheetName val="GRESIK AK JanOktober_08 "/>
      <sheetName val="GRESIK November_08  "/>
      <sheetName val="GRESIK Desember_08  "/>
      <sheetName val="GRESIK AK Jan-Des_08 "/>
      <sheetName val="rekonsel per bln"/>
      <sheetName val="rekonsel akumulasi"/>
      <sheetName val="10 Memo"/>
      <sheetName val="10 Lead"/>
      <sheetName val="10.1 Sales per customer"/>
      <sheetName val="Local per product"/>
      <sheetName val="10.2 Sales per product "/>
      <sheetName val="10.3 Cut-off test"/>
      <sheetName val="10.4 Sales Reasonable Test"/>
      <sheetName val="export per product"/>
      <sheetName val="export original"/>
      <sheetName val="local original"/>
      <sheetName val="10.5 Sales with Daily Kurs"/>
      <sheetName val="10.6 Sales Local"/>
      <sheetName val="10.7 Sales Export"/>
      <sheetName val="Kurs $ 2005"/>
      <sheetName val="HOSept"/>
      <sheetName val="YTDS&amp;D"/>
      <sheetName val="Sept02"/>
      <sheetName val="1505-99"/>
      <sheetName val="1505-02"/>
      <sheetName val="CIP-Capco-1505-03"/>
      <sheetName val="1505-03 "/>
      <sheetName val="PL-Equator"/>
      <sheetName val="BS-Equator (2)"/>
      <sheetName val="oret2an"/>
      <sheetName val="anal-1-4"/>
      <sheetName val="anal-5"/>
      <sheetName val="anal-6"/>
      <sheetName val="oret"/>
      <sheetName val="RKP-DKH"/>
      <sheetName val="DKH-BP07"/>
      <sheetName val="RKP-DKH-UPRT"/>
      <sheetName val="DKH-BP07-UPRT"/>
      <sheetName val="DKH-BP07C"/>
      <sheetName val="ANAL-2"/>
      <sheetName val="DAKON"/>
      <sheetName val="ap-12a"/>
      <sheetName val="ap-12b"/>
      <sheetName val="ap-12c"/>
      <sheetName val="RKPANAL"/>
      <sheetName val="TANYA"/>
      <sheetName val="BREAKSTRUKTUR"/>
      <sheetName val="TEST"/>
      <sheetName val="ANALBETON"/>
      <sheetName val="teknis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anking %"/>
      <sheetName val="rkp-map"/>
      <sheetName val="map-jo-koreksi"/>
      <sheetName val="map-jo"/>
      <sheetName val="sepakat"/>
      <sheetName val="rkp2"/>
      <sheetName val="ANTEK-1"/>
      <sheetName val="ANTEK-2"/>
      <sheetName val="ANTEK3"/>
      <sheetName val="RKP-DB"/>
      <sheetName val="ANAL-MPU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RKP-BOQ"/>
      <sheetName val="DAFT-MPU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RKP-ANAL"/>
      <sheetName val="SKDL"/>
      <sheetName val="RAB-HUSEIN"/>
      <sheetName val="DKH"/>
      <sheetName val="APP-12"/>
      <sheetName val="APP-12b"/>
      <sheetName val="APP-12c"/>
      <sheetName val="GANTI"/>
      <sheetName val="coba"/>
      <sheetName val="Kuant&amp;Harga"/>
      <sheetName val="Har Sat"/>
      <sheetName val="lamp1"/>
      <sheetName val="lamp3a"/>
      <sheetName val="lamp4ae"/>
      <sheetName val="Lamp5"/>
      <sheetName val="LAMP7"/>
      <sheetName val="CV Teknik"/>
      <sheetName val="Struk Org Proy"/>
      <sheetName val="DafPerson"/>
      <sheetName val="604"/>
      <sheetName val="605"/>
      <sheetName val="606"/>
      <sheetName val="H-SAT"/>
      <sheetName val="610.04"/>
      <sheetName val="610.05"/>
      <sheetName val="610.06"/>
      <sheetName val="610.07A"/>
      <sheetName val="610.08"/>
      <sheetName val="Angkut material"/>
      <sheetName val="SPJ"/>
      <sheetName val="Galian batu"/>
      <sheetName val="Urugan biasa"/>
      <sheetName val="stripping"/>
      <sheetName val="Trans Agg"/>
      <sheetName val="Hotmix 4 cm"/>
      <sheetName val="Hotmix 5 cm"/>
      <sheetName val="Hotmix 6 cm"/>
      <sheetName val="DBoard"/>
      <sheetName val="BD_Alat"/>
      <sheetName val="An_Alat"/>
      <sheetName val="EFGH"/>
      <sheetName val="610.07B"/>
      <sheetName val="LAB"/>
      <sheetName val="An Teknis"/>
      <sheetName val="Detour"/>
      <sheetName val="Alat2"/>
      <sheetName val="PP2"/>
      <sheetName val="BAU2"/>
      <sheetName val="Rupa22"/>
      <sheetName val="Bank2"/>
      <sheetName val="Rekap Volume"/>
      <sheetName val="2ktr"/>
      <sheetName val="4ktr"/>
      <sheetName val="5ktr"/>
      <sheetName val="6ktr"/>
      <sheetName val="7ktr"/>
      <sheetName val="2B"/>
      <sheetName val="5B"/>
      <sheetName val="6B"/>
      <sheetName val="7B"/>
      <sheetName val="2C"/>
      <sheetName val="4C"/>
      <sheetName val="5C"/>
      <sheetName val="6C"/>
      <sheetName val="7C"/>
      <sheetName val="PriceList"/>
      <sheetName val="AnaBahan"/>
      <sheetName val="TDR"/>
      <sheetName val="REKAP-MAP"/>
      <sheetName val="PKT-III-1"/>
      <sheetName val="RKP-JEMB"/>
      <sheetName val="AJE "/>
      <sheetName val="LAP-BLN DES2003"/>
      <sheetName val="REKAP APBD"/>
      <sheetName val="REKAP KOTOR"/>
      <sheetName val="Case"/>
      <sheetName val="Merak Export"/>
      <sheetName val="Merak Import"/>
      <sheetName val="VBA Code"/>
      <sheetName val="Overall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2004.VS.2003"/>
      <sheetName val="JUST.F7"/>
      <sheetName val="CTT.RPT"/>
      <sheetName val="KODE BAG"/>
      <sheetName val="PVT.TOTAL"/>
      <sheetName val="SKOP"/>
      <sheetName val="NonDept"/>
      <sheetName val="PVT-FUNGSI"/>
      <sheetName val="REKAP-F7.0"/>
      <sheetName val="F7.1"/>
      <sheetName val="F7-OPS"/>
      <sheetName val="PIVOT 3 DGT"/>
      <sheetName val="F-7.2.3 DGT "/>
      <sheetName val="F7.3th"/>
      <sheetName val="PIVOTF8.0"/>
      <sheetName val="F8.0"/>
      <sheetName val="PIVOT-F.7.4.DGT"/>
      <sheetName val="F-7.2.4DGT"/>
      <sheetName val="2004R.VS.2003"/>
      <sheetName val="KEL.9"/>
      <sheetName val="EXECUTIVE SUMMARY"/>
      <sheetName val="HARGA MINYAK &amp; KURS"/>
      <sheetName val="LAPORAN MINYAK"/>
      <sheetName val="LAPORAN GAS"/>
      <sheetName val="EBITDA"/>
      <sheetName val="C5 GABUNG"/>
      <sheetName val="FINDING COST"/>
      <sheetName val="ABI"/>
      <sheetName val="ABO"/>
      <sheetName val="KONS"/>
      <sheetName val="KONS BID P&amp;N"/>
      <sheetName val=" KONS BID PKP"/>
      <sheetName val="KR.AMPEL"/>
      <sheetName val="SANGATA-BUNYU"/>
      <sheetName val="LAHENDONG"/>
      <sheetName val="KP.DIT.HULU"/>
      <sheetName val="KP.PENGOLAHAN"/>
      <sheetName val="UPMS I MEDAN"/>
      <sheetName val="UPMS II PALEMBANG"/>
      <sheetName val="UPMS III JAKARTA"/>
      <sheetName val="UPMS IV SEMARANG"/>
      <sheetName val="UPMS V SBY"/>
      <sheetName val="UPMS VI B.PAPAN"/>
      <sheetName val="UPMS 7 MAKASAR"/>
      <sheetName val="UPMS 8 JAYAPURA"/>
      <sheetName val="KP P&amp;N"/>
      <sheetName val="DOK SORONG"/>
      <sheetName val="DOK SUSU"/>
      <sheetName val="KP PERKAPALAN"/>
      <sheetName val="DIT. MPS"/>
      <sheetName val="AMERIKA"/>
      <sheetName val="TOKYO"/>
      <sheetName val="ANAK PERUSAHAAN"/>
      <sheetName val="PT. PAS"/>
      <sheetName val="ELNUSA HRP"/>
      <sheetName val="ELNUSA TBK"/>
      <sheetName val="PATRA JASA"/>
      <sheetName val="TONGKANG"/>
      <sheetName val="DOK DUMAI"/>
      <sheetName val="RSPP"/>
      <sheetName val="PERTA OIL"/>
      <sheetName val="LNG"/>
      <sheetName val="sort by vessel &amp; port"/>
      <sheetName val="bunker"/>
      <sheetName val="perhitungan charter rate"/>
      <sheetName val="daftar kapal"/>
      <sheetName val="agust"/>
      <sheetName val="Compressed"/>
      <sheetName val="Depre"/>
      <sheetName val="Alocation"/>
      <sheetName val="CC BAM"/>
      <sheetName val="GL Account"/>
      <sheetName val="USER MANUAL"/>
      <sheetName val="smk_rspj"/>
      <sheetName val="smk_rspb"/>
      <sheetName val="smk_rspc"/>
      <sheetName val="smk_AKPER"/>
      <sheetName val="SMK_RSPbm"/>
      <sheetName val="Journal Set - AJE"/>
      <sheetName val="Table1"/>
      <sheetName val="LR Satelit"/>
      <sheetName val="PAU Korporat"/>
      <sheetName val="PAU Dropping-Sweeping"/>
      <sheetName val="Sumber Pendanaan"/>
      <sheetName val="Investasi 2008-2013"/>
      <sheetName val="Penyusutan 2009-2013"/>
      <sheetName val="Investasi 2009-2013 (Update)"/>
      <sheetName val="Rinci Pendapatan 2009-2013"/>
      <sheetName val="Ikhtisar LR 2009-2013"/>
      <sheetName val="Neraca 2009-2013"/>
      <sheetName val="Arus Kas 2009-2013"/>
      <sheetName val="Biaya April 05"/>
      <sheetName val="Rinci Pend (01 A)"/>
      <sheetName val="Rinci Pendapatan 2007 PT (01 C)"/>
      <sheetName val="KPI 05-07"/>
      <sheetName val="master-R L Des 09"/>
      <sheetName val="master-R L Peb 2010"/>
      <sheetName val="RINCIAN RL-2 (Master)"/>
      <sheetName val="master-R L RKAP 10 oke"/>
      <sheetName val="Rinci Pendapatan"/>
      <sheetName val="Labarugi Jenis Biaya"/>
      <sheetName val="master-gaji 2010 Oke"/>
      <sheetName val="Analisa Own Use"/>
      <sheetName val="Analisa Pend. Obat &amp; Alkes"/>
      <sheetName val="Neraca 2010"/>
      <sheetName val="Arus Kas (03 A)"/>
      <sheetName val="Target Laba"/>
      <sheetName val="Grafik Trend Laba"/>
      <sheetName val="Trend Laba Rugi"/>
      <sheetName val="Labarugi Pertamina Oke (01 B)"/>
      <sheetName val="L-R Pertamedika (01 B - 1)"/>
      <sheetName val="Kontrak (01 C - 1)"/>
      <sheetName val="Material (01 C - 2)"/>
      <sheetName val="Sundries (01 C - 3)"/>
      <sheetName val="Lainnya (01 C - 4)"/>
      <sheetName val="PAU RSPP Th 2008"/>
      <sheetName val="Investasi 09 "/>
      <sheetName val="Form Investasi 09 (Komisaris)"/>
      <sheetName val="Penilaian KPI Operasional"/>
      <sheetName val="KPI (Rumus)"/>
      <sheetName val="KPI (08)"/>
      <sheetName val="KPI Th 2009"/>
      <sheetName val="KPI 08 (Nop)"/>
      <sheetName val="KPI 2010"/>
      <sheetName val="KPI 10 (Jan)"/>
      <sheetName val="KPI 10 (Peb)"/>
      <sheetName val="KPI RSPC Peb 2010"/>
      <sheetName val="Breakdown KPI RSPC Th 2010"/>
      <sheetName val="KPI RSPC"/>
      <sheetName val="KPI RSPC Th 2010 (2)"/>
      <sheetName val="Grafik BOR Total"/>
      <sheetName val="Grafik BOR Total 1"/>
      <sheetName val="Grafik BOR Super VIP1"/>
      <sheetName val="Grafik BOR VIP"/>
      <sheetName val="Grafik BOR Kelas 1"/>
      <sheetName val="Grafik BOR Kelas 2"/>
      <sheetName val="Grafik BOR Kelas 3"/>
      <sheetName val="Grafik BOR Kamar Bayi"/>
      <sheetName val="Grafik BOR ICU"/>
      <sheetName val="Grafik Kunj HD"/>
      <sheetName val="Grafik HD Eselon Kunj Th 2007"/>
      <sheetName val="Grafik HD Eselon Kunj Th 2008"/>
      <sheetName val="Grafik HD Eselon Kunj Th 2009"/>
      <sheetName val="Grafik HD Eselon Kunj Rata2"/>
      <sheetName val="Grafik HD Eselon Pop Th 2007"/>
      <sheetName val="Grafik HD Eselon Pop Th 2008"/>
      <sheetName val="Grafik HD Eselon Pop Th 2009"/>
      <sheetName val="Grafik HD Eselon Pop Rata2"/>
      <sheetName val="Grafik AvLOS"/>
      <sheetName val="Grafik BTO"/>
      <sheetName val="Grafik TOI"/>
      <sheetName val="Grafik Jml TT 05-07"/>
      <sheetName val="Grafik Komposisi TT 05-07"/>
      <sheetName val="Grafik BOR 05-07"/>
      <sheetName val="Grafik AvLOS 05-07"/>
      <sheetName val="Grafik BTO 05-07"/>
      <sheetName val="Grafik TOI 05-07"/>
      <sheetName val="Grafik Kunj. HD 05-07"/>
      <sheetName val="Grafik Kunj. RJ P3 05-07"/>
      <sheetName val="Grafik Kunj. RI P3 05-07"/>
      <sheetName val="Grafik Komposisi Laba Rugi"/>
      <sheetName val="BOR 2007"/>
      <sheetName val="BOR 07"/>
      <sheetName val="BOR 2008"/>
      <sheetName val="BOR 2009"/>
      <sheetName val="Master Kunj &amp; Biaya"/>
      <sheetName val="Master HD"/>
      <sheetName val="PETUNJUK PENGISIAN"/>
      <sheetName val="lr_KAP"/>
      <sheetName val="Catatan umum"/>
      <sheetName val="WS Konsol"/>
      <sheetName val="BS_KORP"/>
      <sheetName val="lap keu ratio sistematis"/>
      <sheetName val="Piutang Hutang Istimewa"/>
      <sheetName val="Hutang Usaha Detail"/>
      <sheetName val="Kapitasi"/>
      <sheetName val="TOP_SALES"/>
      <sheetName val="Ratio Ringkas"/>
      <sheetName val="KPI BTP"/>
      <sheetName val="BExRepositorySheet"/>
      <sheetName val="BS - Monetary"/>
      <sheetName val="BS - Non Monetary - LC"/>
      <sheetName val="BS - Equity - TC"/>
      <sheetName val="BS - Non Monetary - TC"/>
      <sheetName val="P&amp;L - TC"/>
      <sheetName val="P&amp;L - lc"/>
      <sheetName val="Bank Liability"/>
      <sheetName val="Cash in Bank"/>
      <sheetName val="Deposit on Call"/>
      <sheetName val="Interest Expense"/>
      <sheetName val="AR_Billed - 3rd Party"/>
      <sheetName val="Billed - Related Party"/>
      <sheetName val="UnBilled - 3rd Party"/>
      <sheetName val="Unbilled - Related Party"/>
      <sheetName val="AP_Billed - 3rd Party "/>
      <sheetName val="AR_Other - 3rd Party"/>
      <sheetName val="3rd Party - Other"/>
      <sheetName val="Piutang Usaha Pihak III"/>
      <sheetName val="Unbilled"/>
      <sheetName val="Sheet Korporat"/>
      <sheetName val="P.L"/>
      <sheetName val="AJE RJE"/>
      <sheetName val="How to Guide"/>
      <sheetName val="Summary (3)"/>
      <sheetName val="BS "/>
      <sheetName val="BS  (2)"/>
      <sheetName val="BS Equity Item"/>
      <sheetName val="P&amp;L (2)"/>
      <sheetName val="PL-Original"/>
      <sheetName val="BS-Original"/>
      <sheetName val="PEND RSPC"/>
      <sheetName val="WSPIUTANG"/>
      <sheetName val="WSHUTANG"/>
      <sheetName val="Periode Laporan"/>
      <sheetName val="MASTER ARUSKAS"/>
      <sheetName val="ARUSKASS"/>
      <sheetName val="3al-Balance"/>
      <sheetName val="master-gaji"/>
      <sheetName val="master-neraca"/>
      <sheetName val="master-R L   2"/>
      <sheetName val="master-R L'09"/>
      <sheetName val="BOD"/>
      <sheetName val="EMPLOYEE"/>
      <sheetName val="KPI-RSPC"/>
      <sheetName val="penjelasan _old new"/>
      <sheetName val="SO-PIUTANG'09"/>
      <sheetName val="GAJI'09"/>
      <sheetName val="Labarugi 2010"/>
      <sheetName val="Neraca TH2009"/>
      <sheetName val="Labarugi TH2009"/>
      <sheetName val="AutoOpen Stub Data"/>
      <sheetName val="KEY IN"/>
      <sheetName val="Lamp 5 (1of3)"/>
      <sheetName val="Lamp-3"/>
      <sheetName val="FAI1"/>
      <sheetName val="FAI2"/>
      <sheetName val="FAI2L"/>
      <sheetName val="FAI4"/>
      <sheetName val="FAI5"/>
      <sheetName val="Sensiv"/>
      <sheetName val="Risk"/>
      <sheetName val="TemplateInformation"/>
      <sheetName val="arun"/>
      <sheetName val="dis_opexp_detail"/>
      <sheetName val="F.01"/>
      <sheetName val="PL MKT"/>
      <sheetName val="PL OPR"/>
      <sheetName val=" PL TOTAL"/>
      <sheetName val="MainMenu"/>
      <sheetName val="CompData"/>
      <sheetName val="EmpData"/>
      <sheetName val="SalJanJun"/>
      <sheetName val="SalJul"/>
      <sheetName val="SalAug"/>
      <sheetName val="SalSep"/>
      <sheetName val="SalOct"/>
      <sheetName val="SalNov"/>
      <sheetName val="SalDec"/>
      <sheetName val="1721"/>
      <sheetName val="1721-A"/>
      <sheetName val="1721-A1"/>
      <sheetName val="1721-B"/>
      <sheetName val="1721-C"/>
      <sheetName val="Buy"/>
      <sheetName val="DATA DARI SAP 4.6"/>
      <sheetName val="pivot all"/>
      <sheetName val="KOREKSI JURNAL BEGINING BALANCE"/>
      <sheetName val="pivot up 5"/>
      <sheetName val="A2100005"/>
      <sheetName val="BA DES 08"/>
      <sheetName val="HR Desember 2009"/>
      <sheetName val="DLL"/>
      <sheetName val="Pen Ner"/>
      <sheetName val="Ak Inv"/>
      <sheetName val="Kas &amp; Bank"/>
      <sheetName val="Mutasi Aktiva"/>
      <sheetName val="By. Tanaman"/>
      <sheetName val="IS(RINGKAS)"/>
      <sheetName val="DETAIL BS"/>
      <sheetName val="DETAIL IS"/>
      <sheetName val="DETAIL ACTIVITY"/>
      <sheetName val="TBA"/>
      <sheetName val="JOURNAL UMUM"/>
      <sheetName val="GL Okt"/>
      <sheetName val="Kas Kebun"/>
      <sheetName val="BRI"/>
      <sheetName val="Permata"/>
      <sheetName val="Kas Perwakilan"/>
      <sheetName val="Uang Muka HO"/>
      <sheetName val="Voucher Pengeluaran Bank"/>
      <sheetName val="Voucher Penerimaan Bank"/>
      <sheetName val="Voucher Penerimaan Kas"/>
      <sheetName val="Voucher Pengeluaran Kas"/>
      <sheetName val="Jurnal Memorial"/>
      <sheetName val="Laru"/>
      <sheetName val="TB_GAB"/>
      <sheetName val="TB_SAP"/>
      <sheetName val="CADSED"/>
      <sheetName val="AGING1"/>
      <sheetName val="PJKINI"/>
      <sheetName val="BUSAHA"/>
      <sheetName val="AnHPP"/>
      <sheetName val="4D"/>
      <sheetName val="4E"/>
      <sheetName val="6J"/>
      <sheetName val="10D"/>
      <sheetName val="10I"/>
      <sheetName val="AJE_SelKurs"/>
      <sheetName val="AJECOSTSAP"/>
      <sheetName val="AJEACTCOST"/>
      <sheetName val="Rek_PAU"/>
      <sheetName val="SelKurs"/>
      <sheetName val="BPlain"/>
      <sheetName val="BBOld"/>
      <sheetName val="BJold"/>
      <sheetName val="U2_2"/>
      <sheetName val="SALE FFI 2003"/>
      <sheetName val="SALE FFI 2003 (2)"/>
      <sheetName val="SALE FFI 2003 (3)"/>
      <sheetName val="WBS 1_MBI Consol"/>
      <sheetName val="For reporting"/>
      <sheetName val="Notes for reporting"/>
      <sheetName val="WPL Fiskal_MBI Consol"/>
      <sheetName val="WBS 2_MBI Consol"/>
      <sheetName val="WPL_MBI Consol"/>
      <sheetName val="Jurnal consol_Dec 2007"/>
      <sheetName val="OPEX_MBI Consol"/>
      <sheetName val="Detail for report"/>
      <sheetName val="Cash Flow Direct_MBI"/>
      <sheetName val="Cash Flow Direct_report_MBI"/>
      <sheetName val="retirement benefit"/>
      <sheetName val="des_06"/>
      <sheetName val="9E1_3"/>
      <sheetName val="Aging AR FRP"/>
      <sheetName val="Expense clasiffication-FRP"/>
      <sheetName val="Insurance-FRP"/>
      <sheetName val="Accrued-FRP"/>
      <sheetName val="Mngmnt Fee-FRP"/>
      <sheetName val="PM (Dec 31, 2006)"/>
      <sheetName val="A3.1"/>
      <sheetName val="A3.2"/>
      <sheetName val="A3.3"/>
      <sheetName val="C Memo"/>
      <sheetName val="C-5"/>
      <sheetName val="C-5.1"/>
      <sheetName val="C-5.2"/>
      <sheetName val="E-2.1 Aging-Summary"/>
      <sheetName val="F-3"/>
      <sheetName val="F-5"/>
      <sheetName val="REPORT 2"/>
      <sheetName val="REPORT 3"/>
      <sheetName val="OFF"/>
      <sheetName val="2009 Allocation"/>
      <sheetName val="Commitment"/>
      <sheetName val="1973"/>
      <sheetName val="1981"/>
      <sheetName val="Badak IV"/>
      <sheetName val="MCGC"/>
      <sheetName val="Badak III"/>
      <sheetName val="Badak VI"/>
      <sheetName val="Badak V"/>
      <sheetName val="Korea II"/>
      <sheetName val="Vessel Utilization"/>
      <sheetName val="balance 2011"/>
      <sheetName val="73 CCF"/>
      <sheetName val="73 DQT-MG-EQ"/>
      <sheetName val="81 CCF"/>
      <sheetName val="B IV"/>
      <sheetName val="B IV CCF"/>
      <sheetName val="MCGC CCF"/>
      <sheetName val="B VI"/>
      <sheetName val="B VI CCF"/>
      <sheetName val="B V"/>
      <sheetName val="B V CCF"/>
      <sheetName val="K II"/>
      <sheetName val="K II CCF"/>
      <sheetName val="CCF EP DP"/>
      <sheetName val="AAAAA"/>
      <sheetName val="EXIST"/>
      <sheetName val="REP"/>
      <sheetName val="REOP"/>
      <sheetName val="STIM"/>
      <sheetName val="KUPL"/>
      <sheetName val="BOR"/>
      <sheetName val="AOB"/>
      <sheetName val="AOT"/>
      <sheetName val="Chart-1"/>
      <sheetName val="Chart-2"/>
      <sheetName val="eakTG"/>
      <sheetName val="AREA"/>
      <sheetName val="EFFI"/>
      <sheetName val="Well Plan 1"/>
      <sheetName val="actual"/>
      <sheetName val="diagram"/>
      <sheetName val="36&quot;"/>
      <sheetName val="26&quot;"/>
      <sheetName val="17 12&quot;"/>
      <sheetName val="12 14&quot;"/>
      <sheetName val="8 12&quot;"/>
      <sheetName val="compl"/>
      <sheetName val="59"/>
      <sheetName val="58"/>
      <sheetName val="57"/>
      <sheetName val="56"/>
      <sheetName val="55"/>
      <sheetName val="53"/>
      <sheetName val="39"/>
      <sheetName val="37 rev"/>
      <sheetName val="36"/>
      <sheetName val="24 rev"/>
      <sheetName val="23 rev (2)"/>
      <sheetName val="23 rev"/>
      <sheetName val="Contents (full)"/>
      <sheetName val="Contents (model only)"/>
      <sheetName val="Sensitivities"/>
      <sheetName val="Market"/>
      <sheetName val="Postpaid"/>
      <sheetName val="Other revenues"/>
      <sheetName val="FinStats"/>
      <sheetName val="FinStats (Quarterly)"/>
      <sheetName val="FinStats (Semiannual)"/>
      <sheetName val="Mkt Comps"/>
      <sheetName val="Trans Comps"/>
      <sheetName val="WACC"/>
      <sheetName val="Val"/>
      <sheetName val="rekap rkap R2 (Rev-14Des05)"/>
      <sheetName val="rekap rkap R2 (Rev-14Des05) (2)"/>
      <sheetName val="REKAP_ABO_F7(14Des2005)"/>
      <sheetName val="REKAP_ABI_TOTAL(Revisi-14Des05)"/>
      <sheetName val="REKAP_ABI_ASET(Rev-14Des05)"/>
      <sheetName val="ABI_KMJ_NR(14Des2005)"/>
      <sheetName val="ABI_LHD_NR(14Des2005)"/>
      <sheetName val="ABI_PST(Revisi-14Des05)"/>
      <sheetName val="rekapABI2006(ktr pusat)"/>
      <sheetName val="ABI-asset2006 (ktr pst)"/>
      <sheetName val="ABI2006(LHD)"/>
      <sheetName val="ABI-JB-2006 (LHD)"/>
      <sheetName val="PROD-LHD"/>
      <sheetName val="ABI_KMJ(Revisi-14Des2005)"/>
      <sheetName val="ABI-JB-2006 (kmj)"/>
      <sheetName val="PROD-KMJ"/>
      <sheetName val="ABI_SBY(Revisi-14Des2005)"/>
      <sheetName val="ABI-JB-2006 (SBY)"/>
      <sheetName val="PROD-SBY"/>
      <sheetName val="well std 06cw lokasi ubl"/>
      <sheetName val="well std 06cw lokasi lmb"/>
      <sheetName val="well std 06"/>
      <sheetName val="ANGG &gt; 25 M"/>
      <sheetName val="lhd-nr-batal"/>
      <sheetName val="lhd r-batal"/>
      <sheetName val="ubl-lmb(pst r)-batal"/>
      <sheetName val="geoth R-batal"/>
      <sheetName val="ABI-Aset (2)-batal"/>
      <sheetName val="ABI-Aset-batal"/>
      <sheetName val="XXXXXXXXXXXXXXX"/>
      <sheetName val="SURIV_PJD_APKIR"/>
      <sheetName val="Profit Center"/>
      <sheetName val="ABI.2004.SAP-bener"/>
      <sheetName val="MA.PER.CC"/>
      <sheetName val="AUC Class"/>
      <sheetName val="Service Master"/>
      <sheetName val="Primary CE"/>
      <sheetName val="COST CENTER SBS"/>
      <sheetName val="ABI2004"/>
      <sheetName val="level2"/>
      <sheetName val="Form ABI.SAP "/>
      <sheetName val="BTG"/>
      <sheetName val="BTN"/>
      <sheetName val="GNK"/>
      <sheetName val="TLJ"/>
      <sheetName val="EPT"/>
      <sheetName val="EKS"/>
      <sheetName val="Pengembangan"/>
      <sheetName val="PMU"/>
      <sheetName val="TG"/>
      <sheetName val="Jasran"/>
      <sheetName val="Rekap (proyek)"/>
      <sheetName val="Rekap(Usul)"/>
      <sheetName val="Rekap(Real)"/>
      <sheetName val="03 VS 04"/>
      <sheetName val="Banding"/>
      <sheetName val="R-On Going"/>
      <sheetName val="On Going"/>
      <sheetName val="Migas"/>
      <sheetName val="RKAP-5"/>
      <sheetName val="RKAP-7"/>
      <sheetName val="RKAP-8"/>
      <sheetName val="RKAP-9"/>
      <sheetName val="RKAP-10"/>
      <sheetName val="Lifting"/>
      <sheetName val="STRK"/>
      <sheetName val="BAR-BOR"/>
      <sheetName val="BAR-ABO"/>
      <sheetName val="DATA INDUK"/>
      <sheetName val="KURVA"/>
      <sheetName val="FEB06"/>
      <sheetName val="TABULASI - 31.01.2006"/>
      <sheetName val="JANUARI06"/>
      <sheetName val="DESEMBER05"/>
      <sheetName val="JANUARI05"/>
      <sheetName val="GI JANUARI 05"/>
      <sheetName val="AS"/>
      <sheetName val="Summ"/>
      <sheetName val="Rev"/>
      <sheetName val="Costs"/>
      <sheetName val="Vol P1"/>
      <sheetName val="Vol P1+2"/>
      <sheetName val="MatBal(Ph2)"/>
      <sheetName val="WorkCap"/>
      <sheetName val="DCF"/>
      <sheetName val="Feedstock"/>
      <sheetName val="Capex&amp;Financing"/>
      <sheetName val="Base Vol"/>
      <sheetName val="INT"/>
      <sheetName val="Audited'99"/>
      <sheetName val="REKAPITULASI REGION SUMATERA"/>
      <sheetName val="PROYEKSI"/>
      <sheetName val="tanpa PHK"/>
      <sheetName val="ALL TANPA PHK"/>
      <sheetName val="cost center (per area)"/>
      <sheetName val="TABULASI all - 31.03.2006"/>
      <sheetName val="SUMATERA"/>
      <sheetName val="proyeksi mppk"/>
      <sheetName val="GAPOK"/>
      <sheetName val="TUNDA"/>
      <sheetName val="BANK TANSFER"/>
      <sheetName val="EXT.BANK TRANSFER"/>
      <sheetName val="usia"/>
      <sheetName val="BasePrice"/>
      <sheetName val="Price&amp;Vol"/>
      <sheetName val="Sensitivity"/>
      <sheetName val="Eco-BC"/>
      <sheetName val="Eco-SA"/>
      <sheetName val="Sim"/>
      <sheetName val="Economic-Balikpapan6"/>
      <sheetName val="CO22"/>
      <sheetName val="CO23"/>
      <sheetName val="CO24"/>
      <sheetName val="CO25"/>
      <sheetName val="QTY_2005-10"/>
      <sheetName val="QTY"/>
      <sheetName val="Premises(Original)"/>
      <sheetName val="Premises"/>
      <sheetName val="Material Balance"/>
      <sheetName val="P&amp;L(ROI)"/>
      <sheetName val="P&amp;L(ROE)"/>
      <sheetName val="Fund Flow(ROI)"/>
      <sheetName val="Fund Flow(ROE)"/>
      <sheetName val="Cash Flow(ROI)"/>
      <sheetName val="Cash Flow(ROE)"/>
      <sheetName val="Balance Sheet(ROI)"/>
      <sheetName val="Balance Sheet(ROE)"/>
      <sheetName val="Capex Breakdown"/>
      <sheetName val="Loading Rate"/>
      <sheetName val=" Capex&amp;Opex Inputs"/>
      <sheetName val="Detailed OPEX by Devon"/>
      <sheetName val="TABULASI"/>
      <sheetName val="FO4-DTL "/>
      <sheetName val="PVT.FO8.DTL"/>
      <sheetName val="FO.8-DTL "/>
      <sheetName val="PVT.FO.11.DTL"/>
      <sheetName val="FO.11-DTL  "/>
      <sheetName val="PVFO4"/>
      <sheetName val="pvfo8cc"/>
      <sheetName val="pvfo8l"/>
      <sheetName val="PVFO11"/>
      <sheetName val="PVFO11CC"/>
      <sheetName val="PVFO8"/>
      <sheetName val="PV LINE FO- 11"/>
      <sheetName val="PV CC FO-11"/>
      <sheetName val="Minyak-mitra"/>
      <sheetName val="1.85 fuel gas"/>
      <sheetName val="3.00 fuel gas"/>
      <sheetName val="FPU with 3.00 fuel"/>
      <sheetName val="Past LK"/>
      <sheetName val="InvRp&amp;$"/>
      <sheetName val="InvRp-$"/>
      <sheetName val="JSiar"/>
      <sheetName val="PB"/>
      <sheetName val="Jad"/>
      <sheetName val="Jangkauan"/>
      <sheetName val="Biaya Departemen"/>
      <sheetName val="Prod-04"/>
      <sheetName val="By Dist-05"/>
      <sheetName val="By-Dist-06"/>
      <sheetName val="Real-By"/>
      <sheetName val="Ihtisar Biaya"/>
      <sheetName val="COGM"/>
      <sheetName val="R-L"/>
      <sheetName val="Buku"/>
      <sheetName val="Jualton"/>
      <sheetName val="JualRp"/>
      <sheetName val="Biaya2"/>
      <sheetName val="Biayabln"/>
      <sheetName val="GasBumi"/>
      <sheetName val="Alokasi"/>
      <sheetName val="Kinerja"/>
      <sheetName val="NilaiTambah"/>
      <sheetName val="Komper"/>
      <sheetName val="Anper"/>
      <sheetName val="BybulanstlahDis"/>
      <sheetName val="PROLOSS"/>
      <sheetName val="CAFL "/>
      <sheetName val="L2"/>
      <sheetName val="IT related"/>
      <sheetName val="Work Program"/>
      <sheetName val="N1 List of AP Trade"/>
      <sheetName val="N1.1 AP list"/>
      <sheetName val="N4 SUREL"/>
      <sheetName val="0001"/>
      <sheetName val="L-R RKAP 2009 GAB FL (2)"/>
      <sheetName val="L-R RKAP 2009 GAB FL"/>
      <sheetName val="L-R RKAP 2009"/>
      <sheetName val="GABEXP-2009 (2)"/>
      <sheetName val="EXP-2009 PGK"/>
      <sheetName val="EXP-2009 DJB"/>
      <sheetName val="EXP-2009 TNJ"/>
      <sheetName val="EXP-2009 BTJ"/>
      <sheetName val="EXP-2009 BDO"/>
      <sheetName val="EXP-2009 PDG"/>
      <sheetName val="EXP-2009 PKU"/>
      <sheetName val="EXP-2009 MES"/>
      <sheetName val="EXP-2009 PNK"/>
      <sheetName val="EXP-2009 SMB"/>
      <sheetName val="EXP 2009 HLP"/>
      <sheetName val="EXP-2009 BSH"/>
      <sheetName val="EXP-2009 KPST"/>
      <sheetName val="GABEXP-2009"/>
      <sheetName val="GABEXP-2009 ATS NON ATS"/>
      <sheetName val="GABEXP-2009 Antara"/>
      <sheetName val="Rat audit PLB realis"/>
      <sheetName val="KAS 12 bdr"/>
      <sheetName val="KAS PGK-08"/>
      <sheetName val="KAS DJB-08"/>
      <sheetName val="KASTNJ-08"/>
      <sheetName val="KASBTJ-08"/>
      <sheetName val="KASBDO-08"/>
      <sheetName val="KASPDG-08"/>
      <sheetName val="KASPKU-08"/>
      <sheetName val="KASMES-08"/>
      <sheetName val="KASPNK-08"/>
      <sheetName val="KASSMB-08"/>
      <sheetName val="KASHLP-08"/>
      <sheetName val="KASCGK-08"/>
      <sheetName val="KASKPST-08"/>
      <sheetName val="KASGAB-08 OK"/>
      <sheetName val="KASGAB-08 Inv"/>
      <sheetName val="L-R 12 BANDARA "/>
      <sheetName val="NERACA 0812 CABANG "/>
      <sheetName val="Rat 07 12 BANDARA"/>
      <sheetName val="REKAP BNDING"/>
      <sheetName val="REKAP (9000)"/>
      <sheetName val="REKAP (9200)"/>
      <sheetName val="NERC 11"/>
      <sheetName val="INV-PGK"/>
      <sheetName val="PROD- PGK 11"/>
      <sheetName val="EXP-PGK"/>
      <sheetName val="ALAT PROD PGK-11"/>
      <sheetName val="SDM PGK 12"/>
      <sheetName val="Surat (2)"/>
      <sheetName val="LAMP I-1"/>
      <sheetName val="LAMP I-2"/>
      <sheetName val="LAMP II"/>
      <sheetName val="LAMP III"/>
      <sheetName val="LAMP IV"/>
      <sheetName val="LAMP V"/>
      <sheetName val="LAMP VI"/>
      <sheetName val="LAMP VII"/>
      <sheetName val="LAMP VIII"/>
      <sheetName val="LAMP IX"/>
      <sheetName val="LAMP X"/>
      <sheetName val="LAMP XI"/>
      <sheetName val="KODE REK"/>
      <sheetName val="KM"/>
      <sheetName val="BM"/>
      <sheetName val="BK"/>
      <sheetName val="Sales AERO"/>
      <sheetName val="Sales NON AERO"/>
      <sheetName val="BS-1"/>
      <sheetName val="BS-2"/>
      <sheetName val="CF-1"/>
      <sheetName val="PL-1"/>
      <sheetName val="PL-2"/>
      <sheetName val="CF-2"/>
      <sheetName val="jurgab"/>
      <sheetName val="RMB"/>
      <sheetName val="Jml CF"/>
      <sheetName val="Kd rek Sales"/>
      <sheetName val="=&gt;ANGGARAN"/>
      <sheetName val="Kode Angg"/>
      <sheetName val="KODE ANGG KAS"/>
      <sheetName val="KONSEP LR"/>
      <sheetName val="lapkas"/>
      <sheetName val="lapekp"/>
      <sheetName val="BB kode ANGG"/>
      <sheetName val="lapnec"/>
      <sheetName val="MEMO KOREKSI"/>
      <sheetName val="jurgab ANGG"/>
      <sheetName val="kpi 1"/>
      <sheetName val="kpi 2"/>
      <sheetName val="bdtu"/>
      <sheetName val="dvtul"/>
      <sheetName val="dvtut"/>
      <sheetName val="dntubu"/>
      <sheetName val="dntupt"/>
      <sheetName val="dntutl"/>
      <sheetName val="Agus"/>
      <sheetName val="Des I"/>
      <sheetName val="Buku Besar Tahunan"/>
      <sheetName val="RKA Prod"/>
      <sheetName val="RKA Eks"/>
      <sheetName val="Akuntansi"/>
      <sheetName val="Peng Biaya"/>
      <sheetName val="Eksploitasi"/>
      <sheetName val="Alat Produksi"/>
      <sheetName val="HARGA JALAN"/>
      <sheetName val="RAB &amp; Rekap Renov"/>
      <sheetName val="ANALISA Print"/>
      <sheetName val="Hitungan Ruang GM"/>
      <sheetName val="hitungan ADM"/>
      <sheetName val="Hitungan Kargo"/>
      <sheetName val="scedul"/>
      <sheetName val="Kuant dan Harga"/>
      <sheetName val="Anl Teknik"/>
      <sheetName val="LR ONLY ATS"/>
      <sheetName val="EXP CORP COBA2"/>
      <sheetName val="EXP APS"/>
      <sheetName val="EXP PGK"/>
      <sheetName val="EXP DJB"/>
      <sheetName val="EXP RHF"/>
      <sheetName val="EXP SIM"/>
      <sheetName val="EXP BDO"/>
      <sheetName val="EXP PDG"/>
      <sheetName val="EXP PKU"/>
      <sheetName val="EXP MES"/>
      <sheetName val="EXP PNK"/>
      <sheetName val="EXP SMB"/>
      <sheetName val="EXP HLP"/>
      <sheetName val="EXP BSH"/>
      <sheetName val="EXP PST"/>
      <sheetName val="EXP CORP"/>
      <sheetName val="LR CORP"/>
      <sheetName val="EXP CORP + APS"/>
      <sheetName val="REKAPAN DGN IFRS INDUK"/>
      <sheetName val="REKAPAN DGN IFRS KONSOLIDASI"/>
      <sheetName val="LR CORP + APS"/>
      <sheetName val="LR PST"/>
      <sheetName val="LR BSH"/>
      <sheetName val="LR HLP"/>
      <sheetName val="LR SMB II"/>
      <sheetName val="LR PNK"/>
      <sheetName val="LR MES"/>
      <sheetName val="LR PKU"/>
      <sheetName val="LR PDG"/>
      <sheetName val="LR BDO"/>
      <sheetName val="LR SIM"/>
      <sheetName val="LR RHF"/>
      <sheetName val="LR DJB"/>
      <sheetName val="LR PGK"/>
      <sheetName val="LR APS"/>
      <sheetName val="LR CORP COB"/>
      <sheetName val="LR KONS COB"/>
      <sheetName val="LR TREND CORP"/>
      <sheetName val="SewAlat"/>
      <sheetName val="SchA"/>
      <sheetName val="SchB"/>
      <sheetName val="SchC"/>
      <sheetName val="SchD"/>
      <sheetName val="KandLok"/>
      <sheetName val="daftar personil inti"/>
      <sheetName val="struktur organisasi"/>
      <sheetName val="SCHEDULE MATERIAL"/>
      <sheetName val="labour sched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DRUP (ASLI)"/>
      <sheetName val="H.bh"/>
      <sheetName val="OVH "/>
      <sheetName val="Pasir Koral"/>
      <sheetName val="OVH.Fab"/>
      <sheetName val="Anal. Pabrikasi"/>
      <sheetName val="Re 5"/>
      <sheetName val="Harga Mat "/>
      <sheetName val="IPA.5"/>
      <sheetName val="List.5"/>
      <sheetName val="Re 10"/>
      <sheetName val="List.10"/>
      <sheetName val="Re 20 "/>
      <sheetName val="Re Rev 20 "/>
      <sheetName val="20 Rev ssi gbr"/>
      <sheetName val="IPA.20"/>
      <sheetName val="List.20"/>
      <sheetName val="Re 30"/>
      <sheetName val="List.30"/>
      <sheetName val="Re 40"/>
      <sheetName val="Re 50"/>
      <sheetName val="Mobile Puslitbang"/>
      <sheetName val="Ha"/>
      <sheetName val="Las"/>
      <sheetName val="Anal.Fbrks"/>
      <sheetName val="HSD Fbrks"/>
      <sheetName val="h-013211-2"/>
      <sheetName val="작성기준"/>
      <sheetName val="Recovered_Sheet4"/>
      <sheetName val="Recovered_Sheet5"/>
      <sheetName val="Recovered_Sheet6"/>
      <sheetName val="20000"/>
      <sheetName val="30000"/>
      <sheetName val="NetSales"/>
      <sheetName val="topWBS2"/>
      <sheetName val="topWBS1"/>
      <sheetName val="Consolidated jurnal"/>
      <sheetName val="dtlE1"/>
      <sheetName val="TopPL"/>
      <sheetName val="dtlN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A4.1"/>
      <sheetName val="A4.2"/>
      <sheetName val="A4.3"/>
      <sheetName val="A4.4"/>
      <sheetName val="TB2012"/>
      <sheetName val="TB Oct"/>
      <sheetName val="A3 BS"/>
      <sheetName val="A3 IS "/>
      <sheetName val="SRM"/>
      <sheetName val="def.albert"/>
      <sheetName val="corp tax"/>
      <sheetName val="FS-oni"/>
      <sheetName val="A3-aft PPh21"/>
      <sheetName val="AJE-aft PPh21"/>
      <sheetName val="ML tax auria"/>
      <sheetName val="2-asi-00"/>
      <sheetName val="FCG, B but MF"/>
      <sheetName val="TIS Report Printscreen"/>
      <sheetName val="Gen Info"/>
      <sheetName val="Procedures"/>
      <sheetName val="Master Entries"/>
      <sheetName val="Master for Print"/>
      <sheetName val="Entries by Acct"/>
      <sheetName val="Entries for Tax"/>
      <sheetName val="Setup Sheet"/>
      <sheetName val="Compare"/>
      <sheetName val="BS Effect"/>
      <sheetName val="IS Effect"/>
      <sheetName val="Formulas&amp;Settings"/>
      <sheetName val="Tax Formulas"/>
      <sheetName val="Done Mssg Box"/>
      <sheetName val="K.1 FA Sum"/>
      <sheetName val="K.1.1 Predictive June'06"/>
      <sheetName val="K Lead May"/>
      <sheetName val="K.1 FA Sum May"/>
      <sheetName val="K.1.1 Predictive May'06"/>
      <sheetName val="bs_pl_mar_06_vs_jun_06"/>
      <sheetName val="WBSA report  "/>
      <sheetName val="WBSB report"/>
      <sheetName val="Adjustment "/>
      <sheetName val="CF-March'05"/>
      <sheetName val="CFnot used"/>
      <sheetName val="F 001"/>
      <sheetName val="F.100 "/>
      <sheetName val="F.200"/>
      <sheetName val="F.300 TACM "/>
      <sheetName val="F 400 INV TO"/>
      <sheetName val="F 500"/>
      <sheetName val="F.501"/>
      <sheetName val="F 502"/>
      <sheetName val="mutation "/>
      <sheetName val="VB.001"/>
      <sheetName val="VB 100 June 2"/>
      <sheetName val="VB 200 June2"/>
      <sheetName val="VB 300 June 2"/>
      <sheetName val="VB 300 May"/>
      <sheetName val="VB 100 June"/>
      <sheetName val="VB 200 June"/>
      <sheetName val="VB 300 June"/>
      <sheetName val="VB 400 June"/>
      <sheetName val="VB 500 June"/>
      <sheetName val="VB 100 May"/>
      <sheetName val="VB 200 May"/>
      <sheetName val="VB 400 May"/>
      <sheetName val="VB 100 March"/>
      <sheetName val="VB 200 March"/>
      <sheetName val="VB 300 March"/>
      <sheetName val="VB 400 March"/>
      <sheetName val="K 001"/>
      <sheetName val="K 100 Mar"/>
      <sheetName val="K 100 Feb"/>
      <sheetName val="K 100 Dec"/>
      <sheetName val="Mutation FA"/>
      <sheetName val="BS_PL as of Dec '08 &amp; as of Dec"/>
      <sheetName val="Prepaid 22"/>
      <sheetName val="Prepaid 25"/>
      <sheetName val="SKFLN"/>
      <sheetName val=" 2nd Q"/>
      <sheetName val="GL apr-mei"/>
      <sheetName val="GL Jun"/>
      <sheetName val="fisc depr 2nd"/>
      <sheetName val="Deferred tax-30%"/>
      <sheetName val="Allowance AP"/>
      <sheetName val="Sold Asset in 2009"/>
      <sheetName val="BS_PL Apr-Mei"/>
      <sheetName val="C Section"/>
      <sheetName val="bank CO"/>
      <sheetName val="F Memo"/>
      <sheetName val="F-Lead"/>
      <sheetName val="Ftest"/>
      <sheetName val="Frollforward"/>
      <sheetName val="Sales CO"/>
      <sheetName val="Purchase CO"/>
      <sheetName val="Frollforward (2)"/>
      <sheetName val="VB"/>
      <sheetName val="VB.1"/>
      <sheetName val="VB.2"/>
      <sheetName val="VC.1"/>
      <sheetName val="VC.2"/>
      <sheetName val="VC.3"/>
      <sheetName val="VC.4"/>
      <sheetName val="SALESDES_04"/>
      <sheetName val="DISCOUNT"/>
      <sheetName val="SALESAGT_04"/>
      <sheetName val="SALESJAN_04"/>
      <sheetName val="SALESFEB_04"/>
      <sheetName val="SALESMRT_04"/>
      <sheetName val="SALESAPR_04"/>
      <sheetName val="SALESMEI_04"/>
      <sheetName val="SALESJUNI_04"/>
      <sheetName val="SALESJULI_04"/>
      <sheetName val="SALESSEPT_04"/>
      <sheetName val="SALESOKT_04"/>
      <sheetName val="SALES OKT06"/>
      <sheetName val="SALESNOP_04"/>
      <sheetName val="Flow PSDH_306"/>
      <sheetName val="LEAD_UNIT_301"/>
      <sheetName val="SUPPORT PER KPH_302"/>
      <sheetName val="II M_307"/>
      <sheetName val="Setoran PSDH_303"/>
      <sheetName val="Supp_304"/>
      <sheetName val="Supp_305"/>
      <sheetName val="C.1 Cash on hand and in banks"/>
      <sheetName val="Confirmation"/>
      <sheetName val="C.2 Time deposit"/>
      <sheetName val="D. Notes Receivable"/>
      <sheetName val="D.1 NR"/>
      <sheetName val="D.2 Laverton"/>
      <sheetName val="E.ACCOUNT RECEVABLE"/>
      <sheetName val="I. Other receivable (payable)"/>
      <sheetName val="F. Inventories"/>
      <sheetName val="F.1 Test Pricing"/>
      <sheetName val="G.1 Advance to supplier"/>
      <sheetName val="G.2 Prepaid Exp"/>
      <sheetName val="G.3 Prepaid Taxes"/>
      <sheetName val="K Memo"/>
      <sheetName val="K.1 MOVEMENT"/>
      <sheetName val="K.1.1 SME"/>
      <sheetName val="K.1.1.1 TM"/>
      <sheetName val="K.1.1.2 BUILDINGS"/>
      <sheetName val="K.1.1.3 LAND.IMPVMT"/>
      <sheetName val="K.1.1.4 MACHINERY &amp; EQUIPMENT"/>
      <sheetName val="K.1.1.5 HEAVY EQP.&amp;VEHICLE"/>
      <sheetName val="K.1.1.6 OFF.EQUIP.&amp;FIXTURES"/>
      <sheetName val="K.1.1.7 CIP"/>
      <sheetName val="K.1.2 KKE"/>
      <sheetName val="K.1.2.1 TM"/>
      <sheetName val="K.1.2.2 TBM"/>
      <sheetName val="K.1.2.3 BUILDINGS"/>
      <sheetName val="K.1.2.4 LAND.IMPRVT."/>
      <sheetName val="K.1.2.5 MACHINERY &amp;EQUIP"/>
      <sheetName val="K.1.2.6 HEAVY EQUIP.&amp;VEHICLE"/>
      <sheetName val="K.1.2.7 OFF.EQUIP&amp;FIXTURE"/>
      <sheetName val="K.1.2.8 CIP"/>
      <sheetName val="K.1.3 SIE"/>
      <sheetName val="K.1.3.1 TM "/>
      <sheetName val="K.1.3.2 TBM"/>
      <sheetName val="K.1.3.3 BUILDINGS"/>
      <sheetName val="K.1.3.4 MACHINERY&amp;EQUIPT"/>
      <sheetName val="K.1.3.5 HEAVY EQUIP.&amp;VEHICLE"/>
      <sheetName val="K.1.3.6 OFF.EQUIP&amp;FIX"/>
      <sheetName val="K.1.3.7 CIP"/>
      <sheetName val="K.1.4 SMF"/>
      <sheetName val="K.1.4.1 BUILDINGS"/>
      <sheetName val="K.1.4.2 LAND.IMPRVT"/>
      <sheetName val="K.1.4.3 MACHINERY&amp;EQUIP"/>
      <sheetName val="K.1.4.4 HEAVY EQUIP.&amp;VEHICLE"/>
      <sheetName val="K.1.4.5 OFF.EQUIP"/>
      <sheetName val="K.1.4.6 CIP"/>
      <sheetName val="K2 Vouching"/>
      <sheetName val="J.1 Deffered Landright"/>
      <sheetName val="TBM  (3)"/>
      <sheetName val="CIP USD"/>
      <sheetName val="rekapSept"/>
      <sheetName val="bgn"/>
      <sheetName val="pra"/>
      <sheetName val="kend "/>
      <sheetName val="bengk."/>
      <sheetName val="air&amp;lis"/>
      <sheetName val="invent."/>
      <sheetName val="PASIVA"/>
      <sheetName val="PERUBAHAN EQUITAS"/>
      <sheetName val="Kertas Kerja Neraca_2007_PT"/>
      <sheetName val="AJP 2006"/>
      <sheetName val="Jurkor 2007"/>
      <sheetName val="Kertas Kerja Laba-Rugi_2007_PT"/>
      <sheetName val="AJP 2005"/>
      <sheetName val="Piutang Usaha_edited_PT"/>
      <sheetName val="Piutang Usaha_Sort_PT"/>
      <sheetName val="Asuransi_edited_PT"/>
      <sheetName val="Hutang_Edited_PT"/>
      <sheetName val="RJP 2006"/>
      <sheetName val="Pjk kini"/>
      <sheetName val="Pjk kini_2007_PT"/>
      <sheetName val="Pjk tangguhan"/>
      <sheetName val="Rekon pjk"/>
      <sheetName val="Capex Sum"/>
      <sheetName val="AAL"/>
      <sheetName val="IIS"/>
      <sheetName val="AARJ"/>
      <sheetName val="rsk"/>
      <sheetName val="aic"/>
      <sheetName val="CRITERIA3"/>
      <sheetName val="CCAI BOOK TEMPLATE"/>
      <sheetName val="CRITERIA1"/>
      <sheetName val="Formita"/>
      <sheetName val="Semangka"/>
      <sheetName val="CabeAGP-23"/>
      <sheetName val="CabeMas47 "/>
      <sheetName val="HPPKS"/>
      <sheetName val="CPO"/>
      <sheetName val="BO"/>
      <sheetName val="PENJ"/>
      <sheetName val="PENDPT"/>
      <sheetName val="SEL-KURS"/>
      <sheetName val="fix-ass"/>
      <sheetName val="Cab Utama"/>
      <sheetName val="KANPUS"/>
      <sheetName val="realjuli"/>
      <sheetName val="prakjuli"/>
      <sheetName val="KonPusat"/>
      <sheetName val="P-KebunXX"/>
      <sheetName val="Instruction"/>
      <sheetName val="All Sites"/>
      <sheetName val="Core Sites"/>
      <sheetName val="KPI All Sites"/>
      <sheetName val="KPI Dev All Sites"/>
      <sheetName val="KPI Dev Core Sites"/>
      <sheetName val="Site Details"/>
      <sheetName val="SiteBench"/>
      <sheetName val="BI Global"/>
      <sheetName val="Tabelle1"/>
      <sheetName val="MasterData"/>
      <sheetName val="Auxiliary"/>
      <sheetName val="ENG_101"/>
      <sheetName val="ENG-101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Module2"/>
      <sheetName val="Module3"/>
      <sheetName val="COA-17"/>
      <sheetName val="C-18"/>
      <sheetName val="별총"/>
      <sheetName val="갑지"/>
      <sheetName val="Kerja Tambah"/>
      <sheetName val="CKD 4x2"/>
      <sheetName val="CKD 3x2"/>
      <sheetName val="Civil 70 Light_4L"/>
      <sheetName val="Civil 70 Med_4L"/>
      <sheetName val="Civil 60 Light_4L"/>
      <sheetName val="Civil 60 Med_4L"/>
      <sheetName val="Civil 50 Light_3L"/>
      <sheetName val="Civil 50 Med_3L"/>
      <sheetName val="Civil 40 Light_3L"/>
      <sheetName val="Ev.  K &amp; N"/>
      <sheetName val="Ev.  K &amp; N (2)"/>
      <sheetName val="Bill of Quantity"/>
      <sheetName val="UP M"/>
      <sheetName val="MP IN"/>
      <sheetName val="MP-DR"/>
      <sheetName val="GT"/>
      <sheetName val="ST"/>
      <sheetName val="HRSG"/>
      <sheetName val="CWP"/>
      <sheetName val="RWWTP"/>
      <sheetName val="ASM"/>
      <sheetName val="Paint Insu"/>
      <sheetName val="RAB Price Summary"/>
      <sheetName val="HE"/>
      <sheetName val="Cons"/>
      <sheetName val="Safety"/>
      <sheetName val="Tem work"/>
      <sheetName val="SE"/>
      <sheetName val="GN"/>
      <sheetName val="Analisa mds"/>
      <sheetName val="RAB EQUIP SUM"/>
      <sheetName val="RAB EQUIP BREAK"/>
      <sheetName val="3_CV-Complete Vendor Part "/>
      <sheetName val="3_CV-Complete Vendor Part (실제가)"/>
      <sheetName val="MP-PLAN"/>
      <sheetName val="APBP (3)"/>
      <sheetName val="RABOP"/>
      <sheetName val="APBP (2)"/>
      <sheetName val="APBP"/>
      <sheetName val="REK_A"/>
      <sheetName val="Gd. A"/>
      <sheetName val="REK_B"/>
      <sheetName val="Gd. B"/>
      <sheetName val="REK_C"/>
      <sheetName val="Gd. C"/>
      <sheetName val="REK_D"/>
      <sheetName val="Gd. D"/>
      <sheetName val="POSISI ANALISA"/>
      <sheetName val="BAHAN Dekat"/>
      <sheetName val="pemancangan"/>
      <sheetName val="beton 2"/>
      <sheetName val="PEKERJAAN TANAH"/>
      <sheetName val="striping"/>
      <sheetName val="klass A"/>
      <sheetName val="INPUT MANPOWER"/>
      <sheetName val="Plan vs Actual"/>
      <sheetName val="steel structure (2)"/>
      <sheetName val="steel structure"/>
      <sheetName val="Two Week Sched"/>
      <sheetName val="Site Preparation"/>
      <sheetName val="Power Block"/>
      <sheetName val="Piling Work"/>
      <sheetName val="Acces"/>
      <sheetName val="SCHED FENC"/>
      <sheetName val="Prepara"/>
      <sheetName val="SHEET"/>
      <sheetName val="pILI"/>
      <sheetName val="Production Pile"/>
      <sheetName val="Delivery Pile"/>
      <sheetName val="09"/>
      <sheetName val="08"/>
      <sheetName val="07"/>
      <sheetName val="06"/>
      <sheetName val="05"/>
      <sheetName val="04"/>
      <sheetName val="03"/>
      <sheetName val="02"/>
      <sheetName val="T-3104"/>
      <sheetName val="Forecast"/>
      <sheetName val="Fax Rpt"/>
      <sheetName val="WP1"/>
      <sheetName val="cWBS"/>
      <sheetName val="PerfGraph"/>
      <sheetName val="PRG"/>
      <sheetName val="MPchart"/>
      <sheetName val="MP1"/>
      <sheetName val="EQPchart"/>
      <sheetName val="Pengalaman Per"/>
      <sheetName val="Dev 1 Biru"/>
      <sheetName val="Dev 2 Hijau"/>
      <sheetName val="Dev 2 w fin"/>
      <sheetName val="Cont Lengk 17"/>
      <sheetName val="Cont Lengk 18"/>
      <sheetName val="Organ-New"/>
      <sheetName val="DP Inti"/>
      <sheetName val="D Peralatan"/>
      <sheetName val="TDP"/>
      <sheetName val="SIUJK"/>
      <sheetName val="SIUP"/>
      <sheetName val="Domisili"/>
      <sheetName val="AKI"/>
      <sheetName val="GAPENSI"/>
      <sheetName val="KADIN"/>
      <sheetName val="Dev lengk (3)"/>
      <sheetName val="S Manaj"/>
      <sheetName val="P Modal"/>
      <sheetName val="Sch He"/>
      <sheetName val="15&amp;16&amp;17&amp;18"/>
      <sheetName val="Target"/>
      <sheetName val="Milestone"/>
      <sheetName val="Assign"/>
      <sheetName val="WP"/>
      <sheetName val="Org Chart"/>
      <sheetName val="Man Power &amp; Comp"/>
      <sheetName val="Man Power _ Comp"/>
      <sheetName val="Peralatan (2)"/>
      <sheetName val="Scope Erect Work"/>
      <sheetName val="sum lpg"/>
      <sheetName val="Anal-Pekerjaan"/>
      <sheetName val="Comp Compress"/>
      <sheetName val="MAIN EQUIPMENT LIST"/>
      <sheetName val="Local Portion"/>
      <sheetName val="MAIN EQUIPMENT-sell"/>
      <sheetName val="detail lpg "/>
      <sheetName val="Civil Works1"/>
      <sheetName val="guide"/>
      <sheetName val="milebase (6)"/>
      <sheetName val="안내"/>
      <sheetName val="Geaph (LGEN)"/>
      <sheetName val="Graph (LGEN)"/>
      <sheetName val="Graph (LGEN, 원가율 87%)"/>
      <sheetName val="Graph (LGEN+ Lurgi)"/>
      <sheetName val="Graph (Lurgi)"/>
      <sheetName val="Balance (이자계산,원가율 100%)"/>
      <sheetName val="Balance (이자계산,87%)"/>
      <sheetName val="Balance (이자계산,원가율 92%)"/>
      <sheetName val="in_progress"/>
      <sheetName val="milebase (5)"/>
      <sheetName val="out_prog"/>
      <sheetName val="선적schedule (2)"/>
      <sheetName val="선적schedule"/>
      <sheetName val="Milestone schedule"/>
      <sheetName val="Graph _LGEN_"/>
      <sheetName val="선적schedule _2_"/>
      <sheetName val="TIE-INS"/>
      <sheetName val="Payment_Cash Balance"/>
      <sheetName val="Summary Sheets"/>
      <sheetName val="Bend_fact "/>
      <sheetName val="Cost bd-&quot;A&quot;"/>
      <sheetName val="paint mat"/>
      <sheetName val="TO  MEST"/>
      <sheetName val="TABLE2-2 OSBL-(SITE PREP)"/>
      <sheetName val="CABLE BULK"/>
      <sheetName val="Module1 "/>
      <sheetName val="計算式"/>
      <sheetName val="POWER-s"/>
      <sheetName val="DB_ET200(R. A)"/>
      <sheetName val="DB_ET200(R. B)"/>
      <sheetName val="CABLE BOM(Rev. B)"/>
      <sheetName val="CABLE BOM(Rev. A)"/>
      <sheetName val="견적조건"/>
      <sheetName val="1.Total Summary"/>
      <sheetName val="3.1Summary "/>
      <sheetName val="3.2 Arch(BOQ)"/>
      <sheetName val="A.MATERIAL"/>
      <sheetName val="B. Labor"/>
      <sheetName val="C. EQUIPMENT"/>
      <sheetName val="3.3Temp"/>
      <sheetName val="5.1Summary "/>
      <sheetName val="5.2 Civil(BOQ)"/>
      <sheetName val="Ref. Equip"/>
      <sheetName val="Ref. Labor"/>
      <sheetName val="Ref.Material"/>
      <sheetName val="Ref.Remicon"/>
      <sheetName val="QUES "/>
      <sheetName val="八幡"/>
      <sheetName val="DEAE"/>
      <sheetName val="GAS"/>
      <sheetName val="GEN"/>
      <sheetName val="COP"/>
      <sheetName val="CHEM"/>
      <sheetName val="SAM"/>
      <sheetName val="DEM"/>
      <sheetName val="BLR5"/>
      <sheetName val="BLR4"/>
      <sheetName val="BLR3"/>
      <sheetName val="BLR2"/>
      <sheetName val="BLR 1"/>
      <sheetName val="CABLE BOM"/>
      <sheetName val="제1안"/>
      <sheetName val="제2안"/>
      <sheetName val="토공"/>
      <sheetName val="금액대비"/>
      <sheetName val="토공가실행"/>
      <sheetName val="APT물량"/>
      <sheetName val="BSD물량"/>
      <sheetName val="General Data"/>
      <sheetName val="BSD (2)"/>
      <sheetName val="사업부배부"/>
      <sheetName val="요약배부"/>
      <sheetName val="요약배부 (보고)"/>
      <sheetName val="요약배부 (보고) (2)"/>
      <sheetName val="배부부별"/>
      <sheetName val="배부비목"/>
      <sheetName val="배부기준체계"/>
      <sheetName val="배부기준설명"/>
      <sheetName val="예실차이"/>
      <sheetName val="예실차이 (2)"/>
      <sheetName val="내용분석(비율)"/>
      <sheetName val="임대원가"/>
      <sheetName val="기타매출"/>
      <sheetName val="기타매출1"/>
      <sheetName val="영업소실적"/>
      <sheetName val="새마을금고"/>
      <sheetName val="참고인원"/>
      <sheetName val="인원대비표"/>
      <sheetName val="사업부배부A"/>
      <sheetName val="노임"/>
      <sheetName val="97 사업추정(WEKI)"/>
      <sheetName val="단가"/>
      <sheetName val="Steam Generator &amp; Auxiliaries"/>
      <sheetName val="Steam turbine &amp; auxiliaries"/>
      <sheetName val="Chemical part"/>
      <sheetName val="Water supply"/>
      <sheetName val="Completed coal &amp; handling"/>
      <sheetName val="Piping "/>
      <sheetName val="Valve list"/>
      <sheetName val="HVAC"/>
      <sheetName val="Clar"/>
      <sheetName val="4.Price Summary"/>
      <sheetName val="COAL HANDLING"/>
      <sheetName val="7.2 Manning Plan ( Direct)"/>
      <sheetName val="Heavy Eq"/>
      <sheetName val="Site Exp"/>
      <sheetName val="BD Price"/>
      <sheetName val="DMDS"/>
      <sheetName val="4.11 COMMON(K)"/>
      <sheetName val="4.10 ASH(H)"/>
      <sheetName val="RAB Break"/>
      <sheetName val="RAB Summ"/>
      <sheetName val="2009 RAB(10 jam)"/>
      <sheetName val="부대공"/>
      <sheetName val="내역서간지"/>
      <sheetName val="내역서적용수량"/>
      <sheetName val="자재집계표"/>
      <sheetName val="부대공 주요자재 집계표"/>
      <sheetName val="수량산출서"/>
      <sheetName val="부대공 수량집계표"/>
      <sheetName val="교통표지"/>
      <sheetName val="교통표지판 규격별 집계표"/>
      <sheetName val="교통표지판 기초수량집계표"/>
      <sheetName val="교통표지판형황"/>
      <sheetName val="교통표지판기초"/>
      <sheetName val="시선유도표지판"/>
      <sheetName val="시선유도표지 수량집계표"/>
      <sheetName val="도로표지병 수량집계표"/>
      <sheetName val="차선도색"/>
      <sheetName val="차선도색 수량집계표"/>
      <sheetName val="본선"/>
      <sheetName val="중앙선 수량집계표"/>
      <sheetName val="중앙선 설치현황"/>
      <sheetName val="백색실선 수량집계표"/>
      <sheetName val="가장자리 백색실선 설치현황"/>
      <sheetName val="보도블럭"/>
      <sheetName val="보도블럭총괄수량"/>
      <sheetName val="표준구간보도블럭집계표"/>
      <sheetName val="보도블럭조서"/>
      <sheetName val="보도블럭단위수량"/>
      <sheetName val="변화구간 수량집계표"/>
      <sheetName val="보도블럭변화구간현황"/>
      <sheetName val="보도블럭변화단면(1)"/>
      <sheetName val="과속방지턱"/>
      <sheetName val="과속방지턱 집계"/>
      <sheetName val="단위수량"/>
      <sheetName val="데리네이타집계"/>
      <sheetName val="데리네이타현황"/>
      <sheetName val="표지"/>
      <sheetName val="수량집계"/>
      <sheetName val="가드레일현황"/>
      <sheetName val="가드레일"/>
      <sheetName val="중분대수량집계"/>
      <sheetName val="중분대집계"/>
      <sheetName val="중분대단위수량"/>
      <sheetName val="차과망집계"/>
      <sheetName val="차광망단위수량"/>
      <sheetName val="XXXXX0"/>
      <sheetName val="XXXXX1"/>
      <sheetName val="200000"/>
      <sheetName val="300000"/>
      <sheetName val="S.D"/>
      <sheetName val="RAB T"/>
      <sheetName val="MECH"/>
      <sheetName val="I&amp;C"/>
      <sheetName val="자 재 집 계"/>
      <sheetName val="Scope of Work"/>
      <sheetName val="BOQ1"/>
      <sheetName val="BOQ2"/>
      <sheetName val="BOQ3"/>
      <sheetName val="BOQ4"/>
      <sheetName val="Analisa LS"/>
      <sheetName val="An Minor"/>
      <sheetName val="Rekap Alat"/>
      <sheetName val="Rek Tnh"/>
      <sheetName val="Rek Tnh1"/>
      <sheetName val="No Item"/>
      <sheetName val="Rekap Vol"/>
      <sheetName val="List of Eqyuipment"/>
      <sheetName val="Eva SubTanah"/>
      <sheetName val="Basic Price Lamp"/>
      <sheetName val="PerbHarga"/>
      <sheetName val="LS Item"/>
      <sheetName val="ProdukAlat"/>
      <sheetName val="PDA"/>
      <sheetName val="Estimated CF"/>
      <sheetName val="BAU Proy"/>
      <sheetName val="AnaBetMortar"/>
      <sheetName val="Owning Cost"/>
      <sheetName val="Uraian Ringkas"/>
      <sheetName val="CheckList"/>
      <sheetName val="Daft 1.1"/>
      <sheetName val="Daft 1.2"/>
      <sheetName val="Own"/>
      <sheetName val="Daft 2.1"/>
      <sheetName val="Daft 3.1"/>
      <sheetName val="Daft 2.2"/>
      <sheetName val="Daft 2.3"/>
      <sheetName val="Daft 2.4"/>
      <sheetName val="Daft 2.5"/>
      <sheetName val="Daft 2.6"/>
      <sheetName val="Daft 2.7"/>
      <sheetName val="Daft 2.8"/>
      <sheetName val="Daft 2.9"/>
      <sheetName val="Daft 2.10"/>
      <sheetName val="Daft 3.2"/>
      <sheetName val="Daft 3.3"/>
      <sheetName val="Master Analisis"/>
      <sheetName val="NOV_DEC98"/>
      <sheetName val="BUDGET_1999"/>
      <sheetName val="9NOP98"/>
      <sheetName val="NDS96_2000"/>
      <sheetName val="Biaya Panen"/>
      <sheetName val="Produksi Inti"/>
      <sheetName val="1 HALAMAN DEPAN"/>
      <sheetName val="2 Rekap Panen"/>
      <sheetName val="3 NormaHK"/>
      <sheetName val="4 NormaTRUK"/>
      <sheetName val="5 Farm Traktor"/>
      <sheetName val="6 NORMA PANEN"/>
      <sheetName val="7 NORMA_HKPANEN"/>
      <sheetName val="8 NORMA HK KUTIP"/>
      <sheetName val="9 Norma Lansir"/>
      <sheetName val="10 Asumsi"/>
      <sheetName val="12 Prod 2008"/>
      <sheetName val="pLAN pROD 2008"/>
      <sheetName val="11 BUDGET PANEN"/>
      <sheetName val="electromotor"/>
      <sheetName val="pump&amp;fan"/>
      <sheetName val="INVESTASI (1)"/>
      <sheetName val="MAT-R.MILL"/>
      <sheetName val="MAT-PRESS"/>
      <sheetName val="MAT-SEPARATOR"/>
      <sheetName val="MAT-PURIFIER"/>
      <sheetName val="MAT-HYDROCYCLONE"/>
      <sheetName val="KPI (2)"/>
      <sheetName val="2002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HK Rawat"/>
      <sheetName val="Price List 2008Est"/>
      <sheetName val="NORMA PN"/>
      <sheetName val="Norma MN"/>
      <sheetName val="Norma TBM0"/>
      <sheetName val="PN"/>
      <sheetName val="MN"/>
      <sheetName val="LC Mekanis"/>
      <sheetName val="Infrastruktur"/>
      <sheetName val="TBM-0"/>
      <sheetName val="TBM-1"/>
      <sheetName val="TBM-2"/>
      <sheetName val="TBM-3"/>
      <sheetName val="RAB2008 Mineral"/>
      <sheetName val="LC(tidak dipakai)"/>
      <sheetName val="Norma LC (tidak dipakai)"/>
      <sheetName val="pl-cy ai"/>
      <sheetName val="coe detil 2003"/>
      <sheetName val="coe detil 2003 (2)"/>
      <sheetName val="coe detil 2003 (r 0)"/>
      <sheetName val="COE (r 1)"/>
      <sheetName val="JANUARI 1"/>
      <sheetName val="JANUARI 2"/>
      <sheetName val="dosis pupuk"/>
      <sheetName val="taksasi prod"/>
      <sheetName val="rab94"/>
      <sheetName val="rab95"/>
      <sheetName val="rab98"/>
      <sheetName val="FISIK RAB 2000"/>
      <sheetName val="FISIK BARU"/>
      <sheetName val="BIAYA RAB 2000"/>
      <sheetName val="NON TANAMAN"/>
      <sheetName val="BBB JAMBI"/>
      <sheetName val="KSE JAMBI"/>
      <sheetName val="PLASMA1 KSE"/>
      <sheetName val="PLASMA2 KSE"/>
      <sheetName val="BQ-PROD"/>
      <sheetName val="SCOPE (2)"/>
      <sheetName val="LG-Partition"/>
      <sheetName val="UG Partitions"/>
      <sheetName val="2F Partitions"/>
      <sheetName val="3F-5F Partitions"/>
      <sheetName val="PH Partitions"/>
      <sheetName val="Mach. rm. Partn."/>
      <sheetName val="Sound System"/>
      <sheetName val="HARSAT SIPIL "/>
      <sheetName val="TATA UDARA AC "/>
      <sheetName val="TELEPON FAX DAN PABX"/>
      <sheetName val="Penangkal Petir"/>
      <sheetName val="Instal Penanggulangan Kebakaran"/>
      <sheetName val="Interior"/>
      <sheetName val="Pek sarana-prasarana"/>
      <sheetName val="Pek pembuatan jalan "/>
      <sheetName val="Pemb. taman"/>
      <sheetName val="Bak penampung "/>
      <sheetName val="Pembuatan Papan nama"/>
      <sheetName val="Tempat Parkir"/>
      <sheetName val="4000"/>
      <sheetName val="5000"/>
      <sheetName val="SERTIFIKAT PEMBAYARAN"/>
      <sheetName val="REKAPITULASI SERTIFIKAT"/>
      <sheetName val="B A Termin-I"/>
      <sheetName val="AHS A40  (2)"/>
      <sheetName val="AHS A40 "/>
      <sheetName val="AHS A45"/>
      <sheetName val="AHS A50"/>
      <sheetName val="AHS A55"/>
      <sheetName val="AHS A60"/>
      <sheetName val="LIST COMPONENT"/>
      <sheetName val="A-40"/>
      <sheetName val="A-45"/>
      <sheetName val="A-50"/>
      <sheetName val="A-55"/>
      <sheetName val="A-60"/>
      <sheetName val="weight - btu"/>
      <sheetName val="Erection"/>
      <sheetName val="Pengadaan"/>
      <sheetName val="B D AA6"/>
      <sheetName val="B D BB6"/>
      <sheetName val="B D CC6"/>
      <sheetName val="B D DD6"/>
      <sheetName val="ubay"/>
      <sheetName val="sept 01-07"/>
      <sheetName val="NRCPTK01"/>
      <sheetName val="NRCKTP01"/>
      <sheetName val="NRCPTS01"/>
      <sheetName val="NRCSKW01"/>
      <sheetName val="NRCSGU01"/>
      <sheetName val="NRC-STG"/>
      <sheetName val="NRCSBS01"/>
      <sheetName val="Dialog"/>
      <sheetName val="Factor"/>
      <sheetName val="Container"/>
      <sheetName val="GenlistHI"/>
      <sheetName val="Genlist RPTL DES'03"/>
      <sheetName val="GenlistLO"/>
      <sheetName val="Genlist RPTL SEP'03"/>
      <sheetName val="Inv_NAD"/>
      <sheetName val="Inv_SUMUT"/>
      <sheetName val="Inv_RIAU"/>
      <sheetName val="Inv_SUMBAR"/>
      <sheetName val="Inv_S2JB"/>
      <sheetName val="Inv_LAMPUNG"/>
      <sheetName val="Inv_BABEL"/>
      <sheetName val="Inv_KITLUR SUMBAGUT"/>
      <sheetName val="Inv_KITLUR SUMBAGSEL"/>
      <sheetName val="Summary SUMATRA"/>
      <sheetName val="Inv_KALBAR"/>
      <sheetName val="Inv_KALTIM"/>
      <sheetName val="Inv_KALSELTENG"/>
      <sheetName val="Summary KALIMANTAN"/>
      <sheetName val="Inv_SULUTENGGO"/>
      <sheetName val="Inv_SULSELRA"/>
      <sheetName val="Summary SULAWESI"/>
      <sheetName val="Inv_NTB"/>
      <sheetName val="Inv_NTT"/>
      <sheetName val="Inv_MALUKU"/>
      <sheetName val="Module5"/>
      <sheetName val="Inv_PAPUA"/>
      <sheetName val="Inv_OUTSIDE JAVA"/>
      <sheetName val="Summary LUAR JAWA"/>
      <sheetName val="KMS-DIS5"/>
      <sheetName val="Amandemen-2004"/>
      <sheetName val="Selisih Prod"/>
      <sheetName val="NerSubsis"/>
      <sheetName val="Sw&amp;Bl"/>
      <sheetName val="Tap2006"/>
      <sheetName val="SelCpy"/>
      <sheetName val="rkap2007"/>
      <sheetName val="TaraKalor"/>
      <sheetName val="Chek"/>
      <sheetName val="kCal"/>
      <sheetName val="HitBln"/>
      <sheetName val="BBkr"/>
      <sheetName val="Jelas"/>
      <sheetName val="LR_F"/>
      <sheetName val="Arus_Kas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Neraca Changes"/>
      <sheetName val="Laba Rugi Changes"/>
      <sheetName val="Investasi Changes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TUL III-09"/>
      <sheetName val="FAKTORMWHJUAL (2)"/>
      <sheetName val="FAKTORMWHJUAL"/>
      <sheetName val="Submission Form"/>
      <sheetName val="Feuil2"/>
      <sheetName val="ANALISABBM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datLR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FUNGSI"/>
      <sheetName val="Rp.kWh"/>
      <sheetName val="L3"/>
      <sheetName val="L5"/>
      <sheetName val="L7"/>
      <sheetName val="L8"/>
      <sheetName val="L9"/>
      <sheetName val="ONK"/>
      <sheetName val="PembelianL"/>
      <sheetName val="SewaDL"/>
      <sheetName val="HAR"/>
      <sheetName val="HRT1"/>
      <sheetName val="L11PEG"/>
      <sheetName val="datPEG"/>
      <sheetName val="L12ADM"/>
      <sheetName val="ADM05"/>
      <sheetName val="BDOP"/>
      <sheetName val="BDOP1"/>
      <sheetName val="datBDOP"/>
      <sheetName val="DLOP"/>
      <sheetName val="DLOP1"/>
      <sheetName val="L21"/>
      <sheetName val="INF-UN"/>
      <sheetName val="datpen"/>
      <sheetName val="L4"/>
      <sheetName val="DATAVARIABEL"/>
      <sheetName val="SPDN"/>
      <sheetName val="PEREQ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Pendukung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sfc&amp;hrgbbm"/>
      <sheetName val="biayabbm"/>
      <sheetName val="penjualantl"/>
      <sheetName val="neracatlub"/>
      <sheetName val="neracatl"/>
      <sheetName val="lkbiayabbm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MK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 UNIT 1"/>
      <sheetName val="RIP 1"/>
      <sheetName val="RKAI 1"/>
      <sheetName val="RISD 1"/>
      <sheetName val="RIP"/>
      <sheetName val="RKAI"/>
      <sheetName val="DAF PROY"/>
      <sheetName val="By Non HPP"/>
      <sheetName val="Beban-Usaha"/>
      <sheetName val="LK2004"/>
      <sheetName val="DPN"/>
      <sheetName val="AT 2004"/>
      <sheetName val="Biaya&amp;NrcKWh"/>
      <sheetName val="NE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JATIM"/>
      <sheetName val="JABAR"/>
      <sheetName val="dki"/>
      <sheetName val="P3B"/>
      <sheetName val="GABDIS"/>
      <sheetName val="LMK"/>
      <sheetName val="JASDIK"/>
      <sheetName val="PENGUS"/>
      <sheetName val="DAK"/>
      <sheetName val="PJB1"/>
      <sheetName val="PJB2"/>
      <sheetName val="ANAK"/>
      <sheetName val="USAHA"/>
      <sheetName val="BBM-PLMS"/>
      <sheetName val="KOTA"/>
      <sheetName val="LUAR_KOTA"/>
      <sheetName val="SEWA-KWH"/>
      <sheetName val="BELI-KWH"/>
      <sheetName val="BP&amp;UJL"/>
      <sheetName val="10 Indikator"/>
      <sheetName val="Value-Added"/>
      <sheetName val="LK-1"/>
      <sheetName val="LK-1.1"/>
      <sheetName val="LK-1.2"/>
      <sheetName val="LK-1.3"/>
      <sheetName val="LK-1.4"/>
      <sheetName val="LK-1.5"/>
      <sheetName val="LK-1.6"/>
      <sheetName val="LK-1.7"/>
      <sheetName val="LK-2"/>
      <sheetName val="Periode"/>
      <sheetName val="DaftarIsi"/>
      <sheetName val="NRC-Unit"/>
      <sheetName val="LRU-Unit"/>
      <sheetName val="Perubahan Baru"/>
      <sheetName val="L-R"/>
      <sheetName val="PerhitunganKinKeu_kit"/>
      <sheetName val="target_penunjang"/>
      <sheetName val="target_kit"/>
      <sheetName val="kali-2000"/>
      <sheetName val="kali-2001"/>
      <sheetName val="THR "/>
      <sheetName val="Kontrol"/>
      <sheetName val="JurnalDKP"/>
      <sheetName val="ReklasH"/>
      <sheetName val="ReklasKons"/>
      <sheetName val="ReklasAnak"/>
      <sheetName val="Utpiut"/>
      <sheetName val="LRUNIT"/>
      <sheetName val="laba-rugi-pst"/>
      <sheetName val="nrc~ttd"/>
      <sheetName val="lr~trw"/>
      <sheetName val="laba-rugi-pst-PER-TRW"/>
      <sheetName val="LR-1"/>
      <sheetName val="nrctrw"/>
      <sheetName val="LR-5"/>
      <sheetName val="NRC-5"/>
      <sheetName val="KIT"/>
      <sheetName val="penjTL"/>
      <sheetName val="pendTL"/>
      <sheetName val="juaL"/>
      <sheetName val="Pend. BP"/>
      <sheetName val="Pend LL"/>
      <sheetName val="ikh"/>
      <sheetName val="sewa"/>
      <sheetName val="bbm1"/>
      <sheetName val="har-Ins"/>
      <sheetName val="har-Sar"/>
      <sheetName val="har-sar1"/>
      <sheetName val="PEG1"/>
      <sheetName val="adm1"/>
      <sheetName val="PENYU"/>
      <sheetName val="pendby"/>
      <sheetName val="pen-l-usaha"/>
      <sheetName val="kasimp"/>
      <sheetName val="CF-2007"/>
      <sheetName val="V-ADID"/>
      <sheetName val="EKUITY"/>
      <sheetName val="pelumas"/>
      <sheetName val="mat~har"/>
      <sheetName val="mat~pdp"/>
      <sheetName val="lingkungan"/>
      <sheetName val="lhe"/>
      <sheetName val="ikhfungsi"/>
      <sheetName val="LR-3"/>
      <sheetName val="LK-RINCI"/>
      <sheetName val="NRC-1"/>
      <sheetName val="nrc~rinc"/>
      <sheetName val="NRC-3"/>
      <sheetName val="Pend."/>
      <sheetName val="beli"/>
      <sheetName val="SUMBER-DANA"/>
      <sheetName val="Peny"/>
      <sheetName val="CFAT"/>
      <sheetName val="CASF FLOW"/>
      <sheetName val="KINERJA1"/>
      <sheetName val="kinerja2"/>
      <sheetName val="kinerja3"/>
      <sheetName val="Receipt"/>
      <sheetName val="Neraca Daya Sis TNT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ID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  <sheetName val="20607"/>
      <sheetName val="REK. DISB"/>
      <sheetName val="FORM.A3 KIT"/>
      <sheetName val="FORM.A3 TL"/>
      <sheetName val="MURNI"/>
      <sheetName val="RESUME FORM.A3"/>
      <sheetName val="mix luncuran 2008Rev (3)"/>
      <sheetName val="Prioritas"/>
      <sheetName val="Acuan SK"/>
      <sheetName val="Hitung Tarif Grade Baru"/>
      <sheetName val="Hitung P1 dan P2 Final"/>
      <sheetName val="Acuan Peg Baru S2-S1-D3-D1"/>
      <sheetName val="Prediksi"/>
      <sheetName val="Cuti Tahunan"/>
      <sheetName val="Cuti Besar"/>
      <sheetName val="2 Windu"/>
      <sheetName val="3 Windu"/>
      <sheetName val="4 Windu"/>
      <sheetName val="Data Pensiun"/>
      <sheetName val="Pens. Normal "/>
      <sheetName val="ACUAN"/>
      <sheetName val="Tarif Grade"/>
      <sheetName val="Tarif Grade Transisi"/>
      <sheetName val="Tj. Posisi"/>
      <sheetName val="Cuti Thn"/>
      <sheetName val="Cuti Bsr"/>
      <sheetName val="Dua Windu"/>
      <sheetName val="Tiga Windu"/>
      <sheetName val="Empat Windu"/>
      <sheetName val="THR 1"/>
      <sheetName val="Iur Pem Kerja"/>
      <sheetName val="Biaya Psrta &amp; Diklat"/>
      <sheetName val="Pkaian Dinas"/>
      <sheetName val="Perawatan Kesehatan"/>
      <sheetName val="Premi Piket"/>
      <sheetName val="Uang Lmbur"/>
      <sheetName val="Uang Mkn Lmbur"/>
      <sheetName val="BPFP (Utk Peg.yg Mutasi)"/>
      <sheetName val="Biaya Kepeg. Lainnya"/>
      <sheetName val="Data THR"/>
      <sheetName val="Rangkuman Data"/>
      <sheetName val="Angg 2010 Tahunan FINAL"/>
      <sheetName val="Angg 2010 Trw. FINAL"/>
      <sheetName val="Angg 2010 Bulanan FINAL"/>
      <sheetName val="THR Baru"/>
      <sheetName val="Data THR-1"/>
      <sheetName val="TUL309"/>
      <sheetName val="TSEGARA"/>
      <sheetName val="RANI"/>
      <sheetName val="TAIS"/>
      <sheetName val="MANNA"/>
      <sheetName val="KPH"/>
      <sheetName val="MAMAN"/>
      <sheetName val="ARMA"/>
      <sheetName val="MUKO"/>
      <sheetName val="BINTUHAN"/>
      <sheetName val="eval "/>
      <sheetName val="kwh"/>
      <sheetName val="REKAP_REKG"/>
      <sheetName val="GAB"/>
      <sheetName val="muko2"/>
      <sheetName val="OMZET "/>
      <sheetName val="MAP PERBULAN"/>
      <sheetName val="TEKNIK"/>
      <sheetName val="NON TEKNIK"/>
      <sheetName val="Evaluasi Teknik"/>
      <sheetName val="Evaluasi Non Teknik"/>
      <sheetName val="Perhitungan Saving"/>
      <sheetName val="POS 62"/>
      <sheetName val="POS 544"/>
      <sheetName val="CabangJambi"/>
      <sheetName val="EstCabangJambi 2005"/>
      <sheetName val="calcJMB2006"/>
      <sheetName val="calcJMB2005"/>
      <sheetName val="bbi2000"/>
      <sheetName val="Perubahan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UtPiut-Anak"/>
      <sheetName val="DaftarBP"/>
      <sheetName val="HutBank-3"/>
      <sheetName val="UtBiProy"/>
      <sheetName val="UtangUsh"/>
      <sheetName val="UmurUtang"/>
      <sheetName val="UtangValas"/>
      <sheetName val="IuranPsPK"/>
      <sheetName val="UT-Pajak"/>
      <sheetName val="HutLain"/>
      <sheetName val="UtangBiaya"/>
      <sheetName val="JualGTarif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KWh"/>
      <sheetName val="KOR-PAJAK"/>
      <sheetName val="KKIN"/>
      <sheetName val="LKIN"/>
      <sheetName val="AkumAT"/>
      <sheetName val="TambahAT"/>
      <sheetName val="RinciSTP-Ush"/>
      <sheetName val="LawanKorAT"/>
      <sheetName val="PDP"/>
      <sheetName val="PDPKonstruksi"/>
      <sheetName val="PDPMaterial"/>
      <sheetName val="MutasiMaterial"/>
      <sheetName val="PDPPembMuka"/>
      <sheetName val="BiInves-Ikhtisar"/>
      <sheetName val="BiInves-Peg"/>
      <sheetName val="BIinves-OVH"/>
      <sheetName val="STP-PI"/>
      <sheetName val="LawanPDP"/>
      <sheetName val="ATTB"/>
      <sheetName val="AkumATTB"/>
      <sheetName val="RELOK-AT"/>
      <sheetName val="ATBM"/>
      <sheetName val="ReInKit"/>
      <sheetName val="ReInTran"/>
      <sheetName val="ReinDis"/>
      <sheetName val="PokokPJP"/>
      <sheetName val="PPJP-Valas"/>
      <sheetName val="Bikapsir"/>
      <sheetName val="PokokJPJT"/>
      <sheetName val="PokokJPJTValas"/>
      <sheetName val="BikapsirJT"/>
      <sheetName val="HutBunga"/>
      <sheetName val="HutBungaValas"/>
      <sheetName val="Gangguan S.D Juli 10 (2)"/>
      <sheetName val="Gangguan S.D Juli 10 (3)"/>
      <sheetName val="DISBURSE SIDANG"/>
      <sheetName val="DISBURSE PER BULAN"/>
      <sheetName val="SKI-kontrak (3)"/>
      <sheetName val="SKI-kontrak (2)"/>
      <sheetName val="SKI-kontrak"/>
      <sheetName val="TRS"/>
      <sheetName val="TRS (2)"/>
      <sheetName val="R-BULANAN"/>
      <sheetName val="FORM A2-APLN"/>
      <sheetName val="FORM A1-APLN"/>
      <sheetName val="ANGGARAN (PAGU)"/>
      <sheetName val="DISBURSE (PAGU)"/>
      <sheetName val="NR BULANAN"/>
      <sheetName val="triwulan"/>
      <sheetName val="FORM A3-APLN"/>
      <sheetName val="LUNCURAN 2009"/>
      <sheetName val="MINTASKI-288"/>
      <sheetName val="FORM-A3 FINAL (sesuai pagu)"/>
      <sheetName val="FORM-A3 FINAL(kebutuhan)"/>
      <sheetName val="SKI-(FINAL M)"/>
      <sheetName val="FORM-A3 FINAL(khusus trans) (2)"/>
      <sheetName val="FORM-A3 FINAL(khusus trans) "/>
      <sheetName val="FORM A3-APLN (PERCEPATAN)"/>
      <sheetName val="FORM A3-APLN "/>
      <sheetName val="FORM A3-APBN"/>
      <sheetName val="FORM-A4-APBN"/>
      <sheetName val="FORM A3-SLA"/>
      <sheetName val="FORM-A4-SLA"/>
      <sheetName val="REKAP RKAP "/>
      <sheetName val="RAB Global"/>
      <sheetName val="Rek. RAP Total"/>
      <sheetName val="RAP Total"/>
      <sheetName val="Rek. Thp I + Thp II"/>
      <sheetName val="Rek. Thp I"/>
      <sheetName val="RAP Thp I"/>
      <sheetName val="Rek. Thp II"/>
      <sheetName val="RAP Thp II"/>
      <sheetName val="TV"/>
      <sheetName val="fire alarm dipakai"/>
      <sheetName val="Gas Medis"/>
      <sheetName val="CCTV dipakai"/>
      <sheetName val="Gensetdipakai"/>
      <sheetName val="IPALdipakai"/>
      <sheetName val="Rek.IPAL"/>
      <sheetName val="Rinc.IPAL"/>
      <sheetName val="anal btn"/>
      <sheetName val="Tandon"/>
      <sheetName val="Interpolasi"/>
      <sheetName val="Pemat.Lahan Gudang"/>
      <sheetName val="Pemat. Lahan Office"/>
      <sheetName val="Rek. Gudang"/>
      <sheetName val="Rinc. Gudang"/>
      <sheetName val="Rek. Office"/>
      <sheetName val="Rinc. Office"/>
      <sheetName val="Rinc. R. Genset"/>
      <sheetName val="Rinc. Struktur"/>
      <sheetName val="Rinci Ars"/>
      <sheetName val="Rek. Total"/>
      <sheetName val="Estimasi pake"/>
      <sheetName val="Interpolasi RAB Usulan"/>
      <sheetName val="RAB Usulan "/>
      <sheetName val="RekTot"/>
      <sheetName val="Rek Studio A"/>
      <sheetName val="Rinci Studio A"/>
      <sheetName val="Hitung R. Studio"/>
      <sheetName val="RekB"/>
      <sheetName val="RinciB"/>
      <sheetName val="RekC"/>
      <sheetName val="RinciC"/>
      <sheetName val="Hitung Volume"/>
      <sheetName val="Harga Bahan 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Daf Harga"/>
      <sheetName val="An_ Harga"/>
      <sheetName val="INSTALASI ME "/>
      <sheetName val="KM&amp;WC musolla"/>
      <sheetName val="KM&amp;WC 2bh"/>
      <sheetName val="KM&amp;WC 3 bh"/>
      <sheetName val="PAGAR DEPAN"/>
      <sheetName val="PAGAR SAMP &amp; BEL"/>
      <sheetName val="DEPO SAMPAH"/>
      <sheetName val="LOS LESEHAN"/>
      <sheetName val="KIOS SAMPING"/>
      <sheetName val="INSTALASI ME KIOS"/>
      <sheetName val="산근"/>
      <sheetName val="UnitR"/>
      <sheetName val="Group"/>
      <sheetName val="SPM062"/>
      <sheetName val="MOW 45%"/>
      <sheetName val="MOS 55%"/>
      <sheetName val="Urai__Resap_pengikat"/>
      <sheetName val="B___Norelec"/>
      <sheetName val="mat-me_pipa"/>
      <sheetName val="Isolasi_Luar_Dalam"/>
      <sheetName val="Isolasi_Luar"/>
      <sheetName val="Bill_No_6_Koord___Attendance"/>
      <sheetName val="H_BHN"/>
      <sheetName val="covere"/>
      <sheetName val="WH-Rev"/>
      <sheetName val="WMS-INT"/>
      <sheetName val=" UPAH"/>
      <sheetName val="Harga ME "/>
      <sheetName val="GIAVLIEU"/>
      <sheetName val="XM"/>
      <sheetName val="NC"/>
      <sheetName val="LINHTINH"/>
      <sheetName val="PTDG"/>
      <sheetName val="PHAN-CAU"/>
      <sheetName val="TONGHOP1"/>
      <sheetName val="COMPARATION"/>
      <sheetName val="DBP-0100"/>
      <sheetName val="DBP-0200"/>
      <sheetName val="data profit"/>
      <sheetName val="0504"/>
      <sheetName val="sumpro"/>
      <sheetName val="An Arsitektur"/>
      <sheetName val="Unit Rate (2)"/>
      <sheetName val="data_profit"/>
      <sheetName val="FORM_X_COST"/>
      <sheetName val="data_profit1"/>
      <sheetName val="An_Arsitektur1"/>
      <sheetName val="Unit_Rate_(2)1"/>
      <sheetName val="An_Struktur1"/>
      <sheetName val="FORM_X_COST1"/>
      <sheetName val="STAFFSCHED "/>
      <sheetName val="一般赤紙"/>
      <sheetName val="SITE-UTL"/>
      <sheetName val="AIRBRSH&amp;PANAS"/>
      <sheetName val="AC&amp;EF"/>
      <sheetName val="HDR&amp;SPRKL-GAS-LIFT"/>
      <sheetName val="lbr 1"/>
      <sheetName val="03-09 Nop"/>
      <sheetName val="Progress Fisik"/>
      <sheetName val="M 30DES-31DES "/>
      <sheetName val="M 16DES-22DES (2)"/>
      <sheetName val="Lokasi Pekerjaan"/>
      <sheetName val="Lokasi Pekerjaan (2)"/>
      <sheetName val="Lokasi Pekerjaan (3)"/>
      <sheetName val="M 01SEPT-07SEPT"/>
      <sheetName val="기준"/>
      <sheetName val="std.wt."/>
      <sheetName val="Daftar Harga Satuan"/>
      <sheetName val="Sub Kontrak"/>
      <sheetName val="Personil PQ"/>
      <sheetName val="Alat PQ"/>
      <sheetName val="AN.AC-BC"/>
      <sheetName val="MET.AC-BC"/>
      <sheetName val="AN.AC-WC"/>
      <sheetName val="MET.AC-WC"/>
      <sheetName val="AN base B"/>
      <sheetName val="MET Base B"/>
      <sheetName val="Matons"/>
      <sheetName val="ANMPUdll"/>
      <sheetName val="PemecahBatu"/>
      <sheetName val="PlantAspal"/>
      <sheetName val="RUTIN"/>
      <sheetName val="Upah,Bahan,Alat"/>
      <sheetName val="MOBILI"/>
      <sheetName val="Disubkontr"/>
      <sheetName val="SchePant-bant"/>
      <sheetName val="Sche1b"/>
      <sheetName val="Sche1c"/>
      <sheetName val="MPUPnyd-Siberuk"/>
      <sheetName val="dkhSpPenyandingan-Siberuk"/>
      <sheetName val="SUMPnyd-Siberuk"/>
      <sheetName val="LampPenawaran"/>
      <sheetName val="O&amp;O"/>
      <sheetName val="metpektambah"/>
      <sheetName val="METODE3"/>
      <sheetName val="KEBALT"/>
      <sheetName val="NATURAL"/>
      <sheetName val="FINE BASE"/>
      <sheetName val="FINE ASP"/>
      <sheetName val="COARSE BASE"/>
      <sheetName val="COARSE ASPAL"/>
      <sheetName val="PASIR"/>
      <sheetName val="BT KALI"/>
      <sheetName val="GRAVEL"/>
      <sheetName val="AkumDA_AsetLainnya"/>
      <sheetName val="DA_AsetLainnya"/>
      <sheetName val="NB_AsetLainnya"/>
      <sheetName val="FullDataFA"/>
      <sheetName val="PeerolehanSD31Des09"/>
      <sheetName val="AkumDA"/>
      <sheetName val="NilBuk"/>
      <sheetName val="01 - Pusat"/>
      <sheetName val="ADJ01"/>
      <sheetName val="11 - Jagorawi"/>
      <sheetName val="ADJ11"/>
      <sheetName val="12 - CTC"/>
      <sheetName val="ADJ12"/>
      <sheetName val="13 - Jakarta Cikampek"/>
      <sheetName val="ADJ13"/>
      <sheetName val="14 - Jakarta Tangerang"/>
      <sheetName val="ADJ14"/>
      <sheetName val="15 - Purbaleunyi"/>
      <sheetName val="ADJ15"/>
      <sheetName val="16 - Citarum"/>
      <sheetName val="ADJ16"/>
      <sheetName val="17 - Surabaya Gempol"/>
      <sheetName val="ADJ17"/>
      <sheetName val="51 - Semarang"/>
      <sheetName val="ADJ51"/>
      <sheetName val="52 - Belmera"/>
      <sheetName val="ADJ52"/>
      <sheetName val="53 - Palikanci"/>
      <sheetName val="ADJ53"/>
      <sheetName val="TB (Unaudited) 30-06-2007"/>
      <sheetName val="TB mutasi"/>
      <sheetName val="journal client"/>
      <sheetName val="Combine 31-12-2006"/>
      <sheetName val="Combine 30-06-2007"/>
      <sheetName val="ELIMINASI(Audited)"/>
      <sheetName val="Rincian Beban"/>
      <sheetName val="Rincian Pendapatan tol"/>
      <sheetName val="Rincian Kas dan Bank"/>
      <sheetName val="JORR2 (A)"/>
      <sheetName val="JORR2 (B)"/>
      <sheetName val="JORR2 (C)"/>
      <sheetName val="Doc.contr."/>
      <sheetName val="Penyertaan"/>
      <sheetName val="IPO"/>
      <sheetName val="Acrued AccPayable"/>
      <sheetName val="Highlight"/>
      <sheetName val="REKHUT2006"/>
      <sheetName val="Changes Des"/>
      <sheetName val="P. Tdr"/>
      <sheetName val="An-B.Perkasa-Rev"/>
      <sheetName val="Bill FO"/>
      <sheetName val="An-Ut"/>
      <sheetName val="An-Real"/>
      <sheetName val="ATK 1-6"/>
      <sheetName val="ATK 7-12"/>
      <sheetName val="H-Dasar"/>
      <sheetName val="U,Bhn,Alt"/>
      <sheetName val="KAP.ALAT "/>
      <sheetName val="An-Rutin"/>
      <sheetName val="C.Dam"/>
      <sheetName val="Pemasaran"/>
      <sheetName val="Sekret"/>
      <sheetName val="rekap perso"/>
      <sheetName val="ALT-II"/>
      <sheetName val="perso"/>
      <sheetName val="keuang"/>
      <sheetName val="Kop PU"/>
      <sheetName val="CVR"/>
      <sheetName val="BAPP Format PU"/>
      <sheetName val="SERTIFIKAT"/>
      <sheetName val="BAP Format PU"/>
      <sheetName val="Hrg-Dsr"/>
      <sheetName val="1.Surat"/>
      <sheetName val="2. KUASA"/>
      <sheetName val="JO (2)"/>
      <sheetName val="4.Kuantitas"/>
      <sheetName val="L5-Utm"/>
      <sheetName val="5. Analisa"/>
      <sheetName val="5b.Koeff"/>
      <sheetName val="6,7,8. Hrg Dsr"/>
      <sheetName val="L8-simak"/>
      <sheetName val="9.Metode"/>
      <sheetName val="10.Jadual"/>
      <sheetName val="Amplop"/>
      <sheetName val="Terima"/>
      <sheetName val="11. Personil"/>
      <sheetName val="12-Alat"/>
      <sheetName val="13.Sub"/>
      <sheetName val="L8-Lamp"/>
      <sheetName val="L3-Mob"/>
      <sheetName val="L4-Pmlhr"/>
      <sheetName val="L4a&amp;4b-Plant"/>
      <sheetName val="BOQ 2009 final"/>
      <sheetName val="BOQ 2009 versi minimal"/>
      <sheetName val="BOQ 2009 negoku"/>
      <sheetName val="BOQ 2009 OE Fadly"/>
      <sheetName val="RAB Perbandingan"/>
      <sheetName val="Resume awal"/>
      <sheetName val="BL TOTAL"/>
      <sheetName val="hsat-SD"/>
      <sheetName val="B-up G"/>
      <sheetName val="an-sat"/>
      <sheetName val="Man Risc"/>
      <sheetName val="M-ITEM"/>
      <sheetName val="UPAH&amp;BHN"/>
      <sheetName val="NEGOSIASI (INDUK SPJ)"/>
      <sheetName val="METHOD"/>
      <sheetName val="SUB-KONTR"/>
      <sheetName val="AHRG-ALT"/>
      <sheetName val="CAP-PLANT (2)"/>
      <sheetName val="Rekap-KONS"/>
      <sheetName val="BQ Konst"/>
      <sheetName val="BQ Gng Tabur"/>
      <sheetName val="BQ Sambaliung"/>
      <sheetName val="BL Turap"/>
      <sheetName val="RAB-kons"/>
      <sheetName val="Rekap-SD"/>
      <sheetName val="Laphar"/>
      <sheetName val="LapMing"/>
      <sheetName val="duaMng"/>
      <sheetName val="Evaluasi Progress"/>
      <sheetName val="Mon-Pem-Alat"/>
      <sheetName val="Eval-Alat"/>
      <sheetName val="Mon-Pem-Mat"/>
      <sheetName val="Eval-Mat"/>
      <sheetName val="jadwal harian"/>
      <sheetName val="jadwal alat (alt2)"/>
      <sheetName val="Progress(Lap Bul)"/>
      <sheetName val="Progress (2)"/>
      <sheetName val="Harian"/>
      <sheetName val="Pakai Solar"/>
      <sheetName val="PakAspal Drum"/>
      <sheetName val="PakBensin"/>
      <sheetName val="Pakai MT"/>
      <sheetName val="Mat-Pokok"/>
      <sheetName val="BBM ALAT"/>
      <sheetName val="Rekap Material"/>
      <sheetName val="Mon Upah+Alat+Material"/>
      <sheetName val="Mon Upah+Alat+Material (2)"/>
      <sheetName val="Master Schedule (2)"/>
      <sheetName val="Master Schedule (3)"/>
      <sheetName val="Assetdb"/>
      <sheetName val="PersList"/>
      <sheetName val="RAB Talang Ubi new"/>
      <sheetName val="7_PEK_STRUKTUR"/>
      <sheetName val="GE-1-2"/>
      <sheetName val="Beton k125"/>
      <sheetName val="Bekisting non ekspose"/>
      <sheetName val="Grouting beton"/>
      <sheetName val="Timbunan Tanah"/>
      <sheetName val="Beton Siklop(k125)"/>
      <sheetName val="Bekisting Ekspose"/>
      <sheetName val="Pas. Batu kali"/>
      <sheetName val="Box Culverts"/>
      <sheetName val="Pipa Galvanis"/>
      <sheetName val="Hand Railing"/>
      <sheetName val="Galian Tanah"/>
      <sheetName val="Galian Tanah Full"/>
      <sheetName val="Pembersihan Lahan"/>
      <sheetName val="Beton K225"/>
      <sheetName val="jembatan&amp;spillway"/>
      <sheetName val="Bronjong"/>
      <sheetName val="SHOTCRETE"/>
      <sheetName val="Beton K225 (2)"/>
      <sheetName val="Pasangan Batu Kali (2)"/>
      <sheetName val="Pipa Baja Dia 600 mm"/>
      <sheetName val="PeilScale"/>
      <sheetName val="BQ FINAL REV"/>
      <sheetName val="Rekap BTL Total"/>
      <sheetName val="Evaluasi Sept"/>
      <sheetName val="CRUCUK DOLKEN"/>
      <sheetName val="PCG ULIN"/>
      <sheetName val="PPN ULIN"/>
      <sheetName val="JLN ULIN"/>
      <sheetName val="PAS BATU"/>
      <sheetName val="BOK KONTRL"/>
      <sheetName val="PLASTERN"/>
      <sheetName val="TULANGAN"/>
      <sheetName val="B-225"/>
      <sheetName val="B-175"/>
      <sheetName val="GAL MEKANIS "/>
      <sheetName val="GAL BIASA"/>
      <sheetName val="PIPA SALURN 30"/>
      <sheetName val="PIPA SALURN 20"/>
      <sheetName val="LAND CLEARING"/>
      <sheetName val="URAIAN ALT"/>
      <sheetName val="PERHIT ALAT"/>
      <sheetName val="UPAH BAHAN ALAT"/>
      <sheetName val="SCEDULLE"/>
      <sheetName val="BoQ muru 2010"/>
      <sheetName val="Resume awal "/>
      <sheetName val="BL TOTAL "/>
      <sheetName val="Resume awal  Jkt"/>
      <sheetName val="RAB06"/>
      <sheetName val="MethodKerja"/>
      <sheetName val="com"/>
      <sheetName val="MethodAlat"/>
      <sheetName val="an"/>
      <sheetName val="biaya alat"/>
      <sheetName val="Revenue2"/>
      <sheetName val="PivotTabel"/>
      <sheetName val="Inkaso"/>
      <sheetName val="RKD"/>
      <sheetName val="LapkeuKD"/>
      <sheetName val="Mon_RK"/>
      <sheetName val="JUAL_BELI"/>
      <sheetName val="LMK1"/>
      <sheetName val="LMK2"/>
      <sheetName val="ASLUSL"/>
      <sheetName val="21711"/>
      <sheetName val="NRLB"/>
      <sheetName val="NLsimpro"/>
      <sheetName val="TERMINJ"/>
      <sheetName val="CASHFLOW lama "/>
      <sheetName val="BoQ twr"/>
      <sheetName val="Rekap RAB Tender"/>
      <sheetName val="RAB tender"/>
      <sheetName val="Manj.Resiko"/>
      <sheetName val="Safety Plan Utama"/>
      <sheetName val="Safety Plan Penunjang"/>
      <sheetName val="pola blanja"/>
      <sheetName val="pola belanja"/>
      <sheetName val="Schedule lama"/>
      <sheetName val="S5"/>
      <sheetName val="RSM"/>
      <sheetName val="RSV"/>
      <sheetName val="BQ Review"/>
      <sheetName val="Minggu 1"/>
      <sheetName val="Minggu 2"/>
      <sheetName val="Minggu 3"/>
      <sheetName val="Minggu 4"/>
      <sheetName val="Minggu 5"/>
      <sheetName val="Bulan Agustus"/>
      <sheetName val="Rekap Kuantitas"/>
      <sheetName val="Rekap-2"/>
      <sheetName val="Rekap-1"/>
      <sheetName val="JUNIOR"/>
      <sheetName val="ELECT DUPLEX"/>
      <sheetName val="ELECT HOUSE"/>
      <sheetName val="UnitRate"/>
      <sheetName val="Swell Factor"/>
      <sheetName val="DBase Dozer"/>
      <sheetName val="DBase Excavator"/>
      <sheetName val="Vol.Beton ABT,Pier"/>
      <sheetName val="Railling Jembatan "/>
      <sheetName val="Volume Pondasi"/>
      <sheetName val="Galian Struktur"/>
      <sheetName val="Perkerasan"/>
      <sheetName val="Quality"/>
      <sheetName val="Q Plan"/>
      <sheetName val="Rev conc B"/>
      <sheetName val="Rev conc C"/>
      <sheetName val="Sand Bag dan geotek add"/>
      <sheetName val="Tetrapod"/>
      <sheetName val="Excavation"/>
      <sheetName val="Tulangan Type A dan B"/>
      <sheetName val="Tulangan Type C rev"/>
      <sheetName val="Tulangan Type C "/>
      <sheetName val="Sheet pile dan Spun Pile"/>
      <sheetName val="USULAN CCO"/>
      <sheetName val="Rekap 0%"/>
      <sheetName val="Volume Beton "/>
      <sheetName val="erektion"/>
      <sheetName val="BQ jem"/>
      <sheetName val="an-satuan"/>
      <sheetName val="Skedul Jembt."/>
      <sheetName val="prodlat"/>
      <sheetName val="hit volume"/>
      <sheetName val="AN pen HS"/>
      <sheetName val="9 AHS(2a)"/>
      <sheetName val="Model Base"/>
      <sheetName val="CPar"/>
      <sheetName val="Eng Parameter"/>
      <sheetName val="Prod Budget"/>
      <sheetName val="Various Rate"/>
      <sheetName val="IRR_rev"/>
      <sheetName val="SD-utama"/>
      <sheetName val="Asbuton"/>
      <sheetName val="Div.7(2)"/>
      <sheetName val="Div.10(2)"/>
      <sheetName val="AC-WC AsbP"/>
      <sheetName val="AC-WC AsbP (L)"/>
      <sheetName val="DC"/>
      <sheetName val="RAB-NEGO"/>
      <sheetName val="REKAP-NEGO"/>
      <sheetName val="TS - FHISIK"/>
      <sheetName val="Rek Mob"/>
      <sheetName val="C100-900"/>
      <sheetName val="IPA Workshop"/>
      <sheetName val="."/>
      <sheetName val="Alokasi Cab-WS"/>
      <sheetName val="Kurva s "/>
      <sheetName val="uraianaspal"/>
      <sheetName val="rek2"/>
      <sheetName val="bq2"/>
      <sheetName val="rek3"/>
      <sheetName val="bq3"/>
      <sheetName val="rek4"/>
      <sheetName val="bq4"/>
      <sheetName val="mayor01"/>
      <sheetName val="minor"/>
      <sheetName val="rutin1"/>
      <sheetName val="DivI"/>
      <sheetName val="Kurva s (3)"/>
      <sheetName val="Rekap 1"/>
      <sheetName val="IPA1"/>
      <sheetName val="Rekap 2,5"/>
      <sheetName val="IPA2,5"/>
      <sheetName val="Rekap 5"/>
      <sheetName val="IPA 5"/>
      <sheetName val="Rekap 10"/>
      <sheetName val="IPA10"/>
      <sheetName val="Rekap 30"/>
      <sheetName val="IPA30"/>
      <sheetName val="Rekap 40"/>
      <sheetName val="IPA40"/>
      <sheetName val="Rekap 50"/>
      <sheetName val="IPA50"/>
      <sheetName val="Rekap 20"/>
      <sheetName val="IPA20"/>
      <sheetName val="BIAYA ERECTION"/>
      <sheetName val="Perhitungan.SD"/>
      <sheetName val="Perhitungan.SMP"/>
      <sheetName val="Pekerjaan"/>
      <sheetName val="Jadwal Rev1"/>
      <sheetName val="Annex B - Bill of Material"/>
      <sheetName val="Rekap.IKK2008"/>
      <sheetName val="Re 2,5"/>
      <sheetName val="2,5"/>
      <sheetName val="5.OLD"/>
      <sheetName val="20.OLD"/>
      <sheetName val="Re 30 praflk)"/>
      <sheetName val="30 pra Flok"/>
      <sheetName val="List.30 Rev"/>
      <sheetName val="List.50.Rev"/>
      <sheetName val="List.50"/>
      <sheetName val="RES2&amp;3(POK)"/>
      <sheetName val="ICB2(POK)"/>
      <sheetName val="BOQ ICB2"/>
      <sheetName val="BLang"/>
      <sheetName val="BAlat"/>
      <sheetName val="Sched. TK"/>
      <sheetName val="Hoist-El-SPart"/>
      <sheetName val="Rekapt"/>
      <sheetName val="ICB3(POK)"/>
      <sheetName val="BOQ ICB3"/>
      <sheetName val="SOC"/>
      <sheetName val="JadRinc"/>
      <sheetName val="B.Upah Singo"/>
      <sheetName val="B.AlatSingo"/>
      <sheetName val="B.BahanSingo"/>
      <sheetName val="B.Mobilisasi Singo"/>
      <sheetName val="B.SubKontraktorSingo"/>
      <sheetName val="RKABP"/>
      <sheetName val="Distr (2)"/>
      <sheetName val="Distr"/>
      <sheetName val="Rek.Upah"/>
      <sheetName val="Rinc.Upah"/>
      <sheetName val="Rek.Bahan"/>
      <sheetName val="Rinc.Bahan"/>
      <sheetName val="Rek.Alat"/>
      <sheetName val="Rinc.Alat"/>
      <sheetName val="Jad(2a)"/>
      <sheetName val="BQ (kt)"/>
      <sheetName val="DMPU(7)"/>
      <sheetName val="Anl-Mobil(3)"/>
      <sheetName val="Ur.Teknis"/>
      <sheetName val="METODE(12)"/>
      <sheetName val="Dft -Pek.Subkont(9)"/>
      <sheetName val="Komp-Crus&amp;AMP(6)"/>
      <sheetName val="Daft.Alat (8)"/>
      <sheetName val="Mos(5)"/>
      <sheetName val="Ur-Anl-II"/>
      <sheetName val="Job.Mix"/>
      <sheetName val="Anl-Pml(5)"/>
      <sheetName val="Ur.Agregat"/>
      <sheetName val="Dft-Hrg Dasar"/>
      <sheetName val="SpekBahan"/>
      <sheetName val="schedule tenaga kerja"/>
      <sheetName val="Intake"/>
      <sheetName val="Res 50"/>
      <sheetName val="Res 100"/>
      <sheetName val="Ana-pipa"/>
      <sheetName val="Harga pipa"/>
      <sheetName val="an-tanah"/>
      <sheetName val="an-struktur"/>
      <sheetName val="an-bron-lain"/>
      <sheetName val="an-koef"/>
      <sheetName val="an-persiapan"/>
      <sheetName val="Rek-Rab"/>
      <sheetName val="Met_ Minor"/>
      <sheetName val="Met_Pas Batu"/>
      <sheetName val="TJ1Q43"/>
      <sheetName val="RYQ52"/>
      <sheetName val="RYQ46"/>
      <sheetName val="Rekap SKS"/>
      <sheetName val="DU&amp;B"/>
      <sheetName val="a_alat"/>
      <sheetName val="I,II. Tanah, Beton"/>
      <sheetName val="III.Pasangan TDR"/>
      <sheetName val="V.Ksn TDR"/>
      <sheetName val="VII. K. Baja+Atap"/>
      <sheetName val="VIII.Tangga TDR"/>
      <sheetName val="X. Cat TDR"/>
      <sheetName val="PEK TAMBAH "/>
      <sheetName val="REKAPtotal -imb"/>
      <sheetName val="REKAPtotal (2)"/>
      <sheetName val="RAB-SIPIL"/>
      <sheetName val="D-UPAH"/>
      <sheetName val="ANALISA 1"/>
      <sheetName val="ANALISABETON"/>
      <sheetName val="ANALISAKUSEN"/>
      <sheetName val="bacap analisa"/>
      <sheetName val="ANBOW-2008"/>
      <sheetName val="rekap-ans"/>
      <sheetName val="Analisa  BOW"/>
      <sheetName val="Harga-RAB"/>
      <sheetName val="BQ BJ TEXTIL"/>
      <sheetName val="BQ pking srng tangn"/>
      <sheetName val="BQ BN-1"/>
      <sheetName val="analisa spl"/>
      <sheetName val="analisa pekerjaan persiapan"/>
      <sheetName val="ANALISA BAJA"/>
      <sheetName val="ANALISA BAJA 1"/>
      <sheetName val="ANALISA CAT"/>
      <sheetName val="ANALISA BAUT"/>
      <sheetName val="ALAT BANTU ROL ON SITE ATAP"/>
      <sheetName val="ANALISA ATAP EX KEPUH"/>
      <sheetName val="DAFTAR TANYA"/>
      <sheetName val="ANRAP"/>
      <sheetName val="upah dll"/>
      <sheetName val="REKAP RAP"/>
      <sheetName val="Mob,demob"/>
      <sheetName val="kbl"/>
      <sheetName val="cov1"/>
      <sheetName val="d51"/>
      <sheetName val="d52"/>
      <sheetName val="d53"/>
      <sheetName val="d54"/>
      <sheetName val="d55a"/>
      <sheetName val="d55"/>
      <sheetName val="d56"/>
      <sheetName val="tamb"/>
      <sheetName val="d6"/>
      <sheetName val="an71"/>
      <sheetName val="d71"/>
      <sheetName val="d72"/>
      <sheetName val="d73"/>
      <sheetName val="d74"/>
      <sheetName val="d75"/>
      <sheetName val="Rupa-rupa"/>
      <sheetName val="B.Bank"/>
      <sheetName val="Transpor karyawan"/>
      <sheetName val="Penawaran Harga"/>
      <sheetName val="skedul Pelaksanaan"/>
      <sheetName val="ANALISA-1"/>
      <sheetName val="Metker"/>
      <sheetName val="SEGITIGA"/>
      <sheetName val="ALATBERAT"/>
      <sheetName val="SONIL"/>
      <sheetName val="sch alat"/>
      <sheetName val="Sch Personil"/>
      <sheetName val="Strtr Orgn"/>
      <sheetName val="Metode Batu"/>
      <sheetName val="Data Input"/>
      <sheetName val="Data Rumus"/>
      <sheetName val="Bid"/>
      <sheetName val="DafAHS"/>
      <sheetName val="AHSAlat"/>
      <sheetName val="jadwal2"/>
      <sheetName val="hitkeb"/>
      <sheetName val="prodalat"/>
      <sheetName val="keb"/>
      <sheetName val="div31"/>
      <sheetName val="div71"/>
      <sheetName val="1-REKAP"/>
      <sheetName val="1-BQ"/>
      <sheetName val="3-DIV1"/>
      <sheetName val="3-DIV2"/>
      <sheetName val="3-DIV3"/>
      <sheetName val="3-DIV4"/>
      <sheetName val="3-DIV5"/>
      <sheetName val="3-DIV6"/>
      <sheetName val="DIVISI 6. A"/>
      <sheetName val="3-DIV7"/>
      <sheetName val="3-DIV7.1"/>
      <sheetName val="3-DIV8"/>
      <sheetName val="3-DIV9"/>
      <sheetName val="3-DIV10"/>
      <sheetName val="4-ANTEK"/>
      <sheetName val="BAHAN , UPAH , ALAT"/>
      <sheetName val="5-ALAT"/>
      <sheetName val="8-Lamp1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batu kosong"/>
      <sheetName val="pas. batu talud"/>
      <sheetName val="pipa pvc"/>
      <sheetName val="geotextile"/>
      <sheetName val="SIRTU"/>
      <sheetName val="galian manual"/>
      <sheetName val="beton-K300"/>
      <sheetName val="beton-K175"/>
      <sheetName val="GORONG-GORONG"/>
      <sheetName val="DAFTAR HARGA UPAH"/>
      <sheetName val="DAFTAR HARGA BAHAN"/>
      <sheetName val="DAFTAR HARGA ALAT"/>
      <sheetName val="Rekap Mock"/>
      <sheetName val="di Areal Tambak"/>
      <sheetName val="WB-Tambak"/>
      <sheetName val="BQBAJA"/>
      <sheetName val="Persp"/>
      <sheetName val="Der"/>
      <sheetName val="Ter"/>
      <sheetName val="KTR"/>
      <sheetName val="Gudang"/>
      <sheetName val="gd 2"/>
      <sheetName val="PW"/>
      <sheetName val="Air"/>
      <sheetName val="Infr"/>
      <sheetName val="DIV6.1"/>
      <sheetName val="DIV6.4"/>
      <sheetName val="DIV10.1"/>
      <sheetName val="DIV11"/>
      <sheetName val="Sc.P"/>
      <sheetName val="Df"/>
      <sheetName val="MDM"/>
      <sheetName val="D7a"/>
      <sheetName val="5-ALAT(1)"/>
      <sheetName val="DISCLAIMER"/>
      <sheetName val="D6 ASBT"/>
      <sheetName val="D7(1)"/>
      <sheetName val="D7(2)"/>
      <sheetName val="D7(3)"/>
      <sheetName val="D8(1)"/>
      <sheetName val="D8(2)"/>
      <sheetName val="D10 LS-Rutin"/>
      <sheetName val="D10 Kuantitas"/>
      <sheetName val="D10 Analisa HSP"/>
      <sheetName val="4-Analisa Quarry"/>
      <sheetName val="4-formulir harga bahan"/>
      <sheetName val="5-ALAT (2)"/>
      <sheetName val="Agg Halus &amp; Kasar"/>
      <sheetName val="Agg A"/>
      <sheetName val="Agg B"/>
      <sheetName val="Agg C"/>
      <sheetName val="Rekapitulasi H S P"/>
      <sheetName val="Harga Upah "/>
      <sheetName val="HSA &amp; PAB"/>
      <sheetName val="A H S P"/>
      <sheetName val="Rekapitulasi H S P (2)"/>
      <sheetName val="STANDARD ANALISA Harga Satuan P"/>
      <sheetName val="Anal_ Pancang"/>
      <sheetName val="Vol  bekist dan Stiger trestel"/>
      <sheetName val="Bekisting balok"/>
      <sheetName val="Stiger balok"/>
      <sheetName val="Transpor antar pulau"/>
      <sheetName val="Tes beton"/>
      <sheetName val="Vol Dudukan MB&amp;catWork"/>
      <sheetName val="Vol Bek&amp;stiger BD"/>
      <sheetName val="Vol Selimut"/>
      <sheetName val="Vol BESI TRESTEL"/>
      <sheetName val="Tgl Penawaran"/>
      <sheetName val="RAB Total 2006"/>
      <sheetName val="Harga Agg Di Kamal"/>
      <sheetName val="Harga Profil Di Kamal"/>
      <sheetName val="HARGA SAT KAMAL"/>
      <sheetName val="ANA K225 besi bekis trestel&amp;BD"/>
      <sheetName val="RAB Murni 2006"/>
      <sheetName val="REKAP MURNI"/>
      <sheetName val="Alat Bantu Cor&amp;Penyebrangan"/>
      <sheetName val="Ana selimut"/>
      <sheetName val="HArga Tiang pancang"/>
      <sheetName val="Met k225 besi bekis Tres&amp;BD"/>
      <sheetName val="BAHAN DASAR"/>
      <sheetName val="RAB total"/>
      <sheetName val="RAB 2006"/>
      <sheetName val="TPI"/>
      <sheetName val=" Bekisting poer"/>
      <sheetName val="Stiger poer"/>
      <sheetName val="Bekistinr plat"/>
      <sheetName val="Stiger plat"/>
      <sheetName val="Landasan stiger"/>
      <sheetName val="Vender"/>
      <sheetName val="Biaya Pompa dan Mixer"/>
      <sheetName val="COVER OE"/>
      <sheetName val="REKAP OE"/>
      <sheetName val="RAB OE"/>
      <sheetName val="Analisa OE"/>
      <sheetName val="HARGA SAT KAMAL OE"/>
      <sheetName val="BETON RADY MIX"/>
      <sheetName val="10.1 (1)"/>
      <sheetName val="10.1 (2)"/>
      <sheetName val="10.1 (3)"/>
      <sheetName val="10.1 (4)"/>
      <sheetName val="10.1 (5)"/>
      <sheetName val="Harga S Dasar UNTUK DIISI"/>
      <sheetName val="quary"/>
      <sheetName val="Cover Balong"/>
      <sheetName val="Cover B.Urip"/>
      <sheetName val="Kop Add.Banyu U "/>
      <sheetName val="Add. III B.Urip"/>
      <sheetName val="Kop Add.Balong"/>
      <sheetName val="Add.Balong III"/>
      <sheetName val="HSUB SARPRA"/>
      <sheetName val="HSPek 101-202"/>
      <sheetName val="ket LPP101"/>
      <sheetName val="LPP-101"/>
      <sheetName val="PBP"/>
      <sheetName val="KKP"/>
      <sheetName val="LBA"/>
      <sheetName val="Panjar "/>
      <sheetName val="LPO-sp"/>
      <sheetName val="Antisipasi"/>
      <sheetName val="CCO (2)"/>
      <sheetName val="CCO"/>
      <sheetName val="RAB  Kontrak 2009"/>
      <sheetName val="R-BUtg"/>
      <sheetName val="Pemel"/>
      <sheetName val="Cutoff"/>
      <sheetName val="Rap-eval"/>
      <sheetName val="Rap-12"/>
      <sheetName val="ohed"/>
      <sheetName val="alt-bhn"/>
      <sheetName val="Trend-"/>
      <sheetName val="Keb dana"/>
      <sheetName val="Panjar  xxx"/>
      <sheetName val="RKP (3)"/>
      <sheetName val="Material-mr"/>
      <sheetName val="PO_2 (2)"/>
      <sheetName val="PROG"/>
      <sheetName val="RCN-KRJ"/>
      <sheetName val="REKAP-P02"/>
      <sheetName val="Bateh"/>
      <sheetName val="CF-AWAL"/>
      <sheetName val="RINC. CF-AWAL"/>
      <sheetName val="CF PUSAT"/>
      <sheetName val="CTG"/>
      <sheetName val="qty kurang"/>
      <sheetName val="qty tambah"/>
      <sheetName val="quantity 2"/>
      <sheetName val="QUANTITY lama"/>
      <sheetName val="CASHFL7"/>
      <sheetName val="dtrISI_rkpp"/>
      <sheetName val="selip"/>
      <sheetName val="dftr ISI"/>
      <sheetName val="srt usulan"/>
      <sheetName val="srt usulan (2)"/>
      <sheetName val="Brt Evaluasi"/>
      <sheetName val="1_srt usulan (2)"/>
      <sheetName val="srt usulan (3)"/>
      <sheetName val="dataPRYK"/>
      <sheetName val="LngkpPek"/>
      <sheetName val="methode"/>
      <sheetName val="CashFlow kmte"/>
      <sheetName val="PerbandinganSUB"/>
      <sheetName val="PD"/>
      <sheetName val="SAF"/>
      <sheetName val="KNDRAAN"/>
      <sheetName val="OT"/>
      <sheetName val="REKAP_RAPI"/>
      <sheetName val="RAPI"/>
      <sheetName val="RAPA"/>
      <sheetName val="RAPA VS REAL"/>
      <sheetName val="Surat Pnwrn"/>
      <sheetName val="Srt Sanggup"/>
      <sheetName val="Srt Tunduk Keppres"/>
      <sheetName val="Perincian(1)"/>
      <sheetName val="Perincian(2)"/>
      <sheetName val="Perincian(3)"/>
      <sheetName val="Perincian(4)"/>
      <sheetName val="Perincian(5)"/>
      <sheetName val="ANLS ALAT"/>
      <sheetName val="K.210b"/>
      <sheetName val="K.220a"/>
      <sheetName val="K.220b"/>
      <sheetName val="K.514"/>
      <sheetName val="K.311a"/>
      <sheetName val="K. 110b"/>
      <sheetName val="Met.Pelksn"/>
      <sheetName val="Cover Proposal"/>
      <sheetName val="time.pus"/>
      <sheetName val="laMP 9 (2)"/>
      <sheetName val="lAMP 10 (2)"/>
      <sheetName val="Simak(LAMP13)"/>
      <sheetName val="sC bhn"/>
      <sheetName val="SC PERSON"/>
      <sheetName val="lamp 2b"/>
      <sheetName val="lAMP 5"/>
      <sheetName val="MPU (lamp7)"/>
      <sheetName val="laMP 9"/>
      <sheetName val="lAMP 10"/>
      <sheetName val="Subkontrak (lamp11)"/>
      <sheetName val="u.aLAT"/>
      <sheetName val="Hrg Beli Alat"/>
      <sheetName val="ANALISA-SNI"/>
      <sheetName val="lap-2"/>
      <sheetName val="lap-1"/>
      <sheetName val="rekap pang+me"/>
      <sheetName val="penda"/>
      <sheetName val="K-Depan A1-A2"/>
      <sheetName val="K-BL Brt B1-B2"/>
      <sheetName val="Lods B1`-B2` MUSHALLAH"/>
      <sheetName val="rK-KU C1"/>
      <sheetName val="K-KR Utr C2"/>
      <sheetName val="K-KR Utr C3"/>
      <sheetName val="K-KN Slt D1"/>
      <sheetName val="K-KN Slt D2"/>
      <sheetName val="K-KN Slt D3"/>
      <sheetName val="LK A1"/>
      <sheetName val="LK A5"/>
      <sheetName val="LK B1"/>
      <sheetName val="LK B5"/>
      <sheetName val="LK C1"/>
      <sheetName val="LK C2"/>
      <sheetName val="LK D1"/>
      <sheetName val="LB D2"/>
      <sheetName val="LK E1"/>
      <sheetName val="LK F1"/>
      <sheetName val="rLK A2"/>
      <sheetName val="rLK A3"/>
      <sheetName val="rLK A4"/>
      <sheetName val="rLK B2-B3"/>
      <sheetName val="rLK B4"/>
      <sheetName val="rLK C3-C4"/>
      <sheetName val="rLK C5-C6"/>
      <sheetName val="rLK D3-D4"/>
      <sheetName val="rLK D5-D6"/>
      <sheetName val="rLK E2"/>
      <sheetName val="rLB E3"/>
      <sheetName val="rLK F2-F3"/>
      <sheetName val="Pelataran"/>
      <sheetName val="Sls Utama-1"/>
      <sheetName val="WC"/>
      <sheetName val="MEK.ELEK"/>
      <sheetName val="REKAP JENE"/>
      <sheetName val="TRIAL"/>
      <sheetName val="PDK"/>
      <sheetName val="RRK-01"/>
      <sheetName val="LPF-01"/>
      <sheetName val="MOS-01"/>
      <sheetName val="KPP-11"/>
      <sheetName val="RSK-01"/>
      <sheetName val="CFP-21"/>
      <sheetName val="PBK-01"/>
      <sheetName val="LBP-01"/>
      <sheetName val="S-Kurve"/>
      <sheetName val="DFTR HTG"/>
      <sheetName val="ELECTRIC"/>
      <sheetName val="ANALISA-2"/>
      <sheetName val="skd"/>
      <sheetName val="metode "/>
      <sheetName val="lam9"/>
      <sheetName val="Lamp 2c"/>
      <sheetName val="PB-PRO"/>
      <sheetName val="CA-PRO"/>
      <sheetName val="Lamp 6a"/>
      <sheetName val="Lamp 6b"/>
      <sheetName val="Kap. Plant"/>
      <sheetName val="BUL&amp;BP"/>
      <sheetName val="TechniqueAnalys (2)"/>
      <sheetName val="Jobmix"/>
      <sheetName val="Rail"/>
      <sheetName val="Hauling"/>
      <sheetName val="Appendix12a"/>
      <sheetName val="Appendix12b"/>
      <sheetName val="TechniqueAnalys"/>
      <sheetName val="AHSBAHAN"/>
      <sheetName val="AnalMobilisasi"/>
      <sheetName val="ListofHauling"/>
      <sheetName val="KOEFBAHAN"/>
      <sheetName val="Uraian Analisa Alat"/>
      <sheetName val="demobilisasi"/>
      <sheetName val="Fire "/>
      <sheetName val="BAS 2"/>
      <sheetName val="anl pp"/>
      <sheetName val="inst"/>
      <sheetName val="anl duct"/>
      <sheetName val="anl lst"/>
      <sheetName val="C-Flow RAP"/>
      <sheetName val="RAB REV"/>
      <sheetName val="CF-Tawar"/>
      <sheetName val="RAB BARU 28 DES"/>
      <sheetName val="RAB BARU 23 DES"/>
      <sheetName val="ANALISA PANGKEP"/>
      <sheetName val="rab tot"/>
      <sheetName val="rab thp I"/>
      <sheetName val="Daft.Sewa Alat"/>
      <sheetName val="analisa-K"/>
      <sheetName val="LINK-MAST. BASIC PRICE"/>
      <sheetName val="DP."/>
      <sheetName val="REKAP HTG"/>
      <sheetName val="BK.HTG"/>
      <sheetName val="upah &amp; harga material"/>
      <sheetName val="DAFTAR SEWA"/>
      <sheetName val="analisa Bor"/>
      <sheetName val="Rab gedung"/>
      <sheetName val="RAB instalasi"/>
      <sheetName val="back up gedung"/>
      <sheetName val="BACK UP TOWER &amp; GT"/>
      <sheetName val="Rekap Anl.K"/>
      <sheetName val="Upah Bahan K"/>
      <sheetName val="K.9"/>
      <sheetName val="K.8"/>
      <sheetName val="K.10"/>
      <sheetName val="Rekap Anl.SNI"/>
      <sheetName val="Data Masukan"/>
      <sheetName val="DP2-K9"/>
      <sheetName val="SPD-Jkt-Smg (2)"/>
      <sheetName val="SPD-Jkt-Smg"/>
      <sheetName val="pembuka"/>
      <sheetName val="KOP LPP-101"/>
      <sheetName val="LPP-101 ok"/>
      <sheetName val="KOP cashlow"/>
      <sheetName val="KOP Progress"/>
      <sheetName val="Progress ok"/>
      <sheetName val="PO2 ok"/>
      <sheetName val="KOP Panjar"/>
      <sheetName val="PANJAR"/>
      <sheetName val="rap PRINT"/>
      <sheetName val="po2"/>
      <sheetName val="Daftarharga"/>
      <sheetName val="Kebutuhan readymix"/>
      <sheetName val="AGGNK BETON"/>
      <sheetName val="ANALYSIS PASIR"/>
      <sheetName val="diagrm"/>
      <sheetName val="rab_nmuti"/>
      <sheetName val="rab_polen"/>
      <sheetName val="rekvol"/>
      <sheetName val="plot_item"/>
      <sheetName val="nonlok"/>
      <sheetName val="angkt_quary"/>
      <sheetName val="aggr"/>
      <sheetName val="back_up"/>
      <sheetName val="T.P"/>
      <sheetName val="gorong2"/>
      <sheetName val="patching"/>
      <sheetName val="patching (2)"/>
      <sheetName val="plot(item)"/>
      <sheetName val="sketim"/>
      <sheetName val="rek_band"/>
      <sheetName val="boq_band"/>
      <sheetName val="boq_p3jj"/>
      <sheetName val="bsic_band"/>
      <sheetName val="EIP-26"/>
      <sheetName val="kEIP-26"/>
      <sheetName val="ev_EE"/>
      <sheetName val="rinc_vol"/>
      <sheetName val="Rek-Tot"/>
      <sheetName val="D-ISI"/>
      <sheetName val="MATERI"/>
      <sheetName val="LPP101-JULI"/>
      <sheetName val="LPP 201"/>
      <sheetName val="KK201-COST"/>
      <sheetName val="KK201-RAPI"/>
      <sheetName val="KK201-RKP"/>
      <sheetName val="PO2-JUNI"/>
      <sheetName val="PO2-JULI"/>
      <sheetName val="MOS-PDP"/>
      <sheetName val="C-FLOW JUNI"/>
      <sheetName val="C-FLOW JULI"/>
      <sheetName val="ANTSPS"/>
      <sheetName val="KENDALA"/>
      <sheetName val="Anal RAPI"/>
      <sheetName val="RKP TS"/>
      <sheetName val="KK DP"/>
      <sheetName val="LPJDK"/>
      <sheetName val="KK-CTG"/>
      <sheetName val="CTG JUNI"/>
      <sheetName val="DP1"/>
      <sheetName val="DP2"/>
      <sheetName val="DP3"/>
      <sheetName val="SIMPANG"/>
      <sheetName val="Lingkup Pek."/>
      <sheetName val="Peta-Lokasi"/>
      <sheetName val="master-schedule"/>
      <sheetName val="Jadwal Alat (2)"/>
      <sheetName val="sch-bahan (2)"/>
      <sheetName val="sch-tenaga"/>
      <sheetName val="cash-flow"/>
      <sheetName val="R A P"/>
      <sheetName val="sch-bahan"/>
      <sheetName val="PENETAPAN &amp; EVALUASI (2)"/>
      <sheetName val="Major-item"/>
      <sheetName val="renc-dana"/>
      <sheetName val="Schedule (3)"/>
      <sheetName val="by-prod"/>
      <sheetName val="Prov. Bank"/>
      <sheetName val="GALIAN -C"/>
      <sheetName val="REPAIRALAT"/>
      <sheetName val="DAFTARALAT"/>
      <sheetName val="NK"/>
      <sheetName val="ANS_TEK"/>
      <sheetName val="hit_alat"/>
      <sheetName val="Anl-Tek"/>
      <sheetName val="Sub Kontr"/>
      <sheetName val="an_pintu"/>
      <sheetName val="Penwrn"/>
      <sheetName val="Scd_RAP"/>
      <sheetName val="Scd_Eva"/>
      <sheetName val="Tambang C"/>
      <sheetName val="clarfiks"/>
      <sheetName val="NK_DOSEN"/>
      <sheetName val="NK_MHSW"/>
      <sheetName val="ans_A_Dosen"/>
      <sheetName val="ans_A_Mhsw"/>
      <sheetName val="REKAP_DOSEN"/>
      <sheetName val="BoQ_DOSEN"/>
      <sheetName val="ME_DOSEN"/>
      <sheetName val="REKAP_MHSW"/>
      <sheetName val="BoQ_MHSW"/>
      <sheetName val="ME_MHSW"/>
      <sheetName val="KBTH_BAHAN"/>
      <sheetName val="SCD_ALAT"/>
      <sheetName val="SCD_BAHAN"/>
      <sheetName val="SCD_TENAGA"/>
      <sheetName val="SCD pelaksanaan"/>
      <sheetName val="SCD (rap)"/>
      <sheetName val="REKAP_JALAN"/>
      <sheetName val="REKAP_DRAIN"/>
      <sheetName val="REKAP_A.BERSIH"/>
      <sheetName val="REKAP_A.KOTOR"/>
      <sheetName val="Mingguan Jln"/>
      <sheetName val="Harian Jln"/>
      <sheetName val="Harian SAMPAH"/>
      <sheetName val="Mingguan SAMPAH"/>
      <sheetName val="Harian Lsc"/>
      <sheetName val="Mingguan Lsc"/>
      <sheetName val="BOQ+BTL"/>
      <sheetName val="APEK"/>
      <sheetName val="ASAT"/>
      <sheetName val="RAB. MC-0 Est"/>
      <sheetName val="notasi"/>
      <sheetName val="vol-pek"/>
      <sheetName val="Sisa-VOLUME-pek"/>
      <sheetName val="Analisa Produksi alat'06"/>
      <sheetName val=" Biaya alat jam'06"/>
      <sheetName val="Kontrak 2006"/>
      <sheetName val="calc sheet sementra"/>
      <sheetName val="lama"/>
      <sheetName val="progress CCO3"/>
      <sheetName val="progressMARET ME"/>
      <sheetName val="CTG des tanpa baju"/>
      <sheetName val="progressApril"/>
      <sheetName val="COST TO GO dengan baju"/>
      <sheetName val="COST TO GO tanpa keluar"/>
      <sheetName val="COST TO GO"/>
      <sheetName val="RAB POSISI 68.63 INI YG PRINT"/>
      <sheetName val="RAB POSISI 68.63"/>
      <sheetName val="RAB real"/>
      <sheetName val="CCO3 AWAL"/>
      <sheetName val="progress CCO3 APRIL"/>
      <sheetName val="progress januari"/>
      <sheetName val="absensi"/>
      <sheetName val="analisa harsat cco3"/>
      <sheetName val="Draft CCO3bandung)  sama"/>
      <sheetName val="Draft CCO3bandung) stlh rapat "/>
      <sheetName val="perhitungan dasar"/>
      <sheetName val="harga  (2)"/>
      <sheetName val="pek kurang"/>
      <sheetName val="FAX KE BANDUNG"/>
      <sheetName val="Draft CCO3"/>
      <sheetName val="SRT pembuka pa hari"/>
      <sheetName val="Jdwl"/>
      <sheetName val="REKAP Per Tahun"/>
      <sheetName val="Kuantitas TAHUN TOTAL"/>
      <sheetName val="Kuantitas Tahun I "/>
      <sheetName val="Kuantitas Tahun II"/>
      <sheetName val="Kuantitas Tahun III"/>
      <sheetName val="Kuantitas Tahun IV"/>
      <sheetName val="Hrg Jadi K"/>
      <sheetName val="Hrg sewa alat"/>
      <sheetName val="Analisa E"/>
      <sheetName val="komponen (2)"/>
      <sheetName val="tkdn"/>
      <sheetName val="Analisa +"/>
      <sheetName val="UPH,BHN,ALT"/>
      <sheetName val="Analis harga"/>
      <sheetName val="COV-LPP"/>
      <sheetName val="COV-LPP(NAB)"/>
      <sheetName val="LPP101-AGUSTUS"/>
      <sheetName val="C-FLOW AGST"/>
      <sheetName val="HUTANG-WYS"/>
      <sheetName val="RAP-NEW"/>
      <sheetName val="WYS"/>
      <sheetName val="List Plant"/>
      <sheetName val="Daftar Kuantitas &amp; Harga"/>
      <sheetName val="Data Info"/>
      <sheetName val="Spesifikasi "/>
      <sheetName val="SpekUnit"/>
      <sheetName val="BQNSC"/>
      <sheetName val="Tngga jd satu"/>
      <sheetName val="Tngga per Lntai.."/>
      <sheetName val="Spesifikasi Tangga"/>
      <sheetName val="AnalisaTampil"/>
      <sheetName val="volrecap"/>
      <sheetName val="cekvolume"/>
      <sheetName val="Inves alat"/>
      <sheetName val="RAP_jln"/>
      <sheetName val="analisa_alat"/>
      <sheetName val="mu_baru"/>
      <sheetName val="RAB_AKAP"/>
      <sheetName val="utama duri"/>
      <sheetName val="analisa akap2"/>
      <sheetName val="Ana rutin_akap"/>
      <sheetName val="antek akap2"/>
      <sheetName val="antek_akap"/>
      <sheetName val="Rekap_tnh putih"/>
      <sheetName val="RAB_Tnh Putih"/>
      <sheetName val="utama batang"/>
      <sheetName val="anateknis"/>
      <sheetName val="Analisa-tnh putih"/>
      <sheetName val="Schedule-akap"/>
      <sheetName val="Schedule-puti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 refreshError="1"/>
      <sheetData sheetId="871" refreshError="1"/>
      <sheetData sheetId="872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>
        <row r="1">
          <cell r="A1" t="str">
            <v>Proyek</v>
          </cell>
        </row>
      </sheetData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/>
      <sheetData sheetId="1302" refreshError="1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 refreshError="1"/>
      <sheetData sheetId="1320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/>
      <sheetData sheetId="1330" refreshError="1"/>
      <sheetData sheetId="1331"/>
      <sheetData sheetId="1332"/>
      <sheetData sheetId="1333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 refreshError="1"/>
      <sheetData sheetId="1372"/>
      <sheetData sheetId="1373" refreshError="1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/>
      <sheetData sheetId="1415"/>
      <sheetData sheetId="1416"/>
      <sheetData sheetId="1417"/>
      <sheetData sheetId="1418">
        <row r="1">
          <cell r="A1" t="str">
            <v>Proyek</v>
          </cell>
        </row>
      </sheetData>
      <sheetData sheetId="1419"/>
      <sheetData sheetId="1420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>
        <row r="76">
          <cell r="I76">
            <v>1</v>
          </cell>
        </row>
      </sheetData>
      <sheetData sheetId="1429" refreshError="1"/>
      <sheetData sheetId="1430" refreshError="1"/>
      <sheetData sheetId="1431"/>
      <sheetData sheetId="1432"/>
      <sheetData sheetId="1433"/>
      <sheetData sheetId="1434">
        <row r="1">
          <cell r="A1" t="str">
            <v>Proyek</v>
          </cell>
        </row>
      </sheetData>
      <sheetData sheetId="1435" refreshError="1"/>
      <sheetData sheetId="1436"/>
      <sheetData sheetId="1437"/>
      <sheetData sheetId="1438"/>
      <sheetData sheetId="1439"/>
      <sheetData sheetId="1440" refreshError="1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 refreshError="1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>
        <row r="1">
          <cell r="A1" t="str">
            <v>RENCANA ANGGARAN BIAYA</v>
          </cell>
        </row>
      </sheetData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1">
          <cell r="A1" t="str">
            <v>RENCANA ANGGARAN BIAYA</v>
          </cell>
        </row>
      </sheetData>
      <sheetData sheetId="1726"/>
      <sheetData sheetId="1727"/>
      <sheetData sheetId="1728"/>
      <sheetData sheetId="1729"/>
      <sheetData sheetId="1730">
        <row r="54">
          <cell r="AG54" t="str">
            <v>: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 refreshError="1"/>
      <sheetData sheetId="1782" refreshError="1"/>
      <sheetData sheetId="1783"/>
      <sheetData sheetId="1784"/>
      <sheetData sheetId="1785"/>
      <sheetData sheetId="1786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/>
      <sheetData sheetId="3588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/>
      <sheetData sheetId="4788">
        <row r="1">
          <cell r="A1" t="str">
            <v>RENCANA ANGGARAN BIAYA</v>
          </cell>
        </row>
      </sheetData>
      <sheetData sheetId="4789"/>
      <sheetData sheetId="4790"/>
      <sheetData sheetId="4791"/>
      <sheetData sheetId="4792"/>
      <sheetData sheetId="4793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 refreshError="1"/>
      <sheetData sheetId="4884"/>
      <sheetData sheetId="4885"/>
      <sheetData sheetId="4886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/>
      <sheetData sheetId="4944"/>
      <sheetData sheetId="4945"/>
      <sheetData sheetId="4946"/>
      <sheetData sheetId="4947">
        <row r="63">
          <cell r="E63">
            <v>3500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/>
      <sheetData sheetId="4953"/>
      <sheetData sheetId="4954">
        <row r="3">
          <cell r="D3" t="str">
            <v>OKI  Mill Plant Project:</v>
          </cell>
        </row>
      </sheetData>
      <sheetData sheetId="4955"/>
      <sheetData sheetId="4956"/>
      <sheetData sheetId="4957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/>
      <sheetData sheetId="5002"/>
      <sheetData sheetId="5003"/>
      <sheetData sheetId="5004"/>
      <sheetData sheetId="5005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/>
      <sheetData sheetId="5077"/>
      <sheetData sheetId="5078"/>
      <sheetData sheetId="5079"/>
      <sheetData sheetId="5080"/>
      <sheetData sheetId="5081" refreshError="1"/>
      <sheetData sheetId="5082"/>
      <sheetData sheetId="5083" refreshError="1"/>
      <sheetData sheetId="5084" refreshError="1"/>
      <sheetData sheetId="5085" refreshError="1"/>
      <sheetData sheetId="5086" refreshError="1"/>
      <sheetData sheetId="5087"/>
      <sheetData sheetId="5088" refreshError="1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 refreshError="1"/>
      <sheetData sheetId="5110"/>
      <sheetData sheetId="5111"/>
      <sheetData sheetId="5112"/>
      <sheetData sheetId="5113"/>
      <sheetData sheetId="5114"/>
      <sheetData sheetId="5115">
        <row r="63">
          <cell r="E63">
            <v>3500</v>
          </cell>
        </row>
      </sheetData>
      <sheetData sheetId="5116"/>
      <sheetData sheetId="5117"/>
      <sheetData sheetId="5118"/>
      <sheetData sheetId="5119"/>
      <sheetData sheetId="5120"/>
      <sheetData sheetId="5121"/>
      <sheetData sheetId="5122">
        <row r="3">
          <cell r="D3" t="str">
            <v>OKI  Mill Plant Project:</v>
          </cell>
        </row>
      </sheetData>
      <sheetData sheetId="5123"/>
      <sheetData sheetId="5124"/>
      <sheetData sheetId="5125"/>
      <sheetData sheetId="5126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 refreshError="1"/>
      <sheetData sheetId="5146" refreshError="1"/>
      <sheetData sheetId="5147" refreshError="1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/>
      <sheetData sheetId="5219"/>
      <sheetData sheetId="5220"/>
      <sheetData sheetId="5221"/>
      <sheetData sheetId="5222"/>
      <sheetData sheetId="5223"/>
      <sheetData sheetId="5224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>
        <row r="2">
          <cell r="A2" t="str">
            <v xml:space="preserve">GCM020004                     </v>
          </cell>
        </row>
      </sheetData>
      <sheetData sheetId="5706">
        <row r="2">
          <cell r="A2" t="str">
            <v xml:space="preserve">GCM020004                     </v>
          </cell>
        </row>
      </sheetData>
      <sheetData sheetId="5707" refreshError="1"/>
      <sheetData sheetId="5708" refreshError="1"/>
      <sheetData sheetId="5709">
        <row r="2">
          <cell r="A2" t="str">
            <v xml:space="preserve">GCM020004                     </v>
          </cell>
        </row>
      </sheetData>
      <sheetData sheetId="5710">
        <row r="2">
          <cell r="A2" t="str">
            <v xml:space="preserve">GCM020004                     </v>
          </cell>
        </row>
      </sheetData>
      <sheetData sheetId="5711">
        <row r="2">
          <cell r="A2" t="str">
            <v xml:space="preserve">GCM020004                     </v>
          </cell>
        </row>
      </sheetData>
      <sheetData sheetId="5712">
        <row r="2">
          <cell r="A2" t="str">
            <v xml:space="preserve">GCM020004                     </v>
          </cell>
        </row>
      </sheetData>
      <sheetData sheetId="5713">
        <row r="2">
          <cell r="A2" t="str">
            <v xml:space="preserve">GCM020004                     </v>
          </cell>
        </row>
      </sheetData>
      <sheetData sheetId="5714">
        <row r="2">
          <cell r="A2" t="str">
            <v xml:space="preserve">GCM020004                     </v>
          </cell>
        </row>
      </sheetData>
      <sheetData sheetId="5715">
        <row r="2">
          <cell r="A2" t="str">
            <v xml:space="preserve">GCM020004                     </v>
          </cell>
        </row>
      </sheetData>
      <sheetData sheetId="5716"/>
      <sheetData sheetId="5717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>
        <row r="2">
          <cell r="A2" t="str">
            <v xml:space="preserve">GCM020004                     </v>
          </cell>
        </row>
      </sheetData>
      <sheetData sheetId="5742">
        <row r="2">
          <cell r="A2" t="str">
            <v xml:space="preserve">GCM020004                     </v>
          </cell>
        </row>
      </sheetData>
      <sheetData sheetId="5743">
        <row r="2">
          <cell r="A2" t="str">
            <v xml:space="preserve">GCM020004                     </v>
          </cell>
        </row>
      </sheetData>
      <sheetData sheetId="5744">
        <row r="2">
          <cell r="A2" t="str">
            <v xml:space="preserve">GCM020004                     </v>
          </cell>
        </row>
      </sheetData>
      <sheetData sheetId="5745">
        <row r="2">
          <cell r="A2" t="str">
            <v xml:space="preserve">GCM020004                     </v>
          </cell>
        </row>
      </sheetData>
      <sheetData sheetId="5746">
        <row r="2">
          <cell r="A2" t="str">
            <v xml:space="preserve">GCM020004                     </v>
          </cell>
        </row>
      </sheetData>
      <sheetData sheetId="5747">
        <row r="2">
          <cell r="A2" t="str">
            <v xml:space="preserve">GCM020004                     </v>
          </cell>
        </row>
      </sheetData>
      <sheetData sheetId="5748">
        <row r="2">
          <cell r="A2" t="str">
            <v xml:space="preserve">GCM020004                     </v>
          </cell>
        </row>
      </sheetData>
      <sheetData sheetId="5749">
        <row r="2">
          <cell r="A2" t="str">
            <v xml:space="preserve">GCM020004                     </v>
          </cell>
        </row>
      </sheetData>
      <sheetData sheetId="5750">
        <row r="2">
          <cell r="A2" t="str">
            <v xml:space="preserve">GCM020004                     </v>
          </cell>
        </row>
      </sheetData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/>
      <sheetData sheetId="6692"/>
      <sheetData sheetId="6693" refreshError="1"/>
      <sheetData sheetId="6694" refreshError="1"/>
      <sheetData sheetId="6695" refreshError="1"/>
      <sheetData sheetId="6696" refreshError="1"/>
      <sheetData sheetId="6697"/>
      <sheetData sheetId="6698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>
        <row r="31">
          <cell r="N31">
            <v>906186608.62700033</v>
          </cell>
        </row>
      </sheetData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>
        <row r="31">
          <cell r="N31">
            <v>906186608.62700033</v>
          </cell>
        </row>
      </sheetData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/>
      <sheetData sheetId="6805" refreshError="1"/>
      <sheetData sheetId="6806"/>
      <sheetData sheetId="6807" refreshError="1"/>
      <sheetData sheetId="6808"/>
      <sheetData sheetId="6809" refreshError="1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>
        <row r="31">
          <cell r="N31">
            <v>906186608.62700033</v>
          </cell>
        </row>
      </sheetData>
      <sheetData sheetId="6821">
        <row r="31">
          <cell r="N31">
            <v>906186608.62700033</v>
          </cell>
        </row>
      </sheetData>
      <sheetData sheetId="6822"/>
      <sheetData sheetId="6823"/>
      <sheetData sheetId="6824"/>
      <sheetData sheetId="6825"/>
      <sheetData sheetId="6826"/>
      <sheetData sheetId="6827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>
        <row r="31">
          <cell r="N31">
            <v>906186608.62700033</v>
          </cell>
        </row>
      </sheetData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>
        <row r="31">
          <cell r="N31">
            <v>906186608.62700033</v>
          </cell>
        </row>
      </sheetData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 refreshError="1"/>
      <sheetData sheetId="6916">
        <row r="31">
          <cell r="N31">
            <v>906186608.62700033</v>
          </cell>
        </row>
      </sheetData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>
        <row r="31">
          <cell r="N31">
            <v>906186608.62700033</v>
          </cell>
        </row>
      </sheetData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/>
      <sheetData sheetId="6986"/>
      <sheetData sheetId="6987" refreshError="1"/>
      <sheetData sheetId="6988" refreshError="1"/>
      <sheetData sheetId="6989" refreshError="1"/>
      <sheetData sheetId="6990"/>
      <sheetData sheetId="6991" refreshError="1"/>
      <sheetData sheetId="6992" refreshError="1"/>
      <sheetData sheetId="6993" refreshError="1"/>
      <sheetData sheetId="6994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/>
      <sheetData sheetId="7003" refreshError="1"/>
      <sheetData sheetId="7004"/>
      <sheetData sheetId="7005" refreshError="1"/>
      <sheetData sheetId="7006" refreshError="1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 refreshError="1"/>
      <sheetData sheetId="7016">
        <row r="31">
          <cell r="N31">
            <v>906186608.62700033</v>
          </cell>
        </row>
      </sheetData>
      <sheetData sheetId="7017"/>
      <sheetData sheetId="7018">
        <row r="31">
          <cell r="N31">
            <v>906186608.62700033</v>
          </cell>
        </row>
      </sheetData>
      <sheetData sheetId="7019"/>
      <sheetData sheetId="7020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/>
      <sheetData sheetId="7027"/>
      <sheetData sheetId="7028"/>
      <sheetData sheetId="7029"/>
      <sheetData sheetId="7030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>
        <row r="10">
          <cell r="C10">
            <v>1000</v>
          </cell>
        </row>
      </sheetData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/>
      <sheetData sheetId="7115">
        <row r="31">
          <cell r="N31">
            <v>906186608.62700033</v>
          </cell>
        </row>
      </sheetData>
      <sheetData sheetId="7116"/>
      <sheetData sheetId="7117">
        <row r="31">
          <cell r="N31">
            <v>906186608.62700033</v>
          </cell>
        </row>
      </sheetData>
      <sheetData sheetId="7118"/>
      <sheetData sheetId="7119"/>
      <sheetData sheetId="7120"/>
      <sheetData sheetId="7121"/>
      <sheetData sheetId="7122">
        <row r="2">
          <cell r="A2" t="str">
            <v xml:space="preserve">GCM020004                     </v>
          </cell>
        </row>
      </sheetData>
      <sheetData sheetId="7123"/>
      <sheetData sheetId="7124">
        <row r="2">
          <cell r="A2" t="str">
            <v xml:space="preserve">GCM020004                     </v>
          </cell>
        </row>
      </sheetData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>
        <row r="27">
          <cell r="B27">
            <v>10</v>
          </cell>
        </row>
      </sheetData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>
        <row r="31">
          <cell r="N31">
            <v>906186608.62700033</v>
          </cell>
        </row>
      </sheetData>
      <sheetData sheetId="7166"/>
      <sheetData sheetId="7167">
        <row r="31">
          <cell r="N31">
            <v>906186608.62700033</v>
          </cell>
        </row>
      </sheetData>
      <sheetData sheetId="7168"/>
      <sheetData sheetId="7169" refreshError="1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>
        <row r="10">
          <cell r="C10">
            <v>1000</v>
          </cell>
        </row>
      </sheetData>
      <sheetData sheetId="7186"/>
      <sheetData sheetId="7187" refreshError="1"/>
      <sheetData sheetId="7188" refreshError="1"/>
      <sheetData sheetId="7189" refreshError="1"/>
      <sheetData sheetId="7190"/>
      <sheetData sheetId="7191"/>
      <sheetData sheetId="7192" refreshError="1"/>
      <sheetData sheetId="7193"/>
      <sheetData sheetId="7194">
        <row r="31">
          <cell r="N31">
            <v>906186608.62700033</v>
          </cell>
        </row>
      </sheetData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>
        <row r="10">
          <cell r="C10">
            <v>1000</v>
          </cell>
        </row>
      </sheetData>
      <sheetData sheetId="7210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 refreshError="1"/>
      <sheetData sheetId="7240">
        <row r="10">
          <cell r="C10">
            <v>1000</v>
          </cell>
        </row>
      </sheetData>
      <sheetData sheetId="724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/>
      <sheetData sheetId="7296">
        <row r="27">
          <cell r="B27">
            <v>10</v>
          </cell>
        </row>
      </sheetData>
      <sheetData sheetId="7297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>
        <row r="31">
          <cell r="N31">
            <v>906186608.62700033</v>
          </cell>
        </row>
      </sheetData>
      <sheetData sheetId="7327"/>
      <sheetData sheetId="7328">
        <row r="31">
          <cell r="N31">
            <v>906186608.62700033</v>
          </cell>
        </row>
      </sheetData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/>
      <sheetData sheetId="7364"/>
      <sheetData sheetId="7365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>
        <row r="10">
          <cell r="C10">
            <v>1000</v>
          </cell>
        </row>
      </sheetData>
      <sheetData sheetId="7378"/>
      <sheetData sheetId="7379"/>
      <sheetData sheetId="7380" refreshError="1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/>
      <sheetData sheetId="7397"/>
      <sheetData sheetId="7398"/>
      <sheetData sheetId="7399"/>
      <sheetData sheetId="7400"/>
      <sheetData sheetId="7401">
        <row r="10">
          <cell r="C10">
            <v>1000</v>
          </cell>
        </row>
      </sheetData>
      <sheetData sheetId="7402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>
        <row r="10">
          <cell r="C10">
            <v>1000</v>
          </cell>
        </row>
      </sheetData>
      <sheetData sheetId="7505">
        <row r="27">
          <cell r="B27">
            <v>10</v>
          </cell>
        </row>
      </sheetData>
      <sheetData sheetId="7506"/>
      <sheetData sheetId="7507">
        <row r="27">
          <cell r="B27">
            <v>10</v>
          </cell>
        </row>
      </sheetData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 refreshError="1"/>
      <sheetData sheetId="10022" refreshError="1"/>
      <sheetData sheetId="10023" refreshError="1"/>
      <sheetData sheetId="10024"/>
      <sheetData sheetId="10025"/>
      <sheetData sheetId="10026"/>
      <sheetData sheetId="10027" refreshError="1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/>
      <sheetData sheetId="14339">
        <row r="10">
          <cell r="J10" t="str">
            <v>1</v>
          </cell>
        </row>
      </sheetData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>
        <row r="96">
          <cell r="D96" t="str">
            <v>M3</v>
          </cell>
        </row>
      </sheetData>
      <sheetData sheetId="14355"/>
      <sheetData sheetId="14356" refreshError="1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/>
      <sheetData sheetId="14378"/>
      <sheetData sheetId="14379"/>
      <sheetData sheetId="14380">
        <row r="13">
          <cell r="AW13">
            <v>38057.403129657228</v>
          </cell>
        </row>
      </sheetData>
      <sheetData sheetId="14381"/>
      <sheetData sheetId="14382">
        <row r="13">
          <cell r="AW13">
            <v>38057.403129657228</v>
          </cell>
        </row>
      </sheetData>
      <sheetData sheetId="14383">
        <row r="8">
          <cell r="F8">
            <v>5500</v>
          </cell>
        </row>
      </sheetData>
      <sheetData sheetId="14384">
        <row r="8">
          <cell r="F8">
            <v>5500</v>
          </cell>
        </row>
      </sheetData>
      <sheetData sheetId="14385"/>
      <sheetData sheetId="14386"/>
      <sheetData sheetId="14387"/>
      <sheetData sheetId="14388"/>
      <sheetData sheetId="14389" refreshError="1"/>
      <sheetData sheetId="14390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>
        <row r="6">
          <cell r="F6">
            <v>65000</v>
          </cell>
        </row>
      </sheetData>
      <sheetData sheetId="14409"/>
      <sheetData sheetId="14410"/>
      <sheetData sheetId="14411"/>
      <sheetData sheetId="14412"/>
      <sheetData sheetId="14413"/>
      <sheetData sheetId="14414"/>
      <sheetData sheetId="14415">
        <row r="88">
          <cell r="H88">
            <v>9417400.6240000017</v>
          </cell>
        </row>
      </sheetData>
      <sheetData sheetId="14416"/>
      <sheetData sheetId="14417"/>
      <sheetData sheetId="14418"/>
      <sheetData sheetId="14419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/>
      <sheetData sheetId="14431"/>
      <sheetData sheetId="14432"/>
      <sheetData sheetId="14433">
        <row r="175">
          <cell r="J175">
            <v>180000000</v>
          </cell>
        </row>
      </sheetData>
      <sheetData sheetId="14434"/>
      <sheetData sheetId="14435">
        <row r="175">
          <cell r="J175">
            <v>180000000</v>
          </cell>
        </row>
      </sheetData>
      <sheetData sheetId="14436"/>
      <sheetData sheetId="14437"/>
      <sheetData sheetId="14438"/>
      <sheetData sheetId="14439"/>
      <sheetData sheetId="14440"/>
      <sheetData sheetId="14441"/>
      <sheetData sheetId="14442">
        <row r="10">
          <cell r="J10" t="str">
            <v>1</v>
          </cell>
        </row>
      </sheetData>
      <sheetData sheetId="14443"/>
      <sheetData sheetId="14444" refreshError="1"/>
      <sheetData sheetId="14445" refreshError="1"/>
      <sheetData sheetId="14446"/>
      <sheetData sheetId="14447" refreshError="1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>
        <row r="42">
          <cell r="G42">
            <v>1</v>
          </cell>
        </row>
      </sheetData>
      <sheetData sheetId="14499">
        <row r="121">
          <cell r="L121">
            <v>1</v>
          </cell>
        </row>
      </sheetData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/>
      <sheetData sheetId="14527" refreshError="1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>
        <row r="2">
          <cell r="S2" t="str">
            <v>LENGTH</v>
          </cell>
        </row>
      </sheetData>
      <sheetData sheetId="14537">
        <row r="2">
          <cell r="R2" t="str">
            <v>LENGTH</v>
          </cell>
        </row>
      </sheetData>
      <sheetData sheetId="14538">
        <row r="2">
          <cell r="R2" t="str">
            <v>LENGTH</v>
          </cell>
        </row>
      </sheetData>
      <sheetData sheetId="14539">
        <row r="2">
          <cell r="R2" t="str">
            <v>LENGTH</v>
          </cell>
        </row>
      </sheetData>
      <sheetData sheetId="14540">
        <row r="2">
          <cell r="R2" t="str">
            <v>LENGTH</v>
          </cell>
        </row>
      </sheetData>
      <sheetData sheetId="14541">
        <row r="2">
          <cell r="R2" t="str">
            <v>LENGTH</v>
          </cell>
        </row>
      </sheetData>
      <sheetData sheetId="14542">
        <row r="2">
          <cell r="R2" t="str">
            <v>LENGTH</v>
          </cell>
        </row>
      </sheetData>
      <sheetData sheetId="14543">
        <row r="2">
          <cell r="S2" t="str">
            <v>LENGTH</v>
          </cell>
        </row>
      </sheetData>
      <sheetData sheetId="14544">
        <row r="2">
          <cell r="S2" t="str">
            <v>LENGTH</v>
          </cell>
        </row>
      </sheetData>
      <sheetData sheetId="14545">
        <row r="2">
          <cell r="S2" t="str">
            <v>LENGTH</v>
          </cell>
        </row>
      </sheetData>
      <sheetData sheetId="14546">
        <row r="2">
          <cell r="S2" t="str">
            <v>LENGTH</v>
          </cell>
        </row>
      </sheetData>
      <sheetData sheetId="14547">
        <row r="2">
          <cell r="S2" t="str">
            <v>LENGTH</v>
          </cell>
        </row>
      </sheetData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 refreshError="1"/>
      <sheetData sheetId="14635" refreshError="1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 refreshError="1"/>
      <sheetData sheetId="15600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/>
      <sheetData sheetId="15612"/>
      <sheetData sheetId="15613" refreshError="1"/>
      <sheetData sheetId="15614" refreshError="1"/>
      <sheetData sheetId="15615"/>
      <sheetData sheetId="15616"/>
      <sheetData sheetId="15617"/>
      <sheetData sheetId="15618" refreshError="1"/>
      <sheetData sheetId="15619" refreshError="1"/>
      <sheetData sheetId="15620" refreshError="1"/>
      <sheetData sheetId="15621" refreshError="1"/>
      <sheetData sheetId="15622"/>
      <sheetData sheetId="15623"/>
      <sheetData sheetId="15624"/>
      <sheetData sheetId="15625"/>
      <sheetData sheetId="15626"/>
      <sheetData sheetId="15627" refreshError="1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/>
      <sheetData sheetId="15642"/>
      <sheetData sheetId="15643"/>
      <sheetData sheetId="15644" refreshError="1"/>
      <sheetData sheetId="15645" refreshError="1"/>
      <sheetData sheetId="15646" refreshError="1"/>
      <sheetData sheetId="15647" refreshError="1"/>
      <sheetData sheetId="15648"/>
      <sheetData sheetId="15649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/>
      <sheetData sheetId="15690"/>
      <sheetData sheetId="15691" refreshError="1"/>
      <sheetData sheetId="15692" refreshError="1"/>
      <sheetData sheetId="15693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>
        <row r="62">
          <cell r="P62">
            <v>596900</v>
          </cell>
        </row>
      </sheetData>
      <sheetData sheetId="15727" refreshError="1"/>
      <sheetData sheetId="15728"/>
      <sheetData sheetId="15729"/>
      <sheetData sheetId="15730"/>
      <sheetData sheetId="15731" refreshError="1"/>
      <sheetData sheetId="15732"/>
      <sheetData sheetId="15733" refreshError="1"/>
      <sheetData sheetId="15734"/>
      <sheetData sheetId="15735" refreshError="1"/>
      <sheetData sheetId="15736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>
        <row r="7">
          <cell r="B7" t="str">
            <v>A.</v>
          </cell>
        </row>
      </sheetData>
      <sheetData sheetId="15766"/>
      <sheetData sheetId="15767"/>
      <sheetData sheetId="15768"/>
      <sheetData sheetId="15769" refreshError="1"/>
      <sheetData sheetId="15770" refreshError="1"/>
      <sheetData sheetId="15771" refreshError="1"/>
      <sheetData sheetId="15772"/>
      <sheetData sheetId="15773"/>
      <sheetData sheetId="15774">
        <row r="44">
          <cell r="L44">
            <v>199.90983812415078</v>
          </cell>
        </row>
      </sheetData>
      <sheetData sheetId="15775">
        <row r="46">
          <cell r="M46">
            <v>175.77</v>
          </cell>
        </row>
      </sheetData>
      <sheetData sheetId="15776">
        <row r="48">
          <cell r="N48">
            <v>36.98853260869565</v>
          </cell>
        </row>
      </sheetData>
      <sheetData sheetId="15777">
        <row r="58">
          <cell r="K58">
            <v>1765.2435679999999</v>
          </cell>
        </row>
      </sheetData>
      <sheetData sheetId="15778">
        <row r="46">
          <cell r="L46">
            <v>646.06075999999996</v>
          </cell>
        </row>
      </sheetData>
      <sheetData sheetId="15779">
        <row r="46">
          <cell r="L46">
            <v>52.919999999999987</v>
          </cell>
        </row>
      </sheetData>
      <sheetData sheetId="15780">
        <row r="50">
          <cell r="K50">
            <v>141.39439999999999</v>
          </cell>
        </row>
      </sheetData>
      <sheetData sheetId="15781">
        <row r="44">
          <cell r="K44">
            <v>144.666</v>
          </cell>
        </row>
      </sheetData>
      <sheetData sheetId="15782">
        <row r="46">
          <cell r="K46">
            <v>806.39999999999986</v>
          </cell>
        </row>
      </sheetData>
      <sheetData sheetId="15783">
        <row r="46">
          <cell r="K46">
            <v>138</v>
          </cell>
        </row>
      </sheetData>
      <sheetData sheetId="15784">
        <row r="48">
          <cell r="M48">
            <v>657.62639999999999</v>
          </cell>
        </row>
      </sheetData>
      <sheetData sheetId="15785">
        <row r="84">
          <cell r="L84">
            <v>12077.279500000001</v>
          </cell>
        </row>
      </sheetData>
      <sheetData sheetId="15786">
        <row r="51">
          <cell r="K51">
            <v>23400</v>
          </cell>
        </row>
      </sheetData>
      <sheetData sheetId="15787">
        <row r="42">
          <cell r="N42">
            <v>49.802800000000005</v>
          </cell>
        </row>
      </sheetData>
      <sheetData sheetId="15788">
        <row r="75">
          <cell r="N75">
            <v>7398.5673481099875</v>
          </cell>
        </row>
      </sheetData>
      <sheetData sheetId="15789">
        <row r="38">
          <cell r="J38">
            <v>289.65609999999998</v>
          </cell>
        </row>
      </sheetData>
      <sheetData sheetId="15790"/>
      <sheetData sheetId="15791">
        <row r="47">
          <cell r="M47">
            <v>287.63952</v>
          </cell>
        </row>
      </sheetData>
      <sheetData sheetId="15792">
        <row r="57">
          <cell r="M57">
            <v>124.42386</v>
          </cell>
        </row>
      </sheetData>
      <sheetData sheetId="15793">
        <row r="57">
          <cell r="M57">
            <v>36</v>
          </cell>
        </row>
      </sheetData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 refreshError="1"/>
      <sheetData sheetId="15818" refreshError="1"/>
      <sheetData sheetId="15819" refreshError="1"/>
      <sheetData sheetId="15820" refreshError="1"/>
      <sheetData sheetId="1582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>
        <row r="11">
          <cell r="B11">
            <v>11111</v>
          </cell>
        </row>
      </sheetData>
      <sheetData sheetId="15840"/>
      <sheetData sheetId="15841" refreshError="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 refreshError="1"/>
      <sheetData sheetId="15855"/>
      <sheetData sheetId="15856"/>
      <sheetData sheetId="15857"/>
      <sheetData sheetId="15858"/>
      <sheetData sheetId="15859"/>
      <sheetData sheetId="15860">
        <row r="21">
          <cell r="H21">
            <v>560647</v>
          </cell>
        </row>
      </sheetData>
      <sheetData sheetId="15861"/>
      <sheetData sheetId="15862" refreshError="1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 refreshError="1"/>
      <sheetData sheetId="15874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/>
      <sheetData sheetId="15897"/>
      <sheetData sheetId="15898"/>
      <sheetData sheetId="15899"/>
      <sheetData sheetId="15900"/>
      <sheetData sheetId="1590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jumlahan"/>
      <sheetName val="DAF-1"/>
      <sheetName val="DAF-2"/>
      <sheetName val="DAF-3"/>
      <sheetName val="DAF-4"/>
      <sheetName val="Cover depan"/>
      <sheetName val="cover(PJML)"/>
      <sheetName val="Cover (1)"/>
      <sheetName val="Cover (2)"/>
      <sheetName val="Cover (3)"/>
      <sheetName val="COVER (4)"/>
      <sheetName val="Cover"/>
      <sheetName val="LISTRIK"/>
      <sheetName val="H_Satuan"/>
      <sheetName val="BAG-2"/>
      <sheetName val="BAG_2"/>
      <sheetName val="Analisa"/>
      <sheetName val="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Kurva-s"/>
      <sheetName val="Jadwal Material"/>
      <sheetName val="Jadwal Tenaga"/>
      <sheetName val="REKAB"/>
      <sheetName val="Rekap Add"/>
      <sheetName val="RAB"/>
      <sheetName val="Add"/>
      <sheetName val="ME"/>
      <sheetName val="Material"/>
      <sheetName val="Upah"/>
      <sheetName val="analisa Str"/>
      <sheetName val="Analisa"/>
      <sheetName val="Ana Beton"/>
      <sheetName val="Material-List"/>
      <sheetName val="Ana Sanitair"/>
      <sheetName val="01A- 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.TOTAL"/>
      <sheetName val="upah FINAL"/>
      <sheetName val="pSIAPn LAHAN"/>
      <sheetName val="REK.Stad.UTAMA"/>
      <sheetName val="RINC.Stad. UTAMA"/>
      <sheetName val="REK.Stad.TENNIS"/>
      <sheetName val="RINC.Stad.TENNIS"/>
      <sheetName val="REK.GOR.BASKET"/>
      <sheetName val="RINC.GOR.BASKET"/>
      <sheetName val="analisa FINAL"/>
      <sheetName val="bhn FINAL"/>
      <sheetName val="REK.GOR.GULAT"/>
      <sheetName val="RINC.GOR.GULAT"/>
      <sheetName val="gulat struktur"/>
      <sheetName val="REK.GED.SQUASH"/>
      <sheetName val="RINC.GED.SQUASH"/>
      <sheetName val="REK.LAP.BOLA.Trbuka"/>
      <sheetName val="RINC.LAP.BOLA.Trbuka"/>
      <sheetName val="REK.GED.MANAJ"/>
      <sheetName val="RINC.GED.MANAJ"/>
      <sheetName val="REK.MASJID"/>
      <sheetName val="RINC.MASJID"/>
      <sheetName val="REK.PLAZA"/>
      <sheetName val="RINC.PLAZA"/>
      <sheetName val="REK.PARKIR"/>
      <sheetName val="RINC.PARKIR"/>
      <sheetName val="REK.JALAN"/>
      <sheetName val="RINC.JALAN"/>
      <sheetName val="Drain"/>
      <sheetName val="Anal.Rin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F3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"/>
      <sheetName val="HRG BHN"/>
      <sheetName val="Kr tengahDiva"/>
      <sheetName val="Agregat Halus &amp; Kasar"/>
      <sheetName val="FA"/>
      <sheetName val="Analisa HS"/>
      <sheetName val="SITE-E"/>
      <sheetName val="Man Power"/>
      <sheetName val="DAPRO"/>
      <sheetName val="BL"/>
      <sheetName val="L3 An H Sat Mob"/>
      <sheetName val="rekap mekanikal"/>
      <sheetName val="Fire Alarm"/>
      <sheetName val="L_Mechanical"/>
      <sheetName val="LO"/>
      <sheetName val="BASEMENT"/>
      <sheetName val="Anls"/>
      <sheetName val="Fin-Bengkel"/>
      <sheetName val="Fin-Showroom"/>
      <sheetName val="Hal_Pagar"/>
      <sheetName val="Str-Bengkel"/>
      <sheetName val="Str-Showroom"/>
      <sheetName val="LOADDAT"/>
      <sheetName val="GASATAGG.XLS"/>
      <sheetName val="Informasi"/>
      <sheetName val="EXTERNAL WORK"/>
      <sheetName val="LISTRIK"/>
      <sheetName val="F ALARM"/>
      <sheetName val="AC"/>
      <sheetName val="Isolasi Luar Dalam"/>
      <sheetName val="Isolasi Luar"/>
      <sheetName val="Duct"/>
      <sheetName val="MON_OH"/>
      <sheetName val="BAG_2"/>
      <sheetName val="Analisa _ Upah"/>
      <sheetName val="Analisa &amp; Upah"/>
      <sheetName val="Pipe"/>
      <sheetName val="harga"/>
      <sheetName val="BAG-2"/>
      <sheetName val="Markup"/>
      <sheetName val="ANAL.BOW"/>
      <sheetName val="Break_down"/>
      <sheetName val="Equipment"/>
      <sheetName val="Subkon"/>
      <sheetName val="B - Norelec"/>
      <sheetName val="upahbahan"/>
      <sheetName val="rab me (by owner) "/>
      <sheetName val="BQ (by owner)"/>
      <sheetName val="rab me (fisik)"/>
      <sheetName val="M_12 _2_"/>
      <sheetName val="Persiapan"/>
      <sheetName val="Bill No 2.1 Cold Water System"/>
      <sheetName val="Civil Works"/>
      <sheetName val="analysis"/>
      <sheetName val="A"/>
      <sheetName val="BTL-Persiapan"/>
      <sheetName val="BTL-Bau"/>
      <sheetName val="BTL-alat"/>
      <sheetName val="BTL-Rupa"/>
      <sheetName val="villa"/>
      <sheetName val="KET"/>
      <sheetName val="escon"/>
      <sheetName val="Daftar berat"/>
      <sheetName val="Telephone"/>
      <sheetName val="Rek_ELEKT"/>
      <sheetName val="Fill this out first___"/>
      <sheetName val="Rate"/>
      <sheetName val="Mat.Mek"/>
      <sheetName val="BQ Arsit"/>
      <sheetName val="An HarSatPek"/>
      <sheetName val="Sat Bah &amp; Up"/>
      <sheetName val="REKAP"/>
      <sheetName val="Material"/>
      <sheetName val="Upah"/>
      <sheetName val="anal_alat"/>
      <sheetName val="hsd"/>
      <sheetName val="Unit Rate"/>
      <sheetName val="BQ Stdr R-1"/>
      <sheetName val="01A- RAB"/>
      <sheetName val="G_SUMMARY"/>
      <sheetName val="REKAP_ARSITEKTUR."/>
      <sheetName val="RAB.ADMINISTRASI PUSAT (1)"/>
      <sheetName val="bahan"/>
      <sheetName val="EQ_an"/>
      <sheetName val="RAB_HREZ"/>
      <sheetName val="ANAL_HREZ"/>
      <sheetName val="GFA-20-N"/>
      <sheetName val="L-Mechanical"/>
      <sheetName val="Cover"/>
      <sheetName val="AHS-E"/>
      <sheetName val="BQ-ME"/>
      <sheetName val="Rekap Prelim"/>
      <sheetName val="Sat Upah"/>
      <sheetName val="AC-C"/>
      <sheetName val="Fill this out first..."/>
      <sheetName val="5-Peralatan"/>
      <sheetName val="hardas"/>
      <sheetName val="BHN"/>
      <sheetName val="STD Lanjutan"/>
      <sheetName val="NS Lanjutan"/>
      <sheetName val="alat,bahan,sub"/>
      <sheetName val="BOQ KSN"/>
      <sheetName val="HS Alat"/>
      <sheetName val="HS Upah"/>
      <sheetName val="HS Sub-Kon"/>
      <sheetName val="Anal"/>
      <sheetName val="Analisa ME (2)"/>
      <sheetName val="BQWH3"/>
      <sheetName val="WT-LIST"/>
      <sheetName val="1.B"/>
      <sheetName val="D &amp; W sizes"/>
      <sheetName val="NS GD.UTAMA"/>
      <sheetName val="Valve"/>
      <sheetName val="Sanitair+Drain"/>
      <sheetName val="Flange"/>
      <sheetName val="Pipa (2)"/>
      <sheetName val="Lamp BAP"/>
      <sheetName val="pricing"/>
      <sheetName val="ANALISA"/>
      <sheetName val="Boq"/>
      <sheetName val="bill qty"/>
      <sheetName val="meth hsl nego"/>
      <sheetName val="ANAL. ME"/>
      <sheetName val="BW analisa cika 2005"/>
      <sheetName val="Data"/>
      <sheetName val="Div2"/>
      <sheetName val="MAP-1"/>
      <sheetName val="M&amp;E R"/>
      <sheetName val="RAB PERSIAPAN "/>
      <sheetName val="AHSP"/>
      <sheetName val="Scedule(S-Curve)"/>
      <sheetName val="ANAL_BOW"/>
      <sheetName val="HARSAT"/>
      <sheetName val="Pos 4-1"/>
      <sheetName val="Equip"/>
      <sheetName val="TELEPON"/>
      <sheetName val="PROTEKSI PETIR"/>
      <sheetName val="KABEL FEEDER"/>
      <sheetName val="PENRNGN &amp; KTK-KNTK"/>
      <sheetName val="REKAP-MEK"/>
      <sheetName val="BoQ C4"/>
      <sheetName val="FIRE FIGHTING"/>
      <sheetName val="Master 1.0"/>
      <sheetName val="BANGUNAN PENUNJANG"/>
      <sheetName val="har-sat"/>
      <sheetName val="AC_C"/>
      <sheetName val="Bill of Qty MEP"/>
      <sheetName val="EE-PROP"/>
      <sheetName val="Dasboard"/>
      <sheetName val="H_Upah"/>
      <sheetName val="H-Upah"/>
      <sheetName val="Fin_Showroom"/>
      <sheetName val="Str_Bengkel"/>
      <sheetName val="Str_Showroom"/>
      <sheetName val="HB "/>
      <sheetName val="Transfer Pump"/>
      <sheetName val="D _ W sizes"/>
      <sheetName val="basic"/>
      <sheetName val="I-KAMAR"/>
      <sheetName val="coeff"/>
      <sheetName val="Cable 150kV Ref."/>
      <sheetName val="ALAT"/>
      <sheetName val="eq_data"/>
      <sheetName val="MAIN EQUIP AC"/>
      <sheetName val="MAPDC"/>
      <sheetName val="Data Ktr Bupati Tapsel"/>
      <sheetName val="BAU"/>
      <sheetName val="MADC"/>
      <sheetName val="bilangan"/>
      <sheetName val="Hsat1"/>
      <sheetName val="New MADC"/>
      <sheetName val="Daf_ No_ _ 4_2"/>
      <sheetName val="BASIC-PRICE"/>
      <sheetName val="RKP PLUMBING"/>
      <sheetName val="U_rate"/>
      <sheetName val="Art"/>
      <sheetName val="CPAoC"/>
      <sheetName val="351BQMCN"/>
      <sheetName val="ANALIS.1"/>
      <sheetName val="DUTCH CONE"/>
      <sheetName val="slab"/>
      <sheetName val="Upah Bahan"/>
      <sheetName val="index"/>
      <sheetName val="FAK"/>
      <sheetName val="JADWAL"/>
      <sheetName val="ana_str"/>
      <sheetName val="RAW MATERIALS "/>
      <sheetName val="COST-PERSON-J.O."/>
      <sheetName val="RENTAL1"/>
      <sheetName val="name"/>
      <sheetName val="CBL"/>
      <sheetName val="DAFTAR HARGA"/>
      <sheetName val="Fin_Bengkel"/>
      <sheetName val="DPENSIUN"/>
      <sheetName val="Harga Satuan"/>
      <sheetName val="sheet 2"/>
      <sheetName val="RAB ME"/>
      <sheetName val="EQ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NS GD.UGD"/>
      <sheetName val="STD GD.UGD"/>
      <sheetName val="DAF-2"/>
      <sheetName val="공정양식"/>
      <sheetName val="Rekap Direct Cost"/>
      <sheetName val="Urai _ Guide Post"/>
      <sheetName val="Met_Pas Batu"/>
      <sheetName val="Urai_Galian Tanah"/>
      <sheetName val="Met_ Minor"/>
      <sheetName val="Rates"/>
      <sheetName val="REKAP ARSITEKTUR"/>
      <sheetName val="anal_hs"/>
      <sheetName val="OVERHEAD"/>
      <sheetName val="대비표"/>
      <sheetName val="Eng_Hrs"/>
      <sheetName val="HARGA ALAT"/>
      <sheetName val="UMUM"/>
      <sheetName val="ETAB 1"/>
      <sheetName val="R.A.B."/>
      <sheetName val="Perm. Test"/>
      <sheetName val="AN Panel"/>
      <sheetName val="NS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HS_Alat"/>
      <sheetName val="HS_Upah"/>
      <sheetName val="HS_Sub-Kon"/>
      <sheetName val="Master_1_0"/>
      <sheetName val="BANGUNAN_PENUNJANG"/>
      <sheetName val="bill_qty"/>
      <sheetName val="meth_hsl_nego"/>
      <sheetName val="Mat_Mek"/>
      <sheetName val="D_&amp;_W_sizes"/>
      <sheetName val="Cable_150kV_Ref_"/>
      <sheetName val="MAIN_EQUIP_AC"/>
      <sheetName val="DAFTAR_HARGA"/>
      <sheetName val="ANALIS_1"/>
      <sheetName val="DUTCH_CONE"/>
      <sheetName val="ANALISA 1"/>
      <sheetName val="4-Basic Price"/>
      <sheetName val="bahan+upah"/>
      <sheetName val="Peralatan"/>
      <sheetName val="BOOQ"/>
      <sheetName val="ENC.14"/>
      <sheetName val="Project_P"/>
      <sheetName val="BOI-me"/>
      <sheetName val="MUA"/>
      <sheetName val="BQ struktur"/>
      <sheetName val="AHS"/>
      <sheetName val="hs"/>
      <sheetName val="Analisa Pusaka Jaya"/>
      <sheetName val="AN_Panel"/>
      <sheetName val="HSD_Alat"/>
      <sheetName val="Terbilang"/>
      <sheetName val="Profil"/>
      <sheetName val="Rkp"/>
      <sheetName val="Daf 1"/>
      <sheetName val="NP"/>
      <sheetName val="J"/>
      <sheetName val="EMS"/>
      <sheetName val="RAB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kki"/>
      <sheetName val="fin pro centers"/>
      <sheetName val="SUMMARY"/>
      <sheetName val="LATIH1"/>
      <sheetName val="Data2"/>
      <sheetName val="2.NSB."/>
      <sheetName val="2.SB"/>
      <sheetName val="pinjen"/>
      <sheetName val="M.ITEM"/>
      <sheetName val="BHN.Ars"/>
      <sheetName val="7.NS.H"/>
      <sheetName val="Terbilang sertifikat"/>
      <sheetName val="5-ALAT(1)"/>
      <sheetName val="Report detil kondisi"/>
      <sheetName val="REK"/>
      <sheetName val="REKAP TOTAL"/>
      <sheetName val="2_Plumbing"/>
      <sheetName val="3_FF"/>
      <sheetName val="Material&amp;Upah"/>
      <sheetName val="Piping"/>
      <sheetName val="AHS str"/>
      <sheetName val="AHSbj"/>
      <sheetName val="Lead Schedule"/>
      <sheetName val="rincian per proyek"/>
      <sheetName val="SDM"/>
      <sheetName val="MAP"/>
      <sheetName val="Bill Of Quantity"/>
      <sheetName val="BGN PENUNJANG"/>
      <sheetName val="QSS"/>
      <sheetName val="analisa_gedung"/>
      <sheetName val="ANALISA HARGA SATUAN"/>
      <sheetName val="Panel"/>
      <sheetName val="Inst_penerangan_"/>
      <sheetName val="Plumbing"/>
      <sheetName val="Petir"/>
      <sheetName val="MATV"/>
      <sheetName val="CCTV"/>
      <sheetName val="Alarm"/>
      <sheetName val="Hydran _ springkler"/>
      <sheetName val="BasicPrice"/>
      <sheetName val="Koefisien"/>
      <sheetName val="Daftar Upah,Bhn,&amp; alat"/>
      <sheetName val="Anal Koef"/>
      <sheetName val="Rekap Biaya"/>
      <sheetName val="D.1.2_LT- 1 ~ Atap"/>
      <sheetName val="????"/>
      <sheetName val="AC LOAD"/>
      <sheetName val="Rincian"/>
      <sheetName val="komponen"/>
      <sheetName val="Bill_Qua"/>
      <sheetName val="Market"/>
      <sheetName val="Bill 5 Summary"/>
      <sheetName val="Estimate"/>
      <sheetName val="ALEK"/>
      <sheetName val="Sat~Bahu"/>
      <sheetName val="RAB_STR"/>
      <sheetName val="Hrg_Bahan"/>
      <sheetName val="Mat.Elk"/>
      <sheetName val="AHS Isolasi"/>
      <sheetName val="Ref"/>
      <sheetName val="OHD"/>
      <sheetName val="struktur"/>
      <sheetName val="B _ Norelec"/>
      <sheetName val="Site Expenses"/>
      <sheetName val="Cover Daf-2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Analisa Harga"/>
      <sheetName val="database-emp"/>
      <sheetName val="own"/>
      <sheetName val="Sheet1"/>
      <sheetName val="Up&amp;Bhn "/>
      <sheetName val="SEX"/>
      <sheetName val="KH Bahagia"/>
      <sheetName val="HDasar"/>
      <sheetName val="Upah&amp;Bahan"/>
      <sheetName val="PDMP"/>
      <sheetName val="PCE"/>
      <sheetName val="PRODUK"/>
      <sheetName val="TOOL-ME"/>
      <sheetName val="Input monthly capex"/>
      <sheetName val="INDEKS"/>
      <sheetName val="JABATAN"/>
      <sheetName val="BQ"/>
      <sheetName val="MASTER"/>
      <sheetName val="U&amp;B"/>
      <sheetName val="may'03"/>
      <sheetName val="PENJ.NERACA"/>
      <sheetName val="CASH FLOW"/>
      <sheetName val="ISIAN"/>
      <sheetName val="#REF"/>
      <sheetName val="PRICE-COMP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H. Dasar"/>
      <sheetName val="REKAP ME"/>
      <sheetName val="BoQA"/>
      <sheetName val="2. MVAC R1"/>
      <sheetName val="Analisa 2"/>
      <sheetName val="faktor"/>
      <sheetName val="SOP"/>
      <sheetName val="Sec I ML"/>
      <sheetName val="Cash Flow bulanan"/>
      <sheetName val="3.3b"/>
      <sheetName val="PAGE 1 "/>
      <sheetName val="Main"/>
      <sheetName val="Ammonia"/>
      <sheetName val="PB_B_"/>
      <sheetName val="RAP"/>
      <sheetName val="BIIL ASLI"/>
      <sheetName val="AKUN"/>
      <sheetName val="M"/>
      <sheetName val="Bill 4 Summary"/>
      <sheetName val="KONTRAK INDUK BULANAN"/>
      <sheetName val="Bq Ars"/>
      <sheetName val="Sat Alat"/>
      <sheetName val="GFA 22"/>
      <sheetName val="CC-20-N"/>
      <sheetName val="ANALISA-HST"/>
      <sheetName val="T-3.4 Cost of Equipment"/>
      <sheetName val="HARDAS-ALAT"/>
      <sheetName val="HARDAS-MAT"/>
      <sheetName val="dasar"/>
      <sheetName val="Mtd_Pelak"/>
      <sheetName val="An H.Sat Pek.Ut"/>
      <sheetName val="list"/>
      <sheetName val="Harga Sat Das"/>
      <sheetName val="T-3.2 UP Labour"/>
      <sheetName val="T-3.3 UP Material"/>
      <sheetName val="pivot2"/>
      <sheetName val="pivot1"/>
      <sheetName val="An_Basic"/>
      <sheetName val="소업1교"/>
      <sheetName val="UshDeb00"/>
      <sheetName val="MEP"/>
      <sheetName val="D_S_UPAH"/>
      <sheetName val="Progress"/>
      <sheetName val="KEBALAT"/>
      <sheetName val="FINAL"/>
      <sheetName val="CRUSER"/>
      <sheetName val="BasPri"/>
      <sheetName val="List of Eqp"/>
      <sheetName val="UPA"/>
      <sheetName val="keb-BHN"/>
      <sheetName val="Dashboard"/>
      <sheetName val="alm"/>
      <sheetName val="SELISIH HARGA"/>
      <sheetName val="CH"/>
      <sheetName val="struktur tdk dipakai"/>
      <sheetName val="ELEMEN"/>
      <sheetName val="UPH,BHN,ALT"/>
      <sheetName val="AnalisaKantor"/>
      <sheetName val="bilangkas"/>
      <sheetName val="Summary Sheets"/>
      <sheetName val="REF.ONLY"/>
      <sheetName val="T. Cs Log P III"/>
      <sheetName val="Data Sei Belutu"/>
      <sheetName val="610.6"/>
      <sheetName val="610.5"/>
      <sheetName val="Data Sinabung"/>
      <sheetName val="Kuantitas"/>
      <sheetName val="List Plant"/>
      <sheetName val="SAP"/>
      <sheetName val="Price list"/>
      <sheetName val="ANAL TEKNIK"/>
      <sheetName val="Monitor"/>
      <sheetName val="bhn FINAL"/>
      <sheetName val="Quantity"/>
      <sheetName val="DAF-1"/>
      <sheetName val="Pengalaman Per"/>
      <sheetName val="Unit Cost"/>
      <sheetName val="II.MAIN-LOB"/>
      <sheetName val="HARGA MATERIAL"/>
      <sheetName val="Harsat Bahan"/>
      <sheetName val="Q'ty per m"/>
      <sheetName val="Rate Analysis"/>
      <sheetName val="dtxl"/>
      <sheetName val="Ｎｏ.13"/>
      <sheetName val="General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analisa stroke"/>
      <sheetName val="QUARRY"/>
      <sheetName val="Rekapitulasi"/>
      <sheetName val="Investment Valuation"/>
      <sheetName val="Blk B1"/>
      <sheetName val="ME Apt2"/>
      <sheetName val="PileCap"/>
      <sheetName val="Trafo"/>
      <sheetName val="Elekt"/>
      <sheetName val="PConsCS"/>
      <sheetName val="dia-in"/>
      <sheetName val="bidang"/>
      <sheetName val="DIV1"/>
      <sheetName val="PC"/>
      <sheetName val="Hargasatuan"/>
      <sheetName val="6-AGREGAT"/>
      <sheetName val="Sumber Daya"/>
      <sheetName val="DivVII"/>
      <sheetName val="GAJI"/>
      <sheetName val="PROD"/>
      <sheetName val="Page"/>
      <sheetName val="mek_REKAP"/>
      <sheetName val="UPAH BAHAN ARST"/>
      <sheetName val="ELEC STIS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Agregat_Halus_&amp;_Kasar1"/>
      <sheetName val="HRG_BHN1"/>
      <sheetName val="Analisa_HS1"/>
      <sheetName val="Kr_tengahDiva1"/>
      <sheetName val="L3_An_H_Sat_Mob1"/>
      <sheetName val="Isolasi_Luar_Dalam1"/>
      <sheetName val="Isolasi_Luar1"/>
      <sheetName val="GASATAGG_XLS1"/>
      <sheetName val="EXTERNAL_WORK1"/>
      <sheetName val="Man_Power1"/>
      <sheetName val="B_-_Norelec1"/>
      <sheetName val="rab_me_(by_owner)_1"/>
      <sheetName val="BQ_(by_owner)1"/>
      <sheetName val="rab_me_(fisik)1"/>
      <sheetName val="bill_qty1"/>
      <sheetName val="meth_hsl_nego1"/>
      <sheetName val="AHS_str"/>
      <sheetName val="HS_Alat1"/>
      <sheetName val="HS_Upah1"/>
      <sheetName val="HS_Sub-Kon1"/>
      <sheetName val="HB_"/>
      <sheetName val="An_HarSatPek"/>
      <sheetName val="Harga_Satuan"/>
      <sheetName val="Unit_Rate"/>
      <sheetName val="BQ_Stdr_R-1"/>
      <sheetName val="sheet_2"/>
      <sheetName val="RAB_ME"/>
      <sheetName val="RKP_PLUMBING"/>
      <sheetName val="ANALISA_1"/>
      <sheetName val="4-Basic_Price"/>
      <sheetName val="Perm__Test"/>
      <sheetName val="Pipa_(2)"/>
      <sheetName val="Daftar_Upah,Bhn,&amp;_alat"/>
      <sheetName val="Rekap_Direct_Cost"/>
      <sheetName val="Lamp_BAP"/>
      <sheetName val="BQ_Arsit"/>
      <sheetName val="Sat_Bah_&amp;_Up"/>
      <sheetName val="Data_Ktr_Bupati_Tapsel"/>
      <sheetName val="New_MADC"/>
      <sheetName val="HARGA_ALAT"/>
      <sheetName val="ETAB_1"/>
      <sheetName val="Daf_1"/>
      <sheetName val="KAN__LOKAL"/>
      <sheetName val="GH_Quantity"/>
      <sheetName val="Transfer_Pump"/>
      <sheetName val="RAW_MATERIALS_"/>
      <sheetName val="COST-PERSON-J_O_"/>
      <sheetName val="Analisa_ME"/>
      <sheetName val="Upah_Bahan"/>
      <sheetName val="Urai___Guide_Post"/>
      <sheetName val="Met_Pas_Batu"/>
      <sheetName val="Urai_Galian_Tanah"/>
      <sheetName val="Met__Minor"/>
      <sheetName val="Anal_Koef"/>
      <sheetName val="Rekap_Biaya"/>
      <sheetName val="Daf__No____4_2"/>
      <sheetName val="R_A_B_"/>
      <sheetName val="Up&amp;Bhn_"/>
      <sheetName val="NS_GD_UGD"/>
      <sheetName val="STD_GD_UGD"/>
      <sheetName val="C_2_8"/>
      <sheetName val="C_2_12"/>
      <sheetName val="C_2_5"/>
      <sheetName val="C_2_15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Tie Beam GN"/>
      <sheetName val="Tangga GN"/>
      <sheetName val="ARSITEKTUR"/>
      <sheetName val="Rkp Total"/>
      <sheetName val="DESBT"/>
      <sheetName val="Sheet2"/>
      <sheetName val="INPUT"/>
      <sheetName val="telp"/>
      <sheetName val="Kode"/>
      <sheetName val="Basic Price"/>
      <sheetName val="BQ Mekanikal"/>
      <sheetName val="_Kr tengahDiva.xls聝analysi蕈"/>
      <sheetName val="BANG TONG HOP (2)"/>
      <sheetName val="HQ-TO"/>
      <sheetName val="MobAlt"/>
      <sheetName val="Appendix 2(SatDas)"/>
      <sheetName val="Currency Rate"/>
      <sheetName val="kuantts"/>
      <sheetName val="Har-sat-dasr"/>
      <sheetName val="TE TS FA LAN MATV"/>
      <sheetName val="Bulanan"/>
      <sheetName val="STR"/>
      <sheetName val="Du_lieu"/>
      <sheetName val="3.Mob"/>
      <sheetName val="On Time"/>
      <sheetName val="Curup"/>
      <sheetName val="Prabu"/>
      <sheetName val="PESANTREN"/>
      <sheetName val="G"/>
      <sheetName val="List Material"/>
      <sheetName val="Hrg_elemen"/>
      <sheetName val="hub"/>
      <sheetName val="rab me _by owner_ "/>
      <sheetName val="BQ _by owner_"/>
      <sheetName val="rab me _fisik_"/>
      <sheetName val="Saluran"/>
      <sheetName val="Data-Masukan"/>
      <sheetName val="SAT-DAS"/>
      <sheetName val="Upah_dan_bahan"/>
      <sheetName val="analisa_"/>
      <sheetName val="T-3_4_Cost_of_Equipment"/>
      <sheetName val="Analisa_Pusaka_Jaya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daftar analisa"/>
      <sheetName val="PO-2"/>
      <sheetName val="S-Curve-print"/>
      <sheetName val="Analisa (ok)"/>
      <sheetName val="gvl"/>
      <sheetName val="Pengujian"/>
      <sheetName val="Mobilisasi"/>
      <sheetName val="SUM"/>
      <sheetName val="SATDAS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Terbilang_sertifikat"/>
      <sheetName val="AC_LOAD"/>
      <sheetName val="ENC_14"/>
      <sheetName val="Bill_Of_Quantity"/>
      <sheetName val="BGN_PENUNJANG"/>
      <sheetName val="KH_Bahagia"/>
      <sheetName val="AN_Panel1"/>
      <sheetName val="KONTRAK_INDUK_BULANAN"/>
      <sheetName val="Bq_Ars"/>
      <sheetName val="H__Dasar"/>
      <sheetName val="Sat_Alat"/>
      <sheetName val="Bill_4_Summary"/>
      <sheetName val="GFA_22"/>
      <sheetName val="PENJ_NERACA"/>
      <sheetName val="CASH_FLOW"/>
      <sheetName val="List_of_Eqp"/>
      <sheetName val="REKAP_ME"/>
      <sheetName val="SELISIH_HARGA"/>
      <sheetName val="struktur_tdk_dipakai"/>
      <sheetName val="B___Norelec"/>
      <sheetName val="Site_Expenses"/>
      <sheetName val="2__MVAC_R1"/>
      <sheetName val="Cover_Daf-2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T__Cs_Log_P_III"/>
      <sheetName val="REF_ONLY"/>
      <sheetName val="Mat_Elk"/>
      <sheetName val="AHS_Isolasi"/>
      <sheetName val="Data_Sei_Belutu"/>
      <sheetName val="610_6"/>
      <sheetName val="610_5"/>
      <sheetName val="Data_Sinabung"/>
      <sheetName val="List_Plant"/>
      <sheetName val="3_Mob"/>
      <sheetName val="Price_list"/>
      <sheetName val="ANAL_TEKNIK"/>
      <sheetName val="bhn_FINAL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一発シート"/>
      <sheetName val="SubmitCal"/>
      <sheetName val="LAIN-LAIN"/>
      <sheetName val="PRELIM"/>
      <sheetName val="Analisa HSP"/>
      <sheetName val="Galian 1"/>
      <sheetName val="Kuantitas &amp; Harga"/>
      <sheetName val="402"/>
      <sheetName val="beam"/>
      <sheetName val="KJ 2002"/>
      <sheetName val="Break Down"/>
      <sheetName val="Uph&amp;bhn"/>
      <sheetName val="ANAL-TRM"/>
      <sheetName val="MP3"/>
      <sheetName val="List Pla_x0000_È"/>
      <sheetName val="TOTAL Agustus"/>
      <sheetName val="DAF.ALAT"/>
      <sheetName val="Har_mat"/>
      <sheetName val="Harsat_marina"/>
      <sheetName val="ana_struktur"/>
      <sheetName val="HB"/>
      <sheetName val="3"/>
      <sheetName val="1.2"/>
      <sheetName val="33"/>
      <sheetName val="대비"/>
      <sheetName val="Vendor Information"/>
      <sheetName val="BAHAN (2)"/>
      <sheetName val="DAF-BAHAN"/>
      <sheetName val="DAF-UPAH"/>
      <sheetName val="Tata Udara"/>
      <sheetName val="MS"/>
      <sheetName val="Data Tower"/>
      <sheetName val="M.Pekerjaan"/>
      <sheetName val="Proposal"/>
      <sheetName val="7.공정표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집계표(OPTION)"/>
      <sheetName val="K3"/>
      <sheetName val="MATRL"/>
      <sheetName val="KALKULASI"/>
      <sheetName val="CASHFLOW FORECAST"/>
      <sheetName val="Div.1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price"/>
      <sheetName val="Data Pendukung"/>
      <sheetName val="Analisa-Harga"/>
      <sheetName val="Master Edit"/>
      <sheetName val="Hst_mat"/>
      <sheetName val="Vibro_Roller"/>
      <sheetName val="UPAH&amp;BHN"/>
      <sheetName val="AI"/>
      <sheetName val="REQDELTA"/>
      <sheetName val="P&amp;L"/>
      <sheetName val="Sum IF"/>
      <sheetName val="Daftar Upah"/>
      <sheetName val="JadwaPenugasanl"/>
      <sheetName val="Speck ARSITEK"/>
      <sheetName val="Stden center"/>
      <sheetName val="Uraian Analisa"/>
      <sheetName val="Material-List,mekanikal"/>
      <sheetName val="metode"/>
      <sheetName val="LR-OKT-06"/>
      <sheetName val="ANALISA PEK.UMUM"/>
      <sheetName val="Cessie"/>
      <sheetName val="hitungan"/>
      <sheetName val="schman"/>
      <sheetName val="schmat"/>
      <sheetName val="."/>
      <sheetName val="SAT UPH BHN"/>
      <sheetName val="Analisa Upah &amp; Bahan Plum"/>
      <sheetName val="JSiar"/>
      <sheetName val="DHSD"/>
      <sheetName val="Assumption &amp; Dashboard."/>
      <sheetName val="sanitair"/>
      <sheetName val="A-Pintu"/>
      <sheetName val="4.2 Public"/>
      <sheetName val="BQ-E20-02(Rp)"/>
      <sheetName val="BUL. A"/>
      <sheetName val="hrg-sat.pek"/>
      <sheetName val="Anl"/>
      <sheetName val="(ANALISA-lain)"/>
      <sheetName val="TPI"/>
      <sheetName val="data_Asli"/>
      <sheetName val="Lt 1"/>
      <sheetName val="AQC"/>
      <sheetName val="Detail-AQC"/>
      <sheetName val="TABEL-DETASIR"/>
      <sheetName val="List P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6">
          <cell r="C106" t="str">
            <v>Hour</v>
          </cell>
          <cell r="D106">
            <v>50625</v>
          </cell>
          <cell r="E106">
            <v>25312.5</v>
          </cell>
          <cell r="F106">
            <v>5000</v>
          </cell>
          <cell r="G106">
            <v>7142.8571428571431</v>
          </cell>
          <cell r="H106">
            <v>7142.8571428571431</v>
          </cell>
          <cell r="I106">
            <v>55000</v>
          </cell>
          <cell r="J106">
            <v>6666.67</v>
          </cell>
          <cell r="K106">
            <v>7700</v>
          </cell>
          <cell r="L106">
            <v>80937.5</v>
          </cell>
          <cell r="M106">
            <v>76509.527142857143</v>
          </cell>
          <cell r="N106">
            <v>157447.02714285717</v>
          </cell>
          <cell r="O106">
            <v>80937.5</v>
          </cell>
          <cell r="P106">
            <v>76509.527142857143</v>
          </cell>
        </row>
        <row r="107">
          <cell r="C107" t="str">
            <v>Hour</v>
          </cell>
          <cell r="D107">
            <v>4500</v>
          </cell>
          <cell r="E107">
            <v>2700</v>
          </cell>
          <cell r="F107">
            <v>531</v>
          </cell>
          <cell r="G107">
            <v>4250</v>
          </cell>
          <cell r="H107">
            <v>850</v>
          </cell>
          <cell r="I107">
            <v>4250</v>
          </cell>
          <cell r="J107">
            <v>850</v>
          </cell>
          <cell r="K107">
            <v>5100</v>
          </cell>
          <cell r="L107">
            <v>0</v>
          </cell>
          <cell r="M107">
            <v>0</v>
          </cell>
          <cell r="N107">
            <v>12831</v>
          </cell>
          <cell r="O107">
            <v>7731</v>
          </cell>
          <cell r="P107">
            <v>5100</v>
          </cell>
        </row>
        <row r="108">
          <cell r="C108" t="str">
            <v>Hour</v>
          </cell>
          <cell r="D108">
            <v>2250</v>
          </cell>
          <cell r="E108">
            <v>405</v>
          </cell>
          <cell r="F108">
            <v>7600</v>
          </cell>
          <cell r="G108">
            <v>7600</v>
          </cell>
          <cell r="H108">
            <v>0</v>
          </cell>
          <cell r="I108">
            <v>5000</v>
          </cell>
          <cell r="J108">
            <v>225</v>
          </cell>
          <cell r="K108">
            <v>0</v>
          </cell>
          <cell r="L108">
            <v>2655</v>
          </cell>
          <cell r="M108">
            <v>12825</v>
          </cell>
          <cell r="N108">
            <v>15480</v>
          </cell>
          <cell r="O108">
            <v>2655</v>
          </cell>
          <cell r="P108">
            <v>12825</v>
          </cell>
        </row>
        <row r="109">
          <cell r="C109" t="str">
            <v>Hour</v>
          </cell>
          <cell r="D109">
            <v>8250</v>
          </cell>
          <cell r="E109">
            <v>3300</v>
          </cell>
          <cell r="F109">
            <v>1093.75</v>
          </cell>
          <cell r="G109">
            <v>16730</v>
          </cell>
          <cell r="H109">
            <v>0</v>
          </cell>
          <cell r="I109">
            <v>9125</v>
          </cell>
          <cell r="J109">
            <v>1600</v>
          </cell>
          <cell r="K109">
            <v>0</v>
          </cell>
          <cell r="L109">
            <v>40098.75</v>
          </cell>
          <cell r="M109">
            <v>12643.75</v>
          </cell>
          <cell r="N109">
            <v>40098.75</v>
          </cell>
          <cell r="O109">
            <v>12643.75</v>
          </cell>
          <cell r="P109">
            <v>27455</v>
          </cell>
        </row>
        <row r="110">
          <cell r="C110" t="str">
            <v>Hour</v>
          </cell>
          <cell r="D110">
            <v>22800</v>
          </cell>
          <cell r="E110">
            <v>5700</v>
          </cell>
          <cell r="F110">
            <v>0</v>
          </cell>
          <cell r="G110">
            <v>22800</v>
          </cell>
          <cell r="H110">
            <v>5700</v>
          </cell>
          <cell r="I110">
            <v>0</v>
          </cell>
          <cell r="J110">
            <v>128500</v>
          </cell>
          <cell r="K110">
            <v>100000</v>
          </cell>
          <cell r="L110">
            <v>0</v>
          </cell>
          <cell r="M110">
            <v>0</v>
          </cell>
          <cell r="N110">
            <v>128500</v>
          </cell>
          <cell r="O110">
            <v>0</v>
          </cell>
          <cell r="P110">
            <v>128500</v>
          </cell>
        </row>
        <row r="111">
          <cell r="C111" t="str">
            <v>Hour</v>
          </cell>
          <cell r="D111">
            <v>25000</v>
          </cell>
          <cell r="E111">
            <v>0</v>
          </cell>
          <cell r="F111">
            <v>0</v>
          </cell>
          <cell r="G111">
            <v>16280</v>
          </cell>
          <cell r="H111">
            <v>0</v>
          </cell>
          <cell r="I111">
            <v>15500</v>
          </cell>
          <cell r="J111">
            <v>2500</v>
          </cell>
          <cell r="K111">
            <v>0</v>
          </cell>
          <cell r="L111">
            <v>59280</v>
          </cell>
          <cell r="M111">
            <v>25000</v>
          </cell>
          <cell r="N111">
            <v>59280</v>
          </cell>
          <cell r="O111">
            <v>25000</v>
          </cell>
          <cell r="P111">
            <v>34280</v>
          </cell>
        </row>
        <row r="112">
          <cell r="C112" t="str">
            <v>Ls</v>
          </cell>
          <cell r="D112">
            <v>1000</v>
          </cell>
          <cell r="E112">
            <v>1000</v>
          </cell>
          <cell r="F112">
            <v>0</v>
          </cell>
          <cell r="G112">
            <v>1000</v>
          </cell>
          <cell r="H112">
            <v>0</v>
          </cell>
          <cell r="I112">
            <v>0</v>
          </cell>
          <cell r="J112">
            <v>0</v>
          </cell>
          <cell r="K112">
            <v>1000</v>
          </cell>
          <cell r="L112">
            <v>0</v>
          </cell>
          <cell r="M112">
            <v>0</v>
          </cell>
          <cell r="N112">
            <v>1000</v>
          </cell>
          <cell r="O112">
            <v>0</v>
          </cell>
          <cell r="P112">
            <v>1000</v>
          </cell>
        </row>
        <row r="113">
          <cell r="C113" t="str">
            <v>Hour</v>
          </cell>
          <cell r="D113">
            <v>7865</v>
          </cell>
          <cell r="E113">
            <v>5160</v>
          </cell>
          <cell r="F113">
            <v>830</v>
          </cell>
          <cell r="G113">
            <v>0</v>
          </cell>
          <cell r="H113">
            <v>0</v>
          </cell>
          <cell r="I113">
            <v>1750</v>
          </cell>
          <cell r="J113">
            <v>0</v>
          </cell>
          <cell r="K113">
            <v>0</v>
          </cell>
          <cell r="L113">
            <v>15605</v>
          </cell>
          <cell r="M113">
            <v>13855</v>
          </cell>
          <cell r="N113">
            <v>15605</v>
          </cell>
          <cell r="O113">
            <v>13855</v>
          </cell>
          <cell r="P113">
            <v>1750</v>
          </cell>
        </row>
        <row r="114">
          <cell r="C114" t="str">
            <v>Hour</v>
          </cell>
          <cell r="D114">
            <v>28500</v>
          </cell>
          <cell r="E114">
            <v>5700</v>
          </cell>
          <cell r="F114">
            <v>130000</v>
          </cell>
          <cell r="G114">
            <v>28500</v>
          </cell>
          <cell r="H114">
            <v>5700</v>
          </cell>
          <cell r="I114">
            <v>164200</v>
          </cell>
          <cell r="J114">
            <v>0</v>
          </cell>
          <cell r="K114">
            <v>130000</v>
          </cell>
          <cell r="L114">
            <v>0</v>
          </cell>
          <cell r="M114">
            <v>0</v>
          </cell>
          <cell r="N114">
            <v>164200</v>
          </cell>
          <cell r="O114">
            <v>0</v>
          </cell>
          <cell r="P114">
            <v>164200</v>
          </cell>
        </row>
        <row r="115">
          <cell r="C115" t="str">
            <v>Hour</v>
          </cell>
          <cell r="D115">
            <v>28500</v>
          </cell>
          <cell r="E115">
            <v>5700</v>
          </cell>
          <cell r="F115">
            <v>130000</v>
          </cell>
          <cell r="G115">
            <v>28500</v>
          </cell>
          <cell r="H115">
            <v>5700</v>
          </cell>
          <cell r="I115">
            <v>164200</v>
          </cell>
          <cell r="J115">
            <v>0</v>
          </cell>
          <cell r="K115">
            <v>130000</v>
          </cell>
          <cell r="L115">
            <v>0</v>
          </cell>
          <cell r="M115">
            <v>0</v>
          </cell>
          <cell r="N115">
            <v>164200</v>
          </cell>
          <cell r="O115">
            <v>0</v>
          </cell>
          <cell r="P115">
            <v>164200</v>
          </cell>
        </row>
        <row r="116">
          <cell r="C116" t="str">
            <v>Hour</v>
          </cell>
          <cell r="D116">
            <v>1750</v>
          </cell>
          <cell r="E116">
            <v>315</v>
          </cell>
          <cell r="F116">
            <v>21.88</v>
          </cell>
          <cell r="G116">
            <v>2087.5</v>
          </cell>
          <cell r="H116">
            <v>445.5</v>
          </cell>
          <cell r="I116">
            <v>875</v>
          </cell>
          <cell r="J116">
            <v>175</v>
          </cell>
          <cell r="K116">
            <v>280</v>
          </cell>
          <cell r="L116">
            <v>5949.88</v>
          </cell>
          <cell r="M116">
            <v>2086.88</v>
          </cell>
          <cell r="N116">
            <v>5949.88</v>
          </cell>
          <cell r="O116">
            <v>2086.88</v>
          </cell>
          <cell r="P116">
            <v>3863</v>
          </cell>
        </row>
        <row r="117">
          <cell r="C117" t="str">
            <v>Hour</v>
          </cell>
          <cell r="D117">
            <v>15200</v>
          </cell>
          <cell r="E117">
            <v>4300</v>
          </cell>
          <cell r="F117">
            <v>1000</v>
          </cell>
          <cell r="G117">
            <v>15200</v>
          </cell>
          <cell r="H117">
            <v>4300</v>
          </cell>
          <cell r="I117">
            <v>0</v>
          </cell>
          <cell r="J117">
            <v>1000</v>
          </cell>
          <cell r="K117">
            <v>60000</v>
          </cell>
          <cell r="L117">
            <v>0</v>
          </cell>
          <cell r="M117">
            <v>0</v>
          </cell>
          <cell r="N117">
            <v>80500</v>
          </cell>
          <cell r="O117">
            <v>0</v>
          </cell>
          <cell r="P117">
            <v>80500</v>
          </cell>
        </row>
        <row r="118">
          <cell r="C118" t="str">
            <v>Hour</v>
          </cell>
          <cell r="D118">
            <v>15200</v>
          </cell>
          <cell r="E118">
            <v>0</v>
          </cell>
          <cell r="F118">
            <v>1000</v>
          </cell>
          <cell r="G118">
            <v>15200</v>
          </cell>
          <cell r="H118">
            <v>0</v>
          </cell>
          <cell r="I118">
            <v>0</v>
          </cell>
          <cell r="J118">
            <v>1000</v>
          </cell>
          <cell r="K118">
            <v>0</v>
          </cell>
          <cell r="L118">
            <v>0</v>
          </cell>
          <cell r="M118">
            <v>0</v>
          </cell>
          <cell r="N118">
            <v>16200</v>
          </cell>
          <cell r="O118">
            <v>0</v>
          </cell>
          <cell r="P118">
            <v>16200</v>
          </cell>
        </row>
        <row r="119">
          <cell r="C119" t="str">
            <v>Hour</v>
          </cell>
          <cell r="D119">
            <v>50000</v>
          </cell>
          <cell r="E119">
            <v>0</v>
          </cell>
          <cell r="F119">
            <v>0</v>
          </cell>
          <cell r="G119">
            <v>29275</v>
          </cell>
          <cell r="H119">
            <v>0</v>
          </cell>
          <cell r="I119">
            <v>33500</v>
          </cell>
          <cell r="J119">
            <v>7500</v>
          </cell>
          <cell r="K119">
            <v>0</v>
          </cell>
          <cell r="L119">
            <v>120275</v>
          </cell>
          <cell r="M119">
            <v>50000</v>
          </cell>
          <cell r="N119">
            <v>120275</v>
          </cell>
          <cell r="O119">
            <v>50000</v>
          </cell>
          <cell r="P119">
            <v>70275</v>
          </cell>
        </row>
        <row r="120">
          <cell r="C120" t="str">
            <v>Hour</v>
          </cell>
          <cell r="D120">
            <v>0</v>
          </cell>
          <cell r="E120">
            <v>0</v>
          </cell>
          <cell r="F120">
            <v>0</v>
          </cell>
          <cell r="G120">
            <v>38000</v>
          </cell>
          <cell r="H120">
            <v>5700</v>
          </cell>
          <cell r="I120">
            <v>0</v>
          </cell>
          <cell r="J120">
            <v>0</v>
          </cell>
          <cell r="K120">
            <v>125000</v>
          </cell>
          <cell r="L120">
            <v>168700</v>
          </cell>
          <cell r="M120">
            <v>0</v>
          </cell>
          <cell r="N120">
            <v>168700</v>
          </cell>
          <cell r="O120">
            <v>0</v>
          </cell>
          <cell r="P120">
            <v>168700</v>
          </cell>
        </row>
        <row r="121">
          <cell r="O121">
            <v>0</v>
          </cell>
        </row>
        <row r="122">
          <cell r="N122">
            <v>165583</v>
          </cell>
          <cell r="O12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>
        <row r="106">
          <cell r="C106" t="str">
            <v>Hour</v>
          </cell>
        </row>
      </sheetData>
      <sheetData sheetId="817">
        <row r="106">
          <cell r="C106" t="str">
            <v>Hour</v>
          </cell>
        </row>
      </sheetData>
      <sheetData sheetId="818">
        <row r="106">
          <cell r="C106" t="str">
            <v>Hour</v>
          </cell>
        </row>
      </sheetData>
      <sheetData sheetId="819">
        <row r="106">
          <cell r="C106" t="str">
            <v>Hour</v>
          </cell>
        </row>
      </sheetData>
      <sheetData sheetId="820">
        <row r="106">
          <cell r="C106" t="str">
            <v>Hour</v>
          </cell>
        </row>
      </sheetData>
      <sheetData sheetId="821">
        <row r="106">
          <cell r="C106" t="str">
            <v>Hour</v>
          </cell>
        </row>
      </sheetData>
      <sheetData sheetId="822">
        <row r="106">
          <cell r="C106" t="str">
            <v>Hour</v>
          </cell>
        </row>
      </sheetData>
      <sheetData sheetId="823">
        <row r="106">
          <cell r="C106" t="str">
            <v>Hour</v>
          </cell>
        </row>
      </sheetData>
      <sheetData sheetId="824">
        <row r="106">
          <cell r="C106" t="str">
            <v>Hour</v>
          </cell>
        </row>
      </sheetData>
      <sheetData sheetId="825">
        <row r="106">
          <cell r="C106" t="str">
            <v>Hour</v>
          </cell>
        </row>
      </sheetData>
      <sheetData sheetId="826">
        <row r="106">
          <cell r="C106" t="str">
            <v>Hour</v>
          </cell>
        </row>
      </sheetData>
      <sheetData sheetId="827">
        <row r="106">
          <cell r="C106" t="str">
            <v>Hour</v>
          </cell>
        </row>
      </sheetData>
      <sheetData sheetId="828">
        <row r="106">
          <cell r="C106" t="str">
            <v>Hour</v>
          </cell>
        </row>
      </sheetData>
      <sheetData sheetId="829">
        <row r="106">
          <cell r="C106" t="str">
            <v>Hour</v>
          </cell>
        </row>
      </sheetData>
      <sheetData sheetId="830">
        <row r="106">
          <cell r="C106" t="str">
            <v>Hour</v>
          </cell>
        </row>
      </sheetData>
      <sheetData sheetId="831">
        <row r="106">
          <cell r="C106" t="str">
            <v>Hour</v>
          </cell>
        </row>
      </sheetData>
      <sheetData sheetId="832">
        <row r="106">
          <cell r="C106" t="str">
            <v>Hour</v>
          </cell>
        </row>
      </sheetData>
      <sheetData sheetId="833">
        <row r="106">
          <cell r="C106" t="str">
            <v>Hour</v>
          </cell>
        </row>
      </sheetData>
      <sheetData sheetId="834">
        <row r="106">
          <cell r="C106" t="str">
            <v>Hour</v>
          </cell>
        </row>
      </sheetData>
      <sheetData sheetId="835">
        <row r="106">
          <cell r="C106" t="str">
            <v>Hour</v>
          </cell>
        </row>
      </sheetData>
      <sheetData sheetId="836">
        <row r="106">
          <cell r="C106" t="str">
            <v>Hour</v>
          </cell>
        </row>
      </sheetData>
      <sheetData sheetId="837">
        <row r="106">
          <cell r="C106" t="str">
            <v>Hour</v>
          </cell>
        </row>
      </sheetData>
      <sheetData sheetId="838">
        <row r="106">
          <cell r="C106" t="str">
            <v>Hour</v>
          </cell>
        </row>
      </sheetData>
      <sheetData sheetId="839">
        <row r="106">
          <cell r="C106" t="str">
            <v>Hour</v>
          </cell>
        </row>
      </sheetData>
      <sheetData sheetId="840">
        <row r="106">
          <cell r="C106" t="str">
            <v>Hour</v>
          </cell>
        </row>
      </sheetData>
      <sheetData sheetId="841">
        <row r="106">
          <cell r="C106" t="str">
            <v>Hour</v>
          </cell>
        </row>
      </sheetData>
      <sheetData sheetId="842">
        <row r="106">
          <cell r="C106" t="str">
            <v>Hour</v>
          </cell>
        </row>
      </sheetData>
      <sheetData sheetId="843">
        <row r="106">
          <cell r="C106" t="str">
            <v>Hour</v>
          </cell>
        </row>
      </sheetData>
      <sheetData sheetId="844">
        <row r="106">
          <cell r="C106" t="str">
            <v>Hour</v>
          </cell>
        </row>
      </sheetData>
      <sheetData sheetId="845">
        <row r="106">
          <cell r="C106" t="str">
            <v>Hour</v>
          </cell>
        </row>
      </sheetData>
      <sheetData sheetId="846">
        <row r="106">
          <cell r="C106" t="str">
            <v>Hour</v>
          </cell>
        </row>
      </sheetData>
      <sheetData sheetId="847">
        <row r="106">
          <cell r="C106" t="str">
            <v>Hour</v>
          </cell>
        </row>
      </sheetData>
      <sheetData sheetId="848">
        <row r="106">
          <cell r="C106" t="str">
            <v>Hour</v>
          </cell>
        </row>
      </sheetData>
      <sheetData sheetId="849">
        <row r="106">
          <cell r="C106" t="str">
            <v>Hour</v>
          </cell>
        </row>
      </sheetData>
      <sheetData sheetId="850">
        <row r="106">
          <cell r="C106" t="str">
            <v>Hour</v>
          </cell>
        </row>
      </sheetData>
      <sheetData sheetId="851">
        <row r="106">
          <cell r="C106" t="str">
            <v>Hour</v>
          </cell>
        </row>
      </sheetData>
      <sheetData sheetId="852">
        <row r="106">
          <cell r="C106" t="str">
            <v>Hour</v>
          </cell>
        </row>
      </sheetData>
      <sheetData sheetId="853">
        <row r="106">
          <cell r="C106" t="str">
            <v>Hour</v>
          </cell>
        </row>
      </sheetData>
      <sheetData sheetId="854">
        <row r="106">
          <cell r="C106" t="str">
            <v>Hour</v>
          </cell>
        </row>
      </sheetData>
      <sheetData sheetId="855">
        <row r="106">
          <cell r="C106" t="str">
            <v>Hour</v>
          </cell>
        </row>
      </sheetData>
      <sheetData sheetId="856">
        <row r="106">
          <cell r="C106" t="str">
            <v>Hour</v>
          </cell>
        </row>
      </sheetData>
      <sheetData sheetId="857">
        <row r="106">
          <cell r="C106" t="str">
            <v>Hour</v>
          </cell>
        </row>
      </sheetData>
      <sheetData sheetId="858">
        <row r="106">
          <cell r="C106" t="str">
            <v>Hour</v>
          </cell>
        </row>
      </sheetData>
      <sheetData sheetId="859">
        <row r="106">
          <cell r="C106" t="str">
            <v>Hour</v>
          </cell>
        </row>
      </sheetData>
      <sheetData sheetId="860">
        <row r="106">
          <cell r="C106" t="str">
            <v>Hour</v>
          </cell>
        </row>
      </sheetData>
      <sheetData sheetId="861">
        <row r="106">
          <cell r="C106" t="str">
            <v>Hour</v>
          </cell>
        </row>
      </sheetData>
      <sheetData sheetId="862">
        <row r="106">
          <cell r="C106" t="str">
            <v>Hour</v>
          </cell>
        </row>
      </sheetData>
      <sheetData sheetId="863">
        <row r="106">
          <cell r="C106" t="str">
            <v>Hour</v>
          </cell>
        </row>
      </sheetData>
      <sheetData sheetId="864">
        <row r="106">
          <cell r="C106" t="str">
            <v>Hour</v>
          </cell>
        </row>
      </sheetData>
      <sheetData sheetId="865">
        <row r="106">
          <cell r="C106" t="str">
            <v>Hour</v>
          </cell>
        </row>
      </sheetData>
      <sheetData sheetId="866">
        <row r="106">
          <cell r="C106" t="str">
            <v>Hour</v>
          </cell>
        </row>
      </sheetData>
      <sheetData sheetId="867">
        <row r="106">
          <cell r="C106" t="str">
            <v>Hour</v>
          </cell>
        </row>
      </sheetData>
      <sheetData sheetId="868">
        <row r="106">
          <cell r="C106" t="str">
            <v>Hour</v>
          </cell>
        </row>
      </sheetData>
      <sheetData sheetId="869">
        <row r="106">
          <cell r="C106" t="str">
            <v>Hour</v>
          </cell>
        </row>
      </sheetData>
      <sheetData sheetId="870">
        <row r="106">
          <cell r="C106" t="str">
            <v>Hour</v>
          </cell>
        </row>
      </sheetData>
      <sheetData sheetId="871">
        <row r="106">
          <cell r="C106" t="str">
            <v>Hour</v>
          </cell>
        </row>
      </sheetData>
      <sheetData sheetId="872">
        <row r="106">
          <cell r="C106" t="str">
            <v>Hour</v>
          </cell>
        </row>
      </sheetData>
      <sheetData sheetId="873">
        <row r="106">
          <cell r="C106" t="str">
            <v>Hour</v>
          </cell>
        </row>
      </sheetData>
      <sheetData sheetId="874">
        <row r="106">
          <cell r="C106" t="str">
            <v>Hour</v>
          </cell>
        </row>
      </sheetData>
      <sheetData sheetId="875">
        <row r="106">
          <cell r="C106" t="str">
            <v>Hour</v>
          </cell>
        </row>
      </sheetData>
      <sheetData sheetId="876">
        <row r="106">
          <cell r="C106" t="str">
            <v>Hour</v>
          </cell>
        </row>
      </sheetData>
      <sheetData sheetId="877">
        <row r="106">
          <cell r="C106" t="str">
            <v>Hour</v>
          </cell>
        </row>
      </sheetData>
      <sheetData sheetId="878">
        <row r="106">
          <cell r="C106" t="str">
            <v>Hour</v>
          </cell>
        </row>
      </sheetData>
      <sheetData sheetId="879">
        <row r="106">
          <cell r="C106" t="str">
            <v>Hour</v>
          </cell>
        </row>
      </sheetData>
      <sheetData sheetId="880">
        <row r="106">
          <cell r="C106" t="str">
            <v>Hour</v>
          </cell>
        </row>
      </sheetData>
      <sheetData sheetId="881">
        <row r="106">
          <cell r="C106" t="str">
            <v>Hour</v>
          </cell>
        </row>
      </sheetData>
      <sheetData sheetId="882">
        <row r="106">
          <cell r="C106" t="str">
            <v>Hour</v>
          </cell>
        </row>
      </sheetData>
      <sheetData sheetId="883">
        <row r="106">
          <cell r="C106" t="str">
            <v>Hour</v>
          </cell>
        </row>
      </sheetData>
      <sheetData sheetId="884">
        <row r="106">
          <cell r="C106" t="str">
            <v>Hour</v>
          </cell>
        </row>
      </sheetData>
      <sheetData sheetId="885">
        <row r="106">
          <cell r="C106" t="str">
            <v>Hour</v>
          </cell>
        </row>
      </sheetData>
      <sheetData sheetId="886">
        <row r="106">
          <cell r="C106" t="str">
            <v>Hour</v>
          </cell>
        </row>
      </sheetData>
      <sheetData sheetId="887">
        <row r="106">
          <cell r="C106" t="str">
            <v>Hour</v>
          </cell>
        </row>
      </sheetData>
      <sheetData sheetId="888">
        <row r="106">
          <cell r="C106" t="str">
            <v>Hour</v>
          </cell>
        </row>
      </sheetData>
      <sheetData sheetId="889">
        <row r="106">
          <cell r="C106" t="str">
            <v>Hour</v>
          </cell>
        </row>
      </sheetData>
      <sheetData sheetId="890">
        <row r="106">
          <cell r="C106" t="str">
            <v>Hour</v>
          </cell>
        </row>
      </sheetData>
      <sheetData sheetId="891">
        <row r="106">
          <cell r="C106" t="str">
            <v>Hour</v>
          </cell>
        </row>
      </sheetData>
      <sheetData sheetId="892">
        <row r="106">
          <cell r="C106" t="str">
            <v>Hour</v>
          </cell>
        </row>
      </sheetData>
      <sheetData sheetId="893">
        <row r="106">
          <cell r="C106" t="str">
            <v>Hour</v>
          </cell>
        </row>
      </sheetData>
      <sheetData sheetId="894">
        <row r="106">
          <cell r="C106" t="str">
            <v>Hour</v>
          </cell>
        </row>
      </sheetData>
      <sheetData sheetId="895">
        <row r="106">
          <cell r="C106" t="str">
            <v>Hour</v>
          </cell>
        </row>
      </sheetData>
      <sheetData sheetId="896">
        <row r="106">
          <cell r="C106" t="str">
            <v>Hour</v>
          </cell>
        </row>
      </sheetData>
      <sheetData sheetId="897">
        <row r="106">
          <cell r="C106" t="str">
            <v>Hour</v>
          </cell>
        </row>
      </sheetData>
      <sheetData sheetId="898">
        <row r="106">
          <cell r="C106" t="str">
            <v>Hour</v>
          </cell>
        </row>
      </sheetData>
      <sheetData sheetId="899">
        <row r="106">
          <cell r="C106" t="str">
            <v>Hour</v>
          </cell>
        </row>
      </sheetData>
      <sheetData sheetId="900">
        <row r="106">
          <cell r="C106" t="str">
            <v>Hour</v>
          </cell>
        </row>
      </sheetData>
      <sheetData sheetId="901">
        <row r="106">
          <cell r="C106" t="str">
            <v>Hour</v>
          </cell>
        </row>
      </sheetData>
      <sheetData sheetId="902">
        <row r="106">
          <cell r="C106" t="str">
            <v>Hour</v>
          </cell>
        </row>
      </sheetData>
      <sheetData sheetId="903">
        <row r="106">
          <cell r="C106" t="str">
            <v>Hour</v>
          </cell>
        </row>
      </sheetData>
      <sheetData sheetId="904">
        <row r="106">
          <cell r="C106" t="str">
            <v>Hour</v>
          </cell>
        </row>
      </sheetData>
      <sheetData sheetId="905">
        <row r="106">
          <cell r="C106" t="str">
            <v>Hour</v>
          </cell>
        </row>
      </sheetData>
      <sheetData sheetId="906">
        <row r="106">
          <cell r="C106" t="str">
            <v>Hour</v>
          </cell>
        </row>
      </sheetData>
      <sheetData sheetId="907">
        <row r="106">
          <cell r="C106" t="str">
            <v>Hour</v>
          </cell>
        </row>
      </sheetData>
      <sheetData sheetId="908">
        <row r="106">
          <cell r="C106" t="str">
            <v>Hour</v>
          </cell>
        </row>
      </sheetData>
      <sheetData sheetId="909">
        <row r="106">
          <cell r="C106" t="str">
            <v>Hour</v>
          </cell>
        </row>
      </sheetData>
      <sheetData sheetId="910">
        <row r="106">
          <cell r="C106" t="str">
            <v>Hour</v>
          </cell>
        </row>
      </sheetData>
      <sheetData sheetId="911">
        <row r="106">
          <cell r="C106" t="str">
            <v>Hour</v>
          </cell>
        </row>
      </sheetData>
      <sheetData sheetId="912">
        <row r="106">
          <cell r="C106" t="str">
            <v>Hour</v>
          </cell>
        </row>
      </sheetData>
      <sheetData sheetId="913">
        <row r="106">
          <cell r="C106" t="str">
            <v>Hour</v>
          </cell>
        </row>
      </sheetData>
      <sheetData sheetId="914">
        <row r="106">
          <cell r="C106" t="str">
            <v>Hour</v>
          </cell>
        </row>
      </sheetData>
      <sheetData sheetId="915">
        <row r="106">
          <cell r="C106" t="str">
            <v>Hour</v>
          </cell>
        </row>
      </sheetData>
      <sheetData sheetId="916">
        <row r="106">
          <cell r="C106" t="str">
            <v>Hour</v>
          </cell>
        </row>
      </sheetData>
      <sheetData sheetId="917">
        <row r="106">
          <cell r="C106" t="str">
            <v>Hour</v>
          </cell>
        </row>
      </sheetData>
      <sheetData sheetId="918">
        <row r="106">
          <cell r="C106" t="str">
            <v>Hour</v>
          </cell>
        </row>
      </sheetData>
      <sheetData sheetId="919">
        <row r="106">
          <cell r="C106" t="str">
            <v>Hour</v>
          </cell>
        </row>
      </sheetData>
      <sheetData sheetId="920">
        <row r="106">
          <cell r="C106" t="str">
            <v>Hour</v>
          </cell>
        </row>
      </sheetData>
      <sheetData sheetId="921">
        <row r="106">
          <cell r="C106" t="str">
            <v>Hour</v>
          </cell>
        </row>
      </sheetData>
      <sheetData sheetId="922">
        <row r="106">
          <cell r="C106" t="str">
            <v>Hour</v>
          </cell>
        </row>
      </sheetData>
      <sheetData sheetId="923">
        <row r="106">
          <cell r="C106" t="str">
            <v>Hour</v>
          </cell>
        </row>
      </sheetData>
      <sheetData sheetId="924">
        <row r="106">
          <cell r="C106" t="str">
            <v>Hour</v>
          </cell>
        </row>
      </sheetData>
      <sheetData sheetId="925">
        <row r="106">
          <cell r="C106" t="str">
            <v>Hour</v>
          </cell>
        </row>
      </sheetData>
      <sheetData sheetId="926">
        <row r="106">
          <cell r="C106" t="str">
            <v>Hour</v>
          </cell>
        </row>
      </sheetData>
      <sheetData sheetId="927">
        <row r="106">
          <cell r="C106" t="str">
            <v>Hour</v>
          </cell>
        </row>
      </sheetData>
      <sheetData sheetId="928">
        <row r="106">
          <cell r="C106" t="str">
            <v>Hour</v>
          </cell>
        </row>
      </sheetData>
      <sheetData sheetId="929">
        <row r="106">
          <cell r="C106" t="str">
            <v>Hour</v>
          </cell>
        </row>
      </sheetData>
      <sheetData sheetId="930">
        <row r="106">
          <cell r="C106" t="str">
            <v>Hour</v>
          </cell>
        </row>
      </sheetData>
      <sheetData sheetId="931">
        <row r="106">
          <cell r="C106" t="str">
            <v>Hour</v>
          </cell>
        </row>
      </sheetData>
      <sheetData sheetId="932">
        <row r="106">
          <cell r="C106" t="str">
            <v>Hour</v>
          </cell>
        </row>
      </sheetData>
      <sheetData sheetId="933">
        <row r="106">
          <cell r="C106" t="str">
            <v>Hour</v>
          </cell>
        </row>
      </sheetData>
      <sheetData sheetId="934">
        <row r="106">
          <cell r="C106" t="str">
            <v>Hour</v>
          </cell>
        </row>
      </sheetData>
      <sheetData sheetId="935">
        <row r="106">
          <cell r="C106" t="str">
            <v>Hour</v>
          </cell>
        </row>
      </sheetData>
      <sheetData sheetId="936">
        <row r="106">
          <cell r="C106" t="str">
            <v>Hour</v>
          </cell>
        </row>
      </sheetData>
      <sheetData sheetId="937">
        <row r="106">
          <cell r="C106" t="str">
            <v>Hour</v>
          </cell>
        </row>
      </sheetData>
      <sheetData sheetId="938">
        <row r="106">
          <cell r="C106" t="str">
            <v>Hour</v>
          </cell>
        </row>
      </sheetData>
      <sheetData sheetId="939">
        <row r="106">
          <cell r="C106" t="str">
            <v>Hour</v>
          </cell>
        </row>
      </sheetData>
      <sheetData sheetId="940">
        <row r="106">
          <cell r="C106" t="str">
            <v>Hour</v>
          </cell>
        </row>
      </sheetData>
      <sheetData sheetId="941">
        <row r="106">
          <cell r="C106" t="str">
            <v>Hour</v>
          </cell>
        </row>
      </sheetData>
      <sheetData sheetId="942">
        <row r="106">
          <cell r="C106" t="str">
            <v>Hour</v>
          </cell>
        </row>
      </sheetData>
      <sheetData sheetId="943">
        <row r="106">
          <cell r="C106" t="str">
            <v>Hour</v>
          </cell>
        </row>
      </sheetData>
      <sheetData sheetId="944">
        <row r="106">
          <cell r="C106" t="str">
            <v>Hour</v>
          </cell>
        </row>
      </sheetData>
      <sheetData sheetId="945">
        <row r="106">
          <cell r="C106" t="str">
            <v>Hour</v>
          </cell>
        </row>
      </sheetData>
      <sheetData sheetId="946">
        <row r="106">
          <cell r="C106" t="str">
            <v>Hour</v>
          </cell>
        </row>
      </sheetData>
      <sheetData sheetId="947">
        <row r="106">
          <cell r="C106" t="str">
            <v>Hour</v>
          </cell>
        </row>
      </sheetData>
      <sheetData sheetId="948">
        <row r="106">
          <cell r="C106" t="str">
            <v>Hour</v>
          </cell>
        </row>
      </sheetData>
      <sheetData sheetId="949">
        <row r="106">
          <cell r="C106" t="str">
            <v>Hour</v>
          </cell>
        </row>
      </sheetData>
      <sheetData sheetId="950">
        <row r="106">
          <cell r="C106" t="str">
            <v>Hour</v>
          </cell>
        </row>
      </sheetData>
      <sheetData sheetId="951">
        <row r="106">
          <cell r="C106" t="str">
            <v>Hour</v>
          </cell>
        </row>
      </sheetData>
      <sheetData sheetId="952">
        <row r="106">
          <cell r="C106" t="str">
            <v>Hour</v>
          </cell>
        </row>
      </sheetData>
      <sheetData sheetId="953">
        <row r="106">
          <cell r="C106" t="str">
            <v>Hour</v>
          </cell>
        </row>
      </sheetData>
      <sheetData sheetId="954">
        <row r="106">
          <cell r="C106" t="str">
            <v>Hour</v>
          </cell>
        </row>
      </sheetData>
      <sheetData sheetId="955">
        <row r="106">
          <cell r="C106" t="str">
            <v>Hour</v>
          </cell>
        </row>
      </sheetData>
      <sheetData sheetId="956">
        <row r="106">
          <cell r="C106" t="str">
            <v>Hour</v>
          </cell>
        </row>
      </sheetData>
      <sheetData sheetId="957">
        <row r="106">
          <cell r="C106" t="str">
            <v>Hour</v>
          </cell>
        </row>
      </sheetData>
      <sheetData sheetId="958">
        <row r="106">
          <cell r="C106" t="str">
            <v>Hour</v>
          </cell>
        </row>
      </sheetData>
      <sheetData sheetId="959">
        <row r="106">
          <cell r="C106" t="str">
            <v>Hour</v>
          </cell>
        </row>
      </sheetData>
      <sheetData sheetId="960">
        <row r="106">
          <cell r="C106" t="str">
            <v>Hour</v>
          </cell>
        </row>
      </sheetData>
      <sheetData sheetId="961">
        <row r="106">
          <cell r="C106" t="str">
            <v>Hour</v>
          </cell>
        </row>
      </sheetData>
      <sheetData sheetId="962">
        <row r="106">
          <cell r="C106" t="str">
            <v>Hour</v>
          </cell>
        </row>
      </sheetData>
      <sheetData sheetId="963">
        <row r="106">
          <cell r="C106" t="str">
            <v>Hour</v>
          </cell>
        </row>
      </sheetData>
      <sheetData sheetId="964">
        <row r="106">
          <cell r="C106" t="str">
            <v>Hour</v>
          </cell>
        </row>
      </sheetData>
      <sheetData sheetId="965">
        <row r="106">
          <cell r="C106" t="str">
            <v>Hour</v>
          </cell>
        </row>
      </sheetData>
      <sheetData sheetId="966">
        <row r="106">
          <cell r="C106" t="str">
            <v>Hour</v>
          </cell>
        </row>
      </sheetData>
      <sheetData sheetId="967">
        <row r="106">
          <cell r="C106" t="str">
            <v>Hour</v>
          </cell>
        </row>
      </sheetData>
      <sheetData sheetId="968">
        <row r="106">
          <cell r="C106" t="str">
            <v>Hour</v>
          </cell>
        </row>
      </sheetData>
      <sheetData sheetId="969">
        <row r="106">
          <cell r="C106" t="str">
            <v>Hour</v>
          </cell>
        </row>
      </sheetData>
      <sheetData sheetId="970">
        <row r="106">
          <cell r="C106" t="str">
            <v>Hour</v>
          </cell>
        </row>
      </sheetData>
      <sheetData sheetId="971">
        <row r="106">
          <cell r="C106" t="str">
            <v>Hour</v>
          </cell>
        </row>
      </sheetData>
      <sheetData sheetId="972">
        <row r="106">
          <cell r="C106" t="str">
            <v>Hour</v>
          </cell>
        </row>
      </sheetData>
      <sheetData sheetId="973">
        <row r="106">
          <cell r="C106" t="str">
            <v>Hour</v>
          </cell>
        </row>
      </sheetData>
      <sheetData sheetId="974">
        <row r="106">
          <cell r="C106" t="str">
            <v>Hour</v>
          </cell>
        </row>
      </sheetData>
      <sheetData sheetId="975">
        <row r="106">
          <cell r="C106" t="str">
            <v>Hour</v>
          </cell>
        </row>
      </sheetData>
      <sheetData sheetId="976">
        <row r="106">
          <cell r="C106" t="str">
            <v>Hour</v>
          </cell>
        </row>
      </sheetData>
      <sheetData sheetId="977">
        <row r="106">
          <cell r="C106" t="str">
            <v>Hour</v>
          </cell>
        </row>
      </sheetData>
      <sheetData sheetId="978">
        <row r="106">
          <cell r="C106" t="str">
            <v>Hour</v>
          </cell>
        </row>
      </sheetData>
      <sheetData sheetId="979">
        <row r="106">
          <cell r="C106" t="str">
            <v>Hour</v>
          </cell>
        </row>
      </sheetData>
      <sheetData sheetId="980">
        <row r="106">
          <cell r="C106" t="str">
            <v>Hour</v>
          </cell>
        </row>
      </sheetData>
      <sheetData sheetId="981">
        <row r="106">
          <cell r="C106" t="str">
            <v>Hour</v>
          </cell>
        </row>
      </sheetData>
      <sheetData sheetId="982">
        <row r="106">
          <cell r="C106" t="str">
            <v>Hour</v>
          </cell>
        </row>
      </sheetData>
      <sheetData sheetId="983">
        <row r="106">
          <cell r="C106" t="str">
            <v>Hour</v>
          </cell>
        </row>
      </sheetData>
      <sheetData sheetId="984">
        <row r="106">
          <cell r="C106" t="str">
            <v>Hour</v>
          </cell>
        </row>
      </sheetData>
      <sheetData sheetId="985">
        <row r="106">
          <cell r="C106" t="str">
            <v>Hour</v>
          </cell>
        </row>
      </sheetData>
      <sheetData sheetId="986">
        <row r="106">
          <cell r="C106" t="str">
            <v>Hour</v>
          </cell>
        </row>
      </sheetData>
      <sheetData sheetId="987">
        <row r="106">
          <cell r="C106" t="str">
            <v>Hour</v>
          </cell>
        </row>
      </sheetData>
      <sheetData sheetId="988">
        <row r="106">
          <cell r="C106" t="str">
            <v>Hour</v>
          </cell>
        </row>
      </sheetData>
      <sheetData sheetId="989">
        <row r="106">
          <cell r="C106" t="str">
            <v>Hour</v>
          </cell>
        </row>
      </sheetData>
      <sheetData sheetId="990">
        <row r="106">
          <cell r="C106" t="str">
            <v>Hour</v>
          </cell>
        </row>
      </sheetData>
      <sheetData sheetId="991">
        <row r="106">
          <cell r="C106" t="str">
            <v>Hour</v>
          </cell>
        </row>
      </sheetData>
      <sheetData sheetId="992">
        <row r="106">
          <cell r="C106" t="str">
            <v>Hour</v>
          </cell>
        </row>
      </sheetData>
      <sheetData sheetId="993">
        <row r="106">
          <cell r="C106" t="str">
            <v>Hour</v>
          </cell>
        </row>
      </sheetData>
      <sheetData sheetId="994">
        <row r="106">
          <cell r="C106" t="str">
            <v>Hour</v>
          </cell>
        </row>
      </sheetData>
      <sheetData sheetId="995">
        <row r="106">
          <cell r="C106" t="str">
            <v>Hour</v>
          </cell>
        </row>
      </sheetData>
      <sheetData sheetId="996">
        <row r="106">
          <cell r="C106" t="str">
            <v>Hour</v>
          </cell>
        </row>
      </sheetData>
      <sheetData sheetId="997">
        <row r="106">
          <cell r="C106" t="str">
            <v>Hour</v>
          </cell>
        </row>
      </sheetData>
      <sheetData sheetId="998">
        <row r="106">
          <cell r="C106" t="str">
            <v>Hour</v>
          </cell>
        </row>
      </sheetData>
      <sheetData sheetId="999">
        <row r="106">
          <cell r="C106" t="str">
            <v>Hour</v>
          </cell>
        </row>
      </sheetData>
      <sheetData sheetId="1000">
        <row r="106">
          <cell r="C106" t="str">
            <v>Hour</v>
          </cell>
        </row>
      </sheetData>
      <sheetData sheetId="1001">
        <row r="106">
          <cell r="C106" t="str">
            <v>Hour</v>
          </cell>
        </row>
      </sheetData>
      <sheetData sheetId="1002">
        <row r="106">
          <cell r="C106" t="str">
            <v>Hour</v>
          </cell>
        </row>
      </sheetData>
      <sheetData sheetId="1003">
        <row r="106">
          <cell r="C106" t="str">
            <v>Hour</v>
          </cell>
        </row>
      </sheetData>
      <sheetData sheetId="1004">
        <row r="106">
          <cell r="C106" t="str">
            <v>Hour</v>
          </cell>
        </row>
      </sheetData>
      <sheetData sheetId="1005">
        <row r="106">
          <cell r="C106" t="str">
            <v>Hour</v>
          </cell>
        </row>
      </sheetData>
      <sheetData sheetId="1006">
        <row r="106">
          <cell r="C106" t="str">
            <v>Hour</v>
          </cell>
        </row>
      </sheetData>
      <sheetData sheetId="1007">
        <row r="106">
          <cell r="C106" t="str">
            <v>Hour</v>
          </cell>
        </row>
      </sheetData>
      <sheetData sheetId="1008">
        <row r="106">
          <cell r="C106" t="str">
            <v>Hour</v>
          </cell>
        </row>
      </sheetData>
      <sheetData sheetId="1009">
        <row r="106">
          <cell r="C106" t="str">
            <v>Hour</v>
          </cell>
        </row>
      </sheetData>
      <sheetData sheetId="1010">
        <row r="106">
          <cell r="C106" t="str">
            <v>Hour</v>
          </cell>
        </row>
      </sheetData>
      <sheetData sheetId="1011">
        <row r="106">
          <cell r="C106" t="str">
            <v>Hour</v>
          </cell>
        </row>
      </sheetData>
      <sheetData sheetId="1012">
        <row r="106">
          <cell r="C106" t="str">
            <v>Hour</v>
          </cell>
        </row>
      </sheetData>
      <sheetData sheetId="1013">
        <row r="106">
          <cell r="C106" t="str">
            <v>Hour</v>
          </cell>
        </row>
      </sheetData>
      <sheetData sheetId="1014">
        <row r="106">
          <cell r="C106" t="str">
            <v>Hour</v>
          </cell>
        </row>
      </sheetData>
      <sheetData sheetId="1015">
        <row r="106">
          <cell r="C106" t="str">
            <v>Hour</v>
          </cell>
        </row>
      </sheetData>
      <sheetData sheetId="1016">
        <row r="106">
          <cell r="C106" t="str">
            <v>Hour</v>
          </cell>
        </row>
      </sheetData>
      <sheetData sheetId="1017">
        <row r="106">
          <cell r="C106" t="str">
            <v>Hour</v>
          </cell>
        </row>
      </sheetData>
      <sheetData sheetId="1018">
        <row r="106">
          <cell r="C106" t="str">
            <v>Hour</v>
          </cell>
        </row>
      </sheetData>
      <sheetData sheetId="1019">
        <row r="106">
          <cell r="C106" t="str">
            <v>Hour</v>
          </cell>
        </row>
      </sheetData>
      <sheetData sheetId="1020">
        <row r="106">
          <cell r="C106" t="str">
            <v>Hour</v>
          </cell>
        </row>
      </sheetData>
      <sheetData sheetId="1021">
        <row r="106">
          <cell r="C106" t="str">
            <v>Hour</v>
          </cell>
        </row>
      </sheetData>
      <sheetData sheetId="1022">
        <row r="106">
          <cell r="C106" t="str">
            <v>Hour</v>
          </cell>
        </row>
      </sheetData>
      <sheetData sheetId="1023">
        <row r="106">
          <cell r="C106" t="str">
            <v>Hour</v>
          </cell>
        </row>
      </sheetData>
      <sheetData sheetId="1024">
        <row r="106">
          <cell r="C106" t="str">
            <v>Hour</v>
          </cell>
        </row>
      </sheetData>
      <sheetData sheetId="1025">
        <row r="106">
          <cell r="C106" t="str">
            <v>Hour</v>
          </cell>
        </row>
      </sheetData>
      <sheetData sheetId="1026">
        <row r="106">
          <cell r="C106" t="str">
            <v>Hour</v>
          </cell>
        </row>
      </sheetData>
      <sheetData sheetId="1027">
        <row r="106">
          <cell r="C106" t="str">
            <v>Hour</v>
          </cell>
        </row>
      </sheetData>
      <sheetData sheetId="1028">
        <row r="106">
          <cell r="C106" t="str">
            <v>Hour</v>
          </cell>
        </row>
      </sheetData>
      <sheetData sheetId="1029">
        <row r="106">
          <cell r="C106" t="str">
            <v>Hour</v>
          </cell>
        </row>
      </sheetData>
      <sheetData sheetId="1030">
        <row r="106">
          <cell r="C106" t="str">
            <v>Hour</v>
          </cell>
        </row>
      </sheetData>
      <sheetData sheetId="1031">
        <row r="106">
          <cell r="C106" t="str">
            <v>Hour</v>
          </cell>
        </row>
      </sheetData>
      <sheetData sheetId="1032">
        <row r="106">
          <cell r="C106" t="str">
            <v>Hour</v>
          </cell>
        </row>
      </sheetData>
      <sheetData sheetId="1033">
        <row r="106">
          <cell r="C106" t="str">
            <v>Hour</v>
          </cell>
        </row>
      </sheetData>
      <sheetData sheetId="1034">
        <row r="106">
          <cell r="C106" t="str">
            <v>Hour</v>
          </cell>
        </row>
      </sheetData>
      <sheetData sheetId="1035">
        <row r="106">
          <cell r="C106" t="str">
            <v>Hour</v>
          </cell>
        </row>
      </sheetData>
      <sheetData sheetId="1036">
        <row r="106">
          <cell r="C106" t="str">
            <v>Hour</v>
          </cell>
        </row>
      </sheetData>
      <sheetData sheetId="1037">
        <row r="106">
          <cell r="C106" t="str">
            <v>Hour</v>
          </cell>
        </row>
      </sheetData>
      <sheetData sheetId="1038">
        <row r="106">
          <cell r="C106" t="str">
            <v>Hour</v>
          </cell>
        </row>
      </sheetData>
      <sheetData sheetId="1039">
        <row r="106">
          <cell r="C106" t="str">
            <v>Hour</v>
          </cell>
        </row>
      </sheetData>
      <sheetData sheetId="1040">
        <row r="106">
          <cell r="C106" t="str">
            <v>Hour</v>
          </cell>
        </row>
      </sheetData>
      <sheetData sheetId="1041">
        <row r="106">
          <cell r="C106" t="str">
            <v>Hour</v>
          </cell>
        </row>
      </sheetData>
      <sheetData sheetId="1042">
        <row r="106">
          <cell r="C106" t="str">
            <v>Hour</v>
          </cell>
        </row>
      </sheetData>
      <sheetData sheetId="1043">
        <row r="106">
          <cell r="C106" t="str">
            <v>Hour</v>
          </cell>
        </row>
      </sheetData>
      <sheetData sheetId="1044">
        <row r="106">
          <cell r="C106" t="str">
            <v>Hour</v>
          </cell>
        </row>
      </sheetData>
      <sheetData sheetId="1045">
        <row r="106">
          <cell r="C106" t="str">
            <v>Hour</v>
          </cell>
        </row>
      </sheetData>
      <sheetData sheetId="1046">
        <row r="106">
          <cell r="C106" t="str">
            <v>Hour</v>
          </cell>
        </row>
      </sheetData>
      <sheetData sheetId="1047">
        <row r="106">
          <cell r="C106" t="str">
            <v>Hour</v>
          </cell>
        </row>
      </sheetData>
      <sheetData sheetId="1048">
        <row r="106">
          <cell r="C106" t="str">
            <v>Hour</v>
          </cell>
        </row>
      </sheetData>
      <sheetData sheetId="1049">
        <row r="106">
          <cell r="C106" t="str">
            <v>Hour</v>
          </cell>
        </row>
      </sheetData>
      <sheetData sheetId="1050">
        <row r="106">
          <cell r="C106" t="str">
            <v>Hour</v>
          </cell>
        </row>
      </sheetData>
      <sheetData sheetId="1051">
        <row r="106">
          <cell r="C106" t="str">
            <v>Hour</v>
          </cell>
        </row>
      </sheetData>
      <sheetData sheetId="1052">
        <row r="106">
          <cell r="C106" t="str">
            <v>Hour</v>
          </cell>
        </row>
      </sheetData>
      <sheetData sheetId="1053">
        <row r="106">
          <cell r="C106" t="str">
            <v>Hour</v>
          </cell>
        </row>
      </sheetData>
      <sheetData sheetId="1054">
        <row r="106">
          <cell r="C106" t="str">
            <v>Hour</v>
          </cell>
        </row>
      </sheetData>
      <sheetData sheetId="1055"/>
      <sheetData sheetId="1056">
        <row r="106">
          <cell r="C106" t="str">
            <v>Hour</v>
          </cell>
        </row>
      </sheetData>
      <sheetData sheetId="1057">
        <row r="106">
          <cell r="C106" t="str">
            <v>Hour</v>
          </cell>
        </row>
      </sheetData>
      <sheetData sheetId="1058">
        <row r="106">
          <cell r="C106" t="str">
            <v>Hour</v>
          </cell>
        </row>
      </sheetData>
      <sheetData sheetId="1059">
        <row r="106">
          <cell r="C106" t="str">
            <v>Hour</v>
          </cell>
        </row>
      </sheetData>
      <sheetData sheetId="1060">
        <row r="106">
          <cell r="C106" t="str">
            <v>Hour</v>
          </cell>
        </row>
      </sheetData>
      <sheetData sheetId="1061">
        <row r="106">
          <cell r="C106" t="str">
            <v>Hour</v>
          </cell>
        </row>
      </sheetData>
      <sheetData sheetId="1062">
        <row r="106">
          <cell r="C106" t="str">
            <v>Hour</v>
          </cell>
        </row>
      </sheetData>
      <sheetData sheetId="1063">
        <row r="106">
          <cell r="C106" t="str">
            <v>Hour</v>
          </cell>
        </row>
      </sheetData>
      <sheetData sheetId="1064">
        <row r="106">
          <cell r="C106" t="str">
            <v>Hour</v>
          </cell>
        </row>
      </sheetData>
      <sheetData sheetId="1065"/>
      <sheetData sheetId="1066"/>
      <sheetData sheetId="1067"/>
      <sheetData sheetId="1068">
        <row r="106">
          <cell r="C106" t="str">
            <v>Hour</v>
          </cell>
        </row>
      </sheetData>
      <sheetData sheetId="1069">
        <row r="106">
          <cell r="C106" t="str">
            <v>Hour</v>
          </cell>
        </row>
      </sheetData>
      <sheetData sheetId="1070"/>
      <sheetData sheetId="1071">
        <row r="106">
          <cell r="C106" t="str">
            <v>Hour</v>
          </cell>
        </row>
      </sheetData>
      <sheetData sheetId="1072">
        <row r="106">
          <cell r="C106" t="str">
            <v>Hour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Plenk"/>
      <sheetName val="RAP"/>
      <sheetName val="Rekap "/>
      <sheetName val="FAK"/>
      <sheetName val="Rek"/>
      <sheetName val="ARS"/>
      <sheetName val="ANAL"/>
      <sheetName val="ME"/>
      <sheetName val="Sced"/>
      <sheetName val="SAT"/>
      <sheetName val="bahan"/>
      <sheetName val="BERAT TUL."/>
      <sheetName val="BIIL ASLI"/>
    </sheetNames>
    <sheetDataSet>
      <sheetData sheetId="0" refreshError="1"/>
      <sheetData sheetId="1" refreshError="1"/>
      <sheetData sheetId="2" refreshError="1"/>
      <sheetData sheetId="3" refreshError="1">
        <row r="11">
          <cell r="D11">
            <v>-1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K SEMUA"/>
      <sheetName val="PERSI"/>
      <sheetName val="RK PERSIAPAN"/>
      <sheetName val="bhn"/>
      <sheetName val="Rek.Musholla Cituis"/>
      <sheetName val="Rinc.Musholla Cituis"/>
      <sheetName val="anal"/>
      <sheetName val="POS JAGA"/>
      <sheetName val="GD A lt1"/>
      <sheetName val="GD A lt2"/>
      <sheetName val="RK GDA"/>
      <sheetName val="GDlt1 B"/>
      <sheetName val="GDBlt2"/>
      <sheetName val="RK GDB"/>
      <sheetName val="RAM KM"/>
      <sheetName val="RK RAM KM"/>
      <sheetName val="KT.PENGlt1"/>
      <sheetName val="KT.PENGlt2"/>
      <sheetName val="KT.PENGlt3"/>
      <sheetName val="RK KT.PENG"/>
      <sheetName val="RKLAND"/>
      <sheetName val="SAL"/>
      <sheetName val="LAND"/>
      <sheetName val="RK.LISTRIK"/>
      <sheetName val="LISTRIK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>
        <row r="19">
          <cell r="H19">
            <v>16000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SIAP"/>
      <sheetName val="GEDUNG-A"/>
      <sheetName val="Upah"/>
      <sheetName val="GEDUNG-B"/>
      <sheetName val="BETON RM"/>
      <sheetName val="KM"/>
      <sheetName val="KANTOR"/>
      <sheetName val="SAL"/>
      <sheetName val="LAIN-2"/>
      <sheetName val="LANDS"/>
      <sheetName val="ME"/>
      <sheetName val="Sheet1"/>
      <sheetName val="bahan"/>
      <sheetName val="SAT"/>
      <sheetName val="Sheet2"/>
      <sheetName val="#REF!"/>
      <sheetName val="FAK"/>
      <sheetName val="ANALISA"/>
      <sheetName val="ANALHASA"/>
      <sheetName val="anali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F10">
            <v>2.6640000000000001</v>
          </cell>
        </row>
        <row r="11">
          <cell r="F11">
            <v>4.74</v>
          </cell>
        </row>
        <row r="12">
          <cell r="F12">
            <v>7.4039999999999999</v>
          </cell>
        </row>
        <row r="13">
          <cell r="F13">
            <v>10.656000000000001</v>
          </cell>
        </row>
        <row r="15">
          <cell r="F15">
            <v>11.904</v>
          </cell>
        </row>
        <row r="16">
          <cell r="F16">
            <v>18.696000000000002</v>
          </cell>
        </row>
        <row r="17">
          <cell r="F17">
            <v>26.712</v>
          </cell>
        </row>
        <row r="18">
          <cell r="F18">
            <v>29.592000000000002</v>
          </cell>
        </row>
      </sheetData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_Satuan"/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Rp"/>
      <sheetName val="Potongan"/>
      <sheetName val="BPM"/>
      <sheetName val="H_Satuan1"/>
      <sheetName val="REKAP_1_SECTION"/>
      <sheetName val="DIREC_COST"/>
      <sheetName val="form_besi"/>
      <sheetName val="REKAP_STRUCTURE"/>
      <sheetName val="Master 1.0"/>
      <sheetName val="lamp. 12"/>
      <sheetName val="GRAND REKAP"/>
      <sheetName val="D4"/>
      <sheetName val="D6"/>
      <sheetName val="D7"/>
      <sheetName val="D8"/>
      <sheetName val="Pipe"/>
      <sheetName val="Material"/>
      <sheetName val="4"/>
      <sheetName val="A-11 Steel Str (2)"/>
      <sheetName val="H-BHN"/>
      <sheetName val="J"/>
      <sheetName val="HSTANAH.XLS"/>
      <sheetName val="351BQMCN"/>
      <sheetName val="ANALISA GRS TENGAH"/>
      <sheetName val="AHS"/>
      <sheetName val="BAHAN &amp; UPAH"/>
      <sheetName val="Analisa 2"/>
      <sheetName val="FORM X COST"/>
      <sheetName val="Bahan"/>
      <sheetName val="Analisa &amp; Upah"/>
      <sheetName val="unit rate-b3"/>
      <sheetName val="PLUMBING 2"/>
      <sheetName val="ANAL2"/>
      <sheetName val="SEX"/>
      <sheetName val="ELEVATED SLAB"/>
      <sheetName val="ch"/>
      <sheetName val="rab"/>
      <sheetName val="HARGA MATERIAL"/>
      <sheetName val="HS"/>
      <sheetName val="induk1"/>
      <sheetName val="coeff"/>
      <sheetName val="BQ ARS"/>
      <sheetName val="an el"/>
      <sheetName val="rekap.c"/>
      <sheetName val="Analisa Upah &amp; Bahan Plum"/>
      <sheetName val="REQDELTA"/>
      <sheetName val="villa"/>
      <sheetName val="IPL_SCHEDULE"/>
      <sheetName val="I-KAMAR"/>
      <sheetName val="Pos 4-1"/>
      <sheetName val="Harga "/>
      <sheetName val="vol. ARS"/>
      <sheetName val="anl"/>
      <sheetName val="kusen"/>
      <sheetName val="TOTAL SPK"/>
      <sheetName val="Mobilisasi"/>
      <sheetName val="Summary"/>
      <sheetName val="Cash2"/>
      <sheetName val="Hrg"/>
      <sheetName val="Harsat"/>
      <sheetName val="Analisa"/>
      <sheetName val="daftar Upah"/>
      <sheetName val="upah"/>
      <sheetName val="Harga Bahan"/>
      <sheetName val="EK"/>
      <sheetName val="BID_PRC"/>
      <sheetName val="PRC_COMP"/>
      <sheetName val="Koefisien"/>
      <sheetName val="Instalasi"/>
      <sheetName val="tknk"/>
      <sheetName val="JABATAN"/>
      <sheetName val="DATA"/>
      <sheetName val="Elektrikal"/>
      <sheetName val="Analisa Upah _ Bahan Plum"/>
      <sheetName val="bhn "/>
      <sheetName val="Supply Agrmnt"/>
      <sheetName val="AC_C"/>
      <sheetName val="Memb Schd"/>
      <sheetName val="JUDUL"/>
      <sheetName val="Bengkel_str"/>
      <sheetName val="Bengkel_fin"/>
      <sheetName val="Pagar_hal"/>
      <sheetName val="Fasilitas"/>
      <sheetName val="rab me (by owner) "/>
      <sheetName val="BQ (by owner)"/>
      <sheetName val="rab me (fisik)"/>
      <sheetName val="basic_price"/>
      <sheetName val="HSTANAH"/>
      <sheetName val="HSBETON"/>
      <sheetName val="D-1"/>
      <sheetName val="Cover"/>
      <sheetName val="Bill of Qty MEP"/>
      <sheetName val="Basement Estimate"/>
      <sheetName val="HARGA ME"/>
      <sheetName val="As"/>
      <sheetName val="Estimate"/>
      <sheetName val="01A- RAB"/>
      <sheetName val="BQ"/>
      <sheetName val="Hargamat"/>
      <sheetName val="Analisa Harga Satuan"/>
      <sheetName val="INDEKS"/>
      <sheetName val="A"/>
      <sheetName val="CV"/>
      <sheetName val="MAP"/>
      <sheetName val="POS-4.1"/>
      <sheetName val="Rekap Dc"/>
      <sheetName val="Rekap"/>
      <sheetName val="PHU 05"/>
      <sheetName val="MAP-2"/>
      <sheetName val="ISBL-CIV"/>
      <sheetName val="Daf 1"/>
      <sheetName val="Harga ME "/>
      <sheetName val="Du_lieu"/>
      <sheetName val="satuan_pek_ars"/>
      <sheetName val="Progres"/>
      <sheetName val="Currency Rate"/>
      <sheetName val="rek det 1-3"/>
      <sheetName val="HB "/>
      <sheetName val="daftar harga"/>
      <sheetName val="struktur"/>
      <sheetName val="ESCON"/>
      <sheetName val="APP-9"/>
      <sheetName val="hsat-SD"/>
      <sheetName val="an-satuan"/>
      <sheetName val="Rekap-SD"/>
      <sheetName val="REF.ONLY"/>
      <sheetName val="Informasi"/>
      <sheetName val="Hrg_Sat"/>
      <sheetName val="Harga satuan"/>
      <sheetName val="Pt"/>
      <sheetName val="metode"/>
      <sheetName val="Analisa RAB"/>
      <sheetName val="gaji"/>
      <sheetName val="Sheet1"/>
      <sheetName val="Anls"/>
      <sheetName val="Hrg-Das"/>
      <sheetName val="Anal-1"/>
      <sheetName val="Sheet6"/>
      <sheetName val="RAB_HREZ"/>
      <sheetName val="ANAL_HREZ"/>
      <sheetName val="FORM 3A"/>
      <sheetName val="Master_1_0"/>
      <sheetName val="Perhitungan RAB"/>
      <sheetName val="Tabel_Bantu"/>
      <sheetName val="Scedule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DAF-1"/>
      <sheetName val="Sub"/>
      <sheetName val="Upah Bahan"/>
      <sheetName val="prog-mgu"/>
      <sheetName val="koef"/>
      <sheetName val="Testing"/>
      <sheetName val="BM"/>
      <sheetName val="HB0703"/>
      <sheetName val="tb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crewlist S"/>
      <sheetName val="DAF-2"/>
      <sheetName val="Fill this out first___"/>
      <sheetName val="LIFT DOM"/>
      <sheetName val="DKH"/>
      <sheetName val="AC"/>
      <sheetName val="HIDRO"/>
      <sheetName val="HRG BHN"/>
      <sheetName val="harga2014"/>
      <sheetName val="SUB TOTAL___"/>
      <sheetName val="A Paint Jotun Penguard"/>
      <sheetName val="BOQ ori"/>
      <sheetName val="3-DIV5"/>
      <sheetName val="NM"/>
      <sheetName val="dboard( asli)"/>
      <sheetName val="RAB STR JETTY &amp; F.PENUNJANG"/>
      <sheetName val="NAME"/>
      <sheetName val="RAB RIIL kayu"/>
      <sheetName val="Sit1"/>
      <sheetName val="AnalisaSIPIL RIIL RAP"/>
      <sheetName val="HSA &amp; PAB"/>
      <sheetName val="Harga Upah "/>
      <sheetName val="PENAWARAN"/>
      <sheetName val="i-j. Pengalaman"/>
      <sheetName val="Mon Upah"/>
      <sheetName val="ANALISA GR_x0000__x0000__x0000__x0000__x0000_GAH"/>
      <sheetName val="Analisa RAP"/>
      <sheetName val="Bahan B"/>
      <sheetName val="RAP"/>
      <sheetName val="Telusur"/>
      <sheetName val="Upah B"/>
      <sheetName val="G_SUMMARY"/>
      <sheetName val="AHS (ci,str,ars)"/>
      <sheetName val="610.04"/>
      <sheetName val="BAHAN-2"/>
      <sheetName val="TOEVOER"/>
      <sheetName val="Rkp"/>
      <sheetName val="DivX"/>
      <sheetName val="2-AHSP"/>
      <sheetName val="B-P"/>
      <sheetName val="HARSAT-lhn"/>
      <sheetName val="Peralatan"/>
      <sheetName val="Unit Rate Indirect"/>
      <sheetName val="TOTAL"/>
      <sheetName val="dia-in"/>
      <sheetName val="bukan PNS"/>
      <sheetName val="I_KAMAR"/>
      <sheetName val="BQ PABX"/>
      <sheetName val="JUML-SDM"/>
      <sheetName val="COST"/>
      <sheetName val="D2.4"/>
      <sheetName val="D3-3"/>
      <sheetName val="D4.3 (TE)"/>
      <sheetName val="D5.3 (TF) "/>
      <sheetName val="D8.3 (TJ)"/>
      <sheetName val="KP1590_E"/>
      <sheetName val="ANALISA GR?????GAH"/>
      <sheetName val="???"/>
      <sheetName val="17.ALS-saluran+BC"/>
      <sheetName val="HARGA UPAH"/>
      <sheetName val="Sewa Alat-1"/>
      <sheetName val="fill in first"/>
      <sheetName val="Unit Cost"/>
      <sheetName val="SITE-E"/>
      <sheetName val="BAHAN 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견적기준"/>
      <sheetName val="Rekap Direct Cost"/>
      <sheetName val="Anal "/>
      <sheetName val="H.SAT"/>
      <sheetName val="BE-02"/>
      <sheetName val="Analisa Tekhnis"/>
      <sheetName val="ahas-ins"/>
      <sheetName val="anal pipa"/>
      <sheetName val="Harsat Upah"/>
      <sheetName val="Harga"/>
      <sheetName val="ANALISA GR"/>
      <sheetName val="Quantity"/>
      <sheetName val="Kuantitas &amp; Harga"/>
      <sheetName val="Mall"/>
      <sheetName val="SP"/>
      <sheetName val="Structure"/>
      <sheetName val="KEUANGAN"/>
      <sheetName val="RENCANA KERJA"/>
      <sheetName val="Scenario"/>
      <sheetName val="TS"/>
      <sheetName val="pricing"/>
      <sheetName val="Agregat Halus &amp; Kasar"/>
      <sheetName val="PAKET 1"/>
      <sheetName val="PileCap"/>
      <sheetName val="dasar"/>
      <sheetName val="GFA-20-N"/>
      <sheetName val="FORM 7"/>
      <sheetName val="SBDY Jemb Tayan"/>
      <sheetName val="Evaporator"/>
      <sheetName val="Door &amp; Window Podium"/>
      <sheetName val="San PD"/>
      <sheetName val="Str A"/>
      <sheetName val="Analisa Tend"/>
      <sheetName val="Time Schedule"/>
      <sheetName val="Harsat Bahan"/>
      <sheetName val="Harga bahan-1"/>
      <sheetName val="rekap1"/>
      <sheetName val="DETAIL POS 123"/>
      <sheetName val="___"/>
      <sheetName val="COST SUMM"/>
      <sheetName val="ahs1"/>
      <sheetName val="ahs3"/>
      <sheetName val="HPP TOTAL"/>
      <sheetName val="HPP 3 Tower"/>
      <sheetName val="Harga Sat Das"/>
      <sheetName val="NP"/>
      <sheetName val="Brdw"/>
      <sheetName val="ANALISA GR_____GAH"/>
      <sheetName val="NEX24 DB"/>
      <sheetName val="Bill of Qty"/>
      <sheetName val="Sheet3"/>
      <sheetName val="Surat Pernyataan"/>
      <sheetName val="Har Sat"/>
      <sheetName val="#REF"/>
      <sheetName val="Harsat Pekerjaan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Jabar"/>
      <sheetName val="Jateng"/>
      <sheetName val="Jatim"/>
      <sheetName val="Pusat"/>
      <sheetName val="Sulawesi"/>
      <sheetName val="Sumbagsel"/>
      <sheetName val="Rumus"/>
      <sheetName val="5-Peralatan"/>
      <sheetName val="Analisa Prov'07"/>
      <sheetName val="Ana-ALAT"/>
      <sheetName val="10 yr val"/>
      <sheetName val="Input"/>
      <sheetName val="Financials"/>
      <sheetName val="Sum"/>
      <sheetName val="SD (1)"/>
      <sheetName val="Pricing-2"/>
      <sheetName val="Isolasi Luar Dalam"/>
      <sheetName val="Isolasi Luar"/>
      <sheetName val="2. Informasi"/>
      <sheetName val="Terbilang"/>
      <sheetName val="HASAT DASAR"/>
      <sheetName val="Uraian Teknis"/>
      <sheetName val="faktor"/>
      <sheetName val="概総括1"/>
      <sheetName val="電気設備表"/>
      <sheetName val="RAB REVISI"/>
      <sheetName val="Lamp_V"/>
      <sheetName val="struktur tdk dipakai"/>
      <sheetName val="Progress"/>
      <sheetName val="HB_"/>
      <sheetName val="rek_det_1-3"/>
      <sheetName val="daftar_harga"/>
      <sheetName val="REF_ONLY"/>
      <sheetName val="rekapan"/>
      <sheetName val="ANALISA GR_x0000__x0000__x0000_"/>
      <sheetName val="PREAM"/>
      <sheetName val="Anls Hrg Sat"/>
      <sheetName val="bilangan"/>
      <sheetName val="JobSheet"/>
      <sheetName val="Harga Bahan &amp; Upah"/>
      <sheetName val="TABLE"/>
      <sheetName val="h-013211-2"/>
      <sheetName val="DFT_ HRG BHN _ UPAH"/>
      <sheetName val="ANALISA STR _ ARS"/>
      <sheetName val="Indirect_Const"/>
      <sheetName val="boq"/>
      <sheetName val="DF-7 (2)"/>
      <sheetName val="DF-7"/>
      <sheetName val="ANALISA GR_x005f_x0000__x005f_x0000__x005f_x0000_"/>
      <sheetName val="Harga Kabel"/>
      <sheetName val="H Satuan Dasar"/>
      <sheetName val="Bill rekap"/>
      <sheetName val="analisa panel"/>
      <sheetName val="BAG-2"/>
      <sheetName val="Price"/>
      <sheetName val="ARL"/>
      <sheetName val="CB"/>
      <sheetName val="KBL"/>
      <sheetName val="TRY"/>
      <sheetName val="SAT EL"/>
      <sheetName val="WRItten(2)"/>
      <sheetName val="hafele"/>
      <sheetName val="Perm. Test"/>
      <sheetName val="Fill this out first..."/>
      <sheetName val="LISTRIK"/>
      <sheetName val="BQ-E20-02(Rp)"/>
      <sheetName val="Bill 4.1"/>
      <sheetName val="61004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HRG BAHAN &amp; UPAH okk"/>
      <sheetName val="Analis Kusen okk"/>
      <sheetName val="Ana. PU"/>
      <sheetName val="1.B"/>
      <sheetName val="SAT-DAS"/>
      <sheetName val="Personil"/>
      <sheetName val="An-Alat"/>
      <sheetName val="Div2"/>
      <sheetName val="Amount"/>
      <sheetName val="DRUP (ASLI)"/>
      <sheetName val="Evaluasi"/>
      <sheetName val="Sumber Daya"/>
      <sheetName val="HSatuan"/>
      <sheetName val="OP. PERJAM"/>
      <sheetName val="K.Lokal"/>
      <sheetName val="B. PERSONIL"/>
      <sheetName val="JALAN"/>
      <sheetName val="Master"/>
      <sheetName val="Analisa (ok punya)"/>
      <sheetName val="Basic Price"/>
      <sheetName val="Unit Price"/>
      <sheetName val="tifico"/>
      <sheetName val="index"/>
      <sheetName val="4  PEK. LUAR"/>
      <sheetName val="bayar_04_fak"/>
      <sheetName val="6-AGREGAT"/>
      <sheetName val="Daftar Staff"/>
      <sheetName val="PV"/>
      <sheetName val="DAF_2"/>
      <sheetName val="DIVI6"/>
      <sheetName val="Sec I ML"/>
      <sheetName val="Sheet2"/>
      <sheetName val="TATA UDARA"/>
      <sheetName val="Notes"/>
      <sheetName val="Harga_Sat_Das"/>
      <sheetName val="FAK"/>
      <sheetName val="analisa el"/>
      <sheetName val="FittingPVC"/>
      <sheetName val="112-885"/>
      <sheetName val="UMUM-PU"/>
      <sheetName val="bau"/>
      <sheetName val="Harga Sat."/>
      <sheetName val="SAP"/>
      <sheetName val=" SAT PL"/>
      <sheetName val="RAB.SEKRETARIAT (1)"/>
      <sheetName val="u_rates"/>
      <sheetName val="Valve PL"/>
      <sheetName val="Peralatan PL"/>
      <sheetName val="TC"/>
      <sheetName val="REGION"/>
      <sheetName val="OFFGRID"/>
      <sheetName val="BASIC"/>
      <sheetName val="Tie Beam GN"/>
      <sheetName val="Tangga GN"/>
      <sheetName val="BOM BMS"/>
      <sheetName val="EurotoolsXRates"/>
      <sheetName val="anal"/>
      <sheetName val="ANALISA GR???"/>
      <sheetName val="AHS - Riel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Mat"/>
      <sheetName val="Hrg Upah Bhn"/>
      <sheetName val="DAFTAR HARGA BAHAN "/>
      <sheetName val="metod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ANALISA-HST"/>
      <sheetName val="dasboard"/>
      <sheetName val="ARITMATIK"/>
      <sheetName val="2703.1"/>
      <sheetName val="tl"/>
      <sheetName val="TM"/>
      <sheetName val="an. 1"/>
      <sheetName val="isian"/>
      <sheetName val="Analisa ME"/>
      <sheetName val="HarDas-Ops."/>
      <sheetName val="1.General "/>
      <sheetName val="REKAP  (1)"/>
      <sheetName val="RANGE BAHAN"/>
      <sheetName val="Pengujian"/>
      <sheetName val="Assumption &amp; Dashboard."/>
      <sheetName val="Lumpsum"/>
      <sheetName val="Fixset"/>
      <sheetName val="ANALISA GR_x005f_x005f_x005f_x0000__x005f_x005f_x"/>
      <sheetName val="komponen"/>
      <sheetName val="Konfirm"/>
      <sheetName val="BOQ SNJ 1"/>
      <sheetName val="DKH CCO 1A"/>
      <sheetName val="DKH CCO 1B R-1"/>
      <sheetName val="PRY 03-1 (Amd1)"/>
      <sheetName val="DHS"/>
      <sheetName val="Anal. Alat"/>
      <sheetName val="antek12a-13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7.1(3)"/>
      <sheetName val="Analis Kusen 1 ESKALASI"/>
      <sheetName val="Tataudara"/>
      <sheetName val="BQ Pivot utk Analisa &amp; SDBP "/>
      <sheetName val="M+U Pivot"/>
      <sheetName val="Fin Sum"/>
      <sheetName val="Pro-Base"/>
      <sheetName val="B-Ops-KS"/>
      <sheetName val="BASEMENT"/>
      <sheetName val="Alat"/>
      <sheetName val="Analisa Gabungan"/>
      <sheetName val="B-PRICE"/>
      <sheetName val="Analisa-Harga"/>
      <sheetName val="R"/>
      <sheetName val="BID(RI01)"/>
      <sheetName val="ANALISA-SNI"/>
      <sheetName val="Rekap Total"/>
      <sheetName val="Reference"/>
      <sheetName val="BAP"/>
      <sheetName val="JADUAL"/>
      <sheetName val="KODE"/>
      <sheetName val="Analis"/>
      <sheetName val="H-SATUAN"/>
      <sheetName val="DB_Simplex"/>
      <sheetName val="B - Norelec"/>
      <sheetName val="#REF!"/>
      <sheetName val="Gorong Aramco"/>
      <sheetName val="LIST MATERIAL"/>
      <sheetName val="FORM BQ TL PRATU 4cct"/>
      <sheetName val="PriceList"/>
      <sheetName val="AnaSch2"/>
      <sheetName val="W-NAD"/>
      <sheetName val="Resume"/>
      <sheetName val="analisa asumsi Me"/>
      <sheetName val="P&amp;L98"/>
      <sheetName val="BQ-Arun"/>
      <sheetName val="BoQ C4"/>
      <sheetName val="DATA BASE"/>
      <sheetName val="NET表"/>
      <sheetName val="BQ表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Sat~Bahu"/>
      <sheetName val="Rate"/>
      <sheetName val="Master Edit"/>
      <sheetName val="UPH,BHN,ALT"/>
      <sheetName val="Analis harga"/>
      <sheetName val="B"/>
      <sheetName val="PNT"/>
      <sheetName val="kalibrasi-Tank"/>
      <sheetName val="HrgUpahBahan"/>
      <sheetName val="BHN1"/>
      <sheetName val="H Sat Jembatan"/>
      <sheetName val="IPA1"/>
      <sheetName val="DIV1"/>
      <sheetName val="prelim"/>
      <sheetName val="ana"/>
      <sheetName val="Man Power"/>
      <sheetName val="bill 3.9"/>
      <sheetName val="STR(CANCEL)"/>
      <sheetName val="anls space frame"/>
      <sheetName val="hrg.bhn"/>
      <sheetName val="3.ALS-STR-PDS"/>
      <sheetName val="Daf-3.1.2 Pintu, Jendela, TWA"/>
      <sheetName val="Daf-3.1.4 Plafond TWA"/>
      <sheetName val="7_16"/>
      <sheetName val="Variabel"/>
      <sheetName val="Rekap Biaya"/>
      <sheetName val="Rekap Prelim"/>
      <sheetName val="Unit Rate"/>
      <sheetName val="(ANALISA-lain)"/>
      <sheetName val="Database"/>
      <sheetName val="time"/>
      <sheetName val="ANALISA railing"/>
      <sheetName val="RAB AR&amp;STR"/>
      <sheetName val="Harsat-Isal"/>
      <sheetName val="analisa BM"/>
      <sheetName val="TJ1Q47"/>
      <sheetName val="Harga Dasar"/>
      <sheetName val="sch-KONS"/>
      <sheetName val="Uph&amp;bhn"/>
      <sheetName val="Daftar Upah, Hrg Bhn &amp; Pralatan"/>
      <sheetName val="KET"/>
      <sheetName val="Worksheet"/>
      <sheetName val="VAC BDWN"/>
      <sheetName val="SPREAD SHEET"/>
      <sheetName val="MT_an"/>
      <sheetName val="Uba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Urai _ Guide Post"/>
      <sheetName val="Urai_Galian Tanah"/>
      <sheetName val="Hitung"/>
      <sheetName val="Agg Halus &amp; Kasar"/>
      <sheetName val="Analis Upah"/>
      <sheetName val="KEBALAT"/>
      <sheetName val="CRUSER"/>
      <sheetName val="HRPar"/>
      <sheetName val="asumsi"/>
      <sheetName val="data-pendukung"/>
      <sheetName val="MAPDC"/>
      <sheetName val="BILL OF QUAN"/>
      <sheetName val="General Intem"/>
      <sheetName val="STR - 2B"/>
      <sheetName val="Rupiah"/>
      <sheetName val="Sales"/>
      <sheetName val="Material&amp;Alat"/>
      <sheetName val="BQ EXTERN"/>
      <sheetName val="HSLAIN-LAIN"/>
      <sheetName val="Surat"/>
      <sheetName val="Surat2"/>
      <sheetName val="Daftar Alat"/>
      <sheetName val="jobset"/>
      <sheetName val="Prod 15-8 str"/>
      <sheetName val="Prod 15-7"/>
      <sheetName val="Prod 15-6"/>
      <sheetName val="Prod 15-5"/>
      <sheetName val="DIV.9"/>
      <sheetName val="PRIST LIST"/>
      <sheetName val="Assetdb"/>
      <sheetName val="PersList"/>
      <sheetName val="AssetPar"/>
      <sheetName val="Sales Parameter"/>
      <sheetName val="DIV.3"/>
      <sheetName val="skets"/>
      <sheetName val="harga sat"/>
      <sheetName val="RABP"/>
      <sheetName val="RATE&amp;FCTR"/>
      <sheetName val="FL-Cl"/>
      <sheetName val="Brick+Finish"/>
      <sheetName val="Invoice"/>
      <sheetName val="4-Basic Price"/>
      <sheetName val="Faktor Konversi"/>
      <sheetName val="Soi 08"/>
      <sheetName val="Generalofact"/>
      <sheetName val="Pek.persiapan"/>
      <sheetName val="SOHAR(2nd)"/>
      <sheetName val="预算"/>
      <sheetName val="TTTram"/>
      <sheetName val="Meth"/>
      <sheetName val="AN-E"/>
      <sheetName val="Upah&amp;bahan"/>
      <sheetName val="NPV"/>
      <sheetName val="EE-PROP"/>
      <sheetName val="CASH"/>
      <sheetName val="gi"/>
      <sheetName val="DIVI3"/>
      <sheetName val="D &amp; W sizes"/>
      <sheetName val="dayvol WEDI"/>
      <sheetName val="dayvol adibarat"/>
      <sheetName val="ERET"/>
      <sheetName val="own"/>
      <sheetName val="Har-mat"/>
      <sheetName val="Har_mat"/>
      <sheetName val="ANALISA GR_x005f_x0000__x"/>
      <sheetName val="ANALISA GR_x005f_x005f_x0"/>
      <sheetName val="DIV.2"/>
      <sheetName val="LD calc"/>
      <sheetName val="Formula"/>
      <sheetName val="COSTING Option 1"/>
      <sheetName val="대비표"/>
      <sheetName val="HSU"/>
      <sheetName val="12CGOU"/>
      <sheetName val="Biaya"/>
      <sheetName val="Pemindahan Penduduk "/>
      <sheetName val="ESC"/>
      <sheetName val="anal_hs"/>
      <sheetName val="ANALISA GR_x005f_x0000__x005f_x005f_x"/>
      <sheetName val="bqmpaloc"/>
      <sheetName val="Breakdown"/>
      <sheetName val="rap rinci"/>
      <sheetName val="DIVISI 3"/>
      <sheetName val="4+000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LAL - PASAR PAGI "/>
      <sheetName val="DivVII"/>
      <sheetName val="DataTeknis"/>
      <sheetName val="meth hsl nego"/>
      <sheetName val="Rekap "/>
      <sheetName val="Kurva S"/>
      <sheetName val="BQ All_2"/>
      <sheetName val="AT"/>
      <sheetName val="No Item"/>
      <sheetName val="SK"/>
      <sheetName val="Tunduk Panitia"/>
      <sheetName val="rab - persiapan &amp; lantai-1"/>
      <sheetName val="SAT"/>
      <sheetName val="2.1"/>
      <sheetName val="2.2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Bahan&amp;Upah"/>
      <sheetName val="Bhn"/>
      <sheetName val="Prod 02"/>
      <sheetName val="Stock Material"/>
      <sheetName val="EP-PROD-01"/>
      <sheetName val="Kuantitas &amp; Harga Seg.1"/>
      <sheetName val="Daftar Harga Satuan Gaji"/>
      <sheetName val="Daftar Harga Satuan Bahan"/>
      <sheetName val="ANALYS EXTERN"/>
      <sheetName val="Grand summary"/>
      <sheetName val="Up &amp; bhn"/>
      <sheetName val="lap-bulan"/>
      <sheetName val="L3-Calculation"/>
      <sheetName val="an.el"/>
      <sheetName val="An.AC &amp; Plb"/>
      <sheetName val="bau-6"/>
      <sheetName val="prd01-5"/>
      <sheetName val="Data-Masukan"/>
      <sheetName val="Budget"/>
      <sheetName val="Cashflow"/>
      <sheetName val="h.sat-bbm"/>
      <sheetName val="ANAL-SEC II"/>
      <sheetName val="ANAL-SEC III"/>
      <sheetName val="H_Satuan5"/>
      <sheetName val="REKAP_1_SECTION4"/>
      <sheetName val="DIREC_COST4"/>
      <sheetName val="form_besi4"/>
      <sheetName val="REKAP_STRUCTURE4"/>
      <sheetName val="lamp__123"/>
      <sheetName val="GRAND_REKAP3"/>
      <sheetName val="Master_1_03"/>
      <sheetName val="A-11_Steel_Str_(2)3"/>
      <sheetName val="Analisa_Upah_&amp;_Bahan_Plum3"/>
      <sheetName val="ANALISA_GRS_TENGAH3"/>
      <sheetName val="Analisa_&amp;_Upah3"/>
      <sheetName val="rekap_c3"/>
      <sheetName val="BAHAN_&amp;_UPAH3"/>
      <sheetName val="HSTANAH_XLS3"/>
      <sheetName val="Pos_4-13"/>
      <sheetName val="Harga_3"/>
      <sheetName val="vol__ARS3"/>
      <sheetName val="TOTAL_SPK3"/>
      <sheetName val="FORM_X_COST3"/>
      <sheetName val="BQ_ARS3"/>
      <sheetName val="bhn_3"/>
      <sheetName val="PLUMBING_23"/>
      <sheetName val="POS-4_13"/>
      <sheetName val="Rekap_Dc3"/>
      <sheetName val="daftar_Upah3"/>
      <sheetName val="PHU_053"/>
      <sheetName val="an_el3"/>
      <sheetName val="Bill_of_Qty_MEP3"/>
      <sheetName val="Basement_Estimate3"/>
      <sheetName val="HARGA_ME3"/>
      <sheetName val="Analisa_23"/>
      <sheetName val="HARGA_MATERIAL3"/>
      <sheetName val="rab_me_(by_owner)_3"/>
      <sheetName val="BQ_(by_owner)3"/>
      <sheetName val="rab_me_(fisik)3"/>
      <sheetName val="unit_rate-b33"/>
      <sheetName val="dboard(_asli)2"/>
      <sheetName val="ELEVATED_SLAB3"/>
      <sheetName val="Memb_Schd3"/>
      <sheetName val="rek_det_1-33"/>
      <sheetName val="LIFT_DOM2"/>
      <sheetName val="HB_3"/>
      <sheetName val="daftar_harga3"/>
      <sheetName val="RAB_STR_JETTY_&amp;_F_PENUNJANG2"/>
      <sheetName val="01A-_RAB3"/>
      <sheetName val="Analisa_Upah___Bahan_Plum3"/>
      <sheetName val="Analisa_Harga_Satuan3"/>
      <sheetName val="FORM_3A2"/>
      <sheetName val="Perhitungan_RAB2"/>
      <sheetName val="Daf_13"/>
      <sheetName val="RAB_RIIL_kayu2"/>
      <sheetName val="Supply_Agrmnt3"/>
      <sheetName val="Harga_satuan2"/>
      <sheetName val="Harga_Bahan3"/>
      <sheetName val="Indirect_Cost2"/>
      <sheetName val="SERVICES_FEE2"/>
      <sheetName val="BD_Cvl2"/>
      <sheetName val="Erection_SS2"/>
      <sheetName val="Currency_Rate2"/>
      <sheetName val="Upah_Bahan2"/>
      <sheetName val="Harga_ME_2"/>
      <sheetName val="REF_ONLY3"/>
      <sheetName val="crewlist_S2"/>
      <sheetName val="Analisa_RAB2"/>
      <sheetName val="Unit_Rate_Indirect2"/>
      <sheetName val="bukan_PNS2"/>
      <sheetName val="2__Informasi1"/>
      <sheetName val="Time_Schedule2"/>
      <sheetName val="Bill_of_Qty2"/>
      <sheetName val="3__KONTRAK(stu)2"/>
      <sheetName val="HRG_BHN2"/>
      <sheetName val="i-j__Pengalaman2"/>
      <sheetName val="anal_pipa2"/>
      <sheetName val="Harsat_Upah2"/>
      <sheetName val="PAKET_12"/>
      <sheetName val="Fill_this_out_first___2"/>
      <sheetName val="A_Paint_Jotun_Penguard2"/>
      <sheetName val="BOQ_ori2"/>
      <sheetName val="AnalisaSIPIL_RIIL_RAP2"/>
      <sheetName val="SUB_TOTAL___2"/>
      <sheetName val="HSA_&amp;_PAB2"/>
      <sheetName val="Harga_Upah_2"/>
      <sheetName val="Mon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Tekhnis2"/>
      <sheetName val="HASAT_DASAR1"/>
      <sheetName val="SBDY_Jemb_Tayan2"/>
      <sheetName val="Uraian_Teknis1"/>
      <sheetName val="Agregat_Halus_&amp;_Kasar2"/>
      <sheetName val="Harga_Sat_Das2"/>
      <sheetName val="SD_(1)2"/>
      <sheetName val="17_ALS-saluran+BC2"/>
      <sheetName val="HARGA_UPAH2"/>
      <sheetName val="Sewa_Alat-12"/>
      <sheetName val="FORM_72"/>
      <sheetName val="Analisa_(ok_punya)"/>
      <sheetName val="AHS_(ci,str,ars)2"/>
      <sheetName val="RENCANA_KERJA2"/>
      <sheetName val="D2_42"/>
      <sheetName val="D4_3_(TE)2"/>
      <sheetName val="D5_3_(TF)_2"/>
      <sheetName val="D8_3_(TJ)2"/>
      <sheetName val="struktur_tdk_dipakai2"/>
      <sheetName val="610_042"/>
      <sheetName val="Analisa_Prov'07"/>
      <sheetName val="Perm__Test"/>
      <sheetName val="AHS_-_Riel2"/>
      <sheetName val="Analisa_RAP2"/>
      <sheetName val="Bahan_B2"/>
      <sheetName val="Upah_B2"/>
      <sheetName val="ANALISA_GR?????GAH2"/>
      <sheetName val="Surat_Pernyataan2"/>
      <sheetName val="ANALISA_GR"/>
      <sheetName val="BQ_PABX"/>
      <sheetName val="HPP_TOTAL"/>
      <sheetName val="HPP_3_Tower"/>
      <sheetName val="Sumber_Daya"/>
      <sheetName val="General_Intem"/>
      <sheetName val="Bill_4_1"/>
      <sheetName val="Isolasi_Luar_Dalam"/>
      <sheetName val="Isolasi_Luar"/>
      <sheetName val="Anls_Hrg_Sat"/>
      <sheetName val="HRG_BAHAN_&amp;_UPAH_okk"/>
      <sheetName val="Analis_Kusen_okk"/>
      <sheetName val="Ana__PU"/>
      <sheetName val="1_B"/>
      <sheetName val="Bill_rekap"/>
      <sheetName val="Kuantitas_&amp;_Harga"/>
      <sheetName val="PRY_03-1_(Amd1)"/>
      <sheetName val="Har_Sat"/>
      <sheetName val="Anal_"/>
      <sheetName val="BAHAN_"/>
      <sheetName val="Harga_bahan-1"/>
      <sheetName val="DETAIL_POS_123"/>
      <sheetName val="Harsat_Bahan"/>
      <sheetName val="Door_&amp;_Window_Podium"/>
      <sheetName val="San_PD"/>
      <sheetName val="RAB_REVISI"/>
      <sheetName val="Str_A"/>
      <sheetName val="Analisa_Tend"/>
      <sheetName val="Hrg_Upah_Bhn"/>
      <sheetName val="DAFTAR_HARGA_BAHAN_"/>
      <sheetName val="STR_-_2B"/>
      <sheetName val="Harga_Bahan_&amp;_Upah"/>
      <sheetName val="Daftar_Staff"/>
      <sheetName val="VAC_BDWN"/>
      <sheetName val="H_Satuan_Dasar"/>
      <sheetName val="ANALISA_GR_x005f_x0000__x005f_x0000__x005f_x0000_"/>
      <sheetName val="ANALISA_GR_____GAH"/>
      <sheetName val="NEX24_DB"/>
      <sheetName val="ANALISA_GR_x005f_x005f_x005f_x0000__x005f_x005f_x"/>
      <sheetName val="OP__PERJAM"/>
      <sheetName val="K_Lokal"/>
      <sheetName val="B__PERSONIL"/>
      <sheetName val="RANGE_BAHAN"/>
      <sheetName val="BOQ_SNJ_1"/>
      <sheetName val="DKH_CCO_1A"/>
      <sheetName val="DKH_CCO_1B_R-1"/>
      <sheetName val="Unit_Cost"/>
      <sheetName val="fill_in_first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Rekap_Direct_Cost"/>
      <sheetName val="DF-7_(2)"/>
      <sheetName val="Harsat_Pekerjaan"/>
      <sheetName val="H_SAT"/>
      <sheetName val="ANALISA_railing"/>
      <sheetName val="RAB_AR&amp;STR"/>
      <sheetName val="10_yr_val"/>
      <sheetName val="COST_SUMM"/>
      <sheetName val="DFT__HRG_BHN___UPAH"/>
      <sheetName val="ANALISA_STR___ARS"/>
      <sheetName val="Sec_I_ML"/>
      <sheetName val="TATA_UDARA"/>
      <sheetName val="Prod_15-8_str"/>
      <sheetName val="Prod_15-7"/>
      <sheetName val="Prod_15-6"/>
      <sheetName val="Prod_15-5"/>
      <sheetName val="SAT_EL"/>
      <sheetName val="DRUP_(ASLI)"/>
      <sheetName val="Man_Power"/>
      <sheetName val="analisa_el"/>
      <sheetName val="analisa_panel"/>
      <sheetName val="Master_Edit"/>
      <sheetName val="Analis_harga"/>
      <sheetName val="HarDas-Ops_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DIV_9"/>
      <sheetName val="HARGA_DASAR"/>
      <sheetName val="PRIST_LIST"/>
      <sheetName val="Sales_Parameter"/>
      <sheetName val="DIV_3"/>
      <sheetName val="Daftar_Upah,_Hrg_Bhn_&amp;_Pralatan"/>
      <sheetName val="BILL_OF_QUAN"/>
      <sheetName val="analisa_asumsi_Me"/>
      <sheetName val="bhn FINAL"/>
      <sheetName val="Soi_08"/>
      <sheetName val="Analisa SNI STANDART "/>
      <sheetName val="Eng_Hrs"/>
      <sheetName val="K"/>
      <sheetName val="Markup"/>
      <sheetName val="Bill Of Quantity"/>
      <sheetName val="STR"/>
      <sheetName val="H-Upah"/>
      <sheetName val="ANALISA GR_x0000__x"/>
      <sheetName val="ANALISA GR_x0"/>
      <sheetName val="FINISHING"/>
      <sheetName val="ANALISA GR___"/>
      <sheetName val="ANALISA_GR_____GAH1"/>
      <sheetName val="TBL_BANTU"/>
      <sheetName val="Pjk_Kend_&amp;_Parkir&amp;Tanah"/>
      <sheetName val="Pak_Din(510)"/>
      <sheetName val="P_Didik&amp;BinaPeg_"/>
      <sheetName val="Rekap_Prelim"/>
      <sheetName val="Unit_Price"/>
      <sheetName val="ITB COST"/>
      <sheetName val=" "/>
      <sheetName val="FP"/>
      <sheetName val="PLB"/>
      <sheetName val="Jadwal"/>
      <sheetName val="Anl.+"/>
      <sheetName val="LCATAL"/>
      <sheetName val="prog_mgu"/>
      <sheetName val="DAFFIN"/>
      <sheetName val="iNT. Kotak Lt.3"/>
      <sheetName val="Form I"/>
      <sheetName val="sph"/>
      <sheetName val="SP Kapasitas TD"/>
      <sheetName val="Sheet7"/>
      <sheetName val="3-DIV4"/>
      <sheetName val="Data Upah"/>
      <sheetName val="schtng"/>
      <sheetName val="schbhn"/>
      <sheetName val="schalt"/>
      <sheetName val="DEF"/>
      <sheetName val="H-SAT"/>
      <sheetName val="gvl"/>
      <sheetName val="3-DIV7"/>
      <sheetName val="D.BOARD"/>
      <sheetName val="PERALATAN PROYEK GOL III A"/>
      <sheetName val="Cashflow_ref"/>
      <sheetName val="SUB &amp; mandor"/>
      <sheetName val="alt1"/>
      <sheetName val="HS Alat"/>
      <sheetName val="Div 9 - Harian"/>
      <sheetName val="Div 2 - Drainase"/>
      <sheetName val="Input Data"/>
      <sheetName val="mst_prod_material"/>
      <sheetName val="inventory_stock_movement"/>
      <sheetName val="7.공정표"/>
      <sheetName val="NC-CM"/>
      <sheetName val="rekaprab"/>
      <sheetName val="DAFMAT"/>
      <sheetName val="KWNTY&amp;HARGA"/>
      <sheetName val="5-ALAT(1)"/>
      <sheetName val="DAF-BAHAN"/>
      <sheetName val="DAF-UPAH"/>
      <sheetName val="DAPRO"/>
      <sheetName val="M+MC"/>
      <sheetName val="3.2.2 (Rincian)"/>
      <sheetName val="PHT"/>
      <sheetName val="AN. SCAFOLDING"/>
      <sheetName val="box culvert"/>
      <sheetName val="divI"/>
      <sheetName val="Hst,upah"/>
      <sheetName val="Hst_mat"/>
      <sheetName val="PM"/>
      <sheetName val="Volume"/>
      <sheetName val="22"/>
      <sheetName val="Upah &amp; Bahan"/>
      <sheetName val="keb-BHN"/>
      <sheetName val="sche"/>
      <sheetName val="HST"/>
      <sheetName val="TJ.JATI"/>
      <sheetName val="RBP- 2"/>
      <sheetName val="Galian 1"/>
      <sheetName val="lampiran"/>
      <sheetName val="DIV.8"/>
      <sheetName val="SAPON"/>
      <sheetName val="Pengalaman"/>
      <sheetName val="ENC.14"/>
      <sheetName val="3Div7"/>
      <sheetName val="AnalisaSIPIL RIIL"/>
      <sheetName val="BBM-03"/>
      <sheetName val="DIV7-BM"/>
      <sheetName val="D Harga"/>
      <sheetName val="15.Irr. Struc.Work"/>
      <sheetName val="16.Pipe Inst."/>
      <sheetName val="NP (4)"/>
      <sheetName val="INPUT AGST"/>
      <sheetName val="rkpm 2003"/>
      <sheetName val="4__PEK__LUAR"/>
      <sheetName val="Pemindahan_Penduduk_"/>
      <sheetName val="Unit_Rate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4-Basic_Price"/>
      <sheetName val="Faktor_Konversi"/>
      <sheetName val="DLAT_(2)"/>
      <sheetName val="Daftar_Alat"/>
      <sheetName val="ANALISA_GR_x005f_x0000__x"/>
      <sheetName val="AnalisaSIPIL_RIIL"/>
      <sheetName val="memory"/>
      <sheetName val="UP-MAT-ALT"/>
      <sheetName val="Hardas Material"/>
      <sheetName val="Hardas Upah+Subkon"/>
      <sheetName val="Satuan Dasar"/>
      <sheetName val="Input_hari"/>
      <sheetName val="Input_Cuaca"/>
      <sheetName val="DATA_UMUM"/>
      <sheetName val="TE TS FA LAN MATV"/>
      <sheetName val="갑지"/>
      <sheetName val="spl"/>
      <sheetName val="PSPR"/>
      <sheetName val="Contents"/>
      <sheetName val="Analisa Quarry"/>
      <sheetName val="MEBEL1"/>
      <sheetName val="Morang"/>
      <sheetName val="HSPK"/>
      <sheetName val="DB"/>
      <sheetName val="SD"/>
      <sheetName val="BABY"/>
      <sheetName val="Analisa Harga"/>
      <sheetName val="DK&amp;H"/>
      <sheetName val="div4"/>
      <sheetName val="div71"/>
      <sheetName val="div7"/>
      <sheetName val="div31"/>
      <sheetName val="div3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Alat (1)"/>
      <sheetName val="Daftar Harga Upah dan Bahan"/>
      <sheetName val="An_Harga"/>
      <sheetName val="LAM 3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Pgr Jl.I.Bale"/>
      <sheetName val="Rekap Bill"/>
      <sheetName val="Menu"/>
      <sheetName val="HPS"/>
      <sheetName val="BREAKDOWN(철거설치)"/>
      <sheetName val="rINCIAN"/>
      <sheetName val="D7(1)"/>
      <sheetName val="SP17"/>
      <sheetName val="ANALISA GR_x005f_x005f_x005f_x005f_x005f_x005f_x0"/>
      <sheetName val="Alat B"/>
      <sheetName val="a.h ars sum"/>
      <sheetName val="a.h ars"/>
      <sheetName val="DIV.1"/>
      <sheetName val="Rab-EL-"/>
      <sheetName val="Total Harga"/>
      <sheetName val="BIIL ASLI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Isian Biodata"/>
      <sheetName val="IN."/>
      <sheetName val="In"/>
      <sheetName val="Proje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/>
      <sheetData sheetId="827"/>
      <sheetData sheetId="828"/>
      <sheetData sheetId="829"/>
      <sheetData sheetId="830"/>
      <sheetData sheetId="831" refreshError="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 refreshError="1"/>
      <sheetData sheetId="922" refreshError="1"/>
      <sheetData sheetId="923" refreshError="1"/>
      <sheetData sheetId="924"/>
      <sheetData sheetId="925"/>
      <sheetData sheetId="926" refreshError="1"/>
      <sheetData sheetId="927" refreshError="1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 refreshError="1"/>
      <sheetData sheetId="1054" refreshError="1"/>
      <sheetData sheetId="1055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 refreshError="1"/>
      <sheetData sheetId="1298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 refreshError="1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SEX"/>
      <sheetName val="STR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8LT 12"/>
      <sheetName val="Harga-RAB"/>
      <sheetName val="anal"/>
      <sheetName val="SAT"/>
      <sheetName val="ANA-HRG"/>
      <sheetName val="Vol Sipil &amp; Ars"/>
      <sheetName val="Grand total"/>
      <sheetName val="NEG02"/>
      <sheetName val="RAB"/>
      <sheetName val="harga satuan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ANBOW-2008"/>
      <sheetName val="rekap-ans"/>
      <sheetName val="Rincian"/>
      <sheetName val="CH"/>
      <sheetName val="lab bahasa"/>
      <sheetName val="HARGA ALAT"/>
      <sheetName val="rumus"/>
      <sheetName val="HB"/>
      <sheetName val="Sheet1"/>
      <sheetName val="DAF-5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Analis Kusen 1 ESKALASI"/>
      <sheetName val="H.Satuan"/>
      <sheetName val="Cover"/>
      <sheetName val="K"/>
      <sheetName val="ANL"/>
      <sheetName val="Fak"/>
      <sheetName val="Rek-Tot"/>
      <sheetName val="HASAT DASAR"/>
      <sheetName val="analis"/>
      <sheetName val="ANALISA-A"/>
      <sheetName val="ahs"/>
      <sheetName val="metode"/>
      <sheetName val="BAHAN"/>
      <sheetName val="Har Sat"/>
      <sheetName val="boq"/>
      <sheetName val="harsat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Daf.Harga"/>
      <sheetName val="anaUTama"/>
      <sheetName val="anaMob"/>
      <sheetName val="3-DIV4"/>
      <sheetName val="DIVI3"/>
      <sheetName val="H. Dasar"/>
      <sheetName val="BAR SCREEN"/>
      <sheetName val="rab - persiapan &amp; lantai-1"/>
      <sheetName val="BAG_2"/>
      <sheetName val="FLAF&amp;PARTSI"/>
      <sheetName val="ANALISA PEK.UMUM"/>
      <sheetName val="ANALISA KONST BTN"/>
      <sheetName val="Vol. Lantai Tipikal"/>
      <sheetName val="Analisa Struktur"/>
      <sheetName val="16-47"/>
      <sheetName val="ARS"/>
      <sheetName val="Finishing"/>
      <sheetName val="Pas. bata (anyar)"/>
      <sheetName val="Pas. bata"/>
      <sheetName val="Opening"/>
      <sheetName val="Rekapitulasi"/>
      <sheetName val="Preliminary"/>
      <sheetName val="Struktur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Bill of Qty MEP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Analisa Alat"/>
      <sheetName val="03"/>
      <sheetName val="5-ALAT(1)"/>
      <sheetName val="DAF-1"/>
      <sheetName val="BQ LT.2"/>
      <sheetName val="BQ LT.3"/>
      <sheetName val="BQ LT.4 &amp; atap"/>
      <sheetName val="BQ SECURITY"/>
      <sheetName val="BQ LT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 Kurve"/>
      <sheetName val="DB"/>
      <sheetName val="REKAP"/>
      <sheetName val="PERSIAPAN"/>
      <sheetName val="STRUKTUR"/>
      <sheetName val="ARS BM2"/>
      <sheetName val="Analisa"/>
      <sheetName val="Anal"/>
      <sheetName val="Sheet1"/>
      <sheetName val="Sheet2"/>
      <sheetName val="Har-mat"/>
      <sheetName val="Har_mat"/>
      <sheetName val="harsat"/>
      <sheetName val="BQ"/>
      <sheetName val="hsp-STR-ARS"/>
      <sheetName val="Analisa &amp; Upah"/>
      <sheetName val="Electrikal"/>
      <sheetName val="Elektronik"/>
      <sheetName val="Plumbing"/>
      <sheetName val="AC"/>
      <sheetName val="Fire Fighting"/>
      <sheetName val="Item Kompensasi"/>
      <sheetName val="satuan_pek_ars"/>
      <sheetName val="K725"/>
      <sheetName val="L4"/>
      <sheetName val="K33H"/>
      <sheetName val="K621"/>
      <sheetName val="K819"/>
      <sheetName val="K331"/>
      <sheetName val="_x0000_"/>
      <sheetName val="Hargamat"/>
      <sheetName val="Hrg.Sat"/>
      <sheetName val="RAB"/>
      <sheetName val="HARSAT BAHAN"/>
      <sheetName val="STR"/>
      <sheetName val="Upah+Bahan"/>
      <sheetName val="ANALISA S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PC"/>
      <sheetName val="Balok"/>
      <sheetName val="REF.ONLY"/>
      <sheetName val="SEX"/>
      <sheetName val="Fin-Bengkel"/>
      <sheetName val="Fin-Showroom"/>
      <sheetName val="Hal_Pagar"/>
      <sheetName val="Str-Bengkel"/>
      <sheetName val="Str-Showroom"/>
      <sheetName val="Elektrikal"/>
      <sheetName val="Isolasi Luar Dalam"/>
      <sheetName val="Isolasi Luar"/>
      <sheetName val="DAF-2"/>
      <sheetName val="REF_ONLY"/>
      <sheetName val="Cover"/>
      <sheetName val="HB "/>
      <sheetName val="Bill Of Quantity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Man_Power_Const"/>
      <sheetName val="BAG-2"/>
      <sheetName val="RKP PLUMBING"/>
      <sheetName val="AC-C"/>
      <sheetName val="BAG_2"/>
      <sheetName val="H.Satuan"/>
      <sheetName val="L-Mechanical"/>
      <sheetName val="EXTERNAL WORK"/>
      <sheetName val="STR"/>
      <sheetName val="rab me (by owner) "/>
      <sheetName val="BQ (by owner)"/>
      <sheetName val="rab me (fisik)"/>
      <sheetName val="Tata Udara"/>
      <sheetName val="Plumbing"/>
      <sheetName val="Alat"/>
      <sheetName val="Analisa Gabungan"/>
      <sheetName val="Sub"/>
      <sheetName val="GB"/>
      <sheetName val="bahan"/>
      <sheetName val="3.3~PLB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REF_ONLY1"/>
      <sheetName val="Isolasi_Luar_Dalam"/>
      <sheetName val="Isolasi_Luar"/>
      <sheetName val="HB_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Panel,feeder,elek"/>
      <sheetName val="REKAP"/>
      <sheetName val="Bill No 2.1 Cold Water System"/>
      <sheetName val="BASEMENT"/>
      <sheetName val="Klm-Mnl"/>
      <sheetName val="Blk-Mnl lt.3-lt.atap"/>
      <sheetName val="REQDELTA"/>
      <sheetName val="LISTRIK"/>
      <sheetName val="PConsCS"/>
      <sheetName val="dia-in"/>
      <sheetName val="Dasboard"/>
      <sheetName val="H-Upah"/>
      <sheetName val="DAF-1"/>
      <sheetName val="ANALISA-A"/>
      <sheetName val="Analisa Upah _ Bahan Plum"/>
      <sheetName val="HRG BHN"/>
      <sheetName val="BASIC"/>
      <sheetName val="PileCap"/>
      <sheetName val="Tie Beam GN"/>
      <sheetName val="Tangga GN"/>
      <sheetName val="Analisa ME "/>
      <sheetName val="Upah&amp;Bahan"/>
      <sheetName val="Ahs.2"/>
      <sheetName val="Ahs.1"/>
      <sheetName val="Cover (x)"/>
      <sheetName val="Cor Apt"/>
      <sheetName val="01A- RAB"/>
      <sheetName val="011Rabr0b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rab me _by owner_ "/>
      <sheetName val="BQ _by owner_"/>
      <sheetName val="rab me _fisik_"/>
      <sheetName val="Analisa 2"/>
      <sheetName val="Bill-2"/>
      <sheetName val="TOWN"/>
      <sheetName val="Fill this out first___"/>
      <sheetName val="komponen"/>
      <sheetName val="escon"/>
      <sheetName val="Daf_ No_ _ 4_2"/>
      <sheetName val="Analisa &amp; Upah"/>
      <sheetName val="Mekanikal"/>
      <sheetName val="DIV7-BM"/>
      <sheetName val="Markup"/>
      <sheetName val="概総括1"/>
      <sheetName val="External"/>
      <sheetName val="Analisa ME"/>
      <sheetName val="OFFICE 2 LT"/>
      <sheetName val="Man power"/>
      <sheetName val="PEK TANAH"/>
      <sheetName val="PEK-PERKERASAN"/>
      <sheetName val="PEK ASPAL"/>
      <sheetName val="PEK-STRUKTUR"/>
      <sheetName val="PEK-MINOR"/>
      <sheetName val="Master 1.0"/>
      <sheetName val="RATE&amp;FCTR"/>
      <sheetName val="BQ"/>
      <sheetName val="Met_Pas Batu"/>
      <sheetName val="Met_ Minor"/>
      <sheetName val="Fill this out first..."/>
      <sheetName val="G_SUMMARY"/>
      <sheetName val="Break_down"/>
      <sheetName val="Terbilang"/>
      <sheetName val="harsat"/>
      <sheetName val="upah_borong"/>
      <sheetName val="FORM X COST"/>
      <sheetName val="rab - persiapan &amp; lantai-1"/>
      <sheetName val="TT04"/>
      <sheetName val="RATE_FCTR"/>
      <sheetName val="analisa harga satuan"/>
      <sheetName val="Upah Bahan"/>
      <sheetName val="Daf 1"/>
      <sheetName val="BOQ INTERN"/>
      <sheetName val="H_Upah"/>
      <sheetName val="tifico"/>
      <sheetName val="Pivot-tabel-塅䕃⹌塅Esa"/>
      <sheetName val="MAIN EQUIP AC"/>
      <sheetName val="ERECTION"/>
      <sheetName val="Lantai I"/>
      <sheetName val="TOEC"/>
      <sheetName val="QSS"/>
      <sheetName val="MHR-ANLIS"/>
      <sheetName val="DAFTAR HARGA"/>
      <sheetName val="I-KAMAR"/>
      <sheetName val="I_KAMAR"/>
      <sheetName val="#REF!"/>
      <sheetName val="BAHAN "/>
      <sheetName val="hst  LAMP_1"/>
      <sheetName val="Mall"/>
      <sheetName val="Div10"/>
      <sheetName val="DRUP (ASLI)"/>
      <sheetName val="Ch"/>
      <sheetName val="anal"/>
      <sheetName val="K"/>
      <sheetName val="DIV.IV"/>
      <sheetName val="DIV.VIII"/>
      <sheetName val="DAF-5"/>
      <sheetName val="Sheet1"/>
      <sheetName val="Pipe"/>
      <sheetName val="Anls"/>
      <sheetName val="F ALARM"/>
      <sheetName val="analis"/>
      <sheetName val="box culvert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AC"/>
      <sheetName val="Bill No_ 3"/>
      <sheetName val="KK"/>
      <sheetName val="Fin_Bengkel"/>
      <sheetName val="Fin_Showroom"/>
      <sheetName val="Str_Bengkel"/>
      <sheetName val="Str_Showroom"/>
      <sheetName val="UPH,BHN,ALT"/>
      <sheetName val="Analis harga"/>
      <sheetName val="Daf__No____4_2"/>
      <sheetName val="Man Power &amp; Comp"/>
      <sheetName val="ELEMENT SUM"/>
      <sheetName val="MEP"/>
      <sheetName val="D_S_UPAH"/>
      <sheetName val="3-DIV7.B"/>
      <sheetName val="DAF_3.1"/>
      <sheetName val="DAF_3.11"/>
      <sheetName val="b"/>
      <sheetName val="s"/>
      <sheetName val="Bill_2_ PL _ SUPPLY A"/>
      <sheetName val="SELISIH HARGA"/>
      <sheetName val="ｺﾝY条件BD"/>
      <sheetName val="NP"/>
      <sheetName val="부하(성남)"/>
      <sheetName val="B - Norelec"/>
      <sheetName val="Input monthly capex"/>
      <sheetName val="기성"/>
      <sheetName val="국내총괄"/>
      <sheetName val="대비"/>
      <sheetName val="anaUTama"/>
      <sheetName val="anaMob"/>
      <sheetName val="table-5"/>
      <sheetName val="calc-2"/>
      <sheetName val="data"/>
      <sheetName val="tabel-4"/>
      <sheetName val="data-1"/>
      <sheetName val="Site Plan"/>
      <sheetName val="Urai _ Guide Post"/>
      <sheetName val="Urai_Galian Tanah"/>
      <sheetName val="A"/>
      <sheetName val="HARGA MATERIAL"/>
      <sheetName val="RAP"/>
      <sheetName val="SAT"/>
      <sheetName val="3.4. CONCRETE ANLS. C.O.T"/>
      <sheetName val="???1"/>
      <sheetName val="OFFICE"/>
      <sheetName val="RECEIVING INPECTION"/>
      <sheetName val="Rek Tot"/>
      <sheetName val="Piping"/>
      <sheetName val="Pivot-tabel-????Esa"/>
      <sheetName val="??Y??BD"/>
      <sheetName val="RAW MATERIALS "/>
      <sheetName val="COST-PERSON-J.O."/>
      <sheetName val="RENTAL1"/>
      <sheetName val="3-DIV5"/>
      <sheetName val="Elec-ins"/>
      <sheetName val="RAB"/>
      <sheetName val="Student"/>
      <sheetName val="sheet 2"/>
      <sheetName val="RAB ME"/>
      <sheetName val="FIRE FIGHTING"/>
      <sheetName val="Fill_this_out_first___2"/>
      <sheetName val="NS GD.UTAMA"/>
      <sheetName val="6"/>
      <sheetName val="REKAP_ARSITEKTUR."/>
      <sheetName val="RAB.ADMINISTRASI PUSAT (1)"/>
      <sheetName val="ANSAT K'AYI"/>
      <sheetName val="M&amp;E R"/>
      <sheetName val="RAB PERSIAPAN "/>
      <sheetName val="BL"/>
      <sheetName val="Analis Kusen 1 ESKALASI"/>
      <sheetName val="hrg-dsr"/>
      <sheetName val="A+Supl."/>
      <sheetName val="7"/>
      <sheetName val="Data_Neraca_Kom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一発シート"/>
      <sheetName val="L_Mechanical"/>
      <sheetName val="gvl"/>
      <sheetName val="HSD"/>
      <sheetName val="BQ-E20-02(Rp)"/>
      <sheetName val="4-Basic Price"/>
      <sheetName val="BQTOLTP"/>
      <sheetName val="Analisa HS"/>
      <sheetName val="DIV7"/>
      <sheetName val="DIV3"/>
      <sheetName val="DIV2"/>
      <sheetName val="Anl.+"/>
      <sheetName val="112-885"/>
      <sheetName val="rab g. menara pengawas"/>
      <sheetName val="DOORWINDOW"/>
      <sheetName val="___1"/>
      <sheetName val="name"/>
      <sheetName val="??"/>
      <sheetName val="????"/>
      <sheetName val="AC_C"/>
      <sheetName val="coeff"/>
      <sheetName val="Cable 150kV Ref."/>
      <sheetName val="BasicPrice"/>
      <sheetName val="2002"/>
      <sheetName val="D &amp; W sizes"/>
      <sheetName val="??(??)"/>
      <sheetName val="C100-KICK"/>
      <sheetName val="Reactions"/>
      <sheetName val="BQ PLAMBING - SEMANAN"/>
      <sheetName val="INDEX"/>
      <sheetName val="SAT-DAS"/>
      <sheetName val="附表4-辅助工程"/>
      <sheetName val="附表4-公用工程项目"/>
      <sheetName val="附表2"/>
      <sheetName val="Man Power _ Comp"/>
      <sheetName val="Man_Power_&amp;_Comp"/>
      <sheetName val="Persiapan"/>
      <sheetName val="SAP"/>
      <sheetName val="M.Pekerjaan"/>
      <sheetName val="h-013211-2"/>
      <sheetName val="GENERAL"/>
      <sheetName val="Pricing"/>
      <sheetName val="ANALISA PEK.UMUM"/>
      <sheetName val="REKAPITULASI"/>
      <sheetName val="Pivot-tabel-____Esa"/>
      <sheetName val="__Y__BD"/>
      <sheetName val="__"/>
      <sheetName val="____"/>
      <sheetName val="FACTOR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Weight Bridge"/>
      <sheetName val="Ahs.Pipa"/>
      <sheetName val="3-DIV2"/>
      <sheetName val="arsitektur"/>
      <sheetName val="BILL 1"/>
      <sheetName val="iTEM hARSAT"/>
      <sheetName val="4"/>
      <sheetName val="電気設備表"/>
      <sheetName val="TAMKUR "/>
      <sheetName val="Prelim Thp 2"/>
      <sheetName val="Direct Cost Thp 2"/>
      <sheetName val="CF Rp-USD"/>
      <sheetName val="AHS"/>
      <sheetName val="FAK"/>
      <sheetName val="Harsat Bahan"/>
      <sheetName val="Harsat Upah"/>
      <sheetName val="hub"/>
      <sheetName val="Cover Daf-2"/>
      <sheetName val="ANL_pakai"/>
      <sheetName val="Transfer Pump"/>
      <sheetName val="ELEKTRONIK"/>
      <sheetName val="FORMESTIMASI"/>
      <sheetName val="7.PEK-STRUKTUR"/>
      <sheetName val="5.1-5.4(1)-5.4(2)"/>
      <sheetName val="metode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BGN PENUNJANG"/>
      <sheetName val="Capex"/>
      <sheetName val="Zobowiazania"/>
      <sheetName val="BILANS"/>
      <sheetName val="MADC"/>
      <sheetName val="Pintu &amp; Jendela"/>
      <sheetName val="rekap mekanikal"/>
      <sheetName val="Div. 4"/>
      <sheetName val="PEK-HARIAN"/>
      <sheetName val="Analisa Harga"/>
      <sheetName val="Summary"/>
      <sheetName val="Zones"/>
      <sheetName val="AHS AC"/>
      <sheetName val="AHS FF"/>
      <sheetName val="AHS PLMB"/>
      <sheetName val="기준"/>
      <sheetName val="sort2"/>
      <sheetName val="gia vt,nc,may"/>
      <sheetName val="Du toan"/>
      <sheetName val="Quantity"/>
      <sheetName val="Keothep"/>
      <sheetName val="Re-bar"/>
      <sheetName val="trf 7 jht"/>
      <sheetName val="Sheet3"/>
      <sheetName val="Sheet5"/>
      <sheetName val="Sheet4"/>
      <sheetName val="351BQMCN"/>
      <sheetName val="GE-1-2"/>
      <sheetName val="EE-PROP"/>
      <sheetName val="el-sum"/>
      <sheetName val="FreshWater"/>
      <sheetName val="Harga Satuan"/>
      <sheetName val="LEMBAR1"/>
      <sheetName val="besi"/>
      <sheetName val="Mk Base"/>
      <sheetName val="Vibro_Roller"/>
      <sheetName val="PO-2"/>
      <sheetName val="__(__)"/>
      <sheetName val="ELEMENT_SUM"/>
      <sheetName val="Bill_No__3"/>
      <sheetName val="HARGA_MATERIAL"/>
      <sheetName val="RAW_MATERIALS_"/>
      <sheetName val="COST-PERSON-J_O_"/>
      <sheetName val="Urai___Guide_Post"/>
      <sheetName val="Urai_Galian_Tanah"/>
      <sheetName val="sheet_2"/>
      <sheetName val="RAB_ME"/>
      <sheetName val="FIRE_FIGHTING"/>
      <sheetName val="RECEIVING_INPECTION"/>
      <sheetName val="Rek_Tot"/>
      <sheetName val="DETAIL_RAP"/>
      <sheetName val="Anl_+"/>
      <sheetName val="rab_g__menara_pengawas"/>
      <sheetName val="NS_GD_UTAMA"/>
      <sheetName val="ANSAT_K'AYI"/>
      <sheetName val="Cable_150kV_Ref_"/>
      <sheetName val="Analisa_HS"/>
      <sheetName val="D_&amp;_W_sizes"/>
      <sheetName val="4-Basic_Price"/>
      <sheetName val="M&amp;E_R"/>
      <sheetName val="RAB_PERSIAPAN_"/>
      <sheetName val="Analis_Kusen_1_ESKALASI"/>
      <sheetName val="M_Pekerjaan"/>
      <sheetName val="ANALISA_PEK_UMUM"/>
      <sheetName val="REKAP_ARSITEKTUR_"/>
      <sheetName val="RAB_ADMINISTRASI_PUSAT_(1)"/>
      <sheetName val="Man_Power___Comp"/>
      <sheetName val="Analisa_-Baku7"/>
      <sheetName val="Bill_of_Qty7"/>
      <sheetName val="Bill_of_Qty_MEP7"/>
      <sheetName val="Analisa_Baku_MEP7"/>
      <sheetName val="Rekap_Prelim7"/>
      <sheetName val="Rekap_Direct_Cost7"/>
      <sheetName val="Pivot-tabel-Isi_Data7"/>
      <sheetName val="Pivot-tabel-Copy_Database7"/>
      <sheetName val="Analisa_Upah_&amp;_Bahan_Plum7"/>
      <sheetName val="REF_ONLY7"/>
      <sheetName val="Isolasi_Luar_Dalam6"/>
      <sheetName val="Isolasi_Luar6"/>
      <sheetName val="HB_6"/>
      <sheetName val="Bill_Of_Quantity6"/>
      <sheetName val="EXTERNAL_WORK4"/>
      <sheetName val="H_Satuan4"/>
      <sheetName val="RKP_PLUMBING4"/>
      <sheetName val="Analisa_Upah___Bahan_Plum4"/>
      <sheetName val="rab_me_(by_owner)_4"/>
      <sheetName val="BQ_(by_owner)4"/>
      <sheetName val="rab_me_(fisik)4"/>
      <sheetName val="3_3~PLB4"/>
      <sheetName val="Tata_Udara4"/>
      <sheetName val="Analisa_Gabungan4"/>
      <sheetName val="Analisa_ME_4"/>
      <sheetName val="Man_power3"/>
      <sheetName val="Cover_(x)4"/>
      <sheetName val="Cor_Apt4"/>
      <sheetName val="HRG_BHN4"/>
      <sheetName val="Tie_Beam_GN4"/>
      <sheetName val="Tangga_GN4"/>
      <sheetName val="Blk-Mnl_lt_3-lt_atap4"/>
      <sheetName val="Bill_No_2_1_Cold_Water_System4"/>
      <sheetName val="Ahs_24"/>
      <sheetName val="Ahs_14"/>
      <sheetName val="01A-_RAB3"/>
      <sheetName val="rab_me__by_owner__3"/>
      <sheetName val="BQ__by_owner_3"/>
      <sheetName val="rab_me__fisik_3"/>
      <sheetName val="Analisa_&amp;_Upah3"/>
      <sheetName val="Analisa_ME3"/>
      <sheetName val="Master_1_03"/>
      <sheetName val="OFFICE_2_LT3"/>
      <sheetName val="Analisa_23"/>
      <sheetName val="Fill_this_out_first___5"/>
      <sheetName val="MAIN_EQUIP_AC3"/>
      <sheetName val="DAFTAR_HARGA1"/>
      <sheetName val="Daf__No____4_22"/>
      <sheetName val="PEK_TANAH3"/>
      <sheetName val="PEK_ASPAL3"/>
      <sheetName val="rab_-_persiapan_&amp;_lantai-13"/>
      <sheetName val="BAHAN_1"/>
      <sheetName val="analisa_harga_satuan1"/>
      <sheetName val="hst__LAMP_11"/>
      <sheetName val="Fill_this_out_first___6"/>
      <sheetName val="DRUP_(ASLI)1"/>
      <sheetName val="FORM_X_COST1"/>
      <sheetName val="DIV_IV1"/>
      <sheetName val="DIV_VIII1"/>
      <sheetName val="Bill_2__PL___SUPPLY_A1"/>
      <sheetName val="Met_Pas_Batu3"/>
      <sheetName val="Met__Minor3"/>
      <sheetName val="Lantai_I1"/>
      <sheetName val="F_ALARM1"/>
      <sheetName val="SELISIH_HARGA1"/>
      <sheetName val="3-DIV7_B1"/>
      <sheetName val="box_culvert1"/>
      <sheetName val="Daf_11"/>
      <sheetName val="B_-_Norelec1"/>
      <sheetName val="Input_monthly_capex1"/>
      <sheetName val="Man_Power_&amp;_Comp2"/>
      <sheetName val="Upah_Bahan1"/>
      <sheetName val="BOQ_INTERN1"/>
      <sheetName val="3_4__CONCRETE_ANLS__C_O_T1"/>
      <sheetName val="Analis_harga1"/>
      <sheetName val="DAF_3_12"/>
      <sheetName val="DAF_3_111"/>
      <sheetName val="Site_Plan1"/>
      <sheetName val="ELEMENT_SUM1"/>
      <sheetName val="Bill_No__31"/>
      <sheetName val="HARGA_MATERIAL1"/>
      <sheetName val="RAW_MATERIALS_1"/>
      <sheetName val="COST-PERSON-J_O_1"/>
      <sheetName val="Urai___Guide_Post1"/>
      <sheetName val="Urai_Galian_Tanah1"/>
      <sheetName val="sheet_21"/>
      <sheetName val="RAB_ME1"/>
      <sheetName val="FIRE_FIGHTING1"/>
      <sheetName val="RECEIVING_INPECTION1"/>
      <sheetName val="Rek_Tot1"/>
      <sheetName val="DETAIL_RAP1"/>
      <sheetName val="Anl_+1"/>
      <sheetName val="rab_g__menara_pengawas1"/>
      <sheetName val="NS_GD_UTAMA1"/>
      <sheetName val="ANSAT_K'AYI1"/>
      <sheetName val="Cable_150kV_Ref_1"/>
      <sheetName val="Analisa_HS1"/>
      <sheetName val="D_&amp;_W_sizes1"/>
      <sheetName val="4-Basic_Price1"/>
      <sheetName val="M&amp;E_R1"/>
      <sheetName val="RAB_PERSIAPAN_1"/>
      <sheetName val="Analis_Kusen_1_ESKALASI1"/>
      <sheetName val="M_Pekerjaan1"/>
      <sheetName val="ANALISA_PEK_UMUM1"/>
      <sheetName val="REKAP_ARSITEKTUR_1"/>
      <sheetName val="RAB_ADMINISTRASI_PUSAT_(1)1"/>
      <sheetName val="Man_Power___Comp1"/>
      <sheetName val="Satpek"/>
      <sheetName val="material "/>
      <sheetName val="GRAND REKAP"/>
      <sheetName val="Baja"/>
      <sheetName val="Beton K-250"/>
      <sheetName val="Hua Yang Quarterly"/>
      <sheetName val="SCHEDULE"/>
      <sheetName val="Database"/>
      <sheetName val="#REF"/>
      <sheetName val="R office Eng Water Pump"/>
      <sheetName val="BANGUNAN PENUNJANG"/>
      <sheetName val="RAB AR&amp;STR"/>
      <sheetName val="Report detil kondisi"/>
      <sheetName val="detil kondisi"/>
      <sheetName val="phuluc1"/>
      <sheetName val="6MONTHS"/>
      <sheetName val="BQ Mekanikal"/>
      <sheetName val="BANGUNAN UTAMA"/>
      <sheetName val="Codes"/>
      <sheetName val="6_10__I"/>
      <sheetName val="2_3C"/>
      <sheetName val="2_4F"/>
      <sheetName val="6_9D_W"/>
      <sheetName val="Harga Bahan"/>
      <sheetName val="HSA &amp; PAB"/>
      <sheetName val="Harga Upah "/>
      <sheetName val="1.2"/>
      <sheetName val="FLAF&amp;PARTSI"/>
      <sheetName val="Solar"/>
      <sheetName val="OLI HEQ"/>
      <sheetName val="BBM-03"/>
      <sheetName val="Infrastruktur"/>
      <sheetName val="3-DIV4"/>
      <sheetName val="Formula"/>
      <sheetName val="Analisa HS Sound System"/>
      <sheetName val="HARGA ALAT"/>
      <sheetName val="boq"/>
      <sheetName val="gabungan (2)"/>
      <sheetName val="REMUNERASISTANDAR"/>
      <sheetName val="TABEL-DETASIR"/>
      <sheetName val="BQ ARS"/>
      <sheetName val="Rekap Addendum"/>
      <sheetName val="koef"/>
      <sheetName val="cargo"/>
      <sheetName val="BQ-Structur"/>
      <sheetName val="Rekap RAP real (2)"/>
      <sheetName val="support"/>
      <sheetName val="BQ-M"/>
      <sheetName val="d-kwantitas"/>
      <sheetName val="PROGRESS"/>
      <sheetName val="INPUT"/>
      <sheetName val="K 500"/>
      <sheetName val="ANALISA "/>
      <sheetName val="HG-UPAH"/>
      <sheetName val="HG_JADI"/>
      <sheetName val="Basic Price"/>
      <sheetName val="PT."/>
      <sheetName val="arab"/>
      <sheetName val="Cover Daf_2"/>
      <sheetName val="beton"/>
      <sheetName val="Sum"/>
      <sheetName val="BQ External"/>
      <sheetName val="CashFlwProjections"/>
      <sheetName val="Category 1"/>
      <sheetName val="Valve"/>
      <sheetName val="FP"/>
      <sheetName val="PLB"/>
      <sheetName val="Tanah"/>
      <sheetName val="Struktur"/>
      <sheetName val="Asset"/>
      <sheetName val="By Act Cd-CE"/>
      <sheetName val="ocean voyage"/>
      <sheetName val="An"/>
      <sheetName val="An.2"/>
      <sheetName val="NP _2_"/>
      <sheetName val="FAKTOR"/>
      <sheetName val="Blk-Mnl"/>
      <sheetName val="database-emp"/>
      <sheetName val="Bill No 2 Cover"/>
      <sheetName val="B.Rates 2014"/>
      <sheetName val="BAB_5_2_BiaLang"/>
      <sheetName val="Harga_Satuan"/>
      <sheetName val="A+Supl_"/>
      <sheetName val="Harga_Satuan1"/>
      <sheetName val="A+Supl_1"/>
      <sheetName val="Kuantitas &amp; Harga"/>
      <sheetName val="Rekap Biaya"/>
      <sheetName val="LPP-201"/>
      <sheetName val="PAD-F"/>
      <sheetName val="Investment Valuation"/>
      <sheetName val="EQ_an"/>
      <sheetName val="har-mat"/>
      <sheetName val="SAT-BHN"/>
      <sheetName val="Plint_List"/>
      <sheetName val="Luar"/>
      <sheetName val="Pintu Jendela"/>
      <sheetName val="5-Peralatan"/>
      <sheetName val="FA"/>
      <sheetName val="Units"/>
      <sheetName val="analysis"/>
      <sheetName val="TWO PASS"/>
      <sheetName val="THREE P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/>
      <sheetData sheetId="184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285">
          <cell r="AG285">
            <v>0.75</v>
          </cell>
        </row>
      </sheetData>
      <sheetData sheetId="494">
        <row r="285">
          <cell r="AG285">
            <v>0.75</v>
          </cell>
        </row>
      </sheetData>
      <sheetData sheetId="495">
        <row r="285">
          <cell r="AG285">
            <v>0.75</v>
          </cell>
        </row>
      </sheetData>
      <sheetData sheetId="496">
        <row r="285">
          <cell r="AG285">
            <v>0.75</v>
          </cell>
        </row>
      </sheetData>
      <sheetData sheetId="497">
        <row r="285">
          <cell r="AG285">
            <v>0.75</v>
          </cell>
        </row>
      </sheetData>
      <sheetData sheetId="498">
        <row r="285">
          <cell r="AG285">
            <v>0.75</v>
          </cell>
        </row>
      </sheetData>
      <sheetData sheetId="499">
        <row r="285">
          <cell r="AG285">
            <v>0.75</v>
          </cell>
        </row>
      </sheetData>
      <sheetData sheetId="500">
        <row r="285">
          <cell r="AG285">
            <v>0.75</v>
          </cell>
        </row>
      </sheetData>
      <sheetData sheetId="501">
        <row r="285">
          <cell r="AG285">
            <v>0.75</v>
          </cell>
        </row>
      </sheetData>
      <sheetData sheetId="502">
        <row r="285">
          <cell r="AG285">
            <v>0.75</v>
          </cell>
        </row>
      </sheetData>
      <sheetData sheetId="503">
        <row r="285">
          <cell r="AG285">
            <v>0.75</v>
          </cell>
        </row>
      </sheetData>
      <sheetData sheetId="504">
        <row r="285">
          <cell r="AG285">
            <v>0.75</v>
          </cell>
        </row>
      </sheetData>
      <sheetData sheetId="505">
        <row r="285">
          <cell r="AG285">
            <v>0.75</v>
          </cell>
        </row>
      </sheetData>
      <sheetData sheetId="506">
        <row r="285">
          <cell r="AG285">
            <v>0.75</v>
          </cell>
        </row>
      </sheetData>
      <sheetData sheetId="507">
        <row r="285">
          <cell r="AG285">
            <v>0.75</v>
          </cell>
        </row>
      </sheetData>
      <sheetData sheetId="508">
        <row r="285">
          <cell r="AG285">
            <v>0.75</v>
          </cell>
        </row>
      </sheetData>
      <sheetData sheetId="509">
        <row r="285">
          <cell r="AG285">
            <v>0.75</v>
          </cell>
        </row>
      </sheetData>
      <sheetData sheetId="510">
        <row r="285">
          <cell r="AG285">
            <v>0.75</v>
          </cell>
        </row>
      </sheetData>
      <sheetData sheetId="511">
        <row r="285">
          <cell r="AG285">
            <v>0.75</v>
          </cell>
        </row>
      </sheetData>
      <sheetData sheetId="512">
        <row r="285">
          <cell r="AG285">
            <v>0.75</v>
          </cell>
        </row>
      </sheetData>
      <sheetData sheetId="513">
        <row r="285">
          <cell r="AG285">
            <v>0.75</v>
          </cell>
        </row>
      </sheetData>
      <sheetData sheetId="514">
        <row r="285">
          <cell r="AG285">
            <v>0.75</v>
          </cell>
        </row>
      </sheetData>
      <sheetData sheetId="515">
        <row r="285">
          <cell r="AG285">
            <v>0.75</v>
          </cell>
        </row>
      </sheetData>
      <sheetData sheetId="516">
        <row r="285">
          <cell r="AG285">
            <v>0.75</v>
          </cell>
        </row>
      </sheetData>
      <sheetData sheetId="517">
        <row r="285">
          <cell r="AG285">
            <v>0.75</v>
          </cell>
        </row>
      </sheetData>
      <sheetData sheetId="518"/>
      <sheetData sheetId="519">
        <row r="285">
          <cell r="AG285">
            <v>0.75</v>
          </cell>
        </row>
      </sheetData>
      <sheetData sheetId="520">
        <row r="285">
          <cell r="AG285">
            <v>0.75</v>
          </cell>
        </row>
      </sheetData>
      <sheetData sheetId="521">
        <row r="285">
          <cell r="AG285">
            <v>0.75</v>
          </cell>
        </row>
      </sheetData>
      <sheetData sheetId="522">
        <row r="285">
          <cell r="AG285">
            <v>0.75</v>
          </cell>
        </row>
      </sheetData>
      <sheetData sheetId="523">
        <row r="285">
          <cell r="AG285">
            <v>0.75</v>
          </cell>
        </row>
      </sheetData>
      <sheetData sheetId="524">
        <row r="285">
          <cell r="AG285">
            <v>0.75</v>
          </cell>
        </row>
      </sheetData>
      <sheetData sheetId="525">
        <row r="285">
          <cell r="AG285">
            <v>0.75</v>
          </cell>
        </row>
      </sheetData>
      <sheetData sheetId="526">
        <row r="285">
          <cell r="AG285">
            <v>0.75</v>
          </cell>
        </row>
      </sheetData>
      <sheetData sheetId="527">
        <row r="285">
          <cell r="AG285">
            <v>0.75</v>
          </cell>
        </row>
      </sheetData>
      <sheetData sheetId="528">
        <row r="285">
          <cell r="AG285">
            <v>0.75</v>
          </cell>
        </row>
      </sheetData>
      <sheetData sheetId="529"/>
      <sheetData sheetId="530"/>
      <sheetData sheetId="531">
        <row r="285">
          <cell r="AG285">
            <v>0.75</v>
          </cell>
        </row>
      </sheetData>
      <sheetData sheetId="532">
        <row r="285">
          <cell r="AG285">
            <v>0.75</v>
          </cell>
        </row>
      </sheetData>
      <sheetData sheetId="533">
        <row r="285">
          <cell r="AG285">
            <v>0.75</v>
          </cell>
        </row>
      </sheetData>
      <sheetData sheetId="534"/>
      <sheetData sheetId="535"/>
      <sheetData sheetId="536"/>
      <sheetData sheetId="537">
        <row r="285">
          <cell r="AG285">
            <v>0.75</v>
          </cell>
        </row>
      </sheetData>
      <sheetData sheetId="538"/>
      <sheetData sheetId="539"/>
      <sheetData sheetId="540"/>
      <sheetData sheetId="541">
        <row r="285">
          <cell r="AG285">
            <v>0.75</v>
          </cell>
        </row>
      </sheetData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285">
          <cell r="AG285">
            <v>0.75</v>
          </cell>
        </row>
      </sheetData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Listrik"/>
      <sheetName val="PP"/>
      <sheetName val="FA"/>
      <sheetName val="TELP"/>
      <sheetName val="Sound"/>
      <sheetName val="MATV"/>
      <sheetName val="sort"/>
      <sheetName val="price"/>
      <sheetName val="dm-e"/>
      <sheetName val="analisa"/>
      <sheetName val="COA"/>
      <sheetName val="Bill sipil"/>
      <sheetName val="DAF_2"/>
      <sheetName val="Upah_Bahan"/>
      <sheetName val="HB"/>
      <sheetName val="ES-aLL"/>
      <sheetName val="Cover"/>
      <sheetName val="DAF-2"/>
      <sheetName val="name"/>
      <sheetName val="COVER "/>
      <sheetName val="SUMMARY"/>
      <sheetName val="FAS"/>
      <sheetName val="TS"/>
      <sheetName val="TLP "/>
      <sheetName val="CCTV "/>
      <sheetName val="KABEL TRAY"/>
      <sheetName val="Sheet1"/>
      <sheetName val="Material"/>
      <sheetName val="FINISHING"/>
      <sheetName val="Rek_ME"/>
      <sheetName val="TOWN"/>
      <sheetName val="Bill_sipil"/>
      <sheetName val="Bill_sipil1"/>
      <sheetName val="Anls"/>
      <sheetName val="BASEMENT"/>
      <sheetName val="ANALISA ALAT BERAT"/>
      <sheetName val="Bill of Qty MEP"/>
      <sheetName val="Upah"/>
      <sheetName val="Cover Daf_2"/>
      <sheetName val="Bahan"/>
      <sheetName val="Analisa Upah _ Bahan Plum"/>
      <sheetName val="L-Mechanical"/>
      <sheetName val="Daf 1"/>
      <sheetName val="SUM"/>
      <sheetName val="harsat"/>
      <sheetName val="HRG BHN"/>
      <sheetName val="RAB"/>
      <sheetName val="H-BHN"/>
      <sheetName val="Analisa 2"/>
      <sheetName val="Reference-SL"/>
    </sheetNames>
    <sheetDataSet>
      <sheetData sheetId="0">
        <row r="57">
          <cell r="N57" t="str">
            <v>bh</v>
          </cell>
        </row>
      </sheetData>
      <sheetData sheetId="1">
        <row r="57">
          <cell r="N57" t="str">
            <v>bh</v>
          </cell>
        </row>
      </sheetData>
      <sheetData sheetId="2">
        <row r="57">
          <cell r="N57" t="str">
            <v>bh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sat"/>
      <sheetName val="PENGAJU.MATERIAL"/>
      <sheetName val="Sheet1"/>
      <sheetName val="Spec"/>
      <sheetName val="Analisa"/>
      <sheetName val="AnalisaSaniter"/>
      <sheetName val="upah_harian"/>
      <sheetName val="upah_borong"/>
      <sheetName val="satuan_alat"/>
      <sheetName val="sewa_alat"/>
      <sheetName val="Master 1.0"/>
      <sheetName val="Cover"/>
      <sheetName val="Elektrikal"/>
      <sheetName val="Bill of Qty MEP"/>
      <sheetName val="analisa harga satuan"/>
      <sheetName val="Bill of Quantity"/>
      <sheetName val="TB"/>
      <sheetName val="PileCap"/>
      <sheetName val="TAMKUR "/>
      <sheetName val="HRG BHN"/>
      <sheetName val="name"/>
      <sheetName val="Daf.Harga-Upah"/>
      <sheetName val="COST-SUM"/>
      <sheetName val="H.Satuan"/>
      <sheetName val="Isolasi Luar Dalam"/>
      <sheetName val="Isolasi Luar"/>
      <sheetName val="Kolom"/>
      <sheetName val="Daftar berat"/>
      <sheetName val="REF.ONLY"/>
      <sheetName val="B - Norelec"/>
      <sheetName val="Material"/>
      <sheetName val="Analisa ME"/>
      <sheetName val="draft progress C"/>
      <sheetName val="K"/>
      <sheetName val="prog-dinding"/>
      <sheetName val="MUA"/>
      <sheetName val="AHS"/>
      <sheetName val="har-sat"/>
      <sheetName val="Plmbg "/>
      <sheetName val="Electronic"/>
      <sheetName val="A"/>
      <sheetName val="SEX"/>
      <sheetName val="Harga"/>
    </sheetNames>
    <sheetDataSet>
      <sheetData sheetId="0" refreshError="1"/>
      <sheetData sheetId="1"/>
      <sheetData sheetId="2">
        <row r="29">
          <cell r="H29">
            <v>29250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ktrikal"/>
      <sheetName val="Rekap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Analisa Upah &amp; Bahan Plum"/>
      <sheetName val="Harsat"/>
      <sheetName val="Bill of Qty MEP"/>
      <sheetName val="Harga ME "/>
      <sheetName val="STR"/>
      <sheetName val="Bill sipil"/>
      <sheetName val="MK"/>
      <sheetName val="Fin-Bengkel"/>
      <sheetName val="Fin-Showroom"/>
      <sheetName val="Hal_Pagar"/>
      <sheetName val="Str-Bengkel"/>
      <sheetName val="Str-Showroom"/>
      <sheetName val="Ref"/>
      <sheetName val="Mat.Mek"/>
      <sheetName val="#REF"/>
      <sheetName val="BAB. No. 2.1 STR"/>
      <sheetName val="2.3 - PLUMBING"/>
      <sheetName val="Bab.No.2.4-Pek.Tambh.Krg."/>
      <sheetName val="REK.BAB.2 BASEMNT"/>
      <sheetName val="DAF-1"/>
      <sheetName val="Isolasi Luar Dalam"/>
      <sheetName val="Isolasi Luar"/>
      <sheetName val="LISTRIK"/>
      <sheetName val="F ALARM"/>
      <sheetName val="ANALISA HARGA "/>
      <sheetName val="Analisa Upah _ Bahan Plum"/>
      <sheetName val="ANALISA-A"/>
      <sheetName val="K"/>
      <sheetName val="REQDELTA"/>
      <sheetName val="TAMKUR "/>
      <sheetName val="Master 1.0"/>
      <sheetName val="SE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1"/>
      <sheetName val="Pt"/>
      <sheetName val="LAMP-A"/>
      <sheetName val="Material"/>
      <sheetName val="HB me"/>
      <sheetName val="main summary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1BQMCN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AHS"/>
      <sheetName val="REKAP1"/>
      <sheetName val="sheet 2"/>
      <sheetName val="RAB ME"/>
      <sheetName val="Mat_Elk"/>
      <sheetName val="RAB_REVISI"/>
      <sheetName val="Mat_Mek"/>
      <sheetName val="quot_"/>
      <sheetName val="sheet_2"/>
      <sheetName val="RAB_ME"/>
      <sheetName val="Plumbing"/>
      <sheetName val="AnalisaSIPIL RIIL"/>
      <sheetName val="A"/>
      <sheetName val="LISTRIK"/>
      <sheetName val="F ALARM"/>
      <sheetName val="Elektrikal"/>
      <sheetName val="Fill this out first..."/>
      <sheetName val="main summary"/>
      <sheetName val="STR"/>
      <sheetName val="MK"/>
      <sheetName val="HARGA MATERIAL"/>
      <sheetName val="Bill No. 4 Pumbing"/>
      <sheetName val="ESCON"/>
      <sheetName val="PNL"/>
      <sheetName val="Tray + ladder"/>
      <sheetName val="lampu"/>
      <sheetName val="Bahan "/>
      <sheetName val="Upah"/>
      <sheetName val="Pekerjaan "/>
      <sheetName val="D &amp; W sizes"/>
      <sheetName val="H.Satuan"/>
      <sheetName val="Kuantitas _ Harga"/>
      <sheetName val="Isolasi Luar Dalam"/>
      <sheetName val="Isolasi Luar"/>
      <sheetName val="BQ"/>
      <sheetName val="tulang"/>
      <sheetName val="hit_BKMM"/>
      <sheetName val="tul"/>
      <sheetName val="Cash Flow bulanan"/>
      <sheetName val="Kuantitas &amp; Harga"/>
      <sheetName val="Master 1.0"/>
      <sheetName val="ANALISA"/>
      <sheetName val="Fill this out first___"/>
      <sheetName val="SAP"/>
      <sheetName val="villa"/>
      <sheetName val="대비표"/>
      <sheetName val="Bahan"/>
      <sheetName val="QTO-11P"/>
      <sheetName val="Currency Rate"/>
      <sheetName val="Har Sat"/>
      <sheetName val="RAB"/>
      <sheetName val="RASK ALL"/>
      <sheetName val="Harsat"/>
      <sheetName val="Analisa Upah &amp; Bahan Plum"/>
      <sheetName val="Bill of Qty MEP"/>
      <sheetName val="rekap mekanikal"/>
      <sheetName val="ANALISA HARGA "/>
      <sheetName val="Daf 1"/>
      <sheetName val="SEX"/>
      <sheetName val="FORM X COST"/>
      <sheetName val="Sheet1"/>
      <sheetName val="ETAB 2"/>
      <sheetName val="analis"/>
      <sheetName val="I-KAMAR"/>
      <sheetName val="Anal"/>
      <sheetName val="RAB-NEGO"/>
      <sheetName val="Material&amp;Alat"/>
      <sheetName val="5-ALAT(1)"/>
      <sheetName val="4-Basic Price"/>
      <sheetName val="BOQ"/>
      <sheetName val="Concrete"/>
      <sheetName val="Stone"/>
      <sheetName val="NP 7"/>
      <sheetName val="Anggaran"/>
      <sheetName val="PANELKAST"/>
      <sheetName val="MAP"/>
      <sheetName val="Z"/>
      <sheetName val="Cash2"/>
      <sheetName val="Estimate"/>
      <sheetName val="REF.ONLY"/>
      <sheetName val="Harga"/>
      <sheetName val="DUTCH CONE"/>
      <sheetName val="hrg-dsr"/>
      <sheetName val="BAG-III"/>
      <sheetName val="ERECTION"/>
      <sheetName val="Break_down"/>
      <sheetName val="BILANS"/>
      <sheetName val="Capex"/>
      <sheetName val="Zobowiazania"/>
      <sheetName val="VOL ARS"/>
      <sheetName val="TOTAL_A"/>
      <sheetName val="BQ Mekanikal"/>
      <sheetName val="Mobilisasi"/>
      <sheetName val="Peralatan"/>
      <sheetName val="SAT-BHN"/>
      <sheetName val="Analisa HS"/>
      <sheetName val=" EL"/>
      <sheetName val="H Satuan"/>
      <sheetName val="ANALISA HARGA   "/>
      <sheetName val="ANL"/>
      <sheetName val="351BQMCN(2)"/>
      <sheetName val="Rekap"/>
      <sheetName val="SAT"/>
      <sheetName val="Sub"/>
      <sheetName val="G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"/>
      <sheetName val="TNH"/>
      <sheetName val="FORM X COST"/>
      <sheetName val="SPL"/>
      <sheetName val="Sheet1"/>
      <sheetName val="PENYUSUTAN"/>
      <sheetName val="Cover"/>
      <sheetName val="Pipe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"/>
      <sheetName val="REDWOOD BLOK A"/>
      <sheetName val="Analisa"/>
      <sheetName val="REF.ONLY"/>
      <sheetName val="Du_lieu"/>
    </sheetNames>
    <sheetDataSet>
      <sheetData sheetId="0" refreshError="1"/>
      <sheetData sheetId="1">
        <row r="2">
          <cell r="B2" t="str">
            <v>Pekerjaan Struktur, Arsitektur &amp; M/E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"/>
      <sheetName val="REKAP-STR"/>
      <sheetName val="REKAP-T"/>
      <sheetName val="BQ-STR"/>
      <sheetName val="DASHBOARD"/>
      <sheetName val="ANALISA"/>
      <sheetName val="HSATUAN"/>
      <sheetName val="KURVAS"/>
      <sheetName val="ALAT"/>
      <sheetName val="ALAT_MSK_PERS"/>
      <sheetName val="MASUK_PERS"/>
      <sheetName val="PERSIAPAN"/>
      <sheetName val="BAU"/>
      <sheetName val="RUPA"/>
      <sheetName val="BANK"/>
      <sheetName val="DFTRALAT"/>
      <sheetName val="ana_str"/>
      <sheetName val="Hargamat"/>
      <sheetName val="Analisa Harga Satuan"/>
      <sheetName val="harsat"/>
      <sheetName val="satuan_pek_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C"/>
      <sheetName val="BLN"/>
      <sheetName val="GSK"/>
      <sheetName val="REF.ONLY"/>
      <sheetName val="REMUNERASISTANDAR"/>
      <sheetName val="TABEL-DETASIR"/>
      <sheetName val="Analisa"/>
      <sheetName val="STR"/>
      <sheetName val="PAD-F"/>
      <sheetName val="pro ra op"/>
      <sheetName val="CBD"/>
      <sheetName val="HARGA MATERIAL"/>
      <sheetName val="Pipe"/>
      <sheetName val="REF_ONLY"/>
      <sheetName val="Fill this out first___"/>
      <sheetName val="atap"/>
      <sheetName val="DAF-2"/>
      <sheetName val="D2.4"/>
      <sheetName val="D3-3"/>
      <sheetName val="D4.3 (TE)"/>
      <sheetName val="D5.3 (TF) "/>
      <sheetName val="D8.3 (TJ)"/>
      <sheetName val="sort2"/>
      <sheetName val="Harga ME "/>
      <sheetName val="Material"/>
      <sheetName val="326BQSTC"/>
      <sheetName val="Rekap"/>
      <sheetName val="D2.2"/>
      <sheetName val="D2.2.1"/>
      <sheetName val="Tie Beam GN"/>
      <sheetName val="PileCap"/>
      <sheetName val="FINISHING"/>
      <sheetName val="RAB"/>
      <sheetName val="FORM X COST"/>
      <sheetName val="D3_1"/>
      <sheetName val="Sheet1"/>
      <sheetName val="HSBahan"/>
      <sheetName val="price"/>
      <sheetName val="2-JT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nga"/>
      <sheetName val="Rekap"/>
      <sheetName val="preliminaries"/>
      <sheetName val="Ana-sdm"/>
      <sheetName val="Ana-alat"/>
      <sheetName val="Str Atas"/>
      <sheetName val="Str"/>
      <sheetName val="Ars"/>
      <sheetName val="Add Ars"/>
      <sheetName val="pintu"/>
      <sheetName val="Analisa"/>
      <sheetName val="Analisa Struktur"/>
      <sheetName val="harsat"/>
      <sheetName val="dasboard"/>
      <sheetName val="Spek"/>
      <sheetName val="DAF-7"/>
      <sheetName val="DATA1"/>
      <sheetName val="L_Mechanical"/>
      <sheetName val="upah_borong"/>
      <sheetName val="satuan_pek"/>
      <sheetName val="MAPP"/>
      <sheetName val="rek det 1-3"/>
      <sheetName val="anal"/>
      <sheetName val="Sat Bah &amp; Up"/>
      <sheetName val="hs-str"/>
      <sheetName val="Daftar Harga Bahan"/>
      <sheetName val="Daftar Upah"/>
      <sheetName val="PileCap"/>
      <sheetName val="DATA"/>
      <sheetName val="Daf-harga"/>
      <sheetName val="L-Mechanical"/>
      <sheetName val="DAF_7"/>
      <sheetName val="Bahan "/>
      <sheetName val="upah"/>
      <sheetName val="Pekerjaan "/>
      <sheetName val="COST-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BLE"/>
      <sheetName val="FORM X COST"/>
      <sheetName val="SPL"/>
      <sheetName val="BCT"/>
      <sheetName val="PENYUSUTAN"/>
      <sheetName val="RESUME"/>
      <sheetName val="An Struktur"/>
      <sheetName val="An Arsitektur"/>
      <sheetName val="Unit Rate (2)"/>
      <sheetName val="rekap"/>
      <sheetName val="mat&amp;upah"/>
      <sheetName val="a-hardsc"/>
      <sheetName val="upah"/>
      <sheetName val="Currency Rate"/>
      <sheetName val="Daf 1"/>
      <sheetName val="Harsat Bahan"/>
      <sheetName val="analisa Str"/>
      <sheetName val="BAG-2"/>
      <sheetName val="Harsat Upah"/>
      <sheetName val="BAG_2"/>
      <sheetName val="Analisa Harga Satuan"/>
      <sheetName val="Sheet1"/>
      <sheetName val="Cover Daf-2"/>
      <sheetName val="STRUKTUR-1"/>
      <sheetName val="AHSbj"/>
      <sheetName val="Daftar Harga"/>
      <sheetName val="Daftar Upah"/>
      <sheetName val="HARSAT"/>
      <sheetName val="PileCap"/>
      <sheetName val="Bill rekap"/>
      <sheetName val="Analisa"/>
      <sheetName val="Harga"/>
      <sheetName val="Alat"/>
      <sheetName val="Analisa Gabungan"/>
      <sheetName val="Sub"/>
      <sheetName val="bahan"/>
      <sheetName val="analisa_gedung"/>
      <sheetName val="hrg sat"/>
      <sheetName val="FORM_X_COST"/>
      <sheetName val="An_Struktur"/>
      <sheetName val="An_Arsitektur"/>
      <sheetName val="Unit_Rate_(2)"/>
      <sheetName val="Currency_Rate"/>
      <sheetName val="Harsat_Bahan"/>
      <sheetName val="Daf_1"/>
      <sheetName val="hrg_sat"/>
      <sheetName val="HARGA ALAT"/>
      <sheetName val="Bhn"/>
      <sheetName val="FINISHING"/>
      <sheetName val="Blk A"/>
      <sheetName val="H.Satuan"/>
      <sheetName val="Data"/>
      <sheetName val="FORM-X-1"/>
      <sheetName val="TANAH"/>
      <sheetName val="BANGUNAN"/>
      <sheetName val="FOTO"/>
      <sheetName val="GAMBAR"/>
      <sheetName val="PETA"/>
      <sheetName val="kop"/>
      <sheetName val="Sheet2"/>
      <sheetName val="1"/>
      <sheetName val="2"/>
      <sheetName val="3"/>
      <sheetName val="Hrg"/>
      <sheetName val="BAHAN _ UPAH_2"/>
      <sheetName val="RAB"/>
      <sheetName val="GSMTOWER"/>
      <sheetName val="Harga Bahan &amp; Upah "/>
      <sheetName val="Sal"/>
      <sheetName val="STRUKTUR"/>
      <sheetName val="ARSITEKTUR"/>
      <sheetName val="ANA-HRG"/>
      <sheetName val="Analisa &amp; Upah"/>
      <sheetName val="Rincian"/>
      <sheetName val="an.mek"/>
      <sheetName val="har-sat"/>
      <sheetName val="DAF-1"/>
      <sheetName val="bang tien luong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anls.beton"/>
      <sheetName val="upah"/>
      <sheetName val="harga"/>
      <sheetName val="tul"/>
      <sheetName val="data_centre"/>
    </sheetNames>
    <sheetDataSet>
      <sheetData sheetId="0" refreshError="1"/>
      <sheetData sheetId="1" refreshError="1"/>
      <sheetData sheetId="2" refreshError="1"/>
      <sheetData sheetId="3" refreshError="1">
        <row r="46">
          <cell r="E46">
            <v>34025</v>
          </cell>
        </row>
        <row r="117">
          <cell r="E117">
            <v>3000</v>
          </cell>
        </row>
        <row r="162">
          <cell r="E162">
            <v>16000</v>
          </cell>
        </row>
        <row r="177">
          <cell r="E177">
            <v>52500</v>
          </cell>
        </row>
        <row r="236">
          <cell r="E236">
            <v>96000</v>
          </cell>
        </row>
      </sheetData>
      <sheetData sheetId="4" refreshError="1"/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E FIGHTING"/>
      <sheetName val="#REF"/>
      <sheetName val="2.10"/>
      <sheetName val="harsat"/>
      <sheetName val="FORM X COST"/>
      <sheetName val="S.BAHAN"/>
      <sheetName val="S.UPAH"/>
      <sheetName val="Analisa"/>
      <sheetName val="Fill this out first___"/>
      <sheetName val="Pipe"/>
      <sheetName val="price"/>
      <sheetName val="SAP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 Up"/>
      <sheetName val="Price"/>
      <sheetName val="DM-E"/>
      <sheetName val="Analisa "/>
      <sheetName val="Pt"/>
      <sheetName val="DAF-1"/>
      <sheetName val="DAF-5"/>
      <sheetName val="DAF-6"/>
      <sheetName val="DAF-7"/>
      <sheetName val="DAF-8"/>
      <sheetName val="Daf-9"/>
      <sheetName val="DAF-10"/>
      <sheetName val="DAF-11"/>
      <sheetName val="rekap str_ars"/>
      <sheetName val="Pag_hal"/>
      <sheetName val="TOWN"/>
      <sheetName val="Analisa"/>
      <sheetName val="LAMP-A"/>
      <sheetName val="upah"/>
      <sheetName val="BQ"/>
      <sheetName val="Rekap Direct Cost"/>
      <sheetName val="fill in first"/>
      <sheetName val="BAG-2"/>
      <sheetName val="JAN"/>
      <sheetName val="Fill this out first..."/>
      <sheetName val="H.Satuan"/>
      <sheetName val="Estimate"/>
      <sheetName val="KH_Q1_Q2_01"/>
      <sheetName val="HSBHN"/>
      <sheetName val="___"/>
      <sheetName val="KH-Q1,Q2,01"/>
      <sheetName val="Sheet1"/>
      <sheetName val="SUMMARY"/>
      <sheetName val="ANALISA TENDER"/>
      <sheetName val="Cover Daf-2"/>
      <sheetName val="Cover Daf_2"/>
      <sheetName val="STR"/>
      <sheetName val="ALAT"/>
      <sheetName val="B _ Norelec"/>
      <sheetName val="Material"/>
      <sheetName val="RKP-BOQ"/>
      <sheetName val="HARSAT"/>
      <sheetName val="Analisa 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AB GEDUNG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RAB ME"/>
      <sheetName val="HB"/>
      <sheetName val="Analisa"/>
    </sheetNames>
    <sheetDataSet>
      <sheetData sheetId="0"/>
      <sheetData sheetId="1"/>
      <sheetData sheetId="2"/>
      <sheetData sheetId="3"/>
      <sheetData sheetId="4"/>
      <sheetData sheetId="5">
        <row r="326">
          <cell r="D326">
            <v>10000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1,9&amp;36,3"/>
      <sheetName val="Sch vs Vol"/>
      <sheetName val="Sch vs Vol (2)"/>
      <sheetName val="Sch vs Vol (3)"/>
      <sheetName val="Sch vs Vol (4)"/>
      <sheetName val="SDM"/>
      <sheetName val="Equip"/>
      <sheetName val="Mat"/>
      <sheetName val="Sub"/>
      <sheetName val="CashFlow"/>
      <sheetName val="41_9_36_3"/>
      <sheetName val="Analisa"/>
      <sheetName val="4"/>
      <sheetName val="SUM"/>
      <sheetName val="BAHAN"/>
      <sheetName val="RAB ME"/>
      <sheetName val="DIV.2"/>
      <sheetName val="harsat"/>
      <sheetName val="UPAH PEKERJA"/>
      <sheetName val="HB"/>
      <sheetName val="Notes"/>
      <sheetName val="Cover"/>
      <sheetName val="BQ"/>
      <sheetName val="Summary"/>
      <sheetName val="ANALISA GRS TENGAH"/>
      <sheetName val="DATA"/>
      <sheetName val="price"/>
      <sheetName val="AC"/>
      <sheetName val="Ans Kom Precast"/>
      <sheetName val="PJ"/>
      <sheetName val="UPAH &amp; BHN"/>
      <sheetName val="URAIAN EE Jembatan Penghubung"/>
      <sheetName val="ITB COST"/>
      <sheetName val="Material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  <sheetName val="Mall"/>
      <sheetName val="Harsat Upah"/>
      <sheetName val="RAB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"/>
      <sheetName val="Upah"/>
      <sheetName val="000000"/>
      <sheetName val="Rekap"/>
      <sheetName val="Bill"/>
      <sheetName val="Furniture"/>
      <sheetName val="Summery ME"/>
      <sheetName val="Bill Item Ac"/>
      <sheetName val="Lift"/>
      <sheetName val="Khusus"/>
      <sheetName val="Electrical"/>
      <sheetName val="Mekanikal"/>
      <sheetName val="Sheet1"/>
      <sheetName val="Analisa"/>
      <sheetName val="harsat"/>
      <sheetName val="Harsat Upah"/>
      <sheetName val="Divisi1"/>
      <sheetName val="SUM"/>
      <sheetName val="B - Norelec"/>
      <sheetName val="H.Satuan"/>
      <sheetName val="bahan"/>
      <sheetName val="Bill of Qty"/>
      <sheetName val="REKAP_VOLUME"/>
      <sheetName val="DAFTAR_8"/>
      <sheetName val="TOTAL"/>
      <sheetName val="DAFTAR 7"/>
      <sheetName val="An.Ars"/>
      <sheetName val="SJRH KENAIKAN"/>
      <sheetName val="BQ"/>
      <sheetName val="ANAL"/>
      <sheetName val="HRG BHN"/>
      <sheetName val="FINISHING"/>
      <sheetName val="BTL-Bau"/>
      <sheetName val="Ans Kom Precast"/>
      <sheetName val="UPAH &amp; BHN"/>
      <sheetName val="D6"/>
      <sheetName val="D7"/>
      <sheetName val="Management"/>
      <sheetName val="DU-5"/>
      <sheetName val="harsat_"/>
      <sheetName val="PAD-F"/>
      <sheetName val="formminat"/>
      <sheetName val="LO"/>
      <sheetName val="DAF-7"/>
      <sheetName val="DAF-1"/>
      <sheetName val="Bill No 6 Koord &amp; Attendance"/>
      <sheetName val="RAB ME"/>
      <sheetName val="Analisa &amp; Upah"/>
      <sheetName val="data"/>
      <sheetName val="ANALISA HARGA SATUAN"/>
      <sheetName val="Koef"/>
      <sheetName val="Rekap Direct Cost"/>
      <sheetName val="HARGA MATERIAL"/>
      <sheetName val="Embong-Malang"/>
      <sheetName val="A"/>
      <sheetName val="Memb Schd"/>
      <sheetName val="C-OFF"/>
      <sheetName val="Rekapitulasi"/>
      <sheetName val="Basic"/>
      <sheetName val="Daf.Harga-Upah"/>
      <sheetName val="PRY.02 (LAPRN- WK)"/>
      <sheetName val="BOQ KSN"/>
      <sheetName val="DPRD"/>
      <sheetName val="Anl_Kosen"/>
      <sheetName val="Bhn_Analisa"/>
      <sheetName val="Isolasi Luar Dalam"/>
      <sheetName val="Isolasi Luar"/>
      <sheetName val="alt 2 TAMPIL RAKOR"/>
      <sheetName val="Summery_ME1"/>
      <sheetName val="Bill_Item_Ac1"/>
      <sheetName val="Summery_ME"/>
      <sheetName val="Bill_Item_Ac"/>
      <sheetName val="Summery_ME2"/>
      <sheetName val="Bill_Item_Ac2"/>
      <sheetName val="Analisa Alat"/>
      <sheetName val="326BQSTC"/>
      <sheetName val="SUM_Steel-Strc"/>
      <sheetName val="bahan-upah"/>
      <sheetName val="B_-_Norelec"/>
      <sheetName val="H_Satuan"/>
      <sheetName val="Harsat BHN AR,M"/>
      <sheetName val="Koefisien"/>
      <sheetName val="DAF_7"/>
      <sheetName val="B _ Norelec"/>
      <sheetName val="SEX"/>
      <sheetName val="予算票"/>
      <sheetName val="Hrg_Sat"/>
      <sheetName val="Upah&amp;Bahan"/>
      <sheetName val="ONSIDE MTRL"/>
      <sheetName val="AC"/>
      <sheetName val="RAB"/>
      <sheetName val="BM"/>
      <sheetName val="Harga Bahan"/>
      <sheetName val="LISTRIK"/>
      <sheetName val="Harga Bahan &amp; Upah"/>
      <sheetName val="BREAKDOWN"/>
      <sheetName val="BTL-Persiapan"/>
      <sheetName val="BTL-alat"/>
      <sheetName val="BTL-Rupa"/>
      <sheetName val="dft-harga"/>
      <sheetName val="Tabels"/>
      <sheetName val="daf-3(OK)"/>
      <sheetName val="daf-7(OK)"/>
      <sheetName val="metode"/>
      <sheetName val="Harga Satuan"/>
      <sheetName val="Bahan "/>
      <sheetName val="Pekerjaan "/>
      <sheetName val="Analisa 2"/>
      <sheetName val="Ahs.2"/>
      <sheetName val="Ahs.1"/>
      <sheetName val="ANALISA PEK.UMUM"/>
      <sheetName val="TE TS FA LAN MATV"/>
      <sheetName val="div3"/>
      <sheetName val="Analisa rata"/>
      <sheetName val="Upah_borong"/>
      <sheetName val="UPAH DAN BAHAN"/>
      <sheetName val="3-DIV5"/>
      <sheetName val="Analisa Harga"/>
      <sheetName val="Plint_List"/>
      <sheetName val="Luar"/>
      <sheetName val="Pintu Jendela"/>
      <sheetName val="HB"/>
      <sheetName val="AN-ME"/>
      <sheetName val="UPAH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PAGU"/>
      <sheetName val="RAB PAGU"/>
      <sheetName val="REKAP"/>
      <sheetName val="RAB"/>
      <sheetName val="DAFTAR UPAH"/>
      <sheetName val="DAFTAR BAHAN"/>
      <sheetName val="DAFTAR ALAT"/>
      <sheetName val="MOBILISASI"/>
      <sheetName val="PAS. BATU"/>
      <sheetName val="URUKAN"/>
      <sheetName val="AGG A"/>
      <sheetName val="AGG B"/>
      <sheetName val="TACK COAT"/>
      <sheetName val="PRIME COAT"/>
      <sheetName val="AC"/>
      <sheetName val="ATB"/>
      <sheetName val="ATBL"/>
      <sheetName val="MARKA"/>
      <sheetName val="PEMB.UTAMA"/>
      <sheetName val="SCHEDULE"/>
      <sheetName val="SUB-KONTRAK"/>
      <sheetName val="SITE (6)"/>
      <sheetName val="SYARAT"/>
      <sheetName val="SITE (8)"/>
      <sheetName val="BAHAN"/>
      <sheetName val="upah_borong"/>
      <sheetName val="satuan_pek"/>
      <sheetName val="HARGA SATUA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351BQMCN"/>
      <sheetName val="H.Satuan"/>
      <sheetName val="Material"/>
      <sheetName val="Upah"/>
      <sheetName val="Harga"/>
      <sheetName val="B - Norelec"/>
      <sheetName val="Analisa"/>
      <sheetName val="Cover"/>
      <sheetName val="HARGA MATERIAL"/>
      <sheetName val="Anls"/>
      <sheetName val="An Arsitektur"/>
      <sheetName val="An Struktur"/>
      <sheetName val="harsat"/>
      <sheetName val="Dashboard"/>
      <sheetName val="DAF-1"/>
      <sheetName val=" BQ H Sat"/>
      <sheetName val="Master 1.0"/>
      <sheetName val="I-KAMAR"/>
      <sheetName val="Bhn.Ars"/>
      <sheetName val="upah_borong"/>
      <sheetName val="satuan_pek"/>
      <sheetName val="daf_3_OK_"/>
      <sheetName val="daf_7_OK_"/>
      <sheetName val="daf-3(OK)"/>
      <sheetName val="daf-7(OK)"/>
      <sheetName val="SAT_BHN"/>
      <sheetName val="BQ-Str"/>
      <sheetName val="Analisa Upah &amp; Bahan Plum"/>
      <sheetName val="Harsat Upah"/>
      <sheetName val="Upah_Bahan"/>
      <sheetName val="HARGA SATUAN"/>
      <sheetName val="SEX"/>
      <sheetName val="41,9&amp;36,3"/>
      <sheetName val="Bahan"/>
      <sheetName val="FINISHING"/>
      <sheetName val="2"/>
      <sheetName val="anal"/>
      <sheetName val="Unit Rate"/>
      <sheetName val="MAPP"/>
      <sheetName val="rek det 1-3"/>
      <sheetName val="Mall"/>
      <sheetName val="Bill of Qty MEP"/>
      <sheetName val="A"/>
      <sheetName val="Plint_List"/>
      <sheetName val="Luar"/>
      <sheetName val="Pintu Jendela"/>
      <sheetName val="STR"/>
      <sheetName val="HB"/>
      <sheetName val="Bill 3"/>
      <sheetName val="harsat_"/>
      <sheetName val="5-ALAT(1)"/>
      <sheetName val="Rekap Direct Cost"/>
      <sheetName val="Asumsi"/>
      <sheetName val="BTL-Bau"/>
      <sheetName val="RAB ME"/>
      <sheetName val="직원동원SCH"/>
      <sheetName val="予算票"/>
      <sheetName val="ALAT"/>
      <sheetName val="D4"/>
      <sheetName val="D6"/>
      <sheetName val="D7"/>
      <sheetName val="D8"/>
      <sheetName val="Koefisien"/>
      <sheetName val="A-11 Steel Str (2)"/>
      <sheetName val="rinc rekap"/>
      <sheetName val="EK"/>
      <sheetName val="ahas-ins"/>
      <sheetName val="SUM"/>
      <sheetName val="GRAND REKAP"/>
      <sheetName val="HRG BHN"/>
      <sheetName val="POS 1"/>
      <sheetName val="POS 2"/>
      <sheetName val="Steel-Tw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ct"/>
      <sheetName val="Split"/>
      <sheetName val="Chiller"/>
      <sheetName val="Harga"/>
    </sheetNames>
    <sheetDataSet>
      <sheetData sheetId="0">
        <row r="1">
          <cell r="U1">
            <v>45000</v>
          </cell>
        </row>
        <row r="2">
          <cell r="U2">
            <v>55000</v>
          </cell>
        </row>
        <row r="3">
          <cell r="U3">
            <v>60000</v>
          </cell>
        </row>
        <row r="5">
          <cell r="U5">
            <v>65000</v>
          </cell>
        </row>
        <row r="63">
          <cell r="U63">
            <v>2000</v>
          </cell>
        </row>
        <row r="64">
          <cell r="U64">
            <v>2500</v>
          </cell>
        </row>
        <row r="83">
          <cell r="U83">
            <v>2000</v>
          </cell>
        </row>
      </sheetData>
      <sheetData sheetId="1" refreshError="1"/>
      <sheetData sheetId="2">
        <row r="2">
          <cell r="C2">
            <v>12500</v>
          </cell>
        </row>
        <row r="8">
          <cell r="R8">
            <v>12000</v>
          </cell>
        </row>
        <row r="9">
          <cell r="R9">
            <v>19000</v>
          </cell>
        </row>
        <row r="10">
          <cell r="R10">
            <v>26000</v>
          </cell>
        </row>
        <row r="183">
          <cell r="R183">
            <v>10000</v>
          </cell>
        </row>
        <row r="210">
          <cell r="R210">
            <v>18000</v>
          </cell>
        </row>
        <row r="211">
          <cell r="R211">
            <v>28500</v>
          </cell>
        </row>
        <row r="212">
          <cell r="R212">
            <v>39000</v>
          </cell>
        </row>
      </sheetData>
      <sheetData sheetId="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Alat DC"/>
      <sheetName val="H.Satuan"/>
      <sheetName val="BILL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Jarak"/>
      <sheetName val="Proses"/>
      <sheetName val="An. Hrg. Mat"/>
      <sheetName val="An. H. Mat"/>
      <sheetName val="AnalBhn"/>
      <sheetName val="Beton"/>
      <sheetName val="kapasitas"/>
      <sheetName val="Schedule "/>
      <sheetName val="Currency Rate"/>
      <sheetName val="escon"/>
      <sheetName val="Summary"/>
      <sheetName val="Revisi deal"/>
      <sheetName val="BQ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Mall"/>
      <sheetName val="Vol."/>
      <sheetName val="B - Norelec"/>
      <sheetName val="41,9&amp;36,3"/>
      <sheetName val="Cover"/>
      <sheetName val="DAF-2"/>
      <sheetName val="Bill No 6 Koord &amp; Attendance"/>
      <sheetName val="A"/>
      <sheetName val="Rekap Direct Cost"/>
      <sheetName val="SEX"/>
      <sheetName val="ana_str"/>
      <sheetName val="H.Satuan"/>
      <sheetName val="JABATAN"/>
      <sheetName val="DATA"/>
      <sheetName val="plint"/>
      <sheetName val="Analisa"/>
      <sheetName val="GRAND REKAP"/>
      <sheetName val="Material"/>
      <sheetName val="Upah"/>
      <sheetName val="ESCON"/>
      <sheetName val="SUM"/>
      <sheetName val="Upah dan Bahan "/>
      <sheetName val="Bahan"/>
      <sheetName val="BQ-Str"/>
      <sheetName val="Input"/>
      <sheetName val="Elektrikal"/>
      <sheetName val="Bill sipil"/>
      <sheetName val="020201 HERO PIM R2"/>
      <sheetName val="ANALISA HARGA SATUAN"/>
      <sheetName val="hrg-sat.pek"/>
      <sheetName val="BASIC"/>
      <sheetName val="Scope_of_work"/>
      <sheetName val="BQ_interior"/>
      <sheetName val="BQ_ME"/>
      <sheetName val="BQ_R&amp;S"/>
      <sheetName val="lampiran_1"/>
      <sheetName val="Lampiran_2"/>
      <sheetName val="Anal__baja"/>
      <sheetName val="M'trl_Baja"/>
      <sheetName val="HARGA_MATERIAL"/>
      <sheetName val="UPAH_KERJA"/>
      <sheetName val="Bill_No_6_Koord_&amp;_Attendance"/>
      <sheetName val="Rekap_Direct_Cost"/>
      <sheetName val="ANALISA_HARGA_SATUAN"/>
      <sheetName val="Bill_sipil"/>
      <sheetName val="hrg-sat_pek"/>
      <sheetName val="BQ"/>
      <sheetName val="DAF-1"/>
      <sheetName val="villa"/>
      <sheetName val="351BQMCN"/>
      <sheetName val="EXTERNAL WORK"/>
      <sheetName val="G_SUMMARY"/>
      <sheetName val="tifico"/>
      <sheetName val="Acc"/>
      <sheetName val="Sch"/>
      <sheetName val="Fin-Bengkel"/>
      <sheetName val="Fin-Showroom"/>
      <sheetName val="Hal_Pagar"/>
      <sheetName val="Str-Bengkel"/>
      <sheetName val="Str-Showroom"/>
      <sheetName val="Market Assumtions"/>
      <sheetName val="Scope_of_work1"/>
      <sheetName val="BQ_interior1"/>
      <sheetName val="BQ_ME1"/>
      <sheetName val="BQ_R&amp;S1"/>
      <sheetName val="lampiran_11"/>
      <sheetName val="Lampiran_21"/>
      <sheetName val="Anal__baja1"/>
      <sheetName val="M'trl_Baja1"/>
      <sheetName val="HARGA_MATERIAL1"/>
      <sheetName val="UPAH_KERJA1"/>
      <sheetName val="Bill_No_6_Koord_&amp;_Attendance1"/>
      <sheetName val="Rekap_Direct_Cost1"/>
      <sheetName val="41_9_36_3"/>
      <sheetName val="STR(CANCEL)"/>
      <sheetName val="CONTRIBUSI"/>
      <sheetName val="#REF"/>
      <sheetName val="AC"/>
      <sheetName val="I-ME"/>
      <sheetName val="FORM X COST"/>
      <sheetName val="Master 1.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H32" t="str">
            <v>m³</v>
          </cell>
          <cell r="I32">
            <v>195000</v>
          </cell>
          <cell r="L32">
            <v>195000</v>
          </cell>
          <cell r="M32">
            <v>0</v>
          </cell>
          <cell r="O32">
            <v>195000</v>
          </cell>
          <cell r="P32">
            <v>0</v>
          </cell>
          <cell r="Q32">
            <v>36481</v>
          </cell>
          <cell r="S32" t="str">
            <v>PT Jaya Readymix</v>
          </cell>
        </row>
        <row r="33">
          <cell r="H33" t="str">
            <v>m³</v>
          </cell>
          <cell r="I33">
            <v>205000</v>
          </cell>
          <cell r="L33">
            <v>205000</v>
          </cell>
          <cell r="M33">
            <v>0</v>
          </cell>
          <cell r="O33">
            <v>205000</v>
          </cell>
          <cell r="P33">
            <v>0</v>
          </cell>
          <cell r="Q33">
            <v>36481</v>
          </cell>
          <cell r="S33" t="str">
            <v>PT Jaya Readymix</v>
          </cell>
        </row>
        <row r="34">
          <cell r="H34" t="str">
            <v>m³</v>
          </cell>
          <cell r="I34">
            <v>174000</v>
          </cell>
          <cell r="L34">
            <v>174000</v>
          </cell>
          <cell r="M34">
            <v>0</v>
          </cell>
          <cell r="O34">
            <v>174000</v>
          </cell>
          <cell r="P34">
            <v>0</v>
          </cell>
          <cell r="Q34">
            <v>36479</v>
          </cell>
          <cell r="S34" t="str">
            <v>PT Jaya Readymix</v>
          </cell>
        </row>
        <row r="35">
          <cell r="H35" t="str">
            <v>m³</v>
          </cell>
          <cell r="I35">
            <v>230000</v>
          </cell>
          <cell r="L35">
            <v>230000</v>
          </cell>
          <cell r="M35">
            <v>0</v>
          </cell>
          <cell r="O35">
            <v>230000</v>
          </cell>
          <cell r="P35">
            <v>0</v>
          </cell>
          <cell r="Q35">
            <v>36873</v>
          </cell>
          <cell r="S35" t="str">
            <v>PT Jaya Readymix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sat"/>
      <sheetName val="upah_harian"/>
      <sheetName val="upah_borong"/>
      <sheetName val="satuan_alat"/>
      <sheetName val="sewa_alat"/>
      <sheetName val="Analisa"/>
      <sheetName val="DAF_ALAT"/>
      <sheetName val="DAF_MAT"/>
      <sheetName val="S_CURVE"/>
      <sheetName val="Cover"/>
      <sheetName val="UPAH"/>
      <sheetName val="Hargamat"/>
      <sheetName val="BAHAN"/>
      <sheetName val="TEN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iapan"/>
      <sheetName val="Alat"/>
      <sheetName val="Tunjang"/>
      <sheetName val="Pegawai"/>
      <sheetName val="Umum"/>
      <sheetName val="Resiko"/>
      <sheetName val="Cashflow"/>
      <sheetName val="dAFMAT"/>
      <sheetName val="RABT"/>
      <sheetName val="Penjumlahan"/>
      <sheetName val="D-1"/>
      <sheetName val="D2.1"/>
      <sheetName val="D2.2"/>
      <sheetName val="D3.1"/>
      <sheetName val="D3.2"/>
      <sheetName val="D3.3"/>
      <sheetName val="D3.4"/>
      <sheetName val="D3.5"/>
      <sheetName val="D3.6"/>
      <sheetName val="JUMLAH(3)"/>
      <sheetName val="JUMLAH(2)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1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MALL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anls"/>
      <sheetName val="hsat"/>
      <sheetName val="CoverDepan Buku (1)"/>
      <sheetName val="CoverDepan Buku (2)"/>
      <sheetName val="Cover"/>
      <sheetName val="COVER (2)"/>
      <sheetName val="COVER (3)"/>
      <sheetName val="COV 4.2 ( FASILITAS APARTEMENT)"/>
      <sheetName val="D2.1-Cover"/>
      <sheetName val="D2.2-Cover"/>
      <sheetName val="D3.1-Cover(MALL&amp;PARK)"/>
      <sheetName val="D3.2-Cover(LANDS)"/>
      <sheetName val="D3.3-Cover(T-A)"/>
      <sheetName val="D3.4-Cover(T-B)"/>
      <sheetName val="D3.5-Cover(T-C)"/>
      <sheetName val="D.3.6-Cover.BAJA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(4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Cover 12.1"/>
      <sheetName val="Cover 12.2"/>
      <sheetName val="Cover 12.3"/>
      <sheetName val="Cover 12.4"/>
      <sheetName val="Cover 13"/>
      <sheetName val="Cover 13.1 "/>
      <sheetName val="Cover 13.2 "/>
      <sheetName val="Sheet1"/>
      <sheetName val="Sheet2"/>
      <sheetName val="Sheet3"/>
      <sheetName val="harsat"/>
      <sheetName val="Koefisien"/>
      <sheetName val="analisa"/>
      <sheetName val="BAHAN"/>
      <sheetName val="REKAP"/>
      <sheetName val="TEN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P"/>
      <sheetName val="RDHU"/>
      <sheetName val="UM"/>
      <sheetName val="OH-10BLN"/>
      <sheetName val="PENI"/>
      <sheetName val="INDAH"/>
      <sheetName val="LANGGENG"/>
      <sheetName val="Readymix"/>
      <sheetName val="ME"/>
      <sheetName val="of -7"/>
      <sheetName val="of - 06"/>
      <sheetName val="Of-04"/>
      <sheetName val="of-07"/>
      <sheetName val="OF 5"/>
      <sheetName val="of-02"/>
      <sheetName val="of-bek (2)"/>
      <sheetName val="of-bek (3)"/>
      <sheetName val="REKAP BEK"/>
      <sheetName val="0F-04"/>
      <sheetName val="OH_10BLN"/>
      <sheetName val="Notes"/>
      <sheetName val="HB"/>
      <sheetName val="HARGA MATERIAL"/>
      <sheetName val="SNI 2007"/>
      <sheetName val="Bahan"/>
      <sheetName val="Harsat"/>
      <sheetName val="DIVI6"/>
    </sheetNames>
    <sheetDataSet>
      <sheetData sheetId="0"/>
      <sheetData sheetId="1"/>
      <sheetData sheetId="2"/>
      <sheetData sheetId="3" refreshError="1">
        <row r="33">
          <cell r="M33">
            <v>1350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 BEKISTING"/>
      <sheetName val="HIT BEKISTING"/>
      <sheetName val="Rekap Direct Cost"/>
      <sheetName val="Koefisie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Daf 1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"/>
      <sheetName val="Anls"/>
      <sheetName val="Hydrant"/>
      <sheetName val="Elek.List"/>
      <sheetName val="BQ_Listrik"/>
      <sheetName val="Daftar Material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Pt"/>
      <sheetName val="Rekap 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TARIP"/>
      <sheetName val="Hargamat"/>
      <sheetName val="Elektrikal"/>
      <sheetName val="FORM X COST"/>
      <sheetName val="Analisa Upah &amp; Bahan Plum"/>
      <sheetName val="REKAP"/>
      <sheetName val="Bill of Qty"/>
      <sheetName val="anls space frame"/>
      <sheetName val="Pipe"/>
      <sheetName val="STR - 2B"/>
      <sheetName val="NM"/>
      <sheetName val="ES STG"/>
      <sheetName val="LAL - PASAR PAGI "/>
      <sheetName val="bhn "/>
      <sheetName val="DAF-2"/>
      <sheetName val="Analisa Upah _ Bahan Plum"/>
      <sheetName val="DAF-1"/>
      <sheetName val="DAF-5"/>
      <sheetName val="index"/>
      <sheetName val="main summary"/>
      <sheetName val="Rekap Direct Cost"/>
      <sheetName val="Isolasi Luar Dalam"/>
      <sheetName val="Isolasi Luar"/>
      <sheetName val="Analisa 2"/>
      <sheetName val="4"/>
      <sheetName val="an el"/>
      <sheetName val="Bill No 6 Koord &amp; Attendance"/>
      <sheetName val="ars"/>
      <sheetName val="HSatuan"/>
      <sheetName val="TABEL-DETASIR"/>
      <sheetName val="FINISHING"/>
      <sheetName val="HSA &amp; PAB"/>
      <sheetName val="REQDELTA"/>
      <sheetName val="BQ IND TIMUR"/>
      <sheetName val="BoQ (WS)"/>
      <sheetName val="BD-WS"/>
      <sheetName val="Client"/>
      <sheetName val="RAB"/>
      <sheetName val="hafele"/>
      <sheetName val="Daf 1"/>
      <sheetName val="PileCap"/>
      <sheetName val="Tangga GN"/>
      <sheetName val="Ind.MP Sch."/>
      <sheetName val="INDEKS"/>
      <sheetName val="SAT"/>
      <sheetName val="harga"/>
      <sheetName val="rekaprab"/>
      <sheetName val="COVER"/>
      <sheetName val="CSFLOW"/>
      <sheetName val="instalasi konduit inbow"/>
      <sheetName val="D-1"/>
      <sheetName val="DAF_1"/>
      <sheetName val="TC (2)"/>
      <sheetName val="Du_lieu"/>
      <sheetName val="PENDAHULUAN"/>
      <sheetName val="DATA"/>
      <sheetName val="SEX"/>
      <sheetName val="G_SUMMARY"/>
      <sheetName val="HS_TRG"/>
      <sheetName val="UPAH"/>
      <sheetName val="Man Power"/>
      <sheetName val="HSUB"/>
      <sheetName val="AHAS PANEL"/>
      <sheetName val="Fin_Bengkel"/>
      <sheetName val="Fin_Showroom"/>
      <sheetName val="Hal_Pagar"/>
      <sheetName val="Str_Bengkel"/>
      <sheetName val="Str_Showroom"/>
      <sheetName val="Price"/>
      <sheetName val="Sheet1"/>
      <sheetName val="HRG BHN"/>
      <sheetName val="harsat"/>
      <sheetName val="BQNSC"/>
      <sheetName val="analisa"/>
      <sheetName val="HIDRO"/>
      <sheetName val="Master 1.0"/>
      <sheetName val="WF "/>
      <sheetName val="BAHAN"/>
      <sheetName val="ALECK"/>
      <sheetName val="Analisa Harga Satuan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har-sat"/>
      <sheetName val="Rekap Prelim"/>
      <sheetName val="Progress"/>
      <sheetName val="Actual"/>
      <sheetName val="Offer Presentation"/>
      <sheetName val="공통부대비"/>
      <sheetName val="정부노임단가"/>
      <sheetName val="GB"/>
      <sheetName val="GRAND REKAP"/>
      <sheetName val="I-KAMAR"/>
      <sheetName val="After LoI"/>
      <sheetName val="PERTAHAP"/>
      <sheetName val="Material"/>
      <sheetName val="Pek.Luar"/>
      <sheetName val="AHS "/>
      <sheetName val="basic"/>
      <sheetName val="SOHAR(2nd)"/>
      <sheetName val="TAMKUR "/>
      <sheetName val="Analisa Gabungan"/>
      <sheetName val="Sub"/>
      <sheetName val="K"/>
      <sheetName val="III"/>
      <sheetName val="IV"/>
      <sheetName val="引当型式確認画面"/>
      <sheetName val="H.Satuan"/>
      <sheetName val="Unit Rate Indirect"/>
      <sheetName val="Elec-ins"/>
      <sheetName val="TABEL"/>
      <sheetName val="Bill of Qty MEP"/>
      <sheetName val="Factor"/>
      <sheetName val="prog-mgu"/>
      <sheetName val="326BQSTC"/>
      <sheetName val="MASTER"/>
      <sheetName val="BAG-2"/>
      <sheetName val="A-11 Steel Str (2)"/>
      <sheetName val="ana_str"/>
      <sheetName val="COST SUMM"/>
      <sheetName val="Fin-Bengkel"/>
      <sheetName val="Fin-Showroom"/>
      <sheetName val="Str-Bengkel"/>
      <sheetName val="Str-Showroom"/>
      <sheetName val="Struktur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-ALAT"/>
      <sheetName val="U-HAR"/>
      <sheetName val="DASBOR"/>
      <sheetName val="H-BHN"/>
      <sheetName val="ANLISA"/>
      <sheetName val="ANLS-ALT"/>
      <sheetName val="A-BANTU"/>
      <sheetName val="U-PEK"/>
      <sheetName val="M-BANTU"/>
      <sheetName val="H-SAT"/>
      <sheetName val="H_BHN"/>
      <sheetName val="A_BANTU"/>
      <sheetName val="BQ-Tenis"/>
      <sheetName val="Arsitektur"/>
      <sheetName val="Material"/>
      <sheetName val="BOQ_Aula"/>
      <sheetName val="Prelim"/>
      <sheetName val="REKAP"/>
      <sheetName val="Rekap Direct Cost"/>
      <sheetName val="STAF"/>
      <sheetName val="Metod TWR"/>
      <sheetName val="41_9_36_3"/>
      <sheetName val="gaji"/>
      <sheetName val="SUM"/>
      <sheetName val="name"/>
      <sheetName val="atap"/>
      <sheetName val="Alat"/>
      <sheetName val="Persiapan"/>
      <sheetName val="RAW MATERIALS "/>
      <sheetName val="COST-PERSON-J.O."/>
      <sheetName val="RENTAL1"/>
      <sheetName val="Koefisien"/>
      <sheetName val="ANALISA"/>
      <sheetName val="RATES"/>
      <sheetName val="Bahan"/>
      <sheetName val="BQ (by owner)"/>
      <sheetName val="rab me (fisik)"/>
      <sheetName val="rab me (by owner) "/>
      <sheetName val="harsat"/>
      <sheetName val="anal"/>
      <sheetName val="rkp"/>
      <sheetName val="mebel"/>
      <sheetName val="SAT-BH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Listrik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AP"/>
      <sheetName val="SEX"/>
      <sheetName val="tifico"/>
      <sheetName val="Analisa ARS"/>
      <sheetName val="I-KAMAR"/>
      <sheetName val="I_KAMAR"/>
      <sheetName val="BAG-2"/>
      <sheetName val="01A- RAB"/>
      <sheetName val="DAF-1"/>
      <sheetName val="RAP"/>
      <sheetName val="ESCON"/>
      <sheetName val="rekap.c"/>
      <sheetName val="BQ"/>
      <sheetName val="HRG BHN"/>
      <sheetName val="A"/>
      <sheetName val="Urai _Resap pengikat"/>
      <sheetName val="STAF"/>
      <sheetName val="COVERUSRP"/>
      <sheetName val="SITE"/>
      <sheetName val="ESCOND"/>
      <sheetName val="BQUSRP"/>
      <sheetName val="H.Satuan"/>
      <sheetName val="jadwal"/>
      <sheetName val="Quantity"/>
      <sheetName val="STR"/>
      <sheetName val="Volume"/>
      <sheetName val="FINISHING"/>
      <sheetName val="Daftar Upah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Pt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Isolasi_Luar_Dalam"/>
      <sheetName val="Isolasi_Luar"/>
      <sheetName val="BQ_Kantor&amp;Pabrik(beton)"/>
      <sheetName val="AnalisaSIPIL_RIIL"/>
      <sheetName val="analis_azaa"/>
      <sheetName val="H_Satuan"/>
      <sheetName val="Rekap Prelim"/>
      <sheetName val="Currency Rate"/>
      <sheetName val="Material"/>
      <sheetName val="Analisa_ARS"/>
      <sheetName val="rekap_c"/>
      <sheetName val="HRG_BHN"/>
      <sheetName val="01A-_RAB"/>
      <sheetName val="Cover"/>
      <sheetName val="DAF-2"/>
      <sheetName val="L-Mechanical"/>
      <sheetName val="Lat gach san nha"/>
      <sheetName val="Lat_gach_san_nha"/>
      <sheetName val="EE-PROP"/>
      <sheetName val="Blk-Mnl"/>
      <sheetName val="Klm-Mnl"/>
      <sheetName val="PC"/>
      <sheetName val="W"/>
      <sheetName val="BQ_TIMAHR1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AG_2"/>
      <sheetName val="BL"/>
      <sheetName val="perkerasan rigid"/>
      <sheetName val="10"/>
      <sheetName val="5"/>
      <sheetName val="UPH,BHN,ALT"/>
      <sheetName val="Analis harga"/>
      <sheetName val="boq"/>
      <sheetName val="Ch"/>
      <sheetName val="Unit Rate"/>
      <sheetName val="Electrikal"/>
      <sheetName val="Elektronik"/>
      <sheetName val="Plumbing"/>
      <sheetName val="Fire Fighting"/>
      <sheetName val="Item Kompensasi"/>
      <sheetName val="LOADDAT"/>
      <sheetName val="NP (4)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lat"/>
      <sheetName val="Bahan"/>
      <sheetName val="Sub"/>
      <sheetName val="RAP1"/>
      <sheetName val="HARGA ALAT"/>
      <sheetName val="UMUM"/>
      <sheetName val="BASIC"/>
      <sheetName val="304-06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ocean voyage"/>
      <sheetName val="Analisa &amp; Upah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anal"/>
      <sheetName val="SAT-BHN"/>
      <sheetName val="Eng_Hrs"/>
      <sheetName val="Steel-Twr"/>
      <sheetName val="K"/>
      <sheetName val="Kolom UT"/>
      <sheetName val="ALAT-1"/>
      <sheetName val="EI (3-)"/>
      <sheetName val="REKAP WIL"/>
      <sheetName val="3-DIV3"/>
      <sheetName val="Fin-Bengkel"/>
      <sheetName val="Fin-Showroom"/>
      <sheetName val="Hal_Pagar"/>
      <sheetName val="Str-Bengkel"/>
      <sheetName val="Str-Showroom"/>
      <sheetName val="PRICE"/>
      <sheetName val="WT-LIST"/>
      <sheetName val="Manpower"/>
      <sheetName val="Equipt,Tools&amp;Cons"/>
      <sheetName val="ARP-10"/>
      <sheetName val="arp-3a"/>
      <sheetName val="TE TS FA LAN MATV"/>
      <sheetName val="FAK"/>
      <sheetName val="HB"/>
      <sheetName val="RAB"/>
      <sheetName val="Kuantitas &amp; Harga"/>
      <sheetName val="Mob"/>
      <sheetName val="Analisa ME"/>
      <sheetName val="struktur"/>
      <sheetName val="Perm. Test"/>
      <sheetName val="HRG-DASAR"/>
      <sheetName val="pricing"/>
      <sheetName val="hargaDC"/>
      <sheetName val="HARGA MATERIAL"/>
      <sheetName val="Div2"/>
      <sheetName val="bd"/>
      <sheetName val="hardas"/>
      <sheetName val="DIV 3"/>
      <sheetName val="DIV7-BM"/>
      <sheetName val="3-DIV4"/>
      <sheetName val="B-PRICE"/>
      <sheetName val="Div.7.2"/>
      <sheetName val="SUMMARY"/>
      <sheetName val="F ALARM"/>
      <sheetName val="負荷集計（断熱不燃）"/>
      <sheetName val="HU&amp;B"/>
      <sheetName val="BQ1"/>
      <sheetName val="AHSbj"/>
      <sheetName val="SAT-DAS"/>
      <sheetName val="H.Upah"/>
      <sheetName val="Form A"/>
      <sheetName val="3-DIV5"/>
      <sheetName val="MAPDC"/>
      <sheetName val="dasar"/>
      <sheetName val="Por"/>
      <sheetName val="3-DIV2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Harga"/>
      <sheetName val="M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Rekap"/>
      <sheetName val="RAB"/>
      <sheetName val="Anal"/>
      <sheetName val="Anal-2"/>
      <sheetName val="ANAL-3"/>
      <sheetName val="Harsat"/>
      <sheetName val="Met"/>
      <sheetName val="Sced"/>
      <sheetName val="Anal-alat"/>
      <sheetName val="DATALAT"/>
      <sheetName val="RAPX"/>
      <sheetName val="Anal (2)"/>
      <sheetName val="Sat-Rap"/>
      <sheetName val="OH-10BLN"/>
      <sheetName val="Plan vs Real Kontraktor"/>
      <sheetName val="Rinci Progres Kontraktor"/>
      <sheetName val="LAP. MINGG"/>
      <sheetName val="Upah&amp;Bahan"/>
      <sheetName val="Material"/>
      <sheetName val="HARGA MATERIAL"/>
      <sheetName val="A"/>
      <sheetName val="RAB Rehab BatuMelik"/>
      <sheetName val="BREAKER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>
        <row r="60">
          <cell r="F60">
            <v>10000</v>
          </cell>
        </row>
        <row r="62">
          <cell r="F62">
            <v>22000</v>
          </cell>
        </row>
        <row r="63">
          <cell r="F63">
            <v>22000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board"/>
      <sheetName val="Rekap"/>
      <sheetName val="Ratio"/>
      <sheetName val="BQ"/>
      <sheetName val="Prelim"/>
      <sheetName val="Analisa"/>
      <sheetName val="analisa Str"/>
      <sheetName val="Material"/>
      <sheetName val="Ana Sanitair"/>
      <sheetName val="List"/>
      <sheetName val="Hargamat"/>
      <sheetName val="Sat Bah &amp; Up"/>
      <sheetName val="H-BHN"/>
      <sheetName val="Resume-Analisa"/>
      <sheetName val="Resume_Analisa"/>
      <sheetName val="hs-str"/>
      <sheetName val="Harsat_marina"/>
      <sheetName val="HrgSat"/>
      <sheetName val="A-BANTU"/>
      <sheetName val="An.Ars"/>
      <sheetName val="Hrg_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REal"/>
      <sheetName val="Hrg.Sat"/>
      <sheetName val="Ana-prel"/>
      <sheetName val="Analisa-struktur"/>
      <sheetName val="aNA-BETON"/>
      <sheetName val="DAFTAR ISI"/>
      <sheetName val="REKAP"/>
      <sheetName val="aDDITIONAL"/>
      <sheetName val="BANGUNAN UTAMA"/>
      <sheetName val="BANGUNAN PENUNJANG"/>
      <sheetName val="Hrg_Sat"/>
      <sheetName val="BQ"/>
      <sheetName val="hsp-STR-ARS"/>
      <sheetName val="Upah+Bahan"/>
      <sheetName val="harsat"/>
      <sheetName val="Material"/>
      <sheetName val="Hargamat"/>
      <sheetName val="tifico"/>
      <sheetName val="MTa"/>
      <sheetName val="hs_ars"/>
      <sheetName val="BQ_STR"/>
      <sheetName val="HB"/>
      <sheetName val="SELL-SUMM-COST"/>
      <sheetName val="Analisa STR"/>
      <sheetName val="STRUKTUR-1"/>
      <sheetName val="Rekap DBAK"/>
      <sheetName val="ME UMY"/>
      <sheetName val="Bahan"/>
      <sheetName val="Resume-Analisa"/>
      <sheetName val="Bq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sat"/>
      <sheetName val="upah_harian"/>
      <sheetName val="upah_borong"/>
      <sheetName val="satuan_alat"/>
      <sheetName val="sewa_alat"/>
      <sheetName val="satuan_pek"/>
      <sheetName val="Analisa"/>
      <sheetName val="resume"/>
      <sheetName val="proposal"/>
      <sheetName val="name"/>
      <sheetName val="REKAP"/>
      <sheetName val="D4"/>
      <sheetName val="D6"/>
      <sheetName val="D7"/>
      <sheetName val="D8"/>
      <sheetName val="Materi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  <sheetName val="Hrg.Sat"/>
      <sheetName val="Upah+Bahan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MP-C"/>
      <sheetName val="DAF-1"/>
      <sheetName val="DAF-2"/>
      <sheetName val="DAF-3"/>
      <sheetName val="DAF- 4"/>
      <sheetName val="DAF-5"/>
      <sheetName val="DAF-6"/>
      <sheetName val="DAF-7"/>
      <sheetName val="DAF-8"/>
      <sheetName val="DAF-10"/>
      <sheetName val="DAF-11"/>
      <sheetName val="harsat"/>
      <sheetName val="BAHAN"/>
      <sheetName val="PPC"/>
      <sheetName val="DAF_7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D3.1"/>
      <sheetName val="listrik"/>
      <sheetName val="HB"/>
      <sheetName val="List Pl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Material"/>
      <sheetName val="Weight Bridge"/>
      <sheetName val="Pipe"/>
      <sheetName val="Analisa -Baku"/>
      <sheetName val="HB"/>
      <sheetName val="326BQSTC"/>
      <sheetName val="EK-JAN-07"/>
      <sheetName val="TOTAL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Sheet2"/>
      <sheetName val="D3.1"/>
      <sheetName val="00_Jumlah Total"/>
      <sheetName val="D4"/>
      <sheetName val="D6"/>
      <sheetName val="D7"/>
      <sheetName val="D8"/>
      <sheetName val="bahan"/>
      <sheetName val="H.Satuan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RAB"/>
      <sheetName val="tifico"/>
      <sheetName val="harsat"/>
      <sheetName val="Data"/>
      <sheetName val="STAFF"/>
      <sheetName val="AC"/>
      <sheetName val="Plumbing"/>
      <sheetName val="Hargamaterial"/>
      <sheetName val="SCHEDULE"/>
      <sheetName val="Sumber Daya"/>
      <sheetName val="Resume"/>
      <sheetName val="Daftar Harga"/>
      <sheetName val="ESCON"/>
      <sheetName val="Tataudara"/>
      <sheetName val="STR"/>
      <sheetName val="A"/>
      <sheetName val="Hrg.Sat"/>
      <sheetName val="ALT"/>
      <sheetName val="Upah"/>
      <sheetName val="analisa"/>
      <sheetName val="Analisa Tend (2)"/>
      <sheetName val="BL (1)"/>
      <sheetName val="310801Pabrik PT Rehau"/>
      <sheetName val="Steel Material List"/>
      <sheetName val="Panel,feeder,elek"/>
      <sheetName val="Harga Satuan"/>
      <sheetName val="S_Suramadu"/>
      <sheetName val="Material Baja"/>
      <sheetName val="BQ"/>
      <sheetName val="Bill sipil"/>
      <sheetName val="HRG BHN"/>
      <sheetName val="SITE-E"/>
      <sheetName val="H-Bahan"/>
      <sheetName val="Anal"/>
      <sheetName val="BILL"/>
      <sheetName val="Scdl"/>
      <sheetName val="SELL-SUMM-COST"/>
      <sheetName val="Man Power"/>
      <sheetName val="Estimate"/>
      <sheetName val="TANJUNG-CONV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Analisa_-Baku"/>
      <sheetName val="Weight_Bridge"/>
      <sheetName val="ELEMENT_SUM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00_Jumlah_Total"/>
      <sheetName val="D3_1"/>
      <sheetName val="H_Satuan"/>
      <sheetName val="Sumber_Daya"/>
      <sheetName val="Harga_Satuan"/>
      <sheetName val="BoQ"/>
      <sheetName val="CH"/>
      <sheetName val="Price"/>
      <sheetName val="BAHAN_STR"/>
      <sheetName val="TIE-INS"/>
      <sheetName val="BQ ARS"/>
      <sheetName val="ANALISA PEK.UMUM"/>
      <sheetName val="Gudang non AC-AC Struktur"/>
      <sheetName val="AHSbj"/>
      <sheetName val="HARGA SAT"/>
      <sheetName val="Tie Beam GN"/>
      <sheetName val="PileCap"/>
      <sheetName val="PAD-F"/>
      <sheetName val="Rekap Prelim"/>
      <sheetName val="TOWN"/>
      <sheetName val="D2.2"/>
      <sheetName val="AHS"/>
      <sheetName val="SPK"/>
      <sheetName val="REKAP STRUKTUR"/>
      <sheetName val="hub"/>
      <sheetName val="Summary - Budget"/>
      <sheetName val="SEX"/>
      <sheetName val="UPAH + ALAT"/>
      <sheetName val="D3"/>
      <sheetName val="Const"/>
      <sheetName val="Analisa Upah &amp; Bahan Plum"/>
      <sheetName val="ARSITEKTUR"/>
      <sheetName val="TOEVOER"/>
      <sheetName val="DAFT_ALAT,UPAH &amp; MAT"/>
      <sheetName val="Pengalaman Per"/>
      <sheetName val="BOM29-1"/>
      <sheetName val="std.wt."/>
      <sheetName val="COVERUSRP"/>
      <sheetName val="Hargamat"/>
      <sheetName val="351BQMCN"/>
      <sheetName val="MAP"/>
      <sheetName val="XLR_NoRangeSheet"/>
      <sheetName val="ANALISA (2)"/>
      <sheetName val="divII"/>
      <sheetName val="ANALISA HARGA SATUAN"/>
      <sheetName val="UPAH _ ALAT"/>
      <sheetName val="FR"/>
      <sheetName val="Cover"/>
      <sheetName val="PC"/>
      <sheetName val="Sheet1"/>
      <sheetName val="Koefisien"/>
      <sheetName val="310801Pabrik_PT_Rehau"/>
      <sheetName val="Steel_Material_List"/>
      <sheetName val="Hrg_Sat"/>
      <sheetName val="REKAP_STRUKTUR"/>
      <sheetName val="Daftar_Harga"/>
      <sheetName val="BL_(1)"/>
      <sheetName val="Material_Baja"/>
      <sheetName val="HRG_BHN"/>
      <sheetName val="Analisa_Tend_(2)"/>
      <sheetName val="Rekap_Total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Q_ARS"/>
      <sheetName val="Summary_-_Budget"/>
      <sheetName val="Bill_sipil"/>
      <sheetName val="钢筋"/>
      <sheetName val="RAB_HPS"/>
      <sheetName val="Rev"/>
      <sheetName val="산근"/>
      <sheetName val="Analisa SNI STANDART "/>
      <sheetName val="Eng_Hrs (HO)"/>
      <sheetName val="Pspn"/>
      <sheetName val="Bhn.Ars"/>
      <sheetName val="ALL SUM"/>
      <sheetName val="BQ_Methanol"/>
      <sheetName val="PipWT"/>
      <sheetName val="MADC"/>
      <sheetName val="an.el"/>
      <sheetName val="An.AC &amp; Plb"/>
      <sheetName val="H.SAT"/>
      <sheetName val="perkerasan"/>
      <sheetName val="Metod TWR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ster 1.0"/>
      <sheetName val="Mall"/>
      <sheetName val="Satuan"/>
      <sheetName val="Divisi1"/>
      <sheetName val="Basic P"/>
      <sheetName val="Sub"/>
      <sheetName val="Metod_TWR"/>
      <sheetName val="Basic_P"/>
      <sheetName val="ANALISA_PEK_UMUM"/>
      <sheetName val="Gudang_non_AC-AC_Struktur"/>
      <sheetName val="Man_Power"/>
      <sheetName val="D2_2"/>
      <sheetName val="an_el"/>
      <sheetName val="An_AC_&amp;_Plb"/>
      <sheetName val="H_SAT"/>
      <sheetName val="HARGA_SAT"/>
      <sheetName val="Tie_Beam_GN"/>
      <sheetName val="AnalisaSIPIL RIIL"/>
      <sheetName val="Harga Dasar"/>
      <sheetName val="Owning cost Alat"/>
      <sheetName val="BHN-ALAT"/>
      <sheetName val="SMP"/>
      <sheetName val="DAF-1"/>
      <sheetName val="DATUM"/>
      <sheetName val="hardas"/>
      <sheetName val="Hrg Sat"/>
      <sheetName val="extern"/>
      <sheetName val="IN"/>
      <sheetName val="lap-bulan"/>
      <sheetName val="ANALISA_(2)"/>
      <sheetName val="ana_str"/>
      <sheetName val="HB "/>
      <sheetName val="CUACA"/>
      <sheetName val="MacPro"/>
      <sheetName val="Perm. Test"/>
      <sheetName val="Upah+Bahan"/>
      <sheetName val="H-BHN"/>
      <sheetName val="PAD_F"/>
      <sheetName val="Daf. No. - 4.2"/>
      <sheetName val="Sheet"/>
      <sheetName val="Piping"/>
      <sheetName val="L_TIGA"/>
      <sheetName val="L-TIGA"/>
      <sheetName val="SORT"/>
      <sheetName val="hrg.bhn"/>
      <sheetName val="Kuantitas &amp; Harga"/>
      <sheetName val="HS"/>
      <sheetName val="MAPP"/>
      <sheetName val="antek"/>
      <sheetName val="RLB"/>
      <sheetName val="name"/>
      <sheetName val="Daf 1"/>
      <sheetName val="Tabel Besi"/>
      <sheetName val="Spesifikasi "/>
      <sheetName val="HRGA SATUAN UPAH-BAHAN"/>
      <sheetName val="ANALISA NOV '07"/>
      <sheetName val="PERSIAPAN"/>
      <sheetName val="UTILITAS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PVC"/>
      <sheetName val="upah bahan"/>
      <sheetName val="HSD"/>
      <sheetName val="INDEX"/>
      <sheetName val="anl.sa"/>
      <sheetName val="B.as"/>
      <sheetName val="Rincian"/>
      <sheetName val="komponen"/>
      <sheetName val="anls ttk"/>
      <sheetName val="310801Pabrik PT Rehau.xls"/>
      <sheetName val="RAB_RS"/>
      <sheetName val="BQ_E20_02_Rp_"/>
      <sheetName val="Sat Bah &amp; Up"/>
      <sheetName val="revisi progres 1"/>
      <sheetName val="EK-JAN-2010"/>
      <sheetName val="INPUT"/>
      <sheetName val="LOADDAT"/>
      <sheetName val="Steel-Twr"/>
      <sheetName val="RAB AR&amp;STR"/>
      <sheetName val="valve"/>
      <sheetName val="villa"/>
      <sheetName val="L-Mechanical"/>
      <sheetName val="I-ME"/>
      <sheetName val="01A- RAB"/>
      <sheetName val="2-Sitework"/>
      <sheetName val="Listrik"/>
      <sheetName val="Electrikal"/>
      <sheetName val="SUM"/>
      <sheetName val="Bill 2"/>
      <sheetName val="Daf 1 Prelim"/>
      <sheetName val="dasboard"/>
      <sheetName val="DATA1"/>
      <sheetName val="D2.2.1"/>
      <sheetName val="ocean voyage"/>
      <sheetName val="List Plant"/>
      <sheetName val="RSK-01"/>
      <sheetName val="Rekap Biaya"/>
      <sheetName val="SUMMARY"/>
      <sheetName val="SP"/>
      <sheetName val="NC-CM"/>
      <sheetName val="Lamp. 9"/>
      <sheetName val="UMUM"/>
      <sheetName val="Summary "/>
      <sheetName val="dasar"/>
      <sheetName val="Galian 1"/>
      <sheetName val="Master Edit"/>
      <sheetName val="DHSD"/>
      <sheetName val="Div2"/>
      <sheetName val="Profil"/>
      <sheetName val="Rkp"/>
      <sheetName val="Har-sat-dasr"/>
      <sheetName val="Bill_Qua"/>
      <sheetName val="COST-SUM"/>
      <sheetName val="Form-3.3"/>
      <sheetName val="P.M(Monitoring Sche)"/>
      <sheetName val="Lab Sche (Summary)."/>
      <sheetName val="Anls_BKL"/>
      <sheetName val="Bhn"/>
      <sheetName val="DT SECTION 3"/>
      <sheetName val="DB"/>
      <sheetName val="labor1"/>
      <sheetName val="Labor"/>
      <sheetName val="Isolasi Luar Dalam"/>
      <sheetName val="Isolasi Luar"/>
      <sheetName val="Ana"/>
      <sheetName val="ANX3FWBS7000"/>
      <sheetName val="NP"/>
      <sheetName val="Dafmat"/>
      <sheetName val="HRG BAHAN &amp; UPAH okk"/>
      <sheetName val="Analis Kusen o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11">
          <cell r="A11">
            <v>3</v>
          </cell>
        </row>
      </sheetData>
      <sheetData sheetId="122">
        <row r="11">
          <cell r="A11">
            <v>3</v>
          </cell>
        </row>
      </sheetData>
      <sheetData sheetId="123">
        <row r="11">
          <cell r="A11">
            <v>3</v>
          </cell>
        </row>
      </sheetData>
      <sheetData sheetId="124">
        <row r="11">
          <cell r="A11">
            <v>3</v>
          </cell>
        </row>
      </sheetData>
      <sheetData sheetId="125">
        <row r="11">
          <cell r="A11">
            <v>3</v>
          </cell>
        </row>
      </sheetData>
      <sheetData sheetId="126">
        <row r="11">
          <cell r="A11">
            <v>3</v>
          </cell>
        </row>
      </sheetData>
      <sheetData sheetId="127">
        <row r="11">
          <cell r="A11">
            <v>3</v>
          </cell>
        </row>
      </sheetData>
      <sheetData sheetId="128">
        <row r="11">
          <cell r="A11">
            <v>3</v>
          </cell>
        </row>
      </sheetData>
      <sheetData sheetId="129">
        <row r="11">
          <cell r="A11">
            <v>3</v>
          </cell>
        </row>
      </sheetData>
      <sheetData sheetId="130">
        <row r="11">
          <cell r="A11">
            <v>3</v>
          </cell>
        </row>
      </sheetData>
      <sheetData sheetId="131">
        <row r="11">
          <cell r="A11">
            <v>3</v>
          </cell>
        </row>
      </sheetData>
      <sheetData sheetId="132">
        <row r="11">
          <cell r="A11">
            <v>3</v>
          </cell>
        </row>
      </sheetData>
      <sheetData sheetId="133">
        <row r="11">
          <cell r="A11">
            <v>3</v>
          </cell>
        </row>
      </sheetData>
      <sheetData sheetId="134">
        <row r="11">
          <cell r="A11">
            <v>3</v>
          </cell>
        </row>
      </sheetData>
      <sheetData sheetId="135">
        <row r="11">
          <cell r="A11">
            <v>3</v>
          </cell>
        </row>
      </sheetData>
      <sheetData sheetId="136">
        <row r="11">
          <cell r="A11">
            <v>3</v>
          </cell>
        </row>
      </sheetData>
      <sheetData sheetId="137">
        <row r="11">
          <cell r="A11">
            <v>3</v>
          </cell>
        </row>
      </sheetData>
      <sheetData sheetId="138">
        <row r="11">
          <cell r="A11">
            <v>3</v>
          </cell>
        </row>
      </sheetData>
      <sheetData sheetId="139">
        <row r="11">
          <cell r="A11">
            <v>3</v>
          </cell>
        </row>
      </sheetData>
      <sheetData sheetId="140">
        <row r="11">
          <cell r="A11">
            <v>3</v>
          </cell>
        </row>
      </sheetData>
      <sheetData sheetId="141">
        <row r="11">
          <cell r="A11">
            <v>3</v>
          </cell>
        </row>
      </sheetData>
      <sheetData sheetId="142">
        <row r="11">
          <cell r="A11">
            <v>3</v>
          </cell>
        </row>
      </sheetData>
      <sheetData sheetId="143">
        <row r="11">
          <cell r="A11">
            <v>3</v>
          </cell>
        </row>
      </sheetData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11">
          <cell r="A11">
            <v>3</v>
          </cell>
        </row>
      </sheetData>
      <sheetData sheetId="155">
        <row r="11">
          <cell r="A11">
            <v>3</v>
          </cell>
        </row>
      </sheetData>
      <sheetData sheetId="156">
        <row r="11">
          <cell r="A11">
            <v>3</v>
          </cell>
        </row>
      </sheetData>
      <sheetData sheetId="157">
        <row r="11">
          <cell r="A11">
            <v>3</v>
          </cell>
        </row>
      </sheetData>
      <sheetData sheetId="158">
        <row r="11">
          <cell r="A11">
            <v>3</v>
          </cell>
        </row>
      </sheetData>
      <sheetData sheetId="159">
        <row r="11">
          <cell r="A11">
            <v>3</v>
          </cell>
        </row>
      </sheetData>
      <sheetData sheetId="160">
        <row r="11">
          <cell r="A11">
            <v>3</v>
          </cell>
        </row>
      </sheetData>
      <sheetData sheetId="161"/>
      <sheetData sheetId="162"/>
      <sheetData sheetId="163">
        <row r="11">
          <cell r="A11">
            <v>3</v>
          </cell>
        </row>
      </sheetData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11">
          <cell r="A11">
            <v>3</v>
          </cell>
        </row>
      </sheetData>
      <sheetData sheetId="189">
        <row r="11">
          <cell r="A11">
            <v>3</v>
          </cell>
        </row>
      </sheetData>
      <sheetData sheetId="190">
        <row r="11">
          <cell r="A11">
            <v>3</v>
          </cell>
        </row>
      </sheetData>
      <sheetData sheetId="191">
        <row r="11">
          <cell r="A11">
            <v>3</v>
          </cell>
        </row>
      </sheetData>
      <sheetData sheetId="192">
        <row r="11">
          <cell r="A11">
            <v>3</v>
          </cell>
        </row>
      </sheetData>
      <sheetData sheetId="193">
        <row r="11">
          <cell r="A11">
            <v>3</v>
          </cell>
        </row>
      </sheetData>
      <sheetData sheetId="194">
        <row r="11">
          <cell r="A11">
            <v>3</v>
          </cell>
        </row>
      </sheetData>
      <sheetData sheetId="195">
        <row r="11">
          <cell r="A11">
            <v>3</v>
          </cell>
        </row>
      </sheetData>
      <sheetData sheetId="196">
        <row r="11">
          <cell r="A11">
            <v>3</v>
          </cell>
        </row>
      </sheetData>
      <sheetData sheetId="197">
        <row r="11">
          <cell r="A11">
            <v>3</v>
          </cell>
        </row>
      </sheetData>
      <sheetData sheetId="198">
        <row r="11">
          <cell r="A11">
            <v>3</v>
          </cell>
        </row>
      </sheetData>
      <sheetData sheetId="199">
        <row r="11">
          <cell r="A11">
            <v>3</v>
          </cell>
        </row>
      </sheetData>
      <sheetData sheetId="200">
        <row r="11">
          <cell r="A11">
            <v>3</v>
          </cell>
        </row>
      </sheetData>
      <sheetData sheetId="201">
        <row r="11">
          <cell r="A11">
            <v>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11">
          <cell r="A11">
            <v>3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>
        <row r="11">
          <cell r="A11">
            <v>3</v>
          </cell>
        </row>
      </sheetData>
      <sheetData sheetId="225">
        <row r="11">
          <cell r="A11">
            <v>3</v>
          </cell>
        </row>
      </sheetData>
      <sheetData sheetId="226">
        <row r="11">
          <cell r="A11">
            <v>3</v>
          </cell>
        </row>
      </sheetData>
      <sheetData sheetId="227">
        <row r="11">
          <cell r="A11">
            <v>3</v>
          </cell>
        </row>
      </sheetData>
      <sheetData sheetId="228">
        <row r="11">
          <cell r="A11">
            <v>3</v>
          </cell>
        </row>
      </sheetData>
      <sheetData sheetId="229">
        <row r="11">
          <cell r="A11">
            <v>3</v>
          </cell>
        </row>
      </sheetData>
      <sheetData sheetId="230"/>
      <sheetData sheetId="231">
        <row r="11">
          <cell r="A11">
            <v>3</v>
          </cell>
        </row>
      </sheetData>
      <sheetData sheetId="232">
        <row r="11">
          <cell r="A11">
            <v>3</v>
          </cell>
        </row>
      </sheetData>
      <sheetData sheetId="233" refreshError="1"/>
      <sheetData sheetId="234" refreshError="1"/>
      <sheetData sheetId="235" refreshError="1"/>
      <sheetData sheetId="236" refreshError="1"/>
      <sheetData sheetId="237">
        <row r="11">
          <cell r="A11">
            <v>3</v>
          </cell>
        </row>
      </sheetData>
      <sheetData sheetId="238">
        <row r="11">
          <cell r="A11">
            <v>3</v>
          </cell>
        </row>
      </sheetData>
      <sheetData sheetId="239">
        <row r="11">
          <cell r="A11">
            <v>3</v>
          </cell>
        </row>
      </sheetData>
      <sheetData sheetId="240">
        <row r="11">
          <cell r="A11">
            <v>3</v>
          </cell>
        </row>
      </sheetData>
      <sheetData sheetId="241">
        <row r="11">
          <cell r="A11">
            <v>3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>
        <row r="11">
          <cell r="A11">
            <v>3</v>
          </cell>
        </row>
      </sheetData>
      <sheetData sheetId="288">
        <row r="11">
          <cell r="A11">
            <v>3</v>
          </cell>
        </row>
      </sheetData>
      <sheetData sheetId="289">
        <row r="11">
          <cell r="A11">
            <v>3</v>
          </cell>
        </row>
      </sheetData>
      <sheetData sheetId="290">
        <row r="11">
          <cell r="A11">
            <v>3</v>
          </cell>
        </row>
      </sheetData>
      <sheetData sheetId="291">
        <row r="11">
          <cell r="A11">
            <v>3</v>
          </cell>
        </row>
      </sheetData>
      <sheetData sheetId="292">
        <row r="11">
          <cell r="A11">
            <v>3</v>
          </cell>
        </row>
      </sheetData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11">
          <cell r="A11">
            <v>3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>
        <row r="11">
          <cell r="A11">
            <v>3</v>
          </cell>
        </row>
      </sheetData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board"/>
      <sheetName val="CUVER"/>
      <sheetName val="Rekap Total"/>
      <sheetName val="Prelim"/>
      <sheetName val="REKAP"/>
      <sheetName val="STRUK"/>
      <sheetName val="DAF-2 Add"/>
      <sheetName val="DAF-3Add"/>
      <sheetName val="DAF-4Add"/>
      <sheetName val="DAF-5 Add"/>
      <sheetName val="TOTAL"/>
      <sheetName val="DAF-2"/>
      <sheetName val="DAF-3"/>
      <sheetName val="DAF-4"/>
      <sheetName val="DAF-6 Add"/>
      <sheetName val="DAF-7Add"/>
      <sheetName val="DAF-8Add"/>
      <sheetName val="DAF-5"/>
      <sheetName val="DAF-6"/>
      <sheetName val="DAF-7"/>
      <sheetName val="DAF-9Add "/>
      <sheetName val="DAF-10Add"/>
      <sheetName val="DAF-8"/>
      <sheetName val="DAF-11Add"/>
      <sheetName val="DAF-9"/>
      <sheetName val="DAF-12Add"/>
      <sheetName val="DAF-10"/>
      <sheetName val="DAF-11"/>
      <sheetName val="Analisa"/>
      <sheetName val="Analisa Struktur"/>
      <sheetName val="harsat"/>
      <sheetName val="BELAGIO"/>
      <sheetName val="ARTAGDING"/>
      <sheetName val="MANHATTAN"/>
      <sheetName val="SENTUL"/>
      <sheetName val="T.ABANG"/>
      <sheetName val="SEMANAN"/>
      <sheetName val="BKPM"/>
      <sheetName val="HARGA SATUAN"/>
      <sheetName val="Analisa 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"/>
      <sheetName val="Biayatidaklangsung"/>
      <sheetName val="Hargamaterial"/>
      <sheetName val="Analisa"/>
      <sheetName val="Rab"/>
      <sheetName val="Rekap"/>
      <sheetName val="Har-mat"/>
      <sheetName val="An.Ars"/>
      <sheetName val="Upah"/>
      <sheetName val="harsat"/>
      <sheetName val="Paint Type B"/>
      <sheetName val="Weight Bridge"/>
      <sheetName val="mat&amp;upah"/>
      <sheetName val="DAFTAR HARGA"/>
      <sheetName val="DAFTAR_8"/>
      <sheetName val="Analisa &amp; Upah"/>
      <sheetName val="an. struktur"/>
      <sheetName val="Dashboard"/>
      <sheetName val="DAF-BAHAN"/>
      <sheetName val="DAF-UPAH"/>
      <sheetName val="anal"/>
      <sheetName val="Harga-Pekerjaan"/>
      <sheetName val="Rekap Direct Cost"/>
      <sheetName val="ch"/>
      <sheetName val="Satuan Dasar"/>
      <sheetName val="ANA"/>
      <sheetName val="PAD-F"/>
      <sheetName val="price"/>
      <sheetName val="Hrg.Sat"/>
      <sheetName val="BAHAN"/>
      <sheetName val="HARGA MATERIAL"/>
      <sheetName val="ARSITEKTUR"/>
      <sheetName val="Material"/>
      <sheetName val="BQ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7"/>
      <sheetName val="COVER (4)"/>
      <sheetName val="Daf-6"/>
      <sheetName val="COVER (3)"/>
      <sheetName val="D5"/>
      <sheetName val="D4"/>
      <sheetName val="D3"/>
      <sheetName val="D2"/>
      <sheetName val="Cover(2)"/>
      <sheetName val="DAF-1"/>
      <sheetName val="Cover(1)"/>
      <sheetName val="ANALISA "/>
      <sheetName val="HSATUAN"/>
      <sheetName val="KURVAS"/>
      <sheetName val="SUM"/>
      <sheetName val="harsat"/>
      <sheetName val="satuan_pek_str"/>
      <sheetName val="HDasar"/>
      <sheetName val="ANALISA"/>
      <sheetName val="Cover"/>
      <sheetName val="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WT. LAKI ME"/>
      <sheetName val="RWT. Inap VIP ME"/>
      <sheetName val="RUMAH JAGA ME"/>
      <sheetName val="POS JAGA ME"/>
      <sheetName val="RUMAH DINAS  90 ME"/>
      <sheetName val="GARASI ME  "/>
      <sheetName val="ASRAMA ME "/>
      <sheetName val="HB"/>
      <sheetName val="ANALISA"/>
      <sheetName val="REKAP Usulan 2004  oe1"/>
      <sheetName val="REKAP Usulan 2004  EE"/>
      <sheetName val="REKAP Usulan 2004 "/>
      <sheetName val="REKAP PAKET I"/>
      <sheetName val="RWT. Inap LAKI"/>
      <sheetName val="RWT. Inap VIP"/>
      <sheetName val="R JAGA"/>
      <sheetName val="REKAP PAKET II"/>
      <sheetName val="PAGAR &amp; P.NAMA"/>
      <sheetName val="RUMAH DINAS 90"/>
      <sheetName val="GARASI"/>
      <sheetName val="DEPO SAMPAH"/>
      <sheetName val="POS JAGA"/>
      <sheetName val="REKAP PAKET III"/>
      <sheetName val="ASRAMA"/>
      <sheetName val="SELASAR"/>
      <sheetName val="TANDON"/>
      <sheetName val="ME TOTAL"/>
      <sheetName val="REKAP PAKET IV"/>
      <sheetName val="INFRASTRUKTUR"/>
      <sheetName val="REKAP PAKET V"/>
      <sheetName val="R. IPAL "/>
      <sheetName val="R. IPAL  (2)"/>
      <sheetName val="41,9&amp;36,3"/>
      <sheetName val="Notes"/>
      <sheetName val="BAHAN"/>
      <sheetName val="RAB ME"/>
      <sheetName val="DIVI6"/>
      <sheetName val="Cover"/>
      <sheetName val="41_9_36_3"/>
      <sheetName val="AC"/>
      <sheetName val="Summary"/>
      <sheetName val="Rekap Anl"/>
      <sheetName val="Upah+bahan"/>
      <sheetName val="Bhn.Ars"/>
      <sheetName val="Harga"/>
      <sheetName val="A-Str"/>
      <sheetName val="Umum"/>
      <sheetName val="ESCON"/>
      <sheetName val="Material"/>
      <sheetName val="Upah"/>
      <sheetName val="lap-bulan"/>
      <sheetName val="STR(CANCEL)"/>
      <sheetName val="Electrical"/>
      <sheetName val="Plmbg "/>
      <sheetName val="ANL SNI"/>
      <sheetName val="Daf. No. - 4.2"/>
      <sheetName val="RE-BAR"/>
      <sheetName val="Faktur "/>
      <sheetName val="XLR_NoRangeSheet"/>
      <sheetName val="Preliminaries AIC"/>
      <sheetName val="1ST FLOOR"/>
      <sheetName val="2ND FLOOR"/>
      <sheetName val="3RD FLOOR"/>
      <sheetName val="4TH FLOOR"/>
      <sheetName val="RWT__LAKI_ME"/>
      <sheetName val="RWT__Inap_VIP_ME"/>
      <sheetName val="RUMAH_JAGA_ME"/>
      <sheetName val="POS_JAGA_ME"/>
      <sheetName val="RUMAH_DINAS__90_ME"/>
      <sheetName val="GARASI_ME__"/>
      <sheetName val="ASRAMA_ME_"/>
      <sheetName val="REKAP_Usulan_2004__oe1"/>
      <sheetName val="REKAP_Usulan_2004__EE"/>
      <sheetName val="REKAP_Usulan_2004_"/>
      <sheetName val="REKAP_PAKET_I"/>
      <sheetName val="RWT__Inap_LAKI"/>
      <sheetName val="RWT__Inap_VIP"/>
      <sheetName val="R_JAGA"/>
      <sheetName val="REKAP_PAKET_II"/>
      <sheetName val="PAGAR_&amp;_P_NAMA"/>
      <sheetName val="RUMAH_DINAS_90"/>
      <sheetName val="DEPO_SAMPAH"/>
      <sheetName val="POS_JAGA"/>
      <sheetName val="REKAP_PAKET_III"/>
      <sheetName val="ME_TOTAL"/>
      <sheetName val="REKAP_PAKET_IV"/>
      <sheetName val="REKAP_PAKET_V"/>
      <sheetName val="R__IPAL_"/>
      <sheetName val="R__IPAL__(2)"/>
      <sheetName val="COV"/>
      <sheetName val="UNIT PRICE"/>
      <sheetName val="ANALISA GRS TENGAH"/>
      <sheetName val="SUM"/>
      <sheetName val="Harga Bahan &amp; Upah"/>
      <sheetName val="daftar harga dan upah"/>
      <sheetName val="ANALISA HARGA SATUAN"/>
      <sheetName val="BQ"/>
      <sheetName val="sort"/>
      <sheetName val="HARGA MATERIAL"/>
      <sheetName val="AHSP'05"/>
      <sheetName val="DIV.2"/>
      <sheetName val="FORMA2A2"/>
      <sheetName val="FORMB2"/>
      <sheetName val="harsat"/>
      <sheetName val="H.Satuan"/>
      <sheetName val="Analis Kusen 1 ESKALASI"/>
      <sheetName val="bahan "/>
      <sheetName val="Harga Dasar"/>
      <sheetName val="RAB Temiling "/>
      <sheetName val="Daftar Harga Satuan"/>
      <sheetName val="HB "/>
      <sheetName val="Uph+bahan"/>
      <sheetName val="analisa nya"/>
      <sheetName val="HARGA SATUAN"/>
      <sheetName val="LINK-MAST. BASIC PRICE"/>
      <sheetName val="#REF!"/>
      <sheetName val="Rekapitulasi"/>
      <sheetName val="rekap (2)"/>
      <sheetName val="Harian"/>
      <sheetName val="total"/>
      <sheetName val="surat"/>
      <sheetName val="HRG ALT PU"/>
      <sheetName val="Koef"/>
      <sheetName val="Analisa rata"/>
      <sheetName val="DATA1"/>
      <sheetName val="B_6"/>
      <sheetName val="Metod TWR"/>
      <sheetName val="Elektrikal"/>
      <sheetName val="REKAP"/>
      <sheetName val="A.HARSAT ARS"/>
      <sheetName val="HARSAT-U-4"/>
      <sheetName val="KURVA_100%"/>
      <sheetName val="HARGA SAT"/>
      <sheetName val="BHN"/>
      <sheetName val="labor1"/>
      <sheetName val="RWT__LAKI_ME1"/>
      <sheetName val="RWT__Inap_VIP_ME1"/>
      <sheetName val="RUMAH_JAGA_ME1"/>
      <sheetName val="POS_JAGA_ME1"/>
      <sheetName val="RUMAH_DINAS__90_ME1"/>
      <sheetName val="GARASI_ME__1"/>
      <sheetName val="ASRAMA_ME_1"/>
      <sheetName val="REKAP_Usulan_2004__oe11"/>
      <sheetName val="REKAP_Usulan_2004__EE1"/>
      <sheetName val="REKAP_Usulan_2004_1"/>
      <sheetName val="REKAP_PAKET_I1"/>
      <sheetName val="RWT__Inap_LAKI1"/>
      <sheetName val="RWT__Inap_VIP1"/>
      <sheetName val="R_JAGA1"/>
      <sheetName val="REKAP_PAKET_II1"/>
      <sheetName val="PAGAR_&amp;_P_NAMA1"/>
      <sheetName val="RUMAH_DINAS_901"/>
      <sheetName val="DEPO_SAMPAH1"/>
      <sheetName val="POS_JAGA1"/>
      <sheetName val="REKAP_PAKET_III1"/>
      <sheetName val="ME_TOTAL1"/>
      <sheetName val="REKAP_PAKET_IV1"/>
      <sheetName val="REKAP_PAKET_V1"/>
      <sheetName val="R__IPAL_1"/>
      <sheetName val="R__IPAL__(2)1"/>
      <sheetName val="uphbhn"/>
      <sheetName val="RAB.SEKRETARIAT (1)"/>
    </sheetNames>
    <sheetDataSet>
      <sheetData sheetId="0">
        <row r="78">
          <cell r="E78">
            <v>39000</v>
          </cell>
        </row>
      </sheetData>
      <sheetData sheetId="1">
        <row r="78">
          <cell r="E78">
            <v>39000</v>
          </cell>
        </row>
      </sheetData>
      <sheetData sheetId="2">
        <row r="78">
          <cell r="E78">
            <v>39000</v>
          </cell>
        </row>
      </sheetData>
      <sheetData sheetId="3">
        <row r="78">
          <cell r="E78">
            <v>39000</v>
          </cell>
        </row>
      </sheetData>
      <sheetData sheetId="4">
        <row r="78">
          <cell r="E78">
            <v>39000</v>
          </cell>
        </row>
      </sheetData>
      <sheetData sheetId="5">
        <row r="78">
          <cell r="E78">
            <v>39000</v>
          </cell>
        </row>
      </sheetData>
      <sheetData sheetId="6">
        <row r="78">
          <cell r="E78">
            <v>39000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MENT SUM"/>
      <sheetName val="Price Data"/>
      <sheetName val="GWK"/>
      <sheetName val="Cover"/>
      <sheetName val="FRONT END"/>
      <sheetName val="SUMMARY"/>
      <sheetName val="SUMMARY (2)"/>
      <sheetName val="ELEMENT SUM (2)"/>
      <sheetName val="Services"/>
      <sheetName val="PRELIMINARIES"/>
      <sheetName val="UTILITIES"/>
      <sheetName val="CONTINGENCIES"/>
      <sheetName val="Hargamaterial"/>
      <sheetName val="harsat"/>
      <sheetName val="Paint Type B"/>
      <sheetName val="Rekap"/>
      <sheetName val="D3_1"/>
      <sheetName val="Material"/>
      <sheetName val="FORM X COST"/>
      <sheetName val="DAF-1"/>
      <sheetName val="Analisa Harga Satuan"/>
      <sheetName val="Harsat_Mk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Rekap Direct Cost"/>
      <sheetName val="Analisa -Baku"/>
      <sheetName val="H-Bahan"/>
      <sheetName val="Anal"/>
      <sheetName val="Rekap Tahap 1"/>
      <sheetName val="EK-JAN-07"/>
      <sheetName val="STR"/>
      <sheetName val="Sheet2"/>
      <sheetName val="ANALISA NOV '07"/>
      <sheetName val="SUM"/>
      <sheetName val="Material"/>
      <sheetName val="A-BANTU"/>
      <sheetName val="SELL-SUMM-COST"/>
      <sheetName val="Mall"/>
      <sheetName val="H.Satuan"/>
      <sheetName val="BL (1)"/>
      <sheetName val="DAFT_ALAT,UPAH &amp; MAT"/>
      <sheetName val="Pipe"/>
      <sheetName val="A"/>
      <sheetName val="HB"/>
      <sheetName val="120601Sport Center"/>
      <sheetName val="00_Jumlah Total"/>
      <sheetName val="DATA"/>
      <sheetName val="DAF_1"/>
      <sheetName val="Panel,feeder,elek"/>
      <sheetName val="REKAP TOTAL"/>
      <sheetName val="Steel Material List"/>
      <sheetName val="MUA SA"/>
      <sheetName val="Hrg.Sat"/>
      <sheetName val="Ana"/>
      <sheetName val="harsat"/>
      <sheetName val="TOTAL"/>
      <sheetName val="326BQSTC"/>
      <sheetName val="Meto"/>
      <sheetName val="Upah_Bahan"/>
      <sheetName val="HB "/>
      <sheetName val="bahan"/>
      <sheetName val="Scedule(S-Curve)"/>
      <sheetName val="D4"/>
      <sheetName val="D6"/>
      <sheetName val="D7"/>
      <sheetName val="D8"/>
      <sheetName val="Analisa Tend (2)"/>
      <sheetName val="HARGA BAHAN&amp;UPAH "/>
      <sheetName val="ARC BANGUNAN UTAMA"/>
      <sheetName val="REKAP ME "/>
      <sheetName val="TIE-INS"/>
      <sheetName val="H_Satuan"/>
      <sheetName val="BISMILLAH"/>
      <sheetName val="B - Norelec"/>
      <sheetName val="BQNSC"/>
      <sheetName val="ESCON"/>
      <sheetName val="Input"/>
      <sheetName val="Electrikal"/>
      <sheetName val="ganti rugi"/>
      <sheetName val="Elektrikal"/>
      <sheetName val="UPAH + ALAT"/>
      <sheetName val="rek_PUS oe"/>
      <sheetName val="SCHEDULE"/>
      <sheetName val="Sumber Daya"/>
      <sheetName val="Prod.02"/>
      <sheetName val="Analis_Tanah"/>
      <sheetName val="Analis_Drainase"/>
      <sheetName val="AC"/>
      <sheetName val="BAHAN_STR"/>
      <sheetName val="CF-satu"/>
      <sheetName val="Upah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Gb Link Requirement"/>
      <sheetName val="BILL"/>
      <sheetName val="S- Curve Cash flow"/>
      <sheetName val="Rekap A"/>
      <sheetName val="Harga Satuan"/>
      <sheetName val="Cover"/>
      <sheetName val="Balok"/>
      <sheetName val="PC"/>
      <sheetName val="HARGA"/>
      <sheetName val="Analisa RAP"/>
      <sheetName val="Alat"/>
      <sheetName val="Alat B"/>
      <sheetName val="Bahan B"/>
      <sheetName val="RAP"/>
      <sheetName val="Sub"/>
      <sheetName val="Telusur"/>
      <sheetName val="Upah B"/>
      <sheetName val="Analisa RAB"/>
      <sheetName val="factor"/>
      <sheetName val="Sheet1"/>
      <sheetName val="Plumbing"/>
      <sheetName val="D2.2"/>
      <sheetName val="TOEVOER"/>
      <sheetName val="IN"/>
      <sheetName val="BM 1 (M)"/>
      <sheetName val="DAF-1"/>
      <sheetName val="A-11 Steel Str"/>
      <sheetName val="A-03 Pile"/>
      <sheetName val="H-Dasar"/>
      <sheetName val="ANALISA (2)"/>
      <sheetName val="SUR-HARGA"/>
      <sheetName val="AHS Marka"/>
      <sheetName val="RAB1"/>
      <sheetName val="name"/>
      <sheetName val="Price"/>
      <sheetName val="#REF"/>
      <sheetName val="TU"/>
      <sheetName val="BQ_Methanol"/>
      <sheetName val="PipWT"/>
      <sheetName val="HRG BHN"/>
      <sheetName val="Bahan &amp; Upah"/>
      <sheetName val="Hrg_Sat"/>
      <sheetName val="CH"/>
      <sheetName val="Faktor Markup"/>
      <sheetName val="Spesifikasi "/>
      <sheetName val="TANJUNG-CONV"/>
      <sheetName val="Daftar Harga"/>
      <sheetName val="ANALISA PEK.UMUM"/>
      <sheetName val="EK-JAN-08"/>
      <sheetName val="Mat. List'08"/>
      <sheetName val="hrg.bhn"/>
      <sheetName val="Scdl"/>
      <sheetName val="FMU"/>
      <sheetName val="Uph&amp;bhn"/>
      <sheetName val="An.harga alat"/>
      <sheetName val="AMD II"/>
      <sheetName val="AMD I"/>
      <sheetName val="dist. mat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Costos"/>
      <sheetName val="REKAP_ARSITEKTUR.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tifico"/>
      <sheetName val="Perm. Test"/>
      <sheetName val="BREAKER"/>
      <sheetName val="villa"/>
      <sheetName val="HARGA SAT"/>
      <sheetName val="Direct Cost Thp 2"/>
      <sheetName val="Ana duct"/>
      <sheetName val="Koefisien"/>
      <sheetName val="Rekap Prelim"/>
      <sheetName val=" PE-F-42 MR 9 Manpower"/>
      <sheetName val="REKAP STRUKTUR"/>
      <sheetName val="Harsat Upah STR ARS"/>
      <sheetName val="atap"/>
      <sheetName val="PAD-F"/>
      <sheetName val="Prog Real"/>
      <sheetName val="PRY.02"/>
      <sheetName val="Data 1"/>
      <sheetName val="BAPP"/>
      <sheetName val="SPK"/>
      <sheetName val="STR(CANCEL)"/>
      <sheetName val="ana_str"/>
      <sheetName val="③赤紙(日文)"/>
      <sheetName val="RAPK"/>
      <sheetName val="BQ1"/>
      <sheetName val="Sheet"/>
      <sheetName val="Const"/>
      <sheetName val="PAD_F"/>
      <sheetName val="概総括1"/>
      <sheetName val="LAP. MINGG"/>
      <sheetName val="Gudang non AC-AC Struktur"/>
      <sheetName val="Upah+Bahan"/>
      <sheetName val="M.AR-KUAT"/>
      <sheetName val="Bill No 6 Koord _ Attendance"/>
      <sheetName val="41,9&amp;36,3"/>
      <sheetName val="Valve"/>
      <sheetName val="AHS"/>
      <sheetName val="Tie Beam GN"/>
      <sheetName val="PileCap"/>
      <sheetName val="OHD"/>
      <sheetName val="SITE-E"/>
      <sheetName val="liste"/>
      <sheetName val="Man Power"/>
      <sheetName val="CF Rp-USD"/>
      <sheetName val="EST"/>
      <sheetName val="BL _1_"/>
      <sheetName val="ELECTRICAL"/>
      <sheetName val="Mech CIF"/>
      <sheetName val="Notes"/>
      <sheetName val="Analisa Bahan"/>
      <sheetName val="S_Suramadu"/>
      <sheetName val="Harga Dasar"/>
      <sheetName val="PROD15_5"/>
      <sheetName val="sumber"/>
      <sheetName val="SEX"/>
      <sheetName val="351BQMCN"/>
      <sheetName val="Vol Admin&amp;Canteen"/>
      <sheetName val="Bill No 4 Summary "/>
      <sheetName val="Master 1.0"/>
      <sheetName val="D3"/>
      <sheetName val="3"/>
      <sheetName val="PERSIAPAN"/>
      <sheetName val="WET_2"/>
      <sheetName val="PLAFOND"/>
      <sheetName val="SANITAIR"/>
      <sheetName val="Hargamat"/>
      <sheetName val="HPP"/>
      <sheetName val="Duc_3"/>
      <sheetName val="Duc-3"/>
      <sheetName val="ตาราง G"/>
      <sheetName val="RAB AR&amp;STR"/>
      <sheetName val="Bill-5.2"/>
      <sheetName val="Bill-9.1"/>
      <sheetName val="Bill-6.1.1-6.1.3"/>
      <sheetName val="Duct"/>
      <sheetName val="Chiller"/>
      <sheetName val="ELECTRIC DATA"/>
      <sheetName val="CUACA"/>
      <sheetName val="Anls_BKL"/>
      <sheetName val="Piping"/>
      <sheetName val="Estimate"/>
      <sheetName val="BoQ"/>
      <sheetName val="Fill this out first..."/>
      <sheetName val="Isian Biodata"/>
      <sheetName val="Analisa Tekhnis"/>
      <sheetName val="HRGA SATUAN UPAH-BAHAN"/>
      <sheetName val="DATA1"/>
      <sheetName val="dt"/>
      <sheetName val="MAP"/>
      <sheetName val="MAPDC "/>
      <sheetName val="DB"/>
      <sheetName val="Merak_Sum-FIX"/>
      <sheetName val="H.Upah"/>
      <sheetName val="WP"/>
      <sheetName val="Mobilisasi"/>
      <sheetName val="LAMPIRAN -B"/>
      <sheetName val="kik"/>
      <sheetName val="divII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BHN-ALAT"/>
      <sheetName val="01.FA"/>
      <sheetName val="summary"/>
      <sheetName val="OH-10BLN"/>
      <sheetName val="Daf. No. - 4.2"/>
      <sheetName val="Master Edit"/>
      <sheetName val="bq"/>
      <sheetName val="PRD 01-4"/>
      <sheetName val="PRD 01-3"/>
      <sheetName val="61004"/>
      <sheetName val="Analis harga"/>
      <sheetName val="List Plant"/>
      <sheetName val="L_O&amp;O(Ina)"/>
      <sheetName val="DATUM"/>
      <sheetName val="NM"/>
      <sheetName val="REKAP BQ"/>
      <sheetName val="Bill-1"/>
      <sheetName val="Hargasatuan"/>
      <sheetName val="Hargamaterial"/>
      <sheetName val="PVC"/>
      <sheetName val="upah bahan"/>
      <sheetName val="analisa_gedung"/>
      <sheetName val="gaji"/>
      <sheetName val="extern"/>
      <sheetName val="bau"/>
      <sheetName val="MAPP"/>
      <sheetName val="rek det 1-3"/>
      <sheetName val="XLR_NoRangeSheet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A11">
            <v>3</v>
          </cell>
        </row>
        <row r="27">
          <cell r="E27" t="str">
            <v>K 150</v>
          </cell>
        </row>
        <row r="28">
          <cell r="E28" t="str">
            <v>K 175</v>
          </cell>
        </row>
        <row r="29">
          <cell r="E29" t="str">
            <v>K 200</v>
          </cell>
        </row>
        <row r="30">
          <cell r="E30" t="str">
            <v>K 225</v>
          </cell>
        </row>
        <row r="31">
          <cell r="E31" t="str">
            <v>K 250</v>
          </cell>
        </row>
        <row r="32">
          <cell r="E32" t="str">
            <v>K 275</v>
          </cell>
        </row>
        <row r="33">
          <cell r="E33" t="str">
            <v>K 400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11">
          <cell r="A11">
            <v>3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11">
          <cell r="A11">
            <v>3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11">
          <cell r="A11">
            <v>3</v>
          </cell>
        </row>
      </sheetData>
      <sheetData sheetId="113">
        <row r="11">
          <cell r="A11">
            <v>3</v>
          </cell>
        </row>
      </sheetData>
      <sheetData sheetId="114">
        <row r="11">
          <cell r="A11">
            <v>3</v>
          </cell>
        </row>
      </sheetData>
      <sheetData sheetId="115" refreshError="1"/>
      <sheetData sheetId="116" refreshError="1"/>
      <sheetData sheetId="117"/>
      <sheetData sheetId="118" refreshError="1"/>
      <sheetData sheetId="119" refreshError="1"/>
      <sheetData sheetId="120">
        <row r="11">
          <cell r="A11">
            <v>3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>
        <row r="11">
          <cell r="A11">
            <v>3</v>
          </cell>
        </row>
      </sheetData>
      <sheetData sheetId="131">
        <row r="11">
          <cell r="A11">
            <v>3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11">
          <cell r="A11">
            <v>3</v>
          </cell>
        </row>
      </sheetData>
      <sheetData sheetId="139">
        <row r="11">
          <cell r="A11">
            <v>3</v>
          </cell>
        </row>
      </sheetData>
      <sheetData sheetId="140"/>
      <sheetData sheetId="141">
        <row r="11">
          <cell r="A11">
            <v>3</v>
          </cell>
        </row>
      </sheetData>
      <sheetData sheetId="142"/>
      <sheetData sheetId="143"/>
      <sheetData sheetId="144"/>
      <sheetData sheetId="145">
        <row r="11">
          <cell r="A11">
            <v>3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11">
          <cell r="A11">
            <v>3</v>
          </cell>
        </row>
      </sheetData>
      <sheetData sheetId="152">
        <row r="11">
          <cell r="A11">
            <v>3</v>
          </cell>
        </row>
      </sheetData>
      <sheetData sheetId="153">
        <row r="11">
          <cell r="A11">
            <v>3</v>
          </cell>
        </row>
      </sheetData>
      <sheetData sheetId="154" refreshError="1"/>
      <sheetData sheetId="155"/>
      <sheetData sheetId="156"/>
      <sheetData sheetId="157">
        <row r="11">
          <cell r="A11">
            <v>3</v>
          </cell>
        </row>
      </sheetData>
      <sheetData sheetId="158"/>
      <sheetData sheetId="159"/>
      <sheetData sheetId="160"/>
      <sheetData sheetId="161"/>
      <sheetData sheetId="162">
        <row r="11">
          <cell r="A11">
            <v>3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11">
          <cell r="A11">
            <v>3</v>
          </cell>
        </row>
      </sheetData>
      <sheetData sheetId="173">
        <row r="11">
          <cell r="A11">
            <v>3</v>
          </cell>
        </row>
      </sheetData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>
        <row r="11">
          <cell r="A11">
            <v>3</v>
          </cell>
        </row>
      </sheetData>
      <sheetData sheetId="193">
        <row r="11">
          <cell r="A11">
            <v>3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11">
          <cell r="A11">
            <v>3</v>
          </cell>
        </row>
      </sheetData>
      <sheetData sheetId="205">
        <row r="11">
          <cell r="A11">
            <v>3</v>
          </cell>
        </row>
      </sheetData>
      <sheetData sheetId="206">
        <row r="11">
          <cell r="A11">
            <v>3</v>
          </cell>
        </row>
      </sheetData>
      <sheetData sheetId="207">
        <row r="11">
          <cell r="A11">
            <v>3</v>
          </cell>
        </row>
      </sheetData>
      <sheetData sheetId="208"/>
      <sheetData sheetId="209"/>
      <sheetData sheetId="210" refreshError="1"/>
      <sheetData sheetId="211" refreshError="1"/>
      <sheetData sheetId="212">
        <row r="11">
          <cell r="A11">
            <v>3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Acessoris"/>
      <sheetName val="Apartement"/>
      <sheetName val="Jembatan"/>
      <sheetName val="MallAC"/>
      <sheetName val="Ana Duct"/>
      <sheetName val="Hsd Duct"/>
      <sheetName val="Pipe"/>
      <sheetName val="Grille"/>
      <sheetName val="valve"/>
      <sheetName val="Dafmat"/>
      <sheetName val="DM"/>
      <sheetName val="Peghitungan"/>
      <sheetName val="MALL_K"/>
      <sheetName val="Item Tambahan"/>
      <sheetName val="APARTment_K"/>
      <sheetName val="Jembatan_K"/>
      <sheetName val="Analisa Upah _ Bahan Plum"/>
      <sheetName val="Analisa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BQ ARS"/>
      <sheetName val="AHSbj"/>
      <sheetName val="rekap_A"/>
      <sheetName val="rekap_b"/>
      <sheetName val="grand_sum"/>
      <sheetName val="HARGA_MATERIAL"/>
      <sheetName val="H.Satuan"/>
      <sheetName val="data"/>
      <sheetName val="REKAP_VOLUME"/>
      <sheetName val="Rab"/>
      <sheetName val="A-11 Steel Str"/>
      <sheetName val="A-03 Pile"/>
      <sheetName val="HarSat"/>
      <sheetName val="bahan"/>
      <sheetName val="SNI-17-3-09"/>
      <sheetName val="RKP.ANL"/>
      <sheetName val="PAD-F"/>
      <sheetName val="REKAP_ARSITEKTUR."/>
      <sheetName val="AC-C"/>
      <sheetName val="Sheet"/>
      <sheetName val="UPAH"/>
      <sheetName val="DAF-1"/>
      <sheetName val="analisa"/>
      <sheetName val="Spec ME"/>
      <sheetName val="BQ (by owner)"/>
      <sheetName val="rab me (fisik)"/>
      <sheetName val="rab me (by owner) "/>
      <sheetName val="Rekap"/>
      <sheetName val="PERSIAP"/>
      <sheetName val="Estimate"/>
      <sheetName val="str-Rab"/>
      <sheetName val="Harga Satuan"/>
      <sheetName val="Material"/>
      <sheetName val="ELEMENT SUM"/>
      <sheetName val="Analisa Upah &amp; Bahan Plum"/>
      <sheetName val="SEX"/>
      <sheetName val="LOADDAT"/>
      <sheetName val="pintu jendela"/>
      <sheetName val="AC"/>
      <sheetName val="Paint Type B"/>
      <sheetName val="AnBayarUtama"/>
      <sheetName val="9.2~PK"/>
      <sheetName val="D4"/>
      <sheetName val="D6"/>
      <sheetName val="D7"/>
      <sheetName val="D8"/>
      <sheetName val="Analisa Tend"/>
      <sheetName val="Hargamaterial"/>
      <sheetName val="Rekap Direct Cost"/>
      <sheetName val="har-sat"/>
      <sheetName val="01A- RAB"/>
      <sheetName val="villa"/>
      <sheetName val="PileCap"/>
      <sheetName val="Pekerjaan "/>
      <sheetName val="Traf&amp;Genst"/>
      <sheetName val="Area Tabulation1"/>
      <sheetName val="Proj Data"/>
      <sheetName val="Embong-Malang"/>
      <sheetName val="Balok L.1"/>
      <sheetName val="PERSIAPAN"/>
      <sheetName val="UTILITAS"/>
      <sheetName val="351BQMCN"/>
      <sheetName val="Daf. No. - 4.2"/>
      <sheetName val="BQ-Str"/>
      <sheetName val="NP"/>
      <sheetName val="Balok L_1"/>
      <sheetName val="BQ-1A"/>
      <sheetName val="G_SUMMARY"/>
      <sheetName val="ARSITEKTUR"/>
      <sheetName val="Analisa 2"/>
      <sheetName val="Sal"/>
      <sheetName val="Currency Rate"/>
      <sheetName val="I-KAMAR"/>
      <sheetName val="ESCON"/>
      <sheetName val="Master 1.0"/>
      <sheetName val="16-AC-27JULI"/>
      <sheetName val="16_AC_27JULI"/>
      <sheetName val="HB "/>
      <sheetName val="SUM TIANG PC"/>
      <sheetName val="326BQSTC"/>
      <sheetName val="mek"/>
      <sheetName val="HS Bhn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TOTAL Summary"/>
      <sheetName val="bill 5"/>
      <sheetName val="BOQ"/>
      <sheetName val="Analisa -Baku"/>
      <sheetName val="Rekap Prelim"/>
      <sheetName val="POL"/>
      <sheetName val="An Struktur"/>
      <sheetName val="Unit Rate _2_"/>
      <sheetName val="Hargamat"/>
      <sheetName val="Ana"/>
      <sheetName val="D-1"/>
      <sheetName val="sai"/>
      <sheetName val="hsd"/>
      <sheetName val="LATIH1"/>
      <sheetName val="Weight Bridge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D2.2"/>
      <sheetName val="EL(HT)"/>
      <sheetName val="PL(HT)"/>
      <sheetName val="ahas-ins"/>
      <sheetName val="4-Basic Price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LIST"/>
      <sheetName val="An str"/>
      <sheetName val="Harga"/>
      <sheetName val="Alat"/>
      <sheetName val="Harsat_El"/>
      <sheetName val="main summary"/>
      <sheetName val="Bill_1"/>
      <sheetName val="A_ars"/>
      <sheetName val="Daftar Harga 1"/>
      <sheetName val="BQ-TB-PKB"/>
      <sheetName val="Reff"/>
      <sheetName val="Direct Cost Thp 2"/>
      <sheetName val="4"/>
      <sheetName val="DAF-2"/>
      <sheetName val="SELL-SUMM-COST"/>
      <sheetName val="GRAND TOTAL"/>
      <sheetName val="OUT"/>
      <sheetName val="Satuan Dasar"/>
      <sheetName val="PileCap "/>
      <sheetName val="Blk B1"/>
      <sheetName val="Por"/>
      <sheetName val="COST-PERSON-J.O."/>
      <sheetName val="RENTAL1"/>
      <sheetName val="CH"/>
      <sheetName val="Koefisien"/>
      <sheetName val="Tie Beam"/>
      <sheetName val="Blk Lt1-Lt. 3"/>
      <sheetName val="ANAL KOEF"/>
      <sheetName val="BREAKER"/>
      <sheetName val="BILL"/>
      <sheetName val="dt"/>
      <sheetName val="Sumber Daya"/>
      <sheetName val="Daf-harga"/>
      <sheetName val="AN_TDR"/>
      <sheetName val="An-Pre "/>
      <sheetName val="Faktor"/>
      <sheetName val="harga "/>
      <sheetName val="UPAH + ALAT"/>
      <sheetName val="Anls"/>
      <sheetName val="BM"/>
      <sheetName val="AHS"/>
      <sheetName val="Kolom UT"/>
      <sheetName val="struktur"/>
      <sheetName val="ASPAL (14)"/>
      <sheetName val="Anal-SNI"/>
      <sheetName val="DAFTAR HARGA"/>
      <sheetName val="an. struktur"/>
      <sheetName val="Pipe"/>
      <sheetName val="BASEMENT"/>
      <sheetName val="Analisa Upah _ Bahan Plum"/>
      <sheetName val="TOTAL"/>
      <sheetName val="Price"/>
      <sheetName val="Clm"/>
      <sheetName val="Pile"/>
      <sheetName val="Ring Balok"/>
      <sheetName val="Piping"/>
      <sheetName val="PLUMBING"/>
      <sheetName val="FINISHING"/>
      <sheetName val="analysis2"/>
      <sheetName val="basic price"/>
      <sheetName val="BQ STR"/>
      <sheetName val="CV"/>
      <sheetName val="MUTASI"/>
      <sheetName val="Rekap DBAK"/>
      <sheetName val="ME UMY"/>
      <sheetName val="HB"/>
      <sheetName val="Faktor Markup"/>
      <sheetName val="Data Markup"/>
      <sheetName val="M.Pekerjaan"/>
      <sheetName val="Sheet2"/>
      <sheetName val="Analisa-Ars"/>
      <sheetName val="struktur tdk dipakai"/>
      <sheetName val="A-12"/>
      <sheetName val="M.AR-KUAT"/>
      <sheetName val="Merak_Sum-FIX"/>
      <sheetName val="Combine_Sum-FIX"/>
      <sheetName val="TB"/>
      <sheetName val="Slab"/>
      <sheetName val="       BoQ        "/>
      <sheetName val="STR(CANCEL)"/>
      <sheetName val="SAP"/>
      <sheetName val="AN-ME"/>
      <sheetName val="Dftr Barang"/>
      <sheetName val="BQ"/>
      <sheetName val="B - Norelec"/>
      <sheetName val="PJ"/>
      <sheetName val="RAP"/>
      <sheetName val="IPL_SCHEDULE"/>
      <sheetName val="Agregat Halus &amp; Kasar"/>
      <sheetName val="UPAH&amp;BHN"/>
      <sheetName val="ISIAN"/>
      <sheetName val="Analisa STR"/>
      <sheetName val="SUR-HARGA"/>
      <sheetName val="Management"/>
      <sheetName val="Material Master"/>
      <sheetName val="HDS"/>
      <sheetName val="Cover"/>
      <sheetName val="PAD_F"/>
      <sheetName val="Quantity"/>
      <sheetName val="analis"/>
      <sheetName val="Anal"/>
      <sheetName val="RAB-NEGO"/>
      <sheetName val="RAB AR&amp;STR"/>
      <sheetName val="I-ME"/>
      <sheetName val="Analisa &amp; Upah"/>
      <sheetName val="Perm. Test"/>
      <sheetName val="2.10"/>
      <sheetName val="T-BEAM"/>
      <sheetName val="an mek"/>
      <sheetName val="daf_3_OK_"/>
      <sheetName val="daf-3(OK)"/>
      <sheetName val="daf-7(OK)"/>
      <sheetName val="daf_7_OK_"/>
      <sheetName val="gvl"/>
      <sheetName val="bahan+Upah"/>
      <sheetName val="12. Analisa"/>
      <sheetName val="analisa_gedung"/>
      <sheetName val="Bahan Upah Alat"/>
      <sheetName val="HB ARSITEKTUR"/>
      <sheetName val="HB STRUKTUR"/>
      <sheetName val="Price Biaya Cadangan"/>
      <sheetName val="BQ.Rekapitulasi  Akhir"/>
      <sheetName val="RKP PLUMBING"/>
      <sheetName val="SITE-E"/>
      <sheetName val="Steel-Twr"/>
      <sheetName val="Scedule(S-Curve)"/>
      <sheetName val="DATABASE"/>
      <sheetName val="CF-hot"/>
      <sheetName val="PRINT OUT"/>
      <sheetName val="FORM01"/>
      <sheetName val="Man Power"/>
      <sheetName val="COST"/>
      <sheetName val="DAF_2"/>
      <sheetName val="Project"/>
      <sheetName val="Tubing &amp; fitting"/>
      <sheetName val="laroux"/>
      <sheetName val="analisa PUBM"/>
      <sheetName val="h-013211-2"/>
      <sheetName val="Tie Beam GN"/>
      <sheetName val="tifico"/>
      <sheetName val="Schedule Rev"/>
      <sheetName val="W-17"/>
      <sheetName val="W-16"/>
      <sheetName val="W-18"/>
      <sheetName val="R-17"/>
      <sheetName val="name"/>
      <sheetName val="MAP"/>
      <sheetName val="D3.1"/>
      <sheetName val="영업소실적"/>
      <sheetName val="Analisa BOW 07"/>
      <sheetName val="VOLUME BAJA"/>
      <sheetName val="Bill-3Cut"/>
      <sheetName val="Bahan "/>
      <sheetName val="ANAL-"/>
      <sheetName val="A+-"/>
      <sheetName val="Mobilisasi"/>
      <sheetName val="SPEK"/>
      <sheetName val="UPH"/>
      <sheetName val="ASat"/>
      <sheetName val="Mekanikal"/>
      <sheetName val="ANALISA PEK.UMUM"/>
      <sheetName val="SEMANAN"/>
      <sheetName val="BKPM"/>
      <sheetName val="Hrg.Sat"/>
      <sheetName val="Mall"/>
      <sheetName val="HSBU ANA"/>
      <sheetName val="Bhn"/>
      <sheetName val="D &amp; W sizes"/>
      <sheetName val="Sheet1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An Arsitektur"/>
      <sheetName val="HRG BHN"/>
      <sheetName val="Uph&amp;bhn"/>
      <sheetName val="banding hrg"/>
      <sheetName val="AMD I"/>
      <sheetName val="Upah &amp; Bahan"/>
      <sheetName val="SCHEDULE"/>
      <sheetName val="LISTRIK"/>
      <sheetName val="F ALARM"/>
      <sheetName val="Elektrikal"/>
      <sheetName val="HSBU"/>
      <sheetName val="PRD 01-3"/>
      <sheetName val="Har Sat"/>
      <sheetName val="DAF-4"/>
      <sheetName val="REKAPITULASI"/>
      <sheetName val="ans harga"/>
      <sheetName val="Bill of Qty MEP"/>
      <sheetName val="Daf 1"/>
      <sheetName val="AWAL"/>
      <sheetName val="산근"/>
      <sheetName val="2-Genset print"/>
      <sheetName val="COA"/>
      <sheetName val="+45,200 &amp; +45,700 (Salah)"/>
      <sheetName val="L-Mechanical"/>
      <sheetName val="EK-JAN-07"/>
      <sheetName val="Panel,feeder,elek"/>
      <sheetName val="112-885"/>
      <sheetName val="Metod TWR"/>
      <sheetName val="BAHAN_STR"/>
      <sheetName val="S_Suramadu"/>
      <sheetName val="analys"/>
      <sheetName val="BPPT"/>
      <sheetName val="An.Ars"/>
      <sheetName val="Resume-Analisa"/>
      <sheetName val="satu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lok_1"/>
      <sheetName val="Hospital_Head"/>
      <sheetName val="RAB 1"/>
      <sheetName val="An H.Sat Pek.Ut"/>
      <sheetName val="Indirects"/>
      <sheetName val="Norms"/>
      <sheetName val="EE-PROP"/>
      <sheetName val="Kolom"/>
      <sheetName val="ALL SUM"/>
      <sheetName val="Terbilang"/>
      <sheetName val="IBASE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NPK_Gresik"/>
      <sheetName val="POS 1234"/>
      <sheetName val="Unit Price"/>
      <sheetName val="Sales"/>
      <sheetName val="data_kui"/>
      <sheetName val="RAB_Tot"/>
      <sheetName val="Plafond"/>
      <sheetName val="anls space frame"/>
      <sheetName val="SBDY"/>
      <sheetName val="DAPRO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surfacing &amp; point..."/>
      <sheetName val="stone mas ARE"/>
      <sheetName val="CPP"/>
      <sheetName val="Pengalaman Per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D1. Plint"/>
      <sheetName val="Text"/>
      <sheetName val="Harga Bahan"/>
      <sheetName val="HSA &amp; PAB"/>
      <sheetName val="Harga Upah "/>
      <sheetName val="Galian"/>
      <sheetName val="Cold Miling"/>
      <sheetName val="AC-WC"/>
      <sheetName val="Beton"/>
      <sheetName val="?????"/>
      <sheetName val="Harsat Bahan"/>
      <sheetName val="Harsat Upah"/>
      <sheetName val="pivotscd"/>
      <sheetName val="pivot1"/>
      <sheetName val="B.2(LANJUTAN)"/>
      <sheetName val="ANAL1"/>
      <sheetName val="ANAL2"/>
      <sheetName val="dil"/>
      <sheetName val="dti"/>
      <sheetName val="BQ-IABK"/>
      <sheetName val="DAF-5"/>
      <sheetName val="iTEM hARSAT"/>
      <sheetName val="4.2.1"/>
      <sheetName val="Cash Flow bulanan"/>
      <sheetName val="SUMMARY"/>
      <sheetName val="DHSUB"/>
      <sheetName val="Master Edit"/>
      <sheetName val="Prog korp"/>
      <sheetName val="NM"/>
      <sheetName val="RmSeg"/>
      <sheetName val="Kontrak"/>
      <sheetName val="DTMx"/>
      <sheetName val="J"/>
      <sheetName val="DAFT_ALAT,UPAH &amp; MAT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List Doc"/>
      <sheetName val="AHSP'05"/>
      <sheetName val="Detail BUL"/>
      <sheetName val="Analisa Tambahan"/>
      <sheetName val="6PILE  (돌출)"/>
      <sheetName val="Pintu-TH"/>
      <sheetName val="Kell.Plint-TH"/>
      <sheetName val="Kel. Dind-TH"/>
      <sheetName val="UP"/>
      <sheetName val="BILL 4"/>
      <sheetName val="List Plafound Gypsum"/>
      <sheetName val="List Plafound WR"/>
      <sheetName val="betn"/>
      <sheetName val="Screning Ac"/>
      <sheetName val="Evaluasi ( 1 )"/>
      <sheetName val="61005"/>
      <sheetName val="61006"/>
      <sheetName val="61007"/>
      <sheetName val="61008"/>
      <sheetName val="HSP swk"/>
      <sheetName val="MT"/>
      <sheetName val="mat"/>
      <sheetName val="subcon"/>
      <sheetName val="Input_Data"/>
      <sheetName val="DAF-4-PL-APARTEMENT"/>
      <sheetName val="DF-7 (2)"/>
      <sheetName val="DF-7"/>
      <sheetName val="Hrg_Sat"/>
      <sheetName val="Upah_Bahan"/>
      <sheetName val="Meto"/>
      <sheetName val="Kabel"/>
      <sheetName val="Analisa PL"/>
      <sheetName val="Daf_Anl"/>
      <sheetName val="NP (2)"/>
      <sheetName val="61004"/>
      <sheetName val="DIV1"/>
      <sheetName val="RAB fisik"/>
      <sheetName val="Extention"/>
      <sheetName val="htg"/>
      <sheetName val="Div2"/>
      <sheetName val="Vibro_Roller"/>
      <sheetName val="Unit Cost"/>
      <sheetName val="Price List"/>
      <sheetName val="Isolasi Luar Dalam"/>
      <sheetName val="Isolasi Luar"/>
      <sheetName val="Menu"/>
      <sheetName val="SCAFOLDING"/>
      <sheetName val="Dashboard"/>
      <sheetName val="EPB "/>
      <sheetName val="SUM"/>
      <sheetName val="Sum EL"/>
      <sheetName val="KBL"/>
      <sheetName val="TOEVOER"/>
      <sheetName val="PERALATAN UTAMA AC"/>
      <sheetName val="IN"/>
      <sheetName val="PONDASI"/>
      <sheetName val="A-11 Steel Str (2)"/>
      <sheetName val="GRAND REKAP"/>
      <sheetName val="AHS Marka"/>
      <sheetName val="PENDAHULUAN"/>
      <sheetName val="REKAP.VOLUME"/>
      <sheetName val="UPH BHN"/>
      <sheetName val="Fill this out first___"/>
      <sheetName val="5-ALAT(1)"/>
      <sheetName val="inves alat"/>
      <sheetName val="dashboard VERSI BATUBARA"/>
      <sheetName val="H_Dasar"/>
      <sheetName val="REKAP "/>
      <sheetName val="BASIC"/>
      <sheetName val="pro ra op"/>
      <sheetName val="Gal_Jack Hammer"/>
      <sheetName val="UNIT FAN"/>
      <sheetName val="ANALISA SNI'07rootsREV"/>
      <sheetName val="V-5700"/>
      <sheetName val="SATUAN "/>
      <sheetName val="Data PJ"/>
      <sheetName val="Pintu Jendela per_lantai_"/>
      <sheetName val="DAFTAR 7"/>
      <sheetName val="DAFTAR_8"/>
      <sheetName val="Markup"/>
      <sheetName val="Guidewaybeam"/>
      <sheetName val="Gudang non AC-AC Struktur"/>
      <sheetName val="Superstruc"/>
      <sheetName val="MTa"/>
      <sheetName val="HARGA SATUAN ARS"/>
      <sheetName val="Cost Summary"/>
      <sheetName val="Bill 2.3"/>
      <sheetName val="Bill 2.5B"/>
      <sheetName val="Bill 2.1"/>
      <sheetName val="REKAP_BACKUP MC 4"/>
      <sheetName val="REKAP_BACKUP MC3"/>
      <sheetName val="7.공정표"/>
      <sheetName val="B&amp;U"/>
      <sheetName val="Harga Bahan &amp; Upah "/>
      <sheetName val="bahan_Upah"/>
      <sheetName val="DATA OP"/>
      <sheetName val="RAB-ARS"/>
      <sheetName val="Pek.Luar"/>
      <sheetName val="Grand summary"/>
      <sheetName val="besi"/>
      <sheetName val="INPUT AGST"/>
      <sheetName val="KODE UPAH"/>
      <sheetName val="Eva. Progres"/>
      <sheetName val="LPMING1"/>
      <sheetName val="Sat Upah"/>
      <sheetName val="ANalisa "/>
      <sheetName val="ANLS-PJ"/>
      <sheetName val="UP SNI"/>
      <sheetName val="BQ_effice"/>
      <sheetName val="Analisa Tend (2)"/>
      <sheetName val="Harsat Pekerjaan"/>
      <sheetName val="anl.sa"/>
      <sheetName val="B.as"/>
      <sheetName val="DC"/>
      <sheetName val="REKAP ANALISA"/>
      <sheetName val="ANALISA SNI'08(ubh bgsting)"/>
      <sheetName val="Alat PL"/>
      <sheetName val="Harga Dasar"/>
      <sheetName val="rab strktr ars print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asumsi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civil-work"/>
      <sheetName val="PP"/>
      <sheetName val="INPUT"/>
      <sheetName val="H-BHN"/>
      <sheetName val="A-BANTU"/>
      <sheetName val="harsat sdy"/>
      <sheetName val="DailyWeeklyPlan"/>
      <sheetName val="Sat-Bhn&amp;Upah Paket 04"/>
      <sheetName val="Uraian"/>
      <sheetName val="Harga Bahan &amp; Upah"/>
      <sheetName val="JOB'S"/>
      <sheetName val="extern"/>
      <sheetName val="B _ Norelec"/>
      <sheetName val="Summary "/>
      <sheetName val="Bill 2"/>
      <sheetName val="PRD 01-9"/>
      <sheetName val="PRD 01-11"/>
      <sheetName val="PRD 01-5"/>
      <sheetName val="Rekap 1"/>
      <sheetName val="PRD 01-6"/>
      <sheetName val="PRD 01-8"/>
      <sheetName val="PRD 01-7"/>
      <sheetName val="集計表_ﾍﾞｰｽ"/>
      <sheetName val="DAF_2_5"/>
      <sheetName val="MU"/>
      <sheetName val="prelim"/>
      <sheetName val="MPADC"/>
      <sheetName val="S_BoQ"/>
      <sheetName val="AnalisaSIPIL RIIL"/>
      <sheetName val="pivot"/>
      <sheetName val="Valuation"/>
      <sheetName val="L.BA blok"/>
      <sheetName val="Laba"/>
      <sheetName val="Inputs"/>
      <sheetName val="FORM-X-1"/>
      <sheetName val="SAT-BHN"/>
      <sheetName val="RFP005"/>
      <sheetName val="Prod.Alat"/>
      <sheetName val="Rek.Cianten3"/>
      <sheetName val="Daftar"/>
      <sheetName val="AnAlat"/>
      <sheetName val="PC"/>
      <sheetName val="Balok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RLB"/>
      <sheetName val="F1771-V"/>
      <sheetName val="HDasar"/>
      <sheetName val="Exch.rate"/>
      <sheetName val="H.Upah"/>
      <sheetName val="ELEK"/>
      <sheetName val="AnalisaSIPIL RIIL RAP"/>
      <sheetName val="Potongan"/>
      <sheetName val="Nur Rachmat"/>
      <sheetName val="Nur Rachmat (3)"/>
      <sheetName val="BA.Potong (7)"/>
      <sheetName val="BSA (10)"/>
      <sheetName val="1.Quot-Grissik"/>
      <sheetName val="Detail Piutang"/>
      <sheetName val="KODE REK"/>
      <sheetName val="Week9-Feb    "/>
      <sheetName val="DIV-7"/>
      <sheetName val="Rek.An"/>
      <sheetName val="Print"/>
      <sheetName val="Luas-Tot"/>
      <sheetName val="P5"/>
      <sheetName val="IDENTITAS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Dating"/>
      <sheetName val="SCH"/>
      <sheetName val="HM"/>
      <sheetName val="Unit"/>
      <sheetName val="MAPDC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cor-'98-2"/>
      <sheetName val="F1771-II"/>
      <sheetName val="PENGAL yg Dilaksanakan"/>
      <sheetName val="pml"/>
      <sheetName val="Rkp"/>
      <sheetName val="Bill_Qua"/>
      <sheetName val="BAHN"/>
      <sheetName val="BL (1)"/>
      <sheetName val="RUCIKA&amp;WAVIN"/>
      <sheetName val="FORM 3A"/>
      <sheetName val="RAB (OK)"/>
      <sheetName val="L-3 DHSD"/>
      <sheetName val="BD 2.1 - 7.1(8)"/>
      <sheetName val="MON_OH"/>
      <sheetName val="SAT"/>
      <sheetName val="Standby Alat"/>
      <sheetName val="TBL_BANTU"/>
      <sheetName val="TBL_PROYEK"/>
      <sheetName val="jml pekerja"/>
      <sheetName val="URUTAN BUKA"/>
      <sheetName val="pintu"/>
      <sheetName val="EXF"/>
      <sheetName val="Piping Design Data"/>
      <sheetName val="9-1차이내역"/>
      <sheetName val="japanese"/>
      <sheetName val="B.ARC"/>
      <sheetName val="Variables"/>
      <sheetName val="Pile Cap"/>
      <sheetName val="TAMBAHAN PANCANG"/>
      <sheetName val="REKAP BESI BATANG"/>
      <sheetName val="Rincian Bunga Bank"/>
      <sheetName val="pers"/>
      <sheetName val=""/>
      <sheetName val="k341k612"/>
      <sheetName val="LINK-MAST. BASIC PRICE"/>
      <sheetName val="Anls_BKL"/>
      <sheetName val="RAB_RS"/>
      <sheetName val="Spek-ME"/>
      <sheetName val="rINCIAN"/>
      <sheetName val="ana_san"/>
      <sheetName val="Sub Penjumlahan"/>
      <sheetName val="EXPL-ADDS"/>
      <sheetName val="Tataudara"/>
      <sheetName val="a.h ars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Std-Prod KS"/>
      <sheetName val="Anls Bow"/>
      <sheetName val="Sat Bow"/>
      <sheetName val="An_Konstruksi"/>
      <sheetName val="ANALISA GEDUNG"/>
      <sheetName val="persent%"/>
      <sheetName val="BTL-Bau"/>
      <sheetName val="MAPP"/>
      <sheetName val="AnalisaHarga"/>
      <sheetName val="DaftarAn"/>
      <sheetName val="dg-VTu"/>
      <sheetName val="Form AHS"/>
      <sheetName val="3-div1"/>
      <sheetName val="3-DIV2"/>
      <sheetName val="."/>
      <sheetName val="BHN-UPH-ALT"/>
      <sheetName val="DATA_BASE1"/>
      <sheetName val="ADD"/>
      <sheetName val="LAMP_PERUBAHAN"/>
      <sheetName val="Basic Data"/>
      <sheetName val="Unit Rate"/>
      <sheetName val="rab-SAPHIR"/>
      <sheetName val="TS"/>
      <sheetName val="_____"/>
      <sheetName val="hrg-sat.pek"/>
      <sheetName val="#REF"/>
      <sheetName val="Upah+Bhn"/>
      <sheetName val="DEKAN"/>
      <sheetName val="PV"/>
      <sheetName val="4. Kata Pengantar"/>
      <sheetName val="NAMES"/>
      <sheetName val="BajaTul"/>
      <sheetName val="DHSD"/>
      <sheetName val="Analisa Harga Sat"/>
      <sheetName val="tabel"/>
      <sheetName val="RL Biaya"/>
      <sheetName val="L3 An H Sat Mob"/>
      <sheetName val="Fill_this_out_first___"/>
      <sheetName val="REKAP_"/>
      <sheetName val="PERALATAN_UTAMA_AC"/>
      <sheetName val="Bill_2_3"/>
      <sheetName val="Bill_2_5B"/>
      <sheetName val="Bill_2_1"/>
      <sheetName val="Gudang_non_AC-AC_Struktur"/>
      <sheetName val="Potongan RET"/>
      <sheetName val="BPM"/>
      <sheetName val="1 HSD"/>
      <sheetName val="Parem"/>
      <sheetName val="HRG BAHAN &amp; UPAH okk"/>
      <sheetName val="Analis Kusen okk"/>
      <sheetName val="CUACA"/>
      <sheetName val="TS (A3)"/>
      <sheetName val="Propose Range"/>
      <sheetName val="ALAT-1"/>
      <sheetName val="Kategori"/>
      <sheetName val="pl"/>
      <sheetName val="Opening"/>
      <sheetName val="Sheet15"/>
      <sheetName val="REPORT"/>
      <sheetName val="LABEL"/>
      <sheetName val="AnalisaHS"/>
      <sheetName val="fcsp-w"/>
      <sheetName val="A. Asumsi2015"/>
      <sheetName val="MT_an"/>
      <sheetName val="NORMA"/>
      <sheetName val="Olah"/>
      <sheetName val="Plan"/>
      <sheetName val="Fill this out first..."/>
      <sheetName val="Grading Tahap 1"/>
      <sheetName val="Div3"/>
      <sheetName val="Bill of Qty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UNIT_FAN"/>
      <sheetName val="anl_sa"/>
      <sheetName val="B_as"/>
      <sheetName val="RL_Biaya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REKAP_BACKUP_MC_4"/>
      <sheetName val="REKAP_BACKUP_MC3"/>
      <sheetName val="7_공정표"/>
      <sheetName val="AnalisaSIPIL_RIIL"/>
      <sheetName val="Analisa_SNI_STANDART_"/>
      <sheetName val="Sum_EL"/>
      <sheetName val="A__Asumsi2015"/>
      <sheetName val="Grand_summary"/>
      <sheetName val="A-11_Steel_Str_(2)"/>
      <sheetName val="GRAND_REKAP"/>
      <sheetName val="Harga_Bahan_&amp;_Upah_"/>
      <sheetName val="Harga_Bahan_&amp;_Upah"/>
      <sheetName val="dasar"/>
      <sheetName val="OCAOCL"/>
      <sheetName val="Material-mr"/>
      <sheetName val="nama PT."/>
      <sheetName val="F.1 1.G.ST.1A"/>
      <sheetName val="List Plant"/>
      <sheetName val="BERAT TUL."/>
      <sheetName val="hs_ars"/>
      <sheetName val="GD 14"/>
      <sheetName val="PercProp"/>
      <sheetName val="TOWN"/>
      <sheetName val="ANALISA HARGA SATUAN"/>
      <sheetName val="Monitor"/>
      <sheetName val="div7-1"/>
      <sheetName val="HS"/>
      <sheetName val="H-Dasar"/>
      <sheetName val="Template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Exch_rate"/>
      <sheetName val="Summary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rekmodiPtk (MAP)"/>
      <sheetName val="RAB Temiling "/>
      <sheetName val="CODE"/>
      <sheetName val="konci"/>
      <sheetName val="1"/>
      <sheetName val="Surat"/>
      <sheetName val="HD"/>
      <sheetName val="rincian A"/>
      <sheetName val="skedulmaterial"/>
      <sheetName val="PO-2"/>
      <sheetName val="1.Penawaran (Bahasa)"/>
      <sheetName val="3300 1 Group"/>
      <sheetName val="PROJ SUM"/>
      <sheetName val="RAB Rehab BatuMelik"/>
      <sheetName val="AnMobilisasi"/>
      <sheetName val="3-DIV4"/>
      <sheetName val="an.mek"/>
      <sheetName val="PIPA PVC DAN ACC"/>
      <sheetName val="Rekap Piutang"/>
      <sheetName val="Uph&amp; Bhn"/>
      <sheetName val="upah bahan"/>
      <sheetName val="Harsat Mekanikal 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B___Norelec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3"/>
      <sheetName val="DIV_9"/>
      <sheetName val="div_7"/>
      <sheetName val="RPP01_3"/>
      <sheetName val="DATA_OP"/>
      <sheetName val="Pintu_Jendela_per_lantai_"/>
      <sheetName val="Form_AHS"/>
      <sheetName val="F1771-2"/>
      <sheetName val="GeneralInfo"/>
      <sheetName val="RINCI"/>
      <sheetName val="FUND"/>
      <sheetName val="quot"/>
      <sheetName val="LPP DSU-2"/>
      <sheetName val="2003-2004"/>
      <sheetName val="var"/>
      <sheetName val="Anal_ Pancang"/>
      <sheetName val="内訳"/>
      <sheetName val="rab - persiapan &amp; lantai-1"/>
      <sheetName val="HRG SAT. MATERIAL"/>
      <sheetName val="Rekap Tahap 1"/>
      <sheetName val="LRKOMP_juni"/>
      <sheetName val="indirect"/>
      <sheetName val="Tangga GN"/>
      <sheetName val="Cco (2)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AG-2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BAG_2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D-3 (M)"/>
      <sheetName val="D-7 (M)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terima&amp;piukan"/>
      <sheetName val="pivot2"/>
      <sheetName val="S-Curve"/>
      <sheetName val="Hrg Dsr"/>
      <sheetName val="UNIT PRICE WAGE and MATERIAL"/>
      <sheetName val="D985"/>
      <sheetName val="MATERIAL-UPAH"/>
      <sheetName val="constant"/>
      <sheetName val="GWT."/>
      <sheetName val="Harsat_EP"/>
      <sheetName val="E_Summary"/>
      <sheetName val="D_Cntnts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Rekap_Prelim7"/>
      <sheetName val="RKP_ANL7"/>
      <sheetName val="Spec_ME7"/>
      <sheetName val="REKAP_ARSITEKTUR_7"/>
      <sheetName val="ELEMENT_SUM7"/>
      <sheetName val="9_2~PK7"/>
      <sheetName val="BQ_(by_owner)7"/>
      <sheetName val="rab_me_(fisik)7"/>
      <sheetName val="rab_me_(by_owner)_7"/>
      <sheetName val="pintu_jendela7"/>
      <sheetName val="Harga_Satuan7"/>
      <sheetName val="Paint_Type_B7"/>
      <sheetName val="01A-_RAB7"/>
      <sheetName val="Currency_Rate7"/>
      <sheetName val="Analisa_27"/>
      <sheetName val="Area_Tabulation17"/>
      <sheetName val="Proj_Data7"/>
      <sheetName val="Balok_L_114"/>
      <sheetName val="Pekerjaan_7"/>
      <sheetName val="Rekap_Direct_Cost7"/>
      <sheetName val="Analisa_Upah_&amp;_Bahan_Plum7"/>
      <sheetName val="Balok_L_115"/>
      <sheetName val="Analisa_Tend7"/>
      <sheetName val="Master_1_07"/>
      <sheetName val="SUM_TIANG_PC7"/>
      <sheetName val="4-Basic_Price7"/>
      <sheetName val="Daf__No__-_4_27"/>
      <sheetName val="An_Struktur7"/>
      <sheetName val="Unit_Rate__2_7"/>
      <sheetName val="HB_7"/>
      <sheetName val="DRAFT_KONSUMEN7"/>
      <sheetName val="Weight_Bridge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Analisa_-Baku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An_str7"/>
      <sheetName val="D2_27"/>
      <sheetName val="Tie_Beam7"/>
      <sheetName val="Blk_Lt1-Lt__37"/>
      <sheetName val="main_summary7"/>
      <sheetName val="Direct_Cost_Thp_27"/>
      <sheetName val="PileCap_7"/>
      <sheetName val="Blk_B17"/>
      <sheetName val="An-Pre_7"/>
      <sheetName val="COST-PERSON-J_O_7"/>
      <sheetName val="HS_Bhn7"/>
      <sheetName val="TOTAL_Summary7"/>
      <sheetName val="bill_57"/>
      <sheetName val="struktur_tdk_dipakai7"/>
      <sheetName val="Analisa_Upah___Bahan_Plum7"/>
      <sheetName val="GRAND_TOTAL7"/>
      <sheetName val="ASPAL_(14)7"/>
      <sheetName val="DAFTAR_HARGA7"/>
      <sheetName val="harga_7"/>
      <sheetName val="UPAH_+_ALAT7"/>
      <sheetName val="ANAL_KOEF7"/>
      <sheetName val="Sumber_Daya7"/>
      <sheetName val="Analisa_STR7"/>
      <sheetName val="Daftar_Harga_17"/>
      <sheetName val="Kolom_UT7"/>
      <sheetName val="Satuan_Dasar7"/>
      <sheetName val="M_AR-KUAT6"/>
      <sheetName val="Faktor_Markup7"/>
      <sheetName val="Data_Markup7"/>
      <sheetName val="M_Pekerjaan7"/>
      <sheetName val="Analisa_&amp;_Upah6"/>
      <sheetName val="Rekap_DBAK6"/>
      <sheetName val="ME_UMY6"/>
      <sheetName val="_______BoQ________6"/>
      <sheetName val="an__struktur7"/>
      <sheetName val="Ring_Balok6"/>
      <sheetName val="Dftr_Barang7"/>
      <sheetName val="Agregat_Halus_&amp;_Kasar7"/>
      <sheetName val="an_mek6"/>
      <sheetName val="basic_price6"/>
      <sheetName val="BQ_STR6"/>
      <sheetName val="Perm__Test6"/>
      <sheetName val="B_-_Norelec6"/>
      <sheetName val="12__Analisa6"/>
      <sheetName val="Material_Master6"/>
      <sheetName val="2_107"/>
      <sheetName val="RAB_AR&amp;STR6"/>
      <sheetName val="Man_Power6"/>
      <sheetName val="Bahan_Upah_Alat6"/>
      <sheetName val="Tie_Beam_GN6"/>
      <sheetName val="Schedule_Rev6"/>
      <sheetName val="D3_16"/>
      <sheetName val="PRINT_OUT6"/>
      <sheetName val="D_&amp;_W_sizes6"/>
      <sheetName val="analisa_PUBM6"/>
      <sheetName val="Hrg_Sat6"/>
      <sheetName val="HRG_BHN6"/>
      <sheetName val="Bill_of_Qty_MEP6"/>
      <sheetName val="Daf_16"/>
      <sheetName val="HSBU_ANA6"/>
      <sheetName val="ANALISA_PEK_UMUM6"/>
      <sheetName val="VOLUME_BAJA7"/>
      <sheetName val="Bahan_6"/>
      <sheetName val="ans_harga6"/>
      <sheetName val="HB_ARSITEKTUR6"/>
      <sheetName val="HB_STRUKTUR6"/>
      <sheetName val="Price_Biaya_Cadangan6"/>
      <sheetName val="BQ_Rekapitulasi__Akhir6"/>
      <sheetName val="RKP_PLUMBING6"/>
      <sheetName val="banding_hrg6"/>
      <sheetName val="AMD_I6"/>
      <sheetName val="Analisa_BOW_076"/>
      <sheetName val="PRD_01-36"/>
      <sheetName val="Upah_&amp;_Bahan6"/>
      <sheetName val="Har_Sat6"/>
      <sheetName val="An_Arsitektur6"/>
      <sheetName val="Bill_No_2_1_6"/>
      <sheetName val="Metod_TWR6"/>
      <sheetName val="F_ALARM6"/>
      <sheetName val="RAB_1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POS_12346"/>
      <sheetName val="Unit_Price6"/>
      <sheetName val="An_Ars6"/>
      <sheetName val="ALL_SUM6"/>
      <sheetName val="+45,200_&amp;_+45,700_(Salah)6"/>
      <sheetName val="surfacing_&amp;_point___6"/>
      <sheetName val="stone_mas_ARE6"/>
      <sheetName val="Daf-1_Persiapan6"/>
      <sheetName val="2-Genset_print6"/>
      <sheetName val="L__Hr6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2_2_16"/>
      <sheetName val="ANALISA_ME6"/>
      <sheetName val="Tubing_&amp;_fitting6"/>
      <sheetName val="Pengalaman_Per6"/>
      <sheetName val="B_2(LANJUTAN)6"/>
      <sheetName val="Master_Edit6"/>
      <sheetName val="Prog_korp6"/>
      <sheetName val="anls_space_frame6"/>
      <sheetName val="List_Doc6"/>
      <sheetName val="Harsat_Bahan4"/>
      <sheetName val="Harsat_Upah4"/>
      <sheetName val="DF-7_(2)4"/>
      <sheetName val="PERALATAN_UTAMA_AC3"/>
      <sheetName val="D1__Plint4"/>
      <sheetName val="Harga_Bahan4"/>
      <sheetName val="HSA_&amp;_PAB4"/>
      <sheetName val="Harga_Upah_4"/>
      <sheetName val="iTEM_hARSAT4"/>
      <sheetName val="4_2_14"/>
      <sheetName val="Cash_Flow_bulanan4"/>
      <sheetName val="Cold_Miling6"/>
      <sheetName val="BILL_44"/>
      <sheetName val="List_Plafound_Gypsum4"/>
      <sheetName val="List_Plafound_WR4"/>
      <sheetName val="Screning_Ac4"/>
      <sheetName val="Evaluasi_(_1_)4"/>
      <sheetName val="RAB_fisik6"/>
      <sheetName val="HSP_swk4"/>
      <sheetName val="6PILE__(돌출)4"/>
      <sheetName val="Kell_Plint-TH4"/>
      <sheetName val="Kel__Dind-TH4"/>
      <sheetName val="EPB_4"/>
      <sheetName val="DAFT_ALAT,UPAH_&amp;_MAT6"/>
      <sheetName val="Detail_BUL6"/>
      <sheetName val="Analisa_PL4"/>
      <sheetName val="inves_alat4"/>
      <sheetName val="dashboard_VERSI_BATUBARA4"/>
      <sheetName val="Bill_2_33"/>
      <sheetName val="Bill_2_5B3"/>
      <sheetName val="Bill_2_13"/>
      <sheetName val="AHS_Marka4"/>
      <sheetName val="Analisa_Tambahan4"/>
      <sheetName val="NP_(2)4"/>
      <sheetName val="pro_ra_op4"/>
      <sheetName val="Gal_Jack_Hammer4"/>
      <sheetName val="UPH_BHN4"/>
      <sheetName val="Gudang_non_AC-AC_Struktur3"/>
      <sheetName val="Price_List3"/>
      <sheetName val="Isolasi_Luar_Dalam4"/>
      <sheetName val="Isolasi_Luar4"/>
      <sheetName val="A-11_Steel_Str_(2)1"/>
      <sheetName val="GRAND_REKAP1"/>
      <sheetName val="Unit_Cost4"/>
      <sheetName val="REKAP_VOLUME5"/>
      <sheetName val="SATUAN_1"/>
      <sheetName val="Sum_EL1"/>
      <sheetName val="REKAP_3"/>
      <sheetName val="UNIT_FAN3"/>
      <sheetName val="ANALISA_SNI'07rootsREV3"/>
      <sheetName val="REKAP_ANALISA1"/>
      <sheetName val="ANALISA_SNI'08(ubh_bgsting)1"/>
      <sheetName val="HARGA_SATUAN_ARS1"/>
      <sheetName val="Sat_Upah1"/>
      <sheetName val="ANalisa_1"/>
      <sheetName val="Pek_Luar3"/>
      <sheetName val="Grand_summary1"/>
      <sheetName val="REKAP_BACKUP_MC_41"/>
      <sheetName val="REKAP_BACKUP_MC31"/>
      <sheetName val="7_공정표1"/>
      <sheetName val="Eva__Progres4"/>
      <sheetName val="Surat_Pernyataan4"/>
      <sheetName val="Prod_Alat3"/>
      <sheetName val="INPUT_AGST3"/>
      <sheetName val="KODE_UPAH3"/>
      <sheetName val="Alat_PL1"/>
      <sheetName val="ANALISA_(2)4"/>
      <sheetName val="Analisa_Sipil1"/>
      <sheetName val="B_D_AHS61"/>
      <sheetName val="INPUT_HARIAN1"/>
      <sheetName val="Cost_Summary"/>
      <sheetName val="UP_SNI1"/>
      <sheetName val="Harga_Dasar4"/>
      <sheetName val="Harga_Bahan_&amp;_Upah_1"/>
      <sheetName val="rab_strktr_ars_print4"/>
      <sheetName val="Analisa_Tend_(2)1"/>
      <sheetName val="Harsat_Pekerjaan1"/>
      <sheetName val="anl_sa3"/>
      <sheetName val="B_as3"/>
      <sheetName val="DAFTAR_7"/>
      <sheetName val="Harga_Bahan_&amp;_Upah1"/>
      <sheetName val="Piping_Design_Data3"/>
      <sheetName val="Sat-Bhn&amp;Upah_Paket_043"/>
      <sheetName val="Summary_1"/>
      <sheetName val="PENGAL_yg_Dilaksanakan3"/>
      <sheetName val="Anls_Bow"/>
      <sheetName val="Sat_Bow"/>
      <sheetName val="AnalisaSIPIL_RIIL1"/>
      <sheetName val="Pile_Cap1"/>
      <sheetName val="TAMBAHAN_PANCANG1"/>
      <sheetName val="REKAP_BESI_BATANG1"/>
      <sheetName val="Rincian_Bunga_Bank1"/>
      <sheetName val="FORM_3A3"/>
      <sheetName val="Analisa_SNI_STANDART_1"/>
      <sheetName val="Sub_Penjumlahan"/>
      <sheetName val="AnalisaSIPIL_RIIL_RAP1"/>
      <sheetName val="a_h_ars"/>
      <sheetName val="L-3_DHSD3"/>
      <sheetName val="BD_2_1_-_7_1(8)3"/>
      <sheetName val="Std-Prod_KS1"/>
      <sheetName val="Exch_rate1"/>
      <sheetName val="Bill_2"/>
      <sheetName val="Basic_Data"/>
      <sheetName val="Unit_Rate"/>
      <sheetName val="RL_Biaya3"/>
      <sheetName val="Potongan_RET"/>
      <sheetName val="Analisa_Harga_Sat"/>
      <sheetName val="_"/>
      <sheetName val="hrg-sat_pek"/>
      <sheetName val="1_HSD"/>
      <sheetName val="L3_An_H_Sat_Mob"/>
      <sheetName val="Fill_this_out_first___4"/>
      <sheetName val="F_1_1_G_ST_1A"/>
      <sheetName val="List_Plant"/>
      <sheetName val="Grading_Tahap_1"/>
      <sheetName val="Bill_of_Qty"/>
      <sheetName val="A__Asumsi20151"/>
      <sheetName val="GD_14"/>
      <sheetName val="CF_Rincian"/>
      <sheetName val="10_yr_val"/>
      <sheetName val="Analisa_Ruko"/>
      <sheetName val="Permanent_info"/>
      <sheetName val="Market_Positioning"/>
      <sheetName val="Basic_P"/>
      <sheetName val="UPAH_&amp;_BHN_ARS"/>
      <sheetName val="AHS_ARS"/>
      <sheetName val="RAB_Temiling_"/>
      <sheetName val="TS_(A3)"/>
      <sheetName val="rincian_A"/>
      <sheetName val="rab_-_persiapan_&amp;_lantai-1"/>
      <sheetName val="Propose_Range"/>
      <sheetName val="rekmodiPtk_(MAP)"/>
      <sheetName val="1_Penawaran_(Bahasa)"/>
      <sheetName val="3300_1_Group"/>
      <sheetName val="PROJ_SUM"/>
      <sheetName val="Prod 02 "/>
      <sheetName val="PT.GENTA"/>
      <sheetName val="Sandi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UPAH "/>
      <sheetName val="D3"/>
      <sheetName val="Penwrn"/>
      <sheetName val="HRG-DASAR"/>
      <sheetName val="AN Tdr"/>
      <sheetName val="Factor"/>
      <sheetName val="AN Beton"/>
      <sheetName val="AN Kusen"/>
      <sheetName val="DIV 2"/>
      <sheetName val="DIV 5"/>
      <sheetName val="8"/>
      <sheetName val="9"/>
      <sheetName val="3.a. Lap Hasil Usaha"/>
      <sheetName val="인사자료총집계"/>
      <sheetName val="3 Koef Alat"/>
      <sheetName val="#REF!"/>
      <sheetName val="Master"/>
      <sheetName val="abcdef"/>
      <sheetName val="BQ All_2"/>
      <sheetName val="概総括1"/>
      <sheetName val="Bill No_1"/>
      <sheetName val="Analisa Gabungan"/>
      <sheetName val="AGGREGAT KLAS C"/>
      <sheetName val="Upah dan Bahan "/>
      <sheetName val="SAA"/>
      <sheetName val="TO UJI"/>
      <sheetName val="ESTIMATE TYPE 6 PH3 (HARGA KANG"/>
      <sheetName val="2. Proposal Biaya"/>
      <sheetName val="Mat'l databank"/>
      <sheetName val="Tabel Besi"/>
      <sheetName val="Range"/>
      <sheetName val="C.2."/>
      <sheetName val="2.5."/>
      <sheetName val="MULAI MASUK STAF."/>
      <sheetName val="schalt"/>
      <sheetName val="schtng"/>
      <sheetName val="schbhn"/>
      <sheetName val="Sheet1 (3)"/>
      <sheetName val="Rekap Akhir"/>
      <sheetName val="Analisa Alat Berat"/>
      <sheetName val="TABEL LABOR"/>
      <sheetName val="D Harga"/>
      <sheetName val="Agregat Melintang"/>
      <sheetName val="Agregat Memanjang "/>
      <sheetName val="lampiran"/>
      <sheetName val="an_mek7"/>
      <sheetName val="1.2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frek 3.3"/>
      <sheetName val="cal2"/>
      <sheetName val="Cashflow"/>
      <sheetName val="renc kerja DK7 2009"/>
      <sheetName val="CF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TON  per Jam"/>
      <sheetName val="Option List"/>
      <sheetName val="BPS"/>
      <sheetName val="TABEL-DETASIR"/>
      <sheetName val="HS-2"/>
      <sheetName val="ANAL.BOW"/>
      <sheetName val="Marshal"/>
      <sheetName val="An_pdkg"/>
      <sheetName val="KEB-MAT"/>
      <sheetName val="hasat"/>
      <sheetName val="Kinerja Proyek"/>
      <sheetName val="TAGIHAN"/>
      <sheetName val="Analysis"/>
      <sheetName val="MAP2"/>
      <sheetName val="anal-mpu"/>
      <sheetName val="MSTR"/>
      <sheetName val="U&amp;B"/>
      <sheetName val="TANJUNG-CONV"/>
      <sheetName val="Kuitansi (terbilang)"/>
      <sheetName val="39"/>
      <sheetName val="revisi-gltran"/>
      <sheetName val="Invest-inti"/>
      <sheetName val="MasterReff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ELEMENT_SUM8"/>
      <sheetName val="BQ_(by_owner)8"/>
      <sheetName val="rab_me_(fisik)8"/>
      <sheetName val="rab_me_(by_owner)_8"/>
      <sheetName val="pintu_jendela8"/>
      <sheetName val="Paint_Type_B8"/>
      <sheetName val="9_2~PK8"/>
      <sheetName val="Harga_Satuan8"/>
      <sheetName val="Spec_ME8"/>
      <sheetName val="01A-_RAB8"/>
      <sheetName val="Analisa_Upah_&amp;_Bahan_Plum8"/>
      <sheetName val="Daf__No__-_4_28"/>
      <sheetName val="Rekap_Direct_Cost8"/>
      <sheetName val="Analisa_Tend8"/>
      <sheetName val="SUM_TIANG_PC8"/>
      <sheetName val="Area_Tabulation18"/>
      <sheetName val="Proj_Data8"/>
      <sheetName val="Pekerjaan_8"/>
      <sheetName val="Currency_Rate8"/>
      <sheetName val="Analisa_28"/>
      <sheetName val="HB_8"/>
      <sheetName val="Balok_L_116"/>
      <sheetName val="Weight_Bridge8"/>
      <sheetName val="COST-PERSON-J_O_8"/>
      <sheetName val="Master_1_08"/>
      <sheetName val="Analisa_-Baku8"/>
      <sheetName val="Rekap_Prelim8"/>
      <sheetName val="Balok_L_117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4-Basic_Price8"/>
      <sheetName val="DRAFT_KONSUMEN8"/>
      <sheetName val="An_Struktur8"/>
      <sheetName val="Unit_Rate__2_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Tie_Beam8"/>
      <sheetName val="Blk_Lt1-Lt__38"/>
      <sheetName val="D2_28"/>
      <sheetName val="An_str8"/>
      <sheetName val="Direct_Cost_Thp_28"/>
      <sheetName val="GRAND_TOTAL8"/>
      <sheetName val="ASPAL_(14)8"/>
      <sheetName val="DAFTAR_HARGA8"/>
      <sheetName val="PileCap_8"/>
      <sheetName val="Blk_B18"/>
      <sheetName val="basic_price7"/>
      <sheetName val="an__struktur8"/>
      <sheetName val="BQ_STR7"/>
      <sheetName val="PRINT_OUT7"/>
      <sheetName val="_______BoQ________7"/>
      <sheetName val="An-Pre_8"/>
      <sheetName val="struktur_tdk_dipakai8"/>
      <sheetName val="HS_Bhn8"/>
      <sheetName val="TOTAL_Summary8"/>
      <sheetName val="bill_58"/>
      <sheetName val="harga_8"/>
      <sheetName val="UPAH_+_ALAT8"/>
      <sheetName val="ANAL_KOEF8"/>
      <sheetName val="Sumber_Daya8"/>
      <sheetName val="Satuan_Dasar8"/>
      <sheetName val="Rekap_DBAK7"/>
      <sheetName val="ME_UMY7"/>
      <sheetName val="B_-_Norelec7"/>
      <sheetName val="Analisa_Upah___Bahan_Plum8"/>
      <sheetName val="main_summary8"/>
      <sheetName val="Daftar_Harga_18"/>
      <sheetName val="Kolom_UT8"/>
      <sheetName val="Analisa_&amp;_Upah7"/>
      <sheetName val="Perm__Test7"/>
      <sheetName val="Dftr_Barang8"/>
      <sheetName val="M_AR-KUAT7"/>
      <sheetName val="Faktor_Markup8"/>
      <sheetName val="Data_Markup8"/>
      <sheetName val="M_Pekerjaan8"/>
      <sheetName val="Agregat_Halus_&amp;_Kasar8"/>
      <sheetName val="D_&amp;_W_sizes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Material_Master7"/>
      <sheetName val="2_108"/>
      <sheetName val="Analisa_STR8"/>
      <sheetName val="Ring_Balok7"/>
      <sheetName val="RAB_AR&amp;STR7"/>
      <sheetName val="12__Analisa7"/>
      <sheetName val="HSBU_ANA7"/>
      <sheetName val="Bahan_Upah_Alat7"/>
      <sheetName val="HRG_BHN7"/>
      <sheetName val="banding_hrg7"/>
      <sheetName val="AMD_I7"/>
      <sheetName val="ans_harga7"/>
      <sheetName val="POS_12347"/>
      <sheetName val="Unit_Price7"/>
      <sheetName val="Upah_&amp;_Bahan7"/>
      <sheetName val="PRD_01-37"/>
      <sheetName val="surfacing_&amp;_point___7"/>
      <sheetName val="stone_mas_ARE7"/>
      <sheetName val="Hrg_Sat7"/>
      <sheetName val="D3_17"/>
      <sheetName val="Tie_Beam_GN7"/>
      <sheetName val="Schedule_Rev7"/>
      <sheetName val="Man_Power7"/>
      <sheetName val="ANALISA_PEK_UMUM7"/>
      <sheetName val="analisa_PUBM7"/>
      <sheetName val="VOLUME_BAJA8"/>
      <sheetName val="Bahan_7"/>
      <sheetName val="Master_Edit7"/>
      <sheetName val="Bill_of_Qty_MEP7"/>
      <sheetName val="Daf_17"/>
      <sheetName val="HB_ARSITEKTUR7"/>
      <sheetName val="HB_STRUKTUR7"/>
      <sheetName val="Price_Biaya_Cadangan7"/>
      <sheetName val="BQ_Rekapitulasi__Akhir7"/>
      <sheetName val="RKP_PLUMBING7"/>
      <sheetName val="Prog_korp7"/>
      <sheetName val="An_Ars7"/>
      <sheetName val="anls_space_frame7"/>
      <sheetName val="RAB_17"/>
      <sheetName val="Har_Sat7"/>
      <sheetName val="Bill_No_2_1_7"/>
      <sheetName val="An_Arsitektur7"/>
      <sheetName val="Analisa_BOW_07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DAFT_ALAT,UPAH_&amp;_MAT7"/>
      <sheetName val="List_Doc7"/>
      <sheetName val="ANALISA_ME7"/>
      <sheetName val="Detail_BUL7"/>
      <sheetName val="2-Genset_print7"/>
      <sheetName val="L__Hr7"/>
      <sheetName val="Metod_TWR7"/>
      <sheetName val="+45,200_&amp;_+45,700_(Salah)7"/>
      <sheetName val="D2_2_17"/>
      <sheetName val="B_2(LANJUTAN)7"/>
      <sheetName val="Cold_Miling7"/>
      <sheetName val="F_ALARM7"/>
      <sheetName val="Daf-1_Persiapan7"/>
      <sheetName val="ALL_SUM7"/>
      <sheetName val="Tubing_&amp;_fitting7"/>
      <sheetName val="Pengalaman_Per7"/>
      <sheetName val="iTEM_hARSAT5"/>
      <sheetName val="4_2_15"/>
      <sheetName val="Cash_Flow_bulanan5"/>
      <sheetName val="RAB_fisik7"/>
      <sheetName val="List_Plafound_Gypsum5"/>
      <sheetName val="List_Plafound_WR5"/>
      <sheetName val="Screning_Ac5"/>
      <sheetName val="Evaluasi_(_1_)5"/>
      <sheetName val="Gal_Jack_Hammer5"/>
      <sheetName val="Harsat_Bahan5"/>
      <sheetName val="Harsat_Upah5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Analisa_Tambahan5"/>
      <sheetName val="REKAP_VOLUME6"/>
      <sheetName val="D1__Plint5"/>
      <sheetName val="Harga_Bahan5"/>
      <sheetName val="HSA_&amp;_PAB5"/>
      <sheetName val="Harga_Upah_5"/>
      <sheetName val="Eva__Progres5"/>
      <sheetName val="DF-7_(2)5"/>
      <sheetName val="BILL_45"/>
      <sheetName val="Kell_Plint-TH5"/>
      <sheetName val="Kel__Dind-TH5"/>
      <sheetName val="EPB_5"/>
      <sheetName val="pro_ra_op5"/>
      <sheetName val="PENGAL_yg_Dilaksanakan4"/>
      <sheetName val="Analisa_PL5"/>
      <sheetName val="HSP_swk5"/>
      <sheetName val="NP_(2)5"/>
      <sheetName val="6PILE__(돌출)5"/>
      <sheetName val="Unit_Cost5"/>
      <sheetName val="Harga_Dasar5"/>
      <sheetName val="rab_strktr_ars_print5"/>
      <sheetName val="Piping_Design_Data4"/>
      <sheetName val="ANALISA_SNI'07rootsREV4"/>
      <sheetName val="AHS_Marka5"/>
      <sheetName val="inves_alat5"/>
      <sheetName val="dashboard_VERSI_BATUBARA5"/>
      <sheetName val="Surat_Pernyataan5"/>
      <sheetName val="Isolasi_Luar_Dalam5"/>
      <sheetName val="Isolasi_Luar5"/>
      <sheetName val="UPH_BHN5"/>
      <sheetName val="ANALISA_(2)5"/>
      <sheetName val="Price_List4"/>
      <sheetName val="INPUT_AGST4"/>
      <sheetName val="KODE_UPAH4"/>
      <sheetName val="Pek_Luar4"/>
      <sheetName val="PERALATAN_UTAMA_AC4"/>
      <sheetName val="UNIT_FAN4"/>
      <sheetName val="Bill_2_34"/>
      <sheetName val="Bill_2_5B4"/>
      <sheetName val="Bill_2_14"/>
      <sheetName val="REKAP_4"/>
      <sheetName val="anl_sa4"/>
      <sheetName val="B_as4"/>
      <sheetName val="FORM_3A4"/>
      <sheetName val="L-3_DHSD4"/>
      <sheetName val="BD_2_1_-_7_1(8)4"/>
      <sheetName val="RL_Biaya4"/>
      <sheetName val="Grand_summary2"/>
      <sheetName val="Gudang_non_AC-AC_Struktur4"/>
      <sheetName val="Sat-Bhn&amp;Upah_Paket_044"/>
      <sheetName val="Prod_Alat4"/>
      <sheetName val="A__Asumsi20152"/>
      <sheetName val="REKAP_BACKUP_MC_42"/>
      <sheetName val="REKAP_BACKUP_MC32"/>
      <sheetName val="7_공정표2"/>
      <sheetName val="AnalisaSIPIL_RIIL2"/>
      <sheetName val="Analisa_SNI_STANDART_2"/>
      <sheetName val="Sum_EL2"/>
      <sheetName val="A-11_Steel_Str_(2)2"/>
      <sheetName val="GRAND_REKAP2"/>
      <sheetName val="Harga_Bahan_&amp;_Upah_2"/>
      <sheetName val="Harga_Bahan_&amp;_Upah2"/>
      <sheetName val="jml_pekerja1"/>
      <sheetName val="harsat_sdy1"/>
      <sheetName val="URUTAN_BUKA1"/>
      <sheetName val="BL_(1)1"/>
      <sheetName val="Harga_Sat_APP1"/>
      <sheetName val="Unit_Costs1"/>
      <sheetName val="Daf_Besi1"/>
      <sheetName val="Schedule_11a1"/>
      <sheetName val="Septick_tank1"/>
      <sheetName val="II_3_HSD1"/>
      <sheetName val="Input_Data2"/>
      <sheetName val="DATA_PROYEK1"/>
      <sheetName val="HO_Status1"/>
      <sheetName val="Exch_rate2"/>
      <sheetName val="AnalisaSIPIL_RIIL_RAP2"/>
      <sheetName val="Harsat_Pekerjaan2"/>
      <sheetName val="H_Upah1"/>
      <sheetName val="Nur_Rachmat1"/>
      <sheetName val="Nur_Rachmat_(3)1"/>
      <sheetName val="BA_Potong_(7)1"/>
      <sheetName val="BSA_(10)1"/>
      <sheetName val="Summary_2"/>
      <sheetName val="Sat_Upah2"/>
      <sheetName val="B___Norelec6"/>
      <sheetName val="Standby_Alat1"/>
      <sheetName val="SATUAN_2"/>
      <sheetName val="HARGA_SATUAN_ARS2"/>
      <sheetName val="Data_PJ1"/>
      <sheetName val="Pintu_Jendela_per_lantai_1"/>
      <sheetName val="ANALISA_SNI'08(ubh_bgsting)2"/>
      <sheetName val="REKAP_ANALISA2"/>
      <sheetName val="Anls_Bow1"/>
      <sheetName val="Sat_Bow1"/>
      <sheetName val="1_Quot-Grissik1"/>
      <sheetName val="Detail_Piutang1"/>
      <sheetName val="KODE_REK1"/>
      <sheetName val="Rek_Cianten31"/>
      <sheetName val="River_Protect1"/>
      <sheetName val="DIV_34"/>
      <sheetName val="DIV_91"/>
      <sheetName val="div_71"/>
      <sheetName val="RPP01_31"/>
      <sheetName val="Form_AHS1"/>
      <sheetName val="4__Kata_Pengantar1"/>
      <sheetName val="RAB_(OK)1"/>
      <sheetName val="PRD_01-91"/>
      <sheetName val="PRD_01-111"/>
      <sheetName val="PRD_01-51"/>
      <sheetName val="PRD_01-61"/>
      <sheetName val="PRD_01-81"/>
      <sheetName val="PRD_01-71"/>
      <sheetName val="Pile_Cap2"/>
      <sheetName val="TAMBAHAN_PANCANG2"/>
      <sheetName val="REKAP_BESI_BATANG2"/>
      <sheetName val="Rincian_Bunga_Bank2"/>
      <sheetName val="Analisa_Tend_(2)2"/>
      <sheetName val="a_h_ars1"/>
      <sheetName val="B_ARC1"/>
      <sheetName val="Sub_Penjumlahan1"/>
      <sheetName val="DATA_OP1"/>
      <sheetName val="DAFTAR_71"/>
      <sheetName val="Alat_PL2"/>
      <sheetName val="Analisa_Sipil2"/>
      <sheetName val="B_D_AHS62"/>
      <sheetName val="INPUT_HARIAN2"/>
      <sheetName val="Std-Prod_KS2"/>
      <sheetName val="UP_SNI2"/>
      <sheetName val="UPAH_&amp;_BHN_ARS1"/>
      <sheetName val="AHS_ARS1"/>
      <sheetName val="LINK-MAST__BASIC_PRICE1"/>
      <sheetName val="L_BA_blok1"/>
      <sheetName val="Cost_Summary1"/>
      <sheetName val="Basic_Data1"/>
      <sheetName val="Unit_Rate1"/>
      <sheetName val="Week9-Feb____1"/>
      <sheetName val="Rek_An1"/>
      <sheetName val="Fill_this_out_first___5"/>
      <sheetName val="Cco_(2)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Analisa_Harga_Satuan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Prod_02_"/>
      <sheetName val="PT_GENTA"/>
      <sheetName val="RAB_Rehab_BatuMelik"/>
      <sheetName val="Anal__Pancang"/>
      <sheetName val="Rekap_Piutang"/>
      <sheetName val="AN_Beton"/>
      <sheetName val="AN_Kusen"/>
      <sheetName val="DIV_2"/>
      <sheetName val="DIV_5"/>
      <sheetName val="an_mek8"/>
      <sheetName val="Hrg_Dsr"/>
      <sheetName val="UNIT_PRICE_WAGE_and_MATERIAL"/>
      <sheetName val="TON__per_Jam"/>
      <sheetName val="Galian_1"/>
      <sheetName val="OP__ALAT"/>
      <sheetName val="OP__PERJAM"/>
      <sheetName val="B__PERSONIL"/>
      <sheetName val="KAN__LOKAL"/>
      <sheetName val="UPAH_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Uph&amp;_Bhn"/>
      <sheetName val="DbKtr"/>
      <sheetName val="共通費ﾏｽﾀ"/>
      <sheetName val="Rekap RAP real (2)"/>
      <sheetName val="HRG SAT"/>
      <sheetName val="nama_PT_"/>
      <sheetName val="SNI UPAH BAHAN"/>
      <sheetName val="HRGA SATUAN UPAH-BAHAN"/>
      <sheetName val="ES STG"/>
      <sheetName val="Lamp 11aa"/>
      <sheetName val="Penjumlahan"/>
      <sheetName val="RBP1"/>
      <sheetName val="Harga Sat"/>
      <sheetName val="JAD-PEL"/>
      <sheetName val="Analisa Alat6"/>
      <sheetName val="DIV.1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Cek list"/>
      <sheetName val="실행철강하도"/>
      <sheetName val="STF Schedule"/>
      <sheetName val="Cash2"/>
      <sheetName val="Satuan Bahan"/>
      <sheetName val="Divisi1"/>
      <sheetName val="Sudah Berjalan"/>
      <sheetName val="Exch. rate calc."/>
      <sheetName val="Info-Price List"/>
      <sheetName val="PIPA_PVC_DAN_ACC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RAW_MATERIALS_"/>
      <sheetName val="D.UPH&amp;PEK"/>
      <sheetName val="1. Rekap A"/>
      <sheetName val="Anl"/>
      <sheetName val="Modified Store"/>
      <sheetName val="ANALISA PLUMBING"/>
      <sheetName val="REKAP_STRUKTUR"/>
      <sheetName val="Instalasi"/>
      <sheetName val="rekmodiPtk_(MAP)1"/>
      <sheetName val="_1"/>
      <sheetName val="Fill_this_out_first___6"/>
      <sheetName val="F_1_1_G_ST_1A1"/>
      <sheetName val="List_Plant1"/>
      <sheetName val="Bill_21"/>
      <sheetName val="Basic_P1"/>
      <sheetName val="hrg-sat_pek1"/>
      <sheetName val="CF_Rincian1"/>
      <sheetName val="10_yr_val1"/>
      <sheetName val="Analisa_Ruko1"/>
      <sheetName val="Permanent_info1"/>
      <sheetName val="Market_Positioning1"/>
      <sheetName val="GD_141"/>
      <sheetName val="1_HSD1"/>
      <sheetName val="RAB_Temiling_1"/>
      <sheetName val="Grading_Tahap_11"/>
      <sheetName val="Bill_of_Qty1"/>
      <sheetName val="2__Proposal_Biaya"/>
      <sheetName val="Mat'l_databank"/>
      <sheetName val="2.SE.DATA"/>
      <sheetName val="OFFEREXT"/>
      <sheetName val="REKAP 2008"/>
      <sheetName val="TIE-INS"/>
      <sheetName val="pkrp"/>
      <sheetName val="Catalog"/>
      <sheetName val="Lamp 1 - Unit Rate"/>
      <sheetName val="PROCURE"/>
      <sheetName val="C"/>
      <sheetName val="12CGOU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Div 9 - Harian"/>
      <sheetName val="CAB 2"/>
      <sheetName val="ALS-TANAH &amp;URG"/>
      <sheetName val="Rekap KOMP"/>
      <sheetName val="REKAP TOTAL"/>
      <sheetName val="personil"/>
      <sheetName val="Kesimpulan"/>
      <sheetName val="Cov"/>
      <sheetName val="TBM"/>
      <sheetName val="S.UPAH"/>
      <sheetName val="S.BAHAN"/>
      <sheetName val="K-2007"/>
      <sheetName val="DataTeknis"/>
      <sheetName val="LAMA-3"/>
      <sheetName val="Managerial"/>
      <sheetName val="Analisa pemkot"/>
      <sheetName val="DATA-ALAT"/>
      <sheetName val="data_val"/>
      <sheetName val="Konsolidasi"/>
      <sheetName val="QTO-11P"/>
      <sheetName val="Simulasi"/>
      <sheetName val="RINCIAN PROGRES"/>
      <sheetName val="A+Supl."/>
      <sheetName val="IBRD Mandirancang"/>
      <sheetName val="An HS"/>
      <sheetName val="INDEKS"/>
      <sheetName val="Analisa Harga"/>
      <sheetName val="M+MC"/>
      <sheetName val="Xplor pattern 08.05"/>
      <sheetName val="D.BOARD"/>
      <sheetName val="PRD01-1"/>
      <sheetName val="SATDASAR"/>
      <sheetName val="MAJOR"/>
      <sheetName val="ADD-DISP-OTHER"/>
      <sheetName val="RPP01 6"/>
      <sheetName val="7.1(3)"/>
      <sheetName val="LKT - HL"/>
      <sheetName val="LKT - HS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Fill_this_out_first___7"/>
      <sheetName val="Potongan_RET1"/>
      <sheetName val="Prod_02_1"/>
      <sheetName val="LPP_DSU-21"/>
      <sheetName val="Analisa_Harga_Sat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an_mek9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DRUP (ASLI)"/>
      <sheetName val="INSTR"/>
      <sheetName val="Rekap Budget_R0"/>
      <sheetName val="Aggr"/>
      <sheetName val="Fire Fighting"/>
      <sheetName val="수주현황2월"/>
      <sheetName val="BQawal"/>
      <sheetName val="Gia"/>
      <sheetName val="LO"/>
      <sheetName val="LabaRugi"/>
      <sheetName val="rkap2008"/>
      <sheetName val="UshDeb00"/>
      <sheetName val="D&amp;W"/>
      <sheetName val="at 2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F1771-III"/>
      <sheetName val="Consol"/>
      <sheetName val="F1771-3"/>
      <sheetName val="DSERTIFIKAT"/>
      <sheetName val="DSTAF"/>
      <sheetName val="DATs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Ijin"/>
      <sheetName val="Hsatuan-OK"/>
      <sheetName val="Analisa Hrg Sat"/>
      <sheetName val="Lampiran Enc.No.6"/>
      <sheetName val="Rekaman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DSU"/>
      <sheetName val="RBP-5"/>
      <sheetName val="TPI"/>
      <sheetName val="Electrikal"/>
      <sheetName val="Elektronik"/>
      <sheetName val="Item Kompensasi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upahbahan"/>
      <sheetName val="PCV"/>
      <sheetName val="HSPK"/>
      <sheetName val="JBTNAS_Des2013"/>
      <sheetName val="Upah&amp;Bahan"/>
      <sheetName val="REK.EE"/>
      <sheetName val="UP MINOR"/>
      <sheetName val="LME"/>
      <sheetName val="Pernyataan"/>
      <sheetName val="Harga Mat "/>
      <sheetName val="TWO PASS"/>
      <sheetName val="THREE PASS"/>
      <sheetName val="5"/>
      <sheetName val="PROGRESS"/>
      <sheetName val="PAGE 1 "/>
      <sheetName val="TRNS-C1"/>
      <sheetName val="Anl.+"/>
      <sheetName val="poly-cut"/>
      <sheetName val="poly-fill"/>
      <sheetName val="HSUB"/>
      <sheetName val="7. Schedule edit"/>
      <sheetName val="MINGGUAN"/>
      <sheetName val="ANALISA PNL"/>
      <sheetName val="LAP. MINGG"/>
      <sheetName val="CAT_5"/>
      <sheetName val="Hrg"/>
      <sheetName val="unitprice"/>
      <sheetName val="WI"/>
      <sheetName val="BAHAN OK"/>
      <sheetName val="ANA (SNI)"/>
      <sheetName val="Pag_hal"/>
      <sheetName val="UNIT PRICE ANALYSIS (KSN)"/>
      <sheetName val="ANALISA STR &amp; ARS"/>
      <sheetName val="BARU-4_1"/>
      <sheetName val="FORM BQ TL PRATU 4cct"/>
      <sheetName val="Kamus"/>
      <sheetName val="ORGAN"/>
      <sheetName val="SKEDUL AV-05"/>
      <sheetName val="Daftar Paket"/>
      <sheetName val="srtberkas"/>
      <sheetName val="Urut"/>
      <sheetName val="harga Bhn&amp;Upah"/>
      <sheetName val="HIDRO"/>
      <sheetName val="RK"/>
      <sheetName val="paving Blok"/>
      <sheetName val="조건"/>
      <sheetName val="F1771-IV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PROCESS Typical 9"/>
      <sheetName val="rekap_A11"/>
      <sheetName val="rekap_b11"/>
      <sheetName val="grand_sum11"/>
      <sheetName val="HARGA_MATERIAL11"/>
      <sheetName val="BQ_ARS10"/>
      <sheetName val="H_Satuan10"/>
      <sheetName val="A-11_Steel_Str10"/>
      <sheetName val="A-03_Pile10"/>
      <sheetName val="RKP_ANL9"/>
      <sheetName val="REKAP_ARSITEKTUR_9"/>
      <sheetName val="Spec_ME9"/>
      <sheetName val="BQ_(by_owner)9"/>
      <sheetName val="rab_me_(fisik)9"/>
      <sheetName val="rab_me_(by_owner)_9"/>
      <sheetName val="Rekap_Direct_Cost9"/>
      <sheetName val="Paint_Type_B9"/>
      <sheetName val="Analisa_Tend9"/>
      <sheetName val="pintu_jendela9"/>
      <sheetName val="ELEMENT_SUM9"/>
      <sheetName val="01A-_RAB9"/>
      <sheetName val="Pekerjaan_9"/>
      <sheetName val="9_2~PK9"/>
      <sheetName val="Harga_Satuan9"/>
      <sheetName val="Analisa_Upah_&amp;_Bahan_Plum9"/>
      <sheetName val="HS_Bhn9"/>
      <sheetName val="Master_1_09"/>
      <sheetName val="Area_Tabulation19"/>
      <sheetName val="Proj_Data9"/>
      <sheetName val="SUM_TIANG_PC9"/>
      <sheetName val="Balok_L_118"/>
      <sheetName val="Analisa_29"/>
      <sheetName val="Daf__No__-_4_29"/>
      <sheetName val="Currency_Rate9"/>
      <sheetName val="An_Struktur9"/>
      <sheetName val="Unit_Rate__2_9"/>
      <sheetName val="HB_9"/>
      <sheetName val="DRAFT_KONSUMEN9"/>
      <sheetName val="Balok_L_119"/>
      <sheetName val="Weight_Bridge9"/>
      <sheetName val="CATU_DAYA_LISTRIK_PK9"/>
      <sheetName val="PERALATAN_&amp;_KATUP2_PK9"/>
      <sheetName val="PERALATAN_UTAMA_PK9"/>
      <sheetName val="CATU_DAYA_LISTRIK_PLB9"/>
      <sheetName val="PERALATAN_&amp;_KATUP2_PLB9"/>
      <sheetName val="PERALATAN_UTAMA_PLB9"/>
      <sheetName val="PEMIPAAN_PK9"/>
      <sheetName val="PEMIPAAN_PLB9"/>
      <sheetName val="Analisa_-Baku9"/>
      <sheetName val="Rekap_Prelim9"/>
      <sheetName val="4-Basic_Price9"/>
      <sheetName val="data_bahan9"/>
      <sheetName val="Sub_kon9"/>
      <sheetName val="Analisa_Teknik9"/>
      <sheetName val="Material_9"/>
      <sheetName val="Upah_borong9"/>
      <sheetName val="Analisa_alat_berat___9"/>
      <sheetName val="Alat_Berat9"/>
      <sheetName val="Instal_precast9"/>
      <sheetName val="An_str9"/>
      <sheetName val="Direct_Cost_Thp_29"/>
      <sheetName val="D2_29"/>
      <sheetName val="main_summary9"/>
      <sheetName val="TOTAL_Summary9"/>
      <sheetName val="bill_59"/>
      <sheetName val="Daftar_Harga_19"/>
      <sheetName val="M_AR-KUAT8"/>
      <sheetName val="PileCap_9"/>
      <sheetName val="Blk_B19"/>
      <sheetName val="COST-PERSON-J_O_9"/>
      <sheetName val="Tie_Beam9"/>
      <sheetName val="Blk_Lt1-Lt__39"/>
      <sheetName val="an__struktur9"/>
      <sheetName val="ASPAL_(14)9"/>
      <sheetName val="DAFTAR_HARGA9"/>
      <sheetName val="GRAND_TOTAL9"/>
      <sheetName val="struktur_tdk_dipakai9"/>
      <sheetName val="Analisa_Upah___Bahan_Plum9"/>
      <sheetName val="Satuan_Dasar9"/>
      <sheetName val="Analisa_&amp;_Upah8"/>
      <sheetName val="harga_9"/>
      <sheetName val="UPAH_+_ALAT9"/>
      <sheetName val="Rekap_DBAK8"/>
      <sheetName val="ME_UMY8"/>
      <sheetName val="ANAL_KOEF9"/>
      <sheetName val="Sumber_Daya9"/>
      <sheetName val="An-Pre_9"/>
      <sheetName val="_______BoQ________8"/>
      <sheetName val="Analisa_STR9"/>
      <sheetName val="Kolom_UT9"/>
      <sheetName val="Faktor_Markup9"/>
      <sheetName val="Data_Markup9"/>
      <sheetName val="M_Pekerjaan9"/>
      <sheetName val="B_-_Norelec8"/>
      <sheetName val="basic_price8"/>
      <sheetName val="Dftr_Barang9"/>
      <sheetName val="Perm__Test8"/>
      <sheetName val="List_Doc8"/>
      <sheetName val="POS_12348"/>
      <sheetName val="Unit_Price8"/>
      <sheetName val="Agregat_Halus_&amp;_Kasar9"/>
      <sheetName val="Ring_Balok8"/>
      <sheetName val="ans_harga8"/>
      <sheetName val="Material_Master8"/>
      <sheetName val="RAB_AR&amp;STR8"/>
      <sheetName val="BQ_STR8"/>
      <sheetName val="12__Analisa8"/>
      <sheetName val="Bahan_Upah_Alat8"/>
      <sheetName val="2_109"/>
      <sheetName val="Tie_Beam_GN8"/>
      <sheetName val="Schedule_Rev8"/>
      <sheetName val="PRINT_OUT8"/>
      <sheetName val="D_&amp;_W_sizes8"/>
      <sheetName val="An_H_Sat_Pek_Ut8"/>
      <sheetName val="D_788"/>
      <sheetName val="D_798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banding_hrg8"/>
      <sheetName val="AMD_I8"/>
      <sheetName val="HRG_BHN8"/>
      <sheetName val="Upah_&amp;_Bahan8"/>
      <sheetName val="PRD_01-38"/>
      <sheetName val="surfacing_&amp;_point___8"/>
      <sheetName val="stone_mas_ARE8"/>
      <sheetName val="Hrg_Sat8"/>
      <sheetName val="D3_18"/>
      <sheetName val="Man_Power8"/>
      <sheetName val="HSBU_ANA8"/>
      <sheetName val="ANALISA_PEK_UMUM8"/>
      <sheetName val="analisa_PUBM8"/>
      <sheetName val="VOLUME_BAJA9"/>
      <sheetName val="Bahan_8"/>
      <sheetName val="Master_Edit8"/>
      <sheetName val="Bill_of_Qty_MEP8"/>
      <sheetName val="Daf_18"/>
      <sheetName val="HB_ARSITEKTUR8"/>
      <sheetName val="HB_STRUKTUR8"/>
      <sheetName val="Price_Biaya_Cadangan8"/>
      <sheetName val="BQ_Rekapitulasi__Akhir8"/>
      <sheetName val="RKP_PLUMBING8"/>
      <sheetName val="Prog_korp8"/>
      <sheetName val="anls_space_frame8"/>
      <sheetName val="Har_Sat8"/>
      <sheetName val="ANALISA_ME8"/>
      <sheetName val="DAFT_ALAT,UPAH_&amp;_MAT8"/>
      <sheetName val="Analisa_BOW_078"/>
      <sheetName val="Metod_TWR8"/>
      <sheetName val="An_Arsitektur8"/>
      <sheetName val="Bill_No_2_1_8"/>
      <sheetName val="RAB_18"/>
      <sheetName val="D2_2_18"/>
      <sheetName val="Kolom_B_3a_&amp;_3b8"/>
      <sheetName val="Rasio_Plat8"/>
      <sheetName val="Keb__besi_&amp;_Beton8"/>
      <sheetName val="Raff_Foundation_Ok8"/>
      <sheetName val="Pile_Cape_Ok8"/>
      <sheetName val="Caping_Beam8"/>
      <sheetName val="DDG__STP8"/>
      <sheetName val="DDG__GWT8"/>
      <sheetName val="Ret__Wall8"/>
      <sheetName val="Balok_Bsm_3B-1B8"/>
      <sheetName val="Balok_GF8"/>
      <sheetName val="Balok_P1-P28"/>
      <sheetName val="Balok_P38"/>
      <sheetName val="Balok_5-6-78"/>
      <sheetName val="Balok_8-9-108"/>
      <sheetName val="Balok_11-12-158"/>
      <sheetName val="Balok_16-17-188"/>
      <sheetName val="Balok_19-20-218"/>
      <sheetName val="Balok_22-23-258"/>
      <sheetName val="Balok_26-27-288"/>
      <sheetName val="Balok_29-30-318"/>
      <sheetName val="Balok_32-33-358"/>
      <sheetName val="Balok_36-37-38-398"/>
      <sheetName val="Balok_Atap8"/>
      <sheetName val="Kolom_B_2a_&amp;_2b8"/>
      <sheetName val="Kolom_B_1a_&amp;_1b8"/>
      <sheetName val="Kolom_GF_A_&amp;_B8"/>
      <sheetName val="Kolom_Mezzanine8"/>
      <sheetName val="Kolom_P1A_&amp;_P1B8"/>
      <sheetName val="Kolom_P2A_&amp;_P2B8"/>
      <sheetName val="Kolom_P38"/>
      <sheetName val="Kolom_5,68"/>
      <sheetName val="Kolom_7,8,9,10,11,12,15,16,178"/>
      <sheetName val="Kolom_18,19,20,21,22,23,258"/>
      <sheetName val="Kolom_26_s_d_33,_35_s_d_atap8"/>
      <sheetName val="SW__18"/>
      <sheetName val="SW__28"/>
      <sheetName val="SW__38"/>
      <sheetName val="SW__48"/>
      <sheetName val="SW__58"/>
      <sheetName val="SW__68"/>
      <sheetName val="SW__78"/>
      <sheetName val="SW__88"/>
      <sheetName val="SW__98"/>
      <sheetName val="Tangga_Utama8"/>
      <sheetName val="Tangga_Unit8"/>
      <sheetName val="Planter_Box8"/>
      <sheetName val="BQ_3_2_STRUKTUR_-BAWAH_8"/>
      <sheetName val="Balok_Ramp8"/>
      <sheetName val="2-Genset_print8"/>
      <sheetName val="F_ALARM8"/>
      <sheetName val="An_Ars8"/>
      <sheetName val="Daf-1_Persiapan8"/>
      <sheetName val="ALL_SUM8"/>
      <sheetName val="+45,200_&amp;_+45,700_(Salah)8"/>
      <sheetName val="B_2(LANJUTAN)8"/>
      <sheetName val="List_Plafound_Gypsum6"/>
      <sheetName val="List_Plafound_WR6"/>
      <sheetName val="Screning_Ac6"/>
      <sheetName val="Evaluasi_(_1_)6"/>
      <sheetName val="Detail_BUL8"/>
      <sheetName val="RAB_fisik8"/>
      <sheetName val="L__Hr8"/>
      <sheetName val="Cold_Miling8"/>
      <sheetName val="pro_ra_op6"/>
      <sheetName val="Tubing_&amp;_fitting8"/>
      <sheetName val="Pengalaman_Per8"/>
      <sheetName val="Gal_Jack_Hammer6"/>
      <sheetName val="BILL_46"/>
      <sheetName val="Harga_Bahan6"/>
      <sheetName val="HSA_&amp;_PAB6"/>
      <sheetName val="Harga_Upah_6"/>
      <sheetName val="iTEM_hARSAT6"/>
      <sheetName val="4_2_16"/>
      <sheetName val="Cash_Flow_bulanan6"/>
      <sheetName val="Daf-III_1_1__Dinding_PARKIR6"/>
      <sheetName val="DAf-III_8__Facade6"/>
      <sheetName val="Daf-III_2_2__Pintu_TOWER6"/>
      <sheetName val="JUMLAHAN_TOTAL_6"/>
      <sheetName val="Daf-III_1_2__Dinding_TOWER6"/>
      <sheetName val="Rencana_S_curve6"/>
      <sheetName val="Cash_flow_detail_breakdown6"/>
      <sheetName val="List_H_Bahan&amp;Upah6"/>
      <sheetName val="HSP_swk6"/>
      <sheetName val="Harsat_Bahan6"/>
      <sheetName val="Harsat_Upah6"/>
      <sheetName val="DF-7_(2)6"/>
      <sheetName val="Analisa_PL6"/>
      <sheetName val="6PILE__(돌출)6"/>
      <sheetName val="D1__Plint6"/>
      <sheetName val="Kell_Plint-TH6"/>
      <sheetName val="Kel__Dind-TH6"/>
      <sheetName val="REKAP_BACKUP_MC_43"/>
      <sheetName val="REKAP_BACKUP_MC33"/>
      <sheetName val="7_공정표3"/>
      <sheetName val="Analisa_Tambahan6"/>
      <sheetName val="EPB_6"/>
      <sheetName val="UPH_BHN6"/>
      <sheetName val="PERALATAN_UTAMA_AC5"/>
      <sheetName val="inves_alat6"/>
      <sheetName val="dashboard_VERSI_BATUBARA6"/>
      <sheetName val="Bill_2_35"/>
      <sheetName val="Bill_2_5B5"/>
      <sheetName val="Bill_2_15"/>
      <sheetName val="AHS_Marka6"/>
      <sheetName val="ANALISA_SNI'07rootsREV5"/>
      <sheetName val="Harga_Dasar6"/>
      <sheetName val="rab_strktr_ars_print6"/>
      <sheetName val="REKAP_5"/>
      <sheetName val="Unit_Cost6"/>
      <sheetName val="NP_(2)6"/>
      <sheetName val="Gudang_non_AC-AC_Struktur5"/>
      <sheetName val="Harga_Bahan_&amp;_Upah_3"/>
      <sheetName val="Harga_Bahan_&amp;_Upah3"/>
      <sheetName val="Price_List5"/>
      <sheetName val="Isolasi_Luar_Dalam6"/>
      <sheetName val="Isolasi_Luar6"/>
      <sheetName val="REKAP_VOLUME7"/>
      <sheetName val="Eva__Progres6"/>
      <sheetName val="INPUT_AGST5"/>
      <sheetName val="KODE_UPAH5"/>
      <sheetName val="UNIT_FAN5"/>
      <sheetName val="Piping_Design_Data5"/>
      <sheetName val="PENGAL_yg_Dilaksanakan5"/>
      <sheetName val="Surat_Pernyataan6"/>
      <sheetName val="FORM_3A5"/>
      <sheetName val="AnalisaSIPIL_RIIL3"/>
      <sheetName val="Analisa_SNI_STANDART_3"/>
      <sheetName val="anl_sa5"/>
      <sheetName val="B_as5"/>
      <sheetName val="Sum_EL3"/>
      <sheetName val="A-11_Steel_Str_(2)3"/>
      <sheetName val="GRAND_REKAP3"/>
      <sheetName val="AnalisaSIPIL_RIIL_RAP3"/>
      <sheetName val="Harsat_Pekerjaan3"/>
      <sheetName val="Grand_summary3"/>
      <sheetName val="Pek_Luar5"/>
      <sheetName val="Prod_Alat5"/>
      <sheetName val="SATUAN_3"/>
      <sheetName val="DAFTAR_72"/>
      <sheetName val="Sat_Upah3"/>
      <sheetName val="Cost_Summary2"/>
      <sheetName val="Exch_rate3"/>
      <sheetName val="REKAP_ANALISA3"/>
      <sheetName val="ANALISA_SNI'08(ubh_bgsting)3"/>
      <sheetName val="Summary_3"/>
      <sheetName val="Analisa_Tend_(2)3"/>
      <sheetName val="Alat_PL3"/>
      <sheetName val="Sat-Bhn&amp;Upah_Paket_045"/>
      <sheetName val="L-3_DHSD5"/>
      <sheetName val="BD_2_1_-_7_1(8)5"/>
      <sheetName val="RL_Biaya5"/>
      <sheetName val="HARGA_SATUAN_ARS3"/>
      <sheetName val="UP_SNI3"/>
      <sheetName val="Pile_Cap3"/>
      <sheetName val="TAMBAHAN_PANCANG3"/>
      <sheetName val="REKAP_BESI_BATANG3"/>
      <sheetName val="Rincian_Bunga_Bank3"/>
      <sheetName val="Analisa_Sipil3"/>
      <sheetName val="B_D_AHS63"/>
      <sheetName val="INPUT_HARIAN3"/>
      <sheetName val="Basic_Data2"/>
      <sheetName val="Unit_Rate2"/>
      <sheetName val="UPAH_&amp;_BHN_ARS2"/>
      <sheetName val="AHS_ARS2"/>
      <sheetName val="Anls_Bow2"/>
      <sheetName val="Sat_Bow2"/>
      <sheetName val="a_h_ars2"/>
      <sheetName val="Sub_Penjumlahan2"/>
      <sheetName val="Std-Prod_KS3"/>
      <sheetName val="A__Asumsi20153"/>
      <sheetName val="an_mek10"/>
      <sheetName val="MULAI_MASUK_STAF_"/>
      <sheetName val="C_2_"/>
      <sheetName val="2_5_"/>
      <sheetName val="3_a__Lap_Hasil_Usaha"/>
      <sheetName val="3_Koef_Alat"/>
      <sheetName val="Sheet1_(3)1"/>
      <sheetName val="Tabel_Besi1"/>
      <sheetName val="BQ_All_21"/>
      <sheetName val="Bill_No_11"/>
      <sheetName val="Analisa_Gabungan1"/>
      <sheetName val="AGGREGAT_KLAS_C1"/>
      <sheetName val="Upah_dan_Bahan_1"/>
      <sheetName val="HRG_BAHAN_&amp;_UPAH_okk"/>
      <sheetName val="Analis_Kusen_okk"/>
      <sheetName val="Analisa_Alat_Berat"/>
      <sheetName val="nama_PT_1"/>
      <sheetName val="Hrg_Dsr1"/>
      <sheetName val="UNIT_PRICE_WAGE_and_MATERIAL1"/>
      <sheetName val="Galian_11"/>
      <sheetName val="OP__ALAT1"/>
      <sheetName val="OP__PERJAM1"/>
      <sheetName val="B__PERSONIL1"/>
      <sheetName val="KAN__LOKAL1"/>
      <sheetName val="UPAH_1"/>
      <sheetName val="1_2"/>
      <sheetName val="renc_kerja_DK7_2009"/>
      <sheetName val="Rekap_Tahap_1"/>
      <sheetName val="Rekap_Akhir"/>
      <sheetName val="1__Rekap_A"/>
      <sheetName val="Analisa_BOW_08_NP"/>
      <sheetName val="Harga_satuan_sintel"/>
      <sheetName val="Ana__PU"/>
      <sheetName val="urain_teknis"/>
      <sheetName val="_IB-PL-00-01_SUMMARY"/>
      <sheetName val="Option_List"/>
      <sheetName val="ANAL_BOW"/>
      <sheetName val="TON__per_Jam1"/>
      <sheetName val="CAB_2"/>
      <sheetName val="Harga_Sat"/>
      <sheetName val="Alat_B"/>
      <sheetName val="BARU-4_"/>
      <sheetName val="ANALIS_2"/>
      <sheetName val="BA_Just"/>
      <sheetName val="2__MVAC_R1"/>
      <sheetName val="1__BQ"/>
      <sheetName val="Pintu_Air"/>
      <sheetName val="ALS-TANAH_&amp;URG"/>
      <sheetName val="Rekap_KOMP"/>
      <sheetName val="REKAP_TOTAL"/>
      <sheetName val="Kuitansi_(terbilang)1"/>
      <sheetName val="1195_B11"/>
      <sheetName val="BERAT_TUL_"/>
      <sheetName val="GWT_"/>
      <sheetName val="Analisa_Alat6"/>
      <sheetName val="DIV_1"/>
      <sheetName val="Harsat_Mekanikal_"/>
      <sheetName val="S_UPAH"/>
      <sheetName val="S_BAHAN"/>
      <sheetName val="Analisa_pemkot"/>
      <sheetName val="ANALISA_(2)6"/>
      <sheetName val="rekap_A12"/>
      <sheetName val="rekap_b12"/>
      <sheetName val="grand_sum12"/>
      <sheetName val="HARGA_MATERIAL12"/>
      <sheetName val="BQ_ARS11"/>
      <sheetName val="H_Satuan11"/>
      <sheetName val="A-11_Steel_Str11"/>
      <sheetName val="A-03_Pile11"/>
      <sheetName val="Paint_Type_B10"/>
      <sheetName val="Spec_ME10"/>
      <sheetName val="RKP_ANL10"/>
      <sheetName val="REKAP_ARSITEKTUR_10"/>
      <sheetName val="BQ_(by_owner)10"/>
      <sheetName val="rab_me_(fisik)10"/>
      <sheetName val="rab_me_(by_owner)_10"/>
      <sheetName val="pintu_jendela10"/>
      <sheetName val="01A-_RAB10"/>
      <sheetName val="ELEMENT_SUM10"/>
      <sheetName val="9_2~PK10"/>
      <sheetName val="Harga_Satuan10"/>
      <sheetName val="Analisa_Upah_&amp;_Bahan_Plum10"/>
      <sheetName val="Area_Tabulation110"/>
      <sheetName val="Proj_Data10"/>
      <sheetName val="Rekap_Direct_Cost10"/>
      <sheetName val="Balok_L_120"/>
      <sheetName val="SUM_TIANG_PC10"/>
      <sheetName val="Analisa_Tend10"/>
      <sheetName val="Daf__No__-_4_210"/>
      <sheetName val="Currency_Rate10"/>
      <sheetName val="Analisa_210"/>
      <sheetName val="Pekerjaan_10"/>
      <sheetName val="Master_1_010"/>
      <sheetName val="Analisa_-Baku10"/>
      <sheetName val="Rekap_Prelim10"/>
      <sheetName val="Balok_L_121"/>
      <sheetName val="Weight_Bridge10"/>
      <sheetName val="COST-PERSON-J_O_10"/>
      <sheetName val="DRAFT_KONSUMEN10"/>
      <sheetName val="data_bahan10"/>
      <sheetName val="Sub_kon10"/>
      <sheetName val="Analisa_Teknik10"/>
      <sheetName val="Material_10"/>
      <sheetName val="Upah_borong10"/>
      <sheetName val="Analisa_alat_berat___10"/>
      <sheetName val="Alat_Berat10"/>
      <sheetName val="Instal_precast10"/>
      <sheetName val="4-Basic_Price10"/>
      <sheetName val="CATU_DAYA_LISTRIK_PK10"/>
      <sheetName val="PERALATAN_&amp;_KATUP2_PK10"/>
      <sheetName val="PERALATAN_UTAMA_PK10"/>
      <sheetName val="CATU_DAYA_LISTRIK_PLB10"/>
      <sheetName val="PERALATAN_&amp;_KATUP2_PLB10"/>
      <sheetName val="PERALATAN_UTAMA_PLB10"/>
      <sheetName val="PEMIPAAN_PK10"/>
      <sheetName val="PEMIPAAN_PLB10"/>
      <sheetName val="HB_10"/>
      <sheetName val="PileCap_10"/>
      <sheetName val="Blk_B110"/>
      <sheetName val="An_Struktur10"/>
      <sheetName val="Unit_Rate__2_10"/>
      <sheetName val="D2_210"/>
      <sheetName val="An_str10"/>
      <sheetName val="Direct_Cost_Thp_210"/>
      <sheetName val="Tie_Beam10"/>
      <sheetName val="Blk_Lt1-Lt__310"/>
      <sheetName val="GRAND_TOTAL10"/>
      <sheetName val="ASPAL_(14)10"/>
      <sheetName val="DAFTAR_HARGA10"/>
      <sheetName val="basic_price9"/>
      <sheetName val="an__struktur10"/>
      <sheetName val="BQ_STR9"/>
      <sheetName val="struktur_tdk_dipakai10"/>
      <sheetName val="HS_Bhn10"/>
      <sheetName val="TOTAL_Summary10"/>
      <sheetName val="bill_510"/>
      <sheetName val="harga_10"/>
      <sheetName val="UPAH_+_ALAT10"/>
      <sheetName val="An-Pre_10"/>
      <sheetName val="Analisa_Upah___Bahan_Plum10"/>
      <sheetName val="_______BoQ________9"/>
      <sheetName val="Satuan_Dasar10"/>
      <sheetName val="ANAL_KOEF10"/>
      <sheetName val="Sumber_Daya10"/>
      <sheetName val="main_summary10"/>
      <sheetName val="Daftar_Harga_110"/>
      <sheetName val="Kolom_UT10"/>
      <sheetName val="B_-_Norelec9"/>
      <sheetName val="Rekap_DBAK9"/>
      <sheetName val="ME_UMY9"/>
      <sheetName val="Analisa_&amp;_Upah9"/>
      <sheetName val="Perm__Test9"/>
      <sheetName val="Faktor_Markup10"/>
      <sheetName val="Data_Markup10"/>
      <sheetName val="M_Pekerjaan10"/>
      <sheetName val="M_AR-KUAT9"/>
      <sheetName val="Material_Master9"/>
      <sheetName val="2_1010"/>
      <sheetName val="Analisa_STR10"/>
      <sheetName val="Ring_Balok9"/>
      <sheetName val="Dftr_Barang10"/>
      <sheetName val="Agregat_Halus_&amp;_Kasar10"/>
      <sheetName val="an_mek11"/>
      <sheetName val="RAB_AR&amp;STR9"/>
      <sheetName val="12__Analisa9"/>
      <sheetName val="PRINT_OUT9"/>
      <sheetName val="D_&amp;_W_sizes9"/>
      <sheetName val="An_H_Sat_Pek_Ut9"/>
      <sheetName val="D_789"/>
      <sheetName val="D_79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anding_hrg9"/>
      <sheetName val="AMD_I9"/>
      <sheetName val="Bahan_Upah_Alat9"/>
      <sheetName val="ans_harga9"/>
      <sheetName val="POS_12349"/>
      <sheetName val="Unit_Price9"/>
      <sheetName val="HRG_BHN9"/>
      <sheetName val="Upah_&amp;_Bahan9"/>
      <sheetName val="PRD_01-39"/>
      <sheetName val="surfacing_&amp;_point___9"/>
      <sheetName val="stone_mas_ARE9"/>
      <sheetName val="Hrg_Sat9"/>
      <sheetName val="D3_19"/>
      <sheetName val="Tie_Beam_GN9"/>
      <sheetName val="Schedule_Rev9"/>
      <sheetName val="Man_Power9"/>
      <sheetName val="HSBU_ANA9"/>
      <sheetName val="ANALISA_PEK_UMUM9"/>
      <sheetName val="analisa_PUBM9"/>
      <sheetName val="VOLUME_BAJA10"/>
      <sheetName val="Bahan_9"/>
      <sheetName val="Master_Edit9"/>
      <sheetName val="Bill_of_Qty_MEP9"/>
      <sheetName val="Daf_19"/>
      <sheetName val="HB_ARSITEKTUR9"/>
      <sheetName val="HB_STRUKTUR9"/>
      <sheetName val="Price_Biaya_Cadangan9"/>
      <sheetName val="BQ_Rekapitulasi__Akhir9"/>
      <sheetName val="RKP_PLUMBING9"/>
      <sheetName val="Prog_korp9"/>
      <sheetName val="An_Ars9"/>
      <sheetName val="anls_space_frame9"/>
      <sheetName val="RAB_19"/>
      <sheetName val="Har_Sat9"/>
      <sheetName val="Bill_No_2_1_9"/>
      <sheetName val="An_Arsitektur9"/>
      <sheetName val="Analisa_BOW_079"/>
      <sheetName val="Kolom_B_3a_&amp;_3b9"/>
      <sheetName val="Rasio_Plat9"/>
      <sheetName val="Keb__besi_&amp;_Beton9"/>
      <sheetName val="Raff_Foundation_Ok9"/>
      <sheetName val="Pile_Cape_Ok9"/>
      <sheetName val="Caping_Beam9"/>
      <sheetName val="DDG__STP9"/>
      <sheetName val="DDG__GWT9"/>
      <sheetName val="Ret__Wall9"/>
      <sheetName val="Balok_Bsm_3B-1B9"/>
      <sheetName val="Balok_GF9"/>
      <sheetName val="Balok_P1-P29"/>
      <sheetName val="Balok_P39"/>
      <sheetName val="Balok_5-6-79"/>
      <sheetName val="Balok_8-9-109"/>
      <sheetName val="Balok_11-12-159"/>
      <sheetName val="Balok_16-17-189"/>
      <sheetName val="Balok_19-20-219"/>
      <sheetName val="Balok_22-23-259"/>
      <sheetName val="Balok_26-27-289"/>
      <sheetName val="Balok_29-30-319"/>
      <sheetName val="Balok_32-33-359"/>
      <sheetName val="Balok_36-37-38-399"/>
      <sheetName val="Balok_Atap9"/>
      <sheetName val="Kolom_B_2a_&amp;_2b9"/>
      <sheetName val="Kolom_B_1a_&amp;_1b9"/>
      <sheetName val="Kolom_GF_A_&amp;_B9"/>
      <sheetName val="Kolom_Mezzanine9"/>
      <sheetName val="Kolom_P1A_&amp;_P1B9"/>
      <sheetName val="Kolom_P2A_&amp;_P2B9"/>
      <sheetName val="Kolom_P39"/>
      <sheetName val="Kolom_5,69"/>
      <sheetName val="Kolom_7,8,9,10,11,12,15,16,179"/>
      <sheetName val="Kolom_18,19,20,21,22,23,259"/>
      <sheetName val="Kolom_26_s_d_33,_35_s_d_atap9"/>
      <sheetName val="SW__19"/>
      <sheetName val="SW__29"/>
      <sheetName val="SW__39"/>
      <sheetName val="SW__49"/>
      <sheetName val="SW__59"/>
      <sheetName val="SW__69"/>
      <sheetName val="SW__79"/>
      <sheetName val="SW__89"/>
      <sheetName val="SW__99"/>
      <sheetName val="Tangga_Utama9"/>
      <sheetName val="Tangga_Unit9"/>
      <sheetName val="Planter_Box9"/>
      <sheetName val="BQ_3_2_STRUKTUR_-BAWAH_9"/>
      <sheetName val="Balok_Ramp9"/>
      <sheetName val="Gal_Jack_Hammer7"/>
      <sheetName val="DAFT_ALAT,UPAH_&amp;_MAT9"/>
      <sheetName val="List_Doc9"/>
      <sheetName val="ANALISA_ME9"/>
      <sheetName val="Detail_BUL9"/>
      <sheetName val="2-Genset_print9"/>
      <sheetName val="L__Hr9"/>
      <sheetName val="Metod_TWR9"/>
      <sheetName val="F_ALARM9"/>
      <sheetName val="inves_alat7"/>
      <sheetName val="dashboard_VERSI_BATUBARA7"/>
      <sheetName val="Bill_2_36"/>
      <sheetName val="Bill_2_5B6"/>
      <sheetName val="Bill_2_16"/>
      <sheetName val="ALL_SUM9"/>
      <sheetName val="+45,200_&amp;_+45,700_(Salah)9"/>
      <sheetName val="D1__Plint7"/>
      <sheetName val="D2_2_19"/>
      <sheetName val="Daf-1_Persiapan9"/>
      <sheetName val="BILL_47"/>
      <sheetName val="Pengalaman_Per9"/>
      <sheetName val="Tubing_&amp;_fitting9"/>
      <sheetName val="Analisa_PL7"/>
      <sheetName val="Harsat_Bahan7"/>
      <sheetName val="Harsat_Upah7"/>
      <sheetName val="B_2(LANJUTAN)9"/>
      <sheetName val="iTEM_hARSAT7"/>
      <sheetName val="4_2_17"/>
      <sheetName val="Cash_Flow_bulanan7"/>
      <sheetName val="Daf-III_1_1__Dinding_PARKIR7"/>
      <sheetName val="DAf-III_8__Facade7"/>
      <sheetName val="Daf-III_2_2__Pintu_TOWER7"/>
      <sheetName val="JUMLAHAN_TOTAL_7"/>
      <sheetName val="Daf-III_1_2__Dinding_TOWER7"/>
      <sheetName val="Rencana_S_curve7"/>
      <sheetName val="Cash_flow_detail_breakdown7"/>
      <sheetName val="List_H_Bahan&amp;Upah7"/>
      <sheetName val="List_Plafound_Gypsum7"/>
      <sheetName val="List_Plafound_WR7"/>
      <sheetName val="Screning_Ac7"/>
      <sheetName val="Evaluasi_(_1_)7"/>
      <sheetName val="Cold_Miling9"/>
      <sheetName val="Harga_Bahan7"/>
      <sheetName val="HSA_&amp;_PAB7"/>
      <sheetName val="Harga_Upah_7"/>
      <sheetName val="RAB_fisik9"/>
      <sheetName val="HSP_swk7"/>
      <sheetName val="DF-7_(2)7"/>
      <sheetName val="AHS_Marka7"/>
      <sheetName val="REKAP_VOLUME8"/>
      <sheetName val="Eva__Progres7"/>
      <sheetName val="Surat_Pernyataan7"/>
      <sheetName val="REKAP_BACKUP_MC_44"/>
      <sheetName val="REKAP_BACKUP_MC34"/>
      <sheetName val="7_공정표4"/>
      <sheetName val="AnalisaSIPIL_RIIL4"/>
      <sheetName val="Isolasi_Luar_Dalam7"/>
      <sheetName val="Isolasi_Luar7"/>
      <sheetName val="pro_ra_op7"/>
      <sheetName val="INPUT_AGST6"/>
      <sheetName val="KODE_UPAH6"/>
      <sheetName val="Kell_Plint-TH7"/>
      <sheetName val="Kel__Dind-TH7"/>
      <sheetName val="EPB_7"/>
      <sheetName val="UPH_BHN7"/>
      <sheetName val="6PILE__(돌출)7"/>
      <sheetName val="Analisa_Tambahan7"/>
      <sheetName val="Unit_Cost7"/>
      <sheetName val="NP_(2)7"/>
      <sheetName val="Fill_this_out_first___8"/>
      <sheetName val="anl_sa6"/>
      <sheetName val="B_as6"/>
      <sheetName val="jml_pekerja3"/>
      <sheetName val="ANALISA_(2)7"/>
      <sheetName val="Gudang_non_AC-AC_Struktur6"/>
      <sheetName val="Harga_Dasar7"/>
      <sheetName val="Harga_Bahan_&amp;_Upah_4"/>
      <sheetName val="Harga_Bahan_&amp;_Upah4"/>
      <sheetName val="Price_List6"/>
      <sheetName val="harsat_sdy3"/>
      <sheetName val="URUTAN_BUKA3"/>
      <sheetName val="BL_(1)3"/>
      <sheetName val="Harga_Sat_APP3"/>
      <sheetName val="Unit_Costs3"/>
      <sheetName val="Analisa_SNI_STANDART_4"/>
      <sheetName val="Daf_Besi3"/>
      <sheetName val="Schedule_11a3"/>
      <sheetName val="Septick_tank3"/>
      <sheetName val="II_3_HSD3"/>
      <sheetName val="PERALATAN_UTAMA_AC6"/>
      <sheetName val="Input_Data4"/>
      <sheetName val="DATA_PROYEK3"/>
      <sheetName val="HO_Status3"/>
      <sheetName val="Exch_rate4"/>
      <sheetName val="UNIT_FAN6"/>
      <sheetName val="Pek_Luar6"/>
      <sheetName val="AnalisaSIPIL_RIIL_RAP4"/>
      <sheetName val="Harsat_Pekerjaan4"/>
      <sheetName val="ANALISA_SNI'07rootsREV6"/>
      <sheetName val="H_Upah3"/>
      <sheetName val="Nur_Rachmat3"/>
      <sheetName val="Nur_Rachmat_(3)3"/>
      <sheetName val="BA_Potong_(7)3"/>
      <sheetName val="BSA_(10)3"/>
      <sheetName val="A-11_Steel_Str_(2)4"/>
      <sheetName val="GRAND_REKAP4"/>
      <sheetName val="Sum_EL4"/>
      <sheetName val="HARGA_SATUAN_ARS4"/>
      <sheetName val="FORM_3A6"/>
      <sheetName val="L-3_DHSD6"/>
      <sheetName val="BD_2_1_-_7_1(8)6"/>
      <sheetName val="rab_strktr_ars_print7"/>
      <sheetName val="PENGAL_yg_Dilaksanakan6"/>
      <sheetName val="Piping_Design_Data6"/>
      <sheetName val="Form_AHS3"/>
      <sheetName val="Week9-Feb____3"/>
      <sheetName val="DIV_36"/>
      <sheetName val="DIV_93"/>
      <sheetName val="div_73"/>
      <sheetName val="RPP01_33"/>
      <sheetName val="Grand_summary4"/>
      <sheetName val="DATA_OP3"/>
      <sheetName val="Sat_Upah4"/>
      <sheetName val="Summary_4"/>
      <sheetName val="B___Norelec8"/>
      <sheetName val="Alat_PL4"/>
      <sheetName val="SATUAN_4"/>
      <sheetName val="REKAP_ANALISA4"/>
      <sheetName val="ANALISA_SNI'08(ubh_bgsting)4"/>
      <sheetName val="Sat-Bhn&amp;Upah_Paket_046"/>
      <sheetName val="Data_PJ3"/>
      <sheetName val="Pintu_Jendela_per_lantai_3"/>
      <sheetName val="Pile_Cap4"/>
      <sheetName val="TAMBAHAN_PANCANG4"/>
      <sheetName val="REKAP_BESI_BATANG4"/>
      <sheetName val="Rincian_Bunga_Bank4"/>
      <sheetName val="B_ARC3"/>
      <sheetName val="Rek_An3"/>
      <sheetName val="River_Protect3"/>
      <sheetName val="Prod_Alat6"/>
      <sheetName val="Rek_Cianten33"/>
      <sheetName val="RAB_(OK)3"/>
      <sheetName val="Standby_Alat3"/>
      <sheetName val="PRD_01-93"/>
      <sheetName val="PRD_01-113"/>
      <sheetName val="PRD_01-53"/>
      <sheetName val="PRD_01-63"/>
      <sheetName val="PRD_01-83"/>
      <sheetName val="PRD_01-73"/>
      <sheetName val="Anls_Bow3"/>
      <sheetName val="Sat_Bow3"/>
      <sheetName val="Analisa_Sipil4"/>
      <sheetName val="B_D_AHS64"/>
      <sheetName val="INPUT_HARIAN4"/>
      <sheetName val="Cost_Summary3"/>
      <sheetName val="RL_Biaya6"/>
      <sheetName val="A__Asumsi20154"/>
      <sheetName val="1_Quot-Grissik3"/>
      <sheetName val="Detail_Piutang3"/>
      <sheetName val="KODE_REK3"/>
      <sheetName val="4__Kata_Pengantar3"/>
      <sheetName val="L_BA_blok3"/>
      <sheetName val="LINK-MAST__BASIC_PRICE3"/>
      <sheetName val="Analisa_Tend_(2)4"/>
      <sheetName val="Basic_Data3"/>
      <sheetName val="DAFTAR_73"/>
      <sheetName val="UP_SNI4"/>
      <sheetName val="Std-Prod_KS4"/>
      <sheetName val="Sub_Penjumlahan3"/>
      <sheetName val="a_h_ars3"/>
      <sheetName val="CF_Rincian2"/>
      <sheetName val="10_yr_val2"/>
      <sheetName val="Analisa_Ruko2"/>
      <sheetName val="Permanent_info2"/>
      <sheetName val="Market_Positioning2"/>
      <sheetName val="hrg-sat_pek2"/>
      <sheetName val="Fill_this_out_first___9"/>
      <sheetName val="Unit_Rate3"/>
      <sheetName val="Bill_22"/>
      <sheetName val="Basic_P2"/>
      <sheetName val="UPAH_&amp;_BHN_ARS3"/>
      <sheetName val="AHS_ARS3"/>
      <sheetName val="F_1_1_G_ST_1A2"/>
      <sheetName val="List_Plant2"/>
      <sheetName val="D-3_(M)2"/>
      <sheetName val="D-7_(M)2"/>
      <sheetName val="AN_Beton2"/>
      <sheetName val="AN_Kusen2"/>
      <sheetName val="DIV_22"/>
      <sheetName val="DIV_52"/>
      <sheetName val="TS_(A3)2"/>
      <sheetName val="GD_142"/>
      <sheetName val="RAB_Temiling_2"/>
      <sheetName val="Potongan_RET2"/>
      <sheetName val="Analisa_Harga_Sat2"/>
      <sheetName val="rincian_A2"/>
      <sheetName val="Prod_02_2"/>
      <sheetName val="Propose_Range2"/>
      <sheetName val="Cco_(2)2"/>
      <sheetName val="Spek_Kusen8"/>
      <sheetName val="Gross_Area8"/>
      <sheetName val="BoQ_C48"/>
      <sheetName val="Kuantitas_&amp;_Harga6"/>
      <sheetName val="kode_rekening7"/>
      <sheetName val="TS_add-016"/>
      <sheetName val="dongia_(2)6"/>
      <sheetName val="Ahs_26"/>
      <sheetName val="Ahs_16"/>
      <sheetName val="ah_sanitary5"/>
      <sheetName val="BOQ_Permata_Senayan_09_Juni_206"/>
      <sheetName val="HSD_Alat6"/>
      <sheetName val="HSD_Bahan6"/>
      <sheetName val="HSD_Upah6"/>
      <sheetName val="Rekapitulasi_Harga_Satuan6"/>
      <sheetName val="Daftar_Harga_Material6"/>
      <sheetName val="BQ_&amp;_Harga6"/>
      <sheetName val="major_tems6"/>
      <sheetName val="Memb_Schd6"/>
      <sheetName val="REF_ONLY3"/>
      <sheetName val="Jembatan_I6"/>
      <sheetName val="SAT_UPAH_RAPI6"/>
      <sheetName val="Urai__Resap_pengikat6"/>
      <sheetName val="BO_alat6"/>
      <sheetName val="Analisa_Quarry6"/>
      <sheetName val="Daftar_Sewa2"/>
      <sheetName val="Peralatan_(2)2"/>
      <sheetName val="Analisa_Alat2"/>
      <sheetName val="URAIAN_6"/>
      <sheetName val="PT_2"/>
      <sheetName val="GASATAGG_XLS2"/>
      <sheetName val="HSUMUM_XLS2"/>
      <sheetName val="HSDRAIN_XLS2"/>
      <sheetName val="HSMISC_XLS2"/>
      <sheetName val="DIV_86"/>
      <sheetName val="Daf_Harga-Upah2"/>
      <sheetName val="Sat_Bah_&amp;_Up2"/>
      <sheetName val="Sat_Bah___Up2"/>
      <sheetName val="Up_&amp;_bhn2"/>
      <sheetName val="hst__LAMP_12"/>
      <sheetName val="NP_76"/>
      <sheetName val="analisa_ARS2"/>
      <sheetName val="HARGA_ALAT6"/>
      <sheetName val="KUANT_&amp;_HRG2"/>
      <sheetName val="BHN_DSR2"/>
      <sheetName val="H_Dasr_link2"/>
      <sheetName val="REKAP_(2)2"/>
      <sheetName val="7_PEK-STRUKTUR2"/>
      <sheetName val="Bill_2__PL_-_SUPPLY_A2"/>
      <sheetName val="1_Unit_Price2"/>
      <sheetName val="7__Comparison_of_Asphalt_etc2"/>
      <sheetName val="INPUT_32"/>
      <sheetName val="INPUT_22"/>
      <sheetName val="KODE_BAHAN2"/>
      <sheetName val="Peralatan_Utama2"/>
      <sheetName val="REKAP_PER_BUILDING2"/>
      <sheetName val="NP_(3)2"/>
      <sheetName val="Coef_et_données2"/>
      <sheetName val="Analisa_RAP2"/>
      <sheetName val="Bahan_B2"/>
      <sheetName val="Upah_B2"/>
      <sheetName val="Analisa_RAB2"/>
      <sheetName val="RAB_J18_2"/>
      <sheetName val="Rekapitulasi_Revisi_(2)2"/>
      <sheetName val="Gal_biasa_22"/>
      <sheetName val="Gal_Cadas_muda2"/>
      <sheetName val="Gal_Batu2"/>
      <sheetName val="Galian_Tnh_biasa_(2)2"/>
      <sheetName val="Pasangan_Mortar2"/>
      <sheetName val="Galian_Saluran2"/>
      <sheetName val="bAHU_JLN2"/>
      <sheetName val="baja_tulangan_(2)2"/>
      <sheetName val="baja_tulangan2"/>
      <sheetName val="Pas__Bt_(A)_(2)2"/>
      <sheetName val="Pas__Bt_(B)2"/>
      <sheetName val="Timbunan_Pilihan2"/>
      <sheetName val="Pas__Bt_(C)2"/>
      <sheetName val="Gamb__Deuker_(2)2"/>
      <sheetName val="Pas__Bt_(A)2"/>
      <sheetName val="Pas__Bt_(Deker)2"/>
      <sheetName val="Pas__Bt_(d)2"/>
      <sheetName val="Pas__Bt2"/>
      <sheetName val="Lap__Urug_Biasa_(2)2"/>
      <sheetName val="Lap__Urug_Biasa2"/>
      <sheetName val="Prime_Coat2"/>
      <sheetName val="Aspal_Base2"/>
      <sheetName val="Lap__Agregat_B2"/>
      <sheetName val="Lap__Agregat_A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ekerjaan_Utama2"/>
      <sheetName val="Rekap_Biaya2"/>
      <sheetName val="8LT_122"/>
      <sheetName val="DATA_WP2"/>
      <sheetName val="kont_anak12"/>
      <sheetName val="sub-total_bag-72"/>
      <sheetName val="Harga_uPAH2"/>
      <sheetName val="HU_P_BARU2"/>
      <sheetName val="HU_P_LAMA2"/>
      <sheetName val="basic_wages2"/>
      <sheetName val="PT_GENTA2"/>
      <sheetName val="RAB_Rehab_BatuMelik2"/>
      <sheetName val="_2"/>
      <sheetName val="Grading_Tahap_12"/>
      <sheetName val="Bill_of_Qty2"/>
      <sheetName val="Anal__Pancang2"/>
      <sheetName val="Rekap_Piutang2"/>
      <sheetName val="an_mek12"/>
      <sheetName val="Hrg_Dsr2"/>
      <sheetName val="UNIT_PRICE_WAGE_and_MATERIAL2"/>
      <sheetName val="Galian_12"/>
      <sheetName val="OP__ALAT2"/>
      <sheetName val="OP__PERJAM2"/>
      <sheetName val="B__PERSONIL2"/>
      <sheetName val="KAN__LOKAL2"/>
      <sheetName val="UPAH_2"/>
      <sheetName val="BQ_All_22"/>
      <sheetName val="Bill_No_12"/>
      <sheetName val="Analisa_Gabungan2"/>
      <sheetName val="AGGREGAT_KLAS_C2"/>
      <sheetName val="Upah_dan_Bahan_2"/>
      <sheetName val="Tabel_Besi2"/>
      <sheetName val="Uph&amp;_Bhn2"/>
      <sheetName val="L3_An_H_Sat_Mob1"/>
      <sheetName val="TON__per_Jam2"/>
      <sheetName val="1_Penawaran_(Bahasa)1"/>
      <sheetName val="3300_1_Group1"/>
      <sheetName val="PROJ_SUM1"/>
      <sheetName val="CAB_21"/>
      <sheetName val="Harga_Sat1"/>
      <sheetName val="Alat_B1"/>
      <sheetName val="ANALIS_21"/>
      <sheetName val="BA_Just1"/>
      <sheetName val="2__MVAC_R11"/>
      <sheetName val="1__BQ1"/>
      <sheetName val="Pintu_Air1"/>
      <sheetName val="ALS-TANAH_&amp;URG1"/>
      <sheetName val="Rekap_KOMP1"/>
      <sheetName val="REKAP_TOTAL1"/>
      <sheetName val="3_a__Lap_Hasil_Usaha1"/>
      <sheetName val="3_Koef_Alat1"/>
      <sheetName val="S_UPAH1"/>
      <sheetName val="S_BAHAN1"/>
      <sheetName val="C_2_1"/>
      <sheetName val="2_5_1"/>
      <sheetName val="MULAI_MASUK_STAF_1"/>
      <sheetName val="Sheet1_(3)2"/>
      <sheetName val="Kuitansi_(terbilang)2"/>
      <sheetName val="RAB ME"/>
      <sheetName val="Look-Up"/>
      <sheetName val="Detail BQ PVM "/>
      <sheetName val="XLR_NoRangeSheet"/>
      <sheetName val="ARNT mar_vera"/>
      <sheetName val="monthly"/>
      <sheetName val="upah-rtjk"/>
      <sheetName val="CF-satu"/>
      <sheetName val="CF Rp-USD"/>
      <sheetName val="CONCRETE"/>
      <sheetName val="Lampiran MTO"/>
      <sheetName val="Constanta"/>
      <sheetName val="BQ2100"/>
      <sheetName val="H-Bahan &amp; Tenaga"/>
      <sheetName val="Ex_Rate"/>
      <sheetName val="Droplist"/>
      <sheetName val="Bahan-CK"/>
      <sheetName val="3-DIV3"/>
      <sheetName val="Cover Daf-2"/>
      <sheetName val="LS_Rutin"/>
      <sheetName val="FORM X COST"/>
      <sheetName val="HARGA &amp; TARIF"/>
      <sheetName val="INFRASTRUKTUR"/>
      <sheetName val="input_data_umum2"/>
      <sheetName val="UPAH_B_KAS__2_2"/>
      <sheetName val="Uraian_Upah2"/>
      <sheetName val="RAW_MATERIALS_2"/>
      <sheetName val="ARP_10_2_BUL2"/>
      <sheetName val="Grand_Sum_BT2"/>
      <sheetName val="frek_3_32"/>
      <sheetName val="PIPA_PVC_DAN_ACC2"/>
      <sheetName val="TABEL_LABOR2"/>
      <sheetName val="D_Harga2"/>
      <sheetName val="Agregat_Melintang2"/>
      <sheetName val="Agregat_Memanjang_2"/>
      <sheetName val="Kinerja_Proyek2"/>
      <sheetName val="LPP_DSU-22"/>
      <sheetName val="Rekap_RAP_real_(2)2"/>
      <sheetName val="A+Supl_"/>
      <sheetName val="IBRD_Mandirancang"/>
      <sheetName val="An_HS"/>
      <sheetName val="Analisa_Harga"/>
      <sheetName val="Xplor_pattern_08_05"/>
      <sheetName val="D_BOARD"/>
      <sheetName val="RPP01_6"/>
      <sheetName val="7_1(3)"/>
      <sheetName val="LKT_-_HL"/>
      <sheetName val="LKT_-_HS"/>
      <sheetName val="Tangga_GN"/>
      <sheetName val="STF_Schedule"/>
      <sheetName val="ANALISA_TENDER"/>
      <sheetName val="TOTAL_UPAH"/>
      <sheetName val="HS_KALIJATI"/>
      <sheetName val="PRIST_LIST"/>
      <sheetName val="LAMP_2_2"/>
      <sheetName val="Sales_Parameter"/>
      <sheetName val="610_05"/>
      <sheetName val="est_proy"/>
      <sheetName val="tp_45x45_(6)"/>
      <sheetName val="New_MADC"/>
      <sheetName val="HRG_UPAH_BAHAN"/>
      <sheetName val="UnitRateA_1_II"/>
      <sheetName val="SPT_TAHUNAN"/>
      <sheetName val="Rinc_Setoran_Astek"/>
      <sheetName val="B1_Data"/>
      <sheetName val="UNDER_PASS"/>
      <sheetName val="Pier_Head"/>
      <sheetName val="HD_Alat"/>
      <sheetName val="TE_TS_FA_LAN_MATV"/>
      <sheetName val="Alat_tanah_dan_Struktur_(10-05)"/>
      <sheetName val="Alat_tanah_dan_Struktur_(03-09)"/>
      <sheetName val="HD_BAHAN"/>
      <sheetName val="UG_Excav"/>
      <sheetName val="BOQ_CONTRACT_WK"/>
      <sheetName val="HD_UPAH"/>
      <sheetName val="D2_4"/>
      <sheetName val="D4_3_(TE)"/>
      <sheetName val="D5_3_(TF)_"/>
      <sheetName val="D8_3_(TJ)"/>
      <sheetName val="EXTERNAL_WORK"/>
      <sheetName val="tabel_nilai"/>
      <sheetName val="tunj_"/>
      <sheetName val="Daf_Bahan"/>
      <sheetName val="Anls_Hrg_Sat"/>
      <sheetName val="PERALATAN_PROYEK_GOL_III_A"/>
      <sheetName val="daftar_upah"/>
      <sheetName val="TO_UJI"/>
      <sheetName val="ESTIMATE_TYPE_6_PH3_(HARGA_KANG"/>
      <sheetName val="DRUP_(ASLI)"/>
      <sheetName val="Rekap_Budget_R0"/>
      <sheetName val="Fire_Fighting"/>
      <sheetName val="Exch__rate_calc_"/>
      <sheetName val="Analisa_Hrg_Sat"/>
      <sheetName val="Lampiran_Enc_No_6"/>
      <sheetName val="SNI_UPAH_BAHAN"/>
      <sheetName val="1_B"/>
      <sheetName val="SAT-DAS"/>
      <sheetName val="Engine"/>
      <sheetName val="Alat Pinrang"/>
      <sheetName val="Lamp 2,3a,3b ANAL"/>
      <sheetName val="Rek-Analisa"/>
      <sheetName val="Rek.Analisa"/>
      <sheetName val="hrg.bhn"/>
      <sheetName val="Peralatan Yang Diusulkan"/>
      <sheetName val="mc"/>
      <sheetName val="Rutin"/>
      <sheetName val="Beton(B)"/>
      <sheetName val="CHECKDAMBDG"/>
      <sheetName val="Bahan Upah"/>
      <sheetName val="D6-1b"/>
      <sheetName val="RAPA"/>
      <sheetName val="DAFTAR HARGA UPAH"/>
      <sheetName val="RAB (3)"/>
      <sheetName val="Daftar Customer"/>
      <sheetName val="Traffic(2a)"/>
      <sheetName val="amtek"/>
      <sheetName val="ANALISA-1"/>
      <sheetName val="ANALISA-2"/>
      <sheetName val="Cut-Off"/>
      <sheetName val="Owning"/>
      <sheetName val="22"/>
      <sheetName val="ID MENADO"/>
      <sheetName val="SD"/>
      <sheetName val="CPC"/>
      <sheetName val="Harga Dasar Material"/>
      <sheetName val="Harga Dasar UpahSubkon"/>
      <sheetName val="brd2"/>
      <sheetName val="Quary1"/>
      <sheetName val="CASHdiv"/>
      <sheetName val="CASHlap"/>
      <sheetName val="HUTANG"/>
      <sheetName val="Vender"/>
      <sheetName val="Analisa 1"/>
      <sheetName val="HARGA SAT KAMAL"/>
      <sheetName val="UPH,BHN,ALT"/>
      <sheetName val="U.anal2"/>
      <sheetName val="HSU"/>
      <sheetName val="DU&amp;B"/>
      <sheetName val="tahp sbdy"/>
      <sheetName val="calc-2"/>
      <sheetName val="data-1"/>
      <sheetName val="Volume Rumah"/>
      <sheetName val="LAP_ MINGG"/>
      <sheetName val="EquityTemplate"/>
      <sheetName val="J)"/>
      <sheetName val="pembatas KERTAS"/>
      <sheetName val="FA1999"/>
      <sheetName val="Sewa Alat"/>
      <sheetName val="Market Share"/>
      <sheetName val="cash flow"/>
      <sheetName val="IFB1 rev A"/>
      <sheetName val="PABRIK (2)"/>
      <sheetName val="ETAB 2"/>
      <sheetName val="Primayudha"/>
      <sheetName val="tm"/>
      <sheetName val="bobot"/>
      <sheetName val="BTB"/>
      <sheetName val="B-Ops-Sawit"/>
      <sheetName val="Inv"/>
      <sheetName val="Biaya-Inv"/>
      <sheetName val="PT.CBJ"/>
      <sheetName val="Bang-Non-St"/>
      <sheetName val="Nil_angka1"/>
      <sheetName val="Div_9_-_Harian"/>
      <sheetName val="Sheet1 (2)"/>
      <sheetName val="rekap 7.3.(4)"/>
      <sheetName val="rekmodiPtk_(MAP)2"/>
      <sheetName val="1_HSD2"/>
      <sheetName val="2__Proposal_Biaya1"/>
      <sheetName val="Mat'l_databank1"/>
      <sheetName val="rab_-_persiapan_&amp;_lantai-11"/>
      <sheetName val="2_SE_DATA"/>
      <sheetName val="HRG_SAT__MATERIAL"/>
      <sheetName val="Info-Price_List"/>
      <sheetName val="HRGA_SATUAN_UPAH-BAHAN"/>
      <sheetName val="ES_STG"/>
      <sheetName val="Lamp_11aa"/>
      <sheetName val="DAFTAR_ISI"/>
      <sheetName val="rab_lt_2_bo"/>
      <sheetName val="Satuan_Bahan"/>
      <sheetName val="D_UPH&amp;PEK"/>
      <sheetName val="Item_Kompensasi"/>
      <sheetName val="Sudah_Berjalan"/>
      <sheetName val="vel_"/>
      <sheetName val="Mine_Stat"/>
      <sheetName val="Original_Sheet"/>
      <sheetName val="Lap_Mingguan"/>
      <sheetName val="DATA_BASE"/>
      <sheetName val="ANALISA_SOFT"/>
      <sheetName val="Cek_list"/>
      <sheetName val="Lamp_1_-_Unit_Rate"/>
      <sheetName val="Modified_Store"/>
      <sheetName val="REKAP_2008"/>
      <sheetName val="RINCIAN_PROGRES"/>
      <sheetName val="at_2"/>
      <sheetName val="7__Schedule_edit"/>
      <sheetName val="BAHAN_OK"/>
      <sheetName val="ANA_(SNI)"/>
      <sheetName val="3"/>
      <sheetName val="Front"/>
      <sheetName val="Contents"/>
      <sheetName val="Basis"/>
      <sheetName val="Inclusions"/>
      <sheetName val="Exclusions"/>
      <sheetName val="Areas"/>
      <sheetName val="Overall Summary"/>
      <sheetName val="Foundations Budget"/>
      <sheetName val="Parking"/>
      <sheetName val="Ground Floor Budget"/>
      <sheetName val="L1 &amp; 2"/>
      <sheetName val="2nd Floor Budget"/>
      <sheetName val="L3-4 Wards"/>
      <sheetName val="Parking 3-5 Budget"/>
      <sheetName val="L5-10 Strata Title"/>
      <sheetName val="Office Levels 6-13 Budget"/>
      <sheetName val="Level 11 - 14 Offices"/>
      <sheetName val="L15 Exec Offices"/>
      <sheetName val="Multipurpose Room Summary"/>
      <sheetName val="Multipurpose Room Budget1"/>
      <sheetName val="MP Summary"/>
      <sheetName val="MP Budget"/>
      <sheetName val="Siteworks Areas"/>
      <sheetName val="Siteworks Summary"/>
      <sheetName val="Siteworks Budget"/>
      <sheetName val="Section 5 Areas"/>
      <sheetName val="Alternates"/>
      <sheetName val="Comparison Summary"/>
      <sheetName val="EXTERNAL  (revisi 1)"/>
      <sheetName val="HS1b"/>
      <sheetName val="LUMPSUM"/>
      <sheetName val="Estm-Progres"/>
      <sheetName val="RincianQ3_Q4"/>
      <sheetName val="Sheet4"/>
      <sheetName val="bbt-1999"/>
      <sheetName val="COVER-01"/>
      <sheetName val="ANAL_WK"/>
      <sheetName val="AHS-8FO"/>
      <sheetName val="04.1.1 RDC"/>
      <sheetName val="04.1.2 BAHAN BP"/>
      <sheetName val="AHS-8UP"/>
      <sheetName val="04.1.0 1B"/>
      <sheetName val="04.7 B.BANK"/>
      <sheetName val="FPWP-PDP-01-15a"/>
      <sheetName val="RESUME"/>
      <sheetName val="610.04"/>
      <sheetName val="610.06"/>
      <sheetName val="610.07"/>
      <sheetName val="610.08"/>
      <sheetName val="BahanUpah"/>
      <sheetName val="Strand PDMR1"/>
      <sheetName val="Post tension PDMR1"/>
      <sheetName val="Rokan 1"/>
      <sheetName val="610.03a 15-7"/>
      <sheetName val="GIRDER 2"/>
      <sheetName val="REKAP READYMIX"/>
      <sheetName val="Stay Cable PDMR2"/>
      <sheetName val="BTL-Persiapan"/>
      <sheetName val="BTL-alat"/>
      <sheetName val="BTL-Rupa"/>
      <sheetName val="AN-MAJOR"/>
      <sheetName val="UnitRate22"/>
      <sheetName val="Data Alat"/>
      <sheetName val="Allowance"/>
      <sheetName val="altsewa"/>
      <sheetName val="SPJ"/>
      <sheetName val="T-3.2 UP Material"/>
      <sheetName val="data (2)"/>
      <sheetName val="PRY 01-3"/>
      <sheetName val="TARIP"/>
      <sheetName val="Table Array"/>
      <sheetName val="2934"/>
      <sheetName val="HarDasTenaga"/>
      <sheetName val="HarDasMat"/>
      <sheetName val="Balance Sheet"/>
      <sheetName val="Credit-22"/>
      <sheetName val="Lookup"/>
      <sheetName val="validation"/>
      <sheetName val="HARSAT_BAH"/>
      <sheetName val="banding"/>
      <sheetName val="ANAL-str2"/>
      <sheetName val="RAB-LANSEKAP"/>
      <sheetName val="DEF"/>
      <sheetName val="Waktu"/>
      <sheetName val="Data-Masukan"/>
      <sheetName val="KAS $"/>
      <sheetName val="Analisa K"/>
      <sheetName val="Sat. Pek."/>
      <sheetName val="Material&amp;Alat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LAL - PASAR PAGI "/>
      <sheetName val="ob"/>
      <sheetName val="VAT out"/>
      <sheetName val="H-SAT"/>
      <sheetName val="Analisa HS"/>
      <sheetName val="BOM BAJA"/>
      <sheetName val="Daftar Harga Bahan dan Upah"/>
      <sheetName val="Analisa PU"/>
      <sheetName val="Analisa Bahan"/>
      <sheetName val="Analisa Dasar"/>
      <sheetName val="AV&amp;WO_Grav"/>
      <sheetName val="Flange"/>
      <sheetName val="Upah,Bahan,Alat"/>
      <sheetName val="105"/>
      <sheetName val="bni-119c"/>
      <sheetName val="KEUANGAN"/>
      <sheetName val="mpk"/>
      <sheetName val="Cost Analysis"/>
      <sheetName val="4-MVAC"/>
      <sheetName val="rate ars"/>
      <sheetName val="HARDWARE"/>
      <sheetName val="bhn_Non Lokal"/>
      <sheetName val="Total-Mem"/>
      <sheetName val="PE-F-37 Rev 00 Paym.GBP"/>
      <sheetName val="Person"/>
      <sheetName val="GENERAL"/>
      <sheetName val="FORM-01"/>
      <sheetName val="jgn dihapus!"/>
      <sheetName val="VA_code"/>
      <sheetName val="anal_hs"/>
      <sheetName val="Bangunan Utama"/>
      <sheetName val="PESANTREN"/>
      <sheetName val="Curup"/>
      <sheetName val="Prabu"/>
      <sheetName val="On Time"/>
      <sheetName val="BQMPALOC"/>
      <sheetName val="Gudang"/>
      <sheetName val="Penunjang Depan"/>
      <sheetName val="Penunjang Belakang"/>
      <sheetName val="Pek. Luar"/>
      <sheetName val="Finishing Warehouse"/>
      <sheetName val="L_TIGA"/>
      <sheetName val="설계명세"/>
      <sheetName val="Sur Site"/>
      <sheetName val="갑지"/>
      <sheetName val="Hargapek"/>
      <sheetName val="Man Power &amp; Comp"/>
      <sheetName val="RJBR"/>
      <sheetName val="UPAH, ALAT &amp; BAHAN"/>
      <sheetName val="W-NAD"/>
      <sheetName val="PlannedPrg_Early"/>
      <sheetName val="_http___be5_mail_eudoramail_l_2"/>
      <sheetName val="_http___be5_mail_eudoramail_l_3"/>
      <sheetName val="_http___be5_mail_eudoramail_l_4"/>
      <sheetName val="_http___be5_mail_eudoramail_l_5"/>
      <sheetName val="_http___be5_mail_eudoramail_l_6"/>
      <sheetName val="_http___be5_mail_eudoramail_l_7"/>
      <sheetName val="_http___be5_mail_eudoramail_l_8"/>
      <sheetName val="_http___be5_mail_eudoramail_l_9"/>
      <sheetName val="_http___be5_mail_eudoramail__10"/>
      <sheetName val="_http___be5_mail_eudoramail__11"/>
      <sheetName val="_http___be5_mail_eudoramail__12"/>
      <sheetName val="_http___be5_mail_eudoramail__13"/>
      <sheetName val="_http___be5_mail_eudoramail__14"/>
      <sheetName val="_http___be5_mail_eudoramail__15"/>
      <sheetName val="_http___be5_mail_eudoramail__16"/>
      <sheetName val="_http___be5_mail_eudoramail__17"/>
      <sheetName val="_http___be5_mail_eudoramail__18"/>
      <sheetName val="_http___be5_mail_eudoramail__19"/>
      <sheetName val="_http___be5_mail_eudoramail__20"/>
      <sheetName val="_http___be5_mail_eudoramail__21"/>
      <sheetName val="_http___be5_mail_eudoramail__22"/>
      <sheetName val="_http___be5_mail_eudoramail__23"/>
      <sheetName val="_http___be5_mail_eudoramail__24"/>
      <sheetName val="_http___be5_mail_eudoramail__25"/>
      <sheetName val="_http___be5_mail_eudoramail__26"/>
      <sheetName val="_http___be5_mail_eudoramail__27"/>
      <sheetName val="_http___be5_mail_eudoramail__28"/>
      <sheetName val="_http___be5_mail_eudoramail__29"/>
      <sheetName val="_http___be5_mail_eudoramail__30"/>
      <sheetName val="_http___be5_mail_eudoramail__31"/>
      <sheetName val="_http___be5_mail_eudoramail__32"/>
      <sheetName val="_http___be5_mail_eudoramail__33"/>
      <sheetName val="_http___be5_mail_eudoramail__34"/>
      <sheetName val="_http___be5_mail_eudoramail__35"/>
      <sheetName val="_http___be5_mail_eudoramail__36"/>
      <sheetName val="_http___be5_mail_eudoramail__37"/>
      <sheetName val="_http___be5_mail_eudoramail__38"/>
      <sheetName val="_http___be5_mail_eudoramail__39"/>
      <sheetName val="_http___be5_mail_eudoramail__40"/>
      <sheetName val="_http___be5_mail_eudoramail__41"/>
      <sheetName val="_http___be5_mail_eudoramail__42"/>
      <sheetName val="_http___be5_mail_eudoramail__43"/>
      <sheetName val="_http___be5_mail_eudoramail__44"/>
      <sheetName val="_http___be5_mail_eudoramail__45"/>
      <sheetName val="_http___be5_mail_eudoramail__46"/>
      <sheetName val="_http___be5_mail_eudoramail__47"/>
      <sheetName val="_http___be5_mail_eudoramail__48"/>
      <sheetName val="_http___be5_mail_eudoramail__49"/>
      <sheetName val="_http___be5_mail_eudoramail__50"/>
      <sheetName val="_http___be5_mail_eudoramail__51"/>
      <sheetName val="_http___be5_mail_eudoramail__52"/>
      <sheetName val="_http___be5_mail_eudoramail__53"/>
      <sheetName val="_http___be5_mail_eudoramail__54"/>
      <sheetName val="_http___be5_mail_eudoramail__55"/>
      <sheetName val="_http___be5_mail_eudoramail__56"/>
      <sheetName val="_http___be5_mail_eudoramail__57"/>
      <sheetName val="_http___be5_mail_eudoramail__58"/>
      <sheetName val="_http___be5_mail_eudoramail__59"/>
      <sheetName val="_http___be5_mail_eudoramail__60"/>
      <sheetName val="_http___be5_mail_eudoramail__61"/>
      <sheetName val="_http___be5_mail_eudoramail__62"/>
      <sheetName val="_http___be5_mail_eudoramail__63"/>
      <sheetName val="_http___be5_mail_eudoramail__64"/>
      <sheetName val="_http___be5_mail_eudoramail__65"/>
      <sheetName val="_http___be5_mail_eudoramail__66"/>
      <sheetName val="_http___be5_mail_eudoramail__67"/>
      <sheetName val="_http___be5_mail_eudoramail__68"/>
      <sheetName val="_http___be5_mail_eudoramail__69"/>
      <sheetName val="_http___be5_mail_eudoramail__70"/>
      <sheetName val="_http___be5_mail_eudoramail__71"/>
      <sheetName val="_http___be5_mail_eudoramail__72"/>
      <sheetName val="_http___be5_mail_eudoramail__73"/>
      <sheetName val="_http___be5_mail_eudoramail__74"/>
      <sheetName val="_http___be5_mail_eudoramail__75"/>
      <sheetName val="_http___be5_mail_eudoramail__76"/>
      <sheetName val="_http___be5_mail_eudoramail__77"/>
      <sheetName val="_http___be5_mail_eudoramail__78"/>
      <sheetName val="_http___be5_mail_eudoramail__79"/>
      <sheetName val="_http___be5_mail_eudoramail__80"/>
      <sheetName val="_http___be5_mail_eudoramail__81"/>
      <sheetName val="_http___be5_mail_eudoramail__82"/>
      <sheetName val="_http___be5_mail_eudoramail__83"/>
      <sheetName val="_http___be5_mail_eudoramail__84"/>
      <sheetName val="_http___be5_mail_eudoramail__85"/>
      <sheetName val="_http___be5_mail_eudoramail__86"/>
      <sheetName val="_http___be5_mail_eudoramail__87"/>
      <sheetName val="_http___be5_mail_eudoramail__88"/>
      <sheetName val="_http___be5_mail_eudoramail__89"/>
      <sheetName val="_http___be5_mail_eudoramail__90"/>
      <sheetName val="_http___be5_mail_eudoramail__91"/>
      <sheetName val="_http___be5_mail_eudoramail__92"/>
      <sheetName val="_http___be5_mail_eudoramail__93"/>
      <sheetName val="_http___be5_mail_eudoramail__94"/>
      <sheetName val="_http___be5_mail_eudoramail__95"/>
      <sheetName val="_http___be5_mail_eudoramail__96"/>
      <sheetName val="_http___be5_mail_eudoramail__97"/>
      <sheetName val="_http___be5_mail_eudoramail__98"/>
      <sheetName val="_http___be5_mail_eudoramail__99"/>
      <sheetName val="_http___be5_mail_eudoramail_100"/>
      <sheetName val="_http___be5_mail_eudoramail_101"/>
      <sheetName val="_http___be5_mail_eudoramail_102"/>
      <sheetName val="_http___be5_mail_eudoramail_103"/>
      <sheetName val="_http___be5_mail_eudoramail_104"/>
      <sheetName val="_http___be5_mail_eudoramail_105"/>
      <sheetName val="_http___be5_mail_eudoramail_106"/>
      <sheetName val="_http___be5_mail_eudoramail_107"/>
      <sheetName val="_http___be5_mail_eudoramail_108"/>
      <sheetName val="_http___be5_mail_eudoramail_109"/>
      <sheetName val="_http___be5_mail_eudoramail_110"/>
      <sheetName val="_http___be5_mail_eudoramail_111"/>
      <sheetName val="_http___be5_mail_eudoramail_112"/>
      <sheetName val="_http___be5_mail_eudoramail_113"/>
      <sheetName val="_http___be5_mail_eudoramail_114"/>
      <sheetName val="_http___be5_mail_eudoramail_115"/>
      <sheetName val="_http___be5_mail_eudoramail_116"/>
      <sheetName val="_http___be5_mail_eudoramail_117"/>
      <sheetName val="_http___be5_mail_eudoramail_118"/>
      <sheetName val="_http___be5_mail_eudoramail_119"/>
      <sheetName val="_http___be5_mail_eudoramail_120"/>
      <sheetName val="_http___be5_mail_eudoramail_121"/>
      <sheetName val="_http___be5_mail_eudoramail_122"/>
      <sheetName val="_http___be5_mail_eudoramail_123"/>
      <sheetName val="_http___be5_mail_eudoramail_124"/>
      <sheetName val="_http___be5_mail_eudoramail_125"/>
      <sheetName val="_http___be5_mail_eudoramail_126"/>
      <sheetName val="_http___be5_mail_eudoramail_127"/>
      <sheetName val="_http___be5_mail_eudoramail_128"/>
      <sheetName val="_http___be5_mail_eudoramail_129"/>
      <sheetName val="_http___be5_mail_eudoramail_130"/>
      <sheetName val="_http___be5_mail_eudoramail_131"/>
      <sheetName val="_http___be5_mail_eudoramail_132"/>
      <sheetName val="_http___be5_mail_eudoramail_133"/>
      <sheetName val="_http___be5_mail_eudoramail_134"/>
      <sheetName val="_http___be5_mail_eudoramail_135"/>
      <sheetName val="_http___be5_mail_eudoramail_136"/>
      <sheetName val="_http___be5_mail_eudoramail_137"/>
      <sheetName val="_http___be5_mail_eudoramail_138"/>
      <sheetName val="_http___be5_mail_eudoramail_139"/>
      <sheetName val="_http___be5_mail_eudoramail_140"/>
      <sheetName val="_http___be5_mail_eudoramail_141"/>
      <sheetName val="_http___be5_mail_eudoramail_142"/>
      <sheetName val="_http___be5_mail_eudoramail_143"/>
      <sheetName val="_http___be5_mail_eudoramail_144"/>
      <sheetName val="_http___be5_mail_eudoramail_145"/>
      <sheetName val="_http___be5_mail_eudoramail_146"/>
      <sheetName val="_http___be5_mail_eudoramail_147"/>
      <sheetName val="_http___be5_mail_eudoramail_148"/>
      <sheetName val="_http___be5_mail_eudoramail_149"/>
      <sheetName val="_http___be5_mail_eudoramail_150"/>
      <sheetName val="_http___be5_mail_eudoramail_151"/>
      <sheetName val="_http___be5_mail_eudoramail_152"/>
      <sheetName val="_http___be5_mail_eudoramail_153"/>
      <sheetName val="_http___be5_mail_eudoramail_154"/>
      <sheetName val="_http___be5_mail_eudoramail_155"/>
      <sheetName val="_http___be5_mail_eudoramail_156"/>
      <sheetName val="_http___be5_mail_eudoramail_157"/>
      <sheetName val="_http___be5_mail_eudoramail_158"/>
      <sheetName val="_http___be5_mail_eudoramail_159"/>
      <sheetName val="_http___be5_mail_eudoramail_160"/>
      <sheetName val="_http___be5_mail_eudoramail_161"/>
      <sheetName val="_http___be5_mail_eudoramail_162"/>
      <sheetName val="_http___be5_mail_eudoramail_163"/>
      <sheetName val="_http___be5_mail_eudoramail_164"/>
      <sheetName val="_http___be5_mail_eudoramail_165"/>
      <sheetName val="_http___be5_mail_eudoramail_166"/>
      <sheetName val="_http___be5_mail_eudoramail_167"/>
      <sheetName val="_http___be5_mail_eudoramail_168"/>
      <sheetName val="_http___be5_mail_eudoramail_169"/>
      <sheetName val="_http___be5_mail_eudoramail_170"/>
      <sheetName val="_http___be5_mail_eudoramail_171"/>
      <sheetName val="_http___be5_mail_eudoramail_172"/>
      <sheetName val="_http___be5_mail_eudoramail_173"/>
      <sheetName val="_http___be5_mail_eudoramail_174"/>
      <sheetName val="_http___be5_mail_eudoramail_175"/>
      <sheetName val="_http___be5_mail_eudoramail_176"/>
      <sheetName val="_http___be5_mail_eudoramail_177"/>
      <sheetName val="_http___be5_mail_eudoramail_178"/>
      <sheetName val="_http___be5_mail_eudoramail_179"/>
      <sheetName val="_http___be5_mail_eudoramail_180"/>
      <sheetName val="_http___be5_mail_eudoramail_181"/>
      <sheetName val="_http___be5_mail_eudoramail_182"/>
      <sheetName val="_http___be5_mail_eudoramail_183"/>
      <sheetName val="_http___be5_mail_eudoramail_184"/>
      <sheetName val="_http___be5_mail_eudoramail_185"/>
      <sheetName val="_http___be5_mail_eudoramail_186"/>
      <sheetName val="_http___be5_mail_eudoramail_187"/>
      <sheetName val="_http___be5_mail_eudoramail_188"/>
      <sheetName val="_http___be5_mail_eudoramail_189"/>
      <sheetName val="_http___be5_mail_eudoramail_190"/>
      <sheetName val="_http___be5_mail_eudoramail_191"/>
      <sheetName val="_http___be5_mail_eudoramail_192"/>
      <sheetName val="_http___be5_mail_eudoramail_193"/>
      <sheetName val="_http___be5_mail_eudoramail_194"/>
      <sheetName val="_http___be5_mail_eudoramail_195"/>
      <sheetName val="_http___be5_mail_eudoramail_196"/>
      <sheetName val="_http___be5_mail_eudoramail_197"/>
      <sheetName val="_http___be5_mail_eudoramail_198"/>
      <sheetName val="_http___be5_mail_eudoramail_199"/>
      <sheetName val="_http___be5_mail_eudoramail_200"/>
      <sheetName val="_http___be5_mail_eudoramail_201"/>
      <sheetName val="_http___be5_mail_eudoramail_202"/>
      <sheetName val="_http___be5_mail_eudoramail_203"/>
      <sheetName val="_http___be5_mail_eudoramail_204"/>
      <sheetName val="_http___be5_mail_eudoramail_205"/>
      <sheetName val="_http___be5_mail_eudoramail_206"/>
      <sheetName val="_http___be5_mail_eudoramail_207"/>
      <sheetName val="_http___be5_mail_eudoramail_208"/>
      <sheetName val="_http___be5_mail_eudoramail_209"/>
      <sheetName val="_http___be5_mail_eudoramail_210"/>
      <sheetName val="_http___be5_mail_eudoramail_211"/>
      <sheetName val="_http___be5_mail_eudoramail_212"/>
      <sheetName val="_http___be5_mail_eudoramail_213"/>
      <sheetName val="_http___be5_mail_eudoramail_214"/>
      <sheetName val="_http___be5_mail_eudoramail_215"/>
      <sheetName val="_http___be5_mail_eudoramail_216"/>
      <sheetName val="_http___be5_mail_eudoramail_217"/>
      <sheetName val="_http___be5_mail_eudoramail_218"/>
      <sheetName val="_http___be5_mail_eudoramail_219"/>
      <sheetName val="_http___be5_mail_eudoramail_220"/>
      <sheetName val="_http___be5_mail_eudoramail_221"/>
      <sheetName val="_http___be5_mail_eudoramail_222"/>
      <sheetName val="_http___be5_mail_eudoramail_223"/>
      <sheetName val="_http___be5_mail_eudoramail_224"/>
      <sheetName val="_http___be5_mail_eudoramail_225"/>
      <sheetName val="_http___be5_mail_eudoramail_226"/>
      <sheetName val="_http___be5_mail_eudoramail_227"/>
      <sheetName val="_http___be5_mail_eudoramail_228"/>
      <sheetName val="_http___be5_mail_eudoramail_229"/>
      <sheetName val="_http___be5_mail_eudoramail_230"/>
      <sheetName val="_http___be5_mail_eudoramail_231"/>
      <sheetName val="_http___be5_mail_eudoramail_232"/>
      <sheetName val="_http___be5_mail_eudoramail_233"/>
      <sheetName val="_http___be5_mail_eudoramail_234"/>
      <sheetName val="_http___be5_mail_eudoramail_235"/>
      <sheetName val="_http___be5_mail_eudoramail_236"/>
      <sheetName val="_http___be5_mail_eudoramail_237"/>
      <sheetName val="_http___be5_mail_eudoramail_238"/>
      <sheetName val="_http___be5_mail_eudoramail_239"/>
      <sheetName val="_http___be5_mail_eudoramail_240"/>
      <sheetName val="_http___be5_mail_eudoramail_241"/>
      <sheetName val="_http___be5_mail_eudoramail_242"/>
      <sheetName val="_http___be5_mail_eudoramail_243"/>
      <sheetName val="_http___be5_mail_eudoramail_244"/>
      <sheetName val="_http___be5_mail_eudoramail_245"/>
      <sheetName val="_http___be5_mail_eudoramail_246"/>
      <sheetName val="_http___be5_mail_eudoramail_247"/>
      <sheetName val="_http___be5_mail_eudoramail_248"/>
      <sheetName val="_http___be5_mail_eudoramail_249"/>
      <sheetName val="_http___be5_mail_eudoramail_250"/>
      <sheetName val="_http___be5_mail_eudoramail_251"/>
      <sheetName val="_http___be5_mail_eudoramail_252"/>
      <sheetName val="_http___be5_mail_eudoramail_253"/>
      <sheetName val="_http___be5_mail_eudoramail_254"/>
      <sheetName val="_http___be5_mail_eudoramail_255"/>
      <sheetName val="_http___be5_mail_eudoramail_256"/>
      <sheetName val="_http___be5_mail_eudoramail_257"/>
      <sheetName val="_http___be5_mail_eudoramail_258"/>
      <sheetName val="_http___be5_mail_eudoramail_259"/>
      <sheetName val="_http___be5_mail_eudoramail_260"/>
      <sheetName val="_http___be5_mail_eudoramail_261"/>
      <sheetName val="_http___be5_mail_eudoramail_262"/>
      <sheetName val="_http___be5_mail_eudoramail_263"/>
      <sheetName val="_http___be5_mail_eudoramail_264"/>
      <sheetName val="_http___be5_mail_eudoramail_265"/>
      <sheetName val="_http___be5_mail_eudoramail_266"/>
      <sheetName val="_http___be5_mail_eudoramail_267"/>
      <sheetName val="_http___be5_mail_eudoramail_268"/>
      <sheetName val="_http___be5_mail_eudoramail_269"/>
      <sheetName val="_http___be5_mail_eudoramail_270"/>
      <sheetName val="_http___be5_mail_eudoramail_271"/>
      <sheetName val="_http___be5_mail_eudoramail_272"/>
      <sheetName val="_http___be5_mail_eudoramail_273"/>
      <sheetName val="_http___be5_mail_eudoramail_274"/>
      <sheetName val="_http___be5_mail_eudoramail_275"/>
      <sheetName val="_http___be5_mail_eudoramail_276"/>
      <sheetName val="_http___be5_mail_eudoramail_277"/>
      <sheetName val="_http___be5_mail_eudoramail_278"/>
      <sheetName val="_http___be5_mail_eudoramail_279"/>
      <sheetName val="_http___be5_mail_eudoramail_280"/>
      <sheetName val="_http___be5_mail_eudoramail_281"/>
      <sheetName val="_http___be5_mail_eudoramail_282"/>
      <sheetName val="_http___be5_mail_eudoramail_283"/>
      <sheetName val="_http___be5_mail_eudoramail_284"/>
      <sheetName val="_http___be5_mail_eudoramail_285"/>
      <sheetName val="_http___be5_mail_eudoramail_286"/>
      <sheetName val="_http___be5_mail_eudoramail_287"/>
      <sheetName val="_http___be5_mail_eudoramail_288"/>
      <sheetName val="_http___be5_mail_eudoramail_289"/>
      <sheetName val="_http___be5_mail_eudoramail_290"/>
      <sheetName val="_http___be5_mail_eudoramail_291"/>
      <sheetName val="_http___be5_mail_eudoramail_292"/>
      <sheetName val="_http___be5_mail_eudoramail_293"/>
      <sheetName val="_http___be5_mail_eudoramail_294"/>
      <sheetName val="_http___be5_mail_eudoramail_295"/>
      <sheetName val="_http___be5_mail_eudoramail_296"/>
      <sheetName val="_http___be5_mail_eudoramail_297"/>
      <sheetName val="_http___be5_mail_eudoramail_298"/>
      <sheetName val="_http___be5_mail_eudoramail_299"/>
      <sheetName val="_http___be5_mail_eudoramail_300"/>
      <sheetName val="_http___be5_mail_eudoramail_301"/>
      <sheetName val="_http___be5_mail_eudoramail_302"/>
      <sheetName val="_http___be5_mail_eudoramail_303"/>
      <sheetName val="_http___be5_mail_eudoramail_304"/>
      <sheetName val="_http___be5_mail_eudoramail_305"/>
      <sheetName val="_http___be5_mail_eudoramail_306"/>
      <sheetName val="_http___be5_mail_eudoramail_307"/>
      <sheetName val="_http___be5_mail_eudoramail_308"/>
      <sheetName val="_http___be5_mail_eudoramail_309"/>
      <sheetName val="_http___be5_mail_eudoramail_310"/>
      <sheetName val="_http___be5_mail_eudoramail_311"/>
      <sheetName val="_http___be5_mail_eudoramail_312"/>
      <sheetName val="_http___be5_mail_eudoramail_313"/>
      <sheetName val="_http___be5_mail_eudoramail_314"/>
      <sheetName val="_http___be5_mail_eudoramail_315"/>
      <sheetName val="_http___be5_mail_eudoramail_316"/>
      <sheetName val="_http___be5_mail_eudoramail_317"/>
      <sheetName val="_http___be5_mail_eudoramail_318"/>
      <sheetName val="_http___be5_mail_eudoramail_319"/>
      <sheetName val="_http___be5_mail_eudoramail_320"/>
      <sheetName val="_http___be5_mail_eudoramail_321"/>
      <sheetName val="_http___be5_mail_eudoramail_322"/>
      <sheetName val="_http___be5_mail_eudoramail_323"/>
      <sheetName val="_http___be5_mail_eudoramail_324"/>
      <sheetName val="_http___be5_mail_eudoramail_325"/>
      <sheetName val="_http___be5_mail_eudoramail_326"/>
      <sheetName val="_http___be5_mail_eudoramail_327"/>
      <sheetName val="_http___be5_mail_eudoramail_328"/>
      <sheetName val="_http___be5_mail_eudoramail_329"/>
      <sheetName val="_http___be5_mail_eudoramail_330"/>
      <sheetName val="_http___be5_mail_eudoramail_331"/>
      <sheetName val="_http___be5_mail_eudoramail_332"/>
      <sheetName val="_http___be5_mail_eudoramail_333"/>
      <sheetName val="_http___be5_mail_eudoramail_334"/>
      <sheetName val="_http___be5_mail_eudoramail_335"/>
      <sheetName val="_http___be5_mail_eudoramail_336"/>
      <sheetName val="_http___be5_mail_eudoramail_337"/>
      <sheetName val="_http___be5_mail_eudoramail_338"/>
      <sheetName val="_http___be5_mail_eudoramail_339"/>
      <sheetName val="_http___be5_mail_eudoramail_340"/>
      <sheetName val="_http___be5_mail_eudoramail_341"/>
      <sheetName val="_http___be5_mail_eudoramail_342"/>
      <sheetName val="_http___be5_mail_eudoramail_343"/>
      <sheetName val="_http___be5_mail_eudoramail_344"/>
      <sheetName val="_http___be5_mail_eudoramail_345"/>
      <sheetName val="_http___be5_mail_eudoramail_346"/>
      <sheetName val="_http___be5_mail_eudoramail_347"/>
      <sheetName val="_http___be5_mail_eudoramail_348"/>
      <sheetName val="_http___be5_mail_eudoramail_349"/>
      <sheetName val="_http___be5_mail_eudoramail_350"/>
      <sheetName val="_http___be5_mail_eudoramail_351"/>
      <sheetName val="_http___be5_mail_eudoramail_352"/>
      <sheetName val="_http___be5_mail_eudoramail_353"/>
      <sheetName val="_http___be5_mail_eudoramail_354"/>
      <sheetName val="_http___be5_mail_eudoramail_355"/>
      <sheetName val="_http___be5_mail_eudoramail_356"/>
      <sheetName val="_http___be5_mail_eudoramail_357"/>
      <sheetName val="_http___be5_mail_eudoramail_358"/>
      <sheetName val="_http___be5_mail_eudoramail_359"/>
      <sheetName val="_http___be5_mail_eudoramail_360"/>
      <sheetName val="_http___be5_mail_eudoramail_361"/>
      <sheetName val="_http___be5_mail_eudoramail_362"/>
      <sheetName val="_http___be5_mail_eudoramail_363"/>
      <sheetName val="_http___be5_mail_eudoramail_364"/>
      <sheetName val="_http___be5_mail_eudoramail_365"/>
      <sheetName val="_http___be5_mail_eudoramail_366"/>
      <sheetName val="_http___be5_mail_eudoramail_367"/>
      <sheetName val="_http___be5_mail_eudoramail_368"/>
      <sheetName val="_http___be5_mail_eudoramail_369"/>
      <sheetName val="_http___be5_mail_eudoramail_370"/>
      <sheetName val="_http___be5_mail_eudoramail_371"/>
      <sheetName val="_http___be5_mail_eudoramail_372"/>
      <sheetName val="_http___be5_mail_eudoramail_373"/>
      <sheetName val="_http___be5_mail_eudoramail_374"/>
      <sheetName val="_http___be5_mail_eudoramail_375"/>
      <sheetName val="_http___be5_mail_eudoramail_376"/>
      <sheetName val="_http___be5_mail_eudoramail_377"/>
      <sheetName val="_http___be5_mail_eudoramail_378"/>
      <sheetName val="_http___be5_mail_eudoramail_379"/>
      <sheetName val="likuiditas"/>
      <sheetName val="revenue"/>
      <sheetName val="progres sub unv"/>
      <sheetName val="CCO"/>
      <sheetName val="H.DASAR"/>
      <sheetName val="Profil"/>
      <sheetName val="Sat Bahan"/>
      <sheetName val="Sat Alat"/>
      <sheetName val="UnitR"/>
      <sheetName val="Kurs"/>
      <sheetName val="摊销表"/>
      <sheetName val="Past"/>
      <sheetName val="PInv"/>
      <sheetName val="FInv"/>
      <sheetName val="Dd"/>
      <sheetName val="LK"/>
      <sheetName val="PB"/>
      <sheetName val="BII"/>
      <sheetName val="BTK"/>
      <sheetName val="Kap"/>
      <sheetName val="Jad"/>
      <sheetName val="Ratio"/>
      <sheetName val="AP(1)"/>
      <sheetName val="AP(2)"/>
      <sheetName val="AP(3)"/>
      <sheetName val="Oth"/>
      <sheetName val="Stand"/>
      <sheetName val="Rot"/>
      <sheetName val="Renc"/>
      <sheetName val="SProd"/>
      <sheetName val="Comparable"/>
      <sheetName val="Bgn-Ingg PLANTATION"/>
      <sheetName val="index"/>
      <sheetName val="Cons"/>
      <sheetName val="Pro_Base"/>
      <sheetName val="Pro-Base"/>
      <sheetName val="Inputing data"/>
      <sheetName val="T.material"/>
      <sheetName val="BTBBang"/>
      <sheetName val="SAPRAS"/>
      <sheetName val="L_O&amp;O(Ina)"/>
      <sheetName val="LoTA"/>
      <sheetName val="Disposals"/>
      <sheetName val="DIRPROD"/>
      <sheetName val="JKT"/>
      <sheetName val="DAF.INVEN U.O"/>
      <sheetName val="DAF-BAHAN"/>
      <sheetName val="01Reg3"/>
      <sheetName val="BHN+KMK"/>
      <sheetName val="SUB+KMK"/>
      <sheetName val="DKH_1"/>
      <sheetName val="eval"/>
      <sheetName val="Post Tens-1"/>
      <sheetName val="Rek_Div"/>
      <sheetName val="610 4 br"/>
      <sheetName val="610 5br"/>
      <sheetName val="610 6br"/>
      <sheetName val="610 7br"/>
      <sheetName val="610 8br"/>
      <sheetName val="Rekapitulasi 1"/>
      <sheetName val="DKH SN1-A"/>
      <sheetName val="S curve PRCPT"/>
      <sheetName val="d䁴i"/>
      <sheetName val="FF"/>
      <sheetName val="A-ars"/>
      <sheetName val="L 1"/>
      <sheetName val="D2"/>
      <sheetName val="LMW-PEG"/>
      <sheetName val="calculation"/>
      <sheetName val="UM"/>
      <sheetName val="Tindak Lanjut"/>
      <sheetName val="SDAYA"/>
      <sheetName val="PPh 22"/>
      <sheetName val=" BEP-1999"/>
      <sheetName val="RPPJ"/>
      <sheetName val=" anal hrg sat"/>
      <sheetName val="400"/>
      <sheetName val="Cashflow (2)"/>
      <sheetName val="FAK"/>
      <sheetName val="BQNSC"/>
      <sheetName val="LUMP SUM"/>
      <sheetName val="auto-PPN"/>
      <sheetName val="Progress.fisik-4"/>
      <sheetName val="PERSDINT"/>
      <sheetName val="PERSDBID"/>
      <sheetName val="THP"/>
      <sheetName val="Dft Hrg"/>
      <sheetName val="Embank"/>
      <sheetName val="RAB-3"/>
      <sheetName val="BUL"/>
      <sheetName val="labour unit rate"/>
      <sheetName val="POWER ASSUMPTIONS"/>
      <sheetName val="Unit Rate (2)"/>
      <sheetName val="Analisis Harga Satuan"/>
      <sheetName val="REKAP_6"/>
      <sheetName val="F_1_1_G_ST_1A3"/>
      <sheetName val="List_Plant3"/>
      <sheetName val="Permanent_info3"/>
      <sheetName val="L3_An_H_Sat_Mob2"/>
      <sheetName val="rab_-_persiapan_&amp;_lantai-12"/>
      <sheetName val="1_Penawaran_(Bahasa)2"/>
      <sheetName val="3300_1_Group2"/>
      <sheetName val="PROJ_SUM2"/>
      <sheetName val="3_a__Lap_Hasil_Usaha2"/>
      <sheetName val="3_Koef_Alat2"/>
      <sheetName val="HRG_BAHAN_&amp;_UPAH_okk2"/>
      <sheetName val="Analis_Kusen_okk2"/>
      <sheetName val="2__Proposal_Biaya2"/>
      <sheetName val="Mat'l_databank2"/>
      <sheetName val="GWT_2"/>
      <sheetName val="nama_PT_2"/>
      <sheetName val="Rekap_Tahap_12"/>
      <sheetName val="HRG_BAHAN_&amp;_UPAH_okk1"/>
      <sheetName val="Analis_Kusen_okk1"/>
      <sheetName val="GWT_1"/>
      <sheetName val="Rekap_Tahap_11"/>
      <sheetName val="BAHAN 2"/>
      <sheetName val="BAJA TUL CCO"/>
      <sheetName val="tulang"/>
      <sheetName val="hit.BKMM"/>
      <sheetName val="Maping_Other"/>
      <sheetName val="TO_UJI1"/>
      <sheetName val="ESTIMATE_TYPE_6_PH3_(HARGA_KAN1"/>
      <sheetName val="ANALISA SNI'13 "/>
      <sheetName val="024.DECORATIVE ENTERANCE"/>
      <sheetName val="028. Pekerjaan ADD1"/>
      <sheetName val="SUM,EC"/>
      <sheetName val="Valve"/>
      <sheetName val="Pemipaan"/>
      <sheetName val="4641"/>
      <sheetName val="Upah ,bahan"/>
      <sheetName val="Tabel GIP"/>
      <sheetName val="Tabel Sbar"/>
      <sheetName val="SALURAN"/>
      <sheetName val="HB me"/>
      <sheetName val="rekap_A13"/>
      <sheetName val="rekap_b13"/>
      <sheetName val="grand_sum13"/>
      <sheetName val="HARGA_MATERIAL13"/>
      <sheetName val="BQ_ARS12"/>
      <sheetName val="H_Satuan12"/>
      <sheetName val="A-11_Steel_Str12"/>
      <sheetName val="A-03_Pile12"/>
      <sheetName val="RKP_ANL11"/>
      <sheetName val="REKAP_ARSITEKTUR_11"/>
      <sheetName val="ELEMENT_SUM11"/>
      <sheetName val="Paint_Type_B11"/>
      <sheetName val="BQ_(by_owner)11"/>
      <sheetName val="rab_me_(fisik)11"/>
      <sheetName val="rab_me_(by_owner)_11"/>
      <sheetName val="pintu_jendela11"/>
      <sheetName val="Spec_ME11"/>
      <sheetName val="Analisa_Tend11"/>
      <sheetName val="01A-_RAB11"/>
      <sheetName val="SUM_TIANG_PC11"/>
      <sheetName val="9_2~PK11"/>
      <sheetName val="Harga_Satuan11"/>
      <sheetName val="Analisa_Upah_&amp;_Bahan_Plum11"/>
      <sheetName val="Daf__No__-_4_211"/>
      <sheetName val="Rekap_Direct_Cost11"/>
      <sheetName val="Area_Tabulation111"/>
      <sheetName val="Proj_Data11"/>
      <sheetName val="Analisa_-Baku11"/>
      <sheetName val="Pekerjaan_11"/>
      <sheetName val="Currency_Rate11"/>
      <sheetName val="Analisa_211"/>
      <sheetName val="4-Basic_Price11"/>
      <sheetName val="data_bahan11"/>
      <sheetName val="Sub_kon11"/>
      <sheetName val="Analisa_Teknik11"/>
      <sheetName val="Material_11"/>
      <sheetName val="Upah_borong11"/>
      <sheetName val="Analisa_alat_berat___11"/>
      <sheetName val="Alat_Berat11"/>
      <sheetName val="Instal_precast11"/>
      <sheetName val="Balok_L_122"/>
      <sheetName val="An_str11"/>
      <sheetName val="Direct_Cost_Thp_211"/>
      <sheetName val="PileCap_11"/>
      <sheetName val="Blk_B111"/>
      <sheetName val="HB_11"/>
      <sheetName val="Weight_Bridge11"/>
      <sheetName val="DRAFT_KONSUMEN11"/>
      <sheetName val="Balok_L_123"/>
      <sheetName val="Master_1_011"/>
      <sheetName val="An_Struktur11"/>
      <sheetName val="Unit_Rate__2_11"/>
      <sheetName val="D2_211"/>
      <sheetName val="CATU_DAYA_LISTRIK_PK11"/>
      <sheetName val="PERALATAN_&amp;_KATUP2_PK11"/>
      <sheetName val="PERALATAN_UTAMA_PK11"/>
      <sheetName val="CATU_DAYA_LISTRIK_PLB11"/>
      <sheetName val="PERALATAN_&amp;_KATUP2_PLB11"/>
      <sheetName val="PERALATAN_UTAMA_PLB11"/>
      <sheetName val="PEMIPAAN_PK11"/>
      <sheetName val="PEMIPAAN_PLB11"/>
      <sheetName val="Rekap_Prelim11"/>
      <sheetName val="struktur_tdk_dipakai11"/>
      <sheetName val="HS_Bhn11"/>
      <sheetName val="TOTAL_Summary11"/>
      <sheetName val="bill_511"/>
      <sheetName val="GRAND_TOTAL11"/>
      <sheetName val="COST-PERSON-J_O_11"/>
      <sheetName val="Tie_Beam11"/>
      <sheetName val="Blk_Lt1-Lt__311"/>
      <sheetName val="ASPAL_(14)11"/>
      <sheetName val="DAFTAR_HARGA11"/>
      <sheetName val="harga_11"/>
      <sheetName val="UPAH_+_ALAT11"/>
      <sheetName val="Satuan_Dasar11"/>
      <sheetName val="An-Pre_11"/>
      <sheetName val="_______BoQ________10"/>
      <sheetName val="Analisa_Upah___Bahan_Plum11"/>
      <sheetName val="ANAL_KOEF11"/>
      <sheetName val="Sumber_Daya11"/>
      <sheetName val="an__struktur11"/>
      <sheetName val="main_summary11"/>
      <sheetName val="Daftar_Harga_111"/>
      <sheetName val="Kolom_UT11"/>
      <sheetName val="Faktor_Markup11"/>
      <sheetName val="Data_Markup11"/>
      <sheetName val="M_Pekerjaan11"/>
      <sheetName val="Analisa_BOW_0710"/>
      <sheetName val="B_-_Norelec10"/>
      <sheetName val="Rekap_DBAK10"/>
      <sheetName val="ME_UMY10"/>
      <sheetName val="Analisa_&amp;_Upah10"/>
      <sheetName val="Perm__Test10"/>
      <sheetName val="M_AR-KUAT10"/>
      <sheetName val="Material_Master10"/>
      <sheetName val="2_1011"/>
      <sheetName val="Analisa_STR11"/>
      <sheetName val="Ring_Balok10"/>
      <sheetName val="basic_price10"/>
      <sheetName val="Dftr_Barang11"/>
      <sheetName val="Agregat_Halus_&amp;_Kasar11"/>
      <sheetName val="an_mek13"/>
      <sheetName val="12__Analisa10"/>
      <sheetName val="RAB_AR&amp;STR10"/>
      <sheetName val="BQ_STR10"/>
      <sheetName val="PRINT_OUT10"/>
      <sheetName val="Bahan_Upah_Alat10"/>
      <sheetName val="ANALISA_PEK_UMUM10"/>
      <sheetName val="Hrg_Sat10"/>
      <sheetName val="D3_110"/>
      <sheetName val="Tie_Beam_GN10"/>
      <sheetName val="Schedule_Rev10"/>
      <sheetName val="Man_Power10"/>
      <sheetName val="HSBU_ANA10"/>
      <sheetName val="D_&amp;_W_sizes10"/>
      <sheetName val="analisa_PUBM10"/>
      <sheetName val="VOLUME_BAJA11"/>
      <sheetName val="Bahan_10"/>
      <sheetName val="ans_harga10"/>
      <sheetName val="Bill_of_Qty_MEP10"/>
      <sheetName val="Daf_110"/>
      <sheetName val="HRG_BHN10"/>
      <sheetName val="HB_ARSITEKTUR10"/>
      <sheetName val="HB_STRUKTUR10"/>
      <sheetName val="Price_Biaya_Cadangan10"/>
      <sheetName val="BQ_Rekapitulasi__Akhir10"/>
      <sheetName val="RKP_PLUMBING10"/>
      <sheetName val="2-Genset_print10"/>
      <sheetName val="An_H_Sat_Pek_Ut10"/>
      <sheetName val="D_7810"/>
      <sheetName val="D_79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surfacing_&amp;_point___10"/>
      <sheetName val="stone_mas_ARE10"/>
      <sheetName val="banding_hrg10"/>
      <sheetName val="AMD_I10"/>
      <sheetName val="Daf-1_Persiapan10"/>
      <sheetName val="Bill_No_2_1_10"/>
      <sheetName val="An_Arsitektur10"/>
      <sheetName val="PRD_01-310"/>
      <sheetName val="Upah_&amp;_Bahan10"/>
      <sheetName val="Har_Sat10"/>
      <sheetName val="Metod_TWR10"/>
      <sheetName val="F_ALARM10"/>
      <sheetName val="RAB_110"/>
      <sheetName val="ANALISA_SNI'07rootsREV7"/>
      <sheetName val="ALL_SUM10"/>
      <sheetName val="+45,200_&amp;_+45,700_(Salah)10"/>
      <sheetName val="An_Ars10"/>
      <sheetName val="D2_2_110"/>
      <sheetName val="ANALISA_ME10"/>
      <sheetName val="POS_123410"/>
      <sheetName val="Unit_Price10"/>
      <sheetName val="anls_space_frame10"/>
      <sheetName val="L__Hr10"/>
      <sheetName val="Kolom_B_3a_&amp;_3b10"/>
      <sheetName val="Rasio_Plat10"/>
      <sheetName val="Keb__besi_&amp;_Beton10"/>
      <sheetName val="Raff_Foundation_Ok10"/>
      <sheetName val="Pile_Cape_Ok10"/>
      <sheetName val="Caping_Beam10"/>
      <sheetName val="DDG__STP10"/>
      <sheetName val="DDG__GWT10"/>
      <sheetName val="Ret__Wall10"/>
      <sheetName val="Balok_Bsm_3B-1B10"/>
      <sheetName val="Balok_GF10"/>
      <sheetName val="Balok_P1-P210"/>
      <sheetName val="Balok_P310"/>
      <sheetName val="Balok_5-6-710"/>
      <sheetName val="Balok_8-9-1010"/>
      <sheetName val="Balok_11-12-1510"/>
      <sheetName val="Balok_16-17-1810"/>
      <sheetName val="Balok_19-20-2110"/>
      <sheetName val="Balok_22-23-2510"/>
      <sheetName val="Balok_26-27-2810"/>
      <sheetName val="Balok_29-30-3110"/>
      <sheetName val="Balok_32-33-3510"/>
      <sheetName val="Balok_36-37-38-3910"/>
      <sheetName val="Balok_Atap10"/>
      <sheetName val="Kolom_B_2a_&amp;_2b10"/>
      <sheetName val="Kolom_B_1a_&amp;_1b10"/>
      <sheetName val="Kolom_GF_A_&amp;_B10"/>
      <sheetName val="Kolom_Mezzanine10"/>
      <sheetName val="Kolom_P1A_&amp;_P1B10"/>
      <sheetName val="Kolom_P2A_&amp;_P2B10"/>
      <sheetName val="Kolom_P310"/>
      <sheetName val="Kolom_5,610"/>
      <sheetName val="Kolom_7,8,9,10,11,12,15,16,1710"/>
      <sheetName val="Kolom_18,19,20,21,22,23,2510"/>
      <sheetName val="Kolom_26_s_d_33,_35_s_d_atap10"/>
      <sheetName val="SW__110"/>
      <sheetName val="SW__210"/>
      <sheetName val="SW__310"/>
      <sheetName val="SW__410"/>
      <sheetName val="SW__510"/>
      <sheetName val="SW__610"/>
      <sheetName val="SW__710"/>
      <sheetName val="SW__810"/>
      <sheetName val="SW__910"/>
      <sheetName val="Tangga_Utama10"/>
      <sheetName val="Tangga_Unit10"/>
      <sheetName val="Planter_Box10"/>
      <sheetName val="BQ_3_2_STRUKTUR_-BAWAH_10"/>
      <sheetName val="Balok_Ramp10"/>
      <sheetName val="Pengalaman_Per10"/>
      <sheetName val="Tubing_&amp;_fitting10"/>
      <sheetName val="Daf-III_1_1__Dinding_PARKIR8"/>
      <sheetName val="DAf-III_8__Facade8"/>
      <sheetName val="Daf-III_2_2__Pintu_TOWER8"/>
      <sheetName val="JUMLAHAN_TOTAL_8"/>
      <sheetName val="Daf-III_1_2__Dinding_TOWER8"/>
      <sheetName val="Rencana_S_curve8"/>
      <sheetName val="Cash_flow_detail_breakdown8"/>
      <sheetName val="List_H_Bahan&amp;Upah8"/>
      <sheetName val="Harsat_Bahan8"/>
      <sheetName val="Harsat_Upah8"/>
      <sheetName val="Harga_Bahan8"/>
      <sheetName val="HSA_&amp;_PAB8"/>
      <sheetName val="Harga_Upah_8"/>
      <sheetName val="List_Plafound_Gypsum8"/>
      <sheetName val="List_Plafound_WR8"/>
      <sheetName val="Screning_Ac8"/>
      <sheetName val="Master_Edit10"/>
      <sheetName val="Prog_korp10"/>
      <sheetName val="List_Doc10"/>
      <sheetName val="DF-7_(2)8"/>
      <sheetName val="B_2(LANJUTAN)10"/>
      <sheetName val="PERALATAN_UTAMA_AC7"/>
      <sheetName val="D1__Plint8"/>
      <sheetName val="iTEM_hARSAT8"/>
      <sheetName val="4_2_18"/>
      <sheetName val="Cash_Flow_bulanan8"/>
      <sheetName val="Evaluasi_(_1_)8"/>
      <sheetName val="Cold_Miling10"/>
      <sheetName val="Price_List7"/>
      <sheetName val="Isolasi_Luar_Dalam8"/>
      <sheetName val="Isolasi_Luar8"/>
      <sheetName val="6PILE__(돌출)8"/>
      <sheetName val="REKAP_ANALISA5"/>
      <sheetName val="Kell_Plint-TH8"/>
      <sheetName val="Kel__Dind-TH8"/>
      <sheetName val="DAFT_ALAT,UPAH_&amp;_MAT10"/>
      <sheetName val="Detail_BUL10"/>
      <sheetName val="Analisa_PL8"/>
      <sheetName val="A-11_Steel_Str_(2)5"/>
      <sheetName val="GRAND_REKAP5"/>
      <sheetName val="BILL_48"/>
      <sheetName val="HSP_swk8"/>
      <sheetName val="RAB_fisik10"/>
      <sheetName val="NP_(2)8"/>
      <sheetName val="Analisa_Tambahan8"/>
      <sheetName val="Sum_EL5"/>
      <sheetName val="EPB_8"/>
      <sheetName val="SATUAN_5"/>
      <sheetName val="ANALISA_SNI'08(ubh_bgsting)5"/>
      <sheetName val="INPUT_AGST7"/>
      <sheetName val="KODE_UPAH7"/>
      <sheetName val="pro_ra_op8"/>
      <sheetName val="Gal_Jack_Hammer8"/>
      <sheetName val="inves_alat8"/>
      <sheetName val="dashboard_VERSI_BATUBARA8"/>
      <sheetName val="REKAP_VOLUME9"/>
      <sheetName val="Eva__Progres8"/>
      <sheetName val="UPH_BHN8"/>
      <sheetName val="AHS_Marka8"/>
      <sheetName val="Pek_Luar7"/>
      <sheetName val="Unit_Cost8"/>
      <sheetName val="Data_PJ4"/>
      <sheetName val="Pintu_Jendela_per_lantai_4"/>
      <sheetName val="DAFTAR_74"/>
      <sheetName val="REKAP_7"/>
      <sheetName val="Fill_this_out_first___10"/>
      <sheetName val="UNIT_FAN7"/>
      <sheetName val="Grand_summary5"/>
      <sheetName val="DATA_OP4"/>
      <sheetName val="Bill_2_37"/>
      <sheetName val="Bill_2_5B7"/>
      <sheetName val="Bill_2_17"/>
      <sheetName val="Harga_Bahan_&amp;_Upah_5"/>
      <sheetName val="PRD_01-94"/>
      <sheetName val="PRD_01-114"/>
      <sheetName val="PRD_01-54"/>
      <sheetName val="PRD_01-64"/>
      <sheetName val="PRD_01-84"/>
      <sheetName val="PRD_01-74"/>
      <sheetName val="anl_sa7"/>
      <sheetName val="B_as7"/>
      <sheetName val="Sat_Upah5"/>
      <sheetName val="Gudang_non_AC-AC_Struktur7"/>
      <sheetName val="Alat_PL5"/>
      <sheetName val="Harsat_Pekerjaan5"/>
      <sheetName val="Analisa_Tend_(2)5"/>
      <sheetName val="REKAP_BACKUP_MC_45"/>
      <sheetName val="REKAP_BACKUP_MC35"/>
      <sheetName val="7_공정표5"/>
      <sheetName val="Harga_Dasar8"/>
      <sheetName val="rab_strktr_ars_print8"/>
      <sheetName val="Surat_Pernyataan8"/>
      <sheetName val="B___Norelec9"/>
      <sheetName val="Prod_Alat7"/>
      <sheetName val="Rek_Cianten34"/>
      <sheetName val="Summary_5"/>
      <sheetName val="II_3_HSD4"/>
      <sheetName val="Form_AHS4"/>
      <sheetName val="HARGA_SATUAN_ARS5"/>
      <sheetName val="Harga_Bahan_&amp;_Upah5"/>
      <sheetName val="Piping_Design_Data7"/>
      <sheetName val="1_Quot-Grissik4"/>
      <sheetName val="Detail_Piutang4"/>
      <sheetName val="KODE_REK4"/>
      <sheetName val="Sat-Bhn&amp;Upah_Paket_047"/>
      <sheetName val="PENGAL_yg_Dilaksanakan7"/>
      <sheetName val="UP_SNI5"/>
      <sheetName val="Analisa_Sipil5"/>
      <sheetName val="B_D_AHS65"/>
      <sheetName val="INPUT_HARIAN5"/>
      <sheetName val="rekmodiPtk_(MAP)3"/>
      <sheetName val="AnalisaSIPIL_RIIL_RAP5"/>
      <sheetName val="Pile_Cap5"/>
      <sheetName val="TAMBAHAN_PANCANG5"/>
      <sheetName val="REKAP_BESI_BATANG5"/>
      <sheetName val="Rincian_Bunga_Bank5"/>
      <sheetName val="_3"/>
      <sheetName val="Unit_Costs4"/>
      <sheetName val="AnalisaSIPIL_RIIL5"/>
      <sheetName val="Analisa_SNI_STANDART_5"/>
      <sheetName val="Daf_Besi4"/>
      <sheetName val="FORM_3A7"/>
      <sheetName val="L-3_DHSD7"/>
      <sheetName val="BD_2_1_-_7_1(8)7"/>
      <sheetName val="RL_Biaya7"/>
      <sheetName val="Anls_Bow4"/>
      <sheetName val="Sat_Bow4"/>
      <sheetName val="H_Upah4"/>
      <sheetName val="Schedule_11a4"/>
      <sheetName val="Septick_tank4"/>
      <sheetName val="Harga_Sat_APP4"/>
      <sheetName val="Nur_Rachmat4"/>
      <sheetName val="Nur_Rachmat_(3)4"/>
      <sheetName val="BA_Potong_(7)4"/>
      <sheetName val="BSA_(10)4"/>
      <sheetName val="Rek_An4"/>
      <sheetName val="River_Protect4"/>
      <sheetName val="harsat_sdy4"/>
      <sheetName val="Week9-Feb____4"/>
      <sheetName val="BL_(1)4"/>
      <sheetName val="RAB_(OK)4"/>
      <sheetName val="Standby_Alat4"/>
      <sheetName val="jml_pekerja4"/>
      <sheetName val="URUTAN_BUKA4"/>
      <sheetName val="B_ARC4"/>
      <sheetName val="LINK-MAST__BASIC_PRICE4"/>
      <sheetName val="DATA_PROYEK4"/>
      <sheetName val="HO_Status4"/>
      <sheetName val="Exch_rate5"/>
      <sheetName val="Input_Data5"/>
      <sheetName val="DIV_37"/>
      <sheetName val="DIV_94"/>
      <sheetName val="div_74"/>
      <sheetName val="RPP01_34"/>
      <sheetName val="A__Asumsi20155"/>
      <sheetName val="a_h_ars4"/>
      <sheetName val="Sub_Penjumlahan4"/>
      <sheetName val="Basic_Data4"/>
      <sheetName val="Unit_Rate4"/>
      <sheetName val="L_BA_blok4"/>
      <sheetName val="Fill_this_out_first___11"/>
      <sheetName val="F_1_1_G_ST_1A4"/>
      <sheetName val="List_Plant4"/>
      <sheetName val="Cost_Summary4"/>
      <sheetName val="Bill_23"/>
      <sheetName val="Basic_P3"/>
      <sheetName val="UPAH_&amp;_BHN_ARS4"/>
      <sheetName val="AHS_ARS4"/>
      <sheetName val="4__Kata_Pengantar4"/>
      <sheetName val="Std-Prod_KS5"/>
      <sheetName val="hrg-sat_pek3"/>
      <sheetName val="CF_Rincian3"/>
      <sheetName val="10_yr_val3"/>
      <sheetName val="Analisa_Ruko3"/>
      <sheetName val="Permanent_info4"/>
      <sheetName val="Market_Positioning3"/>
      <sheetName val="Potongan_RET3"/>
      <sheetName val="Analisa_Harga_Sat3"/>
      <sheetName val="1_HSD3"/>
      <sheetName val="Grading_Tahap_13"/>
      <sheetName val="Bill_of_Qty3"/>
      <sheetName val="L3_An_H_Sat_Mob3"/>
      <sheetName val="GD_143"/>
      <sheetName val="RAB_Temiling_3"/>
      <sheetName val="TS_(A3)3"/>
      <sheetName val="rincian_A3"/>
      <sheetName val="rab_-_persiapan_&amp;_lantai-13"/>
      <sheetName val="Propose_Range3"/>
      <sheetName val="1_Penawaran_(Bahasa)3"/>
      <sheetName val="3300_1_Group3"/>
      <sheetName val="PROJ_SUM3"/>
      <sheetName val="Uph&amp;_Bhn3"/>
      <sheetName val="an_mek14"/>
      <sheetName val="Spek_Kusen9"/>
      <sheetName val="Gross_Area9"/>
      <sheetName val="BoQ_C49"/>
      <sheetName val="Kuantitas_&amp;_Harga7"/>
      <sheetName val="kode_rekening8"/>
      <sheetName val="TS_add-017"/>
      <sheetName val="dongia_(2)7"/>
      <sheetName val="Ahs_27"/>
      <sheetName val="Ahs_17"/>
      <sheetName val="ah_sanitary6"/>
      <sheetName val="BOQ_Permata_Senayan_09_Juni_207"/>
      <sheetName val="HSD_Alat7"/>
      <sheetName val="HSD_Bahan7"/>
      <sheetName val="HSD_Upah7"/>
      <sheetName val="Rekapitulasi_Harga_Satuan7"/>
      <sheetName val="Daftar_Harga_Material7"/>
      <sheetName val="BQ_&amp;_Harga7"/>
      <sheetName val="major_tems7"/>
      <sheetName val="Memb_Schd7"/>
      <sheetName val="REF_ONLY4"/>
      <sheetName val="Jembatan_I7"/>
      <sheetName val="SAT_UPAH_RAPI7"/>
      <sheetName val="Urai__Resap_pengikat7"/>
      <sheetName val="BO_alat7"/>
      <sheetName val="Analisa_Quarry7"/>
      <sheetName val="Daftar_Sewa3"/>
      <sheetName val="Peralatan_(2)3"/>
      <sheetName val="Analisa_Alat3"/>
      <sheetName val="URAIAN_7"/>
      <sheetName val="PT_3"/>
      <sheetName val="GASATAGG_XLS3"/>
      <sheetName val="HSUMUM_XLS3"/>
      <sheetName val="HSDRAIN_XLS3"/>
      <sheetName val="HSMISC_XLS3"/>
      <sheetName val="DIV_87"/>
      <sheetName val="Daf_Harga-Upah3"/>
      <sheetName val="Sat_Bah_&amp;_Up3"/>
      <sheetName val="Sat_Bah___Up3"/>
      <sheetName val="Up_&amp;_bhn3"/>
      <sheetName val="hst__LAMP_13"/>
      <sheetName val="NP_77"/>
      <sheetName val="analisa_ARS3"/>
      <sheetName val="HARGA_ALAT7"/>
      <sheetName val="KUANT_&amp;_HRG3"/>
      <sheetName val="BHN_DSR3"/>
      <sheetName val="H_Dasr_link3"/>
      <sheetName val="REKAP_(2)3"/>
      <sheetName val="D-3_(M)3"/>
      <sheetName val="D-7_(M)3"/>
      <sheetName val="7_PEK-STRUKTUR3"/>
      <sheetName val="Bill_2__PL_-_SUPPLY_A3"/>
      <sheetName val="1_Unit_Price3"/>
      <sheetName val="7__Comparison_of_Asphalt_etc3"/>
      <sheetName val="INPUT_33"/>
      <sheetName val="INPUT_23"/>
      <sheetName val="KODE_BAHAN3"/>
      <sheetName val="Peralatan_Utama3"/>
      <sheetName val="REKAP_PER_BUILDING3"/>
      <sheetName val="NP_(3)3"/>
      <sheetName val="Coef_et_données3"/>
      <sheetName val="Analisa_RAP3"/>
      <sheetName val="Bahan_B3"/>
      <sheetName val="Upah_B3"/>
      <sheetName val="Analisa_RAB3"/>
      <sheetName val="RAB_J18_3"/>
      <sheetName val="Rekapitulasi_Revisi_(2)3"/>
      <sheetName val="Gal_biasa_23"/>
      <sheetName val="Gal_Cadas_muda3"/>
      <sheetName val="Gal_Batu3"/>
      <sheetName val="Galian_Tnh_biasa_(2)3"/>
      <sheetName val="Pasangan_Mortar3"/>
      <sheetName val="Galian_Saluran3"/>
      <sheetName val="bAHU_JLN3"/>
      <sheetName val="baja_tulangan_(2)3"/>
      <sheetName val="baja_tulangan3"/>
      <sheetName val="Pas__Bt_(A)_(2)3"/>
      <sheetName val="Pas__Bt_(B)3"/>
      <sheetName val="Timbunan_Pilihan3"/>
      <sheetName val="Pas__Bt_(C)3"/>
      <sheetName val="Gamb__Deuker_(2)3"/>
      <sheetName val="Pas__Bt_(A)3"/>
      <sheetName val="Pas__Bt_(Deker)3"/>
      <sheetName val="Pas__Bt_(d)3"/>
      <sheetName val="Pas__Bt3"/>
      <sheetName val="Lap__Urug_Biasa_(2)3"/>
      <sheetName val="Lap__Urug_Biasa3"/>
      <sheetName val="Prime_Coat3"/>
      <sheetName val="Aspal_Base3"/>
      <sheetName val="Lap__Agregat_B3"/>
      <sheetName val="Lap__Agregat_A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ekerjaan_Utama3"/>
      <sheetName val="Rekap_Biaya3"/>
      <sheetName val="8LT_123"/>
      <sheetName val="DATA_WP3"/>
      <sheetName val="kont_anak13"/>
      <sheetName val="sub-total_bag-73"/>
      <sheetName val="Harga_uPAH3"/>
      <sheetName val="HU_P_BARU3"/>
      <sheetName val="HU_P_LAMA3"/>
      <sheetName val="basic_wages3"/>
      <sheetName val="Cco_(2)3"/>
      <sheetName val="Rekap_Piutang3"/>
      <sheetName val="Hrg_Dsr3"/>
      <sheetName val="UNIT_PRICE_WAGE_and_MATERIAL3"/>
      <sheetName val="Galian_13"/>
      <sheetName val="OP__ALAT3"/>
      <sheetName val="OP__PERJAM3"/>
      <sheetName val="B__PERSONIL3"/>
      <sheetName val="KAN__LOKAL3"/>
      <sheetName val="UPAH_3"/>
      <sheetName val="Prod_02_3"/>
      <sheetName val="RAB_Rehab_BatuMelik3"/>
      <sheetName val="Anal__Pancang3"/>
      <sheetName val="PT_GENTA3"/>
      <sheetName val="3_a__Lap_Hasil_Usaha3"/>
      <sheetName val="3_Koef_Alat3"/>
      <sheetName val="AN_Beton3"/>
      <sheetName val="AN_Kusen3"/>
      <sheetName val="DIV_23"/>
      <sheetName val="DIV_53"/>
      <sheetName val="HRG_BAHAN_&amp;_UPAH_okk3"/>
      <sheetName val="Analis_Kusen_okk3"/>
      <sheetName val="2__Proposal_Biaya3"/>
      <sheetName val="Mat'l_databank3"/>
      <sheetName val="LPP_DSU-23"/>
      <sheetName val="GWT_3"/>
      <sheetName val="BQ_All_23"/>
      <sheetName val="Bill_No_13"/>
      <sheetName val="Analisa_Gabungan3"/>
      <sheetName val="AGGREGAT_KLAS_C3"/>
      <sheetName val="Upah_dan_Bahan_3"/>
      <sheetName val="nama_PT_3"/>
      <sheetName val="PIPA_PVC_DAN_ACC3"/>
      <sheetName val="Rekap_Tahap_13"/>
      <sheetName val="Analis_Tanah"/>
      <sheetName val="Analis_Drainase"/>
      <sheetName val="SPEC"/>
      <sheetName val="Blk A"/>
      <sheetName val="backup mc_0"/>
      <sheetName val="EK-JAN-2010"/>
      <sheetName val="Daf-Har-Pening"/>
      <sheetName val="ANALISA railing"/>
      <sheetName val="DIVI6"/>
      <sheetName val="DivVII"/>
      <sheetName val="II"/>
      <sheetName val="DAFTAR HARGA BAHAN "/>
      <sheetName val="Dr's_&gt;90 dys"/>
      <sheetName val="Schedule S-Curve Revision#3"/>
      <sheetName val="Instructions"/>
      <sheetName val="Ex_Fin_Ass"/>
      <sheetName val="PSC_Terms"/>
      <sheetName val="POS-6"/>
      <sheetName val="POS-7"/>
      <sheetName val="POS-8"/>
      <sheetName val="Data Info"/>
      <sheetName val="bahan dan upah"/>
      <sheetName val="BQ OE"/>
      <sheetName val="Hitung"/>
      <sheetName val="POS-4"/>
      <sheetName val="POS-5"/>
      <sheetName val="page 6"/>
      <sheetName val="Manhole"/>
      <sheetName val="Harga.Sat"/>
      <sheetName val="Bill-2"/>
      <sheetName val="Sheet1310"/>
      <sheetName val="ganda"/>
      <sheetName val="HRGBHN"/>
      <sheetName val="PM"/>
      <sheetName val="DH"/>
      <sheetName val="Kua"/>
      <sheetName val="INPUT HARGA"/>
      <sheetName val="MATERIAL ANALISA"/>
      <sheetName val="1.1 ALAT TULIS KANTOR"/>
      <sheetName val="LVMDP,SDP,PP"/>
      <sheetName val="Urugan Pasir"/>
      <sheetName val="HARGA BARU FF"/>
      <sheetName val="MEK_PJ"/>
      <sheetName val="SPECIAL LIGHTING"/>
      <sheetName val="DAS-SAT (2)"/>
      <sheetName val="DAS-SAT (3)"/>
      <sheetName val="DAFTAR HARGA SATUAN MATERIAL"/>
      <sheetName val="EndBalanceStock"/>
      <sheetName val="BDStock"/>
      <sheetName val="PUMP"/>
    </sheetNames>
    <sheetDataSet>
      <sheetData sheetId="0">
        <row r="17">
          <cell r="AB17">
            <v>1.0249999999999999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/>
      <sheetData sheetId="1640" refreshError="1"/>
      <sheetData sheetId="1641" refreshError="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/>
      <sheetData sheetId="2556" refreshError="1"/>
      <sheetData sheetId="2557" refreshError="1"/>
      <sheetData sheetId="2558" refreshError="1"/>
      <sheetData sheetId="2559" refreshError="1"/>
      <sheetData sheetId="2560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/>
      <sheetData sheetId="2578" refreshError="1"/>
      <sheetData sheetId="2579" refreshError="1"/>
      <sheetData sheetId="2580" refreshError="1"/>
      <sheetData sheetId="2581" refreshError="1"/>
      <sheetData sheetId="2582"/>
      <sheetData sheetId="2583"/>
      <sheetData sheetId="2584"/>
      <sheetData sheetId="2585" refreshError="1"/>
      <sheetData sheetId="2586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/>
      <sheetData sheetId="2626" refreshError="1"/>
      <sheetData sheetId="2627" refreshError="1"/>
      <sheetData sheetId="2628" refreshError="1"/>
      <sheetData sheetId="2629"/>
      <sheetData sheetId="2630" refreshError="1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 refreshError="1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 refreshError="1"/>
      <sheetData sheetId="2669" refreshError="1"/>
      <sheetData sheetId="2670"/>
      <sheetData sheetId="2671"/>
      <sheetData sheetId="2672"/>
      <sheetData sheetId="2673"/>
      <sheetData sheetId="2674"/>
      <sheetData sheetId="2675"/>
      <sheetData sheetId="2676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/>
      <sheetData sheetId="2834"/>
      <sheetData sheetId="2835"/>
      <sheetData sheetId="2836"/>
      <sheetData sheetId="2837"/>
      <sheetData sheetId="2838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/>
      <sheetData sheetId="2857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 refreshError="1"/>
      <sheetData sheetId="3089" refreshError="1"/>
      <sheetData sheetId="3090" refreshError="1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 refreshError="1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 refreshError="1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 refreshError="1"/>
      <sheetData sheetId="3423"/>
      <sheetData sheetId="3424" refreshError="1"/>
      <sheetData sheetId="3425"/>
      <sheetData sheetId="3426"/>
      <sheetData sheetId="3427"/>
      <sheetData sheetId="3428"/>
      <sheetData sheetId="3429"/>
      <sheetData sheetId="3430" refreshError="1"/>
      <sheetData sheetId="3431" refreshError="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 refreshError="1"/>
      <sheetData sheetId="3442" refreshError="1"/>
      <sheetData sheetId="3443" refreshError="1"/>
      <sheetData sheetId="3444"/>
      <sheetData sheetId="3445"/>
      <sheetData sheetId="3446"/>
      <sheetData sheetId="3447"/>
      <sheetData sheetId="3448"/>
      <sheetData sheetId="3449" refreshError="1"/>
      <sheetData sheetId="3450"/>
      <sheetData sheetId="3451"/>
      <sheetData sheetId="3452" refreshError="1"/>
      <sheetData sheetId="3453" refreshError="1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 refreshError="1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 refreshError="1"/>
      <sheetData sheetId="4129" refreshError="1"/>
      <sheetData sheetId="4130" refreshError="1"/>
      <sheetData sheetId="4131"/>
      <sheetData sheetId="4132"/>
      <sheetData sheetId="4133" refreshError="1"/>
      <sheetData sheetId="4134" refreshError="1"/>
      <sheetData sheetId="4135" refreshError="1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 refreshError="1"/>
      <sheetData sheetId="4156" refreshError="1"/>
      <sheetData sheetId="4157"/>
      <sheetData sheetId="4158"/>
      <sheetData sheetId="4159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/>
      <sheetData sheetId="4184"/>
      <sheetData sheetId="4185"/>
      <sheetData sheetId="4186" refreshError="1"/>
      <sheetData sheetId="4187" refreshError="1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/>
      <sheetData sheetId="4225"/>
      <sheetData sheetId="4226"/>
      <sheetData sheetId="4227"/>
      <sheetData sheetId="4228"/>
      <sheetData sheetId="4229"/>
      <sheetData sheetId="4230" refreshError="1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/>
      <sheetData sheetId="4694"/>
      <sheetData sheetId="4695" refreshError="1"/>
      <sheetData sheetId="4696" refreshError="1"/>
      <sheetData sheetId="4697" refreshError="1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 refreshError="1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 refreshError="1"/>
      <sheetData sheetId="5027" refreshError="1"/>
      <sheetData sheetId="5028"/>
      <sheetData sheetId="5029" refreshError="1"/>
      <sheetData sheetId="5030" refreshError="1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 refreshError="1"/>
      <sheetData sheetId="5049"/>
      <sheetData sheetId="5050" refreshError="1"/>
      <sheetData sheetId="5051" refreshError="1"/>
      <sheetData sheetId="5052" refreshError="1"/>
      <sheetData sheetId="5053"/>
      <sheetData sheetId="5054"/>
      <sheetData sheetId="5055" refreshError="1"/>
      <sheetData sheetId="5056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/>
      <sheetData sheetId="5338" refreshError="1"/>
      <sheetData sheetId="5339" refreshError="1"/>
      <sheetData sheetId="5340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/>
      <sheetData sheetId="5348"/>
      <sheetData sheetId="5349"/>
      <sheetData sheetId="5350"/>
      <sheetData sheetId="5351"/>
      <sheetData sheetId="5352" refreshError="1"/>
      <sheetData sheetId="5353"/>
      <sheetData sheetId="5354"/>
      <sheetData sheetId="5355"/>
      <sheetData sheetId="5356"/>
      <sheetData sheetId="5357" refreshError="1"/>
      <sheetData sheetId="5358"/>
      <sheetData sheetId="5359"/>
      <sheetData sheetId="5360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/>
      <sheetData sheetId="5368"/>
      <sheetData sheetId="5369"/>
      <sheetData sheetId="5370"/>
      <sheetData sheetId="537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/>
      <sheetData sheetId="5383"/>
      <sheetData sheetId="5384"/>
      <sheetData sheetId="5385"/>
      <sheetData sheetId="5386"/>
      <sheetData sheetId="5387"/>
      <sheetData sheetId="5388" refreshError="1"/>
      <sheetData sheetId="5389"/>
      <sheetData sheetId="5390" refreshError="1"/>
      <sheetData sheetId="5391" refreshError="1"/>
      <sheetData sheetId="5392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/>
      <sheetData sheetId="5399"/>
      <sheetData sheetId="5400" refreshError="1"/>
      <sheetData sheetId="5401" refreshError="1"/>
      <sheetData sheetId="5402" refreshError="1"/>
      <sheetData sheetId="5403" refreshError="1"/>
      <sheetData sheetId="5404"/>
      <sheetData sheetId="5405"/>
      <sheetData sheetId="5406"/>
      <sheetData sheetId="5407" refreshError="1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/>
      <sheetData sheetId="5430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/>
      <sheetData sheetId="5439"/>
      <sheetData sheetId="5440"/>
      <sheetData sheetId="5441"/>
      <sheetData sheetId="5442"/>
      <sheetData sheetId="5443"/>
      <sheetData sheetId="5444"/>
      <sheetData sheetId="5445" refreshError="1"/>
      <sheetData sheetId="5446"/>
      <sheetData sheetId="5447"/>
      <sheetData sheetId="5448" refreshError="1"/>
      <sheetData sheetId="5449" refreshError="1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/>
      <sheetData sheetId="5781"/>
      <sheetData sheetId="5782" refreshError="1"/>
      <sheetData sheetId="5783" refreshError="1"/>
      <sheetData sheetId="5784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/>
      <sheetData sheetId="6449"/>
      <sheetData sheetId="6450" refreshError="1"/>
      <sheetData sheetId="6451" refreshError="1"/>
      <sheetData sheetId="6452" refreshError="1"/>
      <sheetData sheetId="6453" refreshError="1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 refreshError="1"/>
      <sheetData sheetId="6475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UPAH"/>
      <sheetName val="A-ars"/>
      <sheetName val="ANALISA"/>
      <sheetName val="RAB-ME"/>
      <sheetName val="RAB-ARS"/>
      <sheetName val="RAB-STR"/>
      <sheetName val="REKAP"/>
    </sheetNames>
    <sheetDataSet>
      <sheetData sheetId="0"/>
      <sheetData sheetId="1"/>
      <sheetData sheetId="2" refreshError="1">
        <row r="1">
          <cell r="A1" t="str">
            <v xml:space="preserve">ANALISA HARGA SATUAN PEKERJAAN </v>
          </cell>
        </row>
        <row r="2">
          <cell r="A2" t="str">
            <v xml:space="preserve">PAKET PEKERJAAN : </v>
          </cell>
        </row>
        <row r="4">
          <cell r="A4" t="str">
            <v>PROYEK  :</v>
          </cell>
        </row>
        <row r="5">
          <cell r="A5" t="str">
            <v>LOKASI :</v>
          </cell>
        </row>
        <row r="7">
          <cell r="A7" t="str">
            <v>Sumber harga satuan Bahan/Upah : DKI-Jakarta Oktober 2001</v>
          </cell>
          <cell r="G7" t="str">
            <v xml:space="preserve"> ATELIER 6 </v>
          </cell>
        </row>
        <row r="8">
          <cell r="A8" t="str">
            <v>NO.</v>
          </cell>
          <cell r="C8" t="str">
            <v xml:space="preserve">      URAIAN PEKERJAAN</v>
          </cell>
          <cell r="D8" t="str">
            <v>UNIT</v>
          </cell>
          <cell r="E8" t="str">
            <v>HARGA BAHAN</v>
          </cell>
          <cell r="F8" t="str">
            <v>HARGA UPAH</v>
          </cell>
          <cell r="G8" t="str">
            <v>SUB TOTAL</v>
          </cell>
        </row>
        <row r="9">
          <cell r="E9" t="str">
            <v>Rp.</v>
          </cell>
          <cell r="F9" t="str">
            <v>Rp.</v>
          </cell>
          <cell r="G9" t="str">
            <v>Rp.</v>
          </cell>
        </row>
        <row r="10">
          <cell r="A10" t="str">
            <v>I.</v>
          </cell>
          <cell r="B10" t="str">
            <v xml:space="preserve"> HARGA UPAH TENAGA</v>
          </cell>
        </row>
        <row r="11">
          <cell r="A11" t="str">
            <v xml:space="preserve">  1.</v>
          </cell>
          <cell r="B11" t="str">
            <v xml:space="preserve"> Pekerja</v>
          </cell>
          <cell r="D11" t="str">
            <v>1 org/hari</v>
          </cell>
          <cell r="F11">
            <v>24760</v>
          </cell>
        </row>
        <row r="12">
          <cell r="A12" t="str">
            <v xml:space="preserve">  2.</v>
          </cell>
          <cell r="B12" t="str">
            <v xml:space="preserve"> Tukang batu</v>
          </cell>
          <cell r="D12" t="str">
            <v>1 org/hari</v>
          </cell>
          <cell r="F12">
            <v>30950</v>
          </cell>
        </row>
        <row r="13">
          <cell r="A13" t="str">
            <v xml:space="preserve">  3.</v>
          </cell>
          <cell r="B13" t="str">
            <v xml:space="preserve"> Tukang kayu</v>
          </cell>
          <cell r="D13" t="str">
            <v>1 org/hari</v>
          </cell>
          <cell r="F13">
            <v>30950</v>
          </cell>
        </row>
        <row r="14">
          <cell r="A14" t="str">
            <v xml:space="preserve">  4.</v>
          </cell>
          <cell r="B14" t="str">
            <v xml:space="preserve"> Tukang besi</v>
          </cell>
          <cell r="D14" t="str">
            <v>1 org/hari</v>
          </cell>
          <cell r="F14">
            <v>30950</v>
          </cell>
        </row>
        <row r="15">
          <cell r="A15" t="str">
            <v xml:space="preserve">  5.</v>
          </cell>
          <cell r="B15" t="str">
            <v xml:space="preserve"> Tukang cat/politur</v>
          </cell>
          <cell r="D15" t="str">
            <v>1 org/hari</v>
          </cell>
          <cell r="F15">
            <v>30950</v>
          </cell>
        </row>
        <row r="16">
          <cell r="A16" t="str">
            <v xml:space="preserve">  6.</v>
          </cell>
          <cell r="B16" t="str">
            <v xml:space="preserve"> Tukang pipa</v>
          </cell>
          <cell r="D16" t="str">
            <v>1 org/hari</v>
          </cell>
          <cell r="F16">
            <v>24760</v>
          </cell>
        </row>
        <row r="17">
          <cell r="A17" t="str">
            <v xml:space="preserve">  7.</v>
          </cell>
          <cell r="B17" t="str">
            <v xml:space="preserve"> Tukang kepala</v>
          </cell>
          <cell r="D17" t="str">
            <v>1 org/hari</v>
          </cell>
          <cell r="F17">
            <v>37140</v>
          </cell>
        </row>
        <row r="18">
          <cell r="A18" t="str">
            <v xml:space="preserve">  8.</v>
          </cell>
          <cell r="B18" t="str">
            <v xml:space="preserve"> M a n d o r</v>
          </cell>
          <cell r="D18" t="str">
            <v>1 org/hari</v>
          </cell>
          <cell r="F18">
            <v>43330</v>
          </cell>
        </row>
        <row r="20">
          <cell r="A20" t="str">
            <v>II.</v>
          </cell>
          <cell r="B20" t="str">
            <v xml:space="preserve"> HARGA BAHAN (MATERIAL)</v>
          </cell>
        </row>
        <row r="21">
          <cell r="A21">
            <v>1</v>
          </cell>
          <cell r="B21" t="str">
            <v xml:space="preserve"> Pasir urug</v>
          </cell>
          <cell r="D21" t="str">
            <v>1 m3</v>
          </cell>
          <cell r="E21">
            <v>75000</v>
          </cell>
        </row>
        <row r="22">
          <cell r="A22">
            <v>2</v>
          </cell>
          <cell r="B22" t="str">
            <v xml:space="preserve"> Pasir pasang</v>
          </cell>
          <cell r="D22" t="str">
            <v>1 m3</v>
          </cell>
          <cell r="E22">
            <v>95000</v>
          </cell>
        </row>
        <row r="23">
          <cell r="A23">
            <v>3</v>
          </cell>
          <cell r="B23" t="str">
            <v xml:space="preserve"> Pasir beton</v>
          </cell>
          <cell r="D23" t="str">
            <v>1 m3</v>
          </cell>
          <cell r="E23">
            <v>95000</v>
          </cell>
        </row>
        <row r="24">
          <cell r="A24">
            <v>4</v>
          </cell>
          <cell r="B24" t="str">
            <v xml:space="preserve"> Koral beton</v>
          </cell>
          <cell r="D24" t="str">
            <v>1 m3</v>
          </cell>
          <cell r="E24">
            <v>77000</v>
          </cell>
        </row>
        <row r="25">
          <cell r="A25">
            <v>5</v>
          </cell>
          <cell r="B25" t="str">
            <v xml:space="preserve"> Split 1-2 cm</v>
          </cell>
          <cell r="D25" t="str">
            <v>1 m3</v>
          </cell>
          <cell r="E25">
            <v>95000</v>
          </cell>
        </row>
        <row r="26">
          <cell r="A26">
            <v>6</v>
          </cell>
          <cell r="B26" t="str">
            <v xml:space="preserve"> Batu belah/batu kali</v>
          </cell>
          <cell r="D26" t="str">
            <v>1 m3</v>
          </cell>
          <cell r="E26">
            <v>75000</v>
          </cell>
        </row>
        <row r="27">
          <cell r="A27">
            <v>7</v>
          </cell>
          <cell r="B27" t="str">
            <v xml:space="preserve"> Batu bata</v>
          </cell>
          <cell r="D27" t="str">
            <v>1 bh</v>
          </cell>
          <cell r="E27">
            <v>300</v>
          </cell>
        </row>
        <row r="28">
          <cell r="A28">
            <v>8</v>
          </cell>
          <cell r="B28" t="str">
            <v xml:space="preserve">Batu bata press </v>
          </cell>
          <cell r="D28" t="str">
            <v>1 bh</v>
          </cell>
          <cell r="E28">
            <v>360</v>
          </cell>
        </row>
        <row r="29">
          <cell r="A29">
            <v>9</v>
          </cell>
          <cell r="B29" t="str">
            <v xml:space="preserve"> Bataco 8.20.40 (manual)</v>
          </cell>
          <cell r="D29" t="str">
            <v>1 bh</v>
          </cell>
          <cell r="E29">
            <v>1700</v>
          </cell>
        </row>
        <row r="30">
          <cell r="A30">
            <v>10</v>
          </cell>
          <cell r="B30" t="str">
            <v>Bataco press mesin</v>
          </cell>
          <cell r="D30" t="str">
            <v>1 bh</v>
          </cell>
          <cell r="E30">
            <v>2250</v>
          </cell>
        </row>
        <row r="31">
          <cell r="A31">
            <v>11</v>
          </cell>
          <cell r="B31" t="str">
            <v xml:space="preserve"> Semen Portland (40 Kg)</v>
          </cell>
          <cell r="D31" t="str">
            <v>1 zak</v>
          </cell>
          <cell r="E31">
            <v>25000</v>
          </cell>
        </row>
        <row r="32">
          <cell r="A32">
            <v>12</v>
          </cell>
          <cell r="B32" t="str">
            <v xml:space="preserve"> Grouting </v>
          </cell>
          <cell r="D32" t="str">
            <v>1 kg</v>
          </cell>
          <cell r="E32">
            <v>7760</v>
          </cell>
        </row>
        <row r="33">
          <cell r="A33">
            <v>13</v>
          </cell>
          <cell r="B33" t="str">
            <v xml:space="preserve"> Besi beton U 24</v>
          </cell>
          <cell r="D33" t="str">
            <v>1 kg</v>
          </cell>
          <cell r="E33">
            <v>2900</v>
          </cell>
        </row>
        <row r="34">
          <cell r="A34">
            <v>14</v>
          </cell>
          <cell r="B34" t="str">
            <v xml:space="preserve"> Kawat beton</v>
          </cell>
          <cell r="D34" t="str">
            <v>1 kg</v>
          </cell>
          <cell r="E34">
            <v>5000</v>
          </cell>
        </row>
        <row r="35">
          <cell r="A35">
            <v>15</v>
          </cell>
          <cell r="B35" t="str">
            <v xml:space="preserve"> Paku kayu 2" - 5"</v>
          </cell>
          <cell r="D35" t="str">
            <v>1 kg</v>
          </cell>
          <cell r="E35">
            <v>6000</v>
          </cell>
        </row>
        <row r="36">
          <cell r="A36">
            <v>16</v>
          </cell>
          <cell r="B36" t="str">
            <v xml:space="preserve"> Keramik 20x20 cm (kw 2)</v>
          </cell>
          <cell r="D36" t="str">
            <v>1 m2</v>
          </cell>
          <cell r="E36">
            <v>27000</v>
          </cell>
        </row>
        <row r="37">
          <cell r="A37">
            <v>17</v>
          </cell>
          <cell r="B37" t="str">
            <v xml:space="preserve"> Keramik 30x30 cm (kw 2)</v>
          </cell>
          <cell r="D37" t="str">
            <v>1 m2</v>
          </cell>
          <cell r="E37">
            <v>30000</v>
          </cell>
        </row>
        <row r="38">
          <cell r="A38">
            <v>18</v>
          </cell>
          <cell r="B38" t="str">
            <v xml:space="preserve"> Ubin PC abu-abu 20x20 cm</v>
          </cell>
          <cell r="D38" t="str">
            <v>1 m2</v>
          </cell>
          <cell r="E38">
            <v>7000</v>
          </cell>
        </row>
        <row r="39">
          <cell r="A39">
            <v>19</v>
          </cell>
          <cell r="B39" t="str">
            <v xml:space="preserve"> Ubin PC warna 20x20 cm</v>
          </cell>
          <cell r="D39" t="str">
            <v>1 m2</v>
          </cell>
          <cell r="E39">
            <v>7500</v>
          </cell>
        </row>
        <row r="40">
          <cell r="A40">
            <v>20</v>
          </cell>
          <cell r="B40" t="str">
            <v xml:space="preserve"> Mozaic 30/30 cm</v>
          </cell>
          <cell r="D40" t="str">
            <v>1 m2</v>
          </cell>
          <cell r="E40">
            <v>132000</v>
          </cell>
        </row>
        <row r="41">
          <cell r="A41">
            <v>21</v>
          </cell>
          <cell r="B41" t="str">
            <v xml:space="preserve"> Porselin 11x11 cm</v>
          </cell>
          <cell r="D41" t="str">
            <v>1 m2</v>
          </cell>
          <cell r="E41">
            <v>23500</v>
          </cell>
        </row>
        <row r="42">
          <cell r="A42">
            <v>22</v>
          </cell>
          <cell r="B42" t="str">
            <v xml:space="preserve"> Porselin 15x15 cm</v>
          </cell>
          <cell r="D42" t="str">
            <v>1 m2</v>
          </cell>
          <cell r="E42">
            <v>0</v>
          </cell>
        </row>
        <row r="43">
          <cell r="A43">
            <v>23</v>
          </cell>
          <cell r="B43" t="str">
            <v xml:space="preserve"> Plint PC abu-abu 10x20 cm</v>
          </cell>
          <cell r="D43" t="str">
            <v>1 bh</v>
          </cell>
          <cell r="E43">
            <v>0</v>
          </cell>
        </row>
        <row r="44">
          <cell r="A44">
            <v>24</v>
          </cell>
          <cell r="B44" t="str">
            <v xml:space="preserve"> Plint PC warna 10x20 cm</v>
          </cell>
          <cell r="D44" t="str">
            <v>1 bh</v>
          </cell>
          <cell r="E44">
            <v>0</v>
          </cell>
        </row>
        <row r="45">
          <cell r="A45">
            <v>25</v>
          </cell>
          <cell r="B45" t="str">
            <v xml:space="preserve"> Kayu Terentang/meranti plb</v>
          </cell>
          <cell r="D45" t="str">
            <v>1 m3</v>
          </cell>
          <cell r="E45">
            <v>950000</v>
          </cell>
        </row>
        <row r="46">
          <cell r="A46">
            <v>26</v>
          </cell>
          <cell r="B46" t="str">
            <v xml:space="preserve"> Kayu Borneo (balok)/meranti plb</v>
          </cell>
          <cell r="D46" t="str">
            <v>1 m3</v>
          </cell>
          <cell r="E46">
            <v>900000</v>
          </cell>
        </row>
        <row r="47">
          <cell r="A47">
            <v>27</v>
          </cell>
          <cell r="B47" t="str">
            <v xml:space="preserve"> Kayu Borneo (papan)</v>
          </cell>
          <cell r="D47" t="str">
            <v>1 m3</v>
          </cell>
          <cell r="E47">
            <v>975000</v>
          </cell>
        </row>
        <row r="48">
          <cell r="A48">
            <v>28</v>
          </cell>
          <cell r="B48" t="str">
            <v xml:space="preserve"> Kayu Kamper (balok)</v>
          </cell>
          <cell r="D48" t="str">
            <v>1 m3</v>
          </cell>
          <cell r="E48">
            <v>3000000</v>
          </cell>
        </row>
        <row r="49">
          <cell r="A49">
            <v>29</v>
          </cell>
          <cell r="B49" t="str">
            <v xml:space="preserve"> Kayu Kamper (papan)</v>
          </cell>
          <cell r="D49" t="str">
            <v>1 m3</v>
          </cell>
          <cell r="E49">
            <v>3250000</v>
          </cell>
        </row>
        <row r="50">
          <cell r="A50">
            <v>30</v>
          </cell>
          <cell r="B50" t="str">
            <v xml:space="preserve"> Lem kayu merk Herferin</v>
          </cell>
          <cell r="D50" t="str">
            <v>1 kg</v>
          </cell>
          <cell r="E50">
            <v>19500</v>
          </cell>
        </row>
        <row r="51">
          <cell r="A51">
            <v>31</v>
          </cell>
          <cell r="B51" t="str">
            <v xml:space="preserve"> Teak plywood 4 mm (3x7)'</v>
          </cell>
          <cell r="D51" t="str">
            <v>1 lb</v>
          </cell>
          <cell r="E51">
            <v>40000</v>
          </cell>
        </row>
        <row r="52">
          <cell r="A52">
            <v>32</v>
          </cell>
          <cell r="B52" t="str">
            <v xml:space="preserve"> Teak plywood 4 mm (4x8)'</v>
          </cell>
          <cell r="D52" t="str">
            <v>1 lb</v>
          </cell>
          <cell r="E52">
            <v>55000</v>
          </cell>
        </row>
        <row r="53">
          <cell r="A53">
            <v>33</v>
          </cell>
          <cell r="B53" t="str">
            <v xml:space="preserve"> Plywood 4 mm (3x7)'</v>
          </cell>
          <cell r="D53" t="str">
            <v>1 lb</v>
          </cell>
          <cell r="E53">
            <v>0</v>
          </cell>
        </row>
        <row r="54">
          <cell r="A54">
            <v>34</v>
          </cell>
          <cell r="B54" t="str">
            <v xml:space="preserve"> Plywood 4 mm (4x8)'</v>
          </cell>
          <cell r="D54" t="str">
            <v>1 lb</v>
          </cell>
          <cell r="E54">
            <v>0</v>
          </cell>
        </row>
        <row r="55">
          <cell r="A55">
            <v>35</v>
          </cell>
          <cell r="B55" t="str">
            <v>Triplek 4 mm (4x8)'</v>
          </cell>
          <cell r="D55" t="str">
            <v>1 lb</v>
          </cell>
          <cell r="E55">
            <v>32500</v>
          </cell>
        </row>
        <row r="56">
          <cell r="A56">
            <v>36</v>
          </cell>
          <cell r="B56" t="str">
            <v xml:space="preserve"> Formica (4x8)'</v>
          </cell>
          <cell r="D56" t="str">
            <v>1 lb</v>
          </cell>
          <cell r="E56">
            <v>70000</v>
          </cell>
        </row>
        <row r="57">
          <cell r="A57">
            <v>37</v>
          </cell>
          <cell r="B57" t="str">
            <v xml:space="preserve"> Genteng beton </v>
          </cell>
          <cell r="D57" t="str">
            <v>1 bh</v>
          </cell>
          <cell r="E57">
            <v>3000</v>
          </cell>
        </row>
        <row r="58">
          <cell r="A58">
            <v>38</v>
          </cell>
          <cell r="B58" t="str">
            <v xml:space="preserve"> Genteng keramik</v>
          </cell>
          <cell r="D58" t="str">
            <v>1 bh</v>
          </cell>
          <cell r="E58">
            <v>2600</v>
          </cell>
        </row>
        <row r="59">
          <cell r="A59">
            <v>39</v>
          </cell>
          <cell r="B59" t="str">
            <v xml:space="preserve"> Bubungan genteng beton</v>
          </cell>
          <cell r="D59" t="str">
            <v>1 bh</v>
          </cell>
          <cell r="E59">
            <v>2500</v>
          </cell>
        </row>
        <row r="60">
          <cell r="A60">
            <v>40</v>
          </cell>
          <cell r="B60" t="str">
            <v xml:space="preserve"> Bubungan genteng keramik</v>
          </cell>
          <cell r="D60" t="str">
            <v>1 bh</v>
          </cell>
          <cell r="E60">
            <v>7000</v>
          </cell>
        </row>
        <row r="61">
          <cell r="A61">
            <v>41</v>
          </cell>
          <cell r="B61" t="str">
            <v xml:space="preserve"> Asbes semen (1x1) 3 mm</v>
          </cell>
          <cell r="D61" t="str">
            <v>1 lb</v>
          </cell>
          <cell r="E61">
            <v>0</v>
          </cell>
        </row>
        <row r="62">
          <cell r="A62">
            <v>42</v>
          </cell>
          <cell r="B62" t="str">
            <v xml:space="preserve"> Asbes semen (1x1) 4 mm</v>
          </cell>
          <cell r="D62" t="str">
            <v>1 lb</v>
          </cell>
          <cell r="E62">
            <v>8500</v>
          </cell>
        </row>
        <row r="63">
          <cell r="A63">
            <v>43</v>
          </cell>
          <cell r="B63" t="str">
            <v xml:space="preserve"> Seng plat BJLS 22</v>
          </cell>
          <cell r="D63" t="str">
            <v>1 m'</v>
          </cell>
          <cell r="E63">
            <v>25000</v>
          </cell>
        </row>
        <row r="64">
          <cell r="A64">
            <v>44</v>
          </cell>
          <cell r="B64" t="str">
            <v xml:space="preserve"> Paku seng</v>
          </cell>
          <cell r="D64" t="str">
            <v>1 kg</v>
          </cell>
          <cell r="E64">
            <v>9000</v>
          </cell>
        </row>
        <row r="65">
          <cell r="A65">
            <v>45</v>
          </cell>
          <cell r="B65" t="str">
            <v xml:space="preserve"> Timah patri </v>
          </cell>
          <cell r="D65" t="str">
            <v>1 kg</v>
          </cell>
          <cell r="E65">
            <v>13500</v>
          </cell>
        </row>
        <row r="66">
          <cell r="A66">
            <v>46</v>
          </cell>
          <cell r="B66" t="str">
            <v xml:space="preserve"> Kaca bening 3 mm</v>
          </cell>
          <cell r="D66" t="str">
            <v>1 m2</v>
          </cell>
          <cell r="E66">
            <v>40000</v>
          </cell>
        </row>
        <row r="67">
          <cell r="A67">
            <v>47</v>
          </cell>
          <cell r="B67" t="str">
            <v xml:space="preserve"> Kaca bening 5 mm</v>
          </cell>
          <cell r="D67" t="str">
            <v>1 m2</v>
          </cell>
          <cell r="E67">
            <v>55000</v>
          </cell>
        </row>
        <row r="68">
          <cell r="A68">
            <v>48</v>
          </cell>
          <cell r="B68" t="str">
            <v xml:space="preserve"> Kaca warna 5 mm</v>
          </cell>
          <cell r="D68" t="str">
            <v>1 m2</v>
          </cell>
          <cell r="E68">
            <v>65000</v>
          </cell>
        </row>
        <row r="69">
          <cell r="A69">
            <v>49</v>
          </cell>
          <cell r="B69" t="str">
            <v xml:space="preserve"> Ampelas besi</v>
          </cell>
          <cell r="D69" t="str">
            <v>1 lb</v>
          </cell>
          <cell r="E69">
            <v>2000</v>
          </cell>
        </row>
        <row r="70">
          <cell r="A70">
            <v>50</v>
          </cell>
          <cell r="B70" t="str">
            <v xml:space="preserve"> Menie kayu</v>
          </cell>
          <cell r="D70" t="str">
            <v>1 lt/kg</v>
          </cell>
          <cell r="E70">
            <v>8250</v>
          </cell>
        </row>
        <row r="71">
          <cell r="A71">
            <v>51</v>
          </cell>
          <cell r="B71" t="str">
            <v xml:space="preserve"> Minyak cat</v>
          </cell>
          <cell r="D71" t="str">
            <v>1 lt</v>
          </cell>
          <cell r="E71">
            <v>8000</v>
          </cell>
        </row>
        <row r="72">
          <cell r="A72">
            <v>52</v>
          </cell>
          <cell r="B72" t="str">
            <v xml:space="preserve"> Plamur kayu</v>
          </cell>
          <cell r="D72" t="str">
            <v>1 lt</v>
          </cell>
          <cell r="E72">
            <v>8800</v>
          </cell>
        </row>
        <row r="73">
          <cell r="A73">
            <v>53</v>
          </cell>
          <cell r="B73" t="str">
            <v xml:space="preserve"> Plamur tembok</v>
          </cell>
          <cell r="D73" t="str">
            <v>1 lt</v>
          </cell>
          <cell r="E73">
            <v>9350</v>
          </cell>
        </row>
        <row r="74">
          <cell r="A74">
            <v>54</v>
          </cell>
          <cell r="B74" t="str">
            <v xml:space="preserve"> Cat dasar kayu</v>
          </cell>
          <cell r="D74" t="str">
            <v>1 lt</v>
          </cell>
          <cell r="E74">
            <v>8800</v>
          </cell>
        </row>
        <row r="75">
          <cell r="A75">
            <v>55</v>
          </cell>
          <cell r="B75" t="str">
            <v xml:space="preserve"> Cat Glotex (kayu)</v>
          </cell>
          <cell r="D75" t="str">
            <v>1 lt</v>
          </cell>
          <cell r="E75">
            <v>22500</v>
          </cell>
        </row>
        <row r="76">
          <cell r="A76">
            <v>56</v>
          </cell>
          <cell r="B76" t="str">
            <v xml:space="preserve"> Cat Pinotex/Mowilek</v>
          </cell>
          <cell r="D76" t="str">
            <v>1 lt</v>
          </cell>
          <cell r="E76">
            <v>26000</v>
          </cell>
        </row>
        <row r="77">
          <cell r="A77">
            <v>57</v>
          </cell>
          <cell r="B77" t="str">
            <v xml:space="preserve"> Cat ICI (super gloss)</v>
          </cell>
          <cell r="D77" t="str">
            <v>1 lt</v>
          </cell>
          <cell r="E77">
            <v>25000</v>
          </cell>
        </row>
        <row r="78">
          <cell r="A78">
            <v>58</v>
          </cell>
          <cell r="B78" t="str">
            <v xml:space="preserve"> Cat Matex</v>
          </cell>
          <cell r="D78" t="str">
            <v>1 lt</v>
          </cell>
          <cell r="E78">
            <v>9350</v>
          </cell>
        </row>
        <row r="79">
          <cell r="A79">
            <v>59</v>
          </cell>
          <cell r="B79" t="str">
            <v xml:space="preserve"> Cat Vinilex/Metrolith</v>
          </cell>
          <cell r="D79" t="str">
            <v>1 lt</v>
          </cell>
          <cell r="E79">
            <v>12500</v>
          </cell>
        </row>
        <row r="80">
          <cell r="A80">
            <v>60</v>
          </cell>
          <cell r="B80" t="str">
            <v xml:space="preserve"> Cat ICI (emulsion)</v>
          </cell>
          <cell r="D80" t="str">
            <v>1 lt</v>
          </cell>
          <cell r="E80">
            <v>25000</v>
          </cell>
        </row>
        <row r="81">
          <cell r="A81">
            <v>61</v>
          </cell>
          <cell r="B81" t="str">
            <v xml:space="preserve"> Kuas 2"</v>
          </cell>
          <cell r="D81" t="str">
            <v>1 bh</v>
          </cell>
          <cell r="E81">
            <v>4000</v>
          </cell>
        </row>
        <row r="82">
          <cell r="A82">
            <v>62</v>
          </cell>
          <cell r="B82" t="str">
            <v xml:space="preserve"> Kuas rool 8"</v>
          </cell>
          <cell r="D82" t="str">
            <v>1 bh</v>
          </cell>
          <cell r="E82">
            <v>15000</v>
          </cell>
        </row>
        <row r="84">
          <cell r="A84" t="str">
            <v>III.</v>
          </cell>
          <cell r="B84" t="str">
            <v xml:space="preserve">  ANALISA SATUAN PEKERJAAN</v>
          </cell>
        </row>
        <row r="85">
          <cell r="A85" t="str">
            <v xml:space="preserve">  1.</v>
          </cell>
          <cell r="B85" t="str">
            <v xml:space="preserve"> 1 M2 PEMBERSIHAN SITE</v>
          </cell>
        </row>
        <row r="86">
          <cell r="B86">
            <v>8.8000000000000009E-2</v>
          </cell>
          <cell r="C86" t="str">
            <v>Pekerja</v>
          </cell>
          <cell r="D86">
            <v>24760</v>
          </cell>
          <cell r="E86">
            <v>0</v>
          </cell>
          <cell r="F86">
            <v>2178.88</v>
          </cell>
        </row>
        <row r="87">
          <cell r="B87">
            <v>4.4000000000000003E-3</v>
          </cell>
          <cell r="C87" t="str">
            <v>Mandor</v>
          </cell>
          <cell r="D87">
            <v>43330</v>
          </cell>
          <cell r="E87">
            <v>0</v>
          </cell>
          <cell r="F87">
            <v>190.65200000000002</v>
          </cell>
        </row>
        <row r="88">
          <cell r="E88">
            <v>0</v>
          </cell>
          <cell r="F88">
            <v>2369.5320000000002</v>
          </cell>
          <cell r="G88">
            <v>2369.5320000000002</v>
          </cell>
        </row>
        <row r="89">
          <cell r="A89" t="str">
            <v xml:space="preserve">  2.</v>
          </cell>
          <cell r="B89" t="str">
            <v xml:space="preserve"> 1 M' PAPAN BANGUNAN/BOUWPLANK</v>
          </cell>
        </row>
        <row r="90">
          <cell r="B90">
            <v>6.6E-3</v>
          </cell>
          <cell r="C90" t="str">
            <v>M3 papan Terentang</v>
          </cell>
          <cell r="D90">
            <v>950000</v>
          </cell>
          <cell r="E90">
            <v>6270</v>
          </cell>
        </row>
        <row r="91">
          <cell r="B91">
            <v>3.8E-3</v>
          </cell>
          <cell r="C91" t="str">
            <v>M3 kayu Borneo</v>
          </cell>
          <cell r="D91">
            <v>900000</v>
          </cell>
          <cell r="E91">
            <v>3420</v>
          </cell>
        </row>
        <row r="92">
          <cell r="B92">
            <v>0.05</v>
          </cell>
          <cell r="C92" t="str">
            <v>Kg paku</v>
          </cell>
          <cell r="D92">
            <v>6000</v>
          </cell>
          <cell r="E92">
            <v>300</v>
          </cell>
        </row>
        <row r="93">
          <cell r="B93">
            <v>7.1500000000000008E-2</v>
          </cell>
          <cell r="C93" t="str">
            <v>Tukang kayu</v>
          </cell>
          <cell r="D93">
            <v>30950</v>
          </cell>
          <cell r="F93">
            <v>2212.9250000000002</v>
          </cell>
        </row>
        <row r="94">
          <cell r="B94">
            <v>7.150000000000001E-3</v>
          </cell>
          <cell r="C94" t="str">
            <v>Kepala tukang</v>
          </cell>
          <cell r="D94">
            <v>37140</v>
          </cell>
          <cell r="F94">
            <v>265.55100000000004</v>
          </cell>
        </row>
        <row r="95">
          <cell r="B95">
            <v>0.14300000000000002</v>
          </cell>
          <cell r="C95" t="str">
            <v>Pekerja</v>
          </cell>
          <cell r="D95">
            <v>24760</v>
          </cell>
          <cell r="F95">
            <v>3540.6800000000003</v>
          </cell>
        </row>
        <row r="96">
          <cell r="B96">
            <v>7.150000000000001E-3</v>
          </cell>
          <cell r="C96" t="str">
            <v>Mandor</v>
          </cell>
          <cell r="D96">
            <v>43330</v>
          </cell>
          <cell r="F96">
            <v>309.80950000000001</v>
          </cell>
        </row>
        <row r="97">
          <cell r="E97">
            <v>9990</v>
          </cell>
          <cell r="F97">
            <v>6328.9655000000012</v>
          </cell>
          <cell r="G97">
            <v>16318.965500000002</v>
          </cell>
        </row>
        <row r="98">
          <cell r="A98" t="str">
            <v xml:space="preserve">  3.</v>
          </cell>
          <cell r="B98" t="str">
            <v xml:space="preserve"> 1 M3 GALIAN TANAH </v>
          </cell>
        </row>
        <row r="99">
          <cell r="B99">
            <v>0.75</v>
          </cell>
          <cell r="C99" t="str">
            <v>Pekerja</v>
          </cell>
          <cell r="D99">
            <v>24760</v>
          </cell>
          <cell r="E99">
            <v>0</v>
          </cell>
          <cell r="F99">
            <v>18570</v>
          </cell>
        </row>
        <row r="100">
          <cell r="B100">
            <v>2.5000000000000001E-2</v>
          </cell>
          <cell r="C100" t="str">
            <v>Mandor</v>
          </cell>
          <cell r="D100">
            <v>43330</v>
          </cell>
          <cell r="E100">
            <v>0</v>
          </cell>
          <cell r="F100">
            <v>1083.25</v>
          </cell>
        </row>
        <row r="101">
          <cell r="E101">
            <v>0</v>
          </cell>
          <cell r="F101">
            <v>19653.25</v>
          </cell>
          <cell r="G101">
            <v>19653.25</v>
          </cell>
        </row>
        <row r="102">
          <cell r="A102" t="str">
            <v xml:space="preserve">  4.</v>
          </cell>
          <cell r="B102" t="str">
            <v xml:space="preserve"> 1 M3 URUGAN TANAH KEMBALI</v>
          </cell>
        </row>
        <row r="103">
          <cell r="B103">
            <v>0.25</v>
          </cell>
          <cell r="C103" t="str">
            <v>Pekerja</v>
          </cell>
          <cell r="D103">
            <v>24760</v>
          </cell>
          <cell r="E103">
            <v>0</v>
          </cell>
          <cell r="F103">
            <v>6190</v>
          </cell>
        </row>
        <row r="104">
          <cell r="B104">
            <v>8.3333333333333332E-3</v>
          </cell>
          <cell r="C104" t="str">
            <v>Mandor</v>
          </cell>
          <cell r="D104">
            <v>43330</v>
          </cell>
          <cell r="E104">
            <v>0</v>
          </cell>
          <cell r="F104">
            <v>361.08333333333331</v>
          </cell>
        </row>
        <row r="105">
          <cell r="E105">
            <v>0</v>
          </cell>
          <cell r="F105">
            <v>6551.083333333333</v>
          </cell>
          <cell r="G105">
            <v>6551.083333333333</v>
          </cell>
        </row>
        <row r="106">
          <cell r="A106" t="str">
            <v xml:space="preserve">  5.</v>
          </cell>
          <cell r="B106" t="str">
            <v xml:space="preserve"> 1 M3 URUGAN PASIR PADAT</v>
          </cell>
        </row>
        <row r="107">
          <cell r="B107">
            <v>1.2</v>
          </cell>
          <cell r="C107" t="str">
            <v>M3 pasir urug</v>
          </cell>
          <cell r="D107">
            <v>75000</v>
          </cell>
          <cell r="E107">
            <v>90000</v>
          </cell>
        </row>
        <row r="108">
          <cell r="B108">
            <v>0.33</v>
          </cell>
          <cell r="C108" t="str">
            <v>Pekerja</v>
          </cell>
          <cell r="D108">
            <v>24760</v>
          </cell>
          <cell r="E108">
            <v>0</v>
          </cell>
          <cell r="F108">
            <v>8170.8</v>
          </cell>
        </row>
        <row r="109">
          <cell r="B109">
            <v>1.6500000000000001E-2</v>
          </cell>
          <cell r="C109" t="str">
            <v>Mandor</v>
          </cell>
          <cell r="D109">
            <v>43330</v>
          </cell>
          <cell r="E109">
            <v>0</v>
          </cell>
          <cell r="F109">
            <v>714.94500000000005</v>
          </cell>
        </row>
        <row r="110">
          <cell r="E110">
            <v>90000</v>
          </cell>
          <cell r="F110">
            <v>8885.7450000000008</v>
          </cell>
          <cell r="G110">
            <v>98885.744999999995</v>
          </cell>
        </row>
        <row r="111">
          <cell r="A111" t="str">
            <v xml:space="preserve">  6.</v>
          </cell>
          <cell r="B111" t="str">
            <v xml:space="preserve"> 1 M3 AANSTAMPING BATU BELAH</v>
          </cell>
        </row>
        <row r="112">
          <cell r="B112">
            <v>1.2</v>
          </cell>
          <cell r="C112" t="str">
            <v>M3 batu belah</v>
          </cell>
          <cell r="D112">
            <v>75000</v>
          </cell>
          <cell r="E112">
            <v>90000</v>
          </cell>
        </row>
        <row r="113">
          <cell r="B113">
            <v>0.36</v>
          </cell>
          <cell r="C113" t="str">
            <v>M3 pasir pasang</v>
          </cell>
          <cell r="D113">
            <v>95000</v>
          </cell>
          <cell r="E113">
            <v>34200</v>
          </cell>
        </row>
        <row r="114">
          <cell r="B114">
            <v>0.88000000000000012</v>
          </cell>
          <cell r="C114" t="str">
            <v>Pekerja</v>
          </cell>
          <cell r="D114">
            <v>24760</v>
          </cell>
          <cell r="F114">
            <v>21788.800000000003</v>
          </cell>
        </row>
        <row r="115">
          <cell r="B115">
            <v>4.4000000000000004E-2</v>
          </cell>
          <cell r="C115" t="str">
            <v>Mandor</v>
          </cell>
          <cell r="D115">
            <v>43330</v>
          </cell>
          <cell r="F115">
            <v>1906.5200000000002</v>
          </cell>
        </row>
        <row r="116">
          <cell r="E116">
            <v>124200</v>
          </cell>
          <cell r="F116">
            <v>23695.320000000003</v>
          </cell>
          <cell r="G116">
            <v>147895.32</v>
          </cell>
        </row>
        <row r="117">
          <cell r="A117" t="str">
            <v xml:space="preserve">  7.</v>
          </cell>
          <cell r="B117" t="str">
            <v xml:space="preserve"> 1 M3 PONDASI BATU BELAH/KALI 1:3</v>
          </cell>
        </row>
        <row r="118">
          <cell r="B118">
            <v>1.2</v>
          </cell>
          <cell r="C118" t="str">
            <v xml:space="preserve"> M3 batu belah/kali</v>
          </cell>
          <cell r="D118">
            <v>75000</v>
          </cell>
          <cell r="E118">
            <v>90000</v>
          </cell>
        </row>
        <row r="119">
          <cell r="B119">
            <v>4.8440000000000003</v>
          </cell>
          <cell r="C119" t="str">
            <v xml:space="preserve"> Zak Semen Portland</v>
          </cell>
          <cell r="D119">
            <v>25000</v>
          </cell>
          <cell r="E119">
            <v>121100.00000000001</v>
          </cell>
        </row>
        <row r="120">
          <cell r="B120">
            <v>0.46500000000000002</v>
          </cell>
          <cell r="C120" t="str">
            <v xml:space="preserve"> M3 pasir pasang</v>
          </cell>
          <cell r="D120">
            <v>95000</v>
          </cell>
          <cell r="E120">
            <v>44175</v>
          </cell>
        </row>
        <row r="121">
          <cell r="B121">
            <v>0.44000000000000006</v>
          </cell>
          <cell r="C121" t="str">
            <v xml:space="preserve"> Tukang batu</v>
          </cell>
          <cell r="D121">
            <v>30950</v>
          </cell>
          <cell r="F121">
            <v>13618.000000000002</v>
          </cell>
        </row>
        <row r="122">
          <cell r="B122">
            <v>4.4000000000000004E-2</v>
          </cell>
          <cell r="C122" t="str">
            <v xml:space="preserve"> Tukang kepala</v>
          </cell>
          <cell r="D122">
            <v>37140</v>
          </cell>
          <cell r="F122">
            <v>1634.16</v>
          </cell>
        </row>
        <row r="123">
          <cell r="B123">
            <v>1.3200000000000003</v>
          </cell>
          <cell r="C123" t="str">
            <v xml:space="preserve"> Pekerja</v>
          </cell>
          <cell r="D123">
            <v>24760</v>
          </cell>
          <cell r="F123">
            <v>32683.200000000008</v>
          </cell>
        </row>
        <row r="124">
          <cell r="B124">
            <v>6.6000000000000017E-2</v>
          </cell>
          <cell r="C124" t="str">
            <v xml:space="preserve"> Mandor</v>
          </cell>
          <cell r="D124">
            <v>43330</v>
          </cell>
          <cell r="F124">
            <v>2859.7800000000007</v>
          </cell>
        </row>
        <row r="125">
          <cell r="E125">
            <v>255275</v>
          </cell>
          <cell r="F125">
            <v>50795.140000000007</v>
          </cell>
          <cell r="G125">
            <v>306070.14</v>
          </cell>
        </row>
        <row r="126">
          <cell r="A126" t="str">
            <v xml:space="preserve">  8.</v>
          </cell>
          <cell r="B126" t="str">
            <v xml:space="preserve"> 1 M3 PONDASI BATU BELAH/KALI 1:5</v>
          </cell>
        </row>
        <row r="127">
          <cell r="B127">
            <v>1.2</v>
          </cell>
          <cell r="C127" t="str">
            <v xml:space="preserve"> M3 batu belah/kali</v>
          </cell>
          <cell r="D127">
            <v>75000</v>
          </cell>
          <cell r="E127">
            <v>90000</v>
          </cell>
        </row>
        <row r="128">
          <cell r="B128">
            <v>3.2810000000000001</v>
          </cell>
          <cell r="C128" t="str">
            <v xml:space="preserve"> Zak Semen Portland</v>
          </cell>
          <cell r="D128">
            <v>25000</v>
          </cell>
          <cell r="E128">
            <v>82025</v>
          </cell>
        </row>
        <row r="129">
          <cell r="B129">
            <v>0.52500000000000002</v>
          </cell>
          <cell r="C129" t="str">
            <v xml:space="preserve"> M3 pasir pasang</v>
          </cell>
          <cell r="D129">
            <v>95000</v>
          </cell>
          <cell r="E129">
            <v>49875</v>
          </cell>
        </row>
        <row r="130">
          <cell r="B130">
            <v>0.44000000000000006</v>
          </cell>
          <cell r="C130" t="str">
            <v xml:space="preserve"> Tukang batu</v>
          </cell>
          <cell r="D130">
            <v>30950</v>
          </cell>
          <cell r="F130">
            <v>13618.000000000002</v>
          </cell>
        </row>
        <row r="131">
          <cell r="B131">
            <v>4.4000000000000004E-2</v>
          </cell>
          <cell r="C131" t="str">
            <v xml:space="preserve"> Tukang kepala</v>
          </cell>
          <cell r="D131">
            <v>37140</v>
          </cell>
          <cell r="F131">
            <v>1634.16</v>
          </cell>
        </row>
        <row r="132">
          <cell r="B132">
            <v>1.3200000000000003</v>
          </cell>
          <cell r="C132" t="str">
            <v xml:space="preserve"> Pekerja</v>
          </cell>
          <cell r="D132">
            <v>24760</v>
          </cell>
          <cell r="F132">
            <v>32683.200000000008</v>
          </cell>
        </row>
        <row r="133">
          <cell r="B133">
            <v>6.6000000000000017E-2</v>
          </cell>
          <cell r="C133" t="str">
            <v xml:space="preserve"> Mandor</v>
          </cell>
          <cell r="D133">
            <v>43330</v>
          </cell>
          <cell r="F133">
            <v>2859.7800000000007</v>
          </cell>
        </row>
        <row r="134">
          <cell r="E134">
            <v>221900</v>
          </cell>
          <cell r="F134">
            <v>50795.140000000007</v>
          </cell>
          <cell r="G134">
            <v>272695.14</v>
          </cell>
        </row>
        <row r="135">
          <cell r="A135" t="str">
            <v xml:space="preserve">  9.</v>
          </cell>
          <cell r="B135" t="str">
            <v xml:space="preserve"> 1 M3 PONDASI BATU BATA/MERAH 1:3</v>
          </cell>
        </row>
        <row r="136">
          <cell r="B136">
            <v>600</v>
          </cell>
          <cell r="C136" t="str">
            <v xml:space="preserve"> Buah batu bata </v>
          </cell>
          <cell r="D136">
            <v>300</v>
          </cell>
          <cell r="E136">
            <v>180000</v>
          </cell>
        </row>
        <row r="137">
          <cell r="B137">
            <v>3.9062999999999999</v>
          </cell>
          <cell r="C137" t="str">
            <v xml:space="preserve"> Zak Semen Portland</v>
          </cell>
          <cell r="D137">
            <v>25000</v>
          </cell>
          <cell r="E137">
            <v>97657.5</v>
          </cell>
        </row>
        <row r="138">
          <cell r="B138">
            <v>0.375</v>
          </cell>
          <cell r="C138" t="str">
            <v xml:space="preserve"> M3 pasir pasang</v>
          </cell>
          <cell r="D138">
            <v>95000</v>
          </cell>
          <cell r="E138">
            <v>35625</v>
          </cell>
        </row>
        <row r="139">
          <cell r="B139">
            <v>0.6160000000000001</v>
          </cell>
          <cell r="C139" t="str">
            <v xml:space="preserve"> Tukang batu</v>
          </cell>
          <cell r="D139">
            <v>30950</v>
          </cell>
          <cell r="F139">
            <v>19065.200000000004</v>
          </cell>
        </row>
        <row r="140">
          <cell r="B140">
            <v>6.1600000000000009E-2</v>
          </cell>
          <cell r="C140" t="str">
            <v xml:space="preserve"> Tukang kepala</v>
          </cell>
          <cell r="D140">
            <v>37140</v>
          </cell>
          <cell r="F140">
            <v>2287.8240000000005</v>
          </cell>
        </row>
        <row r="141">
          <cell r="B141">
            <v>1.8480000000000003</v>
          </cell>
          <cell r="C141" t="str">
            <v xml:space="preserve"> Pekerja</v>
          </cell>
          <cell r="D141">
            <v>24760</v>
          </cell>
          <cell r="F141">
            <v>45756.48000000001</v>
          </cell>
        </row>
        <row r="142">
          <cell r="B142">
            <v>9.240000000000001E-2</v>
          </cell>
          <cell r="C142" t="str">
            <v xml:space="preserve"> Mandor</v>
          </cell>
          <cell r="D142">
            <v>43330</v>
          </cell>
          <cell r="F142">
            <v>4003.6920000000005</v>
          </cell>
        </row>
        <row r="143">
          <cell r="E143">
            <v>313282.5</v>
          </cell>
          <cell r="F143">
            <v>71113.196000000011</v>
          </cell>
          <cell r="G143">
            <v>384395.696</v>
          </cell>
        </row>
        <row r="144">
          <cell r="A144" t="str">
            <v xml:space="preserve"> 10.</v>
          </cell>
          <cell r="B144" t="str">
            <v xml:space="preserve"> 1 M2 DINDING BATU BATA 1:3</v>
          </cell>
        </row>
        <row r="145">
          <cell r="B145">
            <v>72</v>
          </cell>
          <cell r="C145" t="str">
            <v xml:space="preserve"> Buah batu bata </v>
          </cell>
          <cell r="D145">
            <v>360</v>
          </cell>
          <cell r="E145">
            <v>25920</v>
          </cell>
        </row>
        <row r="146">
          <cell r="B146">
            <v>0.32800000000000001</v>
          </cell>
          <cell r="C146" t="str">
            <v xml:space="preserve"> Zak Semen Portland</v>
          </cell>
          <cell r="D146">
            <v>25000</v>
          </cell>
          <cell r="E146">
            <v>8200</v>
          </cell>
        </row>
        <row r="147">
          <cell r="B147">
            <v>3.15E-2</v>
          </cell>
          <cell r="C147" t="str">
            <v xml:space="preserve"> M3 pasir pasang</v>
          </cell>
          <cell r="D147">
            <v>95000</v>
          </cell>
          <cell r="E147">
            <v>2992.5</v>
          </cell>
        </row>
        <row r="148">
          <cell r="B148">
            <v>0.12</v>
          </cell>
          <cell r="C148" t="str">
            <v xml:space="preserve"> Tukang batu</v>
          </cell>
          <cell r="D148">
            <v>30950</v>
          </cell>
          <cell r="F148">
            <v>3714</v>
          </cell>
        </row>
        <row r="149">
          <cell r="B149">
            <v>1.2E-2</v>
          </cell>
          <cell r="C149" t="str">
            <v xml:space="preserve"> Tukang kepala</v>
          </cell>
          <cell r="D149">
            <v>37140</v>
          </cell>
          <cell r="F149">
            <v>445.68</v>
          </cell>
        </row>
        <row r="150">
          <cell r="B150">
            <v>0.36</v>
          </cell>
          <cell r="C150" t="str">
            <v xml:space="preserve"> Pekerja</v>
          </cell>
          <cell r="D150">
            <v>24760</v>
          </cell>
          <cell r="F150">
            <v>8913.6</v>
          </cell>
        </row>
        <row r="151">
          <cell r="B151">
            <v>1.7999999999999999E-2</v>
          </cell>
          <cell r="C151" t="str">
            <v xml:space="preserve"> Mandor</v>
          </cell>
          <cell r="D151">
            <v>43330</v>
          </cell>
          <cell r="F151">
            <v>779.93999999999994</v>
          </cell>
        </row>
        <row r="152">
          <cell r="E152">
            <v>37112.5</v>
          </cell>
          <cell r="F152">
            <v>13853.220000000001</v>
          </cell>
          <cell r="G152">
            <v>50965.72</v>
          </cell>
        </row>
        <row r="153">
          <cell r="A153" t="str">
            <v xml:space="preserve"> 11.</v>
          </cell>
          <cell r="B153" t="str">
            <v xml:space="preserve"> 1 M2 DINDING BATU BATA 1:5</v>
          </cell>
        </row>
        <row r="154">
          <cell r="B154">
            <v>72</v>
          </cell>
          <cell r="C154" t="str">
            <v xml:space="preserve"> Buah batu bata</v>
          </cell>
          <cell r="D154">
            <v>360</v>
          </cell>
          <cell r="E154">
            <v>25920</v>
          </cell>
        </row>
        <row r="155">
          <cell r="B155">
            <v>0.21870000000000001</v>
          </cell>
          <cell r="C155" t="str">
            <v xml:space="preserve"> Zak Semen Portland</v>
          </cell>
          <cell r="D155">
            <v>25000</v>
          </cell>
          <cell r="E155">
            <v>5467.5</v>
          </cell>
        </row>
        <row r="156">
          <cell r="B156">
            <v>3.5000000000000003E-2</v>
          </cell>
          <cell r="C156" t="str">
            <v xml:space="preserve"> M3 pasir pasang</v>
          </cell>
          <cell r="D156">
            <v>95000</v>
          </cell>
          <cell r="E156">
            <v>3325.0000000000005</v>
          </cell>
        </row>
        <row r="157">
          <cell r="B157">
            <v>0.12</v>
          </cell>
          <cell r="C157" t="str">
            <v xml:space="preserve"> Tukang batu</v>
          </cell>
          <cell r="D157">
            <v>30950</v>
          </cell>
          <cell r="F157">
            <v>3714</v>
          </cell>
        </row>
        <row r="158">
          <cell r="B158">
            <v>1.2E-2</v>
          </cell>
          <cell r="C158" t="str">
            <v xml:space="preserve"> Tukang kepala</v>
          </cell>
          <cell r="D158">
            <v>37140</v>
          </cell>
          <cell r="F158">
            <v>445.68</v>
          </cell>
        </row>
        <row r="159">
          <cell r="B159">
            <v>0.36</v>
          </cell>
          <cell r="C159" t="str">
            <v xml:space="preserve"> Pekerja</v>
          </cell>
          <cell r="D159">
            <v>24760</v>
          </cell>
          <cell r="F159">
            <v>8913.6</v>
          </cell>
        </row>
        <row r="160">
          <cell r="B160">
            <v>1.7999999999999999E-2</v>
          </cell>
          <cell r="C160" t="str">
            <v xml:space="preserve"> Mandor</v>
          </cell>
          <cell r="D160">
            <v>43330</v>
          </cell>
          <cell r="F160">
            <v>779.93999999999994</v>
          </cell>
        </row>
        <row r="161">
          <cell r="E161">
            <v>34712.5</v>
          </cell>
          <cell r="F161">
            <v>13853.220000000001</v>
          </cell>
          <cell r="G161">
            <v>48565.72</v>
          </cell>
        </row>
        <row r="162">
          <cell r="A162" t="str">
            <v xml:space="preserve"> 12.</v>
          </cell>
          <cell r="B162" t="str">
            <v xml:space="preserve"> 1 M2 DINDING BATACO (1:3)</v>
          </cell>
        </row>
        <row r="163">
          <cell r="B163">
            <v>13</v>
          </cell>
          <cell r="C163" t="str">
            <v xml:space="preserve"> Buah bataco</v>
          </cell>
          <cell r="D163">
            <v>2250</v>
          </cell>
          <cell r="E163">
            <v>29250</v>
          </cell>
        </row>
        <row r="164">
          <cell r="B164">
            <v>0.32</v>
          </cell>
          <cell r="C164" t="str">
            <v xml:space="preserve"> Zak Semen Portland</v>
          </cell>
          <cell r="D164">
            <v>25000</v>
          </cell>
          <cell r="E164">
            <v>8000</v>
          </cell>
        </row>
        <row r="165">
          <cell r="B165">
            <v>3.2000000000000001E-2</v>
          </cell>
          <cell r="C165" t="str">
            <v xml:space="preserve"> M3 pasir pasang</v>
          </cell>
          <cell r="D165">
            <v>95000</v>
          </cell>
          <cell r="E165">
            <v>3040</v>
          </cell>
        </row>
        <row r="166">
          <cell r="B166">
            <v>0.12100000000000001</v>
          </cell>
          <cell r="C166" t="str">
            <v xml:space="preserve"> Tukang batu</v>
          </cell>
          <cell r="D166">
            <v>30950</v>
          </cell>
          <cell r="F166">
            <v>3744.9500000000003</v>
          </cell>
        </row>
        <row r="167">
          <cell r="B167">
            <v>1.2100000000000001E-2</v>
          </cell>
          <cell r="C167" t="str">
            <v xml:space="preserve"> Tukang kepala</v>
          </cell>
          <cell r="D167">
            <v>37140</v>
          </cell>
          <cell r="F167">
            <v>449.39400000000006</v>
          </cell>
        </row>
        <row r="168">
          <cell r="B168">
            <v>0.36300000000000004</v>
          </cell>
          <cell r="C168" t="str">
            <v xml:space="preserve"> Pekerja</v>
          </cell>
          <cell r="D168">
            <v>24760</v>
          </cell>
          <cell r="F168">
            <v>8987.880000000001</v>
          </cell>
        </row>
        <row r="169">
          <cell r="B169">
            <v>1.8150000000000003E-2</v>
          </cell>
          <cell r="C169" t="str">
            <v xml:space="preserve"> Mandor</v>
          </cell>
          <cell r="D169">
            <v>43330</v>
          </cell>
          <cell r="F169">
            <v>786.43950000000018</v>
          </cell>
        </row>
        <row r="170">
          <cell r="E170">
            <v>40290</v>
          </cell>
          <cell r="F170">
            <v>13968.663500000002</v>
          </cell>
          <cell r="G170">
            <v>54258.663500000002</v>
          </cell>
        </row>
        <row r="171">
          <cell r="A171" t="str">
            <v xml:space="preserve"> 13.</v>
          </cell>
          <cell r="B171" t="str">
            <v xml:space="preserve"> 1 M2 DINDING BATACO (1:5)</v>
          </cell>
        </row>
        <row r="172">
          <cell r="B172">
            <v>13</v>
          </cell>
          <cell r="C172" t="str">
            <v xml:space="preserve"> Buah bataco</v>
          </cell>
          <cell r="D172">
            <v>2250</v>
          </cell>
          <cell r="E172">
            <v>29250</v>
          </cell>
        </row>
        <row r="173">
          <cell r="B173">
            <v>0.215</v>
          </cell>
          <cell r="C173" t="str">
            <v xml:space="preserve"> Zak Semen Portland</v>
          </cell>
          <cell r="D173">
            <v>25000</v>
          </cell>
          <cell r="E173">
            <v>5375</v>
          </cell>
        </row>
        <row r="174">
          <cell r="B174">
            <v>3.5000000000000003E-2</v>
          </cell>
          <cell r="C174" t="str">
            <v xml:space="preserve"> M3 pasir pasang</v>
          </cell>
          <cell r="D174">
            <v>95000</v>
          </cell>
          <cell r="E174">
            <v>3325.0000000000005</v>
          </cell>
        </row>
        <row r="175">
          <cell r="B175">
            <v>0.12100000000000001</v>
          </cell>
          <cell r="C175" t="str">
            <v xml:space="preserve"> Tukang batu</v>
          </cell>
          <cell r="D175">
            <v>30950</v>
          </cell>
          <cell r="F175">
            <v>3744.9500000000003</v>
          </cell>
        </row>
        <row r="176">
          <cell r="B176">
            <v>1.2100000000000001E-2</v>
          </cell>
          <cell r="C176" t="str">
            <v xml:space="preserve"> Tukang kepala</v>
          </cell>
          <cell r="D176">
            <v>37140</v>
          </cell>
          <cell r="F176">
            <v>449.39400000000006</v>
          </cell>
        </row>
        <row r="177">
          <cell r="B177">
            <v>0.36300000000000004</v>
          </cell>
          <cell r="C177" t="str">
            <v xml:space="preserve"> Pekerja</v>
          </cell>
          <cell r="D177">
            <v>24760</v>
          </cell>
          <cell r="F177">
            <v>8987.880000000001</v>
          </cell>
        </row>
        <row r="178">
          <cell r="B178">
            <v>1.8150000000000003E-2</v>
          </cell>
          <cell r="C178" t="str">
            <v xml:space="preserve"> Mandor</v>
          </cell>
          <cell r="D178">
            <v>43330</v>
          </cell>
          <cell r="F178">
            <v>786.43950000000018</v>
          </cell>
        </row>
        <row r="179">
          <cell r="E179">
            <v>37950</v>
          </cell>
          <cell r="F179">
            <v>13968.663500000002</v>
          </cell>
          <cell r="G179">
            <v>51918.663500000002</v>
          </cell>
        </row>
        <row r="180">
          <cell r="A180" t="str">
            <v xml:space="preserve"> 14.</v>
          </cell>
          <cell r="B180" t="str">
            <v xml:space="preserve"> 1 M2 LANTAI UBIN PC ABU-ABU 20/20 CM </v>
          </cell>
        </row>
        <row r="181">
          <cell r="B181">
            <v>1</v>
          </cell>
          <cell r="C181" t="str">
            <v xml:space="preserve"> M2 ubin</v>
          </cell>
          <cell r="D181">
            <v>7000</v>
          </cell>
          <cell r="E181">
            <v>7000</v>
          </cell>
        </row>
        <row r="182">
          <cell r="B182">
            <v>0.1875</v>
          </cell>
          <cell r="C182" t="str">
            <v xml:space="preserve"> Zak Semen Portland</v>
          </cell>
          <cell r="D182">
            <v>25000</v>
          </cell>
          <cell r="E182">
            <v>4687.5</v>
          </cell>
        </row>
        <row r="183">
          <cell r="B183">
            <v>0.03</v>
          </cell>
          <cell r="C183" t="str">
            <v xml:space="preserve"> M3 pasir pasang</v>
          </cell>
          <cell r="D183">
            <v>95000</v>
          </cell>
          <cell r="E183">
            <v>2850</v>
          </cell>
        </row>
        <row r="184">
          <cell r="B184">
            <v>2.2499999999999999E-2</v>
          </cell>
          <cell r="C184" t="str">
            <v xml:space="preserve"> Zak SP (cor nad)</v>
          </cell>
          <cell r="D184">
            <v>25000</v>
          </cell>
          <cell r="E184">
            <v>562.5</v>
          </cell>
        </row>
        <row r="185">
          <cell r="B185">
            <v>0.13200000000000001</v>
          </cell>
          <cell r="C185" t="str">
            <v xml:space="preserve"> Tukang batu</v>
          </cell>
          <cell r="D185">
            <v>30950</v>
          </cell>
          <cell r="F185">
            <v>4085.4</v>
          </cell>
        </row>
        <row r="186">
          <cell r="B186">
            <v>1.32E-2</v>
          </cell>
          <cell r="C186" t="str">
            <v xml:space="preserve"> Tukang kepala</v>
          </cell>
          <cell r="D186">
            <v>37140</v>
          </cell>
          <cell r="F186">
            <v>490.24799999999999</v>
          </cell>
        </row>
        <row r="187">
          <cell r="B187">
            <v>0.26400000000000001</v>
          </cell>
          <cell r="C187" t="str">
            <v xml:space="preserve"> Pekerja</v>
          </cell>
          <cell r="D187">
            <v>24760</v>
          </cell>
          <cell r="F187">
            <v>6536.64</v>
          </cell>
        </row>
        <row r="188">
          <cell r="B188">
            <v>1.32E-2</v>
          </cell>
          <cell r="C188" t="str">
            <v xml:space="preserve"> Mandor</v>
          </cell>
          <cell r="D188">
            <v>43330</v>
          </cell>
          <cell r="F188">
            <v>571.95600000000002</v>
          </cell>
        </row>
        <row r="189">
          <cell r="E189">
            <v>15100</v>
          </cell>
          <cell r="F189">
            <v>11684.244000000001</v>
          </cell>
          <cell r="G189">
            <v>26784.243999999999</v>
          </cell>
        </row>
        <row r="190">
          <cell r="A190" t="str">
            <v xml:space="preserve"> 15.</v>
          </cell>
          <cell r="B190" t="str">
            <v xml:space="preserve"> 1 M2 LANTAI UBIN WARNA 20/20 CM </v>
          </cell>
        </row>
        <row r="191">
          <cell r="B191">
            <v>1</v>
          </cell>
          <cell r="C191" t="str">
            <v xml:space="preserve"> M2 ubin</v>
          </cell>
          <cell r="D191">
            <v>7500</v>
          </cell>
          <cell r="E191">
            <v>7500</v>
          </cell>
        </row>
        <row r="192">
          <cell r="B192">
            <v>0.1875</v>
          </cell>
          <cell r="C192" t="str">
            <v xml:space="preserve"> Zak Semen Portland</v>
          </cell>
          <cell r="D192">
            <v>25000</v>
          </cell>
          <cell r="E192">
            <v>4687.5</v>
          </cell>
        </row>
        <row r="193">
          <cell r="B193">
            <v>0.03</v>
          </cell>
          <cell r="C193" t="str">
            <v xml:space="preserve"> M3 pasir pasang</v>
          </cell>
          <cell r="D193">
            <v>95000</v>
          </cell>
          <cell r="E193">
            <v>2850</v>
          </cell>
        </row>
        <row r="194">
          <cell r="B194">
            <v>1</v>
          </cell>
          <cell r="C194" t="str">
            <v xml:space="preserve"> Kg grouting</v>
          </cell>
          <cell r="D194">
            <v>7760</v>
          </cell>
          <cell r="E194">
            <v>7760</v>
          </cell>
        </row>
        <row r="195">
          <cell r="B195">
            <v>0.13200000000000001</v>
          </cell>
          <cell r="C195" t="str">
            <v xml:space="preserve"> Tukang batu</v>
          </cell>
          <cell r="D195">
            <v>30950</v>
          </cell>
          <cell r="F195">
            <v>4085.4</v>
          </cell>
        </row>
        <row r="196">
          <cell r="B196">
            <v>1.32E-2</v>
          </cell>
          <cell r="C196" t="str">
            <v xml:space="preserve"> Tukang kepala</v>
          </cell>
          <cell r="D196">
            <v>37140</v>
          </cell>
          <cell r="F196">
            <v>490.24799999999999</v>
          </cell>
        </row>
        <row r="197">
          <cell r="B197">
            <v>0.26400000000000001</v>
          </cell>
          <cell r="C197" t="str">
            <v xml:space="preserve"> Pekerja</v>
          </cell>
          <cell r="D197">
            <v>24760</v>
          </cell>
          <cell r="F197">
            <v>6536.64</v>
          </cell>
        </row>
        <row r="198">
          <cell r="B198">
            <v>1.32E-2</v>
          </cell>
          <cell r="C198" t="str">
            <v xml:space="preserve"> Mandor</v>
          </cell>
          <cell r="D198">
            <v>43330</v>
          </cell>
          <cell r="F198">
            <v>571.95600000000002</v>
          </cell>
        </row>
        <row r="199">
          <cell r="E199">
            <v>22797.5</v>
          </cell>
          <cell r="F199">
            <v>11684.244000000001</v>
          </cell>
          <cell r="G199">
            <v>34481.743999999999</v>
          </cell>
        </row>
        <row r="200">
          <cell r="A200" t="str">
            <v xml:space="preserve"> 16.</v>
          </cell>
          <cell r="B200" t="str">
            <v xml:space="preserve"> 1 M2 LANTAI KERAMIK 20x20 CM</v>
          </cell>
        </row>
        <row r="201">
          <cell r="B201">
            <v>1</v>
          </cell>
          <cell r="C201" t="str">
            <v xml:space="preserve"> M2 keramik</v>
          </cell>
          <cell r="D201">
            <v>27000</v>
          </cell>
          <cell r="E201">
            <v>27000</v>
          </cell>
        </row>
        <row r="202">
          <cell r="B202">
            <v>0.22500000000000001</v>
          </cell>
          <cell r="C202" t="str">
            <v xml:space="preserve"> Zak Semen Portland</v>
          </cell>
          <cell r="D202">
            <v>25000</v>
          </cell>
          <cell r="E202">
            <v>5625</v>
          </cell>
        </row>
        <row r="203">
          <cell r="B203">
            <v>3.5000000000000001E-3</v>
          </cell>
          <cell r="C203" t="str">
            <v>Pasir pasang</v>
          </cell>
          <cell r="D203">
            <v>95000</v>
          </cell>
          <cell r="E203">
            <v>332.5</v>
          </cell>
        </row>
        <row r="204">
          <cell r="B204">
            <v>0.5</v>
          </cell>
          <cell r="C204" t="str">
            <v xml:space="preserve"> Kg grouting</v>
          </cell>
          <cell r="D204">
            <v>7760</v>
          </cell>
          <cell r="E204">
            <v>3880</v>
          </cell>
        </row>
        <row r="205">
          <cell r="B205">
            <v>0.38500000000000006</v>
          </cell>
          <cell r="C205" t="str">
            <v xml:space="preserve"> Tukang batu</v>
          </cell>
          <cell r="D205">
            <v>30950</v>
          </cell>
          <cell r="F205">
            <v>11915.750000000002</v>
          </cell>
        </row>
        <row r="206">
          <cell r="B206">
            <v>3.8500000000000006E-2</v>
          </cell>
          <cell r="C206" t="str">
            <v xml:space="preserve"> Tukang kepala</v>
          </cell>
          <cell r="D206">
            <v>37140</v>
          </cell>
          <cell r="F206">
            <v>1429.8900000000003</v>
          </cell>
        </row>
        <row r="207">
          <cell r="B207">
            <v>0.57750000000000012</v>
          </cell>
          <cell r="C207" t="str">
            <v xml:space="preserve"> Pekerja</v>
          </cell>
          <cell r="D207">
            <v>24760</v>
          </cell>
          <cell r="F207">
            <v>14298.900000000003</v>
          </cell>
        </row>
        <row r="208">
          <cell r="B208">
            <v>2.8875000000000005E-2</v>
          </cell>
          <cell r="C208" t="str">
            <v xml:space="preserve"> Mandor</v>
          </cell>
          <cell r="D208">
            <v>43330</v>
          </cell>
          <cell r="F208">
            <v>1251.1537500000002</v>
          </cell>
        </row>
        <row r="209">
          <cell r="E209">
            <v>36837.5</v>
          </cell>
          <cell r="F209">
            <v>28895.693750000009</v>
          </cell>
          <cell r="G209">
            <v>65733.193750000006</v>
          </cell>
        </row>
        <row r="210">
          <cell r="A210" t="str">
            <v xml:space="preserve"> 17.</v>
          </cell>
          <cell r="B210" t="str">
            <v xml:space="preserve"> 1 M2 LANTAI MOZAIC 30x30 CM</v>
          </cell>
        </row>
        <row r="211">
          <cell r="B211">
            <v>1</v>
          </cell>
          <cell r="C211" t="str">
            <v xml:space="preserve"> M2 mozaic</v>
          </cell>
          <cell r="D211">
            <v>132000</v>
          </cell>
          <cell r="E211">
            <v>132000</v>
          </cell>
        </row>
        <row r="212">
          <cell r="B212">
            <v>0.22500000000000001</v>
          </cell>
          <cell r="C212" t="str">
            <v xml:space="preserve"> Zak Semen Portland</v>
          </cell>
          <cell r="D212">
            <v>25000</v>
          </cell>
          <cell r="E212">
            <v>5625</v>
          </cell>
        </row>
        <row r="213">
          <cell r="B213">
            <v>0.5</v>
          </cell>
          <cell r="C213" t="str">
            <v xml:space="preserve"> Kg grouting</v>
          </cell>
          <cell r="D213">
            <v>7760</v>
          </cell>
          <cell r="E213">
            <v>3880</v>
          </cell>
        </row>
        <row r="214">
          <cell r="B214">
            <v>3.5000000000000001E-3</v>
          </cell>
          <cell r="C214" t="str">
            <v>Pasir pasang</v>
          </cell>
          <cell r="D214">
            <v>95000</v>
          </cell>
          <cell r="E214">
            <v>332.5</v>
          </cell>
        </row>
        <row r="215">
          <cell r="B215">
            <v>0.33</v>
          </cell>
          <cell r="C215" t="str">
            <v xml:space="preserve"> Tukang batu</v>
          </cell>
          <cell r="D215">
            <v>30950</v>
          </cell>
          <cell r="F215">
            <v>10213.5</v>
          </cell>
        </row>
        <row r="216">
          <cell r="B216">
            <v>3.3000000000000002E-2</v>
          </cell>
          <cell r="C216" t="str">
            <v xml:space="preserve"> Tukang kepala</v>
          </cell>
          <cell r="D216">
            <v>37140</v>
          </cell>
          <cell r="F216">
            <v>1225.6200000000001</v>
          </cell>
        </row>
        <row r="217">
          <cell r="B217">
            <v>0.495</v>
          </cell>
          <cell r="C217" t="str">
            <v xml:space="preserve"> Pekerja</v>
          </cell>
          <cell r="D217">
            <v>24760</v>
          </cell>
          <cell r="F217">
            <v>12256.2</v>
          </cell>
        </row>
        <row r="218">
          <cell r="B218">
            <v>2.4750000000000001E-2</v>
          </cell>
          <cell r="C218" t="str">
            <v xml:space="preserve"> Mandor</v>
          </cell>
          <cell r="D218">
            <v>43330</v>
          </cell>
          <cell r="F218">
            <v>1072.4175</v>
          </cell>
        </row>
        <row r="219">
          <cell r="E219">
            <v>141837.5</v>
          </cell>
          <cell r="F219">
            <v>24767.737499999999</v>
          </cell>
          <cell r="G219">
            <v>166605.23749999999</v>
          </cell>
        </row>
        <row r="220">
          <cell r="A220" t="str">
            <v xml:space="preserve"> 18.</v>
          </cell>
          <cell r="B220" t="str">
            <v xml:space="preserve"> 1 M' PLINT UBIN PC ABU-ABU 10x20 CM </v>
          </cell>
        </row>
        <row r="221">
          <cell r="B221">
            <v>0.1</v>
          </cell>
          <cell r="C221" t="str">
            <v xml:space="preserve"> M2 ubin pc 20/20</v>
          </cell>
          <cell r="D221">
            <v>7000</v>
          </cell>
          <cell r="E221">
            <v>700</v>
          </cell>
        </row>
        <row r="222">
          <cell r="B222">
            <v>3.7499999999999999E-2</v>
          </cell>
          <cell r="C222" t="str">
            <v xml:space="preserve"> Zak Semen Portland</v>
          </cell>
          <cell r="D222">
            <v>25000</v>
          </cell>
          <cell r="E222">
            <v>937.5</v>
          </cell>
        </row>
        <row r="223">
          <cell r="B223">
            <v>3.6000000000000003E-3</v>
          </cell>
          <cell r="C223" t="str">
            <v xml:space="preserve"> M3 pasir pasang</v>
          </cell>
          <cell r="D223">
            <v>95000</v>
          </cell>
          <cell r="E223">
            <v>342.00000000000006</v>
          </cell>
        </row>
        <row r="224">
          <cell r="B224">
            <v>1.1000000000000001E-3</v>
          </cell>
          <cell r="C224" t="str">
            <v xml:space="preserve"> Zak SP (cor nad)</v>
          </cell>
          <cell r="D224">
            <v>25000</v>
          </cell>
          <cell r="E224">
            <v>27.5</v>
          </cell>
        </row>
        <row r="225">
          <cell r="B225">
            <v>7.1500000000000008E-2</v>
          </cell>
          <cell r="C225" t="str">
            <v xml:space="preserve"> Tukang batu</v>
          </cell>
          <cell r="D225">
            <v>30950</v>
          </cell>
          <cell r="F225">
            <v>2212.9250000000002</v>
          </cell>
        </row>
        <row r="226">
          <cell r="B226">
            <v>7.150000000000001E-3</v>
          </cell>
          <cell r="C226" t="str">
            <v xml:space="preserve"> Tukang kepala</v>
          </cell>
          <cell r="D226">
            <v>37140</v>
          </cell>
          <cell r="F226">
            <v>265.55100000000004</v>
          </cell>
        </row>
        <row r="227">
          <cell r="B227">
            <v>0.14300000000000002</v>
          </cell>
          <cell r="C227" t="str">
            <v xml:space="preserve"> Pekerja</v>
          </cell>
          <cell r="D227">
            <v>24760</v>
          </cell>
          <cell r="F227">
            <v>3540.6800000000003</v>
          </cell>
        </row>
        <row r="228">
          <cell r="B228">
            <v>7.150000000000001E-3</v>
          </cell>
          <cell r="C228" t="str">
            <v xml:space="preserve"> Mandor</v>
          </cell>
          <cell r="D228">
            <v>43330</v>
          </cell>
          <cell r="F228">
            <v>309.80950000000001</v>
          </cell>
        </row>
        <row r="229">
          <cell r="E229">
            <v>2007</v>
          </cell>
          <cell r="F229">
            <v>6328.9655000000012</v>
          </cell>
          <cell r="G229">
            <v>8335.9655000000021</v>
          </cell>
        </row>
        <row r="230">
          <cell r="A230" t="str">
            <v xml:space="preserve"> 19.</v>
          </cell>
          <cell r="B230" t="str">
            <v xml:space="preserve"> 1 M' PLINT UBIN PC WARNA 10X20 CM </v>
          </cell>
        </row>
        <row r="231">
          <cell r="B231">
            <v>0.1</v>
          </cell>
          <cell r="C231" t="str">
            <v xml:space="preserve"> Buah ubin pc warna 20/20</v>
          </cell>
          <cell r="D231">
            <v>7500</v>
          </cell>
          <cell r="E231">
            <v>750</v>
          </cell>
        </row>
        <row r="232">
          <cell r="B232">
            <v>3.7499999999999999E-2</v>
          </cell>
          <cell r="C232" t="str">
            <v xml:space="preserve"> Zak Semen Portland</v>
          </cell>
          <cell r="D232">
            <v>25000</v>
          </cell>
          <cell r="E232">
            <v>937.5</v>
          </cell>
        </row>
        <row r="233">
          <cell r="B233">
            <v>3.6000000000000003E-3</v>
          </cell>
          <cell r="C233" t="str">
            <v xml:space="preserve"> M3 pasir pasang</v>
          </cell>
          <cell r="D233">
            <v>95000</v>
          </cell>
          <cell r="E233">
            <v>342.00000000000006</v>
          </cell>
        </row>
        <row r="234">
          <cell r="B234">
            <v>0.2</v>
          </cell>
          <cell r="C234" t="str">
            <v xml:space="preserve"> Kg grouting</v>
          </cell>
          <cell r="D234">
            <v>7760</v>
          </cell>
          <cell r="E234">
            <v>1552</v>
          </cell>
        </row>
        <row r="235">
          <cell r="B235">
            <v>7.1500000000000008E-2</v>
          </cell>
          <cell r="C235" t="str">
            <v xml:space="preserve"> Tukang batu</v>
          </cell>
          <cell r="D235">
            <v>30950</v>
          </cell>
          <cell r="F235">
            <v>2212.9250000000002</v>
          </cell>
        </row>
        <row r="236">
          <cell r="B236">
            <v>7.150000000000001E-3</v>
          </cell>
          <cell r="C236" t="str">
            <v xml:space="preserve"> Tukang kepala</v>
          </cell>
          <cell r="D236">
            <v>37140</v>
          </cell>
          <cell r="F236">
            <v>265.55100000000004</v>
          </cell>
        </row>
        <row r="237">
          <cell r="B237">
            <v>0.14300000000000002</v>
          </cell>
          <cell r="C237" t="str">
            <v xml:space="preserve"> Pekerja</v>
          </cell>
          <cell r="D237">
            <v>24760</v>
          </cell>
          <cell r="F237">
            <v>3540.6800000000003</v>
          </cell>
        </row>
        <row r="238">
          <cell r="B238">
            <v>7.150000000000001E-3</v>
          </cell>
          <cell r="C238" t="str">
            <v xml:space="preserve"> Mandor</v>
          </cell>
          <cell r="D238">
            <v>43330</v>
          </cell>
          <cell r="F238">
            <v>309.80950000000001</v>
          </cell>
        </row>
        <row r="239">
          <cell r="E239">
            <v>3581.5</v>
          </cell>
          <cell r="F239">
            <v>6328.9655000000012</v>
          </cell>
          <cell r="G239">
            <v>9910.4655000000021</v>
          </cell>
        </row>
        <row r="240">
          <cell r="A240" t="str">
            <v xml:space="preserve"> 20.</v>
          </cell>
          <cell r="B240" t="str">
            <v xml:space="preserve"> 1 M' PLINT KERAMIK 10x20 CM</v>
          </cell>
        </row>
        <row r="241">
          <cell r="B241">
            <v>0.1</v>
          </cell>
          <cell r="C241" t="str">
            <v xml:space="preserve"> M2 keramik</v>
          </cell>
          <cell r="D241">
            <v>27000</v>
          </cell>
          <cell r="E241">
            <v>2700</v>
          </cell>
        </row>
        <row r="242">
          <cell r="B242">
            <v>3.7499999999999999E-2</v>
          </cell>
          <cell r="C242" t="str">
            <v xml:space="preserve"> Zak Semen Portland</v>
          </cell>
          <cell r="D242">
            <v>25000</v>
          </cell>
          <cell r="E242">
            <v>937.5</v>
          </cell>
        </row>
        <row r="243">
          <cell r="B243">
            <v>3.6000000000000003E-3</v>
          </cell>
          <cell r="C243" t="str">
            <v xml:space="preserve"> M3 pasir pasang</v>
          </cell>
          <cell r="D243">
            <v>95000</v>
          </cell>
          <cell r="E243">
            <v>342.00000000000006</v>
          </cell>
        </row>
        <row r="244">
          <cell r="B244">
            <v>0.2</v>
          </cell>
          <cell r="C244" t="str">
            <v xml:space="preserve"> Kg grouting</v>
          </cell>
          <cell r="D244">
            <v>7760</v>
          </cell>
          <cell r="E244">
            <v>1552</v>
          </cell>
        </row>
        <row r="245">
          <cell r="B245">
            <v>7.1500000000000008E-2</v>
          </cell>
          <cell r="C245" t="str">
            <v xml:space="preserve"> Tukang batu</v>
          </cell>
          <cell r="D245">
            <v>30950</v>
          </cell>
          <cell r="F245">
            <v>2212.9250000000002</v>
          </cell>
        </row>
        <row r="246">
          <cell r="B246">
            <v>7.150000000000001E-3</v>
          </cell>
          <cell r="C246" t="str">
            <v xml:space="preserve"> Tukang kepala</v>
          </cell>
          <cell r="D246">
            <v>37140</v>
          </cell>
          <cell r="F246">
            <v>265.55100000000004</v>
          </cell>
        </row>
        <row r="247">
          <cell r="B247">
            <v>0.14300000000000002</v>
          </cell>
          <cell r="C247" t="str">
            <v xml:space="preserve"> Pekerja</v>
          </cell>
          <cell r="D247">
            <v>24760</v>
          </cell>
          <cell r="F247">
            <v>3540.6800000000003</v>
          </cell>
        </row>
        <row r="248">
          <cell r="B248">
            <v>7.150000000000001E-3</v>
          </cell>
          <cell r="C248" t="str">
            <v xml:space="preserve"> Mandor</v>
          </cell>
          <cell r="D248">
            <v>43330</v>
          </cell>
          <cell r="F248">
            <v>309.80950000000001</v>
          </cell>
        </row>
        <row r="249">
          <cell r="E249">
            <v>5531.5</v>
          </cell>
          <cell r="F249">
            <v>6328.9655000000012</v>
          </cell>
          <cell r="G249">
            <v>11860.465500000002</v>
          </cell>
        </row>
        <row r="250">
          <cell r="A250" t="str">
            <v xml:space="preserve"> 21.</v>
          </cell>
          <cell r="B250" t="str">
            <v xml:space="preserve"> 1 M2 LANTAI RABAT BETON TEBAL 5 CM (1:3:6)</v>
          </cell>
        </row>
        <row r="251">
          <cell r="B251">
            <v>0.28000000000000003</v>
          </cell>
          <cell r="C251" t="str">
            <v xml:space="preserve"> Zak Semen Portland</v>
          </cell>
          <cell r="D251">
            <v>25000</v>
          </cell>
          <cell r="E251">
            <v>7000.0000000000009</v>
          </cell>
        </row>
        <row r="252">
          <cell r="B252">
            <v>0.03</v>
          </cell>
          <cell r="C252" t="str">
            <v xml:space="preserve"> M3 pasir beton</v>
          </cell>
          <cell r="D252">
            <v>95000</v>
          </cell>
          <cell r="E252">
            <v>2850</v>
          </cell>
        </row>
        <row r="253">
          <cell r="B253">
            <v>5.5E-2</v>
          </cell>
          <cell r="C253" t="str">
            <v xml:space="preserve"> M3 koral beton</v>
          </cell>
          <cell r="D253">
            <v>77000</v>
          </cell>
          <cell r="E253">
            <v>4235</v>
          </cell>
        </row>
        <row r="254">
          <cell r="B254">
            <v>0.125</v>
          </cell>
          <cell r="C254" t="str">
            <v xml:space="preserve"> Zak SP (acian)</v>
          </cell>
          <cell r="D254">
            <v>25000</v>
          </cell>
          <cell r="E254">
            <v>3125</v>
          </cell>
        </row>
        <row r="255">
          <cell r="B255">
            <v>0.1125</v>
          </cell>
          <cell r="C255" t="str">
            <v xml:space="preserve"> Tukang batu</v>
          </cell>
          <cell r="D255">
            <v>30950</v>
          </cell>
          <cell r="F255">
            <v>3481.875</v>
          </cell>
        </row>
        <row r="256">
          <cell r="B256">
            <v>1.125E-2</v>
          </cell>
          <cell r="C256" t="str">
            <v xml:space="preserve"> Tukang kepala</v>
          </cell>
          <cell r="D256">
            <v>37140</v>
          </cell>
          <cell r="F256">
            <v>417.82499999999999</v>
          </cell>
        </row>
        <row r="257">
          <cell r="B257">
            <v>0.45</v>
          </cell>
          <cell r="C257" t="str">
            <v xml:space="preserve"> Pekerja</v>
          </cell>
          <cell r="D257">
            <v>24760</v>
          </cell>
          <cell r="F257">
            <v>11142</v>
          </cell>
        </row>
        <row r="258">
          <cell r="B258">
            <v>2.2499999999999999E-2</v>
          </cell>
          <cell r="C258" t="str">
            <v xml:space="preserve"> Mandor</v>
          </cell>
          <cell r="D258">
            <v>43330</v>
          </cell>
          <cell r="F258">
            <v>974.92499999999995</v>
          </cell>
        </row>
        <row r="259">
          <cell r="E259">
            <v>17210</v>
          </cell>
          <cell r="F259">
            <v>16016.625</v>
          </cell>
          <cell r="G259">
            <v>33226.625</v>
          </cell>
        </row>
        <row r="260">
          <cell r="A260" t="str">
            <v xml:space="preserve"> 22.</v>
          </cell>
          <cell r="B260" t="str">
            <v xml:space="preserve"> 1 M2 BERAPEN PONDASI 1:5</v>
          </cell>
        </row>
        <row r="261">
          <cell r="B261">
            <v>0.1406</v>
          </cell>
          <cell r="C261" t="str">
            <v xml:space="preserve"> Zak semen Portland</v>
          </cell>
          <cell r="D261">
            <v>25000</v>
          </cell>
          <cell r="E261">
            <v>3515</v>
          </cell>
        </row>
        <row r="262">
          <cell r="B262">
            <v>2.2499999999999999E-2</v>
          </cell>
          <cell r="C262" t="str">
            <v xml:space="preserve"> M3 pasir pasang</v>
          </cell>
          <cell r="D262">
            <v>95000</v>
          </cell>
          <cell r="E262">
            <v>2137.5</v>
          </cell>
        </row>
        <row r="263">
          <cell r="B263">
            <v>0.11000000000000001</v>
          </cell>
          <cell r="C263" t="str">
            <v xml:space="preserve"> Tukang batu</v>
          </cell>
          <cell r="D263">
            <v>30950</v>
          </cell>
          <cell r="F263">
            <v>3404.5000000000005</v>
          </cell>
        </row>
        <row r="264">
          <cell r="B264">
            <v>1.1000000000000001E-2</v>
          </cell>
          <cell r="C264" t="str">
            <v xml:space="preserve"> Tukang kepala</v>
          </cell>
          <cell r="D264">
            <v>37140</v>
          </cell>
          <cell r="F264">
            <v>408.54</v>
          </cell>
        </row>
        <row r="265">
          <cell r="B265">
            <v>0.22000000000000003</v>
          </cell>
          <cell r="C265" t="str">
            <v xml:space="preserve"> Pekerja</v>
          </cell>
          <cell r="D265">
            <v>24760</v>
          </cell>
          <cell r="F265">
            <v>5447.2000000000007</v>
          </cell>
        </row>
        <row r="266">
          <cell r="B266">
            <v>1.1000000000000001E-2</v>
          </cell>
          <cell r="C266" t="str">
            <v xml:space="preserve"> Mandor</v>
          </cell>
          <cell r="D266">
            <v>43330</v>
          </cell>
          <cell r="F266">
            <v>476.63000000000005</v>
          </cell>
        </row>
        <row r="267">
          <cell r="E267">
            <v>5652.5</v>
          </cell>
          <cell r="F267">
            <v>9736.8700000000008</v>
          </cell>
          <cell r="G267">
            <v>15389.37</v>
          </cell>
        </row>
        <row r="268">
          <cell r="A268" t="str">
            <v xml:space="preserve"> 23.</v>
          </cell>
          <cell r="B268" t="str">
            <v xml:space="preserve"> 1 M2 PLESTERAN TEBAL 15 MM (1:3)</v>
          </cell>
        </row>
        <row r="269">
          <cell r="B269">
            <v>0.2109</v>
          </cell>
          <cell r="C269" t="str">
            <v xml:space="preserve"> Zak semen Portland</v>
          </cell>
          <cell r="D269">
            <v>25000</v>
          </cell>
          <cell r="E269">
            <v>5272.5</v>
          </cell>
        </row>
        <row r="270">
          <cell r="B270">
            <v>2.0300000000000002E-2</v>
          </cell>
          <cell r="C270" t="str">
            <v xml:space="preserve"> M3 pasir pasang</v>
          </cell>
          <cell r="D270">
            <v>95000</v>
          </cell>
          <cell r="E270">
            <v>1928.5000000000002</v>
          </cell>
        </row>
        <row r="271">
          <cell r="B271">
            <v>7.0000000000000007E-2</v>
          </cell>
          <cell r="C271" t="str">
            <v xml:space="preserve"> Zak SP (acian)</v>
          </cell>
          <cell r="D271">
            <v>25000</v>
          </cell>
          <cell r="E271">
            <v>1750.0000000000002</v>
          </cell>
        </row>
        <row r="272">
          <cell r="B272">
            <v>0.17600000000000002</v>
          </cell>
          <cell r="C272" t="str">
            <v xml:space="preserve"> Tukang batu</v>
          </cell>
          <cell r="D272">
            <v>30950</v>
          </cell>
          <cell r="F272">
            <v>5447.2000000000007</v>
          </cell>
        </row>
        <row r="273">
          <cell r="B273">
            <v>1.7600000000000001E-2</v>
          </cell>
          <cell r="C273" t="str">
            <v xml:space="preserve"> Tukang kepala</v>
          </cell>
          <cell r="D273">
            <v>37140</v>
          </cell>
          <cell r="F273">
            <v>653.66399999999999</v>
          </cell>
        </row>
        <row r="274">
          <cell r="B274">
            <v>0.35200000000000004</v>
          </cell>
          <cell r="C274" t="str">
            <v xml:space="preserve"> Pekerja</v>
          </cell>
          <cell r="D274">
            <v>24760</v>
          </cell>
          <cell r="F274">
            <v>8715.52</v>
          </cell>
        </row>
        <row r="275">
          <cell r="B275">
            <v>1.7600000000000001E-2</v>
          </cell>
          <cell r="C275" t="str">
            <v xml:space="preserve"> Mandor</v>
          </cell>
          <cell r="D275">
            <v>43330</v>
          </cell>
          <cell r="F275">
            <v>762.60800000000006</v>
          </cell>
        </row>
        <row r="276">
          <cell r="E276">
            <v>8951</v>
          </cell>
          <cell r="F276">
            <v>15578.992000000002</v>
          </cell>
          <cell r="G276">
            <v>24529.992000000002</v>
          </cell>
        </row>
        <row r="277">
          <cell r="A277" t="str">
            <v xml:space="preserve"> 24.</v>
          </cell>
          <cell r="B277" t="str">
            <v xml:space="preserve"> 1 M2 PLESTERAN TEBAL 15 MM (1:5)</v>
          </cell>
        </row>
        <row r="278">
          <cell r="B278">
            <v>0.1406</v>
          </cell>
          <cell r="C278" t="str">
            <v xml:space="preserve"> Zak semen Portland</v>
          </cell>
          <cell r="D278">
            <v>25000</v>
          </cell>
          <cell r="E278">
            <v>3515</v>
          </cell>
        </row>
        <row r="279">
          <cell r="B279">
            <v>2.2499999999999999E-2</v>
          </cell>
          <cell r="C279" t="str">
            <v xml:space="preserve"> M3 pasir pasang</v>
          </cell>
          <cell r="D279">
            <v>95000</v>
          </cell>
          <cell r="E279">
            <v>2137.5</v>
          </cell>
        </row>
        <row r="280">
          <cell r="B280">
            <v>7.0000000000000007E-2</v>
          </cell>
          <cell r="C280" t="str">
            <v xml:space="preserve"> Zak SP (acian)</v>
          </cell>
          <cell r="D280">
            <v>25000</v>
          </cell>
          <cell r="E280">
            <v>1750.0000000000002</v>
          </cell>
        </row>
        <row r="281">
          <cell r="B281">
            <v>0.17600000000000002</v>
          </cell>
          <cell r="C281" t="str">
            <v xml:space="preserve"> Tukang batu</v>
          </cell>
          <cell r="D281">
            <v>30950</v>
          </cell>
          <cell r="F281">
            <v>5447.2000000000007</v>
          </cell>
        </row>
        <row r="282">
          <cell r="B282">
            <v>1.7600000000000001E-2</v>
          </cell>
          <cell r="C282" t="str">
            <v xml:space="preserve"> Tukang kepala</v>
          </cell>
          <cell r="D282">
            <v>37140</v>
          </cell>
          <cell r="F282">
            <v>653.66399999999999</v>
          </cell>
        </row>
        <row r="283">
          <cell r="B283">
            <v>0.35200000000000004</v>
          </cell>
          <cell r="C283" t="str">
            <v xml:space="preserve"> Pekerja</v>
          </cell>
          <cell r="D283">
            <v>24760</v>
          </cell>
          <cell r="F283">
            <v>8715.52</v>
          </cell>
        </row>
        <row r="284">
          <cell r="B284">
            <v>1.7600000000000001E-2</v>
          </cell>
          <cell r="C284" t="str">
            <v xml:space="preserve"> Mandor</v>
          </cell>
          <cell r="D284">
            <v>43330</v>
          </cell>
          <cell r="F284">
            <v>762.60800000000006</v>
          </cell>
        </row>
        <row r="285">
          <cell r="E285">
            <v>7402.5</v>
          </cell>
          <cell r="F285">
            <v>15578.992000000002</v>
          </cell>
          <cell r="G285">
            <v>22981.492000000002</v>
          </cell>
        </row>
        <row r="286">
          <cell r="A286" t="str">
            <v xml:space="preserve"> 25.</v>
          </cell>
          <cell r="B286" t="str">
            <v xml:space="preserve"> 1 M2 DINDING PORSELIN 15x15 CM </v>
          </cell>
        </row>
        <row r="287">
          <cell r="B287">
            <v>1</v>
          </cell>
          <cell r="C287" t="str">
            <v xml:space="preserve"> M2 porselin</v>
          </cell>
          <cell r="D287">
            <v>0</v>
          </cell>
          <cell r="E287">
            <v>0</v>
          </cell>
        </row>
        <row r="288">
          <cell r="B288">
            <v>0.1406</v>
          </cell>
          <cell r="C288" t="str">
            <v xml:space="preserve"> Zak semen Portland</v>
          </cell>
          <cell r="D288">
            <v>25000</v>
          </cell>
          <cell r="E288">
            <v>3515</v>
          </cell>
        </row>
        <row r="289">
          <cell r="B289">
            <v>1.35E-2</v>
          </cell>
          <cell r="C289" t="str">
            <v xml:space="preserve"> M3 pasir pasang</v>
          </cell>
          <cell r="D289">
            <v>95000</v>
          </cell>
          <cell r="E289">
            <v>1282.5</v>
          </cell>
        </row>
        <row r="290">
          <cell r="B290">
            <v>1</v>
          </cell>
          <cell r="C290" t="str">
            <v xml:space="preserve"> Kg grouting</v>
          </cell>
          <cell r="D290">
            <v>7760</v>
          </cell>
          <cell r="E290">
            <v>7760</v>
          </cell>
        </row>
        <row r="291">
          <cell r="B291">
            <v>0.60500000000000009</v>
          </cell>
          <cell r="C291" t="str">
            <v xml:space="preserve"> Tukang batu</v>
          </cell>
          <cell r="D291">
            <v>30950</v>
          </cell>
          <cell r="F291">
            <v>18724.750000000004</v>
          </cell>
        </row>
        <row r="292">
          <cell r="B292">
            <v>6.0500000000000012E-2</v>
          </cell>
          <cell r="C292" t="str">
            <v xml:space="preserve"> Tukang kepala</v>
          </cell>
          <cell r="D292">
            <v>37140</v>
          </cell>
          <cell r="F292">
            <v>2246.9700000000003</v>
          </cell>
        </row>
        <row r="293">
          <cell r="B293">
            <v>0.30250000000000005</v>
          </cell>
          <cell r="C293" t="str">
            <v xml:space="preserve"> Pekerja</v>
          </cell>
          <cell r="D293">
            <v>24760</v>
          </cell>
          <cell r="F293">
            <v>7489.9000000000015</v>
          </cell>
        </row>
        <row r="294">
          <cell r="B294">
            <v>1.5125000000000003E-2</v>
          </cell>
          <cell r="C294" t="str">
            <v xml:space="preserve"> Mandor</v>
          </cell>
          <cell r="D294">
            <v>43330</v>
          </cell>
          <cell r="F294">
            <v>655.36625000000015</v>
          </cell>
        </row>
        <row r="295">
          <cell r="E295">
            <v>12557.5</v>
          </cell>
          <cell r="F295">
            <v>29116.986250000005</v>
          </cell>
          <cell r="G295">
            <v>41674.486250000002</v>
          </cell>
        </row>
        <row r="296">
          <cell r="A296" t="str">
            <v xml:space="preserve"> 26.</v>
          </cell>
          <cell r="B296" t="str">
            <v xml:space="preserve"> 1 M2 DINDING PORSELIN 11x11 CM </v>
          </cell>
        </row>
        <row r="297">
          <cell r="B297">
            <v>1</v>
          </cell>
          <cell r="C297" t="str">
            <v xml:space="preserve"> M2 porselin</v>
          </cell>
          <cell r="D297">
            <v>23500</v>
          </cell>
          <cell r="E297">
            <v>23500</v>
          </cell>
        </row>
        <row r="298">
          <cell r="B298">
            <v>0.1406</v>
          </cell>
          <cell r="C298" t="str">
            <v xml:space="preserve"> Zak semen Portland</v>
          </cell>
          <cell r="D298">
            <v>25000</v>
          </cell>
          <cell r="E298">
            <v>3515</v>
          </cell>
        </row>
        <row r="299">
          <cell r="B299">
            <v>1.35E-2</v>
          </cell>
          <cell r="C299" t="str">
            <v xml:space="preserve"> M3 pasir pasang</v>
          </cell>
          <cell r="D299">
            <v>95000</v>
          </cell>
          <cell r="E299">
            <v>1282.5</v>
          </cell>
        </row>
        <row r="300">
          <cell r="B300">
            <v>1</v>
          </cell>
          <cell r="C300" t="str">
            <v xml:space="preserve"> Kg grouting</v>
          </cell>
          <cell r="D300">
            <v>7760</v>
          </cell>
          <cell r="E300">
            <v>7760</v>
          </cell>
        </row>
        <row r="301">
          <cell r="B301">
            <v>0.60500000000000009</v>
          </cell>
          <cell r="C301" t="str">
            <v xml:space="preserve"> Tukang batu</v>
          </cell>
          <cell r="D301">
            <v>30950</v>
          </cell>
          <cell r="F301">
            <v>18724.750000000004</v>
          </cell>
        </row>
        <row r="302">
          <cell r="B302">
            <v>6.0500000000000012E-2</v>
          </cell>
          <cell r="C302" t="str">
            <v xml:space="preserve"> Tukang kepala</v>
          </cell>
          <cell r="D302">
            <v>37140</v>
          </cell>
          <cell r="F302">
            <v>2246.9700000000003</v>
          </cell>
        </row>
        <row r="303">
          <cell r="B303">
            <v>0.30250000000000005</v>
          </cell>
          <cell r="C303" t="str">
            <v xml:space="preserve"> Pekerja</v>
          </cell>
          <cell r="D303">
            <v>24760</v>
          </cell>
          <cell r="F303">
            <v>7489.9000000000015</v>
          </cell>
        </row>
        <row r="304">
          <cell r="B304">
            <v>1.5125000000000003E-2</v>
          </cell>
          <cell r="C304" t="str">
            <v xml:space="preserve"> Mandor</v>
          </cell>
          <cell r="D304">
            <v>43330</v>
          </cell>
          <cell r="F304">
            <v>655.36625000000015</v>
          </cell>
        </row>
        <row r="305">
          <cell r="E305">
            <v>36057.5</v>
          </cell>
          <cell r="F305">
            <v>29116.986250000005</v>
          </cell>
          <cell r="G305">
            <v>65174.486250000002</v>
          </cell>
        </row>
        <row r="306">
          <cell r="A306" t="str">
            <v xml:space="preserve"> 27.</v>
          </cell>
          <cell r="B306" t="str">
            <v xml:space="preserve"> 1 M2 DINDING KERAMIK TILE 20x20 CM </v>
          </cell>
        </row>
        <row r="307">
          <cell r="B307">
            <v>1</v>
          </cell>
          <cell r="C307" t="str">
            <v xml:space="preserve"> M2 keramik</v>
          </cell>
          <cell r="D307">
            <v>27000</v>
          </cell>
          <cell r="E307">
            <v>27000</v>
          </cell>
        </row>
        <row r="308">
          <cell r="B308">
            <v>0.1406</v>
          </cell>
          <cell r="C308" t="str">
            <v xml:space="preserve"> Zak semen Portland</v>
          </cell>
          <cell r="D308">
            <v>25000</v>
          </cell>
          <cell r="E308">
            <v>3515</v>
          </cell>
        </row>
        <row r="309">
          <cell r="B309">
            <v>1.35E-2</v>
          </cell>
          <cell r="C309" t="str">
            <v xml:space="preserve"> M3 pasir pasang</v>
          </cell>
          <cell r="D309">
            <v>95000</v>
          </cell>
          <cell r="E309">
            <v>1282.5</v>
          </cell>
        </row>
        <row r="310">
          <cell r="B310">
            <v>1</v>
          </cell>
          <cell r="C310" t="str">
            <v xml:space="preserve"> Kg grouting</v>
          </cell>
          <cell r="D310">
            <v>7760</v>
          </cell>
          <cell r="E310">
            <v>7760</v>
          </cell>
        </row>
        <row r="311">
          <cell r="B311">
            <v>0.60500000000000009</v>
          </cell>
          <cell r="C311" t="str">
            <v xml:space="preserve"> Tukang batu</v>
          </cell>
          <cell r="D311">
            <v>30950</v>
          </cell>
          <cell r="F311">
            <v>18724.750000000004</v>
          </cell>
        </row>
        <row r="312">
          <cell r="B312">
            <v>6.0500000000000012E-2</v>
          </cell>
          <cell r="C312" t="str">
            <v xml:space="preserve"> Tukang kepala</v>
          </cell>
          <cell r="D312">
            <v>37140</v>
          </cell>
          <cell r="F312">
            <v>2246.9700000000003</v>
          </cell>
        </row>
        <row r="313">
          <cell r="B313">
            <v>0.30250000000000005</v>
          </cell>
          <cell r="C313" t="str">
            <v xml:space="preserve"> Pekerja</v>
          </cell>
          <cell r="D313">
            <v>24760</v>
          </cell>
          <cell r="F313">
            <v>7489.9000000000015</v>
          </cell>
        </row>
        <row r="314">
          <cell r="B314">
            <v>1.5125000000000003E-2</v>
          </cell>
          <cell r="C314" t="str">
            <v xml:space="preserve"> Mandor</v>
          </cell>
          <cell r="D314">
            <v>43330</v>
          </cell>
          <cell r="F314">
            <v>655.36625000000015</v>
          </cell>
        </row>
        <row r="315">
          <cell r="E315">
            <v>39557.5</v>
          </cell>
          <cell r="F315">
            <v>29116.986250000005</v>
          </cell>
          <cell r="G315">
            <v>68674.486250000002</v>
          </cell>
        </row>
        <row r="316">
          <cell r="A316" t="str">
            <v xml:space="preserve"> 28.</v>
          </cell>
          <cell r="B316" t="str">
            <v xml:space="preserve"> 1 M3 BETON K.125</v>
          </cell>
        </row>
        <row r="317">
          <cell r="B317">
            <v>6.875</v>
          </cell>
          <cell r="C317" t="str">
            <v xml:space="preserve"> Zak Semen Portland</v>
          </cell>
          <cell r="D317">
            <v>25000</v>
          </cell>
          <cell r="E317">
            <v>171875</v>
          </cell>
        </row>
        <row r="318">
          <cell r="B318">
            <v>0.56640000000000001</v>
          </cell>
          <cell r="C318" t="str">
            <v xml:space="preserve"> M3 pasir beton</v>
          </cell>
          <cell r="D318">
            <v>95000</v>
          </cell>
          <cell r="E318">
            <v>53808</v>
          </cell>
        </row>
        <row r="319">
          <cell r="B319">
            <v>0.84960000000000002</v>
          </cell>
          <cell r="C319" t="str">
            <v xml:space="preserve"> M3 split 1-2 cm</v>
          </cell>
          <cell r="D319">
            <v>95000</v>
          </cell>
          <cell r="E319">
            <v>80712</v>
          </cell>
        </row>
        <row r="320">
          <cell r="B320">
            <v>0.60500000000000009</v>
          </cell>
          <cell r="C320" t="str">
            <v xml:space="preserve"> Tukang batu</v>
          </cell>
          <cell r="D320">
            <v>30950</v>
          </cell>
          <cell r="F320">
            <v>18724.750000000004</v>
          </cell>
        </row>
        <row r="321">
          <cell r="B321">
            <v>6.0500000000000012E-2</v>
          </cell>
          <cell r="C321" t="str">
            <v xml:space="preserve"> Tukang kepala</v>
          </cell>
          <cell r="D321">
            <v>37140</v>
          </cell>
          <cell r="F321">
            <v>2246.9700000000003</v>
          </cell>
        </row>
        <row r="322">
          <cell r="B322">
            <v>3.6300000000000008</v>
          </cell>
          <cell r="C322" t="str">
            <v xml:space="preserve"> Pekerja</v>
          </cell>
          <cell r="D322">
            <v>24760</v>
          </cell>
          <cell r="F322">
            <v>89878.800000000017</v>
          </cell>
        </row>
        <row r="323">
          <cell r="B323">
            <v>0.18150000000000005</v>
          </cell>
          <cell r="C323" t="str">
            <v xml:space="preserve"> Mandor</v>
          </cell>
          <cell r="D323">
            <v>43330</v>
          </cell>
          <cell r="F323">
            <v>7864.3950000000023</v>
          </cell>
        </row>
        <row r="324">
          <cell r="E324">
            <v>306395</v>
          </cell>
          <cell r="F324">
            <v>118714.91500000002</v>
          </cell>
          <cell r="G324">
            <v>425109.91500000004</v>
          </cell>
        </row>
        <row r="325">
          <cell r="A325" t="str">
            <v xml:space="preserve"> 29.</v>
          </cell>
          <cell r="B325" t="str">
            <v xml:space="preserve"> 1 M3 BETON K.175</v>
          </cell>
        </row>
        <row r="326">
          <cell r="B326">
            <v>7.7125000000000004</v>
          </cell>
          <cell r="C326" t="str">
            <v xml:space="preserve"> Zak Semen Portland</v>
          </cell>
          <cell r="D326">
            <v>25000</v>
          </cell>
          <cell r="E326">
            <v>192812.5</v>
          </cell>
        </row>
        <row r="327">
          <cell r="B327">
            <v>0.55669999999999997</v>
          </cell>
          <cell r="C327" t="str">
            <v xml:space="preserve"> M3 pasir beton</v>
          </cell>
          <cell r="D327">
            <v>95000</v>
          </cell>
          <cell r="E327">
            <v>52886.5</v>
          </cell>
        </row>
        <row r="328">
          <cell r="B328">
            <v>0.83250000000000002</v>
          </cell>
          <cell r="C328" t="str">
            <v xml:space="preserve"> M3 split 1-2 cm</v>
          </cell>
          <cell r="D328">
            <v>95000</v>
          </cell>
          <cell r="E328">
            <v>79087.5</v>
          </cell>
        </row>
        <row r="329">
          <cell r="B329">
            <v>0.60500000000000009</v>
          </cell>
          <cell r="C329" t="str">
            <v xml:space="preserve"> Tukang batu</v>
          </cell>
          <cell r="D329">
            <v>30950</v>
          </cell>
          <cell r="F329">
            <v>18724.750000000004</v>
          </cell>
        </row>
        <row r="330">
          <cell r="B330">
            <v>6.0500000000000012E-2</v>
          </cell>
          <cell r="C330" t="str">
            <v xml:space="preserve"> Tukang kepala</v>
          </cell>
          <cell r="D330">
            <v>37140</v>
          </cell>
          <cell r="F330">
            <v>2246.9700000000003</v>
          </cell>
        </row>
        <row r="331">
          <cell r="B331">
            <v>3.6300000000000008</v>
          </cell>
          <cell r="C331" t="str">
            <v xml:space="preserve"> Pekerja</v>
          </cell>
          <cell r="D331">
            <v>24760</v>
          </cell>
          <cell r="F331">
            <v>89878.800000000017</v>
          </cell>
        </row>
        <row r="332">
          <cell r="B332">
            <v>0.18150000000000005</v>
          </cell>
          <cell r="C332" t="str">
            <v xml:space="preserve"> Mandor</v>
          </cell>
          <cell r="D332">
            <v>43330</v>
          </cell>
          <cell r="F332">
            <v>7864.3950000000023</v>
          </cell>
        </row>
        <row r="333">
          <cell r="E333">
            <v>324786.5</v>
          </cell>
          <cell r="F333">
            <v>118714.91500000002</v>
          </cell>
          <cell r="G333">
            <v>443501.41500000004</v>
          </cell>
        </row>
        <row r="334">
          <cell r="A334" t="str">
            <v xml:space="preserve"> 30.</v>
          </cell>
          <cell r="B334" t="str">
            <v xml:space="preserve"> 1 KG BESI BETON U-24</v>
          </cell>
        </row>
        <row r="335">
          <cell r="B335">
            <v>1.1000000000000001</v>
          </cell>
          <cell r="C335" t="str">
            <v xml:space="preserve"> Kg besi beton</v>
          </cell>
          <cell r="D335">
            <v>2900</v>
          </cell>
          <cell r="E335">
            <v>3190.0000000000005</v>
          </cell>
        </row>
        <row r="336">
          <cell r="B336">
            <v>2.6000000000000002E-2</v>
          </cell>
          <cell r="C336" t="str">
            <v xml:space="preserve"> Kg kawat beton</v>
          </cell>
          <cell r="D336">
            <v>5000</v>
          </cell>
          <cell r="E336">
            <v>130</v>
          </cell>
        </row>
        <row r="337">
          <cell r="B337">
            <v>1.35E-2</v>
          </cell>
          <cell r="C337" t="str">
            <v xml:space="preserve"> Tukang besi</v>
          </cell>
          <cell r="D337">
            <v>30950</v>
          </cell>
          <cell r="F337">
            <v>417.82499999999999</v>
          </cell>
        </row>
        <row r="338">
          <cell r="B338">
            <v>4.4999999999999997E-3</v>
          </cell>
          <cell r="C338" t="str">
            <v xml:space="preserve"> Tukang kepala</v>
          </cell>
          <cell r="D338">
            <v>37140</v>
          </cell>
          <cell r="F338">
            <v>167.13</v>
          </cell>
        </row>
        <row r="339">
          <cell r="B339">
            <v>1.35E-2</v>
          </cell>
          <cell r="C339" t="str">
            <v xml:space="preserve"> Pekerja</v>
          </cell>
          <cell r="D339">
            <v>24760</v>
          </cell>
          <cell r="F339">
            <v>334.26</v>
          </cell>
        </row>
        <row r="340">
          <cell r="E340">
            <v>3320.0000000000005</v>
          </cell>
          <cell r="F340">
            <v>919.21499999999992</v>
          </cell>
          <cell r="G340">
            <v>4239.2150000000001</v>
          </cell>
        </row>
        <row r="341">
          <cell r="A341" t="str">
            <v xml:space="preserve"> 31.</v>
          </cell>
          <cell r="B341" t="str">
            <v xml:space="preserve"> 1 M2 BEKISTING KAYU</v>
          </cell>
        </row>
        <row r="342">
          <cell r="B342">
            <v>1.83E-2</v>
          </cell>
          <cell r="C342" t="str">
            <v xml:space="preserve"> M3 kaso Borneo/meranti plb</v>
          </cell>
          <cell r="D342">
            <v>900000</v>
          </cell>
          <cell r="E342">
            <v>16470</v>
          </cell>
        </row>
        <row r="343">
          <cell r="B343">
            <v>3.3000000000000002E-2</v>
          </cell>
          <cell r="C343" t="str">
            <v xml:space="preserve"> M3 kayu Terentang/meranti plb</v>
          </cell>
          <cell r="D343">
            <v>950000</v>
          </cell>
          <cell r="E343">
            <v>31350</v>
          </cell>
        </row>
        <row r="344">
          <cell r="B344">
            <v>0.33</v>
          </cell>
          <cell r="C344" t="str">
            <v xml:space="preserve"> Kg paku kayu</v>
          </cell>
          <cell r="D344">
            <v>6000</v>
          </cell>
          <cell r="E344">
            <v>1980</v>
          </cell>
        </row>
        <row r="345">
          <cell r="B345">
            <v>0.22000000000000003</v>
          </cell>
          <cell r="C345" t="str">
            <v xml:space="preserve"> Tukang kayu</v>
          </cell>
          <cell r="D345">
            <v>30950</v>
          </cell>
          <cell r="F345">
            <v>6809.0000000000009</v>
          </cell>
        </row>
        <row r="346">
          <cell r="B346">
            <v>2.2000000000000002E-2</v>
          </cell>
          <cell r="C346" t="str">
            <v xml:space="preserve"> Tukang kepala</v>
          </cell>
          <cell r="D346">
            <v>37140</v>
          </cell>
          <cell r="F346">
            <v>817.08</v>
          </cell>
        </row>
        <row r="347">
          <cell r="B347">
            <v>8.8000000000000009E-2</v>
          </cell>
          <cell r="C347" t="str">
            <v xml:space="preserve"> Pekerja</v>
          </cell>
          <cell r="D347">
            <v>24760</v>
          </cell>
          <cell r="F347">
            <v>2178.88</v>
          </cell>
        </row>
        <row r="348">
          <cell r="B348">
            <v>4.4000000000000003E-3</v>
          </cell>
          <cell r="C348" t="str">
            <v xml:space="preserve"> Mandor</v>
          </cell>
          <cell r="D348">
            <v>43330</v>
          </cell>
          <cell r="F348">
            <v>190.65200000000002</v>
          </cell>
        </row>
        <row r="349">
          <cell r="E349">
            <v>49800</v>
          </cell>
          <cell r="F349">
            <v>9995.612000000001</v>
          </cell>
          <cell r="G349">
            <v>47836.489600000001</v>
          </cell>
        </row>
        <row r="350">
          <cell r="A350" t="str">
            <v xml:space="preserve"> 32.</v>
          </cell>
          <cell r="B350" t="str">
            <v xml:space="preserve"> 1 M2 STEGER BEKISTING</v>
          </cell>
        </row>
        <row r="351">
          <cell r="B351">
            <v>2.8800000000000003E-2</v>
          </cell>
          <cell r="C351" t="str">
            <v xml:space="preserve"> M3 kayu Terentang/meranti plb</v>
          </cell>
          <cell r="D351">
            <v>950000</v>
          </cell>
          <cell r="E351">
            <v>27360.000000000004</v>
          </cell>
        </row>
        <row r="352">
          <cell r="B352">
            <v>2.8000000000000001E-2</v>
          </cell>
          <cell r="C352" t="str">
            <v xml:space="preserve"> M3 kayu Borneo/meranti plb</v>
          </cell>
          <cell r="D352">
            <v>900000</v>
          </cell>
          <cell r="E352">
            <v>25200</v>
          </cell>
        </row>
        <row r="353">
          <cell r="B353">
            <v>0.15</v>
          </cell>
          <cell r="C353" t="str">
            <v xml:space="preserve"> Kg paku kayu</v>
          </cell>
          <cell r="D353">
            <v>6000</v>
          </cell>
          <cell r="E353">
            <v>900</v>
          </cell>
        </row>
        <row r="354">
          <cell r="B354">
            <v>0.13200000000000001</v>
          </cell>
          <cell r="C354" t="str">
            <v xml:space="preserve"> Tukang kayu</v>
          </cell>
          <cell r="D354">
            <v>30950</v>
          </cell>
          <cell r="F354">
            <v>4085.4</v>
          </cell>
        </row>
        <row r="355">
          <cell r="B355">
            <v>1.32E-2</v>
          </cell>
          <cell r="C355" t="str">
            <v xml:space="preserve"> Tukang kepala</v>
          </cell>
          <cell r="D355">
            <v>37140</v>
          </cell>
          <cell r="F355">
            <v>490.24799999999999</v>
          </cell>
        </row>
        <row r="356">
          <cell r="B356">
            <v>5.28E-2</v>
          </cell>
          <cell r="C356" t="str">
            <v xml:space="preserve"> Pekerja</v>
          </cell>
          <cell r="D356">
            <v>24760</v>
          </cell>
          <cell r="F356">
            <v>1307.328</v>
          </cell>
        </row>
        <row r="357">
          <cell r="B357">
            <v>2.64E-3</v>
          </cell>
          <cell r="C357" t="str">
            <v xml:space="preserve"> Mandor</v>
          </cell>
          <cell r="D357">
            <v>43330</v>
          </cell>
          <cell r="F357">
            <v>114.3912</v>
          </cell>
        </row>
        <row r="358">
          <cell r="E358">
            <v>53460</v>
          </cell>
          <cell r="F358">
            <v>5997.3672000000006</v>
          </cell>
          <cell r="G358">
            <v>11891.473440000002</v>
          </cell>
        </row>
        <row r="359">
          <cell r="A359" t="str">
            <v xml:space="preserve"> 33.</v>
          </cell>
          <cell r="B359" t="str">
            <v xml:space="preserve"> 1 M3 KUSEN KAYU BORNEO</v>
          </cell>
        </row>
        <row r="360">
          <cell r="B360">
            <v>1.1000000000000001</v>
          </cell>
          <cell r="C360" t="str">
            <v>M3 kayu Borneo</v>
          </cell>
          <cell r="D360">
            <v>900000</v>
          </cell>
          <cell r="E360">
            <v>990000.00000000012</v>
          </cell>
        </row>
        <row r="361">
          <cell r="B361">
            <v>4</v>
          </cell>
          <cell r="C361" t="str">
            <v>Kg lem kayu</v>
          </cell>
          <cell r="D361">
            <v>19500</v>
          </cell>
          <cell r="E361">
            <v>78000</v>
          </cell>
        </row>
        <row r="362">
          <cell r="B362">
            <v>4</v>
          </cell>
          <cell r="C362" t="str">
            <v>Kg paku</v>
          </cell>
          <cell r="D362">
            <v>6000</v>
          </cell>
          <cell r="E362">
            <v>24000</v>
          </cell>
        </row>
        <row r="363">
          <cell r="B363">
            <v>22.5</v>
          </cell>
          <cell r="C363" t="str">
            <v>Tukang kayu</v>
          </cell>
          <cell r="D363">
            <v>30950</v>
          </cell>
          <cell r="F363">
            <v>696375</v>
          </cell>
        </row>
        <row r="364">
          <cell r="B364">
            <v>2.25</v>
          </cell>
          <cell r="C364" t="str">
            <v>Tukang kepala</v>
          </cell>
          <cell r="D364">
            <v>37140</v>
          </cell>
          <cell r="F364">
            <v>83565</v>
          </cell>
        </row>
        <row r="365">
          <cell r="B365">
            <v>7.5</v>
          </cell>
          <cell r="C365" t="str">
            <v>Pekerja</v>
          </cell>
          <cell r="D365">
            <v>24760</v>
          </cell>
          <cell r="F365">
            <v>185700</v>
          </cell>
        </row>
        <row r="366">
          <cell r="B366">
            <v>0.375</v>
          </cell>
          <cell r="C366" t="str">
            <v>Mandor</v>
          </cell>
          <cell r="D366">
            <v>43330</v>
          </cell>
          <cell r="F366">
            <v>16248.75</v>
          </cell>
        </row>
        <row r="367">
          <cell r="E367">
            <v>1092000</v>
          </cell>
          <cell r="F367">
            <v>981888.75</v>
          </cell>
          <cell r="G367">
            <v>2073888.75</v>
          </cell>
        </row>
        <row r="368">
          <cell r="A368" t="str">
            <v xml:space="preserve"> 34.</v>
          </cell>
          <cell r="B368" t="str">
            <v xml:space="preserve"> 1 M3 KOSEN KAYU KAMPER</v>
          </cell>
        </row>
        <row r="369">
          <cell r="B369">
            <v>1.1000000000000001</v>
          </cell>
          <cell r="C369" t="str">
            <v>M3 kayu Kamper</v>
          </cell>
          <cell r="D369">
            <v>3000000</v>
          </cell>
          <cell r="E369">
            <v>3300000.0000000005</v>
          </cell>
        </row>
        <row r="370">
          <cell r="B370">
            <v>4</v>
          </cell>
          <cell r="C370" t="str">
            <v>Kg lem kayu</v>
          </cell>
          <cell r="D370">
            <v>19500</v>
          </cell>
          <cell r="E370">
            <v>78000</v>
          </cell>
        </row>
        <row r="371">
          <cell r="B371">
            <v>4</v>
          </cell>
          <cell r="C371" t="str">
            <v>Kg paku</v>
          </cell>
          <cell r="D371">
            <v>6000</v>
          </cell>
          <cell r="E371">
            <v>24000</v>
          </cell>
        </row>
        <row r="372">
          <cell r="B372">
            <v>24.750000000000004</v>
          </cell>
          <cell r="C372" t="str">
            <v>Tukang kayu</v>
          </cell>
          <cell r="D372">
            <v>30950</v>
          </cell>
          <cell r="F372">
            <v>766012.50000000012</v>
          </cell>
        </row>
        <row r="373">
          <cell r="B373">
            <v>2.4750000000000005</v>
          </cell>
          <cell r="C373" t="str">
            <v>Tukang kepala</v>
          </cell>
          <cell r="D373">
            <v>37140</v>
          </cell>
          <cell r="F373">
            <v>91921.500000000015</v>
          </cell>
        </row>
        <row r="374">
          <cell r="B374">
            <v>8.2500000000000018</v>
          </cell>
          <cell r="C374" t="str">
            <v>Pekerja</v>
          </cell>
          <cell r="D374">
            <v>24760</v>
          </cell>
          <cell r="F374">
            <v>204270.00000000006</v>
          </cell>
        </row>
        <row r="375">
          <cell r="B375">
            <v>0.41250000000000009</v>
          </cell>
          <cell r="C375" t="str">
            <v>Mandor</v>
          </cell>
          <cell r="D375">
            <v>43330</v>
          </cell>
          <cell r="F375">
            <v>17873.625000000004</v>
          </cell>
        </row>
        <row r="376">
          <cell r="E376">
            <v>3402000.0000000005</v>
          </cell>
          <cell r="F376">
            <v>1080077.6250000002</v>
          </cell>
          <cell r="G376">
            <v>4482077.6250000009</v>
          </cell>
        </row>
        <row r="377">
          <cell r="A377" t="str">
            <v xml:space="preserve"> 35.</v>
          </cell>
          <cell r="B377" t="str">
            <v xml:space="preserve"> 1 M2 PINTU JALUSI KAYU BORNEO</v>
          </cell>
        </row>
        <row r="378">
          <cell r="B378">
            <v>4.1000000000000002E-2</v>
          </cell>
          <cell r="C378" t="str">
            <v>M3 papan kayu Borneo</v>
          </cell>
          <cell r="D378">
            <v>975000</v>
          </cell>
          <cell r="E378">
            <v>39975</v>
          </cell>
        </row>
        <row r="379">
          <cell r="B379">
            <v>0.5</v>
          </cell>
          <cell r="C379" t="str">
            <v>Kg lem kayu</v>
          </cell>
          <cell r="D379">
            <v>19500</v>
          </cell>
          <cell r="E379">
            <v>9750</v>
          </cell>
        </row>
        <row r="380">
          <cell r="B380">
            <v>2.75</v>
          </cell>
          <cell r="C380" t="str">
            <v>Tukang kayu</v>
          </cell>
          <cell r="D380">
            <v>30950</v>
          </cell>
          <cell r="F380">
            <v>85112.5</v>
          </cell>
        </row>
        <row r="381">
          <cell r="B381">
            <v>0.27500000000000002</v>
          </cell>
          <cell r="C381" t="str">
            <v>Tukang kepala</v>
          </cell>
          <cell r="D381">
            <v>37140</v>
          </cell>
          <cell r="F381">
            <v>10213.5</v>
          </cell>
        </row>
        <row r="382">
          <cell r="B382">
            <v>0.91666666666666663</v>
          </cell>
          <cell r="C382" t="str">
            <v>Pekerja</v>
          </cell>
          <cell r="D382">
            <v>24760</v>
          </cell>
          <cell r="F382">
            <v>22696.666666666664</v>
          </cell>
        </row>
        <row r="383">
          <cell r="B383">
            <v>4.583333333333333E-2</v>
          </cell>
          <cell r="C383" t="str">
            <v>Mandor</v>
          </cell>
          <cell r="D383">
            <v>43330</v>
          </cell>
          <cell r="F383">
            <v>1985.9583333333333</v>
          </cell>
        </row>
        <row r="384">
          <cell r="E384">
            <v>49725</v>
          </cell>
          <cell r="F384">
            <v>120008.62499999999</v>
          </cell>
          <cell r="G384">
            <v>169733.625</v>
          </cell>
        </row>
        <row r="385">
          <cell r="A385" t="str">
            <v xml:space="preserve"> 36.</v>
          </cell>
          <cell r="B385" t="str">
            <v xml:space="preserve"> 1 M2 PINTU JALUSI KAYU KAMPER</v>
          </cell>
        </row>
        <row r="386">
          <cell r="B386">
            <v>4.1000000000000002E-2</v>
          </cell>
          <cell r="C386" t="str">
            <v xml:space="preserve"> M3 papan kayu Kamper</v>
          </cell>
          <cell r="D386">
            <v>3250000</v>
          </cell>
          <cell r="E386">
            <v>133250</v>
          </cell>
        </row>
        <row r="387">
          <cell r="B387">
            <v>0.5</v>
          </cell>
          <cell r="C387" t="str">
            <v xml:space="preserve"> Kg lem kayu</v>
          </cell>
          <cell r="D387">
            <v>19500</v>
          </cell>
          <cell r="E387">
            <v>9750</v>
          </cell>
        </row>
        <row r="388">
          <cell r="B388">
            <v>2.75</v>
          </cell>
          <cell r="C388" t="str">
            <v xml:space="preserve"> Tukang kayu</v>
          </cell>
          <cell r="D388">
            <v>30950</v>
          </cell>
          <cell r="F388">
            <v>85112.5</v>
          </cell>
        </row>
        <row r="389">
          <cell r="B389">
            <v>0.27500000000000002</v>
          </cell>
          <cell r="C389" t="str">
            <v xml:space="preserve"> Tukang kepala</v>
          </cell>
          <cell r="D389">
            <v>37140</v>
          </cell>
          <cell r="F389">
            <v>10213.5</v>
          </cell>
        </row>
        <row r="390">
          <cell r="B390">
            <v>0.91666666666666663</v>
          </cell>
          <cell r="C390" t="str">
            <v xml:space="preserve"> Pekerja</v>
          </cell>
          <cell r="D390">
            <v>24760</v>
          </cell>
          <cell r="F390">
            <v>22696.666666666664</v>
          </cell>
        </row>
        <row r="391">
          <cell r="B391">
            <v>4.583333333333333E-2</v>
          </cell>
          <cell r="C391" t="str">
            <v xml:space="preserve"> Mandor</v>
          </cell>
          <cell r="D391">
            <v>43330</v>
          </cell>
          <cell r="F391">
            <v>1985.9583333333333</v>
          </cell>
        </row>
        <row r="392">
          <cell r="E392">
            <v>143000</v>
          </cell>
          <cell r="F392">
            <v>120008.62499999999</v>
          </cell>
          <cell r="G392">
            <v>263008.625</v>
          </cell>
        </row>
        <row r="393">
          <cell r="A393" t="str">
            <v xml:space="preserve"> 37.</v>
          </cell>
          <cell r="B393" t="str">
            <v xml:space="preserve"> 1 M2 PINTU DOUBLE TEAKWOOD RANGKA KAMPER</v>
          </cell>
        </row>
        <row r="394">
          <cell r="B394">
            <v>0.02</v>
          </cell>
          <cell r="C394" t="str">
            <v xml:space="preserve"> M3 papan kayu Kamper</v>
          </cell>
          <cell r="D394">
            <v>3250000</v>
          </cell>
          <cell r="E394">
            <v>65000</v>
          </cell>
        </row>
        <row r="395">
          <cell r="B395">
            <v>1.27</v>
          </cell>
          <cell r="C395" t="str">
            <v xml:space="preserve"> Lb Teakwood</v>
          </cell>
          <cell r="D395">
            <v>55000</v>
          </cell>
          <cell r="E395">
            <v>69850</v>
          </cell>
        </row>
        <row r="396">
          <cell r="B396">
            <v>1</v>
          </cell>
          <cell r="C396" t="str">
            <v xml:space="preserve"> Kg lem kayu</v>
          </cell>
          <cell r="D396">
            <v>19500</v>
          </cell>
          <cell r="E396">
            <v>19500</v>
          </cell>
        </row>
        <row r="397">
          <cell r="B397">
            <v>2.4</v>
          </cell>
          <cell r="C397" t="str">
            <v xml:space="preserve"> Tukang kayu</v>
          </cell>
          <cell r="D397">
            <v>30950</v>
          </cell>
          <cell r="F397">
            <v>74280</v>
          </cell>
        </row>
        <row r="398">
          <cell r="B398">
            <v>0.24</v>
          </cell>
          <cell r="C398" t="str">
            <v xml:space="preserve"> Tukang kepala</v>
          </cell>
          <cell r="D398">
            <v>37140</v>
          </cell>
          <cell r="F398">
            <v>8913.6</v>
          </cell>
        </row>
        <row r="399">
          <cell r="B399">
            <v>0.79999999999999993</v>
          </cell>
          <cell r="C399" t="str">
            <v xml:space="preserve"> Pekerja</v>
          </cell>
          <cell r="D399">
            <v>24760</v>
          </cell>
          <cell r="F399">
            <v>19808</v>
          </cell>
        </row>
        <row r="400">
          <cell r="B400">
            <v>3.9999999999999994E-2</v>
          </cell>
          <cell r="C400" t="str">
            <v xml:space="preserve"> Mandor</v>
          </cell>
          <cell r="D400">
            <v>43330</v>
          </cell>
          <cell r="F400">
            <v>1733.1999999999998</v>
          </cell>
        </row>
        <row r="401">
          <cell r="E401">
            <v>154350</v>
          </cell>
          <cell r="F401">
            <v>104734.8</v>
          </cell>
          <cell r="G401">
            <v>259084.79999999999</v>
          </cell>
        </row>
        <row r="402">
          <cell r="A402" t="str">
            <v xml:space="preserve"> 38.</v>
          </cell>
          <cell r="B402" t="str">
            <v xml:space="preserve"> 1 M2 PINTU DOUBLE TEAKWOOD RANGKA BORNEO</v>
          </cell>
        </row>
        <row r="403">
          <cell r="B403">
            <v>0.02</v>
          </cell>
          <cell r="C403" t="str">
            <v xml:space="preserve"> M3 papan Borneo</v>
          </cell>
          <cell r="D403">
            <v>975000</v>
          </cell>
          <cell r="E403">
            <v>19500</v>
          </cell>
        </row>
        <row r="404">
          <cell r="B404">
            <v>1.27</v>
          </cell>
          <cell r="C404" t="str">
            <v xml:space="preserve"> Lb Teakwood</v>
          </cell>
          <cell r="D404">
            <v>55000</v>
          </cell>
          <cell r="E404">
            <v>69850</v>
          </cell>
        </row>
        <row r="405">
          <cell r="B405">
            <v>1</v>
          </cell>
          <cell r="C405" t="str">
            <v xml:space="preserve"> Kg lem kayu</v>
          </cell>
          <cell r="D405">
            <v>19500</v>
          </cell>
          <cell r="E405">
            <v>19500</v>
          </cell>
        </row>
        <row r="406">
          <cell r="B406">
            <v>2.4</v>
          </cell>
          <cell r="C406" t="str">
            <v xml:space="preserve"> Tukang kayu</v>
          </cell>
          <cell r="D406">
            <v>30950</v>
          </cell>
          <cell r="F406">
            <v>74280</v>
          </cell>
        </row>
        <row r="407">
          <cell r="B407">
            <v>0.24</v>
          </cell>
          <cell r="C407" t="str">
            <v xml:space="preserve"> Tukang kepala</v>
          </cell>
          <cell r="D407">
            <v>37140</v>
          </cell>
          <cell r="F407">
            <v>8913.6</v>
          </cell>
        </row>
        <row r="408">
          <cell r="B408">
            <v>0.79999999999999993</v>
          </cell>
          <cell r="C408" t="str">
            <v xml:space="preserve"> Pekerja</v>
          </cell>
          <cell r="D408">
            <v>24760</v>
          </cell>
          <cell r="F408">
            <v>19808</v>
          </cell>
        </row>
        <row r="409">
          <cell r="B409">
            <v>3.9999999999999994E-2</v>
          </cell>
          <cell r="C409" t="str">
            <v xml:space="preserve"> Mandor</v>
          </cell>
          <cell r="D409">
            <v>43330</v>
          </cell>
          <cell r="F409">
            <v>1733.1999999999998</v>
          </cell>
        </row>
        <row r="410">
          <cell r="E410">
            <v>108850</v>
          </cell>
          <cell r="F410">
            <v>104734.8</v>
          </cell>
          <cell r="G410">
            <v>213584.8</v>
          </cell>
        </row>
        <row r="411">
          <cell r="A411" t="str">
            <v xml:space="preserve"> 39.</v>
          </cell>
          <cell r="B411" t="str">
            <v xml:space="preserve"> 1 M2 PINTU KACA KAYU KAMPER</v>
          </cell>
        </row>
        <row r="412">
          <cell r="B412">
            <v>2.3200000000000002E-2</v>
          </cell>
          <cell r="C412" t="str">
            <v xml:space="preserve"> M3 papan Kamper</v>
          </cell>
          <cell r="D412">
            <v>3250000</v>
          </cell>
          <cell r="E412">
            <v>75400</v>
          </cell>
        </row>
        <row r="413">
          <cell r="B413">
            <v>0.5</v>
          </cell>
          <cell r="C413" t="str">
            <v xml:space="preserve"> Kg lem kayu</v>
          </cell>
          <cell r="D413">
            <v>19500</v>
          </cell>
          <cell r="E413">
            <v>9750</v>
          </cell>
        </row>
        <row r="414">
          <cell r="B414">
            <v>2.75</v>
          </cell>
          <cell r="C414" t="str">
            <v xml:space="preserve"> Tukang kayu</v>
          </cell>
          <cell r="D414">
            <v>30950</v>
          </cell>
          <cell r="F414">
            <v>85112.5</v>
          </cell>
        </row>
        <row r="415">
          <cell r="B415">
            <v>0.27500000000000002</v>
          </cell>
          <cell r="C415" t="str">
            <v xml:space="preserve"> Tukang kepala</v>
          </cell>
          <cell r="D415">
            <v>37140</v>
          </cell>
          <cell r="F415">
            <v>10213.5</v>
          </cell>
        </row>
        <row r="416">
          <cell r="B416">
            <v>0.91666666666666663</v>
          </cell>
          <cell r="C416" t="str">
            <v xml:space="preserve"> Pekerja</v>
          </cell>
          <cell r="D416">
            <v>24760</v>
          </cell>
          <cell r="F416">
            <v>22696.666666666664</v>
          </cell>
        </row>
        <row r="417">
          <cell r="B417">
            <v>4.583333333333333E-2</v>
          </cell>
          <cell r="C417" t="str">
            <v xml:space="preserve"> Mandor</v>
          </cell>
          <cell r="D417">
            <v>43330</v>
          </cell>
          <cell r="F417">
            <v>1985.9583333333333</v>
          </cell>
        </row>
        <row r="418">
          <cell r="E418">
            <v>85150</v>
          </cell>
          <cell r="F418">
            <v>120008.62499999999</v>
          </cell>
          <cell r="G418">
            <v>205158.625</v>
          </cell>
        </row>
        <row r="419">
          <cell r="A419" t="str">
            <v xml:space="preserve"> 40.</v>
          </cell>
          <cell r="B419" t="str">
            <v xml:space="preserve"> 1 M2 JENDELA KACA KAYU KAMPER</v>
          </cell>
        </row>
        <row r="420">
          <cell r="B420">
            <v>0.02</v>
          </cell>
          <cell r="C420" t="str">
            <v xml:space="preserve"> M3 papan Kamper</v>
          </cell>
          <cell r="D420">
            <v>3250000</v>
          </cell>
          <cell r="E420">
            <v>65000</v>
          </cell>
        </row>
        <row r="421">
          <cell r="B421">
            <v>0.25</v>
          </cell>
          <cell r="C421" t="str">
            <v xml:space="preserve"> Kg lem kayu</v>
          </cell>
          <cell r="D421">
            <v>19500</v>
          </cell>
          <cell r="E421">
            <v>4875</v>
          </cell>
        </row>
        <row r="422">
          <cell r="B422">
            <v>2.75</v>
          </cell>
          <cell r="C422" t="str">
            <v xml:space="preserve"> Tukang kayu</v>
          </cell>
          <cell r="D422">
            <v>30950</v>
          </cell>
          <cell r="F422">
            <v>85112.5</v>
          </cell>
        </row>
        <row r="423">
          <cell r="B423">
            <v>0.27500000000000002</v>
          </cell>
          <cell r="C423" t="str">
            <v xml:space="preserve"> Tukang kepala</v>
          </cell>
          <cell r="D423">
            <v>37140</v>
          </cell>
          <cell r="F423">
            <v>10213.5</v>
          </cell>
        </row>
        <row r="424">
          <cell r="B424">
            <v>0.91666666666666663</v>
          </cell>
          <cell r="C424" t="str">
            <v xml:space="preserve"> Pekerja</v>
          </cell>
          <cell r="D424">
            <v>24760</v>
          </cell>
          <cell r="F424">
            <v>22696.666666666664</v>
          </cell>
        </row>
        <row r="425">
          <cell r="B425">
            <v>4.583333333333333E-2</v>
          </cell>
          <cell r="C425" t="str">
            <v xml:space="preserve"> Mandor</v>
          </cell>
          <cell r="D425">
            <v>43330</v>
          </cell>
          <cell r="F425">
            <v>1985.9583333333333</v>
          </cell>
        </row>
        <row r="426">
          <cell r="E426">
            <v>69875</v>
          </cell>
          <cell r="F426">
            <v>120008.62499999999</v>
          </cell>
          <cell r="G426">
            <v>189883.625</v>
          </cell>
        </row>
        <row r="427">
          <cell r="A427" t="str">
            <v xml:space="preserve"> 41.</v>
          </cell>
          <cell r="B427" t="str">
            <v xml:space="preserve"> 1 M2 PINTU PANEL KAYU KAMPER</v>
          </cell>
        </row>
        <row r="428">
          <cell r="B428">
            <v>4.3400000000000001E-2</v>
          </cell>
          <cell r="C428" t="str">
            <v xml:space="preserve"> M3 papan Kamper</v>
          </cell>
          <cell r="D428">
            <v>3250000</v>
          </cell>
          <cell r="E428">
            <v>141050</v>
          </cell>
        </row>
        <row r="429">
          <cell r="B429">
            <v>0.5</v>
          </cell>
          <cell r="C429" t="str">
            <v xml:space="preserve"> Kg lem kayu</v>
          </cell>
          <cell r="D429">
            <v>19500</v>
          </cell>
          <cell r="E429">
            <v>9750</v>
          </cell>
        </row>
        <row r="430">
          <cell r="B430">
            <v>2.75</v>
          </cell>
          <cell r="C430" t="str">
            <v xml:space="preserve"> Tukang kayu</v>
          </cell>
          <cell r="D430">
            <v>30950</v>
          </cell>
          <cell r="F430">
            <v>85112.5</v>
          </cell>
        </row>
        <row r="431">
          <cell r="B431">
            <v>0.27500000000000002</v>
          </cell>
          <cell r="C431" t="str">
            <v xml:space="preserve"> Tukang kepala</v>
          </cell>
          <cell r="D431">
            <v>37140</v>
          </cell>
          <cell r="F431">
            <v>10213.5</v>
          </cell>
        </row>
        <row r="432">
          <cell r="B432">
            <v>0.91666666666666663</v>
          </cell>
          <cell r="C432" t="str">
            <v xml:space="preserve"> Pekerja</v>
          </cell>
          <cell r="D432">
            <v>24760</v>
          </cell>
          <cell r="F432">
            <v>22696.666666666664</v>
          </cell>
        </row>
        <row r="433">
          <cell r="B433">
            <v>4.583333333333333E-2</v>
          </cell>
          <cell r="C433" t="str">
            <v xml:space="preserve"> Mandor</v>
          </cell>
          <cell r="D433">
            <v>43330</v>
          </cell>
          <cell r="F433">
            <v>1985.9583333333333</v>
          </cell>
        </row>
        <row r="434">
          <cell r="E434">
            <v>150800</v>
          </cell>
          <cell r="F434">
            <v>120008.62499999999</v>
          </cell>
          <cell r="G434">
            <v>270808.625</v>
          </cell>
        </row>
        <row r="435">
          <cell r="A435" t="str">
            <v xml:space="preserve"> 42.</v>
          </cell>
          <cell r="B435" t="str">
            <v xml:space="preserve"> 1 M2 JENDELA PANEL KAYU KAMPER</v>
          </cell>
        </row>
        <row r="436">
          <cell r="B436">
            <v>4.65E-2</v>
          </cell>
          <cell r="C436" t="str">
            <v xml:space="preserve"> M3 papan Kamper</v>
          </cell>
          <cell r="D436">
            <v>3250000</v>
          </cell>
          <cell r="E436">
            <v>151125</v>
          </cell>
        </row>
        <row r="437">
          <cell r="B437">
            <v>0.5</v>
          </cell>
          <cell r="C437" t="str">
            <v xml:space="preserve"> Kg lem kayu</v>
          </cell>
          <cell r="D437">
            <v>19500</v>
          </cell>
          <cell r="E437">
            <v>9750</v>
          </cell>
        </row>
        <row r="438">
          <cell r="B438">
            <v>2.75</v>
          </cell>
          <cell r="C438" t="str">
            <v xml:space="preserve"> Tukang kayu</v>
          </cell>
          <cell r="D438">
            <v>30950</v>
          </cell>
          <cell r="F438">
            <v>85112.5</v>
          </cell>
        </row>
        <row r="439">
          <cell r="B439">
            <v>0.27500000000000002</v>
          </cell>
          <cell r="C439" t="str">
            <v xml:space="preserve"> Tukang kepala</v>
          </cell>
          <cell r="D439">
            <v>37140</v>
          </cell>
          <cell r="F439">
            <v>10213.5</v>
          </cell>
        </row>
        <row r="440">
          <cell r="B440">
            <v>0.91666666666666663</v>
          </cell>
          <cell r="C440" t="str">
            <v xml:space="preserve"> Pekerja</v>
          </cell>
          <cell r="D440">
            <v>24760</v>
          </cell>
          <cell r="F440">
            <v>22696.666666666664</v>
          </cell>
        </row>
        <row r="441">
          <cell r="B441">
            <v>4.583333333333333E-2</v>
          </cell>
          <cell r="C441" t="str">
            <v xml:space="preserve"> Mandor</v>
          </cell>
          <cell r="D441">
            <v>43330</v>
          </cell>
          <cell r="F441">
            <v>1985.9583333333333</v>
          </cell>
        </row>
        <row r="442">
          <cell r="E442">
            <v>160875</v>
          </cell>
          <cell r="F442">
            <v>120008.62499999999</v>
          </cell>
          <cell r="G442">
            <v>280883.625</v>
          </cell>
        </row>
        <row r="443">
          <cell r="A443" t="str">
            <v xml:space="preserve"> 43.</v>
          </cell>
          <cell r="B443" t="str">
            <v xml:space="preserve"> 1 M2 PINTU TEAKWOOD/FORMICA RANGKA KAMPER</v>
          </cell>
        </row>
        <row r="444">
          <cell r="B444">
            <v>0.02</v>
          </cell>
          <cell r="C444" t="str">
            <v xml:space="preserve"> M3 papan Kamper</v>
          </cell>
          <cell r="D444">
            <v>3250000</v>
          </cell>
          <cell r="E444">
            <v>65000</v>
          </cell>
        </row>
        <row r="445">
          <cell r="B445">
            <v>0.63500000000000001</v>
          </cell>
          <cell r="C445" t="str">
            <v xml:space="preserve"> Lb Teakwood</v>
          </cell>
          <cell r="D445">
            <v>55000</v>
          </cell>
          <cell r="E445">
            <v>34925</v>
          </cell>
        </row>
        <row r="446">
          <cell r="B446">
            <v>0.63500000000000001</v>
          </cell>
          <cell r="C446" t="str">
            <v xml:space="preserve"> Lb Triplex</v>
          </cell>
          <cell r="D446">
            <v>32500</v>
          </cell>
          <cell r="E446">
            <v>20637.5</v>
          </cell>
        </row>
        <row r="447">
          <cell r="B447">
            <v>0.63500000000000001</v>
          </cell>
          <cell r="C447" t="str">
            <v xml:space="preserve"> Lb Formica</v>
          </cell>
          <cell r="D447">
            <v>70000</v>
          </cell>
          <cell r="E447">
            <v>44450</v>
          </cell>
        </row>
        <row r="448">
          <cell r="B448">
            <v>1.5</v>
          </cell>
          <cell r="C448" t="str">
            <v xml:space="preserve"> Kg lem kayu</v>
          </cell>
          <cell r="D448">
            <v>19500</v>
          </cell>
          <cell r="E448">
            <v>29250</v>
          </cell>
        </row>
        <row r="449">
          <cell r="B449">
            <v>2.2000000000000002</v>
          </cell>
          <cell r="C449" t="str">
            <v xml:space="preserve"> Tukang kayu</v>
          </cell>
          <cell r="D449">
            <v>30950</v>
          </cell>
          <cell r="F449">
            <v>68090</v>
          </cell>
        </row>
        <row r="450">
          <cell r="B450">
            <v>0.22000000000000003</v>
          </cell>
          <cell r="C450" t="str">
            <v xml:space="preserve"> Tukang kepala</v>
          </cell>
          <cell r="D450">
            <v>37140</v>
          </cell>
          <cell r="F450">
            <v>8170.8000000000011</v>
          </cell>
        </row>
        <row r="451">
          <cell r="B451">
            <v>0.73333333333333339</v>
          </cell>
          <cell r="C451" t="str">
            <v xml:space="preserve"> Pekerja</v>
          </cell>
          <cell r="D451">
            <v>24760</v>
          </cell>
          <cell r="F451">
            <v>18157.333333333336</v>
          </cell>
        </row>
        <row r="452">
          <cell r="B452">
            <v>3.6666666666666667E-2</v>
          </cell>
          <cell r="C452" t="str">
            <v xml:space="preserve"> Mandor</v>
          </cell>
          <cell r="D452">
            <v>43330</v>
          </cell>
          <cell r="F452">
            <v>1588.7666666666667</v>
          </cell>
        </row>
        <row r="453">
          <cell r="E453">
            <v>194262.5</v>
          </cell>
          <cell r="F453">
            <v>96006.9</v>
          </cell>
          <cell r="G453">
            <v>290269.40000000002</v>
          </cell>
        </row>
        <row r="454">
          <cell r="A454" t="str">
            <v xml:space="preserve"> 44.</v>
          </cell>
          <cell r="B454" t="str">
            <v xml:space="preserve"> 1 M2 PINTU DOUBLE FORMICA RANGKA KAMPER</v>
          </cell>
        </row>
        <row r="455">
          <cell r="B455">
            <v>0.02</v>
          </cell>
          <cell r="C455" t="str">
            <v xml:space="preserve"> M3 papan Kamper</v>
          </cell>
          <cell r="D455">
            <v>3250000</v>
          </cell>
          <cell r="E455">
            <v>65000</v>
          </cell>
        </row>
        <row r="456">
          <cell r="B456">
            <v>1.27</v>
          </cell>
          <cell r="C456" t="str">
            <v xml:space="preserve"> Lb Triplex</v>
          </cell>
          <cell r="D456">
            <v>32500</v>
          </cell>
          <cell r="E456">
            <v>41275</v>
          </cell>
        </row>
        <row r="457">
          <cell r="B457">
            <v>1.27</v>
          </cell>
          <cell r="C457" t="str">
            <v xml:space="preserve"> Lb Formica</v>
          </cell>
          <cell r="D457">
            <v>70000</v>
          </cell>
          <cell r="E457">
            <v>88900</v>
          </cell>
        </row>
        <row r="458">
          <cell r="B458">
            <v>2</v>
          </cell>
          <cell r="C458" t="str">
            <v xml:space="preserve"> Kg lem kayu</v>
          </cell>
          <cell r="D458">
            <v>19500</v>
          </cell>
          <cell r="E458">
            <v>39000</v>
          </cell>
        </row>
        <row r="459">
          <cell r="B459">
            <v>2.2000000000000002</v>
          </cell>
          <cell r="C459" t="str">
            <v xml:space="preserve"> Tukang kayu</v>
          </cell>
          <cell r="D459">
            <v>30950</v>
          </cell>
          <cell r="F459">
            <v>68090</v>
          </cell>
        </row>
        <row r="460">
          <cell r="B460">
            <v>0.22000000000000003</v>
          </cell>
          <cell r="C460" t="str">
            <v xml:space="preserve"> Tukang kepala</v>
          </cell>
          <cell r="D460">
            <v>37140</v>
          </cell>
          <cell r="F460">
            <v>8170.8000000000011</v>
          </cell>
        </row>
        <row r="461">
          <cell r="B461">
            <v>0.73333333333333339</v>
          </cell>
          <cell r="C461" t="str">
            <v xml:space="preserve"> Pekerja</v>
          </cell>
          <cell r="D461">
            <v>24760</v>
          </cell>
          <cell r="F461">
            <v>18157.333333333336</v>
          </cell>
        </row>
        <row r="462">
          <cell r="B462">
            <v>3.6666666666666667E-2</v>
          </cell>
          <cell r="C462" t="str">
            <v xml:space="preserve"> Mandor</v>
          </cell>
          <cell r="D462">
            <v>43330</v>
          </cell>
          <cell r="F462">
            <v>1588.7666666666667</v>
          </cell>
        </row>
        <row r="463">
          <cell r="E463">
            <v>234175</v>
          </cell>
          <cell r="F463">
            <v>96006.9</v>
          </cell>
          <cell r="G463">
            <v>330181.90000000002</v>
          </cell>
        </row>
        <row r="464">
          <cell r="A464" t="str">
            <v xml:space="preserve"> 45.</v>
          </cell>
          <cell r="B464" t="str">
            <v xml:space="preserve"> 1 M2 PINTU DOUBLE TRIPLEX RANGKA KAMPER</v>
          </cell>
        </row>
        <row r="465">
          <cell r="B465">
            <v>0.02</v>
          </cell>
          <cell r="C465" t="str">
            <v xml:space="preserve"> M3 papan Kamper</v>
          </cell>
          <cell r="D465">
            <v>3250000</v>
          </cell>
          <cell r="E465">
            <v>65000</v>
          </cell>
        </row>
        <row r="466">
          <cell r="B466">
            <v>1.27</v>
          </cell>
          <cell r="C466" t="str">
            <v xml:space="preserve"> Lb Triplex</v>
          </cell>
          <cell r="D466">
            <v>32500</v>
          </cell>
          <cell r="E466">
            <v>41275</v>
          </cell>
        </row>
        <row r="467">
          <cell r="B467">
            <v>1</v>
          </cell>
          <cell r="C467" t="str">
            <v xml:space="preserve"> Kg lem kayu</v>
          </cell>
          <cell r="D467">
            <v>19500</v>
          </cell>
          <cell r="E467">
            <v>19500</v>
          </cell>
        </row>
        <row r="468">
          <cell r="B468">
            <v>2.2000000000000002</v>
          </cell>
          <cell r="C468" t="str">
            <v xml:space="preserve"> Tukang kayu</v>
          </cell>
          <cell r="D468">
            <v>30950</v>
          </cell>
          <cell r="F468">
            <v>68090</v>
          </cell>
        </row>
        <row r="469">
          <cell r="B469">
            <v>0.22000000000000003</v>
          </cell>
          <cell r="C469" t="str">
            <v xml:space="preserve"> Tukang kepala</v>
          </cell>
          <cell r="D469">
            <v>37140</v>
          </cell>
          <cell r="F469">
            <v>8170.8000000000011</v>
          </cell>
        </row>
        <row r="470">
          <cell r="B470">
            <v>0.73333333333333339</v>
          </cell>
          <cell r="C470" t="str">
            <v xml:space="preserve"> Pekerja</v>
          </cell>
          <cell r="D470">
            <v>24760</v>
          </cell>
          <cell r="F470">
            <v>18157.333333333336</v>
          </cell>
        </row>
        <row r="471">
          <cell r="B471">
            <v>3.6666666666666667E-2</v>
          </cell>
          <cell r="C471" t="str">
            <v xml:space="preserve"> Mandor</v>
          </cell>
          <cell r="D471">
            <v>43330</v>
          </cell>
          <cell r="F471">
            <v>1588.7666666666667</v>
          </cell>
        </row>
        <row r="472">
          <cell r="E472">
            <v>125775</v>
          </cell>
          <cell r="F472">
            <v>96006.9</v>
          </cell>
          <cell r="G472">
            <v>221781.9</v>
          </cell>
        </row>
        <row r="473">
          <cell r="A473" t="str">
            <v xml:space="preserve"> 46.</v>
          </cell>
          <cell r="B473" t="str">
            <v xml:space="preserve"> 1 M2 JALUSI KAYU KAMPER TEBAL 2 CM</v>
          </cell>
        </row>
        <row r="474">
          <cell r="B474">
            <v>2.2000000000000002E-2</v>
          </cell>
          <cell r="C474" t="str">
            <v xml:space="preserve"> M3 papan Kamper</v>
          </cell>
          <cell r="D474">
            <v>3250000</v>
          </cell>
          <cell r="E474">
            <v>71500</v>
          </cell>
        </row>
        <row r="475">
          <cell r="B475">
            <v>0.1</v>
          </cell>
          <cell r="C475" t="str">
            <v xml:space="preserve"> Kg paku list</v>
          </cell>
          <cell r="D475">
            <v>9000</v>
          </cell>
          <cell r="E475">
            <v>900</v>
          </cell>
        </row>
        <row r="476">
          <cell r="B476">
            <v>0.95625000000000004</v>
          </cell>
          <cell r="C476" t="str">
            <v xml:space="preserve"> Tukang kayu</v>
          </cell>
          <cell r="D476">
            <v>30950</v>
          </cell>
          <cell r="F476">
            <v>29595.9375</v>
          </cell>
        </row>
        <row r="477">
          <cell r="B477">
            <v>9.5625000000000002E-2</v>
          </cell>
          <cell r="C477" t="str">
            <v xml:space="preserve"> Tukang kepala</v>
          </cell>
          <cell r="D477">
            <v>37140</v>
          </cell>
          <cell r="F477">
            <v>3551.5125000000003</v>
          </cell>
        </row>
        <row r="478">
          <cell r="B478">
            <v>0.31875000000000003</v>
          </cell>
          <cell r="C478" t="str">
            <v xml:space="preserve"> Pekerja</v>
          </cell>
          <cell r="D478">
            <v>24760</v>
          </cell>
          <cell r="F478">
            <v>7892.2500000000009</v>
          </cell>
        </row>
        <row r="479">
          <cell r="B479">
            <v>1.59375E-2</v>
          </cell>
          <cell r="C479" t="str">
            <v xml:space="preserve"> Mandor</v>
          </cell>
          <cell r="D479">
            <v>43330</v>
          </cell>
          <cell r="F479">
            <v>690.57187499999998</v>
          </cell>
        </row>
        <row r="480">
          <cell r="E480">
            <v>72400</v>
          </cell>
          <cell r="F480">
            <v>41730.271874999999</v>
          </cell>
          <cell r="G480">
            <v>114130.27187500001</v>
          </cell>
        </row>
        <row r="481">
          <cell r="A481" t="str">
            <v xml:space="preserve"> 47.</v>
          </cell>
          <cell r="B481" t="str">
            <v xml:space="preserve"> 1 M3 KUDA-KUDA KAYU KAMPER</v>
          </cell>
        </row>
        <row r="482">
          <cell r="B482">
            <v>1.1000000000000001</v>
          </cell>
          <cell r="C482" t="str">
            <v xml:space="preserve"> M3 kayu Kamper</v>
          </cell>
          <cell r="D482">
            <v>3000000</v>
          </cell>
          <cell r="E482">
            <v>3300000.0000000005</v>
          </cell>
        </row>
        <row r="483">
          <cell r="B483">
            <v>8</v>
          </cell>
          <cell r="C483" t="str">
            <v xml:space="preserve"> Kg paku kayu</v>
          </cell>
          <cell r="D483">
            <v>6000</v>
          </cell>
          <cell r="E483">
            <v>48000</v>
          </cell>
        </row>
        <row r="484">
          <cell r="B484">
            <v>14.025</v>
          </cell>
          <cell r="C484" t="str">
            <v xml:space="preserve"> Tukang kayu</v>
          </cell>
          <cell r="D484">
            <v>30950</v>
          </cell>
          <cell r="F484">
            <v>434073.75</v>
          </cell>
        </row>
        <row r="485">
          <cell r="B485">
            <v>1.4025000000000001</v>
          </cell>
          <cell r="C485" t="str">
            <v xml:space="preserve"> Tukang kepala</v>
          </cell>
          <cell r="D485">
            <v>37140</v>
          </cell>
          <cell r="F485">
            <v>52088.850000000006</v>
          </cell>
        </row>
        <row r="486">
          <cell r="B486">
            <v>4.6749999999999998</v>
          </cell>
          <cell r="C486" t="str">
            <v xml:space="preserve"> Pekerja</v>
          </cell>
          <cell r="D486">
            <v>24760</v>
          </cell>
          <cell r="F486">
            <v>115753</v>
          </cell>
        </row>
        <row r="487">
          <cell r="B487">
            <v>0.23374999999999999</v>
          </cell>
          <cell r="C487" t="str">
            <v xml:space="preserve"> Mandor</v>
          </cell>
          <cell r="D487">
            <v>43330</v>
          </cell>
          <cell r="F487">
            <v>10128.387499999999</v>
          </cell>
        </row>
        <row r="488">
          <cell r="E488">
            <v>3348000.0000000005</v>
          </cell>
          <cell r="F488">
            <v>612043.98749999993</v>
          </cell>
          <cell r="G488">
            <v>3960043.9875000003</v>
          </cell>
        </row>
        <row r="489">
          <cell r="A489" t="str">
            <v xml:space="preserve"> 48.</v>
          </cell>
          <cell r="B489" t="str">
            <v xml:space="preserve"> 1 M3 KUDA-KUDA KAYU BORNEO</v>
          </cell>
        </row>
        <row r="490">
          <cell r="B490">
            <v>1.1000000000000001</v>
          </cell>
          <cell r="C490" t="str">
            <v xml:space="preserve"> M3 kayu Borneo</v>
          </cell>
          <cell r="D490">
            <v>900000</v>
          </cell>
          <cell r="E490">
            <v>990000.00000000012</v>
          </cell>
        </row>
        <row r="491">
          <cell r="B491">
            <v>8</v>
          </cell>
          <cell r="C491" t="str">
            <v xml:space="preserve"> Kg paku kayu</v>
          </cell>
          <cell r="D491">
            <v>6000</v>
          </cell>
          <cell r="E491">
            <v>48000</v>
          </cell>
        </row>
        <row r="492">
          <cell r="B492">
            <v>12.75</v>
          </cell>
          <cell r="C492" t="str">
            <v xml:space="preserve"> Tukang kayu</v>
          </cell>
          <cell r="D492">
            <v>30950</v>
          </cell>
          <cell r="F492">
            <v>394612.5</v>
          </cell>
        </row>
        <row r="493">
          <cell r="B493">
            <v>1.2749999999999999</v>
          </cell>
          <cell r="C493" t="str">
            <v xml:space="preserve"> Tukang kepala</v>
          </cell>
          <cell r="D493">
            <v>37140</v>
          </cell>
          <cell r="F493">
            <v>47353.5</v>
          </cell>
        </row>
        <row r="494">
          <cell r="B494">
            <v>4.25</v>
          </cell>
          <cell r="C494" t="str">
            <v xml:space="preserve"> Pekerja</v>
          </cell>
          <cell r="D494">
            <v>24760</v>
          </cell>
          <cell r="F494">
            <v>105230</v>
          </cell>
        </row>
        <row r="495">
          <cell r="B495">
            <v>0.21249999999999999</v>
          </cell>
          <cell r="C495" t="str">
            <v xml:space="preserve"> Mandor</v>
          </cell>
          <cell r="D495">
            <v>43330</v>
          </cell>
          <cell r="F495">
            <v>9207.625</v>
          </cell>
        </row>
        <row r="496">
          <cell r="E496">
            <v>1038000.0000000001</v>
          </cell>
          <cell r="F496">
            <v>556403.625</v>
          </cell>
          <cell r="G496">
            <v>1594403.625</v>
          </cell>
        </row>
        <row r="497">
          <cell r="A497" t="str">
            <v xml:space="preserve"> 49.</v>
          </cell>
          <cell r="B497" t="str">
            <v xml:space="preserve"> 1 M2 RANGKA ATAP KAMPER (GENTENG KERAMIK)</v>
          </cell>
        </row>
        <row r="498">
          <cell r="B498">
            <v>1.3100000000000001E-2</v>
          </cell>
          <cell r="C498" t="str">
            <v xml:space="preserve"> M3 kayu Kamper</v>
          </cell>
          <cell r="D498">
            <v>3000000</v>
          </cell>
          <cell r="E498">
            <v>39300</v>
          </cell>
        </row>
        <row r="499">
          <cell r="B499">
            <v>0.25</v>
          </cell>
          <cell r="C499" t="str">
            <v xml:space="preserve"> Kg paku kayu</v>
          </cell>
          <cell r="D499">
            <v>6000</v>
          </cell>
          <cell r="E499">
            <v>1500</v>
          </cell>
        </row>
        <row r="500">
          <cell r="B500">
            <v>0.11000000000000001</v>
          </cell>
          <cell r="C500" t="str">
            <v xml:space="preserve"> Tukang kayu</v>
          </cell>
          <cell r="D500">
            <v>30950</v>
          </cell>
          <cell r="F500">
            <v>3404.5000000000005</v>
          </cell>
        </row>
        <row r="501">
          <cell r="B501">
            <v>1.1000000000000001E-2</v>
          </cell>
          <cell r="C501" t="str">
            <v xml:space="preserve"> Tukang kepala</v>
          </cell>
          <cell r="D501">
            <v>37140</v>
          </cell>
          <cell r="F501">
            <v>408.54</v>
          </cell>
        </row>
        <row r="502">
          <cell r="B502">
            <v>0.11000000000000001</v>
          </cell>
          <cell r="C502" t="str">
            <v xml:space="preserve"> Pekerja</v>
          </cell>
          <cell r="D502">
            <v>24760</v>
          </cell>
          <cell r="F502">
            <v>2723.6000000000004</v>
          </cell>
        </row>
        <row r="503">
          <cell r="B503">
            <v>5.5000000000000005E-3</v>
          </cell>
          <cell r="C503" t="str">
            <v xml:space="preserve"> Mandor</v>
          </cell>
          <cell r="D503">
            <v>43330</v>
          </cell>
          <cell r="F503">
            <v>238.31500000000003</v>
          </cell>
        </row>
        <row r="504">
          <cell r="E504">
            <v>40800</v>
          </cell>
          <cell r="F504">
            <v>6774.9550000000008</v>
          </cell>
          <cell r="G504">
            <v>47574.955000000002</v>
          </cell>
        </row>
        <row r="505">
          <cell r="A505" t="str">
            <v xml:space="preserve"> 50.</v>
          </cell>
          <cell r="B505" t="str">
            <v xml:space="preserve"> 1 M2 RANGKA ATAP BORNEO (GENTENG KERAMIK)</v>
          </cell>
        </row>
        <row r="506">
          <cell r="B506">
            <v>1.3100000000000001E-2</v>
          </cell>
          <cell r="C506" t="str">
            <v xml:space="preserve"> M3 kayu Borneo</v>
          </cell>
          <cell r="D506">
            <v>900000</v>
          </cell>
          <cell r="E506">
            <v>11790</v>
          </cell>
        </row>
        <row r="507">
          <cell r="B507">
            <v>0.25</v>
          </cell>
          <cell r="C507" t="str">
            <v xml:space="preserve"> Kg paku kayu</v>
          </cell>
          <cell r="D507">
            <v>6000</v>
          </cell>
          <cell r="E507">
            <v>1500</v>
          </cell>
        </row>
        <row r="508">
          <cell r="B508">
            <v>0.11000000000000001</v>
          </cell>
          <cell r="C508" t="str">
            <v xml:space="preserve"> Tukang kayu</v>
          </cell>
          <cell r="D508">
            <v>30950</v>
          </cell>
          <cell r="F508">
            <v>3404.5000000000005</v>
          </cell>
        </row>
        <row r="509">
          <cell r="B509">
            <v>1.1000000000000001E-2</v>
          </cell>
          <cell r="C509" t="str">
            <v xml:space="preserve"> Tukang kepala</v>
          </cell>
          <cell r="D509">
            <v>37140</v>
          </cell>
          <cell r="F509">
            <v>408.54</v>
          </cell>
        </row>
        <row r="510">
          <cell r="B510">
            <v>0.11000000000000001</v>
          </cell>
          <cell r="C510" t="str">
            <v xml:space="preserve"> Pekerja</v>
          </cell>
          <cell r="D510">
            <v>24760</v>
          </cell>
          <cell r="F510">
            <v>2723.6000000000004</v>
          </cell>
        </row>
        <row r="511">
          <cell r="B511">
            <v>5.5000000000000005E-3</v>
          </cell>
          <cell r="C511" t="str">
            <v xml:space="preserve"> Mandor</v>
          </cell>
          <cell r="D511">
            <v>43330</v>
          </cell>
          <cell r="F511">
            <v>238.31500000000003</v>
          </cell>
        </row>
        <row r="512">
          <cell r="E512">
            <v>13290</v>
          </cell>
          <cell r="F512">
            <v>6774.9550000000008</v>
          </cell>
          <cell r="G512">
            <v>20064.955000000002</v>
          </cell>
        </row>
        <row r="513">
          <cell r="A513" t="str">
            <v xml:space="preserve"> 51.</v>
          </cell>
          <cell r="B513" t="str">
            <v xml:space="preserve"> 1 M2 RANGKA ATAP KAMPER (GENTENG BETON)</v>
          </cell>
        </row>
        <row r="514">
          <cell r="B514">
            <v>1.4400000000000001E-2</v>
          </cell>
          <cell r="C514" t="str">
            <v xml:space="preserve"> M3 kayu Kamper</v>
          </cell>
          <cell r="D514">
            <v>3000000</v>
          </cell>
          <cell r="E514">
            <v>43200.000000000007</v>
          </cell>
        </row>
        <row r="515">
          <cell r="B515">
            <v>0.25</v>
          </cell>
          <cell r="C515" t="str">
            <v xml:space="preserve"> Kg paku kayu</v>
          </cell>
          <cell r="D515">
            <v>6000</v>
          </cell>
          <cell r="E515">
            <v>1500</v>
          </cell>
        </row>
        <row r="516">
          <cell r="B516">
            <v>0.11000000000000001</v>
          </cell>
          <cell r="C516" t="str">
            <v xml:space="preserve"> Tukang kayu</v>
          </cell>
          <cell r="D516">
            <v>30950</v>
          </cell>
          <cell r="F516">
            <v>3404.5000000000005</v>
          </cell>
        </row>
        <row r="517">
          <cell r="B517">
            <v>1.1000000000000001E-2</v>
          </cell>
          <cell r="C517" t="str">
            <v xml:space="preserve"> Tukang kepala</v>
          </cell>
          <cell r="D517">
            <v>37140</v>
          </cell>
          <cell r="F517">
            <v>408.54</v>
          </cell>
        </row>
        <row r="518">
          <cell r="B518">
            <v>0.11000000000000001</v>
          </cell>
          <cell r="C518" t="str">
            <v xml:space="preserve"> Pekerja</v>
          </cell>
          <cell r="D518">
            <v>24760</v>
          </cell>
          <cell r="F518">
            <v>2723.6000000000004</v>
          </cell>
        </row>
        <row r="519">
          <cell r="B519">
            <v>5.5000000000000005E-3</v>
          </cell>
          <cell r="C519" t="str">
            <v xml:space="preserve"> Mandor</v>
          </cell>
          <cell r="D519">
            <v>43330</v>
          </cell>
          <cell r="F519">
            <v>238.31500000000003</v>
          </cell>
        </row>
        <row r="520">
          <cell r="E520">
            <v>44700.000000000007</v>
          </cell>
          <cell r="F520">
            <v>6774.9550000000008</v>
          </cell>
          <cell r="G520">
            <v>51474.955000000009</v>
          </cell>
        </row>
        <row r="521">
          <cell r="A521" t="str">
            <v xml:space="preserve"> 52.</v>
          </cell>
          <cell r="B521" t="str">
            <v xml:space="preserve"> 1 M2 RANGKA ATAP BORNEO (GENTENG BETON)</v>
          </cell>
        </row>
        <row r="522">
          <cell r="B522">
            <v>1.4400000000000001E-2</v>
          </cell>
          <cell r="C522" t="str">
            <v xml:space="preserve"> M3 kayu Borneo</v>
          </cell>
          <cell r="D522">
            <v>900000</v>
          </cell>
          <cell r="E522">
            <v>12960.000000000002</v>
          </cell>
        </row>
        <row r="523">
          <cell r="B523">
            <v>0.25</v>
          </cell>
          <cell r="C523" t="str">
            <v xml:space="preserve"> Kg paku kayu</v>
          </cell>
          <cell r="D523">
            <v>6000</v>
          </cell>
          <cell r="E523">
            <v>1500</v>
          </cell>
        </row>
        <row r="524">
          <cell r="B524">
            <v>0.11000000000000001</v>
          </cell>
          <cell r="C524" t="str">
            <v xml:space="preserve"> Tukang kayu</v>
          </cell>
          <cell r="D524">
            <v>30950</v>
          </cell>
          <cell r="F524">
            <v>3404.5000000000005</v>
          </cell>
        </row>
        <row r="525">
          <cell r="B525">
            <v>1.1000000000000001E-2</v>
          </cell>
          <cell r="C525" t="str">
            <v xml:space="preserve"> Tukang kepala</v>
          </cell>
          <cell r="D525">
            <v>37140</v>
          </cell>
          <cell r="F525">
            <v>408.54</v>
          </cell>
        </row>
        <row r="526">
          <cell r="B526">
            <v>0.11000000000000001</v>
          </cell>
          <cell r="C526" t="str">
            <v xml:space="preserve"> Pekerja</v>
          </cell>
          <cell r="D526">
            <v>24760</v>
          </cell>
          <cell r="F526">
            <v>2723.6000000000004</v>
          </cell>
        </row>
        <row r="527">
          <cell r="B527">
            <v>5.5000000000000005E-3</v>
          </cell>
          <cell r="C527" t="str">
            <v xml:space="preserve"> Mandor</v>
          </cell>
          <cell r="D527">
            <v>43330</v>
          </cell>
          <cell r="F527">
            <v>238.31500000000003</v>
          </cell>
        </row>
        <row r="528">
          <cell r="E528">
            <v>14460.000000000002</v>
          </cell>
          <cell r="F528">
            <v>6774.9550000000008</v>
          </cell>
          <cell r="G528">
            <v>21234.955000000002</v>
          </cell>
        </row>
        <row r="529">
          <cell r="A529" t="str">
            <v xml:space="preserve"> 53.</v>
          </cell>
          <cell r="B529" t="str">
            <v xml:space="preserve"> 1 M2 ATAP GENTENG KERAMIK</v>
          </cell>
        </row>
        <row r="530">
          <cell r="B530">
            <v>25</v>
          </cell>
          <cell r="C530" t="str">
            <v xml:space="preserve"> Buah genteng</v>
          </cell>
          <cell r="D530">
            <v>2600</v>
          </cell>
          <cell r="E530">
            <v>65000</v>
          </cell>
        </row>
        <row r="531">
          <cell r="B531">
            <v>9.5625000000000002E-2</v>
          </cell>
          <cell r="C531" t="str">
            <v xml:space="preserve"> Tukang kayu</v>
          </cell>
          <cell r="D531">
            <v>30950</v>
          </cell>
          <cell r="F531">
            <v>2959.59375</v>
          </cell>
        </row>
        <row r="532">
          <cell r="B532">
            <v>9.5624999999999998E-3</v>
          </cell>
          <cell r="C532" t="str">
            <v xml:space="preserve"> Tukang kepala</v>
          </cell>
          <cell r="D532">
            <v>37140</v>
          </cell>
          <cell r="F532">
            <v>355.15125</v>
          </cell>
        </row>
        <row r="533">
          <cell r="B533">
            <v>0.19125</v>
          </cell>
          <cell r="C533" t="str">
            <v xml:space="preserve"> Pekerja</v>
          </cell>
          <cell r="D533">
            <v>24760</v>
          </cell>
          <cell r="F533">
            <v>4735.3500000000004</v>
          </cell>
        </row>
        <row r="534">
          <cell r="B534">
            <v>9.5624999999999998E-3</v>
          </cell>
          <cell r="C534" t="str">
            <v xml:space="preserve"> Mandor</v>
          </cell>
          <cell r="D534">
            <v>43330</v>
          </cell>
          <cell r="F534">
            <v>414.34312499999999</v>
          </cell>
        </row>
        <row r="535">
          <cell r="E535">
            <v>65000</v>
          </cell>
          <cell r="F535">
            <v>8464.4381250000006</v>
          </cell>
          <cell r="G535">
            <v>73464.438125000001</v>
          </cell>
        </row>
        <row r="536">
          <cell r="A536" t="str">
            <v xml:space="preserve"> 54.</v>
          </cell>
          <cell r="B536" t="str">
            <v xml:space="preserve"> 1 M2 ATAP GENTENG BETON</v>
          </cell>
        </row>
        <row r="537">
          <cell r="B537">
            <v>10</v>
          </cell>
          <cell r="C537" t="str">
            <v xml:space="preserve"> Buah genteng</v>
          </cell>
          <cell r="D537">
            <v>3000</v>
          </cell>
          <cell r="E537">
            <v>30000</v>
          </cell>
        </row>
        <row r="538">
          <cell r="B538">
            <v>9.5625000000000002E-2</v>
          </cell>
          <cell r="C538" t="str">
            <v xml:space="preserve"> Tukang kayu</v>
          </cell>
          <cell r="D538">
            <v>30950</v>
          </cell>
          <cell r="F538">
            <v>2959.59375</v>
          </cell>
        </row>
        <row r="539">
          <cell r="B539">
            <v>9.5624999999999998E-3</v>
          </cell>
          <cell r="C539" t="str">
            <v xml:space="preserve"> Tukang kepala</v>
          </cell>
          <cell r="D539">
            <v>37140</v>
          </cell>
          <cell r="F539">
            <v>355.15125</v>
          </cell>
        </row>
        <row r="540">
          <cell r="B540">
            <v>0.19125</v>
          </cell>
          <cell r="C540" t="str">
            <v xml:space="preserve"> Pekerja</v>
          </cell>
          <cell r="D540">
            <v>24760</v>
          </cell>
          <cell r="F540">
            <v>4735.3500000000004</v>
          </cell>
        </row>
        <row r="541">
          <cell r="B541">
            <v>9.5624999999999998E-3</v>
          </cell>
          <cell r="C541" t="str">
            <v xml:space="preserve"> Mandor</v>
          </cell>
          <cell r="D541">
            <v>43330</v>
          </cell>
          <cell r="F541">
            <v>414.34312499999999</v>
          </cell>
        </row>
        <row r="542">
          <cell r="E542">
            <v>30000</v>
          </cell>
          <cell r="F542">
            <v>8464.4381250000006</v>
          </cell>
          <cell r="G542">
            <v>38464.438125000001</v>
          </cell>
        </row>
        <row r="543">
          <cell r="A543" t="str">
            <v xml:space="preserve"> 55.</v>
          </cell>
          <cell r="B543" t="str">
            <v xml:space="preserve"> 1 M' BUBUNGAN GENTENG KERAMIK</v>
          </cell>
        </row>
        <row r="544">
          <cell r="B544">
            <v>5</v>
          </cell>
          <cell r="C544" t="str">
            <v xml:space="preserve"> Buah genteng</v>
          </cell>
          <cell r="D544">
            <v>7000</v>
          </cell>
          <cell r="E544">
            <v>35000</v>
          </cell>
        </row>
        <row r="545">
          <cell r="B545">
            <v>0.14069999999999999</v>
          </cell>
          <cell r="C545" t="str">
            <v xml:space="preserve"> Zak Semen Portland</v>
          </cell>
          <cell r="D545">
            <v>25000</v>
          </cell>
          <cell r="E545">
            <v>3517.5</v>
          </cell>
        </row>
        <row r="546">
          <cell r="B546">
            <v>1.35E-2</v>
          </cell>
          <cell r="C546" t="str">
            <v xml:space="preserve"> M3 pasir pasang</v>
          </cell>
          <cell r="D546">
            <v>95000</v>
          </cell>
          <cell r="E546">
            <v>1282.5</v>
          </cell>
        </row>
        <row r="547">
          <cell r="B547">
            <v>0.18</v>
          </cell>
          <cell r="C547" t="str">
            <v xml:space="preserve"> Tukang batu</v>
          </cell>
          <cell r="D547">
            <v>30950</v>
          </cell>
          <cell r="F547">
            <v>5571</v>
          </cell>
        </row>
        <row r="548">
          <cell r="B548">
            <v>1.7999999999999999E-2</v>
          </cell>
          <cell r="C548" t="str">
            <v xml:space="preserve"> Tukang kepala</v>
          </cell>
          <cell r="D548">
            <v>37140</v>
          </cell>
          <cell r="F548">
            <v>668.52</v>
          </cell>
        </row>
        <row r="549">
          <cell r="B549">
            <v>0.36</v>
          </cell>
          <cell r="C549" t="str">
            <v xml:space="preserve"> Pekerja</v>
          </cell>
          <cell r="D549">
            <v>24760</v>
          </cell>
          <cell r="F549">
            <v>8913.6</v>
          </cell>
        </row>
        <row r="550">
          <cell r="B550">
            <v>1.7999999999999999E-2</v>
          </cell>
          <cell r="C550" t="str">
            <v xml:space="preserve"> Mandor</v>
          </cell>
          <cell r="D550">
            <v>43330</v>
          </cell>
          <cell r="F550">
            <v>779.93999999999994</v>
          </cell>
        </row>
        <row r="551">
          <cell r="E551">
            <v>39800</v>
          </cell>
          <cell r="F551">
            <v>15933.060000000001</v>
          </cell>
          <cell r="G551">
            <v>55733.06</v>
          </cell>
        </row>
        <row r="552">
          <cell r="A552" t="str">
            <v xml:space="preserve"> 56.</v>
          </cell>
          <cell r="B552" t="str">
            <v xml:space="preserve"> 1 M' BUBUNGAN GENTENG BETON</v>
          </cell>
        </row>
        <row r="553">
          <cell r="B553">
            <v>3.7</v>
          </cell>
          <cell r="C553" t="str">
            <v xml:space="preserve"> Buah genteng</v>
          </cell>
          <cell r="D553">
            <v>2500</v>
          </cell>
          <cell r="E553">
            <v>9250</v>
          </cell>
        </row>
        <row r="554">
          <cell r="B554">
            <v>0.14069999999999999</v>
          </cell>
          <cell r="C554" t="str">
            <v xml:space="preserve"> Zak Semen Portland</v>
          </cell>
          <cell r="D554">
            <v>25000</v>
          </cell>
          <cell r="E554">
            <v>3517.5</v>
          </cell>
        </row>
        <row r="555">
          <cell r="B555">
            <v>1.35E-2</v>
          </cell>
          <cell r="C555" t="str">
            <v xml:space="preserve"> M3 pasir pasang</v>
          </cell>
          <cell r="D555">
            <v>95000</v>
          </cell>
          <cell r="E555">
            <v>1282.5</v>
          </cell>
        </row>
        <row r="556">
          <cell r="B556">
            <v>0.18</v>
          </cell>
          <cell r="C556" t="str">
            <v xml:space="preserve"> Tukang batu</v>
          </cell>
          <cell r="D556">
            <v>30950</v>
          </cell>
          <cell r="F556">
            <v>5571</v>
          </cell>
        </row>
        <row r="557">
          <cell r="B557">
            <v>1.7999999999999999E-2</v>
          </cell>
          <cell r="C557" t="str">
            <v xml:space="preserve"> Tukang kepala</v>
          </cell>
          <cell r="D557">
            <v>37140</v>
          </cell>
          <cell r="F557">
            <v>668.52</v>
          </cell>
        </row>
        <row r="558">
          <cell r="B558">
            <v>0.36</v>
          </cell>
          <cell r="C558" t="str">
            <v xml:space="preserve"> Pekerja</v>
          </cell>
          <cell r="D558">
            <v>24760</v>
          </cell>
          <cell r="F558">
            <v>8913.6</v>
          </cell>
        </row>
        <row r="559">
          <cell r="B559">
            <v>1.7999999999999999E-2</v>
          </cell>
          <cell r="C559" t="str">
            <v xml:space="preserve"> Mandor</v>
          </cell>
          <cell r="D559">
            <v>43330</v>
          </cell>
          <cell r="F559">
            <v>779.93999999999994</v>
          </cell>
        </row>
        <row r="560">
          <cell r="E560">
            <v>14050</v>
          </cell>
          <cell r="F560">
            <v>15933.060000000001</v>
          </cell>
          <cell r="G560">
            <v>29983.06</v>
          </cell>
        </row>
        <row r="561">
          <cell r="A561" t="str">
            <v xml:space="preserve"> 57.</v>
          </cell>
          <cell r="B561" t="str">
            <v xml:space="preserve"> 1 M' TALANG KELILING/JURAI</v>
          </cell>
        </row>
        <row r="562">
          <cell r="B562">
            <v>1.1000000000000001</v>
          </cell>
          <cell r="C562" t="str">
            <v xml:space="preserve"> M'seng BJLS 24</v>
          </cell>
          <cell r="D562">
            <v>25000</v>
          </cell>
          <cell r="E562">
            <v>27500.000000000004</v>
          </cell>
        </row>
        <row r="563">
          <cell r="B563">
            <v>0.05</v>
          </cell>
          <cell r="C563" t="str">
            <v xml:space="preserve"> Kg paku seng</v>
          </cell>
          <cell r="D563">
            <v>9000</v>
          </cell>
          <cell r="E563">
            <v>450</v>
          </cell>
        </row>
        <row r="564">
          <cell r="B564">
            <v>2.5000000000000001E-2</v>
          </cell>
          <cell r="C564" t="str">
            <v xml:space="preserve"> Kg timah patri</v>
          </cell>
          <cell r="D564">
            <v>13500</v>
          </cell>
          <cell r="E564">
            <v>337.5</v>
          </cell>
        </row>
        <row r="565">
          <cell r="B565">
            <v>0.22000000000000003</v>
          </cell>
          <cell r="C565" t="str">
            <v xml:space="preserve"> Tukang seng</v>
          </cell>
          <cell r="D565">
            <v>24760</v>
          </cell>
          <cell r="F565">
            <v>5447.2000000000007</v>
          </cell>
        </row>
        <row r="566">
          <cell r="B566">
            <v>2.2000000000000002E-2</v>
          </cell>
          <cell r="C566" t="str">
            <v xml:space="preserve"> Tukang kepala</v>
          </cell>
          <cell r="D566">
            <v>37140</v>
          </cell>
          <cell r="F566">
            <v>817.08</v>
          </cell>
        </row>
        <row r="567">
          <cell r="B567">
            <v>0.11000000000000001</v>
          </cell>
          <cell r="C567" t="str">
            <v xml:space="preserve"> Pekerja</v>
          </cell>
          <cell r="D567">
            <v>24760</v>
          </cell>
          <cell r="F567">
            <v>2723.6000000000004</v>
          </cell>
        </row>
        <row r="568">
          <cell r="B568">
            <v>5.5000000000000005E-3</v>
          </cell>
          <cell r="C568" t="str">
            <v xml:space="preserve"> Mandor</v>
          </cell>
          <cell r="D568">
            <v>43330</v>
          </cell>
          <cell r="F568">
            <v>238.31500000000003</v>
          </cell>
        </row>
        <row r="569">
          <cell r="E569">
            <v>28287.500000000004</v>
          </cell>
          <cell r="F569">
            <v>9226.1950000000015</v>
          </cell>
          <cell r="G569">
            <v>37513.695000000007</v>
          </cell>
        </row>
        <row r="570">
          <cell r="A570" t="str">
            <v xml:space="preserve"> 58.</v>
          </cell>
          <cell r="B570" t="str">
            <v xml:space="preserve"> 1 M2 LANGIT-LANGIT ASBES SEMEN 4 MM (1x1)</v>
          </cell>
        </row>
        <row r="571">
          <cell r="B571">
            <v>1.1000000000000001</v>
          </cell>
          <cell r="C571" t="str">
            <v xml:space="preserve"> Lb asbes semen</v>
          </cell>
          <cell r="D571">
            <v>8500</v>
          </cell>
          <cell r="E571">
            <v>9350</v>
          </cell>
        </row>
        <row r="572">
          <cell r="B572">
            <v>1.7400000000000002E-2</v>
          </cell>
          <cell r="C572" t="str">
            <v xml:space="preserve"> M3 kayu Borneo</v>
          </cell>
          <cell r="D572">
            <v>900000</v>
          </cell>
          <cell r="E572">
            <v>15660.000000000002</v>
          </cell>
        </row>
        <row r="573">
          <cell r="B573">
            <v>0.2</v>
          </cell>
          <cell r="C573" t="str">
            <v xml:space="preserve"> Kg paku kayu</v>
          </cell>
          <cell r="D573">
            <v>6000</v>
          </cell>
          <cell r="E573">
            <v>1200</v>
          </cell>
        </row>
        <row r="574">
          <cell r="B574">
            <v>0.04</v>
          </cell>
          <cell r="C574" t="str">
            <v xml:space="preserve"> Kg paku list</v>
          </cell>
          <cell r="D574">
            <v>9000</v>
          </cell>
          <cell r="E574">
            <v>360</v>
          </cell>
        </row>
        <row r="575">
          <cell r="B575">
            <v>0.39600000000000002</v>
          </cell>
          <cell r="C575" t="str">
            <v xml:space="preserve"> Tukang kayu</v>
          </cell>
          <cell r="D575">
            <v>30950</v>
          </cell>
          <cell r="F575">
            <v>12256.2</v>
          </cell>
        </row>
        <row r="576">
          <cell r="B576">
            <v>3.9600000000000003E-2</v>
          </cell>
          <cell r="C576" t="str">
            <v xml:space="preserve"> Tukang kepala</v>
          </cell>
          <cell r="D576">
            <v>37140</v>
          </cell>
          <cell r="F576">
            <v>1470.7440000000001</v>
          </cell>
        </row>
        <row r="577">
          <cell r="B577">
            <v>0.13200000000000001</v>
          </cell>
          <cell r="C577" t="str">
            <v xml:space="preserve"> Pekerja</v>
          </cell>
          <cell r="D577">
            <v>24760</v>
          </cell>
          <cell r="F577">
            <v>3268.32</v>
          </cell>
        </row>
        <row r="578">
          <cell r="B578">
            <v>6.6E-3</v>
          </cell>
          <cell r="C578" t="str">
            <v xml:space="preserve"> Mandor</v>
          </cell>
          <cell r="D578">
            <v>43330</v>
          </cell>
          <cell r="F578">
            <v>285.97800000000001</v>
          </cell>
        </row>
        <row r="579">
          <cell r="E579">
            <v>26570</v>
          </cell>
          <cell r="F579">
            <v>17281.242000000002</v>
          </cell>
          <cell r="G579">
            <v>43851.241999999998</v>
          </cell>
        </row>
        <row r="580">
          <cell r="A580" t="str">
            <v xml:space="preserve"> 59.</v>
          </cell>
          <cell r="B580" t="str">
            <v xml:space="preserve"> 1 M2 LANGIT-LANGIT PLYWOOD 4 MM 60x120 CM</v>
          </cell>
        </row>
        <row r="581">
          <cell r="B581">
            <v>0.38200000000000001</v>
          </cell>
          <cell r="C581" t="str">
            <v xml:space="preserve"> Lb plywood 4 mm</v>
          </cell>
          <cell r="D581">
            <v>0</v>
          </cell>
          <cell r="E581">
            <v>0</v>
          </cell>
        </row>
        <row r="582">
          <cell r="B582">
            <v>1.8500000000000003E-2</v>
          </cell>
          <cell r="C582" t="str">
            <v xml:space="preserve"> M3 kayu Borneo</v>
          </cell>
          <cell r="D582">
            <v>900000</v>
          </cell>
          <cell r="E582">
            <v>16650.000000000004</v>
          </cell>
        </row>
        <row r="583">
          <cell r="B583">
            <v>0.2</v>
          </cell>
          <cell r="C583" t="str">
            <v xml:space="preserve"> Kg paku kayu</v>
          </cell>
          <cell r="D583">
            <v>6000</v>
          </cell>
          <cell r="E583">
            <v>1200</v>
          </cell>
        </row>
        <row r="584">
          <cell r="B584">
            <v>0.04</v>
          </cell>
          <cell r="C584" t="str">
            <v xml:space="preserve"> Kg paku list</v>
          </cell>
          <cell r="D584">
            <v>9000</v>
          </cell>
          <cell r="E584">
            <v>360</v>
          </cell>
        </row>
        <row r="585">
          <cell r="B585">
            <v>0.44000000000000006</v>
          </cell>
          <cell r="C585" t="str">
            <v xml:space="preserve"> Tukang kayu</v>
          </cell>
          <cell r="D585">
            <v>30950</v>
          </cell>
          <cell r="F585">
            <v>13618.000000000002</v>
          </cell>
        </row>
        <row r="586">
          <cell r="B586">
            <v>4.4000000000000004E-2</v>
          </cell>
          <cell r="C586" t="str">
            <v xml:space="preserve"> Tukang kepala</v>
          </cell>
          <cell r="D586">
            <v>37140</v>
          </cell>
          <cell r="F586">
            <v>1634.16</v>
          </cell>
        </row>
        <row r="587">
          <cell r="B587">
            <v>0.1466666666666667</v>
          </cell>
          <cell r="C587" t="str">
            <v xml:space="preserve"> Pekerja</v>
          </cell>
          <cell r="D587">
            <v>24760</v>
          </cell>
          <cell r="F587">
            <v>3631.4666666666672</v>
          </cell>
        </row>
        <row r="588">
          <cell r="B588">
            <v>7.3333333333333349E-3</v>
          </cell>
          <cell r="C588" t="str">
            <v xml:space="preserve"> Mandor</v>
          </cell>
          <cell r="D588">
            <v>43330</v>
          </cell>
          <cell r="F588">
            <v>317.75333333333339</v>
          </cell>
        </row>
        <row r="589">
          <cell r="E589">
            <v>18210.000000000004</v>
          </cell>
          <cell r="F589">
            <v>19201.380000000005</v>
          </cell>
          <cell r="G589">
            <v>37411.380000000005</v>
          </cell>
        </row>
        <row r="590">
          <cell r="A590" t="str">
            <v xml:space="preserve"> 60.</v>
          </cell>
          <cell r="B590" t="str">
            <v xml:space="preserve"> 1 M' LISPLANK 3/30 CM KAYU KAMPER</v>
          </cell>
        </row>
        <row r="591">
          <cell r="B591">
            <v>9.9000000000000008E-3</v>
          </cell>
          <cell r="C591" t="str">
            <v xml:space="preserve"> M3 papan Kamper </v>
          </cell>
          <cell r="D591">
            <v>3250000</v>
          </cell>
          <cell r="E591">
            <v>32175.000000000004</v>
          </cell>
        </row>
        <row r="592">
          <cell r="B592">
            <v>1.4999999999999999E-2</v>
          </cell>
          <cell r="C592" t="str">
            <v xml:space="preserve"> Kg paku kayu</v>
          </cell>
          <cell r="D592">
            <v>6000</v>
          </cell>
          <cell r="E592">
            <v>90</v>
          </cell>
        </row>
        <row r="593">
          <cell r="B593">
            <v>0.27500000000000002</v>
          </cell>
          <cell r="C593" t="str">
            <v xml:space="preserve"> Tukang kayu</v>
          </cell>
          <cell r="D593">
            <v>30950</v>
          </cell>
          <cell r="F593">
            <v>8511.25</v>
          </cell>
        </row>
        <row r="594">
          <cell r="B594">
            <v>2.7500000000000004E-2</v>
          </cell>
          <cell r="C594" t="str">
            <v xml:space="preserve"> Tukang kepala</v>
          </cell>
          <cell r="D594">
            <v>37140</v>
          </cell>
          <cell r="F594">
            <v>1021.3500000000001</v>
          </cell>
        </row>
        <row r="595">
          <cell r="B595">
            <v>9.1666666666666674E-2</v>
          </cell>
          <cell r="C595" t="str">
            <v xml:space="preserve"> Pekerja</v>
          </cell>
          <cell r="D595">
            <v>24760</v>
          </cell>
          <cell r="F595">
            <v>2269.666666666667</v>
          </cell>
        </row>
        <row r="596">
          <cell r="B596">
            <v>4.5833333333333334E-3</v>
          </cell>
          <cell r="C596" t="str">
            <v xml:space="preserve"> Mandor</v>
          </cell>
          <cell r="D596">
            <v>43330</v>
          </cell>
          <cell r="F596">
            <v>198.59583333333333</v>
          </cell>
        </row>
        <row r="597">
          <cell r="E597">
            <v>32265.000000000004</v>
          </cell>
          <cell r="F597">
            <v>12000.862499999999</v>
          </cell>
          <cell r="G597">
            <v>44265.862500000003</v>
          </cell>
        </row>
        <row r="598">
          <cell r="A598" t="str">
            <v xml:space="preserve"> 61.</v>
          </cell>
          <cell r="B598" t="str">
            <v xml:space="preserve"> 1 M2 CAT DINDING</v>
          </cell>
        </row>
        <row r="599">
          <cell r="B599">
            <v>0.25</v>
          </cell>
          <cell r="C599" t="str">
            <v>Lt cat Vinilex</v>
          </cell>
          <cell r="D599">
            <v>12500</v>
          </cell>
          <cell r="E599">
            <v>3125</v>
          </cell>
        </row>
        <row r="600">
          <cell r="B600">
            <v>0.125</v>
          </cell>
          <cell r="C600" t="str">
            <v>Kg plamur tembok</v>
          </cell>
          <cell r="D600">
            <v>9350</v>
          </cell>
          <cell r="E600">
            <v>1168.75</v>
          </cell>
        </row>
        <row r="601">
          <cell r="B601">
            <v>0.1</v>
          </cell>
          <cell r="C601" t="str">
            <v>Lb amplas</v>
          </cell>
          <cell r="D601">
            <v>2000</v>
          </cell>
          <cell r="E601">
            <v>200</v>
          </cell>
        </row>
        <row r="602">
          <cell r="B602">
            <v>1.4999999999999999E-2</v>
          </cell>
          <cell r="C602" t="str">
            <v>Bh rool kuas 8"</v>
          </cell>
          <cell r="D602">
            <v>15000</v>
          </cell>
          <cell r="E602">
            <v>225</v>
          </cell>
        </row>
        <row r="603">
          <cell r="B603">
            <v>6.0000000000000006E-4</v>
          </cell>
          <cell r="C603" t="str">
            <v>M3 kayu Borneo</v>
          </cell>
          <cell r="D603">
            <v>900000</v>
          </cell>
          <cell r="E603">
            <v>540</v>
          </cell>
        </row>
        <row r="604">
          <cell r="B604">
            <v>9.4500000000000001E-2</v>
          </cell>
          <cell r="C604" t="str">
            <v>Tukang Cat</v>
          </cell>
          <cell r="D604">
            <v>30950</v>
          </cell>
          <cell r="F604">
            <v>2924.7750000000001</v>
          </cell>
        </row>
        <row r="605">
          <cell r="B605">
            <v>9.4500000000000001E-3</v>
          </cell>
          <cell r="C605" t="str">
            <v xml:space="preserve">Kepala tukang </v>
          </cell>
          <cell r="D605">
            <v>37140</v>
          </cell>
          <cell r="F605">
            <v>350.97300000000001</v>
          </cell>
        </row>
        <row r="606">
          <cell r="B606">
            <v>2.3625E-2</v>
          </cell>
          <cell r="C606" t="str">
            <v>Pekerja</v>
          </cell>
          <cell r="D606">
            <v>24760</v>
          </cell>
          <cell r="F606">
            <v>584.95500000000004</v>
          </cell>
        </row>
        <row r="607">
          <cell r="B607">
            <v>1.18125E-3</v>
          </cell>
          <cell r="C607" t="str">
            <v>Mandor</v>
          </cell>
          <cell r="D607">
            <v>43330</v>
          </cell>
          <cell r="F607">
            <v>51.183562500000001</v>
          </cell>
        </row>
        <row r="608">
          <cell r="E608">
            <v>5258.75</v>
          </cell>
          <cell r="F608">
            <v>3911.8865624999999</v>
          </cell>
          <cell r="G608">
            <v>9170.6365624999999</v>
          </cell>
        </row>
        <row r="609">
          <cell r="A609" t="str">
            <v xml:space="preserve"> 62.</v>
          </cell>
          <cell r="B609" t="str">
            <v xml:space="preserve"> 1 M2 CAT KAYU</v>
          </cell>
        </row>
        <row r="610">
          <cell r="B610">
            <v>0.2</v>
          </cell>
          <cell r="C610" t="str">
            <v>Lt cat Glotex</v>
          </cell>
          <cell r="D610">
            <v>22500</v>
          </cell>
          <cell r="E610">
            <v>4500</v>
          </cell>
        </row>
        <row r="611">
          <cell r="B611">
            <v>0.1</v>
          </cell>
          <cell r="C611" t="str">
            <v>Lt menie kayu</v>
          </cell>
          <cell r="D611">
            <v>8250</v>
          </cell>
          <cell r="E611">
            <v>825</v>
          </cell>
        </row>
        <row r="612">
          <cell r="B612">
            <v>0.125</v>
          </cell>
          <cell r="C612" t="str">
            <v>Lt plamur kayu</v>
          </cell>
          <cell r="D612">
            <v>8800</v>
          </cell>
          <cell r="E612">
            <v>1100</v>
          </cell>
        </row>
        <row r="613">
          <cell r="B613">
            <v>0.1</v>
          </cell>
          <cell r="C613" t="str">
            <v>Lt cat dasar kayu</v>
          </cell>
          <cell r="D613">
            <v>8800</v>
          </cell>
          <cell r="E613">
            <v>880</v>
          </cell>
        </row>
        <row r="614">
          <cell r="B614">
            <v>0.1</v>
          </cell>
          <cell r="C614" t="str">
            <v>Lt minyak cat</v>
          </cell>
          <cell r="D614">
            <v>8000</v>
          </cell>
          <cell r="E614">
            <v>800</v>
          </cell>
        </row>
        <row r="615">
          <cell r="B615">
            <v>0.1</v>
          </cell>
          <cell r="C615" t="str">
            <v>Lb amplas</v>
          </cell>
          <cell r="D615">
            <v>2000</v>
          </cell>
          <cell r="E615">
            <v>200</v>
          </cell>
        </row>
        <row r="616">
          <cell r="B616">
            <v>0.02</v>
          </cell>
          <cell r="C616" t="str">
            <v>Bh koas 2"</v>
          </cell>
          <cell r="D616">
            <v>4000</v>
          </cell>
          <cell r="E616">
            <v>80</v>
          </cell>
        </row>
        <row r="617">
          <cell r="B617">
            <v>6.0000000000000006E-4</v>
          </cell>
          <cell r="C617" t="str">
            <v>M3 kayu Borneo</v>
          </cell>
          <cell r="D617">
            <v>900000</v>
          </cell>
          <cell r="E617">
            <v>540</v>
          </cell>
        </row>
        <row r="618">
          <cell r="B618">
            <v>0.14850000000000002</v>
          </cell>
          <cell r="C618" t="str">
            <v>Tukang Cat</v>
          </cell>
          <cell r="D618">
            <v>30950</v>
          </cell>
          <cell r="F618">
            <v>4596.0750000000007</v>
          </cell>
        </row>
        <row r="619">
          <cell r="B619">
            <v>1.4850000000000002E-2</v>
          </cell>
          <cell r="C619" t="str">
            <v xml:space="preserve">Kepala tukang </v>
          </cell>
          <cell r="D619">
            <v>37140</v>
          </cell>
          <cell r="F619">
            <v>551.52900000000011</v>
          </cell>
        </row>
        <row r="620">
          <cell r="B620">
            <v>3.7125000000000005E-2</v>
          </cell>
          <cell r="C620" t="str">
            <v>Pekerja</v>
          </cell>
          <cell r="D620">
            <v>24760</v>
          </cell>
          <cell r="F620">
            <v>919.21500000000015</v>
          </cell>
        </row>
        <row r="621">
          <cell r="B621">
            <v>1.8562500000000003E-3</v>
          </cell>
          <cell r="C621" t="str">
            <v>Mandor</v>
          </cell>
          <cell r="D621">
            <v>43330</v>
          </cell>
          <cell r="F621">
            <v>80.431312500000004</v>
          </cell>
        </row>
        <row r="622">
          <cell r="E622">
            <v>8925</v>
          </cell>
          <cell r="F622">
            <v>6147.2503125000012</v>
          </cell>
          <cell r="G622">
            <v>15072.2503125</v>
          </cell>
        </row>
        <row r="624">
          <cell r="A624" t="str">
            <v>IV.</v>
          </cell>
          <cell r="B624" t="str">
            <v xml:space="preserve"> REKAPITULASI HARGA SATUAN PEKERJAAN</v>
          </cell>
        </row>
        <row r="625">
          <cell r="A625" t="str">
            <v xml:space="preserve">  1.</v>
          </cell>
          <cell r="B625" t="str">
            <v xml:space="preserve"> Pembersihan site</v>
          </cell>
          <cell r="D625" t="str">
            <v>1 M2</v>
          </cell>
          <cell r="E625">
            <v>0</v>
          </cell>
          <cell r="F625">
            <v>2369.5320000000002</v>
          </cell>
          <cell r="G625">
            <v>2369.5320000000002</v>
          </cell>
        </row>
        <row r="626">
          <cell r="A626" t="str">
            <v xml:space="preserve">  2.</v>
          </cell>
          <cell r="B626" t="str">
            <v xml:space="preserve"> Papan bangunan/bouwplank</v>
          </cell>
          <cell r="D626" t="str">
            <v>1 M'</v>
          </cell>
          <cell r="E626">
            <v>9990</v>
          </cell>
          <cell r="F626">
            <v>6328.9655000000012</v>
          </cell>
          <cell r="G626">
            <v>16318.965500000002</v>
          </cell>
        </row>
        <row r="627">
          <cell r="A627" t="str">
            <v xml:space="preserve">  3.</v>
          </cell>
          <cell r="B627" t="str">
            <v xml:space="preserve"> Galian tanah</v>
          </cell>
          <cell r="D627" t="str">
            <v>1 M3</v>
          </cell>
          <cell r="E627">
            <v>0</v>
          </cell>
          <cell r="F627">
            <v>19653.25</v>
          </cell>
          <cell r="G627">
            <v>19653.25</v>
          </cell>
        </row>
        <row r="628">
          <cell r="A628" t="str">
            <v xml:space="preserve">  4.</v>
          </cell>
          <cell r="B628" t="str">
            <v xml:space="preserve"> Urugan tanah kembali</v>
          </cell>
          <cell r="D628" t="str">
            <v>1 M3</v>
          </cell>
          <cell r="E628">
            <v>0</v>
          </cell>
          <cell r="F628">
            <v>6551.083333333333</v>
          </cell>
          <cell r="G628">
            <v>6551.083333333333</v>
          </cell>
        </row>
        <row r="629">
          <cell r="A629" t="str">
            <v xml:space="preserve">  5.</v>
          </cell>
          <cell r="B629" t="str">
            <v xml:space="preserve"> Urugan pasir padat</v>
          </cell>
          <cell r="D629" t="str">
            <v>1 M3</v>
          </cell>
          <cell r="E629">
            <v>90000</v>
          </cell>
          <cell r="F629">
            <v>8885.7450000000008</v>
          </cell>
          <cell r="G629">
            <v>98885.744999999995</v>
          </cell>
        </row>
        <row r="630">
          <cell r="A630" t="str">
            <v xml:space="preserve">  6.</v>
          </cell>
          <cell r="B630" t="str">
            <v xml:space="preserve"> Aanstamping batu belah</v>
          </cell>
          <cell r="D630" t="str">
            <v>1 M3</v>
          </cell>
          <cell r="E630">
            <v>124200</v>
          </cell>
          <cell r="F630">
            <v>23695.320000000003</v>
          </cell>
          <cell r="G630">
            <v>147895.32</v>
          </cell>
        </row>
        <row r="631">
          <cell r="A631" t="str">
            <v xml:space="preserve">  7.</v>
          </cell>
          <cell r="B631" t="str">
            <v xml:space="preserve"> Pondasi batu belah 1:3</v>
          </cell>
          <cell r="D631" t="str">
            <v>1 M3</v>
          </cell>
          <cell r="E631">
            <v>255275</v>
          </cell>
          <cell r="F631">
            <v>50795.140000000007</v>
          </cell>
          <cell r="G631">
            <v>306070.14</v>
          </cell>
        </row>
        <row r="632">
          <cell r="A632" t="str">
            <v xml:space="preserve">  8.</v>
          </cell>
          <cell r="B632" t="str">
            <v xml:space="preserve"> Pondasi batu belah 1:5</v>
          </cell>
          <cell r="D632" t="str">
            <v>1 M3</v>
          </cell>
          <cell r="E632">
            <v>221900</v>
          </cell>
          <cell r="F632">
            <v>50795.140000000007</v>
          </cell>
          <cell r="G632">
            <v>272695.14</v>
          </cell>
        </row>
        <row r="633">
          <cell r="A633" t="str">
            <v xml:space="preserve">  9.</v>
          </cell>
          <cell r="B633" t="str">
            <v xml:space="preserve"> Pondasi batu bata 1:3</v>
          </cell>
          <cell r="D633" t="str">
            <v>1 M3</v>
          </cell>
          <cell r="E633">
            <v>313282.5</v>
          </cell>
          <cell r="F633">
            <v>71113.196000000011</v>
          </cell>
          <cell r="G633">
            <v>384395.696</v>
          </cell>
        </row>
        <row r="634">
          <cell r="A634" t="str">
            <v xml:space="preserve"> 10.</v>
          </cell>
          <cell r="B634" t="str">
            <v xml:space="preserve"> Dinding batu bata 1:3</v>
          </cell>
          <cell r="D634" t="str">
            <v>1 M2</v>
          </cell>
          <cell r="E634">
            <v>37112.5</v>
          </cell>
          <cell r="F634">
            <v>13853.220000000001</v>
          </cell>
          <cell r="G634">
            <v>50965.72</v>
          </cell>
        </row>
        <row r="635">
          <cell r="A635" t="str">
            <v xml:space="preserve"> 11.</v>
          </cell>
          <cell r="B635" t="str">
            <v xml:space="preserve"> Dinding batu bata 1:5</v>
          </cell>
          <cell r="D635" t="str">
            <v>1 M2</v>
          </cell>
          <cell r="E635">
            <v>34712.5</v>
          </cell>
          <cell r="F635">
            <v>13853.220000000001</v>
          </cell>
          <cell r="G635">
            <v>48565.72</v>
          </cell>
        </row>
        <row r="636">
          <cell r="A636" t="str">
            <v xml:space="preserve"> 12.</v>
          </cell>
          <cell r="B636" t="str">
            <v xml:space="preserve"> Dinding conbloc 10 cm 1:3</v>
          </cell>
          <cell r="D636" t="str">
            <v>1 M2</v>
          </cell>
          <cell r="E636">
            <v>40290</v>
          </cell>
          <cell r="F636">
            <v>13968.663500000002</v>
          </cell>
          <cell r="G636">
            <v>54258.663500000002</v>
          </cell>
        </row>
        <row r="637">
          <cell r="A637" t="str">
            <v xml:space="preserve"> 13.</v>
          </cell>
          <cell r="B637" t="str">
            <v xml:space="preserve"> Dinding conbloc 10 cm 1:5</v>
          </cell>
          <cell r="D637" t="str">
            <v>1 M2</v>
          </cell>
          <cell r="E637">
            <v>37950</v>
          </cell>
          <cell r="F637">
            <v>13968.663500000002</v>
          </cell>
          <cell r="G637">
            <v>51918.663500000002</v>
          </cell>
        </row>
        <row r="638">
          <cell r="A638" t="str">
            <v xml:space="preserve"> 14.</v>
          </cell>
          <cell r="B638" t="str">
            <v xml:space="preserve"> Lantai ubin PC abu-2 20/20 cm</v>
          </cell>
          <cell r="D638" t="str">
            <v>1 M2</v>
          </cell>
          <cell r="E638">
            <v>15100</v>
          </cell>
          <cell r="F638">
            <v>11684.244000000001</v>
          </cell>
          <cell r="G638">
            <v>26784.243999999999</v>
          </cell>
        </row>
        <row r="639">
          <cell r="A639" t="str">
            <v xml:space="preserve"> 15.</v>
          </cell>
          <cell r="B639" t="str">
            <v xml:space="preserve"> Lantai ubin warna 20/20 cm</v>
          </cell>
          <cell r="D639" t="str">
            <v>1 M2</v>
          </cell>
          <cell r="E639">
            <v>22797.5</v>
          </cell>
          <cell r="F639">
            <v>11684.244000000001</v>
          </cell>
          <cell r="G639">
            <v>34481.743999999999</v>
          </cell>
        </row>
        <row r="640">
          <cell r="A640" t="str">
            <v xml:space="preserve"> 16.</v>
          </cell>
          <cell r="B640" t="str">
            <v xml:space="preserve"> Lantai keramik 20/20 cm</v>
          </cell>
          <cell r="D640" t="str">
            <v>1 M2</v>
          </cell>
          <cell r="E640">
            <v>36837.5</v>
          </cell>
          <cell r="F640">
            <v>28895.693750000009</v>
          </cell>
          <cell r="G640">
            <v>65733.193750000006</v>
          </cell>
        </row>
        <row r="641">
          <cell r="A641" t="str">
            <v xml:space="preserve"> 17.</v>
          </cell>
          <cell r="B641" t="str">
            <v xml:space="preserve"> Lantai muzaic 30/30 cm</v>
          </cell>
          <cell r="D641" t="str">
            <v>1 M2</v>
          </cell>
          <cell r="E641">
            <v>141837.5</v>
          </cell>
          <cell r="F641">
            <v>24767.737499999999</v>
          </cell>
          <cell r="G641">
            <v>166605.23749999999</v>
          </cell>
        </row>
        <row r="642">
          <cell r="A642" t="str">
            <v xml:space="preserve"> 18.</v>
          </cell>
          <cell r="B642" t="str">
            <v xml:space="preserve"> Plint ubin PC abu-2 10/20 cm</v>
          </cell>
          <cell r="D642" t="str">
            <v>1 M'</v>
          </cell>
          <cell r="E642">
            <v>2007</v>
          </cell>
          <cell r="F642">
            <v>6328.9655000000012</v>
          </cell>
          <cell r="G642">
            <v>8335.9655000000021</v>
          </cell>
        </row>
        <row r="643">
          <cell r="A643" t="str">
            <v xml:space="preserve"> 19.</v>
          </cell>
          <cell r="B643" t="str">
            <v xml:space="preserve"> Plint ubin warna 10/20 cm</v>
          </cell>
          <cell r="D643" t="str">
            <v>1 M'</v>
          </cell>
          <cell r="E643">
            <v>3581.5</v>
          </cell>
          <cell r="F643">
            <v>6328.9655000000012</v>
          </cell>
          <cell r="G643">
            <v>9910.4655000000021</v>
          </cell>
        </row>
        <row r="644">
          <cell r="A644" t="str">
            <v xml:space="preserve"> 20.</v>
          </cell>
          <cell r="B644" t="str">
            <v xml:space="preserve"> Plint keramik 10/20 cm</v>
          </cell>
          <cell r="D644" t="str">
            <v>1 M'</v>
          </cell>
          <cell r="E644">
            <v>5531.5</v>
          </cell>
          <cell r="F644">
            <v>6328.9655000000012</v>
          </cell>
          <cell r="G644">
            <v>11860.465500000002</v>
          </cell>
        </row>
        <row r="645">
          <cell r="A645" t="str">
            <v xml:space="preserve"> 21.</v>
          </cell>
          <cell r="B645" t="str">
            <v xml:space="preserve"> Lantai beton tumbuk 7 cm 1:3:6</v>
          </cell>
          <cell r="D645" t="str">
            <v>1 M2</v>
          </cell>
          <cell r="E645">
            <v>17210</v>
          </cell>
          <cell r="F645">
            <v>16016.625</v>
          </cell>
          <cell r="G645">
            <v>33226.625</v>
          </cell>
        </row>
        <row r="646">
          <cell r="A646" t="str">
            <v xml:space="preserve"> 22.</v>
          </cell>
          <cell r="B646" t="str">
            <v xml:space="preserve"> Berapen pondasi 1:5</v>
          </cell>
          <cell r="D646" t="str">
            <v>1 M2</v>
          </cell>
          <cell r="E646">
            <v>5652.5</v>
          </cell>
          <cell r="F646">
            <v>9736.8700000000008</v>
          </cell>
          <cell r="G646">
            <v>15389.37</v>
          </cell>
        </row>
        <row r="647">
          <cell r="A647" t="str">
            <v xml:space="preserve"> 23.</v>
          </cell>
          <cell r="B647" t="str">
            <v xml:space="preserve"> Plesteran 15 mm 1:3</v>
          </cell>
          <cell r="D647" t="str">
            <v>1 M2</v>
          </cell>
          <cell r="E647">
            <v>8951</v>
          </cell>
          <cell r="F647">
            <v>15578.992000000002</v>
          </cell>
          <cell r="G647">
            <v>24529.992000000002</v>
          </cell>
        </row>
        <row r="648">
          <cell r="A648" t="str">
            <v xml:space="preserve"> 24.</v>
          </cell>
          <cell r="B648" t="str">
            <v xml:space="preserve"> Plesteran 15 mm 1:5</v>
          </cell>
          <cell r="D648" t="str">
            <v>1 M2</v>
          </cell>
          <cell r="E648">
            <v>7402.5</v>
          </cell>
          <cell r="F648">
            <v>15578.992000000002</v>
          </cell>
          <cell r="G648">
            <v>22981.492000000002</v>
          </cell>
        </row>
        <row r="649">
          <cell r="A649" t="str">
            <v xml:space="preserve"> 25.</v>
          </cell>
          <cell r="B649" t="str">
            <v xml:space="preserve"> Dinding porselin 15/15 cm</v>
          </cell>
          <cell r="D649" t="str">
            <v>1 M2</v>
          </cell>
          <cell r="E649">
            <v>12557.5</v>
          </cell>
          <cell r="F649">
            <v>29116.986250000005</v>
          </cell>
          <cell r="G649">
            <v>41674.486250000002</v>
          </cell>
        </row>
        <row r="650">
          <cell r="A650" t="str">
            <v xml:space="preserve"> 26.</v>
          </cell>
          <cell r="B650" t="str">
            <v xml:space="preserve"> Dinding porselin 11/11 cm</v>
          </cell>
          <cell r="D650" t="str">
            <v>1 M2</v>
          </cell>
          <cell r="E650">
            <v>36057.5</v>
          </cell>
          <cell r="F650">
            <v>29116.986250000005</v>
          </cell>
          <cell r="G650">
            <v>65174.486250000002</v>
          </cell>
        </row>
        <row r="651">
          <cell r="A651" t="str">
            <v xml:space="preserve"> 27.</v>
          </cell>
          <cell r="B651" t="str">
            <v xml:space="preserve"> Dinding keramik 20/20 cm</v>
          </cell>
          <cell r="D651" t="str">
            <v>1 M2</v>
          </cell>
          <cell r="E651">
            <v>39557.5</v>
          </cell>
          <cell r="F651">
            <v>29116.986250000005</v>
          </cell>
          <cell r="G651">
            <v>68674.486250000002</v>
          </cell>
        </row>
        <row r="652">
          <cell r="A652" t="str">
            <v xml:space="preserve"> 28.</v>
          </cell>
          <cell r="B652" t="str">
            <v xml:space="preserve"> Beton K. 125</v>
          </cell>
          <cell r="D652" t="str">
            <v>1 M3</v>
          </cell>
          <cell r="E652">
            <v>306395</v>
          </cell>
          <cell r="F652">
            <v>118714.91500000002</v>
          </cell>
          <cell r="G652">
            <v>425109.91500000004</v>
          </cell>
        </row>
        <row r="653">
          <cell r="A653" t="str">
            <v xml:space="preserve"> 29.</v>
          </cell>
          <cell r="B653" t="str">
            <v xml:space="preserve"> Beton K. 175</v>
          </cell>
          <cell r="D653" t="str">
            <v>1 M3</v>
          </cell>
          <cell r="E653">
            <v>324786.5</v>
          </cell>
          <cell r="F653">
            <v>118714.91500000002</v>
          </cell>
          <cell r="G653">
            <v>443501.41500000004</v>
          </cell>
        </row>
        <row r="654">
          <cell r="A654" t="str">
            <v xml:space="preserve"> 30.</v>
          </cell>
          <cell r="B654" t="str">
            <v xml:space="preserve"> Besi beton U-24</v>
          </cell>
          <cell r="D654" t="str">
            <v>1 Kg</v>
          </cell>
          <cell r="E654">
            <v>3320.0000000000005</v>
          </cell>
          <cell r="F654">
            <v>919.21499999999992</v>
          </cell>
          <cell r="G654">
            <v>4239.2150000000001</v>
          </cell>
        </row>
        <row r="655">
          <cell r="A655" t="str">
            <v xml:space="preserve"> 31.</v>
          </cell>
          <cell r="B655" t="str">
            <v xml:space="preserve"> Bekisting kayu</v>
          </cell>
          <cell r="D655" t="str">
            <v>1 M2</v>
          </cell>
          <cell r="E655">
            <v>49800</v>
          </cell>
          <cell r="F655">
            <v>9995.612000000001</v>
          </cell>
          <cell r="G655">
            <v>47836.489600000001</v>
          </cell>
        </row>
        <row r="656">
          <cell r="A656" t="str">
            <v xml:space="preserve"> 32.</v>
          </cell>
          <cell r="B656" t="str">
            <v xml:space="preserve"> Steger bekisting</v>
          </cell>
          <cell r="D656" t="str">
            <v>1 M2</v>
          </cell>
          <cell r="E656">
            <v>53460</v>
          </cell>
          <cell r="F656">
            <v>5997.3672000000006</v>
          </cell>
          <cell r="G656">
            <v>11891.473440000002</v>
          </cell>
        </row>
        <row r="657">
          <cell r="A657" t="str">
            <v xml:space="preserve"> 33.</v>
          </cell>
          <cell r="B657" t="str">
            <v xml:space="preserve"> Kosen kayu Borneo</v>
          </cell>
          <cell r="D657" t="str">
            <v>1 M3</v>
          </cell>
          <cell r="E657">
            <v>1092000</v>
          </cell>
          <cell r="F657">
            <v>981888.75</v>
          </cell>
          <cell r="G657">
            <v>2073888.75</v>
          </cell>
        </row>
        <row r="658">
          <cell r="A658" t="str">
            <v xml:space="preserve"> 34.</v>
          </cell>
          <cell r="B658" t="str">
            <v xml:space="preserve"> Kosen kayu Kamper</v>
          </cell>
          <cell r="D658" t="str">
            <v>1 M3</v>
          </cell>
          <cell r="E658">
            <v>3402000.0000000005</v>
          </cell>
          <cell r="F658">
            <v>1080077.6250000002</v>
          </cell>
          <cell r="G658">
            <v>4482077.6250000009</v>
          </cell>
        </row>
        <row r="659">
          <cell r="A659" t="str">
            <v xml:space="preserve"> 35.</v>
          </cell>
          <cell r="B659" t="str">
            <v xml:space="preserve"> Pintu jalusi kayu Borneo</v>
          </cell>
          <cell r="D659" t="str">
            <v>1 M2</v>
          </cell>
          <cell r="E659">
            <v>49725</v>
          </cell>
          <cell r="F659">
            <v>120008.62499999999</v>
          </cell>
          <cell r="G659">
            <v>169733.625</v>
          </cell>
        </row>
        <row r="660">
          <cell r="A660" t="str">
            <v xml:space="preserve"> 36.</v>
          </cell>
          <cell r="B660" t="str">
            <v xml:space="preserve"> Pintu jalusi kayu Kamper</v>
          </cell>
          <cell r="D660" t="str">
            <v>1 M2</v>
          </cell>
          <cell r="E660">
            <v>143000</v>
          </cell>
          <cell r="F660">
            <v>120008.62499999999</v>
          </cell>
          <cell r="G660">
            <v>263008.625</v>
          </cell>
        </row>
        <row r="661">
          <cell r="A661" t="str">
            <v xml:space="preserve"> 37.</v>
          </cell>
          <cell r="B661" t="str">
            <v xml:space="preserve"> Pintu double teakwood rangka Kamper</v>
          </cell>
          <cell r="D661" t="str">
            <v>1 M2</v>
          </cell>
          <cell r="E661">
            <v>154350</v>
          </cell>
          <cell r="F661">
            <v>104734.8</v>
          </cell>
          <cell r="G661">
            <v>259084.79999999999</v>
          </cell>
        </row>
        <row r="662">
          <cell r="A662" t="str">
            <v xml:space="preserve"> 38.</v>
          </cell>
          <cell r="B662" t="str">
            <v xml:space="preserve"> Pintu double teakwood rangka Borneo</v>
          </cell>
          <cell r="D662" t="str">
            <v>1 M2</v>
          </cell>
          <cell r="E662">
            <v>108850</v>
          </cell>
          <cell r="F662">
            <v>104734.8</v>
          </cell>
          <cell r="G662">
            <v>213584.8</v>
          </cell>
        </row>
        <row r="663">
          <cell r="A663" t="str">
            <v xml:space="preserve"> 39.</v>
          </cell>
          <cell r="B663" t="str">
            <v xml:space="preserve"> Pintu kaca rangka Kamper</v>
          </cell>
          <cell r="D663" t="str">
            <v>1 M2</v>
          </cell>
          <cell r="E663">
            <v>85150</v>
          </cell>
          <cell r="F663">
            <v>120008.62499999999</v>
          </cell>
          <cell r="G663">
            <v>205158.625</v>
          </cell>
        </row>
        <row r="664">
          <cell r="A664" t="str">
            <v xml:space="preserve"> 40.</v>
          </cell>
          <cell r="B664" t="str">
            <v xml:space="preserve"> Jendela kaca rangka Kamper</v>
          </cell>
          <cell r="D664" t="str">
            <v>1 M2</v>
          </cell>
          <cell r="E664">
            <v>69875</v>
          </cell>
          <cell r="F664">
            <v>120008.62499999999</v>
          </cell>
          <cell r="G664">
            <v>189883.625</v>
          </cell>
        </row>
        <row r="665">
          <cell r="A665" t="str">
            <v xml:space="preserve"> 41.</v>
          </cell>
          <cell r="B665" t="str">
            <v xml:space="preserve"> Pintu panel kayu Kamper</v>
          </cell>
          <cell r="D665" t="str">
            <v>1 M2</v>
          </cell>
          <cell r="E665">
            <v>150800</v>
          </cell>
          <cell r="F665">
            <v>120008.62499999999</v>
          </cell>
          <cell r="G665">
            <v>270808.625</v>
          </cell>
        </row>
        <row r="666">
          <cell r="A666" t="str">
            <v xml:space="preserve"> 42.</v>
          </cell>
          <cell r="B666" t="str">
            <v xml:space="preserve"> Jendela panel kayu Kamper</v>
          </cell>
          <cell r="D666" t="str">
            <v>1 M2</v>
          </cell>
          <cell r="E666">
            <v>160875</v>
          </cell>
          <cell r="F666">
            <v>120008.62499999999</v>
          </cell>
          <cell r="G666">
            <v>280883.625</v>
          </cell>
        </row>
        <row r="667">
          <cell r="A667" t="str">
            <v xml:space="preserve"> 43.</v>
          </cell>
          <cell r="B667" t="str">
            <v xml:space="preserve"> Pintu teakwood/formica rangka Kamper</v>
          </cell>
          <cell r="D667" t="str">
            <v>1 M2</v>
          </cell>
          <cell r="E667">
            <v>194262.5</v>
          </cell>
          <cell r="F667">
            <v>96006.9</v>
          </cell>
          <cell r="G667">
            <v>290269.40000000002</v>
          </cell>
        </row>
        <row r="668">
          <cell r="A668" t="str">
            <v xml:space="preserve"> 44.</v>
          </cell>
          <cell r="B668" t="str">
            <v xml:space="preserve"> Pintu double formica rangka Kamper</v>
          </cell>
          <cell r="D668" t="str">
            <v>1 M2</v>
          </cell>
          <cell r="E668">
            <v>234175</v>
          </cell>
          <cell r="F668">
            <v>96006.9</v>
          </cell>
          <cell r="G668">
            <v>330181.90000000002</v>
          </cell>
        </row>
        <row r="669">
          <cell r="A669" t="str">
            <v xml:space="preserve"> 45.</v>
          </cell>
          <cell r="B669" t="str">
            <v xml:space="preserve"> Pintu double triplex rangka Kamper</v>
          </cell>
          <cell r="D669" t="str">
            <v>1 M2</v>
          </cell>
          <cell r="E669">
            <v>125775</v>
          </cell>
          <cell r="F669">
            <v>96006.9</v>
          </cell>
          <cell r="G669">
            <v>221781.9</v>
          </cell>
        </row>
        <row r="670">
          <cell r="A670" t="str">
            <v xml:space="preserve"> 46.</v>
          </cell>
          <cell r="B670" t="str">
            <v xml:space="preserve"> Jalusi kayu Kamper 2 cm</v>
          </cell>
          <cell r="D670" t="str">
            <v>1 M2</v>
          </cell>
          <cell r="E670">
            <v>72400</v>
          </cell>
          <cell r="F670">
            <v>41730.271874999999</v>
          </cell>
          <cell r="G670">
            <v>114130.27187500001</v>
          </cell>
        </row>
        <row r="671">
          <cell r="A671" t="str">
            <v xml:space="preserve"> 47.</v>
          </cell>
          <cell r="B671" t="str">
            <v xml:space="preserve"> Kuda-kuda kayu Kamper</v>
          </cell>
          <cell r="D671" t="str">
            <v>1 M3</v>
          </cell>
          <cell r="E671">
            <v>3348000.0000000005</v>
          </cell>
          <cell r="F671">
            <v>612043.98749999993</v>
          </cell>
          <cell r="G671">
            <v>3960043.9875000003</v>
          </cell>
        </row>
        <row r="672">
          <cell r="A672" t="str">
            <v xml:space="preserve"> 48.</v>
          </cell>
          <cell r="B672" t="str">
            <v xml:space="preserve"> Kuda-kuda kayu Borneo</v>
          </cell>
          <cell r="D672" t="str">
            <v>1 M3</v>
          </cell>
          <cell r="E672">
            <v>1038000.0000000001</v>
          </cell>
          <cell r="F672">
            <v>556403.625</v>
          </cell>
          <cell r="G672">
            <v>1594403.625</v>
          </cell>
        </row>
        <row r="673">
          <cell r="A673" t="str">
            <v xml:space="preserve"> 49.</v>
          </cell>
          <cell r="B673" t="str">
            <v xml:space="preserve"> Rangka atap Kamper (genteng keramik)</v>
          </cell>
          <cell r="D673" t="str">
            <v>1 M2</v>
          </cell>
          <cell r="E673">
            <v>40800</v>
          </cell>
          <cell r="F673">
            <v>6774.9550000000008</v>
          </cell>
          <cell r="G673">
            <v>47574.955000000002</v>
          </cell>
        </row>
        <row r="674">
          <cell r="A674" t="str">
            <v xml:space="preserve"> 50.</v>
          </cell>
          <cell r="B674" t="str">
            <v xml:space="preserve"> Rangka atap Borneo (genteng keramik)</v>
          </cell>
          <cell r="D674" t="str">
            <v>1 M2</v>
          </cell>
          <cell r="E674">
            <v>13290</v>
          </cell>
          <cell r="F674">
            <v>6774.9550000000008</v>
          </cell>
          <cell r="G674">
            <v>20064.955000000002</v>
          </cell>
        </row>
        <row r="675">
          <cell r="A675" t="str">
            <v xml:space="preserve"> 51.</v>
          </cell>
          <cell r="B675" t="str">
            <v xml:space="preserve"> Rangka atap Kamper (genteng beton)</v>
          </cell>
          <cell r="D675" t="str">
            <v>1 M2</v>
          </cell>
          <cell r="E675">
            <v>44700.000000000007</v>
          </cell>
          <cell r="F675">
            <v>6774.9550000000008</v>
          </cell>
          <cell r="G675">
            <v>51474.955000000009</v>
          </cell>
        </row>
        <row r="676">
          <cell r="A676" t="str">
            <v xml:space="preserve"> 52.</v>
          </cell>
          <cell r="B676" t="str">
            <v xml:space="preserve"> Rangka atap Borneo (genteng beton)</v>
          </cell>
          <cell r="D676" t="str">
            <v>1 M2</v>
          </cell>
          <cell r="E676">
            <v>14460.000000000002</v>
          </cell>
          <cell r="F676">
            <v>6774.9550000000008</v>
          </cell>
          <cell r="G676">
            <v>21234.955000000002</v>
          </cell>
        </row>
        <row r="677">
          <cell r="A677" t="str">
            <v xml:space="preserve"> 53.</v>
          </cell>
          <cell r="B677" t="str">
            <v xml:space="preserve"> Atap genteng keramik</v>
          </cell>
          <cell r="D677" t="str">
            <v>1 M2</v>
          </cell>
          <cell r="E677">
            <v>65000</v>
          </cell>
          <cell r="F677">
            <v>8464.4381250000006</v>
          </cell>
          <cell r="G677">
            <v>73464.438125000001</v>
          </cell>
        </row>
        <row r="678">
          <cell r="A678" t="str">
            <v xml:space="preserve"> 54.</v>
          </cell>
          <cell r="B678" t="str">
            <v xml:space="preserve"> Atap genteng beton</v>
          </cell>
          <cell r="D678" t="str">
            <v>1 M2</v>
          </cell>
          <cell r="E678">
            <v>30000</v>
          </cell>
          <cell r="F678">
            <v>8464.4381250000006</v>
          </cell>
          <cell r="G678">
            <v>38464.438125000001</v>
          </cell>
        </row>
        <row r="679">
          <cell r="A679" t="str">
            <v xml:space="preserve"> 55.</v>
          </cell>
          <cell r="B679" t="str">
            <v xml:space="preserve"> Bubungan genteng keramik</v>
          </cell>
          <cell r="D679" t="str">
            <v>1 M'</v>
          </cell>
          <cell r="E679">
            <v>39800</v>
          </cell>
          <cell r="F679">
            <v>15933.060000000001</v>
          </cell>
          <cell r="G679">
            <v>55733.06</v>
          </cell>
        </row>
        <row r="680">
          <cell r="A680" t="str">
            <v xml:space="preserve"> 56.</v>
          </cell>
          <cell r="B680" t="str">
            <v xml:space="preserve"> Bubungan genteng beton</v>
          </cell>
          <cell r="D680" t="str">
            <v>1 M'</v>
          </cell>
          <cell r="E680">
            <v>14050</v>
          </cell>
          <cell r="F680">
            <v>15933.060000000001</v>
          </cell>
          <cell r="G680">
            <v>29983.06</v>
          </cell>
        </row>
        <row r="681">
          <cell r="A681" t="str">
            <v xml:space="preserve"> 57.</v>
          </cell>
          <cell r="B681" t="str">
            <v xml:space="preserve"> Talang keliling/jurai</v>
          </cell>
          <cell r="D681" t="str">
            <v>1 M'</v>
          </cell>
          <cell r="E681">
            <v>28287.500000000004</v>
          </cell>
          <cell r="F681">
            <v>9226.1950000000015</v>
          </cell>
          <cell r="G681">
            <v>37513.695000000007</v>
          </cell>
        </row>
        <row r="682">
          <cell r="A682" t="str">
            <v xml:space="preserve"> 58.</v>
          </cell>
          <cell r="B682" t="str">
            <v xml:space="preserve"> Plafond asbes semen 1/1 tebal 4 mm</v>
          </cell>
          <cell r="D682" t="str">
            <v>1 M2</v>
          </cell>
          <cell r="E682">
            <v>26570</v>
          </cell>
          <cell r="F682">
            <v>17281.242000000002</v>
          </cell>
          <cell r="G682">
            <v>43851.241999999998</v>
          </cell>
        </row>
        <row r="683">
          <cell r="A683" t="str">
            <v xml:space="preserve"> 59.</v>
          </cell>
          <cell r="B683" t="str">
            <v xml:space="preserve"> Plafond plywood 60/120 tebal 4 mm</v>
          </cell>
          <cell r="D683" t="str">
            <v>1 M2</v>
          </cell>
          <cell r="E683">
            <v>18210.000000000004</v>
          </cell>
          <cell r="F683">
            <v>19201.380000000005</v>
          </cell>
          <cell r="G683">
            <v>37411.380000000005</v>
          </cell>
        </row>
        <row r="684">
          <cell r="A684" t="str">
            <v xml:space="preserve"> 60.</v>
          </cell>
          <cell r="B684" t="str">
            <v xml:space="preserve"> Lisplank kayu Kamper 3/30 cm</v>
          </cell>
          <cell r="D684" t="str">
            <v>1 M'</v>
          </cell>
          <cell r="E684">
            <v>32265.000000000004</v>
          </cell>
          <cell r="F684">
            <v>12000.862499999999</v>
          </cell>
          <cell r="G684">
            <v>44265.862500000003</v>
          </cell>
        </row>
        <row r="685">
          <cell r="A685" t="str">
            <v xml:space="preserve"> 61.</v>
          </cell>
          <cell r="B685" t="str">
            <v xml:space="preserve"> Cat dinding (Vinilex)</v>
          </cell>
          <cell r="D685" t="str">
            <v>1 M2</v>
          </cell>
          <cell r="E685">
            <v>5258.75</v>
          </cell>
          <cell r="F685">
            <v>3911.8865624999999</v>
          </cell>
          <cell r="G685">
            <v>9170.6365624999999</v>
          </cell>
        </row>
        <row r="686">
          <cell r="A686" t="str">
            <v xml:space="preserve"> 62.</v>
          </cell>
          <cell r="B686" t="str">
            <v xml:space="preserve"> Cat kayu (Glotex)</v>
          </cell>
          <cell r="D686" t="str">
            <v>1 M2</v>
          </cell>
          <cell r="E686">
            <v>8925</v>
          </cell>
          <cell r="F686">
            <v>6147.2503125000012</v>
          </cell>
          <cell r="G686">
            <v>15072.2503125</v>
          </cell>
        </row>
        <row r="689">
          <cell r="C689" t="str">
            <v>J  U  M  L  A  H</v>
          </cell>
          <cell r="E689">
            <v>13068408.75</v>
          </cell>
          <cell r="F689">
            <v>5423804.3585333331</v>
          </cell>
          <cell r="G689">
            <v>18492213.108533334</v>
          </cell>
        </row>
        <row r="691">
          <cell r="E691">
            <v>70.669793135628041</v>
          </cell>
          <cell r="F691">
            <v>29.330206864371949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Balok"/>
      <sheetName val="Detail Balok"/>
      <sheetName val="Data Panjang Balok"/>
      <sheetName val="Besi Balok"/>
      <sheetName val="Balok Pakuwon Indah ABD-7"/>
    </sheetNames>
    <definedNames>
      <definedName name="_A___0"/>
      <definedName name="aber2___5"/>
      <definedName name="abfv80___2"/>
    </definedNames>
    <sheetDataSet>
      <sheetData sheetId="0">
        <row r="383">
          <cell r="G383">
            <v>3.2625000000000002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Balok"/>
      <sheetName val="Detail Balok"/>
      <sheetName val="Data Panjang Balok"/>
      <sheetName val="Besi Balok"/>
      <sheetName val="Balok Pakuwon Indah ABD-7"/>
    </sheetNames>
    <definedNames>
      <definedName name="_A___0"/>
      <definedName name="aber2___5"/>
      <definedName name="abfv80___2"/>
    </definedNames>
    <sheetDataSet>
      <sheetData sheetId="0">
        <row r="383">
          <cell r="G383">
            <v>3.2625000000000002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.BAHAN"/>
      <sheetName val="ANLS-struktur&amp;ars"/>
      <sheetName val="backup data"/>
      <sheetName val="Evaluasi"/>
      <sheetName val="S.UPAH"/>
      <sheetName val="bau"/>
      <sheetName val="GAJI"/>
      <sheetName val="REKAP"/>
      <sheetName val="BAHAN"/>
      <sheetName val="UPAH"/>
      <sheetName val="S_BAHAN"/>
      <sheetName val="S_UPAH"/>
      <sheetName val="PKK"/>
      <sheetName val="PileCap"/>
      <sheetName val="harsat"/>
      <sheetName val="ARTAGDING"/>
      <sheetName val="MANHATTAN"/>
      <sheetName val="SENTUL"/>
      <sheetName val="BKPM"/>
      <sheetName val="Analisa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nd total"/>
      <sheetName val="Analisa"/>
      <sheetName val="scafolding"/>
      <sheetName val="pre_sum"/>
      <sheetName val="person "/>
      <sheetName val="equipment"/>
      <sheetName val="Rekap"/>
      <sheetName val="BQ"/>
      <sheetName val="shortkey"/>
      <sheetName val="analisa struktur"/>
      <sheetName val="analisa ars"/>
      <sheetName val="Sheet1"/>
      <sheetName val="prelim"/>
      <sheetName val="pre-person"/>
      <sheetName val="pre-equipment"/>
      <sheetName val="rab - persiapan &amp; lantai-1"/>
      <sheetName val="Bill rekap"/>
      <sheetName val="escon"/>
      <sheetName val="TE TS FA LAN MATV"/>
      <sheetName val="Out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Bul"/>
      <sheetName val="Alat"/>
      <sheetName val="SumBoQ C4"/>
      <sheetName val="BoQ C4"/>
      <sheetName val="DayWorks"/>
      <sheetName val="Analisa"/>
      <sheetName val="mat.dominan"/>
      <sheetName val="Resiko"/>
      <sheetName val="Markup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DAF_2"/>
      <sheetName val="REKAP"/>
      <sheetName val="TOWN"/>
      <sheetName val="3.1"/>
      <sheetName val="ADDENDUM"/>
      <sheetName val="BQ ARS"/>
      <sheetName val="Rek-SA"/>
      <sheetName val="BQ"/>
      <sheetName val="Cover"/>
      <sheetName val="Fill this out first___"/>
      <sheetName val="Rekap Direct Cost"/>
      <sheetName val="Sheet1"/>
      <sheetName val="Markup"/>
      <sheetName val="MHR-ANLIS"/>
      <sheetName val="Rkp"/>
      <sheetName val="ALAT"/>
      <sheetName val="Fill this out first..."/>
      <sheetName val="Harsat_marina"/>
      <sheetName val="A"/>
      <sheetName val="Harga Satuan"/>
      <sheetName val="labor1"/>
      <sheetName val="Analisa Kayu"/>
      <sheetName val="HARSAT"/>
      <sheetName val="Bill of Qty"/>
      <sheetName val="Hit Vol_Sk"/>
      <sheetName val="Pag_hal"/>
      <sheetName val="Analisa"/>
      <sheetName val="harga"/>
      <sheetName val="Mall"/>
      <sheetName val="BQ All-2"/>
      <sheetName val="rINCIAN"/>
      <sheetName val="SNI-17-3-09"/>
      <sheetName val="work break down rev1"/>
      <sheetName val="H.Satuan"/>
      <sheetName val="SDM"/>
      <sheetName val="ana_str"/>
      <sheetName val="Upah"/>
      <sheetName val="Tataudara"/>
      <sheetName val="BAHAN"/>
      <sheetName val="RAB &amp; RCO OWNER VERS."/>
      <sheetName val="실행철강하도"/>
      <sheetName val="I-KAMAR"/>
      <sheetName val="baladewa"/>
      <sheetName val="Harga bahan &amp; upah"/>
      <sheetName val="Anls_BK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_rate"/>
      <sheetName val="analisys"/>
      <sheetName val="Form 2A"/>
      <sheetName val="Preparatory"/>
      <sheetName val="CCB"/>
      <sheetName val="SS1"/>
      <sheetName val="Form 3A"/>
      <sheetName val="Form 3B"/>
      <sheetName val="Form 2B CBD"/>
      <sheetName val="sshvac2"/>
      <sheetName val="ssplumb1"/>
      <sheetName val="ml_indoor light"/>
      <sheetName val="Form 2B CCB"/>
      <sheetName val="Form 2B SS#1"/>
      <sheetName val="dash"/>
      <sheetName val="DAF-2"/>
      <sheetName val="BQ"/>
      <sheetName val="Fill this out first___"/>
      <sheetName val="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"/>
      <sheetName val="Dashboard"/>
      <sheetName val="Prelim"/>
      <sheetName val="Ratio"/>
      <sheetName val="BQ"/>
      <sheetName val="Add"/>
      <sheetName val="Hargamat"/>
      <sheetName val="Harsat"/>
      <sheetName val="Analisa"/>
      <sheetName val="Ana Sanitair"/>
      <sheetName val="Harga Material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"/>
      <sheetName val="RK SEMUA"/>
      <sheetName val="PERSI"/>
      <sheetName val="RK PERSI"/>
      <sheetName val="GDAlt1"/>
      <sheetName val="GDAlt2"/>
      <sheetName val="RK GDA"/>
      <sheetName val="GDlt1 B"/>
      <sheetName val="GDBlt2"/>
      <sheetName val="RK GDB"/>
      <sheetName val="RAM KM"/>
      <sheetName val="RK RAM KM"/>
      <sheetName val="KT.PENGlt1"/>
      <sheetName val="KT.PENGlt2"/>
      <sheetName val="KT.PENGlt3"/>
      <sheetName val="RK KT.PENG"/>
      <sheetName val="RK PRASARANA"/>
      <sheetName val="SAL"/>
      <sheetName val="LAND"/>
      <sheetName val="RK.LISTRIK"/>
      <sheetName val="LISTRIK"/>
      <sheetName val="bhn"/>
    </sheetNames>
    <sheetDataSet>
      <sheetData sheetId="0"/>
      <sheetData sheetId="1"/>
      <sheetData sheetId="2" refreshError="1">
        <row r="12">
          <cell r="H12">
            <v>39000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Persiapan dan Penunjang"/>
      <sheetName val="BQ.TOFF.1"/>
      <sheetName val="MAT PRICE.1"/>
      <sheetName val="Price Diesel Generator"/>
      <sheetName val="Price Pengujian dan Comms"/>
      <sheetName val="Price Pemeliharaan"/>
      <sheetName val="Price Biaya Cadangan"/>
      <sheetName val="Price Rekapitulasi Akhir"/>
      <sheetName val="BQ.Pers Pen"/>
      <sheetName val="BQ.Diesel Generator"/>
      <sheetName val="BQ.Pengujian dan Comms"/>
      <sheetName val="BQ.Pemeliharaan"/>
      <sheetName val="BQ.Biaya Cadangan"/>
      <sheetName val="BQ.Rekapitulasi Akhir"/>
      <sheetName val="HARSAT"/>
      <sheetName val="Diesel genset"/>
      <sheetName val="Rekap Direct Cost"/>
      <sheetName val="REKAPMEK"/>
      <sheetName val="RABMEK"/>
      <sheetName val="Cover Daf-2"/>
      <sheetName val="Cover Daf_2"/>
      <sheetName val="ALAT"/>
      <sheetName val="ANALISA TENDER"/>
      <sheetName val="Plumbing"/>
      <sheetName val="BQ.Rekapitulasi  Akhir"/>
      <sheetName val="ANALISA PEK.UMU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"/>
      <sheetName val="ANALISA TENDER"/>
      <sheetName val="Spek"/>
      <sheetName val="upah"/>
      <sheetName val="DAF-2"/>
      <sheetName val="Harga Satuan Material"/>
      <sheetName val="TOWN"/>
      <sheetName val="Price Biaya Cadangan"/>
      <sheetName val="BQ.Rekapitulasi  Akhir"/>
      <sheetName val="DAF_2"/>
      <sheetName val="Sheet1"/>
      <sheetName val="Volume"/>
      <sheetName val="AC"/>
      <sheetName val="Supl.X"/>
      <sheetName val="Unit Rate"/>
      <sheetName val="SUMBER DAYA"/>
      <sheetName val="HARSAT"/>
      <sheetName val="HSBHN"/>
      <sheetName val="DAF_1"/>
      <sheetName val="analisa rev"/>
      <sheetName val="D2.2"/>
      <sheetName val="Analisa"/>
      <sheetName val="#REF!"/>
    </sheetNames>
    <sheetDataSet>
      <sheetData sheetId="0">
        <row r="9">
          <cell r="J9">
            <v>0</v>
          </cell>
        </row>
      </sheetData>
      <sheetData sheetId="1">
        <row r="9">
          <cell r="J9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Rekap Biaya"/>
      <sheetName val="Daftar Subkon"/>
      <sheetName val="Price Biaya Cadangan"/>
      <sheetName val="BQ.Rekapitulasi  Akhir"/>
      <sheetName val="Analisa 2"/>
      <sheetName val="Rekap"/>
      <sheetName val="A"/>
      <sheetName val="Koefisien"/>
      <sheetName val="A(Rev.3)"/>
      <sheetName val="Tataudara"/>
      <sheetName val="AHSbj"/>
      <sheetName val="DAF-1"/>
      <sheetName val="Supl.X"/>
      <sheetName val="8LT 12"/>
      <sheetName val="SBDY"/>
      <sheetName val="DAPRO"/>
      <sheetName val="ANA-C"/>
      <sheetName val="Cover Daf-2"/>
      <sheetName val="D4"/>
      <sheetName val="D6"/>
      <sheetName val="D7"/>
      <sheetName val="D8"/>
      <sheetName val="ANALISA"/>
      <sheetName val="Agregat Halus &amp; Kasar"/>
      <sheetName val="ANALISA TENDER"/>
      <sheetName val="HARGA MATERIAL"/>
      <sheetName val="MEK"/>
      <sheetName val="Daftar Harga"/>
      <sheetName val="ALAT"/>
      <sheetName val="BQ ARS"/>
      <sheetName val="HarSat"/>
      <sheetName val="Mall"/>
      <sheetName val="Rekap Direct Cost"/>
      <sheetName val="AC"/>
      <sheetName val="Sumber Daya"/>
      <sheetName val="Rate"/>
      <sheetName val="Form-3.3"/>
      <sheetName val="CIVIL_1"/>
      <sheetName val="LS_Rutin"/>
      <sheetName val="BOQ KSN"/>
      <sheetName val="Daftar Upah"/>
      <sheetName val="Concrete"/>
      <sheetName val="Sales"/>
      <sheetName val="Cover"/>
      <sheetName val="BQ-1A"/>
      <sheetName val="DESBT"/>
      <sheetName val="A-12"/>
      <sheetName val="플랜트 설치"/>
      <sheetName val="DC HOT MIX2"/>
      <sheetName val="BQ-Str"/>
      <sheetName val="Faktor"/>
      <sheetName val="Rekap-Bdg"/>
      <sheetName val="ANALISA PEK.UMUM"/>
      <sheetName val="harga"/>
      <sheetName val="ENG-101"/>
      <sheetName val="Man Power"/>
      <sheetName val="Fins_Beng_Fas"/>
      <sheetName val="Fins-Beng&amp;Fas"/>
      <sheetName val="Pag_hal_pos"/>
      <sheetName val="TOWN"/>
      <sheetName val="PAD_F"/>
      <sheetName val="000000"/>
      <sheetName val="Input Data"/>
      <sheetName val="RAB"/>
      <sheetName val="beton"/>
      <sheetName val="Embong-Malang"/>
      <sheetName val="BQ_Rekapitulasi  Akhir"/>
      <sheetName val="HRG BHN"/>
      <sheetName val="SUB TOTAL___"/>
      <sheetName val="Rkp"/>
      <sheetName val="112-885"/>
      <sheetName val="lokasari_el"/>
      <sheetName val="RFP003D"/>
      <sheetName val="BQ PL "/>
      <sheetName val="MAP"/>
      <sheetName val="Weight Bridge"/>
      <sheetName val="ALOKASI"/>
      <sheetName val="RINCIAN SD."/>
      <sheetName val="Plumbing"/>
      <sheetName val="BQ"/>
      <sheetName val="Harga Satuan"/>
      <sheetName val="Kuantitas &amp; Harga"/>
      <sheetName val="rekap ahs"/>
      <sheetName val="rekap-bialat"/>
      <sheetName val="SEX"/>
      <sheetName val="BQ.Rekapitulasi Akhir"/>
      <sheetName val="RKP-BOQ"/>
      <sheetName val="Data"/>
      <sheetName val="WF"/>
      <sheetName val="D-3"/>
      <sheetName val="INDIR"/>
      <sheetName val="Sub"/>
      <sheetName val="RAP"/>
      <sheetName val="H.DASAR"/>
      <sheetName val="PO-2"/>
      <sheetName val="rekap2"/>
      <sheetName val="Cover Daf_2"/>
      <sheetName val="BOQ "/>
      <sheetName val="Kantor_Str_Ars_Tmbh"/>
      <sheetName val="boq"/>
      <sheetName val="Material"/>
      <sheetName val="Upah"/>
      <sheetName val="TABEL"/>
      <sheetName val="STR"/>
      <sheetName val="Harsat Bahan"/>
      <sheetName val="Estimate"/>
      <sheetName val="ELEMENT SUM"/>
      <sheetName val="DW"/>
      <sheetName val="Rkap Bya"/>
      <sheetName val="RAB.SEKRETARIAT (1)"/>
      <sheetName val="STR(CANCEL)"/>
      <sheetName val="CABLE BULK"/>
      <sheetName val="#REF"/>
      <sheetName val="TOEC"/>
      <sheetName val="Summary"/>
      <sheetName val="S_Suramadu"/>
      <sheetName val="index"/>
      <sheetName val="Fill this out first___"/>
      <sheetName val="Basic P"/>
      <sheetName val="AC-2"/>
      <sheetName val="H_Satuan_(2)"/>
      <sheetName val="H_Satuan1"/>
      <sheetName val="cold_mill"/>
      <sheetName val="Analisa_2"/>
      <sheetName val="BHN"/>
      <sheetName val="rekap index eskalasi"/>
      <sheetName val="tbl-ska"/>
      <sheetName val="AN-E"/>
      <sheetName val="perbandingan"/>
      <sheetName val="RKP-2"/>
      <sheetName val="Daft upah, bahan &amp;alat"/>
      <sheetName val="Harga S Dasar"/>
      <sheetName val="Rekap_Biaya"/>
      <sheetName val="RANGKUM"/>
      <sheetName val="REF.ONLY"/>
      <sheetName val="TE TS FA LAN MATV"/>
      <sheetName val="PAD-F"/>
      <sheetName val="Analisa ARS"/>
      <sheetName val="Galian batu"/>
      <sheetName val="??? ??"/>
      <sheetName val="An.PLB"/>
      <sheetName val="PROGRESS"/>
      <sheetName val="Upah_Bahan"/>
      <sheetName val="gvl"/>
      <sheetName val="AUG02"/>
      <sheetName val="EE-PROP"/>
      <sheetName val="Price Persiapan dan Penunjang"/>
      <sheetName val="Vol. Mat SC"/>
      <sheetName val="Page 1"/>
      <sheetName val="Daftar_Subkon"/>
      <sheetName val="str-Rab"/>
      <sheetName val="A-ars"/>
      <sheetName val=" SAT PL"/>
      <sheetName val="Price_Biaya_Cadangan"/>
      <sheetName val="BQ_Rekapitulasi__Akhir"/>
      <sheetName val="Cover_Daf-2"/>
      <sheetName val="8LT_12"/>
      <sheetName val="SCH"/>
      <sheetName val="Grand Sum BT"/>
      <sheetName val="DP"/>
      <sheetName val="UPAHBAHAN"/>
      <sheetName val="Rekap DKH"/>
      <sheetName val="SPH"/>
      <sheetName val="Conn. Lib"/>
      <sheetName val="TOTAL"/>
      <sheetName val="COA"/>
      <sheetName val="UNIT PRICE"/>
      <sheetName val="subkon"/>
      <sheetName val="Sheet1"/>
      <sheetName val="DAFTAR 7"/>
      <sheetName val="DAFTAR_8"/>
      <sheetName val="DAF_1"/>
      <sheetName val="PROD-MAT"/>
      <sheetName val="Sat Bah _ Up"/>
      <sheetName val="REQDELTA"/>
      <sheetName val="Upah&amp;Bahan"/>
      <sheetName val="bahan "/>
      <sheetName val="prog-mgu"/>
      <sheetName val="rincian per proyek"/>
      <sheetName val="AKP-01"/>
      <sheetName val="DAF-2"/>
      <sheetName val="Daft 2.1"/>
      <sheetName val="MUA"/>
      <sheetName val="Markup"/>
      <sheetName val="Sumda1"/>
      <sheetName val="Indirect"/>
      <sheetName val="Text"/>
      <sheetName val="mA THP III"/>
      <sheetName val="BASIC PRICE "/>
      <sheetName val="UPAL"/>
      <sheetName val="為替レ－ト "/>
      <sheetName val="Hrg"/>
      <sheetName val="Sheet2"/>
      <sheetName val="URAIAN"/>
      <sheetName val="LS-Rutin"/>
      <sheetName val="INPUT"/>
      <sheetName val="B Q 2007"/>
      <sheetName val="NP"/>
      <sheetName val="견적기준"/>
      <sheetName val="Hargamat"/>
      <sheetName val="SAT-DAS"/>
      <sheetName val="Combinned &amp; Grafic HB"/>
      <sheetName val="VOL"/>
      <sheetName val="Rekap Sal"/>
      <sheetName val="HARGA_MATERIAL"/>
      <sheetName val="BQ_ARS"/>
      <sheetName val="A(Rev_3)"/>
      <sheetName val="Agregat_Halus_&amp;_Kasar"/>
      <sheetName val="ANALISA_TENDER"/>
      <sheetName val="Input_Data"/>
      <sheetName val="Supl_X"/>
      <sheetName val="Daftar_Harga"/>
      <sheetName val="Rekap_Direct_Cost"/>
      <sheetName val="Sumber_Daya"/>
      <sheetName val="H_DASAR"/>
      <sheetName val="Form-3_3"/>
      <sheetName val="Daft_upah,_bahan_&amp;alat"/>
      <sheetName val="HRG_BHN"/>
      <sheetName val="SUB_TOTAL___"/>
      <sheetName val="STR_CANCEL_"/>
      <sheetName val="ELEKTRONIK"/>
      <sheetName val="supporting data"/>
      <sheetName val="Lamp_V"/>
      <sheetName val="inv"/>
      <sheetName val="II. TAHANAN UMUM"/>
      <sheetName val="Dist_analys"/>
      <sheetName val="RENTAL1"/>
      <sheetName val="___ __"/>
      <sheetName val="2.10"/>
      <sheetName val="pt-perso"/>
      <sheetName val="telp"/>
      <sheetName val="Alat &amp; Bahan"/>
      <sheetName val="Perm. Test"/>
      <sheetName val="BM"/>
      <sheetName val="Div2"/>
      <sheetName val="HRG-DASAR"/>
      <sheetName val="U. div 2"/>
      <sheetName val="Analisa RAP"/>
      <sheetName val="Sum IF"/>
      <sheetName val="schalat"/>
      <sheetName val="cash flow"/>
      <sheetName val="Ope FC"/>
      <sheetName val="Opening"/>
      <sheetName val="Harsat Upah"/>
      <sheetName val="REKAP_ARSITEKTUR."/>
      <sheetName val="諸経費"/>
      <sheetName val="清水計算営業税率関連"/>
      <sheetName val="個案9411"/>
      <sheetName val="Bahan"/>
      <sheetName val="Ratios"/>
      <sheetName val="SD"/>
      <sheetName val="HargaDasar"/>
      <sheetName val="Cashflow"/>
      <sheetName val="SPK"/>
      <sheetName val="bum"/>
      <sheetName val="tabel profil"/>
      <sheetName val="A+Supl."/>
      <sheetName val="Connections"/>
      <sheetName val="DWTables"/>
      <sheetName val="Cable Data from Attachment-C"/>
      <sheetName val="1"/>
      <sheetName val="Orgs Proy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Analisa Baku ME"/>
      <sheetName val="VAC BDWN"/>
      <sheetName val="hardas"/>
      <sheetName val="UM"/>
      <sheetName val="MOBILISASI"/>
      <sheetName val="analysis2"/>
      <sheetName val="basic price"/>
      <sheetName val="Fill this out first..."/>
      <sheetName val="tidak dipakai"/>
      <sheetName val="REKAPUTAMA_R1_"/>
      <sheetName val="PRELIM"/>
      <sheetName val="RSTR"/>
      <sheetName val="RBONG"/>
      <sheetName val="BONGKARAN"/>
      <sheetName val="rekap konst"/>
      <sheetName val="struktur tdk dipakai"/>
      <sheetName val="cl_cc21"/>
      <sheetName val="7-STAIRWAY"/>
      <sheetName val="Rev Type"/>
      <sheetName val="LBK"/>
      <sheetName val="Mandor"/>
      <sheetName val="HSD"/>
      <sheetName val="GENERAL"/>
      <sheetName val="Pricing"/>
      <sheetName val="Unit Rate"/>
      <sheetName val="BASIC"/>
      <sheetName val="RLB"/>
      <sheetName val="SUR-HARGA"/>
      <sheetName val="RUCIKA&amp;WAVIN"/>
      <sheetName val="PBK-01"/>
      <sheetName val="HRG DSR"/>
      <sheetName val="H-BHN"/>
      <sheetName val="5-ALAT(1)"/>
      <sheetName val="HRG BAHAN &amp; UPAH okk"/>
      <sheetName val="Analis Kusen okk"/>
      <sheetName val="SPKsd190518"/>
      <sheetName val="BEBAN P DITAIL"/>
      <sheetName val="H. Dasar"/>
      <sheetName val="BAR SCREEN"/>
      <sheetName val="HRG BAHAN"/>
      <sheetName val="terbilang"/>
      <sheetName val="Part A + B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ANALISA SNI'08(ubh bgsting)"/>
      <sheetName val="EQT-ESTN"/>
      <sheetName val="Anl.+"/>
      <sheetName val="Pt"/>
      <sheetName val="BQ Elektrikal"/>
      <sheetName val="Panel"/>
      <sheetName val="PENAWARAN"/>
      <sheetName val="Master Edit"/>
      <sheetName val="BARU-4 "/>
      <sheetName val="SUMBER"/>
      <sheetName val="breakdown"/>
      <sheetName val="RBP_ 2"/>
      <sheetName val="rekap_bialat"/>
      <sheetName val="3-DIV8"/>
      <sheetName val="Rek.Analisa"/>
      <sheetName val="Muncraaat-6"/>
      <sheetName val="BQ_Rekapitulasi Akhir"/>
      <sheetName val="ana_str"/>
      <sheetName val="HB"/>
      <sheetName val="SCHEDULE "/>
      <sheetName val="Pag_hal"/>
      <sheetName val="bq.T.Abang"/>
      <sheetName val="Monitor"/>
      <sheetName val="Kont-1"/>
      <sheetName val="RAB Jalan"/>
      <sheetName val="SUMDA"/>
      <sheetName val="BARU-3"/>
      <sheetName val="LAMA-3"/>
      <sheetName val="LAMA-4"/>
      <sheetName val="DHrg"/>
      <sheetName val="H_Satuan_(2)1"/>
      <sheetName val="H_Satuan2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8LT_121"/>
      <sheetName val="Man_Power"/>
      <sheetName val="Cover_Daf-21"/>
      <sheetName val="ANALISA_PEK_UMUM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TENAGA"/>
      <sheetName val="DKH"/>
      <sheetName val="RAB &amp; RCO OWNER VERS."/>
      <sheetName val="Hargamaterial"/>
      <sheetName val="BCPAB"/>
      <sheetName val="RekBq"/>
      <sheetName val="Analysis"/>
      <sheetName val="SheetGMP"/>
      <sheetName val="SheetGMT"/>
      <sheetName val="JADI"/>
      <sheetName val="PI"/>
      <sheetName val="Rinc.Ged.A (G.Utama)"/>
      <sheetName val="ISIAN"/>
      <sheetName val="산근"/>
      <sheetName val="1.1 ALAT TULIS KANTOR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REKAP_STRUKTUR"/>
      <sheetName val="Produksi &amp; Scedule"/>
      <sheetName val="merger"/>
      <sheetName val="SUM"/>
      <sheetName val="Cost Summary"/>
      <sheetName val="Kabel"/>
      <sheetName val="ESCON"/>
      <sheetName val="MC DPU BI"/>
      <sheetName val="bahan upah"/>
      <sheetName val="lokasari-el"/>
      <sheetName val="plint"/>
      <sheetName val="H-Bahan"/>
      <sheetName val="Anal"/>
      <sheetName val="Analtanah"/>
      <sheetName val="dafharbhn"/>
      <sheetName val="Anls"/>
      <sheetName val="Analisa Gabungan"/>
      <sheetName val="Sheet"/>
      <sheetName val="Pipe"/>
      <sheetName val="Paint Type B"/>
      <sheetName val="Meth"/>
      <sheetName val="4-Basic Price"/>
      <sheetName val="16-AC-27JULI"/>
      <sheetName val="Temporary"/>
      <sheetName val="______"/>
      <sheetName val="Mekanikal"/>
      <sheetName val="CUACA"/>
      <sheetName val="Urai _Resap pengikat"/>
      <sheetName val="MAP-2"/>
      <sheetName val="ANALISA KUSEN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RINCI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ster 1.0"/>
      <sheetName val="Hrg Satuan &amp; Upah"/>
      <sheetName val="PRY01-1"/>
      <sheetName val="Pay"/>
      <sheetName val="subbase"/>
      <sheetName val="RINCIAN"/>
      <sheetName val="EXTERNAL  (revisi 1)"/>
      <sheetName val="HS1b"/>
      <sheetName val="D.BOARD"/>
      <sheetName val="AnAlat"/>
      <sheetName val="DaftarHarga"/>
      <sheetName val="UnitRateA.1.II"/>
      <sheetName val="RAB (I)"/>
      <sheetName val="Df-Kuan"/>
      <sheetName val="RPP-6"/>
      <sheetName val="RAPA"/>
      <sheetName val="MUTASI"/>
      <sheetName val="REGISTER(1)"/>
      <sheetName val="anl.sa"/>
      <sheetName val="B.as"/>
      <sheetName val="TIE-INS"/>
      <sheetName val="Data Alat"/>
      <sheetName val="UPH,BHN,ALT"/>
      <sheetName val="Harsat.Alat"/>
      <sheetName val="A-11 Steel Str"/>
      <sheetName val="A-03 Pile"/>
      <sheetName val="DK&amp;H"/>
      <sheetName val="unitprice"/>
      <sheetName val="NP (2)"/>
      <sheetName val="BPS"/>
      <sheetName val="RESUME"/>
      <sheetName val="PNT"/>
      <sheetName val="8.4.2 Rambu"/>
      <sheetName val="Combined"/>
      <sheetName val="Front end"/>
      <sheetName val="Back End"/>
      <sheetName val="LMW-PEG"/>
      <sheetName val="WBS 2005"/>
      <sheetName val="SCORE_RC_Code"/>
      <sheetName val="BK-PU"/>
      <sheetName val="est proy"/>
      <sheetName val="T. Cs Log P III"/>
      <sheetName val="Rek-Analisa"/>
      <sheetName val="AnalisaSIPIL RIIL"/>
      <sheetName val="M+MC"/>
      <sheetName val="Umum"/>
      <sheetName val="reso"/>
      <sheetName val="AHS Aspal"/>
      <sheetName val="Hrg.Sat"/>
      <sheetName val="Satuan Dasar"/>
      <sheetName val="Tenaker"/>
      <sheetName val="PriceList"/>
      <sheetName val="master schedule"/>
      <sheetName val="AR"/>
      <sheetName val="S.roomToyota"/>
      <sheetName val="Scd_RAB"/>
      <sheetName val="HS"/>
      <sheetName val="CATS Codes"/>
      <sheetName val="HAl 27"/>
      <sheetName val="RESOURCES-6"/>
      <sheetName val="anal.P"/>
      <sheetName val="KALK_GES"/>
      <sheetName val="Pen Macadam"/>
      <sheetName val="RAB-2006-Total"/>
      <sheetName val="KH-Q1,Q2,01"/>
      <sheetName val="12CGOU"/>
      <sheetName val="pry 05 Pegawai"/>
      <sheetName val="PRY 01-1"/>
      <sheetName val="Parameter"/>
      <sheetName val="DI-ESTI"/>
      <sheetName val="B.UMUM"/>
      <sheetName val="H"/>
      <sheetName val="Calcu 02"/>
      <sheetName val="PLANT"/>
      <sheetName val="Base Info"/>
      <sheetName val="Ana. PU"/>
      <sheetName val="HRG UPAH BAHAN"/>
      <sheetName val="REKAP beton"/>
      <sheetName val="PERHITUNGAN QUANTITY "/>
      <sheetName val="variable"/>
      <sheetName val="SURAT"/>
      <sheetName val="Jadwal Kerja Bln"/>
      <sheetName val="CV"/>
      <sheetName val="HARGA ALAT"/>
      <sheetName val="ALAT-1"/>
      <sheetName val="AGG, C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ENPEN"/>
      <sheetName val="Peralatan"/>
      <sheetName val="Sensitivitas"/>
      <sheetName val="Rekap-Kintoko"/>
      <sheetName val="Rev. RBP-KP"/>
      <sheetName val="Rev RBP-1 "/>
      <sheetName val="L. Hr"/>
      <sheetName val="DivVII"/>
      <sheetName val="PEMBESIAN BALOK INDUK!"/>
      <sheetName val="D985"/>
      <sheetName val="rhsp"/>
      <sheetName val="D2.2"/>
      <sheetName val="MAIN BQ"/>
      <sheetName val="Signage Detail"/>
      <sheetName val="SNI-17-3-09"/>
      <sheetName val="II"/>
      <sheetName val="III"/>
      <sheetName val="Spec ME"/>
      <sheetName val="REKAP PAGAR DEPAN"/>
      <sheetName val="REKAP LOKAL"/>
      <sheetName val="REKAP PAGAR SAMPING"/>
      <sheetName val="REKAP GERBANG"/>
      <sheetName val="iTEM hARSAT"/>
      <sheetName val="W-NAD"/>
      <sheetName val="Soil Report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수입"/>
      <sheetName val="man_PEP"/>
      <sheetName val="Analisa copy"/>
      <sheetName val="ANALISA railing"/>
      <sheetName val="Floor"/>
      <sheetName val="AHS TITIK ME"/>
      <sheetName val="REKAP_AN"/>
      <sheetName val="Ana"/>
      <sheetName val="Harsat_El"/>
      <sheetName val="rab strktr ars print"/>
      <sheetName val="Harga Dasar"/>
      <sheetName val="Dafhrg"/>
      <sheetName val="Satuan"/>
      <sheetName val="SHAPE"/>
      <sheetName val="rab_analisa"/>
      <sheetName val="RAB ME"/>
      <sheetName val="MVC"/>
      <sheetName val="An H.Sat Pek.Ut"/>
      <sheetName val="sliprt"/>
      <sheetName val="PERSI"/>
      <sheetName val="SITE-E"/>
      <sheetName val="MGG3"/>
      <sheetName val="BOW"/>
      <sheetName val="Wiw"/>
      <sheetName val="HRG SAT UPH BHN PU 2012"/>
      <sheetName val="3-DIV2"/>
      <sheetName val="abcdef"/>
      <sheetName val="Posisi Biaya"/>
      <sheetName val="C_Flow"/>
      <sheetName val="AN-K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Rekap _2_"/>
      <sheetName val="Sat~Bahu"/>
      <sheetName val="Rekap Prelim"/>
      <sheetName val="SUM STR KNTR"/>
      <sheetName val="HS-1"/>
      <sheetName val="UPBH AB"/>
      <sheetName val="Skedul"/>
      <sheetName val="@nalisa E"/>
      <sheetName val="DB"/>
      <sheetName val="sat dasar"/>
      <sheetName val="Currency"/>
      <sheetName val="DATA 2"/>
      <sheetName val="Sch-5"/>
      <sheetName val="Daft 2_1"/>
      <sheetName val="PRY02"/>
      <sheetName val="DIV_1"/>
      <sheetName val="SAA"/>
      <sheetName val="LPA-C"/>
      <sheetName val="3.4-PIPE"/>
      <sheetName val="FD"/>
      <sheetName val="GI"/>
      <sheetName val="EE (3)"/>
      <sheetName val="PAVEMENT"/>
      <sheetName val="TRAFFIC"/>
      <sheetName val="BISMILLAH"/>
      <sheetName val="ALT"/>
      <sheetName val="6. CCTV"/>
      <sheetName val="7. Data"/>
      <sheetName val="11. PMK"/>
      <sheetName val="HS. Upah"/>
      <sheetName val="backup mc_0"/>
      <sheetName val="HSBU ANA"/>
      <sheetName val="anal_hs"/>
      <sheetName val="RAB 1"/>
      <sheetName val="ARSUtM "/>
      <sheetName val="SORT"/>
      <sheetName val="Analisa ME "/>
      <sheetName val="DAFTAR BESI KANAL C SIKU"/>
      <sheetName val="M.Pekerjaan"/>
      <sheetName val="analis"/>
      <sheetName val="tifico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AFTAR_7"/>
      <sheetName val="Ope_FC"/>
      <sheetName val="Harsat_Upah"/>
      <sheetName val="BASIC_PRICE_"/>
      <sheetName val="Conn__Lib"/>
      <sheetName val="_SAT_PL"/>
      <sheetName val="Perm__Test"/>
      <sheetName val="Galian_batu"/>
      <sheetName val="Rekap_DKH"/>
      <sheetName val="REKAP_ARSITEKTUR_"/>
      <sheetName val="Rekap_Sal"/>
      <sheetName val="mA_THP_III"/>
      <sheetName val="A+Supl_"/>
      <sheetName val="Cable_Data_from_Attachment-C"/>
      <sheetName val="Rev_Type"/>
      <sheetName val="HYPOTHESES"/>
      <sheetName val="Kode rekening Belanja"/>
      <sheetName val="Kode Rekening Pembiayaan"/>
      <sheetName val="Kode Rekening Pdapatn Kab.kota"/>
      <sheetName val="공사금액 내역 (1)"/>
      <sheetName val="96.12"/>
      <sheetName val="3-DIV5"/>
      <sheetName val="3-DIV3"/>
      <sheetName val="D7(1)"/>
      <sheetName val="Arsitektur"/>
      <sheetName val="Petunjuk Ngisi (2)"/>
      <sheetName val="Analisa Teknik"/>
      <sheetName val="351BQMCN"/>
      <sheetName val="BIALANG"/>
      <sheetName val="Rek.An"/>
      <sheetName val="Print"/>
      <sheetName val="Formula Paket A"/>
      <sheetName val="AHS"/>
      <sheetName val="Z"/>
      <sheetName val="MT_an"/>
      <sheetName val="schalt"/>
      <sheetName val="schtng"/>
      <sheetName val="schbhn"/>
      <sheetName val=""/>
      <sheetName val="pek tanah utk irigasi"/>
      <sheetName val="Uba"/>
      <sheetName val="POL"/>
      <sheetName val="bd"/>
      <sheetName val="BQ-E20-02(Rp)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ANALISA_SNI'08(ubh_bgsting)"/>
      <sheetName val="SCHEDULE_"/>
      <sheetName val="BEBAN_P_DITAIL"/>
      <sheetName val="H__Dasar"/>
      <sheetName val="BAR_SCREEN"/>
      <sheetName val="HRG_BAHAN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DaftarHS"/>
      <sheetName val="Enc14"/>
      <sheetName val="Parem"/>
      <sheetName val="HS ALAT"/>
      <sheetName val="IBASE"/>
      <sheetName val="Target Raker(10)"/>
      <sheetName val="KUB-01(10)"/>
      <sheetName val="hrg-dsr"/>
      <sheetName val="BasicPrice"/>
      <sheetName val="HD ALAT"/>
      <sheetName val="New MADC"/>
      <sheetName val="Hrg Sat"/>
      <sheetName val="MAPP"/>
      <sheetName val="610.04a"/>
      <sheetName val="Sales Parameter"/>
      <sheetName val="PRIST LIST"/>
      <sheetName val="H-SAT"/>
      <sheetName val="Param"/>
      <sheetName val="1.B"/>
      <sheetName val="daya"/>
      <sheetName val="SIMPRO(AGST)"/>
      <sheetName val="name"/>
      <sheetName val="Analisa SNI STANDART "/>
      <sheetName val="% Prog"/>
      <sheetName val="Sum_IF1"/>
      <sheetName val="U__div_21"/>
      <sheetName val="Grand_Sum_BT1"/>
      <sheetName val="Analisa_RAP1"/>
      <sheetName val="______1"/>
      <sheetName val="RBP__21"/>
      <sheetName val="REKAP_beton"/>
      <sheetName val="HAl_27"/>
      <sheetName val="L__Hr"/>
      <sheetName val="master_schedule"/>
      <sheetName val="Rev__RBP-KP"/>
      <sheetName val="Rev_RBP-1_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Salary"/>
      <sheetName val="IDC-RUSUN"/>
      <sheetName val="Super"/>
      <sheetName val="Rekap Analisa"/>
      <sheetName val="RAB "/>
      <sheetName val="etraksi"/>
      <sheetName val="Rencana vs Realisasi"/>
      <sheetName val="****00"/>
      <sheetName val="Notes"/>
      <sheetName val="B"/>
      <sheetName val="DIV.1"/>
      <sheetName val="Ahs.2"/>
      <sheetName val="Ahs.1"/>
      <sheetName val="Lap. Minggu 81 (JUNI)"/>
      <sheetName val="2017"/>
      <sheetName val="Bendung"/>
      <sheetName val="PO2"/>
      <sheetName val="HRG BAHAN-UPAH"/>
      <sheetName val="Plat Lantai Trestle"/>
      <sheetName val="Referensi"/>
      <sheetName val="Daftar upah &amp; material"/>
      <sheetName val="Sat Upah"/>
      <sheetName val="PO2 ok"/>
      <sheetName val="TEST CASE"/>
      <sheetName val="anl hsmpu"/>
      <sheetName val="RBP- 2"/>
      <sheetName val="HSD_Alat"/>
      <sheetName val="anal Lamp 4a"/>
      <sheetName val="RAB-SPL2"/>
      <sheetName val="RWD-02"/>
      <sheetName val="RekapLEP"/>
      <sheetName val="JBAHAN"/>
      <sheetName val="bahan SNI"/>
      <sheetName val="ANALISA SNI'07(Bangli)"/>
      <sheetName val="DAFTAR  BESI IW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  <sheetName val="SAP"/>
      <sheetName val="daf-3(OK)"/>
      <sheetName val="daf-7(OK)"/>
      <sheetName val="HRG BHN"/>
      <sheetName val="daf_3_OK_"/>
      <sheetName val="daf_7_OK_"/>
      <sheetName val="Cover"/>
      <sheetName val="Mall"/>
      <sheetName val="Report detil kondisi"/>
      <sheetName val="detil kondisi"/>
      <sheetName val="_bhn_uph"/>
      <sheetName val="Sheet1"/>
      <sheetName val="DAF-5"/>
      <sheetName val="DAF_5"/>
      <sheetName val="Harga"/>
      <sheetName val="Harsat"/>
      <sheetName val="Analisa-S"/>
      <sheetName val="MATERIAL-UPAH"/>
      <sheetName val="TONG HOP VL-NC"/>
      <sheetName val="lam-moi"/>
      <sheetName val="LAL - PASAR PAGI "/>
      <sheetName val="BAG_2"/>
      <sheetName val="Peralatan"/>
      <sheetName val="I-KAMAR"/>
      <sheetName val="I_KA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AB1"/>
      <sheetName val="RAB2"/>
      <sheetName val="RAB3"/>
      <sheetName val="RAB4"/>
      <sheetName val="RAB5"/>
      <sheetName val="RAB6"/>
      <sheetName val="RAB7"/>
      <sheetName val="ANALISA"/>
      <sheetName val="TENAGA"/>
      <sheetName val="BAHAN"/>
      <sheetName val="ALAT"/>
      <sheetName val="SCHEDULE (3)"/>
      <sheetName val="Cover"/>
      <sheetName val="Material"/>
      <sheetName val="Analisa Harga Satuan"/>
      <sheetName val="rab"/>
      <sheetName val="HRG BHN"/>
      <sheetName val="DAF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4">
          <cell r="E14">
            <v>8000</v>
          </cell>
        </row>
      </sheetData>
      <sheetData sheetId="10">
        <row r="12">
          <cell r="F12">
            <v>17466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"/>
      <sheetName val="CONTRIBUSI"/>
      <sheetName val="REKAP"/>
      <sheetName val="PERSIAPAN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satuan_pek"/>
      <sheetName val="black_out"/>
      <sheetName val="BAHAN"/>
      <sheetName val="Sat Bah &amp; Up"/>
      <sheetName val="Elektrikal"/>
      <sheetName val="an. struktur"/>
      <sheetName val="harsat"/>
      <sheetName val="Dashboard"/>
      <sheetName val="STRUKTUR"/>
      <sheetName val="Bank"/>
      <sheetName val="Bunga"/>
      <sheetName val="Mark-up"/>
      <sheetName val="HARSAT BAHAN"/>
      <sheetName val="Har-mat"/>
      <sheetName val="ANALISA STR _ ARS"/>
      <sheetName val="Sipil"/>
      <sheetName val="H.Satuan"/>
      <sheetName val="ANALISA PEK.UMUM"/>
      <sheetName val="DAF-BAHAN"/>
      <sheetName val="DAF-UPAH"/>
      <sheetName val="ARSITEKTUR"/>
      <sheetName val="Analisa &amp; Upah"/>
      <sheetName val="I-KAMAR"/>
      <sheetName val="Analisa STR"/>
      <sheetName val="Anl_Bet"/>
      <sheetName val="HSPK"/>
      <sheetName val="ANALISA SM"/>
      <sheetName val="bill-sip (1)"/>
      <sheetName val="BQ-Tenis"/>
      <sheetName val="Material"/>
      <sheetName val="BOQ_Aula"/>
      <sheetName val="Prelim"/>
      <sheetName val="analisa"/>
      <sheetName val="Bag_1"/>
      <sheetName val="DAFTAR 7"/>
      <sheetName val="DAF_1"/>
      <sheetName val="DAFTAR_8"/>
      <sheetName val="Rate"/>
      <sheetName val="Currency Rate"/>
      <sheetName val="BOQ"/>
      <sheetName val="Grand summary"/>
      <sheetName val="LAMPIRAN"/>
      <sheetName val="anal Lamp 4a"/>
      <sheetName val="ah sanitary"/>
      <sheetName val="rab - persiapan &amp; lantai-1"/>
      <sheetName val="BQ-Str"/>
      <sheetName val="Up &amp; bhn"/>
      <sheetName val="Memb Schd"/>
      <sheetName val="LISTRIK"/>
      <sheetName val="COAT&amp;WRAP-QIOT-#3"/>
      <sheetName val="PNT-QUOT-#3"/>
      <sheetName val="Hargamat"/>
      <sheetName val="bhn "/>
      <sheetName val="SAP"/>
      <sheetName val="A"/>
      <sheetName val="Pipe"/>
      <sheetName val="ANALISA-A"/>
      <sheetName val="ESCON"/>
      <sheetName val="DB-Sum"/>
      <sheetName val="Isolasi Luar Dalam"/>
      <sheetName val="Isolasi Luar"/>
      <sheetName val="Fill this out first..."/>
      <sheetName val="RAB"/>
      <sheetName val="E.MedG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ktrikal"/>
      <sheetName val="Rekap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ana_str"/>
      <sheetName val="Pipe"/>
      <sheetName val="HSATUAN"/>
      <sheetName val="B _ Norelec"/>
      <sheetName val="Bill No 6 Koord &amp; Attendance"/>
      <sheetName val="KH-Q1,Q2,01"/>
      <sheetName val="Kolom"/>
      <sheetName val="Pt"/>
      <sheetName val="Plambing"/>
      <sheetName val="KH_Q1_Q2_01"/>
      <sheetName val="harsat"/>
      <sheetName val="LAMP-A"/>
      <sheetName val="Anls"/>
      <sheetName val="Analisa"/>
      <sheetName val="Analisa STR"/>
      <sheetName val="COST"/>
      <sheetName val="BQ"/>
      <sheetName val="H.Satuan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BAG_2"/>
      <sheetName val="GRAND TOTAL"/>
      <sheetName val="[BQ-PS&amp;A.xlsÝCAT_HRG"/>
      <sheetName val="Week (2)"/>
      <sheetName val="PAD-F"/>
      <sheetName val="Mall"/>
      <sheetName val="SAT-BHN"/>
      <sheetName val="Fill this out first___"/>
      <sheetName val="304-06"/>
      <sheetName val="304_06"/>
      <sheetName val="Bag_1"/>
      <sheetName val="DAFTAR 7"/>
      <sheetName val="DAF_1"/>
      <sheetName val="DAFTAR_8"/>
      <sheetName val="_BQ-PS&amp;A.xlsÝCAT_HRG"/>
      <sheetName val="data grafik"/>
      <sheetName val="Cover"/>
      <sheetName val="A"/>
      <sheetName val="Material"/>
      <sheetName val="DivVII"/>
      <sheetName val="Cover Daf_2"/>
      <sheetName val="DAFTAR HARGA"/>
      <sheetName val="BQ-E20-02(Rp)"/>
      <sheetName val="HRG BHN"/>
      <sheetName val="rab - persiapan &amp; lantai-1"/>
      <sheetName val="BQ"/>
      <sheetName val="Anl"/>
      <sheetName val="daf_3_OK_"/>
      <sheetName val="daf-3(OK)"/>
      <sheetName val="daf_7_OK_"/>
      <sheetName val="daf-7(OK)"/>
      <sheetName val="I_KAMAR"/>
      <sheetName val="daftar harsat"/>
      <sheetName val="DAF_2"/>
      <sheetName val="DAF_3"/>
      <sheetName val="DAF_4"/>
      <sheetName val="TE TS FA LAN MATV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Std-Spek EL"/>
      <sheetName val="Analisa"/>
      <sheetName val="Analisa Gabungan"/>
      <sheetName val="Sub"/>
      <sheetName val="Bill No 6 Koord _ Attendance"/>
      <sheetName val="Harga Satuan"/>
      <sheetName val="FINISHING"/>
      <sheetName val="Alat"/>
      <sheetName val="atap"/>
      <sheetName val="REKAP"/>
      <sheetName val="04.GS"/>
      <sheetName val="DAFTAR NO_1_PRELIM"/>
      <sheetName val="S-Curve"/>
      <sheetName val="DETAIL"/>
      <sheetName val="RC-ANL"/>
      <sheetName val="PERSIAPAN"/>
      <sheetName val="Hrg Sat"/>
      <sheetName val="Rincian"/>
      <sheetName val="PPC"/>
      <sheetName val="Daf 1"/>
      <sheetName val="DAF-1"/>
      <sheetName val="Bill of Qty MEP"/>
      <sheetName val="DAF-4"/>
      <sheetName val="DAF-2"/>
      <sheetName val="ES-PARK"/>
      <sheetName val="ES_PARK"/>
      <sheetName val="Fill this out first...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Bag_9"/>
      <sheetName val="Plat"/>
      <sheetName val="Bill-2"/>
      <sheetName val="DAF_2 "/>
      <sheetName val="DAFTAR NO_2"/>
      <sheetName val="DAFTAR NO_3"/>
      <sheetName val="DUCT"/>
      <sheetName val="PREM"/>
      <sheetName val="Hargamat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CAT HRG"/>
      <sheetName val="upah"/>
      <sheetName val="Grand summary"/>
      <sheetName val="D2.8"/>
      <sheetName val="Sum"/>
      <sheetName val="name"/>
      <sheetName val="Plumbing"/>
      <sheetName val="LISTRIK"/>
      <sheetName val="F ALARM"/>
      <sheetName val="Break_down"/>
      <sheetName val="BOQ KSN"/>
      <sheetName val="eqp-rek"/>
      <sheetName val="Payment Status"/>
      <sheetName val="Rev &amp; CI"/>
      <sheetName val="H.Satuan"/>
      <sheetName val="Bill No 6 Koord &amp; Attendance"/>
      <sheetName val="B - Norelec"/>
      <sheetName val="Pipe"/>
      <sheetName val="合成単価作成表-BLDG"/>
      <sheetName val="Ch"/>
      <sheetName val="anal"/>
      <sheetName val="SAP"/>
      <sheetName val="DAF-3"/>
      <sheetName val="BAHAN"/>
      <sheetName val="REKAP_Akap"/>
      <sheetName val="ANA-HRG"/>
      <sheetName val="Isolasi Luar Dalam"/>
      <sheetName val="Isolasi Luar"/>
      <sheetName val="LAL _ PASAR PAGI "/>
      <sheetName val="Markup"/>
      <sheetName val="Estimate"/>
      <sheetName val="Analis_Tanah"/>
      <sheetName val="Cash Flow bulanan"/>
      <sheetName val="合成単価作成表_BLDG"/>
      <sheetName val="sched"/>
      <sheetName val="Harga"/>
      <sheetName val="Panel,feeder,elek"/>
      <sheetName val="harsat"/>
      <sheetName val="_AnaBah"/>
      <sheetName val="NAMES"/>
      <sheetName val="Equipment"/>
      <sheetName val="HARGA ALAT"/>
      <sheetName val="Anls"/>
      <sheetName val="BQ-1A prelim"/>
      <sheetName val="A2"/>
      <sheetName val="PIPA"/>
      <sheetName val="Elektrikal"/>
      <sheetName val="upah_borong"/>
      <sheetName val="satuan_pek"/>
      <sheetName val="Ahs_2"/>
      <sheetName val="Ahs_1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6-MVAC"/>
      <sheetName val="escon"/>
      <sheetName val="Bill_2"/>
      <sheetName val="VLOOK"/>
      <sheetName val="Price"/>
      <sheetName val="A_2"/>
      <sheetName val="DAF-9"/>
      <sheetName val="Level"/>
      <sheetName val="Sheet1"/>
      <sheetName val="ANALISA VALVE"/>
      <sheetName val="Analisa Harga"/>
      <sheetName val="data"/>
      <sheetName val="REKAP GROSS"/>
      <sheetName val="str"/>
      <sheetName val="me"/>
      <sheetName val="PMK"/>
      <sheetName val="2.1"/>
      <sheetName val="2.2"/>
      <sheetName val="LAMP-A"/>
      <sheetName val="Ahs. Pipa-Valve"/>
      <sheetName val="Ahs.Peralatan"/>
      <sheetName val="D &amp; W sizes"/>
      <sheetName val="GENERAL"/>
      <sheetName val="COVER "/>
      <sheetName val="TOTAL "/>
      <sheetName val="AHS_Kusen"/>
      <sheetName val="dasboard"/>
      <sheetName val="harsat&amp;upah"/>
      <sheetName val="lokasari-el"/>
      <sheetName val="Pile"/>
      <sheetName val="01A- RAB"/>
      <sheetName val="BAHAN UPAH"/>
      <sheetName val="Har-mat"/>
      <sheetName val="Analisa 2"/>
      <sheetName val="Analisa &amp; Upah"/>
      <sheetName val="BQ-PS&amp;A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daffin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rg.Sat"/>
      <sheetName val="HB 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KK"/>
      <sheetName val="Mekanikal"/>
      <sheetName val="HB"/>
      <sheetName val="Kolom UT"/>
      <sheetName val="rab me (by owner) "/>
      <sheetName val="BQ (by owner)"/>
      <sheetName val="rab me (fisik)"/>
      <sheetName val="BTL-Persiapan"/>
      <sheetName val="BTL-Bau"/>
      <sheetName val="BTL-alat"/>
      <sheetName val="Ana"/>
      <sheetName val="FORM X COST"/>
      <sheetName val="Analisa Harga Satuan"/>
      <sheetName val="Outline"/>
      <sheetName val="BQ-IABK"/>
      <sheetName val="BQ_IABK"/>
      <sheetName val="koef"/>
      <sheetName val="HSATUAN"/>
      <sheetName val="Bangunan Utama"/>
      <sheetName val="Bill rekap"/>
      <sheetName val="Bill of Qty"/>
      <sheetName val="???????-BLDG"/>
      <sheetName val="Supl.X"/>
      <sheetName val="Pag_hal"/>
      <sheetName val="NET表"/>
      <sheetName val="BQ表"/>
      <sheetName val="G_SUMMARY"/>
      <sheetName val="Uraian Teknis"/>
      <sheetName val="[BQ-PS&amp;A.xls?CAT_HRG"/>
      <sheetName val="_BQ-PS&amp;A.xls?CAT_HRG"/>
      <sheetName val="[BQ-PS&amp;A_xls?CAT_HRG"/>
      <sheetName val="_BQ-PS&amp;A_xls?CAT_HRG"/>
      <sheetName val="???????_BLDG"/>
      <sheetName val="5-Peralatan"/>
      <sheetName val="Bag_1_prelim_"/>
      <sheetName val="BQ STR_BONGKARAN_Bag 2_5_"/>
      <sheetName val="Daftar Harga Material"/>
      <sheetName val="CAT_HAR"/>
      <sheetName val="DAF_HARGA_PEK"/>
      <sheetName val="RABT"/>
      <sheetName val="Analisa STR"/>
      <sheetName val="ME_External"/>
      <sheetName val="Mall_ME"/>
      <sheetName val="Ijin"/>
      <sheetName val="rate ars"/>
      <sheetName val="D&amp;W"/>
      <sheetName val=" Rate str "/>
      <sheetName val="MU"/>
      <sheetName val="1500P_3+0"/>
      <sheetName val="Calculation Details"/>
      <sheetName val="4-MVAC"/>
      <sheetName val="5-El"/>
      <sheetName val="2-Pl"/>
      <sheetName val="K"/>
      <sheetName val="NK-BP"/>
      <sheetName val="CATATAN HARGA (Int)"/>
      <sheetName val="Cover Daft 2"/>
      <sheetName val="DAFTAR NO.1"/>
      <sheetName val="DAF 2"/>
      <sheetName val="AN-ALT"/>
      <sheetName val="#REF!"/>
      <sheetName val="Panel"/>
      <sheetName val="struktur tdk dipakai"/>
      <sheetName val="LPP"/>
      <sheetName val="BQ_E20_02_Rp_"/>
      <sheetName val="_______-BLDG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TS I PS"/>
      <sheetName val="villa"/>
      <sheetName val="_BQ-PS&amp;A.xls_CAT_HRG"/>
      <sheetName val="_BQ-PS&amp;A_xls_CAT_HRG"/>
      <sheetName val="________BLDG"/>
      <sheetName val="Index"/>
      <sheetName val="fxterbilang"/>
      <sheetName val="Sat Bah _ Up"/>
      <sheetName val="총괄표"/>
      <sheetName val="G1 Sheet"/>
      <sheetName val="Harga-RAB"/>
      <sheetName val="For RKAP OKOP"/>
      <sheetName val="luar"/>
      <sheetName val="RINC hotel"/>
      <sheetName val="RINC FIN T4 "/>
      <sheetName val="RINC FIN T4  _3_"/>
      <sheetName val="RINC FIN T4  _2_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Asrama Lt.1"/>
      <sheetName val="uraian analisa"/>
      <sheetName val="REQDELTA"/>
      <sheetName val="Rekap Direct Cost"/>
      <sheetName val="HARGA RATA"/>
      <sheetName val="GEDUNG-A"/>
      <sheetName val="_x0000__x0000__x0000__x0000_"/>
      <sheetName val="????"/>
      <sheetName val="rab-str.Adm"/>
      <sheetName val="AHS"/>
      <sheetName val="LAL - PASAR PAGI "/>
      <sheetName val="Harga "/>
      <sheetName val="COV_3"/>
      <sheetName val="IPL_SCHEDULE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Analisa Alat Berat"/>
      <sheetName val="Sal"/>
      <sheetName val="Price Biaya Cadangan"/>
      <sheetName val="BQ.Rekapitulasi  Akhir"/>
      <sheetName val="BOW"/>
      <sheetName val="STD Lanjutan"/>
      <sheetName val="NS Lanjutan"/>
      <sheetName val="Slab"/>
      <sheetName val="概総括1"/>
      <sheetName val="RAB AR&amp;STR"/>
      <sheetName val="COV"/>
      <sheetName val="CATATAN HARGA "/>
      <sheetName val="A H S P"/>
      <sheetName val="PENJ_TOTAL"/>
      <sheetName val="I-ME"/>
      <sheetName val="TB"/>
      <sheetName val="OFFICE"/>
      <sheetName val="RECEIVING INPECTION"/>
      <sheetName val="Standard Room Deluxe Queen"/>
      <sheetName val="ANLS-PJ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nn. Lib"/>
      <sheetName val="OFFICE 2 LT"/>
      <sheetName val="Bill No. 2.1"/>
      <sheetName val="Sheet1 (2)"/>
      <sheetName val="NET?"/>
      <sheetName val="BQ?"/>
      <sheetName val="???"/>
      <sheetName val=" R A B"/>
      <sheetName val="rp"/>
      <sheetName val=""/>
      <sheetName val="PaintBreak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RAP"/>
      <sheetName val="Telusur"/>
      <sheetName val="Penyebaran M"/>
      <sheetName val="Rekap RAP"/>
      <sheetName val="BUL"/>
      <sheetName val="_BQ-PS&amp;A_xls�CAT_HRG1"/>
      <sheetName val="[BQ-PS&amp;A_xls�CAT_HRG1"/>
      <sheetName val="???1"/>
      <sheetName val="eq_data"/>
      <sheetName val="BOQ EXTERN"/>
      <sheetName val="TRE TABLE"/>
      <sheetName val="RAB Arsitek"/>
      <sheetName val="UP_an"/>
      <sheetName val="ANA-C"/>
      <sheetName val="chitimc"/>
      <sheetName val="dongia (2)"/>
      <sheetName val="LKVL-CK-HT-GD1"/>
      <sheetName val="giathanh1"/>
      <sheetName val="gtrinh"/>
      <sheetName val="rekap str_ars"/>
      <sheetName val="phuluc1"/>
      <sheetName val="TONG HOP VL-NC"/>
      <sheetName val="chitiet"/>
      <sheetName val="TONGKE3p "/>
      <sheetName val="Elec-ins"/>
      <sheetName val="Traf&amp;Genst"/>
      <sheetName val="Master Edit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 "/>
      <sheetName val="AHS - CPO"/>
      <sheetName val="Sheet3"/>
      <sheetName val="Pt"/>
      <sheetName val="DAF-5"/>
      <sheetName val="ANALIS"/>
      <sheetName val="bahan+upah"/>
      <sheetName val="DIVI6"/>
      <sheetName val="BQ Detail"/>
      <sheetName val="Analisa pre"/>
      <sheetName val="Materials"/>
      <sheetName val="METHOD"/>
      <sheetName val="Labour"/>
      <sheetName val="BQ Rekap"/>
      <sheetName val="bq analisa"/>
      <sheetName val="pro ra op"/>
      <sheetName val="grafik"/>
      <sheetName val="renc mgn"/>
      <sheetName val="HU"/>
      <sheetName val="Analis_Drainase"/>
      <sheetName val="DSU"/>
      <sheetName val="tgp-02"/>
      <sheetName val="DATA PROYEK"/>
      <sheetName val="DSBDY"/>
      <sheetName val="Sum_Intern"/>
      <sheetName val="Lean Concrete"/>
      <sheetName val="KUM"/>
      <sheetName val="EE-PROP"/>
      <sheetName val="ana_sipil"/>
      <sheetName val="bq_baja"/>
      <sheetName val="MAIN BQ"/>
      <sheetName val="WSSPR"/>
      <sheetName val="Code"/>
      <sheetName val="Settings"/>
      <sheetName val="HRG BAHAN &amp; UPAH okk"/>
      <sheetName val="HRG BAHAN _ UPAH okk"/>
      <sheetName val="Analis Kusen okk"/>
      <sheetName val="isian"/>
      <sheetName val="COST BD"/>
      <sheetName val="APEK"/>
      <sheetName val="ASAT"/>
      <sheetName val="Analisa ME (2)"/>
      <sheetName val="Analisa_Harga_x0005_"/>
      <sheetName val="COVER_x0000_ê"/>
      <sheetName val="Bill.1.VAC-Supply-A"/>
      <sheetName val="Price Persiapan dan Penunjang"/>
      <sheetName val="REKAPITULASI"/>
      <sheetName val="Bill No 6"/>
      <sheetName val="Bill No 7"/>
      <sheetName val="EK-JAN-07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Piping"/>
      <sheetName val="COVER_x0018_"/>
      <sheetName val="Schedule &amp; S-Curve"/>
      <sheetName val="COVER_x0010__x0000_"/>
      <sheetName val="kepmenaker150"/>
      <sheetName val="TRF 150"/>
      <sheetName val="BQ HS"/>
      <sheetName val="Analisa HSP"/>
      <sheetName val="Agregat Halus &amp; Kasar"/>
      <sheetName val="prog-mgu"/>
      <sheetName val="srtberkas"/>
      <sheetName val="SAT-DAS"/>
      <sheetName val="ANALISA KOEFF ESKALASI"/>
      <sheetName val="Div2"/>
      <sheetName val="ANALISA GRS TENGAH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H.SAT"/>
      <sheetName val="NET_"/>
      <sheetName val="BQ_"/>
      <sheetName val="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_Satuan"/>
      <sheetName val="bongkar"/>
      <sheetName val="tanah"/>
      <sheetName val="MSC"/>
      <sheetName val="Pasangan"/>
      <sheetName val="Pas-batu"/>
      <sheetName val="patch"/>
      <sheetName val="Alat DC"/>
      <sheetName val="Mob"/>
      <sheetName val="H.Satuan"/>
      <sheetName val="bq"/>
      <sheetName val="x milling"/>
      <sheetName val="coat"/>
      <sheetName val="AC"/>
      <sheetName val="Sheet2"/>
      <sheetName val="AC (2)"/>
      <sheetName val="Proses"/>
      <sheetName val="aspal"/>
      <sheetName val="Ang-Qua"/>
      <sheetName val="Franco-BC"/>
      <sheetName val="Crush-pro"/>
      <sheetName val="mix-pro"/>
      <sheetName val="haul-pro"/>
      <sheetName val="Spread"/>
      <sheetName val="Sum"/>
      <sheetName val="Kaps-alat"/>
      <sheetName val="hrg-elemen"/>
      <sheetName val="Sheet1"/>
      <sheetName val="Alat_DC"/>
      <sheetName val="H_Satuan1"/>
      <sheetName val="x_milling"/>
      <sheetName val="AC_(2)"/>
      <sheetName val="A"/>
      <sheetName val="Rekap Direct Cost"/>
      <sheetName val="Pipe"/>
      <sheetName val="Price Biaya Cadangan"/>
      <sheetName val="BQ_Rekapitulasi  Akhir"/>
      <sheetName val="beton"/>
      <sheetName val="HARGA MATERIAL"/>
      <sheetName val="HarSat"/>
      <sheetName val="FORM X COST"/>
      <sheetName val="Analisa STR"/>
      <sheetName val="Daftar Harga"/>
      <sheetName val="Daftar Upah"/>
      <sheetName val="SCHEDULE"/>
      <sheetName val="Database"/>
      <sheetName val="Daf 1"/>
      <sheetName val="Pt"/>
      <sheetName val="COST"/>
      <sheetName val="Kantor_Str_Ars_Tmbh"/>
      <sheetName val="BQ ARS"/>
      <sheetName val="Analisa 2"/>
      <sheetName val="Upah_Bahan"/>
      <sheetName val="Alat_DC1"/>
      <sheetName val="H_Satuan2"/>
      <sheetName val="x_milling1"/>
      <sheetName val="AC_(2)1"/>
      <sheetName val="Price_Biaya_Cadangan"/>
      <sheetName val="BQ_Rekapitulasi__Akhir"/>
      <sheetName val="BQ_ARS"/>
      <sheetName val="Rekap_Direct_Cost"/>
      <sheetName val="HARGA_MATERIAL"/>
      <sheetName val="Analisa_2"/>
      <sheetName val="FORM_X_COST"/>
      <sheetName val="Analisa_STR"/>
      <sheetName val="Daftar_Harga"/>
      <sheetName val="Daftar_Upah"/>
      <sheetName val="Daf_1"/>
      <sheetName val="LOADDAT"/>
      <sheetName val="L-Mechanical"/>
      <sheetName val="CF Rp_USD"/>
      <sheetName val="Upah"/>
      <sheetName val="Elektrikal"/>
      <sheetName val="Tabel"/>
      <sheetName val="List Material"/>
      <sheetName val="INDEX"/>
      <sheetName val="analisa pakai"/>
      <sheetName val="12CGOU"/>
      <sheetName val="RPP01 6"/>
      <sheetName val="IND LBR"/>
      <sheetName val="Huruf"/>
      <sheetName val="ANHAR"/>
      <sheetName val="name"/>
      <sheetName val="RAB.SEKRETARIAT (1)"/>
      <sheetName val="REKAP"/>
      <sheetName val="Currency"/>
      <sheetName val="HRG BAHAN &amp; UPAH okk"/>
      <sheetName val="Analis Kusen okk"/>
      <sheetName val="PSW_Sheet"/>
      <sheetName val="BAHAN"/>
      <sheetName val="RAP"/>
      <sheetName val="ESCON"/>
      <sheetName val="Upah_borong"/>
      <sheetName val="HRG BHN"/>
      <sheetName val="UTILITAS"/>
      <sheetName val="ANALISA TENDER"/>
      <sheetName val="SEX"/>
      <sheetName val="Unit"/>
      <sheetName val="Chiller"/>
      <sheetName val="Split"/>
      <sheetName val="Analisa"/>
      <sheetName val="Harga S Dasar"/>
      <sheetName val="analys"/>
      <sheetName val="TOWN"/>
      <sheetName val="Hargamat"/>
      <sheetName val="LAMP-A"/>
      <sheetName val="Estimate"/>
      <sheetName val="DC-plumbon_cirebn13"/>
      <sheetName val="AN_KABEL"/>
      <sheetName val="4"/>
      <sheetName val="KH-Q1,Q2,01"/>
      <sheetName val="lokasari-el"/>
      <sheetName val="Anls"/>
      <sheetName val="ELEMENT SUM"/>
      <sheetName val="Rkp"/>
      <sheetName val="FINISHING"/>
      <sheetName val="Perm. Test"/>
      <sheetName val="Supl.X"/>
      <sheetName val="DAF-4-PL-APARTEMENT"/>
      <sheetName val="INFO"/>
      <sheetName val="Sampul"/>
      <sheetName val="S-Curve"/>
      <sheetName val="dasar"/>
      <sheetName val="SBDY"/>
      <sheetName val="RAB-2006-Total"/>
      <sheetName val="Cal_Slab_Admin"/>
      <sheetName val="Peralatan (2)"/>
      <sheetName val="K-125"/>
      <sheetName val="HARGA SATUAN UPAH PEKERJA"/>
      <sheetName val="REKAP TOTAL"/>
      <sheetName val="KEBALAT"/>
      <sheetName val="Div2"/>
      <sheetName val="CH"/>
      <sheetName val="UPH,BHN,ALT"/>
      <sheetName val="Breakdown"/>
      <sheetName val="Basic"/>
      <sheetName val="Analisa Upah &amp; Bahan Plum"/>
      <sheetName val="laroux"/>
      <sheetName val="BAHAN M&amp;E"/>
      <sheetName val="B _ Norelec"/>
      <sheetName val="Agregat Halus &amp; Kasar"/>
      <sheetName val="Sumber Daya"/>
      <sheetName val="SUMMARY"/>
      <sheetName val="PAD-F"/>
      <sheetName val="By"/>
      <sheetName val="Gaji"/>
      <sheetName val="HSatuan"/>
      <sheetName val="Price "/>
      <sheetName val="Analisa ME "/>
      <sheetName val="Contract Value Monitor"/>
      <sheetName val="Master 1.0"/>
      <sheetName val="MA035"/>
      <sheetName val="Bill of Qty MEP"/>
      <sheetName val="coeff"/>
      <sheetName val="Volume"/>
      <sheetName val="ANALISA PEK.UM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A"/>
      <sheetName val="Pipe"/>
      <sheetName val="valve"/>
      <sheetName val="Dafmat"/>
      <sheetName val="Fitting"/>
      <sheetName val="bq-pl"/>
      <sheetName val="Analisa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3">
          <cell r="C13" t="str">
            <v>Cold Water Pipe</v>
          </cell>
        </row>
        <row r="14">
          <cell r="C14" t="str">
            <v>Material      :  Galvanized Pipe  Medium Class</v>
          </cell>
        </row>
        <row r="15">
          <cell r="C15" t="str">
            <v>Standard    :  BS 1387</v>
          </cell>
        </row>
        <row r="17">
          <cell r="A17">
            <v>0.5</v>
          </cell>
          <cell r="C17">
            <v>15</v>
          </cell>
          <cell r="G17">
            <v>6200</v>
          </cell>
          <cell r="I17">
            <v>1790</v>
          </cell>
        </row>
        <row r="18">
          <cell r="A18">
            <v>0.75</v>
          </cell>
          <cell r="C18">
            <v>20</v>
          </cell>
          <cell r="G18">
            <v>7980</v>
          </cell>
          <cell r="I18">
            <v>1890</v>
          </cell>
        </row>
        <row r="19">
          <cell r="A19">
            <v>1</v>
          </cell>
          <cell r="C19">
            <v>25</v>
          </cell>
          <cell r="G19">
            <v>12390</v>
          </cell>
          <cell r="I19">
            <v>1930</v>
          </cell>
        </row>
        <row r="20">
          <cell r="A20">
            <v>1.25</v>
          </cell>
          <cell r="C20">
            <v>32</v>
          </cell>
          <cell r="G20">
            <v>16850</v>
          </cell>
          <cell r="I20">
            <v>1960</v>
          </cell>
        </row>
        <row r="21">
          <cell r="A21">
            <v>1.5</v>
          </cell>
          <cell r="C21">
            <v>40</v>
          </cell>
          <cell r="G21">
            <v>17900</v>
          </cell>
          <cell r="I21">
            <v>2000</v>
          </cell>
        </row>
        <row r="22">
          <cell r="A22">
            <v>2</v>
          </cell>
          <cell r="C22">
            <v>50</v>
          </cell>
          <cell r="G22">
            <v>25150</v>
          </cell>
          <cell r="I22">
            <v>2040</v>
          </cell>
        </row>
        <row r="23">
          <cell r="A23">
            <v>2.5</v>
          </cell>
          <cell r="C23">
            <v>65</v>
          </cell>
          <cell r="G23">
            <v>32030</v>
          </cell>
          <cell r="I23">
            <v>2160</v>
          </cell>
        </row>
        <row r="24">
          <cell r="A24">
            <v>3</v>
          </cell>
          <cell r="C24">
            <v>80</v>
          </cell>
          <cell r="G24">
            <v>42050</v>
          </cell>
          <cell r="I24">
            <v>3270</v>
          </cell>
        </row>
        <row r="25">
          <cell r="A25">
            <v>4</v>
          </cell>
          <cell r="C25">
            <v>100</v>
          </cell>
          <cell r="G25">
            <v>60270</v>
          </cell>
          <cell r="I25">
            <v>3370</v>
          </cell>
        </row>
        <row r="26">
          <cell r="A26">
            <v>5</v>
          </cell>
          <cell r="C26">
            <v>125</v>
          </cell>
          <cell r="G26">
            <v>79590</v>
          </cell>
          <cell r="I26">
            <v>3860</v>
          </cell>
        </row>
        <row r="27">
          <cell r="A27">
            <v>6</v>
          </cell>
          <cell r="C27">
            <v>150</v>
          </cell>
          <cell r="G27">
            <v>94450</v>
          </cell>
          <cell r="I27">
            <v>3990</v>
          </cell>
        </row>
        <row r="28">
          <cell r="A28">
            <v>8</v>
          </cell>
          <cell r="C28">
            <v>200</v>
          </cell>
          <cell r="G28">
            <v>181340</v>
          </cell>
          <cell r="I28">
            <v>4240</v>
          </cell>
        </row>
        <row r="29">
          <cell r="A29">
            <v>10</v>
          </cell>
          <cell r="C29">
            <v>250</v>
          </cell>
          <cell r="G29">
            <v>227270</v>
          </cell>
          <cell r="I29">
            <v>4490</v>
          </cell>
        </row>
        <row r="30">
          <cell r="A30">
            <v>12</v>
          </cell>
          <cell r="C30">
            <v>300</v>
          </cell>
          <cell r="G30">
            <v>270530</v>
          </cell>
          <cell r="I30">
            <v>4740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l this out first___"/>
      <sheetName val="Fill this out first..."/>
      <sheetName val="Front"/>
      <sheetName val="Contents"/>
      <sheetName val="Basis"/>
      <sheetName val="Inclusions"/>
      <sheetName val="Exclusions"/>
      <sheetName val="Areas"/>
      <sheetName val="Overall Summary"/>
      <sheetName val="Basement"/>
      <sheetName val="Foundations Budget"/>
      <sheetName val="Parking"/>
      <sheetName val="Ground Floor Budget"/>
      <sheetName val="L1 &amp; 2"/>
      <sheetName val="2nd Floor Budget"/>
      <sheetName val="L3-4 Wards"/>
      <sheetName val="Parking 3-5 Budget"/>
      <sheetName val="L5-10 Strata Title"/>
      <sheetName val="Office Levels 6-13 Budget"/>
      <sheetName val="Level 11 - 14 Offices"/>
      <sheetName val="L15 Exec Offices"/>
      <sheetName val="Multipurpose Room Summary"/>
      <sheetName val="Multipurpose Room Budget1"/>
      <sheetName val="MP Summary"/>
      <sheetName val="MP Budget"/>
      <sheetName val="Siteworks Areas"/>
      <sheetName val="Siteworks Summary"/>
      <sheetName val="Siteworks Budget"/>
      <sheetName val="Section 5 Areas"/>
      <sheetName val="Alternates"/>
      <sheetName val="Comparison Summary"/>
      <sheetName val="Du_lieu"/>
      <sheetName val="BAG-2"/>
      <sheetName val="SAP"/>
      <sheetName val="Analisa"/>
      <sheetName val="DAF-2"/>
      <sheetName val="A"/>
      <sheetName val="alat"/>
      <sheetName val="anal_hs"/>
      <sheetName val="info"/>
      <sheetName val="bahan"/>
      <sheetName val="rekap"/>
      <sheetName val="upah"/>
      <sheetName val="NAMES"/>
      <sheetName val="Cover"/>
      <sheetName val="SUMMARY"/>
      <sheetName val="struktur tdk dipakai"/>
      <sheetName val="WF "/>
      <sheetName val="harsat"/>
      <sheetName val="Cover Daf_2"/>
      <sheetName val="Elektrikal"/>
      <sheetName val="h.satuan"/>
      <sheetName val="HSATUAN"/>
      <sheetName val="gvl"/>
      <sheetName val="Ch"/>
      <sheetName val="Cover Daf-2"/>
      <sheetName val="MK"/>
      <sheetName val="I-KAMAR"/>
      <sheetName val="HOK-K210"/>
      <sheetName val="SITE-E"/>
      <sheetName val="An. Beton"/>
      <sheetName val="INDEX"/>
      <sheetName val="내역서"/>
      <sheetName val="Pipe"/>
      <sheetName val="name"/>
      <sheetName val="DAFTAR ISI"/>
      <sheetName val="BQ ARS"/>
      <sheetName val="BQ"/>
      <sheetName val="MU"/>
      <sheetName val="Up &amp; bhn"/>
      <sheetName val="Prices-600"/>
      <sheetName val="Bangunan Utama B"/>
      <sheetName val="Offer Presentation"/>
      <sheetName val="LISTRIK"/>
      <sheetName val="An_ Beton"/>
      <sheetName val="Analisa -Baku"/>
      <sheetName val="WI"/>
      <sheetName val="Estimate"/>
      <sheetName val="FAKTOR"/>
      <sheetName val="COA"/>
      <sheetName val="BHN1"/>
      <sheetName val="HRG BHN"/>
      <sheetName val="REF.ONLY"/>
      <sheetName val="Harga ME "/>
      <sheetName val="Fill_this_out_first___"/>
      <sheetName val="Overall_Summary"/>
      <sheetName val="Foundations_Budget"/>
      <sheetName val="Ground_Floor_Budget"/>
      <sheetName val="L1_&amp;_2"/>
      <sheetName val="2nd_Floor_Budget"/>
      <sheetName val="L3-4_Wards"/>
      <sheetName val="Parking_3-5_Budget"/>
      <sheetName val="L5-10_Strata_Title"/>
      <sheetName val="Office_Levels_6-13_Budget"/>
      <sheetName val="Level_11_-_14_Offices"/>
      <sheetName val="L15_Exec_Offices"/>
      <sheetName val="Multipurpose_Room_Summary"/>
      <sheetName val="Multipurpose_Room_Budget1"/>
      <sheetName val="MP_Summary"/>
      <sheetName val="MP_Budget"/>
      <sheetName val="Siteworks_Areas"/>
      <sheetName val="Siteworks_Summary"/>
      <sheetName val="Siteworks_Budget"/>
      <sheetName val="Section_5_Areas"/>
      <sheetName val="Comparison_Summary"/>
      <sheetName val="Fill_this_out_first___1"/>
      <sheetName val="LAMP-A"/>
      <sheetName val="FINISHING"/>
      <sheetName val="eqp-rek"/>
      <sheetName val="BQ_ME"/>
      <sheetName val="概総括1"/>
      <sheetName val="DAF_2"/>
      <sheetName val="factor"/>
      <sheetName val="prelim"/>
      <sheetName val="AHS"/>
      <sheetName val="RAB"/>
      <sheetName val="RAB &amp; RCO OWNER VERS."/>
      <sheetName val="Uraian Teknis"/>
      <sheetName val="DAF-1"/>
      <sheetName val="dasar"/>
      <sheetName val="atap"/>
      <sheetName val="Harga Satuan"/>
      <sheetName val="Foundation"/>
      <sheetName val="Analisa RAP"/>
      <sheetName val="metode"/>
      <sheetName val="Settings"/>
      <sheetName val="Sheet1"/>
      <sheetName val="Bill-5.2"/>
      <sheetName val="Bill-9.1"/>
      <sheetName val="Bill-6.1.1-6.1.3"/>
      <sheetName val="Sub-Contractor"/>
      <sheetName val="REMUNERASISTANDAR"/>
      <sheetName val="TABEL-DETASIR"/>
      <sheetName val="TOWN"/>
      <sheetName val="Harsat_marina"/>
      <sheetName val="SDM"/>
      <sheetName val="Harga bahan &amp; upah"/>
      <sheetName val="A-ars"/>
      <sheetName val="Tataudara"/>
      <sheetName val="AC"/>
      <sheetName val="Master Schedule"/>
      <sheetName val="ADDENDUM"/>
      <sheetName val="Gudang non AC-AC Struktur"/>
      <sheetName val="SAPON"/>
      <sheetName val="SELISIH HARGA"/>
      <sheetName val="12mar98 electronic"/>
      <sheetName val="Fill_this_out_first___2"/>
      <sheetName val="Overall_Summary1"/>
      <sheetName val="Foundations_Budget1"/>
      <sheetName val="Ground_Floor_Budget1"/>
      <sheetName val="L1_&amp;_21"/>
      <sheetName val="2nd_Floor_Budget1"/>
      <sheetName val="L3-4_Wards1"/>
      <sheetName val="Parking_3-5_Budget1"/>
      <sheetName val="L5-10_Strata_Title1"/>
      <sheetName val="Office_Levels_6-13_Budget1"/>
      <sheetName val="Level_11_-_14_Offices1"/>
      <sheetName val="L15_Exec_Offices1"/>
      <sheetName val="Multipurpose_Room_Summary1"/>
      <sheetName val="Multipurpose_Room_Budget11"/>
      <sheetName val="MP_Summary1"/>
      <sheetName val="MP_Budget1"/>
      <sheetName val="Siteworks_Areas1"/>
      <sheetName val="Siteworks_Summary1"/>
      <sheetName val="Siteworks_Budget1"/>
      <sheetName val="Section_5_Areas1"/>
      <sheetName val="Comparison_Summary1"/>
      <sheetName val="Fill_this_out_first___3"/>
      <sheetName val="Pt"/>
      <sheetName val="komponen"/>
      <sheetName val="Clm"/>
      <sheetName val="GB"/>
      <sheetName val="Pile"/>
      <sheetName val="Ring Balok"/>
      <sheetName val="TB"/>
      <sheetName val="Slab"/>
      <sheetName val="#REF"/>
      <sheetName val="eqp_rek"/>
      <sheetName val="r_tank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Analisa"/>
      <sheetName val="Memb Schd"/>
      <sheetName val="cvlRKYS"/>
      <sheetName val="Bare Summary"/>
      <sheetName val="ESCON"/>
      <sheetName val="STR"/>
      <sheetName val="Conn. Lib"/>
      <sheetName val="IPL_SCHEDULE"/>
      <sheetName val="MarkUp"/>
      <sheetName val="RAB"/>
      <sheetName val="AN_KSN"/>
      <sheetName val="Upah"/>
      <sheetName val="Matrl"/>
      <sheetName val="LOADING2"/>
      <sheetName val="dia-in"/>
      <sheetName val="PPC"/>
      <sheetName val="AC"/>
      <sheetName val="Cash Flow bulanan"/>
      <sheetName val="RAB AR&amp;STR"/>
      <sheetName val="Harga"/>
      <sheetName val="Kantor"/>
      <sheetName val="Div2"/>
      <sheetName val="A"/>
      <sheetName val="NAMES"/>
      <sheetName val="HARGA MATERIAL"/>
      <sheetName val="villa"/>
      <sheetName val="SEX"/>
      <sheetName val="H.Satuan"/>
      <sheetName val="Cover Daf_2"/>
      <sheetName val="GSMTOWER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- persiapan &amp; lantai-1"/>
      <sheetName val="MASTER R1"/>
      <sheetName val="Pipe"/>
      <sheetName val="valve-20k"/>
      <sheetName val="valve"/>
      <sheetName val="Dafmat"/>
      <sheetName val="SITE-E"/>
      <sheetName val="Bunga"/>
      <sheetName val="Perm. Test"/>
      <sheetName val="HPP"/>
      <sheetName val="name"/>
      <sheetName val="I-KAMAR"/>
      <sheetName val="Rate"/>
      <sheetName val="Rekap Addendum"/>
      <sheetName val="Cov_bid"/>
      <sheetName val="BoQ"/>
      <sheetName val="THREE PASS"/>
      <sheetName val="vessel weight"/>
      <sheetName val="Proc_REK_1"/>
      <sheetName val="Mob"/>
      <sheetName val="D7"/>
      <sheetName val="CBD"/>
      <sheetName val="PConsCS"/>
      <sheetName val="XREF"/>
      <sheetName val="TBM"/>
      <sheetName val="Rekapitulasi"/>
      <sheetName val="TOTAL  "/>
      <sheetName val="BAG-2"/>
      <sheetName val="BAG_2"/>
      <sheetName val="Cover"/>
      <sheetName val="TOWN"/>
      <sheetName val="DAF_2"/>
      <sheetName val="tifico"/>
      <sheetName val="struktur tdk dipakai"/>
      <sheetName val="PLUMBING"/>
      <sheetName val="Bare_Summary"/>
      <sheetName val="Memb_Schd"/>
      <sheetName val="Conn__Lib"/>
      <sheetName val="Cash_Flow_bulanan"/>
      <sheetName val="RAB_AR&amp;STR"/>
      <sheetName val="TU"/>
      <sheetName val="대비표"/>
      <sheetName val="Harsat"/>
      <sheetName val="SAP"/>
      <sheetName val="Bahan"/>
      <sheetName val="RKP"/>
      <sheetName val="Productivity"/>
      <sheetName val="civil-yin"/>
      <sheetName val="Man Power"/>
      <sheetName val=" schedule AMD-2 Rev III"/>
      <sheetName val="REF.ONLY"/>
      <sheetName val="ANHAR"/>
      <sheetName val="SUBCON"/>
      <sheetName val="Pt"/>
      <sheetName val="arab"/>
      <sheetName val="RESUME"/>
      <sheetName val="BQ Rev. 0"/>
      <sheetName val="Mark Up"/>
      <sheetName val="Kuantitas &amp; Harga"/>
      <sheetName val="DHSD"/>
      <sheetName val="bq"/>
      <sheetName val="#REF"/>
      <sheetName val="Valuation"/>
      <sheetName val="Daf Pekerjaan"/>
      <sheetName val="Summary"/>
      <sheetName val="Project_P"/>
      <sheetName val="SUM ME"/>
      <sheetName val="Vibro_Roller"/>
      <sheetName val="alat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kontrak"/>
      <sheetName val="GAGAL PROD"/>
      <sheetName val="Up &amp; bhn"/>
      <sheetName val="5-ALAT(1)"/>
      <sheetName val="4-Basic Price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DATA"/>
      <sheetName val="Rek_Div"/>
      <sheetName val="ITEM OF WORK"/>
      <sheetName val="TIM"/>
      <sheetName val="SDMTA"/>
      <sheetName val="HB "/>
      <sheetName val="Analisa Harga Satuan"/>
      <sheetName val="REKAP"/>
      <sheetName val="anal SNI"/>
      <sheetName val="bahan SNI"/>
      <sheetName val="Agregat Halus &amp; Kasar"/>
      <sheetName val="TM"/>
      <sheetName val="Personnel"/>
      <sheetName val="DIV1"/>
      <sheetName val="SCHEDULE"/>
      <sheetName val="Breakdown Equipment"/>
      <sheetName val="Equipment (2)"/>
      <sheetName val="S CURVE"/>
      <sheetName val="DKH"/>
      <sheetName val="UPH,BHN,ALT"/>
      <sheetName val="Upah "/>
      <sheetName val="NP 7"/>
      <sheetName val="D&amp;W"/>
      <sheetName val="12+900"/>
      <sheetName val="BASIC"/>
      <sheetName val="SD"/>
      <sheetName val="Komposisi"/>
      <sheetName val="AHS Aspal"/>
      <sheetName val="AHS Marka"/>
      <sheetName val="Analisa lampu"/>
      <sheetName val="jadwal"/>
      <sheetName val="Usulan"/>
      <sheetName val="dongia (2)"/>
      <sheetName val="LKVL-CK-HT-GD1"/>
      <sheetName val="giathanh1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Notes"/>
      <sheetName val="Rekap Biaya"/>
      <sheetName val="10"/>
      <sheetName val="5"/>
      <sheetName val="Job Data"/>
      <sheetName val="DB_ET200(R. A)"/>
      <sheetName val="MC-01"/>
      <sheetName val="Harga satuan"/>
      <sheetName val="SUM"/>
      <sheetName val="forecast CF Plan REV.1 "/>
      <sheetName val="jobhist"/>
      <sheetName val="BILL"/>
      <sheetName val="INPUT DATAS"/>
      <sheetName val="Harga Mat "/>
      <sheetName val="Panel"/>
      <sheetName val="RAB (OK)"/>
      <sheetName val="ANALISA SNI'13 "/>
      <sheetName val="SAT_BHN"/>
      <sheetName val="kont anak1"/>
      <sheetName val="INF"/>
      <sheetName val="MATERIAL"/>
      <sheetName val="F1c DATA ADM6"/>
      <sheetName val="Sheet1"/>
      <sheetName val="Ch"/>
      <sheetName val="Perhitungan RAB"/>
      <sheetName val="List H.Bahan&amp;Upah"/>
      <sheetName val="A.HARSAT ARS"/>
      <sheetName val="anal_hs"/>
      <sheetName val="info"/>
      <sheetName val="BOQ (Diisi dulu))"/>
      <sheetName val="CAB 2"/>
      <sheetName val="Bid Summary"/>
      <sheetName val="L-4a,b"/>
      <sheetName val="Twr (15)"/>
      <sheetName val="CALC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DAF-1"/>
      <sheetName val="BQ-E20-02(Rp)"/>
      <sheetName val="HSBU ANA"/>
      <sheetName val="Harga Bahan"/>
      <sheetName val="HSA &amp; PAB"/>
      <sheetName val="Harga Upah "/>
      <sheetName val="Kuantitas"/>
      <sheetName val="Metode"/>
      <sheetName val="AHS PL"/>
      <sheetName val="304-06"/>
      <sheetName val="304_06"/>
      <sheetName val="Bill rekap"/>
      <sheetName val="Spec ME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BM"/>
      <sheetName val="Transfer"/>
      <sheetName val="Sch-5"/>
      <sheetName val="BOQ Rekap"/>
      <sheetName val="D-Bahan &amp; Upah"/>
      <sheetName val="Urai _Resap pengikat"/>
      <sheetName val="BAG-III"/>
      <sheetName val="Hrg.Sat"/>
      <sheetName val="TB"/>
      <sheetName val="2153-101"/>
      <sheetName val="List"/>
      <sheetName val="Work Volume Elec"/>
      <sheetName val="COST"/>
      <sheetName val="RAB.SEKRETARIAT (1)"/>
      <sheetName val="HS1"/>
      <sheetName val="PP"/>
      <sheetName val="Sales Parameter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ｵﾝｰｵﾌ弁"/>
      <sheetName val="HS"/>
      <sheetName val="schtot"/>
      <sheetName val="RAB TOTAL"/>
      <sheetName val="lkalibrasi BENENAIN"/>
      <sheetName val="HRG BAHAN &amp; UPAH okk"/>
      <sheetName val="Analis Kusen okk"/>
      <sheetName val="NP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Fire Fighting"/>
      <sheetName val="351BQMCN"/>
      <sheetName val="HS_TRG"/>
      <sheetName val="POS 1"/>
      <sheetName val="POS 2"/>
      <sheetName val="DAF-4"/>
      <sheetName val="iTEM hARSAT"/>
      <sheetName val="L-TIGA"/>
      <sheetName val="L_TIGA"/>
      <sheetName val="U,B"/>
      <sheetName val="PESANTREN"/>
      <sheetName val="G"/>
      <sheetName val="Curup"/>
      <sheetName val="Prabu"/>
      <sheetName val="On Time"/>
      <sheetName val="GALIAN MEKANIS"/>
      <sheetName val="TTL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GEDUNG-A"/>
      <sheetName val="DAF-2"/>
      <sheetName val="Elektrikal"/>
      <sheetName val="HARGA MATERIAL"/>
      <sheetName val="Sub"/>
      <sheetName val="RAP"/>
      <sheetName val="QTO-11P"/>
      <sheetName val="escon"/>
      <sheetName val="Daftar BOQ"/>
      <sheetName val="Reference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Anal Alat BID"/>
      <sheetName val="D _ W sizes"/>
      <sheetName val="harsat_upah"/>
      <sheetName val="PLUMBING"/>
      <sheetName val="Ana. PU"/>
      <sheetName val="Cover"/>
      <sheetName val="HRG BHN"/>
      <sheetName val="Fill this out first..."/>
      <sheetName val="Fill this out first___"/>
      <sheetName val="Pipe"/>
      <sheetName val="Har Sat"/>
      <sheetName val="Analisa"/>
      <sheetName val="Kuantitas _ Harga"/>
      <sheetName val="Rekapitulasi"/>
      <sheetName val="12CGOU"/>
      <sheetName val="351BQMCN"/>
      <sheetName val="TAHAP"/>
      <sheetName val="MAP"/>
      <sheetName val="BOQ"/>
      <sheetName val="5-ALAT(1)"/>
      <sheetName val="4-Basic Price"/>
      <sheetName val="INDEX"/>
      <sheetName val="Cover Daf-2"/>
      <sheetName val="BOQ-Indonesia"/>
      <sheetName val="HSD"/>
      <sheetName val="110 cs EW"/>
      <sheetName val="ANL"/>
      <sheetName val="LISTRIK"/>
      <sheetName val="CondPol"/>
      <sheetName val="List Material"/>
      <sheetName val="I-KAMAR"/>
      <sheetName val="struktur tdk dipakai"/>
      <sheetName val="TOWN"/>
      <sheetName val="Kuantitas &amp; Harga"/>
      <sheetName val="BOQ (1-3)"/>
      <sheetName val="New MADC"/>
      <sheetName val="Informasi"/>
      <sheetName val="ANL STR"/>
      <sheetName val="Bahan "/>
      <sheetName val="Upah"/>
      <sheetName val="Pekerjaan "/>
      <sheetName val="Bill No 6 Koord &amp; Attendance"/>
      <sheetName val="COST"/>
      <sheetName val="BAHAN"/>
      <sheetName val="Cover Daf_2"/>
      <sheetName val="REKAP"/>
      <sheetName val="Estimate"/>
      <sheetName val="name"/>
      <sheetName val="PEMBESIAN BALOK tukang (2)"/>
      <sheetName val="AnalisaSIPIL RIIL"/>
      <sheetName val="DIV2"/>
      <sheetName val="Analisa SNI STANDART "/>
      <sheetName val="Rincian "/>
      <sheetName val="DKH"/>
      <sheetName val="Cash Flow bulanan"/>
      <sheetName val="DAF-1"/>
      <sheetName val="CF Rp_USD"/>
      <sheetName val="Man Power _ Comp"/>
      <sheetName val="Man Power &amp; Comp"/>
      <sheetName val="BAG-2"/>
      <sheetName val="div4"/>
      <sheetName val="di2"/>
      <sheetName val="div71"/>
      <sheetName val="div7"/>
      <sheetName val="div3"/>
      <sheetName val="Harga S Dasar"/>
      <sheetName val="Uraian Teknis"/>
      <sheetName val="Harga"/>
      <sheetName val="H_Satuan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lanscap_All"/>
      <sheetName val="CH"/>
      <sheetName val="Volume"/>
      <sheetName val="FAKTOR"/>
      <sheetName val="A-ars"/>
      <sheetName val="Konfirm"/>
      <sheetName val="AC"/>
      <sheetName val="DATA"/>
      <sheetName val="Sheet3"/>
      <sheetName val="AHS"/>
      <sheetName val="Analis (2)"/>
      <sheetName val="Pt"/>
      <sheetName val="subkon"/>
      <sheetName val="Data Base"/>
      <sheetName val="CV"/>
      <sheetName val="FINISHING"/>
      <sheetName val="product"/>
      <sheetName val="Analisa Harga Satuan"/>
      <sheetName val="SatDas"/>
      <sheetName val="Rate"/>
      <sheetName val="BQ"/>
      <sheetName val="analis"/>
      <sheetName val="AnalisaSIPIL RIIL RAP"/>
      <sheetName val="SPESIFIKASI"/>
      <sheetName val="ANALISA railing"/>
      <sheetName val="HB"/>
      <sheetName val="BOOQ"/>
      <sheetName val="REKAP "/>
      <sheetName val="HARGA SAT"/>
      <sheetName val="tabel tul"/>
      <sheetName val="Anls"/>
      <sheetName val="Rekap Prelim"/>
      <sheetName val="Sheet1"/>
      <sheetName val="Harga Dasar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Bill 2.1 Basement 41 "/>
      <sheetName val="Sheet13"/>
      <sheetName val="ANHAR"/>
      <sheetName val="HB "/>
      <sheetName val="DHS AC"/>
      <sheetName val="Bill rekap"/>
      <sheetName val="villa"/>
      <sheetName val="IND LBR"/>
      <sheetName val="BQ ARS"/>
      <sheetName val="rab lt 2 bo"/>
      <sheetName val="5-Peralatan"/>
      <sheetName val="KWNTY&amp;HARGA"/>
      <sheetName val="anal Lamp 4a"/>
      <sheetName val="HARGA ALAT"/>
      <sheetName val="BQ-E20-02(Rp)"/>
      <sheetName val="Urai _Resap pengikat"/>
      <sheetName val="nama PT."/>
      <sheetName val="Morang"/>
      <sheetName val="3-DIV3"/>
      <sheetName val="D7(1)"/>
      <sheetName val="RAPlenk"/>
      <sheetName val="HSD sewa alat"/>
      <sheetName val="HSD Upah-Bhn"/>
      <sheetName val="Rekap BoQ"/>
      <sheetName val="U&amp;B"/>
      <sheetName val="alat"/>
      <sheetName val="Peralatan"/>
      <sheetName val="표지"/>
      <sheetName val="설비원가"/>
      <sheetName val="Bill.1.VAC-Supply-A"/>
      <sheetName val="LO"/>
      <sheetName val="cargo"/>
      <sheetName val="SAP"/>
      <sheetName val="daf kh"/>
      <sheetName val="D6-1b"/>
      <sheetName val="Str BT"/>
      <sheetName val="Material"/>
      <sheetName val="BQ_1A prelim"/>
      <sheetName val="BQ-1A prelim"/>
      <sheetName val="NP"/>
      <sheetName val="RAB"/>
      <sheetName val="tulang"/>
      <sheetName val="hit.BKMM"/>
      <sheetName val="PPC"/>
      <sheetName val="AC-2"/>
      <sheetName val="Agregat Halus &amp; Kasar"/>
      <sheetName val="Lamp_V"/>
      <sheetName val="Terbilang"/>
      <sheetName val="Summary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urut~keg"/>
      <sheetName val="BHN1"/>
      <sheetName val="Currency Rate"/>
      <sheetName val="Master 1.0"/>
      <sheetName val="Huruf"/>
      <sheetName val="BALT"/>
      <sheetName val="Kar"/>
      <sheetName val="REK"/>
      <sheetName val="Harsat"/>
      <sheetName val="BM"/>
      <sheetName val="Article"/>
      <sheetName val="I_KAMAR"/>
      <sheetName val="Schedul"/>
      <sheetName val="sch"/>
      <sheetName val="analisa Str"/>
      <sheetName val="Sewa AlatBerat08"/>
      <sheetName val="Project Data"/>
      <sheetName val="Basic Price"/>
      <sheetName val="BOM"/>
      <sheetName val="Breakdown"/>
      <sheetName val="Selling Price"/>
      <sheetName val="Upah&amp;Bahan"/>
      <sheetName val="SEX"/>
      <sheetName val="OwnEq"/>
      <sheetName val="Hsatuan-OK"/>
      <sheetName val="PriceList"/>
      <sheetName val="B"/>
      <sheetName val="Perm. Test"/>
      <sheetName val="Schedule 11a"/>
      <sheetName val="Temporary"/>
      <sheetName val="Septick tank"/>
      <sheetName val="Sheet2"/>
      <sheetName val="NP 7"/>
      <sheetName val="Unit Price"/>
      <sheetName val="basic-price"/>
      <sheetName val="ExchangeRate"/>
      <sheetName val="Pol"/>
      <sheetName val="Rekap Pekerjaan"/>
      <sheetName val="2.Harga Satuan"/>
      <sheetName val="MC"/>
      <sheetName val="BASIC"/>
      <sheetName val="1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TABLE"/>
      <sheetName val="urain teknis"/>
      <sheetName val="DASH"/>
      <sheetName val="REKAP ELEKTRIKAL"/>
      <sheetName val="H_Dasar"/>
      <sheetName val="Analisa pemkot"/>
      <sheetName val="Analisa HS"/>
      <sheetName val="REF.ONLY"/>
      <sheetName val="H-Dasar"/>
      <sheetName val="Analisa-H"/>
      <sheetName val="H.Material, Upah &amp; Alat"/>
      <sheetName val="Analisa H.Sat.Pek."/>
      <sheetName val="WS"/>
      <sheetName val="SAT UPAH RAPI"/>
      <sheetName val="Unit Rate"/>
      <sheetName val="P-late"/>
      <sheetName val="H ALAT"/>
      <sheetName val="SNI"/>
      <sheetName val="labor1"/>
      <sheetName val="Labor"/>
      <sheetName val="HRG BAHAN _ U²_x0014__x0005_K"/>
      <sheetName val="CAT_HRG"/>
      <sheetName val="Bag_1"/>
      <sheetName val="Bag_2"/>
      <sheetName val="Bag_9"/>
      <sheetName val="tul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Lalulintas"/>
      <sheetName val="Mobilisasi"/>
      <sheetName val="Finalisasi"/>
      <sheetName val="PAD-F"/>
      <sheetName val="Kend"/>
      <sheetName val="mob (2)"/>
      <sheetName val="EI (3-)"/>
      <sheetName val="ANAL_BOW"/>
      <sheetName val="Mall"/>
      <sheetName val="DRUP (ASLI)"/>
      <sheetName val="Links"/>
      <sheetName val="Lead"/>
      <sheetName val="GeneralInfo"/>
      <sheetName val="ana_str"/>
      <sheetName val="witholding tax list ptp 2001"/>
      <sheetName val="Gedung Kantor"/>
      <sheetName val="S_CURVE"/>
      <sheetName val="BOQ SNJ 1"/>
      <sheetName val="an2"/>
      <sheetName val="Analisa 2"/>
      <sheetName val="hrg-dsr"/>
      <sheetName val="anal.P"/>
      <sheetName val="DAFTAR HARGA"/>
      <sheetName val="Material&amp;Alat"/>
      <sheetName val="DB"/>
      <sheetName val="HS"/>
      <sheetName val="daftar upah"/>
      <sheetName val="RPP-6"/>
      <sheetName val="HRG"/>
      <sheetName val="sdm"/>
      <sheetName val="Mek-FW"/>
      <sheetName val="적용환율"/>
      <sheetName val="KH"/>
      <sheetName val="satuan_pek_str"/>
      <sheetName val="Analisa RAP"/>
      <sheetName val="Penyusutan Kendaraan"/>
      <sheetName val="S_Suramadu"/>
      <sheetName val="extern"/>
      <sheetName val="R AB ARS"/>
      <sheetName val="FORM"/>
      <sheetName val="BAU"/>
      <sheetName val="RENPEN"/>
      <sheetName val="Harga Bahan &amp; Upah"/>
      <sheetName val="LMKC CB V"/>
      <sheetName val="uba"/>
      <sheetName val="Harga Satuan"/>
      <sheetName val="DAF-7"/>
      <sheetName val="BEBAN P DITAIL"/>
      <sheetName val="daya"/>
      <sheetName val="TERMIN 164"/>
      <sheetName val="Well HU and Pumping Units"/>
      <sheetName val="Pipe Rate"/>
      <sheetName val="02-M402"/>
      <sheetName val="bilangan"/>
      <sheetName val="bialangsung"/>
      <sheetName val="Faktor Markup"/>
      <sheetName val="MU"/>
      <sheetName val="Up &amp; bhn"/>
      <sheetName val="Str"/>
      <sheetName val="indirect"/>
      <sheetName val="HOK-K210"/>
      <sheetName val="#REF!#REF! Kusen okk"/>
      <sheetName val="HRG #REF!#REF! &amp; UPAH okk"/>
      <sheetName val="Input Data"/>
      <sheetName val="SAT-DAS"/>
      <sheetName val="LOADDAT"/>
      <sheetName val="BAG_III"/>
      <sheetName val="Hargamat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BasicPrice"/>
      <sheetName val="Luas-Tot"/>
      <sheetName val="Agg Halus &amp; Kasar"/>
      <sheetName val="INVENTARISASI"/>
      <sheetName val="8.4.2 Rambu"/>
      <sheetName val="RKP-2"/>
      <sheetName val="3-DIV2"/>
      <sheetName val="ANALISA JAMAL"/>
      <sheetName val="SUM"/>
      <sheetName val="7.공정표"/>
      <sheetName val="MAPP"/>
      <sheetName val="UPH"/>
      <sheetName val="224-225"/>
      <sheetName val="Penwrn"/>
      <sheetName val="hardas"/>
      <sheetName val="Anl.+"/>
      <sheetName val="112-885"/>
      <sheetName val="KURS"/>
      <sheetName val="MAPDC"/>
      <sheetName val="ANHASZZ"/>
      <sheetName val="RKP"/>
      <sheetName val="anal_hs"/>
      <sheetName val="struktur"/>
      <sheetName val="Rinci-Pendapatan"/>
      <sheetName val="Sheet1 (3)"/>
      <sheetName val="PNT"/>
      <sheetName val="갑지"/>
      <sheetName val="Vibro_Rolle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ekap ahs"/>
      <sheetName val="rekap-bialat"/>
      <sheetName val="D 5243-ARAMCO"/>
      <sheetName val="D-4801 OXY"/>
      <sheetName val="셀명"/>
      <sheetName val="수지표"/>
      <sheetName val="BQ_effice"/>
      <sheetName val="Daf 1"/>
      <sheetName val="Analisa Upah &amp; Bahan Plum"/>
      <sheetName val="UshDeb00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Confidential PAS HMI"/>
      <sheetName val="MT_an"/>
      <sheetName val="S.UPAH"/>
      <sheetName val="S.BAHAN"/>
      <sheetName val="hs_ars"/>
      <sheetName val="HSATUAN"/>
      <sheetName val="rekaprab"/>
      <sheetName val="3-DIV5"/>
      <sheetName val="대비표"/>
      <sheetName val="Public Area"/>
      <sheetName val="BQ Utama "/>
      <sheetName val="Ahs.2"/>
      <sheetName val="Ahs.1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RD01-9-bau"/>
      <sheetName val="upah_borong"/>
      <sheetName val="hasat"/>
      <sheetName val="PRY 03-1 (Amd1)"/>
      <sheetName val="Parameter"/>
      <sheetName val="Harga-RAB"/>
      <sheetName val="Bhn+Uph"/>
      <sheetName val="notasi"/>
      <sheetName val="TABEL-DETASIR"/>
      <sheetName val="5-Alat"/>
      <sheetName val="4-Price"/>
      <sheetName val="4-Quarry"/>
      <sheetName val="S CURVE"/>
      <sheetName val="SAT-BHN"/>
      <sheetName val="dasar"/>
      <sheetName val="MA035"/>
      <sheetName val="HSU"/>
      <sheetName val="Isolasi Luar"/>
      <sheetName val="ANAL lump sum"/>
      <sheetName val="Supl.X"/>
      <sheetName val="r.tank"/>
      <sheetName val="prelim"/>
      <sheetName val="Rek.Analisa"/>
      <sheetName val="HSD_Alat"/>
      <sheetName val="Stay Cable PDMR2"/>
      <sheetName val="MAP-Prog"/>
      <sheetName val="Bekisting"/>
      <sheetName val="ISIAN"/>
      <sheetName val="D2"/>
      <sheetName val="D7"/>
      <sheetName val="Galian batu"/>
      <sheetName val="BHN-ALAT"/>
      <sheetName val="STD"/>
      <sheetName val="Testing"/>
      <sheetName val="PLANT"/>
      <sheetName val="SUMBER"/>
      <sheetName val="S-Curve"/>
      <sheetName val="610.05"/>
      <sheetName val="610.06"/>
      <sheetName val="610.07"/>
      <sheetName val="610.08"/>
      <sheetName val="ANTEK"/>
      <sheetName val="610.04"/>
      <sheetName val="BETON"/>
      <sheetName val="HS-DASAR"/>
      <sheetName val="5.1-5.4(1)-5.4(2)"/>
      <sheetName val="DATA 2"/>
      <sheetName val="INPUT"/>
      <sheetName val="GP-WB"/>
      <sheetName val="TBM"/>
      <sheetName val="Galian 1"/>
      <sheetName val="WT-LIST"/>
      <sheetName val="RBP2"/>
      <sheetName val="HVAC"/>
      <sheetName val="Concrete"/>
      <sheetName val="List of Eqp"/>
      <sheetName val="UPA"/>
      <sheetName val="Rekap Biaya"/>
      <sheetName val="Gorong-2"/>
      <sheetName val="Gal.+Timb.+Bdn.Jln"/>
      <sheetName val="pricing"/>
      <sheetName val="K.Lokal"/>
      <sheetName val="ganda"/>
      <sheetName val="KEBALAT"/>
      <sheetName val="PO-2"/>
      <sheetName val="Bhn,Alat&amp;Upah"/>
      <sheetName val="schalat"/>
      <sheetName val="schman"/>
      <sheetName val="schmat"/>
      <sheetName val="DINDING"/>
      <sheetName val="ANAL.BOW"/>
      <sheetName val="pek tanah utk irigasi"/>
      <sheetName val="Unit-P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pek_tanah_utk_irigasi"/>
      <sheetName val="anal_P"/>
      <sheetName val="REKANAN"/>
      <sheetName val="rekap1"/>
      <sheetName val="daf 2 (ars mall)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Daftar Sewa"/>
      <sheetName val="Peralatan (2)"/>
      <sheetName val="D3"/>
      <sheetName val="Rencana Anggaran Biaya"/>
      <sheetName val="rcnpdp"/>
      <sheetName val="mg"/>
      <sheetName val="029Cikeas00"/>
      <sheetName val="KEB-MAT"/>
      <sheetName val="PRD01-1"/>
      <sheetName val="6-AGREGAT"/>
      <sheetName val="HRG UPAH BAHAN"/>
      <sheetName val="bbt-1999"/>
      <sheetName val="An_Basic"/>
      <sheetName val="fcsp-w"/>
      <sheetName val="MATAUANG"/>
      <sheetName val="RPP01 6"/>
      <sheetName val="igp-03"/>
      <sheetName val="DbCost"/>
      <sheetName val="CSM"/>
      <sheetName val="inv-equity"/>
      <sheetName val="Napsindo"/>
      <sheetName val="data-2"/>
      <sheetName val="1. REKAP UTAMA"/>
      <sheetName val="DKH-S3"/>
      <sheetName val="bahan dan upah"/>
      <sheetName val="Bab 6 -3(5)"/>
      <sheetName val="2.3(2) Gor"/>
      <sheetName val="ABSEN"/>
      <sheetName val="UPAH_B_KAS"/>
      <sheetName val="UPAH_B_KAS _2_"/>
      <sheetName val="T_TANGAN"/>
      <sheetName val="igp_alt4"/>
      <sheetName val="telp"/>
      <sheetName val="61004"/>
      <sheetName val="pt-perso"/>
      <sheetName val="tetrapod"/>
      <sheetName val="HRG BAHAN _ U²_x0014__x0005_K_"/>
      <sheetName val="entertain-720"/>
      <sheetName val="D HARGA"/>
      <sheetName val="L-4a,b"/>
      <sheetName val="tbl"/>
      <sheetName val="FC switches"/>
      <sheetName val="HargaSat"/>
      <sheetName val="REV_1702"/>
      <sheetName val="Pricing-2"/>
      <sheetName val="sepdua"/>
      <sheetName val="Cashflow"/>
      <sheetName val="Rekap Direct Cost"/>
      <sheetName val="CNI"/>
      <sheetName val="Isolasi Luar Dalam"/>
      <sheetName val="D.2.3"/>
      <sheetName val="Harga.Sat"/>
      <sheetName val="Analisa gd"/>
      <sheetName val="Sheet11"/>
      <sheetName val="Sheet10"/>
      <sheetName val="Sheet6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bahan upah"/>
      <sheetName val="UMUM"/>
      <sheetName val="AGG, C"/>
      <sheetName val="AN-RC"/>
      <sheetName val="URAIAN "/>
      <sheetName val="Man Power"/>
      <sheetName val="Back-Up"/>
      <sheetName val="DivVII"/>
      <sheetName val="Steel-Twr"/>
      <sheetName val="K 017"/>
      <sheetName val="K 040"/>
      <sheetName val="TS (A3)"/>
      <sheetName val="1. h.sat-bbm"/>
      <sheetName val="2005 - GAAP"/>
      <sheetName val="Upah&amp;Harga"/>
      <sheetName val="Mob _ demob"/>
      <sheetName val="anal-AL"/>
      <sheetName val="Analisa Terpakai"/>
      <sheetName val="down-semi-c"/>
      <sheetName val="down-semi-f"/>
      <sheetName val="inner prev"/>
      <sheetName val="riprap"/>
      <sheetName val="Koefisien"/>
      <sheetName val="schbhn"/>
      <sheetName val="schalt"/>
      <sheetName val="schtng"/>
      <sheetName val="CUACA"/>
      <sheetName val="Halaman Muka"/>
      <sheetName val="Bill 2 MVAC"/>
      <sheetName val="Bill 5 Electrical"/>
      <sheetName val="Bill 6 Electronic"/>
      <sheetName val="Bill 7 Genset"/>
      <sheetName val="Bill 8 T&amp;C"/>
      <sheetName val="BQ-M"/>
      <sheetName val="D &amp; W sizes"/>
      <sheetName val="Finishing Warehouse"/>
      <sheetName val="I-ME"/>
      <sheetName val="TRNS-C1"/>
      <sheetName val="Inputdata"/>
      <sheetName val="L-Mechanical"/>
      <sheetName val="kalibrasi-Tank"/>
      <sheetName val=" Rencana Vol per Section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schedule kurva s"/>
      <sheetName val="TDC Item Dets-Full"/>
      <sheetName val="BAHAN &amp; UPAH"/>
      <sheetName val="SAT-UP"/>
      <sheetName val="SAT_SEWA ALAT"/>
      <sheetName val="SAT_UPAH"/>
      <sheetName val="SAT_BAHAN"/>
      <sheetName val="Bhan"/>
      <sheetName val="DFT HRG"/>
      <sheetName val=" hrg bhn"/>
      <sheetName val="AHS BETON-print"/>
      <sheetName val="harsat kusen-print"/>
      <sheetName val="HARSAT MATERIAL-print"/>
      <sheetName val="HARSAT MATERIAL (2)"/>
      <sheetName val="Sum AHS-print"/>
      <sheetName val="HRG BAHAN _ U²_x005f_x0014__x005f_x0005_K_"/>
      <sheetName val="srt-pnwr"/>
      <sheetName val="Cash2"/>
      <sheetName val="ANALISA ME"/>
      <sheetName val="Break Down Alat"/>
      <sheetName val="RESUME"/>
      <sheetName val="BILL OF QUANTITY"/>
      <sheetName val="Uraian_Teknis"/>
      <sheetName val="Bill_rekap"/>
      <sheetName val="rab_lt_2_bo"/>
      <sheetName val="daf_kh"/>
      <sheetName val="Str_BT"/>
      <sheetName val="IND_LBR"/>
      <sheetName val="BQ_1A_prelim"/>
      <sheetName val="BQ-1A_prelim"/>
      <sheetName val="hit_BKMM"/>
      <sheetName val="BILL_OF_QUANTITY"/>
      <sheetName val="HARGA_SAT"/>
      <sheetName val="tabel_tul"/>
      <sheetName val="Bill_2_1_Basement_41_"/>
      <sheetName val="D_&amp;_W_sizes"/>
      <sheetName val="Finishing_Warehouse"/>
      <sheetName val="BQ_ARS"/>
      <sheetName val="analisa_Str"/>
      <sheetName val="2_Harga_Satuan"/>
      <sheetName val="Rekap_Pekerjaan"/>
      <sheetName val="mob_(2)"/>
    </sheetNames>
    <sheetDataSet>
      <sheetData sheetId="0" refreshError="1"/>
      <sheetData sheetId="1">
        <row r="17">
          <cell r="A17">
            <v>2</v>
          </cell>
        </row>
      </sheetData>
      <sheetData sheetId="2" refreshError="1">
        <row r="1">
          <cell r="A1">
            <v>0</v>
          </cell>
        </row>
        <row r="17">
          <cell r="A17">
            <v>2</v>
          </cell>
          <cell r="B17" t="str">
            <v xml:space="preserve">Rangka Daun Jendela Alumunium </v>
          </cell>
          <cell r="C17" t="str">
            <v>M'</v>
          </cell>
          <cell r="D17">
            <v>124948</v>
          </cell>
          <cell r="E17" t="str">
            <v>tidak pakai</v>
          </cell>
        </row>
        <row r="18">
          <cell r="A18">
            <v>3</v>
          </cell>
          <cell r="B18" t="str">
            <v>Rangka Tiang Sirip Alumunium 1/1 Putih</v>
          </cell>
          <cell r="C18" t="str">
            <v>M'</v>
          </cell>
          <cell r="D18">
            <v>62474</v>
          </cell>
          <cell r="E18" t="str">
            <v>tidak pakai</v>
          </cell>
        </row>
        <row r="19">
          <cell r="A19">
            <v>4</v>
          </cell>
          <cell r="B19" t="str">
            <v>Pasang Shading Sirip Alumunium 0.2/10 +Rangka</v>
          </cell>
          <cell r="C19" t="str">
            <v>M2</v>
          </cell>
          <cell r="D19">
            <v>0</v>
          </cell>
          <cell r="E19" t="str">
            <v>tidak pakai</v>
          </cell>
        </row>
        <row r="20">
          <cell r="A20">
            <v>5</v>
          </cell>
          <cell r="B20" t="str">
            <v>Alumunium Tipis</v>
          </cell>
          <cell r="C20" t="str">
            <v>M2</v>
          </cell>
          <cell r="D20">
            <v>124948</v>
          </cell>
        </row>
        <row r="25">
          <cell r="A25">
            <v>6</v>
          </cell>
          <cell r="B25" t="str">
            <v>Kunci Pintu Handle stainleess (dorma)</v>
          </cell>
          <cell r="C25" t="str">
            <v>Set</v>
          </cell>
          <cell r="D25">
            <v>650000</v>
          </cell>
          <cell r="E25" t="str">
            <v>tidak pakai</v>
          </cell>
        </row>
        <row r="26">
          <cell r="A26">
            <v>7</v>
          </cell>
          <cell r="B26" t="str">
            <v>Kunci tanam Antik</v>
          </cell>
          <cell r="C26" t="str">
            <v>Set</v>
          </cell>
          <cell r="D26">
            <v>265000</v>
          </cell>
          <cell r="E26" t="str">
            <v>tidak pakai</v>
          </cell>
        </row>
        <row r="28">
          <cell r="A28">
            <v>9</v>
          </cell>
          <cell r="B28" t="str">
            <v>Kunci Silinder</v>
          </cell>
          <cell r="C28" t="str">
            <v>Set</v>
          </cell>
          <cell r="D28">
            <v>217900</v>
          </cell>
          <cell r="E28" t="str">
            <v>tidak pakai</v>
          </cell>
        </row>
        <row r="29">
          <cell r="A29">
            <v>10</v>
          </cell>
          <cell r="B29" t="str">
            <v>Kunci Selot</v>
          </cell>
          <cell r="C29" t="str">
            <v>Set</v>
          </cell>
          <cell r="D29">
            <v>48300</v>
          </cell>
          <cell r="E29" t="str">
            <v>tidak pakai</v>
          </cell>
        </row>
        <row r="30">
          <cell r="A30">
            <v>11</v>
          </cell>
          <cell r="B30" t="str">
            <v>Engsel jendela</v>
          </cell>
          <cell r="C30" t="str">
            <v>Bh</v>
          </cell>
          <cell r="D30">
            <v>16600</v>
          </cell>
          <cell r="E30" t="str">
            <v>tidak pakai</v>
          </cell>
        </row>
        <row r="33">
          <cell r="A33">
            <v>14</v>
          </cell>
          <cell r="B33" t="str">
            <v>Kait/hak angin</v>
          </cell>
          <cell r="C33" t="str">
            <v>Set</v>
          </cell>
          <cell r="D33">
            <v>27000</v>
          </cell>
          <cell r="E33" t="str">
            <v>tidak pakai</v>
          </cell>
        </row>
        <row r="34">
          <cell r="A34">
            <v>15</v>
          </cell>
          <cell r="B34" t="str">
            <v>Grendel pintu kuningan</v>
          </cell>
          <cell r="C34" t="str">
            <v>Bh</v>
          </cell>
          <cell r="D34">
            <v>125000</v>
          </cell>
          <cell r="E34" t="str">
            <v>tidak pakai</v>
          </cell>
        </row>
        <row r="35">
          <cell r="A35">
            <v>16</v>
          </cell>
          <cell r="B35" t="str">
            <v xml:space="preserve">Grendel jendela </v>
          </cell>
          <cell r="C35" t="str">
            <v>Bh</v>
          </cell>
          <cell r="D35">
            <v>8100</v>
          </cell>
          <cell r="E35" t="str">
            <v>tidak pakai</v>
          </cell>
        </row>
        <row r="36">
          <cell r="A36">
            <v>17</v>
          </cell>
          <cell r="B36" t="str">
            <v>Grendel pintu</v>
          </cell>
          <cell r="C36" t="str">
            <v>Bh</v>
          </cell>
          <cell r="D36">
            <v>14200</v>
          </cell>
          <cell r="E36" t="str">
            <v>tidak pakai</v>
          </cell>
        </row>
        <row r="37">
          <cell r="A37">
            <v>18</v>
          </cell>
          <cell r="B37" t="str">
            <v>Stripting Knip</v>
          </cell>
          <cell r="C37" t="str">
            <v>Set</v>
          </cell>
          <cell r="D37">
            <v>13700</v>
          </cell>
          <cell r="E37" t="str">
            <v>tidak pakai</v>
          </cell>
        </row>
        <row r="38">
          <cell r="A38">
            <v>19</v>
          </cell>
          <cell r="B38" t="str">
            <v>Door Closer</v>
          </cell>
          <cell r="C38" t="str">
            <v>Set</v>
          </cell>
          <cell r="D38">
            <v>260800</v>
          </cell>
          <cell r="E38" t="str">
            <v>tidak pakai</v>
          </cell>
        </row>
        <row r="39">
          <cell r="A39">
            <v>20</v>
          </cell>
          <cell r="B39" t="str">
            <v>Door Holder</v>
          </cell>
          <cell r="C39" t="str">
            <v>Set</v>
          </cell>
          <cell r="D39">
            <v>500000</v>
          </cell>
          <cell r="E39" t="str">
            <v>tidak pakai</v>
          </cell>
        </row>
        <row r="40">
          <cell r="A40">
            <v>21</v>
          </cell>
          <cell r="B40" t="str">
            <v>Door Stop</v>
          </cell>
          <cell r="C40" t="str">
            <v>Set</v>
          </cell>
          <cell r="D40">
            <v>32100</v>
          </cell>
          <cell r="E40" t="str">
            <v>tidak pakai</v>
          </cell>
        </row>
        <row r="41">
          <cell r="A41">
            <v>22</v>
          </cell>
          <cell r="B41" t="str">
            <v>Kaca bening 3 mm</v>
          </cell>
          <cell r="C41" t="str">
            <v>M2</v>
          </cell>
          <cell r="D41">
            <v>57900</v>
          </cell>
          <cell r="E41" t="str">
            <v>tidak pakai</v>
          </cell>
        </row>
        <row r="42">
          <cell r="A42">
            <v>23</v>
          </cell>
          <cell r="B42" t="str">
            <v>Kaca bening 5 mm</v>
          </cell>
          <cell r="C42" t="str">
            <v>M2</v>
          </cell>
          <cell r="D42">
            <v>66700</v>
          </cell>
          <cell r="E42" t="str">
            <v>tidak pakai</v>
          </cell>
        </row>
        <row r="44">
          <cell r="A44">
            <v>25</v>
          </cell>
          <cell r="B44" t="str">
            <v>Kaca Bening 12 mm</v>
          </cell>
          <cell r="C44" t="str">
            <v>M2</v>
          </cell>
          <cell r="D44">
            <v>403787.64062499994</v>
          </cell>
          <cell r="E44" t="str">
            <v>tidak pakai</v>
          </cell>
        </row>
        <row r="47">
          <cell r="A47">
            <v>28</v>
          </cell>
          <cell r="B47" t="str">
            <v>Besi hollow 2.5/5</v>
          </cell>
          <cell r="C47" t="str">
            <v>Kg</v>
          </cell>
          <cell r="D47">
            <v>74462.500000000058</v>
          </cell>
          <cell r="E47">
            <v>0.82</v>
          </cell>
          <cell r="F47" t="str">
            <v>Koefieann</v>
          </cell>
        </row>
        <row r="48">
          <cell r="A48">
            <v>29</v>
          </cell>
          <cell r="B48" t="str">
            <v>Besi hollow 5/5</v>
          </cell>
          <cell r="C48" t="str">
            <v>Kg</v>
          </cell>
          <cell r="D48">
            <v>74462.500000000058</v>
          </cell>
          <cell r="E48">
            <v>0</v>
          </cell>
          <cell r="F48" t="str">
            <v>Koefieann</v>
          </cell>
        </row>
        <row r="49">
          <cell r="A49">
            <v>30</v>
          </cell>
          <cell r="B49" t="str">
            <v>Besi hollow 2/2</v>
          </cell>
          <cell r="C49" t="str">
            <v>Kg</v>
          </cell>
          <cell r="D49">
            <v>74462.500000000058</v>
          </cell>
          <cell r="E49">
            <v>0.82</v>
          </cell>
          <cell r="F49" t="str">
            <v>Koefieann</v>
          </cell>
        </row>
        <row r="50">
          <cell r="A50">
            <v>31</v>
          </cell>
          <cell r="B50" t="str">
            <v>Besi hollow 2/4</v>
          </cell>
          <cell r="C50" t="str">
            <v>Kg</v>
          </cell>
          <cell r="D50">
            <v>74462.500000000058</v>
          </cell>
          <cell r="E50">
            <v>0.82</v>
          </cell>
          <cell r="F50" t="str">
            <v>Koefieann</v>
          </cell>
        </row>
        <row r="52">
          <cell r="A52">
            <v>33</v>
          </cell>
          <cell r="B52" t="str">
            <v>Glass Block</v>
          </cell>
          <cell r="C52" t="str">
            <v>Bh</v>
          </cell>
          <cell r="D52">
            <v>45000</v>
          </cell>
          <cell r="E52" t="str">
            <v>tidak pakai</v>
          </cell>
        </row>
        <row r="53">
          <cell r="A53">
            <v>34</v>
          </cell>
          <cell r="B53" t="str">
            <v>Kaca Es</v>
          </cell>
          <cell r="C53" t="str">
            <v>M2</v>
          </cell>
          <cell r="D53">
            <v>66700</v>
          </cell>
          <cell r="E53" t="str">
            <v>tidak pakai</v>
          </cell>
        </row>
        <row r="54">
          <cell r="A54">
            <v>35</v>
          </cell>
          <cell r="B54" t="str">
            <v>Krepyak Kaca Nako + Kerangka</v>
          </cell>
          <cell r="C54" t="str">
            <v>M2</v>
          </cell>
          <cell r="D54">
            <v>81300</v>
          </cell>
          <cell r="E54" t="str">
            <v>tidak pakai</v>
          </cell>
        </row>
        <row r="55">
          <cell r="A55">
            <v>36</v>
          </cell>
          <cell r="B55" t="str">
            <v>Sticker Efek Kaca Es</v>
          </cell>
          <cell r="C55" t="str">
            <v>M2</v>
          </cell>
          <cell r="D55">
            <v>150000</v>
          </cell>
          <cell r="E55" t="str">
            <v>tidak pakai</v>
          </cell>
        </row>
        <row r="56">
          <cell r="A56">
            <v>37</v>
          </cell>
          <cell r="B56" t="str">
            <v>Rel Pintu Dorong</v>
          </cell>
          <cell r="C56" t="str">
            <v>M'</v>
          </cell>
          <cell r="D56">
            <v>275000</v>
          </cell>
          <cell r="E56" t="str">
            <v>tidak pakai</v>
          </cell>
        </row>
        <row r="57">
          <cell r="A57">
            <v>38</v>
          </cell>
          <cell r="B57" t="str">
            <v>Rolling Door</v>
          </cell>
          <cell r="C57" t="str">
            <v>M2</v>
          </cell>
          <cell r="D57">
            <v>358100</v>
          </cell>
          <cell r="E57" t="str">
            <v>tidak pakai</v>
          </cell>
        </row>
        <row r="58">
          <cell r="A58">
            <v>39</v>
          </cell>
          <cell r="B58" t="str">
            <v>Roster</v>
          </cell>
          <cell r="C58" t="str">
            <v>M2</v>
          </cell>
          <cell r="D58">
            <v>133850</v>
          </cell>
          <cell r="E58" t="str">
            <v>tidak pakai</v>
          </cell>
        </row>
        <row r="59">
          <cell r="A59">
            <v>40</v>
          </cell>
          <cell r="B59" t="str">
            <v>Gipsum Board</v>
          </cell>
          <cell r="C59" t="str">
            <v>M2</v>
          </cell>
          <cell r="D59">
            <v>29000</v>
          </cell>
          <cell r="E59" t="str">
            <v>tidak pakai</v>
          </cell>
        </row>
        <row r="60">
          <cell r="A60">
            <v>41</v>
          </cell>
          <cell r="B60" t="str">
            <v>List Gipsum</v>
          </cell>
          <cell r="C60" t="str">
            <v>M'</v>
          </cell>
          <cell r="D60">
            <v>17300</v>
          </cell>
          <cell r="E60" t="str">
            <v>tidak pakai</v>
          </cell>
        </row>
        <row r="65">
          <cell r="A65">
            <v>46</v>
          </cell>
          <cell r="B65" t="str">
            <v>Cat Dinding</v>
          </cell>
          <cell r="C65" t="str">
            <v>M2</v>
          </cell>
          <cell r="D65">
            <v>9900</v>
          </cell>
          <cell r="E65" t="str">
            <v>tidak pakai</v>
          </cell>
        </row>
        <row r="66">
          <cell r="A66">
            <v>47</v>
          </cell>
          <cell r="B66" t="str">
            <v>Plesteran Camprot</v>
          </cell>
          <cell r="C66" t="str">
            <v>M2</v>
          </cell>
          <cell r="D66">
            <v>14600</v>
          </cell>
          <cell r="E66" t="str">
            <v>tidak pakai</v>
          </cell>
        </row>
        <row r="67">
          <cell r="A67">
            <v>48</v>
          </cell>
          <cell r="B67" t="str">
            <v>Rangka Metal Furring</v>
          </cell>
          <cell r="C67" t="str">
            <v>M'</v>
          </cell>
          <cell r="D67">
            <v>90000</v>
          </cell>
          <cell r="E67" t="str">
            <v>tidak pakai</v>
          </cell>
        </row>
        <row r="143">
          <cell r="A143" t="str">
            <v>No.</v>
          </cell>
          <cell r="B143" t="str">
            <v>Item Pekerjaan</v>
          </cell>
          <cell r="C143" t="str">
            <v>Satuan</v>
          </cell>
          <cell r="D143" t="str">
            <v>Harga Satuan</v>
          </cell>
          <cell r="E143" t="str">
            <v>P1</v>
          </cell>
          <cell r="F143" t="str">
            <v>P1'</v>
          </cell>
          <cell r="G143" t="str">
            <v>P1'</v>
          </cell>
          <cell r="H143" t="str">
            <v>P3</v>
          </cell>
          <cell r="I143" t="str">
            <v>P2</v>
          </cell>
          <cell r="J143" t="str">
            <v>P5</v>
          </cell>
          <cell r="K143" t="str">
            <v>P3</v>
          </cell>
          <cell r="L143" t="str">
            <v>J1</v>
          </cell>
          <cell r="M143" t="str">
            <v>P4</v>
          </cell>
          <cell r="N143" t="str">
            <v>J2</v>
          </cell>
          <cell r="O143" t="str">
            <v>P5</v>
          </cell>
          <cell r="P143" t="str">
            <v>J4</v>
          </cell>
          <cell r="Q143" t="str">
            <v>P6</v>
          </cell>
          <cell r="R143" t="str">
            <v>J6</v>
          </cell>
          <cell r="S143" t="str">
            <v>J1</v>
          </cell>
          <cell r="T143" t="str">
            <v>J8</v>
          </cell>
          <cell r="U143" t="str">
            <v>J1'</v>
          </cell>
          <cell r="V143" t="str">
            <v>J10</v>
          </cell>
          <cell r="W143" t="str">
            <v>J2</v>
          </cell>
          <cell r="X143" t="str">
            <v>BV1</v>
          </cell>
          <cell r="Y143" t="str">
            <v>J3</v>
          </cell>
          <cell r="Z143" t="str">
            <v>BV 3</v>
          </cell>
          <cell r="AA143" t="str">
            <v>J4</v>
          </cell>
          <cell r="AB143" t="str">
            <v>Shading Lt. 1 = 2 Buah</v>
          </cell>
          <cell r="AC143" t="str">
            <v>J5</v>
          </cell>
          <cell r="AD143" t="str">
            <v>Pintu Pagar TK</v>
          </cell>
          <cell r="AE143" t="str">
            <v>J6</v>
          </cell>
          <cell r="AF143" t="str">
            <v>R2</v>
          </cell>
          <cell r="AG143" t="str">
            <v>J7</v>
          </cell>
          <cell r="AH143" t="str">
            <v>R3'</v>
          </cell>
          <cell r="AI143" t="str">
            <v>J8</v>
          </cell>
          <cell r="AJ143" t="str">
            <v>R5</v>
          </cell>
          <cell r="AK143" t="str">
            <v>J9</v>
          </cell>
          <cell r="AL143">
            <v>0</v>
          </cell>
          <cell r="AM143" t="str">
            <v>J10</v>
          </cell>
          <cell r="AN143">
            <v>0</v>
          </cell>
          <cell r="AO143" t="str">
            <v>J11</v>
          </cell>
          <cell r="AP143">
            <v>0</v>
          </cell>
          <cell r="AQ143" t="str">
            <v>BV1</v>
          </cell>
          <cell r="AR143">
            <v>0</v>
          </cell>
          <cell r="AS143" t="str">
            <v>BV 2</v>
          </cell>
          <cell r="AT143">
            <v>0</v>
          </cell>
          <cell r="AU143" t="str">
            <v>BV 3</v>
          </cell>
          <cell r="AV143">
            <v>0</v>
          </cell>
          <cell r="AW143" t="str">
            <v>Shading Lt. 1 = 3 Buah</v>
          </cell>
          <cell r="AX143">
            <v>0</v>
          </cell>
          <cell r="AY143" t="str">
            <v>Shading Lt. 1 = 2 Buah</v>
          </cell>
          <cell r="AZ143">
            <v>0</v>
          </cell>
          <cell r="BA143" t="str">
            <v>Shading Lt. 1 = 2 Buah</v>
          </cell>
          <cell r="BB143">
            <v>0</v>
          </cell>
          <cell r="BC143" t="str">
            <v>Pintu Pagar TK</v>
          </cell>
          <cell r="BD143">
            <v>0</v>
          </cell>
          <cell r="BE143" t="str">
            <v>R1</v>
          </cell>
          <cell r="BF143">
            <v>0</v>
          </cell>
          <cell r="BG143" t="str">
            <v>R2</v>
          </cell>
          <cell r="BH143">
            <v>0</v>
          </cell>
          <cell r="BI143" t="str">
            <v>R3</v>
          </cell>
          <cell r="BJ143">
            <v>0</v>
          </cell>
          <cell r="BK143" t="str">
            <v>R3'</v>
          </cell>
          <cell r="BL143">
            <v>0</v>
          </cell>
          <cell r="BM143" t="str">
            <v>R4</v>
          </cell>
          <cell r="BN143">
            <v>0</v>
          </cell>
          <cell r="BO143" t="str">
            <v>R5</v>
          </cell>
        </row>
        <row r="144">
          <cell r="D144" t="str">
            <v>Rp.</v>
          </cell>
          <cell r="E144" t="str">
            <v>Vol.</v>
          </cell>
          <cell r="F144" t="str">
            <v>Jumlah Harga</v>
          </cell>
          <cell r="G144" t="str">
            <v>Vol.</v>
          </cell>
          <cell r="H144" t="str">
            <v>Jumlah Harga</v>
          </cell>
          <cell r="I144" t="str">
            <v>Vol.</v>
          </cell>
          <cell r="J144" t="str">
            <v>Jumlah Harga</v>
          </cell>
          <cell r="K144" t="str">
            <v>Vol.</v>
          </cell>
          <cell r="L144" t="str">
            <v>Jumlah Harga</v>
          </cell>
          <cell r="M144" t="str">
            <v>Vol.</v>
          </cell>
          <cell r="N144" t="str">
            <v>Jumlah Harga</v>
          </cell>
          <cell r="O144" t="str">
            <v>Vol.</v>
          </cell>
          <cell r="P144" t="str">
            <v>Jumlah Harga</v>
          </cell>
          <cell r="Q144" t="str">
            <v>Vol.</v>
          </cell>
          <cell r="R144" t="str">
            <v>Jumlah Harga</v>
          </cell>
          <cell r="S144" t="str">
            <v>Vol.</v>
          </cell>
          <cell r="T144" t="str">
            <v>Jumlah Harga</v>
          </cell>
          <cell r="U144" t="str">
            <v>Vol.</v>
          </cell>
          <cell r="V144" t="str">
            <v>Jumlah Harga</v>
          </cell>
          <cell r="W144" t="str">
            <v>Vol.</v>
          </cell>
          <cell r="X144" t="str">
            <v>Jumlah Harga</v>
          </cell>
          <cell r="Y144" t="str">
            <v>Vol.</v>
          </cell>
          <cell r="Z144" t="str">
            <v>Jumlah Harga</v>
          </cell>
          <cell r="AA144" t="str">
            <v>Vol.</v>
          </cell>
          <cell r="AB144" t="str">
            <v>Jumlah Harga</v>
          </cell>
          <cell r="AC144" t="str">
            <v>Vol.</v>
          </cell>
          <cell r="AD144" t="str">
            <v>Jumlah Harga</v>
          </cell>
          <cell r="AE144" t="str">
            <v>Vol.</v>
          </cell>
          <cell r="AF144" t="str">
            <v>Jumlah Harga</v>
          </cell>
          <cell r="AG144" t="str">
            <v>Vol.</v>
          </cell>
          <cell r="AH144" t="str">
            <v>Jumlah Harga</v>
          </cell>
          <cell r="AI144" t="str">
            <v>Vol.</v>
          </cell>
          <cell r="AJ144" t="str">
            <v>Jumlah Harga</v>
          </cell>
          <cell r="AK144" t="str">
            <v>Vol.</v>
          </cell>
          <cell r="AL144" t="str">
            <v>Jumlah Harga</v>
          </cell>
          <cell r="AM144" t="str">
            <v>Vol.</v>
          </cell>
          <cell r="AN144" t="str">
            <v>Jumlah Harga</v>
          </cell>
          <cell r="AO144" t="str">
            <v>Vol.</v>
          </cell>
          <cell r="AP144" t="str">
            <v>Jumlah Harga</v>
          </cell>
          <cell r="AQ144" t="str">
            <v>Vol.</v>
          </cell>
          <cell r="AR144" t="str">
            <v>Jumlah Harga</v>
          </cell>
          <cell r="AS144" t="str">
            <v>Vol.</v>
          </cell>
          <cell r="AT144" t="str">
            <v>Jumlah Harga</v>
          </cell>
          <cell r="AU144" t="str">
            <v>Vol.</v>
          </cell>
          <cell r="AV144" t="str">
            <v>Jumlah Harga</v>
          </cell>
          <cell r="AW144" t="str">
            <v>Vol.</v>
          </cell>
          <cell r="AX144" t="str">
            <v>Jumlah Harga</v>
          </cell>
          <cell r="AY144" t="str">
            <v>Vol.</v>
          </cell>
          <cell r="AZ144" t="str">
            <v>Jumlah Harga</v>
          </cell>
          <cell r="BA144" t="str">
            <v>Vol.</v>
          </cell>
          <cell r="BB144" t="str">
            <v>Jumlah Harga</v>
          </cell>
          <cell r="BC144" t="str">
            <v>Vol.</v>
          </cell>
          <cell r="BD144" t="str">
            <v>Jumlah Harga</v>
          </cell>
          <cell r="BE144" t="str">
            <v>Vol.</v>
          </cell>
          <cell r="BF144" t="str">
            <v>Jumlah Harga</v>
          </cell>
          <cell r="BG144" t="str">
            <v>Vol.</v>
          </cell>
          <cell r="BH144" t="str">
            <v>Jumlah Harga</v>
          </cell>
          <cell r="BI144" t="str">
            <v>Vol.</v>
          </cell>
          <cell r="BJ144" t="str">
            <v>Jumlah Harga</v>
          </cell>
          <cell r="BK144" t="str">
            <v>Vol.</v>
          </cell>
          <cell r="BL144" t="str">
            <v>Jumlah Harga</v>
          </cell>
          <cell r="BM144" t="str">
            <v>Vol.</v>
          </cell>
          <cell r="BN144" t="str">
            <v>Jumlah Harga</v>
          </cell>
          <cell r="BO144" t="str">
            <v>Vol.</v>
          </cell>
          <cell r="BP144" t="str">
            <v>Jumlah Harga</v>
          </cell>
        </row>
        <row r="145">
          <cell r="A145" t="str">
            <v>IV.</v>
          </cell>
          <cell r="B145" t="str">
            <v>UNIT BANGUNAN TK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Q146">
            <v>0</v>
          </cell>
        </row>
        <row r="147">
          <cell r="A147">
            <v>1</v>
          </cell>
          <cell r="B147" t="str">
            <v>Kayu 6/12</v>
          </cell>
          <cell r="C147" t="str">
            <v>M3</v>
          </cell>
          <cell r="D147">
            <v>0</v>
          </cell>
          <cell r="E147">
            <v>0</v>
          </cell>
          <cell r="F147">
            <v>0</v>
          </cell>
          <cell r="G147">
            <v>2.0400000000000001E-2</v>
          </cell>
          <cell r="H147">
            <v>0</v>
          </cell>
          <cell r="I147">
            <v>2.2800000000000001E-2</v>
          </cell>
          <cell r="J147">
            <v>0</v>
          </cell>
          <cell r="K147">
            <v>0</v>
          </cell>
          <cell r="L147">
            <v>0</v>
          </cell>
          <cell r="M147">
            <v>3.6144000000000003E-2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</row>
        <row r="148">
          <cell r="A148">
            <v>2</v>
          </cell>
          <cell r="B148" t="str">
            <v>Kayu Slimar 3/10</v>
          </cell>
          <cell r="C148" t="str">
            <v>M3</v>
          </cell>
          <cell r="D148">
            <v>0</v>
          </cell>
          <cell r="E148">
            <v>0</v>
          </cell>
          <cell r="F148">
            <v>0</v>
          </cell>
          <cell r="G148">
            <v>4.7999999999999996E-3</v>
          </cell>
          <cell r="H148">
            <v>0</v>
          </cell>
          <cell r="I148">
            <v>4.0000000000000001E-3</v>
          </cell>
          <cell r="J148">
            <v>0</v>
          </cell>
          <cell r="K148">
            <v>0</v>
          </cell>
          <cell r="L148">
            <v>0</v>
          </cell>
          <cell r="M148">
            <v>1.4159999999999999E-2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</row>
        <row r="149">
          <cell r="A149">
            <v>3</v>
          </cell>
          <cell r="B149" t="str">
            <v>Kayu Slimar 3/15</v>
          </cell>
          <cell r="C149" t="str">
            <v>M3</v>
          </cell>
          <cell r="D149">
            <v>0</v>
          </cell>
          <cell r="E149">
            <v>0</v>
          </cell>
          <cell r="F149">
            <v>0</v>
          </cell>
          <cell r="G149">
            <v>3.2</v>
          </cell>
          <cell r="H149">
            <v>0</v>
          </cell>
          <cell r="I149">
            <v>6</v>
          </cell>
          <cell r="J149">
            <v>0</v>
          </cell>
          <cell r="K149">
            <v>0</v>
          </cell>
          <cell r="L149">
            <v>0</v>
          </cell>
          <cell r="M149">
            <v>2.6999999999999997E-3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</row>
        <row r="150">
          <cell r="A150">
            <v>4</v>
          </cell>
          <cell r="B150" t="str">
            <v>Kayu Slimar 3/20</v>
          </cell>
          <cell r="C150" t="str">
            <v>M3</v>
          </cell>
          <cell r="D150">
            <v>0</v>
          </cell>
          <cell r="E150">
            <v>0</v>
          </cell>
          <cell r="F150">
            <v>0</v>
          </cell>
          <cell r="G150">
            <v>4.68</v>
          </cell>
          <cell r="H150">
            <v>0</v>
          </cell>
          <cell r="I150">
            <v>4.7</v>
          </cell>
          <cell r="J150">
            <v>0</v>
          </cell>
          <cell r="K150">
            <v>0</v>
          </cell>
          <cell r="L150">
            <v>0</v>
          </cell>
          <cell r="M150">
            <v>3.5999999999999999E-3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1.6751999999999996</v>
          </cell>
          <cell r="AL150">
            <v>0</v>
          </cell>
          <cell r="AM150">
            <v>1.1447999999999998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</row>
        <row r="151">
          <cell r="A151">
            <v>5</v>
          </cell>
          <cell r="B151" t="str">
            <v>Kayu 2/10</v>
          </cell>
          <cell r="C151" t="str">
            <v>M3</v>
          </cell>
          <cell r="D151">
            <v>0</v>
          </cell>
          <cell r="E151">
            <v>0</v>
          </cell>
          <cell r="F151">
            <v>0</v>
          </cell>
          <cell r="G151">
            <v>5.3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5.4000000000000012E-3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29.499999999999993</v>
          </cell>
          <cell r="T151">
            <v>0</v>
          </cell>
          <cell r="U151">
            <v>29.499999999999993</v>
          </cell>
          <cell r="V151">
            <v>0</v>
          </cell>
          <cell r="W151">
            <v>3.2</v>
          </cell>
          <cell r="X151">
            <v>0</v>
          </cell>
          <cell r="Y151">
            <v>3.2</v>
          </cell>
          <cell r="Z151">
            <v>0</v>
          </cell>
          <cell r="AA151">
            <v>16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12</v>
          </cell>
          <cell r="AP151">
            <v>0</v>
          </cell>
          <cell r="AQ151">
            <v>2</v>
          </cell>
          <cell r="AR151">
            <v>0</v>
          </cell>
          <cell r="AS151">
            <v>2</v>
          </cell>
          <cell r="AT151">
            <v>0</v>
          </cell>
          <cell r="AU151">
            <v>2</v>
          </cell>
          <cell r="AV151">
            <v>0</v>
          </cell>
          <cell r="AW151">
            <v>14</v>
          </cell>
          <cell r="AX151">
            <v>0</v>
          </cell>
          <cell r="AY151">
            <v>14.04</v>
          </cell>
          <cell r="AZ151">
            <v>0</v>
          </cell>
          <cell r="BA151">
            <v>26.4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</row>
        <row r="152">
          <cell r="A152">
            <v>6</v>
          </cell>
          <cell r="B152" t="str">
            <v>Panil t = 3 cm</v>
          </cell>
          <cell r="C152" t="str">
            <v>M2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0.49500000000000005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12.700000000000001</v>
          </cell>
          <cell r="AD152">
            <v>0</v>
          </cell>
          <cell r="AE152">
            <v>6.66</v>
          </cell>
          <cell r="AF152">
            <v>0</v>
          </cell>
          <cell r="AG152">
            <v>5</v>
          </cell>
          <cell r="AH152">
            <v>0</v>
          </cell>
          <cell r="AI152">
            <v>5.8199999999999994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</row>
        <row r="153">
          <cell r="A153">
            <v>1</v>
          </cell>
          <cell r="B153" t="str">
            <v>Kusen Aluminium 5/10</v>
          </cell>
          <cell r="C153" t="str">
            <v>M'</v>
          </cell>
          <cell r="D153">
            <v>124948</v>
          </cell>
          <cell r="E153">
            <v>6.1999999999999993</v>
          </cell>
          <cell r="F153">
            <v>774677.59999999986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5</v>
          </cell>
          <cell r="N153">
            <v>624740</v>
          </cell>
          <cell r="O153">
            <v>27.3</v>
          </cell>
          <cell r="P153">
            <v>3411080.4</v>
          </cell>
          <cell r="Q153">
            <v>16.45</v>
          </cell>
          <cell r="R153">
            <v>2055394.5999999999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</row>
        <row r="154">
          <cell r="A154">
            <v>2</v>
          </cell>
          <cell r="B154" t="str">
            <v xml:space="preserve">Rangka Daun Jendela Alumunium </v>
          </cell>
          <cell r="C154" t="str">
            <v>M'</v>
          </cell>
          <cell r="D154">
            <v>124948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</row>
        <row r="155">
          <cell r="A155">
            <v>3</v>
          </cell>
          <cell r="B155" t="str">
            <v>Rangka Tiang Sirip Alumunium 1/1 Putih</v>
          </cell>
          <cell r="C155" t="str">
            <v>M'</v>
          </cell>
          <cell r="D155">
            <v>62474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4.9000000000000004</v>
          </cell>
          <cell r="AB155">
            <v>306122.60000000003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2.9</v>
          </cell>
          <cell r="AP155">
            <v>181174.6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1.6400000000000001</v>
          </cell>
          <cell r="AV155">
            <v>102457.36</v>
          </cell>
          <cell r="AW155">
            <v>15.75</v>
          </cell>
          <cell r="AX155">
            <v>983965.5</v>
          </cell>
          <cell r="AY155">
            <v>15.599999999999998</v>
          </cell>
          <cell r="AZ155">
            <v>974594.39999999991</v>
          </cell>
          <cell r="BA155">
            <v>31.199999999999996</v>
          </cell>
          <cell r="BB155">
            <v>1949188.7999999998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</row>
        <row r="156">
          <cell r="A156">
            <v>4</v>
          </cell>
          <cell r="B156" t="str">
            <v>Pasang Shading Sirip Alumunium 0.2/10 +Rangka</v>
          </cell>
          <cell r="C156" t="str">
            <v>M2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0.38250000000000001</v>
          </cell>
          <cell r="T156">
            <v>0</v>
          </cell>
          <cell r="U156">
            <v>0.38250000000000001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0.45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0.22500000000000001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0.15809999999999999</v>
          </cell>
          <cell r="AV156">
            <v>0</v>
          </cell>
          <cell r="AW156">
            <v>5.1450000000000005</v>
          </cell>
          <cell r="AX156">
            <v>0</v>
          </cell>
          <cell r="AY156">
            <v>5.04</v>
          </cell>
          <cell r="AZ156">
            <v>0</v>
          </cell>
          <cell r="BA156">
            <v>10.08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</row>
        <row r="157">
          <cell r="A157">
            <v>5</v>
          </cell>
          <cell r="B157" t="str">
            <v>Daun Pintu Panil Kamper</v>
          </cell>
          <cell r="C157" t="str">
            <v>bh</v>
          </cell>
          <cell r="D157">
            <v>550000</v>
          </cell>
          <cell r="E157">
            <v>0</v>
          </cell>
          <cell r="F157">
            <v>0</v>
          </cell>
          <cell r="G157">
            <v>0.15839999999999999</v>
          </cell>
          <cell r="H157">
            <v>87119.999999999985</v>
          </cell>
          <cell r="I157">
            <v>9.6000000000000002E-2</v>
          </cell>
          <cell r="J157">
            <v>52800</v>
          </cell>
          <cell r="K157">
            <v>0</v>
          </cell>
          <cell r="L157">
            <v>0</v>
          </cell>
          <cell r="M157">
            <v>1.2</v>
          </cell>
          <cell r="N157">
            <v>660000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</row>
        <row r="158">
          <cell r="A158">
            <v>6</v>
          </cell>
          <cell r="B158" t="str">
            <v>Plat besi t = 2 mm</v>
          </cell>
          <cell r="C158" t="str">
            <v>Kg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57.085200000000007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4.0440000000000005</v>
          </cell>
          <cell r="AL158">
            <v>0</v>
          </cell>
          <cell r="AM158">
            <v>2.6789999999999998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</row>
        <row r="159">
          <cell r="A159">
            <v>7</v>
          </cell>
          <cell r="B159" t="str">
            <v>C 40.40.2  (pesan khusus)</v>
          </cell>
          <cell r="C159" t="str">
            <v>Kg</v>
          </cell>
          <cell r="D159">
            <v>14122.3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42.56</v>
          </cell>
          <cell r="L159">
            <v>601045.08799999999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1.68</v>
          </cell>
          <cell r="AL159">
            <v>23725.463999999996</v>
          </cell>
          <cell r="AM159">
            <v>1.1447999999999998</v>
          </cell>
          <cell r="AN159">
            <v>16167.209039999996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</row>
        <row r="160">
          <cell r="A160">
            <v>8</v>
          </cell>
          <cell r="B160" t="str">
            <v>Handle besi dia 16 mm</v>
          </cell>
          <cell r="C160" t="str">
            <v>Set</v>
          </cell>
          <cell r="D160">
            <v>129652.5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  <cell r="L160">
            <v>129652.5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15.8</v>
          </cell>
          <cell r="AL160">
            <v>2048509.5</v>
          </cell>
          <cell r="AM160">
            <v>12.166</v>
          </cell>
          <cell r="AN160">
            <v>1577352.3149999999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</row>
        <row r="161">
          <cell r="A161">
            <v>9</v>
          </cell>
          <cell r="B161" t="str">
            <v>Hendle pintu Stainless</v>
          </cell>
          <cell r="C161" t="str">
            <v>Set</v>
          </cell>
          <cell r="D161">
            <v>261652.5</v>
          </cell>
          <cell r="E161">
            <v>2</v>
          </cell>
          <cell r="F161">
            <v>523305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2</v>
          </cell>
          <cell r="AZ161">
            <v>0</v>
          </cell>
          <cell r="BA161">
            <v>0</v>
          </cell>
          <cell r="BB161">
            <v>0</v>
          </cell>
          <cell r="BC161">
            <v>2</v>
          </cell>
          <cell r="BD161">
            <v>523305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</row>
        <row r="162">
          <cell r="A162">
            <v>10</v>
          </cell>
          <cell r="B162" t="str">
            <v>Kunci Pintu Handle stainleess (dorma)</v>
          </cell>
          <cell r="C162" t="str">
            <v>Set</v>
          </cell>
          <cell r="D162">
            <v>650000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</row>
        <row r="163">
          <cell r="A163">
            <v>11</v>
          </cell>
          <cell r="B163" t="str">
            <v>Kunci tanam Antik</v>
          </cell>
          <cell r="C163" t="str">
            <v>Set</v>
          </cell>
          <cell r="D163">
            <v>265000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</row>
        <row r="164">
          <cell r="A164">
            <v>12</v>
          </cell>
          <cell r="B164" t="str">
            <v>Kunci tanam biasa</v>
          </cell>
          <cell r="C164" t="str">
            <v>Set</v>
          </cell>
          <cell r="D164">
            <v>168565</v>
          </cell>
          <cell r="E164">
            <v>0</v>
          </cell>
          <cell r="F164">
            <v>0</v>
          </cell>
          <cell r="G164">
            <v>1</v>
          </cell>
          <cell r="H164">
            <v>168565</v>
          </cell>
          <cell r="I164">
            <v>0</v>
          </cell>
          <cell r="J164">
            <v>0</v>
          </cell>
          <cell r="K164">
            <v>1</v>
          </cell>
          <cell r="L164">
            <v>168565</v>
          </cell>
          <cell r="M164">
            <v>1</v>
          </cell>
          <cell r="N164">
            <v>168565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337130</v>
          </cell>
          <cell r="BB164">
            <v>0</v>
          </cell>
          <cell r="BC164">
            <v>2</v>
          </cell>
          <cell r="BD164">
            <v>337130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</row>
        <row r="165">
          <cell r="A165">
            <v>13</v>
          </cell>
          <cell r="B165" t="str">
            <v>Kunci Silinder</v>
          </cell>
          <cell r="C165" t="str">
            <v>Set</v>
          </cell>
          <cell r="D165">
            <v>217900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</row>
        <row r="166">
          <cell r="A166">
            <v>14</v>
          </cell>
          <cell r="B166" t="str">
            <v>Kunci Selot</v>
          </cell>
          <cell r="C166" t="str">
            <v>Set</v>
          </cell>
          <cell r="D166">
            <v>48300</v>
          </cell>
          <cell r="E166">
            <v>0</v>
          </cell>
          <cell r="F166">
            <v>0</v>
          </cell>
          <cell r="G166">
            <v>1</v>
          </cell>
          <cell r="H166">
            <v>48300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</row>
        <row r="167">
          <cell r="A167">
            <v>15</v>
          </cell>
          <cell r="B167" t="str">
            <v>Engsel jendela</v>
          </cell>
          <cell r="C167" t="str">
            <v>Bh</v>
          </cell>
          <cell r="D167">
            <v>16600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</row>
        <row r="168">
          <cell r="A168">
            <v>16</v>
          </cell>
          <cell r="B168" t="str">
            <v>Engsel pintu</v>
          </cell>
          <cell r="C168" t="str">
            <v>Bh</v>
          </cell>
          <cell r="D168">
            <v>44395.75</v>
          </cell>
          <cell r="E168">
            <v>4</v>
          </cell>
          <cell r="F168">
            <v>177583</v>
          </cell>
          <cell r="G168">
            <v>4</v>
          </cell>
          <cell r="H168">
            <v>177583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3</v>
          </cell>
          <cell r="N168">
            <v>133187.25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177583</v>
          </cell>
          <cell r="BB168">
            <v>0</v>
          </cell>
          <cell r="BC168">
            <v>4</v>
          </cell>
          <cell r="BD168">
            <v>177583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</row>
        <row r="169">
          <cell r="A169">
            <v>17</v>
          </cell>
          <cell r="B169" t="str">
            <v>Engsel Pintu dari pipa besi dia 2 cm</v>
          </cell>
          <cell r="C169" t="str">
            <v>Bh</v>
          </cell>
          <cell r="D169">
            <v>66593.625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</v>
          </cell>
          <cell r="L169">
            <v>133187.25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</row>
        <row r="170">
          <cell r="A170">
            <v>18</v>
          </cell>
          <cell r="B170" t="str">
            <v>Kait/hak angin</v>
          </cell>
          <cell r="C170" t="str">
            <v>Set</v>
          </cell>
          <cell r="D170">
            <v>27000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</row>
        <row r="171">
          <cell r="A171">
            <v>19</v>
          </cell>
          <cell r="B171" t="str">
            <v>Grendel pintu kuningan</v>
          </cell>
          <cell r="C171" t="str">
            <v>Bh</v>
          </cell>
          <cell r="D171">
            <v>125000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</row>
        <row r="172">
          <cell r="A172">
            <v>20</v>
          </cell>
          <cell r="B172" t="str">
            <v xml:space="preserve">Grendel jendela </v>
          </cell>
          <cell r="C172" t="str">
            <v>Bh</v>
          </cell>
          <cell r="D172">
            <v>8100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</row>
        <row r="173">
          <cell r="A173">
            <v>21</v>
          </cell>
          <cell r="B173" t="str">
            <v>Grendel pintu</v>
          </cell>
          <cell r="C173" t="str">
            <v>Bh</v>
          </cell>
          <cell r="D173">
            <v>14200</v>
          </cell>
          <cell r="E173">
            <v>0</v>
          </cell>
          <cell r="F173">
            <v>0</v>
          </cell>
          <cell r="G173">
            <v>2</v>
          </cell>
          <cell r="H173">
            <v>28400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14200</v>
          </cell>
          <cell r="BB173">
            <v>0</v>
          </cell>
          <cell r="BC173">
            <v>1</v>
          </cell>
          <cell r="BD173">
            <v>14200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</row>
        <row r="174">
          <cell r="A174">
            <v>22</v>
          </cell>
          <cell r="B174" t="str">
            <v>Stripting Knip</v>
          </cell>
          <cell r="C174" t="str">
            <v>Set</v>
          </cell>
          <cell r="D174">
            <v>13700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</row>
        <row r="175">
          <cell r="A175">
            <v>23</v>
          </cell>
          <cell r="B175" t="str">
            <v>Door Closer</v>
          </cell>
          <cell r="C175" t="str">
            <v>Set</v>
          </cell>
          <cell r="D175">
            <v>260800</v>
          </cell>
          <cell r="E175">
            <v>0</v>
          </cell>
          <cell r="F175">
            <v>0</v>
          </cell>
          <cell r="G175">
            <v>2</v>
          </cell>
          <cell r="H175">
            <v>521600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</row>
        <row r="176">
          <cell r="A176">
            <v>24</v>
          </cell>
          <cell r="B176" t="str">
            <v>Door Holder</v>
          </cell>
          <cell r="C176" t="str">
            <v>Set</v>
          </cell>
          <cell r="D176">
            <v>500000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</row>
        <row r="177">
          <cell r="A177">
            <v>25</v>
          </cell>
          <cell r="B177" t="str">
            <v>Door Stop</v>
          </cell>
          <cell r="C177" t="str">
            <v>Set</v>
          </cell>
          <cell r="D177">
            <v>32100</v>
          </cell>
          <cell r="E177">
            <v>0</v>
          </cell>
          <cell r="F177">
            <v>0</v>
          </cell>
          <cell r="G177">
            <v>0.10319999999999999</v>
          </cell>
          <cell r="H177">
            <v>3312.7199999999993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</row>
        <row r="178">
          <cell r="A178">
            <v>26</v>
          </cell>
          <cell r="B178" t="str">
            <v>Kaca bening 5 mm</v>
          </cell>
          <cell r="C178" t="str">
            <v>M2</v>
          </cell>
          <cell r="D178">
            <v>66700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0.10319999999999999</v>
          </cell>
          <cell r="J178">
            <v>6883.4399999999987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0.15809999999999999</v>
          </cell>
          <cell r="AR178">
            <v>10545.269999999999</v>
          </cell>
          <cell r="AS178">
            <v>0.15809999999999999</v>
          </cell>
          <cell r="AT178">
            <v>10545.269999999999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</row>
        <row r="179">
          <cell r="A179">
            <v>27</v>
          </cell>
          <cell r="B179" t="str">
            <v>Kaca bening 10 mm</v>
          </cell>
          <cell r="C179" t="str">
            <v>M2</v>
          </cell>
          <cell r="D179">
            <v>280895.75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23.1525</v>
          </cell>
          <cell r="P179">
            <v>6503438.8518749997</v>
          </cell>
          <cell r="Q179">
            <v>11.025</v>
          </cell>
          <cell r="R179">
            <v>3096875.6437500003</v>
          </cell>
          <cell r="S179">
            <v>6.6389999999999993</v>
          </cell>
          <cell r="T179">
            <v>1864866.8842499999</v>
          </cell>
          <cell r="U179">
            <v>6.6389999999999993</v>
          </cell>
          <cell r="V179">
            <v>1864866.8842499999</v>
          </cell>
          <cell r="W179">
            <v>0.34410000000000002</v>
          </cell>
          <cell r="X179">
            <v>96656.227575000012</v>
          </cell>
          <cell r="Y179">
            <v>0.34410000000000002</v>
          </cell>
          <cell r="Z179">
            <v>96656.227575000012</v>
          </cell>
          <cell r="AA179">
            <v>2.8280000000000003</v>
          </cell>
          <cell r="AB179">
            <v>794373.1810000001</v>
          </cell>
          <cell r="AC179">
            <v>2.8280000000000003</v>
          </cell>
          <cell r="AD179">
            <v>794373.1810000001</v>
          </cell>
          <cell r="AE179">
            <v>2.8839999999999999</v>
          </cell>
          <cell r="AF179">
            <v>810103.34299999999</v>
          </cell>
          <cell r="AG179">
            <v>1.26</v>
          </cell>
          <cell r="AH179">
            <v>353928.64500000002</v>
          </cell>
          <cell r="AI179">
            <v>1.57605</v>
          </cell>
          <cell r="AJ179">
            <v>442705.74678749999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1.375</v>
          </cell>
          <cell r="AP179">
            <v>386231.65625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</row>
        <row r="180">
          <cell r="A180">
            <v>28</v>
          </cell>
          <cell r="B180" t="str">
            <v>Kaca Bening 12 mm</v>
          </cell>
          <cell r="C180" t="str">
            <v>M2</v>
          </cell>
          <cell r="D180">
            <v>403787.64062499994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</row>
        <row r="181">
          <cell r="A181">
            <v>29</v>
          </cell>
          <cell r="B181" t="str">
            <v>Besi hollow 4/4</v>
          </cell>
          <cell r="C181" t="str">
            <v>M'</v>
          </cell>
          <cell r="D181">
            <v>48625.000000000051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5.09</v>
          </cell>
          <cell r="L181">
            <v>247501.25000000026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</row>
        <row r="182">
          <cell r="A182">
            <v>30</v>
          </cell>
          <cell r="B182" t="str">
            <v>Besi hollow 6/6</v>
          </cell>
          <cell r="C182" t="str">
            <v>M'</v>
          </cell>
          <cell r="D182">
            <v>74462.500000000058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5.09</v>
          </cell>
          <cell r="L182">
            <v>379014.12500000029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</row>
        <row r="183">
          <cell r="A183">
            <v>31</v>
          </cell>
          <cell r="B183" t="str">
            <v>Besi hollow 2.5/5</v>
          </cell>
          <cell r="C183" t="str">
            <v>Kg</v>
          </cell>
          <cell r="D183">
            <v>74462.500000000058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</row>
        <row r="184">
          <cell r="A184">
            <v>32</v>
          </cell>
          <cell r="B184" t="str">
            <v>Besi hollow 5/5</v>
          </cell>
          <cell r="C184" t="str">
            <v>Kg</v>
          </cell>
          <cell r="D184">
            <v>74462.500000000058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</row>
        <row r="185">
          <cell r="A185">
            <v>33</v>
          </cell>
          <cell r="B185" t="str">
            <v>Besi hollow 2/2</v>
          </cell>
          <cell r="C185" t="str">
            <v>Kg</v>
          </cell>
          <cell r="D185">
            <v>74462.500000000058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</row>
        <row r="186">
          <cell r="A186">
            <v>34</v>
          </cell>
          <cell r="B186" t="str">
            <v>Besi hollow 2/4</v>
          </cell>
          <cell r="C186" t="str">
            <v>Kg</v>
          </cell>
          <cell r="D186">
            <v>74462.500000000058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6.1991999999999994</v>
          </cell>
          <cell r="AZ186">
            <v>0</v>
          </cell>
          <cell r="BA186">
            <v>0</v>
          </cell>
          <cell r="BB186">
            <v>0</v>
          </cell>
          <cell r="BC186">
            <v>6.1991999999999994</v>
          </cell>
          <cell r="BD186">
            <v>461607.93000000034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</row>
        <row r="187">
          <cell r="A187">
            <v>35</v>
          </cell>
          <cell r="B187" t="str">
            <v>Kaca Tempered 12 mm</v>
          </cell>
          <cell r="C187" t="str">
            <v>M2</v>
          </cell>
          <cell r="D187">
            <v>528395.75</v>
          </cell>
          <cell r="E187">
            <v>4.3049999999999997</v>
          </cell>
          <cell r="F187">
            <v>2274743.7037499999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</row>
        <row r="188">
          <cell r="A188">
            <v>36</v>
          </cell>
          <cell r="B188" t="str">
            <v>Glass Block</v>
          </cell>
          <cell r="C188" t="str">
            <v>Bh</v>
          </cell>
          <cell r="D188">
            <v>45000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</row>
        <row r="189">
          <cell r="A189">
            <v>37</v>
          </cell>
          <cell r="B189" t="str">
            <v>Kaca Es</v>
          </cell>
          <cell r="C189" t="str">
            <v>M2</v>
          </cell>
          <cell r="D189">
            <v>66700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</row>
        <row r="190">
          <cell r="A190">
            <v>38</v>
          </cell>
          <cell r="B190" t="str">
            <v>Krepyak Kaca Nako + Kerangka</v>
          </cell>
          <cell r="C190" t="str">
            <v>M2</v>
          </cell>
          <cell r="D190">
            <v>81300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</row>
        <row r="191">
          <cell r="A191">
            <v>39</v>
          </cell>
          <cell r="B191" t="str">
            <v>Sticker Efek Kaca Es</v>
          </cell>
          <cell r="C191" t="str">
            <v>M2</v>
          </cell>
          <cell r="D191">
            <v>150000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4.1899999999999995</v>
          </cell>
          <cell r="T191">
            <v>628499.99999999988</v>
          </cell>
          <cell r="U191">
            <v>3.9323999999999999</v>
          </cell>
          <cell r="V191">
            <v>589860</v>
          </cell>
          <cell r="W191">
            <v>0</v>
          </cell>
          <cell r="X191">
            <v>0</v>
          </cell>
          <cell r="Y191">
            <v>0.16500000000000001</v>
          </cell>
          <cell r="Z191">
            <v>24750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0.31619999999999998</v>
          </cell>
          <cell r="AT191">
            <v>47430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</row>
        <row r="192">
          <cell r="A192">
            <v>40</v>
          </cell>
          <cell r="B192" t="str">
            <v>Rel Pintu Dorong</v>
          </cell>
          <cell r="C192" t="str">
            <v>M'</v>
          </cell>
          <cell r="D192">
            <v>275000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8.8000000000000007</v>
          </cell>
          <cell r="J192">
            <v>2420000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</row>
        <row r="193">
          <cell r="A193">
            <v>41</v>
          </cell>
          <cell r="B193" t="str">
            <v>Rolling Door</v>
          </cell>
          <cell r="C193" t="str">
            <v>M2</v>
          </cell>
          <cell r="D193">
            <v>358100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</row>
        <row r="194">
          <cell r="A194">
            <v>42</v>
          </cell>
          <cell r="B194" t="str">
            <v>Roster</v>
          </cell>
          <cell r="C194" t="str">
            <v>M2</v>
          </cell>
          <cell r="D194">
            <v>133850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530046</v>
          </cell>
          <cell r="BB194">
            <v>0</v>
          </cell>
          <cell r="BC194">
            <v>973089.50000000023</v>
          </cell>
          <cell r="BD194">
            <v>0</v>
          </cell>
          <cell r="BE194">
            <v>3.9600000000000004</v>
          </cell>
          <cell r="BF194">
            <v>530046</v>
          </cell>
          <cell r="BG194">
            <v>7.2700000000000014</v>
          </cell>
          <cell r="BH194">
            <v>973089.50000000023</v>
          </cell>
          <cell r="BI194">
            <v>0.64000000000000012</v>
          </cell>
          <cell r="BJ194">
            <v>85664.000000000015</v>
          </cell>
          <cell r="BK194">
            <v>0.64000000000000012</v>
          </cell>
          <cell r="BL194">
            <v>85664.000000000015</v>
          </cell>
          <cell r="BM194">
            <v>0.32000000000000006</v>
          </cell>
          <cell r="BN194">
            <v>42832.000000000007</v>
          </cell>
          <cell r="BO194">
            <v>0.72000000000000008</v>
          </cell>
          <cell r="BP194">
            <v>96372.000000000015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</row>
        <row r="195">
          <cell r="A195">
            <v>43</v>
          </cell>
          <cell r="B195" t="str">
            <v>Gipsum Board</v>
          </cell>
          <cell r="C195" t="str">
            <v>M2</v>
          </cell>
          <cell r="D195">
            <v>29000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</row>
        <row r="196">
          <cell r="A196">
            <v>44</v>
          </cell>
          <cell r="B196" t="str">
            <v>List Gipsum</v>
          </cell>
          <cell r="C196" t="str">
            <v>M'</v>
          </cell>
          <cell r="D196">
            <v>17300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</row>
        <row r="197">
          <cell r="A197">
            <v>45</v>
          </cell>
          <cell r="B197" t="str">
            <v>Sealent</v>
          </cell>
          <cell r="C197" t="str">
            <v>M'</v>
          </cell>
          <cell r="D197">
            <v>8400</v>
          </cell>
          <cell r="E197">
            <v>0</v>
          </cell>
          <cell r="F197">
            <v>0</v>
          </cell>
          <cell r="G197">
            <v>4.88</v>
          </cell>
          <cell r="H197">
            <v>40992</v>
          </cell>
          <cell r="I197">
            <v>4.88</v>
          </cell>
          <cell r="J197">
            <v>40992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40.319999999999993</v>
          </cell>
          <cell r="P197">
            <v>338687.99999999994</v>
          </cell>
          <cell r="Q197">
            <v>19.600000000000001</v>
          </cell>
          <cell r="R197">
            <v>164640</v>
          </cell>
          <cell r="S197">
            <v>58.63</v>
          </cell>
          <cell r="T197">
            <v>492492</v>
          </cell>
          <cell r="U197">
            <v>58.63</v>
          </cell>
          <cell r="V197">
            <v>492492</v>
          </cell>
          <cell r="W197">
            <v>5.6800000000000006</v>
          </cell>
          <cell r="X197">
            <v>47712.000000000007</v>
          </cell>
          <cell r="Y197">
            <v>5.6800000000000006</v>
          </cell>
          <cell r="Z197">
            <v>47712.000000000007</v>
          </cell>
          <cell r="AA197">
            <v>31</v>
          </cell>
          <cell r="AB197">
            <v>260400</v>
          </cell>
          <cell r="AC197">
            <v>31.400000000000002</v>
          </cell>
          <cell r="AD197">
            <v>263760</v>
          </cell>
          <cell r="AE197">
            <v>19.439999999999998</v>
          </cell>
          <cell r="AF197">
            <v>163295.99999999997</v>
          </cell>
          <cell r="AG197">
            <v>4.5999999999999996</v>
          </cell>
          <cell r="AH197">
            <v>38640</v>
          </cell>
          <cell r="AI197">
            <v>10.76</v>
          </cell>
          <cell r="AJ197">
            <v>90384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3.2800000000000002</v>
          </cell>
          <cell r="AR197">
            <v>27552.000000000004</v>
          </cell>
          <cell r="AS197">
            <v>3.2800000000000002</v>
          </cell>
          <cell r="AT197">
            <v>27552.000000000004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</row>
        <row r="198">
          <cell r="A198">
            <v>46</v>
          </cell>
          <cell r="B198" t="str">
            <v>Benangan Kusen</v>
          </cell>
          <cell r="C198" t="str">
            <v>M'</v>
          </cell>
          <cell r="D198">
            <v>4296.0074999999997</v>
          </cell>
          <cell r="E198">
            <v>6.1999999999999993</v>
          </cell>
          <cell r="F198">
            <v>26635.246499999994</v>
          </cell>
          <cell r="G198">
            <v>10.6</v>
          </cell>
          <cell r="H198">
            <v>45537.679499999998</v>
          </cell>
          <cell r="I198">
            <v>0</v>
          </cell>
          <cell r="J198">
            <v>0</v>
          </cell>
          <cell r="K198">
            <v>5.5990000000000002</v>
          </cell>
          <cell r="L198">
            <v>24053.345992499999</v>
          </cell>
          <cell r="M198">
            <v>5.7839999999999998</v>
          </cell>
          <cell r="N198">
            <v>24848.107379999998</v>
          </cell>
          <cell r="O198">
            <v>23.320000000000004</v>
          </cell>
          <cell r="P198">
            <v>100182.89490000001</v>
          </cell>
          <cell r="Q198">
            <v>13.5</v>
          </cell>
          <cell r="R198">
            <v>57996.101249999992</v>
          </cell>
          <cell r="S198">
            <v>21.6</v>
          </cell>
          <cell r="T198">
            <v>92793.762000000002</v>
          </cell>
          <cell r="U198">
            <v>21.6</v>
          </cell>
          <cell r="V198">
            <v>92793.762000000002</v>
          </cell>
          <cell r="W198">
            <v>6.4</v>
          </cell>
          <cell r="X198">
            <v>27494.448</v>
          </cell>
          <cell r="Y198">
            <v>6.4</v>
          </cell>
          <cell r="Z198">
            <v>27494.448</v>
          </cell>
          <cell r="AA198">
            <v>18.8</v>
          </cell>
          <cell r="AB198">
            <v>80764.940999999992</v>
          </cell>
          <cell r="AC198">
            <v>16.600000000000001</v>
          </cell>
          <cell r="AD198">
            <v>71313.724499999997</v>
          </cell>
          <cell r="AE198">
            <v>10.120000000000001</v>
          </cell>
          <cell r="AF198">
            <v>43475.5959</v>
          </cell>
          <cell r="AG198">
            <v>10</v>
          </cell>
          <cell r="AH198">
            <v>42960.074999999997</v>
          </cell>
          <cell r="AI198">
            <v>11.639999999999999</v>
          </cell>
          <cell r="AJ198">
            <v>50005.527299999994</v>
          </cell>
          <cell r="AK198">
            <v>20</v>
          </cell>
          <cell r="AL198">
            <v>85920.15</v>
          </cell>
          <cell r="AM198">
            <v>15.4</v>
          </cell>
          <cell r="AN198">
            <v>66158.515499999994</v>
          </cell>
          <cell r="AO198">
            <v>16.8</v>
          </cell>
          <cell r="AP198">
            <v>72172.925999999992</v>
          </cell>
          <cell r="AQ198">
            <v>4</v>
          </cell>
          <cell r="AR198">
            <v>17184.03</v>
          </cell>
          <cell r="AS198">
            <v>4</v>
          </cell>
          <cell r="AT198">
            <v>17184.03</v>
          </cell>
          <cell r="AU198">
            <v>4</v>
          </cell>
          <cell r="AV198">
            <v>17184.03</v>
          </cell>
          <cell r="AW198">
            <v>22.8</v>
          </cell>
          <cell r="AX198">
            <v>97948.97099999999</v>
          </cell>
          <cell r="AY198">
            <v>22.9</v>
          </cell>
          <cell r="AZ198">
            <v>98378.571749999988</v>
          </cell>
          <cell r="BA198">
            <v>39.200000000000003</v>
          </cell>
          <cell r="BB198">
            <v>168403.49400000001</v>
          </cell>
          <cell r="BC198">
            <v>0</v>
          </cell>
          <cell r="BD198">
            <v>0</v>
          </cell>
          <cell r="BE198">
            <v>69.599999999999994</v>
          </cell>
          <cell r="BF198">
            <v>299002.12199999997</v>
          </cell>
          <cell r="BG198">
            <v>117.6</v>
          </cell>
          <cell r="BH198">
            <v>505210.48199999996</v>
          </cell>
          <cell r="BI198">
            <v>8</v>
          </cell>
          <cell r="BJ198">
            <v>34368.06</v>
          </cell>
          <cell r="BK198">
            <v>8</v>
          </cell>
          <cell r="BL198">
            <v>34368.06</v>
          </cell>
          <cell r="BM198">
            <v>4.8000000000000007</v>
          </cell>
          <cell r="BN198">
            <v>20620.836000000003</v>
          </cell>
          <cell r="BO198">
            <v>15.200000000000001</v>
          </cell>
          <cell r="BP198">
            <v>65299.313999999998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</row>
        <row r="199">
          <cell r="A199">
            <v>47</v>
          </cell>
          <cell r="B199" t="str">
            <v xml:space="preserve">Cat Kayu </v>
          </cell>
          <cell r="C199" t="str">
            <v>M2</v>
          </cell>
          <cell r="D199">
            <v>19370.5</v>
          </cell>
          <cell r="E199">
            <v>0</v>
          </cell>
          <cell r="F199">
            <v>0</v>
          </cell>
          <cell r="G199">
            <v>4.68</v>
          </cell>
          <cell r="H199">
            <v>90653.939999999988</v>
          </cell>
          <cell r="I199">
            <v>4.7</v>
          </cell>
          <cell r="J199">
            <v>91041.35</v>
          </cell>
          <cell r="K199">
            <v>0</v>
          </cell>
          <cell r="L199">
            <v>0</v>
          </cell>
          <cell r="M199">
            <v>4.0991999999999997</v>
          </cell>
          <cell r="N199">
            <v>79403.553599999999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3.3503999999999992</v>
          </cell>
          <cell r="AL199">
            <v>64898.923199999983</v>
          </cell>
          <cell r="AM199">
            <v>2.2895999999999996</v>
          </cell>
          <cell r="AN199">
            <v>44350.696799999991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</row>
        <row r="200">
          <cell r="A200">
            <v>48</v>
          </cell>
          <cell r="B200" t="str">
            <v>Cat Besi</v>
          </cell>
          <cell r="C200" t="str">
            <v>M2</v>
          </cell>
          <cell r="D200">
            <v>13698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5.6445590696960588</v>
          </cell>
          <cell r="L200">
            <v>77319.170136696615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0.12169439999999999</v>
          </cell>
          <cell r="AL200">
            <v>1666.9698911999999</v>
          </cell>
          <cell r="AM200">
            <v>0.15644160000000001</v>
          </cell>
          <cell r="AN200">
            <v>2142.9370368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0.7439039999999999</v>
          </cell>
          <cell r="AZ200">
            <v>0</v>
          </cell>
          <cell r="BA200">
            <v>0</v>
          </cell>
          <cell r="BB200">
            <v>0</v>
          </cell>
          <cell r="BC200">
            <v>0.7439039999999999</v>
          </cell>
          <cell r="BD200">
            <v>10189.996991999998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</row>
        <row r="201">
          <cell r="A201">
            <v>49</v>
          </cell>
          <cell r="B201" t="str">
            <v>Cat Dinding</v>
          </cell>
          <cell r="C201" t="str">
            <v>M2</v>
          </cell>
          <cell r="D201">
            <v>9900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78408.000000000015</v>
          </cell>
          <cell r="BB201">
            <v>0</v>
          </cell>
          <cell r="BC201">
            <v>143946.00000000003</v>
          </cell>
          <cell r="BD201">
            <v>0</v>
          </cell>
          <cell r="BE201">
            <v>7.9200000000000008</v>
          </cell>
          <cell r="BF201">
            <v>78408.000000000015</v>
          </cell>
          <cell r="BG201">
            <v>14.540000000000003</v>
          </cell>
          <cell r="BH201">
            <v>143946.00000000003</v>
          </cell>
          <cell r="BI201">
            <v>1.2800000000000002</v>
          </cell>
          <cell r="BJ201">
            <v>12672.000000000002</v>
          </cell>
          <cell r="BK201">
            <v>1.2800000000000002</v>
          </cell>
          <cell r="BL201">
            <v>12672.000000000002</v>
          </cell>
          <cell r="BM201">
            <v>0.64000000000000012</v>
          </cell>
          <cell r="BN201">
            <v>6336.0000000000009</v>
          </cell>
          <cell r="BO201">
            <v>1.4400000000000002</v>
          </cell>
          <cell r="BP201">
            <v>14256.000000000002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</row>
        <row r="202">
          <cell r="A202">
            <v>50</v>
          </cell>
          <cell r="B202" t="str">
            <v>Plesteran Camprot</v>
          </cell>
          <cell r="C202" t="str">
            <v>M2</v>
          </cell>
          <cell r="D202">
            <v>14600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DR202">
            <v>0</v>
          </cell>
          <cell r="EB202">
            <v>0</v>
          </cell>
          <cell r="EL202">
            <v>0</v>
          </cell>
          <cell r="EV202">
            <v>0</v>
          </cell>
        </row>
        <row r="203">
          <cell r="A203">
            <v>51</v>
          </cell>
          <cell r="B203" t="str">
            <v>Rangka Metal Furring</v>
          </cell>
          <cell r="C203" t="str">
            <v>M'</v>
          </cell>
          <cell r="D203">
            <v>90000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</row>
        <row r="204">
          <cell r="A204">
            <v>0</v>
          </cell>
        </row>
        <row r="205">
          <cell r="B205" t="str">
            <v>Jumlah Harga</v>
          </cell>
          <cell r="C205">
            <v>3776944.5502499999</v>
          </cell>
          <cell r="D205">
            <v>1212064.3395</v>
          </cell>
          <cell r="E205">
            <v>2611716.79</v>
          </cell>
          <cell r="F205">
            <v>3776944.5502499999</v>
          </cell>
          <cell r="G205">
            <v>1690743.9109799999</v>
          </cell>
          <cell r="H205">
            <v>1212064.3395</v>
          </cell>
          <cell r="I205">
            <v>5374906.3450000007</v>
          </cell>
          <cell r="J205">
            <v>2611716.79</v>
          </cell>
          <cell r="K205">
            <v>3040012.6462500002</v>
          </cell>
          <cell r="L205">
            <v>1760337.7291291971</v>
          </cell>
          <cell r="M205">
            <v>196612.67557500003</v>
          </cell>
          <cell r="N205">
            <v>1690743.9109799999</v>
          </cell>
          <cell r="O205">
            <v>1129446.9055000001</v>
          </cell>
          <cell r="P205">
            <v>10353390.146775</v>
          </cell>
          <cell r="Q205">
            <v>435528.72000000003</v>
          </cell>
          <cell r="R205">
            <v>5374906.3450000007</v>
          </cell>
          <cell r="S205">
            <v>2224721.0070912</v>
          </cell>
          <cell r="T205">
            <v>3078652.6462499998</v>
          </cell>
          <cell r="U205">
            <v>639579.18224999995</v>
          </cell>
          <cell r="V205">
            <v>3040012.6462500002</v>
          </cell>
          <cell r="W205">
            <v>102711.3</v>
          </cell>
          <cell r="X205">
            <v>171862.67557500003</v>
          </cell>
          <cell r="Y205">
            <v>1081914.4709999999</v>
          </cell>
          <cell r="Z205">
            <v>196612.67557500003</v>
          </cell>
          <cell r="AA205">
            <v>2117592.2939999998</v>
          </cell>
          <cell r="AB205">
            <v>1441660.7220000001</v>
          </cell>
          <cell r="AC205">
            <v>907456.12199999997</v>
          </cell>
          <cell r="AD205">
            <v>1129446.9055000001</v>
          </cell>
          <cell r="AE205">
            <v>132704.06000000003</v>
          </cell>
          <cell r="AF205">
            <v>1016874.9389</v>
          </cell>
          <cell r="AG205">
            <v>0</v>
          </cell>
          <cell r="AH205">
            <v>435528.72000000003</v>
          </cell>
          <cell r="AI205">
            <v>0</v>
          </cell>
          <cell r="AJ205">
            <v>583095.27408749994</v>
          </cell>
          <cell r="AK205">
            <v>0</v>
          </cell>
          <cell r="AL205">
            <v>2224721.0070912</v>
          </cell>
          <cell r="AM205">
            <v>0</v>
          </cell>
          <cell r="AN205">
            <v>1706171.6733768</v>
          </cell>
          <cell r="AO205">
            <v>0</v>
          </cell>
          <cell r="AP205">
            <v>639579.18224999995</v>
          </cell>
          <cell r="AQ205">
            <v>0</v>
          </cell>
          <cell r="AR205">
            <v>55281.3</v>
          </cell>
          <cell r="AS205">
            <v>0</v>
          </cell>
          <cell r="AT205">
            <v>102711.3</v>
          </cell>
          <cell r="AU205">
            <v>0</v>
          </cell>
          <cell r="AV205">
            <v>119641.39</v>
          </cell>
          <cell r="AW205">
            <v>0</v>
          </cell>
          <cell r="AX205">
            <v>1081914.4709999999</v>
          </cell>
          <cell r="AY205">
            <v>0</v>
          </cell>
          <cell r="AZ205">
            <v>1072972.9717499998</v>
          </cell>
          <cell r="BA205">
            <v>0</v>
          </cell>
          <cell r="BB205">
            <v>2117592.2939999998</v>
          </cell>
          <cell r="BC205">
            <v>0</v>
          </cell>
          <cell r="BD205">
            <v>1524015.9269920003</v>
          </cell>
          <cell r="BE205">
            <v>0</v>
          </cell>
          <cell r="BF205">
            <v>907456.12199999997</v>
          </cell>
          <cell r="BG205">
            <v>0</v>
          </cell>
          <cell r="BH205">
            <v>1622245.9820000003</v>
          </cell>
          <cell r="BI205">
            <v>0</v>
          </cell>
          <cell r="BJ205">
            <v>132704.06000000003</v>
          </cell>
          <cell r="BK205">
            <v>0</v>
          </cell>
          <cell r="BL205">
            <v>132704.06000000003</v>
          </cell>
          <cell r="BM205">
            <v>0</v>
          </cell>
          <cell r="BN205">
            <v>69788.83600000001</v>
          </cell>
          <cell r="BO205">
            <v>0</v>
          </cell>
          <cell r="BP205">
            <v>175927.31400000001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X205">
            <v>102711.3</v>
          </cell>
          <cell r="DH205">
            <v>119641.39</v>
          </cell>
          <cell r="DR205">
            <v>1081914.4709999999</v>
          </cell>
          <cell r="EB205">
            <v>1072972.9717499998</v>
          </cell>
          <cell r="EL205">
            <v>2117592.2939999998</v>
          </cell>
          <cell r="EV205">
            <v>1524015.9269920003</v>
          </cell>
          <cell r="FF205">
            <v>907456.12199999997</v>
          </cell>
          <cell r="FP205">
            <v>1622245.9820000003</v>
          </cell>
          <cell r="FZ205">
            <v>132704.06000000003</v>
          </cell>
        </row>
        <row r="206">
          <cell r="F206">
            <v>6424805.5502499994</v>
          </cell>
          <cell r="G206">
            <v>4349487.5559539944</v>
          </cell>
          <cell r="H206">
            <v>2566512.0490891971</v>
          </cell>
          <cell r="I206">
            <v>1690743.9109799999</v>
          </cell>
          <cell r="J206">
            <v>4349487.5559539944</v>
          </cell>
          <cell r="K206">
            <v>5374906.3450000007</v>
          </cell>
          <cell r="L206">
            <v>2566512.0490891971</v>
          </cell>
          <cell r="M206">
            <v>3087805.2562500001</v>
          </cell>
          <cell r="N206">
            <v>1690743.9109799999</v>
          </cell>
          <cell r="O206">
            <v>196612.67557500003</v>
          </cell>
          <cell r="P206">
            <v>10353390.146775</v>
          </cell>
          <cell r="Q206">
            <v>1129446.9055000001</v>
          </cell>
          <cell r="R206">
            <v>5374906.3450000007</v>
          </cell>
          <cell r="S206" t="str">
            <v>J8 TK = J10 SD</v>
          </cell>
          <cell r="T206">
            <v>3126445.2562500001</v>
          </cell>
          <cell r="U206">
            <v>0</v>
          </cell>
          <cell r="V206">
            <v>3087805.2562500001</v>
          </cell>
          <cell r="W206">
            <v>0</v>
          </cell>
          <cell r="X206">
            <v>171862.67557500003</v>
          </cell>
          <cell r="Y206">
            <v>0</v>
          </cell>
          <cell r="Z206">
            <v>196612.67557500003</v>
          </cell>
          <cell r="AA206">
            <v>0</v>
          </cell>
          <cell r="AB206">
            <v>1497887.3220000002</v>
          </cell>
          <cell r="AC206">
            <v>0</v>
          </cell>
          <cell r="AD206">
            <v>1129446.9055000001</v>
          </cell>
          <cell r="AE206">
            <v>0</v>
          </cell>
          <cell r="AF206">
            <v>0</v>
          </cell>
          <cell r="AG206">
            <v>0</v>
          </cell>
          <cell r="AH206" t="str">
            <v>J7 TK = J9 SD</v>
          </cell>
          <cell r="AI206">
            <v>0</v>
          </cell>
          <cell r="AJ206" t="str">
            <v>J8 TK = J10 SD</v>
          </cell>
        </row>
        <row r="207">
          <cell r="J207">
            <v>-1737770.7659539944</v>
          </cell>
          <cell r="K207">
            <v>-806174.31995999999</v>
          </cell>
          <cell r="L207">
            <v>-806174.31995999999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R208">
            <v>0</v>
          </cell>
        </row>
        <row r="209">
          <cell r="A209" t="str">
            <v>No.</v>
          </cell>
          <cell r="B209" t="str">
            <v>Item Pekerjaan</v>
          </cell>
          <cell r="C209" t="str">
            <v>Satuan</v>
          </cell>
          <cell r="D209" t="str">
            <v>Harga Satuan</v>
          </cell>
          <cell r="E209" t="str">
            <v>P1</v>
          </cell>
          <cell r="F209" t="str">
            <v>P2</v>
          </cell>
          <cell r="G209" t="str">
            <v>P2</v>
          </cell>
          <cell r="H209" t="str">
            <v>P4</v>
          </cell>
          <cell r="I209" t="str">
            <v>P3</v>
          </cell>
          <cell r="J209" t="str">
            <v>P6</v>
          </cell>
          <cell r="K209" t="str">
            <v>P4</v>
          </cell>
          <cell r="L209" t="str">
            <v>P8</v>
          </cell>
          <cell r="M209" t="str">
            <v>P5</v>
          </cell>
          <cell r="N209" t="str">
            <v>J1</v>
          </cell>
          <cell r="O209" t="str">
            <v>P6</v>
          </cell>
          <cell r="P209" t="str">
            <v>J2</v>
          </cell>
          <cell r="Q209" t="str">
            <v>P7</v>
          </cell>
          <cell r="R209" t="str">
            <v>J3</v>
          </cell>
          <cell r="S209" t="str">
            <v>P8</v>
          </cell>
          <cell r="T209" t="str">
            <v>J5</v>
          </cell>
          <cell r="U209" t="str">
            <v>P9</v>
          </cell>
          <cell r="V209" t="str">
            <v>J7</v>
          </cell>
          <cell r="W209" t="str">
            <v>J1</v>
          </cell>
          <cell r="X209" t="str">
            <v>BV1</v>
          </cell>
          <cell r="Y209" t="str">
            <v>J1'</v>
          </cell>
          <cell r="Z209" t="str">
            <v>M2</v>
          </cell>
          <cell r="AA209" t="str">
            <v>J2</v>
          </cell>
          <cell r="AB209" t="str">
            <v>R1</v>
          </cell>
          <cell r="AC209" t="str">
            <v>J2'</v>
          </cell>
          <cell r="AD209" t="str">
            <v>R2</v>
          </cell>
          <cell r="AE209" t="str">
            <v>J3</v>
          </cell>
          <cell r="AF209" t="str">
            <v>R3</v>
          </cell>
          <cell r="AG209" t="str">
            <v>J4</v>
          </cell>
          <cell r="AH209" t="str">
            <v>R5</v>
          </cell>
          <cell r="AI209" t="str">
            <v>J5</v>
          </cell>
          <cell r="AJ209" t="str">
            <v>R7</v>
          </cell>
          <cell r="AK209" t="str">
            <v>J6</v>
          </cell>
          <cell r="AL209" t="str">
            <v>R9</v>
          </cell>
          <cell r="AM209" t="str">
            <v>J7</v>
          </cell>
          <cell r="AN209" t="str">
            <v>R10'</v>
          </cell>
          <cell r="AO209" t="str">
            <v>J8</v>
          </cell>
          <cell r="AP209" t="str">
            <v>R11'</v>
          </cell>
          <cell r="AQ209" t="str">
            <v>BV1</v>
          </cell>
          <cell r="AR209" t="str">
            <v>R13</v>
          </cell>
          <cell r="AS209" t="str">
            <v>M1</v>
          </cell>
          <cell r="AT209" t="str">
            <v>R15</v>
          </cell>
          <cell r="AU209" t="str">
            <v>M2</v>
          </cell>
          <cell r="AV209" t="str">
            <v>R17</v>
          </cell>
          <cell r="AW209" t="str">
            <v>M3</v>
          </cell>
          <cell r="AX209">
            <v>0</v>
          </cell>
          <cell r="AY209" t="str">
            <v>R1</v>
          </cell>
          <cell r="AZ209">
            <v>0</v>
          </cell>
          <cell r="BA209" t="str">
            <v>R1'</v>
          </cell>
          <cell r="BB209">
            <v>0</v>
          </cell>
          <cell r="BC209" t="str">
            <v>R2</v>
          </cell>
          <cell r="BD209">
            <v>0</v>
          </cell>
          <cell r="BE209" t="str">
            <v>R2'</v>
          </cell>
          <cell r="BF209">
            <v>0</v>
          </cell>
          <cell r="BG209" t="str">
            <v>R3</v>
          </cell>
          <cell r="BH209">
            <v>0</v>
          </cell>
          <cell r="BI209" t="str">
            <v>R4</v>
          </cell>
          <cell r="BJ209">
            <v>0</v>
          </cell>
          <cell r="BK209" t="str">
            <v>R5</v>
          </cell>
          <cell r="BL209">
            <v>0</v>
          </cell>
          <cell r="BM209" t="str">
            <v>R6</v>
          </cell>
          <cell r="BN209">
            <v>0</v>
          </cell>
          <cell r="BO209" t="str">
            <v>R7</v>
          </cell>
          <cell r="BP209">
            <v>0</v>
          </cell>
          <cell r="BQ209" t="str">
            <v>R8</v>
          </cell>
          <cell r="BR209">
            <v>0</v>
          </cell>
          <cell r="BS209" t="str">
            <v>R9</v>
          </cell>
          <cell r="BT209">
            <v>0</v>
          </cell>
          <cell r="BU209" t="str">
            <v>R10</v>
          </cell>
          <cell r="BV209">
            <v>0</v>
          </cell>
          <cell r="BW209" t="str">
            <v>R10'</v>
          </cell>
          <cell r="BX209">
            <v>0</v>
          </cell>
          <cell r="BY209" t="str">
            <v>R11</v>
          </cell>
          <cell r="BZ209">
            <v>0</v>
          </cell>
          <cell r="CA209" t="str">
            <v>R11'</v>
          </cell>
          <cell r="CB209">
            <v>0</v>
          </cell>
          <cell r="CC209" t="str">
            <v>R12</v>
          </cell>
          <cell r="CD209">
            <v>0</v>
          </cell>
          <cell r="CE209" t="str">
            <v>R13</v>
          </cell>
          <cell r="CF209">
            <v>0</v>
          </cell>
          <cell r="CG209" t="str">
            <v>R14</v>
          </cell>
          <cell r="CH209">
            <v>0</v>
          </cell>
          <cell r="CI209" t="str">
            <v>R15</v>
          </cell>
          <cell r="CJ209">
            <v>0</v>
          </cell>
          <cell r="CK209" t="str">
            <v>R16</v>
          </cell>
          <cell r="CL209">
            <v>0</v>
          </cell>
          <cell r="CM209" t="str">
            <v>R17</v>
          </cell>
          <cell r="CN209">
            <v>0</v>
          </cell>
          <cell r="CO209" t="str">
            <v>R18</v>
          </cell>
        </row>
        <row r="210">
          <cell r="D210" t="str">
            <v>Rp.</v>
          </cell>
          <cell r="E210" t="str">
            <v>Vol.</v>
          </cell>
          <cell r="F210" t="str">
            <v>Jumlah Harga</v>
          </cell>
          <cell r="G210" t="str">
            <v>Vol.</v>
          </cell>
          <cell r="H210" t="str">
            <v>Jumlah Harga</v>
          </cell>
          <cell r="I210" t="str">
            <v>Vol.</v>
          </cell>
          <cell r="J210" t="str">
            <v>Jumlah Harga</v>
          </cell>
          <cell r="K210" t="str">
            <v>Vol.</v>
          </cell>
          <cell r="L210" t="str">
            <v>Jumlah Harga</v>
          </cell>
          <cell r="M210" t="str">
            <v>Vol.</v>
          </cell>
          <cell r="N210" t="str">
            <v>Jumlah Harga</v>
          </cell>
          <cell r="O210" t="str">
            <v>Vol.</v>
          </cell>
          <cell r="P210" t="str">
            <v>Jumlah Harga</v>
          </cell>
          <cell r="Q210" t="str">
            <v>Vol.</v>
          </cell>
          <cell r="R210" t="str">
            <v>Jumlah Harga</v>
          </cell>
          <cell r="S210" t="str">
            <v>Vol.</v>
          </cell>
          <cell r="T210" t="str">
            <v>Jumlah Harga</v>
          </cell>
          <cell r="U210" t="str">
            <v>Vol.</v>
          </cell>
          <cell r="V210" t="str">
            <v>Jumlah Harga</v>
          </cell>
          <cell r="W210" t="str">
            <v>Vol.</v>
          </cell>
          <cell r="X210" t="str">
            <v>Jumlah Harga</v>
          </cell>
          <cell r="Y210" t="str">
            <v>Vol.</v>
          </cell>
          <cell r="Z210" t="str">
            <v>Jumlah Harga</v>
          </cell>
          <cell r="AA210" t="str">
            <v>Vol.</v>
          </cell>
          <cell r="AB210" t="str">
            <v>Jumlah Harga</v>
          </cell>
          <cell r="AC210" t="str">
            <v>Vol.</v>
          </cell>
          <cell r="AD210" t="str">
            <v>Jumlah Harga</v>
          </cell>
          <cell r="AE210" t="str">
            <v>Vol.</v>
          </cell>
          <cell r="AF210" t="str">
            <v>Jumlah Harga</v>
          </cell>
          <cell r="AG210" t="str">
            <v>Vol.</v>
          </cell>
          <cell r="AH210" t="str">
            <v>Jumlah Harga</v>
          </cell>
          <cell r="AI210" t="str">
            <v>Vol.</v>
          </cell>
          <cell r="AJ210" t="str">
            <v>Jumlah Harga</v>
          </cell>
          <cell r="AK210" t="str">
            <v>Vol.</v>
          </cell>
          <cell r="AL210" t="str">
            <v>Jumlah Harga</v>
          </cell>
          <cell r="AM210" t="str">
            <v>Vol.</v>
          </cell>
          <cell r="AN210" t="str">
            <v>Jumlah Harga</v>
          </cell>
          <cell r="AO210" t="str">
            <v>Vol.</v>
          </cell>
          <cell r="AP210" t="str">
            <v>Jumlah Harga</v>
          </cell>
          <cell r="AQ210" t="str">
            <v>Vol.</v>
          </cell>
          <cell r="AR210" t="str">
            <v>Jumlah Harga</v>
          </cell>
          <cell r="AS210" t="str">
            <v>Vol.</v>
          </cell>
          <cell r="AT210" t="str">
            <v>Jumlah Harga</v>
          </cell>
          <cell r="AU210" t="str">
            <v>Vol.</v>
          </cell>
          <cell r="AV210" t="str">
            <v>Jumlah Harga</v>
          </cell>
          <cell r="AW210" t="str">
            <v>Vol.</v>
          </cell>
          <cell r="AX210" t="str">
            <v>Jumlah Harga</v>
          </cell>
          <cell r="AY210" t="str">
            <v>Vol.</v>
          </cell>
          <cell r="AZ210" t="str">
            <v>Jumlah Harga</v>
          </cell>
          <cell r="BA210" t="str">
            <v>Vol.</v>
          </cell>
          <cell r="BB210" t="str">
            <v>Jumlah Harga</v>
          </cell>
          <cell r="BC210" t="str">
            <v>Vol.</v>
          </cell>
          <cell r="BD210" t="str">
            <v>Jumlah Harga</v>
          </cell>
          <cell r="BE210" t="str">
            <v>Vol.</v>
          </cell>
          <cell r="BF210" t="str">
            <v>Jumlah Harga</v>
          </cell>
          <cell r="BG210" t="str">
            <v>Vol.</v>
          </cell>
          <cell r="BH210" t="str">
            <v>Jumlah Harga</v>
          </cell>
          <cell r="BI210" t="str">
            <v>Vol.</v>
          </cell>
          <cell r="BJ210" t="str">
            <v>Jumlah Harga</v>
          </cell>
          <cell r="BK210" t="str">
            <v>Vol.</v>
          </cell>
          <cell r="BL210" t="str">
            <v>Jumlah Harga</v>
          </cell>
          <cell r="BM210" t="str">
            <v>Vol.</v>
          </cell>
          <cell r="BN210" t="str">
            <v>Jumlah Harga</v>
          </cell>
          <cell r="BO210" t="str">
            <v>Vol.</v>
          </cell>
          <cell r="BP210" t="str">
            <v>Jumlah Harga</v>
          </cell>
          <cell r="BQ210" t="str">
            <v>Vol.</v>
          </cell>
          <cell r="BR210" t="str">
            <v>Jumlah Harga</v>
          </cell>
          <cell r="BS210" t="str">
            <v>Vol.</v>
          </cell>
          <cell r="BT210" t="str">
            <v>Jumlah Harga</v>
          </cell>
          <cell r="BU210" t="str">
            <v>Vol.</v>
          </cell>
          <cell r="BV210" t="str">
            <v>Jumlah Harga</v>
          </cell>
          <cell r="BW210" t="str">
            <v>Vol.</v>
          </cell>
          <cell r="BX210" t="str">
            <v>Jumlah Harga</v>
          </cell>
          <cell r="BY210" t="str">
            <v>Vol.</v>
          </cell>
          <cell r="BZ210" t="str">
            <v>Jumlah Harga</v>
          </cell>
          <cell r="CA210" t="str">
            <v>Vol.</v>
          </cell>
          <cell r="CB210" t="str">
            <v>Jumlah Harga</v>
          </cell>
          <cell r="CC210" t="str">
            <v>Vol.</v>
          </cell>
          <cell r="CD210" t="str">
            <v>Jumlah Harga</v>
          </cell>
          <cell r="CE210" t="str">
            <v>Vol.</v>
          </cell>
          <cell r="CF210" t="str">
            <v>Jumlah Harga</v>
          </cell>
          <cell r="CG210" t="str">
            <v>Vol.</v>
          </cell>
          <cell r="CH210" t="str">
            <v>Jumlah Harga</v>
          </cell>
          <cell r="CI210" t="str">
            <v>Vol.</v>
          </cell>
          <cell r="CJ210" t="str">
            <v>Jumlah Harga</v>
          </cell>
          <cell r="CK210" t="str">
            <v>Vol.</v>
          </cell>
          <cell r="CL210" t="str">
            <v>Jumlah Harga</v>
          </cell>
          <cell r="CM210" t="str">
            <v>Vol.</v>
          </cell>
          <cell r="CN210" t="str">
            <v>Jumlah Harga</v>
          </cell>
          <cell r="CO210" t="str">
            <v>Vol.</v>
          </cell>
          <cell r="CP210" t="str">
            <v>Jumlah Harga</v>
          </cell>
        </row>
        <row r="211">
          <cell r="A211" t="str">
            <v>I.</v>
          </cell>
          <cell r="B211" t="str">
            <v>UNIT BANGUNAN SMA</v>
          </cell>
          <cell r="D211" t="str">
            <v>Rp.</v>
          </cell>
          <cell r="E211" t="str">
            <v>Vol.</v>
          </cell>
          <cell r="F211" t="str">
            <v>Jumlah Harga</v>
          </cell>
          <cell r="G211" t="str">
            <v>Vol.</v>
          </cell>
          <cell r="H211" t="str">
            <v>Jumlah Harga</v>
          </cell>
          <cell r="I211" t="str">
            <v>Vol.</v>
          </cell>
          <cell r="J211" t="str">
            <v>Jumlah Harga</v>
          </cell>
          <cell r="K211" t="str">
            <v>Vol.</v>
          </cell>
          <cell r="L211" t="str">
            <v>Jumlah Harga</v>
          </cell>
          <cell r="M211" t="str">
            <v>Vol.</v>
          </cell>
          <cell r="N211" t="str">
            <v>Jumlah Harga</v>
          </cell>
          <cell r="O211" t="str">
            <v>Vol.</v>
          </cell>
          <cell r="P211" t="str">
            <v>Jumlah Harga</v>
          </cell>
          <cell r="Q211" t="str">
            <v>Vol.</v>
          </cell>
          <cell r="R211" t="str">
            <v>Jumlah Harga</v>
          </cell>
          <cell r="S211" t="str">
            <v>Vol.</v>
          </cell>
          <cell r="T211" t="str">
            <v>Jumlah Harga</v>
          </cell>
          <cell r="U211" t="str">
            <v>Vol.</v>
          </cell>
          <cell r="V211" t="str">
            <v>Jumlah Harga</v>
          </cell>
          <cell r="W211" t="str">
            <v>Vol.</v>
          </cell>
          <cell r="X211" t="str">
            <v>Jumlah Harga</v>
          </cell>
          <cell r="Y211" t="str">
            <v>Vol.</v>
          </cell>
          <cell r="Z211" t="str">
            <v>Jumlah Harga</v>
          </cell>
          <cell r="AA211" t="str">
            <v>Vol.</v>
          </cell>
          <cell r="AB211" t="str">
            <v>Jumlah Harga</v>
          </cell>
          <cell r="AC211" t="str">
            <v>Vol.</v>
          </cell>
          <cell r="AD211" t="str">
            <v>Jumlah Harga</v>
          </cell>
          <cell r="AE211" t="str">
            <v>Vol.</v>
          </cell>
          <cell r="AF211" t="str">
            <v>Jumlah Harga</v>
          </cell>
          <cell r="AG211" t="str">
            <v>Vol.</v>
          </cell>
          <cell r="AH211" t="str">
            <v>Jumlah Harga</v>
          </cell>
          <cell r="AI211" t="str">
            <v>Vol.</v>
          </cell>
          <cell r="AJ211" t="str">
            <v>Jumlah Harga</v>
          </cell>
          <cell r="AK211" t="str">
            <v>Vol.</v>
          </cell>
          <cell r="AL211" t="str">
            <v>Jumlah Harga</v>
          </cell>
          <cell r="AM211" t="str">
            <v>Vol.</v>
          </cell>
          <cell r="AN211" t="str">
            <v>Jumlah Harga</v>
          </cell>
          <cell r="AO211" t="str">
            <v>Vol.</v>
          </cell>
          <cell r="AP211" t="str">
            <v>Jumlah Harga</v>
          </cell>
          <cell r="AQ211" t="str">
            <v>Vol.</v>
          </cell>
          <cell r="AR211" t="str">
            <v>Jumlah Harga</v>
          </cell>
          <cell r="AS211" t="str">
            <v>Vol.</v>
          </cell>
          <cell r="AT211" t="str">
            <v>Jumlah Harga</v>
          </cell>
          <cell r="AU211" t="str">
            <v>Vol.</v>
          </cell>
          <cell r="AV211" t="str">
            <v>Jumlah Harga</v>
          </cell>
          <cell r="AW211" t="str">
            <v>Vol.</v>
          </cell>
          <cell r="AX211" t="str">
            <v>Jumlah Harga</v>
          </cell>
          <cell r="AY211" t="str">
            <v>Vol.</v>
          </cell>
          <cell r="AZ211" t="str">
            <v>Jumlah Harga</v>
          </cell>
          <cell r="BA211" t="str">
            <v>Vol.</v>
          </cell>
          <cell r="BB211" t="str">
            <v>Jumlah Harga</v>
          </cell>
          <cell r="BC211" t="str">
            <v>Vol.</v>
          </cell>
          <cell r="BD211" t="str">
            <v>Jumlah Harga</v>
          </cell>
          <cell r="BE211" t="str">
            <v>Vol.</v>
          </cell>
          <cell r="BF211" t="str">
            <v>Jumlah Harga</v>
          </cell>
          <cell r="BG211" t="str">
            <v>Vol.</v>
          </cell>
          <cell r="BH211" t="str">
            <v>Jumlah Harga</v>
          </cell>
          <cell r="BI211" t="str">
            <v>Vol.</v>
          </cell>
          <cell r="BJ211" t="str">
            <v>Jumlah Harga</v>
          </cell>
          <cell r="BK211" t="str">
            <v>Vol.</v>
          </cell>
          <cell r="BL211" t="str">
            <v>Jumlah Harga</v>
          </cell>
          <cell r="BM211" t="str">
            <v>Vol.</v>
          </cell>
          <cell r="BN211" t="str">
            <v>Jumlah Harga</v>
          </cell>
          <cell r="BO211" t="str">
            <v>Vol.</v>
          </cell>
          <cell r="BP211" t="str">
            <v>Jumlah Harga</v>
          </cell>
          <cell r="BQ211" t="str">
            <v>Vol.</v>
          </cell>
          <cell r="BR211" t="str">
            <v>Jumlah Harga</v>
          </cell>
          <cell r="BS211" t="str">
            <v>Vol.</v>
          </cell>
          <cell r="BT211" t="str">
            <v>Jumlah Harga</v>
          </cell>
          <cell r="BU211" t="str">
            <v>Vol.</v>
          </cell>
          <cell r="BV211" t="str">
            <v>Jumlah Harga</v>
          </cell>
          <cell r="BW211" t="str">
            <v>Vol.</v>
          </cell>
          <cell r="BX211" t="str">
            <v>Jumlah Harga</v>
          </cell>
          <cell r="BY211" t="str">
            <v>Vol.</v>
          </cell>
          <cell r="BZ211" t="str">
            <v>Jumlah Harga</v>
          </cell>
          <cell r="CA211" t="str">
            <v>Vol.</v>
          </cell>
          <cell r="CB211" t="str">
            <v>Jumlah Harga</v>
          </cell>
          <cell r="CC211" t="str">
            <v>Vol.</v>
          </cell>
          <cell r="CD211" t="str">
            <v>Jumlah Harga</v>
          </cell>
          <cell r="CE211" t="str">
            <v>Vol.</v>
          </cell>
          <cell r="CF211" t="str">
            <v>Jumlah Harga</v>
          </cell>
          <cell r="CG211" t="str">
            <v>Vol.</v>
          </cell>
          <cell r="CH211" t="str">
            <v>Jumlah Harga</v>
          </cell>
          <cell r="CI211" t="str">
            <v>Vol.</v>
          </cell>
          <cell r="CJ211" t="str">
            <v>Jumlah Harga</v>
          </cell>
          <cell r="CK211" t="str">
            <v>Vol.</v>
          </cell>
          <cell r="CL211" t="str">
            <v>Jumlah Harga</v>
          </cell>
          <cell r="CM211" t="str">
            <v>Vol.</v>
          </cell>
          <cell r="CN211" t="str">
            <v>Jumlah Harga</v>
          </cell>
          <cell r="CO211" t="str">
            <v>Vol.</v>
          </cell>
          <cell r="CP211" t="str">
            <v>Jumlah Harga</v>
          </cell>
        </row>
        <row r="212">
          <cell r="A212" t="str">
            <v>I.</v>
          </cell>
          <cell r="B212" t="str">
            <v>UNIT BANGUNAN SMA</v>
          </cell>
        </row>
        <row r="213">
          <cell r="A213">
            <v>1</v>
          </cell>
          <cell r="B213" t="str">
            <v>Kayu 6/12</v>
          </cell>
          <cell r="C213" t="str">
            <v>M3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3.6144000000000003E-2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6.0400000000000011E-3</v>
          </cell>
          <cell r="R213">
            <v>0</v>
          </cell>
          <cell r="S213">
            <v>2.8E-3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1.12E-2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</row>
        <row r="214">
          <cell r="A214">
            <v>2</v>
          </cell>
          <cell r="B214" t="str">
            <v>Kayu Slimar 3/10</v>
          </cell>
          <cell r="C214" t="str">
            <v>M3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1.4159999999999999E-2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2.8E-3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3.2000000000000006E-3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</row>
        <row r="215">
          <cell r="A215">
            <v>3</v>
          </cell>
          <cell r="B215" t="str">
            <v>Kayu Slimar 3/15</v>
          </cell>
          <cell r="C215" t="str">
            <v>M3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2.6999999999999997E-3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1.28</v>
          </cell>
          <cell r="R215">
            <v>0</v>
          </cell>
          <cell r="S215">
            <v>2.8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3.2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</row>
        <row r="216">
          <cell r="A216">
            <v>4</v>
          </cell>
          <cell r="B216" t="str">
            <v>Kayu Slimar 3/20</v>
          </cell>
          <cell r="C216" t="str">
            <v>M3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3.5999999999999999E-3</v>
          </cell>
          <cell r="L216">
            <v>0</v>
          </cell>
          <cell r="M216">
            <v>0</v>
          </cell>
          <cell r="N216">
            <v>0</v>
          </cell>
          <cell r="O216">
            <v>1.44</v>
          </cell>
          <cell r="P216">
            <v>0</v>
          </cell>
          <cell r="Q216">
            <v>1.1000000000000001</v>
          </cell>
          <cell r="R216">
            <v>0</v>
          </cell>
          <cell r="S216">
            <v>1.2949999999999999</v>
          </cell>
          <cell r="T216">
            <v>0</v>
          </cell>
          <cell r="U216">
            <v>0.48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3.6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</row>
        <row r="217">
          <cell r="A217">
            <v>5</v>
          </cell>
          <cell r="B217" t="str">
            <v>Kayu 2/10</v>
          </cell>
          <cell r="C217" t="str">
            <v>M3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5.4000000000000012E-3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3.5999999999999996</v>
          </cell>
          <cell r="R217">
            <v>0</v>
          </cell>
          <cell r="S217">
            <v>4.5999999999999996</v>
          </cell>
          <cell r="T217">
            <v>0</v>
          </cell>
          <cell r="U217">
            <v>0</v>
          </cell>
          <cell r="V217">
            <v>0</v>
          </cell>
          <cell r="W217">
            <v>12.399999999999999</v>
          </cell>
          <cell r="X217">
            <v>0</v>
          </cell>
          <cell r="Y217">
            <v>12.399999999999999</v>
          </cell>
          <cell r="Z217">
            <v>0</v>
          </cell>
          <cell r="AA217">
            <v>17.399999999999999</v>
          </cell>
          <cell r="AB217">
            <v>0</v>
          </cell>
          <cell r="AC217">
            <v>17.399999999999999</v>
          </cell>
          <cell r="AD217">
            <v>0</v>
          </cell>
          <cell r="AE217">
            <v>9.3500000000000014</v>
          </cell>
          <cell r="AF217">
            <v>0</v>
          </cell>
          <cell r="AG217">
            <v>4</v>
          </cell>
          <cell r="AH217">
            <v>0</v>
          </cell>
          <cell r="AI217">
            <v>6.3999999999999995</v>
          </cell>
          <cell r="AJ217">
            <v>0</v>
          </cell>
          <cell r="AK217">
            <v>5.9</v>
          </cell>
          <cell r="AL217">
            <v>0</v>
          </cell>
          <cell r="AM217">
            <v>46.699999999999996</v>
          </cell>
          <cell r="AN217">
            <v>0</v>
          </cell>
          <cell r="AO217">
            <v>4</v>
          </cell>
          <cell r="AP217">
            <v>0</v>
          </cell>
          <cell r="AQ217">
            <v>3.2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4.9000000000000004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</row>
        <row r="218">
          <cell r="A218">
            <v>6</v>
          </cell>
          <cell r="B218" t="str">
            <v>Panil t = 3 cm</v>
          </cell>
          <cell r="C218" t="str">
            <v>M2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0.49500000000000005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</row>
        <row r="219">
          <cell r="A219">
            <v>1</v>
          </cell>
          <cell r="B219" t="str">
            <v>Kusen Aluminium 5/10</v>
          </cell>
          <cell r="C219" t="str">
            <v>M'</v>
          </cell>
          <cell r="D219">
            <v>124948</v>
          </cell>
          <cell r="E219">
            <v>6.1999999999999993</v>
          </cell>
          <cell r="F219">
            <v>774677.59999999986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5</v>
          </cell>
          <cell r="L219">
            <v>624740</v>
          </cell>
          <cell r="M219">
            <v>6.1999999999999993</v>
          </cell>
          <cell r="N219">
            <v>774677.59999999986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</row>
        <row r="220">
          <cell r="A220">
            <v>2</v>
          </cell>
          <cell r="B220" t="str">
            <v xml:space="preserve">Rangka Daun Jendela Alumunium </v>
          </cell>
          <cell r="C220" t="str">
            <v>M'</v>
          </cell>
          <cell r="D220">
            <v>124948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</row>
        <row r="221">
          <cell r="A221">
            <v>3</v>
          </cell>
          <cell r="B221" t="str">
            <v>Rangka Tiang Sirip Alumunium 1/1 Putih</v>
          </cell>
          <cell r="C221" t="str">
            <v>M'</v>
          </cell>
          <cell r="D221">
            <v>62474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2.8499999999999996</v>
          </cell>
          <cell r="V221">
            <v>0</v>
          </cell>
          <cell r="W221">
            <v>2.8499999999999996</v>
          </cell>
          <cell r="X221">
            <v>178050.89999999997</v>
          </cell>
          <cell r="Y221">
            <v>2.8499999999999996</v>
          </cell>
          <cell r="Z221">
            <v>178050.89999999997</v>
          </cell>
          <cell r="AA221">
            <v>2.8499999999999996</v>
          </cell>
          <cell r="AB221">
            <v>178050.89999999997</v>
          </cell>
          <cell r="AC221">
            <v>2.8499999999999996</v>
          </cell>
          <cell r="AD221">
            <v>178050.89999999997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1.85</v>
          </cell>
          <cell r="AL221">
            <v>115576.90000000001</v>
          </cell>
          <cell r="AM221">
            <v>16.600000000000001</v>
          </cell>
          <cell r="AN221">
            <v>1037068.4000000001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</row>
        <row r="222">
          <cell r="A222">
            <v>4</v>
          </cell>
          <cell r="B222" t="str">
            <v>Pasang Shading Sirip Alumunium 0.2/10 +Rangka</v>
          </cell>
          <cell r="C222" t="str">
            <v>M2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0.50749999999999995</v>
          </cell>
          <cell r="V222">
            <v>0</v>
          </cell>
          <cell r="W222">
            <v>0.50749999999999995</v>
          </cell>
          <cell r="X222">
            <v>0</v>
          </cell>
          <cell r="Y222">
            <v>0.50749999999999995</v>
          </cell>
          <cell r="Z222">
            <v>0</v>
          </cell>
          <cell r="AA222">
            <v>0.50749999999999995</v>
          </cell>
          <cell r="AB222">
            <v>0</v>
          </cell>
          <cell r="AC222">
            <v>0.50749999999999995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0.14499999999999999</v>
          </cell>
          <cell r="AL222">
            <v>0</v>
          </cell>
          <cell r="AM222">
            <v>1.9249999999999996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</row>
        <row r="223">
          <cell r="A223">
            <v>5</v>
          </cell>
          <cell r="B223" t="str">
            <v>Daun Pintu Panil Kamper</v>
          </cell>
          <cell r="C223" t="str">
            <v>bh</v>
          </cell>
          <cell r="D223">
            <v>550000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1.2</v>
          </cell>
          <cell r="L223">
            <v>660000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2.4E-2</v>
          </cell>
          <cell r="R223">
            <v>13200</v>
          </cell>
          <cell r="S223">
            <v>1.2E-2</v>
          </cell>
          <cell r="T223">
            <v>6600</v>
          </cell>
          <cell r="U223">
            <v>6.339599999999999</v>
          </cell>
          <cell r="V223">
            <v>3486779.9999999995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2.1599999999999998E-2</v>
          </cell>
          <cell r="AX223">
            <v>11879.999999999998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</row>
        <row r="224">
          <cell r="A224">
            <v>6</v>
          </cell>
          <cell r="B224" t="str">
            <v>Plat besi t = 2 mm</v>
          </cell>
          <cell r="C224" t="str">
            <v>Kg</v>
          </cell>
          <cell r="D224">
            <v>0</v>
          </cell>
          <cell r="E224">
            <v>0</v>
          </cell>
          <cell r="F224">
            <v>0</v>
          </cell>
          <cell r="G224">
            <v>107.44703200000002</v>
          </cell>
          <cell r="H224">
            <v>0</v>
          </cell>
          <cell r="I224">
            <v>57.085200000000007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</row>
        <row r="225">
          <cell r="A225">
            <v>7</v>
          </cell>
          <cell r="B225" t="str">
            <v>C 40.40.2  (pesan khusus)</v>
          </cell>
          <cell r="C225" t="str">
            <v>Kg</v>
          </cell>
          <cell r="D225">
            <v>14122.3</v>
          </cell>
          <cell r="E225">
            <v>0</v>
          </cell>
          <cell r="F225">
            <v>0</v>
          </cell>
          <cell r="G225">
            <v>86.141440000000003</v>
          </cell>
          <cell r="H225">
            <v>1216515.2581120001</v>
          </cell>
          <cell r="I225">
            <v>42.56</v>
          </cell>
          <cell r="J225">
            <v>601045.08799999999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3.5711999999999997</v>
          </cell>
          <cell r="P225">
            <v>50433.557759999996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0.90624000000000005</v>
          </cell>
          <cell r="V225">
            <v>12798.193152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</row>
        <row r="226">
          <cell r="A226">
            <v>8</v>
          </cell>
          <cell r="B226" t="str">
            <v>Handle besi dia 16 mm</v>
          </cell>
          <cell r="C226" t="str">
            <v>Set</v>
          </cell>
          <cell r="D226">
            <v>129652.5</v>
          </cell>
          <cell r="E226">
            <v>0</v>
          </cell>
          <cell r="F226">
            <v>0</v>
          </cell>
          <cell r="G226">
            <v>2</v>
          </cell>
          <cell r="H226">
            <v>259305</v>
          </cell>
          <cell r="I226">
            <v>1</v>
          </cell>
          <cell r="J226">
            <v>129652.5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</row>
        <row r="227">
          <cell r="A227">
            <v>9</v>
          </cell>
          <cell r="B227" t="str">
            <v>Hendle pintu Stainless</v>
          </cell>
          <cell r="C227" t="str">
            <v>Set</v>
          </cell>
          <cell r="D227">
            <v>261652.5</v>
          </cell>
          <cell r="E227">
            <v>2</v>
          </cell>
          <cell r="F227">
            <v>523305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2</v>
          </cell>
          <cell r="N227">
            <v>523305</v>
          </cell>
          <cell r="O227">
            <v>2</v>
          </cell>
          <cell r="P227">
            <v>523305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2</v>
          </cell>
          <cell r="V227">
            <v>523305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</row>
        <row r="228">
          <cell r="A228">
            <v>10</v>
          </cell>
          <cell r="B228" t="str">
            <v>Kunci Pintu Handle stainleess (dorma)</v>
          </cell>
          <cell r="C228" t="str">
            <v>Set</v>
          </cell>
          <cell r="D228">
            <v>650000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2</v>
          </cell>
          <cell r="P228">
            <v>1300000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2</v>
          </cell>
          <cell r="V228">
            <v>1300000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</row>
        <row r="229">
          <cell r="A229">
            <v>11</v>
          </cell>
          <cell r="B229" t="str">
            <v>Kunci tanam Antik</v>
          </cell>
          <cell r="C229" t="str">
            <v>Set</v>
          </cell>
          <cell r="D229">
            <v>265000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</row>
        <row r="230">
          <cell r="A230">
            <v>12</v>
          </cell>
          <cell r="B230" t="str">
            <v>Kunci tanam biasa</v>
          </cell>
          <cell r="C230" t="str">
            <v>Set</v>
          </cell>
          <cell r="D230">
            <v>168565</v>
          </cell>
          <cell r="E230">
            <v>0</v>
          </cell>
          <cell r="F230">
            <v>0</v>
          </cell>
          <cell r="G230">
            <v>1</v>
          </cell>
          <cell r="H230">
            <v>168565</v>
          </cell>
          <cell r="I230">
            <v>1</v>
          </cell>
          <cell r="J230">
            <v>168565</v>
          </cell>
          <cell r="K230">
            <v>1</v>
          </cell>
          <cell r="L230">
            <v>168565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168565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</row>
        <row r="231">
          <cell r="A231">
            <v>13</v>
          </cell>
          <cell r="B231" t="str">
            <v>Kunci Silinder</v>
          </cell>
          <cell r="C231" t="str">
            <v>Set</v>
          </cell>
          <cell r="D231">
            <v>217900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</row>
        <row r="232">
          <cell r="A232">
            <v>14</v>
          </cell>
          <cell r="B232" t="str">
            <v>Kunci Selot</v>
          </cell>
          <cell r="C232" t="str">
            <v>Set</v>
          </cell>
          <cell r="D232">
            <v>48300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>
            <v>48300</v>
          </cell>
          <cell r="S232">
            <v>1</v>
          </cell>
          <cell r="T232">
            <v>48300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1</v>
          </cell>
          <cell r="AX232">
            <v>48300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</row>
        <row r="233">
          <cell r="A233">
            <v>15</v>
          </cell>
          <cell r="B233" t="str">
            <v>Engsel jendela</v>
          </cell>
          <cell r="C233" t="str">
            <v>Bh</v>
          </cell>
          <cell r="D233">
            <v>16600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</row>
        <row r="234">
          <cell r="A234">
            <v>16</v>
          </cell>
          <cell r="B234" t="str">
            <v>Engsel pintu</v>
          </cell>
          <cell r="C234" t="str">
            <v>Bh</v>
          </cell>
          <cell r="D234">
            <v>44395.75</v>
          </cell>
          <cell r="E234">
            <v>4</v>
          </cell>
          <cell r="F234">
            <v>177583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3</v>
          </cell>
          <cell r="L234">
            <v>133187.25</v>
          </cell>
          <cell r="M234">
            <v>4</v>
          </cell>
          <cell r="N234">
            <v>177583</v>
          </cell>
          <cell r="O234">
            <v>0</v>
          </cell>
          <cell r="P234">
            <v>0</v>
          </cell>
          <cell r="Q234">
            <v>2</v>
          </cell>
          <cell r="R234">
            <v>88791.5</v>
          </cell>
          <cell r="S234">
            <v>2</v>
          </cell>
          <cell r="T234">
            <v>88791.5</v>
          </cell>
          <cell r="U234">
            <v>6</v>
          </cell>
          <cell r="V234">
            <v>266374.5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</v>
          </cell>
          <cell r="AX234">
            <v>88791.5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</row>
        <row r="235">
          <cell r="A235">
            <v>17</v>
          </cell>
          <cell r="B235" t="str">
            <v>Engsel Pintu dari pipa besi dia 2 cm</v>
          </cell>
          <cell r="C235" t="str">
            <v>Bh</v>
          </cell>
          <cell r="D235">
            <v>66593.625</v>
          </cell>
          <cell r="E235">
            <v>0</v>
          </cell>
          <cell r="F235">
            <v>0</v>
          </cell>
          <cell r="G235">
            <v>4</v>
          </cell>
          <cell r="H235">
            <v>266374.5</v>
          </cell>
          <cell r="I235">
            <v>2</v>
          </cell>
          <cell r="J235">
            <v>133187.25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</row>
        <row r="236">
          <cell r="A236">
            <v>18</v>
          </cell>
          <cell r="B236" t="str">
            <v>Kait/hak angin</v>
          </cell>
          <cell r="C236" t="str">
            <v>Set</v>
          </cell>
          <cell r="D236">
            <v>27000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</row>
        <row r="237">
          <cell r="A237">
            <v>19</v>
          </cell>
          <cell r="B237" t="str">
            <v>Grendel pintu kuningan</v>
          </cell>
          <cell r="C237" t="str">
            <v>Bh</v>
          </cell>
          <cell r="D237">
            <v>125000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</row>
        <row r="238">
          <cell r="A238">
            <v>20</v>
          </cell>
          <cell r="B238" t="str">
            <v xml:space="preserve">Grendel jendela </v>
          </cell>
          <cell r="C238" t="str">
            <v>Bh</v>
          </cell>
          <cell r="D238">
            <v>8100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</row>
        <row r="239">
          <cell r="A239">
            <v>21</v>
          </cell>
          <cell r="B239" t="str">
            <v>Grendel pintu</v>
          </cell>
          <cell r="C239" t="str">
            <v>Bh</v>
          </cell>
          <cell r="D239">
            <v>14200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14200</v>
          </cell>
          <cell r="S239">
            <v>1</v>
          </cell>
          <cell r="T239">
            <v>14200</v>
          </cell>
          <cell r="U239">
            <v>2</v>
          </cell>
          <cell r="V239">
            <v>28400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1</v>
          </cell>
          <cell r="AX239">
            <v>14200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</row>
        <row r="240">
          <cell r="A240">
            <v>22</v>
          </cell>
          <cell r="B240" t="str">
            <v>Stripting Knip</v>
          </cell>
          <cell r="C240" t="str">
            <v>Set</v>
          </cell>
          <cell r="D240">
            <v>13700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</row>
        <row r="241">
          <cell r="A241">
            <v>23</v>
          </cell>
          <cell r="B241" t="str">
            <v>Door Closer</v>
          </cell>
          <cell r="C241" t="str">
            <v>Set</v>
          </cell>
          <cell r="D241">
            <v>260800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1</v>
          </cell>
          <cell r="T241">
            <v>260800</v>
          </cell>
          <cell r="U241">
            <v>1</v>
          </cell>
          <cell r="V241">
            <v>260800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1</v>
          </cell>
          <cell r="AX241">
            <v>260800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</row>
        <row r="242">
          <cell r="A242">
            <v>24</v>
          </cell>
          <cell r="B242" t="str">
            <v>Door Holder</v>
          </cell>
          <cell r="C242" t="str">
            <v>Set</v>
          </cell>
          <cell r="D242">
            <v>500000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</row>
        <row r="243">
          <cell r="A243">
            <v>25</v>
          </cell>
          <cell r="B243" t="str">
            <v>Door Stop</v>
          </cell>
          <cell r="C243" t="str">
            <v>Set</v>
          </cell>
          <cell r="D243">
            <v>32100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32100</v>
          </cell>
          <cell r="U243">
            <v>1</v>
          </cell>
          <cell r="V243">
            <v>32100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1</v>
          </cell>
          <cell r="AX243">
            <v>32100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</row>
        <row r="244">
          <cell r="A244">
            <v>26</v>
          </cell>
          <cell r="B244" t="str">
            <v>Kaca bening 5 mm</v>
          </cell>
          <cell r="C244" t="str">
            <v>M2</v>
          </cell>
          <cell r="D244">
            <v>66700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0.48</v>
          </cell>
          <cell r="AR244">
            <v>32016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5.0399999999999993E-2</v>
          </cell>
          <cell r="AX244">
            <v>3361.6799999999994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</row>
        <row r="245">
          <cell r="A245">
            <v>27</v>
          </cell>
          <cell r="B245" t="str">
            <v>Kaca bening 10 mm</v>
          </cell>
          <cell r="C245" t="str">
            <v>M2</v>
          </cell>
          <cell r="D245">
            <v>280895.75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1.1875</v>
          </cell>
          <cell r="V245">
            <v>0</v>
          </cell>
          <cell r="W245">
            <v>1.1875</v>
          </cell>
          <cell r="X245">
            <v>333563.703125</v>
          </cell>
          <cell r="Y245">
            <v>1.1875</v>
          </cell>
          <cell r="Z245">
            <v>333563.703125</v>
          </cell>
          <cell r="AA245">
            <v>1.3174999999999999</v>
          </cell>
          <cell r="AB245">
            <v>370080.15062499995</v>
          </cell>
          <cell r="AC245">
            <v>1.3174999999999999</v>
          </cell>
          <cell r="AD245">
            <v>370080.15062499995</v>
          </cell>
          <cell r="AE245">
            <v>0.90999999999999992</v>
          </cell>
          <cell r="AF245">
            <v>255615.13249999998</v>
          </cell>
          <cell r="AG245">
            <v>0.46810000000000002</v>
          </cell>
          <cell r="AH245">
            <v>131487.300575</v>
          </cell>
          <cell r="AI245">
            <v>0</v>
          </cell>
          <cell r="AJ245">
            <v>0</v>
          </cell>
          <cell r="AK245">
            <v>0.57999999999999996</v>
          </cell>
          <cell r="AL245">
            <v>162919.53499999997</v>
          </cell>
          <cell r="AM245">
            <v>9.1875</v>
          </cell>
          <cell r="AN245">
            <v>2580729.703125</v>
          </cell>
          <cell r="AO245">
            <v>0.495</v>
          </cell>
          <cell r="AP245">
            <v>139043.39624999999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</row>
        <row r="246">
          <cell r="A246">
            <v>28</v>
          </cell>
          <cell r="B246" t="str">
            <v>Kaca Bening 12 mm</v>
          </cell>
          <cell r="C246" t="str">
            <v>M2</v>
          </cell>
          <cell r="D246">
            <v>403787.64062499994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0.84009999999999996</v>
          </cell>
          <cell r="AJ246">
            <v>339221.99688906246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</row>
        <row r="247">
          <cell r="A247">
            <v>29</v>
          </cell>
          <cell r="B247" t="str">
            <v>Besi hollow 4/4</v>
          </cell>
          <cell r="C247" t="str">
            <v>M'</v>
          </cell>
          <cell r="D247">
            <v>48625.000000000051</v>
          </cell>
          <cell r="E247">
            <v>0</v>
          </cell>
          <cell r="F247">
            <v>0</v>
          </cell>
          <cell r="G247">
            <v>6.3140000000000009</v>
          </cell>
          <cell r="H247">
            <v>307018.25000000035</v>
          </cell>
          <cell r="I247">
            <v>5.09</v>
          </cell>
          <cell r="J247">
            <v>247501.25000000026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</row>
        <row r="248">
          <cell r="A248">
            <v>30</v>
          </cell>
          <cell r="B248" t="str">
            <v>Besi hollow 6/6</v>
          </cell>
          <cell r="C248" t="str">
            <v>M'</v>
          </cell>
          <cell r="D248">
            <v>74462.500000000058</v>
          </cell>
          <cell r="E248">
            <v>0</v>
          </cell>
          <cell r="F248">
            <v>0</v>
          </cell>
          <cell r="G248">
            <v>6.3140000000000009</v>
          </cell>
          <cell r="H248">
            <v>470156.22500000044</v>
          </cell>
          <cell r="I248">
            <v>5.09</v>
          </cell>
          <cell r="J248">
            <v>379014.12500000029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</row>
        <row r="249">
          <cell r="A249">
            <v>31</v>
          </cell>
          <cell r="B249" t="str">
            <v>Besi hollow 2.5/5</v>
          </cell>
          <cell r="C249" t="str">
            <v>Kg</v>
          </cell>
          <cell r="D249">
            <v>74462.500000000058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116.68600000000001</v>
          </cell>
          <cell r="V249">
            <v>8688731.2750000078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</row>
        <row r="250">
          <cell r="A250">
            <v>32</v>
          </cell>
          <cell r="B250" t="str">
            <v>Besi hollow 5/5</v>
          </cell>
          <cell r="C250" t="str">
            <v>Kg</v>
          </cell>
          <cell r="D250">
            <v>74462.500000000058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</row>
        <row r="251">
          <cell r="A251">
            <v>33</v>
          </cell>
          <cell r="B251" t="str">
            <v>Besi hollow 2/2</v>
          </cell>
          <cell r="C251" t="str">
            <v>Kg</v>
          </cell>
          <cell r="D251">
            <v>74462.500000000058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37.725575999999997</v>
          </cell>
          <cell r="V251">
            <v>2809140.7029000018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</row>
        <row r="252">
          <cell r="A252">
            <v>34</v>
          </cell>
          <cell r="B252" t="str">
            <v>Besi hollow 2/4</v>
          </cell>
          <cell r="C252" t="str">
            <v>Kg</v>
          </cell>
          <cell r="D252">
            <v>74462.500000000058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31.488000000000003</v>
          </cell>
          <cell r="P252">
            <v>2344675.200000002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</row>
        <row r="253">
          <cell r="A253">
            <v>35</v>
          </cell>
          <cell r="B253" t="str">
            <v>Kaca Tempered 12 mm</v>
          </cell>
          <cell r="C253" t="str">
            <v>M2</v>
          </cell>
          <cell r="D253">
            <v>528395.75</v>
          </cell>
          <cell r="E253">
            <v>4.3049999999999997</v>
          </cell>
          <cell r="F253">
            <v>2274743.7037499999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4.3049999999999997</v>
          </cell>
          <cell r="N253">
            <v>2274743.7037499999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</row>
        <row r="254">
          <cell r="A254">
            <v>36</v>
          </cell>
          <cell r="B254" t="str">
            <v>Glass Block</v>
          </cell>
          <cell r="C254" t="str">
            <v>Bh</v>
          </cell>
          <cell r="D254">
            <v>45000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</row>
        <row r="255">
          <cell r="A255">
            <v>37</v>
          </cell>
          <cell r="B255" t="str">
            <v>Kaca Es</v>
          </cell>
          <cell r="C255" t="str">
            <v>M2</v>
          </cell>
          <cell r="D255">
            <v>66700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3.8399999999999997E-2</v>
          </cell>
          <cell r="R255">
            <v>2561.2799999999997</v>
          </cell>
          <cell r="S255">
            <v>0.126</v>
          </cell>
          <cell r="T255">
            <v>8404.2000000000007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</row>
        <row r="256">
          <cell r="A256">
            <v>38</v>
          </cell>
          <cell r="B256" t="str">
            <v>Krepyak Kaca Nako + Kerangka</v>
          </cell>
          <cell r="C256" t="str">
            <v>M2</v>
          </cell>
          <cell r="D256">
            <v>81300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</row>
        <row r="257">
          <cell r="A257">
            <v>39</v>
          </cell>
          <cell r="B257" t="str">
            <v>Sticker Efek Kaca Es</v>
          </cell>
          <cell r="C257" t="str">
            <v>M2</v>
          </cell>
          <cell r="D257">
            <v>150000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</row>
        <row r="258">
          <cell r="A258">
            <v>40</v>
          </cell>
          <cell r="B258" t="str">
            <v>Rel Pintu Dorong</v>
          </cell>
          <cell r="C258" t="str">
            <v>M'</v>
          </cell>
          <cell r="D258">
            <v>275000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4</v>
          </cell>
          <cell r="V258">
            <v>0</v>
          </cell>
          <cell r="W258">
            <v>4</v>
          </cell>
          <cell r="X258">
            <v>1100000</v>
          </cell>
          <cell r="Y258">
            <v>4</v>
          </cell>
          <cell r="Z258">
            <v>1100000</v>
          </cell>
          <cell r="AA258">
            <v>6.4</v>
          </cell>
          <cell r="AB258">
            <v>1760000</v>
          </cell>
          <cell r="AC258">
            <v>6.4</v>
          </cell>
          <cell r="AD258">
            <v>1760000</v>
          </cell>
          <cell r="AE258">
            <v>3</v>
          </cell>
          <cell r="AF258">
            <v>825000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</row>
        <row r="259">
          <cell r="A259">
            <v>41</v>
          </cell>
          <cell r="B259" t="str">
            <v>Rolling Door</v>
          </cell>
          <cell r="C259" t="str">
            <v>M2</v>
          </cell>
          <cell r="D259">
            <v>358100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</row>
        <row r="260">
          <cell r="A260">
            <v>42</v>
          </cell>
          <cell r="B260" t="str">
            <v>Roster</v>
          </cell>
          <cell r="C260" t="str">
            <v>M2</v>
          </cell>
          <cell r="D260">
            <v>133850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0.96</v>
          </cell>
          <cell r="AZ260">
            <v>128496</v>
          </cell>
          <cell r="BA260">
            <v>0.96</v>
          </cell>
          <cell r="BB260">
            <v>128496</v>
          </cell>
          <cell r="BC260">
            <v>1.28</v>
          </cell>
          <cell r="BD260">
            <v>171328</v>
          </cell>
          <cell r="BE260">
            <v>1.28</v>
          </cell>
          <cell r="BF260">
            <v>171328</v>
          </cell>
          <cell r="BG260">
            <v>0.32000000000000006</v>
          </cell>
          <cell r="BH260">
            <v>42832.000000000007</v>
          </cell>
          <cell r="BI260">
            <v>1.92</v>
          </cell>
          <cell r="BJ260">
            <v>256992</v>
          </cell>
          <cell r="BK260">
            <v>2.8</v>
          </cell>
          <cell r="BL260">
            <v>374780</v>
          </cell>
          <cell r="BM260">
            <v>2.04</v>
          </cell>
          <cell r="BN260">
            <v>273054</v>
          </cell>
          <cell r="BO260">
            <v>0.8</v>
          </cell>
          <cell r="BP260">
            <v>107080</v>
          </cell>
          <cell r="BQ260">
            <v>0.48</v>
          </cell>
          <cell r="BR260">
            <v>64248</v>
          </cell>
          <cell r="BS260">
            <v>1.6</v>
          </cell>
          <cell r="BT260">
            <v>214160</v>
          </cell>
          <cell r="BU260">
            <v>1.4</v>
          </cell>
          <cell r="BV260">
            <v>187390</v>
          </cell>
          <cell r="BW260">
            <v>1.4</v>
          </cell>
          <cell r="BX260">
            <v>187390</v>
          </cell>
          <cell r="BY260">
            <v>0.32000000000000006</v>
          </cell>
          <cell r="BZ260">
            <v>42832.000000000007</v>
          </cell>
          <cell r="CA260">
            <v>0.32000000000000006</v>
          </cell>
          <cell r="CB260">
            <v>42832.000000000007</v>
          </cell>
          <cell r="CC260">
            <v>0.48</v>
          </cell>
          <cell r="CD260">
            <v>64248</v>
          </cell>
          <cell r="CE260">
            <v>0.64000000000000012</v>
          </cell>
          <cell r="CF260">
            <v>85664.000000000015</v>
          </cell>
          <cell r="CG260">
            <v>5.6</v>
          </cell>
          <cell r="CH260">
            <v>749560</v>
          </cell>
          <cell r="CI260">
            <v>3.6</v>
          </cell>
          <cell r="CJ260">
            <v>481860</v>
          </cell>
          <cell r="CK260">
            <v>7.0359999999999987</v>
          </cell>
          <cell r="CL260">
            <v>941768.59999999986</v>
          </cell>
          <cell r="CM260">
            <v>6.58</v>
          </cell>
          <cell r="CN260">
            <v>880733</v>
          </cell>
          <cell r="CO260">
            <v>4.4000000000000004</v>
          </cell>
          <cell r="CP260">
            <v>588940</v>
          </cell>
          <cell r="CQ260">
            <v>3.6</v>
          </cell>
          <cell r="CR260">
            <v>481860</v>
          </cell>
          <cell r="CS260">
            <v>7.0359999999999987</v>
          </cell>
          <cell r="CT260">
            <v>941768.59999999986</v>
          </cell>
          <cell r="CU260">
            <v>6.58</v>
          </cell>
          <cell r="CV260">
            <v>880733</v>
          </cell>
          <cell r="CW260">
            <v>4.4000000000000004</v>
          </cell>
          <cell r="CX260">
            <v>588940</v>
          </cell>
        </row>
        <row r="261">
          <cell r="A261">
            <v>43</v>
          </cell>
          <cell r="B261" t="str">
            <v>Gipsum Board</v>
          </cell>
          <cell r="C261" t="str">
            <v>M2</v>
          </cell>
          <cell r="D261">
            <v>29000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0.95</v>
          </cell>
          <cell r="AT261">
            <v>27550</v>
          </cell>
          <cell r="AU261">
            <v>3.3439999999999999</v>
          </cell>
          <cell r="AV261">
            <v>96976</v>
          </cell>
          <cell r="AW261">
            <v>19.399999999999999</v>
          </cell>
          <cell r="AX261">
            <v>562600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</row>
        <row r="262">
          <cell r="A262">
            <v>44</v>
          </cell>
          <cell r="B262" t="str">
            <v>List Gipsum</v>
          </cell>
          <cell r="C262" t="str">
            <v>M'</v>
          </cell>
          <cell r="D262">
            <v>17300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</row>
        <row r="263">
          <cell r="A263">
            <v>45</v>
          </cell>
          <cell r="B263" t="str">
            <v>Sealent</v>
          </cell>
          <cell r="C263" t="str">
            <v>M'</v>
          </cell>
          <cell r="D263">
            <v>8400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1.76</v>
          </cell>
          <cell r="R263">
            <v>14784</v>
          </cell>
          <cell r="S263">
            <v>0</v>
          </cell>
          <cell r="T263">
            <v>0</v>
          </cell>
          <cell r="U263">
            <v>12.5</v>
          </cell>
          <cell r="V263">
            <v>0</v>
          </cell>
          <cell r="W263">
            <v>12.5</v>
          </cell>
          <cell r="X263">
            <v>105000</v>
          </cell>
          <cell r="Y263">
            <v>12.5</v>
          </cell>
          <cell r="Z263">
            <v>105000</v>
          </cell>
          <cell r="AA263">
            <v>15.899999999999999</v>
          </cell>
          <cell r="AB263">
            <v>133560</v>
          </cell>
          <cell r="AC263">
            <v>15.899999999999999</v>
          </cell>
          <cell r="AD263">
            <v>133560</v>
          </cell>
          <cell r="AE263">
            <v>10.799999999999999</v>
          </cell>
          <cell r="AF263">
            <v>90719.999999999985</v>
          </cell>
          <cell r="AG263">
            <v>7.28</v>
          </cell>
          <cell r="AH263">
            <v>61152</v>
          </cell>
          <cell r="AI263">
            <v>12.08</v>
          </cell>
          <cell r="AJ263">
            <v>101472</v>
          </cell>
          <cell r="AK263">
            <v>3.05</v>
          </cell>
          <cell r="AL263">
            <v>25620</v>
          </cell>
          <cell r="AM263">
            <v>67.374999999999986</v>
          </cell>
          <cell r="AN263">
            <v>565949.99999999988</v>
          </cell>
          <cell r="AO263">
            <v>7.2</v>
          </cell>
          <cell r="AP263">
            <v>60480</v>
          </cell>
          <cell r="AQ263">
            <v>6.4000000000000012</v>
          </cell>
          <cell r="AR263">
            <v>53760.000000000007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2.16</v>
          </cell>
          <cell r="AX263">
            <v>18144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</row>
        <row r="264">
          <cell r="A264">
            <v>46</v>
          </cell>
          <cell r="B264" t="str">
            <v>Benangan Kusen</v>
          </cell>
          <cell r="C264" t="str">
            <v>M'</v>
          </cell>
          <cell r="D264">
            <v>4296.0074999999997</v>
          </cell>
          <cell r="E264">
            <v>6.1999999999999993</v>
          </cell>
          <cell r="F264">
            <v>26635.246499999994</v>
          </cell>
          <cell r="G264">
            <v>6.3140000000000009</v>
          </cell>
          <cell r="H264">
            <v>27124.991355000002</v>
          </cell>
          <cell r="I264">
            <v>5.5990000000000002</v>
          </cell>
          <cell r="J264">
            <v>24053.345992499999</v>
          </cell>
          <cell r="K264">
            <v>5.7839999999999998</v>
          </cell>
          <cell r="L264">
            <v>24848.107379999998</v>
          </cell>
          <cell r="M264">
            <v>6.1999999999999993</v>
          </cell>
          <cell r="N264">
            <v>26635.246499999994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2.2799999999999998</v>
          </cell>
          <cell r="T264">
            <v>9794.8970999999983</v>
          </cell>
          <cell r="U264">
            <v>51.899999999999991</v>
          </cell>
          <cell r="V264">
            <v>222962.78924999994</v>
          </cell>
          <cell r="W264">
            <v>14.399999999999999</v>
          </cell>
          <cell r="X264">
            <v>61862.507999999987</v>
          </cell>
          <cell r="Y264">
            <v>14.399999999999999</v>
          </cell>
          <cell r="Z264">
            <v>61862.507999999987</v>
          </cell>
          <cell r="AA264">
            <v>16</v>
          </cell>
          <cell r="AB264">
            <v>68736.12</v>
          </cell>
          <cell r="AC264">
            <v>16</v>
          </cell>
          <cell r="AD264">
            <v>68736.12</v>
          </cell>
          <cell r="AE264">
            <v>4.8000000000000007</v>
          </cell>
          <cell r="AF264">
            <v>20620.836000000003</v>
          </cell>
          <cell r="AG264">
            <v>8</v>
          </cell>
          <cell r="AH264">
            <v>34368.06</v>
          </cell>
          <cell r="AI264">
            <v>12.799999999999999</v>
          </cell>
          <cell r="AJ264">
            <v>54988.895999999993</v>
          </cell>
          <cell r="AK264">
            <v>8.5</v>
          </cell>
          <cell r="AL264">
            <v>36516.063750000001</v>
          </cell>
          <cell r="AM264">
            <v>30.599999999999998</v>
          </cell>
          <cell r="AN264">
            <v>131457.82949999999</v>
          </cell>
          <cell r="AO264">
            <v>8</v>
          </cell>
          <cell r="AP264">
            <v>34368.06</v>
          </cell>
          <cell r="AQ264">
            <v>6.4</v>
          </cell>
          <cell r="AR264">
            <v>27494.448</v>
          </cell>
          <cell r="AS264">
            <v>0</v>
          </cell>
          <cell r="AT264">
            <v>0</v>
          </cell>
          <cell r="AU264">
            <v>11.12</v>
          </cell>
          <cell r="AV264">
            <v>47771.603399999993</v>
          </cell>
          <cell r="AW264">
            <v>26.86</v>
          </cell>
          <cell r="AX264">
            <v>115390.76144999999</v>
          </cell>
          <cell r="AY264">
            <v>11.2</v>
          </cell>
          <cell r="AZ264">
            <v>48115.283999999992</v>
          </cell>
          <cell r="BA264">
            <v>11.2</v>
          </cell>
          <cell r="BB264">
            <v>48115.283999999992</v>
          </cell>
          <cell r="BC264">
            <v>16</v>
          </cell>
          <cell r="BD264">
            <v>68736.12</v>
          </cell>
          <cell r="BE264">
            <v>16</v>
          </cell>
          <cell r="BF264">
            <v>68736.12</v>
          </cell>
          <cell r="BG264">
            <v>4.8000000000000007</v>
          </cell>
          <cell r="BH264">
            <v>20620.836000000003</v>
          </cell>
          <cell r="BI264">
            <v>18</v>
          </cell>
          <cell r="BJ264">
            <v>77328.134999999995</v>
          </cell>
          <cell r="BK264">
            <v>19.599999999999998</v>
          </cell>
          <cell r="BL264">
            <v>84201.746999999988</v>
          </cell>
          <cell r="BM264">
            <v>60.400000000000006</v>
          </cell>
          <cell r="BN264">
            <v>259478.853</v>
          </cell>
          <cell r="BO264">
            <v>9.6</v>
          </cell>
          <cell r="BP264">
            <v>41241.671999999999</v>
          </cell>
          <cell r="BQ264">
            <v>6.4</v>
          </cell>
          <cell r="BR264">
            <v>27494.448</v>
          </cell>
          <cell r="BS264">
            <v>16.600000000000001</v>
          </cell>
          <cell r="BT264">
            <v>71313.724499999997</v>
          </cell>
          <cell r="BU264">
            <v>14.399999999999999</v>
          </cell>
          <cell r="BV264">
            <v>61862.507999999987</v>
          </cell>
          <cell r="BW264">
            <v>14.399999999999999</v>
          </cell>
          <cell r="BX264">
            <v>61862.507999999987</v>
          </cell>
          <cell r="BY264">
            <v>4.8000000000000007</v>
          </cell>
          <cell r="BZ264">
            <v>20620.836000000003</v>
          </cell>
          <cell r="CA264">
            <v>4.8000000000000007</v>
          </cell>
          <cell r="CB264">
            <v>20620.836000000003</v>
          </cell>
          <cell r="CC264">
            <v>6.4</v>
          </cell>
          <cell r="CD264">
            <v>27494.448</v>
          </cell>
          <cell r="CE264">
            <v>8</v>
          </cell>
          <cell r="CF264">
            <v>34368.06</v>
          </cell>
          <cell r="CG264">
            <v>30.799999999999997</v>
          </cell>
          <cell r="CH264">
            <v>132317.03099999999</v>
          </cell>
          <cell r="CI264">
            <v>22.8</v>
          </cell>
          <cell r="CJ264">
            <v>97948.97099999999</v>
          </cell>
          <cell r="CK264">
            <v>50.839999999999996</v>
          </cell>
          <cell r="CL264">
            <v>218409.02129999996</v>
          </cell>
          <cell r="CM264">
            <v>35.4</v>
          </cell>
          <cell r="CN264">
            <v>152078.66549999997</v>
          </cell>
          <cell r="CO264">
            <v>16.8</v>
          </cell>
          <cell r="CP264">
            <v>72172.925999999992</v>
          </cell>
        </row>
        <row r="265">
          <cell r="A265">
            <v>47</v>
          </cell>
          <cell r="B265" t="str">
            <v xml:space="preserve">Cat Kayu </v>
          </cell>
          <cell r="C265" t="str">
            <v>M2</v>
          </cell>
          <cell r="D265">
            <v>19370.5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4.0991999999999997</v>
          </cell>
          <cell r="L265">
            <v>79403.553599999999</v>
          </cell>
          <cell r="M265">
            <v>0</v>
          </cell>
          <cell r="N265">
            <v>0</v>
          </cell>
          <cell r="O265">
            <v>2.88</v>
          </cell>
          <cell r="P265">
            <v>55787.040000000001</v>
          </cell>
          <cell r="Q265">
            <v>1.1420000000000001</v>
          </cell>
          <cell r="R265">
            <v>22121.111000000001</v>
          </cell>
          <cell r="S265">
            <v>2.59</v>
          </cell>
          <cell r="T265">
            <v>50169.594999999994</v>
          </cell>
          <cell r="U265">
            <v>0.48</v>
          </cell>
          <cell r="V265">
            <v>9297.84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3.6</v>
          </cell>
          <cell r="AX265">
            <v>69733.8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</row>
        <row r="266">
          <cell r="A266">
            <v>48</v>
          </cell>
          <cell r="B266" t="str">
            <v>Cat Besi</v>
          </cell>
          <cell r="C266" t="str">
            <v>M2</v>
          </cell>
          <cell r="D266">
            <v>13698</v>
          </cell>
          <cell r="E266">
            <v>0</v>
          </cell>
          <cell r="F266">
            <v>0</v>
          </cell>
          <cell r="G266">
            <v>8.543518139392118</v>
          </cell>
          <cell r="H266">
            <v>117029.11147339323</v>
          </cell>
          <cell r="I266">
            <v>5.6445590696960588</v>
          </cell>
          <cell r="J266">
            <v>77319.170136696615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3.7785600000000001</v>
          </cell>
          <cell r="P266">
            <v>51758.71488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28.369569120000001</v>
          </cell>
          <cell r="V266">
            <v>388606.35780576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</row>
        <row r="267">
          <cell r="A267">
            <v>49</v>
          </cell>
          <cell r="B267" t="str">
            <v>Cat Dinding</v>
          </cell>
          <cell r="C267" t="str">
            <v>M2</v>
          </cell>
          <cell r="D267">
            <v>9900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0.95</v>
          </cell>
          <cell r="AT267">
            <v>9405</v>
          </cell>
          <cell r="AU267">
            <v>3.3439999999999999</v>
          </cell>
          <cell r="AV267">
            <v>33105.599999999999</v>
          </cell>
          <cell r="AW267">
            <v>19.399999999999999</v>
          </cell>
          <cell r="AX267">
            <v>192060</v>
          </cell>
          <cell r="AY267">
            <v>1.92</v>
          </cell>
          <cell r="AZ267">
            <v>19008</v>
          </cell>
          <cell r="BA267">
            <v>1.92</v>
          </cell>
          <cell r="BB267">
            <v>19008</v>
          </cell>
          <cell r="BC267">
            <v>2.56</v>
          </cell>
          <cell r="BD267">
            <v>25344</v>
          </cell>
          <cell r="BE267">
            <v>2.56</v>
          </cell>
          <cell r="BF267">
            <v>25344</v>
          </cell>
          <cell r="BG267">
            <v>0.64000000000000012</v>
          </cell>
          <cell r="BH267">
            <v>6336.0000000000009</v>
          </cell>
          <cell r="BI267">
            <v>3.84</v>
          </cell>
          <cell r="BJ267">
            <v>38016</v>
          </cell>
          <cell r="BK267">
            <v>5.6</v>
          </cell>
          <cell r="BL267">
            <v>55440</v>
          </cell>
          <cell r="BM267">
            <v>14.4</v>
          </cell>
          <cell r="BN267">
            <v>142560</v>
          </cell>
          <cell r="BO267">
            <v>1.6</v>
          </cell>
          <cell r="BP267">
            <v>15840</v>
          </cell>
          <cell r="BQ267">
            <v>0.96</v>
          </cell>
          <cell r="BR267">
            <v>9504</v>
          </cell>
          <cell r="BS267">
            <v>3.2</v>
          </cell>
          <cell r="BT267">
            <v>31680</v>
          </cell>
          <cell r="BU267">
            <v>2.8</v>
          </cell>
          <cell r="BV267">
            <v>27720</v>
          </cell>
          <cell r="BW267">
            <v>2.8</v>
          </cell>
          <cell r="BX267">
            <v>27720</v>
          </cell>
          <cell r="BY267">
            <v>0.64000000000000012</v>
          </cell>
          <cell r="BZ267">
            <v>6336.0000000000009</v>
          </cell>
          <cell r="CA267">
            <v>0.64000000000000012</v>
          </cell>
          <cell r="CB267">
            <v>6336.0000000000009</v>
          </cell>
          <cell r="CC267">
            <v>0.96</v>
          </cell>
          <cell r="CD267">
            <v>9504</v>
          </cell>
          <cell r="CE267">
            <v>1.2800000000000002</v>
          </cell>
          <cell r="CF267">
            <v>12672.000000000002</v>
          </cell>
          <cell r="CG267">
            <v>11.2</v>
          </cell>
          <cell r="CH267">
            <v>110880</v>
          </cell>
          <cell r="CI267">
            <v>7.2</v>
          </cell>
          <cell r="CJ267">
            <v>71280</v>
          </cell>
          <cell r="CK267">
            <v>16.799999999999997</v>
          </cell>
          <cell r="CL267">
            <v>166319.99999999997</v>
          </cell>
          <cell r="CM267">
            <v>13.16</v>
          </cell>
          <cell r="CN267">
            <v>130284</v>
          </cell>
          <cell r="CO267">
            <v>8.8000000000000007</v>
          </cell>
          <cell r="CP267">
            <v>87120</v>
          </cell>
          <cell r="CQ267">
            <v>7.2</v>
          </cell>
          <cell r="CR267">
            <v>71280</v>
          </cell>
          <cell r="CS267">
            <v>16.799999999999997</v>
          </cell>
          <cell r="CT267">
            <v>166319.99999999997</v>
          </cell>
          <cell r="CU267">
            <v>13.16</v>
          </cell>
          <cell r="CV267">
            <v>130284</v>
          </cell>
          <cell r="CW267">
            <v>8.8000000000000007</v>
          </cell>
          <cell r="CX267">
            <v>87120</v>
          </cell>
        </row>
        <row r="268">
          <cell r="A268">
            <v>50</v>
          </cell>
          <cell r="B268" t="str">
            <v>Plesteran Camprot</v>
          </cell>
          <cell r="C268" t="str">
            <v>M2</v>
          </cell>
          <cell r="D268">
            <v>14600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</row>
        <row r="269">
          <cell r="A269">
            <v>51</v>
          </cell>
          <cell r="B269" t="str">
            <v>Rangka Metal Furring</v>
          </cell>
          <cell r="C269" t="str">
            <v>M'</v>
          </cell>
          <cell r="D269">
            <v>90000</v>
          </cell>
          <cell r="E269">
            <v>4.05</v>
          </cell>
          <cell r="F269">
            <v>364500</v>
          </cell>
          <cell r="G269">
            <v>6.4399999999999995</v>
          </cell>
          <cell r="H269">
            <v>579600</v>
          </cell>
          <cell r="I269">
            <v>32.550000000000004</v>
          </cell>
          <cell r="J269">
            <v>2929500.0000000005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4.05</v>
          </cell>
          <cell r="AT269">
            <v>364500</v>
          </cell>
          <cell r="AU269">
            <v>6.4399999999999995</v>
          </cell>
          <cell r="AV269">
            <v>579600</v>
          </cell>
          <cell r="AW269">
            <v>32.550000000000004</v>
          </cell>
          <cell r="AX269">
            <v>2929500.0000000005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</row>
        <row r="270">
          <cell r="V270">
            <v>0</v>
          </cell>
        </row>
        <row r="271">
          <cell r="B271" t="str">
            <v>Jumlah Harga</v>
          </cell>
          <cell r="C271">
            <v>3776944.5502499999</v>
          </cell>
          <cell r="D271">
            <v>2832088.3359403941</v>
          </cell>
          <cell r="E271">
            <v>1760337.7291291971</v>
          </cell>
          <cell r="F271">
            <v>3776944.5502499999</v>
          </cell>
          <cell r="G271">
            <v>3776944.5502499999</v>
          </cell>
          <cell r="H271">
            <v>2832088.3359403941</v>
          </cell>
          <cell r="I271">
            <v>203957.891</v>
          </cell>
          <cell r="J271">
            <v>1760337.7291291971</v>
          </cell>
          <cell r="K271">
            <v>18029296.658107769</v>
          </cell>
          <cell r="L271">
            <v>1690743.9109799999</v>
          </cell>
          <cell r="M271">
            <v>1778477.1111249998</v>
          </cell>
          <cell r="N271">
            <v>3776944.5502499999</v>
          </cell>
          <cell r="O271">
            <v>2510427.1706250003</v>
          </cell>
          <cell r="P271">
            <v>4325959.5126400022</v>
          </cell>
          <cell r="Q271">
            <v>227007.360575</v>
          </cell>
          <cell r="R271">
            <v>203957.891</v>
          </cell>
          <cell r="S271">
            <v>340632.49875000003</v>
          </cell>
          <cell r="T271">
            <v>687725.19209999987</v>
          </cell>
          <cell r="U271">
            <v>233891.45624999999</v>
          </cell>
          <cell r="V271">
            <v>18029296.658107769</v>
          </cell>
          <cell r="W271">
            <v>401455</v>
          </cell>
          <cell r="X271">
            <v>1778477.1111249998</v>
          </cell>
          <cell r="Y271">
            <v>4346861.7414500006</v>
          </cell>
          <cell r="Z271">
            <v>1778477.1111249998</v>
          </cell>
          <cell r="AA271">
            <v>195619.28399999999</v>
          </cell>
          <cell r="AB271">
            <v>2510427.1706250003</v>
          </cell>
          <cell r="AC271">
            <v>265408.12</v>
          </cell>
          <cell r="AD271">
            <v>2510427.1706250003</v>
          </cell>
          <cell r="AE271">
            <v>372336.13500000001</v>
          </cell>
          <cell r="AF271">
            <v>1191955.9685</v>
          </cell>
          <cell r="AG271">
            <v>0</v>
          </cell>
          <cell r="AH271">
            <v>227007.360575</v>
          </cell>
          <cell r="AI271">
            <v>0</v>
          </cell>
          <cell r="AJ271">
            <v>495682.89288906247</v>
          </cell>
          <cell r="AK271">
            <v>0</v>
          </cell>
          <cell r="AL271">
            <v>340632.49875000003</v>
          </cell>
          <cell r="AM271">
            <v>0</v>
          </cell>
          <cell r="AN271">
            <v>4315205.9326250004</v>
          </cell>
          <cell r="AO271">
            <v>0</v>
          </cell>
          <cell r="AP271">
            <v>233891.45624999999</v>
          </cell>
          <cell r="AQ271">
            <v>0</v>
          </cell>
          <cell r="AR271">
            <v>113270.448</v>
          </cell>
          <cell r="AS271">
            <v>0</v>
          </cell>
          <cell r="AT271">
            <v>401455</v>
          </cell>
          <cell r="AU271">
            <v>0</v>
          </cell>
          <cell r="AV271">
            <v>757453.2034</v>
          </cell>
          <cell r="AW271">
            <v>0</v>
          </cell>
          <cell r="AX271">
            <v>4346861.7414500006</v>
          </cell>
          <cell r="AY271">
            <v>0</v>
          </cell>
          <cell r="AZ271">
            <v>195619.28399999999</v>
          </cell>
          <cell r="BA271">
            <v>0</v>
          </cell>
          <cell r="BB271">
            <v>195619.28399999999</v>
          </cell>
          <cell r="BC271">
            <v>0</v>
          </cell>
          <cell r="BD271">
            <v>265408.12</v>
          </cell>
          <cell r="BE271">
            <v>0</v>
          </cell>
          <cell r="BF271">
            <v>265408.12</v>
          </cell>
          <cell r="BG271">
            <v>0</v>
          </cell>
          <cell r="BH271">
            <v>69788.83600000001</v>
          </cell>
          <cell r="BI271">
            <v>0</v>
          </cell>
          <cell r="BJ271">
            <v>372336.13500000001</v>
          </cell>
          <cell r="BK271">
            <v>0</v>
          </cell>
          <cell r="BL271">
            <v>514421.74699999997</v>
          </cell>
          <cell r="BM271">
            <v>0</v>
          </cell>
          <cell r="BN271">
            <v>675092.853</v>
          </cell>
          <cell r="BO271">
            <v>0</v>
          </cell>
          <cell r="BP271">
            <v>164161.67199999999</v>
          </cell>
          <cell r="BQ271">
            <v>0</v>
          </cell>
          <cell r="BR271">
            <v>101246.448</v>
          </cell>
          <cell r="BS271">
            <v>0</v>
          </cell>
          <cell r="BT271">
            <v>317153.72450000001</v>
          </cell>
          <cell r="BU271">
            <v>0</v>
          </cell>
          <cell r="BV271">
            <v>276972.50799999997</v>
          </cell>
          <cell r="BW271">
            <v>0</v>
          </cell>
          <cell r="BX271">
            <v>276972.50799999997</v>
          </cell>
          <cell r="BY271">
            <v>0</v>
          </cell>
          <cell r="BZ271">
            <v>69788.83600000001</v>
          </cell>
          <cell r="CA271">
            <v>0</v>
          </cell>
          <cell r="CB271">
            <v>69788.83600000001</v>
          </cell>
          <cell r="CC271">
            <v>0</v>
          </cell>
          <cell r="CD271">
            <v>101246.448</v>
          </cell>
          <cell r="CE271">
            <v>0</v>
          </cell>
          <cell r="CF271">
            <v>132704.06000000003</v>
          </cell>
          <cell r="CG271">
            <v>0</v>
          </cell>
          <cell r="CH271">
            <v>992757.03099999996</v>
          </cell>
          <cell r="CI271">
            <v>0</v>
          </cell>
          <cell r="CJ271">
            <v>651088.97100000002</v>
          </cell>
          <cell r="CK271">
            <v>0</v>
          </cell>
          <cell r="CL271">
            <v>1326497.6212999998</v>
          </cell>
          <cell r="CM271">
            <v>0</v>
          </cell>
          <cell r="CN271">
            <v>1163095.6655000001</v>
          </cell>
          <cell r="CO271">
            <v>0</v>
          </cell>
          <cell r="CP271">
            <v>748232.92599999998</v>
          </cell>
          <cell r="CX271">
            <v>401455</v>
          </cell>
          <cell r="CZ271">
            <v>317153.72450000001</v>
          </cell>
          <cell r="DH271">
            <v>757453.2034</v>
          </cell>
          <cell r="DJ271">
            <v>276972.50799999997</v>
          </cell>
          <cell r="DR271">
            <v>4346861.7414500006</v>
          </cell>
          <cell r="DT271">
            <v>276972.50799999997</v>
          </cell>
          <cell r="EB271">
            <v>195619.28399999999</v>
          </cell>
          <cell r="ED271">
            <v>69788.83600000001</v>
          </cell>
          <cell r="EL271">
            <v>195619.28399999999</v>
          </cell>
          <cell r="EN271">
            <v>69788.83600000001</v>
          </cell>
          <cell r="EV271">
            <v>265408.12</v>
          </cell>
          <cell r="EX271">
            <v>101246.448</v>
          </cell>
          <cell r="FF271">
            <v>265408.12</v>
          </cell>
          <cell r="FH271">
            <v>132704.06000000003</v>
          </cell>
          <cell r="FP271">
            <v>69788.83600000001</v>
          </cell>
          <cell r="FR271">
            <v>992757.03099999996</v>
          </cell>
          <cell r="FZ271">
            <v>372336.13500000001</v>
          </cell>
          <cell r="GB271">
            <v>651088.97100000002</v>
          </cell>
          <cell r="GL271">
            <v>1326497.6212999998</v>
          </cell>
          <cell r="GV271">
            <v>1163095.6655000001</v>
          </cell>
        </row>
        <row r="273">
          <cell r="AF273">
            <v>1191955.9685</v>
          </cell>
          <cell r="AG273">
            <v>0</v>
          </cell>
          <cell r="AH273">
            <v>227007.360575</v>
          </cell>
          <cell r="AI273">
            <v>0</v>
          </cell>
          <cell r="AJ273">
            <v>495682.89288906247</v>
          </cell>
          <cell r="AK273">
            <v>0</v>
          </cell>
          <cell r="AL273">
            <v>340632.49875000003</v>
          </cell>
          <cell r="AM273">
            <v>0</v>
          </cell>
          <cell r="AN273">
            <v>4315205.9326250004</v>
          </cell>
          <cell r="AO273">
            <v>0</v>
          </cell>
          <cell r="AP273">
            <v>233891.45624999999</v>
          </cell>
          <cell r="AQ273">
            <v>0</v>
          </cell>
          <cell r="AR273">
            <v>113270.448</v>
          </cell>
          <cell r="AS273">
            <v>0</v>
          </cell>
          <cell r="AT273">
            <v>401455</v>
          </cell>
          <cell r="AU273">
            <v>0</v>
          </cell>
          <cell r="AV273">
            <v>757453.2034</v>
          </cell>
          <cell r="AW273">
            <v>0</v>
          </cell>
          <cell r="AX273">
            <v>4346861.7414500006</v>
          </cell>
          <cell r="AY273">
            <v>0</v>
          </cell>
          <cell r="AZ273">
            <v>195619.28399999999</v>
          </cell>
          <cell r="BA273">
            <v>0</v>
          </cell>
          <cell r="BB273">
            <v>195619.28399999999</v>
          </cell>
          <cell r="BC273">
            <v>0</v>
          </cell>
          <cell r="BD273">
            <v>265408.12</v>
          </cell>
          <cell r="BE273">
            <v>0</v>
          </cell>
          <cell r="BF273">
            <v>265408.12</v>
          </cell>
          <cell r="BG273">
            <v>0</v>
          </cell>
          <cell r="BH273">
            <v>69788.83600000001</v>
          </cell>
          <cell r="BI273">
            <v>0</v>
          </cell>
          <cell r="BJ273">
            <v>372336.13500000001</v>
          </cell>
        </row>
        <row r="274">
          <cell r="BL274">
            <v>514421.74699999997</v>
          </cell>
          <cell r="BM274">
            <v>0</v>
          </cell>
          <cell r="BN274">
            <v>675092.853</v>
          </cell>
          <cell r="BO274">
            <v>0</v>
          </cell>
          <cell r="BP274">
            <v>164161.67199999999</v>
          </cell>
          <cell r="BQ274">
            <v>0</v>
          </cell>
          <cell r="BR274">
            <v>101246.448</v>
          </cell>
          <cell r="BS274">
            <v>0</v>
          </cell>
          <cell r="BT274">
            <v>317153.72450000001</v>
          </cell>
          <cell r="BU274">
            <v>0</v>
          </cell>
          <cell r="BV274">
            <v>276972.50799999997</v>
          </cell>
          <cell r="BW274">
            <v>0</v>
          </cell>
          <cell r="BX274">
            <v>276972.50799999997</v>
          </cell>
          <cell r="BY274">
            <v>0</v>
          </cell>
          <cell r="BZ274">
            <v>69788.83600000001</v>
          </cell>
          <cell r="CA274">
            <v>0</v>
          </cell>
          <cell r="CB274">
            <v>69788.83600000001</v>
          </cell>
          <cell r="CC274">
            <v>0</v>
          </cell>
          <cell r="CD274">
            <v>101246.448</v>
          </cell>
          <cell r="CE274">
            <v>0</v>
          </cell>
          <cell r="CF274">
            <v>132704.06000000003</v>
          </cell>
          <cell r="CG274">
            <v>0</v>
          </cell>
          <cell r="CH274">
            <v>992757.03099999996</v>
          </cell>
          <cell r="CI274">
            <v>0</v>
          </cell>
          <cell r="CJ274">
            <v>651088.97100000002</v>
          </cell>
          <cell r="CK274">
            <v>0</v>
          </cell>
          <cell r="CL274">
            <v>1326497.6212999998</v>
          </cell>
          <cell r="CM274">
            <v>0</v>
          </cell>
          <cell r="CN274">
            <v>1163095.6655000001</v>
          </cell>
          <cell r="CO274">
            <v>0</v>
          </cell>
          <cell r="CP274">
            <v>748232.92599999998</v>
          </cell>
          <cell r="HF274">
            <v>748232.92599999998</v>
          </cell>
        </row>
        <row r="275">
          <cell r="A275" t="str">
            <v>No.</v>
          </cell>
          <cell r="B275" t="str">
            <v>Item Pekerjaan</v>
          </cell>
          <cell r="C275" t="str">
            <v>Satuan</v>
          </cell>
          <cell r="D275" t="str">
            <v>Harga Satuan</v>
          </cell>
          <cell r="E275" t="str">
            <v>P1</v>
          </cell>
          <cell r="F275" t="str">
            <v>P2</v>
          </cell>
          <cell r="G275" t="str">
            <v>P2</v>
          </cell>
          <cell r="H275" t="str">
            <v>J1</v>
          </cell>
          <cell r="I275" t="str">
            <v>P3</v>
          </cell>
          <cell r="J275" t="str">
            <v>J2</v>
          </cell>
          <cell r="K275" t="str">
            <v>J1</v>
          </cell>
          <cell r="L275" t="str">
            <v>J4</v>
          </cell>
          <cell r="M275" t="str">
            <v>J1'</v>
          </cell>
          <cell r="N275" t="str">
            <v>R1</v>
          </cell>
          <cell r="O275" t="str">
            <v>J2</v>
          </cell>
          <cell r="P275" t="str">
            <v>R3</v>
          </cell>
          <cell r="Q275" t="str">
            <v>J3</v>
          </cell>
          <cell r="R275">
            <v>0</v>
          </cell>
          <cell r="S275" t="str">
            <v>J4</v>
          </cell>
          <cell r="T275">
            <v>0</v>
          </cell>
          <cell r="U275" t="str">
            <v>J4'</v>
          </cell>
          <cell r="V275">
            <v>0</v>
          </cell>
          <cell r="W275" t="str">
            <v>R1</v>
          </cell>
          <cell r="X275">
            <v>0</v>
          </cell>
          <cell r="Y275" t="str">
            <v>R2</v>
          </cell>
          <cell r="Z275">
            <v>0</v>
          </cell>
          <cell r="AA275" t="str">
            <v>R3</v>
          </cell>
        </row>
        <row r="276">
          <cell r="D276" t="str">
            <v>Rp.</v>
          </cell>
          <cell r="E276" t="str">
            <v>Vol.</v>
          </cell>
          <cell r="F276" t="str">
            <v>Jumlah Harga</v>
          </cell>
          <cell r="G276" t="str">
            <v>Vol.</v>
          </cell>
          <cell r="H276" t="str">
            <v>Jumlah Harga</v>
          </cell>
          <cell r="I276" t="str">
            <v>Vol.</v>
          </cell>
          <cell r="J276" t="str">
            <v>Jumlah Harga</v>
          </cell>
          <cell r="K276" t="str">
            <v>Vol.</v>
          </cell>
          <cell r="L276" t="str">
            <v>Jumlah Harga</v>
          </cell>
          <cell r="M276" t="str">
            <v>Vol.</v>
          </cell>
          <cell r="N276" t="str">
            <v>Jumlah Harga</v>
          </cell>
          <cell r="O276" t="str">
            <v>Vol.</v>
          </cell>
          <cell r="P276" t="str">
            <v>Jumlah Harga</v>
          </cell>
          <cell r="Q276" t="str">
            <v>Vol.</v>
          </cell>
          <cell r="R276" t="str">
            <v>Jumlah Harga</v>
          </cell>
          <cell r="S276" t="str">
            <v>Vol.</v>
          </cell>
          <cell r="T276" t="str">
            <v>Jumlah Harga</v>
          </cell>
          <cell r="U276" t="str">
            <v>Vol.</v>
          </cell>
          <cell r="V276" t="str">
            <v>Jumlah Harga</v>
          </cell>
          <cell r="W276" t="str">
            <v>Vol.</v>
          </cell>
          <cell r="X276" t="str">
            <v>Jumlah Harga</v>
          </cell>
          <cell r="Y276" t="str">
            <v>Vol.</v>
          </cell>
          <cell r="Z276" t="str">
            <v>Jumlah Harga</v>
          </cell>
          <cell r="AA276" t="str">
            <v>Vol.</v>
          </cell>
          <cell r="AB276" t="str">
            <v>Jumlah Harga</v>
          </cell>
        </row>
        <row r="277">
          <cell r="A277" t="str">
            <v>V.</v>
          </cell>
          <cell r="B277" t="str">
            <v>UNIT BANGUNAN KANTOR PUSAT</v>
          </cell>
          <cell r="D277" t="str">
            <v>Rp.</v>
          </cell>
          <cell r="E277" t="str">
            <v>Vol.</v>
          </cell>
          <cell r="F277" t="str">
            <v>Jumlah Harga</v>
          </cell>
          <cell r="G277" t="str">
            <v>Vol.</v>
          </cell>
          <cell r="H277" t="str">
            <v>Jumlah Harga</v>
          </cell>
          <cell r="I277" t="str">
            <v>Vol.</v>
          </cell>
          <cell r="J277" t="str">
            <v>Jumlah Harga</v>
          </cell>
          <cell r="K277" t="str">
            <v>Vol.</v>
          </cell>
          <cell r="L277" t="str">
            <v>Jumlah Harga</v>
          </cell>
          <cell r="M277" t="str">
            <v>Vol.</v>
          </cell>
          <cell r="N277" t="str">
            <v>Jumlah Harga</v>
          </cell>
          <cell r="O277" t="str">
            <v>Vol.</v>
          </cell>
          <cell r="P277" t="str">
            <v>Jumlah Harga</v>
          </cell>
          <cell r="Q277" t="str">
            <v>Vol.</v>
          </cell>
          <cell r="R277" t="str">
            <v>Jumlah Harga</v>
          </cell>
          <cell r="S277" t="str">
            <v>Vol.</v>
          </cell>
          <cell r="T277" t="str">
            <v>Jumlah Harga</v>
          </cell>
          <cell r="U277" t="str">
            <v>Vol.</v>
          </cell>
          <cell r="V277" t="str">
            <v>Jumlah Harga</v>
          </cell>
          <cell r="W277" t="str">
            <v>Vol.</v>
          </cell>
          <cell r="X277" t="str">
            <v>Jumlah Harga</v>
          </cell>
          <cell r="Y277" t="str">
            <v>Vol.</v>
          </cell>
          <cell r="Z277" t="str">
            <v>Jumlah Harga</v>
          </cell>
          <cell r="AA277" t="str">
            <v>Vol.</v>
          </cell>
          <cell r="AB277" t="str">
            <v>Jumlah Harga</v>
          </cell>
        </row>
        <row r="278">
          <cell r="A278" t="str">
            <v>V.</v>
          </cell>
          <cell r="B278" t="str">
            <v>UNIT BANGUNAN KANTOR PUSAT</v>
          </cell>
        </row>
        <row r="279">
          <cell r="A279">
            <v>1</v>
          </cell>
          <cell r="B279" t="str">
            <v>Kayu 6/12</v>
          </cell>
          <cell r="C279" t="str">
            <v>M3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3.6144000000000003E-2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A280">
            <v>2</v>
          </cell>
          <cell r="B280" t="str">
            <v>Kayu Slimar 3/10</v>
          </cell>
          <cell r="C280" t="str">
            <v>M3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1.4159999999999999E-2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>
            <v>3</v>
          </cell>
          <cell r="B281" t="str">
            <v>Kayu Slimar 3/15</v>
          </cell>
          <cell r="C281" t="str">
            <v>M3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2.6999999999999997E-3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A282">
            <v>4</v>
          </cell>
          <cell r="B282" t="str">
            <v>Kayu Slimar 3/20</v>
          </cell>
          <cell r="C282" t="str">
            <v>M3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3.5999999999999999E-3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A283">
            <v>5</v>
          </cell>
          <cell r="B283" t="str">
            <v>Kayu 2/10</v>
          </cell>
          <cell r="C283" t="str">
            <v>M3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5.4000000000000012E-3</v>
          </cell>
          <cell r="J283">
            <v>0</v>
          </cell>
          <cell r="K283">
            <v>12.399999999999999</v>
          </cell>
          <cell r="L283">
            <v>0</v>
          </cell>
          <cell r="M283">
            <v>12.399999999999999</v>
          </cell>
          <cell r="N283">
            <v>0</v>
          </cell>
          <cell r="O283">
            <v>6.4</v>
          </cell>
          <cell r="P283">
            <v>0</v>
          </cell>
          <cell r="Q283">
            <v>93.25</v>
          </cell>
          <cell r="R283">
            <v>0</v>
          </cell>
          <cell r="S283">
            <v>13.814999999999998</v>
          </cell>
          <cell r="T283">
            <v>0</v>
          </cell>
          <cell r="U283">
            <v>13.814999999999998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A284">
            <v>6</v>
          </cell>
          <cell r="B284" t="str">
            <v>Panil t = 3 cm</v>
          </cell>
          <cell r="C284" t="str">
            <v>M2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0.49500000000000005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A285">
            <v>1</v>
          </cell>
          <cell r="B285" t="str">
            <v>Kusen Aluminium 5/10</v>
          </cell>
          <cell r="C285" t="str">
            <v>M'</v>
          </cell>
          <cell r="D285">
            <v>124948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5</v>
          </cell>
          <cell r="J285">
            <v>624740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A286">
            <v>2</v>
          </cell>
          <cell r="B286" t="str">
            <v xml:space="preserve">Rangka Daun Jendela Alumunium </v>
          </cell>
          <cell r="C286" t="str">
            <v>M'</v>
          </cell>
          <cell r="D286">
            <v>124948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A287">
            <v>3</v>
          </cell>
          <cell r="B287" t="str">
            <v>Rangka Tiang Sirip Alumunium 1/1 Putih</v>
          </cell>
          <cell r="C287" t="str">
            <v>M'</v>
          </cell>
          <cell r="D287">
            <v>62474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2.8499999999999996</v>
          </cell>
          <cell r="L287">
            <v>178050.89999999997</v>
          </cell>
          <cell r="M287">
            <v>2.8499999999999996</v>
          </cell>
          <cell r="N287">
            <v>178050.89999999997</v>
          </cell>
          <cell r="O287">
            <v>0</v>
          </cell>
          <cell r="P287">
            <v>0</v>
          </cell>
          <cell r="Q287">
            <v>14.100000000000003</v>
          </cell>
          <cell r="R287">
            <v>880883.40000000026</v>
          </cell>
          <cell r="S287">
            <v>2.12</v>
          </cell>
          <cell r="T287">
            <v>132444.88</v>
          </cell>
          <cell r="U287">
            <v>2.12</v>
          </cell>
          <cell r="V287">
            <v>132444.88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>
            <v>4</v>
          </cell>
          <cell r="B288" t="str">
            <v>Pasang Shading Sirip Alumunium 0.2/10 +Rangka</v>
          </cell>
          <cell r="C288" t="str">
            <v>M2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0.50749999999999995</v>
          </cell>
          <cell r="L288">
            <v>0</v>
          </cell>
          <cell r="M288">
            <v>0.50749999999999995</v>
          </cell>
          <cell r="N288">
            <v>0</v>
          </cell>
          <cell r="O288">
            <v>0</v>
          </cell>
          <cell r="P288">
            <v>0</v>
          </cell>
          <cell r="Q288">
            <v>1.4649999999999999</v>
          </cell>
          <cell r="R288">
            <v>0</v>
          </cell>
          <cell r="S288">
            <v>0.252</v>
          </cell>
          <cell r="T288">
            <v>0</v>
          </cell>
          <cell r="U288">
            <v>0.252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>
            <v>5</v>
          </cell>
          <cell r="B289" t="str">
            <v>Daun Pintu Panil Kamper</v>
          </cell>
          <cell r="C289" t="str">
            <v>bh</v>
          </cell>
          <cell r="D289">
            <v>550000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1.2</v>
          </cell>
          <cell r="J289">
            <v>660000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>
            <v>6</v>
          </cell>
          <cell r="B290" t="str">
            <v>Plat besi t = 2 mm</v>
          </cell>
          <cell r="C290" t="str">
            <v>Kg</v>
          </cell>
          <cell r="D290">
            <v>0</v>
          </cell>
          <cell r="E290">
            <v>0</v>
          </cell>
          <cell r="F290">
            <v>0</v>
          </cell>
          <cell r="G290">
            <v>57.085200000000007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>
            <v>7</v>
          </cell>
          <cell r="B291" t="str">
            <v>C 40.40.2  (pesan khusus)</v>
          </cell>
          <cell r="C291" t="str">
            <v>Kg</v>
          </cell>
          <cell r="D291">
            <v>14122.3</v>
          </cell>
          <cell r="E291">
            <v>0</v>
          </cell>
          <cell r="F291">
            <v>0</v>
          </cell>
          <cell r="G291">
            <v>42.56</v>
          </cell>
          <cell r="H291">
            <v>601045.08799999999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A292">
            <v>8</v>
          </cell>
          <cell r="B292" t="str">
            <v>Handle besi dia 16 mm</v>
          </cell>
          <cell r="C292" t="str">
            <v>Set</v>
          </cell>
          <cell r="D292">
            <v>129652.5</v>
          </cell>
          <cell r="E292">
            <v>0</v>
          </cell>
          <cell r="F292">
            <v>0</v>
          </cell>
          <cell r="G292">
            <v>1</v>
          </cell>
          <cell r="H292">
            <v>129652.5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A293">
            <v>9</v>
          </cell>
          <cell r="B293" t="str">
            <v>Hendle pintu Stainless</v>
          </cell>
          <cell r="C293" t="str">
            <v>Set</v>
          </cell>
          <cell r="D293">
            <v>261652.5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A294">
            <v>10</v>
          </cell>
          <cell r="B294" t="str">
            <v>Kunci Pintu Handle stainleess (dorma)</v>
          </cell>
          <cell r="C294" t="str">
            <v>Set</v>
          </cell>
          <cell r="D294">
            <v>650000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>
            <v>11</v>
          </cell>
          <cell r="B295" t="str">
            <v>Kunci tanam Antik</v>
          </cell>
          <cell r="C295" t="str">
            <v>Set</v>
          </cell>
          <cell r="D295">
            <v>265000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>
            <v>12</v>
          </cell>
          <cell r="B296" t="str">
            <v>Kunci tanam biasa</v>
          </cell>
          <cell r="C296" t="str">
            <v>Set</v>
          </cell>
          <cell r="D296">
            <v>168565</v>
          </cell>
          <cell r="E296">
            <v>0</v>
          </cell>
          <cell r="F296">
            <v>0</v>
          </cell>
          <cell r="G296">
            <v>1</v>
          </cell>
          <cell r="H296">
            <v>168565</v>
          </cell>
          <cell r="I296">
            <v>1</v>
          </cell>
          <cell r="J296">
            <v>168565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>
            <v>13</v>
          </cell>
          <cell r="B297" t="str">
            <v>Kunci Silinder</v>
          </cell>
          <cell r="C297" t="str">
            <v>Set</v>
          </cell>
          <cell r="D297">
            <v>217900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A298">
            <v>14</v>
          </cell>
          <cell r="B298" t="str">
            <v>Kunci Selot</v>
          </cell>
          <cell r="C298" t="str">
            <v>Set</v>
          </cell>
          <cell r="D298">
            <v>48300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A299">
            <v>15</v>
          </cell>
          <cell r="B299" t="str">
            <v>Engsel jendela</v>
          </cell>
          <cell r="C299" t="str">
            <v>Bh</v>
          </cell>
          <cell r="D299">
            <v>16600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A300">
            <v>16</v>
          </cell>
          <cell r="B300" t="str">
            <v>Engsel pintu</v>
          </cell>
          <cell r="C300" t="str">
            <v>Bh</v>
          </cell>
          <cell r="D300">
            <v>44395.75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</v>
          </cell>
          <cell r="J300">
            <v>133187.25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A301">
            <v>17</v>
          </cell>
          <cell r="B301" t="str">
            <v>Engsel Pintu dari pipa besi dia 2 cm</v>
          </cell>
          <cell r="C301" t="str">
            <v>Bh</v>
          </cell>
          <cell r="D301">
            <v>66593.625</v>
          </cell>
          <cell r="E301">
            <v>0</v>
          </cell>
          <cell r="F301">
            <v>0</v>
          </cell>
          <cell r="G301">
            <v>2</v>
          </cell>
          <cell r="H301">
            <v>133187.25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>
            <v>18</v>
          </cell>
          <cell r="B302" t="str">
            <v>Kait/hak angin</v>
          </cell>
          <cell r="C302" t="str">
            <v>Set</v>
          </cell>
          <cell r="D302">
            <v>27000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A303">
            <v>19</v>
          </cell>
          <cell r="B303" t="str">
            <v>Grendel pintu kuningan</v>
          </cell>
          <cell r="C303" t="str">
            <v>Bh</v>
          </cell>
          <cell r="D303">
            <v>125000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>
            <v>20</v>
          </cell>
          <cell r="B304" t="str">
            <v xml:space="preserve">Grendel jendela </v>
          </cell>
          <cell r="C304" t="str">
            <v>Bh</v>
          </cell>
          <cell r="D304">
            <v>8100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1</v>
          </cell>
          <cell r="P304">
            <v>8100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>
            <v>21</v>
          </cell>
          <cell r="B305" t="str">
            <v>Grendel pintu</v>
          </cell>
          <cell r="C305" t="str">
            <v>Bh</v>
          </cell>
          <cell r="D305">
            <v>14200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A306">
            <v>22</v>
          </cell>
          <cell r="B306" t="str">
            <v>Stripting Knip</v>
          </cell>
          <cell r="C306" t="str">
            <v>Set</v>
          </cell>
          <cell r="D306">
            <v>13700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>
            <v>23</v>
          </cell>
          <cell r="B307" t="str">
            <v>Door Closer</v>
          </cell>
          <cell r="C307" t="str">
            <v>Set</v>
          </cell>
          <cell r="D307">
            <v>260800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>
            <v>24</v>
          </cell>
          <cell r="B308" t="str">
            <v>Door Holder</v>
          </cell>
          <cell r="C308" t="str">
            <v>Set</v>
          </cell>
          <cell r="D308">
            <v>500000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A309">
            <v>25</v>
          </cell>
          <cell r="B309" t="str">
            <v>Door Stop</v>
          </cell>
          <cell r="C309" t="str">
            <v>Set</v>
          </cell>
          <cell r="D309">
            <v>32100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>
            <v>26</v>
          </cell>
          <cell r="B310" t="str">
            <v>Kaca bening 5 mm</v>
          </cell>
          <cell r="C310" t="str">
            <v>M2</v>
          </cell>
          <cell r="D310">
            <v>66700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>
            <v>27</v>
          </cell>
          <cell r="B311" t="str">
            <v>Kaca bening 10 mm</v>
          </cell>
          <cell r="C311" t="str">
            <v>M2</v>
          </cell>
          <cell r="D311">
            <v>280895.75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1.1875</v>
          </cell>
          <cell r="L311">
            <v>333563.703125</v>
          </cell>
          <cell r="M311">
            <v>1.1875</v>
          </cell>
          <cell r="N311">
            <v>333563.703125</v>
          </cell>
          <cell r="O311">
            <v>0.64749999999999996</v>
          </cell>
          <cell r="P311">
            <v>181879.99812499998</v>
          </cell>
          <cell r="Q311">
            <v>4.5719999999999992</v>
          </cell>
          <cell r="R311">
            <v>1284255.3689999997</v>
          </cell>
          <cell r="S311">
            <v>1.3035499999999998</v>
          </cell>
          <cell r="T311">
            <v>366161.65491249994</v>
          </cell>
          <cell r="U311">
            <v>1.3035499999999998</v>
          </cell>
          <cell r="V311">
            <v>366161.65491249994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>
            <v>28</v>
          </cell>
          <cell r="B312" t="str">
            <v>Kaca Bening 12 mm</v>
          </cell>
          <cell r="C312" t="str">
            <v>M2</v>
          </cell>
          <cell r="D312">
            <v>403787.64062499994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>
            <v>29</v>
          </cell>
          <cell r="B313" t="str">
            <v>Besi hollow 4/4</v>
          </cell>
          <cell r="C313" t="str">
            <v>M'</v>
          </cell>
          <cell r="D313">
            <v>48625.000000000051</v>
          </cell>
          <cell r="E313">
            <v>0</v>
          </cell>
          <cell r="F313">
            <v>0</v>
          </cell>
          <cell r="G313">
            <v>5.09</v>
          </cell>
          <cell r="H313">
            <v>247501.25000000026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>
            <v>30</v>
          </cell>
          <cell r="B314" t="str">
            <v>Besi hollow 6/6</v>
          </cell>
          <cell r="C314" t="str">
            <v>M'</v>
          </cell>
          <cell r="D314">
            <v>74462.500000000058</v>
          </cell>
          <cell r="E314">
            <v>1.413793103448276</v>
          </cell>
          <cell r="F314">
            <v>105274.56896551733</v>
          </cell>
          <cell r="G314">
            <v>5.09</v>
          </cell>
          <cell r="H314">
            <v>379014.12500000029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>
            <v>31</v>
          </cell>
          <cell r="B315" t="str">
            <v>Besi hollow 2.5/5</v>
          </cell>
          <cell r="C315" t="str">
            <v>Kg</v>
          </cell>
          <cell r="D315">
            <v>74462.500000000058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>
            <v>32</v>
          </cell>
          <cell r="B316" t="str">
            <v>Besi hollow 5/5</v>
          </cell>
          <cell r="C316" t="str">
            <v>Kg</v>
          </cell>
          <cell r="D316">
            <v>74462.500000000058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>
            <v>33</v>
          </cell>
          <cell r="B317" t="str">
            <v>Besi hollow 2/2</v>
          </cell>
          <cell r="C317" t="str">
            <v>Kg</v>
          </cell>
          <cell r="D317">
            <v>74462.500000000058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>
            <v>34</v>
          </cell>
          <cell r="B318" t="str">
            <v>Besi hollow 2/4</v>
          </cell>
          <cell r="C318" t="str">
            <v>Kg</v>
          </cell>
          <cell r="D318">
            <v>74462.500000000058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>
            <v>35</v>
          </cell>
          <cell r="B319" t="str">
            <v>Kaca Tempered 12 mm</v>
          </cell>
          <cell r="C319" t="str">
            <v>M2</v>
          </cell>
          <cell r="D319">
            <v>528395.75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>
            <v>36</v>
          </cell>
          <cell r="B320" t="str">
            <v>Glass Block</v>
          </cell>
          <cell r="C320" t="str">
            <v>Bh</v>
          </cell>
          <cell r="D320">
            <v>45000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>
            <v>37</v>
          </cell>
          <cell r="B321" t="str">
            <v>Kaca Es</v>
          </cell>
          <cell r="C321" t="str">
            <v>M2</v>
          </cell>
          <cell r="D321">
            <v>66700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>
            <v>38</v>
          </cell>
          <cell r="B322" t="str">
            <v>Krepyak Kaca Nako + Kerangka</v>
          </cell>
          <cell r="C322" t="str">
            <v>M2</v>
          </cell>
          <cell r="D322">
            <v>81300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>
            <v>39</v>
          </cell>
          <cell r="B323" t="str">
            <v>Sticker Efek Kaca Es</v>
          </cell>
          <cell r="C323" t="str">
            <v>M2</v>
          </cell>
          <cell r="D323">
            <v>150000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>
            <v>40</v>
          </cell>
          <cell r="B324" t="str">
            <v>Rel Pintu Dorong</v>
          </cell>
          <cell r="C324" t="str">
            <v>M'</v>
          </cell>
          <cell r="D324">
            <v>275000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</v>
          </cell>
          <cell r="L324">
            <v>1100000</v>
          </cell>
          <cell r="M324">
            <v>4</v>
          </cell>
          <cell r="N324">
            <v>1100000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>
            <v>41</v>
          </cell>
          <cell r="B325" t="str">
            <v>Rolling Door</v>
          </cell>
          <cell r="C325" t="str">
            <v>M2</v>
          </cell>
          <cell r="D325">
            <v>358100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>
            <v>42</v>
          </cell>
          <cell r="B326" t="str">
            <v>Roster</v>
          </cell>
          <cell r="C326" t="str">
            <v>M2</v>
          </cell>
          <cell r="D326">
            <v>133850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0.2</v>
          </cell>
          <cell r="X326">
            <v>26770</v>
          </cell>
          <cell r="Y326">
            <v>5.15</v>
          </cell>
          <cell r="Z326">
            <v>689327.5</v>
          </cell>
          <cell r="AA326">
            <v>0.8</v>
          </cell>
          <cell r="AB326">
            <v>107080</v>
          </cell>
        </row>
        <row r="327">
          <cell r="A327">
            <v>43</v>
          </cell>
          <cell r="B327" t="str">
            <v>Gipsum Board</v>
          </cell>
          <cell r="C327" t="str">
            <v>M2</v>
          </cell>
          <cell r="D327">
            <v>29000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>
            <v>44</v>
          </cell>
          <cell r="B328" t="str">
            <v>List Gipsum</v>
          </cell>
          <cell r="C328" t="str">
            <v>M'</v>
          </cell>
          <cell r="D328">
            <v>17300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>
            <v>45</v>
          </cell>
          <cell r="B329" t="str">
            <v>Sealent</v>
          </cell>
          <cell r="C329" t="str">
            <v>M'</v>
          </cell>
          <cell r="D329">
            <v>8400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12.5</v>
          </cell>
          <cell r="L329">
            <v>105000</v>
          </cell>
          <cell r="M329">
            <v>12.5</v>
          </cell>
          <cell r="N329">
            <v>105000</v>
          </cell>
          <cell r="O329">
            <v>9.1999999999999993</v>
          </cell>
          <cell r="P329">
            <v>77280</v>
          </cell>
          <cell r="Q329">
            <v>69.260000000000005</v>
          </cell>
          <cell r="R329">
            <v>581784</v>
          </cell>
          <cell r="S329">
            <v>19.54</v>
          </cell>
          <cell r="T329">
            <v>164136</v>
          </cell>
          <cell r="U329">
            <v>19.54</v>
          </cell>
          <cell r="V329">
            <v>164136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>
            <v>46</v>
          </cell>
          <cell r="B330" t="str">
            <v>Benangan Kusen</v>
          </cell>
          <cell r="C330" t="str">
            <v>M'</v>
          </cell>
          <cell r="D330">
            <v>4296.0074999999997</v>
          </cell>
          <cell r="E330">
            <v>0</v>
          </cell>
          <cell r="F330">
            <v>0</v>
          </cell>
          <cell r="G330">
            <v>5.5990000000000002</v>
          </cell>
          <cell r="H330">
            <v>24053.345992499999</v>
          </cell>
          <cell r="I330">
            <v>5.7839999999999998</v>
          </cell>
          <cell r="J330">
            <v>24848.107379999998</v>
          </cell>
          <cell r="K330">
            <v>14.399999999999999</v>
          </cell>
          <cell r="L330">
            <v>61862.507999999987</v>
          </cell>
          <cell r="M330">
            <v>14.399999999999999</v>
          </cell>
          <cell r="N330">
            <v>61862.507999999987</v>
          </cell>
          <cell r="O330">
            <v>8</v>
          </cell>
          <cell r="P330">
            <v>34368.06</v>
          </cell>
          <cell r="Q330">
            <v>23</v>
          </cell>
          <cell r="R330">
            <v>98808.172499999986</v>
          </cell>
          <cell r="S330">
            <v>14.32</v>
          </cell>
          <cell r="T330">
            <v>61518.827399999995</v>
          </cell>
          <cell r="U330">
            <v>14.32</v>
          </cell>
          <cell r="V330">
            <v>61518.827399999995</v>
          </cell>
          <cell r="W330">
            <v>0.8</v>
          </cell>
          <cell r="X330">
            <v>3436.806</v>
          </cell>
          <cell r="Y330">
            <v>55.800000000000004</v>
          </cell>
          <cell r="Z330">
            <v>239717.21849999999</v>
          </cell>
          <cell r="AA330">
            <v>69.2</v>
          </cell>
          <cell r="AB330">
            <v>297283.71899999998</v>
          </cell>
        </row>
        <row r="331">
          <cell r="A331">
            <v>47</v>
          </cell>
          <cell r="B331" t="str">
            <v xml:space="preserve">Cat Kayu </v>
          </cell>
          <cell r="C331" t="str">
            <v>M2</v>
          </cell>
          <cell r="D331">
            <v>19370.5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4.0991999999999997</v>
          </cell>
          <cell r="J331">
            <v>79403.553599999999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>
            <v>48</v>
          </cell>
          <cell r="B332" t="str">
            <v>Cat Besi</v>
          </cell>
          <cell r="C332" t="str">
            <v>M2</v>
          </cell>
          <cell r="D332">
            <v>13698</v>
          </cell>
          <cell r="E332">
            <v>0</v>
          </cell>
          <cell r="F332">
            <v>0</v>
          </cell>
          <cell r="G332">
            <v>5.6445590696960588</v>
          </cell>
          <cell r="H332">
            <v>77319.170136696615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>
            <v>49</v>
          </cell>
          <cell r="B333" t="str">
            <v>Cat Dinding</v>
          </cell>
          <cell r="C333" t="str">
            <v>M2</v>
          </cell>
          <cell r="D333">
            <v>9900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0.4</v>
          </cell>
          <cell r="X333">
            <v>3960</v>
          </cell>
          <cell r="Y333">
            <v>10.3</v>
          </cell>
          <cell r="Z333">
            <v>101970</v>
          </cell>
          <cell r="AA333">
            <v>13.025</v>
          </cell>
          <cell r="AB333">
            <v>128947.5</v>
          </cell>
        </row>
        <row r="334">
          <cell r="A334">
            <v>50</v>
          </cell>
          <cell r="B334" t="str">
            <v>Plesteran Camprot</v>
          </cell>
          <cell r="C334" t="str">
            <v>M2</v>
          </cell>
          <cell r="D334">
            <v>14600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1.6</v>
          </cell>
          <cell r="Z334">
            <v>23360</v>
          </cell>
          <cell r="AA334">
            <v>0.8</v>
          </cell>
          <cell r="AB334">
            <v>11680</v>
          </cell>
        </row>
        <row r="335"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1.6</v>
          </cell>
          <cell r="Z335">
            <v>23360</v>
          </cell>
          <cell r="AA335">
            <v>0.8</v>
          </cell>
          <cell r="AB335">
            <v>11680</v>
          </cell>
        </row>
        <row r="336">
          <cell r="B336" t="str">
            <v>Jumlah Harga</v>
          </cell>
          <cell r="C336">
            <v>105274.56896551733</v>
          </cell>
          <cell r="D336">
            <v>1760337.7291291971</v>
          </cell>
          <cell r="E336">
            <v>1690743.9109799999</v>
          </cell>
          <cell r="F336">
            <v>105274.56896551733</v>
          </cell>
          <cell r="G336">
            <v>1778477.1111249998</v>
          </cell>
          <cell r="H336">
            <v>1760337.7291291971</v>
          </cell>
          <cell r="I336">
            <v>2845730.9414999997</v>
          </cell>
          <cell r="J336">
            <v>1690743.9109799999</v>
          </cell>
          <cell r="K336">
            <v>724261.3623124999</v>
          </cell>
          <cell r="L336">
            <v>1778477.1111249998</v>
          </cell>
          <cell r="M336">
            <v>1054374.7185</v>
          </cell>
          <cell r="N336">
            <v>1778477.1111249998</v>
          </cell>
          <cell r="O336">
            <v>0</v>
          </cell>
          <cell r="P336">
            <v>301628.05812499998</v>
          </cell>
          <cell r="Q336">
            <v>0</v>
          </cell>
          <cell r="R336">
            <v>2845730.9414999997</v>
          </cell>
          <cell r="S336">
            <v>0</v>
          </cell>
          <cell r="T336">
            <v>724261.3623124999</v>
          </cell>
          <cell r="U336">
            <v>0</v>
          </cell>
          <cell r="V336">
            <v>724261.3623124999</v>
          </cell>
          <cell r="W336">
            <v>0</v>
          </cell>
          <cell r="X336">
            <v>34166.805999999997</v>
          </cell>
          <cell r="Y336">
            <v>0</v>
          </cell>
          <cell r="Z336">
            <v>1054374.7185</v>
          </cell>
          <cell r="AA336">
            <v>0</v>
          </cell>
          <cell r="AB336">
            <v>544991.21900000004</v>
          </cell>
        </row>
        <row r="338">
          <cell r="Z338">
            <v>1054374.7185</v>
          </cell>
        </row>
        <row r="339">
          <cell r="AB339">
            <v>544991.21900000004</v>
          </cell>
        </row>
        <row r="340">
          <cell r="A340" t="str">
            <v>No.</v>
          </cell>
          <cell r="B340" t="str">
            <v>Item Pekerjaan</v>
          </cell>
          <cell r="C340" t="str">
            <v>Satuan</v>
          </cell>
          <cell r="D340" t="str">
            <v>Harga Satuan</v>
          </cell>
          <cell r="E340" t="str">
            <v>P1A</v>
          </cell>
          <cell r="F340" t="str">
            <v>P1B</v>
          </cell>
          <cell r="G340" t="str">
            <v>P1B</v>
          </cell>
          <cell r="H340" t="str">
            <v>P3A</v>
          </cell>
          <cell r="I340" t="str">
            <v>P2</v>
          </cell>
          <cell r="J340" t="str">
            <v>P4A</v>
          </cell>
          <cell r="K340" t="str">
            <v>P3A</v>
          </cell>
          <cell r="L340" t="str">
            <v>J2A</v>
          </cell>
          <cell r="M340" t="str">
            <v>P3B</v>
          </cell>
          <cell r="N340" t="str">
            <v>J3</v>
          </cell>
          <cell r="O340" t="str">
            <v>P4A</v>
          </cell>
          <cell r="P340" t="str">
            <v>J5 atau J8</v>
          </cell>
          <cell r="Q340" t="str">
            <v>P4B</v>
          </cell>
          <cell r="R340" t="str">
            <v>BV2</v>
          </cell>
          <cell r="S340" t="str">
            <v>J2A</v>
          </cell>
          <cell r="T340">
            <v>0</v>
          </cell>
          <cell r="U340" t="str">
            <v>J2B</v>
          </cell>
          <cell r="V340">
            <v>0</v>
          </cell>
          <cell r="W340" t="str">
            <v>J3</v>
          </cell>
          <cell r="X340">
            <v>0</v>
          </cell>
          <cell r="Y340" t="str">
            <v>J4</v>
          </cell>
          <cell r="Z340">
            <v>0</v>
          </cell>
          <cell r="AA340" t="str">
            <v>J5 atau J8</v>
          </cell>
          <cell r="AB340">
            <v>0</v>
          </cell>
          <cell r="AC340" t="str">
            <v>BV1</v>
          </cell>
          <cell r="AD340">
            <v>0</v>
          </cell>
          <cell r="AE340" t="str">
            <v>BV2</v>
          </cell>
        </row>
        <row r="341">
          <cell r="D341" t="str">
            <v>Rp.</v>
          </cell>
          <cell r="E341" t="str">
            <v>Vol.</v>
          </cell>
          <cell r="F341" t="str">
            <v>Jumlah Harga</v>
          </cell>
          <cell r="G341" t="str">
            <v>Vol.</v>
          </cell>
          <cell r="H341" t="str">
            <v>Jumlah Harga</v>
          </cell>
          <cell r="I341" t="str">
            <v>Vol.</v>
          </cell>
          <cell r="J341" t="str">
            <v>Jumlah Harga</v>
          </cell>
          <cell r="K341" t="str">
            <v>Vol.</v>
          </cell>
          <cell r="L341" t="str">
            <v>Jumlah Harga</v>
          </cell>
          <cell r="M341" t="str">
            <v>Vol.</v>
          </cell>
          <cell r="N341" t="str">
            <v>Jumlah Harga</v>
          </cell>
          <cell r="O341" t="str">
            <v>Vol.</v>
          </cell>
          <cell r="P341" t="str">
            <v>Jumlah Harga</v>
          </cell>
          <cell r="Q341" t="str">
            <v>Vol.</v>
          </cell>
          <cell r="R341" t="str">
            <v>Jumlah Harga</v>
          </cell>
          <cell r="S341" t="str">
            <v>Vol.</v>
          </cell>
          <cell r="T341" t="str">
            <v>Jumlah Harga</v>
          </cell>
          <cell r="U341" t="str">
            <v>Vol.</v>
          </cell>
          <cell r="V341" t="str">
            <v>Jumlah Harga</v>
          </cell>
          <cell r="W341" t="str">
            <v>Vol.</v>
          </cell>
          <cell r="X341" t="str">
            <v>Jumlah Harga</v>
          </cell>
          <cell r="Y341" t="str">
            <v>Vol.</v>
          </cell>
          <cell r="Z341" t="str">
            <v>Jumlah Harga</v>
          </cell>
          <cell r="AA341" t="str">
            <v>Vol.</v>
          </cell>
          <cell r="AB341" t="str">
            <v>Jumlah Harga</v>
          </cell>
          <cell r="AC341" t="str">
            <v>Vol.</v>
          </cell>
          <cell r="AD341" t="str">
            <v>Jumlah Harga</v>
          </cell>
          <cell r="AE341" t="str">
            <v>Vol.</v>
          </cell>
          <cell r="AF341" t="str">
            <v>Jumlah Harga</v>
          </cell>
        </row>
        <row r="342">
          <cell r="A342" t="str">
            <v>VI.</v>
          </cell>
          <cell r="B342" t="str">
            <v>UNIT BANGUNAN ASRAMA</v>
          </cell>
          <cell r="D342" t="str">
            <v>Rp.</v>
          </cell>
          <cell r="E342" t="str">
            <v>Vol.</v>
          </cell>
          <cell r="F342" t="str">
            <v>Jumlah Harga</v>
          </cell>
          <cell r="G342" t="str">
            <v>Vol.</v>
          </cell>
          <cell r="H342" t="str">
            <v>Jumlah Harga</v>
          </cell>
          <cell r="I342" t="str">
            <v>Vol.</v>
          </cell>
          <cell r="J342" t="str">
            <v>Jumlah Harga</v>
          </cell>
          <cell r="K342" t="str">
            <v>Vol.</v>
          </cell>
          <cell r="L342" t="str">
            <v>Jumlah Harga</v>
          </cell>
          <cell r="M342" t="str">
            <v>Vol.</v>
          </cell>
          <cell r="N342" t="str">
            <v>Jumlah Harga</v>
          </cell>
          <cell r="O342" t="str">
            <v>Vol.</v>
          </cell>
          <cell r="P342" t="str">
            <v>Jumlah Harga</v>
          </cell>
          <cell r="Q342" t="str">
            <v>Vol.</v>
          </cell>
          <cell r="R342" t="str">
            <v>Jumlah Harga</v>
          </cell>
          <cell r="S342" t="str">
            <v>Vol.</v>
          </cell>
          <cell r="T342" t="str">
            <v>Jumlah Harga</v>
          </cell>
          <cell r="U342" t="str">
            <v>Vol.</v>
          </cell>
          <cell r="V342" t="str">
            <v>Jumlah Harga</v>
          </cell>
          <cell r="W342" t="str">
            <v>Vol.</v>
          </cell>
          <cell r="X342" t="str">
            <v>Jumlah Harga</v>
          </cell>
          <cell r="Y342" t="str">
            <v>Vol.</v>
          </cell>
          <cell r="Z342" t="str">
            <v>Jumlah Harga</v>
          </cell>
          <cell r="AA342" t="str">
            <v>Vol.</v>
          </cell>
          <cell r="AB342" t="str">
            <v>Jumlah Harga</v>
          </cell>
          <cell r="AC342" t="str">
            <v>Vol.</v>
          </cell>
          <cell r="AD342" t="str">
            <v>Jumlah Harga</v>
          </cell>
          <cell r="AE342" t="str">
            <v>Vol.</v>
          </cell>
          <cell r="AF342" t="str">
            <v>Jumlah Harga</v>
          </cell>
        </row>
        <row r="343">
          <cell r="A343" t="str">
            <v>VI.</v>
          </cell>
          <cell r="B343" t="str">
            <v>UNIT BANGUNAN ASRAMA</v>
          </cell>
        </row>
        <row r="344">
          <cell r="A344">
            <v>1</v>
          </cell>
          <cell r="B344" t="str">
            <v>Kayu 6/12</v>
          </cell>
          <cell r="C344" t="str">
            <v>M3</v>
          </cell>
          <cell r="D344">
            <v>0</v>
          </cell>
          <cell r="E344">
            <v>1.12E-2</v>
          </cell>
          <cell r="F344">
            <v>0</v>
          </cell>
          <cell r="G344">
            <v>1.12E-2</v>
          </cell>
          <cell r="H344">
            <v>0</v>
          </cell>
          <cell r="I344">
            <v>0</v>
          </cell>
          <cell r="J344">
            <v>0</v>
          </cell>
          <cell r="K344">
            <v>3.6144000000000003E-2</v>
          </cell>
          <cell r="L344">
            <v>0</v>
          </cell>
          <cell r="M344">
            <v>3.6144000000000003E-2</v>
          </cell>
          <cell r="N344">
            <v>0</v>
          </cell>
          <cell r="O344">
            <v>8.0000000000000002E-3</v>
          </cell>
          <cell r="P344">
            <v>0</v>
          </cell>
          <cell r="Q344">
            <v>8.0000000000000002E-3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>
            <v>2</v>
          </cell>
          <cell r="B345" t="str">
            <v>Kayu Slimar 3/10</v>
          </cell>
          <cell r="C345" t="str">
            <v>M3</v>
          </cell>
          <cell r="D345">
            <v>0</v>
          </cell>
          <cell r="E345">
            <v>3.2000000000000002E-3</v>
          </cell>
          <cell r="F345">
            <v>0</v>
          </cell>
          <cell r="G345">
            <v>3.2000000000000002E-3</v>
          </cell>
          <cell r="H345">
            <v>0</v>
          </cell>
          <cell r="I345">
            <v>0</v>
          </cell>
          <cell r="J345">
            <v>0</v>
          </cell>
          <cell r="K345">
            <v>1.4159999999999999E-2</v>
          </cell>
          <cell r="L345">
            <v>0</v>
          </cell>
          <cell r="M345">
            <v>1.4159999999999999E-2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3</v>
          </cell>
          <cell r="B346" t="str">
            <v>Kayu Slimar 3/15</v>
          </cell>
          <cell r="C346" t="str">
            <v>M3</v>
          </cell>
          <cell r="D346">
            <v>0</v>
          </cell>
          <cell r="E346">
            <v>3.2</v>
          </cell>
          <cell r="F346">
            <v>0</v>
          </cell>
          <cell r="G346">
            <v>3.2</v>
          </cell>
          <cell r="H346">
            <v>0</v>
          </cell>
          <cell r="I346">
            <v>0</v>
          </cell>
          <cell r="J346">
            <v>0</v>
          </cell>
          <cell r="K346">
            <v>2.6999999999999997E-3</v>
          </cell>
          <cell r="L346">
            <v>0</v>
          </cell>
          <cell r="M346">
            <v>2.6999999999999997E-3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4</v>
          </cell>
          <cell r="B347" t="str">
            <v>Kayu Slimar 3/20</v>
          </cell>
          <cell r="C347" t="str">
            <v>M3</v>
          </cell>
          <cell r="D347">
            <v>0</v>
          </cell>
          <cell r="E347">
            <v>3.2</v>
          </cell>
          <cell r="F347">
            <v>0</v>
          </cell>
          <cell r="G347">
            <v>3.2</v>
          </cell>
          <cell r="H347">
            <v>0</v>
          </cell>
          <cell r="I347">
            <v>0</v>
          </cell>
          <cell r="J347">
            <v>0</v>
          </cell>
          <cell r="K347">
            <v>3.5999999999999999E-3</v>
          </cell>
          <cell r="L347">
            <v>0</v>
          </cell>
          <cell r="M347">
            <v>3.5999999999999999E-3</v>
          </cell>
          <cell r="N347">
            <v>0</v>
          </cell>
          <cell r="O347">
            <v>1.32</v>
          </cell>
          <cell r="P347">
            <v>0</v>
          </cell>
          <cell r="Q347">
            <v>1.32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5</v>
          </cell>
          <cell r="B348" t="str">
            <v>Kayu 2/10</v>
          </cell>
          <cell r="C348" t="str">
            <v>M3</v>
          </cell>
          <cell r="D348">
            <v>0</v>
          </cell>
          <cell r="E348">
            <v>5</v>
          </cell>
          <cell r="F348">
            <v>0</v>
          </cell>
          <cell r="G348">
            <v>5</v>
          </cell>
          <cell r="H348">
            <v>0</v>
          </cell>
          <cell r="I348">
            <v>0</v>
          </cell>
          <cell r="J348">
            <v>0</v>
          </cell>
          <cell r="K348">
            <v>5.4000000000000012E-3</v>
          </cell>
          <cell r="L348">
            <v>0</v>
          </cell>
          <cell r="M348">
            <v>5.4000000000000012E-3</v>
          </cell>
          <cell r="N348">
            <v>0</v>
          </cell>
          <cell r="O348">
            <v>3.8</v>
          </cell>
          <cell r="P348">
            <v>0</v>
          </cell>
          <cell r="Q348">
            <v>3.8</v>
          </cell>
          <cell r="R348">
            <v>0</v>
          </cell>
          <cell r="S348">
            <v>10.85</v>
          </cell>
          <cell r="T348">
            <v>0</v>
          </cell>
          <cell r="U348">
            <v>10.85</v>
          </cell>
          <cell r="V348">
            <v>0</v>
          </cell>
          <cell r="W348">
            <v>0</v>
          </cell>
          <cell r="X348">
            <v>0</v>
          </cell>
          <cell r="Y348">
            <v>4.5999999999999996</v>
          </cell>
          <cell r="Z348">
            <v>0</v>
          </cell>
          <cell r="AA348">
            <v>3.5999999999999996</v>
          </cell>
          <cell r="AB348">
            <v>0</v>
          </cell>
          <cell r="AC348">
            <v>4</v>
          </cell>
          <cell r="AD348">
            <v>0</v>
          </cell>
          <cell r="AE348">
            <v>4</v>
          </cell>
          <cell r="AF348">
            <v>0</v>
          </cell>
        </row>
        <row r="349">
          <cell r="A349">
            <v>6</v>
          </cell>
          <cell r="B349" t="str">
            <v>Panil t = 3 cm</v>
          </cell>
          <cell r="C349" t="str">
            <v>M2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0.49500000000000005</v>
          </cell>
          <cell r="L349">
            <v>0</v>
          </cell>
          <cell r="M349">
            <v>0.49500000000000005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6.66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1</v>
          </cell>
          <cell r="B350" t="str">
            <v>Kusen Aluminium 5/10</v>
          </cell>
          <cell r="C350" t="str">
            <v>M'</v>
          </cell>
          <cell r="D350">
            <v>124948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6.1999999999999993</v>
          </cell>
          <cell r="J350">
            <v>774677.59999999986</v>
          </cell>
          <cell r="K350">
            <v>5</v>
          </cell>
          <cell r="L350">
            <v>624740</v>
          </cell>
          <cell r="M350">
            <v>5</v>
          </cell>
          <cell r="N350">
            <v>624740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2</v>
          </cell>
          <cell r="B351" t="str">
            <v xml:space="preserve">Rangka Daun Jendela Alumunium </v>
          </cell>
          <cell r="C351" t="str">
            <v>M'</v>
          </cell>
          <cell r="D351">
            <v>124948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7</v>
          </cell>
          <cell r="T351">
            <v>874636</v>
          </cell>
          <cell r="U351">
            <v>7</v>
          </cell>
          <cell r="V351">
            <v>874636</v>
          </cell>
          <cell r="W351">
            <v>0</v>
          </cell>
          <cell r="X351">
            <v>0</v>
          </cell>
          <cell r="Y351">
            <v>4.2</v>
          </cell>
          <cell r="Z351">
            <v>524781.6</v>
          </cell>
          <cell r="AA351">
            <v>3.2</v>
          </cell>
          <cell r="AB351">
            <v>399833.60000000003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3</v>
          </cell>
          <cell r="B352" t="str">
            <v>Rangka Tiang Sirip Alumunium 1/1 Putih</v>
          </cell>
          <cell r="C352" t="str">
            <v>M'</v>
          </cell>
          <cell r="D352">
            <v>62474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2.6</v>
          </cell>
          <cell r="T352">
            <v>162432.4</v>
          </cell>
          <cell r="U352">
            <v>2.6</v>
          </cell>
          <cell r="V352">
            <v>162432.4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4</v>
          </cell>
          <cell r="B353" t="str">
            <v>Pasang Shading Sirip Alumunium 0.2/10 +Rangka</v>
          </cell>
          <cell r="C353" t="str">
            <v>M2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0.26250000000000001</v>
          </cell>
          <cell r="T353">
            <v>0</v>
          </cell>
          <cell r="U353">
            <v>0.26250000000000001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>
            <v>5</v>
          </cell>
          <cell r="B354" t="str">
            <v>Daun Pintu Panil Kamper</v>
          </cell>
          <cell r="C354" t="str">
            <v>bh</v>
          </cell>
          <cell r="D354">
            <v>550000</v>
          </cell>
          <cell r="E354">
            <v>1.2E-2</v>
          </cell>
          <cell r="F354">
            <v>6600</v>
          </cell>
          <cell r="G354">
            <v>1.2E-2</v>
          </cell>
          <cell r="H354">
            <v>6600</v>
          </cell>
          <cell r="I354">
            <v>0</v>
          </cell>
          <cell r="J354">
            <v>0</v>
          </cell>
          <cell r="K354">
            <v>1.2</v>
          </cell>
          <cell r="L354">
            <v>660000</v>
          </cell>
          <cell r="M354">
            <v>1.2</v>
          </cell>
          <cell r="N354">
            <v>660000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>
            <v>6</v>
          </cell>
          <cell r="B355" t="str">
            <v>Plat besi t = 2 mm</v>
          </cell>
          <cell r="C355" t="str">
            <v>Kg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>
            <v>7</v>
          </cell>
          <cell r="B356" t="str">
            <v>C 40.40.2  (pesan khusus)</v>
          </cell>
          <cell r="C356" t="str">
            <v>Kg</v>
          </cell>
          <cell r="D356">
            <v>14122.3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</row>
        <row r="357">
          <cell r="A357">
            <v>8</v>
          </cell>
          <cell r="B357" t="str">
            <v>Handle besi dia 16 mm</v>
          </cell>
          <cell r="C357" t="str">
            <v>Set</v>
          </cell>
          <cell r="D357">
            <v>129652.5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9</v>
          </cell>
          <cell r="B358" t="str">
            <v>Hendle pintu Stainless</v>
          </cell>
          <cell r="C358" t="str">
            <v>Set</v>
          </cell>
          <cell r="D358">
            <v>261652.5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2</v>
          </cell>
          <cell r="J358">
            <v>523305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</row>
        <row r="359">
          <cell r="A359">
            <v>10</v>
          </cell>
          <cell r="B359" t="str">
            <v>Kunci Pintu Handle stainleess (dorma)</v>
          </cell>
          <cell r="C359" t="str">
            <v>Set</v>
          </cell>
          <cell r="D359">
            <v>650000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11</v>
          </cell>
          <cell r="B360" t="str">
            <v>Kunci tanam Antik</v>
          </cell>
          <cell r="C360" t="str">
            <v>Set</v>
          </cell>
          <cell r="D360">
            <v>265000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12</v>
          </cell>
          <cell r="B361" t="str">
            <v>Kunci tanam biasa</v>
          </cell>
          <cell r="C361" t="str">
            <v>Set</v>
          </cell>
          <cell r="D361">
            <v>168565</v>
          </cell>
          <cell r="E361">
            <v>1</v>
          </cell>
          <cell r="F361">
            <v>168565</v>
          </cell>
          <cell r="G361">
            <v>1</v>
          </cell>
          <cell r="H361">
            <v>168565</v>
          </cell>
          <cell r="I361">
            <v>0</v>
          </cell>
          <cell r="J361">
            <v>0</v>
          </cell>
          <cell r="K361">
            <v>1</v>
          </cell>
          <cell r="L361">
            <v>168565</v>
          </cell>
          <cell r="M361">
            <v>1</v>
          </cell>
          <cell r="N361">
            <v>168565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13</v>
          </cell>
          <cell r="B362" t="str">
            <v>Kunci Silinder</v>
          </cell>
          <cell r="C362" t="str">
            <v>Set</v>
          </cell>
          <cell r="D362">
            <v>217900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14</v>
          </cell>
          <cell r="B363" t="str">
            <v>Kunci Selot</v>
          </cell>
          <cell r="C363" t="str">
            <v>Set</v>
          </cell>
          <cell r="D363">
            <v>48300</v>
          </cell>
          <cell r="E363">
            <v>1</v>
          </cell>
          <cell r="F363">
            <v>48300</v>
          </cell>
          <cell r="G363">
            <v>1</v>
          </cell>
          <cell r="H363">
            <v>48300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1</v>
          </cell>
          <cell r="P363">
            <v>48300</v>
          </cell>
          <cell r="Q363">
            <v>1</v>
          </cell>
          <cell r="R363">
            <v>48300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>
            <v>15</v>
          </cell>
          <cell r="B364" t="str">
            <v>Engsel jendela</v>
          </cell>
          <cell r="C364" t="str">
            <v>Bh</v>
          </cell>
          <cell r="D364">
            <v>16600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4</v>
          </cell>
          <cell r="T364">
            <v>66400</v>
          </cell>
          <cell r="U364">
            <v>4</v>
          </cell>
          <cell r="V364">
            <v>66400</v>
          </cell>
          <cell r="W364">
            <v>0</v>
          </cell>
          <cell r="X364">
            <v>0</v>
          </cell>
          <cell r="Y364">
            <v>2</v>
          </cell>
          <cell r="Z364">
            <v>33200</v>
          </cell>
          <cell r="AA364">
            <v>2</v>
          </cell>
          <cell r="AB364">
            <v>33200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>
            <v>16</v>
          </cell>
          <cell r="B365" t="str">
            <v>Engsel pintu</v>
          </cell>
          <cell r="C365" t="str">
            <v>Bh</v>
          </cell>
          <cell r="D365">
            <v>44395.75</v>
          </cell>
          <cell r="E365">
            <v>2</v>
          </cell>
          <cell r="F365">
            <v>88791.5</v>
          </cell>
          <cell r="G365">
            <v>2</v>
          </cell>
          <cell r="H365">
            <v>88791.5</v>
          </cell>
          <cell r="I365">
            <v>4</v>
          </cell>
          <cell r="J365">
            <v>177583</v>
          </cell>
          <cell r="K365">
            <v>3</v>
          </cell>
          <cell r="L365">
            <v>133187.25</v>
          </cell>
          <cell r="M365">
            <v>3</v>
          </cell>
          <cell r="N365">
            <v>133187.25</v>
          </cell>
          <cell r="O365">
            <v>2</v>
          </cell>
          <cell r="P365">
            <v>88791.5</v>
          </cell>
          <cell r="Q365">
            <v>2</v>
          </cell>
          <cell r="R365">
            <v>88791.5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17</v>
          </cell>
          <cell r="B366" t="str">
            <v>Engsel Pintu dari pipa besi dia 2 cm</v>
          </cell>
          <cell r="C366" t="str">
            <v>Bh</v>
          </cell>
          <cell r="D366">
            <v>66593.625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>
            <v>18</v>
          </cell>
          <cell r="B367" t="str">
            <v>Kait/hak angin</v>
          </cell>
          <cell r="C367" t="str">
            <v>Set</v>
          </cell>
          <cell r="D367">
            <v>27000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6</v>
          </cell>
          <cell r="T367">
            <v>162000</v>
          </cell>
          <cell r="U367">
            <v>6</v>
          </cell>
          <cell r="V367">
            <v>162000</v>
          </cell>
          <cell r="W367">
            <v>0</v>
          </cell>
          <cell r="X367">
            <v>0</v>
          </cell>
          <cell r="Y367">
            <v>2</v>
          </cell>
          <cell r="Z367">
            <v>54000</v>
          </cell>
          <cell r="AA367">
            <v>2</v>
          </cell>
          <cell r="AB367">
            <v>54000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>
            <v>19</v>
          </cell>
          <cell r="B368" t="str">
            <v>Grendel pintu kuningan</v>
          </cell>
          <cell r="C368" t="str">
            <v>Bh</v>
          </cell>
          <cell r="D368">
            <v>125000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20</v>
          </cell>
          <cell r="B369" t="str">
            <v xml:space="preserve">Grendel jendela </v>
          </cell>
          <cell r="C369" t="str">
            <v>Bh</v>
          </cell>
          <cell r="D369">
            <v>8100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3</v>
          </cell>
          <cell r="T369">
            <v>24300</v>
          </cell>
          <cell r="U369">
            <v>3</v>
          </cell>
          <cell r="V369">
            <v>24300</v>
          </cell>
          <cell r="W369">
            <v>0</v>
          </cell>
          <cell r="X369">
            <v>0</v>
          </cell>
          <cell r="Y369">
            <v>1</v>
          </cell>
          <cell r="Z369">
            <v>8100</v>
          </cell>
          <cell r="AA369">
            <v>1</v>
          </cell>
          <cell r="AB369">
            <v>8100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21</v>
          </cell>
          <cell r="B370" t="str">
            <v>Grendel pintu</v>
          </cell>
          <cell r="C370" t="str">
            <v>Bh</v>
          </cell>
          <cell r="D370">
            <v>14200</v>
          </cell>
          <cell r="E370">
            <v>1</v>
          </cell>
          <cell r="F370">
            <v>14200</v>
          </cell>
          <cell r="G370">
            <v>1</v>
          </cell>
          <cell r="H370">
            <v>14200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</v>
          </cell>
          <cell r="P370">
            <v>14200</v>
          </cell>
          <cell r="Q370">
            <v>1</v>
          </cell>
          <cell r="R370">
            <v>14200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22</v>
          </cell>
          <cell r="B371" t="str">
            <v>Stripting Knip</v>
          </cell>
          <cell r="C371" t="str">
            <v>Set</v>
          </cell>
          <cell r="D371">
            <v>13700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23</v>
          </cell>
          <cell r="B372" t="str">
            <v>Door Closer</v>
          </cell>
          <cell r="C372" t="str">
            <v>Set</v>
          </cell>
          <cell r="D372">
            <v>260800</v>
          </cell>
          <cell r="E372">
            <v>1</v>
          </cell>
          <cell r="F372">
            <v>260800</v>
          </cell>
          <cell r="G372">
            <v>1</v>
          </cell>
          <cell r="H372">
            <v>260800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>
            <v>24</v>
          </cell>
          <cell r="B373" t="str">
            <v>Door Holder</v>
          </cell>
          <cell r="C373" t="str">
            <v>Set</v>
          </cell>
          <cell r="D373">
            <v>500000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25</v>
          </cell>
          <cell r="B374" t="str">
            <v>Door Stop</v>
          </cell>
          <cell r="C374" t="str">
            <v>Set</v>
          </cell>
          <cell r="D374">
            <v>32100</v>
          </cell>
          <cell r="E374">
            <v>1</v>
          </cell>
          <cell r="F374">
            <v>32100</v>
          </cell>
          <cell r="G374">
            <v>1</v>
          </cell>
          <cell r="H374">
            <v>32100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26</v>
          </cell>
          <cell r="B375" t="str">
            <v>Kaca bening 5 mm</v>
          </cell>
          <cell r="C375" t="str">
            <v>M2</v>
          </cell>
          <cell r="D375">
            <v>66700</v>
          </cell>
          <cell r="E375">
            <v>5.0399999999999993E-2</v>
          </cell>
          <cell r="F375">
            <v>3361.6799999999994</v>
          </cell>
          <cell r="G375">
            <v>5.0399999999999993E-2</v>
          </cell>
          <cell r="H375">
            <v>3361.6799999999994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0.25919999999999999</v>
          </cell>
          <cell r="T375">
            <v>17288.64</v>
          </cell>
          <cell r="U375">
            <v>0.25919999999999999</v>
          </cell>
          <cell r="V375">
            <v>17288.64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0.4</v>
          </cell>
          <cell r="AF375">
            <v>26680</v>
          </cell>
        </row>
        <row r="376">
          <cell r="A376">
            <v>27</v>
          </cell>
          <cell r="B376" t="str">
            <v>Kaca bening 10 mm</v>
          </cell>
          <cell r="C376" t="str">
            <v>M2</v>
          </cell>
          <cell r="D376">
            <v>280895.75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1.1326000000000001</v>
          </cell>
          <cell r="T376">
            <v>318142.52645</v>
          </cell>
          <cell r="U376">
            <v>1.1326000000000001</v>
          </cell>
          <cell r="V376">
            <v>318142.52645</v>
          </cell>
          <cell r="W376">
            <v>2.8839999999999999</v>
          </cell>
          <cell r="X376">
            <v>810103.34299999999</v>
          </cell>
          <cell r="Y376">
            <v>0.50749999999999995</v>
          </cell>
          <cell r="Z376">
            <v>142554.59312499998</v>
          </cell>
          <cell r="AA376">
            <v>0.33249999999999996</v>
          </cell>
          <cell r="AB376">
            <v>93397.836874999994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28</v>
          </cell>
          <cell r="B377" t="str">
            <v>Kaca Bening 12 mm</v>
          </cell>
          <cell r="C377" t="str">
            <v>M2</v>
          </cell>
          <cell r="D377">
            <v>403787.64062499994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29</v>
          </cell>
          <cell r="B378" t="str">
            <v>Besi hollow 4/4</v>
          </cell>
          <cell r="C378" t="str">
            <v>M'</v>
          </cell>
          <cell r="D378">
            <v>48625.000000000051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30</v>
          </cell>
          <cell r="B379" t="str">
            <v>Besi hollow 6/6</v>
          </cell>
          <cell r="C379" t="str">
            <v>M'</v>
          </cell>
          <cell r="D379">
            <v>74462.500000000058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31</v>
          </cell>
          <cell r="B380" t="str">
            <v>Besi hollow 2.5/5</v>
          </cell>
          <cell r="C380" t="str">
            <v>Kg</v>
          </cell>
          <cell r="D380">
            <v>74462.500000000058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32</v>
          </cell>
          <cell r="B381" t="str">
            <v>Besi hollow 5/5</v>
          </cell>
          <cell r="C381" t="str">
            <v>Kg</v>
          </cell>
          <cell r="D381">
            <v>74462.500000000058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33</v>
          </cell>
          <cell r="B382" t="str">
            <v>Besi hollow 2/2</v>
          </cell>
          <cell r="C382" t="str">
            <v>Kg</v>
          </cell>
          <cell r="D382">
            <v>74462.500000000058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34</v>
          </cell>
          <cell r="B383" t="str">
            <v>Besi hollow 2/4</v>
          </cell>
          <cell r="C383" t="str">
            <v>Kg</v>
          </cell>
          <cell r="D383">
            <v>74462.500000000058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35</v>
          </cell>
          <cell r="B384" t="str">
            <v>Kaca Tempered 12 mm</v>
          </cell>
          <cell r="C384" t="str">
            <v>M2</v>
          </cell>
          <cell r="D384">
            <v>528395.75</v>
          </cell>
          <cell r="E384">
            <v>4.3049999999999997</v>
          </cell>
          <cell r="F384">
            <v>2274743.7037499999</v>
          </cell>
          <cell r="G384">
            <v>4.3049999999999997</v>
          </cell>
          <cell r="H384">
            <v>2274743.7037499999</v>
          </cell>
          <cell r="I384">
            <v>4.3049999999999997</v>
          </cell>
          <cell r="J384">
            <v>2274743.7037499999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36</v>
          </cell>
          <cell r="B385" t="str">
            <v>Glass Block</v>
          </cell>
          <cell r="C385" t="str">
            <v>Bh</v>
          </cell>
          <cell r="D385">
            <v>45000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>
            <v>37</v>
          </cell>
          <cell r="B386" t="str">
            <v>Kaca Es</v>
          </cell>
          <cell r="C386" t="str">
            <v>M2</v>
          </cell>
          <cell r="D386">
            <v>66700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0.4</v>
          </cell>
          <cell r="AD386">
            <v>26680</v>
          </cell>
          <cell r="AE386">
            <v>0</v>
          </cell>
          <cell r="AF386">
            <v>0</v>
          </cell>
        </row>
        <row r="387">
          <cell r="A387">
            <v>38</v>
          </cell>
          <cell r="B387" t="str">
            <v>Krepyak Kaca Nako + Kerangka</v>
          </cell>
          <cell r="C387" t="str">
            <v>M2</v>
          </cell>
          <cell r="D387">
            <v>81300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>
            <v>39</v>
          </cell>
          <cell r="B388" t="str">
            <v>Sticker Efek Kaca Es</v>
          </cell>
          <cell r="C388" t="str">
            <v>M2</v>
          </cell>
          <cell r="D388">
            <v>150000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>
            <v>40</v>
          </cell>
          <cell r="B389" t="str">
            <v>Rel Pintu Dorong</v>
          </cell>
          <cell r="C389" t="str">
            <v>M'</v>
          </cell>
          <cell r="D389">
            <v>275000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>
            <v>41</v>
          </cell>
          <cell r="B390" t="str">
            <v>Rolling Door</v>
          </cell>
          <cell r="C390" t="str">
            <v>M2</v>
          </cell>
          <cell r="D390">
            <v>358100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>
            <v>42</v>
          </cell>
          <cell r="B391" t="str">
            <v>Roster</v>
          </cell>
          <cell r="C391" t="str">
            <v>M2</v>
          </cell>
          <cell r="D391">
            <v>133850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>
            <v>43</v>
          </cell>
          <cell r="B392" t="str">
            <v>Gipsum Board</v>
          </cell>
          <cell r="C392" t="str">
            <v>M2</v>
          </cell>
          <cell r="D392">
            <v>29000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>
            <v>44</v>
          </cell>
          <cell r="B393" t="str">
            <v>List Gipsum</v>
          </cell>
          <cell r="C393" t="str">
            <v>M'</v>
          </cell>
          <cell r="D393">
            <v>17300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>
            <v>45</v>
          </cell>
          <cell r="B394" t="str">
            <v>Sealent</v>
          </cell>
          <cell r="C394" t="str">
            <v>M'</v>
          </cell>
          <cell r="D394">
            <v>8400</v>
          </cell>
          <cell r="E394">
            <v>2.16</v>
          </cell>
          <cell r="F394">
            <v>18144</v>
          </cell>
          <cell r="G394">
            <v>2.16</v>
          </cell>
          <cell r="H394">
            <v>18144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18.080000000000002</v>
          </cell>
          <cell r="T394">
            <v>151872.00000000003</v>
          </cell>
          <cell r="U394">
            <v>18.080000000000002</v>
          </cell>
          <cell r="V394">
            <v>151872.00000000003</v>
          </cell>
          <cell r="W394">
            <v>19.439999999999998</v>
          </cell>
          <cell r="X394">
            <v>163295.99999999997</v>
          </cell>
          <cell r="Y394">
            <v>7.1999999999999993</v>
          </cell>
          <cell r="Z394">
            <v>60479.999999999993</v>
          </cell>
          <cell r="AA394">
            <v>5.1999999999999993</v>
          </cell>
          <cell r="AB394">
            <v>43679.999999999993</v>
          </cell>
          <cell r="AC394">
            <v>7.1999999999999993</v>
          </cell>
          <cell r="AD394">
            <v>60479.999999999993</v>
          </cell>
          <cell r="AE394">
            <v>7.1999999999999993</v>
          </cell>
          <cell r="AF394">
            <v>60479.999999999993</v>
          </cell>
        </row>
        <row r="395">
          <cell r="A395">
            <v>46</v>
          </cell>
          <cell r="B395" t="str">
            <v>Benangan Kusen</v>
          </cell>
          <cell r="C395" t="str">
            <v>M'</v>
          </cell>
          <cell r="D395">
            <v>4296.0074999999997</v>
          </cell>
          <cell r="E395">
            <v>9.8000000000000007</v>
          </cell>
          <cell r="F395">
            <v>42100.873500000002</v>
          </cell>
          <cell r="G395">
            <v>9.8000000000000007</v>
          </cell>
          <cell r="H395">
            <v>42100.873500000002</v>
          </cell>
          <cell r="I395">
            <v>6.1999999999999993</v>
          </cell>
          <cell r="J395">
            <v>26635.246499999994</v>
          </cell>
          <cell r="K395">
            <v>5.7839999999999998</v>
          </cell>
          <cell r="L395">
            <v>24848.107379999998</v>
          </cell>
          <cell r="M395">
            <v>5.7839999999999998</v>
          </cell>
          <cell r="N395">
            <v>24848.107379999998</v>
          </cell>
          <cell r="O395">
            <v>7.6</v>
          </cell>
          <cell r="P395">
            <v>32649.656999999996</v>
          </cell>
          <cell r="Q395">
            <v>7.6</v>
          </cell>
          <cell r="R395">
            <v>32649.656999999996</v>
          </cell>
          <cell r="S395">
            <v>13.600000000000001</v>
          </cell>
          <cell r="T395">
            <v>58425.702000000005</v>
          </cell>
          <cell r="U395">
            <v>13.600000000000001</v>
          </cell>
          <cell r="V395">
            <v>58425.702000000005</v>
          </cell>
          <cell r="W395">
            <v>10.120000000000001</v>
          </cell>
          <cell r="X395">
            <v>43475.5959</v>
          </cell>
          <cell r="Y395">
            <v>9.1999999999999993</v>
          </cell>
          <cell r="Z395">
            <v>39523.268999999993</v>
          </cell>
          <cell r="AA395">
            <v>7.1999999999999993</v>
          </cell>
          <cell r="AB395">
            <v>30931.253999999994</v>
          </cell>
          <cell r="AC395">
            <v>16</v>
          </cell>
          <cell r="AD395">
            <v>68736.12</v>
          </cell>
          <cell r="AE395">
            <v>16</v>
          </cell>
          <cell r="AF395">
            <v>68736.12</v>
          </cell>
        </row>
        <row r="396">
          <cell r="A396">
            <v>47</v>
          </cell>
          <cell r="B396" t="str">
            <v xml:space="preserve">Cat Kayu </v>
          </cell>
          <cell r="C396" t="str">
            <v>M2</v>
          </cell>
          <cell r="D396">
            <v>19370.5</v>
          </cell>
          <cell r="E396">
            <v>3.2720000000000002</v>
          </cell>
          <cell r="F396">
            <v>63380.276000000005</v>
          </cell>
          <cell r="G396">
            <v>3.2720000000000002</v>
          </cell>
          <cell r="H396">
            <v>63380.276000000005</v>
          </cell>
          <cell r="I396">
            <v>0</v>
          </cell>
          <cell r="J396">
            <v>0</v>
          </cell>
          <cell r="K396">
            <v>4.0991999999999997</v>
          </cell>
          <cell r="L396">
            <v>79403.553599999999</v>
          </cell>
          <cell r="M396">
            <v>4.0991999999999997</v>
          </cell>
          <cell r="N396">
            <v>79403.553599999999</v>
          </cell>
          <cell r="O396">
            <v>1.3960000000000001</v>
          </cell>
          <cell r="P396">
            <v>27041.218000000001</v>
          </cell>
          <cell r="Q396">
            <v>1.3960000000000001</v>
          </cell>
          <cell r="R396">
            <v>27041.218000000001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A397">
            <v>48</v>
          </cell>
          <cell r="B397" t="str">
            <v>Cat Besi</v>
          </cell>
          <cell r="C397" t="str">
            <v>M2</v>
          </cell>
          <cell r="D397">
            <v>13698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>
            <v>49</v>
          </cell>
          <cell r="B398" t="str">
            <v>Cat Dinding</v>
          </cell>
          <cell r="C398" t="str">
            <v>M2</v>
          </cell>
          <cell r="D398">
            <v>9900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>
            <v>50</v>
          </cell>
          <cell r="B399" t="str">
            <v>Plesteran Camprot</v>
          </cell>
          <cell r="C399" t="str">
            <v>M2</v>
          </cell>
          <cell r="D399">
            <v>14600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</row>
        <row r="400"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</row>
        <row r="401">
          <cell r="B401" t="str">
            <v>Jumlah Harga</v>
          </cell>
          <cell r="C401">
            <v>3021087.0332500003</v>
          </cell>
          <cell r="D401">
            <v>3021087.0332500003</v>
          </cell>
          <cell r="E401">
            <v>3776944.5502499999</v>
          </cell>
          <cell r="F401">
            <v>3021087.0332500003</v>
          </cell>
          <cell r="G401">
            <v>1690743.9109799999</v>
          </cell>
          <cell r="H401">
            <v>3021087.0332500003</v>
          </cell>
          <cell r="I401">
            <v>210982.375</v>
          </cell>
          <cell r="J401">
            <v>3776944.5502499999</v>
          </cell>
          <cell r="K401">
            <v>1835497.2684499999</v>
          </cell>
          <cell r="L401">
            <v>1690743.9109799999</v>
          </cell>
          <cell r="M401">
            <v>862639.46212499996</v>
          </cell>
          <cell r="N401">
            <v>1690743.9109799999</v>
          </cell>
          <cell r="O401">
            <v>155896.12</v>
          </cell>
          <cell r="P401">
            <v>210982.375</v>
          </cell>
          <cell r="Q401">
            <v>0</v>
          </cell>
          <cell r="R401">
            <v>210982.375</v>
          </cell>
          <cell r="S401">
            <v>0</v>
          </cell>
          <cell r="T401">
            <v>1835497.2684499999</v>
          </cell>
          <cell r="U401">
            <v>0</v>
          </cell>
          <cell r="V401">
            <v>1835497.2684499999</v>
          </cell>
          <cell r="W401">
            <v>0</v>
          </cell>
          <cell r="X401">
            <v>1016874.9389</v>
          </cell>
          <cell r="Y401">
            <v>0</v>
          </cell>
          <cell r="Z401">
            <v>862639.46212499996</v>
          </cell>
          <cell r="AA401">
            <v>0</v>
          </cell>
          <cell r="AB401">
            <v>663142.69087499997</v>
          </cell>
          <cell r="AC401">
            <v>0</v>
          </cell>
          <cell r="AD401">
            <v>155896.12</v>
          </cell>
          <cell r="AE401">
            <v>0</v>
          </cell>
          <cell r="AF401">
            <v>155896.12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L402" t="str">
            <v>P3A ASR = P4 SD</v>
          </cell>
        </row>
        <row r="403">
          <cell r="AF403">
            <v>155896.12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L404" t="str">
            <v>P3A ASR = P4 SD</v>
          </cell>
        </row>
        <row r="405">
          <cell r="A405" t="str">
            <v>No.</v>
          </cell>
          <cell r="B405" t="str">
            <v>Item Pekerjaan</v>
          </cell>
          <cell r="C405" t="str">
            <v>Satuan</v>
          </cell>
          <cell r="D405" t="str">
            <v>Harga Satuan</v>
          </cell>
          <cell r="E405" t="str">
            <v>P1</v>
          </cell>
          <cell r="F405" t="str">
            <v>P2</v>
          </cell>
          <cell r="G405" t="str">
            <v>P2</v>
          </cell>
          <cell r="H405" t="str">
            <v>P4</v>
          </cell>
          <cell r="I405" t="str">
            <v>P3</v>
          </cell>
          <cell r="J405" t="str">
            <v>BV1</v>
          </cell>
          <cell r="K405" t="str">
            <v>P4</v>
          </cell>
          <cell r="L405" t="str">
            <v>R2A</v>
          </cell>
          <cell r="M405" t="str">
            <v>J1</v>
          </cell>
          <cell r="N405">
            <v>0</v>
          </cell>
          <cell r="O405" t="str">
            <v>BV1</v>
          </cell>
          <cell r="P405">
            <v>0</v>
          </cell>
          <cell r="Q405" t="str">
            <v>R2B</v>
          </cell>
          <cell r="R405">
            <v>0</v>
          </cell>
          <cell r="S405" t="str">
            <v>R2A</v>
          </cell>
          <cell r="T405">
            <v>0</v>
          </cell>
          <cell r="U405" t="str">
            <v>R1</v>
          </cell>
        </row>
        <row r="406">
          <cell r="D406" t="str">
            <v>Rp.</v>
          </cell>
          <cell r="E406" t="str">
            <v>Vol.</v>
          </cell>
          <cell r="F406" t="str">
            <v>Jumlah Harga</v>
          </cell>
          <cell r="G406" t="str">
            <v>Vol.</v>
          </cell>
          <cell r="H406" t="str">
            <v>Jumlah Harga</v>
          </cell>
          <cell r="I406" t="str">
            <v>Vol.</v>
          </cell>
          <cell r="J406" t="str">
            <v>Jumlah Harga</v>
          </cell>
          <cell r="K406" t="str">
            <v>Vol.</v>
          </cell>
          <cell r="L406" t="str">
            <v>Jumlah Harga</v>
          </cell>
          <cell r="M406" t="str">
            <v>Vol.</v>
          </cell>
          <cell r="N406" t="str">
            <v>Jumlah Harga</v>
          </cell>
          <cell r="O406" t="str">
            <v>Vol.</v>
          </cell>
          <cell r="P406" t="str">
            <v>Jumlah Harga</v>
          </cell>
          <cell r="Q406" t="str">
            <v>Vol.</v>
          </cell>
          <cell r="R406" t="str">
            <v>Jumlah Harga</v>
          </cell>
          <cell r="S406" t="str">
            <v>Vol.</v>
          </cell>
          <cell r="T406" t="str">
            <v>Jumlah Harga</v>
          </cell>
          <cell r="U406" t="str">
            <v>Vol.</v>
          </cell>
          <cell r="V406" t="str">
            <v>Jumlah Harga</v>
          </cell>
        </row>
        <row r="407">
          <cell r="A407" t="str">
            <v>VII.</v>
          </cell>
          <cell r="B407" t="str">
            <v>UNIT BANGUNAN GSG</v>
          </cell>
          <cell r="D407" t="str">
            <v>Rp.</v>
          </cell>
          <cell r="E407" t="str">
            <v>Vol.</v>
          </cell>
          <cell r="F407" t="str">
            <v>Jumlah Harga</v>
          </cell>
          <cell r="G407" t="str">
            <v>Vol.</v>
          </cell>
          <cell r="H407" t="str">
            <v>Jumlah Harga</v>
          </cell>
          <cell r="I407" t="str">
            <v>Vol.</v>
          </cell>
          <cell r="J407" t="str">
            <v>Jumlah Harga</v>
          </cell>
          <cell r="K407" t="str">
            <v>Vol.</v>
          </cell>
          <cell r="L407" t="str">
            <v>Jumlah Harga</v>
          </cell>
          <cell r="M407" t="str">
            <v>Vol.</v>
          </cell>
          <cell r="N407" t="str">
            <v>Jumlah Harga</v>
          </cell>
          <cell r="O407" t="str">
            <v>Vol.</v>
          </cell>
          <cell r="P407" t="str">
            <v>Jumlah Harga</v>
          </cell>
          <cell r="Q407" t="str">
            <v>Vol.</v>
          </cell>
          <cell r="R407" t="str">
            <v>Jumlah Harga</v>
          </cell>
          <cell r="S407" t="str">
            <v>Vol.</v>
          </cell>
          <cell r="T407" t="str">
            <v>Jumlah Harga</v>
          </cell>
          <cell r="U407" t="str">
            <v>Vol.</v>
          </cell>
          <cell r="V407" t="str">
            <v>Jumlah Harga</v>
          </cell>
        </row>
        <row r="408">
          <cell r="A408" t="str">
            <v>VII.</v>
          </cell>
          <cell r="B408" t="str">
            <v>UNIT BANGUNAN GSG</v>
          </cell>
        </row>
        <row r="409">
          <cell r="A409">
            <v>1</v>
          </cell>
          <cell r="B409" t="str">
            <v>Kayu 6/12</v>
          </cell>
          <cell r="C409" t="str">
            <v>M3</v>
          </cell>
          <cell r="D409">
            <v>0</v>
          </cell>
          <cell r="E409">
            <v>1.0200000000000001E-2</v>
          </cell>
          <cell r="F409">
            <v>0</v>
          </cell>
          <cell r="G409">
            <v>1.12E-2</v>
          </cell>
          <cell r="H409">
            <v>0</v>
          </cell>
          <cell r="I409">
            <v>3.6144000000000003E-2</v>
          </cell>
          <cell r="J409">
            <v>0</v>
          </cell>
          <cell r="K409">
            <v>5.2800000000000007E-2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>
            <v>2</v>
          </cell>
          <cell r="B410" t="str">
            <v>Kayu Slimar 3/10</v>
          </cell>
          <cell r="C410" t="str">
            <v>M3</v>
          </cell>
          <cell r="D410">
            <v>0</v>
          </cell>
          <cell r="E410">
            <v>5.1200000000000002E-2</v>
          </cell>
          <cell r="F410">
            <v>0</v>
          </cell>
          <cell r="G410">
            <v>3.2000000000000002E-3</v>
          </cell>
          <cell r="H410">
            <v>0</v>
          </cell>
          <cell r="I410">
            <v>1.4159999999999999E-2</v>
          </cell>
          <cell r="J410">
            <v>0</v>
          </cell>
          <cell r="K410">
            <v>1.4400000000000001E-2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>
            <v>3</v>
          </cell>
          <cell r="B411" t="str">
            <v>Kayu Slimar 3/15</v>
          </cell>
          <cell r="C411" t="str">
            <v>M3</v>
          </cell>
          <cell r="D411">
            <v>0</v>
          </cell>
          <cell r="E411">
            <v>13.84</v>
          </cell>
          <cell r="F411">
            <v>0</v>
          </cell>
          <cell r="G411">
            <v>3.2</v>
          </cell>
          <cell r="H411">
            <v>0</v>
          </cell>
          <cell r="I411">
            <v>2.6999999999999997E-3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>
            <v>4</v>
          </cell>
          <cell r="B412" t="str">
            <v>Kayu Slimar 3/20</v>
          </cell>
          <cell r="C412" t="str">
            <v>M3</v>
          </cell>
          <cell r="D412">
            <v>0</v>
          </cell>
          <cell r="E412">
            <v>7.99</v>
          </cell>
          <cell r="F412">
            <v>0</v>
          </cell>
          <cell r="G412">
            <v>3.2</v>
          </cell>
          <cell r="H412">
            <v>0</v>
          </cell>
          <cell r="I412">
            <v>3.5999999999999999E-3</v>
          </cell>
          <cell r="J412">
            <v>0</v>
          </cell>
          <cell r="K412">
            <v>17.28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>
            <v>5</v>
          </cell>
          <cell r="B413" t="str">
            <v>Kayu 2/10</v>
          </cell>
          <cell r="C413" t="str">
            <v>M3</v>
          </cell>
          <cell r="D413">
            <v>0</v>
          </cell>
          <cell r="E413">
            <v>6.6</v>
          </cell>
          <cell r="F413">
            <v>0</v>
          </cell>
          <cell r="G413">
            <v>5</v>
          </cell>
          <cell r="H413">
            <v>0</v>
          </cell>
          <cell r="I413">
            <v>5.4000000000000012E-3</v>
          </cell>
          <cell r="J413">
            <v>0</v>
          </cell>
          <cell r="K413">
            <v>0</v>
          </cell>
          <cell r="L413">
            <v>0</v>
          </cell>
          <cell r="M413">
            <v>4.92</v>
          </cell>
          <cell r="N413">
            <v>0</v>
          </cell>
          <cell r="O413">
            <v>2.2000000000000002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>
            <v>6</v>
          </cell>
          <cell r="B414" t="str">
            <v>Panil t = 3 cm</v>
          </cell>
          <cell r="C414" t="str">
            <v>M2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0.49500000000000005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>
            <v>1</v>
          </cell>
          <cell r="B415" t="str">
            <v>Kusen Aluminium 5/10</v>
          </cell>
          <cell r="C415" t="str">
            <v>M'</v>
          </cell>
          <cell r="D415">
            <v>124948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5</v>
          </cell>
          <cell r="J415">
            <v>624740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>
            <v>2</v>
          </cell>
          <cell r="B416" t="str">
            <v xml:space="preserve">Rangka Daun Jendela Alumunium </v>
          </cell>
          <cell r="C416" t="str">
            <v>M'</v>
          </cell>
          <cell r="D416">
            <v>124948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>
            <v>3</v>
          </cell>
          <cell r="B417" t="str">
            <v>Rangka Tiang Sirip Alumunium 1/1 Putih</v>
          </cell>
          <cell r="C417" t="str">
            <v>M'</v>
          </cell>
          <cell r="D417">
            <v>62474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>
            <v>4</v>
          </cell>
          <cell r="B418" t="str">
            <v>Pasang Shading Sirip Alumunium 0.2/10 +Rangka</v>
          </cell>
          <cell r="C418" t="str">
            <v>M2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A419">
            <v>5</v>
          </cell>
          <cell r="B419" t="str">
            <v>Daun Pintu Panil Kamper</v>
          </cell>
          <cell r="C419" t="str">
            <v>bh</v>
          </cell>
          <cell r="D419">
            <v>550000</v>
          </cell>
          <cell r="E419">
            <v>0</v>
          </cell>
          <cell r="F419">
            <v>0</v>
          </cell>
          <cell r="G419">
            <v>1.2E-2</v>
          </cell>
          <cell r="H419">
            <v>6600</v>
          </cell>
          <cell r="I419">
            <v>1.2</v>
          </cell>
          <cell r="J419">
            <v>660000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A420">
            <v>6</v>
          </cell>
          <cell r="B420" t="str">
            <v>Plat besi t = 2 mm</v>
          </cell>
          <cell r="C420" t="str">
            <v>Kg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A421">
            <v>7</v>
          </cell>
          <cell r="B421" t="str">
            <v>C 40.40.2  (pesan khusus)</v>
          </cell>
          <cell r="C421" t="str">
            <v>Kg</v>
          </cell>
          <cell r="D421">
            <v>14122.3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A422">
            <v>8</v>
          </cell>
          <cell r="B422" t="str">
            <v>Handle besi dia 16 mm</v>
          </cell>
          <cell r="C422" t="str">
            <v>Set</v>
          </cell>
          <cell r="D422">
            <v>129652.5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>
            <v>9</v>
          </cell>
          <cell r="B423" t="str">
            <v>Hendle pintu Stainless</v>
          </cell>
          <cell r="C423" t="str">
            <v>Set</v>
          </cell>
          <cell r="D423">
            <v>261652.5</v>
          </cell>
          <cell r="E423">
            <v>2</v>
          </cell>
          <cell r="F423">
            <v>523305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</row>
        <row r="424">
          <cell r="A424">
            <v>10</v>
          </cell>
          <cell r="B424" t="str">
            <v>Kunci Pintu Handle stainleess (dorma)</v>
          </cell>
          <cell r="C424" t="str">
            <v>Set</v>
          </cell>
          <cell r="D424">
            <v>650000</v>
          </cell>
          <cell r="E424">
            <v>1</v>
          </cell>
          <cell r="F424">
            <v>650000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</row>
        <row r="425">
          <cell r="A425">
            <v>11</v>
          </cell>
          <cell r="B425" t="str">
            <v>Kunci tanam Antik</v>
          </cell>
          <cell r="C425" t="str">
            <v>Set</v>
          </cell>
          <cell r="D425">
            <v>265000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</row>
        <row r="426">
          <cell r="A426">
            <v>12</v>
          </cell>
          <cell r="B426" t="str">
            <v>Kunci tanam biasa</v>
          </cell>
          <cell r="C426" t="str">
            <v>Set</v>
          </cell>
          <cell r="D426">
            <v>168565</v>
          </cell>
          <cell r="E426">
            <v>2</v>
          </cell>
          <cell r="F426">
            <v>337130</v>
          </cell>
          <cell r="G426">
            <v>1</v>
          </cell>
          <cell r="H426">
            <v>168565</v>
          </cell>
          <cell r="I426">
            <v>1</v>
          </cell>
          <cell r="J426">
            <v>168565</v>
          </cell>
          <cell r="K426">
            <v>2</v>
          </cell>
          <cell r="L426">
            <v>337130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>
            <v>13</v>
          </cell>
          <cell r="B427" t="str">
            <v>Kunci Silinder</v>
          </cell>
          <cell r="C427" t="str">
            <v>Set</v>
          </cell>
          <cell r="D427">
            <v>217900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>
            <v>14</v>
          </cell>
          <cell r="B428" t="str">
            <v>Kunci Selot</v>
          </cell>
          <cell r="C428" t="str">
            <v>Set</v>
          </cell>
          <cell r="D428">
            <v>48300</v>
          </cell>
          <cell r="E428">
            <v>0</v>
          </cell>
          <cell r="F428">
            <v>0</v>
          </cell>
          <cell r="G428">
            <v>1</v>
          </cell>
          <cell r="H428">
            <v>48300</v>
          </cell>
          <cell r="I428">
            <v>0</v>
          </cell>
          <cell r="J428">
            <v>0</v>
          </cell>
          <cell r="K428">
            <v>1</v>
          </cell>
          <cell r="L428">
            <v>48300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A429">
            <v>15</v>
          </cell>
          <cell r="B429" t="str">
            <v>Engsel jendela</v>
          </cell>
          <cell r="C429" t="str">
            <v>Bh</v>
          </cell>
          <cell r="D429">
            <v>16600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A430">
            <v>16</v>
          </cell>
          <cell r="B430" t="str">
            <v>Engsel pintu</v>
          </cell>
          <cell r="C430" t="str">
            <v>Bh</v>
          </cell>
          <cell r="D430">
            <v>44395.75</v>
          </cell>
          <cell r="E430">
            <v>4</v>
          </cell>
          <cell r="F430">
            <v>177583</v>
          </cell>
          <cell r="G430">
            <v>2</v>
          </cell>
          <cell r="H430">
            <v>88791.5</v>
          </cell>
          <cell r="I430">
            <v>3</v>
          </cell>
          <cell r="J430">
            <v>133187.25</v>
          </cell>
          <cell r="K430">
            <v>8</v>
          </cell>
          <cell r="L430">
            <v>355166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A431">
            <v>17</v>
          </cell>
          <cell r="B431" t="str">
            <v>Engsel Pintu dari pipa besi dia 2 cm</v>
          </cell>
          <cell r="C431" t="str">
            <v>Bh</v>
          </cell>
          <cell r="D431">
            <v>66593.625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A432">
            <v>18</v>
          </cell>
          <cell r="B432" t="str">
            <v>Kait/hak angin</v>
          </cell>
          <cell r="C432" t="str">
            <v>Set</v>
          </cell>
          <cell r="D432">
            <v>27000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A433">
            <v>19</v>
          </cell>
          <cell r="B433" t="str">
            <v>Grendel pintu kuningan</v>
          </cell>
          <cell r="C433" t="str">
            <v>Bh</v>
          </cell>
          <cell r="D433">
            <v>125000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A434">
            <v>20</v>
          </cell>
          <cell r="B434" t="str">
            <v xml:space="preserve">Grendel jendela </v>
          </cell>
          <cell r="C434" t="str">
            <v>Bh</v>
          </cell>
          <cell r="D434">
            <v>8100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>
            <v>21</v>
          </cell>
          <cell r="B435" t="str">
            <v>Grendel pintu</v>
          </cell>
          <cell r="C435" t="str">
            <v>Bh</v>
          </cell>
          <cell r="D435">
            <v>14200</v>
          </cell>
          <cell r="E435">
            <v>2</v>
          </cell>
          <cell r="F435">
            <v>28400</v>
          </cell>
          <cell r="G435">
            <v>1</v>
          </cell>
          <cell r="H435">
            <v>14200</v>
          </cell>
          <cell r="I435">
            <v>0</v>
          </cell>
          <cell r="J435">
            <v>0</v>
          </cell>
          <cell r="K435">
            <v>2</v>
          </cell>
          <cell r="L435">
            <v>28400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A436">
            <v>22</v>
          </cell>
          <cell r="B436" t="str">
            <v>Stripting Knip</v>
          </cell>
          <cell r="C436" t="str">
            <v>Set</v>
          </cell>
          <cell r="D436">
            <v>13700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A437">
            <v>23</v>
          </cell>
          <cell r="B437" t="str">
            <v>Door Closer</v>
          </cell>
          <cell r="C437" t="str">
            <v>Set</v>
          </cell>
          <cell r="D437">
            <v>260800</v>
          </cell>
          <cell r="E437">
            <v>2</v>
          </cell>
          <cell r="F437">
            <v>521600</v>
          </cell>
          <cell r="G437">
            <v>1</v>
          </cell>
          <cell r="H437">
            <v>260800</v>
          </cell>
          <cell r="I437">
            <v>0</v>
          </cell>
          <cell r="J437">
            <v>0</v>
          </cell>
          <cell r="K437">
            <v>2</v>
          </cell>
          <cell r="L437">
            <v>521600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A438">
            <v>24</v>
          </cell>
          <cell r="B438" t="str">
            <v>Door Holder</v>
          </cell>
          <cell r="C438" t="str">
            <v>Set</v>
          </cell>
          <cell r="D438">
            <v>500000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>
            <v>25</v>
          </cell>
          <cell r="B439" t="str">
            <v>Door Stop</v>
          </cell>
          <cell r="C439" t="str">
            <v>Set</v>
          </cell>
          <cell r="D439">
            <v>32100</v>
          </cell>
          <cell r="E439">
            <v>2</v>
          </cell>
          <cell r="F439">
            <v>64200</v>
          </cell>
          <cell r="G439">
            <v>1</v>
          </cell>
          <cell r="H439">
            <v>32100</v>
          </cell>
          <cell r="I439">
            <v>0</v>
          </cell>
          <cell r="J439">
            <v>0</v>
          </cell>
          <cell r="K439">
            <v>2</v>
          </cell>
          <cell r="L439">
            <v>64200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A440">
            <v>26</v>
          </cell>
          <cell r="B440" t="str">
            <v>Kaca bening 5 mm</v>
          </cell>
          <cell r="C440" t="str">
            <v>M2</v>
          </cell>
          <cell r="D440">
            <v>66700</v>
          </cell>
          <cell r="E440">
            <v>0</v>
          </cell>
          <cell r="F440">
            <v>0</v>
          </cell>
          <cell r="G440">
            <v>5.0399999999999993E-2</v>
          </cell>
          <cell r="H440">
            <v>3361.6799999999994</v>
          </cell>
          <cell r="I440">
            <v>0</v>
          </cell>
          <cell r="J440">
            <v>0</v>
          </cell>
          <cell r="K440">
            <v>0.28799999999999998</v>
          </cell>
          <cell r="L440">
            <v>0</v>
          </cell>
          <cell r="M440">
            <v>0.28799999999999998</v>
          </cell>
          <cell r="N440">
            <v>19209.599999999999</v>
          </cell>
          <cell r="O440">
            <v>0.24</v>
          </cell>
          <cell r="P440">
            <v>16008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A441">
            <v>27</v>
          </cell>
          <cell r="B441" t="str">
            <v>Kaca bening 10 mm</v>
          </cell>
          <cell r="C441" t="str">
            <v>M2</v>
          </cell>
          <cell r="D441">
            <v>280895.75</v>
          </cell>
          <cell r="E441">
            <v>0.34100000000000008</v>
          </cell>
          <cell r="F441">
            <v>95785.450750000018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>
            <v>28</v>
          </cell>
          <cell r="B442" t="str">
            <v>Kaca Bening 12 mm</v>
          </cell>
          <cell r="C442" t="str">
            <v>M2</v>
          </cell>
          <cell r="D442">
            <v>403787.64062499994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A443">
            <v>29</v>
          </cell>
          <cell r="B443" t="str">
            <v>Besi hollow 4/4</v>
          </cell>
          <cell r="C443" t="str">
            <v>M'</v>
          </cell>
          <cell r="D443">
            <v>48625.000000000051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>
            <v>30</v>
          </cell>
          <cell r="B444" t="str">
            <v>Besi hollow 6/6</v>
          </cell>
          <cell r="C444" t="str">
            <v>M'</v>
          </cell>
          <cell r="D444">
            <v>74462.500000000058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A445">
            <v>31</v>
          </cell>
          <cell r="B445" t="str">
            <v>Besi hollow 2.5/5</v>
          </cell>
          <cell r="C445" t="str">
            <v>Kg</v>
          </cell>
          <cell r="D445">
            <v>74462.500000000058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>
            <v>32</v>
          </cell>
          <cell r="B446" t="str">
            <v>Besi hollow 5/5</v>
          </cell>
          <cell r="C446" t="str">
            <v>Kg</v>
          </cell>
          <cell r="D446">
            <v>74462.500000000058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A447">
            <v>33</v>
          </cell>
          <cell r="B447" t="str">
            <v>Besi hollow 2/2</v>
          </cell>
          <cell r="C447" t="str">
            <v>Kg</v>
          </cell>
          <cell r="D447">
            <v>74462.500000000058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A448">
            <v>34</v>
          </cell>
          <cell r="B448" t="str">
            <v>Besi hollow 2/4</v>
          </cell>
          <cell r="C448" t="str">
            <v>Kg</v>
          </cell>
          <cell r="D448">
            <v>74462.500000000058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A449">
            <v>35</v>
          </cell>
          <cell r="B449" t="str">
            <v>Kaca Tempered 12 mm</v>
          </cell>
          <cell r="C449" t="str">
            <v>M2</v>
          </cell>
          <cell r="D449">
            <v>528395.75</v>
          </cell>
          <cell r="E449">
            <v>0</v>
          </cell>
          <cell r="F449">
            <v>0</v>
          </cell>
          <cell r="G449">
            <v>4.3049999999999997</v>
          </cell>
          <cell r="H449">
            <v>2274743.7037499999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>
            <v>36</v>
          </cell>
          <cell r="B450" t="str">
            <v>Glass Block</v>
          </cell>
          <cell r="C450" t="str">
            <v>Bh</v>
          </cell>
          <cell r="D450">
            <v>45000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A451">
            <v>37</v>
          </cell>
          <cell r="B451" t="str">
            <v>Kaca Es</v>
          </cell>
          <cell r="C451" t="str">
            <v>M2</v>
          </cell>
          <cell r="D451">
            <v>66700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A452">
            <v>38</v>
          </cell>
          <cell r="B452" t="str">
            <v>Krepyak Kaca Nako + Kerangka</v>
          </cell>
          <cell r="C452" t="str">
            <v>M2</v>
          </cell>
          <cell r="D452">
            <v>81300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A453">
            <v>39</v>
          </cell>
          <cell r="B453" t="str">
            <v>Sticker Efek Kaca Es</v>
          </cell>
          <cell r="C453" t="str">
            <v>M2</v>
          </cell>
          <cell r="D453">
            <v>150000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>
            <v>40</v>
          </cell>
          <cell r="B454" t="str">
            <v>Rel Pintu Dorong</v>
          </cell>
          <cell r="C454" t="str">
            <v>M'</v>
          </cell>
          <cell r="D454">
            <v>275000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7.2</v>
          </cell>
          <cell r="L454">
            <v>1980000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A455">
            <v>41</v>
          </cell>
          <cell r="B455" t="str">
            <v>Rolling Door</v>
          </cell>
          <cell r="C455" t="str">
            <v>M2</v>
          </cell>
          <cell r="D455">
            <v>358100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A456">
            <v>42</v>
          </cell>
          <cell r="B456" t="str">
            <v>Roster</v>
          </cell>
          <cell r="C456" t="str">
            <v>M2</v>
          </cell>
          <cell r="D456">
            <v>133850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0.25919999999999999</v>
          </cell>
          <cell r="N456">
            <v>0</v>
          </cell>
          <cell r="O456">
            <v>0.25919999999999999</v>
          </cell>
          <cell r="P456">
            <v>0</v>
          </cell>
          <cell r="Q456">
            <v>0.25919999999999999</v>
          </cell>
          <cell r="R456">
            <v>34693.919999999998</v>
          </cell>
          <cell r="S456">
            <v>0.25919999999999999</v>
          </cell>
          <cell r="T456">
            <v>34693.919999999998</v>
          </cell>
          <cell r="U456">
            <v>0.12959999999999999</v>
          </cell>
          <cell r="V456">
            <v>17346.96</v>
          </cell>
        </row>
        <row r="457">
          <cell r="A457">
            <v>43</v>
          </cell>
          <cell r="B457" t="str">
            <v>Gipsum Board</v>
          </cell>
          <cell r="C457" t="str">
            <v>M2</v>
          </cell>
          <cell r="D457">
            <v>29000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A458">
            <v>44</v>
          </cell>
          <cell r="B458" t="str">
            <v>List Gipsum</v>
          </cell>
          <cell r="C458" t="str">
            <v>M'</v>
          </cell>
          <cell r="D458">
            <v>17300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A459">
            <v>45</v>
          </cell>
          <cell r="B459" t="str">
            <v>Sealent</v>
          </cell>
          <cell r="C459" t="str">
            <v>M'</v>
          </cell>
          <cell r="D459">
            <v>8400</v>
          </cell>
          <cell r="E459">
            <v>14.520000000000003</v>
          </cell>
          <cell r="F459">
            <v>121968.00000000003</v>
          </cell>
          <cell r="G459">
            <v>2.16</v>
          </cell>
          <cell r="H459">
            <v>18144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1.1519999999999999</v>
          </cell>
          <cell r="N459">
            <v>9676.7999999999993</v>
          </cell>
          <cell r="O459">
            <v>6.4</v>
          </cell>
          <cell r="P459">
            <v>53760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>
            <v>46</v>
          </cell>
          <cell r="B460" t="str">
            <v>Benangan Kusen</v>
          </cell>
          <cell r="C460" t="str">
            <v>M'</v>
          </cell>
          <cell r="D460">
            <v>4296.0074999999997</v>
          </cell>
          <cell r="E460">
            <v>13.2</v>
          </cell>
          <cell r="F460">
            <v>56707.298999999992</v>
          </cell>
          <cell r="G460">
            <v>9.8000000000000007</v>
          </cell>
          <cell r="H460">
            <v>42100.873500000002</v>
          </cell>
          <cell r="I460">
            <v>5.7839999999999998</v>
          </cell>
          <cell r="J460">
            <v>24848.107379999998</v>
          </cell>
          <cell r="K460">
            <v>28</v>
          </cell>
          <cell r="L460">
            <v>120288.20999999999</v>
          </cell>
          <cell r="M460">
            <v>8.92</v>
          </cell>
          <cell r="N460">
            <v>38320.386899999998</v>
          </cell>
          <cell r="O460">
            <v>4.4000000000000004</v>
          </cell>
          <cell r="P460">
            <v>18902.433000000001</v>
          </cell>
          <cell r="Q460">
            <v>6.4</v>
          </cell>
          <cell r="R460">
            <v>27494.448</v>
          </cell>
          <cell r="S460">
            <v>6.4</v>
          </cell>
          <cell r="T460">
            <v>27494.448</v>
          </cell>
          <cell r="U460">
            <v>3.2</v>
          </cell>
          <cell r="V460">
            <v>13747.224</v>
          </cell>
        </row>
        <row r="461">
          <cell r="A461">
            <v>47</v>
          </cell>
          <cell r="B461" t="str">
            <v xml:space="preserve">Cat Kayu </v>
          </cell>
          <cell r="C461" t="str">
            <v>M2</v>
          </cell>
          <cell r="D461">
            <v>19370.5</v>
          </cell>
          <cell r="E461">
            <v>7.99</v>
          </cell>
          <cell r="F461">
            <v>154770.29500000001</v>
          </cell>
          <cell r="G461">
            <v>3.2720000000000002</v>
          </cell>
          <cell r="H461">
            <v>63380.276000000005</v>
          </cell>
          <cell r="I461">
            <v>4.0991999999999997</v>
          </cell>
          <cell r="J461">
            <v>79403.553599999999</v>
          </cell>
          <cell r="K461">
            <v>17.28</v>
          </cell>
          <cell r="L461">
            <v>334722.24000000005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A462">
            <v>48</v>
          </cell>
          <cell r="B462" t="str">
            <v>Cat Besi</v>
          </cell>
          <cell r="C462" t="str">
            <v>M2</v>
          </cell>
          <cell r="D462">
            <v>13698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A463">
            <v>49</v>
          </cell>
          <cell r="B463" t="str">
            <v>Cat Dinding</v>
          </cell>
          <cell r="C463" t="str">
            <v>M2</v>
          </cell>
          <cell r="D463">
            <v>9900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0.64000000000000012</v>
          </cell>
          <cell r="N463">
            <v>0</v>
          </cell>
          <cell r="O463">
            <v>0.64000000000000012</v>
          </cell>
          <cell r="P463">
            <v>0</v>
          </cell>
          <cell r="Q463">
            <v>0.64000000000000012</v>
          </cell>
          <cell r="R463">
            <v>6336.0000000000009</v>
          </cell>
          <cell r="S463">
            <v>0.64000000000000012</v>
          </cell>
          <cell r="T463">
            <v>6336.0000000000009</v>
          </cell>
          <cell r="U463">
            <v>0.32000000000000006</v>
          </cell>
          <cell r="V463">
            <v>3168.0000000000005</v>
          </cell>
        </row>
        <row r="464">
          <cell r="A464">
            <v>50</v>
          </cell>
          <cell r="B464" t="str">
            <v>Plesteran Camprot</v>
          </cell>
          <cell r="C464" t="str">
            <v>M2</v>
          </cell>
          <cell r="D464">
            <v>14600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</row>
        <row r="465">
          <cell r="T465">
            <v>0</v>
          </cell>
        </row>
        <row r="466">
          <cell r="B466" t="str">
            <v>Jumlah Harga</v>
          </cell>
          <cell r="C466">
            <v>2731449.0447499999</v>
          </cell>
          <cell r="D466">
            <v>3021087.0332500003</v>
          </cell>
          <cell r="E466">
            <v>1690743.9109799999</v>
          </cell>
          <cell r="F466">
            <v>2731449.0447499999</v>
          </cell>
          <cell r="G466">
            <v>67206.786899999992</v>
          </cell>
          <cell r="H466">
            <v>3021087.0332500003</v>
          </cell>
          <cell r="I466">
            <v>68524.368000000002</v>
          </cell>
          <cell r="J466">
            <v>1690743.9109799999</v>
          </cell>
          <cell r="K466">
            <v>34262.184000000001</v>
          </cell>
          <cell r="L466">
            <v>3789806.45</v>
          </cell>
          <cell r="M466">
            <v>0</v>
          </cell>
          <cell r="N466">
            <v>67206.786899999992</v>
          </cell>
          <cell r="O466">
            <v>0</v>
          </cell>
          <cell r="P466">
            <v>88670.433000000005</v>
          </cell>
          <cell r="Q466">
            <v>0</v>
          </cell>
          <cell r="R466">
            <v>68524.368000000002</v>
          </cell>
          <cell r="S466">
            <v>0</v>
          </cell>
          <cell r="T466">
            <v>68524.368000000002</v>
          </cell>
          <cell r="U466">
            <v>0</v>
          </cell>
          <cell r="V466">
            <v>34262.184000000001</v>
          </cell>
        </row>
        <row r="467">
          <cell r="L467" t="str">
            <v>Rev Kaca 8 Jd 5</v>
          </cell>
        </row>
        <row r="468">
          <cell r="V468">
            <v>34262.184000000001</v>
          </cell>
        </row>
        <row r="469">
          <cell r="L469" t="str">
            <v>Rev Kaca 8 Jd 5</v>
          </cell>
        </row>
        <row r="470">
          <cell r="A470" t="str">
            <v>No.</v>
          </cell>
          <cell r="B470" t="str">
            <v>Item Pekerjaan</v>
          </cell>
          <cell r="C470" t="str">
            <v>Satuan</v>
          </cell>
          <cell r="D470" t="str">
            <v>Harga Satuan</v>
          </cell>
          <cell r="E470" t="str">
            <v>P1</v>
          </cell>
          <cell r="F470" t="str">
            <v>P2</v>
          </cell>
          <cell r="G470" t="str">
            <v>P2</v>
          </cell>
          <cell r="H470" t="str">
            <v>P4</v>
          </cell>
          <cell r="I470" t="str">
            <v>P3</v>
          </cell>
          <cell r="J470" t="str">
            <v>BV1</v>
          </cell>
          <cell r="K470" t="str">
            <v>P4</v>
          </cell>
          <cell r="L470" t="str">
            <v>R1</v>
          </cell>
          <cell r="M470" t="str">
            <v>J1/BV</v>
          </cell>
          <cell r="N470" t="str">
            <v>R3</v>
          </cell>
          <cell r="O470" t="str">
            <v>BV1</v>
          </cell>
          <cell r="P470">
            <v>0</v>
          </cell>
          <cell r="Q470" t="str">
            <v>BV1'</v>
          </cell>
          <cell r="R470">
            <v>0</v>
          </cell>
          <cell r="S470" t="str">
            <v>R1</v>
          </cell>
          <cell r="T470">
            <v>0</v>
          </cell>
          <cell r="U470" t="str">
            <v>R2</v>
          </cell>
          <cell r="V470">
            <v>0</v>
          </cell>
          <cell r="W470" t="str">
            <v>R3</v>
          </cell>
          <cell r="X470">
            <v>0</v>
          </cell>
          <cell r="Y470" t="str">
            <v>J1</v>
          </cell>
        </row>
        <row r="471">
          <cell r="D471" t="str">
            <v>Rp.</v>
          </cell>
          <cell r="E471" t="str">
            <v>Vol.</v>
          </cell>
          <cell r="F471" t="str">
            <v>Jumlah Harga</v>
          </cell>
          <cell r="G471" t="str">
            <v>Vol.</v>
          </cell>
          <cell r="H471" t="str">
            <v>Jumlah Harga</v>
          </cell>
          <cell r="I471" t="str">
            <v>Vol.</v>
          </cell>
          <cell r="J471" t="str">
            <v>Jumlah Harga</v>
          </cell>
          <cell r="K471" t="str">
            <v>Vol.</v>
          </cell>
          <cell r="L471" t="str">
            <v>Jumlah Harga</v>
          </cell>
          <cell r="M471" t="str">
            <v>Vol.</v>
          </cell>
          <cell r="N471" t="str">
            <v>Jumlah Harga</v>
          </cell>
          <cell r="O471" t="str">
            <v>Vol.</v>
          </cell>
          <cell r="P471" t="str">
            <v>Jumlah Harga</v>
          </cell>
          <cell r="Q471" t="str">
            <v>Vol.</v>
          </cell>
          <cell r="R471" t="str">
            <v>Jumlah Harga</v>
          </cell>
          <cell r="S471" t="str">
            <v>Vol.</v>
          </cell>
          <cell r="T471" t="str">
            <v>Jumlah Harga</v>
          </cell>
          <cell r="U471" t="str">
            <v>Vol.</v>
          </cell>
          <cell r="V471" t="str">
            <v>Jumlah Harga</v>
          </cell>
          <cell r="W471" t="str">
            <v>Vol.</v>
          </cell>
          <cell r="X471" t="str">
            <v>Jumlah Harga</v>
          </cell>
          <cell r="Y471" t="str">
            <v>Vol.</v>
          </cell>
          <cell r="Z471" t="str">
            <v>Jumlah Harga</v>
          </cell>
        </row>
        <row r="472">
          <cell r="A472" t="str">
            <v>VIII.</v>
          </cell>
          <cell r="B472" t="str">
            <v>UNIT BANGUNAN MASJID</v>
          </cell>
          <cell r="D472" t="str">
            <v>Rp.</v>
          </cell>
          <cell r="E472" t="str">
            <v>Vol.</v>
          </cell>
          <cell r="F472" t="str">
            <v>Jumlah Harga</v>
          </cell>
          <cell r="G472" t="str">
            <v>Vol.</v>
          </cell>
          <cell r="H472" t="str">
            <v>Jumlah Harga</v>
          </cell>
          <cell r="I472" t="str">
            <v>Vol.</v>
          </cell>
          <cell r="J472" t="str">
            <v>Jumlah Harga</v>
          </cell>
          <cell r="K472" t="str">
            <v>Vol.</v>
          </cell>
          <cell r="L472" t="str">
            <v>Jumlah Harga</v>
          </cell>
          <cell r="M472" t="str">
            <v>Vol.</v>
          </cell>
          <cell r="N472" t="str">
            <v>Jumlah Harga</v>
          </cell>
          <cell r="O472" t="str">
            <v>Vol.</v>
          </cell>
          <cell r="P472" t="str">
            <v>Jumlah Harga</v>
          </cell>
          <cell r="Q472" t="str">
            <v>Vol.</v>
          </cell>
          <cell r="R472" t="str">
            <v>Jumlah Harga</v>
          </cell>
          <cell r="S472" t="str">
            <v>Vol.</v>
          </cell>
          <cell r="T472" t="str">
            <v>Jumlah Harga</v>
          </cell>
          <cell r="U472" t="str">
            <v>Vol.</v>
          </cell>
          <cell r="V472" t="str">
            <v>Jumlah Harga</v>
          </cell>
          <cell r="W472" t="str">
            <v>Vol.</v>
          </cell>
          <cell r="X472" t="str">
            <v>Jumlah Harga</v>
          </cell>
          <cell r="Y472" t="str">
            <v>Vol.</v>
          </cell>
          <cell r="Z472" t="str">
            <v>Jumlah Harga</v>
          </cell>
        </row>
        <row r="473">
          <cell r="A473" t="str">
            <v>VIII.</v>
          </cell>
          <cell r="B473" t="str">
            <v>UNIT BANGUNAN MASJID</v>
          </cell>
        </row>
        <row r="474">
          <cell r="A474">
            <v>1</v>
          </cell>
          <cell r="B474" t="str">
            <v>Kayu 6/12</v>
          </cell>
          <cell r="C474" t="str">
            <v>M3</v>
          </cell>
          <cell r="D474">
            <v>0</v>
          </cell>
          <cell r="E474">
            <v>0</v>
          </cell>
          <cell r="F474">
            <v>0</v>
          </cell>
          <cell r="G474">
            <v>1.7600000000000001E-2</v>
          </cell>
          <cell r="H474">
            <v>0</v>
          </cell>
          <cell r="I474">
            <v>1.7600000000000001E-2</v>
          </cell>
          <cell r="J474">
            <v>0</v>
          </cell>
          <cell r="K474">
            <v>3.6144000000000003E-2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</row>
        <row r="475">
          <cell r="A475">
            <v>2</v>
          </cell>
          <cell r="B475" t="str">
            <v>Kayu Slimar 3/10</v>
          </cell>
          <cell r="C475" t="str">
            <v>M3</v>
          </cell>
          <cell r="D475">
            <v>0</v>
          </cell>
          <cell r="E475">
            <v>0</v>
          </cell>
          <cell r="F475">
            <v>0</v>
          </cell>
          <cell r="G475">
            <v>3.2000000000000006E-3</v>
          </cell>
          <cell r="H475">
            <v>0</v>
          </cell>
          <cell r="I475">
            <v>3.2000000000000006E-3</v>
          </cell>
          <cell r="J475">
            <v>0</v>
          </cell>
          <cell r="K475">
            <v>1.4159999999999999E-2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</row>
        <row r="476">
          <cell r="A476">
            <v>3</v>
          </cell>
          <cell r="B476" t="str">
            <v>Kayu Slimar 3/15</v>
          </cell>
          <cell r="C476" t="str">
            <v>M3</v>
          </cell>
          <cell r="D476">
            <v>0</v>
          </cell>
          <cell r="E476">
            <v>0</v>
          </cell>
          <cell r="F476">
            <v>0</v>
          </cell>
          <cell r="G476">
            <v>1.92</v>
          </cell>
          <cell r="H476">
            <v>0</v>
          </cell>
          <cell r="I476">
            <v>1.92</v>
          </cell>
          <cell r="J476">
            <v>0</v>
          </cell>
          <cell r="K476">
            <v>2.6999999999999997E-3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</row>
        <row r="477">
          <cell r="A477">
            <v>4</v>
          </cell>
          <cell r="B477" t="str">
            <v>Kayu Slimar 3/20</v>
          </cell>
          <cell r="C477" t="str">
            <v>M3</v>
          </cell>
          <cell r="D477">
            <v>0</v>
          </cell>
          <cell r="E477">
            <v>4.5119999999999996</v>
          </cell>
          <cell r="F477">
            <v>0</v>
          </cell>
          <cell r="G477">
            <v>0.14279999999999998</v>
          </cell>
          <cell r="H477">
            <v>0</v>
          </cell>
          <cell r="I477">
            <v>3.2</v>
          </cell>
          <cell r="J477">
            <v>0</v>
          </cell>
          <cell r="K477">
            <v>3.5999999999999999E-3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</row>
        <row r="478">
          <cell r="A478">
            <v>5</v>
          </cell>
          <cell r="B478" t="str">
            <v>Kayu 2/10</v>
          </cell>
          <cell r="C478" t="str">
            <v>M3</v>
          </cell>
          <cell r="D478">
            <v>0</v>
          </cell>
          <cell r="E478">
            <v>5.9</v>
          </cell>
          <cell r="F478">
            <v>0</v>
          </cell>
          <cell r="G478">
            <v>0</v>
          </cell>
          <cell r="H478">
            <v>0</v>
          </cell>
          <cell r="I478">
            <v>5.4000000000000012E-3</v>
          </cell>
          <cell r="J478">
            <v>0</v>
          </cell>
          <cell r="K478">
            <v>5.4000000000000012E-3</v>
          </cell>
          <cell r="L478">
            <v>0</v>
          </cell>
          <cell r="M478">
            <v>2.016</v>
          </cell>
          <cell r="N478">
            <v>0</v>
          </cell>
          <cell r="O478">
            <v>2.8</v>
          </cell>
          <cell r="P478">
            <v>0</v>
          </cell>
          <cell r="Q478">
            <v>2.8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3.76</v>
          </cell>
          <cell r="Z478">
            <v>0</v>
          </cell>
        </row>
        <row r="479">
          <cell r="A479">
            <v>6</v>
          </cell>
          <cell r="B479" t="str">
            <v>Panil t = 3 cm</v>
          </cell>
          <cell r="C479" t="str">
            <v>M2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0.49500000000000005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</row>
        <row r="480">
          <cell r="A480">
            <v>1</v>
          </cell>
          <cell r="B480" t="str">
            <v>Kusen Aluminium 5/10</v>
          </cell>
          <cell r="C480" t="str">
            <v>M'</v>
          </cell>
          <cell r="D480">
            <v>124948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624740</v>
          </cell>
          <cell r="J480">
            <v>0</v>
          </cell>
          <cell r="K480">
            <v>5</v>
          </cell>
          <cell r="L480">
            <v>624740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</row>
        <row r="481">
          <cell r="A481">
            <v>2</v>
          </cell>
          <cell r="B481" t="str">
            <v xml:space="preserve">Rangka Daun Jendela Alumunium </v>
          </cell>
          <cell r="C481" t="str">
            <v>M'</v>
          </cell>
          <cell r="D481">
            <v>124948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</row>
        <row r="482">
          <cell r="A482">
            <v>3</v>
          </cell>
          <cell r="B482" t="str">
            <v>Rangka Tiang Sirip Alumunium 1/1 Putih</v>
          </cell>
          <cell r="C482" t="str">
            <v>M'</v>
          </cell>
          <cell r="D482">
            <v>62474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</row>
        <row r="483">
          <cell r="A483">
            <v>4</v>
          </cell>
          <cell r="B483" t="str">
            <v>Pasang Shading Sirip Alumunium 0.2/10 +Rangka</v>
          </cell>
          <cell r="C483" t="str">
            <v>M2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</row>
        <row r="484">
          <cell r="A484">
            <v>5</v>
          </cell>
          <cell r="B484" t="str">
            <v>Daun Pintu Panil Kamper</v>
          </cell>
          <cell r="C484" t="str">
            <v>bh</v>
          </cell>
          <cell r="D484">
            <v>550000</v>
          </cell>
          <cell r="E484">
            <v>0</v>
          </cell>
          <cell r="F484">
            <v>0</v>
          </cell>
          <cell r="G484">
            <v>2.4E-2</v>
          </cell>
          <cell r="H484">
            <v>0</v>
          </cell>
          <cell r="I484">
            <v>2.4E-2</v>
          </cell>
          <cell r="J484">
            <v>13200</v>
          </cell>
          <cell r="K484">
            <v>1.2</v>
          </cell>
          <cell r="L484">
            <v>660000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</row>
        <row r="485">
          <cell r="A485">
            <v>6</v>
          </cell>
          <cell r="B485" t="str">
            <v>Plat besi t = 2 mm</v>
          </cell>
          <cell r="C485" t="str">
            <v>Kg</v>
          </cell>
          <cell r="D485">
            <v>0</v>
          </cell>
          <cell r="E485">
            <v>1.6068</v>
          </cell>
          <cell r="F485">
            <v>0</v>
          </cell>
          <cell r="G485">
            <v>1.89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</row>
        <row r="486">
          <cell r="A486">
            <v>7</v>
          </cell>
          <cell r="B486" t="str">
            <v>C 40.40.2  (pesan khusus)</v>
          </cell>
          <cell r="C486" t="str">
            <v>Kg</v>
          </cell>
          <cell r="D486">
            <v>14122.3</v>
          </cell>
          <cell r="E486">
            <v>0.96960000000000002</v>
          </cell>
          <cell r="F486">
            <v>13692.98208</v>
          </cell>
          <cell r="G486">
            <v>1.0247999999999999</v>
          </cell>
          <cell r="H486">
            <v>14472.533039999998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</row>
        <row r="487">
          <cell r="A487">
            <v>8</v>
          </cell>
          <cell r="B487" t="str">
            <v>Handle besi dia 16 mm</v>
          </cell>
          <cell r="C487" t="str">
            <v>Set</v>
          </cell>
          <cell r="D487">
            <v>129652.5</v>
          </cell>
          <cell r="E487">
            <v>18.012</v>
          </cell>
          <cell r="F487">
            <v>2335300.83</v>
          </cell>
          <cell r="G487">
            <v>20.698</v>
          </cell>
          <cell r="H487">
            <v>2683547.4449999998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</row>
        <row r="488">
          <cell r="A488">
            <v>9</v>
          </cell>
          <cell r="B488" t="str">
            <v>Hendle pintu Stainless</v>
          </cell>
          <cell r="C488" t="str">
            <v>Set</v>
          </cell>
          <cell r="D488">
            <v>261652.5</v>
          </cell>
          <cell r="E488">
            <v>2</v>
          </cell>
          <cell r="F488">
            <v>523305</v>
          </cell>
          <cell r="G488">
            <v>1</v>
          </cell>
          <cell r="H488">
            <v>261652.5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</row>
        <row r="489">
          <cell r="A489">
            <v>10</v>
          </cell>
          <cell r="B489" t="str">
            <v>Kunci Pintu Handle stainleess (dorma)</v>
          </cell>
          <cell r="C489" t="str">
            <v>Set</v>
          </cell>
          <cell r="D489">
            <v>650000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</row>
        <row r="490">
          <cell r="A490">
            <v>11</v>
          </cell>
          <cell r="B490" t="str">
            <v>Kunci tanam Antik</v>
          </cell>
          <cell r="C490" t="str">
            <v>Set</v>
          </cell>
          <cell r="D490">
            <v>265000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</row>
        <row r="491">
          <cell r="A491">
            <v>12</v>
          </cell>
          <cell r="B491" t="str">
            <v>Kunci tanam biasa</v>
          </cell>
          <cell r="C491" t="str">
            <v>Set</v>
          </cell>
          <cell r="D491">
            <v>168565</v>
          </cell>
          <cell r="E491">
            <v>2</v>
          </cell>
          <cell r="F491">
            <v>337130</v>
          </cell>
          <cell r="G491">
            <v>1</v>
          </cell>
          <cell r="H491">
            <v>168565</v>
          </cell>
          <cell r="I491">
            <v>1</v>
          </cell>
          <cell r="J491">
            <v>168565</v>
          </cell>
          <cell r="K491">
            <v>1</v>
          </cell>
          <cell r="L491">
            <v>168565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</row>
        <row r="492">
          <cell r="A492">
            <v>13</v>
          </cell>
          <cell r="B492" t="str">
            <v>Kunci Silinder</v>
          </cell>
          <cell r="C492" t="str">
            <v>Set</v>
          </cell>
          <cell r="D492">
            <v>217900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</row>
        <row r="493">
          <cell r="A493">
            <v>14</v>
          </cell>
          <cell r="B493" t="str">
            <v>Kunci Selot</v>
          </cell>
          <cell r="C493" t="str">
            <v>Set</v>
          </cell>
          <cell r="D493">
            <v>48300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</row>
        <row r="494">
          <cell r="A494">
            <v>15</v>
          </cell>
          <cell r="B494" t="str">
            <v>Engsel jendela</v>
          </cell>
          <cell r="C494" t="str">
            <v>Bh</v>
          </cell>
          <cell r="D494">
            <v>16600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</row>
        <row r="495">
          <cell r="A495">
            <v>16</v>
          </cell>
          <cell r="B495" t="str">
            <v>Engsel pintu</v>
          </cell>
          <cell r="C495" t="str">
            <v>Bh</v>
          </cell>
          <cell r="D495">
            <v>44395.75</v>
          </cell>
          <cell r="E495">
            <v>4</v>
          </cell>
          <cell r="F495">
            <v>177583</v>
          </cell>
          <cell r="G495">
            <v>0</v>
          </cell>
          <cell r="H495">
            <v>0</v>
          </cell>
          <cell r="I495">
            <v>3</v>
          </cell>
          <cell r="J495">
            <v>0</v>
          </cell>
          <cell r="K495">
            <v>3</v>
          </cell>
          <cell r="L495">
            <v>133187.25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</row>
        <row r="496">
          <cell r="A496">
            <v>17</v>
          </cell>
          <cell r="B496" t="str">
            <v>Engsel Pintu dari pipa besi dia 2 cm</v>
          </cell>
          <cell r="C496" t="str">
            <v>Bh</v>
          </cell>
          <cell r="D496">
            <v>66593.625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</row>
        <row r="497">
          <cell r="A497">
            <v>18</v>
          </cell>
          <cell r="B497" t="str">
            <v>Kait/hak angin</v>
          </cell>
          <cell r="C497" t="str">
            <v>Set</v>
          </cell>
          <cell r="D497">
            <v>27000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</row>
        <row r="498">
          <cell r="A498">
            <v>19</v>
          </cell>
          <cell r="B498" t="str">
            <v>Grendel pintu kuningan</v>
          </cell>
          <cell r="C498" t="str">
            <v>Bh</v>
          </cell>
          <cell r="D498">
            <v>125000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</row>
        <row r="499">
          <cell r="A499">
            <v>20</v>
          </cell>
          <cell r="B499" t="str">
            <v xml:space="preserve">Grendel jendela </v>
          </cell>
          <cell r="C499" t="str">
            <v>Bh</v>
          </cell>
          <cell r="D499">
            <v>8100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</row>
        <row r="500">
          <cell r="A500">
            <v>21</v>
          </cell>
          <cell r="B500" t="str">
            <v>Grendel pintu</v>
          </cell>
          <cell r="C500" t="str">
            <v>Bh</v>
          </cell>
          <cell r="D500">
            <v>14200</v>
          </cell>
          <cell r="E500">
            <v>2</v>
          </cell>
          <cell r="F500">
            <v>28400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</row>
        <row r="501">
          <cell r="A501">
            <v>22</v>
          </cell>
          <cell r="B501" t="str">
            <v>Stripting Knip</v>
          </cell>
          <cell r="C501" t="str">
            <v>Set</v>
          </cell>
          <cell r="D501">
            <v>13700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</row>
        <row r="502">
          <cell r="A502">
            <v>23</v>
          </cell>
          <cell r="B502" t="str">
            <v>Door Closer</v>
          </cell>
          <cell r="C502" t="str">
            <v>Set</v>
          </cell>
          <cell r="D502">
            <v>260800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</row>
        <row r="503">
          <cell r="A503">
            <v>24</v>
          </cell>
          <cell r="B503" t="str">
            <v>Door Holder</v>
          </cell>
          <cell r="C503" t="str">
            <v>Set</v>
          </cell>
          <cell r="D503">
            <v>500000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</row>
        <row r="504">
          <cell r="A504">
            <v>25</v>
          </cell>
          <cell r="B504" t="str">
            <v>Door Stop</v>
          </cell>
          <cell r="C504" t="str">
            <v>Set</v>
          </cell>
          <cell r="D504">
            <v>32100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</row>
        <row r="505">
          <cell r="A505">
            <v>26</v>
          </cell>
          <cell r="B505" t="str">
            <v>Kaca bening 5 mm</v>
          </cell>
          <cell r="C505" t="str">
            <v>M2</v>
          </cell>
          <cell r="D505">
            <v>66700</v>
          </cell>
          <cell r="E505">
            <v>0</v>
          </cell>
          <cell r="F505">
            <v>0</v>
          </cell>
          <cell r="G505">
            <v>5.0399999999999993E-2</v>
          </cell>
          <cell r="H505">
            <v>0</v>
          </cell>
          <cell r="I505">
            <v>5.0399999999999993E-2</v>
          </cell>
          <cell r="J505">
            <v>3361.6799999999994</v>
          </cell>
          <cell r="K505">
            <v>0</v>
          </cell>
          <cell r="L505">
            <v>0</v>
          </cell>
          <cell r="M505">
            <v>0.73599999999999999</v>
          </cell>
          <cell r="N505">
            <v>49091.199999999997</v>
          </cell>
          <cell r="O505">
            <v>0.36000000000000004</v>
          </cell>
          <cell r="P505">
            <v>24012.000000000004</v>
          </cell>
          <cell r="Q505">
            <v>0.36000000000000004</v>
          </cell>
          <cell r="R505">
            <v>24012.000000000004</v>
          </cell>
          <cell r="S505">
            <v>0</v>
          </cell>
          <cell r="T505">
            <v>0</v>
          </cell>
          <cell r="U505">
            <v>9604.8000000000011</v>
          </cell>
          <cell r="V505">
            <v>0</v>
          </cell>
          <cell r="W505">
            <v>0</v>
          </cell>
          <cell r="X505">
            <v>0</v>
          </cell>
          <cell r="Y505">
            <v>0.14400000000000002</v>
          </cell>
          <cell r="Z505">
            <v>9604.8000000000011</v>
          </cell>
        </row>
        <row r="506">
          <cell r="A506">
            <v>27</v>
          </cell>
          <cell r="B506" t="str">
            <v>Kaca bening 10 mm</v>
          </cell>
          <cell r="C506" t="str">
            <v>M2</v>
          </cell>
          <cell r="D506">
            <v>280895.75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</row>
        <row r="507">
          <cell r="A507">
            <v>28</v>
          </cell>
          <cell r="B507" t="str">
            <v>Kaca Bening 12 mm</v>
          </cell>
          <cell r="C507" t="str">
            <v>M2</v>
          </cell>
          <cell r="D507">
            <v>403787.64062499994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</row>
        <row r="508">
          <cell r="A508">
            <v>29</v>
          </cell>
          <cell r="B508" t="str">
            <v>Besi hollow 4/4</v>
          </cell>
          <cell r="C508" t="str">
            <v>M'</v>
          </cell>
          <cell r="D508">
            <v>48625.000000000051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</row>
        <row r="509">
          <cell r="A509">
            <v>30</v>
          </cell>
          <cell r="B509" t="str">
            <v>Besi hollow 6/6</v>
          </cell>
          <cell r="C509" t="str">
            <v>M'</v>
          </cell>
          <cell r="D509">
            <v>74462.500000000058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</row>
        <row r="510">
          <cell r="A510">
            <v>31</v>
          </cell>
          <cell r="B510" t="str">
            <v>Besi hollow 2.5/5</v>
          </cell>
          <cell r="C510" t="str">
            <v>Kg</v>
          </cell>
          <cell r="D510">
            <v>74462.500000000058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</row>
        <row r="511">
          <cell r="A511">
            <v>32</v>
          </cell>
          <cell r="B511" t="str">
            <v>Besi hollow 5/5</v>
          </cell>
          <cell r="C511" t="str">
            <v>Kg</v>
          </cell>
          <cell r="D511">
            <v>74462.500000000058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</row>
        <row r="512">
          <cell r="A512">
            <v>33</v>
          </cell>
          <cell r="B512" t="str">
            <v>Besi hollow 2/2</v>
          </cell>
          <cell r="C512" t="str">
            <v>Kg</v>
          </cell>
          <cell r="D512">
            <v>74462.500000000058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</row>
        <row r="513">
          <cell r="A513">
            <v>34</v>
          </cell>
          <cell r="B513" t="str">
            <v>Besi hollow 2/4</v>
          </cell>
          <cell r="C513" t="str">
            <v>Kg</v>
          </cell>
          <cell r="D513">
            <v>74462.500000000058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</row>
        <row r="514">
          <cell r="A514">
            <v>35</v>
          </cell>
          <cell r="B514" t="str">
            <v>Kaca Tempered 12 mm</v>
          </cell>
          <cell r="C514" t="str">
            <v>M2</v>
          </cell>
          <cell r="D514">
            <v>528395.75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</row>
        <row r="515">
          <cell r="A515">
            <v>36</v>
          </cell>
          <cell r="B515" t="str">
            <v>Glass Block</v>
          </cell>
          <cell r="C515" t="str">
            <v>Bh</v>
          </cell>
          <cell r="D515">
            <v>45000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</row>
        <row r="516">
          <cell r="A516">
            <v>37</v>
          </cell>
          <cell r="B516" t="str">
            <v>Kaca Es</v>
          </cell>
          <cell r="C516" t="str">
            <v>M2</v>
          </cell>
          <cell r="D516">
            <v>66700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</row>
        <row r="517">
          <cell r="A517">
            <v>38</v>
          </cell>
          <cell r="B517" t="str">
            <v>Krepyak Kaca Nako + Kerangka</v>
          </cell>
          <cell r="C517" t="str">
            <v>M2</v>
          </cell>
          <cell r="D517">
            <v>81300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</row>
        <row r="518">
          <cell r="A518">
            <v>39</v>
          </cell>
          <cell r="B518" t="str">
            <v>Sticker Efek Kaca Es</v>
          </cell>
          <cell r="C518" t="str">
            <v>M2</v>
          </cell>
          <cell r="D518">
            <v>150000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</row>
        <row r="519">
          <cell r="A519">
            <v>40</v>
          </cell>
          <cell r="B519" t="str">
            <v>Rel Pintu Dorong</v>
          </cell>
          <cell r="C519" t="str">
            <v>M'</v>
          </cell>
          <cell r="D519">
            <v>275000</v>
          </cell>
          <cell r="E519">
            <v>0</v>
          </cell>
          <cell r="F519">
            <v>0</v>
          </cell>
          <cell r="G519">
            <v>5.2</v>
          </cell>
          <cell r="H519">
            <v>1430000</v>
          </cell>
          <cell r="I519">
            <v>3.2</v>
          </cell>
          <cell r="J519">
            <v>880000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</row>
        <row r="520">
          <cell r="A520">
            <v>41</v>
          </cell>
          <cell r="B520" t="str">
            <v>Rolling Door</v>
          </cell>
          <cell r="C520" t="str">
            <v>M2</v>
          </cell>
          <cell r="D520">
            <v>358100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</row>
        <row r="521">
          <cell r="A521">
            <v>42</v>
          </cell>
          <cell r="B521" t="str">
            <v>Roster</v>
          </cell>
          <cell r="C521" t="str">
            <v>M2</v>
          </cell>
          <cell r="D521">
            <v>133850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0.16000000000000003</v>
          </cell>
          <cell r="N521">
            <v>0</v>
          </cell>
          <cell r="O521">
            <v>0.48</v>
          </cell>
          <cell r="P521">
            <v>0</v>
          </cell>
          <cell r="Q521">
            <v>0.48000000000000009</v>
          </cell>
          <cell r="R521">
            <v>0</v>
          </cell>
          <cell r="S521">
            <v>0.16000000000000003</v>
          </cell>
          <cell r="T521">
            <v>21416.000000000004</v>
          </cell>
          <cell r="U521">
            <v>0.48</v>
          </cell>
          <cell r="V521">
            <v>64248</v>
          </cell>
          <cell r="W521">
            <v>0.48000000000000009</v>
          </cell>
          <cell r="X521">
            <v>64248.000000000015</v>
          </cell>
          <cell r="Y521">
            <v>0</v>
          </cell>
          <cell r="Z521">
            <v>0</v>
          </cell>
        </row>
        <row r="522">
          <cell r="A522">
            <v>43</v>
          </cell>
          <cell r="B522" t="str">
            <v>Gipsum Board</v>
          </cell>
          <cell r="C522" t="str">
            <v>M2</v>
          </cell>
          <cell r="D522">
            <v>29000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</row>
        <row r="523">
          <cell r="A523">
            <v>44</v>
          </cell>
          <cell r="B523" t="str">
            <v>List Gipsum</v>
          </cell>
          <cell r="C523" t="str">
            <v>M'</v>
          </cell>
          <cell r="D523">
            <v>17300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</row>
        <row r="524">
          <cell r="A524">
            <v>45</v>
          </cell>
          <cell r="B524" t="str">
            <v>Sealent</v>
          </cell>
          <cell r="C524" t="str">
            <v>M'</v>
          </cell>
          <cell r="D524">
            <v>8400</v>
          </cell>
          <cell r="E524">
            <v>0</v>
          </cell>
          <cell r="F524">
            <v>0</v>
          </cell>
          <cell r="G524">
            <v>2.16</v>
          </cell>
          <cell r="H524">
            <v>0</v>
          </cell>
          <cell r="I524">
            <v>2.16</v>
          </cell>
          <cell r="J524">
            <v>18144</v>
          </cell>
          <cell r="K524">
            <v>0</v>
          </cell>
          <cell r="L524">
            <v>0</v>
          </cell>
          <cell r="M524">
            <v>10.479999999999999</v>
          </cell>
          <cell r="N524">
            <v>88031.999999999985</v>
          </cell>
          <cell r="O524">
            <v>8.8000000000000007</v>
          </cell>
          <cell r="P524">
            <v>73920</v>
          </cell>
          <cell r="Q524">
            <v>8.8000000000000007</v>
          </cell>
          <cell r="R524">
            <v>73920</v>
          </cell>
          <cell r="S524">
            <v>0</v>
          </cell>
          <cell r="T524">
            <v>0</v>
          </cell>
          <cell r="U524">
            <v>63168</v>
          </cell>
          <cell r="V524">
            <v>0</v>
          </cell>
          <cell r="W524">
            <v>0</v>
          </cell>
          <cell r="X524">
            <v>0</v>
          </cell>
          <cell r="Y524">
            <v>7.52</v>
          </cell>
          <cell r="Z524">
            <v>63168</v>
          </cell>
        </row>
        <row r="525">
          <cell r="A525">
            <v>46</v>
          </cell>
          <cell r="B525" t="str">
            <v>Benangan Kusen</v>
          </cell>
          <cell r="C525" t="str">
            <v>M'</v>
          </cell>
          <cell r="D525">
            <v>4296.0074999999997</v>
          </cell>
          <cell r="E525">
            <v>11.8</v>
          </cell>
          <cell r="F525">
            <v>50692.888500000001</v>
          </cell>
          <cell r="G525">
            <v>10.4</v>
          </cell>
          <cell r="H525">
            <v>44678.477999999996</v>
          </cell>
          <cell r="I525">
            <v>6.4</v>
          </cell>
          <cell r="J525">
            <v>27494.448</v>
          </cell>
          <cell r="K525">
            <v>5.7839999999999998</v>
          </cell>
          <cell r="L525">
            <v>24848.107379999998</v>
          </cell>
          <cell r="M525">
            <v>11.28</v>
          </cell>
          <cell r="N525">
            <v>48458.964599999992</v>
          </cell>
          <cell r="O525">
            <v>5.6</v>
          </cell>
          <cell r="P525">
            <v>24057.641999999996</v>
          </cell>
          <cell r="Q525">
            <v>5.6</v>
          </cell>
          <cell r="R525">
            <v>24057.641999999996</v>
          </cell>
          <cell r="S525">
            <v>3.2</v>
          </cell>
          <cell r="T525">
            <v>13747.224</v>
          </cell>
          <cell r="U525">
            <v>6.4</v>
          </cell>
          <cell r="V525">
            <v>27494.448</v>
          </cell>
          <cell r="W525">
            <v>9.6000000000000014</v>
          </cell>
          <cell r="X525">
            <v>41241.672000000006</v>
          </cell>
          <cell r="Y525">
            <v>7.52</v>
          </cell>
          <cell r="Z525">
            <v>32305.976399999996</v>
          </cell>
        </row>
        <row r="526">
          <cell r="A526">
            <v>47</v>
          </cell>
          <cell r="B526" t="str">
            <v xml:space="preserve">Cat Kayu </v>
          </cell>
          <cell r="C526" t="str">
            <v>M2</v>
          </cell>
          <cell r="D526">
            <v>19370.5</v>
          </cell>
          <cell r="E526">
            <v>9.0239999999999991</v>
          </cell>
          <cell r="F526">
            <v>174799.39199999999</v>
          </cell>
          <cell r="G526">
            <v>0.28559999999999997</v>
          </cell>
          <cell r="H526">
            <v>5532.2147999999997</v>
          </cell>
          <cell r="I526">
            <v>3.2</v>
          </cell>
          <cell r="J526">
            <v>61985.600000000006</v>
          </cell>
          <cell r="K526">
            <v>4.0991999999999997</v>
          </cell>
          <cell r="L526">
            <v>79403.553599999999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</row>
        <row r="527">
          <cell r="A527">
            <v>48</v>
          </cell>
          <cell r="B527" t="str">
            <v>Cat Besi</v>
          </cell>
          <cell r="C527" t="str">
            <v>M2</v>
          </cell>
          <cell r="D527">
            <v>13698</v>
          </cell>
          <cell r="E527">
            <v>7.2059399999999991</v>
          </cell>
          <cell r="F527">
            <v>98706.966119999983</v>
          </cell>
          <cell r="G527">
            <v>8.2644799999999989</v>
          </cell>
          <cell r="H527">
            <v>113206.84703999998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</row>
        <row r="528">
          <cell r="A528">
            <v>49</v>
          </cell>
          <cell r="B528" t="str">
            <v>Cat Dinding</v>
          </cell>
          <cell r="C528" t="str">
            <v>M2</v>
          </cell>
          <cell r="D528">
            <v>9900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0.32000000000000006</v>
          </cell>
          <cell r="N528">
            <v>0</v>
          </cell>
          <cell r="O528">
            <v>0.96</v>
          </cell>
          <cell r="P528">
            <v>0</v>
          </cell>
          <cell r="Q528">
            <v>0.96000000000000019</v>
          </cell>
          <cell r="R528">
            <v>0</v>
          </cell>
          <cell r="S528">
            <v>0.32000000000000006</v>
          </cell>
          <cell r="T528">
            <v>3168.0000000000005</v>
          </cell>
          <cell r="U528">
            <v>0.96</v>
          </cell>
          <cell r="V528">
            <v>9504</v>
          </cell>
          <cell r="W528">
            <v>0.96000000000000019</v>
          </cell>
          <cell r="X528">
            <v>9504.0000000000018</v>
          </cell>
          <cell r="Y528">
            <v>0</v>
          </cell>
          <cell r="Z528">
            <v>0</v>
          </cell>
        </row>
        <row r="529">
          <cell r="A529">
            <v>50</v>
          </cell>
          <cell r="B529" t="str">
            <v>Plesteran Camprot</v>
          </cell>
          <cell r="C529" t="str">
            <v>M2</v>
          </cell>
          <cell r="D529">
            <v>14600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</row>
        <row r="530">
          <cell r="Z530">
            <v>0</v>
          </cell>
        </row>
        <row r="531">
          <cell r="B531" t="str">
            <v>Jumlah Harga</v>
          </cell>
          <cell r="C531">
            <v>3739611.0586999999</v>
          </cell>
          <cell r="D531">
            <v>4721655.0178800011</v>
          </cell>
          <cell r="E531">
            <v>1172750.7280000001</v>
          </cell>
          <cell r="F531">
            <v>3739611.0586999999</v>
          </cell>
          <cell r="G531">
            <v>185582.16459999996</v>
          </cell>
          <cell r="H531">
            <v>4721655.0178800011</v>
          </cell>
          <cell r="I531">
            <v>121989.64199999999</v>
          </cell>
          <cell r="J531">
            <v>1172750.7280000001</v>
          </cell>
          <cell r="K531">
            <v>101246.448</v>
          </cell>
          <cell r="L531">
            <v>1690743.9109799999</v>
          </cell>
          <cell r="M531">
            <v>105078.7764</v>
          </cell>
          <cell r="N531">
            <v>185582.16459999996</v>
          </cell>
          <cell r="O531">
            <v>0</v>
          </cell>
          <cell r="P531">
            <v>121989.64199999999</v>
          </cell>
          <cell r="Q531">
            <v>0</v>
          </cell>
          <cell r="R531">
            <v>121989.64199999999</v>
          </cell>
          <cell r="S531">
            <v>0</v>
          </cell>
          <cell r="T531">
            <v>38331.224000000002</v>
          </cell>
          <cell r="U531">
            <v>0</v>
          </cell>
          <cell r="V531">
            <v>101246.448</v>
          </cell>
          <cell r="W531">
            <v>0</v>
          </cell>
          <cell r="X531">
            <v>114993.67200000002</v>
          </cell>
          <cell r="Y531">
            <v>0</v>
          </cell>
          <cell r="Z531">
            <v>105078.7764</v>
          </cell>
        </row>
        <row r="533">
          <cell r="X533">
            <v>114993.67200000002</v>
          </cell>
        </row>
        <row r="534">
          <cell r="Z534">
            <v>105078.7764</v>
          </cell>
        </row>
        <row r="535">
          <cell r="A535" t="str">
            <v>No.</v>
          </cell>
          <cell r="B535" t="str">
            <v>Item Pekerjaan</v>
          </cell>
          <cell r="C535" t="str">
            <v>Satuan</v>
          </cell>
          <cell r="D535" t="str">
            <v>Harga Satuan</v>
          </cell>
          <cell r="E535" t="str">
            <v>P1</v>
          </cell>
          <cell r="F535" t="str">
            <v>P2</v>
          </cell>
          <cell r="G535" t="str">
            <v>P2</v>
          </cell>
          <cell r="H535" t="str">
            <v>P3'</v>
          </cell>
          <cell r="I535" t="str">
            <v>P3</v>
          </cell>
          <cell r="J535" t="str">
            <v>J2</v>
          </cell>
          <cell r="K535" t="str">
            <v>P3'</v>
          </cell>
          <cell r="L535" t="str">
            <v>J4</v>
          </cell>
          <cell r="M535" t="str">
            <v>J1</v>
          </cell>
          <cell r="N535" t="str">
            <v>R3</v>
          </cell>
          <cell r="O535" t="str">
            <v>J2</v>
          </cell>
          <cell r="P535" t="str">
            <v>BV1</v>
          </cell>
          <cell r="Q535" t="str">
            <v>J3</v>
          </cell>
          <cell r="R535">
            <v>0</v>
          </cell>
          <cell r="S535" t="str">
            <v>J4</v>
          </cell>
          <cell r="T535">
            <v>0</v>
          </cell>
          <cell r="U535" t="str">
            <v>R1</v>
          </cell>
          <cell r="V535">
            <v>0</v>
          </cell>
          <cell r="W535" t="str">
            <v>R3</v>
          </cell>
          <cell r="X535">
            <v>0</v>
          </cell>
          <cell r="Y535" t="str">
            <v>J1</v>
          </cell>
          <cell r="Z535">
            <v>0</v>
          </cell>
          <cell r="AA535" t="str">
            <v>BV1</v>
          </cell>
        </row>
        <row r="536">
          <cell r="D536" t="str">
            <v>Rp.</v>
          </cell>
          <cell r="E536" t="str">
            <v>Vol.</v>
          </cell>
          <cell r="F536" t="str">
            <v>Jumlah Harga</v>
          </cell>
          <cell r="G536" t="str">
            <v>Vol.</v>
          </cell>
          <cell r="H536" t="str">
            <v>Jumlah Harga</v>
          </cell>
          <cell r="I536" t="str">
            <v>Vol.</v>
          </cell>
          <cell r="J536" t="str">
            <v>Jumlah Harga</v>
          </cell>
          <cell r="K536" t="str">
            <v>Vol.</v>
          </cell>
          <cell r="L536" t="str">
            <v>Jumlah Harga</v>
          </cell>
          <cell r="M536" t="str">
            <v>Vol.</v>
          </cell>
          <cell r="N536" t="str">
            <v>Jumlah Harga</v>
          </cell>
          <cell r="O536" t="str">
            <v>Vol.</v>
          </cell>
          <cell r="P536" t="str">
            <v>Jumlah Harga</v>
          </cell>
          <cell r="Q536" t="str">
            <v>Vol.</v>
          </cell>
          <cell r="R536" t="str">
            <v>Jumlah Harga</v>
          </cell>
          <cell r="S536" t="str">
            <v>Vol.</v>
          </cell>
          <cell r="T536" t="str">
            <v>Jumlah Harga</v>
          </cell>
          <cell r="U536" t="str">
            <v>Vol.</v>
          </cell>
          <cell r="V536" t="str">
            <v>Jumlah Harga</v>
          </cell>
          <cell r="W536" t="str">
            <v>Vol.</v>
          </cell>
          <cell r="X536" t="str">
            <v>Jumlah Harga</v>
          </cell>
          <cell r="Y536" t="str">
            <v>Vol.</v>
          </cell>
          <cell r="Z536" t="str">
            <v>Jumlah Harga</v>
          </cell>
          <cell r="AA536" t="str">
            <v>Vol.</v>
          </cell>
          <cell r="AB536" t="str">
            <v>Jumlah Harga</v>
          </cell>
        </row>
        <row r="537">
          <cell r="A537" t="str">
            <v>VIII.</v>
          </cell>
          <cell r="B537" t="str">
            <v>UNIT PERUMAHAN</v>
          </cell>
          <cell r="D537" t="str">
            <v>Rp.</v>
          </cell>
          <cell r="E537" t="str">
            <v>Vol.</v>
          </cell>
          <cell r="F537" t="str">
            <v>Jumlah Harga</v>
          </cell>
          <cell r="G537" t="str">
            <v>Vol.</v>
          </cell>
          <cell r="H537" t="str">
            <v>Jumlah Harga</v>
          </cell>
          <cell r="I537" t="str">
            <v>Vol.</v>
          </cell>
          <cell r="J537" t="str">
            <v>Jumlah Harga</v>
          </cell>
          <cell r="K537" t="str">
            <v>Vol.</v>
          </cell>
          <cell r="L537" t="str">
            <v>Jumlah Harga</v>
          </cell>
          <cell r="M537" t="str">
            <v>Vol.</v>
          </cell>
          <cell r="N537" t="str">
            <v>Jumlah Harga</v>
          </cell>
          <cell r="O537" t="str">
            <v>Vol.</v>
          </cell>
          <cell r="P537" t="str">
            <v>Jumlah Harga</v>
          </cell>
          <cell r="Q537" t="str">
            <v>Vol.</v>
          </cell>
          <cell r="R537" t="str">
            <v>Jumlah Harga</v>
          </cell>
          <cell r="S537" t="str">
            <v>Vol.</v>
          </cell>
          <cell r="T537" t="str">
            <v>Jumlah Harga</v>
          </cell>
          <cell r="U537" t="str">
            <v>Vol.</v>
          </cell>
          <cell r="V537" t="str">
            <v>Jumlah Harga</v>
          </cell>
          <cell r="W537" t="str">
            <v>Vol.</v>
          </cell>
          <cell r="X537" t="str">
            <v>Jumlah Harga</v>
          </cell>
          <cell r="Y537" t="str">
            <v>Vol.</v>
          </cell>
          <cell r="Z537" t="str">
            <v>Jumlah Harga</v>
          </cell>
          <cell r="AA537" t="str">
            <v>Vol.</v>
          </cell>
          <cell r="AB537" t="str">
            <v>Jumlah Harga</v>
          </cell>
        </row>
        <row r="538">
          <cell r="A538" t="str">
            <v>VIII.</v>
          </cell>
          <cell r="B538" t="str">
            <v>UNIT PERUMAHAN</v>
          </cell>
        </row>
        <row r="539">
          <cell r="A539">
            <v>1</v>
          </cell>
          <cell r="B539" t="str">
            <v>Kayu 6/12</v>
          </cell>
          <cell r="C539" t="str">
            <v>M3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A540">
            <v>2</v>
          </cell>
          <cell r="B540" t="str">
            <v>Kayu Slimar 3/10</v>
          </cell>
          <cell r="C540" t="str">
            <v>M3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A541">
            <v>3</v>
          </cell>
          <cell r="B541" t="str">
            <v>Kayu Slimar 3/15</v>
          </cell>
          <cell r="C541" t="str">
            <v>M3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A542">
            <v>4</v>
          </cell>
          <cell r="B542" t="str">
            <v>Kayu Slimar 3/20</v>
          </cell>
          <cell r="C542" t="str">
            <v>M3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>
            <v>5</v>
          </cell>
          <cell r="B543" t="str">
            <v>Kayu 2/10</v>
          </cell>
          <cell r="C543" t="str">
            <v>M3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6.8</v>
          </cell>
          <cell r="N543">
            <v>0</v>
          </cell>
          <cell r="O543">
            <v>4.5600000000000005</v>
          </cell>
          <cell r="P543">
            <v>0</v>
          </cell>
          <cell r="Q543">
            <v>3.5199999999999996</v>
          </cell>
          <cell r="R543">
            <v>0</v>
          </cell>
          <cell r="S543">
            <v>5.0999999999999996</v>
          </cell>
          <cell r="T543">
            <v>0</v>
          </cell>
          <cell r="U543">
            <v>2</v>
          </cell>
          <cell r="V543">
            <v>0</v>
          </cell>
          <cell r="W543">
            <v>0</v>
          </cell>
          <cell r="X543">
            <v>0</v>
          </cell>
          <cell r="Y543">
            <v>3.76</v>
          </cell>
          <cell r="Z543">
            <v>0</v>
          </cell>
          <cell r="AA543">
            <v>1.6</v>
          </cell>
          <cell r="AB543">
            <v>0</v>
          </cell>
        </row>
        <row r="544">
          <cell r="A544">
            <v>6</v>
          </cell>
          <cell r="B544" t="str">
            <v>Panil t = 3 cm</v>
          </cell>
          <cell r="C544" t="str">
            <v>M2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>
            <v>1</v>
          </cell>
          <cell r="B545" t="str">
            <v>Kusen Aluminium 5/10</v>
          </cell>
          <cell r="C545" t="str">
            <v>M'</v>
          </cell>
          <cell r="D545">
            <v>124948</v>
          </cell>
          <cell r="E545">
            <v>6.1999999999999993</v>
          </cell>
          <cell r="F545">
            <v>774677.59999999986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</row>
        <row r="546">
          <cell r="A546">
            <v>2</v>
          </cell>
          <cell r="B546" t="str">
            <v xml:space="preserve">Rangka Daun Jendela Alumunium </v>
          </cell>
          <cell r="C546" t="str">
            <v>M'</v>
          </cell>
          <cell r="D546">
            <v>124948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4.16</v>
          </cell>
          <cell r="N546">
            <v>519783.67999999999</v>
          </cell>
          <cell r="O546">
            <v>4</v>
          </cell>
          <cell r="P546">
            <v>499792</v>
          </cell>
          <cell r="Q546">
            <v>3.12</v>
          </cell>
          <cell r="R546">
            <v>389837.76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</row>
        <row r="547">
          <cell r="A547">
            <v>3</v>
          </cell>
          <cell r="B547" t="str">
            <v>Rangka Tiang Sirip Alumunium 1/1 Putih</v>
          </cell>
          <cell r="C547" t="str">
            <v>M'</v>
          </cell>
          <cell r="D547">
            <v>62474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>
            <v>4</v>
          </cell>
          <cell r="B548" t="str">
            <v>Pasang Shading Sirip Alumunium 0.2/10 +Rangka</v>
          </cell>
          <cell r="C548" t="str">
            <v>M2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A549">
            <v>5</v>
          </cell>
          <cell r="B549" t="str">
            <v>Daun Pintu Panil Kamper</v>
          </cell>
          <cell r="C549" t="str">
            <v>bh</v>
          </cell>
          <cell r="D549">
            <v>550000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>
            <v>6</v>
          </cell>
          <cell r="B550" t="str">
            <v>Plat besi t = 2 mm</v>
          </cell>
          <cell r="C550" t="str">
            <v>Kg</v>
          </cell>
          <cell r="D550">
            <v>0</v>
          </cell>
          <cell r="E550">
            <v>0</v>
          </cell>
          <cell r="F550">
            <v>0</v>
          </cell>
          <cell r="G550">
            <v>57.085200000000007</v>
          </cell>
          <cell r="H550">
            <v>0</v>
          </cell>
          <cell r="I550">
            <v>57.085200000000007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A551">
            <v>7</v>
          </cell>
          <cell r="B551" t="str">
            <v>C 40.40.2  (pesan khusus)</v>
          </cell>
          <cell r="C551" t="str">
            <v>Kg</v>
          </cell>
          <cell r="D551">
            <v>14122.3</v>
          </cell>
          <cell r="E551">
            <v>0</v>
          </cell>
          <cell r="F551">
            <v>0</v>
          </cell>
          <cell r="G551">
            <v>42.56</v>
          </cell>
          <cell r="H551">
            <v>601045.08799999999</v>
          </cell>
          <cell r="I551">
            <v>42.56</v>
          </cell>
          <cell r="J551">
            <v>601045.08799999999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A552">
            <v>8</v>
          </cell>
          <cell r="B552" t="str">
            <v>Handle besi dia 16 mm</v>
          </cell>
          <cell r="C552" t="str">
            <v>Set</v>
          </cell>
          <cell r="D552">
            <v>129652.5</v>
          </cell>
          <cell r="E552">
            <v>0</v>
          </cell>
          <cell r="F552">
            <v>0</v>
          </cell>
          <cell r="G552">
            <v>1</v>
          </cell>
          <cell r="H552">
            <v>129652.5</v>
          </cell>
          <cell r="I552">
            <v>1</v>
          </cell>
          <cell r="J552">
            <v>129652.5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>
            <v>9</v>
          </cell>
          <cell r="B553" t="str">
            <v>Hendle pintu Stainless</v>
          </cell>
          <cell r="C553" t="str">
            <v>Set</v>
          </cell>
          <cell r="D553">
            <v>261652.5</v>
          </cell>
          <cell r="E553">
            <v>2</v>
          </cell>
          <cell r="F553">
            <v>523305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</row>
        <row r="554">
          <cell r="A554">
            <v>10</v>
          </cell>
          <cell r="B554" t="str">
            <v>Kunci Pintu Handle stainleess (dorma)</v>
          </cell>
          <cell r="C554" t="str">
            <v>Set</v>
          </cell>
          <cell r="D554">
            <v>650000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>
            <v>11</v>
          </cell>
          <cell r="B555" t="str">
            <v>Kunci tanam Antik</v>
          </cell>
          <cell r="C555" t="str">
            <v>Set</v>
          </cell>
          <cell r="D555">
            <v>265000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A556">
            <v>12</v>
          </cell>
          <cell r="B556" t="str">
            <v>Kunci tanam biasa</v>
          </cell>
          <cell r="C556" t="str">
            <v>Set</v>
          </cell>
          <cell r="D556">
            <v>168565</v>
          </cell>
          <cell r="E556">
            <v>0</v>
          </cell>
          <cell r="F556">
            <v>0</v>
          </cell>
          <cell r="G556">
            <v>1</v>
          </cell>
          <cell r="H556">
            <v>168565</v>
          </cell>
          <cell r="I556">
            <v>1</v>
          </cell>
          <cell r="J556">
            <v>168565</v>
          </cell>
          <cell r="K556">
            <v>1</v>
          </cell>
          <cell r="L556">
            <v>168565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>
            <v>13</v>
          </cell>
          <cell r="B557" t="str">
            <v>Kunci Silinder</v>
          </cell>
          <cell r="C557" t="str">
            <v>Set</v>
          </cell>
          <cell r="D557">
            <v>217900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A558">
            <v>14</v>
          </cell>
          <cell r="B558" t="str">
            <v>Kunci Selot</v>
          </cell>
          <cell r="C558" t="str">
            <v>Set</v>
          </cell>
          <cell r="D558">
            <v>48300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A559">
            <v>15</v>
          </cell>
          <cell r="B559" t="str">
            <v>Engsel jendela</v>
          </cell>
          <cell r="C559" t="str">
            <v>Bh</v>
          </cell>
          <cell r="D559">
            <v>16600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4</v>
          </cell>
          <cell r="N559">
            <v>66400</v>
          </cell>
          <cell r="O559">
            <v>2</v>
          </cell>
          <cell r="P559">
            <v>33200</v>
          </cell>
          <cell r="Q559">
            <v>2</v>
          </cell>
          <cell r="R559">
            <v>33200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A560">
            <v>16</v>
          </cell>
          <cell r="B560" t="str">
            <v>Engsel pintu</v>
          </cell>
          <cell r="C560" t="str">
            <v>Bh</v>
          </cell>
          <cell r="D560">
            <v>44395.75</v>
          </cell>
          <cell r="E560">
            <v>4</v>
          </cell>
          <cell r="F560">
            <v>177583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A561">
            <v>17</v>
          </cell>
          <cell r="B561" t="str">
            <v>Engsel Pintu dari pipa besi dia 2 cm</v>
          </cell>
          <cell r="C561" t="str">
            <v>Bh</v>
          </cell>
          <cell r="D561">
            <v>66593.625</v>
          </cell>
          <cell r="E561">
            <v>0</v>
          </cell>
          <cell r="F561">
            <v>0</v>
          </cell>
          <cell r="G561">
            <v>2</v>
          </cell>
          <cell r="H561">
            <v>133187.25</v>
          </cell>
          <cell r="I561">
            <v>2</v>
          </cell>
          <cell r="J561">
            <v>133187.25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</row>
        <row r="562">
          <cell r="A562">
            <v>18</v>
          </cell>
          <cell r="B562" t="str">
            <v>Kait/hak angin</v>
          </cell>
          <cell r="C562" t="str">
            <v>Set</v>
          </cell>
          <cell r="D562">
            <v>27000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2</v>
          </cell>
          <cell r="N562">
            <v>54000</v>
          </cell>
          <cell r="O562">
            <v>2</v>
          </cell>
          <cell r="P562">
            <v>54000</v>
          </cell>
          <cell r="Q562">
            <v>2</v>
          </cell>
          <cell r="R562">
            <v>54000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</row>
        <row r="563">
          <cell r="A563">
            <v>19</v>
          </cell>
          <cell r="B563" t="str">
            <v>Grendel pintu kuningan</v>
          </cell>
          <cell r="C563" t="str">
            <v>Bh</v>
          </cell>
          <cell r="D563">
            <v>125000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A564">
            <v>20</v>
          </cell>
          <cell r="B564" t="str">
            <v xml:space="preserve">Grendel jendela </v>
          </cell>
          <cell r="C564" t="str">
            <v>Bh</v>
          </cell>
          <cell r="D564">
            <v>8100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8100</v>
          </cell>
          <cell r="O564">
            <v>1</v>
          </cell>
          <cell r="P564">
            <v>8100</v>
          </cell>
          <cell r="Q564">
            <v>1</v>
          </cell>
          <cell r="R564">
            <v>8100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A565">
            <v>21</v>
          </cell>
          <cell r="B565" t="str">
            <v>Grendel pintu</v>
          </cell>
          <cell r="C565" t="str">
            <v>Bh</v>
          </cell>
          <cell r="D565">
            <v>14200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A566">
            <v>22</v>
          </cell>
          <cell r="B566" t="str">
            <v>Stripting Knip</v>
          </cell>
          <cell r="C566" t="str">
            <v>Set</v>
          </cell>
          <cell r="D566">
            <v>13700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A567">
            <v>23</v>
          </cell>
          <cell r="B567" t="str">
            <v>Door Closer</v>
          </cell>
          <cell r="C567" t="str">
            <v>Set</v>
          </cell>
          <cell r="D567">
            <v>260800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A568">
            <v>24</v>
          </cell>
          <cell r="B568" t="str">
            <v>Door Holder</v>
          </cell>
          <cell r="C568" t="str">
            <v>Set</v>
          </cell>
          <cell r="D568">
            <v>500000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A569">
            <v>25</v>
          </cell>
          <cell r="B569" t="str">
            <v>Door Stop</v>
          </cell>
          <cell r="C569" t="str">
            <v>Set</v>
          </cell>
          <cell r="D569">
            <v>32100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>
            <v>26</v>
          </cell>
          <cell r="B570" t="str">
            <v>Kaca bening 5 mm</v>
          </cell>
          <cell r="C570" t="str">
            <v>M2</v>
          </cell>
          <cell r="D570">
            <v>66700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9604.8000000000011</v>
          </cell>
          <cell r="V570">
            <v>0</v>
          </cell>
          <cell r="W570">
            <v>0</v>
          </cell>
          <cell r="X570">
            <v>0</v>
          </cell>
          <cell r="Y570">
            <v>0.14400000000000002</v>
          </cell>
          <cell r="Z570">
            <v>9604.8000000000011</v>
          </cell>
          <cell r="AA570">
            <v>0.14400000000000002</v>
          </cell>
          <cell r="AB570">
            <v>0</v>
          </cell>
        </row>
        <row r="571">
          <cell r="A571">
            <v>27</v>
          </cell>
          <cell r="B571" t="str">
            <v>Kaca bening 10 mm</v>
          </cell>
          <cell r="C571" t="str">
            <v>M2</v>
          </cell>
          <cell r="D571">
            <v>280895.75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1.2854999999999999</v>
          </cell>
          <cell r="N571">
            <v>361091.48662499996</v>
          </cell>
          <cell r="O571">
            <v>0.58050000000000002</v>
          </cell>
          <cell r="P571">
            <v>163059.98287500002</v>
          </cell>
          <cell r="Q571">
            <v>0.31850000000000001</v>
          </cell>
          <cell r="R571">
            <v>89465.296375000005</v>
          </cell>
          <cell r="S571">
            <v>0.63549999999999995</v>
          </cell>
          <cell r="T571">
            <v>178509.24912499997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</row>
        <row r="572">
          <cell r="A572">
            <v>28</v>
          </cell>
          <cell r="B572" t="str">
            <v>Kaca Bening 12 mm</v>
          </cell>
          <cell r="C572" t="str">
            <v>M2</v>
          </cell>
          <cell r="D572">
            <v>403787.64062499994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</row>
        <row r="573">
          <cell r="A573">
            <v>29</v>
          </cell>
          <cell r="B573" t="str">
            <v>Besi hollow 4/4</v>
          </cell>
          <cell r="C573" t="str">
            <v>M'</v>
          </cell>
          <cell r="D573">
            <v>48625.000000000051</v>
          </cell>
          <cell r="E573">
            <v>0</v>
          </cell>
          <cell r="F573">
            <v>0</v>
          </cell>
          <cell r="G573">
            <v>5.09</v>
          </cell>
          <cell r="H573">
            <v>247501.25000000026</v>
          </cell>
          <cell r="I573">
            <v>5.09</v>
          </cell>
          <cell r="J573">
            <v>247501.25000000026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>
            <v>30</v>
          </cell>
          <cell r="B574" t="str">
            <v>Besi hollow 6/6</v>
          </cell>
          <cell r="C574" t="str">
            <v>M'</v>
          </cell>
          <cell r="D574">
            <v>74462.500000000058</v>
          </cell>
          <cell r="E574">
            <v>0</v>
          </cell>
          <cell r="F574">
            <v>0</v>
          </cell>
          <cell r="G574">
            <v>5.09</v>
          </cell>
          <cell r="H574">
            <v>379014.12500000029</v>
          </cell>
          <cell r="I574">
            <v>5.09</v>
          </cell>
          <cell r="J574">
            <v>379014.12500000029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>
            <v>31</v>
          </cell>
          <cell r="B575" t="str">
            <v>Besi hollow 2.5/5</v>
          </cell>
          <cell r="C575" t="str">
            <v>Kg</v>
          </cell>
          <cell r="D575">
            <v>74462.500000000058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>
            <v>32</v>
          </cell>
          <cell r="B576" t="str">
            <v>Besi hollow 5/5</v>
          </cell>
          <cell r="C576" t="str">
            <v>Kg</v>
          </cell>
          <cell r="D576">
            <v>74462.500000000058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>
            <v>33</v>
          </cell>
          <cell r="B577" t="str">
            <v>Besi hollow 2/2</v>
          </cell>
          <cell r="C577" t="str">
            <v>Kg</v>
          </cell>
          <cell r="D577">
            <v>74462.500000000058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</row>
        <row r="578">
          <cell r="A578">
            <v>34</v>
          </cell>
          <cell r="B578" t="str">
            <v>Besi hollow 2/4</v>
          </cell>
          <cell r="C578" t="str">
            <v>Kg</v>
          </cell>
          <cell r="D578">
            <v>74462.500000000058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</row>
        <row r="579">
          <cell r="A579">
            <v>35</v>
          </cell>
          <cell r="B579" t="str">
            <v>Kaca Tempered 12 mm</v>
          </cell>
          <cell r="C579" t="str">
            <v>M2</v>
          </cell>
          <cell r="D579">
            <v>528395.75</v>
          </cell>
          <cell r="E579">
            <v>4.3049999999999997</v>
          </cell>
          <cell r="F579">
            <v>2274743.7037499999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</row>
        <row r="580">
          <cell r="A580">
            <v>36</v>
          </cell>
          <cell r="B580" t="str">
            <v>Glass Block</v>
          </cell>
          <cell r="C580" t="str">
            <v>Bh</v>
          </cell>
          <cell r="D580">
            <v>45000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</row>
        <row r="581">
          <cell r="A581">
            <v>37</v>
          </cell>
          <cell r="B581" t="str">
            <v>Kaca Es</v>
          </cell>
          <cell r="C581" t="str">
            <v>M2</v>
          </cell>
          <cell r="D581">
            <v>66700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13340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0.2</v>
          </cell>
          <cell r="AB581">
            <v>13340</v>
          </cell>
        </row>
        <row r="582">
          <cell r="A582">
            <v>38</v>
          </cell>
          <cell r="B582" t="str">
            <v>Krepyak Kaca Nako + Kerangka</v>
          </cell>
          <cell r="C582" t="str">
            <v>M2</v>
          </cell>
          <cell r="D582">
            <v>81300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</row>
        <row r="583">
          <cell r="A583">
            <v>39</v>
          </cell>
          <cell r="B583" t="str">
            <v>Sticker Efek Kaca Es</v>
          </cell>
          <cell r="C583" t="str">
            <v>M2</v>
          </cell>
          <cell r="D583">
            <v>150000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</row>
        <row r="584">
          <cell r="A584">
            <v>40</v>
          </cell>
          <cell r="B584" t="str">
            <v>Rel Pintu Dorong</v>
          </cell>
          <cell r="C584" t="str">
            <v>M'</v>
          </cell>
          <cell r="D584">
            <v>275000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</row>
        <row r="585">
          <cell r="A585">
            <v>41</v>
          </cell>
          <cell r="B585" t="str">
            <v>Rolling Door</v>
          </cell>
          <cell r="C585" t="str">
            <v>M2</v>
          </cell>
          <cell r="D585">
            <v>358100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>
            <v>42</v>
          </cell>
          <cell r="B586" t="str">
            <v>Roster</v>
          </cell>
          <cell r="C586" t="str">
            <v>M2</v>
          </cell>
          <cell r="D586">
            <v>133850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64248</v>
          </cell>
          <cell r="R586">
            <v>0</v>
          </cell>
          <cell r="S586">
            <v>0</v>
          </cell>
          <cell r="T586">
            <v>0</v>
          </cell>
          <cell r="U586">
            <v>0.48</v>
          </cell>
          <cell r="V586">
            <v>64248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</row>
        <row r="587">
          <cell r="A587">
            <v>43</v>
          </cell>
          <cell r="B587" t="str">
            <v>Gipsum Board</v>
          </cell>
          <cell r="C587" t="str">
            <v>M2</v>
          </cell>
          <cell r="D587">
            <v>29000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</row>
        <row r="588">
          <cell r="A588">
            <v>44</v>
          </cell>
          <cell r="B588" t="str">
            <v>List Gipsum</v>
          </cell>
          <cell r="C588" t="str">
            <v>M'</v>
          </cell>
          <cell r="D588">
            <v>17300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</row>
        <row r="589">
          <cell r="A589">
            <v>45</v>
          </cell>
          <cell r="B589" t="str">
            <v>Sealent</v>
          </cell>
          <cell r="C589" t="str">
            <v>M'</v>
          </cell>
          <cell r="D589">
            <v>8400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15</v>
          </cell>
          <cell r="N589">
            <v>126000</v>
          </cell>
          <cell r="O589">
            <v>7.12</v>
          </cell>
          <cell r="P589">
            <v>59808</v>
          </cell>
          <cell r="Q589">
            <v>5.04</v>
          </cell>
          <cell r="R589">
            <v>42336</v>
          </cell>
          <cell r="S589">
            <v>9.44</v>
          </cell>
          <cell r="T589">
            <v>79296</v>
          </cell>
          <cell r="U589">
            <v>0</v>
          </cell>
          <cell r="V589">
            <v>0</v>
          </cell>
          <cell r="W589">
            <v>7.52</v>
          </cell>
          <cell r="X589">
            <v>0</v>
          </cell>
          <cell r="Y589">
            <v>7.52</v>
          </cell>
          <cell r="Z589">
            <v>63168</v>
          </cell>
          <cell r="AA589">
            <v>3.2</v>
          </cell>
          <cell r="AB589">
            <v>26880</v>
          </cell>
        </row>
        <row r="590">
          <cell r="A590">
            <v>46</v>
          </cell>
          <cell r="B590" t="str">
            <v>Benangan Kusen</v>
          </cell>
          <cell r="C590" t="str">
            <v>M'</v>
          </cell>
          <cell r="D590">
            <v>4296.0074999999997</v>
          </cell>
          <cell r="E590">
            <v>6.1999999999999993</v>
          </cell>
          <cell r="F590">
            <v>26635.246499999994</v>
          </cell>
          <cell r="G590">
            <v>5.5990000000000002</v>
          </cell>
          <cell r="H590">
            <v>24053.345992499999</v>
          </cell>
          <cell r="I590">
            <v>5.5990000000000002</v>
          </cell>
          <cell r="J590">
            <v>24053.345992499999</v>
          </cell>
          <cell r="K590">
            <v>5.5990000000000002</v>
          </cell>
          <cell r="L590">
            <v>24053.345992499999</v>
          </cell>
          <cell r="M590">
            <v>13.6</v>
          </cell>
          <cell r="N590">
            <v>58425.701999999997</v>
          </cell>
          <cell r="O590">
            <v>9.120000000000001</v>
          </cell>
          <cell r="P590">
            <v>39179.588400000001</v>
          </cell>
          <cell r="Q590">
            <v>7.0399999999999991</v>
          </cell>
          <cell r="R590">
            <v>30243.892799999994</v>
          </cell>
          <cell r="S590">
            <v>10.199999999999999</v>
          </cell>
          <cell r="T590">
            <v>43819.276499999993</v>
          </cell>
          <cell r="U590">
            <v>6.4</v>
          </cell>
          <cell r="V590">
            <v>27494.448</v>
          </cell>
          <cell r="W590">
            <v>30.599999999999998</v>
          </cell>
          <cell r="X590">
            <v>131457.82949999999</v>
          </cell>
          <cell r="Y590">
            <v>7.52</v>
          </cell>
          <cell r="Z590">
            <v>32305.976399999996</v>
          </cell>
          <cell r="AA590">
            <v>4</v>
          </cell>
          <cell r="AB590">
            <v>106540.98599999998</v>
          </cell>
        </row>
        <row r="591">
          <cell r="A591">
            <v>47</v>
          </cell>
          <cell r="B591" t="str">
            <v xml:space="preserve">Cat Kayu </v>
          </cell>
          <cell r="C591" t="str">
            <v>M2</v>
          </cell>
          <cell r="D591">
            <v>19370.5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</row>
        <row r="592">
          <cell r="A592">
            <v>48</v>
          </cell>
          <cell r="B592" t="str">
            <v>Cat Besi</v>
          </cell>
          <cell r="C592" t="str">
            <v>M2</v>
          </cell>
          <cell r="D592">
            <v>13698</v>
          </cell>
          <cell r="E592">
            <v>0</v>
          </cell>
          <cell r="F592">
            <v>0</v>
          </cell>
          <cell r="G592">
            <v>5.6445590696960588</v>
          </cell>
          <cell r="H592">
            <v>77319.170136696615</v>
          </cell>
          <cell r="I592">
            <v>5.6445590696960588</v>
          </cell>
          <cell r="J592">
            <v>77319.170136696615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</row>
        <row r="593">
          <cell r="A593">
            <v>49</v>
          </cell>
          <cell r="B593" t="str">
            <v>Cat Dinding</v>
          </cell>
          <cell r="C593" t="str">
            <v>M2</v>
          </cell>
          <cell r="D593">
            <v>9900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9504</v>
          </cell>
          <cell r="R593">
            <v>0</v>
          </cell>
          <cell r="S593">
            <v>0</v>
          </cell>
          <cell r="T593">
            <v>0</v>
          </cell>
          <cell r="U593">
            <v>0.96</v>
          </cell>
          <cell r="V593">
            <v>9504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>
            <v>50</v>
          </cell>
          <cell r="B594" t="str">
            <v>Plesteran Camprot</v>
          </cell>
          <cell r="C594" t="str">
            <v>M2</v>
          </cell>
          <cell r="D594">
            <v>14600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</row>
        <row r="595">
          <cell r="AB595">
            <v>0</v>
          </cell>
        </row>
        <row r="596">
          <cell r="B596" t="str">
            <v>Jumlah Harga</v>
          </cell>
          <cell r="C596">
            <v>3776944.5502499999</v>
          </cell>
          <cell r="D596">
            <v>1760337.7291291971</v>
          </cell>
          <cell r="E596">
            <v>1760337.7291291971</v>
          </cell>
          <cell r="F596">
            <v>3776944.5502499999</v>
          </cell>
          <cell r="G596">
            <v>1193800.8686249999</v>
          </cell>
          <cell r="H596">
            <v>1760337.7291291971</v>
          </cell>
          <cell r="I596">
            <v>647182.94917500007</v>
          </cell>
          <cell r="J596">
            <v>1760337.7291291971</v>
          </cell>
          <cell r="K596">
            <v>101246.448</v>
          </cell>
          <cell r="L596">
            <v>192618.34599249999</v>
          </cell>
          <cell r="M596">
            <v>105078.7764</v>
          </cell>
          <cell r="N596">
            <v>1193800.8686249999</v>
          </cell>
          <cell r="O596">
            <v>0</v>
          </cell>
          <cell r="P596">
            <v>857139.57127499999</v>
          </cell>
          <cell r="Q596">
            <v>0</v>
          </cell>
          <cell r="R596">
            <v>647182.94917500007</v>
          </cell>
          <cell r="S596">
            <v>0</v>
          </cell>
          <cell r="T596">
            <v>301624.52562499995</v>
          </cell>
          <cell r="U596">
            <v>0</v>
          </cell>
          <cell r="V596">
            <v>101246.448</v>
          </cell>
          <cell r="W596">
            <v>0</v>
          </cell>
          <cell r="X596">
            <v>131457.82949999999</v>
          </cell>
          <cell r="Y596">
            <v>0</v>
          </cell>
          <cell r="Z596">
            <v>105078.7764</v>
          </cell>
          <cell r="AA596">
            <v>0</v>
          </cell>
          <cell r="AB596">
            <v>146760.98599999998</v>
          </cell>
        </row>
        <row r="597">
          <cell r="Z597">
            <v>105078.7764</v>
          </cell>
        </row>
        <row r="598">
          <cell r="AB598">
            <v>146760.98599999998</v>
          </cell>
        </row>
        <row r="599">
          <cell r="V599">
            <v>95200</v>
          </cell>
        </row>
        <row r="600">
          <cell r="A600" t="str">
            <v>No.</v>
          </cell>
          <cell r="B600" t="str">
            <v>Item Pekerjaan</v>
          </cell>
          <cell r="C600" t="str">
            <v>Satuan</v>
          </cell>
          <cell r="D600" t="str">
            <v>Harga Satuan</v>
          </cell>
          <cell r="E600" t="str">
            <v>P1</v>
          </cell>
          <cell r="F600" t="str">
            <v>P2</v>
          </cell>
          <cell r="G600" t="str">
            <v>P2</v>
          </cell>
          <cell r="H600" t="str">
            <v>J2</v>
          </cell>
          <cell r="I600" t="str">
            <v>J1</v>
          </cell>
          <cell r="J600" t="str">
            <v>S1</v>
          </cell>
          <cell r="K600" t="str">
            <v>J2</v>
          </cell>
          <cell r="L600">
            <v>0</v>
          </cell>
          <cell r="M600" t="str">
            <v>J2'</v>
          </cell>
          <cell r="N600">
            <v>0</v>
          </cell>
          <cell r="O600" t="str">
            <v>S1</v>
          </cell>
          <cell r="P600">
            <v>0</v>
          </cell>
          <cell r="Q600" t="str">
            <v>Pintu Gebang</v>
          </cell>
        </row>
        <row r="601">
          <cell r="D601" t="str">
            <v>Rp.</v>
          </cell>
          <cell r="E601" t="str">
            <v>Vol.</v>
          </cell>
          <cell r="F601" t="str">
            <v>Jumlah Harga</v>
          </cell>
          <cell r="G601" t="str">
            <v>Vol.</v>
          </cell>
          <cell r="H601" t="str">
            <v>Jumlah Harga</v>
          </cell>
          <cell r="I601" t="str">
            <v>Vol.</v>
          </cell>
          <cell r="J601" t="str">
            <v>Jumlah Harga</v>
          </cell>
          <cell r="K601" t="str">
            <v>Vol.</v>
          </cell>
          <cell r="L601" t="str">
            <v>Jumlah Harga</v>
          </cell>
          <cell r="M601" t="str">
            <v>Vol.</v>
          </cell>
          <cell r="N601" t="str">
            <v>Jumlah Harga</v>
          </cell>
          <cell r="O601" t="str">
            <v>Vol.</v>
          </cell>
          <cell r="P601" t="str">
            <v>Jumlah Harga</v>
          </cell>
          <cell r="Q601" t="str">
            <v>Vol.</v>
          </cell>
          <cell r="R601" t="str">
            <v>Jumlah Harga</v>
          </cell>
        </row>
        <row r="602">
          <cell r="A602" t="str">
            <v>IX.</v>
          </cell>
          <cell r="B602" t="str">
            <v>UNIT GERBANG POS</v>
          </cell>
          <cell r="D602" t="str">
            <v>Rp.</v>
          </cell>
          <cell r="E602" t="str">
            <v>Vol.</v>
          </cell>
          <cell r="F602" t="str">
            <v>Jumlah Harga</v>
          </cell>
          <cell r="G602" t="str">
            <v>Vol.</v>
          </cell>
          <cell r="H602" t="str">
            <v>Jumlah Harga</v>
          </cell>
          <cell r="I602" t="str">
            <v>Vol.</v>
          </cell>
          <cell r="J602" t="str">
            <v>Jumlah Harga</v>
          </cell>
          <cell r="K602" t="str">
            <v>Vol.</v>
          </cell>
          <cell r="L602" t="str">
            <v>Jumlah Harga</v>
          </cell>
          <cell r="M602" t="str">
            <v>Vol.</v>
          </cell>
          <cell r="N602" t="str">
            <v>Jumlah Harga</v>
          </cell>
          <cell r="O602" t="str">
            <v>Vol.</v>
          </cell>
          <cell r="P602" t="str">
            <v>Jumlah Harga</v>
          </cell>
          <cell r="Q602" t="str">
            <v>Vol.</v>
          </cell>
          <cell r="R602" t="str">
            <v>Jumlah Harga</v>
          </cell>
        </row>
        <row r="603">
          <cell r="A603" t="str">
            <v>IX.</v>
          </cell>
          <cell r="B603" t="str">
            <v>UNIT GERBANG POS</v>
          </cell>
        </row>
        <row r="604">
          <cell r="A604">
            <v>1</v>
          </cell>
          <cell r="B604" t="str">
            <v>Kayu 6/12</v>
          </cell>
          <cell r="C604" t="str">
            <v>M3</v>
          </cell>
          <cell r="D604">
            <v>0</v>
          </cell>
          <cell r="E604">
            <v>1.2500000000000001E-2</v>
          </cell>
          <cell r="F604">
            <v>0</v>
          </cell>
          <cell r="G604">
            <v>3.6144000000000003E-2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</row>
        <row r="605">
          <cell r="A605">
            <v>2</v>
          </cell>
          <cell r="B605" t="str">
            <v>Kayu Slimar 3/10</v>
          </cell>
          <cell r="C605" t="str">
            <v>M3</v>
          </cell>
          <cell r="D605">
            <v>0</v>
          </cell>
          <cell r="E605">
            <v>3.0000000000000005E-3</v>
          </cell>
          <cell r="F605">
            <v>0</v>
          </cell>
          <cell r="G605">
            <v>1.4159999999999999E-2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A606">
            <v>3</v>
          </cell>
          <cell r="B606" t="str">
            <v>Kayu Slimar 3/15</v>
          </cell>
          <cell r="C606" t="str">
            <v>M3</v>
          </cell>
          <cell r="D606">
            <v>0</v>
          </cell>
          <cell r="E606">
            <v>2.2000000000000002</v>
          </cell>
          <cell r="F606">
            <v>0</v>
          </cell>
          <cell r="G606">
            <v>2.6999999999999997E-3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A607">
            <v>4</v>
          </cell>
          <cell r="B607" t="str">
            <v>Kayu Slimar 3/20</v>
          </cell>
          <cell r="C607" t="str">
            <v>M3</v>
          </cell>
          <cell r="D607">
            <v>0</v>
          </cell>
          <cell r="E607">
            <v>3</v>
          </cell>
          <cell r="F607">
            <v>0</v>
          </cell>
          <cell r="G607">
            <v>3.5999999999999999E-3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</row>
        <row r="608">
          <cell r="A608">
            <v>5</v>
          </cell>
          <cell r="B608" t="str">
            <v>Kayu 2/10</v>
          </cell>
          <cell r="C608" t="str">
            <v>M3</v>
          </cell>
          <cell r="D608">
            <v>0</v>
          </cell>
          <cell r="E608">
            <v>9.3999999999999986</v>
          </cell>
          <cell r="F608">
            <v>0</v>
          </cell>
          <cell r="G608">
            <v>5.4000000000000012E-3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</row>
        <row r="609">
          <cell r="A609">
            <v>6</v>
          </cell>
          <cell r="B609" t="str">
            <v>Panil t = 3 cm</v>
          </cell>
          <cell r="C609" t="str">
            <v>M2</v>
          </cell>
          <cell r="D609">
            <v>0</v>
          </cell>
          <cell r="E609">
            <v>0</v>
          </cell>
          <cell r="F609">
            <v>0</v>
          </cell>
          <cell r="G609">
            <v>0.49500000000000005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</row>
        <row r="610">
          <cell r="A610">
            <v>1</v>
          </cell>
          <cell r="B610" t="str">
            <v>Kusen Aluminium 5/10</v>
          </cell>
          <cell r="C610" t="str">
            <v>M'</v>
          </cell>
          <cell r="D610">
            <v>124948</v>
          </cell>
          <cell r="E610">
            <v>0</v>
          </cell>
          <cell r="F610">
            <v>0</v>
          </cell>
          <cell r="G610">
            <v>5</v>
          </cell>
          <cell r="H610">
            <v>624740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</row>
        <row r="611">
          <cell r="A611">
            <v>2</v>
          </cell>
          <cell r="B611" t="str">
            <v xml:space="preserve">Rangka Daun Jendela Alumunium </v>
          </cell>
          <cell r="C611" t="str">
            <v>M'</v>
          </cell>
          <cell r="D611">
            <v>124948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</row>
        <row r="612">
          <cell r="A612">
            <v>3</v>
          </cell>
          <cell r="B612" t="str">
            <v>Rangka Tiang Sirip Alumunium 1/1 Putih</v>
          </cell>
          <cell r="C612" t="str">
            <v>M'</v>
          </cell>
          <cell r="D612">
            <v>62474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12.799999999999999</v>
          </cell>
          <cell r="L612">
            <v>0</v>
          </cell>
          <cell r="M612">
            <v>12.799999999999999</v>
          </cell>
          <cell r="N612">
            <v>0</v>
          </cell>
          <cell r="O612">
            <v>12.799999999999999</v>
          </cell>
          <cell r="P612">
            <v>799667.19999999995</v>
          </cell>
          <cell r="Q612">
            <v>12.799999999999999</v>
          </cell>
          <cell r="R612">
            <v>799667.19999999995</v>
          </cell>
        </row>
        <row r="613">
          <cell r="A613">
            <v>4</v>
          </cell>
          <cell r="B613" t="str">
            <v>Pasang Shading Sirip Alumunium 0.2/10 +Rangka</v>
          </cell>
          <cell r="C613" t="str">
            <v>M2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0.87</v>
          </cell>
          <cell r="P613">
            <v>0</v>
          </cell>
          <cell r="Q613">
            <v>0.87</v>
          </cell>
          <cell r="R613">
            <v>0</v>
          </cell>
        </row>
        <row r="614">
          <cell r="A614">
            <v>5</v>
          </cell>
          <cell r="B614" t="str">
            <v>Daun Pintu Panil Kamper</v>
          </cell>
          <cell r="C614" t="str">
            <v>bh</v>
          </cell>
          <cell r="D614">
            <v>550000</v>
          </cell>
          <cell r="E614">
            <v>2.1599999999999998E-2</v>
          </cell>
          <cell r="F614">
            <v>11879.999999999998</v>
          </cell>
          <cell r="G614">
            <v>1.2</v>
          </cell>
          <cell r="H614">
            <v>660000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A615">
            <v>6</v>
          </cell>
          <cell r="B615" t="str">
            <v>Plat besi t = 2 mm</v>
          </cell>
          <cell r="C615" t="str">
            <v>Kg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</row>
        <row r="616">
          <cell r="A616">
            <v>7</v>
          </cell>
          <cell r="B616" t="str">
            <v>C 40.40.2  (pesan khusus)</v>
          </cell>
          <cell r="C616" t="str">
            <v>Kg</v>
          </cell>
          <cell r="D616">
            <v>14122.3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</row>
        <row r="617">
          <cell r="A617">
            <v>8</v>
          </cell>
          <cell r="B617" t="str">
            <v>Handle besi dia 16 mm</v>
          </cell>
          <cell r="C617" t="str">
            <v>Set</v>
          </cell>
          <cell r="D617">
            <v>129652.5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</row>
        <row r="618">
          <cell r="A618">
            <v>9</v>
          </cell>
          <cell r="B618" t="str">
            <v>Hendle pintu Stainless</v>
          </cell>
          <cell r="C618" t="str">
            <v>Set</v>
          </cell>
          <cell r="D618">
            <v>261652.5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A619">
            <v>10</v>
          </cell>
          <cell r="B619" t="str">
            <v>Kunci Pintu Handle stainleess (dorma)</v>
          </cell>
          <cell r="C619" t="str">
            <v>Set</v>
          </cell>
          <cell r="D619">
            <v>650000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</row>
        <row r="620">
          <cell r="A620">
            <v>11</v>
          </cell>
          <cell r="B620" t="str">
            <v>Kunci tanam Antik</v>
          </cell>
          <cell r="C620" t="str">
            <v>Set</v>
          </cell>
          <cell r="D620">
            <v>265000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1</v>
          </cell>
          <cell r="R620">
            <v>265000</v>
          </cell>
        </row>
        <row r="621">
          <cell r="A621">
            <v>12</v>
          </cell>
          <cell r="B621" t="str">
            <v>Kunci tanam biasa</v>
          </cell>
          <cell r="C621" t="str">
            <v>Set</v>
          </cell>
          <cell r="D621">
            <v>168565</v>
          </cell>
          <cell r="E621">
            <v>0</v>
          </cell>
          <cell r="F621">
            <v>0</v>
          </cell>
          <cell r="G621">
            <v>1</v>
          </cell>
          <cell r="H621">
            <v>168565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</row>
        <row r="622">
          <cell r="A622">
            <v>13</v>
          </cell>
          <cell r="B622" t="str">
            <v>Kunci Silinder</v>
          </cell>
          <cell r="C622" t="str">
            <v>Set</v>
          </cell>
          <cell r="D622">
            <v>217900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</row>
        <row r="623">
          <cell r="A623">
            <v>14</v>
          </cell>
          <cell r="B623" t="str">
            <v>Kunci Selot</v>
          </cell>
          <cell r="C623" t="str">
            <v>Set</v>
          </cell>
          <cell r="D623">
            <v>48300</v>
          </cell>
          <cell r="E623">
            <v>1</v>
          </cell>
          <cell r="F623">
            <v>48300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</row>
        <row r="624">
          <cell r="A624">
            <v>15</v>
          </cell>
          <cell r="B624" t="str">
            <v>Engsel jendela</v>
          </cell>
          <cell r="C624" t="str">
            <v>Bh</v>
          </cell>
          <cell r="D624">
            <v>16600</v>
          </cell>
          <cell r="E624">
            <v>2</v>
          </cell>
          <cell r="F624">
            <v>33200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</row>
        <row r="625">
          <cell r="A625">
            <v>16</v>
          </cell>
          <cell r="B625" t="str">
            <v>Engsel pintu</v>
          </cell>
          <cell r="C625" t="str">
            <v>Bh</v>
          </cell>
          <cell r="D625">
            <v>44395.75</v>
          </cell>
          <cell r="E625">
            <v>2</v>
          </cell>
          <cell r="F625">
            <v>88791.5</v>
          </cell>
          <cell r="G625">
            <v>3</v>
          </cell>
          <cell r="H625">
            <v>133187.25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</row>
        <row r="626">
          <cell r="A626">
            <v>17</v>
          </cell>
          <cell r="B626" t="str">
            <v>Engsel Pintu dari pipa besi dia 2 cm</v>
          </cell>
          <cell r="C626" t="str">
            <v>Bh</v>
          </cell>
          <cell r="D626">
            <v>66593.625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</row>
        <row r="627">
          <cell r="A627">
            <v>18</v>
          </cell>
          <cell r="B627" t="str">
            <v>Kait/hak angin</v>
          </cell>
          <cell r="C627" t="str">
            <v>Set</v>
          </cell>
          <cell r="D627">
            <v>27000</v>
          </cell>
          <cell r="E627">
            <v>2</v>
          </cell>
          <cell r="F627">
            <v>54000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</row>
        <row r="628">
          <cell r="A628">
            <v>19</v>
          </cell>
          <cell r="B628" t="str">
            <v>Grendel pintu kuningan</v>
          </cell>
          <cell r="C628" t="str">
            <v>Bh</v>
          </cell>
          <cell r="D628">
            <v>125000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</row>
        <row r="629">
          <cell r="A629">
            <v>20</v>
          </cell>
          <cell r="B629" t="str">
            <v xml:space="preserve">Grendel jendela </v>
          </cell>
          <cell r="C629" t="str">
            <v>Bh</v>
          </cell>
          <cell r="D629">
            <v>8100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</row>
        <row r="630">
          <cell r="A630">
            <v>21</v>
          </cell>
          <cell r="B630" t="str">
            <v>Grendel pintu</v>
          </cell>
          <cell r="C630" t="str">
            <v>Bh</v>
          </cell>
          <cell r="D630">
            <v>14200</v>
          </cell>
          <cell r="E630">
            <v>1</v>
          </cell>
          <cell r="F630">
            <v>14200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A631">
            <v>22</v>
          </cell>
          <cell r="B631" t="str">
            <v>Stripting Knip</v>
          </cell>
          <cell r="C631" t="str">
            <v>Set</v>
          </cell>
          <cell r="D631">
            <v>13700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</row>
        <row r="632">
          <cell r="A632">
            <v>23</v>
          </cell>
          <cell r="B632" t="str">
            <v>Door Closer</v>
          </cell>
          <cell r="C632" t="str">
            <v>Set</v>
          </cell>
          <cell r="D632">
            <v>260800</v>
          </cell>
          <cell r="E632">
            <v>1</v>
          </cell>
          <cell r="F632">
            <v>260800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</row>
        <row r="633">
          <cell r="A633">
            <v>24</v>
          </cell>
          <cell r="B633" t="str">
            <v>Door Holder</v>
          </cell>
          <cell r="C633" t="str">
            <v>Set</v>
          </cell>
          <cell r="D633">
            <v>500000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</row>
        <row r="634">
          <cell r="A634">
            <v>25</v>
          </cell>
          <cell r="B634" t="str">
            <v>Door Stop</v>
          </cell>
          <cell r="C634" t="str">
            <v>Set</v>
          </cell>
          <cell r="D634">
            <v>32100</v>
          </cell>
          <cell r="E634">
            <v>1</v>
          </cell>
          <cell r="F634">
            <v>32100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>
            <v>26</v>
          </cell>
          <cell r="B635" t="str">
            <v>Kaca bening 5 mm</v>
          </cell>
          <cell r="C635" t="str">
            <v>M2</v>
          </cell>
          <cell r="D635">
            <v>66700</v>
          </cell>
          <cell r="E635">
            <v>5.0399999999999993E-2</v>
          </cell>
          <cell r="F635">
            <v>3361.6799999999994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</row>
        <row r="636">
          <cell r="A636">
            <v>27</v>
          </cell>
          <cell r="B636" t="str">
            <v>Kaca bening 10 mm</v>
          </cell>
          <cell r="C636" t="str">
            <v>M2</v>
          </cell>
          <cell r="D636">
            <v>280895.75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0.89999999999999991</v>
          </cell>
          <cell r="L636">
            <v>252806.17499999999</v>
          </cell>
          <cell r="M636">
            <v>0.89999999999999991</v>
          </cell>
          <cell r="N636">
            <v>252806.17499999999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</row>
        <row r="637">
          <cell r="A637">
            <v>28</v>
          </cell>
          <cell r="B637" t="str">
            <v>Kaca Bening 12 mm</v>
          </cell>
          <cell r="C637" t="str">
            <v>M2</v>
          </cell>
          <cell r="D637">
            <v>403787.64062499994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1.3</v>
          </cell>
          <cell r="J637">
            <v>524923.93281249993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</row>
        <row r="638">
          <cell r="A638">
            <v>29</v>
          </cell>
          <cell r="B638" t="str">
            <v>Besi hollow 4/4</v>
          </cell>
          <cell r="C638" t="str">
            <v>M'</v>
          </cell>
          <cell r="D638">
            <v>48625.000000000051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</row>
        <row r="639">
          <cell r="A639">
            <v>30</v>
          </cell>
          <cell r="B639" t="str">
            <v>Besi hollow 6/6</v>
          </cell>
          <cell r="C639" t="str">
            <v>M'</v>
          </cell>
          <cell r="D639">
            <v>74462.500000000058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</row>
        <row r="640">
          <cell r="A640">
            <v>31</v>
          </cell>
          <cell r="B640" t="str">
            <v>Besi hollow 2.5/5</v>
          </cell>
          <cell r="C640" t="str">
            <v>Kg</v>
          </cell>
          <cell r="D640">
            <v>74462.500000000058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</row>
        <row r="641">
          <cell r="A641">
            <v>32</v>
          </cell>
          <cell r="B641" t="str">
            <v>Besi hollow 5/5</v>
          </cell>
          <cell r="C641" t="str">
            <v>Kg</v>
          </cell>
          <cell r="D641">
            <v>74462.500000000058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</row>
        <row r="642">
          <cell r="A642">
            <v>33</v>
          </cell>
          <cell r="B642" t="str">
            <v>Besi hollow 2/2</v>
          </cell>
          <cell r="C642" t="str">
            <v>Kg</v>
          </cell>
          <cell r="D642">
            <v>74462.500000000058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</row>
        <row r="643">
          <cell r="A643">
            <v>34</v>
          </cell>
          <cell r="B643" t="str">
            <v>Besi hollow 2/4</v>
          </cell>
          <cell r="C643" t="str">
            <v>Kg</v>
          </cell>
          <cell r="D643">
            <v>74462.500000000058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</row>
        <row r="644">
          <cell r="A644">
            <v>35</v>
          </cell>
          <cell r="B644" t="str">
            <v>Kaca Tempered 12 mm</v>
          </cell>
          <cell r="C644" t="str">
            <v>M2</v>
          </cell>
          <cell r="D644">
            <v>528395.75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A645">
            <v>36</v>
          </cell>
          <cell r="B645" t="str">
            <v>Glass Block</v>
          </cell>
          <cell r="C645" t="str">
            <v>Bh</v>
          </cell>
          <cell r="D645">
            <v>45000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</row>
        <row r="646">
          <cell r="A646">
            <v>37</v>
          </cell>
          <cell r="B646" t="str">
            <v>Kaca Es</v>
          </cell>
          <cell r="C646" t="str">
            <v>M2</v>
          </cell>
          <cell r="D646">
            <v>66700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</row>
        <row r="647">
          <cell r="A647">
            <v>38</v>
          </cell>
          <cell r="B647" t="str">
            <v>Krepyak Kaca Nako + Kerangka</v>
          </cell>
          <cell r="C647" t="str">
            <v>M2</v>
          </cell>
          <cell r="D647">
            <v>81300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</row>
        <row r="648">
          <cell r="A648">
            <v>39</v>
          </cell>
          <cell r="B648" t="str">
            <v>Sticker Efek Kaca Es</v>
          </cell>
          <cell r="C648" t="str">
            <v>M2</v>
          </cell>
          <cell r="D648">
            <v>150000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</row>
        <row r="649">
          <cell r="A649">
            <v>40</v>
          </cell>
          <cell r="B649" t="str">
            <v>Rel Pintu Dorong</v>
          </cell>
          <cell r="C649" t="str">
            <v>M'</v>
          </cell>
          <cell r="D649">
            <v>275000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2024000</v>
          </cell>
          <cell r="N649">
            <v>0</v>
          </cell>
          <cell r="O649">
            <v>0</v>
          </cell>
          <cell r="P649">
            <v>0</v>
          </cell>
          <cell r="Q649">
            <v>7.36</v>
          </cell>
          <cell r="R649">
            <v>2024000</v>
          </cell>
        </row>
        <row r="650">
          <cell r="A650">
            <v>41</v>
          </cell>
          <cell r="B650" t="str">
            <v>Rolling Door</v>
          </cell>
          <cell r="C650" t="str">
            <v>M2</v>
          </cell>
          <cell r="D650">
            <v>358100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</row>
        <row r="651">
          <cell r="A651">
            <v>42</v>
          </cell>
          <cell r="B651" t="str">
            <v>Roster</v>
          </cell>
          <cell r="C651" t="str">
            <v>M2</v>
          </cell>
          <cell r="D651">
            <v>133850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</row>
        <row r="652">
          <cell r="A652">
            <v>43</v>
          </cell>
          <cell r="B652" t="str">
            <v>Gipsum Board</v>
          </cell>
          <cell r="C652" t="str">
            <v>M2</v>
          </cell>
          <cell r="D652">
            <v>29000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A653">
            <v>44</v>
          </cell>
          <cell r="B653" t="str">
            <v>List Gipsum</v>
          </cell>
          <cell r="C653" t="str">
            <v>M'</v>
          </cell>
          <cell r="D653">
            <v>17300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</row>
        <row r="654">
          <cell r="A654">
            <v>45</v>
          </cell>
          <cell r="B654" t="str">
            <v>Sealent</v>
          </cell>
          <cell r="C654" t="str">
            <v>M'</v>
          </cell>
          <cell r="D654">
            <v>8400</v>
          </cell>
          <cell r="E654">
            <v>4.32</v>
          </cell>
          <cell r="F654">
            <v>36288</v>
          </cell>
          <cell r="G654">
            <v>0</v>
          </cell>
          <cell r="H654">
            <v>0</v>
          </cell>
          <cell r="I654">
            <v>10.6</v>
          </cell>
          <cell r="J654">
            <v>89040</v>
          </cell>
          <cell r="K654">
            <v>8.4</v>
          </cell>
          <cell r="L654">
            <v>70560</v>
          </cell>
          <cell r="M654">
            <v>8.4</v>
          </cell>
          <cell r="N654">
            <v>70560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</row>
        <row r="655">
          <cell r="A655">
            <v>46</v>
          </cell>
          <cell r="B655" t="str">
            <v>Benangan Kusen</v>
          </cell>
          <cell r="C655" t="str">
            <v>M'</v>
          </cell>
          <cell r="D655">
            <v>4296.0074999999997</v>
          </cell>
          <cell r="E655">
            <v>11.7</v>
          </cell>
          <cell r="F655">
            <v>50263.287749999996</v>
          </cell>
          <cell r="G655">
            <v>5.7839999999999998</v>
          </cell>
          <cell r="H655">
            <v>24848.107379999998</v>
          </cell>
          <cell r="I655">
            <v>21.2</v>
          </cell>
          <cell r="J655">
            <v>91075.358999999997</v>
          </cell>
          <cell r="K655">
            <v>16.8</v>
          </cell>
          <cell r="L655">
            <v>72172.925999999992</v>
          </cell>
          <cell r="M655">
            <v>16.8</v>
          </cell>
          <cell r="N655">
            <v>72172.925999999992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</row>
        <row r="656">
          <cell r="A656">
            <v>47</v>
          </cell>
          <cell r="B656" t="str">
            <v xml:space="preserve">Cat Kayu </v>
          </cell>
          <cell r="C656" t="str">
            <v>M2</v>
          </cell>
          <cell r="D656">
            <v>19370.5</v>
          </cell>
          <cell r="E656">
            <v>3</v>
          </cell>
          <cell r="F656">
            <v>58111.5</v>
          </cell>
          <cell r="G656">
            <v>4.0991999999999997</v>
          </cell>
          <cell r="H656">
            <v>79403.553599999999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A657">
            <v>48</v>
          </cell>
          <cell r="B657" t="str">
            <v>Cat Besi</v>
          </cell>
          <cell r="C657" t="str">
            <v>M2</v>
          </cell>
          <cell r="D657">
            <v>13698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5.12</v>
          </cell>
          <cell r="L657">
            <v>0</v>
          </cell>
          <cell r="M657">
            <v>5.12</v>
          </cell>
          <cell r="N657">
            <v>0</v>
          </cell>
          <cell r="O657">
            <v>5.12</v>
          </cell>
          <cell r="P657">
            <v>70133.759999999995</v>
          </cell>
          <cell r="Q657">
            <v>5.12</v>
          </cell>
          <cell r="R657">
            <v>70133.759999999995</v>
          </cell>
        </row>
        <row r="658">
          <cell r="A658">
            <v>49</v>
          </cell>
          <cell r="B658" t="str">
            <v>Cat Dinding</v>
          </cell>
          <cell r="C658" t="str">
            <v>M2</v>
          </cell>
          <cell r="D658">
            <v>9900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</row>
        <row r="659">
          <cell r="A659">
            <v>50</v>
          </cell>
          <cell r="B659" t="str">
            <v>Rel Jendela Geser</v>
          </cell>
          <cell r="C659" t="str">
            <v>M'</v>
          </cell>
          <cell r="D659">
            <v>275000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</row>
        <row r="660">
          <cell r="R660">
            <v>0</v>
          </cell>
        </row>
        <row r="661">
          <cell r="B661" t="str">
            <v>Jumlah Harga</v>
          </cell>
          <cell r="C661">
            <v>691295.96775000007</v>
          </cell>
          <cell r="D661">
            <v>1690743.9109799999</v>
          </cell>
          <cell r="E661">
            <v>705039.29181249999</v>
          </cell>
          <cell r="F661">
            <v>691295.96775000007</v>
          </cell>
          <cell r="G661">
            <v>395539.10099999997</v>
          </cell>
          <cell r="H661">
            <v>1690743.9109799999</v>
          </cell>
          <cell r="I661">
            <v>3158800.96</v>
          </cell>
          <cell r="J661">
            <v>705039.29181249999</v>
          </cell>
          <cell r="K661">
            <v>0</v>
          </cell>
          <cell r="L661">
            <v>395539.10099999997</v>
          </cell>
          <cell r="M661">
            <v>0</v>
          </cell>
          <cell r="N661">
            <v>395539.10099999997</v>
          </cell>
          <cell r="O661">
            <v>0</v>
          </cell>
          <cell r="P661">
            <v>869800.95999999996</v>
          </cell>
          <cell r="Q661">
            <v>0</v>
          </cell>
          <cell r="R661">
            <v>3158800.96</v>
          </cell>
        </row>
        <row r="663">
          <cell r="P663">
            <v>869800.95999999996</v>
          </cell>
        </row>
        <row r="664">
          <cell r="R664">
            <v>3158800.96</v>
          </cell>
        </row>
        <row r="665">
          <cell r="A665" t="str">
            <v>No.</v>
          </cell>
          <cell r="B665" t="str">
            <v>Item Pekerjaan</v>
          </cell>
          <cell r="C665" t="str">
            <v>Satuan</v>
          </cell>
          <cell r="D665" t="str">
            <v>Harga Satuan</v>
          </cell>
          <cell r="E665" t="str">
            <v>P1</v>
          </cell>
          <cell r="F665" t="str">
            <v>P2</v>
          </cell>
          <cell r="G665" t="str">
            <v>P2</v>
          </cell>
          <cell r="H665" t="str">
            <v>P3</v>
          </cell>
          <cell r="I665" t="str">
            <v>P2'</v>
          </cell>
          <cell r="J665" t="str">
            <v>P4</v>
          </cell>
          <cell r="K665" t="str">
            <v>P3</v>
          </cell>
          <cell r="L665" t="str">
            <v>J2</v>
          </cell>
          <cell r="M665" t="str">
            <v>P3'</v>
          </cell>
          <cell r="N665" t="str">
            <v>BV1</v>
          </cell>
          <cell r="O665" t="str">
            <v>P4</v>
          </cell>
          <cell r="P665" t="str">
            <v>ROLLING DOOR</v>
          </cell>
          <cell r="Q665" t="str">
            <v>J1</v>
          </cell>
          <cell r="R665">
            <v>0</v>
          </cell>
          <cell r="S665" t="str">
            <v>J2</v>
          </cell>
          <cell r="T665">
            <v>0</v>
          </cell>
          <cell r="U665" t="str">
            <v>J3</v>
          </cell>
          <cell r="V665">
            <v>0</v>
          </cell>
          <cell r="W665" t="str">
            <v>BV1</v>
          </cell>
          <cell r="X665">
            <v>0</v>
          </cell>
          <cell r="Y665" t="str">
            <v>BV2</v>
          </cell>
          <cell r="Z665">
            <v>0</v>
          </cell>
          <cell r="AA665" t="str">
            <v>ROLLING DOOR</v>
          </cell>
        </row>
        <row r="666">
          <cell r="D666" t="str">
            <v>Rp.</v>
          </cell>
          <cell r="E666" t="str">
            <v>Vol.</v>
          </cell>
          <cell r="F666" t="str">
            <v>Jumlah Harga</v>
          </cell>
          <cell r="G666" t="str">
            <v>Vol.</v>
          </cell>
          <cell r="H666" t="str">
            <v>Jumlah Harga</v>
          </cell>
          <cell r="I666" t="str">
            <v>Vol.</v>
          </cell>
          <cell r="J666" t="str">
            <v>Jumlah Harga</v>
          </cell>
          <cell r="K666" t="str">
            <v>Vol.</v>
          </cell>
          <cell r="L666" t="str">
            <v>Jumlah Harga</v>
          </cell>
          <cell r="M666" t="str">
            <v>Vol.</v>
          </cell>
          <cell r="N666" t="str">
            <v>Jumlah Harga</v>
          </cell>
          <cell r="O666" t="str">
            <v>Vol.</v>
          </cell>
          <cell r="P666" t="str">
            <v>Jumlah Harga</v>
          </cell>
          <cell r="Q666" t="str">
            <v>Vol.</v>
          </cell>
          <cell r="R666" t="str">
            <v>Jumlah Harga</v>
          </cell>
          <cell r="S666" t="str">
            <v>Vol.</v>
          </cell>
          <cell r="T666" t="str">
            <v>Jumlah Harga</v>
          </cell>
          <cell r="U666" t="str">
            <v>Vol.</v>
          </cell>
          <cell r="V666" t="str">
            <v>Jumlah Harga</v>
          </cell>
          <cell r="W666" t="str">
            <v>Vol.</v>
          </cell>
          <cell r="X666" t="str">
            <v>Jumlah Harga</v>
          </cell>
          <cell r="Y666" t="str">
            <v>Vol.</v>
          </cell>
          <cell r="Z666" t="str">
            <v>Jumlah Harga</v>
          </cell>
          <cell r="AA666" t="str">
            <v>Vol.</v>
          </cell>
          <cell r="AB666" t="str">
            <v>Jumlah Harga</v>
          </cell>
        </row>
        <row r="667">
          <cell r="A667" t="str">
            <v>X.</v>
          </cell>
          <cell r="B667" t="str">
            <v>UNIT KOLAM RENANG</v>
          </cell>
          <cell r="D667" t="str">
            <v>Rp.</v>
          </cell>
          <cell r="E667" t="str">
            <v>Vol.</v>
          </cell>
          <cell r="F667" t="str">
            <v>Jumlah Harga</v>
          </cell>
          <cell r="G667" t="str">
            <v>Vol.</v>
          </cell>
          <cell r="H667" t="str">
            <v>Jumlah Harga</v>
          </cell>
          <cell r="I667" t="str">
            <v>Vol.</v>
          </cell>
          <cell r="J667" t="str">
            <v>Jumlah Harga</v>
          </cell>
          <cell r="K667" t="str">
            <v>Vol.</v>
          </cell>
          <cell r="L667" t="str">
            <v>Jumlah Harga</v>
          </cell>
          <cell r="M667" t="str">
            <v>Vol.</v>
          </cell>
          <cell r="N667" t="str">
            <v>Jumlah Harga</v>
          </cell>
          <cell r="O667" t="str">
            <v>Vol.</v>
          </cell>
          <cell r="P667" t="str">
            <v>Jumlah Harga</v>
          </cell>
          <cell r="Q667" t="str">
            <v>Vol.</v>
          </cell>
          <cell r="R667" t="str">
            <v>Jumlah Harga</v>
          </cell>
          <cell r="S667" t="str">
            <v>Vol.</v>
          </cell>
          <cell r="T667" t="str">
            <v>Jumlah Harga</v>
          </cell>
          <cell r="U667" t="str">
            <v>Vol.</v>
          </cell>
          <cell r="V667" t="str">
            <v>Jumlah Harga</v>
          </cell>
          <cell r="W667" t="str">
            <v>Vol.</v>
          </cell>
          <cell r="X667" t="str">
            <v>Jumlah Harga</v>
          </cell>
          <cell r="Y667" t="str">
            <v>Vol.</v>
          </cell>
          <cell r="Z667" t="str">
            <v>Jumlah Harga</v>
          </cell>
          <cell r="AA667" t="str">
            <v>Vol.</v>
          </cell>
          <cell r="AB667" t="str">
            <v>Jumlah Harga</v>
          </cell>
        </row>
        <row r="668">
          <cell r="A668" t="str">
            <v>X.</v>
          </cell>
          <cell r="B668" t="str">
            <v>UNIT KOLAM RENANG</v>
          </cell>
        </row>
        <row r="669">
          <cell r="A669">
            <v>1</v>
          </cell>
          <cell r="B669" t="str">
            <v>Kayu 6/12</v>
          </cell>
          <cell r="C669" t="str">
            <v>M3</v>
          </cell>
          <cell r="D669">
            <v>0</v>
          </cell>
          <cell r="E669">
            <v>2.3120000000000002E-2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3.6144000000000003E-2</v>
          </cell>
          <cell r="L669">
            <v>0</v>
          </cell>
          <cell r="M669">
            <v>3.6144000000000003E-2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>
            <v>2</v>
          </cell>
          <cell r="B670" t="str">
            <v>Kayu Slimar 3/10</v>
          </cell>
          <cell r="C670" t="str">
            <v>M3</v>
          </cell>
          <cell r="D670">
            <v>0</v>
          </cell>
          <cell r="E670">
            <v>6.4000000000000012E-3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1.4159999999999999E-2</v>
          </cell>
          <cell r="L670">
            <v>0</v>
          </cell>
          <cell r="M670">
            <v>1.4159999999999999E-2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>
            <v>3</v>
          </cell>
          <cell r="B671" t="str">
            <v>Kayu Slimar 3/15</v>
          </cell>
          <cell r="C671" t="str">
            <v>M3</v>
          </cell>
          <cell r="D671">
            <v>0</v>
          </cell>
          <cell r="E671">
            <v>14.399999999999999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2.6999999999999997E-3</v>
          </cell>
          <cell r="L671">
            <v>0</v>
          </cell>
          <cell r="M671">
            <v>2.6999999999999997E-3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</row>
        <row r="672">
          <cell r="A672">
            <v>4</v>
          </cell>
          <cell r="B672" t="str">
            <v>Kayu Slimar 3/20</v>
          </cell>
          <cell r="C672" t="str">
            <v>M3</v>
          </cell>
          <cell r="D672">
            <v>0</v>
          </cell>
          <cell r="E672">
            <v>6.6879999999999997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3.5999999999999999E-3</v>
          </cell>
          <cell r="L672">
            <v>0</v>
          </cell>
          <cell r="M672">
            <v>3.5999999999999999E-3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</row>
        <row r="673">
          <cell r="A673">
            <v>5</v>
          </cell>
          <cell r="B673" t="str">
            <v>Kayu 2/10</v>
          </cell>
          <cell r="C673" t="str">
            <v>M3</v>
          </cell>
          <cell r="D673">
            <v>0</v>
          </cell>
          <cell r="E673">
            <v>6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5.4000000000000012E-3</v>
          </cell>
          <cell r="L673">
            <v>0</v>
          </cell>
          <cell r="M673">
            <v>5.4000000000000012E-3</v>
          </cell>
          <cell r="N673">
            <v>0</v>
          </cell>
          <cell r="O673">
            <v>0</v>
          </cell>
          <cell r="P673">
            <v>0</v>
          </cell>
          <cell r="Q673">
            <v>10.25</v>
          </cell>
          <cell r="R673">
            <v>0</v>
          </cell>
          <cell r="S673">
            <v>3.4999999999999996</v>
          </cell>
          <cell r="T673">
            <v>0</v>
          </cell>
          <cell r="U673">
            <v>5.9</v>
          </cell>
          <cell r="V673">
            <v>0</v>
          </cell>
          <cell r="W673">
            <v>2</v>
          </cell>
          <cell r="X673">
            <v>0</v>
          </cell>
          <cell r="Y673">
            <v>2</v>
          </cell>
          <cell r="Z673">
            <v>0</v>
          </cell>
          <cell r="AA673">
            <v>0</v>
          </cell>
          <cell r="AB673">
            <v>0</v>
          </cell>
        </row>
        <row r="674">
          <cell r="A674">
            <v>6</v>
          </cell>
          <cell r="B674" t="str">
            <v>Panil t = 3 cm</v>
          </cell>
          <cell r="C674" t="str">
            <v>M2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0.49500000000000005</v>
          </cell>
          <cell r="L674">
            <v>0</v>
          </cell>
          <cell r="M674">
            <v>0.49500000000000005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>
            <v>1</v>
          </cell>
          <cell r="B675" t="str">
            <v>Kusen Aluminium 5/10</v>
          </cell>
          <cell r="C675" t="str">
            <v>M'</v>
          </cell>
          <cell r="D675">
            <v>124948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5</v>
          </cell>
          <cell r="L675">
            <v>624740</v>
          </cell>
          <cell r="M675">
            <v>5</v>
          </cell>
          <cell r="N675">
            <v>624740</v>
          </cell>
          <cell r="O675">
            <v>6.1999999999999993</v>
          </cell>
          <cell r="P675">
            <v>774677.59999999986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>
            <v>2</v>
          </cell>
          <cell r="B676" t="str">
            <v xml:space="preserve">Rangka Daun Jendela Alumunium </v>
          </cell>
          <cell r="C676" t="str">
            <v>M'</v>
          </cell>
          <cell r="D676">
            <v>124948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7</v>
          </cell>
          <cell r="R676">
            <v>874636</v>
          </cell>
          <cell r="S676">
            <v>3.0999999999999996</v>
          </cell>
          <cell r="T676">
            <v>387338.79999999993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</row>
        <row r="677">
          <cell r="A677">
            <v>3</v>
          </cell>
          <cell r="B677" t="str">
            <v>Rangka Tiang Sirip Alumunium 1/1 Putih</v>
          </cell>
          <cell r="C677" t="str">
            <v>M'</v>
          </cell>
          <cell r="D677">
            <v>62474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2.6</v>
          </cell>
          <cell r="R677">
            <v>162432.4</v>
          </cell>
          <cell r="S677">
            <v>1.85</v>
          </cell>
          <cell r="T677">
            <v>0</v>
          </cell>
          <cell r="U677">
            <v>1.85</v>
          </cell>
          <cell r="V677">
            <v>115576.90000000001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>
            <v>4</v>
          </cell>
          <cell r="B678" t="str">
            <v>Pasang Shading Sirip Alumunium 0.2/10 +Rangka</v>
          </cell>
          <cell r="C678" t="str">
            <v>M2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0.26250000000000001</v>
          </cell>
          <cell r="R678">
            <v>0</v>
          </cell>
          <cell r="S678">
            <v>0.14499999999999999</v>
          </cell>
          <cell r="T678">
            <v>0</v>
          </cell>
          <cell r="U678">
            <v>0.14499999999999999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</row>
        <row r="679">
          <cell r="A679">
            <v>5</v>
          </cell>
          <cell r="B679" t="str">
            <v>Daun Pintu Panil Kamper</v>
          </cell>
          <cell r="C679" t="str">
            <v>bh</v>
          </cell>
          <cell r="D679">
            <v>550000</v>
          </cell>
          <cell r="E679">
            <v>0.19440000000000002</v>
          </cell>
          <cell r="F679">
            <v>106920.00000000001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1.2</v>
          </cell>
          <cell r="L679">
            <v>660000</v>
          </cell>
          <cell r="M679">
            <v>1.2</v>
          </cell>
          <cell r="N679">
            <v>660000</v>
          </cell>
          <cell r="O679">
            <v>0.16056000000000001</v>
          </cell>
          <cell r="P679">
            <v>88308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>
            <v>6</v>
          </cell>
          <cell r="B680" t="str">
            <v>Plat besi t = 2 mm</v>
          </cell>
          <cell r="C680" t="str">
            <v>Kg</v>
          </cell>
          <cell r="D680">
            <v>0</v>
          </cell>
          <cell r="E680">
            <v>0</v>
          </cell>
          <cell r="F680">
            <v>0</v>
          </cell>
          <cell r="G680">
            <v>57.085200000000007</v>
          </cell>
          <cell r="H680">
            <v>0</v>
          </cell>
          <cell r="I680">
            <v>57.085200000000007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</row>
        <row r="681">
          <cell r="A681">
            <v>7</v>
          </cell>
          <cell r="B681" t="str">
            <v>C 40.40.2  (pesan khusus)</v>
          </cell>
          <cell r="C681" t="str">
            <v>Kg</v>
          </cell>
          <cell r="D681">
            <v>14122.3</v>
          </cell>
          <cell r="E681">
            <v>0</v>
          </cell>
          <cell r="F681">
            <v>0</v>
          </cell>
          <cell r="G681">
            <v>42.56</v>
          </cell>
          <cell r="H681">
            <v>601045.08799999999</v>
          </cell>
          <cell r="I681">
            <v>42.56</v>
          </cell>
          <cell r="J681">
            <v>601045.08799999999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>
            <v>8</v>
          </cell>
          <cell r="B682" t="str">
            <v>Handle besi dia 16 mm</v>
          </cell>
          <cell r="C682" t="str">
            <v>Set</v>
          </cell>
          <cell r="D682">
            <v>129652.5</v>
          </cell>
          <cell r="E682">
            <v>0</v>
          </cell>
          <cell r="F682">
            <v>0</v>
          </cell>
          <cell r="G682">
            <v>1</v>
          </cell>
          <cell r="H682">
            <v>129652.5</v>
          </cell>
          <cell r="I682">
            <v>1</v>
          </cell>
          <cell r="J682">
            <v>129652.5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</row>
        <row r="683">
          <cell r="A683">
            <v>9</v>
          </cell>
          <cell r="B683" t="str">
            <v>Hendle pintu Stainless</v>
          </cell>
          <cell r="C683" t="str">
            <v>Set</v>
          </cell>
          <cell r="D683">
            <v>261652.5</v>
          </cell>
          <cell r="E683">
            <v>2</v>
          </cell>
          <cell r="F683">
            <v>523305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</row>
        <row r="684">
          <cell r="A684">
            <v>10</v>
          </cell>
          <cell r="B684" t="str">
            <v>Kunci Pintu Handle stainleess (dorma)</v>
          </cell>
          <cell r="C684" t="str">
            <v>Set</v>
          </cell>
          <cell r="D684">
            <v>650000</v>
          </cell>
          <cell r="E684">
            <v>2</v>
          </cell>
          <cell r="F684">
            <v>1300000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</row>
        <row r="685">
          <cell r="A685">
            <v>11</v>
          </cell>
          <cell r="B685" t="str">
            <v>Kunci tanam Antik</v>
          </cell>
          <cell r="C685" t="str">
            <v>Set</v>
          </cell>
          <cell r="D685">
            <v>265000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</row>
        <row r="686">
          <cell r="A686">
            <v>12</v>
          </cell>
          <cell r="B686" t="str">
            <v>Kunci tanam biasa</v>
          </cell>
          <cell r="C686" t="str">
            <v>Set</v>
          </cell>
          <cell r="D686">
            <v>168565</v>
          </cell>
          <cell r="E686">
            <v>2</v>
          </cell>
          <cell r="F686">
            <v>337130</v>
          </cell>
          <cell r="G686">
            <v>1</v>
          </cell>
          <cell r="H686">
            <v>168565</v>
          </cell>
          <cell r="I686">
            <v>1</v>
          </cell>
          <cell r="J686">
            <v>168565</v>
          </cell>
          <cell r="K686">
            <v>1</v>
          </cell>
          <cell r="L686">
            <v>168565</v>
          </cell>
          <cell r="M686">
            <v>1</v>
          </cell>
          <cell r="N686">
            <v>168565</v>
          </cell>
          <cell r="O686">
            <v>2</v>
          </cell>
          <cell r="P686">
            <v>337130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2</v>
          </cell>
          <cell r="X686">
            <v>0</v>
          </cell>
          <cell r="Y686">
            <v>0</v>
          </cell>
          <cell r="Z686">
            <v>0</v>
          </cell>
          <cell r="AA686">
            <v>2</v>
          </cell>
          <cell r="AB686">
            <v>337130</v>
          </cell>
        </row>
        <row r="687">
          <cell r="A687">
            <v>13</v>
          </cell>
          <cell r="B687" t="str">
            <v>Kunci Silinder</v>
          </cell>
          <cell r="C687" t="str">
            <v>Set</v>
          </cell>
          <cell r="D687">
            <v>217900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</row>
        <row r="688">
          <cell r="A688">
            <v>14</v>
          </cell>
          <cell r="B688" t="str">
            <v>Kunci Selot</v>
          </cell>
          <cell r="C688" t="str">
            <v>Set</v>
          </cell>
          <cell r="D688">
            <v>48300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1</v>
          </cell>
          <cell r="P688">
            <v>48300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</row>
        <row r="689">
          <cell r="A689">
            <v>15</v>
          </cell>
          <cell r="B689" t="str">
            <v>Engsel jendela</v>
          </cell>
          <cell r="C689" t="str">
            <v>Bh</v>
          </cell>
          <cell r="D689">
            <v>16600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6</v>
          </cell>
          <cell r="R689">
            <v>99600</v>
          </cell>
          <cell r="S689">
            <v>2</v>
          </cell>
          <cell r="T689">
            <v>33200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</row>
        <row r="690">
          <cell r="A690">
            <v>16</v>
          </cell>
          <cell r="B690" t="str">
            <v>Engsel pintu</v>
          </cell>
          <cell r="C690" t="str">
            <v>Bh</v>
          </cell>
          <cell r="D690">
            <v>44395.75</v>
          </cell>
          <cell r="E690">
            <v>4</v>
          </cell>
          <cell r="F690">
            <v>177583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3</v>
          </cell>
          <cell r="L690">
            <v>133187.25</v>
          </cell>
          <cell r="M690">
            <v>3</v>
          </cell>
          <cell r="N690">
            <v>133187.25</v>
          </cell>
          <cell r="O690">
            <v>4</v>
          </cell>
          <cell r="P690">
            <v>177583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</row>
        <row r="691">
          <cell r="A691">
            <v>17</v>
          </cell>
          <cell r="B691" t="str">
            <v>Engsel Pintu dari pipa besi dia 2 cm</v>
          </cell>
          <cell r="C691" t="str">
            <v>Bh</v>
          </cell>
          <cell r="D691">
            <v>66593.625</v>
          </cell>
          <cell r="E691">
            <v>0</v>
          </cell>
          <cell r="F691">
            <v>0</v>
          </cell>
          <cell r="G691">
            <v>2</v>
          </cell>
          <cell r="H691">
            <v>133187.25</v>
          </cell>
          <cell r="I691">
            <v>2</v>
          </cell>
          <cell r="J691">
            <v>133187.25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>
            <v>18</v>
          </cell>
          <cell r="B692" t="str">
            <v>Kait/hak angin</v>
          </cell>
          <cell r="C692" t="str">
            <v>Set</v>
          </cell>
          <cell r="D692">
            <v>27000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6</v>
          </cell>
          <cell r="R692">
            <v>162000</v>
          </cell>
          <cell r="S692">
            <v>2</v>
          </cell>
          <cell r="T692">
            <v>54000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</row>
        <row r="693">
          <cell r="A693">
            <v>19</v>
          </cell>
          <cell r="B693" t="str">
            <v>Grendel pintu kuningan</v>
          </cell>
          <cell r="C693" t="str">
            <v>Bh</v>
          </cell>
          <cell r="D693">
            <v>125000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</row>
        <row r="694">
          <cell r="A694">
            <v>20</v>
          </cell>
          <cell r="B694" t="str">
            <v xml:space="preserve">Grendel jendela </v>
          </cell>
          <cell r="C694" t="str">
            <v>Bh</v>
          </cell>
          <cell r="D694">
            <v>8100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</row>
        <row r="695">
          <cell r="A695">
            <v>21</v>
          </cell>
          <cell r="B695" t="str">
            <v>Grendel pintu</v>
          </cell>
          <cell r="C695" t="str">
            <v>Bh</v>
          </cell>
          <cell r="D695">
            <v>14200</v>
          </cell>
          <cell r="E695">
            <v>2</v>
          </cell>
          <cell r="F695">
            <v>28400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2</v>
          </cell>
          <cell r="P695">
            <v>28400</v>
          </cell>
          <cell r="Q695">
            <v>3</v>
          </cell>
          <cell r="R695">
            <v>42600</v>
          </cell>
          <cell r="S695">
            <v>1</v>
          </cell>
          <cell r="T695">
            <v>14200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</row>
        <row r="696">
          <cell r="A696">
            <v>22</v>
          </cell>
          <cell r="B696" t="str">
            <v>Stripting Knip</v>
          </cell>
          <cell r="C696" t="str">
            <v>Set</v>
          </cell>
          <cell r="D696">
            <v>13700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>
            <v>23</v>
          </cell>
          <cell r="B697" t="str">
            <v>Door Closer</v>
          </cell>
          <cell r="C697" t="str">
            <v>Set</v>
          </cell>
          <cell r="D697">
            <v>260800</v>
          </cell>
          <cell r="E697">
            <v>2</v>
          </cell>
          <cell r="F697">
            <v>521600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2</v>
          </cell>
          <cell r="P697">
            <v>521600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>
            <v>24</v>
          </cell>
          <cell r="B698" t="str">
            <v>Door Holder</v>
          </cell>
          <cell r="C698" t="str">
            <v>Set</v>
          </cell>
          <cell r="D698">
            <v>500000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>
            <v>25</v>
          </cell>
          <cell r="B699" t="str">
            <v>Door Stop</v>
          </cell>
          <cell r="C699" t="str">
            <v>Set</v>
          </cell>
          <cell r="D699">
            <v>32100</v>
          </cell>
          <cell r="E699">
            <v>2</v>
          </cell>
          <cell r="F699">
            <v>64200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</v>
          </cell>
          <cell r="P699">
            <v>64200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</row>
        <row r="700">
          <cell r="A700">
            <v>26</v>
          </cell>
          <cell r="B700" t="str">
            <v>Kaca bening 5 mm</v>
          </cell>
          <cell r="C700" t="str">
            <v>M2</v>
          </cell>
          <cell r="D700">
            <v>66700</v>
          </cell>
          <cell r="E700">
            <v>0.12719999999999998</v>
          </cell>
          <cell r="F700">
            <v>8484.239999999998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7.6799999999999993E-2</v>
          </cell>
          <cell r="P700">
            <v>5122.5599999999995</v>
          </cell>
          <cell r="Q700">
            <v>0.25919999999999999</v>
          </cell>
          <cell r="R700">
            <v>17288.64</v>
          </cell>
          <cell r="S700">
            <v>0.3276</v>
          </cell>
          <cell r="T700">
            <v>21850.920000000002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0.2</v>
          </cell>
          <cell r="Z700">
            <v>13340</v>
          </cell>
          <cell r="AA700">
            <v>0</v>
          </cell>
          <cell r="AB700">
            <v>0</v>
          </cell>
        </row>
        <row r="701">
          <cell r="A701">
            <v>27</v>
          </cell>
          <cell r="B701" t="str">
            <v>Kaca bening 10 mm</v>
          </cell>
          <cell r="C701" t="str">
            <v>M2</v>
          </cell>
          <cell r="D701">
            <v>280895.75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1.1235000000000002</v>
          </cell>
          <cell r="P701">
            <v>0</v>
          </cell>
          <cell r="Q701">
            <v>1.1235000000000002</v>
          </cell>
          <cell r="R701">
            <v>315586.37512500002</v>
          </cell>
          <cell r="S701">
            <v>162919.53499999997</v>
          </cell>
          <cell r="T701">
            <v>0</v>
          </cell>
          <cell r="U701">
            <v>0.57999999999999996</v>
          </cell>
          <cell r="V701">
            <v>162919.53499999997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</row>
        <row r="702">
          <cell r="A702">
            <v>28</v>
          </cell>
          <cell r="B702" t="str">
            <v>Kaca Bening 12 mm</v>
          </cell>
          <cell r="C702" t="str">
            <v>M2</v>
          </cell>
          <cell r="D702">
            <v>403787.64062499994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</row>
        <row r="703">
          <cell r="A703">
            <v>29</v>
          </cell>
          <cell r="B703" t="str">
            <v>Besi hollow 4/4</v>
          </cell>
          <cell r="C703" t="str">
            <v>M'</v>
          </cell>
          <cell r="D703">
            <v>48625.000000000051</v>
          </cell>
          <cell r="E703">
            <v>0</v>
          </cell>
          <cell r="F703">
            <v>0</v>
          </cell>
          <cell r="G703">
            <v>5.09</v>
          </cell>
          <cell r="H703">
            <v>247501.25000000026</v>
          </cell>
          <cell r="I703">
            <v>5.09</v>
          </cell>
          <cell r="J703">
            <v>247501.25000000026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</row>
        <row r="704">
          <cell r="A704">
            <v>30</v>
          </cell>
          <cell r="B704" t="str">
            <v>Besi hollow 6/6</v>
          </cell>
          <cell r="C704" t="str">
            <v>M'</v>
          </cell>
          <cell r="D704">
            <v>74462.500000000058</v>
          </cell>
          <cell r="E704">
            <v>0</v>
          </cell>
          <cell r="F704">
            <v>0</v>
          </cell>
          <cell r="G704">
            <v>5.09</v>
          </cell>
          <cell r="H704">
            <v>379014.12500000029</v>
          </cell>
          <cell r="I704">
            <v>5.09</v>
          </cell>
          <cell r="J704">
            <v>379014.12500000029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</row>
        <row r="705">
          <cell r="A705">
            <v>31</v>
          </cell>
          <cell r="B705" t="str">
            <v>Besi hollow 2.5/5</v>
          </cell>
          <cell r="C705" t="str">
            <v>Kg</v>
          </cell>
          <cell r="D705">
            <v>74462.500000000058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>
            <v>32</v>
          </cell>
          <cell r="B706" t="str">
            <v>Besi hollow 5/5</v>
          </cell>
          <cell r="C706" t="str">
            <v>Kg</v>
          </cell>
          <cell r="D706">
            <v>74462.500000000058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>
            <v>33</v>
          </cell>
          <cell r="B707" t="str">
            <v>Besi hollow 2/2</v>
          </cell>
          <cell r="C707" t="str">
            <v>Kg</v>
          </cell>
          <cell r="D707">
            <v>74462.500000000058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</row>
        <row r="708">
          <cell r="A708">
            <v>34</v>
          </cell>
          <cell r="B708" t="str">
            <v>Besi hollow 2/4</v>
          </cell>
          <cell r="C708" t="str">
            <v>Kg</v>
          </cell>
          <cell r="D708">
            <v>74462.500000000058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>
            <v>35</v>
          </cell>
          <cell r="B709" t="str">
            <v>Kaca Tempered 12 mm</v>
          </cell>
          <cell r="C709" t="str">
            <v>M2</v>
          </cell>
          <cell r="D709">
            <v>528395.75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>
            <v>36</v>
          </cell>
          <cell r="B710" t="str">
            <v>Glass Block</v>
          </cell>
          <cell r="C710" t="str">
            <v>Bh</v>
          </cell>
          <cell r="D710">
            <v>45000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</row>
        <row r="711">
          <cell r="A711">
            <v>37</v>
          </cell>
          <cell r="B711" t="str">
            <v>Kaca Es</v>
          </cell>
          <cell r="C711" t="str">
            <v>M2</v>
          </cell>
          <cell r="D711">
            <v>66700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0.24</v>
          </cell>
          <cell r="T711">
            <v>0</v>
          </cell>
          <cell r="U711">
            <v>0</v>
          </cell>
          <cell r="V711">
            <v>0</v>
          </cell>
          <cell r="W711">
            <v>0.24</v>
          </cell>
          <cell r="X711">
            <v>16008</v>
          </cell>
          <cell r="Y711">
            <v>0.24</v>
          </cell>
          <cell r="Z711">
            <v>16008</v>
          </cell>
          <cell r="AA711">
            <v>0</v>
          </cell>
          <cell r="AB711">
            <v>0</v>
          </cell>
        </row>
        <row r="712">
          <cell r="A712">
            <v>38</v>
          </cell>
          <cell r="B712" t="str">
            <v>Krepyak Kaca Nako + Kerangka</v>
          </cell>
          <cell r="C712" t="str">
            <v>M2</v>
          </cell>
          <cell r="D712">
            <v>81300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</row>
        <row r="713">
          <cell r="A713">
            <v>39</v>
          </cell>
          <cell r="B713" t="str">
            <v>Sticker Efek Kaca Es</v>
          </cell>
          <cell r="C713" t="str">
            <v>M2</v>
          </cell>
          <cell r="D713">
            <v>150000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</row>
        <row r="714">
          <cell r="A714">
            <v>40</v>
          </cell>
          <cell r="B714" t="str">
            <v>Rel Pintu Dorong</v>
          </cell>
          <cell r="C714" t="str">
            <v>M'</v>
          </cell>
          <cell r="D714">
            <v>275000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</row>
        <row r="715">
          <cell r="A715">
            <v>41</v>
          </cell>
          <cell r="B715" t="str">
            <v>Rolling Door</v>
          </cell>
          <cell r="C715" t="str">
            <v>M2</v>
          </cell>
          <cell r="D715">
            <v>358100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7.789600000000001</v>
          </cell>
          <cell r="AB715">
            <v>2789455.7600000002</v>
          </cell>
        </row>
        <row r="716">
          <cell r="A716">
            <v>42</v>
          </cell>
          <cell r="B716" t="str">
            <v>Roster</v>
          </cell>
          <cell r="C716" t="str">
            <v>M2</v>
          </cell>
          <cell r="D716">
            <v>133850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>
            <v>43</v>
          </cell>
          <cell r="B717" t="str">
            <v>Gipsum Board</v>
          </cell>
          <cell r="C717" t="str">
            <v>M2</v>
          </cell>
          <cell r="D717">
            <v>29000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</row>
        <row r="718">
          <cell r="A718">
            <v>44</v>
          </cell>
          <cell r="B718" t="str">
            <v>List Gipsum</v>
          </cell>
          <cell r="C718" t="str">
            <v>M'</v>
          </cell>
          <cell r="D718">
            <v>17300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>
            <v>45</v>
          </cell>
          <cell r="B719" t="str">
            <v>Sealent</v>
          </cell>
          <cell r="C719" t="str">
            <v>M'</v>
          </cell>
          <cell r="D719">
            <v>8400</v>
          </cell>
          <cell r="E719">
            <v>5.68</v>
          </cell>
          <cell r="F719">
            <v>47712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1.76</v>
          </cell>
          <cell r="P719">
            <v>14784</v>
          </cell>
          <cell r="Q719">
            <v>18.04</v>
          </cell>
          <cell r="R719">
            <v>151536</v>
          </cell>
          <cell r="S719">
            <v>5.08</v>
          </cell>
          <cell r="T719">
            <v>42672</v>
          </cell>
          <cell r="U719">
            <v>3.05</v>
          </cell>
          <cell r="V719">
            <v>25620</v>
          </cell>
          <cell r="W719">
            <v>6.4</v>
          </cell>
          <cell r="X719">
            <v>53760</v>
          </cell>
          <cell r="Y719">
            <v>6.4</v>
          </cell>
          <cell r="Z719">
            <v>53760</v>
          </cell>
          <cell r="AA719">
            <v>23.12</v>
          </cell>
          <cell r="AB719">
            <v>194208</v>
          </cell>
        </row>
        <row r="720">
          <cell r="A720">
            <v>46</v>
          </cell>
          <cell r="B720" t="str">
            <v>Benangan Kusen</v>
          </cell>
          <cell r="C720" t="str">
            <v>M'</v>
          </cell>
          <cell r="D720">
            <v>4296.0074999999997</v>
          </cell>
          <cell r="E720">
            <v>11.76</v>
          </cell>
          <cell r="F720">
            <v>50521.048199999997</v>
          </cell>
          <cell r="G720">
            <v>5.5990000000000002</v>
          </cell>
          <cell r="H720">
            <v>24053.345992499999</v>
          </cell>
          <cell r="I720">
            <v>5.5990000000000002</v>
          </cell>
          <cell r="J720">
            <v>24053.345992499999</v>
          </cell>
          <cell r="K720">
            <v>5.7839999999999998</v>
          </cell>
          <cell r="L720">
            <v>24848.107379999998</v>
          </cell>
          <cell r="M720">
            <v>5.7839999999999998</v>
          </cell>
          <cell r="N720">
            <v>24848.107379999998</v>
          </cell>
          <cell r="O720">
            <v>0</v>
          </cell>
          <cell r="P720">
            <v>0</v>
          </cell>
          <cell r="Q720">
            <v>13.6</v>
          </cell>
          <cell r="R720">
            <v>58425.701999999997</v>
          </cell>
          <cell r="S720">
            <v>6.9999999999999991</v>
          </cell>
          <cell r="T720">
            <v>30072.052499999994</v>
          </cell>
          <cell r="U720">
            <v>8.5</v>
          </cell>
          <cell r="V720">
            <v>36516.063750000001</v>
          </cell>
          <cell r="W720">
            <v>4</v>
          </cell>
          <cell r="X720">
            <v>17184.03</v>
          </cell>
          <cell r="Y720">
            <v>4</v>
          </cell>
          <cell r="Z720">
            <v>17184.03</v>
          </cell>
          <cell r="AA720">
            <v>0</v>
          </cell>
          <cell r="AB720">
            <v>0</v>
          </cell>
        </row>
        <row r="721">
          <cell r="A721">
            <v>47</v>
          </cell>
          <cell r="B721" t="str">
            <v xml:space="preserve">Cat Kayu </v>
          </cell>
          <cell r="C721" t="str">
            <v>M2</v>
          </cell>
          <cell r="D721">
            <v>19370.5</v>
          </cell>
          <cell r="E721">
            <v>6.6879999999999997</v>
          </cell>
          <cell r="F721">
            <v>129549.90399999999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4.0991999999999997</v>
          </cell>
          <cell r="L721">
            <v>79403.553599999999</v>
          </cell>
          <cell r="M721">
            <v>4.0991999999999997</v>
          </cell>
          <cell r="N721">
            <v>79403.553599999999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</row>
        <row r="722">
          <cell r="A722">
            <v>48</v>
          </cell>
          <cell r="B722" t="str">
            <v>Cat Besi</v>
          </cell>
          <cell r="C722" t="str">
            <v>M2</v>
          </cell>
          <cell r="D722">
            <v>13698</v>
          </cell>
          <cell r="E722">
            <v>0</v>
          </cell>
          <cell r="F722">
            <v>0</v>
          </cell>
          <cell r="G722">
            <v>5.6445590696960588</v>
          </cell>
          <cell r="H722">
            <v>77319.170136696615</v>
          </cell>
          <cell r="I722">
            <v>5.6445590696960588</v>
          </cell>
          <cell r="J722">
            <v>77319.170136696615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</row>
        <row r="723">
          <cell r="A723">
            <v>49</v>
          </cell>
          <cell r="B723" t="str">
            <v>Cat Dinding</v>
          </cell>
          <cell r="C723" t="str">
            <v>M2</v>
          </cell>
          <cell r="D723">
            <v>9900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</row>
        <row r="724">
          <cell r="A724">
            <v>50</v>
          </cell>
          <cell r="B724" t="str">
            <v>Rel Jendela Geser</v>
          </cell>
          <cell r="C724" t="str">
            <v>M'</v>
          </cell>
          <cell r="D724">
            <v>275000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</row>
        <row r="725">
          <cell r="AB725">
            <v>0</v>
          </cell>
        </row>
        <row r="726">
          <cell r="B726" t="str">
            <v>Jumlah Harga</v>
          </cell>
          <cell r="C726">
            <v>3295405.1922000004</v>
          </cell>
          <cell r="D726">
            <v>1760337.7291291971</v>
          </cell>
          <cell r="E726">
            <v>1760337.7291291971</v>
          </cell>
          <cell r="F726">
            <v>3295405.1922000004</v>
          </cell>
          <cell r="G726">
            <v>1690743.9109799999</v>
          </cell>
          <cell r="H726">
            <v>1760337.7291291971</v>
          </cell>
          <cell r="I726">
            <v>1884105.1171249999</v>
          </cell>
          <cell r="J726">
            <v>1760337.7291291971</v>
          </cell>
          <cell r="K726">
            <v>340632.49875000003</v>
          </cell>
          <cell r="L726">
            <v>1690743.9109799999</v>
          </cell>
          <cell r="M726">
            <v>100292.03</v>
          </cell>
          <cell r="N726">
            <v>1690743.9109799999</v>
          </cell>
          <cell r="O726">
            <v>0</v>
          </cell>
          <cell r="P726">
            <v>2060105.16</v>
          </cell>
          <cell r="Q726">
            <v>0</v>
          </cell>
          <cell r="R726">
            <v>1884105.1171249999</v>
          </cell>
          <cell r="S726">
            <v>0</v>
          </cell>
          <cell r="T726">
            <v>583333.77249999996</v>
          </cell>
          <cell r="U726">
            <v>0</v>
          </cell>
          <cell r="V726">
            <v>340632.49875000003</v>
          </cell>
          <cell r="W726">
            <v>0</v>
          </cell>
          <cell r="X726">
            <v>86952.03</v>
          </cell>
          <cell r="Y726">
            <v>0</v>
          </cell>
          <cell r="Z726">
            <v>100292.03</v>
          </cell>
          <cell r="AA726">
            <v>0</v>
          </cell>
          <cell r="AB726">
            <v>3320793.7600000002</v>
          </cell>
        </row>
        <row r="728">
          <cell r="Z728">
            <v>100292.03</v>
          </cell>
        </row>
        <row r="729">
          <cell r="AB729">
            <v>3320793.7600000002</v>
          </cell>
        </row>
        <row r="730">
          <cell r="A730" t="str">
            <v>No.</v>
          </cell>
          <cell r="B730" t="str">
            <v>Item Pekerjaan</v>
          </cell>
          <cell r="C730" t="str">
            <v>Satuan</v>
          </cell>
          <cell r="D730" t="str">
            <v>Harga Satuan</v>
          </cell>
          <cell r="E730" t="str">
            <v>P1</v>
          </cell>
          <cell r="F730" t="str">
            <v>P2</v>
          </cell>
          <cell r="G730" t="str">
            <v>P2</v>
          </cell>
          <cell r="H730" t="str">
            <v>P3</v>
          </cell>
          <cell r="I730" t="str">
            <v>P2'</v>
          </cell>
          <cell r="J730" t="str">
            <v>J1</v>
          </cell>
          <cell r="K730" t="str">
            <v>P3</v>
          </cell>
          <cell r="L730">
            <v>0</v>
          </cell>
          <cell r="M730" t="str">
            <v>P3'</v>
          </cell>
          <cell r="N730">
            <v>0</v>
          </cell>
          <cell r="O730" t="str">
            <v>J1</v>
          </cell>
          <cell r="P730">
            <v>0</v>
          </cell>
          <cell r="Q730" t="str">
            <v>BV1</v>
          </cell>
        </row>
        <row r="731">
          <cell r="D731" t="str">
            <v>Rp.</v>
          </cell>
          <cell r="E731" t="str">
            <v>Vol.</v>
          </cell>
          <cell r="F731" t="str">
            <v>Jumlah Harga</v>
          </cell>
          <cell r="G731" t="str">
            <v>Vol.</v>
          </cell>
          <cell r="H731" t="str">
            <v>Jumlah Harga</v>
          </cell>
          <cell r="I731" t="str">
            <v>Vol.</v>
          </cell>
          <cell r="J731" t="str">
            <v>Jumlah Harga</v>
          </cell>
          <cell r="K731" t="str">
            <v>Vol.</v>
          </cell>
          <cell r="L731" t="str">
            <v>Jumlah Harga</v>
          </cell>
          <cell r="M731" t="str">
            <v>Vol.</v>
          </cell>
          <cell r="N731" t="str">
            <v>Jumlah Harga</v>
          </cell>
          <cell r="O731" t="str">
            <v>Vol.</v>
          </cell>
          <cell r="P731" t="str">
            <v>Jumlah Harga</v>
          </cell>
          <cell r="Q731" t="str">
            <v>Vol.</v>
          </cell>
          <cell r="R731" t="str">
            <v>Jumlah Harga</v>
          </cell>
        </row>
        <row r="732">
          <cell r="A732" t="str">
            <v>X.</v>
          </cell>
          <cell r="B732" t="str">
            <v>UNIT LAP. TENIS (OUT DOOR)</v>
          </cell>
          <cell r="D732" t="str">
            <v>Rp.</v>
          </cell>
          <cell r="E732" t="str">
            <v>Vol.</v>
          </cell>
          <cell r="F732" t="str">
            <v>Jumlah Harga</v>
          </cell>
          <cell r="G732" t="str">
            <v>Vol.</v>
          </cell>
          <cell r="H732" t="str">
            <v>Jumlah Harga</v>
          </cell>
          <cell r="I732" t="str">
            <v>Vol.</v>
          </cell>
          <cell r="J732" t="str">
            <v>Jumlah Harga</v>
          </cell>
          <cell r="K732" t="str">
            <v>Vol.</v>
          </cell>
          <cell r="L732" t="str">
            <v>Jumlah Harga</v>
          </cell>
          <cell r="M732" t="str">
            <v>Vol.</v>
          </cell>
          <cell r="N732" t="str">
            <v>Jumlah Harga</v>
          </cell>
          <cell r="O732" t="str">
            <v>Vol.</v>
          </cell>
          <cell r="P732" t="str">
            <v>Jumlah Harga</v>
          </cell>
          <cell r="Q732" t="str">
            <v>Vol.</v>
          </cell>
          <cell r="R732" t="str">
            <v>Jumlah Harga</v>
          </cell>
        </row>
        <row r="733">
          <cell r="A733" t="str">
            <v>X.</v>
          </cell>
          <cell r="B733" t="str">
            <v>UNIT LAP. TENIS (OUT DOOR)</v>
          </cell>
        </row>
        <row r="734">
          <cell r="A734">
            <v>1</v>
          </cell>
          <cell r="B734" t="str">
            <v>Kayu 6/12</v>
          </cell>
          <cell r="C734" t="str">
            <v>M3</v>
          </cell>
          <cell r="D734">
            <v>0</v>
          </cell>
          <cell r="E734">
            <v>2.3120000000000002E-2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3.6144000000000003E-2</v>
          </cell>
          <cell r="L734">
            <v>0</v>
          </cell>
          <cell r="M734">
            <v>3.6144000000000003E-2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>
            <v>2</v>
          </cell>
          <cell r="B735" t="str">
            <v>Kayu Slimar 3/10</v>
          </cell>
          <cell r="C735" t="str">
            <v>M3</v>
          </cell>
          <cell r="D735">
            <v>0</v>
          </cell>
          <cell r="E735">
            <v>6.4000000000000012E-3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1.4159999999999999E-2</v>
          </cell>
          <cell r="L735">
            <v>0</v>
          </cell>
          <cell r="M735">
            <v>1.4159999999999999E-2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A736">
            <v>3</v>
          </cell>
          <cell r="B736" t="str">
            <v>Kayu Slimar 3/15</v>
          </cell>
          <cell r="C736" t="str">
            <v>M3</v>
          </cell>
          <cell r="D736">
            <v>0</v>
          </cell>
          <cell r="E736">
            <v>14.399999999999999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2.6999999999999997E-3</v>
          </cell>
          <cell r="L736">
            <v>0</v>
          </cell>
          <cell r="M736">
            <v>2.6999999999999997E-3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</row>
        <row r="737">
          <cell r="A737">
            <v>4</v>
          </cell>
          <cell r="B737" t="str">
            <v>Kayu Slimar 3/20</v>
          </cell>
          <cell r="C737" t="str">
            <v>M3</v>
          </cell>
          <cell r="D737">
            <v>0</v>
          </cell>
          <cell r="E737">
            <v>6.6879999999999997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3.5999999999999999E-3</v>
          </cell>
          <cell r="L737">
            <v>0</v>
          </cell>
          <cell r="M737">
            <v>3.5999999999999999E-3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</row>
        <row r="738">
          <cell r="A738">
            <v>5</v>
          </cell>
          <cell r="B738" t="str">
            <v>Kayu 2/10</v>
          </cell>
          <cell r="C738" t="str">
            <v>M3</v>
          </cell>
          <cell r="D738">
            <v>0</v>
          </cell>
          <cell r="E738">
            <v>6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5.4000000000000012E-3</v>
          </cell>
          <cell r="L738">
            <v>0</v>
          </cell>
          <cell r="M738">
            <v>5.4000000000000012E-3</v>
          </cell>
          <cell r="N738">
            <v>0</v>
          </cell>
          <cell r="O738">
            <v>10.25</v>
          </cell>
          <cell r="P738">
            <v>0</v>
          </cell>
          <cell r="Q738">
            <v>2</v>
          </cell>
          <cell r="R738">
            <v>0</v>
          </cell>
        </row>
        <row r="739">
          <cell r="A739">
            <v>6</v>
          </cell>
          <cell r="B739" t="str">
            <v>Panil t = 3 cm</v>
          </cell>
          <cell r="C739" t="str">
            <v>M2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0.49500000000000005</v>
          </cell>
          <cell r="L739">
            <v>0</v>
          </cell>
          <cell r="M739">
            <v>0.49500000000000005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</row>
        <row r="740">
          <cell r="A740">
            <v>1</v>
          </cell>
          <cell r="B740" t="str">
            <v>Kusen Aluminium 5/10</v>
          </cell>
          <cell r="C740" t="str">
            <v>M'</v>
          </cell>
          <cell r="D740">
            <v>124948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5</v>
          </cell>
          <cell r="L740">
            <v>624740</v>
          </cell>
          <cell r="M740">
            <v>5</v>
          </cell>
          <cell r="N740">
            <v>624740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>
            <v>2</v>
          </cell>
          <cell r="B741" t="str">
            <v xml:space="preserve">Rangka Daun Jendela Alumunium </v>
          </cell>
          <cell r="C741" t="str">
            <v>M'</v>
          </cell>
          <cell r="D741">
            <v>124948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7</v>
          </cell>
          <cell r="P741">
            <v>874636</v>
          </cell>
          <cell r="Q741">
            <v>0</v>
          </cell>
          <cell r="R741">
            <v>0</v>
          </cell>
        </row>
        <row r="742">
          <cell r="A742">
            <v>3</v>
          </cell>
          <cell r="B742" t="str">
            <v>Rangka Tiang Sirip Alumunium 1/1 Putih</v>
          </cell>
          <cell r="C742" t="str">
            <v>M'</v>
          </cell>
          <cell r="D742">
            <v>62474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2.6</v>
          </cell>
          <cell r="P742">
            <v>162432.4</v>
          </cell>
          <cell r="Q742">
            <v>0</v>
          </cell>
          <cell r="R742">
            <v>0</v>
          </cell>
        </row>
        <row r="743">
          <cell r="A743">
            <v>4</v>
          </cell>
          <cell r="B743" t="str">
            <v>Pasang Shading Sirip Alumunium 0.2/10 +Rangka</v>
          </cell>
          <cell r="C743" t="str">
            <v>M2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0.26250000000000001</v>
          </cell>
          <cell r="P743">
            <v>0</v>
          </cell>
          <cell r="Q743">
            <v>0</v>
          </cell>
          <cell r="R743">
            <v>0</v>
          </cell>
        </row>
        <row r="744">
          <cell r="A744">
            <v>5</v>
          </cell>
          <cell r="B744" t="str">
            <v>Daun Pintu Panil Kamper</v>
          </cell>
          <cell r="C744" t="str">
            <v>bh</v>
          </cell>
          <cell r="D744">
            <v>550000</v>
          </cell>
          <cell r="E744">
            <v>0.19440000000000002</v>
          </cell>
          <cell r="F744">
            <v>106920.00000000001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1.2</v>
          </cell>
          <cell r="L744">
            <v>660000</v>
          </cell>
          <cell r="M744">
            <v>1.2</v>
          </cell>
          <cell r="N744">
            <v>660000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A745">
            <v>6</v>
          </cell>
          <cell r="B745" t="str">
            <v>Plat besi t = 2 mm</v>
          </cell>
          <cell r="C745" t="str">
            <v>Kg</v>
          </cell>
          <cell r="D745">
            <v>0</v>
          </cell>
          <cell r="E745">
            <v>0</v>
          </cell>
          <cell r="F745">
            <v>0</v>
          </cell>
          <cell r="G745">
            <v>57.085200000000007</v>
          </cell>
          <cell r="H745">
            <v>0</v>
          </cell>
          <cell r="I745">
            <v>57.085200000000007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</row>
        <row r="746">
          <cell r="A746">
            <v>7</v>
          </cell>
          <cell r="B746" t="str">
            <v>C 40.40.2  (pesan khusus)</v>
          </cell>
          <cell r="C746" t="str">
            <v>Kg</v>
          </cell>
          <cell r="D746">
            <v>14122.3</v>
          </cell>
          <cell r="E746">
            <v>0</v>
          </cell>
          <cell r="F746">
            <v>0</v>
          </cell>
          <cell r="G746">
            <v>42.56</v>
          </cell>
          <cell r="H746">
            <v>601045.08799999999</v>
          </cell>
          <cell r="I746">
            <v>42.56</v>
          </cell>
          <cell r="J746">
            <v>601045.08799999999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</row>
        <row r="747">
          <cell r="A747">
            <v>8</v>
          </cell>
          <cell r="B747" t="str">
            <v>Handle besi dia 16 mm</v>
          </cell>
          <cell r="C747" t="str">
            <v>Set</v>
          </cell>
          <cell r="D747">
            <v>129652.5</v>
          </cell>
          <cell r="E747">
            <v>0</v>
          </cell>
          <cell r="F747">
            <v>0</v>
          </cell>
          <cell r="G747">
            <v>1</v>
          </cell>
          <cell r="H747">
            <v>129652.5</v>
          </cell>
          <cell r="I747">
            <v>1</v>
          </cell>
          <cell r="J747">
            <v>129652.5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A748">
            <v>9</v>
          </cell>
          <cell r="B748" t="str">
            <v>Hendle pintu Stainless</v>
          </cell>
          <cell r="C748" t="str">
            <v>Set</v>
          </cell>
          <cell r="D748">
            <v>261652.5</v>
          </cell>
          <cell r="E748">
            <v>2</v>
          </cell>
          <cell r="F748">
            <v>523305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A749">
            <v>10</v>
          </cell>
          <cell r="B749" t="str">
            <v>Kunci Pintu Handle stainleess (dorma)</v>
          </cell>
          <cell r="C749" t="str">
            <v>Set</v>
          </cell>
          <cell r="D749">
            <v>650000</v>
          </cell>
          <cell r="E749">
            <v>2</v>
          </cell>
          <cell r="F749">
            <v>1300000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>
            <v>11</v>
          </cell>
          <cell r="B750" t="str">
            <v>Kunci tanam Antik</v>
          </cell>
          <cell r="C750" t="str">
            <v>Set</v>
          </cell>
          <cell r="D750">
            <v>265000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>
            <v>12</v>
          </cell>
          <cell r="B751" t="str">
            <v>Kunci tanam biasa</v>
          </cell>
          <cell r="C751" t="str">
            <v>Set</v>
          </cell>
          <cell r="D751">
            <v>168565</v>
          </cell>
          <cell r="E751">
            <v>2</v>
          </cell>
          <cell r="F751">
            <v>337130</v>
          </cell>
          <cell r="G751">
            <v>1</v>
          </cell>
          <cell r="H751">
            <v>168565</v>
          </cell>
          <cell r="I751">
            <v>1</v>
          </cell>
          <cell r="J751">
            <v>168565</v>
          </cell>
          <cell r="K751">
            <v>1</v>
          </cell>
          <cell r="L751">
            <v>168565</v>
          </cell>
          <cell r="M751">
            <v>1</v>
          </cell>
          <cell r="N751">
            <v>168565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A752">
            <v>13</v>
          </cell>
          <cell r="B752" t="str">
            <v>Kunci Silinder</v>
          </cell>
          <cell r="C752" t="str">
            <v>Set</v>
          </cell>
          <cell r="D752">
            <v>217900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A753">
            <v>14</v>
          </cell>
          <cell r="B753" t="str">
            <v>Kunci Selot</v>
          </cell>
          <cell r="C753" t="str">
            <v>Set</v>
          </cell>
          <cell r="D753">
            <v>48300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A754">
            <v>15</v>
          </cell>
          <cell r="B754" t="str">
            <v>Engsel jendela</v>
          </cell>
          <cell r="C754" t="str">
            <v>Bh</v>
          </cell>
          <cell r="D754">
            <v>16600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6</v>
          </cell>
          <cell r="P754">
            <v>99600</v>
          </cell>
          <cell r="Q754">
            <v>0</v>
          </cell>
          <cell r="R754">
            <v>0</v>
          </cell>
        </row>
        <row r="755">
          <cell r="A755">
            <v>16</v>
          </cell>
          <cell r="B755" t="str">
            <v>Engsel pintu</v>
          </cell>
          <cell r="C755" t="str">
            <v>Bh</v>
          </cell>
          <cell r="D755">
            <v>44395.75</v>
          </cell>
          <cell r="E755">
            <v>4</v>
          </cell>
          <cell r="F755">
            <v>177583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3</v>
          </cell>
          <cell r="L755">
            <v>133187.25</v>
          </cell>
          <cell r="M755">
            <v>3</v>
          </cell>
          <cell r="N755">
            <v>133187.25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A756">
            <v>17</v>
          </cell>
          <cell r="B756" t="str">
            <v>Engsel Pintu dari pipa besi dia 2 cm</v>
          </cell>
          <cell r="C756" t="str">
            <v>Bh</v>
          </cell>
          <cell r="D756">
            <v>66593.625</v>
          </cell>
          <cell r="E756">
            <v>0</v>
          </cell>
          <cell r="F756">
            <v>0</v>
          </cell>
          <cell r="G756">
            <v>2</v>
          </cell>
          <cell r="H756">
            <v>133187.25</v>
          </cell>
          <cell r="I756">
            <v>2</v>
          </cell>
          <cell r="J756">
            <v>133187.25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A757">
            <v>18</v>
          </cell>
          <cell r="B757" t="str">
            <v>Kait/hak angin</v>
          </cell>
          <cell r="C757" t="str">
            <v>Set</v>
          </cell>
          <cell r="D757">
            <v>27000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6</v>
          </cell>
          <cell r="P757">
            <v>162000</v>
          </cell>
          <cell r="Q757">
            <v>0</v>
          </cell>
          <cell r="R757">
            <v>0</v>
          </cell>
        </row>
        <row r="758">
          <cell r="A758">
            <v>19</v>
          </cell>
          <cell r="B758" t="str">
            <v>Grendel pintu kuningan</v>
          </cell>
          <cell r="C758" t="str">
            <v>Bh</v>
          </cell>
          <cell r="D758">
            <v>125000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>
            <v>20</v>
          </cell>
          <cell r="B759" t="str">
            <v xml:space="preserve">Grendel jendela </v>
          </cell>
          <cell r="C759" t="str">
            <v>Bh</v>
          </cell>
          <cell r="D759">
            <v>8100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>
            <v>21</v>
          </cell>
          <cell r="B760" t="str">
            <v>Grendel pintu</v>
          </cell>
          <cell r="C760" t="str">
            <v>Bh</v>
          </cell>
          <cell r="D760">
            <v>14200</v>
          </cell>
          <cell r="E760">
            <v>2</v>
          </cell>
          <cell r="F760">
            <v>28400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3</v>
          </cell>
          <cell r="P760">
            <v>42600</v>
          </cell>
          <cell r="Q760">
            <v>0</v>
          </cell>
          <cell r="R760">
            <v>0</v>
          </cell>
        </row>
        <row r="761">
          <cell r="A761">
            <v>22</v>
          </cell>
          <cell r="B761" t="str">
            <v>Stripting Knip</v>
          </cell>
          <cell r="C761" t="str">
            <v>Set</v>
          </cell>
          <cell r="D761">
            <v>13700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A762">
            <v>23</v>
          </cell>
          <cell r="B762" t="str">
            <v>Door Closer</v>
          </cell>
          <cell r="C762" t="str">
            <v>Set</v>
          </cell>
          <cell r="D762">
            <v>260800</v>
          </cell>
          <cell r="E762">
            <v>2</v>
          </cell>
          <cell r="F762">
            <v>521600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A763">
            <v>24</v>
          </cell>
          <cell r="B763" t="str">
            <v>Door Holder</v>
          </cell>
          <cell r="C763" t="str">
            <v>Set</v>
          </cell>
          <cell r="D763">
            <v>500000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</row>
        <row r="764">
          <cell r="A764">
            <v>25</v>
          </cell>
          <cell r="B764" t="str">
            <v>Door Stop</v>
          </cell>
          <cell r="C764" t="str">
            <v>Set</v>
          </cell>
          <cell r="D764">
            <v>32100</v>
          </cell>
          <cell r="E764">
            <v>2</v>
          </cell>
          <cell r="F764">
            <v>64200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A765">
            <v>26</v>
          </cell>
          <cell r="B765" t="str">
            <v>Kaca bening 5 mm</v>
          </cell>
          <cell r="C765" t="str">
            <v>M2</v>
          </cell>
          <cell r="D765">
            <v>66700</v>
          </cell>
          <cell r="E765">
            <v>0.12719999999999998</v>
          </cell>
          <cell r="F765">
            <v>8484.239999999998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0.25919999999999999</v>
          </cell>
          <cell r="P765">
            <v>17288.64</v>
          </cell>
          <cell r="Q765">
            <v>0</v>
          </cell>
          <cell r="R765">
            <v>0</v>
          </cell>
        </row>
        <row r="766">
          <cell r="A766">
            <v>27</v>
          </cell>
          <cell r="B766" t="str">
            <v>Kaca bening 10 mm</v>
          </cell>
          <cell r="C766" t="str">
            <v>M2</v>
          </cell>
          <cell r="D766">
            <v>280895.75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1.1235000000000002</v>
          </cell>
          <cell r="P766">
            <v>315586.37512500002</v>
          </cell>
          <cell r="Q766">
            <v>0</v>
          </cell>
          <cell r="R766">
            <v>0</v>
          </cell>
        </row>
        <row r="767">
          <cell r="A767">
            <v>28</v>
          </cell>
          <cell r="B767" t="str">
            <v>Kaca Bening 12 mm</v>
          </cell>
          <cell r="C767" t="str">
            <v>M2</v>
          </cell>
          <cell r="D767">
            <v>403787.64062499994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A768">
            <v>29</v>
          </cell>
          <cell r="B768" t="str">
            <v>Besi hollow 4/4</v>
          </cell>
          <cell r="C768" t="str">
            <v>M'</v>
          </cell>
          <cell r="D768">
            <v>48625.000000000051</v>
          </cell>
          <cell r="E768">
            <v>0</v>
          </cell>
          <cell r="F768">
            <v>0</v>
          </cell>
          <cell r="G768">
            <v>5.09</v>
          </cell>
          <cell r="H768">
            <v>247501.25000000026</v>
          </cell>
          <cell r="I768">
            <v>5.09</v>
          </cell>
          <cell r="J768">
            <v>247501.25000000026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A769">
            <v>30</v>
          </cell>
          <cell r="B769" t="str">
            <v>Besi hollow 6/6</v>
          </cell>
          <cell r="C769" t="str">
            <v>M'</v>
          </cell>
          <cell r="D769">
            <v>74462.500000000058</v>
          </cell>
          <cell r="E769">
            <v>0</v>
          </cell>
          <cell r="F769">
            <v>0</v>
          </cell>
          <cell r="G769">
            <v>5.09</v>
          </cell>
          <cell r="H769">
            <v>379014.12500000029</v>
          </cell>
          <cell r="I769">
            <v>5.09</v>
          </cell>
          <cell r="J769">
            <v>379014.12500000029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A770">
            <v>31</v>
          </cell>
          <cell r="B770" t="str">
            <v>Besi hollow 2.5/5</v>
          </cell>
          <cell r="C770" t="str">
            <v>Kg</v>
          </cell>
          <cell r="D770">
            <v>74462.500000000058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A771">
            <v>32</v>
          </cell>
          <cell r="B771" t="str">
            <v>Besi hollow 5/5</v>
          </cell>
          <cell r="C771" t="str">
            <v>Kg</v>
          </cell>
          <cell r="D771">
            <v>74462.500000000058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A772">
            <v>33</v>
          </cell>
          <cell r="B772" t="str">
            <v>Besi hollow 2/2</v>
          </cell>
          <cell r="C772" t="str">
            <v>Kg</v>
          </cell>
          <cell r="D772">
            <v>74462.500000000058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A773">
            <v>34</v>
          </cell>
          <cell r="B773" t="str">
            <v>Besi hollow 2/4</v>
          </cell>
          <cell r="C773" t="str">
            <v>Kg</v>
          </cell>
          <cell r="D773">
            <v>74462.500000000058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</row>
        <row r="774">
          <cell r="A774">
            <v>35</v>
          </cell>
          <cell r="B774" t="str">
            <v>Kaca Tempered 12 mm</v>
          </cell>
          <cell r="C774" t="str">
            <v>M2</v>
          </cell>
          <cell r="D774">
            <v>528395.75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A775">
            <v>36</v>
          </cell>
          <cell r="B775" t="str">
            <v>Glass Block</v>
          </cell>
          <cell r="C775" t="str">
            <v>Bh</v>
          </cell>
          <cell r="D775">
            <v>45000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A776">
            <v>37</v>
          </cell>
          <cell r="B776" t="str">
            <v>Kaca Es</v>
          </cell>
          <cell r="C776" t="str">
            <v>M2</v>
          </cell>
          <cell r="D776">
            <v>66700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0.24</v>
          </cell>
          <cell r="R776">
            <v>16008</v>
          </cell>
        </row>
        <row r="777">
          <cell r="A777">
            <v>38</v>
          </cell>
          <cell r="B777" t="str">
            <v>Krepyak Kaca Nako + Kerangka</v>
          </cell>
          <cell r="C777" t="str">
            <v>M2</v>
          </cell>
          <cell r="D777">
            <v>81300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</row>
        <row r="778">
          <cell r="A778">
            <v>39</v>
          </cell>
          <cell r="B778" t="str">
            <v>Sticker Efek Kaca Es</v>
          </cell>
          <cell r="C778" t="str">
            <v>M2</v>
          </cell>
          <cell r="D778">
            <v>150000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A779">
            <v>40</v>
          </cell>
          <cell r="B779" t="str">
            <v>Rel Pintu Dorong</v>
          </cell>
          <cell r="C779" t="str">
            <v>M'</v>
          </cell>
          <cell r="D779">
            <v>275000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A780">
            <v>41</v>
          </cell>
          <cell r="B780" t="str">
            <v>Rolling Door</v>
          </cell>
          <cell r="C780" t="str">
            <v>M2</v>
          </cell>
          <cell r="D780">
            <v>358100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>
            <v>42</v>
          </cell>
          <cell r="B781" t="str">
            <v>Roster</v>
          </cell>
          <cell r="C781" t="str">
            <v>M2</v>
          </cell>
          <cell r="D781">
            <v>133850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</row>
        <row r="782">
          <cell r="A782">
            <v>43</v>
          </cell>
          <cell r="B782" t="str">
            <v>Gipsum Board</v>
          </cell>
          <cell r="C782" t="str">
            <v>M2</v>
          </cell>
          <cell r="D782">
            <v>29000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A783">
            <v>44</v>
          </cell>
          <cell r="B783" t="str">
            <v>List Gipsum</v>
          </cell>
          <cell r="C783" t="str">
            <v>M'</v>
          </cell>
          <cell r="D783">
            <v>17300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A784">
            <v>45</v>
          </cell>
          <cell r="B784" t="str">
            <v>Sealent</v>
          </cell>
          <cell r="C784" t="str">
            <v>M'</v>
          </cell>
          <cell r="D784">
            <v>8400</v>
          </cell>
          <cell r="E784">
            <v>5.68</v>
          </cell>
          <cell r="F784">
            <v>47712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18.04</v>
          </cell>
          <cell r="P784">
            <v>151536</v>
          </cell>
          <cell r="Q784">
            <v>6.4</v>
          </cell>
          <cell r="R784">
            <v>53760</v>
          </cell>
        </row>
        <row r="785">
          <cell r="A785">
            <v>46</v>
          </cell>
          <cell r="B785" t="str">
            <v>Benangan Kusen</v>
          </cell>
          <cell r="C785" t="str">
            <v>M'</v>
          </cell>
          <cell r="D785">
            <v>4296.0074999999997</v>
          </cell>
          <cell r="E785">
            <v>11.76</v>
          </cell>
          <cell r="F785">
            <v>50521.048199999997</v>
          </cell>
          <cell r="G785">
            <v>5.5990000000000002</v>
          </cell>
          <cell r="H785">
            <v>24053.345992499999</v>
          </cell>
          <cell r="I785">
            <v>5.5990000000000002</v>
          </cell>
          <cell r="J785">
            <v>24053.345992499999</v>
          </cell>
          <cell r="K785">
            <v>5.7839999999999998</v>
          </cell>
          <cell r="L785">
            <v>24848.107379999998</v>
          </cell>
          <cell r="M785">
            <v>5.7839999999999998</v>
          </cell>
          <cell r="N785">
            <v>24848.107379999998</v>
          </cell>
          <cell r="O785">
            <v>13.6</v>
          </cell>
          <cell r="P785">
            <v>58425.701999999997</v>
          </cell>
          <cell r="Q785">
            <v>4</v>
          </cell>
          <cell r="R785">
            <v>17184.03</v>
          </cell>
        </row>
        <row r="786">
          <cell r="A786">
            <v>47</v>
          </cell>
          <cell r="B786" t="str">
            <v xml:space="preserve">Cat Kayu </v>
          </cell>
          <cell r="C786" t="str">
            <v>M2</v>
          </cell>
          <cell r="D786">
            <v>19370.5</v>
          </cell>
          <cell r="E786">
            <v>6.6879999999999997</v>
          </cell>
          <cell r="F786">
            <v>129549.90399999999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4.0991999999999997</v>
          </cell>
          <cell r="L786">
            <v>79403.553599999999</v>
          </cell>
          <cell r="M786">
            <v>4.0991999999999997</v>
          </cell>
          <cell r="N786">
            <v>79403.553599999999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>
            <v>48</v>
          </cell>
          <cell r="B787" t="str">
            <v>Cat Besi</v>
          </cell>
          <cell r="C787" t="str">
            <v>M2</v>
          </cell>
          <cell r="D787">
            <v>13698</v>
          </cell>
          <cell r="E787">
            <v>0</v>
          </cell>
          <cell r="F787">
            <v>0</v>
          </cell>
          <cell r="G787">
            <v>5.6445590696960588</v>
          </cell>
          <cell r="H787">
            <v>77319.170136696615</v>
          </cell>
          <cell r="I787">
            <v>5.6445590696960588</v>
          </cell>
          <cell r="J787">
            <v>77319.170136696615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A788">
            <v>49</v>
          </cell>
          <cell r="B788" t="str">
            <v>Cat Dinding</v>
          </cell>
          <cell r="C788" t="str">
            <v>M2</v>
          </cell>
          <cell r="D788">
            <v>9900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A789">
            <v>50</v>
          </cell>
          <cell r="B789" t="str">
            <v>Rel Jendela Geser</v>
          </cell>
          <cell r="C789" t="str">
            <v>M'</v>
          </cell>
          <cell r="D789">
            <v>275000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</row>
        <row r="790">
          <cell r="R790">
            <v>0</v>
          </cell>
        </row>
        <row r="791">
          <cell r="B791" t="str">
            <v>Jumlah Harga</v>
          </cell>
          <cell r="C791">
            <v>3295405.1922000004</v>
          </cell>
          <cell r="D791">
            <v>1760337.7291291971</v>
          </cell>
          <cell r="E791">
            <v>1760337.7291291971</v>
          </cell>
          <cell r="F791">
            <v>3295405.1922000004</v>
          </cell>
          <cell r="G791">
            <v>1690743.9109799999</v>
          </cell>
          <cell r="H791">
            <v>1760337.7291291971</v>
          </cell>
          <cell r="I791">
            <v>86952.03</v>
          </cell>
          <cell r="J791">
            <v>1760337.7291291971</v>
          </cell>
          <cell r="K791">
            <v>0</v>
          </cell>
          <cell r="L791">
            <v>1690743.9109799999</v>
          </cell>
          <cell r="M791">
            <v>0</v>
          </cell>
          <cell r="N791">
            <v>1690743.9109799999</v>
          </cell>
          <cell r="O791">
            <v>0</v>
          </cell>
          <cell r="P791">
            <v>1884105.1171249999</v>
          </cell>
          <cell r="Q791">
            <v>0</v>
          </cell>
          <cell r="R791">
            <v>86952.03</v>
          </cell>
        </row>
        <row r="792">
          <cell r="P792">
            <v>1884105.1171249999</v>
          </cell>
        </row>
        <row r="793">
          <cell r="R793">
            <v>86952.03</v>
          </cell>
        </row>
        <row r="794">
          <cell r="A794" t="str">
            <v>ANALIS ROSTER (DALAM M2)</v>
          </cell>
        </row>
        <row r="795">
          <cell r="A795" t="str">
            <v>No.</v>
          </cell>
          <cell r="B795" t="str">
            <v>Item Pekerjaan</v>
          </cell>
          <cell r="C795" t="str">
            <v>Satuan</v>
          </cell>
          <cell r="D795" t="str">
            <v>Harga Satuan</v>
          </cell>
          <cell r="E795" t="str">
            <v>P1</v>
          </cell>
        </row>
        <row r="796">
          <cell r="D796" t="str">
            <v>Rp.</v>
          </cell>
          <cell r="E796" t="str">
            <v>Vol.</v>
          </cell>
          <cell r="F796" t="str">
            <v>Jumlah Harga</v>
          </cell>
        </row>
        <row r="797">
          <cell r="A797" t="str">
            <v>XI.</v>
          </cell>
          <cell r="B797" t="str">
            <v>ANALIS ROSTER (DALAM M2)</v>
          </cell>
          <cell r="D797" t="str">
            <v>Rp.</v>
          </cell>
          <cell r="E797" t="str">
            <v>Vol.</v>
          </cell>
          <cell r="F797" t="str">
            <v>Jumlah Harga</v>
          </cell>
        </row>
        <row r="798">
          <cell r="A798" t="str">
            <v>XI.</v>
          </cell>
          <cell r="B798" t="str">
            <v>ANALIS ROSTER (DALAM M2)</v>
          </cell>
        </row>
        <row r="799">
          <cell r="A799">
            <v>1</v>
          </cell>
          <cell r="B799" t="str">
            <v>Roster</v>
          </cell>
          <cell r="C799" t="str">
            <v>M2</v>
          </cell>
          <cell r="D799">
            <v>133850</v>
          </cell>
          <cell r="E799">
            <v>1</v>
          </cell>
          <cell r="F799">
            <v>133850</v>
          </cell>
        </row>
        <row r="800">
          <cell r="A800">
            <v>2</v>
          </cell>
          <cell r="B800" t="str">
            <v>Benangan Kusen</v>
          </cell>
          <cell r="C800" t="str">
            <v>M'</v>
          </cell>
          <cell r="D800">
            <v>4296.0074999999997</v>
          </cell>
          <cell r="E800">
            <v>8</v>
          </cell>
          <cell r="F800">
            <v>34368.06</v>
          </cell>
        </row>
        <row r="801">
          <cell r="A801">
            <v>3</v>
          </cell>
          <cell r="B801" t="str">
            <v>Cat Dinding</v>
          </cell>
          <cell r="C801" t="str">
            <v>M2</v>
          </cell>
          <cell r="D801">
            <v>9900</v>
          </cell>
          <cell r="E801">
            <v>2</v>
          </cell>
          <cell r="F801">
            <v>19800</v>
          </cell>
        </row>
        <row r="802">
          <cell r="A802">
            <v>3</v>
          </cell>
          <cell r="B802" t="str">
            <v>Cat Dinding</v>
          </cell>
          <cell r="C802" t="str">
            <v>M2</v>
          </cell>
          <cell r="D802">
            <v>9900</v>
          </cell>
          <cell r="E802">
            <v>2</v>
          </cell>
          <cell r="F802">
            <v>19800</v>
          </cell>
        </row>
        <row r="803">
          <cell r="B803" t="str">
            <v>Jumlah Harga</v>
          </cell>
          <cell r="C803">
            <v>188018.06</v>
          </cell>
          <cell r="D803">
            <v>0</v>
          </cell>
          <cell r="E803">
            <v>0</v>
          </cell>
          <cell r="F803">
            <v>188018.06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7">
          <cell r="A17">
            <v>2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17">
          <cell r="A17">
            <v>2</v>
          </cell>
        </row>
      </sheetData>
      <sheetData sheetId="205">
        <row r="17">
          <cell r="A17">
            <v>2</v>
          </cell>
        </row>
      </sheetData>
      <sheetData sheetId="206">
        <row r="17">
          <cell r="A17">
            <v>2</v>
          </cell>
        </row>
      </sheetData>
      <sheetData sheetId="207">
        <row r="17">
          <cell r="A17">
            <v>2</v>
          </cell>
        </row>
      </sheetData>
      <sheetData sheetId="208">
        <row r="17">
          <cell r="A17">
            <v>2</v>
          </cell>
        </row>
      </sheetData>
      <sheetData sheetId="209">
        <row r="17">
          <cell r="A17">
            <v>2</v>
          </cell>
        </row>
      </sheetData>
      <sheetData sheetId="210">
        <row r="17">
          <cell r="A17">
            <v>2</v>
          </cell>
        </row>
      </sheetData>
      <sheetData sheetId="211">
        <row r="17">
          <cell r="A17">
            <v>2</v>
          </cell>
        </row>
      </sheetData>
      <sheetData sheetId="212">
        <row r="17">
          <cell r="A17">
            <v>2</v>
          </cell>
        </row>
      </sheetData>
      <sheetData sheetId="213">
        <row r="17">
          <cell r="A17">
            <v>2</v>
          </cell>
        </row>
      </sheetData>
      <sheetData sheetId="214">
        <row r="17">
          <cell r="A17">
            <v>2</v>
          </cell>
        </row>
      </sheetData>
      <sheetData sheetId="215">
        <row r="17">
          <cell r="A17">
            <v>2</v>
          </cell>
        </row>
      </sheetData>
      <sheetData sheetId="216">
        <row r="17">
          <cell r="A17">
            <v>2</v>
          </cell>
        </row>
      </sheetData>
      <sheetData sheetId="217">
        <row r="17">
          <cell r="A17">
            <v>2</v>
          </cell>
        </row>
      </sheetData>
      <sheetData sheetId="218">
        <row r="17">
          <cell r="A17">
            <v>2</v>
          </cell>
        </row>
      </sheetData>
      <sheetData sheetId="219">
        <row r="17">
          <cell r="A17">
            <v>2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17">
          <cell r="A17">
            <v>2</v>
          </cell>
        </row>
      </sheetData>
      <sheetData sheetId="336" refreshError="1"/>
      <sheetData sheetId="337">
        <row r="17">
          <cell r="A17">
            <v>2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>
        <row r="17">
          <cell r="A17">
            <v>2</v>
          </cell>
        </row>
      </sheetData>
      <sheetData sheetId="343">
        <row r="17">
          <cell r="A17">
            <v>2</v>
          </cell>
        </row>
      </sheetData>
      <sheetData sheetId="344">
        <row r="17">
          <cell r="A17">
            <v>2</v>
          </cell>
        </row>
      </sheetData>
      <sheetData sheetId="345">
        <row r="17">
          <cell r="A17">
            <v>2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H.Satuan"/>
      <sheetName val="data"/>
      <sheetName val="PriceList"/>
      <sheetName val="Fill this out first..."/>
      <sheetName val="Fill this out first___"/>
      <sheetName val="Analisa"/>
      <sheetName val="HRG BAHAN &amp; UPAH okk"/>
      <sheetName val="Analis Kusen okk"/>
      <sheetName val="DAF-2"/>
      <sheetName val="SBDY"/>
      <sheetName val="BAG-2"/>
      <sheetName val="RFP009"/>
      <sheetName val="KH-Q1,Q2,01"/>
      <sheetName val="Breakdown"/>
      <sheetName val="Pt"/>
      <sheetName val="A"/>
      <sheetName val="FAKTOR"/>
      <sheetName val="Material"/>
      <sheetName val="DAF_2"/>
      <sheetName val="JAN"/>
      <sheetName val="PLUMBING"/>
      <sheetName val="PEMBESIAN BALOK tukang (2)"/>
      <sheetName val="Cover"/>
      <sheetName val="Pipe"/>
      <sheetName val="struktur tdk dipakai"/>
      <sheetName val="Cover Daf-2"/>
      <sheetName val="H_Satuan"/>
      <sheetName val="BoQ"/>
      <sheetName val="I_KAMAR"/>
      <sheetName val="BTL-Bau"/>
      <sheetName val="Management"/>
      <sheetName val="HRG BHN"/>
      <sheetName val="harsat"/>
      <sheetName val="HARGA BAHAN"/>
      <sheetName val="Elektrikal"/>
      <sheetName val="LO"/>
      <sheetName val="HSD"/>
      <sheetName val="D _ W sizes"/>
      <sheetName val="AnalisaSIPIL RIIL RAP"/>
      <sheetName val="LISTRIK"/>
      <sheetName val="Jembatan I"/>
      <sheetName val="BQ ARS"/>
      <sheetName val="Spec ME"/>
      <sheetName val="MASTER"/>
      <sheetName val="C. Analisa "/>
      <sheetName val="Rkp"/>
      <sheetName val="P-late"/>
      <sheetName val="WI"/>
      <sheetName val="IN OUT"/>
      <sheetName val="DAFTAR_8"/>
      <sheetName val="TOTAL"/>
      <sheetName val="DAFTAR 7"/>
      <sheetName val="Cal_Slab_Admin"/>
      <sheetName val="HARGA MATERIAL"/>
      <sheetName val="Ch"/>
      <sheetName val="gvl"/>
      <sheetName val="SITE-E"/>
      <sheetName val="name"/>
      <sheetName val="Rekap Prelim"/>
      <sheetName val="DAF-1"/>
      <sheetName val="ganda"/>
      <sheetName val="CCO"/>
      <sheetName val="rab lt 2 bo"/>
      <sheetName val="B - Norelec"/>
      <sheetName val="概総括1"/>
      <sheetName val="1"/>
      <sheetName val="Man Power _ Comp"/>
      <sheetName val="product"/>
      <sheetName val="Har-sat-dasr"/>
      <sheetName val="Meth"/>
      <sheetName val="AN-E"/>
      <sheetName val="Harsat Upah"/>
      <sheetName val="Master 1.0"/>
      <sheetName val="HSATUAN"/>
      <sheetName val="UTILITAS"/>
      <sheetName val="S_Suramadu"/>
      <sheetName val="MAT'L LIST"/>
      <sheetName val="Conn. Lib"/>
      <sheetName val="Currency"/>
      <sheetName val="Analisa RAP"/>
      <sheetName val="3.1"/>
      <sheetName val="Harga Bahan &amp; Upah "/>
      <sheetName val="Perm. Test"/>
      <sheetName val="EQT-ESTN"/>
      <sheetName val="Ana. PU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Analisa_SNI_STANDART_"/>
      <sheetName val="FINISHING"/>
      <sheetName val="INDEX"/>
      <sheetName val="Cover Daf_2"/>
      <sheetName val="DIV2"/>
      <sheetName val="Rekap_elban"/>
      <sheetName val="rekap mekanikal"/>
      <sheetName val="AN-ME"/>
      <sheetName val="Konfirm"/>
      <sheetName val="MAP"/>
      <sheetName val="GEDUNG-A"/>
      <sheetName val="1.19"/>
      <sheetName val="COST"/>
      <sheetName val="TOWN"/>
      <sheetName val="ANALISA railing"/>
      <sheetName val="MU"/>
      <sheetName val="AnalisaSIPIL RIIL"/>
      <sheetName val="Format Report-for analysis only"/>
      <sheetName val="XREF"/>
      <sheetName val="산근"/>
      <sheetName val="ALL"/>
      <sheetName val="Man Power &amp; Comp"/>
      <sheetName val="NAMES"/>
      <sheetName val="Up &amp; bhn"/>
      <sheetName val="표지"/>
      <sheetName val="A-11 Steel Str"/>
      <sheetName val="A-03 Pile"/>
      <sheetName val="Back-Up"/>
      <sheetName val="Cashflow"/>
      <sheetName val="H_Satuan1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Harga Satuan"/>
      <sheetName val="Fin Sum"/>
      <sheetName val="Posisi Biaya"/>
      <sheetName val="C_Flow"/>
      <sheetName val="BD Div-2 sd 7.6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2. MVAC R1"/>
      <sheetName val="Off + Wh"/>
      <sheetName val="BQ"/>
      <sheetName val="2. BQ"/>
      <sheetName val="Analisa 2"/>
      <sheetName val="cal belakang"/>
      <sheetName val="1. BQ"/>
      <sheetName val="AHSbj"/>
      <sheetName val="Vibro_Roller"/>
      <sheetName val="rate"/>
      <sheetName val="???1"/>
      <sheetName val="SEX"/>
      <sheetName val="BasicPrice"/>
      <sheetName val="Str BT"/>
      <sheetName val="GRAND TOTAL"/>
      <sheetName val="304-06"/>
      <sheetName val="01A- RAB"/>
      <sheetName val="FAK"/>
      <sheetName val="Uraian Teknis"/>
      <sheetName val="UPAHBAHAN"/>
      <sheetName val="HB "/>
      <sheetName val="BM"/>
      <sheetName val="PAD-F"/>
      <sheetName val="List Material"/>
      <sheetName val="RAP"/>
      <sheetName val="Unit Price"/>
      <sheetName val="Pag_hal"/>
      <sheetName val="Agregat Halus &amp; Kasar"/>
      <sheetName val="9DHSDBU"/>
      <sheetName val="MC_strp CoDa "/>
      <sheetName val="MUTASI"/>
      <sheetName val="Sumda1"/>
      <sheetName val="UBA"/>
      <sheetName val="sdm"/>
      <sheetName val="Volume 1"/>
      <sheetName val=" schedule AMD-2 Rev III"/>
      <sheetName val="Koefisien"/>
      <sheetName val="RAB-2006-Total"/>
      <sheetName val="Daftar Upah"/>
      <sheetName val="405BQBAK-ME 26 bakrie"/>
      <sheetName val="SCH"/>
      <sheetName val="Por"/>
      <sheetName val="ES-PARK"/>
      <sheetName val="ES_PARK"/>
      <sheetName val="ana_str"/>
      <sheetName val="3.4-PIPE"/>
      <sheetName val="AHS"/>
      <sheetName val="RAB"/>
      <sheetName val="HRGA SATUAN UPAH-BAHAN"/>
      <sheetName val="Sat~Bahu"/>
      <sheetName val="Galian batu"/>
      <sheetName val="jobhist"/>
      <sheetName val="TABEL"/>
      <sheetName val="gal"/>
      <sheetName val="MAT'L LLIST"/>
      <sheetName val="Rekapitulasi"/>
      <sheetName val="플랜트 설치"/>
      <sheetName val="Connections"/>
      <sheetName val="DWTables"/>
      <sheetName val="."/>
      <sheetName val="%"/>
      <sheetName val="Indirect"/>
      <sheetName val="??"/>
      <sheetName val="AC"/>
      <sheetName val="Fire Alarm"/>
      <sheetName val="Mall"/>
      <sheetName val="HB"/>
      <sheetName val="Harga Upah+Bahan"/>
      <sheetName val="B Q 2007"/>
      <sheetName val="Hrg"/>
      <sheetName val="Kegiatan"/>
      <sheetName val="H. Satuan"/>
      <sheetName val="Analisa Upah &amp; Bahan Plum"/>
      <sheetName val="ANALISA-HST"/>
      <sheetName val="RAB.SEKRETARIAT (1)"/>
      <sheetName val="REKAP TOTAL"/>
      <sheetName val="Kurva S (barch-bulanan-25)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JPC Breakdown Price"/>
      <sheetName val="VCV_BE_TONG"/>
      <sheetName val="CHITIET VL_NC"/>
      <sheetName val="rab me (by owner) "/>
      <sheetName val="BQ (by owner)"/>
      <sheetName val="rab me (fisik)"/>
      <sheetName val="Terbilang"/>
      <sheetName val="DESBT"/>
      <sheetName val="D 5243-ARAMCO"/>
      <sheetName val="D-4801 OXY"/>
      <sheetName val="Time Schedule"/>
      <sheetName val="RM IA"/>
      <sheetName val="DAFTAR HARGA"/>
      <sheetName val="Pg2"/>
      <sheetName val="1.2.용역비"/>
      <sheetName val="Struktur"/>
      <sheetName val="Monitoring Progres"/>
      <sheetName val="STR(CANCEL)"/>
      <sheetName val="Ope FC"/>
      <sheetName val="Sheet2"/>
      <sheetName val="Public Area"/>
      <sheetName val="BAG_2"/>
      <sheetName val="BQ Detail"/>
      <sheetName val="Isolasi Luar Dalam"/>
      <sheetName val="Isolasi Luar"/>
      <sheetName val="JDE-522444"/>
      <sheetName val="SELISIH HARGA"/>
      <sheetName val="Sumber Daya"/>
      <sheetName val="Kuantitas &amp; Harga"/>
      <sheetName val="Prices-600"/>
      <sheetName val="srtberkas"/>
      <sheetName val="Bangunan Utama B"/>
      <sheetName val="WS"/>
      <sheetName val="SAT-DAS"/>
      <sheetName val="U. div 2"/>
      <sheetName val="3-DIV5"/>
      <sheetName val="D-base"/>
      <sheetName val="Eng_Hrs (HO)"/>
      <sheetName val="351BQMCN"/>
      <sheetName val="钢筋"/>
      <sheetName val="Eng_Hrs"/>
      <sheetName val="fill in first"/>
      <sheetName val="RKP PLUMBING"/>
      <sheetName val="STAFFSCHED "/>
      <sheetName val="REGISTRATION"/>
      <sheetName val="OIF"/>
      <sheetName val="PPh 22"/>
      <sheetName val="2.2 BQ"/>
      <sheetName val="H-SAT(noprint)"/>
      <sheetName val="HB me"/>
      <sheetName val="fr BS"/>
      <sheetName val="Blk-Mnl"/>
      <sheetName val="Klm-Mnl"/>
      <sheetName val="FORM"/>
      <sheetName val="%S"/>
      <sheetName val="beton"/>
      <sheetName val="cable-data"/>
      <sheetName val="D &amp; W sizes"/>
      <sheetName val="BOQ Full"/>
      <sheetName val="1.1 ALAT TULIS KANTOR"/>
      <sheetName val="Daf 1"/>
      <sheetName val="rINCIAN"/>
      <sheetName val="___1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Analisa_SNI_STANDART_1"/>
      <sheetName val="Fill_this_out_first___2"/>
      <sheetName val="Fill_this_out_first___3"/>
      <sheetName val="HRG_BAHAN_&amp;_UPAH_okk1"/>
      <sheetName val="Analis_Kusen_okk1"/>
      <sheetName val="Rekap_Prelim1"/>
      <sheetName val="Cover_Daf-21"/>
      <sheetName val="Tataudara"/>
      <sheetName val="ISBL-CIV"/>
      <sheetName val="Sub"/>
      <sheetName val="analisa hor"/>
      <sheetName val="REKAP-STR"/>
      <sheetName val="DashB"/>
      <sheetName val="upah_borong"/>
      <sheetName val="BQ.Rekapitulasi  Akhir"/>
      <sheetName val="H_Satuan2"/>
      <sheetName val="BQ_ARS1"/>
      <sheetName val="Spec_ME1"/>
      <sheetName val="Master_1_0"/>
      <sheetName val="Harga_Bahan_&amp;_Upah_"/>
      <sheetName val="Perm__Test"/>
      <sheetName val="1_19"/>
      <sheetName val="Uraian_Teknis"/>
      <sheetName val="1__BQ"/>
      <sheetName val="Ana__PU"/>
      <sheetName val="Harga_Satuan"/>
      <sheetName val="unit_price"/>
      <sheetName val="Analisa_RAP"/>
      <sheetName val="Man_Power_&amp;_Comp"/>
      <sheetName val="Up_&amp;_bhn"/>
      <sheetName val="AnalisaSIPIL_RIIL"/>
      <sheetName val="Conn__Lib"/>
      <sheetName val="Format_Report-for_analysis_only"/>
      <sheetName val="2__BQ"/>
      <sheetName val="Analisa_2"/>
      <sheetName val="Volume_1"/>
      <sheetName val="ANALISA_railing"/>
      <sheetName val="rekap_mekanikal"/>
      <sheetName val="Agregat_Halus_&amp;_Kasar"/>
      <sheetName val="Posisi_Biaya"/>
      <sheetName val="BD_Div-2_sd_7_6"/>
      <sheetName val="Str_BT"/>
      <sheetName val="GRAND_TOTAL"/>
      <sheetName val="Sumber_Daya"/>
      <sheetName val="MAT'L_LIST"/>
      <sheetName val="2__MVAC_R1"/>
      <sheetName val="MC_strp_CoDa_"/>
      <sheetName val="Analisa_Upah_&amp;_Bahan_Plum"/>
      <sheetName val="_schedule_AMD-2_Rev_III"/>
      <sheetName val="3_1"/>
      <sheetName val="JPC_Breakdown_Price"/>
      <sheetName val="Harga_Upah+Bahan"/>
      <sheetName val="B_Q_2007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HARGA DASAR"/>
      <sheetName val="GRAFIK "/>
      <sheetName val="Rekaman"/>
      <sheetName val="PRY 03-1 (Amd1)"/>
      <sheetName val="escon"/>
      <sheetName val="PP ALAT"/>
      <sheetName val="Penawaran"/>
      <sheetName val="HARGA"/>
      <sheetName val="DIV.2"/>
      <sheetName val="BQ All_2"/>
      <sheetName val="Bill No_1"/>
      <sheetName val="ANGGARAN"/>
      <sheetName val="PAD_F"/>
      <sheetName val="汇总"/>
      <sheetName val="SUM,EC"/>
      <sheetName val="D7(1)"/>
      <sheetName val="Lamp_V"/>
      <sheetName val="Kabel"/>
      <sheetName val="Weight"/>
      <sheetName val="AU Zone"/>
      <sheetName val="Price Breakdown"/>
      <sheetName val="Dft. Hrg Bahan"/>
      <sheetName val="Hrg_Sat"/>
      <sheetName val="Perhit.Alat"/>
      <sheetName val="BQ23"/>
      <sheetName val="BQ25"/>
      <sheetName val="Analisa Harsat"/>
      <sheetName val="ASEM내역"/>
      <sheetName val="Shares Outstanding"/>
      <sheetName val="DCF_10"/>
      <sheetName val="Controls"/>
      <sheetName val="Price"/>
      <sheetName val="lookup_trend"/>
      <sheetName val="GRADASI KELAS A (2)"/>
      <sheetName val="timbunan pilihan"/>
      <sheetName val="harga-SD"/>
      <sheetName val="B.U ARC  POS JAGA"/>
      <sheetName val="DK&amp;H"/>
      <sheetName val="Alat   Master"/>
      <sheetName val="Alat  Jembatan"/>
      <sheetName val="Harsat Bahan"/>
      <sheetName val="Kalibrasi Mock (2)"/>
      <sheetName val="Master_Edit"/>
      <sheetName val="3_Sch_ch"/>
      <sheetName val="Bangunan_Utama_B"/>
      <sheetName val="bialangsung"/>
      <sheetName val="Rekap Biaya"/>
      <sheetName val="DHrg"/>
      <sheetName val="S-QD5"/>
      <sheetName val="#REF"/>
      <sheetName val="Markup"/>
      <sheetName val="Equity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Input"/>
      <sheetName val="RAB &amp; RCO OWNER VERS."/>
      <sheetName val="112-885"/>
      <sheetName val="Kuantitas_&amp;_Harga1"/>
      <sheetName val="1_2_용역비1"/>
      <sheetName val="Eng_Hrs_(HO)1"/>
      <sheetName val="SELISIH_HARGA1"/>
      <sheetName val="Fire_Alarm1"/>
      <sheetName val="fr_BS1"/>
      <sheetName val="Bill of Qty MEP"/>
      <sheetName val="Sheet"/>
      <sheetName val="PP-8000AB"/>
      <sheetName val="NP"/>
      <sheetName val="WT-LIST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Sales"/>
      <sheetName val="ANalisa "/>
      <sheetName val="A_ars"/>
      <sheetName val="Fin-Bengkel"/>
      <sheetName val="Fin-Showroom"/>
      <sheetName val="Hal_Pagar"/>
      <sheetName val="Str-Bengkel"/>
      <sheetName val="Str-Showroom"/>
      <sheetName val="koef"/>
      <sheetName val="Vendor Information"/>
      <sheetName val="Sat"/>
      <sheetName val="I-KAMAR"/>
      <sheetName val="lokasari-el"/>
      <sheetName val="CondPol"/>
      <sheetName val="Owning cost Alat"/>
      <sheetName val="villa"/>
      <sheetName val="TBLSKILL"/>
      <sheetName val="Daf Harga"/>
      <sheetName val="Orgs Proy"/>
      <sheetName val="induk1"/>
      <sheetName val="DIRECT"/>
      <sheetName val="bhn FINAL"/>
      <sheetName val="SUMMARY"/>
      <sheetName val="Qty_pile"/>
      <sheetName val="Steel_slab"/>
      <sheetName val="Steel_tank"/>
      <sheetName val="Steel_wall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Analisa Harga Satuan"/>
      <sheetName val="REF.ONLY"/>
      <sheetName val="Notes"/>
      <sheetName val="Supl.X"/>
      <sheetName val="DAF-5"/>
      <sheetName val="I-ME"/>
      <sheetName val="3"/>
      <sheetName val="4"/>
      <sheetName val="__"/>
      <sheetName val="Volume"/>
      <sheetName val="DTCT"/>
      <sheetName val="Nc-0698"/>
      <sheetName val="F1c DATA ADM6"/>
      <sheetName val="Profil"/>
      <sheetName val="HARDAS"/>
      <sheetName val="DB"/>
      <sheetName val="KH_Q1_Q2_01"/>
      <sheetName val="RAB 2007"/>
      <sheetName val="ASat"/>
      <sheetName val="DRUP (ASLI)"/>
      <sheetName val="Analisa Teknik"/>
      <sheetName val="hutang-lapangan"/>
      <sheetName val="Hutang-Wilayah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HOK-K210"/>
      <sheetName val="prelim"/>
      <sheetName val="anal2"/>
      <sheetName val="RESOURCES-6"/>
      <sheetName val="LAIN-LAIN"/>
      <sheetName val="BQ-Str"/>
      <sheetName val="List of Material Price"/>
      <sheetName val="NET表"/>
      <sheetName val="BQ表"/>
      <sheetName val="VENDOR"/>
      <sheetName val="MAPP"/>
      <sheetName val="An_ Harga"/>
      <sheetName val="Proyeksi 2017 Update 3 april"/>
      <sheetName val="RBP- 2"/>
      <sheetName val="BL- (JOB)"/>
      <sheetName val="harga dasar T-M-A"/>
      <sheetName val="Superstruc"/>
      <sheetName val="노임단가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LPP-201"/>
      <sheetName val="A-12"/>
      <sheetName val="Ts Tahap I Kesehatan &amp; Bea Cuka"/>
      <sheetName val="Bhn+Uph"/>
      <sheetName val="Basic Data"/>
      <sheetName val="rab-SAPHIR"/>
      <sheetName val="notasi"/>
      <sheetName val="DAF.ALAT"/>
      <sheetName val="BOQ+BTL+RAPI"/>
      <sheetName val="ANALISA UTAMA"/>
      <sheetName val="3-DIV4"/>
      <sheetName val="NYATDOK"/>
      <sheetName val="SATUAN JADI "/>
      <sheetName val="CODE"/>
      <sheetName val="DIV.1"/>
      <sheetName val="DP-CASH-lapangan"/>
      <sheetName val="CASH-wilayah&amp;Cab"/>
      <sheetName val="5-HARGA"/>
      <sheetName val="RAPA"/>
      <sheetName val="Indeks"/>
      <sheetName val="Written"/>
      <sheetName val="PO-2"/>
      <sheetName val="TB(Koordinat XY) (OK)"/>
      <sheetName val="DAFT_ALAT,UPAH &amp; MAT"/>
      <sheetName val="BAG_III"/>
      <sheetName val="Anls"/>
      <sheetName val="DIVI6"/>
      <sheetName val="GSMTOWER"/>
      <sheetName val="Anls Teknis"/>
      <sheetName val="Unit Rate"/>
      <sheetName val="汎用設備調達日程表"/>
      <sheetName val="Bahan &amp; Upah"/>
      <sheetName val="PNT"/>
      <sheetName val="Galian 1"/>
      <sheetName val="Harsat_Mk"/>
      <sheetName val="LAL - PASAR PAGI "/>
      <sheetName val="htg"/>
      <sheetName val="CP3 Rkp"/>
      <sheetName val="jadw"/>
      <sheetName val="rekap str_ars"/>
      <sheetName val="derm"/>
      <sheetName val="misc"/>
      <sheetName val="pile1"/>
      <sheetName val="pile2"/>
      <sheetName val="timb"/>
      <sheetName val="JOB'S"/>
      <sheetName val="Metod TWR"/>
      <sheetName val="str-Rab"/>
      <sheetName val="BoQ C4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Mat Real"/>
      <sheetName val="BoQrap"/>
      <sheetName val="hARGA SAT"/>
      <sheetName val="Penyusutan Kendaraan"/>
      <sheetName val="Est"/>
      <sheetName val="faktor &amp; disc"/>
      <sheetName val="An H.Sat Pek.Ut"/>
      <sheetName val="BHN"/>
      <sheetName val="OwnEq"/>
      <sheetName val="Hargamat"/>
      <sheetName val="1.B"/>
      <sheetName val="HargaBahan"/>
      <sheetName val="Upah &amp; Bahan"/>
      <sheetName val="HS-1"/>
      <sheetName val="Analisa STR"/>
      <sheetName val="셀명"/>
      <sheetName val="수지표"/>
      <sheetName val="Analis (2)"/>
      <sheetName val="Cont. Fabrikasi"/>
      <sheetName val="Man Power"/>
      <sheetName val="Data Tower"/>
      <sheetName val="Daywork1"/>
      <sheetName val="KALK_GES"/>
      <sheetName val="RFP003D"/>
      <sheetName val="rating curve"/>
      <sheetName val="Cost Summary"/>
      <sheetName val="PO2"/>
      <sheetName val="SUR-HARGA"/>
      <sheetName val="PROGRESS BULAN"/>
      <sheetName val="@"/>
      <sheetName val="Analisa Bor"/>
      <sheetName val="KoefMixer"/>
      <sheetName val="KoefExc_Dump_Vibro"/>
      <sheetName val="Alat Berat"/>
      <sheetName val="ANALIS"/>
      <sheetName val="4-Basic Price"/>
      <sheetName val="B.Kim2010"/>
      <sheetName val="RAB J18 "/>
      <sheetName val="daf kh"/>
      <sheetName val="13.Nangakara Weir"/>
      <sheetName val="14.Irr.Canal Work"/>
      <sheetName val="15.Irr. Struc.Work"/>
      <sheetName val="16.Pipe Inst."/>
      <sheetName val="18.Lateral Pipe"/>
      <sheetName val="LPP_101"/>
      <sheetName val="Hit_ANT+RRK"/>
      <sheetName val="ANT_titab"/>
      <sheetName val="CASH_Titab"/>
      <sheetName val="HUTANG_Titab"/>
      <sheetName val="SOP_ANT+RRK"/>
      <sheetName val="3-DIV2"/>
      <sheetName val="Rekap (2)"/>
      <sheetName val="weekly"/>
      <sheetName val="besi"/>
      <sheetName val="SCH Total"/>
      <sheetName val="sch 1.2"/>
      <sheetName val="basic-price"/>
      <sheetName val="MT_an"/>
      <sheetName val="Daftar Upax"/>
      <sheetName val="BASEMENT"/>
      <sheetName val="Harga Sat_APP"/>
      <sheetName val="Cash2"/>
      <sheetName val="Rek.An"/>
      <sheetName val="PI"/>
      <sheetName val="EurotoolsXRates"/>
      <sheetName val="BOW"/>
      <sheetName val="당초"/>
      <sheetName val="Construction"/>
      <sheetName val="HSBU ANA"/>
      <sheetName val="time scedul "/>
      <sheetName val="HARSATALAT"/>
      <sheetName val="k341k612"/>
      <sheetName val="Hst,upah"/>
      <sheetName val="Kode"/>
      <sheetName val="Hst_mat"/>
      <sheetName val="Bill_Qua"/>
      <sheetName val="hitungan"/>
      <sheetName val="schalat"/>
      <sheetName val="schman"/>
      <sheetName val="schmat"/>
      <sheetName val="Huruf"/>
      <sheetName val="rekap bahan dan alat"/>
      <sheetName val="JBAHAN"/>
      <sheetName val="Harga Upah"/>
      <sheetName val="anal_hs"/>
      <sheetName val="S3B11R"/>
      <sheetName val="DIV1"/>
      <sheetName val="Currency Rate"/>
      <sheetName val="Waktu"/>
      <sheetName val="Daftar Upah&amp;Bahan"/>
      <sheetName val="D-Analisa1"/>
      <sheetName val="D-Upah&amp;Bahan"/>
      <sheetName val="an-alat"/>
      <sheetName val="Kantor"/>
      <sheetName val="SIRTU"/>
      <sheetName val="mat&amp;upah"/>
      <sheetName val="PRELIM PRECAST SYS"/>
      <sheetName val="DW"/>
      <sheetName val="SORT"/>
      <sheetName val="LAMP-A"/>
      <sheetName val="Anal"/>
      <sheetName val="RAB-NEGO"/>
      <sheetName val="REKAP 2008"/>
      <sheetName val="Parameters"/>
      <sheetName val="SEDULC"/>
      <sheetName val="Form Harga"/>
      <sheetName val="M2"/>
      <sheetName val="TS"/>
      <sheetName val="time_scedul_"/>
      <sheetName val="upah bahan"/>
      <sheetName val="URTEK"/>
      <sheetName val="BALT"/>
      <sheetName val="MASTER Alat"/>
      <sheetName val="Analisa (ok)"/>
      <sheetName val="K.Lokal"/>
      <sheetName val="Criteria"/>
      <sheetName val="coeff"/>
      <sheetName val="Sort 3"/>
      <sheetName val="div3"/>
      <sheetName val="Harga S Dasar"/>
      <sheetName val="isian"/>
      <sheetName val="Upah "/>
      <sheetName val="7.공정표"/>
      <sheetName val="Schedule 11a"/>
      <sheetName val="Temporary"/>
      <sheetName val="Septick tank"/>
      <sheetName val="DATA PROYEK"/>
      <sheetName val="Rekap 1"/>
      <sheetName val="RPP01 3"/>
      <sheetName val="Pile径1m･27"/>
      <sheetName val="Sur Site"/>
      <sheetName val="lampiran"/>
      <sheetName val="B D_AHS6"/>
      <sheetName val="TEST CASE"/>
      <sheetName val="Skedjul Rev"/>
      <sheetName val="Rekap RAP real (2)"/>
      <sheetName val="RKP_1"/>
      <sheetName val="HS"/>
      <sheetName val="Daf. Upah &amp; Bah"/>
      <sheetName val="Demolation"/>
      <sheetName val="Alat B"/>
      <sheetName val="Bahan B"/>
      <sheetName val="Telusur"/>
      <sheetName val="Upah B"/>
      <sheetName val="RAP FLAT+OPEN"/>
      <sheetName val="Grandtotals"/>
      <sheetName val="PEMASARAN"/>
      <sheetName val="LPP"/>
      <sheetName val="LPS APRL'08"/>
      <sheetName val="6-AGREGAT"/>
      <sheetName val="Risalah KOM"/>
      <sheetName val="schalt"/>
      <sheetName val="schtng"/>
      <sheetName val="schbhn"/>
      <sheetName val="Rek-Analisa"/>
      <sheetName val="SAT-BHN"/>
      <sheetName val="5-ALAT(1)"/>
      <sheetName val="Luas Timb I"/>
      <sheetName val="Schedule 02"/>
      <sheetName val="An_pdkg"/>
      <sheetName val="JADWAL PELAKSANAAN"/>
      <sheetName val="001"/>
      <sheetName val="NP tanah"/>
      <sheetName val="NP umum"/>
      <sheetName val="Rek Anal"/>
      <sheetName val="quarry"/>
      <sheetName val="61004"/>
      <sheetName val="61005"/>
      <sheetName val="61006"/>
      <sheetName val="61007"/>
      <sheetName val="61008"/>
      <sheetName val="GEDUNG_A"/>
      <sheetName val="EE-PROP"/>
      <sheetName val="ME_DOSEN"/>
      <sheetName val="AssumptionValue"/>
      <sheetName val="CloseOuts by Package"/>
      <sheetName val="Spec1"/>
      <sheetName val="DKH-S3"/>
      <sheetName val="RinciBab1"/>
      <sheetName val="MAP-Prog"/>
      <sheetName val="PRD01-5"/>
      <sheetName val="1.2"/>
      <sheetName val="JANUARI"/>
      <sheetName val="hrgsat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Database"/>
      <sheetName val="Parameter"/>
      <sheetName val="Morsip Ht Julu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Bahan "/>
      <sheetName val="Pekerjaan 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eqp-rek"/>
      <sheetName val="Rinc.Ged.A (G.Utama)"/>
      <sheetName val="L. Hr"/>
      <sheetName val="ANAL-str2"/>
      <sheetName val="prg-old"/>
      <sheetName val="Sales Parameter"/>
      <sheetName val="PileCap"/>
      <sheetName val="Tie Beam GN"/>
      <sheetName val="Tangga GN"/>
      <sheetName val="sat-utama1"/>
      <sheetName val="Basic Price"/>
      <sheetName val="SPK"/>
      <sheetName val="L-Mechanical"/>
      <sheetName val="DHS AC"/>
      <sheetName val="G_SUMMARY"/>
      <sheetName val="SCED"/>
      <sheetName val="F.1 1.G.ST.1A"/>
      <sheetName val="Rutin"/>
      <sheetName val="AHS 6.3a ( 2a )"/>
      <sheetName val="U&amp;B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PERALATAN PROYEK GOL III A"/>
      <sheetName val="C.16"/>
      <sheetName val="C.19"/>
      <sheetName val="C.21"/>
      <sheetName val="C.23"/>
      <sheetName val="C.25"/>
      <sheetName val="C.7"/>
      <sheetName val="C.9"/>
      <sheetName val="Rupiah"/>
      <sheetName val="MVAC (4)"/>
      <sheetName val="Chiller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1@(2x2,5)"/>
      <sheetName val="REKAP.VOLUME"/>
      <sheetName val="UPAH-BAHAN"/>
      <sheetName val="SUMMARY_month_by_month"/>
      <sheetName val="SAN REDUCED 1"/>
      <sheetName val="SH-C"/>
      <sheetName val="SDMTA"/>
      <sheetName val="UMUM-PU"/>
      <sheetName val="Cash Flow bulanan"/>
      <sheetName val="An_Basic"/>
      <sheetName val="An-str(krgnyr)"/>
      <sheetName val="MAP GAB"/>
      <sheetName val="7.1(3)"/>
      <sheetName val="DATA 2"/>
      <sheetName val="Allowance"/>
      <sheetName val="SPJ"/>
      <sheetName val="Gaji"/>
      <sheetName val="form evaluasi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DKH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C"/>
      <sheetName val="UR-TEKNIS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5.1-5.4(1)-5.4(2)"/>
      <sheetName val="DIV.3"/>
      <sheetName val="ANALISA PEK.UMUM"/>
      <sheetName val="hrg-sat.pek"/>
      <sheetName val="TB"/>
      <sheetName val="B.T"/>
      <sheetName val="SD"/>
      <sheetName val="formminat"/>
      <sheetName val="HS BHN&amp;UPAH"/>
      <sheetName val="Analisa Neraca"/>
      <sheetName val="auto-PPN"/>
      <sheetName val="TAGIHAN"/>
      <sheetName val="MOB (2)"/>
      <sheetName val="DPTA"/>
      <sheetName val="41,9&amp;36,3"/>
      <sheetName val="BARU-3"/>
      <sheetName val="BARU-4 "/>
      <sheetName val="BQTOLTP"/>
      <sheetName val="Rekap Tanpa Prelim"/>
      <sheetName val="SANITARY"/>
      <sheetName val="SPEC-TEKNIS"/>
      <sheetName val="DHSD"/>
      <sheetName val="LP3,h_dsr"/>
      <sheetName val="an_tek1"/>
      <sheetName val="TE TS FA LAN MATV"/>
      <sheetName val="Page 1"/>
      <sheetName val="Sat Bah _ Up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SUMBER"/>
      <sheetName val="div7"/>
      <sheetName val="COLUMN"/>
      <sheetName val="KBL"/>
      <sheetName val="REKAP_ARSITEKTUR."/>
      <sheetName val="HOTEL"/>
      <sheetName val="list"/>
      <sheetName val="BQ SCDB LOT-10"/>
      <sheetName val="anal (4)"/>
      <sheetName val="ALOKASI"/>
      <sheetName val="RAB PKD "/>
      <sheetName val="MVAC"/>
      <sheetName val="Harga HSPK"/>
      <sheetName val="Vol Kusen &amp; Alm (2)"/>
      <sheetName val="Besi &amp; Bekisting-CBD (2)"/>
      <sheetName val="Backkomp-Java (2)"/>
      <sheetName val="Septic"/>
      <sheetName val="analis azaa"/>
      <sheetName val="Anal. Alat"/>
      <sheetName val="antek12a-13"/>
      <sheetName val="Monitor"/>
      <sheetName val="224-225"/>
      <sheetName val="Estm-Progres"/>
      <sheetName val="Stay Cable PDMR2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수주현황2월"/>
      <sheetName val="note"/>
      <sheetName val="w't table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Cover (sh 1)"/>
      <sheetName val="Units"/>
      <sheetName val="Instructions"/>
      <sheetName val="HAL-1"/>
      <sheetName val="4641"/>
      <sheetName val="BREAKER"/>
      <sheetName val="BUDGET"/>
      <sheetName val="BQ All-2"/>
      <sheetName val="MINGGU B 14-17"/>
      <sheetName val="MINGGU A 14-17"/>
      <sheetName val="MINGGU F 14-17"/>
      <sheetName val="MARK-UP HARGA PENAWARAN"/>
      <sheetName val="MATERIAL-UPAH"/>
      <sheetName val="work shop"/>
      <sheetName val="RAB-LANSEKAP"/>
      <sheetName val="DIV.9"/>
      <sheetName val="Aggr"/>
      <sheetName val="Hargamaterial"/>
      <sheetName val="ｺﾝY条件BD"/>
      <sheetName val="LMW-PEG"/>
      <sheetName val="B.Q. breakdown (0723_2) (USD)"/>
      <sheetName val="CCO5"/>
      <sheetName val="ASME B 36.10 M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Anl.+"/>
      <sheetName val="Actual &amp; Valuation by PY"/>
      <sheetName val="BBM-03"/>
      <sheetName val="MC0"/>
      <sheetName val="metode"/>
      <sheetName val="D3"/>
      <sheetName val="Gedung Kantor"/>
      <sheetName val="TPI"/>
      <sheetName val="Sat. Pek."/>
      <sheetName val="hsp_STR_ARS"/>
      <sheetName val="BQ_Tenis"/>
      <sheetName val="RAW MATERIALS "/>
      <sheetName val="D_harga"/>
      <sheetName val="BIL"/>
      <sheetName val="sai"/>
      <sheetName val="rekap-bialat"/>
      <sheetName val="Harsat_marina"/>
      <sheetName val="Dt"/>
      <sheetName val="BIODATA"/>
      <sheetName val="CATEGORY"/>
      <sheetName val="Links"/>
      <sheetName val="Lead"/>
      <sheetName val="prog-mgu"/>
      <sheetName val="Alat (2)"/>
      <sheetName val="DIV7-BM"/>
      <sheetName val="rumus"/>
      <sheetName val="갑지"/>
      <sheetName val="Anal-2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vol_P31Ki"/>
      <sheetName val="5-Peralatan"/>
      <sheetName val="NMS Configuration"/>
      <sheetName val="Tubing &amp; fitting"/>
      <sheetName val="전등설비"/>
      <sheetName val="단가조사서"/>
      <sheetName val="INPUT_TABLE"/>
      <sheetName val="B"/>
      <sheetName val="D2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Lamp NRC Item (4)"/>
      <sheetName val="Disposals"/>
      <sheetName val="UP"/>
      <sheetName val="BH"/>
      <sheetName val="LMKC_01"/>
      <sheetName val="AK-2004 (2)"/>
      <sheetName val="As"/>
      <sheetName val="CAB 2"/>
      <sheetName val="HPS"/>
      <sheetName val="Detail-AQC"/>
      <sheetName val="Hangarui"/>
      <sheetName val="IF(USBER;742)"/>
      <sheetName val="IF(Usber;081387871305;FALSE)"/>
      <sheetName val="DAF PEKERJAAN"/>
      <sheetName val="DISK"/>
      <sheetName val="witholding tax list cji 2001"/>
      <sheetName val="D. Peralatan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1-BOQ"/>
      <sheetName val="Harga Mat "/>
      <sheetName val="ANAL_BOW"/>
      <sheetName val="SUM"/>
      <sheetName val="Analisa Harga"/>
      <sheetName val="PERSIAPAN"/>
      <sheetName val="BILL"/>
      <sheetName val="PL (MONTHLY)"/>
      <sheetName val="TT04"/>
      <sheetName val="Project Brief"/>
      <sheetName val="daf-3(OK)"/>
      <sheetName val="daf-7(OK)"/>
      <sheetName val="JSiar"/>
      <sheetName val="GeneralInfo"/>
      <sheetName val="영업소실적"/>
      <sheetName val="EQ"/>
      <sheetName val="MTa"/>
      <sheetName val="95삼성급(본사)"/>
      <sheetName val="3-DIV3"/>
      <sheetName val="2_PBK-01"/>
      <sheetName val="CASH"/>
      <sheetName val="CASH_wilcab"/>
      <sheetName val="PBK-01"/>
      <sheetName val="HUTANG"/>
      <sheetName val="Sheet01S"/>
      <sheetName val="PRINT OUT"/>
      <sheetName val="BHN-UPH-ALT"/>
      <sheetName val="rbka"/>
      <sheetName val="SubAcc"/>
      <sheetName val="ANALISA-1"/>
      <sheetName val="RAB RIIL kayu"/>
      <sheetName val="DHS"/>
      <sheetName val="info"/>
      <sheetName val="an-aspal"/>
      <sheetName val="an_alat"/>
      <sheetName val="COVER Sh 1"/>
      <sheetName val="INPUT HARGA"/>
      <sheetName val="Land Market"/>
      <sheetName val="Control Document"/>
      <sheetName val="AN ALAT1"/>
      <sheetName val="SCHED"/>
      <sheetName val="Ana-ALAT"/>
      <sheetName val="Rincian Bah&amp;Ten"/>
      <sheetName val="Plan vs Real"/>
      <sheetName val="Rinci Progres"/>
      <sheetName val="An-Sipil(ADA KODE)"/>
      <sheetName val="LAP. MINGG"/>
      <sheetName val="Struktur Atas"/>
      <sheetName val="SDY"/>
      <sheetName val="BOQ Penawaran Sebelum Cad. Tawa"/>
      <sheetName val="3a"/>
      <sheetName val="6b"/>
      <sheetName val="ANALISAGATE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NAL KOEF"/>
      <sheetName val="諸経費"/>
      <sheetName val="清水計算営業税率関連"/>
      <sheetName val="일작업량산출"/>
      <sheetName val="기본대가"/>
      <sheetName val="장비일작업량"/>
      <sheetName val=" PE-F-42 MR 9 Manpower"/>
      <sheetName val="GRAND REKAP"/>
      <sheetName val="anal_P"/>
      <sheetName val="Rekap_Budget_R0"/>
      <sheetName val="DTASLS05 NEW"/>
      <sheetName val="1. BQ ind"/>
      <sheetName val="rekaprab"/>
      <sheetName val="HALAMAN 1-60"/>
      <sheetName val="Cco (2)"/>
      <sheetName val="rincian A"/>
      <sheetName val="Schedule (1)"/>
      <sheetName val="SALES07"/>
      <sheetName val="SD (1)"/>
      <sheetName val="LOADDAT"/>
      <sheetName val="UPAH DAN BAHAN"/>
      <sheetName val="REKAP  (1)"/>
      <sheetName val="hub"/>
      <sheetName val="TIMBUNAN"/>
      <sheetName val="TIME"/>
      <sheetName val="own"/>
      <sheetName val="Rekp Alt"/>
      <sheetName val=" SAT PL"/>
      <sheetName val="cost recovery"/>
      <sheetName val="B.me@"/>
      <sheetName val="PHU 05"/>
      <sheetName val="U,B"/>
      <sheetName val="Analisa Quarry"/>
      <sheetName val="Devisi 3"/>
      <sheetName val="pbj"/>
      <sheetName val="LAP"/>
      <sheetName val="pek str - ars"/>
      <sheetName val="PLB"/>
      <sheetName val="MENU"/>
      <sheetName val="perikanan"/>
      <sheetName val="BQ-E20-02(Rp)"/>
      <sheetName val="RAB AR&amp;STR"/>
      <sheetName val="TRNS-C1"/>
      <sheetName val=" "/>
      <sheetName val="L_TIGA"/>
      <sheetName val="L-TIGA"/>
      <sheetName val="Rekap Anl"/>
      <sheetName val="Du_lieu"/>
      <sheetName val="DaftarHarga"/>
      <sheetName val="GUT"/>
      <sheetName val="S Kurva"/>
      <sheetName val="ANALISA TENDER"/>
      <sheetName val="datbhn"/>
      <sheetName val="6DHSDBU"/>
      <sheetName val="MC"/>
      <sheetName val="H A R G A 13"/>
      <sheetName val="10.1 (1)"/>
      <sheetName val="10.1 (2)"/>
      <sheetName val="10.1 (3)"/>
      <sheetName val="10.1 (4)"/>
      <sheetName val="10.1 (5)"/>
      <sheetName val="Daft 2_1"/>
      <sheetName val="SUMIF"/>
      <sheetName val="Schd_Alat,Mat"/>
      <sheetName val="terendah"/>
      <sheetName val="bd"/>
      <sheetName val="Rekap Gab"/>
      <sheetName val="Concrete"/>
      <sheetName val="HARGADASAR"/>
      <sheetName val="REKAP PAGAR DEPAN"/>
      <sheetName val="REKAP LOKAL"/>
      <sheetName val="REKAP PAGAR SAMPING"/>
      <sheetName val="REKAP GERBANG"/>
      <sheetName val="Source"/>
      <sheetName val="Informasi"/>
      <sheetName val="Embong-Malang"/>
      <sheetName val="daya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Uraian Upah"/>
      <sheetName val="DETANAL-AUG"/>
      <sheetName val="YRACCT"/>
      <sheetName val="DASH"/>
      <sheetName val="vels"/>
      <sheetName val="Report"/>
      <sheetName val="Grinding by Quarter"/>
      <sheetName val="Scenario"/>
      <sheetName val="Recap"/>
      <sheetName val="Juni-2011"/>
      <sheetName val="Mei-2011"/>
      <sheetName val="LS_Rutin"/>
      <sheetName val="unit_price4"/>
      <sheetName val="Daf_Alat2"/>
      <sheetName val="TBPP-PPKA_(%)_(2)"/>
      <sheetName val="Modal_Kerja"/>
      <sheetName val="form_evaluasi1"/>
      <sheetName val="HArga_BAhan_ME1"/>
      <sheetName val="EE_(3)1"/>
      <sheetName val="pek_tanah_utk_irigasi1"/>
      <sheetName val="K_Lokal1"/>
      <sheetName val="B_D_AHS61"/>
      <sheetName val="TEST_CASE1"/>
      <sheetName val="Upah_1"/>
      <sheetName val="Cash_Flow_bulanan"/>
      <sheetName val="MAP_GAB"/>
      <sheetName val="7_1(3)"/>
      <sheetName val="anl_beton"/>
      <sheetName val="anl_mat"/>
      <sheetName val="B_as"/>
      <sheetName val="anl_sa"/>
      <sheetName val="anl_mep"/>
      <sheetName val="B_me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Rinc_Ged_A_(G_Utama)"/>
      <sheetName val="DHS_AC"/>
      <sheetName val="PRINT_OUT"/>
      <sheetName val="Analisa_(ok)"/>
      <sheetName val="Page_1"/>
      <sheetName val="DATA_2"/>
      <sheetName val="BQ_All-2"/>
      <sheetName val="Analisa_Neraca"/>
      <sheetName val="MINGGU_B_14-17"/>
      <sheetName val="MINGGU_A_14-17"/>
      <sheetName val="MINGGU_F_14-17"/>
      <sheetName val="Anal__Alat"/>
      <sheetName val="anal-drainase,tanah&amp;ps_batu"/>
      <sheetName val="COST-PERSON-J_O_"/>
      <sheetName val="HALAMAN_1-60"/>
      <sheetName val="Stay_Cable_PDMR2"/>
      <sheetName val="work_shop"/>
      <sheetName val="DIV_9"/>
      <sheetName val="B_T"/>
      <sheetName val="HD_ALAT"/>
      <sheetName val="MI(data_base)"/>
      <sheetName val="RANKING_PELAPORAN"/>
      <sheetName val="Uraian_Upah"/>
      <sheetName val="BID_PRC"/>
      <sheetName val="PRC_COMP"/>
      <sheetName val="Plat"/>
      <sheetName val="Material ME"/>
      <sheetName val="Hsatuan-OK"/>
      <sheetName val="BQ-1A prelim"/>
      <sheetName val="SP16"/>
      <sheetName val="idx-03"/>
      <sheetName val="igp-03"/>
      <sheetName val="H-SAT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Luas_Timb_I1"/>
      <sheetName val="Actual_&amp;_Valuation_by_PY"/>
      <sheetName val="Cover_(sh_1)"/>
      <sheetName val="Anl_+"/>
      <sheetName val="Sales_Parameter1"/>
      <sheetName val="AHS_6_3a_(_2a_)1"/>
      <sheetName val="PERALATAN_PROYEK_GOL_III_A1"/>
      <sheetName val="F_1_1_G_ST_1A"/>
      <sheetName val="w't_table"/>
      <sheetName val="Bahan_&amp;_Upah"/>
      <sheetName val="MARK-UP_HARGA_PENAWARAN"/>
      <sheetName val="Sat__Pek_"/>
      <sheetName val="Tie_Beam_GN"/>
      <sheetName val="Tangga_GN"/>
      <sheetName val="MVAC_(4)"/>
      <sheetName val="HSBU_ANA"/>
      <sheetName val="TE_TS_FA_LAN_MATV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3.14 Electrical - 415V (1)"/>
      <sheetName val="Material List T 55 M "/>
      <sheetName val="CFL-KIM"/>
      <sheetName val="MatList"/>
      <sheetName val="W-NAD"/>
      <sheetName val="3-DIV7a"/>
      <sheetName val="Section 2 MastlisteRev02"/>
      <sheetName val="keb-BHN"/>
      <sheetName val="rates"/>
      <sheetName val="CV"/>
      <sheetName val="tbl"/>
      <sheetName val="REV_1702"/>
      <sheetName val="UMUM"/>
      <sheetName val="ListAnalisa"/>
      <sheetName val="pt-perso"/>
      <sheetName val="PRY 01-3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VEN"/>
      <sheetName val="Material-mr"/>
      <sheetName val="BQ-1A"/>
      <sheetName val="variable"/>
      <sheetName val="LAPORAN"/>
      <sheetName val="D5 - telford"/>
      <sheetName val="Uraian"/>
      <sheetName val="Analisa per unit 2"/>
      <sheetName val="Hrg Satuan"/>
      <sheetName val="an (1)"/>
      <sheetName val="PRELIM_PRECAST_SYS"/>
      <sheetName val="SAN_REDUCED_1"/>
      <sheetName val="Analisa ARS"/>
      <sheetName val="UnitRate"/>
      <sheetName val="RANGKUM"/>
      <sheetName val="BBC"/>
      <sheetName val="Download1"/>
      <sheetName val="Estate Housing"/>
      <sheetName val="Marshal"/>
      <sheetName val="RESUME REALISASI"/>
      <sheetName val="D HARGA"/>
      <sheetName val="extern"/>
      <sheetName val="PL SPP per ton"/>
      <sheetName val="LAMP_2.2"/>
      <sheetName val="610.05"/>
      <sheetName val="SE"/>
      <sheetName val="Significant Processes"/>
      <sheetName val="AnAlat"/>
      <sheetName val="MT-C"/>
      <sheetName val="5.NP"/>
      <sheetName val="hL-Kudus(1)"/>
      <sheetName val="UnitR"/>
      <sheetName val="RAB KapukII"/>
      <sheetName val="BAU"/>
      <sheetName val="1.General "/>
      <sheetName val="Regen Schedule"/>
      <sheetName val="Rekap."/>
      <sheetName val="Settlement"/>
      <sheetName val="Meth "/>
      <sheetName val="H Satuan Dasar"/>
      <sheetName val="Typical Cross Section"/>
      <sheetName val="Upah Bahan Alat"/>
      <sheetName val="backup mc_0"/>
      <sheetName val="Upah,Bahan, Alat"/>
      <sheetName val="AHS Aspal"/>
      <sheetName val="bilangan"/>
      <sheetName val="Bulanan"/>
      <sheetName val="HRG SAT"/>
      <sheetName val="Gen"/>
      <sheetName val="Dist_analys"/>
      <sheetName val="U.P."/>
      <sheetName val="lamp. 12"/>
      <sheetName val="kalibrasi-Tank"/>
      <sheetName val="Master Dat"/>
      <sheetName val="boq2"/>
      <sheetName val="KURVA_100%"/>
      <sheetName val="RANGE BAHAN"/>
      <sheetName val="Steel-Tw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2">
          <cell r="B32" t="str">
            <v>2.3(1)</v>
          </cell>
          <cell r="C32" t="str">
            <v>Gorong-gorong pipa beton bertulang diameter dalam</v>
          </cell>
          <cell r="D32" t="str">
            <v>Gorong-gorong pipa beton bertulang diameter dalam</v>
          </cell>
          <cell r="E32">
            <v>0</v>
          </cell>
          <cell r="F32" t="str">
            <v>m</v>
          </cell>
          <cell r="G32">
            <v>0</v>
          </cell>
          <cell r="H32">
            <v>0</v>
          </cell>
          <cell r="I32">
            <v>0</v>
          </cell>
        </row>
        <row r="33">
          <cell r="D33" t="str">
            <v>80 cm -120 cm.</v>
          </cell>
        </row>
        <row r="34">
          <cell r="B34" t="str">
            <v>2.3(2)</v>
          </cell>
          <cell r="C34" t="str">
            <v>Gorong-gorong pipa baja gelombang.</v>
          </cell>
          <cell r="D34" t="str">
            <v>Gorong-gorong pipa baja gelombang.</v>
          </cell>
          <cell r="E34">
            <v>0</v>
          </cell>
          <cell r="F34" t="str">
            <v>ton</v>
          </cell>
          <cell r="G34">
            <v>0</v>
          </cell>
          <cell r="H34">
            <v>0</v>
          </cell>
          <cell r="I34">
            <v>0</v>
          </cell>
        </row>
        <row r="35">
          <cell r="I35">
            <v>0</v>
          </cell>
        </row>
        <row r="36">
          <cell r="B36" t="str">
            <v>2.3 (3)</v>
          </cell>
          <cell r="C36" t="str">
            <v>Saluran Beton Bertulang U  20 - 40 cm</v>
          </cell>
          <cell r="D36" t="str">
            <v>Saluran Beton Bertulang U  20 - 40 cm</v>
          </cell>
          <cell r="E36" t="e">
            <v>#REF!</v>
          </cell>
          <cell r="F36" t="str">
            <v>m</v>
          </cell>
          <cell r="G36">
            <v>0</v>
          </cell>
          <cell r="H36" t="e">
            <v>#REF!</v>
          </cell>
          <cell r="I36" t="e">
            <v>#REF!</v>
          </cell>
        </row>
        <row r="38">
          <cell r="B38" t="str">
            <v>2.3 (4)</v>
          </cell>
          <cell r="C38" t="str">
            <v>Saluran Beton Bertulang U  40 - 60 cm</v>
          </cell>
          <cell r="D38" t="str">
            <v>Saluran Beton Bertulang U  40 - 60 cm</v>
          </cell>
          <cell r="E38" t="e">
            <v>#REF!</v>
          </cell>
          <cell r="F38" t="str">
            <v>m</v>
          </cell>
          <cell r="G38">
            <v>0</v>
          </cell>
          <cell r="H38" t="e">
            <v>#REF!</v>
          </cell>
          <cell r="I38" t="e">
            <v>#REF!</v>
          </cell>
        </row>
        <row r="40">
          <cell r="B40" t="str">
            <v>2.4 (1)</v>
          </cell>
          <cell r="C40" t="str">
            <v xml:space="preserve">Urugan Berongga Atau Material Penyaring </v>
          </cell>
          <cell r="D40" t="str">
            <v xml:space="preserve">Urugan Berongga Atau Material Penyaring </v>
          </cell>
          <cell r="E40" t="e">
            <v>#REF!</v>
          </cell>
          <cell r="F40" t="str">
            <v>m3</v>
          </cell>
          <cell r="G40">
            <v>0</v>
          </cell>
          <cell r="H40" t="e">
            <v>#REF!</v>
          </cell>
          <cell r="I40" t="e">
            <v>#REF!</v>
          </cell>
        </row>
        <row r="42">
          <cell r="B42" t="str">
            <v>2.4(2)</v>
          </cell>
          <cell r="C42" t="str">
            <v>Pekerjaan drainase dibawah permukaan.</v>
          </cell>
          <cell r="D42" t="str">
            <v>Pekerjaan drainase dibawah permukaan.</v>
          </cell>
          <cell r="E42">
            <v>0</v>
          </cell>
          <cell r="F42" t="str">
            <v>m3</v>
          </cell>
          <cell r="G42">
            <v>0</v>
          </cell>
          <cell r="H42">
            <v>0</v>
          </cell>
          <cell r="I42">
            <v>0</v>
          </cell>
        </row>
        <row r="56">
          <cell r="B56" t="str">
            <v>3.1.(3a)</v>
          </cell>
          <cell r="C56" t="str">
            <v>Galian Kontruksi Kedalaman 0 - 2 m</v>
          </cell>
          <cell r="D56" t="str">
            <v>Galian Kontruksi Kedalaman 0 - 2 m</v>
          </cell>
          <cell r="E56">
            <v>0</v>
          </cell>
          <cell r="F56" t="str">
            <v>m3</v>
          </cell>
          <cell r="G56">
            <v>0</v>
          </cell>
          <cell r="H56">
            <v>0</v>
          </cell>
          <cell r="I56">
            <v>0</v>
          </cell>
        </row>
        <row r="58">
          <cell r="B58" t="str">
            <v>3.1.(3b)</v>
          </cell>
          <cell r="C58" t="str">
            <v>Galian Kontruksi Kedalaman 2 - 4 m</v>
          </cell>
          <cell r="D58" t="str">
            <v>Galian Kontruksi Kedalaman 2 - 4 m</v>
          </cell>
          <cell r="E58">
            <v>0</v>
          </cell>
          <cell r="F58" t="str">
            <v>m3</v>
          </cell>
          <cell r="G58">
            <v>0</v>
          </cell>
          <cell r="H58">
            <v>0</v>
          </cell>
          <cell r="I58">
            <v>0</v>
          </cell>
        </row>
        <row r="60">
          <cell r="B60" t="str">
            <v>3.1.(3c)</v>
          </cell>
          <cell r="C60" t="str">
            <v>Galian Kontruksi Kedalaman 4 - 6 m</v>
          </cell>
          <cell r="D60" t="str">
            <v>Galian Kontruksi Kedalaman 4 - 6 m</v>
          </cell>
          <cell r="E60">
            <v>0</v>
          </cell>
          <cell r="F60" t="str">
            <v>m3</v>
          </cell>
          <cell r="G60">
            <v>0</v>
          </cell>
          <cell r="H60">
            <v>0</v>
          </cell>
          <cell r="I60">
            <v>0</v>
          </cell>
        </row>
        <row r="62">
          <cell r="B62" t="str">
            <v>3.1.(4)</v>
          </cell>
          <cell r="C62" t="str">
            <v>Kisdam Pengering</v>
          </cell>
          <cell r="D62" t="str">
            <v>Kisdam Pengering</v>
          </cell>
          <cell r="E62">
            <v>0</v>
          </cell>
          <cell r="F62" t="str">
            <v>Ls</v>
          </cell>
          <cell r="G62">
            <v>0</v>
          </cell>
          <cell r="H62">
            <v>0</v>
          </cell>
          <cell r="I62">
            <v>0</v>
          </cell>
        </row>
        <row r="70">
          <cell r="B70" t="str">
            <v>3.4(1)</v>
          </cell>
          <cell r="C70" t="str">
            <v>Resapan pasir vertikal (diameter ....  cm)</v>
          </cell>
          <cell r="D70" t="str">
            <v>Resapan pasir vertikal (diameter ....  cm)</v>
          </cell>
          <cell r="E70">
            <v>0</v>
          </cell>
          <cell r="F70" t="str">
            <v>m</v>
          </cell>
          <cell r="G70">
            <v>0</v>
          </cell>
          <cell r="H70">
            <v>0</v>
          </cell>
          <cell r="I70">
            <v>0</v>
          </cell>
        </row>
        <row r="72">
          <cell r="B72" t="str">
            <v>3.4(2)</v>
          </cell>
          <cell r="C72" t="str">
            <v>Resapan pasir mendatar.</v>
          </cell>
          <cell r="D72" t="str">
            <v>Resapan pasir mendatar.</v>
          </cell>
          <cell r="E72">
            <v>0</v>
          </cell>
          <cell r="F72" t="str">
            <v>m3</v>
          </cell>
          <cell r="G72">
            <v>0</v>
          </cell>
          <cell r="H72">
            <v>0</v>
          </cell>
          <cell r="I72">
            <v>0</v>
          </cell>
        </row>
        <row r="86">
          <cell r="B86" t="str">
            <v>4.2(5)</v>
          </cell>
          <cell r="C86" t="str">
            <v>Bahu jalan agregat batu kapur.</v>
          </cell>
          <cell r="D86" t="str">
            <v>Bahu jalan agregat batu kapur.</v>
          </cell>
          <cell r="E86">
            <v>0</v>
          </cell>
          <cell r="F86" t="str">
            <v>m3</v>
          </cell>
          <cell r="G86">
            <v>0</v>
          </cell>
          <cell r="H86">
            <v>0</v>
          </cell>
          <cell r="I86">
            <v>0</v>
          </cell>
        </row>
        <row r="88">
          <cell r="B88" t="str">
            <v>4.2(6)</v>
          </cell>
          <cell r="C88" t="str">
            <v>Bahu jalan beton K . . . .</v>
          </cell>
          <cell r="D88" t="str">
            <v>Bahu jalan beton K . . . .</v>
          </cell>
          <cell r="E88">
            <v>0</v>
          </cell>
          <cell r="F88" t="str">
            <v>m3</v>
          </cell>
          <cell r="G88">
            <v>0</v>
          </cell>
          <cell r="H88">
            <v>0</v>
          </cell>
          <cell r="I88">
            <v>0</v>
          </cell>
        </row>
        <row r="90">
          <cell r="B90" t="str">
            <v>4.2(7)</v>
          </cell>
          <cell r="C90" t="str">
            <v>Bahu jalan paving block K . . . .</v>
          </cell>
          <cell r="D90" t="str">
            <v>Bahu jalan paving block K . . . .</v>
          </cell>
          <cell r="E90">
            <v>0</v>
          </cell>
          <cell r="F90" t="str">
            <v>m2</v>
          </cell>
          <cell r="G90">
            <v>0</v>
          </cell>
          <cell r="H90">
            <v>0</v>
          </cell>
          <cell r="I90">
            <v>0</v>
          </cell>
        </row>
        <row r="104">
          <cell r="B104">
            <v>5.3</v>
          </cell>
          <cell r="C104" t="str">
            <v>Lapis pondasi agregat Cement Treated Base (CTB).</v>
          </cell>
          <cell r="D104" t="str">
            <v>Lapis pondasi agregat Cement Treated Base (CTB).</v>
          </cell>
          <cell r="E104">
            <v>0</v>
          </cell>
          <cell r="F104" t="str">
            <v>m3</v>
          </cell>
          <cell r="G104">
            <v>0</v>
          </cell>
          <cell r="H104">
            <v>0</v>
          </cell>
          <cell r="I104">
            <v>0</v>
          </cell>
        </row>
        <row r="106">
          <cell r="B106" t="str">
            <v>5.4(1)</v>
          </cell>
          <cell r="C106" t="str">
            <v>Semen untuk lapis pondasi tanah semen.</v>
          </cell>
          <cell r="D106" t="str">
            <v>Semen untuk lapis pondasi tanah semen.</v>
          </cell>
          <cell r="E106">
            <v>0</v>
          </cell>
          <cell r="F106" t="str">
            <v>Ton</v>
          </cell>
          <cell r="G106">
            <v>0</v>
          </cell>
          <cell r="H106">
            <v>0</v>
          </cell>
          <cell r="I106">
            <v>0</v>
          </cell>
        </row>
        <row r="108">
          <cell r="B108" t="str">
            <v>5.4(2)</v>
          </cell>
          <cell r="C108" t="str">
            <v>Tanah untuk lapis pondasi tanah semen.</v>
          </cell>
          <cell r="D108" t="str">
            <v>Tanah untuk lapis pondasi tanah semen.</v>
          </cell>
          <cell r="E108">
            <v>0</v>
          </cell>
          <cell r="F108" t="str">
            <v>m3</v>
          </cell>
          <cell r="G108">
            <v>0</v>
          </cell>
          <cell r="H108">
            <v>0</v>
          </cell>
          <cell r="I108">
            <v>0</v>
          </cell>
        </row>
        <row r="126">
          <cell r="B126" t="str">
            <v>6.3(1)</v>
          </cell>
          <cell r="C126" t="str">
            <v>Latasir (sand sheet).</v>
          </cell>
          <cell r="D126" t="str">
            <v>Latasir (sand sheet).</v>
          </cell>
          <cell r="E126">
            <v>0</v>
          </cell>
          <cell r="F126" t="str">
            <v>m2</v>
          </cell>
          <cell r="G126">
            <v>0</v>
          </cell>
          <cell r="H126">
            <v>0</v>
          </cell>
          <cell r="I126">
            <v>0</v>
          </cell>
        </row>
        <row r="142">
          <cell r="B142" t="str">
            <v>7.1 (1)</v>
          </cell>
          <cell r="C142" t="str">
            <v>Beton K-350</v>
          </cell>
          <cell r="D142" t="str">
            <v>Beton K-350</v>
          </cell>
          <cell r="E142">
            <v>0</v>
          </cell>
          <cell r="F142" t="str">
            <v>m3</v>
          </cell>
          <cell r="G142">
            <v>0</v>
          </cell>
          <cell r="H142">
            <v>0</v>
          </cell>
          <cell r="I142">
            <v>0</v>
          </cell>
        </row>
        <row r="144">
          <cell r="B144" t="str">
            <v>7.1 (2)</v>
          </cell>
          <cell r="C144" t="str">
            <v>Beton K-300</v>
          </cell>
          <cell r="D144" t="str">
            <v>Beton K-300</v>
          </cell>
          <cell r="E144">
            <v>0</v>
          </cell>
          <cell r="F144" t="str">
            <v>m3</v>
          </cell>
          <cell r="G144">
            <v>0</v>
          </cell>
          <cell r="H144">
            <v>0</v>
          </cell>
          <cell r="I144">
            <v>0</v>
          </cell>
        </row>
        <row r="146">
          <cell r="B146" t="str">
            <v>7.1 (3)</v>
          </cell>
          <cell r="C146" t="str">
            <v>Beton K-275</v>
          </cell>
          <cell r="D146" t="str">
            <v>Beton K-275</v>
          </cell>
          <cell r="E146">
            <v>0</v>
          </cell>
          <cell r="F146" t="str">
            <v>m3</v>
          </cell>
          <cell r="G146">
            <v>0</v>
          </cell>
          <cell r="H146">
            <v>0</v>
          </cell>
          <cell r="I146">
            <v>0</v>
          </cell>
        </row>
        <row r="152">
          <cell r="B152" t="str">
            <v>7.1 (6)</v>
          </cell>
          <cell r="C152" t="str">
            <v>Beton Siklop ( K-175)</v>
          </cell>
          <cell r="D152" t="str">
            <v>Beton Siklop ( K-175)</v>
          </cell>
          <cell r="E152">
            <v>0</v>
          </cell>
          <cell r="F152" t="str">
            <v>m3</v>
          </cell>
          <cell r="G152">
            <v>0</v>
          </cell>
          <cell r="H152">
            <v>0</v>
          </cell>
          <cell r="I152">
            <v>0</v>
          </cell>
        </row>
        <row r="154">
          <cell r="B154" t="str">
            <v>7.1 (7)</v>
          </cell>
          <cell r="C154" t="str">
            <v>Beton Siklop ( K-225)</v>
          </cell>
          <cell r="D154" t="str">
            <v>Beton Siklop ( K-225)</v>
          </cell>
          <cell r="E154">
            <v>0</v>
          </cell>
          <cell r="F154" t="str">
            <v>m3</v>
          </cell>
          <cell r="G154">
            <v>0</v>
          </cell>
          <cell r="H154">
            <v>0</v>
          </cell>
          <cell r="I154">
            <v>0</v>
          </cell>
        </row>
        <row r="158">
          <cell r="B158" t="str">
            <v xml:space="preserve">7.1 (9) </v>
          </cell>
          <cell r="C158" t="str">
            <v>Tambahan biaya perancah beton dgn ketinggian diatas 5 m</v>
          </cell>
          <cell r="D158" t="str">
            <v>Tambahan biaya perancah beton dgn ketinggian diatas 5 m</v>
          </cell>
          <cell r="E158">
            <v>0</v>
          </cell>
          <cell r="F158" t="str">
            <v>m3</v>
          </cell>
          <cell r="G158">
            <v>0</v>
          </cell>
          <cell r="H158">
            <v>0</v>
          </cell>
          <cell r="I158">
            <v>0</v>
          </cell>
        </row>
        <row r="160">
          <cell r="B160" t="str">
            <v>7.2(1a)</v>
          </cell>
          <cell r="C160" t="str">
            <v>Pengadaan trucuk kayu dia ..... cm.</v>
          </cell>
          <cell r="D160" t="str">
            <v>Pengadaan trucuk kayu dia ..... cm.</v>
          </cell>
          <cell r="E160">
            <v>0</v>
          </cell>
          <cell r="F160" t="str">
            <v>m</v>
          </cell>
          <cell r="G160">
            <v>0</v>
          </cell>
          <cell r="H160">
            <v>0</v>
          </cell>
          <cell r="I160">
            <v>0</v>
          </cell>
        </row>
        <row r="162">
          <cell r="B162" t="str">
            <v>7.2(1 b)</v>
          </cell>
          <cell r="C162" t="str">
            <v>Pengadaan trucuk bambu dia ..... cm.</v>
          </cell>
          <cell r="D162" t="str">
            <v>Pengadaan trucuk bambu dia ..... cm.</v>
          </cell>
          <cell r="E162">
            <v>0</v>
          </cell>
          <cell r="F162" t="str">
            <v>m</v>
          </cell>
          <cell r="G162">
            <v>0</v>
          </cell>
          <cell r="H162">
            <v>0</v>
          </cell>
          <cell r="I162">
            <v>0</v>
          </cell>
        </row>
        <row r="164">
          <cell r="B164" t="str">
            <v>7.2(2)</v>
          </cell>
          <cell r="C164" t="str">
            <v>Pengadaan tiang pancang kayu dia ..... cm.</v>
          </cell>
          <cell r="D164" t="str">
            <v>Pengadaan tiang pancang kayu dia ..... cm.</v>
          </cell>
          <cell r="E164">
            <v>0</v>
          </cell>
          <cell r="F164" t="str">
            <v>m</v>
          </cell>
          <cell r="G164">
            <v>0</v>
          </cell>
          <cell r="H164">
            <v>0</v>
          </cell>
          <cell r="I164">
            <v>0</v>
          </cell>
        </row>
        <row r="166">
          <cell r="B166" t="str">
            <v>7.2(3)</v>
          </cell>
          <cell r="C166" t="str">
            <v>Pengadaan tiang pancang baja dia ..... cm.</v>
          </cell>
          <cell r="D166" t="str">
            <v>Pengadaan tiang pancang baja dia ..... cm.</v>
          </cell>
          <cell r="E166">
            <v>0</v>
          </cell>
          <cell r="F166" t="str">
            <v>m</v>
          </cell>
          <cell r="G166">
            <v>0</v>
          </cell>
          <cell r="H166">
            <v>0</v>
          </cell>
          <cell r="I166">
            <v>0</v>
          </cell>
        </row>
        <row r="168">
          <cell r="B168" t="str">
            <v>7.2(4)</v>
          </cell>
          <cell r="C168" t="str">
            <v>Pengadaan tiang pancang beton uk . . . x .   . cm</v>
          </cell>
          <cell r="D168" t="str">
            <v>Pengadaan tiang pancang beton uk . . . x .   . cm</v>
          </cell>
          <cell r="E168">
            <v>0</v>
          </cell>
          <cell r="F168" t="str">
            <v>m</v>
          </cell>
          <cell r="G168">
            <v>0</v>
          </cell>
          <cell r="H168">
            <v>0</v>
          </cell>
          <cell r="I168">
            <v>0</v>
          </cell>
        </row>
        <row r="170">
          <cell r="B170" t="str">
            <v>7.2(5)</v>
          </cell>
          <cell r="C170" t="str">
            <v>Pengadaan tiang pancang beton dia ... cm.</v>
          </cell>
          <cell r="D170" t="str">
            <v>Pengadaan tiang pancang beton dia ... cm.</v>
          </cell>
          <cell r="E170">
            <v>0</v>
          </cell>
          <cell r="F170" t="str">
            <v>m</v>
          </cell>
          <cell r="G170">
            <v>0</v>
          </cell>
          <cell r="H170">
            <v>0</v>
          </cell>
          <cell r="I170">
            <v>0</v>
          </cell>
        </row>
        <row r="172">
          <cell r="B172" t="str">
            <v>7.2(6)</v>
          </cell>
          <cell r="C172" t="str">
            <v>Pengadaan Sheet Pile baja.</v>
          </cell>
          <cell r="D172" t="str">
            <v>Pengadaan Sheet Pile baja.</v>
          </cell>
          <cell r="E172">
            <v>0</v>
          </cell>
          <cell r="F172" t="str">
            <v>m</v>
          </cell>
          <cell r="G172">
            <v>0</v>
          </cell>
          <cell r="H172">
            <v>0</v>
          </cell>
          <cell r="I172">
            <v>0</v>
          </cell>
        </row>
        <row r="174">
          <cell r="B174" t="str">
            <v>7.2(7)</v>
          </cell>
          <cell r="C174" t="str">
            <v>Pengadaan Sheet Pile beton.</v>
          </cell>
          <cell r="D174" t="str">
            <v>Pengadaan Sheet Pile beton.</v>
          </cell>
          <cell r="E174">
            <v>0</v>
          </cell>
          <cell r="F174" t="str">
            <v>m</v>
          </cell>
          <cell r="G174">
            <v>0</v>
          </cell>
          <cell r="H174">
            <v>0</v>
          </cell>
          <cell r="I174">
            <v>0</v>
          </cell>
        </row>
        <row r="176">
          <cell r="B176" t="str">
            <v>7.2(8a)</v>
          </cell>
          <cell r="C176" t="str">
            <v>Pemancangan trucuk kayu dia ..... cm.</v>
          </cell>
          <cell r="D176" t="str">
            <v>Pemancangan trucuk kayu dia ..... cm.</v>
          </cell>
          <cell r="E176">
            <v>0</v>
          </cell>
          <cell r="F176" t="str">
            <v>m</v>
          </cell>
          <cell r="G176">
            <v>0</v>
          </cell>
          <cell r="H176">
            <v>0</v>
          </cell>
          <cell r="I176">
            <v>0</v>
          </cell>
        </row>
        <row r="178">
          <cell r="B178" t="str">
            <v>7.2(8b)</v>
          </cell>
          <cell r="C178" t="str">
            <v>Pemancangan trucuk bambu dia ..... cm.</v>
          </cell>
          <cell r="D178" t="str">
            <v>Pemancangan trucuk bambu dia ..... cm.</v>
          </cell>
          <cell r="E178">
            <v>0</v>
          </cell>
          <cell r="F178" t="str">
            <v>m</v>
          </cell>
          <cell r="G178">
            <v>0</v>
          </cell>
          <cell r="H178">
            <v>0</v>
          </cell>
          <cell r="I178">
            <v>0</v>
          </cell>
        </row>
        <row r="180">
          <cell r="B180" t="str">
            <v>7.2(9)</v>
          </cell>
          <cell r="C180" t="str">
            <v>Pemancangan tiang pancang kayu dia ..... cm.</v>
          </cell>
          <cell r="D180" t="str">
            <v>Pemancangan tiang pancang kayu dia ..... cm.</v>
          </cell>
          <cell r="E180">
            <v>0</v>
          </cell>
          <cell r="F180" t="str">
            <v>m</v>
          </cell>
          <cell r="G180">
            <v>0</v>
          </cell>
          <cell r="H180">
            <v>0</v>
          </cell>
          <cell r="I180">
            <v>0</v>
          </cell>
        </row>
        <row r="182">
          <cell r="B182" t="str">
            <v>7.2(10)</v>
          </cell>
          <cell r="C182" t="str">
            <v>Pemancangan tiang pancang baja dia ..... cm.</v>
          </cell>
          <cell r="D182" t="str">
            <v>Pemancangan tiang pancang baja dia ..... cm.</v>
          </cell>
          <cell r="E182">
            <v>0</v>
          </cell>
          <cell r="F182" t="str">
            <v>m</v>
          </cell>
          <cell r="G182">
            <v>0</v>
          </cell>
          <cell r="H182">
            <v>0</v>
          </cell>
          <cell r="I182">
            <v>0</v>
          </cell>
        </row>
        <row r="184">
          <cell r="B184" t="str">
            <v>7.2(11)</v>
          </cell>
          <cell r="C184" t="str">
            <v>Pemancangan tiang pancang beton uk ... x ... cm.</v>
          </cell>
          <cell r="D184" t="str">
            <v>Pemancangan tiang pancang beton uk ... x ... cm.</v>
          </cell>
          <cell r="E184">
            <v>0</v>
          </cell>
          <cell r="F184" t="str">
            <v>m</v>
          </cell>
          <cell r="G184">
            <v>0</v>
          </cell>
          <cell r="H184">
            <v>0</v>
          </cell>
          <cell r="I184">
            <v>0</v>
          </cell>
        </row>
        <row r="186">
          <cell r="B186" t="str">
            <v>7.2 (12)</v>
          </cell>
          <cell r="C186" t="str">
            <v>Pemancangan Tiang Pancang Beton Dia 45 Cm</v>
          </cell>
          <cell r="D186" t="str">
            <v>Pemancangan Tiang Pancang Beton Dia 45 Cm</v>
          </cell>
          <cell r="E186">
            <v>0</v>
          </cell>
          <cell r="F186" t="str">
            <v>M'</v>
          </cell>
          <cell r="G186">
            <v>0</v>
          </cell>
          <cell r="H186">
            <v>0</v>
          </cell>
          <cell r="I186">
            <v>0</v>
          </cell>
        </row>
        <row r="188">
          <cell r="B188" t="str">
            <v>7.2(13)</v>
          </cell>
          <cell r="C188" t="str">
            <v>Pemancangan Sheet Pile baja.</v>
          </cell>
          <cell r="D188" t="str">
            <v>Pemancangan Sheet Pile baja.</v>
          </cell>
          <cell r="E188">
            <v>0</v>
          </cell>
          <cell r="F188" t="str">
            <v>m</v>
          </cell>
          <cell r="G188">
            <v>0</v>
          </cell>
          <cell r="H188">
            <v>0</v>
          </cell>
          <cell r="I188">
            <v>0</v>
          </cell>
        </row>
        <row r="190">
          <cell r="B190" t="str">
            <v>7.2(14)</v>
          </cell>
          <cell r="C190" t="str">
            <v>Pemancangan Sheet Pile beton.</v>
          </cell>
          <cell r="D190" t="str">
            <v>Pemancangan Sheet Pile beton.</v>
          </cell>
          <cell r="E190">
            <v>0</v>
          </cell>
          <cell r="F190" t="str">
            <v>m</v>
          </cell>
          <cell r="G190">
            <v>0</v>
          </cell>
          <cell r="H190">
            <v>0</v>
          </cell>
          <cell r="I190">
            <v>0</v>
          </cell>
        </row>
        <row r="194">
          <cell r="B194" t="str">
            <v>7.3(2)</v>
          </cell>
          <cell r="C194" t="str">
            <v>Baja tulangan U24 ulir.</v>
          </cell>
          <cell r="D194" t="str">
            <v>Baja tulangan U24 ulir.</v>
          </cell>
          <cell r="E194">
            <v>0</v>
          </cell>
          <cell r="F194" t="str">
            <v>kg</v>
          </cell>
          <cell r="G194">
            <v>0</v>
          </cell>
          <cell r="H194">
            <v>0</v>
          </cell>
          <cell r="I194">
            <v>0</v>
          </cell>
        </row>
        <row r="198">
          <cell r="B198" t="str">
            <v>7.4(1)</v>
          </cell>
          <cell r="C198" t="str">
            <v>Pabrikasi dan pemasangan baja bangunan, tegangan</v>
          </cell>
          <cell r="D198" t="str">
            <v>Pabrikasi dan pemasangan baja bangunan, tegangan</v>
          </cell>
          <cell r="E198">
            <v>0</v>
          </cell>
          <cell r="F198" t="str">
            <v>kg</v>
          </cell>
          <cell r="G198">
            <v>0</v>
          </cell>
          <cell r="H198">
            <v>0</v>
          </cell>
          <cell r="I198">
            <v>0</v>
          </cell>
        </row>
        <row r="199">
          <cell r="D199" t="str">
            <v>leleh 28 kg/mm2 untuk pipa railing dan drainase.</v>
          </cell>
        </row>
        <row r="200">
          <cell r="B200" t="str">
            <v>7.4(2)</v>
          </cell>
          <cell r="C200" t="str">
            <v>Pabrikasi dan pemasangan baja bangunan, tegangan</v>
          </cell>
          <cell r="D200" t="str">
            <v>Pabrikasi dan pemasangan baja bangunan, tegangan</v>
          </cell>
          <cell r="E200">
            <v>0</v>
          </cell>
          <cell r="F200" t="str">
            <v>kg</v>
          </cell>
          <cell r="G200">
            <v>0</v>
          </cell>
          <cell r="H200">
            <v>0</v>
          </cell>
          <cell r="I200">
            <v>0</v>
          </cell>
        </row>
        <row r="201">
          <cell r="D201" t="str">
            <v>leleh 35 kg/mm2 untuk plat dan profil.</v>
          </cell>
        </row>
        <row r="202">
          <cell r="B202" t="str">
            <v>7.4(3)</v>
          </cell>
          <cell r="C202" t="str">
            <v>Perletakan baja.</v>
          </cell>
          <cell r="D202" t="str">
            <v>Perletakan baja.</v>
          </cell>
          <cell r="E202">
            <v>0</v>
          </cell>
          <cell r="F202" t="str">
            <v>kg</v>
          </cell>
          <cell r="G202">
            <v>0</v>
          </cell>
          <cell r="H202">
            <v>0</v>
          </cell>
          <cell r="I202">
            <v>0</v>
          </cell>
        </row>
        <row r="204">
          <cell r="B204" t="str">
            <v>7.4(4)</v>
          </cell>
          <cell r="C204" t="str">
            <v>Perletakan elastomeric.</v>
          </cell>
          <cell r="D204" t="str">
            <v>Perletakan elastomeric.</v>
          </cell>
          <cell r="E204">
            <v>0</v>
          </cell>
          <cell r="F204" t="str">
            <v>dm3</v>
          </cell>
          <cell r="G204">
            <v>0</v>
          </cell>
          <cell r="H204">
            <v>0</v>
          </cell>
          <cell r="I204">
            <v>0</v>
          </cell>
        </row>
        <row r="206">
          <cell r="B206" t="str">
            <v>7.4(5)</v>
          </cell>
          <cell r="C206" t="str">
            <v>Pemasangan lengkap bangunan atas Steel Plate Girder.</v>
          </cell>
          <cell r="D206" t="str">
            <v>Pemasangan lengkap bangunan atas Steel Plate Girder.</v>
          </cell>
          <cell r="E206">
            <v>0</v>
          </cell>
          <cell r="F206" t="str">
            <v>kg</v>
          </cell>
          <cell r="G206">
            <v>0</v>
          </cell>
          <cell r="H206">
            <v>0</v>
          </cell>
          <cell r="I206">
            <v>0</v>
          </cell>
        </row>
        <row r="208">
          <cell r="B208" t="str">
            <v>7.4(6)</v>
          </cell>
          <cell r="C208" t="str">
            <v>Pemasangan lengkap bangunan atas Rangka Baja.</v>
          </cell>
          <cell r="D208" t="str">
            <v>Pemasangan lengkap bangunan atas Rangka Baja.</v>
          </cell>
          <cell r="E208">
            <v>0</v>
          </cell>
          <cell r="F208" t="str">
            <v>kg</v>
          </cell>
          <cell r="G208">
            <v>0</v>
          </cell>
          <cell r="H208">
            <v>0</v>
          </cell>
          <cell r="I208">
            <v>0</v>
          </cell>
        </row>
        <row r="210">
          <cell r="B210" t="str">
            <v>7.5(1)</v>
          </cell>
          <cell r="C210" t="str">
            <v>Sumuran silinder diameter .... cm.</v>
          </cell>
          <cell r="D210" t="str">
            <v>Sumuran silinder diameter .... cm.</v>
          </cell>
          <cell r="E210">
            <v>0</v>
          </cell>
          <cell r="F210" t="str">
            <v>m</v>
          </cell>
          <cell r="G210">
            <v>0</v>
          </cell>
          <cell r="H210">
            <v>0</v>
          </cell>
          <cell r="I210">
            <v>0</v>
          </cell>
        </row>
        <row r="212">
          <cell r="B212" t="str">
            <v>7.5(2)</v>
          </cell>
          <cell r="C212" t="str">
            <v>Sumuran box ukuran .... cm x .... cm.</v>
          </cell>
          <cell r="D212" t="str">
            <v>Sumuran box ukuran .... cm x .... cm.</v>
          </cell>
          <cell r="E212">
            <v>0</v>
          </cell>
          <cell r="F212" t="str">
            <v>m</v>
          </cell>
          <cell r="G212">
            <v>0</v>
          </cell>
          <cell r="H212">
            <v>0</v>
          </cell>
          <cell r="I212">
            <v>0</v>
          </cell>
        </row>
        <row r="214">
          <cell r="B214" t="str">
            <v>7.5(3)</v>
          </cell>
          <cell r="C214" t="str">
            <v>Menurunkan sumuran silinder diameter .... cm.</v>
          </cell>
          <cell r="D214" t="str">
            <v>Menurunkan sumuran silinder diameter .... cm.</v>
          </cell>
          <cell r="E214">
            <v>0</v>
          </cell>
          <cell r="F214" t="str">
            <v>m</v>
          </cell>
          <cell r="G214">
            <v>0</v>
          </cell>
          <cell r="H214">
            <v>0</v>
          </cell>
          <cell r="I214">
            <v>0</v>
          </cell>
        </row>
        <row r="216">
          <cell r="B216" t="str">
            <v>7.5(4)</v>
          </cell>
          <cell r="C216" t="str">
            <v>Menurunkan sumuran box ukuran .... cm x .... cm.</v>
          </cell>
          <cell r="D216" t="str">
            <v>Menurunkan sumuran box ukuran .... cm x .... cm.</v>
          </cell>
          <cell r="E216">
            <v>0</v>
          </cell>
          <cell r="F216" t="str">
            <v>m</v>
          </cell>
          <cell r="G216">
            <v>0</v>
          </cell>
          <cell r="H216">
            <v>0</v>
          </cell>
          <cell r="I216">
            <v>0</v>
          </cell>
        </row>
        <row r="218">
          <cell r="B218" t="str">
            <v>7.6(1)</v>
          </cell>
          <cell r="C218" t="str">
            <v>Beton Pratekan cast-in place bentang . . . . M.</v>
          </cell>
          <cell r="D218" t="str">
            <v>Beton Pratekan cast-in place bentang . . . . M.</v>
          </cell>
          <cell r="E218">
            <v>0</v>
          </cell>
          <cell r="F218" t="str">
            <v>Buah</v>
          </cell>
          <cell r="G218">
            <v>0</v>
          </cell>
          <cell r="H218">
            <v>0</v>
          </cell>
          <cell r="I218">
            <v>0</v>
          </cell>
        </row>
        <row r="220">
          <cell r="B220" t="str">
            <v>7.6(2)</v>
          </cell>
          <cell r="C220" t="str">
            <v>Beton Pratekan pre-cast bentang . . . . M.</v>
          </cell>
          <cell r="D220" t="str">
            <v>Beton Pratekan pre-cast bentang . . . . M.</v>
          </cell>
          <cell r="E220">
            <v>0</v>
          </cell>
          <cell r="F220" t="str">
            <v>Buah</v>
          </cell>
          <cell r="G220">
            <v>0</v>
          </cell>
          <cell r="H220">
            <v>0</v>
          </cell>
          <cell r="I220">
            <v>0</v>
          </cell>
        </row>
        <row r="222">
          <cell r="B222" t="str">
            <v>7.6(3)</v>
          </cell>
          <cell r="C222" t="str">
            <v>Pelat Berongga Beton Pratekan pre-cast bentang . . . . M.</v>
          </cell>
          <cell r="D222" t="str">
            <v>Pelat Berongga Beton Pratekan pre-cast bentang . . . . M.</v>
          </cell>
          <cell r="E222">
            <v>0</v>
          </cell>
          <cell r="F222" t="str">
            <v>Buah</v>
          </cell>
          <cell r="G222">
            <v>0</v>
          </cell>
          <cell r="H222">
            <v>0</v>
          </cell>
          <cell r="I222">
            <v>0</v>
          </cell>
        </row>
        <row r="224">
          <cell r="B224" t="str">
            <v>7.8(1)</v>
          </cell>
          <cell r="C224" t="str">
            <v>Pasangan batu kosong.</v>
          </cell>
          <cell r="D224" t="str">
            <v>Pasangan batu kosong.</v>
          </cell>
          <cell r="E224">
            <v>0</v>
          </cell>
          <cell r="F224" t="str">
            <v>m3</v>
          </cell>
          <cell r="G224">
            <v>0</v>
          </cell>
          <cell r="H224">
            <v>0</v>
          </cell>
          <cell r="I224">
            <v>0</v>
          </cell>
        </row>
        <row r="228">
          <cell r="B228" t="str">
            <v>7.8(2)</v>
          </cell>
          <cell r="C228" t="str">
            <v>Gabion (bronjong).</v>
          </cell>
          <cell r="D228" t="str">
            <v>Gabion (bronjong).</v>
          </cell>
          <cell r="E228">
            <v>0</v>
          </cell>
          <cell r="F228" t="str">
            <v>m3</v>
          </cell>
          <cell r="G228">
            <v>0</v>
          </cell>
          <cell r="H228">
            <v>0</v>
          </cell>
          <cell r="I228">
            <v>0</v>
          </cell>
        </row>
        <row r="230">
          <cell r="B230" t="str">
            <v>7.11(1)</v>
          </cell>
          <cell r="C230" t="str">
            <v>Expantiont joint type I.</v>
          </cell>
          <cell r="D230" t="str">
            <v>Expantiont joint type I.</v>
          </cell>
          <cell r="E230">
            <v>0</v>
          </cell>
          <cell r="F230" t="str">
            <v>m</v>
          </cell>
          <cell r="G230">
            <v>0</v>
          </cell>
          <cell r="H230">
            <v>0</v>
          </cell>
          <cell r="I230">
            <v>0</v>
          </cell>
        </row>
        <row r="232">
          <cell r="B232" t="str">
            <v>7.11(2)</v>
          </cell>
          <cell r="C232" t="str">
            <v>Expantiont joint type II (mutu tinggi).</v>
          </cell>
          <cell r="D232" t="str">
            <v>Expantiont joint type II (mutu tinggi).</v>
          </cell>
          <cell r="E232">
            <v>0</v>
          </cell>
          <cell r="F232" t="str">
            <v>m</v>
          </cell>
          <cell r="G232">
            <v>0</v>
          </cell>
          <cell r="H232">
            <v>0</v>
          </cell>
          <cell r="I232">
            <v>0</v>
          </cell>
        </row>
        <row r="254">
          <cell r="B254" t="str">
            <v>8.1 (6)</v>
          </cell>
          <cell r="C254" t="str">
            <v>Campuran Aspal Dingin untuk Pekerjaan Minor</v>
          </cell>
          <cell r="D254" t="str">
            <v>Campuran Aspal Dingin untuk Pekerjaan Minor</v>
          </cell>
          <cell r="E254">
            <v>0</v>
          </cell>
          <cell r="F254" t="str">
            <v>M3</v>
          </cell>
          <cell r="G254">
            <v>0</v>
          </cell>
          <cell r="H254">
            <v>0</v>
          </cell>
          <cell r="I254">
            <v>0</v>
          </cell>
        </row>
        <row r="266">
          <cell r="B266" t="str">
            <v>8.1(12)</v>
          </cell>
          <cell r="C266" t="str">
            <v>Material urugan pilihan untuk pekerjaan minor.</v>
          </cell>
          <cell r="D266" t="str">
            <v>Material urugan pilihan untuk pekerjaan minor.</v>
          </cell>
          <cell r="E266">
            <v>0</v>
          </cell>
          <cell r="F266" t="str">
            <v>m3</v>
          </cell>
          <cell r="G266">
            <v>0</v>
          </cell>
          <cell r="H266">
            <v>0</v>
          </cell>
          <cell r="I266">
            <v>0</v>
          </cell>
        </row>
        <row r="268">
          <cell r="B268" t="str">
            <v>8.1(13)</v>
          </cell>
          <cell r="C268" t="str">
            <v>Latasir (Sand sheet) untuk pekerjaan minor.</v>
          </cell>
          <cell r="D268" t="str">
            <v>Latasir (Sand sheet) untuk pekerjaan minor.</v>
          </cell>
          <cell r="E268">
            <v>0</v>
          </cell>
          <cell r="F268" t="str">
            <v>m2</v>
          </cell>
          <cell r="G268">
            <v>0</v>
          </cell>
          <cell r="H268">
            <v>0</v>
          </cell>
          <cell r="I268">
            <v>0</v>
          </cell>
        </row>
        <row r="270">
          <cell r="B270" t="str">
            <v>8.1(14)</v>
          </cell>
          <cell r="C270" t="str">
            <v>Beton K-125/BO untuk pekerjaan minor.</v>
          </cell>
          <cell r="D270" t="str">
            <v>Beton K-125/BO untuk pekerjaan minor.</v>
          </cell>
          <cell r="E270">
            <v>0</v>
          </cell>
          <cell r="F270" t="str">
            <v>m3</v>
          </cell>
          <cell r="G270">
            <v>0</v>
          </cell>
          <cell r="H270">
            <v>0</v>
          </cell>
          <cell r="I270">
            <v>0</v>
          </cell>
        </row>
        <row r="272">
          <cell r="B272" t="str">
            <v>8.1(15)</v>
          </cell>
          <cell r="C272" t="str">
            <v>Beton K-175 untuk pekerjaan minor.</v>
          </cell>
          <cell r="D272" t="str">
            <v>Beton K-175 untuk pekerjaan minor.</v>
          </cell>
          <cell r="E272">
            <v>0</v>
          </cell>
          <cell r="F272" t="str">
            <v>m3</v>
          </cell>
          <cell r="G272">
            <v>0</v>
          </cell>
          <cell r="H272">
            <v>0</v>
          </cell>
          <cell r="I272">
            <v>0</v>
          </cell>
        </row>
        <row r="274">
          <cell r="B274" t="str">
            <v>8.3(1)</v>
          </cell>
          <cell r="C274" t="str">
            <v>Stabilisasi dengan tanaman rumput.</v>
          </cell>
          <cell r="D274" t="str">
            <v>Stabilisasi dengan tanaman rumput.</v>
          </cell>
          <cell r="E274">
            <v>0</v>
          </cell>
          <cell r="F274" t="str">
            <v>m2</v>
          </cell>
          <cell r="G274">
            <v>0</v>
          </cell>
          <cell r="H274">
            <v>0</v>
          </cell>
          <cell r="I274">
            <v>0</v>
          </cell>
        </row>
        <row r="288">
          <cell r="B288" t="str">
            <v>8.4 (6)</v>
          </cell>
          <cell r="C288" t="str">
            <v>Rel Pengaman ( Guard Rail )</v>
          </cell>
          <cell r="D288" t="str">
            <v>Rel Pengaman ( Guard Rail )</v>
          </cell>
          <cell r="E288">
            <v>0</v>
          </cell>
          <cell r="F288" t="str">
            <v>Buah</v>
          </cell>
          <cell r="G288">
            <v>0</v>
          </cell>
          <cell r="H288">
            <v>0</v>
          </cell>
          <cell r="I288">
            <v>0</v>
          </cell>
        </row>
        <row r="290">
          <cell r="B290" t="str">
            <v>8.5(1)</v>
          </cell>
          <cell r="C290" t="str">
            <v>Pengembalian kondisi lantai jembatan beton.</v>
          </cell>
          <cell r="D290" t="str">
            <v>Pengembalian kondisi lantai jembatan beton.</v>
          </cell>
          <cell r="E290">
            <v>0</v>
          </cell>
          <cell r="F290" t="str">
            <v>m2</v>
          </cell>
          <cell r="G290">
            <v>0</v>
          </cell>
          <cell r="H290">
            <v>0</v>
          </cell>
          <cell r="I290">
            <v>0</v>
          </cell>
        </row>
        <row r="292">
          <cell r="B292" t="str">
            <v>8.5(2)</v>
          </cell>
          <cell r="C292" t="str">
            <v>Pengembalian kondisi lantai jembatan kayu.</v>
          </cell>
          <cell r="D292" t="str">
            <v>Pengembalian kondisi lantai jembatan kayu.</v>
          </cell>
          <cell r="E292">
            <v>0</v>
          </cell>
          <cell r="F292" t="str">
            <v>m2</v>
          </cell>
          <cell r="G292">
            <v>0</v>
          </cell>
          <cell r="H292">
            <v>0</v>
          </cell>
          <cell r="I292">
            <v>0</v>
          </cell>
        </row>
        <row r="294">
          <cell r="B294" t="str">
            <v>8.5(3)</v>
          </cell>
          <cell r="C294" t="str">
            <v>Pengembalian kondisi pelapisan permukaan baja struktur</v>
          </cell>
          <cell r="D294" t="str">
            <v>Pengembalian kondisi pelapisan permukaan baja struktur</v>
          </cell>
          <cell r="E294">
            <v>0</v>
          </cell>
          <cell r="F294" t="str">
            <v>m2</v>
          </cell>
          <cell r="G294">
            <v>0</v>
          </cell>
          <cell r="H294">
            <v>0</v>
          </cell>
          <cell r="I294">
            <v>0</v>
          </cell>
        </row>
        <row r="295">
          <cell r="D295" t="str">
            <v>(pengecatan).</v>
          </cell>
        </row>
        <row r="296">
          <cell r="B296" t="str">
            <v>8.5(4)</v>
          </cell>
          <cell r="C296" t="str">
            <v>Penyuntikan epoxy resin grout.</v>
          </cell>
          <cell r="D296" t="str">
            <v>Penyuntikan epoxy resin grout.</v>
          </cell>
          <cell r="E296">
            <v>0</v>
          </cell>
          <cell r="F296" t="str">
            <v>m2</v>
          </cell>
          <cell r="G296">
            <v>0</v>
          </cell>
          <cell r="H296">
            <v>0</v>
          </cell>
          <cell r="I296">
            <v>0</v>
          </cell>
        </row>
        <row r="298">
          <cell r="B298">
            <v>8.6</v>
          </cell>
          <cell r="C298" t="str">
            <v>Kerb beton.</v>
          </cell>
          <cell r="D298" t="str">
            <v>Kerb beton.</v>
          </cell>
          <cell r="E298">
            <v>0</v>
          </cell>
          <cell r="F298" t="str">
            <v>m</v>
          </cell>
          <cell r="G298">
            <v>0</v>
          </cell>
          <cell r="H298">
            <v>0</v>
          </cell>
          <cell r="I298">
            <v>0</v>
          </cell>
        </row>
        <row r="300">
          <cell r="B300">
            <v>8.6999999999999993</v>
          </cell>
          <cell r="C300" t="str">
            <v>Perkerasan blok pada trotoir dan median.</v>
          </cell>
          <cell r="D300" t="str">
            <v>Perkerasan blok pada trotoir dan median.</v>
          </cell>
          <cell r="E300">
            <v>0</v>
          </cell>
          <cell r="F300" t="str">
            <v>m2</v>
          </cell>
          <cell r="G300">
            <v>0</v>
          </cell>
          <cell r="H300">
            <v>0</v>
          </cell>
          <cell r="I300">
            <v>0</v>
          </cell>
        </row>
        <row r="302">
          <cell r="B302" t="str">
            <v>8.8(1)</v>
          </cell>
          <cell r="C302" t="str">
            <v>Penerangan jalan lampu tunggal.</v>
          </cell>
          <cell r="D302" t="str">
            <v>Penerangan jalan lampu tunggal.</v>
          </cell>
          <cell r="E302">
            <v>0</v>
          </cell>
          <cell r="F302" t="str">
            <v>Buah</v>
          </cell>
          <cell r="G302">
            <v>0</v>
          </cell>
          <cell r="H302">
            <v>0</v>
          </cell>
          <cell r="I302">
            <v>0</v>
          </cell>
        </row>
        <row r="304">
          <cell r="B304" t="str">
            <v>8.8(2)</v>
          </cell>
          <cell r="C304" t="str">
            <v>Penerangan jalan lampu ganda.</v>
          </cell>
          <cell r="D304" t="str">
            <v>Penerangan jalan lampu ganda.</v>
          </cell>
          <cell r="E304">
            <v>0</v>
          </cell>
          <cell r="F304" t="str">
            <v>Buah</v>
          </cell>
          <cell r="G304">
            <v>0</v>
          </cell>
          <cell r="H304">
            <v>0</v>
          </cell>
          <cell r="I304">
            <v>0</v>
          </cell>
        </row>
        <row r="306">
          <cell r="B306">
            <v>8.9</v>
          </cell>
          <cell r="C306" t="str">
            <v>Penghalang median beton pracetak.</v>
          </cell>
          <cell r="D306" t="str">
            <v>Penghalang median beton pracetak.</v>
          </cell>
          <cell r="E306">
            <v>0</v>
          </cell>
          <cell r="F306" t="str">
            <v>m</v>
          </cell>
          <cell r="G306">
            <v>0</v>
          </cell>
          <cell r="H306">
            <v>0</v>
          </cell>
          <cell r="I306">
            <v>0</v>
          </cell>
        </row>
        <row r="308">
          <cell r="B308" t="str">
            <v>8.10(1)</v>
          </cell>
          <cell r="C308" t="str">
            <v>Pengecatan kayu.</v>
          </cell>
          <cell r="D308" t="str">
            <v>Pengecatan kayu.</v>
          </cell>
          <cell r="E308">
            <v>0</v>
          </cell>
          <cell r="F308" t="str">
            <v>m2</v>
          </cell>
          <cell r="G308">
            <v>0</v>
          </cell>
          <cell r="H308">
            <v>0</v>
          </cell>
          <cell r="I308">
            <v>0</v>
          </cell>
        </row>
        <row r="310">
          <cell r="B310" t="str">
            <v>8.10(2)</v>
          </cell>
          <cell r="C310" t="str">
            <v>Pengecatan besi.</v>
          </cell>
          <cell r="D310" t="str">
            <v>Pengecatan besi.</v>
          </cell>
          <cell r="E310">
            <v>0</v>
          </cell>
          <cell r="F310" t="str">
            <v>m2</v>
          </cell>
          <cell r="G310">
            <v>0</v>
          </cell>
          <cell r="H310">
            <v>0</v>
          </cell>
          <cell r="I310">
            <v>0</v>
          </cell>
        </row>
        <row r="312">
          <cell r="B312" t="str">
            <v>8.10(3)</v>
          </cell>
          <cell r="C312" t="str">
            <v>Pengecatan tembok / beton.</v>
          </cell>
          <cell r="D312" t="str">
            <v>Pengecatan tembok / beton.</v>
          </cell>
          <cell r="E312">
            <v>0</v>
          </cell>
          <cell r="F312" t="str">
            <v>m2</v>
          </cell>
          <cell r="G312">
            <v>0</v>
          </cell>
          <cell r="H312">
            <v>0</v>
          </cell>
          <cell r="I312">
            <v>0</v>
          </cell>
        </row>
        <row r="314">
          <cell r="B314">
            <v>8.11</v>
          </cell>
          <cell r="C314" t="str">
            <v>Pagar penghalang (Guard rail).</v>
          </cell>
          <cell r="D314" t="str">
            <v>Pagar penghalang (Guard rail).</v>
          </cell>
          <cell r="E314">
            <v>0</v>
          </cell>
          <cell r="F314" t="str">
            <v>m</v>
          </cell>
          <cell r="G314">
            <v>0</v>
          </cell>
          <cell r="H314">
            <v>0</v>
          </cell>
          <cell r="I314">
            <v>0</v>
          </cell>
        </row>
        <row r="316">
          <cell r="B316">
            <v>8.1199999999999992</v>
          </cell>
          <cell r="C316" t="str">
            <v>Pipa utilitas</v>
          </cell>
          <cell r="D316" t="str">
            <v>Pipa utilitas</v>
          </cell>
          <cell r="E316">
            <v>0</v>
          </cell>
          <cell r="F316" t="str">
            <v>m</v>
          </cell>
          <cell r="G316">
            <v>0</v>
          </cell>
          <cell r="H316">
            <v>0</v>
          </cell>
          <cell r="I316">
            <v>0</v>
          </cell>
        </row>
        <row r="320">
          <cell r="B320" t="str">
            <v>DIV. IX</v>
          </cell>
          <cell r="C320" t="str">
            <v>PEKERJAAN HARIAN</v>
          </cell>
          <cell r="D320" t="str">
            <v>PEKERJAAN HARIAN</v>
          </cell>
        </row>
        <row r="322">
          <cell r="B322">
            <v>9.1</v>
          </cell>
          <cell r="C322" t="str">
            <v>Mandor.</v>
          </cell>
          <cell r="D322" t="str">
            <v>Mandor.</v>
          </cell>
          <cell r="E322">
            <v>0</v>
          </cell>
          <cell r="F322" t="str">
            <v>Jam</v>
          </cell>
          <cell r="G322">
            <v>0</v>
          </cell>
          <cell r="H322">
            <v>0</v>
          </cell>
          <cell r="I322">
            <v>0</v>
          </cell>
        </row>
        <row r="324">
          <cell r="B324">
            <v>9.1999999999999993</v>
          </cell>
          <cell r="C324" t="str">
            <v>Pekerja</v>
          </cell>
          <cell r="D324" t="str">
            <v>Pekerja</v>
          </cell>
          <cell r="E324">
            <v>0</v>
          </cell>
          <cell r="F324" t="str">
            <v>Jam</v>
          </cell>
          <cell r="G324">
            <v>0</v>
          </cell>
          <cell r="H324">
            <v>0</v>
          </cell>
          <cell r="I324">
            <v>0</v>
          </cell>
        </row>
        <row r="326">
          <cell r="B326">
            <v>9.3000000000000007</v>
          </cell>
          <cell r="C326" t="str">
            <v>Tukang</v>
          </cell>
          <cell r="D326" t="str">
            <v>Tukang</v>
          </cell>
          <cell r="E326">
            <v>0</v>
          </cell>
          <cell r="F326" t="str">
            <v>Jam</v>
          </cell>
          <cell r="G326">
            <v>0</v>
          </cell>
          <cell r="H326">
            <v>0</v>
          </cell>
          <cell r="I326">
            <v>0</v>
          </cell>
        </row>
        <row r="328">
          <cell r="B328">
            <v>9.4</v>
          </cell>
          <cell r="C328" t="str">
            <v>Dump Truck.</v>
          </cell>
          <cell r="D328" t="str">
            <v>Dump Truck.</v>
          </cell>
          <cell r="E328">
            <v>0</v>
          </cell>
          <cell r="F328" t="str">
            <v>Jam</v>
          </cell>
          <cell r="G328">
            <v>0</v>
          </cell>
          <cell r="H328">
            <v>0</v>
          </cell>
          <cell r="I328">
            <v>0</v>
          </cell>
        </row>
        <row r="330">
          <cell r="B330">
            <v>9.5</v>
          </cell>
          <cell r="C330" t="str">
            <v>Tangki Air.</v>
          </cell>
          <cell r="D330" t="str">
            <v>Tangki Air.</v>
          </cell>
          <cell r="E330">
            <v>0</v>
          </cell>
          <cell r="F330" t="str">
            <v>Jam</v>
          </cell>
          <cell r="G330">
            <v>0</v>
          </cell>
          <cell r="H330">
            <v>0</v>
          </cell>
          <cell r="I330">
            <v>0</v>
          </cell>
        </row>
        <row r="332">
          <cell r="B332">
            <v>9.6</v>
          </cell>
          <cell r="C332" t="str">
            <v>Bulldozer.</v>
          </cell>
          <cell r="D332" t="str">
            <v>Bulldozer.</v>
          </cell>
          <cell r="E332">
            <v>0</v>
          </cell>
          <cell r="F332" t="str">
            <v>Jam</v>
          </cell>
          <cell r="G332">
            <v>0</v>
          </cell>
          <cell r="H332">
            <v>0</v>
          </cell>
          <cell r="I332">
            <v>0</v>
          </cell>
        </row>
        <row r="334">
          <cell r="B334">
            <v>9.6999999999999993</v>
          </cell>
          <cell r="C334" t="str">
            <v>Motor Grader.</v>
          </cell>
          <cell r="D334" t="str">
            <v>Motor Grader.</v>
          </cell>
          <cell r="E334">
            <v>0</v>
          </cell>
          <cell r="F334" t="str">
            <v>Jam</v>
          </cell>
          <cell r="G334">
            <v>0</v>
          </cell>
          <cell r="H334">
            <v>0</v>
          </cell>
          <cell r="I334">
            <v>0</v>
          </cell>
        </row>
        <row r="336">
          <cell r="B336">
            <v>9.8000000000000007</v>
          </cell>
          <cell r="C336" t="str">
            <v>Wheel Loader.</v>
          </cell>
          <cell r="D336" t="str">
            <v>Wheel Loader.</v>
          </cell>
          <cell r="E336">
            <v>0</v>
          </cell>
          <cell r="F336" t="str">
            <v>Jam</v>
          </cell>
          <cell r="G336">
            <v>0</v>
          </cell>
          <cell r="H336">
            <v>0</v>
          </cell>
          <cell r="I336">
            <v>0</v>
          </cell>
        </row>
        <row r="338">
          <cell r="B338">
            <v>9.9</v>
          </cell>
          <cell r="C338" t="str">
            <v>Excavator.</v>
          </cell>
          <cell r="D338" t="str">
            <v>Excavator.</v>
          </cell>
          <cell r="E338">
            <v>0</v>
          </cell>
          <cell r="F338" t="str">
            <v>Jam</v>
          </cell>
          <cell r="G338">
            <v>0</v>
          </cell>
          <cell r="H338">
            <v>0</v>
          </cell>
          <cell r="I338">
            <v>0</v>
          </cell>
        </row>
        <row r="340">
          <cell r="B340">
            <v>9.1</v>
          </cell>
          <cell r="C340" t="str">
            <v>Crane.   .</v>
          </cell>
          <cell r="D340" t="str">
            <v>Crane.   .</v>
          </cell>
          <cell r="E340">
            <v>0</v>
          </cell>
          <cell r="F340" t="str">
            <v>Jam</v>
          </cell>
          <cell r="G340">
            <v>0</v>
          </cell>
          <cell r="H340">
            <v>0</v>
          </cell>
          <cell r="I340">
            <v>0</v>
          </cell>
        </row>
        <row r="342">
          <cell r="B342">
            <v>9.11</v>
          </cell>
          <cell r="C342" t="str">
            <v>Vibrator Rollers - 13 ton</v>
          </cell>
          <cell r="D342" t="str">
            <v>Vibrator Rollers - 13 ton</v>
          </cell>
          <cell r="E342">
            <v>0</v>
          </cell>
          <cell r="F342" t="str">
            <v>Jam</v>
          </cell>
          <cell r="G342">
            <v>0</v>
          </cell>
          <cell r="H342">
            <v>0</v>
          </cell>
          <cell r="I342">
            <v>0</v>
          </cell>
        </row>
        <row r="344">
          <cell r="B344">
            <v>9.1199999999999992</v>
          </cell>
          <cell r="C344" t="str">
            <v>Vibrator Roller 4 - 6 ton</v>
          </cell>
          <cell r="D344" t="str">
            <v>Vibrator Roller 4 - 6 ton</v>
          </cell>
          <cell r="E344">
            <v>0</v>
          </cell>
          <cell r="F344" t="str">
            <v>Jam</v>
          </cell>
          <cell r="G344">
            <v>0</v>
          </cell>
          <cell r="H344">
            <v>0</v>
          </cell>
          <cell r="I344">
            <v>0</v>
          </cell>
        </row>
        <row r="346">
          <cell r="B346">
            <v>9.1300000000000008</v>
          </cell>
          <cell r="C346" t="str">
            <v>Stamper</v>
          </cell>
          <cell r="D346" t="str">
            <v>Stamper</v>
          </cell>
          <cell r="E346">
            <v>0</v>
          </cell>
          <cell r="F346" t="str">
            <v>Jam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60</v>
          </cell>
        </row>
        <row r="348">
          <cell r="B348">
            <v>9.14</v>
          </cell>
          <cell r="C348" t="str">
            <v>Drop Hammer 500 kg</v>
          </cell>
          <cell r="D348" t="str">
            <v>Drop Hammer 500 kg</v>
          </cell>
          <cell r="E348">
            <v>0</v>
          </cell>
          <cell r="F348" t="str">
            <v>Jam</v>
          </cell>
          <cell r="G348">
            <v>0</v>
          </cell>
          <cell r="H348">
            <v>0</v>
          </cell>
          <cell r="I348">
            <v>0</v>
          </cell>
        </row>
        <row r="350">
          <cell r="B350">
            <v>9.15</v>
          </cell>
          <cell r="C350" t="str">
            <v>Jack Hammer</v>
          </cell>
          <cell r="D350" t="str">
            <v>Jack Hammer</v>
          </cell>
          <cell r="E350">
            <v>0</v>
          </cell>
          <cell r="F350" t="str">
            <v>Jam</v>
          </cell>
          <cell r="G350">
            <v>0</v>
          </cell>
          <cell r="H350">
            <v>0</v>
          </cell>
          <cell r="I350">
            <v>0</v>
          </cell>
        </row>
        <row r="352">
          <cell r="B352">
            <v>9.16</v>
          </cell>
          <cell r="C352" t="str">
            <v>Chain Saw</v>
          </cell>
          <cell r="D352" t="str">
            <v>Chain Saw</v>
          </cell>
          <cell r="E352">
            <v>0</v>
          </cell>
          <cell r="F352" t="str">
            <v>Jam</v>
          </cell>
          <cell r="G352">
            <v>0</v>
          </cell>
          <cell r="H352">
            <v>0</v>
          </cell>
          <cell r="I352">
            <v>0</v>
          </cell>
        </row>
        <row r="354">
          <cell r="B354" t="str">
            <v>Jumlah Harga Pekerjaan Divisi IX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/>
      <sheetData sheetId="1106" refreshError="1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 refreshError="1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 refreshError="1"/>
      <sheetData sheetId="1192"/>
      <sheetData sheetId="1193" refreshError="1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DAF-2"/>
      <sheetName val="DAF_2"/>
      <sheetName val="FAKTOR"/>
      <sheetName val="Elektrikal"/>
      <sheetName val="AnalisaSIPIL RIIL RAP"/>
      <sheetName val="ANALISA railing"/>
      <sheetName val="Analisa SNI STANDART "/>
      <sheetName val="struktur tdk dipakai"/>
      <sheetName val="Listrik"/>
      <sheetName val="A"/>
      <sheetName val="PEMBESIAN BALOK tukang (2)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PLUMBING"/>
      <sheetName val="CondPol"/>
      <sheetName val="Sub"/>
      <sheetName val="RAP"/>
      <sheetName val="Pipe"/>
      <sheetName val="Cover"/>
      <sheetName val="Analis (2)"/>
      <sheetName val="List Material"/>
      <sheetName val="Data Base"/>
      <sheetName val="Kuantitas &amp; Harga"/>
      <sheetName val="Kuantitas _ Harga"/>
      <sheetName val="H_Satuan"/>
      <sheetName val="BAG-2"/>
      <sheetName val="D &amp; W sizes"/>
      <sheetName val="ganda"/>
      <sheetName val="Analisa"/>
      <sheetName val="P-late"/>
      <sheetName val="BOQ_INT"/>
      <sheetName val="Fill this out first___"/>
      <sheetName val="JADWAL(1)"/>
      <sheetName val="BoQ"/>
      <sheetName val="Konfirm"/>
      <sheetName val="Indirect_Const"/>
      <sheetName val="Fill this out first..."/>
      <sheetName val="Uraian Teknis"/>
      <sheetName val="analisa upah_bahan"/>
      <sheetName val="산근"/>
      <sheetName val="Parameters"/>
      <sheetName val="Rekapitulasi"/>
      <sheetName val="REKAP"/>
      <sheetName val="H.Satuan"/>
      <sheetName val="Rekap Prelim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Cover Daf-2"/>
      <sheetName val="bq"/>
      <sheetName val="概総括1"/>
      <sheetName val=" schedule AMD-2 Rev III"/>
      <sheetName val="ｺｰﾄﾞ"/>
      <sheetName val="Basic Price"/>
      <sheetName val="Sheet3"/>
      <sheetName val="ALAT"/>
      <sheetName val="HARGA MATERIAL"/>
      <sheetName val="FINISHING"/>
      <sheetName val="Pt"/>
      <sheetName val="HB me"/>
      <sheetName val="NP"/>
      <sheetName val="M Edit"/>
      <sheetName val="Mobilisasi"/>
      <sheetName val="BASIC"/>
      <sheetName val="faktor &amp; disc"/>
      <sheetName val="UNIT PRICE"/>
      <sheetName val="rab lt 2 bo"/>
      <sheetName val="I-KAMAR"/>
      <sheetName val="COST"/>
      <sheetName val="Breakdown"/>
      <sheetName val="MC_strp CoDa "/>
      <sheetName val="RAB.SEKRETARIAT (1)"/>
      <sheetName val="bahan"/>
      <sheetName val="lam3c"/>
      <sheetName val="Ch"/>
      <sheetName val="nama PT."/>
      <sheetName val="RAB ME"/>
      <sheetName val="Bill of Qty MEP"/>
      <sheetName val="Anal"/>
      <sheetName val="HB"/>
      <sheetName val="HDS"/>
      <sheetName val="Harga Bahan &amp; Upah"/>
      <sheetName val="Rekap "/>
      <sheetName val="Bahan&amp;Upah"/>
      <sheetName val="予算票"/>
      <sheetName val="WS-GR"/>
      <sheetName val="SPK"/>
      <sheetName val="REALISASI"/>
      <sheetName val="351BQMCN"/>
      <sheetName val="Sheet1"/>
      <sheetName val="k341k612"/>
      <sheetName val="Pol"/>
      <sheetName val="Har. Sat"/>
      <sheetName val="GEDUNG-A"/>
      <sheetName val="Huruf"/>
      <sheetName val="IN OUT"/>
      <sheetName val="jadwal"/>
      <sheetName val="harsat"/>
      <sheetName val="1.Surat (2)"/>
      <sheetName val="Analisa RAP"/>
      <sheetName val="인사자료총집계"/>
      <sheetName val="Divisi1"/>
      <sheetName val="NAMES"/>
      <sheetName val="LPP-201"/>
      <sheetName val="Daf.Harga-Upah"/>
      <sheetName val="Cash Flow bulanan"/>
      <sheetName val="RAB"/>
      <sheetName val="HRG BHN"/>
      <sheetName val="anlbh"/>
      <sheetName val="Harsat Bahan"/>
      <sheetName val="srtberkas"/>
      <sheetName val="3-DIV5"/>
      <sheetName val="notasi"/>
      <sheetName val="DEKAN"/>
      <sheetName val="PBK-01"/>
      <sheetName val="Gedung Kantor"/>
      <sheetName val="inst.pemrintah"/>
      <sheetName val="DAF-1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Ana PasBatu 7.4"/>
      <sheetName val="Isolasi Luar Dalam"/>
      <sheetName val="Isolasi Luar"/>
      <sheetName val="MAP"/>
      <sheetName val="Data-Masukan"/>
      <sheetName val="Agregat Halus &amp; Kasar"/>
      <sheetName val="SAP"/>
      <sheetName val="Input monthly capex"/>
      <sheetName val="name"/>
      <sheetName val="HSBU ANA"/>
      <sheetName val="Penwrn"/>
      <sheetName val="HARGA"/>
      <sheetName val="Sheet2"/>
      <sheetName val="1"/>
      <sheetName val="Harga Upah dan Bahan"/>
      <sheetName val="Bahan&amp; upah"/>
      <sheetName val="NET表"/>
      <sheetName val="BQ表"/>
      <sheetName val="Harsat_Pek"/>
      <sheetName val="Ana. PU"/>
      <sheetName val="KUANTITAS-PIPA"/>
      <sheetName val="HARGA BARU"/>
      <sheetName val="I_KAMAR"/>
      <sheetName val="Terbilang"/>
      <sheetName val="RAB.1"/>
      <sheetName val="RAB.2"/>
      <sheetName val="RAB.4"/>
      <sheetName val="RAB.5"/>
      <sheetName val="RAB.6"/>
      <sheetName val="UPAH RIIL OK"/>
      <sheetName val="ALAT-1"/>
      <sheetName val="HARGA ALAT"/>
      <sheetName val="112-885"/>
      <sheetName val="Anl.+"/>
      <sheetName val="D7(1A)"/>
      <sheetName val="daf kh"/>
      <sheetName val="Schedule"/>
      <sheetName val="SUR-HARGA"/>
      <sheetName val="CODE"/>
      <sheetName val="dasar"/>
      <sheetName val="villa"/>
      <sheetName val="AT 2"/>
      <sheetName val="OwnEq"/>
      <sheetName val="TOWN"/>
      <sheetName val="7.공정표"/>
      <sheetName val="Cover Daf_2"/>
      <sheetName val="2.2 BQ"/>
      <sheetName val="TS (A3)"/>
      <sheetName val="PAD-F"/>
      <sheetName val="BQ ARS"/>
      <sheetName val="std.wt."/>
      <sheetName val="Analisa 2"/>
      <sheetName val="Daftar berat"/>
      <sheetName val="Harga Dasar"/>
      <sheetName val="eqp-rek"/>
      <sheetName val="대비표"/>
      <sheetName val="B"/>
      <sheetName val="MAPP"/>
      <sheetName val="RESOURCES-6"/>
      <sheetName val="PriceList"/>
      <sheetName val="RJBR"/>
      <sheetName val="Recovered_Sheet1"/>
      <sheetName val="Huruf (2)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product"/>
      <sheetName val="pivot1"/>
      <sheetName val="SAT-DAS"/>
      <sheetName val="Analisa (ok punya)"/>
      <sheetName val="Div2"/>
      <sheetName val="Spec ME"/>
      <sheetName val="PileCap"/>
      <sheetName val="1. BQ"/>
      <sheetName val="Hrg Sat"/>
      <sheetName val="REKAP Prbndingn"/>
      <sheetName val="TRMNL TLOGOWARU 29 JAN '07 ( AN"/>
      <sheetName val="Grand Summary"/>
      <sheetName val="PNT"/>
      <sheetName val="Master 1.0"/>
      <sheetName val="Harga Sat_APP"/>
      <sheetName val="pricing"/>
      <sheetName val="Hitung"/>
      <sheetName val="RAB-2006-Total"/>
      <sheetName val="Luas-Tot"/>
      <sheetName val="INDEX"/>
      <sheetName val="Daft 2.1"/>
      <sheetName val="hardas"/>
      <sheetName val="PRD01-5"/>
      <sheetName val="Harga Bahan"/>
      <sheetName val="12CGOU"/>
      <sheetName val="D7(1)"/>
      <sheetName val="anls"/>
      <sheetName val="Analisa Harga Satuan"/>
      <sheetName val="UMUM"/>
      <sheetName val="anal_hs"/>
      <sheetName val="info"/>
      <sheetName val="upah"/>
      <sheetName val="DIV7-BM"/>
      <sheetName val="gvl"/>
      <sheetName val="Upah&amp;Bahan"/>
      <sheetName val="Hrg"/>
      <sheetName val="Analisa SNI"/>
      <sheetName val="TSS"/>
      <sheetName val="D 5243-ARAMCO"/>
      <sheetName val="D-4801 OXY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Spek-ME"/>
      <sheetName val="S-Curve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hrg-dsr"/>
      <sheetName val="Daft.Sewa Alat"/>
      <sheetName val="7.PEK-STRUKTUR"/>
      <sheetName val="tabel tul"/>
      <sheetName val="harga-SD"/>
      <sheetName val="#REF"/>
      <sheetName val="TTD"/>
      <sheetName val="REKAP_ARSITEKTUR."/>
      <sheetName val="TPI"/>
      <sheetName val="An_Basic"/>
      <sheetName val="SCHEDULE SECTION 2 JUNI (FIX)"/>
      <sheetName val="Data"/>
      <sheetName val="Bulanan"/>
      <sheetName val="Total"/>
      <sheetName val="Analisa  BOW"/>
      <sheetName val="5-HARGA"/>
      <sheetName val="ANALIS ALAT"/>
      <sheetName val="Written"/>
      <sheetName val="UPAH BAHAN ALAT"/>
      <sheetName val="Sat~Bahu"/>
      <sheetName val="Referensi"/>
      <sheetName val="Supl.X"/>
      <sheetName val="B-Down"/>
      <sheetName val="Analis harga"/>
      <sheetName val="UPH,BHN,ALT"/>
      <sheetName val="BBM-03"/>
      <sheetName val="PO-2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000"/>
      <sheetName val="backup mc_0"/>
      <sheetName val="HARGA (2)"/>
      <sheetName val="Resume"/>
      <sheetName val="S_Suramadu"/>
      <sheetName val="AssumptionValue"/>
      <sheetName val="Rekap RAP real (2)"/>
      <sheetName val="AHSbj"/>
      <sheetName val="Rinci Progress Payment"/>
      <sheetName val="Man Power"/>
      <sheetName val="EE-PROP"/>
      <sheetName val="BasicPrice"/>
      <sheetName val="Cashflow"/>
      <sheetName val="FORM"/>
      <sheetName val="PENAWARAN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TABEL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61006"/>
      <sheetName val="Public Area"/>
      <sheetName val="Hargamat"/>
      <sheetName val="PESANTREN"/>
      <sheetName val="G"/>
      <sheetName val="Curup"/>
      <sheetName val="Prabu"/>
      <sheetName val="On Time"/>
      <sheetName val="DAFTAR HARGA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main summary"/>
      <sheetName val="Tie Beam GN"/>
      <sheetName val="MU"/>
      <sheetName val="pvc"/>
      <sheetName val="Galian 1"/>
      <sheetName val="escon"/>
      <sheetName val="rab_analisa"/>
      <sheetName val="Man Power &amp; Comp"/>
      <sheetName val="HAL-1"/>
      <sheetName val="Back-Up"/>
      <sheetName val="LPP"/>
      <sheetName val="Perm. Test"/>
      <sheetName val="Sumber Daya"/>
      <sheetName val="Parameter"/>
      <sheetName val="Analisa Upah &amp; Bahan Plum"/>
      <sheetName val="Stay Cable PDMR2"/>
      <sheetName val="bukan PNS"/>
      <sheetName val="5"/>
      <sheetName val="MT_an"/>
      <sheetName val="HSATUAN"/>
      <sheetName val="HARSAT_BAH"/>
      <sheetName val="Satuan Dasar"/>
      <sheetName val="H-Dasar"/>
      <sheetName val="Analisa-H"/>
      <sheetName val="upah_borong"/>
      <sheetName val="ELEMENT SUM"/>
      <sheetName val="Penyusutan Kendaraan"/>
      <sheetName val="7_PEK-STRUKTUR"/>
      <sheetName val="AHS_Marka"/>
      <sheetName val="Analisa_2"/>
      <sheetName val="7_공정표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XY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AHS"/>
      <sheetName val="SUM"/>
      <sheetName val="sch"/>
      <sheetName val="Str BT"/>
      <sheetName val="rumus"/>
      <sheetName val=" Bahan  oK"/>
      <sheetName val=" Alat  ok"/>
      <sheetName val="Upah   oK"/>
      <sheetName val="TEST CASE"/>
      <sheetName val="Bill_2"/>
      <sheetName val="Vol Kusen &amp; Alm"/>
      <sheetName val="sort ars"/>
      <sheetName val="analtek"/>
      <sheetName val="schalat"/>
      <sheetName val="schman"/>
      <sheetName val="schmat"/>
      <sheetName val="LPB-MC6"/>
      <sheetName val="perbandingan"/>
      <sheetName val="Daft Harsat"/>
      <sheetName val="XXXXXX"/>
      <sheetName val="CB-Ag"/>
      <sheetName val="3-DIV6"/>
      <sheetName val="jadw"/>
      <sheetName val="Perm__Test"/>
      <sheetName val="Satuan_Dasar"/>
      <sheetName val="Cost_Summary"/>
      <sheetName val="rating_curve"/>
      <sheetName val="TEST_CASE"/>
      <sheetName val="Galian_1"/>
      <sheetName val="SCHEDULE_SECTION_2_JUNI_(FIX)"/>
      <sheetName val="Rekap_RAP_real_(2)"/>
      <sheetName val="Daft_Harsat"/>
      <sheetName val="Agregat_Halus_&amp;_Kasar"/>
      <sheetName val="AC"/>
      <sheetName val="WI"/>
      <sheetName val="Volume"/>
      <sheetName val="DKH"/>
      <sheetName val="Jadwal Pelaksanaan"/>
      <sheetName val="MATERIAL UPAH DAN ALAT"/>
      <sheetName val="KOEF ESKALASI N WASTE"/>
      <sheetName val="DUCTING_GD-PAJAK ISOLASI DALAM"/>
      <sheetName val="NP 7"/>
      <sheetName val="Sat.Pekerjaan"/>
      <sheetName val="isian"/>
      <sheetName val="Rekap Anl"/>
      <sheetName val="3-DIV3"/>
      <sheetName val="ALOKASI"/>
      <sheetName val="Peralatan"/>
      <sheetName val="HARGA SAT"/>
      <sheetName val="bahan upah"/>
      <sheetName val="Analisa Terpakai"/>
      <sheetName val="D4"/>
      <sheetName val="D5"/>
      <sheetName val="D6"/>
      <sheetName val="D8"/>
      <sheetName val="Harga S Dasar"/>
      <sheetName val="AK-2004 (2)"/>
      <sheetName val="EK-JAN-07"/>
      <sheetName val="Inputdata"/>
      <sheetName val="TRNS-C1"/>
      <sheetName val="Finishing Warehouse"/>
      <sheetName val="SD (1)"/>
      <sheetName val="RAB (2)"/>
      <sheetName val="hal"/>
      <sheetName val="BQ-E20-02(Rp)"/>
      <sheetName val="material "/>
      <sheetName val="L-Mechanical"/>
      <sheetName val="Eng_Hrs"/>
      <sheetName val="KH-Q1,Q2,01"/>
      <sheetName val="3-DIV1"/>
      <sheetName val="BAHAN &amp; UPAH"/>
      <sheetName val="BHN-ALAT"/>
      <sheetName val="MacPro"/>
      <sheetName val="Ana"/>
      <sheetName val="H-BHN"/>
      <sheetName val="bill qty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bahan "/>
      <sheetName val="U&amp;B"/>
      <sheetName val="03"/>
      <sheetName val="DIVI6"/>
      <sheetName val="LM1"/>
      <sheetName val="f_1"/>
      <sheetName val="5-ALAT(1)"/>
      <sheetName val="4-Basic Price"/>
      <sheetName val="par"/>
      <sheetName val="RAPlenk"/>
      <sheetName val="SCHED "/>
      <sheetName val="PRY01-1"/>
      <sheetName val="TS KOTRAK"/>
      <sheetName val="Kurva S"/>
      <sheetName val="Anformw"/>
      <sheetName val="UnitRate"/>
      <sheetName val="bar"/>
      <sheetName val="CUACA"/>
      <sheetName val="갑지"/>
      <sheetName val="3-DIV2"/>
      <sheetName val="02. Bunga Raya, Bengkalis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6DHSDBU"/>
      <sheetName val="Har Sat"/>
      <sheetName val="BTL-Bau"/>
      <sheetName val="KLITIK ok"/>
      <sheetName val="1@(2x2,5)"/>
      <sheetName val="HSP"/>
      <sheetName val="URTEK"/>
      <sheetName val="schedule kurva s"/>
      <sheetName val="BAJA TUL"/>
      <sheetName val="DIV1"/>
      <sheetName val="harga-rab"/>
      <sheetName val="pek str - ars"/>
    </sheetNames>
    <sheetDataSet>
      <sheetData sheetId="0" refreshError="1"/>
      <sheetData sheetId="1" refreshError="1"/>
      <sheetData sheetId="2" refreshError="1"/>
      <sheetData sheetId="3">
        <row r="208">
          <cell r="B208" t="str">
            <v>C.13</v>
          </cell>
        </row>
      </sheetData>
      <sheetData sheetId="4" refreshError="1">
        <row r="208">
          <cell r="B208" t="str">
            <v>C.13</v>
          </cell>
          <cell r="C208" t="str">
            <v>1 M3 Sloof 150x300 K225</v>
          </cell>
        </row>
        <row r="209">
          <cell r="C209">
            <v>1</v>
          </cell>
          <cell r="D209" t="str">
            <v>M3</v>
          </cell>
          <cell r="E209" t="str">
            <v>Beton Readymix</v>
          </cell>
          <cell r="F209" t="str">
            <v>@Rp</v>
          </cell>
          <cell r="G209">
            <v>430000</v>
          </cell>
          <cell r="H209" t="str">
            <v>=Rp</v>
          </cell>
          <cell r="I209">
            <v>430000</v>
          </cell>
        </row>
        <row r="210">
          <cell r="C210">
            <v>104.6743765591079</v>
          </cell>
          <cell r="D210" t="str">
            <v>Kg</v>
          </cell>
          <cell r="E210" t="str">
            <v>Pembesian Polos</v>
          </cell>
          <cell r="F210" t="str">
            <v>@Rp</v>
          </cell>
          <cell r="G210">
            <v>6100</v>
          </cell>
          <cell r="H210" t="str">
            <v>=Rp</v>
          </cell>
          <cell r="I210">
            <v>638513.69701055821</v>
          </cell>
        </row>
        <row r="211">
          <cell r="C211">
            <v>0</v>
          </cell>
          <cell r="D211" t="str">
            <v>Kg</v>
          </cell>
          <cell r="E211" t="str">
            <v>Pembesian Ulir</v>
          </cell>
          <cell r="F211" t="str">
            <v>@Rp</v>
          </cell>
          <cell r="G211">
            <v>5850</v>
          </cell>
          <cell r="H211" t="str">
            <v>=Rp</v>
          </cell>
          <cell r="I211">
            <v>0</v>
          </cell>
        </row>
        <row r="212">
          <cell r="C212">
            <v>13.333333333333334</v>
          </cell>
          <cell r="D212" t="str">
            <v>M2</v>
          </cell>
          <cell r="E212" t="str">
            <v>Bekisting Non Struktur</v>
          </cell>
          <cell r="F212" t="str">
            <v>@Rp</v>
          </cell>
          <cell r="G212">
            <v>31900</v>
          </cell>
          <cell r="H212" t="str">
            <v>=Rp</v>
          </cell>
          <cell r="I212">
            <v>425333.33333333337</v>
          </cell>
        </row>
        <row r="213">
          <cell r="G213" t="str">
            <v>Jumlah</v>
          </cell>
          <cell r="H213" t="str">
            <v>=Rp</v>
          </cell>
          <cell r="I213">
            <v>1493847.0303438916</v>
          </cell>
        </row>
        <row r="214">
          <cell r="G214" t="str">
            <v>Dibulatkan</v>
          </cell>
          <cell r="H214" t="str">
            <v>=Rp</v>
          </cell>
          <cell r="I214">
            <v>1493900</v>
          </cell>
        </row>
        <row r="224">
          <cell r="G224" t="str">
            <v>Dibulatkan</v>
          </cell>
          <cell r="H224" t="str">
            <v>=Rp</v>
          </cell>
          <cell r="I224">
            <v>1493900</v>
          </cell>
        </row>
        <row r="225">
          <cell r="B225" t="str">
            <v>C.15</v>
          </cell>
          <cell r="C225" t="str">
            <v>1 M3 Sloof 150x200 K225</v>
          </cell>
        </row>
        <row r="226">
          <cell r="C226">
            <v>1</v>
          </cell>
          <cell r="D226" t="str">
            <v>M3</v>
          </cell>
          <cell r="E226" t="str">
            <v>Beton Readymix</v>
          </cell>
          <cell r="F226" t="str">
            <v>@Rp</v>
          </cell>
          <cell r="G226">
            <v>430000</v>
          </cell>
          <cell r="H226" t="str">
            <v>=Rp</v>
          </cell>
          <cell r="I226">
            <v>430000</v>
          </cell>
        </row>
        <row r="227">
          <cell r="C227">
            <v>131.36360241475481</v>
          </cell>
          <cell r="D227" t="str">
            <v>Kg</v>
          </cell>
          <cell r="E227" t="str">
            <v>Pembesian Polos</v>
          </cell>
          <cell r="F227" t="str">
            <v>@Rp</v>
          </cell>
          <cell r="G227">
            <v>6100</v>
          </cell>
          <cell r="H227" t="str">
            <v>=Rp</v>
          </cell>
          <cell r="I227">
            <v>801317.97473000432</v>
          </cell>
        </row>
        <row r="228">
          <cell r="C228">
            <v>0</v>
          </cell>
          <cell r="D228" t="str">
            <v>Kg</v>
          </cell>
          <cell r="E228" t="str">
            <v>Pembesian Ulir</v>
          </cell>
          <cell r="F228" t="str">
            <v>@Rp</v>
          </cell>
          <cell r="G228">
            <v>5850</v>
          </cell>
          <cell r="H228" t="str">
            <v>=Rp</v>
          </cell>
          <cell r="I228">
            <v>0</v>
          </cell>
        </row>
        <row r="229">
          <cell r="C229">
            <v>13.333333333333334</v>
          </cell>
          <cell r="D229" t="str">
            <v>M2</v>
          </cell>
          <cell r="E229" t="str">
            <v>Bekisting Non Struktur</v>
          </cell>
          <cell r="F229" t="str">
            <v>@Rp</v>
          </cell>
          <cell r="G229">
            <v>31900</v>
          </cell>
          <cell r="H229" t="str">
            <v>=Rp</v>
          </cell>
          <cell r="I229">
            <v>425333.33333333337</v>
          </cell>
        </row>
        <row r="230">
          <cell r="G230" t="str">
            <v>Jumlah</v>
          </cell>
          <cell r="H230" t="str">
            <v>=Rp</v>
          </cell>
          <cell r="I230">
            <v>1656651.3080633376</v>
          </cell>
        </row>
        <row r="231">
          <cell r="G231" t="str">
            <v>Dibulatkan</v>
          </cell>
          <cell r="H231" t="str">
            <v>=Rp</v>
          </cell>
          <cell r="I231">
            <v>1656700</v>
          </cell>
        </row>
        <row r="468">
          <cell r="B468" t="str">
            <v>C.37</v>
          </cell>
          <cell r="C468" t="str">
            <v>1 M3 Kolom 500x500 K225</v>
          </cell>
        </row>
        <row r="469">
          <cell r="C469">
            <v>1</v>
          </cell>
          <cell r="D469" t="str">
            <v>M3</v>
          </cell>
          <cell r="E469" t="str">
            <v>Beton Readymix</v>
          </cell>
          <cell r="F469" t="str">
            <v>@Rp</v>
          </cell>
          <cell r="G469">
            <v>430000</v>
          </cell>
          <cell r="H469" t="str">
            <v>=Rp</v>
          </cell>
          <cell r="I469">
            <v>430000</v>
          </cell>
        </row>
        <row r="470">
          <cell r="C470">
            <v>31.936645518230439</v>
          </cell>
          <cell r="D470" t="str">
            <v>Kg</v>
          </cell>
          <cell r="E470" t="str">
            <v>Pembesian Polos</v>
          </cell>
          <cell r="F470" t="str">
            <v>@Rp</v>
          </cell>
          <cell r="G470">
            <v>6100</v>
          </cell>
          <cell r="H470" t="str">
            <v>=Rp</v>
          </cell>
          <cell r="I470">
            <v>194813.53766120569</v>
          </cell>
        </row>
        <row r="471">
          <cell r="C471">
            <v>178.05604682750868</v>
          </cell>
          <cell r="D471" t="str">
            <v>Kg</v>
          </cell>
          <cell r="E471" t="str">
            <v>Pembesian Ulir</v>
          </cell>
          <cell r="F471" t="str">
            <v>@Rp</v>
          </cell>
          <cell r="G471">
            <v>5850</v>
          </cell>
          <cell r="H471" t="str">
            <v>=Rp</v>
          </cell>
          <cell r="I471">
            <v>1041627.8739409258</v>
          </cell>
        </row>
        <row r="472">
          <cell r="C472">
            <v>8</v>
          </cell>
          <cell r="D472" t="str">
            <v>M2</v>
          </cell>
          <cell r="E472" t="str">
            <v>Bekisting Struktur+Scafolding</v>
          </cell>
          <cell r="F472" t="str">
            <v>@Rp</v>
          </cell>
          <cell r="G472">
            <v>44200</v>
          </cell>
          <cell r="H472" t="str">
            <v>=Rp</v>
          </cell>
          <cell r="I472">
            <v>353600</v>
          </cell>
        </row>
        <row r="473">
          <cell r="G473" t="str">
            <v>Jumlah</v>
          </cell>
          <cell r="H473" t="str">
            <v>=Rp</v>
          </cell>
          <cell r="I473">
            <v>2020041.4116021316</v>
          </cell>
        </row>
        <row r="474">
          <cell r="G474" t="str">
            <v>Dibulatkan</v>
          </cell>
          <cell r="H474" t="str">
            <v>=Rp</v>
          </cell>
          <cell r="I474">
            <v>2020100</v>
          </cell>
        </row>
        <row r="475">
          <cell r="G475" t="str">
            <v>Dibulatkan</v>
          </cell>
          <cell r="H475" t="str">
            <v>=Rp</v>
          </cell>
          <cell r="I475">
            <v>2020100</v>
          </cell>
        </row>
        <row r="476">
          <cell r="B476" t="str">
            <v>C.38</v>
          </cell>
          <cell r="C476" t="str">
            <v>1 M3 Kolom 450x450 K225</v>
          </cell>
        </row>
        <row r="477">
          <cell r="C477">
            <v>1</v>
          </cell>
          <cell r="D477" t="str">
            <v>M3</v>
          </cell>
          <cell r="E477" t="str">
            <v>Beton Readymix</v>
          </cell>
          <cell r="F477" t="str">
            <v>@Rp</v>
          </cell>
          <cell r="G477">
            <v>430000</v>
          </cell>
          <cell r="H477" t="str">
            <v>=Rp</v>
          </cell>
          <cell r="I477">
            <v>430000</v>
          </cell>
        </row>
        <row r="478">
          <cell r="C478">
            <v>35.16547554559908</v>
          </cell>
          <cell r="D478" t="str">
            <v>Kg</v>
          </cell>
          <cell r="E478" t="str">
            <v>Pembesian Polos</v>
          </cell>
          <cell r="F478" t="str">
            <v>@Rp</v>
          </cell>
          <cell r="G478">
            <v>6100</v>
          </cell>
          <cell r="H478" t="str">
            <v>=Rp</v>
          </cell>
          <cell r="I478">
            <v>214509.40082815438</v>
          </cell>
        </row>
        <row r="479">
          <cell r="C479">
            <v>175.85782402716904</v>
          </cell>
          <cell r="D479" t="str">
            <v>Kg</v>
          </cell>
          <cell r="E479" t="str">
            <v>Pembesian Ulir</v>
          </cell>
          <cell r="F479" t="str">
            <v>@Rp</v>
          </cell>
          <cell r="G479">
            <v>5850</v>
          </cell>
          <cell r="H479" t="str">
            <v>=Rp</v>
          </cell>
          <cell r="I479">
            <v>1028768.270558939</v>
          </cell>
        </row>
        <row r="480">
          <cell r="C480">
            <v>8.8888888888888893</v>
          </cell>
          <cell r="D480" t="str">
            <v>M2</v>
          </cell>
          <cell r="E480" t="str">
            <v>Bekisting Struktur+Scafolding</v>
          </cell>
          <cell r="F480" t="str">
            <v>@Rp</v>
          </cell>
          <cell r="G480">
            <v>44200</v>
          </cell>
          <cell r="H480" t="str">
            <v>=Rp</v>
          </cell>
          <cell r="I480">
            <v>392888.88888888893</v>
          </cell>
        </row>
        <row r="481">
          <cell r="G481" t="str">
            <v>Jumlah</v>
          </cell>
          <cell r="H481" t="str">
            <v>=Rp</v>
          </cell>
          <cell r="I481">
            <v>2066166.5602759824</v>
          </cell>
        </row>
        <row r="482">
          <cell r="G482" t="str">
            <v>Dibulatkan</v>
          </cell>
          <cell r="H482" t="str">
            <v>=Rp</v>
          </cell>
          <cell r="I482">
            <v>2066200</v>
          </cell>
        </row>
      </sheetData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208">
          <cell r="B208" t="str">
            <v>C.13</v>
          </cell>
        </row>
      </sheetData>
      <sheetData sheetId="85">
        <row r="208">
          <cell r="B208" t="str">
            <v>C.13</v>
          </cell>
        </row>
      </sheetData>
      <sheetData sheetId="86" refreshError="1"/>
      <sheetData sheetId="87" refreshError="1"/>
      <sheetData sheetId="88">
        <row r="208">
          <cell r="B208" t="str">
            <v>C.13</v>
          </cell>
        </row>
      </sheetData>
      <sheetData sheetId="89">
        <row r="208">
          <cell r="B208" t="str">
            <v>C.13</v>
          </cell>
        </row>
      </sheetData>
      <sheetData sheetId="90">
        <row r="208">
          <cell r="B208" t="str">
            <v>C.13</v>
          </cell>
        </row>
      </sheetData>
      <sheetData sheetId="91">
        <row r="208">
          <cell r="B208" t="str">
            <v>C.13</v>
          </cell>
        </row>
      </sheetData>
      <sheetData sheetId="92">
        <row r="208">
          <cell r="B208" t="str">
            <v>C.13</v>
          </cell>
        </row>
      </sheetData>
      <sheetData sheetId="93">
        <row r="208">
          <cell r="B208" t="str">
            <v>C.13</v>
          </cell>
        </row>
      </sheetData>
      <sheetData sheetId="94">
        <row r="208">
          <cell r="B208" t="str">
            <v>C.13</v>
          </cell>
        </row>
      </sheetData>
      <sheetData sheetId="95">
        <row r="208">
          <cell r="B208" t="str">
            <v>C.13</v>
          </cell>
        </row>
      </sheetData>
      <sheetData sheetId="96">
        <row r="208">
          <cell r="B208" t="str">
            <v>C.13</v>
          </cell>
        </row>
      </sheetData>
      <sheetData sheetId="97">
        <row r="208">
          <cell r="B208" t="str">
            <v>C.13</v>
          </cell>
        </row>
      </sheetData>
      <sheetData sheetId="98">
        <row r="208">
          <cell r="B208" t="str">
            <v>C.13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208">
          <cell r="B208" t="str">
            <v>C.13</v>
          </cell>
        </row>
      </sheetData>
      <sheetData sheetId="116">
        <row r="208">
          <cell r="B208" t="str">
            <v>C.13</v>
          </cell>
        </row>
      </sheetData>
      <sheetData sheetId="117">
        <row r="208">
          <cell r="B208" t="str">
            <v>C.13</v>
          </cell>
        </row>
      </sheetData>
      <sheetData sheetId="118">
        <row r="208">
          <cell r="B208" t="str">
            <v>C.13</v>
          </cell>
        </row>
      </sheetData>
      <sheetData sheetId="119">
        <row r="208">
          <cell r="B208" t="str">
            <v>C.13</v>
          </cell>
        </row>
      </sheetData>
      <sheetData sheetId="120">
        <row r="208">
          <cell r="B208" t="str">
            <v>C.13</v>
          </cell>
        </row>
      </sheetData>
      <sheetData sheetId="121">
        <row r="208">
          <cell r="B208" t="str">
            <v>C.13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"/>
      <sheetName val="ANALISA"/>
      <sheetName val="MATERIAL"/>
      <sheetName val="Upah"/>
      <sheetName val="Analisa2"/>
      <sheetName val="Pintu2"/>
      <sheetName val="Analisa Saluran"/>
      <sheetName val="REKAP"/>
      <sheetName val="I. PERSIAPAN"/>
      <sheetName val="Fisik Showroom &amp; Hotel"/>
      <sheetName val="ADD Fisik Showwroom &amp; Hotel"/>
      <sheetName val="Analisa Baja"/>
      <sheetName val="Harga2"/>
      <sheetName val="Finishing Showroom"/>
      <sheetName val=" Add Finishing Showroom"/>
      <sheetName val="Sanitary"/>
      <sheetName val="Finishing Hotel"/>
      <sheetName val=" Add Finishing Hotel"/>
      <sheetName val="Facade Showroom &amp; Hotel"/>
      <sheetName val="Add Facade"/>
      <sheetName val="facade"/>
      <sheetName val="Guard Post"/>
      <sheetName val="PLN"/>
      <sheetName val="Jalan &amp; Saluran"/>
      <sheetName val="ADD Jalan &amp; Saluran"/>
      <sheetName val="Pagar"/>
      <sheetName val="Add Pagar"/>
      <sheetName val="Plumbing"/>
      <sheetName val="Add_Plumbing"/>
      <sheetName val="Pagar lama"/>
      <sheetName val="Analisa Pagar"/>
      <sheetName val="Sheet1"/>
      <sheetName val="概総括1"/>
    </sheetNames>
    <sheetDataSet>
      <sheetData sheetId="0" refreshError="1"/>
      <sheetData sheetId="1"/>
      <sheetData sheetId="2"/>
      <sheetData sheetId="3" refreshError="1"/>
      <sheetData sheetId="4"/>
      <sheetData sheetId="5">
        <row r="35">
          <cell r="P35">
            <v>1498539000</v>
          </cell>
        </row>
      </sheetData>
      <sheetData sheetId="6" refreshError="1"/>
      <sheetData sheetId="7">
        <row r="5">
          <cell r="C5" t="str">
            <v>: FISIK FINISHING</v>
          </cell>
        </row>
      </sheetData>
      <sheetData sheetId="8"/>
      <sheetData sheetId="9">
        <row r="18">
          <cell r="F18">
            <v>4088.72</v>
          </cell>
        </row>
      </sheetData>
      <sheetData sheetId="10">
        <row r="18">
          <cell r="F18" t="str">
            <v>BY OTHERS</v>
          </cell>
        </row>
      </sheetData>
      <sheetData sheetId="11" refreshError="1"/>
      <sheetData sheetId="12">
        <row r="4">
          <cell r="L4">
            <v>90000</v>
          </cell>
        </row>
      </sheetData>
      <sheetData sheetId="13"/>
      <sheetData sheetId="14"/>
      <sheetData sheetId="15" refreshError="1"/>
      <sheetData sheetId="16"/>
      <sheetData sheetId="17"/>
      <sheetData sheetId="18">
        <row r="75">
          <cell r="L75">
            <v>150219125.65200001</v>
          </cell>
        </row>
      </sheetData>
      <sheetData sheetId="19">
        <row r="33">
          <cell r="L33">
            <v>279190071.08999997</v>
          </cell>
        </row>
      </sheetData>
      <sheetData sheetId="20" refreshError="1"/>
      <sheetData sheetId="21">
        <row r="19">
          <cell r="F19" t="str">
            <v>nihil</v>
          </cell>
        </row>
      </sheetData>
      <sheetData sheetId="22">
        <row r="19">
          <cell r="F19" t="str">
            <v>nihil</v>
          </cell>
        </row>
      </sheetData>
      <sheetData sheetId="23">
        <row r="19">
          <cell r="F19">
            <v>1212.5899999999999</v>
          </cell>
        </row>
      </sheetData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Fill this out first___"/>
      <sheetName val="bq"/>
      <sheetName val="概総括1"/>
      <sheetName val="NET表"/>
      <sheetName val="BQ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Material"/>
      <sheetName val="COVER"/>
      <sheetName val="Hitungan Tangga"/>
      <sheetName val="Analisa"/>
      <sheetName val="REKAP RAB"/>
      <sheetName val="Plumbing"/>
      <sheetName val="RAB (A)"/>
      <sheetName val="RAB (B)"/>
      <sheetName val="Pas. Dinding"/>
      <sheetName val="PROSES BAJA"/>
      <sheetName val="DATA BAJA"/>
      <sheetName val="TABEL BAJA"/>
      <sheetName val="REKAP BETON BESI BEKISTING"/>
      <sheetName val="Retaining Wall"/>
      <sheetName val="REKAP Plat"/>
      <sheetName val="Plat"/>
      <sheetName val="Hasil-Kolom"/>
      <sheetName val="Data-Kolom"/>
      <sheetName val="REKAP Balok"/>
      <sheetName val="Data Panjang Balok"/>
      <sheetName val="Besi Balok"/>
      <sheetName val="Detail Balok"/>
      <sheetName val="REKAP-PC"/>
      <sheetName val="Hasil-PC"/>
      <sheetName val="Data-PC"/>
    </sheetNames>
    <sheetDataSet>
      <sheetData sheetId="0"/>
      <sheetData sheetId="1"/>
      <sheetData sheetId="2"/>
      <sheetData sheetId="3"/>
      <sheetData sheetId="4">
        <row r="162">
          <cell r="F162">
            <v>97482.638888888891</v>
          </cell>
        </row>
        <row r="193">
          <cell r="F193">
            <v>1223775</v>
          </cell>
        </row>
        <row r="225">
          <cell r="G225">
            <v>1250000</v>
          </cell>
          <cell r="H225">
            <v>215000</v>
          </cell>
        </row>
        <row r="233">
          <cell r="F233">
            <v>11492.5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aining Wall"/>
    </sheetNames>
    <sheetDataSet>
      <sheetData sheetId="0">
        <row r="54">
          <cell r="C54">
            <v>56.000000000000007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66"/>
  <sheetViews>
    <sheetView zoomScale="70" zoomScaleNormal="70" workbookViewId="0">
      <pane xSplit="2" ySplit="5" topLeftCell="C6" activePane="bottomRight" state="frozen"/>
      <selection activeCell="G34" sqref="G34"/>
      <selection pane="topRight" activeCell="G34" sqref="G34"/>
      <selection pane="bottomLeft" activeCell="G34" sqref="G34"/>
      <selection pane="bottomRight" activeCell="E43" sqref="E43"/>
    </sheetView>
  </sheetViews>
  <sheetFormatPr defaultColWidth="9.140625" defaultRowHeight="15"/>
  <cols>
    <col min="1" max="1" width="19" style="614" customWidth="1"/>
    <col min="2" max="2" width="16" style="614" bestFit="1" customWidth="1"/>
    <col min="3" max="3" width="18.140625" style="614" bestFit="1" customWidth="1"/>
    <col min="4" max="5" width="17.85546875" style="614" bestFit="1" customWidth="1"/>
    <col min="6" max="6" width="15" style="614" bestFit="1" customWidth="1"/>
    <col min="7" max="7" width="17.85546875" style="614" bestFit="1" customWidth="1"/>
    <col min="8" max="9" width="15" style="614" bestFit="1" customWidth="1"/>
    <col min="10" max="10" width="11.42578125" style="614" customWidth="1"/>
    <col min="11" max="11" width="15.28515625" style="614" bestFit="1" customWidth="1"/>
    <col min="12" max="12" width="15.28515625" style="614" customWidth="1"/>
    <col min="13" max="14" width="13.140625" style="614" bestFit="1" customWidth="1"/>
    <col min="15" max="16" width="16.42578125" style="614" bestFit="1" customWidth="1"/>
    <col min="17" max="17" width="11.42578125" style="614" customWidth="1"/>
    <col min="18" max="18" width="12.140625" style="614" bestFit="1" customWidth="1"/>
    <col min="19" max="19" width="20.5703125" style="614" bestFit="1" customWidth="1"/>
    <col min="20" max="20" width="15.28515625" style="614" bestFit="1" customWidth="1"/>
    <col min="21" max="21" width="15.28515625" style="614" customWidth="1"/>
    <col min="22" max="22" width="14" style="614" bestFit="1" customWidth="1"/>
    <col min="23" max="23" width="13.140625" style="614" bestFit="1" customWidth="1"/>
    <col min="24" max="24" width="17.85546875" style="614" hidden="1" customWidth="1"/>
    <col min="25" max="16384" width="9.140625" style="614"/>
  </cols>
  <sheetData>
    <row r="1" spans="1:24">
      <c r="A1" s="950" t="s">
        <v>2133</v>
      </c>
      <c r="B1" s="950"/>
      <c r="C1" s="950"/>
    </row>
    <row r="2" spans="1:24">
      <c r="A2" s="950"/>
      <c r="B2" s="950"/>
      <c r="C2" s="950"/>
    </row>
    <row r="3" spans="1:24">
      <c r="A3" s="950" t="s">
        <v>1</v>
      </c>
      <c r="B3" s="950" t="s">
        <v>2134</v>
      </c>
      <c r="C3" s="950"/>
    </row>
    <row r="4" spans="1:24">
      <c r="A4" s="950"/>
    </row>
    <row r="5" spans="1:24" s="907" customFormat="1" ht="60">
      <c r="A5" s="907" t="s">
        <v>263</v>
      </c>
      <c r="B5" s="907" t="s">
        <v>375</v>
      </c>
      <c r="C5" s="907" t="s">
        <v>2135</v>
      </c>
      <c r="D5" s="907" t="s">
        <v>2136</v>
      </c>
      <c r="E5" s="907" t="s">
        <v>2137</v>
      </c>
      <c r="F5" s="907" t="s">
        <v>2138</v>
      </c>
      <c r="G5" s="907" t="s">
        <v>2139</v>
      </c>
      <c r="H5" s="907" t="s">
        <v>2140</v>
      </c>
      <c r="I5" s="907" t="s">
        <v>2141</v>
      </c>
      <c r="K5" s="907" t="s">
        <v>2142</v>
      </c>
      <c r="L5" s="907" t="s">
        <v>2143</v>
      </c>
      <c r="M5" s="907" t="s">
        <v>2144</v>
      </c>
      <c r="N5" s="907" t="s">
        <v>2145</v>
      </c>
      <c r="O5" s="907" t="s">
        <v>2146</v>
      </c>
      <c r="P5" s="907" t="s">
        <v>2147</v>
      </c>
      <c r="R5" s="907" t="s">
        <v>2148</v>
      </c>
      <c r="S5" s="907" t="s">
        <v>2149</v>
      </c>
      <c r="T5" s="907" t="s">
        <v>2150</v>
      </c>
      <c r="U5" s="907" t="s">
        <v>2151</v>
      </c>
      <c r="V5" s="907" t="s">
        <v>2152</v>
      </c>
      <c r="W5" s="907" t="s">
        <v>2153</v>
      </c>
      <c r="X5" s="907" t="s">
        <v>2154</v>
      </c>
    </row>
    <row r="7" spans="1:24">
      <c r="A7" s="614" t="s">
        <v>2155</v>
      </c>
      <c r="C7" s="2006"/>
      <c r="D7" s="2006"/>
      <c r="E7" s="2006"/>
      <c r="F7" s="2006"/>
      <c r="G7" s="2006"/>
      <c r="H7" s="2006"/>
      <c r="I7" s="2006"/>
      <c r="J7" s="2006"/>
      <c r="K7" s="2006"/>
      <c r="L7" s="2006"/>
      <c r="M7" s="2006"/>
      <c r="N7" s="2006"/>
      <c r="O7" s="2006"/>
      <c r="P7" s="2006"/>
      <c r="Q7" s="2006"/>
      <c r="R7" s="2006"/>
      <c r="S7" s="2006"/>
      <c r="T7" s="2006"/>
      <c r="U7" s="2006"/>
      <c r="V7" s="2006"/>
      <c r="W7" s="2006"/>
      <c r="X7" s="2006"/>
    </row>
    <row r="8" spans="1:24">
      <c r="A8" s="614" t="s">
        <v>2156</v>
      </c>
      <c r="B8" s="2007"/>
      <c r="C8" s="2006"/>
      <c r="D8" s="2006"/>
      <c r="E8" s="2006"/>
      <c r="F8" s="2006"/>
      <c r="G8" s="2006"/>
      <c r="H8" s="2006"/>
      <c r="I8" s="2006"/>
      <c r="J8" s="2006"/>
      <c r="K8" s="2006"/>
      <c r="L8" s="2006"/>
      <c r="M8" s="2006"/>
      <c r="N8" s="2006"/>
      <c r="O8" s="2006"/>
      <c r="P8" s="2006"/>
      <c r="Q8" s="2006"/>
      <c r="R8" s="2006"/>
      <c r="S8" s="2006"/>
      <c r="T8" s="2006"/>
      <c r="U8" s="2006"/>
      <c r="V8" s="2006"/>
      <c r="W8" s="2006"/>
      <c r="X8" s="2006"/>
    </row>
    <row r="9" spans="1:24">
      <c r="A9" s="614" t="s">
        <v>2156</v>
      </c>
      <c r="B9" s="2007"/>
      <c r="C9" s="2006"/>
      <c r="D9" s="2006"/>
      <c r="E9" s="2006"/>
      <c r="F9" s="2006"/>
      <c r="G9" s="2006"/>
      <c r="H9" s="2006"/>
      <c r="I9" s="2006"/>
      <c r="J9" s="2006"/>
      <c r="K9" s="2006"/>
      <c r="L9" s="2006"/>
      <c r="M9" s="2006"/>
      <c r="N9" s="2006"/>
      <c r="O9" s="2006"/>
      <c r="P9" s="2006"/>
      <c r="Q9" s="2006"/>
      <c r="R9" s="2006"/>
      <c r="S9" s="2006"/>
      <c r="T9" s="2006"/>
      <c r="U9" s="2006"/>
      <c r="V9" s="2006"/>
      <c r="W9" s="2006"/>
      <c r="X9" s="2006"/>
    </row>
    <row r="10" spans="1:24">
      <c r="A10" s="614" t="s">
        <v>2157</v>
      </c>
      <c r="B10" s="2007"/>
      <c r="C10" s="2006"/>
      <c r="D10" s="2006"/>
      <c r="E10" s="2006"/>
      <c r="F10" s="2006"/>
      <c r="G10" s="2006"/>
      <c r="H10" s="2006"/>
      <c r="I10" s="2006"/>
      <c r="J10" s="2006"/>
      <c r="K10" s="2006"/>
      <c r="L10" s="2006"/>
      <c r="M10" s="2006"/>
      <c r="N10" s="2006"/>
      <c r="O10" s="2006"/>
      <c r="P10" s="2006"/>
      <c r="Q10" s="2006"/>
      <c r="R10" s="2006"/>
      <c r="S10" s="2006"/>
      <c r="T10" s="2006"/>
      <c r="U10" s="2006"/>
      <c r="V10" s="2006"/>
      <c r="W10" s="2006"/>
      <c r="X10" s="2006"/>
    </row>
    <row r="11" spans="1:24">
      <c r="A11" s="614" t="s">
        <v>2157</v>
      </c>
      <c r="B11" s="2007"/>
      <c r="C11" s="2006"/>
      <c r="D11" s="2006"/>
      <c r="E11" s="2006"/>
      <c r="F11" s="2006"/>
      <c r="G11" s="2006"/>
      <c r="H11" s="2006"/>
      <c r="I11" s="2006"/>
      <c r="J11" s="2006"/>
      <c r="K11" s="2006"/>
      <c r="L11" s="2006"/>
      <c r="M11" s="2006"/>
      <c r="N11" s="2006"/>
      <c r="O11" s="2006"/>
      <c r="P11" s="2006"/>
      <c r="Q11" s="2006"/>
      <c r="R11" s="2006"/>
      <c r="S11" s="2006"/>
      <c r="T11" s="2006"/>
      <c r="U11" s="2006"/>
      <c r="V11" s="2006"/>
      <c r="W11" s="2006"/>
      <c r="X11" s="2006"/>
    </row>
    <row r="12" spans="1:24">
      <c r="A12" s="614" t="s">
        <v>2157</v>
      </c>
      <c r="B12" s="2007"/>
      <c r="C12" s="2006"/>
      <c r="D12" s="2006"/>
      <c r="E12" s="2006"/>
      <c r="F12" s="2006"/>
      <c r="G12" s="2006"/>
      <c r="H12" s="2006"/>
      <c r="I12" s="2006"/>
      <c r="J12" s="2006"/>
      <c r="K12" s="2006"/>
      <c r="L12" s="2006"/>
      <c r="M12" s="2006"/>
      <c r="N12" s="2006"/>
      <c r="O12" s="2006"/>
      <c r="P12" s="2006"/>
      <c r="Q12" s="2006"/>
      <c r="R12" s="2006"/>
      <c r="S12" s="2006"/>
      <c r="T12" s="2006"/>
      <c r="U12" s="2006"/>
      <c r="V12" s="2006"/>
      <c r="W12" s="2006"/>
      <c r="X12" s="2006"/>
    </row>
    <row r="13" spans="1:24">
      <c r="A13" s="614" t="s">
        <v>2158</v>
      </c>
      <c r="C13" s="2006"/>
      <c r="D13" s="2006"/>
      <c r="E13" s="2006"/>
      <c r="F13" s="2006"/>
      <c r="G13" s="2006"/>
      <c r="H13" s="2006"/>
      <c r="I13" s="2006"/>
      <c r="J13" s="2006"/>
      <c r="K13" s="2006"/>
      <c r="L13" s="2006"/>
      <c r="M13" s="2006"/>
      <c r="N13" s="2006"/>
      <c r="O13" s="2006"/>
      <c r="P13" s="2006"/>
      <c r="Q13" s="2006"/>
      <c r="R13" s="2006"/>
      <c r="S13" s="2006"/>
      <c r="T13" s="2006"/>
      <c r="U13" s="2006"/>
      <c r="V13" s="2006"/>
      <c r="W13" s="2006"/>
      <c r="X13" s="2006"/>
    </row>
    <row r="14" spans="1:24">
      <c r="A14" s="614" t="s">
        <v>2158</v>
      </c>
      <c r="C14" s="2006"/>
      <c r="D14" s="2006"/>
      <c r="E14" s="2006"/>
      <c r="F14" s="2006"/>
      <c r="G14" s="2006"/>
      <c r="H14" s="2006"/>
      <c r="I14" s="2006"/>
      <c r="J14" s="2006"/>
      <c r="K14" s="2006"/>
      <c r="L14" s="2006"/>
      <c r="M14" s="2006"/>
      <c r="N14" s="2006"/>
      <c r="O14" s="2006"/>
      <c r="P14" s="2006"/>
      <c r="Q14" s="2006"/>
      <c r="R14" s="2006"/>
      <c r="S14" s="2006"/>
      <c r="T14" s="2006"/>
      <c r="U14" s="2006"/>
      <c r="V14" s="2006"/>
      <c r="W14" s="2006"/>
      <c r="X14" s="2006"/>
    </row>
    <row r="15" spans="1:24">
      <c r="A15" s="614" t="s">
        <v>2158</v>
      </c>
      <c r="C15" s="2006"/>
      <c r="D15" s="2006"/>
      <c r="E15" s="2006"/>
      <c r="F15" s="2006"/>
      <c r="G15" s="2006"/>
      <c r="H15" s="2006"/>
      <c r="I15" s="2006"/>
      <c r="J15" s="2006"/>
      <c r="K15" s="2006"/>
      <c r="L15" s="2006"/>
      <c r="M15" s="2006"/>
      <c r="N15" s="2006"/>
      <c r="O15" s="2006"/>
      <c r="P15" s="2006"/>
      <c r="Q15" s="2006"/>
      <c r="R15" s="2006"/>
      <c r="S15" s="2006"/>
      <c r="T15" s="2006"/>
      <c r="U15" s="2006"/>
      <c r="V15" s="2006"/>
      <c r="W15" s="2006"/>
      <c r="X15" s="2006"/>
    </row>
    <row r="16" spans="1:24">
      <c r="A16" s="614" t="s">
        <v>2158</v>
      </c>
      <c r="C16" s="2006"/>
      <c r="D16" s="2006"/>
      <c r="E16" s="2006"/>
      <c r="F16" s="2006"/>
      <c r="G16" s="2006"/>
      <c r="H16" s="2006"/>
      <c r="I16" s="2006"/>
      <c r="J16" s="2006"/>
      <c r="K16" s="2006"/>
      <c r="L16" s="2006"/>
      <c r="M16" s="2006"/>
      <c r="N16" s="2006"/>
      <c r="O16" s="2006"/>
      <c r="P16" s="2006"/>
      <c r="Q16" s="2006"/>
      <c r="R16" s="2006"/>
      <c r="S16" s="2006"/>
      <c r="T16" s="2006"/>
      <c r="U16" s="2006"/>
      <c r="V16" s="2006"/>
      <c r="W16" s="2006"/>
      <c r="X16" s="2006"/>
    </row>
    <row r="17" spans="1:24">
      <c r="A17" s="614" t="s">
        <v>2159</v>
      </c>
      <c r="C17" s="2006"/>
      <c r="D17" s="2006"/>
      <c r="E17" s="2006"/>
      <c r="F17" s="2006"/>
      <c r="G17" s="2006"/>
      <c r="H17" s="2006"/>
      <c r="I17" s="2006"/>
      <c r="J17" s="2006"/>
      <c r="K17" s="2006"/>
      <c r="L17" s="2006"/>
      <c r="M17" s="2006"/>
      <c r="N17" s="2006"/>
      <c r="O17" s="2006"/>
      <c r="P17" s="2006"/>
      <c r="Q17" s="2006"/>
      <c r="R17" s="2006"/>
      <c r="S17" s="2006"/>
      <c r="T17" s="2006"/>
      <c r="U17" s="2006"/>
      <c r="V17" s="2006"/>
      <c r="W17" s="2006"/>
      <c r="X17" s="2006"/>
    </row>
    <row r="18" spans="1:24">
      <c r="A18" s="614" t="s">
        <v>2159</v>
      </c>
      <c r="C18" s="2006"/>
      <c r="D18" s="2006"/>
      <c r="E18" s="2006"/>
      <c r="F18" s="2006"/>
      <c r="G18" s="2006"/>
      <c r="H18" s="2006"/>
      <c r="I18" s="2006"/>
      <c r="J18" s="2006"/>
      <c r="K18" s="2006"/>
      <c r="L18" s="2006"/>
      <c r="M18" s="2006"/>
      <c r="N18" s="2006"/>
      <c r="O18" s="2006"/>
      <c r="P18" s="2006"/>
      <c r="Q18" s="2006"/>
      <c r="R18" s="2006"/>
      <c r="S18" s="2006"/>
      <c r="T18" s="2006"/>
      <c r="U18" s="2006"/>
      <c r="V18" s="2006"/>
      <c r="W18" s="2006"/>
      <c r="X18" s="2006"/>
    </row>
    <row r="19" spans="1:24">
      <c r="A19" s="614" t="s">
        <v>2159</v>
      </c>
      <c r="C19" s="2006"/>
      <c r="D19" s="2006"/>
      <c r="E19" s="2006"/>
      <c r="F19" s="2006"/>
      <c r="G19" s="2006"/>
      <c r="H19" s="2006"/>
      <c r="I19" s="2006"/>
      <c r="J19" s="2006"/>
      <c r="K19" s="2006"/>
      <c r="L19" s="2006"/>
      <c r="M19" s="2006"/>
      <c r="N19" s="2006"/>
      <c r="O19" s="2006"/>
      <c r="P19" s="2006"/>
      <c r="Q19" s="2006"/>
      <c r="R19" s="2006"/>
      <c r="S19" s="2006"/>
      <c r="T19" s="2006"/>
      <c r="U19" s="2006"/>
      <c r="V19" s="2006"/>
      <c r="W19" s="2006"/>
      <c r="X19" s="2006"/>
    </row>
    <row r="20" spans="1:24">
      <c r="A20" s="614" t="s">
        <v>2159</v>
      </c>
      <c r="C20" s="2006"/>
      <c r="D20" s="2006"/>
      <c r="E20" s="2006"/>
      <c r="F20" s="2006"/>
      <c r="G20" s="2006"/>
      <c r="H20" s="2006"/>
      <c r="J20" s="2006"/>
      <c r="K20" s="2006"/>
      <c r="L20" s="2006"/>
      <c r="M20" s="2006"/>
      <c r="N20" s="2006"/>
      <c r="O20" s="2006"/>
      <c r="P20" s="2006"/>
      <c r="Q20" s="2006"/>
      <c r="R20" s="2006"/>
      <c r="S20" s="2006"/>
      <c r="T20" s="2006"/>
      <c r="U20" s="2006"/>
      <c r="V20" s="2006"/>
      <c r="W20" s="2006"/>
      <c r="X20" s="2006"/>
    </row>
    <row r="21" spans="1:24">
      <c r="A21" s="614" t="s">
        <v>2160</v>
      </c>
      <c r="C21" s="2006"/>
      <c r="D21" s="2006"/>
      <c r="E21" s="2006"/>
      <c r="F21" s="2006"/>
      <c r="G21" s="2006"/>
      <c r="H21" s="2006"/>
      <c r="I21" s="2006"/>
      <c r="J21" s="2006"/>
      <c r="K21" s="2006"/>
      <c r="L21" s="2006"/>
      <c r="M21" s="2006"/>
      <c r="N21" s="2006"/>
      <c r="O21" s="2006"/>
      <c r="P21" s="2006"/>
      <c r="Q21" s="2006"/>
      <c r="R21" s="2006"/>
      <c r="S21" s="2006"/>
      <c r="T21" s="2006"/>
      <c r="U21" s="2006"/>
      <c r="V21" s="2006"/>
      <c r="W21" s="2006"/>
    </row>
    <row r="22" spans="1:24">
      <c r="C22" s="2006"/>
      <c r="D22" s="2006"/>
      <c r="E22" s="2006"/>
      <c r="F22" s="2006"/>
      <c r="G22" s="2006"/>
      <c r="H22" s="2006"/>
      <c r="I22" s="2006"/>
      <c r="J22" s="2006"/>
      <c r="K22" s="2006"/>
      <c r="L22" s="2006"/>
      <c r="M22" s="2006"/>
      <c r="N22" s="2006"/>
      <c r="O22" s="2006"/>
      <c r="P22" s="2006"/>
      <c r="Q22" s="2006"/>
      <c r="R22" s="2006"/>
      <c r="S22" s="2006"/>
      <c r="T22" s="2006"/>
      <c r="U22" s="2006"/>
      <c r="V22" s="2006"/>
      <c r="W22" s="2006"/>
      <c r="X22" s="2006"/>
    </row>
    <row r="23" spans="1:24">
      <c r="A23" s="614" t="s">
        <v>2161</v>
      </c>
      <c r="B23" s="2007"/>
      <c r="C23" s="2006"/>
      <c r="D23" s="2006"/>
      <c r="E23" s="2006"/>
      <c r="F23" s="2006"/>
      <c r="G23" s="2006"/>
      <c r="H23" s="2006"/>
      <c r="I23" s="2006"/>
      <c r="J23" s="2006"/>
      <c r="K23" s="2006"/>
      <c r="L23" s="2006"/>
      <c r="M23" s="2006"/>
      <c r="N23" s="2006"/>
      <c r="O23" s="2006"/>
      <c r="P23" s="2006"/>
      <c r="Q23" s="2006"/>
      <c r="R23" s="2006"/>
      <c r="S23" s="2006"/>
      <c r="T23" s="2006"/>
      <c r="U23" s="2006"/>
      <c r="V23" s="2006"/>
      <c r="W23" s="2006"/>
      <c r="X23" s="2006"/>
    </row>
    <row r="24" spans="1:24">
      <c r="A24" s="614" t="s">
        <v>2162</v>
      </c>
      <c r="B24" s="2007"/>
      <c r="C24" s="2006"/>
      <c r="D24" s="2006"/>
      <c r="E24" s="2006"/>
      <c r="F24" s="2006"/>
      <c r="G24" s="2006"/>
      <c r="H24" s="2006"/>
      <c r="I24" s="2006"/>
      <c r="J24" s="2006"/>
      <c r="K24" s="2006"/>
      <c r="L24" s="2006"/>
      <c r="M24" s="2006"/>
      <c r="N24" s="2006"/>
      <c r="O24" s="2006"/>
      <c r="P24" s="2006"/>
      <c r="Q24" s="2006"/>
      <c r="R24" s="2006"/>
      <c r="S24" s="2006"/>
      <c r="T24" s="2006"/>
      <c r="U24" s="2006"/>
      <c r="V24" s="2006"/>
      <c r="W24" s="2006"/>
      <c r="X24" s="2006"/>
    </row>
    <row r="25" spans="1:24">
      <c r="A25" s="614" t="s">
        <v>2162</v>
      </c>
      <c r="B25" s="2007"/>
      <c r="C25" s="2006"/>
      <c r="D25" s="2006"/>
      <c r="E25" s="2006"/>
      <c r="F25" s="2006"/>
      <c r="G25" s="2006"/>
      <c r="H25" s="2006"/>
      <c r="I25" s="2006"/>
      <c r="J25" s="2006"/>
      <c r="K25" s="2006"/>
      <c r="L25" s="2006"/>
      <c r="M25" s="2006"/>
      <c r="N25" s="2006"/>
      <c r="O25" s="2006"/>
      <c r="P25" s="2006"/>
      <c r="Q25" s="2006"/>
      <c r="R25" s="2006"/>
      <c r="S25" s="2006"/>
      <c r="T25" s="2006"/>
      <c r="U25" s="2006"/>
      <c r="V25" s="2006"/>
      <c r="W25" s="2006"/>
      <c r="X25" s="2006"/>
    </row>
    <row r="26" spans="1:24">
      <c r="A26" s="614" t="s">
        <v>2163</v>
      </c>
      <c r="B26" s="2007"/>
      <c r="C26" s="2006"/>
      <c r="D26" s="2006"/>
      <c r="E26" s="2006"/>
      <c r="F26" s="2006"/>
      <c r="G26" s="2006"/>
      <c r="H26" s="2006"/>
      <c r="I26" s="2006"/>
      <c r="J26" s="2006"/>
      <c r="K26" s="2006"/>
      <c r="L26" s="2006"/>
      <c r="M26" s="2006"/>
      <c r="N26" s="2006"/>
      <c r="O26" s="2006"/>
      <c r="P26" s="2006"/>
      <c r="Q26" s="2006"/>
      <c r="R26" s="2006"/>
      <c r="S26" s="2006"/>
      <c r="T26" s="2006"/>
      <c r="U26" s="2006"/>
      <c r="V26" s="2006"/>
      <c r="W26" s="2006"/>
      <c r="X26" s="2006"/>
    </row>
    <row r="27" spans="1:24">
      <c r="A27" s="614" t="s">
        <v>2163</v>
      </c>
      <c r="B27" s="2007"/>
      <c r="C27" s="2006"/>
      <c r="D27" s="2006"/>
      <c r="E27" s="2006"/>
      <c r="F27" s="2006"/>
      <c r="G27" s="2006"/>
      <c r="H27" s="2006"/>
      <c r="I27" s="2006"/>
      <c r="J27" s="2006"/>
      <c r="K27" s="2006"/>
      <c r="L27" s="2006"/>
      <c r="M27" s="2006"/>
      <c r="N27" s="2006"/>
      <c r="O27" s="2006"/>
      <c r="P27" s="2006"/>
      <c r="Q27" s="2006"/>
      <c r="R27" s="2006"/>
      <c r="S27" s="2006"/>
      <c r="T27" s="2006"/>
      <c r="U27" s="2006"/>
      <c r="V27" s="2006"/>
      <c r="W27" s="2006"/>
      <c r="X27" s="2006"/>
    </row>
    <row r="28" spans="1:24">
      <c r="A28" s="614" t="s">
        <v>2163</v>
      </c>
      <c r="B28" s="2007"/>
      <c r="C28" s="2006"/>
      <c r="D28" s="2006"/>
      <c r="E28" s="2006"/>
      <c r="F28" s="2006"/>
      <c r="G28" s="2006"/>
      <c r="H28" s="2006"/>
      <c r="I28" s="2006"/>
      <c r="J28" s="2006"/>
      <c r="K28" s="2006"/>
      <c r="L28" s="2006"/>
      <c r="M28" s="2006"/>
      <c r="N28" s="2006"/>
      <c r="O28" s="2006"/>
      <c r="P28" s="2006"/>
      <c r="Q28" s="2006"/>
      <c r="R28" s="2006"/>
      <c r="S28" s="2006"/>
      <c r="T28" s="2006"/>
      <c r="U28" s="2006"/>
      <c r="V28" s="2006"/>
      <c r="W28" s="2006"/>
      <c r="X28" s="2006"/>
    </row>
    <row r="29" spans="1:24">
      <c r="A29" s="614" t="s">
        <v>2164</v>
      </c>
      <c r="B29" s="2007"/>
      <c r="C29" s="2006"/>
      <c r="D29" s="2006"/>
      <c r="E29" s="2006"/>
      <c r="F29" s="2006"/>
      <c r="G29" s="2006"/>
      <c r="H29" s="2006"/>
      <c r="I29" s="2006"/>
      <c r="J29" s="2006"/>
      <c r="K29" s="2006"/>
      <c r="L29" s="2006"/>
      <c r="M29" s="2006"/>
      <c r="N29" s="2006"/>
      <c r="O29" s="2006"/>
      <c r="P29" s="2006"/>
      <c r="Q29" s="2006"/>
      <c r="R29" s="2006"/>
      <c r="S29" s="2006"/>
      <c r="T29" s="2006"/>
      <c r="U29" s="2006"/>
      <c r="V29" s="2006"/>
      <c r="W29" s="2006"/>
      <c r="X29" s="2006"/>
    </row>
    <row r="30" spans="1:24">
      <c r="A30" s="614" t="s">
        <v>2164</v>
      </c>
      <c r="B30" s="2007"/>
      <c r="C30" s="2006"/>
      <c r="D30" s="2006"/>
      <c r="E30" s="2006"/>
      <c r="F30" s="2006"/>
      <c r="G30" s="2006"/>
      <c r="H30" s="2006"/>
      <c r="I30" s="2006"/>
      <c r="J30" s="2006"/>
      <c r="K30" s="2006"/>
      <c r="L30" s="2006"/>
      <c r="M30" s="2006"/>
      <c r="N30" s="2006"/>
      <c r="O30" s="2006"/>
      <c r="P30" s="2006"/>
      <c r="Q30" s="2006"/>
      <c r="R30" s="2006"/>
      <c r="S30" s="2006"/>
      <c r="T30" s="2006"/>
      <c r="U30" s="2006"/>
      <c r="V30" s="2006"/>
      <c r="W30" s="2006"/>
      <c r="X30" s="2006"/>
    </row>
    <row r="31" spans="1:24">
      <c r="A31" s="614" t="s">
        <v>2164</v>
      </c>
      <c r="B31" s="2007"/>
      <c r="C31" s="2006"/>
      <c r="D31" s="2006"/>
      <c r="E31" s="2006"/>
      <c r="F31" s="2006"/>
      <c r="G31" s="2006"/>
      <c r="H31" s="2006"/>
      <c r="I31" s="2006"/>
      <c r="J31" s="2006"/>
      <c r="K31" s="2006"/>
      <c r="L31" s="2006"/>
      <c r="M31" s="2006"/>
      <c r="N31" s="2006"/>
      <c r="O31" s="2006"/>
      <c r="Q31" s="2006"/>
      <c r="R31" s="2006"/>
      <c r="S31" s="2006"/>
      <c r="T31" s="2006"/>
      <c r="U31" s="2006"/>
      <c r="V31" s="2006"/>
      <c r="W31" s="2006"/>
      <c r="X31" s="2006"/>
    </row>
    <row r="32" spans="1:24">
      <c r="A32" s="614" t="s">
        <v>2165</v>
      </c>
      <c r="C32" s="2006"/>
      <c r="D32" s="2006"/>
      <c r="E32" s="2006"/>
      <c r="F32" s="2006"/>
      <c r="G32" s="2006"/>
      <c r="H32" s="2006"/>
      <c r="I32" s="2006"/>
      <c r="J32" s="2006"/>
      <c r="K32" s="2006"/>
      <c r="L32" s="2006"/>
      <c r="M32" s="2006"/>
      <c r="N32" s="2006"/>
      <c r="O32" s="2006"/>
      <c r="P32" s="2006"/>
      <c r="Q32" s="2006"/>
      <c r="R32" s="2006"/>
      <c r="S32" s="2006"/>
      <c r="T32" s="2006"/>
      <c r="U32" s="2006"/>
      <c r="V32" s="2006"/>
      <c r="W32" s="2006"/>
    </row>
    <row r="33" spans="1:24">
      <c r="C33" s="2006"/>
      <c r="D33" s="2006"/>
      <c r="E33" s="2006"/>
      <c r="F33" s="2006"/>
      <c r="G33" s="2006"/>
      <c r="H33" s="2006"/>
      <c r="I33" s="2006"/>
      <c r="J33" s="2006"/>
      <c r="K33" s="2006"/>
      <c r="L33" s="2006"/>
      <c r="M33" s="2006"/>
      <c r="N33" s="2006"/>
      <c r="O33" s="2006"/>
      <c r="P33" s="2006"/>
      <c r="Q33" s="2006"/>
      <c r="R33" s="2006"/>
      <c r="S33" s="2006"/>
      <c r="T33" s="2006"/>
      <c r="U33" s="2006"/>
      <c r="V33" s="2006"/>
      <c r="W33" s="2006"/>
      <c r="X33" s="2006"/>
    </row>
    <row r="34" spans="1:24">
      <c r="A34" s="614" t="s">
        <v>2166</v>
      </c>
      <c r="B34" s="639"/>
      <c r="C34" s="2006"/>
      <c r="D34" s="2006"/>
      <c r="E34" s="2006"/>
      <c r="F34" s="2006"/>
      <c r="G34" s="2006"/>
      <c r="H34" s="2006"/>
      <c r="I34" s="2006"/>
      <c r="J34" s="2006"/>
      <c r="K34" s="2006"/>
      <c r="L34" s="2006"/>
      <c r="M34" s="2006"/>
      <c r="N34" s="2006"/>
      <c r="O34" s="2006"/>
      <c r="P34" s="2006"/>
      <c r="Q34" s="2006"/>
      <c r="R34" s="2006"/>
      <c r="S34" s="2006"/>
      <c r="T34" s="2006"/>
      <c r="U34" s="2006"/>
      <c r="V34" s="2006"/>
      <c r="W34" s="2006"/>
      <c r="X34" s="2006"/>
    </row>
    <row r="35" spans="1:24">
      <c r="A35" s="614" t="s">
        <v>2167</v>
      </c>
      <c r="B35" s="639"/>
      <c r="C35" s="2006"/>
      <c r="D35" s="2006"/>
      <c r="E35" s="2006"/>
      <c r="F35" s="2006"/>
      <c r="G35" s="2006"/>
      <c r="H35" s="2006"/>
      <c r="I35" s="2006"/>
      <c r="J35" s="2006"/>
      <c r="K35" s="2006"/>
      <c r="L35" s="2006"/>
      <c r="M35" s="2006"/>
      <c r="N35" s="2006"/>
      <c r="O35" s="2006"/>
      <c r="P35" s="2006"/>
      <c r="Q35" s="2006"/>
      <c r="R35" s="2006"/>
      <c r="S35" s="2006"/>
      <c r="T35" s="2006"/>
      <c r="U35" s="2006"/>
      <c r="V35" s="2006"/>
      <c r="W35" s="2006"/>
      <c r="X35" s="2006"/>
    </row>
    <row r="36" spans="1:24">
      <c r="A36" s="614" t="s">
        <v>2167</v>
      </c>
      <c r="C36" s="2006"/>
      <c r="D36" s="2006"/>
      <c r="E36" s="2006"/>
      <c r="F36" s="2006"/>
      <c r="G36" s="2006"/>
      <c r="H36" s="2006"/>
      <c r="I36" s="2006"/>
      <c r="J36" s="2006"/>
      <c r="K36" s="2006"/>
      <c r="L36" s="2006"/>
      <c r="M36" s="2006"/>
      <c r="N36" s="2006"/>
      <c r="O36" s="2006"/>
      <c r="P36" s="2006"/>
      <c r="Q36" s="2006"/>
      <c r="R36" s="2006"/>
      <c r="S36" s="2006"/>
      <c r="T36" s="2006"/>
      <c r="U36" s="2006"/>
      <c r="V36" s="2006"/>
      <c r="W36" s="2006"/>
      <c r="X36" s="2006"/>
    </row>
    <row r="37" spans="1:24">
      <c r="A37" s="614" t="s">
        <v>2168</v>
      </c>
      <c r="B37" s="639"/>
      <c r="C37" s="2006"/>
      <c r="D37" s="2006"/>
      <c r="E37" s="2006"/>
      <c r="F37" s="2006"/>
      <c r="G37" s="2006"/>
      <c r="H37" s="2006"/>
      <c r="I37" s="2006"/>
      <c r="J37" s="2006"/>
      <c r="K37" s="2006"/>
      <c r="L37" s="2006"/>
      <c r="M37" s="2006"/>
      <c r="N37" s="2006"/>
      <c r="O37" s="2006"/>
      <c r="P37" s="2006"/>
      <c r="Q37" s="2006"/>
      <c r="R37" s="2006"/>
      <c r="S37" s="2006"/>
      <c r="T37" s="2006"/>
      <c r="U37" s="2006"/>
      <c r="V37" s="2006"/>
      <c r="W37" s="2006"/>
      <c r="X37" s="2006"/>
    </row>
    <row r="38" spans="1:24">
      <c r="A38" s="614" t="s">
        <v>2168</v>
      </c>
      <c r="C38" s="2006"/>
      <c r="D38" s="2006"/>
      <c r="E38" s="2006"/>
      <c r="F38" s="2006"/>
      <c r="G38" s="2006"/>
      <c r="H38" s="2006"/>
      <c r="I38" s="2006"/>
      <c r="J38" s="2006"/>
      <c r="K38" s="2006"/>
      <c r="L38" s="2006"/>
      <c r="M38" s="2006"/>
      <c r="N38" s="2006"/>
      <c r="O38" s="2006"/>
      <c r="P38" s="2006"/>
      <c r="Q38" s="2006"/>
      <c r="R38" s="2006"/>
      <c r="S38" s="2006"/>
      <c r="T38" s="2006"/>
      <c r="U38" s="2006"/>
      <c r="V38" s="2006"/>
      <c r="W38" s="2006"/>
      <c r="X38" s="2006"/>
    </row>
    <row r="39" spans="1:24">
      <c r="A39" s="614" t="s">
        <v>2168</v>
      </c>
      <c r="C39" s="2006"/>
      <c r="D39" s="2006"/>
      <c r="E39" s="2006"/>
      <c r="F39" s="2006"/>
      <c r="G39" s="2006"/>
      <c r="H39" s="2006"/>
      <c r="I39" s="2006"/>
      <c r="J39" s="2006"/>
      <c r="K39" s="2006"/>
      <c r="L39" s="2006"/>
      <c r="M39" s="2006"/>
      <c r="N39" s="2006"/>
      <c r="O39" s="2006"/>
      <c r="P39" s="2006"/>
      <c r="Q39" s="2006"/>
      <c r="R39" s="2006"/>
      <c r="S39" s="2006"/>
      <c r="T39" s="2006"/>
      <c r="U39" s="2006"/>
      <c r="V39" s="2006"/>
      <c r="W39" s="2006"/>
      <c r="X39" s="2006"/>
    </row>
    <row r="40" spans="1:24">
      <c r="A40" s="614" t="s">
        <v>2169</v>
      </c>
      <c r="B40" s="639"/>
      <c r="C40" s="2006"/>
      <c r="D40" s="2006"/>
      <c r="E40" s="2006"/>
      <c r="F40" s="2006"/>
      <c r="G40" s="2006"/>
      <c r="H40" s="2006"/>
      <c r="I40" s="2006"/>
      <c r="J40" s="2006"/>
      <c r="K40" s="2006"/>
      <c r="L40" s="2006"/>
      <c r="M40" s="2006"/>
      <c r="N40" s="2006"/>
      <c r="O40" s="2006"/>
      <c r="P40" s="2006"/>
      <c r="Q40" s="2006"/>
      <c r="R40" s="2006"/>
      <c r="S40" s="2006"/>
      <c r="T40" s="2006"/>
      <c r="U40" s="2006"/>
      <c r="V40" s="2006"/>
      <c r="W40" s="2006"/>
      <c r="X40" s="2006"/>
    </row>
    <row r="41" spans="1:24">
      <c r="A41" s="614" t="s">
        <v>2169</v>
      </c>
      <c r="C41" s="2006"/>
      <c r="D41" s="2006"/>
      <c r="E41" s="2006"/>
      <c r="F41" s="2006"/>
      <c r="G41" s="2006"/>
      <c r="H41" s="2006"/>
      <c r="I41" s="2006"/>
      <c r="J41" s="2006"/>
      <c r="K41" s="2006"/>
      <c r="L41" s="2006"/>
      <c r="M41" s="2006"/>
      <c r="N41" s="2006"/>
      <c r="O41" s="2006"/>
      <c r="P41" s="2006"/>
      <c r="Q41" s="2006"/>
      <c r="R41" s="2006"/>
      <c r="S41" s="2006"/>
      <c r="T41" s="2006"/>
      <c r="U41" s="2006"/>
      <c r="V41" s="2006"/>
      <c r="W41" s="2006"/>
      <c r="X41" s="2006"/>
    </row>
    <row r="42" spans="1:24">
      <c r="A42" s="614" t="s">
        <v>2169</v>
      </c>
      <c r="C42" s="2006"/>
      <c r="D42" s="2006"/>
      <c r="E42" s="2006"/>
      <c r="F42" s="2006"/>
      <c r="G42" s="2006"/>
      <c r="H42" s="2006"/>
      <c r="I42" s="2006"/>
      <c r="J42" s="2006"/>
      <c r="K42" s="2006"/>
      <c r="L42" s="2006"/>
      <c r="M42" s="2006"/>
      <c r="N42" s="2006"/>
      <c r="O42" s="2006"/>
      <c r="P42" s="2006"/>
      <c r="Q42" s="2006"/>
      <c r="R42" s="2006"/>
      <c r="S42" s="2006"/>
      <c r="T42" s="2006"/>
      <c r="U42" s="2006"/>
      <c r="V42" s="2006"/>
      <c r="W42" s="2006"/>
      <c r="X42" s="2006"/>
    </row>
    <row r="43" spans="1:24">
      <c r="A43" s="614" t="s">
        <v>2169</v>
      </c>
      <c r="C43" s="2006"/>
      <c r="D43" s="2006"/>
      <c r="E43" s="2006"/>
      <c r="F43" s="2006"/>
      <c r="G43" s="2006"/>
      <c r="H43" s="2006"/>
      <c r="I43" s="2006"/>
      <c r="J43" s="2006"/>
      <c r="K43" s="2006"/>
      <c r="L43" s="2006"/>
      <c r="M43" s="2006"/>
      <c r="N43" s="2006"/>
      <c r="O43" s="2006"/>
      <c r="P43" s="2006"/>
      <c r="Q43" s="2006"/>
      <c r="R43" s="2006"/>
      <c r="S43" s="2006"/>
      <c r="T43" s="2006"/>
      <c r="U43" s="2006"/>
      <c r="V43" s="2006"/>
      <c r="W43" s="2006"/>
      <c r="X43" s="2006"/>
    </row>
    <row r="44" spans="1:24">
      <c r="A44" s="614" t="s">
        <v>2170</v>
      </c>
      <c r="C44" s="2006"/>
      <c r="D44" s="2006"/>
      <c r="E44" s="2006"/>
      <c r="F44" s="2006"/>
      <c r="G44" s="2006"/>
      <c r="H44" s="2006"/>
      <c r="I44" s="2006"/>
      <c r="J44" s="2006"/>
      <c r="K44" s="2006"/>
      <c r="L44" s="2006"/>
      <c r="M44" s="2006"/>
      <c r="N44" s="2006"/>
      <c r="O44" s="2006"/>
      <c r="P44" s="2006"/>
      <c r="Q44" s="2006"/>
      <c r="R44" s="2006"/>
      <c r="S44" s="2006"/>
      <c r="T44" s="2006"/>
      <c r="U44" s="2006"/>
      <c r="V44" s="2006"/>
      <c r="W44" s="2006"/>
    </row>
    <row r="45" spans="1:24">
      <c r="C45" s="2006"/>
      <c r="D45" s="2006"/>
      <c r="E45" s="2006"/>
      <c r="F45" s="2006"/>
      <c r="G45" s="2006"/>
      <c r="H45" s="2006"/>
      <c r="I45" s="2006"/>
      <c r="J45" s="2006"/>
      <c r="K45" s="2006"/>
      <c r="L45" s="2006"/>
      <c r="M45" s="2006"/>
      <c r="N45" s="2006"/>
      <c r="O45" s="2006"/>
      <c r="P45" s="2006"/>
      <c r="Q45" s="2006"/>
      <c r="R45" s="2006"/>
      <c r="S45" s="2006"/>
      <c r="T45" s="2006"/>
      <c r="U45" s="2006"/>
      <c r="V45" s="2006"/>
      <c r="W45" s="2006"/>
      <c r="X45" s="2006"/>
    </row>
    <row r="46" spans="1:24">
      <c r="A46" s="614" t="s">
        <v>2171</v>
      </c>
      <c r="C46" s="2006"/>
      <c r="D46" s="2006"/>
      <c r="E46" s="2006"/>
      <c r="F46" s="2006"/>
      <c r="G46" s="2006"/>
      <c r="H46" s="2006"/>
      <c r="I46" s="2006"/>
      <c r="J46" s="2006"/>
      <c r="K46" s="2006"/>
      <c r="L46" s="2006"/>
      <c r="M46" s="2006"/>
      <c r="N46" s="2006"/>
      <c r="O46" s="2006"/>
      <c r="P46" s="2006"/>
      <c r="Q46" s="2006"/>
      <c r="R46" s="2006"/>
      <c r="S46" s="2006"/>
      <c r="T46" s="2006"/>
      <c r="V46" s="2006"/>
      <c r="W46" s="2006"/>
      <c r="X46" s="2006"/>
    </row>
    <row r="47" spans="1:24">
      <c r="A47" s="614" t="s">
        <v>2172</v>
      </c>
      <c r="B47" s="2008"/>
      <c r="C47" s="2006"/>
      <c r="D47" s="2006"/>
      <c r="E47" s="2006"/>
      <c r="F47" s="2006"/>
      <c r="G47" s="2006"/>
      <c r="H47" s="2006"/>
      <c r="I47" s="2006"/>
      <c r="J47" s="2006"/>
      <c r="K47" s="2006"/>
      <c r="L47" s="2006"/>
      <c r="M47" s="2006"/>
      <c r="N47" s="2006"/>
      <c r="O47" s="2006"/>
      <c r="P47" s="2006"/>
      <c r="Q47" s="2006"/>
      <c r="R47" s="2006"/>
      <c r="S47" s="2006"/>
      <c r="T47" s="2006"/>
      <c r="U47" s="2006"/>
      <c r="V47" s="2006"/>
      <c r="W47" s="2006"/>
      <c r="X47" s="2006"/>
    </row>
    <row r="48" spans="1:24">
      <c r="A48" s="614" t="s">
        <v>2173</v>
      </c>
      <c r="B48" s="2008"/>
      <c r="C48" s="2006"/>
      <c r="D48" s="2006"/>
      <c r="E48" s="2006"/>
      <c r="F48" s="2006"/>
      <c r="G48" s="2006"/>
      <c r="H48" s="2006"/>
      <c r="I48" s="2006"/>
      <c r="J48" s="2006"/>
      <c r="K48" s="2006"/>
      <c r="L48" s="2006"/>
      <c r="M48" s="2006"/>
      <c r="N48" s="2006"/>
      <c r="O48" s="2006"/>
      <c r="P48" s="2006"/>
      <c r="Q48" s="2006"/>
      <c r="R48" s="2006"/>
      <c r="S48" s="2006"/>
      <c r="T48" s="2006"/>
      <c r="U48" s="2006"/>
      <c r="V48" s="2006"/>
      <c r="W48" s="2006"/>
      <c r="X48" s="2006"/>
    </row>
    <row r="49" spans="1:24">
      <c r="A49" s="614" t="s">
        <v>2174</v>
      </c>
      <c r="B49" s="2008"/>
      <c r="C49" s="2006"/>
      <c r="D49" s="2006"/>
      <c r="E49" s="2006"/>
      <c r="F49" s="2006"/>
      <c r="G49" s="2006"/>
      <c r="H49" s="2006"/>
      <c r="I49" s="2006"/>
      <c r="J49" s="2006"/>
      <c r="K49" s="2006"/>
      <c r="L49" s="2006"/>
      <c r="M49" s="2006"/>
      <c r="N49" s="2006"/>
      <c r="O49" s="2006"/>
      <c r="P49" s="2006"/>
      <c r="Q49" s="2006"/>
      <c r="R49" s="2006"/>
      <c r="S49" s="2006"/>
      <c r="T49" s="2006"/>
      <c r="U49" s="2006"/>
      <c r="V49" s="2006"/>
      <c r="W49" s="2006"/>
      <c r="X49" s="2006"/>
    </row>
    <row r="50" spans="1:24">
      <c r="A50" s="614" t="s">
        <v>2175</v>
      </c>
      <c r="B50" s="2008"/>
      <c r="C50" s="2006"/>
      <c r="D50" s="2006"/>
      <c r="E50" s="2006"/>
      <c r="F50" s="2006"/>
      <c r="G50" s="2006"/>
      <c r="H50" s="2006"/>
      <c r="I50" s="2006"/>
      <c r="J50" s="2006"/>
      <c r="K50" s="2006"/>
      <c r="L50" s="2006"/>
      <c r="M50" s="2006"/>
      <c r="N50" s="2006"/>
      <c r="O50" s="2006"/>
      <c r="P50" s="2006"/>
      <c r="Q50" s="2006"/>
      <c r="R50" s="2006"/>
      <c r="S50" s="2006"/>
      <c r="T50" s="2006"/>
      <c r="U50" s="2006"/>
      <c r="V50" s="2006"/>
      <c r="W50" s="2006"/>
      <c r="X50" s="2006"/>
    </row>
    <row r="51" spans="1:24">
      <c r="C51" s="2006"/>
      <c r="D51" s="2006"/>
      <c r="E51" s="2006"/>
      <c r="F51" s="2006"/>
      <c r="G51" s="2006"/>
      <c r="H51" s="2006"/>
      <c r="I51" s="2006"/>
      <c r="J51" s="2006"/>
      <c r="K51" s="2006"/>
      <c r="L51" s="2006"/>
      <c r="M51" s="2006"/>
      <c r="N51" s="2006"/>
      <c r="O51" s="2006"/>
      <c r="P51" s="2006"/>
      <c r="Q51" s="2006"/>
      <c r="R51" s="2006"/>
      <c r="S51" s="2006"/>
      <c r="T51" s="2006"/>
      <c r="U51" s="2006"/>
      <c r="V51" s="2006"/>
      <c r="W51" s="2006"/>
      <c r="X51" s="2006"/>
    </row>
    <row r="53" spans="1:24">
      <c r="A53" s="2162" t="s">
        <v>2176</v>
      </c>
      <c r="B53" s="2162"/>
      <c r="C53" s="2009">
        <f t="shared" ref="C53:I53" si="0">SUM(C6:C52)</f>
        <v>0</v>
      </c>
      <c r="D53" s="2009">
        <f t="shared" si="0"/>
        <v>0</v>
      </c>
      <c r="E53" s="2009">
        <f t="shared" si="0"/>
        <v>0</v>
      </c>
      <c r="F53" s="2009">
        <f t="shared" si="0"/>
        <v>0</v>
      </c>
      <c r="G53" s="2009">
        <f t="shared" si="0"/>
        <v>0</v>
      </c>
      <c r="H53" s="2009">
        <f t="shared" si="0"/>
        <v>0</v>
      </c>
      <c r="I53" s="2009">
        <f t="shared" si="0"/>
        <v>0</v>
      </c>
      <c r="J53" s="2010"/>
      <c r="K53" s="2009">
        <f t="shared" ref="K53:P53" si="1">SUM(K6:K52)</f>
        <v>0</v>
      </c>
      <c r="L53" s="2009">
        <f t="shared" si="1"/>
        <v>0</v>
      </c>
      <c r="M53" s="2009">
        <f t="shared" si="1"/>
        <v>0</v>
      </c>
      <c r="N53" s="2009">
        <f t="shared" si="1"/>
        <v>0</v>
      </c>
      <c r="O53" s="2009">
        <f t="shared" si="1"/>
        <v>0</v>
      </c>
      <c r="P53" s="2009">
        <f t="shared" si="1"/>
        <v>0</v>
      </c>
      <c r="Q53" s="2010"/>
      <c r="R53" s="2009">
        <f t="shared" ref="R53:X53" si="2">SUM(R6:R52)</f>
        <v>0</v>
      </c>
      <c r="S53" s="2009">
        <f t="shared" si="2"/>
        <v>0</v>
      </c>
      <c r="T53" s="2009">
        <f t="shared" si="2"/>
        <v>0</v>
      </c>
      <c r="U53" s="2009">
        <f t="shared" si="2"/>
        <v>0</v>
      </c>
      <c r="V53" s="2009">
        <f t="shared" si="2"/>
        <v>0</v>
      </c>
      <c r="W53" s="2009">
        <f t="shared" si="2"/>
        <v>0</v>
      </c>
      <c r="X53" s="2009">
        <f t="shared" si="2"/>
        <v>0</v>
      </c>
    </row>
    <row r="54" spans="1:24" ht="15.75" thickBot="1"/>
    <row r="55" spans="1:24" ht="15.75" thickBot="1">
      <c r="A55" s="2163" t="s">
        <v>2177</v>
      </c>
      <c r="B55" s="2164"/>
      <c r="C55" s="2011">
        <f t="shared" ref="C55:I55" si="3">ROUNDUP(C53/4000,0)*4</f>
        <v>0</v>
      </c>
      <c r="D55" s="2011">
        <f t="shared" si="3"/>
        <v>0</v>
      </c>
      <c r="E55" s="2011">
        <f t="shared" si="3"/>
        <v>0</v>
      </c>
      <c r="F55" s="2011">
        <f t="shared" si="3"/>
        <v>0</v>
      </c>
      <c r="G55" s="2011">
        <f t="shared" si="3"/>
        <v>0</v>
      </c>
      <c r="H55" s="2011">
        <f t="shared" si="3"/>
        <v>0</v>
      </c>
      <c r="I55" s="2011">
        <f t="shared" si="3"/>
        <v>0</v>
      </c>
      <c r="J55" s="913"/>
      <c r="K55" s="2012">
        <f t="shared" ref="K55:P55" si="4">ROUNDUP(K53/4000,0)*4</f>
        <v>0</v>
      </c>
      <c r="L55" s="2012">
        <f t="shared" si="4"/>
        <v>0</v>
      </c>
      <c r="M55" s="2011">
        <f t="shared" si="4"/>
        <v>0</v>
      </c>
      <c r="N55" s="2011">
        <f t="shared" si="4"/>
        <v>0</v>
      </c>
      <c r="O55" s="2011">
        <f t="shared" si="4"/>
        <v>0</v>
      </c>
      <c r="P55" s="2011">
        <f t="shared" si="4"/>
        <v>0</v>
      </c>
      <c r="Q55" s="913"/>
      <c r="R55" s="2011">
        <f>ROUNDUP(R53/4000,0)*4</f>
        <v>0</v>
      </c>
      <c r="S55" s="2011">
        <f t="shared" ref="S55:X55" si="5">ROUNDUP(S53/4000,0)*4</f>
        <v>0</v>
      </c>
      <c r="T55" s="2012">
        <f>ROUNDUP(T53/4000,0)*4</f>
        <v>0</v>
      </c>
      <c r="U55" s="2012">
        <f>ROUNDUP(U53/4000,0)*4</f>
        <v>0</v>
      </c>
      <c r="V55" s="2011">
        <f t="shared" si="5"/>
        <v>0</v>
      </c>
      <c r="W55" s="2011">
        <f t="shared" si="5"/>
        <v>0</v>
      </c>
      <c r="X55" s="2011">
        <f t="shared" si="5"/>
        <v>0</v>
      </c>
    </row>
    <row r="56" spans="1:24">
      <c r="C56" s="1999"/>
      <c r="D56" s="1999"/>
    </row>
    <row r="57" spans="1:24">
      <c r="C57" s="2013" t="s">
        <v>50</v>
      </c>
      <c r="D57" s="2013" t="s">
        <v>1558</v>
      </c>
      <c r="E57" s="1993" t="s">
        <v>2178</v>
      </c>
      <c r="F57" s="2013"/>
      <c r="G57" s="1993"/>
      <c r="H57" s="1993"/>
      <c r="I57" s="1993"/>
    </row>
    <row r="58" spans="1:24">
      <c r="B58" s="614" t="s">
        <v>2179</v>
      </c>
      <c r="C58" s="2014">
        <f>K55+L55+T55+U55</f>
        <v>0</v>
      </c>
      <c r="D58" s="2014">
        <f>C58/4</f>
        <v>0</v>
      </c>
      <c r="E58" s="1999">
        <f>D58-SUM($F58:$XFD58)</f>
        <v>0</v>
      </c>
      <c r="F58" s="1993"/>
      <c r="G58" s="1993"/>
      <c r="H58" s="1993"/>
      <c r="I58" s="1993"/>
    </row>
    <row r="59" spans="1:24">
      <c r="B59" s="614" t="s">
        <v>2180</v>
      </c>
      <c r="C59" s="2014"/>
      <c r="D59" s="2014"/>
      <c r="E59" s="1999"/>
      <c r="F59" s="1993"/>
      <c r="G59" s="1993"/>
      <c r="H59" s="1993"/>
      <c r="I59" s="1993"/>
    </row>
    <row r="60" spans="1:24">
      <c r="B60" s="614" t="s">
        <v>2181</v>
      </c>
      <c r="C60" s="2014">
        <f>C55+D55</f>
        <v>0</v>
      </c>
      <c r="D60" s="2014">
        <f t="shared" ref="D60:D64" si="6">C60/4</f>
        <v>0</v>
      </c>
      <c r="E60" s="1999">
        <f>D60-SUM($F60:$XFD60)</f>
        <v>0</v>
      </c>
      <c r="F60" s="1993"/>
      <c r="G60" s="1993"/>
      <c r="H60" s="1993"/>
      <c r="I60" s="1993"/>
    </row>
    <row r="61" spans="1:24">
      <c r="B61" s="614" t="s">
        <v>2182</v>
      </c>
      <c r="C61" s="2014">
        <f>+M55+N55+O55+P55+R55+S55</f>
        <v>0</v>
      </c>
      <c r="D61" s="2014">
        <f t="shared" si="6"/>
        <v>0</v>
      </c>
      <c r="E61" s="1999">
        <f t="shared" ref="E61:E64" si="7">D61-SUM($F61:$XFD61)</f>
        <v>0</v>
      </c>
      <c r="F61" s="1993"/>
      <c r="G61" s="1993"/>
      <c r="H61" s="1993"/>
      <c r="I61" s="1993"/>
    </row>
    <row r="62" spans="1:24">
      <c r="B62" s="614" t="s">
        <v>2183</v>
      </c>
      <c r="C62" s="2014">
        <f>+E55+F55+V55+W55</f>
        <v>0</v>
      </c>
      <c r="D62" s="2014">
        <f t="shared" si="6"/>
        <v>0</v>
      </c>
      <c r="E62" s="1999">
        <f t="shared" si="7"/>
        <v>0</v>
      </c>
      <c r="F62" s="1993"/>
      <c r="G62" s="1993"/>
      <c r="H62" s="1993"/>
      <c r="I62" s="1993"/>
    </row>
    <row r="63" spans="1:24">
      <c r="B63" s="614" t="s">
        <v>2184</v>
      </c>
      <c r="C63" s="2014">
        <f>G55+H55</f>
        <v>0</v>
      </c>
      <c r="D63" s="2014">
        <f t="shared" si="6"/>
        <v>0</v>
      </c>
      <c r="E63" s="1999">
        <f t="shared" si="7"/>
        <v>0</v>
      </c>
      <c r="F63" s="1993"/>
      <c r="G63" s="1993"/>
      <c r="H63" s="1993"/>
      <c r="I63" s="1993"/>
    </row>
    <row r="64" spans="1:24">
      <c r="B64" s="614" t="s">
        <v>2185</v>
      </c>
      <c r="C64" s="2014">
        <f>+I55</f>
        <v>0</v>
      </c>
      <c r="D64" s="2014">
        <f t="shared" si="6"/>
        <v>0</v>
      </c>
      <c r="E64" s="1999">
        <f t="shared" si="7"/>
        <v>0</v>
      </c>
      <c r="F64" s="1993"/>
      <c r="G64" s="1993"/>
      <c r="H64" s="1993"/>
      <c r="I64" s="1993"/>
    </row>
    <row r="66" spans="8:8">
      <c r="H66" s="614" t="s">
        <v>354</v>
      </c>
    </row>
  </sheetData>
  <mergeCells count="2">
    <mergeCell ref="A53:B53"/>
    <mergeCell ref="A55:B55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11"/>
  <sheetViews>
    <sheetView zoomScaleNormal="100" workbookViewId="0">
      <selection activeCell="F81" sqref="F81"/>
    </sheetView>
  </sheetViews>
  <sheetFormatPr defaultColWidth="9.140625" defaultRowHeight="12.75"/>
  <cols>
    <col min="1" max="1" width="9.140625" style="1216"/>
    <col min="2" max="2" width="55.28515625" style="1216" bestFit="1" customWidth="1"/>
    <col min="3" max="3" width="9.140625" style="1216"/>
    <col min="4" max="4" width="11.5703125" style="1216" bestFit="1" customWidth="1"/>
    <col min="5" max="5" width="10.28515625" style="1216" customWidth="1"/>
    <col min="6" max="6" width="27" style="1216" bestFit="1" customWidth="1"/>
    <col min="7" max="7" width="9.140625" style="1216"/>
    <col min="8" max="8" width="9.140625" style="1217"/>
    <col min="9" max="16384" width="9.140625" style="1216"/>
  </cols>
  <sheetData>
    <row r="3" spans="1:8" ht="13.5" thickBot="1"/>
    <row r="4" spans="1:8">
      <c r="A4" s="2165" t="s">
        <v>63</v>
      </c>
      <c r="B4" s="2167" t="s">
        <v>1527</v>
      </c>
      <c r="C4" s="2169" t="s">
        <v>1526</v>
      </c>
      <c r="D4" s="1259" t="s">
        <v>1525</v>
      </c>
      <c r="E4" s="1253"/>
      <c r="F4" s="1259" t="s">
        <v>1524</v>
      </c>
      <c r="G4" s="1251"/>
      <c r="H4" s="2171" t="s">
        <v>1523</v>
      </c>
    </row>
    <row r="5" spans="1:8" ht="15.75" customHeight="1" thickBot="1">
      <c r="A5" s="2166"/>
      <c r="B5" s="2168"/>
      <c r="C5" s="2170"/>
      <c r="D5" s="1258" t="s">
        <v>1522</v>
      </c>
      <c r="E5" s="1253"/>
      <c r="F5" s="1258" t="s">
        <v>1522</v>
      </c>
      <c r="G5" s="1257"/>
      <c r="H5" s="2172"/>
    </row>
    <row r="6" spans="1:8" ht="13.5" thickTop="1">
      <c r="A6" s="1256"/>
      <c r="B6" s="1255"/>
      <c r="C6" s="1254"/>
      <c r="D6" s="1252"/>
      <c r="E6" s="1253"/>
      <c r="F6" s="1252"/>
      <c r="G6" s="1251"/>
      <c r="H6" s="1250"/>
    </row>
    <row r="7" spans="1:8">
      <c r="A7" s="1239">
        <v>1</v>
      </c>
      <c r="B7" s="1249" t="s">
        <v>1521</v>
      </c>
      <c r="C7" s="1248" t="s">
        <v>51</v>
      </c>
      <c r="D7" s="1238"/>
      <c r="E7" s="1221"/>
      <c r="F7" s="1238"/>
      <c r="G7" s="1219"/>
      <c r="H7" s="1237"/>
    </row>
    <row r="8" spans="1:8">
      <c r="A8" s="1239">
        <f t="shared" ref="A8:A20" si="0">1+A7</f>
        <v>2</v>
      </c>
      <c r="B8" s="1228" t="s">
        <v>1520</v>
      </c>
      <c r="C8" s="1236" t="s">
        <v>51</v>
      </c>
      <c r="D8" s="1238"/>
      <c r="E8" s="1221"/>
      <c r="F8" s="1238"/>
      <c r="G8" s="1219"/>
      <c r="H8" s="1237"/>
    </row>
    <row r="9" spans="1:8">
      <c r="A9" s="1239">
        <f t="shared" si="0"/>
        <v>3</v>
      </c>
      <c r="B9" s="1228" t="s">
        <v>1519</v>
      </c>
      <c r="C9" s="1236" t="s">
        <v>51</v>
      </c>
      <c r="D9" s="1238"/>
      <c r="E9" s="1221"/>
      <c r="F9" s="1238"/>
      <c r="G9" s="1219"/>
      <c r="H9" s="1237"/>
    </row>
    <row r="10" spans="1:8">
      <c r="A10" s="1239">
        <f t="shared" si="0"/>
        <v>4</v>
      </c>
      <c r="B10" s="1228" t="s">
        <v>1518</v>
      </c>
      <c r="C10" s="1236" t="s">
        <v>51</v>
      </c>
      <c r="D10" s="1238"/>
      <c r="E10" s="1221"/>
      <c r="F10" s="1238"/>
      <c r="G10" s="1219"/>
      <c r="H10" s="1237"/>
    </row>
    <row r="11" spans="1:8">
      <c r="A11" s="1239">
        <f t="shared" si="0"/>
        <v>5</v>
      </c>
      <c r="B11" s="1228" t="s">
        <v>1517</v>
      </c>
      <c r="C11" s="1236" t="s">
        <v>49</v>
      </c>
      <c r="D11" s="1238"/>
      <c r="E11" s="1221"/>
      <c r="F11" s="1238"/>
      <c r="G11" s="1219"/>
      <c r="H11" s="1237"/>
    </row>
    <row r="12" spans="1:8">
      <c r="A12" s="1239">
        <f t="shared" si="0"/>
        <v>6</v>
      </c>
      <c r="B12" s="1228" t="s">
        <v>1516</v>
      </c>
      <c r="C12" s="1236" t="s">
        <v>1514</v>
      </c>
      <c r="D12" s="1238"/>
      <c r="E12" s="1221"/>
      <c r="F12" s="1238"/>
      <c r="G12" s="1219"/>
      <c r="H12" s="1237"/>
    </row>
    <row r="13" spans="1:8">
      <c r="A13" s="1239">
        <f t="shared" si="0"/>
        <v>7</v>
      </c>
      <c r="B13" s="1228" t="s">
        <v>1515</v>
      </c>
      <c r="C13" s="1236" t="s">
        <v>1514</v>
      </c>
      <c r="D13" s="1238"/>
      <c r="E13" s="1221"/>
      <c r="F13" s="1238"/>
      <c r="G13" s="1219"/>
      <c r="H13" s="1237"/>
    </row>
    <row r="14" spans="1:8">
      <c r="A14" s="1239">
        <f t="shared" si="0"/>
        <v>8</v>
      </c>
      <c r="B14" s="1228" t="s">
        <v>1513</v>
      </c>
      <c r="C14" s="1236" t="s">
        <v>51</v>
      </c>
      <c r="D14" s="1238">
        <f>F14</f>
        <v>600000</v>
      </c>
      <c r="E14" s="1221"/>
      <c r="F14" s="1238">
        <v>600000</v>
      </c>
      <c r="G14" s="1219"/>
      <c r="H14" s="1237">
        <v>300000</v>
      </c>
    </row>
    <row r="15" spans="1:8">
      <c r="A15" s="1239">
        <f t="shared" si="0"/>
        <v>9</v>
      </c>
      <c r="B15" s="1228" t="s">
        <v>1512</v>
      </c>
      <c r="C15" s="1236" t="s">
        <v>49</v>
      </c>
      <c r="D15" s="1238">
        <f>F15</f>
        <v>0</v>
      </c>
      <c r="E15" s="1221"/>
      <c r="F15" s="1238"/>
      <c r="G15" s="1219"/>
      <c r="H15" s="1237"/>
    </row>
    <row r="16" spans="1:8">
      <c r="A16" s="1239">
        <f t="shared" si="0"/>
        <v>10</v>
      </c>
      <c r="B16" s="1228" t="s">
        <v>1511</v>
      </c>
      <c r="C16" s="1236" t="s">
        <v>51</v>
      </c>
      <c r="D16" s="1237">
        <v>100000</v>
      </c>
      <c r="E16" s="1221"/>
      <c r="F16" s="1238"/>
      <c r="G16" s="1219"/>
      <c r="H16" s="1237"/>
    </row>
    <row r="17" spans="1:8">
      <c r="A17" s="1239">
        <f t="shared" si="0"/>
        <v>11</v>
      </c>
      <c r="B17" s="1228" t="s">
        <v>1510</v>
      </c>
      <c r="C17" s="1236" t="s">
        <v>51</v>
      </c>
      <c r="D17" s="1238">
        <f t="shared" ref="D17:D36" si="1">F17</f>
        <v>100000</v>
      </c>
      <c r="E17" s="1221"/>
      <c r="F17" s="1238">
        <v>100000</v>
      </c>
      <c r="G17" s="1219"/>
      <c r="H17" s="1237">
        <v>75000</v>
      </c>
    </row>
    <row r="18" spans="1:8">
      <c r="A18" s="1239">
        <f t="shared" si="0"/>
        <v>12</v>
      </c>
      <c r="B18" s="1228" t="s">
        <v>1509</v>
      </c>
      <c r="C18" s="1236" t="s">
        <v>51</v>
      </c>
      <c r="D18" s="1238">
        <f t="shared" si="1"/>
        <v>0</v>
      </c>
      <c r="E18" s="1221"/>
      <c r="F18" s="1238"/>
      <c r="G18" s="1219"/>
      <c r="H18" s="1237"/>
    </row>
    <row r="19" spans="1:8">
      <c r="A19" s="1239">
        <f t="shared" si="0"/>
        <v>13</v>
      </c>
      <c r="B19" s="1228" t="s">
        <v>1508</v>
      </c>
      <c r="C19" s="1236" t="s">
        <v>51</v>
      </c>
      <c r="D19" s="1238">
        <f t="shared" si="1"/>
        <v>0</v>
      </c>
      <c r="E19" s="1221"/>
      <c r="F19" s="1238"/>
      <c r="G19" s="1219"/>
      <c r="H19" s="1237"/>
    </row>
    <row r="20" spans="1:8">
      <c r="A20" s="1239">
        <f t="shared" si="0"/>
        <v>14</v>
      </c>
      <c r="B20" s="1228" t="s">
        <v>1507</v>
      </c>
      <c r="C20" s="1236" t="s">
        <v>51</v>
      </c>
      <c r="D20" s="1238">
        <f t="shared" si="1"/>
        <v>250000</v>
      </c>
      <c r="E20" s="1221"/>
      <c r="F20" s="1238">
        <v>250000</v>
      </c>
      <c r="G20" s="1219"/>
      <c r="H20" s="1237">
        <v>55000</v>
      </c>
    </row>
    <row r="21" spans="1:8">
      <c r="A21" s="1239"/>
      <c r="B21" s="1228" t="s">
        <v>1506</v>
      </c>
      <c r="C21" s="1236" t="s">
        <v>51</v>
      </c>
      <c r="D21" s="1238">
        <f t="shared" si="1"/>
        <v>15000</v>
      </c>
      <c r="E21" s="1221"/>
      <c r="F21" s="1238">
        <v>15000</v>
      </c>
      <c r="G21" s="1219"/>
      <c r="H21" s="1237"/>
    </row>
    <row r="22" spans="1:8">
      <c r="A22" s="1239"/>
      <c r="B22" s="1228" t="s">
        <v>1505</v>
      </c>
      <c r="C22" s="1236" t="s">
        <v>51</v>
      </c>
      <c r="D22" s="1238">
        <f t="shared" si="1"/>
        <v>85000</v>
      </c>
      <c r="E22" s="1221"/>
      <c r="F22" s="1238">
        <v>85000</v>
      </c>
      <c r="G22" s="1219"/>
      <c r="H22" s="1237"/>
    </row>
    <row r="23" spans="1:8">
      <c r="A23" s="1239">
        <f>1+A20</f>
        <v>15</v>
      </c>
      <c r="B23" s="1228" t="s">
        <v>1504</v>
      </c>
      <c r="C23" s="1236" t="s">
        <v>53</v>
      </c>
      <c r="D23" s="1238">
        <f t="shared" si="1"/>
        <v>0</v>
      </c>
      <c r="E23" s="1221"/>
      <c r="F23" s="1238"/>
      <c r="G23" s="1219"/>
      <c r="H23" s="1237"/>
    </row>
    <row r="24" spans="1:8">
      <c r="A24" s="1239">
        <f>1+A23</f>
        <v>16</v>
      </c>
      <c r="B24" s="1228" t="s">
        <v>1503</v>
      </c>
      <c r="C24" s="1236" t="s">
        <v>53</v>
      </c>
      <c r="D24" s="1238">
        <f t="shared" si="1"/>
        <v>2500</v>
      </c>
      <c r="E24" s="1221"/>
      <c r="F24" s="1238">
        <v>2500</v>
      </c>
      <c r="G24" s="1219"/>
      <c r="H24" s="1237"/>
    </row>
    <row r="25" spans="1:8">
      <c r="A25" s="1239">
        <f>1+A24</f>
        <v>17</v>
      </c>
      <c r="B25" s="1228" t="s">
        <v>1502</v>
      </c>
      <c r="C25" s="1236" t="s">
        <v>49</v>
      </c>
      <c r="D25" s="1238">
        <f t="shared" si="1"/>
        <v>8000</v>
      </c>
      <c r="E25" s="1221"/>
      <c r="F25" s="1238">
        <v>8000</v>
      </c>
      <c r="G25" s="1219"/>
      <c r="H25" s="1237"/>
    </row>
    <row r="26" spans="1:8">
      <c r="A26" s="1239">
        <f>1+A25</f>
        <v>18</v>
      </c>
      <c r="B26" s="1228" t="s">
        <v>1501</v>
      </c>
      <c r="C26" s="1236" t="s">
        <v>49</v>
      </c>
      <c r="D26" s="1238">
        <f t="shared" si="1"/>
        <v>0</v>
      </c>
      <c r="E26" s="1221"/>
      <c r="F26" s="1238"/>
      <c r="G26" s="1219"/>
      <c r="H26" s="1237"/>
    </row>
    <row r="27" spans="1:8">
      <c r="A27" s="1239">
        <f>1+A26</f>
        <v>19</v>
      </c>
      <c r="B27" s="1228" t="s">
        <v>1500</v>
      </c>
      <c r="C27" s="1236" t="s">
        <v>49</v>
      </c>
      <c r="D27" s="1238">
        <f t="shared" si="1"/>
        <v>0</v>
      </c>
      <c r="E27" s="1221"/>
      <c r="F27" s="1238"/>
      <c r="G27" s="1219"/>
      <c r="H27" s="1237"/>
    </row>
    <row r="28" spans="1:8">
      <c r="A28" s="1239">
        <f>1+A27</f>
        <v>20</v>
      </c>
      <c r="B28" s="1228" t="s">
        <v>1499</v>
      </c>
      <c r="C28" s="1236" t="s">
        <v>49</v>
      </c>
      <c r="D28" s="1238">
        <f t="shared" si="1"/>
        <v>60000</v>
      </c>
      <c r="E28" s="1221"/>
      <c r="F28" s="1238">
        <v>60000</v>
      </c>
      <c r="G28" s="1219"/>
      <c r="H28" s="1237"/>
    </row>
    <row r="29" spans="1:8">
      <c r="A29" s="1239"/>
      <c r="B29" s="1228" t="s">
        <v>1498</v>
      </c>
      <c r="C29" s="1236" t="s">
        <v>49</v>
      </c>
      <c r="D29" s="1238">
        <f t="shared" si="1"/>
        <v>25000</v>
      </c>
      <c r="E29" s="1221"/>
      <c r="F29" s="1238">
        <v>25000</v>
      </c>
      <c r="G29" s="1219"/>
      <c r="H29" s="1237"/>
    </row>
    <row r="30" spans="1:8">
      <c r="A30" s="1247"/>
      <c r="B30" s="1246" t="s">
        <v>1497</v>
      </c>
      <c r="C30" s="1245" t="s">
        <v>49</v>
      </c>
      <c r="D30" s="1237">
        <f t="shared" si="1"/>
        <v>85000</v>
      </c>
      <c r="E30" s="1244"/>
      <c r="F30" s="1237">
        <v>85000</v>
      </c>
      <c r="G30" s="1219"/>
      <c r="H30" s="1237"/>
    </row>
    <row r="31" spans="1:8">
      <c r="A31" s="1239">
        <f>1+A90</f>
        <v>1</v>
      </c>
      <c r="B31" s="1228" t="s">
        <v>1496</v>
      </c>
      <c r="C31" s="1236" t="s">
        <v>49</v>
      </c>
      <c r="D31" s="1238">
        <f t="shared" si="1"/>
        <v>35000</v>
      </c>
      <c r="E31" s="1221"/>
      <c r="F31" s="1238">
        <v>35000</v>
      </c>
      <c r="G31" s="1219"/>
      <c r="H31" s="1237"/>
    </row>
    <row r="32" spans="1:8">
      <c r="A32" s="1239">
        <f t="shared" ref="A32:A67" si="2">1+A31</f>
        <v>2</v>
      </c>
      <c r="B32" s="1228" t="s">
        <v>1495</v>
      </c>
      <c r="C32" s="1236" t="s">
        <v>49</v>
      </c>
      <c r="D32" s="1238">
        <f t="shared" si="1"/>
        <v>0</v>
      </c>
      <c r="E32" s="1221"/>
      <c r="F32" s="1238"/>
      <c r="G32" s="1219"/>
      <c r="H32" s="1237"/>
    </row>
    <row r="33" spans="1:8">
      <c r="A33" s="1239">
        <f t="shared" si="2"/>
        <v>3</v>
      </c>
      <c r="B33" s="1228" t="s">
        <v>1494</v>
      </c>
      <c r="C33" s="1236" t="s">
        <v>49</v>
      </c>
      <c r="D33" s="1238">
        <f t="shared" si="1"/>
        <v>25000</v>
      </c>
      <c r="E33" s="1221"/>
      <c r="F33" s="1238">
        <v>25000</v>
      </c>
      <c r="G33" s="1219"/>
      <c r="H33" s="1237"/>
    </row>
    <row r="34" spans="1:8">
      <c r="A34" s="1239">
        <f t="shared" si="2"/>
        <v>4</v>
      </c>
      <c r="B34" s="1228" t="s">
        <v>1493</v>
      </c>
      <c r="C34" s="1236" t="s">
        <v>49</v>
      </c>
      <c r="D34" s="1238">
        <f t="shared" si="1"/>
        <v>0</v>
      </c>
      <c r="E34" s="1221"/>
      <c r="F34" s="1238"/>
      <c r="G34" s="1219"/>
      <c r="H34" s="1237"/>
    </row>
    <row r="35" spans="1:8">
      <c r="A35" s="1239">
        <f t="shared" si="2"/>
        <v>5</v>
      </c>
      <c r="B35" s="1228" t="s">
        <v>1492</v>
      </c>
      <c r="C35" s="1236" t="s">
        <v>12</v>
      </c>
      <c r="D35" s="1238">
        <f t="shared" si="1"/>
        <v>20000</v>
      </c>
      <c r="E35" s="1221"/>
      <c r="F35" s="1238">
        <v>20000</v>
      </c>
      <c r="G35" s="1219"/>
      <c r="H35" s="1237"/>
    </row>
    <row r="36" spans="1:8">
      <c r="A36" s="1239">
        <f t="shared" si="2"/>
        <v>6</v>
      </c>
      <c r="B36" s="1228" t="s">
        <v>1491</v>
      </c>
      <c r="C36" s="1236" t="s">
        <v>49</v>
      </c>
      <c r="D36" s="1238">
        <f t="shared" si="1"/>
        <v>40000</v>
      </c>
      <c r="E36" s="1221"/>
      <c r="F36" s="1238">
        <v>40000</v>
      </c>
      <c r="G36" s="1219"/>
      <c r="H36" s="1237"/>
    </row>
    <row r="37" spans="1:8">
      <c r="A37" s="1239">
        <f t="shared" si="2"/>
        <v>7</v>
      </c>
      <c r="B37" s="1228" t="s">
        <v>1490</v>
      </c>
      <c r="C37" s="1236" t="s">
        <v>49</v>
      </c>
      <c r="D37" s="1238"/>
      <c r="E37" s="1221"/>
      <c r="F37" s="1238"/>
      <c r="G37" s="1219"/>
      <c r="H37" s="1237"/>
    </row>
    <row r="38" spans="1:8">
      <c r="A38" s="1239">
        <f t="shared" si="2"/>
        <v>8</v>
      </c>
      <c r="B38" s="1228" t="s">
        <v>1489</v>
      </c>
      <c r="C38" s="1236" t="s">
        <v>49</v>
      </c>
      <c r="D38" s="1238"/>
      <c r="E38" s="1221"/>
      <c r="F38" s="1238"/>
      <c r="G38" s="1219"/>
      <c r="H38" s="1237"/>
    </row>
    <row r="39" spans="1:8">
      <c r="A39" s="1239">
        <f t="shared" si="2"/>
        <v>9</v>
      </c>
      <c r="B39" s="1228" t="s">
        <v>1488</v>
      </c>
      <c r="C39" s="1236" t="s">
        <v>49</v>
      </c>
      <c r="D39" s="1238"/>
      <c r="E39" s="1221"/>
      <c r="F39" s="1238"/>
      <c r="G39" s="1219"/>
      <c r="H39" s="1237"/>
    </row>
    <row r="40" spans="1:8">
      <c r="A40" s="1239">
        <f t="shared" si="2"/>
        <v>10</v>
      </c>
      <c r="B40" s="1228" t="s">
        <v>1487</v>
      </c>
      <c r="C40" s="1236" t="s">
        <v>49</v>
      </c>
      <c r="D40" s="1238"/>
      <c r="E40" s="1221"/>
      <c r="F40" s="1238"/>
      <c r="G40" s="1219"/>
      <c r="H40" s="1237"/>
    </row>
    <row r="41" spans="1:8">
      <c r="A41" s="1239">
        <f t="shared" si="2"/>
        <v>11</v>
      </c>
      <c r="B41" s="1228" t="s">
        <v>1486</v>
      </c>
      <c r="C41" s="1236" t="s">
        <v>12</v>
      </c>
      <c r="D41" s="1238"/>
      <c r="E41" s="1221"/>
      <c r="F41" s="1238"/>
      <c r="G41" s="1219"/>
      <c r="H41" s="1237"/>
    </row>
    <row r="42" spans="1:8">
      <c r="A42" s="1239">
        <f t="shared" si="2"/>
        <v>12</v>
      </c>
      <c r="B42" s="1228" t="s">
        <v>1485</v>
      </c>
      <c r="C42" s="1236" t="s">
        <v>12</v>
      </c>
      <c r="D42" s="1238"/>
      <c r="E42" s="1221"/>
      <c r="F42" s="1238"/>
      <c r="G42" s="1219"/>
      <c r="H42" s="1237"/>
    </row>
    <row r="43" spans="1:8">
      <c r="A43" s="1239">
        <f t="shared" si="2"/>
        <v>13</v>
      </c>
      <c r="B43" s="1228" t="s">
        <v>1484</v>
      </c>
      <c r="C43" s="1236" t="s">
        <v>12</v>
      </c>
      <c r="D43" s="1238"/>
      <c r="E43" s="1221"/>
      <c r="F43" s="1238"/>
      <c r="G43" s="1219"/>
      <c r="H43" s="1237"/>
    </row>
    <row r="44" spans="1:8">
      <c r="A44" s="1239">
        <f t="shared" si="2"/>
        <v>14</v>
      </c>
      <c r="B44" s="1228" t="s">
        <v>1483</v>
      </c>
      <c r="C44" s="1236" t="s">
        <v>49</v>
      </c>
      <c r="D44" s="1238"/>
      <c r="E44" s="1221"/>
      <c r="F44" s="1238"/>
      <c r="G44" s="1219"/>
      <c r="H44" s="1237"/>
    </row>
    <row r="45" spans="1:8">
      <c r="A45" s="1239">
        <f t="shared" si="2"/>
        <v>15</v>
      </c>
      <c r="B45" s="1228" t="s">
        <v>1482</v>
      </c>
      <c r="C45" s="1236" t="s">
        <v>49</v>
      </c>
      <c r="D45" s="1238"/>
      <c r="E45" s="1221"/>
      <c r="F45" s="1238"/>
      <c r="G45" s="1219"/>
      <c r="H45" s="1237"/>
    </row>
    <row r="46" spans="1:8">
      <c r="A46" s="1239">
        <f t="shared" si="2"/>
        <v>16</v>
      </c>
      <c r="B46" s="1228" t="s">
        <v>1481</v>
      </c>
      <c r="C46" s="1236" t="s">
        <v>49</v>
      </c>
      <c r="D46" s="1238"/>
      <c r="E46" s="1221"/>
      <c r="F46" s="1238"/>
      <c r="G46" s="1219"/>
      <c r="H46" s="1237"/>
    </row>
    <row r="47" spans="1:8">
      <c r="A47" s="1239">
        <f t="shared" si="2"/>
        <v>17</v>
      </c>
      <c r="B47" s="1228" t="s">
        <v>1480</v>
      </c>
      <c r="C47" s="1236" t="s">
        <v>52</v>
      </c>
      <c r="D47" s="1238"/>
      <c r="E47" s="1221"/>
      <c r="F47" s="1238"/>
      <c r="G47" s="1219"/>
      <c r="H47" s="1237"/>
    </row>
    <row r="48" spans="1:8">
      <c r="A48" s="1239">
        <f t="shared" si="2"/>
        <v>18</v>
      </c>
      <c r="B48" s="1228" t="s">
        <v>1479</v>
      </c>
      <c r="C48" s="1236" t="s">
        <v>49</v>
      </c>
      <c r="D48" s="1238"/>
      <c r="E48" s="1221"/>
      <c r="F48" s="1238"/>
      <c r="G48" s="1219"/>
      <c r="H48" s="1237"/>
    </row>
    <row r="49" spans="1:8">
      <c r="A49" s="1239">
        <f t="shared" si="2"/>
        <v>19</v>
      </c>
      <c r="B49" s="1228" t="s">
        <v>1478</v>
      </c>
      <c r="C49" s="1236" t="s">
        <v>1462</v>
      </c>
      <c r="D49" s="1238"/>
      <c r="E49" s="1221"/>
      <c r="F49" s="1238"/>
      <c r="G49" s="1219"/>
      <c r="H49" s="1237"/>
    </row>
    <row r="50" spans="1:8">
      <c r="A50" s="1239">
        <f t="shared" si="2"/>
        <v>20</v>
      </c>
      <c r="B50" s="1228" t="s">
        <v>1477</v>
      </c>
      <c r="C50" s="1236" t="s">
        <v>1462</v>
      </c>
      <c r="D50" s="1238"/>
      <c r="E50" s="1221"/>
      <c r="F50" s="1238"/>
      <c r="G50" s="1219"/>
      <c r="H50" s="1237"/>
    </row>
    <row r="51" spans="1:8">
      <c r="A51" s="1239">
        <f t="shared" si="2"/>
        <v>21</v>
      </c>
      <c r="B51" s="1228" t="s">
        <v>1476</v>
      </c>
      <c r="C51" s="1236" t="s">
        <v>1462</v>
      </c>
      <c r="D51" s="1238"/>
      <c r="E51" s="1221"/>
      <c r="F51" s="1238"/>
      <c r="G51" s="1219"/>
      <c r="H51" s="1237"/>
    </row>
    <row r="52" spans="1:8">
      <c r="A52" s="1239">
        <f t="shared" si="2"/>
        <v>22</v>
      </c>
      <c r="B52" s="1228" t="s">
        <v>1475</v>
      </c>
      <c r="C52" s="1236" t="s">
        <v>1462</v>
      </c>
      <c r="D52" s="1238"/>
      <c r="E52" s="1221"/>
      <c r="F52" s="1238"/>
      <c r="G52" s="1219"/>
      <c r="H52" s="1237"/>
    </row>
    <row r="53" spans="1:8">
      <c r="A53" s="1239">
        <f t="shared" si="2"/>
        <v>23</v>
      </c>
      <c r="B53" s="1228" t="s">
        <v>1474</v>
      </c>
      <c r="C53" s="1236" t="s">
        <v>1462</v>
      </c>
      <c r="D53" s="1238"/>
      <c r="E53" s="1221"/>
      <c r="F53" s="1238"/>
      <c r="G53" s="1219"/>
      <c r="H53" s="1237"/>
    </row>
    <row r="54" spans="1:8">
      <c r="A54" s="1239">
        <f t="shared" si="2"/>
        <v>24</v>
      </c>
      <c r="B54" s="1228" t="s">
        <v>1473</v>
      </c>
      <c r="C54" s="1236" t="s">
        <v>1462</v>
      </c>
      <c r="D54" s="1238"/>
      <c r="E54" s="1221"/>
      <c r="F54" s="1238"/>
      <c r="G54" s="1219"/>
      <c r="H54" s="1237"/>
    </row>
    <row r="55" spans="1:8">
      <c r="A55" s="1239">
        <f t="shared" si="2"/>
        <v>25</v>
      </c>
      <c r="B55" s="1243" t="s">
        <v>1472</v>
      </c>
      <c r="C55" s="1236" t="s">
        <v>1462</v>
      </c>
      <c r="D55" s="1238"/>
      <c r="E55" s="1221"/>
      <c r="F55" s="1238"/>
      <c r="G55" s="1219"/>
      <c r="H55" s="1237"/>
    </row>
    <row r="56" spans="1:8">
      <c r="A56" s="1239">
        <f t="shared" si="2"/>
        <v>26</v>
      </c>
      <c r="B56" s="1243" t="s">
        <v>1471</v>
      </c>
      <c r="C56" s="1236" t="s">
        <v>1462</v>
      </c>
      <c r="D56" s="1238"/>
      <c r="E56" s="1221"/>
      <c r="F56" s="1238"/>
      <c r="G56" s="1219"/>
      <c r="H56" s="1237"/>
    </row>
    <row r="57" spans="1:8">
      <c r="A57" s="1239">
        <f t="shared" si="2"/>
        <v>27</v>
      </c>
      <c r="B57" s="1243" t="s">
        <v>1470</v>
      </c>
      <c r="C57" s="1236" t="s">
        <v>1462</v>
      </c>
      <c r="D57" s="1238"/>
      <c r="E57" s="1221"/>
      <c r="F57" s="1238"/>
      <c r="G57" s="1219"/>
      <c r="H57" s="1237"/>
    </row>
    <row r="58" spans="1:8">
      <c r="A58" s="1239">
        <f t="shared" si="2"/>
        <v>28</v>
      </c>
      <c r="B58" s="1243" t="s">
        <v>1469</v>
      </c>
      <c r="C58" s="1236" t="s">
        <v>1462</v>
      </c>
      <c r="D58" s="1238"/>
      <c r="E58" s="1221"/>
      <c r="F58" s="1238"/>
      <c r="G58" s="1219"/>
      <c r="H58" s="1237"/>
    </row>
    <row r="59" spans="1:8">
      <c r="A59" s="1239">
        <f t="shared" si="2"/>
        <v>29</v>
      </c>
      <c r="B59" s="1243" t="s">
        <v>1468</v>
      </c>
      <c r="C59" s="1236" t="s">
        <v>1462</v>
      </c>
      <c r="D59" s="1238"/>
      <c r="E59" s="1221"/>
      <c r="F59" s="1238"/>
      <c r="G59" s="1219"/>
      <c r="H59" s="1237"/>
    </row>
    <row r="60" spans="1:8">
      <c r="A60" s="1239">
        <f t="shared" si="2"/>
        <v>30</v>
      </c>
      <c r="B60" s="1243" t="s">
        <v>1467</v>
      </c>
      <c r="C60" s="1236" t="s">
        <v>1462</v>
      </c>
      <c r="D60" s="1238"/>
      <c r="E60" s="1221"/>
      <c r="F60" s="1238"/>
      <c r="G60" s="1219"/>
      <c r="H60" s="1237"/>
    </row>
    <row r="61" spans="1:8">
      <c r="A61" s="1239">
        <f t="shared" si="2"/>
        <v>31</v>
      </c>
      <c r="B61" s="1243" t="s">
        <v>1466</v>
      </c>
      <c r="C61" s="1236" t="s">
        <v>1462</v>
      </c>
      <c r="D61" s="1238"/>
      <c r="E61" s="1221"/>
      <c r="F61" s="1238"/>
      <c r="G61" s="1219"/>
      <c r="H61" s="1237"/>
    </row>
    <row r="62" spans="1:8">
      <c r="A62" s="1239">
        <f t="shared" si="2"/>
        <v>32</v>
      </c>
      <c r="B62" s="1243" t="s">
        <v>1465</v>
      </c>
      <c r="C62" s="1236" t="s">
        <v>1462</v>
      </c>
      <c r="D62" s="1238"/>
      <c r="E62" s="1221"/>
      <c r="F62" s="1238"/>
      <c r="G62" s="1219"/>
      <c r="H62" s="1237"/>
    </row>
    <row r="63" spans="1:8">
      <c r="A63" s="1239">
        <f t="shared" si="2"/>
        <v>33</v>
      </c>
      <c r="B63" s="1243" t="s">
        <v>1464</v>
      </c>
      <c r="C63" s="1236" t="s">
        <v>1462</v>
      </c>
      <c r="D63" s="1238"/>
      <c r="E63" s="1221"/>
      <c r="F63" s="1238"/>
      <c r="G63" s="1219"/>
      <c r="H63" s="1237"/>
    </row>
    <row r="64" spans="1:8">
      <c r="A64" s="1239">
        <f t="shared" si="2"/>
        <v>34</v>
      </c>
      <c r="B64" s="1243" t="s">
        <v>1463</v>
      </c>
      <c r="C64" s="1236" t="s">
        <v>1462</v>
      </c>
      <c r="D64" s="1238"/>
      <c r="E64" s="1221"/>
      <c r="F64" s="1238"/>
      <c r="G64" s="1219"/>
      <c r="H64" s="1237"/>
    </row>
    <row r="65" spans="1:8">
      <c r="A65" s="1239">
        <f t="shared" si="2"/>
        <v>35</v>
      </c>
      <c r="B65" s="1228" t="s">
        <v>1461</v>
      </c>
      <c r="C65" s="1227" t="s">
        <v>49</v>
      </c>
      <c r="D65" s="1238"/>
      <c r="E65" s="1221"/>
      <c r="F65" s="1238"/>
      <c r="G65" s="1219"/>
      <c r="H65" s="1237"/>
    </row>
    <row r="66" spans="1:8">
      <c r="A66" s="1239">
        <f t="shared" si="2"/>
        <v>36</v>
      </c>
      <c r="B66" s="1228" t="s">
        <v>1460</v>
      </c>
      <c r="C66" s="1227" t="s">
        <v>49</v>
      </c>
      <c r="D66" s="1226"/>
      <c r="E66" s="1221"/>
      <c r="F66" s="1226"/>
      <c r="G66" s="1219"/>
      <c r="H66" s="1225"/>
    </row>
    <row r="67" spans="1:8">
      <c r="A67" s="1239">
        <f t="shared" si="2"/>
        <v>37</v>
      </c>
      <c r="B67" s="1228" t="s">
        <v>1459</v>
      </c>
      <c r="C67" s="1227" t="s">
        <v>49</v>
      </c>
      <c r="D67" s="1226"/>
      <c r="E67" s="1221"/>
      <c r="F67" s="1226"/>
      <c r="G67" s="1219"/>
      <c r="H67" s="1225"/>
    </row>
    <row r="68" spans="1:8">
      <c r="A68" s="1229"/>
      <c r="B68" s="1228"/>
      <c r="C68" s="1227"/>
      <c r="D68" s="1226"/>
      <c r="E68" s="1221"/>
      <c r="F68" s="1226"/>
      <c r="G68" s="1219"/>
      <c r="H68" s="1225"/>
    </row>
    <row r="69" spans="1:8">
      <c r="A69" s="1229"/>
      <c r="B69" s="1242" t="s">
        <v>1458</v>
      </c>
      <c r="C69" s="1227"/>
      <c r="D69" s="1226"/>
      <c r="E69" s="1221"/>
      <c r="F69" s="1226"/>
      <c r="G69" s="1219"/>
      <c r="H69" s="1225"/>
    </row>
    <row r="70" spans="1:8">
      <c r="A70" s="1229"/>
      <c r="B70" s="1241" t="s">
        <v>1457</v>
      </c>
      <c r="C70" s="1227"/>
      <c r="D70" s="1226"/>
      <c r="E70" s="1221"/>
      <c r="F70" s="1226"/>
      <c r="G70" s="1219"/>
      <c r="H70" s="1225"/>
    </row>
    <row r="71" spans="1:8">
      <c r="A71" s="1229"/>
      <c r="B71" s="1228"/>
      <c r="C71" s="1227"/>
      <c r="D71" s="1226"/>
      <c r="E71" s="1221"/>
      <c r="F71" s="1226"/>
      <c r="G71" s="1219"/>
      <c r="H71" s="1225"/>
    </row>
    <row r="72" spans="1:8">
      <c r="A72" s="1229"/>
      <c r="B72" s="1228" t="s">
        <v>1456</v>
      </c>
      <c r="C72" s="1227" t="s">
        <v>51</v>
      </c>
      <c r="D72" s="1226">
        <f t="shared" ref="D72:D103" si="3">F72</f>
        <v>85000</v>
      </c>
      <c r="E72" s="1221"/>
      <c r="F72" s="1226">
        <v>85000</v>
      </c>
      <c r="G72" s="1219"/>
      <c r="H72" s="1225">
        <v>80000</v>
      </c>
    </row>
    <row r="73" spans="1:8">
      <c r="A73" s="1229"/>
      <c r="B73" s="1228" t="s">
        <v>1455</v>
      </c>
      <c r="C73" s="1227" t="s">
        <v>51</v>
      </c>
      <c r="D73" s="1226">
        <f t="shared" si="3"/>
        <v>60000</v>
      </c>
      <c r="E73" s="1221"/>
      <c r="F73" s="1226">
        <v>60000</v>
      </c>
      <c r="G73" s="1219"/>
      <c r="H73" s="1225">
        <v>30000</v>
      </c>
    </row>
    <row r="74" spans="1:8">
      <c r="A74" s="1229"/>
      <c r="B74" s="1228" t="s">
        <v>1454</v>
      </c>
      <c r="C74" s="1227" t="s">
        <v>51</v>
      </c>
      <c r="D74" s="1226">
        <f t="shared" si="3"/>
        <v>60000</v>
      </c>
      <c r="E74" s="1221"/>
      <c r="F74" s="1226">
        <v>60000</v>
      </c>
      <c r="G74" s="1219"/>
      <c r="H74" s="1225"/>
    </row>
    <row r="75" spans="1:8">
      <c r="A75" s="1229"/>
      <c r="B75" s="1228" t="s">
        <v>1453</v>
      </c>
      <c r="C75" s="1227" t="s">
        <v>51</v>
      </c>
      <c r="D75" s="1226">
        <f t="shared" si="3"/>
        <v>20000</v>
      </c>
      <c r="E75" s="1221"/>
      <c r="F75" s="1226">
        <v>20000</v>
      </c>
      <c r="G75" s="1219"/>
      <c r="H75" s="1225">
        <v>9000</v>
      </c>
    </row>
    <row r="76" spans="1:8">
      <c r="A76" s="1229"/>
      <c r="B76" s="1228" t="s">
        <v>1452</v>
      </c>
      <c r="C76" s="1227" t="s">
        <v>51</v>
      </c>
      <c r="D76" s="1225">
        <v>800000</v>
      </c>
      <c r="E76" s="1221"/>
      <c r="F76" s="1240">
        <v>600000</v>
      </c>
      <c r="G76" s="1219"/>
      <c r="H76" s="1225"/>
    </row>
    <row r="77" spans="1:8">
      <c r="A77" s="1229"/>
      <c r="B77" s="1228" t="s">
        <v>1451</v>
      </c>
      <c r="C77" s="1227" t="s">
        <v>51</v>
      </c>
      <c r="D77" s="2154">
        <v>1100000</v>
      </c>
      <c r="E77" s="1221"/>
      <c r="F77" s="1240">
        <v>1000000</v>
      </c>
      <c r="G77" s="1219"/>
      <c r="H77" s="1225"/>
    </row>
    <row r="78" spans="1:8">
      <c r="A78" s="1229"/>
      <c r="B78" s="1228" t="s">
        <v>1450</v>
      </c>
      <c r="C78" s="1227" t="s">
        <v>51</v>
      </c>
      <c r="D78" s="2154">
        <v>1500000</v>
      </c>
      <c r="E78" s="1221"/>
      <c r="F78" s="1240">
        <v>1500000</v>
      </c>
      <c r="G78" s="1219"/>
      <c r="H78" s="1225"/>
    </row>
    <row r="79" spans="1:8">
      <c r="A79" s="1229"/>
      <c r="B79" s="1228" t="s">
        <v>1449</v>
      </c>
      <c r="C79" s="1227" t="s">
        <v>51</v>
      </c>
      <c r="D79" s="2154">
        <v>1600000</v>
      </c>
      <c r="E79" s="1221"/>
      <c r="F79" s="1240">
        <v>1750000</v>
      </c>
      <c r="G79" s="1219"/>
      <c r="H79" s="1225"/>
    </row>
    <row r="80" spans="1:8">
      <c r="A80" s="1229"/>
      <c r="B80" s="1228" t="s">
        <v>1448</v>
      </c>
      <c r="C80" s="1227" t="s">
        <v>51</v>
      </c>
      <c r="D80" s="2154">
        <v>800000</v>
      </c>
      <c r="E80" s="1221"/>
      <c r="F80" s="1240">
        <v>800000</v>
      </c>
      <c r="G80" s="1219"/>
      <c r="H80" s="1225"/>
    </row>
    <row r="81" spans="1:8">
      <c r="A81" s="1229"/>
      <c r="B81" s="1228" t="s">
        <v>1447</v>
      </c>
      <c r="C81" s="1227" t="s">
        <v>51</v>
      </c>
      <c r="D81" s="1225">
        <v>1250000</v>
      </c>
      <c r="E81" s="1221"/>
      <c r="F81" s="1240">
        <v>1250000</v>
      </c>
      <c r="G81" s="1219"/>
      <c r="H81" s="1225"/>
    </row>
    <row r="82" spans="1:8">
      <c r="A82" s="1229"/>
      <c r="B82" s="1228" t="s">
        <v>1446</v>
      </c>
      <c r="C82" s="1227" t="s">
        <v>51</v>
      </c>
      <c r="D82" s="2154">
        <v>1200000</v>
      </c>
      <c r="E82" s="1221"/>
      <c r="F82" s="1240">
        <v>1000000</v>
      </c>
      <c r="G82" s="1219"/>
      <c r="H82" s="1225"/>
    </row>
    <row r="83" spans="1:8">
      <c r="A83" s="1229"/>
      <c r="B83" s="1228" t="s">
        <v>1445</v>
      </c>
      <c r="C83" s="1227" t="s">
        <v>51</v>
      </c>
      <c r="D83" s="1226">
        <f t="shared" si="3"/>
        <v>1750000</v>
      </c>
      <c r="E83" s="1221"/>
      <c r="F83" s="1226">
        <v>1750000</v>
      </c>
      <c r="G83" s="1219"/>
      <c r="H83" s="1225"/>
    </row>
    <row r="84" spans="1:8">
      <c r="A84" s="1229"/>
      <c r="B84" s="1228" t="s">
        <v>1444</v>
      </c>
      <c r="C84" s="1227" t="s">
        <v>51</v>
      </c>
      <c r="D84" s="1226">
        <f t="shared" si="3"/>
        <v>400000</v>
      </c>
      <c r="E84" s="1221"/>
      <c r="F84" s="1226">
        <v>400000</v>
      </c>
      <c r="G84" s="1219"/>
      <c r="H84" s="1225">
        <v>300000</v>
      </c>
    </row>
    <row r="85" spans="1:8">
      <c r="A85" s="1239"/>
      <c r="B85" s="1228" t="s">
        <v>1443</v>
      </c>
      <c r="C85" s="1236" t="s">
        <v>49</v>
      </c>
      <c r="D85" s="1225">
        <v>80000</v>
      </c>
      <c r="E85" s="1221"/>
      <c r="F85" s="1237">
        <v>50000</v>
      </c>
      <c r="G85" s="1219"/>
      <c r="H85" s="1237">
        <v>30000</v>
      </c>
    </row>
    <row r="86" spans="1:8">
      <c r="A86" s="1239"/>
      <c r="B86" s="1228" t="s">
        <v>1442</v>
      </c>
      <c r="C86" s="1236" t="s">
        <v>49</v>
      </c>
      <c r="D86" s="1225">
        <v>100000</v>
      </c>
      <c r="E86" s="1221"/>
      <c r="F86" s="1225">
        <v>80000</v>
      </c>
      <c r="G86" s="1219"/>
      <c r="H86" s="1237"/>
    </row>
    <row r="87" spans="1:8">
      <c r="A87" s="1239"/>
      <c r="B87" s="1228" t="s">
        <v>1441</v>
      </c>
      <c r="C87" s="1236" t="s">
        <v>49</v>
      </c>
      <c r="D87" s="1225">
        <v>150000</v>
      </c>
      <c r="E87" s="1221"/>
      <c r="F87" s="1237">
        <v>100000</v>
      </c>
      <c r="G87" s="1219"/>
      <c r="H87" s="1237"/>
    </row>
    <row r="88" spans="1:8">
      <c r="A88" s="1239"/>
      <c r="B88" s="1228" t="s">
        <v>1440</v>
      </c>
      <c r="C88" s="1236" t="s">
        <v>49</v>
      </c>
      <c r="D88" s="1225">
        <v>175000</v>
      </c>
      <c r="E88" s="1221"/>
      <c r="F88" s="1237">
        <v>125000</v>
      </c>
      <c r="G88" s="1219"/>
      <c r="H88" s="1237"/>
    </row>
    <row r="89" spans="1:8">
      <c r="A89" s="1239"/>
      <c r="B89" s="1228" t="s">
        <v>1440</v>
      </c>
      <c r="C89" s="1236" t="s">
        <v>49</v>
      </c>
      <c r="D89" s="1225">
        <f t="shared" si="3"/>
        <v>175000</v>
      </c>
      <c r="E89" s="1221"/>
      <c r="F89" s="1237">
        <v>175000</v>
      </c>
      <c r="G89" s="1219"/>
      <c r="H89" s="1237"/>
    </row>
    <row r="90" spans="1:8">
      <c r="A90" s="1239"/>
      <c r="B90" s="1228" t="s">
        <v>1439</v>
      </c>
      <c r="C90" s="1236" t="s">
        <v>49</v>
      </c>
      <c r="D90" s="1226">
        <f t="shared" si="3"/>
        <v>30000</v>
      </c>
      <c r="E90" s="1221"/>
      <c r="F90" s="1238">
        <v>30000</v>
      </c>
      <c r="G90" s="1219"/>
      <c r="H90" s="1237">
        <v>19500</v>
      </c>
    </row>
    <row r="91" spans="1:8">
      <c r="A91" s="1229"/>
      <c r="B91" s="1228" t="s">
        <v>1438</v>
      </c>
      <c r="C91" s="1236" t="s">
        <v>49</v>
      </c>
      <c r="D91" s="1226">
        <f t="shared" si="3"/>
        <v>60000</v>
      </c>
      <c r="E91" s="1221"/>
      <c r="F91" s="1226">
        <v>60000</v>
      </c>
      <c r="G91" s="1219"/>
      <c r="H91" s="1225"/>
    </row>
    <row r="92" spans="1:8">
      <c r="A92" s="1229"/>
      <c r="B92" s="1228" t="s">
        <v>1437</v>
      </c>
      <c r="C92" s="1236" t="s">
        <v>49</v>
      </c>
      <c r="D92" s="1226">
        <f t="shared" si="3"/>
        <v>80000</v>
      </c>
      <c r="E92" s="1221"/>
      <c r="F92" s="1226">
        <v>80000</v>
      </c>
      <c r="G92" s="1219"/>
      <c r="H92" s="1225"/>
    </row>
    <row r="93" spans="1:8">
      <c r="A93" s="1229"/>
      <c r="B93" s="1228" t="s">
        <v>1436</v>
      </c>
      <c r="C93" s="1227" t="s">
        <v>49</v>
      </c>
      <c r="D93" s="1225">
        <f t="shared" si="3"/>
        <v>60000</v>
      </c>
      <c r="E93" s="1221"/>
      <c r="F93" s="1225">
        <v>60000</v>
      </c>
      <c r="G93" s="1219"/>
      <c r="H93" s="1225">
        <v>22000</v>
      </c>
    </row>
    <row r="94" spans="1:8">
      <c r="A94" s="1229"/>
      <c r="B94" s="1228" t="s">
        <v>1435</v>
      </c>
      <c r="C94" s="1227" t="s">
        <v>49</v>
      </c>
      <c r="D94" s="1234">
        <f t="shared" si="3"/>
        <v>70000</v>
      </c>
      <c r="E94" s="1235"/>
      <c r="F94" s="1234">
        <v>70000</v>
      </c>
      <c r="G94" s="1219"/>
      <c r="H94" s="1225">
        <v>25000</v>
      </c>
    </row>
    <row r="95" spans="1:8">
      <c r="A95" s="1229"/>
      <c r="B95" s="1228" t="s">
        <v>1434</v>
      </c>
      <c r="C95" s="1227" t="s">
        <v>49</v>
      </c>
      <c r="D95" s="1234">
        <f t="shared" si="3"/>
        <v>30000</v>
      </c>
      <c r="E95" s="1221"/>
      <c r="F95" s="1226">
        <v>30000</v>
      </c>
      <c r="G95" s="1219"/>
      <c r="H95" s="1225">
        <v>18000</v>
      </c>
    </row>
    <row r="96" spans="1:8">
      <c r="A96" s="1229"/>
      <c r="B96" s="1228" t="s">
        <v>1433</v>
      </c>
      <c r="C96" s="1227" t="s">
        <v>49</v>
      </c>
      <c r="D96" s="1225">
        <f t="shared" si="3"/>
        <v>30000</v>
      </c>
      <c r="E96" s="1221"/>
      <c r="F96" s="1225">
        <v>30000</v>
      </c>
      <c r="G96" s="1219"/>
      <c r="H96" s="1225">
        <v>14000</v>
      </c>
    </row>
    <row r="97" spans="1:8">
      <c r="A97" s="1229"/>
      <c r="B97" s="1228" t="s">
        <v>2081</v>
      </c>
      <c r="C97" s="1227" t="s">
        <v>50</v>
      </c>
      <c r="D97" s="1225">
        <f t="shared" si="3"/>
        <v>40000</v>
      </c>
      <c r="E97" s="1221"/>
      <c r="F97" s="1225">
        <v>40000</v>
      </c>
      <c r="G97" s="1219"/>
      <c r="H97" s="1225">
        <v>10000</v>
      </c>
    </row>
    <row r="98" spans="1:8">
      <c r="A98" s="1229"/>
      <c r="B98" s="1233" t="s">
        <v>1432</v>
      </c>
      <c r="C98" s="1232" t="s">
        <v>50</v>
      </c>
      <c r="D98" s="1230">
        <f t="shared" si="3"/>
        <v>40000</v>
      </c>
      <c r="E98" s="1231"/>
      <c r="F98" s="1230">
        <v>40000</v>
      </c>
      <c r="G98" s="1219"/>
      <c r="H98" s="1225"/>
    </row>
    <row r="99" spans="1:8">
      <c r="A99" s="1229"/>
      <c r="B99" s="1233" t="s">
        <v>1431</v>
      </c>
      <c r="C99" s="1232" t="s">
        <v>50</v>
      </c>
      <c r="D99" s="1230">
        <f t="shared" si="3"/>
        <v>30000</v>
      </c>
      <c r="E99" s="1231"/>
      <c r="F99" s="1230">
        <v>30000</v>
      </c>
      <c r="G99" s="1219"/>
      <c r="H99" s="1225"/>
    </row>
    <row r="100" spans="1:8">
      <c r="A100" s="1229"/>
      <c r="B100" s="1233" t="s">
        <v>1430</v>
      </c>
      <c r="C100" s="1232" t="s">
        <v>50</v>
      </c>
      <c r="D100" s="1230">
        <f t="shared" si="3"/>
        <v>25000</v>
      </c>
      <c r="E100" s="1231"/>
      <c r="F100" s="1230">
        <v>25000</v>
      </c>
      <c r="G100" s="1219"/>
      <c r="H100" s="1225"/>
    </row>
    <row r="101" spans="1:8">
      <c r="A101" s="1229"/>
      <c r="B101" s="1228" t="s">
        <v>1429</v>
      </c>
      <c r="C101" s="1227" t="s">
        <v>50</v>
      </c>
      <c r="D101" s="1226">
        <f t="shared" si="3"/>
        <v>100000</v>
      </c>
      <c r="E101" s="1221"/>
      <c r="F101" s="1226">
        <v>100000</v>
      </c>
      <c r="G101" s="1219"/>
      <c r="H101" s="1225"/>
    </row>
    <row r="102" spans="1:8">
      <c r="A102" s="1229"/>
      <c r="B102" s="1228" t="s">
        <v>1428</v>
      </c>
      <c r="C102" s="1227" t="s">
        <v>1426</v>
      </c>
      <c r="D102" s="1226">
        <f t="shared" si="3"/>
        <v>250000</v>
      </c>
      <c r="E102" s="1221"/>
      <c r="F102" s="1226">
        <v>250000</v>
      </c>
      <c r="G102" s="1219"/>
      <c r="H102" s="1225"/>
    </row>
    <row r="103" spans="1:8">
      <c r="A103" s="1229"/>
      <c r="B103" s="1228" t="s">
        <v>1427</v>
      </c>
      <c r="C103" s="1227" t="s">
        <v>1426</v>
      </c>
      <c r="D103" s="1226">
        <f t="shared" si="3"/>
        <v>10000000</v>
      </c>
      <c r="E103" s="1221"/>
      <c r="F103" s="1226">
        <v>10000000</v>
      </c>
      <c r="G103" s="1219"/>
      <c r="H103" s="1225"/>
    </row>
    <row r="104" spans="1:8">
      <c r="A104" s="1229"/>
      <c r="B104" s="1228"/>
      <c r="C104" s="1227"/>
      <c r="D104" s="1226"/>
      <c r="E104" s="1221"/>
      <c r="F104" s="1226"/>
      <c r="G104" s="1219"/>
      <c r="H104" s="1225"/>
    </row>
    <row r="105" spans="1:8">
      <c r="A105" s="1229"/>
      <c r="B105" s="1228"/>
      <c r="C105" s="1227"/>
      <c r="D105" s="1226"/>
      <c r="E105" s="1221"/>
      <c r="F105" s="1226"/>
      <c r="G105" s="1219"/>
      <c r="H105" s="1225"/>
    </row>
    <row r="106" spans="1:8">
      <c r="A106" s="1229"/>
      <c r="B106" s="1228"/>
      <c r="C106" s="1227"/>
      <c r="D106" s="1226"/>
      <c r="E106" s="1221"/>
      <c r="F106" s="1226"/>
      <c r="G106" s="1219"/>
      <c r="H106" s="1225"/>
    </row>
    <row r="107" spans="1:8">
      <c r="A107" s="1229"/>
      <c r="B107" s="1228"/>
      <c r="C107" s="1227"/>
      <c r="D107" s="1226"/>
      <c r="E107" s="1221"/>
      <c r="F107" s="1226"/>
      <c r="G107" s="1219"/>
      <c r="H107" s="1225"/>
    </row>
    <row r="108" spans="1:8">
      <c r="A108" s="1229"/>
      <c r="B108" s="1228"/>
      <c r="C108" s="1227"/>
      <c r="D108" s="1226"/>
      <c r="E108" s="1221"/>
      <c r="F108" s="1226"/>
      <c r="G108" s="1219"/>
      <c r="H108" s="1225"/>
    </row>
    <row r="109" spans="1:8">
      <c r="A109" s="1229"/>
      <c r="B109" s="1228"/>
      <c r="C109" s="1227"/>
      <c r="D109" s="1226"/>
      <c r="E109" s="1221"/>
      <c r="F109" s="1226"/>
      <c r="G109" s="1219"/>
      <c r="H109" s="1225"/>
    </row>
    <row r="110" spans="1:8">
      <c r="A110" s="1229"/>
      <c r="B110" s="1228"/>
      <c r="C110" s="1227"/>
      <c r="D110" s="1226"/>
      <c r="E110" s="1221"/>
      <c r="F110" s="1226"/>
      <c r="G110" s="1219"/>
      <c r="H110" s="1225"/>
    </row>
    <row r="111" spans="1:8" ht="13.5" thickBot="1">
      <c r="A111" s="1224"/>
      <c r="B111" s="1223"/>
      <c r="C111" s="1222"/>
      <c r="D111" s="1220"/>
      <c r="E111" s="1221"/>
      <c r="F111" s="1220"/>
      <c r="G111" s="1219"/>
      <c r="H111" s="1218"/>
    </row>
  </sheetData>
  <mergeCells count="4">
    <mergeCell ref="A4:A5"/>
    <mergeCell ref="B4:B5"/>
    <mergeCell ref="C4:C5"/>
    <mergeCell ref="H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topLeftCell="A84" zoomScale="70" zoomScaleNormal="70" workbookViewId="0">
      <selection activeCell="D112" sqref="D112"/>
    </sheetView>
  </sheetViews>
  <sheetFormatPr defaultColWidth="9.140625" defaultRowHeight="12.75"/>
  <cols>
    <col min="1" max="1" width="8.42578125" style="1506" bestFit="1" customWidth="1"/>
    <col min="2" max="2" width="9.140625" style="1506"/>
    <col min="3" max="3" width="1.5703125" style="1506" bestFit="1" customWidth="1"/>
    <col min="4" max="4" width="38.5703125" style="1506" bestFit="1" customWidth="1"/>
    <col min="5" max="5" width="28.42578125" style="1506" bestFit="1" customWidth="1"/>
    <col min="6" max="6" width="4.7109375" style="1506" bestFit="1" customWidth="1"/>
    <col min="7" max="7" width="17.42578125" style="1506" customWidth="1"/>
    <col min="8" max="8" width="11.5703125" style="1506" bestFit="1" customWidth="1"/>
    <col min="9" max="9" width="17.140625" style="1506" customWidth="1"/>
    <col min="10" max="10" width="14.42578125" style="1507" bestFit="1" customWidth="1"/>
    <col min="11" max="12" width="9.7109375" style="1506" bestFit="1" customWidth="1"/>
    <col min="13" max="13" width="9.140625" style="1506"/>
    <col min="14" max="14" width="12.85546875" style="1506" bestFit="1" customWidth="1"/>
    <col min="15" max="16384" width="9.140625" style="1506"/>
  </cols>
  <sheetData>
    <row r="1" spans="1:10" ht="15.75">
      <c r="A1" s="1571" t="s">
        <v>1760</v>
      </c>
      <c r="B1" s="1569"/>
      <c r="C1" s="1572" t="s">
        <v>110</v>
      </c>
      <c r="D1" s="1574"/>
      <c r="E1" s="1569"/>
      <c r="F1" s="1569"/>
      <c r="G1" s="1569"/>
      <c r="H1" s="1569"/>
    </row>
    <row r="2" spans="1:10" ht="15.75">
      <c r="A2" s="1571" t="s">
        <v>1</v>
      </c>
      <c r="B2" s="1569"/>
      <c r="C2" s="1572" t="s">
        <v>110</v>
      </c>
      <c r="D2" s="1571"/>
      <c r="E2" s="1569"/>
      <c r="F2" s="1569"/>
      <c r="G2" s="1569"/>
      <c r="H2" s="1573"/>
    </row>
    <row r="3" spans="1:10" ht="15.75">
      <c r="A3" s="1571" t="s">
        <v>1871</v>
      </c>
      <c r="B3" s="1569"/>
      <c r="C3" s="1572" t="s">
        <v>110</v>
      </c>
      <c r="D3" s="1571"/>
      <c r="E3" s="1570"/>
      <c r="F3" s="1569"/>
      <c r="G3" s="1569"/>
      <c r="H3" s="1569"/>
    </row>
    <row r="4" spans="1:10" ht="16.5" thickBot="1">
      <c r="A4" s="1568"/>
      <c r="B4" s="1568"/>
      <c r="C4" s="1568"/>
      <c r="D4" s="1568"/>
      <c r="E4" s="1568"/>
      <c r="F4" s="1568"/>
      <c r="G4" s="1568"/>
      <c r="H4" s="1508"/>
    </row>
    <row r="5" spans="1:10" ht="15.75">
      <c r="A5" s="2187" t="s">
        <v>63</v>
      </c>
      <c r="B5" s="2189" t="s">
        <v>1870</v>
      </c>
      <c r="C5" s="2190"/>
      <c r="D5" s="2191"/>
      <c r="E5" s="2185" t="s">
        <v>1869</v>
      </c>
      <c r="F5" s="2195" t="s">
        <v>1526</v>
      </c>
      <c r="G5" s="1567" t="s">
        <v>1868</v>
      </c>
      <c r="H5" s="1508"/>
    </row>
    <row r="6" spans="1:10" ht="16.5" thickBot="1">
      <c r="A6" s="2188"/>
      <c r="B6" s="2192"/>
      <c r="C6" s="2193"/>
      <c r="D6" s="2194"/>
      <c r="E6" s="2186"/>
      <c r="F6" s="2186"/>
      <c r="G6" s="1566" t="s">
        <v>1522</v>
      </c>
      <c r="H6" s="1508"/>
    </row>
    <row r="7" spans="1:10" ht="16.5" thickTop="1">
      <c r="A7" s="1565" t="s">
        <v>354</v>
      </c>
      <c r="B7" s="1564"/>
      <c r="C7" s="1563"/>
      <c r="D7" s="1562"/>
      <c r="E7" s="1561"/>
      <c r="F7" s="1561"/>
      <c r="G7" s="1560"/>
      <c r="H7" s="1508"/>
    </row>
    <row r="8" spans="1:10" ht="15.75">
      <c r="A8" s="1517">
        <v>1</v>
      </c>
      <c r="B8" s="2179" t="s">
        <v>1866</v>
      </c>
      <c r="C8" s="2180"/>
      <c r="D8" s="2181"/>
      <c r="E8" s="1553" t="s">
        <v>1867</v>
      </c>
      <c r="F8" s="1552" t="s">
        <v>51</v>
      </c>
      <c r="G8" s="1514">
        <f>ROUNDUP(2100000/6,-4)</f>
        <v>350000</v>
      </c>
      <c r="H8" s="1513" t="s">
        <v>2212</v>
      </c>
    </row>
    <row r="9" spans="1:10" ht="15.75">
      <c r="A9" s="1517"/>
      <c r="B9" s="2179" t="s">
        <v>1866</v>
      </c>
      <c r="C9" s="2180"/>
      <c r="D9" s="2181"/>
      <c r="E9" s="1553" t="s">
        <v>1865</v>
      </c>
      <c r="F9" s="1552" t="s">
        <v>51</v>
      </c>
      <c r="G9" s="1514">
        <f>ROUNDUP(1300000/6,-4)</f>
        <v>220000</v>
      </c>
      <c r="H9" s="1513" t="s">
        <v>2213</v>
      </c>
    </row>
    <row r="10" spans="1:10" ht="15.75">
      <c r="A10" s="1517">
        <f>+A17+1</f>
        <v>3</v>
      </c>
      <c r="B10" s="2173" t="s">
        <v>1864</v>
      </c>
      <c r="C10" s="2174"/>
      <c r="D10" s="2175"/>
      <c r="E10" s="1530" t="s">
        <v>1794</v>
      </c>
      <c r="F10" s="1529" t="s">
        <v>51</v>
      </c>
      <c r="G10" s="1514">
        <v>275000</v>
      </c>
      <c r="H10" s="1513"/>
      <c r="I10" s="1506" t="s">
        <v>1863</v>
      </c>
    </row>
    <row r="11" spans="1:10" ht="63">
      <c r="A11" s="1517">
        <f>+A27+1</f>
        <v>14</v>
      </c>
      <c r="B11" s="2173" t="s">
        <v>1860</v>
      </c>
      <c r="C11" s="2174"/>
      <c r="D11" s="2175"/>
      <c r="E11" s="1550" t="s">
        <v>1862</v>
      </c>
      <c r="F11" s="1529" t="s">
        <v>51</v>
      </c>
      <c r="G11" s="1531">
        <f>1050000*1.11</f>
        <v>1165500</v>
      </c>
      <c r="H11" s="1559"/>
      <c r="I11" s="1557" t="s">
        <v>1861</v>
      </c>
      <c r="J11" s="1507">
        <v>785000</v>
      </c>
    </row>
    <row r="12" spans="1:10" ht="31.5">
      <c r="A12" s="1517">
        <f>+A11+1</f>
        <v>15</v>
      </c>
      <c r="B12" s="2173" t="s">
        <v>1860</v>
      </c>
      <c r="C12" s="2174"/>
      <c r="D12" s="2175"/>
      <c r="E12" s="1550" t="s">
        <v>1857</v>
      </c>
      <c r="F12" s="1529" t="s">
        <v>51</v>
      </c>
      <c r="G12" s="1531">
        <f t="shared" ref="G12:G13" si="0">1050000*1.11</f>
        <v>1165500</v>
      </c>
      <c r="H12" s="1513"/>
      <c r="I12" s="1557" t="s">
        <v>1859</v>
      </c>
      <c r="J12" s="1558">
        <v>875000</v>
      </c>
    </row>
    <row r="13" spans="1:10" ht="31.5">
      <c r="A13" s="1517"/>
      <c r="B13" s="2173" t="s">
        <v>1858</v>
      </c>
      <c r="C13" s="2174"/>
      <c r="D13" s="2175"/>
      <c r="E13" s="1550" t="s">
        <v>1857</v>
      </c>
      <c r="F13" s="1529" t="s">
        <v>51</v>
      </c>
      <c r="G13" s="1531">
        <f t="shared" si="0"/>
        <v>1165500</v>
      </c>
      <c r="H13" s="1513"/>
      <c r="I13" s="1557" t="s">
        <v>1856</v>
      </c>
      <c r="J13" s="1507">
        <v>840000</v>
      </c>
    </row>
    <row r="14" spans="1:10" ht="31.5">
      <c r="A14" s="1517">
        <f>+A20+1</f>
        <v>7</v>
      </c>
      <c r="B14" s="2173" t="s">
        <v>1573</v>
      </c>
      <c r="C14" s="2174"/>
      <c r="D14" s="2175"/>
      <c r="E14" s="1550" t="s">
        <v>1855</v>
      </c>
      <c r="F14" s="1529" t="s">
        <v>1574</v>
      </c>
      <c r="G14" s="1514">
        <v>65000</v>
      </c>
      <c r="H14" s="1513"/>
      <c r="I14" s="1557" t="s">
        <v>1854</v>
      </c>
      <c r="J14" s="1558">
        <v>935000</v>
      </c>
    </row>
    <row r="15" spans="1:10" ht="15.75">
      <c r="A15" s="1517"/>
      <c r="B15" s="1521" t="s">
        <v>1634</v>
      </c>
      <c r="C15" s="1523"/>
      <c r="D15" s="1522"/>
      <c r="E15" s="1550"/>
      <c r="F15" s="1529" t="s">
        <v>53</v>
      </c>
      <c r="G15" s="1514">
        <v>3000</v>
      </c>
      <c r="H15" s="1513"/>
      <c r="I15" s="1557" t="s">
        <v>1853</v>
      </c>
      <c r="J15" s="1507">
        <v>50000</v>
      </c>
    </row>
    <row r="16" spans="1:10" ht="15.75">
      <c r="A16" s="1517"/>
      <c r="B16" s="1556" t="s">
        <v>1852</v>
      </c>
      <c r="C16" s="1555"/>
      <c r="D16" s="1554"/>
      <c r="E16" s="1553"/>
      <c r="F16" s="1552" t="s">
        <v>1644</v>
      </c>
      <c r="G16" s="1514">
        <v>13000</v>
      </c>
      <c r="H16" s="1513"/>
      <c r="J16" s="1506"/>
    </row>
    <row r="17" spans="1:13" ht="15.75">
      <c r="A17" s="1517">
        <f>+A8+1</f>
        <v>2</v>
      </c>
      <c r="B17" s="2173" t="s">
        <v>72</v>
      </c>
      <c r="C17" s="2174"/>
      <c r="D17" s="2175"/>
      <c r="E17" s="1530" t="s">
        <v>1794</v>
      </c>
      <c r="F17" s="1529" t="s">
        <v>51</v>
      </c>
      <c r="G17" s="1514">
        <v>175000</v>
      </c>
      <c r="H17" s="1513"/>
    </row>
    <row r="18" spans="1:13" ht="15.75">
      <c r="A18" s="1517">
        <f>+A10+1</f>
        <v>4</v>
      </c>
      <c r="B18" s="2173" t="s">
        <v>1851</v>
      </c>
      <c r="C18" s="2174"/>
      <c r="D18" s="2175"/>
      <c r="E18" s="1530" t="s">
        <v>1794</v>
      </c>
      <c r="F18" s="1529" t="s">
        <v>51</v>
      </c>
      <c r="G18" s="1514"/>
      <c r="H18" s="1513"/>
    </row>
    <row r="19" spans="1:13" ht="15.75">
      <c r="A19" s="1517">
        <f>A18+1</f>
        <v>5</v>
      </c>
      <c r="B19" s="2173" t="s">
        <v>1621</v>
      </c>
      <c r="C19" s="2174"/>
      <c r="D19" s="2175"/>
      <c r="E19" s="1530" t="s">
        <v>1794</v>
      </c>
      <c r="F19" s="1529" t="s">
        <v>51</v>
      </c>
      <c r="G19" s="1514">
        <v>250000</v>
      </c>
      <c r="H19" s="1513"/>
    </row>
    <row r="20" spans="1:13" ht="15.75">
      <c r="A20" s="1517">
        <f>A19+1</f>
        <v>6</v>
      </c>
      <c r="B20" s="2173" t="s">
        <v>1850</v>
      </c>
      <c r="C20" s="2174"/>
      <c r="D20" s="2175"/>
      <c r="E20" s="1551" t="s">
        <v>1794</v>
      </c>
      <c r="F20" s="1529" t="s">
        <v>52</v>
      </c>
      <c r="G20" s="1514">
        <v>4500</v>
      </c>
      <c r="H20" s="1513"/>
    </row>
    <row r="21" spans="1:13" ht="15.75">
      <c r="A21" s="1517"/>
      <c r="B21" s="1521" t="s">
        <v>1849</v>
      </c>
      <c r="C21" s="1523"/>
      <c r="D21" s="1522"/>
      <c r="E21" s="1551"/>
      <c r="F21" s="1529" t="s">
        <v>51</v>
      </c>
      <c r="G21" s="1514">
        <v>40000</v>
      </c>
      <c r="H21" s="1513"/>
    </row>
    <row r="22" spans="1:13" ht="31.5">
      <c r="A22" s="1517">
        <f>+A14+1</f>
        <v>8</v>
      </c>
      <c r="B22" s="2173" t="s">
        <v>1848</v>
      </c>
      <c r="C22" s="2174"/>
      <c r="D22" s="2175"/>
      <c r="E22" s="1550" t="s">
        <v>1847</v>
      </c>
      <c r="F22" s="1529" t="s">
        <v>51</v>
      </c>
      <c r="G22" s="1514"/>
      <c r="H22" s="1513"/>
    </row>
    <row r="23" spans="1:13" ht="15.75">
      <c r="A23" s="1517">
        <f>+A22+1</f>
        <v>9</v>
      </c>
      <c r="B23" s="2173" t="s">
        <v>1846</v>
      </c>
      <c r="C23" s="2174"/>
      <c r="D23" s="2175"/>
      <c r="E23" s="1550"/>
      <c r="F23" s="1529" t="s">
        <v>51</v>
      </c>
      <c r="G23" s="1514"/>
      <c r="H23" s="1513"/>
    </row>
    <row r="24" spans="1:13" ht="15.75">
      <c r="A24" s="1517">
        <f>+A23+1</f>
        <v>10</v>
      </c>
      <c r="B24" s="2173" t="s">
        <v>1845</v>
      </c>
      <c r="C24" s="2174"/>
      <c r="D24" s="2175"/>
      <c r="E24" s="1550"/>
      <c r="F24" s="1529" t="s">
        <v>51</v>
      </c>
      <c r="G24" s="1514"/>
      <c r="H24" s="1513"/>
    </row>
    <row r="25" spans="1:13" ht="15.75">
      <c r="A25" s="1517">
        <f>+A24+1</f>
        <v>11</v>
      </c>
      <c r="B25" s="2173" t="s">
        <v>1844</v>
      </c>
      <c r="C25" s="2174"/>
      <c r="D25" s="2175"/>
      <c r="E25" s="1550"/>
      <c r="F25" s="1529" t="s">
        <v>51</v>
      </c>
      <c r="G25" s="1514"/>
      <c r="H25" s="1513"/>
    </row>
    <row r="26" spans="1:13" ht="15.75">
      <c r="A26" s="1517">
        <f>+A25+1</f>
        <v>12</v>
      </c>
      <c r="B26" s="2173" t="s">
        <v>1843</v>
      </c>
      <c r="C26" s="2174"/>
      <c r="D26" s="2175"/>
      <c r="E26" s="1550"/>
      <c r="F26" s="1529" t="s">
        <v>51</v>
      </c>
      <c r="G26" s="1514"/>
      <c r="H26" s="1513"/>
    </row>
    <row r="27" spans="1:13" ht="15.75">
      <c r="A27" s="1517">
        <f>+A26+1</f>
        <v>13</v>
      </c>
      <c r="B27" s="2173" t="s">
        <v>1842</v>
      </c>
      <c r="C27" s="2174"/>
      <c r="D27" s="2175"/>
      <c r="E27" s="1550"/>
      <c r="F27" s="1529" t="s">
        <v>51</v>
      </c>
      <c r="G27" s="1514"/>
      <c r="H27" s="1513"/>
    </row>
    <row r="28" spans="1:13" ht="15.75">
      <c r="A28" s="1517">
        <f>+A12+1</f>
        <v>16</v>
      </c>
      <c r="B28" s="2173" t="s">
        <v>1841</v>
      </c>
      <c r="C28" s="2174"/>
      <c r="D28" s="2175"/>
      <c r="E28" s="1550"/>
      <c r="F28" s="1529" t="s">
        <v>51</v>
      </c>
      <c r="G28" s="1514"/>
      <c r="H28" s="1513"/>
    </row>
    <row r="29" spans="1:13" ht="15.75">
      <c r="A29" s="1517">
        <f t="shared" ref="A29:A39" si="1">+A28+1</f>
        <v>17</v>
      </c>
      <c r="B29" s="2173" t="s">
        <v>1840</v>
      </c>
      <c r="C29" s="2174"/>
      <c r="D29" s="2175"/>
      <c r="E29" s="1530" t="s">
        <v>1839</v>
      </c>
      <c r="F29" s="1529" t="s">
        <v>1644</v>
      </c>
      <c r="G29" s="1514"/>
      <c r="H29" s="1513"/>
    </row>
    <row r="30" spans="1:13" ht="15.75">
      <c r="A30" s="1517">
        <f t="shared" si="1"/>
        <v>18</v>
      </c>
      <c r="B30" s="2173" t="s">
        <v>1838</v>
      </c>
      <c r="C30" s="2174"/>
      <c r="D30" s="2175"/>
      <c r="E30" s="1530" t="s">
        <v>1837</v>
      </c>
      <c r="F30" s="1529" t="s">
        <v>1644</v>
      </c>
      <c r="G30" s="1514"/>
      <c r="H30" s="1513"/>
    </row>
    <row r="31" spans="1:13" ht="15.75">
      <c r="A31" s="1517">
        <f t="shared" si="1"/>
        <v>19</v>
      </c>
      <c r="B31" s="2173" t="s">
        <v>1675</v>
      </c>
      <c r="C31" s="2174"/>
      <c r="D31" s="2175"/>
      <c r="E31" s="1530"/>
      <c r="F31" s="1529" t="s">
        <v>1644</v>
      </c>
      <c r="G31" s="1514">
        <v>27500</v>
      </c>
      <c r="H31" s="1513"/>
      <c r="I31" s="1546"/>
      <c r="J31" s="1549" t="s">
        <v>227</v>
      </c>
      <c r="K31" s="1548">
        <v>10000</v>
      </c>
      <c r="L31" s="1547" t="s">
        <v>1836</v>
      </c>
      <c r="M31" s="1534"/>
    </row>
    <row r="32" spans="1:13" ht="15.75">
      <c r="A32" s="1517">
        <f t="shared" si="1"/>
        <v>20</v>
      </c>
      <c r="B32" s="2173" t="s">
        <v>1835</v>
      </c>
      <c r="C32" s="2174"/>
      <c r="D32" s="2175"/>
      <c r="E32" s="1533" t="s">
        <v>1834</v>
      </c>
      <c r="F32" s="1529" t="s">
        <v>1644</v>
      </c>
      <c r="G32" s="1514"/>
      <c r="H32" s="1513"/>
      <c r="I32" s="1546"/>
      <c r="K32" s="1540"/>
      <c r="L32" s="1534"/>
      <c r="M32" s="1534"/>
    </row>
    <row r="33" spans="1:16" ht="15.75">
      <c r="A33" s="1517">
        <f t="shared" si="1"/>
        <v>21</v>
      </c>
      <c r="B33" s="2173" t="s">
        <v>1833</v>
      </c>
      <c r="C33" s="2174"/>
      <c r="D33" s="2175"/>
      <c r="E33" s="1533" t="s">
        <v>1832</v>
      </c>
      <c r="F33" s="1529" t="s">
        <v>53</v>
      </c>
      <c r="G33" s="1531">
        <v>9500</v>
      </c>
      <c r="H33" s="1513"/>
      <c r="I33" s="1546" t="s">
        <v>1831</v>
      </c>
      <c r="J33" s="1545" t="s">
        <v>1830</v>
      </c>
      <c r="K33" s="1544" t="s">
        <v>1404</v>
      </c>
      <c r="L33" s="1539" t="s">
        <v>1403</v>
      </c>
      <c r="M33" s="1543" t="s">
        <v>1829</v>
      </c>
    </row>
    <row r="34" spans="1:16" ht="15.75">
      <c r="A34" s="1517">
        <f t="shared" si="1"/>
        <v>22</v>
      </c>
      <c r="B34" s="2173" t="s">
        <v>1828</v>
      </c>
      <c r="C34" s="2174"/>
      <c r="D34" s="2175"/>
      <c r="E34" s="1533" t="s">
        <v>1823</v>
      </c>
      <c r="F34" s="1529" t="s">
        <v>49</v>
      </c>
      <c r="G34" s="1514">
        <f>M34*$K$31</f>
        <v>85135.71428571429</v>
      </c>
      <c r="H34" s="1513"/>
      <c r="I34" s="1539">
        <v>10</v>
      </c>
      <c r="J34" s="1507">
        <v>150</v>
      </c>
      <c r="K34" s="1541">
        <v>5.4</v>
      </c>
      <c r="L34" s="1536">
        <v>2.1</v>
      </c>
      <c r="M34" s="1540">
        <f>(0.006165*I34*I34)*(K34*ROUND(L34/(J34/1000)+1,0)+L34*ROUND(K34/(J34/1000),0))/(K34*L34)</f>
        <v>8.5135714285714297</v>
      </c>
      <c r="N34" s="1534"/>
      <c r="O34" s="1534"/>
      <c r="P34" s="1534"/>
    </row>
    <row r="35" spans="1:16" ht="15.75">
      <c r="A35" s="1517">
        <f t="shared" si="1"/>
        <v>23</v>
      </c>
      <c r="B35" s="2173" t="s">
        <v>1827</v>
      </c>
      <c r="C35" s="2174"/>
      <c r="D35" s="2175"/>
      <c r="E35" s="1533" t="s">
        <v>1823</v>
      </c>
      <c r="F35" s="1529" t="s">
        <v>49</v>
      </c>
      <c r="G35" s="1514">
        <f>M35*$K$31</f>
        <v>68959.92857142858</v>
      </c>
      <c r="H35" s="1513">
        <f>778000/(2.1*5.4)</f>
        <v>68606.701940035258</v>
      </c>
      <c r="I35" s="1539">
        <v>9</v>
      </c>
      <c r="J35" s="1507">
        <v>150</v>
      </c>
      <c r="K35" s="1541">
        <v>5.4</v>
      </c>
      <c r="L35" s="1536">
        <v>2.1</v>
      </c>
      <c r="M35" s="1540">
        <f>(0.006165*I35*I35)*(K35*ROUND(L35/(J35/1000)+1,0)+L35*ROUND(K35/(J35/1000),0))/(K35*L35)</f>
        <v>6.8959928571428586</v>
      </c>
      <c r="N35" s="1534"/>
      <c r="O35" s="1534"/>
      <c r="P35" s="1534"/>
    </row>
    <row r="36" spans="1:16" ht="15.75">
      <c r="A36" s="1517">
        <f t="shared" si="1"/>
        <v>24</v>
      </c>
      <c r="B36" s="2173" t="s">
        <v>1826</v>
      </c>
      <c r="C36" s="2174"/>
      <c r="D36" s="2175"/>
      <c r="E36" s="1533" t="s">
        <v>1823</v>
      </c>
      <c r="F36" s="1529" t="s">
        <v>49</v>
      </c>
      <c r="G36" s="1514">
        <f>M36*$K$31</f>
        <v>54486.857142857145</v>
      </c>
      <c r="H36" s="1513">
        <f>549000/(2.1*5.4)</f>
        <v>48412.698412698403</v>
      </c>
      <c r="I36" s="1539">
        <v>8</v>
      </c>
      <c r="J36" s="1507">
        <v>150</v>
      </c>
      <c r="K36" s="1541">
        <v>5.4</v>
      </c>
      <c r="L36" s="1536">
        <v>2.1</v>
      </c>
      <c r="M36" s="1540">
        <f>(0.006165*I36*I36)*(K36*ROUND(L36/(J36/1000)+1,0)+L36*ROUND(K36/(J36/1000),0))/(K36*L36)</f>
        <v>5.4486857142857144</v>
      </c>
      <c r="N36" s="1534"/>
    </row>
    <row r="37" spans="1:16" ht="15.75">
      <c r="A37" s="1517">
        <f t="shared" si="1"/>
        <v>25</v>
      </c>
      <c r="B37" s="2173" t="s">
        <v>1825</v>
      </c>
      <c r="C37" s="2174"/>
      <c r="D37" s="2175"/>
      <c r="E37" s="1533" t="s">
        <v>1823</v>
      </c>
      <c r="F37" s="1529" t="s">
        <v>49</v>
      </c>
      <c r="G37" s="1514">
        <f>M37*$K$31</f>
        <v>41716.5</v>
      </c>
      <c r="H37" s="1513">
        <f>419000/(2.1*5.4)</f>
        <v>36948.853615520275</v>
      </c>
      <c r="I37" s="1539">
        <v>7</v>
      </c>
      <c r="J37" s="1507">
        <v>150</v>
      </c>
      <c r="K37" s="1541">
        <v>5.4</v>
      </c>
      <c r="L37" s="1536">
        <v>2.1</v>
      </c>
      <c r="M37" s="1540">
        <f>(0.006165*I37*I37)*(K37*ROUND(L37/(J37/1000)+1,0)+L37*ROUND(K37/(J37/1000),0))/(K37*L37)</f>
        <v>4.1716499999999996</v>
      </c>
      <c r="N37" s="1542"/>
    </row>
    <row r="38" spans="1:16" ht="15.75">
      <c r="A38" s="1517">
        <f t="shared" si="1"/>
        <v>26</v>
      </c>
      <c r="B38" s="2173" t="s">
        <v>1824</v>
      </c>
      <c r="C38" s="2174"/>
      <c r="D38" s="2175"/>
      <c r="E38" s="1533" t="s">
        <v>1823</v>
      </c>
      <c r="F38" s="1529" t="s">
        <v>49</v>
      </c>
      <c r="G38" s="1514">
        <f>M38*$K$31</f>
        <v>30648.857142857149</v>
      </c>
      <c r="H38" s="1513"/>
      <c r="I38" s="1539">
        <v>6</v>
      </c>
      <c r="J38" s="1507">
        <v>150</v>
      </c>
      <c r="K38" s="1541">
        <v>5.4</v>
      </c>
      <c r="L38" s="1536">
        <v>2.1</v>
      </c>
      <c r="M38" s="1540">
        <f>(0.006165*I38*I38)*(K38*ROUND(L38/(J38/1000)+1,0)+L38*ROUND(K38/(J38/1000),0))/(K38*L38)</f>
        <v>3.0648857142857149</v>
      </c>
      <c r="N38" s="1534"/>
    </row>
    <row r="39" spans="1:16" ht="15.75">
      <c r="A39" s="1517">
        <f t="shared" si="1"/>
        <v>27</v>
      </c>
      <c r="B39" s="2173" t="s">
        <v>1822</v>
      </c>
      <c r="C39" s="2174"/>
      <c r="D39" s="2175"/>
      <c r="E39" s="1533" t="s">
        <v>1794</v>
      </c>
      <c r="F39" s="1529" t="s">
        <v>53</v>
      </c>
      <c r="G39" s="1514">
        <v>17500</v>
      </c>
      <c r="H39" s="1513"/>
      <c r="N39" s="1534"/>
    </row>
    <row r="40" spans="1:16" ht="15.75">
      <c r="A40" s="1517"/>
      <c r="B40" s="1521"/>
      <c r="C40" s="1523"/>
      <c r="D40" s="1522"/>
      <c r="E40" s="1533"/>
      <c r="F40" s="1529"/>
      <c r="G40" s="1514"/>
      <c r="H40" s="1513"/>
      <c r="N40" s="1534"/>
    </row>
    <row r="41" spans="1:16" ht="15.75">
      <c r="A41" s="1517"/>
      <c r="B41" s="1521" t="s">
        <v>1821</v>
      </c>
      <c r="C41" s="1523"/>
      <c r="D41" s="1522"/>
      <c r="E41" s="1533"/>
      <c r="F41" s="1529" t="s">
        <v>53</v>
      </c>
      <c r="G41" s="1514">
        <v>30000</v>
      </c>
      <c r="H41" s="1532"/>
      <c r="I41" s="1539"/>
      <c r="J41" s="1538"/>
      <c r="K41" s="1537"/>
      <c r="L41" s="1536"/>
      <c r="M41" s="1535"/>
      <c r="N41" s="1534"/>
      <c r="O41" s="1534"/>
      <c r="P41" s="1534"/>
    </row>
    <row r="42" spans="1:16" ht="15.75">
      <c r="A42" s="1517"/>
      <c r="B42" s="1521" t="s">
        <v>1820</v>
      </c>
      <c r="C42" s="1523"/>
      <c r="D42" s="1522"/>
      <c r="E42" s="1533"/>
      <c r="F42" s="1529" t="s">
        <v>53</v>
      </c>
      <c r="G42" s="1514">
        <v>32500</v>
      </c>
      <c r="H42" s="1532"/>
    </row>
    <row r="43" spans="1:16" ht="15.75">
      <c r="A43" s="1517"/>
      <c r="B43" s="1521" t="s">
        <v>1819</v>
      </c>
      <c r="C43" s="1523"/>
      <c r="D43" s="1522"/>
      <c r="E43" s="1533"/>
      <c r="F43" s="1529" t="s">
        <v>53</v>
      </c>
      <c r="G43" s="1514">
        <v>27500</v>
      </c>
      <c r="H43" s="1532"/>
    </row>
    <row r="44" spans="1:16" ht="15.75">
      <c r="A44" s="1517"/>
      <c r="B44" s="1521" t="s">
        <v>1818</v>
      </c>
      <c r="C44" s="1523"/>
      <c r="D44" s="1522"/>
      <c r="E44" s="1533"/>
      <c r="F44" s="1529" t="s">
        <v>50</v>
      </c>
      <c r="G44" s="1514">
        <v>2150000</v>
      </c>
      <c r="H44" s="1532"/>
    </row>
    <row r="45" spans="1:16" ht="15.75">
      <c r="A45" s="1517"/>
      <c r="B45" s="1521" t="s">
        <v>1817</v>
      </c>
      <c r="C45" s="1523"/>
      <c r="D45" s="1522"/>
      <c r="E45" s="1533"/>
      <c r="F45" s="1529" t="s">
        <v>50</v>
      </c>
      <c r="G45" s="1514">
        <v>1850000</v>
      </c>
      <c r="H45" s="1532"/>
    </row>
    <row r="46" spans="1:16" ht="15.75">
      <c r="A46" s="1517"/>
      <c r="B46" s="1521" t="s">
        <v>1816</v>
      </c>
      <c r="C46" s="1523"/>
      <c r="D46" s="1522"/>
      <c r="E46" s="1533"/>
      <c r="F46" s="1529" t="s">
        <v>53</v>
      </c>
      <c r="G46" s="1514">
        <v>30000</v>
      </c>
      <c r="H46" s="1532"/>
    </row>
    <row r="47" spans="1:16" ht="15.75">
      <c r="A47" s="1517"/>
      <c r="B47" s="1521" t="s">
        <v>1815</v>
      </c>
      <c r="C47" s="1523"/>
      <c r="D47" s="1522"/>
      <c r="E47" s="1533"/>
      <c r="F47" s="1529" t="s">
        <v>53</v>
      </c>
      <c r="G47" s="1514">
        <v>12500</v>
      </c>
      <c r="H47" s="1532"/>
    </row>
    <row r="48" spans="1:16" ht="15.75">
      <c r="A48" s="1517"/>
      <c r="B48" s="1521" t="s">
        <v>1814</v>
      </c>
      <c r="C48" s="1523"/>
      <c r="D48" s="1522"/>
      <c r="E48" s="1533"/>
      <c r="F48" s="1529" t="s">
        <v>53</v>
      </c>
      <c r="G48" s="1514">
        <v>12500</v>
      </c>
      <c r="H48" s="1532"/>
    </row>
    <row r="49" spans="1:9" ht="15.75">
      <c r="A49" s="1517"/>
      <c r="B49" s="1521"/>
      <c r="C49" s="1523"/>
      <c r="D49" s="1522"/>
      <c r="E49" s="1533"/>
      <c r="F49" s="1529"/>
      <c r="G49" s="1514"/>
      <c r="H49" s="1532"/>
    </row>
    <row r="50" spans="1:9" ht="15.75">
      <c r="A50" s="1517"/>
      <c r="B50" s="1521" t="s">
        <v>1813</v>
      </c>
      <c r="C50" s="1523"/>
      <c r="D50" s="1522"/>
      <c r="E50" s="1533"/>
      <c r="F50" s="1529" t="s">
        <v>49</v>
      </c>
      <c r="G50" s="1514">
        <v>150000</v>
      </c>
      <c r="H50" s="1532"/>
    </row>
    <row r="51" spans="1:9" ht="15.75">
      <c r="A51" s="1517"/>
      <c r="B51" s="1521" t="s">
        <v>1812</v>
      </c>
      <c r="C51" s="1523"/>
      <c r="D51" s="1522"/>
      <c r="E51" s="1533"/>
      <c r="F51" s="1529" t="s">
        <v>49</v>
      </c>
      <c r="G51" s="1514">
        <v>40000</v>
      </c>
      <c r="H51" s="1532"/>
    </row>
    <row r="52" spans="1:9" ht="15.75">
      <c r="A52" s="1517">
        <f>+A39+1</f>
        <v>28</v>
      </c>
      <c r="B52" s="2173" t="s">
        <v>1811</v>
      </c>
      <c r="C52" s="2174"/>
      <c r="D52" s="2175"/>
      <c r="E52" s="1530" t="s">
        <v>1798</v>
      </c>
      <c r="F52" s="1529" t="s">
        <v>51</v>
      </c>
      <c r="G52" s="1836">
        <v>4200000</v>
      </c>
      <c r="H52" s="1513"/>
    </row>
    <row r="53" spans="1:9" ht="15.75">
      <c r="A53" s="1517">
        <f>+A52+1</f>
        <v>29</v>
      </c>
      <c r="B53" s="2173" t="s">
        <v>1810</v>
      </c>
      <c r="C53" s="2174"/>
      <c r="D53" s="2175"/>
      <c r="E53" s="1530"/>
      <c r="F53" s="1529" t="s">
        <v>330</v>
      </c>
      <c r="G53" s="1514">
        <f>50*70*4000/1000000000*G52</f>
        <v>58800</v>
      </c>
      <c r="H53" s="1513"/>
    </row>
    <row r="54" spans="1:9" ht="15.75">
      <c r="A54" s="1517"/>
      <c r="B54" s="2173" t="s">
        <v>1809</v>
      </c>
      <c r="C54" s="2174"/>
      <c r="D54" s="2175"/>
      <c r="E54" s="1530"/>
      <c r="F54" s="1529" t="s">
        <v>330</v>
      </c>
      <c r="G54" s="1514">
        <f>40*60*4000/1000000000*G52</f>
        <v>40320</v>
      </c>
      <c r="H54" s="1513"/>
    </row>
    <row r="55" spans="1:9" ht="15.75">
      <c r="A55" s="1517"/>
      <c r="B55" s="2173" t="s">
        <v>1808</v>
      </c>
      <c r="C55" s="2174"/>
      <c r="D55" s="2175"/>
      <c r="E55" s="1530"/>
      <c r="F55" s="1529" t="s">
        <v>1679</v>
      </c>
      <c r="G55" s="1514">
        <v>44800</v>
      </c>
      <c r="H55" s="1513"/>
    </row>
    <row r="56" spans="1:9" ht="15.75">
      <c r="A56" s="1517">
        <f>+A58+1</f>
        <v>1</v>
      </c>
      <c r="B56" s="2173" t="s">
        <v>1807</v>
      </c>
      <c r="C56" s="2174"/>
      <c r="D56" s="2175"/>
      <c r="E56" s="1530"/>
      <c r="F56" s="1529" t="s">
        <v>1679</v>
      </c>
      <c r="G56" s="1514">
        <v>115000</v>
      </c>
      <c r="H56" s="1513"/>
    </row>
    <row r="57" spans="1:9" ht="15.75">
      <c r="A57" s="1517"/>
      <c r="B57" s="1521"/>
      <c r="C57" s="1523"/>
      <c r="D57" s="1522"/>
      <c r="E57" s="1530"/>
      <c r="F57" s="1529"/>
      <c r="G57" s="1514"/>
      <c r="H57" s="1513"/>
    </row>
    <row r="58" spans="1:9" ht="15.75">
      <c r="A58" s="1517"/>
      <c r="B58" s="1521" t="s">
        <v>1805</v>
      </c>
      <c r="C58" s="1523"/>
      <c r="D58" s="1522"/>
      <c r="E58" s="1530" t="s">
        <v>1806</v>
      </c>
      <c r="F58" s="1529" t="s">
        <v>1679</v>
      </c>
      <c r="G58" s="1514">
        <v>175000</v>
      </c>
      <c r="H58" s="1513"/>
    </row>
    <row r="59" spans="1:9" ht="15.75">
      <c r="A59" s="1517"/>
      <c r="B59" s="1521" t="s">
        <v>1804</v>
      </c>
      <c r="C59" s="1523"/>
      <c r="D59" s="1522"/>
      <c r="E59" s="1530" t="s">
        <v>1806</v>
      </c>
      <c r="F59" s="1529" t="s">
        <v>1679</v>
      </c>
      <c r="G59" s="1514">
        <v>200000</v>
      </c>
      <c r="H59" s="1513"/>
    </row>
    <row r="60" spans="1:9" ht="15.75">
      <c r="A60" s="1517"/>
      <c r="B60" s="1521" t="s">
        <v>1803</v>
      </c>
      <c r="C60" s="1523"/>
      <c r="D60" s="1522"/>
      <c r="E60" s="1530" t="s">
        <v>1806</v>
      </c>
      <c r="F60" s="1529" t="s">
        <v>1679</v>
      </c>
      <c r="G60" s="1514">
        <v>285000</v>
      </c>
      <c r="H60" s="1513"/>
    </row>
    <row r="61" spans="1:9" ht="15.75">
      <c r="A61" s="1517"/>
      <c r="B61" s="1521" t="s">
        <v>1802</v>
      </c>
      <c r="C61" s="1523"/>
      <c r="D61" s="1522"/>
      <c r="E61" s="1530" t="s">
        <v>1806</v>
      </c>
      <c r="F61" s="1529" t="s">
        <v>1679</v>
      </c>
      <c r="G61" s="1514">
        <v>400000</v>
      </c>
      <c r="H61" s="1513"/>
    </row>
    <row r="62" spans="1:9" ht="15.75">
      <c r="A62" s="1517"/>
      <c r="B62" s="1521"/>
      <c r="C62" s="1523"/>
      <c r="D62" s="1522"/>
      <c r="E62" s="1530"/>
      <c r="F62" s="1529"/>
      <c r="G62" s="1514"/>
      <c r="H62" s="1513"/>
    </row>
    <row r="63" spans="1:9" ht="15.75">
      <c r="A63" s="1517"/>
      <c r="B63" s="1521" t="s">
        <v>1805</v>
      </c>
      <c r="C63" s="1523"/>
      <c r="D63" s="1522"/>
      <c r="E63" s="1530" t="s">
        <v>1798</v>
      </c>
      <c r="F63" s="1529" t="s">
        <v>1679</v>
      </c>
      <c r="G63" s="1514">
        <v>105000</v>
      </c>
      <c r="H63" s="1513"/>
    </row>
    <row r="64" spans="1:9" ht="15.75">
      <c r="A64" s="1517"/>
      <c r="B64" s="1521" t="s">
        <v>1804</v>
      </c>
      <c r="C64" s="1523"/>
      <c r="D64" s="1522"/>
      <c r="E64" s="1530" t="s">
        <v>1798</v>
      </c>
      <c r="F64" s="1529" t="s">
        <v>1679</v>
      </c>
      <c r="G64" s="1531">
        <v>170000</v>
      </c>
      <c r="H64" s="1513">
        <v>162500</v>
      </c>
      <c r="I64" s="1506" t="s">
        <v>2210</v>
      </c>
    </row>
    <row r="65" spans="1:14" ht="15.75">
      <c r="A65" s="1517"/>
      <c r="B65" s="1521" t="s">
        <v>1803</v>
      </c>
      <c r="C65" s="1523"/>
      <c r="D65" s="1522"/>
      <c r="E65" s="1530" t="s">
        <v>1798</v>
      </c>
      <c r="F65" s="1529" t="s">
        <v>1679</v>
      </c>
      <c r="G65" s="1531">
        <v>200000</v>
      </c>
      <c r="H65" s="1513">
        <v>197500</v>
      </c>
      <c r="I65" s="1506" t="s">
        <v>2210</v>
      </c>
    </row>
    <row r="66" spans="1:14" ht="15.75">
      <c r="A66" s="1517"/>
      <c r="B66" s="1521" t="s">
        <v>1802</v>
      </c>
      <c r="C66" s="1523"/>
      <c r="D66" s="1522"/>
      <c r="E66" s="1530" t="s">
        <v>1798</v>
      </c>
      <c r="F66" s="1529" t="s">
        <v>1679</v>
      </c>
      <c r="G66" s="1514">
        <v>232500</v>
      </c>
      <c r="H66" s="1513"/>
    </row>
    <row r="67" spans="1:14" ht="15.75">
      <c r="A67" s="1517"/>
      <c r="B67" s="1521"/>
      <c r="C67" s="1523"/>
      <c r="D67" s="1522"/>
      <c r="E67" s="1530"/>
      <c r="F67" s="1529"/>
      <c r="G67" s="1514"/>
      <c r="H67" s="1513"/>
    </row>
    <row r="68" spans="1:14" ht="15.75">
      <c r="A68" s="1517"/>
      <c r="B68" s="1521" t="s">
        <v>1801</v>
      </c>
      <c r="C68" s="1523"/>
      <c r="D68" s="1522"/>
      <c r="E68" s="1530" t="s">
        <v>1798</v>
      </c>
      <c r="F68" s="1529" t="s">
        <v>1679</v>
      </c>
      <c r="G68" s="1514">
        <v>215000</v>
      </c>
      <c r="H68" s="1513"/>
    </row>
    <row r="69" spans="1:14" ht="15.75">
      <c r="A69" s="1517"/>
      <c r="B69" s="1521" t="s">
        <v>1800</v>
      </c>
      <c r="C69" s="1523"/>
      <c r="D69" s="1522"/>
      <c r="E69" s="1530" t="s">
        <v>1798</v>
      </c>
      <c r="F69" s="1529" t="s">
        <v>1679</v>
      </c>
      <c r="G69" s="1531">
        <v>280000</v>
      </c>
      <c r="H69" s="1513">
        <v>275000</v>
      </c>
      <c r="I69" s="1506" t="s">
        <v>2211</v>
      </c>
    </row>
    <row r="70" spans="1:14" ht="15.75">
      <c r="A70" s="1517"/>
      <c r="B70" s="1521" t="s">
        <v>1799</v>
      </c>
      <c r="C70" s="1523"/>
      <c r="D70" s="1522"/>
      <c r="E70" s="1530" t="s">
        <v>1798</v>
      </c>
      <c r="F70" s="1529" t="s">
        <v>1679</v>
      </c>
      <c r="G70" s="1514">
        <v>280000</v>
      </c>
      <c r="H70" s="1513"/>
    </row>
    <row r="71" spans="1:14" ht="15.75">
      <c r="A71" s="1517"/>
      <c r="B71" s="1521"/>
      <c r="C71" s="1523"/>
      <c r="D71" s="1522"/>
      <c r="E71" s="1530"/>
      <c r="F71" s="1529"/>
      <c r="G71" s="1514"/>
      <c r="H71" s="1513"/>
    </row>
    <row r="72" spans="1:14" ht="15.75">
      <c r="A72" s="1517">
        <f>+A59+1</f>
        <v>1</v>
      </c>
      <c r="B72" s="2173" t="s">
        <v>1797</v>
      </c>
      <c r="C72" s="2174"/>
      <c r="D72" s="2175"/>
      <c r="E72" s="1530" t="s">
        <v>1795</v>
      </c>
      <c r="F72" s="1529" t="s">
        <v>1679</v>
      </c>
      <c r="G72" s="1514"/>
      <c r="H72" s="1513"/>
    </row>
    <row r="73" spans="1:14" ht="15.75">
      <c r="A73" s="1517">
        <f>+A72+1</f>
        <v>2</v>
      </c>
      <c r="B73" s="2173" t="s">
        <v>1796</v>
      </c>
      <c r="C73" s="2174"/>
      <c r="D73" s="2175"/>
      <c r="E73" s="1530" t="s">
        <v>1795</v>
      </c>
      <c r="F73" s="1529" t="s">
        <v>1679</v>
      </c>
      <c r="G73" s="1514"/>
      <c r="H73" s="1513"/>
    </row>
    <row r="74" spans="1:14" ht="15.75">
      <c r="A74" s="1517">
        <f>+A73+1</f>
        <v>3</v>
      </c>
      <c r="B74" s="2173" t="s">
        <v>1676</v>
      </c>
      <c r="C74" s="2174"/>
      <c r="D74" s="2175"/>
      <c r="E74" s="1530" t="s">
        <v>1794</v>
      </c>
      <c r="F74" s="1529" t="s">
        <v>53</v>
      </c>
      <c r="G74" s="1514">
        <v>13000</v>
      </c>
      <c r="H74" s="1513"/>
    </row>
    <row r="75" spans="1:14" ht="15.75">
      <c r="A75" s="1517">
        <f>+A74+1</f>
        <v>4</v>
      </c>
      <c r="B75" s="2173" t="s">
        <v>1556</v>
      </c>
      <c r="C75" s="2174"/>
      <c r="D75" s="2175"/>
      <c r="E75" s="1530" t="s">
        <v>1794</v>
      </c>
      <c r="F75" s="1529" t="s">
        <v>49</v>
      </c>
      <c r="G75" s="1514">
        <v>15000</v>
      </c>
      <c r="H75" s="1513"/>
    </row>
    <row r="76" spans="1:14" ht="15.75">
      <c r="A76" s="1517"/>
      <c r="B76" s="2173" t="s">
        <v>1792</v>
      </c>
      <c r="C76" s="2174"/>
      <c r="D76" s="2175"/>
      <c r="E76" s="1530" t="s">
        <v>1793</v>
      </c>
      <c r="F76" s="1529" t="s">
        <v>52</v>
      </c>
      <c r="G76" s="1836">
        <v>750</v>
      </c>
      <c r="H76" s="1513"/>
    </row>
    <row r="77" spans="1:14" ht="15.75">
      <c r="A77" s="1517">
        <f>+A75+1</f>
        <v>5</v>
      </c>
      <c r="B77" s="2173" t="s">
        <v>1792</v>
      </c>
      <c r="C77" s="2174"/>
      <c r="D77" s="2175"/>
      <c r="E77" s="1530" t="s">
        <v>1791</v>
      </c>
      <c r="F77" s="1529" t="s">
        <v>52</v>
      </c>
      <c r="G77" s="1836">
        <v>750</v>
      </c>
      <c r="H77" s="1513"/>
    </row>
    <row r="78" spans="1:14" ht="15.75">
      <c r="A78" s="1517"/>
      <c r="B78" s="2173" t="s">
        <v>1790</v>
      </c>
      <c r="C78" s="2174"/>
      <c r="D78" s="2175"/>
      <c r="E78" s="1530"/>
      <c r="F78" s="1529" t="s">
        <v>51</v>
      </c>
      <c r="G78" s="1514">
        <v>680000</v>
      </c>
      <c r="H78" s="1513"/>
    </row>
    <row r="79" spans="1:14" ht="15.75">
      <c r="A79" s="1517">
        <f>+A77+1</f>
        <v>6</v>
      </c>
      <c r="B79" s="2173" t="s">
        <v>1789</v>
      </c>
      <c r="C79" s="2174"/>
      <c r="D79" s="2175"/>
      <c r="E79" s="1530" t="s">
        <v>1788</v>
      </c>
      <c r="F79" s="1529" t="s">
        <v>53</v>
      </c>
      <c r="G79" s="1514">
        <v>1400</v>
      </c>
      <c r="H79" s="1513"/>
    </row>
    <row r="80" spans="1:14" ht="15.75">
      <c r="A80" s="1517">
        <f>+A79+1</f>
        <v>7</v>
      </c>
      <c r="B80" s="2173" t="s">
        <v>1787</v>
      </c>
      <c r="C80" s="2174"/>
      <c r="D80" s="2175"/>
      <c r="E80" s="1530" t="s">
        <v>1786</v>
      </c>
      <c r="F80" s="1529" t="s">
        <v>53</v>
      </c>
      <c r="G80" s="1514">
        <v>800</v>
      </c>
      <c r="H80" s="1513"/>
      <c r="I80" s="1528" t="s">
        <v>1785</v>
      </c>
      <c r="J80" s="1527">
        <v>0.15</v>
      </c>
      <c r="K80" s="1527">
        <v>0.03</v>
      </c>
      <c r="L80" s="1527">
        <v>2.5000000000000001E-2</v>
      </c>
      <c r="M80" s="1526" t="s">
        <v>176</v>
      </c>
      <c r="N80" s="1526">
        <f>(1-J80)*(1-K80)*(1-L80)</f>
        <v>0.80388749999999998</v>
      </c>
    </row>
    <row r="81" spans="1:14" ht="15.75">
      <c r="A81" s="1517">
        <f>+A80+1</f>
        <v>8</v>
      </c>
      <c r="B81" s="2173" t="s">
        <v>1784</v>
      </c>
      <c r="C81" s="2174"/>
      <c r="D81" s="2175"/>
      <c r="E81" s="1530" t="s">
        <v>1783</v>
      </c>
      <c r="F81" s="1529" t="s">
        <v>53</v>
      </c>
      <c r="G81" s="1514">
        <v>1600</v>
      </c>
      <c r="H81" s="1513"/>
      <c r="I81" s="1528" t="s">
        <v>1782</v>
      </c>
      <c r="J81" s="1527">
        <v>0.15</v>
      </c>
      <c r="K81" s="1527"/>
      <c r="L81" s="1527"/>
      <c r="M81" s="1526" t="s">
        <v>176</v>
      </c>
      <c r="N81" s="1526">
        <f>(1-J81)*(1-K81)*(1-L81)</f>
        <v>0.85</v>
      </c>
    </row>
    <row r="82" spans="1:14" ht="15.75">
      <c r="A82" s="1517"/>
      <c r="B82" s="1521"/>
      <c r="C82" s="1523"/>
      <c r="D82" s="1522"/>
      <c r="E82" s="1521"/>
      <c r="F82" s="1515"/>
      <c r="G82" s="1514"/>
      <c r="H82" s="1520"/>
      <c r="J82" s="1525" t="s">
        <v>1781</v>
      </c>
    </row>
    <row r="83" spans="1:14" ht="15.75">
      <c r="A83" s="1517"/>
      <c r="B83" s="1521" t="s">
        <v>1780</v>
      </c>
      <c r="C83" s="1523"/>
      <c r="D83" s="1522"/>
      <c r="E83" s="1521" t="s">
        <v>1772</v>
      </c>
      <c r="F83" s="1515" t="s">
        <v>1558</v>
      </c>
      <c r="G83" s="1514">
        <f t="shared" ref="G83:G90" si="2">J83*$N$81</f>
        <v>1883515</v>
      </c>
      <c r="H83" s="1520" t="s">
        <v>1771</v>
      </c>
      <c r="I83" s="1519"/>
      <c r="J83" s="1518">
        <v>2215900</v>
      </c>
    </row>
    <row r="84" spans="1:14" ht="15.75">
      <c r="A84" s="1517"/>
      <c r="B84" s="1521" t="s">
        <v>1779</v>
      </c>
      <c r="C84" s="1523"/>
      <c r="D84" s="1522"/>
      <c r="E84" s="1521" t="s">
        <v>1772</v>
      </c>
      <c r="F84" s="1515" t="s">
        <v>1558</v>
      </c>
      <c r="G84" s="1514">
        <f t="shared" si="2"/>
        <v>1245335</v>
      </c>
      <c r="H84" s="1520" t="s">
        <v>1771</v>
      </c>
      <c r="I84" s="1519"/>
      <c r="J84" s="1518">
        <v>1465100</v>
      </c>
    </row>
    <row r="85" spans="1:14" ht="15.75">
      <c r="A85" s="1517"/>
      <c r="B85" s="1521" t="s">
        <v>1778</v>
      </c>
      <c r="C85" s="1523"/>
      <c r="D85" s="1522"/>
      <c r="E85" s="1521" t="s">
        <v>1772</v>
      </c>
      <c r="F85" s="1515" t="s">
        <v>1558</v>
      </c>
      <c r="G85" s="1514">
        <f t="shared" si="2"/>
        <v>829600</v>
      </c>
      <c r="H85" s="1520" t="s">
        <v>1771</v>
      </c>
      <c r="I85" s="1519"/>
      <c r="J85" s="1524">
        <v>976000</v>
      </c>
    </row>
    <row r="86" spans="1:14" ht="15.75">
      <c r="A86" s="1517"/>
      <c r="B86" s="1521" t="s">
        <v>1777</v>
      </c>
      <c r="C86" s="1523"/>
      <c r="D86" s="1522"/>
      <c r="E86" s="1521" t="s">
        <v>1772</v>
      </c>
      <c r="F86" s="1515" t="s">
        <v>1558</v>
      </c>
      <c r="G86" s="1514">
        <f t="shared" si="2"/>
        <v>662745</v>
      </c>
      <c r="H86" s="1520" t="s">
        <v>1771</v>
      </c>
      <c r="I86" s="1519"/>
      <c r="J86" s="1518">
        <v>779700</v>
      </c>
    </row>
    <row r="87" spans="1:14" ht="15.75">
      <c r="A87" s="1517"/>
      <c r="B87" s="1521" t="s">
        <v>1776</v>
      </c>
      <c r="C87" s="1523"/>
      <c r="D87" s="1522"/>
      <c r="E87" s="1521" t="s">
        <v>1772</v>
      </c>
      <c r="F87" s="1515" t="s">
        <v>1558</v>
      </c>
      <c r="G87" s="1514">
        <f t="shared" si="2"/>
        <v>428910</v>
      </c>
      <c r="H87" s="1520" t="s">
        <v>1771</v>
      </c>
      <c r="I87" s="1519"/>
      <c r="J87" s="1518">
        <v>504600</v>
      </c>
    </row>
    <row r="88" spans="1:14" ht="15.75">
      <c r="A88" s="1517"/>
      <c r="B88" s="1521" t="s">
        <v>1775</v>
      </c>
      <c r="C88" s="1523"/>
      <c r="D88" s="1522"/>
      <c r="E88" s="1521" t="s">
        <v>1772</v>
      </c>
      <c r="F88" s="1515" t="s">
        <v>1558</v>
      </c>
      <c r="G88" s="1514">
        <f t="shared" si="2"/>
        <v>269280</v>
      </c>
      <c r="H88" s="1520" t="s">
        <v>1771</v>
      </c>
      <c r="I88" s="1519"/>
      <c r="J88" s="1518">
        <v>316800</v>
      </c>
    </row>
    <row r="89" spans="1:14" ht="15.75">
      <c r="A89" s="1517"/>
      <c r="B89" s="1521" t="s">
        <v>1774</v>
      </c>
      <c r="C89" s="1523"/>
      <c r="D89" s="1522"/>
      <c r="E89" s="1521" t="s">
        <v>1772</v>
      </c>
      <c r="F89" s="1515" t="s">
        <v>1558</v>
      </c>
      <c r="G89" s="1514">
        <f t="shared" si="2"/>
        <v>209355</v>
      </c>
      <c r="H89" s="1520" t="s">
        <v>1771</v>
      </c>
      <c r="I89" s="1519"/>
      <c r="J89" s="1518">
        <v>246300</v>
      </c>
    </row>
    <row r="90" spans="1:14" ht="15.75">
      <c r="A90" s="1517"/>
      <c r="B90" s="1521" t="s">
        <v>1773</v>
      </c>
      <c r="C90" s="1523"/>
      <c r="D90" s="1522"/>
      <c r="E90" s="1521" t="s">
        <v>1772</v>
      </c>
      <c r="F90" s="1515" t="s">
        <v>1558</v>
      </c>
      <c r="G90" s="1514">
        <f t="shared" si="2"/>
        <v>147475</v>
      </c>
      <c r="H90" s="1520" t="s">
        <v>1771</v>
      </c>
      <c r="I90" s="1519"/>
      <c r="J90" s="1518">
        <v>173500</v>
      </c>
    </row>
    <row r="91" spans="1:14" ht="15.75">
      <c r="A91" s="1517"/>
      <c r="B91" s="1521"/>
      <c r="C91" s="1523"/>
      <c r="D91" s="1522"/>
      <c r="E91" s="1521"/>
      <c r="F91" s="1515"/>
      <c r="G91" s="1514"/>
      <c r="H91" s="1520"/>
      <c r="I91" s="1519"/>
      <c r="J91" s="1518"/>
    </row>
    <row r="92" spans="1:14" ht="15.75">
      <c r="A92" s="1517"/>
      <c r="B92" s="1521" t="s">
        <v>1538</v>
      </c>
      <c r="C92" s="1523"/>
      <c r="D92" s="1522"/>
      <c r="E92" s="1521" t="s">
        <v>1769</v>
      </c>
      <c r="F92" s="1515" t="s">
        <v>330</v>
      </c>
      <c r="G92" s="1514">
        <v>250000</v>
      </c>
      <c r="H92" s="1520"/>
      <c r="I92" s="1519"/>
      <c r="J92" s="1518">
        <v>221250</v>
      </c>
    </row>
    <row r="93" spans="1:14" ht="15.75">
      <c r="A93" s="1517"/>
      <c r="B93" s="1521" t="s">
        <v>1539</v>
      </c>
      <c r="C93" s="1523"/>
      <c r="D93" s="1522"/>
      <c r="E93" s="1521" t="s">
        <v>1769</v>
      </c>
      <c r="F93" s="1515" t="s">
        <v>330</v>
      </c>
      <c r="G93" s="1514">
        <v>225000</v>
      </c>
      <c r="H93" s="1520"/>
      <c r="I93" s="1519"/>
      <c r="J93" s="1518">
        <v>206250</v>
      </c>
    </row>
    <row r="94" spans="1:14" ht="15.75">
      <c r="A94" s="1517"/>
      <c r="B94" s="1521" t="s">
        <v>1770</v>
      </c>
      <c r="C94" s="1523"/>
      <c r="D94" s="1522"/>
      <c r="E94" s="1521" t="s">
        <v>1769</v>
      </c>
      <c r="F94" s="1515" t="s">
        <v>330</v>
      </c>
      <c r="G94" s="1514">
        <v>200000</v>
      </c>
      <c r="H94" s="1520"/>
      <c r="I94" s="1519"/>
      <c r="J94" s="1518">
        <v>191250</v>
      </c>
    </row>
    <row r="95" spans="1:14" ht="15.75">
      <c r="A95" s="1517"/>
      <c r="B95" s="1521"/>
      <c r="C95" s="1523"/>
      <c r="D95" s="1522"/>
      <c r="E95" s="1521"/>
      <c r="F95" s="1515"/>
      <c r="G95" s="1514"/>
      <c r="H95" s="1520"/>
      <c r="I95" s="1519"/>
      <c r="J95" s="1518"/>
    </row>
    <row r="96" spans="1:14" ht="15.75">
      <c r="A96" s="1517"/>
      <c r="B96" s="1521" t="s">
        <v>1768</v>
      </c>
      <c r="C96" s="1523"/>
      <c r="D96" s="1522"/>
      <c r="E96" s="1521" t="s">
        <v>1764</v>
      </c>
      <c r="F96" s="1515" t="s">
        <v>1426</v>
      </c>
      <c r="G96" s="1514">
        <f>1925000*1.11</f>
        <v>2136750</v>
      </c>
      <c r="H96" s="1520"/>
      <c r="I96" s="1519"/>
      <c r="J96" s="1518"/>
    </row>
    <row r="97" spans="1:10" ht="15.75">
      <c r="A97" s="1517"/>
      <c r="B97" s="1521" t="s">
        <v>1767</v>
      </c>
      <c r="C97" s="1523"/>
      <c r="D97" s="1522"/>
      <c r="E97" s="1521" t="s">
        <v>1764</v>
      </c>
      <c r="F97" s="1515" t="s">
        <v>1426</v>
      </c>
      <c r="G97" s="1514">
        <f>2805000*1.11</f>
        <v>3113550.0000000005</v>
      </c>
      <c r="H97" s="1520"/>
      <c r="I97" s="1519"/>
      <c r="J97" s="1518"/>
    </row>
    <row r="98" spans="1:10" ht="15.75">
      <c r="A98" s="1517"/>
      <c r="B98" s="1521" t="s">
        <v>1766</v>
      </c>
      <c r="C98" s="1523"/>
      <c r="D98" s="1522"/>
      <c r="E98" s="1521" t="s">
        <v>1764</v>
      </c>
      <c r="F98" s="1515" t="s">
        <v>1426</v>
      </c>
      <c r="G98" s="1514">
        <f>4510000*1.11</f>
        <v>5006100</v>
      </c>
      <c r="H98" s="1520"/>
      <c r="I98" s="1519"/>
      <c r="J98" s="1518"/>
    </row>
    <row r="99" spans="1:10" ht="15.75">
      <c r="A99" s="1517"/>
      <c r="B99" s="1521" t="s">
        <v>1765</v>
      </c>
      <c r="C99" s="1523"/>
      <c r="D99" s="1522"/>
      <c r="E99" s="1521" t="s">
        <v>1764</v>
      </c>
      <c r="F99" s="1515" t="s">
        <v>1426</v>
      </c>
      <c r="G99" s="1514">
        <f>6270000*1.11</f>
        <v>6959700.0000000009</v>
      </c>
      <c r="H99" s="1520"/>
      <c r="I99" s="1519"/>
      <c r="J99" s="1518"/>
    </row>
    <row r="100" spans="1:10" ht="15.75">
      <c r="A100" s="1517"/>
      <c r="B100" s="1521"/>
      <c r="C100" s="1523"/>
      <c r="D100" s="1522"/>
      <c r="E100" s="1521"/>
      <c r="F100" s="1515"/>
      <c r="G100" s="1514"/>
      <c r="H100" s="1520"/>
      <c r="I100" s="1519"/>
      <c r="J100" s="1518"/>
    </row>
    <row r="101" spans="1:10" ht="15.75">
      <c r="A101" s="1517"/>
      <c r="B101" s="1521"/>
      <c r="C101" s="1523"/>
      <c r="D101" s="1522"/>
      <c r="E101" s="1521"/>
      <c r="F101" s="1515"/>
      <c r="G101" s="1514"/>
      <c r="H101" s="1520"/>
      <c r="I101" s="1519"/>
      <c r="J101" s="1518"/>
    </row>
    <row r="102" spans="1:10" ht="15.75">
      <c r="A102" s="1517"/>
      <c r="B102" s="1521"/>
      <c r="C102" s="1523"/>
      <c r="D102" s="1522"/>
      <c r="E102" s="1521"/>
      <c r="F102" s="1515"/>
      <c r="G102" s="1514"/>
      <c r="H102" s="1520"/>
      <c r="I102" s="1519"/>
      <c r="J102" s="1518"/>
    </row>
    <row r="103" spans="1:10" ht="15.75">
      <c r="A103" s="1517"/>
      <c r="B103" s="2182"/>
      <c r="C103" s="2183"/>
      <c r="D103" s="2184"/>
      <c r="E103" s="1516"/>
      <c r="F103" s="1515"/>
      <c r="G103" s="1514"/>
      <c r="H103" s="1513"/>
    </row>
    <row r="104" spans="1:10" ht="16.5" thickBot="1">
      <c r="A104" s="1512"/>
      <c r="B104" s="2176"/>
      <c r="C104" s="2177"/>
      <c r="D104" s="2178"/>
      <c r="E104" s="1511"/>
      <c r="F104" s="1510"/>
      <c r="G104" s="1509"/>
      <c r="H104" s="1508"/>
    </row>
  </sheetData>
  <mergeCells count="50">
    <mergeCell ref="F5:F6"/>
    <mergeCell ref="B8:D8"/>
    <mergeCell ref="B10:D10"/>
    <mergeCell ref="B22:D22"/>
    <mergeCell ref="B23:D23"/>
    <mergeCell ref="B24:D24"/>
    <mergeCell ref="B25:D25"/>
    <mergeCell ref="A5:A6"/>
    <mergeCell ref="B5:D6"/>
    <mergeCell ref="B17:D17"/>
    <mergeCell ref="B13:D13"/>
    <mergeCell ref="B36:D36"/>
    <mergeCell ref="B37:D37"/>
    <mergeCell ref="B38:D38"/>
    <mergeCell ref="B39:D39"/>
    <mergeCell ref="E5:E6"/>
    <mergeCell ref="B18:D18"/>
    <mergeCell ref="B19:D19"/>
    <mergeCell ref="B35:D35"/>
    <mergeCell ref="B26:D26"/>
    <mergeCell ref="B27:D27"/>
    <mergeCell ref="B11:D11"/>
    <mergeCell ref="B28:D28"/>
    <mergeCell ref="B29:D29"/>
    <mergeCell ref="B12:D12"/>
    <mergeCell ref="B20:D20"/>
    <mergeCell ref="B14:D14"/>
    <mergeCell ref="B52:D52"/>
    <mergeCell ref="B104:D104"/>
    <mergeCell ref="B76:D76"/>
    <mergeCell ref="B9:D9"/>
    <mergeCell ref="B103:D103"/>
    <mergeCell ref="B72:D72"/>
    <mergeCell ref="B73:D73"/>
    <mergeCell ref="B74:D74"/>
    <mergeCell ref="B75:D75"/>
    <mergeCell ref="B77:D77"/>
    <mergeCell ref="B30:D30"/>
    <mergeCell ref="B31:D31"/>
    <mergeCell ref="B32:D32"/>
    <mergeCell ref="B33:D33"/>
    <mergeCell ref="B34:D34"/>
    <mergeCell ref="B55:D55"/>
    <mergeCell ref="B79:D79"/>
    <mergeCell ref="B80:D80"/>
    <mergeCell ref="B78:D78"/>
    <mergeCell ref="B53:D53"/>
    <mergeCell ref="B81:D81"/>
    <mergeCell ref="B56:D56"/>
    <mergeCell ref="B54:D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97"/>
  <sheetViews>
    <sheetView zoomScale="55" zoomScaleNormal="55" workbookViewId="0">
      <selection activeCell="P67" sqref="P67"/>
    </sheetView>
  </sheetViews>
  <sheetFormatPr defaultColWidth="8.85546875" defaultRowHeight="15.75"/>
  <cols>
    <col min="1" max="1" width="16.42578125" style="1702" bestFit="1" customWidth="1"/>
    <col min="2" max="3" width="12" style="1702" bestFit="1" customWidth="1"/>
    <col min="4" max="4" width="26.7109375" style="1702" bestFit="1" customWidth="1"/>
    <col min="5" max="5" width="18.7109375" style="1702" bestFit="1" customWidth="1"/>
    <col min="6" max="6" width="18.7109375" style="1702" customWidth="1"/>
    <col min="7" max="7" width="14.7109375" style="1702" bestFit="1" customWidth="1"/>
    <col min="8" max="8" width="18.42578125" style="1702" bestFit="1" customWidth="1"/>
    <col min="9" max="9" width="9.5703125" style="1702" bestFit="1" customWidth="1"/>
    <col min="10" max="10" width="12.85546875" style="1702" bestFit="1" customWidth="1"/>
    <col min="11" max="11" width="15.7109375" style="1702" bestFit="1" customWidth="1"/>
    <col min="12" max="12" width="13.42578125" style="1702" bestFit="1" customWidth="1"/>
    <col min="13" max="13" width="18.42578125" style="1702" bestFit="1" customWidth="1"/>
    <col min="14" max="14" width="8.28515625" style="1702" bestFit="1" customWidth="1"/>
    <col min="15" max="15" width="12.85546875" style="1702" bestFit="1" customWidth="1"/>
    <col min="16" max="16" width="9.5703125" style="1702" bestFit="1" customWidth="1"/>
    <col min="17" max="17" width="12.85546875" style="1702" bestFit="1" customWidth="1"/>
    <col min="18" max="18" width="15.7109375" style="1702" bestFit="1" customWidth="1"/>
    <col min="19" max="16384" width="8.85546875" style="1702"/>
  </cols>
  <sheetData>
    <row r="1" spans="1:18" ht="16.5" thickBot="1">
      <c r="D1" s="1717" t="s">
        <v>2025</v>
      </c>
      <c r="E1" s="1716" t="s">
        <v>176</v>
      </c>
      <c r="F1" s="1716">
        <v>12</v>
      </c>
      <c r="G1" s="1716" t="s">
        <v>16</v>
      </c>
      <c r="H1" s="1716"/>
      <c r="I1" s="1716"/>
      <c r="J1" s="1716"/>
      <c r="K1" s="1715"/>
    </row>
    <row r="2" spans="1:18" ht="16.5" thickBot="1">
      <c r="D2" s="1748" t="s">
        <v>2043</v>
      </c>
      <c r="E2" s="1711" t="s">
        <v>2024</v>
      </c>
      <c r="F2" s="1744" t="s">
        <v>2044</v>
      </c>
      <c r="G2" s="1711" t="s">
        <v>2014</v>
      </c>
      <c r="H2" s="1711" t="s">
        <v>138</v>
      </c>
      <c r="I2" s="1711" t="s">
        <v>1395</v>
      </c>
      <c r="J2" s="1711" t="s">
        <v>2012</v>
      </c>
      <c r="K2" s="1740" t="s">
        <v>1395</v>
      </c>
    </row>
    <row r="3" spans="1:18">
      <c r="D3" s="1713" t="s">
        <v>2023</v>
      </c>
      <c r="E3" s="1702">
        <v>13</v>
      </c>
      <c r="F3" s="1743">
        <f>7540/2/1000</f>
        <v>3.77</v>
      </c>
      <c r="G3" s="1702">
        <f>2*$F$1*E3/1000</f>
        <v>0.312</v>
      </c>
      <c r="H3" s="1702">
        <f>F3+G3</f>
        <v>4.0819999999999999</v>
      </c>
      <c r="I3" s="1702">
        <f>0.006165*E3^2*F3</f>
        <v>3.92790645</v>
      </c>
      <c r="J3" s="1702">
        <v>3</v>
      </c>
      <c r="K3" s="1712">
        <f>J3*I3*G3</f>
        <v>3.6765204372000002</v>
      </c>
    </row>
    <row r="4" spans="1:18">
      <c r="D4" s="1713" t="s">
        <v>2022</v>
      </c>
      <c r="E4" s="1702">
        <v>0</v>
      </c>
      <c r="F4" s="1743">
        <v>0</v>
      </c>
      <c r="G4" s="1702">
        <f>2*$F$1*E4/1000</f>
        <v>0</v>
      </c>
      <c r="H4" s="1702">
        <f>F4+G4</f>
        <v>0</v>
      </c>
      <c r="I4" s="1702">
        <f>0.006165*E4^2</f>
        <v>0</v>
      </c>
      <c r="J4" s="1702">
        <v>0</v>
      </c>
      <c r="K4" s="1712">
        <f>J4*I4*G4</f>
        <v>0</v>
      </c>
    </row>
    <row r="5" spans="1:18">
      <c r="D5" s="1713" t="s">
        <v>2021</v>
      </c>
      <c r="E5" s="1702">
        <v>13</v>
      </c>
      <c r="F5" s="1743">
        <f t="shared" ref="F5" si="0">7540/2/1000</f>
        <v>3.77</v>
      </c>
      <c r="G5" s="1702">
        <f>2*$F$1*E5/1000</f>
        <v>0.312</v>
      </c>
      <c r="H5" s="1702">
        <f>F5+G5</f>
        <v>4.0819999999999999</v>
      </c>
      <c r="I5" s="1702">
        <f>0.006165*E5^2*F5</f>
        <v>3.92790645</v>
      </c>
      <c r="J5" s="1702">
        <v>3</v>
      </c>
      <c r="K5" s="1712">
        <f>J5*I5*G5</f>
        <v>3.6765204372000002</v>
      </c>
    </row>
    <row r="6" spans="1:18" ht="16.5" thickBot="1">
      <c r="D6" s="1713" t="s">
        <v>149</v>
      </c>
      <c r="E6" s="1702">
        <v>10</v>
      </c>
      <c r="F6" s="1702">
        <f>(2*(400+200)-40*4)/1000</f>
        <v>1.04</v>
      </c>
      <c r="G6" s="1702">
        <f>MAX(6*E6,75)/1000</f>
        <v>7.4999999999999997E-2</v>
      </c>
      <c r="H6" s="1702">
        <f>F6+G6</f>
        <v>1.115</v>
      </c>
      <c r="I6" s="1702">
        <f>0.006165*E6^2</f>
        <v>0.61650000000000005</v>
      </c>
      <c r="J6" s="1702">
        <f>ROUNDUP(2100/150,0)</f>
        <v>14</v>
      </c>
      <c r="K6" s="1712">
        <f>J6*I6*G6</f>
        <v>0.64732500000000004</v>
      </c>
    </row>
    <row r="7" spans="1:18" ht="16.5" thickBot="1">
      <c r="D7" s="1705"/>
      <c r="E7" s="1711"/>
      <c r="F7" s="1711"/>
      <c r="G7" s="1711"/>
      <c r="H7" s="1711"/>
      <c r="I7" s="1711"/>
      <c r="J7" s="1741" t="s">
        <v>2039</v>
      </c>
      <c r="K7" s="1710">
        <f>SUM(K3:K6)</f>
        <v>8.0003658743999999</v>
      </c>
    </row>
    <row r="9" spans="1:18" ht="16.5" thickBot="1"/>
    <row r="10" spans="1:18">
      <c r="A10" s="1739" t="s">
        <v>2009</v>
      </c>
      <c r="B10" s="2207" t="s">
        <v>2036</v>
      </c>
      <c r="C10" s="2209" t="s">
        <v>2037</v>
      </c>
      <c r="D10" s="2207" t="s">
        <v>2038</v>
      </c>
      <c r="E10" s="2203" t="s">
        <v>2018</v>
      </c>
      <c r="F10" s="2205" t="s">
        <v>2066</v>
      </c>
      <c r="G10" s="2196" t="s">
        <v>2017</v>
      </c>
      <c r="H10" s="2197"/>
      <c r="I10" s="2197"/>
      <c r="J10" s="2197"/>
      <c r="K10" s="2200"/>
      <c r="L10" s="2199" t="s">
        <v>2016</v>
      </c>
      <c r="M10" s="2197"/>
      <c r="N10" s="2197"/>
      <c r="O10" s="2197"/>
      <c r="P10" s="2197"/>
      <c r="Q10" s="2197"/>
      <c r="R10" s="2200"/>
    </row>
    <row r="11" spans="1:18">
      <c r="A11" s="1708"/>
      <c r="B11" s="2208"/>
      <c r="C11" s="2210"/>
      <c r="D11" s="2208"/>
      <c r="E11" s="2210"/>
      <c r="F11" s="2206"/>
      <c r="G11" s="1718" t="s">
        <v>2015</v>
      </c>
      <c r="H11" s="1749" t="s">
        <v>2013</v>
      </c>
      <c r="I11" s="1749" t="s">
        <v>2012</v>
      </c>
      <c r="J11" s="1755" t="s">
        <v>2042</v>
      </c>
      <c r="K11" s="1756" t="s">
        <v>2039</v>
      </c>
      <c r="L11" s="1760" t="s">
        <v>2015</v>
      </c>
      <c r="M11" s="1749" t="s">
        <v>2014</v>
      </c>
      <c r="N11" s="1749" t="s">
        <v>138</v>
      </c>
      <c r="O11" s="1749" t="s">
        <v>2013</v>
      </c>
      <c r="P11" s="1749" t="s">
        <v>2012</v>
      </c>
      <c r="Q11" s="1755" t="s">
        <v>2042</v>
      </c>
      <c r="R11" s="1756" t="s">
        <v>2039</v>
      </c>
    </row>
    <row r="12" spans="1:18">
      <c r="A12" s="1742" t="s">
        <v>2041</v>
      </c>
      <c r="B12" s="1773">
        <f>41.2407688232/5^2</f>
        <v>1.6496307529280001</v>
      </c>
      <c r="C12" s="1757">
        <v>2.1</v>
      </c>
      <c r="D12" s="1760">
        <f>B12*C12</f>
        <v>3.4642245811488004</v>
      </c>
      <c r="E12" s="1757">
        <f>(SUM(K12:K13)+SUM(R12:R13))</f>
        <v>323.84167955999999</v>
      </c>
      <c r="F12" s="1770">
        <f>P13*(145+350)/5/1000*C12+2*B12+38.043/5*C12</f>
        <v>23.435321505856002</v>
      </c>
      <c r="G12" s="1718">
        <f>(6.669+52.895+45.379+15.36)/5</f>
        <v>24.060600000000001</v>
      </c>
      <c r="H12" s="1749">
        <v>10</v>
      </c>
      <c r="I12" s="1749">
        <f>ROUNDUP(2100/150,0)</f>
        <v>14</v>
      </c>
      <c r="J12" s="1749">
        <f>0.006165*H12^2</f>
        <v>0.61650000000000005</v>
      </c>
      <c r="K12" s="1757">
        <f>J12*I12*G12</f>
        <v>207.66703860000001</v>
      </c>
      <c r="L12" s="1760">
        <f>(2100-2*40)/1000/5</f>
        <v>0.40400000000000003</v>
      </c>
      <c r="M12" s="1749">
        <f>2*$F$1*O12/1000</f>
        <v>0.24</v>
      </c>
      <c r="N12" s="1749">
        <f t="shared" ref="N12:N13" si="1">L12+M12</f>
        <v>0.64400000000000002</v>
      </c>
      <c r="O12" s="1749">
        <v>10</v>
      </c>
      <c r="P12" s="1749">
        <v>100</v>
      </c>
      <c r="Q12" s="1749">
        <f t="shared" ref="Q12:Q13" si="2">0.006165*O12^2</f>
        <v>0.61650000000000005</v>
      </c>
      <c r="R12" s="1757">
        <f>N12*Q12*P12</f>
        <v>39.702600000000004</v>
      </c>
    </row>
    <row r="13" spans="1:18">
      <c r="A13" s="1708"/>
      <c r="B13" s="1773"/>
      <c r="C13" s="1757"/>
      <c r="D13" s="1760"/>
      <c r="E13" s="1757"/>
      <c r="F13" s="1770"/>
      <c r="G13" s="1718">
        <f>4.134*P13/5</f>
        <v>16.536000000000001</v>
      </c>
      <c r="H13" s="1749">
        <v>8</v>
      </c>
      <c r="I13" s="1749">
        <f>ROUNDUP(2100/200,0)</f>
        <v>11</v>
      </c>
      <c r="J13" s="1749">
        <f>0.006165*H13^2</f>
        <v>0.39456000000000002</v>
      </c>
      <c r="K13" s="1757">
        <f t="shared" ref="K13" si="3">J13*I13*G13</f>
        <v>71.768885760000003</v>
      </c>
      <c r="L13" s="1760">
        <f>(2100-2*40)/1000/5</f>
        <v>0.40400000000000003</v>
      </c>
      <c r="M13" s="1749">
        <f>2*$F$1*O13/1000</f>
        <v>0.192</v>
      </c>
      <c r="N13" s="1749">
        <f t="shared" si="1"/>
        <v>0.59600000000000009</v>
      </c>
      <c r="O13" s="1749">
        <v>8</v>
      </c>
      <c r="P13" s="1749">
        <v>20</v>
      </c>
      <c r="Q13" s="1749">
        <f t="shared" si="2"/>
        <v>0.39456000000000002</v>
      </c>
      <c r="R13" s="1757">
        <f t="shared" ref="R13" si="4">N13*Q13*P13</f>
        <v>4.7031552000000012</v>
      </c>
    </row>
    <row r="14" spans="1:18" ht="16.5" thickBot="1">
      <c r="A14" s="1742" t="s">
        <v>2040</v>
      </c>
      <c r="B14" s="1773">
        <f>30.386567/2^2</f>
        <v>7.5966417499999999</v>
      </c>
      <c r="C14" s="1757">
        <v>0.15</v>
      </c>
      <c r="D14" s="1760">
        <f>B14*C14</f>
        <v>1.1394962625</v>
      </c>
      <c r="E14" s="1757">
        <f>(SUM(K14:K14)+SUM(R14:R14))</f>
        <v>41.576760000000007</v>
      </c>
      <c r="F14" s="1771">
        <f>6.909*C14+B14</f>
        <v>8.6329917500000004</v>
      </c>
      <c r="G14" s="1766">
        <f>(2.4*3/4)/2</f>
        <v>0.89999999999999991</v>
      </c>
      <c r="H14" s="1762">
        <v>10</v>
      </c>
      <c r="I14" s="1762">
        <f>ROUNDUP(2400/150,0)</f>
        <v>16</v>
      </c>
      <c r="J14" s="1762">
        <f>0.006165*H14^2</f>
        <v>0.61650000000000005</v>
      </c>
      <c r="K14" s="1763">
        <f>J14*I14*G14</f>
        <v>8.8775999999999993</v>
      </c>
      <c r="L14" s="1761">
        <f>(4.8*3/4)/2</f>
        <v>1.7999999999999998</v>
      </c>
      <c r="M14" s="1762">
        <f>2*$F$1*O14/1000</f>
        <v>0.24</v>
      </c>
      <c r="N14" s="1762">
        <f>L14+M14</f>
        <v>2.04</v>
      </c>
      <c r="O14" s="1762">
        <v>10</v>
      </c>
      <c r="P14" s="1762">
        <v>26</v>
      </c>
      <c r="Q14" s="1762">
        <f t="shared" ref="Q14" si="5">0.006165*O14^2</f>
        <v>0.61650000000000005</v>
      </c>
      <c r="R14" s="1763">
        <f>N14*Q14*P14</f>
        <v>32.699160000000006</v>
      </c>
    </row>
    <row r="15" spans="1:18" ht="15.6" customHeight="1">
      <c r="A15" s="1752" t="s">
        <v>2043</v>
      </c>
      <c r="B15" s="1774">
        <f>400*200/1000000</f>
        <v>0.08</v>
      </c>
      <c r="C15" s="1775">
        <f>7540/2/1000</f>
        <v>3.77</v>
      </c>
      <c r="D15" s="1745">
        <f>B15*C15</f>
        <v>0.30160000000000003</v>
      </c>
      <c r="E15" s="1745">
        <f>K7</f>
        <v>8.0003658743999999</v>
      </c>
      <c r="F15" s="1709">
        <f>0.4*0.2*2+(0.4+0.2)*7.537+0.25*6.909</f>
        <v>6.4094500000000005</v>
      </c>
    </row>
    <row r="16" spans="1:18" ht="16.5" thickBot="1">
      <c r="A16" s="1753"/>
      <c r="B16" s="1705"/>
      <c r="C16" s="1714"/>
      <c r="D16" s="1711"/>
      <c r="E16" s="1711"/>
      <c r="F16" s="1703"/>
    </row>
    <row r="17" spans="1:18">
      <c r="C17" s="1713" t="s">
        <v>357</v>
      </c>
      <c r="D17" s="1767">
        <f>SUM(D12:D15)</f>
        <v>4.9053208436488003</v>
      </c>
      <c r="E17" s="1702">
        <f>SUM(E12:E15)</f>
        <v>373.41880543440004</v>
      </c>
      <c r="F17" s="1702">
        <f>SUM(F12:F16)</f>
        <v>38.477763255856004</v>
      </c>
    </row>
    <row r="20" spans="1:18" ht="16.5" thickBot="1">
      <c r="D20" s="1748" t="s">
        <v>2050</v>
      </c>
      <c r="E20" s="1711" t="s">
        <v>2024</v>
      </c>
      <c r="F20" s="1711"/>
      <c r="G20" s="1744" t="s">
        <v>2044</v>
      </c>
      <c r="H20" s="1711" t="s">
        <v>2014</v>
      </c>
      <c r="I20" s="1711" t="s">
        <v>138</v>
      </c>
      <c r="J20" s="1711" t="s">
        <v>1395</v>
      </c>
      <c r="K20" s="1711" t="s">
        <v>2012</v>
      </c>
      <c r="L20" s="1740" t="s">
        <v>1395</v>
      </c>
    </row>
    <row r="21" spans="1:18">
      <c r="D21" s="1713" t="s">
        <v>2023</v>
      </c>
      <c r="E21" s="1702">
        <v>13</v>
      </c>
      <c r="G21" s="1743">
        <f>1650/1000</f>
        <v>1.65</v>
      </c>
      <c r="H21" s="1702">
        <f>2*$F$1*E21/1000</f>
        <v>0.312</v>
      </c>
      <c r="I21" s="1702">
        <f>G21+H21</f>
        <v>1.962</v>
      </c>
      <c r="J21" s="1702">
        <f>0.006165*E21^2*G21</f>
        <v>1.7191102499999997</v>
      </c>
      <c r="K21" s="1702">
        <v>5</v>
      </c>
      <c r="L21" s="1712">
        <f>K21*J21*H21</f>
        <v>2.6818119899999995</v>
      </c>
    </row>
    <row r="22" spans="1:18">
      <c r="D22" s="1713" t="s">
        <v>2022</v>
      </c>
      <c r="E22" s="1702">
        <v>8</v>
      </c>
      <c r="G22" s="1743">
        <f>1650/1000</f>
        <v>1.65</v>
      </c>
      <c r="H22" s="1702">
        <f>2*$F$1*E22/1000</f>
        <v>0.192</v>
      </c>
      <c r="I22" s="1702">
        <f>G22+H22</f>
        <v>1.8419999999999999</v>
      </c>
      <c r="J22" s="1702">
        <f>0.006165*E22^2*G22</f>
        <v>0.65102400000000005</v>
      </c>
      <c r="K22" s="1702">
        <v>2</v>
      </c>
      <c r="L22" s="1712">
        <f>K22*J22*H22</f>
        <v>0.24999321600000002</v>
      </c>
    </row>
    <row r="23" spans="1:18">
      <c r="D23" s="1713" t="s">
        <v>2021</v>
      </c>
      <c r="E23" s="1702">
        <v>13</v>
      </c>
      <c r="G23" s="1743">
        <f>1650/1000</f>
        <v>1.65</v>
      </c>
      <c r="H23" s="1702">
        <f>2*$F$1*E23/1000</f>
        <v>0.312</v>
      </c>
      <c r="I23" s="1702">
        <f>G23+H23</f>
        <v>1.962</v>
      </c>
      <c r="J23" s="1702">
        <f>0.006165*E23^2*G23</f>
        <v>1.7191102499999997</v>
      </c>
      <c r="K23" s="1702">
        <v>4</v>
      </c>
      <c r="L23" s="1712">
        <f>K23*J23*H23</f>
        <v>2.1454495919999998</v>
      </c>
    </row>
    <row r="24" spans="1:18" ht="16.5" thickBot="1">
      <c r="D24" s="1713" t="s">
        <v>149</v>
      </c>
      <c r="E24" s="1702">
        <v>10</v>
      </c>
      <c r="G24" s="1702">
        <f>(2*(450+200)-40*4)/1000</f>
        <v>1.1399999999999999</v>
      </c>
      <c r="H24" s="1702">
        <f>MAX(6*E24,75)/1000</f>
        <v>7.4999999999999997E-2</v>
      </c>
      <c r="I24" s="1702">
        <f>G24+H24</f>
        <v>1.2149999999999999</v>
      </c>
      <c r="J24" s="1702">
        <f>0.006165*E24^2*G24</f>
        <v>0.70281000000000005</v>
      </c>
      <c r="K24" s="1702">
        <f>ROUNDUP(1650/100,0)</f>
        <v>17</v>
      </c>
      <c r="L24" s="1712">
        <f>K24*J24*H24</f>
        <v>0.89608275000000004</v>
      </c>
    </row>
    <row r="25" spans="1:18" ht="16.5" thickBot="1">
      <c r="D25" s="1705"/>
      <c r="E25" s="1711"/>
      <c r="F25" s="1711"/>
      <c r="G25" s="1711"/>
      <c r="H25" s="1711"/>
      <c r="I25" s="1711"/>
      <c r="J25" s="1711"/>
      <c r="K25" s="1741" t="s">
        <v>2039</v>
      </c>
      <c r="L25" s="1710">
        <f>SUM(L21:L24)</f>
        <v>5.9733375479999991</v>
      </c>
    </row>
    <row r="26" spans="1:18" ht="16.5" thickBot="1"/>
    <row r="27" spans="1:18">
      <c r="A27" s="1709" t="s">
        <v>1973</v>
      </c>
      <c r="B27" s="2201" t="s">
        <v>75</v>
      </c>
      <c r="C27" s="2203" t="s">
        <v>2020</v>
      </c>
      <c r="D27" s="2201" t="s">
        <v>2019</v>
      </c>
      <c r="E27" s="2203" t="s">
        <v>2018</v>
      </c>
      <c r="F27" s="2205" t="s">
        <v>96</v>
      </c>
      <c r="G27" s="2196" t="s">
        <v>2017</v>
      </c>
      <c r="H27" s="2197"/>
      <c r="I27" s="2197"/>
      <c r="J27" s="2197"/>
      <c r="K27" s="2198"/>
      <c r="L27" s="2199" t="s">
        <v>2016</v>
      </c>
      <c r="M27" s="2197"/>
      <c r="N27" s="2197"/>
      <c r="O27" s="2197"/>
      <c r="P27" s="2197"/>
      <c r="Q27" s="2197"/>
      <c r="R27" s="2200"/>
    </row>
    <row r="28" spans="1:18">
      <c r="A28" s="1708"/>
      <c r="B28" s="2202"/>
      <c r="C28" s="2204"/>
      <c r="D28" s="2202"/>
      <c r="E28" s="2204"/>
      <c r="F28" s="2206"/>
      <c r="G28" s="1707" t="s">
        <v>2015</v>
      </c>
      <c r="H28" s="1706" t="s">
        <v>2013</v>
      </c>
      <c r="I28" s="1706" t="s">
        <v>2012</v>
      </c>
      <c r="J28" s="1755" t="s">
        <v>2042</v>
      </c>
      <c r="K28" s="1764" t="s">
        <v>2039</v>
      </c>
      <c r="L28" s="1759" t="s">
        <v>2015</v>
      </c>
      <c r="M28" s="1706" t="s">
        <v>2014</v>
      </c>
      <c r="N28" s="1706" t="s">
        <v>138</v>
      </c>
      <c r="O28" s="1706" t="s">
        <v>2013</v>
      </c>
      <c r="P28" s="1706" t="s">
        <v>2012</v>
      </c>
      <c r="Q28" s="1755" t="s">
        <v>2042</v>
      </c>
      <c r="R28" s="1756" t="s">
        <v>2039</v>
      </c>
    </row>
    <row r="29" spans="1:18">
      <c r="A29" s="1772" t="s">
        <v>2045</v>
      </c>
      <c r="B29" s="1750">
        <f>26.855736/5^2</f>
        <v>1.0742294400000001</v>
      </c>
      <c r="C29" s="1749">
        <v>1.65</v>
      </c>
      <c r="D29" s="1749">
        <f>B29*C29</f>
        <v>1.7724785760000001</v>
      </c>
      <c r="E29" s="1757">
        <f>(SUM(K29:K30)+SUM(R29:R30))</f>
        <v>299.21232207600002</v>
      </c>
      <c r="F29" s="1770"/>
      <c r="G29" s="1718">
        <f>(33.214+8.717+32.044+7.629)/5</f>
        <v>16.320799999999998</v>
      </c>
      <c r="H29" s="1749">
        <v>13</v>
      </c>
      <c r="I29" s="1749">
        <f>ROUNDUP(1650/150,0)</f>
        <v>11</v>
      </c>
      <c r="J29" s="1749">
        <f>0.006165*H29^2</f>
        <v>1.041885</v>
      </c>
      <c r="K29" s="1758">
        <f>J29*I29*G29</f>
        <v>187.04836378799999</v>
      </c>
      <c r="L29" s="1760">
        <f>(1650-2*40)/1000</f>
        <v>1.57</v>
      </c>
      <c r="M29" s="1749">
        <f t="shared" ref="M29:M34" si="6">2*$F$1*O29/1000</f>
        <v>0.24</v>
      </c>
      <c r="N29" s="1749">
        <f>L29+M29</f>
        <v>1.81</v>
      </c>
      <c r="O29" s="1749">
        <v>10</v>
      </c>
      <c r="P29" s="1749">
        <v>58</v>
      </c>
      <c r="Q29" s="1749">
        <f>0.006165*O29^2</f>
        <v>0.61650000000000005</v>
      </c>
      <c r="R29" s="1757">
        <f>N29*Q29*P29</f>
        <v>64.72017000000001</v>
      </c>
    </row>
    <row r="30" spans="1:18">
      <c r="A30" s="1760"/>
      <c r="B30" s="1750"/>
      <c r="C30" s="1749"/>
      <c r="D30" s="1749"/>
      <c r="E30" s="1757"/>
      <c r="F30" s="1770"/>
      <c r="G30" s="1718">
        <f>4.588*P30/5</f>
        <v>11.011199999999999</v>
      </c>
      <c r="H30" s="1749">
        <v>8</v>
      </c>
      <c r="I30" s="1749">
        <f>ROUNDUP(1650/200,0)</f>
        <v>9</v>
      </c>
      <c r="J30" s="1749">
        <f t="shared" ref="J30:J32" si="7">0.006165*H30^2</f>
        <v>0.39456000000000002</v>
      </c>
      <c r="K30" s="1758">
        <f>J30*I30*G30</f>
        <v>39.101211648000003</v>
      </c>
      <c r="L30" s="1760">
        <f t="shared" ref="L30:L34" si="8">(1650-2*40)/1000</f>
        <v>1.57</v>
      </c>
      <c r="M30" s="1749">
        <f t="shared" si="6"/>
        <v>0.192</v>
      </c>
      <c r="N30" s="1749">
        <f t="shared" ref="N30:N32" si="9">L30+M30</f>
        <v>1.762</v>
      </c>
      <c r="O30" s="1749">
        <v>8</v>
      </c>
      <c r="P30" s="1749">
        <v>12</v>
      </c>
      <c r="Q30" s="1749">
        <f t="shared" ref="Q30:Q32" si="10">0.006165*O30^2</f>
        <v>0.39456000000000002</v>
      </c>
      <c r="R30" s="1757">
        <f t="shared" ref="R30:R32" si="11">N30*Q30*P30</f>
        <v>8.3425766400000008</v>
      </c>
    </row>
    <row r="31" spans="1:18">
      <c r="A31" s="1772" t="s">
        <v>2046</v>
      </c>
      <c r="B31" s="1750">
        <f>26.185062/5^2</f>
        <v>1.0474024799999999</v>
      </c>
      <c r="C31" s="1749">
        <v>1.65</v>
      </c>
      <c r="D31" s="1749">
        <f>B31*C31</f>
        <v>1.7282140919999998</v>
      </c>
      <c r="E31" s="1757">
        <f>(SUM(K31:K32)+SUM(R31:R32))+$L$25</f>
        <v>246.31212285900003</v>
      </c>
      <c r="F31" s="1770"/>
      <c r="G31" s="1718">
        <f>(13.899+15.714+23.257+14.643+11.98)/5</f>
        <v>15.898600000000002</v>
      </c>
      <c r="H31" s="1749">
        <v>13</v>
      </c>
      <c r="I31" s="1749">
        <f>ROUNDUP(1650/150,0)</f>
        <v>11</v>
      </c>
      <c r="J31" s="1749">
        <f t="shared" si="7"/>
        <v>1.041885</v>
      </c>
      <c r="K31" s="1758">
        <f t="shared" ref="K31:K32" si="12">J31*I31*G31</f>
        <v>182.20964147100003</v>
      </c>
      <c r="L31" s="1760">
        <f t="shared" si="8"/>
        <v>1.57</v>
      </c>
      <c r="M31" s="1749">
        <f t="shared" si="6"/>
        <v>0.24</v>
      </c>
      <c r="N31" s="1749">
        <f t="shared" si="9"/>
        <v>1.81</v>
      </c>
      <c r="O31" s="1749">
        <v>10</v>
      </c>
      <c r="P31" s="1749">
        <v>36</v>
      </c>
      <c r="Q31" s="1749">
        <f t="shared" si="10"/>
        <v>0.61650000000000005</v>
      </c>
      <c r="R31" s="1757">
        <f t="shared" si="11"/>
        <v>40.171140000000001</v>
      </c>
    </row>
    <row r="32" spans="1:18">
      <c r="A32" s="1760"/>
      <c r="B32" s="1750"/>
      <c r="C32" s="1749"/>
      <c r="D32" s="1749"/>
      <c r="E32" s="1757"/>
      <c r="F32" s="1770"/>
      <c r="G32" s="1718">
        <f>4.588*P32/5</f>
        <v>4.5880000000000001</v>
      </c>
      <c r="H32" s="1749">
        <v>8</v>
      </c>
      <c r="I32" s="1749">
        <f>ROUNDUP(1500/200,0)</f>
        <v>8</v>
      </c>
      <c r="J32" s="1749">
        <f t="shared" si="7"/>
        <v>0.39456000000000002</v>
      </c>
      <c r="K32" s="1758">
        <f t="shared" si="12"/>
        <v>14.481930240000001</v>
      </c>
      <c r="L32" s="1760">
        <f t="shared" si="8"/>
        <v>1.57</v>
      </c>
      <c r="M32" s="1749">
        <f t="shared" si="6"/>
        <v>0.192</v>
      </c>
      <c r="N32" s="1749">
        <f t="shared" si="9"/>
        <v>1.762</v>
      </c>
      <c r="O32" s="1749">
        <v>8</v>
      </c>
      <c r="P32" s="1749">
        <v>5</v>
      </c>
      <c r="Q32" s="1749">
        <f t="shared" si="10"/>
        <v>0.39456000000000002</v>
      </c>
      <c r="R32" s="1757">
        <f t="shared" si="11"/>
        <v>3.4760736000000003</v>
      </c>
    </row>
    <row r="33" spans="1:18">
      <c r="A33" s="1772" t="s">
        <v>2047</v>
      </c>
      <c r="B33" s="1750">
        <f>26.101329/5^2</f>
        <v>1.04405316</v>
      </c>
      <c r="C33" s="1749">
        <v>1.65</v>
      </c>
      <c r="D33" s="1749">
        <f>B33*C33</f>
        <v>1.7226877139999999</v>
      </c>
      <c r="E33" s="1757">
        <f>(SUM(K33:K34)+SUM(R33:R34))</f>
        <v>311.40160348500001</v>
      </c>
      <c r="F33" s="1770"/>
      <c r="G33" s="1718">
        <f>(11.149+13.692+30.997+26.351+8.682)/5</f>
        <v>18.174199999999999</v>
      </c>
      <c r="H33" s="1749">
        <v>13</v>
      </c>
      <c r="I33" s="1749">
        <f>ROUNDUP(1650/150,0)</f>
        <v>11</v>
      </c>
      <c r="J33" s="1749">
        <f t="shared" ref="J33:J34" si="13">0.006165*H33^2</f>
        <v>1.041885</v>
      </c>
      <c r="K33" s="1758">
        <f t="shared" ref="K33:K34" si="14">J33*I33*G33</f>
        <v>208.28969003699999</v>
      </c>
      <c r="L33" s="1760">
        <f t="shared" si="8"/>
        <v>1.57</v>
      </c>
      <c r="M33" s="1749">
        <f t="shared" si="6"/>
        <v>0.24</v>
      </c>
      <c r="N33" s="1749">
        <f t="shared" ref="N33:N34" si="15">L33+M33</f>
        <v>1.81</v>
      </c>
      <c r="O33" s="1749">
        <v>10</v>
      </c>
      <c r="P33" s="1749">
        <v>57</v>
      </c>
      <c r="Q33" s="1749">
        <f t="shared" ref="Q33:Q34" si="16">0.006165*O33^2</f>
        <v>0.61650000000000005</v>
      </c>
      <c r="R33" s="1757">
        <f t="shared" ref="R33:R34" si="17">N33*Q33*P33</f>
        <v>63.604305000000004</v>
      </c>
    </row>
    <row r="34" spans="1:18" ht="16.5" thickBot="1">
      <c r="A34" s="1761"/>
      <c r="B34" s="1769"/>
      <c r="C34" s="1762"/>
      <c r="D34" s="1762"/>
      <c r="E34" s="1763"/>
      <c r="F34" s="1771"/>
      <c r="G34" s="1766">
        <f>4.588*P34/5</f>
        <v>10.0936</v>
      </c>
      <c r="H34" s="1762">
        <v>8</v>
      </c>
      <c r="I34" s="1762">
        <f>ROUNDUP(1500/200,0)</f>
        <v>8</v>
      </c>
      <c r="J34" s="1762">
        <f t="shared" si="13"/>
        <v>0.39456000000000002</v>
      </c>
      <c r="K34" s="1765">
        <f t="shared" si="14"/>
        <v>31.860246528000001</v>
      </c>
      <c r="L34" s="1761">
        <f t="shared" si="8"/>
        <v>1.57</v>
      </c>
      <c r="M34" s="1762">
        <f t="shared" si="6"/>
        <v>0.192</v>
      </c>
      <c r="N34" s="1762">
        <f t="shared" si="15"/>
        <v>1.762</v>
      </c>
      <c r="O34" s="1762">
        <v>8</v>
      </c>
      <c r="P34" s="1762">
        <v>11</v>
      </c>
      <c r="Q34" s="1762">
        <f t="shared" si="16"/>
        <v>0.39456000000000002</v>
      </c>
      <c r="R34" s="1763">
        <f t="shared" si="17"/>
        <v>7.6473619200000007</v>
      </c>
    </row>
    <row r="35" spans="1:18" ht="16.5" thickBot="1">
      <c r="B35" s="1705" t="s">
        <v>357</v>
      </c>
      <c r="C35" s="1746" t="s">
        <v>2048</v>
      </c>
      <c r="D35" s="1704">
        <f>SUM(D29:D34)</f>
        <v>5.2233803820000002</v>
      </c>
      <c r="E35" s="1703">
        <f>SUM(E29:E34)</f>
        <v>856.92604842000003</v>
      </c>
    </row>
    <row r="38" spans="1:18" ht="16.5" thickBot="1">
      <c r="D38" s="1748" t="s">
        <v>2050</v>
      </c>
      <c r="E38" s="1711" t="s">
        <v>2024</v>
      </c>
      <c r="F38" s="1711"/>
      <c r="G38" s="1744" t="s">
        <v>2044</v>
      </c>
      <c r="H38" s="1711" t="s">
        <v>2014</v>
      </c>
      <c r="I38" s="1711" t="s">
        <v>138</v>
      </c>
      <c r="J38" s="1711" t="s">
        <v>1395</v>
      </c>
      <c r="K38" s="1711" t="s">
        <v>2012</v>
      </c>
      <c r="L38" s="1740" t="s">
        <v>1395</v>
      </c>
    </row>
    <row r="39" spans="1:18">
      <c r="D39" s="1713" t="s">
        <v>2023</v>
      </c>
      <c r="E39" s="1702">
        <v>13</v>
      </c>
      <c r="G39" s="1743">
        <f>950/1000</f>
        <v>0.95</v>
      </c>
      <c r="H39" s="1702">
        <f>2*$F$1*E39/1000</f>
        <v>0.312</v>
      </c>
      <c r="I39" s="1702">
        <f>G39+H39</f>
        <v>1.262</v>
      </c>
      <c r="J39" s="1702">
        <f>0.006165*E39^2*G39</f>
        <v>0.98979074999999994</v>
      </c>
      <c r="K39" s="1702">
        <v>3</v>
      </c>
      <c r="L39" s="1712">
        <f>K39*J39*H39</f>
        <v>0.92644414199999991</v>
      </c>
    </row>
    <row r="40" spans="1:18">
      <c r="D40" s="1713" t="s">
        <v>2022</v>
      </c>
      <c r="E40" s="1702">
        <v>8</v>
      </c>
      <c r="G40" s="1743">
        <f t="shared" ref="G40:G41" si="18">950/1000</f>
        <v>0.95</v>
      </c>
      <c r="H40" s="1702">
        <f>2*$F$1*E40/1000</f>
        <v>0.192</v>
      </c>
      <c r="I40" s="1702">
        <f>G40+H40</f>
        <v>1.1419999999999999</v>
      </c>
      <c r="J40" s="1702">
        <f>0.006165*E40^2*G40</f>
        <v>0.374832</v>
      </c>
      <c r="K40" s="1702">
        <v>2</v>
      </c>
      <c r="L40" s="1712">
        <f>K40*J40*H40</f>
        <v>0.143935488</v>
      </c>
    </row>
    <row r="41" spans="1:18">
      <c r="D41" s="1713" t="s">
        <v>2021</v>
      </c>
      <c r="E41" s="1702">
        <v>13</v>
      </c>
      <c r="G41" s="1743">
        <f t="shared" si="18"/>
        <v>0.95</v>
      </c>
      <c r="H41" s="1702">
        <f>2*$F$1*E41/1000</f>
        <v>0.312</v>
      </c>
      <c r="I41" s="1702">
        <f>G41+H41</f>
        <v>1.262</v>
      </c>
      <c r="J41" s="1702">
        <f>0.006165*E41^2*G41</f>
        <v>0.98979074999999994</v>
      </c>
      <c r="K41" s="1702">
        <v>3</v>
      </c>
      <c r="L41" s="1712">
        <f>K41*J41*H41</f>
        <v>0.92644414199999991</v>
      </c>
    </row>
    <row r="42" spans="1:18" ht="16.5" thickBot="1">
      <c r="D42" s="1713" t="s">
        <v>149</v>
      </c>
      <c r="E42" s="1702">
        <v>10</v>
      </c>
      <c r="G42" s="1702">
        <f>(2*(450+200)-40*4)/1000</f>
        <v>1.1399999999999999</v>
      </c>
      <c r="H42" s="1702">
        <f>MAX(6*E42,75)/1000</f>
        <v>7.4999999999999997E-2</v>
      </c>
      <c r="I42" s="1702">
        <f>G42+H42</f>
        <v>1.2149999999999999</v>
      </c>
      <c r="J42" s="1702">
        <f>0.006165*E42^2*G42</f>
        <v>0.70281000000000005</v>
      </c>
      <c r="K42" s="1702">
        <f>ROUNDUP(950/100,0)</f>
        <v>10</v>
      </c>
      <c r="L42" s="1712">
        <f>K42*J42*H42</f>
        <v>0.52710749999999995</v>
      </c>
    </row>
    <row r="43" spans="1:18" ht="16.5" thickBot="1">
      <c r="D43" s="1705"/>
      <c r="E43" s="1711"/>
      <c r="F43" s="1711"/>
      <c r="G43" s="1711"/>
      <c r="H43" s="1711"/>
      <c r="I43" s="1711"/>
      <c r="J43" s="1711"/>
      <c r="K43" s="1741" t="s">
        <v>2039</v>
      </c>
      <c r="L43" s="1710">
        <f>SUM(L39:L42)</f>
        <v>2.523931272</v>
      </c>
    </row>
    <row r="45" spans="1:18" ht="16.5" thickBot="1">
      <c r="D45" s="1748" t="s">
        <v>2051</v>
      </c>
      <c r="E45" s="1711" t="s">
        <v>2024</v>
      </c>
      <c r="F45" s="1711"/>
      <c r="G45" s="1744" t="s">
        <v>2044</v>
      </c>
      <c r="H45" s="1711" t="s">
        <v>2014</v>
      </c>
      <c r="I45" s="1711" t="s">
        <v>138</v>
      </c>
      <c r="J45" s="1711" t="s">
        <v>1395</v>
      </c>
      <c r="K45" s="1711" t="s">
        <v>2012</v>
      </c>
      <c r="L45" s="1740" t="s">
        <v>1395</v>
      </c>
    </row>
    <row r="46" spans="1:18">
      <c r="D46" s="1713" t="s">
        <v>2023</v>
      </c>
      <c r="E46" s="1702">
        <v>16</v>
      </c>
      <c r="G46" s="1743">
        <f t="shared" ref="G46:G48" si="19">950/1000</f>
        <v>0.95</v>
      </c>
      <c r="H46" s="1702">
        <f>2*$F$1*E46/1000</f>
        <v>0.38400000000000001</v>
      </c>
      <c r="I46" s="1702">
        <f>G46+H46</f>
        <v>1.3340000000000001</v>
      </c>
      <c r="J46" s="1702">
        <f>0.006165*E46^2*G46</f>
        <v>1.499328</v>
      </c>
      <c r="K46" s="1702">
        <v>3</v>
      </c>
      <c r="L46" s="1712">
        <f>K46*J46*H46</f>
        <v>1.727225856</v>
      </c>
    </row>
    <row r="47" spans="1:18">
      <c r="D47" s="1713" t="s">
        <v>2022</v>
      </c>
      <c r="E47" s="1702">
        <v>10</v>
      </c>
      <c r="G47" s="1743">
        <f t="shared" si="19"/>
        <v>0.95</v>
      </c>
      <c r="H47" s="1702">
        <f>2*$F$1*E47/1000</f>
        <v>0.24</v>
      </c>
      <c r="I47" s="1702">
        <f>G47+H47</f>
        <v>1.19</v>
      </c>
      <c r="J47" s="1702">
        <f>0.006165*E47^2*G47</f>
        <v>0.58567500000000006</v>
      </c>
      <c r="K47" s="1702">
        <v>2</v>
      </c>
      <c r="L47" s="1712">
        <f>K47*J47*H47</f>
        <v>0.28112400000000004</v>
      </c>
    </row>
    <row r="48" spans="1:18">
      <c r="D48" s="1713" t="s">
        <v>2021</v>
      </c>
      <c r="E48" s="1702">
        <v>16</v>
      </c>
      <c r="G48" s="1743">
        <f t="shared" si="19"/>
        <v>0.95</v>
      </c>
      <c r="H48" s="1702">
        <f>2*$F$1*E48/1000</f>
        <v>0.38400000000000001</v>
      </c>
      <c r="I48" s="1702">
        <f>G48+H48</f>
        <v>1.3340000000000001</v>
      </c>
      <c r="J48" s="1702">
        <f>0.006165*E48^2*G48</f>
        <v>1.499328</v>
      </c>
      <c r="K48" s="1702">
        <v>3</v>
      </c>
      <c r="L48" s="1712">
        <f>K48*J48*H48</f>
        <v>1.727225856</v>
      </c>
    </row>
    <row r="49" spans="1:18" ht="16.5" thickBot="1">
      <c r="D49" s="1713" t="s">
        <v>149</v>
      </c>
      <c r="E49" s="1702">
        <v>10</v>
      </c>
      <c r="G49" s="1702">
        <f>(2*(700+200)-40*4)/1000</f>
        <v>1.64</v>
      </c>
      <c r="H49" s="1702">
        <f>MAX(6*E49,75)/1000</f>
        <v>7.4999999999999997E-2</v>
      </c>
      <c r="I49" s="1702">
        <f>G49+H49</f>
        <v>1.7149999999999999</v>
      </c>
      <c r="J49" s="1702">
        <f>0.006165*E49^2*G49</f>
        <v>1.0110600000000001</v>
      </c>
      <c r="K49" s="1702">
        <f>ROUNDUP(950/100,0)</f>
        <v>10</v>
      </c>
      <c r="L49" s="1712">
        <f>K49*J49*H49</f>
        <v>0.75829500000000005</v>
      </c>
    </row>
    <row r="50" spans="1:18" ht="16.5" thickBot="1">
      <c r="D50" s="1705"/>
      <c r="E50" s="1711"/>
      <c r="F50" s="1711"/>
      <c r="G50" s="1711"/>
      <c r="H50" s="1711"/>
      <c r="I50" s="1711"/>
      <c r="J50" s="1711"/>
      <c r="K50" s="1741" t="s">
        <v>2039</v>
      </c>
      <c r="L50" s="1710">
        <f>SUM(L46:L49)</f>
        <v>4.4938707120000005</v>
      </c>
    </row>
    <row r="51" spans="1:18" ht="16.5" thickBot="1"/>
    <row r="52" spans="1:18">
      <c r="A52" s="1747" t="s">
        <v>2049</v>
      </c>
      <c r="B52" s="2201" t="s">
        <v>75</v>
      </c>
      <c r="C52" s="2203" t="s">
        <v>2020</v>
      </c>
      <c r="D52" s="2201" t="s">
        <v>2019</v>
      </c>
      <c r="E52" s="2203" t="s">
        <v>2018</v>
      </c>
      <c r="F52" s="2205" t="s">
        <v>96</v>
      </c>
      <c r="G52" s="2196" t="s">
        <v>2017</v>
      </c>
      <c r="H52" s="2197"/>
      <c r="I52" s="2197"/>
      <c r="J52" s="2197"/>
      <c r="K52" s="2200"/>
      <c r="L52" s="2199" t="s">
        <v>2016</v>
      </c>
      <c r="M52" s="2197"/>
      <c r="N52" s="2197"/>
      <c r="O52" s="2197"/>
      <c r="P52" s="2197"/>
      <c r="Q52" s="2197"/>
      <c r="R52" s="2200"/>
    </row>
    <row r="53" spans="1:18">
      <c r="A53" s="1708"/>
      <c r="B53" s="2202"/>
      <c r="C53" s="2204"/>
      <c r="D53" s="2202"/>
      <c r="E53" s="2204"/>
      <c r="F53" s="2206"/>
      <c r="G53" s="1707" t="s">
        <v>2015</v>
      </c>
      <c r="H53" s="1706" t="s">
        <v>2013</v>
      </c>
      <c r="I53" s="1706" t="s">
        <v>2012</v>
      </c>
      <c r="J53" s="1755" t="s">
        <v>2042</v>
      </c>
      <c r="K53" s="1756" t="s">
        <v>2039</v>
      </c>
      <c r="L53" s="1759" t="s">
        <v>2015</v>
      </c>
      <c r="M53" s="1706" t="s">
        <v>2014</v>
      </c>
      <c r="N53" s="1706" t="s">
        <v>138</v>
      </c>
      <c r="O53" s="1706" t="s">
        <v>2013</v>
      </c>
      <c r="P53" s="1706" t="s">
        <v>2012</v>
      </c>
      <c r="Q53" s="1755" t="s">
        <v>2042</v>
      </c>
      <c r="R53" s="1756" t="s">
        <v>2039</v>
      </c>
    </row>
    <row r="54" spans="1:18">
      <c r="A54" s="1768" t="s">
        <v>2052</v>
      </c>
      <c r="B54" s="1750">
        <f>20.69586/5^2</f>
        <v>0.82783439999999997</v>
      </c>
      <c r="C54" s="1749">
        <v>0.95</v>
      </c>
      <c r="D54" s="1749">
        <f>B54*C54</f>
        <v>0.78644267999999995</v>
      </c>
      <c r="E54" s="1757">
        <f>(SUM(K54:K55)+SUM(R54:R55))</f>
        <v>119.03011483500001</v>
      </c>
      <c r="F54" s="1770"/>
      <c r="G54" s="1718">
        <f>(23.011+26.845+4.418+7.677)/5</f>
        <v>12.390199999999998</v>
      </c>
      <c r="H54" s="1749">
        <v>13</v>
      </c>
      <c r="I54" s="1749">
        <f>ROUNDUP(950/200,0)</f>
        <v>5</v>
      </c>
      <c r="J54" s="1749">
        <f>0.006165*H54^2</f>
        <v>1.041885</v>
      </c>
      <c r="K54" s="1757">
        <f>J54*I54*G54</f>
        <v>64.545817634999992</v>
      </c>
      <c r="L54" s="1760">
        <f>(950-2*40)/1000</f>
        <v>0.87</v>
      </c>
      <c r="M54" s="1749">
        <f>2*$F$1*O54/1000</f>
        <v>0.24</v>
      </c>
      <c r="N54" s="1749">
        <f>L54+M54</f>
        <v>1.1099999999999999</v>
      </c>
      <c r="O54" s="1749">
        <v>10</v>
      </c>
      <c r="P54" s="1749">
        <v>50</v>
      </c>
      <c r="Q54" s="1749">
        <f>0.006165*O54^2</f>
        <v>0.61650000000000005</v>
      </c>
      <c r="R54" s="1757">
        <f>N54*Q54*P54</f>
        <v>34.21575</v>
      </c>
    </row>
    <row r="55" spans="1:18">
      <c r="A55" s="1760"/>
      <c r="B55" s="1750"/>
      <c r="C55" s="1749"/>
      <c r="D55" s="1749"/>
      <c r="E55" s="1757"/>
      <c r="F55" s="1770"/>
      <c r="G55" s="1718">
        <f>3.608*P55/5</f>
        <v>7.9376000000000007</v>
      </c>
      <c r="H55" s="1749">
        <v>8</v>
      </c>
      <c r="I55" s="1749">
        <f>ROUNDUP(950/200,0)</f>
        <v>5</v>
      </c>
      <c r="J55" s="1749">
        <f t="shared" ref="J55:J68" si="20">0.006165*H55^2</f>
        <v>0.39456000000000002</v>
      </c>
      <c r="K55" s="1757">
        <f>J55*I55*G55</f>
        <v>15.659297280000002</v>
      </c>
      <c r="L55" s="1760">
        <f>(950-2*40)/1000</f>
        <v>0.87</v>
      </c>
      <c r="M55" s="1749">
        <f>2*$F$1*O55/1000</f>
        <v>0.192</v>
      </c>
      <c r="N55" s="1749">
        <f t="shared" ref="N55:N68" si="21">L55+M55</f>
        <v>1.0620000000000001</v>
      </c>
      <c r="O55" s="1749">
        <v>8</v>
      </c>
      <c r="P55" s="1749">
        <v>11</v>
      </c>
      <c r="Q55" s="1749">
        <f t="shared" ref="Q55:Q68" si="22">0.006165*O55^2</f>
        <v>0.39456000000000002</v>
      </c>
      <c r="R55" s="1757">
        <f t="shared" ref="R55:R68" si="23">N55*Q55*P55</f>
        <v>4.6092499200000008</v>
      </c>
    </row>
    <row r="56" spans="1:18">
      <c r="A56" s="1768" t="s">
        <v>2053</v>
      </c>
      <c r="B56" s="1750">
        <f>20.154729/5^2</f>
        <v>0.80618915999999996</v>
      </c>
      <c r="C56" s="1749">
        <v>0.95</v>
      </c>
      <c r="D56" s="1749">
        <f>B56*C56</f>
        <v>0.76587970199999988</v>
      </c>
      <c r="E56" s="1757">
        <f>(SUM(K56:K57)+SUM(R56:R57))+$L$25</f>
        <v>128.65136302799999</v>
      </c>
      <c r="F56" s="1770"/>
      <c r="G56" s="1718">
        <f>(9.9+26.402+25.188+8.358)/5</f>
        <v>13.9696</v>
      </c>
      <c r="H56" s="1749">
        <v>13</v>
      </c>
      <c r="I56" s="1749">
        <f>ROUNDUP(950/200,0)</f>
        <v>5</v>
      </c>
      <c r="J56" s="1749">
        <f t="shared" si="20"/>
        <v>1.041885</v>
      </c>
      <c r="K56" s="1757">
        <f t="shared" ref="K56:K68" si="24">J56*I56*G56</f>
        <v>72.773583479999999</v>
      </c>
      <c r="L56" s="1760">
        <f>(950-2*40)/1000</f>
        <v>0.87</v>
      </c>
      <c r="M56" s="1749">
        <f>2*$F$1*O56/1000</f>
        <v>0.24</v>
      </c>
      <c r="N56" s="1749">
        <f t="shared" si="21"/>
        <v>1.1099999999999999</v>
      </c>
      <c r="O56" s="1749">
        <v>10</v>
      </c>
      <c r="P56" s="1749">
        <v>46</v>
      </c>
      <c r="Q56" s="1749">
        <f t="shared" si="22"/>
        <v>0.61650000000000005</v>
      </c>
      <c r="R56" s="1757">
        <f t="shared" si="23"/>
        <v>31.478490000000001</v>
      </c>
    </row>
    <row r="57" spans="1:18">
      <c r="A57" s="1760"/>
      <c r="B57" s="1750"/>
      <c r="C57" s="1749"/>
      <c r="D57" s="1749"/>
      <c r="E57" s="1757"/>
      <c r="F57" s="1770"/>
      <c r="G57" s="1718">
        <f>3.608*P57/5</f>
        <v>7.2159999999999993</v>
      </c>
      <c r="H57" s="1749">
        <v>8</v>
      </c>
      <c r="I57" s="1749">
        <f>ROUNDUP(950/200,0)</f>
        <v>5</v>
      </c>
      <c r="J57" s="1749">
        <f t="shared" si="20"/>
        <v>0.39456000000000002</v>
      </c>
      <c r="K57" s="1757">
        <f t="shared" si="24"/>
        <v>14.2357248</v>
      </c>
      <c r="L57" s="1760">
        <f>(950-2*40)/1000</f>
        <v>0.87</v>
      </c>
      <c r="M57" s="1749">
        <f>2*$F$1*O57/1000</f>
        <v>0.192</v>
      </c>
      <c r="N57" s="1749">
        <f t="shared" si="21"/>
        <v>1.0620000000000001</v>
      </c>
      <c r="O57" s="1749">
        <v>8</v>
      </c>
      <c r="P57" s="1749">
        <v>10</v>
      </c>
      <c r="Q57" s="1749">
        <f t="shared" si="22"/>
        <v>0.39456000000000002</v>
      </c>
      <c r="R57" s="1757">
        <f t="shared" si="23"/>
        <v>4.1902272000000007</v>
      </c>
    </row>
    <row r="58" spans="1:18">
      <c r="A58" s="1768" t="s">
        <v>2058</v>
      </c>
      <c r="B58" s="1750">
        <f>450*200/1000000</f>
        <v>0.09</v>
      </c>
      <c r="C58" s="1749">
        <v>1.9</v>
      </c>
      <c r="D58" s="1749">
        <f>B58*C58</f>
        <v>0.17099999999999999</v>
      </c>
      <c r="E58" s="1757">
        <f>$L$43</f>
        <v>2.523931272</v>
      </c>
      <c r="F58" s="1770"/>
      <c r="G58" s="1718"/>
      <c r="H58" s="1749"/>
      <c r="I58" s="1749"/>
      <c r="J58" s="1749"/>
      <c r="K58" s="1757"/>
      <c r="L58" s="1760"/>
      <c r="M58" s="1749"/>
      <c r="N58" s="1749"/>
      <c r="O58" s="1749"/>
      <c r="P58" s="1749"/>
      <c r="Q58" s="1749"/>
      <c r="R58" s="1757"/>
    </row>
    <row r="59" spans="1:18">
      <c r="A59" s="1760"/>
      <c r="B59" s="1750"/>
      <c r="C59" s="1749"/>
      <c r="D59" s="1749"/>
      <c r="E59" s="1757"/>
      <c r="F59" s="1770"/>
      <c r="G59" s="1718"/>
      <c r="H59" s="1749"/>
      <c r="I59" s="1749"/>
      <c r="J59" s="1749"/>
      <c r="K59" s="1757"/>
      <c r="L59" s="1760"/>
      <c r="M59" s="1749"/>
      <c r="N59" s="1749"/>
      <c r="O59" s="1749"/>
      <c r="P59" s="1749"/>
      <c r="Q59" s="1749"/>
      <c r="R59" s="1757"/>
    </row>
    <row r="60" spans="1:18">
      <c r="A60" s="1768" t="s">
        <v>2054</v>
      </c>
      <c r="B60" s="1750">
        <f>25.613851/5^2</f>
        <v>1.0245540399999999</v>
      </c>
      <c r="C60" s="1749">
        <v>0.95</v>
      </c>
      <c r="D60" s="1749">
        <f>B60*C60</f>
        <v>0.9733263379999999</v>
      </c>
      <c r="E60" s="1757">
        <f>(SUM(K60:K61)+SUM(R60:R61))+$L$25</f>
        <v>138.43829436299998</v>
      </c>
      <c r="F60" s="1770"/>
      <c r="G60" s="1718">
        <f>(6.024+30.902+28.657+7.708)/5</f>
        <v>14.658199999999999</v>
      </c>
      <c r="H60" s="1749">
        <v>13</v>
      </c>
      <c r="I60" s="1749">
        <f>ROUNDUP(950/200,0)</f>
        <v>5</v>
      </c>
      <c r="J60" s="1749">
        <f t="shared" si="20"/>
        <v>1.041885</v>
      </c>
      <c r="K60" s="1757">
        <f t="shared" si="24"/>
        <v>76.360793534999985</v>
      </c>
      <c r="L60" s="1760">
        <f>(950-2*40)/1000</f>
        <v>0.87</v>
      </c>
      <c r="M60" s="1749">
        <f>2*$F$1*O60/1000</f>
        <v>0.24</v>
      </c>
      <c r="N60" s="1749">
        <f t="shared" si="21"/>
        <v>1.1099999999999999</v>
      </c>
      <c r="O60" s="1749">
        <v>10</v>
      </c>
      <c r="P60" s="1749">
        <v>46</v>
      </c>
      <c r="Q60" s="1749">
        <f t="shared" si="22"/>
        <v>0.61650000000000005</v>
      </c>
      <c r="R60" s="1757">
        <f t="shared" si="23"/>
        <v>31.478490000000001</v>
      </c>
    </row>
    <row r="61" spans="1:18">
      <c r="A61" s="1760"/>
      <c r="B61" s="1750"/>
      <c r="C61" s="1749"/>
      <c r="D61" s="1749"/>
      <c r="E61" s="1757"/>
      <c r="F61" s="1770"/>
      <c r="G61" s="1718">
        <f>3.739*P61/5</f>
        <v>9.7213999999999992</v>
      </c>
      <c r="H61" s="1749">
        <v>8</v>
      </c>
      <c r="I61" s="1749">
        <f t="shared" ref="I61:I73" si="25">ROUNDUP(950/200,0)</f>
        <v>5</v>
      </c>
      <c r="J61" s="1749">
        <f t="shared" si="20"/>
        <v>0.39456000000000002</v>
      </c>
      <c r="K61" s="1757">
        <f t="shared" si="24"/>
        <v>19.178377919999999</v>
      </c>
      <c r="L61" s="1760">
        <f t="shared" ref="L61:L73" si="26">(950-2*40)/1000</f>
        <v>0.87</v>
      </c>
      <c r="M61" s="1749">
        <f>2*$F$1*O61/1000</f>
        <v>0.192</v>
      </c>
      <c r="N61" s="1749">
        <f t="shared" si="21"/>
        <v>1.0620000000000001</v>
      </c>
      <c r="O61" s="1749">
        <v>8</v>
      </c>
      <c r="P61" s="1749">
        <v>13</v>
      </c>
      <c r="Q61" s="1749">
        <f t="shared" si="22"/>
        <v>0.39456000000000002</v>
      </c>
      <c r="R61" s="1757">
        <f t="shared" si="23"/>
        <v>5.4472953600000009</v>
      </c>
    </row>
    <row r="62" spans="1:18">
      <c r="A62" s="1768" t="s">
        <v>2058</v>
      </c>
      <c r="B62" s="1750">
        <f>450*200/1000000</f>
        <v>0.09</v>
      </c>
      <c r="C62" s="1749">
        <v>0.95</v>
      </c>
      <c r="D62" s="1749">
        <f>B62*C62</f>
        <v>8.5499999999999993E-2</v>
      </c>
      <c r="E62" s="1757">
        <f>$L$43</f>
        <v>2.523931272</v>
      </c>
      <c r="F62" s="1770"/>
      <c r="G62" s="1718"/>
      <c r="H62" s="1749"/>
      <c r="I62" s="1749"/>
      <c r="J62" s="1749"/>
      <c r="K62" s="1757"/>
      <c r="L62" s="1760"/>
      <c r="M62" s="1749"/>
      <c r="N62" s="1749"/>
      <c r="O62" s="1749"/>
      <c r="P62" s="1749"/>
      <c r="Q62" s="1749"/>
      <c r="R62" s="1757"/>
    </row>
    <row r="63" spans="1:18">
      <c r="A63" s="1760"/>
      <c r="B63" s="1750"/>
      <c r="C63" s="1749"/>
      <c r="D63" s="1749"/>
      <c r="E63" s="1757"/>
      <c r="F63" s="1770"/>
      <c r="G63" s="1718"/>
      <c r="H63" s="1749"/>
      <c r="I63" s="1749"/>
      <c r="J63" s="1749"/>
      <c r="K63" s="1757"/>
      <c r="L63" s="1760"/>
      <c r="M63" s="1749"/>
      <c r="N63" s="1749"/>
      <c r="O63" s="1749"/>
      <c r="P63" s="1749"/>
      <c r="Q63" s="1749"/>
      <c r="R63" s="1757"/>
    </row>
    <row r="64" spans="1:18">
      <c r="A64" s="1768" t="s">
        <v>2055</v>
      </c>
      <c r="B64" s="1750">
        <f>30.733079/5^2</f>
        <v>1.2293231600000001</v>
      </c>
      <c r="C64" s="1749">
        <v>0.95</v>
      </c>
      <c r="D64" s="1749">
        <f>B64*C64</f>
        <v>1.1678570020000001</v>
      </c>
      <c r="E64" s="1757">
        <f>(SUM(K64:K65)+SUM(R64:R65))+$L$25</f>
        <v>167.47758361799998</v>
      </c>
      <c r="F64" s="1770"/>
      <c r="G64" s="1718">
        <f>(10.7+12.982+31.753+26.465+8.754)/5</f>
        <v>18.130800000000001</v>
      </c>
      <c r="H64" s="1749">
        <v>13</v>
      </c>
      <c r="I64" s="1749">
        <f t="shared" si="25"/>
        <v>5</v>
      </c>
      <c r="J64" s="1749">
        <f t="shared" si="20"/>
        <v>1.041885</v>
      </c>
      <c r="K64" s="1757">
        <f t="shared" si="24"/>
        <v>94.451042789999988</v>
      </c>
      <c r="L64" s="1760">
        <f t="shared" si="26"/>
        <v>0.87</v>
      </c>
      <c r="M64" s="1749">
        <f>2*$F$1*O64/1000</f>
        <v>0.24</v>
      </c>
      <c r="N64" s="1749">
        <f t="shared" si="21"/>
        <v>1.1099999999999999</v>
      </c>
      <c r="O64" s="1749">
        <v>10</v>
      </c>
      <c r="P64" s="1749">
        <v>62</v>
      </c>
      <c r="Q64" s="1749">
        <f t="shared" si="22"/>
        <v>0.61650000000000005</v>
      </c>
      <c r="R64" s="1757">
        <f t="shared" si="23"/>
        <v>42.427529999999997</v>
      </c>
    </row>
    <row r="65" spans="1:18">
      <c r="A65" s="1760"/>
      <c r="B65" s="1750"/>
      <c r="C65" s="1749"/>
      <c r="D65" s="1749"/>
      <c r="E65" s="1757"/>
      <c r="F65" s="1770"/>
      <c r="G65" s="1718">
        <f>3.739*P65/5</f>
        <v>9.7213999999999992</v>
      </c>
      <c r="H65" s="1749">
        <v>8</v>
      </c>
      <c r="I65" s="1749">
        <f t="shared" si="25"/>
        <v>5</v>
      </c>
      <c r="J65" s="1749">
        <f t="shared" si="20"/>
        <v>0.39456000000000002</v>
      </c>
      <c r="K65" s="1757">
        <f t="shared" si="24"/>
        <v>19.178377919999999</v>
      </c>
      <c r="L65" s="1760">
        <f t="shared" si="26"/>
        <v>0.87</v>
      </c>
      <c r="M65" s="1749">
        <f>2*$F$1*O65/1000</f>
        <v>0.192</v>
      </c>
      <c r="N65" s="1749">
        <f t="shared" si="21"/>
        <v>1.0620000000000001</v>
      </c>
      <c r="O65" s="1749">
        <v>8</v>
      </c>
      <c r="P65" s="1749">
        <v>13</v>
      </c>
      <c r="Q65" s="1749">
        <f t="shared" si="22"/>
        <v>0.39456000000000002</v>
      </c>
      <c r="R65" s="1757">
        <f t="shared" si="23"/>
        <v>5.4472953600000009</v>
      </c>
    </row>
    <row r="66" spans="1:18">
      <c r="A66" s="1768" t="s">
        <v>2057</v>
      </c>
      <c r="B66" s="1750">
        <f>700*200/1000000</f>
        <v>0.14000000000000001</v>
      </c>
      <c r="C66" s="1749">
        <v>0.95</v>
      </c>
      <c r="D66" s="1749">
        <f>B66*C66</f>
        <v>0.13300000000000001</v>
      </c>
      <c r="E66" s="1757">
        <f>$L$50</f>
        <v>4.4938707120000005</v>
      </c>
      <c r="F66" s="1770"/>
      <c r="G66" s="1718"/>
      <c r="H66" s="1749"/>
      <c r="I66" s="1749"/>
      <c r="J66" s="1749"/>
      <c r="K66" s="1757"/>
      <c r="L66" s="1760"/>
      <c r="M66" s="1749"/>
      <c r="N66" s="1749"/>
      <c r="O66" s="1749"/>
      <c r="P66" s="1749"/>
      <c r="Q66" s="1749"/>
      <c r="R66" s="1757"/>
    </row>
    <row r="67" spans="1:18">
      <c r="A67" s="1760"/>
      <c r="B67" s="1750"/>
      <c r="C67" s="1749"/>
      <c r="D67" s="1749"/>
      <c r="E67" s="1757"/>
      <c r="F67" s="1770"/>
      <c r="G67" s="1718"/>
      <c r="H67" s="1749"/>
      <c r="I67" s="1749"/>
      <c r="J67" s="1749"/>
      <c r="K67" s="1757"/>
      <c r="L67" s="1760"/>
      <c r="M67" s="1749"/>
      <c r="N67" s="1749"/>
      <c r="O67" s="1749"/>
      <c r="P67" s="1749"/>
      <c r="Q67" s="1749"/>
      <c r="R67" s="1757"/>
    </row>
    <row r="68" spans="1:18">
      <c r="A68" s="1768" t="s">
        <v>2056</v>
      </c>
      <c r="B68" s="1750">
        <f>1.268789/5^2</f>
        <v>5.0751560000000001E-2</v>
      </c>
      <c r="C68" s="1749">
        <v>0.95</v>
      </c>
      <c r="D68" s="1749">
        <f>B68*C68</f>
        <v>4.8213981999999996E-2</v>
      </c>
      <c r="E68" s="1757">
        <f>(SUM(K68:K69)+SUM(R68:R69))+$L$25</f>
        <v>51.852743522999994</v>
      </c>
      <c r="F68" s="1770"/>
      <c r="G68" s="1718">
        <f>(9.783+9.408+6.909+6.115)/5</f>
        <v>6.4429999999999996</v>
      </c>
      <c r="H68" s="1749">
        <v>13</v>
      </c>
      <c r="I68" s="1749">
        <f t="shared" si="25"/>
        <v>5</v>
      </c>
      <c r="J68" s="1749">
        <f t="shared" si="20"/>
        <v>1.041885</v>
      </c>
      <c r="K68" s="1757">
        <f t="shared" si="24"/>
        <v>33.564325274999995</v>
      </c>
      <c r="L68" s="1760">
        <f t="shared" si="26"/>
        <v>0.87</v>
      </c>
      <c r="M68" s="1749">
        <f>2*$F$1*O68/1000</f>
        <v>0.312</v>
      </c>
      <c r="N68" s="1749">
        <f t="shared" si="21"/>
        <v>1.1819999999999999</v>
      </c>
      <c r="O68" s="1749">
        <v>13</v>
      </c>
      <c r="P68" s="1749">
        <v>10</v>
      </c>
      <c r="Q68" s="1749">
        <f t="shared" si="22"/>
        <v>1.041885</v>
      </c>
      <c r="R68" s="1757">
        <f t="shared" si="23"/>
        <v>12.315080699999999</v>
      </c>
    </row>
    <row r="69" spans="1:18">
      <c r="A69" s="1760"/>
      <c r="B69" s="1750"/>
      <c r="C69" s="1749"/>
      <c r="D69" s="1749"/>
      <c r="E69" s="1757"/>
      <c r="F69" s="1770"/>
      <c r="G69" s="1718"/>
      <c r="H69" s="1749"/>
      <c r="I69" s="1749"/>
      <c r="J69" s="1749"/>
      <c r="K69" s="1757"/>
      <c r="L69" s="1760"/>
      <c r="M69" s="1749"/>
      <c r="N69" s="1749"/>
      <c r="O69" s="1749"/>
      <c r="P69" s="1749"/>
      <c r="Q69" s="1749"/>
      <c r="R69" s="1757"/>
    </row>
    <row r="70" spans="1:18">
      <c r="A70" s="1768" t="s">
        <v>2059</v>
      </c>
      <c r="B70" s="1750">
        <f>25.613851/5^2</f>
        <v>1.0245540399999999</v>
      </c>
      <c r="C70" s="1749">
        <v>0.95</v>
      </c>
      <c r="D70" s="1749">
        <f>B70*C70</f>
        <v>0.9733263379999999</v>
      </c>
      <c r="E70" s="1757">
        <f>(SUM(K70:K71)+SUM(R70:R71))+$L$25</f>
        <v>138.43829436299998</v>
      </c>
      <c r="F70" s="1770"/>
      <c r="G70" s="1718">
        <f>(6.024+30.902+28.657+7.708)/5</f>
        <v>14.658199999999999</v>
      </c>
      <c r="H70" s="1749">
        <v>13</v>
      </c>
      <c r="I70" s="1749">
        <f>ROUNDUP(950/200,0)</f>
        <v>5</v>
      </c>
      <c r="J70" s="1749">
        <f t="shared" ref="J70:J73" si="27">0.006165*H70^2</f>
        <v>1.041885</v>
      </c>
      <c r="K70" s="1757">
        <f t="shared" ref="K70:K73" si="28">J70*I70*G70</f>
        <v>76.360793534999985</v>
      </c>
      <c r="L70" s="1760">
        <f>(950-2*40)/1000</f>
        <v>0.87</v>
      </c>
      <c r="M70" s="1749">
        <f>2*$F$1*O70/1000</f>
        <v>0.24</v>
      </c>
      <c r="N70" s="1749">
        <f t="shared" ref="N70:N73" si="29">L70+M70</f>
        <v>1.1099999999999999</v>
      </c>
      <c r="O70" s="1749">
        <v>10</v>
      </c>
      <c r="P70" s="1749">
        <v>46</v>
      </c>
      <c r="Q70" s="1749">
        <f t="shared" ref="Q70:Q73" si="30">0.006165*O70^2</f>
        <v>0.61650000000000005</v>
      </c>
      <c r="R70" s="1757">
        <f t="shared" ref="R70:R73" si="31">N70*Q70*P70</f>
        <v>31.478490000000001</v>
      </c>
    </row>
    <row r="71" spans="1:18">
      <c r="A71" s="1760"/>
      <c r="B71" s="1750"/>
      <c r="C71" s="1749"/>
      <c r="D71" s="1749"/>
      <c r="E71" s="1757"/>
      <c r="F71" s="1770"/>
      <c r="G71" s="1718">
        <f>3.739*P71/5</f>
        <v>9.7213999999999992</v>
      </c>
      <c r="H71" s="1749">
        <v>8</v>
      </c>
      <c r="I71" s="1749">
        <f t="shared" si="25"/>
        <v>5</v>
      </c>
      <c r="J71" s="1749">
        <f t="shared" si="27"/>
        <v>0.39456000000000002</v>
      </c>
      <c r="K71" s="1757">
        <f t="shared" si="28"/>
        <v>19.178377919999999</v>
      </c>
      <c r="L71" s="1760">
        <f t="shared" si="26"/>
        <v>0.87</v>
      </c>
      <c r="M71" s="1749">
        <f>2*$F$1*O71/1000</f>
        <v>0.192</v>
      </c>
      <c r="N71" s="1749">
        <f t="shared" si="29"/>
        <v>1.0620000000000001</v>
      </c>
      <c r="O71" s="1749">
        <v>8</v>
      </c>
      <c r="P71" s="1749">
        <v>13</v>
      </c>
      <c r="Q71" s="1749">
        <f t="shared" si="30"/>
        <v>0.39456000000000002</v>
      </c>
      <c r="R71" s="1757">
        <f t="shared" si="31"/>
        <v>5.4472953600000009</v>
      </c>
    </row>
    <row r="72" spans="1:18">
      <c r="A72" s="1768" t="s">
        <v>2055</v>
      </c>
      <c r="B72" s="1750">
        <f>30.733079/5^2</f>
        <v>1.2293231600000001</v>
      </c>
      <c r="C72" s="1749">
        <v>0.95</v>
      </c>
      <c r="D72" s="1749">
        <f>B72*C72</f>
        <v>1.1678570020000001</v>
      </c>
      <c r="E72" s="1757">
        <f>(SUM(K72:K73)+SUM(R72:R73))+$L$25</f>
        <v>167.47758361799998</v>
      </c>
      <c r="F72" s="1770"/>
      <c r="G72" s="1718">
        <f>(10.7+12.982+31.753+26.465+8.754)/5</f>
        <v>18.130800000000001</v>
      </c>
      <c r="H72" s="1749">
        <v>13</v>
      </c>
      <c r="I72" s="1749">
        <f t="shared" si="25"/>
        <v>5</v>
      </c>
      <c r="J72" s="1749">
        <f t="shared" si="27"/>
        <v>1.041885</v>
      </c>
      <c r="K72" s="1757">
        <f t="shared" si="28"/>
        <v>94.451042789999988</v>
      </c>
      <c r="L72" s="1760">
        <f t="shared" si="26"/>
        <v>0.87</v>
      </c>
      <c r="M72" s="1749">
        <f>2*$F$1*O72/1000</f>
        <v>0.24</v>
      </c>
      <c r="N72" s="1749">
        <f t="shared" si="29"/>
        <v>1.1099999999999999</v>
      </c>
      <c r="O72" s="1749">
        <v>10</v>
      </c>
      <c r="P72" s="1749">
        <v>62</v>
      </c>
      <c r="Q72" s="1749">
        <f t="shared" si="30"/>
        <v>0.61650000000000005</v>
      </c>
      <c r="R72" s="1757">
        <f t="shared" si="31"/>
        <v>42.427529999999997</v>
      </c>
    </row>
    <row r="73" spans="1:18">
      <c r="A73" s="1760"/>
      <c r="B73" s="1750"/>
      <c r="C73" s="1749"/>
      <c r="D73" s="1749"/>
      <c r="E73" s="1757"/>
      <c r="F73" s="1770"/>
      <c r="G73" s="1718">
        <f>3.739*P73/5</f>
        <v>9.7213999999999992</v>
      </c>
      <c r="H73" s="1749">
        <v>8</v>
      </c>
      <c r="I73" s="1749">
        <f t="shared" si="25"/>
        <v>5</v>
      </c>
      <c r="J73" s="1749">
        <f t="shared" si="27"/>
        <v>0.39456000000000002</v>
      </c>
      <c r="K73" s="1757">
        <f t="shared" si="28"/>
        <v>19.178377919999999</v>
      </c>
      <c r="L73" s="1760">
        <f t="shared" si="26"/>
        <v>0.87</v>
      </c>
      <c r="M73" s="1749">
        <f>2*$F$1*O73/1000</f>
        <v>0.192</v>
      </c>
      <c r="N73" s="1749">
        <f t="shared" si="29"/>
        <v>1.0620000000000001</v>
      </c>
      <c r="O73" s="1749">
        <v>8</v>
      </c>
      <c r="P73" s="1749">
        <v>13</v>
      </c>
      <c r="Q73" s="1749">
        <f t="shared" si="30"/>
        <v>0.39456000000000002</v>
      </c>
      <c r="R73" s="1757">
        <f t="shared" si="31"/>
        <v>5.4472953600000009</v>
      </c>
    </row>
    <row r="74" spans="1:18">
      <c r="A74" s="1768" t="s">
        <v>2058</v>
      </c>
      <c r="B74" s="1750">
        <f>450*200/1000000</f>
        <v>0.09</v>
      </c>
      <c r="C74" s="1749">
        <v>1.9</v>
      </c>
      <c r="D74" s="1749">
        <f>B74*C74</f>
        <v>0.17099999999999999</v>
      </c>
      <c r="E74" s="1757">
        <f>$L$43</f>
        <v>2.523931272</v>
      </c>
      <c r="F74" s="1770"/>
      <c r="G74" s="1718"/>
      <c r="H74" s="1749"/>
      <c r="I74" s="1749"/>
      <c r="J74" s="1749"/>
      <c r="K74" s="1757"/>
      <c r="L74" s="1760"/>
      <c r="M74" s="1749"/>
      <c r="N74" s="1749"/>
      <c r="O74" s="1749"/>
      <c r="P74" s="1749"/>
      <c r="Q74" s="1749"/>
      <c r="R74" s="1757"/>
    </row>
    <row r="75" spans="1:18" ht="16.5" thickBot="1">
      <c r="A75" s="1761"/>
      <c r="B75" s="1769"/>
      <c r="C75" s="1762"/>
      <c r="D75" s="1762"/>
      <c r="E75" s="1763"/>
      <c r="F75" s="1771"/>
      <c r="G75" s="1766"/>
      <c r="H75" s="1762"/>
      <c r="I75" s="1762"/>
      <c r="J75" s="1762"/>
      <c r="K75" s="1763"/>
      <c r="L75" s="1761"/>
      <c r="M75" s="1762"/>
      <c r="N75" s="1762"/>
      <c r="O75" s="1762"/>
      <c r="P75" s="1762"/>
      <c r="Q75" s="1762"/>
      <c r="R75" s="1763"/>
    </row>
    <row r="76" spans="1:18" ht="16.5" thickBot="1">
      <c r="B76" s="1705" t="s">
        <v>357</v>
      </c>
      <c r="C76" s="1748" t="s">
        <v>2060</v>
      </c>
      <c r="D76" s="1704">
        <f>SUM(D54:D59)</f>
        <v>1.7233223819999999</v>
      </c>
      <c r="E76" s="1703">
        <f>SUM(E54:E59)</f>
        <v>250.205409135</v>
      </c>
    </row>
    <row r="77" spans="1:18" ht="16.5" thickBot="1">
      <c r="C77" s="1748" t="s">
        <v>2011</v>
      </c>
      <c r="D77" s="1704">
        <f>SUM(D60:D69)</f>
        <v>2.4078973220000002</v>
      </c>
      <c r="E77" s="1703">
        <f>SUM(E60:E69)</f>
        <v>364.78642348799997</v>
      </c>
    </row>
    <row r="78" spans="1:18" ht="16.5" thickBot="1">
      <c r="C78" s="1748" t="s">
        <v>2010</v>
      </c>
      <c r="D78" s="1704">
        <f>SUM(D70:D75)</f>
        <v>2.3121833399999998</v>
      </c>
      <c r="E78" s="1703">
        <f>SUM(E70:E75)</f>
        <v>308.43980925300002</v>
      </c>
    </row>
    <row r="79" spans="1:18" ht="16.5" thickBot="1"/>
    <row r="80" spans="1:18">
      <c r="A80" s="1776" t="s">
        <v>2067</v>
      </c>
      <c r="B80" s="2201" t="s">
        <v>75</v>
      </c>
      <c r="C80" s="2203" t="s">
        <v>2020</v>
      </c>
      <c r="D80" s="2201" t="s">
        <v>2019</v>
      </c>
      <c r="E80" s="2203" t="s">
        <v>2018</v>
      </c>
      <c r="F80" s="2205" t="s">
        <v>96</v>
      </c>
      <c r="G80" s="2196" t="s">
        <v>2017</v>
      </c>
      <c r="H80" s="2197"/>
      <c r="I80" s="2197"/>
      <c r="J80" s="2197"/>
      <c r="K80" s="2198"/>
      <c r="L80" s="2199" t="s">
        <v>2016</v>
      </c>
      <c r="M80" s="2197"/>
      <c r="N80" s="2197"/>
      <c r="O80" s="2197"/>
      <c r="P80" s="2197"/>
      <c r="Q80" s="2197"/>
      <c r="R80" s="2200"/>
    </row>
    <row r="81" spans="1:18">
      <c r="A81" s="1708"/>
      <c r="B81" s="2202"/>
      <c r="C81" s="2204"/>
      <c r="D81" s="2202"/>
      <c r="E81" s="2204"/>
      <c r="F81" s="2206"/>
      <c r="G81" s="1707" t="s">
        <v>2015</v>
      </c>
      <c r="H81" s="1706" t="s">
        <v>2013</v>
      </c>
      <c r="I81" s="1706" t="s">
        <v>2012</v>
      </c>
      <c r="J81" s="1755" t="s">
        <v>2042</v>
      </c>
      <c r="K81" s="1764" t="s">
        <v>2039</v>
      </c>
      <c r="L81" s="1759" t="s">
        <v>2015</v>
      </c>
      <c r="M81" s="1706" t="s">
        <v>2014</v>
      </c>
      <c r="N81" s="1706" t="s">
        <v>138</v>
      </c>
      <c r="O81" s="1706" t="s">
        <v>2013</v>
      </c>
      <c r="P81" s="1706" t="s">
        <v>2012</v>
      </c>
      <c r="Q81" s="1755" t="s">
        <v>2042</v>
      </c>
      <c r="R81" s="1756" t="s">
        <v>2039</v>
      </c>
    </row>
    <row r="82" spans="1:18">
      <c r="A82" s="1768" t="s">
        <v>2068</v>
      </c>
      <c r="B82" s="1750">
        <f>19.323093/5^2</f>
        <v>0.77292371999999998</v>
      </c>
      <c r="C82" s="1749">
        <v>0.85</v>
      </c>
      <c r="D82" s="1749">
        <f>B82*C82</f>
        <v>0.65698516200000001</v>
      </c>
      <c r="E82" s="1757">
        <f>(SUM(K82:K83)+SUM(R82:R83))</f>
        <v>92.50538112000001</v>
      </c>
      <c r="F82" s="1770"/>
      <c r="G82" s="1718">
        <f>(4.754+25.126+24.484+6.318)/5</f>
        <v>12.1364</v>
      </c>
      <c r="H82" s="1749">
        <v>10</v>
      </c>
      <c r="I82" s="1749">
        <f>ROUNDUP(850/150,0)</f>
        <v>6</v>
      </c>
      <c r="J82" s="1749">
        <f>0.006165*H82^2</f>
        <v>0.61650000000000005</v>
      </c>
      <c r="K82" s="1758">
        <f>J82*I82*G82</f>
        <v>44.892543600000003</v>
      </c>
      <c r="L82" s="1760">
        <f>(850-2*40)/1000</f>
        <v>0.77</v>
      </c>
      <c r="M82" s="1749">
        <f>2*$F$1*O82/1000</f>
        <v>0.24</v>
      </c>
      <c r="N82" s="1749">
        <f>L82+M82</f>
        <v>1.01</v>
      </c>
      <c r="O82" s="1749">
        <v>10</v>
      </c>
      <c r="P82" s="1749">
        <v>42</v>
      </c>
      <c r="Q82" s="1749">
        <f>0.006165*O82^2</f>
        <v>0.61650000000000005</v>
      </c>
      <c r="R82" s="1757">
        <f>N82*Q82*P82</f>
        <v>26.15193</v>
      </c>
    </row>
    <row r="83" spans="1:18">
      <c r="A83" s="1760"/>
      <c r="B83" s="1750"/>
      <c r="C83" s="1749"/>
      <c r="D83" s="1749"/>
      <c r="E83" s="1757"/>
      <c r="F83" s="1770"/>
      <c r="G83" s="1718">
        <f>3.222*P83/5</f>
        <v>8.3772000000000002</v>
      </c>
      <c r="H83" s="1749">
        <v>8</v>
      </c>
      <c r="I83" s="1749">
        <f>ROUNDUP(850/200,0)</f>
        <v>5</v>
      </c>
      <c r="J83" s="1749">
        <f t="shared" ref="J83" si="32">0.006165*H83^2</f>
        <v>0.39456000000000002</v>
      </c>
      <c r="K83" s="1758">
        <f>J83*I83*G83</f>
        <v>16.52654016</v>
      </c>
      <c r="L83" s="1760">
        <f>(850-2*40)/1000</f>
        <v>0.77</v>
      </c>
      <c r="M83" s="1749">
        <f>2*$F$1*O83/1000</f>
        <v>0.192</v>
      </c>
      <c r="N83" s="1749">
        <f t="shared" ref="N83" si="33">L83+M83</f>
        <v>0.96199999999999997</v>
      </c>
      <c r="O83" s="1749">
        <v>8</v>
      </c>
      <c r="P83" s="1749">
        <v>13</v>
      </c>
      <c r="Q83" s="1749">
        <f t="shared" ref="Q83" si="34">0.006165*O83^2</f>
        <v>0.39456000000000002</v>
      </c>
      <c r="R83" s="1757">
        <f t="shared" ref="R83" si="35">N83*Q83*P83</f>
        <v>4.9343673600000004</v>
      </c>
    </row>
    <row r="84" spans="1:18" ht="16.5" thickBot="1">
      <c r="B84" s="1705" t="s">
        <v>357</v>
      </c>
      <c r="C84" s="1748" t="s">
        <v>2069</v>
      </c>
      <c r="D84" s="1704">
        <f>SUM(D82:D83)</f>
        <v>0.65698516200000001</v>
      </c>
      <c r="E84" s="1703">
        <f>SUM(E82:E83)</f>
        <v>92.50538112000001</v>
      </c>
    </row>
    <row r="85" spans="1:18">
      <c r="C85" s="1743"/>
      <c r="D85" s="1754"/>
    </row>
    <row r="86" spans="1:18">
      <c r="C86" s="1743"/>
      <c r="D86" s="1754"/>
    </row>
    <row r="87" spans="1:18">
      <c r="D87" s="1751" t="s">
        <v>2063</v>
      </c>
      <c r="E87" s="1751" t="s">
        <v>2064</v>
      </c>
      <c r="F87" s="1751"/>
      <c r="G87" s="1751" t="s">
        <v>2065</v>
      </c>
    </row>
    <row r="88" spans="1:18">
      <c r="C88" s="1777" t="s">
        <v>2062</v>
      </c>
      <c r="D88" s="1754">
        <v>8.8525000000000006E-2</v>
      </c>
      <c r="E88" s="1754">
        <v>60.58</v>
      </c>
      <c r="F88" s="1754"/>
      <c r="G88" s="1754">
        <f>D88*E88</f>
        <v>5.3628445000000005</v>
      </c>
    </row>
    <row r="90" spans="1:18">
      <c r="D90" s="1751" t="s">
        <v>2061</v>
      </c>
    </row>
    <row r="97" spans="4:4">
      <c r="D97" s="1702">
        <f>SQRT((PI()*(4/4)*3.1)^2+(4)^2)*(360-108)/360</f>
        <v>7.3698697521930256</v>
      </c>
    </row>
  </sheetData>
  <mergeCells count="28">
    <mergeCell ref="G10:K10"/>
    <mergeCell ref="L10:R10"/>
    <mergeCell ref="B10:B11"/>
    <mergeCell ref="C10:C11"/>
    <mergeCell ref="D10:D11"/>
    <mergeCell ref="E10:E11"/>
    <mergeCell ref="F10:F11"/>
    <mergeCell ref="L27:R27"/>
    <mergeCell ref="B27:B28"/>
    <mergeCell ref="C27:C28"/>
    <mergeCell ref="D27:D28"/>
    <mergeCell ref="E27:E28"/>
    <mergeCell ref="G27:K27"/>
    <mergeCell ref="F27:F28"/>
    <mergeCell ref="G52:K52"/>
    <mergeCell ref="L52:R52"/>
    <mergeCell ref="B52:B53"/>
    <mergeCell ref="C52:C53"/>
    <mergeCell ref="D52:D53"/>
    <mergeCell ref="E52:E53"/>
    <mergeCell ref="F52:F53"/>
    <mergeCell ref="G80:K80"/>
    <mergeCell ref="L80:R80"/>
    <mergeCell ref="B80:B81"/>
    <mergeCell ref="C80:C81"/>
    <mergeCell ref="D80:D81"/>
    <mergeCell ref="E80:E81"/>
    <mergeCell ref="F80:F81"/>
  </mergeCells>
  <phoneticPr fontId="7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Views>
    <sheetView view="pageBreakPreview" zoomScale="55" zoomScaleNormal="100" zoomScaleSheetLayoutView="55" workbookViewId="0">
      <pane xSplit="2" ySplit="1" topLeftCell="C2" activePane="bottomRight" state="frozen"/>
      <selection activeCell="D9" sqref="D9"/>
      <selection pane="topRight" activeCell="D9" sqref="D9"/>
      <selection pane="bottomLeft" activeCell="D9" sqref="D9"/>
      <selection pane="bottomRight" activeCell="K25" sqref="K25"/>
    </sheetView>
  </sheetViews>
  <sheetFormatPr defaultColWidth="9.140625" defaultRowHeight="12.75"/>
  <cols>
    <col min="1" max="1" width="14.5703125" style="1575" customWidth="1"/>
    <col min="2" max="2" width="44.5703125" style="1575" customWidth="1"/>
    <col min="3" max="3" width="23.28515625" style="1576" customWidth="1"/>
    <col min="4" max="4" width="9.28515625" style="1575" bestFit="1" customWidth="1"/>
    <col min="5" max="5" width="26.5703125" style="1575" bestFit="1" customWidth="1"/>
    <col min="6" max="6" width="3.85546875" style="1575" customWidth="1"/>
    <col min="7" max="7" width="9.140625" style="1575"/>
    <col min="8" max="8" width="26.42578125" style="1575" bestFit="1" customWidth="1"/>
    <col min="9" max="9" width="6" style="1575" customWidth="1"/>
    <col min="10" max="16384" width="9.140625" style="1575"/>
  </cols>
  <sheetData>
    <row r="1" spans="1:9" ht="26.25">
      <c r="A1" s="1609" t="s">
        <v>1894</v>
      </c>
      <c r="B1" s="1577"/>
      <c r="C1" s="1610"/>
      <c r="D1" s="1577"/>
      <c r="E1" s="1577"/>
      <c r="F1" s="1577"/>
      <c r="H1" s="1577"/>
      <c r="I1" s="1577"/>
    </row>
    <row r="2" spans="1:9" s="1599" customFormat="1" ht="30" customHeight="1">
      <c r="A2" s="1595" t="s">
        <v>1871</v>
      </c>
      <c r="B2" s="1595" t="str">
        <f>'REKAP RAB'!B2</f>
        <v>: Citraland Emerald Mansion</v>
      </c>
      <c r="C2" s="1610"/>
      <c r="D2" s="1577"/>
      <c r="E2" s="1577"/>
      <c r="F2" s="1577"/>
      <c r="H2" s="1577"/>
      <c r="I2" s="1577"/>
    </row>
    <row r="3" spans="1:9" s="1599" customFormat="1" ht="30" customHeight="1">
      <c r="A3" s="1595" t="s">
        <v>1893</v>
      </c>
      <c r="B3" s="1595" t="str">
        <f>'REKAP RAB'!B3</f>
        <v>: Ms. Ernawati</v>
      </c>
      <c r="C3" s="1610"/>
      <c r="D3" s="1577"/>
      <c r="E3" s="1577"/>
      <c r="F3" s="1577"/>
      <c r="H3" s="1577"/>
      <c r="I3" s="1577"/>
    </row>
    <row r="4" spans="1:9" s="1599" customFormat="1" ht="30" customHeight="1">
      <c r="A4" s="1595" t="s">
        <v>1760</v>
      </c>
      <c r="B4" s="1595" t="str">
        <f>'REKAP RAB'!B4</f>
        <v>: Januari 2026</v>
      </c>
      <c r="C4" s="1578"/>
      <c r="D4" s="1577"/>
      <c r="E4" s="1577"/>
      <c r="F4" s="1577"/>
      <c r="H4" s="1577"/>
      <c r="I4" s="1577"/>
    </row>
    <row r="5" spans="1:9" s="1599" customFormat="1" ht="18.75" customHeight="1">
      <c r="A5" s="1577"/>
      <c r="B5" s="1595"/>
      <c r="C5" s="1578"/>
      <c r="D5" s="1577"/>
      <c r="E5" s="1577"/>
      <c r="F5" s="1577"/>
      <c r="H5" s="1577"/>
      <c r="I5" s="1577"/>
    </row>
    <row r="6" spans="1:9" s="1599" customFormat="1" ht="18.75" customHeight="1">
      <c r="A6" s="1577"/>
      <c r="B6" s="1577"/>
      <c r="C6" s="1578"/>
      <c r="D6" s="1577"/>
      <c r="E6" s="1577"/>
      <c r="F6" s="1577"/>
      <c r="H6" s="1577"/>
      <c r="I6" s="1577"/>
    </row>
    <row r="7" spans="1:9" s="1599" customFormat="1" ht="36.75" customHeight="1" thickBot="1">
      <c r="A7" s="1577"/>
      <c r="B7" s="1609" t="s">
        <v>1892</v>
      </c>
      <c r="C7" s="1602"/>
      <c r="D7" s="1577"/>
      <c r="E7" s="1577"/>
      <c r="F7" s="1577"/>
      <c r="H7" s="1577"/>
      <c r="I7" s="1577"/>
    </row>
    <row r="8" spans="1:9" s="1599" customFormat="1" ht="29.25" customHeight="1" thickBot="1">
      <c r="A8" s="1577"/>
      <c r="B8" s="1595"/>
      <c r="C8" s="1602"/>
      <c r="D8" s="1577"/>
      <c r="E8" s="1607" t="s">
        <v>1891</v>
      </c>
      <c r="F8" s="1608"/>
      <c r="H8" s="1607" t="s">
        <v>1890</v>
      </c>
      <c r="I8" s="1577"/>
    </row>
    <row r="9" spans="1:9" s="1599" customFormat="1" ht="29.25" customHeight="1">
      <c r="A9" s="1603" t="s">
        <v>237</v>
      </c>
      <c r="B9" s="1595" t="str">
        <f>'REKAP RAB'!B9</f>
        <v>Pekerjaan Fisik Bangunan Utama</v>
      </c>
      <c r="C9" s="1602"/>
      <c r="D9" s="1577"/>
      <c r="E9" s="1606">
        <f>'REKAP RAB'!F9</f>
        <v>4591999273.4859886</v>
      </c>
      <c r="F9" s="1577"/>
      <c r="H9" s="1606">
        <f>'REKAP RAB'!O39</f>
        <v>3987483642.0733261</v>
      </c>
      <c r="I9" s="1577"/>
    </row>
    <row r="10" spans="1:9" s="1599" customFormat="1" ht="29.25" customHeight="1">
      <c r="A10" s="1603" t="s">
        <v>151</v>
      </c>
      <c r="B10" s="1595" t="str">
        <f>'REKAP RAB'!B10</f>
        <v>Pekerjaan Persiapan, Cut &amp; Fill, dan Anti Rayap</v>
      </c>
      <c r="C10" s="1602"/>
      <c r="D10" s="1577"/>
      <c r="E10" s="1606">
        <f>'REKAP RAB'!F10</f>
        <v>466813894.04653108</v>
      </c>
      <c r="F10" s="1577"/>
      <c r="H10" s="1606">
        <f>'REKAP RAB'!O67</f>
        <v>432090091.70975101</v>
      </c>
      <c r="I10" s="1577"/>
    </row>
    <row r="11" spans="1:9" s="1599" customFormat="1" ht="29.25" customHeight="1" thickBot="1">
      <c r="A11" s="1577"/>
      <c r="B11" s="1577"/>
      <c r="C11" s="1578"/>
      <c r="D11" s="1577"/>
      <c r="E11" s="1605"/>
      <c r="F11" s="1595" t="s">
        <v>204</v>
      </c>
      <c r="H11" s="1604"/>
      <c r="I11" s="1595" t="s">
        <v>204</v>
      </c>
    </row>
    <row r="12" spans="1:9" s="1599" customFormat="1" ht="29.25" customHeight="1" thickBot="1">
      <c r="A12" s="1577"/>
      <c r="B12" s="1577"/>
      <c r="C12" s="1601" t="s">
        <v>1889</v>
      </c>
      <c r="D12" s="1595"/>
      <c r="E12" s="1600">
        <f>E9+E10</f>
        <v>5058813167.5325193</v>
      </c>
      <c r="F12" s="1577"/>
      <c r="H12" s="1600">
        <f>H9+H10</f>
        <v>4419573733.7830772</v>
      </c>
      <c r="I12" s="1577"/>
    </row>
    <row r="13" spans="1:9" s="1599" customFormat="1" ht="29.25" customHeight="1" thickTop="1">
      <c r="A13" s="1577"/>
      <c r="B13" s="1577"/>
      <c r="C13" s="1578"/>
      <c r="D13" s="1577"/>
      <c r="E13" s="1577"/>
      <c r="F13" s="1577"/>
      <c r="H13" s="1577"/>
      <c r="I13" s="1577"/>
    </row>
    <row r="14" spans="1:9" s="1577" customFormat="1" ht="29.25" customHeight="1">
      <c r="A14" s="1582" t="s">
        <v>1888</v>
      </c>
      <c r="B14" s="1598" t="str">
        <f>'REKAP RAB'!J13</f>
        <v xml:space="preserve">           - Lantai 1</v>
      </c>
      <c r="C14" s="1597">
        <f>'REKAP RAB'!K13</f>
        <v>288.09378390000001</v>
      </c>
      <c r="D14" s="1591"/>
    </row>
    <row r="15" spans="1:9" s="1577" customFormat="1" ht="29.25" customHeight="1">
      <c r="A15" s="1582"/>
      <c r="B15" s="1598" t="str">
        <f>'REKAP RAB'!J14</f>
        <v xml:space="preserve">           - Lantai 2</v>
      </c>
      <c r="C15" s="1597">
        <f>'REKAP RAB'!K14</f>
        <v>185.7297585</v>
      </c>
      <c r="D15" s="1591"/>
    </row>
    <row r="16" spans="1:9" s="1577" customFormat="1" ht="29.25" customHeight="1">
      <c r="A16" s="1582"/>
      <c r="B16" s="1598" t="str">
        <f>'REKAP RAB'!J15</f>
        <v xml:space="preserve">           - Lantai 3</v>
      </c>
      <c r="C16" s="1597">
        <f>'REKAP RAB'!K15</f>
        <v>192.46180949999996</v>
      </c>
      <c r="D16" s="1591"/>
    </row>
    <row r="17" spans="1:8" s="1577" customFormat="1" ht="29.25" customHeight="1">
      <c r="A17" s="1582"/>
      <c r="B17" s="1598" t="str">
        <f>'REKAP RAB'!J16</f>
        <v xml:space="preserve">           - Lantai Atap</v>
      </c>
      <c r="C17" s="1597">
        <f>'REKAP RAB'!K16</f>
        <v>132.48144789999998</v>
      </c>
      <c r="D17" s="1591"/>
    </row>
    <row r="18" spans="1:8" s="1577" customFormat="1" ht="29.25" customHeight="1">
      <c r="A18" s="1583"/>
      <c r="B18" s="1591"/>
      <c r="C18" s="1591"/>
      <c r="D18" s="1583"/>
    </row>
    <row r="19" spans="1:8" s="1577" customFormat="1" ht="29.25" customHeight="1">
      <c r="A19" s="1583"/>
      <c r="B19" s="1582" t="s">
        <v>1887</v>
      </c>
      <c r="C19" s="1596">
        <f>SUM(C14:C18)</f>
        <v>798.76679979999994</v>
      </c>
      <c r="D19" s="1579" t="s">
        <v>49</v>
      </c>
      <c r="E19" s="1595"/>
    </row>
    <row r="20" spans="1:8" s="1577" customFormat="1" ht="29.25" customHeight="1">
      <c r="A20" s="1583"/>
      <c r="B20" s="1583"/>
      <c r="C20" s="1583"/>
      <c r="D20" s="1583"/>
      <c r="E20" s="1594"/>
      <c r="H20" s="1594"/>
    </row>
    <row r="21" spans="1:8" s="1577" customFormat="1" ht="20.25">
      <c r="A21" s="1591"/>
      <c r="B21" s="1582" t="s">
        <v>1886</v>
      </c>
      <c r="C21" s="1593">
        <f>SUM(E9:E9)/C19</f>
        <v>5748860.9624683466</v>
      </c>
      <c r="D21" s="1580" t="s">
        <v>1883</v>
      </c>
      <c r="E21" s="1579" t="s">
        <v>2129</v>
      </c>
      <c r="H21" s="1594"/>
    </row>
    <row r="22" spans="1:8" s="1577" customFormat="1" ht="20.25">
      <c r="A22" s="1583"/>
      <c r="B22" s="1582" t="s">
        <v>1885</v>
      </c>
      <c r="C22" s="1593">
        <f>SUM(H9:H9)/C19</f>
        <v>4992049.7986042192</v>
      </c>
      <c r="D22" s="1580" t="s">
        <v>1883</v>
      </c>
      <c r="E22" s="1579" t="s">
        <v>2129</v>
      </c>
    </row>
    <row r="23" spans="1:8" s="1577" customFormat="1" ht="20.25">
      <c r="A23" s="1591"/>
      <c r="B23" s="1591"/>
      <c r="C23" s="1592"/>
      <c r="D23" s="1591"/>
    </row>
    <row r="24" spans="1:8" s="1577" customFormat="1" ht="20.25">
      <c r="A24" s="1583"/>
      <c r="B24" s="1590" t="s">
        <v>1884</v>
      </c>
      <c r="C24" s="1589">
        <f>C21/C22-1</f>
        <v>0.15160328810736878</v>
      </c>
      <c r="D24" s="1580"/>
      <c r="E24" s="1579" t="s">
        <v>1882</v>
      </c>
    </row>
    <row r="25" spans="1:8" s="1577" customFormat="1" ht="20.25">
      <c r="A25" s="1583"/>
      <c r="B25" s="1582"/>
      <c r="C25" s="1581"/>
      <c r="D25" s="1580"/>
      <c r="E25" s="1579"/>
    </row>
    <row r="26" spans="1:8" s="1577" customFormat="1" ht="20.25">
      <c r="A26" s="1583"/>
      <c r="B26" s="1582"/>
      <c r="C26" s="1581"/>
      <c r="D26" s="1580"/>
      <c r="E26" s="1579"/>
    </row>
    <row r="27" spans="1:8" s="1577" customFormat="1" ht="20.25">
      <c r="A27" s="1583"/>
      <c r="B27" s="1582"/>
      <c r="C27" s="1581"/>
      <c r="D27" s="1580"/>
      <c r="E27" s="1579"/>
    </row>
    <row r="28" spans="1:8" s="1577" customFormat="1" ht="20.25">
      <c r="A28" s="1583"/>
      <c r="B28" s="1588" t="s">
        <v>1881</v>
      </c>
      <c r="C28" s="1581"/>
      <c r="D28" s="1580"/>
      <c r="E28" s="1579"/>
    </row>
    <row r="29" spans="1:8" s="1577" customFormat="1" ht="20.25">
      <c r="A29" s="1583"/>
      <c r="B29" s="1582"/>
      <c r="C29" s="1581"/>
      <c r="D29" s="1580"/>
      <c r="E29" s="1579"/>
    </row>
    <row r="30" spans="1:8" s="1577" customFormat="1" ht="27" customHeight="1">
      <c r="A30" s="1583"/>
      <c r="B30" s="1585" t="s">
        <v>1880</v>
      </c>
      <c r="C30" s="1587"/>
      <c r="D30" s="1580"/>
      <c r="E30" s="1586"/>
    </row>
    <row r="31" spans="1:8" s="1577" customFormat="1" ht="27" customHeight="1">
      <c r="A31" s="1583"/>
      <c r="B31" s="1585" t="s">
        <v>1879</v>
      </c>
      <c r="C31" s="1587"/>
      <c r="D31" s="1580"/>
      <c r="E31" s="1586" t="s">
        <v>1878</v>
      </c>
    </row>
    <row r="32" spans="1:8" s="1577" customFormat="1" ht="27" customHeight="1">
      <c r="A32" s="1583"/>
      <c r="B32" s="1585" t="s">
        <v>1877</v>
      </c>
      <c r="C32" s="1587"/>
      <c r="D32" s="1580"/>
      <c r="E32" s="1586" t="s">
        <v>1876</v>
      </c>
    </row>
    <row r="33" spans="1:5" s="1577" customFormat="1" ht="27" customHeight="1">
      <c r="A33" s="1583"/>
      <c r="B33" s="1585" t="s">
        <v>1875</v>
      </c>
      <c r="C33" s="1587"/>
      <c r="D33" s="1580"/>
      <c r="E33" s="1586" t="s">
        <v>1874</v>
      </c>
    </row>
    <row r="34" spans="1:5" s="1577" customFormat="1" ht="27" customHeight="1">
      <c r="A34" s="1583"/>
      <c r="B34" s="1585" t="s">
        <v>1873</v>
      </c>
      <c r="C34" s="1587"/>
      <c r="D34" s="1580"/>
      <c r="E34" s="1586"/>
    </row>
    <row r="35" spans="1:5" s="1577" customFormat="1" ht="20.25">
      <c r="A35" s="1583"/>
      <c r="B35" s="1585"/>
      <c r="C35" s="1581"/>
      <c r="D35" s="1580"/>
      <c r="E35" s="1579"/>
    </row>
    <row r="36" spans="1:5" s="1577" customFormat="1" ht="20.25">
      <c r="A36" s="1583"/>
      <c r="B36" s="1582" t="s">
        <v>1872</v>
      </c>
      <c r="C36" s="1584"/>
      <c r="D36" s="1580"/>
      <c r="E36" s="1579"/>
    </row>
    <row r="37" spans="1:5" s="1577" customFormat="1" ht="20.25">
      <c r="A37" s="1583"/>
      <c r="B37" s="1582"/>
      <c r="C37" s="1581"/>
      <c r="D37" s="1580"/>
      <c r="E37" s="1579"/>
    </row>
    <row r="38" spans="1:5" s="1577" customFormat="1" ht="20.25">
      <c r="A38" s="1583"/>
      <c r="B38" s="1582"/>
      <c r="C38" s="1581"/>
      <c r="D38" s="1580"/>
      <c r="E38" s="1579"/>
    </row>
    <row r="39" spans="1:5" s="1577" customFormat="1" ht="20.25">
      <c r="A39" s="1583"/>
      <c r="B39" s="1582"/>
      <c r="C39" s="1581"/>
      <c r="D39" s="1580"/>
      <c r="E39" s="1579"/>
    </row>
    <row r="40" spans="1:5" s="1577" customFormat="1" ht="20.25">
      <c r="A40" s="1583"/>
      <c r="B40" s="1582"/>
      <c r="C40" s="1581"/>
      <c r="D40" s="1580"/>
      <c r="E40" s="1579"/>
    </row>
    <row r="41" spans="1:5" s="1577" customFormat="1" ht="20.25">
      <c r="A41" s="1583"/>
      <c r="B41" s="1582"/>
      <c r="C41" s="1581"/>
      <c r="D41" s="1580"/>
      <c r="E41" s="1579"/>
    </row>
    <row r="42" spans="1:5" s="1577" customFormat="1" ht="20.25">
      <c r="A42" s="1583"/>
      <c r="B42" s="1582"/>
      <c r="C42" s="1581"/>
      <c r="D42" s="1580"/>
      <c r="E42" s="1579"/>
    </row>
    <row r="43" spans="1:5" s="1577" customFormat="1" ht="20.25">
      <c r="A43" s="1583"/>
      <c r="B43" s="1582"/>
      <c r="C43" s="1581"/>
      <c r="D43" s="1580"/>
      <c r="E43" s="1579"/>
    </row>
    <row r="44" spans="1:5" s="1577" customFormat="1" ht="20.25">
      <c r="A44" s="1583"/>
      <c r="B44" s="1582"/>
      <c r="C44" s="1581"/>
      <c r="D44" s="1580"/>
      <c r="E44" s="1579"/>
    </row>
    <row r="45" spans="1:5" s="1577" customFormat="1" ht="20.25">
      <c r="A45" s="1583"/>
      <c r="B45" s="1582"/>
      <c r="C45" s="1581"/>
      <c r="D45" s="1580"/>
      <c r="E45" s="1579"/>
    </row>
    <row r="46" spans="1:5" s="1577" customFormat="1" ht="20.25">
      <c r="A46" s="1583"/>
      <c r="B46" s="1582"/>
      <c r="C46" s="1581"/>
      <c r="D46" s="1580"/>
      <c r="E46" s="1579"/>
    </row>
    <row r="47" spans="1:5" s="1577" customFormat="1" ht="20.25">
      <c r="A47" s="1583"/>
      <c r="B47" s="1582"/>
      <c r="C47" s="1581"/>
      <c r="D47" s="1580"/>
      <c r="E47" s="1579"/>
    </row>
    <row r="48" spans="1:5" s="1577" customFormat="1" ht="20.25">
      <c r="A48" s="1583"/>
      <c r="B48" s="1582"/>
      <c r="C48" s="1581"/>
      <c r="D48" s="1580"/>
      <c r="E48" s="1579"/>
    </row>
    <row r="49" spans="1:5" s="1577" customFormat="1" ht="20.25">
      <c r="A49" s="1583"/>
      <c r="B49" s="1582"/>
      <c r="C49" s="1581"/>
      <c r="D49" s="1580"/>
      <c r="E49" s="1579"/>
    </row>
    <row r="50" spans="1:5" s="1577" customFormat="1" ht="20.25">
      <c r="C50" s="1578"/>
    </row>
  </sheetData>
  <pageMargins left="0.39370078740157483" right="0.39370078740157483" top="0.39370078740157483" bottom="0.39370078740157483" header="0" footer="0"/>
  <pageSetup paperSize="9" scale="58" fitToHeight="0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73"/>
  <sheetViews>
    <sheetView view="pageBreakPreview" zoomScale="55" zoomScaleNormal="100" zoomScaleSheetLayoutView="55" workbookViewId="0">
      <pane xSplit="2" ySplit="1" topLeftCell="C29" activePane="bottomRight" state="frozen"/>
      <selection activeCell="C25" sqref="C25"/>
      <selection pane="topRight" activeCell="C25" sqref="C25"/>
      <selection pane="bottomLeft" activeCell="C25" sqref="C25"/>
      <selection pane="bottomRight" activeCell="F35" sqref="F35"/>
    </sheetView>
  </sheetViews>
  <sheetFormatPr defaultColWidth="9.140625" defaultRowHeight="15"/>
  <cols>
    <col min="1" max="1" width="14.5703125" style="1575" customWidth="1"/>
    <col min="2" max="2" width="46.85546875" style="1575" customWidth="1"/>
    <col min="3" max="3" width="8.28515625" style="1576" customWidth="1"/>
    <col min="4" max="4" width="9.28515625" style="1575" customWidth="1"/>
    <col min="5" max="5" width="17" style="1575" bestFit="1" customWidth="1"/>
    <col min="6" max="6" width="26.5703125" style="1575" bestFit="1" customWidth="1"/>
    <col min="7" max="7" width="3.85546875" style="1575" customWidth="1"/>
    <col min="8" max="8" width="17.85546875" style="1575" customWidth="1"/>
    <col min="9" max="9" width="2" style="1575" bestFit="1" customWidth="1"/>
    <col min="10" max="10" width="88.140625" style="1575" customWidth="1"/>
    <col min="11" max="11" width="22.42578125" style="1611" bestFit="1" customWidth="1"/>
    <col min="12" max="12" width="19.28515625" style="1611" customWidth="1"/>
    <col min="13" max="13" width="9.140625" style="1575"/>
    <col min="14" max="14" width="14.140625" style="1611" bestFit="1" customWidth="1"/>
    <col min="15" max="15" width="23.7109375" style="1575" bestFit="1" customWidth="1"/>
    <col min="16" max="16" width="9.140625" style="1575"/>
    <col min="17" max="17" width="10.85546875" style="1611" bestFit="1" customWidth="1"/>
    <col min="18" max="18" width="10.28515625" style="1575" bestFit="1" customWidth="1"/>
    <col min="19" max="20" width="10.28515625" style="1575" customWidth="1"/>
    <col min="21" max="22" width="9.140625" style="1575"/>
    <col min="23" max="23" width="10.5703125" style="1575" bestFit="1" customWidth="1"/>
    <col min="24" max="16384" width="9.140625" style="1575"/>
  </cols>
  <sheetData>
    <row r="1" spans="1:19" ht="26.25">
      <c r="A1" s="1609" t="s">
        <v>1894</v>
      </c>
      <c r="B1" s="1577"/>
      <c r="C1" s="1610"/>
      <c r="D1" s="1577"/>
      <c r="E1" s="1577"/>
      <c r="F1" s="1577"/>
      <c r="G1" s="1577"/>
    </row>
    <row r="2" spans="1:19" s="1599" customFormat="1" ht="30" customHeight="1">
      <c r="A2" s="1595" t="s">
        <v>1871</v>
      </c>
      <c r="B2" s="1595" t="s">
        <v>2330</v>
      </c>
      <c r="C2" s="1610"/>
      <c r="D2" s="1577"/>
      <c r="E2" s="1577"/>
      <c r="F2" s="1577"/>
      <c r="G2" s="1577"/>
      <c r="K2" s="1612"/>
      <c r="L2" s="1612"/>
      <c r="N2" s="1649" t="s">
        <v>1949</v>
      </c>
      <c r="O2" s="1648">
        <v>1.1000000000000001</v>
      </c>
      <c r="Q2" s="1612"/>
      <c r="R2" s="1616" t="s">
        <v>383</v>
      </c>
      <c r="S2" s="1648" t="s">
        <v>237</v>
      </c>
    </row>
    <row r="3" spans="1:19" s="1599" customFormat="1" ht="30" customHeight="1">
      <c r="A3" s="1595" t="s">
        <v>1893</v>
      </c>
      <c r="B3" s="1595" t="s">
        <v>2329</v>
      </c>
      <c r="C3" s="1610"/>
      <c r="D3" s="1577"/>
      <c r="E3" s="1577"/>
      <c r="F3" s="1577"/>
      <c r="G3" s="1577"/>
      <c r="J3" s="1617" t="s">
        <v>1948</v>
      </c>
      <c r="K3" s="1650">
        <v>1</v>
      </c>
      <c r="L3" s="1632"/>
      <c r="N3" s="1649" t="s">
        <v>1947</v>
      </c>
      <c r="O3" s="1648">
        <v>1.08</v>
      </c>
      <c r="Q3" s="1612"/>
      <c r="R3" s="1616" t="s">
        <v>1946</v>
      </c>
      <c r="S3" s="1648" t="s">
        <v>237</v>
      </c>
    </row>
    <row r="4" spans="1:19" s="1599" customFormat="1" ht="30" customHeight="1">
      <c r="A4" s="1595" t="s">
        <v>1760</v>
      </c>
      <c r="B4" s="1595" t="s">
        <v>2368</v>
      </c>
      <c r="C4" s="1578"/>
      <c r="D4" s="1577"/>
      <c r="E4" s="1577"/>
      <c r="F4" s="1577"/>
      <c r="G4" s="1577"/>
      <c r="J4" s="1599" t="s">
        <v>1945</v>
      </c>
      <c r="K4" s="1612"/>
      <c r="L4" s="1612"/>
      <c r="N4" s="1649" t="s">
        <v>1944</v>
      </c>
      <c r="O4" s="1648" t="s">
        <v>2075</v>
      </c>
      <c r="Q4" s="1632"/>
    </row>
    <row r="5" spans="1:19" s="1599" customFormat="1" ht="18.75" customHeight="1">
      <c r="A5" s="1577"/>
      <c r="B5" s="1595"/>
      <c r="C5" s="1578"/>
      <c r="D5" s="1577"/>
      <c r="E5" s="1577"/>
      <c r="F5" s="1577"/>
      <c r="G5" s="1577"/>
      <c r="K5" s="1612"/>
      <c r="L5" s="1612"/>
      <c r="N5" s="1649" t="s">
        <v>1943</v>
      </c>
      <c r="O5" s="1648">
        <v>1.1499999999999999</v>
      </c>
      <c r="Q5" s="1612"/>
    </row>
    <row r="6" spans="1:19" s="1599" customFormat="1" ht="18.75" customHeight="1">
      <c r="A6" s="1577"/>
      <c r="B6" s="1577"/>
      <c r="C6" s="1578"/>
      <c r="D6" s="1577"/>
      <c r="E6" s="1577"/>
      <c r="F6" s="1577"/>
      <c r="G6" s="1577"/>
      <c r="K6" s="1612"/>
      <c r="L6" s="1612"/>
      <c r="N6" s="1649" t="s">
        <v>1942</v>
      </c>
      <c r="O6" s="1648">
        <v>1.1499999999999999</v>
      </c>
      <c r="Q6" s="1612"/>
    </row>
    <row r="7" spans="1:19" s="1599" customFormat="1" ht="36.75" customHeight="1">
      <c r="A7" s="1577"/>
      <c r="B7" s="1609" t="s">
        <v>1892</v>
      </c>
      <c r="C7" s="1602"/>
      <c r="D7" s="1577"/>
      <c r="E7" s="1577"/>
      <c r="F7" s="1577"/>
      <c r="G7" s="1577"/>
      <c r="K7" s="1612"/>
      <c r="L7" s="1612"/>
      <c r="N7" s="1649" t="s">
        <v>1941</v>
      </c>
      <c r="O7" s="1648">
        <v>1.1499999999999999</v>
      </c>
      <c r="Q7" s="1612"/>
    </row>
    <row r="8" spans="1:19" s="1599" customFormat="1" ht="29.25" customHeight="1">
      <c r="A8" s="1577"/>
      <c r="B8" s="1595"/>
      <c r="C8" s="1602"/>
      <c r="D8" s="1577"/>
      <c r="E8" s="1577"/>
      <c r="F8" s="1577"/>
      <c r="G8" s="1577"/>
      <c r="J8" s="1617" t="s">
        <v>1940</v>
      </c>
      <c r="K8" s="1612"/>
      <c r="L8" s="1612"/>
      <c r="N8" s="1649" t="s">
        <v>1939</v>
      </c>
      <c r="O8" s="1648">
        <v>1.1299999999999999</v>
      </c>
      <c r="Q8" s="1612"/>
    </row>
    <row r="9" spans="1:19" s="1599" customFormat="1" ht="29.25" customHeight="1">
      <c r="A9" s="1603" t="s">
        <v>237</v>
      </c>
      <c r="B9" s="1595" t="s">
        <v>1930</v>
      </c>
      <c r="C9" s="1602"/>
      <c r="D9" s="1577"/>
      <c r="E9" s="1577"/>
      <c r="F9" s="1606">
        <f>'REKAP RAB'!F39</f>
        <v>4591999273.4859886</v>
      </c>
      <c r="G9" s="1577"/>
      <c r="K9" s="1612"/>
      <c r="L9" s="1612"/>
      <c r="N9" s="1649"/>
      <c r="O9" s="1648"/>
      <c r="Q9" s="1612"/>
    </row>
    <row r="10" spans="1:19" s="1599" customFormat="1" ht="29.25" customHeight="1" thickBot="1">
      <c r="A10" s="1603" t="s">
        <v>151</v>
      </c>
      <c r="B10" s="1595" t="s">
        <v>2128</v>
      </c>
      <c r="C10" s="1602"/>
      <c r="D10" s="1577"/>
      <c r="E10" s="1577"/>
      <c r="F10" s="1605">
        <f>F67</f>
        <v>466813894.04653108</v>
      </c>
      <c r="G10" s="1577" t="s">
        <v>204</v>
      </c>
      <c r="K10" s="1612"/>
      <c r="L10" s="1612"/>
      <c r="N10" s="1649"/>
      <c r="O10" s="1648"/>
      <c r="Q10" s="1612"/>
    </row>
    <row r="11" spans="1:19" s="1599" customFormat="1" ht="29.25" customHeight="1">
      <c r="A11" s="1577"/>
      <c r="B11" s="1595"/>
      <c r="C11" s="1578"/>
      <c r="D11" s="1577"/>
      <c r="E11" s="1577"/>
      <c r="F11" s="1577"/>
      <c r="G11" s="1577"/>
      <c r="K11" s="1612"/>
      <c r="L11" s="1612"/>
      <c r="N11" s="1649"/>
      <c r="O11" s="1648"/>
      <c r="Q11" s="1612"/>
    </row>
    <row r="12" spans="1:19" s="1599" customFormat="1" ht="29.25" customHeight="1" thickBot="1">
      <c r="E12" s="1830" t="s">
        <v>1889</v>
      </c>
      <c r="F12" s="2005">
        <f>F9+F10</f>
        <v>5058813167.5325193</v>
      </c>
      <c r="G12" s="1577"/>
      <c r="J12" s="1599" t="s">
        <v>1938</v>
      </c>
      <c r="K12" s="1612"/>
      <c r="L12" s="1612"/>
      <c r="Q12" s="1612"/>
    </row>
    <row r="13" spans="1:19" s="1599" customFormat="1" ht="29.25" customHeight="1" thickTop="1">
      <c r="A13" s="1577"/>
      <c r="B13" s="1577"/>
      <c r="C13" s="1578"/>
      <c r="D13" s="1577"/>
      <c r="E13" s="1830"/>
      <c r="F13" s="1647"/>
      <c r="G13" s="1577"/>
      <c r="J13" s="1599" t="s">
        <v>2344</v>
      </c>
      <c r="K13" s="1612">
        <f>'REKAP Plat'!F18</f>
        <v>288.09378390000001</v>
      </c>
      <c r="L13" s="1612"/>
      <c r="Q13" s="1612"/>
    </row>
    <row r="14" spans="1:19" s="1599" customFormat="1" ht="29.25" customHeight="1">
      <c r="A14" s="1577"/>
      <c r="B14" s="1577"/>
      <c r="C14" s="1601"/>
      <c r="G14" s="1577"/>
      <c r="H14" s="1617"/>
      <c r="J14" s="1599" t="s">
        <v>2345</v>
      </c>
      <c r="K14" s="1612">
        <f>'REKAP Plat'!F36</f>
        <v>185.7297585</v>
      </c>
      <c r="L14" s="1612"/>
      <c r="Q14" s="1612"/>
    </row>
    <row r="15" spans="1:19" s="1599" customFormat="1" ht="29.25" customHeight="1">
      <c r="H15" s="1617"/>
      <c r="J15" s="1599" t="s">
        <v>2346</v>
      </c>
      <c r="K15" s="1612">
        <f>'REKAP Plat'!F44</f>
        <v>192.46180949999996</v>
      </c>
      <c r="L15" s="1612"/>
      <c r="N15" s="1612"/>
      <c r="Q15" s="1612"/>
    </row>
    <row r="16" spans="1:19" s="1599" customFormat="1" ht="29.25" customHeight="1">
      <c r="H16" s="1617"/>
      <c r="J16" s="1599" t="s">
        <v>1937</v>
      </c>
      <c r="K16" s="1612">
        <f>'REKAP Plat'!F51+(188.091565-27.826308)*0.7</f>
        <v>132.48144789999998</v>
      </c>
      <c r="L16" s="1612"/>
      <c r="N16" s="1612"/>
      <c r="Q16" s="1612"/>
    </row>
    <row r="17" spans="1:17" s="1599" customFormat="1" ht="29.25" customHeight="1">
      <c r="H17" s="1617"/>
      <c r="K17" s="1612"/>
      <c r="L17" s="1612"/>
      <c r="N17" s="1612"/>
      <c r="Q17" s="1612"/>
    </row>
    <row r="18" spans="1:17" s="1599" customFormat="1" ht="29.25" customHeight="1">
      <c r="K18" s="1612"/>
      <c r="L18" s="1640" t="s">
        <v>1936</v>
      </c>
    </row>
    <row r="19" spans="1:17" s="1599" customFormat="1" ht="29.25" customHeight="1">
      <c r="K19" s="1646">
        <f>SUM(K13:K18)</f>
        <v>798.76679979999994</v>
      </c>
      <c r="L19" s="1640" t="s">
        <v>1936</v>
      </c>
      <c r="N19" s="1612"/>
      <c r="O19" s="1620">
        <f>SUM(O39,O67)</f>
        <v>4419573733.7830772</v>
      </c>
      <c r="Q19" s="1612"/>
    </row>
    <row r="20" spans="1:17" s="1599" customFormat="1" ht="29.25" customHeight="1">
      <c r="K20" s="1613"/>
      <c r="L20" s="1640"/>
      <c r="N20" s="1612"/>
      <c r="Q20" s="1612"/>
    </row>
    <row r="21" spans="1:17" s="1599" customFormat="1" ht="29.25" customHeight="1">
      <c r="H21" s="1617"/>
      <c r="I21" s="1617">
        <v>2</v>
      </c>
      <c r="J21" s="1617" t="s">
        <v>1886</v>
      </c>
      <c r="K21" s="1645">
        <f>F9/K19</f>
        <v>5748860.9624683466</v>
      </c>
      <c r="L21" s="1644" t="s">
        <v>1934</v>
      </c>
      <c r="N21" s="1612"/>
      <c r="O21" s="1645">
        <f>O39/K19</f>
        <v>4992049.7986042192</v>
      </c>
      <c r="P21" s="1644" t="s">
        <v>1934</v>
      </c>
      <c r="Q21" s="1643">
        <f>K21/O21-1</f>
        <v>0.15160328810736878</v>
      </c>
    </row>
    <row r="22" spans="1:17" s="1599" customFormat="1" ht="29.25" customHeight="1">
      <c r="A22" s="1577"/>
      <c r="B22" s="1577"/>
      <c r="C22" s="1578"/>
      <c r="D22" s="1577"/>
      <c r="E22" s="1577"/>
      <c r="F22" s="1577"/>
      <c r="G22" s="1577"/>
      <c r="J22" s="1617" t="s">
        <v>1935</v>
      </c>
      <c r="K22" s="1645">
        <f>SUM(F9:F9)/K19</f>
        <v>5748860.9624683466</v>
      </c>
      <c r="L22" s="1644" t="s">
        <v>1934</v>
      </c>
      <c r="N22" s="1612"/>
      <c r="O22" s="1645">
        <f>SUM(O39,O67)/K19</f>
        <v>5532996.2823813865</v>
      </c>
      <c r="P22" s="1644" t="s">
        <v>1934</v>
      </c>
      <c r="Q22" s="1643">
        <f>K22/O22-1</f>
        <v>3.9014065629202399E-2</v>
      </c>
    </row>
    <row r="23" spans="1:17" s="1599" customFormat="1" ht="29.25" customHeight="1">
      <c r="A23" s="1595"/>
      <c r="B23" s="1595"/>
      <c r="C23" s="1578"/>
      <c r="D23" s="1577"/>
      <c r="E23" s="1642"/>
      <c r="F23" s="1594"/>
      <c r="G23" s="1577"/>
      <c r="J23" s="1617"/>
      <c r="K23" s="1645"/>
      <c r="L23" s="1644"/>
      <c r="N23" s="1612"/>
      <c r="O23" s="1645"/>
      <c r="P23" s="1644"/>
      <c r="Q23" s="1643"/>
    </row>
    <row r="24" spans="1:17" s="1599" customFormat="1" ht="29.25" customHeight="1">
      <c r="A24" s="1595"/>
      <c r="B24" s="1595"/>
      <c r="C24" s="1578"/>
      <c r="D24" s="1577"/>
      <c r="E24" s="1642"/>
      <c r="F24" s="1594"/>
      <c r="G24" s="1577"/>
      <c r="K24" s="1612"/>
      <c r="L24" s="1612"/>
      <c r="N24" s="1612"/>
      <c r="O24" s="1599">
        <f>O23*1.1265*K19</f>
        <v>0</v>
      </c>
      <c r="Q24" s="1612"/>
    </row>
    <row r="25" spans="1:17" s="1599" customFormat="1" ht="29.25" customHeight="1">
      <c r="A25" s="1617"/>
      <c r="B25" s="1617"/>
      <c r="C25" s="1613"/>
      <c r="E25" s="1641"/>
      <c r="F25" s="1640"/>
      <c r="K25" s="1639" t="s">
        <v>1933</v>
      </c>
      <c r="L25" s="1639" t="s">
        <v>1932</v>
      </c>
      <c r="N25" s="1612"/>
      <c r="Q25" s="1612"/>
    </row>
    <row r="26" spans="1:17" s="1599" customFormat="1" ht="18.75" customHeight="1">
      <c r="B26" s="1595" t="s">
        <v>1931</v>
      </c>
      <c r="C26" s="1613"/>
      <c r="K26" s="1639"/>
      <c r="L26" s="1639"/>
      <c r="N26" s="1612"/>
      <c r="Q26" s="1612"/>
    </row>
    <row r="27" spans="1:17" s="1599" customFormat="1" ht="18.75" customHeight="1">
      <c r="B27" s="1595" t="s">
        <v>1930</v>
      </c>
      <c r="C27" s="1613"/>
      <c r="F27" s="1637"/>
      <c r="J27" s="1617" t="s">
        <v>2124</v>
      </c>
      <c r="K27" s="1631">
        <f>F12</f>
        <v>5058813167.5325193</v>
      </c>
      <c r="L27" s="1612"/>
      <c r="N27" s="1612"/>
      <c r="Q27" s="1612"/>
    </row>
    <row r="28" spans="1:17" s="1599" customFormat="1" ht="18.75" customHeight="1">
      <c r="B28" s="1617"/>
      <c r="C28" s="1613"/>
      <c r="F28" s="1637"/>
      <c r="K28" s="1614"/>
      <c r="L28" s="1636">
        <f>K28-K27</f>
        <v>-5058813167.5325193</v>
      </c>
      <c r="N28" s="1612"/>
      <c r="Q28" s="1612"/>
    </row>
    <row r="29" spans="1:17" s="1599" customFormat="1" ht="18.75" customHeight="1">
      <c r="A29" s="1624" t="s">
        <v>1900</v>
      </c>
      <c r="B29" s="1617" t="s">
        <v>1899</v>
      </c>
      <c r="C29" s="1619"/>
      <c r="D29" s="1617"/>
      <c r="E29" s="1617"/>
      <c r="F29" s="1628">
        <f>'RAB (A)'!F20</f>
        <v>132545000</v>
      </c>
      <c r="G29" s="1637"/>
      <c r="I29" s="1638"/>
      <c r="K29" s="1614"/>
      <c r="L29" s="1636">
        <f t="shared" ref="L29:L39" si="0">K29-K28</f>
        <v>0</v>
      </c>
      <c r="N29" s="1612"/>
      <c r="O29" s="1628">
        <f>'RAB (A)'!O20</f>
        <v>132545000</v>
      </c>
      <c r="Q29" s="1612"/>
    </row>
    <row r="30" spans="1:17" s="1599" customFormat="1" ht="18.75" customHeight="1">
      <c r="A30" s="1624" t="s">
        <v>1898</v>
      </c>
      <c r="B30" s="1617" t="s">
        <v>1929</v>
      </c>
      <c r="C30" s="1619"/>
      <c r="D30" s="1617"/>
      <c r="E30" s="1617"/>
      <c r="F30" s="1628">
        <f>'RAB (A)'!F29</f>
        <v>152205730.60840914</v>
      </c>
      <c r="G30" s="1637"/>
      <c r="K30" s="1614"/>
      <c r="L30" s="1636">
        <f t="shared" si="0"/>
        <v>0</v>
      </c>
      <c r="N30" s="1612"/>
      <c r="O30" s="1628">
        <f>'RAB (A)'!O29</f>
        <v>136614990.5545699</v>
      </c>
      <c r="P30" s="1637"/>
      <c r="Q30" s="1612"/>
    </row>
    <row r="31" spans="1:17" s="1599" customFormat="1" ht="18.75" customHeight="1">
      <c r="A31" s="1624" t="s">
        <v>1897</v>
      </c>
      <c r="B31" s="1617" t="s">
        <v>2331</v>
      </c>
      <c r="C31" s="1619"/>
      <c r="D31" s="1617"/>
      <c r="E31" s="1617"/>
      <c r="F31" s="1628">
        <f>'RAB (A)'!F139</f>
        <v>1146859627.3426077</v>
      </c>
      <c r="G31" s="1637"/>
      <c r="K31" s="1614"/>
      <c r="L31" s="1636">
        <f t="shared" si="0"/>
        <v>0</v>
      </c>
      <c r="N31" s="1612"/>
      <c r="O31" s="1628">
        <f>'RAB (A)'!O139</f>
        <v>968153601.71748471</v>
      </c>
      <c r="P31" s="1637"/>
      <c r="Q31" s="1612"/>
    </row>
    <row r="32" spans="1:17" s="1599" customFormat="1" ht="18.75" customHeight="1">
      <c r="A32" s="1624" t="s">
        <v>1928</v>
      </c>
      <c r="B32" s="1617" t="s">
        <v>2332</v>
      </c>
      <c r="C32" s="1619"/>
      <c r="D32" s="1617"/>
      <c r="E32" s="1617"/>
      <c r="F32" s="1628">
        <f>'RAB (A)'!F172</f>
        <v>608094065.57798517</v>
      </c>
      <c r="G32" s="1637"/>
      <c r="K32" s="1614"/>
      <c r="L32" s="1636">
        <f t="shared" si="0"/>
        <v>0</v>
      </c>
      <c r="N32" s="1612"/>
      <c r="O32" s="1628">
        <f>'RAB (A)'!O172</f>
        <v>551689031.24998724</v>
      </c>
      <c r="P32" s="1637"/>
      <c r="Q32" s="1612"/>
    </row>
    <row r="33" spans="1:17" s="1599" customFormat="1" ht="18.75" customHeight="1">
      <c r="A33" s="1624" t="s">
        <v>1927</v>
      </c>
      <c r="B33" s="1617" t="s">
        <v>2333</v>
      </c>
      <c r="C33" s="1619"/>
      <c r="D33" s="1617"/>
      <c r="E33" s="1617"/>
      <c r="F33" s="1628">
        <f>'RAB (A)'!F201</f>
        <v>535027915.86452377</v>
      </c>
      <c r="G33" s="1637"/>
      <c r="K33" s="1614"/>
      <c r="L33" s="1636">
        <f t="shared" si="0"/>
        <v>0</v>
      </c>
      <c r="N33" s="1612"/>
      <c r="O33" s="1628">
        <f>'RAB (A)'!O201</f>
        <v>440164694.68180299</v>
      </c>
      <c r="P33" s="1637"/>
      <c r="Q33" s="1612"/>
    </row>
    <row r="34" spans="1:17" s="1599" customFormat="1" ht="18.75" customHeight="1">
      <c r="A34" s="1624" t="s">
        <v>1926</v>
      </c>
      <c r="B34" s="1617" t="s">
        <v>1924</v>
      </c>
      <c r="C34" s="1619"/>
      <c r="D34" s="1617"/>
      <c r="E34" s="1617"/>
      <c r="F34" s="1628">
        <f>'RAB (A)'!F219</f>
        <v>185760731.31062302</v>
      </c>
      <c r="G34" s="1637"/>
      <c r="H34" s="1637"/>
      <c r="K34" s="1614"/>
      <c r="L34" s="1636">
        <f t="shared" si="0"/>
        <v>0</v>
      </c>
      <c r="N34" s="1612"/>
      <c r="O34" s="1628">
        <f>'RAB (A)'!O219</f>
        <v>161531070.7048896</v>
      </c>
      <c r="P34" s="1637"/>
      <c r="Q34" s="1612"/>
    </row>
    <row r="35" spans="1:17" s="1599" customFormat="1" ht="18.75" customHeight="1">
      <c r="A35" s="1624" t="s">
        <v>1925</v>
      </c>
      <c r="B35" s="1617" t="s">
        <v>1923</v>
      </c>
      <c r="C35" s="1619"/>
      <c r="D35" s="1617"/>
      <c r="E35" s="1617"/>
      <c r="F35" s="1628">
        <f>'RAB (A)'!F237</f>
        <v>503341711.92250001</v>
      </c>
      <c r="G35" s="1637"/>
      <c r="H35" s="1637"/>
      <c r="K35" s="1614"/>
      <c r="L35" s="1636">
        <f t="shared" si="0"/>
        <v>0</v>
      </c>
      <c r="N35" s="1612"/>
      <c r="O35" s="1628">
        <f>'RAB (A)'!O237</f>
        <v>437861005.14999998</v>
      </c>
      <c r="P35" s="1637"/>
      <c r="Q35" s="1612"/>
    </row>
    <row r="36" spans="1:17" s="1599" customFormat="1" ht="18.75" customHeight="1">
      <c r="A36" s="1624" t="s">
        <v>2334</v>
      </c>
      <c r="B36" s="1617" t="s">
        <v>1922</v>
      </c>
      <c r="C36" s="1619"/>
      <c r="D36" s="1617"/>
      <c r="E36" s="1617"/>
      <c r="F36" s="1628">
        <f>'RAB (A)'!F266</f>
        <v>1068355209.6639794</v>
      </c>
      <c r="G36" s="1637"/>
      <c r="H36" s="1637"/>
      <c r="K36" s="1614"/>
      <c r="L36" s="1636">
        <f t="shared" si="0"/>
        <v>0</v>
      </c>
      <c r="N36" s="1612"/>
      <c r="O36" s="1628">
        <f>'RAB (A)'!O266</f>
        <v>929004530.14259112</v>
      </c>
      <c r="P36" s="1637"/>
      <c r="Q36" s="1612"/>
    </row>
    <row r="37" spans="1:17" s="1599" customFormat="1" ht="18.75" customHeight="1" thickBot="1">
      <c r="A37" s="1624" t="s">
        <v>2335</v>
      </c>
      <c r="B37" s="1617" t="s">
        <v>1921</v>
      </c>
      <c r="C37" s="1619"/>
      <c r="D37" s="1617"/>
      <c r="E37" s="1617"/>
      <c r="F37" s="1626">
        <f>'RAB (A)'!F280</f>
        <v>259809281.19536</v>
      </c>
      <c r="G37" s="1620" t="s">
        <v>204</v>
      </c>
      <c r="H37" s="1637"/>
      <c r="K37" s="1614"/>
      <c r="L37" s="1636">
        <f t="shared" si="0"/>
        <v>0</v>
      </c>
      <c r="N37" s="1612"/>
      <c r="O37" s="1626">
        <f>'RAB (A)'!O280</f>
        <v>229919717.87199998</v>
      </c>
      <c r="P37" s="1620" t="s">
        <v>204</v>
      </c>
      <c r="Q37" s="1612"/>
    </row>
    <row r="38" spans="1:17" s="1599" customFormat="1" ht="18.75" customHeight="1">
      <c r="B38" s="1617"/>
      <c r="C38" s="1613"/>
      <c r="F38" s="1628"/>
      <c r="G38" s="1621"/>
      <c r="H38" s="1637"/>
      <c r="K38" s="1614"/>
      <c r="L38" s="1636">
        <f t="shared" si="0"/>
        <v>0</v>
      </c>
      <c r="N38" s="1612"/>
      <c r="O38" s="1628"/>
      <c r="Q38" s="1612"/>
    </row>
    <row r="39" spans="1:17" s="1599" customFormat="1" ht="18.75" customHeight="1">
      <c r="C39" s="1613"/>
      <c r="E39" s="1624" t="s">
        <v>1920</v>
      </c>
      <c r="F39" s="1623">
        <f>SUM(F29:F37)</f>
        <v>4591999273.4859886</v>
      </c>
      <c r="H39" s="1637"/>
      <c r="K39" s="1614"/>
      <c r="L39" s="1636">
        <f t="shared" si="0"/>
        <v>0</v>
      </c>
      <c r="N39" s="1612"/>
      <c r="O39" s="1623">
        <f>SUM(O29:O37)</f>
        <v>3987483642.0733261</v>
      </c>
      <c r="P39" s="1621"/>
      <c r="Q39" s="1612"/>
    </row>
    <row r="40" spans="1:17" s="1599" customFormat="1" ht="18.75" customHeight="1">
      <c r="B40" s="1617" t="s">
        <v>1896</v>
      </c>
      <c r="C40" s="1613"/>
      <c r="K40" s="1614"/>
      <c r="L40" s="1636" t="e">
        <f>K40-#REF!</f>
        <v>#REF!</v>
      </c>
      <c r="N40" s="1612"/>
      <c r="Q40" s="1612"/>
    </row>
    <row r="41" spans="1:17" s="1599" customFormat="1" ht="18.75" customHeight="1">
      <c r="A41" s="1629">
        <v>1</v>
      </c>
      <c r="B41" s="1599" t="s">
        <v>1919</v>
      </c>
      <c r="C41" s="1613"/>
      <c r="K41" s="1614"/>
      <c r="L41" s="1636"/>
      <c r="N41" s="1612"/>
      <c r="Q41" s="1612"/>
    </row>
    <row r="42" spans="1:17" s="1599" customFormat="1" ht="18.75" customHeight="1">
      <c r="A42" s="1616">
        <v>2</v>
      </c>
      <c r="B42" s="1599" t="s">
        <v>1895</v>
      </c>
      <c r="C42" s="1613"/>
      <c r="K42" s="1614"/>
      <c r="L42" s="1636"/>
      <c r="N42" s="1612"/>
      <c r="Q42" s="1612"/>
    </row>
    <row r="43" spans="1:17" s="1599" customFormat="1" ht="18.75" customHeight="1">
      <c r="A43" s="1616"/>
      <c r="B43" s="1615" t="s">
        <v>1918</v>
      </c>
      <c r="C43" s="1613"/>
      <c r="K43" s="1614"/>
      <c r="L43" s="1636"/>
      <c r="N43" s="1612"/>
      <c r="Q43" s="1612"/>
    </row>
    <row r="44" spans="1:17" s="1599" customFormat="1" ht="18.75" customHeight="1">
      <c r="A44" s="1616"/>
      <c r="B44" s="1615" t="s">
        <v>1917</v>
      </c>
      <c r="C44" s="1613"/>
      <c r="K44" s="1614"/>
      <c r="L44" s="1636"/>
      <c r="N44" s="1612"/>
      <c r="Q44" s="1612"/>
    </row>
    <row r="45" spans="1:17" s="1599" customFormat="1" ht="18.75" customHeight="1">
      <c r="A45" s="1616"/>
      <c r="B45" s="1615" t="s">
        <v>1916</v>
      </c>
      <c r="C45" s="1613"/>
      <c r="K45" s="1614"/>
      <c r="L45" s="1636"/>
      <c r="N45" s="1612"/>
      <c r="Q45" s="1612"/>
    </row>
    <row r="46" spans="1:17" s="1599" customFormat="1" ht="18.75" customHeight="1">
      <c r="A46" s="1616">
        <v>3</v>
      </c>
      <c r="B46" s="1599" t="s">
        <v>1915</v>
      </c>
      <c r="C46" s="1613"/>
      <c r="J46" s="1635"/>
      <c r="K46" s="1634"/>
      <c r="L46" s="1614"/>
      <c r="N46" s="1612"/>
      <c r="Q46" s="1612"/>
    </row>
    <row r="47" spans="1:17" s="1599" customFormat="1" ht="18.75" customHeight="1">
      <c r="A47" s="1616" t="s">
        <v>354</v>
      </c>
      <c r="B47" s="1599" t="s">
        <v>1914</v>
      </c>
      <c r="C47" s="1613"/>
      <c r="K47" s="1614"/>
      <c r="L47" s="1614"/>
      <c r="N47" s="1612"/>
      <c r="Q47" s="1612"/>
    </row>
    <row r="48" spans="1:17" s="1599" customFormat="1" ht="18.75" customHeight="1">
      <c r="A48" s="1616" t="s">
        <v>354</v>
      </c>
      <c r="B48" s="1599" t="s">
        <v>2126</v>
      </c>
      <c r="C48" s="1613"/>
      <c r="K48" s="1614"/>
      <c r="L48" s="1612"/>
      <c r="N48" s="1612"/>
      <c r="Q48" s="1612"/>
    </row>
    <row r="49" spans="1:19" s="1599" customFormat="1" ht="18.75" customHeight="1">
      <c r="A49" s="1616" t="s">
        <v>354</v>
      </c>
      <c r="B49" s="1599" t="s">
        <v>1913</v>
      </c>
      <c r="C49" s="1613"/>
      <c r="J49" s="1617"/>
      <c r="K49" s="1631"/>
      <c r="L49" s="1612"/>
      <c r="N49" s="1612"/>
      <c r="Q49" s="1612"/>
    </row>
    <row r="50" spans="1:19" s="1599" customFormat="1" ht="18.75" customHeight="1">
      <c r="A50" s="1616">
        <v>4</v>
      </c>
      <c r="B50" s="1599" t="s">
        <v>1912</v>
      </c>
      <c r="C50" s="1613"/>
      <c r="K50" s="1614"/>
      <c r="L50" s="1614"/>
      <c r="N50" s="1612"/>
      <c r="Q50" s="1612"/>
    </row>
    <row r="51" spans="1:19" s="1599" customFormat="1" ht="18.75" customHeight="1">
      <c r="A51" s="1616"/>
      <c r="B51" s="1599" t="s">
        <v>1911</v>
      </c>
      <c r="C51" s="1613"/>
      <c r="K51" s="1614"/>
      <c r="L51" s="1614"/>
      <c r="N51" s="1612"/>
      <c r="Q51" s="1612"/>
    </row>
    <row r="52" spans="1:19" s="1599" customFormat="1" ht="18.75" customHeight="1">
      <c r="A52" s="1616"/>
      <c r="B52" s="1615" t="s">
        <v>1910</v>
      </c>
      <c r="C52" s="1613"/>
      <c r="K52" s="1633"/>
      <c r="L52" s="1632"/>
      <c r="N52" s="1612"/>
      <c r="Q52" s="1612"/>
    </row>
    <row r="53" spans="1:19" s="1599" customFormat="1" ht="18.75" customHeight="1">
      <c r="A53" s="1616"/>
      <c r="B53" s="1599" t="s">
        <v>2127</v>
      </c>
      <c r="C53" s="1613"/>
      <c r="J53" s="1617"/>
      <c r="K53" s="1631"/>
      <c r="L53" s="1612"/>
      <c r="N53" s="1612"/>
      <c r="Q53" s="1612"/>
    </row>
    <row r="54" spans="1:19" s="1599" customFormat="1" ht="18.75" customHeight="1">
      <c r="A54" s="1616"/>
      <c r="B54" s="1599" t="s">
        <v>1909</v>
      </c>
      <c r="C54" s="1613"/>
      <c r="K54" s="1614"/>
      <c r="L54" s="1614"/>
      <c r="N54" s="1612"/>
      <c r="Q54" s="1612"/>
    </row>
    <row r="55" spans="1:19" s="1599" customFormat="1" ht="18.75" customHeight="1">
      <c r="A55" s="1616"/>
      <c r="B55" s="1615" t="s">
        <v>1908</v>
      </c>
      <c r="C55" s="1613"/>
      <c r="K55" s="1614"/>
      <c r="L55" s="1612"/>
      <c r="N55" s="1612"/>
      <c r="Q55" s="1612"/>
    </row>
    <row r="56" spans="1:19" s="1599" customFormat="1" ht="18.75" customHeight="1">
      <c r="A56" s="1616"/>
      <c r="B56" s="1599" t="s">
        <v>1907</v>
      </c>
      <c r="C56" s="1613"/>
      <c r="J56" s="1617"/>
      <c r="K56" s="1631"/>
      <c r="L56" s="1612"/>
      <c r="N56" s="1612"/>
      <c r="Q56" s="1612"/>
    </row>
    <row r="57" spans="1:19" s="1599" customFormat="1" ht="18.75" customHeight="1">
      <c r="A57" s="1616"/>
      <c r="B57" s="1615" t="s">
        <v>2131</v>
      </c>
      <c r="C57" s="1613"/>
      <c r="K57" s="1614"/>
      <c r="L57" s="1636"/>
      <c r="N57" s="1612"/>
      <c r="Q57" s="1612"/>
    </row>
    <row r="58" spans="1:19" s="1599" customFormat="1" ht="18.75" customHeight="1">
      <c r="A58" s="1616"/>
      <c r="B58" s="1599" t="s">
        <v>1906</v>
      </c>
      <c r="C58" s="1613"/>
      <c r="K58" s="1614"/>
      <c r="L58" s="1614"/>
      <c r="N58" s="1612"/>
      <c r="Q58" s="1612"/>
    </row>
    <row r="59" spans="1:19" s="1599" customFormat="1" ht="19.5" customHeight="1">
      <c r="A59" s="1616">
        <v>5</v>
      </c>
      <c r="B59" s="2216" t="s">
        <v>2082</v>
      </c>
      <c r="C59" s="2216"/>
      <c r="D59" s="2216"/>
      <c r="E59" s="2216"/>
      <c r="F59" s="2216"/>
      <c r="K59" s="1614"/>
      <c r="L59" s="1614"/>
      <c r="N59" s="1612"/>
      <c r="Q59" s="1612"/>
    </row>
    <row r="60" spans="1:19" s="1599" customFormat="1" ht="18.75" customHeight="1">
      <c r="A60" s="1577"/>
      <c r="B60" s="1595" t="s">
        <v>1905</v>
      </c>
      <c r="C60" s="1578"/>
      <c r="D60" s="1577"/>
      <c r="E60" s="1577"/>
      <c r="F60" s="1577"/>
      <c r="G60" s="1577"/>
      <c r="K60" s="1614"/>
      <c r="L60" s="1614"/>
      <c r="N60" s="1612"/>
      <c r="Q60" s="1612"/>
    </row>
    <row r="61" spans="1:19" s="1577" customFormat="1" ht="18.75" customHeight="1">
      <c r="B61" s="1595" t="s">
        <v>2128</v>
      </c>
      <c r="C61" s="1578"/>
      <c r="H61" s="1599"/>
      <c r="I61" s="1599"/>
      <c r="J61" s="1599"/>
      <c r="K61" s="1614"/>
      <c r="L61" s="1614"/>
      <c r="M61" s="1599"/>
      <c r="N61" s="1612"/>
      <c r="Q61" s="1586"/>
      <c r="R61" s="1599"/>
      <c r="S61" s="1599"/>
    </row>
    <row r="62" spans="1:19" s="1577" customFormat="1" ht="18.75" customHeight="1">
      <c r="A62" s="1599"/>
      <c r="B62" s="1599"/>
      <c r="C62" s="1613"/>
      <c r="D62" s="1599"/>
      <c r="E62" s="1599"/>
      <c r="F62" s="1599"/>
      <c r="G62" s="1599"/>
      <c r="K62" s="1586"/>
      <c r="L62" s="1586"/>
      <c r="N62" s="1586"/>
      <c r="Q62" s="1586"/>
    </row>
    <row r="63" spans="1:19" s="1599" customFormat="1" ht="18.75" customHeight="1">
      <c r="A63" s="1624" t="s">
        <v>1900</v>
      </c>
      <c r="B63" s="1617" t="s">
        <v>1904</v>
      </c>
      <c r="C63" s="1613"/>
      <c r="F63" s="1628">
        <f>'RAB (B)'!F15</f>
        <v>128612725</v>
      </c>
      <c r="H63" s="1577"/>
      <c r="I63" s="1577"/>
      <c r="J63" s="1577"/>
      <c r="K63" s="1586"/>
      <c r="L63" s="1586"/>
      <c r="M63" s="1577"/>
      <c r="N63" s="1586"/>
      <c r="O63" s="1628">
        <f>'RAB (B)'!O15</f>
        <v>117829750</v>
      </c>
      <c r="Q63" s="1612"/>
      <c r="R63" s="1577"/>
      <c r="S63" s="1577"/>
    </row>
    <row r="64" spans="1:19" s="1599" customFormat="1" ht="18.75" customHeight="1">
      <c r="A64" s="1624" t="s">
        <v>1898</v>
      </c>
      <c r="B64" s="1617" t="s">
        <v>2207</v>
      </c>
      <c r="C64" s="1613"/>
      <c r="F64" s="1628">
        <f>'RAB (B)'!F26</f>
        <v>317672529.04653108</v>
      </c>
      <c r="H64" s="1577"/>
      <c r="I64" s="1577"/>
      <c r="J64" s="1577"/>
      <c r="K64" s="1586"/>
      <c r="L64" s="1586"/>
      <c r="M64" s="1577"/>
      <c r="N64" s="1586"/>
      <c r="O64" s="1628">
        <f>'RAB (B)'!O26</f>
        <v>295252341.70975101</v>
      </c>
      <c r="Q64" s="1612"/>
      <c r="R64" s="1577"/>
      <c r="S64" s="1577"/>
    </row>
    <row r="65" spans="1:19" s="1599" customFormat="1" ht="18.75" customHeight="1" thickBot="1">
      <c r="A65" s="1624" t="s">
        <v>1897</v>
      </c>
      <c r="B65" s="1617" t="s">
        <v>1903</v>
      </c>
      <c r="C65" s="1618"/>
      <c r="F65" s="1627">
        <f>'RAB (B)'!F33</f>
        <v>20528640.000000004</v>
      </c>
      <c r="G65" s="1620" t="s">
        <v>204</v>
      </c>
      <c r="K65" s="1612"/>
      <c r="L65" s="1612"/>
      <c r="N65" s="1612"/>
      <c r="O65" s="1626">
        <f>'RAB (B)'!O33</f>
        <v>19008000</v>
      </c>
      <c r="P65" s="1620" t="s">
        <v>204</v>
      </c>
      <c r="Q65" s="1612"/>
    </row>
    <row r="66" spans="1:19" s="1599" customFormat="1" ht="18.75" customHeight="1">
      <c r="A66" s="1619"/>
      <c r="C66" s="1618"/>
      <c r="F66" s="1625"/>
      <c r="G66" s="1620"/>
      <c r="K66" s="1612"/>
      <c r="L66" s="1612"/>
      <c r="N66" s="1612"/>
      <c r="O66" s="1612"/>
    </row>
    <row r="67" spans="1:19" s="1599" customFormat="1" ht="18.75" customHeight="1">
      <c r="A67" s="1619"/>
      <c r="B67" s="1617"/>
      <c r="C67" s="1618"/>
      <c r="E67" s="1624" t="s">
        <v>1902</v>
      </c>
      <c r="F67" s="1623">
        <f>SUM(F63:F65)</f>
        <v>466813894.04653108</v>
      </c>
      <c r="H67" s="1620"/>
      <c r="K67" s="1612"/>
      <c r="L67" s="1612"/>
      <c r="N67" s="1612"/>
      <c r="O67" s="1623">
        <f>SUM(O63:O65)</f>
        <v>432090091.70975101</v>
      </c>
    </row>
    <row r="68" spans="1:19" s="1599" customFormat="1" ht="18.75" customHeight="1">
      <c r="B68" s="1617" t="s">
        <v>1896</v>
      </c>
      <c r="C68" s="1613"/>
      <c r="K68" s="1612"/>
      <c r="L68" s="1612"/>
      <c r="N68" s="1612"/>
      <c r="Q68" s="1612"/>
    </row>
    <row r="69" spans="1:19" s="1599" customFormat="1" ht="18.75" customHeight="1">
      <c r="A69" s="1616">
        <v>1</v>
      </c>
      <c r="B69" s="1599" t="s">
        <v>1901</v>
      </c>
      <c r="C69" s="1613"/>
      <c r="K69" s="1612"/>
      <c r="L69" s="1612"/>
      <c r="N69" s="1612"/>
      <c r="Q69" s="1612"/>
    </row>
    <row r="70" spans="1:19" s="1599" customFormat="1" ht="18.75" customHeight="1">
      <c r="A70" s="1629"/>
      <c r="B70" s="1630"/>
      <c r="C70" s="1630"/>
      <c r="D70" s="1630"/>
      <c r="E70" s="1630"/>
      <c r="F70" s="1630"/>
      <c r="K70" s="1612"/>
      <c r="L70" s="1612"/>
      <c r="N70" s="1612"/>
      <c r="Q70" s="1612"/>
    </row>
    <row r="71" spans="1:19" s="1599" customFormat="1" ht="18.75" customHeight="1">
      <c r="B71" s="1599" t="s">
        <v>354</v>
      </c>
      <c r="C71" s="1613"/>
      <c r="K71" s="1612"/>
      <c r="L71" s="1612"/>
      <c r="N71" s="1612"/>
      <c r="Q71" s="1612"/>
    </row>
    <row r="72" spans="1:19" s="1599" customFormat="1" ht="18.75" customHeight="1">
      <c r="A72" s="1575"/>
      <c r="B72" s="1575"/>
      <c r="C72" s="1576"/>
      <c r="D72" s="1575"/>
      <c r="E72" s="1575"/>
      <c r="F72" s="1575"/>
      <c r="G72" s="1575"/>
      <c r="K72" s="1612"/>
      <c r="L72" s="1612"/>
      <c r="N72" s="1612"/>
      <c r="Q72" s="1612"/>
    </row>
    <row r="73" spans="1:19">
      <c r="H73" s="1599"/>
      <c r="I73" s="1599"/>
      <c r="J73" s="1599"/>
      <c r="K73" s="1612"/>
      <c r="L73" s="1612"/>
      <c r="M73" s="1599"/>
      <c r="N73" s="1612"/>
      <c r="R73" s="1599"/>
      <c r="S73" s="1599"/>
    </row>
  </sheetData>
  <mergeCells count="1">
    <mergeCell ref="B59:F59"/>
  </mergeCells>
  <pageMargins left="0.39370078740157483" right="0.39370078740157483" top="0.39370078740157483" bottom="0.39370078740157483" header="0" footer="0"/>
  <pageSetup paperSize="9" scale="75" fitToHeight="0" orientation="portrait" horizontalDpi="360" verticalDpi="360" r:id="rId1"/>
  <rowBreaks count="1" manualBreakCount="1">
    <brk id="25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O36"/>
  <sheetViews>
    <sheetView view="pageBreakPreview" zoomScale="85" zoomScaleNormal="100" zoomScaleSheetLayoutView="85" workbookViewId="0">
      <pane xSplit="2" ySplit="7" topLeftCell="C8" activePane="bottomRight" state="frozen"/>
      <selection activeCell="J20" sqref="J20"/>
      <selection pane="topRight" activeCell="J20" sqref="J20"/>
      <selection pane="bottomLeft" activeCell="J20" sqref="J20"/>
      <selection pane="bottomRight" activeCell="F23" sqref="F23"/>
    </sheetView>
  </sheetViews>
  <sheetFormatPr defaultColWidth="9.140625" defaultRowHeight="15"/>
  <cols>
    <col min="1" max="1" width="12.7109375" style="1575" customWidth="1"/>
    <col min="2" max="2" width="48.28515625" style="1787" customWidth="1"/>
    <col min="3" max="3" width="9.28515625" style="1576" customWidth="1"/>
    <col min="4" max="4" width="13.7109375" style="1575" customWidth="1"/>
    <col min="5" max="5" width="17" style="1575" bestFit="1" customWidth="1"/>
    <col min="6" max="6" width="20.5703125" style="1575" bestFit="1" customWidth="1"/>
    <col min="7" max="8" width="16.85546875" style="1575" customWidth="1"/>
    <col min="9" max="9" width="18.5703125" style="1575" bestFit="1" customWidth="1"/>
    <col min="10" max="10" width="19.42578125" style="1575" customWidth="1"/>
    <col min="11" max="11" width="16.85546875" style="1575" customWidth="1"/>
    <col min="12" max="12" width="17.42578125" style="1575" bestFit="1" customWidth="1"/>
    <col min="13" max="14" width="16.85546875" style="1575" customWidth="1"/>
    <col min="15" max="15" width="18.5703125" style="1575" bestFit="1" customWidth="1"/>
    <col min="16" max="16" width="21.7109375" style="1575" bestFit="1" customWidth="1"/>
    <col min="17" max="17" width="15" style="1575" bestFit="1" customWidth="1"/>
    <col min="18" max="18" width="18.140625" style="1652" bestFit="1" customWidth="1"/>
    <col min="19" max="19" width="13.42578125" style="1652" bestFit="1" customWidth="1"/>
    <col min="20" max="20" width="10.5703125" style="1652" bestFit="1" customWidth="1"/>
    <col min="21" max="21" width="9.140625" style="1575"/>
    <col min="22" max="22" width="10.28515625" style="1652" bestFit="1" customWidth="1"/>
    <col min="23" max="23" width="12" style="1821" customWidth="1"/>
    <col min="24" max="24" width="16.85546875" style="1821" bestFit="1" customWidth="1"/>
    <col min="25" max="25" width="9.140625" style="1821"/>
    <col min="26" max="26" width="10.28515625" style="1651" bestFit="1" customWidth="1"/>
    <col min="27" max="27" width="9.7109375" style="1821" bestFit="1" customWidth="1"/>
    <col min="28" max="28" width="10.28515625" style="1821" customWidth="1"/>
    <col min="29" max="29" width="10" style="1821" bestFit="1" customWidth="1"/>
    <col min="30" max="30" width="8" style="1821" bestFit="1" customWidth="1"/>
    <col min="31" max="31" width="9.140625" style="1821"/>
    <col min="32" max="33" width="12.85546875" style="1821" bestFit="1" customWidth="1"/>
    <col min="34" max="34" width="12.85546875" style="1575" bestFit="1" customWidth="1"/>
    <col min="35" max="35" width="12.85546875" style="1821" customWidth="1"/>
    <col min="36" max="36" width="12.42578125" style="1821" customWidth="1"/>
    <col min="37" max="37" width="10.42578125" style="1821" bestFit="1" customWidth="1"/>
    <col min="38" max="38" width="12.85546875" style="1821" bestFit="1" customWidth="1"/>
    <col min="39" max="40" width="9.140625" style="1821"/>
    <col min="41" max="41" width="9.7109375" style="1821" bestFit="1" customWidth="1"/>
    <col min="42" max="16384" width="9.140625" style="1575"/>
  </cols>
  <sheetData>
    <row r="1" spans="1:41" s="1577" customFormat="1" ht="22.5" customHeight="1">
      <c r="A1" s="1595" t="s">
        <v>1894</v>
      </c>
      <c r="B1" s="1787"/>
      <c r="C1" s="1575"/>
      <c r="R1" s="1697"/>
      <c r="S1" s="1697"/>
      <c r="T1" s="1697"/>
      <c r="V1" s="1697"/>
      <c r="W1" s="1788"/>
      <c r="X1" s="1788"/>
      <c r="Y1" s="1788"/>
      <c r="Z1" s="1696"/>
      <c r="AA1" s="1788"/>
      <c r="AB1" s="1788"/>
      <c r="AC1" s="1788"/>
      <c r="AD1" s="1788"/>
      <c r="AE1" s="1788"/>
      <c r="AF1" s="1788"/>
      <c r="AG1" s="1788"/>
      <c r="AI1" s="1788"/>
      <c r="AJ1" s="1788"/>
      <c r="AK1" s="1788"/>
      <c r="AL1" s="1788"/>
      <c r="AM1" s="1788"/>
      <c r="AN1" s="1788"/>
      <c r="AO1" s="1788"/>
    </row>
    <row r="2" spans="1:41" s="1599" customFormat="1" ht="18.75" customHeight="1">
      <c r="A2" s="1617" t="s">
        <v>1999</v>
      </c>
      <c r="B2" s="1617" t="s">
        <v>2130</v>
      </c>
      <c r="C2" s="1618"/>
      <c r="R2" s="1656"/>
      <c r="S2" s="1656"/>
      <c r="T2" s="1656"/>
      <c r="V2" s="1656"/>
      <c r="W2" s="1781"/>
      <c r="X2" s="1781"/>
      <c r="Y2" s="1781"/>
      <c r="Z2" s="1656"/>
      <c r="AA2" s="1781"/>
      <c r="AB2" s="1781"/>
      <c r="AC2" s="1781"/>
      <c r="AD2" s="1781"/>
      <c r="AE2" s="1781"/>
      <c r="AF2" s="1781"/>
      <c r="AG2" s="1781"/>
      <c r="AI2" s="1781"/>
      <c r="AJ2" s="1781"/>
      <c r="AK2" s="1781"/>
      <c r="AL2" s="1781"/>
      <c r="AM2" s="1781"/>
      <c r="AN2" s="1781"/>
      <c r="AO2" s="1781"/>
    </row>
    <row r="3" spans="1:41" s="1599" customFormat="1" ht="18.75" customHeight="1">
      <c r="A3" s="1617" t="s">
        <v>1871</v>
      </c>
      <c r="B3" s="1617" t="str">
        <f>'REKAP RAB'!B2</f>
        <v>: Citraland Emerald Mansion</v>
      </c>
      <c r="C3" s="1613"/>
      <c r="R3" s="1656"/>
      <c r="S3" s="1656"/>
      <c r="T3" s="1656"/>
      <c r="V3" s="1656"/>
      <c r="W3" s="1781"/>
      <c r="X3" s="1781"/>
      <c r="Y3" s="1781"/>
      <c r="Z3" s="1656"/>
      <c r="AA3" s="1781"/>
      <c r="AB3" s="1781"/>
      <c r="AC3" s="1781"/>
      <c r="AD3" s="1781"/>
      <c r="AE3" s="1781"/>
      <c r="AF3" s="1781"/>
      <c r="AG3" s="1781"/>
      <c r="AI3" s="1781"/>
      <c r="AJ3" s="1781"/>
      <c r="AK3" s="1781"/>
      <c r="AL3" s="1781"/>
      <c r="AM3" s="1781"/>
      <c r="AN3" s="1781"/>
      <c r="AO3" s="1781"/>
    </row>
    <row r="4" spans="1:41" s="1599" customFormat="1" ht="18.75" customHeight="1">
      <c r="A4" s="1617" t="s">
        <v>1893</v>
      </c>
      <c r="B4" s="1617" t="str">
        <f>'REKAP RAB'!B3</f>
        <v>: Ms. Ernawati</v>
      </c>
      <c r="C4" s="1613"/>
      <c r="R4" s="1656"/>
      <c r="S4" s="1656"/>
      <c r="T4" s="1656"/>
      <c r="V4" s="1656"/>
      <c r="W4" s="1781"/>
      <c r="X4" s="1781"/>
      <c r="Y4" s="1781"/>
      <c r="Z4" s="1656"/>
      <c r="AA4" s="1781"/>
      <c r="AB4" s="1781"/>
      <c r="AC4" s="1781"/>
      <c r="AD4" s="1781"/>
      <c r="AE4" s="1781"/>
      <c r="AF4" s="1781"/>
      <c r="AG4" s="1781"/>
      <c r="AI4" s="1781"/>
      <c r="AJ4" s="1781"/>
      <c r="AK4" s="1781"/>
      <c r="AL4" s="1781"/>
      <c r="AM4" s="1781"/>
      <c r="AN4" s="1781"/>
      <c r="AO4" s="1781"/>
    </row>
    <row r="5" spans="1:41" s="1599" customFormat="1" ht="18.75" customHeight="1">
      <c r="A5" s="1617" t="s">
        <v>1997</v>
      </c>
      <c r="B5" s="1617" t="str">
        <f>'REKAP RAB'!B4</f>
        <v>: Januari 2026</v>
      </c>
      <c r="C5" s="1613"/>
      <c r="R5" s="1656"/>
      <c r="S5" s="1656"/>
      <c r="T5" s="1656"/>
      <c r="V5" s="1656"/>
      <c r="W5" s="1781"/>
      <c r="X5" s="1781"/>
      <c r="Y5" s="1781"/>
      <c r="Z5" s="1656"/>
      <c r="AA5" s="1781"/>
      <c r="AB5" s="1781"/>
      <c r="AC5" s="1781"/>
      <c r="AD5" s="1781"/>
      <c r="AE5" s="1781"/>
      <c r="AF5" s="1781"/>
      <c r="AG5" s="1781"/>
      <c r="AI5" s="1781"/>
      <c r="AJ5" s="1781"/>
      <c r="AK5" s="1781"/>
      <c r="AL5" s="1781"/>
      <c r="AM5" s="1781"/>
      <c r="AN5" s="1781"/>
      <c r="AO5" s="1781"/>
    </row>
    <row r="6" spans="1:41" s="1599" customFormat="1" ht="18.75" customHeight="1" thickBot="1">
      <c r="B6" s="1630"/>
      <c r="C6" s="1613"/>
      <c r="R6" s="1695" t="s">
        <v>95</v>
      </c>
      <c r="S6" s="1695"/>
      <c r="T6" s="1695"/>
      <c r="U6" s="1630"/>
      <c r="V6" s="1695" t="s">
        <v>96</v>
      </c>
      <c r="W6" s="1789"/>
      <c r="X6" s="1789"/>
      <c r="Y6" s="1789"/>
      <c r="Z6" s="1694" t="s">
        <v>99</v>
      </c>
      <c r="AA6" s="1789"/>
      <c r="AB6" s="1789"/>
      <c r="AC6" s="1789" t="s">
        <v>227</v>
      </c>
      <c r="AD6" s="1789"/>
      <c r="AE6" s="1789"/>
      <c r="AF6" s="1789"/>
      <c r="AG6" s="1789"/>
      <c r="AH6" s="1630"/>
      <c r="AI6" s="1789"/>
      <c r="AJ6" s="1781"/>
      <c r="AK6" s="1781"/>
      <c r="AL6" s="1781"/>
      <c r="AM6" s="1781"/>
      <c r="AN6" s="1781"/>
      <c r="AO6" s="1781"/>
    </row>
    <row r="7" spans="1:41" s="1599" customFormat="1" ht="48" thickBot="1">
      <c r="A7" s="1790" t="s">
        <v>143</v>
      </c>
      <c r="B7" s="1791" t="s">
        <v>1754</v>
      </c>
      <c r="C7" s="1790" t="s">
        <v>1526</v>
      </c>
      <c r="D7" s="1792" t="s">
        <v>367</v>
      </c>
      <c r="E7" s="1792" t="s">
        <v>1996</v>
      </c>
      <c r="F7" s="1792" t="s">
        <v>1993</v>
      </c>
      <c r="G7" s="1793"/>
      <c r="H7" s="1792" t="s">
        <v>367</v>
      </c>
      <c r="I7" s="1794" t="s">
        <v>1880</v>
      </c>
      <c r="J7" s="1795" t="s">
        <v>1879</v>
      </c>
      <c r="K7" s="1795" t="s">
        <v>1877</v>
      </c>
      <c r="L7" s="1795" t="s">
        <v>1875</v>
      </c>
      <c r="M7" s="1796" t="s">
        <v>1995</v>
      </c>
      <c r="N7" s="1792" t="s">
        <v>1994</v>
      </c>
      <c r="O7" s="1792" t="s">
        <v>1993</v>
      </c>
      <c r="P7" s="1793"/>
      <c r="R7" s="1693" t="s">
        <v>1880</v>
      </c>
      <c r="S7" s="1693" t="s">
        <v>1879</v>
      </c>
      <c r="T7" s="1693" t="s">
        <v>1877</v>
      </c>
      <c r="U7" s="1787"/>
      <c r="V7" s="1693" t="s">
        <v>265</v>
      </c>
      <c r="W7" s="1797" t="s">
        <v>1880</v>
      </c>
      <c r="X7" s="1797" t="s">
        <v>1877</v>
      </c>
      <c r="Y7" s="1797"/>
      <c r="Z7" s="1692" t="s">
        <v>265</v>
      </c>
      <c r="AA7" s="1797" t="s">
        <v>1880</v>
      </c>
      <c r="AB7" s="1797"/>
      <c r="AC7" s="1797" t="s">
        <v>265</v>
      </c>
      <c r="AD7" s="1797" t="s">
        <v>1880</v>
      </c>
      <c r="AE7" s="1797"/>
      <c r="AF7" s="1797" t="s">
        <v>1992</v>
      </c>
      <c r="AG7" s="1797" t="s">
        <v>1991</v>
      </c>
      <c r="AH7" s="1787" t="s">
        <v>1990</v>
      </c>
      <c r="AI7" s="1797"/>
      <c r="AJ7" s="1797" t="s">
        <v>1989</v>
      </c>
      <c r="AK7" s="1797"/>
      <c r="AL7" s="1797" t="s">
        <v>100</v>
      </c>
      <c r="AM7" s="1797"/>
      <c r="AN7" s="1781"/>
      <c r="AO7" s="1781"/>
    </row>
    <row r="8" spans="1:41" s="1599" customFormat="1" ht="18.75" customHeight="1">
      <c r="A8" s="1798"/>
      <c r="B8" s="1799"/>
      <c r="C8" s="1779"/>
      <c r="D8" s="1780"/>
      <c r="E8" s="1798"/>
      <c r="F8" s="1798"/>
      <c r="H8" s="1780"/>
      <c r="I8" s="1667"/>
      <c r="J8" s="1666"/>
      <c r="K8" s="1666"/>
      <c r="L8" s="1666"/>
      <c r="M8" s="1665"/>
      <c r="N8" s="1664"/>
      <c r="O8" s="1664"/>
      <c r="R8" s="1656"/>
      <c r="S8" s="1656"/>
      <c r="T8" s="1656"/>
      <c r="V8" s="1656"/>
      <c r="W8" s="1781"/>
      <c r="X8" s="1781"/>
      <c r="Y8" s="1781"/>
      <c r="Z8" s="1656"/>
      <c r="AA8" s="1781"/>
      <c r="AB8" s="1781"/>
      <c r="AC8" s="1781"/>
      <c r="AD8" s="1781"/>
      <c r="AE8" s="1781"/>
      <c r="AF8" s="1781"/>
      <c r="AG8" s="1781"/>
      <c r="AI8" s="1781"/>
      <c r="AJ8" s="1781"/>
      <c r="AK8" s="1781"/>
      <c r="AL8" s="1781"/>
      <c r="AM8" s="1781"/>
      <c r="AN8" s="1781"/>
      <c r="AO8" s="1781"/>
    </row>
    <row r="9" spans="1:41" s="1599" customFormat="1" ht="18.75" customHeight="1">
      <c r="A9" s="1800" t="s">
        <v>1900</v>
      </c>
      <c r="B9" s="1801" t="s">
        <v>2008</v>
      </c>
      <c r="C9" s="1779"/>
      <c r="D9" s="1780"/>
      <c r="E9" s="1803"/>
      <c r="F9" s="1675"/>
      <c r="G9" s="1627"/>
      <c r="H9" s="1780"/>
      <c r="I9" s="1667"/>
      <c r="J9" s="1666"/>
      <c r="K9" s="1666"/>
      <c r="L9" s="1666"/>
      <c r="M9" s="1665"/>
      <c r="N9" s="1664"/>
      <c r="O9" s="1674"/>
      <c r="P9" s="1802"/>
      <c r="R9" s="1671"/>
      <c r="S9" s="1671"/>
      <c r="T9" s="1671"/>
      <c r="V9" s="1656"/>
      <c r="W9" s="1781"/>
      <c r="X9" s="1781"/>
      <c r="Y9" s="1781"/>
      <c r="Z9" s="1656"/>
      <c r="AA9" s="1781"/>
      <c r="AB9" s="1781"/>
      <c r="AC9" s="1781"/>
      <c r="AD9" s="1781"/>
      <c r="AE9" s="1781"/>
      <c r="AF9" s="1781"/>
      <c r="AG9" s="1781"/>
      <c r="AI9" s="1781"/>
      <c r="AJ9" s="1781"/>
      <c r="AK9" s="1781"/>
      <c r="AL9" s="1781"/>
      <c r="AM9" s="1781"/>
      <c r="AN9" s="1781"/>
      <c r="AO9" s="1781"/>
    </row>
    <row r="10" spans="1:41" s="1599" customFormat="1" ht="18.75" customHeight="1">
      <c r="A10" s="1798"/>
      <c r="B10" s="1799"/>
      <c r="C10" s="1779"/>
      <c r="D10" s="1780"/>
      <c r="E10" s="1803"/>
      <c r="F10" s="1803"/>
      <c r="G10" s="1804"/>
      <c r="H10" s="1780"/>
      <c r="I10" s="1667"/>
      <c r="J10" s="1666"/>
      <c r="K10" s="1666"/>
      <c r="L10" s="1666"/>
      <c r="M10" s="1665"/>
      <c r="N10" s="1664"/>
      <c r="O10" s="1664"/>
      <c r="P10" s="1804"/>
      <c r="R10" s="1671"/>
      <c r="S10" s="1671"/>
      <c r="T10" s="1671"/>
      <c r="V10" s="1656"/>
      <c r="W10" s="1781"/>
      <c r="X10" s="1781"/>
      <c r="Y10" s="1781"/>
      <c r="Z10" s="1656"/>
      <c r="AA10" s="1781"/>
      <c r="AB10" s="1781"/>
      <c r="AC10" s="1781"/>
      <c r="AD10" s="1781"/>
      <c r="AE10" s="1781"/>
      <c r="AF10" s="1781"/>
      <c r="AG10" s="1781"/>
      <c r="AI10" s="1781"/>
      <c r="AJ10" s="1781"/>
      <c r="AK10" s="1781"/>
      <c r="AL10" s="1781"/>
      <c r="AM10" s="1781"/>
      <c r="AN10" s="1781"/>
      <c r="AO10" s="1781"/>
    </row>
    <row r="11" spans="1:41" s="1599" customFormat="1" ht="18.75" customHeight="1">
      <c r="A11" s="1798">
        <v>1</v>
      </c>
      <c r="B11" s="1799" t="s">
        <v>2007</v>
      </c>
      <c r="C11" s="1779" t="s">
        <v>352</v>
      </c>
      <c r="D11" s="1780">
        <f>H11</f>
        <v>1</v>
      </c>
      <c r="E11" s="1622">
        <f>N11*'REKAP RAB'!$O$2</f>
        <v>39537575</v>
      </c>
      <c r="F11" s="1669">
        <f>D11*E11</f>
        <v>39537575</v>
      </c>
      <c r="G11" s="1804"/>
      <c r="H11" s="1780">
        <v>1</v>
      </c>
      <c r="I11" s="1667"/>
      <c r="J11" s="1666"/>
      <c r="K11" s="1666"/>
      <c r="L11" s="1666">
        <f>((22+1.5)*(20+3)*0.95)*70000</f>
        <v>35943250</v>
      </c>
      <c r="M11" s="1665"/>
      <c r="N11" s="1664">
        <f>SUM(I11:M11)</f>
        <v>35943250</v>
      </c>
      <c r="O11" s="1664">
        <f>H11*N11</f>
        <v>35943250</v>
      </c>
      <c r="P11" s="1804" t="s">
        <v>2360</v>
      </c>
      <c r="R11" s="1671"/>
      <c r="S11" s="1671"/>
      <c r="T11" s="1671"/>
      <c r="V11" s="1656"/>
      <c r="W11" s="1781"/>
      <c r="X11" s="1781"/>
      <c r="Y11" s="1781"/>
      <c r="Z11" s="1656"/>
      <c r="AA11" s="1781"/>
      <c r="AB11" s="1781"/>
      <c r="AC11" s="1781"/>
      <c r="AD11" s="1781"/>
      <c r="AE11" s="1781"/>
      <c r="AF11" s="1781"/>
      <c r="AG11" s="1781"/>
      <c r="AI11" s="1781"/>
      <c r="AJ11" s="1781"/>
      <c r="AK11" s="1781"/>
      <c r="AL11" s="1781"/>
      <c r="AM11" s="1781"/>
      <c r="AN11" s="1781"/>
      <c r="AO11" s="1781"/>
    </row>
    <row r="12" spans="1:41" s="1599" customFormat="1" ht="15.75">
      <c r="A12" s="1798">
        <v>2</v>
      </c>
      <c r="B12" s="1799" t="s">
        <v>2006</v>
      </c>
      <c r="C12" s="1779" t="s">
        <v>352</v>
      </c>
      <c r="D12" s="1780">
        <f>H12</f>
        <v>1</v>
      </c>
      <c r="E12" s="1622">
        <f>N12*'REKAP RAB'!$O$2</f>
        <v>79075150</v>
      </c>
      <c r="F12" s="1669">
        <f>D12*E12</f>
        <v>79075150</v>
      </c>
      <c r="G12" s="1668"/>
      <c r="H12" s="1780">
        <v>1</v>
      </c>
      <c r="I12" s="1667"/>
      <c r="J12" s="1666"/>
      <c r="K12" s="1666"/>
      <c r="L12" s="1666">
        <f>((22+1.5)*(20+3)*0.7)*190000</f>
        <v>71886500</v>
      </c>
      <c r="M12" s="1665"/>
      <c r="N12" s="1664">
        <f>SUM(I12:M12)</f>
        <v>71886500</v>
      </c>
      <c r="O12" s="1664">
        <f>H12*N12</f>
        <v>71886500</v>
      </c>
      <c r="P12" s="1804" t="s">
        <v>2355</v>
      </c>
      <c r="R12" s="1671"/>
      <c r="S12" s="1671"/>
      <c r="T12" s="1671"/>
      <c r="V12" s="1656"/>
      <c r="W12" s="1781"/>
      <c r="X12" s="1781"/>
      <c r="Y12" s="1781"/>
      <c r="Z12" s="1656"/>
      <c r="AA12" s="1781"/>
      <c r="AB12" s="1781"/>
      <c r="AC12" s="1781"/>
      <c r="AD12" s="1781"/>
      <c r="AE12" s="1781"/>
      <c r="AF12" s="1670">
        <f>R12+V12*W12+Z12*AA12</f>
        <v>0</v>
      </c>
      <c r="AG12" s="1670">
        <f>S12</f>
        <v>0</v>
      </c>
      <c r="AH12" s="1670">
        <f>T12+V12*X12</f>
        <v>0</v>
      </c>
      <c r="AI12" s="1781"/>
      <c r="AJ12" s="1781"/>
      <c r="AK12" s="1781"/>
      <c r="AL12" s="1781"/>
      <c r="AM12" s="1781"/>
      <c r="AN12" s="1781"/>
      <c r="AO12" s="1781"/>
    </row>
    <row r="13" spans="1:41" s="1599" customFormat="1" ht="15.75">
      <c r="A13" s="1798">
        <v>3</v>
      </c>
      <c r="B13" s="1823" t="s">
        <v>2004</v>
      </c>
      <c r="C13" s="1779" t="s">
        <v>352</v>
      </c>
      <c r="D13" s="1780">
        <v>1</v>
      </c>
      <c r="E13" s="1622">
        <f>N13</f>
        <v>10000000</v>
      </c>
      <c r="F13" s="1669">
        <f>D13*E13</f>
        <v>10000000</v>
      </c>
      <c r="G13" s="1668"/>
      <c r="H13" s="1780">
        <v>1</v>
      </c>
      <c r="I13" s="1667"/>
      <c r="J13" s="1666"/>
      <c r="K13" s="1666"/>
      <c r="L13" s="1666">
        <v>10000000</v>
      </c>
      <c r="M13" s="1665"/>
      <c r="N13" s="1664">
        <f>SUM(I13:M13)</f>
        <v>10000000</v>
      </c>
      <c r="O13" s="1664">
        <f>H13*N13</f>
        <v>10000000</v>
      </c>
      <c r="P13" s="1804" t="s">
        <v>2361</v>
      </c>
      <c r="R13" s="1671"/>
      <c r="S13" s="1671"/>
      <c r="T13" s="1671"/>
      <c r="V13" s="1656"/>
      <c r="W13" s="1781"/>
      <c r="X13" s="1781"/>
      <c r="Y13" s="1781"/>
      <c r="Z13" s="1656"/>
      <c r="AA13" s="1781"/>
      <c r="AB13" s="1781"/>
      <c r="AC13" s="1781"/>
      <c r="AD13" s="1781"/>
      <c r="AE13" s="1781"/>
      <c r="AF13" s="1670"/>
      <c r="AG13" s="1670"/>
      <c r="AH13" s="1670"/>
      <c r="AI13" s="1781"/>
      <c r="AJ13" s="1781"/>
      <c r="AK13" s="1781"/>
      <c r="AL13" s="1781"/>
      <c r="AM13" s="1781"/>
      <c r="AN13" s="1781"/>
      <c r="AO13" s="1781"/>
    </row>
    <row r="14" spans="1:41" s="1599" customFormat="1" ht="16.5" thickBot="1">
      <c r="A14" s="1798"/>
      <c r="B14" s="1799"/>
      <c r="C14" s="1779"/>
      <c r="D14" s="1780"/>
      <c r="E14" s="1622"/>
      <c r="F14" s="1669"/>
      <c r="G14" s="1668"/>
      <c r="H14" s="1780"/>
      <c r="I14" s="1667"/>
      <c r="J14" s="1666"/>
      <c r="K14" s="1666"/>
      <c r="L14" s="1666"/>
      <c r="M14" s="1665"/>
      <c r="N14" s="1664"/>
      <c r="O14" s="1664"/>
      <c r="P14" s="1804"/>
      <c r="R14" s="1671"/>
      <c r="S14" s="1671"/>
      <c r="T14" s="1671"/>
      <c r="V14" s="1656"/>
      <c r="W14" s="1781"/>
      <c r="X14" s="1781"/>
      <c r="Y14" s="1781"/>
      <c r="Z14" s="1656"/>
      <c r="AA14" s="1781"/>
      <c r="AB14" s="1781"/>
      <c r="AC14" s="1781"/>
      <c r="AD14" s="1781"/>
      <c r="AE14" s="1781"/>
      <c r="AF14" s="1670"/>
      <c r="AG14" s="1670"/>
      <c r="AH14" s="1670"/>
      <c r="AI14" s="1781"/>
      <c r="AJ14" s="1781"/>
      <c r="AK14" s="1781"/>
      <c r="AL14" s="1781"/>
      <c r="AM14" s="1781"/>
      <c r="AN14" s="1781"/>
      <c r="AO14" s="1781"/>
    </row>
    <row r="15" spans="1:41" s="1599" customFormat="1" ht="16.5" thickBot="1">
      <c r="A15" s="2220" t="s">
        <v>2005</v>
      </c>
      <c r="B15" s="2221"/>
      <c r="C15" s="2221"/>
      <c r="D15" s="2221"/>
      <c r="E15" s="2222"/>
      <c r="F15" s="1658">
        <f>SUM(F8:F14)</f>
        <v>128612725</v>
      </c>
      <c r="G15" s="1668"/>
      <c r="H15" s="1824"/>
      <c r="I15" s="1701"/>
      <c r="J15" s="1700"/>
      <c r="K15" s="1700"/>
      <c r="L15" s="1700"/>
      <c r="M15" s="1699"/>
      <c r="N15" s="1698"/>
      <c r="O15" s="1658">
        <f>SUM(O8:O14)</f>
        <v>117829750</v>
      </c>
      <c r="P15" s="1804"/>
      <c r="R15" s="1671"/>
      <c r="S15" s="1671"/>
      <c r="T15" s="1671"/>
      <c r="V15" s="1656"/>
      <c r="W15" s="1781"/>
      <c r="X15" s="1781"/>
      <c r="Y15" s="1781"/>
      <c r="Z15" s="1656"/>
      <c r="AA15" s="1781"/>
      <c r="AB15" s="1781"/>
      <c r="AC15" s="1781"/>
      <c r="AD15" s="1781"/>
      <c r="AE15" s="1781"/>
      <c r="AF15" s="1670"/>
      <c r="AG15" s="1670"/>
      <c r="AH15" s="1670"/>
      <c r="AI15" s="1781"/>
      <c r="AJ15" s="1781"/>
      <c r="AK15" s="1781"/>
      <c r="AL15" s="1781"/>
      <c r="AM15" s="1781"/>
      <c r="AN15" s="1781"/>
      <c r="AO15" s="1781"/>
    </row>
    <row r="16" spans="1:41" s="1599" customFormat="1" ht="18.75" customHeight="1">
      <c r="A16" s="1798"/>
      <c r="B16" s="1799"/>
      <c r="C16" s="1779"/>
      <c r="D16" s="1780"/>
      <c r="E16" s="1798"/>
      <c r="F16" s="1798"/>
      <c r="H16" s="1780"/>
      <c r="I16" s="1667"/>
      <c r="J16" s="1666"/>
      <c r="K16" s="1666"/>
      <c r="L16" s="1666"/>
      <c r="M16" s="1665"/>
      <c r="N16" s="1664"/>
      <c r="O16" s="1664"/>
      <c r="R16" s="1656"/>
      <c r="S16" s="1656"/>
      <c r="T16" s="1656"/>
      <c r="V16" s="1656"/>
      <c r="W16" s="1781"/>
      <c r="X16" s="1781"/>
      <c r="Y16" s="1781"/>
      <c r="Z16" s="1656"/>
      <c r="AA16" s="1781"/>
      <c r="AB16" s="1781"/>
      <c r="AC16" s="1781"/>
      <c r="AD16" s="1781"/>
      <c r="AE16" s="1781"/>
      <c r="AF16" s="1781"/>
      <c r="AG16" s="1781"/>
      <c r="AI16" s="1781"/>
      <c r="AJ16" s="1781"/>
      <c r="AK16" s="1781"/>
      <c r="AL16" s="1781"/>
      <c r="AM16" s="1781"/>
      <c r="AN16" s="1781"/>
      <c r="AO16" s="1781"/>
    </row>
    <row r="17" spans="1:41" s="1599" customFormat="1" ht="18.75" customHeight="1">
      <c r="A17" s="1800" t="s">
        <v>1898</v>
      </c>
      <c r="B17" s="1801" t="s">
        <v>2198</v>
      </c>
      <c r="C17" s="1779"/>
      <c r="D17" s="1780"/>
      <c r="E17" s="1803"/>
      <c r="F17" s="1675"/>
      <c r="G17" s="1627"/>
      <c r="H17" s="1780"/>
      <c r="I17" s="1667"/>
      <c r="J17" s="1666"/>
      <c r="K17" s="1666"/>
      <c r="L17" s="1666"/>
      <c r="M17" s="1665"/>
      <c r="N17" s="1664"/>
      <c r="O17" s="1674"/>
      <c r="P17" s="1802"/>
      <c r="R17" s="1671"/>
      <c r="S17" s="1671"/>
      <c r="T17" s="1671"/>
      <c r="V17" s="1656"/>
      <c r="W17" s="1781"/>
      <c r="X17" s="1781"/>
      <c r="Y17" s="1781"/>
      <c r="Z17" s="1656"/>
      <c r="AA17" s="1781"/>
      <c r="AB17" s="1781"/>
      <c r="AC17" s="1781"/>
      <c r="AD17" s="1781"/>
      <c r="AE17" s="1781"/>
      <c r="AF17" s="1781"/>
      <c r="AG17" s="1781"/>
      <c r="AI17" s="1781"/>
      <c r="AJ17" s="1781"/>
      <c r="AK17" s="1781"/>
      <c r="AL17" s="1781"/>
      <c r="AM17" s="1781"/>
      <c r="AN17" s="1781"/>
      <c r="AO17" s="1781"/>
    </row>
    <row r="18" spans="1:41" s="1599" customFormat="1" ht="18.75" customHeight="1">
      <c r="A18" s="1798"/>
      <c r="B18" s="1799"/>
      <c r="C18" s="1779"/>
      <c r="D18" s="1780"/>
      <c r="E18" s="1803"/>
      <c r="F18" s="1803"/>
      <c r="G18" s="1804"/>
      <c r="H18" s="1780"/>
      <c r="I18" s="1667"/>
      <c r="J18" s="1666"/>
      <c r="K18" s="1666"/>
      <c r="L18" s="1666"/>
      <c r="M18" s="1665"/>
      <c r="N18" s="1664"/>
      <c r="O18" s="1664"/>
      <c r="P18" s="1804"/>
      <c r="R18" s="1671"/>
      <c r="S18" s="1671"/>
      <c r="T18" s="1671"/>
      <c r="V18" s="1656"/>
      <c r="W18" s="1781"/>
      <c r="X18" s="1781"/>
      <c r="Y18" s="1781"/>
      <c r="Z18" s="1656"/>
      <c r="AA18" s="1781"/>
      <c r="AB18" s="1781"/>
      <c r="AC18" s="1781"/>
      <c r="AD18" s="1781"/>
      <c r="AE18" s="1781"/>
      <c r="AF18" s="1781"/>
      <c r="AG18" s="1781"/>
      <c r="AI18" s="1781"/>
      <c r="AJ18" s="1781"/>
      <c r="AK18" s="1781"/>
      <c r="AL18" s="1781"/>
      <c r="AM18" s="1781"/>
      <c r="AN18" s="1781"/>
      <c r="AO18" s="1781"/>
    </row>
    <row r="19" spans="1:41" s="1599" customFormat="1" ht="18.75" customHeight="1">
      <c r="A19" s="1805">
        <v>1</v>
      </c>
      <c r="B19" s="1823" t="s">
        <v>2004</v>
      </c>
      <c r="C19" s="1779" t="s">
        <v>352</v>
      </c>
      <c r="D19" s="1780">
        <f t="shared" ref="D19:D24" si="0">H19</f>
        <v>1</v>
      </c>
      <c r="E19" s="1622">
        <f>N19</f>
        <v>15000000</v>
      </c>
      <c r="F19" s="1682">
        <f t="shared" ref="F19:F24" si="1">D19*E19</f>
        <v>15000000</v>
      </c>
      <c r="G19" s="1627"/>
      <c r="H19" s="1780">
        <v>1</v>
      </c>
      <c r="I19" s="2017"/>
      <c r="J19" s="1666"/>
      <c r="K19" s="1666"/>
      <c r="L19" s="1666">
        <f>15000000</f>
        <v>15000000</v>
      </c>
      <c r="M19" s="1665"/>
      <c r="N19" s="1664">
        <f t="shared" ref="N19:N22" si="2">SUM(I19:M19)</f>
        <v>15000000</v>
      </c>
      <c r="O19" s="1664">
        <f t="shared" ref="O19:O24" si="3">H19*N19</f>
        <v>15000000</v>
      </c>
      <c r="P19" s="1628" t="s">
        <v>2314</v>
      </c>
      <c r="R19" s="2018"/>
      <c r="S19" s="2018"/>
      <c r="T19" s="2018"/>
      <c r="V19" s="2018"/>
      <c r="W19" s="1781"/>
      <c r="X19" s="1781"/>
      <c r="Y19" s="1781"/>
      <c r="Z19" s="2018"/>
      <c r="AA19" s="1781"/>
      <c r="AB19" s="1781"/>
      <c r="AC19" s="1781"/>
      <c r="AD19" s="1781"/>
      <c r="AE19" s="1781"/>
      <c r="AF19" s="1781"/>
      <c r="AG19" s="1781"/>
      <c r="AI19" s="1781"/>
      <c r="AJ19" s="1781"/>
      <c r="AK19" s="1781"/>
      <c r="AL19" s="1781"/>
      <c r="AM19" s="1781"/>
      <c r="AN19" s="1781"/>
      <c r="AO19" s="1781"/>
    </row>
    <row r="20" spans="1:41" s="1599" customFormat="1" ht="30">
      <c r="A20" s="1805">
        <v>2</v>
      </c>
      <c r="B20" s="1825" t="s">
        <v>2319</v>
      </c>
      <c r="C20" s="1779" t="s">
        <v>1514</v>
      </c>
      <c r="D20" s="1780">
        <f t="shared" si="0"/>
        <v>74</v>
      </c>
      <c r="E20" s="1622">
        <f>N20*'REKAP RAB'!$O$3</f>
        <v>2181816</v>
      </c>
      <c r="F20" s="1682">
        <f>D20*E20</f>
        <v>161454384</v>
      </c>
      <c r="G20" s="1627"/>
      <c r="H20" s="1780">
        <f>'REKAP-PC'!E22</f>
        <v>74</v>
      </c>
      <c r="I20" s="1666"/>
      <c r="J20" s="1666"/>
      <c r="K20" s="1666"/>
      <c r="L20" s="1666">
        <f>((97500+27500)+5000)*1.11*14</f>
        <v>2020200</v>
      </c>
      <c r="M20" s="1665"/>
      <c r="N20" s="1664">
        <f>SUM(I20:M20)</f>
        <v>2020200</v>
      </c>
      <c r="O20" s="1664">
        <f>H20*N20</f>
        <v>149494800</v>
      </c>
      <c r="P20" s="1628" t="s">
        <v>2362</v>
      </c>
      <c r="R20" s="2018"/>
      <c r="S20" s="2018"/>
      <c r="T20" s="2018">
        <v>0</v>
      </c>
      <c r="V20" s="2018"/>
      <c r="W20" s="1781"/>
      <c r="X20" s="1781"/>
      <c r="Y20" s="1781"/>
      <c r="Z20" s="2018"/>
      <c r="AA20" s="1781"/>
      <c r="AB20" s="1781"/>
      <c r="AC20" s="1781"/>
      <c r="AD20" s="1781"/>
      <c r="AE20" s="1781"/>
      <c r="AF20" s="1781"/>
      <c r="AG20" s="1781"/>
      <c r="AI20" s="1781"/>
      <c r="AJ20" s="1781"/>
      <c r="AK20" s="1781"/>
      <c r="AL20" s="1781"/>
      <c r="AM20" s="1781"/>
      <c r="AN20" s="1781"/>
      <c r="AO20" s="1781"/>
    </row>
    <row r="21" spans="1:41" s="1599" customFormat="1" ht="18.75" customHeight="1">
      <c r="A21" s="1805">
        <v>3</v>
      </c>
      <c r="B21" s="1823" t="s">
        <v>2270</v>
      </c>
      <c r="C21" s="1779" t="s">
        <v>1514</v>
      </c>
      <c r="D21" s="1780">
        <f t="shared" si="0"/>
        <v>74</v>
      </c>
      <c r="E21" s="1622">
        <f>N21*'REKAP RAB'!$O$3</f>
        <v>108000</v>
      </c>
      <c r="F21" s="1682">
        <f t="shared" si="1"/>
        <v>7992000</v>
      </c>
      <c r="G21" s="1627">
        <f>74*13</f>
        <v>962</v>
      </c>
      <c r="H21" s="1780">
        <f>H20</f>
        <v>74</v>
      </c>
      <c r="I21" s="2017"/>
      <c r="J21" s="1666">
        <v>100000</v>
      </c>
      <c r="K21" s="1666"/>
      <c r="L21" s="1666"/>
      <c r="M21" s="1665"/>
      <c r="N21" s="1664">
        <f t="shared" ref="N21" si="4">SUM(I21:M21)</f>
        <v>100000</v>
      </c>
      <c r="O21" s="1664">
        <f t="shared" si="3"/>
        <v>7400000</v>
      </c>
      <c r="P21" s="1628"/>
      <c r="R21" s="2018"/>
      <c r="S21" s="2018"/>
      <c r="T21" s="2018"/>
      <c r="V21" s="2018"/>
      <c r="W21" s="1781"/>
      <c r="X21" s="1781"/>
      <c r="Y21" s="1781"/>
      <c r="Z21" s="2018"/>
      <c r="AA21" s="1781"/>
      <c r="AB21" s="1781"/>
      <c r="AC21" s="1781"/>
      <c r="AD21" s="1781"/>
      <c r="AE21" s="1781"/>
      <c r="AF21" s="1781"/>
      <c r="AG21" s="1781"/>
      <c r="AI21" s="1781"/>
      <c r="AJ21" s="1781"/>
      <c r="AK21" s="1781"/>
      <c r="AL21" s="1781"/>
      <c r="AM21" s="1781"/>
      <c r="AN21" s="1781"/>
      <c r="AO21" s="1781"/>
    </row>
    <row r="22" spans="1:41" s="1599" customFormat="1" ht="15.75">
      <c r="A22" s="1805">
        <v>4</v>
      </c>
      <c r="B22" s="1825" t="s">
        <v>2320</v>
      </c>
      <c r="C22" s="1779" t="s">
        <v>1514</v>
      </c>
      <c r="D22" s="1780">
        <f t="shared" si="0"/>
        <v>21</v>
      </c>
      <c r="E22" s="1622">
        <f>N22*'REKAP RAB'!$O$3</f>
        <v>5264102.1450729081</v>
      </c>
      <c r="F22" s="1682">
        <f t="shared" si="1"/>
        <v>110546145.04653107</v>
      </c>
      <c r="G22" s="1627"/>
      <c r="H22" s="1780">
        <f>'REKAP-PC'!F22</f>
        <v>21</v>
      </c>
      <c r="I22" s="1666">
        <f>Analisa!F282</f>
        <v>2424168.6528452849</v>
      </c>
      <c r="J22" s="1666">
        <f>Analisa!G282</f>
        <v>2450000</v>
      </c>
      <c r="K22" s="1666"/>
      <c r="L22" s="1666"/>
      <c r="M22" s="1665"/>
      <c r="N22" s="1664">
        <f t="shared" si="2"/>
        <v>4874168.6528452849</v>
      </c>
      <c r="O22" s="1664">
        <f t="shared" si="3"/>
        <v>102357541.70975098</v>
      </c>
      <c r="P22" s="1628" t="s">
        <v>2362</v>
      </c>
      <c r="R22" s="2018"/>
      <c r="S22" s="2018"/>
      <c r="T22" s="2018"/>
      <c r="V22" s="2018"/>
      <c r="W22" s="1781"/>
      <c r="X22" s="1781"/>
      <c r="Y22" s="1781"/>
      <c r="Z22" s="2018"/>
      <c r="AA22" s="1781"/>
      <c r="AB22" s="1781"/>
      <c r="AC22" s="1781"/>
      <c r="AD22" s="1781"/>
      <c r="AE22" s="1781"/>
      <c r="AF22" s="1781"/>
      <c r="AG22" s="1781"/>
      <c r="AI22" s="1781"/>
      <c r="AJ22" s="1781"/>
      <c r="AK22" s="1781"/>
      <c r="AL22" s="1781"/>
      <c r="AM22" s="1781"/>
      <c r="AN22" s="1781"/>
      <c r="AO22" s="1781"/>
    </row>
    <row r="23" spans="1:41" s="1599" customFormat="1" ht="18.75" customHeight="1">
      <c r="A23" s="1805">
        <v>5</v>
      </c>
      <c r="B23" s="1823" t="s">
        <v>2199</v>
      </c>
      <c r="C23" s="1779" t="s">
        <v>1514</v>
      </c>
      <c r="D23" s="1780">
        <f t="shared" si="0"/>
        <v>21</v>
      </c>
      <c r="E23" s="1622">
        <f>N23*'REKAP RAB'!$O$3</f>
        <v>108000</v>
      </c>
      <c r="F23" s="1682">
        <f t="shared" si="1"/>
        <v>2268000</v>
      </c>
      <c r="G23" s="1627"/>
      <c r="H23" s="1780">
        <f>H22</f>
        <v>21</v>
      </c>
      <c r="I23" s="2017"/>
      <c r="J23" s="1666">
        <v>100000</v>
      </c>
      <c r="K23" s="1666"/>
      <c r="L23" s="1666"/>
      <c r="M23" s="1665"/>
      <c r="N23" s="1664">
        <f t="shared" ref="N23:N24" si="5">SUM(I23:M23)</f>
        <v>100000</v>
      </c>
      <c r="O23" s="1664">
        <f t="shared" si="3"/>
        <v>2100000</v>
      </c>
      <c r="P23" s="1628"/>
      <c r="R23" s="2018"/>
      <c r="S23" s="2018"/>
      <c r="T23" s="2018"/>
      <c r="V23" s="2018"/>
      <c r="W23" s="1781"/>
      <c r="X23" s="1781"/>
      <c r="Y23" s="1781"/>
      <c r="Z23" s="2018"/>
      <c r="AA23" s="1781"/>
      <c r="AB23" s="1781"/>
      <c r="AC23" s="1781"/>
      <c r="AD23" s="1781"/>
      <c r="AE23" s="1781"/>
      <c r="AF23" s="1781"/>
      <c r="AG23" s="1781"/>
      <c r="AI23" s="1781"/>
      <c r="AJ23" s="1781"/>
      <c r="AK23" s="1781"/>
      <c r="AL23" s="1781"/>
      <c r="AM23" s="1781"/>
      <c r="AN23" s="1781"/>
      <c r="AO23" s="1781"/>
    </row>
    <row r="24" spans="1:41" s="1599" customFormat="1" ht="18.75" customHeight="1">
      <c r="A24" s="1805">
        <v>6</v>
      </c>
      <c r="B24" s="1823" t="s">
        <v>2208</v>
      </c>
      <c r="C24" s="1779" t="s">
        <v>352</v>
      </c>
      <c r="D24" s="1780">
        <f t="shared" si="0"/>
        <v>1</v>
      </c>
      <c r="E24" s="1622">
        <f>N24*'REKAP RAB'!$O$3</f>
        <v>20412000</v>
      </c>
      <c r="F24" s="1682">
        <f t="shared" si="1"/>
        <v>20412000</v>
      </c>
      <c r="G24" s="1627"/>
      <c r="H24" s="1780">
        <v>1</v>
      </c>
      <c r="I24" s="2017"/>
      <c r="J24" s="1666">
        <f>H23*1.5*600000</f>
        <v>18900000</v>
      </c>
      <c r="K24" s="1666"/>
      <c r="L24" s="1666"/>
      <c r="M24" s="1665"/>
      <c r="N24" s="1664">
        <f t="shared" si="5"/>
        <v>18900000</v>
      </c>
      <c r="O24" s="1664">
        <f t="shared" si="3"/>
        <v>18900000</v>
      </c>
      <c r="P24" s="1628"/>
      <c r="R24" s="2018"/>
      <c r="S24" s="2018"/>
      <c r="T24" s="2018"/>
      <c r="V24" s="2018"/>
      <c r="W24" s="1781"/>
      <c r="X24" s="1781"/>
      <c r="Y24" s="1781"/>
      <c r="Z24" s="2018"/>
      <c r="AA24" s="1781"/>
      <c r="AB24" s="1781"/>
      <c r="AC24" s="1781"/>
      <c r="AD24" s="1781"/>
      <c r="AE24" s="1781"/>
      <c r="AF24" s="1781"/>
      <c r="AG24" s="1781"/>
      <c r="AI24" s="1781"/>
      <c r="AJ24" s="1781"/>
      <c r="AK24" s="1781"/>
      <c r="AL24" s="1781"/>
      <c r="AM24" s="1781"/>
      <c r="AN24" s="1781"/>
      <c r="AO24" s="1781"/>
    </row>
    <row r="25" spans="1:41" s="1599" customFormat="1" ht="16.5" thickBot="1">
      <c r="A25" s="1798"/>
      <c r="B25" s="1799"/>
      <c r="C25" s="1779"/>
      <c r="D25" s="1780"/>
      <c r="E25" s="1622"/>
      <c r="F25" s="1669"/>
      <c r="G25" s="1668"/>
      <c r="H25" s="1780"/>
      <c r="I25" s="1667"/>
      <c r="J25" s="1666"/>
      <c r="K25" s="1666"/>
      <c r="L25" s="1666"/>
      <c r="M25" s="1665"/>
      <c r="N25" s="1664"/>
      <c r="O25" s="1664"/>
      <c r="P25" s="1804"/>
      <c r="R25" s="1671"/>
      <c r="S25" s="1671"/>
      <c r="T25" s="1671"/>
      <c r="V25" s="1656"/>
      <c r="W25" s="1781"/>
      <c r="X25" s="1781"/>
      <c r="Y25" s="1781"/>
      <c r="Z25" s="1656"/>
      <c r="AA25" s="1781"/>
      <c r="AB25" s="1781"/>
      <c r="AC25" s="1781"/>
      <c r="AD25" s="1781"/>
      <c r="AE25" s="1781"/>
      <c r="AF25" s="1670"/>
      <c r="AG25" s="1670"/>
      <c r="AH25" s="1670"/>
      <c r="AI25" s="1781"/>
      <c r="AJ25" s="1781"/>
      <c r="AK25" s="1781"/>
      <c r="AL25" s="1781"/>
      <c r="AM25" s="1781"/>
      <c r="AN25" s="1781"/>
      <c r="AO25" s="1781"/>
    </row>
    <row r="26" spans="1:41" s="1599" customFormat="1" ht="16.5" thickBot="1">
      <c r="A26" s="2220" t="s">
        <v>2005</v>
      </c>
      <c r="B26" s="2221"/>
      <c r="C26" s="2221"/>
      <c r="D26" s="2221"/>
      <c r="E26" s="2222"/>
      <c r="F26" s="1658">
        <f>SUM(F16:F25)</f>
        <v>317672529.04653108</v>
      </c>
      <c r="G26" s="1668"/>
      <c r="H26" s="1824"/>
      <c r="I26" s="1701"/>
      <c r="J26" s="1700"/>
      <c r="K26" s="1700"/>
      <c r="L26" s="1700"/>
      <c r="M26" s="1699"/>
      <c r="N26" s="1698"/>
      <c r="O26" s="1658">
        <f>SUM(O16:O25)</f>
        <v>295252341.70975101</v>
      </c>
      <c r="P26" s="1804"/>
      <c r="R26" s="1671"/>
      <c r="S26" s="1671"/>
      <c r="T26" s="1671"/>
      <c r="V26" s="1656"/>
      <c r="W26" s="1781"/>
      <c r="X26" s="1781"/>
      <c r="Y26" s="1781"/>
      <c r="Z26" s="1656"/>
      <c r="AA26" s="1781"/>
      <c r="AB26" s="1781"/>
      <c r="AC26" s="1781"/>
      <c r="AD26" s="1781"/>
      <c r="AE26" s="1781"/>
      <c r="AF26" s="1670"/>
      <c r="AG26" s="1670"/>
      <c r="AH26" s="1670"/>
      <c r="AI26" s="1781"/>
      <c r="AJ26" s="1781"/>
      <c r="AK26" s="1781"/>
      <c r="AL26" s="1781"/>
      <c r="AM26" s="1781"/>
      <c r="AN26" s="1781"/>
      <c r="AO26" s="1781"/>
    </row>
    <row r="27" spans="1:41" s="1599" customFormat="1" ht="18.75" customHeight="1">
      <c r="A27" s="1798"/>
      <c r="B27" s="1799"/>
      <c r="C27" s="1779"/>
      <c r="D27" s="1780"/>
      <c r="E27" s="1803"/>
      <c r="F27" s="1803"/>
      <c r="G27" s="1804"/>
      <c r="H27" s="1780"/>
      <c r="I27" s="1667"/>
      <c r="J27" s="1666"/>
      <c r="K27" s="1666"/>
      <c r="L27" s="1666"/>
      <c r="M27" s="1665"/>
      <c r="N27" s="1664"/>
      <c r="O27" s="1664"/>
      <c r="P27" s="1804"/>
      <c r="R27" s="1656"/>
      <c r="S27" s="1656"/>
      <c r="T27" s="1656"/>
      <c r="V27" s="1656"/>
      <c r="W27" s="1781"/>
      <c r="X27" s="1781"/>
      <c r="Y27" s="1781"/>
      <c r="Z27" s="1656"/>
      <c r="AA27" s="1781"/>
      <c r="AB27" s="1781"/>
      <c r="AC27" s="1781"/>
      <c r="AD27" s="1781"/>
      <c r="AE27" s="1781"/>
      <c r="AF27" s="1781"/>
      <c r="AG27" s="1781"/>
      <c r="AI27" s="1781"/>
      <c r="AJ27" s="1781"/>
      <c r="AK27" s="1781"/>
      <c r="AL27" s="1781"/>
      <c r="AM27" s="1781"/>
      <c r="AN27" s="1781"/>
      <c r="AO27" s="1781"/>
    </row>
    <row r="28" spans="1:41" s="1599" customFormat="1" ht="18.75" customHeight="1">
      <c r="A28" s="1826" t="s">
        <v>1897</v>
      </c>
      <c r="B28" s="1827" t="s">
        <v>2003</v>
      </c>
      <c r="C28" s="1779"/>
      <c r="D28" s="1780"/>
      <c r="E28" s="1803"/>
      <c r="F28" s="1675"/>
      <c r="G28" s="1627"/>
      <c r="H28" s="1780"/>
      <c r="I28" s="1667"/>
      <c r="J28" s="1666"/>
      <c r="K28" s="1666"/>
      <c r="L28" s="1666"/>
      <c r="M28" s="1665"/>
      <c r="N28" s="1664"/>
      <c r="O28" s="1674"/>
      <c r="P28" s="1802"/>
      <c r="R28" s="1656"/>
      <c r="S28" s="1656"/>
      <c r="T28" s="1656"/>
      <c r="V28" s="1656"/>
      <c r="W28" s="1781"/>
      <c r="X28" s="1781"/>
      <c r="Y28" s="1781"/>
      <c r="Z28" s="1656"/>
      <c r="AA28" s="1781"/>
      <c r="AB28" s="1781"/>
      <c r="AC28" s="1781"/>
      <c r="AD28" s="1781"/>
      <c r="AE28" s="1781"/>
      <c r="AF28" s="1781"/>
      <c r="AG28" s="1781"/>
      <c r="AI28" s="1781"/>
      <c r="AJ28" s="1781"/>
      <c r="AK28" s="1781"/>
      <c r="AL28" s="1781"/>
      <c r="AM28" s="1781"/>
      <c r="AN28" s="1781"/>
      <c r="AO28" s="1781"/>
    </row>
    <row r="29" spans="1:41" s="1599" customFormat="1" ht="18.75" customHeight="1">
      <c r="A29" s="1823"/>
      <c r="B29" s="1823"/>
      <c r="C29" s="1779"/>
      <c r="D29" s="1780"/>
      <c r="E29" s="1803"/>
      <c r="F29" s="1808"/>
      <c r="G29" s="1802"/>
      <c r="H29" s="1780"/>
      <c r="I29" s="1667"/>
      <c r="J29" s="1666"/>
      <c r="K29" s="1666"/>
      <c r="L29" s="1666"/>
      <c r="M29" s="1665"/>
      <c r="N29" s="1664"/>
      <c r="O29" s="1674"/>
      <c r="P29" s="1802"/>
      <c r="R29" s="1685"/>
      <c r="S29" s="1685"/>
      <c r="T29" s="1685"/>
      <c r="V29" s="1685"/>
      <c r="W29" s="1781"/>
      <c r="X29" s="1781"/>
      <c r="Y29" s="1781"/>
      <c r="Z29" s="1684"/>
      <c r="AA29" s="1781"/>
      <c r="AB29" s="1781"/>
      <c r="AC29" s="1781"/>
      <c r="AD29" s="1781"/>
      <c r="AE29" s="1781"/>
      <c r="AF29" s="1781"/>
      <c r="AG29" s="1781"/>
      <c r="AI29" s="1781"/>
      <c r="AJ29" s="1781"/>
      <c r="AK29" s="1781"/>
      <c r="AL29" s="1781"/>
      <c r="AM29" s="1781"/>
      <c r="AN29" s="1781"/>
      <c r="AO29" s="1781"/>
    </row>
    <row r="30" spans="1:41" s="1599" customFormat="1" ht="18.75" customHeight="1">
      <c r="A30" s="1823">
        <v>1</v>
      </c>
      <c r="B30" s="1823" t="s">
        <v>2002</v>
      </c>
      <c r="C30" s="1779" t="s">
        <v>49</v>
      </c>
      <c r="D30" s="1780">
        <f>H30</f>
        <v>440</v>
      </c>
      <c r="E30" s="1622">
        <f>N30*'REKAP RAB'!$O$3</f>
        <v>29160.000000000004</v>
      </c>
      <c r="F30" s="1682">
        <f>D30*E30</f>
        <v>12830400.000000002</v>
      </c>
      <c r="G30" s="1668"/>
      <c r="H30" s="1780">
        <f>22*20</f>
        <v>440</v>
      </c>
      <c r="I30" s="1667"/>
      <c r="J30" s="1666"/>
      <c r="K30" s="1666"/>
      <c r="L30" s="1666">
        <v>27000</v>
      </c>
      <c r="M30" s="1665"/>
      <c r="N30" s="1664">
        <f>SUM(I30:M30)</f>
        <v>27000</v>
      </c>
      <c r="O30" s="1664">
        <f>H30*N30</f>
        <v>11880000</v>
      </c>
      <c r="P30" s="1622"/>
      <c r="R30" s="1656"/>
      <c r="S30" s="1656"/>
      <c r="T30" s="1656"/>
      <c r="V30" s="1656"/>
      <c r="W30" s="1781"/>
      <c r="X30" s="1781"/>
      <c r="Y30" s="1781"/>
      <c r="Z30" s="1656"/>
      <c r="AA30" s="1781"/>
      <c r="AB30" s="1781"/>
      <c r="AC30" s="1781"/>
      <c r="AD30" s="1781"/>
      <c r="AE30" s="1781"/>
      <c r="AF30" s="1781"/>
      <c r="AG30" s="1781"/>
      <c r="AI30" s="1781"/>
      <c r="AJ30" s="1781"/>
      <c r="AK30" s="1781"/>
      <c r="AL30" s="1781"/>
      <c r="AM30" s="1781"/>
      <c r="AN30" s="1781"/>
      <c r="AO30" s="1781"/>
    </row>
    <row r="31" spans="1:41" s="1599" customFormat="1" ht="18.75" customHeight="1">
      <c r="A31" s="1823">
        <v>2</v>
      </c>
      <c r="B31" s="1823" t="s">
        <v>2001</v>
      </c>
      <c r="C31" s="1779" t="s">
        <v>49</v>
      </c>
      <c r="D31" s="1780">
        <f>H31</f>
        <v>264</v>
      </c>
      <c r="E31" s="1622">
        <f>N31*'REKAP RAB'!$O$3</f>
        <v>29160.000000000004</v>
      </c>
      <c r="F31" s="1682">
        <f>D31*E31</f>
        <v>7698240.0000000009</v>
      </c>
      <c r="G31" s="1668"/>
      <c r="H31" s="1780">
        <f>H30*0.6</f>
        <v>264</v>
      </c>
      <c r="I31" s="1667"/>
      <c r="J31" s="1666"/>
      <c r="K31" s="1666"/>
      <c r="L31" s="1666">
        <v>27000</v>
      </c>
      <c r="M31" s="1665"/>
      <c r="N31" s="1664">
        <f>SUM(I31:M31)</f>
        <v>27000</v>
      </c>
      <c r="O31" s="1664">
        <f>H31*N31</f>
        <v>7128000</v>
      </c>
      <c r="P31" s="1622"/>
      <c r="R31" s="1656"/>
      <c r="S31" s="1656"/>
      <c r="T31" s="1656"/>
      <c r="V31" s="1656"/>
      <c r="W31" s="1781"/>
      <c r="X31" s="1781"/>
      <c r="Y31" s="1781"/>
      <c r="Z31" s="1656"/>
      <c r="AA31" s="1781"/>
      <c r="AB31" s="1781"/>
      <c r="AC31" s="1781"/>
      <c r="AD31" s="1781"/>
      <c r="AE31" s="1781"/>
      <c r="AF31" s="1781"/>
      <c r="AG31" s="1781"/>
      <c r="AI31" s="1781"/>
      <c r="AJ31" s="1781"/>
      <c r="AK31" s="1781"/>
      <c r="AL31" s="1781"/>
      <c r="AM31" s="1781"/>
      <c r="AN31" s="1781"/>
      <c r="AO31" s="1781"/>
    </row>
    <row r="32" spans="1:41" s="1599" customFormat="1" ht="18.75" customHeight="1" thickBot="1">
      <c r="A32" s="1798"/>
      <c r="B32" s="1815"/>
      <c r="C32" s="1779"/>
      <c r="D32" s="1780"/>
      <c r="E32" s="1622"/>
      <c r="F32" s="1669"/>
      <c r="G32" s="1668"/>
      <c r="H32" s="1780"/>
      <c r="I32" s="1667"/>
      <c r="J32" s="1666"/>
      <c r="K32" s="1666"/>
      <c r="L32" s="1666"/>
      <c r="M32" s="1665"/>
      <c r="N32" s="1664"/>
      <c r="O32" s="1664"/>
      <c r="P32" s="1804"/>
      <c r="R32" s="1671"/>
      <c r="S32" s="1671"/>
      <c r="T32" s="1671"/>
      <c r="V32" s="1656"/>
      <c r="W32" s="1781"/>
      <c r="X32" s="1781"/>
      <c r="Y32" s="1781"/>
      <c r="Z32" s="1656"/>
      <c r="AA32" s="1781"/>
      <c r="AB32" s="1781"/>
      <c r="AC32" s="1781"/>
      <c r="AD32" s="1781"/>
      <c r="AE32" s="1781"/>
      <c r="AF32" s="1781"/>
      <c r="AG32" s="1781"/>
      <c r="AI32" s="1781"/>
      <c r="AJ32" s="1781"/>
      <c r="AK32" s="1781"/>
      <c r="AL32" s="1781"/>
      <c r="AM32" s="1781"/>
      <c r="AN32" s="1781"/>
      <c r="AO32" s="1781"/>
    </row>
    <row r="33" spans="1:41" s="1599" customFormat="1" ht="18.75" customHeight="1" thickBot="1">
      <c r="A33" s="2220" t="s">
        <v>2000</v>
      </c>
      <c r="B33" s="2221"/>
      <c r="C33" s="2221"/>
      <c r="D33" s="2221"/>
      <c r="E33" s="2222"/>
      <c r="F33" s="1658">
        <f>SUM(F27:F32)</f>
        <v>20528640.000000004</v>
      </c>
      <c r="G33" s="1627"/>
      <c r="H33" s="1680"/>
      <c r="I33" s="1679"/>
      <c r="J33" s="1678"/>
      <c r="K33" s="1678"/>
      <c r="L33" s="1678"/>
      <c r="M33" s="1677"/>
      <c r="N33" s="1676"/>
      <c r="O33" s="1676">
        <f>SUM(O27:O32)</f>
        <v>19008000</v>
      </c>
      <c r="P33" s="1804"/>
      <c r="R33" s="1671"/>
      <c r="S33" s="1671"/>
      <c r="T33" s="1671"/>
      <c r="V33" s="1656"/>
      <c r="W33" s="1781"/>
      <c r="X33" s="1781"/>
      <c r="Y33" s="1781"/>
      <c r="Z33" s="1656"/>
      <c r="AA33" s="1781"/>
      <c r="AB33" s="1781"/>
      <c r="AC33" s="1781"/>
      <c r="AD33" s="1781"/>
      <c r="AE33" s="1781"/>
      <c r="AF33" s="1781"/>
      <c r="AG33" s="1781"/>
      <c r="AI33" s="1781"/>
      <c r="AJ33" s="1781"/>
      <c r="AK33" s="1781"/>
      <c r="AL33" s="1781"/>
      <c r="AM33" s="1781"/>
      <c r="AN33" s="1781"/>
      <c r="AO33" s="1781"/>
    </row>
    <row r="34" spans="1:41" s="1599" customFormat="1" ht="18.75" customHeight="1">
      <c r="B34" s="1630"/>
      <c r="C34" s="1613"/>
      <c r="R34" s="1657" t="e">
        <f>SUMPRODUCT(#REF!,#REF!)</f>
        <v>#REF!</v>
      </c>
      <c r="S34" s="1656"/>
      <c r="T34" s="1656"/>
      <c r="V34" s="1656"/>
      <c r="W34" s="1781"/>
      <c r="X34" s="1524" t="e">
        <f>SUMPRODUCT(#REF!,#REF!,#REF!)</f>
        <v>#REF!</v>
      </c>
      <c r="Y34" s="1781"/>
      <c r="Z34" s="1656"/>
      <c r="AA34" s="1781"/>
      <c r="AB34" s="1781"/>
      <c r="AC34" s="1781"/>
      <c r="AD34" s="1781"/>
      <c r="AE34" s="1781"/>
      <c r="AF34" s="1781"/>
      <c r="AG34" s="1781"/>
      <c r="AI34" s="1781"/>
      <c r="AJ34" s="1781"/>
      <c r="AK34" s="1781"/>
      <c r="AL34" s="1781"/>
      <c r="AM34" s="1781"/>
      <c r="AN34" s="1781"/>
      <c r="AO34" s="1781"/>
    </row>
    <row r="35" spans="1:41" s="1599" customFormat="1" ht="15.75">
      <c r="B35" s="1630"/>
      <c r="C35" s="1613"/>
      <c r="F35" s="1654">
        <f>SUM(F8:F34)/2</f>
        <v>466813894.04653108</v>
      </c>
      <c r="H35" s="1617" t="s">
        <v>138</v>
      </c>
      <c r="I35" s="1655">
        <f>SUMPRODUCT(H8:H33,I8:I33)</f>
        <v>50907541.70975098</v>
      </c>
      <c r="J35" s="1655">
        <f>SUMPRODUCT(H8:H33,J8:J33)</f>
        <v>79850000</v>
      </c>
      <c r="K35" s="1655">
        <f>SUMPRODUCT(H8:H33,K8:K33)</f>
        <v>0</v>
      </c>
      <c r="L35" s="1655">
        <f>SUMPRODUCT(H8:H33,L8:L33)</f>
        <v>301332550</v>
      </c>
      <c r="M35" s="1655">
        <f>SUMPRODUCT(H8:H33,M8:M33)</f>
        <v>0</v>
      </c>
      <c r="N35" s="1617"/>
      <c r="O35" s="1654">
        <f>SUM(O8:O34)/2</f>
        <v>432090091.70975101</v>
      </c>
      <c r="R35" s="1599" t="s">
        <v>1954</v>
      </c>
      <c r="W35" s="1781"/>
      <c r="X35" s="1781" t="s">
        <v>1953</v>
      </c>
      <c r="Y35" s="1781"/>
      <c r="Z35" s="1781"/>
      <c r="AA35" s="1781"/>
      <c r="AB35" s="1781"/>
      <c r="AC35" s="1781"/>
      <c r="AD35" s="1781"/>
      <c r="AE35" s="1781"/>
      <c r="AF35" s="1781"/>
      <c r="AG35" s="1781"/>
      <c r="AI35" s="1781"/>
      <c r="AJ35" s="1781"/>
      <c r="AK35" s="1781"/>
      <c r="AL35" s="1781"/>
      <c r="AM35" s="1781"/>
      <c r="AN35" s="1781"/>
      <c r="AO35" s="1781"/>
    </row>
    <row r="36" spans="1:41" ht="15.75" thickBot="1">
      <c r="H36" s="1599" t="s">
        <v>1952</v>
      </c>
      <c r="I36" s="1653">
        <f>I35/'REKAP RAB'!$K$13</f>
        <v>176704.75572434237</v>
      </c>
      <c r="J36" s="1653">
        <f>J35/'REKAP RAB'!$K$13</f>
        <v>277166.68828827166</v>
      </c>
      <c r="K36" s="1653">
        <f>K35/'REKAP RAB'!$K$13</f>
        <v>0</v>
      </c>
      <c r="L36" s="1653">
        <f>L35/'REKAP RAB'!$K$13</f>
        <v>1045952.9737878527</v>
      </c>
      <c r="M36" s="1653">
        <f>M35/'REKAP RAB'!$K$13</f>
        <v>0</v>
      </c>
      <c r="N36" s="1599"/>
      <c r="O36" s="1653">
        <f>O35/'REKAP RAB'!$K$19</f>
        <v>540946.48377716797</v>
      </c>
    </row>
  </sheetData>
  <mergeCells count="3">
    <mergeCell ref="A15:E15"/>
    <mergeCell ref="A33:E33"/>
    <mergeCell ref="A26:E26"/>
  </mergeCells>
  <pageMargins left="0.39370078740157483" right="0.39370078740157483" top="0.39370078740157483" bottom="0.39370078740157483" header="0" footer="0"/>
  <pageSetup paperSize="9" scale="7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80"/>
  <sheetViews>
    <sheetView zoomScale="85" zoomScaleNormal="85" workbookViewId="0">
      <pane xSplit="3" ySplit="2" topLeftCell="D3" activePane="bottomRight" state="frozen"/>
      <selection activeCell="E61" sqref="E61"/>
      <selection pane="topRight" activeCell="E61" sqref="E61"/>
      <selection pane="bottomLeft" activeCell="E61" sqref="E61"/>
      <selection pane="bottomRight" activeCell="F27" sqref="F27"/>
    </sheetView>
  </sheetViews>
  <sheetFormatPr defaultColWidth="9.140625" defaultRowHeight="15"/>
  <cols>
    <col min="1" max="1" width="10.28515625" style="614" customWidth="1"/>
    <col min="2" max="2" width="13.7109375" style="614" customWidth="1"/>
    <col min="3" max="3" width="24.7109375" style="614" customWidth="1"/>
    <col min="4" max="4" width="11.7109375" style="614" bestFit="1" customWidth="1"/>
    <col min="5" max="5" width="15.28515625" style="614" bestFit="1" customWidth="1"/>
    <col min="6" max="6" width="14" style="614" customWidth="1"/>
    <col min="7" max="7" width="12.7109375" style="614" bestFit="1" customWidth="1"/>
    <col min="8" max="8" width="8.42578125" style="614" customWidth="1"/>
    <col min="9" max="9" width="10" style="614" bestFit="1" customWidth="1"/>
    <col min="10" max="10" width="12" style="614" bestFit="1" customWidth="1"/>
    <col min="11" max="11" width="11.5703125" style="614" bestFit="1" customWidth="1"/>
    <col min="12" max="13" width="11.140625" style="614" bestFit="1" customWidth="1"/>
    <col min="14" max="16" width="10.5703125" style="614" bestFit="1" customWidth="1"/>
    <col min="17" max="17" width="9.5703125" style="614" bestFit="1" customWidth="1"/>
    <col min="18" max="18" width="9.140625" style="614"/>
    <col min="19" max="19" width="12.5703125" style="614" customWidth="1"/>
    <col min="20" max="16384" width="9.140625" style="614"/>
  </cols>
  <sheetData>
    <row r="1" spans="1:23" s="1004" customFormat="1" ht="15" customHeight="1">
      <c r="A1" s="2235" t="s">
        <v>263</v>
      </c>
      <c r="B1" s="2235" t="s">
        <v>402</v>
      </c>
      <c r="C1" s="2238" t="s">
        <v>401</v>
      </c>
      <c r="D1" s="2232" t="s">
        <v>95</v>
      </c>
      <c r="E1" s="2234" t="s">
        <v>96</v>
      </c>
      <c r="F1" s="2235"/>
      <c r="G1" s="2236"/>
      <c r="H1" s="2230" t="s">
        <v>99</v>
      </c>
      <c r="I1" s="2230"/>
      <c r="J1" s="2230"/>
      <c r="K1" s="2230"/>
      <c r="L1" s="2230"/>
      <c r="M1" s="2230"/>
      <c r="N1" s="2230"/>
      <c r="O1" s="2230"/>
      <c r="P1" s="2230"/>
      <c r="Q1" s="2231"/>
      <c r="U1" s="2229" t="s">
        <v>411</v>
      </c>
      <c r="V1" s="2229"/>
      <c r="W1" s="2229"/>
    </row>
    <row r="2" spans="1:23" s="1004" customFormat="1" ht="30.75" thickBot="1">
      <c r="A2" s="2237"/>
      <c r="B2" s="2237"/>
      <c r="C2" s="2239"/>
      <c r="D2" s="2233"/>
      <c r="E2" s="956" t="s">
        <v>399</v>
      </c>
      <c r="F2" s="1015" t="s">
        <v>71</v>
      </c>
      <c r="G2" s="1017" t="s">
        <v>398</v>
      </c>
      <c r="H2" s="955">
        <v>6</v>
      </c>
      <c r="I2" s="1015">
        <v>8</v>
      </c>
      <c r="J2" s="1016">
        <v>10</v>
      </c>
      <c r="K2" s="1015">
        <v>13</v>
      </c>
      <c r="L2" s="1015">
        <v>16</v>
      </c>
      <c r="M2" s="1015">
        <v>19</v>
      </c>
      <c r="N2" s="1015">
        <v>22</v>
      </c>
      <c r="O2" s="1015">
        <v>25</v>
      </c>
      <c r="P2" s="1015">
        <v>29</v>
      </c>
      <c r="Q2" s="1015">
        <v>32</v>
      </c>
      <c r="S2" s="1015" t="s">
        <v>124</v>
      </c>
      <c r="U2" s="907" t="s">
        <v>410</v>
      </c>
      <c r="V2" s="907" t="s">
        <v>409</v>
      </c>
      <c r="W2" s="907" t="s">
        <v>408</v>
      </c>
    </row>
    <row r="3" spans="1:23" s="1004" customFormat="1" ht="15.75" thickBot="1">
      <c r="A3" s="1011"/>
      <c r="B3" s="1011"/>
      <c r="C3" s="1010"/>
      <c r="D3" s="1009"/>
      <c r="E3" s="1008"/>
      <c r="F3" s="1011"/>
      <c r="G3" s="1007"/>
      <c r="H3" s="1006"/>
      <c r="I3" s="1011"/>
      <c r="J3" s="1023"/>
      <c r="K3" s="1011"/>
      <c r="L3" s="1011"/>
      <c r="M3" s="1011"/>
      <c r="N3" s="1011"/>
      <c r="O3" s="1011"/>
      <c r="P3" s="1011"/>
      <c r="Q3" s="1011"/>
      <c r="S3" s="1011"/>
      <c r="U3" s="907"/>
      <c r="V3" s="907"/>
      <c r="W3" s="907"/>
    </row>
    <row r="4" spans="1:23">
      <c r="A4" s="1002"/>
      <c r="B4" s="983"/>
      <c r="C4" s="982"/>
      <c r="D4" s="1001"/>
      <c r="E4" s="1000"/>
      <c r="F4" s="983"/>
      <c r="G4" s="999"/>
      <c r="H4" s="998"/>
      <c r="I4" s="983"/>
      <c r="J4" s="983"/>
      <c r="K4" s="983"/>
      <c r="L4" s="983"/>
      <c r="M4" s="983"/>
      <c r="N4" s="983"/>
      <c r="O4" s="983"/>
      <c r="P4" s="983"/>
      <c r="Q4" s="983"/>
      <c r="S4" s="983"/>
      <c r="U4" s="632"/>
      <c r="V4" s="632"/>
      <c r="W4" s="632"/>
    </row>
    <row r="5" spans="1:23" ht="15" customHeight="1">
      <c r="A5" s="2225" t="s">
        <v>396</v>
      </c>
      <c r="B5" s="2227">
        <f>'REKAP Plat'!F18</f>
        <v>288.09378390000001</v>
      </c>
      <c r="C5" s="1829" t="s">
        <v>2080</v>
      </c>
      <c r="D5" s="937">
        <f>'REKAP-PC'!B22</f>
        <v>24.540555649999998</v>
      </c>
      <c r="E5" s="922"/>
      <c r="F5" s="920">
        <f>'REKAP-PC'!I22</f>
        <v>6.5491083749999994</v>
      </c>
      <c r="G5" s="939">
        <f>'REKAP-PC'!C22</f>
        <v>91.046590532243172</v>
      </c>
      <c r="H5" s="924">
        <f>'REKAP-PC'!J22</f>
        <v>0</v>
      </c>
      <c r="I5" s="924">
        <f>'REKAP-PC'!K22</f>
        <v>0</v>
      </c>
      <c r="J5" s="924">
        <f>'REKAP-PC'!L22</f>
        <v>0</v>
      </c>
      <c r="K5" s="924">
        <f>'REKAP-PC'!M22</f>
        <v>1434.9648302987241</v>
      </c>
      <c r="L5" s="924">
        <f>'REKAP-PC'!N22</f>
        <v>1823.2822771200001</v>
      </c>
      <c r="M5" s="924">
        <f>'REKAP-PC'!O22</f>
        <v>273.15917140499994</v>
      </c>
      <c r="N5" s="924">
        <f>'REKAP-PC'!P22</f>
        <v>0</v>
      </c>
      <c r="O5" s="924">
        <f>'REKAP-PC'!Q22</f>
        <v>0</v>
      </c>
      <c r="P5" s="924">
        <v>0</v>
      </c>
      <c r="Q5" s="924">
        <v>0</v>
      </c>
      <c r="S5" s="920">
        <f>SUM(H5:Q5)</f>
        <v>3531.4062788237243</v>
      </c>
      <c r="U5" s="950"/>
      <c r="V5" s="1022">
        <f>SUM(E5:G5)/D5</f>
        <v>3.9769147976583481</v>
      </c>
      <c r="W5" s="1022">
        <f>S5/D5</f>
        <v>143.90082804925098</v>
      </c>
    </row>
    <row r="6" spans="1:23">
      <c r="A6" s="2225"/>
      <c r="B6" s="2227"/>
      <c r="C6" s="1829" t="s">
        <v>2095</v>
      </c>
      <c r="D6" s="937">
        <f>'Hasil-Kolom'!F165</f>
        <v>28.902460725157113</v>
      </c>
      <c r="E6" s="922">
        <f>'Hasil-Kolom'!G165</f>
        <v>388.61904290062847</v>
      </c>
      <c r="F6" s="920"/>
      <c r="G6" s="939"/>
      <c r="H6" s="924"/>
      <c r="I6" s="920">
        <f>'Hasil-Kolom'!H165</f>
        <v>0</v>
      </c>
      <c r="J6" s="920">
        <f>'Hasil-Kolom'!I165+'Hasil-Kolom'!L165</f>
        <v>2736.2721112113586</v>
      </c>
      <c r="K6" s="920">
        <f>'Hasil-Kolom'!J165+'Hasil-Kolom'!M165</f>
        <v>0</v>
      </c>
      <c r="L6" s="920">
        <f>'Hasil-Kolom'!K165+'Hasil-Kolom'!N165</f>
        <v>4392.6838272000005</v>
      </c>
      <c r="M6" s="920">
        <f>'Hasil-Kolom'!O165</f>
        <v>0</v>
      </c>
      <c r="N6" s="920">
        <f>'Hasil-Kolom'!P165</f>
        <v>0</v>
      </c>
      <c r="O6" s="920">
        <f>'Hasil-Kolom'!Q165</f>
        <v>0</v>
      </c>
      <c r="P6" s="920">
        <f>'Hasil-Kolom'!R165</f>
        <v>0</v>
      </c>
      <c r="Q6" s="920"/>
      <c r="S6" s="920">
        <f t="shared" ref="S6" si="0">SUM(H6:Q6)</f>
        <v>7128.9559384113591</v>
      </c>
      <c r="U6" s="950"/>
      <c r="V6" s="1022">
        <f t="shared" ref="V6" si="1">SUM(E6:G6)/D6</f>
        <v>13.445880840255548</v>
      </c>
      <c r="W6" s="1022">
        <f t="shared" ref="W6" si="2">S6/D6</f>
        <v>246.65567427641946</v>
      </c>
    </row>
    <row r="7" spans="1:23">
      <c r="A7" s="2225"/>
      <c r="B7" s="2227"/>
      <c r="C7" s="1829" t="s">
        <v>2096</v>
      </c>
      <c r="D7" s="937">
        <f>'REKAP Balok'!G281</f>
        <v>32.354100000000003</v>
      </c>
      <c r="E7" s="922">
        <f>'REKAP Balok'!H281</f>
        <v>300.41099999999994</v>
      </c>
      <c r="F7" s="920">
        <f>'REKAP Balok'!J281</f>
        <v>9.113900000000001</v>
      </c>
      <c r="G7" s="939"/>
      <c r="H7" s="924">
        <f>'REKAP Balok'!L281</f>
        <v>0</v>
      </c>
      <c r="I7" s="924">
        <f>'REKAP Balok'!M281</f>
        <v>1110.1340160000002</v>
      </c>
      <c r="J7" s="924">
        <f>'REKAP Balok'!N281</f>
        <v>495.60508980000003</v>
      </c>
      <c r="K7" s="924">
        <f>'REKAP Balok'!O281</f>
        <v>1121.820292593</v>
      </c>
      <c r="L7" s="924">
        <f>'REKAP Balok'!P281</f>
        <v>3096.1041131520005</v>
      </c>
      <c r="M7" s="924">
        <f>'REKAP Balok'!Q281</f>
        <v>0</v>
      </c>
      <c r="N7" s="924">
        <f>'REKAP Balok'!R281</f>
        <v>0</v>
      </c>
      <c r="O7" s="924">
        <f>'REKAP Balok'!S281</f>
        <v>0</v>
      </c>
      <c r="P7" s="924">
        <f>'REKAP Balok'!T281</f>
        <v>0</v>
      </c>
      <c r="Q7" s="920">
        <v>0</v>
      </c>
      <c r="S7" s="920">
        <f t="shared" ref="S7:S8" si="3">SUM(H7:Q7)</f>
        <v>5823.6635115450008</v>
      </c>
      <c r="U7" s="950"/>
      <c r="V7" s="1022">
        <f t="shared" ref="V7" si="4">SUM(E7:G7)/D7</f>
        <v>9.5667906076818685</v>
      </c>
      <c r="W7" s="1022">
        <f t="shared" ref="W7" si="5">S7/D7</f>
        <v>179.99769771203651</v>
      </c>
    </row>
    <row r="8" spans="1:23">
      <c r="A8" s="2225"/>
      <c r="B8" s="2227"/>
      <c r="C8" s="1829" t="s">
        <v>412</v>
      </c>
      <c r="D8" s="922">
        <f>SUM('Retaining Wall'!C162)</f>
        <v>8.5733437500000012</v>
      </c>
      <c r="E8" s="922">
        <f>SUM('Retaining Wall'!D162)</f>
        <v>114.31125</v>
      </c>
      <c r="F8" s="920"/>
      <c r="G8" s="939"/>
      <c r="H8" s="924"/>
      <c r="I8" s="920">
        <f>SUM('Retaining Wall'!E162)</f>
        <v>0</v>
      </c>
      <c r="J8" s="920">
        <f>SUM('Retaining Wall'!F162)</f>
        <v>1424.2567950000002</v>
      </c>
      <c r="K8" s="920">
        <f>SUM('Retaining Wall'!G162)</f>
        <v>0</v>
      </c>
      <c r="L8" s="920">
        <f>SUM('Retaining Wall'!H162)</f>
        <v>0</v>
      </c>
      <c r="M8" s="920">
        <f>SUM('Retaining Wall'!I162)</f>
        <v>0</v>
      </c>
      <c r="N8" s="920"/>
      <c r="O8" s="920"/>
      <c r="P8" s="920"/>
      <c r="Q8" s="920"/>
      <c r="S8" s="920">
        <f t="shared" si="3"/>
        <v>1424.2567950000002</v>
      </c>
      <c r="U8" s="950"/>
      <c r="V8" s="1022">
        <f t="shared" ref="V8:V9" si="6">SUM(E8:G8)/D8</f>
        <v>13.333333333333332</v>
      </c>
      <c r="W8" s="1022">
        <f t="shared" ref="W8:W9" si="7">S8/D8</f>
        <v>166.12617393301184</v>
      </c>
    </row>
    <row r="9" spans="1:23">
      <c r="A9" s="2225"/>
      <c r="B9" s="2227"/>
      <c r="C9" s="1829" t="s">
        <v>395</v>
      </c>
      <c r="D9" s="937">
        <f>'REKAP Plat'!G18</f>
        <v>51.904365410000004</v>
      </c>
      <c r="E9" s="922">
        <f>'REKAP Plat'!I18</f>
        <v>42.014415</v>
      </c>
      <c r="F9" s="920">
        <f>'REKAP Plat'!H18</f>
        <v>16.891977169999997</v>
      </c>
      <c r="G9" s="939"/>
      <c r="H9" s="924">
        <v>0</v>
      </c>
      <c r="I9" s="920">
        <f>'REKAP Plat'!N18</f>
        <v>0</v>
      </c>
      <c r="J9" s="920">
        <f>'REKAP Plat'!O18</f>
        <v>5672.730824969628</v>
      </c>
      <c r="K9" s="920">
        <f>'REKAP Plat'!P18</f>
        <v>0</v>
      </c>
      <c r="L9" s="920">
        <f>'REKAP Plat'!Q18</f>
        <v>0</v>
      </c>
      <c r="M9" s="920">
        <f>'REKAP Plat'!R18</f>
        <v>0</v>
      </c>
      <c r="N9" s="920">
        <v>0</v>
      </c>
      <c r="O9" s="920">
        <v>0</v>
      </c>
      <c r="P9" s="920">
        <v>0</v>
      </c>
      <c r="Q9" s="920">
        <v>0</v>
      </c>
      <c r="S9" s="920">
        <f t="shared" ref="S9" si="8">SUM(H9:Q9)</f>
        <v>5672.730824969628</v>
      </c>
      <c r="U9" s="950"/>
      <c r="V9" s="1022">
        <f t="shared" si="6"/>
        <v>1.1349024634958926</v>
      </c>
      <c r="W9" s="1022">
        <f t="shared" si="7"/>
        <v>109.29197920367422</v>
      </c>
    </row>
    <row r="10" spans="1:23" ht="15.75" thickBot="1">
      <c r="A10" s="997"/>
      <c r="B10" s="996"/>
      <c r="C10" s="995"/>
      <c r="D10" s="994"/>
      <c r="E10" s="993"/>
      <c r="F10" s="990"/>
      <c r="G10" s="992"/>
      <c r="H10" s="991"/>
      <c r="I10" s="990"/>
      <c r="J10" s="990"/>
      <c r="K10" s="990"/>
      <c r="L10" s="990"/>
      <c r="M10" s="990"/>
      <c r="N10" s="990"/>
      <c r="O10" s="990"/>
      <c r="P10" s="990"/>
      <c r="Q10" s="990"/>
      <c r="S10" s="990"/>
      <c r="U10" s="632">
        <f>SUM(D5:D9)/SUM(B5)</f>
        <v>0.5077333622232213</v>
      </c>
      <c r="V10" s="632">
        <f>SUM(E5:E9)/SUM(D5:D9)</f>
        <v>5.779228960334307</v>
      </c>
      <c r="W10" s="632">
        <f>SUM(H5:Q9)/SUM(D5:D9)</f>
        <v>161.21033310056501</v>
      </c>
    </row>
    <row r="11" spans="1:23">
      <c r="A11" s="984"/>
      <c r="B11" s="983"/>
      <c r="C11" s="982"/>
      <c r="D11" s="981"/>
      <c r="E11" s="980"/>
      <c r="F11" s="977"/>
      <c r="G11" s="979"/>
      <c r="H11" s="978"/>
      <c r="I11" s="977"/>
      <c r="J11" s="977"/>
      <c r="K11" s="977"/>
      <c r="L11" s="977"/>
      <c r="M11" s="977"/>
      <c r="N11" s="977"/>
      <c r="O11" s="977"/>
      <c r="P11" s="977"/>
      <c r="Q11" s="977"/>
      <c r="S11" s="977"/>
      <c r="U11" s="632"/>
      <c r="V11" s="632"/>
      <c r="W11" s="632"/>
    </row>
    <row r="12" spans="1:23">
      <c r="A12" s="2223" t="s">
        <v>131</v>
      </c>
      <c r="B12" s="2224">
        <f>'REKAP Plat'!F51</f>
        <v>20.295768000000002</v>
      </c>
      <c r="C12" s="1829" t="s">
        <v>2097</v>
      </c>
      <c r="D12" s="937">
        <f>'REKAP Balok'!G332</f>
        <v>14.519641249999999</v>
      </c>
      <c r="E12" s="922">
        <f>'REKAP Balok'!H332</f>
        <v>179.86435</v>
      </c>
      <c r="F12" s="920"/>
      <c r="G12" s="939"/>
      <c r="H12" s="924">
        <f>'REKAP Balok'!L332</f>
        <v>0</v>
      </c>
      <c r="I12" s="924">
        <f>'REKAP Balok'!M332</f>
        <v>140.51070720000001</v>
      </c>
      <c r="J12" s="924">
        <f>'REKAP Balok'!N332</f>
        <v>768.95428500000003</v>
      </c>
      <c r="K12" s="924">
        <f>'REKAP Balok'!O332</f>
        <v>1143.1415314214998</v>
      </c>
      <c r="L12" s="924">
        <f>'REKAP Balok'!P332</f>
        <v>139.31440128000003</v>
      </c>
      <c r="M12" s="924">
        <f>'REKAP Balok'!Q332</f>
        <v>0</v>
      </c>
      <c r="N12" s="924">
        <f>'REKAP Balok'!R332</f>
        <v>0</v>
      </c>
      <c r="O12" s="924">
        <f>'REKAP Balok'!S332</f>
        <v>0</v>
      </c>
      <c r="P12" s="924">
        <f>'REKAP Balok'!T332</f>
        <v>0</v>
      </c>
      <c r="Q12" s="920">
        <v>0</v>
      </c>
      <c r="S12" s="920">
        <f>SUM(H12:Q12)</f>
        <v>2191.9209249014998</v>
      </c>
      <c r="U12" s="950"/>
      <c r="V12" s="1022">
        <f>SUM(E12:G12)/D12</f>
        <v>12.387657993960422</v>
      </c>
      <c r="W12" s="1022">
        <f>S12/D12</f>
        <v>150.96247125950856</v>
      </c>
    </row>
    <row r="13" spans="1:23">
      <c r="A13" s="2223"/>
      <c r="B13" s="2224"/>
      <c r="C13" s="1829" t="s">
        <v>394</v>
      </c>
      <c r="D13" s="937">
        <f>'REKAP Plat'!G51</f>
        <v>6.0887304000000011</v>
      </c>
      <c r="E13" s="922">
        <f>'REKAP Plat'!I51</f>
        <v>45.939785999999998</v>
      </c>
      <c r="F13" s="920">
        <f>'REKAP Plat'!H51</f>
        <v>0</v>
      </c>
      <c r="G13" s="939"/>
      <c r="H13" s="924">
        <v>0</v>
      </c>
      <c r="I13" s="920">
        <f>'REKAP Plat'!N51</f>
        <v>0</v>
      </c>
      <c r="J13" s="920">
        <f>'REKAP Plat'!O51</f>
        <v>668.21461830912006</v>
      </c>
      <c r="K13" s="920">
        <f>'REKAP Plat'!P51</f>
        <v>0</v>
      </c>
      <c r="L13" s="920">
        <f>'REKAP Plat'!Q51</f>
        <v>0</v>
      </c>
      <c r="M13" s="920">
        <f>'REKAP Plat'!R51</f>
        <v>0</v>
      </c>
      <c r="N13" s="920">
        <v>0</v>
      </c>
      <c r="O13" s="920">
        <v>0</v>
      </c>
      <c r="P13" s="920">
        <v>0</v>
      </c>
      <c r="Q13" s="920">
        <v>0</v>
      </c>
      <c r="S13" s="920">
        <f>SUM(H13:Q13)</f>
        <v>668.21461830912006</v>
      </c>
      <c r="U13" s="950"/>
      <c r="V13" s="1022">
        <f>SUM(E13:G13)/D13</f>
        <v>7.5450517566026551</v>
      </c>
      <c r="W13" s="1022">
        <f>S13/D13</f>
        <v>109.74613333333332</v>
      </c>
    </row>
    <row r="14" spans="1:23">
      <c r="A14" s="2223"/>
      <c r="B14" s="2224"/>
      <c r="C14" s="1829" t="s">
        <v>412</v>
      </c>
      <c r="D14" s="922">
        <f>SUM('Retaining Wall'!C170)</f>
        <v>4.8345000000000002</v>
      </c>
      <c r="E14" s="922">
        <f>SUM('Retaining Wall'!D170)</f>
        <v>64.459999999999994</v>
      </c>
      <c r="F14" s="920"/>
      <c r="G14" s="939"/>
      <c r="H14" s="924"/>
      <c r="I14" s="920">
        <f>SUM('Retaining Wall'!E170)</f>
        <v>0</v>
      </c>
      <c r="J14" s="920">
        <f>SUM('Retaining Wall'!F170)</f>
        <v>638.81730000000016</v>
      </c>
      <c r="K14" s="920">
        <f>SUM('Retaining Wall'!G170)</f>
        <v>0</v>
      </c>
      <c r="L14" s="920">
        <f>SUM('Retaining Wall'!H170)</f>
        <v>0</v>
      </c>
      <c r="M14" s="920">
        <f>SUM('Retaining Wall'!I170)</f>
        <v>0</v>
      </c>
      <c r="N14" s="920"/>
      <c r="O14" s="920"/>
      <c r="P14" s="920"/>
      <c r="Q14" s="920"/>
      <c r="S14" s="920">
        <f t="shared" ref="S14" si="9">SUM(H14:Q14)</f>
        <v>638.81730000000016</v>
      </c>
      <c r="U14" s="950"/>
      <c r="V14" s="1022">
        <f t="shared" ref="V14" si="10">SUM(E14:G14)/D14</f>
        <v>13.333333333333332</v>
      </c>
      <c r="W14" s="1022">
        <f t="shared" ref="W14" si="11">S14/D14</f>
        <v>132.13720136518774</v>
      </c>
    </row>
    <row r="15" spans="1:23">
      <c r="A15" s="2240"/>
      <c r="B15" s="2241"/>
      <c r="C15" s="1829" t="s">
        <v>393</v>
      </c>
      <c r="D15" s="937" t="e">
        <f>'Hasil-Kolom'!#REF!</f>
        <v>#REF!</v>
      </c>
      <c r="E15" s="922" t="e">
        <f>'Hasil-Kolom'!#REF!</f>
        <v>#REF!</v>
      </c>
      <c r="F15" s="920"/>
      <c r="G15" s="939"/>
      <c r="H15" s="924"/>
      <c r="I15" s="920" t="e">
        <f>'Hasil-Kolom'!#REF!</f>
        <v>#REF!</v>
      </c>
      <c r="J15" s="920" t="e">
        <f>'Hasil-Kolom'!#REF!+'Hasil-Kolom'!#REF!</f>
        <v>#REF!</v>
      </c>
      <c r="K15" s="920" t="e">
        <f>'Hasil-Kolom'!#REF!+'Hasil-Kolom'!#REF!</f>
        <v>#REF!</v>
      </c>
      <c r="L15" s="920" t="e">
        <f>'Hasil-Kolom'!#REF!+'Hasil-Kolom'!#REF!</f>
        <v>#REF!</v>
      </c>
      <c r="M15" s="920" t="e">
        <f>'Hasil-Kolom'!#REF!</f>
        <v>#REF!</v>
      </c>
      <c r="N15" s="920" t="e">
        <f>'Hasil-Kolom'!#REF!</f>
        <v>#REF!</v>
      </c>
      <c r="O15" s="920" t="e">
        <f>'Hasil-Kolom'!#REF!</f>
        <v>#REF!</v>
      </c>
      <c r="P15" s="920" t="e">
        <f>'Hasil-Kolom'!#REF!</f>
        <v>#REF!</v>
      </c>
      <c r="Q15" s="920"/>
      <c r="S15" s="920" t="e">
        <f>SUM(H15:Q15)</f>
        <v>#REF!</v>
      </c>
      <c r="U15" s="950"/>
      <c r="V15" s="1022" t="e">
        <f>SUM(E15:G15)/D15</f>
        <v>#REF!</v>
      </c>
      <c r="W15" s="1022" t="e">
        <f>S15/D15</f>
        <v>#REF!</v>
      </c>
    </row>
    <row r="16" spans="1:23" ht="15.75" thickBot="1">
      <c r="A16" s="997"/>
      <c r="B16" s="996"/>
      <c r="C16" s="995"/>
      <c r="D16" s="994"/>
      <c r="E16" s="993"/>
      <c r="F16" s="990"/>
      <c r="G16" s="992"/>
      <c r="H16" s="991"/>
      <c r="I16" s="990"/>
      <c r="J16" s="990"/>
      <c r="K16" s="990"/>
      <c r="L16" s="990"/>
      <c r="M16" s="990"/>
      <c r="N16" s="990"/>
      <c r="O16" s="990"/>
      <c r="P16" s="990"/>
      <c r="Q16" s="990"/>
      <c r="S16" s="990"/>
      <c r="U16" s="632" t="e">
        <f>SUM(D12:D15)/B12</f>
        <v>#REF!</v>
      </c>
      <c r="V16" s="632" t="e">
        <f>SUM(E8:E15)/SUM(D8:D15)</f>
        <v>#REF!</v>
      </c>
      <c r="W16" s="632" t="e">
        <f>SUM(H8:Q15)/SUM(D8:D15)</f>
        <v>#REF!</v>
      </c>
    </row>
    <row r="17" spans="1:23">
      <c r="A17" s="984"/>
      <c r="B17" s="983"/>
      <c r="C17" s="982"/>
      <c r="D17" s="981"/>
      <c r="E17" s="980"/>
      <c r="F17" s="977"/>
      <c r="G17" s="979"/>
      <c r="H17" s="978"/>
      <c r="I17" s="977"/>
      <c r="J17" s="977"/>
      <c r="K17" s="977"/>
      <c r="L17" s="977"/>
      <c r="M17" s="977"/>
      <c r="N17" s="977"/>
      <c r="O17" s="977"/>
      <c r="P17" s="977"/>
      <c r="Q17" s="977"/>
      <c r="S17" s="977"/>
      <c r="U17" s="632"/>
      <c r="V17" s="632"/>
      <c r="W17" s="632"/>
    </row>
    <row r="18" spans="1:23">
      <c r="A18" s="2223" t="s">
        <v>136</v>
      </c>
      <c r="B18" s="2224" t="e">
        <f>'REKAP Plat'!#REF!</f>
        <v>#REF!</v>
      </c>
      <c r="C18" s="1829" t="s">
        <v>2098</v>
      </c>
      <c r="D18" s="937" t="e">
        <f>'REKAP Balok'!#REF!</f>
        <v>#REF!</v>
      </c>
      <c r="E18" s="922" t="e">
        <f>'REKAP Balok'!#REF!</f>
        <v>#REF!</v>
      </c>
      <c r="F18" s="920"/>
      <c r="G18" s="939"/>
      <c r="H18" s="924" t="e">
        <f>'REKAP Balok'!#REF!</f>
        <v>#REF!</v>
      </c>
      <c r="I18" s="924" t="e">
        <f>'REKAP Balok'!#REF!</f>
        <v>#REF!</v>
      </c>
      <c r="J18" s="924" t="e">
        <f>'REKAP Balok'!#REF!</f>
        <v>#REF!</v>
      </c>
      <c r="K18" s="924" t="e">
        <f>'REKAP Balok'!#REF!</f>
        <v>#REF!</v>
      </c>
      <c r="L18" s="924" t="e">
        <f>'REKAP Balok'!#REF!</f>
        <v>#REF!</v>
      </c>
      <c r="M18" s="924" t="e">
        <f>'REKAP Balok'!#REF!</f>
        <v>#REF!</v>
      </c>
      <c r="N18" s="924" t="e">
        <f>'REKAP Balok'!#REF!</f>
        <v>#REF!</v>
      </c>
      <c r="O18" s="924" t="e">
        <f>'REKAP Balok'!#REF!</f>
        <v>#REF!</v>
      </c>
      <c r="P18" s="924" t="e">
        <f>'REKAP Balok'!#REF!</f>
        <v>#REF!</v>
      </c>
      <c r="Q18" s="920">
        <v>0</v>
      </c>
      <c r="S18" s="920" t="e">
        <f>SUM(H18:Q18)</f>
        <v>#REF!</v>
      </c>
      <c r="U18" s="950"/>
      <c r="V18" s="1022" t="e">
        <f>SUM(E18:G18)/D18</f>
        <v>#REF!</v>
      </c>
      <c r="W18" s="1022" t="e">
        <f>S18/D18</f>
        <v>#REF!</v>
      </c>
    </row>
    <row r="19" spans="1:23">
      <c r="A19" s="2223"/>
      <c r="B19" s="2224"/>
      <c r="C19" s="1829" t="s">
        <v>394</v>
      </c>
      <c r="D19" s="937" t="e">
        <f>'REKAP Plat'!#REF!</f>
        <v>#REF!</v>
      </c>
      <c r="E19" s="922" t="e">
        <f>'REKAP Plat'!#REF!</f>
        <v>#REF!</v>
      </c>
      <c r="F19" s="920"/>
      <c r="G19" s="939"/>
      <c r="H19" s="924">
        <v>0</v>
      </c>
      <c r="I19" s="920" t="e">
        <f>'REKAP Plat'!#REF!</f>
        <v>#REF!</v>
      </c>
      <c r="J19" s="920" t="e">
        <f>'REKAP Plat'!#REF!</f>
        <v>#REF!</v>
      </c>
      <c r="K19" s="920" t="e">
        <f>'REKAP Plat'!#REF!</f>
        <v>#REF!</v>
      </c>
      <c r="L19" s="920" t="e">
        <f>'REKAP Plat'!#REF!</f>
        <v>#REF!</v>
      </c>
      <c r="M19" s="920" t="e">
        <f>'REKAP Plat'!#REF!</f>
        <v>#REF!</v>
      </c>
      <c r="N19" s="920">
        <v>0</v>
      </c>
      <c r="O19" s="920">
        <v>0</v>
      </c>
      <c r="P19" s="920">
        <v>0</v>
      </c>
      <c r="Q19" s="920">
        <v>0</v>
      </c>
      <c r="S19" s="920" t="e">
        <f>SUM(H19:Q19)</f>
        <v>#REF!</v>
      </c>
      <c r="U19" s="950"/>
      <c r="V19" s="1022" t="e">
        <f>SUM(E19:G19)/D19</f>
        <v>#REF!</v>
      </c>
      <c r="W19" s="1022" t="e">
        <f>S19/D19</f>
        <v>#REF!</v>
      </c>
    </row>
    <row r="20" spans="1:23">
      <c r="A20" s="2240"/>
      <c r="B20" s="2241"/>
      <c r="C20" s="1829" t="s">
        <v>393</v>
      </c>
      <c r="D20" s="937" t="e">
        <f>'Hasil-Kolom'!#REF!</f>
        <v>#REF!</v>
      </c>
      <c r="E20" s="922" t="e">
        <f>'Hasil-Kolom'!#REF!</f>
        <v>#REF!</v>
      </c>
      <c r="F20" s="920"/>
      <c r="G20" s="939"/>
      <c r="H20" s="924"/>
      <c r="I20" s="920" t="e">
        <f>'Hasil-Kolom'!#REF!</f>
        <v>#REF!</v>
      </c>
      <c r="J20" s="920" t="e">
        <f>'Hasil-Kolom'!#REF!+'Hasil-Kolom'!#REF!</f>
        <v>#REF!</v>
      </c>
      <c r="K20" s="920" t="e">
        <f>'Hasil-Kolom'!#REF!+'Hasil-Kolom'!#REF!</f>
        <v>#REF!</v>
      </c>
      <c r="L20" s="920" t="e">
        <f>'Hasil-Kolom'!#REF!+'Hasil-Kolom'!#REF!</f>
        <v>#REF!</v>
      </c>
      <c r="M20" s="920" t="e">
        <f>'Hasil-Kolom'!#REF!</f>
        <v>#REF!</v>
      </c>
      <c r="N20" s="920" t="e">
        <f>'Hasil-Kolom'!#REF!</f>
        <v>#REF!</v>
      </c>
      <c r="O20" s="920" t="e">
        <f>'Hasil-Kolom'!#REF!</f>
        <v>#REF!</v>
      </c>
      <c r="P20" s="920" t="e">
        <f>'Hasil-Kolom'!#REF!</f>
        <v>#REF!</v>
      </c>
      <c r="Q20" s="920"/>
      <c r="S20" s="920" t="e">
        <f>SUM(H20:Q20)</f>
        <v>#REF!</v>
      </c>
      <c r="U20" s="950"/>
      <c r="V20" s="1022" t="e">
        <f>SUM(E20:G20)/D20</f>
        <v>#REF!</v>
      </c>
      <c r="W20" s="1022" t="e">
        <f>S20/D20</f>
        <v>#REF!</v>
      </c>
    </row>
    <row r="21" spans="1:23" ht="15.75" thickBot="1">
      <c r="A21" s="975"/>
      <c r="B21" s="969"/>
      <c r="C21" s="974"/>
      <c r="D21" s="989"/>
      <c r="E21" s="988"/>
      <c r="F21" s="985"/>
      <c r="G21" s="987"/>
      <c r="H21" s="986"/>
      <c r="I21" s="985"/>
      <c r="J21" s="985"/>
      <c r="K21" s="985"/>
      <c r="L21" s="985"/>
      <c r="M21" s="985"/>
      <c r="N21" s="985"/>
      <c r="O21" s="985"/>
      <c r="P21" s="985"/>
      <c r="Q21" s="985"/>
      <c r="S21" s="985"/>
      <c r="U21" s="632" t="e">
        <f>SUM(D18:D20)/B18</f>
        <v>#REF!</v>
      </c>
      <c r="V21" s="632" t="e">
        <f>SUM(E18:E20)/SUM(D18:D20)</f>
        <v>#REF!</v>
      </c>
      <c r="W21" s="632" t="e">
        <f>SUM(H18:Q20)/SUM(D18:D20)</f>
        <v>#REF!</v>
      </c>
    </row>
    <row r="22" spans="1:23">
      <c r="A22" s="984"/>
      <c r="B22" s="983"/>
      <c r="C22" s="982"/>
      <c r="D22" s="981"/>
      <c r="E22" s="980"/>
      <c r="F22" s="977"/>
      <c r="G22" s="979"/>
      <c r="H22" s="978"/>
      <c r="I22" s="977"/>
      <c r="J22" s="977"/>
      <c r="K22" s="977"/>
      <c r="L22" s="977"/>
      <c r="M22" s="977"/>
      <c r="N22" s="977"/>
      <c r="O22" s="977"/>
      <c r="P22" s="977"/>
      <c r="Q22" s="977"/>
      <c r="S22" s="977"/>
      <c r="U22" s="632"/>
      <c r="V22" s="632"/>
      <c r="W22" s="632"/>
    </row>
    <row r="23" spans="1:23">
      <c r="A23" s="2225" t="s">
        <v>219</v>
      </c>
      <c r="B23" s="2227" t="e">
        <f>'REKAP Plat'!#REF!</f>
        <v>#REF!</v>
      </c>
      <c r="C23" s="1829" t="s">
        <v>2099</v>
      </c>
      <c r="D23" s="937" t="e">
        <f>'REKAP Balok'!#REF!</f>
        <v>#REF!</v>
      </c>
      <c r="E23" s="922" t="e">
        <f>'REKAP Balok'!#REF!</f>
        <v>#REF!</v>
      </c>
      <c r="F23" s="920"/>
      <c r="G23" s="939"/>
      <c r="H23" s="924" t="e">
        <f>'REKAP Balok'!#REF!</f>
        <v>#REF!</v>
      </c>
      <c r="I23" s="924" t="e">
        <f>'REKAP Balok'!#REF!</f>
        <v>#REF!</v>
      </c>
      <c r="J23" s="924" t="e">
        <f>'REKAP Balok'!#REF!</f>
        <v>#REF!</v>
      </c>
      <c r="K23" s="924" t="e">
        <f>'REKAP Balok'!#REF!</f>
        <v>#REF!</v>
      </c>
      <c r="L23" s="924" t="e">
        <f>'REKAP Balok'!#REF!</f>
        <v>#REF!</v>
      </c>
      <c r="M23" s="924" t="e">
        <f>'REKAP Balok'!#REF!</f>
        <v>#REF!</v>
      </c>
      <c r="N23" s="924" t="e">
        <f>'REKAP Balok'!#REF!</f>
        <v>#REF!</v>
      </c>
      <c r="O23" s="924" t="e">
        <f>'REKAP Balok'!#REF!</f>
        <v>#REF!</v>
      </c>
      <c r="P23" s="924" t="e">
        <f>'REKAP Balok'!#REF!</f>
        <v>#REF!</v>
      </c>
      <c r="Q23" s="920">
        <v>0</v>
      </c>
      <c r="S23" s="920" t="e">
        <f>SUM(H23:Q23)</f>
        <v>#REF!</v>
      </c>
      <c r="U23" s="950"/>
      <c r="V23" s="1022" t="e">
        <f>SUM(E23:G23)/D23</f>
        <v>#REF!</v>
      </c>
      <c r="W23" s="1022" t="e">
        <f>S23/D23</f>
        <v>#REF!</v>
      </c>
    </row>
    <row r="24" spans="1:23">
      <c r="A24" s="2226"/>
      <c r="B24" s="2228"/>
      <c r="C24" s="1829" t="s">
        <v>394</v>
      </c>
      <c r="D24" s="937" t="e">
        <f>'REKAP Plat'!#REF!</f>
        <v>#REF!</v>
      </c>
      <c r="E24" s="922" t="e">
        <f>'REKAP Plat'!#REF!</f>
        <v>#REF!</v>
      </c>
      <c r="F24" s="920"/>
      <c r="G24" s="939"/>
      <c r="H24" s="924">
        <v>0</v>
      </c>
      <c r="I24" s="920" t="e">
        <f>'REKAP Plat'!#REF!</f>
        <v>#REF!</v>
      </c>
      <c r="J24" s="920" t="e">
        <f>'REKAP Plat'!#REF!</f>
        <v>#REF!</v>
      </c>
      <c r="K24" s="920" t="e">
        <f>'REKAP Plat'!#REF!</f>
        <v>#REF!</v>
      </c>
      <c r="L24" s="920" t="e">
        <f>'REKAP Plat'!#REF!</f>
        <v>#REF!</v>
      </c>
      <c r="M24" s="920" t="e">
        <f>'REKAP Plat'!#REF!</f>
        <v>#REF!</v>
      </c>
      <c r="N24" s="920">
        <v>0</v>
      </c>
      <c r="O24" s="920">
        <v>0</v>
      </c>
      <c r="P24" s="920">
        <v>0</v>
      </c>
      <c r="Q24" s="920">
        <v>0</v>
      </c>
      <c r="S24" s="920" t="e">
        <f>SUM(H24:Q24)</f>
        <v>#REF!</v>
      </c>
      <c r="U24" s="950"/>
      <c r="V24" s="1022" t="e">
        <f>SUM(E24:G24)/D24</f>
        <v>#REF!</v>
      </c>
      <c r="W24" s="1022" t="e">
        <f>S24/D24</f>
        <v>#REF!</v>
      </c>
    </row>
    <row r="25" spans="1:23">
      <c r="A25" s="2225"/>
      <c r="B25" s="2227"/>
      <c r="C25" s="1829" t="s">
        <v>412</v>
      </c>
      <c r="D25" s="922" t="e">
        <f>SUM('Retaining Wall'!#REF!)</f>
        <v>#REF!</v>
      </c>
      <c r="E25" s="922" t="e">
        <f>SUM('Retaining Wall'!#REF!)</f>
        <v>#REF!</v>
      </c>
      <c r="F25" s="920"/>
      <c r="G25" s="939"/>
      <c r="H25" s="924"/>
      <c r="I25" s="920" t="e">
        <f>SUM('Retaining Wall'!#REF!)</f>
        <v>#REF!</v>
      </c>
      <c r="J25" s="920" t="e">
        <f>SUM('Retaining Wall'!#REF!)</f>
        <v>#REF!</v>
      </c>
      <c r="K25" s="920" t="e">
        <f>SUM('Retaining Wall'!#REF!)</f>
        <v>#REF!</v>
      </c>
      <c r="L25" s="920" t="e">
        <f>SUM('Retaining Wall'!#REF!)</f>
        <v>#REF!</v>
      </c>
      <c r="M25" s="920">
        <f>SUM('Retaining Wall'!I188)</f>
        <v>0</v>
      </c>
      <c r="N25" s="920"/>
      <c r="O25" s="920"/>
      <c r="P25" s="920"/>
      <c r="Q25" s="920"/>
      <c r="S25" s="920" t="e">
        <f t="shared" ref="S25" si="12">SUM(H25:Q25)</f>
        <v>#REF!</v>
      </c>
      <c r="U25" s="950"/>
      <c r="V25" s="1022" t="e">
        <f t="shared" ref="V25" si="13">SUM(E25:G25)/D25</f>
        <v>#REF!</v>
      </c>
      <c r="W25" s="1022" t="e">
        <f t="shared" ref="W25" si="14">S25/D25</f>
        <v>#REF!</v>
      </c>
    </row>
    <row r="26" spans="1:23">
      <c r="A26" s="2226"/>
      <c r="B26" s="2228"/>
      <c r="C26" s="1829" t="s">
        <v>393</v>
      </c>
      <c r="D26" s="937" t="e">
        <f>'Hasil-Kolom'!#REF!</f>
        <v>#REF!</v>
      </c>
      <c r="E26" s="922" t="e">
        <f>'Hasil-Kolom'!#REF!</f>
        <v>#REF!</v>
      </c>
      <c r="F26" s="920"/>
      <c r="G26" s="939"/>
      <c r="H26" s="924">
        <v>0</v>
      </c>
      <c r="I26" s="920" t="e">
        <f>'Hasil-Kolom'!#REF!</f>
        <v>#REF!</v>
      </c>
      <c r="J26" s="920" t="e">
        <f>'Hasil-Kolom'!#REF!+'Hasil-Kolom'!#REF!</f>
        <v>#REF!</v>
      </c>
      <c r="K26" s="920" t="e">
        <f>'Hasil-Kolom'!#REF!+'Hasil-Kolom'!#REF!</f>
        <v>#REF!</v>
      </c>
      <c r="L26" s="920" t="e">
        <f>'Hasil-Kolom'!#REF!+'Hasil-Kolom'!#REF!</f>
        <v>#REF!</v>
      </c>
      <c r="M26" s="920" t="e">
        <f>'Hasil-Kolom'!#REF!</f>
        <v>#REF!</v>
      </c>
      <c r="N26" s="920" t="e">
        <f>'Hasil-Kolom'!#REF!</f>
        <v>#REF!</v>
      </c>
      <c r="O26" s="920" t="e">
        <f>'Hasil-Kolom'!#REF!</f>
        <v>#REF!</v>
      </c>
      <c r="P26" s="920" t="e">
        <f>'Hasil-Kolom'!#REF!</f>
        <v>#REF!</v>
      </c>
      <c r="Q26" s="920">
        <v>0</v>
      </c>
      <c r="S26" s="920" t="e">
        <f>SUM(H26:Q26)</f>
        <v>#REF!</v>
      </c>
      <c r="U26" s="950"/>
      <c r="V26" s="1022" t="e">
        <f>SUM(E26:G26)/D26</f>
        <v>#REF!</v>
      </c>
      <c r="W26" s="1022" t="e">
        <f>S26/D26</f>
        <v>#REF!</v>
      </c>
    </row>
    <row r="27" spans="1:23" ht="15.75" thickBot="1">
      <c r="A27" s="975"/>
      <c r="B27" s="969"/>
      <c r="C27" s="974"/>
      <c r="D27" s="989"/>
      <c r="E27" s="988"/>
      <c r="F27" s="985"/>
      <c r="G27" s="987"/>
      <c r="H27" s="986"/>
      <c r="I27" s="985"/>
      <c r="J27" s="985"/>
      <c r="K27" s="985"/>
      <c r="L27" s="985"/>
      <c r="M27" s="985"/>
      <c r="N27" s="985"/>
      <c r="O27" s="985"/>
      <c r="P27" s="985"/>
      <c r="Q27" s="985"/>
      <c r="S27" s="985"/>
      <c r="U27" s="632" t="e">
        <f>SUM(D23:D26)/B23</f>
        <v>#REF!</v>
      </c>
      <c r="V27" s="632" t="e">
        <f>SUM(E23:E26)/SUM(D23:D26)</f>
        <v>#REF!</v>
      </c>
      <c r="W27" s="632" t="e">
        <f>SUM(H23:Q26)/SUM(D23:D26)</f>
        <v>#REF!</v>
      </c>
    </row>
    <row r="28" spans="1:23">
      <c r="A28" s="984"/>
      <c r="B28" s="983"/>
      <c r="C28" s="982"/>
      <c r="D28" s="981"/>
      <c r="E28" s="980"/>
      <c r="F28" s="977"/>
      <c r="G28" s="979"/>
      <c r="H28" s="978"/>
      <c r="I28" s="977"/>
      <c r="J28" s="977"/>
      <c r="K28" s="977"/>
      <c r="L28" s="977"/>
      <c r="M28" s="977"/>
      <c r="N28" s="977"/>
      <c r="O28" s="977"/>
      <c r="P28" s="977"/>
      <c r="Q28" s="977"/>
      <c r="S28" s="977"/>
      <c r="U28" s="632"/>
      <c r="V28" s="632"/>
      <c r="W28" s="632"/>
    </row>
    <row r="29" spans="1:23">
      <c r="A29" s="2223" t="s">
        <v>137</v>
      </c>
      <c r="B29" s="2224" t="e">
        <f>'REKAP Plat'!#REF!</f>
        <v>#REF!</v>
      </c>
      <c r="C29" s="1829" t="s">
        <v>2100</v>
      </c>
      <c r="D29" s="937" t="e">
        <f>'REKAP Balok'!#REF!</f>
        <v>#REF!</v>
      </c>
      <c r="E29" s="922" t="e">
        <f>'REKAP Balok'!#REF!</f>
        <v>#REF!</v>
      </c>
      <c r="F29" s="920"/>
      <c r="G29" s="939"/>
      <c r="H29" s="924" t="e">
        <f>'REKAP Balok'!#REF!</f>
        <v>#REF!</v>
      </c>
      <c r="I29" s="924" t="e">
        <f>'REKAP Balok'!#REF!</f>
        <v>#REF!</v>
      </c>
      <c r="J29" s="924" t="e">
        <f>'REKAP Balok'!#REF!</f>
        <v>#REF!</v>
      </c>
      <c r="K29" s="924" t="e">
        <f>'REKAP Balok'!#REF!</f>
        <v>#REF!</v>
      </c>
      <c r="L29" s="924" t="e">
        <f>'REKAP Balok'!#REF!</f>
        <v>#REF!</v>
      </c>
      <c r="M29" s="924" t="e">
        <f>'REKAP Balok'!#REF!</f>
        <v>#REF!</v>
      </c>
      <c r="N29" s="924" t="e">
        <f>'REKAP Balok'!#REF!</f>
        <v>#REF!</v>
      </c>
      <c r="O29" s="924" t="e">
        <f>'REKAP Balok'!#REF!</f>
        <v>#REF!</v>
      </c>
      <c r="P29" s="924" t="e">
        <f>'REKAP Balok'!#REF!</f>
        <v>#REF!</v>
      </c>
      <c r="Q29" s="920">
        <v>0</v>
      </c>
      <c r="S29" s="920" t="e">
        <f>SUM(H29:Q29)</f>
        <v>#REF!</v>
      </c>
      <c r="U29" s="950"/>
      <c r="V29" s="1022" t="e">
        <f>SUM(E29:G29)/D29</f>
        <v>#REF!</v>
      </c>
      <c r="W29" s="1022" t="e">
        <f>S29/D29</f>
        <v>#REF!</v>
      </c>
    </row>
    <row r="30" spans="1:23">
      <c r="A30" s="2223"/>
      <c r="B30" s="2224"/>
      <c r="C30" s="1829" t="s">
        <v>394</v>
      </c>
      <c r="D30" s="937" t="e">
        <f>'REKAP Plat'!#REF!</f>
        <v>#REF!</v>
      </c>
      <c r="E30" s="922" t="e">
        <f>'REKAP Plat'!#REF!</f>
        <v>#REF!</v>
      </c>
      <c r="F30" s="920"/>
      <c r="G30" s="939"/>
      <c r="H30" s="924">
        <v>0</v>
      </c>
      <c r="I30" s="920" t="e">
        <f>'REKAP Plat'!#REF!</f>
        <v>#REF!</v>
      </c>
      <c r="J30" s="920" t="e">
        <f>'REKAP Plat'!#REF!</f>
        <v>#REF!</v>
      </c>
      <c r="K30" s="920" t="e">
        <f>'REKAP Plat'!#REF!</f>
        <v>#REF!</v>
      </c>
      <c r="L30" s="920" t="e">
        <f>'REKAP Plat'!#REF!</f>
        <v>#REF!</v>
      </c>
      <c r="M30" s="920" t="e">
        <f>'REKAP Plat'!#REF!</f>
        <v>#REF!</v>
      </c>
      <c r="N30" s="920">
        <v>0</v>
      </c>
      <c r="O30" s="920">
        <v>0</v>
      </c>
      <c r="P30" s="920">
        <v>0</v>
      </c>
      <c r="Q30" s="920">
        <v>0</v>
      </c>
      <c r="S30" s="920" t="e">
        <f>SUM(H30:Q30)</f>
        <v>#REF!</v>
      </c>
      <c r="U30" s="950"/>
      <c r="V30" s="1022" t="e">
        <f>SUM(E30:G30)/D30</f>
        <v>#REF!</v>
      </c>
      <c r="W30" s="1022" t="e">
        <f>S30/D30</f>
        <v>#REF!</v>
      </c>
    </row>
    <row r="31" spans="1:23" ht="15.75" thickBot="1">
      <c r="A31" s="975"/>
      <c r="B31" s="969"/>
      <c r="C31" s="974"/>
      <c r="D31" s="973"/>
      <c r="E31" s="972"/>
      <c r="F31" s="969"/>
      <c r="G31" s="971"/>
      <c r="H31" s="970"/>
      <c r="I31" s="969"/>
      <c r="J31" s="969"/>
      <c r="K31" s="969"/>
      <c r="L31" s="969"/>
      <c r="M31" s="969"/>
      <c r="N31" s="969"/>
      <c r="O31" s="969"/>
      <c r="P31" s="969"/>
      <c r="Q31" s="969"/>
      <c r="S31" s="969"/>
      <c r="U31" s="632" t="e">
        <f>SUM(D29:D30)/B29</f>
        <v>#REF!</v>
      </c>
      <c r="V31" s="632" t="e">
        <f>SUM(E29:E30)/SUM(D29:D30)</f>
        <v>#REF!</v>
      </c>
      <c r="W31" s="632" t="e">
        <f>SUM(H29:Q30)/SUM(D29:D30)</f>
        <v>#REF!</v>
      </c>
    </row>
    <row r="32" spans="1:23" ht="15.75" thickBot="1">
      <c r="U32" s="632"/>
      <c r="V32" s="632"/>
      <c r="W32" s="632"/>
    </row>
    <row r="33" spans="1:23" ht="15.75" thickBot="1">
      <c r="A33" s="968" t="s">
        <v>138</v>
      </c>
      <c r="B33" s="964" t="e">
        <f>SUM(B4:B32)</f>
        <v>#REF!</v>
      </c>
      <c r="C33" s="967"/>
      <c r="D33" s="966" t="e">
        <f t="shared" ref="D33:Q33" si="15">SUM(D4:D32)</f>
        <v>#REF!</v>
      </c>
      <c r="E33" s="965" t="e">
        <f t="shared" si="15"/>
        <v>#REF!</v>
      </c>
      <c r="F33" s="964">
        <f t="shared" si="15"/>
        <v>32.554985544999994</v>
      </c>
      <c r="G33" s="960">
        <f t="shared" si="15"/>
        <v>91.046590532243172</v>
      </c>
      <c r="H33" s="1021" t="e">
        <f t="shared" si="15"/>
        <v>#REF!</v>
      </c>
      <c r="I33" s="962" t="e">
        <f t="shared" si="15"/>
        <v>#REF!</v>
      </c>
      <c r="J33" s="962" t="e">
        <f t="shared" si="15"/>
        <v>#REF!</v>
      </c>
      <c r="K33" s="962" t="e">
        <f t="shared" si="15"/>
        <v>#REF!</v>
      </c>
      <c r="L33" s="962" t="e">
        <f t="shared" si="15"/>
        <v>#REF!</v>
      </c>
      <c r="M33" s="962" t="e">
        <f t="shared" si="15"/>
        <v>#REF!</v>
      </c>
      <c r="N33" s="962" t="e">
        <f t="shared" si="15"/>
        <v>#REF!</v>
      </c>
      <c r="O33" s="961" t="e">
        <f t="shared" si="15"/>
        <v>#REF!</v>
      </c>
      <c r="P33" s="961" t="e">
        <f t="shared" si="15"/>
        <v>#REF!</v>
      </c>
      <c r="Q33" s="961">
        <f t="shared" si="15"/>
        <v>0</v>
      </c>
      <c r="S33" s="960" t="e">
        <f>SUM(S4:S32)</f>
        <v>#REF!</v>
      </c>
      <c r="U33" s="950"/>
      <c r="V33" s="950"/>
      <c r="W33" s="950"/>
    </row>
    <row r="34" spans="1:23">
      <c r="R34" s="1020" t="s">
        <v>54</v>
      </c>
      <c r="S34" s="1019" t="e">
        <f>S33-SUM(H33:Q33)</f>
        <v>#REF!</v>
      </c>
    </row>
    <row r="35" spans="1:23">
      <c r="E35" s="615"/>
    </row>
    <row r="37" spans="1:23">
      <c r="A37" s="950" t="s">
        <v>407</v>
      </c>
      <c r="B37" s="950"/>
      <c r="C37" s="950"/>
      <c r="D37" s="950"/>
    </row>
    <row r="38" spans="1:23">
      <c r="A38" s="950"/>
      <c r="B38" s="950" t="s">
        <v>95</v>
      </c>
      <c r="C38" s="632" t="e">
        <f>D33/B33</f>
        <v>#REF!</v>
      </c>
      <c r="D38" s="950" t="s">
        <v>406</v>
      </c>
    </row>
    <row r="39" spans="1:23">
      <c r="A39" s="950"/>
      <c r="B39" s="950" t="s">
        <v>96</v>
      </c>
      <c r="C39" s="632" t="e">
        <f>SUM(E33:G33)/D33</f>
        <v>#REF!</v>
      </c>
      <c r="D39" s="950" t="s">
        <v>405</v>
      </c>
    </row>
    <row r="40" spans="1:23">
      <c r="A40" s="950"/>
      <c r="B40" s="950" t="s">
        <v>99</v>
      </c>
      <c r="C40" s="632" t="e">
        <f>S33/D33</f>
        <v>#REF!</v>
      </c>
      <c r="D40" s="950" t="s">
        <v>404</v>
      </c>
    </row>
    <row r="42" spans="1:23">
      <c r="B42" s="950" t="s">
        <v>403</v>
      </c>
      <c r="C42" s="1018">
        <v>0.05</v>
      </c>
    </row>
    <row r="44" spans="1:23" ht="15" customHeight="1">
      <c r="A44" s="2237" t="s">
        <v>263</v>
      </c>
      <c r="B44" s="2237" t="s">
        <v>402</v>
      </c>
      <c r="C44" s="2246" t="s">
        <v>401</v>
      </c>
      <c r="D44" s="2249" t="s">
        <v>95</v>
      </c>
      <c r="E44" s="2234" t="s">
        <v>96</v>
      </c>
      <c r="F44" s="2235"/>
      <c r="G44" s="2236"/>
      <c r="H44" s="2230" t="s">
        <v>400</v>
      </c>
      <c r="I44" s="2230"/>
      <c r="J44" s="2230"/>
      <c r="K44" s="2230"/>
      <c r="L44" s="2230"/>
      <c r="M44" s="2230"/>
      <c r="N44" s="2230"/>
      <c r="O44" s="2230"/>
      <c r="P44" s="2230"/>
      <c r="Q44" s="2231"/>
      <c r="R44" s="1004"/>
      <c r="S44" s="1004"/>
    </row>
    <row r="45" spans="1:23">
      <c r="A45" s="2244"/>
      <c r="B45" s="2244"/>
      <c r="C45" s="2247"/>
      <c r="D45" s="2250"/>
      <c r="E45" s="2242" t="s">
        <v>399</v>
      </c>
      <c r="F45" s="2237" t="s">
        <v>71</v>
      </c>
      <c r="G45" s="2246" t="s">
        <v>398</v>
      </c>
      <c r="H45" s="955">
        <v>6</v>
      </c>
      <c r="I45" s="1015">
        <v>8</v>
      </c>
      <c r="J45" s="1016">
        <v>10</v>
      </c>
      <c r="K45" s="1015">
        <v>13</v>
      </c>
      <c r="L45" s="1015">
        <v>16</v>
      </c>
      <c r="M45" s="1015">
        <v>19</v>
      </c>
      <c r="N45" s="1015">
        <v>22</v>
      </c>
      <c r="O45" s="1015">
        <v>25</v>
      </c>
      <c r="P45" s="1015">
        <v>29</v>
      </c>
      <c r="Q45" s="1015">
        <v>32</v>
      </c>
      <c r="R45" s="1004"/>
      <c r="S45" s="2237" t="s">
        <v>397</v>
      </c>
    </row>
    <row r="46" spans="1:23" ht="15.75" thickBot="1">
      <c r="A46" s="2245"/>
      <c r="B46" s="2245"/>
      <c r="C46" s="2248"/>
      <c r="D46" s="2251"/>
      <c r="E46" s="2243"/>
      <c r="F46" s="2245"/>
      <c r="G46" s="2248"/>
      <c r="H46" s="1014">
        <v>2.66</v>
      </c>
      <c r="I46" s="1012">
        <v>4.74</v>
      </c>
      <c r="J46" s="1013">
        <v>7.4</v>
      </c>
      <c r="K46" s="1012">
        <v>12.5</v>
      </c>
      <c r="L46" s="1012">
        <v>19</v>
      </c>
      <c r="M46" s="1012">
        <v>26.8</v>
      </c>
      <c r="N46" s="1012">
        <v>35.76</v>
      </c>
      <c r="O46" s="1012">
        <v>46.25</v>
      </c>
      <c r="P46" s="1012">
        <v>62.22</v>
      </c>
      <c r="Q46" s="1012">
        <v>75.756</v>
      </c>
      <c r="R46" s="1004"/>
      <c r="S46" s="2245"/>
    </row>
    <row r="47" spans="1:23" ht="15.75" thickBot="1">
      <c r="A47" s="1011"/>
      <c r="B47" s="1011"/>
      <c r="C47" s="1010"/>
      <c r="D47" s="1009"/>
      <c r="E47" s="1008"/>
      <c r="F47" s="1003"/>
      <c r="G47" s="1007"/>
      <c r="H47" s="1006"/>
      <c r="I47" s="1003"/>
      <c r="J47" s="1005"/>
      <c r="K47" s="1003"/>
      <c r="L47" s="1003"/>
      <c r="M47" s="1003"/>
      <c r="N47" s="1003"/>
      <c r="O47" s="1003"/>
      <c r="P47" s="1003"/>
      <c r="Q47" s="1003"/>
      <c r="R47" s="1004"/>
      <c r="S47" s="1003"/>
    </row>
    <row r="48" spans="1:23">
      <c r="A48" s="1002"/>
      <c r="B48" s="983"/>
      <c r="C48" s="982"/>
      <c r="D48" s="1001"/>
      <c r="E48" s="1000"/>
      <c r="F48" s="983"/>
      <c r="G48" s="999"/>
      <c r="H48" s="998"/>
      <c r="I48" s="983"/>
      <c r="J48" s="983"/>
      <c r="K48" s="983"/>
      <c r="L48" s="983"/>
      <c r="M48" s="983"/>
      <c r="N48" s="983"/>
      <c r="O48" s="983"/>
      <c r="P48" s="983"/>
      <c r="Q48" s="983"/>
      <c r="S48" s="983"/>
    </row>
    <row r="49" spans="1:19">
      <c r="A49" s="2252" t="str">
        <f>A5</f>
        <v>Lantai Basement</v>
      </c>
      <c r="B49" s="2253">
        <f>B5</f>
        <v>288.09378390000001</v>
      </c>
      <c r="C49" s="976" t="s">
        <v>2080</v>
      </c>
      <c r="D49" s="937">
        <f t="shared" ref="D49:G53" si="16">D5</f>
        <v>24.540555649999998</v>
      </c>
      <c r="E49" s="922">
        <f t="shared" si="16"/>
        <v>0</v>
      </c>
      <c r="F49" s="920">
        <f t="shared" si="16"/>
        <v>6.5491083749999994</v>
      </c>
      <c r="G49" s="939">
        <f t="shared" si="16"/>
        <v>91.046590532243172</v>
      </c>
      <c r="H49" s="920">
        <f t="shared" ref="H49:Q49" si="17">ROUNDUP(H5*(1+$C$42)/H$46,0)</f>
        <v>0</v>
      </c>
      <c r="I49" s="920">
        <f t="shared" si="17"/>
        <v>0</v>
      </c>
      <c r="J49" s="920">
        <f t="shared" si="17"/>
        <v>0</v>
      </c>
      <c r="K49" s="920">
        <f t="shared" si="17"/>
        <v>121</v>
      </c>
      <c r="L49" s="920">
        <f t="shared" si="17"/>
        <v>101</v>
      </c>
      <c r="M49" s="920">
        <f t="shared" si="17"/>
        <v>11</v>
      </c>
      <c r="N49" s="920">
        <f t="shared" si="17"/>
        <v>0</v>
      </c>
      <c r="O49" s="920">
        <f t="shared" si="17"/>
        <v>0</v>
      </c>
      <c r="P49" s="920">
        <f t="shared" si="17"/>
        <v>0</v>
      </c>
      <c r="Q49" s="920">
        <f t="shared" si="17"/>
        <v>0</v>
      </c>
      <c r="S49" s="920">
        <f>SUMPRODUCT(H49:Q49,$H$46:$Q$46)</f>
        <v>3726.3</v>
      </c>
    </row>
    <row r="50" spans="1:19">
      <c r="A50" s="2223"/>
      <c r="B50" s="2224"/>
      <c r="C50" s="976" t="s">
        <v>2095</v>
      </c>
      <c r="D50" s="937">
        <f t="shared" si="16"/>
        <v>28.902460725157113</v>
      </c>
      <c r="E50" s="922">
        <f t="shared" si="16"/>
        <v>388.61904290062847</v>
      </c>
      <c r="F50" s="920">
        <f t="shared" si="16"/>
        <v>0</v>
      </c>
      <c r="G50" s="939">
        <f t="shared" si="16"/>
        <v>0</v>
      </c>
      <c r="H50" s="920">
        <f t="shared" ref="H50:Q50" si="18">ROUNDUP(H6*(1+$C$42)/H$46,0)</f>
        <v>0</v>
      </c>
      <c r="I50" s="920">
        <f t="shared" si="18"/>
        <v>0</v>
      </c>
      <c r="J50" s="920">
        <f t="shared" si="18"/>
        <v>389</v>
      </c>
      <c r="K50" s="920">
        <f t="shared" si="18"/>
        <v>0</v>
      </c>
      <c r="L50" s="920">
        <f t="shared" si="18"/>
        <v>243</v>
      </c>
      <c r="M50" s="920">
        <f t="shared" si="18"/>
        <v>0</v>
      </c>
      <c r="N50" s="920">
        <f t="shared" si="18"/>
        <v>0</v>
      </c>
      <c r="O50" s="920">
        <f t="shared" si="18"/>
        <v>0</v>
      </c>
      <c r="P50" s="920">
        <f t="shared" si="18"/>
        <v>0</v>
      </c>
      <c r="Q50" s="920">
        <f t="shared" si="18"/>
        <v>0</v>
      </c>
      <c r="S50" s="920">
        <f>SUMPRODUCT(H50:Q50,$H$46:$Q$46)</f>
        <v>7495.6</v>
      </c>
    </row>
    <row r="51" spans="1:19">
      <c r="A51" s="2223"/>
      <c r="B51" s="2224"/>
      <c r="C51" s="976" t="s">
        <v>2096</v>
      </c>
      <c r="D51" s="937">
        <f t="shared" si="16"/>
        <v>32.354100000000003</v>
      </c>
      <c r="E51" s="922">
        <f t="shared" si="16"/>
        <v>300.41099999999994</v>
      </c>
      <c r="F51" s="920">
        <f t="shared" si="16"/>
        <v>9.113900000000001</v>
      </c>
      <c r="G51" s="939">
        <f t="shared" si="16"/>
        <v>0</v>
      </c>
      <c r="H51" s="920">
        <f t="shared" ref="H51:Q51" si="19">ROUNDUP(H7*(1+$C$42)/H$46,0)</f>
        <v>0</v>
      </c>
      <c r="I51" s="920">
        <f t="shared" si="19"/>
        <v>246</v>
      </c>
      <c r="J51" s="920">
        <f t="shared" si="19"/>
        <v>71</v>
      </c>
      <c r="K51" s="920">
        <f t="shared" si="19"/>
        <v>95</v>
      </c>
      <c r="L51" s="920">
        <f t="shared" si="19"/>
        <v>172</v>
      </c>
      <c r="M51" s="920">
        <f t="shared" si="19"/>
        <v>0</v>
      </c>
      <c r="N51" s="920">
        <f t="shared" si="19"/>
        <v>0</v>
      </c>
      <c r="O51" s="920">
        <f t="shared" si="19"/>
        <v>0</v>
      </c>
      <c r="P51" s="920">
        <f t="shared" si="19"/>
        <v>0</v>
      </c>
      <c r="Q51" s="920">
        <f t="shared" si="19"/>
        <v>0</v>
      </c>
      <c r="S51" s="920">
        <f>SUMPRODUCT(H51:Q51,$H$46:$Q$46)</f>
        <v>6146.9400000000005</v>
      </c>
    </row>
    <row r="52" spans="1:19">
      <c r="A52" s="2223"/>
      <c r="B52" s="2224"/>
      <c r="C52" s="976" t="s">
        <v>412</v>
      </c>
      <c r="D52" s="937">
        <f t="shared" si="16"/>
        <v>8.5733437500000012</v>
      </c>
      <c r="E52" s="922">
        <f t="shared" si="16"/>
        <v>114.31125</v>
      </c>
      <c r="F52" s="920">
        <f t="shared" si="16"/>
        <v>0</v>
      </c>
      <c r="G52" s="939">
        <f t="shared" si="16"/>
        <v>0</v>
      </c>
      <c r="H52" s="920">
        <f t="shared" ref="H52:Q52" si="20">ROUNDUP(H8*(1+$C$42)/H$46,0)</f>
        <v>0</v>
      </c>
      <c r="I52" s="920">
        <f t="shared" si="20"/>
        <v>0</v>
      </c>
      <c r="J52" s="920">
        <f t="shared" si="20"/>
        <v>203</v>
      </c>
      <c r="K52" s="920">
        <f t="shared" si="20"/>
        <v>0</v>
      </c>
      <c r="L52" s="920">
        <f t="shared" si="20"/>
        <v>0</v>
      </c>
      <c r="M52" s="920">
        <f t="shared" si="20"/>
        <v>0</v>
      </c>
      <c r="N52" s="920">
        <f t="shared" si="20"/>
        <v>0</v>
      </c>
      <c r="O52" s="920">
        <f t="shared" si="20"/>
        <v>0</v>
      </c>
      <c r="P52" s="920">
        <f t="shared" si="20"/>
        <v>0</v>
      </c>
      <c r="Q52" s="920">
        <f t="shared" si="20"/>
        <v>0</v>
      </c>
      <c r="S52" s="920">
        <f>SUMPRODUCT(H52:Q52,$H$46:$Q$46)</f>
        <v>1502.2</v>
      </c>
    </row>
    <row r="53" spans="1:19">
      <c r="A53" s="2223"/>
      <c r="B53" s="2224"/>
      <c r="C53" s="976" t="s">
        <v>395</v>
      </c>
      <c r="D53" s="937">
        <f t="shared" si="16"/>
        <v>51.904365410000004</v>
      </c>
      <c r="E53" s="922">
        <f t="shared" si="16"/>
        <v>42.014415</v>
      </c>
      <c r="F53" s="920">
        <f t="shared" si="16"/>
        <v>16.891977169999997</v>
      </c>
      <c r="G53" s="939">
        <f t="shared" si="16"/>
        <v>0</v>
      </c>
      <c r="H53" s="920">
        <f t="shared" ref="H53:Q53" si="21">ROUNDUP(H9*(1+$C$42)/H$46,0)</f>
        <v>0</v>
      </c>
      <c r="I53" s="920">
        <f t="shared" si="21"/>
        <v>0</v>
      </c>
      <c r="J53" s="920">
        <f t="shared" si="21"/>
        <v>805</v>
      </c>
      <c r="K53" s="920">
        <f t="shared" si="21"/>
        <v>0</v>
      </c>
      <c r="L53" s="920">
        <f t="shared" si="21"/>
        <v>0</v>
      </c>
      <c r="M53" s="920">
        <f t="shared" si="21"/>
        <v>0</v>
      </c>
      <c r="N53" s="920">
        <f t="shared" si="21"/>
        <v>0</v>
      </c>
      <c r="O53" s="920">
        <f t="shared" si="21"/>
        <v>0</v>
      </c>
      <c r="P53" s="920">
        <f t="shared" si="21"/>
        <v>0</v>
      </c>
      <c r="Q53" s="920">
        <f t="shared" si="21"/>
        <v>0</v>
      </c>
      <c r="S53" s="920">
        <f>SUMPRODUCT(H53:Q53,$H$46:$Q$46)</f>
        <v>5957</v>
      </c>
    </row>
    <row r="54" spans="1:19" ht="15.75" thickBot="1">
      <c r="A54" s="997"/>
      <c r="B54" s="996"/>
      <c r="C54" s="976"/>
      <c r="D54" s="937"/>
      <c r="E54" s="922"/>
      <c r="F54" s="920"/>
      <c r="G54" s="939"/>
      <c r="H54" s="920"/>
      <c r="I54" s="920"/>
      <c r="J54" s="920"/>
      <c r="K54" s="920"/>
      <c r="L54" s="920"/>
      <c r="M54" s="920"/>
      <c r="N54" s="920"/>
      <c r="O54" s="920"/>
      <c r="P54" s="920"/>
      <c r="Q54" s="920"/>
      <c r="S54" s="920"/>
    </row>
    <row r="55" spans="1:19">
      <c r="A55" s="984"/>
      <c r="B55" s="983"/>
      <c r="C55" s="982"/>
      <c r="D55" s="981"/>
      <c r="E55" s="980"/>
      <c r="F55" s="977"/>
      <c r="G55" s="979"/>
      <c r="H55" s="978"/>
      <c r="I55" s="977"/>
      <c r="J55" s="977"/>
      <c r="K55" s="977"/>
      <c r="L55" s="977"/>
      <c r="M55" s="977"/>
      <c r="N55" s="977"/>
      <c r="O55" s="977"/>
      <c r="P55" s="977"/>
      <c r="Q55" s="977"/>
      <c r="S55" s="977"/>
    </row>
    <row r="56" spans="1:19">
      <c r="A56" s="2225" t="str">
        <f>A12</f>
        <v>Lantai 1</v>
      </c>
      <c r="B56" s="2227">
        <f>B12</f>
        <v>20.295768000000002</v>
      </c>
      <c r="C56" s="976" t="s">
        <v>2097</v>
      </c>
      <c r="D56" s="937">
        <f t="shared" ref="D56:G59" si="22">D12</f>
        <v>14.519641249999999</v>
      </c>
      <c r="E56" s="922">
        <f t="shared" si="22"/>
        <v>179.86435</v>
      </c>
      <c r="F56" s="920">
        <f t="shared" si="22"/>
        <v>0</v>
      </c>
      <c r="G56" s="939">
        <f t="shared" si="22"/>
        <v>0</v>
      </c>
      <c r="H56" s="920">
        <f t="shared" ref="H56:Q56" si="23">ROUNDUP(H12*(1+$C$42)/H$46,0)</f>
        <v>0</v>
      </c>
      <c r="I56" s="920">
        <f t="shared" si="23"/>
        <v>32</v>
      </c>
      <c r="J56" s="920">
        <f t="shared" si="23"/>
        <v>110</v>
      </c>
      <c r="K56" s="920">
        <f t="shared" si="23"/>
        <v>97</v>
      </c>
      <c r="L56" s="920">
        <f t="shared" si="23"/>
        <v>8</v>
      </c>
      <c r="M56" s="920">
        <f t="shared" si="23"/>
        <v>0</v>
      </c>
      <c r="N56" s="920">
        <f t="shared" si="23"/>
        <v>0</v>
      </c>
      <c r="O56" s="920">
        <f t="shared" si="23"/>
        <v>0</v>
      </c>
      <c r="P56" s="920">
        <f t="shared" si="23"/>
        <v>0</v>
      </c>
      <c r="Q56" s="920">
        <f t="shared" si="23"/>
        <v>0</v>
      </c>
      <c r="S56" s="920">
        <f>SUMPRODUCT(H56:Q56,$H$46:$Q$46)</f>
        <v>2330.1800000000003</v>
      </c>
    </row>
    <row r="57" spans="1:19">
      <c r="A57" s="2226"/>
      <c r="B57" s="2228"/>
      <c r="C57" s="976" t="s">
        <v>394</v>
      </c>
      <c r="D57" s="937">
        <f t="shared" si="22"/>
        <v>6.0887304000000011</v>
      </c>
      <c r="E57" s="922">
        <f t="shared" si="22"/>
        <v>45.939785999999998</v>
      </c>
      <c r="F57" s="920">
        <f t="shared" si="22"/>
        <v>0</v>
      </c>
      <c r="G57" s="939">
        <f t="shared" si="22"/>
        <v>0</v>
      </c>
      <c r="H57" s="920">
        <f t="shared" ref="H57:Q57" si="24">ROUNDUP(H13*(1+$C$42)/H$46,0)</f>
        <v>0</v>
      </c>
      <c r="I57" s="920">
        <f t="shared" si="24"/>
        <v>0</v>
      </c>
      <c r="J57" s="920">
        <f t="shared" si="24"/>
        <v>95</v>
      </c>
      <c r="K57" s="920">
        <f t="shared" si="24"/>
        <v>0</v>
      </c>
      <c r="L57" s="920">
        <f t="shared" si="24"/>
        <v>0</v>
      </c>
      <c r="M57" s="920">
        <f t="shared" si="24"/>
        <v>0</v>
      </c>
      <c r="N57" s="920">
        <f t="shared" si="24"/>
        <v>0</v>
      </c>
      <c r="O57" s="920">
        <f t="shared" si="24"/>
        <v>0</v>
      </c>
      <c r="P57" s="920">
        <f t="shared" si="24"/>
        <v>0</v>
      </c>
      <c r="Q57" s="920">
        <f t="shared" si="24"/>
        <v>0</v>
      </c>
      <c r="S57" s="920">
        <f>SUMPRODUCT(H57:Q57,$H$46:$Q$46)</f>
        <v>703</v>
      </c>
    </row>
    <row r="58" spans="1:19">
      <c r="A58" s="2225"/>
      <c r="B58" s="2227"/>
      <c r="C58" s="976" t="s">
        <v>412</v>
      </c>
      <c r="D58" s="937">
        <f t="shared" si="22"/>
        <v>4.8345000000000002</v>
      </c>
      <c r="E58" s="922">
        <f t="shared" si="22"/>
        <v>64.459999999999994</v>
      </c>
      <c r="F58" s="920">
        <f t="shared" si="22"/>
        <v>0</v>
      </c>
      <c r="G58" s="939">
        <f t="shared" si="22"/>
        <v>0</v>
      </c>
      <c r="H58" s="920">
        <f t="shared" ref="H58:Q58" si="25">ROUNDUP(H14*(1+$C$42)/H$46,0)</f>
        <v>0</v>
      </c>
      <c r="I58" s="920">
        <f t="shared" si="25"/>
        <v>0</v>
      </c>
      <c r="J58" s="920">
        <f t="shared" si="25"/>
        <v>91</v>
      </c>
      <c r="K58" s="920">
        <f t="shared" si="25"/>
        <v>0</v>
      </c>
      <c r="L58" s="920">
        <f t="shared" si="25"/>
        <v>0</v>
      </c>
      <c r="M58" s="920">
        <f t="shared" si="25"/>
        <v>0</v>
      </c>
      <c r="N58" s="920">
        <f t="shared" si="25"/>
        <v>0</v>
      </c>
      <c r="O58" s="920">
        <f t="shared" si="25"/>
        <v>0</v>
      </c>
      <c r="P58" s="920">
        <f t="shared" si="25"/>
        <v>0</v>
      </c>
      <c r="Q58" s="920">
        <f t="shared" si="25"/>
        <v>0</v>
      </c>
      <c r="S58" s="920">
        <f>SUMPRODUCT(H58:Q58,$H$46:$Q$46)</f>
        <v>673.4</v>
      </c>
    </row>
    <row r="59" spans="1:19">
      <c r="A59" s="2226"/>
      <c r="B59" s="2228"/>
      <c r="C59" s="976" t="s">
        <v>393</v>
      </c>
      <c r="D59" s="937" t="e">
        <f t="shared" si="22"/>
        <v>#REF!</v>
      </c>
      <c r="E59" s="922" t="e">
        <f t="shared" si="22"/>
        <v>#REF!</v>
      </c>
      <c r="F59" s="920">
        <f t="shared" si="22"/>
        <v>0</v>
      </c>
      <c r="G59" s="939">
        <f t="shared" si="22"/>
        <v>0</v>
      </c>
      <c r="H59" s="920">
        <f t="shared" ref="H59:Q59" si="26">ROUNDUP(H15*(1+$C$42)/H$46,0)</f>
        <v>0</v>
      </c>
      <c r="I59" s="920" t="e">
        <f t="shared" si="26"/>
        <v>#REF!</v>
      </c>
      <c r="J59" s="920" t="e">
        <f t="shared" si="26"/>
        <v>#REF!</v>
      </c>
      <c r="K59" s="920" t="e">
        <f t="shared" si="26"/>
        <v>#REF!</v>
      </c>
      <c r="L59" s="920" t="e">
        <f t="shared" si="26"/>
        <v>#REF!</v>
      </c>
      <c r="M59" s="920" t="e">
        <f t="shared" si="26"/>
        <v>#REF!</v>
      </c>
      <c r="N59" s="920" t="e">
        <f t="shared" si="26"/>
        <v>#REF!</v>
      </c>
      <c r="O59" s="920" t="e">
        <f t="shared" si="26"/>
        <v>#REF!</v>
      </c>
      <c r="P59" s="920" t="e">
        <f t="shared" si="26"/>
        <v>#REF!</v>
      </c>
      <c r="Q59" s="920">
        <f t="shared" si="26"/>
        <v>0</v>
      </c>
      <c r="S59" s="920" t="e">
        <f>SUMPRODUCT(H59:Q59,$H$46:$Q$46)</f>
        <v>#REF!</v>
      </c>
    </row>
    <row r="60" spans="1:19" ht="15.75" thickBot="1">
      <c r="A60" s="997"/>
      <c r="B60" s="996"/>
      <c r="C60" s="995"/>
      <c r="D60" s="989"/>
      <c r="E60" s="988"/>
      <c r="F60" s="985"/>
      <c r="G60" s="987"/>
      <c r="H60" s="986"/>
      <c r="I60" s="985"/>
      <c r="J60" s="985"/>
      <c r="K60" s="985"/>
      <c r="L60" s="985"/>
      <c r="M60" s="985"/>
      <c r="N60" s="985"/>
      <c r="O60" s="985"/>
      <c r="P60" s="985"/>
      <c r="Q60" s="985"/>
      <c r="S60" s="990"/>
    </row>
    <row r="61" spans="1:19">
      <c r="A61" s="984"/>
      <c r="B61" s="983"/>
      <c r="C61" s="982"/>
      <c r="D61" s="981"/>
      <c r="E61" s="980"/>
      <c r="F61" s="977"/>
      <c r="G61" s="979"/>
      <c r="H61" s="978"/>
      <c r="I61" s="977"/>
      <c r="J61" s="977"/>
      <c r="K61" s="977"/>
      <c r="L61" s="977"/>
      <c r="M61" s="977"/>
      <c r="N61" s="977"/>
      <c r="O61" s="977"/>
      <c r="P61" s="977"/>
      <c r="Q61" s="977"/>
      <c r="S61" s="977"/>
    </row>
    <row r="62" spans="1:19">
      <c r="A62" s="2225" t="str">
        <f>A18</f>
        <v>Lantai 2</v>
      </c>
      <c r="B62" s="2227" t="e">
        <f>B18</f>
        <v>#REF!</v>
      </c>
      <c r="C62" s="976" t="s">
        <v>2098</v>
      </c>
      <c r="D62" s="937" t="e">
        <f t="shared" ref="D62:G64" si="27">D18</f>
        <v>#REF!</v>
      </c>
      <c r="E62" s="922" t="e">
        <f t="shared" si="27"/>
        <v>#REF!</v>
      </c>
      <c r="F62" s="920">
        <f t="shared" si="27"/>
        <v>0</v>
      </c>
      <c r="G62" s="939">
        <f t="shared" si="27"/>
        <v>0</v>
      </c>
      <c r="H62" s="920" t="e">
        <f t="shared" ref="H62:Q62" si="28">ROUNDUP(H18*(1+$C$42)/H$46,0)</f>
        <v>#REF!</v>
      </c>
      <c r="I62" s="920" t="e">
        <f t="shared" si="28"/>
        <v>#REF!</v>
      </c>
      <c r="J62" s="920" t="e">
        <f t="shared" si="28"/>
        <v>#REF!</v>
      </c>
      <c r="K62" s="920" t="e">
        <f t="shared" si="28"/>
        <v>#REF!</v>
      </c>
      <c r="L62" s="920" t="e">
        <f t="shared" si="28"/>
        <v>#REF!</v>
      </c>
      <c r="M62" s="920" t="e">
        <f t="shared" si="28"/>
        <v>#REF!</v>
      </c>
      <c r="N62" s="920" t="e">
        <f t="shared" si="28"/>
        <v>#REF!</v>
      </c>
      <c r="O62" s="920" t="e">
        <f t="shared" si="28"/>
        <v>#REF!</v>
      </c>
      <c r="P62" s="920" t="e">
        <f t="shared" si="28"/>
        <v>#REF!</v>
      </c>
      <c r="Q62" s="920">
        <f t="shared" si="28"/>
        <v>0</v>
      </c>
      <c r="S62" s="920" t="e">
        <f>SUMPRODUCT(H62:Q62,$H$46:$Q$46)</f>
        <v>#REF!</v>
      </c>
    </row>
    <row r="63" spans="1:19">
      <c r="A63" s="2226"/>
      <c r="B63" s="2228"/>
      <c r="C63" s="976" t="s">
        <v>394</v>
      </c>
      <c r="D63" s="937" t="e">
        <f t="shared" si="27"/>
        <v>#REF!</v>
      </c>
      <c r="E63" s="922" t="e">
        <f t="shared" si="27"/>
        <v>#REF!</v>
      </c>
      <c r="F63" s="920">
        <f t="shared" si="27"/>
        <v>0</v>
      </c>
      <c r="G63" s="939">
        <f t="shared" si="27"/>
        <v>0</v>
      </c>
      <c r="H63" s="920">
        <f t="shared" ref="H63:Q63" si="29">ROUNDUP(H19*(1+$C$42)/H$46,0)</f>
        <v>0</v>
      </c>
      <c r="I63" s="920" t="e">
        <f t="shared" si="29"/>
        <v>#REF!</v>
      </c>
      <c r="J63" s="920" t="e">
        <f t="shared" si="29"/>
        <v>#REF!</v>
      </c>
      <c r="K63" s="920" t="e">
        <f t="shared" si="29"/>
        <v>#REF!</v>
      </c>
      <c r="L63" s="920" t="e">
        <f t="shared" si="29"/>
        <v>#REF!</v>
      </c>
      <c r="M63" s="920" t="e">
        <f t="shared" si="29"/>
        <v>#REF!</v>
      </c>
      <c r="N63" s="920">
        <f t="shared" si="29"/>
        <v>0</v>
      </c>
      <c r="O63" s="920">
        <f t="shared" si="29"/>
        <v>0</v>
      </c>
      <c r="P63" s="920">
        <f t="shared" si="29"/>
        <v>0</v>
      </c>
      <c r="Q63" s="920">
        <f t="shared" si="29"/>
        <v>0</v>
      </c>
      <c r="S63" s="920" t="e">
        <f>SUMPRODUCT(H63:Q63,$H$46:$Q$46)</f>
        <v>#REF!</v>
      </c>
    </row>
    <row r="64" spans="1:19">
      <c r="A64" s="2226"/>
      <c r="B64" s="2228"/>
      <c r="C64" s="976" t="s">
        <v>393</v>
      </c>
      <c r="D64" s="937" t="e">
        <f t="shared" si="27"/>
        <v>#REF!</v>
      </c>
      <c r="E64" s="922" t="e">
        <f t="shared" si="27"/>
        <v>#REF!</v>
      </c>
      <c r="F64" s="920">
        <f t="shared" si="27"/>
        <v>0</v>
      </c>
      <c r="G64" s="939">
        <f t="shared" si="27"/>
        <v>0</v>
      </c>
      <c r="H64" s="920">
        <f t="shared" ref="H64:Q64" si="30">ROUNDUP(H20*(1+$C$42)/H$46,0)</f>
        <v>0</v>
      </c>
      <c r="I64" s="920" t="e">
        <f t="shared" si="30"/>
        <v>#REF!</v>
      </c>
      <c r="J64" s="920" t="e">
        <f t="shared" si="30"/>
        <v>#REF!</v>
      </c>
      <c r="K64" s="920" t="e">
        <f t="shared" si="30"/>
        <v>#REF!</v>
      </c>
      <c r="L64" s="920" t="e">
        <f t="shared" si="30"/>
        <v>#REF!</v>
      </c>
      <c r="M64" s="920" t="e">
        <f t="shared" si="30"/>
        <v>#REF!</v>
      </c>
      <c r="N64" s="920" t="e">
        <f t="shared" si="30"/>
        <v>#REF!</v>
      </c>
      <c r="O64" s="920" t="e">
        <f t="shared" si="30"/>
        <v>#REF!</v>
      </c>
      <c r="P64" s="920" t="e">
        <f t="shared" si="30"/>
        <v>#REF!</v>
      </c>
      <c r="Q64" s="920">
        <f t="shared" si="30"/>
        <v>0</v>
      </c>
      <c r="S64" s="920" t="e">
        <f>SUMPRODUCT(H64:Q64,$H$46:$Q$46)</f>
        <v>#REF!</v>
      </c>
    </row>
    <row r="65" spans="1:19" ht="15.75" thickBot="1">
      <c r="A65" s="997"/>
      <c r="B65" s="996"/>
      <c r="C65" s="995"/>
      <c r="D65" s="989"/>
      <c r="E65" s="988"/>
      <c r="F65" s="985"/>
      <c r="G65" s="987"/>
      <c r="H65" s="986"/>
      <c r="I65" s="985"/>
      <c r="J65" s="985"/>
      <c r="K65" s="985"/>
      <c r="L65" s="985"/>
      <c r="M65" s="985"/>
      <c r="N65" s="985"/>
      <c r="O65" s="985"/>
      <c r="P65" s="985"/>
      <c r="Q65" s="985"/>
      <c r="S65" s="990"/>
    </row>
    <row r="66" spans="1:19">
      <c r="A66" s="984"/>
      <c r="B66" s="983"/>
      <c r="C66" s="982"/>
      <c r="D66" s="981"/>
      <c r="E66" s="980"/>
      <c r="F66" s="977"/>
      <c r="G66" s="979"/>
      <c r="H66" s="978"/>
      <c r="I66" s="977"/>
      <c r="J66" s="977"/>
      <c r="K66" s="977"/>
      <c r="L66" s="977"/>
      <c r="M66" s="977"/>
      <c r="N66" s="977"/>
      <c r="O66" s="977"/>
      <c r="P66" s="977"/>
      <c r="Q66" s="977"/>
      <c r="S66" s="977"/>
    </row>
    <row r="67" spans="1:19">
      <c r="A67" s="2225" t="str">
        <f>A23</f>
        <v>Lantai 3</v>
      </c>
      <c r="B67" s="2227" t="e">
        <f>B23</f>
        <v>#REF!</v>
      </c>
      <c r="C67" s="976" t="s">
        <v>2099</v>
      </c>
      <c r="D67" s="937" t="e">
        <f t="shared" ref="D67:G70" si="31">D23</f>
        <v>#REF!</v>
      </c>
      <c r="E67" s="922" t="e">
        <f t="shared" si="31"/>
        <v>#REF!</v>
      </c>
      <c r="F67" s="920">
        <f t="shared" si="31"/>
        <v>0</v>
      </c>
      <c r="G67" s="939">
        <f t="shared" si="31"/>
        <v>0</v>
      </c>
      <c r="H67" s="920" t="e">
        <f t="shared" ref="H67:Q67" si="32">ROUNDUP(H23*(1+$C$42)/H$46,0)</f>
        <v>#REF!</v>
      </c>
      <c r="I67" s="920" t="e">
        <f t="shared" si="32"/>
        <v>#REF!</v>
      </c>
      <c r="J67" s="920" t="e">
        <f t="shared" si="32"/>
        <v>#REF!</v>
      </c>
      <c r="K67" s="920" t="e">
        <f t="shared" si="32"/>
        <v>#REF!</v>
      </c>
      <c r="L67" s="920" t="e">
        <f t="shared" si="32"/>
        <v>#REF!</v>
      </c>
      <c r="M67" s="920" t="e">
        <f t="shared" si="32"/>
        <v>#REF!</v>
      </c>
      <c r="N67" s="920" t="e">
        <f t="shared" si="32"/>
        <v>#REF!</v>
      </c>
      <c r="O67" s="920" t="e">
        <f t="shared" si="32"/>
        <v>#REF!</v>
      </c>
      <c r="P67" s="920" t="e">
        <f t="shared" si="32"/>
        <v>#REF!</v>
      </c>
      <c r="Q67" s="920">
        <f t="shared" si="32"/>
        <v>0</v>
      </c>
      <c r="S67" s="920" t="e">
        <f>SUMPRODUCT(H67:Q67,$H$46:$Q$46)</f>
        <v>#REF!</v>
      </c>
    </row>
    <row r="68" spans="1:19">
      <c r="A68" s="2226"/>
      <c r="B68" s="2228"/>
      <c r="C68" s="976" t="s">
        <v>394</v>
      </c>
      <c r="D68" s="937" t="e">
        <f t="shared" si="31"/>
        <v>#REF!</v>
      </c>
      <c r="E68" s="922" t="e">
        <f t="shared" si="31"/>
        <v>#REF!</v>
      </c>
      <c r="F68" s="920">
        <f t="shared" si="31"/>
        <v>0</v>
      </c>
      <c r="G68" s="939">
        <f t="shared" si="31"/>
        <v>0</v>
      </c>
      <c r="H68" s="920">
        <f t="shared" ref="H68:Q68" si="33">ROUNDUP(H24*(1+$C$42)/H$46,0)</f>
        <v>0</v>
      </c>
      <c r="I68" s="920" t="e">
        <f t="shared" si="33"/>
        <v>#REF!</v>
      </c>
      <c r="J68" s="920" t="e">
        <f t="shared" si="33"/>
        <v>#REF!</v>
      </c>
      <c r="K68" s="920" t="e">
        <f t="shared" si="33"/>
        <v>#REF!</v>
      </c>
      <c r="L68" s="920" t="e">
        <f t="shared" si="33"/>
        <v>#REF!</v>
      </c>
      <c r="M68" s="920" t="e">
        <f t="shared" si="33"/>
        <v>#REF!</v>
      </c>
      <c r="N68" s="920">
        <f t="shared" si="33"/>
        <v>0</v>
      </c>
      <c r="O68" s="920">
        <f t="shared" si="33"/>
        <v>0</v>
      </c>
      <c r="P68" s="920">
        <f t="shared" si="33"/>
        <v>0</v>
      </c>
      <c r="Q68" s="920">
        <f t="shared" si="33"/>
        <v>0</v>
      </c>
      <c r="S68" s="920" t="e">
        <f>SUMPRODUCT(H68:Q68,$H$46:$Q$46)</f>
        <v>#REF!</v>
      </c>
    </row>
    <row r="69" spans="1:19">
      <c r="A69" s="2225"/>
      <c r="B69" s="2227"/>
      <c r="C69" s="976" t="s">
        <v>412</v>
      </c>
      <c r="D69" s="937" t="e">
        <f t="shared" si="31"/>
        <v>#REF!</v>
      </c>
      <c r="E69" s="922" t="e">
        <f t="shared" si="31"/>
        <v>#REF!</v>
      </c>
      <c r="F69" s="920">
        <f t="shared" si="31"/>
        <v>0</v>
      </c>
      <c r="G69" s="939">
        <f t="shared" si="31"/>
        <v>0</v>
      </c>
      <c r="H69" s="920">
        <f t="shared" ref="H69:Q69" si="34">ROUNDUP(H25*(1+$C$42)/H$46,0)</f>
        <v>0</v>
      </c>
      <c r="I69" s="920" t="e">
        <f t="shared" si="34"/>
        <v>#REF!</v>
      </c>
      <c r="J69" s="920" t="e">
        <f t="shared" si="34"/>
        <v>#REF!</v>
      </c>
      <c r="K69" s="920" t="e">
        <f t="shared" si="34"/>
        <v>#REF!</v>
      </c>
      <c r="L69" s="920" t="e">
        <f t="shared" si="34"/>
        <v>#REF!</v>
      </c>
      <c r="M69" s="920">
        <f t="shared" si="34"/>
        <v>0</v>
      </c>
      <c r="N69" s="920">
        <f t="shared" si="34"/>
        <v>0</v>
      </c>
      <c r="O69" s="920">
        <f t="shared" si="34"/>
        <v>0</v>
      </c>
      <c r="P69" s="920">
        <f t="shared" si="34"/>
        <v>0</v>
      </c>
      <c r="Q69" s="920">
        <f t="shared" si="34"/>
        <v>0</v>
      </c>
      <c r="S69" s="920" t="e">
        <f>SUMPRODUCT(H69:Q69,$H$46:$Q$46)</f>
        <v>#REF!</v>
      </c>
    </row>
    <row r="70" spans="1:19">
      <c r="A70" s="2226"/>
      <c r="B70" s="2228"/>
      <c r="C70" s="976" t="s">
        <v>393</v>
      </c>
      <c r="D70" s="937" t="e">
        <f t="shared" si="31"/>
        <v>#REF!</v>
      </c>
      <c r="E70" s="922" t="e">
        <f t="shared" si="31"/>
        <v>#REF!</v>
      </c>
      <c r="F70" s="920">
        <f t="shared" si="31"/>
        <v>0</v>
      </c>
      <c r="G70" s="939">
        <f t="shared" si="31"/>
        <v>0</v>
      </c>
      <c r="H70" s="920">
        <f t="shared" ref="H70:Q70" si="35">ROUNDUP(H26*(1+$C$42)/H$46,0)</f>
        <v>0</v>
      </c>
      <c r="I70" s="920" t="e">
        <f t="shared" si="35"/>
        <v>#REF!</v>
      </c>
      <c r="J70" s="920" t="e">
        <f t="shared" si="35"/>
        <v>#REF!</v>
      </c>
      <c r="K70" s="920" t="e">
        <f t="shared" si="35"/>
        <v>#REF!</v>
      </c>
      <c r="L70" s="920" t="e">
        <f t="shared" si="35"/>
        <v>#REF!</v>
      </c>
      <c r="M70" s="920" t="e">
        <f t="shared" si="35"/>
        <v>#REF!</v>
      </c>
      <c r="N70" s="920" t="e">
        <f t="shared" si="35"/>
        <v>#REF!</v>
      </c>
      <c r="O70" s="920" t="e">
        <f t="shared" si="35"/>
        <v>#REF!</v>
      </c>
      <c r="P70" s="920" t="e">
        <f t="shared" si="35"/>
        <v>#REF!</v>
      </c>
      <c r="Q70" s="920">
        <f t="shared" si="35"/>
        <v>0</v>
      </c>
      <c r="S70" s="920" t="e">
        <f>SUMPRODUCT(H70:Q70,$H$46:$Q$46)</f>
        <v>#REF!</v>
      </c>
    </row>
    <row r="71" spans="1:19" ht="15.75" thickBot="1">
      <c r="A71" s="975"/>
      <c r="B71" s="969"/>
      <c r="C71" s="974"/>
      <c r="D71" s="989"/>
      <c r="E71" s="988"/>
      <c r="F71" s="985"/>
      <c r="G71" s="987"/>
      <c r="H71" s="986"/>
      <c r="I71" s="985"/>
      <c r="J71" s="985"/>
      <c r="K71" s="985"/>
      <c r="L71" s="985"/>
      <c r="M71" s="985"/>
      <c r="N71" s="985"/>
      <c r="O71" s="985"/>
      <c r="P71" s="985"/>
      <c r="Q71" s="985"/>
      <c r="S71" s="985"/>
    </row>
    <row r="72" spans="1:19">
      <c r="A72" s="984"/>
      <c r="B72" s="983"/>
      <c r="C72" s="982"/>
      <c r="D72" s="981"/>
      <c r="E72" s="980"/>
      <c r="F72" s="977"/>
      <c r="G72" s="979"/>
      <c r="H72" s="978"/>
      <c r="I72" s="977"/>
      <c r="J72" s="977"/>
      <c r="K72" s="977"/>
      <c r="L72" s="977"/>
      <c r="M72" s="977"/>
      <c r="N72" s="977"/>
      <c r="O72" s="977"/>
      <c r="P72" s="977"/>
      <c r="Q72" s="977"/>
      <c r="S72" s="977"/>
    </row>
    <row r="73" spans="1:19">
      <c r="A73" s="2223" t="str">
        <f>A29</f>
        <v>Lantai Atap</v>
      </c>
      <c r="B73" s="2224" t="e">
        <f>B29</f>
        <v>#REF!</v>
      </c>
      <c r="C73" s="976" t="s">
        <v>2100</v>
      </c>
      <c r="D73" s="937" t="e">
        <f t="shared" ref="D73:G74" si="36">D29</f>
        <v>#REF!</v>
      </c>
      <c r="E73" s="922" t="e">
        <f t="shared" si="36"/>
        <v>#REF!</v>
      </c>
      <c r="F73" s="920">
        <f t="shared" si="36"/>
        <v>0</v>
      </c>
      <c r="G73" s="939">
        <f t="shared" si="36"/>
        <v>0</v>
      </c>
      <c r="H73" s="920" t="e">
        <f t="shared" ref="H73:Q73" si="37">ROUNDUP(H29*(1+$C$42)/H$46,0)</f>
        <v>#REF!</v>
      </c>
      <c r="I73" s="920" t="e">
        <f t="shared" si="37"/>
        <v>#REF!</v>
      </c>
      <c r="J73" s="920" t="e">
        <f t="shared" si="37"/>
        <v>#REF!</v>
      </c>
      <c r="K73" s="920" t="e">
        <f t="shared" si="37"/>
        <v>#REF!</v>
      </c>
      <c r="L73" s="920" t="e">
        <f t="shared" si="37"/>
        <v>#REF!</v>
      </c>
      <c r="M73" s="920" t="e">
        <f t="shared" si="37"/>
        <v>#REF!</v>
      </c>
      <c r="N73" s="920" t="e">
        <f t="shared" si="37"/>
        <v>#REF!</v>
      </c>
      <c r="O73" s="920" t="e">
        <f t="shared" si="37"/>
        <v>#REF!</v>
      </c>
      <c r="P73" s="920" t="e">
        <f t="shared" si="37"/>
        <v>#REF!</v>
      </c>
      <c r="Q73" s="920">
        <f t="shared" si="37"/>
        <v>0</v>
      </c>
      <c r="S73" s="920" t="e">
        <f>SUMPRODUCT(H73:Q73,$H$46:$Q$46)</f>
        <v>#REF!</v>
      </c>
    </row>
    <row r="74" spans="1:19">
      <c r="A74" s="2223"/>
      <c r="B74" s="2224"/>
      <c r="C74" s="976" t="s">
        <v>394</v>
      </c>
      <c r="D74" s="937" t="e">
        <f t="shared" si="36"/>
        <v>#REF!</v>
      </c>
      <c r="E74" s="922" t="e">
        <f t="shared" si="36"/>
        <v>#REF!</v>
      </c>
      <c r="F74" s="920">
        <f t="shared" si="36"/>
        <v>0</v>
      </c>
      <c r="G74" s="939">
        <f t="shared" si="36"/>
        <v>0</v>
      </c>
      <c r="H74" s="920">
        <f t="shared" ref="H74:Q74" si="38">ROUNDUP(H30*(1+$C$42)/H$46,0)</f>
        <v>0</v>
      </c>
      <c r="I74" s="920" t="e">
        <f t="shared" si="38"/>
        <v>#REF!</v>
      </c>
      <c r="J74" s="920" t="e">
        <f t="shared" si="38"/>
        <v>#REF!</v>
      </c>
      <c r="K74" s="920" t="e">
        <f t="shared" si="38"/>
        <v>#REF!</v>
      </c>
      <c r="L74" s="920" t="e">
        <f t="shared" si="38"/>
        <v>#REF!</v>
      </c>
      <c r="M74" s="920" t="e">
        <f t="shared" si="38"/>
        <v>#REF!</v>
      </c>
      <c r="N74" s="920">
        <f t="shared" si="38"/>
        <v>0</v>
      </c>
      <c r="O74" s="920">
        <f t="shared" si="38"/>
        <v>0</v>
      </c>
      <c r="P74" s="920">
        <f t="shared" si="38"/>
        <v>0</v>
      </c>
      <c r="Q74" s="920">
        <f t="shared" si="38"/>
        <v>0</v>
      </c>
      <c r="S74" s="920" t="e">
        <f>SUMPRODUCT(H74:Q74,$H$46:$Q$46)</f>
        <v>#REF!</v>
      </c>
    </row>
    <row r="75" spans="1:19" ht="15.75" thickBot="1">
      <c r="A75" s="975"/>
      <c r="B75" s="969"/>
      <c r="C75" s="974"/>
      <c r="D75" s="973"/>
      <c r="E75" s="972"/>
      <c r="F75" s="969"/>
      <c r="G75" s="971"/>
      <c r="H75" s="970"/>
      <c r="I75" s="969"/>
      <c r="J75" s="969"/>
      <c r="K75" s="969"/>
      <c r="L75" s="969"/>
      <c r="M75" s="969"/>
      <c r="N75" s="969"/>
      <c r="O75" s="969"/>
      <c r="P75" s="969"/>
      <c r="Q75" s="969"/>
      <c r="S75" s="969"/>
    </row>
    <row r="76" spans="1:19" ht="15.75" thickBot="1"/>
    <row r="77" spans="1:19" ht="15.75" thickBot="1">
      <c r="A77" s="968" t="s">
        <v>138</v>
      </c>
      <c r="B77" s="964" t="e">
        <f>SUM(B48:B76)</f>
        <v>#REF!</v>
      </c>
      <c r="C77" s="967"/>
      <c r="D77" s="966" t="e">
        <f t="shared" ref="D77:Q77" si="39">SUM(D48:D76)</f>
        <v>#REF!</v>
      </c>
      <c r="E77" s="965" t="e">
        <f t="shared" si="39"/>
        <v>#REF!</v>
      </c>
      <c r="F77" s="964">
        <f t="shared" si="39"/>
        <v>32.554985544999994</v>
      </c>
      <c r="G77" s="960">
        <f t="shared" si="39"/>
        <v>91.046590532243172</v>
      </c>
      <c r="H77" s="963" t="e">
        <f t="shared" si="39"/>
        <v>#REF!</v>
      </c>
      <c r="I77" s="962" t="e">
        <f t="shared" si="39"/>
        <v>#REF!</v>
      </c>
      <c r="J77" s="962" t="e">
        <f t="shared" si="39"/>
        <v>#REF!</v>
      </c>
      <c r="K77" s="962" t="e">
        <f t="shared" si="39"/>
        <v>#REF!</v>
      </c>
      <c r="L77" s="962" t="e">
        <f t="shared" si="39"/>
        <v>#REF!</v>
      </c>
      <c r="M77" s="962" t="e">
        <f t="shared" si="39"/>
        <v>#REF!</v>
      </c>
      <c r="N77" s="962" t="e">
        <f t="shared" si="39"/>
        <v>#REF!</v>
      </c>
      <c r="O77" s="961" t="e">
        <f t="shared" si="39"/>
        <v>#REF!</v>
      </c>
      <c r="P77" s="961" t="e">
        <f t="shared" si="39"/>
        <v>#REF!</v>
      </c>
      <c r="Q77" s="961">
        <f t="shared" si="39"/>
        <v>0</v>
      </c>
      <c r="S77" s="960" t="e">
        <f>SUM(S48:S76)</f>
        <v>#REF!</v>
      </c>
    </row>
    <row r="78" spans="1:19">
      <c r="R78" s="959" t="s">
        <v>392</v>
      </c>
      <c r="S78" s="958" t="e">
        <f>S77-S33</f>
        <v>#REF!</v>
      </c>
    </row>
    <row r="79" spans="1:19">
      <c r="R79" s="950"/>
      <c r="S79" s="957" t="e">
        <f>S78/S77</f>
        <v>#REF!</v>
      </c>
    </row>
    <row r="80" spans="1:19">
      <c r="M80" s="614" t="s">
        <v>354</v>
      </c>
    </row>
  </sheetData>
  <mergeCells count="37">
    <mergeCell ref="A29:A30"/>
    <mergeCell ref="B29:B30"/>
    <mergeCell ref="S45:S46"/>
    <mergeCell ref="A49:A53"/>
    <mergeCell ref="B49:B53"/>
    <mergeCell ref="H44:Q44"/>
    <mergeCell ref="A56:A59"/>
    <mergeCell ref="B56:B59"/>
    <mergeCell ref="E45:E46"/>
    <mergeCell ref="B44:B46"/>
    <mergeCell ref="C44:C46"/>
    <mergeCell ref="D44:D46"/>
    <mergeCell ref="E44:G44"/>
    <mergeCell ref="F45:F46"/>
    <mergeCell ref="G45:G46"/>
    <mergeCell ref="A44:A46"/>
    <mergeCell ref="U1:W1"/>
    <mergeCell ref="H1:Q1"/>
    <mergeCell ref="D1:D2"/>
    <mergeCell ref="E1:G1"/>
    <mergeCell ref="A23:A26"/>
    <mergeCell ref="B23:B26"/>
    <mergeCell ref="A5:A9"/>
    <mergeCell ref="A1:A2"/>
    <mergeCell ref="B1:B2"/>
    <mergeCell ref="C1:C2"/>
    <mergeCell ref="B5:B9"/>
    <mergeCell ref="A12:A15"/>
    <mergeCell ref="B12:B15"/>
    <mergeCell ref="A18:A20"/>
    <mergeCell ref="B18:B20"/>
    <mergeCell ref="A73:A74"/>
    <mergeCell ref="B73:B74"/>
    <mergeCell ref="A67:A70"/>
    <mergeCell ref="B67:B70"/>
    <mergeCell ref="A62:A64"/>
    <mergeCell ref="B62:B6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AB180"/>
  <sheetViews>
    <sheetView zoomScale="70" zoomScaleNormal="70" workbookViewId="0">
      <pane xSplit="5" ySplit="5" topLeftCell="F144" activePane="bottomRight" state="frozen"/>
      <selection pane="topRight" activeCell="F1" sqref="F1"/>
      <selection pane="bottomLeft" activeCell="A6" sqref="A6"/>
      <selection pane="bottomRight" activeCell="T13" sqref="T13"/>
    </sheetView>
  </sheetViews>
  <sheetFormatPr defaultColWidth="9.140625" defaultRowHeight="15"/>
  <cols>
    <col min="1" max="1" width="13.5703125" style="638" bestFit="1" customWidth="1"/>
    <col min="2" max="2" width="24.5703125" style="638" customWidth="1"/>
    <col min="3" max="3" width="11.140625" style="638" bestFit="1" customWidth="1"/>
    <col min="4" max="4" width="14" style="638" bestFit="1" customWidth="1"/>
    <col min="5" max="5" width="12" style="638" customWidth="1"/>
    <col min="6" max="6" width="17.140625" style="638" customWidth="1"/>
    <col min="7" max="7" width="15.42578125" style="638" bestFit="1" customWidth="1"/>
    <col min="8" max="8" width="14.28515625" style="638" customWidth="1"/>
    <col min="9" max="9" width="14.28515625" style="638" bestFit="1" customWidth="1"/>
    <col min="10" max="10" width="16.28515625" style="638" customWidth="1"/>
    <col min="11" max="11" width="14.28515625" style="638" customWidth="1"/>
    <col min="12" max="12" width="10" style="638" bestFit="1" customWidth="1"/>
    <col min="13" max="13" width="9.7109375" style="638" bestFit="1" customWidth="1"/>
    <col min="14" max="14" width="8.5703125" style="638" customWidth="1"/>
    <col min="15" max="15" width="14.28515625" style="638" customWidth="1"/>
    <col min="16" max="17" width="8.5703125" style="638" customWidth="1"/>
    <col min="18" max="18" width="14.28515625" style="638" customWidth="1"/>
    <col min="19" max="19" width="11.42578125" style="638" customWidth="1"/>
    <col min="20" max="20" width="14.28515625" style="638" customWidth="1"/>
    <col min="21" max="21" width="14.85546875" style="638" customWidth="1"/>
    <col min="22" max="22" width="14.28515625" style="638" customWidth="1"/>
    <col min="23" max="23" width="14.140625" style="638" customWidth="1"/>
    <col min="24" max="24" width="19" style="638" customWidth="1"/>
    <col min="25" max="25" width="10.7109375" style="638" customWidth="1"/>
    <col min="26" max="26" width="10.7109375" style="640" customWidth="1"/>
    <col min="27" max="27" width="9.140625" style="639" customWidth="1"/>
    <col min="28" max="28" width="10.28515625" style="638" bestFit="1" customWidth="1"/>
    <col min="29" max="16384" width="9.140625" style="638"/>
  </cols>
  <sheetData>
    <row r="3" spans="1:28" ht="14.45" customHeight="1">
      <c r="A3" s="2235" t="s">
        <v>63</v>
      </c>
      <c r="B3" s="2238" t="s">
        <v>275</v>
      </c>
      <c r="C3" s="2234" t="s">
        <v>44</v>
      </c>
      <c r="D3" s="2235" t="s">
        <v>274</v>
      </c>
      <c r="E3" s="2236" t="s">
        <v>273</v>
      </c>
      <c r="F3" s="2234" t="s">
        <v>272</v>
      </c>
      <c r="G3" s="2235"/>
      <c r="H3" s="2236"/>
      <c r="I3" s="2234" t="s">
        <v>271</v>
      </c>
      <c r="J3" s="2235"/>
      <c r="K3" s="2236"/>
      <c r="L3" s="2232" t="s">
        <v>355</v>
      </c>
      <c r="M3" s="2230"/>
      <c r="N3" s="2230"/>
      <c r="O3" s="2262"/>
      <c r="P3" s="2234" t="s">
        <v>270</v>
      </c>
      <c r="Q3" s="2235"/>
      <c r="R3" s="2236"/>
      <c r="S3" s="2231" t="s">
        <v>30</v>
      </c>
      <c r="T3" s="2235" t="s">
        <v>31</v>
      </c>
      <c r="U3" s="2235" t="s">
        <v>269</v>
      </c>
      <c r="V3" s="2235" t="s">
        <v>356</v>
      </c>
      <c r="W3" s="2235" t="s">
        <v>268</v>
      </c>
      <c r="Y3" s="2266" t="s">
        <v>2084</v>
      </c>
      <c r="Z3" s="2265" t="s">
        <v>2083</v>
      </c>
      <c r="AB3" s="638" t="s">
        <v>264</v>
      </c>
    </row>
    <row r="4" spans="1:28">
      <c r="A4" s="2235"/>
      <c r="B4" s="2238"/>
      <c r="C4" s="2234"/>
      <c r="D4" s="2235"/>
      <c r="E4" s="2236"/>
      <c r="F4" s="659" t="s">
        <v>16</v>
      </c>
      <c r="G4" s="658" t="s">
        <v>47</v>
      </c>
      <c r="H4" s="657" t="s">
        <v>267</v>
      </c>
      <c r="I4" s="659" t="s">
        <v>16</v>
      </c>
      <c r="J4" s="658" t="s">
        <v>47</v>
      </c>
      <c r="K4" s="657" t="s">
        <v>267</v>
      </c>
      <c r="L4" s="659" t="s">
        <v>48</v>
      </c>
      <c r="M4" s="900" t="s">
        <v>16</v>
      </c>
      <c r="N4" s="658" t="s">
        <v>47</v>
      </c>
      <c r="O4" s="657" t="s">
        <v>267</v>
      </c>
      <c r="P4" s="659" t="s">
        <v>16</v>
      </c>
      <c r="Q4" s="658" t="s">
        <v>47</v>
      </c>
      <c r="R4" s="657" t="s">
        <v>267</v>
      </c>
      <c r="S4" s="2231"/>
      <c r="T4" s="2235"/>
      <c r="U4" s="2235"/>
      <c r="V4" s="2235"/>
      <c r="W4" s="2235"/>
      <c r="Y4" s="2266"/>
      <c r="Z4" s="2265"/>
    </row>
    <row r="5" spans="1:28" ht="15.75" thickBot="1">
      <c r="A5" s="2260"/>
      <c r="B5" s="2261"/>
      <c r="C5" s="671" t="s">
        <v>4</v>
      </c>
      <c r="D5" s="670" t="s">
        <v>4</v>
      </c>
      <c r="E5" s="669" t="s">
        <v>4</v>
      </c>
      <c r="F5" s="671" t="s">
        <v>4</v>
      </c>
      <c r="G5" s="670" t="s">
        <v>4</v>
      </c>
      <c r="H5" s="669" t="s">
        <v>4</v>
      </c>
      <c r="I5" s="671" t="s">
        <v>4</v>
      </c>
      <c r="J5" s="670" t="s">
        <v>4</v>
      </c>
      <c r="K5" s="669" t="s">
        <v>4</v>
      </c>
      <c r="L5" s="654"/>
      <c r="M5" s="901" t="s">
        <v>4</v>
      </c>
      <c r="N5" s="670" t="s">
        <v>4</v>
      </c>
      <c r="O5" s="669" t="s">
        <v>4</v>
      </c>
      <c r="P5" s="671" t="s">
        <v>4</v>
      </c>
      <c r="Q5" s="670" t="s">
        <v>4</v>
      </c>
      <c r="R5" s="669" t="s">
        <v>4</v>
      </c>
      <c r="S5" s="668" t="s">
        <v>51</v>
      </c>
      <c r="T5" s="667" t="s">
        <v>49</v>
      </c>
      <c r="U5" s="667" t="s">
        <v>53</v>
      </c>
      <c r="V5" s="667" t="s">
        <v>53</v>
      </c>
      <c r="W5" s="667" t="s">
        <v>53</v>
      </c>
    </row>
    <row r="6" spans="1:28">
      <c r="A6" s="666"/>
      <c r="B6" s="665"/>
      <c r="C6" s="664"/>
      <c r="D6" s="663"/>
      <c r="E6" s="662"/>
      <c r="F6" s="664"/>
      <c r="G6" s="663"/>
      <c r="H6" s="662"/>
      <c r="I6" s="664"/>
      <c r="J6" s="663"/>
      <c r="K6" s="662"/>
      <c r="L6" s="903"/>
      <c r="M6" s="902"/>
      <c r="N6" s="663"/>
      <c r="O6" s="662"/>
      <c r="P6" s="664"/>
      <c r="Q6" s="663"/>
      <c r="R6" s="662"/>
      <c r="S6" s="661"/>
      <c r="T6" s="660"/>
      <c r="U6" s="660"/>
      <c r="V6" s="660"/>
      <c r="W6" s="660"/>
    </row>
    <row r="7" spans="1:28">
      <c r="A7" s="2263" t="s">
        <v>131</v>
      </c>
      <c r="B7" s="2264"/>
      <c r="C7" s="664"/>
      <c r="D7" s="2027"/>
      <c r="E7" s="662"/>
      <c r="F7" s="664"/>
      <c r="G7" s="2027"/>
      <c r="H7" s="662"/>
      <c r="I7" s="664"/>
      <c r="J7" s="2027"/>
      <c r="K7" s="662"/>
      <c r="L7" s="664"/>
      <c r="M7" s="902"/>
      <c r="N7" s="2027"/>
      <c r="O7" s="662"/>
      <c r="P7" s="664"/>
      <c r="Q7" s="2027"/>
      <c r="R7" s="662"/>
      <c r="S7" s="661"/>
      <c r="T7" s="2028"/>
      <c r="U7" s="2028"/>
      <c r="V7" s="2028"/>
      <c r="W7" s="2028"/>
    </row>
    <row r="8" spans="1:28">
      <c r="A8" s="658">
        <v>17</v>
      </c>
      <c r="B8" s="646" t="s">
        <v>2269</v>
      </c>
      <c r="C8" s="659">
        <v>4250</v>
      </c>
      <c r="D8" s="1831">
        <v>5500</v>
      </c>
      <c r="E8" s="657">
        <v>150</v>
      </c>
      <c r="F8" s="659">
        <v>10</v>
      </c>
      <c r="G8" s="658">
        <v>200</v>
      </c>
      <c r="H8" s="657">
        <f t="shared" ref="H8:H15" si="0">(D8+(2*40)*F8)*2</f>
        <v>12600</v>
      </c>
      <c r="I8" s="659"/>
      <c r="J8" s="658">
        <v>100</v>
      </c>
      <c r="K8" s="657"/>
      <c r="L8" s="659"/>
      <c r="M8" s="900"/>
      <c r="N8" s="658">
        <v>100</v>
      </c>
      <c r="O8" s="657"/>
      <c r="P8" s="659">
        <v>10</v>
      </c>
      <c r="Q8" s="658">
        <v>200</v>
      </c>
      <c r="R8" s="657">
        <f>(C8+(6*40+11*50)*P8)*2</f>
        <v>24300</v>
      </c>
      <c r="S8" s="656">
        <f t="shared" ref="S8:S15" si="1">C8*D8*E8/1000000000</f>
        <v>3.5062500000000001</v>
      </c>
      <c r="T8" s="645">
        <f t="shared" ref="T8:T15" si="2">2*C8*D8/1000000</f>
        <v>46.75</v>
      </c>
      <c r="U8" s="645">
        <f t="shared" ref="U8" si="3">0.006165*(F8^2*H8*(ROUND(C8/G8,0)+1)+I8^2*K8*(ROUND(C8/J8,0)+1))/1000</f>
        <v>170.89380000000003</v>
      </c>
      <c r="V8" s="645">
        <f t="shared" ref="V8" si="4">0.006165*M8^2*O8*(ROUND(C8/N8,0)+1)/1000*L8</f>
        <v>0</v>
      </c>
      <c r="W8" s="645">
        <f>0.006165*P8^2*R8*(ROUND(D8/Q8,0)+1)/1000</f>
        <v>434.44755000000004</v>
      </c>
      <c r="Y8" s="640">
        <f>T8/S8</f>
        <v>13.333333333333332</v>
      </c>
      <c r="Z8" s="640">
        <f t="shared" ref="Z8:Z15" si="5">SUM(U8:W8)/S8</f>
        <v>172.64637433155082</v>
      </c>
      <c r="AB8" s="655">
        <f t="shared" ref="AB8:AB9" si="6">T8</f>
        <v>46.75</v>
      </c>
    </row>
    <row r="9" spans="1:28">
      <c r="A9" s="658">
        <v>19</v>
      </c>
      <c r="B9" s="646" t="s">
        <v>2201</v>
      </c>
      <c r="C9" s="659">
        <v>20000</v>
      </c>
      <c r="D9" s="1831">
        <v>1000</v>
      </c>
      <c r="E9" s="657">
        <v>170</v>
      </c>
      <c r="F9" s="659">
        <v>10</v>
      </c>
      <c r="G9" s="658">
        <v>200</v>
      </c>
      <c r="H9" s="657">
        <f t="shared" si="0"/>
        <v>3600</v>
      </c>
      <c r="I9" s="659"/>
      <c r="J9" s="658">
        <v>100</v>
      </c>
      <c r="K9" s="657"/>
      <c r="L9" s="659"/>
      <c r="M9" s="900"/>
      <c r="N9" s="658">
        <v>100</v>
      </c>
      <c r="O9" s="657"/>
      <c r="P9" s="659">
        <v>10</v>
      </c>
      <c r="Q9" s="658">
        <v>200</v>
      </c>
      <c r="R9" s="657">
        <f>(C9+(2*40+2*50)*P9)*2</f>
        <v>43600</v>
      </c>
      <c r="S9" s="656">
        <f t="shared" si="1"/>
        <v>3.4</v>
      </c>
      <c r="T9" s="2159">
        <f>C9*D9/1000000</f>
        <v>20</v>
      </c>
      <c r="U9" s="645">
        <f t="shared" ref="U9:U15" si="7">0.006165*(F9^2*H9*(ROUND(C9/G9,0)+1)+I9^2*K9*(ROUND(C9/J9,0)+1))/1000</f>
        <v>224.15940000000003</v>
      </c>
      <c r="V9" s="645">
        <f t="shared" ref="V9:V15" si="8">0.006165*M9^2*O9*(ROUND(C9/N9,0)+1)/1000*L9</f>
        <v>0</v>
      </c>
      <c r="W9" s="645">
        <f t="shared" ref="W9:W15" si="9">0.006165*P9^2*R9*(ROUND(D9/Q9,0)+1)/1000</f>
        <v>161.27640000000002</v>
      </c>
      <c r="Y9" s="640">
        <f t="shared" ref="Y9:Y15" si="10">T9/S9</f>
        <v>5.882352941176471</v>
      </c>
      <c r="Z9" s="640">
        <f t="shared" si="5"/>
        <v>113.36347058823532</v>
      </c>
      <c r="AB9" s="655">
        <f t="shared" si="6"/>
        <v>20</v>
      </c>
    </row>
    <row r="10" spans="1:28">
      <c r="A10" s="658">
        <f t="shared" ref="A10:A154" si="11">A9+1</f>
        <v>20</v>
      </c>
      <c r="B10" s="646" t="s">
        <v>2201</v>
      </c>
      <c r="C10" s="659">
        <v>21795</v>
      </c>
      <c r="D10" s="1831">
        <v>1000</v>
      </c>
      <c r="E10" s="657">
        <v>170</v>
      </c>
      <c r="F10" s="659">
        <v>10</v>
      </c>
      <c r="G10" s="658">
        <v>200</v>
      </c>
      <c r="H10" s="657">
        <f t="shared" ref="H10" si="12">(D10+(2*40)*F10)*2</f>
        <v>3600</v>
      </c>
      <c r="I10" s="659"/>
      <c r="J10" s="658">
        <v>100</v>
      </c>
      <c r="K10" s="657"/>
      <c r="L10" s="659"/>
      <c r="M10" s="900"/>
      <c r="N10" s="658">
        <v>100</v>
      </c>
      <c r="O10" s="657"/>
      <c r="P10" s="659">
        <v>10</v>
      </c>
      <c r="Q10" s="658">
        <v>200</v>
      </c>
      <c r="R10" s="657">
        <f>(C10+(2*40+2*50)*P10)*2</f>
        <v>47190</v>
      </c>
      <c r="S10" s="656">
        <f t="shared" ref="S10" si="13">C10*D10*E10/1000000000</f>
        <v>3.7051500000000002</v>
      </c>
      <c r="T10" s="645">
        <f t="shared" ref="T10" si="14">2*C10*D10/1000000</f>
        <v>43.59</v>
      </c>
      <c r="U10" s="645">
        <f t="shared" ref="U10" si="15">0.006165*(F10^2*H10*(ROUND(C10/G10,0)+1)+I10^2*K10*(ROUND(C10/J10,0)+1))/1000</f>
        <v>244.13399999999999</v>
      </c>
      <c r="V10" s="645">
        <f t="shared" ref="V10" si="16">0.006165*M10^2*O10*(ROUND(C10/N10,0)+1)/1000*L10</f>
        <v>0</v>
      </c>
      <c r="W10" s="645">
        <f t="shared" ref="W10" si="17">0.006165*P10^2*R10*(ROUND(D10/Q10,0)+1)/1000</f>
        <v>174.55581000000001</v>
      </c>
      <c r="Y10" s="640">
        <f t="shared" ref="Y10" si="18">T10/S10</f>
        <v>11.764705882352942</v>
      </c>
      <c r="Z10" s="640">
        <f t="shared" ref="Z10" si="19">SUM(U10:W10)/S10</f>
        <v>113.00212137160437</v>
      </c>
      <c r="AB10" s="655">
        <f t="shared" ref="AB10" si="20">T10</f>
        <v>43.59</v>
      </c>
    </row>
    <row r="11" spans="1:28">
      <c r="A11" s="658">
        <f t="shared" si="11"/>
        <v>21</v>
      </c>
      <c r="B11" s="646" t="s">
        <v>2201</v>
      </c>
      <c r="C11" s="659">
        <v>34285</v>
      </c>
      <c r="D11" s="1831">
        <v>1000</v>
      </c>
      <c r="E11" s="657">
        <v>170</v>
      </c>
      <c r="F11" s="659">
        <v>10</v>
      </c>
      <c r="G11" s="658">
        <v>200</v>
      </c>
      <c r="H11" s="657">
        <f t="shared" si="0"/>
        <v>3600</v>
      </c>
      <c r="I11" s="659"/>
      <c r="J11" s="658">
        <v>100</v>
      </c>
      <c r="K11" s="657"/>
      <c r="L11" s="659"/>
      <c r="M11" s="900"/>
      <c r="N11" s="658">
        <v>100</v>
      </c>
      <c r="O11" s="657"/>
      <c r="P11" s="659">
        <v>10</v>
      </c>
      <c r="Q11" s="658">
        <v>200</v>
      </c>
      <c r="R11" s="657">
        <f>(C11+(8*40+2*50)*P11)*2</f>
        <v>76970</v>
      </c>
      <c r="S11" s="656">
        <f t="shared" si="1"/>
        <v>5.8284500000000001</v>
      </c>
      <c r="T11" s="645">
        <f t="shared" si="2"/>
        <v>68.569999999999993</v>
      </c>
      <c r="U11" s="645">
        <f t="shared" si="7"/>
        <v>381.73680000000007</v>
      </c>
      <c r="V11" s="645">
        <f t="shared" si="8"/>
        <v>0</v>
      </c>
      <c r="W11" s="645">
        <f t="shared" si="9"/>
        <v>284.71203000000003</v>
      </c>
      <c r="Y11" s="640">
        <f t="shared" si="10"/>
        <v>11.76470588235294</v>
      </c>
      <c r="Z11" s="640">
        <f t="shared" si="5"/>
        <v>114.34409319802006</v>
      </c>
      <c r="AB11" s="655">
        <f>T11/2</f>
        <v>34.284999999999997</v>
      </c>
    </row>
    <row r="12" spans="1:28">
      <c r="A12" s="1997">
        <v>19</v>
      </c>
      <c r="B12" s="646" t="s">
        <v>2201</v>
      </c>
      <c r="C12" s="659">
        <v>20000</v>
      </c>
      <c r="D12" s="1831">
        <v>4500</v>
      </c>
      <c r="E12" s="2140">
        <v>100</v>
      </c>
      <c r="F12" s="659">
        <v>10</v>
      </c>
      <c r="G12" s="1997">
        <v>300</v>
      </c>
      <c r="H12" s="2140">
        <f>(D12+(2*40)*F12)</f>
        <v>5300</v>
      </c>
      <c r="I12" s="659"/>
      <c r="J12" s="658">
        <v>100</v>
      </c>
      <c r="K12" s="657"/>
      <c r="L12" s="659"/>
      <c r="M12" s="900"/>
      <c r="N12" s="658">
        <v>100</v>
      </c>
      <c r="O12" s="657"/>
      <c r="P12" s="659">
        <v>10</v>
      </c>
      <c r="Q12" s="1997">
        <v>300</v>
      </c>
      <c r="R12" s="2140">
        <f>(C12+(2*40+1*50)*P12)</f>
        <v>21300</v>
      </c>
      <c r="S12" s="656">
        <f t="shared" ref="S12:S13" si="21">C12*D12*E12/1000000000</f>
        <v>9</v>
      </c>
      <c r="T12" s="2159">
        <f>C12*D12/1000000</f>
        <v>90</v>
      </c>
      <c r="U12" s="645">
        <f t="shared" ref="U12:U13" si="22">0.006165*(F12^2*H12*(ROUND(C12/G12,0)+1)+I12^2*K12*(ROUND(C12/J12,0)+1))/1000</f>
        <v>222.1866</v>
      </c>
      <c r="V12" s="645">
        <f t="shared" ref="V12:V13" si="23">0.006165*M12^2*O12*(ROUND(C12/N12,0)+1)/1000*L12</f>
        <v>0</v>
      </c>
      <c r="W12" s="645">
        <f t="shared" ref="W12:W13" si="24">0.006165*P12^2*R12*(ROUND(D12/Q12,0)+1)/1000</f>
        <v>210.10320000000002</v>
      </c>
      <c r="Y12" s="640">
        <f t="shared" ref="Y12:Y13" si="25">T12/S12</f>
        <v>10</v>
      </c>
      <c r="Z12" s="640">
        <f t="shared" ref="Z12:Z13" si="26">SUM(U12:W12)/S12</f>
        <v>48.032200000000003</v>
      </c>
      <c r="AB12" s="655">
        <f t="shared" ref="AB12:AB13" si="27">T12</f>
        <v>90</v>
      </c>
    </row>
    <row r="13" spans="1:28">
      <c r="A13" s="1997">
        <f t="shared" si="11"/>
        <v>20</v>
      </c>
      <c r="B13" s="646" t="s">
        <v>2201</v>
      </c>
      <c r="C13" s="659">
        <v>21795</v>
      </c>
      <c r="D13" s="1831">
        <v>4500</v>
      </c>
      <c r="E13" s="2140">
        <v>100</v>
      </c>
      <c r="F13" s="659">
        <v>10</v>
      </c>
      <c r="G13" s="1997">
        <v>300</v>
      </c>
      <c r="H13" s="2140">
        <f>(D13+(2*40)*F13)</f>
        <v>5300</v>
      </c>
      <c r="I13" s="659"/>
      <c r="J13" s="658">
        <v>100</v>
      </c>
      <c r="K13" s="657"/>
      <c r="L13" s="659"/>
      <c r="M13" s="900"/>
      <c r="N13" s="658">
        <v>100</v>
      </c>
      <c r="O13" s="657"/>
      <c r="P13" s="659">
        <v>10</v>
      </c>
      <c r="Q13" s="1997">
        <v>300</v>
      </c>
      <c r="R13" s="2140">
        <f>(C13+(2*40+1*50)*P13)</f>
        <v>23095</v>
      </c>
      <c r="S13" s="656">
        <f t="shared" si="21"/>
        <v>9.8077500000000004</v>
      </c>
      <c r="T13" s="645">
        <f t="shared" ref="T13" si="28">2*C13*D13/1000000</f>
        <v>196.155</v>
      </c>
      <c r="U13" s="645">
        <f t="shared" si="22"/>
        <v>241.79130000000001</v>
      </c>
      <c r="V13" s="645">
        <f t="shared" si="23"/>
        <v>0</v>
      </c>
      <c r="W13" s="645">
        <f t="shared" si="24"/>
        <v>227.80908000000002</v>
      </c>
      <c r="Y13" s="640">
        <f t="shared" si="25"/>
        <v>20</v>
      </c>
      <c r="Z13" s="640">
        <f t="shared" si="26"/>
        <v>47.880541408579951</v>
      </c>
      <c r="AB13" s="655">
        <f t="shared" si="27"/>
        <v>196.155</v>
      </c>
    </row>
    <row r="14" spans="1:28">
      <c r="A14" s="1997"/>
      <c r="B14" s="2143" t="s">
        <v>2201</v>
      </c>
      <c r="C14" s="659"/>
      <c r="D14" s="1831"/>
      <c r="E14" s="2140"/>
      <c r="F14" s="659"/>
      <c r="G14" s="1997"/>
      <c r="H14" s="657"/>
      <c r="I14" s="659"/>
      <c r="J14" s="658"/>
      <c r="K14" s="657"/>
      <c r="L14" s="659"/>
      <c r="M14" s="900"/>
      <c r="N14" s="658"/>
      <c r="O14" s="657"/>
      <c r="P14" s="659"/>
      <c r="Q14" s="1997"/>
      <c r="R14" s="657"/>
      <c r="S14" s="656"/>
      <c r="T14" s="645"/>
      <c r="U14" s="645"/>
      <c r="V14" s="645"/>
      <c r="W14" s="645"/>
      <c r="Y14" s="640"/>
      <c r="AB14" s="655"/>
    </row>
    <row r="15" spans="1:28">
      <c r="A15" s="658">
        <f>A11+1</f>
        <v>22</v>
      </c>
      <c r="B15" s="646" t="s">
        <v>2269</v>
      </c>
      <c r="C15" s="659">
        <v>20090</v>
      </c>
      <c r="D15" s="1831">
        <v>1000</v>
      </c>
      <c r="E15" s="657">
        <v>150</v>
      </c>
      <c r="F15" s="659">
        <v>10</v>
      </c>
      <c r="G15" s="658">
        <v>200</v>
      </c>
      <c r="H15" s="657">
        <f t="shared" si="0"/>
        <v>3600</v>
      </c>
      <c r="I15" s="659"/>
      <c r="J15" s="658">
        <v>100</v>
      </c>
      <c r="K15" s="657"/>
      <c r="L15" s="659"/>
      <c r="M15" s="900"/>
      <c r="N15" s="658">
        <v>100</v>
      </c>
      <c r="O15" s="657"/>
      <c r="P15" s="659">
        <v>10</v>
      </c>
      <c r="Q15" s="658">
        <v>200</v>
      </c>
      <c r="R15" s="657">
        <f>(C15+(8*40+3*50)*P15)*2</f>
        <v>49580</v>
      </c>
      <c r="S15" s="656">
        <f t="shared" si="1"/>
        <v>3.0135000000000001</v>
      </c>
      <c r="T15" s="645">
        <f t="shared" si="2"/>
        <v>40.18</v>
      </c>
      <c r="U15" s="645">
        <f t="shared" si="7"/>
        <v>224.15940000000003</v>
      </c>
      <c r="V15" s="645">
        <f t="shared" si="8"/>
        <v>0</v>
      </c>
      <c r="W15" s="645">
        <f t="shared" si="9"/>
        <v>183.39642000000001</v>
      </c>
      <c r="Y15" s="640">
        <f t="shared" si="10"/>
        <v>13.333333333333332</v>
      </c>
      <c r="Z15" s="640">
        <f t="shared" si="5"/>
        <v>135.24334494773521</v>
      </c>
      <c r="AB15" s="655">
        <f>T15/2</f>
        <v>20.09</v>
      </c>
    </row>
    <row r="16" spans="1:28">
      <c r="A16" s="658">
        <f t="shared" si="11"/>
        <v>23</v>
      </c>
      <c r="B16" s="646" t="s">
        <v>2269</v>
      </c>
      <c r="C16" s="659">
        <v>17775</v>
      </c>
      <c r="D16" s="1831">
        <v>400</v>
      </c>
      <c r="E16" s="657">
        <v>150</v>
      </c>
      <c r="F16" s="659">
        <v>10</v>
      </c>
      <c r="G16" s="658">
        <v>200</v>
      </c>
      <c r="H16" s="657">
        <f t="shared" ref="H16:H126" si="29">(D16+(2*40)*F16)*2</f>
        <v>2400</v>
      </c>
      <c r="I16" s="659"/>
      <c r="J16" s="658">
        <v>100</v>
      </c>
      <c r="K16" s="657"/>
      <c r="L16" s="659"/>
      <c r="M16" s="900"/>
      <c r="N16" s="658">
        <v>100</v>
      </c>
      <c r="O16" s="657"/>
      <c r="P16" s="659">
        <v>10</v>
      </c>
      <c r="Q16" s="658">
        <v>200</v>
      </c>
      <c r="R16" s="657">
        <f>(C16+(4*40+0*50)*P16)*2</f>
        <v>38750</v>
      </c>
      <c r="S16" s="656">
        <f t="shared" ref="S16:S109" si="30">C16*D16*E16/1000000000</f>
        <v>1.0665</v>
      </c>
      <c r="T16" s="645">
        <f t="shared" ref="T16:T109" si="31">2*C16*D16/1000000</f>
        <v>14.22</v>
      </c>
      <c r="U16" s="645">
        <f t="shared" ref="U16:U109" si="32">0.006165*(F16^2*H16*(ROUND(C16/G16,0)+1)+I16^2*K16*(ROUND(C16/J16,0)+1))/1000</f>
        <v>133.16399999999999</v>
      </c>
      <c r="V16" s="645">
        <f t="shared" ref="V16:V109" si="33">0.006165*M16^2*O16*(ROUND(C16/N16,0)+1)/1000*L16</f>
        <v>0</v>
      </c>
      <c r="W16" s="645">
        <f t="shared" ref="W16:W109" si="34">0.006165*P16^2*R16*(ROUND(D16/Q16,0)+1)/1000</f>
        <v>71.668125000000018</v>
      </c>
      <c r="Y16" s="640">
        <f t="shared" ref="Y16:Y109" si="35">T16/S16</f>
        <v>13.333333333333334</v>
      </c>
      <c r="Z16" s="640">
        <f t="shared" ref="Z16:Z109" si="36">SUM(U16:W16)/S16</f>
        <v>192.06012658227849</v>
      </c>
      <c r="AB16" s="655">
        <f t="shared" ref="AB16:AB109" si="37">T16/2</f>
        <v>7.11</v>
      </c>
    </row>
    <row r="17" spans="1:28">
      <c r="A17" s="658">
        <f t="shared" si="11"/>
        <v>24</v>
      </c>
      <c r="B17" s="646" t="s">
        <v>2233</v>
      </c>
      <c r="C17" s="659">
        <v>22050</v>
      </c>
      <c r="D17" s="1831">
        <v>1700</v>
      </c>
      <c r="E17" s="657">
        <v>200</v>
      </c>
      <c r="F17" s="659">
        <v>13</v>
      </c>
      <c r="G17" s="658">
        <v>150</v>
      </c>
      <c r="H17" s="657">
        <f t="shared" si="29"/>
        <v>5480</v>
      </c>
      <c r="I17" s="659"/>
      <c r="J17" s="658">
        <v>100</v>
      </c>
      <c r="K17" s="657"/>
      <c r="L17" s="659"/>
      <c r="M17" s="900"/>
      <c r="N17" s="658">
        <v>100</v>
      </c>
      <c r="O17" s="657"/>
      <c r="P17" s="659">
        <v>10</v>
      </c>
      <c r="Q17" s="658">
        <v>150</v>
      </c>
      <c r="R17" s="657">
        <f>(C17+(4*40+0*50)*P17)*2</f>
        <v>47300</v>
      </c>
      <c r="S17" s="656">
        <f t="shared" si="30"/>
        <v>7.4969999999999999</v>
      </c>
      <c r="T17" s="645">
        <f t="shared" si="31"/>
        <v>74.97</v>
      </c>
      <c r="U17" s="645">
        <f t="shared" si="32"/>
        <v>845.01041040000007</v>
      </c>
      <c r="V17" s="645">
        <f t="shared" si="33"/>
        <v>0</v>
      </c>
      <c r="W17" s="645">
        <f t="shared" si="34"/>
        <v>349.92540000000002</v>
      </c>
      <c r="Y17" s="640">
        <f t="shared" si="35"/>
        <v>10</v>
      </c>
      <c r="Z17" s="640">
        <f t="shared" si="36"/>
        <v>159.38853013205284</v>
      </c>
      <c r="AB17" s="655">
        <f t="shared" si="37"/>
        <v>37.484999999999999</v>
      </c>
    </row>
    <row r="18" spans="1:28">
      <c r="A18" s="658">
        <f t="shared" si="11"/>
        <v>25</v>
      </c>
      <c r="B18" s="646" t="s">
        <v>2269</v>
      </c>
      <c r="C18" s="659">
        <v>600</v>
      </c>
      <c r="D18" s="1831">
        <v>400</v>
      </c>
      <c r="E18" s="657">
        <v>150</v>
      </c>
      <c r="F18" s="659">
        <v>10</v>
      </c>
      <c r="G18" s="658">
        <v>200</v>
      </c>
      <c r="H18" s="657">
        <f t="shared" si="29"/>
        <v>2400</v>
      </c>
      <c r="I18" s="659"/>
      <c r="J18" s="658">
        <v>100</v>
      </c>
      <c r="K18" s="657"/>
      <c r="L18" s="659"/>
      <c r="M18" s="900"/>
      <c r="N18" s="658">
        <v>100</v>
      </c>
      <c r="O18" s="657"/>
      <c r="P18" s="659">
        <v>10</v>
      </c>
      <c r="Q18" s="658">
        <v>200</v>
      </c>
      <c r="R18" s="657">
        <f>(C18+(4*40+1*50)*P18)*2</f>
        <v>5400</v>
      </c>
      <c r="S18" s="656">
        <f t="shared" si="30"/>
        <v>3.5999999999999997E-2</v>
      </c>
      <c r="T18" s="645">
        <f t="shared" si="31"/>
        <v>0.48</v>
      </c>
      <c r="U18" s="645">
        <f t="shared" si="32"/>
        <v>5.9184000000000001</v>
      </c>
      <c r="V18" s="645">
        <f t="shared" si="33"/>
        <v>0</v>
      </c>
      <c r="W18" s="645">
        <f t="shared" si="34"/>
        <v>9.9873000000000012</v>
      </c>
      <c r="Y18" s="640">
        <f t="shared" si="35"/>
        <v>13.333333333333334</v>
      </c>
      <c r="Z18" s="640">
        <f t="shared" si="36"/>
        <v>441.82500000000005</v>
      </c>
      <c r="AB18" s="655">
        <f t="shared" si="37"/>
        <v>0.24</v>
      </c>
    </row>
    <row r="19" spans="1:28">
      <c r="A19" s="658">
        <f t="shared" ref="A19" si="38">A18+1</f>
        <v>26</v>
      </c>
      <c r="B19" s="646" t="s">
        <v>2234</v>
      </c>
      <c r="C19" s="659">
        <v>8950</v>
      </c>
      <c r="D19" s="1831">
        <v>200</v>
      </c>
      <c r="E19" s="657">
        <v>150</v>
      </c>
      <c r="F19" s="659">
        <v>10</v>
      </c>
      <c r="G19" s="658">
        <v>200</v>
      </c>
      <c r="H19" s="657">
        <f t="shared" ref="H19" si="39">(D19+(2*40)*F19)*2</f>
        <v>2000</v>
      </c>
      <c r="I19" s="659"/>
      <c r="J19" s="658">
        <v>100</v>
      </c>
      <c r="K19" s="657"/>
      <c r="L19" s="659"/>
      <c r="M19" s="900"/>
      <c r="N19" s="658">
        <v>100</v>
      </c>
      <c r="O19" s="657"/>
      <c r="P19" s="659">
        <v>10</v>
      </c>
      <c r="Q19" s="658">
        <v>200</v>
      </c>
      <c r="R19" s="657">
        <f>(C19+(4*40+1*50)*P19)*2</f>
        <v>22100</v>
      </c>
      <c r="S19" s="656">
        <f t="shared" ref="S19" si="40">C19*D19*E19/1000000000</f>
        <v>0.26850000000000002</v>
      </c>
      <c r="T19" s="645">
        <f t="shared" ref="T19" si="41">2*C19*D19/1000000</f>
        <v>3.58</v>
      </c>
      <c r="U19" s="645">
        <f t="shared" ref="U19" si="42">0.006165*(F19^2*H19*(ROUND(C19/G19,0)+1)+I19^2*K19*(ROUND(C19/J19,0)+1))/1000</f>
        <v>56.718000000000004</v>
      </c>
      <c r="V19" s="645">
        <f t="shared" ref="V19" si="43">0.006165*M19^2*O19*(ROUND(C19/N19,0)+1)/1000*L19</f>
        <v>0</v>
      </c>
      <c r="W19" s="645">
        <f t="shared" ref="W19" si="44">0.006165*P19^2*R19*(ROUND(D19/Q19,0)+1)/1000</f>
        <v>27.249300000000002</v>
      </c>
      <c r="Y19" s="640">
        <f t="shared" ref="Y19" si="45">T19/S19</f>
        <v>13.333333333333332</v>
      </c>
      <c r="Z19" s="640">
        <f t="shared" ref="Z19" si="46">SUM(U19:W19)/S19</f>
        <v>312.72737430167598</v>
      </c>
      <c r="AB19" s="655">
        <f t="shared" ref="AB19" si="47">T19/2</f>
        <v>1.79</v>
      </c>
    </row>
    <row r="20" spans="1:28">
      <c r="A20" s="658">
        <f t="shared" ref="A20:A23" si="48">A19+1</f>
        <v>27</v>
      </c>
      <c r="B20" s="646" t="s">
        <v>2269</v>
      </c>
      <c r="C20" s="659">
        <v>5775</v>
      </c>
      <c r="D20" s="1831">
        <v>750</v>
      </c>
      <c r="E20" s="657">
        <v>150</v>
      </c>
      <c r="F20" s="659">
        <v>10</v>
      </c>
      <c r="G20" s="658">
        <v>200</v>
      </c>
      <c r="H20" s="657">
        <f t="shared" ref="H20" si="49">(D20+(2*40)*F20)*2</f>
        <v>3100</v>
      </c>
      <c r="I20" s="659"/>
      <c r="J20" s="658">
        <v>100</v>
      </c>
      <c r="K20" s="657"/>
      <c r="L20" s="659"/>
      <c r="M20" s="900"/>
      <c r="N20" s="658">
        <v>100</v>
      </c>
      <c r="O20" s="657"/>
      <c r="P20" s="659">
        <v>10</v>
      </c>
      <c r="Q20" s="658">
        <v>200</v>
      </c>
      <c r="R20" s="657">
        <f>(C20+(4*40+1*50)*P20)*2</f>
        <v>15750</v>
      </c>
      <c r="S20" s="656">
        <f t="shared" ref="S20" si="50">C20*D20*E20/1000000000</f>
        <v>0.64968749999999997</v>
      </c>
      <c r="T20" s="645">
        <f t="shared" ref="T20" si="51">2*C20*D20/1000000</f>
        <v>8.6624999999999996</v>
      </c>
      <c r="U20" s="645">
        <f t="shared" ref="U20" si="52">0.006165*(F20^2*H20*(ROUND(C20/G20,0)+1)+I20^2*K20*(ROUND(C20/J20,0)+1))/1000</f>
        <v>57.334499999999998</v>
      </c>
      <c r="V20" s="645">
        <f t="shared" ref="V20" si="53">0.006165*M20^2*O20*(ROUND(C20/N20,0)+1)/1000*L20</f>
        <v>0</v>
      </c>
      <c r="W20" s="645">
        <f t="shared" ref="W20" si="54">0.006165*P20^2*R20*(ROUND(D20/Q20,0)+1)/1000</f>
        <v>48.549374999999998</v>
      </c>
      <c r="Y20" s="640">
        <f t="shared" ref="Y20" si="55">T20/S20</f>
        <v>13.333333333333334</v>
      </c>
      <c r="Z20" s="640">
        <f t="shared" ref="Z20" si="56">SUM(U20:W20)/S20</f>
        <v>162.97662337662337</v>
      </c>
      <c r="AB20" s="655">
        <f t="shared" ref="AB20" si="57">T20/2</f>
        <v>4.3312499999999998</v>
      </c>
    </row>
    <row r="21" spans="1:28">
      <c r="A21" s="658">
        <f t="shared" si="48"/>
        <v>28</v>
      </c>
      <c r="B21" s="646" t="s">
        <v>2269</v>
      </c>
      <c r="C21" s="659">
        <v>3325</v>
      </c>
      <c r="D21" s="1831">
        <v>500</v>
      </c>
      <c r="E21" s="657">
        <v>150</v>
      </c>
      <c r="F21" s="659">
        <v>10</v>
      </c>
      <c r="G21" s="658">
        <v>200</v>
      </c>
      <c r="H21" s="657">
        <f t="shared" ref="H21" si="58">(D21+(2*40)*F21)*2</f>
        <v>2600</v>
      </c>
      <c r="I21" s="659"/>
      <c r="J21" s="658">
        <v>100</v>
      </c>
      <c r="K21" s="657"/>
      <c r="L21" s="659"/>
      <c r="M21" s="900"/>
      <c r="N21" s="658">
        <v>100</v>
      </c>
      <c r="O21" s="657"/>
      <c r="P21" s="659">
        <v>10</v>
      </c>
      <c r="Q21" s="658">
        <v>200</v>
      </c>
      <c r="R21" s="657">
        <f>(C21+(4*40+1*50)*P21)*2</f>
        <v>10850</v>
      </c>
      <c r="S21" s="656">
        <f t="shared" ref="S21" si="59">C21*D21*E21/1000000000</f>
        <v>0.24937500000000001</v>
      </c>
      <c r="T21" s="645">
        <f t="shared" ref="T21" si="60">2*C21*D21/1000000</f>
        <v>3.3250000000000002</v>
      </c>
      <c r="U21" s="645">
        <f t="shared" ref="U21" si="61">0.006165*(F21^2*H21*(ROUND(C21/G21,0)+1)+I21^2*K21*(ROUND(C21/J21,0)+1))/1000</f>
        <v>28.8522</v>
      </c>
      <c r="V21" s="645">
        <f t="shared" ref="V21" si="62">0.006165*M21^2*O21*(ROUND(C21/N21,0)+1)/1000*L21</f>
        <v>0</v>
      </c>
      <c r="W21" s="645">
        <f t="shared" ref="W21" si="63">0.006165*P21^2*R21*(ROUND(D21/Q21,0)+1)/1000</f>
        <v>26.756100000000004</v>
      </c>
      <c r="Y21" s="640">
        <f t="shared" ref="Y21" si="64">T21/S21</f>
        <v>13.333333333333334</v>
      </c>
      <c r="Z21" s="640">
        <f t="shared" ref="Z21" si="65">SUM(U21:W21)/S21</f>
        <v>222.99067669172931</v>
      </c>
      <c r="AB21" s="655">
        <f t="shared" ref="AB21" si="66">T21/2</f>
        <v>1.6625000000000001</v>
      </c>
    </row>
    <row r="22" spans="1:28">
      <c r="A22" s="658">
        <f t="shared" si="48"/>
        <v>29</v>
      </c>
      <c r="B22" s="646" t="s">
        <v>2269</v>
      </c>
      <c r="C22" s="659">
        <v>2775</v>
      </c>
      <c r="D22" s="1831">
        <v>125</v>
      </c>
      <c r="E22" s="657">
        <v>150</v>
      </c>
      <c r="F22" s="659">
        <v>10</v>
      </c>
      <c r="G22" s="658">
        <v>200</v>
      </c>
      <c r="H22" s="657">
        <f t="shared" ref="H22:H23" si="67">(D22+(2*40)*F22)*2</f>
        <v>1850</v>
      </c>
      <c r="I22" s="659"/>
      <c r="J22" s="658">
        <v>100</v>
      </c>
      <c r="K22" s="657"/>
      <c r="L22" s="659"/>
      <c r="M22" s="900"/>
      <c r="N22" s="658">
        <v>100</v>
      </c>
      <c r="O22" s="657"/>
      <c r="P22" s="659">
        <v>10</v>
      </c>
      <c r="Q22" s="658">
        <v>200</v>
      </c>
      <c r="R22" s="657">
        <f>(C22+(4*40+1*50)*P22)*2</f>
        <v>9750</v>
      </c>
      <c r="S22" s="656">
        <f t="shared" ref="S22:S23" si="68">C22*D22*E22/1000000000</f>
        <v>5.2031250000000001E-2</v>
      </c>
      <c r="T22" s="645">
        <f t="shared" ref="T22:T23" si="69">2*C22*D22/1000000</f>
        <v>0.69374999999999998</v>
      </c>
      <c r="U22" s="645">
        <f t="shared" ref="U22:U23" si="70">0.006165*(F22^2*H22*(ROUND(C22/G22,0)+1)+I22^2*K22*(ROUND(C22/J22,0)+1))/1000</f>
        <v>17.107875</v>
      </c>
      <c r="V22" s="645">
        <f t="shared" ref="V22" si="71">0.006165*M22^2*O22*(ROUND(C22/N22,0)+1)/1000*L22</f>
        <v>0</v>
      </c>
      <c r="W22" s="645">
        <f t="shared" ref="W22:W23" si="72">0.006165*P22^2*R22*(ROUND(D22/Q22,0)+1)/1000</f>
        <v>12.021750000000003</v>
      </c>
      <c r="Y22" s="640">
        <f t="shared" ref="Y22:Y23" si="73">T22/S22</f>
        <v>13.333333333333332</v>
      </c>
      <c r="Z22" s="640">
        <f t="shared" ref="Z22:Z23" si="74">SUM(U22:W22)/S22</f>
        <v>559.84864864864869</v>
      </c>
      <c r="AB22" s="655">
        <f t="shared" ref="AB22:AB23" si="75">T22/2</f>
        <v>0.34687499999999999</v>
      </c>
    </row>
    <row r="23" spans="1:28">
      <c r="A23" s="658">
        <f t="shared" si="48"/>
        <v>30</v>
      </c>
      <c r="B23" s="646" t="s">
        <v>2348</v>
      </c>
      <c r="C23" s="2152">
        <f>8800-4000</f>
        <v>4800</v>
      </c>
      <c r="D23" s="1831">
        <v>6000</v>
      </c>
      <c r="E23" s="657">
        <v>170</v>
      </c>
      <c r="F23" s="659">
        <v>10</v>
      </c>
      <c r="G23" s="658">
        <v>100</v>
      </c>
      <c r="H23" s="657">
        <f t="shared" si="67"/>
        <v>13600</v>
      </c>
      <c r="I23" s="659"/>
      <c r="J23" s="658">
        <v>100</v>
      </c>
      <c r="K23" s="657"/>
      <c r="L23" s="659">
        <v>6</v>
      </c>
      <c r="M23" s="900">
        <v>10</v>
      </c>
      <c r="N23" s="658">
        <v>100</v>
      </c>
      <c r="O23" s="657">
        <v>300</v>
      </c>
      <c r="P23" s="659">
        <v>13</v>
      </c>
      <c r="Q23" s="658">
        <v>100</v>
      </c>
      <c r="R23" s="657">
        <f>(C23+(4*40+0*50)*P23)*2</f>
        <v>13760</v>
      </c>
      <c r="S23" s="656">
        <f t="shared" si="68"/>
        <v>4.8959999999999999</v>
      </c>
      <c r="T23" s="645">
        <f t="shared" si="69"/>
        <v>57.6</v>
      </c>
      <c r="U23" s="645">
        <f t="shared" si="70"/>
        <v>410.83560000000006</v>
      </c>
      <c r="V23" s="645">
        <f>0.006165*M23^2*O23*(ROUND(C23/N23,0)+1)/1000*L23</f>
        <v>54.37530000000001</v>
      </c>
      <c r="W23" s="645">
        <f t="shared" si="72"/>
        <v>874.51659359999985</v>
      </c>
      <c r="Y23" s="640">
        <f t="shared" si="73"/>
        <v>11.764705882352942</v>
      </c>
      <c r="Z23" s="640">
        <f t="shared" si="74"/>
        <v>273.63715147058821</v>
      </c>
      <c r="AB23" s="655">
        <f t="shared" si="75"/>
        <v>28.8</v>
      </c>
    </row>
    <row r="24" spans="1:28">
      <c r="A24" s="2254" t="s">
        <v>136</v>
      </c>
      <c r="B24" s="2255"/>
      <c r="C24" s="2021"/>
      <c r="D24" s="2022"/>
      <c r="E24" s="2023"/>
      <c r="F24" s="2021"/>
      <c r="G24" s="2020"/>
      <c r="H24" s="2023"/>
      <c r="I24" s="2021"/>
      <c r="J24" s="2020"/>
      <c r="K24" s="2023"/>
      <c r="L24" s="2021"/>
      <c r="M24" s="2024"/>
      <c r="N24" s="2020"/>
      <c r="O24" s="2023"/>
      <c r="P24" s="2021"/>
      <c r="Q24" s="2020"/>
      <c r="R24" s="2023"/>
      <c r="S24" s="2025"/>
      <c r="T24" s="2026"/>
      <c r="U24" s="2026"/>
      <c r="V24" s="2026"/>
      <c r="W24" s="2026"/>
      <c r="Y24" s="640"/>
      <c r="AB24" s="655"/>
    </row>
    <row r="25" spans="1:28">
      <c r="A25" s="658">
        <v>23</v>
      </c>
      <c r="B25" s="2143" t="s">
        <v>2241</v>
      </c>
      <c r="C25" s="2144">
        <v>9000</v>
      </c>
      <c r="D25" s="1831">
        <v>4500</v>
      </c>
      <c r="E25" s="2140">
        <v>100</v>
      </c>
      <c r="F25" s="659">
        <v>10</v>
      </c>
      <c r="G25" s="1997">
        <v>300</v>
      </c>
      <c r="H25" s="2140">
        <f>(D25+(2*40)*F25)</f>
        <v>5300</v>
      </c>
      <c r="I25" s="659"/>
      <c r="J25" s="658">
        <v>100</v>
      </c>
      <c r="K25" s="657"/>
      <c r="L25" s="659"/>
      <c r="M25" s="900"/>
      <c r="N25" s="658">
        <v>100</v>
      </c>
      <c r="O25" s="657"/>
      <c r="P25" s="659">
        <v>10</v>
      </c>
      <c r="Q25" s="1997">
        <v>300</v>
      </c>
      <c r="R25" s="2140">
        <f>(C25+(2*40+50)*P25)</f>
        <v>10300</v>
      </c>
      <c r="S25" s="656">
        <f t="shared" si="30"/>
        <v>4.05</v>
      </c>
      <c r="T25" s="2159">
        <f>C25*D25/1000000</f>
        <v>40.5</v>
      </c>
      <c r="U25" s="645">
        <f t="shared" si="32"/>
        <v>101.29095000000001</v>
      </c>
      <c r="V25" s="645">
        <f t="shared" si="33"/>
        <v>0</v>
      </c>
      <c r="W25" s="645">
        <f t="shared" si="34"/>
        <v>101.59920000000001</v>
      </c>
      <c r="Y25" s="640">
        <f t="shared" si="35"/>
        <v>10</v>
      </c>
      <c r="Z25" s="640">
        <f t="shared" si="36"/>
        <v>50.096333333333334</v>
      </c>
      <c r="AB25" s="655">
        <f t="shared" si="37"/>
        <v>20.25</v>
      </c>
    </row>
    <row r="26" spans="1:28">
      <c r="A26" s="658">
        <f t="shared" si="11"/>
        <v>24</v>
      </c>
      <c r="B26" s="2143" t="s">
        <v>2241</v>
      </c>
      <c r="C26" s="2144">
        <v>15000</v>
      </c>
      <c r="D26" s="1831">
        <v>4500</v>
      </c>
      <c r="E26" s="2140">
        <v>100</v>
      </c>
      <c r="F26" s="659">
        <v>10</v>
      </c>
      <c r="G26" s="1997">
        <v>300</v>
      </c>
      <c r="H26" s="2140">
        <f>(D26+(2*40)*F26)</f>
        <v>5300</v>
      </c>
      <c r="I26" s="659"/>
      <c r="J26" s="658">
        <v>100</v>
      </c>
      <c r="K26" s="657"/>
      <c r="L26" s="659"/>
      <c r="M26" s="900"/>
      <c r="N26" s="658">
        <v>100</v>
      </c>
      <c r="O26" s="657"/>
      <c r="P26" s="659">
        <v>10</v>
      </c>
      <c r="Q26" s="1997">
        <v>300</v>
      </c>
      <c r="R26" s="2140">
        <f>(C26+(2*40+1*50)*P26)</f>
        <v>16300</v>
      </c>
      <c r="S26" s="656">
        <f t="shared" si="30"/>
        <v>6.75</v>
      </c>
      <c r="T26" s="2159">
        <f>C26*D26/1000000</f>
        <v>67.5</v>
      </c>
      <c r="U26" s="645">
        <f t="shared" si="32"/>
        <v>166.63995</v>
      </c>
      <c r="V26" s="645">
        <f t="shared" si="33"/>
        <v>0</v>
      </c>
      <c r="W26" s="645">
        <f t="shared" si="34"/>
        <v>160.78320000000002</v>
      </c>
      <c r="Y26" s="640">
        <f t="shared" si="35"/>
        <v>10</v>
      </c>
      <c r="Z26" s="640">
        <f t="shared" si="36"/>
        <v>48.507133333333336</v>
      </c>
      <c r="AB26" s="655">
        <f t="shared" si="37"/>
        <v>33.75</v>
      </c>
    </row>
    <row r="27" spans="1:28">
      <c r="A27" s="658">
        <f t="shared" si="11"/>
        <v>25</v>
      </c>
      <c r="B27" s="646" t="s">
        <v>2241</v>
      </c>
      <c r="C27" s="659">
        <v>11300</v>
      </c>
      <c r="D27" s="1831">
        <v>200</v>
      </c>
      <c r="E27" s="657">
        <v>150</v>
      </c>
      <c r="F27" s="659">
        <v>10</v>
      </c>
      <c r="G27" s="658">
        <v>200</v>
      </c>
      <c r="H27" s="657">
        <f t="shared" si="29"/>
        <v>2000</v>
      </c>
      <c r="I27" s="659"/>
      <c r="J27" s="658">
        <v>100</v>
      </c>
      <c r="K27" s="657"/>
      <c r="L27" s="659"/>
      <c r="M27" s="900"/>
      <c r="N27" s="658">
        <v>100</v>
      </c>
      <c r="O27" s="657"/>
      <c r="P27" s="659">
        <v>10</v>
      </c>
      <c r="Q27" s="658">
        <v>200</v>
      </c>
      <c r="R27" s="657">
        <f>(C27+(2*40+0*50)*P27)*2</f>
        <v>24200</v>
      </c>
      <c r="S27" s="656">
        <f t="shared" si="30"/>
        <v>0.33900000000000002</v>
      </c>
      <c r="T27" s="645">
        <f t="shared" si="31"/>
        <v>4.5199999999999996</v>
      </c>
      <c r="U27" s="645">
        <f t="shared" si="32"/>
        <v>71.513999999999996</v>
      </c>
      <c r="V27" s="645">
        <f t="shared" si="33"/>
        <v>0</v>
      </c>
      <c r="W27" s="645">
        <f t="shared" si="34"/>
        <v>29.838600000000003</v>
      </c>
      <c r="Y27" s="640">
        <f t="shared" si="35"/>
        <v>13.33333333333333</v>
      </c>
      <c r="Z27" s="640">
        <f t="shared" si="36"/>
        <v>298.97522123893799</v>
      </c>
      <c r="AB27" s="655">
        <f t="shared" si="37"/>
        <v>2.2599999999999998</v>
      </c>
    </row>
    <row r="28" spans="1:28">
      <c r="A28" s="658">
        <f t="shared" si="11"/>
        <v>26</v>
      </c>
      <c r="B28" s="646" t="s">
        <v>2281</v>
      </c>
      <c r="C28" s="659">
        <v>8600</v>
      </c>
      <c r="D28" s="1831">
        <v>200</v>
      </c>
      <c r="E28" s="657">
        <v>150</v>
      </c>
      <c r="F28" s="659">
        <v>10</v>
      </c>
      <c r="G28" s="658">
        <v>200</v>
      </c>
      <c r="H28" s="657">
        <f t="shared" si="29"/>
        <v>2000</v>
      </c>
      <c r="I28" s="659"/>
      <c r="J28" s="658">
        <v>100</v>
      </c>
      <c r="K28" s="657"/>
      <c r="L28" s="659"/>
      <c r="M28" s="900"/>
      <c r="N28" s="658">
        <v>100</v>
      </c>
      <c r="O28" s="657"/>
      <c r="P28" s="659">
        <v>10</v>
      </c>
      <c r="Q28" s="658">
        <v>200</v>
      </c>
      <c r="R28" s="657">
        <f t="shared" ref="R28:R126" si="76">(C28+(2*40+0*50)*P28)*2</f>
        <v>18800</v>
      </c>
      <c r="S28" s="656">
        <f t="shared" si="30"/>
        <v>0.25800000000000001</v>
      </c>
      <c r="T28" s="645">
        <f t="shared" si="31"/>
        <v>3.44</v>
      </c>
      <c r="U28" s="645">
        <f t="shared" si="32"/>
        <v>54.252000000000002</v>
      </c>
      <c r="V28" s="645">
        <f t="shared" si="33"/>
        <v>0</v>
      </c>
      <c r="W28" s="645">
        <f t="shared" si="34"/>
        <v>23.180400000000002</v>
      </c>
      <c r="Y28" s="640">
        <f t="shared" si="35"/>
        <v>13.333333333333332</v>
      </c>
      <c r="Z28" s="640">
        <f t="shared" si="36"/>
        <v>300.12558139534883</v>
      </c>
      <c r="AB28" s="655">
        <f t="shared" si="37"/>
        <v>1.72</v>
      </c>
    </row>
    <row r="29" spans="1:28">
      <c r="A29" s="658">
        <f t="shared" si="11"/>
        <v>27</v>
      </c>
      <c r="B29" s="646" t="s">
        <v>2281</v>
      </c>
      <c r="C29" s="659">
        <v>9450</v>
      </c>
      <c r="D29" s="1831">
        <v>200</v>
      </c>
      <c r="E29" s="657">
        <v>150</v>
      </c>
      <c r="F29" s="659">
        <v>10</v>
      </c>
      <c r="G29" s="658">
        <v>200</v>
      </c>
      <c r="H29" s="657">
        <f t="shared" si="29"/>
        <v>2000</v>
      </c>
      <c r="I29" s="659"/>
      <c r="J29" s="658">
        <v>100</v>
      </c>
      <c r="K29" s="657"/>
      <c r="L29" s="659"/>
      <c r="M29" s="900"/>
      <c r="N29" s="658">
        <v>100</v>
      </c>
      <c r="O29" s="657"/>
      <c r="P29" s="659">
        <v>10</v>
      </c>
      <c r="Q29" s="658">
        <v>200</v>
      </c>
      <c r="R29" s="657">
        <f t="shared" si="76"/>
        <v>20500</v>
      </c>
      <c r="S29" s="656">
        <f t="shared" si="30"/>
        <v>0.28349999999999997</v>
      </c>
      <c r="T29" s="645">
        <f t="shared" si="31"/>
        <v>3.78</v>
      </c>
      <c r="U29" s="645">
        <f t="shared" si="32"/>
        <v>59.183999999999997</v>
      </c>
      <c r="V29" s="645">
        <f t="shared" si="33"/>
        <v>0</v>
      </c>
      <c r="W29" s="645">
        <f t="shared" si="34"/>
        <v>25.276500000000002</v>
      </c>
      <c r="Y29" s="640">
        <f t="shared" si="35"/>
        <v>13.333333333333334</v>
      </c>
      <c r="Z29" s="640">
        <f t="shared" si="36"/>
        <v>297.92063492063494</v>
      </c>
      <c r="AB29" s="655">
        <f t="shared" si="37"/>
        <v>1.89</v>
      </c>
    </row>
    <row r="30" spans="1:28">
      <c r="A30" s="658">
        <f t="shared" si="11"/>
        <v>28</v>
      </c>
      <c r="B30" s="646" t="s">
        <v>2281</v>
      </c>
      <c r="C30" s="659">
        <v>12600</v>
      </c>
      <c r="D30" s="1831">
        <v>200</v>
      </c>
      <c r="E30" s="657">
        <v>150</v>
      </c>
      <c r="F30" s="659">
        <v>10</v>
      </c>
      <c r="G30" s="658">
        <v>200</v>
      </c>
      <c r="H30" s="657">
        <f t="shared" si="29"/>
        <v>2000</v>
      </c>
      <c r="I30" s="659"/>
      <c r="J30" s="658">
        <v>100</v>
      </c>
      <c r="K30" s="657"/>
      <c r="L30" s="659"/>
      <c r="M30" s="900"/>
      <c r="N30" s="658">
        <v>100</v>
      </c>
      <c r="O30" s="657"/>
      <c r="P30" s="659">
        <v>10</v>
      </c>
      <c r="Q30" s="658">
        <v>200</v>
      </c>
      <c r="R30" s="657">
        <f t="shared" si="76"/>
        <v>26800</v>
      </c>
      <c r="S30" s="656">
        <f t="shared" si="30"/>
        <v>0.378</v>
      </c>
      <c r="T30" s="645">
        <f t="shared" si="31"/>
        <v>5.04</v>
      </c>
      <c r="U30" s="645">
        <f t="shared" si="32"/>
        <v>78.912000000000006</v>
      </c>
      <c r="V30" s="645">
        <f t="shared" si="33"/>
        <v>0</v>
      </c>
      <c r="W30" s="645">
        <f t="shared" si="34"/>
        <v>33.044400000000003</v>
      </c>
      <c r="Y30" s="640">
        <f t="shared" si="35"/>
        <v>13.333333333333334</v>
      </c>
      <c r="Z30" s="640">
        <f t="shared" si="36"/>
        <v>296.18095238095236</v>
      </c>
      <c r="AB30" s="655">
        <f t="shared" si="37"/>
        <v>2.52</v>
      </c>
    </row>
    <row r="31" spans="1:28">
      <c r="A31" s="658">
        <f t="shared" ref="A31:A35" si="77">A30+1</f>
        <v>29</v>
      </c>
      <c r="B31" s="646" t="s">
        <v>2281</v>
      </c>
      <c r="C31" s="659">
        <v>800</v>
      </c>
      <c r="D31" s="1831">
        <v>200</v>
      </c>
      <c r="E31" s="657">
        <v>150</v>
      </c>
      <c r="F31" s="659">
        <v>10</v>
      </c>
      <c r="G31" s="658">
        <v>200</v>
      </c>
      <c r="H31" s="657">
        <f t="shared" ref="H31:H35" si="78">(D31+(2*40)*F31)*2</f>
        <v>2000</v>
      </c>
      <c r="I31" s="659"/>
      <c r="J31" s="658">
        <v>100</v>
      </c>
      <c r="K31" s="657"/>
      <c r="L31" s="659"/>
      <c r="M31" s="900"/>
      <c r="N31" s="658">
        <v>100</v>
      </c>
      <c r="O31" s="657"/>
      <c r="P31" s="659">
        <v>10</v>
      </c>
      <c r="Q31" s="658">
        <v>200</v>
      </c>
      <c r="R31" s="657">
        <f t="shared" ref="R31" si="79">(C31+(2*40+1*50)*P31)*2</f>
        <v>4200</v>
      </c>
      <c r="S31" s="656">
        <f t="shared" ref="S31:S35" si="80">C31*D31*E31/1000000000</f>
        <v>2.4E-2</v>
      </c>
      <c r="T31" s="645">
        <f t="shared" ref="T31:T35" si="81">2*C31*D31/1000000</f>
        <v>0.32</v>
      </c>
      <c r="U31" s="645">
        <f t="shared" ref="U31:U35" si="82">0.006165*(F31^2*H31*(ROUND(C31/G31,0)+1)+I31^2*K31*(ROUND(C31/J31,0)+1))/1000</f>
        <v>6.165</v>
      </c>
      <c r="V31" s="645">
        <f t="shared" ref="V31:V35" si="83">0.006165*M31^2*O31*(ROUND(C31/N31,0)+1)/1000*L31</f>
        <v>0</v>
      </c>
      <c r="W31" s="645">
        <f t="shared" ref="W31:W35" si="84">0.006165*P31^2*R31*(ROUND(D31/Q31,0)+1)/1000</f>
        <v>5.1786000000000003</v>
      </c>
      <c r="Y31" s="640">
        <f t="shared" ref="Y31:Y35" si="85">T31/S31</f>
        <v>13.333333333333334</v>
      </c>
      <c r="Z31" s="640">
        <f t="shared" ref="Z31:Z35" si="86">SUM(U31:W31)/S31</f>
        <v>472.65</v>
      </c>
      <c r="AB31" s="655">
        <f t="shared" ref="AB31:AB35" si="87">T31/2</f>
        <v>0.16</v>
      </c>
    </row>
    <row r="32" spans="1:28">
      <c r="A32" s="658">
        <f t="shared" si="77"/>
        <v>30</v>
      </c>
      <c r="B32" s="646" t="s">
        <v>2281</v>
      </c>
      <c r="C32" s="659">
        <v>1080</v>
      </c>
      <c r="D32" s="1831">
        <v>200</v>
      </c>
      <c r="E32" s="657">
        <v>150</v>
      </c>
      <c r="F32" s="659">
        <v>10</v>
      </c>
      <c r="G32" s="658">
        <v>200</v>
      </c>
      <c r="H32" s="657">
        <f t="shared" si="78"/>
        <v>2000</v>
      </c>
      <c r="I32" s="659"/>
      <c r="J32" s="658">
        <v>100</v>
      </c>
      <c r="K32" s="657"/>
      <c r="L32" s="659"/>
      <c r="M32" s="900"/>
      <c r="N32" s="658">
        <v>100</v>
      </c>
      <c r="O32" s="657"/>
      <c r="P32" s="659">
        <v>10</v>
      </c>
      <c r="Q32" s="658">
        <v>200</v>
      </c>
      <c r="R32" s="657">
        <f>(C32+(2*40+0*50)*P32)*2</f>
        <v>3760</v>
      </c>
      <c r="S32" s="656">
        <f t="shared" si="80"/>
        <v>3.2399999999999998E-2</v>
      </c>
      <c r="T32" s="645">
        <f t="shared" si="81"/>
        <v>0.432</v>
      </c>
      <c r="U32" s="645">
        <f t="shared" si="82"/>
        <v>7.3979999999999997</v>
      </c>
      <c r="V32" s="645">
        <f t="shared" si="83"/>
        <v>0</v>
      </c>
      <c r="W32" s="645">
        <f t="shared" si="84"/>
        <v>4.6360799999999998</v>
      </c>
      <c r="Y32" s="640">
        <f t="shared" si="85"/>
        <v>13.333333333333334</v>
      </c>
      <c r="Z32" s="640">
        <f t="shared" si="86"/>
        <v>371.42222222222222</v>
      </c>
      <c r="AB32" s="655">
        <f t="shared" si="87"/>
        <v>0.216</v>
      </c>
    </row>
    <row r="33" spans="1:28">
      <c r="A33" s="658">
        <f t="shared" si="77"/>
        <v>31</v>
      </c>
      <c r="B33" s="646" t="s">
        <v>2281</v>
      </c>
      <c r="C33" s="659">
        <v>4950</v>
      </c>
      <c r="D33" s="1831">
        <v>200</v>
      </c>
      <c r="E33" s="657">
        <v>150</v>
      </c>
      <c r="F33" s="659">
        <v>10</v>
      </c>
      <c r="G33" s="658">
        <v>200</v>
      </c>
      <c r="H33" s="657">
        <f t="shared" si="78"/>
        <v>2000</v>
      </c>
      <c r="I33" s="659"/>
      <c r="J33" s="658">
        <v>100</v>
      </c>
      <c r="K33" s="657"/>
      <c r="L33" s="659"/>
      <c r="M33" s="900"/>
      <c r="N33" s="658">
        <v>100</v>
      </c>
      <c r="O33" s="657"/>
      <c r="P33" s="659">
        <v>10</v>
      </c>
      <c r="Q33" s="658">
        <v>200</v>
      </c>
      <c r="R33" s="657">
        <f t="shared" ref="R33:R35" si="88">(C33+(2*40+0*50)*P33)*2</f>
        <v>11500</v>
      </c>
      <c r="S33" s="656">
        <f t="shared" si="80"/>
        <v>0.14849999999999999</v>
      </c>
      <c r="T33" s="645">
        <f t="shared" si="81"/>
        <v>1.98</v>
      </c>
      <c r="U33" s="645">
        <f t="shared" si="82"/>
        <v>32.058</v>
      </c>
      <c r="V33" s="645">
        <f t="shared" si="83"/>
        <v>0</v>
      </c>
      <c r="W33" s="645">
        <f t="shared" si="84"/>
        <v>14.179500000000003</v>
      </c>
      <c r="Y33" s="640">
        <f t="shared" si="85"/>
        <v>13.333333333333334</v>
      </c>
      <c r="Z33" s="640">
        <f t="shared" si="86"/>
        <v>311.36363636363643</v>
      </c>
      <c r="AB33" s="655">
        <f t="shared" si="87"/>
        <v>0.99</v>
      </c>
    </row>
    <row r="34" spans="1:28">
      <c r="A34" s="658">
        <f t="shared" si="77"/>
        <v>32</v>
      </c>
      <c r="B34" s="646" t="s">
        <v>2281</v>
      </c>
      <c r="C34" s="659">
        <v>5645</v>
      </c>
      <c r="D34" s="1831">
        <v>200</v>
      </c>
      <c r="E34" s="657">
        <v>150</v>
      </c>
      <c r="F34" s="659">
        <v>10</v>
      </c>
      <c r="G34" s="658">
        <v>200</v>
      </c>
      <c r="H34" s="657">
        <f t="shared" si="78"/>
        <v>2000</v>
      </c>
      <c r="I34" s="659"/>
      <c r="J34" s="658">
        <v>100</v>
      </c>
      <c r="K34" s="657"/>
      <c r="L34" s="659"/>
      <c r="M34" s="900"/>
      <c r="N34" s="658">
        <v>100</v>
      </c>
      <c r="O34" s="657"/>
      <c r="P34" s="659">
        <v>10</v>
      </c>
      <c r="Q34" s="658">
        <v>200</v>
      </c>
      <c r="R34" s="657">
        <f t="shared" si="88"/>
        <v>12890</v>
      </c>
      <c r="S34" s="656">
        <f t="shared" si="80"/>
        <v>0.16935</v>
      </c>
      <c r="T34" s="645">
        <f t="shared" si="81"/>
        <v>2.258</v>
      </c>
      <c r="U34" s="645">
        <f t="shared" si="82"/>
        <v>35.756999999999998</v>
      </c>
      <c r="V34" s="645">
        <f t="shared" si="83"/>
        <v>0</v>
      </c>
      <c r="W34" s="645">
        <f t="shared" si="84"/>
        <v>15.893370000000001</v>
      </c>
      <c r="Y34" s="640">
        <f t="shared" si="85"/>
        <v>13.333333333333334</v>
      </c>
      <c r="Z34" s="640">
        <f t="shared" si="86"/>
        <v>304.99185119574844</v>
      </c>
      <c r="AB34" s="655">
        <f t="shared" si="87"/>
        <v>1.129</v>
      </c>
    </row>
    <row r="35" spans="1:28">
      <c r="A35" s="658">
        <f t="shared" si="77"/>
        <v>33</v>
      </c>
      <c r="B35" s="646" t="s">
        <v>2281</v>
      </c>
      <c r="C35" s="659">
        <v>4950</v>
      </c>
      <c r="D35" s="1831">
        <v>200</v>
      </c>
      <c r="E35" s="657">
        <v>150</v>
      </c>
      <c r="F35" s="659">
        <v>10</v>
      </c>
      <c r="G35" s="658">
        <v>200</v>
      </c>
      <c r="H35" s="657">
        <f t="shared" si="78"/>
        <v>2000</v>
      </c>
      <c r="I35" s="659"/>
      <c r="J35" s="658">
        <v>100</v>
      </c>
      <c r="K35" s="657"/>
      <c r="L35" s="659"/>
      <c r="M35" s="900"/>
      <c r="N35" s="658">
        <v>100</v>
      </c>
      <c r="O35" s="657"/>
      <c r="P35" s="659">
        <v>10</v>
      </c>
      <c r="Q35" s="658">
        <v>200</v>
      </c>
      <c r="R35" s="657">
        <f t="shared" si="88"/>
        <v>11500</v>
      </c>
      <c r="S35" s="656">
        <f t="shared" si="80"/>
        <v>0.14849999999999999</v>
      </c>
      <c r="T35" s="645">
        <f t="shared" si="81"/>
        <v>1.98</v>
      </c>
      <c r="U35" s="645">
        <f t="shared" si="82"/>
        <v>32.058</v>
      </c>
      <c r="V35" s="645">
        <f t="shared" si="83"/>
        <v>0</v>
      </c>
      <c r="W35" s="645">
        <f t="shared" si="84"/>
        <v>14.179500000000003</v>
      </c>
      <c r="Y35" s="640">
        <f t="shared" si="85"/>
        <v>13.333333333333334</v>
      </c>
      <c r="Z35" s="640">
        <f t="shared" si="86"/>
        <v>311.36363636363643</v>
      </c>
      <c r="AB35" s="655">
        <f t="shared" si="87"/>
        <v>0.99</v>
      </c>
    </row>
    <row r="36" spans="1:28">
      <c r="A36" s="658">
        <f t="shared" ref="A36:A37" si="89">A35+1</f>
        <v>34</v>
      </c>
      <c r="B36" s="646" t="s">
        <v>2281</v>
      </c>
      <c r="C36" s="659">
        <v>10025</v>
      </c>
      <c r="D36" s="1831">
        <v>200</v>
      </c>
      <c r="E36" s="657">
        <v>150</v>
      </c>
      <c r="F36" s="659">
        <v>10</v>
      </c>
      <c r="G36" s="658">
        <v>200</v>
      </c>
      <c r="H36" s="657">
        <f t="shared" ref="H36:H37" si="90">(D36+(2*40)*F36)*2</f>
        <v>2000</v>
      </c>
      <c r="I36" s="659"/>
      <c r="J36" s="658">
        <v>100</v>
      </c>
      <c r="K36" s="657"/>
      <c r="L36" s="659"/>
      <c r="M36" s="900"/>
      <c r="N36" s="658">
        <v>100</v>
      </c>
      <c r="O36" s="657"/>
      <c r="P36" s="659">
        <v>10</v>
      </c>
      <c r="Q36" s="658">
        <v>200</v>
      </c>
      <c r="R36" s="657">
        <f t="shared" ref="R36" si="91">(C36+(2*40+0*50)*P36)*2</f>
        <v>21650</v>
      </c>
      <c r="S36" s="656">
        <f t="shared" ref="S36" si="92">C36*D36*E36/1000000000</f>
        <v>0.30075000000000002</v>
      </c>
      <c r="T36" s="645">
        <f t="shared" ref="T36" si="93">2*C36*D36/1000000</f>
        <v>4.01</v>
      </c>
      <c r="U36" s="645">
        <f t="shared" ref="U36" si="94">0.006165*(F36^2*H36*(ROUND(C36/G36,0)+1)+I36^2*K36*(ROUND(C36/J36,0)+1))/1000</f>
        <v>62.883000000000003</v>
      </c>
      <c r="V36" s="645">
        <f t="shared" ref="V36" si="95">0.006165*M36^2*O36*(ROUND(C36/N36,0)+1)/1000*L36</f>
        <v>0</v>
      </c>
      <c r="W36" s="645">
        <f t="shared" ref="W36" si="96">0.006165*P36^2*R36*(ROUND(D36/Q36,0)+1)/1000</f>
        <v>26.69445</v>
      </c>
      <c r="Y36" s="640">
        <f t="shared" ref="Y36" si="97">T36/S36</f>
        <v>13.333333333333332</v>
      </c>
      <c r="Z36" s="640">
        <f t="shared" ref="Z36" si="98">SUM(U36:W36)/S36</f>
        <v>297.84688279301741</v>
      </c>
      <c r="AB36" s="655">
        <f t="shared" ref="AB36" si="99">T36/2</f>
        <v>2.0049999999999999</v>
      </c>
    </row>
    <row r="37" spans="1:28">
      <c r="A37" s="658">
        <f t="shared" si="89"/>
        <v>35</v>
      </c>
      <c r="B37" s="646" t="s">
        <v>2350</v>
      </c>
      <c r="C37" s="2152">
        <f>8800-4000</f>
        <v>4800</v>
      </c>
      <c r="D37" s="1831">
        <v>4500</v>
      </c>
      <c r="E37" s="657">
        <v>170</v>
      </c>
      <c r="F37" s="659">
        <v>10</v>
      </c>
      <c r="G37" s="658">
        <v>100</v>
      </c>
      <c r="H37" s="657">
        <f t="shared" si="90"/>
        <v>10600</v>
      </c>
      <c r="I37" s="659"/>
      <c r="J37" s="658">
        <v>100</v>
      </c>
      <c r="K37" s="657"/>
      <c r="L37" s="659">
        <v>6</v>
      </c>
      <c r="M37" s="900">
        <v>10</v>
      </c>
      <c r="N37" s="658">
        <v>100</v>
      </c>
      <c r="O37" s="657">
        <v>300</v>
      </c>
      <c r="P37" s="659">
        <v>13</v>
      </c>
      <c r="Q37" s="658">
        <v>100</v>
      </c>
      <c r="R37" s="657">
        <f>(C37+(4*40+0*50)*P37)*2</f>
        <v>13760</v>
      </c>
      <c r="S37" s="656">
        <f t="shared" ref="S37" si="100">C37*D37*E37/1000000000</f>
        <v>3.6720000000000002</v>
      </c>
      <c r="T37" s="645">
        <f t="shared" ref="T37" si="101">2*C37*D37/1000000</f>
        <v>43.2</v>
      </c>
      <c r="U37" s="645">
        <f t="shared" ref="U37" si="102">0.006165*(F37^2*H37*(ROUND(C37/G37,0)+1)+I37^2*K37*(ROUND(C37/J37,0)+1))/1000</f>
        <v>320.21010000000001</v>
      </c>
      <c r="V37" s="645">
        <f t="shared" ref="V37" si="103">0.006165*M37^2*O37*(ROUND(C37/N37,0)+1)/1000*L37</f>
        <v>54.37530000000001</v>
      </c>
      <c r="W37" s="645">
        <f t="shared" ref="W37" si="104">0.006165*P37^2*R37*(ROUND(D37/Q37,0)+1)/1000</f>
        <v>659.47152960000005</v>
      </c>
      <c r="Y37" s="640">
        <f t="shared" ref="Y37" si="105">T37/S37</f>
        <v>11.764705882352942</v>
      </c>
      <c r="Z37" s="640">
        <f t="shared" ref="Z37" si="106">SUM(U37:W37)/S37</f>
        <v>281.60591764705885</v>
      </c>
      <c r="AB37" s="655">
        <f t="shared" ref="AB37" si="107">T37/2</f>
        <v>21.6</v>
      </c>
    </row>
    <row r="38" spans="1:28">
      <c r="A38" s="2254" t="s">
        <v>219</v>
      </c>
      <c r="B38" s="2255"/>
      <c r="C38" s="659"/>
      <c r="D38" s="1831"/>
      <c r="E38" s="657"/>
      <c r="F38" s="659"/>
      <c r="G38" s="658"/>
      <c r="H38" s="657"/>
      <c r="I38" s="659"/>
      <c r="J38" s="658"/>
      <c r="K38" s="657"/>
      <c r="L38" s="659"/>
      <c r="M38" s="900"/>
      <c r="N38" s="658"/>
      <c r="O38" s="657"/>
      <c r="P38" s="659"/>
      <c r="Q38" s="658"/>
      <c r="R38" s="657"/>
      <c r="S38" s="656"/>
      <c r="T38" s="645"/>
      <c r="U38" s="645"/>
      <c r="V38" s="645"/>
      <c r="W38" s="645"/>
      <c r="Y38" s="640"/>
      <c r="AB38" s="655"/>
    </row>
    <row r="39" spans="1:28">
      <c r="A39" s="658">
        <v>28</v>
      </c>
      <c r="B39" s="646" t="s">
        <v>2242</v>
      </c>
      <c r="C39" s="659">
        <v>6725</v>
      </c>
      <c r="D39" s="1831">
        <v>3500</v>
      </c>
      <c r="E39" s="2140">
        <v>100</v>
      </c>
      <c r="F39" s="659">
        <v>10</v>
      </c>
      <c r="G39" s="1997">
        <v>300</v>
      </c>
      <c r="H39" s="2140">
        <f>(D39+(2*40)*F39)</f>
        <v>4300</v>
      </c>
      <c r="I39" s="659"/>
      <c r="J39" s="658">
        <v>100</v>
      </c>
      <c r="K39" s="657"/>
      <c r="L39" s="659"/>
      <c r="M39" s="900"/>
      <c r="N39" s="658">
        <v>100</v>
      </c>
      <c r="O39" s="657"/>
      <c r="P39" s="659">
        <v>10</v>
      </c>
      <c r="Q39" s="1997">
        <v>300</v>
      </c>
      <c r="R39" s="2140">
        <f>(C39+(2*40+0*50)*P39)</f>
        <v>7525</v>
      </c>
      <c r="S39" s="656">
        <f t="shared" si="30"/>
        <v>2.3537499999999998</v>
      </c>
      <c r="T39" s="645">
        <f t="shared" si="31"/>
        <v>47.075000000000003</v>
      </c>
      <c r="U39" s="645">
        <f t="shared" si="32"/>
        <v>60.971850000000003</v>
      </c>
      <c r="V39" s="645">
        <f t="shared" si="33"/>
        <v>0</v>
      </c>
      <c r="W39" s="645">
        <f t="shared" si="34"/>
        <v>60.309112500000005</v>
      </c>
      <c r="Y39" s="640">
        <f t="shared" si="35"/>
        <v>20.000000000000004</v>
      </c>
      <c r="Z39" s="640">
        <f t="shared" si="36"/>
        <v>51.526696760488591</v>
      </c>
      <c r="AB39" s="655">
        <f t="shared" si="37"/>
        <v>23.537500000000001</v>
      </c>
    </row>
    <row r="40" spans="1:28">
      <c r="A40" s="658" t="s">
        <v>2236</v>
      </c>
      <c r="B40" s="646" t="s">
        <v>2235</v>
      </c>
      <c r="C40" s="659">
        <v>1100</v>
      </c>
      <c r="D40" s="1831">
        <v>5860</v>
      </c>
      <c r="E40" s="657">
        <v>150</v>
      </c>
      <c r="F40" s="659">
        <v>10</v>
      </c>
      <c r="G40" s="658">
        <v>200</v>
      </c>
      <c r="H40" s="657">
        <f t="shared" si="29"/>
        <v>13320</v>
      </c>
      <c r="I40" s="659"/>
      <c r="J40" s="658">
        <v>100</v>
      </c>
      <c r="K40" s="657"/>
      <c r="L40" s="659"/>
      <c r="M40" s="900"/>
      <c r="N40" s="658">
        <v>100</v>
      </c>
      <c r="O40" s="657"/>
      <c r="P40" s="659">
        <v>10</v>
      </c>
      <c r="Q40" s="658">
        <v>200</v>
      </c>
      <c r="R40" s="657">
        <f t="shared" si="76"/>
        <v>3800</v>
      </c>
      <c r="S40" s="656">
        <f t="shared" si="30"/>
        <v>0.96689999999999998</v>
      </c>
      <c r="T40" s="645">
        <f t="shared" si="31"/>
        <v>12.891999999999999</v>
      </c>
      <c r="U40" s="645">
        <f t="shared" si="32"/>
        <v>57.482460000000003</v>
      </c>
      <c r="V40" s="645">
        <f t="shared" si="33"/>
        <v>0</v>
      </c>
      <c r="W40" s="645">
        <f t="shared" si="34"/>
        <v>70.28100000000002</v>
      </c>
      <c r="Y40" s="640">
        <f t="shared" si="35"/>
        <v>13.333333333333332</v>
      </c>
      <c r="Z40" s="640">
        <f t="shared" si="36"/>
        <v>132.13720136518774</v>
      </c>
      <c r="AB40" s="655">
        <f t="shared" si="37"/>
        <v>6.4459999999999997</v>
      </c>
    </row>
    <row r="41" spans="1:28">
      <c r="A41" s="658" t="s">
        <v>2237</v>
      </c>
      <c r="B41" s="646" t="s">
        <v>2235</v>
      </c>
      <c r="C41" s="659">
        <v>1100</v>
      </c>
      <c r="D41" s="1831">
        <v>5860</v>
      </c>
      <c r="E41" s="657">
        <v>150</v>
      </c>
      <c r="F41" s="659">
        <v>10</v>
      </c>
      <c r="G41" s="658">
        <v>200</v>
      </c>
      <c r="H41" s="657">
        <f t="shared" si="29"/>
        <v>13320</v>
      </c>
      <c r="I41" s="659"/>
      <c r="J41" s="658">
        <v>100</v>
      </c>
      <c r="K41" s="657"/>
      <c r="L41" s="659"/>
      <c r="M41" s="900"/>
      <c r="N41" s="658">
        <v>100</v>
      </c>
      <c r="O41" s="657"/>
      <c r="P41" s="659">
        <v>10</v>
      </c>
      <c r="Q41" s="658">
        <v>200</v>
      </c>
      <c r="R41" s="657">
        <f t="shared" si="76"/>
        <v>3800</v>
      </c>
      <c r="S41" s="656">
        <f t="shared" si="30"/>
        <v>0.96689999999999998</v>
      </c>
      <c r="T41" s="645">
        <f t="shared" si="31"/>
        <v>12.891999999999999</v>
      </c>
      <c r="U41" s="645">
        <f t="shared" si="32"/>
        <v>57.482460000000003</v>
      </c>
      <c r="V41" s="645">
        <f t="shared" si="33"/>
        <v>0</v>
      </c>
      <c r="W41" s="645">
        <f t="shared" si="34"/>
        <v>70.28100000000002</v>
      </c>
      <c r="Y41" s="640">
        <f t="shared" si="35"/>
        <v>13.333333333333332</v>
      </c>
      <c r="Z41" s="640">
        <f t="shared" si="36"/>
        <v>132.13720136518774</v>
      </c>
      <c r="AB41" s="655">
        <f t="shared" si="37"/>
        <v>6.4459999999999997</v>
      </c>
    </row>
    <row r="42" spans="1:28">
      <c r="A42" s="658" t="s">
        <v>2238</v>
      </c>
      <c r="B42" s="646" t="s">
        <v>2235</v>
      </c>
      <c r="C42" s="659">
        <v>1100</v>
      </c>
      <c r="D42" s="1831">
        <v>5860</v>
      </c>
      <c r="E42" s="657">
        <v>150</v>
      </c>
      <c r="F42" s="659">
        <v>10</v>
      </c>
      <c r="G42" s="658">
        <v>200</v>
      </c>
      <c r="H42" s="657">
        <f t="shared" si="29"/>
        <v>13320</v>
      </c>
      <c r="I42" s="659"/>
      <c r="J42" s="658">
        <v>100</v>
      </c>
      <c r="K42" s="657"/>
      <c r="L42" s="659"/>
      <c r="M42" s="900"/>
      <c r="N42" s="658">
        <v>100</v>
      </c>
      <c r="O42" s="657"/>
      <c r="P42" s="659">
        <v>10</v>
      </c>
      <c r="Q42" s="658">
        <v>200</v>
      </c>
      <c r="R42" s="657">
        <f t="shared" si="76"/>
        <v>3800</v>
      </c>
      <c r="S42" s="656">
        <f t="shared" si="30"/>
        <v>0.96689999999999998</v>
      </c>
      <c r="T42" s="645">
        <f t="shared" si="31"/>
        <v>12.891999999999999</v>
      </c>
      <c r="U42" s="645">
        <f t="shared" si="32"/>
        <v>57.482460000000003</v>
      </c>
      <c r="V42" s="645">
        <f t="shared" si="33"/>
        <v>0</v>
      </c>
      <c r="W42" s="645">
        <f t="shared" si="34"/>
        <v>70.28100000000002</v>
      </c>
      <c r="Y42" s="640">
        <f t="shared" si="35"/>
        <v>13.333333333333332</v>
      </c>
      <c r="Z42" s="640">
        <f t="shared" si="36"/>
        <v>132.13720136518774</v>
      </c>
      <c r="AB42" s="655">
        <f t="shared" si="37"/>
        <v>6.4459999999999997</v>
      </c>
    </row>
    <row r="43" spans="1:28">
      <c r="A43" s="658" t="s">
        <v>2239</v>
      </c>
      <c r="B43" s="646" t="s">
        <v>2235</v>
      </c>
      <c r="C43" s="659">
        <v>1100</v>
      </c>
      <c r="D43" s="1831">
        <v>5860</v>
      </c>
      <c r="E43" s="657">
        <v>150</v>
      </c>
      <c r="F43" s="659">
        <v>10</v>
      </c>
      <c r="G43" s="658">
        <v>200</v>
      </c>
      <c r="H43" s="657">
        <f t="shared" si="29"/>
        <v>13320</v>
      </c>
      <c r="I43" s="659"/>
      <c r="J43" s="658">
        <v>100</v>
      </c>
      <c r="K43" s="657"/>
      <c r="L43" s="659"/>
      <c r="M43" s="900"/>
      <c r="N43" s="658">
        <v>100</v>
      </c>
      <c r="O43" s="657"/>
      <c r="P43" s="659">
        <v>10</v>
      </c>
      <c r="Q43" s="658">
        <v>200</v>
      </c>
      <c r="R43" s="657">
        <f t="shared" si="76"/>
        <v>3800</v>
      </c>
      <c r="S43" s="656">
        <f t="shared" si="30"/>
        <v>0.96689999999999998</v>
      </c>
      <c r="T43" s="645">
        <f t="shared" si="31"/>
        <v>12.891999999999999</v>
      </c>
      <c r="U43" s="645">
        <f t="shared" si="32"/>
        <v>57.482460000000003</v>
      </c>
      <c r="V43" s="645">
        <f t="shared" si="33"/>
        <v>0</v>
      </c>
      <c r="W43" s="645">
        <f t="shared" si="34"/>
        <v>70.28100000000002</v>
      </c>
      <c r="Y43" s="640">
        <f t="shared" si="35"/>
        <v>13.333333333333332</v>
      </c>
      <c r="Z43" s="640">
        <f t="shared" si="36"/>
        <v>132.13720136518774</v>
      </c>
      <c r="AB43" s="655">
        <f t="shared" si="37"/>
        <v>6.4459999999999997</v>
      </c>
    </row>
    <row r="44" spans="1:28">
      <c r="A44" s="658" t="s">
        <v>2240</v>
      </c>
      <c r="B44" s="646" t="s">
        <v>2235</v>
      </c>
      <c r="C44" s="659">
        <v>1100</v>
      </c>
      <c r="D44" s="1831">
        <v>5860</v>
      </c>
      <c r="E44" s="657">
        <v>150</v>
      </c>
      <c r="F44" s="659">
        <v>10</v>
      </c>
      <c r="G44" s="658">
        <v>200</v>
      </c>
      <c r="H44" s="657">
        <f t="shared" si="29"/>
        <v>13320</v>
      </c>
      <c r="I44" s="659"/>
      <c r="J44" s="658">
        <v>100</v>
      </c>
      <c r="K44" s="657"/>
      <c r="L44" s="659"/>
      <c r="M44" s="900"/>
      <c r="N44" s="658">
        <v>100</v>
      </c>
      <c r="O44" s="657"/>
      <c r="P44" s="659">
        <v>10</v>
      </c>
      <c r="Q44" s="658">
        <v>200</v>
      </c>
      <c r="R44" s="657">
        <f t="shared" si="76"/>
        <v>3800</v>
      </c>
      <c r="S44" s="656">
        <f t="shared" si="30"/>
        <v>0.96689999999999998</v>
      </c>
      <c r="T44" s="645">
        <f t="shared" si="31"/>
        <v>12.891999999999999</v>
      </c>
      <c r="U44" s="645">
        <f t="shared" si="32"/>
        <v>57.482460000000003</v>
      </c>
      <c r="V44" s="645">
        <f t="shared" si="33"/>
        <v>0</v>
      </c>
      <c r="W44" s="645">
        <f t="shared" si="34"/>
        <v>70.28100000000002</v>
      </c>
      <c r="Y44" s="640">
        <f t="shared" si="35"/>
        <v>13.333333333333332</v>
      </c>
      <c r="Z44" s="640">
        <f t="shared" si="36"/>
        <v>132.13720136518774</v>
      </c>
      <c r="AB44" s="655">
        <f t="shared" si="37"/>
        <v>6.4459999999999997</v>
      </c>
    </row>
    <row r="45" spans="1:28">
      <c r="A45" s="658">
        <v>29</v>
      </c>
      <c r="B45" s="646" t="s">
        <v>2283</v>
      </c>
      <c r="C45" s="659">
        <v>1775</v>
      </c>
      <c r="D45" s="1831">
        <v>200</v>
      </c>
      <c r="E45" s="657">
        <v>150</v>
      </c>
      <c r="F45" s="659">
        <v>10</v>
      </c>
      <c r="G45" s="658">
        <v>200</v>
      </c>
      <c r="H45" s="657">
        <f t="shared" si="29"/>
        <v>2000</v>
      </c>
      <c r="I45" s="659"/>
      <c r="J45" s="658">
        <v>100</v>
      </c>
      <c r="K45" s="657"/>
      <c r="L45" s="659"/>
      <c r="M45" s="900"/>
      <c r="N45" s="658">
        <v>100</v>
      </c>
      <c r="O45" s="657"/>
      <c r="P45" s="659">
        <v>10</v>
      </c>
      <c r="Q45" s="658">
        <v>200</v>
      </c>
      <c r="R45" s="657">
        <f t="shared" si="76"/>
        <v>5150</v>
      </c>
      <c r="S45" s="656">
        <f t="shared" si="30"/>
        <v>5.3249999999999999E-2</v>
      </c>
      <c r="T45" s="645">
        <f t="shared" si="31"/>
        <v>0.71</v>
      </c>
      <c r="U45" s="645">
        <f t="shared" si="32"/>
        <v>12.33</v>
      </c>
      <c r="V45" s="645">
        <f t="shared" si="33"/>
        <v>0</v>
      </c>
      <c r="W45" s="645">
        <f t="shared" si="34"/>
        <v>6.3499500000000006</v>
      </c>
      <c r="Y45" s="640">
        <f t="shared" si="35"/>
        <v>13.333333333333332</v>
      </c>
      <c r="Z45" s="640">
        <f t="shared" si="36"/>
        <v>350.79718309859157</v>
      </c>
      <c r="AB45" s="655">
        <f t="shared" si="37"/>
        <v>0.35499999999999998</v>
      </c>
    </row>
    <row r="46" spans="1:28">
      <c r="A46" s="658">
        <f t="shared" ref="A46:A47" si="108">A45+1</f>
        <v>30</v>
      </c>
      <c r="B46" s="646" t="s">
        <v>2283</v>
      </c>
      <c r="C46" s="659">
        <v>2375</v>
      </c>
      <c r="D46" s="1831">
        <v>200</v>
      </c>
      <c r="E46" s="657">
        <v>150</v>
      </c>
      <c r="F46" s="659">
        <v>10</v>
      </c>
      <c r="G46" s="658">
        <v>200</v>
      </c>
      <c r="H46" s="657">
        <f t="shared" si="29"/>
        <v>2000</v>
      </c>
      <c r="I46" s="659"/>
      <c r="J46" s="658">
        <v>100</v>
      </c>
      <c r="K46" s="657"/>
      <c r="L46" s="659"/>
      <c r="M46" s="900"/>
      <c r="N46" s="658">
        <v>100</v>
      </c>
      <c r="O46" s="657"/>
      <c r="P46" s="659">
        <v>10</v>
      </c>
      <c r="Q46" s="658">
        <v>200</v>
      </c>
      <c r="R46" s="657">
        <f t="shared" si="76"/>
        <v>6350</v>
      </c>
      <c r="S46" s="656">
        <f t="shared" si="30"/>
        <v>7.1249999999999994E-2</v>
      </c>
      <c r="T46" s="645">
        <f t="shared" si="31"/>
        <v>0.95</v>
      </c>
      <c r="U46" s="645">
        <f t="shared" si="32"/>
        <v>16.029</v>
      </c>
      <c r="V46" s="645">
        <f t="shared" si="33"/>
        <v>0</v>
      </c>
      <c r="W46" s="645">
        <f t="shared" si="34"/>
        <v>7.8295500000000002</v>
      </c>
      <c r="Y46" s="640">
        <f t="shared" si="35"/>
        <v>13.333333333333334</v>
      </c>
      <c r="Z46" s="640">
        <f t="shared" si="36"/>
        <v>334.85684210526318</v>
      </c>
      <c r="AB46" s="655">
        <f t="shared" si="37"/>
        <v>0.47499999999999998</v>
      </c>
    </row>
    <row r="47" spans="1:28">
      <c r="A47" s="658">
        <f t="shared" si="108"/>
        <v>31</v>
      </c>
      <c r="B47" s="646" t="s">
        <v>2283</v>
      </c>
      <c r="C47" s="659">
        <v>1325</v>
      </c>
      <c r="D47" s="1831">
        <v>200</v>
      </c>
      <c r="E47" s="657">
        <v>150</v>
      </c>
      <c r="F47" s="659">
        <v>10</v>
      </c>
      <c r="G47" s="658">
        <v>200</v>
      </c>
      <c r="H47" s="657">
        <f t="shared" si="29"/>
        <v>2000</v>
      </c>
      <c r="I47" s="659"/>
      <c r="J47" s="658">
        <v>100</v>
      </c>
      <c r="K47" s="657"/>
      <c r="L47" s="659"/>
      <c r="M47" s="900"/>
      <c r="N47" s="658">
        <v>100</v>
      </c>
      <c r="O47" s="657"/>
      <c r="P47" s="659">
        <v>10</v>
      </c>
      <c r="Q47" s="658">
        <v>200</v>
      </c>
      <c r="R47" s="657">
        <f t="shared" si="76"/>
        <v>4250</v>
      </c>
      <c r="S47" s="656">
        <f t="shared" si="30"/>
        <v>3.9750000000000001E-2</v>
      </c>
      <c r="T47" s="645">
        <f t="shared" si="31"/>
        <v>0.53</v>
      </c>
      <c r="U47" s="645">
        <f t="shared" si="32"/>
        <v>9.8640000000000008</v>
      </c>
      <c r="V47" s="645">
        <f t="shared" si="33"/>
        <v>0</v>
      </c>
      <c r="W47" s="645">
        <f t="shared" si="34"/>
        <v>5.2402499999999996</v>
      </c>
      <c r="Y47" s="640">
        <f t="shared" si="35"/>
        <v>13.333333333333334</v>
      </c>
      <c r="Z47" s="640">
        <f t="shared" si="36"/>
        <v>379.98113207547169</v>
      </c>
      <c r="AB47" s="655">
        <f t="shared" si="37"/>
        <v>0.26500000000000001</v>
      </c>
    </row>
    <row r="48" spans="1:28">
      <c r="A48" s="658">
        <f t="shared" ref="A48:A49" si="109">A47+1</f>
        <v>32</v>
      </c>
      <c r="B48" s="646" t="s">
        <v>2283</v>
      </c>
      <c r="C48" s="659">
        <v>3775</v>
      </c>
      <c r="D48" s="1831">
        <v>200</v>
      </c>
      <c r="E48" s="657">
        <v>150</v>
      </c>
      <c r="F48" s="659">
        <v>10</v>
      </c>
      <c r="G48" s="658">
        <v>200</v>
      </c>
      <c r="H48" s="657">
        <f t="shared" ref="H48:H49" si="110">(D48+(2*40)*F48)*2</f>
        <v>2000</v>
      </c>
      <c r="I48" s="659"/>
      <c r="J48" s="658">
        <v>100</v>
      </c>
      <c r="K48" s="657"/>
      <c r="L48" s="659"/>
      <c r="M48" s="900"/>
      <c r="N48" s="658">
        <v>100</v>
      </c>
      <c r="O48" s="657"/>
      <c r="P48" s="659">
        <v>10</v>
      </c>
      <c r="Q48" s="658">
        <v>200</v>
      </c>
      <c r="R48" s="657">
        <f t="shared" ref="R48" si="111">(C48+(2*40+0*50)*P48)*2</f>
        <v>9150</v>
      </c>
      <c r="S48" s="656">
        <f t="shared" ref="S48:S49" si="112">C48*D48*E48/1000000000</f>
        <v>0.11325</v>
      </c>
      <c r="T48" s="645">
        <f t="shared" ref="T48:T49" si="113">2*C48*D48/1000000</f>
        <v>1.51</v>
      </c>
      <c r="U48" s="645">
        <f t="shared" ref="U48:U49" si="114">0.006165*(F48^2*H48*(ROUND(C48/G48,0)+1)+I48^2*K48*(ROUND(C48/J48,0)+1))/1000</f>
        <v>24.66</v>
      </c>
      <c r="V48" s="645">
        <f t="shared" ref="V48:V49" si="115">0.006165*M48^2*O48*(ROUND(C48/N48,0)+1)/1000*L48</f>
        <v>0</v>
      </c>
      <c r="W48" s="645">
        <f t="shared" ref="W48:W49" si="116">0.006165*P48^2*R48*(ROUND(D48/Q48,0)+1)/1000</f>
        <v>11.28195</v>
      </c>
      <c r="Y48" s="640">
        <f t="shared" ref="Y48:Y49" si="117">T48/S48</f>
        <v>13.333333333333332</v>
      </c>
      <c r="Z48" s="640">
        <f t="shared" ref="Z48:Z49" si="118">SUM(U48:W48)/S48</f>
        <v>317.3682119205298</v>
      </c>
      <c r="AB48" s="655">
        <f t="shared" ref="AB48:AB49" si="119">T48/2</f>
        <v>0.755</v>
      </c>
    </row>
    <row r="49" spans="1:28">
      <c r="A49" s="658">
        <f t="shared" si="109"/>
        <v>33</v>
      </c>
      <c r="B49" s="646" t="s">
        <v>2349</v>
      </c>
      <c r="C49" s="2152">
        <f>8800-4000</f>
        <v>4800</v>
      </c>
      <c r="D49" s="2153">
        <v>4500</v>
      </c>
      <c r="E49" s="657">
        <v>170</v>
      </c>
      <c r="F49" s="659">
        <v>10</v>
      </c>
      <c r="G49" s="658">
        <v>100</v>
      </c>
      <c r="H49" s="657">
        <f t="shared" si="110"/>
        <v>10600</v>
      </c>
      <c r="I49" s="659"/>
      <c r="J49" s="658">
        <v>100</v>
      </c>
      <c r="K49" s="657"/>
      <c r="L49" s="659">
        <v>6</v>
      </c>
      <c r="M49" s="900">
        <v>10</v>
      </c>
      <c r="N49" s="658">
        <v>100</v>
      </c>
      <c r="O49" s="657">
        <v>300</v>
      </c>
      <c r="P49" s="659">
        <v>13</v>
      </c>
      <c r="Q49" s="658">
        <v>100</v>
      </c>
      <c r="R49" s="657">
        <f>(C49+(4*40+0*50)*P49)*2</f>
        <v>13760</v>
      </c>
      <c r="S49" s="656">
        <f t="shared" si="112"/>
        <v>3.6720000000000002</v>
      </c>
      <c r="T49" s="645">
        <f t="shared" si="113"/>
        <v>43.2</v>
      </c>
      <c r="U49" s="645">
        <f t="shared" si="114"/>
        <v>320.21010000000001</v>
      </c>
      <c r="V49" s="645">
        <f t="shared" si="115"/>
        <v>54.37530000000001</v>
      </c>
      <c r="W49" s="645">
        <f t="shared" si="116"/>
        <v>659.47152960000005</v>
      </c>
      <c r="Y49" s="640">
        <f t="shared" si="117"/>
        <v>11.764705882352942</v>
      </c>
      <c r="Z49" s="640">
        <f t="shared" si="118"/>
        <v>281.60591764705885</v>
      </c>
      <c r="AB49" s="655">
        <f t="shared" si="119"/>
        <v>21.6</v>
      </c>
    </row>
    <row r="50" spans="1:28">
      <c r="A50" s="2254" t="s">
        <v>137</v>
      </c>
      <c r="B50" s="2255"/>
      <c r="C50" s="659"/>
      <c r="D50" s="1831"/>
      <c r="E50" s="657"/>
      <c r="F50" s="659"/>
      <c r="G50" s="658"/>
      <c r="H50" s="657"/>
      <c r="I50" s="659"/>
      <c r="J50" s="658"/>
      <c r="K50" s="657"/>
      <c r="L50" s="659"/>
      <c r="M50" s="900"/>
      <c r="N50" s="658"/>
      <c r="O50" s="657"/>
      <c r="P50" s="659"/>
      <c r="Q50" s="658"/>
      <c r="R50" s="657"/>
      <c r="S50" s="656"/>
      <c r="T50" s="645"/>
      <c r="U50" s="645"/>
      <c r="V50" s="645"/>
      <c r="W50" s="645"/>
      <c r="Y50" s="640"/>
      <c r="AB50" s="655"/>
    </row>
    <row r="51" spans="1:28">
      <c r="A51" s="658">
        <v>1</v>
      </c>
      <c r="B51" s="646" t="s">
        <v>2282</v>
      </c>
      <c r="C51" s="659">
        <v>19925</v>
      </c>
      <c r="D51" s="1831">
        <v>200</v>
      </c>
      <c r="E51" s="657">
        <v>150</v>
      </c>
      <c r="F51" s="659">
        <v>10</v>
      </c>
      <c r="G51" s="658">
        <v>200</v>
      </c>
      <c r="H51" s="657">
        <f t="shared" si="29"/>
        <v>2000</v>
      </c>
      <c r="I51" s="659"/>
      <c r="J51" s="658">
        <v>100</v>
      </c>
      <c r="K51" s="657"/>
      <c r="L51" s="659"/>
      <c r="M51" s="900"/>
      <c r="N51" s="658">
        <v>100</v>
      </c>
      <c r="O51" s="657"/>
      <c r="P51" s="659">
        <v>10</v>
      </c>
      <c r="Q51" s="658">
        <v>200</v>
      </c>
      <c r="R51" s="657">
        <f t="shared" si="76"/>
        <v>41450</v>
      </c>
      <c r="S51" s="656">
        <f t="shared" si="30"/>
        <v>0.59775</v>
      </c>
      <c r="T51" s="645">
        <f t="shared" si="31"/>
        <v>7.97</v>
      </c>
      <c r="U51" s="645">
        <f t="shared" si="32"/>
        <v>124.533</v>
      </c>
      <c r="V51" s="645">
        <f t="shared" si="33"/>
        <v>0</v>
      </c>
      <c r="W51" s="645">
        <f t="shared" si="34"/>
        <v>51.107850000000006</v>
      </c>
      <c r="Y51" s="640">
        <f t="shared" si="35"/>
        <v>13.333333333333332</v>
      </c>
      <c r="Z51" s="640">
        <f t="shared" si="36"/>
        <v>293.8366373902133</v>
      </c>
      <c r="AB51" s="655">
        <f t="shared" si="37"/>
        <v>3.9849999999999999</v>
      </c>
    </row>
    <row r="52" spans="1:28">
      <c r="A52" s="658">
        <f t="shared" si="11"/>
        <v>2</v>
      </c>
      <c r="B52" s="646" t="s">
        <v>2282</v>
      </c>
      <c r="C52" s="659">
        <v>21280</v>
      </c>
      <c r="D52" s="1831">
        <v>200</v>
      </c>
      <c r="E52" s="657">
        <v>150</v>
      </c>
      <c r="F52" s="659">
        <v>10</v>
      </c>
      <c r="G52" s="658">
        <v>200</v>
      </c>
      <c r="H52" s="657">
        <f t="shared" si="29"/>
        <v>2000</v>
      </c>
      <c r="I52" s="659"/>
      <c r="J52" s="658">
        <v>100</v>
      </c>
      <c r="K52" s="657"/>
      <c r="L52" s="659"/>
      <c r="M52" s="900"/>
      <c r="N52" s="658">
        <v>100</v>
      </c>
      <c r="O52" s="657"/>
      <c r="P52" s="659">
        <v>10</v>
      </c>
      <c r="Q52" s="658">
        <v>200</v>
      </c>
      <c r="R52" s="657">
        <f t="shared" si="76"/>
        <v>44160</v>
      </c>
      <c r="S52" s="656">
        <f t="shared" si="30"/>
        <v>0.63839999999999997</v>
      </c>
      <c r="T52" s="645">
        <f t="shared" si="31"/>
        <v>8.5120000000000005</v>
      </c>
      <c r="U52" s="645">
        <f t="shared" si="32"/>
        <v>131.93100000000001</v>
      </c>
      <c r="V52" s="645">
        <f t="shared" si="33"/>
        <v>0</v>
      </c>
      <c r="W52" s="645">
        <f t="shared" si="34"/>
        <v>54.449280000000009</v>
      </c>
      <c r="Y52" s="640">
        <f t="shared" si="35"/>
        <v>13.333333333333334</v>
      </c>
      <c r="Z52" s="640">
        <f t="shared" si="36"/>
        <v>291.949060150376</v>
      </c>
      <c r="AB52" s="655">
        <f t="shared" si="37"/>
        <v>4.2560000000000002</v>
      </c>
    </row>
    <row r="53" spans="1:28">
      <c r="A53" s="2254" t="s">
        <v>2336</v>
      </c>
      <c r="B53" s="2255"/>
      <c r="C53" s="659"/>
      <c r="D53" s="1831"/>
      <c r="E53" s="657"/>
      <c r="F53" s="659"/>
      <c r="G53" s="658"/>
      <c r="H53" s="657"/>
      <c r="I53" s="659"/>
      <c r="J53" s="658"/>
      <c r="K53" s="657"/>
      <c r="L53" s="659"/>
      <c r="M53" s="900"/>
      <c r="N53" s="658"/>
      <c r="O53" s="657"/>
      <c r="P53" s="659"/>
      <c r="Q53" s="658"/>
      <c r="R53" s="657"/>
      <c r="S53" s="656"/>
      <c r="T53" s="645"/>
      <c r="U53" s="645"/>
      <c r="V53" s="645"/>
      <c r="W53" s="645"/>
      <c r="Y53" s="640"/>
      <c r="AB53" s="655"/>
    </row>
    <row r="54" spans="1:28">
      <c r="A54" s="658">
        <v>1</v>
      </c>
      <c r="B54" s="646" t="s">
        <v>2336</v>
      </c>
      <c r="C54" s="659">
        <v>1310</v>
      </c>
      <c r="D54" s="1831">
        <v>400</v>
      </c>
      <c r="E54" s="657">
        <v>300</v>
      </c>
      <c r="F54" s="659">
        <v>10</v>
      </c>
      <c r="G54" s="658">
        <v>200</v>
      </c>
      <c r="H54" s="657">
        <f t="shared" si="29"/>
        <v>2400</v>
      </c>
      <c r="I54" s="659"/>
      <c r="J54" s="658">
        <v>100</v>
      </c>
      <c r="K54" s="657"/>
      <c r="L54" s="659">
        <f>ROUND(D54/100-2,0)</f>
        <v>2</v>
      </c>
      <c r="M54" s="900">
        <v>10</v>
      </c>
      <c r="N54" s="658">
        <v>100</v>
      </c>
      <c r="O54" s="657">
        <f>E54</f>
        <v>300</v>
      </c>
      <c r="P54" s="659">
        <v>10</v>
      </c>
      <c r="Q54" s="658">
        <v>100</v>
      </c>
      <c r="R54" s="657">
        <f t="shared" si="76"/>
        <v>4220</v>
      </c>
      <c r="S54" s="656">
        <f t="shared" si="30"/>
        <v>0.15720000000000001</v>
      </c>
      <c r="T54" s="645">
        <f t="shared" si="31"/>
        <v>1.048</v>
      </c>
      <c r="U54" s="645">
        <f t="shared" si="32"/>
        <v>11.8368</v>
      </c>
      <c r="V54" s="645">
        <f>0.006165*M54^2*O54*(ROUND(C54/N54,0)+1)/1000*L54</f>
        <v>5.1786000000000003</v>
      </c>
      <c r="W54" s="645">
        <f t="shared" si="34"/>
        <v>13.008150000000002</v>
      </c>
      <c r="Y54" s="640">
        <f t="shared" si="35"/>
        <v>6.666666666666667</v>
      </c>
      <c r="Z54" s="640">
        <f t="shared" si="36"/>
        <v>190.9895038167939</v>
      </c>
      <c r="AB54" s="655">
        <f t="shared" si="37"/>
        <v>0.52400000000000002</v>
      </c>
    </row>
    <row r="55" spans="1:28">
      <c r="A55" s="658">
        <f t="shared" si="11"/>
        <v>2</v>
      </c>
      <c r="B55" s="646" t="s">
        <v>2336</v>
      </c>
      <c r="C55" s="659">
        <v>650</v>
      </c>
      <c r="D55" s="1831">
        <v>500</v>
      </c>
      <c r="E55" s="657">
        <v>200</v>
      </c>
      <c r="F55" s="659">
        <v>10</v>
      </c>
      <c r="G55" s="658">
        <v>200</v>
      </c>
      <c r="H55" s="657">
        <f t="shared" si="29"/>
        <v>2600</v>
      </c>
      <c r="I55" s="659"/>
      <c r="J55" s="658">
        <v>100</v>
      </c>
      <c r="K55" s="657"/>
      <c r="L55" s="659">
        <f t="shared" ref="L55:L118" si="120">ROUND(D55/100-2,0)</f>
        <v>3</v>
      </c>
      <c r="M55" s="900">
        <v>10</v>
      </c>
      <c r="N55" s="658">
        <v>100</v>
      </c>
      <c r="O55" s="657">
        <f t="shared" ref="O55:O118" si="121">E55</f>
        <v>200</v>
      </c>
      <c r="P55" s="659">
        <v>10</v>
      </c>
      <c r="Q55" s="658">
        <v>100</v>
      </c>
      <c r="R55" s="657">
        <f t="shared" si="76"/>
        <v>2900</v>
      </c>
      <c r="S55" s="656">
        <f t="shared" si="30"/>
        <v>6.5000000000000002E-2</v>
      </c>
      <c r="T55" s="645">
        <f t="shared" si="31"/>
        <v>0.65</v>
      </c>
      <c r="U55" s="645">
        <f t="shared" si="32"/>
        <v>6.4116</v>
      </c>
      <c r="V55" s="645">
        <f t="shared" si="33"/>
        <v>2.9592000000000001</v>
      </c>
      <c r="W55" s="645">
        <f t="shared" si="34"/>
        <v>10.7271</v>
      </c>
      <c r="Y55" s="640">
        <f t="shared" si="35"/>
        <v>10</v>
      </c>
      <c r="Z55" s="640">
        <f t="shared" si="36"/>
        <v>309.19846153846152</v>
      </c>
      <c r="AB55" s="655">
        <f t="shared" si="37"/>
        <v>0.32500000000000001</v>
      </c>
    </row>
    <row r="56" spans="1:28">
      <c r="A56" s="1997">
        <f t="shared" si="11"/>
        <v>3</v>
      </c>
      <c r="B56" s="646" t="s">
        <v>2336</v>
      </c>
      <c r="C56" s="659"/>
      <c r="D56" s="1831"/>
      <c r="E56" s="657"/>
      <c r="F56" s="659"/>
      <c r="G56" s="658"/>
      <c r="H56" s="657"/>
      <c r="I56" s="659"/>
      <c r="J56" s="658"/>
      <c r="K56" s="657"/>
      <c r="L56" s="659"/>
      <c r="M56" s="900"/>
      <c r="N56" s="658"/>
      <c r="O56" s="657"/>
      <c r="P56" s="659"/>
      <c r="Q56" s="658"/>
      <c r="R56" s="657"/>
      <c r="S56" s="656"/>
      <c r="T56" s="645"/>
      <c r="U56" s="645"/>
      <c r="V56" s="645"/>
      <c r="W56" s="645"/>
      <c r="Y56" s="640"/>
      <c r="AB56" s="655"/>
    </row>
    <row r="57" spans="1:28">
      <c r="A57" s="1997">
        <f t="shared" si="11"/>
        <v>4</v>
      </c>
      <c r="B57" s="646" t="s">
        <v>2336</v>
      </c>
      <c r="C57" s="659"/>
      <c r="D57" s="1831"/>
      <c r="E57" s="657"/>
      <c r="F57" s="659"/>
      <c r="G57" s="658"/>
      <c r="H57" s="657"/>
      <c r="I57" s="659"/>
      <c r="J57" s="658"/>
      <c r="K57" s="657"/>
      <c r="L57" s="659"/>
      <c r="M57" s="900"/>
      <c r="N57" s="658"/>
      <c r="O57" s="657"/>
      <c r="P57" s="659"/>
      <c r="Q57" s="658"/>
      <c r="R57" s="657"/>
      <c r="S57" s="656"/>
      <c r="T57" s="645"/>
      <c r="U57" s="645"/>
      <c r="V57" s="645"/>
      <c r="W57" s="645"/>
      <c r="Y57" s="640"/>
      <c r="AB57" s="655"/>
    </row>
    <row r="58" spans="1:28">
      <c r="A58" s="1997">
        <f t="shared" si="11"/>
        <v>5</v>
      </c>
      <c r="B58" s="646" t="s">
        <v>2336</v>
      </c>
      <c r="C58" s="659"/>
      <c r="D58" s="1831"/>
      <c r="E58" s="657"/>
      <c r="F58" s="659"/>
      <c r="G58" s="658"/>
      <c r="H58" s="657"/>
      <c r="I58" s="659"/>
      <c r="J58" s="658"/>
      <c r="K58" s="657"/>
      <c r="L58" s="659"/>
      <c r="M58" s="900"/>
      <c r="N58" s="658"/>
      <c r="O58" s="657"/>
      <c r="P58" s="659"/>
      <c r="Q58" s="658"/>
      <c r="R58" s="657"/>
      <c r="S58" s="656"/>
      <c r="T58" s="645"/>
      <c r="U58" s="645"/>
      <c r="V58" s="645"/>
      <c r="W58" s="645"/>
      <c r="Y58" s="640"/>
      <c r="AB58" s="655"/>
    </row>
    <row r="59" spans="1:28">
      <c r="A59" s="1997">
        <f t="shared" si="11"/>
        <v>6</v>
      </c>
      <c r="B59" s="646" t="s">
        <v>2336</v>
      </c>
      <c r="C59" s="659"/>
      <c r="D59" s="1831"/>
      <c r="E59" s="657"/>
      <c r="F59" s="659"/>
      <c r="G59" s="658"/>
      <c r="H59" s="657"/>
      <c r="I59" s="659"/>
      <c r="J59" s="658"/>
      <c r="K59" s="657"/>
      <c r="L59" s="659"/>
      <c r="M59" s="900"/>
      <c r="N59" s="658"/>
      <c r="O59" s="657"/>
      <c r="P59" s="659"/>
      <c r="Q59" s="658"/>
      <c r="R59" s="657"/>
      <c r="S59" s="656"/>
      <c r="T59" s="645"/>
      <c r="U59" s="645"/>
      <c r="V59" s="645"/>
      <c r="W59" s="645"/>
      <c r="Y59" s="640"/>
      <c r="AB59" s="655"/>
    </row>
    <row r="60" spans="1:28">
      <c r="A60" s="1997">
        <f t="shared" si="11"/>
        <v>7</v>
      </c>
      <c r="B60" s="646" t="s">
        <v>2336</v>
      </c>
      <c r="C60" s="659"/>
      <c r="D60" s="1831"/>
      <c r="E60" s="657"/>
      <c r="F60" s="659"/>
      <c r="G60" s="658"/>
      <c r="H60" s="657"/>
      <c r="I60" s="659"/>
      <c r="J60" s="658"/>
      <c r="K60" s="657"/>
      <c r="L60" s="659"/>
      <c r="M60" s="900"/>
      <c r="N60" s="658"/>
      <c r="O60" s="657"/>
      <c r="P60" s="659"/>
      <c r="Q60" s="658"/>
      <c r="R60" s="657"/>
      <c r="S60" s="656"/>
      <c r="T60" s="645"/>
      <c r="U60" s="645"/>
      <c r="V60" s="645"/>
      <c r="W60" s="645"/>
      <c r="Y60" s="640"/>
      <c r="AB60" s="655"/>
    </row>
    <row r="61" spans="1:28">
      <c r="A61" s="1997">
        <f t="shared" si="11"/>
        <v>8</v>
      </c>
      <c r="B61" s="646" t="s">
        <v>2336</v>
      </c>
      <c r="C61" s="659"/>
      <c r="D61" s="1831"/>
      <c r="E61" s="657"/>
      <c r="F61" s="659"/>
      <c r="G61" s="658"/>
      <c r="H61" s="657"/>
      <c r="I61" s="659"/>
      <c r="J61" s="658"/>
      <c r="K61" s="657"/>
      <c r="L61" s="659"/>
      <c r="M61" s="900"/>
      <c r="N61" s="658"/>
      <c r="O61" s="657"/>
      <c r="P61" s="659"/>
      <c r="Q61" s="658"/>
      <c r="R61" s="657"/>
      <c r="S61" s="656"/>
      <c r="T61" s="645"/>
      <c r="U61" s="645"/>
      <c r="V61" s="645"/>
      <c r="W61" s="645"/>
      <c r="Y61" s="640"/>
      <c r="AB61" s="655"/>
    </row>
    <row r="62" spans="1:28">
      <c r="A62" s="658">
        <f t="shared" si="11"/>
        <v>9</v>
      </c>
      <c r="B62" s="646" t="s">
        <v>2336</v>
      </c>
      <c r="C62" s="659">
        <v>225</v>
      </c>
      <c r="D62" s="1831">
        <v>1200</v>
      </c>
      <c r="E62" s="657">
        <v>200</v>
      </c>
      <c r="F62" s="659">
        <v>10</v>
      </c>
      <c r="G62" s="658">
        <v>200</v>
      </c>
      <c r="H62" s="657">
        <f t="shared" si="29"/>
        <v>4000</v>
      </c>
      <c r="I62" s="659"/>
      <c r="J62" s="658">
        <v>100</v>
      </c>
      <c r="K62" s="657"/>
      <c r="L62" s="659">
        <f t="shared" si="120"/>
        <v>10</v>
      </c>
      <c r="M62" s="900">
        <v>10</v>
      </c>
      <c r="N62" s="658">
        <v>100</v>
      </c>
      <c r="O62" s="657">
        <f t="shared" si="121"/>
        <v>200</v>
      </c>
      <c r="P62" s="659">
        <v>10</v>
      </c>
      <c r="Q62" s="658">
        <v>100</v>
      </c>
      <c r="R62" s="657">
        <f t="shared" si="76"/>
        <v>2050</v>
      </c>
      <c r="S62" s="656">
        <f t="shared" si="30"/>
        <v>5.3999999999999999E-2</v>
      </c>
      <c r="T62" s="645">
        <f t="shared" si="31"/>
        <v>0.54</v>
      </c>
      <c r="U62" s="645">
        <f t="shared" si="32"/>
        <v>4.9320000000000004</v>
      </c>
      <c r="V62" s="645">
        <f t="shared" si="33"/>
        <v>3.6989999999999998</v>
      </c>
      <c r="W62" s="645">
        <f t="shared" si="34"/>
        <v>16.429725000000001</v>
      </c>
      <c r="Y62" s="640">
        <f t="shared" si="35"/>
        <v>10</v>
      </c>
      <c r="Z62" s="640">
        <f t="shared" si="36"/>
        <v>464.08750000000003</v>
      </c>
      <c r="AB62" s="655">
        <f t="shared" si="37"/>
        <v>0.27</v>
      </c>
    </row>
    <row r="63" spans="1:28">
      <c r="A63" s="1997">
        <f t="shared" si="11"/>
        <v>10</v>
      </c>
      <c r="B63" s="646" t="s">
        <v>2336</v>
      </c>
      <c r="C63" s="659"/>
      <c r="D63" s="1831"/>
      <c r="E63" s="657"/>
      <c r="F63" s="659"/>
      <c r="G63" s="658"/>
      <c r="H63" s="657"/>
      <c r="I63" s="659"/>
      <c r="J63" s="658"/>
      <c r="K63" s="657"/>
      <c r="L63" s="659"/>
      <c r="M63" s="900"/>
      <c r="N63" s="658"/>
      <c r="O63" s="657"/>
      <c r="P63" s="659"/>
      <c r="Q63" s="658"/>
      <c r="R63" s="657"/>
      <c r="S63" s="656"/>
      <c r="T63" s="645"/>
      <c r="U63" s="645"/>
      <c r="V63" s="645"/>
      <c r="W63" s="645"/>
      <c r="Y63" s="640"/>
      <c r="AB63" s="655">
        <f t="shared" si="37"/>
        <v>0</v>
      </c>
    </row>
    <row r="64" spans="1:28">
      <c r="A64" s="658">
        <f t="shared" si="11"/>
        <v>11</v>
      </c>
      <c r="B64" s="646" t="s">
        <v>2336</v>
      </c>
      <c r="C64" s="659">
        <v>225</v>
      </c>
      <c r="D64" s="1831">
        <v>1200</v>
      </c>
      <c r="E64" s="657">
        <v>200</v>
      </c>
      <c r="F64" s="659">
        <v>10</v>
      </c>
      <c r="G64" s="658">
        <v>200</v>
      </c>
      <c r="H64" s="657">
        <f t="shared" si="29"/>
        <v>4000</v>
      </c>
      <c r="I64" s="659"/>
      <c r="J64" s="658">
        <v>100</v>
      </c>
      <c r="K64" s="657"/>
      <c r="L64" s="659">
        <f t="shared" si="120"/>
        <v>10</v>
      </c>
      <c r="M64" s="900">
        <v>10</v>
      </c>
      <c r="N64" s="658">
        <v>100</v>
      </c>
      <c r="O64" s="657">
        <f t="shared" si="121"/>
        <v>200</v>
      </c>
      <c r="P64" s="659">
        <v>10</v>
      </c>
      <c r="Q64" s="658">
        <v>100</v>
      </c>
      <c r="R64" s="657">
        <f t="shared" si="76"/>
        <v>2050</v>
      </c>
      <c r="S64" s="656">
        <f t="shared" si="30"/>
        <v>5.3999999999999999E-2</v>
      </c>
      <c r="T64" s="645">
        <f t="shared" si="31"/>
        <v>0.54</v>
      </c>
      <c r="U64" s="645">
        <f t="shared" si="32"/>
        <v>4.9320000000000004</v>
      </c>
      <c r="V64" s="645">
        <f t="shared" si="33"/>
        <v>3.6989999999999998</v>
      </c>
      <c r="W64" s="645">
        <f t="shared" si="34"/>
        <v>16.429725000000001</v>
      </c>
      <c r="Y64" s="640">
        <f t="shared" si="35"/>
        <v>10</v>
      </c>
      <c r="Z64" s="640">
        <f t="shared" si="36"/>
        <v>464.08750000000003</v>
      </c>
      <c r="AB64" s="655">
        <f t="shared" si="37"/>
        <v>0.27</v>
      </c>
    </row>
    <row r="65" spans="1:28">
      <c r="A65" s="1997">
        <f t="shared" si="11"/>
        <v>12</v>
      </c>
      <c r="B65" s="646" t="s">
        <v>2336</v>
      </c>
      <c r="C65" s="659"/>
      <c r="D65" s="1831"/>
      <c r="E65" s="657"/>
      <c r="F65" s="659"/>
      <c r="G65" s="658"/>
      <c r="H65" s="657"/>
      <c r="I65" s="659"/>
      <c r="J65" s="658"/>
      <c r="K65" s="657"/>
      <c r="L65" s="659"/>
      <c r="M65" s="900"/>
      <c r="N65" s="658"/>
      <c r="O65" s="657"/>
      <c r="P65" s="659"/>
      <c r="Q65" s="658"/>
      <c r="R65" s="657"/>
      <c r="S65" s="656"/>
      <c r="T65" s="645"/>
      <c r="U65" s="645"/>
      <c r="V65" s="645"/>
      <c r="W65" s="645"/>
      <c r="Y65" s="640"/>
      <c r="AB65" s="655"/>
    </row>
    <row r="66" spans="1:28">
      <c r="A66" s="1997">
        <f t="shared" si="11"/>
        <v>13</v>
      </c>
      <c r="B66" s="646" t="s">
        <v>2336</v>
      </c>
      <c r="C66" s="659"/>
      <c r="D66" s="1831"/>
      <c r="E66" s="657"/>
      <c r="F66" s="659"/>
      <c r="G66" s="658"/>
      <c r="H66" s="657"/>
      <c r="I66" s="659"/>
      <c r="J66" s="658"/>
      <c r="K66" s="657"/>
      <c r="L66" s="659"/>
      <c r="M66" s="900"/>
      <c r="N66" s="658"/>
      <c r="O66" s="657"/>
      <c r="P66" s="659"/>
      <c r="Q66" s="658"/>
      <c r="R66" s="657"/>
      <c r="S66" s="656"/>
      <c r="T66" s="645"/>
      <c r="U66" s="645"/>
      <c r="V66" s="645"/>
      <c r="W66" s="645"/>
      <c r="Y66" s="640"/>
      <c r="AB66" s="655"/>
    </row>
    <row r="67" spans="1:28">
      <c r="A67" s="1997">
        <f t="shared" si="11"/>
        <v>14</v>
      </c>
      <c r="B67" s="646" t="s">
        <v>2336</v>
      </c>
      <c r="C67" s="659"/>
      <c r="D67" s="1831"/>
      <c r="E67" s="657"/>
      <c r="F67" s="659"/>
      <c r="G67" s="658"/>
      <c r="H67" s="657"/>
      <c r="I67" s="659"/>
      <c r="J67" s="658"/>
      <c r="K67" s="657"/>
      <c r="L67" s="659"/>
      <c r="M67" s="900"/>
      <c r="N67" s="658"/>
      <c r="O67" s="657"/>
      <c r="P67" s="659"/>
      <c r="Q67" s="658"/>
      <c r="R67" s="657"/>
      <c r="S67" s="656"/>
      <c r="T67" s="645"/>
      <c r="U67" s="645"/>
      <c r="V67" s="645"/>
      <c r="W67" s="645"/>
      <c r="Y67" s="640"/>
      <c r="AB67" s="655"/>
    </row>
    <row r="68" spans="1:28">
      <c r="A68" s="658">
        <f t="shared" si="11"/>
        <v>15</v>
      </c>
      <c r="B68" s="646" t="s">
        <v>2336</v>
      </c>
      <c r="C68" s="659">
        <v>450</v>
      </c>
      <c r="D68" s="1831">
        <v>600</v>
      </c>
      <c r="E68" s="657">
        <v>200</v>
      </c>
      <c r="F68" s="659">
        <v>10</v>
      </c>
      <c r="G68" s="658">
        <v>200</v>
      </c>
      <c r="H68" s="657">
        <f t="shared" si="29"/>
        <v>2800</v>
      </c>
      <c r="I68" s="659"/>
      <c r="J68" s="658">
        <v>100</v>
      </c>
      <c r="K68" s="657"/>
      <c r="L68" s="659">
        <f t="shared" si="120"/>
        <v>4</v>
      </c>
      <c r="M68" s="900">
        <v>10</v>
      </c>
      <c r="N68" s="658">
        <v>100</v>
      </c>
      <c r="O68" s="657">
        <f t="shared" si="121"/>
        <v>200</v>
      </c>
      <c r="P68" s="659">
        <v>10</v>
      </c>
      <c r="Q68" s="658">
        <v>100</v>
      </c>
      <c r="R68" s="657">
        <f t="shared" si="76"/>
        <v>2500</v>
      </c>
      <c r="S68" s="656">
        <f t="shared" ref="S68:S86" si="122">C68*D68*E68/1000000000</f>
        <v>5.3999999999999999E-2</v>
      </c>
      <c r="T68" s="645">
        <f t="shared" ref="T68:T86" si="123">2*C68*D68/1000000</f>
        <v>0.54</v>
      </c>
      <c r="U68" s="645">
        <f t="shared" ref="U68:U86" si="124">0.006165*(F68^2*H68*(ROUND(C68/G68,0)+1)+I68^2*K68*(ROUND(C68/J68,0)+1))/1000</f>
        <v>5.1786000000000003</v>
      </c>
      <c r="V68" s="645">
        <f t="shared" ref="V68:V86" si="125">0.006165*M68^2*O68*(ROUND(C68/N68,0)+1)/1000*L68</f>
        <v>2.9592000000000001</v>
      </c>
      <c r="W68" s="645">
        <f t="shared" ref="W68:W86" si="126">0.006165*P68^2*R68*(ROUND(D68/Q68,0)+1)/1000</f>
        <v>10.788750000000002</v>
      </c>
      <c r="Y68" s="640">
        <f t="shared" ref="Y68:Y86" si="127">T68/S68</f>
        <v>10</v>
      </c>
      <c r="Z68" s="640">
        <f t="shared" ref="Z68:Z86" si="128">SUM(U68:W68)/S68</f>
        <v>350.49166666666673</v>
      </c>
      <c r="AB68" s="655">
        <f t="shared" ref="AB68:AB86" si="129">T68/2</f>
        <v>0.27</v>
      </c>
    </row>
    <row r="69" spans="1:28">
      <c r="A69" s="658">
        <f t="shared" si="11"/>
        <v>16</v>
      </c>
      <c r="B69" s="646" t="s">
        <v>2336</v>
      </c>
      <c r="C69" s="659">
        <v>650</v>
      </c>
      <c r="D69" s="1831">
        <v>400</v>
      </c>
      <c r="E69" s="657">
        <v>200</v>
      </c>
      <c r="F69" s="659">
        <v>10</v>
      </c>
      <c r="G69" s="658">
        <v>200</v>
      </c>
      <c r="H69" s="657">
        <f t="shared" si="29"/>
        <v>2400</v>
      </c>
      <c r="I69" s="659"/>
      <c r="J69" s="658">
        <v>100</v>
      </c>
      <c r="K69" s="657"/>
      <c r="L69" s="659">
        <f t="shared" si="120"/>
        <v>2</v>
      </c>
      <c r="M69" s="900">
        <v>10</v>
      </c>
      <c r="N69" s="658">
        <v>100</v>
      </c>
      <c r="O69" s="657">
        <f t="shared" si="121"/>
        <v>200</v>
      </c>
      <c r="P69" s="659">
        <v>10</v>
      </c>
      <c r="Q69" s="658">
        <v>100</v>
      </c>
      <c r="R69" s="657">
        <f t="shared" si="76"/>
        <v>2900</v>
      </c>
      <c r="S69" s="656">
        <f t="shared" si="122"/>
        <v>5.1999999999999998E-2</v>
      </c>
      <c r="T69" s="645">
        <f t="shared" si="123"/>
        <v>0.52</v>
      </c>
      <c r="U69" s="645">
        <f t="shared" si="124"/>
        <v>5.9184000000000001</v>
      </c>
      <c r="V69" s="645">
        <f t="shared" si="125"/>
        <v>1.9728000000000001</v>
      </c>
      <c r="W69" s="645">
        <f t="shared" si="126"/>
        <v>8.9392499999999995</v>
      </c>
      <c r="Y69" s="640">
        <f t="shared" si="127"/>
        <v>10</v>
      </c>
      <c r="Z69" s="640">
        <f t="shared" si="128"/>
        <v>323.66250000000002</v>
      </c>
      <c r="AB69" s="655">
        <f t="shared" si="129"/>
        <v>0.26</v>
      </c>
    </row>
    <row r="70" spans="1:28">
      <c r="A70" s="658">
        <f t="shared" si="11"/>
        <v>17</v>
      </c>
      <c r="B70" s="646" t="s">
        <v>2336</v>
      </c>
      <c r="C70" s="659">
        <v>580</v>
      </c>
      <c r="D70" s="1831">
        <v>400</v>
      </c>
      <c r="E70" s="657">
        <v>300</v>
      </c>
      <c r="F70" s="659">
        <v>10</v>
      </c>
      <c r="G70" s="658">
        <v>200</v>
      </c>
      <c r="H70" s="657">
        <f t="shared" si="29"/>
        <v>2400</v>
      </c>
      <c r="I70" s="659"/>
      <c r="J70" s="658">
        <v>100</v>
      </c>
      <c r="K70" s="657"/>
      <c r="L70" s="659">
        <f t="shared" si="120"/>
        <v>2</v>
      </c>
      <c r="M70" s="900">
        <v>10</v>
      </c>
      <c r="N70" s="658">
        <v>100</v>
      </c>
      <c r="O70" s="657">
        <f t="shared" si="121"/>
        <v>300</v>
      </c>
      <c r="P70" s="659">
        <v>10</v>
      </c>
      <c r="Q70" s="658">
        <v>100</v>
      </c>
      <c r="R70" s="657">
        <f t="shared" si="76"/>
        <v>2760</v>
      </c>
      <c r="S70" s="656">
        <f t="shared" si="122"/>
        <v>6.9599999999999995E-2</v>
      </c>
      <c r="T70" s="645">
        <f t="shared" si="123"/>
        <v>0.46400000000000002</v>
      </c>
      <c r="U70" s="645">
        <f t="shared" si="124"/>
        <v>5.9184000000000001</v>
      </c>
      <c r="V70" s="645">
        <f t="shared" si="125"/>
        <v>2.5893000000000002</v>
      </c>
      <c r="W70" s="645">
        <f t="shared" si="126"/>
        <v>8.5077000000000016</v>
      </c>
      <c r="Y70" s="640">
        <f t="shared" si="127"/>
        <v>6.6666666666666679</v>
      </c>
      <c r="Z70" s="640">
        <f t="shared" si="128"/>
        <v>244.47413793103451</v>
      </c>
      <c r="AB70" s="655">
        <f t="shared" si="129"/>
        <v>0.23200000000000001</v>
      </c>
    </row>
    <row r="71" spans="1:28">
      <c r="A71" s="658">
        <f t="shared" si="11"/>
        <v>18</v>
      </c>
      <c r="B71" s="646" t="s">
        <v>2336</v>
      </c>
      <c r="C71" s="659">
        <v>675</v>
      </c>
      <c r="D71" s="1831">
        <v>400</v>
      </c>
      <c r="E71" s="657">
        <v>300</v>
      </c>
      <c r="F71" s="659">
        <v>10</v>
      </c>
      <c r="G71" s="658">
        <v>200</v>
      </c>
      <c r="H71" s="657">
        <f t="shared" si="29"/>
        <v>2400</v>
      </c>
      <c r="I71" s="659"/>
      <c r="J71" s="658">
        <v>100</v>
      </c>
      <c r="K71" s="657"/>
      <c r="L71" s="659">
        <f t="shared" si="120"/>
        <v>2</v>
      </c>
      <c r="M71" s="900">
        <v>10</v>
      </c>
      <c r="N71" s="658">
        <v>100</v>
      </c>
      <c r="O71" s="657">
        <f t="shared" si="121"/>
        <v>300</v>
      </c>
      <c r="P71" s="659">
        <v>10</v>
      </c>
      <c r="Q71" s="658">
        <v>100</v>
      </c>
      <c r="R71" s="657">
        <f t="shared" si="76"/>
        <v>2950</v>
      </c>
      <c r="S71" s="656">
        <f t="shared" si="122"/>
        <v>8.1000000000000003E-2</v>
      </c>
      <c r="T71" s="645">
        <f t="shared" si="123"/>
        <v>0.54</v>
      </c>
      <c r="U71" s="645">
        <f t="shared" si="124"/>
        <v>5.9184000000000001</v>
      </c>
      <c r="V71" s="645">
        <f t="shared" si="125"/>
        <v>2.9592000000000001</v>
      </c>
      <c r="W71" s="645">
        <f t="shared" si="126"/>
        <v>9.093375</v>
      </c>
      <c r="Y71" s="640">
        <f t="shared" si="127"/>
        <v>6.666666666666667</v>
      </c>
      <c r="Z71" s="640">
        <f t="shared" si="128"/>
        <v>221.86388888888891</v>
      </c>
      <c r="AB71" s="655">
        <f t="shared" si="129"/>
        <v>0.27</v>
      </c>
    </row>
    <row r="72" spans="1:28">
      <c r="A72" s="1997">
        <f t="shared" si="11"/>
        <v>19</v>
      </c>
      <c r="B72" s="646" t="s">
        <v>2336</v>
      </c>
      <c r="C72" s="659"/>
      <c r="D72" s="1831"/>
      <c r="E72" s="657"/>
      <c r="F72" s="659">
        <v>10</v>
      </c>
      <c r="G72" s="658">
        <v>200</v>
      </c>
      <c r="H72" s="657">
        <f t="shared" si="29"/>
        <v>1600</v>
      </c>
      <c r="I72" s="659"/>
      <c r="J72" s="658">
        <v>100</v>
      </c>
      <c r="K72" s="657"/>
      <c r="L72" s="659">
        <f t="shared" si="120"/>
        <v>-2</v>
      </c>
      <c r="M72" s="900">
        <v>10</v>
      </c>
      <c r="N72" s="658">
        <v>100</v>
      </c>
      <c r="O72" s="657">
        <f t="shared" si="121"/>
        <v>0</v>
      </c>
      <c r="P72" s="659">
        <v>10</v>
      </c>
      <c r="Q72" s="658">
        <v>100</v>
      </c>
      <c r="R72" s="657">
        <f t="shared" si="76"/>
        <v>1600</v>
      </c>
      <c r="S72" s="656">
        <f t="shared" si="122"/>
        <v>0</v>
      </c>
      <c r="T72" s="645">
        <f t="shared" si="123"/>
        <v>0</v>
      </c>
      <c r="U72" s="645">
        <f t="shared" si="124"/>
        <v>0.98640000000000005</v>
      </c>
      <c r="V72" s="645">
        <f t="shared" si="125"/>
        <v>0</v>
      </c>
      <c r="W72" s="645">
        <f t="shared" si="126"/>
        <v>0.98640000000000005</v>
      </c>
      <c r="Y72" s="640"/>
      <c r="AB72" s="655"/>
    </row>
    <row r="73" spans="1:28">
      <c r="A73" s="658">
        <f t="shared" si="11"/>
        <v>20</v>
      </c>
      <c r="B73" s="646" t="s">
        <v>2336</v>
      </c>
      <c r="C73" s="659">
        <v>515</v>
      </c>
      <c r="D73" s="1831">
        <v>400</v>
      </c>
      <c r="E73" s="657">
        <v>300</v>
      </c>
      <c r="F73" s="659">
        <v>10</v>
      </c>
      <c r="G73" s="658">
        <v>200</v>
      </c>
      <c r="H73" s="657">
        <f t="shared" si="29"/>
        <v>2400</v>
      </c>
      <c r="I73" s="659"/>
      <c r="J73" s="658">
        <v>100</v>
      </c>
      <c r="K73" s="657"/>
      <c r="L73" s="659">
        <f t="shared" si="120"/>
        <v>2</v>
      </c>
      <c r="M73" s="900">
        <v>10</v>
      </c>
      <c r="N73" s="658">
        <v>100</v>
      </c>
      <c r="O73" s="657">
        <f t="shared" si="121"/>
        <v>300</v>
      </c>
      <c r="P73" s="659">
        <v>10</v>
      </c>
      <c r="Q73" s="658">
        <v>100</v>
      </c>
      <c r="R73" s="657">
        <f t="shared" si="76"/>
        <v>2630</v>
      </c>
      <c r="S73" s="656">
        <f t="shared" si="122"/>
        <v>6.1800000000000001E-2</v>
      </c>
      <c r="T73" s="645">
        <f t="shared" si="123"/>
        <v>0.41199999999999998</v>
      </c>
      <c r="U73" s="645">
        <f t="shared" si="124"/>
        <v>5.9184000000000001</v>
      </c>
      <c r="V73" s="645">
        <f t="shared" si="125"/>
        <v>2.2194000000000003</v>
      </c>
      <c r="W73" s="645">
        <f t="shared" si="126"/>
        <v>8.106975000000002</v>
      </c>
      <c r="Y73" s="640">
        <f t="shared" si="127"/>
        <v>6.6666666666666661</v>
      </c>
      <c r="Z73" s="640">
        <f t="shared" si="128"/>
        <v>262.86043689320394</v>
      </c>
      <c r="AB73" s="655">
        <f t="shared" si="129"/>
        <v>0.20599999999999999</v>
      </c>
    </row>
    <row r="74" spans="1:28">
      <c r="A74" s="658">
        <f t="shared" si="11"/>
        <v>21</v>
      </c>
      <c r="B74" s="646" t="s">
        <v>2336</v>
      </c>
      <c r="C74" s="659">
        <v>405</v>
      </c>
      <c r="D74" s="1831">
        <v>400</v>
      </c>
      <c r="E74" s="657">
        <v>300</v>
      </c>
      <c r="F74" s="659">
        <v>10</v>
      </c>
      <c r="G74" s="658">
        <v>200</v>
      </c>
      <c r="H74" s="657">
        <f t="shared" si="29"/>
        <v>2400</v>
      </c>
      <c r="I74" s="659"/>
      <c r="J74" s="658">
        <v>100</v>
      </c>
      <c r="K74" s="657"/>
      <c r="L74" s="659">
        <f t="shared" si="120"/>
        <v>2</v>
      </c>
      <c r="M74" s="900">
        <v>10</v>
      </c>
      <c r="N74" s="658">
        <v>100</v>
      </c>
      <c r="O74" s="657">
        <f t="shared" si="121"/>
        <v>300</v>
      </c>
      <c r="P74" s="659">
        <v>10</v>
      </c>
      <c r="Q74" s="658">
        <v>100</v>
      </c>
      <c r="R74" s="657">
        <f t="shared" si="76"/>
        <v>2410</v>
      </c>
      <c r="S74" s="656">
        <f t="shared" si="122"/>
        <v>4.8599999999999997E-2</v>
      </c>
      <c r="T74" s="645">
        <f t="shared" si="123"/>
        <v>0.32400000000000001</v>
      </c>
      <c r="U74" s="645">
        <f t="shared" si="124"/>
        <v>4.4388000000000005</v>
      </c>
      <c r="V74" s="645">
        <f t="shared" si="125"/>
        <v>1.8495000000000001</v>
      </c>
      <c r="W74" s="645">
        <f t="shared" si="126"/>
        <v>7.4288250000000007</v>
      </c>
      <c r="Y74" s="640">
        <f t="shared" si="127"/>
        <v>6.666666666666667</v>
      </c>
      <c r="Z74" s="640">
        <f t="shared" si="128"/>
        <v>282.24537037037038</v>
      </c>
      <c r="AB74" s="655">
        <f t="shared" si="129"/>
        <v>0.16200000000000001</v>
      </c>
    </row>
    <row r="75" spans="1:28">
      <c r="A75" s="658">
        <f t="shared" si="11"/>
        <v>22</v>
      </c>
      <c r="B75" s="646" t="s">
        <v>2336</v>
      </c>
      <c r="C75" s="659">
        <v>675</v>
      </c>
      <c r="D75" s="1831">
        <v>400</v>
      </c>
      <c r="E75" s="657">
        <v>300</v>
      </c>
      <c r="F75" s="659">
        <v>10</v>
      </c>
      <c r="G75" s="658">
        <v>200</v>
      </c>
      <c r="H75" s="657">
        <f t="shared" si="29"/>
        <v>2400</v>
      </c>
      <c r="I75" s="659"/>
      <c r="J75" s="658">
        <v>100</v>
      </c>
      <c r="K75" s="657"/>
      <c r="L75" s="659">
        <f t="shared" si="120"/>
        <v>2</v>
      </c>
      <c r="M75" s="900">
        <v>10</v>
      </c>
      <c r="N75" s="658">
        <v>100</v>
      </c>
      <c r="O75" s="657">
        <f t="shared" si="121"/>
        <v>300</v>
      </c>
      <c r="P75" s="659">
        <v>10</v>
      </c>
      <c r="Q75" s="658">
        <v>100</v>
      </c>
      <c r="R75" s="657">
        <f t="shared" si="76"/>
        <v>2950</v>
      </c>
      <c r="S75" s="656">
        <f t="shared" si="122"/>
        <v>8.1000000000000003E-2</v>
      </c>
      <c r="T75" s="645">
        <f t="shared" si="123"/>
        <v>0.54</v>
      </c>
      <c r="U75" s="645">
        <f t="shared" si="124"/>
        <v>5.9184000000000001</v>
      </c>
      <c r="V75" s="645">
        <f t="shared" si="125"/>
        <v>2.9592000000000001</v>
      </c>
      <c r="W75" s="645">
        <f t="shared" si="126"/>
        <v>9.093375</v>
      </c>
      <c r="Y75" s="640">
        <f t="shared" si="127"/>
        <v>6.666666666666667</v>
      </c>
      <c r="Z75" s="640">
        <f t="shared" si="128"/>
        <v>221.86388888888891</v>
      </c>
      <c r="AB75" s="655">
        <f t="shared" si="129"/>
        <v>0.27</v>
      </c>
    </row>
    <row r="76" spans="1:28">
      <c r="A76" s="658">
        <f t="shared" si="11"/>
        <v>23</v>
      </c>
      <c r="B76" s="646" t="s">
        <v>2336</v>
      </c>
      <c r="C76" s="659">
        <v>500</v>
      </c>
      <c r="D76" s="1831">
        <v>500</v>
      </c>
      <c r="E76" s="657">
        <v>200</v>
      </c>
      <c r="F76" s="659">
        <v>10</v>
      </c>
      <c r="G76" s="658">
        <v>200</v>
      </c>
      <c r="H76" s="657">
        <f t="shared" si="29"/>
        <v>2600</v>
      </c>
      <c r="I76" s="659"/>
      <c r="J76" s="658">
        <v>100</v>
      </c>
      <c r="K76" s="657"/>
      <c r="L76" s="659">
        <f t="shared" si="120"/>
        <v>3</v>
      </c>
      <c r="M76" s="900">
        <v>10</v>
      </c>
      <c r="N76" s="658">
        <v>100</v>
      </c>
      <c r="O76" s="657">
        <f t="shared" si="121"/>
        <v>200</v>
      </c>
      <c r="P76" s="659">
        <v>10</v>
      </c>
      <c r="Q76" s="658">
        <v>100</v>
      </c>
      <c r="R76" s="657">
        <f t="shared" si="76"/>
        <v>2600</v>
      </c>
      <c r="S76" s="656">
        <f t="shared" si="122"/>
        <v>0.05</v>
      </c>
      <c r="T76" s="645">
        <f t="shared" si="123"/>
        <v>0.5</v>
      </c>
      <c r="U76" s="645">
        <f t="shared" si="124"/>
        <v>6.4116</v>
      </c>
      <c r="V76" s="645">
        <f t="shared" si="125"/>
        <v>2.2194000000000003</v>
      </c>
      <c r="W76" s="645">
        <f t="shared" si="126"/>
        <v>9.6174000000000017</v>
      </c>
      <c r="Y76" s="640">
        <f t="shared" si="127"/>
        <v>10</v>
      </c>
      <c r="Z76" s="640">
        <f t="shared" si="128"/>
        <v>364.96800000000007</v>
      </c>
      <c r="AB76" s="655">
        <f t="shared" si="129"/>
        <v>0.25</v>
      </c>
    </row>
    <row r="77" spans="1:28">
      <c r="A77" s="658">
        <f t="shared" si="11"/>
        <v>24</v>
      </c>
      <c r="B77" s="646" t="s">
        <v>2336</v>
      </c>
      <c r="C77" s="659">
        <v>500</v>
      </c>
      <c r="D77" s="1831">
        <v>400</v>
      </c>
      <c r="E77" s="657">
        <v>300</v>
      </c>
      <c r="F77" s="659">
        <v>10</v>
      </c>
      <c r="G77" s="658">
        <v>200</v>
      </c>
      <c r="H77" s="657">
        <f t="shared" si="29"/>
        <v>2400</v>
      </c>
      <c r="I77" s="659"/>
      <c r="J77" s="658">
        <v>100</v>
      </c>
      <c r="K77" s="657"/>
      <c r="L77" s="659">
        <f t="shared" si="120"/>
        <v>2</v>
      </c>
      <c r="M77" s="900">
        <v>10</v>
      </c>
      <c r="N77" s="658">
        <v>100</v>
      </c>
      <c r="O77" s="657">
        <f t="shared" si="121"/>
        <v>300</v>
      </c>
      <c r="P77" s="659">
        <v>10</v>
      </c>
      <c r="Q77" s="658">
        <v>100</v>
      </c>
      <c r="R77" s="657">
        <f t="shared" si="76"/>
        <v>2600</v>
      </c>
      <c r="S77" s="656">
        <f t="shared" si="122"/>
        <v>0.06</v>
      </c>
      <c r="T77" s="645">
        <f t="shared" si="123"/>
        <v>0.4</v>
      </c>
      <c r="U77" s="645">
        <f t="shared" si="124"/>
        <v>5.9184000000000001</v>
      </c>
      <c r="V77" s="645">
        <f t="shared" si="125"/>
        <v>2.2194000000000003</v>
      </c>
      <c r="W77" s="645">
        <f t="shared" si="126"/>
        <v>8.0145</v>
      </c>
      <c r="Y77" s="640">
        <f t="shared" si="127"/>
        <v>6.666666666666667</v>
      </c>
      <c r="Z77" s="640">
        <f t="shared" si="128"/>
        <v>269.20500000000004</v>
      </c>
      <c r="AB77" s="655">
        <f t="shared" si="129"/>
        <v>0.2</v>
      </c>
    </row>
    <row r="78" spans="1:28">
      <c r="A78" s="658">
        <f t="shared" si="11"/>
        <v>25</v>
      </c>
      <c r="B78" s="646" t="s">
        <v>2336</v>
      </c>
      <c r="C78" s="659">
        <v>675</v>
      </c>
      <c r="D78" s="1831">
        <v>400</v>
      </c>
      <c r="E78" s="657">
        <v>300</v>
      </c>
      <c r="F78" s="659">
        <v>10</v>
      </c>
      <c r="G78" s="658">
        <v>200</v>
      </c>
      <c r="H78" s="657">
        <f t="shared" si="29"/>
        <v>2400</v>
      </c>
      <c r="I78" s="659"/>
      <c r="J78" s="658">
        <v>100</v>
      </c>
      <c r="K78" s="657"/>
      <c r="L78" s="659">
        <f t="shared" si="120"/>
        <v>2</v>
      </c>
      <c r="M78" s="900">
        <v>10</v>
      </c>
      <c r="N78" s="658">
        <v>100</v>
      </c>
      <c r="O78" s="657">
        <f t="shared" si="121"/>
        <v>300</v>
      </c>
      <c r="P78" s="659">
        <v>10</v>
      </c>
      <c r="Q78" s="658">
        <v>100</v>
      </c>
      <c r="R78" s="657">
        <f t="shared" si="76"/>
        <v>2950</v>
      </c>
      <c r="S78" s="656">
        <f t="shared" si="122"/>
        <v>8.1000000000000003E-2</v>
      </c>
      <c r="T78" s="645">
        <f t="shared" si="123"/>
        <v>0.54</v>
      </c>
      <c r="U78" s="645">
        <f t="shared" si="124"/>
        <v>5.9184000000000001</v>
      </c>
      <c r="V78" s="645">
        <f t="shared" si="125"/>
        <v>2.9592000000000001</v>
      </c>
      <c r="W78" s="645">
        <f t="shared" si="126"/>
        <v>9.093375</v>
      </c>
      <c r="Y78" s="640">
        <f t="shared" si="127"/>
        <v>6.666666666666667</v>
      </c>
      <c r="Z78" s="640">
        <f t="shared" si="128"/>
        <v>221.86388888888891</v>
      </c>
      <c r="AB78" s="655">
        <f t="shared" si="129"/>
        <v>0.27</v>
      </c>
    </row>
    <row r="79" spans="1:28">
      <c r="A79" s="658">
        <f t="shared" si="11"/>
        <v>26</v>
      </c>
      <c r="B79" s="646" t="s">
        <v>2336</v>
      </c>
      <c r="C79" s="659">
        <v>580</v>
      </c>
      <c r="D79" s="1831">
        <v>400</v>
      </c>
      <c r="E79" s="657">
        <v>300</v>
      </c>
      <c r="F79" s="659">
        <v>10</v>
      </c>
      <c r="G79" s="658">
        <v>200</v>
      </c>
      <c r="H79" s="657">
        <f t="shared" si="29"/>
        <v>2400</v>
      </c>
      <c r="I79" s="659"/>
      <c r="J79" s="658">
        <v>100</v>
      </c>
      <c r="K79" s="657"/>
      <c r="L79" s="659">
        <f t="shared" si="120"/>
        <v>2</v>
      </c>
      <c r="M79" s="900">
        <v>10</v>
      </c>
      <c r="N79" s="658">
        <v>100</v>
      </c>
      <c r="O79" s="657">
        <f t="shared" si="121"/>
        <v>300</v>
      </c>
      <c r="P79" s="659">
        <v>10</v>
      </c>
      <c r="Q79" s="658">
        <v>100</v>
      </c>
      <c r="R79" s="657">
        <f t="shared" si="76"/>
        <v>2760</v>
      </c>
      <c r="S79" s="656">
        <f t="shared" si="122"/>
        <v>6.9599999999999995E-2</v>
      </c>
      <c r="T79" s="645">
        <f t="shared" si="123"/>
        <v>0.46400000000000002</v>
      </c>
      <c r="U79" s="645">
        <f t="shared" si="124"/>
        <v>5.9184000000000001</v>
      </c>
      <c r="V79" s="645">
        <f t="shared" si="125"/>
        <v>2.5893000000000002</v>
      </c>
      <c r="W79" s="645">
        <f t="shared" si="126"/>
        <v>8.5077000000000016</v>
      </c>
      <c r="Y79" s="640">
        <f t="shared" si="127"/>
        <v>6.6666666666666679</v>
      </c>
      <c r="Z79" s="640">
        <f t="shared" si="128"/>
        <v>244.47413793103451</v>
      </c>
      <c r="AB79" s="655">
        <f t="shared" si="129"/>
        <v>0.23200000000000001</v>
      </c>
    </row>
    <row r="80" spans="1:28">
      <c r="A80" s="658">
        <f t="shared" si="11"/>
        <v>27</v>
      </c>
      <c r="B80" s="646" t="s">
        <v>2336</v>
      </c>
      <c r="C80" s="659">
        <v>345</v>
      </c>
      <c r="D80" s="1831">
        <v>400</v>
      </c>
      <c r="E80" s="657">
        <v>300</v>
      </c>
      <c r="F80" s="659">
        <v>10</v>
      </c>
      <c r="G80" s="658">
        <v>200</v>
      </c>
      <c r="H80" s="657">
        <f t="shared" si="29"/>
        <v>2400</v>
      </c>
      <c r="I80" s="659"/>
      <c r="J80" s="658">
        <v>100</v>
      </c>
      <c r="K80" s="657"/>
      <c r="L80" s="659">
        <f t="shared" si="120"/>
        <v>2</v>
      </c>
      <c r="M80" s="900">
        <v>10</v>
      </c>
      <c r="N80" s="658">
        <v>100</v>
      </c>
      <c r="O80" s="657">
        <f t="shared" si="121"/>
        <v>300</v>
      </c>
      <c r="P80" s="659">
        <v>10</v>
      </c>
      <c r="Q80" s="658">
        <v>100</v>
      </c>
      <c r="R80" s="657">
        <f t="shared" si="76"/>
        <v>2290</v>
      </c>
      <c r="S80" s="656">
        <f t="shared" si="122"/>
        <v>4.1399999999999999E-2</v>
      </c>
      <c r="T80" s="645">
        <f t="shared" si="123"/>
        <v>0.27600000000000002</v>
      </c>
      <c r="U80" s="645">
        <f t="shared" si="124"/>
        <v>4.4388000000000005</v>
      </c>
      <c r="V80" s="645">
        <f t="shared" si="125"/>
        <v>1.4796</v>
      </c>
      <c r="W80" s="645">
        <f t="shared" si="126"/>
        <v>7.0589250000000003</v>
      </c>
      <c r="Y80" s="640">
        <f t="shared" si="127"/>
        <v>6.666666666666667</v>
      </c>
      <c r="Z80" s="640">
        <f t="shared" si="128"/>
        <v>313.46195652173913</v>
      </c>
      <c r="AB80" s="655">
        <f t="shared" si="129"/>
        <v>0.13800000000000001</v>
      </c>
    </row>
    <row r="81" spans="1:28">
      <c r="A81" s="658">
        <f t="shared" si="11"/>
        <v>28</v>
      </c>
      <c r="B81" s="646" t="s">
        <v>2336</v>
      </c>
      <c r="C81" s="659">
        <v>390</v>
      </c>
      <c r="D81" s="1831">
        <v>600</v>
      </c>
      <c r="E81" s="657">
        <v>200</v>
      </c>
      <c r="F81" s="659">
        <v>10</v>
      </c>
      <c r="G81" s="658">
        <v>200</v>
      </c>
      <c r="H81" s="657">
        <f t="shared" si="29"/>
        <v>2800</v>
      </c>
      <c r="I81" s="659"/>
      <c r="J81" s="658">
        <v>100</v>
      </c>
      <c r="K81" s="657"/>
      <c r="L81" s="659">
        <f t="shared" si="120"/>
        <v>4</v>
      </c>
      <c r="M81" s="900">
        <v>10</v>
      </c>
      <c r="N81" s="658">
        <v>100</v>
      </c>
      <c r="O81" s="657">
        <f t="shared" si="121"/>
        <v>200</v>
      </c>
      <c r="P81" s="659">
        <v>10</v>
      </c>
      <c r="Q81" s="658">
        <v>100</v>
      </c>
      <c r="R81" s="657">
        <f t="shared" si="76"/>
        <v>2380</v>
      </c>
      <c r="S81" s="656">
        <f t="shared" si="122"/>
        <v>4.6800000000000001E-2</v>
      </c>
      <c r="T81" s="645">
        <f t="shared" si="123"/>
        <v>0.46800000000000003</v>
      </c>
      <c r="U81" s="645">
        <f t="shared" si="124"/>
        <v>5.1786000000000003</v>
      </c>
      <c r="V81" s="645">
        <f t="shared" si="125"/>
        <v>2.4660000000000002</v>
      </c>
      <c r="W81" s="645">
        <f t="shared" si="126"/>
        <v>10.270890000000001</v>
      </c>
      <c r="Y81" s="640">
        <f t="shared" si="127"/>
        <v>10</v>
      </c>
      <c r="Z81" s="640">
        <f t="shared" si="128"/>
        <v>382.80961538461543</v>
      </c>
      <c r="AB81" s="655">
        <f t="shared" si="129"/>
        <v>0.23400000000000001</v>
      </c>
    </row>
    <row r="82" spans="1:28">
      <c r="A82" s="658">
        <f t="shared" si="11"/>
        <v>29</v>
      </c>
      <c r="B82" s="646" t="s">
        <v>2336</v>
      </c>
      <c r="C82" s="659">
        <v>450</v>
      </c>
      <c r="D82" s="1831">
        <v>600</v>
      </c>
      <c r="E82" s="657">
        <v>200</v>
      </c>
      <c r="F82" s="659">
        <v>10</v>
      </c>
      <c r="G82" s="658">
        <v>200</v>
      </c>
      <c r="H82" s="657">
        <f t="shared" si="29"/>
        <v>2800</v>
      </c>
      <c r="I82" s="659"/>
      <c r="J82" s="658">
        <v>100</v>
      </c>
      <c r="K82" s="657"/>
      <c r="L82" s="659">
        <f t="shared" si="120"/>
        <v>4</v>
      </c>
      <c r="M82" s="900">
        <v>10</v>
      </c>
      <c r="N82" s="658">
        <v>100</v>
      </c>
      <c r="O82" s="657">
        <f t="shared" si="121"/>
        <v>200</v>
      </c>
      <c r="P82" s="659">
        <v>10</v>
      </c>
      <c r="Q82" s="658">
        <v>100</v>
      </c>
      <c r="R82" s="657">
        <f t="shared" si="76"/>
        <v>2500</v>
      </c>
      <c r="S82" s="656">
        <f t="shared" si="122"/>
        <v>5.3999999999999999E-2</v>
      </c>
      <c r="T82" s="645">
        <f t="shared" si="123"/>
        <v>0.54</v>
      </c>
      <c r="U82" s="645">
        <f t="shared" si="124"/>
        <v>5.1786000000000003</v>
      </c>
      <c r="V82" s="645">
        <f t="shared" si="125"/>
        <v>2.9592000000000001</v>
      </c>
      <c r="W82" s="645">
        <f t="shared" si="126"/>
        <v>10.788750000000002</v>
      </c>
      <c r="Y82" s="640">
        <f t="shared" si="127"/>
        <v>10</v>
      </c>
      <c r="Z82" s="640">
        <f t="shared" si="128"/>
        <v>350.49166666666673</v>
      </c>
      <c r="AB82" s="655">
        <f t="shared" si="129"/>
        <v>0.27</v>
      </c>
    </row>
    <row r="83" spans="1:28">
      <c r="A83" s="658">
        <f t="shared" si="11"/>
        <v>30</v>
      </c>
      <c r="B83" s="646" t="s">
        <v>2336</v>
      </c>
      <c r="C83" s="659">
        <v>115</v>
      </c>
      <c r="D83" s="1831">
        <v>600</v>
      </c>
      <c r="E83" s="657">
        <v>200</v>
      </c>
      <c r="F83" s="659">
        <v>10</v>
      </c>
      <c r="G83" s="658">
        <v>200</v>
      </c>
      <c r="H83" s="657">
        <f t="shared" si="29"/>
        <v>2800</v>
      </c>
      <c r="I83" s="659"/>
      <c r="J83" s="658">
        <v>100</v>
      </c>
      <c r="K83" s="657"/>
      <c r="L83" s="659">
        <f t="shared" si="120"/>
        <v>4</v>
      </c>
      <c r="M83" s="900">
        <v>10</v>
      </c>
      <c r="N83" s="658">
        <v>100</v>
      </c>
      <c r="O83" s="657">
        <f t="shared" si="121"/>
        <v>200</v>
      </c>
      <c r="P83" s="659">
        <v>10</v>
      </c>
      <c r="Q83" s="658">
        <v>100</v>
      </c>
      <c r="R83" s="657">
        <f t="shared" si="76"/>
        <v>1830</v>
      </c>
      <c r="S83" s="656">
        <f t="shared" si="122"/>
        <v>1.38E-2</v>
      </c>
      <c r="T83" s="645">
        <f t="shared" si="123"/>
        <v>0.13800000000000001</v>
      </c>
      <c r="U83" s="645">
        <f t="shared" si="124"/>
        <v>3.4523999999999999</v>
      </c>
      <c r="V83" s="645">
        <f t="shared" si="125"/>
        <v>0.98640000000000005</v>
      </c>
      <c r="W83" s="645">
        <f t="shared" si="126"/>
        <v>7.8973650000000015</v>
      </c>
      <c r="Y83" s="640">
        <f t="shared" si="127"/>
        <v>10.000000000000002</v>
      </c>
      <c r="Z83" s="640">
        <f t="shared" si="128"/>
        <v>893.92500000000007</v>
      </c>
      <c r="AB83" s="655">
        <f t="shared" si="129"/>
        <v>6.9000000000000006E-2</v>
      </c>
    </row>
    <row r="84" spans="1:28">
      <c r="A84" s="658">
        <f t="shared" si="11"/>
        <v>31</v>
      </c>
      <c r="B84" s="646" t="s">
        <v>2336</v>
      </c>
      <c r="C84" s="659">
        <v>550</v>
      </c>
      <c r="D84" s="1831">
        <v>600</v>
      </c>
      <c r="E84" s="657">
        <v>200</v>
      </c>
      <c r="F84" s="659">
        <v>10</v>
      </c>
      <c r="G84" s="658">
        <v>200</v>
      </c>
      <c r="H84" s="657">
        <f t="shared" si="29"/>
        <v>2800</v>
      </c>
      <c r="I84" s="659"/>
      <c r="J84" s="658">
        <v>100</v>
      </c>
      <c r="K84" s="657"/>
      <c r="L84" s="659">
        <f t="shared" si="120"/>
        <v>4</v>
      </c>
      <c r="M84" s="900">
        <v>10</v>
      </c>
      <c r="N84" s="658">
        <v>100</v>
      </c>
      <c r="O84" s="657">
        <f t="shared" si="121"/>
        <v>200</v>
      </c>
      <c r="P84" s="659">
        <v>10</v>
      </c>
      <c r="Q84" s="658">
        <v>100</v>
      </c>
      <c r="R84" s="657">
        <f t="shared" si="76"/>
        <v>2700</v>
      </c>
      <c r="S84" s="656">
        <f t="shared" si="122"/>
        <v>6.6000000000000003E-2</v>
      </c>
      <c r="T84" s="645">
        <f t="shared" si="123"/>
        <v>0.66</v>
      </c>
      <c r="U84" s="645">
        <f t="shared" si="124"/>
        <v>6.9047999999999998</v>
      </c>
      <c r="V84" s="645">
        <f t="shared" si="125"/>
        <v>3.4524000000000004</v>
      </c>
      <c r="W84" s="645">
        <f t="shared" si="126"/>
        <v>11.651850000000001</v>
      </c>
      <c r="Y84" s="640">
        <f t="shared" si="127"/>
        <v>10</v>
      </c>
      <c r="Z84" s="640">
        <f t="shared" si="128"/>
        <v>333.47045454545457</v>
      </c>
      <c r="AB84" s="655">
        <f t="shared" si="129"/>
        <v>0.33</v>
      </c>
    </row>
    <row r="85" spans="1:28">
      <c r="A85" s="658">
        <f t="shared" si="11"/>
        <v>32</v>
      </c>
      <c r="B85" s="646" t="s">
        <v>2336</v>
      </c>
      <c r="C85" s="659">
        <v>120</v>
      </c>
      <c r="D85" s="1831">
        <v>600</v>
      </c>
      <c r="E85" s="657">
        <v>200</v>
      </c>
      <c r="F85" s="659">
        <v>10</v>
      </c>
      <c r="G85" s="658">
        <v>200</v>
      </c>
      <c r="H85" s="657">
        <f t="shared" si="29"/>
        <v>2800</v>
      </c>
      <c r="I85" s="659"/>
      <c r="J85" s="658">
        <v>100</v>
      </c>
      <c r="K85" s="657"/>
      <c r="L85" s="659">
        <f t="shared" si="120"/>
        <v>4</v>
      </c>
      <c r="M85" s="900">
        <v>10</v>
      </c>
      <c r="N85" s="658">
        <v>100</v>
      </c>
      <c r="O85" s="657">
        <f t="shared" si="121"/>
        <v>200</v>
      </c>
      <c r="P85" s="659">
        <v>10</v>
      </c>
      <c r="Q85" s="658">
        <v>100</v>
      </c>
      <c r="R85" s="657">
        <f t="shared" si="76"/>
        <v>1840</v>
      </c>
      <c r="S85" s="656">
        <f t="shared" si="122"/>
        <v>1.44E-2</v>
      </c>
      <c r="T85" s="645">
        <f t="shared" si="123"/>
        <v>0.14399999999999999</v>
      </c>
      <c r="U85" s="645">
        <f t="shared" si="124"/>
        <v>3.4523999999999999</v>
      </c>
      <c r="V85" s="645">
        <f t="shared" si="125"/>
        <v>0.98640000000000005</v>
      </c>
      <c r="W85" s="645">
        <f t="shared" si="126"/>
        <v>7.9405200000000002</v>
      </c>
      <c r="Y85" s="640">
        <f t="shared" si="127"/>
        <v>10</v>
      </c>
      <c r="Z85" s="640">
        <f t="shared" si="128"/>
        <v>859.67500000000007</v>
      </c>
      <c r="AB85" s="655">
        <f t="shared" si="129"/>
        <v>7.1999999999999995E-2</v>
      </c>
    </row>
    <row r="86" spans="1:28">
      <c r="A86" s="658">
        <f t="shared" si="11"/>
        <v>33</v>
      </c>
      <c r="B86" s="646" t="s">
        <v>2336</v>
      </c>
      <c r="C86" s="659">
        <v>525</v>
      </c>
      <c r="D86" s="1831">
        <v>600</v>
      </c>
      <c r="E86" s="657">
        <v>200</v>
      </c>
      <c r="F86" s="659">
        <v>10</v>
      </c>
      <c r="G86" s="658">
        <v>200</v>
      </c>
      <c r="H86" s="657">
        <f t="shared" si="29"/>
        <v>2800</v>
      </c>
      <c r="I86" s="659"/>
      <c r="J86" s="658">
        <v>100</v>
      </c>
      <c r="K86" s="657"/>
      <c r="L86" s="659">
        <f t="shared" si="120"/>
        <v>4</v>
      </c>
      <c r="M86" s="900">
        <v>10</v>
      </c>
      <c r="N86" s="658">
        <v>100</v>
      </c>
      <c r="O86" s="657">
        <f t="shared" si="121"/>
        <v>200</v>
      </c>
      <c r="P86" s="659">
        <v>10</v>
      </c>
      <c r="Q86" s="658">
        <v>100</v>
      </c>
      <c r="R86" s="657">
        <f t="shared" si="76"/>
        <v>2650</v>
      </c>
      <c r="S86" s="656">
        <f t="shared" si="122"/>
        <v>6.3E-2</v>
      </c>
      <c r="T86" s="645">
        <f t="shared" si="123"/>
        <v>0.63</v>
      </c>
      <c r="U86" s="645">
        <f t="shared" si="124"/>
        <v>6.9047999999999998</v>
      </c>
      <c r="V86" s="645">
        <f t="shared" si="125"/>
        <v>2.9592000000000001</v>
      </c>
      <c r="W86" s="645">
        <f t="shared" si="126"/>
        <v>11.436075000000001</v>
      </c>
      <c r="Y86" s="640">
        <f t="shared" si="127"/>
        <v>10</v>
      </c>
      <c r="Z86" s="640">
        <f t="shared" si="128"/>
        <v>338.09642857142859</v>
      </c>
      <c r="AB86" s="655">
        <f t="shared" si="129"/>
        <v>0.315</v>
      </c>
    </row>
    <row r="87" spans="1:28">
      <c r="A87" s="1997">
        <f t="shared" si="11"/>
        <v>34</v>
      </c>
      <c r="B87" s="646" t="s">
        <v>2336</v>
      </c>
      <c r="C87" s="659"/>
      <c r="D87" s="1831"/>
      <c r="E87" s="657"/>
      <c r="F87" s="659"/>
      <c r="G87" s="658"/>
      <c r="H87" s="657"/>
      <c r="I87" s="659"/>
      <c r="J87" s="658"/>
      <c r="K87" s="657"/>
      <c r="L87" s="659"/>
      <c r="M87" s="900"/>
      <c r="N87" s="658"/>
      <c r="O87" s="657"/>
      <c r="P87" s="659"/>
      <c r="Q87" s="658"/>
      <c r="R87" s="657"/>
      <c r="S87" s="656"/>
      <c r="T87" s="645"/>
      <c r="U87" s="645"/>
      <c r="V87" s="645"/>
      <c r="W87" s="645"/>
      <c r="Y87" s="640"/>
      <c r="AB87" s="655"/>
    </row>
    <row r="88" spans="1:28">
      <c r="A88" s="1997">
        <f t="shared" si="11"/>
        <v>35</v>
      </c>
      <c r="B88" s="646" t="s">
        <v>2336</v>
      </c>
      <c r="C88" s="659"/>
      <c r="D88" s="1831"/>
      <c r="E88" s="657"/>
      <c r="F88" s="659"/>
      <c r="G88" s="658"/>
      <c r="H88" s="657"/>
      <c r="I88" s="659"/>
      <c r="J88" s="658"/>
      <c r="K88" s="657"/>
      <c r="L88" s="659"/>
      <c r="M88" s="900"/>
      <c r="N88" s="658"/>
      <c r="O88" s="657"/>
      <c r="P88" s="659"/>
      <c r="Q88" s="658"/>
      <c r="R88" s="657"/>
      <c r="S88" s="656"/>
      <c r="T88" s="645"/>
      <c r="U88" s="645"/>
      <c r="V88" s="645"/>
      <c r="W88" s="645"/>
      <c r="Y88" s="640"/>
      <c r="AB88" s="655"/>
    </row>
    <row r="89" spans="1:28">
      <c r="A89" s="1997">
        <f t="shared" si="11"/>
        <v>36</v>
      </c>
      <c r="B89" s="646" t="s">
        <v>2336</v>
      </c>
      <c r="C89" s="659"/>
      <c r="D89" s="1831"/>
      <c r="E89" s="657"/>
      <c r="F89" s="659"/>
      <c r="G89" s="658"/>
      <c r="H89" s="657"/>
      <c r="I89" s="659"/>
      <c r="J89" s="658"/>
      <c r="K89" s="657"/>
      <c r="L89" s="659"/>
      <c r="M89" s="900"/>
      <c r="N89" s="658"/>
      <c r="O89" s="657"/>
      <c r="P89" s="659"/>
      <c r="Q89" s="658"/>
      <c r="R89" s="657"/>
      <c r="S89" s="656"/>
      <c r="T89" s="645"/>
      <c r="U89" s="645"/>
      <c r="V89" s="645"/>
      <c r="W89" s="645"/>
      <c r="Y89" s="640"/>
      <c r="AB89" s="655"/>
    </row>
    <row r="90" spans="1:28">
      <c r="A90" s="658">
        <f t="shared" si="11"/>
        <v>37</v>
      </c>
      <c r="B90" s="646" t="s">
        <v>2336</v>
      </c>
      <c r="C90" s="659">
        <v>355</v>
      </c>
      <c r="D90" s="1831">
        <v>600</v>
      </c>
      <c r="E90" s="657">
        <v>200</v>
      </c>
      <c r="F90" s="659">
        <v>10</v>
      </c>
      <c r="G90" s="658">
        <v>200</v>
      </c>
      <c r="H90" s="657">
        <f t="shared" si="29"/>
        <v>2800</v>
      </c>
      <c r="I90" s="659"/>
      <c r="J90" s="658">
        <v>100</v>
      </c>
      <c r="K90" s="657"/>
      <c r="L90" s="659">
        <f t="shared" si="120"/>
        <v>4</v>
      </c>
      <c r="M90" s="900">
        <v>10</v>
      </c>
      <c r="N90" s="658">
        <v>100</v>
      </c>
      <c r="O90" s="657">
        <f t="shared" si="121"/>
        <v>200</v>
      </c>
      <c r="P90" s="659">
        <v>10</v>
      </c>
      <c r="Q90" s="658">
        <v>100</v>
      </c>
      <c r="R90" s="657">
        <f t="shared" si="76"/>
        <v>2310</v>
      </c>
      <c r="S90" s="656">
        <f t="shared" si="30"/>
        <v>4.2599999999999999E-2</v>
      </c>
      <c r="T90" s="645">
        <f t="shared" si="31"/>
        <v>0.42599999999999999</v>
      </c>
      <c r="U90" s="645">
        <f t="shared" si="32"/>
        <v>5.1786000000000003</v>
      </c>
      <c r="V90" s="645">
        <f t="shared" si="33"/>
        <v>2.4660000000000002</v>
      </c>
      <c r="W90" s="645">
        <f t="shared" si="34"/>
        <v>9.9688049999999997</v>
      </c>
      <c r="Y90" s="640">
        <f t="shared" si="35"/>
        <v>10</v>
      </c>
      <c r="Z90" s="640">
        <f t="shared" si="36"/>
        <v>413.46021126760564</v>
      </c>
      <c r="AB90" s="655">
        <f t="shared" si="37"/>
        <v>0.21299999999999999</v>
      </c>
    </row>
    <row r="91" spans="1:28">
      <c r="A91" s="658">
        <f t="shared" si="11"/>
        <v>38</v>
      </c>
      <c r="B91" s="646" t="s">
        <v>2336</v>
      </c>
      <c r="C91" s="659">
        <v>580</v>
      </c>
      <c r="D91" s="1831">
        <v>500</v>
      </c>
      <c r="E91" s="657">
        <v>200</v>
      </c>
      <c r="F91" s="659">
        <v>10</v>
      </c>
      <c r="G91" s="658">
        <v>200</v>
      </c>
      <c r="H91" s="657">
        <f t="shared" si="29"/>
        <v>2600</v>
      </c>
      <c r="I91" s="659"/>
      <c r="J91" s="658">
        <v>100</v>
      </c>
      <c r="K91" s="657"/>
      <c r="L91" s="659">
        <f t="shared" si="120"/>
        <v>3</v>
      </c>
      <c r="M91" s="900">
        <v>10</v>
      </c>
      <c r="N91" s="658">
        <v>100</v>
      </c>
      <c r="O91" s="657">
        <f t="shared" si="121"/>
        <v>200</v>
      </c>
      <c r="P91" s="659">
        <v>10</v>
      </c>
      <c r="Q91" s="658">
        <v>100</v>
      </c>
      <c r="R91" s="657">
        <f t="shared" si="76"/>
        <v>2760</v>
      </c>
      <c r="S91" s="656">
        <f t="shared" si="30"/>
        <v>5.8000000000000003E-2</v>
      </c>
      <c r="T91" s="645">
        <f t="shared" si="31"/>
        <v>0.57999999999999996</v>
      </c>
      <c r="U91" s="645">
        <f t="shared" si="32"/>
        <v>6.4116</v>
      </c>
      <c r="V91" s="645">
        <f t="shared" si="33"/>
        <v>2.5893000000000002</v>
      </c>
      <c r="W91" s="645">
        <f t="shared" si="34"/>
        <v>10.209240000000001</v>
      </c>
      <c r="Y91" s="640">
        <f t="shared" si="35"/>
        <v>9.9999999999999982</v>
      </c>
      <c r="Z91" s="640">
        <f t="shared" si="36"/>
        <v>331.2093103448276</v>
      </c>
      <c r="AB91" s="655">
        <f t="shared" si="37"/>
        <v>0.28999999999999998</v>
      </c>
    </row>
    <row r="92" spans="1:28">
      <c r="A92" s="1997">
        <f t="shared" si="11"/>
        <v>39</v>
      </c>
      <c r="B92" s="646" t="s">
        <v>2336</v>
      </c>
      <c r="C92" s="659"/>
      <c r="D92" s="1831"/>
      <c r="E92" s="657"/>
      <c r="F92" s="659"/>
      <c r="G92" s="658"/>
      <c r="H92" s="657"/>
      <c r="I92" s="659"/>
      <c r="J92" s="658"/>
      <c r="K92" s="657"/>
      <c r="L92" s="659"/>
      <c r="M92" s="900"/>
      <c r="N92" s="658"/>
      <c r="O92" s="657"/>
      <c r="P92" s="659"/>
      <c r="Q92" s="658"/>
      <c r="R92" s="657"/>
      <c r="S92" s="656"/>
      <c r="T92" s="645"/>
      <c r="U92" s="645"/>
      <c r="V92" s="645"/>
      <c r="W92" s="645"/>
      <c r="Y92" s="640"/>
      <c r="AB92" s="655"/>
    </row>
    <row r="93" spans="1:28">
      <c r="A93" s="1997">
        <f t="shared" si="11"/>
        <v>40</v>
      </c>
      <c r="B93" s="646" t="s">
        <v>2336</v>
      </c>
      <c r="C93" s="659"/>
      <c r="D93" s="1831"/>
      <c r="E93" s="657"/>
      <c r="F93" s="659"/>
      <c r="G93" s="658"/>
      <c r="H93" s="657"/>
      <c r="I93" s="659"/>
      <c r="J93" s="658"/>
      <c r="K93" s="657"/>
      <c r="L93" s="659"/>
      <c r="M93" s="900"/>
      <c r="N93" s="658"/>
      <c r="O93" s="657"/>
      <c r="P93" s="659"/>
      <c r="Q93" s="658"/>
      <c r="R93" s="657"/>
      <c r="S93" s="656"/>
      <c r="T93" s="645"/>
      <c r="U93" s="645"/>
      <c r="V93" s="645"/>
      <c r="W93" s="645"/>
      <c r="Y93" s="640"/>
      <c r="AB93" s="655"/>
    </row>
    <row r="94" spans="1:28">
      <c r="A94" s="658">
        <f t="shared" si="11"/>
        <v>41</v>
      </c>
      <c r="B94" s="646" t="s">
        <v>2336</v>
      </c>
      <c r="C94" s="659">
        <v>350</v>
      </c>
      <c r="D94" s="1831">
        <v>600</v>
      </c>
      <c r="E94" s="657">
        <v>200</v>
      </c>
      <c r="F94" s="659">
        <v>10</v>
      </c>
      <c r="G94" s="658">
        <v>200</v>
      </c>
      <c r="H94" s="657">
        <f t="shared" si="29"/>
        <v>2800</v>
      </c>
      <c r="I94" s="659"/>
      <c r="J94" s="658">
        <v>100</v>
      </c>
      <c r="K94" s="657"/>
      <c r="L94" s="659">
        <f t="shared" si="120"/>
        <v>4</v>
      </c>
      <c r="M94" s="900">
        <v>10</v>
      </c>
      <c r="N94" s="658">
        <v>100</v>
      </c>
      <c r="O94" s="657">
        <f t="shared" si="121"/>
        <v>200</v>
      </c>
      <c r="P94" s="659">
        <v>10</v>
      </c>
      <c r="Q94" s="658">
        <v>100</v>
      </c>
      <c r="R94" s="657">
        <f t="shared" si="76"/>
        <v>2300</v>
      </c>
      <c r="S94" s="656">
        <f t="shared" si="30"/>
        <v>4.2000000000000003E-2</v>
      </c>
      <c r="T94" s="645">
        <f t="shared" si="31"/>
        <v>0.42</v>
      </c>
      <c r="U94" s="645">
        <f t="shared" si="32"/>
        <v>5.1786000000000003</v>
      </c>
      <c r="V94" s="645">
        <f t="shared" si="33"/>
        <v>2.4660000000000002</v>
      </c>
      <c r="W94" s="645">
        <f t="shared" si="34"/>
        <v>9.9256499999999992</v>
      </c>
      <c r="Y94" s="640">
        <f t="shared" si="35"/>
        <v>9.9999999999999982</v>
      </c>
      <c r="Z94" s="640">
        <f t="shared" si="36"/>
        <v>418.33928571428572</v>
      </c>
      <c r="AB94" s="655">
        <f t="shared" si="37"/>
        <v>0.21</v>
      </c>
    </row>
    <row r="95" spans="1:28">
      <c r="A95" s="658">
        <f t="shared" si="11"/>
        <v>42</v>
      </c>
      <c r="B95" s="646" t="s">
        <v>2336</v>
      </c>
      <c r="C95" s="659">
        <v>350</v>
      </c>
      <c r="D95" s="1831">
        <v>500</v>
      </c>
      <c r="E95" s="657">
        <v>200</v>
      </c>
      <c r="F95" s="659">
        <v>10</v>
      </c>
      <c r="G95" s="658">
        <v>200</v>
      </c>
      <c r="H95" s="657">
        <f t="shared" si="29"/>
        <v>2600</v>
      </c>
      <c r="I95" s="659"/>
      <c r="J95" s="658">
        <v>100</v>
      </c>
      <c r="K95" s="657"/>
      <c r="L95" s="659">
        <f t="shared" si="120"/>
        <v>3</v>
      </c>
      <c r="M95" s="900">
        <v>10</v>
      </c>
      <c r="N95" s="658">
        <v>100</v>
      </c>
      <c r="O95" s="657">
        <f t="shared" si="121"/>
        <v>200</v>
      </c>
      <c r="P95" s="659">
        <v>10</v>
      </c>
      <c r="Q95" s="658">
        <v>100</v>
      </c>
      <c r="R95" s="657">
        <f t="shared" si="76"/>
        <v>2300</v>
      </c>
      <c r="S95" s="656">
        <f t="shared" si="30"/>
        <v>3.5000000000000003E-2</v>
      </c>
      <c r="T95" s="645">
        <f t="shared" si="31"/>
        <v>0.35</v>
      </c>
      <c r="U95" s="645">
        <f t="shared" si="32"/>
        <v>4.8087</v>
      </c>
      <c r="V95" s="645">
        <f t="shared" si="33"/>
        <v>1.8495000000000001</v>
      </c>
      <c r="W95" s="645">
        <f t="shared" si="34"/>
        <v>8.5077000000000016</v>
      </c>
      <c r="Y95" s="640">
        <f t="shared" si="35"/>
        <v>9.9999999999999982</v>
      </c>
      <c r="Z95" s="640">
        <f t="shared" si="36"/>
        <v>433.31142857142856</v>
      </c>
      <c r="AB95" s="655">
        <f t="shared" si="37"/>
        <v>0.17499999999999999</v>
      </c>
    </row>
    <row r="96" spans="1:28">
      <c r="A96" s="658">
        <f t="shared" si="11"/>
        <v>43</v>
      </c>
      <c r="B96" s="646" t="s">
        <v>2336</v>
      </c>
      <c r="C96" s="659">
        <v>225</v>
      </c>
      <c r="D96" s="1831">
        <v>600</v>
      </c>
      <c r="E96" s="657">
        <v>200</v>
      </c>
      <c r="F96" s="659">
        <v>10</v>
      </c>
      <c r="G96" s="658">
        <v>200</v>
      </c>
      <c r="H96" s="657">
        <f t="shared" si="29"/>
        <v>2800</v>
      </c>
      <c r="I96" s="659"/>
      <c r="J96" s="658">
        <v>100</v>
      </c>
      <c r="K96" s="657"/>
      <c r="L96" s="659">
        <f t="shared" si="120"/>
        <v>4</v>
      </c>
      <c r="M96" s="900">
        <v>10</v>
      </c>
      <c r="N96" s="658">
        <v>100</v>
      </c>
      <c r="O96" s="657">
        <f t="shared" si="121"/>
        <v>200</v>
      </c>
      <c r="P96" s="659">
        <v>10</v>
      </c>
      <c r="Q96" s="658">
        <v>100</v>
      </c>
      <c r="R96" s="657">
        <f t="shared" si="76"/>
        <v>2050</v>
      </c>
      <c r="S96" s="656">
        <f t="shared" si="30"/>
        <v>2.7E-2</v>
      </c>
      <c r="T96" s="645">
        <f t="shared" si="31"/>
        <v>0.27</v>
      </c>
      <c r="U96" s="645">
        <f t="shared" si="32"/>
        <v>3.4523999999999999</v>
      </c>
      <c r="V96" s="645">
        <f t="shared" si="33"/>
        <v>1.4796</v>
      </c>
      <c r="W96" s="645">
        <f t="shared" si="34"/>
        <v>8.8467749999999992</v>
      </c>
      <c r="Y96" s="640">
        <f t="shared" si="35"/>
        <v>10</v>
      </c>
      <c r="Z96" s="640">
        <f t="shared" si="36"/>
        <v>510.32499999999999</v>
      </c>
      <c r="AB96" s="655">
        <f t="shared" si="37"/>
        <v>0.13500000000000001</v>
      </c>
    </row>
    <row r="97" spans="1:28">
      <c r="A97" s="658">
        <f t="shared" si="11"/>
        <v>44</v>
      </c>
      <c r="B97" s="646" t="s">
        <v>2336</v>
      </c>
      <c r="C97" s="659">
        <v>195</v>
      </c>
      <c r="D97" s="1831">
        <v>1100</v>
      </c>
      <c r="E97" s="657">
        <v>200</v>
      </c>
      <c r="F97" s="659">
        <v>10</v>
      </c>
      <c r="G97" s="658">
        <v>200</v>
      </c>
      <c r="H97" s="657">
        <f t="shared" si="29"/>
        <v>3800</v>
      </c>
      <c r="I97" s="659"/>
      <c r="J97" s="658">
        <v>100</v>
      </c>
      <c r="K97" s="657"/>
      <c r="L97" s="659">
        <f t="shared" si="120"/>
        <v>9</v>
      </c>
      <c r="M97" s="900">
        <v>10</v>
      </c>
      <c r="N97" s="658">
        <v>100</v>
      </c>
      <c r="O97" s="657">
        <f t="shared" si="121"/>
        <v>200</v>
      </c>
      <c r="P97" s="659">
        <v>10</v>
      </c>
      <c r="Q97" s="658">
        <v>100</v>
      </c>
      <c r="R97" s="657">
        <f t="shared" si="76"/>
        <v>1990</v>
      </c>
      <c r="S97" s="656">
        <f t="shared" si="30"/>
        <v>4.2900000000000001E-2</v>
      </c>
      <c r="T97" s="645">
        <f t="shared" si="31"/>
        <v>0.42899999999999999</v>
      </c>
      <c r="U97" s="645">
        <f t="shared" si="32"/>
        <v>4.6854000000000005</v>
      </c>
      <c r="V97" s="645">
        <f t="shared" si="33"/>
        <v>3.3290999999999999</v>
      </c>
      <c r="W97" s="645">
        <f t="shared" si="34"/>
        <v>14.722020000000001</v>
      </c>
      <c r="Y97" s="640">
        <f t="shared" si="35"/>
        <v>10</v>
      </c>
      <c r="Z97" s="640">
        <f t="shared" si="36"/>
        <v>529.98881118881116</v>
      </c>
      <c r="AB97" s="655">
        <f t="shared" si="37"/>
        <v>0.2145</v>
      </c>
    </row>
    <row r="98" spans="1:28">
      <c r="A98" s="658">
        <f t="shared" si="11"/>
        <v>45</v>
      </c>
      <c r="B98" s="646" t="s">
        <v>2336</v>
      </c>
      <c r="C98" s="659">
        <v>200</v>
      </c>
      <c r="D98" s="1831">
        <v>1100</v>
      </c>
      <c r="E98" s="657">
        <v>200</v>
      </c>
      <c r="F98" s="659">
        <v>10</v>
      </c>
      <c r="G98" s="658">
        <v>200</v>
      </c>
      <c r="H98" s="657">
        <f t="shared" si="29"/>
        <v>3800</v>
      </c>
      <c r="I98" s="659"/>
      <c r="J98" s="658">
        <v>100</v>
      </c>
      <c r="K98" s="657"/>
      <c r="L98" s="659">
        <f t="shared" si="120"/>
        <v>9</v>
      </c>
      <c r="M98" s="900">
        <v>10</v>
      </c>
      <c r="N98" s="658">
        <v>100</v>
      </c>
      <c r="O98" s="657">
        <f t="shared" si="121"/>
        <v>200</v>
      </c>
      <c r="P98" s="659">
        <v>10</v>
      </c>
      <c r="Q98" s="658">
        <v>100</v>
      </c>
      <c r="R98" s="657">
        <f t="shared" si="76"/>
        <v>2000</v>
      </c>
      <c r="S98" s="656">
        <f t="shared" si="30"/>
        <v>4.3999999999999997E-2</v>
      </c>
      <c r="T98" s="645">
        <f t="shared" si="31"/>
        <v>0.44</v>
      </c>
      <c r="U98" s="645">
        <f t="shared" si="32"/>
        <v>4.6854000000000005</v>
      </c>
      <c r="V98" s="645">
        <f t="shared" si="33"/>
        <v>3.3290999999999999</v>
      </c>
      <c r="W98" s="645">
        <f t="shared" si="34"/>
        <v>14.795999999999999</v>
      </c>
      <c r="Y98" s="640">
        <f t="shared" si="35"/>
        <v>10</v>
      </c>
      <c r="Z98" s="640">
        <f t="shared" si="36"/>
        <v>518.4204545454545</v>
      </c>
      <c r="AB98" s="655">
        <f t="shared" si="37"/>
        <v>0.22</v>
      </c>
    </row>
    <row r="99" spans="1:28">
      <c r="A99" s="658">
        <f t="shared" si="11"/>
        <v>46</v>
      </c>
      <c r="B99" s="646" t="s">
        <v>2336</v>
      </c>
      <c r="C99" s="659">
        <v>675</v>
      </c>
      <c r="D99" s="1831">
        <v>600</v>
      </c>
      <c r="E99" s="657">
        <v>200</v>
      </c>
      <c r="F99" s="659">
        <v>10</v>
      </c>
      <c r="G99" s="658">
        <v>200</v>
      </c>
      <c r="H99" s="657">
        <f t="shared" si="29"/>
        <v>2800</v>
      </c>
      <c r="I99" s="659"/>
      <c r="J99" s="658">
        <v>100</v>
      </c>
      <c r="K99" s="657"/>
      <c r="L99" s="659">
        <f t="shared" si="120"/>
        <v>4</v>
      </c>
      <c r="M99" s="900">
        <v>10</v>
      </c>
      <c r="N99" s="658">
        <v>100</v>
      </c>
      <c r="O99" s="657">
        <f t="shared" si="121"/>
        <v>200</v>
      </c>
      <c r="P99" s="659">
        <v>10</v>
      </c>
      <c r="Q99" s="658">
        <v>100</v>
      </c>
      <c r="R99" s="657">
        <f t="shared" si="76"/>
        <v>2950</v>
      </c>
      <c r="S99" s="656">
        <f t="shared" si="30"/>
        <v>8.1000000000000003E-2</v>
      </c>
      <c r="T99" s="645">
        <f t="shared" si="31"/>
        <v>0.81</v>
      </c>
      <c r="U99" s="645">
        <f t="shared" si="32"/>
        <v>6.9047999999999998</v>
      </c>
      <c r="V99" s="645">
        <f t="shared" si="33"/>
        <v>3.9456000000000002</v>
      </c>
      <c r="W99" s="645">
        <f t="shared" si="34"/>
        <v>12.730725000000001</v>
      </c>
      <c r="Y99" s="640">
        <f t="shared" si="35"/>
        <v>10</v>
      </c>
      <c r="Z99" s="640">
        <f t="shared" si="36"/>
        <v>291.125</v>
      </c>
      <c r="AB99" s="655">
        <f t="shared" si="37"/>
        <v>0.40500000000000003</v>
      </c>
    </row>
    <row r="100" spans="1:28">
      <c r="A100" s="658">
        <f t="shared" si="11"/>
        <v>47</v>
      </c>
      <c r="B100" s="646" t="s">
        <v>2336</v>
      </c>
      <c r="C100" s="659">
        <v>500</v>
      </c>
      <c r="D100" s="1831">
        <v>400</v>
      </c>
      <c r="E100" s="657">
        <v>300</v>
      </c>
      <c r="F100" s="659">
        <v>10</v>
      </c>
      <c r="G100" s="658">
        <v>200</v>
      </c>
      <c r="H100" s="657">
        <f t="shared" si="29"/>
        <v>2400</v>
      </c>
      <c r="I100" s="659"/>
      <c r="J100" s="658">
        <v>100</v>
      </c>
      <c r="K100" s="657"/>
      <c r="L100" s="659">
        <f t="shared" si="120"/>
        <v>2</v>
      </c>
      <c r="M100" s="900">
        <v>10</v>
      </c>
      <c r="N100" s="658">
        <v>100</v>
      </c>
      <c r="O100" s="657">
        <f t="shared" si="121"/>
        <v>300</v>
      </c>
      <c r="P100" s="659">
        <v>10</v>
      </c>
      <c r="Q100" s="658">
        <v>100</v>
      </c>
      <c r="R100" s="657">
        <f t="shared" si="76"/>
        <v>2600</v>
      </c>
      <c r="S100" s="656">
        <f t="shared" si="30"/>
        <v>0.06</v>
      </c>
      <c r="T100" s="645">
        <f t="shared" si="31"/>
        <v>0.4</v>
      </c>
      <c r="U100" s="645">
        <f t="shared" si="32"/>
        <v>5.9184000000000001</v>
      </c>
      <c r="V100" s="645">
        <f t="shared" si="33"/>
        <v>2.2194000000000003</v>
      </c>
      <c r="W100" s="645">
        <f t="shared" si="34"/>
        <v>8.0145</v>
      </c>
      <c r="Y100" s="640">
        <f t="shared" si="35"/>
        <v>6.666666666666667</v>
      </c>
      <c r="Z100" s="640">
        <f t="shared" si="36"/>
        <v>269.20500000000004</v>
      </c>
      <c r="AB100" s="655">
        <f t="shared" si="37"/>
        <v>0.2</v>
      </c>
    </row>
    <row r="101" spans="1:28">
      <c r="A101" s="658">
        <f t="shared" si="11"/>
        <v>48</v>
      </c>
      <c r="B101" s="646" t="s">
        <v>2336</v>
      </c>
      <c r="C101" s="659">
        <v>675</v>
      </c>
      <c r="D101" s="1831">
        <v>400</v>
      </c>
      <c r="E101" s="657">
        <v>300</v>
      </c>
      <c r="F101" s="659">
        <v>10</v>
      </c>
      <c r="G101" s="658">
        <v>200</v>
      </c>
      <c r="H101" s="657">
        <f t="shared" si="29"/>
        <v>2400</v>
      </c>
      <c r="I101" s="659"/>
      <c r="J101" s="658">
        <v>100</v>
      </c>
      <c r="K101" s="657"/>
      <c r="L101" s="659">
        <f t="shared" si="120"/>
        <v>2</v>
      </c>
      <c r="M101" s="900">
        <v>10</v>
      </c>
      <c r="N101" s="658">
        <v>100</v>
      </c>
      <c r="O101" s="657">
        <f t="shared" si="121"/>
        <v>300</v>
      </c>
      <c r="P101" s="659">
        <v>10</v>
      </c>
      <c r="Q101" s="658">
        <v>100</v>
      </c>
      <c r="R101" s="657">
        <f t="shared" si="76"/>
        <v>2950</v>
      </c>
      <c r="S101" s="656">
        <f t="shared" si="30"/>
        <v>8.1000000000000003E-2</v>
      </c>
      <c r="T101" s="645">
        <f t="shared" si="31"/>
        <v>0.54</v>
      </c>
      <c r="U101" s="645">
        <f t="shared" si="32"/>
        <v>5.9184000000000001</v>
      </c>
      <c r="V101" s="645">
        <f t="shared" si="33"/>
        <v>2.9592000000000001</v>
      </c>
      <c r="W101" s="645">
        <f t="shared" si="34"/>
        <v>9.093375</v>
      </c>
      <c r="Y101" s="640">
        <f t="shared" si="35"/>
        <v>6.666666666666667</v>
      </c>
      <c r="Z101" s="640">
        <f t="shared" si="36"/>
        <v>221.86388888888891</v>
      </c>
      <c r="AB101" s="655">
        <f t="shared" si="37"/>
        <v>0.27</v>
      </c>
    </row>
    <row r="102" spans="1:28">
      <c r="A102" s="658">
        <f t="shared" si="11"/>
        <v>49</v>
      </c>
      <c r="B102" s="646" t="s">
        <v>2336</v>
      </c>
      <c r="C102" s="659">
        <v>500</v>
      </c>
      <c r="D102" s="1831">
        <v>500</v>
      </c>
      <c r="E102" s="657">
        <v>200</v>
      </c>
      <c r="F102" s="659">
        <v>10</v>
      </c>
      <c r="G102" s="658">
        <v>200</v>
      </c>
      <c r="H102" s="657">
        <f t="shared" si="29"/>
        <v>2600</v>
      </c>
      <c r="I102" s="659"/>
      <c r="J102" s="658">
        <v>100</v>
      </c>
      <c r="K102" s="657"/>
      <c r="L102" s="659">
        <f t="shared" si="120"/>
        <v>3</v>
      </c>
      <c r="M102" s="900">
        <v>10</v>
      </c>
      <c r="N102" s="658">
        <v>100</v>
      </c>
      <c r="O102" s="657">
        <f t="shared" si="121"/>
        <v>200</v>
      </c>
      <c r="P102" s="659">
        <v>10</v>
      </c>
      <c r="Q102" s="658">
        <v>100</v>
      </c>
      <c r="R102" s="657">
        <f t="shared" si="76"/>
        <v>2600</v>
      </c>
      <c r="S102" s="656">
        <f t="shared" si="30"/>
        <v>0.05</v>
      </c>
      <c r="T102" s="645">
        <f t="shared" si="31"/>
        <v>0.5</v>
      </c>
      <c r="U102" s="645">
        <f t="shared" si="32"/>
        <v>6.4116</v>
      </c>
      <c r="V102" s="645">
        <f t="shared" si="33"/>
        <v>2.2194000000000003</v>
      </c>
      <c r="W102" s="645">
        <f t="shared" si="34"/>
        <v>9.6174000000000017</v>
      </c>
      <c r="Y102" s="640">
        <f t="shared" si="35"/>
        <v>10</v>
      </c>
      <c r="Z102" s="640">
        <f t="shared" si="36"/>
        <v>364.96800000000007</v>
      </c>
      <c r="AB102" s="655">
        <f t="shared" si="37"/>
        <v>0.25</v>
      </c>
    </row>
    <row r="103" spans="1:28">
      <c r="A103" s="658">
        <f t="shared" si="11"/>
        <v>50</v>
      </c>
      <c r="B103" s="646" t="s">
        <v>2336</v>
      </c>
      <c r="C103" s="659">
        <v>580</v>
      </c>
      <c r="D103" s="1831">
        <v>500</v>
      </c>
      <c r="E103" s="657">
        <v>200</v>
      </c>
      <c r="F103" s="659">
        <v>10</v>
      </c>
      <c r="G103" s="658">
        <v>200</v>
      </c>
      <c r="H103" s="657">
        <f t="shared" si="29"/>
        <v>2600</v>
      </c>
      <c r="I103" s="659"/>
      <c r="J103" s="658">
        <v>100</v>
      </c>
      <c r="K103" s="657"/>
      <c r="L103" s="659">
        <f t="shared" si="120"/>
        <v>3</v>
      </c>
      <c r="M103" s="900">
        <v>10</v>
      </c>
      <c r="N103" s="658">
        <v>100</v>
      </c>
      <c r="O103" s="657">
        <f t="shared" si="121"/>
        <v>200</v>
      </c>
      <c r="P103" s="659">
        <v>10</v>
      </c>
      <c r="Q103" s="658">
        <v>100</v>
      </c>
      <c r="R103" s="657">
        <f t="shared" si="76"/>
        <v>2760</v>
      </c>
      <c r="S103" s="656">
        <f t="shared" si="30"/>
        <v>5.8000000000000003E-2</v>
      </c>
      <c r="T103" s="645">
        <f t="shared" si="31"/>
        <v>0.57999999999999996</v>
      </c>
      <c r="U103" s="645">
        <f t="shared" si="32"/>
        <v>6.4116</v>
      </c>
      <c r="V103" s="645">
        <f t="shared" si="33"/>
        <v>2.5893000000000002</v>
      </c>
      <c r="W103" s="645">
        <f t="shared" si="34"/>
        <v>10.209240000000001</v>
      </c>
      <c r="Y103" s="640">
        <f t="shared" si="35"/>
        <v>9.9999999999999982</v>
      </c>
      <c r="Z103" s="640">
        <f t="shared" si="36"/>
        <v>331.2093103448276</v>
      </c>
      <c r="AB103" s="655">
        <f t="shared" si="37"/>
        <v>0.28999999999999998</v>
      </c>
    </row>
    <row r="104" spans="1:28">
      <c r="A104" s="658">
        <f t="shared" si="11"/>
        <v>51</v>
      </c>
      <c r="B104" s="646" t="s">
        <v>2336</v>
      </c>
      <c r="C104" s="659">
        <v>350</v>
      </c>
      <c r="D104" s="1831">
        <v>400</v>
      </c>
      <c r="E104" s="657">
        <v>300</v>
      </c>
      <c r="F104" s="659">
        <v>10</v>
      </c>
      <c r="G104" s="658">
        <v>200</v>
      </c>
      <c r="H104" s="657">
        <f t="shared" si="29"/>
        <v>2400</v>
      </c>
      <c r="I104" s="659"/>
      <c r="J104" s="658">
        <v>100</v>
      </c>
      <c r="K104" s="657"/>
      <c r="L104" s="659">
        <f t="shared" si="120"/>
        <v>2</v>
      </c>
      <c r="M104" s="900">
        <v>10</v>
      </c>
      <c r="N104" s="658">
        <v>100</v>
      </c>
      <c r="O104" s="657">
        <f t="shared" si="121"/>
        <v>300</v>
      </c>
      <c r="P104" s="659">
        <v>10</v>
      </c>
      <c r="Q104" s="658">
        <v>100</v>
      </c>
      <c r="R104" s="657">
        <f t="shared" si="76"/>
        <v>2300</v>
      </c>
      <c r="S104" s="656">
        <f t="shared" si="30"/>
        <v>4.2000000000000003E-2</v>
      </c>
      <c r="T104" s="645">
        <f t="shared" si="31"/>
        <v>0.28000000000000003</v>
      </c>
      <c r="U104" s="645">
        <f t="shared" si="32"/>
        <v>4.4388000000000005</v>
      </c>
      <c r="V104" s="645">
        <f t="shared" si="33"/>
        <v>1.8495000000000001</v>
      </c>
      <c r="W104" s="645">
        <f t="shared" si="34"/>
        <v>7.0897500000000004</v>
      </c>
      <c r="Y104" s="640">
        <f t="shared" si="35"/>
        <v>6.666666666666667</v>
      </c>
      <c r="Z104" s="640">
        <f t="shared" si="36"/>
        <v>318.52500000000003</v>
      </c>
      <c r="AB104" s="655">
        <f t="shared" si="37"/>
        <v>0.14000000000000001</v>
      </c>
    </row>
    <row r="105" spans="1:28">
      <c r="A105" s="658">
        <f t="shared" si="11"/>
        <v>52</v>
      </c>
      <c r="B105" s="646" t="s">
        <v>2336</v>
      </c>
      <c r="C105" s="659">
        <v>405</v>
      </c>
      <c r="D105" s="1831">
        <v>600</v>
      </c>
      <c r="E105" s="657">
        <v>200</v>
      </c>
      <c r="F105" s="659">
        <v>10</v>
      </c>
      <c r="G105" s="658">
        <v>200</v>
      </c>
      <c r="H105" s="657">
        <f t="shared" si="29"/>
        <v>2800</v>
      </c>
      <c r="I105" s="659"/>
      <c r="J105" s="658">
        <v>100</v>
      </c>
      <c r="K105" s="657"/>
      <c r="L105" s="659">
        <f t="shared" si="120"/>
        <v>4</v>
      </c>
      <c r="M105" s="900">
        <v>10</v>
      </c>
      <c r="N105" s="658">
        <v>100</v>
      </c>
      <c r="O105" s="657">
        <f t="shared" si="121"/>
        <v>200</v>
      </c>
      <c r="P105" s="659">
        <v>10</v>
      </c>
      <c r="Q105" s="658">
        <v>100</v>
      </c>
      <c r="R105" s="657">
        <f t="shared" si="76"/>
        <v>2410</v>
      </c>
      <c r="S105" s="656">
        <f t="shared" si="30"/>
        <v>4.8599999999999997E-2</v>
      </c>
      <c r="T105" s="645">
        <f t="shared" si="31"/>
        <v>0.48599999999999999</v>
      </c>
      <c r="U105" s="645">
        <f t="shared" si="32"/>
        <v>5.1786000000000003</v>
      </c>
      <c r="V105" s="645">
        <f t="shared" si="33"/>
        <v>2.4660000000000002</v>
      </c>
      <c r="W105" s="645">
        <f t="shared" si="34"/>
        <v>10.400355000000001</v>
      </c>
      <c r="Y105" s="640">
        <f t="shared" si="35"/>
        <v>10</v>
      </c>
      <c r="Z105" s="640">
        <f t="shared" si="36"/>
        <v>371.29537037037045</v>
      </c>
      <c r="AB105" s="655">
        <f t="shared" si="37"/>
        <v>0.24299999999999999</v>
      </c>
    </row>
    <row r="106" spans="1:28">
      <c r="A106" s="658">
        <f t="shared" si="11"/>
        <v>53</v>
      </c>
      <c r="B106" s="646" t="s">
        <v>2336</v>
      </c>
      <c r="C106" s="659">
        <v>350</v>
      </c>
      <c r="D106" s="1831">
        <v>500</v>
      </c>
      <c r="E106" s="657">
        <v>200</v>
      </c>
      <c r="F106" s="659">
        <v>10</v>
      </c>
      <c r="G106" s="658">
        <v>200</v>
      </c>
      <c r="H106" s="657">
        <f t="shared" si="29"/>
        <v>2600</v>
      </c>
      <c r="I106" s="659"/>
      <c r="J106" s="658">
        <v>100</v>
      </c>
      <c r="K106" s="657"/>
      <c r="L106" s="659">
        <f t="shared" si="120"/>
        <v>3</v>
      </c>
      <c r="M106" s="900">
        <v>10</v>
      </c>
      <c r="N106" s="658">
        <v>100</v>
      </c>
      <c r="O106" s="657">
        <f t="shared" si="121"/>
        <v>200</v>
      </c>
      <c r="P106" s="659">
        <v>10</v>
      </c>
      <c r="Q106" s="658">
        <v>100</v>
      </c>
      <c r="R106" s="657">
        <f t="shared" si="76"/>
        <v>2300</v>
      </c>
      <c r="S106" s="656">
        <f t="shared" si="30"/>
        <v>3.5000000000000003E-2</v>
      </c>
      <c r="T106" s="645">
        <f t="shared" si="31"/>
        <v>0.35</v>
      </c>
      <c r="U106" s="645">
        <f t="shared" si="32"/>
        <v>4.8087</v>
      </c>
      <c r="V106" s="645">
        <f t="shared" si="33"/>
        <v>1.8495000000000001</v>
      </c>
      <c r="W106" s="645">
        <f t="shared" si="34"/>
        <v>8.5077000000000016</v>
      </c>
      <c r="Y106" s="640">
        <f t="shared" si="35"/>
        <v>9.9999999999999982</v>
      </c>
      <c r="Z106" s="640">
        <f t="shared" si="36"/>
        <v>433.31142857142856</v>
      </c>
      <c r="AB106" s="655">
        <f t="shared" si="37"/>
        <v>0.17499999999999999</v>
      </c>
    </row>
    <row r="107" spans="1:28">
      <c r="A107" s="658">
        <f t="shared" si="11"/>
        <v>54</v>
      </c>
      <c r="B107" s="646" t="s">
        <v>2336</v>
      </c>
      <c r="C107" s="659">
        <v>580</v>
      </c>
      <c r="D107" s="1831">
        <v>400</v>
      </c>
      <c r="E107" s="657">
        <v>300</v>
      </c>
      <c r="F107" s="659">
        <v>10</v>
      </c>
      <c r="G107" s="658">
        <v>200</v>
      </c>
      <c r="H107" s="657">
        <f t="shared" si="29"/>
        <v>2400</v>
      </c>
      <c r="I107" s="659"/>
      <c r="J107" s="658">
        <v>100</v>
      </c>
      <c r="K107" s="657"/>
      <c r="L107" s="659">
        <f t="shared" si="120"/>
        <v>2</v>
      </c>
      <c r="M107" s="900">
        <v>10</v>
      </c>
      <c r="N107" s="658">
        <v>100</v>
      </c>
      <c r="O107" s="657">
        <f t="shared" si="121"/>
        <v>300</v>
      </c>
      <c r="P107" s="659">
        <v>10</v>
      </c>
      <c r="Q107" s="658">
        <v>100</v>
      </c>
      <c r="R107" s="657">
        <f t="shared" si="76"/>
        <v>2760</v>
      </c>
      <c r="S107" s="656">
        <f t="shared" si="30"/>
        <v>6.9599999999999995E-2</v>
      </c>
      <c r="T107" s="645">
        <f t="shared" si="31"/>
        <v>0.46400000000000002</v>
      </c>
      <c r="U107" s="645">
        <f t="shared" si="32"/>
        <v>5.9184000000000001</v>
      </c>
      <c r="V107" s="645">
        <f t="shared" si="33"/>
        <v>2.5893000000000002</v>
      </c>
      <c r="W107" s="645">
        <f t="shared" si="34"/>
        <v>8.5077000000000016</v>
      </c>
      <c r="Y107" s="640">
        <f t="shared" si="35"/>
        <v>6.6666666666666679</v>
      </c>
      <c r="Z107" s="640">
        <f t="shared" si="36"/>
        <v>244.47413793103451</v>
      </c>
      <c r="AB107" s="655">
        <f t="shared" si="37"/>
        <v>0.23200000000000001</v>
      </c>
    </row>
    <row r="108" spans="1:28">
      <c r="A108" s="658">
        <f t="shared" si="11"/>
        <v>55</v>
      </c>
      <c r="B108" s="646" t="s">
        <v>2336</v>
      </c>
      <c r="C108" s="659">
        <v>350</v>
      </c>
      <c r="D108" s="1831">
        <v>500</v>
      </c>
      <c r="E108" s="657">
        <v>200</v>
      </c>
      <c r="F108" s="659">
        <v>10</v>
      </c>
      <c r="G108" s="658">
        <v>200</v>
      </c>
      <c r="H108" s="657">
        <f t="shared" si="29"/>
        <v>2600</v>
      </c>
      <c r="I108" s="659"/>
      <c r="J108" s="658">
        <v>100</v>
      </c>
      <c r="K108" s="657"/>
      <c r="L108" s="659">
        <f t="shared" si="120"/>
        <v>3</v>
      </c>
      <c r="M108" s="900">
        <v>10</v>
      </c>
      <c r="N108" s="658">
        <v>100</v>
      </c>
      <c r="O108" s="657">
        <f t="shared" si="121"/>
        <v>200</v>
      </c>
      <c r="P108" s="659">
        <v>10</v>
      </c>
      <c r="Q108" s="658">
        <v>100</v>
      </c>
      <c r="R108" s="657">
        <f t="shared" si="76"/>
        <v>2300</v>
      </c>
      <c r="S108" s="656">
        <f t="shared" si="30"/>
        <v>3.5000000000000003E-2</v>
      </c>
      <c r="T108" s="645">
        <f t="shared" si="31"/>
        <v>0.35</v>
      </c>
      <c r="U108" s="645">
        <f t="shared" si="32"/>
        <v>4.8087</v>
      </c>
      <c r="V108" s="645">
        <f t="shared" si="33"/>
        <v>1.8495000000000001</v>
      </c>
      <c r="W108" s="645">
        <f t="shared" si="34"/>
        <v>8.5077000000000016</v>
      </c>
      <c r="Y108" s="640">
        <f t="shared" si="35"/>
        <v>9.9999999999999982</v>
      </c>
      <c r="Z108" s="640">
        <f t="shared" si="36"/>
        <v>433.31142857142856</v>
      </c>
      <c r="AB108" s="655">
        <f t="shared" si="37"/>
        <v>0.17499999999999999</v>
      </c>
    </row>
    <row r="109" spans="1:28">
      <c r="A109" s="658">
        <f t="shared" si="11"/>
        <v>56</v>
      </c>
      <c r="B109" s="646" t="s">
        <v>2336</v>
      </c>
      <c r="C109" s="659">
        <v>350</v>
      </c>
      <c r="D109" s="1831">
        <v>500</v>
      </c>
      <c r="E109" s="657">
        <v>200</v>
      </c>
      <c r="F109" s="659">
        <v>10</v>
      </c>
      <c r="G109" s="658">
        <v>200</v>
      </c>
      <c r="H109" s="657">
        <f t="shared" si="29"/>
        <v>2600</v>
      </c>
      <c r="I109" s="659"/>
      <c r="J109" s="658">
        <v>100</v>
      </c>
      <c r="K109" s="657"/>
      <c r="L109" s="659">
        <f t="shared" si="120"/>
        <v>3</v>
      </c>
      <c r="M109" s="900">
        <v>10</v>
      </c>
      <c r="N109" s="658">
        <v>100</v>
      </c>
      <c r="O109" s="657">
        <f t="shared" si="121"/>
        <v>200</v>
      </c>
      <c r="P109" s="659">
        <v>10</v>
      </c>
      <c r="Q109" s="658">
        <v>100</v>
      </c>
      <c r="R109" s="657">
        <f t="shared" si="76"/>
        <v>2300</v>
      </c>
      <c r="S109" s="656">
        <f t="shared" si="30"/>
        <v>3.5000000000000003E-2</v>
      </c>
      <c r="T109" s="645">
        <f t="shared" si="31"/>
        <v>0.35</v>
      </c>
      <c r="U109" s="645">
        <f t="shared" si="32"/>
        <v>4.8087</v>
      </c>
      <c r="V109" s="645">
        <f t="shared" si="33"/>
        <v>1.8495000000000001</v>
      </c>
      <c r="W109" s="645">
        <f t="shared" si="34"/>
        <v>8.5077000000000016</v>
      </c>
      <c r="Y109" s="640">
        <f t="shared" si="35"/>
        <v>9.9999999999999982</v>
      </c>
      <c r="Z109" s="640">
        <f t="shared" si="36"/>
        <v>433.31142857142856</v>
      </c>
      <c r="AB109" s="655">
        <f t="shared" si="37"/>
        <v>0.17499999999999999</v>
      </c>
    </row>
    <row r="110" spans="1:28">
      <c r="A110" s="658">
        <f t="shared" si="11"/>
        <v>57</v>
      </c>
      <c r="B110" s="646" t="s">
        <v>2336</v>
      </c>
      <c r="C110" s="659">
        <v>105</v>
      </c>
      <c r="D110" s="1831">
        <v>600</v>
      </c>
      <c r="E110" s="657">
        <v>200</v>
      </c>
      <c r="F110" s="659">
        <v>10</v>
      </c>
      <c r="G110" s="658">
        <v>200</v>
      </c>
      <c r="H110" s="657">
        <f t="shared" si="29"/>
        <v>2800</v>
      </c>
      <c r="I110" s="659"/>
      <c r="J110" s="658">
        <v>100</v>
      </c>
      <c r="K110" s="657"/>
      <c r="L110" s="659">
        <f t="shared" si="120"/>
        <v>4</v>
      </c>
      <c r="M110" s="900">
        <v>10</v>
      </c>
      <c r="N110" s="658">
        <v>100</v>
      </c>
      <c r="O110" s="657">
        <f t="shared" si="121"/>
        <v>200</v>
      </c>
      <c r="P110" s="659">
        <v>10</v>
      </c>
      <c r="Q110" s="658">
        <v>100</v>
      </c>
      <c r="R110" s="657">
        <f t="shared" si="76"/>
        <v>1810</v>
      </c>
      <c r="S110" s="656">
        <f t="shared" ref="S110:S126" si="130">C110*D110*E110/1000000000</f>
        <v>1.26E-2</v>
      </c>
      <c r="T110" s="645">
        <f t="shared" ref="T110:T126" si="131">2*C110*D110/1000000</f>
        <v>0.126</v>
      </c>
      <c r="U110" s="645">
        <f t="shared" ref="U110:U126" si="132">0.006165*(F110^2*H110*(ROUND(C110/G110,0)+1)+I110^2*K110*(ROUND(C110/J110,0)+1))/1000</f>
        <v>3.4523999999999999</v>
      </c>
      <c r="V110" s="645">
        <f t="shared" ref="V110:V126" si="133">0.006165*M110^2*O110*(ROUND(C110/N110,0)+1)/1000*L110</f>
        <v>0.98640000000000005</v>
      </c>
      <c r="W110" s="645">
        <f t="shared" ref="W110:W126" si="134">0.006165*P110^2*R110*(ROUND(D110/Q110,0)+1)/1000</f>
        <v>7.8110550000000005</v>
      </c>
      <c r="Y110" s="640">
        <f t="shared" ref="Y110:Y126" si="135">T110/S110</f>
        <v>10</v>
      </c>
      <c r="Z110" s="640">
        <f t="shared" ref="Z110:Z126" si="136">SUM(U110:W110)/S110</f>
        <v>972.21071428571429</v>
      </c>
      <c r="AB110" s="655">
        <f t="shared" ref="AB110:AB126" si="137">T110/2</f>
        <v>6.3E-2</v>
      </c>
    </row>
    <row r="111" spans="1:28">
      <c r="A111" s="658">
        <f t="shared" si="11"/>
        <v>58</v>
      </c>
      <c r="B111" s="646" t="s">
        <v>2336</v>
      </c>
      <c r="C111" s="659">
        <v>100</v>
      </c>
      <c r="D111" s="1831">
        <v>600</v>
      </c>
      <c r="E111" s="657">
        <v>200</v>
      </c>
      <c r="F111" s="659">
        <v>10</v>
      </c>
      <c r="G111" s="658">
        <v>200</v>
      </c>
      <c r="H111" s="657">
        <f t="shared" si="29"/>
        <v>2800</v>
      </c>
      <c r="I111" s="659"/>
      <c r="J111" s="658">
        <v>100</v>
      </c>
      <c r="K111" s="657"/>
      <c r="L111" s="659">
        <f t="shared" si="120"/>
        <v>4</v>
      </c>
      <c r="M111" s="900">
        <v>10</v>
      </c>
      <c r="N111" s="658">
        <v>100</v>
      </c>
      <c r="O111" s="657">
        <f t="shared" si="121"/>
        <v>200</v>
      </c>
      <c r="P111" s="659">
        <v>10</v>
      </c>
      <c r="Q111" s="658">
        <v>100</v>
      </c>
      <c r="R111" s="657">
        <f t="shared" si="76"/>
        <v>1800</v>
      </c>
      <c r="S111" s="656">
        <f t="shared" si="130"/>
        <v>1.2E-2</v>
      </c>
      <c r="T111" s="645">
        <f t="shared" si="131"/>
        <v>0.12</v>
      </c>
      <c r="U111" s="645">
        <f t="shared" si="132"/>
        <v>3.4523999999999999</v>
      </c>
      <c r="V111" s="645">
        <f t="shared" si="133"/>
        <v>0.98640000000000005</v>
      </c>
      <c r="W111" s="645">
        <f t="shared" si="134"/>
        <v>7.7679000000000009</v>
      </c>
      <c r="Y111" s="640">
        <f t="shared" si="135"/>
        <v>10</v>
      </c>
      <c r="Z111" s="640">
        <f t="shared" si="136"/>
        <v>1017.2250000000001</v>
      </c>
      <c r="AB111" s="655">
        <f t="shared" si="137"/>
        <v>0.06</v>
      </c>
    </row>
    <row r="112" spans="1:28">
      <c r="A112" s="658">
        <f t="shared" si="11"/>
        <v>59</v>
      </c>
      <c r="B112" s="646" t="s">
        <v>2336</v>
      </c>
      <c r="C112" s="659">
        <v>450</v>
      </c>
      <c r="D112" s="1831">
        <v>600</v>
      </c>
      <c r="E112" s="657">
        <v>200</v>
      </c>
      <c r="F112" s="659">
        <v>10</v>
      </c>
      <c r="G112" s="658">
        <v>200</v>
      </c>
      <c r="H112" s="657">
        <f t="shared" si="29"/>
        <v>2800</v>
      </c>
      <c r="I112" s="659"/>
      <c r="J112" s="658">
        <v>100</v>
      </c>
      <c r="K112" s="657"/>
      <c r="L112" s="659">
        <f t="shared" si="120"/>
        <v>4</v>
      </c>
      <c r="M112" s="900">
        <v>10</v>
      </c>
      <c r="N112" s="658">
        <v>100</v>
      </c>
      <c r="O112" s="657">
        <f t="shared" si="121"/>
        <v>200</v>
      </c>
      <c r="P112" s="659">
        <v>10</v>
      </c>
      <c r="Q112" s="658">
        <v>100</v>
      </c>
      <c r="R112" s="657">
        <f t="shared" si="76"/>
        <v>2500</v>
      </c>
      <c r="S112" s="656">
        <f t="shared" si="130"/>
        <v>5.3999999999999999E-2</v>
      </c>
      <c r="T112" s="645">
        <f t="shared" si="131"/>
        <v>0.54</v>
      </c>
      <c r="U112" s="645">
        <f t="shared" si="132"/>
        <v>5.1786000000000003</v>
      </c>
      <c r="V112" s="645">
        <f t="shared" si="133"/>
        <v>2.9592000000000001</v>
      </c>
      <c r="W112" s="645">
        <f t="shared" si="134"/>
        <v>10.788750000000002</v>
      </c>
      <c r="Y112" s="640">
        <f t="shared" si="135"/>
        <v>10</v>
      </c>
      <c r="Z112" s="640">
        <f t="shared" si="136"/>
        <v>350.49166666666673</v>
      </c>
      <c r="AB112" s="655">
        <f t="shared" si="137"/>
        <v>0.27</v>
      </c>
    </row>
    <row r="113" spans="1:28">
      <c r="A113" s="658">
        <f t="shared" si="11"/>
        <v>60</v>
      </c>
      <c r="B113" s="646" t="s">
        <v>2336</v>
      </c>
      <c r="C113" s="659">
        <v>215</v>
      </c>
      <c r="D113" s="1831">
        <v>500</v>
      </c>
      <c r="E113" s="657">
        <v>200</v>
      </c>
      <c r="F113" s="659">
        <v>10</v>
      </c>
      <c r="G113" s="658">
        <v>200</v>
      </c>
      <c r="H113" s="657">
        <f t="shared" si="29"/>
        <v>2600</v>
      </c>
      <c r="I113" s="659"/>
      <c r="J113" s="658">
        <v>100</v>
      </c>
      <c r="K113" s="657"/>
      <c r="L113" s="659">
        <f t="shared" si="120"/>
        <v>3</v>
      </c>
      <c r="M113" s="900">
        <v>10</v>
      </c>
      <c r="N113" s="658">
        <v>100</v>
      </c>
      <c r="O113" s="657">
        <f t="shared" si="121"/>
        <v>200</v>
      </c>
      <c r="P113" s="659">
        <v>10</v>
      </c>
      <c r="Q113" s="658">
        <v>100</v>
      </c>
      <c r="R113" s="657">
        <f t="shared" si="76"/>
        <v>2030</v>
      </c>
      <c r="S113" s="656">
        <f t="shared" si="130"/>
        <v>2.1499999999999998E-2</v>
      </c>
      <c r="T113" s="645">
        <f t="shared" si="131"/>
        <v>0.215</v>
      </c>
      <c r="U113" s="645">
        <f t="shared" si="132"/>
        <v>3.2058</v>
      </c>
      <c r="V113" s="645">
        <f t="shared" si="133"/>
        <v>1.1097000000000001</v>
      </c>
      <c r="W113" s="645">
        <f t="shared" si="134"/>
        <v>7.5089700000000015</v>
      </c>
      <c r="Y113" s="640">
        <f t="shared" si="135"/>
        <v>10</v>
      </c>
      <c r="Z113" s="640">
        <f t="shared" si="136"/>
        <v>549.97534883720937</v>
      </c>
      <c r="AB113" s="655">
        <f t="shared" si="137"/>
        <v>0.1075</v>
      </c>
    </row>
    <row r="114" spans="1:28">
      <c r="A114" s="658">
        <f t="shared" si="11"/>
        <v>61</v>
      </c>
      <c r="B114" s="646" t="s">
        <v>2336</v>
      </c>
      <c r="C114" s="659">
        <v>420</v>
      </c>
      <c r="D114" s="1831">
        <v>500</v>
      </c>
      <c r="E114" s="657">
        <v>200</v>
      </c>
      <c r="F114" s="659">
        <v>10</v>
      </c>
      <c r="G114" s="658">
        <v>200</v>
      </c>
      <c r="H114" s="657">
        <f t="shared" si="29"/>
        <v>2600</v>
      </c>
      <c r="I114" s="659"/>
      <c r="J114" s="658">
        <v>100</v>
      </c>
      <c r="K114" s="657"/>
      <c r="L114" s="659">
        <f t="shared" si="120"/>
        <v>3</v>
      </c>
      <c r="M114" s="900">
        <v>10</v>
      </c>
      <c r="N114" s="658">
        <v>100</v>
      </c>
      <c r="O114" s="657">
        <f t="shared" si="121"/>
        <v>200</v>
      </c>
      <c r="P114" s="659">
        <v>10</v>
      </c>
      <c r="Q114" s="658">
        <v>100</v>
      </c>
      <c r="R114" s="657">
        <f t="shared" si="76"/>
        <v>2440</v>
      </c>
      <c r="S114" s="656">
        <f t="shared" si="130"/>
        <v>4.2000000000000003E-2</v>
      </c>
      <c r="T114" s="645">
        <f t="shared" si="131"/>
        <v>0.42</v>
      </c>
      <c r="U114" s="645">
        <f t="shared" si="132"/>
        <v>4.8087</v>
      </c>
      <c r="V114" s="645">
        <f t="shared" si="133"/>
        <v>1.8495000000000001</v>
      </c>
      <c r="W114" s="645">
        <f t="shared" si="134"/>
        <v>9.0255600000000005</v>
      </c>
      <c r="Y114" s="640">
        <f t="shared" si="135"/>
        <v>9.9999999999999982</v>
      </c>
      <c r="Z114" s="640">
        <f t="shared" si="136"/>
        <v>373.42285714285708</v>
      </c>
      <c r="AB114" s="655">
        <f t="shared" si="137"/>
        <v>0.21</v>
      </c>
    </row>
    <row r="115" spans="1:28">
      <c r="A115" s="658">
        <f t="shared" si="11"/>
        <v>62</v>
      </c>
      <c r="B115" s="646" t="s">
        <v>2336</v>
      </c>
      <c r="C115" s="659">
        <v>200</v>
      </c>
      <c r="D115" s="1831">
        <v>600</v>
      </c>
      <c r="E115" s="657">
        <v>200</v>
      </c>
      <c r="F115" s="659">
        <v>10</v>
      </c>
      <c r="G115" s="658">
        <v>200</v>
      </c>
      <c r="H115" s="657">
        <f t="shared" si="29"/>
        <v>2800</v>
      </c>
      <c r="I115" s="659"/>
      <c r="J115" s="658">
        <v>100</v>
      </c>
      <c r="K115" s="657"/>
      <c r="L115" s="659">
        <f t="shared" si="120"/>
        <v>4</v>
      </c>
      <c r="M115" s="900">
        <v>10</v>
      </c>
      <c r="N115" s="658">
        <v>100</v>
      </c>
      <c r="O115" s="657">
        <f t="shared" si="121"/>
        <v>200</v>
      </c>
      <c r="P115" s="659">
        <v>10</v>
      </c>
      <c r="Q115" s="658">
        <v>100</v>
      </c>
      <c r="R115" s="657">
        <f t="shared" si="76"/>
        <v>2000</v>
      </c>
      <c r="S115" s="656">
        <f t="shared" si="130"/>
        <v>2.4E-2</v>
      </c>
      <c r="T115" s="645">
        <f t="shared" si="131"/>
        <v>0.24</v>
      </c>
      <c r="U115" s="645">
        <f t="shared" si="132"/>
        <v>3.4523999999999999</v>
      </c>
      <c r="V115" s="645">
        <f t="shared" si="133"/>
        <v>1.4796</v>
      </c>
      <c r="W115" s="645">
        <f t="shared" si="134"/>
        <v>8.6310000000000002</v>
      </c>
      <c r="Y115" s="640">
        <f t="shared" si="135"/>
        <v>10</v>
      </c>
      <c r="Z115" s="640">
        <f t="shared" si="136"/>
        <v>565.125</v>
      </c>
      <c r="AB115" s="655">
        <f t="shared" si="137"/>
        <v>0.12</v>
      </c>
    </row>
    <row r="116" spans="1:28">
      <c r="A116" s="658">
        <f t="shared" si="11"/>
        <v>63</v>
      </c>
      <c r="B116" s="646" t="s">
        <v>2336</v>
      </c>
      <c r="C116" s="659">
        <v>200</v>
      </c>
      <c r="D116" s="1831">
        <v>600</v>
      </c>
      <c r="E116" s="657">
        <v>200</v>
      </c>
      <c r="F116" s="659">
        <v>10</v>
      </c>
      <c r="G116" s="658">
        <v>200</v>
      </c>
      <c r="H116" s="657">
        <f t="shared" si="29"/>
        <v>2800</v>
      </c>
      <c r="I116" s="659"/>
      <c r="J116" s="658">
        <v>100</v>
      </c>
      <c r="K116" s="657"/>
      <c r="L116" s="659">
        <f t="shared" si="120"/>
        <v>4</v>
      </c>
      <c r="M116" s="900">
        <v>10</v>
      </c>
      <c r="N116" s="658">
        <v>100</v>
      </c>
      <c r="O116" s="657">
        <f t="shared" si="121"/>
        <v>200</v>
      </c>
      <c r="P116" s="659">
        <v>10</v>
      </c>
      <c r="Q116" s="658">
        <v>100</v>
      </c>
      <c r="R116" s="657">
        <f t="shared" si="76"/>
        <v>2000</v>
      </c>
      <c r="S116" s="656">
        <f t="shared" si="130"/>
        <v>2.4E-2</v>
      </c>
      <c r="T116" s="645">
        <f t="shared" si="131"/>
        <v>0.24</v>
      </c>
      <c r="U116" s="645">
        <f t="shared" si="132"/>
        <v>3.4523999999999999</v>
      </c>
      <c r="V116" s="645">
        <f t="shared" si="133"/>
        <v>1.4796</v>
      </c>
      <c r="W116" s="645">
        <f t="shared" si="134"/>
        <v>8.6310000000000002</v>
      </c>
      <c r="Y116" s="640">
        <f t="shared" si="135"/>
        <v>10</v>
      </c>
      <c r="Z116" s="640">
        <f t="shared" si="136"/>
        <v>565.125</v>
      </c>
      <c r="AB116" s="655">
        <f t="shared" si="137"/>
        <v>0.12</v>
      </c>
    </row>
    <row r="117" spans="1:28">
      <c r="A117" s="658">
        <f t="shared" si="11"/>
        <v>64</v>
      </c>
      <c r="B117" s="646" t="s">
        <v>2336</v>
      </c>
      <c r="C117" s="659">
        <v>525</v>
      </c>
      <c r="D117" s="1831">
        <v>500</v>
      </c>
      <c r="E117" s="657">
        <v>200</v>
      </c>
      <c r="F117" s="659">
        <v>10</v>
      </c>
      <c r="G117" s="658">
        <v>200</v>
      </c>
      <c r="H117" s="657">
        <f t="shared" si="29"/>
        <v>2600</v>
      </c>
      <c r="I117" s="659"/>
      <c r="J117" s="658">
        <v>100</v>
      </c>
      <c r="K117" s="657"/>
      <c r="L117" s="659">
        <f t="shared" si="120"/>
        <v>3</v>
      </c>
      <c r="M117" s="900">
        <v>10</v>
      </c>
      <c r="N117" s="658">
        <v>100</v>
      </c>
      <c r="O117" s="657">
        <f t="shared" si="121"/>
        <v>200</v>
      </c>
      <c r="P117" s="659">
        <v>10</v>
      </c>
      <c r="Q117" s="658">
        <v>100</v>
      </c>
      <c r="R117" s="657">
        <f t="shared" si="76"/>
        <v>2650</v>
      </c>
      <c r="S117" s="656">
        <f t="shared" si="130"/>
        <v>5.2499999999999998E-2</v>
      </c>
      <c r="T117" s="645">
        <f t="shared" si="131"/>
        <v>0.52500000000000002</v>
      </c>
      <c r="U117" s="645">
        <f t="shared" si="132"/>
        <v>6.4116</v>
      </c>
      <c r="V117" s="645">
        <f t="shared" si="133"/>
        <v>2.2194000000000003</v>
      </c>
      <c r="W117" s="645">
        <f t="shared" si="134"/>
        <v>9.8023500000000006</v>
      </c>
      <c r="Y117" s="640">
        <f t="shared" si="135"/>
        <v>10</v>
      </c>
      <c r="Z117" s="640">
        <f t="shared" si="136"/>
        <v>351.11142857142858</v>
      </c>
      <c r="AB117" s="655">
        <f t="shared" si="137"/>
        <v>0.26250000000000001</v>
      </c>
    </row>
    <row r="118" spans="1:28">
      <c r="A118" s="658">
        <f t="shared" si="11"/>
        <v>65</v>
      </c>
      <c r="B118" s="646" t="s">
        <v>2336</v>
      </c>
      <c r="C118" s="659">
        <v>275</v>
      </c>
      <c r="D118" s="1831">
        <v>500</v>
      </c>
      <c r="E118" s="657">
        <v>200</v>
      </c>
      <c r="F118" s="659">
        <v>10</v>
      </c>
      <c r="G118" s="658">
        <v>200</v>
      </c>
      <c r="H118" s="657">
        <f t="shared" si="29"/>
        <v>2600</v>
      </c>
      <c r="I118" s="659"/>
      <c r="J118" s="658">
        <v>100</v>
      </c>
      <c r="K118" s="657"/>
      <c r="L118" s="659">
        <f t="shared" si="120"/>
        <v>3</v>
      </c>
      <c r="M118" s="900">
        <v>10</v>
      </c>
      <c r="N118" s="658">
        <v>100</v>
      </c>
      <c r="O118" s="657">
        <f t="shared" si="121"/>
        <v>200</v>
      </c>
      <c r="P118" s="659">
        <v>10</v>
      </c>
      <c r="Q118" s="658">
        <v>100</v>
      </c>
      <c r="R118" s="657">
        <f t="shared" si="76"/>
        <v>2150</v>
      </c>
      <c r="S118" s="656">
        <f t="shared" si="130"/>
        <v>2.75E-2</v>
      </c>
      <c r="T118" s="645">
        <f t="shared" si="131"/>
        <v>0.27500000000000002</v>
      </c>
      <c r="U118" s="645">
        <f t="shared" si="132"/>
        <v>3.2058</v>
      </c>
      <c r="V118" s="645">
        <f t="shared" si="133"/>
        <v>1.4796</v>
      </c>
      <c r="W118" s="645">
        <f t="shared" si="134"/>
        <v>7.9528500000000006</v>
      </c>
      <c r="Y118" s="640">
        <f t="shared" si="135"/>
        <v>10</v>
      </c>
      <c r="Z118" s="640">
        <f t="shared" si="136"/>
        <v>459.57272727272726</v>
      </c>
      <c r="AB118" s="655">
        <f t="shared" si="137"/>
        <v>0.13750000000000001</v>
      </c>
    </row>
    <row r="119" spans="1:28">
      <c r="A119" s="658">
        <f t="shared" si="11"/>
        <v>66</v>
      </c>
      <c r="B119" s="646" t="s">
        <v>2336</v>
      </c>
      <c r="C119" s="659">
        <v>525</v>
      </c>
      <c r="D119" s="1831">
        <v>400</v>
      </c>
      <c r="E119" s="657">
        <v>300</v>
      </c>
      <c r="F119" s="659">
        <v>10</v>
      </c>
      <c r="G119" s="658">
        <v>200</v>
      </c>
      <c r="H119" s="657">
        <f t="shared" si="29"/>
        <v>2400</v>
      </c>
      <c r="I119" s="659"/>
      <c r="J119" s="658">
        <v>100</v>
      </c>
      <c r="K119" s="657"/>
      <c r="L119" s="659">
        <f t="shared" ref="L119:L126" si="138">ROUND(D119/100-2,0)</f>
        <v>2</v>
      </c>
      <c r="M119" s="900">
        <v>10</v>
      </c>
      <c r="N119" s="658">
        <v>100</v>
      </c>
      <c r="O119" s="657">
        <f t="shared" ref="O119:O126" si="139">E119</f>
        <v>300</v>
      </c>
      <c r="P119" s="659">
        <v>10</v>
      </c>
      <c r="Q119" s="658">
        <v>100</v>
      </c>
      <c r="R119" s="657">
        <f t="shared" si="76"/>
        <v>2650</v>
      </c>
      <c r="S119" s="656">
        <f t="shared" si="130"/>
        <v>6.3E-2</v>
      </c>
      <c r="T119" s="645">
        <f t="shared" si="131"/>
        <v>0.42</v>
      </c>
      <c r="U119" s="645">
        <f t="shared" si="132"/>
        <v>5.9184000000000001</v>
      </c>
      <c r="V119" s="645">
        <f t="shared" si="133"/>
        <v>2.2194000000000003</v>
      </c>
      <c r="W119" s="645">
        <f t="shared" si="134"/>
        <v>8.1686250000000005</v>
      </c>
      <c r="Y119" s="640">
        <f t="shared" si="135"/>
        <v>6.6666666666666661</v>
      </c>
      <c r="Z119" s="640">
        <f t="shared" si="136"/>
        <v>258.83214285714286</v>
      </c>
      <c r="AB119" s="655">
        <f t="shared" si="137"/>
        <v>0.21</v>
      </c>
    </row>
    <row r="120" spans="1:28">
      <c r="A120" s="658">
        <f t="shared" si="11"/>
        <v>67</v>
      </c>
      <c r="B120" s="646" t="s">
        <v>2336</v>
      </c>
      <c r="C120" s="659">
        <v>580</v>
      </c>
      <c r="D120" s="1831">
        <v>400</v>
      </c>
      <c r="E120" s="657">
        <v>300</v>
      </c>
      <c r="F120" s="659">
        <v>10</v>
      </c>
      <c r="G120" s="658">
        <v>200</v>
      </c>
      <c r="H120" s="657">
        <f t="shared" si="29"/>
        <v>2400</v>
      </c>
      <c r="I120" s="659"/>
      <c r="J120" s="658">
        <v>100</v>
      </c>
      <c r="K120" s="657"/>
      <c r="L120" s="659">
        <f t="shared" si="138"/>
        <v>2</v>
      </c>
      <c r="M120" s="900">
        <v>10</v>
      </c>
      <c r="N120" s="658">
        <v>100</v>
      </c>
      <c r="O120" s="657">
        <f t="shared" si="139"/>
        <v>300</v>
      </c>
      <c r="P120" s="659">
        <v>10</v>
      </c>
      <c r="Q120" s="658">
        <v>100</v>
      </c>
      <c r="R120" s="657">
        <f t="shared" si="76"/>
        <v>2760</v>
      </c>
      <c r="S120" s="656">
        <f t="shared" si="130"/>
        <v>6.9599999999999995E-2</v>
      </c>
      <c r="T120" s="645">
        <f t="shared" si="131"/>
        <v>0.46400000000000002</v>
      </c>
      <c r="U120" s="645">
        <f t="shared" si="132"/>
        <v>5.9184000000000001</v>
      </c>
      <c r="V120" s="645">
        <f t="shared" si="133"/>
        <v>2.5893000000000002</v>
      </c>
      <c r="W120" s="645">
        <f t="shared" si="134"/>
        <v>8.5077000000000016</v>
      </c>
      <c r="Y120" s="640">
        <f t="shared" si="135"/>
        <v>6.6666666666666679</v>
      </c>
      <c r="Z120" s="640">
        <f t="shared" si="136"/>
        <v>244.47413793103451</v>
      </c>
      <c r="AB120" s="655">
        <f t="shared" si="137"/>
        <v>0.23200000000000001</v>
      </c>
    </row>
    <row r="121" spans="1:28">
      <c r="A121" s="658">
        <f t="shared" si="11"/>
        <v>68</v>
      </c>
      <c r="B121" s="646" t="s">
        <v>2336</v>
      </c>
      <c r="C121" s="659">
        <v>350</v>
      </c>
      <c r="D121" s="1831">
        <v>500</v>
      </c>
      <c r="E121" s="657">
        <v>200</v>
      </c>
      <c r="F121" s="659">
        <v>10</v>
      </c>
      <c r="G121" s="658">
        <v>200</v>
      </c>
      <c r="H121" s="657">
        <f t="shared" si="29"/>
        <v>2600</v>
      </c>
      <c r="I121" s="659"/>
      <c r="J121" s="658">
        <v>100</v>
      </c>
      <c r="K121" s="657"/>
      <c r="L121" s="659">
        <f t="shared" si="138"/>
        <v>3</v>
      </c>
      <c r="M121" s="900">
        <v>10</v>
      </c>
      <c r="N121" s="658">
        <v>100</v>
      </c>
      <c r="O121" s="657">
        <f t="shared" si="139"/>
        <v>200</v>
      </c>
      <c r="P121" s="659">
        <v>10</v>
      </c>
      <c r="Q121" s="658">
        <v>100</v>
      </c>
      <c r="R121" s="657">
        <f t="shared" si="76"/>
        <v>2300</v>
      </c>
      <c r="S121" s="656">
        <f t="shared" si="130"/>
        <v>3.5000000000000003E-2</v>
      </c>
      <c r="T121" s="645">
        <f t="shared" si="131"/>
        <v>0.35</v>
      </c>
      <c r="U121" s="645">
        <f t="shared" si="132"/>
        <v>4.8087</v>
      </c>
      <c r="V121" s="645">
        <f t="shared" si="133"/>
        <v>1.8495000000000001</v>
      </c>
      <c r="W121" s="645">
        <f t="shared" si="134"/>
        <v>8.5077000000000016</v>
      </c>
      <c r="Y121" s="640">
        <f t="shared" si="135"/>
        <v>9.9999999999999982</v>
      </c>
      <c r="Z121" s="640">
        <f t="shared" si="136"/>
        <v>433.31142857142856</v>
      </c>
      <c r="AB121" s="655">
        <f t="shared" si="137"/>
        <v>0.17499999999999999</v>
      </c>
    </row>
    <row r="122" spans="1:28">
      <c r="A122" s="658">
        <f t="shared" si="11"/>
        <v>69</v>
      </c>
      <c r="B122" s="646" t="s">
        <v>2336</v>
      </c>
      <c r="C122" s="659">
        <v>390</v>
      </c>
      <c r="D122" s="1831">
        <v>600</v>
      </c>
      <c r="E122" s="657">
        <v>200</v>
      </c>
      <c r="F122" s="659">
        <v>10</v>
      </c>
      <c r="G122" s="658">
        <v>200</v>
      </c>
      <c r="H122" s="657">
        <f t="shared" si="29"/>
        <v>2800</v>
      </c>
      <c r="I122" s="659"/>
      <c r="J122" s="658">
        <v>100</v>
      </c>
      <c r="K122" s="657"/>
      <c r="L122" s="659">
        <f t="shared" si="138"/>
        <v>4</v>
      </c>
      <c r="M122" s="900">
        <v>10</v>
      </c>
      <c r="N122" s="658">
        <v>100</v>
      </c>
      <c r="O122" s="657">
        <f t="shared" si="139"/>
        <v>200</v>
      </c>
      <c r="P122" s="659">
        <v>10</v>
      </c>
      <c r="Q122" s="658">
        <v>100</v>
      </c>
      <c r="R122" s="657">
        <f t="shared" si="76"/>
        <v>2380</v>
      </c>
      <c r="S122" s="656">
        <f t="shared" si="130"/>
        <v>4.6800000000000001E-2</v>
      </c>
      <c r="T122" s="645">
        <f t="shared" si="131"/>
        <v>0.46800000000000003</v>
      </c>
      <c r="U122" s="645">
        <f t="shared" si="132"/>
        <v>5.1786000000000003</v>
      </c>
      <c r="V122" s="645">
        <f t="shared" si="133"/>
        <v>2.4660000000000002</v>
      </c>
      <c r="W122" s="645">
        <f t="shared" si="134"/>
        <v>10.270890000000001</v>
      </c>
      <c r="Y122" s="640">
        <f t="shared" si="135"/>
        <v>10</v>
      </c>
      <c r="Z122" s="640">
        <f t="shared" si="136"/>
        <v>382.80961538461543</v>
      </c>
      <c r="AB122" s="655">
        <f t="shared" si="137"/>
        <v>0.23400000000000001</v>
      </c>
    </row>
    <row r="123" spans="1:28">
      <c r="A123" s="1997">
        <f t="shared" si="11"/>
        <v>70</v>
      </c>
      <c r="B123" s="646" t="s">
        <v>2336</v>
      </c>
      <c r="C123" s="659"/>
      <c r="D123" s="1831"/>
      <c r="E123" s="657"/>
      <c r="F123" s="659"/>
      <c r="G123" s="658"/>
      <c r="H123" s="657"/>
      <c r="I123" s="659"/>
      <c r="J123" s="658"/>
      <c r="K123" s="657"/>
      <c r="L123" s="659"/>
      <c r="M123" s="900"/>
      <c r="N123" s="658"/>
      <c r="O123" s="657"/>
      <c r="P123" s="659"/>
      <c r="Q123" s="658"/>
      <c r="R123" s="657"/>
      <c r="S123" s="656"/>
      <c r="T123" s="645"/>
      <c r="U123" s="645"/>
      <c r="V123" s="645"/>
      <c r="W123" s="645"/>
      <c r="Y123" s="640"/>
      <c r="AB123" s="655">
        <f t="shared" si="137"/>
        <v>0</v>
      </c>
    </row>
    <row r="124" spans="1:28">
      <c r="A124" s="1997">
        <f t="shared" si="11"/>
        <v>71</v>
      </c>
      <c r="B124" s="646" t="s">
        <v>2336</v>
      </c>
      <c r="C124" s="659"/>
      <c r="D124" s="1831"/>
      <c r="E124" s="657"/>
      <c r="F124" s="659"/>
      <c r="G124" s="658"/>
      <c r="H124" s="657"/>
      <c r="I124" s="659"/>
      <c r="J124" s="658"/>
      <c r="K124" s="657"/>
      <c r="L124" s="659"/>
      <c r="M124" s="900"/>
      <c r="N124" s="658"/>
      <c r="O124" s="657"/>
      <c r="P124" s="659"/>
      <c r="Q124" s="658"/>
      <c r="R124" s="657"/>
      <c r="S124" s="656"/>
      <c r="T124" s="645"/>
      <c r="U124" s="645"/>
      <c r="V124" s="645"/>
      <c r="W124" s="645"/>
      <c r="Y124" s="640"/>
      <c r="AB124" s="655">
        <f t="shared" si="137"/>
        <v>0</v>
      </c>
    </row>
    <row r="125" spans="1:28">
      <c r="A125" s="658">
        <f t="shared" si="11"/>
        <v>72</v>
      </c>
      <c r="B125" s="646" t="s">
        <v>2336</v>
      </c>
      <c r="C125" s="659">
        <v>1200</v>
      </c>
      <c r="D125" s="1831">
        <v>600</v>
      </c>
      <c r="E125" s="657">
        <v>200</v>
      </c>
      <c r="F125" s="659">
        <v>10</v>
      </c>
      <c r="G125" s="658">
        <v>200</v>
      </c>
      <c r="H125" s="657">
        <f t="shared" si="29"/>
        <v>2800</v>
      </c>
      <c r="I125" s="659"/>
      <c r="J125" s="658">
        <v>100</v>
      </c>
      <c r="K125" s="657"/>
      <c r="L125" s="659">
        <f t="shared" si="138"/>
        <v>4</v>
      </c>
      <c r="M125" s="900">
        <v>10</v>
      </c>
      <c r="N125" s="658">
        <v>100</v>
      </c>
      <c r="O125" s="657">
        <f t="shared" si="139"/>
        <v>200</v>
      </c>
      <c r="P125" s="659">
        <v>10</v>
      </c>
      <c r="Q125" s="658">
        <v>100</v>
      </c>
      <c r="R125" s="657">
        <f t="shared" si="76"/>
        <v>4000</v>
      </c>
      <c r="S125" s="656">
        <f t="shared" si="130"/>
        <v>0.14399999999999999</v>
      </c>
      <c r="T125" s="645">
        <f t="shared" si="131"/>
        <v>1.44</v>
      </c>
      <c r="U125" s="645">
        <f t="shared" si="132"/>
        <v>12.083400000000001</v>
      </c>
      <c r="V125" s="645">
        <f t="shared" si="133"/>
        <v>6.4116</v>
      </c>
      <c r="W125" s="645">
        <f t="shared" si="134"/>
        <v>17.262</v>
      </c>
      <c r="Y125" s="640">
        <f t="shared" si="135"/>
        <v>10</v>
      </c>
      <c r="Z125" s="640">
        <f t="shared" si="136"/>
        <v>248.31250000000006</v>
      </c>
      <c r="AB125" s="655">
        <f t="shared" si="137"/>
        <v>0.72</v>
      </c>
    </row>
    <row r="126" spans="1:28">
      <c r="A126" s="658">
        <f t="shared" si="11"/>
        <v>73</v>
      </c>
      <c r="B126" s="646" t="s">
        <v>2336</v>
      </c>
      <c r="C126" s="659">
        <v>1200</v>
      </c>
      <c r="D126" s="1831">
        <v>600</v>
      </c>
      <c r="E126" s="657">
        <v>200</v>
      </c>
      <c r="F126" s="659">
        <v>10</v>
      </c>
      <c r="G126" s="658">
        <v>200</v>
      </c>
      <c r="H126" s="657">
        <f t="shared" si="29"/>
        <v>2800</v>
      </c>
      <c r="I126" s="659"/>
      <c r="J126" s="658">
        <v>100</v>
      </c>
      <c r="K126" s="657"/>
      <c r="L126" s="659">
        <f t="shared" si="138"/>
        <v>4</v>
      </c>
      <c r="M126" s="900">
        <v>10</v>
      </c>
      <c r="N126" s="658">
        <v>100</v>
      </c>
      <c r="O126" s="657">
        <f t="shared" si="139"/>
        <v>200</v>
      </c>
      <c r="P126" s="659">
        <v>10</v>
      </c>
      <c r="Q126" s="658">
        <v>100</v>
      </c>
      <c r="R126" s="657">
        <f t="shared" si="76"/>
        <v>4000</v>
      </c>
      <c r="S126" s="656">
        <f t="shared" si="130"/>
        <v>0.14399999999999999</v>
      </c>
      <c r="T126" s="645">
        <f t="shared" si="131"/>
        <v>1.44</v>
      </c>
      <c r="U126" s="645">
        <f t="shared" si="132"/>
        <v>12.083400000000001</v>
      </c>
      <c r="V126" s="645">
        <f t="shared" si="133"/>
        <v>6.4116</v>
      </c>
      <c r="W126" s="645">
        <f t="shared" si="134"/>
        <v>17.262</v>
      </c>
      <c r="Y126" s="640">
        <f t="shared" si="135"/>
        <v>10</v>
      </c>
      <c r="Z126" s="640">
        <f t="shared" si="136"/>
        <v>248.31250000000006</v>
      </c>
      <c r="AB126" s="655">
        <f t="shared" si="137"/>
        <v>0.72</v>
      </c>
    </row>
    <row r="127" spans="1:28">
      <c r="A127" s="1997">
        <f t="shared" si="11"/>
        <v>74</v>
      </c>
      <c r="B127" s="646" t="s">
        <v>2336</v>
      </c>
      <c r="C127" s="659"/>
      <c r="D127" s="1831"/>
      <c r="E127" s="657"/>
      <c r="F127" s="659"/>
      <c r="G127" s="658"/>
      <c r="H127" s="657"/>
      <c r="I127" s="659"/>
      <c r="J127" s="658"/>
      <c r="K127" s="657"/>
      <c r="L127" s="659"/>
      <c r="M127" s="900"/>
      <c r="N127" s="658"/>
      <c r="O127" s="657"/>
      <c r="P127" s="659"/>
      <c r="Q127" s="658"/>
      <c r="R127" s="657"/>
      <c r="S127" s="656"/>
      <c r="T127" s="645"/>
      <c r="U127" s="645"/>
      <c r="V127" s="645"/>
      <c r="W127" s="645"/>
      <c r="Y127" s="640"/>
      <c r="AB127" s="655"/>
    </row>
    <row r="128" spans="1:28">
      <c r="A128" s="1997">
        <f t="shared" si="11"/>
        <v>75</v>
      </c>
      <c r="B128" s="646" t="s">
        <v>2336</v>
      </c>
      <c r="C128" s="659"/>
      <c r="D128" s="1831"/>
      <c r="E128" s="657"/>
      <c r="F128" s="659"/>
      <c r="G128" s="658"/>
      <c r="H128" s="657"/>
      <c r="I128" s="659"/>
      <c r="J128" s="658"/>
      <c r="K128" s="657"/>
      <c r="L128" s="659"/>
      <c r="M128" s="900"/>
      <c r="N128" s="658"/>
      <c r="O128" s="657"/>
      <c r="P128" s="659"/>
      <c r="Q128" s="658"/>
      <c r="R128" s="657"/>
      <c r="S128" s="656"/>
      <c r="T128" s="645"/>
      <c r="U128" s="645"/>
      <c r="V128" s="645"/>
      <c r="W128" s="645"/>
      <c r="Y128" s="640"/>
      <c r="AB128" s="655"/>
    </row>
    <row r="129" spans="1:28">
      <c r="A129" s="1997">
        <f t="shared" si="11"/>
        <v>76</v>
      </c>
      <c r="B129" s="646" t="s">
        <v>2336</v>
      </c>
      <c r="C129" s="659"/>
      <c r="D129" s="1831"/>
      <c r="E129" s="657"/>
      <c r="F129" s="659"/>
      <c r="G129" s="658"/>
      <c r="H129" s="657"/>
      <c r="I129" s="659"/>
      <c r="J129" s="658"/>
      <c r="K129" s="657"/>
      <c r="L129" s="659"/>
      <c r="M129" s="900"/>
      <c r="N129" s="658"/>
      <c r="O129" s="657"/>
      <c r="P129" s="659"/>
      <c r="Q129" s="658"/>
      <c r="R129" s="657"/>
      <c r="S129" s="656"/>
      <c r="T129" s="645"/>
      <c r="U129" s="645"/>
      <c r="V129" s="645"/>
      <c r="W129" s="645"/>
      <c r="Y129" s="640"/>
      <c r="AB129" s="655"/>
    </row>
    <row r="130" spans="1:28">
      <c r="A130" s="1997">
        <f t="shared" si="11"/>
        <v>77</v>
      </c>
      <c r="B130" s="646" t="s">
        <v>2336</v>
      </c>
      <c r="C130" s="659"/>
      <c r="D130" s="1831"/>
      <c r="E130" s="657"/>
      <c r="F130" s="659"/>
      <c r="G130" s="658"/>
      <c r="H130" s="657"/>
      <c r="I130" s="659"/>
      <c r="J130" s="658"/>
      <c r="K130" s="657"/>
      <c r="L130" s="659"/>
      <c r="M130" s="900"/>
      <c r="N130" s="658"/>
      <c r="O130" s="657"/>
      <c r="P130" s="659"/>
      <c r="Q130" s="658"/>
      <c r="R130" s="657"/>
      <c r="S130" s="656"/>
      <c r="T130" s="645"/>
      <c r="U130" s="645"/>
      <c r="V130" s="645"/>
      <c r="W130" s="645"/>
      <c r="Y130" s="640"/>
      <c r="AB130" s="655"/>
    </row>
    <row r="131" spans="1:28">
      <c r="A131" s="1997">
        <f t="shared" si="11"/>
        <v>78</v>
      </c>
      <c r="B131" s="646" t="s">
        <v>2336</v>
      </c>
      <c r="C131" s="659"/>
      <c r="D131" s="1831"/>
      <c r="E131" s="657"/>
      <c r="F131" s="659"/>
      <c r="G131" s="658"/>
      <c r="H131" s="657"/>
      <c r="I131" s="659"/>
      <c r="J131" s="658"/>
      <c r="K131" s="657"/>
      <c r="L131" s="659"/>
      <c r="M131" s="900"/>
      <c r="N131" s="658"/>
      <c r="O131" s="657"/>
      <c r="P131" s="659"/>
      <c r="Q131" s="658"/>
      <c r="R131" s="657"/>
      <c r="S131" s="656"/>
      <c r="T131" s="645"/>
      <c r="U131" s="645"/>
      <c r="V131" s="645"/>
      <c r="W131" s="645"/>
      <c r="Y131" s="640"/>
      <c r="AB131" s="655"/>
    </row>
    <row r="132" spans="1:28">
      <c r="A132" s="1997">
        <f t="shared" si="11"/>
        <v>79</v>
      </c>
      <c r="B132" s="646" t="s">
        <v>2336</v>
      </c>
      <c r="C132" s="659"/>
      <c r="D132" s="1831"/>
      <c r="E132" s="657"/>
      <c r="F132" s="659"/>
      <c r="G132" s="658"/>
      <c r="H132" s="657"/>
      <c r="I132" s="659"/>
      <c r="J132" s="658"/>
      <c r="K132" s="657"/>
      <c r="L132" s="659"/>
      <c r="M132" s="900"/>
      <c r="N132" s="658"/>
      <c r="O132" s="657"/>
      <c r="P132" s="659"/>
      <c r="Q132" s="658"/>
      <c r="R132" s="657"/>
      <c r="S132" s="656"/>
      <c r="T132" s="645"/>
      <c r="U132" s="645"/>
      <c r="V132" s="645"/>
      <c r="W132" s="645"/>
      <c r="Y132" s="640"/>
      <c r="AB132" s="655"/>
    </row>
    <row r="133" spans="1:28">
      <c r="A133" s="1997">
        <f t="shared" si="11"/>
        <v>80</v>
      </c>
      <c r="B133" s="646" t="s">
        <v>2336</v>
      </c>
      <c r="C133" s="659"/>
      <c r="D133" s="1831"/>
      <c r="E133" s="657"/>
      <c r="F133" s="659"/>
      <c r="G133" s="658"/>
      <c r="H133" s="657"/>
      <c r="I133" s="659"/>
      <c r="J133" s="658"/>
      <c r="K133" s="657"/>
      <c r="L133" s="659"/>
      <c r="M133" s="900"/>
      <c r="N133" s="658"/>
      <c r="O133" s="657"/>
      <c r="P133" s="659"/>
      <c r="Q133" s="658"/>
      <c r="R133" s="657"/>
      <c r="S133" s="656"/>
      <c r="T133" s="645"/>
      <c r="U133" s="645"/>
      <c r="V133" s="645"/>
      <c r="W133" s="645"/>
      <c r="Y133" s="640"/>
      <c r="AB133" s="655"/>
    </row>
    <row r="134" spans="1:28">
      <c r="A134" s="1997">
        <f t="shared" si="11"/>
        <v>81</v>
      </c>
      <c r="B134" s="646" t="s">
        <v>2336</v>
      </c>
      <c r="C134" s="659"/>
      <c r="D134" s="1831"/>
      <c r="E134" s="657"/>
      <c r="F134" s="659"/>
      <c r="G134" s="658"/>
      <c r="H134" s="657"/>
      <c r="I134" s="659"/>
      <c r="J134" s="658"/>
      <c r="K134" s="657"/>
      <c r="L134" s="659"/>
      <c r="M134" s="900"/>
      <c r="N134" s="658"/>
      <c r="O134" s="657"/>
      <c r="P134" s="659"/>
      <c r="Q134" s="658"/>
      <c r="R134" s="657"/>
      <c r="S134" s="656"/>
      <c r="T134" s="645"/>
      <c r="U134" s="645"/>
      <c r="V134" s="645"/>
      <c r="W134" s="645"/>
      <c r="Y134" s="640"/>
      <c r="AB134" s="655"/>
    </row>
    <row r="135" spans="1:28">
      <c r="A135" s="1997">
        <f t="shared" si="11"/>
        <v>82</v>
      </c>
      <c r="B135" s="646" t="s">
        <v>2336</v>
      </c>
      <c r="C135" s="659"/>
      <c r="D135" s="1831"/>
      <c r="E135" s="657"/>
      <c r="F135" s="659"/>
      <c r="G135" s="658"/>
      <c r="H135" s="657"/>
      <c r="I135" s="659"/>
      <c r="J135" s="658"/>
      <c r="K135" s="657"/>
      <c r="L135" s="659"/>
      <c r="M135" s="900"/>
      <c r="N135" s="658"/>
      <c r="O135" s="657"/>
      <c r="P135" s="659"/>
      <c r="Q135" s="658"/>
      <c r="R135" s="657"/>
      <c r="S135" s="656"/>
      <c r="T135" s="645"/>
      <c r="U135" s="645"/>
      <c r="V135" s="645"/>
      <c r="W135" s="645"/>
      <c r="Y135" s="640"/>
      <c r="AB135" s="655"/>
    </row>
    <row r="136" spans="1:28">
      <c r="A136" s="1997">
        <f t="shared" si="11"/>
        <v>83</v>
      </c>
      <c r="B136" s="646" t="s">
        <v>2336</v>
      </c>
      <c r="C136" s="659"/>
      <c r="D136" s="1831"/>
      <c r="E136" s="657"/>
      <c r="F136" s="659"/>
      <c r="G136" s="658"/>
      <c r="H136" s="657"/>
      <c r="I136" s="659"/>
      <c r="J136" s="658"/>
      <c r="K136" s="657"/>
      <c r="L136" s="659"/>
      <c r="M136" s="900"/>
      <c r="N136" s="658"/>
      <c r="O136" s="657"/>
      <c r="P136" s="659"/>
      <c r="Q136" s="658"/>
      <c r="R136" s="657"/>
      <c r="S136" s="656"/>
      <c r="T136" s="645"/>
      <c r="U136" s="645"/>
      <c r="V136" s="645"/>
      <c r="W136" s="645"/>
      <c r="Y136" s="640"/>
      <c r="AB136" s="655"/>
    </row>
    <row r="137" spans="1:28">
      <c r="A137" s="1997">
        <f t="shared" si="11"/>
        <v>84</v>
      </c>
      <c r="B137" s="646" t="s">
        <v>2336</v>
      </c>
      <c r="C137" s="659"/>
      <c r="D137" s="1831"/>
      <c r="E137" s="657"/>
      <c r="F137" s="659"/>
      <c r="G137" s="658"/>
      <c r="H137" s="657"/>
      <c r="I137" s="659"/>
      <c r="J137" s="658"/>
      <c r="K137" s="657"/>
      <c r="L137" s="659"/>
      <c r="M137" s="900"/>
      <c r="N137" s="658"/>
      <c r="O137" s="657"/>
      <c r="P137" s="659"/>
      <c r="Q137" s="658"/>
      <c r="R137" s="657"/>
      <c r="S137" s="656"/>
      <c r="T137" s="645"/>
      <c r="U137" s="645"/>
      <c r="V137" s="645"/>
      <c r="W137" s="645"/>
      <c r="Y137" s="640"/>
      <c r="AB137" s="655"/>
    </row>
    <row r="138" spans="1:28">
      <c r="A138" s="1997">
        <f t="shared" si="11"/>
        <v>85</v>
      </c>
      <c r="B138" s="646" t="s">
        <v>2336</v>
      </c>
      <c r="C138" s="659"/>
      <c r="D138" s="1831"/>
      <c r="E138" s="657"/>
      <c r="F138" s="659"/>
      <c r="G138" s="658"/>
      <c r="H138" s="657"/>
      <c r="I138" s="659"/>
      <c r="J138" s="658"/>
      <c r="K138" s="657"/>
      <c r="L138" s="659"/>
      <c r="M138" s="900"/>
      <c r="N138" s="658"/>
      <c r="O138" s="657"/>
      <c r="P138" s="659"/>
      <c r="Q138" s="658"/>
      <c r="R138" s="657"/>
      <c r="S138" s="656"/>
      <c r="T138" s="645"/>
      <c r="U138" s="645"/>
      <c r="V138" s="645"/>
      <c r="W138" s="645"/>
      <c r="Y138" s="640"/>
      <c r="AB138" s="655"/>
    </row>
    <row r="139" spans="1:28">
      <c r="A139" s="1997">
        <f t="shared" si="11"/>
        <v>86</v>
      </c>
      <c r="B139" s="646" t="s">
        <v>2336</v>
      </c>
      <c r="C139" s="659"/>
      <c r="D139" s="1831"/>
      <c r="E139" s="657"/>
      <c r="F139" s="659"/>
      <c r="G139" s="658"/>
      <c r="H139" s="657"/>
      <c r="I139" s="659"/>
      <c r="J139" s="658"/>
      <c r="K139" s="657"/>
      <c r="L139" s="659"/>
      <c r="M139" s="900"/>
      <c r="N139" s="658"/>
      <c r="O139" s="657"/>
      <c r="P139" s="659"/>
      <c r="Q139" s="658"/>
      <c r="R139" s="657"/>
      <c r="S139" s="656"/>
      <c r="T139" s="645"/>
      <c r="U139" s="645"/>
      <c r="V139" s="645"/>
      <c r="W139" s="645"/>
      <c r="Y139" s="640"/>
      <c r="AB139" s="655"/>
    </row>
    <row r="140" spans="1:28">
      <c r="A140" s="1997">
        <f t="shared" si="11"/>
        <v>87</v>
      </c>
      <c r="B140" s="646" t="s">
        <v>2336</v>
      </c>
      <c r="C140" s="659"/>
      <c r="D140" s="1831"/>
      <c r="E140" s="657"/>
      <c r="F140" s="659"/>
      <c r="G140" s="658"/>
      <c r="H140" s="657"/>
      <c r="I140" s="659"/>
      <c r="J140" s="658"/>
      <c r="K140" s="657"/>
      <c r="L140" s="659"/>
      <c r="M140" s="900"/>
      <c r="N140" s="658"/>
      <c r="O140" s="657"/>
      <c r="P140" s="659"/>
      <c r="Q140" s="658"/>
      <c r="R140" s="657"/>
      <c r="S140" s="656"/>
      <c r="T140" s="645"/>
      <c r="U140" s="645"/>
      <c r="V140" s="645"/>
      <c r="W140" s="645"/>
      <c r="Y140" s="640"/>
      <c r="AB140" s="655"/>
    </row>
    <row r="141" spans="1:28">
      <c r="A141" s="1997">
        <f t="shared" si="11"/>
        <v>88</v>
      </c>
      <c r="B141" s="646" t="s">
        <v>2336</v>
      </c>
      <c r="C141" s="659"/>
      <c r="D141" s="1831"/>
      <c r="E141" s="657"/>
      <c r="F141" s="659"/>
      <c r="G141" s="658"/>
      <c r="H141" s="657"/>
      <c r="I141" s="659"/>
      <c r="J141" s="658"/>
      <c r="K141" s="657"/>
      <c r="L141" s="659"/>
      <c r="M141" s="900"/>
      <c r="N141" s="658"/>
      <c r="O141" s="657"/>
      <c r="P141" s="659"/>
      <c r="Q141" s="658"/>
      <c r="R141" s="657"/>
      <c r="S141" s="656"/>
      <c r="T141" s="645"/>
      <c r="U141" s="645"/>
      <c r="V141" s="645"/>
      <c r="W141" s="645"/>
      <c r="Y141" s="640"/>
      <c r="AB141" s="655"/>
    </row>
    <row r="142" spans="1:28">
      <c r="A142" s="1997">
        <f t="shared" si="11"/>
        <v>89</v>
      </c>
      <c r="B142" s="646" t="s">
        <v>2336</v>
      </c>
      <c r="C142" s="659"/>
      <c r="D142" s="1831"/>
      <c r="E142" s="657"/>
      <c r="F142" s="659"/>
      <c r="G142" s="658"/>
      <c r="H142" s="657"/>
      <c r="I142" s="659"/>
      <c r="J142" s="658"/>
      <c r="K142" s="657"/>
      <c r="L142" s="659"/>
      <c r="M142" s="900"/>
      <c r="N142" s="658"/>
      <c r="O142" s="657"/>
      <c r="P142" s="659"/>
      <c r="Q142" s="658"/>
      <c r="R142" s="657"/>
      <c r="S142" s="656"/>
      <c r="T142" s="645"/>
      <c r="U142" s="645"/>
      <c r="V142" s="645"/>
      <c r="W142" s="645"/>
      <c r="Y142" s="640"/>
      <c r="AB142" s="655"/>
    </row>
    <row r="143" spans="1:28">
      <c r="A143" s="1997">
        <f t="shared" si="11"/>
        <v>90</v>
      </c>
      <c r="B143" s="646" t="s">
        <v>2336</v>
      </c>
      <c r="C143" s="659"/>
      <c r="D143" s="1831"/>
      <c r="E143" s="657"/>
      <c r="F143" s="659"/>
      <c r="G143" s="658"/>
      <c r="H143" s="657"/>
      <c r="I143" s="659"/>
      <c r="J143" s="658"/>
      <c r="K143" s="657"/>
      <c r="L143" s="659"/>
      <c r="M143" s="900"/>
      <c r="N143" s="658"/>
      <c r="O143" s="657"/>
      <c r="P143" s="659"/>
      <c r="Q143" s="658"/>
      <c r="R143" s="657"/>
      <c r="S143" s="656"/>
      <c r="T143" s="645"/>
      <c r="U143" s="645"/>
      <c r="V143" s="645"/>
      <c r="W143" s="645"/>
      <c r="Y143" s="640"/>
      <c r="AB143" s="655"/>
    </row>
    <row r="144" spans="1:28">
      <c r="A144" s="1997">
        <f t="shared" si="11"/>
        <v>91</v>
      </c>
      <c r="B144" s="646" t="s">
        <v>2336</v>
      </c>
      <c r="C144" s="659"/>
      <c r="D144" s="1831"/>
      <c r="E144" s="657"/>
      <c r="F144" s="659"/>
      <c r="G144" s="658"/>
      <c r="H144" s="657"/>
      <c r="I144" s="659"/>
      <c r="J144" s="658"/>
      <c r="K144" s="657"/>
      <c r="L144" s="659"/>
      <c r="M144" s="900"/>
      <c r="N144" s="658"/>
      <c r="O144" s="657"/>
      <c r="P144" s="659"/>
      <c r="Q144" s="658"/>
      <c r="R144" s="657"/>
      <c r="S144" s="656"/>
      <c r="T144" s="645"/>
      <c r="U144" s="645"/>
      <c r="V144" s="645"/>
      <c r="W144" s="645"/>
      <c r="Y144" s="640"/>
      <c r="AB144" s="655"/>
    </row>
    <row r="145" spans="1:28">
      <c r="A145" s="1997">
        <f t="shared" si="11"/>
        <v>92</v>
      </c>
      <c r="B145" s="646" t="s">
        <v>2336</v>
      </c>
      <c r="C145" s="659"/>
      <c r="D145" s="1831"/>
      <c r="E145" s="657"/>
      <c r="F145" s="659"/>
      <c r="G145" s="658"/>
      <c r="H145" s="657"/>
      <c r="I145" s="659"/>
      <c r="J145" s="658"/>
      <c r="K145" s="657"/>
      <c r="L145" s="659"/>
      <c r="M145" s="900"/>
      <c r="N145" s="658"/>
      <c r="O145" s="657"/>
      <c r="P145" s="659"/>
      <c r="Q145" s="658"/>
      <c r="R145" s="657"/>
      <c r="S145" s="656"/>
      <c r="T145" s="645"/>
      <c r="U145" s="645"/>
      <c r="V145" s="645"/>
      <c r="W145" s="645"/>
      <c r="Y145" s="640"/>
      <c r="AB145" s="655"/>
    </row>
    <row r="146" spans="1:28">
      <c r="A146" s="1997">
        <f t="shared" si="11"/>
        <v>93</v>
      </c>
      <c r="B146" s="646" t="s">
        <v>2336</v>
      </c>
      <c r="C146" s="659"/>
      <c r="D146" s="1831"/>
      <c r="E146" s="657"/>
      <c r="F146" s="659"/>
      <c r="G146" s="658"/>
      <c r="H146" s="657"/>
      <c r="I146" s="659"/>
      <c r="J146" s="658"/>
      <c r="K146" s="657"/>
      <c r="L146" s="659"/>
      <c r="M146" s="900"/>
      <c r="N146" s="658"/>
      <c r="O146" s="657"/>
      <c r="P146" s="659"/>
      <c r="Q146" s="658"/>
      <c r="R146" s="657"/>
      <c r="S146" s="656"/>
      <c r="T146" s="645"/>
      <c r="U146" s="645"/>
      <c r="V146" s="645"/>
      <c r="W146" s="645"/>
      <c r="Y146" s="640"/>
      <c r="AB146" s="655"/>
    </row>
    <row r="147" spans="1:28">
      <c r="A147" s="1997">
        <f t="shared" si="11"/>
        <v>94</v>
      </c>
      <c r="B147" s="646" t="s">
        <v>2336</v>
      </c>
      <c r="C147" s="659"/>
      <c r="D147" s="1831"/>
      <c r="E147" s="657"/>
      <c r="F147" s="659"/>
      <c r="G147" s="658"/>
      <c r="H147" s="657"/>
      <c r="I147" s="659"/>
      <c r="J147" s="658"/>
      <c r="K147" s="657"/>
      <c r="L147" s="659"/>
      <c r="M147" s="900"/>
      <c r="N147" s="658"/>
      <c r="O147" s="657"/>
      <c r="P147" s="659"/>
      <c r="Q147" s="658"/>
      <c r="R147" s="657"/>
      <c r="S147" s="656"/>
      <c r="T147" s="645"/>
      <c r="U147" s="645"/>
      <c r="V147" s="645"/>
      <c r="W147" s="645"/>
      <c r="Y147" s="640"/>
      <c r="AB147" s="655"/>
    </row>
    <row r="148" spans="1:28">
      <c r="A148" s="1997">
        <f t="shared" si="11"/>
        <v>95</v>
      </c>
      <c r="B148" s="646" t="s">
        <v>2336</v>
      </c>
      <c r="C148" s="659"/>
      <c r="D148" s="1831"/>
      <c r="E148" s="657"/>
      <c r="F148" s="659"/>
      <c r="G148" s="658"/>
      <c r="H148" s="657"/>
      <c r="I148" s="659"/>
      <c r="J148" s="658"/>
      <c r="K148" s="657"/>
      <c r="L148" s="659"/>
      <c r="M148" s="900"/>
      <c r="N148" s="658"/>
      <c r="O148" s="657"/>
      <c r="P148" s="659"/>
      <c r="Q148" s="658"/>
      <c r="R148" s="657"/>
      <c r="S148" s="656"/>
      <c r="T148" s="645"/>
      <c r="U148" s="645"/>
      <c r="V148" s="645"/>
      <c r="W148" s="645"/>
      <c r="Y148" s="640"/>
      <c r="AB148" s="655"/>
    </row>
    <row r="149" spans="1:28">
      <c r="A149" s="1997">
        <f t="shared" si="11"/>
        <v>96</v>
      </c>
      <c r="B149" s="646" t="s">
        <v>2336</v>
      </c>
      <c r="C149" s="659"/>
      <c r="D149" s="1831"/>
      <c r="E149" s="657"/>
      <c r="F149" s="659"/>
      <c r="G149" s="658"/>
      <c r="H149" s="657"/>
      <c r="I149" s="659"/>
      <c r="J149" s="658"/>
      <c r="K149" s="657"/>
      <c r="L149" s="659"/>
      <c r="M149" s="900"/>
      <c r="N149" s="658"/>
      <c r="O149" s="657"/>
      <c r="P149" s="659"/>
      <c r="Q149" s="658"/>
      <c r="R149" s="657"/>
      <c r="S149" s="656"/>
      <c r="T149" s="645"/>
      <c r="U149" s="645"/>
      <c r="V149" s="645"/>
      <c r="W149" s="645"/>
      <c r="Y149" s="640"/>
      <c r="AB149" s="655"/>
    </row>
    <row r="150" spans="1:28">
      <c r="A150" s="1997">
        <f t="shared" si="11"/>
        <v>97</v>
      </c>
      <c r="B150" s="646" t="s">
        <v>2336</v>
      </c>
      <c r="C150" s="659"/>
      <c r="D150" s="1831"/>
      <c r="E150" s="657"/>
      <c r="F150" s="659"/>
      <c r="G150" s="658"/>
      <c r="H150" s="657"/>
      <c r="I150" s="659"/>
      <c r="J150" s="658"/>
      <c r="K150" s="657"/>
      <c r="L150" s="659"/>
      <c r="M150" s="900"/>
      <c r="N150" s="658"/>
      <c r="O150" s="657"/>
      <c r="P150" s="659"/>
      <c r="Q150" s="658"/>
      <c r="R150" s="657"/>
      <c r="S150" s="656"/>
      <c r="T150" s="645"/>
      <c r="U150" s="645"/>
      <c r="V150" s="645"/>
      <c r="W150" s="645"/>
      <c r="Y150" s="640"/>
      <c r="AB150" s="655"/>
    </row>
    <row r="151" spans="1:28">
      <c r="A151" s="1997">
        <f t="shared" si="11"/>
        <v>98</v>
      </c>
      <c r="B151" s="646" t="s">
        <v>2336</v>
      </c>
      <c r="C151" s="659"/>
      <c r="D151" s="1831"/>
      <c r="E151" s="657"/>
      <c r="F151" s="659"/>
      <c r="G151" s="658"/>
      <c r="H151" s="657"/>
      <c r="I151" s="659"/>
      <c r="J151" s="658"/>
      <c r="K151" s="657"/>
      <c r="L151" s="659"/>
      <c r="M151" s="900"/>
      <c r="N151" s="658"/>
      <c r="O151" s="657"/>
      <c r="P151" s="659"/>
      <c r="Q151" s="658"/>
      <c r="R151" s="657"/>
      <c r="S151" s="656"/>
      <c r="T151" s="645"/>
      <c r="U151" s="645"/>
      <c r="V151" s="645"/>
      <c r="W151" s="645"/>
      <c r="Y151" s="640"/>
      <c r="AB151" s="655"/>
    </row>
    <row r="152" spans="1:28">
      <c r="A152" s="1997">
        <f t="shared" si="11"/>
        <v>99</v>
      </c>
      <c r="B152" s="646" t="s">
        <v>2336</v>
      </c>
      <c r="C152" s="659"/>
      <c r="D152" s="1831"/>
      <c r="E152" s="657"/>
      <c r="F152" s="659"/>
      <c r="G152" s="658"/>
      <c r="H152" s="657"/>
      <c r="I152" s="659"/>
      <c r="J152" s="658"/>
      <c r="K152" s="657"/>
      <c r="L152" s="659"/>
      <c r="M152" s="900"/>
      <c r="N152" s="658"/>
      <c r="O152" s="657"/>
      <c r="P152" s="659"/>
      <c r="Q152" s="658"/>
      <c r="R152" s="657"/>
      <c r="S152" s="656"/>
      <c r="T152" s="645"/>
      <c r="U152" s="645"/>
      <c r="V152" s="645"/>
      <c r="W152" s="645"/>
      <c r="Y152" s="640"/>
      <c r="AB152" s="655"/>
    </row>
    <row r="153" spans="1:28">
      <c r="A153" s="1997">
        <f t="shared" si="11"/>
        <v>100</v>
      </c>
      <c r="B153" s="646" t="s">
        <v>2336</v>
      </c>
      <c r="C153" s="659"/>
      <c r="D153" s="1831"/>
      <c r="E153" s="657"/>
      <c r="F153" s="659"/>
      <c r="G153" s="658"/>
      <c r="H153" s="657"/>
      <c r="I153" s="659"/>
      <c r="J153" s="658"/>
      <c r="K153" s="657"/>
      <c r="L153" s="659"/>
      <c r="M153" s="900"/>
      <c r="N153" s="658"/>
      <c r="O153" s="657"/>
      <c r="P153" s="659"/>
      <c r="Q153" s="658"/>
      <c r="R153" s="657"/>
      <c r="S153" s="656"/>
      <c r="T153" s="645"/>
      <c r="U153" s="645"/>
      <c r="V153" s="645"/>
      <c r="W153" s="645"/>
      <c r="Y153" s="640"/>
      <c r="AB153" s="655"/>
    </row>
    <row r="154" spans="1:28">
      <c r="A154" s="1997">
        <f t="shared" si="11"/>
        <v>101</v>
      </c>
      <c r="B154" s="646" t="s">
        <v>2336</v>
      </c>
      <c r="C154" s="659"/>
      <c r="D154" s="1831"/>
      <c r="E154" s="657"/>
      <c r="F154" s="659"/>
      <c r="G154" s="658"/>
      <c r="H154" s="657"/>
      <c r="I154" s="659"/>
      <c r="J154" s="658"/>
      <c r="K154" s="657"/>
      <c r="L154" s="659"/>
      <c r="M154" s="900"/>
      <c r="N154" s="658"/>
      <c r="O154" s="657"/>
      <c r="P154" s="659"/>
      <c r="Q154" s="658"/>
      <c r="R154" s="657"/>
      <c r="S154" s="656"/>
      <c r="T154" s="645"/>
      <c r="U154" s="645"/>
      <c r="V154" s="645"/>
      <c r="W154" s="645"/>
      <c r="Y154" s="640"/>
      <c r="AB154" s="655"/>
    </row>
    <row r="155" spans="1:28" ht="15.75" thickBot="1">
      <c r="A155" s="658"/>
      <c r="B155" s="644"/>
      <c r="C155" s="1995"/>
      <c r="D155" s="1996"/>
      <c r="E155" s="1832"/>
      <c r="F155" s="659"/>
      <c r="G155" s="658"/>
      <c r="H155" s="657"/>
      <c r="I155" s="654"/>
      <c r="J155" s="658"/>
      <c r="K155" s="1832"/>
      <c r="L155" s="671"/>
      <c r="M155" s="900"/>
      <c r="N155" s="658"/>
      <c r="O155" s="657"/>
      <c r="P155" s="659"/>
      <c r="Q155" s="658"/>
      <c r="R155" s="657"/>
      <c r="S155" s="653">
        <f t="shared" ref="S155" si="140">C155*D155*E155/1000000000</f>
        <v>0</v>
      </c>
      <c r="T155" s="643">
        <f t="shared" ref="T155" si="141">2*C155*D155/1000000</f>
        <v>0</v>
      </c>
      <c r="U155" s="643"/>
      <c r="V155" s="643"/>
      <c r="W155" s="643"/>
    </row>
    <row r="156" spans="1:28" ht="15.75" thickBot="1">
      <c r="A156" s="2257" t="s">
        <v>138</v>
      </c>
      <c r="B156" s="2258"/>
      <c r="C156" s="2258"/>
      <c r="D156" s="2258"/>
      <c r="E156" s="2258"/>
      <c r="F156" s="2258"/>
      <c r="G156" s="2258"/>
      <c r="H156" s="2258"/>
      <c r="I156" s="2258"/>
      <c r="J156" s="2258"/>
      <c r="K156" s="2258"/>
      <c r="L156" s="2258"/>
      <c r="M156" s="2258"/>
      <c r="N156" s="2258"/>
      <c r="O156" s="2258"/>
      <c r="P156" s="2258"/>
      <c r="Q156" s="2258"/>
      <c r="R156" s="2259"/>
      <c r="S156" s="652">
        <f>SUM(S6:S155)</f>
        <v>84.90149375</v>
      </c>
      <c r="T156" s="651">
        <f>SUM(T6:T155)</f>
        <v>1048.8392500000007</v>
      </c>
      <c r="U156" s="651">
        <f>SUM(U6:U155)</f>
        <v>5586.789335399998</v>
      </c>
      <c r="V156" s="651">
        <f>SUM(V6:V155)</f>
        <v>301.83840000000021</v>
      </c>
      <c r="W156" s="650">
        <f>SUM(W6:W155)</f>
        <v>5966.2516203000032</v>
      </c>
    </row>
    <row r="157" spans="1:28">
      <c r="A157" s="649"/>
    </row>
    <row r="159" spans="1:28">
      <c r="B159" s="648" t="s">
        <v>266</v>
      </c>
      <c r="L159" s="655"/>
    </row>
    <row r="160" spans="1:28">
      <c r="B160" s="2235"/>
      <c r="C160" s="2256" t="s">
        <v>95</v>
      </c>
      <c r="D160" s="2256" t="s">
        <v>96</v>
      </c>
      <c r="E160" s="2267" t="s">
        <v>99</v>
      </c>
      <c r="F160" s="2268"/>
      <c r="G160" s="2268"/>
      <c r="H160" s="2269"/>
      <c r="J160" s="2229" t="s">
        <v>100</v>
      </c>
      <c r="L160" s="2270" t="s">
        <v>265</v>
      </c>
      <c r="M160" s="2270"/>
      <c r="O160" s="638" t="s">
        <v>264</v>
      </c>
      <c r="X160" s="640"/>
      <c r="Y160" s="639"/>
      <c r="Z160" s="638"/>
      <c r="AA160" s="638"/>
    </row>
    <row r="161" spans="2:27">
      <c r="B161" s="2235"/>
      <c r="C161" s="2256"/>
      <c r="D161" s="2256"/>
      <c r="E161" s="647">
        <v>8</v>
      </c>
      <c r="F161" s="647">
        <v>10</v>
      </c>
      <c r="G161" s="647">
        <v>13</v>
      </c>
      <c r="H161" s="647">
        <v>16</v>
      </c>
      <c r="J161" s="2229"/>
      <c r="L161" s="638" t="s">
        <v>96</v>
      </c>
      <c r="M161" s="638" t="s">
        <v>99</v>
      </c>
      <c r="X161" s="640"/>
      <c r="Y161" s="639"/>
      <c r="Z161" s="638"/>
      <c r="AA161" s="638"/>
    </row>
    <row r="162" spans="2:27">
      <c r="B162" s="646" t="s">
        <v>2269</v>
      </c>
      <c r="C162" s="645">
        <f t="shared" ref="C162:C175" si="142">SUMIF($B$6:$B$155,B162,$S$6:$S$155)</f>
        <v>8.5733437500000012</v>
      </c>
      <c r="D162" s="645">
        <f>SUMIF($B$6:$B$155,B162,$T$6:$T$155)</f>
        <v>114.31125</v>
      </c>
      <c r="E162" s="645">
        <f t="shared" ref="E162:E175" si="143">SUMIFS($U$6:$U$155,$B$6:$B$155,B162,$F$6:$F$155,$E$161)+SUMIFS($V$6:$V$155,$B$6:$B$155,B162,$M$6:$M$155,$E$161)+SUMIFS($W$6:$W$155,$B$6:$B$155,B162,$P$6:$P$155,$E$161)</f>
        <v>0</v>
      </c>
      <c r="F162" s="645">
        <f t="shared" ref="F162:F175" si="144">SUMIFS($U$6:$U$155,$B$6:$B$155,B162,$F$6:$F$155,$F$161)+SUMIFS($V$6:$V$155,$B$6:$B$155,B162,$M$6:$M$155,$F$161)+SUMIFS($W$6:$W$155,$B$6:$B$155,B162,$P$6:$P$155,$F$161)</f>
        <v>1424.2567950000002</v>
      </c>
      <c r="G162" s="645">
        <f t="shared" ref="G162:G175" si="145">SUMIFS($U$6:$U$155,$B$6:$B$155,B162,$F$6:$F$155,$G$161)+SUMIFS($V$6:$V$155,$B$6:$B$155,B162,$M$6:$M$155,$G$161)+SUMIFS($W$6:$W$155,$B$6:$B$155,B162,$P$6:$P$155,$G$161)</f>
        <v>0</v>
      </c>
      <c r="H162" s="645">
        <f t="shared" ref="H162:H175" si="146">SUMIFS($U$6:$U$155,$B$6:$B$155,B162,$F$6:$F$155,$H$161)+SUMIFS($V$6:$V$155,$B$6:$B$155,B162,$M$6:$M$155,$H$161)+SUMIFS($W$6:$W$155,$B$6:$B$155,B162,$P$6:$P$155,$H$161)</f>
        <v>0</v>
      </c>
      <c r="J162" s="1833">
        <f t="shared" ref="J162:J172" si="147">SUM(E162:H162)</f>
        <v>1424.2567950000002</v>
      </c>
      <c r="L162" s="640">
        <f t="shared" ref="L162:L172" si="148">D162/C162</f>
        <v>13.333333333333332</v>
      </c>
      <c r="M162" s="640">
        <f t="shared" ref="M162:M172" si="149">J162/C162</f>
        <v>166.12617393301184</v>
      </c>
      <c r="O162" s="640">
        <f t="shared" ref="O162:O175" si="150">SUMIF($B$6:$B$155,B162,$AB$6:$AB$155)</f>
        <v>80.530624999999986</v>
      </c>
      <c r="X162" s="640"/>
      <c r="Y162" s="639"/>
      <c r="Z162" s="638"/>
      <c r="AA162" s="638"/>
    </row>
    <row r="163" spans="2:27">
      <c r="B163" s="646" t="s">
        <v>2201</v>
      </c>
      <c r="C163" s="645">
        <f>SUMIF($B$6:$B$155,B163,$S$6:$S$155)</f>
        <v>31.741349999999997</v>
      </c>
      <c r="D163" s="645">
        <f>SUMIF($B$6:$B$155,B163,$T$6:$T$155)</f>
        <v>418.315</v>
      </c>
      <c r="E163" s="645">
        <f t="shared" si="143"/>
        <v>0</v>
      </c>
      <c r="F163" s="645">
        <f>SUMIFS($U$6:$U$155,$B$6:$B$155,B163,$F$6:$F$155,$F$161)+SUMIFS($V$6:$V$155,$B$6:$B$155,B163,$M$6:$M$155,$F$161)+SUMIFS($W$6:$W$155,$B$6:$B$155,B163,$P$6:$P$155,$F$161)</f>
        <v>2372.4646200000007</v>
      </c>
      <c r="G163" s="645">
        <f t="shared" si="145"/>
        <v>0</v>
      </c>
      <c r="H163" s="645">
        <f t="shared" si="146"/>
        <v>0</v>
      </c>
      <c r="J163" s="1833">
        <f t="shared" si="147"/>
        <v>2372.4646200000007</v>
      </c>
      <c r="L163" s="640">
        <f t="shared" si="148"/>
        <v>13.178866053271207</v>
      </c>
      <c r="M163" s="640">
        <f t="shared" si="149"/>
        <v>74.743658351015341</v>
      </c>
      <c r="O163" s="640">
        <f t="shared" si="150"/>
        <v>384.03</v>
      </c>
      <c r="X163" s="640"/>
      <c r="Y163" s="639"/>
      <c r="Z163" s="638"/>
      <c r="AA163" s="638"/>
    </row>
    <row r="164" spans="2:27">
      <c r="B164" s="646" t="s">
        <v>2233</v>
      </c>
      <c r="C164" s="645">
        <f t="shared" si="142"/>
        <v>7.4969999999999999</v>
      </c>
      <c r="D164" s="645">
        <f>SUMIF($B$6:$B$155,B164,$T$6:$T$155)</f>
        <v>74.97</v>
      </c>
      <c r="E164" s="645">
        <f t="shared" si="143"/>
        <v>0</v>
      </c>
      <c r="F164" s="645">
        <f t="shared" si="144"/>
        <v>349.92540000000002</v>
      </c>
      <c r="G164" s="645">
        <f t="shared" si="145"/>
        <v>845.01041040000007</v>
      </c>
      <c r="H164" s="645">
        <f t="shared" si="146"/>
        <v>0</v>
      </c>
      <c r="J164" s="1833">
        <f t="shared" si="147"/>
        <v>1194.9358104</v>
      </c>
      <c r="L164" s="640">
        <f t="shared" si="148"/>
        <v>10</v>
      </c>
      <c r="M164" s="640">
        <f t="shared" si="149"/>
        <v>159.38853013205284</v>
      </c>
      <c r="O164" s="640">
        <f t="shared" si="150"/>
        <v>37.484999999999999</v>
      </c>
      <c r="X164" s="640"/>
      <c r="Y164" s="639"/>
      <c r="Z164" s="638"/>
      <c r="AA164" s="638"/>
    </row>
    <row r="165" spans="2:27">
      <c r="B165" s="646" t="s">
        <v>2234</v>
      </c>
      <c r="C165" s="645">
        <f t="shared" si="142"/>
        <v>0.26850000000000002</v>
      </c>
      <c r="D165" s="645">
        <f t="shared" ref="D165:D175" si="151">SUMIF($B$6:$B$155,B165,$T$6:$T$155)</f>
        <v>3.58</v>
      </c>
      <c r="E165" s="645">
        <f t="shared" si="143"/>
        <v>0</v>
      </c>
      <c r="F165" s="645">
        <f t="shared" si="144"/>
        <v>83.967300000000009</v>
      </c>
      <c r="G165" s="645">
        <f t="shared" si="145"/>
        <v>0</v>
      </c>
      <c r="H165" s="645">
        <f t="shared" si="146"/>
        <v>0</v>
      </c>
      <c r="J165" s="1833">
        <f t="shared" si="147"/>
        <v>83.967300000000009</v>
      </c>
      <c r="L165" s="640">
        <f t="shared" si="148"/>
        <v>13.333333333333332</v>
      </c>
      <c r="M165" s="640">
        <f t="shared" si="149"/>
        <v>312.72737430167598</v>
      </c>
      <c r="O165" s="640">
        <f t="shared" si="150"/>
        <v>1.79</v>
      </c>
      <c r="X165" s="640"/>
      <c r="Y165" s="639"/>
      <c r="Z165" s="638"/>
      <c r="AA165" s="638"/>
    </row>
    <row r="166" spans="2:27">
      <c r="B166" s="646" t="s">
        <v>2336</v>
      </c>
      <c r="C166" s="645">
        <f t="shared" si="142"/>
        <v>2.9974000000000003</v>
      </c>
      <c r="D166" s="645">
        <f t="shared" si="151"/>
        <v>26.186000000000007</v>
      </c>
      <c r="E166" s="645">
        <f t="shared" si="143"/>
        <v>0</v>
      </c>
      <c r="F166" s="645">
        <f t="shared" si="144"/>
        <v>993.11368499999969</v>
      </c>
      <c r="G166" s="645">
        <f t="shared" si="145"/>
        <v>0</v>
      </c>
      <c r="H166" s="645">
        <f t="shared" si="146"/>
        <v>0</v>
      </c>
      <c r="J166" s="1833">
        <f t="shared" ref="J166" si="152">SUM(E166:H166)</f>
        <v>993.11368499999969</v>
      </c>
      <c r="L166" s="640">
        <f t="shared" ref="L166" si="153">D166/C166</f>
        <v>8.7362380729965992</v>
      </c>
      <c r="M166" s="640">
        <f t="shared" ref="M166" si="154">J166/C166</f>
        <v>331.32504337092132</v>
      </c>
      <c r="O166" s="640">
        <f t="shared" si="150"/>
        <v>13.093000000000004</v>
      </c>
      <c r="X166" s="640"/>
      <c r="Y166" s="639"/>
      <c r="Z166" s="638"/>
      <c r="AA166" s="638"/>
    </row>
    <row r="167" spans="2:27">
      <c r="B167" s="646" t="s">
        <v>2241</v>
      </c>
      <c r="C167" s="645">
        <f>SUMIF($B$6:$B$155,B167,$S$6:$S$155)</f>
        <v>11.139000000000001</v>
      </c>
      <c r="D167" s="645">
        <f t="shared" si="151"/>
        <v>112.52</v>
      </c>
      <c r="E167" s="645">
        <f t="shared" si="143"/>
        <v>0</v>
      </c>
      <c r="F167" s="645">
        <f t="shared" si="144"/>
        <v>631.66589999999997</v>
      </c>
      <c r="G167" s="645">
        <f t="shared" si="145"/>
        <v>0</v>
      </c>
      <c r="H167" s="645">
        <f t="shared" si="146"/>
        <v>0</v>
      </c>
      <c r="J167" s="1833">
        <f t="shared" si="147"/>
        <v>631.66589999999997</v>
      </c>
      <c r="L167" s="640">
        <f t="shared" si="148"/>
        <v>10.101445372115988</v>
      </c>
      <c r="M167" s="640">
        <f t="shared" si="149"/>
        <v>56.707594936708851</v>
      </c>
      <c r="O167" s="640">
        <f t="shared" si="150"/>
        <v>56.26</v>
      </c>
      <c r="X167" s="640"/>
      <c r="Y167" s="639"/>
      <c r="Z167" s="638"/>
      <c r="AA167" s="638"/>
    </row>
    <row r="168" spans="2:27">
      <c r="B168" s="646" t="s">
        <v>2281</v>
      </c>
      <c r="C168" s="645">
        <f t="shared" si="142"/>
        <v>1.7430000000000003</v>
      </c>
      <c r="D168" s="645">
        <f t="shared" si="151"/>
        <v>23.240000000000002</v>
      </c>
      <c r="E168" s="645">
        <f t="shared" si="143"/>
        <v>0</v>
      </c>
      <c r="F168" s="645">
        <f t="shared" si="144"/>
        <v>530.9298</v>
      </c>
      <c r="G168" s="645">
        <f t="shared" si="145"/>
        <v>0</v>
      </c>
      <c r="H168" s="645">
        <f t="shared" si="146"/>
        <v>0</v>
      </c>
      <c r="J168" s="1833">
        <f t="shared" si="147"/>
        <v>530.9298</v>
      </c>
      <c r="L168" s="640">
        <f t="shared" si="148"/>
        <v>13.333333333333332</v>
      </c>
      <c r="M168" s="640">
        <f t="shared" si="149"/>
        <v>304.60688468158344</v>
      </c>
      <c r="O168" s="640">
        <f t="shared" si="150"/>
        <v>11.620000000000001</v>
      </c>
      <c r="X168" s="640"/>
      <c r="Y168" s="639"/>
      <c r="Z168" s="638"/>
      <c r="AA168" s="638"/>
    </row>
    <row r="169" spans="2:27">
      <c r="B169" s="646" t="s">
        <v>2242</v>
      </c>
      <c r="C169" s="645">
        <f t="shared" si="142"/>
        <v>2.3537499999999998</v>
      </c>
      <c r="D169" s="645">
        <f t="shared" si="151"/>
        <v>47.075000000000003</v>
      </c>
      <c r="E169" s="645">
        <f t="shared" si="143"/>
        <v>0</v>
      </c>
      <c r="F169" s="645">
        <f t="shared" si="144"/>
        <v>121.28096250000002</v>
      </c>
      <c r="G169" s="645">
        <f t="shared" si="145"/>
        <v>0</v>
      </c>
      <c r="H169" s="645">
        <f t="shared" si="146"/>
        <v>0</v>
      </c>
      <c r="J169" s="1833">
        <f t="shared" si="147"/>
        <v>121.28096250000002</v>
      </c>
      <c r="L169" s="640">
        <f t="shared" si="148"/>
        <v>20.000000000000004</v>
      </c>
      <c r="M169" s="640">
        <f t="shared" si="149"/>
        <v>51.526696760488591</v>
      </c>
      <c r="O169" s="640">
        <f t="shared" si="150"/>
        <v>23.537500000000001</v>
      </c>
      <c r="X169" s="640"/>
      <c r="Y169" s="639"/>
      <c r="Z169" s="638"/>
      <c r="AA169" s="638"/>
    </row>
    <row r="170" spans="2:27">
      <c r="B170" s="646" t="s">
        <v>2235</v>
      </c>
      <c r="C170" s="645">
        <f t="shared" si="142"/>
        <v>4.8345000000000002</v>
      </c>
      <c r="D170" s="645">
        <f t="shared" si="151"/>
        <v>64.459999999999994</v>
      </c>
      <c r="E170" s="645">
        <f t="shared" si="143"/>
        <v>0</v>
      </c>
      <c r="F170" s="645">
        <f t="shared" si="144"/>
        <v>638.81730000000016</v>
      </c>
      <c r="G170" s="645">
        <f t="shared" si="145"/>
        <v>0</v>
      </c>
      <c r="H170" s="645">
        <f t="shared" si="146"/>
        <v>0</v>
      </c>
      <c r="J170" s="1833">
        <f t="shared" si="147"/>
        <v>638.81730000000016</v>
      </c>
      <c r="L170" s="640">
        <f t="shared" si="148"/>
        <v>13.333333333333332</v>
      </c>
      <c r="M170" s="640">
        <f t="shared" si="149"/>
        <v>132.13720136518774</v>
      </c>
      <c r="O170" s="640">
        <f t="shared" si="150"/>
        <v>32.229999999999997</v>
      </c>
      <c r="X170" s="640"/>
      <c r="Y170" s="639"/>
      <c r="Z170" s="638"/>
      <c r="AA170" s="638"/>
    </row>
    <row r="171" spans="2:27">
      <c r="B171" s="646" t="s">
        <v>2283</v>
      </c>
      <c r="C171" s="645">
        <f t="shared" si="142"/>
        <v>0.27750000000000002</v>
      </c>
      <c r="D171" s="645">
        <f t="shared" si="151"/>
        <v>3.7</v>
      </c>
      <c r="E171" s="645">
        <f t="shared" si="143"/>
        <v>0</v>
      </c>
      <c r="F171" s="645">
        <f t="shared" si="144"/>
        <v>93.584699999999998</v>
      </c>
      <c r="G171" s="645">
        <f t="shared" si="145"/>
        <v>0</v>
      </c>
      <c r="H171" s="645">
        <f t="shared" si="146"/>
        <v>0</v>
      </c>
      <c r="J171" s="1833">
        <f t="shared" si="147"/>
        <v>93.584699999999998</v>
      </c>
      <c r="L171" s="640">
        <f t="shared" si="148"/>
        <v>13.333333333333332</v>
      </c>
      <c r="M171" s="640">
        <f t="shared" si="149"/>
        <v>337.24216216216212</v>
      </c>
      <c r="O171" s="640">
        <f t="shared" si="150"/>
        <v>1.85</v>
      </c>
      <c r="X171" s="640"/>
      <c r="Y171" s="639"/>
      <c r="Z171" s="638"/>
      <c r="AA171" s="638"/>
    </row>
    <row r="172" spans="2:27">
      <c r="B172" s="646" t="s">
        <v>2282</v>
      </c>
      <c r="C172" s="645">
        <f t="shared" si="142"/>
        <v>1.2361499999999999</v>
      </c>
      <c r="D172" s="645">
        <f t="shared" si="151"/>
        <v>16.481999999999999</v>
      </c>
      <c r="E172" s="645">
        <f t="shared" si="143"/>
        <v>0</v>
      </c>
      <c r="F172" s="645">
        <f t="shared" si="144"/>
        <v>362.02113000000003</v>
      </c>
      <c r="G172" s="645">
        <f t="shared" si="145"/>
        <v>0</v>
      </c>
      <c r="H172" s="645">
        <f t="shared" si="146"/>
        <v>0</v>
      </c>
      <c r="J172" s="1833">
        <f t="shared" si="147"/>
        <v>362.02113000000003</v>
      </c>
      <c r="L172" s="640">
        <f t="shared" si="148"/>
        <v>13.333333333333334</v>
      </c>
      <c r="M172" s="640">
        <f t="shared" si="149"/>
        <v>292.86181288678563</v>
      </c>
      <c r="O172" s="640">
        <f t="shared" si="150"/>
        <v>8.2409999999999997</v>
      </c>
      <c r="X172" s="640"/>
      <c r="Y172" s="639"/>
      <c r="Z172" s="638"/>
      <c r="AA172" s="638"/>
    </row>
    <row r="173" spans="2:27">
      <c r="B173" s="646" t="s">
        <v>2348</v>
      </c>
      <c r="C173" s="645">
        <f t="shared" si="142"/>
        <v>4.8959999999999999</v>
      </c>
      <c r="D173" s="645">
        <f t="shared" si="151"/>
        <v>57.6</v>
      </c>
      <c r="E173" s="645">
        <f t="shared" si="143"/>
        <v>0</v>
      </c>
      <c r="F173" s="645">
        <f t="shared" si="144"/>
        <v>465.21090000000004</v>
      </c>
      <c r="G173" s="645">
        <f t="shared" si="145"/>
        <v>874.51659359999985</v>
      </c>
      <c r="H173" s="645">
        <f t="shared" si="146"/>
        <v>0</v>
      </c>
      <c r="J173" s="1833">
        <f t="shared" ref="J173" si="155">SUM(E173:H173)</f>
        <v>1339.7274935999999</v>
      </c>
      <c r="L173" s="640">
        <f t="shared" ref="L173" si="156">D173/C173</f>
        <v>11.764705882352942</v>
      </c>
      <c r="M173" s="640">
        <f t="shared" ref="M173" si="157">J173/C173</f>
        <v>273.63715147058821</v>
      </c>
      <c r="O173" s="640">
        <f t="shared" si="150"/>
        <v>28.8</v>
      </c>
      <c r="X173" s="640"/>
      <c r="Y173" s="639"/>
      <c r="Z173" s="638"/>
      <c r="AA173" s="638"/>
    </row>
    <row r="174" spans="2:27">
      <c r="B174" s="646" t="s">
        <v>2350</v>
      </c>
      <c r="C174" s="645">
        <f t="shared" si="142"/>
        <v>3.6720000000000002</v>
      </c>
      <c r="D174" s="645">
        <f t="shared" si="151"/>
        <v>43.2</v>
      </c>
      <c r="E174" s="645">
        <f t="shared" si="143"/>
        <v>0</v>
      </c>
      <c r="F174" s="645">
        <f t="shared" si="144"/>
        <v>374.58540000000005</v>
      </c>
      <c r="G174" s="645">
        <f t="shared" si="145"/>
        <v>659.47152960000005</v>
      </c>
      <c r="H174" s="645">
        <f t="shared" si="146"/>
        <v>0</v>
      </c>
      <c r="J174" s="1833">
        <f t="shared" ref="J174" si="158">SUM(E174:H174)</f>
        <v>1034.0569296000001</v>
      </c>
      <c r="L174" s="640">
        <f t="shared" ref="L174" si="159">D174/C174</f>
        <v>11.764705882352942</v>
      </c>
      <c r="M174" s="640">
        <f t="shared" ref="M174" si="160">J174/C174</f>
        <v>281.60591764705885</v>
      </c>
      <c r="O174" s="640">
        <f t="shared" si="150"/>
        <v>21.6</v>
      </c>
      <c r="X174" s="640"/>
      <c r="Y174" s="639"/>
      <c r="Z174" s="638"/>
      <c r="AA174" s="638"/>
    </row>
    <row r="175" spans="2:27">
      <c r="B175" s="646" t="s">
        <v>2349</v>
      </c>
      <c r="C175" s="645">
        <f t="shared" si="142"/>
        <v>3.6720000000000002</v>
      </c>
      <c r="D175" s="645">
        <f t="shared" si="151"/>
        <v>43.2</v>
      </c>
      <c r="E175" s="645">
        <f t="shared" si="143"/>
        <v>0</v>
      </c>
      <c r="F175" s="645">
        <f t="shared" si="144"/>
        <v>374.58540000000005</v>
      </c>
      <c r="G175" s="645">
        <f t="shared" si="145"/>
        <v>659.47152960000005</v>
      </c>
      <c r="H175" s="645">
        <f t="shared" si="146"/>
        <v>0</v>
      </c>
      <c r="J175" s="1833">
        <f t="shared" ref="J175" si="161">SUM(E175:H175)</f>
        <v>1034.0569296000001</v>
      </c>
      <c r="L175" s="640">
        <f t="shared" ref="L175" si="162">D175/C175</f>
        <v>11.764705882352942</v>
      </c>
      <c r="M175" s="640">
        <f t="shared" ref="M175" si="163">J175/C175</f>
        <v>281.60591764705885</v>
      </c>
      <c r="O175" s="640">
        <f t="shared" si="150"/>
        <v>21.6</v>
      </c>
      <c r="X175" s="640"/>
      <c r="Y175" s="639"/>
      <c r="Z175" s="638"/>
      <c r="AA175" s="638"/>
    </row>
    <row r="176" spans="2:27" ht="15.75" thickBot="1">
      <c r="B176" s="644"/>
      <c r="C176" s="645"/>
      <c r="D176" s="645"/>
      <c r="E176" s="645"/>
      <c r="F176" s="645"/>
      <c r="G176" s="645"/>
      <c r="H176" s="645"/>
      <c r="J176" s="640"/>
      <c r="L176" s="640"/>
      <c r="M176" s="640"/>
      <c r="O176" s="640"/>
      <c r="X176" s="640"/>
      <c r="Y176" s="639"/>
      <c r="Z176" s="638"/>
      <c r="AA176" s="638"/>
    </row>
    <row r="177" spans="2:27">
      <c r="B177" s="642" t="s">
        <v>138</v>
      </c>
      <c r="C177" s="641">
        <f t="shared" ref="C177:H177" si="164">SUM(C162:C176)</f>
        <v>84.90149375</v>
      </c>
      <c r="D177" s="641">
        <f t="shared" si="164"/>
        <v>1048.8392500000002</v>
      </c>
      <c r="E177" s="641">
        <f t="shared" si="164"/>
        <v>0</v>
      </c>
      <c r="F177" s="641">
        <f t="shared" si="164"/>
        <v>8816.4092925000004</v>
      </c>
      <c r="G177" s="641">
        <f t="shared" si="164"/>
        <v>3038.4700631999999</v>
      </c>
      <c r="H177" s="641">
        <f t="shared" si="164"/>
        <v>0</v>
      </c>
      <c r="I177" s="655"/>
      <c r="J177" s="641">
        <f>SUM(J162:J176)</f>
        <v>11854.879355699999</v>
      </c>
      <c r="X177" s="640"/>
      <c r="Y177" s="639"/>
      <c r="Z177" s="638"/>
      <c r="AA177" s="638"/>
    </row>
    <row r="178" spans="2:27">
      <c r="B178" s="638" t="s">
        <v>257</v>
      </c>
      <c r="C178" s="640">
        <f>C177-SUM(S6:S155)</f>
        <v>0</v>
      </c>
      <c r="D178" s="640">
        <f>D177-SUM(T6:T155)</f>
        <v>0</v>
      </c>
      <c r="E178" s="640">
        <f>SUM(E177:H177)-SUM(U6:W155)</f>
        <v>0</v>
      </c>
      <c r="F178" s="640"/>
      <c r="G178" s="640"/>
      <c r="X178" s="640"/>
      <c r="Y178" s="639"/>
      <c r="Z178" s="638"/>
      <c r="AA178" s="638"/>
    </row>
    <row r="179" spans="2:27">
      <c r="X179" s="640"/>
      <c r="Y179" s="639"/>
      <c r="Z179" s="638"/>
      <c r="AA179" s="638"/>
    </row>
    <row r="180" spans="2:27">
      <c r="C180" s="640"/>
      <c r="D180" s="640"/>
      <c r="E180" s="640"/>
      <c r="F180" s="640"/>
      <c r="G180" s="640"/>
    </row>
  </sheetData>
  <autoFilter ref="A6:W156"/>
  <mergeCells count="28">
    <mergeCell ref="Z3:Z4"/>
    <mergeCell ref="Y3:Y4"/>
    <mergeCell ref="J160:J161"/>
    <mergeCell ref="D160:D161"/>
    <mergeCell ref="E160:H160"/>
    <mergeCell ref="I3:K3"/>
    <mergeCell ref="L160:M160"/>
    <mergeCell ref="C160:C161"/>
    <mergeCell ref="W3:W4"/>
    <mergeCell ref="A156:R156"/>
    <mergeCell ref="P3:R3"/>
    <mergeCell ref="S3:S4"/>
    <mergeCell ref="T3:T4"/>
    <mergeCell ref="U3:U4"/>
    <mergeCell ref="A3:A5"/>
    <mergeCell ref="B3:B5"/>
    <mergeCell ref="C3:C4"/>
    <mergeCell ref="D3:D4"/>
    <mergeCell ref="E3:E4"/>
    <mergeCell ref="F3:H3"/>
    <mergeCell ref="V3:V4"/>
    <mergeCell ref="L3:O3"/>
    <mergeCell ref="A7:B7"/>
    <mergeCell ref="A24:B24"/>
    <mergeCell ref="A38:B38"/>
    <mergeCell ref="A50:B50"/>
    <mergeCell ref="B160:B161"/>
    <mergeCell ref="A53:B53"/>
  </mergeCells>
  <phoneticPr fontId="76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137"/>
  <sheetViews>
    <sheetView zoomScale="70" zoomScaleNormal="70" workbookViewId="0">
      <pane xSplit="4" ySplit="7" topLeftCell="E122" activePane="bottomRight" state="frozen"/>
      <selection activeCell="J21" sqref="J21"/>
      <selection pane="topRight" activeCell="J21" sqref="J21"/>
      <selection pane="bottomLeft" activeCell="J21" sqref="J21"/>
      <selection pane="bottomRight" activeCell="V25" sqref="V25"/>
    </sheetView>
  </sheetViews>
  <sheetFormatPr defaultColWidth="9.140625" defaultRowHeight="15" outlineLevelCol="1"/>
  <cols>
    <col min="1" max="1" width="12.42578125" style="614" customWidth="1"/>
    <col min="2" max="2" width="15.140625" style="614" customWidth="1"/>
    <col min="3" max="3" width="14.5703125" style="614" customWidth="1"/>
    <col min="4" max="4" width="15.42578125" style="614" customWidth="1"/>
    <col min="5" max="8" width="12.7109375" style="614" customWidth="1" outlineLevel="1"/>
    <col min="9" max="9" width="15.5703125" style="614" customWidth="1" outlineLevel="1"/>
    <col min="10" max="14" width="11.140625" style="614" customWidth="1" outlineLevel="1"/>
    <col min="15" max="15" width="15.28515625" style="614" bestFit="1" customWidth="1"/>
    <col min="16" max="16" width="17.5703125" style="614" customWidth="1" outlineLevel="1"/>
    <col min="17" max="17" width="19" style="614" customWidth="1" outlineLevel="1"/>
    <col min="18" max="18" width="13.42578125" style="614" customWidth="1" outlineLevel="1"/>
    <col min="19" max="20" width="14.28515625" style="614" customWidth="1" outlineLevel="1"/>
    <col min="21" max="25" width="13.42578125" style="614" customWidth="1" outlineLevel="1"/>
    <col min="26" max="26" width="17.85546875" style="614" customWidth="1" outlineLevel="1"/>
    <col min="27" max="27" width="14.42578125" style="614" customWidth="1"/>
    <col min="28" max="28" width="23.7109375" style="1998" customWidth="1"/>
    <col min="29" max="29" width="17.28515625" style="634" customWidth="1"/>
    <col min="30" max="30" width="14.7109375" style="614" bestFit="1" customWidth="1"/>
    <col min="31" max="31" width="11.28515625" style="614" bestFit="1" customWidth="1"/>
    <col min="32" max="16384" width="9.140625" style="614"/>
  </cols>
  <sheetData>
    <row r="1" spans="1:32">
      <c r="A1" s="614" t="s">
        <v>390</v>
      </c>
      <c r="C1" s="614" t="s">
        <v>389</v>
      </c>
      <c r="D1" s="638">
        <v>130</v>
      </c>
      <c r="E1" s="638" t="s">
        <v>125</v>
      </c>
      <c r="F1" s="638">
        <v>130</v>
      </c>
    </row>
    <row r="2" spans="1:32">
      <c r="C2" s="614" t="s">
        <v>388</v>
      </c>
      <c r="D2" s="638">
        <v>130</v>
      </c>
      <c r="E2" s="638" t="s">
        <v>125</v>
      </c>
      <c r="F2" s="638">
        <v>130</v>
      </c>
    </row>
    <row r="3" spans="1:32">
      <c r="C3" s="614" t="s">
        <v>387</v>
      </c>
      <c r="D3" s="638">
        <v>130</v>
      </c>
      <c r="E3" s="638" t="s">
        <v>125</v>
      </c>
      <c r="F3" s="638">
        <v>130</v>
      </c>
    </row>
    <row r="5" spans="1:32" ht="15" customHeight="1">
      <c r="A5" s="2277" t="s">
        <v>131</v>
      </c>
      <c r="B5" s="2278"/>
      <c r="C5" s="2281" t="s">
        <v>44</v>
      </c>
      <c r="D5" s="2282" t="s">
        <v>274</v>
      </c>
      <c r="E5" s="2286" t="s">
        <v>385</v>
      </c>
      <c r="F5" s="2288"/>
      <c r="G5" s="2288"/>
      <c r="H5" s="2288"/>
      <c r="I5" s="2288"/>
      <c r="J5" s="2288"/>
      <c r="K5" s="2288"/>
      <c r="L5" s="2288"/>
      <c r="M5" s="2288"/>
      <c r="N5" s="2288"/>
      <c r="O5" s="2288"/>
      <c r="P5" s="2287"/>
      <c r="Q5" s="2275" t="s">
        <v>391</v>
      </c>
      <c r="R5" s="2275" t="s">
        <v>384</v>
      </c>
      <c r="S5" s="2141" t="s">
        <v>366</v>
      </c>
      <c r="T5" s="2275" t="s">
        <v>365</v>
      </c>
      <c r="U5" s="2275" t="s">
        <v>364</v>
      </c>
      <c r="V5" s="2275" t="s">
        <v>363</v>
      </c>
      <c r="W5" s="2275" t="s">
        <v>362</v>
      </c>
      <c r="X5" s="2275" t="s">
        <v>2227</v>
      </c>
      <c r="Y5" s="2275" t="s">
        <v>2363</v>
      </c>
      <c r="Z5" s="2275" t="s">
        <v>361</v>
      </c>
      <c r="AA5" s="2284" t="s">
        <v>383</v>
      </c>
    </row>
    <row r="6" spans="1:32" ht="30">
      <c r="A6" s="2279"/>
      <c r="B6" s="2280"/>
      <c r="C6" s="2244"/>
      <c r="D6" s="2247"/>
      <c r="E6" s="906" t="s">
        <v>382</v>
      </c>
      <c r="F6" s="2286" t="s">
        <v>381</v>
      </c>
      <c r="G6" s="2287"/>
      <c r="H6" s="2286" t="s">
        <v>380</v>
      </c>
      <c r="I6" s="2288"/>
      <c r="J6" s="2287"/>
      <c r="K6" s="2286" t="s">
        <v>379</v>
      </c>
      <c r="L6" s="2287"/>
      <c r="M6" s="2286" t="s">
        <v>378</v>
      </c>
      <c r="N6" s="2287"/>
      <c r="O6" s="904" t="s">
        <v>377</v>
      </c>
      <c r="P6" s="2282" t="s">
        <v>376</v>
      </c>
      <c r="Q6" s="2276"/>
      <c r="R6" s="2276"/>
      <c r="S6" s="2276"/>
      <c r="T6" s="2276"/>
      <c r="U6" s="2276"/>
      <c r="V6" s="2276"/>
      <c r="W6" s="2276"/>
      <c r="X6" s="2276"/>
      <c r="Y6" s="2276"/>
      <c r="Z6" s="2276"/>
      <c r="AA6" s="2285"/>
      <c r="AC6" s="951" t="s">
        <v>359</v>
      </c>
      <c r="AD6" s="907" t="s">
        <v>386</v>
      </c>
    </row>
    <row r="7" spans="1:32" ht="28.5" customHeight="1" thickBot="1">
      <c r="A7" s="905" t="s">
        <v>375</v>
      </c>
      <c r="B7" s="905" t="s">
        <v>374</v>
      </c>
      <c r="C7" s="2245"/>
      <c r="D7" s="2248"/>
      <c r="E7" s="944" t="s">
        <v>49</v>
      </c>
      <c r="F7" s="931" t="s">
        <v>50</v>
      </c>
      <c r="G7" s="943" t="s">
        <v>373</v>
      </c>
      <c r="H7" s="932" t="s">
        <v>372</v>
      </c>
      <c r="I7" s="905" t="s">
        <v>371</v>
      </c>
      <c r="J7" s="943" t="s">
        <v>370</v>
      </c>
      <c r="K7" s="932" t="s">
        <v>50</v>
      </c>
      <c r="L7" s="943" t="s">
        <v>369</v>
      </c>
      <c r="M7" s="932" t="s">
        <v>50</v>
      </c>
      <c r="N7" s="943" t="s">
        <v>368</v>
      </c>
      <c r="O7" s="932" t="s">
        <v>49</v>
      </c>
      <c r="P7" s="2248"/>
      <c r="Q7" s="942" t="s">
        <v>49</v>
      </c>
      <c r="R7" s="942" t="s">
        <v>49</v>
      </c>
      <c r="S7" s="2283" t="s">
        <v>49</v>
      </c>
      <c r="T7" s="942" t="s">
        <v>49</v>
      </c>
      <c r="U7" s="942" t="s">
        <v>49</v>
      </c>
      <c r="V7" s="942" t="s">
        <v>49</v>
      </c>
      <c r="W7" s="942" t="s">
        <v>49</v>
      </c>
      <c r="X7" s="942" t="s">
        <v>49</v>
      </c>
      <c r="Y7" s="942" t="s">
        <v>49</v>
      </c>
      <c r="Z7" s="931" t="s">
        <v>49</v>
      </c>
      <c r="AA7" s="931" t="s">
        <v>50</v>
      </c>
    </row>
    <row r="8" spans="1:32">
      <c r="A8" s="658">
        <v>1</v>
      </c>
      <c r="B8" s="663">
        <v>150</v>
      </c>
      <c r="C8" s="941">
        <v>3775</v>
      </c>
      <c r="D8" s="940">
        <v>4500</v>
      </c>
      <c r="E8" s="954"/>
      <c r="F8" s="922"/>
      <c r="G8" s="939"/>
      <c r="H8" s="924"/>
      <c r="I8" s="920"/>
      <c r="J8" s="939"/>
      <c r="K8" s="924"/>
      <c r="L8" s="939"/>
      <c r="M8" s="924"/>
      <c r="N8" s="939"/>
      <c r="O8" s="924"/>
      <c r="P8" s="939"/>
      <c r="Q8" s="938">
        <f t="shared" ref="Q8" si="0">C8*D8/1000000-O8</f>
        <v>16.987500000000001</v>
      </c>
      <c r="R8" s="938"/>
      <c r="S8" s="938">
        <f t="shared" ref="S8:S29" si="1">IF($B8=150,Q8-SUM(E8,G8,J8,L8,N8),0)</f>
        <v>16.987500000000001</v>
      </c>
      <c r="T8" s="937">
        <f t="shared" ref="T8:T29" si="2">IF($B8=200,Q8-SUM(E8,G8,J8,L8,N8),0)</f>
        <v>0</v>
      </c>
      <c r="U8" s="938">
        <f t="shared" ref="U8:U29" si="3">IF($B8=250,Q8-SUM(E8,G8,J8,L8,N8),0)</f>
        <v>0</v>
      </c>
      <c r="V8" s="938">
        <f t="shared" ref="V8:V29" si="4">IF($B8=300,Q8-SUM(E8,G8,J8,L8,N8),0)</f>
        <v>0</v>
      </c>
      <c r="W8" s="937">
        <f t="shared" ref="W8:W29" si="5">IF($B8=350,Q8-SUM(E8,G8,J8,L8,N8),0)</f>
        <v>0</v>
      </c>
      <c r="X8" s="937">
        <f t="shared" ref="X8:X29" si="6">IF($B8=400,Q8-SUM(E8,G8,J8,L8,N8),0)</f>
        <v>0</v>
      </c>
      <c r="Y8" s="937">
        <f t="shared" ref="Y8:Y35" si="7">IF($B8=100,Q8-SUM(E8,G8,J8,L8,N8),0)</f>
        <v>0</v>
      </c>
      <c r="Z8" s="922">
        <f t="shared" ref="Z8" si="8">SUM(S8:Y8)*2</f>
        <v>33.975000000000001</v>
      </c>
      <c r="AA8" s="922"/>
      <c r="AD8" s="615">
        <f t="shared" ref="AD8" si="9">AC8*(IF(S8&gt;0,150,IF(T8&gt;0,200,IF(U8&gt;0,250,IF(V8&gt;0,300,IF(W8&gt;0,350,IF(X8&gt;0,400,IF(Y8&gt;0,450))))))))/1000</f>
        <v>0</v>
      </c>
      <c r="AE8" s="952"/>
      <c r="AF8" s="952"/>
    </row>
    <row r="9" spans="1:32">
      <c r="A9" s="1997">
        <v>2</v>
      </c>
      <c r="B9" s="663">
        <v>150</v>
      </c>
      <c r="C9" s="941">
        <v>5275</v>
      </c>
      <c r="D9" s="940">
        <v>4500</v>
      </c>
      <c r="E9" s="954"/>
      <c r="F9" s="922"/>
      <c r="G9" s="939"/>
      <c r="H9" s="924"/>
      <c r="I9" s="920"/>
      <c r="J9" s="939"/>
      <c r="K9" s="924"/>
      <c r="L9" s="939"/>
      <c r="M9" s="924"/>
      <c r="N9" s="939"/>
      <c r="O9" s="924">
        <f>(0.98*3)</f>
        <v>2.94</v>
      </c>
      <c r="P9" s="939" t="s">
        <v>1404</v>
      </c>
      <c r="Q9" s="938">
        <f t="shared" ref="Q9" si="10">C9*D9/1000000-O9</f>
        <v>20.797499999999999</v>
      </c>
      <c r="R9" s="938"/>
      <c r="S9" s="938">
        <f t="shared" si="1"/>
        <v>20.797499999999999</v>
      </c>
      <c r="T9" s="937">
        <f t="shared" si="2"/>
        <v>0</v>
      </c>
      <c r="U9" s="938">
        <f t="shared" si="3"/>
        <v>0</v>
      </c>
      <c r="V9" s="938">
        <f t="shared" si="4"/>
        <v>0</v>
      </c>
      <c r="W9" s="937">
        <f t="shared" si="5"/>
        <v>0</v>
      </c>
      <c r="X9" s="937">
        <f t="shared" si="6"/>
        <v>0</v>
      </c>
      <c r="Y9" s="937">
        <f t="shared" si="7"/>
        <v>0</v>
      </c>
      <c r="Z9" s="922">
        <f t="shared" ref="Z9:Z20" si="11">SUM(S9:Y9)*2</f>
        <v>41.594999999999999</v>
      </c>
      <c r="AA9" s="922"/>
      <c r="AB9" s="1998" t="s">
        <v>1404</v>
      </c>
      <c r="AC9" s="634">
        <f>(0.98+2*2.4)</f>
        <v>5.7799999999999994</v>
      </c>
      <c r="AD9" s="615">
        <f t="shared" ref="AD9" si="12">AC9*(IF(S9&gt;0,150,IF(T9&gt;0,200,IF(U9&gt;0,250,IF(V9&gt;0,300,IF(W9&gt;0,350,IF(X9&gt;0,400,IF(Y9&gt;0,450))))))))/1000</f>
        <v>0.86699999999999988</v>
      </c>
      <c r="AE9" s="952"/>
      <c r="AF9" s="952"/>
    </row>
    <row r="10" spans="1:32">
      <c r="A10" s="1997">
        <v>3</v>
      </c>
      <c r="B10" s="663">
        <v>200</v>
      </c>
      <c r="C10" s="941">
        <v>5275</v>
      </c>
      <c r="D10" s="940">
        <v>4500</v>
      </c>
      <c r="E10" s="954"/>
      <c r="F10" s="922"/>
      <c r="G10" s="939"/>
      <c r="H10" s="924"/>
      <c r="I10" s="920"/>
      <c r="J10" s="939"/>
      <c r="K10" s="924"/>
      <c r="L10" s="939"/>
      <c r="M10" s="924"/>
      <c r="N10" s="939"/>
      <c r="O10" s="924">
        <f>(2.945*3)</f>
        <v>8.8349999999999991</v>
      </c>
      <c r="P10" s="939" t="s">
        <v>2221</v>
      </c>
      <c r="Q10" s="938">
        <f>C10*D10/1000000-O10</f>
        <v>14.902500000000002</v>
      </c>
      <c r="R10" s="938"/>
      <c r="S10" s="938">
        <f t="shared" si="1"/>
        <v>0</v>
      </c>
      <c r="T10" s="937">
        <f t="shared" si="2"/>
        <v>14.902500000000002</v>
      </c>
      <c r="U10" s="938">
        <f t="shared" si="3"/>
        <v>0</v>
      </c>
      <c r="V10" s="938">
        <f t="shared" si="4"/>
        <v>0</v>
      </c>
      <c r="W10" s="937">
        <f t="shared" si="5"/>
        <v>0</v>
      </c>
      <c r="X10" s="937">
        <f t="shared" si="6"/>
        <v>0</v>
      </c>
      <c r="Y10" s="937">
        <f t="shared" si="7"/>
        <v>0</v>
      </c>
      <c r="Z10" s="922">
        <f t="shared" si="11"/>
        <v>29.805000000000003</v>
      </c>
      <c r="AA10" s="922"/>
      <c r="AB10" s="1998" t="s">
        <v>2221</v>
      </c>
      <c r="AC10" s="634">
        <f>(2.945+2*2.4)</f>
        <v>7.7449999999999992</v>
      </c>
      <c r="AD10" s="615">
        <f t="shared" ref="AD10:AD20" si="13">AC10*(IF(S10&gt;0,150,IF(T10&gt;0,200,IF(U10&gt;0,250,IF(V10&gt;0,300,IF(W10&gt;0,350,IF(X10&gt;0,400,IF(Y10&gt;0,450))))))))/1000</f>
        <v>1.5489999999999997</v>
      </c>
      <c r="AE10" s="952"/>
      <c r="AF10" s="952"/>
    </row>
    <row r="11" spans="1:32">
      <c r="A11" s="1997">
        <v>4</v>
      </c>
      <c r="B11" s="663">
        <v>150</v>
      </c>
      <c r="C11" s="941">
        <v>4775</v>
      </c>
      <c r="D11" s="940">
        <v>4500</v>
      </c>
      <c r="E11" s="954"/>
      <c r="F11" s="922"/>
      <c r="G11" s="939"/>
      <c r="H11" s="924"/>
      <c r="I11" s="920"/>
      <c r="J11" s="939"/>
      <c r="K11" s="924"/>
      <c r="L11" s="939"/>
      <c r="M11" s="924"/>
      <c r="N11" s="939"/>
      <c r="O11" s="924">
        <f>(0.98*3)+(0.98*3)+(0.7*1.2)</f>
        <v>6.72</v>
      </c>
      <c r="P11" s="939" t="s">
        <v>2222</v>
      </c>
      <c r="Q11" s="938">
        <f t="shared" ref="Q11" si="14">C11*D11/1000000-O11</f>
        <v>14.767500000000002</v>
      </c>
      <c r="R11" s="938"/>
      <c r="S11" s="938">
        <f t="shared" si="1"/>
        <v>14.767500000000002</v>
      </c>
      <c r="T11" s="937">
        <f t="shared" si="2"/>
        <v>0</v>
      </c>
      <c r="U11" s="938">
        <f t="shared" si="3"/>
        <v>0</v>
      </c>
      <c r="V11" s="938">
        <f t="shared" si="4"/>
        <v>0</v>
      </c>
      <c r="W11" s="937">
        <f t="shared" si="5"/>
        <v>0</v>
      </c>
      <c r="X11" s="937">
        <f t="shared" si="6"/>
        <v>0</v>
      </c>
      <c r="Y11" s="937">
        <f t="shared" si="7"/>
        <v>0</v>
      </c>
      <c r="Z11" s="922">
        <f>SUM(S11:Y11)*2</f>
        <v>29.535000000000004</v>
      </c>
      <c r="AA11" s="922"/>
      <c r="AB11" s="1998" t="s">
        <v>2222</v>
      </c>
      <c r="AC11" s="634">
        <f>(0.98+2*2.4)+(0.98+2*2.4)+(0.7+2*1.2)</f>
        <v>14.659999999999998</v>
      </c>
      <c r="AD11" s="615">
        <f t="shared" ref="AD11" si="15">AC11*(IF(S11&gt;0,150,IF(T11&gt;0,200,IF(U11&gt;0,250,IF(V11&gt;0,300,IF(W11&gt;0,350,IF(X11&gt;0,400,IF(Y11&gt;0,450))))))))/1000</f>
        <v>2.1989999999999994</v>
      </c>
      <c r="AE11" s="952"/>
      <c r="AF11" s="952"/>
    </row>
    <row r="12" spans="1:32">
      <c r="A12" s="1997">
        <v>5</v>
      </c>
      <c r="B12" s="663">
        <v>200</v>
      </c>
      <c r="C12" s="941">
        <v>10850</v>
      </c>
      <c r="D12" s="940">
        <v>4500</v>
      </c>
      <c r="E12" s="954"/>
      <c r="F12" s="922"/>
      <c r="G12" s="939"/>
      <c r="H12" s="924"/>
      <c r="I12" s="920"/>
      <c r="J12" s="939"/>
      <c r="K12" s="924"/>
      <c r="L12" s="939"/>
      <c r="M12" s="924"/>
      <c r="N12" s="939"/>
      <c r="O12" s="2155">
        <f>(3.25*3)+(4.4*3)</f>
        <v>22.950000000000003</v>
      </c>
      <c r="P12" s="939" t="s">
        <v>2223</v>
      </c>
      <c r="Q12" s="938">
        <f t="shared" ref="Q12" si="16">C12*D12/1000000-O12</f>
        <v>25.875</v>
      </c>
      <c r="R12" s="938"/>
      <c r="S12" s="938">
        <f t="shared" si="1"/>
        <v>0</v>
      </c>
      <c r="T12" s="937">
        <f t="shared" si="2"/>
        <v>25.875</v>
      </c>
      <c r="U12" s="938">
        <f t="shared" si="3"/>
        <v>0</v>
      </c>
      <c r="V12" s="938">
        <f t="shared" si="4"/>
        <v>0</v>
      </c>
      <c r="W12" s="937">
        <f t="shared" si="5"/>
        <v>0</v>
      </c>
      <c r="X12" s="937">
        <f t="shared" si="6"/>
        <v>0</v>
      </c>
      <c r="Y12" s="937">
        <f t="shared" si="7"/>
        <v>0</v>
      </c>
      <c r="Z12" s="922">
        <f t="shared" si="11"/>
        <v>51.75</v>
      </c>
      <c r="AA12" s="922"/>
      <c r="AB12" s="1998" t="s">
        <v>2223</v>
      </c>
      <c r="AC12" s="634">
        <f>(3.25+2*3)+(4.4+2*2.4)</f>
        <v>18.45</v>
      </c>
      <c r="AD12" s="615">
        <f t="shared" si="13"/>
        <v>3.69</v>
      </c>
      <c r="AE12" s="952"/>
      <c r="AF12" s="952"/>
    </row>
    <row r="13" spans="1:32">
      <c r="A13" s="658">
        <v>6</v>
      </c>
      <c r="B13" s="663">
        <v>200</v>
      </c>
      <c r="C13" s="941">
        <v>9750</v>
      </c>
      <c r="D13" s="940">
        <v>4500</v>
      </c>
      <c r="E13" s="954"/>
      <c r="F13" s="922"/>
      <c r="G13" s="939"/>
      <c r="H13" s="924"/>
      <c r="I13" s="920"/>
      <c r="J13" s="939"/>
      <c r="K13" s="924"/>
      <c r="L13" s="939"/>
      <c r="M13" s="924"/>
      <c r="N13" s="939"/>
      <c r="O13" s="924"/>
      <c r="P13" s="939"/>
      <c r="Q13" s="938">
        <f>C13*D13/1000000-O13</f>
        <v>43.875</v>
      </c>
      <c r="R13" s="938"/>
      <c r="S13" s="938">
        <f t="shared" si="1"/>
        <v>0</v>
      </c>
      <c r="T13" s="937">
        <f t="shared" si="2"/>
        <v>43.875</v>
      </c>
      <c r="U13" s="938">
        <f t="shared" si="3"/>
        <v>0</v>
      </c>
      <c r="V13" s="938">
        <f t="shared" si="4"/>
        <v>0</v>
      </c>
      <c r="W13" s="937">
        <f t="shared" si="5"/>
        <v>0</v>
      </c>
      <c r="X13" s="937">
        <f t="shared" si="6"/>
        <v>0</v>
      </c>
      <c r="Y13" s="937">
        <f t="shared" si="7"/>
        <v>0</v>
      </c>
      <c r="Z13" s="922">
        <f t="shared" si="11"/>
        <v>87.75</v>
      </c>
      <c r="AA13" s="922"/>
      <c r="AD13" s="615">
        <f t="shared" si="13"/>
        <v>0</v>
      </c>
      <c r="AE13" s="952"/>
      <c r="AF13" s="952"/>
    </row>
    <row r="14" spans="1:32">
      <c r="A14" s="658">
        <v>7</v>
      </c>
      <c r="B14" s="663">
        <v>200</v>
      </c>
      <c r="C14" s="941">
        <v>150</v>
      </c>
      <c r="D14" s="940">
        <v>4500</v>
      </c>
      <c r="E14" s="954"/>
      <c r="F14" s="922"/>
      <c r="G14" s="939"/>
      <c r="H14" s="924"/>
      <c r="I14" s="920"/>
      <c r="J14" s="939"/>
      <c r="K14" s="924"/>
      <c r="L14" s="939"/>
      <c r="M14" s="924"/>
      <c r="N14" s="939"/>
      <c r="O14" s="924"/>
      <c r="P14" s="939"/>
      <c r="Q14" s="938">
        <f t="shared" ref="Q14" si="17">C14*D14/1000000-O14</f>
        <v>0.67500000000000004</v>
      </c>
      <c r="R14" s="938"/>
      <c r="S14" s="938">
        <f t="shared" si="1"/>
        <v>0</v>
      </c>
      <c r="T14" s="937">
        <f t="shared" si="2"/>
        <v>0.67500000000000004</v>
      </c>
      <c r="U14" s="938">
        <f t="shared" si="3"/>
        <v>0</v>
      </c>
      <c r="V14" s="938">
        <f t="shared" si="4"/>
        <v>0</v>
      </c>
      <c r="W14" s="937">
        <f t="shared" si="5"/>
        <v>0</v>
      </c>
      <c r="X14" s="937">
        <f t="shared" si="6"/>
        <v>0</v>
      </c>
      <c r="Y14" s="937">
        <f t="shared" si="7"/>
        <v>0</v>
      </c>
      <c r="Z14" s="922">
        <f t="shared" si="11"/>
        <v>1.35</v>
      </c>
      <c r="AA14" s="922"/>
      <c r="AD14" s="615">
        <f t="shared" ref="AD14" si="18">AC14*(IF(S14&gt;0,150,IF(T14&gt;0,200,IF(U14&gt;0,250,IF(V14&gt;0,300,IF(W14&gt;0,350,IF(X14&gt;0,400,IF(Y14&gt;0,450))))))))/1000</f>
        <v>0</v>
      </c>
      <c r="AE14" s="952"/>
      <c r="AF14" s="952"/>
    </row>
    <row r="15" spans="1:32">
      <c r="A15" s="658">
        <v>8</v>
      </c>
      <c r="B15" s="663">
        <v>200</v>
      </c>
      <c r="C15" s="941">
        <v>150</v>
      </c>
      <c r="D15" s="940">
        <v>4500</v>
      </c>
      <c r="E15" s="954"/>
      <c r="F15" s="922"/>
      <c r="G15" s="939"/>
      <c r="H15" s="924"/>
      <c r="I15" s="920"/>
      <c r="J15" s="939"/>
      <c r="K15" s="924"/>
      <c r="L15" s="939"/>
      <c r="M15" s="924"/>
      <c r="N15" s="939"/>
      <c r="O15" s="924"/>
      <c r="P15" s="939"/>
      <c r="Q15" s="938">
        <f t="shared" ref="Q15:Q20" si="19">C15*D15/1000000-O15</f>
        <v>0.67500000000000004</v>
      </c>
      <c r="R15" s="938"/>
      <c r="S15" s="938">
        <f t="shared" si="1"/>
        <v>0</v>
      </c>
      <c r="T15" s="937">
        <f t="shared" si="2"/>
        <v>0.67500000000000004</v>
      </c>
      <c r="U15" s="938">
        <f t="shared" si="3"/>
        <v>0</v>
      </c>
      <c r="V15" s="938">
        <f t="shared" si="4"/>
        <v>0</v>
      </c>
      <c r="W15" s="937">
        <f t="shared" si="5"/>
        <v>0</v>
      </c>
      <c r="X15" s="937">
        <f t="shared" si="6"/>
        <v>0</v>
      </c>
      <c r="Y15" s="937">
        <f t="shared" si="7"/>
        <v>0</v>
      </c>
      <c r="Z15" s="922">
        <f t="shared" si="11"/>
        <v>1.35</v>
      </c>
      <c r="AA15" s="922"/>
      <c r="AD15" s="615">
        <f t="shared" si="13"/>
        <v>0</v>
      </c>
      <c r="AE15" s="952"/>
      <c r="AF15" s="952"/>
    </row>
    <row r="16" spans="1:32">
      <c r="A16" s="1997">
        <v>9</v>
      </c>
      <c r="B16" s="663">
        <v>200</v>
      </c>
      <c r="C16" s="941">
        <v>10650</v>
      </c>
      <c r="D16" s="940">
        <v>4500</v>
      </c>
      <c r="E16" s="954"/>
      <c r="F16" s="922"/>
      <c r="G16" s="939"/>
      <c r="H16" s="924"/>
      <c r="I16" s="920"/>
      <c r="J16" s="939"/>
      <c r="K16" s="924"/>
      <c r="L16" s="939"/>
      <c r="M16" s="924"/>
      <c r="N16" s="939"/>
      <c r="O16" s="924">
        <f>(2.2*4.5)+2*(0.9*2.5)</f>
        <v>14.4</v>
      </c>
      <c r="P16" s="939" t="s">
        <v>2221</v>
      </c>
      <c r="Q16" s="938">
        <f t="shared" si="19"/>
        <v>33.524999999999999</v>
      </c>
      <c r="R16" s="938"/>
      <c r="S16" s="938">
        <f t="shared" si="1"/>
        <v>0</v>
      </c>
      <c r="T16" s="937">
        <f t="shared" si="2"/>
        <v>33.524999999999999</v>
      </c>
      <c r="U16" s="938">
        <f t="shared" si="3"/>
        <v>0</v>
      </c>
      <c r="V16" s="938">
        <f t="shared" si="4"/>
        <v>0</v>
      </c>
      <c r="W16" s="937">
        <f t="shared" si="5"/>
        <v>0</v>
      </c>
      <c r="X16" s="937">
        <f t="shared" si="6"/>
        <v>0</v>
      </c>
      <c r="Y16" s="937">
        <f t="shared" si="7"/>
        <v>0</v>
      </c>
      <c r="Z16" s="922">
        <f t="shared" si="11"/>
        <v>67.05</v>
      </c>
      <c r="AA16" s="922"/>
      <c r="AB16" s="1998" t="s">
        <v>2221</v>
      </c>
      <c r="AC16" s="634">
        <f>(2.2+2*2.4)+2*2*(0.9+1.2)</f>
        <v>15.4</v>
      </c>
      <c r="AD16" s="615">
        <f t="shared" si="13"/>
        <v>3.08</v>
      </c>
      <c r="AE16" s="952"/>
      <c r="AF16" s="952"/>
    </row>
    <row r="17" spans="1:32">
      <c r="A17" s="1997">
        <v>10</v>
      </c>
      <c r="B17" s="663">
        <v>150</v>
      </c>
      <c r="C17" s="941">
        <v>1300</v>
      </c>
      <c r="D17" s="940">
        <v>4500</v>
      </c>
      <c r="E17" s="954"/>
      <c r="F17" s="922"/>
      <c r="G17" s="939"/>
      <c r="H17" s="924"/>
      <c r="I17" s="920"/>
      <c r="J17" s="939"/>
      <c r="K17" s="924"/>
      <c r="L17" s="939"/>
      <c r="M17" s="924"/>
      <c r="N17" s="939"/>
      <c r="O17" s="924">
        <f>(0.65*3)</f>
        <v>1.9500000000000002</v>
      </c>
      <c r="P17" s="939" t="s">
        <v>2122</v>
      </c>
      <c r="Q17" s="938">
        <f t="shared" si="19"/>
        <v>3.8999999999999995</v>
      </c>
      <c r="R17" s="938"/>
      <c r="S17" s="938">
        <f t="shared" si="1"/>
        <v>3.8999999999999995</v>
      </c>
      <c r="T17" s="937">
        <f t="shared" si="2"/>
        <v>0</v>
      </c>
      <c r="U17" s="938">
        <f t="shared" si="3"/>
        <v>0</v>
      </c>
      <c r="V17" s="938">
        <f t="shared" si="4"/>
        <v>0</v>
      </c>
      <c r="W17" s="937">
        <f t="shared" si="5"/>
        <v>0</v>
      </c>
      <c r="X17" s="937">
        <f t="shared" si="6"/>
        <v>0</v>
      </c>
      <c r="Y17" s="937">
        <f t="shared" si="7"/>
        <v>0</v>
      </c>
      <c r="Z17" s="922">
        <f t="shared" si="11"/>
        <v>7.7999999999999989</v>
      </c>
      <c r="AA17" s="922"/>
      <c r="AB17" s="1998" t="s">
        <v>2122</v>
      </c>
      <c r="AC17" s="634">
        <f>2*(0.65+1.2)</f>
        <v>3.7</v>
      </c>
      <c r="AD17" s="615">
        <f t="shared" si="13"/>
        <v>0.55500000000000005</v>
      </c>
      <c r="AE17" s="952"/>
      <c r="AF17" s="952"/>
    </row>
    <row r="18" spans="1:32">
      <c r="A18" s="1997">
        <v>11</v>
      </c>
      <c r="B18" s="663">
        <v>400</v>
      </c>
      <c r="C18" s="941">
        <v>3925</v>
      </c>
      <c r="D18" s="940">
        <v>5500</v>
      </c>
      <c r="E18" s="954"/>
      <c r="F18" s="922"/>
      <c r="G18" s="939"/>
      <c r="H18" s="924"/>
      <c r="I18" s="920"/>
      <c r="J18" s="939"/>
      <c r="K18" s="924"/>
      <c r="L18" s="939"/>
      <c r="M18" s="924"/>
      <c r="N18" s="939"/>
      <c r="O18" s="924">
        <f>(3.375*3)</f>
        <v>10.125</v>
      </c>
      <c r="P18" s="939" t="s">
        <v>2224</v>
      </c>
      <c r="Q18" s="938">
        <f t="shared" si="19"/>
        <v>11.462499999999999</v>
      </c>
      <c r="R18" s="938"/>
      <c r="S18" s="938">
        <f t="shared" si="1"/>
        <v>0</v>
      </c>
      <c r="T18" s="937">
        <f t="shared" si="2"/>
        <v>0</v>
      </c>
      <c r="U18" s="938">
        <f t="shared" si="3"/>
        <v>0</v>
      </c>
      <c r="V18" s="938">
        <f t="shared" si="4"/>
        <v>0</v>
      </c>
      <c r="W18" s="937">
        <f t="shared" si="5"/>
        <v>0</v>
      </c>
      <c r="X18" s="937">
        <f t="shared" si="6"/>
        <v>11.462499999999999</v>
      </c>
      <c r="Y18" s="937">
        <f t="shared" si="7"/>
        <v>0</v>
      </c>
      <c r="Z18" s="922">
        <f t="shared" si="11"/>
        <v>22.924999999999997</v>
      </c>
      <c r="AA18" s="922"/>
      <c r="AB18" s="1998" t="s">
        <v>2224</v>
      </c>
      <c r="AC18" s="634">
        <f>(3.375+2*3)</f>
        <v>9.375</v>
      </c>
      <c r="AD18" s="615">
        <f t="shared" si="13"/>
        <v>3.75</v>
      </c>
      <c r="AE18" s="952"/>
      <c r="AF18" s="952"/>
    </row>
    <row r="19" spans="1:32">
      <c r="A19" s="658">
        <v>12</v>
      </c>
      <c r="B19" s="663">
        <v>150</v>
      </c>
      <c r="C19" s="941">
        <v>1525</v>
      </c>
      <c r="D19" s="940">
        <v>4500</v>
      </c>
      <c r="E19" s="954"/>
      <c r="F19" s="922"/>
      <c r="G19" s="939"/>
      <c r="H19" s="924"/>
      <c r="I19" s="920"/>
      <c r="J19" s="939"/>
      <c r="K19" s="924"/>
      <c r="L19" s="939"/>
      <c r="M19" s="924"/>
      <c r="N19" s="939"/>
      <c r="O19" s="924"/>
      <c r="P19" s="939"/>
      <c r="Q19" s="938">
        <f t="shared" si="19"/>
        <v>6.8624999999999998</v>
      </c>
      <c r="R19" s="938"/>
      <c r="S19" s="938">
        <f t="shared" si="1"/>
        <v>6.8624999999999998</v>
      </c>
      <c r="T19" s="937">
        <f t="shared" si="2"/>
        <v>0</v>
      </c>
      <c r="U19" s="938">
        <f t="shared" si="3"/>
        <v>0</v>
      </c>
      <c r="V19" s="938">
        <f t="shared" si="4"/>
        <v>0</v>
      </c>
      <c r="W19" s="937">
        <f t="shared" si="5"/>
        <v>0</v>
      </c>
      <c r="X19" s="937">
        <f t="shared" si="6"/>
        <v>0</v>
      </c>
      <c r="Y19" s="937">
        <f t="shared" si="7"/>
        <v>0</v>
      </c>
      <c r="Z19" s="922">
        <f t="shared" si="11"/>
        <v>13.725</v>
      </c>
      <c r="AA19" s="922"/>
      <c r="AD19" s="615">
        <f t="shared" si="13"/>
        <v>0</v>
      </c>
      <c r="AE19" s="952"/>
      <c r="AF19" s="952"/>
    </row>
    <row r="20" spans="1:32">
      <c r="A20" s="658">
        <v>13</v>
      </c>
      <c r="B20" s="663">
        <v>200</v>
      </c>
      <c r="C20" s="949">
        <v>4700</v>
      </c>
      <c r="D20" s="940">
        <v>4500</v>
      </c>
      <c r="E20" s="953"/>
      <c r="F20" s="915"/>
      <c r="G20" s="947"/>
      <c r="H20" s="917"/>
      <c r="I20" s="914"/>
      <c r="J20" s="947"/>
      <c r="K20" s="917"/>
      <c r="L20" s="947"/>
      <c r="M20" s="917"/>
      <c r="N20" s="947"/>
      <c r="O20" s="924"/>
      <c r="P20" s="947"/>
      <c r="Q20" s="938">
        <f t="shared" si="19"/>
        <v>21.15</v>
      </c>
      <c r="R20" s="938"/>
      <c r="S20" s="938">
        <f t="shared" si="1"/>
        <v>0</v>
      </c>
      <c r="T20" s="937">
        <f t="shared" si="2"/>
        <v>21.15</v>
      </c>
      <c r="U20" s="938">
        <f t="shared" si="3"/>
        <v>0</v>
      </c>
      <c r="V20" s="938">
        <f t="shared" si="4"/>
        <v>0</v>
      </c>
      <c r="W20" s="937">
        <f t="shared" si="5"/>
        <v>0</v>
      </c>
      <c r="X20" s="937">
        <f t="shared" si="6"/>
        <v>0</v>
      </c>
      <c r="Y20" s="937">
        <f t="shared" si="7"/>
        <v>0</v>
      </c>
      <c r="Z20" s="922">
        <f t="shared" si="11"/>
        <v>42.3</v>
      </c>
      <c r="AA20" s="922"/>
      <c r="AD20" s="615">
        <f t="shared" si="13"/>
        <v>0</v>
      </c>
      <c r="AE20" s="952"/>
      <c r="AF20" s="952"/>
    </row>
    <row r="21" spans="1:32">
      <c r="A21" s="1997">
        <v>14</v>
      </c>
      <c r="B21" s="663">
        <v>150</v>
      </c>
      <c r="C21" s="941">
        <v>5850</v>
      </c>
      <c r="D21" s="940">
        <v>4500</v>
      </c>
      <c r="E21" s="954"/>
      <c r="F21" s="922"/>
      <c r="G21" s="939"/>
      <c r="H21" s="924"/>
      <c r="I21" s="920"/>
      <c r="J21" s="939"/>
      <c r="K21" s="924"/>
      <c r="L21" s="939"/>
      <c r="M21" s="924"/>
      <c r="N21" s="939"/>
      <c r="O21" s="924">
        <f>2*(1.075*3)</f>
        <v>6.4499999999999993</v>
      </c>
      <c r="P21" s="939" t="s">
        <v>2228</v>
      </c>
      <c r="Q21" s="938">
        <f>C21*D21/1000000-O21</f>
        <v>19.875</v>
      </c>
      <c r="R21" s="938"/>
      <c r="S21" s="938">
        <f t="shared" si="1"/>
        <v>19.875</v>
      </c>
      <c r="T21" s="937">
        <f t="shared" si="2"/>
        <v>0</v>
      </c>
      <c r="U21" s="938">
        <f t="shared" si="3"/>
        <v>0</v>
      </c>
      <c r="V21" s="938">
        <f t="shared" si="4"/>
        <v>0</v>
      </c>
      <c r="W21" s="937">
        <f t="shared" si="5"/>
        <v>0</v>
      </c>
      <c r="X21" s="937">
        <f t="shared" si="6"/>
        <v>0</v>
      </c>
      <c r="Y21" s="937">
        <f t="shared" si="7"/>
        <v>0</v>
      </c>
      <c r="Z21" s="922">
        <f t="shared" ref="Z21" si="20">SUM(S21:Y21)*2</f>
        <v>39.75</v>
      </c>
      <c r="AA21" s="922"/>
      <c r="AB21" s="1998" t="s">
        <v>2228</v>
      </c>
      <c r="AC21" s="634">
        <f>2*(1.075+2*3)</f>
        <v>14.15</v>
      </c>
      <c r="AD21" s="615">
        <f t="shared" ref="AD21:AD29" si="21">AC21*(IF(S21&gt;0,150,IF(T21&gt;0,200,IF(U21&gt;0,250,IF(V21&gt;0,300,IF(W21&gt;0,350,IF(X21&gt;0,400,IF(Y21&gt;0,450))))))))/1000</f>
        <v>2.1225000000000001</v>
      </c>
      <c r="AE21" s="952"/>
      <c r="AF21" s="952"/>
    </row>
    <row r="22" spans="1:32">
      <c r="A22" s="1997">
        <v>15</v>
      </c>
      <c r="B22" s="663">
        <v>150</v>
      </c>
      <c r="C22" s="941">
        <v>4850</v>
      </c>
      <c r="D22" s="940">
        <v>5500</v>
      </c>
      <c r="E22" s="954"/>
      <c r="F22" s="922"/>
      <c r="G22" s="939"/>
      <c r="H22" s="924"/>
      <c r="I22" s="920"/>
      <c r="J22" s="939"/>
      <c r="K22" s="924"/>
      <c r="L22" s="939"/>
      <c r="M22" s="924"/>
      <c r="N22" s="939"/>
      <c r="O22" s="924">
        <f>(0.8*1.2)</f>
        <v>0.96</v>
      </c>
      <c r="P22" s="939" t="s">
        <v>2122</v>
      </c>
      <c r="Q22" s="938">
        <f t="shared" ref="Q22:Q23" si="22">C22*D22/1000000-O22</f>
        <v>25.715</v>
      </c>
      <c r="R22" s="938"/>
      <c r="S22" s="938">
        <f t="shared" si="1"/>
        <v>25.715</v>
      </c>
      <c r="T22" s="937">
        <f t="shared" si="2"/>
        <v>0</v>
      </c>
      <c r="U22" s="938">
        <f t="shared" si="3"/>
        <v>0</v>
      </c>
      <c r="V22" s="938">
        <f t="shared" si="4"/>
        <v>0</v>
      </c>
      <c r="W22" s="937">
        <f t="shared" si="5"/>
        <v>0</v>
      </c>
      <c r="X22" s="937">
        <f t="shared" si="6"/>
        <v>0</v>
      </c>
      <c r="Y22" s="937">
        <f t="shared" si="7"/>
        <v>0</v>
      </c>
      <c r="Z22" s="922">
        <f>SUM(S22:Y22)*2</f>
        <v>51.43</v>
      </c>
      <c r="AA22" s="922"/>
      <c r="AB22" s="1998" t="s">
        <v>2122</v>
      </c>
      <c r="AC22" s="634">
        <f>2*(0.8+1.2)</f>
        <v>4</v>
      </c>
      <c r="AD22" s="615">
        <f t="shared" si="21"/>
        <v>0.6</v>
      </c>
      <c r="AE22" s="952"/>
      <c r="AF22" s="952"/>
    </row>
    <row r="23" spans="1:32">
      <c r="A23" s="2019">
        <v>16</v>
      </c>
      <c r="B23" s="663"/>
      <c r="C23" s="941">
        <v>500</v>
      </c>
      <c r="D23" s="940">
        <v>4500</v>
      </c>
      <c r="E23" s="954"/>
      <c r="F23" s="922"/>
      <c r="G23" s="939"/>
      <c r="H23" s="924"/>
      <c r="I23" s="920"/>
      <c r="J23" s="939"/>
      <c r="K23" s="924"/>
      <c r="L23" s="939"/>
      <c r="M23" s="924"/>
      <c r="N23" s="939"/>
      <c r="O23" s="924"/>
      <c r="P23" s="939"/>
      <c r="Q23" s="938">
        <f t="shared" si="22"/>
        <v>2.25</v>
      </c>
      <c r="R23" s="938"/>
      <c r="S23" s="938">
        <f t="shared" si="1"/>
        <v>0</v>
      </c>
      <c r="T23" s="937">
        <f t="shared" si="2"/>
        <v>0</v>
      </c>
      <c r="U23" s="938">
        <f t="shared" si="3"/>
        <v>0</v>
      </c>
      <c r="V23" s="938">
        <f t="shared" si="4"/>
        <v>0</v>
      </c>
      <c r="W23" s="937">
        <f t="shared" si="5"/>
        <v>0</v>
      </c>
      <c r="X23" s="937">
        <f t="shared" si="6"/>
        <v>0</v>
      </c>
      <c r="Y23" s="937">
        <f t="shared" si="7"/>
        <v>0</v>
      </c>
      <c r="Z23" s="922">
        <f t="shared" ref="Z23:Z29" si="23">SUM(S23:Y23)*2</f>
        <v>0</v>
      </c>
      <c r="AA23" s="922"/>
      <c r="AD23" s="615">
        <f t="shared" si="21"/>
        <v>0</v>
      </c>
      <c r="AE23" s="952"/>
      <c r="AF23" s="952"/>
    </row>
    <row r="24" spans="1:32">
      <c r="A24" s="2019">
        <v>17</v>
      </c>
      <c r="B24" s="663"/>
      <c r="C24" s="941">
        <v>4250</v>
      </c>
      <c r="D24" s="940">
        <v>4500</v>
      </c>
      <c r="E24" s="954"/>
      <c r="F24" s="922"/>
      <c r="G24" s="939"/>
      <c r="H24" s="924"/>
      <c r="I24" s="920"/>
      <c r="J24" s="939"/>
      <c r="K24" s="924"/>
      <c r="L24" s="939"/>
      <c r="M24" s="924"/>
      <c r="N24" s="939"/>
      <c r="O24" s="924"/>
      <c r="P24" s="939"/>
      <c r="Q24" s="938">
        <f>C24*D24/1000000-O24</f>
        <v>19.125</v>
      </c>
      <c r="R24" s="938"/>
      <c r="S24" s="938">
        <f t="shared" si="1"/>
        <v>0</v>
      </c>
      <c r="T24" s="937">
        <f t="shared" si="2"/>
        <v>0</v>
      </c>
      <c r="U24" s="938">
        <f t="shared" si="3"/>
        <v>0</v>
      </c>
      <c r="V24" s="938">
        <f t="shared" si="4"/>
        <v>0</v>
      </c>
      <c r="W24" s="937">
        <f t="shared" si="5"/>
        <v>0</v>
      </c>
      <c r="X24" s="937">
        <f t="shared" si="6"/>
        <v>0</v>
      </c>
      <c r="Y24" s="937">
        <f t="shared" si="7"/>
        <v>0</v>
      </c>
      <c r="Z24" s="922">
        <f t="shared" si="23"/>
        <v>0</v>
      </c>
      <c r="AA24" s="922"/>
      <c r="AD24" s="615">
        <f t="shared" si="21"/>
        <v>0</v>
      </c>
      <c r="AE24" s="952"/>
      <c r="AF24" s="952"/>
    </row>
    <row r="25" spans="1:32">
      <c r="A25" s="1997">
        <v>18</v>
      </c>
      <c r="B25" s="2147">
        <v>150</v>
      </c>
      <c r="C25" s="941">
        <v>5850</v>
      </c>
      <c r="D25" s="940">
        <v>4500</v>
      </c>
      <c r="E25" s="954"/>
      <c r="F25" s="922"/>
      <c r="G25" s="939"/>
      <c r="H25" s="924"/>
      <c r="I25" s="920"/>
      <c r="J25" s="939"/>
      <c r="K25" s="924"/>
      <c r="L25" s="939"/>
      <c r="M25" s="924"/>
      <c r="N25" s="939"/>
      <c r="O25" s="924">
        <f>(2.28*3)</f>
        <v>6.84</v>
      </c>
      <c r="P25" s="939" t="s">
        <v>1404</v>
      </c>
      <c r="Q25" s="938">
        <f t="shared" ref="Q25:Q29" si="24">C25*D25/1000000-O25</f>
        <v>19.484999999999999</v>
      </c>
      <c r="R25" s="938"/>
      <c r="S25" s="938">
        <f t="shared" si="1"/>
        <v>19.484999999999999</v>
      </c>
      <c r="T25" s="937">
        <f t="shared" si="2"/>
        <v>0</v>
      </c>
      <c r="U25" s="938">
        <f t="shared" si="3"/>
        <v>0</v>
      </c>
      <c r="V25" s="938">
        <f t="shared" si="4"/>
        <v>0</v>
      </c>
      <c r="W25" s="937">
        <f t="shared" si="5"/>
        <v>0</v>
      </c>
      <c r="X25" s="937">
        <f t="shared" si="6"/>
        <v>0</v>
      </c>
      <c r="Y25" s="937">
        <f t="shared" si="7"/>
        <v>0</v>
      </c>
      <c r="Z25" s="922">
        <f t="shared" si="23"/>
        <v>38.97</v>
      </c>
      <c r="AA25" s="922"/>
      <c r="AB25" s="1998" t="s">
        <v>1404</v>
      </c>
      <c r="AC25" s="634">
        <f>(2.28+2*2.4)</f>
        <v>7.08</v>
      </c>
      <c r="AD25" s="615">
        <f t="shared" si="21"/>
        <v>1.0620000000000001</v>
      </c>
      <c r="AE25" s="952"/>
      <c r="AF25" s="952"/>
    </row>
    <row r="26" spans="1:32">
      <c r="A26" s="2145">
        <v>19</v>
      </c>
      <c r="B26" s="2146">
        <v>100</v>
      </c>
      <c r="C26" s="941">
        <v>20000</v>
      </c>
      <c r="D26" s="940">
        <v>4500</v>
      </c>
      <c r="E26" s="954"/>
      <c r="F26" s="922"/>
      <c r="G26" s="939"/>
      <c r="H26" s="924"/>
      <c r="I26" s="920"/>
      <c r="J26" s="939"/>
      <c r="K26" s="924"/>
      <c r="L26" s="939"/>
      <c r="M26" s="924"/>
      <c r="N26" s="939"/>
      <c r="O26" s="924"/>
      <c r="P26" s="939"/>
      <c r="Q26" s="938">
        <f t="shared" si="24"/>
        <v>90</v>
      </c>
      <c r="R26" s="938"/>
      <c r="S26" s="938">
        <f t="shared" si="1"/>
        <v>0</v>
      </c>
      <c r="T26" s="937">
        <f t="shared" si="2"/>
        <v>0</v>
      </c>
      <c r="U26" s="938">
        <f t="shared" si="3"/>
        <v>0</v>
      </c>
      <c r="V26" s="938">
        <f t="shared" si="4"/>
        <v>0</v>
      </c>
      <c r="W26" s="937">
        <f t="shared" si="5"/>
        <v>0</v>
      </c>
      <c r="X26" s="937">
        <f t="shared" si="6"/>
        <v>0</v>
      </c>
      <c r="Y26" s="937">
        <f t="shared" si="7"/>
        <v>90</v>
      </c>
      <c r="Z26" s="922">
        <f t="shared" si="23"/>
        <v>180</v>
      </c>
      <c r="AA26" s="922"/>
      <c r="AD26" s="615">
        <f t="shared" si="21"/>
        <v>0</v>
      </c>
      <c r="AE26" s="952"/>
      <c r="AF26" s="952"/>
    </row>
    <row r="27" spans="1:32">
      <c r="A27" s="2145">
        <v>20</v>
      </c>
      <c r="B27" s="2146">
        <v>100</v>
      </c>
      <c r="C27" s="941">
        <v>21795</v>
      </c>
      <c r="D27" s="940">
        <v>4500</v>
      </c>
      <c r="E27" s="954"/>
      <c r="F27" s="922"/>
      <c r="G27" s="939"/>
      <c r="H27" s="924"/>
      <c r="I27" s="920"/>
      <c r="J27" s="939"/>
      <c r="K27" s="924"/>
      <c r="L27" s="939"/>
      <c r="M27" s="924"/>
      <c r="N27" s="939"/>
      <c r="O27" s="924"/>
      <c r="P27" s="939"/>
      <c r="Q27" s="938">
        <f t="shared" si="24"/>
        <v>98.077500000000001</v>
      </c>
      <c r="R27" s="938"/>
      <c r="S27" s="938">
        <f t="shared" si="1"/>
        <v>0</v>
      </c>
      <c r="T27" s="937">
        <f t="shared" si="2"/>
        <v>0</v>
      </c>
      <c r="U27" s="938">
        <f t="shared" si="3"/>
        <v>0</v>
      </c>
      <c r="V27" s="938">
        <f t="shared" si="4"/>
        <v>0</v>
      </c>
      <c r="W27" s="937">
        <f t="shared" si="5"/>
        <v>0</v>
      </c>
      <c r="X27" s="937">
        <f t="shared" si="6"/>
        <v>0</v>
      </c>
      <c r="Y27" s="937">
        <f>IF($B27=100,Q27-SUM(E27,G27,J27,L27,N27),0)</f>
        <v>98.077500000000001</v>
      </c>
      <c r="Z27" s="2158">
        <f>SUM(S27:Y27)</f>
        <v>98.077500000000001</v>
      </c>
      <c r="AA27" s="922"/>
      <c r="AD27" s="615">
        <f t="shared" si="21"/>
        <v>0</v>
      </c>
      <c r="AE27" s="952"/>
      <c r="AF27" s="952"/>
    </row>
    <row r="28" spans="1:32">
      <c r="A28" s="2145">
        <v>21</v>
      </c>
      <c r="B28" s="2146">
        <v>200</v>
      </c>
      <c r="C28" s="941">
        <v>34285</v>
      </c>
      <c r="D28" s="940">
        <v>4500</v>
      </c>
      <c r="E28" s="954"/>
      <c r="F28" s="922"/>
      <c r="G28" s="939"/>
      <c r="H28" s="924"/>
      <c r="I28" s="920"/>
      <c r="J28" s="939"/>
      <c r="K28" s="924"/>
      <c r="L28" s="939"/>
      <c r="M28" s="924"/>
      <c r="N28" s="939"/>
      <c r="O28" s="924"/>
      <c r="P28" s="939"/>
      <c r="Q28" s="938">
        <f t="shared" si="24"/>
        <v>154.2825</v>
      </c>
      <c r="R28" s="938"/>
      <c r="S28" s="938">
        <f t="shared" si="1"/>
        <v>0</v>
      </c>
      <c r="T28" s="937">
        <f t="shared" si="2"/>
        <v>154.2825</v>
      </c>
      <c r="U28" s="938">
        <f t="shared" si="3"/>
        <v>0</v>
      </c>
      <c r="V28" s="938">
        <f t="shared" si="4"/>
        <v>0</v>
      </c>
      <c r="W28" s="937">
        <f t="shared" si="5"/>
        <v>0</v>
      </c>
      <c r="X28" s="937">
        <f t="shared" si="6"/>
        <v>0</v>
      </c>
      <c r="Y28" s="937">
        <f t="shared" si="7"/>
        <v>0</v>
      </c>
      <c r="Z28" s="922">
        <f t="shared" si="23"/>
        <v>308.565</v>
      </c>
      <c r="AA28" s="922"/>
      <c r="AD28" s="615">
        <f t="shared" si="21"/>
        <v>0</v>
      </c>
      <c r="AE28" s="952"/>
      <c r="AF28" s="952"/>
    </row>
    <row r="29" spans="1:32">
      <c r="A29" s="2019">
        <v>22</v>
      </c>
      <c r="B29" s="663"/>
      <c r="C29" s="941">
        <v>18590</v>
      </c>
      <c r="D29" s="940">
        <v>4500</v>
      </c>
      <c r="E29" s="954"/>
      <c r="F29" s="922"/>
      <c r="G29" s="939"/>
      <c r="H29" s="924"/>
      <c r="I29" s="920"/>
      <c r="J29" s="939"/>
      <c r="K29" s="924"/>
      <c r="L29" s="939"/>
      <c r="M29" s="924"/>
      <c r="N29" s="939"/>
      <c r="O29" s="924"/>
      <c r="P29" s="939"/>
      <c r="Q29" s="938">
        <f t="shared" si="24"/>
        <v>83.655000000000001</v>
      </c>
      <c r="R29" s="938"/>
      <c r="S29" s="938">
        <f t="shared" si="1"/>
        <v>0</v>
      </c>
      <c r="T29" s="937">
        <f t="shared" si="2"/>
        <v>0</v>
      </c>
      <c r="U29" s="938">
        <f t="shared" si="3"/>
        <v>0</v>
      </c>
      <c r="V29" s="938">
        <f t="shared" si="4"/>
        <v>0</v>
      </c>
      <c r="W29" s="937">
        <f t="shared" si="5"/>
        <v>0</v>
      </c>
      <c r="X29" s="937">
        <f t="shared" si="6"/>
        <v>0</v>
      </c>
      <c r="Y29" s="937">
        <f t="shared" si="7"/>
        <v>0</v>
      </c>
      <c r="Z29" s="922">
        <f t="shared" si="23"/>
        <v>0</v>
      </c>
      <c r="AA29" s="922"/>
      <c r="AD29" s="615">
        <f t="shared" si="21"/>
        <v>0</v>
      </c>
      <c r="AE29" s="952"/>
      <c r="AF29" s="952"/>
    </row>
    <row r="30" spans="1:32">
      <c r="A30" s="2027"/>
      <c r="B30" s="2027"/>
      <c r="C30" s="2127"/>
      <c r="D30" s="940"/>
      <c r="E30" s="2128"/>
      <c r="F30" s="2129"/>
      <c r="G30" s="2130"/>
      <c r="H30" s="917"/>
      <c r="I30" s="2131"/>
      <c r="J30" s="2130"/>
      <c r="K30" s="917"/>
      <c r="L30" s="2130"/>
      <c r="M30" s="917"/>
      <c r="N30" s="2130"/>
      <c r="O30" s="2132"/>
      <c r="P30" s="2130"/>
      <c r="Q30" s="2133"/>
      <c r="R30" s="2133"/>
      <c r="S30" s="2133"/>
      <c r="T30" s="2134"/>
      <c r="U30" s="2133"/>
      <c r="V30" s="2133"/>
      <c r="W30" s="2134"/>
      <c r="X30" s="2134"/>
      <c r="Y30" s="937">
        <f t="shared" si="7"/>
        <v>0</v>
      </c>
      <c r="Z30" s="2135"/>
      <c r="AA30" s="2135"/>
      <c r="AD30" s="615"/>
      <c r="AE30" s="952"/>
      <c r="AF30" s="952"/>
    </row>
    <row r="31" spans="1:32">
      <c r="A31" s="2126">
        <v>30</v>
      </c>
      <c r="B31" s="2027"/>
      <c r="C31" s="2136">
        <f>8800-8*500</f>
        <v>4800</v>
      </c>
      <c r="D31" s="940">
        <v>6000</v>
      </c>
      <c r="E31" s="2137"/>
      <c r="F31" s="2135"/>
      <c r="G31" s="2138"/>
      <c r="H31" s="2132"/>
      <c r="I31" s="2139"/>
      <c r="J31" s="2138"/>
      <c r="K31" s="2132"/>
      <c r="L31" s="2138"/>
      <c r="M31" s="2132"/>
      <c r="N31" s="2138"/>
      <c r="O31" s="2132"/>
      <c r="P31" s="2138"/>
      <c r="Q31" s="2133">
        <f t="shared" ref="Q31" si="25">C31*D31/1000000-O31</f>
        <v>28.8</v>
      </c>
      <c r="R31" s="2133"/>
      <c r="S31" s="2133">
        <f>IF($B31=150,Q31-SUM(E31,G31,J31,L31,N31),0)</f>
        <v>0</v>
      </c>
      <c r="T31" s="2134">
        <f>IF($B31=200,Q31-SUM(E31,G31,J31,L31,N31),0)</f>
        <v>0</v>
      </c>
      <c r="U31" s="2133">
        <f>IF($B31=250,Q31-SUM(E31,G31,J31,L31,N31),0)</f>
        <v>0</v>
      </c>
      <c r="V31" s="2133">
        <f>IF($B31=300,Q31-SUM(E31,G31,J31,L31,N31),0)</f>
        <v>0</v>
      </c>
      <c r="W31" s="2134">
        <f>IF($B31=350,Q31-SUM(E31,G31,J31,L31,N31),0)</f>
        <v>0</v>
      </c>
      <c r="X31" s="2134">
        <f>IF($B31=400,Q31-SUM(E31,G31,J31,L31,N31),0)</f>
        <v>0</v>
      </c>
      <c r="Y31" s="937">
        <f t="shared" si="7"/>
        <v>0</v>
      </c>
      <c r="Z31" s="2135">
        <f t="shared" ref="Z31" si="26">SUM(S31:Y31)*2</f>
        <v>0</v>
      </c>
      <c r="AA31" s="2135"/>
      <c r="AD31" s="615">
        <f t="shared" ref="AD31" si="27">AC31*(IF(S31&gt;0,150,IF(T31&gt;0,200,IF(U31&gt;0,250,IF(V31&gt;0,300,IF(W31&gt;0,350,IF(X31&gt;0,400,IF(Y31&gt;0,450))))))))/1000</f>
        <v>0</v>
      </c>
      <c r="AE31" s="952"/>
      <c r="AF31" s="952"/>
    </row>
    <row r="32" spans="1:32">
      <c r="A32" s="2020">
        <v>31</v>
      </c>
      <c r="B32" s="2027">
        <v>150</v>
      </c>
      <c r="C32" s="2127">
        <v>3380</v>
      </c>
      <c r="D32" s="940">
        <v>6000</v>
      </c>
      <c r="E32" s="2128"/>
      <c r="F32" s="2129"/>
      <c r="G32" s="2130"/>
      <c r="H32" s="917"/>
      <c r="I32" s="2131"/>
      <c r="J32" s="2130"/>
      <c r="K32" s="917"/>
      <c r="L32" s="2130"/>
      <c r="M32" s="917"/>
      <c r="N32" s="2130"/>
      <c r="O32" s="2132"/>
      <c r="P32" s="2130"/>
      <c r="Q32" s="2133">
        <f t="shared" ref="Q32" si="28">C32*D32/1000000-O32</f>
        <v>20.28</v>
      </c>
      <c r="R32" s="2133"/>
      <c r="S32" s="2133">
        <f>IF($B32=150,Q32-SUM(E32,G32,J32,L32,N32),0)</f>
        <v>20.28</v>
      </c>
      <c r="T32" s="2134">
        <f>IF($B32=200,Q32-SUM(E32,G32,J32,L32,N32),0)</f>
        <v>0</v>
      </c>
      <c r="U32" s="2133">
        <f>IF($B32=250,Q32-SUM(E32,G32,J32,L32,N32),0)</f>
        <v>0</v>
      </c>
      <c r="V32" s="2133">
        <f>IF($B32=300,Q32-SUM(E32,G32,J32,L32,N32),0)</f>
        <v>0</v>
      </c>
      <c r="W32" s="2134">
        <f>IF($B32=350,Q32-SUM(E32,G32,J32,L32,N32),0)</f>
        <v>0</v>
      </c>
      <c r="X32" s="2134">
        <f>IF($B32=400,Q32-SUM(E32,G32,J32,L32,N32),0)</f>
        <v>0</v>
      </c>
      <c r="Y32" s="937">
        <f t="shared" si="7"/>
        <v>0</v>
      </c>
      <c r="Z32" s="2135">
        <f t="shared" ref="Z32" si="29">SUM(S32:Y32)*2</f>
        <v>40.56</v>
      </c>
      <c r="AA32" s="2135"/>
      <c r="AD32" s="615">
        <f t="shared" ref="AD32" si="30">AC32*(IF(S32&gt;0,150,IF(T32&gt;0,200,IF(U32&gt;0,250,IF(V32&gt;0,300,IF(W32&gt;0,350,IF(X32&gt;0,400,IF(Y32&gt;0,450))))))))/1000</f>
        <v>0</v>
      </c>
      <c r="AE32" s="952"/>
      <c r="AF32" s="952"/>
    </row>
    <row r="33" spans="1:32">
      <c r="A33" s="658"/>
      <c r="B33" s="658"/>
      <c r="C33" s="949"/>
      <c r="D33" s="940"/>
      <c r="E33" s="953"/>
      <c r="F33" s="915"/>
      <c r="G33" s="947"/>
      <c r="H33" s="917"/>
      <c r="I33" s="914"/>
      <c r="J33" s="947"/>
      <c r="K33" s="917"/>
      <c r="L33" s="947"/>
      <c r="M33" s="917"/>
      <c r="N33" s="947"/>
      <c r="O33" s="924"/>
      <c r="P33" s="947"/>
      <c r="Q33" s="938">
        <f>C33*D33/1000000-O33</f>
        <v>0</v>
      </c>
      <c r="R33" s="946"/>
      <c r="S33" s="938">
        <f>IF($B33=150,Q33-SUM(E33,G33,J33,L33,N33),0)</f>
        <v>0</v>
      </c>
      <c r="T33" s="937">
        <f>IF($B33=200,Q33-SUM(E33,G33,J33,L33,N33),0)</f>
        <v>0</v>
      </c>
      <c r="U33" s="938">
        <f>IF($B33=250,Q33-SUM(E33,G33,J33,L33,N33),0)</f>
        <v>0</v>
      </c>
      <c r="V33" s="938">
        <f>IF($B33=300,Q33-SUM(E33,G33,J33,L33,N33),0)</f>
        <v>0</v>
      </c>
      <c r="W33" s="937">
        <f>IF($B33=350,Q33-SUM(E33,G33,J33,L33,N33),0)</f>
        <v>0</v>
      </c>
      <c r="X33" s="937">
        <f>IF($B33=400,Q33-SUM(E33,G33,J33,L33,N33),0)</f>
        <v>0</v>
      </c>
      <c r="Y33" s="937">
        <f t="shared" si="7"/>
        <v>0</v>
      </c>
      <c r="Z33" s="922">
        <f t="shared" ref="Z33:Z35" si="31">SUM(S33:Y33)*2</f>
        <v>0</v>
      </c>
      <c r="AA33" s="922"/>
      <c r="AD33" s="615"/>
    </row>
    <row r="34" spans="1:32">
      <c r="A34" s="658"/>
      <c r="B34" s="658"/>
      <c r="C34" s="1734"/>
      <c r="D34" s="1735"/>
      <c r="E34" s="953"/>
      <c r="F34" s="915"/>
      <c r="G34" s="947"/>
      <c r="H34" s="917"/>
      <c r="I34" s="914"/>
      <c r="J34" s="947"/>
      <c r="K34" s="917"/>
      <c r="L34" s="947"/>
      <c r="M34" s="917"/>
      <c r="N34" s="947"/>
      <c r="O34" s="917"/>
      <c r="P34" s="947"/>
      <c r="Q34" s="938">
        <f>C34*D34/1000000-O34</f>
        <v>0</v>
      </c>
      <c r="R34" s="946"/>
      <c r="S34" s="938">
        <f>IF($B34=150,Q34-SUM(E34,G34,J34,L34,N34),0)</f>
        <v>0</v>
      </c>
      <c r="T34" s="937">
        <f>IF($B34=200,Q34-SUM(E34,G34,J34,L34,N34),0)</f>
        <v>0</v>
      </c>
      <c r="U34" s="938">
        <f>IF($B34=250,Q34-SUM(E34,G34,J34,L34,N34),0)</f>
        <v>0</v>
      </c>
      <c r="V34" s="938">
        <f>IF($B34=300,Q34-SUM(E34,G34,J34,L34,N34),0)</f>
        <v>0</v>
      </c>
      <c r="W34" s="937">
        <f>IF($B34=350,Q34-SUM(E34,G34,J34,L34,N34),0)</f>
        <v>0</v>
      </c>
      <c r="X34" s="937">
        <f>IF($B34=400,Q34-SUM(E34,G34,J34,L34,N34),0)</f>
        <v>0</v>
      </c>
      <c r="Y34" s="937">
        <f t="shared" si="7"/>
        <v>0</v>
      </c>
      <c r="Z34" s="922">
        <f t="shared" si="31"/>
        <v>0</v>
      </c>
      <c r="AA34" s="922"/>
      <c r="AD34" s="615"/>
    </row>
    <row r="35" spans="1:32" ht="15.75" thickBot="1">
      <c r="A35" s="658"/>
      <c r="B35" s="658"/>
      <c r="C35" s="949"/>
      <c r="D35" s="940"/>
      <c r="E35" s="948"/>
      <c r="F35" s="915"/>
      <c r="G35" s="947"/>
      <c r="H35" s="917"/>
      <c r="I35" s="914"/>
      <c r="J35" s="947"/>
      <c r="K35" s="917"/>
      <c r="L35" s="947"/>
      <c r="M35" s="917"/>
      <c r="N35" s="947"/>
      <c r="O35" s="917"/>
      <c r="P35" s="947"/>
      <c r="Q35" s="938">
        <f>C35*D35/1000000-O35</f>
        <v>0</v>
      </c>
      <c r="R35" s="946"/>
      <c r="S35" s="938">
        <f>IF($B35=150,Q35-SUM(E35,G35,J35,L35,N35),0)</f>
        <v>0</v>
      </c>
      <c r="T35" s="937">
        <f>IF($B35=200,Q35-SUM(E35,G35,J35,L35,N35),0)</f>
        <v>0</v>
      </c>
      <c r="U35" s="938">
        <f>IF($B35=250,Q35-SUM(E35,G35,J35,L35,N35),0)</f>
        <v>0</v>
      </c>
      <c r="V35" s="938">
        <f>IF($B35=300,Q35-SUM(E35,G35,J35,L35,N35),0)</f>
        <v>0</v>
      </c>
      <c r="W35" s="937">
        <f>IF($B35=350,Q35-SUM(E35,G35,J35,L35,N35),0)</f>
        <v>0</v>
      </c>
      <c r="X35" s="937">
        <f>IF($B35=400,Q35-SUM(E35,G35,J35,L35,N35),0)</f>
        <v>0</v>
      </c>
      <c r="Y35" s="937">
        <f t="shared" si="7"/>
        <v>0</v>
      </c>
      <c r="Z35" s="922">
        <f t="shared" si="31"/>
        <v>0</v>
      </c>
      <c r="AA35" s="915"/>
      <c r="AD35" s="615"/>
    </row>
    <row r="36" spans="1:32" ht="15.75" thickBot="1">
      <c r="A36" s="2163" t="s">
        <v>367</v>
      </c>
      <c r="B36" s="2271"/>
      <c r="C36" s="2271"/>
      <c r="D36" s="2271"/>
      <c r="E36" s="2164"/>
      <c r="F36" s="910">
        <f>SUM(F8:F35)</f>
        <v>0</v>
      </c>
      <c r="G36" s="2272"/>
      <c r="H36" s="2273"/>
      <c r="I36" s="2273"/>
      <c r="J36" s="2274"/>
      <c r="K36" s="910">
        <f>SUM(K8:K35)</f>
        <v>0</v>
      </c>
      <c r="L36" s="936"/>
      <c r="M36" s="910">
        <f>SUM(M8:M35)</f>
        <v>0</v>
      </c>
      <c r="N36" s="936"/>
      <c r="O36" s="936"/>
      <c r="P36" s="935"/>
      <c r="Q36" s="910">
        <f t="shared" ref="Q36:AA36" si="32">SUM(Q8:Q35)</f>
        <v>776.99999999999989</v>
      </c>
      <c r="R36" s="910">
        <f t="shared" si="32"/>
        <v>0</v>
      </c>
      <c r="S36" s="910">
        <f t="shared" si="32"/>
        <v>148.66999999999999</v>
      </c>
      <c r="T36" s="910">
        <f t="shared" si="32"/>
        <v>294.96000000000004</v>
      </c>
      <c r="U36" s="910">
        <f t="shared" si="32"/>
        <v>0</v>
      </c>
      <c r="V36" s="910">
        <f t="shared" si="32"/>
        <v>0</v>
      </c>
      <c r="W36" s="910">
        <f t="shared" si="32"/>
        <v>0</v>
      </c>
      <c r="X36" s="910">
        <f t="shared" si="32"/>
        <v>11.462499999999999</v>
      </c>
      <c r="Y36" s="910">
        <f t="shared" si="32"/>
        <v>188.07749999999999</v>
      </c>
      <c r="Z36" s="934">
        <f t="shared" si="32"/>
        <v>1188.2625</v>
      </c>
      <c r="AA36" s="910">
        <f t="shared" si="32"/>
        <v>0</v>
      </c>
      <c r="AB36" s="2016">
        <f>SUM(R36:Y36)</f>
        <v>643.16999999999996</v>
      </c>
      <c r="AC36" s="632">
        <f>SUM(AC8:AC35)</f>
        <v>100.33999999999999</v>
      </c>
      <c r="AD36" s="632">
        <f>SUM(AD8:AD35)</f>
        <v>19.474499999999999</v>
      </c>
    </row>
    <row r="37" spans="1:32" ht="15" customHeight="1">
      <c r="A37" s="638"/>
      <c r="B37" s="638"/>
      <c r="C37" s="945"/>
      <c r="D37" s="945"/>
      <c r="E37" s="919"/>
      <c r="F37" s="919"/>
      <c r="G37" s="919"/>
      <c r="H37" s="919"/>
      <c r="I37" s="919"/>
      <c r="J37" s="919"/>
      <c r="K37" s="919"/>
      <c r="L37" s="919"/>
      <c r="M37" s="919"/>
      <c r="N37" s="919"/>
      <c r="O37" s="919"/>
      <c r="P37" s="919"/>
      <c r="Q37" s="919"/>
      <c r="R37" s="919"/>
      <c r="S37" s="919"/>
      <c r="T37" s="919"/>
      <c r="U37" s="919"/>
      <c r="V37" s="919"/>
      <c r="W37" s="919"/>
      <c r="X37" s="919"/>
      <c r="Y37" s="919"/>
      <c r="Z37" s="919"/>
      <c r="AA37" s="919"/>
      <c r="AD37" s="933">
        <f>AD36/AB36</f>
        <v>3.0278930920285461E-2</v>
      </c>
    </row>
    <row r="38" spans="1:32" ht="15" customHeight="1">
      <c r="A38" s="2277" t="s">
        <v>136</v>
      </c>
      <c r="B38" s="2278"/>
      <c r="C38" s="2281" t="s">
        <v>44</v>
      </c>
      <c r="D38" s="2282" t="s">
        <v>274</v>
      </c>
      <c r="E38" s="2286" t="s">
        <v>385</v>
      </c>
      <c r="F38" s="2288"/>
      <c r="G38" s="2288"/>
      <c r="H38" s="2288"/>
      <c r="I38" s="2288"/>
      <c r="J38" s="2288"/>
      <c r="K38" s="2288"/>
      <c r="L38" s="2288"/>
      <c r="M38" s="2288"/>
      <c r="N38" s="2288"/>
      <c r="O38" s="2288"/>
      <c r="P38" s="2287"/>
      <c r="Q38" s="2275" t="s">
        <v>391</v>
      </c>
      <c r="R38" s="2275" t="s">
        <v>384</v>
      </c>
      <c r="S38" s="2275" t="s">
        <v>366</v>
      </c>
      <c r="T38" s="2275" t="s">
        <v>365</v>
      </c>
      <c r="U38" s="2275" t="s">
        <v>364</v>
      </c>
      <c r="V38" s="2275" t="s">
        <v>363</v>
      </c>
      <c r="W38" s="2275" t="s">
        <v>362</v>
      </c>
      <c r="X38" s="2275" t="s">
        <v>2227</v>
      </c>
      <c r="Y38" s="2275" t="s">
        <v>2364</v>
      </c>
      <c r="Z38" s="2275" t="s">
        <v>361</v>
      </c>
      <c r="AA38" s="2284" t="s">
        <v>383</v>
      </c>
    </row>
    <row r="39" spans="1:32" ht="30">
      <c r="A39" s="2279"/>
      <c r="B39" s="2280"/>
      <c r="C39" s="2244"/>
      <c r="D39" s="2247"/>
      <c r="E39" s="906" t="s">
        <v>382</v>
      </c>
      <c r="F39" s="2286" t="s">
        <v>381</v>
      </c>
      <c r="G39" s="2287"/>
      <c r="H39" s="2286" t="s">
        <v>380</v>
      </c>
      <c r="I39" s="2288"/>
      <c r="J39" s="2287"/>
      <c r="K39" s="2286" t="s">
        <v>379</v>
      </c>
      <c r="L39" s="2287"/>
      <c r="M39" s="2286" t="s">
        <v>378</v>
      </c>
      <c r="N39" s="2287"/>
      <c r="O39" s="904" t="s">
        <v>377</v>
      </c>
      <c r="P39" s="2282" t="s">
        <v>376</v>
      </c>
      <c r="Q39" s="2276"/>
      <c r="R39" s="2276"/>
      <c r="S39" s="2276"/>
      <c r="T39" s="2276"/>
      <c r="U39" s="2276"/>
      <c r="V39" s="2276"/>
      <c r="W39" s="2276"/>
      <c r="X39" s="2276"/>
      <c r="Y39" s="2276"/>
      <c r="Z39" s="2276"/>
      <c r="AA39" s="2285"/>
      <c r="AC39" s="951" t="s">
        <v>359</v>
      </c>
      <c r="AD39" s="907" t="s">
        <v>386</v>
      </c>
    </row>
    <row r="40" spans="1:32" ht="28.5" customHeight="1" thickBot="1">
      <c r="A40" s="905" t="s">
        <v>375</v>
      </c>
      <c r="B40" s="905" t="s">
        <v>374</v>
      </c>
      <c r="C40" s="2245"/>
      <c r="D40" s="2248"/>
      <c r="E40" s="944" t="s">
        <v>49</v>
      </c>
      <c r="F40" s="931" t="s">
        <v>50</v>
      </c>
      <c r="G40" s="943" t="s">
        <v>373</v>
      </c>
      <c r="H40" s="932" t="s">
        <v>372</v>
      </c>
      <c r="I40" s="905" t="s">
        <v>371</v>
      </c>
      <c r="J40" s="943" t="s">
        <v>370</v>
      </c>
      <c r="K40" s="932" t="s">
        <v>50</v>
      </c>
      <c r="L40" s="943" t="s">
        <v>369</v>
      </c>
      <c r="M40" s="932" t="s">
        <v>50</v>
      </c>
      <c r="N40" s="943" t="s">
        <v>368</v>
      </c>
      <c r="O40" s="932" t="s">
        <v>49</v>
      </c>
      <c r="P40" s="2248"/>
      <c r="Q40" s="942" t="s">
        <v>49</v>
      </c>
      <c r="R40" s="942" t="s">
        <v>49</v>
      </c>
      <c r="S40" s="942" t="s">
        <v>49</v>
      </c>
      <c r="T40" s="942" t="s">
        <v>49</v>
      </c>
      <c r="U40" s="942" t="s">
        <v>49</v>
      </c>
      <c r="V40" s="942" t="s">
        <v>49</v>
      </c>
      <c r="W40" s="942" t="s">
        <v>49</v>
      </c>
      <c r="X40" s="942" t="s">
        <v>49</v>
      </c>
      <c r="Y40" s="942" t="s">
        <v>49</v>
      </c>
      <c r="Z40" s="931" t="s">
        <v>49</v>
      </c>
      <c r="AA40" s="931" t="s">
        <v>50</v>
      </c>
    </row>
    <row r="41" spans="1:32">
      <c r="A41" s="1997">
        <v>1</v>
      </c>
      <c r="B41" s="663">
        <v>150</v>
      </c>
      <c r="C41" s="941">
        <v>2775</v>
      </c>
      <c r="D41" s="940">
        <v>4500</v>
      </c>
      <c r="E41" s="954"/>
      <c r="F41" s="922"/>
      <c r="G41" s="939"/>
      <c r="H41" s="924"/>
      <c r="I41" s="920"/>
      <c r="J41" s="939"/>
      <c r="K41" s="924"/>
      <c r="L41" s="939"/>
      <c r="M41" s="924"/>
      <c r="N41" s="939"/>
      <c r="O41" s="924">
        <f>(0.9*3)</f>
        <v>2.7</v>
      </c>
      <c r="P41" s="939" t="s">
        <v>2221</v>
      </c>
      <c r="Q41" s="938">
        <f t="shared" ref="Q41:Q42" si="33">C41*D41/1000000-O41</f>
        <v>9.7875000000000014</v>
      </c>
      <c r="R41" s="938"/>
      <c r="S41" s="938">
        <f t="shared" ref="S41:S70" si="34">IF($B41=150,Q41-SUM(E41,G41,J41,L41,N41),0)</f>
        <v>9.7875000000000014</v>
      </c>
      <c r="T41" s="937">
        <f t="shared" ref="T41:T70" si="35">IF($B41=200,Q41-SUM(E41,G41,J41,L41,N41),0)</f>
        <v>0</v>
      </c>
      <c r="U41" s="938">
        <f t="shared" ref="U41:U70" si="36">IF($B41=250,Q41-SUM(E41,G41,J41,L41,N41),0)</f>
        <v>0</v>
      </c>
      <c r="V41" s="938">
        <f t="shared" ref="V41:V70" si="37">IF($B41=300,Q41-SUM(E41,G41,J41,L41,N41),0)</f>
        <v>0</v>
      </c>
      <c r="W41" s="937">
        <f t="shared" ref="W41:W70" si="38">IF($B41=350,Q41-SUM(E41,G41,J41,L41,N41),0)</f>
        <v>0</v>
      </c>
      <c r="X41" s="937">
        <f t="shared" ref="X41:X70" si="39">IF($B41=400,Q41-SUM(E41,G41,J41,L41,N41),0)</f>
        <v>0</v>
      </c>
      <c r="Y41" s="937">
        <f t="shared" ref="Y41:Y70" si="40">IF($B41=100,Q41-SUM(E41,G41,J41,L41,N41),0)</f>
        <v>0</v>
      </c>
      <c r="Z41" s="922">
        <f t="shared" ref="Z41:Z43" si="41">SUM(S41:Y41)*2</f>
        <v>19.575000000000003</v>
      </c>
      <c r="AA41" s="922"/>
      <c r="AB41" s="1998" t="s">
        <v>2221</v>
      </c>
      <c r="AC41" s="634">
        <f>(0.9+2*2.4)</f>
        <v>5.7</v>
      </c>
      <c r="AD41" s="615">
        <f t="shared" ref="AD41:AD53" si="42">AC41*(IF(S41&gt;0,150,IF(T41&gt;0,200,IF(U41&gt;0,250,IF(V41&gt;0,300,IF(W41&gt;0,350,IF(X41&gt;0,400,IF(Y41&gt;0,450))))))))/1000</f>
        <v>0.85499999999999998</v>
      </c>
      <c r="AE41" s="952"/>
      <c r="AF41" s="952"/>
    </row>
    <row r="42" spans="1:32">
      <c r="A42" s="658">
        <v>2</v>
      </c>
      <c r="B42" s="663">
        <v>150</v>
      </c>
      <c r="C42" s="941">
        <v>4775</v>
      </c>
      <c r="D42" s="940">
        <v>4500</v>
      </c>
      <c r="E42" s="954"/>
      <c r="F42" s="922"/>
      <c r="G42" s="939"/>
      <c r="H42" s="924"/>
      <c r="I42" s="920"/>
      <c r="J42" s="939"/>
      <c r="K42" s="924"/>
      <c r="L42" s="939"/>
      <c r="M42" s="924"/>
      <c r="N42" s="939"/>
      <c r="O42" s="924"/>
      <c r="P42" s="939"/>
      <c r="Q42" s="938">
        <f t="shared" si="33"/>
        <v>21.487500000000001</v>
      </c>
      <c r="R42" s="938"/>
      <c r="S42" s="938">
        <f t="shared" si="34"/>
        <v>21.487500000000001</v>
      </c>
      <c r="T42" s="937">
        <f t="shared" si="35"/>
        <v>0</v>
      </c>
      <c r="U42" s="938">
        <f t="shared" si="36"/>
        <v>0</v>
      </c>
      <c r="V42" s="938">
        <f t="shared" si="37"/>
        <v>0</v>
      </c>
      <c r="W42" s="937">
        <f t="shared" si="38"/>
        <v>0</v>
      </c>
      <c r="X42" s="937">
        <f t="shared" si="39"/>
        <v>0</v>
      </c>
      <c r="Y42" s="937">
        <f t="shared" si="40"/>
        <v>0</v>
      </c>
      <c r="Z42" s="922">
        <f t="shared" si="41"/>
        <v>42.975000000000001</v>
      </c>
      <c r="AA42" s="922"/>
      <c r="AD42" s="615">
        <f t="shared" si="42"/>
        <v>0</v>
      </c>
      <c r="AE42" s="952"/>
      <c r="AF42" s="952"/>
    </row>
    <row r="43" spans="1:32">
      <c r="A43" s="658">
        <v>3</v>
      </c>
      <c r="B43" s="663">
        <v>150</v>
      </c>
      <c r="C43" s="941">
        <v>2350</v>
      </c>
      <c r="D43" s="940">
        <v>4500</v>
      </c>
      <c r="E43" s="954"/>
      <c r="F43" s="922"/>
      <c r="G43" s="939"/>
      <c r="H43" s="924"/>
      <c r="I43" s="920"/>
      <c r="J43" s="939"/>
      <c r="K43" s="924"/>
      <c r="L43" s="939"/>
      <c r="M43" s="924"/>
      <c r="N43" s="939"/>
      <c r="O43" s="924"/>
      <c r="P43" s="939"/>
      <c r="Q43" s="938">
        <f>C43*D43/1000000-O43</f>
        <v>10.574999999999999</v>
      </c>
      <c r="R43" s="938"/>
      <c r="S43" s="938">
        <f t="shared" si="34"/>
        <v>10.574999999999999</v>
      </c>
      <c r="T43" s="937">
        <f t="shared" si="35"/>
        <v>0</v>
      </c>
      <c r="U43" s="938">
        <f t="shared" si="36"/>
        <v>0</v>
      </c>
      <c r="V43" s="938">
        <f t="shared" si="37"/>
        <v>0</v>
      </c>
      <c r="W43" s="937">
        <f t="shared" si="38"/>
        <v>0</v>
      </c>
      <c r="X43" s="937">
        <f t="shared" si="39"/>
        <v>0</v>
      </c>
      <c r="Y43" s="937">
        <f t="shared" si="40"/>
        <v>0</v>
      </c>
      <c r="Z43" s="922">
        <f t="shared" si="41"/>
        <v>21.15</v>
      </c>
      <c r="AA43" s="922"/>
      <c r="AD43" s="615">
        <f t="shared" si="42"/>
        <v>0</v>
      </c>
      <c r="AE43" s="952"/>
      <c r="AF43" s="952"/>
    </row>
    <row r="44" spans="1:32">
      <c r="A44" s="1997">
        <v>4</v>
      </c>
      <c r="B44" s="663">
        <v>150</v>
      </c>
      <c r="C44" s="941">
        <v>5275</v>
      </c>
      <c r="D44" s="940">
        <v>4500</v>
      </c>
      <c r="E44" s="954"/>
      <c r="F44" s="922"/>
      <c r="G44" s="939"/>
      <c r="H44" s="924"/>
      <c r="I44" s="920"/>
      <c r="J44" s="939"/>
      <c r="K44" s="924"/>
      <c r="L44" s="939"/>
      <c r="M44" s="924"/>
      <c r="N44" s="939"/>
      <c r="O44" s="924">
        <f>(1*3)</f>
        <v>3</v>
      </c>
      <c r="P44" s="939" t="s">
        <v>2224</v>
      </c>
      <c r="Q44" s="938">
        <f t="shared" ref="Q44:Q45" si="43">C44*D44/1000000-O44</f>
        <v>20.737500000000001</v>
      </c>
      <c r="R44" s="938"/>
      <c r="S44" s="938">
        <f t="shared" si="34"/>
        <v>20.737500000000001</v>
      </c>
      <c r="T44" s="937">
        <f t="shared" si="35"/>
        <v>0</v>
      </c>
      <c r="U44" s="938">
        <f t="shared" si="36"/>
        <v>0</v>
      </c>
      <c r="V44" s="938">
        <f t="shared" si="37"/>
        <v>0</v>
      </c>
      <c r="W44" s="937">
        <f t="shared" si="38"/>
        <v>0</v>
      </c>
      <c r="X44" s="937">
        <f t="shared" si="39"/>
        <v>0</v>
      </c>
      <c r="Y44" s="937">
        <f t="shared" si="40"/>
        <v>0</v>
      </c>
      <c r="Z44" s="922">
        <f>SUM(S44:Y44)*2</f>
        <v>41.475000000000001</v>
      </c>
      <c r="AA44" s="922"/>
      <c r="AB44" s="1998" t="s">
        <v>2224</v>
      </c>
      <c r="AC44" s="634">
        <f>(1+2*2.4)</f>
        <v>5.8</v>
      </c>
      <c r="AD44" s="615">
        <f t="shared" si="42"/>
        <v>0.87</v>
      </c>
      <c r="AE44" s="952"/>
      <c r="AF44" s="952"/>
    </row>
    <row r="45" spans="1:32">
      <c r="A45" s="1997">
        <v>5</v>
      </c>
      <c r="B45" s="663">
        <v>200</v>
      </c>
      <c r="C45" s="941">
        <v>5275</v>
      </c>
      <c r="D45" s="940">
        <v>4500</v>
      </c>
      <c r="E45" s="954"/>
      <c r="F45" s="922"/>
      <c r="G45" s="939"/>
      <c r="H45" s="924"/>
      <c r="I45" s="920"/>
      <c r="J45" s="939"/>
      <c r="K45" s="924"/>
      <c r="L45" s="939"/>
      <c r="M45" s="924"/>
      <c r="N45" s="939"/>
      <c r="O45" s="924">
        <f>(2.945*3)</f>
        <v>8.8349999999999991</v>
      </c>
      <c r="P45" s="939" t="s">
        <v>2221</v>
      </c>
      <c r="Q45" s="938">
        <f t="shared" si="43"/>
        <v>14.902500000000002</v>
      </c>
      <c r="R45" s="938"/>
      <c r="S45" s="938">
        <f t="shared" si="34"/>
        <v>0</v>
      </c>
      <c r="T45" s="937">
        <f t="shared" si="35"/>
        <v>14.902500000000002</v>
      </c>
      <c r="U45" s="938">
        <f t="shared" si="36"/>
        <v>0</v>
      </c>
      <c r="V45" s="938">
        <f t="shared" si="37"/>
        <v>0</v>
      </c>
      <c r="W45" s="937">
        <f t="shared" si="38"/>
        <v>0</v>
      </c>
      <c r="X45" s="937">
        <f t="shared" si="39"/>
        <v>0</v>
      </c>
      <c r="Y45" s="937">
        <f t="shared" si="40"/>
        <v>0</v>
      </c>
      <c r="Z45" s="922">
        <f t="shared" ref="Z45:Z70" si="44">SUM(S45:Y45)*2</f>
        <v>29.805000000000003</v>
      </c>
      <c r="AA45" s="922"/>
      <c r="AB45" s="1998" t="s">
        <v>2221</v>
      </c>
      <c r="AC45" s="634">
        <f>(2.945+2*2.4)</f>
        <v>7.7449999999999992</v>
      </c>
      <c r="AD45" s="615">
        <f t="shared" si="42"/>
        <v>1.5489999999999997</v>
      </c>
      <c r="AE45" s="952"/>
      <c r="AF45" s="952"/>
    </row>
    <row r="46" spans="1:32">
      <c r="A46" s="1997">
        <v>6</v>
      </c>
      <c r="B46" s="663">
        <v>200</v>
      </c>
      <c r="C46" s="941">
        <v>14775</v>
      </c>
      <c r="D46" s="940">
        <v>4500</v>
      </c>
      <c r="E46" s="954"/>
      <c r="F46" s="922"/>
      <c r="G46" s="939"/>
      <c r="H46" s="924"/>
      <c r="I46" s="920"/>
      <c r="J46" s="939"/>
      <c r="K46" s="924"/>
      <c r="L46" s="939"/>
      <c r="M46" s="924"/>
      <c r="N46" s="939"/>
      <c r="O46" s="924">
        <f>(0.98*3)+(0.72*1.2)+(0.98*3)</f>
        <v>6.7439999999999998</v>
      </c>
      <c r="P46" s="939" t="s">
        <v>2229</v>
      </c>
      <c r="Q46" s="938">
        <f>C46*D46/1000000-O46</f>
        <v>59.743499999999997</v>
      </c>
      <c r="R46" s="938"/>
      <c r="S46" s="938">
        <f t="shared" si="34"/>
        <v>0</v>
      </c>
      <c r="T46" s="937">
        <f t="shared" si="35"/>
        <v>59.743499999999997</v>
      </c>
      <c r="U46" s="938">
        <f t="shared" si="36"/>
        <v>0</v>
      </c>
      <c r="V46" s="938">
        <f t="shared" si="37"/>
        <v>0</v>
      </c>
      <c r="W46" s="937">
        <f t="shared" si="38"/>
        <v>0</v>
      </c>
      <c r="X46" s="937">
        <f t="shared" si="39"/>
        <v>0</v>
      </c>
      <c r="Y46" s="937">
        <f t="shared" si="40"/>
        <v>0</v>
      </c>
      <c r="Z46" s="922">
        <f t="shared" si="44"/>
        <v>119.48699999999999</v>
      </c>
      <c r="AA46" s="922"/>
      <c r="AB46" s="1998" t="s">
        <v>2229</v>
      </c>
      <c r="AC46" s="634">
        <f>(0.98+2*2.4)+(0.72+2*1.2)+(0.98+2*2.4)</f>
        <v>14.679999999999998</v>
      </c>
      <c r="AD46" s="615">
        <f t="shared" si="42"/>
        <v>2.9359999999999995</v>
      </c>
      <c r="AE46" s="952"/>
      <c r="AF46" s="952"/>
    </row>
    <row r="47" spans="1:32">
      <c r="A47" s="1997">
        <v>7</v>
      </c>
      <c r="B47" s="663">
        <v>150</v>
      </c>
      <c r="C47" s="941">
        <v>3350</v>
      </c>
      <c r="D47" s="940">
        <v>4500</v>
      </c>
      <c r="E47" s="954"/>
      <c r="F47" s="922"/>
      <c r="G47" s="939"/>
      <c r="H47" s="924"/>
      <c r="I47" s="920"/>
      <c r="J47" s="939"/>
      <c r="K47" s="924"/>
      <c r="L47" s="939"/>
      <c r="M47" s="924"/>
      <c r="N47" s="939"/>
      <c r="O47" s="924">
        <f>(0.98*3)</f>
        <v>2.94</v>
      </c>
      <c r="P47" s="939" t="s">
        <v>1404</v>
      </c>
      <c r="Q47" s="938">
        <f t="shared" ref="Q47:Q53" si="45">C47*D47/1000000-O47</f>
        <v>12.135</v>
      </c>
      <c r="R47" s="938"/>
      <c r="S47" s="938">
        <f t="shared" si="34"/>
        <v>12.135</v>
      </c>
      <c r="T47" s="937">
        <f t="shared" si="35"/>
        <v>0</v>
      </c>
      <c r="U47" s="938">
        <f t="shared" si="36"/>
        <v>0</v>
      </c>
      <c r="V47" s="938">
        <f t="shared" si="37"/>
        <v>0</v>
      </c>
      <c r="W47" s="937">
        <f t="shared" si="38"/>
        <v>0</v>
      </c>
      <c r="X47" s="937">
        <f t="shared" si="39"/>
        <v>0</v>
      </c>
      <c r="Y47" s="937">
        <f t="shared" si="40"/>
        <v>0</v>
      </c>
      <c r="Z47" s="922">
        <f t="shared" si="44"/>
        <v>24.27</v>
      </c>
      <c r="AA47" s="922"/>
      <c r="AB47" s="1998" t="s">
        <v>1404</v>
      </c>
      <c r="AC47" s="634">
        <f>(0.98+2*2.4)</f>
        <v>5.7799999999999994</v>
      </c>
      <c r="AD47" s="615">
        <f t="shared" si="42"/>
        <v>0.86699999999999988</v>
      </c>
      <c r="AE47" s="952"/>
      <c r="AF47" s="952"/>
    </row>
    <row r="48" spans="1:32">
      <c r="A48" s="1997">
        <v>8</v>
      </c>
      <c r="B48" s="663">
        <v>150</v>
      </c>
      <c r="C48" s="941">
        <v>3775</v>
      </c>
      <c r="D48" s="940">
        <v>4500</v>
      </c>
      <c r="E48" s="954"/>
      <c r="F48" s="922"/>
      <c r="G48" s="939"/>
      <c r="H48" s="924"/>
      <c r="I48" s="920"/>
      <c r="J48" s="939"/>
      <c r="K48" s="924"/>
      <c r="L48" s="939"/>
      <c r="M48" s="924"/>
      <c r="N48" s="939"/>
      <c r="O48" s="924">
        <f>(0.9*1.2)</f>
        <v>1.08</v>
      </c>
      <c r="P48" s="939" t="s">
        <v>2122</v>
      </c>
      <c r="Q48" s="938">
        <f t="shared" si="45"/>
        <v>15.907500000000001</v>
      </c>
      <c r="R48" s="938"/>
      <c r="S48" s="938">
        <f t="shared" si="34"/>
        <v>15.907500000000001</v>
      </c>
      <c r="T48" s="937">
        <f t="shared" si="35"/>
        <v>0</v>
      </c>
      <c r="U48" s="938">
        <f t="shared" si="36"/>
        <v>0</v>
      </c>
      <c r="V48" s="938">
        <f t="shared" si="37"/>
        <v>0</v>
      </c>
      <c r="W48" s="937">
        <f t="shared" si="38"/>
        <v>0</v>
      </c>
      <c r="X48" s="937">
        <f t="shared" si="39"/>
        <v>0</v>
      </c>
      <c r="Y48" s="937">
        <f t="shared" si="40"/>
        <v>0</v>
      </c>
      <c r="Z48" s="922">
        <f t="shared" si="44"/>
        <v>31.815000000000001</v>
      </c>
      <c r="AA48" s="922"/>
      <c r="AB48" s="1998" t="s">
        <v>2122</v>
      </c>
      <c r="AC48" s="634">
        <f>2*(0.9+1.2)</f>
        <v>4.2</v>
      </c>
      <c r="AD48" s="615">
        <f t="shared" si="42"/>
        <v>0.63</v>
      </c>
      <c r="AE48" s="952"/>
      <c r="AF48" s="952"/>
    </row>
    <row r="49" spans="1:32">
      <c r="A49" s="1997">
        <v>9</v>
      </c>
      <c r="B49" s="663">
        <v>150</v>
      </c>
      <c r="C49" s="941">
        <v>2350</v>
      </c>
      <c r="D49" s="940">
        <v>4500</v>
      </c>
      <c r="E49" s="954"/>
      <c r="F49" s="922"/>
      <c r="G49" s="939"/>
      <c r="H49" s="924"/>
      <c r="I49" s="920"/>
      <c r="J49" s="939"/>
      <c r="K49" s="924"/>
      <c r="L49" s="939"/>
      <c r="M49" s="924"/>
      <c r="N49" s="939"/>
      <c r="O49" s="924">
        <f>(0.9*3)</f>
        <v>2.7</v>
      </c>
      <c r="P49" s="939" t="s">
        <v>2224</v>
      </c>
      <c r="Q49" s="938">
        <f t="shared" si="45"/>
        <v>7.8749999999999991</v>
      </c>
      <c r="R49" s="938"/>
      <c r="S49" s="938">
        <f t="shared" si="34"/>
        <v>7.8749999999999991</v>
      </c>
      <c r="T49" s="937">
        <f t="shared" si="35"/>
        <v>0</v>
      </c>
      <c r="U49" s="938">
        <f t="shared" si="36"/>
        <v>0</v>
      </c>
      <c r="V49" s="938">
        <f t="shared" si="37"/>
        <v>0</v>
      </c>
      <c r="W49" s="937">
        <f t="shared" si="38"/>
        <v>0</v>
      </c>
      <c r="X49" s="937">
        <f t="shared" si="39"/>
        <v>0</v>
      </c>
      <c r="Y49" s="937">
        <f t="shared" si="40"/>
        <v>0</v>
      </c>
      <c r="Z49" s="922">
        <f t="shared" si="44"/>
        <v>15.749999999999998</v>
      </c>
      <c r="AA49" s="922"/>
      <c r="AB49" s="1998" t="s">
        <v>2224</v>
      </c>
      <c r="AC49" s="634">
        <f>(0.9+2*2.4)</f>
        <v>5.7</v>
      </c>
      <c r="AD49" s="615">
        <f t="shared" si="42"/>
        <v>0.85499999999999998</v>
      </c>
      <c r="AE49" s="952"/>
      <c r="AF49" s="952"/>
    </row>
    <row r="50" spans="1:32">
      <c r="A50" s="658">
        <v>10</v>
      </c>
      <c r="B50" s="663">
        <v>150</v>
      </c>
      <c r="C50" s="941">
        <v>1925</v>
      </c>
      <c r="D50" s="940">
        <v>4500</v>
      </c>
      <c r="E50" s="954"/>
      <c r="F50" s="922"/>
      <c r="G50" s="939"/>
      <c r="H50" s="924"/>
      <c r="I50" s="920"/>
      <c r="J50" s="939"/>
      <c r="K50" s="924"/>
      <c r="L50" s="939"/>
      <c r="M50" s="924"/>
      <c r="N50" s="939"/>
      <c r="O50" s="924"/>
      <c r="P50" s="939"/>
      <c r="Q50" s="938">
        <f t="shared" si="45"/>
        <v>8.6624999999999996</v>
      </c>
      <c r="R50" s="938"/>
      <c r="S50" s="938">
        <f t="shared" si="34"/>
        <v>8.6624999999999996</v>
      </c>
      <c r="T50" s="937">
        <f t="shared" si="35"/>
        <v>0</v>
      </c>
      <c r="U50" s="938">
        <f t="shared" si="36"/>
        <v>0</v>
      </c>
      <c r="V50" s="938">
        <f t="shared" si="37"/>
        <v>0</v>
      </c>
      <c r="W50" s="937">
        <f t="shared" si="38"/>
        <v>0</v>
      </c>
      <c r="X50" s="937">
        <f t="shared" si="39"/>
        <v>0</v>
      </c>
      <c r="Y50" s="937">
        <f t="shared" si="40"/>
        <v>0</v>
      </c>
      <c r="Z50" s="922">
        <f t="shared" si="44"/>
        <v>17.324999999999999</v>
      </c>
      <c r="AA50" s="922"/>
      <c r="AD50" s="615">
        <f t="shared" si="42"/>
        <v>0</v>
      </c>
      <c r="AE50" s="952"/>
      <c r="AF50" s="952"/>
    </row>
    <row r="51" spans="1:32">
      <c r="A51" s="658">
        <v>11</v>
      </c>
      <c r="B51" s="663">
        <v>200</v>
      </c>
      <c r="C51" s="941">
        <v>2200</v>
      </c>
      <c r="D51" s="940">
        <v>4500</v>
      </c>
      <c r="E51" s="954"/>
      <c r="F51" s="922"/>
      <c r="G51" s="939"/>
      <c r="H51" s="924"/>
      <c r="I51" s="920"/>
      <c r="J51" s="939"/>
      <c r="K51" s="924"/>
      <c r="L51" s="939"/>
      <c r="M51" s="924"/>
      <c r="N51" s="939"/>
      <c r="O51" s="924"/>
      <c r="P51" s="939"/>
      <c r="Q51" s="938">
        <f t="shared" si="45"/>
        <v>9.9</v>
      </c>
      <c r="R51" s="938"/>
      <c r="S51" s="938">
        <f t="shared" si="34"/>
        <v>0</v>
      </c>
      <c r="T51" s="937">
        <f t="shared" si="35"/>
        <v>9.9</v>
      </c>
      <c r="U51" s="938">
        <f t="shared" si="36"/>
        <v>0</v>
      </c>
      <c r="V51" s="938">
        <f t="shared" si="37"/>
        <v>0</v>
      </c>
      <c r="W51" s="937">
        <f t="shared" si="38"/>
        <v>0</v>
      </c>
      <c r="X51" s="937">
        <f t="shared" si="39"/>
        <v>0</v>
      </c>
      <c r="Y51" s="937">
        <f t="shared" si="40"/>
        <v>0</v>
      </c>
      <c r="Z51" s="922">
        <f t="shared" si="44"/>
        <v>19.8</v>
      </c>
      <c r="AA51" s="922"/>
      <c r="AD51" s="615">
        <f t="shared" si="42"/>
        <v>0</v>
      </c>
      <c r="AE51" s="952"/>
      <c r="AF51" s="952"/>
    </row>
    <row r="52" spans="1:32">
      <c r="A52" s="658">
        <v>12</v>
      </c>
      <c r="B52" s="663">
        <v>150</v>
      </c>
      <c r="C52" s="941">
        <v>6200</v>
      </c>
      <c r="D52" s="940">
        <v>4500</v>
      </c>
      <c r="E52" s="954"/>
      <c r="F52" s="922"/>
      <c r="G52" s="939"/>
      <c r="H52" s="924"/>
      <c r="I52" s="920"/>
      <c r="J52" s="939"/>
      <c r="K52" s="924"/>
      <c r="L52" s="939"/>
      <c r="M52" s="924"/>
      <c r="N52" s="939"/>
      <c r="O52" s="924"/>
      <c r="P52" s="939"/>
      <c r="Q52" s="938">
        <f t="shared" si="45"/>
        <v>27.9</v>
      </c>
      <c r="R52" s="938"/>
      <c r="S52" s="938">
        <f t="shared" si="34"/>
        <v>27.9</v>
      </c>
      <c r="T52" s="937">
        <f t="shared" si="35"/>
        <v>0</v>
      </c>
      <c r="U52" s="938">
        <f t="shared" si="36"/>
        <v>0</v>
      </c>
      <c r="V52" s="938">
        <f t="shared" si="37"/>
        <v>0</v>
      </c>
      <c r="W52" s="937">
        <f t="shared" si="38"/>
        <v>0</v>
      </c>
      <c r="X52" s="937">
        <f t="shared" si="39"/>
        <v>0</v>
      </c>
      <c r="Y52" s="937">
        <f t="shared" si="40"/>
        <v>0</v>
      </c>
      <c r="Z52" s="922">
        <f t="shared" si="44"/>
        <v>55.8</v>
      </c>
      <c r="AA52" s="922"/>
      <c r="AD52" s="615">
        <f t="shared" si="42"/>
        <v>0</v>
      </c>
      <c r="AE52" s="952"/>
      <c r="AF52" s="952"/>
    </row>
    <row r="53" spans="1:32">
      <c r="A53" s="658">
        <v>13</v>
      </c>
      <c r="B53" s="663">
        <v>200</v>
      </c>
      <c r="C53" s="949">
        <v>150</v>
      </c>
      <c r="D53" s="940">
        <v>4500</v>
      </c>
      <c r="E53" s="953"/>
      <c r="F53" s="915"/>
      <c r="G53" s="947"/>
      <c r="H53" s="917"/>
      <c r="I53" s="914"/>
      <c r="J53" s="947"/>
      <c r="K53" s="917"/>
      <c r="L53" s="947"/>
      <c r="M53" s="917"/>
      <c r="N53" s="947"/>
      <c r="O53" s="924"/>
      <c r="P53" s="947"/>
      <c r="Q53" s="938">
        <f t="shared" si="45"/>
        <v>0.67500000000000004</v>
      </c>
      <c r="R53" s="938"/>
      <c r="S53" s="938">
        <f t="shared" si="34"/>
        <v>0</v>
      </c>
      <c r="T53" s="937">
        <f t="shared" si="35"/>
        <v>0.67500000000000004</v>
      </c>
      <c r="U53" s="938">
        <f t="shared" si="36"/>
        <v>0</v>
      </c>
      <c r="V53" s="938">
        <f t="shared" si="37"/>
        <v>0</v>
      </c>
      <c r="W53" s="937">
        <f t="shared" si="38"/>
        <v>0</v>
      </c>
      <c r="X53" s="937">
        <f t="shared" si="39"/>
        <v>0</v>
      </c>
      <c r="Y53" s="937">
        <f t="shared" si="40"/>
        <v>0</v>
      </c>
      <c r="Z53" s="922">
        <f t="shared" si="44"/>
        <v>1.35</v>
      </c>
      <c r="AA53" s="922"/>
      <c r="AD53" s="615">
        <f t="shared" si="42"/>
        <v>0</v>
      </c>
      <c r="AE53" s="952"/>
      <c r="AF53" s="952"/>
    </row>
    <row r="54" spans="1:32">
      <c r="A54" s="658">
        <v>14</v>
      </c>
      <c r="B54" s="663">
        <v>200</v>
      </c>
      <c r="C54" s="941">
        <v>150</v>
      </c>
      <c r="D54" s="940">
        <v>4500</v>
      </c>
      <c r="E54" s="954"/>
      <c r="F54" s="922"/>
      <c r="G54" s="939"/>
      <c r="H54" s="924"/>
      <c r="I54" s="920"/>
      <c r="J54" s="939"/>
      <c r="K54" s="924"/>
      <c r="L54" s="939"/>
      <c r="M54" s="924"/>
      <c r="N54" s="939"/>
      <c r="O54" s="924"/>
      <c r="P54" s="939"/>
      <c r="Q54" s="938">
        <f>C54*D54/1000000-O54</f>
        <v>0.67500000000000004</v>
      </c>
      <c r="R54" s="938"/>
      <c r="S54" s="938">
        <f t="shared" si="34"/>
        <v>0</v>
      </c>
      <c r="T54" s="937">
        <f t="shared" si="35"/>
        <v>0.67500000000000004</v>
      </c>
      <c r="U54" s="938">
        <f t="shared" si="36"/>
        <v>0</v>
      </c>
      <c r="V54" s="938">
        <f t="shared" si="37"/>
        <v>0</v>
      </c>
      <c r="W54" s="937">
        <f t="shared" si="38"/>
        <v>0</v>
      </c>
      <c r="X54" s="937">
        <f t="shared" si="39"/>
        <v>0</v>
      </c>
      <c r="Y54" s="937">
        <f t="shared" si="40"/>
        <v>0</v>
      </c>
      <c r="Z54" s="922">
        <f t="shared" si="44"/>
        <v>1.35</v>
      </c>
      <c r="AA54" s="922"/>
      <c r="AD54" s="615">
        <f t="shared" ref="AD54:AD65" si="46">AC54*(IF(S54&gt;0,150,IF(T54&gt;0,200,IF(U54&gt;0,250,IF(V54&gt;0,300,IF(W54&gt;0,350,IF(X54&gt;0,400,IF(Y54&gt;0,450))))))))/1000</f>
        <v>0</v>
      </c>
      <c r="AE54" s="952"/>
      <c r="AF54" s="952"/>
    </row>
    <row r="55" spans="1:32">
      <c r="A55" s="1997">
        <v>15</v>
      </c>
      <c r="B55" s="663">
        <v>200</v>
      </c>
      <c r="C55" s="941">
        <v>7250</v>
      </c>
      <c r="D55" s="940">
        <v>4500</v>
      </c>
      <c r="E55" s="954"/>
      <c r="F55" s="922"/>
      <c r="G55" s="939"/>
      <c r="H55" s="924"/>
      <c r="I55" s="920"/>
      <c r="J55" s="939"/>
      <c r="K55" s="924"/>
      <c r="L55" s="939"/>
      <c r="M55" s="924"/>
      <c r="N55" s="939"/>
      <c r="O55" s="924">
        <f>(1.2*3)</f>
        <v>3.5999999999999996</v>
      </c>
      <c r="P55" s="939" t="s">
        <v>1404</v>
      </c>
      <c r="Q55" s="938">
        <f t="shared" ref="Q55:Q56" si="47">C55*D55/1000000-O55</f>
        <v>29.024999999999999</v>
      </c>
      <c r="R55" s="938"/>
      <c r="S55" s="938">
        <f t="shared" si="34"/>
        <v>0</v>
      </c>
      <c r="T55" s="937">
        <f t="shared" si="35"/>
        <v>29.024999999999999</v>
      </c>
      <c r="U55" s="938">
        <f t="shared" si="36"/>
        <v>0</v>
      </c>
      <c r="V55" s="938">
        <f t="shared" si="37"/>
        <v>0</v>
      </c>
      <c r="W55" s="937">
        <f t="shared" si="38"/>
        <v>0</v>
      </c>
      <c r="X55" s="937">
        <f t="shared" si="39"/>
        <v>0</v>
      </c>
      <c r="Y55" s="937">
        <f t="shared" si="40"/>
        <v>0</v>
      </c>
      <c r="Z55" s="922">
        <f>SUM(S55:Y55)*2</f>
        <v>58.05</v>
      </c>
      <c r="AA55" s="922"/>
      <c r="AB55" s="1998" t="s">
        <v>1404</v>
      </c>
      <c r="AC55" s="634">
        <f>(1.2+2*2.4)</f>
        <v>6</v>
      </c>
      <c r="AD55" s="615">
        <f t="shared" si="46"/>
        <v>1.2</v>
      </c>
      <c r="AE55" s="952"/>
      <c r="AF55" s="952"/>
    </row>
    <row r="56" spans="1:32">
      <c r="A56" s="1997">
        <v>16</v>
      </c>
      <c r="B56" s="663">
        <v>150</v>
      </c>
      <c r="C56" s="941">
        <v>3775</v>
      </c>
      <c r="D56" s="940">
        <v>4500</v>
      </c>
      <c r="E56" s="954"/>
      <c r="F56" s="922"/>
      <c r="G56" s="939"/>
      <c r="H56" s="924"/>
      <c r="I56" s="920"/>
      <c r="J56" s="939"/>
      <c r="K56" s="924"/>
      <c r="L56" s="939"/>
      <c r="M56" s="924"/>
      <c r="N56" s="939"/>
      <c r="O56" s="924">
        <f>(1.8*3)</f>
        <v>5.4</v>
      </c>
      <c r="P56" s="939" t="s">
        <v>2221</v>
      </c>
      <c r="Q56" s="938">
        <f t="shared" si="47"/>
        <v>11.5875</v>
      </c>
      <c r="R56" s="938"/>
      <c r="S56" s="938">
        <f t="shared" si="34"/>
        <v>11.5875</v>
      </c>
      <c r="T56" s="937">
        <f t="shared" si="35"/>
        <v>0</v>
      </c>
      <c r="U56" s="938">
        <f t="shared" si="36"/>
        <v>0</v>
      </c>
      <c r="V56" s="938">
        <f t="shared" si="37"/>
        <v>0</v>
      </c>
      <c r="W56" s="937">
        <f t="shared" si="38"/>
        <v>0</v>
      </c>
      <c r="X56" s="937">
        <f t="shared" si="39"/>
        <v>0</v>
      </c>
      <c r="Y56" s="937">
        <f t="shared" si="40"/>
        <v>0</v>
      </c>
      <c r="Z56" s="922">
        <f t="shared" ref="Z56:Z63" si="48">SUM(S56:Y56)*2</f>
        <v>23.175000000000001</v>
      </c>
      <c r="AA56" s="922"/>
      <c r="AB56" s="1998" t="s">
        <v>2221</v>
      </c>
      <c r="AC56" s="634">
        <f>(1.8+2*2.4)</f>
        <v>6.6</v>
      </c>
      <c r="AD56" s="615">
        <f t="shared" si="46"/>
        <v>0.99</v>
      </c>
      <c r="AE56" s="952"/>
      <c r="AF56" s="952"/>
    </row>
    <row r="57" spans="1:32">
      <c r="A57" s="1997">
        <v>17</v>
      </c>
      <c r="B57" s="663">
        <v>200</v>
      </c>
      <c r="C57" s="941">
        <v>5000</v>
      </c>
      <c r="D57" s="940">
        <v>4500</v>
      </c>
      <c r="E57" s="954"/>
      <c r="F57" s="922"/>
      <c r="G57" s="939"/>
      <c r="H57" s="924"/>
      <c r="I57" s="920"/>
      <c r="J57" s="939"/>
      <c r="K57" s="924"/>
      <c r="L57" s="939"/>
      <c r="M57" s="924"/>
      <c r="N57" s="939"/>
      <c r="O57" s="924">
        <f>(2*3)</f>
        <v>6</v>
      </c>
      <c r="P57" s="939" t="s">
        <v>2122</v>
      </c>
      <c r="Q57" s="938">
        <f>C57*D57/1000000-O57</f>
        <v>16.5</v>
      </c>
      <c r="R57" s="938"/>
      <c r="S57" s="938">
        <f t="shared" si="34"/>
        <v>0</v>
      </c>
      <c r="T57" s="937">
        <f t="shared" si="35"/>
        <v>16.5</v>
      </c>
      <c r="U57" s="938">
        <f t="shared" si="36"/>
        <v>0</v>
      </c>
      <c r="V57" s="938">
        <f t="shared" si="37"/>
        <v>0</v>
      </c>
      <c r="W57" s="937">
        <f t="shared" si="38"/>
        <v>0</v>
      </c>
      <c r="X57" s="937">
        <f t="shared" si="39"/>
        <v>0</v>
      </c>
      <c r="Y57" s="937">
        <f t="shared" si="40"/>
        <v>0</v>
      </c>
      <c r="Z57" s="922">
        <f t="shared" si="48"/>
        <v>33</v>
      </c>
      <c r="AA57" s="922"/>
      <c r="AB57" s="1998" t="s">
        <v>2122</v>
      </c>
      <c r="AC57" s="634">
        <f>2*(2+3)</f>
        <v>10</v>
      </c>
      <c r="AD57" s="615">
        <f t="shared" si="46"/>
        <v>2</v>
      </c>
      <c r="AE57" s="952"/>
      <c r="AF57" s="952"/>
    </row>
    <row r="58" spans="1:32">
      <c r="A58" s="1997">
        <v>18</v>
      </c>
      <c r="B58" s="663">
        <v>200</v>
      </c>
      <c r="C58" s="941">
        <v>6500</v>
      </c>
      <c r="D58" s="940">
        <v>4500</v>
      </c>
      <c r="E58" s="954"/>
      <c r="F58" s="922"/>
      <c r="G58" s="939"/>
      <c r="H58" s="924"/>
      <c r="I58" s="920"/>
      <c r="J58" s="939"/>
      <c r="K58" s="924"/>
      <c r="L58" s="939"/>
      <c r="M58" s="924"/>
      <c r="N58" s="939"/>
      <c r="O58" s="924">
        <f>(1.2*3)</f>
        <v>3.5999999999999996</v>
      </c>
      <c r="P58" s="939" t="s">
        <v>1404</v>
      </c>
      <c r="Q58" s="938">
        <f t="shared" ref="Q58:Q63" si="49">C58*D58/1000000-O58</f>
        <v>25.65</v>
      </c>
      <c r="R58" s="938"/>
      <c r="S58" s="938">
        <f t="shared" si="34"/>
        <v>0</v>
      </c>
      <c r="T58" s="937">
        <f t="shared" si="35"/>
        <v>25.65</v>
      </c>
      <c r="U58" s="938">
        <f t="shared" si="36"/>
        <v>0</v>
      </c>
      <c r="V58" s="938">
        <f t="shared" si="37"/>
        <v>0</v>
      </c>
      <c r="W58" s="937">
        <f t="shared" si="38"/>
        <v>0</v>
      </c>
      <c r="X58" s="937">
        <f t="shared" si="39"/>
        <v>0</v>
      </c>
      <c r="Y58" s="937">
        <f t="shared" si="40"/>
        <v>0</v>
      </c>
      <c r="Z58" s="922">
        <f t="shared" si="48"/>
        <v>51.3</v>
      </c>
      <c r="AA58" s="922"/>
      <c r="AB58" s="1998" t="s">
        <v>1404</v>
      </c>
      <c r="AC58" s="634">
        <f>(1.2+2*2.4)</f>
        <v>6</v>
      </c>
      <c r="AD58" s="615">
        <f t="shared" si="46"/>
        <v>1.2</v>
      </c>
      <c r="AE58" s="952"/>
      <c r="AF58" s="952"/>
    </row>
    <row r="59" spans="1:32">
      <c r="A59" s="1997">
        <v>19</v>
      </c>
      <c r="B59" s="663">
        <v>150</v>
      </c>
      <c r="C59" s="941">
        <v>1850</v>
      </c>
      <c r="D59" s="940">
        <v>4500</v>
      </c>
      <c r="E59" s="954"/>
      <c r="F59" s="922"/>
      <c r="G59" s="939"/>
      <c r="H59" s="924"/>
      <c r="I59" s="920"/>
      <c r="J59" s="939"/>
      <c r="K59" s="924"/>
      <c r="L59" s="939"/>
      <c r="M59" s="924"/>
      <c r="N59" s="939"/>
      <c r="O59" s="924">
        <f>(1*3)</f>
        <v>3</v>
      </c>
      <c r="P59" s="939" t="s">
        <v>1404</v>
      </c>
      <c r="Q59" s="938">
        <f t="shared" si="49"/>
        <v>5.3249999999999993</v>
      </c>
      <c r="R59" s="938"/>
      <c r="S59" s="938">
        <f t="shared" si="34"/>
        <v>5.3249999999999993</v>
      </c>
      <c r="T59" s="937">
        <f t="shared" si="35"/>
        <v>0</v>
      </c>
      <c r="U59" s="938">
        <f t="shared" si="36"/>
        <v>0</v>
      </c>
      <c r="V59" s="938">
        <f t="shared" si="37"/>
        <v>0</v>
      </c>
      <c r="W59" s="937">
        <f t="shared" si="38"/>
        <v>0</v>
      </c>
      <c r="X59" s="937">
        <f t="shared" si="39"/>
        <v>0</v>
      </c>
      <c r="Y59" s="937">
        <f t="shared" si="40"/>
        <v>0</v>
      </c>
      <c r="Z59" s="922">
        <f t="shared" si="48"/>
        <v>10.649999999999999</v>
      </c>
      <c r="AA59" s="922"/>
      <c r="AB59" s="1998" t="s">
        <v>1404</v>
      </c>
      <c r="AC59" s="634">
        <f>(1+2*2.4)</f>
        <v>5.8</v>
      </c>
      <c r="AD59" s="615">
        <f t="shared" si="46"/>
        <v>0.87</v>
      </c>
      <c r="AE59" s="952"/>
      <c r="AF59" s="952"/>
    </row>
    <row r="60" spans="1:32">
      <c r="A60" s="658">
        <v>20</v>
      </c>
      <c r="B60" s="663">
        <v>150</v>
      </c>
      <c r="C60" s="941">
        <v>4600</v>
      </c>
      <c r="D60" s="940">
        <v>4500</v>
      </c>
      <c r="E60" s="954"/>
      <c r="F60" s="922"/>
      <c r="G60" s="939"/>
      <c r="H60" s="924"/>
      <c r="I60" s="920"/>
      <c r="J60" s="939"/>
      <c r="K60" s="924"/>
      <c r="L60" s="939"/>
      <c r="M60" s="924"/>
      <c r="N60" s="939"/>
      <c r="O60" s="924"/>
      <c r="P60" s="939"/>
      <c r="Q60" s="938">
        <f t="shared" si="49"/>
        <v>20.7</v>
      </c>
      <c r="R60" s="938"/>
      <c r="S60" s="938">
        <f t="shared" si="34"/>
        <v>20.7</v>
      </c>
      <c r="T60" s="937">
        <f t="shared" si="35"/>
        <v>0</v>
      </c>
      <c r="U60" s="938">
        <f t="shared" si="36"/>
        <v>0</v>
      </c>
      <c r="V60" s="938">
        <f t="shared" si="37"/>
        <v>0</v>
      </c>
      <c r="W60" s="937">
        <f t="shared" si="38"/>
        <v>0</v>
      </c>
      <c r="X60" s="937">
        <f t="shared" si="39"/>
        <v>0</v>
      </c>
      <c r="Y60" s="937">
        <f t="shared" si="40"/>
        <v>0</v>
      </c>
      <c r="Z60" s="922">
        <f t="shared" si="48"/>
        <v>41.4</v>
      </c>
      <c r="AA60" s="922"/>
      <c r="AD60" s="615">
        <f t="shared" si="46"/>
        <v>0</v>
      </c>
      <c r="AE60" s="952"/>
      <c r="AF60" s="952"/>
    </row>
    <row r="61" spans="1:32">
      <c r="A61" s="658">
        <v>21</v>
      </c>
      <c r="B61" s="663">
        <v>150</v>
      </c>
      <c r="C61" s="941">
        <v>5850</v>
      </c>
      <c r="D61" s="940">
        <v>4500</v>
      </c>
      <c r="E61" s="954"/>
      <c r="F61" s="922"/>
      <c r="G61" s="939"/>
      <c r="H61" s="924"/>
      <c r="I61" s="920"/>
      <c r="J61" s="939"/>
      <c r="K61" s="924"/>
      <c r="L61" s="939"/>
      <c r="M61" s="924"/>
      <c r="N61" s="939"/>
      <c r="O61" s="924"/>
      <c r="P61" s="939"/>
      <c r="Q61" s="938">
        <f t="shared" si="49"/>
        <v>26.324999999999999</v>
      </c>
      <c r="R61" s="938"/>
      <c r="S61" s="938">
        <f t="shared" si="34"/>
        <v>26.324999999999999</v>
      </c>
      <c r="T61" s="937">
        <f t="shared" si="35"/>
        <v>0</v>
      </c>
      <c r="U61" s="938">
        <f t="shared" si="36"/>
        <v>0</v>
      </c>
      <c r="V61" s="938">
        <f t="shared" si="37"/>
        <v>0</v>
      </c>
      <c r="W61" s="937">
        <f t="shared" si="38"/>
        <v>0</v>
      </c>
      <c r="X61" s="937">
        <f t="shared" si="39"/>
        <v>0</v>
      </c>
      <c r="Y61" s="937">
        <f t="shared" si="40"/>
        <v>0</v>
      </c>
      <c r="Z61" s="922">
        <f t="shared" si="48"/>
        <v>52.65</v>
      </c>
      <c r="AA61" s="922"/>
      <c r="AD61" s="615">
        <f t="shared" si="46"/>
        <v>0</v>
      </c>
      <c r="AE61" s="952"/>
      <c r="AF61" s="952"/>
    </row>
    <row r="62" spans="1:32">
      <c r="A62" s="1997">
        <v>22</v>
      </c>
      <c r="B62" s="663">
        <v>200</v>
      </c>
      <c r="C62" s="941">
        <v>10650</v>
      </c>
      <c r="D62" s="940">
        <v>4500</v>
      </c>
      <c r="E62" s="954"/>
      <c r="F62" s="922"/>
      <c r="G62" s="939"/>
      <c r="H62" s="924"/>
      <c r="I62" s="920"/>
      <c r="J62" s="939"/>
      <c r="K62" s="924"/>
      <c r="L62" s="939"/>
      <c r="M62" s="924"/>
      <c r="N62" s="939"/>
      <c r="O62" s="924">
        <f>(2.2*1)+(2.35*3)</f>
        <v>9.25</v>
      </c>
      <c r="P62" s="939" t="s">
        <v>2230</v>
      </c>
      <c r="Q62" s="938">
        <f t="shared" si="49"/>
        <v>38.674999999999997</v>
      </c>
      <c r="R62" s="938"/>
      <c r="S62" s="938">
        <f t="shared" si="34"/>
        <v>0</v>
      </c>
      <c r="T62" s="937">
        <f t="shared" si="35"/>
        <v>38.674999999999997</v>
      </c>
      <c r="U62" s="938">
        <f t="shared" si="36"/>
        <v>0</v>
      </c>
      <c r="V62" s="938">
        <f t="shared" si="37"/>
        <v>0</v>
      </c>
      <c r="W62" s="937">
        <f t="shared" si="38"/>
        <v>0</v>
      </c>
      <c r="X62" s="937">
        <f t="shared" si="39"/>
        <v>0</v>
      </c>
      <c r="Y62" s="937">
        <f t="shared" si="40"/>
        <v>0</v>
      </c>
      <c r="Z62" s="922">
        <f t="shared" si="48"/>
        <v>77.349999999999994</v>
      </c>
      <c r="AA62" s="922"/>
      <c r="AB62" s="1998" t="s">
        <v>2230</v>
      </c>
      <c r="AC62" s="634">
        <f>2*(2.2+2.4)+(2.35+2*2.4)</f>
        <v>16.350000000000001</v>
      </c>
      <c r="AD62" s="615">
        <f t="shared" si="46"/>
        <v>3.2700000000000005</v>
      </c>
      <c r="AE62" s="952"/>
      <c r="AF62" s="952"/>
    </row>
    <row r="63" spans="1:32">
      <c r="A63" s="658">
        <v>23</v>
      </c>
      <c r="B63" s="663">
        <v>100</v>
      </c>
      <c r="C63" s="2149">
        <v>9000</v>
      </c>
      <c r="D63" s="940">
        <v>4500</v>
      </c>
      <c r="E63" s="954"/>
      <c r="F63" s="922"/>
      <c r="G63" s="939"/>
      <c r="H63" s="924"/>
      <c r="I63" s="920"/>
      <c r="J63" s="939"/>
      <c r="K63" s="924"/>
      <c r="L63" s="939"/>
      <c r="M63" s="924"/>
      <c r="N63" s="939"/>
      <c r="O63" s="924"/>
      <c r="P63" s="939"/>
      <c r="Q63" s="938">
        <f t="shared" si="49"/>
        <v>40.5</v>
      </c>
      <c r="R63" s="938"/>
      <c r="S63" s="938">
        <f t="shared" si="34"/>
        <v>0</v>
      </c>
      <c r="T63" s="937">
        <f t="shared" si="35"/>
        <v>0</v>
      </c>
      <c r="U63" s="938">
        <f t="shared" si="36"/>
        <v>0</v>
      </c>
      <c r="V63" s="938">
        <f t="shared" si="37"/>
        <v>0</v>
      </c>
      <c r="W63" s="937">
        <f t="shared" si="38"/>
        <v>0</v>
      </c>
      <c r="X63" s="937">
        <f t="shared" si="39"/>
        <v>0</v>
      </c>
      <c r="Y63" s="937">
        <f t="shared" si="40"/>
        <v>40.5</v>
      </c>
      <c r="Z63" s="922">
        <f t="shared" si="48"/>
        <v>81</v>
      </c>
      <c r="AA63" s="922"/>
      <c r="AD63" s="615">
        <f t="shared" si="46"/>
        <v>0</v>
      </c>
      <c r="AE63" s="952"/>
      <c r="AF63" s="952"/>
    </row>
    <row r="64" spans="1:32">
      <c r="A64" s="2148" t="s">
        <v>2359</v>
      </c>
      <c r="B64" s="2027">
        <v>150</v>
      </c>
      <c r="C64" s="2150">
        <v>10925</v>
      </c>
      <c r="D64" s="940">
        <v>4500</v>
      </c>
      <c r="E64" s="954"/>
      <c r="F64" s="922"/>
      <c r="G64" s="939"/>
      <c r="H64" s="924"/>
      <c r="I64" s="920"/>
      <c r="J64" s="939"/>
      <c r="K64" s="924"/>
      <c r="L64" s="939"/>
      <c r="M64" s="924"/>
      <c r="N64" s="939"/>
      <c r="O64" s="924"/>
      <c r="P64" s="939"/>
      <c r="Q64" s="938">
        <f t="shared" ref="Q64:Q66" si="50">C64*D64/1000000-O64</f>
        <v>49.162500000000001</v>
      </c>
      <c r="R64" s="938"/>
      <c r="S64" s="938">
        <f t="shared" si="34"/>
        <v>49.162500000000001</v>
      </c>
      <c r="T64" s="937">
        <f t="shared" si="35"/>
        <v>0</v>
      </c>
      <c r="U64" s="938">
        <f t="shared" si="36"/>
        <v>0</v>
      </c>
      <c r="V64" s="938">
        <f t="shared" si="37"/>
        <v>0</v>
      </c>
      <c r="W64" s="937">
        <f t="shared" si="38"/>
        <v>0</v>
      </c>
      <c r="X64" s="937">
        <f t="shared" si="39"/>
        <v>0</v>
      </c>
      <c r="Y64" s="937">
        <f t="shared" si="40"/>
        <v>0</v>
      </c>
      <c r="Z64" s="922">
        <f t="shared" ref="Z64:Z66" si="51">SUM(S64:Y64)*2</f>
        <v>98.325000000000003</v>
      </c>
      <c r="AA64" s="922"/>
      <c r="AD64" s="615"/>
      <c r="AE64" s="952"/>
      <c r="AF64" s="952"/>
    </row>
    <row r="65" spans="1:32">
      <c r="A65" s="658">
        <v>24</v>
      </c>
      <c r="B65" s="663">
        <v>100</v>
      </c>
      <c r="C65" s="2151">
        <v>15000</v>
      </c>
      <c r="D65" s="940">
        <v>4500</v>
      </c>
      <c r="E65" s="954"/>
      <c r="F65" s="922"/>
      <c r="G65" s="939"/>
      <c r="H65" s="924"/>
      <c r="I65" s="920"/>
      <c r="J65" s="939"/>
      <c r="K65" s="924"/>
      <c r="L65" s="939"/>
      <c r="M65" s="924"/>
      <c r="N65" s="939"/>
      <c r="O65" s="924"/>
      <c r="P65" s="939"/>
      <c r="Q65" s="938">
        <f t="shared" si="50"/>
        <v>67.5</v>
      </c>
      <c r="R65" s="938"/>
      <c r="S65" s="938">
        <f t="shared" si="34"/>
        <v>0</v>
      </c>
      <c r="T65" s="937">
        <f t="shared" si="35"/>
        <v>0</v>
      </c>
      <c r="U65" s="938">
        <f t="shared" si="36"/>
        <v>0</v>
      </c>
      <c r="V65" s="938">
        <f t="shared" si="37"/>
        <v>0</v>
      </c>
      <c r="W65" s="937">
        <f t="shared" si="38"/>
        <v>0</v>
      </c>
      <c r="X65" s="937">
        <f t="shared" si="39"/>
        <v>0</v>
      </c>
      <c r="Y65" s="937">
        <f t="shared" si="40"/>
        <v>67.5</v>
      </c>
      <c r="Z65" s="2158">
        <f>SUM(S65:Y65)</f>
        <v>67.5</v>
      </c>
      <c r="AA65" s="922"/>
      <c r="AD65" s="615">
        <f t="shared" si="46"/>
        <v>0</v>
      </c>
      <c r="AE65" s="952"/>
      <c r="AF65" s="952"/>
    </row>
    <row r="66" spans="1:32">
      <c r="A66" s="1997" t="s">
        <v>2358</v>
      </c>
      <c r="B66" s="658">
        <v>150</v>
      </c>
      <c r="C66" s="2151">
        <v>7000</v>
      </c>
      <c r="D66" s="940">
        <v>4500</v>
      </c>
      <c r="E66" s="954"/>
      <c r="F66" s="922"/>
      <c r="G66" s="939"/>
      <c r="H66" s="924"/>
      <c r="I66" s="920"/>
      <c r="J66" s="939"/>
      <c r="K66" s="924"/>
      <c r="L66" s="939"/>
      <c r="M66" s="924"/>
      <c r="N66" s="939"/>
      <c r="O66" s="924"/>
      <c r="P66" s="939"/>
      <c r="Q66" s="938">
        <f t="shared" si="50"/>
        <v>31.5</v>
      </c>
      <c r="R66" s="938"/>
      <c r="S66" s="938">
        <f t="shared" si="34"/>
        <v>31.5</v>
      </c>
      <c r="T66" s="937">
        <f t="shared" si="35"/>
        <v>0</v>
      </c>
      <c r="U66" s="938">
        <f t="shared" si="36"/>
        <v>0</v>
      </c>
      <c r="V66" s="938">
        <f t="shared" si="37"/>
        <v>0</v>
      </c>
      <c r="W66" s="937">
        <f t="shared" si="38"/>
        <v>0</v>
      </c>
      <c r="X66" s="937">
        <f t="shared" si="39"/>
        <v>0</v>
      </c>
      <c r="Y66" s="937">
        <f t="shared" si="40"/>
        <v>0</v>
      </c>
      <c r="Z66" s="922">
        <f t="shared" si="51"/>
        <v>63</v>
      </c>
      <c r="AA66" s="922"/>
      <c r="AD66" s="615"/>
    </row>
    <row r="67" spans="1:32">
      <c r="A67" s="2126">
        <v>35</v>
      </c>
      <c r="B67" s="2027"/>
      <c r="C67" s="2136">
        <f>8800-8*500</f>
        <v>4800</v>
      </c>
      <c r="D67" s="940">
        <v>4500</v>
      </c>
      <c r="E67" s="2137"/>
      <c r="F67" s="2135"/>
      <c r="G67" s="2138"/>
      <c r="H67" s="2132"/>
      <c r="I67" s="2139"/>
      <c r="J67" s="2138"/>
      <c r="K67" s="2132"/>
      <c r="L67" s="2138"/>
      <c r="M67" s="2132"/>
      <c r="N67" s="2138"/>
      <c r="O67" s="2132"/>
      <c r="P67" s="2138"/>
      <c r="Q67" s="2133">
        <f t="shared" ref="Q67" si="52">C67*D67/1000000-O67</f>
        <v>21.6</v>
      </c>
      <c r="R67" s="2133"/>
      <c r="S67" s="2133">
        <f t="shared" si="34"/>
        <v>0</v>
      </c>
      <c r="T67" s="2134">
        <f t="shared" si="35"/>
        <v>0</v>
      </c>
      <c r="U67" s="2133">
        <f t="shared" si="36"/>
        <v>0</v>
      </c>
      <c r="V67" s="2133">
        <f t="shared" si="37"/>
        <v>0</v>
      </c>
      <c r="W67" s="2134">
        <f t="shared" si="38"/>
        <v>0</v>
      </c>
      <c r="X67" s="2134">
        <f t="shared" si="39"/>
        <v>0</v>
      </c>
      <c r="Y67" s="937">
        <f t="shared" si="40"/>
        <v>0</v>
      </c>
      <c r="Z67" s="2135">
        <f t="shared" si="44"/>
        <v>0</v>
      </c>
      <c r="AA67" s="2135"/>
      <c r="AD67" s="615">
        <f t="shared" ref="AD67" si="53">AC67*(IF(S67&gt;0,150,IF(T67&gt;0,200,IF(U67&gt;0,250,IF(V67&gt;0,300,IF(W67&gt;0,350,IF(X67&gt;0,400,IF(Y67&gt;0,450))))))))/1000</f>
        <v>0</v>
      </c>
      <c r="AE67" s="952"/>
      <c r="AF67" s="952"/>
    </row>
    <row r="68" spans="1:32">
      <c r="A68" s="2020">
        <v>36</v>
      </c>
      <c r="B68" s="2027">
        <v>150</v>
      </c>
      <c r="C68" s="2127">
        <v>3380</v>
      </c>
      <c r="D68" s="940">
        <v>4500</v>
      </c>
      <c r="E68" s="2128"/>
      <c r="F68" s="2129"/>
      <c r="G68" s="2130"/>
      <c r="H68" s="917"/>
      <c r="I68" s="2131"/>
      <c r="J68" s="2130"/>
      <c r="K68" s="917"/>
      <c r="L68" s="2130"/>
      <c r="M68" s="917"/>
      <c r="N68" s="2130"/>
      <c r="O68" s="2132"/>
      <c r="P68" s="2130"/>
      <c r="Q68" s="2133">
        <f t="shared" ref="Q68" si="54">C68*D68/1000000-O68</f>
        <v>15.21</v>
      </c>
      <c r="R68" s="2133"/>
      <c r="S68" s="2133">
        <f t="shared" si="34"/>
        <v>15.21</v>
      </c>
      <c r="T68" s="2134">
        <f t="shared" si="35"/>
        <v>0</v>
      </c>
      <c r="U68" s="2133">
        <f t="shared" si="36"/>
        <v>0</v>
      </c>
      <c r="V68" s="2133">
        <f t="shared" si="37"/>
        <v>0</v>
      </c>
      <c r="W68" s="2134">
        <f t="shared" si="38"/>
        <v>0</v>
      </c>
      <c r="X68" s="2134">
        <f t="shared" si="39"/>
        <v>0</v>
      </c>
      <c r="Y68" s="937">
        <f t="shared" si="40"/>
        <v>0</v>
      </c>
      <c r="Z68" s="2135">
        <f t="shared" si="44"/>
        <v>30.42</v>
      </c>
      <c r="AA68" s="2135"/>
      <c r="AD68" s="615">
        <f t="shared" ref="AD68" si="55">AC68*(IF(S68&gt;0,150,IF(T68&gt;0,200,IF(U68&gt;0,250,IF(V68&gt;0,300,IF(W68&gt;0,350,IF(X68&gt;0,400,IF(Y68&gt;0,450))))))))/1000</f>
        <v>0</v>
      </c>
      <c r="AE68" s="952"/>
      <c r="AF68" s="952"/>
    </row>
    <row r="69" spans="1:32">
      <c r="A69" s="658"/>
      <c r="B69" s="658"/>
      <c r="C69" s="1734"/>
      <c r="D69" s="1735"/>
      <c r="E69" s="953"/>
      <c r="F69" s="915"/>
      <c r="G69" s="947"/>
      <c r="H69" s="917"/>
      <c r="I69" s="914"/>
      <c r="J69" s="947"/>
      <c r="K69" s="917"/>
      <c r="L69" s="947"/>
      <c r="M69" s="917"/>
      <c r="N69" s="947"/>
      <c r="O69" s="917"/>
      <c r="P69" s="947"/>
      <c r="Q69" s="938">
        <f>C69*D69/1000000-O69</f>
        <v>0</v>
      </c>
      <c r="R69" s="946"/>
      <c r="S69" s="938">
        <f t="shared" si="34"/>
        <v>0</v>
      </c>
      <c r="T69" s="937">
        <f t="shared" si="35"/>
        <v>0</v>
      </c>
      <c r="U69" s="938">
        <f t="shared" si="36"/>
        <v>0</v>
      </c>
      <c r="V69" s="938">
        <f t="shared" si="37"/>
        <v>0</v>
      </c>
      <c r="W69" s="937">
        <f t="shared" si="38"/>
        <v>0</v>
      </c>
      <c r="X69" s="937">
        <f t="shared" si="39"/>
        <v>0</v>
      </c>
      <c r="Y69" s="937">
        <f t="shared" si="40"/>
        <v>0</v>
      </c>
      <c r="Z69" s="922">
        <f t="shared" si="44"/>
        <v>0</v>
      </c>
      <c r="AA69" s="922"/>
      <c r="AD69" s="615"/>
    </row>
    <row r="70" spans="1:32" ht="15.75" thickBot="1">
      <c r="A70" s="658"/>
      <c r="B70" s="658"/>
      <c r="C70" s="949"/>
      <c r="D70" s="940"/>
      <c r="E70" s="948"/>
      <c r="F70" s="915"/>
      <c r="G70" s="947"/>
      <c r="H70" s="917"/>
      <c r="I70" s="914"/>
      <c r="J70" s="947"/>
      <c r="K70" s="917"/>
      <c r="L70" s="947"/>
      <c r="M70" s="917"/>
      <c r="N70" s="947"/>
      <c r="O70" s="917"/>
      <c r="P70" s="947"/>
      <c r="Q70" s="938">
        <f>C70*D70/1000000-O70</f>
        <v>0</v>
      </c>
      <c r="R70" s="946"/>
      <c r="S70" s="938">
        <f t="shared" si="34"/>
        <v>0</v>
      </c>
      <c r="T70" s="937">
        <f t="shared" si="35"/>
        <v>0</v>
      </c>
      <c r="U70" s="938">
        <f t="shared" si="36"/>
        <v>0</v>
      </c>
      <c r="V70" s="938">
        <f t="shared" si="37"/>
        <v>0</v>
      </c>
      <c r="W70" s="937">
        <f t="shared" si="38"/>
        <v>0</v>
      </c>
      <c r="X70" s="937">
        <f t="shared" si="39"/>
        <v>0</v>
      </c>
      <c r="Y70" s="937">
        <f t="shared" si="40"/>
        <v>0</v>
      </c>
      <c r="Z70" s="922">
        <f t="shared" si="44"/>
        <v>0</v>
      </c>
      <c r="AA70" s="915"/>
      <c r="AD70" s="615"/>
    </row>
    <row r="71" spans="1:32" ht="15.75" thickBot="1">
      <c r="A71" s="2163" t="s">
        <v>367</v>
      </c>
      <c r="B71" s="2271"/>
      <c r="C71" s="2271"/>
      <c r="D71" s="2271"/>
      <c r="E71" s="2164"/>
      <c r="F71" s="910">
        <f>SUM(F41:F70)</f>
        <v>0</v>
      </c>
      <c r="G71" s="2272"/>
      <c r="H71" s="2273"/>
      <c r="I71" s="2273"/>
      <c r="J71" s="2274"/>
      <c r="K71" s="910">
        <f>SUM(K41:K70)</f>
        <v>0</v>
      </c>
      <c r="L71" s="936"/>
      <c r="M71" s="910">
        <f>SUM(M41:M70)</f>
        <v>0</v>
      </c>
      <c r="N71" s="936"/>
      <c r="O71" s="936"/>
      <c r="P71" s="935"/>
      <c r="Q71" s="910">
        <f t="shared" ref="Q71:AA71" si="56">SUM(Q41:Q70)</f>
        <v>620.22350000000006</v>
      </c>
      <c r="R71" s="910">
        <f t="shared" si="56"/>
        <v>0</v>
      </c>
      <c r="S71" s="910">
        <f t="shared" si="56"/>
        <v>294.87749999999994</v>
      </c>
      <c r="T71" s="910">
        <f t="shared" si="56"/>
        <v>195.74599999999998</v>
      </c>
      <c r="U71" s="910">
        <f t="shared" si="56"/>
        <v>0</v>
      </c>
      <c r="V71" s="910">
        <f t="shared" si="56"/>
        <v>0</v>
      </c>
      <c r="W71" s="910">
        <f t="shared" si="56"/>
        <v>0</v>
      </c>
      <c r="X71" s="910">
        <f t="shared" si="56"/>
        <v>0</v>
      </c>
      <c r="Y71" s="910">
        <f t="shared" si="56"/>
        <v>108</v>
      </c>
      <c r="Z71" s="934">
        <f t="shared" si="56"/>
        <v>1129.7470000000001</v>
      </c>
      <c r="AA71" s="910">
        <f t="shared" si="56"/>
        <v>0</v>
      </c>
      <c r="AB71" s="2016">
        <f>SUM(R71:Y71)</f>
        <v>598.62349999999992</v>
      </c>
      <c r="AC71" s="632">
        <f>SUM(AC41:AC70)</f>
        <v>100.35500000000002</v>
      </c>
      <c r="AD71" s="632">
        <f>SUM(AD41:AD70)</f>
        <v>18.091999999999999</v>
      </c>
    </row>
    <row r="72" spans="1:32" ht="15" customHeight="1">
      <c r="A72" s="638"/>
      <c r="B72" s="638"/>
      <c r="C72" s="945"/>
      <c r="D72" s="945"/>
      <c r="E72" s="919"/>
      <c r="F72" s="919"/>
      <c r="G72" s="919"/>
      <c r="H72" s="919"/>
      <c r="I72" s="919"/>
      <c r="J72" s="919"/>
      <c r="K72" s="919"/>
      <c r="L72" s="919"/>
      <c r="M72" s="919"/>
      <c r="N72" s="919"/>
      <c r="O72" s="919"/>
      <c r="P72" s="919"/>
      <c r="Q72" s="919"/>
      <c r="R72" s="919"/>
      <c r="S72" s="919"/>
      <c r="T72" s="919"/>
      <c r="U72" s="919"/>
      <c r="V72" s="919"/>
      <c r="W72" s="919"/>
      <c r="X72" s="919"/>
      <c r="Y72" s="919"/>
      <c r="Z72" s="919"/>
      <c r="AA72" s="919"/>
      <c r="AD72" s="933">
        <f>AD71/AB71</f>
        <v>3.0222669173528938E-2</v>
      </c>
    </row>
    <row r="73" spans="1:32" ht="15" customHeight="1">
      <c r="A73" s="2277" t="s">
        <v>219</v>
      </c>
      <c r="B73" s="2278"/>
      <c r="C73" s="2281" t="s">
        <v>44</v>
      </c>
      <c r="D73" s="2282" t="s">
        <v>274</v>
      </c>
      <c r="E73" s="2286" t="s">
        <v>385</v>
      </c>
      <c r="F73" s="2288"/>
      <c r="G73" s="2288"/>
      <c r="H73" s="2288"/>
      <c r="I73" s="2288"/>
      <c r="J73" s="2288"/>
      <c r="K73" s="2288"/>
      <c r="L73" s="2288"/>
      <c r="M73" s="2288"/>
      <c r="N73" s="2288"/>
      <c r="O73" s="2288"/>
      <c r="P73" s="2287"/>
      <c r="Q73" s="2275" t="s">
        <v>391</v>
      </c>
      <c r="R73" s="2275" t="s">
        <v>384</v>
      </c>
      <c r="S73" s="2275" t="s">
        <v>366</v>
      </c>
      <c r="T73" s="2275" t="s">
        <v>365</v>
      </c>
      <c r="U73" s="2275" t="s">
        <v>364</v>
      </c>
      <c r="V73" s="2275" t="s">
        <v>363</v>
      </c>
      <c r="W73" s="2275" t="s">
        <v>362</v>
      </c>
      <c r="X73" s="2275" t="s">
        <v>2227</v>
      </c>
      <c r="Y73" s="2275" t="s">
        <v>2106</v>
      </c>
      <c r="Z73" s="2275" t="s">
        <v>361</v>
      </c>
      <c r="AA73" s="2284" t="s">
        <v>383</v>
      </c>
    </row>
    <row r="74" spans="1:32" ht="30">
      <c r="A74" s="2279"/>
      <c r="B74" s="2280"/>
      <c r="C74" s="2244"/>
      <c r="D74" s="2247"/>
      <c r="E74" s="906" t="s">
        <v>382</v>
      </c>
      <c r="F74" s="2286" t="s">
        <v>381</v>
      </c>
      <c r="G74" s="2287"/>
      <c r="H74" s="2286" t="s">
        <v>380</v>
      </c>
      <c r="I74" s="2288"/>
      <c r="J74" s="2287"/>
      <c r="K74" s="2286" t="s">
        <v>379</v>
      </c>
      <c r="L74" s="2287"/>
      <c r="M74" s="2286" t="s">
        <v>378</v>
      </c>
      <c r="N74" s="2287"/>
      <c r="O74" s="904" t="s">
        <v>377</v>
      </c>
      <c r="P74" s="2282" t="s">
        <v>376</v>
      </c>
      <c r="Q74" s="2276"/>
      <c r="R74" s="2276"/>
      <c r="S74" s="2276"/>
      <c r="T74" s="2276"/>
      <c r="U74" s="2276"/>
      <c r="V74" s="2276"/>
      <c r="W74" s="2276"/>
      <c r="X74" s="2276"/>
      <c r="Y74" s="2276"/>
      <c r="Z74" s="2276"/>
      <c r="AA74" s="2285"/>
      <c r="AC74" s="951" t="s">
        <v>359</v>
      </c>
      <c r="AD74" s="907" t="s">
        <v>386</v>
      </c>
    </row>
    <row r="75" spans="1:32" ht="28.5" customHeight="1" thickBot="1">
      <c r="A75" s="905" t="s">
        <v>375</v>
      </c>
      <c r="B75" s="905" t="s">
        <v>374</v>
      </c>
      <c r="C75" s="2245"/>
      <c r="D75" s="2248"/>
      <c r="E75" s="944" t="s">
        <v>49</v>
      </c>
      <c r="F75" s="931" t="s">
        <v>50</v>
      </c>
      <c r="G75" s="943" t="s">
        <v>373</v>
      </c>
      <c r="H75" s="932" t="s">
        <v>372</v>
      </c>
      <c r="I75" s="905" t="s">
        <v>371</v>
      </c>
      <c r="J75" s="943" t="s">
        <v>370</v>
      </c>
      <c r="K75" s="932" t="s">
        <v>50</v>
      </c>
      <c r="L75" s="943" t="s">
        <v>369</v>
      </c>
      <c r="M75" s="932" t="s">
        <v>50</v>
      </c>
      <c r="N75" s="943" t="s">
        <v>368</v>
      </c>
      <c r="O75" s="932" t="s">
        <v>49</v>
      </c>
      <c r="P75" s="2248"/>
      <c r="Q75" s="942" t="s">
        <v>49</v>
      </c>
      <c r="R75" s="942" t="s">
        <v>49</v>
      </c>
      <c r="S75" s="942" t="s">
        <v>49</v>
      </c>
      <c r="T75" s="942" t="s">
        <v>49</v>
      </c>
      <c r="U75" s="942" t="s">
        <v>49</v>
      </c>
      <c r="V75" s="942" t="s">
        <v>49</v>
      </c>
      <c r="W75" s="942" t="s">
        <v>49</v>
      </c>
      <c r="X75" s="942" t="s">
        <v>49</v>
      </c>
      <c r="Y75" s="942" t="s">
        <v>49</v>
      </c>
      <c r="Z75" s="931" t="s">
        <v>49</v>
      </c>
      <c r="AA75" s="931" t="s">
        <v>50</v>
      </c>
    </row>
    <row r="76" spans="1:32">
      <c r="A76" s="1997">
        <v>1</v>
      </c>
      <c r="B76" s="663">
        <v>150</v>
      </c>
      <c r="C76" s="941">
        <v>4850</v>
      </c>
      <c r="D76" s="940">
        <v>3500</v>
      </c>
      <c r="E76" s="954"/>
      <c r="F76" s="922"/>
      <c r="G76" s="939"/>
      <c r="H76" s="924"/>
      <c r="I76" s="920"/>
      <c r="J76" s="939"/>
      <c r="K76" s="924"/>
      <c r="L76" s="939"/>
      <c r="M76" s="924"/>
      <c r="N76" s="939"/>
      <c r="O76" s="924">
        <f>(1.2*1.2)</f>
        <v>1.44</v>
      </c>
      <c r="P76" s="939" t="s">
        <v>2122</v>
      </c>
      <c r="Q76" s="938">
        <f t="shared" ref="Q76:Q77" si="57">C76*D76/1000000-O76</f>
        <v>15.535000000000002</v>
      </c>
      <c r="R76" s="938"/>
      <c r="S76" s="938">
        <f t="shared" ref="S76:S108" si="58">IF($B76=150,Q76-SUM(E76,G76,J76,L76,N76),0)</f>
        <v>15.535000000000002</v>
      </c>
      <c r="T76" s="937">
        <f t="shared" ref="T76:T108" si="59">IF($B76=200,Q76-SUM(E76,G76,J76,L76,N76),0)</f>
        <v>0</v>
      </c>
      <c r="U76" s="938">
        <f t="shared" ref="U76:U108" si="60">IF($B76=250,Q76-SUM(E76,G76,J76,L76,N76),0)</f>
        <v>0</v>
      </c>
      <c r="V76" s="938">
        <f t="shared" ref="V76:V108" si="61">IF($B76=300,Q76-SUM(E76,G76,J76,L76,N76),0)</f>
        <v>0</v>
      </c>
      <c r="W76" s="937">
        <f t="shared" ref="W76:W108" si="62">IF($B76=350,Q76-SUM(E76,G76,J76,L76,N76),0)</f>
        <v>0</v>
      </c>
      <c r="X76" s="937">
        <f t="shared" ref="X76:X108" si="63">IF($B76=400,Q76-SUM(E76,G76,J76,L76,N76),0)</f>
        <v>0</v>
      </c>
      <c r="Y76" s="937">
        <f t="shared" ref="Y76:Y108" si="64">IF($B76=700,Q76-SUM(E76,G76,J76,L76,N76),0)</f>
        <v>0</v>
      </c>
      <c r="Z76" s="922">
        <f t="shared" ref="Z76:Z78" si="65">SUM(S76:Y76)*2</f>
        <v>31.070000000000004</v>
      </c>
      <c r="AA76" s="922"/>
      <c r="AB76" s="1998" t="s">
        <v>2122</v>
      </c>
      <c r="AC76" s="634">
        <f>2*(1.2+1.2)</f>
        <v>4.8</v>
      </c>
      <c r="AD76" s="615">
        <f t="shared" ref="AD76:AD88" si="66">AC76*(IF(S76&gt;0,150,IF(T76&gt;0,200,IF(U76&gt;0,250,IF(V76&gt;0,300,IF(W76&gt;0,350,IF(X76&gt;0,400,IF(Y76&gt;0,450))))))))/1000</f>
        <v>0.72</v>
      </c>
      <c r="AE76" s="952"/>
      <c r="AF76" s="952"/>
    </row>
    <row r="77" spans="1:32">
      <c r="A77" s="1997">
        <v>2</v>
      </c>
      <c r="B77" s="663">
        <v>150</v>
      </c>
      <c r="C77" s="941">
        <v>3775</v>
      </c>
      <c r="D77" s="940">
        <v>3500</v>
      </c>
      <c r="E77" s="954"/>
      <c r="F77" s="922"/>
      <c r="G77" s="939"/>
      <c r="H77" s="924"/>
      <c r="I77" s="920"/>
      <c r="J77" s="939"/>
      <c r="K77" s="924"/>
      <c r="L77" s="939"/>
      <c r="M77" s="924"/>
      <c r="N77" s="939"/>
      <c r="O77" s="924">
        <f>(2.375*2.4)</f>
        <v>5.7</v>
      </c>
      <c r="P77" s="939" t="s">
        <v>2224</v>
      </c>
      <c r="Q77" s="938">
        <f t="shared" si="57"/>
        <v>7.5125000000000002</v>
      </c>
      <c r="R77" s="938"/>
      <c r="S77" s="938">
        <f t="shared" si="58"/>
        <v>7.5125000000000002</v>
      </c>
      <c r="T77" s="937">
        <f t="shared" si="59"/>
        <v>0</v>
      </c>
      <c r="U77" s="938">
        <f t="shared" si="60"/>
        <v>0</v>
      </c>
      <c r="V77" s="938">
        <f t="shared" si="61"/>
        <v>0</v>
      </c>
      <c r="W77" s="937">
        <f t="shared" si="62"/>
        <v>0</v>
      </c>
      <c r="X77" s="937">
        <f t="shared" si="63"/>
        <v>0</v>
      </c>
      <c r="Y77" s="937">
        <f t="shared" si="64"/>
        <v>0</v>
      </c>
      <c r="Z77" s="922">
        <f t="shared" si="65"/>
        <v>15.025</v>
      </c>
      <c r="AA77" s="922"/>
      <c r="AB77" s="1998" t="s">
        <v>2224</v>
      </c>
      <c r="AC77" s="634">
        <f>(2.375+2*2.4)</f>
        <v>7.1749999999999998</v>
      </c>
      <c r="AD77" s="615">
        <f t="shared" si="66"/>
        <v>1.0762499999999999</v>
      </c>
      <c r="AE77" s="952"/>
      <c r="AF77" s="952"/>
    </row>
    <row r="78" spans="1:32">
      <c r="A78" s="1997">
        <v>3</v>
      </c>
      <c r="B78" s="663">
        <v>150</v>
      </c>
      <c r="C78" s="941">
        <v>4850</v>
      </c>
      <c r="D78" s="940">
        <v>3500</v>
      </c>
      <c r="E78" s="954"/>
      <c r="F78" s="922"/>
      <c r="G78" s="939"/>
      <c r="H78" s="924"/>
      <c r="I78" s="920"/>
      <c r="J78" s="939"/>
      <c r="K78" s="924"/>
      <c r="L78" s="939"/>
      <c r="M78" s="924"/>
      <c r="N78" s="939"/>
      <c r="O78" s="924">
        <f>(1*2.4)</f>
        <v>2.4</v>
      </c>
      <c r="P78" s="939" t="s">
        <v>1404</v>
      </c>
      <c r="Q78" s="938">
        <f>C78*D78/1000000-O78</f>
        <v>14.575000000000001</v>
      </c>
      <c r="R78" s="938"/>
      <c r="S78" s="938">
        <f t="shared" si="58"/>
        <v>14.575000000000001</v>
      </c>
      <c r="T78" s="937">
        <f t="shared" si="59"/>
        <v>0</v>
      </c>
      <c r="U78" s="938">
        <f t="shared" si="60"/>
        <v>0</v>
      </c>
      <c r="V78" s="938">
        <f t="shared" si="61"/>
        <v>0</v>
      </c>
      <c r="W78" s="937">
        <f t="shared" si="62"/>
        <v>0</v>
      </c>
      <c r="X78" s="937">
        <f t="shared" si="63"/>
        <v>0</v>
      </c>
      <c r="Y78" s="937">
        <f t="shared" si="64"/>
        <v>0</v>
      </c>
      <c r="Z78" s="922">
        <f t="shared" si="65"/>
        <v>29.150000000000002</v>
      </c>
      <c r="AA78" s="922"/>
      <c r="AB78" s="1998" t="s">
        <v>1404</v>
      </c>
      <c r="AC78" s="634">
        <f>(1+2*2.4)</f>
        <v>5.8</v>
      </c>
      <c r="AD78" s="615">
        <f t="shared" si="66"/>
        <v>0.87</v>
      </c>
      <c r="AE78" s="952"/>
      <c r="AF78" s="952"/>
    </row>
    <row r="79" spans="1:32">
      <c r="A79" s="658">
        <v>4</v>
      </c>
      <c r="B79" s="663">
        <v>150</v>
      </c>
      <c r="C79" s="941">
        <v>5850</v>
      </c>
      <c r="D79" s="940">
        <v>3500</v>
      </c>
      <c r="E79" s="954"/>
      <c r="F79" s="922"/>
      <c r="G79" s="939"/>
      <c r="H79" s="924"/>
      <c r="I79" s="920"/>
      <c r="J79" s="939"/>
      <c r="K79" s="924"/>
      <c r="L79" s="939"/>
      <c r="M79" s="924"/>
      <c r="N79" s="939"/>
      <c r="O79" s="924"/>
      <c r="P79" s="939"/>
      <c r="Q79" s="938">
        <f t="shared" ref="Q79:Q80" si="67">C79*D79/1000000-O79</f>
        <v>20.475000000000001</v>
      </c>
      <c r="R79" s="938"/>
      <c r="S79" s="938">
        <f t="shared" si="58"/>
        <v>20.475000000000001</v>
      </c>
      <c r="T79" s="937">
        <f t="shared" si="59"/>
        <v>0</v>
      </c>
      <c r="U79" s="938">
        <f t="shared" si="60"/>
        <v>0</v>
      </c>
      <c r="V79" s="938">
        <f t="shared" si="61"/>
        <v>0</v>
      </c>
      <c r="W79" s="937">
        <f t="shared" si="62"/>
        <v>0</v>
      </c>
      <c r="X79" s="937">
        <f t="shared" si="63"/>
        <v>0</v>
      </c>
      <c r="Y79" s="937">
        <f t="shared" si="64"/>
        <v>0</v>
      </c>
      <c r="Z79" s="922">
        <f>SUM(S79:Y79)*2</f>
        <v>40.950000000000003</v>
      </c>
      <c r="AA79" s="922"/>
      <c r="AD79" s="615">
        <f t="shared" si="66"/>
        <v>0</v>
      </c>
      <c r="AE79" s="952"/>
      <c r="AF79" s="952"/>
    </row>
    <row r="80" spans="1:32">
      <c r="A80" s="1997">
        <v>5</v>
      </c>
      <c r="B80" s="663">
        <v>150</v>
      </c>
      <c r="C80" s="941">
        <v>3775</v>
      </c>
      <c r="D80" s="940">
        <v>3500</v>
      </c>
      <c r="E80" s="954"/>
      <c r="F80" s="922"/>
      <c r="G80" s="939"/>
      <c r="H80" s="924"/>
      <c r="I80" s="920"/>
      <c r="J80" s="939"/>
      <c r="K80" s="924"/>
      <c r="L80" s="939"/>
      <c r="M80" s="924"/>
      <c r="N80" s="939"/>
      <c r="O80" s="924">
        <f>(2.975*2.4)</f>
        <v>7.14</v>
      </c>
      <c r="P80" s="939" t="s">
        <v>2224</v>
      </c>
      <c r="Q80" s="938">
        <f t="shared" si="67"/>
        <v>6.0725000000000007</v>
      </c>
      <c r="R80" s="938"/>
      <c r="S80" s="938">
        <f t="shared" si="58"/>
        <v>6.0725000000000007</v>
      </c>
      <c r="T80" s="937">
        <f t="shared" si="59"/>
        <v>0</v>
      </c>
      <c r="U80" s="938">
        <f t="shared" si="60"/>
        <v>0</v>
      </c>
      <c r="V80" s="938">
        <f t="shared" si="61"/>
        <v>0</v>
      </c>
      <c r="W80" s="937">
        <f t="shared" si="62"/>
        <v>0</v>
      </c>
      <c r="X80" s="937">
        <f t="shared" si="63"/>
        <v>0</v>
      </c>
      <c r="Y80" s="937">
        <f t="shared" si="64"/>
        <v>0</v>
      </c>
      <c r="Z80" s="922">
        <f t="shared" ref="Z80:Z108" si="68">SUM(S80:Y80)*2</f>
        <v>12.145000000000001</v>
      </c>
      <c r="AA80" s="922"/>
      <c r="AB80" s="1998" t="s">
        <v>2224</v>
      </c>
      <c r="AC80" s="634">
        <f>(2.975+2*2.4)</f>
        <v>7.7750000000000004</v>
      </c>
      <c r="AD80" s="615">
        <f t="shared" si="66"/>
        <v>1.16625</v>
      </c>
      <c r="AE80" s="952"/>
      <c r="AF80" s="952"/>
    </row>
    <row r="81" spans="1:32">
      <c r="A81" s="1997">
        <v>6</v>
      </c>
      <c r="B81" s="663">
        <v>150</v>
      </c>
      <c r="C81" s="941">
        <v>2575</v>
      </c>
      <c r="D81" s="940">
        <v>3500</v>
      </c>
      <c r="E81" s="954"/>
      <c r="F81" s="922"/>
      <c r="G81" s="939"/>
      <c r="H81" s="924"/>
      <c r="I81" s="920"/>
      <c r="J81" s="939"/>
      <c r="K81" s="924"/>
      <c r="L81" s="939"/>
      <c r="M81" s="924"/>
      <c r="N81" s="939"/>
      <c r="O81" s="924">
        <f>(1.2*2.4)</f>
        <v>2.88</v>
      </c>
      <c r="P81" s="939" t="s">
        <v>2224</v>
      </c>
      <c r="Q81" s="938">
        <f>C81*D81/1000000-O81</f>
        <v>6.1324999999999994</v>
      </c>
      <c r="R81" s="938"/>
      <c r="S81" s="938">
        <f t="shared" si="58"/>
        <v>6.1324999999999994</v>
      </c>
      <c r="T81" s="937">
        <f t="shared" si="59"/>
        <v>0</v>
      </c>
      <c r="U81" s="938">
        <f t="shared" si="60"/>
        <v>0</v>
      </c>
      <c r="V81" s="938">
        <f t="shared" si="61"/>
        <v>0</v>
      </c>
      <c r="W81" s="937">
        <f t="shared" si="62"/>
        <v>0</v>
      </c>
      <c r="X81" s="937">
        <f t="shared" si="63"/>
        <v>0</v>
      </c>
      <c r="Y81" s="937">
        <f t="shared" si="64"/>
        <v>0</v>
      </c>
      <c r="Z81" s="922">
        <f t="shared" si="68"/>
        <v>12.264999999999999</v>
      </c>
      <c r="AA81" s="922"/>
      <c r="AB81" s="1998" t="s">
        <v>2224</v>
      </c>
      <c r="AC81" s="634">
        <f>(1.2+2*2.4)</f>
        <v>6</v>
      </c>
      <c r="AD81" s="615">
        <f t="shared" si="66"/>
        <v>0.9</v>
      </c>
      <c r="AE81" s="952"/>
      <c r="AF81" s="952"/>
    </row>
    <row r="82" spans="1:32">
      <c r="A82" s="1997">
        <v>7</v>
      </c>
      <c r="B82" s="663">
        <v>150</v>
      </c>
      <c r="C82" s="941">
        <v>4850</v>
      </c>
      <c r="D82" s="940">
        <v>3500</v>
      </c>
      <c r="E82" s="954"/>
      <c r="F82" s="922"/>
      <c r="G82" s="939"/>
      <c r="H82" s="924"/>
      <c r="I82" s="920"/>
      <c r="J82" s="939"/>
      <c r="K82" s="924"/>
      <c r="L82" s="939"/>
      <c r="M82" s="924"/>
      <c r="N82" s="939"/>
      <c r="O82" s="924">
        <f>(1.88*2.4)</f>
        <v>4.5119999999999996</v>
      </c>
      <c r="P82" s="939" t="s">
        <v>1404</v>
      </c>
      <c r="Q82" s="938">
        <f t="shared" ref="Q82:Q88" si="69">C82*D82/1000000-O82</f>
        <v>12.463000000000001</v>
      </c>
      <c r="R82" s="938"/>
      <c r="S82" s="938">
        <f t="shared" si="58"/>
        <v>12.463000000000001</v>
      </c>
      <c r="T82" s="937">
        <f t="shared" si="59"/>
        <v>0</v>
      </c>
      <c r="U82" s="938">
        <f t="shared" si="60"/>
        <v>0</v>
      </c>
      <c r="V82" s="938">
        <f t="shared" si="61"/>
        <v>0</v>
      </c>
      <c r="W82" s="937">
        <f t="shared" si="62"/>
        <v>0</v>
      </c>
      <c r="X82" s="937">
        <f t="shared" si="63"/>
        <v>0</v>
      </c>
      <c r="Y82" s="937">
        <f t="shared" si="64"/>
        <v>0</v>
      </c>
      <c r="Z82" s="922">
        <f t="shared" si="68"/>
        <v>24.926000000000002</v>
      </c>
      <c r="AA82" s="922"/>
      <c r="AB82" s="1998" t="s">
        <v>1404</v>
      </c>
      <c r="AC82" s="634">
        <f>(1.88+2*2.4)</f>
        <v>6.68</v>
      </c>
      <c r="AD82" s="615">
        <f t="shared" si="66"/>
        <v>1.002</v>
      </c>
      <c r="AE82" s="952"/>
      <c r="AF82" s="952"/>
    </row>
    <row r="83" spans="1:32">
      <c r="A83" s="1997">
        <v>8</v>
      </c>
      <c r="B83" s="663">
        <v>150</v>
      </c>
      <c r="C83" s="941">
        <v>13650</v>
      </c>
      <c r="D83" s="940">
        <v>3500</v>
      </c>
      <c r="E83" s="954"/>
      <c r="F83" s="922"/>
      <c r="G83" s="939"/>
      <c r="H83" s="924"/>
      <c r="I83" s="920"/>
      <c r="J83" s="939"/>
      <c r="K83" s="924"/>
      <c r="L83" s="939"/>
      <c r="M83" s="924"/>
      <c r="N83" s="939"/>
      <c r="O83" s="924">
        <f>(1.2*1.2)+(1.2*2.4)</f>
        <v>4.32</v>
      </c>
      <c r="P83" s="939" t="s">
        <v>2231</v>
      </c>
      <c r="Q83" s="938">
        <f t="shared" si="69"/>
        <v>43.454999999999998</v>
      </c>
      <c r="R83" s="938"/>
      <c r="S83" s="938">
        <f t="shared" si="58"/>
        <v>43.454999999999998</v>
      </c>
      <c r="T83" s="937">
        <f t="shared" si="59"/>
        <v>0</v>
      </c>
      <c r="U83" s="938">
        <f t="shared" si="60"/>
        <v>0</v>
      </c>
      <c r="V83" s="938">
        <f t="shared" si="61"/>
        <v>0</v>
      </c>
      <c r="W83" s="937">
        <f t="shared" si="62"/>
        <v>0</v>
      </c>
      <c r="X83" s="937">
        <f t="shared" si="63"/>
        <v>0</v>
      </c>
      <c r="Y83" s="937">
        <f t="shared" si="64"/>
        <v>0</v>
      </c>
      <c r="Z83" s="922">
        <f t="shared" si="68"/>
        <v>86.91</v>
      </c>
      <c r="AA83" s="922"/>
      <c r="AB83" s="1998" t="s">
        <v>2231</v>
      </c>
      <c r="AC83" s="634">
        <f>2*(1.2+1.2)+(1.2+2*2.4)</f>
        <v>10.8</v>
      </c>
      <c r="AD83" s="615">
        <f t="shared" si="66"/>
        <v>1.62</v>
      </c>
      <c r="AE83" s="952"/>
      <c r="AF83" s="952"/>
    </row>
    <row r="84" spans="1:32">
      <c r="A84" s="658">
        <v>9</v>
      </c>
      <c r="B84" s="663">
        <v>200</v>
      </c>
      <c r="C84" s="941">
        <v>150</v>
      </c>
      <c r="D84" s="940">
        <v>3500</v>
      </c>
      <c r="E84" s="954"/>
      <c r="F84" s="922"/>
      <c r="G84" s="939"/>
      <c r="H84" s="924"/>
      <c r="I84" s="920"/>
      <c r="J84" s="939"/>
      <c r="K84" s="924"/>
      <c r="L84" s="939"/>
      <c r="M84" s="924"/>
      <c r="N84" s="939"/>
      <c r="O84" s="924"/>
      <c r="P84" s="939"/>
      <c r="Q84" s="938">
        <f t="shared" si="69"/>
        <v>0.52500000000000002</v>
      </c>
      <c r="R84" s="938"/>
      <c r="S84" s="938">
        <f t="shared" si="58"/>
        <v>0</v>
      </c>
      <c r="T84" s="937">
        <f t="shared" si="59"/>
        <v>0.52500000000000002</v>
      </c>
      <c r="U84" s="938">
        <f t="shared" si="60"/>
        <v>0</v>
      </c>
      <c r="V84" s="938">
        <f t="shared" si="61"/>
        <v>0</v>
      </c>
      <c r="W84" s="937">
        <f t="shared" si="62"/>
        <v>0</v>
      </c>
      <c r="X84" s="937">
        <f t="shared" si="63"/>
        <v>0</v>
      </c>
      <c r="Y84" s="937">
        <f t="shared" si="64"/>
        <v>0</v>
      </c>
      <c r="Z84" s="922">
        <f t="shared" si="68"/>
        <v>1.05</v>
      </c>
      <c r="AA84" s="922"/>
      <c r="AD84" s="615">
        <f t="shared" si="66"/>
        <v>0</v>
      </c>
      <c r="AE84" s="952"/>
      <c r="AF84" s="952"/>
    </row>
    <row r="85" spans="1:32">
      <c r="A85" s="658">
        <v>10</v>
      </c>
      <c r="B85" s="663">
        <v>200</v>
      </c>
      <c r="C85" s="941">
        <v>150</v>
      </c>
      <c r="D85" s="940">
        <v>3500</v>
      </c>
      <c r="E85" s="954"/>
      <c r="F85" s="922"/>
      <c r="G85" s="939"/>
      <c r="H85" s="924"/>
      <c r="I85" s="920"/>
      <c r="J85" s="939"/>
      <c r="K85" s="924"/>
      <c r="L85" s="939"/>
      <c r="M85" s="924"/>
      <c r="N85" s="939"/>
      <c r="O85" s="924"/>
      <c r="P85" s="939"/>
      <c r="Q85" s="938">
        <f t="shared" si="69"/>
        <v>0.52500000000000002</v>
      </c>
      <c r="R85" s="938"/>
      <c r="S85" s="938">
        <f t="shared" si="58"/>
        <v>0</v>
      </c>
      <c r="T85" s="937">
        <f t="shared" si="59"/>
        <v>0.52500000000000002</v>
      </c>
      <c r="U85" s="938">
        <f t="shared" si="60"/>
        <v>0</v>
      </c>
      <c r="V85" s="938">
        <f t="shared" si="61"/>
        <v>0</v>
      </c>
      <c r="W85" s="937">
        <f t="shared" si="62"/>
        <v>0</v>
      </c>
      <c r="X85" s="937">
        <f t="shared" si="63"/>
        <v>0</v>
      </c>
      <c r="Y85" s="937">
        <f t="shared" si="64"/>
        <v>0</v>
      </c>
      <c r="Z85" s="922">
        <f t="shared" si="68"/>
        <v>1.05</v>
      </c>
      <c r="AA85" s="922"/>
      <c r="AD85" s="615">
        <f t="shared" si="66"/>
        <v>0</v>
      </c>
      <c r="AE85" s="952"/>
      <c r="AF85" s="952"/>
    </row>
    <row r="86" spans="1:32">
      <c r="A86" s="1997">
        <v>11</v>
      </c>
      <c r="B86" s="663">
        <v>150</v>
      </c>
      <c r="C86" s="941">
        <v>14150</v>
      </c>
      <c r="D86" s="940">
        <v>3500</v>
      </c>
      <c r="E86" s="954"/>
      <c r="F86" s="922"/>
      <c r="G86" s="939"/>
      <c r="H86" s="924"/>
      <c r="I86" s="920"/>
      <c r="J86" s="939"/>
      <c r="K86" s="924"/>
      <c r="L86" s="939"/>
      <c r="M86" s="924"/>
      <c r="N86" s="939"/>
      <c r="O86" s="924">
        <f>(1.2*2.4)</f>
        <v>2.88</v>
      </c>
      <c r="P86" s="939" t="s">
        <v>2224</v>
      </c>
      <c r="Q86" s="938">
        <f t="shared" si="69"/>
        <v>46.644999999999996</v>
      </c>
      <c r="R86" s="938"/>
      <c r="S86" s="938">
        <f t="shared" si="58"/>
        <v>46.644999999999996</v>
      </c>
      <c r="T86" s="937">
        <f t="shared" si="59"/>
        <v>0</v>
      </c>
      <c r="U86" s="938">
        <f t="shared" si="60"/>
        <v>0</v>
      </c>
      <c r="V86" s="938">
        <f t="shared" si="61"/>
        <v>0</v>
      </c>
      <c r="W86" s="937">
        <f t="shared" si="62"/>
        <v>0</v>
      </c>
      <c r="X86" s="937">
        <f t="shared" si="63"/>
        <v>0</v>
      </c>
      <c r="Y86" s="937">
        <f t="shared" si="64"/>
        <v>0</v>
      </c>
      <c r="Z86" s="922">
        <f t="shared" si="68"/>
        <v>93.289999999999992</v>
      </c>
      <c r="AA86" s="922"/>
      <c r="AB86" s="1998" t="s">
        <v>2224</v>
      </c>
      <c r="AC86" s="634">
        <f>(1.2+2*2.4)</f>
        <v>6</v>
      </c>
      <c r="AD86" s="615">
        <f t="shared" si="66"/>
        <v>0.9</v>
      </c>
      <c r="AE86" s="952"/>
      <c r="AF86" s="952"/>
    </row>
    <row r="87" spans="1:32">
      <c r="A87" s="1997">
        <v>12</v>
      </c>
      <c r="B87" s="663">
        <v>150</v>
      </c>
      <c r="C87" s="941">
        <v>3775</v>
      </c>
      <c r="D87" s="940">
        <v>3500</v>
      </c>
      <c r="E87" s="954"/>
      <c r="F87" s="922"/>
      <c r="G87" s="939"/>
      <c r="H87" s="924"/>
      <c r="I87" s="920"/>
      <c r="J87" s="939"/>
      <c r="K87" s="924"/>
      <c r="L87" s="939"/>
      <c r="M87" s="924"/>
      <c r="N87" s="939"/>
      <c r="O87" s="924">
        <f>(1.8*2.4)</f>
        <v>4.32</v>
      </c>
      <c r="P87" s="939" t="s">
        <v>2221</v>
      </c>
      <c r="Q87" s="938">
        <f t="shared" si="69"/>
        <v>8.8925000000000001</v>
      </c>
      <c r="R87" s="938"/>
      <c r="S87" s="938">
        <f t="shared" si="58"/>
        <v>8.8925000000000001</v>
      </c>
      <c r="T87" s="937">
        <f t="shared" si="59"/>
        <v>0</v>
      </c>
      <c r="U87" s="938">
        <f t="shared" si="60"/>
        <v>0</v>
      </c>
      <c r="V87" s="938">
        <f t="shared" si="61"/>
        <v>0</v>
      </c>
      <c r="W87" s="937">
        <f t="shared" si="62"/>
        <v>0</v>
      </c>
      <c r="X87" s="937">
        <f t="shared" si="63"/>
        <v>0</v>
      </c>
      <c r="Y87" s="937">
        <f t="shared" si="64"/>
        <v>0</v>
      </c>
      <c r="Z87" s="922">
        <f t="shared" si="68"/>
        <v>17.785</v>
      </c>
      <c r="AA87" s="922"/>
      <c r="AB87" s="1998" t="s">
        <v>2221</v>
      </c>
      <c r="AC87" s="634">
        <f>(1.8+2*2.4)</f>
        <v>6.6</v>
      </c>
      <c r="AD87" s="615">
        <f t="shared" si="66"/>
        <v>0.99</v>
      </c>
      <c r="AE87" s="952"/>
      <c r="AF87" s="952"/>
    </row>
    <row r="88" spans="1:32">
      <c r="A88" s="1997">
        <v>13</v>
      </c>
      <c r="B88" s="663">
        <v>200</v>
      </c>
      <c r="C88" s="949">
        <v>4850</v>
      </c>
      <c r="D88" s="940">
        <v>3500</v>
      </c>
      <c r="E88" s="953"/>
      <c r="F88" s="915"/>
      <c r="G88" s="947"/>
      <c r="H88" s="917"/>
      <c r="I88" s="914"/>
      <c r="J88" s="947"/>
      <c r="K88" s="917"/>
      <c r="L88" s="947"/>
      <c r="M88" s="917"/>
      <c r="N88" s="947"/>
      <c r="O88" s="924">
        <f t="shared" ref="O88:O90" si="70">(1.2*1.2)</f>
        <v>1.44</v>
      </c>
      <c r="P88" s="939" t="s">
        <v>2122</v>
      </c>
      <c r="Q88" s="938">
        <f t="shared" si="69"/>
        <v>15.535000000000002</v>
      </c>
      <c r="R88" s="938"/>
      <c r="S88" s="938">
        <f t="shared" si="58"/>
        <v>0</v>
      </c>
      <c r="T88" s="937">
        <f t="shared" si="59"/>
        <v>15.535000000000002</v>
      </c>
      <c r="U88" s="938">
        <f t="shared" si="60"/>
        <v>0</v>
      </c>
      <c r="V88" s="938">
        <f t="shared" si="61"/>
        <v>0</v>
      </c>
      <c r="W88" s="937">
        <f t="shared" si="62"/>
        <v>0</v>
      </c>
      <c r="X88" s="937">
        <f t="shared" si="63"/>
        <v>0</v>
      </c>
      <c r="Y88" s="937">
        <f t="shared" si="64"/>
        <v>0</v>
      </c>
      <c r="Z88" s="922">
        <f t="shared" si="68"/>
        <v>31.070000000000004</v>
      </c>
      <c r="AA88" s="922"/>
      <c r="AB88" s="1998" t="s">
        <v>2122</v>
      </c>
      <c r="AC88" s="634">
        <f>2*(1.2+1.2)</f>
        <v>4.8</v>
      </c>
      <c r="AD88" s="615">
        <f t="shared" si="66"/>
        <v>0.96</v>
      </c>
      <c r="AE88" s="952"/>
      <c r="AF88" s="952"/>
    </row>
    <row r="89" spans="1:32">
      <c r="A89" s="1997">
        <v>14</v>
      </c>
      <c r="B89" s="663">
        <v>150</v>
      </c>
      <c r="C89" s="941">
        <v>5850</v>
      </c>
      <c r="D89" s="940">
        <v>3500</v>
      </c>
      <c r="E89" s="954"/>
      <c r="F89" s="922"/>
      <c r="G89" s="939"/>
      <c r="H89" s="924"/>
      <c r="I89" s="920"/>
      <c r="J89" s="939"/>
      <c r="K89" s="924"/>
      <c r="L89" s="939"/>
      <c r="M89" s="924"/>
      <c r="N89" s="939"/>
      <c r="O89" s="924">
        <f t="shared" si="70"/>
        <v>1.44</v>
      </c>
      <c r="P89" s="939" t="s">
        <v>2122</v>
      </c>
      <c r="Q89" s="938">
        <f>C89*D89/1000000-O89</f>
        <v>19.035</v>
      </c>
      <c r="R89" s="938"/>
      <c r="S89" s="938">
        <f t="shared" si="58"/>
        <v>19.035</v>
      </c>
      <c r="T89" s="937">
        <f t="shared" si="59"/>
        <v>0</v>
      </c>
      <c r="U89" s="938">
        <f t="shared" si="60"/>
        <v>0</v>
      </c>
      <c r="V89" s="938">
        <f t="shared" si="61"/>
        <v>0</v>
      </c>
      <c r="W89" s="937">
        <f t="shared" si="62"/>
        <v>0</v>
      </c>
      <c r="X89" s="937">
        <f t="shared" si="63"/>
        <v>0</v>
      </c>
      <c r="Y89" s="937">
        <f t="shared" si="64"/>
        <v>0</v>
      </c>
      <c r="Z89" s="922">
        <f t="shared" si="68"/>
        <v>38.07</v>
      </c>
      <c r="AA89" s="922"/>
      <c r="AB89" s="1998" t="s">
        <v>2122</v>
      </c>
      <c r="AC89" s="634">
        <f>2*(1.2+1.2)</f>
        <v>4.8</v>
      </c>
      <c r="AD89" s="615">
        <f t="shared" ref="AD89:AD99" si="71">AC89*(IF(S89&gt;0,150,IF(T89&gt;0,200,IF(U89&gt;0,250,IF(V89&gt;0,300,IF(W89&gt;0,350,IF(X89&gt;0,400,IF(Y89&gt;0,450))))))))/1000</f>
        <v>0.72</v>
      </c>
      <c r="AE89" s="952"/>
      <c r="AF89" s="952"/>
    </row>
    <row r="90" spans="1:32">
      <c r="A90" s="1997">
        <v>15</v>
      </c>
      <c r="B90" s="663">
        <v>150</v>
      </c>
      <c r="C90" s="941">
        <v>10650</v>
      </c>
      <c r="D90" s="940">
        <v>3500</v>
      </c>
      <c r="E90" s="954"/>
      <c r="F90" s="922"/>
      <c r="G90" s="939"/>
      <c r="H90" s="924"/>
      <c r="I90" s="920"/>
      <c r="J90" s="939"/>
      <c r="K90" s="924"/>
      <c r="L90" s="939"/>
      <c r="M90" s="924"/>
      <c r="N90" s="939"/>
      <c r="O90" s="924">
        <f t="shared" si="70"/>
        <v>1.44</v>
      </c>
      <c r="P90" s="939" t="s">
        <v>2122</v>
      </c>
      <c r="Q90" s="938">
        <f t="shared" ref="Q90:Q91" si="72">C90*D90/1000000-O90</f>
        <v>35.835000000000001</v>
      </c>
      <c r="R90" s="938"/>
      <c r="S90" s="938">
        <f t="shared" si="58"/>
        <v>35.835000000000001</v>
      </c>
      <c r="T90" s="937">
        <f t="shared" si="59"/>
        <v>0</v>
      </c>
      <c r="U90" s="938">
        <f t="shared" si="60"/>
        <v>0</v>
      </c>
      <c r="V90" s="938">
        <f t="shared" si="61"/>
        <v>0</v>
      </c>
      <c r="W90" s="937">
        <f t="shared" si="62"/>
        <v>0</v>
      </c>
      <c r="X90" s="937">
        <f t="shared" si="63"/>
        <v>0</v>
      </c>
      <c r="Y90" s="937">
        <f t="shared" si="64"/>
        <v>0</v>
      </c>
      <c r="Z90" s="922">
        <f>SUM(S90:Y90)*2</f>
        <v>71.67</v>
      </c>
      <c r="AA90" s="922"/>
      <c r="AB90" s="1998" t="s">
        <v>2122</v>
      </c>
      <c r="AC90" s="634">
        <f>2*(1.2+1.2)</f>
        <v>4.8</v>
      </c>
      <c r="AD90" s="615">
        <f t="shared" si="71"/>
        <v>0.72</v>
      </c>
      <c r="AE90" s="952"/>
      <c r="AF90" s="952"/>
    </row>
    <row r="91" spans="1:32">
      <c r="A91" s="2019">
        <v>16</v>
      </c>
      <c r="B91" s="663"/>
      <c r="C91" s="941">
        <v>1100</v>
      </c>
      <c r="D91" s="940">
        <v>3500</v>
      </c>
      <c r="E91" s="954"/>
      <c r="F91" s="922"/>
      <c r="G91" s="939"/>
      <c r="H91" s="924"/>
      <c r="I91" s="920"/>
      <c r="J91" s="939"/>
      <c r="K91" s="924"/>
      <c r="L91" s="939"/>
      <c r="M91" s="924"/>
      <c r="N91" s="939"/>
      <c r="O91" s="924"/>
      <c r="P91" s="939"/>
      <c r="Q91" s="938">
        <f t="shared" si="72"/>
        <v>3.85</v>
      </c>
      <c r="R91" s="938"/>
      <c r="S91" s="938">
        <f t="shared" si="58"/>
        <v>0</v>
      </c>
      <c r="T91" s="937">
        <f t="shared" si="59"/>
        <v>0</v>
      </c>
      <c r="U91" s="938">
        <f t="shared" si="60"/>
        <v>0</v>
      </c>
      <c r="V91" s="938">
        <f t="shared" si="61"/>
        <v>0</v>
      </c>
      <c r="W91" s="937">
        <f t="shared" si="62"/>
        <v>0</v>
      </c>
      <c r="X91" s="937">
        <f t="shared" si="63"/>
        <v>0</v>
      </c>
      <c r="Y91" s="937">
        <f t="shared" si="64"/>
        <v>0</v>
      </c>
      <c r="Z91" s="922">
        <f t="shared" ref="Z91:Z99" si="73">SUM(S91:Y91)*2</f>
        <v>0</v>
      </c>
      <c r="AA91" s="922"/>
      <c r="AD91" s="615">
        <f t="shared" si="71"/>
        <v>0</v>
      </c>
      <c r="AE91" s="952"/>
      <c r="AF91" s="952"/>
    </row>
    <row r="92" spans="1:32">
      <c r="A92" s="2019">
        <v>17</v>
      </c>
      <c r="B92" s="663"/>
      <c r="C92" s="941">
        <v>1100</v>
      </c>
      <c r="D92" s="940">
        <v>3500</v>
      </c>
      <c r="E92" s="954"/>
      <c r="F92" s="922"/>
      <c r="G92" s="939"/>
      <c r="H92" s="924"/>
      <c r="I92" s="920"/>
      <c r="J92" s="939"/>
      <c r="K92" s="924"/>
      <c r="L92" s="939"/>
      <c r="M92" s="924"/>
      <c r="N92" s="939"/>
      <c r="O92" s="924"/>
      <c r="P92" s="939"/>
      <c r="Q92" s="938">
        <f>C92*D92/1000000-O92</f>
        <v>3.85</v>
      </c>
      <c r="R92" s="938"/>
      <c r="S92" s="938">
        <f t="shared" si="58"/>
        <v>0</v>
      </c>
      <c r="T92" s="937">
        <f t="shared" si="59"/>
        <v>0</v>
      </c>
      <c r="U92" s="938">
        <f t="shared" si="60"/>
        <v>0</v>
      </c>
      <c r="V92" s="938">
        <f t="shared" si="61"/>
        <v>0</v>
      </c>
      <c r="W92" s="937">
        <f t="shared" si="62"/>
        <v>0</v>
      </c>
      <c r="X92" s="937">
        <f t="shared" si="63"/>
        <v>0</v>
      </c>
      <c r="Y92" s="937">
        <f t="shared" si="64"/>
        <v>0</v>
      </c>
      <c r="Z92" s="922">
        <f t="shared" si="73"/>
        <v>0</v>
      </c>
      <c r="AA92" s="922"/>
      <c r="AD92" s="615">
        <f t="shared" si="71"/>
        <v>0</v>
      </c>
      <c r="AE92" s="952"/>
      <c r="AF92" s="952"/>
    </row>
    <row r="93" spans="1:32">
      <c r="A93" s="2019">
        <v>18</v>
      </c>
      <c r="B93" s="663"/>
      <c r="C93" s="941">
        <v>1100</v>
      </c>
      <c r="D93" s="940">
        <v>3500</v>
      </c>
      <c r="E93" s="954"/>
      <c r="F93" s="922"/>
      <c r="G93" s="939"/>
      <c r="H93" s="924"/>
      <c r="I93" s="920"/>
      <c r="J93" s="939"/>
      <c r="K93" s="924"/>
      <c r="L93" s="939"/>
      <c r="M93" s="924"/>
      <c r="N93" s="939"/>
      <c r="O93" s="924"/>
      <c r="P93" s="939"/>
      <c r="Q93" s="938">
        <f t="shared" ref="Q93:Q99" si="74">C93*D93/1000000-O93</f>
        <v>3.85</v>
      </c>
      <c r="R93" s="938"/>
      <c r="S93" s="938">
        <f t="shared" si="58"/>
        <v>0</v>
      </c>
      <c r="T93" s="937">
        <f t="shared" si="59"/>
        <v>0</v>
      </c>
      <c r="U93" s="938">
        <f t="shared" si="60"/>
        <v>0</v>
      </c>
      <c r="V93" s="938">
        <f t="shared" si="61"/>
        <v>0</v>
      </c>
      <c r="W93" s="937">
        <f t="shared" si="62"/>
        <v>0</v>
      </c>
      <c r="X93" s="937">
        <f t="shared" si="63"/>
        <v>0</v>
      </c>
      <c r="Y93" s="937">
        <f t="shared" si="64"/>
        <v>0</v>
      </c>
      <c r="Z93" s="922">
        <f t="shared" si="73"/>
        <v>0</v>
      </c>
      <c r="AA93" s="922"/>
      <c r="AD93" s="615">
        <f t="shared" si="71"/>
        <v>0</v>
      </c>
      <c r="AE93" s="952"/>
      <c r="AF93" s="952"/>
    </row>
    <row r="94" spans="1:32">
      <c r="A94" s="2019">
        <v>19</v>
      </c>
      <c r="B94" s="663"/>
      <c r="C94" s="941">
        <v>1100</v>
      </c>
      <c r="D94" s="940">
        <v>3500</v>
      </c>
      <c r="E94" s="954"/>
      <c r="F94" s="922"/>
      <c r="G94" s="939"/>
      <c r="H94" s="924"/>
      <c r="I94" s="920"/>
      <c r="J94" s="939"/>
      <c r="K94" s="924"/>
      <c r="L94" s="939"/>
      <c r="M94" s="924"/>
      <c r="N94" s="939"/>
      <c r="O94" s="924"/>
      <c r="P94" s="939"/>
      <c r="Q94" s="938">
        <f t="shared" si="74"/>
        <v>3.85</v>
      </c>
      <c r="R94" s="938"/>
      <c r="S94" s="938">
        <f t="shared" si="58"/>
        <v>0</v>
      </c>
      <c r="T94" s="937">
        <f t="shared" si="59"/>
        <v>0</v>
      </c>
      <c r="U94" s="938">
        <f t="shared" si="60"/>
        <v>0</v>
      </c>
      <c r="V94" s="938">
        <f t="shared" si="61"/>
        <v>0</v>
      </c>
      <c r="W94" s="937">
        <f t="shared" si="62"/>
        <v>0</v>
      </c>
      <c r="X94" s="937">
        <f t="shared" si="63"/>
        <v>0</v>
      </c>
      <c r="Y94" s="937">
        <f t="shared" si="64"/>
        <v>0</v>
      </c>
      <c r="Z94" s="922">
        <f t="shared" si="73"/>
        <v>0</v>
      </c>
      <c r="AA94" s="922"/>
      <c r="AD94" s="615">
        <f t="shared" si="71"/>
        <v>0</v>
      </c>
      <c r="AE94" s="952"/>
      <c r="AF94" s="952"/>
    </row>
    <row r="95" spans="1:32">
      <c r="A95" s="2019">
        <v>20</v>
      </c>
      <c r="B95" s="663"/>
      <c r="C95" s="941">
        <v>1100</v>
      </c>
      <c r="D95" s="940">
        <v>3500</v>
      </c>
      <c r="E95" s="954"/>
      <c r="F95" s="922"/>
      <c r="G95" s="939"/>
      <c r="H95" s="924"/>
      <c r="I95" s="920"/>
      <c r="J95" s="939"/>
      <c r="K95" s="924"/>
      <c r="L95" s="939"/>
      <c r="M95" s="924"/>
      <c r="N95" s="939"/>
      <c r="O95" s="924"/>
      <c r="P95" s="939"/>
      <c r="Q95" s="938">
        <f t="shared" si="74"/>
        <v>3.85</v>
      </c>
      <c r="R95" s="938"/>
      <c r="S95" s="938">
        <f t="shared" si="58"/>
        <v>0</v>
      </c>
      <c r="T95" s="937">
        <f t="shared" si="59"/>
        <v>0</v>
      </c>
      <c r="U95" s="938">
        <f t="shared" si="60"/>
        <v>0</v>
      </c>
      <c r="V95" s="938">
        <f t="shared" si="61"/>
        <v>0</v>
      </c>
      <c r="W95" s="937">
        <f t="shared" si="62"/>
        <v>0</v>
      </c>
      <c r="X95" s="937">
        <f t="shared" si="63"/>
        <v>0</v>
      </c>
      <c r="Y95" s="937">
        <f t="shared" si="64"/>
        <v>0</v>
      </c>
      <c r="Z95" s="922">
        <f t="shared" si="73"/>
        <v>0</v>
      </c>
      <c r="AA95" s="922"/>
      <c r="AD95" s="615">
        <f t="shared" si="71"/>
        <v>0</v>
      </c>
      <c r="AE95" s="952"/>
      <c r="AF95" s="952"/>
    </row>
    <row r="96" spans="1:32">
      <c r="A96" s="2019">
        <v>21</v>
      </c>
      <c r="B96" s="663"/>
      <c r="C96" s="941">
        <v>1100</v>
      </c>
      <c r="D96" s="940">
        <v>3500</v>
      </c>
      <c r="E96" s="954"/>
      <c r="F96" s="922"/>
      <c r="G96" s="939"/>
      <c r="H96" s="924"/>
      <c r="I96" s="920"/>
      <c r="J96" s="939"/>
      <c r="K96" s="924"/>
      <c r="L96" s="939"/>
      <c r="M96" s="924"/>
      <c r="N96" s="939"/>
      <c r="O96" s="924"/>
      <c r="P96" s="939"/>
      <c r="Q96" s="938">
        <f t="shared" si="74"/>
        <v>3.85</v>
      </c>
      <c r="R96" s="938"/>
      <c r="S96" s="938">
        <f t="shared" si="58"/>
        <v>0</v>
      </c>
      <c r="T96" s="937">
        <f t="shared" si="59"/>
        <v>0</v>
      </c>
      <c r="U96" s="938">
        <f t="shared" si="60"/>
        <v>0</v>
      </c>
      <c r="V96" s="938">
        <f t="shared" si="61"/>
        <v>0</v>
      </c>
      <c r="W96" s="937">
        <f t="shared" si="62"/>
        <v>0</v>
      </c>
      <c r="X96" s="937">
        <f t="shared" si="63"/>
        <v>0</v>
      </c>
      <c r="Y96" s="937">
        <f t="shared" si="64"/>
        <v>0</v>
      </c>
      <c r="Z96" s="922">
        <f t="shared" si="73"/>
        <v>0</v>
      </c>
      <c r="AA96" s="922"/>
      <c r="AD96" s="615">
        <f t="shared" si="71"/>
        <v>0</v>
      </c>
      <c r="AE96" s="952"/>
      <c r="AF96" s="952"/>
    </row>
    <row r="97" spans="1:32">
      <c r="A97" s="2019">
        <v>22</v>
      </c>
      <c r="B97" s="663"/>
      <c r="C97" s="941">
        <v>1100</v>
      </c>
      <c r="D97" s="940">
        <v>3500</v>
      </c>
      <c r="E97" s="954"/>
      <c r="F97" s="922"/>
      <c r="G97" s="939"/>
      <c r="H97" s="924"/>
      <c r="I97" s="920"/>
      <c r="J97" s="939"/>
      <c r="K97" s="924"/>
      <c r="L97" s="939"/>
      <c r="M97" s="924"/>
      <c r="N97" s="939"/>
      <c r="O97" s="924"/>
      <c r="P97" s="939"/>
      <c r="Q97" s="938">
        <f t="shared" si="74"/>
        <v>3.85</v>
      </c>
      <c r="R97" s="938"/>
      <c r="S97" s="938">
        <f t="shared" si="58"/>
        <v>0</v>
      </c>
      <c r="T97" s="937">
        <f t="shared" si="59"/>
        <v>0</v>
      </c>
      <c r="U97" s="938">
        <f t="shared" si="60"/>
        <v>0</v>
      </c>
      <c r="V97" s="938">
        <f t="shared" si="61"/>
        <v>0</v>
      </c>
      <c r="W97" s="937">
        <f t="shared" si="62"/>
        <v>0</v>
      </c>
      <c r="X97" s="937">
        <f t="shared" si="63"/>
        <v>0</v>
      </c>
      <c r="Y97" s="937">
        <f t="shared" si="64"/>
        <v>0</v>
      </c>
      <c r="Z97" s="922">
        <f t="shared" si="73"/>
        <v>0</v>
      </c>
      <c r="AA97" s="922"/>
      <c r="AD97" s="615">
        <f t="shared" si="71"/>
        <v>0</v>
      </c>
      <c r="AE97" s="952"/>
      <c r="AF97" s="952"/>
    </row>
    <row r="98" spans="1:32">
      <c r="A98" s="2019">
        <v>23</v>
      </c>
      <c r="B98" s="663"/>
      <c r="C98" s="941">
        <v>1100</v>
      </c>
      <c r="D98" s="940">
        <v>3500</v>
      </c>
      <c r="E98" s="954"/>
      <c r="F98" s="922"/>
      <c r="G98" s="939"/>
      <c r="H98" s="924"/>
      <c r="I98" s="920"/>
      <c r="J98" s="939"/>
      <c r="K98" s="924"/>
      <c r="L98" s="939"/>
      <c r="M98" s="924"/>
      <c r="N98" s="939"/>
      <c r="O98" s="924"/>
      <c r="P98" s="939"/>
      <c r="Q98" s="938">
        <f t="shared" si="74"/>
        <v>3.85</v>
      </c>
      <c r="R98" s="938"/>
      <c r="S98" s="938">
        <f t="shared" si="58"/>
        <v>0</v>
      </c>
      <c r="T98" s="937">
        <f t="shared" si="59"/>
        <v>0</v>
      </c>
      <c r="U98" s="938">
        <f t="shared" si="60"/>
        <v>0</v>
      </c>
      <c r="V98" s="938">
        <f t="shared" si="61"/>
        <v>0</v>
      </c>
      <c r="W98" s="937">
        <f t="shared" si="62"/>
        <v>0</v>
      </c>
      <c r="X98" s="937">
        <f t="shared" si="63"/>
        <v>0</v>
      </c>
      <c r="Y98" s="937">
        <f t="shared" si="64"/>
        <v>0</v>
      </c>
      <c r="Z98" s="922">
        <f t="shared" si="73"/>
        <v>0</v>
      </c>
      <c r="AA98" s="922"/>
      <c r="AD98" s="615">
        <f t="shared" si="71"/>
        <v>0</v>
      </c>
      <c r="AE98" s="952"/>
      <c r="AF98" s="952"/>
    </row>
    <row r="99" spans="1:32">
      <c r="A99" s="2019">
        <v>24</v>
      </c>
      <c r="B99" s="663"/>
      <c r="C99" s="941">
        <v>1100</v>
      </c>
      <c r="D99" s="940">
        <v>3500</v>
      </c>
      <c r="E99" s="953"/>
      <c r="F99" s="915"/>
      <c r="G99" s="947"/>
      <c r="H99" s="917"/>
      <c r="I99" s="914"/>
      <c r="J99" s="947"/>
      <c r="K99" s="917"/>
      <c r="L99" s="947"/>
      <c r="M99" s="917"/>
      <c r="N99" s="947"/>
      <c r="O99" s="924"/>
      <c r="P99" s="947"/>
      <c r="Q99" s="938">
        <f t="shared" si="74"/>
        <v>3.85</v>
      </c>
      <c r="R99" s="938"/>
      <c r="S99" s="938">
        <f t="shared" si="58"/>
        <v>0</v>
      </c>
      <c r="T99" s="937">
        <f t="shared" si="59"/>
        <v>0</v>
      </c>
      <c r="U99" s="938">
        <f t="shared" si="60"/>
        <v>0</v>
      </c>
      <c r="V99" s="938">
        <f t="shared" si="61"/>
        <v>0</v>
      </c>
      <c r="W99" s="937">
        <f t="shared" si="62"/>
        <v>0</v>
      </c>
      <c r="X99" s="937">
        <f t="shared" si="63"/>
        <v>0</v>
      </c>
      <c r="Y99" s="937">
        <f t="shared" si="64"/>
        <v>0</v>
      </c>
      <c r="Z99" s="922">
        <f t="shared" si="73"/>
        <v>0</v>
      </c>
      <c r="AA99" s="922"/>
      <c r="AD99" s="615">
        <f t="shared" si="71"/>
        <v>0</v>
      </c>
      <c r="AE99" s="952"/>
      <c r="AF99" s="952"/>
    </row>
    <row r="100" spans="1:32">
      <c r="A100" s="2019">
        <v>25</v>
      </c>
      <c r="B100" s="663"/>
      <c r="C100" s="949">
        <v>1100</v>
      </c>
      <c r="D100" s="940">
        <v>3500</v>
      </c>
      <c r="E100" s="953"/>
      <c r="F100" s="915"/>
      <c r="G100" s="947"/>
      <c r="H100" s="917"/>
      <c r="I100" s="914"/>
      <c r="J100" s="947"/>
      <c r="K100" s="917"/>
      <c r="L100" s="947"/>
      <c r="M100" s="917"/>
      <c r="N100" s="947"/>
      <c r="O100" s="924"/>
      <c r="P100" s="947"/>
      <c r="Q100" s="938">
        <f t="shared" ref="Q100" si="75">C100*D100/1000000-O100</f>
        <v>3.85</v>
      </c>
      <c r="R100" s="938"/>
      <c r="S100" s="938">
        <f t="shared" si="58"/>
        <v>0</v>
      </c>
      <c r="T100" s="937">
        <f t="shared" si="59"/>
        <v>0</v>
      </c>
      <c r="U100" s="938">
        <f t="shared" si="60"/>
        <v>0</v>
      </c>
      <c r="V100" s="938">
        <f t="shared" si="61"/>
        <v>0</v>
      </c>
      <c r="W100" s="937">
        <f t="shared" si="62"/>
        <v>0</v>
      </c>
      <c r="X100" s="937">
        <f t="shared" si="63"/>
        <v>0</v>
      </c>
      <c r="Y100" s="937">
        <f t="shared" si="64"/>
        <v>0</v>
      </c>
      <c r="Z100" s="922">
        <f t="shared" ref="Z100" si="76">SUM(S100:Y100)*2</f>
        <v>0</v>
      </c>
      <c r="AA100" s="922"/>
      <c r="AD100" s="615">
        <f t="shared" ref="AD100" si="77">AC100*(IF(S100&gt;0,150,IF(T100&gt;0,200,IF(U100&gt;0,250,IF(V100&gt;0,300,IF(W100&gt;0,350,IF(X100&gt;0,400,IF(Y100&gt;0,450))))))))/1000</f>
        <v>0</v>
      </c>
      <c r="AE100" s="952"/>
      <c r="AF100" s="952"/>
    </row>
    <row r="101" spans="1:32">
      <c r="A101" s="658">
        <v>26</v>
      </c>
      <c r="B101" s="663">
        <v>150</v>
      </c>
      <c r="C101" s="949">
        <v>10580</v>
      </c>
      <c r="D101" s="2157">
        <v>2000</v>
      </c>
      <c r="E101" s="953"/>
      <c r="F101" s="915"/>
      <c r="G101" s="947"/>
      <c r="H101" s="917"/>
      <c r="I101" s="914"/>
      <c r="J101" s="947"/>
      <c r="K101" s="917"/>
      <c r="L101" s="947"/>
      <c r="M101" s="917"/>
      <c r="N101" s="947"/>
      <c r="O101" s="924"/>
      <c r="P101" s="947"/>
      <c r="Q101" s="938">
        <f t="shared" ref="Q101" si="78">C101*D101/1000000-O101</f>
        <v>21.16</v>
      </c>
      <c r="R101" s="938"/>
      <c r="S101" s="938">
        <f t="shared" si="58"/>
        <v>21.16</v>
      </c>
      <c r="T101" s="937">
        <f t="shared" si="59"/>
        <v>0</v>
      </c>
      <c r="U101" s="938">
        <f t="shared" si="60"/>
        <v>0</v>
      </c>
      <c r="V101" s="938">
        <f t="shared" si="61"/>
        <v>0</v>
      </c>
      <c r="W101" s="937">
        <f t="shared" si="62"/>
        <v>0</v>
      </c>
      <c r="X101" s="937">
        <f t="shared" si="63"/>
        <v>0</v>
      </c>
      <c r="Y101" s="937">
        <f t="shared" si="64"/>
        <v>0</v>
      </c>
      <c r="Z101" s="922">
        <f t="shared" ref="Z101" si="79">SUM(S101:Y101)*2</f>
        <v>42.32</v>
      </c>
      <c r="AA101" s="922"/>
      <c r="AD101" s="615">
        <f t="shared" ref="AD101" si="80">AC101*(IF(S101&gt;0,150,IF(T101&gt;0,200,IF(U101&gt;0,250,IF(V101&gt;0,300,IF(W101&gt;0,350,IF(X101&gt;0,400,IF(Y101&gt;0,450))))))))/1000</f>
        <v>0</v>
      </c>
      <c r="AE101" s="952"/>
      <c r="AF101" s="952"/>
    </row>
    <row r="102" spans="1:32">
      <c r="A102" s="658">
        <v>27</v>
      </c>
      <c r="B102" s="663">
        <v>150</v>
      </c>
      <c r="C102" s="949">
        <v>5275</v>
      </c>
      <c r="D102" s="2157">
        <v>2000</v>
      </c>
      <c r="E102" s="953"/>
      <c r="F102" s="915"/>
      <c r="G102" s="947"/>
      <c r="H102" s="917"/>
      <c r="I102" s="914"/>
      <c r="J102" s="947"/>
      <c r="K102" s="917"/>
      <c r="L102" s="947"/>
      <c r="M102" s="917"/>
      <c r="N102" s="947"/>
      <c r="O102" s="924"/>
      <c r="P102" s="947"/>
      <c r="Q102" s="938">
        <f t="shared" ref="Q102" si="81">C102*D102/1000000-O102</f>
        <v>10.55</v>
      </c>
      <c r="R102" s="938"/>
      <c r="S102" s="938">
        <f t="shared" si="58"/>
        <v>10.55</v>
      </c>
      <c r="T102" s="937">
        <f t="shared" si="59"/>
        <v>0</v>
      </c>
      <c r="U102" s="938">
        <f t="shared" si="60"/>
        <v>0</v>
      </c>
      <c r="V102" s="938">
        <f t="shared" si="61"/>
        <v>0</v>
      </c>
      <c r="W102" s="937">
        <f t="shared" si="62"/>
        <v>0</v>
      </c>
      <c r="X102" s="937">
        <f t="shared" si="63"/>
        <v>0</v>
      </c>
      <c r="Y102" s="937">
        <f t="shared" si="64"/>
        <v>0</v>
      </c>
      <c r="Z102" s="922">
        <f t="shared" ref="Z102" si="82">SUM(S102:Y102)*2</f>
        <v>21.1</v>
      </c>
      <c r="AA102" s="922"/>
      <c r="AD102" s="615">
        <f t="shared" ref="AD102" si="83">AC102*(IF(S102&gt;0,150,IF(T102&gt;0,200,IF(U102&gt;0,250,IF(V102&gt;0,300,IF(W102&gt;0,350,IF(X102&gt;0,400,IF(Y102&gt;0,450))))))))/1000</f>
        <v>0</v>
      </c>
      <c r="AE102" s="952"/>
      <c r="AF102" s="952"/>
    </row>
    <row r="103" spans="1:32">
      <c r="A103" s="658">
        <v>28</v>
      </c>
      <c r="B103" s="663">
        <v>150</v>
      </c>
      <c r="C103" s="949">
        <v>6725</v>
      </c>
      <c r="D103" s="940">
        <v>0</v>
      </c>
      <c r="E103" s="953"/>
      <c r="F103" s="915"/>
      <c r="G103" s="947"/>
      <c r="H103" s="917"/>
      <c r="I103" s="914"/>
      <c r="J103" s="947"/>
      <c r="K103" s="917"/>
      <c r="L103" s="947"/>
      <c r="M103" s="917"/>
      <c r="N103" s="947"/>
      <c r="O103" s="924"/>
      <c r="P103" s="947"/>
      <c r="Q103" s="938">
        <f t="shared" ref="Q103" si="84">C103*D103/1000000-O103</f>
        <v>0</v>
      </c>
      <c r="R103" s="938"/>
      <c r="S103" s="938">
        <f t="shared" si="58"/>
        <v>0</v>
      </c>
      <c r="T103" s="937">
        <f t="shared" si="59"/>
        <v>0</v>
      </c>
      <c r="U103" s="938">
        <f t="shared" si="60"/>
        <v>0</v>
      </c>
      <c r="V103" s="938">
        <f t="shared" si="61"/>
        <v>0</v>
      </c>
      <c r="W103" s="937">
        <f t="shared" si="62"/>
        <v>0</v>
      </c>
      <c r="X103" s="937">
        <f t="shared" si="63"/>
        <v>0</v>
      </c>
      <c r="Y103" s="937">
        <f t="shared" si="64"/>
        <v>0</v>
      </c>
      <c r="Z103" s="922">
        <f t="shared" ref="Z103" si="85">SUM(S103:Y103)*2</f>
        <v>0</v>
      </c>
      <c r="AA103" s="922"/>
      <c r="AD103" s="615">
        <f t="shared" ref="AD103" si="86">AC103*(IF(S103&gt;0,150,IF(T103&gt;0,200,IF(U103&gt;0,250,IF(V103&gt;0,300,IF(W103&gt;0,350,IF(X103&gt;0,400,IF(Y103&gt;0,450))))))))/1000</f>
        <v>0</v>
      </c>
      <c r="AE103" s="952"/>
      <c r="AF103" s="952"/>
    </row>
    <row r="104" spans="1:32">
      <c r="A104" s="658"/>
      <c r="B104" s="658"/>
      <c r="C104" s="949"/>
      <c r="D104" s="940"/>
      <c r="E104" s="953"/>
      <c r="F104" s="915"/>
      <c r="G104" s="947"/>
      <c r="H104" s="917"/>
      <c r="I104" s="914"/>
      <c r="J104" s="947"/>
      <c r="K104" s="917"/>
      <c r="L104" s="947"/>
      <c r="M104" s="917"/>
      <c r="N104" s="947"/>
      <c r="O104" s="924"/>
      <c r="P104" s="947"/>
      <c r="Q104" s="938">
        <f>C104*D104/1000000-O104</f>
        <v>0</v>
      </c>
      <c r="R104" s="946"/>
      <c r="S104" s="938">
        <f t="shared" si="58"/>
        <v>0</v>
      </c>
      <c r="T104" s="937">
        <f t="shared" si="59"/>
        <v>0</v>
      </c>
      <c r="U104" s="938">
        <f t="shared" si="60"/>
        <v>0</v>
      </c>
      <c r="V104" s="938">
        <f t="shared" si="61"/>
        <v>0</v>
      </c>
      <c r="W104" s="937">
        <f t="shared" si="62"/>
        <v>0</v>
      </c>
      <c r="X104" s="937">
        <f t="shared" si="63"/>
        <v>0</v>
      </c>
      <c r="Y104" s="937">
        <f t="shared" si="64"/>
        <v>0</v>
      </c>
      <c r="Z104" s="922">
        <f t="shared" si="68"/>
        <v>0</v>
      </c>
      <c r="AA104" s="922"/>
      <c r="AD104" s="615"/>
    </row>
    <row r="105" spans="1:32">
      <c r="A105" s="2126">
        <v>33</v>
      </c>
      <c r="B105" s="2027"/>
      <c r="C105" s="2136">
        <f>8800-8*500</f>
        <v>4800</v>
      </c>
      <c r="D105" s="940">
        <v>3500</v>
      </c>
      <c r="E105" s="2137"/>
      <c r="F105" s="2135"/>
      <c r="G105" s="2138"/>
      <c r="H105" s="2132"/>
      <c r="I105" s="2139"/>
      <c r="J105" s="2138"/>
      <c r="K105" s="2132"/>
      <c r="L105" s="2138"/>
      <c r="M105" s="2132"/>
      <c r="N105" s="2138"/>
      <c r="O105" s="2132"/>
      <c r="P105" s="2138"/>
      <c r="Q105" s="2133">
        <f t="shared" ref="Q105" si="87">C105*D105/1000000-O105</f>
        <v>16.8</v>
      </c>
      <c r="R105" s="2133"/>
      <c r="S105" s="2133">
        <f t="shared" si="58"/>
        <v>0</v>
      </c>
      <c r="T105" s="2134">
        <f t="shared" si="59"/>
        <v>0</v>
      </c>
      <c r="U105" s="2133">
        <f t="shared" si="60"/>
        <v>0</v>
      </c>
      <c r="V105" s="2133">
        <f t="shared" si="61"/>
        <v>0</v>
      </c>
      <c r="W105" s="2134">
        <f t="shared" si="62"/>
        <v>0</v>
      </c>
      <c r="X105" s="2134">
        <f t="shared" si="63"/>
        <v>0</v>
      </c>
      <c r="Y105" s="2134">
        <f t="shared" si="64"/>
        <v>0</v>
      </c>
      <c r="Z105" s="2135">
        <f t="shared" si="68"/>
        <v>0</v>
      </c>
      <c r="AA105" s="2135"/>
      <c r="AD105" s="615">
        <f t="shared" ref="AD105" si="88">AC105*(IF(S105&gt;0,150,IF(T105&gt;0,200,IF(U105&gt;0,250,IF(V105&gt;0,300,IF(W105&gt;0,350,IF(X105&gt;0,400,IF(Y105&gt;0,450))))))))/1000</f>
        <v>0</v>
      </c>
      <c r="AE105" s="952"/>
      <c r="AF105" s="952"/>
    </row>
    <row r="106" spans="1:32">
      <c r="A106" s="2020">
        <v>34</v>
      </c>
      <c r="B106" s="2027">
        <v>150</v>
      </c>
      <c r="C106" s="2127">
        <v>3380</v>
      </c>
      <c r="D106" s="940">
        <v>3500</v>
      </c>
      <c r="E106" s="2128"/>
      <c r="F106" s="2129"/>
      <c r="G106" s="2130"/>
      <c r="H106" s="917"/>
      <c r="I106" s="2131"/>
      <c r="J106" s="2130"/>
      <c r="K106" s="917"/>
      <c r="L106" s="2130"/>
      <c r="M106" s="917"/>
      <c r="N106" s="2130"/>
      <c r="O106" s="2132"/>
      <c r="P106" s="2130"/>
      <c r="Q106" s="2133">
        <f t="shared" ref="Q106" si="89">C106*D106/1000000-O106</f>
        <v>11.83</v>
      </c>
      <c r="R106" s="2133"/>
      <c r="S106" s="2133">
        <f t="shared" si="58"/>
        <v>11.83</v>
      </c>
      <c r="T106" s="2134">
        <f t="shared" si="59"/>
        <v>0</v>
      </c>
      <c r="U106" s="2133">
        <f t="shared" si="60"/>
        <v>0</v>
      </c>
      <c r="V106" s="2133">
        <f t="shared" si="61"/>
        <v>0</v>
      </c>
      <c r="W106" s="2134">
        <f t="shared" si="62"/>
        <v>0</v>
      </c>
      <c r="X106" s="2134">
        <f t="shared" si="63"/>
        <v>0</v>
      </c>
      <c r="Y106" s="2134">
        <f t="shared" si="64"/>
        <v>0</v>
      </c>
      <c r="Z106" s="2135">
        <f t="shared" si="68"/>
        <v>23.66</v>
      </c>
      <c r="AA106" s="2135"/>
      <c r="AD106" s="615">
        <f t="shared" ref="AD106" si="90">AC106*(IF(S106&gt;0,150,IF(T106&gt;0,200,IF(U106&gt;0,250,IF(V106&gt;0,300,IF(W106&gt;0,350,IF(X106&gt;0,400,IF(Y106&gt;0,450))))))))/1000</f>
        <v>0</v>
      </c>
      <c r="AE106" s="952"/>
      <c r="AF106" s="952"/>
    </row>
    <row r="107" spans="1:32">
      <c r="A107" s="658"/>
      <c r="B107" s="658"/>
      <c r="C107" s="1734"/>
      <c r="D107" s="1735"/>
      <c r="E107" s="953"/>
      <c r="F107" s="915"/>
      <c r="G107" s="947"/>
      <c r="H107" s="917"/>
      <c r="I107" s="914"/>
      <c r="J107" s="947"/>
      <c r="K107" s="917"/>
      <c r="L107" s="947"/>
      <c r="M107" s="917"/>
      <c r="N107" s="947"/>
      <c r="O107" s="917"/>
      <c r="P107" s="947"/>
      <c r="Q107" s="938">
        <f>C107*D107/1000000-O107</f>
        <v>0</v>
      </c>
      <c r="R107" s="946"/>
      <c r="S107" s="938">
        <f t="shared" si="58"/>
        <v>0</v>
      </c>
      <c r="T107" s="937">
        <f t="shared" si="59"/>
        <v>0</v>
      </c>
      <c r="U107" s="938">
        <f t="shared" si="60"/>
        <v>0</v>
      </c>
      <c r="V107" s="938">
        <f t="shared" si="61"/>
        <v>0</v>
      </c>
      <c r="W107" s="937">
        <f t="shared" si="62"/>
        <v>0</v>
      </c>
      <c r="X107" s="937">
        <f t="shared" si="63"/>
        <v>0</v>
      </c>
      <c r="Y107" s="937">
        <f t="shared" si="64"/>
        <v>0</v>
      </c>
      <c r="Z107" s="922">
        <f t="shared" si="68"/>
        <v>0</v>
      </c>
      <c r="AA107" s="922"/>
      <c r="AD107" s="615"/>
    </row>
    <row r="108" spans="1:32" ht="15.75" thickBot="1">
      <c r="A108" s="658"/>
      <c r="B108" s="658"/>
      <c r="C108" s="949"/>
      <c r="D108" s="940"/>
      <c r="E108" s="948"/>
      <c r="F108" s="915"/>
      <c r="G108" s="947"/>
      <c r="H108" s="917"/>
      <c r="I108" s="914"/>
      <c r="J108" s="947"/>
      <c r="K108" s="917"/>
      <c r="L108" s="947"/>
      <c r="M108" s="917"/>
      <c r="N108" s="947"/>
      <c r="O108" s="917"/>
      <c r="P108" s="947"/>
      <c r="Q108" s="938">
        <f>C108*D108/1000000-O108</f>
        <v>0</v>
      </c>
      <c r="R108" s="946"/>
      <c r="S108" s="938">
        <f t="shared" si="58"/>
        <v>0</v>
      </c>
      <c r="T108" s="937">
        <f t="shared" si="59"/>
        <v>0</v>
      </c>
      <c r="U108" s="938">
        <f t="shared" si="60"/>
        <v>0</v>
      </c>
      <c r="V108" s="938">
        <f t="shared" si="61"/>
        <v>0</v>
      </c>
      <c r="W108" s="937">
        <f t="shared" si="62"/>
        <v>0</v>
      </c>
      <c r="X108" s="937">
        <f t="shared" si="63"/>
        <v>0</v>
      </c>
      <c r="Y108" s="937">
        <f t="shared" si="64"/>
        <v>0</v>
      </c>
      <c r="Z108" s="922">
        <f t="shared" si="68"/>
        <v>0</v>
      </c>
      <c r="AA108" s="915"/>
      <c r="AD108" s="615"/>
    </row>
    <row r="109" spans="1:32" ht="15.75" thickBot="1">
      <c r="A109" s="2163" t="s">
        <v>367</v>
      </c>
      <c r="B109" s="2271"/>
      <c r="C109" s="2271"/>
      <c r="D109" s="2271"/>
      <c r="E109" s="2164"/>
      <c r="F109" s="910">
        <f>SUM(F76:F108)</f>
        <v>0</v>
      </c>
      <c r="G109" s="2272"/>
      <c r="H109" s="2273"/>
      <c r="I109" s="2273"/>
      <c r="J109" s="2274"/>
      <c r="K109" s="910">
        <f>SUM(K76:K108)</f>
        <v>0</v>
      </c>
      <c r="L109" s="936"/>
      <c r="M109" s="910">
        <f>SUM(M76:M108)</f>
        <v>0</v>
      </c>
      <c r="N109" s="936"/>
      <c r="O109" s="936"/>
      <c r="P109" s="935"/>
      <c r="Q109" s="910">
        <f t="shared" ref="Q109:AA109" si="91">SUM(Q76:Q108)</f>
        <v>352.05300000000028</v>
      </c>
      <c r="R109" s="910">
        <f t="shared" si="91"/>
        <v>0</v>
      </c>
      <c r="S109" s="910">
        <f t="shared" si="91"/>
        <v>280.16800000000001</v>
      </c>
      <c r="T109" s="910">
        <f t="shared" si="91"/>
        <v>16.585000000000001</v>
      </c>
      <c r="U109" s="910">
        <f t="shared" si="91"/>
        <v>0</v>
      </c>
      <c r="V109" s="910">
        <f t="shared" si="91"/>
        <v>0</v>
      </c>
      <c r="W109" s="910">
        <f t="shared" si="91"/>
        <v>0</v>
      </c>
      <c r="X109" s="910">
        <f t="shared" si="91"/>
        <v>0</v>
      </c>
      <c r="Y109" s="910">
        <f t="shared" si="91"/>
        <v>0</v>
      </c>
      <c r="Z109" s="934">
        <f t="shared" si="91"/>
        <v>593.50600000000009</v>
      </c>
      <c r="AA109" s="910">
        <f t="shared" si="91"/>
        <v>0</v>
      </c>
      <c r="AB109" s="2016">
        <f>SUM(R109:Y109)</f>
        <v>296.75299999999999</v>
      </c>
      <c r="AC109" s="632">
        <f>SUM(AC76:AC108)</f>
        <v>76.03</v>
      </c>
      <c r="AD109" s="632">
        <f>SUM(AD76:AD108)</f>
        <v>11.644500000000001</v>
      </c>
    </row>
    <row r="110" spans="1:32" ht="15" customHeight="1">
      <c r="A110" s="638"/>
      <c r="B110" s="638"/>
      <c r="C110" s="945"/>
      <c r="D110" s="945"/>
      <c r="E110" s="919"/>
      <c r="F110" s="919"/>
      <c r="G110" s="919"/>
      <c r="H110" s="919"/>
      <c r="I110" s="919"/>
      <c r="J110" s="919"/>
      <c r="K110" s="919"/>
      <c r="L110" s="919"/>
      <c r="M110" s="919"/>
      <c r="N110" s="919"/>
      <c r="O110" s="919"/>
      <c r="P110" s="919"/>
      <c r="Q110" s="919"/>
      <c r="R110" s="919"/>
      <c r="S110" s="919"/>
      <c r="T110" s="919"/>
      <c r="U110" s="919"/>
      <c r="V110" s="919"/>
      <c r="W110" s="919"/>
      <c r="X110" s="919"/>
      <c r="Y110" s="919"/>
      <c r="Z110" s="919"/>
      <c r="AA110" s="919"/>
      <c r="AD110" s="933">
        <f>AD109/AB109</f>
        <v>3.9239704400629481E-2</v>
      </c>
    </row>
    <row r="111" spans="1:32" ht="15" customHeight="1">
      <c r="A111" s="2277" t="s">
        <v>137</v>
      </c>
      <c r="B111" s="2278"/>
      <c r="C111" s="2281" t="s">
        <v>44</v>
      </c>
      <c r="D111" s="2282" t="s">
        <v>274</v>
      </c>
      <c r="E111" s="2286" t="s">
        <v>385</v>
      </c>
      <c r="F111" s="2288"/>
      <c r="G111" s="2288"/>
      <c r="H111" s="2288"/>
      <c r="I111" s="2288"/>
      <c r="J111" s="2288"/>
      <c r="K111" s="2288"/>
      <c r="L111" s="2288"/>
      <c r="M111" s="2288"/>
      <c r="N111" s="2288"/>
      <c r="O111" s="2288"/>
      <c r="P111" s="2287"/>
      <c r="Q111" s="2275" t="s">
        <v>391</v>
      </c>
      <c r="R111" s="2275" t="s">
        <v>384</v>
      </c>
      <c r="S111" s="2275" t="s">
        <v>366</v>
      </c>
      <c r="T111" s="2275" t="s">
        <v>365</v>
      </c>
      <c r="U111" s="2275" t="s">
        <v>364</v>
      </c>
      <c r="V111" s="2275" t="s">
        <v>363</v>
      </c>
      <c r="W111" s="2275" t="s">
        <v>362</v>
      </c>
      <c r="X111" s="2275" t="s">
        <v>2227</v>
      </c>
      <c r="Y111" s="2275" t="s">
        <v>2106</v>
      </c>
      <c r="Z111" s="2275" t="s">
        <v>361</v>
      </c>
      <c r="AA111" s="2284" t="s">
        <v>383</v>
      </c>
    </row>
    <row r="112" spans="1:32" ht="30">
      <c r="A112" s="2279"/>
      <c r="B112" s="2280"/>
      <c r="C112" s="2244"/>
      <c r="D112" s="2247"/>
      <c r="E112" s="906" t="s">
        <v>382</v>
      </c>
      <c r="F112" s="2286" t="s">
        <v>381</v>
      </c>
      <c r="G112" s="2287"/>
      <c r="H112" s="2286" t="s">
        <v>380</v>
      </c>
      <c r="I112" s="2288"/>
      <c r="J112" s="2287"/>
      <c r="K112" s="2286" t="s">
        <v>379</v>
      </c>
      <c r="L112" s="2287"/>
      <c r="M112" s="2286" t="s">
        <v>378</v>
      </c>
      <c r="N112" s="2287"/>
      <c r="O112" s="904" t="s">
        <v>377</v>
      </c>
      <c r="P112" s="2282" t="s">
        <v>376</v>
      </c>
      <c r="Q112" s="2276"/>
      <c r="R112" s="2276"/>
      <c r="S112" s="2276"/>
      <c r="T112" s="2276"/>
      <c r="U112" s="2276"/>
      <c r="V112" s="2276"/>
      <c r="W112" s="2276"/>
      <c r="X112" s="2276"/>
      <c r="Y112" s="2276"/>
      <c r="Z112" s="2276"/>
      <c r="AA112" s="2285"/>
      <c r="AC112" s="951" t="s">
        <v>359</v>
      </c>
      <c r="AD112" s="907" t="s">
        <v>386</v>
      </c>
    </row>
    <row r="113" spans="1:32" ht="28.5" customHeight="1" thickBot="1">
      <c r="A113" s="905" t="s">
        <v>375</v>
      </c>
      <c r="B113" s="905" t="s">
        <v>374</v>
      </c>
      <c r="C113" s="2245"/>
      <c r="D113" s="2248"/>
      <c r="E113" s="944" t="s">
        <v>49</v>
      </c>
      <c r="F113" s="931" t="s">
        <v>50</v>
      </c>
      <c r="G113" s="943" t="s">
        <v>373</v>
      </c>
      <c r="H113" s="932" t="s">
        <v>372</v>
      </c>
      <c r="I113" s="905" t="s">
        <v>371</v>
      </c>
      <c r="J113" s="943" t="s">
        <v>370</v>
      </c>
      <c r="K113" s="932" t="s">
        <v>50</v>
      </c>
      <c r="L113" s="943" t="s">
        <v>369</v>
      </c>
      <c r="M113" s="932" t="s">
        <v>50</v>
      </c>
      <c r="N113" s="943" t="s">
        <v>368</v>
      </c>
      <c r="O113" s="932" t="s">
        <v>49</v>
      </c>
      <c r="P113" s="2248"/>
      <c r="Q113" s="942" t="s">
        <v>49</v>
      </c>
      <c r="R113" s="942" t="s">
        <v>49</v>
      </c>
      <c r="S113" s="942" t="s">
        <v>49</v>
      </c>
      <c r="T113" s="942" t="s">
        <v>49</v>
      </c>
      <c r="U113" s="942" t="s">
        <v>49</v>
      </c>
      <c r="V113" s="942" t="s">
        <v>49</v>
      </c>
      <c r="W113" s="942" t="s">
        <v>49</v>
      </c>
      <c r="X113" s="942" t="s">
        <v>49</v>
      </c>
      <c r="Y113" s="942" t="s">
        <v>49</v>
      </c>
      <c r="Z113" s="931" t="s">
        <v>49</v>
      </c>
      <c r="AA113" s="931" t="s">
        <v>50</v>
      </c>
    </row>
    <row r="114" spans="1:32">
      <c r="A114" s="658">
        <v>1</v>
      </c>
      <c r="B114" s="663">
        <v>150</v>
      </c>
      <c r="C114" s="941">
        <v>5605</v>
      </c>
      <c r="D114" s="940">
        <v>0</v>
      </c>
      <c r="E114" s="954"/>
      <c r="F114" s="922"/>
      <c r="G114" s="939"/>
      <c r="H114" s="924"/>
      <c r="I114" s="920"/>
      <c r="J114" s="939"/>
      <c r="K114" s="924"/>
      <c r="L114" s="939"/>
      <c r="M114" s="924"/>
      <c r="N114" s="939"/>
      <c r="O114" s="924"/>
      <c r="P114" s="939"/>
      <c r="Q114" s="938">
        <f t="shared" ref="Q114:Q115" si="92">C114*D114/1000000-O114</f>
        <v>0</v>
      </c>
      <c r="R114" s="938"/>
      <c r="S114" s="938">
        <f t="shared" ref="S114:S120" si="93">IF($B114=150,Q114-SUM(E114,G114,J114,L114,N114),0)</f>
        <v>0</v>
      </c>
      <c r="T114" s="937">
        <f t="shared" ref="T114:T120" si="94">IF($B114=200,Q114-SUM(E114,G114,J114,L114,N114),0)</f>
        <v>0</v>
      </c>
      <c r="U114" s="938">
        <f t="shared" ref="U114:U120" si="95">IF($B114=250,Q114-SUM(E114,G114,J114,L114,N114),0)</f>
        <v>0</v>
      </c>
      <c r="V114" s="938">
        <f t="shared" ref="V114:V120" si="96">IF($B114=300,Q114-SUM(E114,G114,J114,L114,N114),0)</f>
        <v>0</v>
      </c>
      <c r="W114" s="937">
        <f t="shared" ref="W114:W120" si="97">IF($B114=350,Q114-SUM(E114,G114,J114,L114,N114),0)</f>
        <v>0</v>
      </c>
      <c r="X114" s="937">
        <f t="shared" ref="X114:X120" si="98">IF($B114=400,Q114-SUM(E114,G114,J114,L114,N114),0)</f>
        <v>0</v>
      </c>
      <c r="Y114" s="937">
        <f t="shared" ref="Y114:Y120" si="99">IF($B114=700,Q114-SUM(E114,G114,J114,L114,N114),0)</f>
        <v>0</v>
      </c>
      <c r="Z114" s="922">
        <f t="shared" ref="Z114:Z116" si="100">SUM(S114:Y114)*2</f>
        <v>0</v>
      </c>
      <c r="AA114" s="922"/>
      <c r="AD114" s="615">
        <f t="shared" ref="AD114:AD117" si="101">AC114*(IF(S114&gt;0,150,IF(T114&gt;0,200,IF(U114&gt;0,250,IF(V114&gt;0,300,IF(W114&gt;0,350,IF(X114&gt;0,400,IF(Y114&gt;0,450))))))))/1000</f>
        <v>0</v>
      </c>
      <c r="AE114" s="952"/>
      <c r="AF114" s="952"/>
    </row>
    <row r="115" spans="1:32">
      <c r="A115" s="658">
        <v>2</v>
      </c>
      <c r="B115" s="663">
        <v>150</v>
      </c>
      <c r="C115" s="941">
        <v>3635</v>
      </c>
      <c r="D115" s="940">
        <v>0</v>
      </c>
      <c r="E115" s="954"/>
      <c r="F115" s="922"/>
      <c r="G115" s="939"/>
      <c r="H115" s="924"/>
      <c r="I115" s="920"/>
      <c r="J115" s="939"/>
      <c r="K115" s="924"/>
      <c r="L115" s="939"/>
      <c r="M115" s="924"/>
      <c r="N115" s="939"/>
      <c r="O115" s="924"/>
      <c r="P115" s="939"/>
      <c r="Q115" s="938">
        <f t="shared" si="92"/>
        <v>0</v>
      </c>
      <c r="R115" s="938"/>
      <c r="S115" s="938">
        <f t="shared" si="93"/>
        <v>0</v>
      </c>
      <c r="T115" s="937">
        <f t="shared" si="94"/>
        <v>0</v>
      </c>
      <c r="U115" s="938">
        <f t="shared" si="95"/>
        <v>0</v>
      </c>
      <c r="V115" s="938">
        <f t="shared" si="96"/>
        <v>0</v>
      </c>
      <c r="W115" s="937">
        <f t="shared" si="97"/>
        <v>0</v>
      </c>
      <c r="X115" s="937">
        <f t="shared" si="98"/>
        <v>0</v>
      </c>
      <c r="Y115" s="937">
        <f t="shared" si="99"/>
        <v>0</v>
      </c>
      <c r="Z115" s="922">
        <f t="shared" si="100"/>
        <v>0</v>
      </c>
      <c r="AA115" s="922"/>
      <c r="AD115" s="615">
        <f t="shared" si="101"/>
        <v>0</v>
      </c>
      <c r="AE115" s="952"/>
      <c r="AF115" s="952"/>
    </row>
    <row r="116" spans="1:32">
      <c r="A116" s="658">
        <v>3</v>
      </c>
      <c r="B116" s="663">
        <v>150</v>
      </c>
      <c r="C116" s="941">
        <v>5605</v>
      </c>
      <c r="D116" s="940">
        <v>0</v>
      </c>
      <c r="E116" s="954"/>
      <c r="F116" s="922"/>
      <c r="G116" s="939"/>
      <c r="H116" s="924"/>
      <c r="I116" s="920"/>
      <c r="J116" s="939"/>
      <c r="K116" s="924"/>
      <c r="L116" s="939"/>
      <c r="M116" s="924"/>
      <c r="N116" s="939"/>
      <c r="O116" s="924"/>
      <c r="P116" s="939"/>
      <c r="Q116" s="938">
        <f>C116*D116/1000000-O116</f>
        <v>0</v>
      </c>
      <c r="R116" s="938"/>
      <c r="S116" s="938">
        <f t="shared" si="93"/>
        <v>0</v>
      </c>
      <c r="T116" s="937">
        <f t="shared" si="94"/>
        <v>0</v>
      </c>
      <c r="U116" s="938">
        <f t="shared" si="95"/>
        <v>0</v>
      </c>
      <c r="V116" s="938">
        <f t="shared" si="96"/>
        <v>0</v>
      </c>
      <c r="W116" s="937">
        <f t="shared" si="97"/>
        <v>0</v>
      </c>
      <c r="X116" s="937">
        <f t="shared" si="98"/>
        <v>0</v>
      </c>
      <c r="Y116" s="937">
        <f t="shared" si="99"/>
        <v>0</v>
      </c>
      <c r="Z116" s="922">
        <f t="shared" si="100"/>
        <v>0</v>
      </c>
      <c r="AA116" s="922"/>
      <c r="AD116" s="615">
        <f t="shared" si="101"/>
        <v>0</v>
      </c>
      <c r="AE116" s="952"/>
      <c r="AF116" s="952"/>
    </row>
    <row r="117" spans="1:32">
      <c r="A117" s="658">
        <v>4</v>
      </c>
      <c r="B117" s="663">
        <v>150</v>
      </c>
      <c r="C117" s="941">
        <v>3635</v>
      </c>
      <c r="D117" s="940">
        <v>0</v>
      </c>
      <c r="E117" s="954"/>
      <c r="F117" s="922"/>
      <c r="G117" s="939"/>
      <c r="H117" s="924"/>
      <c r="I117" s="920"/>
      <c r="J117" s="939"/>
      <c r="K117" s="924"/>
      <c r="L117" s="939"/>
      <c r="M117" s="924"/>
      <c r="N117" s="939"/>
      <c r="O117" s="924"/>
      <c r="P117" s="939"/>
      <c r="Q117" s="938">
        <f t="shared" ref="Q117" si="102">C117*D117/1000000-O117</f>
        <v>0</v>
      </c>
      <c r="R117" s="938"/>
      <c r="S117" s="938">
        <f t="shared" si="93"/>
        <v>0</v>
      </c>
      <c r="T117" s="937">
        <f t="shared" si="94"/>
        <v>0</v>
      </c>
      <c r="U117" s="938">
        <f t="shared" si="95"/>
        <v>0</v>
      </c>
      <c r="V117" s="938">
        <f t="shared" si="96"/>
        <v>0</v>
      </c>
      <c r="W117" s="937">
        <f t="shared" si="97"/>
        <v>0</v>
      </c>
      <c r="X117" s="937">
        <f t="shared" si="98"/>
        <v>0</v>
      </c>
      <c r="Y117" s="937">
        <f t="shared" si="99"/>
        <v>0</v>
      </c>
      <c r="Z117" s="922">
        <f>SUM(S117:Y117)*2</f>
        <v>0</v>
      </c>
      <c r="AA117" s="922"/>
      <c r="AD117" s="615">
        <f t="shared" si="101"/>
        <v>0</v>
      </c>
      <c r="AE117" s="952"/>
      <c r="AF117" s="952"/>
    </row>
    <row r="118" spans="1:32">
      <c r="A118" s="658"/>
      <c r="B118" s="658"/>
      <c r="C118" s="949"/>
      <c r="D118" s="940"/>
      <c r="E118" s="953"/>
      <c r="F118" s="915"/>
      <c r="G118" s="947"/>
      <c r="H118" s="917"/>
      <c r="I118" s="914"/>
      <c r="J118" s="947"/>
      <c r="K118" s="917"/>
      <c r="L118" s="947"/>
      <c r="M118" s="917"/>
      <c r="N118" s="947"/>
      <c r="O118" s="924"/>
      <c r="P118" s="947"/>
      <c r="Q118" s="938">
        <f>C118*D118/1000000-O118</f>
        <v>0</v>
      </c>
      <c r="R118" s="946"/>
      <c r="S118" s="938">
        <f t="shared" si="93"/>
        <v>0</v>
      </c>
      <c r="T118" s="937">
        <f t="shared" si="94"/>
        <v>0</v>
      </c>
      <c r="U118" s="938">
        <f t="shared" si="95"/>
        <v>0</v>
      </c>
      <c r="V118" s="938">
        <f t="shared" si="96"/>
        <v>0</v>
      </c>
      <c r="W118" s="937">
        <f t="shared" si="97"/>
        <v>0</v>
      </c>
      <c r="X118" s="937">
        <f t="shared" si="98"/>
        <v>0</v>
      </c>
      <c r="Y118" s="937">
        <f t="shared" si="99"/>
        <v>0</v>
      </c>
      <c r="Z118" s="922">
        <f t="shared" ref="Z118:Z120" si="103">SUM(S118:Y118)*2</f>
        <v>0</v>
      </c>
      <c r="AA118" s="922"/>
      <c r="AD118" s="615"/>
    </row>
    <row r="119" spans="1:32">
      <c r="A119" s="658"/>
      <c r="B119" s="658"/>
      <c r="C119" s="1734"/>
      <c r="D119" s="1735"/>
      <c r="E119" s="953"/>
      <c r="F119" s="915"/>
      <c r="G119" s="947"/>
      <c r="H119" s="917"/>
      <c r="I119" s="914"/>
      <c r="J119" s="947"/>
      <c r="K119" s="917"/>
      <c r="L119" s="947"/>
      <c r="M119" s="917"/>
      <c r="N119" s="947"/>
      <c r="O119" s="917"/>
      <c r="P119" s="947"/>
      <c r="Q119" s="938">
        <f>C119*D119/1000000-O119</f>
        <v>0</v>
      </c>
      <c r="R119" s="946"/>
      <c r="S119" s="938">
        <f t="shared" si="93"/>
        <v>0</v>
      </c>
      <c r="T119" s="937">
        <f t="shared" si="94"/>
        <v>0</v>
      </c>
      <c r="U119" s="938">
        <f t="shared" si="95"/>
        <v>0</v>
      </c>
      <c r="V119" s="938">
        <f t="shared" si="96"/>
        <v>0</v>
      </c>
      <c r="W119" s="937">
        <f t="shared" si="97"/>
        <v>0</v>
      </c>
      <c r="X119" s="937">
        <f t="shared" si="98"/>
        <v>0</v>
      </c>
      <c r="Y119" s="937">
        <f t="shared" si="99"/>
        <v>0</v>
      </c>
      <c r="Z119" s="922">
        <f t="shared" si="103"/>
        <v>0</v>
      </c>
      <c r="AA119" s="922"/>
      <c r="AD119" s="615"/>
    </row>
    <row r="120" spans="1:32" ht="15.75" thickBot="1">
      <c r="A120" s="658"/>
      <c r="B120" s="658"/>
      <c r="C120" s="949"/>
      <c r="D120" s="940"/>
      <c r="E120" s="948"/>
      <c r="F120" s="915"/>
      <c r="G120" s="947"/>
      <c r="H120" s="917"/>
      <c r="I120" s="914"/>
      <c r="J120" s="947"/>
      <c r="K120" s="917"/>
      <c r="L120" s="947"/>
      <c r="M120" s="917"/>
      <c r="N120" s="947"/>
      <c r="O120" s="917"/>
      <c r="P120" s="947"/>
      <c r="Q120" s="938">
        <f>C120*D120/1000000-O120</f>
        <v>0</v>
      </c>
      <c r="R120" s="946"/>
      <c r="S120" s="938">
        <f t="shared" si="93"/>
        <v>0</v>
      </c>
      <c r="T120" s="937">
        <f t="shared" si="94"/>
        <v>0</v>
      </c>
      <c r="U120" s="938">
        <f t="shared" si="95"/>
        <v>0</v>
      </c>
      <c r="V120" s="938">
        <f t="shared" si="96"/>
        <v>0</v>
      </c>
      <c r="W120" s="937">
        <f t="shared" si="97"/>
        <v>0</v>
      </c>
      <c r="X120" s="937">
        <f t="shared" si="98"/>
        <v>0</v>
      </c>
      <c r="Y120" s="937">
        <f t="shared" si="99"/>
        <v>0</v>
      </c>
      <c r="Z120" s="922">
        <f t="shared" si="103"/>
        <v>0</v>
      </c>
      <c r="AA120" s="915"/>
      <c r="AD120" s="615"/>
    </row>
    <row r="121" spans="1:32" ht="15.75" thickBot="1">
      <c r="A121" s="2163" t="s">
        <v>367</v>
      </c>
      <c r="B121" s="2271"/>
      <c r="C121" s="2271"/>
      <c r="D121" s="2271"/>
      <c r="E121" s="2164"/>
      <c r="F121" s="910">
        <f>SUM(F114:F120)</f>
        <v>0</v>
      </c>
      <c r="G121" s="2272"/>
      <c r="H121" s="2273"/>
      <c r="I121" s="2273"/>
      <c r="J121" s="2274"/>
      <c r="K121" s="910">
        <f>SUM(K114:K120)</f>
        <v>0</v>
      </c>
      <c r="L121" s="936"/>
      <c r="M121" s="910">
        <f>SUM(M114:M120)</f>
        <v>0</v>
      </c>
      <c r="N121" s="936"/>
      <c r="O121" s="936"/>
      <c r="P121" s="935"/>
      <c r="Q121" s="910">
        <f t="shared" ref="Q121:AA121" si="104">SUM(Q114:Q120)</f>
        <v>0</v>
      </c>
      <c r="R121" s="910">
        <f t="shared" si="104"/>
        <v>0</v>
      </c>
      <c r="S121" s="910">
        <f t="shared" si="104"/>
        <v>0</v>
      </c>
      <c r="T121" s="910">
        <f t="shared" si="104"/>
        <v>0</v>
      </c>
      <c r="U121" s="910">
        <f t="shared" si="104"/>
        <v>0</v>
      </c>
      <c r="V121" s="910">
        <f t="shared" si="104"/>
        <v>0</v>
      </c>
      <c r="W121" s="910">
        <f t="shared" si="104"/>
        <v>0</v>
      </c>
      <c r="X121" s="910">
        <f t="shared" si="104"/>
        <v>0</v>
      </c>
      <c r="Y121" s="910">
        <f t="shared" si="104"/>
        <v>0</v>
      </c>
      <c r="Z121" s="934">
        <f t="shared" si="104"/>
        <v>0</v>
      </c>
      <c r="AA121" s="910">
        <f t="shared" si="104"/>
        <v>0</v>
      </c>
      <c r="AB121" s="2016">
        <f>SUM(R121:Y121)</f>
        <v>0</v>
      </c>
      <c r="AC121" s="632">
        <f>SUM(AC114:AC120)</f>
        <v>0</v>
      </c>
      <c r="AD121" s="632">
        <f>SUM(AD114:AD120)</f>
        <v>0</v>
      </c>
    </row>
    <row r="122" spans="1:32" ht="15" customHeight="1">
      <c r="A122" s="638"/>
      <c r="B122" s="638"/>
      <c r="C122" s="945"/>
      <c r="D122" s="945"/>
      <c r="E122" s="919"/>
      <c r="F122" s="919"/>
      <c r="G122" s="919"/>
      <c r="H122" s="919"/>
      <c r="I122" s="919"/>
      <c r="J122" s="919"/>
      <c r="K122" s="919"/>
      <c r="L122" s="919"/>
      <c r="M122" s="919"/>
      <c r="N122" s="919"/>
      <c r="O122" s="919"/>
      <c r="P122" s="919"/>
      <c r="Q122" s="919"/>
      <c r="R122" s="919"/>
      <c r="S122" s="919"/>
      <c r="T122" s="919"/>
      <c r="U122" s="919"/>
      <c r="V122" s="919"/>
      <c r="W122" s="919"/>
      <c r="X122" s="919"/>
      <c r="Y122" s="919"/>
      <c r="Z122" s="919"/>
      <c r="AA122" s="919"/>
      <c r="AD122" s="933" t="e">
        <f>AD121/AB121</f>
        <v>#DIV/0!</v>
      </c>
    </row>
    <row r="123" spans="1:32" ht="15" customHeight="1">
      <c r="A123" s="638"/>
      <c r="B123" s="638"/>
      <c r="C123" s="945"/>
      <c r="D123" s="945"/>
      <c r="E123" s="919"/>
      <c r="F123" s="919"/>
      <c r="G123" s="919"/>
      <c r="H123" s="919"/>
      <c r="I123" s="919"/>
      <c r="J123" s="919"/>
      <c r="K123" s="919"/>
      <c r="L123" s="919"/>
      <c r="M123" s="919"/>
      <c r="N123" s="919"/>
      <c r="O123" s="919"/>
      <c r="P123" s="919"/>
      <c r="Q123" s="919"/>
      <c r="R123" s="919"/>
      <c r="S123" s="919"/>
      <c r="T123" s="919"/>
      <c r="U123" s="919"/>
      <c r="V123" s="919"/>
      <c r="W123" s="919"/>
      <c r="X123" s="919"/>
      <c r="Y123" s="919"/>
      <c r="Z123" s="919"/>
      <c r="AA123" s="919"/>
      <c r="AD123" s="933"/>
    </row>
    <row r="124" spans="1:32">
      <c r="A124" s="638"/>
      <c r="B124" s="638"/>
      <c r="C124" s="945"/>
      <c r="D124" s="945"/>
      <c r="E124" s="919"/>
      <c r="F124" s="919"/>
      <c r="G124" s="919"/>
      <c r="H124" s="919"/>
      <c r="I124" s="919"/>
      <c r="J124" s="919"/>
      <c r="K124" s="919"/>
      <c r="L124" s="919"/>
      <c r="M124" s="919"/>
      <c r="N124" s="919"/>
      <c r="O124" s="919"/>
      <c r="P124" s="919"/>
      <c r="Q124" s="919"/>
      <c r="R124" s="919"/>
      <c r="S124" s="919"/>
      <c r="T124" s="919"/>
      <c r="U124" s="919"/>
      <c r="V124" s="919"/>
      <c r="W124" s="919"/>
      <c r="X124" s="919"/>
      <c r="Y124" s="919"/>
      <c r="Z124" s="919"/>
      <c r="AA124" s="919"/>
      <c r="AD124" s="933"/>
    </row>
    <row r="125" spans="1:32">
      <c r="AD125" s="933"/>
    </row>
    <row r="127" spans="1:32" ht="15" customHeight="1">
      <c r="B127" s="614" t="s">
        <v>2108</v>
      </c>
      <c r="C127" s="614" t="s">
        <v>2107</v>
      </c>
      <c r="D127" s="614" t="s">
        <v>2111</v>
      </c>
      <c r="E127" s="614" t="s">
        <v>2110</v>
      </c>
      <c r="F127" s="614" t="s">
        <v>2109</v>
      </c>
      <c r="G127" s="614" t="s">
        <v>2225</v>
      </c>
      <c r="H127" s="614" t="s">
        <v>2365</v>
      </c>
    </row>
    <row r="128" spans="1:32" ht="14.45" customHeight="1">
      <c r="A128" s="2291" t="s">
        <v>263</v>
      </c>
      <c r="B128" s="2231" t="s">
        <v>366</v>
      </c>
      <c r="C128" s="2235" t="s">
        <v>365</v>
      </c>
      <c r="D128" s="2235" t="s">
        <v>364</v>
      </c>
      <c r="E128" s="2235" t="s">
        <v>363</v>
      </c>
      <c r="F128" s="2235" t="s">
        <v>362</v>
      </c>
      <c r="G128" s="2235" t="s">
        <v>2226</v>
      </c>
      <c r="H128" s="2235" t="s">
        <v>2106</v>
      </c>
      <c r="I128" s="2234" t="s">
        <v>361</v>
      </c>
      <c r="K128" s="2229" t="s">
        <v>360</v>
      </c>
      <c r="L128" s="2235" t="s">
        <v>359</v>
      </c>
      <c r="M128" s="2290" t="s">
        <v>358</v>
      </c>
    </row>
    <row r="129" spans="1:13" ht="15.75" thickBot="1">
      <c r="A129" s="2292"/>
      <c r="B129" s="2293"/>
      <c r="C129" s="2260"/>
      <c r="D129" s="2260"/>
      <c r="E129" s="2260"/>
      <c r="F129" s="2260"/>
      <c r="G129" s="2260"/>
      <c r="H129" s="2260"/>
      <c r="I129" s="2289"/>
      <c r="J129" s="638" t="s">
        <v>107</v>
      </c>
      <c r="K129" s="2229"/>
      <c r="L129" s="2260"/>
      <c r="M129" s="2290"/>
    </row>
    <row r="130" spans="1:13">
      <c r="A130" s="930"/>
      <c r="B130" s="929"/>
      <c r="C130" s="926"/>
      <c r="D130" s="926"/>
      <c r="E130" s="926"/>
      <c r="F130" s="926"/>
      <c r="G130" s="926"/>
      <c r="H130" s="928"/>
      <c r="I130" s="927"/>
      <c r="L130" s="926"/>
    </row>
    <row r="131" spans="1:13">
      <c r="A131" s="925" t="s">
        <v>131</v>
      </c>
      <c r="B131" s="924">
        <f t="shared" ref="B131:I131" si="105">SUM(S36)</f>
        <v>148.66999999999999</v>
      </c>
      <c r="C131" s="920">
        <f>SUM(T36)</f>
        <v>294.96000000000004</v>
      </c>
      <c r="D131" s="920">
        <f t="shared" si="105"/>
        <v>0</v>
      </c>
      <c r="E131" s="920">
        <f t="shared" si="105"/>
        <v>0</v>
      </c>
      <c r="F131" s="920">
        <f t="shared" si="105"/>
        <v>0</v>
      </c>
      <c r="G131" s="920">
        <f t="shared" si="105"/>
        <v>11.462499999999999</v>
      </c>
      <c r="H131" s="923">
        <f t="shared" si="105"/>
        <v>188.07749999999999</v>
      </c>
      <c r="I131" s="922">
        <f t="shared" si="105"/>
        <v>1188.2625</v>
      </c>
      <c r="J131" s="615">
        <f>I131-SUM(B131:H131)*2</f>
        <v>-98.077499999999873</v>
      </c>
      <c r="K131" s="921">
        <f>SUM(AA36)</f>
        <v>0</v>
      </c>
      <c r="L131" s="920">
        <f>SUM(AC36)</f>
        <v>100.33999999999999</v>
      </c>
      <c r="M131" s="919">
        <f>SUM(AD36)</f>
        <v>19.474499999999999</v>
      </c>
    </row>
    <row r="132" spans="1:13">
      <c r="A132" s="925" t="s">
        <v>136</v>
      </c>
      <c r="B132" s="924">
        <f>SUM(S71)</f>
        <v>294.87749999999994</v>
      </c>
      <c r="C132" s="924">
        <f t="shared" ref="C132:H132" si="106">SUM(T71)</f>
        <v>195.74599999999998</v>
      </c>
      <c r="D132" s="924">
        <f t="shared" si="106"/>
        <v>0</v>
      </c>
      <c r="E132" s="924">
        <f t="shared" si="106"/>
        <v>0</v>
      </c>
      <c r="F132" s="924">
        <f t="shared" si="106"/>
        <v>0</v>
      </c>
      <c r="G132" s="924">
        <f t="shared" si="106"/>
        <v>0</v>
      </c>
      <c r="H132" s="924">
        <f t="shared" si="106"/>
        <v>108</v>
      </c>
      <c r="I132" s="922">
        <f>SUM(Z71)</f>
        <v>1129.7470000000001</v>
      </c>
      <c r="J132" s="615">
        <f>I132-SUM(B132:H132)*2</f>
        <v>-67.499999999999773</v>
      </c>
      <c r="K132" s="921">
        <f>SUM(AA71)</f>
        <v>0</v>
      </c>
      <c r="L132" s="920">
        <f>SUM(AC71)</f>
        <v>100.35500000000002</v>
      </c>
      <c r="M132" s="919">
        <f>SUM(AD37)</f>
        <v>3.0278930920285461E-2</v>
      </c>
    </row>
    <row r="133" spans="1:13">
      <c r="A133" s="925" t="s">
        <v>219</v>
      </c>
      <c r="B133" s="924">
        <f>SUM(S109)</f>
        <v>280.16800000000001</v>
      </c>
      <c r="C133" s="924">
        <f t="shared" ref="C133:H133" si="107">SUM(T109)</f>
        <v>16.585000000000001</v>
      </c>
      <c r="D133" s="924">
        <f t="shared" si="107"/>
        <v>0</v>
      </c>
      <c r="E133" s="924">
        <f t="shared" si="107"/>
        <v>0</v>
      </c>
      <c r="F133" s="924">
        <f t="shared" si="107"/>
        <v>0</v>
      </c>
      <c r="G133" s="924">
        <f t="shared" si="107"/>
        <v>0</v>
      </c>
      <c r="H133" s="924">
        <f t="shared" si="107"/>
        <v>0</v>
      </c>
      <c r="I133" s="922">
        <f>SUM(Z109)</f>
        <v>593.50600000000009</v>
      </c>
      <c r="J133" s="615">
        <f>I133-SUM(B133:H133)*2</f>
        <v>0</v>
      </c>
      <c r="K133" s="921">
        <f>SUM(AA109)</f>
        <v>0</v>
      </c>
      <c r="L133" s="920">
        <f>SUM(AC109)</f>
        <v>76.03</v>
      </c>
      <c r="M133" s="919">
        <f>SUM(AD38)</f>
        <v>0</v>
      </c>
    </row>
    <row r="134" spans="1:13">
      <c r="A134" s="925" t="s">
        <v>137</v>
      </c>
      <c r="B134" s="924">
        <f>SUM(S121)</f>
        <v>0</v>
      </c>
      <c r="C134" s="924">
        <f t="shared" ref="C134:H134" si="108">SUM(T121)</f>
        <v>0</v>
      </c>
      <c r="D134" s="924">
        <f t="shared" si="108"/>
        <v>0</v>
      </c>
      <c r="E134" s="924">
        <f t="shared" si="108"/>
        <v>0</v>
      </c>
      <c r="F134" s="924">
        <f t="shared" si="108"/>
        <v>0</v>
      </c>
      <c r="G134" s="924">
        <f t="shared" si="108"/>
        <v>0</v>
      </c>
      <c r="H134" s="924">
        <f t="shared" si="108"/>
        <v>0</v>
      </c>
      <c r="I134" s="922">
        <f>SUM(Z121)</f>
        <v>0</v>
      </c>
      <c r="J134" s="615">
        <f>I134-SUM(B134:H134)*2</f>
        <v>0</v>
      </c>
      <c r="K134" s="921">
        <f>SUM(AA121)</f>
        <v>0</v>
      </c>
      <c r="L134" s="920">
        <f>SUM(AC121)</f>
        <v>0</v>
      </c>
      <c r="M134" s="919">
        <f>SUM(AD39)</f>
        <v>0</v>
      </c>
    </row>
    <row r="135" spans="1:13" ht="15.75" thickBot="1">
      <c r="A135" s="918"/>
      <c r="B135" s="917"/>
      <c r="C135" s="914"/>
      <c r="D135" s="914"/>
      <c r="E135" s="914"/>
      <c r="F135" s="914"/>
      <c r="G135" s="914"/>
      <c r="H135" s="916"/>
      <c r="I135" s="915"/>
      <c r="L135" s="914"/>
    </row>
    <row r="136" spans="1:13" ht="15.75" thickBot="1">
      <c r="A136" s="913" t="s">
        <v>103</v>
      </c>
      <c r="B136" s="912">
        <f t="shared" ref="B136:I136" si="109">SUM(B130:B135)</f>
        <v>723.71549999999991</v>
      </c>
      <c r="C136" s="909">
        <f t="shared" si="109"/>
        <v>507.291</v>
      </c>
      <c r="D136" s="909">
        <f t="shared" si="109"/>
        <v>0</v>
      </c>
      <c r="E136" s="909">
        <f t="shared" si="109"/>
        <v>0</v>
      </c>
      <c r="F136" s="909">
        <f t="shared" si="109"/>
        <v>0</v>
      </c>
      <c r="G136" s="909">
        <f t="shared" si="109"/>
        <v>11.462499999999999</v>
      </c>
      <c r="H136" s="911">
        <f t="shared" si="109"/>
        <v>296.07749999999999</v>
      </c>
      <c r="I136" s="910">
        <f t="shared" si="109"/>
        <v>2911.5155000000004</v>
      </c>
      <c r="J136" s="614" t="s">
        <v>357</v>
      </c>
      <c r="K136" s="908">
        <f>SUM(K130:K135)</f>
        <v>0</v>
      </c>
      <c r="L136" s="909">
        <f>SUM(L130:L135)</f>
        <v>276.72500000000002</v>
      </c>
      <c r="M136" s="908">
        <f>SUM(M130:M135)</f>
        <v>19.504778930920285</v>
      </c>
    </row>
    <row r="137" spans="1:13">
      <c r="I137" s="615">
        <f>I136-SUM(Z8:Z124)/2</f>
        <v>0</v>
      </c>
      <c r="J137" s="614" t="s">
        <v>126</v>
      </c>
      <c r="K137" s="615">
        <f>K136/I136</f>
        <v>0</v>
      </c>
    </row>
  </sheetData>
  <mergeCells count="100">
    <mergeCell ref="A121:E121"/>
    <mergeCell ref="G121:J121"/>
    <mergeCell ref="AA111:AA112"/>
    <mergeCell ref="F112:G112"/>
    <mergeCell ref="H112:J112"/>
    <mergeCell ref="K112:L112"/>
    <mergeCell ref="M112:N112"/>
    <mergeCell ref="P112:P113"/>
    <mergeCell ref="V111:V112"/>
    <mergeCell ref="W111:W112"/>
    <mergeCell ref="X111:X112"/>
    <mergeCell ref="Y111:Y112"/>
    <mergeCell ref="Z111:Z112"/>
    <mergeCell ref="Q111:Q112"/>
    <mergeCell ref="R111:R112"/>
    <mergeCell ref="S111:S112"/>
    <mergeCell ref="AA73:AA74"/>
    <mergeCell ref="F74:G74"/>
    <mergeCell ref="H74:J74"/>
    <mergeCell ref="K74:L74"/>
    <mergeCell ref="M74:N74"/>
    <mergeCell ref="P74:P75"/>
    <mergeCell ref="V73:V74"/>
    <mergeCell ref="W73:W74"/>
    <mergeCell ref="X73:X74"/>
    <mergeCell ref="Y73:Y74"/>
    <mergeCell ref="Z73:Z74"/>
    <mergeCell ref="Q73:Q74"/>
    <mergeCell ref="R73:R74"/>
    <mergeCell ref="S73:S74"/>
    <mergeCell ref="T73:T74"/>
    <mergeCell ref="U73:U74"/>
    <mergeCell ref="T111:T112"/>
    <mergeCell ref="U111:U112"/>
    <mergeCell ref="A71:E71"/>
    <mergeCell ref="G71:J71"/>
    <mergeCell ref="A73:B74"/>
    <mergeCell ref="C73:C75"/>
    <mergeCell ref="D73:D75"/>
    <mergeCell ref="E73:P73"/>
    <mergeCell ref="A109:E109"/>
    <mergeCell ref="G109:J109"/>
    <mergeCell ref="A111:B112"/>
    <mergeCell ref="C111:C113"/>
    <mergeCell ref="D111:D113"/>
    <mergeCell ref="E111:P111"/>
    <mergeCell ref="A38:B39"/>
    <mergeCell ref="C38:C40"/>
    <mergeCell ref="D38:D40"/>
    <mergeCell ref="E38:P38"/>
    <mergeCell ref="Q38:Q39"/>
    <mergeCell ref="F39:G39"/>
    <mergeCell ref="H39:J39"/>
    <mergeCell ref="K39:L39"/>
    <mergeCell ref="M39:N39"/>
    <mergeCell ref="P39:P40"/>
    <mergeCell ref="Z38:Z39"/>
    <mergeCell ref="AA38:AA39"/>
    <mergeCell ref="R38:R39"/>
    <mergeCell ref="S38:S39"/>
    <mergeCell ref="T38:T39"/>
    <mergeCell ref="U38:U39"/>
    <mergeCell ref="V38:V39"/>
    <mergeCell ref="W38:W39"/>
    <mergeCell ref="X38:X39"/>
    <mergeCell ref="Y38:Y39"/>
    <mergeCell ref="I128:I129"/>
    <mergeCell ref="K128:K129"/>
    <mergeCell ref="L128:L129"/>
    <mergeCell ref="M128:M129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Z5:Z6"/>
    <mergeCell ref="AA5:AA6"/>
    <mergeCell ref="F6:G6"/>
    <mergeCell ref="H6:J6"/>
    <mergeCell ref="K6:L6"/>
    <mergeCell ref="M6:N6"/>
    <mergeCell ref="P6:P7"/>
    <mergeCell ref="T5:T6"/>
    <mergeCell ref="Q5:Q6"/>
    <mergeCell ref="R5:R6"/>
    <mergeCell ref="U5:U6"/>
    <mergeCell ref="V5:V6"/>
    <mergeCell ref="W5:W6"/>
    <mergeCell ref="X5:X6"/>
    <mergeCell ref="E5:P5"/>
    <mergeCell ref="A36:E36"/>
    <mergeCell ref="G36:J36"/>
    <mergeCell ref="Y5:Y6"/>
    <mergeCell ref="A5:B6"/>
    <mergeCell ref="C5:C7"/>
    <mergeCell ref="D5:D7"/>
    <mergeCell ref="S6:S7"/>
  </mergeCells>
  <phoneticPr fontId="76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49"/>
  <sheetViews>
    <sheetView view="pageBreakPreview" zoomScale="70" zoomScaleNormal="70" zoomScaleSheetLayoutView="70" workbookViewId="0">
      <pane xSplit="4" ySplit="11" topLeftCell="N12" activePane="bottomRight" state="frozen"/>
      <selection activeCell="I124" sqref="I124"/>
      <selection pane="topRight" activeCell="I124" sqref="I124"/>
      <selection pane="bottomLeft" activeCell="I124" sqref="I124"/>
      <selection pane="bottomRight" activeCell="S48" sqref="S48"/>
    </sheetView>
  </sheetViews>
  <sheetFormatPr defaultColWidth="9" defaultRowHeight="14.25"/>
  <cols>
    <col min="1" max="2" width="11.85546875" style="1128" customWidth="1"/>
    <col min="3" max="3" width="10.140625" style="1128" bestFit="1" customWidth="1"/>
    <col min="4" max="4" width="49.28515625" style="1122" bestFit="1" customWidth="1"/>
    <col min="5" max="5" width="23.28515625" style="1122" customWidth="1"/>
    <col min="6" max="6" width="50.28515625" style="1127" customWidth="1"/>
    <col min="7" max="7" width="17" style="1126" bestFit="1" customWidth="1"/>
    <col min="8" max="8" width="13" style="1124" bestFit="1" customWidth="1"/>
    <col min="9" max="9" width="12.28515625" style="1125" bestFit="1" customWidth="1"/>
    <col min="10" max="10" width="9.28515625" style="1125" bestFit="1" customWidth="1"/>
    <col min="11" max="11" width="9.42578125" style="1125" bestFit="1" customWidth="1"/>
    <col min="12" max="12" width="11.140625" style="1124" customWidth="1"/>
    <col min="13" max="13" width="8.85546875" style="1124" customWidth="1"/>
    <col min="14" max="14" width="12" style="1124" customWidth="1"/>
    <col min="15" max="15" width="21.7109375" style="1123" customWidth="1"/>
    <col min="16" max="16" width="14.7109375" style="1122" bestFit="1" customWidth="1"/>
    <col min="17" max="18" width="14.7109375" style="1122" customWidth="1"/>
    <col min="19" max="19" width="13.42578125" style="1122" bestFit="1" customWidth="1"/>
    <col min="20" max="20" width="13.5703125" style="1122" bestFit="1" customWidth="1"/>
    <col min="21" max="21" width="14.7109375" style="1122" bestFit="1" customWidth="1"/>
    <col min="22" max="22" width="9.85546875" style="1122" customWidth="1"/>
    <col min="23" max="23" width="18.85546875" style="1122" bestFit="1" customWidth="1"/>
    <col min="24" max="24" width="17.7109375" style="1122" bestFit="1" customWidth="1"/>
    <col min="25" max="25" width="12.7109375" style="1122" bestFit="1" customWidth="1"/>
    <col min="26" max="16384" width="9" style="1122"/>
  </cols>
  <sheetData>
    <row r="1" spans="1:19" s="1210" customFormat="1" ht="15.75">
      <c r="A1" s="1206"/>
      <c r="B1" s="1206"/>
      <c r="C1" s="1206"/>
      <c r="D1" s="1204"/>
      <c r="E1" s="1204"/>
      <c r="F1" s="1215"/>
      <c r="G1" s="1214"/>
      <c r="H1" s="1212"/>
      <c r="I1" s="1213"/>
      <c r="J1" s="1213"/>
      <c r="K1" s="1213"/>
      <c r="L1" s="1212"/>
      <c r="M1" s="1212"/>
      <c r="N1" s="1212"/>
      <c r="O1" s="1211"/>
      <c r="P1" s="1211"/>
      <c r="Q1" s="1211"/>
      <c r="R1" s="1211"/>
      <c r="S1" s="1211"/>
    </row>
    <row r="2" spans="1:19" ht="15">
      <c r="A2" s="1205" t="s">
        <v>1425</v>
      </c>
      <c r="B2" s="1205"/>
      <c r="C2" s="1205"/>
      <c r="D2" s="1205" t="s">
        <v>2120</v>
      </c>
      <c r="E2" s="1208"/>
      <c r="O2" s="1131"/>
    </row>
    <row r="3" spans="1:19" ht="15">
      <c r="A3" s="1205" t="s">
        <v>1424</v>
      </c>
      <c r="B3" s="1205"/>
      <c r="C3" s="1205"/>
      <c r="D3" s="1205"/>
      <c r="E3" s="1208"/>
      <c r="G3" s="1126">
        <v>6.1650000000000003E-3</v>
      </c>
      <c r="O3" s="1131"/>
    </row>
    <row r="4" spans="1:19" ht="15">
      <c r="A4" s="1205" t="s">
        <v>1423</v>
      </c>
      <c r="B4" s="1205"/>
      <c r="C4" s="1205"/>
      <c r="D4" s="1205" t="s">
        <v>1422</v>
      </c>
      <c r="E4" s="1207"/>
      <c r="O4" s="1131"/>
    </row>
    <row r="5" spans="1:19" ht="15">
      <c r="A5" s="1205" t="s">
        <v>1421</v>
      </c>
      <c r="B5" s="1205"/>
      <c r="C5" s="1205"/>
      <c r="D5" s="1205"/>
      <c r="E5" s="1209"/>
      <c r="O5" s="1131"/>
    </row>
    <row r="6" spans="1:19" ht="15">
      <c r="A6" s="1205" t="s">
        <v>1420</v>
      </c>
      <c r="B6" s="1205" t="s">
        <v>1419</v>
      </c>
      <c r="C6" s="1205"/>
      <c r="D6" s="1205" t="s">
        <v>2104</v>
      </c>
      <c r="E6" s="1208"/>
      <c r="O6" s="1131"/>
    </row>
    <row r="7" spans="1:19" ht="15">
      <c r="A7" s="1205" t="s">
        <v>61</v>
      </c>
      <c r="B7" s="1205" t="s">
        <v>1418</v>
      </c>
      <c r="C7" s="1205"/>
      <c r="D7" s="1205"/>
      <c r="E7" s="1207"/>
      <c r="O7" s="1131"/>
    </row>
    <row r="8" spans="1:19" ht="15.75" thickBot="1">
      <c r="A8" s="1206"/>
      <c r="B8" s="1206" t="s">
        <v>1417</v>
      </c>
      <c r="C8" s="1206"/>
      <c r="D8" s="1205"/>
      <c r="E8" s="1204"/>
      <c r="F8" s="1203"/>
      <c r="G8" s="1202"/>
      <c r="H8" s="1200"/>
      <c r="I8" s="1201"/>
      <c r="J8" s="1201"/>
      <c r="K8" s="1201"/>
      <c r="L8" s="1200"/>
      <c r="M8" s="1200"/>
      <c r="N8" s="1200"/>
      <c r="O8" s="1199"/>
      <c r="P8" s="1198" t="s">
        <v>1416</v>
      </c>
      <c r="Q8" s="1198"/>
      <c r="R8" s="1198"/>
      <c r="S8" s="1197"/>
    </row>
    <row r="9" spans="1:19" ht="15.75" thickTop="1">
      <c r="A9" s="2294" t="s">
        <v>143</v>
      </c>
      <c r="B9" s="2296" t="s">
        <v>263</v>
      </c>
      <c r="C9" s="2296"/>
      <c r="D9" s="2298" t="s">
        <v>1415</v>
      </c>
      <c r="E9" s="2298" t="s">
        <v>1414</v>
      </c>
      <c r="F9" s="2316" t="s">
        <v>1413</v>
      </c>
      <c r="G9" s="1196" t="s">
        <v>1412</v>
      </c>
      <c r="H9" s="2309" t="s">
        <v>1411</v>
      </c>
      <c r="I9" s="2311" t="s">
        <v>294</v>
      </c>
      <c r="J9" s="2312"/>
      <c r="K9" s="2312"/>
      <c r="L9" s="2313" t="s">
        <v>1410</v>
      </c>
      <c r="M9" s="2313" t="s">
        <v>1409</v>
      </c>
      <c r="N9" s="2305" t="s">
        <v>1408</v>
      </c>
      <c r="O9" s="2307" t="s">
        <v>1407</v>
      </c>
      <c r="P9" s="2302" t="s">
        <v>1406</v>
      </c>
      <c r="Q9" s="2303"/>
      <c r="R9" s="2303"/>
      <c r="S9" s="2304"/>
    </row>
    <row r="10" spans="1:19" ht="15.75" thickBot="1">
      <c r="A10" s="2295"/>
      <c r="B10" s="2297"/>
      <c r="C10" s="2297"/>
      <c r="D10" s="2299"/>
      <c r="E10" s="2299"/>
      <c r="F10" s="2317"/>
      <c r="G10" s="1195" t="s">
        <v>1405</v>
      </c>
      <c r="H10" s="2310"/>
      <c r="I10" s="1194" t="s">
        <v>1404</v>
      </c>
      <c r="J10" s="1194" t="s">
        <v>1403</v>
      </c>
      <c r="K10" s="1193" t="s">
        <v>325</v>
      </c>
      <c r="L10" s="2314"/>
      <c r="M10" s="2315"/>
      <c r="N10" s="2306"/>
      <c r="O10" s="2308"/>
      <c r="P10" s="1192" t="s">
        <v>1402</v>
      </c>
      <c r="Q10" s="1192" t="s">
        <v>50</v>
      </c>
      <c r="R10" s="1192" t="s">
        <v>51</v>
      </c>
      <c r="S10" s="1192" t="s">
        <v>1401</v>
      </c>
    </row>
    <row r="11" spans="1:19" ht="15" thickTop="1">
      <c r="A11" s="1191"/>
      <c r="B11" s="1190"/>
      <c r="C11" s="1190"/>
      <c r="D11" s="1174"/>
      <c r="E11" s="1174"/>
      <c r="F11" s="1168"/>
      <c r="G11" s="1189"/>
      <c r="H11" s="1186"/>
      <c r="I11" s="1188"/>
      <c r="J11" s="1188"/>
      <c r="K11" s="1188"/>
      <c r="L11" s="1187"/>
      <c r="M11" s="1186"/>
      <c r="N11" s="1186"/>
      <c r="O11" s="1164"/>
      <c r="P11" s="1163"/>
      <c r="Q11" s="1163"/>
      <c r="R11" s="1163"/>
      <c r="S11" s="1163"/>
    </row>
    <row r="12" spans="1:19" s="1175" customFormat="1" ht="15">
      <c r="A12" s="1185" t="s">
        <v>1397</v>
      </c>
      <c r="B12" s="1184"/>
      <c r="C12" s="1184"/>
      <c r="D12" s="1183"/>
      <c r="E12" s="1182"/>
      <c r="F12" s="1181"/>
      <c r="G12" s="1180"/>
      <c r="H12" s="1178"/>
      <c r="I12" s="1179"/>
      <c r="J12" s="1179"/>
      <c r="K12" s="1179"/>
      <c r="L12" s="1178"/>
      <c r="M12" s="1178"/>
      <c r="N12" s="1178"/>
      <c r="O12" s="1177"/>
      <c r="P12" s="1176"/>
      <c r="Q12" s="1176"/>
      <c r="R12" s="1176"/>
      <c r="S12" s="1176"/>
    </row>
    <row r="13" spans="1:19">
      <c r="A13" s="1173"/>
      <c r="B13" s="1172"/>
      <c r="C13" s="1171"/>
      <c r="D13" s="1174"/>
      <c r="E13" s="1169"/>
      <c r="F13" s="1168"/>
      <c r="G13" s="1167"/>
      <c r="H13" s="1166"/>
      <c r="I13" s="1165"/>
      <c r="J13" s="1165"/>
      <c r="K13" s="1165"/>
      <c r="L13" s="1163"/>
      <c r="M13" s="1163"/>
      <c r="N13" s="1163"/>
      <c r="O13" s="1164"/>
      <c r="P13" s="1163"/>
      <c r="Q13" s="1163"/>
      <c r="R13" s="1163"/>
      <c r="S13" s="1163"/>
    </row>
    <row r="14" spans="1:19">
      <c r="A14" s="1173"/>
      <c r="B14" s="1172" t="s">
        <v>2094</v>
      </c>
      <c r="C14" s="1171"/>
      <c r="D14" s="1170" t="s">
        <v>2118</v>
      </c>
      <c r="E14" s="1169" t="str">
        <f>VLOOKUP(D14,'DATA BAJA'!$B$5:$D$27,2,FALSE)</f>
        <v>WF 150x75x5x7</v>
      </c>
      <c r="F14" s="1168" t="s">
        <v>2326</v>
      </c>
      <c r="G14" s="1167">
        <v>1</v>
      </c>
      <c r="H14" s="1166">
        <f>VLOOKUP(D14,'DATA BAJA'!$B$5:$D$27,3,FALSE)*G14</f>
        <v>14</v>
      </c>
      <c r="I14" s="1165">
        <f>(3655+2600+3655+2585+2565+3675+2575+3655+2600+2600+3655+2570+2680+2570+2680+2570+3785+2670+2670+3760+3760+2730+3730)*1.2</f>
        <v>83994</v>
      </c>
      <c r="J14" s="1165"/>
      <c r="K14" s="1165"/>
      <c r="L14" s="1163">
        <v>1</v>
      </c>
      <c r="M14" s="1163">
        <v>1</v>
      </c>
      <c r="N14" s="1163">
        <v>1</v>
      </c>
      <c r="O14" s="1164">
        <f t="shared" ref="O14" si="0">L14*M14*N14</f>
        <v>1</v>
      </c>
      <c r="P14" s="1163">
        <f t="shared" ref="P14:P15" si="1">H14*I14/1000*O14</f>
        <v>1175.9159999999999</v>
      </c>
      <c r="Q14" s="1163"/>
      <c r="R14" s="1163"/>
      <c r="S14" s="1163"/>
    </row>
    <row r="15" spans="1:19">
      <c r="A15" s="1173"/>
      <c r="B15" s="1172" t="s">
        <v>2094</v>
      </c>
      <c r="C15" s="1171"/>
      <c r="D15" s="1170" t="s">
        <v>2195</v>
      </c>
      <c r="E15" s="1169" t="str">
        <f>VLOOKUP(D15,'DATA BAJA'!$B$5:$D$27,2,FALSE)</f>
        <v>WF 200x100x5,5x8</v>
      </c>
      <c r="F15" s="1168" t="s">
        <v>2327</v>
      </c>
      <c r="G15" s="1167">
        <v>1</v>
      </c>
      <c r="H15" s="1166">
        <f>VLOOKUP(D15,'DATA BAJA'!$B$5:$D$27,3,FALSE)*G15</f>
        <v>21.33</v>
      </c>
      <c r="I15" s="1165">
        <f>2200</f>
        <v>2200</v>
      </c>
      <c r="J15" s="1165"/>
      <c r="K15" s="1165"/>
      <c r="L15" s="1163">
        <v>1</v>
      </c>
      <c r="M15" s="1163">
        <v>4</v>
      </c>
      <c r="N15" s="1163">
        <v>6</v>
      </c>
      <c r="O15" s="1164"/>
      <c r="P15" s="1163">
        <f t="shared" si="1"/>
        <v>0</v>
      </c>
      <c r="Q15" s="1163"/>
      <c r="R15" s="1163"/>
      <c r="S15" s="1163"/>
    </row>
    <row r="16" spans="1:19">
      <c r="A16" s="1173"/>
      <c r="B16" s="1172" t="s">
        <v>2094</v>
      </c>
      <c r="C16" s="1171"/>
      <c r="D16" s="1170" t="s">
        <v>2119</v>
      </c>
      <c r="E16" s="1169" t="str">
        <f>VLOOKUP(D16,'DATA BAJA'!$B$5:$D$27,2,FALSE)</f>
        <v>CNP 150x65x20x2,3</v>
      </c>
      <c r="F16" s="1168" t="s">
        <v>2034</v>
      </c>
      <c r="G16" s="1167">
        <v>1</v>
      </c>
      <c r="H16" s="1166">
        <f>VLOOKUP(D16,'DATA BAJA'!$B$5:$D$27,3,FALSE)*G16</f>
        <v>5.5</v>
      </c>
      <c r="I16" s="1165">
        <f>32550+38550+44550+50550</f>
        <v>166200</v>
      </c>
      <c r="J16" s="1165"/>
      <c r="K16" s="1165"/>
      <c r="L16" s="1163">
        <v>1</v>
      </c>
      <c r="M16" s="1163">
        <v>1</v>
      </c>
      <c r="N16" s="1163">
        <v>1</v>
      </c>
      <c r="O16" s="1164">
        <f>L16*M16*N16</f>
        <v>1</v>
      </c>
      <c r="P16" s="1163">
        <f>H16*I16/1000*O16</f>
        <v>914.1</v>
      </c>
      <c r="Q16" s="1163"/>
      <c r="R16" s="1163"/>
      <c r="S16" s="1163"/>
    </row>
    <row r="17" spans="1:19">
      <c r="A17" s="1173"/>
      <c r="B17" s="1172" t="s">
        <v>2094</v>
      </c>
      <c r="C17" s="1171"/>
      <c r="D17" s="1170" t="s">
        <v>2196</v>
      </c>
      <c r="E17" s="1169" t="e">
        <f>VLOOKUP(D17,'DATA BAJA'!$B$5:$D$27,2,FALSE)</f>
        <v>#N/A</v>
      </c>
      <c r="F17" s="1168" t="s">
        <v>2197</v>
      </c>
      <c r="G17" s="1167">
        <v>1</v>
      </c>
      <c r="H17" s="1166">
        <f>0.006165*16^2</f>
        <v>1.5782400000000001</v>
      </c>
      <c r="I17" s="1165">
        <v>400</v>
      </c>
      <c r="J17" s="1165"/>
      <c r="K17" s="1165"/>
      <c r="L17" s="1163">
        <v>22</v>
      </c>
      <c r="M17" s="1163">
        <v>4</v>
      </c>
      <c r="N17" s="1163">
        <v>1</v>
      </c>
      <c r="O17" s="1164">
        <f t="shared" ref="O17" si="2">L17*M17*N17</f>
        <v>88</v>
      </c>
      <c r="P17" s="1163"/>
      <c r="Q17" s="1163"/>
      <c r="R17" s="1163"/>
      <c r="S17" s="1163">
        <f>O17</f>
        <v>88</v>
      </c>
    </row>
    <row r="18" spans="1:19">
      <c r="A18" s="1162"/>
      <c r="B18" s="1161"/>
      <c r="C18" s="1160"/>
      <c r="D18" s="1159"/>
      <c r="E18" s="1158"/>
      <c r="F18" s="1157"/>
      <c r="G18" s="1156"/>
      <c r="H18" s="1155"/>
      <c r="I18" s="1154"/>
      <c r="J18" s="1154"/>
      <c r="K18" s="1154"/>
      <c r="L18" s="1152"/>
      <c r="M18" s="1152"/>
      <c r="N18" s="1152"/>
      <c r="O18" s="1153"/>
      <c r="P18" s="1152"/>
      <c r="Q18" s="1152"/>
      <c r="R18" s="1152"/>
      <c r="S18" s="1152"/>
    </row>
    <row r="19" spans="1:19" ht="15">
      <c r="A19" s="1137"/>
      <c r="B19" s="1137"/>
      <c r="C19" s="1137"/>
      <c r="D19" s="1136"/>
      <c r="E19" s="1136"/>
      <c r="G19" s="1134"/>
      <c r="H19" s="1148"/>
      <c r="I19" s="1132"/>
      <c r="J19" s="1132"/>
      <c r="K19" s="1132"/>
      <c r="L19" s="1131"/>
      <c r="M19" s="1131"/>
      <c r="N19" s="1131"/>
      <c r="O19" s="1144"/>
      <c r="P19" s="1131"/>
      <c r="Q19" s="1131"/>
      <c r="R19" s="1131"/>
      <c r="S19" s="1143"/>
    </row>
    <row r="20" spans="1:19" ht="15">
      <c r="A20" s="1137"/>
      <c r="B20" s="1137"/>
      <c r="C20" s="1137"/>
      <c r="D20" s="1136"/>
      <c r="E20" s="1136"/>
      <c r="G20" s="1134"/>
      <c r="H20" s="1148"/>
      <c r="I20" s="1132"/>
      <c r="J20" s="1132"/>
      <c r="K20" s="1132"/>
      <c r="L20" s="1131"/>
      <c r="M20" s="1131"/>
      <c r="N20" s="1131"/>
      <c r="O20" s="1151" t="s">
        <v>138</v>
      </c>
      <c r="P20" s="1150">
        <f>SUM(P11:P18)</f>
        <v>2090.0160000000001</v>
      </c>
      <c r="Q20" s="1149" t="s">
        <v>53</v>
      </c>
      <c r="R20" s="1149"/>
      <c r="S20" s="1143"/>
    </row>
    <row r="21" spans="1:19" ht="15">
      <c r="A21" s="1137"/>
      <c r="B21" s="1137"/>
      <c r="C21" s="1137"/>
      <c r="D21" s="1136"/>
      <c r="E21" s="1136"/>
      <c r="G21" s="1134"/>
      <c r="H21" s="1148"/>
      <c r="I21" s="1132"/>
      <c r="J21" s="1132"/>
      <c r="K21" s="1132"/>
      <c r="L21" s="1131"/>
      <c r="M21" s="1131"/>
      <c r="N21" s="1131"/>
      <c r="O21" s="1151" t="s">
        <v>75</v>
      </c>
      <c r="P21" s="1150"/>
      <c r="Q21" s="1149" t="s">
        <v>49</v>
      </c>
      <c r="R21" s="1149"/>
      <c r="S21" s="1143"/>
    </row>
    <row r="22" spans="1:19" ht="15">
      <c r="A22" s="1122"/>
      <c r="B22" s="1147"/>
      <c r="C22" s="1147"/>
      <c r="D22" s="1147" t="s">
        <v>1400</v>
      </c>
      <c r="E22" s="1136"/>
      <c r="G22" s="1134"/>
      <c r="H22" s="1148"/>
      <c r="I22" s="1132"/>
      <c r="J22" s="1132"/>
      <c r="K22" s="1132"/>
      <c r="L22" s="1131"/>
      <c r="M22" s="1131"/>
      <c r="N22" s="1131"/>
      <c r="O22" s="1151" t="s">
        <v>1399</v>
      </c>
      <c r="P22" s="1150" t="e">
        <f>P20/P21</f>
        <v>#DIV/0!</v>
      </c>
      <c r="Q22" s="1149" t="s">
        <v>1398</v>
      </c>
      <c r="R22" s="1149"/>
      <c r="S22" s="1143"/>
    </row>
    <row r="23" spans="1:19" ht="15">
      <c r="A23" s="1137"/>
      <c r="B23" s="1137"/>
      <c r="C23" s="1137"/>
      <c r="D23" s="1136"/>
      <c r="E23" s="1136"/>
      <c r="G23" s="1134"/>
      <c r="H23" s="1148"/>
      <c r="I23" s="1132"/>
      <c r="J23" s="1132"/>
      <c r="K23" s="1132"/>
      <c r="L23" s="1131"/>
      <c r="M23" s="1131"/>
      <c r="N23" s="1131"/>
      <c r="O23" s="1144"/>
      <c r="P23" s="1131"/>
      <c r="Q23" s="1131"/>
      <c r="R23" s="1131"/>
      <c r="S23" s="1143"/>
    </row>
    <row r="24" spans="1:19" ht="15">
      <c r="A24" s="1122"/>
      <c r="B24" s="1147"/>
      <c r="C24" s="1147"/>
      <c r="D24" s="1738" t="str">
        <f>A12</f>
        <v>RANGKA ATAP UTAMA</v>
      </c>
      <c r="E24" s="1136"/>
      <c r="F24" s="1146" t="s">
        <v>53</v>
      </c>
      <c r="G24" s="1146" t="s">
        <v>50</v>
      </c>
      <c r="H24" s="1145" t="s">
        <v>52</v>
      </c>
      <c r="I24" s="1132"/>
      <c r="J24" s="1132"/>
      <c r="K24" s="1132"/>
      <c r="L24" s="1131"/>
      <c r="M24" s="1131"/>
      <c r="N24" s="1131"/>
      <c r="O24" s="1144"/>
      <c r="P24" s="1131"/>
      <c r="Q24" s="1131"/>
      <c r="R24" s="1131"/>
      <c r="S24" s="1143"/>
    </row>
    <row r="25" spans="1:19">
      <c r="A25" s="1137"/>
      <c r="B25" s="1137"/>
      <c r="C25" s="1137"/>
      <c r="D25" s="1136" t="s">
        <v>2118</v>
      </c>
      <c r="E25" s="1136" t="str">
        <f>VLOOKUP(D25,'DATA BAJA'!$B$5:$D$27,2,FALSE)</f>
        <v>WF 150x75x5x7</v>
      </c>
      <c r="F25" s="1142">
        <f>SUMIF($D$13:$D$18,D25,$P$13:$P$18)</f>
        <v>1175.9159999999999</v>
      </c>
      <c r="G25" s="1142">
        <f>SUMIF($D$13:$D$18,D25,$Q$13:$Q$18)</f>
        <v>0</v>
      </c>
      <c r="H25" s="1142">
        <f>SUMIF($D$13:$D$18,D25,$S$13:$S$18)</f>
        <v>0</v>
      </c>
      <c r="I25" s="1133"/>
      <c r="J25" s="1132"/>
      <c r="K25" s="1132"/>
      <c r="L25" s="1131"/>
      <c r="M25" s="1131"/>
      <c r="N25" s="1131"/>
      <c r="P25" s="1131"/>
      <c r="Q25" s="1131"/>
      <c r="R25" s="1131"/>
      <c r="S25" s="1131"/>
    </row>
    <row r="26" spans="1:19">
      <c r="A26" s="1137"/>
      <c r="B26" s="1137"/>
      <c r="C26" s="1137"/>
      <c r="D26" s="1136" t="s">
        <v>2195</v>
      </c>
      <c r="E26" s="1136" t="str">
        <f>VLOOKUP(D26,'DATA BAJA'!$B$5:$D$27,2,FALSE)</f>
        <v>WF 200x100x5,5x8</v>
      </c>
      <c r="F26" s="1142">
        <f>SUMIF($D$13:$D$18,D26,$P$13:$P$18)</f>
        <v>0</v>
      </c>
      <c r="G26" s="1142">
        <f>SUMIF($D$13:$D$18,D26,$Q$13:$Q$18)</f>
        <v>0</v>
      </c>
      <c r="H26" s="1142">
        <f>SUMIF($D$13:$D$18,D26,$S$13:$S$18)</f>
        <v>0</v>
      </c>
      <c r="I26" s="1133"/>
      <c r="J26" s="1132"/>
      <c r="K26" s="1132"/>
      <c r="L26" s="1131"/>
      <c r="M26" s="1131"/>
      <c r="N26" s="1131"/>
      <c r="P26" s="1131"/>
      <c r="Q26" s="1131"/>
      <c r="R26" s="1131"/>
      <c r="S26" s="1131"/>
    </row>
    <row r="27" spans="1:19">
      <c r="A27" s="1137"/>
      <c r="B27" s="1137"/>
      <c r="C27" s="1137"/>
      <c r="D27" s="1136" t="s">
        <v>2119</v>
      </c>
      <c r="E27" s="1136" t="str">
        <f>VLOOKUP(D27,'DATA BAJA'!$B$5:$D$27,2,FALSE)</f>
        <v>CNP 150x65x20x2,3</v>
      </c>
      <c r="F27" s="1142">
        <f>SUMIF($D$13:$D$18,D27,$P$13:$P$18)</f>
        <v>914.1</v>
      </c>
      <c r="G27" s="1142">
        <f>SUMIF($D$13:$D$18,D27,$Q$13:$Q$18)</f>
        <v>0</v>
      </c>
      <c r="H27" s="1142">
        <f>SUMIF($D$13:$D$18,D27,$S$13:$S$18)</f>
        <v>0</v>
      </c>
      <c r="I27" s="1133"/>
      <c r="J27" s="1132"/>
      <c r="K27" s="1132"/>
      <c r="L27" s="1131"/>
      <c r="M27" s="1131"/>
      <c r="N27" s="1131"/>
      <c r="P27" s="1131"/>
      <c r="Q27" s="1131"/>
      <c r="R27" s="1131"/>
      <c r="S27" s="1131"/>
    </row>
    <row r="28" spans="1:19">
      <c r="A28" s="1137"/>
      <c r="B28" s="1137"/>
      <c r="C28" s="1137"/>
      <c r="D28" s="1136" t="s">
        <v>2196</v>
      </c>
      <c r="E28" s="1136" t="e">
        <f>VLOOKUP(D28,'DATA BAJA'!$B$5:$D$27,2,FALSE)</f>
        <v>#N/A</v>
      </c>
      <c r="F28" s="1142">
        <f>SUMIF($D$13:$D$18,D28,$P$13:$P$18)</f>
        <v>0</v>
      </c>
      <c r="G28" s="1142">
        <f>SUMIF($D$13:$D$18,D28,$Q$13:$Q$18)</f>
        <v>0</v>
      </c>
      <c r="H28" s="1142">
        <f>SUMIF($D$13:$D$18,D28,$S$13:$S$18)</f>
        <v>88</v>
      </c>
      <c r="I28" s="1133"/>
      <c r="J28" s="1132"/>
      <c r="K28" s="1132"/>
      <c r="L28" s="1131"/>
      <c r="M28" s="1131"/>
      <c r="N28" s="1131"/>
      <c r="P28" s="1131"/>
      <c r="Q28" s="1131"/>
      <c r="R28" s="1131"/>
      <c r="S28" s="1131"/>
    </row>
    <row r="29" spans="1:19" ht="15">
      <c r="A29" s="1137"/>
      <c r="B29" s="1137"/>
      <c r="C29" s="1137"/>
      <c r="D29" s="2300" t="s">
        <v>2035</v>
      </c>
      <c r="E29" s="2301"/>
      <c r="F29" s="1141">
        <f>SUM(F25:F28)</f>
        <v>2090.0160000000001</v>
      </c>
      <c r="G29" s="1141">
        <f>SUM(G28:G28)</f>
        <v>0</v>
      </c>
      <c r="H29" s="1141">
        <f>SUM(H28:H28)</f>
        <v>88</v>
      </c>
      <c r="I29" s="1133"/>
      <c r="J29" s="1132"/>
      <c r="K29" s="1132"/>
      <c r="L29" s="1131"/>
      <c r="M29" s="1131"/>
      <c r="N29" s="1131"/>
      <c r="P29" s="1131"/>
      <c r="Q29" s="1131"/>
      <c r="R29" s="1131"/>
      <c r="S29" s="1131"/>
    </row>
    <row r="30" spans="1:19" ht="15">
      <c r="A30" s="1137"/>
      <c r="B30" s="1137"/>
      <c r="C30" s="1137"/>
      <c r="D30" s="1140"/>
      <c r="E30" s="1140" t="s">
        <v>138</v>
      </c>
      <c r="F30" s="1139">
        <f>SUM(F24:F29)/2</f>
        <v>2090.0160000000001</v>
      </c>
      <c r="G30" s="1139"/>
      <c r="H30" s="1139"/>
      <c r="I30" s="1133"/>
      <c r="J30" s="1132"/>
      <c r="K30" s="1132"/>
      <c r="L30" s="1131"/>
      <c r="M30" s="1131"/>
      <c r="N30" s="1131"/>
      <c r="P30" s="1131"/>
      <c r="Q30" s="1131"/>
      <c r="R30" s="1131"/>
      <c r="S30" s="1131"/>
    </row>
    <row r="31" spans="1:19">
      <c r="A31" s="1137"/>
      <c r="B31" s="1137"/>
      <c r="C31" s="1137"/>
      <c r="D31" s="1136"/>
      <c r="E31" s="1138" t="s">
        <v>107</v>
      </c>
      <c r="F31" s="1135">
        <f>SUM(F24:F29)/2-SUM(P12:P18)</f>
        <v>0</v>
      </c>
      <c r="G31" s="1135">
        <f>SUM(G24:G29)/2-SUM(Q12:Q18)</f>
        <v>0</v>
      </c>
      <c r="H31" s="1135">
        <f>SUM(H24:H29)/2-SUM(S12:S18)</f>
        <v>0</v>
      </c>
      <c r="I31" s="1133"/>
      <c r="J31" s="1132"/>
      <c r="K31" s="1132"/>
      <c r="L31" s="1131"/>
      <c r="M31" s="1131"/>
      <c r="N31" s="1131"/>
      <c r="P31" s="1131"/>
      <c r="Q31" s="1131"/>
      <c r="R31" s="1131"/>
      <c r="S31" s="1131"/>
    </row>
    <row r="32" spans="1:19">
      <c r="A32" s="1137"/>
      <c r="B32" s="1137"/>
      <c r="C32" s="1137"/>
      <c r="D32" s="1136"/>
      <c r="E32" s="1136"/>
      <c r="F32" s="1135"/>
      <c r="G32" s="1134"/>
      <c r="H32" s="1131"/>
      <c r="I32" s="1133"/>
      <c r="J32" s="1132"/>
      <c r="K32" s="1132"/>
      <c r="L32" s="1131"/>
      <c r="M32" s="1131"/>
      <c r="N32" s="1131"/>
      <c r="P32" s="1131"/>
      <c r="Q32" s="1131"/>
      <c r="R32" s="1131"/>
      <c r="S32" s="1131"/>
    </row>
    <row r="33" spans="1:19">
      <c r="A33" s="1137"/>
      <c r="B33" s="1137"/>
      <c r="C33" s="1137"/>
      <c r="D33" s="1136"/>
      <c r="E33" s="1136"/>
      <c r="F33" s="1135"/>
      <c r="G33" s="1134"/>
      <c r="H33" s="1131"/>
      <c r="I33" s="1133"/>
      <c r="J33" s="1132"/>
      <c r="K33" s="1132"/>
      <c r="L33" s="1131"/>
      <c r="M33" s="1131"/>
      <c r="N33" s="1131"/>
      <c r="P33" s="1131"/>
      <c r="Q33" s="1131"/>
      <c r="R33" s="1131"/>
      <c r="S33" s="1131"/>
    </row>
    <row r="34" spans="1:19">
      <c r="A34" s="1137"/>
      <c r="B34" s="1137"/>
      <c r="C34" s="1137"/>
      <c r="D34" s="1136"/>
      <c r="E34" s="1136"/>
      <c r="F34" s="1135"/>
      <c r="G34" s="1134"/>
      <c r="H34" s="1131"/>
      <c r="I34" s="1133"/>
      <c r="J34" s="1132"/>
      <c r="K34" s="1132"/>
      <c r="L34" s="1131"/>
      <c r="M34" s="1131"/>
      <c r="N34" s="1131"/>
      <c r="P34" s="1131"/>
      <c r="Q34" s="1131"/>
      <c r="R34" s="1131"/>
      <c r="S34" s="1131"/>
    </row>
    <row r="35" spans="1:19">
      <c r="A35" s="1137"/>
      <c r="B35" s="1137"/>
      <c r="C35" s="1137"/>
      <c r="D35" s="1136"/>
      <c r="E35" s="1136"/>
      <c r="F35" s="1135"/>
      <c r="G35" s="1134"/>
      <c r="H35" s="1131"/>
      <c r="I35" s="1133"/>
      <c r="J35" s="1132"/>
      <c r="K35" s="1132"/>
      <c r="L35" s="1131"/>
      <c r="M35" s="1131"/>
      <c r="N35" s="1131"/>
      <c r="P35" s="1131"/>
      <c r="Q35" s="1131"/>
      <c r="R35" s="1131"/>
      <c r="S35" s="1131"/>
    </row>
    <row r="36" spans="1:19">
      <c r="A36" s="1137"/>
      <c r="B36" s="1137"/>
      <c r="C36" s="1137"/>
      <c r="D36" s="1136"/>
      <c r="E36" s="1136"/>
      <c r="F36" s="1135"/>
      <c r="G36" s="1134"/>
      <c r="H36" s="1131"/>
      <c r="I36" s="1133"/>
      <c r="J36" s="1132"/>
      <c r="K36" s="1132"/>
      <c r="L36" s="1131"/>
      <c r="M36" s="1131"/>
      <c r="N36" s="1131"/>
      <c r="P36" s="1131"/>
      <c r="Q36" s="1131"/>
      <c r="R36" s="1131"/>
      <c r="S36" s="1131"/>
    </row>
    <row r="37" spans="1:19">
      <c r="A37" s="1137"/>
      <c r="B37" s="1137"/>
      <c r="C37" s="1137"/>
      <c r="D37" s="1136"/>
      <c r="E37" s="1136"/>
      <c r="F37" s="1135"/>
      <c r="G37" s="1134"/>
      <c r="H37" s="1131"/>
      <c r="I37" s="1133"/>
      <c r="J37" s="1132"/>
      <c r="K37" s="1132"/>
      <c r="L37" s="1131"/>
      <c r="M37" s="1131"/>
      <c r="N37" s="1131"/>
      <c r="P37" s="1131"/>
      <c r="Q37" s="1131"/>
      <c r="R37" s="1131"/>
      <c r="S37" s="1131"/>
    </row>
    <row r="38" spans="1:19">
      <c r="H38" s="1131"/>
    </row>
    <row r="42" spans="1:19">
      <c r="E42" s="1130"/>
      <c r="F42" s="1129"/>
      <c r="G42" s="1124"/>
      <c r="K42" s="1124"/>
      <c r="N42" s="1123"/>
      <c r="O42" s="1122"/>
    </row>
    <row r="43" spans="1:19">
      <c r="E43" s="1130"/>
      <c r="F43" s="1129"/>
      <c r="G43" s="1124"/>
      <c r="H43" s="1125"/>
      <c r="K43" s="1124"/>
      <c r="N43" s="1123"/>
      <c r="O43" s="1122"/>
    </row>
    <row r="44" spans="1:19">
      <c r="E44" s="1130"/>
      <c r="F44" s="1129"/>
      <c r="G44" s="1124"/>
      <c r="H44" s="1125"/>
      <c r="K44" s="1124"/>
      <c r="N44" s="1123"/>
      <c r="O44" s="1122"/>
    </row>
    <row r="45" spans="1:19">
      <c r="E45" s="1130"/>
      <c r="F45" s="1129"/>
      <c r="G45" s="1124"/>
      <c r="H45" s="1125"/>
      <c r="K45" s="1124"/>
      <c r="N45" s="1123"/>
      <c r="O45" s="1122"/>
    </row>
    <row r="46" spans="1:19">
      <c r="E46" s="1130"/>
      <c r="F46" s="1129"/>
      <c r="G46" s="1124"/>
      <c r="H46" s="1125"/>
      <c r="K46" s="1124"/>
      <c r="N46" s="1123"/>
      <c r="O46" s="1122"/>
    </row>
    <row r="47" spans="1:19">
      <c r="E47" s="1130"/>
      <c r="F47" s="1129"/>
      <c r="G47" s="1124"/>
      <c r="H47" s="1125"/>
      <c r="K47" s="1124"/>
      <c r="N47" s="1123"/>
      <c r="O47" s="1122"/>
    </row>
    <row r="48" spans="1:19">
      <c r="E48" s="1130"/>
      <c r="F48" s="1129"/>
      <c r="G48" s="1124"/>
      <c r="H48" s="1125"/>
      <c r="K48" s="1124"/>
      <c r="N48" s="1123"/>
      <c r="O48" s="1122"/>
    </row>
    <row r="49" spans="8:8">
      <c r="H49" s="1125"/>
    </row>
  </sheetData>
  <autoFilter ref="A11:S11"/>
  <mergeCells count="14">
    <mergeCell ref="D29:E29"/>
    <mergeCell ref="P9:S9"/>
    <mergeCell ref="N9:N10"/>
    <mergeCell ref="O9:O10"/>
    <mergeCell ref="H9:H10"/>
    <mergeCell ref="I9:K9"/>
    <mergeCell ref="L9:L10"/>
    <mergeCell ref="M9:M10"/>
    <mergeCell ref="F9:F10"/>
    <mergeCell ref="A9:A10"/>
    <mergeCell ref="B9:B10"/>
    <mergeCell ref="C9:C10"/>
    <mergeCell ref="D9:D10"/>
    <mergeCell ref="E9:E10"/>
  </mergeCells>
  <phoneticPr fontId="76" type="noConversion"/>
  <printOptions horizontalCentered="1"/>
  <pageMargins left="0.7" right="0.7" top="0.75" bottom="0.75" header="0.3" footer="0.3"/>
  <pageSetup paperSize="9" scale="3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4:P1048397"/>
  <sheetViews>
    <sheetView topLeftCell="A4" zoomScaleNormal="100" workbookViewId="0">
      <selection activeCell="C26" sqref="C26"/>
    </sheetView>
  </sheetViews>
  <sheetFormatPr defaultColWidth="9.140625" defaultRowHeight="15.75"/>
  <cols>
    <col min="1" max="1" width="9.140625" style="1110"/>
    <col min="2" max="2" width="15.7109375" style="1110" customWidth="1"/>
    <col min="3" max="3" width="26.5703125" style="1110" bestFit="1" customWidth="1"/>
    <col min="4" max="4" width="9.140625" style="1111"/>
    <col min="5" max="11" width="9.140625" style="1110"/>
    <col min="12" max="15" width="9.140625" style="1110" customWidth="1"/>
    <col min="16" max="16384" width="9.140625" style="1110"/>
  </cols>
  <sheetData>
    <row r="4" spans="2:5">
      <c r="B4" s="1121" t="s">
        <v>1396</v>
      </c>
      <c r="C4" s="1121" t="s">
        <v>64</v>
      </c>
      <c r="D4" s="1120" t="s">
        <v>1395</v>
      </c>
    </row>
    <row r="5" spans="2:5">
      <c r="B5" s="1119"/>
      <c r="C5" s="1118"/>
      <c r="D5" s="1119"/>
    </row>
    <row r="6" spans="2:5">
      <c r="B6" s="1881" t="s">
        <v>2118</v>
      </c>
      <c r="C6" s="1881" t="s">
        <v>1372</v>
      </c>
      <c r="D6" s="1118">
        <f>VLOOKUP(C6,'TABEL BAJA'!$C$8:$Q$906,13,FALSE)</f>
        <v>14</v>
      </c>
    </row>
    <row r="7" spans="2:5">
      <c r="B7" s="1881" t="s">
        <v>2088</v>
      </c>
      <c r="C7" s="1881" t="s">
        <v>1362</v>
      </c>
      <c r="D7" s="1118">
        <f>VLOOKUP(C7,'TABEL BAJA'!$C$8:$Q$906,13,FALSE)</f>
        <v>29.6</v>
      </c>
    </row>
    <row r="8" spans="2:5">
      <c r="B8" s="1882" t="s">
        <v>2195</v>
      </c>
      <c r="C8" s="1882" t="s">
        <v>1365</v>
      </c>
      <c r="D8" s="1118">
        <f>VLOOKUP(C8,'TABEL BAJA'!$C$8:$Q$906,13,FALSE)</f>
        <v>21.33</v>
      </c>
    </row>
    <row r="9" spans="2:5">
      <c r="B9" s="1118"/>
      <c r="C9" s="1118"/>
      <c r="D9" s="1118"/>
      <c r="E9" s="1117"/>
    </row>
    <row r="10" spans="2:5">
      <c r="B10" s="1881" t="s">
        <v>1394</v>
      </c>
      <c r="C10" s="1881" t="s">
        <v>579</v>
      </c>
      <c r="D10" s="1118">
        <f>VLOOKUP(C10,'TABEL BAJA'!$C$8:$Q$906,13,FALSE)</f>
        <v>48.611111111111114</v>
      </c>
      <c r="E10" s="1117"/>
    </row>
    <row r="11" spans="2:5">
      <c r="B11" s="1881" t="s">
        <v>2121</v>
      </c>
      <c r="C11" s="1881" t="s">
        <v>578</v>
      </c>
      <c r="D11" s="1118">
        <f>VLOOKUP(C11,'TABEL BAJA'!$C$8:$Q$906,13,FALSE)</f>
        <v>64.930555555555557</v>
      </c>
      <c r="E11" s="1117"/>
    </row>
    <row r="12" spans="2:5">
      <c r="B12" s="1881" t="s">
        <v>1393</v>
      </c>
      <c r="C12" s="1881" t="s">
        <v>576</v>
      </c>
      <c r="D12" s="1118">
        <f>VLOOKUP(C12,'TABEL BAJA'!$C$8:$Q$906,13,FALSE)</f>
        <v>81.006944444444457</v>
      </c>
      <c r="E12" s="1117"/>
    </row>
    <row r="13" spans="2:5">
      <c r="B13" s="1882" t="s">
        <v>2030</v>
      </c>
      <c r="C13" s="1882" t="s">
        <v>575</v>
      </c>
      <c r="D13" s="1118">
        <f>VLOOKUP(C13,'TABEL BAJA'!$C$8:$Q$906,13,FALSE)</f>
        <v>97.222222222222229</v>
      </c>
      <c r="E13" s="1117"/>
    </row>
    <row r="14" spans="2:5">
      <c r="B14" s="1882" t="s">
        <v>2090</v>
      </c>
      <c r="C14" s="1882" t="s">
        <v>572</v>
      </c>
      <c r="D14" s="1118">
        <f>VLOOKUP(C14,'TABEL BAJA'!$C$8:$Q$906,13,FALSE)</f>
        <v>113.42592592592592</v>
      </c>
      <c r="E14" s="1117"/>
    </row>
    <row r="15" spans="2:5">
      <c r="B15" s="1881" t="s">
        <v>2089</v>
      </c>
      <c r="C15" s="1881" t="s">
        <v>571</v>
      </c>
      <c r="D15" s="1118">
        <f>VLOOKUP(C15,'TABEL BAJA'!$C$8:$Q$906,13,FALSE)</f>
        <v>129.51388888888889</v>
      </c>
      <c r="E15" s="1117"/>
    </row>
    <row r="16" spans="2:5">
      <c r="B16" s="1881" t="s">
        <v>2091</v>
      </c>
      <c r="C16" s="1881" t="s">
        <v>564</v>
      </c>
      <c r="D16" s="1118">
        <f>VLOOKUP(C16,'TABEL BAJA'!$C$8:$Q$906,13,FALSE)</f>
        <v>202.43055555555557</v>
      </c>
      <c r="E16" s="1117"/>
    </row>
    <row r="17" spans="2:5">
      <c r="B17" s="1118"/>
      <c r="C17" s="1118"/>
      <c r="D17" s="1118"/>
      <c r="E17" s="1117"/>
    </row>
    <row r="18" spans="2:5">
      <c r="B18" s="1118" t="s">
        <v>2031</v>
      </c>
      <c r="C18" s="1737" t="s">
        <v>899</v>
      </c>
      <c r="D18" s="1118">
        <f>VLOOKUP(C18,'TABEL BAJA'!$C$8:$Q$906,13,FALSE)</f>
        <v>7.01</v>
      </c>
      <c r="E18" s="1117"/>
    </row>
    <row r="19" spans="2:5">
      <c r="B19" s="1881" t="s">
        <v>2092</v>
      </c>
      <c r="C19" s="1881" t="s">
        <v>2093</v>
      </c>
      <c r="D19" s="1118">
        <f>VLOOKUP(C19,'TABEL BAJA'!$C$8:$Q$906,13,FALSE)</f>
        <v>3.8</v>
      </c>
      <c r="E19" s="1117"/>
    </row>
    <row r="20" spans="2:5">
      <c r="B20" s="1118"/>
      <c r="C20" s="1118"/>
      <c r="D20" s="1118"/>
      <c r="E20" s="1117"/>
    </row>
    <row r="21" spans="2:5">
      <c r="B21" s="1118" t="s">
        <v>2032</v>
      </c>
      <c r="C21" s="1737" t="s">
        <v>1045</v>
      </c>
      <c r="D21" s="1118">
        <f>VLOOKUP(C21,'TABEL BAJA'!$C$8:$Q$906,13,FALSE)</f>
        <v>8.64</v>
      </c>
      <c r="E21" s="1117"/>
    </row>
    <row r="22" spans="2:5">
      <c r="B22" s="1118"/>
      <c r="C22" s="1118"/>
      <c r="D22" s="1118"/>
      <c r="E22" s="1117"/>
    </row>
    <row r="23" spans="2:5">
      <c r="B23" s="1736" t="s">
        <v>2033</v>
      </c>
      <c r="C23" s="1736" t="s">
        <v>1270</v>
      </c>
      <c r="D23" s="1118">
        <f>VLOOKUP(C23,'TABEL BAJA'!$C$8:$Q$906,13,FALSE)</f>
        <v>2.74</v>
      </c>
      <c r="E23" s="1117"/>
    </row>
    <row r="24" spans="2:5">
      <c r="B24" s="1118"/>
      <c r="C24" s="1118"/>
      <c r="D24" s="1118"/>
      <c r="E24" s="1117"/>
    </row>
    <row r="25" spans="2:5">
      <c r="B25" s="1881" t="s">
        <v>2119</v>
      </c>
      <c r="C25" s="1881" t="s">
        <v>1134</v>
      </c>
      <c r="D25" s="1118">
        <f>VLOOKUP(C25,'TABEL BAJA'!$C$8:$Q$906,13,FALSE)</f>
        <v>5.5</v>
      </c>
      <c r="E25" s="1117"/>
    </row>
    <row r="26" spans="2:5">
      <c r="B26" s="1118"/>
      <c r="C26" s="1118"/>
      <c r="D26" s="1118"/>
      <c r="E26" s="1117"/>
    </row>
    <row r="27" spans="2:5">
      <c r="B27" s="1118"/>
      <c r="C27" s="1118"/>
      <c r="D27" s="1118"/>
      <c r="E27" s="1117"/>
    </row>
    <row r="28" spans="2:5">
      <c r="B28" s="1116"/>
      <c r="C28" s="1116"/>
      <c r="D28" s="1115"/>
    </row>
    <row r="29" spans="2:5">
      <c r="D29" s="1114"/>
    </row>
    <row r="30" spans="2:5">
      <c r="D30" s="1114"/>
    </row>
    <row r="31" spans="2:5">
      <c r="D31" s="1114"/>
    </row>
    <row r="86" spans="10:16">
      <c r="J86" s="1110">
        <f>136+152</f>
        <v>288</v>
      </c>
      <c r="K86" s="1110">
        <v>150</v>
      </c>
      <c r="P86" s="1110">
        <f>H86*K86*O86*J86/1000000</f>
        <v>0</v>
      </c>
    </row>
    <row r="91" spans="10:16">
      <c r="J91" s="1110">
        <f>136+136+136+116+541+534+136+136+136+171</f>
        <v>2178</v>
      </c>
      <c r="K91" s="1110">
        <v>150</v>
      </c>
      <c r="P91" s="1110">
        <f>H91*K91*O91*J91/1000000</f>
        <v>0</v>
      </c>
    </row>
    <row r="92" spans="10:16">
      <c r="J92" s="1110">
        <v>200</v>
      </c>
      <c r="K92" s="1110">
        <v>150</v>
      </c>
      <c r="P92" s="1110">
        <f>H92*K92*O92*J92/1000000</f>
        <v>0</v>
      </c>
    </row>
    <row r="94" spans="10:16">
      <c r="J94" s="1110">
        <f>136+136</f>
        <v>272</v>
      </c>
      <c r="K94" s="1110">
        <v>150</v>
      </c>
      <c r="P94" s="1110">
        <f>H94*K94*O94*J94/1000000</f>
        <v>0</v>
      </c>
    </row>
    <row r="95" spans="10:16">
      <c r="J95" s="1110">
        <f>264+300</f>
        <v>564</v>
      </c>
      <c r="K95" s="1110">
        <v>150</v>
      </c>
      <c r="P95" s="1110">
        <f>H95*K95*O95*J95/1000000</f>
        <v>0</v>
      </c>
    </row>
    <row r="104" spans="10:16">
      <c r="J104" s="1110">
        <f>100*5+264+114*2+112*2+170</f>
        <v>1386</v>
      </c>
      <c r="K104" s="1110">
        <v>300</v>
      </c>
      <c r="P104" s="1110">
        <f>H104*K104*O104*J104/1000000</f>
        <v>0</v>
      </c>
    </row>
    <row r="118" spans="10:16">
      <c r="J118" s="1110">
        <f>136+152</f>
        <v>288</v>
      </c>
      <c r="K118" s="1110">
        <v>150</v>
      </c>
      <c r="P118" s="1110">
        <f>H118*K118*O118*J118/1000000</f>
        <v>0</v>
      </c>
    </row>
    <row r="122" spans="10:16">
      <c r="J122" s="1110">
        <f>136+136+136+116+541+534+136+136+136+171</f>
        <v>2178</v>
      </c>
      <c r="K122" s="1110">
        <v>150</v>
      </c>
      <c r="P122" s="1110">
        <f>H122*K122*O122*J122/1000000</f>
        <v>0</v>
      </c>
    </row>
    <row r="123" spans="10:16">
      <c r="J123" s="1110">
        <v>200</v>
      </c>
      <c r="K123" s="1110">
        <v>150</v>
      </c>
      <c r="P123" s="1110">
        <f>H123*K123*O123*J123/1000000</f>
        <v>0</v>
      </c>
    </row>
    <row r="125" spans="10:16">
      <c r="J125" s="1110">
        <f>136</f>
        <v>136</v>
      </c>
      <c r="K125" s="1110">
        <v>150</v>
      </c>
      <c r="P125" s="1110">
        <f>H125*K125*O125*J125/1000000</f>
        <v>0</v>
      </c>
    </row>
    <row r="126" spans="10:16">
      <c r="J126" s="1110">
        <f>264+300</f>
        <v>564</v>
      </c>
      <c r="K126" s="1110">
        <v>150</v>
      </c>
      <c r="P126" s="1110">
        <f>H126*K126*O126*J126/1000000</f>
        <v>0</v>
      </c>
    </row>
    <row r="127" spans="10:16">
      <c r="J127" s="1110">
        <f>100*5+264+114*2+112*2+170</f>
        <v>1386</v>
      </c>
      <c r="K127" s="1110">
        <v>300</v>
      </c>
      <c r="P127" s="1110">
        <f>H127*K127*O127*J127/1000000</f>
        <v>0</v>
      </c>
    </row>
    <row r="134" spans="10:16">
      <c r="J134" s="1110">
        <f>136+136+136+116+541+534+136+136+136+171</f>
        <v>2178</v>
      </c>
      <c r="K134" s="1110">
        <v>150</v>
      </c>
      <c r="P134" s="1110">
        <f>H134*K134*O134*J134/1000000</f>
        <v>0</v>
      </c>
    </row>
    <row r="135" spans="10:16">
      <c r="J135" s="1110">
        <v>200</v>
      </c>
      <c r="K135" s="1110">
        <v>150</v>
      </c>
      <c r="P135" s="1110">
        <f>H135*K135*O135*J135/1000000</f>
        <v>0</v>
      </c>
    </row>
    <row r="137" spans="10:16">
      <c r="J137" s="1110">
        <f>136+136</f>
        <v>272</v>
      </c>
      <c r="K137" s="1110">
        <v>150</v>
      </c>
      <c r="P137" s="1110">
        <f>H137*K137*O137*J137/1000000</f>
        <v>0</v>
      </c>
    </row>
    <row r="138" spans="10:16">
      <c r="J138" s="1110">
        <f>264+300</f>
        <v>564</v>
      </c>
      <c r="K138" s="1110">
        <v>150</v>
      </c>
      <c r="P138" s="1110">
        <f>H138*K138*O138*J138/1000000</f>
        <v>0</v>
      </c>
    </row>
    <row r="149" spans="10:16">
      <c r="J149" s="1110">
        <f>136+136+136+116+541+534+136+136+136+171</f>
        <v>2178</v>
      </c>
      <c r="K149" s="1110">
        <v>150</v>
      </c>
      <c r="P149" s="1110">
        <f>H149*K149*O149*J149/1000000</f>
        <v>0</v>
      </c>
    </row>
    <row r="150" spans="10:16">
      <c r="J150" s="1110">
        <v>200</v>
      </c>
      <c r="K150" s="1110">
        <v>150</v>
      </c>
      <c r="P150" s="1110">
        <f>H150*K150*O150*J150/1000000</f>
        <v>0</v>
      </c>
    </row>
    <row r="152" spans="10:16">
      <c r="J152" s="1110">
        <f>136+136+75+128</f>
        <v>475</v>
      </c>
      <c r="K152" s="1110">
        <v>150</v>
      </c>
      <c r="P152" s="1110">
        <f>H152*K152*O152*J152/1000000</f>
        <v>0</v>
      </c>
    </row>
    <row r="153" spans="10:16">
      <c r="J153" s="1110">
        <v>300</v>
      </c>
      <c r="K153" s="1110">
        <v>150</v>
      </c>
      <c r="P153" s="1110">
        <f>H153*K153*O153*J153/1000000</f>
        <v>0</v>
      </c>
    </row>
    <row r="157" spans="10:16" ht="13.9" customHeight="1"/>
    <row r="158" spans="10:16">
      <c r="J158" s="1110">
        <f>136+136+136+116+541+534+136+136+136+171</f>
        <v>2178</v>
      </c>
      <c r="K158" s="1110">
        <v>150</v>
      </c>
      <c r="P158" s="1110">
        <f>H158*K158*O158*J158/1000000</f>
        <v>0</v>
      </c>
    </row>
    <row r="159" spans="10:16">
      <c r="J159" s="1110">
        <v>200</v>
      </c>
      <c r="K159" s="1110">
        <v>150</v>
      </c>
      <c r="P159" s="1110">
        <f>H159*K159*O159*J159/1000000</f>
        <v>0</v>
      </c>
    </row>
    <row r="161" spans="10:16">
      <c r="J161" s="1110">
        <f>136+136</f>
        <v>272</v>
      </c>
      <c r="K161" s="1110">
        <v>150</v>
      </c>
      <c r="P161" s="1110">
        <f>H161*K161*O161*J161/1000000</f>
        <v>0</v>
      </c>
    </row>
    <row r="162" spans="10:16">
      <c r="J162" s="1110">
        <f>264+300</f>
        <v>564</v>
      </c>
      <c r="K162" s="1110">
        <v>150</v>
      </c>
      <c r="P162" s="1110">
        <f>H162*K162*O162*J162/1000000</f>
        <v>0</v>
      </c>
    </row>
    <row r="167" spans="10:16">
      <c r="J167" s="1110">
        <f>136+136+136+116+541+534+136+136+136+171</f>
        <v>2178</v>
      </c>
      <c r="K167" s="1110">
        <v>150</v>
      </c>
      <c r="P167" s="1110">
        <f>H167*K167*O167*J167/1000000</f>
        <v>0</v>
      </c>
    </row>
    <row r="168" spans="10:16">
      <c r="J168" s="1110">
        <v>200</v>
      </c>
      <c r="K168" s="1110">
        <v>150</v>
      </c>
      <c r="P168" s="1110">
        <f>H168*K168*O168*J168/1000000</f>
        <v>0</v>
      </c>
    </row>
    <row r="174" spans="10:16">
      <c r="J174" s="1110">
        <f>136+136+136+116+541+534+136+136+136+171</f>
        <v>2178</v>
      </c>
      <c r="K174" s="1110">
        <v>150</v>
      </c>
      <c r="P174" s="1110">
        <f>H174*K174*O174*J174/1000000</f>
        <v>0</v>
      </c>
    </row>
    <row r="175" spans="10:16">
      <c r="J175" s="1110">
        <v>200</v>
      </c>
      <c r="K175" s="1110">
        <v>150</v>
      </c>
      <c r="P175" s="1110">
        <f>H175*K175*O175*J175/1000000</f>
        <v>0</v>
      </c>
    </row>
    <row r="219" spans="16:16">
      <c r="P219" s="1113">
        <f>H219*(0.25*22/7*I219^2)*O219/1000000</f>
        <v>0</v>
      </c>
    </row>
    <row r="220" spans="16:16">
      <c r="P220" s="1113">
        <f>H220*(0.25*22/7*I220^2)*O220/1000000</f>
        <v>0</v>
      </c>
    </row>
    <row r="222" spans="16:16">
      <c r="P222" s="1113">
        <f>H222*(0.25*22/7*I222^2)*O222/1000000</f>
        <v>0</v>
      </c>
    </row>
    <row r="224" spans="16:16">
      <c r="P224" s="1113">
        <f>H224*(0.25*22/7*I224^2)*O224/1000000</f>
        <v>0</v>
      </c>
    </row>
    <row r="226" spans="16:16">
      <c r="P226" s="1113">
        <f>H226*(0.25*22/7*I226^2)*O226/1000000</f>
        <v>0</v>
      </c>
    </row>
    <row r="228" spans="16:16">
      <c r="P228" s="1113">
        <f>H228*(0.25*22/7*I228^2)*O228/1000000</f>
        <v>0</v>
      </c>
    </row>
    <row r="230" spans="16:16">
      <c r="P230" s="1113">
        <f>H230*(0.25*22/7*I230^2)*O230/1000000</f>
        <v>0</v>
      </c>
    </row>
    <row r="232" spans="16:16">
      <c r="P232" s="1113">
        <f>H232*(0.25*22/7*I232^2)*O232/1000000</f>
        <v>0</v>
      </c>
    </row>
    <row r="234" spans="16:16">
      <c r="P234" s="1113">
        <f>H234*(0.25*22/7*I234^2)*O234/1000000</f>
        <v>0</v>
      </c>
    </row>
    <row r="239" spans="16:16">
      <c r="P239" s="1110" t="e">
        <f>P237/P238</f>
        <v>#DIV/0!</v>
      </c>
    </row>
    <row r="382" spans="6:6">
      <c r="F382" s="1110">
        <f>SUM(F356:F381)</f>
        <v>0</v>
      </c>
    </row>
    <row r="1048397" spans="4:4">
      <c r="D1048397" s="1112"/>
    </row>
  </sheetData>
  <autoFilter ref="C5:C27"/>
  <phoneticPr fontId="76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U1055"/>
  <sheetViews>
    <sheetView topLeftCell="A4" zoomScaleNormal="100" workbookViewId="0">
      <pane xSplit="1" ySplit="3" topLeftCell="F103" activePane="bottomRight" state="frozen"/>
      <selection activeCell="I124" sqref="I124"/>
      <selection pane="topRight" activeCell="I124" sqref="I124"/>
      <selection pane="bottomLeft" activeCell="I124" sqref="I124"/>
      <selection pane="bottomRight" activeCell="A238" sqref="A238:XFD238"/>
    </sheetView>
  </sheetViews>
  <sheetFormatPr defaultColWidth="9.140625" defaultRowHeight="15"/>
  <cols>
    <col min="1" max="1" width="1.85546875" style="1026" customWidth="1"/>
    <col min="2" max="2" width="22.140625" style="1026" customWidth="1"/>
    <col min="3" max="3" width="25.85546875" style="1026" bestFit="1" customWidth="1"/>
    <col min="4" max="4" width="16.28515625" style="1030" bestFit="1" customWidth="1"/>
    <col min="5" max="5" width="9.5703125" style="1030" bestFit="1" customWidth="1"/>
    <col min="6" max="6" width="7.5703125" style="1030" bestFit="1" customWidth="1"/>
    <col min="7" max="7" width="5" style="1030" bestFit="1" customWidth="1"/>
    <col min="8" max="8" width="10.5703125" style="1030" bestFit="1" customWidth="1"/>
    <col min="9" max="9" width="9.28515625" style="1029" bestFit="1" customWidth="1"/>
    <col min="10" max="11" width="5.5703125" style="1028" bestFit="1" customWidth="1"/>
    <col min="12" max="14" width="5.5703125" style="1028" customWidth="1"/>
    <col min="15" max="15" width="12.85546875" style="1027" customWidth="1"/>
    <col min="16" max="16" width="14.140625" style="1027" customWidth="1"/>
    <col min="17" max="17" width="15.42578125" style="1026" customWidth="1"/>
    <col min="18" max="18" width="9.140625" style="1026"/>
    <col min="19" max="19" width="12.85546875" style="1025" bestFit="1" customWidth="1"/>
    <col min="20" max="16384" width="9.140625" style="1024"/>
  </cols>
  <sheetData>
    <row r="2" spans="2:20" ht="20.25">
      <c r="B2" s="2318" t="s">
        <v>1392</v>
      </c>
      <c r="C2" s="2318"/>
      <c r="D2" s="2318"/>
      <c r="E2" s="2318"/>
      <c r="F2" s="2318"/>
      <c r="G2" s="2318"/>
      <c r="H2" s="2318"/>
      <c r="I2" s="2318"/>
      <c r="J2" s="2318"/>
      <c r="K2" s="2318"/>
      <c r="L2" s="2318"/>
      <c r="M2" s="2318"/>
      <c r="N2" s="2318"/>
      <c r="O2" s="2318"/>
      <c r="P2" s="2318"/>
      <c r="Q2" s="2318"/>
    </row>
    <row r="3" spans="2:20" ht="15.75" thickBot="1"/>
    <row r="4" spans="2:20" ht="16.5" thickTop="1" thickBot="1">
      <c r="B4" s="2319" t="s">
        <v>1391</v>
      </c>
      <c r="C4" s="2320" t="s">
        <v>1390</v>
      </c>
      <c r="D4" s="2320" t="s">
        <v>1389</v>
      </c>
      <c r="E4" s="2320" t="s">
        <v>1388</v>
      </c>
      <c r="F4" s="2320" t="s">
        <v>1387</v>
      </c>
      <c r="G4" s="2320" t="s">
        <v>1386</v>
      </c>
      <c r="H4" s="1109" t="s">
        <v>1385</v>
      </c>
      <c r="I4" s="1108" t="s">
        <v>46</v>
      </c>
      <c r="J4" s="2321" t="s">
        <v>1385</v>
      </c>
      <c r="K4" s="2321"/>
      <c r="L4" s="2321"/>
      <c r="M4" s="2321"/>
      <c r="N4" s="2321"/>
      <c r="O4" s="1107" t="s">
        <v>46</v>
      </c>
      <c r="P4" s="1107" t="s">
        <v>27</v>
      </c>
      <c r="Q4" s="2322" t="s">
        <v>1384</v>
      </c>
    </row>
    <row r="5" spans="2:20" ht="16.5" thickTop="1" thickBot="1">
      <c r="B5" s="2319"/>
      <c r="C5" s="2320"/>
      <c r="D5" s="2320"/>
      <c r="E5" s="2320"/>
      <c r="F5" s="2320"/>
      <c r="G5" s="2320"/>
      <c r="H5" s="1106" t="s">
        <v>1383</v>
      </c>
      <c r="I5" s="1105" t="s">
        <v>1383</v>
      </c>
      <c r="J5" s="1104" t="s">
        <v>237</v>
      </c>
      <c r="K5" s="1104" t="s">
        <v>151</v>
      </c>
      <c r="L5" s="1104" t="s">
        <v>236</v>
      </c>
      <c r="M5" s="1104" t="s">
        <v>16</v>
      </c>
      <c r="N5" s="1104" t="s">
        <v>1382</v>
      </c>
      <c r="O5" s="1103" t="s">
        <v>1381</v>
      </c>
      <c r="P5" s="1103" t="s">
        <v>1381</v>
      </c>
      <c r="Q5" s="2322"/>
    </row>
    <row r="6" spans="2:20" ht="16.5" thickTop="1" thickBot="1">
      <c r="B6" s="2319"/>
      <c r="C6" s="2320"/>
      <c r="D6" s="2320"/>
      <c r="E6" s="2320"/>
      <c r="F6" s="2320"/>
      <c r="G6" s="2320"/>
      <c r="H6" s="1102" t="s">
        <v>1380</v>
      </c>
      <c r="I6" s="1101" t="s">
        <v>53</v>
      </c>
      <c r="J6" s="1100" t="s">
        <v>4</v>
      </c>
      <c r="K6" s="1100" t="s">
        <v>4</v>
      </c>
      <c r="L6" s="1100" t="s">
        <v>4</v>
      </c>
      <c r="M6" s="1100" t="s">
        <v>4</v>
      </c>
      <c r="N6" s="1100" t="s">
        <v>4</v>
      </c>
      <c r="O6" s="1099" t="s">
        <v>53</v>
      </c>
      <c r="P6" s="1099" t="s">
        <v>49</v>
      </c>
      <c r="Q6" s="2322"/>
    </row>
    <row r="7" spans="2:20" ht="15.75" thickTop="1">
      <c r="B7" s="1098">
        <v>1</v>
      </c>
      <c r="C7" s="1097">
        <f t="shared" ref="C7:Q7" si="0">1+B7</f>
        <v>2</v>
      </c>
      <c r="D7" s="1097">
        <f t="shared" si="0"/>
        <v>3</v>
      </c>
      <c r="E7" s="1097">
        <f t="shared" si="0"/>
        <v>4</v>
      </c>
      <c r="F7" s="1097">
        <f t="shared" si="0"/>
        <v>5</v>
      </c>
      <c r="G7" s="1097">
        <f t="shared" si="0"/>
        <v>6</v>
      </c>
      <c r="H7" s="1097">
        <f t="shared" si="0"/>
        <v>7</v>
      </c>
      <c r="I7" s="1097">
        <f t="shared" si="0"/>
        <v>8</v>
      </c>
      <c r="J7" s="1097">
        <f t="shared" si="0"/>
        <v>9</v>
      </c>
      <c r="K7" s="1097">
        <f t="shared" si="0"/>
        <v>10</v>
      </c>
      <c r="L7" s="1097">
        <f t="shared" si="0"/>
        <v>11</v>
      </c>
      <c r="M7" s="1097">
        <f t="shared" si="0"/>
        <v>12</v>
      </c>
      <c r="N7" s="1097">
        <f t="shared" si="0"/>
        <v>13</v>
      </c>
      <c r="O7" s="1097">
        <f t="shared" si="0"/>
        <v>14</v>
      </c>
      <c r="P7" s="1097">
        <f t="shared" si="0"/>
        <v>15</v>
      </c>
      <c r="Q7" s="1097">
        <f t="shared" si="0"/>
        <v>16</v>
      </c>
    </row>
    <row r="8" spans="2:20">
      <c r="B8" s="1054" t="s">
        <v>1341</v>
      </c>
      <c r="C8" s="1053" t="s">
        <v>1379</v>
      </c>
      <c r="D8" s="1052"/>
      <c r="E8" s="1052" t="s">
        <v>591</v>
      </c>
      <c r="F8" s="1052"/>
      <c r="G8" s="1052"/>
      <c r="H8" s="1052">
        <v>12</v>
      </c>
      <c r="I8" s="1051">
        <v>112</v>
      </c>
      <c r="J8" s="1050">
        <v>100</v>
      </c>
      <c r="K8" s="1049">
        <v>50</v>
      </c>
      <c r="L8" s="1049">
        <v>5</v>
      </c>
      <c r="M8" s="1049">
        <v>7</v>
      </c>
      <c r="N8" s="1048"/>
      <c r="O8" s="1047">
        <f>I8/H8</f>
        <v>9.3333333333333339</v>
      </c>
      <c r="P8" s="1047">
        <f t="shared" ref="P8:P30" si="1">((J8-2*M8)+(2*K8-L8))*2/1000</f>
        <v>0.36199999999999999</v>
      </c>
      <c r="Q8" s="1064"/>
      <c r="T8" s="1031"/>
    </row>
    <row r="9" spans="2:20">
      <c r="B9" s="1054"/>
      <c r="C9" s="1053" t="s">
        <v>1378</v>
      </c>
      <c r="D9" s="1052"/>
      <c r="E9" s="1052" t="s">
        <v>431</v>
      </c>
      <c r="F9" s="1052" t="s">
        <v>1019</v>
      </c>
      <c r="G9" s="1052"/>
      <c r="H9" s="1052">
        <v>12</v>
      </c>
      <c r="I9" s="1051">
        <v>112</v>
      </c>
      <c r="J9" s="1050">
        <v>100</v>
      </c>
      <c r="K9" s="1049">
        <v>59</v>
      </c>
      <c r="L9" s="1049">
        <v>4</v>
      </c>
      <c r="M9" s="1049">
        <v>7</v>
      </c>
      <c r="N9" s="1048"/>
      <c r="O9" s="1047">
        <f>I9/H9</f>
        <v>9.3333333333333339</v>
      </c>
      <c r="P9" s="1047">
        <f t="shared" si="1"/>
        <v>0.4</v>
      </c>
      <c r="Q9" s="1064"/>
      <c r="T9" s="1031"/>
    </row>
    <row r="10" spans="2:20">
      <c r="B10" s="1054"/>
      <c r="C10" s="1053" t="s">
        <v>1377</v>
      </c>
      <c r="D10" s="1052" t="s">
        <v>853</v>
      </c>
      <c r="E10" s="1052" t="s">
        <v>595</v>
      </c>
      <c r="F10" s="1052"/>
      <c r="G10" s="1052"/>
      <c r="H10" s="1052">
        <v>12</v>
      </c>
      <c r="I10" s="1051">
        <f>O10*H10</f>
        <v>206.39999999999998</v>
      </c>
      <c r="J10" s="1050">
        <v>100</v>
      </c>
      <c r="K10" s="1049">
        <v>100</v>
      </c>
      <c r="L10" s="1049">
        <v>6</v>
      </c>
      <c r="M10" s="1049">
        <v>8</v>
      </c>
      <c r="N10" s="1048"/>
      <c r="O10" s="1047">
        <v>17.2</v>
      </c>
      <c r="P10" s="1047">
        <f t="shared" si="1"/>
        <v>0.55600000000000005</v>
      </c>
      <c r="Q10" s="1064"/>
      <c r="T10" s="1031"/>
    </row>
    <row r="11" spans="2:20">
      <c r="B11" s="1054"/>
      <c r="C11" s="1053" t="s">
        <v>1376</v>
      </c>
      <c r="D11" s="1052"/>
      <c r="E11" s="1052" t="s">
        <v>591</v>
      </c>
      <c r="F11" s="1052" t="s">
        <v>1019</v>
      </c>
      <c r="G11" s="1052"/>
      <c r="H11" s="1052">
        <v>12</v>
      </c>
      <c r="I11" s="1051">
        <v>158.4</v>
      </c>
      <c r="J11" s="1050">
        <v>125</v>
      </c>
      <c r="K11" s="1049">
        <v>60</v>
      </c>
      <c r="L11" s="1049">
        <v>6</v>
      </c>
      <c r="M11" s="1049">
        <v>8</v>
      </c>
      <c r="N11" s="1048"/>
      <c r="O11" s="1047">
        <f>I11/H11</f>
        <v>13.200000000000001</v>
      </c>
      <c r="P11" s="1047">
        <f t="shared" si="1"/>
        <v>0.44600000000000001</v>
      </c>
      <c r="Q11" s="1064"/>
      <c r="T11" s="1031"/>
    </row>
    <row r="12" spans="2:20">
      <c r="B12" s="1054"/>
      <c r="C12" s="1053" t="s">
        <v>1375</v>
      </c>
      <c r="D12" s="1052"/>
      <c r="E12" s="1052" t="s">
        <v>595</v>
      </c>
      <c r="F12" s="1052"/>
      <c r="G12" s="1052"/>
      <c r="H12" s="1052">
        <v>12</v>
      </c>
      <c r="I12" s="1051">
        <v>222</v>
      </c>
      <c r="J12" s="1050">
        <v>125</v>
      </c>
      <c r="K12" s="1049">
        <v>125</v>
      </c>
      <c r="L12" s="1049">
        <v>5</v>
      </c>
      <c r="M12" s="1049">
        <v>7</v>
      </c>
      <c r="N12" s="1048"/>
      <c r="O12" s="1047">
        <f>I12/H12</f>
        <v>18.5</v>
      </c>
      <c r="P12" s="1047">
        <f t="shared" si="1"/>
        <v>0.71199999999999997</v>
      </c>
      <c r="Q12" s="1064"/>
      <c r="T12" s="1031"/>
    </row>
    <row r="13" spans="2:20">
      <c r="B13" s="1054"/>
      <c r="C13" s="1053" t="s">
        <v>1374</v>
      </c>
      <c r="D13" s="1052" t="s">
        <v>853</v>
      </c>
      <c r="E13" s="1052" t="s">
        <v>431</v>
      </c>
      <c r="F13" s="1052"/>
      <c r="G13" s="1052"/>
      <c r="H13" s="1052">
        <v>12</v>
      </c>
      <c r="I13" s="1051">
        <v>286</v>
      </c>
      <c r="J13" s="1050">
        <v>125</v>
      </c>
      <c r="K13" s="1049">
        <v>125</v>
      </c>
      <c r="L13" s="1049">
        <v>6.5</v>
      </c>
      <c r="M13" s="1049">
        <v>9</v>
      </c>
      <c r="N13" s="1048"/>
      <c r="O13" s="1047">
        <f>I13/H13</f>
        <v>23.833333333333332</v>
      </c>
      <c r="P13" s="1047">
        <f t="shared" si="1"/>
        <v>0.70099999999999996</v>
      </c>
      <c r="Q13" s="1064"/>
      <c r="T13" s="1031"/>
    </row>
    <row r="14" spans="2:20">
      <c r="B14" s="1054"/>
      <c r="C14" s="1053" t="s">
        <v>1373</v>
      </c>
      <c r="D14" s="1052"/>
      <c r="E14" s="1052" t="s">
        <v>431</v>
      </c>
      <c r="F14" s="1052" t="s">
        <v>1019</v>
      </c>
      <c r="G14" s="1052"/>
      <c r="H14" s="1052">
        <v>12</v>
      </c>
      <c r="I14" s="1051">
        <v>253.2</v>
      </c>
      <c r="J14" s="1050">
        <v>148</v>
      </c>
      <c r="K14" s="1049">
        <v>100</v>
      </c>
      <c r="L14" s="1049">
        <v>6</v>
      </c>
      <c r="M14" s="1049">
        <v>9</v>
      </c>
      <c r="N14" s="1048"/>
      <c r="O14" s="1047">
        <f>I14/H14</f>
        <v>21.099999999999998</v>
      </c>
      <c r="P14" s="1047">
        <f t="shared" si="1"/>
        <v>0.64800000000000002</v>
      </c>
      <c r="Q14" s="1064"/>
      <c r="T14" s="1031"/>
    </row>
    <row r="15" spans="2:20">
      <c r="B15" s="1054"/>
      <c r="C15" s="1053" t="s">
        <v>1372</v>
      </c>
      <c r="D15" s="1052" t="s">
        <v>853</v>
      </c>
      <c r="E15" s="1052" t="s">
        <v>595</v>
      </c>
      <c r="F15" s="1052" t="s">
        <v>1019</v>
      </c>
      <c r="G15" s="1052"/>
      <c r="H15" s="1052">
        <v>12</v>
      </c>
      <c r="I15" s="1051">
        <f>O15*H15</f>
        <v>168</v>
      </c>
      <c r="J15" s="1050">
        <v>150</v>
      </c>
      <c r="K15" s="1049">
        <v>75</v>
      </c>
      <c r="L15" s="1049">
        <v>5</v>
      </c>
      <c r="M15" s="1049">
        <v>7</v>
      </c>
      <c r="N15" s="1048"/>
      <c r="O15" s="1047">
        <v>14</v>
      </c>
      <c r="P15" s="1047">
        <f t="shared" si="1"/>
        <v>0.56200000000000006</v>
      </c>
      <c r="Q15" s="1064"/>
      <c r="T15" s="1031"/>
    </row>
    <row r="16" spans="2:20">
      <c r="B16" s="1054"/>
      <c r="C16" s="1053" t="s">
        <v>1371</v>
      </c>
      <c r="D16" s="1052" t="s">
        <v>853</v>
      </c>
      <c r="E16" s="1052"/>
      <c r="F16" s="1052"/>
      <c r="G16" s="1052"/>
      <c r="H16" s="1052">
        <v>12</v>
      </c>
      <c r="I16" s="1051">
        <f>O16*H16</f>
        <v>253.20000000000002</v>
      </c>
      <c r="J16" s="1050">
        <v>150</v>
      </c>
      <c r="K16" s="1049">
        <v>100</v>
      </c>
      <c r="L16" s="1049">
        <v>6</v>
      </c>
      <c r="M16" s="1049">
        <v>9</v>
      </c>
      <c r="N16" s="1048"/>
      <c r="O16" s="1047">
        <v>21.1</v>
      </c>
      <c r="P16" s="1047">
        <f t="shared" si="1"/>
        <v>0.65200000000000002</v>
      </c>
      <c r="Q16" s="1064"/>
      <c r="T16" s="1031"/>
    </row>
    <row r="17" spans="1:20">
      <c r="B17" s="1054"/>
      <c r="C17" s="1053" t="s">
        <v>1370</v>
      </c>
      <c r="D17" s="1052" t="s">
        <v>853</v>
      </c>
      <c r="E17" s="1052" t="s">
        <v>595</v>
      </c>
      <c r="F17" s="1052"/>
      <c r="G17" s="1052"/>
      <c r="H17" s="1052">
        <v>12</v>
      </c>
      <c r="I17" s="1051">
        <f>O17*H17</f>
        <v>378</v>
      </c>
      <c r="J17" s="1050">
        <v>150</v>
      </c>
      <c r="K17" s="1049">
        <v>150</v>
      </c>
      <c r="L17" s="1049">
        <v>7</v>
      </c>
      <c r="M17" s="1049">
        <v>10</v>
      </c>
      <c r="N17" s="1048"/>
      <c r="O17" s="1047">
        <v>31.5</v>
      </c>
      <c r="P17" s="1047">
        <f t="shared" si="1"/>
        <v>0.84599999999999997</v>
      </c>
      <c r="Q17" s="1064"/>
      <c r="T17" s="1031"/>
    </row>
    <row r="18" spans="1:20">
      <c r="B18" s="1054"/>
      <c r="C18" s="1053" t="s">
        <v>1369</v>
      </c>
      <c r="D18" s="1052"/>
      <c r="E18" s="1052" t="s">
        <v>595</v>
      </c>
      <c r="F18" s="1052" t="s">
        <v>1019</v>
      </c>
      <c r="G18" s="1052"/>
      <c r="H18" s="1052">
        <v>12</v>
      </c>
      <c r="I18" s="1051">
        <v>217.2</v>
      </c>
      <c r="J18" s="1050">
        <v>175</v>
      </c>
      <c r="K18" s="1049">
        <v>90</v>
      </c>
      <c r="L18" s="1049">
        <v>5</v>
      </c>
      <c r="M18" s="1049">
        <v>8</v>
      </c>
      <c r="N18" s="1048"/>
      <c r="O18" s="1047">
        <f>I18/H18</f>
        <v>18.099999999999998</v>
      </c>
      <c r="P18" s="1047">
        <f t="shared" si="1"/>
        <v>0.66800000000000004</v>
      </c>
      <c r="Q18" s="1064"/>
      <c r="T18" s="1031"/>
    </row>
    <row r="19" spans="1:20">
      <c r="B19" s="1054"/>
      <c r="C19" s="1053" t="s">
        <v>1368</v>
      </c>
      <c r="D19" s="1052" t="s">
        <v>853</v>
      </c>
      <c r="E19" s="1052" t="s">
        <v>595</v>
      </c>
      <c r="F19" s="1052"/>
      <c r="G19" s="1052"/>
      <c r="H19" s="1052">
        <v>12</v>
      </c>
      <c r="I19" s="1051">
        <f>O19*H19</f>
        <v>482.40000000000003</v>
      </c>
      <c r="J19" s="1050">
        <v>175</v>
      </c>
      <c r="K19" s="1049">
        <v>175</v>
      </c>
      <c r="L19" s="1049">
        <v>7.5</v>
      </c>
      <c r="M19" s="1049">
        <v>11</v>
      </c>
      <c r="N19" s="1048"/>
      <c r="O19" s="1047">
        <v>40.200000000000003</v>
      </c>
      <c r="P19" s="1047">
        <f t="shared" si="1"/>
        <v>0.99099999999999999</v>
      </c>
      <c r="Q19" s="1064"/>
      <c r="T19" s="1031"/>
    </row>
    <row r="20" spans="1:20">
      <c r="B20" s="1054"/>
      <c r="C20" s="1053" t="s">
        <v>1367</v>
      </c>
      <c r="D20" s="1052" t="s">
        <v>853</v>
      </c>
      <c r="E20" s="1052" t="s">
        <v>591</v>
      </c>
      <c r="F20" s="1052"/>
      <c r="G20" s="1052"/>
      <c r="H20" s="1052">
        <v>12</v>
      </c>
      <c r="I20" s="1051">
        <f>O20*H20</f>
        <v>218.39999999999998</v>
      </c>
      <c r="J20" s="1050">
        <v>198</v>
      </c>
      <c r="K20" s="1049">
        <v>99</v>
      </c>
      <c r="L20" s="1049">
        <v>4.5</v>
      </c>
      <c r="M20" s="1049">
        <v>7</v>
      </c>
      <c r="N20" s="1048"/>
      <c r="O20" s="1047">
        <v>18.2</v>
      </c>
      <c r="P20" s="1047">
        <f t="shared" si="1"/>
        <v>0.755</v>
      </c>
      <c r="Q20" s="1064"/>
      <c r="T20" s="1031"/>
    </row>
    <row r="21" spans="1:20">
      <c r="A21" s="1076"/>
      <c r="B21" s="1085"/>
      <c r="C21" s="1084" t="s">
        <v>1366</v>
      </c>
      <c r="D21" s="1083"/>
      <c r="E21" s="1083" t="s">
        <v>431</v>
      </c>
      <c r="F21" s="1083" t="s">
        <v>1019</v>
      </c>
      <c r="G21" s="1083"/>
      <c r="H21" s="1083">
        <v>12</v>
      </c>
      <c r="I21" s="1082">
        <v>143</v>
      </c>
      <c r="J21" s="1081">
        <v>200</v>
      </c>
      <c r="K21" s="1080">
        <v>100</v>
      </c>
      <c r="L21" s="1080">
        <v>3.2</v>
      </c>
      <c r="M21" s="1080">
        <v>4.5</v>
      </c>
      <c r="N21" s="1079"/>
      <c r="O21" s="1078">
        <f>I21/H21</f>
        <v>11.916666666666666</v>
      </c>
      <c r="P21" s="1078">
        <f t="shared" si="1"/>
        <v>0.77560000000000007</v>
      </c>
      <c r="Q21" s="1077"/>
      <c r="R21" s="1076"/>
      <c r="S21" s="1075"/>
      <c r="T21" s="1031"/>
    </row>
    <row r="22" spans="1:20">
      <c r="A22" s="1076"/>
      <c r="B22" s="1085"/>
      <c r="C22" s="1084" t="s">
        <v>1365</v>
      </c>
      <c r="D22" s="1083" t="s">
        <v>853</v>
      </c>
      <c r="E22" s="1083" t="s">
        <v>595</v>
      </c>
      <c r="F22" s="1083" t="s">
        <v>1019</v>
      </c>
      <c r="G22" s="1083"/>
      <c r="H22" s="1083">
        <v>12</v>
      </c>
      <c r="I22" s="1082">
        <f>O22*H22</f>
        <v>255.95999999999998</v>
      </c>
      <c r="J22" s="1081">
        <v>200</v>
      </c>
      <c r="K22" s="1080">
        <v>100</v>
      </c>
      <c r="L22" s="1080">
        <v>5.5</v>
      </c>
      <c r="M22" s="1080">
        <v>8</v>
      </c>
      <c r="N22" s="1079"/>
      <c r="O22" s="1078">
        <v>21.33</v>
      </c>
      <c r="P22" s="1078">
        <f t="shared" si="1"/>
        <v>0.75700000000000001</v>
      </c>
      <c r="Q22" s="1077"/>
      <c r="R22" s="1076"/>
      <c r="S22" s="1075"/>
      <c r="T22" s="1031"/>
    </row>
    <row r="23" spans="1:20">
      <c r="B23" s="1054"/>
      <c r="C23" s="1053" t="s">
        <v>1364</v>
      </c>
      <c r="D23" s="1052" t="s">
        <v>853</v>
      </c>
      <c r="E23" s="1052" t="s">
        <v>595</v>
      </c>
      <c r="F23" s="1052"/>
      <c r="G23" s="1052"/>
      <c r="H23" s="1052">
        <v>12</v>
      </c>
      <c r="I23" s="1051">
        <v>599</v>
      </c>
      <c r="J23" s="1050">
        <v>200</v>
      </c>
      <c r="K23" s="1049">
        <v>200</v>
      </c>
      <c r="L23" s="1049">
        <v>8</v>
      </c>
      <c r="M23" s="1049">
        <v>12</v>
      </c>
      <c r="N23" s="1048"/>
      <c r="O23" s="1047">
        <f>I23/H23</f>
        <v>49.916666666666664</v>
      </c>
      <c r="P23" s="1047">
        <f t="shared" si="1"/>
        <v>1.1359999999999999</v>
      </c>
      <c r="Q23" s="1064"/>
      <c r="T23" s="1031"/>
    </row>
    <row r="24" spans="1:20">
      <c r="B24" s="1054"/>
      <c r="C24" s="1053" t="s">
        <v>1363</v>
      </c>
      <c r="D24" s="1052" t="s">
        <v>853</v>
      </c>
      <c r="E24" s="1052" t="s">
        <v>595</v>
      </c>
      <c r="F24" s="1052" t="s">
        <v>1019</v>
      </c>
      <c r="G24" s="1052"/>
      <c r="H24" s="1052">
        <v>12</v>
      </c>
      <c r="I24" s="1051">
        <f>O24*H24</f>
        <v>308.39999999999998</v>
      </c>
      <c r="J24" s="1050">
        <v>248</v>
      </c>
      <c r="K24" s="1049">
        <v>124</v>
      </c>
      <c r="L24" s="1049">
        <v>5</v>
      </c>
      <c r="M24" s="1049">
        <v>8</v>
      </c>
      <c r="N24" s="1048"/>
      <c r="O24" s="1047">
        <v>25.7</v>
      </c>
      <c r="P24" s="1047">
        <f t="shared" si="1"/>
        <v>0.95</v>
      </c>
      <c r="Q24" s="1064"/>
      <c r="T24" s="1031"/>
    </row>
    <row r="25" spans="1:20">
      <c r="B25" s="1054"/>
      <c r="C25" s="1053" t="s">
        <v>1362</v>
      </c>
      <c r="D25" s="1052" t="s">
        <v>853</v>
      </c>
      <c r="E25" s="1052" t="s">
        <v>595</v>
      </c>
      <c r="F25" s="1052" t="s">
        <v>1019</v>
      </c>
      <c r="G25" s="1052"/>
      <c r="H25" s="1052">
        <v>12</v>
      </c>
      <c r="I25" s="1051">
        <f>O25*H25</f>
        <v>355.20000000000005</v>
      </c>
      <c r="J25" s="1050">
        <v>250</v>
      </c>
      <c r="K25" s="1049">
        <v>125</v>
      </c>
      <c r="L25" s="1049">
        <v>6</v>
      </c>
      <c r="M25" s="1049">
        <v>9</v>
      </c>
      <c r="N25" s="1048"/>
      <c r="O25" s="1047">
        <v>29.6</v>
      </c>
      <c r="P25" s="1047">
        <f t="shared" si="1"/>
        <v>0.95199999999999996</v>
      </c>
      <c r="Q25" s="1064"/>
      <c r="T25" s="1031"/>
    </row>
    <row r="26" spans="1:20">
      <c r="B26" s="1073"/>
      <c r="C26" s="1072" t="s">
        <v>1361</v>
      </c>
      <c r="D26" s="1071" t="s">
        <v>853</v>
      </c>
      <c r="E26" s="1071" t="s">
        <v>595</v>
      </c>
      <c r="F26" s="1071"/>
      <c r="G26" s="1071"/>
      <c r="H26" s="1071">
        <v>12</v>
      </c>
      <c r="I26" s="1070">
        <v>869</v>
      </c>
      <c r="J26" s="1069">
        <v>250</v>
      </c>
      <c r="K26" s="1068">
        <v>250</v>
      </c>
      <c r="L26" s="1068">
        <v>9</v>
      </c>
      <c r="M26" s="1068">
        <v>14</v>
      </c>
      <c r="N26" s="1067"/>
      <c r="O26" s="1066">
        <f>I26/H26</f>
        <v>72.416666666666671</v>
      </c>
      <c r="P26" s="1066">
        <f t="shared" si="1"/>
        <v>1.4259999999999999</v>
      </c>
      <c r="Q26" s="1065"/>
      <c r="T26" s="1031"/>
    </row>
    <row r="27" spans="1:20">
      <c r="B27" s="1054"/>
      <c r="C27" s="1053" t="s">
        <v>1360</v>
      </c>
      <c r="D27" s="1052" t="s">
        <v>853</v>
      </c>
      <c r="E27" s="1052" t="s">
        <v>595</v>
      </c>
      <c r="F27" s="1052" t="s">
        <v>1019</v>
      </c>
      <c r="G27" s="1052"/>
      <c r="H27" s="1052">
        <v>12</v>
      </c>
      <c r="I27" s="1051">
        <f>O27*H27</f>
        <v>384</v>
      </c>
      <c r="J27" s="1050">
        <v>298</v>
      </c>
      <c r="K27" s="1049">
        <v>149</v>
      </c>
      <c r="L27" s="1049">
        <v>5.5</v>
      </c>
      <c r="M27" s="1049">
        <v>8</v>
      </c>
      <c r="N27" s="1048"/>
      <c r="O27" s="1047">
        <v>32</v>
      </c>
      <c r="P27" s="1047">
        <f t="shared" si="1"/>
        <v>1.149</v>
      </c>
      <c r="Q27" s="1064"/>
      <c r="T27" s="1031"/>
    </row>
    <row r="28" spans="1:20">
      <c r="A28" s="1087"/>
      <c r="B28" s="1096"/>
      <c r="C28" s="1095" t="s">
        <v>1359</v>
      </c>
      <c r="D28" s="1094" t="s">
        <v>853</v>
      </c>
      <c r="E28" s="1094" t="s">
        <v>595</v>
      </c>
      <c r="F28" s="1094" t="s">
        <v>1019</v>
      </c>
      <c r="G28" s="1094"/>
      <c r="H28" s="1094">
        <v>12</v>
      </c>
      <c r="I28" s="1093">
        <f>O28*H28</f>
        <v>440.40000000000003</v>
      </c>
      <c r="J28" s="1092">
        <v>200</v>
      </c>
      <c r="K28" s="1091">
        <v>150</v>
      </c>
      <c r="L28" s="1091">
        <v>6.5</v>
      </c>
      <c r="M28" s="1091">
        <v>9</v>
      </c>
      <c r="N28" s="1090"/>
      <c r="O28" s="1089">
        <v>36.700000000000003</v>
      </c>
      <c r="P28" s="1089">
        <f t="shared" si="1"/>
        <v>0.95099999999999996</v>
      </c>
      <c r="Q28" s="1088"/>
      <c r="R28" s="1087"/>
      <c r="S28" s="1086"/>
      <c r="T28" s="1031"/>
    </row>
    <row r="29" spans="1:20">
      <c r="B29" s="1054"/>
      <c r="C29" s="1053" t="s">
        <v>1358</v>
      </c>
      <c r="D29" s="1052" t="s">
        <v>853</v>
      </c>
      <c r="E29" s="1052" t="s">
        <v>595</v>
      </c>
      <c r="F29" s="1052"/>
      <c r="G29" s="1052"/>
      <c r="H29" s="1052">
        <v>12</v>
      </c>
      <c r="I29" s="1051">
        <f>O29*H29</f>
        <v>1128</v>
      </c>
      <c r="J29" s="1050">
        <v>300</v>
      </c>
      <c r="K29" s="1049">
        <v>300</v>
      </c>
      <c r="L29" s="1049">
        <v>10</v>
      </c>
      <c r="M29" s="1049">
        <v>15</v>
      </c>
      <c r="N29" s="1048"/>
      <c r="O29" s="1047">
        <v>94</v>
      </c>
      <c r="P29" s="1047">
        <f t="shared" si="1"/>
        <v>1.72</v>
      </c>
      <c r="Q29" s="1064"/>
      <c r="T29" s="1031"/>
    </row>
    <row r="30" spans="1:20">
      <c r="B30" s="1054"/>
      <c r="C30" s="1053" t="s">
        <v>1357</v>
      </c>
      <c r="D30" s="1052" t="s">
        <v>853</v>
      </c>
      <c r="E30" s="1052" t="s">
        <v>595</v>
      </c>
      <c r="F30" s="1052" t="s">
        <v>1019</v>
      </c>
      <c r="G30" s="1052"/>
      <c r="H30" s="1052">
        <v>12</v>
      </c>
      <c r="I30" s="1051">
        <v>497</v>
      </c>
      <c r="J30" s="1050">
        <v>346</v>
      </c>
      <c r="K30" s="1049">
        <v>174</v>
      </c>
      <c r="L30" s="1049">
        <v>6</v>
      </c>
      <c r="M30" s="1049">
        <v>9</v>
      </c>
      <c r="N30" s="1048"/>
      <c r="O30" s="1047">
        <f>I30/H30</f>
        <v>41.416666666666664</v>
      </c>
      <c r="P30" s="1047">
        <f t="shared" si="1"/>
        <v>1.34</v>
      </c>
      <c r="Q30" s="1064"/>
      <c r="T30" s="1031"/>
    </row>
    <row r="31" spans="1:20">
      <c r="A31" s="1076"/>
      <c r="B31" s="1085"/>
      <c r="C31" s="1084" t="s">
        <v>1356</v>
      </c>
      <c r="D31" s="1083" t="s">
        <v>853</v>
      </c>
      <c r="E31" s="1083" t="s">
        <v>595</v>
      </c>
      <c r="F31" s="1083" t="s">
        <v>1019</v>
      </c>
      <c r="G31" s="1083"/>
      <c r="H31" s="1083">
        <v>12</v>
      </c>
      <c r="I31" s="1082"/>
      <c r="J31" s="1081">
        <f>100*5+264+114*2+112*2+170</f>
        <v>1386</v>
      </c>
      <c r="K31" s="1080">
        <v>300</v>
      </c>
      <c r="L31" s="1080">
        <v>7</v>
      </c>
      <c r="M31" s="1080">
        <v>11</v>
      </c>
      <c r="N31" s="1079"/>
      <c r="O31" s="1078">
        <v>49.6</v>
      </c>
      <c r="P31" s="1078">
        <f>H31*K31*O31*J31/1000000</f>
        <v>247.48416</v>
      </c>
      <c r="Q31" s="1077"/>
      <c r="R31" s="1076"/>
      <c r="S31" s="1075"/>
      <c r="T31" s="1031"/>
    </row>
    <row r="32" spans="1:20">
      <c r="B32" s="1054"/>
      <c r="C32" s="1053" t="s">
        <v>1355</v>
      </c>
      <c r="D32" s="1052" t="s">
        <v>853</v>
      </c>
      <c r="E32" s="1052" t="s">
        <v>595</v>
      </c>
      <c r="F32" s="1052"/>
      <c r="G32" s="1052"/>
      <c r="H32" s="1052">
        <v>12</v>
      </c>
      <c r="I32" s="1051">
        <f>O32*H32</f>
        <v>1644</v>
      </c>
      <c r="J32" s="1050">
        <v>350</v>
      </c>
      <c r="K32" s="1049">
        <v>350</v>
      </c>
      <c r="L32" s="1049">
        <v>12</v>
      </c>
      <c r="M32" s="1049">
        <v>19</v>
      </c>
      <c r="N32" s="1048"/>
      <c r="O32" s="1047">
        <v>137</v>
      </c>
      <c r="P32" s="1047">
        <f t="shared" ref="P32:P63" si="2">((J32-2*M32)+(2*K32-L32))*2/1000</f>
        <v>2</v>
      </c>
      <c r="Q32" s="1064"/>
      <c r="T32" s="1031"/>
    </row>
    <row r="33" spans="2:20">
      <c r="B33" s="1054"/>
      <c r="C33" s="1053" t="s">
        <v>1354</v>
      </c>
      <c r="D33" s="1052" t="s">
        <v>853</v>
      </c>
      <c r="E33" s="1052" t="s">
        <v>595</v>
      </c>
      <c r="F33" s="1052" t="s">
        <v>1019</v>
      </c>
      <c r="G33" s="1052"/>
      <c r="H33" s="1052">
        <v>12</v>
      </c>
      <c r="I33" s="1051">
        <v>679.5</v>
      </c>
      <c r="J33" s="1050">
        <v>396</v>
      </c>
      <c r="K33" s="1049">
        <v>199</v>
      </c>
      <c r="L33" s="1049">
        <v>7</v>
      </c>
      <c r="M33" s="1049">
        <v>11</v>
      </c>
      <c r="N33" s="1048"/>
      <c r="O33" s="1047">
        <f>I33/H33</f>
        <v>56.625</v>
      </c>
      <c r="P33" s="1047">
        <f t="shared" si="2"/>
        <v>1.53</v>
      </c>
      <c r="Q33" s="1064"/>
      <c r="T33" s="1031"/>
    </row>
    <row r="34" spans="2:20">
      <c r="B34" s="1054"/>
      <c r="C34" s="1053" t="s">
        <v>1353</v>
      </c>
      <c r="D34" s="1052" t="s">
        <v>853</v>
      </c>
      <c r="E34" s="1052" t="s">
        <v>595</v>
      </c>
      <c r="F34" s="1052" t="s">
        <v>1019</v>
      </c>
      <c r="G34" s="1052"/>
      <c r="H34" s="1052">
        <v>12</v>
      </c>
      <c r="I34" s="1051">
        <f>O34*H34</f>
        <v>792</v>
      </c>
      <c r="J34" s="1050">
        <v>400</v>
      </c>
      <c r="K34" s="1049">
        <v>200</v>
      </c>
      <c r="L34" s="1049">
        <v>8</v>
      </c>
      <c r="M34" s="1049">
        <v>13</v>
      </c>
      <c r="N34" s="1048"/>
      <c r="O34" s="1047">
        <v>66</v>
      </c>
      <c r="P34" s="1047">
        <f t="shared" si="2"/>
        <v>1.532</v>
      </c>
      <c r="Q34" s="1064"/>
      <c r="T34" s="1031"/>
    </row>
    <row r="35" spans="2:20">
      <c r="B35" s="1054"/>
      <c r="C35" s="1053" t="s">
        <v>1352</v>
      </c>
      <c r="D35" s="1052" t="s">
        <v>853</v>
      </c>
      <c r="E35" s="1052" t="s">
        <v>595</v>
      </c>
      <c r="F35" s="1052" t="s">
        <v>1351</v>
      </c>
      <c r="G35" s="1052"/>
      <c r="H35" s="1052">
        <v>12</v>
      </c>
      <c r="I35" s="1051">
        <f>O35*H35</f>
        <v>2064</v>
      </c>
      <c r="J35" s="1050">
        <v>400</v>
      </c>
      <c r="K35" s="1049">
        <v>400</v>
      </c>
      <c r="L35" s="1049">
        <v>13</v>
      </c>
      <c r="M35" s="1049">
        <v>21</v>
      </c>
      <c r="N35" s="1048"/>
      <c r="O35" s="1047">
        <v>172</v>
      </c>
      <c r="P35" s="1047">
        <f t="shared" si="2"/>
        <v>2.29</v>
      </c>
      <c r="Q35" s="1064"/>
      <c r="T35" s="1031"/>
    </row>
    <row r="36" spans="2:20">
      <c r="B36" s="1054"/>
      <c r="C36" s="1053" t="s">
        <v>1350</v>
      </c>
      <c r="D36" s="1052"/>
      <c r="E36" s="1052" t="s">
        <v>595</v>
      </c>
      <c r="F36" s="1052" t="s">
        <v>1019</v>
      </c>
      <c r="G36" s="1052"/>
      <c r="H36" s="1052">
        <v>12</v>
      </c>
      <c r="I36" s="1051">
        <v>794.4</v>
      </c>
      <c r="J36" s="1050">
        <v>446</v>
      </c>
      <c r="K36" s="1049">
        <v>199</v>
      </c>
      <c r="L36" s="1049">
        <v>8</v>
      </c>
      <c r="M36" s="1049">
        <v>12</v>
      </c>
      <c r="N36" s="1048"/>
      <c r="O36" s="1047">
        <f>I36/H36</f>
        <v>66.2</v>
      </c>
      <c r="P36" s="1047">
        <f t="shared" si="2"/>
        <v>1.6240000000000001</v>
      </c>
      <c r="Q36" s="1064"/>
      <c r="T36" s="1031"/>
    </row>
    <row r="37" spans="2:20">
      <c r="B37" s="1054"/>
      <c r="C37" s="1053" t="s">
        <v>1349</v>
      </c>
      <c r="D37" s="1052" t="s">
        <v>853</v>
      </c>
      <c r="E37" s="1052" t="s">
        <v>595</v>
      </c>
      <c r="F37" s="1052" t="s">
        <v>1019</v>
      </c>
      <c r="G37" s="1052"/>
      <c r="H37" s="1052">
        <v>12</v>
      </c>
      <c r="I37" s="1051">
        <f>O37*H37</f>
        <v>912</v>
      </c>
      <c r="J37" s="1050">
        <v>450</v>
      </c>
      <c r="K37" s="1049">
        <v>200</v>
      </c>
      <c r="L37" s="1049">
        <v>9</v>
      </c>
      <c r="M37" s="1049">
        <v>14</v>
      </c>
      <c r="N37" s="1048"/>
      <c r="O37" s="1047">
        <v>76</v>
      </c>
      <c r="P37" s="1047">
        <f t="shared" si="2"/>
        <v>1.6259999999999999</v>
      </c>
      <c r="Q37" s="1064"/>
      <c r="T37" s="1031"/>
    </row>
    <row r="38" spans="2:20">
      <c r="B38" s="1054"/>
      <c r="C38" s="1053" t="s">
        <v>1348</v>
      </c>
      <c r="D38" s="1052"/>
      <c r="E38" s="1052" t="s">
        <v>591</v>
      </c>
      <c r="F38" s="1052"/>
      <c r="G38" s="1052"/>
      <c r="H38" s="1052">
        <v>12</v>
      </c>
      <c r="I38" s="1051">
        <v>954</v>
      </c>
      <c r="J38" s="1050">
        <v>496</v>
      </c>
      <c r="K38" s="1049">
        <v>199</v>
      </c>
      <c r="L38" s="1049">
        <v>9</v>
      </c>
      <c r="M38" s="1049">
        <v>14</v>
      </c>
      <c r="N38" s="1048"/>
      <c r="O38" s="1047">
        <f>I38/H38</f>
        <v>79.5</v>
      </c>
      <c r="P38" s="1047">
        <f t="shared" si="2"/>
        <v>1.714</v>
      </c>
      <c r="Q38" s="1064"/>
      <c r="T38" s="1031"/>
    </row>
    <row r="39" spans="2:20">
      <c r="B39" s="1054"/>
      <c r="C39" s="1053" t="s">
        <v>1347</v>
      </c>
      <c r="D39" s="1052" t="s">
        <v>853</v>
      </c>
      <c r="E39" s="1052" t="s">
        <v>595</v>
      </c>
      <c r="F39" s="1052" t="s">
        <v>1019</v>
      </c>
      <c r="G39" s="1052"/>
      <c r="H39" s="1052">
        <v>12</v>
      </c>
      <c r="I39" s="1051">
        <f>O39*H39</f>
        <v>1075.1999999999998</v>
      </c>
      <c r="J39" s="1050">
        <v>500</v>
      </c>
      <c r="K39" s="1049">
        <v>200</v>
      </c>
      <c r="L39" s="1049">
        <v>10</v>
      </c>
      <c r="M39" s="1049">
        <v>16</v>
      </c>
      <c r="N39" s="1048"/>
      <c r="O39" s="1047">
        <v>89.6</v>
      </c>
      <c r="P39" s="1047">
        <f t="shared" si="2"/>
        <v>1.716</v>
      </c>
      <c r="Q39" s="1064"/>
      <c r="T39" s="1031"/>
    </row>
    <row r="40" spans="2:20">
      <c r="B40" s="1054"/>
      <c r="C40" s="1053" t="s">
        <v>1346</v>
      </c>
      <c r="D40" s="1052" t="s">
        <v>853</v>
      </c>
      <c r="E40" s="1052" t="s">
        <v>595</v>
      </c>
      <c r="F40" s="1052" t="s">
        <v>1019</v>
      </c>
      <c r="G40" s="1052"/>
      <c r="H40" s="1052">
        <v>12</v>
      </c>
      <c r="I40" s="1051">
        <f>O40*H40</f>
        <v>1812</v>
      </c>
      <c r="J40" s="1050">
        <v>588</v>
      </c>
      <c r="K40" s="1049">
        <v>300</v>
      </c>
      <c r="L40" s="1049">
        <v>12</v>
      </c>
      <c r="M40" s="1049">
        <v>20</v>
      </c>
      <c r="N40" s="1048"/>
      <c r="O40" s="1047">
        <v>151</v>
      </c>
      <c r="P40" s="1047">
        <f t="shared" si="2"/>
        <v>2.2719999999999998</v>
      </c>
      <c r="Q40" s="1064"/>
      <c r="T40" s="1031"/>
    </row>
    <row r="41" spans="2:20">
      <c r="B41" s="1054"/>
      <c r="C41" s="1053" t="s">
        <v>1345</v>
      </c>
      <c r="D41" s="1052" t="s">
        <v>853</v>
      </c>
      <c r="E41" s="1052" t="s">
        <v>595</v>
      </c>
      <c r="F41" s="1052" t="s">
        <v>1019</v>
      </c>
      <c r="G41" s="1052"/>
      <c r="H41" s="1052">
        <v>12</v>
      </c>
      <c r="I41" s="1051">
        <f>O41*H41</f>
        <v>1272</v>
      </c>
      <c r="J41" s="1050">
        <v>600</v>
      </c>
      <c r="K41" s="1049">
        <v>200</v>
      </c>
      <c r="L41" s="1049">
        <v>11</v>
      </c>
      <c r="M41" s="1049">
        <v>17</v>
      </c>
      <c r="N41" s="1048"/>
      <c r="O41" s="1047">
        <v>106</v>
      </c>
      <c r="P41" s="1047">
        <f t="shared" si="2"/>
        <v>1.91</v>
      </c>
      <c r="Q41" s="1064"/>
      <c r="T41" s="1031"/>
    </row>
    <row r="42" spans="2:20">
      <c r="B42" s="1054"/>
      <c r="C42" s="1053" t="s">
        <v>1344</v>
      </c>
      <c r="D42" s="1052"/>
      <c r="E42" s="1052" t="s">
        <v>591</v>
      </c>
      <c r="F42" s="1052"/>
      <c r="G42" s="1052"/>
      <c r="H42" s="1052">
        <v>12</v>
      </c>
      <c r="I42" s="1051">
        <v>1992</v>
      </c>
      <c r="J42" s="1050">
        <v>692</v>
      </c>
      <c r="K42" s="1049">
        <v>300</v>
      </c>
      <c r="L42" s="1049">
        <v>13</v>
      </c>
      <c r="M42" s="1049">
        <v>20</v>
      </c>
      <c r="N42" s="1048"/>
      <c r="O42" s="1047">
        <f>I42/H42</f>
        <v>166</v>
      </c>
      <c r="P42" s="1047">
        <f t="shared" si="2"/>
        <v>2.4780000000000002</v>
      </c>
      <c r="Q42" s="1064"/>
      <c r="T42" s="1031"/>
    </row>
    <row r="43" spans="2:20">
      <c r="B43" s="1054"/>
      <c r="C43" s="1053" t="s">
        <v>1343</v>
      </c>
      <c r="D43" s="1052" t="s">
        <v>853</v>
      </c>
      <c r="E43" s="1052" t="s">
        <v>595</v>
      </c>
      <c r="F43" s="1052" t="s">
        <v>1019</v>
      </c>
      <c r="G43" s="1052"/>
      <c r="H43" s="1052">
        <v>12</v>
      </c>
      <c r="I43" s="1051">
        <f>O43*H43</f>
        <v>2220</v>
      </c>
      <c r="J43" s="1050">
        <v>700</v>
      </c>
      <c r="K43" s="1049">
        <v>300</v>
      </c>
      <c r="L43" s="1049">
        <v>13</v>
      </c>
      <c r="M43" s="1049">
        <v>24</v>
      </c>
      <c r="N43" s="1048"/>
      <c r="O43" s="1047">
        <v>185</v>
      </c>
      <c r="P43" s="1047">
        <f t="shared" si="2"/>
        <v>2.4780000000000002</v>
      </c>
      <c r="Q43" s="1064"/>
      <c r="T43" s="1031"/>
    </row>
    <row r="44" spans="2:20">
      <c r="B44" s="1054"/>
      <c r="C44" s="1053" t="s">
        <v>1342</v>
      </c>
      <c r="D44" s="1052" t="s">
        <v>853</v>
      </c>
      <c r="E44" s="1052" t="s">
        <v>595</v>
      </c>
      <c r="F44" s="1052" t="s">
        <v>1019</v>
      </c>
      <c r="G44" s="1052"/>
      <c r="H44" s="1052">
        <v>12</v>
      </c>
      <c r="I44" s="1051">
        <f>O44*H44</f>
        <v>2520</v>
      </c>
      <c r="J44" s="1050">
        <v>800</v>
      </c>
      <c r="K44" s="1049">
        <v>300</v>
      </c>
      <c r="L44" s="1049">
        <v>14</v>
      </c>
      <c r="M44" s="1049">
        <v>26</v>
      </c>
      <c r="N44" s="1048"/>
      <c r="O44" s="1047">
        <v>210</v>
      </c>
      <c r="P44" s="1047">
        <f t="shared" si="2"/>
        <v>2.6680000000000001</v>
      </c>
      <c r="Q44" s="1064"/>
      <c r="T44" s="1031"/>
    </row>
    <row r="45" spans="2:20">
      <c r="B45" s="1054" t="s">
        <v>1341</v>
      </c>
      <c r="C45" s="1053" t="s">
        <v>1340</v>
      </c>
      <c r="D45" s="1052"/>
      <c r="E45" s="1052" t="s">
        <v>431</v>
      </c>
      <c r="F45" s="1052" t="s">
        <v>1019</v>
      </c>
      <c r="G45" s="1052"/>
      <c r="H45" s="1052">
        <v>12</v>
      </c>
      <c r="I45" s="1051">
        <v>277</v>
      </c>
      <c r="J45" s="1050">
        <v>152</v>
      </c>
      <c r="K45" s="1049">
        <v>152</v>
      </c>
      <c r="L45" s="1049">
        <v>6</v>
      </c>
      <c r="M45" s="1049"/>
      <c r="N45" s="1048"/>
      <c r="O45" s="1047">
        <f t="shared" ref="O45:O76" si="3">I45/H45</f>
        <v>23.083333333333332</v>
      </c>
      <c r="P45" s="1047">
        <f t="shared" si="2"/>
        <v>0.9</v>
      </c>
      <c r="Q45" s="1064"/>
      <c r="T45" s="1031"/>
    </row>
    <row r="46" spans="2:20">
      <c r="B46" s="1054"/>
      <c r="C46" s="1053" t="s">
        <v>1339</v>
      </c>
      <c r="D46" s="1052"/>
      <c r="E46" s="1052" t="s">
        <v>431</v>
      </c>
      <c r="F46" s="1052" t="s">
        <v>1019</v>
      </c>
      <c r="G46" s="1052"/>
      <c r="H46" s="1052">
        <v>12</v>
      </c>
      <c r="I46" s="1051">
        <v>304</v>
      </c>
      <c r="J46" s="1050">
        <v>203</v>
      </c>
      <c r="K46" s="1049">
        <v>133</v>
      </c>
      <c r="L46" s="1049">
        <v>5.84</v>
      </c>
      <c r="M46" s="1049">
        <v>7.82</v>
      </c>
      <c r="N46" s="1048"/>
      <c r="O46" s="1047">
        <f t="shared" si="3"/>
        <v>25.333333333333332</v>
      </c>
      <c r="P46" s="1047">
        <f t="shared" si="2"/>
        <v>0.89504000000000006</v>
      </c>
      <c r="Q46" s="1064"/>
      <c r="T46" s="1031"/>
    </row>
    <row r="47" spans="2:20">
      <c r="B47" s="1054"/>
      <c r="C47" s="1053" t="s">
        <v>1338</v>
      </c>
      <c r="D47" s="1052"/>
      <c r="E47" s="1052" t="s">
        <v>431</v>
      </c>
      <c r="F47" s="1052" t="s">
        <v>1019</v>
      </c>
      <c r="G47" s="1052"/>
      <c r="H47" s="1052">
        <v>12</v>
      </c>
      <c r="I47" s="1051">
        <v>556</v>
      </c>
      <c r="J47" s="1050">
        <v>203</v>
      </c>
      <c r="K47" s="1049">
        <v>203</v>
      </c>
      <c r="L47" s="1049">
        <v>7.32</v>
      </c>
      <c r="M47" s="1049">
        <v>11</v>
      </c>
      <c r="N47" s="1048"/>
      <c r="O47" s="1047">
        <f t="shared" si="3"/>
        <v>46.333333333333336</v>
      </c>
      <c r="P47" s="1047">
        <f t="shared" si="2"/>
        <v>1.1593600000000002</v>
      </c>
      <c r="Q47" s="1064"/>
      <c r="T47" s="1031"/>
    </row>
    <row r="48" spans="2:20">
      <c r="B48" s="1054"/>
      <c r="C48" s="1053" t="s">
        <v>1337</v>
      </c>
      <c r="D48" s="1052"/>
      <c r="E48" s="1052" t="s">
        <v>431</v>
      </c>
      <c r="F48" s="1052" t="s">
        <v>1019</v>
      </c>
      <c r="G48" s="1052"/>
      <c r="H48" s="1052">
        <v>12</v>
      </c>
      <c r="I48" s="1051">
        <v>625</v>
      </c>
      <c r="J48" s="1050">
        <v>204</v>
      </c>
      <c r="K48" s="1049">
        <v>206</v>
      </c>
      <c r="L48" s="1049">
        <v>8</v>
      </c>
      <c r="M48" s="1049">
        <v>12.52</v>
      </c>
      <c r="N48" s="1048"/>
      <c r="O48" s="1047">
        <f t="shared" si="3"/>
        <v>52.083333333333336</v>
      </c>
      <c r="P48" s="1047">
        <f t="shared" si="2"/>
        <v>1.1659200000000001</v>
      </c>
      <c r="Q48" s="1064"/>
      <c r="T48" s="1031"/>
    </row>
    <row r="49" spans="2:20">
      <c r="B49" s="1054"/>
      <c r="C49" s="1053" t="s">
        <v>1336</v>
      </c>
      <c r="D49" s="1052"/>
      <c r="E49" s="1052" t="s">
        <v>431</v>
      </c>
      <c r="F49" s="1052" t="s">
        <v>1019</v>
      </c>
      <c r="G49" s="1052"/>
      <c r="H49" s="1052">
        <v>12</v>
      </c>
      <c r="I49" s="1051">
        <v>304</v>
      </c>
      <c r="J49" s="1050">
        <v>257</v>
      </c>
      <c r="K49" s="1049">
        <v>102</v>
      </c>
      <c r="L49" s="1049">
        <v>6.1</v>
      </c>
      <c r="M49" s="1049">
        <v>8.36</v>
      </c>
      <c r="N49" s="1048"/>
      <c r="O49" s="1047">
        <f t="shared" si="3"/>
        <v>25.333333333333332</v>
      </c>
      <c r="P49" s="1047">
        <f t="shared" si="2"/>
        <v>0.87636000000000003</v>
      </c>
      <c r="Q49" s="1064"/>
      <c r="T49" s="1031"/>
    </row>
    <row r="50" spans="2:20">
      <c r="B50" s="1054"/>
      <c r="C50" s="1053" t="s">
        <v>1335</v>
      </c>
      <c r="D50" s="1052"/>
      <c r="E50" s="1052" t="s">
        <v>431</v>
      </c>
      <c r="F50" s="1052" t="s">
        <v>1019</v>
      </c>
      <c r="G50" s="1052"/>
      <c r="H50" s="1052">
        <v>12</v>
      </c>
      <c r="I50" s="1051">
        <v>375</v>
      </c>
      <c r="J50" s="1050">
        <v>251</v>
      </c>
      <c r="K50" s="1049">
        <v>146</v>
      </c>
      <c r="L50" s="1049">
        <v>6.1</v>
      </c>
      <c r="M50" s="1049">
        <v>8.64</v>
      </c>
      <c r="N50" s="1048"/>
      <c r="O50" s="1047">
        <f t="shared" si="3"/>
        <v>31.25</v>
      </c>
      <c r="P50" s="1047">
        <f t="shared" si="2"/>
        <v>1.0392399999999999</v>
      </c>
      <c r="Q50" s="1064"/>
      <c r="T50" s="1031"/>
    </row>
    <row r="51" spans="2:20">
      <c r="B51" s="1054"/>
      <c r="C51" s="1053" t="s">
        <v>1334</v>
      </c>
      <c r="D51" s="1052"/>
      <c r="E51" s="1052" t="s">
        <v>431</v>
      </c>
      <c r="F51" s="1052" t="s">
        <v>1019</v>
      </c>
      <c r="G51" s="1052"/>
      <c r="H51" s="1052">
        <v>12</v>
      </c>
      <c r="I51" s="1051">
        <v>446</v>
      </c>
      <c r="J51" s="1050">
        <v>256</v>
      </c>
      <c r="K51" s="1049">
        <v>146</v>
      </c>
      <c r="L51" s="1049">
        <v>6.4</v>
      </c>
      <c r="M51" s="1049">
        <v>10.92</v>
      </c>
      <c r="N51" s="1048"/>
      <c r="O51" s="1047">
        <f t="shared" si="3"/>
        <v>37.166666666666664</v>
      </c>
      <c r="P51" s="1047">
        <f t="shared" si="2"/>
        <v>1.03952</v>
      </c>
      <c r="Q51" s="1064"/>
      <c r="T51" s="1031"/>
    </row>
    <row r="52" spans="2:20">
      <c r="B52" s="1054"/>
      <c r="C52" s="1053" t="s">
        <v>1333</v>
      </c>
      <c r="D52" s="1052"/>
      <c r="E52" s="1052" t="s">
        <v>431</v>
      </c>
      <c r="F52" s="1052" t="s">
        <v>1019</v>
      </c>
      <c r="G52" s="1052"/>
      <c r="H52" s="1052">
        <v>12</v>
      </c>
      <c r="I52" s="1051">
        <v>750</v>
      </c>
      <c r="J52" s="1050">
        <v>247</v>
      </c>
      <c r="K52" s="1049">
        <v>256</v>
      </c>
      <c r="L52" s="1049">
        <v>10.62</v>
      </c>
      <c r="M52" s="1049">
        <v>10.62</v>
      </c>
      <c r="N52" s="1048"/>
      <c r="O52" s="1047">
        <f t="shared" si="3"/>
        <v>62.5</v>
      </c>
      <c r="P52" s="1047">
        <f t="shared" si="2"/>
        <v>1.45428</v>
      </c>
      <c r="Q52" s="1064"/>
      <c r="T52" s="1031"/>
    </row>
    <row r="53" spans="2:20">
      <c r="B53" s="1054"/>
      <c r="C53" s="1053" t="s">
        <v>1332</v>
      </c>
      <c r="D53" s="1052"/>
      <c r="E53" s="1052" t="s">
        <v>431</v>
      </c>
      <c r="F53" s="1052" t="s">
        <v>1019</v>
      </c>
      <c r="G53" s="1052"/>
      <c r="H53" s="1052">
        <v>12</v>
      </c>
      <c r="I53" s="1051">
        <v>875</v>
      </c>
      <c r="J53" s="1050">
        <v>254</v>
      </c>
      <c r="K53" s="1049">
        <v>254</v>
      </c>
      <c r="L53" s="1049">
        <v>8.64</v>
      </c>
      <c r="M53" s="1049">
        <v>14.17</v>
      </c>
      <c r="N53" s="1048"/>
      <c r="O53" s="1047">
        <f t="shared" si="3"/>
        <v>72.916666666666671</v>
      </c>
      <c r="P53" s="1047">
        <f t="shared" si="2"/>
        <v>1.45004</v>
      </c>
      <c r="Q53" s="1064"/>
      <c r="T53" s="1031"/>
    </row>
    <row r="54" spans="2:20">
      <c r="B54" s="1054"/>
      <c r="C54" s="1053" t="s">
        <v>1331</v>
      </c>
      <c r="D54" s="1052"/>
      <c r="E54" s="1052" t="s">
        <v>431</v>
      </c>
      <c r="F54" s="1052" t="s">
        <v>1019</v>
      </c>
      <c r="G54" s="1052"/>
      <c r="H54" s="1052">
        <v>12</v>
      </c>
      <c r="I54" s="1051">
        <v>482</v>
      </c>
      <c r="J54" s="1050">
        <v>304</v>
      </c>
      <c r="K54" s="1049">
        <v>105</v>
      </c>
      <c r="L54" s="1049">
        <v>6.1</v>
      </c>
      <c r="M54" s="1049">
        <v>10.16</v>
      </c>
      <c r="N54" s="1048"/>
      <c r="O54" s="1047">
        <f t="shared" si="3"/>
        <v>40.166666666666664</v>
      </c>
      <c r="P54" s="1047">
        <f t="shared" si="2"/>
        <v>0.97516000000000003</v>
      </c>
      <c r="Q54" s="1064"/>
      <c r="T54" s="1031"/>
    </row>
    <row r="55" spans="2:20">
      <c r="B55" s="1054"/>
      <c r="C55" s="1053" t="s">
        <v>1330</v>
      </c>
      <c r="D55" s="1052"/>
      <c r="E55" s="1052" t="s">
        <v>431</v>
      </c>
      <c r="F55" s="1052" t="s">
        <v>1019</v>
      </c>
      <c r="G55" s="1052"/>
      <c r="H55" s="1052">
        <v>12</v>
      </c>
      <c r="I55" s="1051">
        <v>554</v>
      </c>
      <c r="J55" s="1050">
        <v>307</v>
      </c>
      <c r="K55" s="1049">
        <v>116</v>
      </c>
      <c r="L55" s="1049">
        <v>6.73</v>
      </c>
      <c r="M55" s="1049">
        <v>11.81</v>
      </c>
      <c r="N55" s="1048"/>
      <c r="O55" s="1047">
        <f t="shared" si="3"/>
        <v>46.166666666666664</v>
      </c>
      <c r="P55" s="1047">
        <f t="shared" si="2"/>
        <v>1.0172999999999999</v>
      </c>
      <c r="Q55" s="1064"/>
      <c r="T55" s="1031"/>
    </row>
    <row r="56" spans="2:20">
      <c r="B56" s="1054"/>
      <c r="C56" s="1053" t="s">
        <v>1329</v>
      </c>
      <c r="D56" s="1052"/>
      <c r="E56" s="1052" t="s">
        <v>431</v>
      </c>
      <c r="F56" s="1052" t="s">
        <v>1019</v>
      </c>
      <c r="G56" s="1052"/>
      <c r="H56" s="1052">
        <v>12</v>
      </c>
      <c r="I56" s="1051">
        <v>947</v>
      </c>
      <c r="J56" s="1050">
        <v>299</v>
      </c>
      <c r="K56" s="1049">
        <v>306</v>
      </c>
      <c r="L56" s="1049">
        <v>11.07</v>
      </c>
      <c r="M56" s="1049">
        <v>11.07</v>
      </c>
      <c r="N56" s="1048"/>
      <c r="O56" s="1047">
        <f t="shared" si="3"/>
        <v>78.916666666666671</v>
      </c>
      <c r="P56" s="1047">
        <f t="shared" si="2"/>
        <v>1.7555799999999999</v>
      </c>
      <c r="Q56" s="1064"/>
      <c r="T56" s="1031"/>
    </row>
    <row r="57" spans="2:20">
      <c r="B57" s="1054"/>
      <c r="C57" s="1053" t="s">
        <v>1328</v>
      </c>
      <c r="D57" s="1052"/>
      <c r="E57" s="1052" t="s">
        <v>431</v>
      </c>
      <c r="F57" s="1052" t="s">
        <v>1019</v>
      </c>
      <c r="G57" s="1052"/>
      <c r="H57" s="1052">
        <v>12</v>
      </c>
      <c r="I57" s="1051">
        <v>1161</v>
      </c>
      <c r="J57" s="1050">
        <v>308</v>
      </c>
      <c r="K57" s="1049">
        <v>305</v>
      </c>
      <c r="L57" s="1049">
        <v>9.91</v>
      </c>
      <c r="M57" s="1049">
        <v>15.39</v>
      </c>
      <c r="N57" s="1048"/>
      <c r="O57" s="1047">
        <f t="shared" si="3"/>
        <v>96.75</v>
      </c>
      <c r="P57" s="1047">
        <f t="shared" si="2"/>
        <v>1.7546200000000001</v>
      </c>
      <c r="Q57" s="1064"/>
      <c r="T57" s="1031"/>
    </row>
    <row r="58" spans="2:20">
      <c r="B58" s="1054"/>
      <c r="C58" s="1053" t="s">
        <v>1327</v>
      </c>
      <c r="D58" s="1052"/>
      <c r="E58" s="1052" t="s">
        <v>431</v>
      </c>
      <c r="F58" s="1052" t="s">
        <v>1019</v>
      </c>
      <c r="G58" s="1052"/>
      <c r="H58" s="1052">
        <v>12</v>
      </c>
      <c r="I58" s="1051">
        <v>536</v>
      </c>
      <c r="J58" s="1050">
        <v>352</v>
      </c>
      <c r="K58" s="1049">
        <v>171</v>
      </c>
      <c r="L58" s="1049">
        <v>6.86</v>
      </c>
      <c r="M58" s="1049">
        <v>9.73</v>
      </c>
      <c r="N58" s="1048"/>
      <c r="O58" s="1047">
        <f t="shared" si="3"/>
        <v>44.666666666666664</v>
      </c>
      <c r="P58" s="1047">
        <f t="shared" si="2"/>
        <v>1.3353600000000001</v>
      </c>
      <c r="Q58" s="1064"/>
      <c r="T58" s="1031"/>
    </row>
    <row r="59" spans="2:20">
      <c r="B59" s="1054"/>
      <c r="C59" s="1053" t="s">
        <v>1326</v>
      </c>
      <c r="D59" s="1052"/>
      <c r="E59" s="1052" t="s">
        <v>431</v>
      </c>
      <c r="F59" s="1052" t="s">
        <v>1019</v>
      </c>
      <c r="G59" s="1052"/>
      <c r="H59" s="1052">
        <v>12</v>
      </c>
      <c r="I59" s="1051">
        <v>1303</v>
      </c>
      <c r="J59" s="1050">
        <v>346</v>
      </c>
      <c r="K59" s="1049">
        <v>370</v>
      </c>
      <c r="L59" s="1049">
        <v>12.85</v>
      </c>
      <c r="M59" s="1049">
        <v>12.85</v>
      </c>
      <c r="N59" s="1048"/>
      <c r="O59" s="1047">
        <f t="shared" si="3"/>
        <v>108.58333333333333</v>
      </c>
      <c r="P59" s="1047">
        <f t="shared" si="2"/>
        <v>2.0949</v>
      </c>
      <c r="Q59" s="1064"/>
      <c r="T59" s="1031"/>
    </row>
    <row r="60" spans="2:20">
      <c r="B60" s="1054"/>
      <c r="C60" s="1053" t="s">
        <v>1325</v>
      </c>
      <c r="D60" s="1052"/>
      <c r="E60" s="1052" t="s">
        <v>431</v>
      </c>
      <c r="F60" s="1052" t="s">
        <v>1019</v>
      </c>
      <c r="G60" s="1052"/>
      <c r="H60" s="1052">
        <v>12</v>
      </c>
      <c r="I60" s="1051">
        <v>643</v>
      </c>
      <c r="J60" s="1050">
        <v>403</v>
      </c>
      <c r="K60" s="1049">
        <v>178</v>
      </c>
      <c r="L60" s="1049">
        <v>7.59</v>
      </c>
      <c r="M60" s="1049">
        <v>10.87</v>
      </c>
      <c r="N60" s="1048"/>
      <c r="O60" s="1047">
        <f t="shared" si="3"/>
        <v>53.583333333333336</v>
      </c>
      <c r="P60" s="1047">
        <f t="shared" si="2"/>
        <v>1.4593400000000001</v>
      </c>
      <c r="Q60" s="1064"/>
      <c r="T60" s="1031"/>
    </row>
    <row r="61" spans="2:20">
      <c r="B61" s="1054"/>
      <c r="C61" s="1053" t="s">
        <v>1324</v>
      </c>
      <c r="D61" s="1052"/>
      <c r="E61" s="1052" t="s">
        <v>431</v>
      </c>
      <c r="F61" s="1052" t="s">
        <v>1019</v>
      </c>
      <c r="G61" s="1052"/>
      <c r="H61" s="1052">
        <v>12</v>
      </c>
      <c r="I61" s="1051">
        <v>714</v>
      </c>
      <c r="J61" s="1050">
        <v>406</v>
      </c>
      <c r="K61" s="1049">
        <v>178</v>
      </c>
      <c r="L61" s="1049">
        <v>7.8</v>
      </c>
      <c r="M61" s="1049">
        <v>12.78</v>
      </c>
      <c r="N61" s="1048"/>
      <c r="O61" s="1047">
        <f t="shared" si="3"/>
        <v>59.5</v>
      </c>
      <c r="P61" s="1047">
        <f t="shared" si="2"/>
        <v>1.4572799999999999</v>
      </c>
      <c r="Q61" s="1064"/>
      <c r="T61" s="1031"/>
    </row>
    <row r="62" spans="2:20">
      <c r="B62" s="1054"/>
      <c r="C62" s="1053" t="s">
        <v>1323</v>
      </c>
      <c r="D62" s="1052"/>
      <c r="E62" s="1052" t="s">
        <v>431</v>
      </c>
      <c r="F62" s="1052" t="s">
        <v>1019</v>
      </c>
      <c r="G62" s="1052"/>
      <c r="H62" s="1052">
        <v>12</v>
      </c>
      <c r="I62" s="1051">
        <v>893</v>
      </c>
      <c r="J62" s="1050">
        <v>413</v>
      </c>
      <c r="K62" s="1049">
        <v>180</v>
      </c>
      <c r="L62" s="1049">
        <v>9.65</v>
      </c>
      <c r="M62" s="1049">
        <v>15.95</v>
      </c>
      <c r="N62" s="1048"/>
      <c r="O62" s="1047">
        <f t="shared" si="3"/>
        <v>74.416666666666671</v>
      </c>
      <c r="P62" s="1047">
        <f t="shared" si="2"/>
        <v>1.4629000000000001</v>
      </c>
      <c r="Q62" s="1064"/>
      <c r="T62" s="1031"/>
    </row>
    <row r="63" spans="2:20">
      <c r="B63" s="1054"/>
      <c r="C63" s="1053" t="s">
        <v>1322</v>
      </c>
      <c r="D63" s="1052"/>
      <c r="E63" s="1052" t="s">
        <v>431</v>
      </c>
      <c r="F63" s="1052" t="s">
        <v>1019</v>
      </c>
      <c r="G63" s="1052"/>
      <c r="H63" s="1052">
        <v>12</v>
      </c>
      <c r="I63" s="1051">
        <v>804</v>
      </c>
      <c r="J63" s="1050">
        <v>454</v>
      </c>
      <c r="K63" s="1049">
        <v>190</v>
      </c>
      <c r="L63" s="1049">
        <v>8.51</v>
      </c>
      <c r="M63" s="1049">
        <v>12.67</v>
      </c>
      <c r="N63" s="1048"/>
      <c r="O63" s="1047">
        <f t="shared" si="3"/>
        <v>67</v>
      </c>
      <c r="P63" s="1047">
        <f t="shared" si="2"/>
        <v>1.6003000000000003</v>
      </c>
      <c r="Q63" s="1064"/>
      <c r="T63" s="1031"/>
    </row>
    <row r="64" spans="2:20">
      <c r="B64" s="1054" t="s">
        <v>1321</v>
      </c>
      <c r="C64" s="1053" t="s">
        <v>1320</v>
      </c>
      <c r="D64" s="1052"/>
      <c r="E64" s="1052" t="s">
        <v>591</v>
      </c>
      <c r="F64" s="1052" t="s">
        <v>1014</v>
      </c>
      <c r="G64" s="1052"/>
      <c r="H64" s="1052">
        <v>12</v>
      </c>
      <c r="I64" s="1051">
        <v>72</v>
      </c>
      <c r="J64" s="1050">
        <v>80</v>
      </c>
      <c r="K64" s="1049">
        <v>46</v>
      </c>
      <c r="L64" s="1049">
        <v>3.8</v>
      </c>
      <c r="M64" s="1049">
        <v>5.2</v>
      </c>
      <c r="N64" s="1048"/>
      <c r="O64" s="1047">
        <f t="shared" si="3"/>
        <v>6</v>
      </c>
      <c r="P64" s="1047">
        <f t="shared" ref="P64:P90" si="4">((J64-2*M64)+(2*K64-L64))*2/1000</f>
        <v>0.31560000000000005</v>
      </c>
      <c r="Q64" s="1064"/>
      <c r="T64" s="1031"/>
    </row>
    <row r="65" spans="2:20">
      <c r="B65" s="1054"/>
      <c r="C65" s="1053" t="s">
        <v>1319</v>
      </c>
      <c r="D65" s="1052"/>
      <c r="E65" s="1052" t="s">
        <v>591</v>
      </c>
      <c r="F65" s="1052" t="s">
        <v>1014</v>
      </c>
      <c r="G65" s="1052"/>
      <c r="H65" s="1052">
        <v>12</v>
      </c>
      <c r="I65" s="1051">
        <v>97.2</v>
      </c>
      <c r="J65" s="1050">
        <v>100</v>
      </c>
      <c r="K65" s="1049">
        <v>55</v>
      </c>
      <c r="L65" s="1049">
        <v>4.0999999999999996</v>
      </c>
      <c r="M65" s="1049">
        <v>5.7</v>
      </c>
      <c r="N65" s="1048"/>
      <c r="O65" s="1047">
        <f t="shared" si="3"/>
        <v>8.1</v>
      </c>
      <c r="P65" s="1047">
        <f t="shared" si="4"/>
        <v>0.38900000000000001</v>
      </c>
      <c r="Q65" s="1064"/>
      <c r="T65" s="1031"/>
    </row>
    <row r="66" spans="2:20">
      <c r="B66" s="1054"/>
      <c r="C66" s="1053" t="s">
        <v>1318</v>
      </c>
      <c r="D66" s="1052"/>
      <c r="E66" s="1052" t="s">
        <v>591</v>
      </c>
      <c r="F66" s="1052" t="s">
        <v>1014</v>
      </c>
      <c r="G66" s="1052"/>
      <c r="H66" s="1052">
        <v>12</v>
      </c>
      <c r="I66" s="1051">
        <v>124.8</v>
      </c>
      <c r="J66" s="1050">
        <v>120</v>
      </c>
      <c r="K66" s="1049">
        <v>64</v>
      </c>
      <c r="L66" s="1049">
        <v>4.4000000000000004</v>
      </c>
      <c r="M66" s="1049">
        <v>6.3</v>
      </c>
      <c r="N66" s="1048"/>
      <c r="O66" s="1047">
        <f t="shared" si="3"/>
        <v>10.4</v>
      </c>
      <c r="P66" s="1047">
        <f t="shared" si="4"/>
        <v>0.46200000000000002</v>
      </c>
      <c r="Q66" s="1064"/>
      <c r="T66" s="1031"/>
    </row>
    <row r="67" spans="2:20">
      <c r="B67" s="1054"/>
      <c r="C67" s="1053" t="s">
        <v>1317</v>
      </c>
      <c r="D67" s="1052"/>
      <c r="E67" s="1052" t="s">
        <v>591</v>
      </c>
      <c r="F67" s="1052" t="s">
        <v>1014</v>
      </c>
      <c r="G67" s="1052"/>
      <c r="H67" s="1052">
        <v>12</v>
      </c>
      <c r="I67" s="1051">
        <v>154.80000000000001</v>
      </c>
      <c r="J67" s="1050">
        <v>140</v>
      </c>
      <c r="K67" s="1049">
        <v>73</v>
      </c>
      <c r="L67" s="1049">
        <v>4.7</v>
      </c>
      <c r="M67" s="1049">
        <v>6.9</v>
      </c>
      <c r="N67" s="1048"/>
      <c r="O67" s="1047">
        <f t="shared" si="3"/>
        <v>12.9</v>
      </c>
      <c r="P67" s="1047">
        <f t="shared" si="4"/>
        <v>0.53500000000000003</v>
      </c>
      <c r="Q67" s="1064"/>
      <c r="T67" s="1031"/>
    </row>
    <row r="68" spans="2:20">
      <c r="B68" s="1054"/>
      <c r="C68" s="1053" t="s">
        <v>1316</v>
      </c>
      <c r="D68" s="1052"/>
      <c r="E68" s="1052" t="s">
        <v>591</v>
      </c>
      <c r="F68" s="1052" t="s">
        <v>1014</v>
      </c>
      <c r="G68" s="1052"/>
      <c r="H68" s="1052">
        <v>12</v>
      </c>
      <c r="I68" s="1051">
        <v>189.6</v>
      </c>
      <c r="J68" s="1050">
        <v>160</v>
      </c>
      <c r="K68" s="1049">
        <v>82</v>
      </c>
      <c r="L68" s="1049">
        <v>5</v>
      </c>
      <c r="M68" s="1049">
        <v>7.4</v>
      </c>
      <c r="N68" s="1048"/>
      <c r="O68" s="1047">
        <f t="shared" si="3"/>
        <v>15.799999999999999</v>
      </c>
      <c r="P68" s="1047">
        <f t="shared" si="4"/>
        <v>0.60839999999999994</v>
      </c>
      <c r="Q68" s="1064"/>
      <c r="T68" s="1031"/>
    </row>
    <row r="69" spans="2:20">
      <c r="B69" s="1054"/>
      <c r="C69" s="1053" t="s">
        <v>1315</v>
      </c>
      <c r="D69" s="1052"/>
      <c r="E69" s="1052" t="s">
        <v>591</v>
      </c>
      <c r="F69" s="1052" t="s">
        <v>1014</v>
      </c>
      <c r="G69" s="1052"/>
      <c r="H69" s="1052">
        <v>12</v>
      </c>
      <c r="I69" s="1051">
        <v>225.6</v>
      </c>
      <c r="J69" s="1050">
        <v>180</v>
      </c>
      <c r="K69" s="1049">
        <v>91</v>
      </c>
      <c r="L69" s="1049">
        <v>5.3</v>
      </c>
      <c r="M69" s="1049">
        <v>8</v>
      </c>
      <c r="N69" s="1048"/>
      <c r="O69" s="1047">
        <f t="shared" si="3"/>
        <v>18.8</v>
      </c>
      <c r="P69" s="1047">
        <f t="shared" si="4"/>
        <v>0.68140000000000001</v>
      </c>
      <c r="Q69" s="1064"/>
      <c r="T69" s="1031"/>
    </row>
    <row r="70" spans="2:20">
      <c r="B70" s="1054"/>
      <c r="C70" s="1053" t="s">
        <v>1314</v>
      </c>
      <c r="D70" s="1052"/>
      <c r="E70" s="1052" t="s">
        <v>591</v>
      </c>
      <c r="F70" s="1052" t="s">
        <v>1014</v>
      </c>
      <c r="G70" s="1052"/>
      <c r="H70" s="1052">
        <v>12</v>
      </c>
      <c r="I70" s="1051">
        <v>268.8</v>
      </c>
      <c r="J70" s="1050">
        <v>200</v>
      </c>
      <c r="K70" s="1049">
        <v>100</v>
      </c>
      <c r="L70" s="1049">
        <v>5.6</v>
      </c>
      <c r="M70" s="1049">
        <v>8.5</v>
      </c>
      <c r="N70" s="1048"/>
      <c r="O70" s="1047">
        <f t="shared" si="3"/>
        <v>22.400000000000002</v>
      </c>
      <c r="P70" s="1047">
        <f t="shared" si="4"/>
        <v>0.75479999999999992</v>
      </c>
      <c r="Q70" s="1064"/>
      <c r="T70" s="1031"/>
    </row>
    <row r="71" spans="2:20">
      <c r="B71" s="1054"/>
      <c r="C71" s="1053" t="s">
        <v>1313</v>
      </c>
      <c r="D71" s="1052"/>
      <c r="E71" s="1052" t="s">
        <v>591</v>
      </c>
      <c r="F71" s="1052" t="s">
        <v>1014</v>
      </c>
      <c r="G71" s="1052"/>
      <c r="H71" s="1052">
        <v>12</v>
      </c>
      <c r="I71" s="1051">
        <v>314.39999999999998</v>
      </c>
      <c r="J71" s="1050">
        <v>220</v>
      </c>
      <c r="K71" s="1049">
        <v>110</v>
      </c>
      <c r="L71" s="1049">
        <v>5.9</v>
      </c>
      <c r="M71" s="1049">
        <v>9.1999999999999993</v>
      </c>
      <c r="N71" s="1048"/>
      <c r="O71" s="1047">
        <f t="shared" si="3"/>
        <v>26.2</v>
      </c>
      <c r="P71" s="1047">
        <f t="shared" si="4"/>
        <v>0.83140000000000003</v>
      </c>
      <c r="Q71" s="1064"/>
      <c r="T71" s="1031"/>
    </row>
    <row r="72" spans="2:20">
      <c r="B72" s="1054"/>
      <c r="C72" s="1053" t="s">
        <v>1312</v>
      </c>
      <c r="D72" s="1052"/>
      <c r="E72" s="1052" t="s">
        <v>591</v>
      </c>
      <c r="F72" s="1052" t="s">
        <v>1014</v>
      </c>
      <c r="G72" s="1052"/>
      <c r="H72" s="1052">
        <v>12</v>
      </c>
      <c r="I72" s="1051">
        <v>368.4</v>
      </c>
      <c r="J72" s="1050">
        <v>240</v>
      </c>
      <c r="K72" s="1049">
        <v>120</v>
      </c>
      <c r="L72" s="1049">
        <v>6.2</v>
      </c>
      <c r="M72" s="1049">
        <v>9.8000000000000007</v>
      </c>
      <c r="N72" s="1048"/>
      <c r="O72" s="1047">
        <f t="shared" si="3"/>
        <v>30.7</v>
      </c>
      <c r="P72" s="1047">
        <f t="shared" si="4"/>
        <v>0.9084000000000001</v>
      </c>
      <c r="Q72" s="1064"/>
      <c r="T72" s="1031"/>
    </row>
    <row r="73" spans="2:20">
      <c r="B73" s="1054"/>
      <c r="C73" s="1053" t="s">
        <v>1311</v>
      </c>
      <c r="D73" s="1052"/>
      <c r="E73" s="1052" t="s">
        <v>591</v>
      </c>
      <c r="F73" s="1052" t="s">
        <v>1014</v>
      </c>
      <c r="G73" s="1052"/>
      <c r="H73" s="1052">
        <v>12</v>
      </c>
      <c r="I73" s="1051">
        <v>433.2</v>
      </c>
      <c r="J73" s="1050">
        <v>270</v>
      </c>
      <c r="K73" s="1049">
        <v>135</v>
      </c>
      <c r="L73" s="1049">
        <v>6.6</v>
      </c>
      <c r="M73" s="1049">
        <v>10.199999999999999</v>
      </c>
      <c r="N73" s="1048"/>
      <c r="O73" s="1047">
        <f t="shared" si="3"/>
        <v>36.1</v>
      </c>
      <c r="P73" s="1047">
        <f t="shared" si="4"/>
        <v>1.026</v>
      </c>
      <c r="Q73" s="1064"/>
      <c r="T73" s="1031"/>
    </row>
    <row r="74" spans="2:20">
      <c r="B74" s="1054"/>
      <c r="C74" s="1053" t="s">
        <v>1310</v>
      </c>
      <c r="D74" s="1052"/>
      <c r="E74" s="1052" t="s">
        <v>591</v>
      </c>
      <c r="F74" s="1052" t="s">
        <v>1014</v>
      </c>
      <c r="G74" s="1052"/>
      <c r="H74" s="1052">
        <v>12</v>
      </c>
      <c r="I74" s="1051">
        <v>506.4</v>
      </c>
      <c r="J74" s="1050">
        <v>300</v>
      </c>
      <c r="K74" s="1049">
        <v>150</v>
      </c>
      <c r="L74" s="1049">
        <v>7.1</v>
      </c>
      <c r="M74" s="1049">
        <v>10.7</v>
      </c>
      <c r="N74" s="1048"/>
      <c r="O74" s="1047">
        <f t="shared" si="3"/>
        <v>42.199999999999996</v>
      </c>
      <c r="P74" s="1047">
        <f t="shared" si="4"/>
        <v>1.143</v>
      </c>
      <c r="Q74" s="1064"/>
      <c r="T74" s="1031"/>
    </row>
    <row r="75" spans="2:20">
      <c r="B75" s="1054"/>
      <c r="C75" s="1053" t="s">
        <v>1309</v>
      </c>
      <c r="D75" s="1052"/>
      <c r="E75" s="1052" t="s">
        <v>591</v>
      </c>
      <c r="F75" s="1052" t="s">
        <v>1014</v>
      </c>
      <c r="G75" s="1052"/>
      <c r="H75" s="1052">
        <v>12</v>
      </c>
      <c r="I75" s="1051">
        <v>589.20000000000005</v>
      </c>
      <c r="J75" s="1050">
        <v>330</v>
      </c>
      <c r="K75" s="1049">
        <v>160</v>
      </c>
      <c r="L75" s="1049">
        <v>7.5</v>
      </c>
      <c r="M75" s="1049">
        <v>11.5</v>
      </c>
      <c r="N75" s="1048"/>
      <c r="O75" s="1047">
        <f t="shared" si="3"/>
        <v>49.1</v>
      </c>
      <c r="P75" s="1047">
        <f t="shared" si="4"/>
        <v>1.2390000000000001</v>
      </c>
      <c r="Q75" s="1064"/>
      <c r="T75" s="1031"/>
    </row>
    <row r="76" spans="2:20">
      <c r="B76" s="1054"/>
      <c r="C76" s="1053" t="s">
        <v>1308</v>
      </c>
      <c r="D76" s="1052"/>
      <c r="E76" s="1052" t="s">
        <v>591</v>
      </c>
      <c r="F76" s="1052" t="s">
        <v>1014</v>
      </c>
      <c r="G76" s="1052"/>
      <c r="H76" s="1052">
        <v>12</v>
      </c>
      <c r="I76" s="1051">
        <v>685.2</v>
      </c>
      <c r="J76" s="1050">
        <v>360</v>
      </c>
      <c r="K76" s="1049">
        <v>170</v>
      </c>
      <c r="L76" s="1049">
        <v>8</v>
      </c>
      <c r="M76" s="1049">
        <v>12.7</v>
      </c>
      <c r="N76" s="1048"/>
      <c r="O76" s="1047">
        <f t="shared" si="3"/>
        <v>57.1</v>
      </c>
      <c r="P76" s="1047">
        <f t="shared" si="4"/>
        <v>1.3331999999999999</v>
      </c>
      <c r="Q76" s="1064"/>
      <c r="T76" s="1031"/>
    </row>
    <row r="77" spans="2:20">
      <c r="B77" s="1054"/>
      <c r="C77" s="1053" t="s">
        <v>1307</v>
      </c>
      <c r="D77" s="1052"/>
      <c r="E77" s="1052" t="s">
        <v>591</v>
      </c>
      <c r="F77" s="1052" t="s">
        <v>1014</v>
      </c>
      <c r="G77" s="1052"/>
      <c r="H77" s="1052">
        <v>12</v>
      </c>
      <c r="I77" s="1051">
        <v>795.6</v>
      </c>
      <c r="J77" s="1050">
        <v>400</v>
      </c>
      <c r="K77" s="1049">
        <v>180</v>
      </c>
      <c r="L77" s="1049">
        <v>8.6</v>
      </c>
      <c r="M77" s="1049">
        <v>13.5</v>
      </c>
      <c r="N77" s="1048"/>
      <c r="O77" s="1047">
        <f t="shared" ref="O77:O106" si="5">I77/H77</f>
        <v>66.3</v>
      </c>
      <c r="P77" s="1047">
        <f t="shared" si="4"/>
        <v>1.4487999999999999</v>
      </c>
      <c r="Q77" s="1064"/>
      <c r="T77" s="1031"/>
    </row>
    <row r="78" spans="2:20">
      <c r="B78" s="1054"/>
      <c r="C78" s="1053" t="s">
        <v>1306</v>
      </c>
      <c r="D78" s="1052"/>
      <c r="E78" s="1052" t="s">
        <v>591</v>
      </c>
      <c r="F78" s="1052" t="s">
        <v>1014</v>
      </c>
      <c r="G78" s="1052"/>
      <c r="H78" s="1052">
        <v>12</v>
      </c>
      <c r="I78" s="1051">
        <v>931.2</v>
      </c>
      <c r="J78" s="1050">
        <v>450</v>
      </c>
      <c r="K78" s="1049">
        <v>190</v>
      </c>
      <c r="L78" s="1049">
        <v>9.4</v>
      </c>
      <c r="M78" s="1049">
        <v>14.6</v>
      </c>
      <c r="N78" s="1048"/>
      <c r="O78" s="1047">
        <f t="shared" si="5"/>
        <v>77.600000000000009</v>
      </c>
      <c r="P78" s="1047">
        <f t="shared" si="4"/>
        <v>1.5828000000000002</v>
      </c>
      <c r="Q78" s="1064"/>
      <c r="T78" s="1031"/>
    </row>
    <row r="79" spans="2:20">
      <c r="B79" s="1054"/>
      <c r="C79" s="1053" t="s">
        <v>1305</v>
      </c>
      <c r="D79" s="1052"/>
      <c r="E79" s="1052" t="s">
        <v>591</v>
      </c>
      <c r="F79" s="1052" t="s">
        <v>1014</v>
      </c>
      <c r="G79" s="1052"/>
      <c r="H79" s="1052">
        <v>12</v>
      </c>
      <c r="I79" s="1051">
        <v>1088.4000000000001</v>
      </c>
      <c r="J79" s="1050">
        <v>500</v>
      </c>
      <c r="K79" s="1049">
        <v>200</v>
      </c>
      <c r="L79" s="1049">
        <v>10.199999999999999</v>
      </c>
      <c r="M79" s="1049">
        <v>16</v>
      </c>
      <c r="N79" s="1048"/>
      <c r="O79" s="1047">
        <f t="shared" si="5"/>
        <v>90.7</v>
      </c>
      <c r="P79" s="1047">
        <f t="shared" si="4"/>
        <v>1.7156</v>
      </c>
      <c r="Q79" s="1064"/>
      <c r="T79" s="1031"/>
    </row>
    <row r="80" spans="2:20">
      <c r="B80" s="1054"/>
      <c r="C80" s="1053" t="s">
        <v>1304</v>
      </c>
      <c r="D80" s="1052"/>
      <c r="E80" s="1052" t="s">
        <v>591</v>
      </c>
      <c r="F80" s="1052" t="s">
        <v>1014</v>
      </c>
      <c r="G80" s="1052"/>
      <c r="H80" s="1052">
        <v>12</v>
      </c>
      <c r="I80" s="1051">
        <v>1272</v>
      </c>
      <c r="J80" s="1050">
        <v>550</v>
      </c>
      <c r="K80" s="1049">
        <v>210</v>
      </c>
      <c r="L80" s="1049">
        <v>11.1</v>
      </c>
      <c r="M80" s="1049">
        <v>17.2</v>
      </c>
      <c r="N80" s="1048"/>
      <c r="O80" s="1047">
        <f t="shared" si="5"/>
        <v>106</v>
      </c>
      <c r="P80" s="1047">
        <f t="shared" si="4"/>
        <v>1.849</v>
      </c>
      <c r="Q80" s="1064"/>
      <c r="T80" s="1031"/>
    </row>
    <row r="81" spans="2:20">
      <c r="B81" s="1054"/>
      <c r="C81" s="1053" t="s">
        <v>1303</v>
      </c>
      <c r="D81" s="1052"/>
      <c r="E81" s="1052" t="s">
        <v>591</v>
      </c>
      <c r="F81" s="1052" t="s">
        <v>1014</v>
      </c>
      <c r="G81" s="1052"/>
      <c r="H81" s="1052">
        <v>12</v>
      </c>
      <c r="I81" s="1051">
        <v>1464</v>
      </c>
      <c r="J81" s="1050">
        <v>600</v>
      </c>
      <c r="K81" s="1049">
        <v>220</v>
      </c>
      <c r="L81" s="1049">
        <v>12</v>
      </c>
      <c r="M81" s="1049">
        <v>19</v>
      </c>
      <c r="N81" s="1048"/>
      <c r="O81" s="1047">
        <f t="shared" si="5"/>
        <v>122</v>
      </c>
      <c r="P81" s="1047">
        <f t="shared" si="4"/>
        <v>1.98</v>
      </c>
      <c r="Q81" s="1064"/>
      <c r="T81" s="1031"/>
    </row>
    <row r="82" spans="2:20">
      <c r="B82" s="1054" t="s">
        <v>1302</v>
      </c>
      <c r="C82" s="1053" t="s">
        <v>1301</v>
      </c>
      <c r="D82" s="1052"/>
      <c r="E82" s="1052" t="s">
        <v>595</v>
      </c>
      <c r="F82" s="1052" t="s">
        <v>1014</v>
      </c>
      <c r="G82" s="1052"/>
      <c r="H82" s="1052">
        <v>6</v>
      </c>
      <c r="I82" s="1051">
        <v>38.5</v>
      </c>
      <c r="J82" s="1050">
        <v>80</v>
      </c>
      <c r="K82" s="1049">
        <v>42</v>
      </c>
      <c r="L82" s="1049">
        <v>3.9</v>
      </c>
      <c r="M82" s="1049">
        <v>5.9</v>
      </c>
      <c r="N82" s="1048">
        <v>2.2999999999999998</v>
      </c>
      <c r="O82" s="1047">
        <f t="shared" si="5"/>
        <v>6.416666666666667</v>
      </c>
      <c r="P82" s="1047">
        <f t="shared" si="4"/>
        <v>0.29660000000000003</v>
      </c>
      <c r="Q82" s="1064"/>
      <c r="T82" s="1031"/>
    </row>
    <row r="83" spans="2:20">
      <c r="B83" s="1054"/>
      <c r="C83" s="1053" t="s">
        <v>1300</v>
      </c>
      <c r="D83" s="1052"/>
      <c r="E83" s="1052" t="s">
        <v>595</v>
      </c>
      <c r="F83" s="1052" t="s">
        <v>1014</v>
      </c>
      <c r="G83" s="1052"/>
      <c r="H83" s="1052">
        <v>6</v>
      </c>
      <c r="I83" s="1051">
        <v>50.6</v>
      </c>
      <c r="J83" s="1050">
        <v>100</v>
      </c>
      <c r="K83" s="1049">
        <v>50</v>
      </c>
      <c r="L83" s="1049">
        <v>4.5</v>
      </c>
      <c r="M83" s="1049">
        <v>6.8</v>
      </c>
      <c r="N83" s="1048">
        <v>2.7</v>
      </c>
      <c r="O83" s="1047">
        <f t="shared" si="5"/>
        <v>8.4333333333333336</v>
      </c>
      <c r="P83" s="1047">
        <f t="shared" si="4"/>
        <v>0.36380000000000001</v>
      </c>
      <c r="Q83" s="1064"/>
      <c r="T83" s="1031"/>
    </row>
    <row r="84" spans="2:20">
      <c r="B84" s="1054"/>
      <c r="C84" s="1053" t="s">
        <v>1299</v>
      </c>
      <c r="D84" s="1052"/>
      <c r="E84" s="1052" t="s">
        <v>595</v>
      </c>
      <c r="F84" s="1052" t="s">
        <v>1014</v>
      </c>
      <c r="G84" s="1052"/>
      <c r="H84" s="1052">
        <v>6</v>
      </c>
      <c r="I84" s="1051">
        <v>67.5</v>
      </c>
      <c r="J84" s="1050">
        <v>120</v>
      </c>
      <c r="K84" s="1049">
        <v>58</v>
      </c>
      <c r="L84" s="1049">
        <v>5.0999999999999996</v>
      </c>
      <c r="M84" s="1049">
        <v>7.7</v>
      </c>
      <c r="N84" s="1048">
        <v>3.1</v>
      </c>
      <c r="O84" s="1047">
        <f t="shared" si="5"/>
        <v>11.25</v>
      </c>
      <c r="P84" s="1047">
        <f t="shared" si="4"/>
        <v>0.43099999999999999</v>
      </c>
      <c r="Q84" s="1064"/>
      <c r="T84" s="1031"/>
    </row>
    <row r="85" spans="2:20">
      <c r="B85" s="1054"/>
      <c r="C85" s="1053" t="s">
        <v>1298</v>
      </c>
      <c r="D85" s="1052"/>
      <c r="E85" s="1052" t="s">
        <v>595</v>
      </c>
      <c r="F85" s="1052" t="s">
        <v>1014</v>
      </c>
      <c r="G85" s="1052"/>
      <c r="H85" s="1052">
        <v>6</v>
      </c>
      <c r="I85" s="1051">
        <v>87.5</v>
      </c>
      <c r="J85" s="1050">
        <v>140</v>
      </c>
      <c r="K85" s="1049">
        <v>66</v>
      </c>
      <c r="L85" s="1049">
        <v>5.7</v>
      </c>
      <c r="M85" s="1049">
        <v>8.6</v>
      </c>
      <c r="N85" s="1048">
        <v>3.4</v>
      </c>
      <c r="O85" s="1047">
        <f t="shared" si="5"/>
        <v>14.583333333333334</v>
      </c>
      <c r="P85" s="1047">
        <f t="shared" si="4"/>
        <v>0.49819999999999998</v>
      </c>
      <c r="Q85" s="1064"/>
      <c r="T85" s="1031"/>
    </row>
    <row r="86" spans="2:20">
      <c r="B86" s="1054"/>
      <c r="C86" s="1053" t="s">
        <v>1297</v>
      </c>
      <c r="D86" s="1052"/>
      <c r="E86" s="1052" t="s">
        <v>595</v>
      </c>
      <c r="F86" s="1052" t="s">
        <v>1014</v>
      </c>
      <c r="G86" s="1052"/>
      <c r="H86" s="1052">
        <v>6</v>
      </c>
      <c r="I86" s="1051">
        <v>108.5</v>
      </c>
      <c r="J86" s="1050">
        <v>160</v>
      </c>
      <c r="K86" s="1049">
        <v>74</v>
      </c>
      <c r="L86" s="1049">
        <v>6.5</v>
      </c>
      <c r="M86" s="1049">
        <v>9.5</v>
      </c>
      <c r="N86" s="1048">
        <v>3.8</v>
      </c>
      <c r="O86" s="1047">
        <f t="shared" si="5"/>
        <v>18.083333333333332</v>
      </c>
      <c r="P86" s="1047">
        <f t="shared" si="4"/>
        <v>0.56499999999999995</v>
      </c>
      <c r="Q86" s="1064"/>
      <c r="T86" s="1031"/>
    </row>
    <row r="87" spans="2:20">
      <c r="B87" s="1054"/>
      <c r="C87" s="1053" t="s">
        <v>1296</v>
      </c>
      <c r="D87" s="1052"/>
      <c r="E87" s="1052" t="s">
        <v>595</v>
      </c>
      <c r="F87" s="1052" t="s">
        <v>1014</v>
      </c>
      <c r="G87" s="1052"/>
      <c r="H87" s="1052">
        <v>12</v>
      </c>
      <c r="I87" s="1051">
        <v>270</v>
      </c>
      <c r="J87" s="1050">
        <v>180</v>
      </c>
      <c r="K87" s="1049">
        <v>82</v>
      </c>
      <c r="L87" s="1049">
        <v>6.9</v>
      </c>
      <c r="M87" s="1049">
        <v>10.4</v>
      </c>
      <c r="N87" s="1048">
        <v>4.0999999999999996</v>
      </c>
      <c r="O87" s="1047">
        <f t="shared" si="5"/>
        <v>22.5</v>
      </c>
      <c r="P87" s="1047">
        <f t="shared" si="4"/>
        <v>0.63259999999999994</v>
      </c>
      <c r="Q87" s="1064"/>
      <c r="T87" s="1031"/>
    </row>
    <row r="88" spans="2:20">
      <c r="B88" s="1054"/>
      <c r="C88" s="1053" t="s">
        <v>1295</v>
      </c>
      <c r="D88" s="1052"/>
      <c r="E88" s="1052" t="s">
        <v>595</v>
      </c>
      <c r="F88" s="1052" t="s">
        <v>1014</v>
      </c>
      <c r="G88" s="1052"/>
      <c r="H88" s="1052">
        <v>12</v>
      </c>
      <c r="I88" s="1051">
        <v>316</v>
      </c>
      <c r="J88" s="1050">
        <v>200</v>
      </c>
      <c r="K88" s="1049">
        <v>90</v>
      </c>
      <c r="L88" s="1049">
        <v>7.5</v>
      </c>
      <c r="M88" s="1049">
        <v>11.3</v>
      </c>
      <c r="N88" s="1048">
        <v>4.5</v>
      </c>
      <c r="O88" s="1047">
        <f t="shared" si="5"/>
        <v>26.333333333333332</v>
      </c>
      <c r="P88" s="1047">
        <f t="shared" si="4"/>
        <v>0.69979999999999998</v>
      </c>
      <c r="Q88" s="1064"/>
      <c r="T88" s="1031"/>
    </row>
    <row r="89" spans="2:20">
      <c r="B89" s="1054"/>
      <c r="C89" s="1053" t="s">
        <v>1294</v>
      </c>
      <c r="D89" s="1052"/>
      <c r="E89" s="1052" t="s">
        <v>595</v>
      </c>
      <c r="F89" s="1052" t="s">
        <v>1014</v>
      </c>
      <c r="G89" s="1052"/>
      <c r="H89" s="1052">
        <v>12</v>
      </c>
      <c r="I89" s="1051">
        <v>375</v>
      </c>
      <c r="J89" s="1050">
        <v>220</v>
      </c>
      <c r="K89" s="1049">
        <v>98</v>
      </c>
      <c r="L89" s="1049">
        <v>8.1</v>
      </c>
      <c r="M89" s="1049">
        <v>12.2</v>
      </c>
      <c r="N89" s="1048">
        <v>4.9000000000000004</v>
      </c>
      <c r="O89" s="1047">
        <f t="shared" si="5"/>
        <v>31.25</v>
      </c>
      <c r="P89" s="1047">
        <f t="shared" si="4"/>
        <v>0.76700000000000002</v>
      </c>
      <c r="Q89" s="1064"/>
      <c r="T89" s="1031"/>
    </row>
    <row r="90" spans="2:20">
      <c r="B90" s="1054"/>
      <c r="C90" s="1053" t="s">
        <v>1293</v>
      </c>
      <c r="D90" s="1052"/>
      <c r="E90" s="1052" t="s">
        <v>595</v>
      </c>
      <c r="F90" s="1052" t="s">
        <v>1014</v>
      </c>
      <c r="G90" s="1052"/>
      <c r="H90" s="1052">
        <v>12</v>
      </c>
      <c r="I90" s="1051">
        <v>436</v>
      </c>
      <c r="J90" s="1050">
        <v>240</v>
      </c>
      <c r="K90" s="1049">
        <v>106</v>
      </c>
      <c r="L90" s="1049">
        <v>8.6999999999999993</v>
      </c>
      <c r="M90" s="1049">
        <v>13.1</v>
      </c>
      <c r="N90" s="1048">
        <v>5.2</v>
      </c>
      <c r="O90" s="1047">
        <f t="shared" si="5"/>
        <v>36.333333333333336</v>
      </c>
      <c r="P90" s="1047">
        <f t="shared" si="4"/>
        <v>0.83420000000000005</v>
      </c>
      <c r="Q90" s="1064"/>
      <c r="T90" s="1031"/>
    </row>
    <row r="91" spans="2:20">
      <c r="B91" s="1054"/>
      <c r="C91" s="1053" t="s">
        <v>1292</v>
      </c>
      <c r="D91" s="1052"/>
      <c r="E91" s="1052" t="s">
        <v>431</v>
      </c>
      <c r="F91" s="1052" t="s">
        <v>1014</v>
      </c>
      <c r="G91" s="1052"/>
      <c r="H91" s="1052">
        <v>12</v>
      </c>
      <c r="I91" s="1051"/>
      <c r="J91" s="1050">
        <f>136+152</f>
        <v>288</v>
      </c>
      <c r="K91" s="1049">
        <v>150</v>
      </c>
      <c r="L91" s="1049">
        <v>7.5</v>
      </c>
      <c r="M91" s="1049">
        <v>12.5</v>
      </c>
      <c r="N91" s="1048"/>
      <c r="O91" s="1047">
        <f t="shared" si="5"/>
        <v>0</v>
      </c>
      <c r="P91" s="1078">
        <f>H91*K91*O91*J91/1000000</f>
        <v>0</v>
      </c>
      <c r="Q91" s="1064"/>
      <c r="T91" s="1031"/>
    </row>
    <row r="92" spans="2:20">
      <c r="B92" s="1054"/>
      <c r="C92" s="1053" t="s">
        <v>1291</v>
      </c>
      <c r="D92" s="1052"/>
      <c r="E92" s="1052" t="s">
        <v>595</v>
      </c>
      <c r="F92" s="1052" t="s">
        <v>1014</v>
      </c>
      <c r="G92" s="1052"/>
      <c r="H92" s="1052">
        <v>12</v>
      </c>
      <c r="I92" s="1051">
        <v>505</v>
      </c>
      <c r="J92" s="1050">
        <v>260</v>
      </c>
      <c r="K92" s="1049">
        <v>113</v>
      </c>
      <c r="L92" s="1049">
        <v>9.4</v>
      </c>
      <c r="M92" s="1049">
        <v>14.1</v>
      </c>
      <c r="N92" s="1048">
        <v>5.6</v>
      </c>
      <c r="O92" s="1047">
        <f t="shared" si="5"/>
        <v>42.083333333333336</v>
      </c>
      <c r="P92" s="1047">
        <f>((J92-2*M92)+(2*K92-L92))*2/1000</f>
        <v>0.89679999999999993</v>
      </c>
      <c r="Q92" s="1064"/>
      <c r="T92" s="1031"/>
    </row>
    <row r="93" spans="2:20">
      <c r="B93" s="1054"/>
      <c r="C93" s="1053" t="s">
        <v>1290</v>
      </c>
      <c r="D93" s="1052"/>
      <c r="E93" s="1052" t="s">
        <v>595</v>
      </c>
      <c r="F93" s="1052" t="s">
        <v>1014</v>
      </c>
      <c r="G93" s="1052"/>
      <c r="H93" s="1052">
        <v>12</v>
      </c>
      <c r="I93" s="1051">
        <v>580</v>
      </c>
      <c r="J93" s="1050">
        <v>280</v>
      </c>
      <c r="K93" s="1049">
        <v>119</v>
      </c>
      <c r="L93" s="1049">
        <v>10.1</v>
      </c>
      <c r="M93" s="1049">
        <v>15.2</v>
      </c>
      <c r="N93" s="1048">
        <v>6.1</v>
      </c>
      <c r="O93" s="1047">
        <f t="shared" si="5"/>
        <v>48.333333333333336</v>
      </c>
      <c r="P93" s="1047">
        <f>((J93-2*M93)+(2*K93-L93))*2/1000</f>
        <v>0.95499999999999996</v>
      </c>
      <c r="Q93" s="1064"/>
      <c r="T93" s="1031"/>
    </row>
    <row r="94" spans="2:20">
      <c r="B94" s="1054"/>
      <c r="C94" s="1053" t="s">
        <v>1289</v>
      </c>
      <c r="D94" s="1052"/>
      <c r="E94" s="1052" t="s">
        <v>595</v>
      </c>
      <c r="F94" s="1052" t="s">
        <v>1014</v>
      </c>
      <c r="G94" s="1052"/>
      <c r="H94" s="1052">
        <v>12</v>
      </c>
      <c r="I94" s="1051">
        <v>661</v>
      </c>
      <c r="J94" s="1050">
        <v>300</v>
      </c>
      <c r="K94" s="1049">
        <v>125</v>
      </c>
      <c r="L94" s="1049">
        <v>10.8</v>
      </c>
      <c r="M94" s="1049">
        <v>16.2</v>
      </c>
      <c r="N94" s="1048">
        <v>5</v>
      </c>
      <c r="O94" s="1047">
        <f t="shared" si="5"/>
        <v>55.083333333333336</v>
      </c>
      <c r="P94" s="1047">
        <f>((J94-2*M94)+(2*K94-L94))*2/1000</f>
        <v>1.0136000000000001</v>
      </c>
      <c r="Q94" s="1064"/>
      <c r="T94" s="1031"/>
    </row>
    <row r="95" spans="2:20">
      <c r="B95" s="1054"/>
      <c r="C95" s="1053" t="s">
        <v>1288</v>
      </c>
      <c r="D95" s="1052"/>
      <c r="E95" s="1052" t="s">
        <v>595</v>
      </c>
      <c r="F95" s="1052" t="s">
        <v>1014</v>
      </c>
      <c r="G95" s="1052"/>
      <c r="H95" s="1052">
        <v>12</v>
      </c>
      <c r="I95" s="1051">
        <v>750</v>
      </c>
      <c r="J95" s="1050">
        <v>320</v>
      </c>
      <c r="K95" s="1049">
        <v>131</v>
      </c>
      <c r="L95" s="1049">
        <v>11.5</v>
      </c>
      <c r="M95" s="1049">
        <v>17.3</v>
      </c>
      <c r="N95" s="1048">
        <v>6.9</v>
      </c>
      <c r="O95" s="1047">
        <f t="shared" si="5"/>
        <v>62.5</v>
      </c>
      <c r="P95" s="1047">
        <f>((J95-2*M95)+(2*K95-L95))*2/1000</f>
        <v>1.0717999999999999</v>
      </c>
      <c r="Q95" s="1064"/>
      <c r="T95" s="1031"/>
    </row>
    <row r="96" spans="2:20">
      <c r="B96" s="1054"/>
      <c r="C96" s="1053" t="s">
        <v>1287</v>
      </c>
      <c r="D96" s="1052"/>
      <c r="E96" s="1052" t="s">
        <v>595</v>
      </c>
      <c r="F96" s="1052" t="s">
        <v>1014</v>
      </c>
      <c r="G96" s="1052"/>
      <c r="H96" s="1052">
        <v>12</v>
      </c>
      <c r="I96" s="1051"/>
      <c r="J96" s="1050">
        <f>136+136+136+116+541+534+136+136+136+171</f>
        <v>2178</v>
      </c>
      <c r="K96" s="1049">
        <v>150</v>
      </c>
      <c r="L96" s="1049">
        <v>12.2</v>
      </c>
      <c r="M96" s="1049">
        <v>18.3</v>
      </c>
      <c r="N96" s="1048">
        <v>7.3</v>
      </c>
      <c r="O96" s="1047">
        <f t="shared" si="5"/>
        <v>0</v>
      </c>
      <c r="P96" s="1078">
        <f>H96*K96*O96*J96/1000000</f>
        <v>0</v>
      </c>
      <c r="Q96" s="1064"/>
      <c r="T96" s="1031"/>
    </row>
    <row r="97" spans="2:20">
      <c r="B97" s="1054"/>
      <c r="C97" s="1053" t="s">
        <v>1286</v>
      </c>
      <c r="D97" s="1052"/>
      <c r="E97" s="1052" t="s">
        <v>595</v>
      </c>
      <c r="F97" s="1052" t="s">
        <v>1014</v>
      </c>
      <c r="G97" s="1052"/>
      <c r="H97" s="1052">
        <v>12</v>
      </c>
      <c r="I97" s="1051"/>
      <c r="J97" s="1050">
        <v>200</v>
      </c>
      <c r="K97" s="1049">
        <v>150</v>
      </c>
      <c r="L97" s="1049">
        <v>13</v>
      </c>
      <c r="M97" s="1049">
        <v>19.5</v>
      </c>
      <c r="N97" s="1048">
        <v>7.8</v>
      </c>
      <c r="O97" s="1047">
        <f t="shared" si="5"/>
        <v>0</v>
      </c>
      <c r="P97" s="1078">
        <f>H97*K97*O97*J97/1000000</f>
        <v>0</v>
      </c>
      <c r="Q97" s="1064"/>
      <c r="T97" s="1031"/>
    </row>
    <row r="98" spans="2:20">
      <c r="B98" s="1054"/>
      <c r="C98" s="1053" t="s">
        <v>1285</v>
      </c>
      <c r="D98" s="1052"/>
      <c r="E98" s="1052" t="s">
        <v>595</v>
      </c>
      <c r="F98" s="1052" t="s">
        <v>1014</v>
      </c>
      <c r="G98" s="1052"/>
      <c r="H98" s="1052">
        <v>12</v>
      </c>
      <c r="I98" s="1051">
        <v>1026</v>
      </c>
      <c r="J98" s="1050">
        <v>380</v>
      </c>
      <c r="K98" s="1049">
        <v>149</v>
      </c>
      <c r="L98" s="1049">
        <v>13.7</v>
      </c>
      <c r="M98" s="1049">
        <v>20.5</v>
      </c>
      <c r="N98" s="1048">
        <v>7.8</v>
      </c>
      <c r="O98" s="1047">
        <f t="shared" si="5"/>
        <v>85.5</v>
      </c>
      <c r="P98" s="1047">
        <f>((J98-2*M98)+(2*K98-L98))*2/1000</f>
        <v>1.2465999999999999</v>
      </c>
      <c r="Q98" s="1064"/>
      <c r="T98" s="1031"/>
    </row>
    <row r="99" spans="2:20">
      <c r="B99" s="1054"/>
      <c r="C99" s="1053" t="s">
        <v>1284</v>
      </c>
      <c r="D99" s="1052"/>
      <c r="E99" s="1052" t="s">
        <v>595</v>
      </c>
      <c r="F99" s="1052" t="s">
        <v>1014</v>
      </c>
      <c r="G99" s="1052"/>
      <c r="H99" s="1052">
        <v>12</v>
      </c>
      <c r="I99" s="1051"/>
      <c r="J99" s="1050">
        <f>136+136</f>
        <v>272</v>
      </c>
      <c r="K99" s="1049">
        <v>150</v>
      </c>
      <c r="L99" s="1049">
        <v>14.4</v>
      </c>
      <c r="M99" s="1049">
        <v>21.6</v>
      </c>
      <c r="N99" s="1048">
        <v>8.6</v>
      </c>
      <c r="O99" s="1047">
        <f t="shared" si="5"/>
        <v>0</v>
      </c>
      <c r="P99" s="1078">
        <f>H99*K99*O99*J99/1000000</f>
        <v>0</v>
      </c>
      <c r="Q99" s="1064"/>
      <c r="T99" s="1031"/>
    </row>
    <row r="100" spans="2:20">
      <c r="B100" s="1054"/>
      <c r="C100" s="1053" t="s">
        <v>1283</v>
      </c>
      <c r="D100" s="1052"/>
      <c r="E100" s="1052" t="s">
        <v>591</v>
      </c>
      <c r="F100" s="1052" t="s">
        <v>1014</v>
      </c>
      <c r="G100" s="1052"/>
      <c r="H100" s="1052">
        <v>12</v>
      </c>
      <c r="I100" s="1051"/>
      <c r="J100" s="1050">
        <f>264+300</f>
        <v>564</v>
      </c>
      <c r="K100" s="1049">
        <v>150</v>
      </c>
      <c r="L100" s="1049">
        <v>15.3</v>
      </c>
      <c r="M100" s="1049">
        <v>23</v>
      </c>
      <c r="N100" s="1048">
        <v>9.1999999999999993</v>
      </c>
      <c r="O100" s="1047">
        <f t="shared" si="5"/>
        <v>0</v>
      </c>
      <c r="P100" s="1078">
        <f>H100*K100*O100*J100/1000000</f>
        <v>0</v>
      </c>
      <c r="Q100" s="1064"/>
      <c r="T100" s="1031"/>
    </row>
    <row r="101" spans="2:20">
      <c r="B101" s="1054"/>
      <c r="C101" s="1053" t="s">
        <v>1282</v>
      </c>
      <c r="D101" s="1052"/>
      <c r="E101" s="1052" t="s">
        <v>595</v>
      </c>
      <c r="F101" s="1052" t="s">
        <v>1014</v>
      </c>
      <c r="G101" s="1052"/>
      <c r="H101" s="1052">
        <v>12</v>
      </c>
      <c r="I101" s="1051">
        <v>1400</v>
      </c>
      <c r="J101" s="1050">
        <v>450</v>
      </c>
      <c r="K101" s="1049">
        <v>170</v>
      </c>
      <c r="L101" s="1049">
        <v>16.2</v>
      </c>
      <c r="M101" s="1049">
        <v>21.3</v>
      </c>
      <c r="N101" s="1048">
        <v>9.6999999999999993</v>
      </c>
      <c r="O101" s="1047">
        <f t="shared" si="5"/>
        <v>116.66666666666667</v>
      </c>
      <c r="P101" s="1047">
        <f>((J101-2*M101)+(2*K101-L101))*2/1000</f>
        <v>1.4624000000000001</v>
      </c>
      <c r="Q101" s="1064"/>
      <c r="T101" s="1031"/>
    </row>
    <row r="102" spans="2:20">
      <c r="B102" s="1054"/>
      <c r="C102" s="1053" t="s">
        <v>1281</v>
      </c>
      <c r="D102" s="1052"/>
      <c r="E102" s="1052" t="s">
        <v>591</v>
      </c>
      <c r="F102" s="1052" t="s">
        <v>1014</v>
      </c>
      <c r="G102" s="1052"/>
      <c r="H102" s="1052">
        <v>12</v>
      </c>
      <c r="I102" s="1051">
        <v>1536</v>
      </c>
      <c r="J102" s="1050">
        <v>475</v>
      </c>
      <c r="K102" s="1049">
        <v>178</v>
      </c>
      <c r="L102" s="1049">
        <v>17.100000000000001</v>
      </c>
      <c r="M102" s="1049">
        <v>25.6</v>
      </c>
      <c r="N102" s="1048">
        <v>10.3</v>
      </c>
      <c r="O102" s="1047">
        <f t="shared" si="5"/>
        <v>128</v>
      </c>
      <c r="P102" s="1047">
        <f>((J102-2*M102)+(2*K102-L102))*2/1000</f>
        <v>1.5254000000000001</v>
      </c>
      <c r="Q102" s="1064"/>
      <c r="T102" s="1031"/>
    </row>
    <row r="103" spans="2:20">
      <c r="B103" s="1054"/>
      <c r="C103" s="1053" t="s">
        <v>1280</v>
      </c>
      <c r="D103" s="1052"/>
      <c r="E103" s="1052" t="s">
        <v>431</v>
      </c>
      <c r="F103" s="1052" t="s">
        <v>1014</v>
      </c>
      <c r="G103" s="1052"/>
      <c r="H103" s="1052">
        <v>12</v>
      </c>
      <c r="I103" s="1051">
        <v>1707</v>
      </c>
      <c r="J103" s="1050">
        <v>500</v>
      </c>
      <c r="K103" s="1049">
        <v>185</v>
      </c>
      <c r="L103" s="1049">
        <v>18</v>
      </c>
      <c r="M103" s="1049">
        <v>27</v>
      </c>
      <c r="N103" s="1048">
        <v>10.8</v>
      </c>
      <c r="O103" s="1047">
        <f t="shared" si="5"/>
        <v>142.25</v>
      </c>
      <c r="P103" s="1047">
        <f>((J103-2*M103)+(2*K103-L103))*2/1000</f>
        <v>1.5960000000000001</v>
      </c>
      <c r="Q103" s="1064"/>
      <c r="T103" s="1031"/>
    </row>
    <row r="104" spans="2:20">
      <c r="B104" s="1054"/>
      <c r="C104" s="1053" t="s">
        <v>1279</v>
      </c>
      <c r="D104" s="1052"/>
      <c r="E104" s="1052" t="s">
        <v>591</v>
      </c>
      <c r="F104" s="1052" t="s">
        <v>1014</v>
      </c>
      <c r="G104" s="1052"/>
      <c r="H104" s="1052">
        <v>12</v>
      </c>
      <c r="I104" s="1051">
        <v>1992</v>
      </c>
      <c r="J104" s="1050">
        <v>550</v>
      </c>
      <c r="K104" s="1049">
        <v>200</v>
      </c>
      <c r="L104" s="1049">
        <v>19</v>
      </c>
      <c r="M104" s="1049">
        <v>30</v>
      </c>
      <c r="N104" s="1048">
        <v>11.9</v>
      </c>
      <c r="O104" s="1047">
        <f t="shared" si="5"/>
        <v>166</v>
      </c>
      <c r="P104" s="1047">
        <f>((J104-2*M104)+(2*K104-L104))*2/1000</f>
        <v>1.742</v>
      </c>
      <c r="Q104" s="1064"/>
      <c r="T104" s="1031"/>
    </row>
    <row r="105" spans="2:20">
      <c r="B105" s="1054"/>
      <c r="C105" s="1053" t="s">
        <v>1278</v>
      </c>
      <c r="D105" s="1052"/>
      <c r="E105" s="1052" t="s">
        <v>591</v>
      </c>
      <c r="F105" s="1052" t="s">
        <v>1014</v>
      </c>
      <c r="G105" s="1052"/>
      <c r="H105" s="1052">
        <v>12</v>
      </c>
      <c r="I105" s="1051">
        <v>2388</v>
      </c>
      <c r="J105" s="1050">
        <v>600</v>
      </c>
      <c r="K105" s="1049">
        <v>215</v>
      </c>
      <c r="L105" s="1049">
        <v>21.6</v>
      </c>
      <c r="M105" s="1049">
        <v>32.4</v>
      </c>
      <c r="N105" s="1048">
        <v>13</v>
      </c>
      <c r="O105" s="1047">
        <f t="shared" si="5"/>
        <v>199</v>
      </c>
      <c r="P105" s="1047">
        <f>((J105-2*M105)+(2*K105-L105))*2/1000</f>
        <v>1.8872</v>
      </c>
      <c r="Q105" s="1064"/>
      <c r="T105" s="1031"/>
    </row>
    <row r="106" spans="2:20">
      <c r="B106" s="1054" t="s">
        <v>1277</v>
      </c>
      <c r="C106" s="1053" t="s">
        <v>1276</v>
      </c>
      <c r="D106" s="1052"/>
      <c r="E106" s="1052" t="s">
        <v>595</v>
      </c>
      <c r="F106" s="1052"/>
      <c r="G106" s="1052"/>
      <c r="H106" s="1052">
        <v>6</v>
      </c>
      <c r="I106" s="1051">
        <v>5.31</v>
      </c>
      <c r="J106" s="1050">
        <v>20</v>
      </c>
      <c r="K106" s="1049">
        <v>20</v>
      </c>
      <c r="L106" s="1049">
        <v>3</v>
      </c>
      <c r="M106" s="1049"/>
      <c r="N106" s="1048"/>
      <c r="O106" s="1047">
        <f t="shared" si="5"/>
        <v>0.8849999999999999</v>
      </c>
      <c r="P106" s="1047">
        <f>J106*4/1000</f>
        <v>0.08</v>
      </c>
      <c r="Q106" s="1064"/>
      <c r="T106" s="1031"/>
    </row>
    <row r="107" spans="2:20">
      <c r="B107" s="1054"/>
      <c r="C107" s="1053" t="s">
        <v>1275</v>
      </c>
      <c r="D107" s="1052" t="s">
        <v>853</v>
      </c>
      <c r="E107" s="1052" t="s">
        <v>595</v>
      </c>
      <c r="F107" s="1052"/>
      <c r="G107" s="1052"/>
      <c r="H107" s="1052">
        <v>6</v>
      </c>
      <c r="I107" s="1051">
        <f>O107*H107</f>
        <v>6.7200000000000006</v>
      </c>
      <c r="J107" s="1050">
        <v>25</v>
      </c>
      <c r="K107" s="1049">
        <v>25</v>
      </c>
      <c r="L107" s="1049">
        <v>3</v>
      </c>
      <c r="M107" s="1049"/>
      <c r="N107" s="1048"/>
      <c r="O107" s="1047">
        <v>1.1200000000000001</v>
      </c>
      <c r="P107" s="1047">
        <f>J107*4/1000</f>
        <v>0.1</v>
      </c>
      <c r="Q107" s="1064"/>
      <c r="T107" s="1031"/>
    </row>
    <row r="108" spans="2:20">
      <c r="B108" s="1054"/>
      <c r="C108" s="1053" t="s">
        <v>1274</v>
      </c>
      <c r="D108" s="1052"/>
      <c r="E108" s="1052" t="s">
        <v>595</v>
      </c>
      <c r="F108" s="1052"/>
      <c r="G108" s="1052"/>
      <c r="H108" s="1052">
        <v>6</v>
      </c>
      <c r="I108" s="1051">
        <v>10.6</v>
      </c>
      <c r="J108" s="1050">
        <v>25</v>
      </c>
      <c r="K108" s="1049">
        <v>25</v>
      </c>
      <c r="L108" s="1049">
        <v>5</v>
      </c>
      <c r="M108" s="1049"/>
      <c r="N108" s="1048"/>
      <c r="O108" s="1047">
        <f>I108/H108</f>
        <v>1.7666666666666666</v>
      </c>
      <c r="P108" s="1047">
        <f>J108*4/1000</f>
        <v>0.1</v>
      </c>
      <c r="Q108" s="1064"/>
      <c r="T108" s="1031"/>
    </row>
    <row r="109" spans="2:20">
      <c r="B109" s="1054"/>
      <c r="C109" s="1053" t="s">
        <v>1273</v>
      </c>
      <c r="D109" s="1052" t="s">
        <v>853</v>
      </c>
      <c r="E109" s="1052" t="s">
        <v>595</v>
      </c>
      <c r="F109" s="1052"/>
      <c r="G109" s="1052"/>
      <c r="H109" s="1052">
        <v>6</v>
      </c>
      <c r="I109" s="1051"/>
      <c r="J109" s="1050">
        <f>100*5+264+114*2+112*2+170</f>
        <v>1386</v>
      </c>
      <c r="K109" s="1049">
        <v>300</v>
      </c>
      <c r="L109" s="1049">
        <v>3</v>
      </c>
      <c r="M109" s="1049"/>
      <c r="N109" s="1048"/>
      <c r="O109" s="1047">
        <v>1.36</v>
      </c>
      <c r="P109" s="1078">
        <f>H109*K109*O109*J109/1000000</f>
        <v>3.3929279999999999</v>
      </c>
      <c r="Q109" s="1064"/>
      <c r="T109" s="1031"/>
    </row>
    <row r="110" spans="2:20">
      <c r="B110" s="1054"/>
      <c r="C110" s="1053" t="s">
        <v>1272</v>
      </c>
      <c r="D110" s="1052"/>
      <c r="E110" s="1052" t="s">
        <v>595</v>
      </c>
      <c r="F110" s="1052"/>
      <c r="G110" s="1052"/>
      <c r="H110" s="1052">
        <v>6</v>
      </c>
      <c r="I110" s="1051">
        <v>11</v>
      </c>
      <c r="J110" s="1050">
        <v>40</v>
      </c>
      <c r="K110" s="1049">
        <v>40</v>
      </c>
      <c r="L110" s="1049">
        <v>3</v>
      </c>
      <c r="M110" s="1049"/>
      <c r="N110" s="1048"/>
      <c r="O110" s="1047">
        <f>I110/H110</f>
        <v>1.8333333333333333</v>
      </c>
      <c r="P110" s="1047">
        <f t="shared" ref="P110:P122" si="6">J110*4/1000</f>
        <v>0.16</v>
      </c>
      <c r="Q110" s="1064"/>
      <c r="T110" s="1031"/>
    </row>
    <row r="111" spans="2:20">
      <c r="B111" s="1054"/>
      <c r="C111" s="1053" t="s">
        <v>1271</v>
      </c>
      <c r="D111" s="1052"/>
      <c r="E111" s="1052" t="s">
        <v>595</v>
      </c>
      <c r="F111" s="1052"/>
      <c r="G111" s="1052"/>
      <c r="H111" s="1052">
        <v>6</v>
      </c>
      <c r="I111" s="1051">
        <v>14.5</v>
      </c>
      <c r="J111" s="1050">
        <v>40</v>
      </c>
      <c r="K111" s="1049">
        <v>40</v>
      </c>
      <c r="L111" s="1049">
        <v>4</v>
      </c>
      <c r="M111" s="1049"/>
      <c r="N111" s="1048"/>
      <c r="O111" s="1047">
        <f>I111/H111</f>
        <v>2.4166666666666665</v>
      </c>
      <c r="P111" s="1047">
        <f t="shared" si="6"/>
        <v>0.16</v>
      </c>
      <c r="Q111" s="1064"/>
      <c r="T111" s="1031"/>
    </row>
    <row r="112" spans="2:20">
      <c r="B112" s="1054"/>
      <c r="C112" s="1053" t="s">
        <v>1270</v>
      </c>
      <c r="D112" s="1052" t="s">
        <v>1036</v>
      </c>
      <c r="E112" s="1052" t="s">
        <v>591</v>
      </c>
      <c r="F112" s="1052"/>
      <c r="G112" s="1052"/>
      <c r="H112" s="1052">
        <v>6</v>
      </c>
      <c r="I112" s="1051">
        <v>16.440000000000001</v>
      </c>
      <c r="J112" s="1050">
        <v>40</v>
      </c>
      <c r="K112" s="1049">
        <v>40</v>
      </c>
      <c r="L112" s="1049">
        <v>4</v>
      </c>
      <c r="M112" s="1049"/>
      <c r="N112" s="1048"/>
      <c r="O112" s="1047">
        <f>I112/H112</f>
        <v>2.74</v>
      </c>
      <c r="P112" s="1047">
        <f t="shared" si="6"/>
        <v>0.16</v>
      </c>
      <c r="Q112" s="1064"/>
      <c r="T112" s="1031"/>
    </row>
    <row r="113" spans="2:20">
      <c r="B113" s="1054"/>
      <c r="C113" s="1053" t="s">
        <v>1269</v>
      </c>
      <c r="D113" s="1052"/>
      <c r="E113" s="1052" t="s">
        <v>595</v>
      </c>
      <c r="F113" s="1052"/>
      <c r="G113" s="1052"/>
      <c r="H113" s="1052">
        <v>6</v>
      </c>
      <c r="I113" s="1051">
        <v>18</v>
      </c>
      <c r="J113" s="1050">
        <v>40</v>
      </c>
      <c r="K113" s="1049">
        <v>40</v>
      </c>
      <c r="L113" s="1049">
        <v>5</v>
      </c>
      <c r="M113" s="1049"/>
      <c r="N113" s="1048"/>
      <c r="O113" s="1047">
        <f>I113/H113</f>
        <v>3</v>
      </c>
      <c r="P113" s="1047">
        <f t="shared" si="6"/>
        <v>0.16</v>
      </c>
      <c r="Q113" s="1064"/>
      <c r="T113" s="1031"/>
    </row>
    <row r="114" spans="2:20">
      <c r="B114" s="1054"/>
      <c r="C114" s="1053" t="s">
        <v>1268</v>
      </c>
      <c r="D114" s="1052" t="s">
        <v>853</v>
      </c>
      <c r="E114" s="1052" t="s">
        <v>595</v>
      </c>
      <c r="F114" s="1052"/>
      <c r="G114" s="1052"/>
      <c r="H114" s="1052">
        <v>6</v>
      </c>
      <c r="I114" s="1051">
        <f>O114*H114</f>
        <v>16.440000000000001</v>
      </c>
      <c r="J114" s="1050">
        <v>45</v>
      </c>
      <c r="K114" s="1049">
        <v>45</v>
      </c>
      <c r="L114" s="1049">
        <v>4</v>
      </c>
      <c r="M114" s="1049"/>
      <c r="N114" s="1048"/>
      <c r="O114" s="1047">
        <v>2.74</v>
      </c>
      <c r="P114" s="1047">
        <f t="shared" si="6"/>
        <v>0.18</v>
      </c>
      <c r="Q114" s="1064"/>
      <c r="T114" s="1031"/>
    </row>
    <row r="115" spans="2:20">
      <c r="B115" s="1054"/>
      <c r="C115" s="1053" t="s">
        <v>1267</v>
      </c>
      <c r="D115" s="1052"/>
      <c r="E115" s="1052" t="s">
        <v>595</v>
      </c>
      <c r="F115" s="1052"/>
      <c r="G115" s="1052"/>
      <c r="H115" s="1052">
        <v>6</v>
      </c>
      <c r="I115" s="1051">
        <v>20.5</v>
      </c>
      <c r="J115" s="1050">
        <v>45</v>
      </c>
      <c r="K115" s="1049">
        <v>45</v>
      </c>
      <c r="L115" s="1049">
        <v>5</v>
      </c>
      <c r="M115" s="1049"/>
      <c r="N115" s="1048"/>
      <c r="O115" s="1047">
        <f>I115/H115</f>
        <v>3.4166666666666665</v>
      </c>
      <c r="P115" s="1047">
        <f t="shared" si="6"/>
        <v>0.18</v>
      </c>
      <c r="Q115" s="1064"/>
      <c r="T115" s="1031"/>
    </row>
    <row r="116" spans="2:20">
      <c r="B116" s="1054"/>
      <c r="C116" s="1053" t="s">
        <v>1266</v>
      </c>
      <c r="D116" s="1052"/>
      <c r="E116" s="1052" t="s">
        <v>595</v>
      </c>
      <c r="F116" s="1052"/>
      <c r="G116" s="1052"/>
      <c r="H116" s="1052">
        <v>6</v>
      </c>
      <c r="I116" s="1051">
        <v>18.399999999999999</v>
      </c>
      <c r="J116" s="1050">
        <v>50</v>
      </c>
      <c r="K116" s="1049">
        <v>50</v>
      </c>
      <c r="L116" s="1049">
        <v>4</v>
      </c>
      <c r="M116" s="1049"/>
      <c r="N116" s="1048"/>
      <c r="O116" s="1047">
        <f>I116/H116</f>
        <v>3.0666666666666664</v>
      </c>
      <c r="P116" s="1047">
        <f t="shared" si="6"/>
        <v>0.2</v>
      </c>
      <c r="Q116" s="1064"/>
      <c r="T116" s="1031"/>
    </row>
    <row r="117" spans="2:20">
      <c r="B117" s="1054"/>
      <c r="C117" s="1053" t="s">
        <v>1265</v>
      </c>
      <c r="D117" s="1052" t="s">
        <v>853</v>
      </c>
      <c r="E117" s="1052" t="s">
        <v>591</v>
      </c>
      <c r="F117" s="1052"/>
      <c r="G117" s="1052"/>
      <c r="H117" s="1052">
        <v>6</v>
      </c>
      <c r="I117" s="1051">
        <f>O117*H117</f>
        <v>22.62</v>
      </c>
      <c r="J117" s="1050">
        <v>50</v>
      </c>
      <c r="K117" s="1049">
        <v>50</v>
      </c>
      <c r="L117" s="1049">
        <v>5</v>
      </c>
      <c r="M117" s="1049"/>
      <c r="N117" s="1048"/>
      <c r="O117" s="1047">
        <v>3.77</v>
      </c>
      <c r="P117" s="1047">
        <f t="shared" si="6"/>
        <v>0.2</v>
      </c>
      <c r="Q117" s="1064"/>
      <c r="T117" s="1031"/>
    </row>
    <row r="118" spans="2:20">
      <c r="B118" s="1054"/>
      <c r="C118" s="1053" t="s">
        <v>1264</v>
      </c>
      <c r="D118" s="1052" t="s">
        <v>1036</v>
      </c>
      <c r="E118" s="1052" t="s">
        <v>591</v>
      </c>
      <c r="F118" s="1052"/>
      <c r="G118" s="1052"/>
      <c r="H118" s="1052">
        <v>6</v>
      </c>
      <c r="I118" s="1051">
        <v>25.08</v>
      </c>
      <c r="J118" s="1050">
        <v>50</v>
      </c>
      <c r="K118" s="1049">
        <v>50</v>
      </c>
      <c r="L118" s="1049">
        <v>5</v>
      </c>
      <c r="M118" s="1049"/>
      <c r="N118" s="1048"/>
      <c r="O118" s="1047">
        <f>I118/H118</f>
        <v>4.18</v>
      </c>
      <c r="P118" s="1047">
        <f t="shared" si="6"/>
        <v>0.2</v>
      </c>
      <c r="Q118" s="1064"/>
      <c r="T118" s="1031"/>
    </row>
    <row r="119" spans="2:20">
      <c r="B119" s="1054"/>
      <c r="C119" s="1053" t="s">
        <v>1263</v>
      </c>
      <c r="D119" s="1052" t="s">
        <v>853</v>
      </c>
      <c r="E119" s="1052" t="s">
        <v>595</v>
      </c>
      <c r="F119" s="1052"/>
      <c r="G119" s="1052"/>
      <c r="H119" s="1052">
        <v>6</v>
      </c>
      <c r="I119" s="1051">
        <v>27.58</v>
      </c>
      <c r="J119" s="1050">
        <v>50</v>
      </c>
      <c r="K119" s="1049">
        <v>50</v>
      </c>
      <c r="L119" s="1049">
        <v>6</v>
      </c>
      <c r="M119" s="1049"/>
      <c r="N119" s="1048"/>
      <c r="O119" s="1047">
        <f>I119/H119</f>
        <v>4.5966666666666667</v>
      </c>
      <c r="P119" s="1047">
        <f t="shared" si="6"/>
        <v>0.2</v>
      </c>
      <c r="Q119" s="1064"/>
      <c r="T119" s="1031"/>
    </row>
    <row r="120" spans="2:20">
      <c r="B120" s="1054"/>
      <c r="C120" s="1053" t="s">
        <v>1262</v>
      </c>
      <c r="D120" s="1052" t="s">
        <v>853</v>
      </c>
      <c r="E120" s="1052"/>
      <c r="F120" s="1052"/>
      <c r="G120" s="1052"/>
      <c r="H120" s="1052">
        <v>6</v>
      </c>
      <c r="I120" s="1051">
        <f>O120*H120</f>
        <v>22.080000000000002</v>
      </c>
      <c r="J120" s="1050">
        <v>60</v>
      </c>
      <c r="K120" s="1049">
        <v>60</v>
      </c>
      <c r="L120" s="1049">
        <v>4</v>
      </c>
      <c r="M120" s="1049"/>
      <c r="N120" s="1048"/>
      <c r="O120" s="1047">
        <v>3.68</v>
      </c>
      <c r="P120" s="1047">
        <f t="shared" si="6"/>
        <v>0.24</v>
      </c>
      <c r="Q120" s="1064"/>
      <c r="T120" s="1031"/>
    </row>
    <row r="121" spans="2:20">
      <c r="B121" s="1054"/>
      <c r="C121" s="1053" t="s">
        <v>1261</v>
      </c>
      <c r="D121" s="1052" t="s">
        <v>853</v>
      </c>
      <c r="E121" s="1052" t="s">
        <v>595</v>
      </c>
      <c r="F121" s="1052"/>
      <c r="G121" s="1052"/>
      <c r="H121" s="1052">
        <v>6</v>
      </c>
      <c r="I121" s="1051">
        <f>O121*H121</f>
        <v>27.299999999999997</v>
      </c>
      <c r="J121" s="1050">
        <v>60</v>
      </c>
      <c r="K121" s="1049">
        <v>60</v>
      </c>
      <c r="L121" s="1049">
        <v>5</v>
      </c>
      <c r="M121" s="1049"/>
      <c r="N121" s="1048"/>
      <c r="O121" s="1047">
        <v>4.55</v>
      </c>
      <c r="P121" s="1047">
        <f t="shared" si="6"/>
        <v>0.24</v>
      </c>
      <c r="Q121" s="1064"/>
      <c r="T121" s="1031"/>
    </row>
    <row r="122" spans="2:20">
      <c r="B122" s="1054"/>
      <c r="C122" s="1053" t="s">
        <v>1260</v>
      </c>
      <c r="D122" s="1052" t="s">
        <v>1036</v>
      </c>
      <c r="E122" s="1052" t="s">
        <v>591</v>
      </c>
      <c r="F122" s="1052"/>
      <c r="G122" s="1052"/>
      <c r="H122" s="1052">
        <v>6</v>
      </c>
      <c r="I122" s="1051">
        <v>27.42</v>
      </c>
      <c r="J122" s="1050">
        <v>60</v>
      </c>
      <c r="K122" s="1049">
        <v>60</v>
      </c>
      <c r="L122" s="1049">
        <v>6</v>
      </c>
      <c r="M122" s="1049"/>
      <c r="N122" s="1048"/>
      <c r="O122" s="1047">
        <f>I122/H122</f>
        <v>4.57</v>
      </c>
      <c r="P122" s="1047">
        <f t="shared" si="6"/>
        <v>0.24</v>
      </c>
      <c r="Q122" s="1064"/>
      <c r="T122" s="1031"/>
    </row>
    <row r="123" spans="2:20">
      <c r="B123" s="1054"/>
      <c r="C123" s="1053" t="s">
        <v>1259</v>
      </c>
      <c r="D123" s="1052" t="s">
        <v>853</v>
      </c>
      <c r="E123" s="1052" t="s">
        <v>595</v>
      </c>
      <c r="F123" s="1052"/>
      <c r="G123" s="1052"/>
      <c r="H123" s="1052">
        <v>6</v>
      </c>
      <c r="I123" s="1051"/>
      <c r="J123" s="1050">
        <f>136+152</f>
        <v>288</v>
      </c>
      <c r="K123" s="1049">
        <v>150</v>
      </c>
      <c r="L123" s="1049">
        <v>6</v>
      </c>
      <c r="M123" s="1049"/>
      <c r="N123" s="1048"/>
      <c r="O123" s="1047">
        <f>I123/H123</f>
        <v>0</v>
      </c>
      <c r="P123" s="1078">
        <f>H123*K123*O123*J123/1000000</f>
        <v>0</v>
      </c>
      <c r="Q123" s="1064"/>
      <c r="T123" s="1031"/>
    </row>
    <row r="124" spans="2:20">
      <c r="B124" s="1054"/>
      <c r="C124" s="1053" t="s">
        <v>1258</v>
      </c>
      <c r="D124" s="1052" t="s">
        <v>1036</v>
      </c>
      <c r="E124" s="1052" t="s">
        <v>591</v>
      </c>
      <c r="F124" s="1052"/>
      <c r="G124" s="1052"/>
      <c r="H124" s="1052">
        <v>6</v>
      </c>
      <c r="I124" s="1051">
        <v>32.520000000000003</v>
      </c>
      <c r="J124" s="1050">
        <v>60</v>
      </c>
      <c r="K124" s="1049">
        <v>60</v>
      </c>
      <c r="L124" s="1049">
        <v>6</v>
      </c>
      <c r="M124" s="1049"/>
      <c r="N124" s="1048"/>
      <c r="O124" s="1047">
        <f>I124/H124</f>
        <v>5.4200000000000008</v>
      </c>
      <c r="P124" s="1047">
        <f>J124*4/1000</f>
        <v>0.24</v>
      </c>
      <c r="Q124" s="1064"/>
      <c r="T124" s="1031"/>
    </row>
    <row r="125" spans="2:20">
      <c r="B125" s="1054"/>
      <c r="C125" s="1053" t="s">
        <v>1257</v>
      </c>
      <c r="D125" s="1052" t="s">
        <v>1036</v>
      </c>
      <c r="E125" s="1052" t="s">
        <v>591</v>
      </c>
      <c r="F125" s="1052"/>
      <c r="G125" s="1052"/>
      <c r="H125" s="1052">
        <v>6</v>
      </c>
      <c r="I125" s="1051">
        <v>42.54</v>
      </c>
      <c r="J125" s="1050">
        <v>60</v>
      </c>
      <c r="K125" s="1049">
        <v>60</v>
      </c>
      <c r="L125" s="1049">
        <v>8</v>
      </c>
      <c r="M125" s="1049"/>
      <c r="N125" s="1048"/>
      <c r="O125" s="1047">
        <f>I125/H125</f>
        <v>7.09</v>
      </c>
      <c r="P125" s="1047">
        <f>J125*4/1000</f>
        <v>0.24</v>
      </c>
      <c r="Q125" s="1064"/>
      <c r="T125" s="1031"/>
    </row>
    <row r="126" spans="2:20">
      <c r="B126" s="1054"/>
      <c r="C126" s="1053" t="s">
        <v>1256</v>
      </c>
      <c r="D126" s="1052" t="s">
        <v>1036</v>
      </c>
      <c r="E126" s="1052" t="s">
        <v>591</v>
      </c>
      <c r="F126" s="1052"/>
      <c r="G126" s="1052"/>
      <c r="H126" s="1052">
        <v>6</v>
      </c>
      <c r="I126" s="1051">
        <v>52.14</v>
      </c>
      <c r="J126" s="1050">
        <v>60</v>
      </c>
      <c r="K126" s="1049">
        <v>60</v>
      </c>
      <c r="L126" s="1049">
        <v>10</v>
      </c>
      <c r="M126" s="1049"/>
      <c r="N126" s="1048"/>
      <c r="O126" s="1047">
        <f>I126/H126</f>
        <v>8.69</v>
      </c>
      <c r="P126" s="1047">
        <f>J126*4/1000</f>
        <v>0.24</v>
      </c>
      <c r="Q126" s="1064"/>
      <c r="T126" s="1031"/>
    </row>
    <row r="127" spans="2:20">
      <c r="B127" s="1054"/>
      <c r="C127" s="1053" t="s">
        <v>1255</v>
      </c>
      <c r="D127" s="1052" t="s">
        <v>853</v>
      </c>
      <c r="E127" s="1052"/>
      <c r="F127" s="1052"/>
      <c r="G127" s="1052"/>
      <c r="H127" s="1052">
        <v>6</v>
      </c>
      <c r="I127" s="1051"/>
      <c r="J127" s="1050">
        <f>136+136+136+116+541+534+136+136+136+171</f>
        <v>2178</v>
      </c>
      <c r="K127" s="1049">
        <v>150</v>
      </c>
      <c r="L127" s="1049">
        <v>5</v>
      </c>
      <c r="M127" s="1049"/>
      <c r="N127" s="1048"/>
      <c r="O127" s="1047">
        <v>5</v>
      </c>
      <c r="P127" s="1078">
        <f>H127*K127*O127*J127/1000000</f>
        <v>9.8010000000000002</v>
      </c>
      <c r="Q127" s="1064"/>
      <c r="T127" s="1031"/>
    </row>
    <row r="128" spans="2:20">
      <c r="B128" s="1054"/>
      <c r="C128" s="1053" t="s">
        <v>1254</v>
      </c>
      <c r="D128" s="1052" t="s">
        <v>1036</v>
      </c>
      <c r="E128" s="1052" t="s">
        <v>591</v>
      </c>
      <c r="F128" s="1052"/>
      <c r="G128" s="1052"/>
      <c r="H128" s="1052">
        <v>6</v>
      </c>
      <c r="I128" s="1051"/>
      <c r="J128" s="1050">
        <v>200</v>
      </c>
      <c r="K128" s="1049">
        <v>150</v>
      </c>
      <c r="L128" s="1049">
        <v>5.5</v>
      </c>
      <c r="M128" s="1049"/>
      <c r="N128" s="1048"/>
      <c r="O128" s="1047">
        <f>I128/H128</f>
        <v>0</v>
      </c>
      <c r="P128" s="1078">
        <f>H128*K128*O128*J128/1000000</f>
        <v>0</v>
      </c>
      <c r="Q128" s="1064"/>
      <c r="T128" s="1031"/>
    </row>
    <row r="129" spans="2:20">
      <c r="B129" s="1054"/>
      <c r="C129" s="1053" t="s">
        <v>1253</v>
      </c>
      <c r="D129" s="1052" t="s">
        <v>1214</v>
      </c>
      <c r="E129" s="1052" t="s">
        <v>595</v>
      </c>
      <c r="F129" s="1052"/>
      <c r="G129" s="1052"/>
      <c r="H129" s="1052">
        <v>6</v>
      </c>
      <c r="I129" s="1051">
        <v>35.5</v>
      </c>
      <c r="J129" s="1050">
        <v>65</v>
      </c>
      <c r="K129" s="1049">
        <v>65</v>
      </c>
      <c r="L129" s="1049">
        <v>6</v>
      </c>
      <c r="M129" s="1049"/>
      <c r="N129" s="1048"/>
      <c r="O129" s="1047">
        <f>I129/H129</f>
        <v>5.916666666666667</v>
      </c>
      <c r="P129" s="1047">
        <f>J129*4/1000</f>
        <v>0.26</v>
      </c>
      <c r="Q129" s="1064"/>
      <c r="T129" s="1031"/>
    </row>
    <row r="130" spans="2:20">
      <c r="B130" s="1054"/>
      <c r="C130" s="1053" t="s">
        <v>1252</v>
      </c>
      <c r="D130" s="1052" t="s">
        <v>1036</v>
      </c>
      <c r="E130" s="1052" t="s">
        <v>591</v>
      </c>
      <c r="F130" s="1052"/>
      <c r="G130" s="1052"/>
      <c r="H130" s="1052">
        <v>6</v>
      </c>
      <c r="I130" s="1051"/>
      <c r="J130" s="1050">
        <f>136</f>
        <v>136</v>
      </c>
      <c r="K130" s="1049">
        <v>150</v>
      </c>
      <c r="L130" s="1049">
        <v>7</v>
      </c>
      <c r="M130" s="1049"/>
      <c r="N130" s="1048"/>
      <c r="O130" s="1047">
        <f>I130/H130</f>
        <v>0</v>
      </c>
      <c r="P130" s="1078">
        <f>H130*K130*O130*J130/1000000</f>
        <v>0</v>
      </c>
      <c r="Q130" s="1064"/>
      <c r="T130" s="1031"/>
    </row>
    <row r="131" spans="2:20">
      <c r="B131" s="1054"/>
      <c r="C131" s="1053" t="s">
        <v>1251</v>
      </c>
      <c r="D131" s="1052" t="s">
        <v>853</v>
      </c>
      <c r="E131" s="1052"/>
      <c r="F131" s="1052"/>
      <c r="G131" s="1052"/>
      <c r="H131" s="1052">
        <v>6</v>
      </c>
      <c r="I131" s="1051"/>
      <c r="J131" s="1050">
        <f>264+300</f>
        <v>564</v>
      </c>
      <c r="K131" s="1049">
        <v>150</v>
      </c>
      <c r="L131" s="1049">
        <v>8</v>
      </c>
      <c r="M131" s="1049"/>
      <c r="N131" s="1048"/>
      <c r="O131" s="1047">
        <v>7.66</v>
      </c>
      <c r="P131" s="1078">
        <f>H131*K131*O131*J131/1000000</f>
        <v>3.8882159999999999</v>
      </c>
      <c r="Q131" s="1064"/>
      <c r="T131" s="1031"/>
    </row>
    <row r="132" spans="2:20">
      <c r="B132" s="1054"/>
      <c r="C132" s="1053" t="s">
        <v>1250</v>
      </c>
      <c r="D132" s="1052" t="s">
        <v>1036</v>
      </c>
      <c r="E132" s="1052" t="s">
        <v>591</v>
      </c>
      <c r="F132" s="1052"/>
      <c r="G132" s="1052"/>
      <c r="H132" s="1052">
        <v>6</v>
      </c>
      <c r="I132" s="1051"/>
      <c r="J132" s="1050">
        <f>100*5+264+114*2+112*2+170</f>
        <v>1386</v>
      </c>
      <c r="K132" s="1049">
        <v>300</v>
      </c>
      <c r="L132" s="1049">
        <v>8</v>
      </c>
      <c r="M132" s="1049"/>
      <c r="N132" s="1048"/>
      <c r="O132" s="1047">
        <f>I132/H132</f>
        <v>0</v>
      </c>
      <c r="P132" s="1078">
        <f>H132*K132*O132*J132/1000000</f>
        <v>0</v>
      </c>
      <c r="Q132" s="1064"/>
      <c r="T132" s="1031"/>
    </row>
    <row r="133" spans="2:20">
      <c r="B133" s="1054"/>
      <c r="C133" s="1053" t="s">
        <v>1249</v>
      </c>
      <c r="D133" s="1052" t="s">
        <v>1036</v>
      </c>
      <c r="E133" s="1052" t="s">
        <v>591</v>
      </c>
      <c r="F133" s="1052"/>
      <c r="G133" s="1052"/>
      <c r="H133" s="1052">
        <v>6</v>
      </c>
      <c r="I133" s="1051">
        <v>51.72</v>
      </c>
      <c r="J133" s="1050">
        <v>65</v>
      </c>
      <c r="K133" s="1049">
        <v>65</v>
      </c>
      <c r="L133" s="1049">
        <v>9</v>
      </c>
      <c r="M133" s="1049"/>
      <c r="N133" s="1048"/>
      <c r="O133" s="1047">
        <f>I133/H133</f>
        <v>8.6199999999999992</v>
      </c>
      <c r="P133" s="1047">
        <f t="shared" ref="P133:P138" si="7">J133*4/1000</f>
        <v>0.26</v>
      </c>
      <c r="Q133" s="1064"/>
      <c r="T133" s="1031"/>
    </row>
    <row r="134" spans="2:20">
      <c r="B134" s="1054"/>
      <c r="C134" s="1053" t="s">
        <v>1248</v>
      </c>
      <c r="D134" s="1052" t="s">
        <v>1036</v>
      </c>
      <c r="E134" s="1052" t="s">
        <v>591</v>
      </c>
      <c r="F134" s="1052"/>
      <c r="G134" s="1052"/>
      <c r="H134" s="1052">
        <v>6</v>
      </c>
      <c r="I134" s="1051">
        <v>61.8</v>
      </c>
      <c r="J134" s="1050">
        <v>65</v>
      </c>
      <c r="K134" s="1049">
        <v>65</v>
      </c>
      <c r="L134" s="1049">
        <v>10</v>
      </c>
      <c r="M134" s="1049"/>
      <c r="N134" s="1048"/>
      <c r="O134" s="1047">
        <f>I134/H134</f>
        <v>10.299999999999999</v>
      </c>
      <c r="P134" s="1047">
        <f t="shared" si="7"/>
        <v>0.26</v>
      </c>
      <c r="Q134" s="1064"/>
      <c r="T134" s="1031"/>
    </row>
    <row r="135" spans="2:20">
      <c r="B135" s="1054"/>
      <c r="C135" s="1053" t="s">
        <v>1247</v>
      </c>
      <c r="D135" s="1052" t="s">
        <v>1214</v>
      </c>
      <c r="E135" s="1052" t="s">
        <v>591</v>
      </c>
      <c r="F135" s="1052"/>
      <c r="G135" s="1052"/>
      <c r="H135" s="1052">
        <v>6</v>
      </c>
      <c r="I135" s="1051">
        <f>O135*H135</f>
        <v>38.28</v>
      </c>
      <c r="J135" s="1050">
        <v>70</v>
      </c>
      <c r="K135" s="1049">
        <v>70</v>
      </c>
      <c r="L135" s="1049">
        <v>6</v>
      </c>
      <c r="M135" s="1049"/>
      <c r="N135" s="1048"/>
      <c r="O135" s="1047">
        <v>6.38</v>
      </c>
      <c r="P135" s="1047">
        <f t="shared" si="7"/>
        <v>0.28000000000000003</v>
      </c>
      <c r="Q135" s="1064"/>
      <c r="T135" s="1031"/>
    </row>
    <row r="136" spans="2:20">
      <c r="B136" s="1054"/>
      <c r="C136" s="1053" t="s">
        <v>1246</v>
      </c>
      <c r="D136" s="1052" t="s">
        <v>1036</v>
      </c>
      <c r="E136" s="1052" t="s">
        <v>591</v>
      </c>
      <c r="F136" s="1052"/>
      <c r="G136" s="1052"/>
      <c r="H136" s="1052">
        <v>6</v>
      </c>
      <c r="I136" s="1051">
        <v>38.520000000000003</v>
      </c>
      <c r="J136" s="1050">
        <v>70</v>
      </c>
      <c r="K136" s="1049">
        <v>70</v>
      </c>
      <c r="L136" s="1049">
        <v>6.5</v>
      </c>
      <c r="M136" s="1049"/>
      <c r="N136" s="1048"/>
      <c r="O136" s="1047">
        <f t="shared" ref="O136:O141" si="8">I136/H136</f>
        <v>6.4200000000000008</v>
      </c>
      <c r="P136" s="1047">
        <f t="shared" si="7"/>
        <v>0.28000000000000003</v>
      </c>
      <c r="Q136" s="1064"/>
      <c r="T136" s="1031"/>
    </row>
    <row r="137" spans="2:20">
      <c r="B137" s="1054"/>
      <c r="C137" s="1053" t="s">
        <v>1245</v>
      </c>
      <c r="D137" s="1052" t="s">
        <v>1036</v>
      </c>
      <c r="E137" s="1052" t="s">
        <v>595</v>
      </c>
      <c r="F137" s="1052"/>
      <c r="G137" s="1052"/>
      <c r="H137" s="1052">
        <v>6</v>
      </c>
      <c r="I137" s="1051">
        <v>44.3</v>
      </c>
      <c r="J137" s="1050">
        <v>70</v>
      </c>
      <c r="K137" s="1049">
        <v>70</v>
      </c>
      <c r="L137" s="1049">
        <v>7</v>
      </c>
      <c r="M137" s="1049"/>
      <c r="N137" s="1048"/>
      <c r="O137" s="1047">
        <f t="shared" si="8"/>
        <v>7.3833333333333329</v>
      </c>
      <c r="P137" s="1047">
        <f t="shared" si="7"/>
        <v>0.28000000000000003</v>
      </c>
      <c r="Q137" s="1064"/>
      <c r="T137" s="1031"/>
    </row>
    <row r="138" spans="2:20">
      <c r="B138" s="1054"/>
      <c r="C138" s="1053" t="s">
        <v>1244</v>
      </c>
      <c r="D138" s="1052" t="s">
        <v>1036</v>
      </c>
      <c r="E138" s="1052" t="s">
        <v>591</v>
      </c>
      <c r="F138" s="1052"/>
      <c r="G138" s="1052"/>
      <c r="H138" s="1052">
        <v>6</v>
      </c>
      <c r="I138" s="1051">
        <v>56.4</v>
      </c>
      <c r="J138" s="1050">
        <v>70</v>
      </c>
      <c r="K138" s="1049">
        <v>70</v>
      </c>
      <c r="L138" s="1049">
        <v>9</v>
      </c>
      <c r="M138" s="1049"/>
      <c r="N138" s="1048"/>
      <c r="O138" s="1047">
        <f t="shared" si="8"/>
        <v>9.4</v>
      </c>
      <c r="P138" s="1047">
        <f t="shared" si="7"/>
        <v>0.28000000000000003</v>
      </c>
      <c r="Q138" s="1064"/>
      <c r="T138" s="1031"/>
    </row>
    <row r="139" spans="2:20">
      <c r="B139" s="1054"/>
      <c r="C139" s="1053" t="s">
        <v>1243</v>
      </c>
      <c r="D139" s="1052" t="s">
        <v>1036</v>
      </c>
      <c r="E139" s="1052" t="s">
        <v>591</v>
      </c>
      <c r="F139" s="1052"/>
      <c r="G139" s="1052"/>
      <c r="H139" s="1052">
        <v>6</v>
      </c>
      <c r="I139" s="1051"/>
      <c r="J139" s="1050">
        <f>136+136+136+116+541+534+136+136+136+171</f>
        <v>2178</v>
      </c>
      <c r="K139" s="1049">
        <v>150</v>
      </c>
      <c r="L139" s="1049">
        <v>11</v>
      </c>
      <c r="M139" s="1049"/>
      <c r="N139" s="1048"/>
      <c r="O139" s="1047">
        <f t="shared" si="8"/>
        <v>0</v>
      </c>
      <c r="P139" s="1078">
        <f>H139*K139*O139*J139/1000000</f>
        <v>0</v>
      </c>
      <c r="Q139" s="1064"/>
      <c r="T139" s="1031"/>
    </row>
    <row r="140" spans="2:20">
      <c r="B140" s="1054"/>
      <c r="C140" s="1053" t="s">
        <v>1242</v>
      </c>
      <c r="D140" s="1052" t="s">
        <v>1036</v>
      </c>
      <c r="E140" s="1052" t="s">
        <v>591</v>
      </c>
      <c r="F140" s="1052"/>
      <c r="G140" s="1052"/>
      <c r="H140" s="1052">
        <v>6</v>
      </c>
      <c r="I140" s="1051"/>
      <c r="J140" s="1050">
        <v>200</v>
      </c>
      <c r="K140" s="1049">
        <v>150</v>
      </c>
      <c r="L140" s="1049">
        <v>5.5</v>
      </c>
      <c r="M140" s="1049"/>
      <c r="N140" s="1048"/>
      <c r="O140" s="1047">
        <f t="shared" si="8"/>
        <v>0</v>
      </c>
      <c r="P140" s="1078">
        <f>H140*K140*O140*J140/1000000</f>
        <v>0</v>
      </c>
      <c r="Q140" s="1064"/>
      <c r="T140" s="1031"/>
    </row>
    <row r="141" spans="2:20">
      <c r="B141" s="1054"/>
      <c r="C141" s="1053" t="s">
        <v>1241</v>
      </c>
      <c r="D141" s="1052" t="s">
        <v>1036</v>
      </c>
      <c r="E141" s="1052" t="s">
        <v>591</v>
      </c>
      <c r="F141" s="1052"/>
      <c r="G141" s="1052"/>
      <c r="H141" s="1052">
        <v>6</v>
      </c>
      <c r="I141" s="1051">
        <v>41.22</v>
      </c>
      <c r="J141" s="1050">
        <v>75</v>
      </c>
      <c r="K141" s="1049">
        <v>75</v>
      </c>
      <c r="L141" s="1049">
        <v>6</v>
      </c>
      <c r="M141" s="1049"/>
      <c r="N141" s="1048"/>
      <c r="O141" s="1047">
        <f t="shared" si="8"/>
        <v>6.87</v>
      </c>
      <c r="P141" s="1047">
        <f>J141*4/1000</f>
        <v>0.3</v>
      </c>
      <c r="Q141" s="1064"/>
      <c r="T141" s="1031"/>
    </row>
    <row r="142" spans="2:20">
      <c r="B142" s="1054"/>
      <c r="C142" s="1053" t="s">
        <v>1240</v>
      </c>
      <c r="D142" s="1052" t="s">
        <v>853</v>
      </c>
      <c r="E142" s="1052" t="s">
        <v>595</v>
      </c>
      <c r="F142" s="1052"/>
      <c r="G142" s="1052"/>
      <c r="H142" s="1052">
        <v>6</v>
      </c>
      <c r="I142" s="1051"/>
      <c r="J142" s="1050">
        <f>136+136</f>
        <v>272</v>
      </c>
      <c r="K142" s="1049">
        <v>150</v>
      </c>
      <c r="L142" s="1049">
        <v>6</v>
      </c>
      <c r="M142" s="1049"/>
      <c r="N142" s="1048"/>
      <c r="O142" s="1047">
        <v>6.85</v>
      </c>
      <c r="P142" s="1078">
        <f>H142*K142*O142*J142/1000000</f>
        <v>1.6768799999999999</v>
      </c>
      <c r="Q142" s="1064"/>
      <c r="T142" s="1031"/>
    </row>
    <row r="143" spans="2:20">
      <c r="B143" s="1054"/>
      <c r="C143" s="1053" t="s">
        <v>1239</v>
      </c>
      <c r="D143" s="1052" t="s">
        <v>1036</v>
      </c>
      <c r="E143" s="1052" t="s">
        <v>595</v>
      </c>
      <c r="F143" s="1052"/>
      <c r="G143" s="1052"/>
      <c r="H143" s="1052">
        <v>6</v>
      </c>
      <c r="I143" s="1051"/>
      <c r="J143" s="1050">
        <f>264+300</f>
        <v>564</v>
      </c>
      <c r="K143" s="1049">
        <v>150</v>
      </c>
      <c r="L143" s="1049">
        <v>7</v>
      </c>
      <c r="M143" s="1049"/>
      <c r="N143" s="1048"/>
      <c r="O143" s="1047">
        <f>I143/H143</f>
        <v>0</v>
      </c>
      <c r="P143" s="1078">
        <f>H143*K143*O143*J143/1000000</f>
        <v>0</v>
      </c>
      <c r="Q143" s="1064"/>
      <c r="T143" s="1031"/>
    </row>
    <row r="144" spans="2:20">
      <c r="B144" s="1054"/>
      <c r="C144" s="1053" t="s">
        <v>1238</v>
      </c>
      <c r="D144" s="1052" t="s">
        <v>1036</v>
      </c>
      <c r="E144" s="1052" t="s">
        <v>595</v>
      </c>
      <c r="F144" s="1052"/>
      <c r="G144" s="1052"/>
      <c r="H144" s="1052">
        <v>6</v>
      </c>
      <c r="I144" s="1051">
        <v>54.18</v>
      </c>
      <c r="J144" s="1050">
        <v>75</v>
      </c>
      <c r="K144" s="1049">
        <v>75</v>
      </c>
      <c r="L144" s="1049">
        <v>8</v>
      </c>
      <c r="M144" s="1049"/>
      <c r="N144" s="1048"/>
      <c r="O144" s="1047">
        <f>I144/H144</f>
        <v>9.0299999999999994</v>
      </c>
      <c r="P144" s="1047">
        <f t="shared" ref="P144:P153" si="9">J144*4/1000</f>
        <v>0.3</v>
      </c>
      <c r="Q144" s="1064"/>
      <c r="T144" s="1031"/>
    </row>
    <row r="145" spans="2:20">
      <c r="B145" s="1054"/>
      <c r="C145" s="1053" t="s">
        <v>1237</v>
      </c>
      <c r="D145" s="1052" t="s">
        <v>853</v>
      </c>
      <c r="E145" s="1052" t="s">
        <v>595</v>
      </c>
      <c r="F145" s="1052"/>
      <c r="G145" s="1052"/>
      <c r="H145" s="1052">
        <v>6</v>
      </c>
      <c r="I145" s="1051">
        <v>59.8</v>
      </c>
      <c r="J145" s="1050">
        <v>75</v>
      </c>
      <c r="K145" s="1049">
        <v>75</v>
      </c>
      <c r="L145" s="1049">
        <v>9</v>
      </c>
      <c r="M145" s="1049"/>
      <c r="N145" s="1048"/>
      <c r="O145" s="1047">
        <f>I145/H145</f>
        <v>9.9666666666666668</v>
      </c>
      <c r="P145" s="1047">
        <f t="shared" si="9"/>
        <v>0.3</v>
      </c>
      <c r="Q145" s="1064"/>
      <c r="T145" s="1031"/>
    </row>
    <row r="146" spans="2:20">
      <c r="B146" s="1054"/>
      <c r="C146" s="1053" t="s">
        <v>1236</v>
      </c>
      <c r="D146" s="1052" t="s">
        <v>1036</v>
      </c>
      <c r="E146" s="1052" t="s">
        <v>591</v>
      </c>
      <c r="F146" s="1052"/>
      <c r="G146" s="1052"/>
      <c r="H146" s="1052">
        <v>6</v>
      </c>
      <c r="I146" s="1051">
        <v>66.599999999999994</v>
      </c>
      <c r="J146" s="1050">
        <v>75</v>
      </c>
      <c r="K146" s="1049">
        <v>75</v>
      </c>
      <c r="L146" s="1049">
        <v>10</v>
      </c>
      <c r="M146" s="1049"/>
      <c r="N146" s="1048"/>
      <c r="O146" s="1047">
        <f>I146/H146</f>
        <v>11.1</v>
      </c>
      <c r="P146" s="1047">
        <f t="shared" si="9"/>
        <v>0.3</v>
      </c>
      <c r="Q146" s="1064"/>
      <c r="T146" s="1031"/>
    </row>
    <row r="147" spans="2:20">
      <c r="B147" s="1054"/>
      <c r="C147" s="1053" t="s">
        <v>1235</v>
      </c>
      <c r="D147" s="1052" t="s">
        <v>1214</v>
      </c>
      <c r="E147" s="1052"/>
      <c r="F147" s="1052"/>
      <c r="G147" s="1052"/>
      <c r="H147" s="1052">
        <v>6</v>
      </c>
      <c r="I147" s="1051">
        <v>78.599999999999994</v>
      </c>
      <c r="J147" s="1050">
        <v>75</v>
      </c>
      <c r="K147" s="1049">
        <v>75</v>
      </c>
      <c r="L147" s="1049">
        <v>12</v>
      </c>
      <c r="M147" s="1049"/>
      <c r="N147" s="1048"/>
      <c r="O147" s="1047">
        <f>I147/H147</f>
        <v>13.1</v>
      </c>
      <c r="P147" s="1047">
        <f t="shared" si="9"/>
        <v>0.3</v>
      </c>
      <c r="Q147" s="1064"/>
      <c r="T147" s="1031"/>
    </row>
    <row r="148" spans="2:20">
      <c r="B148" s="1054"/>
      <c r="C148" s="1053" t="s">
        <v>1234</v>
      </c>
      <c r="D148" s="1052" t="s">
        <v>853</v>
      </c>
      <c r="E148" s="1052"/>
      <c r="F148" s="1052"/>
      <c r="G148" s="1052"/>
      <c r="H148" s="1052">
        <v>6</v>
      </c>
      <c r="I148" s="1051">
        <f>O148*H148</f>
        <v>43.92</v>
      </c>
      <c r="J148" s="1050">
        <v>80</v>
      </c>
      <c r="K148" s="1049">
        <v>80</v>
      </c>
      <c r="L148" s="1049">
        <v>6</v>
      </c>
      <c r="M148" s="1049"/>
      <c r="N148" s="1048"/>
      <c r="O148" s="1047">
        <v>7.32</v>
      </c>
      <c r="P148" s="1047">
        <f t="shared" si="9"/>
        <v>0.32</v>
      </c>
      <c r="Q148" s="1064"/>
      <c r="T148" s="1031"/>
    </row>
    <row r="149" spans="2:20">
      <c r="B149" s="1054"/>
      <c r="C149" s="1053" t="s">
        <v>1233</v>
      </c>
      <c r="D149" s="1052" t="s">
        <v>1036</v>
      </c>
      <c r="E149" s="1052" t="s">
        <v>591</v>
      </c>
      <c r="F149" s="1052"/>
      <c r="G149" s="1052"/>
      <c r="H149" s="1052">
        <v>6</v>
      </c>
      <c r="I149" s="1051">
        <v>50.94</v>
      </c>
      <c r="J149" s="1050">
        <v>80</v>
      </c>
      <c r="K149" s="1049">
        <v>80</v>
      </c>
      <c r="L149" s="1049">
        <v>7</v>
      </c>
      <c r="M149" s="1049"/>
      <c r="N149" s="1048"/>
      <c r="O149" s="1047">
        <f t="shared" ref="O149:O154" si="10">I149/H149</f>
        <v>8.49</v>
      </c>
      <c r="P149" s="1047">
        <f t="shared" si="9"/>
        <v>0.32</v>
      </c>
      <c r="Q149" s="1064"/>
      <c r="T149" s="1031"/>
    </row>
    <row r="150" spans="2:20">
      <c r="B150" s="1054"/>
      <c r="C150" s="1053" t="s">
        <v>1232</v>
      </c>
      <c r="D150" s="1052" t="s">
        <v>1036</v>
      </c>
      <c r="E150" s="1052" t="s">
        <v>591</v>
      </c>
      <c r="F150" s="1052"/>
      <c r="G150" s="1052"/>
      <c r="H150" s="1052">
        <v>6</v>
      </c>
      <c r="I150" s="1051">
        <v>51.3</v>
      </c>
      <c r="J150" s="1050">
        <v>80</v>
      </c>
      <c r="K150" s="1049">
        <v>80</v>
      </c>
      <c r="L150" s="1049">
        <v>7.5</v>
      </c>
      <c r="M150" s="1049"/>
      <c r="N150" s="1048"/>
      <c r="O150" s="1047">
        <f t="shared" si="10"/>
        <v>8.5499999999999989</v>
      </c>
      <c r="P150" s="1047">
        <f t="shared" si="9"/>
        <v>0.32</v>
      </c>
      <c r="Q150" s="1064"/>
      <c r="T150" s="1031"/>
    </row>
    <row r="151" spans="2:20">
      <c r="B151" s="1054"/>
      <c r="C151" s="1053" t="s">
        <v>1231</v>
      </c>
      <c r="D151" s="1052" t="s">
        <v>1036</v>
      </c>
      <c r="E151" s="1052" t="s">
        <v>595</v>
      </c>
      <c r="F151" s="1052"/>
      <c r="G151" s="1052"/>
      <c r="H151" s="1052">
        <v>6</v>
      </c>
      <c r="I151" s="1051">
        <v>57.96</v>
      </c>
      <c r="J151" s="1050">
        <v>80</v>
      </c>
      <c r="K151" s="1049">
        <v>80</v>
      </c>
      <c r="L151" s="1049">
        <v>8</v>
      </c>
      <c r="M151" s="1049"/>
      <c r="N151" s="1048"/>
      <c r="O151" s="1047">
        <f t="shared" si="10"/>
        <v>9.66</v>
      </c>
      <c r="P151" s="1047">
        <f t="shared" si="9"/>
        <v>0.32</v>
      </c>
      <c r="Q151" s="1064"/>
      <c r="T151" s="1031"/>
    </row>
    <row r="152" spans="2:20">
      <c r="B152" s="1054"/>
      <c r="C152" s="1053" t="s">
        <v>1230</v>
      </c>
      <c r="D152" s="1052" t="s">
        <v>1036</v>
      </c>
      <c r="E152" s="1052" t="s">
        <v>591</v>
      </c>
      <c r="F152" s="1052"/>
      <c r="G152" s="1052"/>
      <c r="H152" s="1052">
        <v>6</v>
      </c>
      <c r="I152" s="1051">
        <v>71.400000000000006</v>
      </c>
      <c r="J152" s="1050">
        <v>80</v>
      </c>
      <c r="K152" s="1049">
        <v>80</v>
      </c>
      <c r="L152" s="1049">
        <v>10</v>
      </c>
      <c r="M152" s="1049"/>
      <c r="N152" s="1048"/>
      <c r="O152" s="1047">
        <f t="shared" si="10"/>
        <v>11.9</v>
      </c>
      <c r="P152" s="1047">
        <f t="shared" si="9"/>
        <v>0.32</v>
      </c>
      <c r="Q152" s="1064"/>
      <c r="T152" s="1031"/>
    </row>
    <row r="153" spans="2:20">
      <c r="B153" s="1054"/>
      <c r="C153" s="1053" t="s">
        <v>1229</v>
      </c>
      <c r="D153" s="1052" t="s">
        <v>1036</v>
      </c>
      <c r="E153" s="1052" t="s">
        <v>591</v>
      </c>
      <c r="F153" s="1052"/>
      <c r="G153" s="1052"/>
      <c r="H153" s="1052">
        <v>6</v>
      </c>
      <c r="I153" s="1051">
        <v>84.6</v>
      </c>
      <c r="J153" s="1050">
        <v>80</v>
      </c>
      <c r="K153" s="1049">
        <v>80</v>
      </c>
      <c r="L153" s="1049">
        <v>12</v>
      </c>
      <c r="M153" s="1049"/>
      <c r="N153" s="1048"/>
      <c r="O153" s="1047">
        <f t="shared" si="10"/>
        <v>14.1</v>
      </c>
      <c r="P153" s="1047">
        <f t="shared" si="9"/>
        <v>0.32</v>
      </c>
      <c r="Q153" s="1064"/>
      <c r="T153" s="1031"/>
    </row>
    <row r="154" spans="2:20">
      <c r="B154" s="1054"/>
      <c r="C154" s="1053" t="s">
        <v>1228</v>
      </c>
      <c r="D154" s="1052" t="s">
        <v>1036</v>
      </c>
      <c r="E154" s="1052" t="s">
        <v>591</v>
      </c>
      <c r="F154" s="1052"/>
      <c r="G154" s="1052"/>
      <c r="H154" s="1052">
        <v>6</v>
      </c>
      <c r="I154" s="1051"/>
      <c r="J154" s="1050">
        <f>136+136+136+116+541+534+136+136+136+171</f>
        <v>2178</v>
      </c>
      <c r="K154" s="1049">
        <v>150</v>
      </c>
      <c r="L154" s="1049">
        <v>14</v>
      </c>
      <c r="M154" s="1049"/>
      <c r="N154" s="1048"/>
      <c r="O154" s="1047">
        <f t="shared" si="10"/>
        <v>0</v>
      </c>
      <c r="P154" s="1078">
        <f>H154*K154*O154*J154/1000000</f>
        <v>0</v>
      </c>
      <c r="Q154" s="1064"/>
      <c r="T154" s="1031"/>
    </row>
    <row r="155" spans="2:20">
      <c r="B155" s="1054"/>
      <c r="C155" s="1053" t="s">
        <v>1227</v>
      </c>
      <c r="D155" s="1052" t="s">
        <v>853</v>
      </c>
      <c r="E155" s="1052"/>
      <c r="F155" s="1052"/>
      <c r="G155" s="1052"/>
      <c r="H155" s="1052">
        <v>6</v>
      </c>
      <c r="I155" s="1051"/>
      <c r="J155" s="1050">
        <v>200</v>
      </c>
      <c r="K155" s="1049">
        <v>150</v>
      </c>
      <c r="L155" s="1049">
        <v>6</v>
      </c>
      <c r="M155" s="1049"/>
      <c r="N155" s="1048"/>
      <c r="O155" s="1047">
        <v>8.2799999999999994</v>
      </c>
      <c r="P155" s="1078">
        <f>H155*K155*O155*J155/1000000</f>
        <v>1.4903999999999997</v>
      </c>
      <c r="Q155" s="1064"/>
      <c r="T155" s="1031"/>
    </row>
    <row r="156" spans="2:20">
      <c r="B156" s="1054"/>
      <c r="C156" s="1053" t="s">
        <v>1226</v>
      </c>
      <c r="D156" s="1052" t="s">
        <v>853</v>
      </c>
      <c r="E156" s="1052" t="s">
        <v>595</v>
      </c>
      <c r="F156" s="1052"/>
      <c r="G156" s="1052"/>
      <c r="H156" s="1052">
        <v>6</v>
      </c>
      <c r="I156" s="1051">
        <f>O156*H156</f>
        <v>57.54</v>
      </c>
      <c r="J156" s="1050">
        <v>90</v>
      </c>
      <c r="K156" s="1049">
        <v>90</v>
      </c>
      <c r="L156" s="1049">
        <v>7</v>
      </c>
      <c r="M156" s="1049"/>
      <c r="N156" s="1048"/>
      <c r="O156" s="1047">
        <v>9.59</v>
      </c>
      <c r="P156" s="1047">
        <f>J156*4/1000</f>
        <v>0.36</v>
      </c>
      <c r="Q156" s="1064"/>
      <c r="T156" s="1031"/>
    </row>
    <row r="157" spans="2:20">
      <c r="B157" s="1054"/>
      <c r="C157" s="1053" t="s">
        <v>1225</v>
      </c>
      <c r="D157" s="1052" t="s">
        <v>1036</v>
      </c>
      <c r="E157" s="1052" t="s">
        <v>591</v>
      </c>
      <c r="F157" s="1052"/>
      <c r="G157" s="1052"/>
      <c r="H157" s="1052">
        <v>6</v>
      </c>
      <c r="I157" s="1051"/>
      <c r="J157" s="1050">
        <f>136+136+75+128</f>
        <v>475</v>
      </c>
      <c r="K157" s="1049">
        <v>150</v>
      </c>
      <c r="L157" s="1049">
        <v>8</v>
      </c>
      <c r="M157" s="1049"/>
      <c r="N157" s="1048"/>
      <c r="O157" s="1047">
        <f>I157/H157</f>
        <v>0</v>
      </c>
      <c r="P157" s="1078">
        <f>H157*K157*O157*J157/1000000</f>
        <v>0</v>
      </c>
      <c r="Q157" s="1064"/>
      <c r="T157" s="1031"/>
    </row>
    <row r="158" spans="2:20">
      <c r="B158" s="1054"/>
      <c r="C158" s="1053" t="s">
        <v>1224</v>
      </c>
      <c r="D158" s="1052" t="s">
        <v>1036</v>
      </c>
      <c r="E158" s="1052" t="s">
        <v>591</v>
      </c>
      <c r="F158" s="1052"/>
      <c r="G158" s="1052"/>
      <c r="H158" s="1052">
        <v>6</v>
      </c>
      <c r="I158" s="1051"/>
      <c r="J158" s="1050">
        <v>300</v>
      </c>
      <c r="K158" s="1049">
        <v>150</v>
      </c>
      <c r="L158" s="1049">
        <v>8.5</v>
      </c>
      <c r="M158" s="1049"/>
      <c r="N158" s="1048"/>
      <c r="O158" s="1047">
        <f>I158/H158</f>
        <v>0</v>
      </c>
      <c r="P158" s="1078">
        <f>H158*K158*O158*J158/1000000</f>
        <v>0</v>
      </c>
      <c r="Q158" s="1064"/>
      <c r="T158" s="1031"/>
    </row>
    <row r="159" spans="2:20">
      <c r="B159" s="1054"/>
      <c r="C159" s="1053" t="s">
        <v>1223</v>
      </c>
      <c r="D159" s="1052" t="s">
        <v>1036</v>
      </c>
      <c r="E159" s="1052" t="s">
        <v>595</v>
      </c>
      <c r="F159" s="1052"/>
      <c r="G159" s="1052"/>
      <c r="H159" s="1052">
        <v>6</v>
      </c>
      <c r="I159" s="1051">
        <v>73.2</v>
      </c>
      <c r="J159" s="1050">
        <v>90</v>
      </c>
      <c r="K159" s="1049">
        <v>90</v>
      </c>
      <c r="L159" s="1049">
        <v>9</v>
      </c>
      <c r="M159" s="1049"/>
      <c r="N159" s="1048"/>
      <c r="O159" s="1047">
        <f>I159/H159</f>
        <v>12.200000000000001</v>
      </c>
      <c r="P159" s="1047">
        <f>J159*4/1000</f>
        <v>0.36</v>
      </c>
      <c r="Q159" s="1064"/>
      <c r="T159" s="1031"/>
    </row>
    <row r="160" spans="2:20">
      <c r="B160" s="1054"/>
      <c r="C160" s="1053" t="s">
        <v>1222</v>
      </c>
      <c r="D160" s="1052" t="s">
        <v>853</v>
      </c>
      <c r="E160" s="1052" t="s">
        <v>595</v>
      </c>
      <c r="F160" s="1052"/>
      <c r="G160" s="1052"/>
      <c r="H160" s="1052">
        <v>6</v>
      </c>
      <c r="I160" s="1051">
        <f>O160*H160</f>
        <v>79.800000000000011</v>
      </c>
      <c r="J160" s="1050">
        <v>90</v>
      </c>
      <c r="K160" s="1049">
        <v>90</v>
      </c>
      <c r="L160" s="1049">
        <v>10</v>
      </c>
      <c r="M160" s="1049"/>
      <c r="N160" s="1048"/>
      <c r="O160" s="1047">
        <v>13.3</v>
      </c>
      <c r="P160" s="1047">
        <f>J160*4/1000</f>
        <v>0.36</v>
      </c>
      <c r="Q160" s="1064"/>
      <c r="T160" s="1031"/>
    </row>
    <row r="161" spans="2:20">
      <c r="B161" s="1054"/>
      <c r="C161" s="1053" t="s">
        <v>1221</v>
      </c>
      <c r="D161" s="1052" t="s">
        <v>1036</v>
      </c>
      <c r="E161" s="1052" t="s">
        <v>591</v>
      </c>
      <c r="F161" s="1052"/>
      <c r="G161" s="1052"/>
      <c r="H161" s="1052">
        <v>6</v>
      </c>
      <c r="I161" s="1051">
        <v>88.2</v>
      </c>
      <c r="J161" s="1050">
        <v>90</v>
      </c>
      <c r="K161" s="1049">
        <v>90</v>
      </c>
      <c r="L161" s="1049">
        <v>11</v>
      </c>
      <c r="M161" s="1049"/>
      <c r="N161" s="1048"/>
      <c r="O161" s="1047">
        <f t="shared" ref="O161:O168" si="11">I161/H161</f>
        <v>14.700000000000001</v>
      </c>
      <c r="P161" s="1047">
        <f>J161*4/1000</f>
        <v>0.36</v>
      </c>
      <c r="Q161" s="1064"/>
      <c r="T161" s="1031"/>
    </row>
    <row r="162" spans="2:20" ht="13.9" customHeight="1">
      <c r="B162" s="1054"/>
      <c r="C162" s="1053" t="s">
        <v>1220</v>
      </c>
      <c r="D162" s="1052" t="s">
        <v>1214</v>
      </c>
      <c r="E162" s="1052" t="s">
        <v>591</v>
      </c>
      <c r="F162" s="1052"/>
      <c r="G162" s="1052"/>
      <c r="H162" s="1052">
        <v>6</v>
      </c>
      <c r="I162" s="1051">
        <v>102.6</v>
      </c>
      <c r="J162" s="1050">
        <v>90</v>
      </c>
      <c r="K162" s="1049">
        <v>90</v>
      </c>
      <c r="L162" s="1049">
        <v>13</v>
      </c>
      <c r="M162" s="1049"/>
      <c r="N162" s="1048"/>
      <c r="O162" s="1047">
        <f t="shared" si="11"/>
        <v>17.099999999999998</v>
      </c>
      <c r="P162" s="1047">
        <f>J162*4/1000</f>
        <v>0.36</v>
      </c>
      <c r="Q162" s="1064"/>
      <c r="T162" s="1031"/>
    </row>
    <row r="163" spans="2:20">
      <c r="B163" s="1054"/>
      <c r="C163" s="1053" t="s">
        <v>1219</v>
      </c>
      <c r="D163" s="1052" t="s">
        <v>1036</v>
      </c>
      <c r="E163" s="1052" t="s">
        <v>591</v>
      </c>
      <c r="F163" s="1052"/>
      <c r="G163" s="1052"/>
      <c r="H163" s="1052">
        <v>6</v>
      </c>
      <c r="I163" s="1051"/>
      <c r="J163" s="1050">
        <f>136+136+136+116+541+534+136+136+136+171</f>
        <v>2178</v>
      </c>
      <c r="K163" s="1049">
        <v>150</v>
      </c>
      <c r="L163" s="1049">
        <v>16</v>
      </c>
      <c r="M163" s="1049"/>
      <c r="N163" s="1048"/>
      <c r="O163" s="1047">
        <f t="shared" si="11"/>
        <v>0</v>
      </c>
      <c r="P163" s="1078">
        <f>H163*K163*O163*J163/1000000</f>
        <v>0</v>
      </c>
      <c r="Q163" s="1064"/>
      <c r="T163" s="1031"/>
    </row>
    <row r="164" spans="2:20">
      <c r="B164" s="1054"/>
      <c r="C164" s="1053" t="s">
        <v>1218</v>
      </c>
      <c r="D164" s="1052" t="s">
        <v>853</v>
      </c>
      <c r="E164" s="1052" t="s">
        <v>431</v>
      </c>
      <c r="F164" s="1052"/>
      <c r="G164" s="1052"/>
      <c r="H164" s="1052">
        <v>6</v>
      </c>
      <c r="I164" s="1051"/>
      <c r="J164" s="1050">
        <v>200</v>
      </c>
      <c r="K164" s="1049">
        <v>150</v>
      </c>
      <c r="L164" s="1049">
        <v>7</v>
      </c>
      <c r="M164" s="1049"/>
      <c r="N164" s="1048"/>
      <c r="O164" s="1047">
        <f t="shared" si="11"/>
        <v>0</v>
      </c>
      <c r="P164" s="1078">
        <f>H164*K164*O164*J164/1000000</f>
        <v>0</v>
      </c>
      <c r="Q164" s="1064"/>
      <c r="T164" s="1031"/>
    </row>
    <row r="165" spans="2:20">
      <c r="B165" s="1054"/>
      <c r="C165" s="1053" t="s">
        <v>1217</v>
      </c>
      <c r="D165" s="1052" t="s">
        <v>1036</v>
      </c>
      <c r="E165" s="1052" t="s">
        <v>591</v>
      </c>
      <c r="F165" s="1052"/>
      <c r="G165" s="1052"/>
      <c r="H165" s="1052">
        <v>6</v>
      </c>
      <c r="I165" s="1051">
        <v>73.2</v>
      </c>
      <c r="J165" s="1050">
        <v>100</v>
      </c>
      <c r="K165" s="1049">
        <v>100</v>
      </c>
      <c r="L165" s="1049">
        <v>8</v>
      </c>
      <c r="M165" s="1049"/>
      <c r="N165" s="1048"/>
      <c r="O165" s="1047">
        <f t="shared" si="11"/>
        <v>12.200000000000001</v>
      </c>
      <c r="P165" s="1047">
        <f>J165*4/1000</f>
        <v>0.4</v>
      </c>
      <c r="Q165" s="1064"/>
      <c r="T165" s="1031"/>
    </row>
    <row r="166" spans="2:20">
      <c r="B166" s="1054"/>
      <c r="C166" s="1053" t="s">
        <v>1216</v>
      </c>
      <c r="D166" s="1052" t="s">
        <v>1036</v>
      </c>
      <c r="E166" s="1052" t="s">
        <v>591</v>
      </c>
      <c r="F166" s="1052"/>
      <c r="G166" s="1052"/>
      <c r="H166" s="1052">
        <v>6</v>
      </c>
      <c r="I166" s="1051"/>
      <c r="J166" s="1050">
        <f>136+136</f>
        <v>272</v>
      </c>
      <c r="K166" s="1049">
        <v>150</v>
      </c>
      <c r="L166" s="1049">
        <v>9.5</v>
      </c>
      <c r="M166" s="1049"/>
      <c r="N166" s="1048"/>
      <c r="O166" s="1047">
        <f t="shared" si="11"/>
        <v>0</v>
      </c>
      <c r="P166" s="1078">
        <f>H166*K166*O166*J166/1000000</f>
        <v>0</v>
      </c>
      <c r="Q166" s="1064"/>
      <c r="T166" s="1031"/>
    </row>
    <row r="167" spans="2:20">
      <c r="B167" s="1054"/>
      <c r="C167" s="1053" t="s">
        <v>1215</v>
      </c>
      <c r="D167" s="1052" t="s">
        <v>1214</v>
      </c>
      <c r="E167" s="1052" t="s">
        <v>595</v>
      </c>
      <c r="F167" s="1052"/>
      <c r="G167" s="1052"/>
      <c r="H167" s="1052">
        <v>6</v>
      </c>
      <c r="I167" s="1051"/>
      <c r="J167" s="1050">
        <f>264+300</f>
        <v>564</v>
      </c>
      <c r="K167" s="1049">
        <v>150</v>
      </c>
      <c r="L167" s="1049">
        <v>10</v>
      </c>
      <c r="M167" s="1049"/>
      <c r="N167" s="1048"/>
      <c r="O167" s="1047">
        <f t="shared" si="11"/>
        <v>0</v>
      </c>
      <c r="P167" s="1078">
        <f>H167*K167*O167*J167/1000000</f>
        <v>0</v>
      </c>
      <c r="Q167" s="1064"/>
      <c r="T167" s="1031"/>
    </row>
    <row r="168" spans="2:20">
      <c r="B168" s="1054"/>
      <c r="C168" s="1053" t="s">
        <v>1213</v>
      </c>
      <c r="D168" s="1052" t="s">
        <v>1036</v>
      </c>
      <c r="E168" s="1052" t="s">
        <v>591</v>
      </c>
      <c r="F168" s="1052"/>
      <c r="G168" s="1052"/>
      <c r="H168" s="1052">
        <v>6</v>
      </c>
      <c r="I168" s="1051">
        <v>106.8</v>
      </c>
      <c r="J168" s="1050">
        <v>100</v>
      </c>
      <c r="K168" s="1049">
        <v>100</v>
      </c>
      <c r="L168" s="1049">
        <v>12</v>
      </c>
      <c r="M168" s="1049"/>
      <c r="N168" s="1048"/>
      <c r="O168" s="1047">
        <f t="shared" si="11"/>
        <v>17.8</v>
      </c>
      <c r="P168" s="1047">
        <f>J168*4/1000</f>
        <v>0.4</v>
      </c>
      <c r="Q168" s="1064"/>
      <c r="T168" s="1031"/>
    </row>
    <row r="169" spans="2:20">
      <c r="B169" s="1054"/>
      <c r="C169" s="1053" t="s">
        <v>1212</v>
      </c>
      <c r="D169" s="1052" t="s">
        <v>853</v>
      </c>
      <c r="E169" s="1052" t="s">
        <v>431</v>
      </c>
      <c r="F169" s="1052"/>
      <c r="G169" s="1052"/>
      <c r="H169" s="1052">
        <v>6</v>
      </c>
      <c r="I169" s="1051">
        <f>O169*H169</f>
        <v>114.60000000000001</v>
      </c>
      <c r="J169" s="1050">
        <v>100</v>
      </c>
      <c r="K169" s="1049">
        <v>100</v>
      </c>
      <c r="L169" s="1049">
        <v>13</v>
      </c>
      <c r="M169" s="1049"/>
      <c r="N169" s="1048"/>
      <c r="O169" s="1047">
        <v>19.100000000000001</v>
      </c>
      <c r="P169" s="1047">
        <f>J169*4/1000</f>
        <v>0.4</v>
      </c>
      <c r="Q169" s="1064"/>
      <c r="T169" s="1031"/>
    </row>
    <row r="170" spans="2:20">
      <c r="B170" s="1054"/>
      <c r="C170" s="1053" t="s">
        <v>1211</v>
      </c>
      <c r="D170" s="1052" t="s">
        <v>1036</v>
      </c>
      <c r="E170" s="1052" t="s">
        <v>591</v>
      </c>
      <c r="F170" s="1052"/>
      <c r="G170" s="1052"/>
      <c r="H170" s="1052">
        <v>6</v>
      </c>
      <c r="I170" s="1051">
        <v>123.6</v>
      </c>
      <c r="J170" s="1050">
        <v>100</v>
      </c>
      <c r="K170" s="1049">
        <v>100</v>
      </c>
      <c r="L170" s="1049">
        <v>14</v>
      </c>
      <c r="M170" s="1049"/>
      <c r="N170" s="1048"/>
      <c r="O170" s="1047">
        <f>I170/H170</f>
        <v>20.599999999999998</v>
      </c>
      <c r="P170" s="1047">
        <f>J170*4/1000</f>
        <v>0.4</v>
      </c>
      <c r="Q170" s="1064"/>
      <c r="T170" s="1031"/>
    </row>
    <row r="171" spans="2:20">
      <c r="B171" s="1054"/>
      <c r="C171" s="1053" t="s">
        <v>1210</v>
      </c>
      <c r="D171" s="1052" t="s">
        <v>853</v>
      </c>
      <c r="E171" s="1052"/>
      <c r="F171" s="1052"/>
      <c r="G171" s="1052"/>
      <c r="H171" s="1052">
        <v>6</v>
      </c>
      <c r="I171" s="1051">
        <f>O171*H171</f>
        <v>88.199999999999989</v>
      </c>
      <c r="J171" s="1050">
        <v>100</v>
      </c>
      <c r="K171" s="1049">
        <v>100</v>
      </c>
      <c r="L171" s="1049">
        <v>8</v>
      </c>
      <c r="M171" s="1049"/>
      <c r="N171" s="1048"/>
      <c r="O171" s="1047">
        <v>14.7</v>
      </c>
      <c r="P171" s="1047">
        <f>J171*4/1000</f>
        <v>0.4</v>
      </c>
      <c r="Q171" s="1064"/>
      <c r="T171" s="1031"/>
    </row>
    <row r="172" spans="2:20">
      <c r="B172" s="1054"/>
      <c r="C172" s="1053" t="s">
        <v>1209</v>
      </c>
      <c r="D172" s="1052" t="s">
        <v>853</v>
      </c>
      <c r="E172" s="1052" t="s">
        <v>591</v>
      </c>
      <c r="F172" s="1052"/>
      <c r="G172" s="1052"/>
      <c r="H172" s="1052">
        <v>6</v>
      </c>
      <c r="I172" s="1051"/>
      <c r="J172" s="1050">
        <f>136+136+136+116+541+534+136+136+136+171</f>
        <v>2178</v>
      </c>
      <c r="K172" s="1049">
        <v>150</v>
      </c>
      <c r="L172" s="1049">
        <v>11</v>
      </c>
      <c r="M172" s="1049"/>
      <c r="N172" s="1048"/>
      <c r="O172" s="1047">
        <f>I172/H172</f>
        <v>0</v>
      </c>
      <c r="P172" s="1078">
        <f>H172*K172*O172*J172/1000000</f>
        <v>0</v>
      </c>
      <c r="Q172" s="1064"/>
      <c r="T172" s="1031"/>
    </row>
    <row r="173" spans="2:20">
      <c r="B173" s="1054"/>
      <c r="C173" s="1053" t="s">
        <v>1208</v>
      </c>
      <c r="D173" s="1052" t="s">
        <v>853</v>
      </c>
      <c r="E173" s="1052" t="s">
        <v>431</v>
      </c>
      <c r="F173" s="1052"/>
      <c r="G173" s="1052"/>
      <c r="H173" s="1052">
        <v>6</v>
      </c>
      <c r="I173" s="1051"/>
      <c r="J173" s="1050">
        <v>200</v>
      </c>
      <c r="K173" s="1049">
        <v>150</v>
      </c>
      <c r="L173" s="1049">
        <v>12</v>
      </c>
      <c r="M173" s="1049"/>
      <c r="N173" s="1048"/>
      <c r="O173" s="1047">
        <f>I173/H173</f>
        <v>0</v>
      </c>
      <c r="P173" s="1078">
        <f>H173*K173*O173*J173/1000000</f>
        <v>0</v>
      </c>
      <c r="Q173" s="1064"/>
      <c r="T173" s="1031"/>
    </row>
    <row r="174" spans="2:20">
      <c r="B174" s="1054"/>
      <c r="C174" s="1053" t="s">
        <v>1207</v>
      </c>
      <c r="D174" s="1052"/>
      <c r="E174" s="1052" t="s">
        <v>595</v>
      </c>
      <c r="F174" s="1052"/>
      <c r="G174" s="1052"/>
      <c r="H174" s="1052">
        <v>6</v>
      </c>
      <c r="I174" s="1051">
        <v>140</v>
      </c>
      <c r="J174" s="1050">
        <v>125</v>
      </c>
      <c r="K174" s="1049">
        <v>125</v>
      </c>
      <c r="L174" s="1049">
        <v>12</v>
      </c>
      <c r="M174" s="1049"/>
      <c r="N174" s="1048"/>
      <c r="O174" s="1047">
        <f>I174/H174</f>
        <v>23.333333333333332</v>
      </c>
      <c r="P174" s="1047">
        <f>J174*4/1000</f>
        <v>0.5</v>
      </c>
      <c r="Q174" s="1064"/>
      <c r="T174" s="1031"/>
    </row>
    <row r="175" spans="2:20">
      <c r="B175" s="1054"/>
      <c r="C175" s="1053" t="s">
        <v>1206</v>
      </c>
      <c r="D175" s="1052" t="s">
        <v>853</v>
      </c>
      <c r="E175" s="1052" t="s">
        <v>595</v>
      </c>
      <c r="F175" s="1052"/>
      <c r="G175" s="1052"/>
      <c r="H175" s="1052">
        <v>6</v>
      </c>
      <c r="I175" s="1051">
        <f>O175*H175</f>
        <v>107.39999999999999</v>
      </c>
      <c r="J175" s="1050">
        <v>130</v>
      </c>
      <c r="K175" s="1049">
        <v>130</v>
      </c>
      <c r="L175" s="1049">
        <v>9</v>
      </c>
      <c r="M175" s="1049"/>
      <c r="N175" s="1048"/>
      <c r="O175" s="1047">
        <v>17.899999999999999</v>
      </c>
      <c r="P175" s="1047">
        <f>J175*4/1000</f>
        <v>0.52</v>
      </c>
      <c r="Q175" s="1064"/>
      <c r="T175" s="1031"/>
    </row>
    <row r="176" spans="2:20">
      <c r="B176" s="1054"/>
      <c r="C176" s="1053" t="s">
        <v>1205</v>
      </c>
      <c r="D176" s="1052" t="s">
        <v>853</v>
      </c>
      <c r="E176" s="1052" t="s">
        <v>595</v>
      </c>
      <c r="F176" s="1052"/>
      <c r="G176" s="1052"/>
      <c r="H176" s="1052">
        <v>6</v>
      </c>
      <c r="I176" s="1051">
        <v>142</v>
      </c>
      <c r="J176" s="1050">
        <v>130</v>
      </c>
      <c r="K176" s="1049">
        <v>130</v>
      </c>
      <c r="L176" s="1049">
        <v>12</v>
      </c>
      <c r="M176" s="1049"/>
      <c r="N176" s="1048"/>
      <c r="O176" s="1047">
        <f>I176/H176</f>
        <v>23.666666666666668</v>
      </c>
      <c r="P176" s="1047">
        <f>J176*4/1000</f>
        <v>0.52</v>
      </c>
      <c r="Q176" s="1064"/>
      <c r="T176" s="1031"/>
    </row>
    <row r="177" spans="2:20">
      <c r="B177" s="1054"/>
      <c r="C177" s="1053" t="s">
        <v>1204</v>
      </c>
      <c r="D177" s="1052" t="s">
        <v>853</v>
      </c>
      <c r="E177" s="1052"/>
      <c r="F177" s="1052"/>
      <c r="G177" s="1052"/>
      <c r="H177" s="1052">
        <v>6</v>
      </c>
      <c r="I177" s="1051">
        <f>O177*H177</f>
        <v>172.8</v>
      </c>
      <c r="J177" s="1050">
        <v>130</v>
      </c>
      <c r="K177" s="1049">
        <v>130</v>
      </c>
      <c r="L177" s="1049">
        <v>15</v>
      </c>
      <c r="M177" s="1049"/>
      <c r="N177" s="1048"/>
      <c r="O177" s="1047">
        <v>28.8</v>
      </c>
      <c r="P177" s="1047">
        <f>J177*4/1000</f>
        <v>0.52</v>
      </c>
      <c r="Q177" s="1064"/>
      <c r="T177" s="1031"/>
    </row>
    <row r="178" spans="2:20">
      <c r="B178" s="1054"/>
      <c r="C178" s="1053" t="s">
        <v>1203</v>
      </c>
      <c r="D178" s="1052" t="s">
        <v>853</v>
      </c>
      <c r="E178" s="1052" t="s">
        <v>595</v>
      </c>
      <c r="F178" s="1052"/>
      <c r="G178" s="1052"/>
      <c r="H178" s="1052">
        <v>6</v>
      </c>
      <c r="I178" s="1051">
        <v>164</v>
      </c>
      <c r="J178" s="1050">
        <v>150</v>
      </c>
      <c r="K178" s="1049">
        <v>150</v>
      </c>
      <c r="L178" s="1049">
        <v>12</v>
      </c>
      <c r="M178" s="1049"/>
      <c r="N178" s="1048"/>
      <c r="O178" s="1047">
        <f>I178/H178</f>
        <v>27.333333333333332</v>
      </c>
      <c r="P178" s="1047">
        <f>J178*4/1000</f>
        <v>0.6</v>
      </c>
      <c r="Q178" s="1064"/>
      <c r="T178" s="1031"/>
    </row>
    <row r="179" spans="2:20">
      <c r="B179" s="1054"/>
      <c r="C179" s="1053" t="s">
        <v>1202</v>
      </c>
      <c r="D179" s="1052" t="s">
        <v>853</v>
      </c>
      <c r="E179" s="1052" t="s">
        <v>595</v>
      </c>
      <c r="F179" s="1052"/>
      <c r="G179" s="1052"/>
      <c r="H179" s="1052">
        <v>6</v>
      </c>
      <c r="I179" s="1051"/>
      <c r="J179" s="1050">
        <f>136+136+136+116+541+534+136+136+136+171</f>
        <v>2178</v>
      </c>
      <c r="K179" s="1049">
        <v>150</v>
      </c>
      <c r="L179" s="1049">
        <v>15</v>
      </c>
      <c r="M179" s="1049"/>
      <c r="N179" s="1048"/>
      <c r="O179" s="1047">
        <f>I179/H179</f>
        <v>0</v>
      </c>
      <c r="P179" s="1078">
        <f>H179*K179*O179*J179/1000000</f>
        <v>0</v>
      </c>
      <c r="Q179" s="1064"/>
      <c r="T179" s="1031"/>
    </row>
    <row r="180" spans="2:20">
      <c r="B180" s="1054"/>
      <c r="C180" s="1053" t="s">
        <v>1201</v>
      </c>
      <c r="D180" s="1052" t="s">
        <v>853</v>
      </c>
      <c r="E180" s="1052"/>
      <c r="F180" s="1052"/>
      <c r="G180" s="1052"/>
      <c r="H180" s="1052">
        <v>6</v>
      </c>
      <c r="I180" s="1051"/>
      <c r="J180" s="1050">
        <v>200</v>
      </c>
      <c r="K180" s="1049">
        <v>150</v>
      </c>
      <c r="L180" s="1049">
        <v>19</v>
      </c>
      <c r="M180" s="1049"/>
      <c r="N180" s="1048"/>
      <c r="O180" s="1047">
        <v>41.9</v>
      </c>
      <c r="P180" s="1078">
        <f>H180*K180*O180*J180/1000000</f>
        <v>7.5419999999999998</v>
      </c>
      <c r="Q180" s="1064"/>
      <c r="T180" s="1031"/>
    </row>
    <row r="181" spans="2:20">
      <c r="B181" s="1054"/>
      <c r="C181" s="1053" t="s">
        <v>1200</v>
      </c>
      <c r="D181" s="1052" t="s">
        <v>853</v>
      </c>
      <c r="E181" s="1052"/>
      <c r="F181" s="1052"/>
      <c r="G181" s="1052"/>
      <c r="H181" s="1052">
        <v>6</v>
      </c>
      <c r="I181" s="1051">
        <f>O181*H181</f>
        <v>190.8</v>
      </c>
      <c r="J181" s="1050">
        <v>175</v>
      </c>
      <c r="K181" s="1049">
        <v>175</v>
      </c>
      <c r="L181" s="1049">
        <v>12</v>
      </c>
      <c r="M181" s="1049"/>
      <c r="N181" s="1048"/>
      <c r="O181" s="1047">
        <v>31.8</v>
      </c>
      <c r="P181" s="1047">
        <f t="shared" ref="P181:P187" si="12">J181*4/1000</f>
        <v>0.7</v>
      </c>
      <c r="Q181" s="1064"/>
      <c r="T181" s="1031"/>
    </row>
    <row r="182" spans="2:20">
      <c r="B182" s="1054"/>
      <c r="C182" s="1053" t="s">
        <v>1199</v>
      </c>
      <c r="D182" s="1052" t="s">
        <v>853</v>
      </c>
      <c r="E182" s="1052"/>
      <c r="F182" s="1052"/>
      <c r="G182" s="1052"/>
      <c r="H182" s="1052">
        <v>6</v>
      </c>
      <c r="I182" s="1051">
        <f>O182*H182</f>
        <v>236.39999999999998</v>
      </c>
      <c r="J182" s="1050">
        <v>175</v>
      </c>
      <c r="K182" s="1049">
        <v>175</v>
      </c>
      <c r="L182" s="1049">
        <v>15</v>
      </c>
      <c r="M182" s="1049"/>
      <c r="N182" s="1048"/>
      <c r="O182" s="1047">
        <v>39.4</v>
      </c>
      <c r="P182" s="1047">
        <f t="shared" si="12"/>
        <v>0.7</v>
      </c>
      <c r="Q182" s="1064"/>
      <c r="T182" s="1031"/>
    </row>
    <row r="183" spans="2:20">
      <c r="B183" s="1054"/>
      <c r="C183" s="1053" t="s">
        <v>1198</v>
      </c>
      <c r="D183" s="1052" t="s">
        <v>853</v>
      </c>
      <c r="E183" s="1052" t="s">
        <v>595</v>
      </c>
      <c r="F183" s="1052"/>
      <c r="G183" s="1052"/>
      <c r="H183" s="1052">
        <v>6</v>
      </c>
      <c r="I183" s="1051">
        <v>272</v>
      </c>
      <c r="J183" s="1050">
        <v>200</v>
      </c>
      <c r="K183" s="1049">
        <v>200</v>
      </c>
      <c r="L183" s="1049">
        <v>15</v>
      </c>
      <c r="M183" s="1049"/>
      <c r="N183" s="1048"/>
      <c r="O183" s="1047">
        <f>I183/H183</f>
        <v>45.333333333333336</v>
      </c>
      <c r="P183" s="1047">
        <f t="shared" si="12"/>
        <v>0.8</v>
      </c>
      <c r="Q183" s="1064"/>
      <c r="T183" s="1031"/>
    </row>
    <row r="184" spans="2:20">
      <c r="B184" s="1054"/>
      <c r="C184" s="1053" t="s">
        <v>1197</v>
      </c>
      <c r="D184" s="1052" t="s">
        <v>853</v>
      </c>
      <c r="E184" s="1052" t="s">
        <v>591</v>
      </c>
      <c r="F184" s="1052"/>
      <c r="G184" s="1052"/>
      <c r="H184" s="1052">
        <v>6</v>
      </c>
      <c r="I184" s="1051">
        <f>O184*H184</f>
        <v>358.20000000000005</v>
      </c>
      <c r="J184" s="1050">
        <v>200</v>
      </c>
      <c r="K184" s="1049">
        <v>200</v>
      </c>
      <c r="L184" s="1049">
        <v>20</v>
      </c>
      <c r="M184" s="1049"/>
      <c r="N184" s="1048"/>
      <c r="O184" s="1047">
        <v>59.7</v>
      </c>
      <c r="P184" s="1047">
        <f t="shared" si="12"/>
        <v>0.8</v>
      </c>
      <c r="Q184" s="1064"/>
      <c r="T184" s="1031"/>
    </row>
    <row r="185" spans="2:20">
      <c r="B185" s="1054"/>
      <c r="C185" s="1053" t="s">
        <v>1196</v>
      </c>
      <c r="D185" s="1052" t="s">
        <v>853</v>
      </c>
      <c r="E185" s="1052" t="s">
        <v>595</v>
      </c>
      <c r="F185" s="1052"/>
      <c r="G185" s="1052"/>
      <c r="H185" s="1052">
        <v>6</v>
      </c>
      <c r="I185" s="1051">
        <v>442</v>
      </c>
      <c r="J185" s="1050">
        <v>200</v>
      </c>
      <c r="K185" s="1049">
        <v>200</v>
      </c>
      <c r="L185" s="1049">
        <v>25</v>
      </c>
      <c r="M185" s="1049"/>
      <c r="N185" s="1048"/>
      <c r="O185" s="1047">
        <f>I185/H185</f>
        <v>73.666666666666671</v>
      </c>
      <c r="P185" s="1047">
        <f t="shared" si="12"/>
        <v>0.8</v>
      </c>
      <c r="Q185" s="1064"/>
      <c r="T185" s="1031"/>
    </row>
    <row r="186" spans="2:20">
      <c r="B186" s="1054"/>
      <c r="C186" s="1053" t="s">
        <v>1195</v>
      </c>
      <c r="D186" s="1052" t="s">
        <v>853</v>
      </c>
      <c r="E186" s="1052" t="s">
        <v>595</v>
      </c>
      <c r="F186" s="1052"/>
      <c r="G186" s="1052"/>
      <c r="H186" s="1052">
        <v>6</v>
      </c>
      <c r="I186" s="1051">
        <f t="shared" ref="I186:I193" si="13">O186*H186</f>
        <v>562.20000000000005</v>
      </c>
      <c r="J186" s="1050">
        <v>250</v>
      </c>
      <c r="K186" s="1049">
        <v>250</v>
      </c>
      <c r="L186" s="1049">
        <v>25</v>
      </c>
      <c r="M186" s="1049"/>
      <c r="N186" s="1048"/>
      <c r="O186" s="1047">
        <v>93.7</v>
      </c>
      <c r="P186" s="1047">
        <f t="shared" si="12"/>
        <v>1</v>
      </c>
      <c r="Q186" s="1064"/>
      <c r="T186" s="1031"/>
    </row>
    <row r="187" spans="2:20">
      <c r="B187" s="1054"/>
      <c r="C187" s="1053" t="s">
        <v>1194</v>
      </c>
      <c r="D187" s="1052" t="s">
        <v>853</v>
      </c>
      <c r="E187" s="1052"/>
      <c r="F187" s="1052"/>
      <c r="G187" s="1052"/>
      <c r="H187" s="1052">
        <v>6</v>
      </c>
      <c r="I187" s="1051">
        <f t="shared" si="13"/>
        <v>768</v>
      </c>
      <c r="J187" s="1050">
        <v>250</v>
      </c>
      <c r="K187" s="1049">
        <v>250</v>
      </c>
      <c r="L187" s="1049">
        <v>35</v>
      </c>
      <c r="M187" s="1049"/>
      <c r="N187" s="1048"/>
      <c r="O187" s="1047">
        <v>128</v>
      </c>
      <c r="P187" s="1047">
        <f t="shared" si="12"/>
        <v>1</v>
      </c>
      <c r="Q187" s="1064"/>
      <c r="T187" s="1031"/>
    </row>
    <row r="188" spans="2:20">
      <c r="B188" s="1054" t="s">
        <v>1193</v>
      </c>
      <c r="C188" s="1053" t="s">
        <v>1192</v>
      </c>
      <c r="D188" s="1052"/>
      <c r="E188" s="1052" t="s">
        <v>595</v>
      </c>
      <c r="F188" s="1052"/>
      <c r="G188" s="1052"/>
      <c r="H188" s="1052">
        <v>12</v>
      </c>
      <c r="I188" s="1051">
        <f t="shared" si="13"/>
        <v>2.66</v>
      </c>
      <c r="J188" s="1050">
        <v>6</v>
      </c>
      <c r="K188" s="1049"/>
      <c r="L188" s="1049"/>
      <c r="M188" s="1049"/>
      <c r="N188" s="1048"/>
      <c r="O188" s="1047">
        <f>2.66/12</f>
        <v>0.22166666666666668</v>
      </c>
      <c r="P188" s="1047">
        <f t="shared" ref="P188:P217" si="14">PI()*J188*1/1000</f>
        <v>1.8849555921538759E-2</v>
      </c>
      <c r="Q188" s="1064"/>
      <c r="T188" s="1031"/>
    </row>
    <row r="189" spans="2:20">
      <c r="B189" s="1054"/>
      <c r="C189" s="1053" t="s">
        <v>1191</v>
      </c>
      <c r="D189" s="1052"/>
      <c r="E189" s="1052" t="s">
        <v>595</v>
      </c>
      <c r="F189" s="1052"/>
      <c r="G189" s="1052"/>
      <c r="H189" s="1052">
        <v>12</v>
      </c>
      <c r="I189" s="1051">
        <f t="shared" si="13"/>
        <v>3.2</v>
      </c>
      <c r="J189" s="1050">
        <v>6.5</v>
      </c>
      <c r="K189" s="1049"/>
      <c r="L189" s="1049"/>
      <c r="M189" s="1049"/>
      <c r="N189" s="1048"/>
      <c r="O189" s="1047">
        <f>3.2/12</f>
        <v>0.26666666666666666</v>
      </c>
      <c r="P189" s="1047">
        <f t="shared" si="14"/>
        <v>2.0420352248333658E-2</v>
      </c>
      <c r="Q189" s="1064"/>
      <c r="T189" s="1031"/>
    </row>
    <row r="190" spans="2:20">
      <c r="B190" s="1054"/>
      <c r="C190" s="1053" t="s">
        <v>1190</v>
      </c>
      <c r="D190" s="1052" t="s">
        <v>853</v>
      </c>
      <c r="E190" s="1052"/>
      <c r="F190" s="1052"/>
      <c r="G190" s="1052"/>
      <c r="H190" s="1052">
        <v>12</v>
      </c>
      <c r="I190" s="1051">
        <f t="shared" si="13"/>
        <v>3.5999999999999996</v>
      </c>
      <c r="J190" s="1050">
        <v>7</v>
      </c>
      <c r="K190" s="1049"/>
      <c r="L190" s="1049"/>
      <c r="M190" s="1049"/>
      <c r="N190" s="1048"/>
      <c r="O190" s="1047">
        <v>0.3</v>
      </c>
      <c r="P190" s="1047">
        <f t="shared" si="14"/>
        <v>2.1991148575128551E-2</v>
      </c>
      <c r="Q190" s="1064"/>
      <c r="T190" s="1031"/>
    </row>
    <row r="191" spans="2:20">
      <c r="B191" s="1054"/>
      <c r="C191" s="1053" t="s">
        <v>1189</v>
      </c>
      <c r="D191" s="1052" t="s">
        <v>853</v>
      </c>
      <c r="E191" s="1052" t="s">
        <v>595</v>
      </c>
      <c r="F191" s="1052"/>
      <c r="G191" s="1052"/>
      <c r="H191" s="1052">
        <v>12</v>
      </c>
      <c r="I191" s="1051">
        <f t="shared" si="13"/>
        <v>4.8000000000000007</v>
      </c>
      <c r="J191" s="1050">
        <v>8</v>
      </c>
      <c r="K191" s="1049"/>
      <c r="L191" s="1049"/>
      <c r="M191" s="1049"/>
      <c r="N191" s="1048"/>
      <c r="O191" s="1047">
        <v>0.4</v>
      </c>
      <c r="P191" s="1047">
        <f t="shared" si="14"/>
        <v>2.5132741228718346E-2</v>
      </c>
      <c r="Q191" s="1064"/>
      <c r="T191" s="1031"/>
    </row>
    <row r="192" spans="2:20">
      <c r="B192" s="1054"/>
      <c r="C192" s="1053" t="s">
        <v>1188</v>
      </c>
      <c r="D192" s="1052"/>
      <c r="E192" s="1052" t="s">
        <v>595</v>
      </c>
      <c r="F192" s="1052"/>
      <c r="G192" s="1052"/>
      <c r="H192" s="1052">
        <v>12</v>
      </c>
      <c r="I192" s="1051">
        <f t="shared" si="13"/>
        <v>6</v>
      </c>
      <c r="J192" s="1050">
        <v>9</v>
      </c>
      <c r="K192" s="1049"/>
      <c r="L192" s="1049"/>
      <c r="M192" s="1049"/>
      <c r="N192" s="1048"/>
      <c r="O192" s="1047">
        <f>6/12</f>
        <v>0.5</v>
      </c>
      <c r="P192" s="1047">
        <f t="shared" si="14"/>
        <v>2.8274333882308138E-2</v>
      </c>
      <c r="Q192" s="1064"/>
      <c r="T192" s="1031"/>
    </row>
    <row r="193" spans="2:20">
      <c r="B193" s="1054"/>
      <c r="C193" s="1053" t="s">
        <v>1187</v>
      </c>
      <c r="D193" s="1052" t="s">
        <v>853</v>
      </c>
      <c r="E193" s="1052" t="s">
        <v>595</v>
      </c>
      <c r="F193" s="1052"/>
      <c r="G193" s="1052"/>
      <c r="H193" s="1052">
        <v>12</v>
      </c>
      <c r="I193" s="1051">
        <f t="shared" si="13"/>
        <v>7.4399999999999995</v>
      </c>
      <c r="J193" s="1050">
        <v>10</v>
      </c>
      <c r="K193" s="1049"/>
      <c r="L193" s="1049"/>
      <c r="M193" s="1049"/>
      <c r="N193" s="1048"/>
      <c r="O193" s="1047">
        <v>0.62</v>
      </c>
      <c r="P193" s="1047">
        <f t="shared" si="14"/>
        <v>3.1415926535897934E-2</v>
      </c>
      <c r="Q193" s="1064"/>
      <c r="T193" s="1031"/>
    </row>
    <row r="194" spans="2:20">
      <c r="B194" s="1054"/>
      <c r="C194" s="1053" t="s">
        <v>1186</v>
      </c>
      <c r="D194" s="1052" t="s">
        <v>853</v>
      </c>
      <c r="E194" s="1052" t="s">
        <v>595</v>
      </c>
      <c r="F194" s="1052"/>
      <c r="G194" s="1052"/>
      <c r="H194" s="1052">
        <v>12</v>
      </c>
      <c r="I194" s="1051">
        <v>10.7</v>
      </c>
      <c r="J194" s="1050">
        <v>12</v>
      </c>
      <c r="K194" s="1049"/>
      <c r="L194" s="1049"/>
      <c r="M194" s="1049"/>
      <c r="N194" s="1048"/>
      <c r="O194" s="1047">
        <v>0.89</v>
      </c>
      <c r="P194" s="1047">
        <f t="shared" si="14"/>
        <v>3.7699111843077518E-2</v>
      </c>
      <c r="Q194" s="1064"/>
      <c r="T194" s="1031"/>
    </row>
    <row r="195" spans="2:20">
      <c r="B195" s="1054"/>
      <c r="C195" s="1053" t="s">
        <v>1185</v>
      </c>
      <c r="D195" s="1052"/>
      <c r="E195" s="1052" t="s">
        <v>595</v>
      </c>
      <c r="F195" s="1052"/>
      <c r="G195" s="1052"/>
      <c r="H195" s="1052">
        <v>12</v>
      </c>
      <c r="I195" s="1051">
        <f>O195*H195</f>
        <v>12.5</v>
      </c>
      <c r="J195" s="1050">
        <v>13</v>
      </c>
      <c r="K195" s="1049"/>
      <c r="L195" s="1049"/>
      <c r="M195" s="1049"/>
      <c r="N195" s="1048"/>
      <c r="O195" s="1047">
        <f>12.5/12</f>
        <v>1.0416666666666667</v>
      </c>
      <c r="P195" s="1047">
        <f t="shared" si="14"/>
        <v>4.0840704496667317E-2</v>
      </c>
      <c r="Q195" s="1064"/>
      <c r="T195" s="1031"/>
    </row>
    <row r="196" spans="2:20">
      <c r="B196" s="1054"/>
      <c r="C196" s="1053" t="s">
        <v>1184</v>
      </c>
      <c r="D196" s="1052"/>
      <c r="E196" s="1052" t="s">
        <v>595</v>
      </c>
      <c r="F196" s="1052"/>
      <c r="G196" s="1052"/>
      <c r="H196" s="1052">
        <v>12</v>
      </c>
      <c r="I196" s="1051">
        <f>O196*H196</f>
        <v>14.5</v>
      </c>
      <c r="J196" s="1050">
        <v>14</v>
      </c>
      <c r="K196" s="1049"/>
      <c r="L196" s="1049"/>
      <c r="M196" s="1049"/>
      <c r="N196" s="1048"/>
      <c r="O196" s="1047">
        <f>14.5/12</f>
        <v>1.2083333333333333</v>
      </c>
      <c r="P196" s="1047">
        <f t="shared" si="14"/>
        <v>4.3982297150257102E-2</v>
      </c>
      <c r="Q196" s="1064"/>
      <c r="T196" s="1031"/>
    </row>
    <row r="197" spans="2:20">
      <c r="B197" s="1054"/>
      <c r="C197" s="1053" t="s">
        <v>1183</v>
      </c>
      <c r="D197" s="1052" t="s">
        <v>853</v>
      </c>
      <c r="E197" s="1052" t="s">
        <v>595</v>
      </c>
      <c r="F197" s="1052"/>
      <c r="G197" s="1052"/>
      <c r="H197" s="1052">
        <v>12</v>
      </c>
      <c r="I197" s="1051">
        <v>19</v>
      </c>
      <c r="J197" s="1050">
        <v>16</v>
      </c>
      <c r="K197" s="1049"/>
      <c r="L197" s="1049"/>
      <c r="M197" s="1049"/>
      <c r="N197" s="1048"/>
      <c r="O197" s="1047">
        <v>1.58</v>
      </c>
      <c r="P197" s="1047">
        <f t="shared" si="14"/>
        <v>5.0265482457436693E-2</v>
      </c>
      <c r="Q197" s="1064"/>
      <c r="T197" s="1031"/>
    </row>
    <row r="198" spans="2:20">
      <c r="B198" s="1054"/>
      <c r="C198" s="1053" t="s">
        <v>1182</v>
      </c>
      <c r="D198" s="1052" t="s">
        <v>853</v>
      </c>
      <c r="E198" s="1052" t="s">
        <v>595</v>
      </c>
      <c r="F198" s="1052"/>
      <c r="G198" s="1052"/>
      <c r="H198" s="1052">
        <v>12</v>
      </c>
      <c r="I198" s="1051">
        <v>26.8</v>
      </c>
      <c r="J198" s="1050">
        <v>19</v>
      </c>
      <c r="K198" s="1049"/>
      <c r="L198" s="1049"/>
      <c r="M198" s="1049"/>
      <c r="N198" s="1048"/>
      <c r="O198" s="1047">
        <v>2.23</v>
      </c>
      <c r="P198" s="1047">
        <f t="shared" si="14"/>
        <v>5.9690260418206069E-2</v>
      </c>
      <c r="Q198" s="1064"/>
      <c r="T198" s="1031"/>
    </row>
    <row r="199" spans="2:20">
      <c r="B199" s="1054"/>
      <c r="C199" s="1053" t="s">
        <v>1181</v>
      </c>
      <c r="D199" s="1052" t="s">
        <v>853</v>
      </c>
      <c r="E199" s="1052" t="s">
        <v>595</v>
      </c>
      <c r="F199" s="1052"/>
      <c r="G199" s="1052"/>
      <c r="H199" s="1052">
        <v>12</v>
      </c>
      <c r="I199" s="1051">
        <f t="shared" ref="I199:I204" si="15">O199*H199</f>
        <v>35.880000000000003</v>
      </c>
      <c r="J199" s="1050">
        <v>22</v>
      </c>
      <c r="K199" s="1049"/>
      <c r="L199" s="1049"/>
      <c r="M199" s="1049"/>
      <c r="N199" s="1048"/>
      <c r="O199" s="1047">
        <v>2.99</v>
      </c>
      <c r="P199" s="1047">
        <f t="shared" si="14"/>
        <v>6.9115038378975438E-2</v>
      </c>
      <c r="Q199" s="1064"/>
      <c r="T199" s="1031"/>
    </row>
    <row r="200" spans="2:20">
      <c r="B200" s="1054"/>
      <c r="C200" s="1053" t="s">
        <v>1180</v>
      </c>
      <c r="D200" s="1052"/>
      <c r="E200" s="1052" t="s">
        <v>595</v>
      </c>
      <c r="F200" s="1052"/>
      <c r="G200" s="1052"/>
      <c r="H200" s="1052">
        <v>12</v>
      </c>
      <c r="I200" s="1051">
        <f t="shared" si="15"/>
        <v>39.1</v>
      </c>
      <c r="J200" s="1050">
        <v>23</v>
      </c>
      <c r="K200" s="1049"/>
      <c r="L200" s="1049"/>
      <c r="M200" s="1049"/>
      <c r="N200" s="1048"/>
      <c r="O200" s="1047">
        <f>39.1/12</f>
        <v>3.2583333333333333</v>
      </c>
      <c r="P200" s="1047">
        <f t="shared" si="14"/>
        <v>7.2256631032565244E-2</v>
      </c>
      <c r="Q200" s="1064"/>
      <c r="T200" s="1031"/>
    </row>
    <row r="201" spans="2:20">
      <c r="B201" s="1054"/>
      <c r="C201" s="1053" t="s">
        <v>1179</v>
      </c>
      <c r="D201" s="1052" t="s">
        <v>853</v>
      </c>
      <c r="E201" s="1052" t="s">
        <v>595</v>
      </c>
      <c r="F201" s="1052"/>
      <c r="G201" s="1052"/>
      <c r="H201" s="1052">
        <v>12</v>
      </c>
      <c r="I201" s="1051">
        <f t="shared" si="15"/>
        <v>46.2</v>
      </c>
      <c r="J201" s="1050">
        <v>25</v>
      </c>
      <c r="K201" s="1049"/>
      <c r="L201" s="1049"/>
      <c r="M201" s="1049"/>
      <c r="N201" s="1048"/>
      <c r="O201" s="1047">
        <v>3.85</v>
      </c>
      <c r="P201" s="1047">
        <f t="shared" si="14"/>
        <v>7.8539816339744828E-2</v>
      </c>
      <c r="Q201" s="1064"/>
      <c r="T201" s="1031"/>
    </row>
    <row r="202" spans="2:20">
      <c r="B202" s="1054"/>
      <c r="C202" s="1053" t="s">
        <v>1178</v>
      </c>
      <c r="D202" s="1052"/>
      <c r="E202" s="1052" t="s">
        <v>595</v>
      </c>
      <c r="F202" s="1052"/>
      <c r="G202" s="1052"/>
      <c r="H202" s="1052">
        <v>12</v>
      </c>
      <c r="I202" s="1051">
        <f t="shared" si="15"/>
        <v>58</v>
      </c>
      <c r="J202" s="1050">
        <v>28</v>
      </c>
      <c r="K202" s="1049"/>
      <c r="L202" s="1049"/>
      <c r="M202" s="1049"/>
      <c r="N202" s="1048"/>
      <c r="O202" s="1047">
        <f>58/12</f>
        <v>4.833333333333333</v>
      </c>
      <c r="P202" s="1047">
        <f t="shared" si="14"/>
        <v>8.7964594300514204E-2</v>
      </c>
      <c r="Q202" s="1064"/>
      <c r="T202" s="1031"/>
    </row>
    <row r="203" spans="2:20">
      <c r="B203" s="1054"/>
      <c r="C203" s="1053" t="s">
        <v>1177</v>
      </c>
      <c r="D203" s="1052"/>
      <c r="E203" s="1052" t="s">
        <v>595</v>
      </c>
      <c r="F203" s="1052"/>
      <c r="G203" s="1052"/>
      <c r="H203" s="1052">
        <v>12</v>
      </c>
      <c r="I203" s="1051">
        <f t="shared" si="15"/>
        <v>71.099999999999994</v>
      </c>
      <c r="J203" s="1050">
        <v>31</v>
      </c>
      <c r="K203" s="1049"/>
      <c r="L203" s="1049"/>
      <c r="M203" s="1049"/>
      <c r="N203" s="1048"/>
      <c r="O203" s="1047">
        <f>71.1/12</f>
        <v>5.9249999999999998</v>
      </c>
      <c r="P203" s="1047">
        <f t="shared" si="14"/>
        <v>9.738937226128358E-2</v>
      </c>
      <c r="Q203" s="1064"/>
      <c r="T203" s="1031"/>
    </row>
    <row r="204" spans="2:20">
      <c r="B204" s="1054"/>
      <c r="C204" s="1053" t="s">
        <v>1176</v>
      </c>
      <c r="D204" s="1052"/>
      <c r="E204" s="1052" t="s">
        <v>595</v>
      </c>
      <c r="F204" s="1052"/>
      <c r="G204" s="1052"/>
      <c r="H204" s="1052">
        <v>12</v>
      </c>
      <c r="I204" s="1051">
        <f t="shared" si="15"/>
        <v>75.77</v>
      </c>
      <c r="J204" s="1050">
        <v>32</v>
      </c>
      <c r="K204" s="1049"/>
      <c r="L204" s="1049"/>
      <c r="M204" s="1049"/>
      <c r="N204" s="1048"/>
      <c r="O204" s="1047">
        <f>75.77/12</f>
        <v>6.314166666666666</v>
      </c>
      <c r="P204" s="1047">
        <f t="shared" si="14"/>
        <v>0.10053096491487339</v>
      </c>
      <c r="Q204" s="1064"/>
      <c r="T204" s="1031"/>
    </row>
    <row r="205" spans="2:20">
      <c r="B205" s="1054" t="s">
        <v>1175</v>
      </c>
      <c r="C205" s="1053" t="s">
        <v>1174</v>
      </c>
      <c r="D205" s="1052"/>
      <c r="E205" s="1052" t="s">
        <v>595</v>
      </c>
      <c r="F205" s="1052"/>
      <c r="G205" s="1052"/>
      <c r="H205" s="1052">
        <v>12</v>
      </c>
      <c r="I205" s="1051">
        <v>2.99</v>
      </c>
      <c r="J205" s="1050">
        <v>6</v>
      </c>
      <c r="K205" s="1049"/>
      <c r="L205" s="1049"/>
      <c r="M205" s="1049"/>
      <c r="N205" s="1048"/>
      <c r="O205" s="1047">
        <f t="shared" ref="O205:O217" si="16">I205/H205</f>
        <v>0.24916666666666668</v>
      </c>
      <c r="P205" s="1047">
        <f t="shared" si="14"/>
        <v>1.8849555921538759E-2</v>
      </c>
      <c r="Q205" s="1064"/>
      <c r="T205" s="1031"/>
    </row>
    <row r="206" spans="2:20">
      <c r="B206" s="1054"/>
      <c r="C206" s="1053" t="s">
        <v>1173</v>
      </c>
      <c r="D206" s="1052"/>
      <c r="E206" s="1052" t="s">
        <v>595</v>
      </c>
      <c r="F206" s="1052"/>
      <c r="G206" s="1052"/>
      <c r="H206" s="1052">
        <v>12</v>
      </c>
      <c r="I206" s="1051">
        <v>7.4</v>
      </c>
      <c r="J206" s="1050">
        <v>10</v>
      </c>
      <c r="K206" s="1049"/>
      <c r="L206" s="1049"/>
      <c r="M206" s="1049"/>
      <c r="N206" s="1048"/>
      <c r="O206" s="1047">
        <f t="shared" si="16"/>
        <v>0.6166666666666667</v>
      </c>
      <c r="P206" s="1047">
        <f t="shared" si="14"/>
        <v>3.1415926535897934E-2</v>
      </c>
      <c r="Q206" s="1064"/>
      <c r="T206" s="1031"/>
    </row>
    <row r="207" spans="2:20">
      <c r="B207" s="1054"/>
      <c r="C207" s="1053" t="s">
        <v>1172</v>
      </c>
      <c r="D207" s="1052"/>
      <c r="E207" s="1052" t="s">
        <v>595</v>
      </c>
      <c r="F207" s="1052"/>
      <c r="G207" s="1052"/>
      <c r="H207" s="1052">
        <v>12</v>
      </c>
      <c r="I207" s="1051">
        <v>12.48</v>
      </c>
      <c r="J207" s="1050">
        <v>13</v>
      </c>
      <c r="K207" s="1049"/>
      <c r="L207" s="1049"/>
      <c r="M207" s="1049"/>
      <c r="N207" s="1048"/>
      <c r="O207" s="1047">
        <f t="shared" si="16"/>
        <v>1.04</v>
      </c>
      <c r="P207" s="1047">
        <f t="shared" si="14"/>
        <v>4.0840704496667317E-2</v>
      </c>
      <c r="Q207" s="1064"/>
      <c r="T207" s="1031"/>
    </row>
    <row r="208" spans="2:20">
      <c r="B208" s="1054"/>
      <c r="C208" s="1053" t="s">
        <v>1171</v>
      </c>
      <c r="D208" s="1052"/>
      <c r="E208" s="1052" t="s">
        <v>595</v>
      </c>
      <c r="F208" s="1052"/>
      <c r="G208" s="1052"/>
      <c r="H208" s="1052">
        <v>12</v>
      </c>
      <c r="I208" s="1051">
        <v>18.96</v>
      </c>
      <c r="J208" s="1050">
        <v>16</v>
      </c>
      <c r="K208" s="1049"/>
      <c r="L208" s="1049"/>
      <c r="M208" s="1049"/>
      <c r="N208" s="1048"/>
      <c r="O208" s="1047">
        <f t="shared" si="16"/>
        <v>1.58</v>
      </c>
      <c r="P208" s="1047">
        <f t="shared" si="14"/>
        <v>5.0265482457436693E-2</v>
      </c>
      <c r="Q208" s="1064"/>
      <c r="T208" s="1031"/>
    </row>
    <row r="209" spans="2:20">
      <c r="B209" s="1054"/>
      <c r="C209" s="1053" t="s">
        <v>1170</v>
      </c>
      <c r="D209" s="1052"/>
      <c r="E209" s="1052" t="s">
        <v>595</v>
      </c>
      <c r="F209" s="1052"/>
      <c r="G209" s="1052"/>
      <c r="H209" s="1052">
        <v>12</v>
      </c>
      <c r="I209" s="1051">
        <v>27</v>
      </c>
      <c r="J209" s="1050">
        <v>19</v>
      </c>
      <c r="K209" s="1049"/>
      <c r="L209" s="1049"/>
      <c r="M209" s="1049"/>
      <c r="N209" s="1048"/>
      <c r="O209" s="1047">
        <f t="shared" si="16"/>
        <v>2.25</v>
      </c>
      <c r="P209" s="1047">
        <f t="shared" si="14"/>
        <v>5.9690260418206069E-2</v>
      </c>
      <c r="Q209" s="1064"/>
      <c r="T209" s="1031"/>
    </row>
    <row r="210" spans="2:20">
      <c r="B210" s="1054"/>
      <c r="C210" s="1053" t="s">
        <v>1169</v>
      </c>
      <c r="D210" s="1052"/>
      <c r="E210" s="1052" t="s">
        <v>595</v>
      </c>
      <c r="F210" s="1052"/>
      <c r="G210" s="1052"/>
      <c r="H210" s="1052">
        <v>12</v>
      </c>
      <c r="I210" s="1051">
        <v>36.5</v>
      </c>
      <c r="J210" s="1050">
        <v>22</v>
      </c>
      <c r="K210" s="1049"/>
      <c r="L210" s="1049"/>
      <c r="M210" s="1049"/>
      <c r="N210" s="1048"/>
      <c r="O210" s="1047">
        <f t="shared" si="16"/>
        <v>3.0416666666666665</v>
      </c>
      <c r="P210" s="1047">
        <f t="shared" si="14"/>
        <v>6.9115038378975438E-2</v>
      </c>
      <c r="Q210" s="1064"/>
      <c r="T210" s="1031"/>
    </row>
    <row r="211" spans="2:20">
      <c r="B211" s="1054"/>
      <c r="C211" s="1053" t="s">
        <v>1168</v>
      </c>
      <c r="D211" s="1052"/>
      <c r="E211" s="1052" t="s">
        <v>595</v>
      </c>
      <c r="F211" s="1052"/>
      <c r="G211" s="1052"/>
      <c r="H211" s="1052">
        <v>12</v>
      </c>
      <c r="I211" s="1051">
        <v>47.8</v>
      </c>
      <c r="J211" s="1050">
        <v>25</v>
      </c>
      <c r="K211" s="1049"/>
      <c r="L211" s="1049"/>
      <c r="M211" s="1049"/>
      <c r="N211" s="1048"/>
      <c r="O211" s="1047">
        <f t="shared" si="16"/>
        <v>3.9833333333333329</v>
      </c>
      <c r="P211" s="1047">
        <f t="shared" si="14"/>
        <v>7.8539816339744828E-2</v>
      </c>
      <c r="Q211" s="1064"/>
      <c r="T211" s="1031"/>
    </row>
    <row r="212" spans="2:20">
      <c r="B212" s="1054"/>
      <c r="C212" s="1053" t="s">
        <v>1167</v>
      </c>
      <c r="D212" s="1052"/>
      <c r="E212" s="1052" t="s">
        <v>595</v>
      </c>
      <c r="F212" s="1052"/>
      <c r="G212" s="1052"/>
      <c r="H212" s="1052">
        <v>12</v>
      </c>
      <c r="I212" s="1051">
        <v>62.28</v>
      </c>
      <c r="J212" s="1050">
        <v>29</v>
      </c>
      <c r="K212" s="1049"/>
      <c r="L212" s="1049"/>
      <c r="M212" s="1049"/>
      <c r="N212" s="1048"/>
      <c r="O212" s="1047">
        <f t="shared" si="16"/>
        <v>5.19</v>
      </c>
      <c r="P212" s="1047">
        <f t="shared" si="14"/>
        <v>9.110618695410401E-2</v>
      </c>
      <c r="Q212" s="1064"/>
      <c r="T212" s="1031"/>
    </row>
    <row r="213" spans="2:20">
      <c r="B213" s="1054"/>
      <c r="C213" s="1053" t="s">
        <v>1166</v>
      </c>
      <c r="D213" s="1052"/>
      <c r="E213" s="1052" t="s">
        <v>595</v>
      </c>
      <c r="F213" s="1052"/>
      <c r="G213" s="1052"/>
      <c r="H213" s="1052">
        <v>12</v>
      </c>
      <c r="I213" s="1051">
        <v>75.72</v>
      </c>
      <c r="J213" s="1050">
        <v>32</v>
      </c>
      <c r="K213" s="1049"/>
      <c r="L213" s="1049"/>
      <c r="M213" s="1049"/>
      <c r="N213" s="1048"/>
      <c r="O213" s="1047">
        <f t="shared" si="16"/>
        <v>6.31</v>
      </c>
      <c r="P213" s="1047">
        <f t="shared" si="14"/>
        <v>0.10053096491487339</v>
      </c>
      <c r="Q213" s="1064"/>
      <c r="T213" s="1031"/>
    </row>
    <row r="214" spans="2:20">
      <c r="B214" s="1054"/>
      <c r="C214" s="1053" t="s">
        <v>1165</v>
      </c>
      <c r="D214" s="1052"/>
      <c r="E214" s="1052" t="s">
        <v>595</v>
      </c>
      <c r="F214" s="1052"/>
      <c r="G214" s="1052"/>
      <c r="H214" s="1052">
        <v>12</v>
      </c>
      <c r="I214" s="1051">
        <v>90.1</v>
      </c>
      <c r="J214" s="1050">
        <v>35</v>
      </c>
      <c r="K214" s="1049"/>
      <c r="L214" s="1049"/>
      <c r="M214" s="1049"/>
      <c r="N214" s="1048"/>
      <c r="O214" s="1047">
        <f t="shared" si="16"/>
        <v>7.5083333333333329</v>
      </c>
      <c r="P214" s="1047">
        <f t="shared" si="14"/>
        <v>0.10995574287564276</v>
      </c>
      <c r="Q214" s="1064"/>
      <c r="T214" s="1031"/>
    </row>
    <row r="215" spans="2:20">
      <c r="B215" s="1054"/>
      <c r="C215" s="1053" t="s">
        <v>1164</v>
      </c>
      <c r="D215" s="1052"/>
      <c r="E215" s="1052" t="s">
        <v>591</v>
      </c>
      <c r="F215" s="1052"/>
      <c r="G215" s="1052"/>
      <c r="H215" s="1052">
        <v>12</v>
      </c>
      <c r="I215" s="1051">
        <v>95.88</v>
      </c>
      <c r="J215" s="1050">
        <v>36</v>
      </c>
      <c r="K215" s="1049"/>
      <c r="L215" s="1049"/>
      <c r="M215" s="1049"/>
      <c r="N215" s="1048"/>
      <c r="O215" s="1047">
        <f t="shared" si="16"/>
        <v>7.9899999999999993</v>
      </c>
      <c r="P215" s="1047">
        <f t="shared" si="14"/>
        <v>0.11309733552923255</v>
      </c>
      <c r="Q215" s="1064"/>
      <c r="T215" s="1031"/>
    </row>
    <row r="216" spans="2:20">
      <c r="B216" s="1054"/>
      <c r="C216" s="1053" t="s">
        <v>1163</v>
      </c>
      <c r="D216" s="1052"/>
      <c r="E216" s="1052" t="s">
        <v>595</v>
      </c>
      <c r="F216" s="1052"/>
      <c r="G216" s="1052"/>
      <c r="H216" s="1052">
        <v>12</v>
      </c>
      <c r="I216" s="1051">
        <v>107</v>
      </c>
      <c r="J216" s="1050">
        <v>38</v>
      </c>
      <c r="K216" s="1049"/>
      <c r="L216" s="1049"/>
      <c r="M216" s="1049"/>
      <c r="N216" s="1048"/>
      <c r="O216" s="1047">
        <f t="shared" si="16"/>
        <v>8.9166666666666661</v>
      </c>
      <c r="P216" s="1047">
        <f t="shared" si="14"/>
        <v>0.11938052083641214</v>
      </c>
      <c r="Q216" s="1064"/>
      <c r="T216" s="1031"/>
    </row>
    <row r="217" spans="2:20">
      <c r="B217" s="1054"/>
      <c r="C217" s="1053" t="s">
        <v>1162</v>
      </c>
      <c r="D217" s="1052"/>
      <c r="E217" s="1052" t="s">
        <v>595</v>
      </c>
      <c r="F217" s="1052"/>
      <c r="G217" s="1052"/>
      <c r="H217" s="1052">
        <v>12</v>
      </c>
      <c r="I217" s="1051">
        <v>126</v>
      </c>
      <c r="J217" s="1050">
        <v>41</v>
      </c>
      <c r="K217" s="1049"/>
      <c r="L217" s="1049"/>
      <c r="M217" s="1049"/>
      <c r="N217" s="1048"/>
      <c r="O217" s="1047">
        <f t="shared" si="16"/>
        <v>10.5</v>
      </c>
      <c r="P217" s="1047">
        <f t="shared" si="14"/>
        <v>0.1288052987971815</v>
      </c>
      <c r="Q217" s="1064"/>
      <c r="T217" s="1031"/>
    </row>
    <row r="218" spans="2:20">
      <c r="B218" s="1054" t="s">
        <v>1161</v>
      </c>
      <c r="C218" s="1053" t="s">
        <v>1160</v>
      </c>
      <c r="D218" s="1052" t="s">
        <v>797</v>
      </c>
      <c r="E218" s="1052"/>
      <c r="F218" s="1052"/>
      <c r="G218" s="1052"/>
      <c r="H218" s="1052">
        <v>6</v>
      </c>
      <c r="I218" s="1051">
        <f t="shared" ref="I218:I223" si="17">O218*H218</f>
        <v>9.7560000000000002</v>
      </c>
      <c r="J218" s="1050">
        <v>60</v>
      </c>
      <c r="K218" s="1049">
        <v>30</v>
      </c>
      <c r="L218" s="1049">
        <v>10</v>
      </c>
      <c r="M218" s="1049">
        <v>1.6</v>
      </c>
      <c r="N218" s="1048"/>
      <c r="O218" s="1047">
        <v>1.6259999999999999</v>
      </c>
      <c r="P218" s="1047">
        <f t="shared" ref="P218:P223" si="18">(2*J218+4*K218+4*L218-4*M218)*1/1000</f>
        <v>0.27360000000000001</v>
      </c>
      <c r="Q218" s="1064"/>
      <c r="T218" s="1031"/>
    </row>
    <row r="219" spans="2:20">
      <c r="B219" s="1054"/>
      <c r="C219" s="1053" t="s">
        <v>1159</v>
      </c>
      <c r="D219" s="1052" t="s">
        <v>797</v>
      </c>
      <c r="E219" s="1052"/>
      <c r="F219" s="1052"/>
      <c r="G219" s="1052"/>
      <c r="H219" s="1052">
        <v>6</v>
      </c>
      <c r="I219" s="1051">
        <f t="shared" si="17"/>
        <v>11.952</v>
      </c>
      <c r="J219" s="1050">
        <v>60</v>
      </c>
      <c r="K219" s="1049">
        <v>30</v>
      </c>
      <c r="L219" s="1049">
        <v>10</v>
      </c>
      <c r="M219" s="1049">
        <v>2</v>
      </c>
      <c r="N219" s="1048"/>
      <c r="O219" s="1047">
        <v>1.992</v>
      </c>
      <c r="P219" s="1047">
        <f t="shared" si="18"/>
        <v>0.27200000000000002</v>
      </c>
      <c r="Q219" s="1064"/>
      <c r="T219" s="1031"/>
    </row>
    <row r="220" spans="2:20">
      <c r="B220" s="1054"/>
      <c r="C220" s="1053" t="s">
        <v>1158</v>
      </c>
      <c r="D220" s="1052" t="s">
        <v>797</v>
      </c>
      <c r="E220" s="1052"/>
      <c r="F220" s="1052"/>
      <c r="G220" s="1052"/>
      <c r="H220" s="1052">
        <v>6</v>
      </c>
      <c r="I220" s="1051">
        <f t="shared" si="17"/>
        <v>13.53</v>
      </c>
      <c r="J220" s="1050">
        <v>60</v>
      </c>
      <c r="K220" s="1049">
        <v>30</v>
      </c>
      <c r="L220" s="1049">
        <v>10</v>
      </c>
      <c r="M220" s="1049">
        <v>2.2999999999999998</v>
      </c>
      <c r="N220" s="1048"/>
      <c r="O220" s="1047">
        <v>2.2549999999999999</v>
      </c>
      <c r="P220" s="1047">
        <f t="shared" si="18"/>
        <v>0.27079999999999999</v>
      </c>
      <c r="Q220" s="1064"/>
      <c r="T220" s="1031"/>
    </row>
    <row r="221" spans="2:20">
      <c r="B221" s="1054"/>
      <c r="C221" s="1053" t="s">
        <v>1157</v>
      </c>
      <c r="D221" s="1052" t="s">
        <v>797</v>
      </c>
      <c r="E221" s="1052"/>
      <c r="F221" s="1052"/>
      <c r="G221" s="1052"/>
      <c r="H221" s="1052">
        <v>6</v>
      </c>
      <c r="I221" s="1051">
        <f t="shared" si="17"/>
        <v>12.395999999999999</v>
      </c>
      <c r="J221" s="1050">
        <v>75</v>
      </c>
      <c r="K221" s="1049">
        <v>35</v>
      </c>
      <c r="L221" s="1049">
        <v>15</v>
      </c>
      <c r="M221" s="1049">
        <v>1.6</v>
      </c>
      <c r="N221" s="1048"/>
      <c r="O221" s="1047">
        <v>2.0659999999999998</v>
      </c>
      <c r="P221" s="1047">
        <f t="shared" si="18"/>
        <v>0.34360000000000002</v>
      </c>
      <c r="Q221" s="1064"/>
      <c r="T221" s="1031"/>
    </row>
    <row r="222" spans="2:20">
      <c r="B222" s="1054"/>
      <c r="C222" s="1053" t="s">
        <v>1156</v>
      </c>
      <c r="D222" s="1052" t="s">
        <v>1149</v>
      </c>
      <c r="E222" s="1052"/>
      <c r="F222" s="1052"/>
      <c r="G222" s="1052"/>
      <c r="H222" s="1052">
        <v>6</v>
      </c>
      <c r="I222" s="1051">
        <f t="shared" si="17"/>
        <v>15.245999999999999</v>
      </c>
      <c r="J222" s="1050">
        <v>75</v>
      </c>
      <c r="K222" s="1049">
        <v>35</v>
      </c>
      <c r="L222" s="1049">
        <v>15</v>
      </c>
      <c r="M222" s="1049">
        <v>2</v>
      </c>
      <c r="N222" s="1048"/>
      <c r="O222" s="1047">
        <v>2.5409999999999999</v>
      </c>
      <c r="P222" s="1047">
        <f t="shared" si="18"/>
        <v>0.34200000000000003</v>
      </c>
      <c r="Q222" s="1064"/>
      <c r="T222" s="1031"/>
    </row>
    <row r="223" spans="2:20">
      <c r="B223" s="1054"/>
      <c r="C223" s="1053" t="s">
        <v>1155</v>
      </c>
      <c r="D223" s="1052" t="s">
        <v>797</v>
      </c>
      <c r="E223" s="1052"/>
      <c r="F223" s="1052"/>
      <c r="G223" s="1052"/>
      <c r="H223" s="1052">
        <v>6</v>
      </c>
      <c r="I223" s="1051">
        <f t="shared" si="17"/>
        <v>17.321999999999999</v>
      </c>
      <c r="J223" s="1050">
        <v>75</v>
      </c>
      <c r="K223" s="1049">
        <v>35</v>
      </c>
      <c r="L223" s="1049">
        <v>15</v>
      </c>
      <c r="M223" s="1049">
        <v>2.2999999999999998</v>
      </c>
      <c r="N223" s="1048"/>
      <c r="O223" s="1047">
        <v>2.887</v>
      </c>
      <c r="P223" s="1047">
        <f t="shared" si="18"/>
        <v>0.34079999999999999</v>
      </c>
      <c r="Q223" s="1064"/>
      <c r="T223" s="1031"/>
    </row>
    <row r="224" spans="2:20">
      <c r="B224" s="1054"/>
      <c r="C224" s="1053" t="s">
        <v>1154</v>
      </c>
      <c r="D224" s="1052" t="s">
        <v>797</v>
      </c>
      <c r="E224" s="1052" t="s">
        <v>431</v>
      </c>
      <c r="F224" s="1052"/>
      <c r="G224" s="1052"/>
      <c r="H224" s="1052">
        <v>6</v>
      </c>
      <c r="I224" s="1051">
        <v>13.92</v>
      </c>
      <c r="J224" s="1050">
        <v>75</v>
      </c>
      <c r="K224" s="1049">
        <v>45</v>
      </c>
      <c r="L224" s="1049">
        <v>15</v>
      </c>
      <c r="M224" s="1049">
        <v>1.6</v>
      </c>
      <c r="N224" s="1048"/>
      <c r="O224" s="1047">
        <f>I224/H224</f>
        <v>2.3199999999999998</v>
      </c>
      <c r="P224" s="1074">
        <f>H224*(0.25*22/7*I224^2)*O224/1000000</f>
        <v>2.1192507977142853E-3</v>
      </c>
      <c r="Q224" s="1064"/>
      <c r="T224" s="1031"/>
    </row>
    <row r="225" spans="1:20">
      <c r="B225" s="1054"/>
      <c r="C225" s="1053" t="s">
        <v>1153</v>
      </c>
      <c r="D225" s="1052" t="s">
        <v>1149</v>
      </c>
      <c r="E225" s="1052"/>
      <c r="F225" s="1052"/>
      <c r="G225" s="1052"/>
      <c r="H225" s="1052">
        <v>6</v>
      </c>
      <c r="I225" s="1051">
        <f>O225*H225</f>
        <v>17.309999999999999</v>
      </c>
      <c r="J225" s="1050">
        <v>75</v>
      </c>
      <c r="K225" s="1049">
        <v>45</v>
      </c>
      <c r="L225" s="1049">
        <v>15</v>
      </c>
      <c r="M225" s="1049">
        <v>2</v>
      </c>
      <c r="N225" s="1048"/>
      <c r="O225" s="1047">
        <v>2.8849999999999998</v>
      </c>
      <c r="P225" s="1074">
        <f>H225*(0.25*22/7*I225^2)*O225/1000000</f>
        <v>4.0752649857857129E-3</v>
      </c>
      <c r="Q225" s="1064"/>
      <c r="T225" s="1031"/>
    </row>
    <row r="226" spans="1:20">
      <c r="B226" s="1054"/>
      <c r="C226" s="1053" t="s">
        <v>1152</v>
      </c>
      <c r="D226" s="1052" t="s">
        <v>1149</v>
      </c>
      <c r="E226" s="1052" t="s">
        <v>431</v>
      </c>
      <c r="F226" s="1052"/>
      <c r="G226" s="1052"/>
      <c r="H226" s="1052">
        <v>6</v>
      </c>
      <c r="I226" s="1051">
        <v>19.5</v>
      </c>
      <c r="J226" s="1050">
        <v>75</v>
      </c>
      <c r="K226" s="1049">
        <v>45</v>
      </c>
      <c r="L226" s="1049">
        <v>15</v>
      </c>
      <c r="M226" s="1049">
        <v>2.2999999999999998</v>
      </c>
      <c r="N226" s="1048"/>
      <c r="O226" s="1047">
        <f>I226/H226</f>
        <v>3.25</v>
      </c>
      <c r="P226" s="1047">
        <f>(2*J226+4*K226+4*L226-4*M226)*1/1000</f>
        <v>0.38080000000000003</v>
      </c>
      <c r="Q226" s="1064"/>
      <c r="T226" s="1031"/>
    </row>
    <row r="227" spans="1:20">
      <c r="B227" s="1054"/>
      <c r="C227" s="1053" t="s">
        <v>1151</v>
      </c>
      <c r="D227" s="1052" t="s">
        <v>797</v>
      </c>
      <c r="E227" s="1052" t="s">
        <v>431</v>
      </c>
      <c r="F227" s="1052"/>
      <c r="G227" s="1052"/>
      <c r="H227" s="1052">
        <v>6</v>
      </c>
      <c r="I227" s="1051">
        <v>17.5</v>
      </c>
      <c r="J227" s="1050">
        <v>100</v>
      </c>
      <c r="K227" s="1049">
        <v>50</v>
      </c>
      <c r="L227" s="1049">
        <v>20</v>
      </c>
      <c r="M227" s="1049">
        <v>1.6</v>
      </c>
      <c r="N227" s="1048"/>
      <c r="O227" s="1047">
        <f>I227/H227</f>
        <v>2.9166666666666665</v>
      </c>
      <c r="P227" s="1074">
        <f>H227*(0.25*22/7*I227^2)*O227/1000000</f>
        <v>4.2109375000000003E-3</v>
      </c>
      <c r="Q227" s="1064"/>
      <c r="T227" s="1031"/>
    </row>
    <row r="228" spans="1:20">
      <c r="B228" s="1054"/>
      <c r="C228" s="1053" t="s">
        <v>1150</v>
      </c>
      <c r="D228" s="1052" t="s">
        <v>1149</v>
      </c>
      <c r="E228" s="1052"/>
      <c r="F228" s="1052"/>
      <c r="G228" s="1052"/>
      <c r="H228" s="1052">
        <v>6</v>
      </c>
      <c r="I228" s="1051">
        <f>O228*H228</f>
        <v>21.372</v>
      </c>
      <c r="J228" s="1050">
        <v>100</v>
      </c>
      <c r="K228" s="1049">
        <v>50</v>
      </c>
      <c r="L228" s="1049">
        <v>20</v>
      </c>
      <c r="M228" s="1049">
        <v>2</v>
      </c>
      <c r="N228" s="1048"/>
      <c r="O228" s="1047">
        <v>3.5619999999999998</v>
      </c>
      <c r="P228" s="1047">
        <f>(2*J228+4*K228+4*L228-4*M228)*1/1000</f>
        <v>0.47199999999999998</v>
      </c>
      <c r="Q228" s="1064"/>
      <c r="T228" s="1031"/>
    </row>
    <row r="229" spans="1:20">
      <c r="A229" s="1076"/>
      <c r="B229" s="1085"/>
      <c r="C229" s="1084" t="s">
        <v>1148</v>
      </c>
      <c r="D229" s="1083" t="s">
        <v>1131</v>
      </c>
      <c r="E229" s="1083" t="s">
        <v>431</v>
      </c>
      <c r="F229" s="1083"/>
      <c r="G229" s="1083"/>
      <c r="H229" s="1083">
        <v>6</v>
      </c>
      <c r="I229" s="1082">
        <v>24.4</v>
      </c>
      <c r="J229" s="1081">
        <v>100</v>
      </c>
      <c r="K229" s="1080">
        <v>50</v>
      </c>
      <c r="L229" s="1080">
        <v>20</v>
      </c>
      <c r="M229" s="1080">
        <v>2.2999999999999998</v>
      </c>
      <c r="N229" s="1079"/>
      <c r="O229" s="1078">
        <f>I229/H229</f>
        <v>4.0666666666666664</v>
      </c>
      <c r="P229" s="1074">
        <f>H229*(0.25*22/7*I229^2)*O229/1000000</f>
        <v>1.1413901714285713E-2</v>
      </c>
      <c r="Q229" s="1077"/>
      <c r="R229" s="1076"/>
      <c r="S229" s="1075"/>
      <c r="T229" s="1031"/>
    </row>
    <row r="230" spans="1:20">
      <c r="B230" s="1054"/>
      <c r="C230" s="1053" t="s">
        <v>1147</v>
      </c>
      <c r="D230" s="1052" t="s">
        <v>1146</v>
      </c>
      <c r="E230" s="1052"/>
      <c r="F230" s="1052"/>
      <c r="G230" s="1052"/>
      <c r="H230" s="1052">
        <v>6</v>
      </c>
      <c r="I230" s="1051">
        <f t="shared" ref="I230:I248" si="19">O230*H230</f>
        <v>29.22</v>
      </c>
      <c r="J230" s="1050">
        <v>100</v>
      </c>
      <c r="K230" s="1049">
        <v>50</v>
      </c>
      <c r="L230" s="1049">
        <v>20</v>
      </c>
      <c r="M230" s="1049">
        <v>2.8</v>
      </c>
      <c r="N230" s="1048"/>
      <c r="O230" s="1047">
        <v>4.87</v>
      </c>
      <c r="P230" s="1047">
        <f>(2*J230+4*K230+4*L230-4*M230)*1/1000</f>
        <v>0.46879999999999999</v>
      </c>
      <c r="Q230" s="1064"/>
      <c r="T230" s="1031"/>
    </row>
    <row r="231" spans="1:20">
      <c r="B231" s="1054"/>
      <c r="C231" s="1053" t="s">
        <v>1145</v>
      </c>
      <c r="D231" s="1052" t="s">
        <v>1128</v>
      </c>
      <c r="E231" s="1052"/>
      <c r="F231" s="1052"/>
      <c r="G231" s="1052"/>
      <c r="H231" s="1052">
        <v>6</v>
      </c>
      <c r="I231" s="1051">
        <f t="shared" si="19"/>
        <v>31.08</v>
      </c>
      <c r="J231" s="1050">
        <v>100</v>
      </c>
      <c r="K231" s="1049">
        <v>50</v>
      </c>
      <c r="L231" s="1049">
        <v>20</v>
      </c>
      <c r="M231" s="1049">
        <v>3</v>
      </c>
      <c r="N231" s="1048"/>
      <c r="O231" s="1047">
        <v>5.18</v>
      </c>
      <c r="P231" s="1074">
        <f>H231*(0.25*22/7*I231^2)*O231/1000000</f>
        <v>2.3588899487999998E-2</v>
      </c>
      <c r="Q231" s="1064"/>
      <c r="T231" s="1031"/>
    </row>
    <row r="232" spans="1:20">
      <c r="B232" s="1054"/>
      <c r="C232" s="1053" t="s">
        <v>1144</v>
      </c>
      <c r="D232" s="1052" t="s">
        <v>1131</v>
      </c>
      <c r="E232" s="1052" t="s">
        <v>431</v>
      </c>
      <c r="F232" s="1052"/>
      <c r="G232" s="1052"/>
      <c r="H232" s="1052">
        <v>6</v>
      </c>
      <c r="I232" s="1051">
        <f t="shared" si="19"/>
        <v>33</v>
      </c>
      <c r="J232" s="1050">
        <v>100</v>
      </c>
      <c r="K232" s="1049">
        <v>50</v>
      </c>
      <c r="L232" s="1049">
        <v>20</v>
      </c>
      <c r="M232" s="1049">
        <v>3.2</v>
      </c>
      <c r="N232" s="1048"/>
      <c r="O232" s="1047">
        <v>5.5</v>
      </c>
      <c r="P232" s="1047">
        <f>(2*J232+4*K232+4*L232-4*M232)*1/1000</f>
        <v>0.4672</v>
      </c>
      <c r="Q232" s="1064"/>
      <c r="T232" s="1031"/>
    </row>
    <row r="233" spans="1:20">
      <c r="B233" s="1054"/>
      <c r="C233" s="1053" t="s">
        <v>1143</v>
      </c>
      <c r="D233" s="1052" t="s">
        <v>1128</v>
      </c>
      <c r="E233" s="1052"/>
      <c r="F233" s="1052"/>
      <c r="G233" s="1052"/>
      <c r="H233" s="1052">
        <v>6</v>
      </c>
      <c r="I233" s="1051">
        <f t="shared" si="19"/>
        <v>23.700000000000003</v>
      </c>
      <c r="J233" s="1050">
        <v>125</v>
      </c>
      <c r="K233" s="1049">
        <v>50</v>
      </c>
      <c r="L233" s="1049">
        <v>20</v>
      </c>
      <c r="M233" s="1049">
        <v>2</v>
      </c>
      <c r="N233" s="1048"/>
      <c r="O233" s="1047">
        <v>3.95</v>
      </c>
      <c r="P233" s="1074">
        <f>H233*(0.25*22/7*I233^2)*O233/1000000</f>
        <v>1.0459470214285718E-2</v>
      </c>
      <c r="Q233" s="1064"/>
      <c r="T233" s="1031"/>
    </row>
    <row r="234" spans="1:20">
      <c r="B234" s="1054"/>
      <c r="C234" s="1053" t="s">
        <v>1142</v>
      </c>
      <c r="D234" s="1052" t="s">
        <v>1131</v>
      </c>
      <c r="E234" s="1052" t="s">
        <v>431</v>
      </c>
      <c r="F234" s="1052"/>
      <c r="G234" s="1052"/>
      <c r="H234" s="1052">
        <v>6</v>
      </c>
      <c r="I234" s="1051">
        <f t="shared" si="19"/>
        <v>27.06</v>
      </c>
      <c r="J234" s="1050">
        <v>125</v>
      </c>
      <c r="K234" s="1049">
        <v>50</v>
      </c>
      <c r="L234" s="1049">
        <v>20</v>
      </c>
      <c r="M234" s="1049">
        <v>2.2999999999999998</v>
      </c>
      <c r="N234" s="1048"/>
      <c r="O234" s="1047">
        <v>4.51</v>
      </c>
      <c r="P234" s="1047">
        <f>(2*J234+4*K234+4*L234-4*M234)*1/1000</f>
        <v>0.52079999999999993</v>
      </c>
      <c r="Q234" s="1064"/>
      <c r="T234" s="1031"/>
    </row>
    <row r="235" spans="1:20">
      <c r="B235" s="1054"/>
      <c r="C235" s="1053" t="s">
        <v>1141</v>
      </c>
      <c r="D235" s="1052" t="s">
        <v>1128</v>
      </c>
      <c r="E235" s="1052"/>
      <c r="F235" s="1052"/>
      <c r="G235" s="1052"/>
      <c r="H235" s="1052">
        <v>6</v>
      </c>
      <c r="I235" s="1051">
        <f t="shared" si="19"/>
        <v>34.619999999999997</v>
      </c>
      <c r="J235" s="1050">
        <v>125</v>
      </c>
      <c r="K235" s="1049">
        <v>50</v>
      </c>
      <c r="L235" s="1049">
        <v>20</v>
      </c>
      <c r="M235" s="1049">
        <v>3</v>
      </c>
      <c r="N235" s="1048"/>
      <c r="O235" s="1047">
        <v>5.77</v>
      </c>
      <c r="P235" s="1074">
        <f>H235*(0.25*22/7*I235^2)*O235/1000000</f>
        <v>3.2602119886285703E-2</v>
      </c>
      <c r="Q235" s="1064"/>
      <c r="T235" s="1031"/>
    </row>
    <row r="236" spans="1:20">
      <c r="B236" s="1054"/>
      <c r="C236" s="1053" t="s">
        <v>1140</v>
      </c>
      <c r="D236" s="1052" t="s">
        <v>1131</v>
      </c>
      <c r="E236" s="1052" t="s">
        <v>431</v>
      </c>
      <c r="F236" s="1052"/>
      <c r="G236" s="1052"/>
      <c r="H236" s="1052">
        <v>6</v>
      </c>
      <c r="I236" s="1051">
        <f t="shared" si="19"/>
        <v>36.78</v>
      </c>
      <c r="J236" s="1050">
        <v>125</v>
      </c>
      <c r="K236" s="1049">
        <v>50</v>
      </c>
      <c r="L236" s="1049">
        <v>20</v>
      </c>
      <c r="M236" s="1049">
        <v>3.2</v>
      </c>
      <c r="N236" s="1048"/>
      <c r="O236" s="1047">
        <v>6.13</v>
      </c>
      <c r="P236" s="1047">
        <f>(2*J236+4*K236+4*L236-4*M236)*1/1000</f>
        <v>0.51719999999999999</v>
      </c>
      <c r="Q236" s="1064"/>
      <c r="T236" s="1031"/>
    </row>
    <row r="237" spans="1:20">
      <c r="B237" s="1054"/>
      <c r="C237" s="1053" t="s">
        <v>1139</v>
      </c>
      <c r="D237" s="1052" t="s">
        <v>1128</v>
      </c>
      <c r="E237" s="1052"/>
      <c r="F237" s="1052"/>
      <c r="G237" s="1052"/>
      <c r="H237" s="1052">
        <v>6</v>
      </c>
      <c r="I237" s="1051">
        <f t="shared" si="19"/>
        <v>26.04</v>
      </c>
      <c r="J237" s="1050">
        <v>150</v>
      </c>
      <c r="K237" s="1049">
        <v>50</v>
      </c>
      <c r="L237" s="1049">
        <v>20</v>
      </c>
      <c r="M237" s="1049">
        <v>2</v>
      </c>
      <c r="N237" s="1048"/>
      <c r="O237" s="1047">
        <v>4.34</v>
      </c>
      <c r="P237" s="1074">
        <f>H237*(0.25*22/7*I237^2)*O237/1000000</f>
        <v>1.3873549535999997E-2</v>
      </c>
      <c r="Q237" s="1064"/>
      <c r="T237" s="1031"/>
    </row>
    <row r="238" spans="1:20">
      <c r="A238" s="1076"/>
      <c r="B238" s="1085"/>
      <c r="C238" s="1084" t="s">
        <v>1138</v>
      </c>
      <c r="D238" s="1083" t="s">
        <v>1131</v>
      </c>
      <c r="E238" s="1083" t="s">
        <v>431</v>
      </c>
      <c r="F238" s="1083"/>
      <c r="G238" s="1083"/>
      <c r="H238" s="1083">
        <v>6</v>
      </c>
      <c r="I238" s="1082">
        <f t="shared" si="19"/>
        <v>29.759999999999998</v>
      </c>
      <c r="J238" s="1081">
        <v>150</v>
      </c>
      <c r="K238" s="1080">
        <v>50</v>
      </c>
      <c r="L238" s="1080">
        <v>20</v>
      </c>
      <c r="M238" s="1080">
        <v>2.2999999999999998</v>
      </c>
      <c r="N238" s="1079"/>
      <c r="O238" s="1078">
        <v>4.96</v>
      </c>
      <c r="P238" s="1078">
        <f>(2*J238+4*K238+4*L238-4*M238)*1/1000</f>
        <v>0.57079999999999997</v>
      </c>
      <c r="Q238" s="1077"/>
      <c r="R238" s="1076"/>
      <c r="S238" s="1075"/>
      <c r="T238" s="1031"/>
    </row>
    <row r="239" spans="1:20">
      <c r="B239" s="1054"/>
      <c r="C239" s="1053" t="s">
        <v>1137</v>
      </c>
      <c r="D239" s="1052" t="s">
        <v>1128</v>
      </c>
      <c r="E239" s="1052"/>
      <c r="F239" s="1052"/>
      <c r="G239" s="1052"/>
      <c r="H239" s="1052">
        <v>6</v>
      </c>
      <c r="I239" s="1051">
        <f t="shared" si="19"/>
        <v>38.160000000000004</v>
      </c>
      <c r="J239" s="1050">
        <v>150</v>
      </c>
      <c r="K239" s="1049">
        <v>50</v>
      </c>
      <c r="L239" s="1049">
        <v>20</v>
      </c>
      <c r="M239" s="1049">
        <v>3</v>
      </c>
      <c r="N239" s="1048"/>
      <c r="O239" s="1047">
        <v>6.36</v>
      </c>
      <c r="P239" s="1074">
        <f>H239*(0.25*22/7*I239^2)*O239/1000000</f>
        <v>4.3660604818285723E-2</v>
      </c>
      <c r="Q239" s="1064"/>
      <c r="T239" s="1031"/>
    </row>
    <row r="240" spans="1:20">
      <c r="B240" s="1054"/>
      <c r="C240" s="1053" t="s">
        <v>1136</v>
      </c>
      <c r="D240" s="1052" t="s">
        <v>1131</v>
      </c>
      <c r="E240" s="1052" t="s">
        <v>431</v>
      </c>
      <c r="F240" s="1052"/>
      <c r="G240" s="1052"/>
      <c r="H240" s="1052">
        <v>6</v>
      </c>
      <c r="I240" s="1051">
        <f t="shared" si="19"/>
        <v>40.56</v>
      </c>
      <c r="J240" s="1050">
        <v>150</v>
      </c>
      <c r="K240" s="1049">
        <v>50</v>
      </c>
      <c r="L240" s="1049">
        <v>20</v>
      </c>
      <c r="M240" s="1049">
        <v>3.2</v>
      </c>
      <c r="N240" s="1048"/>
      <c r="O240" s="1047">
        <v>6.76</v>
      </c>
      <c r="P240" s="1064"/>
      <c r="Q240" s="1064"/>
      <c r="T240" s="1031"/>
    </row>
    <row r="241" spans="2:20">
      <c r="B241" s="1054"/>
      <c r="C241" s="1053" t="s">
        <v>1135</v>
      </c>
      <c r="D241" s="1052" t="s">
        <v>1128</v>
      </c>
      <c r="E241" s="1052"/>
      <c r="F241" s="1052"/>
      <c r="G241" s="1052"/>
      <c r="H241" s="1052">
        <v>6</v>
      </c>
      <c r="I241" s="1051">
        <f t="shared" si="19"/>
        <v>28.86</v>
      </c>
      <c r="J241" s="1050">
        <v>150</v>
      </c>
      <c r="K241" s="1049">
        <v>65</v>
      </c>
      <c r="L241" s="1049">
        <v>20</v>
      </c>
      <c r="M241" s="1049">
        <v>2</v>
      </c>
      <c r="N241" s="1048"/>
      <c r="O241" s="1047">
        <v>4.8099999999999996</v>
      </c>
      <c r="P241" s="1047">
        <f>(2*J241+4*K241+4*L241-4*M241)*1/1000</f>
        <v>0.63200000000000001</v>
      </c>
      <c r="Q241" s="1064"/>
      <c r="T241" s="1031"/>
    </row>
    <row r="242" spans="2:20">
      <c r="B242" s="1054"/>
      <c r="C242" s="1053" t="s">
        <v>1134</v>
      </c>
      <c r="D242" s="1052" t="s">
        <v>1131</v>
      </c>
      <c r="E242" s="1052" t="s">
        <v>431</v>
      </c>
      <c r="F242" s="1052"/>
      <c r="G242" s="1052"/>
      <c r="H242" s="1052">
        <v>6</v>
      </c>
      <c r="I242" s="1051">
        <f t="shared" si="19"/>
        <v>33</v>
      </c>
      <c r="J242" s="1050">
        <v>150</v>
      </c>
      <c r="K242" s="1049">
        <v>65</v>
      </c>
      <c r="L242" s="1049">
        <v>20</v>
      </c>
      <c r="M242" s="1049">
        <v>2.2999999999999998</v>
      </c>
      <c r="N242" s="1048"/>
      <c r="O242" s="1047">
        <v>5.5</v>
      </c>
      <c r="P242" s="1047">
        <f>(2*J242+4*K242+4*L242-4*M242)*1/1000</f>
        <v>0.63079999999999992</v>
      </c>
      <c r="Q242" s="1064"/>
      <c r="T242" s="1031"/>
    </row>
    <row r="243" spans="2:20">
      <c r="B243" s="1054"/>
      <c r="C243" s="1053" t="s">
        <v>1133</v>
      </c>
      <c r="D243" s="1052" t="s">
        <v>1128</v>
      </c>
      <c r="E243" s="1052"/>
      <c r="F243" s="1052"/>
      <c r="G243" s="1052"/>
      <c r="H243" s="1052">
        <v>6</v>
      </c>
      <c r="I243" s="1051">
        <f t="shared" si="19"/>
        <v>42.42</v>
      </c>
      <c r="J243" s="1050">
        <v>150</v>
      </c>
      <c r="K243" s="1049">
        <v>65</v>
      </c>
      <c r="L243" s="1049">
        <v>20</v>
      </c>
      <c r="M243" s="1049">
        <v>3</v>
      </c>
      <c r="N243" s="1048"/>
      <c r="O243" s="1047">
        <v>7.07</v>
      </c>
      <c r="P243" s="1047">
        <f>(2*J243+4*K243+4*L243-4*M243)*1/1000</f>
        <v>0.628</v>
      </c>
      <c r="Q243" s="1064"/>
      <c r="T243" s="1031"/>
    </row>
    <row r="244" spans="2:20">
      <c r="B244" s="1054"/>
      <c r="C244" s="1053" t="s">
        <v>1132</v>
      </c>
      <c r="D244" s="1052" t="s">
        <v>1131</v>
      </c>
      <c r="E244" s="1052" t="s">
        <v>431</v>
      </c>
      <c r="F244" s="1052"/>
      <c r="G244" s="1052"/>
      <c r="H244" s="1052">
        <v>6</v>
      </c>
      <c r="I244" s="1051">
        <f t="shared" si="19"/>
        <v>45.06</v>
      </c>
      <c r="J244" s="1050">
        <v>150</v>
      </c>
      <c r="K244" s="1049">
        <v>65</v>
      </c>
      <c r="L244" s="1049">
        <v>20</v>
      </c>
      <c r="M244" s="1049">
        <v>3.2</v>
      </c>
      <c r="N244" s="1048"/>
      <c r="O244" s="1047">
        <v>7.51</v>
      </c>
      <c r="P244" s="1047">
        <f>P242/P243</f>
        <v>1.0044585987261145</v>
      </c>
      <c r="Q244" s="1064"/>
      <c r="T244" s="1031"/>
    </row>
    <row r="245" spans="2:20">
      <c r="B245" s="1054"/>
      <c r="C245" s="1053" t="s">
        <v>1130</v>
      </c>
      <c r="D245" s="1052" t="s">
        <v>1128</v>
      </c>
      <c r="E245" s="1052"/>
      <c r="F245" s="1052"/>
      <c r="G245" s="1052"/>
      <c r="H245" s="1052">
        <v>6</v>
      </c>
      <c r="I245" s="1051">
        <f t="shared" si="19"/>
        <v>40.56</v>
      </c>
      <c r="J245" s="1050">
        <v>200</v>
      </c>
      <c r="K245" s="1049">
        <v>75</v>
      </c>
      <c r="L245" s="1049">
        <v>20</v>
      </c>
      <c r="M245" s="1049">
        <v>2.2999999999999998</v>
      </c>
      <c r="N245" s="1048"/>
      <c r="O245" s="1047">
        <v>6.76</v>
      </c>
      <c r="P245" s="1047">
        <f t="shared" ref="P245:P276" si="20">(2*J245+4*K245+4*L245-4*M245)*1/1000</f>
        <v>0.77079999999999993</v>
      </c>
      <c r="Q245" s="1064"/>
      <c r="T245" s="1031"/>
    </row>
    <row r="246" spans="2:20">
      <c r="B246" s="1054"/>
      <c r="C246" s="1053" t="s">
        <v>1129</v>
      </c>
      <c r="D246" s="1052" t="s">
        <v>1128</v>
      </c>
      <c r="E246" s="1052"/>
      <c r="F246" s="1052"/>
      <c r="G246" s="1052"/>
      <c r="H246" s="1052">
        <v>6</v>
      </c>
      <c r="I246" s="1051">
        <f t="shared" si="19"/>
        <v>52.320000000000007</v>
      </c>
      <c r="J246" s="1050">
        <v>200</v>
      </c>
      <c r="K246" s="1049">
        <v>75</v>
      </c>
      <c r="L246" s="1049">
        <v>20</v>
      </c>
      <c r="M246" s="1049">
        <v>3</v>
      </c>
      <c r="N246" s="1048"/>
      <c r="O246" s="1047">
        <v>8.7200000000000006</v>
      </c>
      <c r="P246" s="1047">
        <f t="shared" si="20"/>
        <v>0.76800000000000002</v>
      </c>
      <c r="Q246" s="1064"/>
      <c r="T246" s="1031"/>
    </row>
    <row r="247" spans="2:20">
      <c r="B247" s="1054"/>
      <c r="C247" s="1053" t="s">
        <v>1127</v>
      </c>
      <c r="D247" s="1052" t="s">
        <v>1126</v>
      </c>
      <c r="E247" s="1052" t="s">
        <v>431</v>
      </c>
      <c r="F247" s="1052"/>
      <c r="G247" s="1052"/>
      <c r="H247" s="1052">
        <v>6</v>
      </c>
      <c r="I247" s="1051">
        <f t="shared" si="19"/>
        <v>55.62</v>
      </c>
      <c r="J247" s="1050">
        <v>200</v>
      </c>
      <c r="K247" s="1049">
        <v>75</v>
      </c>
      <c r="L247" s="1049">
        <v>20</v>
      </c>
      <c r="M247" s="1049">
        <v>3.2</v>
      </c>
      <c r="N247" s="1048"/>
      <c r="O247" s="1047">
        <v>9.27</v>
      </c>
      <c r="P247" s="1047">
        <f t="shared" si="20"/>
        <v>0.76719999999999999</v>
      </c>
      <c r="Q247" s="1064"/>
      <c r="T247" s="1031"/>
    </row>
    <row r="248" spans="2:20">
      <c r="B248" s="1054"/>
      <c r="C248" s="1053" t="s">
        <v>1125</v>
      </c>
      <c r="D248" s="1052" t="s">
        <v>853</v>
      </c>
      <c r="E248" s="1052"/>
      <c r="F248" s="1052"/>
      <c r="G248" s="1052"/>
      <c r="H248" s="1052">
        <v>6</v>
      </c>
      <c r="I248" s="1051">
        <f t="shared" si="19"/>
        <v>68.400000000000006</v>
      </c>
      <c r="J248" s="1050">
        <v>200</v>
      </c>
      <c r="K248" s="1049">
        <v>75</v>
      </c>
      <c r="L248" s="1049">
        <v>20</v>
      </c>
      <c r="M248" s="1049">
        <v>4</v>
      </c>
      <c r="N248" s="1048"/>
      <c r="O248" s="1047">
        <v>11.4</v>
      </c>
      <c r="P248" s="1047">
        <f t="shared" si="20"/>
        <v>0.76400000000000001</v>
      </c>
      <c r="Q248" s="1064"/>
      <c r="T248" s="1031"/>
    </row>
    <row r="249" spans="2:20">
      <c r="B249" s="1054" t="s">
        <v>1124</v>
      </c>
      <c r="C249" s="1053" t="s">
        <v>1123</v>
      </c>
      <c r="D249" s="1052"/>
      <c r="E249" s="1052" t="s">
        <v>591</v>
      </c>
      <c r="F249" s="1052"/>
      <c r="G249" s="1052"/>
      <c r="H249" s="1052">
        <v>6</v>
      </c>
      <c r="I249" s="1051">
        <v>5.8</v>
      </c>
      <c r="J249" s="1050">
        <v>50</v>
      </c>
      <c r="K249" s="1049">
        <v>25</v>
      </c>
      <c r="L249" s="1049">
        <v>10</v>
      </c>
      <c r="M249" s="1049">
        <v>1.2</v>
      </c>
      <c r="N249" s="1048"/>
      <c r="O249" s="1047">
        <f t="shared" ref="O249:O280" si="21">I249/H249</f>
        <v>0.96666666666666667</v>
      </c>
      <c r="P249" s="1047">
        <f t="shared" si="20"/>
        <v>0.23519999999999999</v>
      </c>
      <c r="Q249" s="1064"/>
      <c r="T249" s="1031"/>
    </row>
    <row r="250" spans="2:20">
      <c r="B250" s="1054"/>
      <c r="C250" s="1053" t="s">
        <v>1122</v>
      </c>
      <c r="D250" s="1052"/>
      <c r="E250" s="1052" t="s">
        <v>591</v>
      </c>
      <c r="F250" s="1052"/>
      <c r="G250" s="1052"/>
      <c r="H250" s="1052">
        <v>6</v>
      </c>
      <c r="I250" s="1051">
        <v>7.5</v>
      </c>
      <c r="J250" s="1050">
        <v>50</v>
      </c>
      <c r="K250" s="1049">
        <v>25</v>
      </c>
      <c r="L250" s="1049">
        <v>10</v>
      </c>
      <c r="M250" s="1049">
        <v>1.4</v>
      </c>
      <c r="N250" s="1048"/>
      <c r="O250" s="1047">
        <f t="shared" si="21"/>
        <v>1.25</v>
      </c>
      <c r="P250" s="1047">
        <f t="shared" si="20"/>
        <v>0.2344</v>
      </c>
      <c r="Q250" s="1064"/>
      <c r="T250" s="1031"/>
    </row>
    <row r="251" spans="2:20">
      <c r="B251" s="1054"/>
      <c r="C251" s="1053" t="s">
        <v>1121</v>
      </c>
      <c r="D251" s="1052"/>
      <c r="E251" s="1052" t="s">
        <v>591</v>
      </c>
      <c r="F251" s="1052"/>
      <c r="G251" s="1052"/>
      <c r="H251" s="1052">
        <v>6</v>
      </c>
      <c r="I251" s="1051">
        <v>8.6999999999999993</v>
      </c>
      <c r="J251" s="1050">
        <v>50</v>
      </c>
      <c r="K251" s="1049">
        <v>25</v>
      </c>
      <c r="L251" s="1049">
        <v>10</v>
      </c>
      <c r="M251" s="1049">
        <v>1.6</v>
      </c>
      <c r="N251" s="1048"/>
      <c r="O251" s="1047">
        <f t="shared" si="21"/>
        <v>1.45</v>
      </c>
      <c r="P251" s="1047">
        <f t="shared" si="20"/>
        <v>0.2336</v>
      </c>
      <c r="Q251" s="1064"/>
      <c r="T251" s="1031"/>
    </row>
    <row r="252" spans="2:20">
      <c r="B252" s="1054"/>
      <c r="C252" s="1053" t="s">
        <v>1120</v>
      </c>
      <c r="D252" s="1052"/>
      <c r="E252" s="1052" t="s">
        <v>591</v>
      </c>
      <c r="F252" s="1052"/>
      <c r="G252" s="1052"/>
      <c r="H252" s="1052">
        <v>6</v>
      </c>
      <c r="I252" s="1051">
        <v>9.9</v>
      </c>
      <c r="J252" s="1050">
        <v>50</v>
      </c>
      <c r="K252" s="1049">
        <v>25</v>
      </c>
      <c r="L252" s="1049">
        <v>10</v>
      </c>
      <c r="M252" s="1049">
        <v>1.8</v>
      </c>
      <c r="N252" s="1048"/>
      <c r="O252" s="1047">
        <f t="shared" si="21"/>
        <v>1.6500000000000001</v>
      </c>
      <c r="P252" s="1047">
        <f t="shared" si="20"/>
        <v>0.23280000000000001</v>
      </c>
      <c r="Q252" s="1064"/>
      <c r="T252" s="1031"/>
    </row>
    <row r="253" spans="2:20">
      <c r="B253" s="1054"/>
      <c r="C253" s="1053" t="s">
        <v>1119</v>
      </c>
      <c r="D253" s="1052"/>
      <c r="E253" s="1052" t="s">
        <v>591</v>
      </c>
      <c r="F253" s="1052"/>
      <c r="G253" s="1052"/>
      <c r="H253" s="1052">
        <v>6</v>
      </c>
      <c r="I253" s="1051">
        <v>6.95</v>
      </c>
      <c r="J253" s="1050">
        <v>60</v>
      </c>
      <c r="K253" s="1049">
        <v>30</v>
      </c>
      <c r="L253" s="1049">
        <v>10</v>
      </c>
      <c r="M253" s="1049">
        <v>1.2</v>
      </c>
      <c r="N253" s="1048"/>
      <c r="O253" s="1047">
        <f t="shared" si="21"/>
        <v>1.1583333333333334</v>
      </c>
      <c r="P253" s="1047">
        <f t="shared" si="20"/>
        <v>0.2752</v>
      </c>
      <c r="Q253" s="1064"/>
      <c r="T253" s="1031"/>
    </row>
    <row r="254" spans="2:20">
      <c r="B254" s="1054"/>
      <c r="C254" s="1053" t="s">
        <v>1118</v>
      </c>
      <c r="D254" s="1052"/>
      <c r="E254" s="1052" t="s">
        <v>591</v>
      </c>
      <c r="F254" s="1052"/>
      <c r="G254" s="1052"/>
      <c r="H254" s="1052">
        <v>6</v>
      </c>
      <c r="I254" s="1051">
        <v>8.1</v>
      </c>
      <c r="J254" s="1050">
        <v>60</v>
      </c>
      <c r="K254" s="1049">
        <v>30</v>
      </c>
      <c r="L254" s="1049">
        <v>10</v>
      </c>
      <c r="M254" s="1049">
        <v>1.4</v>
      </c>
      <c r="N254" s="1048"/>
      <c r="O254" s="1047">
        <f t="shared" si="21"/>
        <v>1.3499999999999999</v>
      </c>
      <c r="P254" s="1047">
        <f t="shared" si="20"/>
        <v>0.27439999999999998</v>
      </c>
      <c r="Q254" s="1064"/>
      <c r="T254" s="1031"/>
    </row>
    <row r="255" spans="2:20">
      <c r="B255" s="1054"/>
      <c r="C255" s="1053" t="s">
        <v>1117</v>
      </c>
      <c r="D255" s="1052"/>
      <c r="E255" s="1052" t="s">
        <v>591</v>
      </c>
      <c r="F255" s="1052"/>
      <c r="G255" s="1052"/>
      <c r="H255" s="1052">
        <v>6</v>
      </c>
      <c r="I255" s="1051">
        <v>9.27</v>
      </c>
      <c r="J255" s="1050">
        <v>60</v>
      </c>
      <c r="K255" s="1049">
        <v>30</v>
      </c>
      <c r="L255" s="1049">
        <v>10</v>
      </c>
      <c r="M255" s="1049">
        <v>1.6</v>
      </c>
      <c r="N255" s="1048"/>
      <c r="O255" s="1047">
        <f t="shared" si="21"/>
        <v>1.5449999999999999</v>
      </c>
      <c r="P255" s="1047">
        <f t="shared" si="20"/>
        <v>0.27360000000000001</v>
      </c>
      <c r="Q255" s="1064"/>
      <c r="T255" s="1031"/>
    </row>
    <row r="256" spans="2:20">
      <c r="B256" s="1054"/>
      <c r="C256" s="1053" t="s">
        <v>1116</v>
      </c>
      <c r="D256" s="1052"/>
      <c r="E256" s="1052" t="s">
        <v>591</v>
      </c>
      <c r="F256" s="1052"/>
      <c r="G256" s="1052"/>
      <c r="H256" s="1052">
        <v>6</v>
      </c>
      <c r="I256" s="1051">
        <v>10.5</v>
      </c>
      <c r="J256" s="1050">
        <v>60</v>
      </c>
      <c r="K256" s="1049">
        <v>30</v>
      </c>
      <c r="L256" s="1049">
        <v>10</v>
      </c>
      <c r="M256" s="1049">
        <v>1.8</v>
      </c>
      <c r="N256" s="1048"/>
      <c r="O256" s="1047">
        <f t="shared" si="21"/>
        <v>1.75</v>
      </c>
      <c r="P256" s="1047">
        <f t="shared" si="20"/>
        <v>0.27279999999999999</v>
      </c>
      <c r="Q256" s="1064"/>
      <c r="T256" s="1031"/>
    </row>
    <row r="257" spans="2:20">
      <c r="B257" s="1054"/>
      <c r="C257" s="1053" t="s">
        <v>1115</v>
      </c>
      <c r="D257" s="1052"/>
      <c r="E257" s="1052" t="s">
        <v>591</v>
      </c>
      <c r="F257" s="1052"/>
      <c r="G257" s="1052"/>
      <c r="H257" s="1052">
        <v>6</v>
      </c>
      <c r="I257" s="1051">
        <v>11.6</v>
      </c>
      <c r="J257" s="1050">
        <v>60</v>
      </c>
      <c r="K257" s="1049">
        <v>30</v>
      </c>
      <c r="L257" s="1049">
        <v>10</v>
      </c>
      <c r="M257" s="1049">
        <v>2</v>
      </c>
      <c r="N257" s="1048"/>
      <c r="O257" s="1047">
        <f t="shared" si="21"/>
        <v>1.9333333333333333</v>
      </c>
      <c r="P257" s="1047">
        <f t="shared" si="20"/>
        <v>0.27200000000000002</v>
      </c>
      <c r="Q257" s="1064"/>
      <c r="T257" s="1031"/>
    </row>
    <row r="258" spans="2:20">
      <c r="B258" s="1054"/>
      <c r="C258" s="1053" t="s">
        <v>1114</v>
      </c>
      <c r="D258" s="1052"/>
      <c r="E258" s="1052" t="s">
        <v>591</v>
      </c>
      <c r="F258" s="1052"/>
      <c r="G258" s="1052"/>
      <c r="H258" s="1052">
        <v>6</v>
      </c>
      <c r="I258" s="1051">
        <v>7.86</v>
      </c>
      <c r="J258" s="1050">
        <v>70</v>
      </c>
      <c r="K258" s="1049">
        <v>30</v>
      </c>
      <c r="L258" s="1049">
        <v>15</v>
      </c>
      <c r="M258" s="1049">
        <v>1.2</v>
      </c>
      <c r="N258" s="1048"/>
      <c r="O258" s="1047">
        <f t="shared" si="21"/>
        <v>1.31</v>
      </c>
      <c r="P258" s="1047">
        <f t="shared" si="20"/>
        <v>0.31519999999999998</v>
      </c>
      <c r="Q258" s="1064"/>
      <c r="T258" s="1031"/>
    </row>
    <row r="259" spans="2:20">
      <c r="B259" s="1054"/>
      <c r="C259" s="1053" t="s">
        <v>1113</v>
      </c>
      <c r="D259" s="1052"/>
      <c r="E259" s="1052" t="s">
        <v>591</v>
      </c>
      <c r="F259" s="1052"/>
      <c r="G259" s="1052"/>
      <c r="H259" s="1052">
        <v>6</v>
      </c>
      <c r="I259" s="1051">
        <v>9.17</v>
      </c>
      <c r="J259" s="1050">
        <v>70</v>
      </c>
      <c r="K259" s="1049">
        <v>30</v>
      </c>
      <c r="L259" s="1049">
        <v>15</v>
      </c>
      <c r="M259" s="1049">
        <v>1.4</v>
      </c>
      <c r="N259" s="1048"/>
      <c r="O259" s="1047">
        <f t="shared" si="21"/>
        <v>1.5283333333333333</v>
      </c>
      <c r="P259" s="1047">
        <f t="shared" si="20"/>
        <v>0.31439999999999996</v>
      </c>
      <c r="Q259" s="1064"/>
      <c r="T259" s="1031"/>
    </row>
    <row r="260" spans="2:20">
      <c r="B260" s="1054"/>
      <c r="C260" s="1053" t="s">
        <v>1112</v>
      </c>
      <c r="D260" s="1052"/>
      <c r="E260" s="1052" t="s">
        <v>591</v>
      </c>
      <c r="F260" s="1052"/>
      <c r="G260" s="1052"/>
      <c r="H260" s="1052">
        <v>6</v>
      </c>
      <c r="I260" s="1051">
        <v>10.5</v>
      </c>
      <c r="J260" s="1050">
        <v>70</v>
      </c>
      <c r="K260" s="1049">
        <v>30</v>
      </c>
      <c r="L260" s="1049">
        <v>15</v>
      </c>
      <c r="M260" s="1049">
        <v>1.6</v>
      </c>
      <c r="N260" s="1048"/>
      <c r="O260" s="1047">
        <f t="shared" si="21"/>
        <v>1.75</v>
      </c>
      <c r="P260" s="1047">
        <f t="shared" si="20"/>
        <v>0.31360000000000005</v>
      </c>
      <c r="Q260" s="1064"/>
      <c r="T260" s="1031"/>
    </row>
    <row r="261" spans="2:20">
      <c r="B261" s="1054"/>
      <c r="C261" s="1053" t="s">
        <v>1111</v>
      </c>
      <c r="D261" s="1052"/>
      <c r="E261" s="1052" t="s">
        <v>591</v>
      </c>
      <c r="F261" s="1052"/>
      <c r="G261" s="1052"/>
      <c r="H261" s="1052">
        <v>6</v>
      </c>
      <c r="I261" s="1051">
        <v>11.8</v>
      </c>
      <c r="J261" s="1050">
        <v>70</v>
      </c>
      <c r="K261" s="1049">
        <v>30</v>
      </c>
      <c r="L261" s="1049">
        <v>15</v>
      </c>
      <c r="M261" s="1049">
        <v>1.8</v>
      </c>
      <c r="N261" s="1048"/>
      <c r="O261" s="1047">
        <f t="shared" si="21"/>
        <v>1.9666666666666668</v>
      </c>
      <c r="P261" s="1047">
        <f t="shared" si="20"/>
        <v>0.31280000000000002</v>
      </c>
      <c r="Q261" s="1064"/>
      <c r="T261" s="1031"/>
    </row>
    <row r="262" spans="2:20">
      <c r="B262" s="1054"/>
      <c r="C262" s="1053" t="s">
        <v>1110</v>
      </c>
      <c r="D262" s="1052"/>
      <c r="E262" s="1052" t="s">
        <v>591</v>
      </c>
      <c r="F262" s="1052"/>
      <c r="G262" s="1052"/>
      <c r="H262" s="1052">
        <v>6</v>
      </c>
      <c r="I262" s="1051">
        <v>13</v>
      </c>
      <c r="J262" s="1050">
        <v>70</v>
      </c>
      <c r="K262" s="1049">
        <v>30</v>
      </c>
      <c r="L262" s="1049">
        <v>15</v>
      </c>
      <c r="M262" s="1049">
        <v>2</v>
      </c>
      <c r="N262" s="1048"/>
      <c r="O262" s="1047">
        <f t="shared" si="21"/>
        <v>2.1666666666666665</v>
      </c>
      <c r="P262" s="1047">
        <f t="shared" si="20"/>
        <v>0.312</v>
      </c>
      <c r="Q262" s="1064"/>
      <c r="T262" s="1031"/>
    </row>
    <row r="263" spans="2:20">
      <c r="B263" s="1054"/>
      <c r="C263" s="1053" t="s">
        <v>1109</v>
      </c>
      <c r="D263" s="1052"/>
      <c r="E263" s="1052" t="s">
        <v>591</v>
      </c>
      <c r="F263" s="1052"/>
      <c r="G263" s="1052"/>
      <c r="H263" s="1052">
        <v>6</v>
      </c>
      <c r="I263" s="1051">
        <v>8.66</v>
      </c>
      <c r="J263" s="1050">
        <v>75</v>
      </c>
      <c r="K263" s="1049">
        <v>35</v>
      </c>
      <c r="L263" s="1049">
        <v>15</v>
      </c>
      <c r="M263" s="1049">
        <v>1.2</v>
      </c>
      <c r="N263" s="1048"/>
      <c r="O263" s="1047">
        <f t="shared" si="21"/>
        <v>1.4433333333333334</v>
      </c>
      <c r="P263" s="1047">
        <f t="shared" si="20"/>
        <v>0.34520000000000001</v>
      </c>
      <c r="Q263" s="1064"/>
      <c r="T263" s="1031"/>
    </row>
    <row r="264" spans="2:20">
      <c r="B264" s="1054"/>
      <c r="C264" s="1053" t="s">
        <v>1108</v>
      </c>
      <c r="D264" s="1052"/>
      <c r="E264" s="1052" t="s">
        <v>591</v>
      </c>
      <c r="F264" s="1052"/>
      <c r="G264" s="1052"/>
      <c r="H264" s="1052">
        <v>6</v>
      </c>
      <c r="I264" s="1051">
        <v>10.1</v>
      </c>
      <c r="J264" s="1050">
        <v>75</v>
      </c>
      <c r="K264" s="1049">
        <v>35</v>
      </c>
      <c r="L264" s="1049">
        <v>15</v>
      </c>
      <c r="M264" s="1049">
        <v>1.4</v>
      </c>
      <c r="N264" s="1048"/>
      <c r="O264" s="1047">
        <f t="shared" si="21"/>
        <v>1.6833333333333333</v>
      </c>
      <c r="P264" s="1047">
        <f t="shared" si="20"/>
        <v>0.34439999999999998</v>
      </c>
      <c r="Q264" s="1064"/>
      <c r="T264" s="1031"/>
    </row>
    <row r="265" spans="2:20">
      <c r="B265" s="1054"/>
      <c r="C265" s="1053" t="s">
        <v>1107</v>
      </c>
      <c r="D265" s="1052"/>
      <c r="E265" s="1052" t="s">
        <v>591</v>
      </c>
      <c r="F265" s="1052"/>
      <c r="G265" s="1052"/>
      <c r="H265" s="1052">
        <v>6</v>
      </c>
      <c r="I265" s="1051">
        <v>11.6</v>
      </c>
      <c r="J265" s="1050">
        <v>75</v>
      </c>
      <c r="K265" s="1049">
        <v>35</v>
      </c>
      <c r="L265" s="1049">
        <v>15</v>
      </c>
      <c r="M265" s="1049">
        <v>1.6</v>
      </c>
      <c r="N265" s="1048"/>
      <c r="O265" s="1047">
        <f t="shared" si="21"/>
        <v>1.9333333333333333</v>
      </c>
      <c r="P265" s="1047">
        <f t="shared" si="20"/>
        <v>0.34360000000000002</v>
      </c>
      <c r="Q265" s="1064"/>
      <c r="T265" s="1031"/>
    </row>
    <row r="266" spans="2:20">
      <c r="B266" s="1054"/>
      <c r="C266" s="1053" t="s">
        <v>1106</v>
      </c>
      <c r="D266" s="1052"/>
      <c r="E266" s="1052" t="s">
        <v>591</v>
      </c>
      <c r="F266" s="1052"/>
      <c r="G266" s="1052"/>
      <c r="H266" s="1052">
        <v>6</v>
      </c>
      <c r="I266" s="1051">
        <v>13</v>
      </c>
      <c r="J266" s="1050">
        <v>75</v>
      </c>
      <c r="K266" s="1049">
        <v>35</v>
      </c>
      <c r="L266" s="1049">
        <v>15</v>
      </c>
      <c r="M266" s="1049">
        <v>1.8</v>
      </c>
      <c r="N266" s="1048"/>
      <c r="O266" s="1047">
        <f t="shared" si="21"/>
        <v>2.1666666666666665</v>
      </c>
      <c r="P266" s="1047">
        <f t="shared" si="20"/>
        <v>0.34279999999999999</v>
      </c>
      <c r="Q266" s="1064"/>
      <c r="T266" s="1031"/>
    </row>
    <row r="267" spans="2:20">
      <c r="B267" s="1054"/>
      <c r="C267" s="1053" t="s">
        <v>1105</v>
      </c>
      <c r="D267" s="1052"/>
      <c r="E267" s="1052" t="s">
        <v>591</v>
      </c>
      <c r="F267" s="1052"/>
      <c r="G267" s="1052"/>
      <c r="H267" s="1052">
        <v>6</v>
      </c>
      <c r="I267" s="1051">
        <v>14.4</v>
      </c>
      <c r="J267" s="1050">
        <v>75</v>
      </c>
      <c r="K267" s="1049">
        <v>35</v>
      </c>
      <c r="L267" s="1049">
        <v>15</v>
      </c>
      <c r="M267" s="1049">
        <v>2</v>
      </c>
      <c r="N267" s="1048"/>
      <c r="O267" s="1047">
        <f t="shared" si="21"/>
        <v>2.4</v>
      </c>
      <c r="P267" s="1047">
        <f t="shared" si="20"/>
        <v>0.34200000000000003</v>
      </c>
      <c r="Q267" s="1064"/>
      <c r="T267" s="1031"/>
    </row>
    <row r="268" spans="2:20">
      <c r="B268" s="1054"/>
      <c r="C268" s="1053" t="s">
        <v>1104</v>
      </c>
      <c r="D268" s="1052"/>
      <c r="E268" s="1052" t="s">
        <v>591</v>
      </c>
      <c r="F268" s="1052"/>
      <c r="G268" s="1052"/>
      <c r="H268" s="1052">
        <v>6</v>
      </c>
      <c r="I268" s="1051">
        <v>9.8000000000000007</v>
      </c>
      <c r="J268" s="1050">
        <v>75</v>
      </c>
      <c r="K268" s="1049">
        <v>45</v>
      </c>
      <c r="L268" s="1049">
        <v>15</v>
      </c>
      <c r="M268" s="1049">
        <v>1.2</v>
      </c>
      <c r="N268" s="1048"/>
      <c r="O268" s="1047">
        <f t="shared" si="21"/>
        <v>1.6333333333333335</v>
      </c>
      <c r="P268" s="1047">
        <f t="shared" si="20"/>
        <v>0.38519999999999999</v>
      </c>
      <c r="Q268" s="1064"/>
      <c r="T268" s="1031"/>
    </row>
    <row r="269" spans="2:20">
      <c r="B269" s="1054"/>
      <c r="C269" s="1053" t="s">
        <v>1103</v>
      </c>
      <c r="D269" s="1052"/>
      <c r="E269" s="1052" t="s">
        <v>591</v>
      </c>
      <c r="F269" s="1052"/>
      <c r="G269" s="1052"/>
      <c r="H269" s="1052">
        <v>6</v>
      </c>
      <c r="I269" s="1051">
        <v>11.5</v>
      </c>
      <c r="J269" s="1050">
        <v>75</v>
      </c>
      <c r="K269" s="1049">
        <v>45</v>
      </c>
      <c r="L269" s="1049">
        <v>15</v>
      </c>
      <c r="M269" s="1049">
        <v>1.4</v>
      </c>
      <c r="N269" s="1048"/>
      <c r="O269" s="1047">
        <f t="shared" si="21"/>
        <v>1.9166666666666667</v>
      </c>
      <c r="P269" s="1047">
        <f t="shared" si="20"/>
        <v>0.38439999999999996</v>
      </c>
      <c r="Q269" s="1064"/>
      <c r="T269" s="1031"/>
    </row>
    <row r="270" spans="2:20">
      <c r="B270" s="1054"/>
      <c r="C270" s="1053" t="s">
        <v>1102</v>
      </c>
      <c r="D270" s="1052"/>
      <c r="E270" s="1052" t="s">
        <v>591</v>
      </c>
      <c r="F270" s="1052"/>
      <c r="G270" s="1052"/>
      <c r="H270" s="1052">
        <v>6</v>
      </c>
      <c r="I270" s="1051">
        <v>13.3</v>
      </c>
      <c r="J270" s="1050">
        <v>75</v>
      </c>
      <c r="K270" s="1049">
        <v>45</v>
      </c>
      <c r="L270" s="1049">
        <v>15</v>
      </c>
      <c r="M270" s="1049">
        <v>1.6</v>
      </c>
      <c r="N270" s="1048"/>
      <c r="O270" s="1047">
        <f t="shared" si="21"/>
        <v>2.2166666666666668</v>
      </c>
      <c r="P270" s="1047">
        <f t="shared" si="20"/>
        <v>0.3836</v>
      </c>
      <c r="Q270" s="1064"/>
      <c r="T270" s="1031"/>
    </row>
    <row r="271" spans="2:20">
      <c r="B271" s="1054"/>
      <c r="C271" s="1053" t="s">
        <v>1101</v>
      </c>
      <c r="D271" s="1052"/>
      <c r="E271" s="1052" t="s">
        <v>591</v>
      </c>
      <c r="F271" s="1052"/>
      <c r="G271" s="1052"/>
      <c r="H271" s="1052">
        <v>6</v>
      </c>
      <c r="I271" s="1051">
        <v>15</v>
      </c>
      <c r="J271" s="1050">
        <v>75</v>
      </c>
      <c r="K271" s="1049">
        <v>45</v>
      </c>
      <c r="L271" s="1049">
        <v>15</v>
      </c>
      <c r="M271" s="1049">
        <v>1.8</v>
      </c>
      <c r="N271" s="1048"/>
      <c r="O271" s="1047">
        <f t="shared" si="21"/>
        <v>2.5</v>
      </c>
      <c r="P271" s="1047">
        <f t="shared" si="20"/>
        <v>0.38280000000000003</v>
      </c>
      <c r="Q271" s="1064"/>
      <c r="T271" s="1031"/>
    </row>
    <row r="272" spans="2:20">
      <c r="B272" s="1054"/>
      <c r="C272" s="1053" t="s">
        <v>1100</v>
      </c>
      <c r="D272" s="1052"/>
      <c r="E272" s="1052" t="s">
        <v>591</v>
      </c>
      <c r="F272" s="1052"/>
      <c r="G272" s="1052"/>
      <c r="H272" s="1052">
        <v>6</v>
      </c>
      <c r="I272" s="1051">
        <v>16.600000000000001</v>
      </c>
      <c r="J272" s="1050">
        <v>75</v>
      </c>
      <c r="K272" s="1049">
        <v>45</v>
      </c>
      <c r="L272" s="1049">
        <v>15</v>
      </c>
      <c r="M272" s="1049">
        <v>2</v>
      </c>
      <c r="N272" s="1048"/>
      <c r="O272" s="1047">
        <f t="shared" si="21"/>
        <v>2.7666666666666671</v>
      </c>
      <c r="P272" s="1047">
        <f t="shared" si="20"/>
        <v>0.38200000000000001</v>
      </c>
      <c r="Q272" s="1064"/>
      <c r="T272" s="1031"/>
    </row>
    <row r="273" spans="2:20">
      <c r="B273" s="1054"/>
      <c r="C273" s="1053" t="s">
        <v>1099</v>
      </c>
      <c r="D273" s="1052"/>
      <c r="E273" s="1052" t="s">
        <v>591</v>
      </c>
      <c r="F273" s="1052"/>
      <c r="G273" s="1052"/>
      <c r="H273" s="1052">
        <v>6</v>
      </c>
      <c r="I273" s="1051">
        <v>18.2</v>
      </c>
      <c r="J273" s="1050">
        <v>75</v>
      </c>
      <c r="K273" s="1049">
        <v>45</v>
      </c>
      <c r="L273" s="1049">
        <v>15</v>
      </c>
      <c r="M273" s="1049">
        <v>2.2000000000000002</v>
      </c>
      <c r="N273" s="1048"/>
      <c r="O273" s="1047">
        <f t="shared" si="21"/>
        <v>3.0333333333333332</v>
      </c>
      <c r="P273" s="1047">
        <f t="shared" si="20"/>
        <v>0.38119999999999998</v>
      </c>
      <c r="Q273" s="1064"/>
      <c r="T273" s="1031"/>
    </row>
    <row r="274" spans="2:20">
      <c r="B274" s="1054"/>
      <c r="C274" s="1053" t="s">
        <v>1098</v>
      </c>
      <c r="D274" s="1052"/>
      <c r="E274" s="1052" t="s">
        <v>591</v>
      </c>
      <c r="F274" s="1052"/>
      <c r="G274" s="1052"/>
      <c r="H274" s="1052">
        <v>6</v>
      </c>
      <c r="I274" s="1051">
        <v>11</v>
      </c>
      <c r="J274" s="1050">
        <v>95</v>
      </c>
      <c r="K274" s="1049">
        <v>45</v>
      </c>
      <c r="L274" s="1049">
        <v>20</v>
      </c>
      <c r="M274" s="1049">
        <v>1.2</v>
      </c>
      <c r="N274" s="1048"/>
      <c r="O274" s="1047">
        <f t="shared" si="21"/>
        <v>1.8333333333333333</v>
      </c>
      <c r="P274" s="1047">
        <f t="shared" si="20"/>
        <v>0.44519999999999998</v>
      </c>
      <c r="Q274" s="1064"/>
      <c r="T274" s="1031"/>
    </row>
    <row r="275" spans="2:20">
      <c r="B275" s="1054"/>
      <c r="C275" s="1053" t="s">
        <v>1097</v>
      </c>
      <c r="D275" s="1052"/>
      <c r="E275" s="1052" t="s">
        <v>591</v>
      </c>
      <c r="F275" s="1052"/>
      <c r="G275" s="1052"/>
      <c r="H275" s="1052">
        <v>6</v>
      </c>
      <c r="I275" s="1051">
        <v>12.8</v>
      </c>
      <c r="J275" s="1050">
        <v>95</v>
      </c>
      <c r="K275" s="1049">
        <v>45</v>
      </c>
      <c r="L275" s="1049">
        <v>20</v>
      </c>
      <c r="M275" s="1049">
        <v>1.4</v>
      </c>
      <c r="N275" s="1048"/>
      <c r="O275" s="1047">
        <f t="shared" si="21"/>
        <v>2.1333333333333333</v>
      </c>
      <c r="P275" s="1047">
        <f t="shared" si="20"/>
        <v>0.44439999999999996</v>
      </c>
      <c r="Q275" s="1064"/>
      <c r="T275" s="1031"/>
    </row>
    <row r="276" spans="2:20">
      <c r="B276" s="1054"/>
      <c r="C276" s="1053" t="s">
        <v>1096</v>
      </c>
      <c r="D276" s="1052"/>
      <c r="E276" s="1052" t="s">
        <v>591</v>
      </c>
      <c r="F276" s="1052"/>
      <c r="G276" s="1052"/>
      <c r="H276" s="1052">
        <v>6</v>
      </c>
      <c r="I276" s="1051">
        <v>14.6</v>
      </c>
      <c r="J276" s="1050">
        <v>95</v>
      </c>
      <c r="K276" s="1049">
        <v>45</v>
      </c>
      <c r="L276" s="1049">
        <v>20</v>
      </c>
      <c r="M276" s="1049">
        <v>1.6</v>
      </c>
      <c r="N276" s="1048"/>
      <c r="O276" s="1047">
        <f t="shared" si="21"/>
        <v>2.4333333333333331</v>
      </c>
      <c r="P276" s="1047">
        <f t="shared" si="20"/>
        <v>0.44360000000000005</v>
      </c>
      <c r="Q276" s="1064"/>
      <c r="T276" s="1031"/>
    </row>
    <row r="277" spans="2:20">
      <c r="B277" s="1054"/>
      <c r="C277" s="1053" t="s">
        <v>1095</v>
      </c>
      <c r="D277" s="1052"/>
      <c r="E277" s="1052" t="s">
        <v>591</v>
      </c>
      <c r="F277" s="1052"/>
      <c r="G277" s="1052"/>
      <c r="H277" s="1052">
        <v>6</v>
      </c>
      <c r="I277" s="1051">
        <v>16.7</v>
      </c>
      <c r="J277" s="1050">
        <v>95</v>
      </c>
      <c r="K277" s="1049">
        <v>45</v>
      </c>
      <c r="L277" s="1049">
        <v>20</v>
      </c>
      <c r="M277" s="1049">
        <v>1.8</v>
      </c>
      <c r="N277" s="1048"/>
      <c r="O277" s="1047">
        <f t="shared" si="21"/>
        <v>2.7833333333333332</v>
      </c>
      <c r="P277" s="1047">
        <f t="shared" ref="P277:P308" si="22">(2*J277+4*K277+4*L277-4*M277)*1/1000</f>
        <v>0.44280000000000003</v>
      </c>
      <c r="Q277" s="1064"/>
      <c r="T277" s="1031"/>
    </row>
    <row r="278" spans="2:20">
      <c r="B278" s="1054"/>
      <c r="C278" s="1053" t="s">
        <v>1094</v>
      </c>
      <c r="D278" s="1052"/>
      <c r="E278" s="1052" t="s">
        <v>591</v>
      </c>
      <c r="F278" s="1052"/>
      <c r="G278" s="1052"/>
      <c r="H278" s="1052">
        <v>6</v>
      </c>
      <c r="I278" s="1051">
        <v>18.5</v>
      </c>
      <c r="J278" s="1050">
        <v>95</v>
      </c>
      <c r="K278" s="1049">
        <v>45</v>
      </c>
      <c r="L278" s="1049">
        <v>20</v>
      </c>
      <c r="M278" s="1049">
        <v>2</v>
      </c>
      <c r="N278" s="1048"/>
      <c r="O278" s="1047">
        <f t="shared" si="21"/>
        <v>3.0833333333333335</v>
      </c>
      <c r="P278" s="1047">
        <f t="shared" si="22"/>
        <v>0.442</v>
      </c>
      <c r="Q278" s="1064"/>
      <c r="T278" s="1031"/>
    </row>
    <row r="279" spans="2:20">
      <c r="B279" s="1054"/>
      <c r="C279" s="1053" t="s">
        <v>1093</v>
      </c>
      <c r="D279" s="1052"/>
      <c r="E279" s="1052" t="s">
        <v>591</v>
      </c>
      <c r="F279" s="1052"/>
      <c r="G279" s="1052"/>
      <c r="H279" s="1052">
        <v>6</v>
      </c>
      <c r="I279" s="1051">
        <v>20.3</v>
      </c>
      <c r="J279" s="1050">
        <v>95</v>
      </c>
      <c r="K279" s="1049">
        <v>45</v>
      </c>
      <c r="L279" s="1049">
        <v>20</v>
      </c>
      <c r="M279" s="1049">
        <v>2.2000000000000002</v>
      </c>
      <c r="N279" s="1048"/>
      <c r="O279" s="1047">
        <f t="shared" si="21"/>
        <v>3.3833333333333333</v>
      </c>
      <c r="P279" s="1047">
        <f t="shared" si="22"/>
        <v>0.44119999999999998</v>
      </c>
      <c r="Q279" s="1064"/>
      <c r="T279" s="1031"/>
    </row>
    <row r="280" spans="2:20">
      <c r="B280" s="1054"/>
      <c r="C280" s="1053" t="s">
        <v>1092</v>
      </c>
      <c r="D280" s="1052"/>
      <c r="E280" s="1052" t="s">
        <v>591</v>
      </c>
      <c r="F280" s="1052"/>
      <c r="G280" s="1052"/>
      <c r="H280" s="1052">
        <v>6</v>
      </c>
      <c r="I280" s="1051">
        <v>11.8</v>
      </c>
      <c r="J280" s="1050">
        <v>100</v>
      </c>
      <c r="K280" s="1049">
        <v>50</v>
      </c>
      <c r="L280" s="1049">
        <v>20</v>
      </c>
      <c r="M280" s="1049">
        <v>1.2</v>
      </c>
      <c r="N280" s="1048"/>
      <c r="O280" s="1047">
        <f t="shared" si="21"/>
        <v>1.9666666666666668</v>
      </c>
      <c r="P280" s="1047">
        <f t="shared" si="22"/>
        <v>0.47520000000000001</v>
      </c>
      <c r="Q280" s="1064"/>
      <c r="T280" s="1031"/>
    </row>
    <row r="281" spans="2:20">
      <c r="B281" s="1054"/>
      <c r="C281" s="1053" t="s">
        <v>1091</v>
      </c>
      <c r="D281" s="1052"/>
      <c r="E281" s="1052" t="s">
        <v>591</v>
      </c>
      <c r="F281" s="1052"/>
      <c r="G281" s="1052"/>
      <c r="H281" s="1052">
        <v>6</v>
      </c>
      <c r="I281" s="1051">
        <v>13.7</v>
      </c>
      <c r="J281" s="1050">
        <v>100</v>
      </c>
      <c r="K281" s="1049">
        <v>50</v>
      </c>
      <c r="L281" s="1049">
        <v>20</v>
      </c>
      <c r="M281" s="1049">
        <v>1.4</v>
      </c>
      <c r="N281" s="1048"/>
      <c r="O281" s="1047">
        <f t="shared" ref="O281:O312" si="23">I281/H281</f>
        <v>2.2833333333333332</v>
      </c>
      <c r="P281" s="1047">
        <f t="shared" si="22"/>
        <v>0.47439999999999999</v>
      </c>
      <c r="Q281" s="1064"/>
      <c r="T281" s="1031"/>
    </row>
    <row r="282" spans="2:20">
      <c r="B282" s="1054"/>
      <c r="C282" s="1053" t="s">
        <v>1090</v>
      </c>
      <c r="D282" s="1052"/>
      <c r="E282" s="1052" t="s">
        <v>591</v>
      </c>
      <c r="F282" s="1052"/>
      <c r="G282" s="1052"/>
      <c r="H282" s="1052">
        <v>6</v>
      </c>
      <c r="I282" s="1051">
        <v>15.7</v>
      </c>
      <c r="J282" s="1050">
        <v>100</v>
      </c>
      <c r="K282" s="1049">
        <v>50</v>
      </c>
      <c r="L282" s="1049">
        <v>20</v>
      </c>
      <c r="M282" s="1049">
        <v>1.6</v>
      </c>
      <c r="N282" s="1048"/>
      <c r="O282" s="1047">
        <f t="shared" si="23"/>
        <v>2.6166666666666667</v>
      </c>
      <c r="P282" s="1047">
        <f t="shared" si="22"/>
        <v>0.47360000000000002</v>
      </c>
      <c r="Q282" s="1064"/>
      <c r="T282" s="1031"/>
    </row>
    <row r="283" spans="2:20">
      <c r="B283" s="1054"/>
      <c r="C283" s="1053" t="s">
        <v>1089</v>
      </c>
      <c r="D283" s="1052"/>
      <c r="E283" s="1052" t="s">
        <v>591</v>
      </c>
      <c r="F283" s="1052"/>
      <c r="G283" s="1052"/>
      <c r="H283" s="1052">
        <v>6</v>
      </c>
      <c r="I283" s="1051">
        <v>17.7</v>
      </c>
      <c r="J283" s="1050">
        <v>100</v>
      </c>
      <c r="K283" s="1049">
        <v>50</v>
      </c>
      <c r="L283" s="1049">
        <v>20</v>
      </c>
      <c r="M283" s="1049">
        <v>1.8</v>
      </c>
      <c r="N283" s="1048"/>
      <c r="O283" s="1047">
        <f t="shared" si="23"/>
        <v>2.9499999999999997</v>
      </c>
      <c r="P283" s="1047">
        <f t="shared" si="22"/>
        <v>0.4728</v>
      </c>
      <c r="Q283" s="1064"/>
      <c r="T283" s="1031"/>
    </row>
    <row r="284" spans="2:20">
      <c r="B284" s="1054"/>
      <c r="C284" s="1053" t="s">
        <v>1088</v>
      </c>
      <c r="D284" s="1052"/>
      <c r="E284" s="1052" t="s">
        <v>591</v>
      </c>
      <c r="F284" s="1052"/>
      <c r="G284" s="1052"/>
      <c r="H284" s="1052">
        <v>6</v>
      </c>
      <c r="I284" s="1051">
        <v>19.7</v>
      </c>
      <c r="J284" s="1050">
        <v>100</v>
      </c>
      <c r="K284" s="1049">
        <v>50</v>
      </c>
      <c r="L284" s="1049">
        <v>20</v>
      </c>
      <c r="M284" s="1049">
        <v>2</v>
      </c>
      <c r="N284" s="1048"/>
      <c r="O284" s="1047">
        <f t="shared" si="23"/>
        <v>3.2833333333333332</v>
      </c>
      <c r="P284" s="1047">
        <f t="shared" si="22"/>
        <v>0.47199999999999998</v>
      </c>
      <c r="Q284" s="1064"/>
      <c r="T284" s="1031"/>
    </row>
    <row r="285" spans="2:20">
      <c r="B285" s="1054"/>
      <c r="C285" s="1053" t="s">
        <v>1087</v>
      </c>
      <c r="D285" s="1052"/>
      <c r="E285" s="1052" t="s">
        <v>591</v>
      </c>
      <c r="F285" s="1052"/>
      <c r="G285" s="1052"/>
      <c r="H285" s="1052">
        <v>6</v>
      </c>
      <c r="I285" s="1051">
        <v>21.7</v>
      </c>
      <c r="J285" s="1050">
        <v>100</v>
      </c>
      <c r="K285" s="1049">
        <v>50</v>
      </c>
      <c r="L285" s="1049">
        <v>20</v>
      </c>
      <c r="M285" s="1049">
        <v>2.2000000000000002</v>
      </c>
      <c r="N285" s="1048"/>
      <c r="O285" s="1047">
        <f t="shared" si="23"/>
        <v>3.6166666666666667</v>
      </c>
      <c r="P285" s="1047">
        <f t="shared" si="22"/>
        <v>0.47120000000000001</v>
      </c>
      <c r="Q285" s="1064"/>
      <c r="T285" s="1031"/>
    </row>
    <row r="286" spans="2:20">
      <c r="B286" s="1054"/>
      <c r="C286" s="1053" t="s">
        <v>1086</v>
      </c>
      <c r="D286" s="1052"/>
      <c r="E286" s="1052" t="s">
        <v>591</v>
      </c>
      <c r="F286" s="1052"/>
      <c r="G286" s="1052"/>
      <c r="H286" s="1052">
        <v>6</v>
      </c>
      <c r="I286" s="1051">
        <v>26.4</v>
      </c>
      <c r="J286" s="1050">
        <v>100</v>
      </c>
      <c r="K286" s="1049">
        <v>50</v>
      </c>
      <c r="L286" s="1049">
        <v>20</v>
      </c>
      <c r="M286" s="1049">
        <v>2.7</v>
      </c>
      <c r="N286" s="1048"/>
      <c r="O286" s="1047">
        <f t="shared" si="23"/>
        <v>4.3999999999999995</v>
      </c>
      <c r="P286" s="1047">
        <f t="shared" si="22"/>
        <v>0.46920000000000001</v>
      </c>
      <c r="Q286" s="1064"/>
      <c r="T286" s="1031"/>
    </row>
    <row r="287" spans="2:20">
      <c r="B287" s="1054"/>
      <c r="C287" s="1053" t="s">
        <v>1085</v>
      </c>
      <c r="D287" s="1052"/>
      <c r="E287" s="1052" t="s">
        <v>591</v>
      </c>
      <c r="F287" s="1052"/>
      <c r="G287" s="1052"/>
      <c r="H287" s="1052">
        <v>6</v>
      </c>
      <c r="I287" s="1051">
        <v>27.6</v>
      </c>
      <c r="J287" s="1050">
        <v>100</v>
      </c>
      <c r="K287" s="1049">
        <v>50</v>
      </c>
      <c r="L287" s="1049">
        <v>20</v>
      </c>
      <c r="M287" s="1049">
        <v>2.8</v>
      </c>
      <c r="N287" s="1048"/>
      <c r="O287" s="1047">
        <f t="shared" si="23"/>
        <v>4.6000000000000005</v>
      </c>
      <c r="P287" s="1047">
        <f t="shared" si="22"/>
        <v>0.46879999999999999</v>
      </c>
      <c r="Q287" s="1064"/>
      <c r="T287" s="1031"/>
    </row>
    <row r="288" spans="2:20">
      <c r="B288" s="1054"/>
      <c r="C288" s="1053" t="s">
        <v>1084</v>
      </c>
      <c r="D288" s="1052"/>
      <c r="E288" s="1052" t="s">
        <v>591</v>
      </c>
      <c r="F288" s="1052"/>
      <c r="G288" s="1052"/>
      <c r="H288" s="1052">
        <v>6</v>
      </c>
      <c r="I288" s="1051">
        <v>29.5</v>
      </c>
      <c r="J288" s="1050">
        <v>100</v>
      </c>
      <c r="K288" s="1049">
        <v>50</v>
      </c>
      <c r="L288" s="1049">
        <v>20</v>
      </c>
      <c r="M288" s="1049">
        <v>3</v>
      </c>
      <c r="N288" s="1048"/>
      <c r="O288" s="1047">
        <f t="shared" si="23"/>
        <v>4.916666666666667</v>
      </c>
      <c r="P288" s="1047">
        <f t="shared" si="22"/>
        <v>0.46800000000000003</v>
      </c>
      <c r="Q288" s="1064"/>
      <c r="T288" s="1031"/>
    </row>
    <row r="289" spans="2:20">
      <c r="B289" s="1054"/>
      <c r="C289" s="1053" t="s">
        <v>1083</v>
      </c>
      <c r="D289" s="1052"/>
      <c r="E289" s="1052" t="s">
        <v>591</v>
      </c>
      <c r="F289" s="1052"/>
      <c r="G289" s="1052"/>
      <c r="H289" s="1052">
        <v>6</v>
      </c>
      <c r="I289" s="1051">
        <v>12.4</v>
      </c>
      <c r="J289" s="1050">
        <v>120</v>
      </c>
      <c r="K289" s="1049">
        <v>45</v>
      </c>
      <c r="L289" s="1049">
        <v>20</v>
      </c>
      <c r="M289" s="1049">
        <v>1.2</v>
      </c>
      <c r="N289" s="1048"/>
      <c r="O289" s="1047">
        <f t="shared" si="23"/>
        <v>2.0666666666666669</v>
      </c>
      <c r="P289" s="1047">
        <f t="shared" si="22"/>
        <v>0.49519999999999997</v>
      </c>
      <c r="Q289" s="1064"/>
      <c r="T289" s="1031"/>
    </row>
    <row r="290" spans="2:20">
      <c r="B290" s="1054"/>
      <c r="C290" s="1053" t="s">
        <v>1082</v>
      </c>
      <c r="D290" s="1052"/>
      <c r="E290" s="1052" t="s">
        <v>591</v>
      </c>
      <c r="F290" s="1052"/>
      <c r="G290" s="1052"/>
      <c r="H290" s="1052">
        <v>6</v>
      </c>
      <c r="I290" s="1051">
        <v>14.4</v>
      </c>
      <c r="J290" s="1050">
        <v>120</v>
      </c>
      <c r="K290" s="1049">
        <v>45</v>
      </c>
      <c r="L290" s="1049">
        <v>20</v>
      </c>
      <c r="M290" s="1049">
        <v>1.4</v>
      </c>
      <c r="N290" s="1048"/>
      <c r="O290" s="1047">
        <f t="shared" si="23"/>
        <v>2.4</v>
      </c>
      <c r="P290" s="1047">
        <f t="shared" si="22"/>
        <v>0.49439999999999995</v>
      </c>
      <c r="Q290" s="1064"/>
      <c r="T290" s="1031"/>
    </row>
    <row r="291" spans="2:20">
      <c r="B291" s="1054"/>
      <c r="C291" s="1053" t="s">
        <v>1081</v>
      </c>
      <c r="D291" s="1052"/>
      <c r="E291" s="1052" t="s">
        <v>591</v>
      </c>
      <c r="F291" s="1052"/>
      <c r="G291" s="1052"/>
      <c r="H291" s="1052">
        <v>6</v>
      </c>
      <c r="I291" s="1051">
        <v>16.5</v>
      </c>
      <c r="J291" s="1050">
        <v>120</v>
      </c>
      <c r="K291" s="1049">
        <v>45</v>
      </c>
      <c r="L291" s="1049">
        <v>20</v>
      </c>
      <c r="M291" s="1049">
        <v>1.6</v>
      </c>
      <c r="N291" s="1048"/>
      <c r="O291" s="1047">
        <f t="shared" si="23"/>
        <v>2.75</v>
      </c>
      <c r="P291" s="1047">
        <f t="shared" si="22"/>
        <v>0.49360000000000004</v>
      </c>
      <c r="Q291" s="1064"/>
      <c r="T291" s="1031"/>
    </row>
    <row r="292" spans="2:20">
      <c r="B292" s="1054"/>
      <c r="C292" s="1053" t="s">
        <v>1080</v>
      </c>
      <c r="D292" s="1052"/>
      <c r="E292" s="1052" t="s">
        <v>591</v>
      </c>
      <c r="F292" s="1052"/>
      <c r="G292" s="1052"/>
      <c r="H292" s="1052">
        <v>6</v>
      </c>
      <c r="I292" s="1051">
        <v>18.7</v>
      </c>
      <c r="J292" s="1050">
        <v>120</v>
      </c>
      <c r="K292" s="1049">
        <v>45</v>
      </c>
      <c r="L292" s="1049">
        <v>20</v>
      </c>
      <c r="M292" s="1049">
        <v>1.8</v>
      </c>
      <c r="N292" s="1048"/>
      <c r="O292" s="1047">
        <f t="shared" si="23"/>
        <v>3.1166666666666667</v>
      </c>
      <c r="P292" s="1047">
        <f t="shared" si="22"/>
        <v>0.49280000000000002</v>
      </c>
      <c r="Q292" s="1064"/>
      <c r="T292" s="1031"/>
    </row>
    <row r="293" spans="2:20">
      <c r="B293" s="1054"/>
      <c r="C293" s="1053" t="s">
        <v>1079</v>
      </c>
      <c r="D293" s="1052"/>
      <c r="E293" s="1052" t="s">
        <v>591</v>
      </c>
      <c r="F293" s="1052"/>
      <c r="G293" s="1052"/>
      <c r="H293" s="1052">
        <v>6</v>
      </c>
      <c r="I293" s="1051">
        <v>20.7</v>
      </c>
      <c r="J293" s="1050">
        <v>120</v>
      </c>
      <c r="K293" s="1049">
        <v>45</v>
      </c>
      <c r="L293" s="1049">
        <v>20</v>
      </c>
      <c r="M293" s="1049">
        <v>2</v>
      </c>
      <c r="N293" s="1048"/>
      <c r="O293" s="1047">
        <f t="shared" si="23"/>
        <v>3.4499999999999997</v>
      </c>
      <c r="P293" s="1047">
        <f t="shared" si="22"/>
        <v>0.49199999999999999</v>
      </c>
      <c r="Q293" s="1064"/>
      <c r="T293" s="1031"/>
    </row>
    <row r="294" spans="2:20">
      <c r="B294" s="1054"/>
      <c r="C294" s="1053" t="s">
        <v>1078</v>
      </c>
      <c r="D294" s="1052"/>
      <c r="E294" s="1052" t="s">
        <v>591</v>
      </c>
      <c r="F294" s="1052"/>
      <c r="G294" s="1052"/>
      <c r="H294" s="1052">
        <v>6</v>
      </c>
      <c r="I294" s="1051">
        <v>22.7</v>
      </c>
      <c r="J294" s="1050">
        <v>120</v>
      </c>
      <c r="K294" s="1049">
        <v>45</v>
      </c>
      <c r="L294" s="1049">
        <v>20</v>
      </c>
      <c r="M294" s="1049">
        <v>2.2000000000000002</v>
      </c>
      <c r="N294" s="1048"/>
      <c r="O294" s="1047">
        <f t="shared" si="23"/>
        <v>3.7833333333333332</v>
      </c>
      <c r="P294" s="1047">
        <f t="shared" si="22"/>
        <v>0.49119999999999997</v>
      </c>
      <c r="Q294" s="1064"/>
      <c r="T294" s="1031"/>
    </row>
    <row r="295" spans="2:20">
      <c r="B295" s="1054"/>
      <c r="C295" s="1053" t="s">
        <v>1077</v>
      </c>
      <c r="D295" s="1052"/>
      <c r="E295" s="1052" t="s">
        <v>591</v>
      </c>
      <c r="F295" s="1052"/>
      <c r="G295" s="1052"/>
      <c r="H295" s="1052">
        <v>6</v>
      </c>
      <c r="I295" s="1051">
        <v>13.7</v>
      </c>
      <c r="J295" s="1050">
        <v>125</v>
      </c>
      <c r="K295" s="1049">
        <v>50</v>
      </c>
      <c r="L295" s="1049">
        <v>20</v>
      </c>
      <c r="M295" s="1049">
        <v>1.2</v>
      </c>
      <c r="N295" s="1048"/>
      <c r="O295" s="1047">
        <f t="shared" si="23"/>
        <v>2.2833333333333332</v>
      </c>
      <c r="P295" s="1047">
        <f t="shared" si="22"/>
        <v>0.5252</v>
      </c>
      <c r="Q295" s="1064"/>
      <c r="T295" s="1031"/>
    </row>
    <row r="296" spans="2:20">
      <c r="B296" s="1054"/>
      <c r="C296" s="1053" t="s">
        <v>1076</v>
      </c>
      <c r="D296" s="1052"/>
      <c r="E296" s="1052" t="s">
        <v>591</v>
      </c>
      <c r="F296" s="1052"/>
      <c r="G296" s="1052"/>
      <c r="H296" s="1052">
        <v>6</v>
      </c>
      <c r="I296" s="1051">
        <v>15.9</v>
      </c>
      <c r="J296" s="1050">
        <v>125</v>
      </c>
      <c r="K296" s="1049">
        <v>50</v>
      </c>
      <c r="L296" s="1049">
        <v>20</v>
      </c>
      <c r="M296" s="1049">
        <v>1.4</v>
      </c>
      <c r="N296" s="1048"/>
      <c r="O296" s="1047">
        <f t="shared" si="23"/>
        <v>2.65</v>
      </c>
      <c r="P296" s="1047">
        <f t="shared" si="22"/>
        <v>0.52439999999999998</v>
      </c>
      <c r="Q296" s="1064"/>
      <c r="T296" s="1031"/>
    </row>
    <row r="297" spans="2:20">
      <c r="B297" s="1054"/>
      <c r="C297" s="1053" t="s">
        <v>1075</v>
      </c>
      <c r="D297" s="1052"/>
      <c r="E297" s="1052" t="s">
        <v>591</v>
      </c>
      <c r="F297" s="1052"/>
      <c r="G297" s="1052"/>
      <c r="H297" s="1052">
        <v>6</v>
      </c>
      <c r="I297" s="1051">
        <v>18.2</v>
      </c>
      <c r="J297" s="1050">
        <v>125</v>
      </c>
      <c r="K297" s="1049">
        <v>50</v>
      </c>
      <c r="L297" s="1049">
        <v>20</v>
      </c>
      <c r="M297" s="1049">
        <v>1.6</v>
      </c>
      <c r="N297" s="1048"/>
      <c r="O297" s="1047">
        <f t="shared" si="23"/>
        <v>3.0333333333333332</v>
      </c>
      <c r="P297" s="1047">
        <f t="shared" si="22"/>
        <v>0.52360000000000007</v>
      </c>
      <c r="Q297" s="1064"/>
      <c r="T297" s="1031"/>
    </row>
    <row r="298" spans="2:20">
      <c r="B298" s="1054"/>
      <c r="C298" s="1053" t="s">
        <v>1074</v>
      </c>
      <c r="D298" s="1052"/>
      <c r="E298" s="1052" t="s">
        <v>591</v>
      </c>
      <c r="F298" s="1052"/>
      <c r="G298" s="1052"/>
      <c r="H298" s="1052">
        <v>6</v>
      </c>
      <c r="I298" s="1051">
        <v>20.399999999999999</v>
      </c>
      <c r="J298" s="1050">
        <v>125</v>
      </c>
      <c r="K298" s="1049">
        <v>50</v>
      </c>
      <c r="L298" s="1049">
        <v>20</v>
      </c>
      <c r="M298" s="1049">
        <v>1.8</v>
      </c>
      <c r="N298" s="1048"/>
      <c r="O298" s="1047">
        <f t="shared" si="23"/>
        <v>3.4</v>
      </c>
      <c r="P298" s="1047">
        <f t="shared" si="22"/>
        <v>0.52279999999999993</v>
      </c>
      <c r="Q298" s="1064"/>
      <c r="T298" s="1031"/>
    </row>
    <row r="299" spans="2:20">
      <c r="B299" s="1054"/>
      <c r="C299" s="1053" t="s">
        <v>1073</v>
      </c>
      <c r="D299" s="1052"/>
      <c r="E299" s="1052" t="s">
        <v>591</v>
      </c>
      <c r="F299" s="1052"/>
      <c r="G299" s="1052"/>
      <c r="H299" s="1052">
        <v>6</v>
      </c>
      <c r="I299" s="1051">
        <v>22.7</v>
      </c>
      <c r="J299" s="1050">
        <v>125</v>
      </c>
      <c r="K299" s="1049">
        <v>50</v>
      </c>
      <c r="L299" s="1049">
        <v>20</v>
      </c>
      <c r="M299" s="1049">
        <v>2</v>
      </c>
      <c r="N299" s="1048"/>
      <c r="O299" s="1047">
        <f t="shared" si="23"/>
        <v>3.7833333333333332</v>
      </c>
      <c r="P299" s="1047">
        <f t="shared" si="22"/>
        <v>0.52200000000000002</v>
      </c>
      <c r="Q299" s="1064"/>
      <c r="T299" s="1031"/>
    </row>
    <row r="300" spans="2:20">
      <c r="B300" s="1054"/>
      <c r="C300" s="1053" t="s">
        <v>1072</v>
      </c>
      <c r="D300" s="1052"/>
      <c r="E300" s="1052" t="s">
        <v>591</v>
      </c>
      <c r="F300" s="1052"/>
      <c r="G300" s="1052"/>
      <c r="H300" s="1052">
        <v>6</v>
      </c>
      <c r="I300" s="1051">
        <v>24.9</v>
      </c>
      <c r="J300" s="1050">
        <v>125</v>
      </c>
      <c r="K300" s="1049">
        <v>50</v>
      </c>
      <c r="L300" s="1049">
        <v>20</v>
      </c>
      <c r="M300" s="1049">
        <v>2.2000000000000002</v>
      </c>
      <c r="N300" s="1048"/>
      <c r="O300" s="1047">
        <f t="shared" si="23"/>
        <v>4.1499999999999995</v>
      </c>
      <c r="P300" s="1047">
        <f t="shared" si="22"/>
        <v>0.5212</v>
      </c>
      <c r="Q300" s="1064"/>
      <c r="T300" s="1031"/>
    </row>
    <row r="301" spans="2:20">
      <c r="B301" s="1054"/>
      <c r="C301" s="1053" t="s">
        <v>1071</v>
      </c>
      <c r="D301" s="1052"/>
      <c r="E301" s="1052" t="s">
        <v>591</v>
      </c>
      <c r="F301" s="1052"/>
      <c r="G301" s="1052"/>
      <c r="H301" s="1052">
        <v>6</v>
      </c>
      <c r="I301" s="1051">
        <v>30.5</v>
      </c>
      <c r="J301" s="1050">
        <v>125</v>
      </c>
      <c r="K301" s="1049">
        <v>50</v>
      </c>
      <c r="L301" s="1049">
        <v>20</v>
      </c>
      <c r="M301" s="1049">
        <v>2.7</v>
      </c>
      <c r="N301" s="1048"/>
      <c r="O301" s="1047">
        <f t="shared" si="23"/>
        <v>5.083333333333333</v>
      </c>
      <c r="P301" s="1047">
        <f t="shared" si="22"/>
        <v>0.51919999999999999</v>
      </c>
      <c r="Q301" s="1064"/>
      <c r="T301" s="1031"/>
    </row>
    <row r="302" spans="2:20">
      <c r="B302" s="1054"/>
      <c r="C302" s="1053" t="s">
        <v>1070</v>
      </c>
      <c r="D302" s="1052"/>
      <c r="E302" s="1052" t="s">
        <v>591</v>
      </c>
      <c r="F302" s="1052"/>
      <c r="G302" s="1052"/>
      <c r="H302" s="1052">
        <v>6</v>
      </c>
      <c r="I302" s="1051">
        <v>31.6</v>
      </c>
      <c r="J302" s="1050">
        <v>125</v>
      </c>
      <c r="K302" s="1049">
        <v>50</v>
      </c>
      <c r="L302" s="1049">
        <v>20</v>
      </c>
      <c r="M302" s="1049">
        <v>2.8</v>
      </c>
      <c r="N302" s="1048"/>
      <c r="O302" s="1047">
        <f t="shared" si="23"/>
        <v>5.2666666666666666</v>
      </c>
      <c r="P302" s="1047">
        <f t="shared" si="22"/>
        <v>0.51879999999999993</v>
      </c>
      <c r="Q302" s="1064"/>
      <c r="T302" s="1031"/>
    </row>
    <row r="303" spans="2:20">
      <c r="B303" s="1054"/>
      <c r="C303" s="1053" t="s">
        <v>1069</v>
      </c>
      <c r="D303" s="1052"/>
      <c r="E303" s="1052" t="s">
        <v>591</v>
      </c>
      <c r="F303" s="1052"/>
      <c r="G303" s="1052"/>
      <c r="H303" s="1052">
        <v>6</v>
      </c>
      <c r="I303" s="1051">
        <v>33.85</v>
      </c>
      <c r="J303" s="1050">
        <v>125</v>
      </c>
      <c r="K303" s="1049">
        <v>50</v>
      </c>
      <c r="L303" s="1049">
        <v>20</v>
      </c>
      <c r="M303" s="1049">
        <v>3</v>
      </c>
      <c r="N303" s="1048"/>
      <c r="O303" s="1047">
        <f t="shared" si="23"/>
        <v>5.6416666666666666</v>
      </c>
      <c r="P303" s="1047">
        <f t="shared" si="22"/>
        <v>0.51800000000000002</v>
      </c>
      <c r="Q303" s="1064"/>
      <c r="T303" s="1031"/>
    </row>
    <row r="304" spans="2:20">
      <c r="B304" s="1054"/>
      <c r="C304" s="1053" t="s">
        <v>1068</v>
      </c>
      <c r="D304" s="1052"/>
      <c r="E304" s="1052" t="s">
        <v>591</v>
      </c>
      <c r="F304" s="1052"/>
      <c r="G304" s="1052"/>
      <c r="H304" s="1052">
        <v>6</v>
      </c>
      <c r="I304" s="1051">
        <v>14.9</v>
      </c>
      <c r="J304" s="1050">
        <v>150</v>
      </c>
      <c r="K304" s="1049">
        <v>50</v>
      </c>
      <c r="L304" s="1049">
        <v>20</v>
      </c>
      <c r="M304" s="1049">
        <v>1.2</v>
      </c>
      <c r="N304" s="1048"/>
      <c r="O304" s="1047">
        <f t="shared" si="23"/>
        <v>2.4833333333333334</v>
      </c>
      <c r="P304" s="1047">
        <f t="shared" si="22"/>
        <v>0.57520000000000004</v>
      </c>
      <c r="Q304" s="1064"/>
      <c r="T304" s="1031"/>
    </row>
    <row r="305" spans="2:20">
      <c r="B305" s="1054"/>
      <c r="C305" s="1053" t="s">
        <v>1067</v>
      </c>
      <c r="D305" s="1052"/>
      <c r="E305" s="1052" t="s">
        <v>591</v>
      </c>
      <c r="F305" s="1052"/>
      <c r="G305" s="1052"/>
      <c r="H305" s="1052">
        <v>6</v>
      </c>
      <c r="I305" s="1051">
        <v>17.5</v>
      </c>
      <c r="J305" s="1050">
        <v>150</v>
      </c>
      <c r="K305" s="1049">
        <v>50</v>
      </c>
      <c r="L305" s="1049">
        <v>20</v>
      </c>
      <c r="M305" s="1049">
        <v>1.4</v>
      </c>
      <c r="N305" s="1048"/>
      <c r="O305" s="1047">
        <f t="shared" si="23"/>
        <v>2.9166666666666665</v>
      </c>
      <c r="P305" s="1047">
        <f t="shared" si="22"/>
        <v>0.57440000000000002</v>
      </c>
      <c r="Q305" s="1064"/>
      <c r="T305" s="1031"/>
    </row>
    <row r="306" spans="2:20">
      <c r="B306" s="1054"/>
      <c r="C306" s="1053" t="s">
        <v>1066</v>
      </c>
      <c r="D306" s="1052"/>
      <c r="E306" s="1052" t="s">
        <v>591</v>
      </c>
      <c r="F306" s="1052"/>
      <c r="G306" s="1052"/>
      <c r="H306" s="1052">
        <v>6</v>
      </c>
      <c r="I306" s="1051">
        <v>19.899999999999999</v>
      </c>
      <c r="J306" s="1050">
        <v>150</v>
      </c>
      <c r="K306" s="1049">
        <v>50</v>
      </c>
      <c r="L306" s="1049">
        <v>20</v>
      </c>
      <c r="M306" s="1049">
        <v>1.6</v>
      </c>
      <c r="N306" s="1048"/>
      <c r="O306" s="1047">
        <f t="shared" si="23"/>
        <v>3.3166666666666664</v>
      </c>
      <c r="P306" s="1047">
        <f t="shared" si="22"/>
        <v>0.5736</v>
      </c>
      <c r="Q306" s="1064"/>
      <c r="T306" s="1031"/>
    </row>
    <row r="307" spans="2:20">
      <c r="B307" s="1054"/>
      <c r="C307" s="1053" t="s">
        <v>1065</v>
      </c>
      <c r="D307" s="1052"/>
      <c r="E307" s="1052" t="s">
        <v>591</v>
      </c>
      <c r="F307" s="1052"/>
      <c r="G307" s="1052"/>
      <c r="H307" s="1052">
        <v>6</v>
      </c>
      <c r="I307" s="1051">
        <v>22.4</v>
      </c>
      <c r="J307" s="1050">
        <v>150</v>
      </c>
      <c r="K307" s="1049">
        <v>50</v>
      </c>
      <c r="L307" s="1049">
        <v>20</v>
      </c>
      <c r="M307" s="1049">
        <v>1.8</v>
      </c>
      <c r="N307" s="1048"/>
      <c r="O307" s="1047">
        <f t="shared" si="23"/>
        <v>3.7333333333333329</v>
      </c>
      <c r="P307" s="1047">
        <f t="shared" si="22"/>
        <v>0.57279999999999998</v>
      </c>
      <c r="Q307" s="1064"/>
      <c r="T307" s="1031"/>
    </row>
    <row r="308" spans="2:20">
      <c r="B308" s="1054"/>
      <c r="C308" s="1053" t="s">
        <v>1064</v>
      </c>
      <c r="D308" s="1052"/>
      <c r="E308" s="1052" t="s">
        <v>591</v>
      </c>
      <c r="F308" s="1052"/>
      <c r="G308" s="1052"/>
      <c r="H308" s="1052">
        <v>6</v>
      </c>
      <c r="I308" s="1051">
        <v>24.9</v>
      </c>
      <c r="J308" s="1050">
        <v>150</v>
      </c>
      <c r="K308" s="1049">
        <v>50</v>
      </c>
      <c r="L308" s="1049">
        <v>20</v>
      </c>
      <c r="M308" s="1049">
        <v>2</v>
      </c>
      <c r="N308" s="1048"/>
      <c r="O308" s="1047">
        <f t="shared" si="23"/>
        <v>4.1499999999999995</v>
      </c>
      <c r="P308" s="1047">
        <f t="shared" si="22"/>
        <v>0.57199999999999995</v>
      </c>
      <c r="Q308" s="1064"/>
      <c r="T308" s="1031"/>
    </row>
    <row r="309" spans="2:20">
      <c r="B309" s="1054"/>
      <c r="C309" s="1053" t="s">
        <v>1063</v>
      </c>
      <c r="D309" s="1052"/>
      <c r="E309" s="1052" t="s">
        <v>591</v>
      </c>
      <c r="F309" s="1052"/>
      <c r="G309" s="1052"/>
      <c r="H309" s="1052">
        <v>6</v>
      </c>
      <c r="I309" s="1051">
        <v>27.3</v>
      </c>
      <c r="J309" s="1050">
        <v>150</v>
      </c>
      <c r="K309" s="1049">
        <v>50</v>
      </c>
      <c r="L309" s="1049">
        <v>20</v>
      </c>
      <c r="M309" s="1049">
        <v>2.2000000000000002</v>
      </c>
      <c r="N309" s="1048"/>
      <c r="O309" s="1047">
        <f t="shared" si="23"/>
        <v>4.55</v>
      </c>
      <c r="P309" s="1047">
        <f t="shared" ref="P309:P321" si="24">(2*J309+4*K309+4*L309-4*M309)*1/1000</f>
        <v>0.57120000000000004</v>
      </c>
      <c r="Q309" s="1064"/>
      <c r="T309" s="1031"/>
    </row>
    <row r="310" spans="2:20">
      <c r="B310" s="1054"/>
      <c r="C310" s="1053" t="s">
        <v>1062</v>
      </c>
      <c r="D310" s="1052"/>
      <c r="E310" s="1052" t="s">
        <v>591</v>
      </c>
      <c r="F310" s="1052"/>
      <c r="G310" s="1052"/>
      <c r="H310" s="1052">
        <v>6</v>
      </c>
      <c r="I310" s="1051">
        <v>33.4</v>
      </c>
      <c r="J310" s="1050">
        <v>150</v>
      </c>
      <c r="K310" s="1049">
        <v>50</v>
      </c>
      <c r="L310" s="1049">
        <v>20</v>
      </c>
      <c r="M310" s="1049">
        <v>2.7</v>
      </c>
      <c r="N310" s="1048"/>
      <c r="O310" s="1047">
        <f t="shared" si="23"/>
        <v>5.5666666666666664</v>
      </c>
      <c r="P310" s="1047">
        <f t="shared" si="24"/>
        <v>0.56920000000000004</v>
      </c>
      <c r="Q310" s="1064"/>
      <c r="T310" s="1031"/>
    </row>
    <row r="311" spans="2:20">
      <c r="B311" s="1054"/>
      <c r="C311" s="1053" t="s">
        <v>1061</v>
      </c>
      <c r="D311" s="1052"/>
      <c r="E311" s="1052" t="s">
        <v>591</v>
      </c>
      <c r="F311" s="1052"/>
      <c r="G311" s="1052"/>
      <c r="H311" s="1052">
        <v>6</v>
      </c>
      <c r="I311" s="1051">
        <v>34.799999999999997</v>
      </c>
      <c r="J311" s="1050">
        <v>150</v>
      </c>
      <c r="K311" s="1049">
        <v>50</v>
      </c>
      <c r="L311" s="1049">
        <v>20</v>
      </c>
      <c r="M311" s="1049">
        <v>2.8</v>
      </c>
      <c r="N311" s="1048"/>
      <c r="O311" s="1047">
        <f t="shared" si="23"/>
        <v>5.8</v>
      </c>
      <c r="P311" s="1047">
        <f t="shared" si="24"/>
        <v>0.56879999999999997</v>
      </c>
      <c r="Q311" s="1064"/>
      <c r="T311" s="1031"/>
    </row>
    <row r="312" spans="2:20">
      <c r="B312" s="1054"/>
      <c r="C312" s="1053" t="s">
        <v>1060</v>
      </c>
      <c r="D312" s="1052"/>
      <c r="E312" s="1052" t="s">
        <v>591</v>
      </c>
      <c r="F312" s="1052"/>
      <c r="G312" s="1052"/>
      <c r="H312" s="1052">
        <v>6</v>
      </c>
      <c r="I312" s="1051">
        <v>37.299999999999997</v>
      </c>
      <c r="J312" s="1050">
        <v>150</v>
      </c>
      <c r="K312" s="1049">
        <v>50</v>
      </c>
      <c r="L312" s="1049">
        <v>20</v>
      </c>
      <c r="M312" s="1049">
        <v>3</v>
      </c>
      <c r="N312" s="1048"/>
      <c r="O312" s="1047">
        <f t="shared" si="23"/>
        <v>6.2166666666666659</v>
      </c>
      <c r="P312" s="1047">
        <f t="shared" si="24"/>
        <v>0.56799999999999995</v>
      </c>
      <c r="Q312" s="1064"/>
      <c r="T312" s="1031"/>
    </row>
    <row r="313" spans="2:20">
      <c r="B313" s="1054"/>
      <c r="C313" s="1053" t="s">
        <v>1059</v>
      </c>
      <c r="D313" s="1052"/>
      <c r="E313" s="1052" t="s">
        <v>591</v>
      </c>
      <c r="F313" s="1052"/>
      <c r="G313" s="1052"/>
      <c r="H313" s="1052">
        <v>6</v>
      </c>
      <c r="I313" s="1051">
        <v>23.8</v>
      </c>
      <c r="J313" s="1050">
        <v>150</v>
      </c>
      <c r="K313" s="1049">
        <v>65</v>
      </c>
      <c r="L313" s="1049">
        <v>20</v>
      </c>
      <c r="M313" s="1049">
        <v>1.6</v>
      </c>
      <c r="N313" s="1048"/>
      <c r="O313" s="1047">
        <f t="shared" ref="O313:O344" si="25">I313/H313</f>
        <v>3.9666666666666668</v>
      </c>
      <c r="P313" s="1047">
        <f t="shared" si="24"/>
        <v>0.63360000000000005</v>
      </c>
      <c r="Q313" s="1064"/>
      <c r="T313" s="1031"/>
    </row>
    <row r="314" spans="2:20">
      <c r="B314" s="1054"/>
      <c r="C314" s="1053" t="s">
        <v>1058</v>
      </c>
      <c r="D314" s="1052"/>
      <c r="F314" s="1052"/>
      <c r="G314" s="1052"/>
      <c r="H314" s="1052">
        <v>6</v>
      </c>
      <c r="I314" s="1051">
        <v>23.8</v>
      </c>
      <c r="J314" s="1050">
        <v>150</v>
      </c>
      <c r="K314" s="1049">
        <v>65</v>
      </c>
      <c r="L314" s="1049">
        <v>20</v>
      </c>
      <c r="M314" s="1049">
        <v>1.8</v>
      </c>
      <c r="N314" s="1048"/>
      <c r="O314" s="1047">
        <f t="shared" si="25"/>
        <v>3.9666666666666668</v>
      </c>
      <c r="P314" s="1047">
        <f t="shared" si="24"/>
        <v>0.63279999999999992</v>
      </c>
      <c r="Q314" s="1064"/>
      <c r="T314" s="1031"/>
    </row>
    <row r="315" spans="2:20">
      <c r="B315" s="1054"/>
      <c r="C315" s="1053" t="s">
        <v>1057</v>
      </c>
      <c r="D315" s="1052"/>
      <c r="E315" s="1052" t="s">
        <v>591</v>
      </c>
      <c r="F315" s="1052"/>
      <c r="G315" s="1052"/>
      <c r="H315" s="1052">
        <v>6</v>
      </c>
      <c r="I315" s="1051">
        <v>27.8</v>
      </c>
      <c r="J315" s="1050">
        <v>150</v>
      </c>
      <c r="K315" s="1049">
        <v>65</v>
      </c>
      <c r="L315" s="1049">
        <v>20</v>
      </c>
      <c r="M315" s="1049">
        <v>2</v>
      </c>
      <c r="N315" s="1048"/>
      <c r="O315" s="1047">
        <f t="shared" si="25"/>
        <v>4.6333333333333337</v>
      </c>
      <c r="P315" s="1047">
        <f t="shared" si="24"/>
        <v>0.63200000000000001</v>
      </c>
      <c r="Q315" s="1064"/>
      <c r="T315" s="1031"/>
    </row>
    <row r="316" spans="2:20">
      <c r="B316" s="1054"/>
      <c r="C316" s="1053" t="s">
        <v>1056</v>
      </c>
      <c r="D316" s="1052"/>
      <c r="E316" s="1052" t="s">
        <v>591</v>
      </c>
      <c r="F316" s="1052"/>
      <c r="G316" s="1052"/>
      <c r="H316" s="1052">
        <v>6</v>
      </c>
      <c r="I316" s="1051">
        <v>30.4</v>
      </c>
      <c r="J316" s="1050">
        <v>150</v>
      </c>
      <c r="K316" s="1049">
        <v>65</v>
      </c>
      <c r="L316" s="1049">
        <v>20</v>
      </c>
      <c r="M316" s="1049">
        <v>2.2000000000000002</v>
      </c>
      <c r="N316" s="1048"/>
      <c r="O316" s="1047">
        <f t="shared" si="25"/>
        <v>5.0666666666666664</v>
      </c>
      <c r="P316" s="1047">
        <f t="shared" si="24"/>
        <v>0.63120000000000009</v>
      </c>
      <c r="Q316" s="1064"/>
      <c r="T316" s="1031"/>
    </row>
    <row r="317" spans="2:20">
      <c r="B317" s="1054"/>
      <c r="C317" s="1053" t="s">
        <v>1055</v>
      </c>
      <c r="D317" s="1052"/>
      <c r="E317" s="1052" t="s">
        <v>591</v>
      </c>
      <c r="F317" s="1052"/>
      <c r="G317" s="1052"/>
      <c r="H317" s="1052">
        <v>6</v>
      </c>
      <c r="I317" s="1051">
        <v>37.200000000000003</v>
      </c>
      <c r="J317" s="1050">
        <v>150</v>
      </c>
      <c r="K317" s="1049">
        <v>65</v>
      </c>
      <c r="L317" s="1049">
        <v>20</v>
      </c>
      <c r="M317" s="1049">
        <v>2.7</v>
      </c>
      <c r="N317" s="1048"/>
      <c r="O317" s="1047">
        <f t="shared" si="25"/>
        <v>6.2</v>
      </c>
      <c r="P317" s="1047">
        <f t="shared" si="24"/>
        <v>0.62920000000000009</v>
      </c>
      <c r="Q317" s="1064"/>
      <c r="T317" s="1031"/>
    </row>
    <row r="318" spans="2:20">
      <c r="B318" s="1054"/>
      <c r="C318" s="1053" t="s">
        <v>1054</v>
      </c>
      <c r="D318" s="1052"/>
      <c r="E318" s="1052" t="s">
        <v>591</v>
      </c>
      <c r="F318" s="1052"/>
      <c r="G318" s="1052"/>
      <c r="H318" s="1052">
        <v>6</v>
      </c>
      <c r="I318" s="1051">
        <v>38.6</v>
      </c>
      <c r="J318" s="1050">
        <v>150</v>
      </c>
      <c r="K318" s="1049">
        <v>65</v>
      </c>
      <c r="L318" s="1049">
        <v>20</v>
      </c>
      <c r="M318" s="1049">
        <v>2.8</v>
      </c>
      <c r="N318" s="1048"/>
      <c r="O318" s="1047">
        <f t="shared" si="25"/>
        <v>6.4333333333333336</v>
      </c>
      <c r="P318" s="1047">
        <f t="shared" si="24"/>
        <v>0.62879999999999991</v>
      </c>
      <c r="Q318" s="1064"/>
      <c r="T318" s="1031"/>
    </row>
    <row r="319" spans="2:20">
      <c r="B319" s="1054"/>
      <c r="C319" s="1053" t="s">
        <v>1053</v>
      </c>
      <c r="D319" s="1052"/>
      <c r="E319" s="1052" t="s">
        <v>591</v>
      </c>
      <c r="F319" s="1052"/>
      <c r="G319" s="1052"/>
      <c r="H319" s="1052">
        <v>6</v>
      </c>
      <c r="I319" s="1051">
        <v>41.4</v>
      </c>
      <c r="J319" s="1050">
        <v>150</v>
      </c>
      <c r="K319" s="1049">
        <v>65</v>
      </c>
      <c r="L319" s="1049">
        <v>20</v>
      </c>
      <c r="M319" s="1049">
        <v>3</v>
      </c>
      <c r="N319" s="1048"/>
      <c r="O319" s="1047">
        <f t="shared" si="25"/>
        <v>6.8999999999999995</v>
      </c>
      <c r="P319" s="1047">
        <f t="shared" si="24"/>
        <v>0.628</v>
      </c>
      <c r="Q319" s="1064"/>
      <c r="T319" s="1031"/>
    </row>
    <row r="320" spans="2:20">
      <c r="B320" s="1054"/>
      <c r="C320" s="1053" t="s">
        <v>1052</v>
      </c>
      <c r="D320" s="1052"/>
      <c r="E320" s="1052" t="s">
        <v>591</v>
      </c>
      <c r="F320" s="1052"/>
      <c r="G320" s="1052"/>
      <c r="H320" s="1052">
        <v>6</v>
      </c>
      <c r="I320" s="1051">
        <v>35.6</v>
      </c>
      <c r="J320" s="1050">
        <v>200</v>
      </c>
      <c r="K320" s="1049">
        <v>75</v>
      </c>
      <c r="L320" s="1049">
        <v>20</v>
      </c>
      <c r="M320" s="1049">
        <v>2</v>
      </c>
      <c r="N320" s="1048"/>
      <c r="O320" s="1047">
        <f t="shared" si="25"/>
        <v>5.9333333333333336</v>
      </c>
      <c r="P320" s="1047">
        <f t="shared" si="24"/>
        <v>0.77200000000000002</v>
      </c>
      <c r="Q320" s="1064"/>
      <c r="T320" s="1031"/>
    </row>
    <row r="321" spans="2:20">
      <c r="B321" s="1054"/>
      <c r="C321" s="1053" t="s">
        <v>1051</v>
      </c>
      <c r="D321" s="1052"/>
      <c r="E321" s="1052" t="s">
        <v>591</v>
      </c>
      <c r="F321" s="1052"/>
      <c r="G321" s="1052"/>
      <c r="H321" s="1052">
        <v>6</v>
      </c>
      <c r="I321" s="1051">
        <v>53.4</v>
      </c>
      <c r="J321" s="1050">
        <v>200</v>
      </c>
      <c r="K321" s="1049">
        <v>75</v>
      </c>
      <c r="L321" s="1049">
        <v>20</v>
      </c>
      <c r="M321" s="1049">
        <v>3</v>
      </c>
      <c r="N321" s="1048"/>
      <c r="O321" s="1047">
        <f t="shared" si="25"/>
        <v>8.9</v>
      </c>
      <c r="P321" s="1047">
        <f t="shared" si="24"/>
        <v>0.76800000000000002</v>
      </c>
      <c r="Q321" s="1064"/>
      <c r="T321" s="1031"/>
    </row>
    <row r="322" spans="2:20">
      <c r="B322" s="1054" t="s">
        <v>1013</v>
      </c>
      <c r="C322" s="1053" t="s">
        <v>1050</v>
      </c>
      <c r="D322" s="1052"/>
      <c r="E322" s="1052" t="s">
        <v>595</v>
      </c>
      <c r="F322" s="1052" t="s">
        <v>1040</v>
      </c>
      <c r="G322" s="1052"/>
      <c r="H322" s="1052">
        <v>6</v>
      </c>
      <c r="I322" s="1051">
        <v>31</v>
      </c>
      <c r="J322" s="1050">
        <v>50</v>
      </c>
      <c r="K322" s="1049">
        <v>38</v>
      </c>
      <c r="L322" s="1049">
        <v>5</v>
      </c>
      <c r="M322" s="1049"/>
      <c r="N322" s="1048"/>
      <c r="O322" s="1047">
        <f t="shared" si="25"/>
        <v>5.166666666666667</v>
      </c>
      <c r="P322" s="1047">
        <f t="shared" ref="P322:P353" si="26">(2*J322+4*K322-2*L322)*1/1000</f>
        <v>0.24199999999999999</v>
      </c>
      <c r="Q322" s="1064"/>
      <c r="T322" s="1031"/>
    </row>
    <row r="323" spans="2:20">
      <c r="B323" s="1054"/>
      <c r="C323" s="1053" t="s">
        <v>1049</v>
      </c>
      <c r="D323" s="1052"/>
      <c r="E323" s="1052" t="s">
        <v>595</v>
      </c>
      <c r="F323" s="1052" t="s">
        <v>1040</v>
      </c>
      <c r="G323" s="1052"/>
      <c r="H323" s="1052">
        <v>6</v>
      </c>
      <c r="I323" s="1051">
        <v>42</v>
      </c>
      <c r="J323" s="1050">
        <v>65</v>
      </c>
      <c r="K323" s="1049">
        <v>42</v>
      </c>
      <c r="L323" s="1049">
        <v>5</v>
      </c>
      <c r="M323" s="1049"/>
      <c r="N323" s="1048"/>
      <c r="O323" s="1047">
        <f t="shared" si="25"/>
        <v>7</v>
      </c>
      <c r="P323" s="1047">
        <f t="shared" si="26"/>
        <v>0.28799999999999998</v>
      </c>
      <c r="Q323" s="1064"/>
      <c r="T323" s="1031"/>
    </row>
    <row r="324" spans="2:20">
      <c r="B324" s="1054"/>
      <c r="C324" s="1053" t="s">
        <v>1048</v>
      </c>
      <c r="D324" s="1052"/>
      <c r="E324" s="1052" t="s">
        <v>595</v>
      </c>
      <c r="F324" s="1052" t="s">
        <v>1040</v>
      </c>
      <c r="G324" s="1052"/>
      <c r="H324" s="1052">
        <v>6</v>
      </c>
      <c r="I324" s="1051">
        <v>45.52</v>
      </c>
      <c r="J324" s="1050">
        <v>75</v>
      </c>
      <c r="K324" s="1049">
        <v>40</v>
      </c>
      <c r="L324" s="1049">
        <v>5</v>
      </c>
      <c r="M324" s="1049"/>
      <c r="N324" s="1048"/>
      <c r="O324" s="1047">
        <f t="shared" si="25"/>
        <v>7.5866666666666669</v>
      </c>
      <c r="P324" s="1047">
        <f t="shared" si="26"/>
        <v>0.3</v>
      </c>
      <c r="Q324" s="1064"/>
      <c r="T324" s="1031"/>
    </row>
    <row r="325" spans="2:20">
      <c r="B325" s="1054"/>
      <c r="C325" s="1053" t="s">
        <v>1047</v>
      </c>
      <c r="D325" s="1052" t="s">
        <v>1036</v>
      </c>
      <c r="E325" s="1052" t="s">
        <v>591</v>
      </c>
      <c r="F325" s="1052"/>
      <c r="G325" s="1052"/>
      <c r="H325" s="1052">
        <v>6</v>
      </c>
      <c r="I325" s="1051">
        <v>47.76</v>
      </c>
      <c r="J325" s="1050">
        <v>80</v>
      </c>
      <c r="K325" s="1049">
        <v>45</v>
      </c>
      <c r="L325" s="1049">
        <v>5</v>
      </c>
      <c r="M325" s="1049"/>
      <c r="N325" s="1048"/>
      <c r="O325" s="1047">
        <f t="shared" si="25"/>
        <v>7.96</v>
      </c>
      <c r="P325" s="1047">
        <f t="shared" si="26"/>
        <v>0.33</v>
      </c>
      <c r="Q325" s="1064"/>
      <c r="T325" s="1031"/>
    </row>
    <row r="326" spans="2:20">
      <c r="B326" s="1054"/>
      <c r="C326" s="1053" t="s">
        <v>1046</v>
      </c>
      <c r="D326" s="1052"/>
      <c r="E326" s="1052" t="s">
        <v>431</v>
      </c>
      <c r="F326" s="1052" t="s">
        <v>1040</v>
      </c>
      <c r="G326" s="1052"/>
      <c r="H326" s="1052">
        <v>6</v>
      </c>
      <c r="I326" s="1051">
        <v>47</v>
      </c>
      <c r="J326" s="1050">
        <v>80</v>
      </c>
      <c r="K326" s="1049">
        <v>45</v>
      </c>
      <c r="L326" s="1049">
        <v>5</v>
      </c>
      <c r="M326" s="1049"/>
      <c r="N326" s="1048"/>
      <c r="O326" s="1047">
        <f t="shared" si="25"/>
        <v>7.833333333333333</v>
      </c>
      <c r="P326" s="1047">
        <f t="shared" si="26"/>
        <v>0.33</v>
      </c>
      <c r="Q326" s="1064"/>
      <c r="T326" s="1031"/>
    </row>
    <row r="327" spans="2:20">
      <c r="B327" s="1054"/>
      <c r="C327" s="1053" t="s">
        <v>1045</v>
      </c>
      <c r="D327" s="1052" t="s">
        <v>1036</v>
      </c>
      <c r="E327" s="1052" t="s">
        <v>591</v>
      </c>
      <c r="F327" s="1052"/>
      <c r="G327" s="1052"/>
      <c r="H327" s="1052">
        <v>6</v>
      </c>
      <c r="I327" s="1051">
        <v>51.84</v>
      </c>
      <c r="J327" s="1050">
        <v>80</v>
      </c>
      <c r="K327" s="1049">
        <v>45</v>
      </c>
      <c r="L327" s="1049">
        <v>6</v>
      </c>
      <c r="M327" s="1049"/>
      <c r="N327" s="1048"/>
      <c r="O327" s="1047">
        <f t="shared" si="25"/>
        <v>8.64</v>
      </c>
      <c r="P327" s="1047">
        <f t="shared" si="26"/>
        <v>0.32800000000000001</v>
      </c>
      <c r="Q327" s="1064"/>
      <c r="T327" s="1031"/>
    </row>
    <row r="328" spans="2:20">
      <c r="B328" s="1054"/>
      <c r="C328" s="1053" t="s">
        <v>1044</v>
      </c>
      <c r="D328" s="1052"/>
      <c r="E328" s="1052" t="s">
        <v>595</v>
      </c>
      <c r="F328" s="1052"/>
      <c r="G328" s="1052"/>
      <c r="H328" s="1052">
        <v>6</v>
      </c>
      <c r="I328" s="1051">
        <v>49</v>
      </c>
      <c r="J328" s="1050">
        <v>80</v>
      </c>
      <c r="K328" s="1049">
        <v>45</v>
      </c>
      <c r="L328" s="1049">
        <v>6</v>
      </c>
      <c r="M328" s="1049"/>
      <c r="N328" s="1048"/>
      <c r="O328" s="1047">
        <f t="shared" si="25"/>
        <v>8.1666666666666661</v>
      </c>
      <c r="P328" s="1047">
        <f t="shared" si="26"/>
        <v>0.32800000000000001</v>
      </c>
      <c r="Q328" s="1064"/>
      <c r="T328" s="1031"/>
    </row>
    <row r="329" spans="2:20">
      <c r="B329" s="1054"/>
      <c r="C329" s="1053" t="s">
        <v>1043</v>
      </c>
      <c r="D329" s="1052" t="s">
        <v>1036</v>
      </c>
      <c r="E329" s="1052" t="s">
        <v>595</v>
      </c>
      <c r="F329" s="1052" t="s">
        <v>1040</v>
      </c>
      <c r="G329" s="1052"/>
      <c r="H329" s="1052">
        <v>6</v>
      </c>
      <c r="I329" s="1051">
        <v>56.2</v>
      </c>
      <c r="J329" s="1050">
        <v>100</v>
      </c>
      <c r="K329" s="1049">
        <v>50</v>
      </c>
      <c r="L329" s="1049">
        <v>5</v>
      </c>
      <c r="M329" s="1049"/>
      <c r="N329" s="1048"/>
      <c r="O329" s="1047">
        <f t="shared" si="25"/>
        <v>9.3666666666666671</v>
      </c>
      <c r="P329" s="1047">
        <f t="shared" si="26"/>
        <v>0.39</v>
      </c>
      <c r="Q329" s="1064"/>
      <c r="T329" s="1031"/>
    </row>
    <row r="330" spans="2:20">
      <c r="B330" s="1054"/>
      <c r="C330" s="1053" t="s">
        <v>1042</v>
      </c>
      <c r="D330" s="1052" t="s">
        <v>1036</v>
      </c>
      <c r="E330" s="1052" t="s">
        <v>591</v>
      </c>
      <c r="F330" s="1052"/>
      <c r="G330" s="1052"/>
      <c r="H330" s="1052">
        <v>6</v>
      </c>
      <c r="I330" s="1051">
        <v>63.6</v>
      </c>
      <c r="J330" s="1050">
        <v>100</v>
      </c>
      <c r="K330" s="1049">
        <v>50</v>
      </c>
      <c r="L330" s="1049">
        <v>6</v>
      </c>
      <c r="M330" s="1049"/>
      <c r="N330" s="1048"/>
      <c r="O330" s="1047">
        <f t="shared" si="25"/>
        <v>10.6</v>
      </c>
      <c r="P330" s="1047">
        <f t="shared" si="26"/>
        <v>0.38800000000000001</v>
      </c>
      <c r="Q330" s="1064"/>
      <c r="T330" s="1031"/>
    </row>
    <row r="331" spans="2:20">
      <c r="B331" s="1054"/>
      <c r="C331" s="1053" t="s">
        <v>1041</v>
      </c>
      <c r="D331" s="1052"/>
      <c r="E331" s="1052" t="s">
        <v>431</v>
      </c>
      <c r="F331" s="1052" t="s">
        <v>1040</v>
      </c>
      <c r="G331" s="1052"/>
      <c r="H331" s="1052">
        <v>6</v>
      </c>
      <c r="I331" s="1051">
        <v>75</v>
      </c>
      <c r="J331" s="1050">
        <v>120</v>
      </c>
      <c r="K331" s="1049">
        <v>55</v>
      </c>
      <c r="L331" s="1049">
        <v>6</v>
      </c>
      <c r="M331" s="1049"/>
      <c r="N331" s="1048"/>
      <c r="O331" s="1047">
        <f t="shared" si="25"/>
        <v>12.5</v>
      </c>
      <c r="P331" s="1047">
        <f t="shared" si="26"/>
        <v>0.44800000000000001</v>
      </c>
      <c r="Q331" s="1064"/>
      <c r="T331" s="1031"/>
    </row>
    <row r="332" spans="2:20">
      <c r="B332" s="1054"/>
      <c r="C332" s="1053" t="s">
        <v>1039</v>
      </c>
      <c r="D332" s="1052" t="s">
        <v>1036</v>
      </c>
      <c r="E332" s="1052" t="s">
        <v>595</v>
      </c>
      <c r="F332" s="1052" t="s">
        <v>1014</v>
      </c>
      <c r="G332" s="1052"/>
      <c r="H332" s="1052">
        <v>6</v>
      </c>
      <c r="I332" s="1051">
        <v>80.400000000000006</v>
      </c>
      <c r="J332" s="1050">
        <v>120</v>
      </c>
      <c r="K332" s="1049">
        <v>55</v>
      </c>
      <c r="L332" s="1049">
        <v>7</v>
      </c>
      <c r="M332" s="1049"/>
      <c r="N332" s="1048"/>
      <c r="O332" s="1047">
        <f t="shared" si="25"/>
        <v>13.4</v>
      </c>
      <c r="P332" s="1047">
        <f t="shared" si="26"/>
        <v>0.44600000000000001</v>
      </c>
      <c r="Q332" s="1064"/>
      <c r="T332" s="1031"/>
    </row>
    <row r="333" spans="2:20">
      <c r="B333" s="1054"/>
      <c r="C333" s="1053" t="s">
        <v>1038</v>
      </c>
      <c r="D333" s="1052"/>
      <c r="E333" s="1052" t="s">
        <v>595</v>
      </c>
      <c r="F333" s="1052" t="s">
        <v>1019</v>
      </c>
      <c r="G333" s="1052"/>
      <c r="H333" s="1052">
        <v>6</v>
      </c>
      <c r="I333" s="1051">
        <v>80.400000000000006</v>
      </c>
      <c r="J333" s="1050">
        <v>125</v>
      </c>
      <c r="K333" s="1049">
        <v>65</v>
      </c>
      <c r="L333" s="1049">
        <v>6</v>
      </c>
      <c r="M333" s="1049"/>
      <c r="N333" s="1048"/>
      <c r="O333" s="1047">
        <f t="shared" si="25"/>
        <v>13.4</v>
      </c>
      <c r="P333" s="1047">
        <f t="shared" si="26"/>
        <v>0.498</v>
      </c>
      <c r="Q333" s="1064"/>
      <c r="T333" s="1031"/>
    </row>
    <row r="334" spans="2:20">
      <c r="B334" s="1054"/>
      <c r="C334" s="1053" t="s">
        <v>1037</v>
      </c>
      <c r="D334" s="1052" t="s">
        <v>1036</v>
      </c>
      <c r="E334" s="1052" t="s">
        <v>431</v>
      </c>
      <c r="F334" s="1052" t="s">
        <v>1014</v>
      </c>
      <c r="G334" s="1052"/>
      <c r="H334" s="1052">
        <v>6</v>
      </c>
      <c r="I334" s="1051">
        <v>97</v>
      </c>
      <c r="J334" s="1050">
        <v>140</v>
      </c>
      <c r="K334" s="1049">
        <v>60</v>
      </c>
      <c r="L334" s="1049">
        <v>7</v>
      </c>
      <c r="M334" s="1049"/>
      <c r="N334" s="1048"/>
      <c r="O334" s="1047">
        <f t="shared" si="25"/>
        <v>16.166666666666668</v>
      </c>
      <c r="P334" s="1047">
        <f t="shared" si="26"/>
        <v>0.50600000000000001</v>
      </c>
      <c r="Q334" s="1064"/>
      <c r="T334" s="1031"/>
    </row>
    <row r="335" spans="2:20">
      <c r="B335" s="1054"/>
      <c r="C335" s="1053" t="s">
        <v>1035</v>
      </c>
      <c r="D335" s="1052"/>
      <c r="E335" s="1052" t="s">
        <v>595</v>
      </c>
      <c r="F335" s="1052" t="s">
        <v>1019</v>
      </c>
      <c r="G335" s="1052"/>
      <c r="H335" s="1052">
        <v>6</v>
      </c>
      <c r="I335" s="1051">
        <v>112</v>
      </c>
      <c r="J335" s="1050">
        <v>150</v>
      </c>
      <c r="K335" s="1049">
        <v>75</v>
      </c>
      <c r="L335" s="1049">
        <v>6.5</v>
      </c>
      <c r="M335" s="1049"/>
      <c r="N335" s="1048"/>
      <c r="O335" s="1047">
        <f t="shared" si="25"/>
        <v>18.666666666666668</v>
      </c>
      <c r="P335" s="1047">
        <f t="shared" si="26"/>
        <v>0.58699999999999997</v>
      </c>
      <c r="Q335" s="1064"/>
      <c r="T335" s="1031"/>
    </row>
    <row r="336" spans="2:20">
      <c r="B336" s="1054"/>
      <c r="C336" s="1053" t="s">
        <v>1034</v>
      </c>
      <c r="D336" s="1052"/>
      <c r="E336" s="1052" t="s">
        <v>431</v>
      </c>
      <c r="F336" s="1052" t="s">
        <v>1014</v>
      </c>
      <c r="G336" s="1052"/>
      <c r="H336" s="1052">
        <v>6</v>
      </c>
      <c r="I336" s="1051">
        <v>115.5</v>
      </c>
      <c r="J336" s="1050">
        <v>160</v>
      </c>
      <c r="K336" s="1049">
        <v>65</v>
      </c>
      <c r="L336" s="1049">
        <v>7.5</v>
      </c>
      <c r="M336" s="1049"/>
      <c r="N336" s="1048"/>
      <c r="O336" s="1047">
        <f t="shared" si="25"/>
        <v>19.25</v>
      </c>
      <c r="P336" s="1047">
        <f t="shared" si="26"/>
        <v>0.56499999999999995</v>
      </c>
      <c r="Q336" s="1064"/>
      <c r="T336" s="1031"/>
    </row>
    <row r="337" spans="2:20">
      <c r="B337" s="1054"/>
      <c r="C337" s="1053" t="s">
        <v>1033</v>
      </c>
      <c r="D337" s="1052"/>
      <c r="E337" s="1052" t="s">
        <v>431</v>
      </c>
      <c r="F337" s="1052" t="s">
        <v>1014</v>
      </c>
      <c r="G337" s="1052"/>
      <c r="H337" s="1052">
        <v>12</v>
      </c>
      <c r="I337" s="1051">
        <v>271</v>
      </c>
      <c r="J337" s="1050">
        <v>180</v>
      </c>
      <c r="K337" s="1049">
        <v>70</v>
      </c>
      <c r="L337" s="1049">
        <v>8</v>
      </c>
      <c r="M337" s="1049"/>
      <c r="N337" s="1048"/>
      <c r="O337" s="1047">
        <f t="shared" si="25"/>
        <v>22.583333333333332</v>
      </c>
      <c r="P337" s="1047">
        <f t="shared" si="26"/>
        <v>0.624</v>
      </c>
      <c r="Q337" s="1064"/>
      <c r="T337" s="1031"/>
    </row>
    <row r="338" spans="2:20">
      <c r="B338" s="1054"/>
      <c r="C338" s="1053" t="s">
        <v>1032</v>
      </c>
      <c r="D338" s="1052"/>
      <c r="E338" s="1052" t="s">
        <v>595</v>
      </c>
      <c r="F338" s="1052" t="s">
        <v>1019</v>
      </c>
      <c r="G338" s="1052"/>
      <c r="H338" s="1052">
        <v>6</v>
      </c>
      <c r="I338" s="1051">
        <v>128</v>
      </c>
      <c r="J338" s="1050">
        <v>180</v>
      </c>
      <c r="K338" s="1049">
        <v>70</v>
      </c>
      <c r="L338" s="1049">
        <v>8</v>
      </c>
      <c r="M338" s="1049"/>
      <c r="N338" s="1048"/>
      <c r="O338" s="1047">
        <f t="shared" si="25"/>
        <v>21.333333333333332</v>
      </c>
      <c r="P338" s="1047">
        <f t="shared" si="26"/>
        <v>0.624</v>
      </c>
      <c r="Q338" s="1064"/>
      <c r="T338" s="1031"/>
    </row>
    <row r="339" spans="2:20">
      <c r="B339" s="1054"/>
      <c r="C339" s="1053" t="s">
        <v>1031</v>
      </c>
      <c r="D339" s="1052"/>
      <c r="E339" s="1052" t="s">
        <v>431</v>
      </c>
      <c r="F339" s="1052" t="s">
        <v>1019</v>
      </c>
      <c r="G339" s="1052"/>
      <c r="H339" s="1052">
        <v>6</v>
      </c>
      <c r="I339" s="1051">
        <v>128</v>
      </c>
      <c r="J339" s="1050">
        <v>180</v>
      </c>
      <c r="K339" s="1049">
        <v>75</v>
      </c>
      <c r="L339" s="1049">
        <v>7</v>
      </c>
      <c r="M339" s="1049"/>
      <c r="N339" s="1048"/>
      <c r="O339" s="1047">
        <f t="shared" si="25"/>
        <v>21.333333333333332</v>
      </c>
      <c r="P339" s="1047">
        <f t="shared" si="26"/>
        <v>0.64600000000000002</v>
      </c>
      <c r="Q339" s="1064"/>
      <c r="T339" s="1031"/>
    </row>
    <row r="340" spans="2:20">
      <c r="B340" s="1054"/>
      <c r="C340" s="1053" t="s">
        <v>1030</v>
      </c>
      <c r="D340" s="1052"/>
      <c r="E340" s="1052" t="s">
        <v>431</v>
      </c>
      <c r="F340" s="1052" t="s">
        <v>1014</v>
      </c>
      <c r="G340" s="1052"/>
      <c r="H340" s="1052">
        <v>12</v>
      </c>
      <c r="I340" s="1051">
        <v>310</v>
      </c>
      <c r="J340" s="1050">
        <v>200</v>
      </c>
      <c r="K340" s="1049">
        <v>75</v>
      </c>
      <c r="L340" s="1049">
        <v>8.5</v>
      </c>
      <c r="M340" s="1049"/>
      <c r="N340" s="1048"/>
      <c r="O340" s="1047">
        <f t="shared" si="25"/>
        <v>25.833333333333332</v>
      </c>
      <c r="P340" s="1047">
        <f t="shared" si="26"/>
        <v>0.68300000000000005</v>
      </c>
      <c r="Q340" s="1064"/>
      <c r="T340" s="1031"/>
    </row>
    <row r="341" spans="2:20">
      <c r="B341" s="1054"/>
      <c r="C341" s="1053" t="s">
        <v>1029</v>
      </c>
      <c r="D341" s="1052"/>
      <c r="E341" s="1052" t="s">
        <v>595</v>
      </c>
      <c r="F341" s="1052" t="s">
        <v>1019</v>
      </c>
      <c r="G341" s="1052"/>
      <c r="H341" s="1052">
        <v>6</v>
      </c>
      <c r="I341" s="1051">
        <v>148</v>
      </c>
      <c r="J341" s="1050">
        <v>200</v>
      </c>
      <c r="K341" s="1049">
        <v>75</v>
      </c>
      <c r="L341" s="1049">
        <v>8.5</v>
      </c>
      <c r="M341" s="1049"/>
      <c r="N341" s="1048"/>
      <c r="O341" s="1047">
        <f t="shared" si="25"/>
        <v>24.666666666666668</v>
      </c>
      <c r="P341" s="1047">
        <f t="shared" si="26"/>
        <v>0.68300000000000005</v>
      </c>
      <c r="Q341" s="1064"/>
      <c r="T341" s="1031"/>
    </row>
    <row r="342" spans="2:20">
      <c r="B342" s="1054"/>
      <c r="C342" s="1053" t="s">
        <v>1028</v>
      </c>
      <c r="D342" s="1052"/>
      <c r="E342" s="1052" t="s">
        <v>595</v>
      </c>
      <c r="F342" s="1052" t="s">
        <v>1019</v>
      </c>
      <c r="G342" s="1052"/>
      <c r="H342" s="1052">
        <v>6</v>
      </c>
      <c r="I342" s="1051">
        <v>148</v>
      </c>
      <c r="J342" s="1050">
        <v>200</v>
      </c>
      <c r="K342" s="1049">
        <v>80</v>
      </c>
      <c r="L342" s="1049">
        <v>7.5</v>
      </c>
      <c r="M342" s="1049"/>
      <c r="N342" s="1048"/>
      <c r="O342" s="1047">
        <f t="shared" si="25"/>
        <v>24.666666666666668</v>
      </c>
      <c r="P342" s="1047">
        <f t="shared" si="26"/>
        <v>0.70499999999999996</v>
      </c>
      <c r="Q342" s="1064"/>
      <c r="T342" s="1031"/>
    </row>
    <row r="343" spans="2:20">
      <c r="B343" s="1054"/>
      <c r="C343" s="1053" t="s">
        <v>1027</v>
      </c>
      <c r="D343" s="1052"/>
      <c r="E343" s="1052" t="s">
        <v>431</v>
      </c>
      <c r="F343" s="1052" t="s">
        <v>1014</v>
      </c>
      <c r="G343" s="1052"/>
      <c r="H343" s="1052">
        <v>12</v>
      </c>
      <c r="I343" s="1051">
        <v>371</v>
      </c>
      <c r="J343" s="1050">
        <v>220</v>
      </c>
      <c r="K343" s="1049">
        <v>80</v>
      </c>
      <c r="L343" s="1049">
        <v>9</v>
      </c>
      <c r="M343" s="1049"/>
      <c r="N343" s="1048"/>
      <c r="O343" s="1047">
        <f t="shared" si="25"/>
        <v>30.916666666666668</v>
      </c>
      <c r="P343" s="1047">
        <f t="shared" si="26"/>
        <v>0.74199999999999999</v>
      </c>
      <c r="Q343" s="1064"/>
      <c r="T343" s="1031"/>
    </row>
    <row r="344" spans="2:20">
      <c r="B344" s="1054"/>
      <c r="C344" s="1053" t="s">
        <v>1026</v>
      </c>
      <c r="D344" s="1052"/>
      <c r="E344" s="1052" t="s">
        <v>431</v>
      </c>
      <c r="F344" s="1052" t="s">
        <v>1014</v>
      </c>
      <c r="G344" s="1052"/>
      <c r="H344" s="1052">
        <v>12</v>
      </c>
      <c r="I344" s="1051">
        <v>410</v>
      </c>
      <c r="J344" s="1050">
        <v>240</v>
      </c>
      <c r="K344" s="1049">
        <v>85</v>
      </c>
      <c r="L344" s="1049">
        <v>9.5</v>
      </c>
      <c r="M344" s="1049"/>
      <c r="N344" s="1048"/>
      <c r="O344" s="1047">
        <f t="shared" si="25"/>
        <v>34.166666666666664</v>
      </c>
      <c r="P344" s="1047">
        <f t="shared" si="26"/>
        <v>0.80100000000000005</v>
      </c>
      <c r="Q344" s="1064"/>
      <c r="T344" s="1031"/>
    </row>
    <row r="345" spans="2:20">
      <c r="B345" s="1054"/>
      <c r="C345" s="1053" t="s">
        <v>1025</v>
      </c>
      <c r="D345" s="1052"/>
      <c r="E345" s="1052" t="s">
        <v>595</v>
      </c>
      <c r="F345" s="1052" t="s">
        <v>1019</v>
      </c>
      <c r="G345" s="1052"/>
      <c r="H345" s="1052">
        <v>6</v>
      </c>
      <c r="I345" s="1051">
        <v>208</v>
      </c>
      <c r="J345" s="1050">
        <v>250</v>
      </c>
      <c r="K345" s="1049">
        <v>90</v>
      </c>
      <c r="L345" s="1049">
        <v>9</v>
      </c>
      <c r="M345" s="1049"/>
      <c r="N345" s="1048"/>
      <c r="O345" s="1047">
        <f t="shared" ref="O345:O354" si="27">I345/H345</f>
        <v>34.666666666666664</v>
      </c>
      <c r="P345" s="1047">
        <f t="shared" si="26"/>
        <v>0.84199999999999997</v>
      </c>
      <c r="Q345" s="1064"/>
      <c r="T345" s="1031"/>
    </row>
    <row r="346" spans="2:20">
      <c r="B346" s="1054"/>
      <c r="C346" s="1053" t="s">
        <v>1024</v>
      </c>
      <c r="D346" s="1052"/>
      <c r="E346" s="1052" t="s">
        <v>431</v>
      </c>
      <c r="F346" s="1052" t="s">
        <v>1014</v>
      </c>
      <c r="G346" s="1052"/>
      <c r="H346" s="1052">
        <v>12</v>
      </c>
      <c r="I346" s="1051">
        <v>456</v>
      </c>
      <c r="J346" s="1050">
        <v>260</v>
      </c>
      <c r="K346" s="1049">
        <v>90</v>
      </c>
      <c r="L346" s="1049">
        <v>10</v>
      </c>
      <c r="M346" s="1049"/>
      <c r="N346" s="1048"/>
      <c r="O346" s="1047">
        <f t="shared" si="27"/>
        <v>38</v>
      </c>
      <c r="P346" s="1047">
        <f t="shared" si="26"/>
        <v>0.86</v>
      </c>
      <c r="Q346" s="1064"/>
      <c r="T346" s="1031"/>
    </row>
    <row r="347" spans="2:20">
      <c r="B347" s="1054"/>
      <c r="C347" s="1053" t="s">
        <v>1023</v>
      </c>
      <c r="D347" s="1052"/>
      <c r="E347" s="1052" t="s">
        <v>431</v>
      </c>
      <c r="F347" s="1052" t="s">
        <v>1014</v>
      </c>
      <c r="G347" s="1052"/>
      <c r="H347" s="1052">
        <v>12</v>
      </c>
      <c r="I347" s="1051">
        <v>500</v>
      </c>
      <c r="J347" s="1050">
        <v>280</v>
      </c>
      <c r="K347" s="1049">
        <v>95</v>
      </c>
      <c r="L347" s="1049">
        <v>10</v>
      </c>
      <c r="M347" s="1049"/>
      <c r="N347" s="1048"/>
      <c r="O347" s="1047">
        <f t="shared" si="27"/>
        <v>41.666666666666664</v>
      </c>
      <c r="P347" s="1047">
        <f t="shared" si="26"/>
        <v>0.92</v>
      </c>
      <c r="Q347" s="1064"/>
      <c r="T347" s="1031"/>
    </row>
    <row r="348" spans="2:20">
      <c r="B348" s="1054"/>
      <c r="C348" s="1053" t="s">
        <v>1022</v>
      </c>
      <c r="D348" s="1052"/>
      <c r="E348" s="1052" t="s">
        <v>595</v>
      </c>
      <c r="F348" s="1052" t="s">
        <v>1014</v>
      </c>
      <c r="G348" s="1052"/>
      <c r="H348" s="1052">
        <v>6</v>
      </c>
      <c r="I348" s="1051">
        <v>229</v>
      </c>
      <c r="J348" s="1050">
        <v>300</v>
      </c>
      <c r="K348" s="1049">
        <v>90</v>
      </c>
      <c r="L348" s="1049">
        <v>9</v>
      </c>
      <c r="M348" s="1049"/>
      <c r="N348" s="1048"/>
      <c r="O348" s="1047">
        <f t="shared" si="27"/>
        <v>38.166666666666664</v>
      </c>
      <c r="P348" s="1047">
        <f t="shared" si="26"/>
        <v>0.94199999999999995</v>
      </c>
      <c r="Q348" s="1064"/>
      <c r="T348" s="1031"/>
    </row>
    <row r="349" spans="2:20">
      <c r="B349" s="1054"/>
      <c r="C349" s="1053" t="s">
        <v>1021</v>
      </c>
      <c r="D349" s="1052"/>
      <c r="E349" s="1052" t="s">
        <v>431</v>
      </c>
      <c r="F349" s="1052" t="s">
        <v>1014</v>
      </c>
      <c r="G349" s="1052"/>
      <c r="H349" s="1052">
        <v>12</v>
      </c>
      <c r="I349" s="1051">
        <v>556</v>
      </c>
      <c r="J349" s="1050">
        <v>300</v>
      </c>
      <c r="K349" s="1049">
        <v>100</v>
      </c>
      <c r="L349" s="1049">
        <v>10</v>
      </c>
      <c r="M349" s="1049"/>
      <c r="N349" s="1048"/>
      <c r="O349" s="1047">
        <f t="shared" si="27"/>
        <v>46.333333333333336</v>
      </c>
      <c r="P349" s="1047">
        <f t="shared" si="26"/>
        <v>0.98</v>
      </c>
      <c r="Q349" s="1064"/>
      <c r="T349" s="1031"/>
    </row>
    <row r="350" spans="2:20">
      <c r="B350" s="1054"/>
      <c r="C350" s="1053" t="s">
        <v>1020</v>
      </c>
      <c r="D350" s="1052"/>
      <c r="E350" s="1052" t="s">
        <v>595</v>
      </c>
      <c r="F350" s="1052" t="s">
        <v>1019</v>
      </c>
      <c r="G350" s="1052"/>
      <c r="H350" s="1052">
        <v>12</v>
      </c>
      <c r="I350" s="1051">
        <v>526</v>
      </c>
      <c r="J350" s="1050">
        <v>300</v>
      </c>
      <c r="K350" s="1049">
        <v>100</v>
      </c>
      <c r="L350" s="1049">
        <v>10</v>
      </c>
      <c r="M350" s="1049"/>
      <c r="N350" s="1048"/>
      <c r="O350" s="1047">
        <f t="shared" si="27"/>
        <v>43.833333333333336</v>
      </c>
      <c r="P350" s="1047">
        <f t="shared" si="26"/>
        <v>0.98</v>
      </c>
      <c r="Q350" s="1064"/>
      <c r="T350" s="1031"/>
    </row>
    <row r="351" spans="2:20">
      <c r="B351" s="1054"/>
      <c r="C351" s="1053" t="s">
        <v>1018</v>
      </c>
      <c r="D351" s="1052"/>
      <c r="E351" s="1052" t="s">
        <v>595</v>
      </c>
      <c r="F351" s="1052" t="s">
        <v>1014</v>
      </c>
      <c r="G351" s="1052"/>
      <c r="H351" s="1052">
        <v>12</v>
      </c>
      <c r="I351" s="1051">
        <v>714</v>
      </c>
      <c r="J351" s="1050">
        <v>320</v>
      </c>
      <c r="K351" s="1049">
        <v>100</v>
      </c>
      <c r="L351" s="1049">
        <v>14</v>
      </c>
      <c r="M351" s="1049"/>
      <c r="N351" s="1048"/>
      <c r="O351" s="1047">
        <f t="shared" si="27"/>
        <v>59.5</v>
      </c>
      <c r="P351" s="1047">
        <f t="shared" si="26"/>
        <v>1.012</v>
      </c>
      <c r="Q351" s="1064"/>
      <c r="T351" s="1031"/>
    </row>
    <row r="352" spans="2:20">
      <c r="B352" s="1054"/>
      <c r="C352" s="1053" t="s">
        <v>1017</v>
      </c>
      <c r="D352" s="1052"/>
      <c r="E352" s="1052" t="s">
        <v>595</v>
      </c>
      <c r="F352" s="1052" t="s">
        <v>1014</v>
      </c>
      <c r="G352" s="1052"/>
      <c r="H352" s="1052">
        <v>12</v>
      </c>
      <c r="I352" s="1051">
        <v>727.2</v>
      </c>
      <c r="J352" s="1050">
        <v>350</v>
      </c>
      <c r="K352" s="1049">
        <v>100</v>
      </c>
      <c r="L352" s="1049">
        <v>14</v>
      </c>
      <c r="M352" s="1049"/>
      <c r="N352" s="1048"/>
      <c r="O352" s="1047">
        <f t="shared" si="27"/>
        <v>60.6</v>
      </c>
      <c r="P352" s="1047">
        <f t="shared" si="26"/>
        <v>1.0720000000000001</v>
      </c>
      <c r="Q352" s="1064"/>
      <c r="T352" s="1031"/>
    </row>
    <row r="353" spans="2:20">
      <c r="B353" s="1054"/>
      <c r="C353" s="1053" t="s">
        <v>1016</v>
      </c>
      <c r="D353" s="1052"/>
      <c r="E353" s="1052" t="s">
        <v>595</v>
      </c>
      <c r="F353" s="1052" t="s">
        <v>1014</v>
      </c>
      <c r="G353" s="1052"/>
      <c r="H353" s="1052">
        <v>12</v>
      </c>
      <c r="I353" s="1051">
        <v>757.2</v>
      </c>
      <c r="J353" s="1050">
        <v>380</v>
      </c>
      <c r="K353" s="1049">
        <v>102</v>
      </c>
      <c r="L353" s="1049">
        <v>13.5</v>
      </c>
      <c r="M353" s="1049"/>
      <c r="N353" s="1048"/>
      <c r="O353" s="1047">
        <f t="shared" si="27"/>
        <v>63.1</v>
      </c>
      <c r="P353" s="1047">
        <f t="shared" si="26"/>
        <v>1.141</v>
      </c>
      <c r="Q353" s="1064"/>
      <c r="T353" s="1031"/>
    </row>
    <row r="354" spans="2:20">
      <c r="B354" s="1054"/>
      <c r="C354" s="1053" t="s">
        <v>1015</v>
      </c>
      <c r="D354" s="1052"/>
      <c r="E354" s="1052" t="s">
        <v>595</v>
      </c>
      <c r="F354" s="1052" t="s">
        <v>1014</v>
      </c>
      <c r="G354" s="1052"/>
      <c r="H354" s="1052">
        <v>12</v>
      </c>
      <c r="I354" s="1051">
        <v>862</v>
      </c>
      <c r="J354" s="1050">
        <v>400</v>
      </c>
      <c r="K354" s="1049">
        <v>110</v>
      </c>
      <c r="L354" s="1049">
        <v>14</v>
      </c>
      <c r="M354" s="1049"/>
      <c r="N354" s="1048"/>
      <c r="O354" s="1047">
        <f t="shared" si="27"/>
        <v>71.833333333333329</v>
      </c>
      <c r="P354" s="1047">
        <f t="shared" ref="P354:P370" si="28">(2*J354+4*K354-2*L354)*1/1000</f>
        <v>1.212</v>
      </c>
      <c r="Q354" s="1064"/>
      <c r="T354" s="1031"/>
    </row>
    <row r="355" spans="2:20">
      <c r="B355" s="1054" t="s">
        <v>1013</v>
      </c>
      <c r="C355" s="1053" t="s">
        <v>1012</v>
      </c>
      <c r="D355" s="1052" t="s">
        <v>853</v>
      </c>
      <c r="E355" s="1052"/>
      <c r="F355" s="1052"/>
      <c r="G355" s="1052"/>
      <c r="H355" s="1052">
        <v>6</v>
      </c>
      <c r="I355" s="1051">
        <f t="shared" ref="I355:I418" si="29">O355*H355</f>
        <v>41.519999999999996</v>
      </c>
      <c r="J355" s="1050">
        <v>75</v>
      </c>
      <c r="K355" s="1049">
        <v>40</v>
      </c>
      <c r="L355" s="1049">
        <v>5</v>
      </c>
      <c r="M355" s="1049">
        <v>7</v>
      </c>
      <c r="N355" s="1048"/>
      <c r="O355" s="1047">
        <v>6.92</v>
      </c>
      <c r="P355" s="1047">
        <f t="shared" si="28"/>
        <v>0.3</v>
      </c>
      <c r="Q355" s="1064"/>
      <c r="T355" s="1031"/>
    </row>
    <row r="356" spans="2:20">
      <c r="B356" s="1054"/>
      <c r="C356" s="1053" t="s">
        <v>1011</v>
      </c>
      <c r="D356" s="1052" t="s">
        <v>853</v>
      </c>
      <c r="E356" s="1052"/>
      <c r="F356" s="1052"/>
      <c r="G356" s="1052"/>
      <c r="H356" s="1052">
        <v>6</v>
      </c>
      <c r="I356" s="1051">
        <f t="shared" si="29"/>
        <v>56.16</v>
      </c>
      <c r="J356" s="1050">
        <v>100</v>
      </c>
      <c r="K356" s="1049">
        <v>50</v>
      </c>
      <c r="L356" s="1049">
        <v>5</v>
      </c>
      <c r="M356" s="1049">
        <v>7.5</v>
      </c>
      <c r="N356" s="1048"/>
      <c r="O356" s="1047">
        <v>9.36</v>
      </c>
      <c r="P356" s="1047">
        <f t="shared" si="28"/>
        <v>0.39</v>
      </c>
      <c r="Q356" s="1064"/>
      <c r="T356" s="1031"/>
    </row>
    <row r="357" spans="2:20">
      <c r="B357" s="1054"/>
      <c r="C357" s="1053" t="s">
        <v>1010</v>
      </c>
      <c r="D357" s="1052" t="s">
        <v>853</v>
      </c>
      <c r="E357" s="1052"/>
      <c r="F357" s="1052"/>
      <c r="G357" s="1052"/>
      <c r="H357" s="1052">
        <v>6</v>
      </c>
      <c r="I357" s="1051">
        <f t="shared" si="29"/>
        <v>80.400000000000006</v>
      </c>
      <c r="J357" s="1050">
        <v>125</v>
      </c>
      <c r="K357" s="1049">
        <v>65</v>
      </c>
      <c r="L357" s="1049">
        <v>6</v>
      </c>
      <c r="M357" s="1049">
        <v>8</v>
      </c>
      <c r="N357" s="1048"/>
      <c r="O357" s="1047">
        <v>13.4</v>
      </c>
      <c r="P357" s="1047">
        <f t="shared" si="28"/>
        <v>0.498</v>
      </c>
      <c r="Q357" s="1064"/>
      <c r="T357" s="1031"/>
    </row>
    <row r="358" spans="2:20">
      <c r="B358" s="1054"/>
      <c r="C358" s="1053" t="s">
        <v>1009</v>
      </c>
      <c r="D358" s="1052" t="s">
        <v>853</v>
      </c>
      <c r="E358" s="1052"/>
      <c r="F358" s="1052"/>
      <c r="G358" s="1052"/>
      <c r="H358" s="1052">
        <v>6</v>
      </c>
      <c r="I358" s="1051">
        <f t="shared" si="29"/>
        <v>111.60000000000001</v>
      </c>
      <c r="J358" s="1050">
        <v>150</v>
      </c>
      <c r="K358" s="1049">
        <v>75</v>
      </c>
      <c r="L358" s="1049">
        <v>6.5</v>
      </c>
      <c r="M358" s="1049">
        <v>10</v>
      </c>
      <c r="N358" s="1048"/>
      <c r="O358" s="1047">
        <v>18.600000000000001</v>
      </c>
      <c r="P358" s="1047">
        <f t="shared" si="28"/>
        <v>0.58699999999999997</v>
      </c>
      <c r="Q358" s="1064"/>
      <c r="T358" s="1031"/>
    </row>
    <row r="359" spans="2:20">
      <c r="B359" s="1054"/>
      <c r="C359" s="1053" t="s">
        <v>1008</v>
      </c>
      <c r="D359" s="1052" t="s">
        <v>853</v>
      </c>
      <c r="E359" s="1052"/>
      <c r="F359" s="1052"/>
      <c r="G359" s="1052"/>
      <c r="H359" s="1052">
        <v>6</v>
      </c>
      <c r="I359" s="1051">
        <f t="shared" si="29"/>
        <v>144</v>
      </c>
      <c r="J359" s="1050">
        <v>150</v>
      </c>
      <c r="K359" s="1049">
        <v>75</v>
      </c>
      <c r="L359" s="1049">
        <v>9</v>
      </c>
      <c r="M359" s="1049">
        <v>12.5</v>
      </c>
      <c r="N359" s="1048"/>
      <c r="O359" s="1047">
        <v>24</v>
      </c>
      <c r="P359" s="1047">
        <f t="shared" si="28"/>
        <v>0.58199999999999996</v>
      </c>
      <c r="Q359" s="1064"/>
      <c r="T359" s="1031"/>
    </row>
    <row r="360" spans="2:20">
      <c r="B360" s="1054"/>
      <c r="C360" s="1053" t="s">
        <v>1007</v>
      </c>
      <c r="D360" s="1052" t="s">
        <v>853</v>
      </c>
      <c r="E360" s="1052"/>
      <c r="F360" s="1052"/>
      <c r="G360" s="1052"/>
      <c r="H360" s="1052">
        <v>6</v>
      </c>
      <c r="I360" s="1051">
        <f t="shared" si="29"/>
        <v>128.39999999999998</v>
      </c>
      <c r="J360" s="1050">
        <v>180</v>
      </c>
      <c r="K360" s="1049">
        <v>75</v>
      </c>
      <c r="L360" s="1049">
        <v>7</v>
      </c>
      <c r="M360" s="1049">
        <v>10.5</v>
      </c>
      <c r="N360" s="1048"/>
      <c r="O360" s="1047">
        <v>21.4</v>
      </c>
      <c r="P360" s="1047">
        <f t="shared" si="28"/>
        <v>0.64600000000000002</v>
      </c>
      <c r="Q360" s="1064"/>
      <c r="T360" s="1031"/>
    </row>
    <row r="361" spans="2:20">
      <c r="B361" s="1054"/>
      <c r="C361" s="1053" t="s">
        <v>1006</v>
      </c>
      <c r="D361" s="1052" t="s">
        <v>853</v>
      </c>
      <c r="E361" s="1052"/>
      <c r="F361" s="1052"/>
      <c r="G361" s="1052"/>
      <c r="H361" s="1052">
        <v>6</v>
      </c>
      <c r="I361" s="1051">
        <f t="shared" si="29"/>
        <v>126.60000000000001</v>
      </c>
      <c r="J361" s="1050">
        <v>200</v>
      </c>
      <c r="K361" s="1049">
        <v>70</v>
      </c>
      <c r="L361" s="1049">
        <v>7</v>
      </c>
      <c r="M361" s="1049">
        <v>10</v>
      </c>
      <c r="N361" s="1048"/>
      <c r="O361" s="1047">
        <v>21.1</v>
      </c>
      <c r="P361" s="1047">
        <f t="shared" si="28"/>
        <v>0.66600000000000004</v>
      </c>
      <c r="Q361" s="1064"/>
      <c r="T361" s="1031"/>
    </row>
    <row r="362" spans="2:20">
      <c r="B362" s="1054"/>
      <c r="C362" s="1053" t="s">
        <v>1005</v>
      </c>
      <c r="D362" s="1052" t="s">
        <v>853</v>
      </c>
      <c r="E362" s="1052"/>
      <c r="F362" s="1052"/>
      <c r="G362" s="1052"/>
      <c r="H362" s="1052">
        <v>6</v>
      </c>
      <c r="I362" s="1051">
        <f t="shared" si="29"/>
        <v>147.60000000000002</v>
      </c>
      <c r="J362" s="1050">
        <v>200</v>
      </c>
      <c r="K362" s="1049">
        <v>80</v>
      </c>
      <c r="L362" s="1049">
        <v>7.5</v>
      </c>
      <c r="M362" s="1049">
        <v>11</v>
      </c>
      <c r="N362" s="1048"/>
      <c r="O362" s="1047">
        <v>24.6</v>
      </c>
      <c r="P362" s="1047">
        <f t="shared" si="28"/>
        <v>0.70499999999999996</v>
      </c>
      <c r="Q362" s="1064"/>
      <c r="T362" s="1031"/>
    </row>
    <row r="363" spans="2:20">
      <c r="B363" s="1054"/>
      <c r="C363" s="1053" t="s">
        <v>1004</v>
      </c>
      <c r="D363" s="1052" t="s">
        <v>853</v>
      </c>
      <c r="E363" s="1052"/>
      <c r="F363" s="1052"/>
      <c r="G363" s="1052"/>
      <c r="H363" s="1052">
        <v>6</v>
      </c>
      <c r="I363" s="1051">
        <f t="shared" si="29"/>
        <v>181.8</v>
      </c>
      <c r="J363" s="1050">
        <v>200</v>
      </c>
      <c r="K363" s="1049">
        <v>90</v>
      </c>
      <c r="L363" s="1049">
        <v>8</v>
      </c>
      <c r="M363" s="1049">
        <v>13.5</v>
      </c>
      <c r="N363" s="1048"/>
      <c r="O363" s="1047">
        <v>30.3</v>
      </c>
      <c r="P363" s="1047">
        <f t="shared" si="28"/>
        <v>0.74399999999999999</v>
      </c>
      <c r="Q363" s="1064"/>
      <c r="T363" s="1031"/>
    </row>
    <row r="364" spans="2:20">
      <c r="B364" s="1054"/>
      <c r="C364" s="1053" t="s">
        <v>1003</v>
      </c>
      <c r="D364" s="1052" t="s">
        <v>853</v>
      </c>
      <c r="E364" s="1052"/>
      <c r="F364" s="1052"/>
      <c r="G364" s="1052"/>
      <c r="H364" s="1052">
        <v>6</v>
      </c>
      <c r="I364" s="1051">
        <f t="shared" si="29"/>
        <v>264.42</v>
      </c>
      <c r="J364" s="1050">
        <v>250</v>
      </c>
      <c r="K364" s="1049">
        <v>90</v>
      </c>
      <c r="L364" s="1049">
        <v>9</v>
      </c>
      <c r="M364" s="1049">
        <v>13</v>
      </c>
      <c r="N364" s="1048"/>
      <c r="O364" s="1047">
        <v>44.07</v>
      </c>
      <c r="P364" s="1047">
        <f t="shared" si="28"/>
        <v>0.84199999999999997</v>
      </c>
      <c r="Q364" s="1064"/>
      <c r="T364" s="1031"/>
    </row>
    <row r="365" spans="2:20">
      <c r="B365" s="1054"/>
      <c r="C365" s="1053" t="s">
        <v>1002</v>
      </c>
      <c r="D365" s="1052" t="s">
        <v>853</v>
      </c>
      <c r="E365" s="1052"/>
      <c r="F365" s="1052"/>
      <c r="G365" s="1052"/>
      <c r="H365" s="1052">
        <v>6</v>
      </c>
      <c r="I365" s="1051">
        <f t="shared" si="29"/>
        <v>241.20000000000002</v>
      </c>
      <c r="J365" s="1050">
        <v>250</v>
      </c>
      <c r="K365" s="1049">
        <v>90</v>
      </c>
      <c r="L365" s="1049">
        <v>11</v>
      </c>
      <c r="M365" s="1049">
        <v>14.5</v>
      </c>
      <c r="N365" s="1048"/>
      <c r="O365" s="1047">
        <v>40.200000000000003</v>
      </c>
      <c r="P365" s="1047">
        <f t="shared" si="28"/>
        <v>0.83799999999999997</v>
      </c>
      <c r="Q365" s="1064"/>
      <c r="T365" s="1031"/>
    </row>
    <row r="366" spans="2:20">
      <c r="B366" s="1054"/>
      <c r="C366" s="1053" t="s">
        <v>1001</v>
      </c>
      <c r="D366" s="1052" t="s">
        <v>853</v>
      </c>
      <c r="E366" s="1052"/>
      <c r="F366" s="1052"/>
      <c r="G366" s="1052"/>
      <c r="H366" s="1052">
        <v>6</v>
      </c>
      <c r="I366" s="1051">
        <f t="shared" si="29"/>
        <v>262.79999999999995</v>
      </c>
      <c r="J366" s="1050">
        <v>300</v>
      </c>
      <c r="K366" s="1049">
        <v>90</v>
      </c>
      <c r="L366" s="1049">
        <v>10</v>
      </c>
      <c r="M366" s="1049">
        <v>15.5</v>
      </c>
      <c r="N366" s="1048"/>
      <c r="O366" s="1047">
        <v>43.8</v>
      </c>
      <c r="P366" s="1047">
        <f t="shared" si="28"/>
        <v>0.94</v>
      </c>
      <c r="Q366" s="1064"/>
      <c r="T366" s="1031"/>
    </row>
    <row r="367" spans="2:20">
      <c r="B367" s="1054"/>
      <c r="C367" s="1053" t="s">
        <v>1000</v>
      </c>
      <c r="D367" s="1052" t="s">
        <v>853</v>
      </c>
      <c r="E367" s="1052"/>
      <c r="F367" s="1052"/>
      <c r="G367" s="1052"/>
      <c r="H367" s="1052">
        <v>6</v>
      </c>
      <c r="I367" s="1051">
        <f t="shared" si="29"/>
        <v>291.60000000000002</v>
      </c>
      <c r="J367" s="1050">
        <v>300</v>
      </c>
      <c r="K367" s="1049">
        <v>90</v>
      </c>
      <c r="L367" s="1049">
        <v>12</v>
      </c>
      <c r="M367" s="1049">
        <v>16</v>
      </c>
      <c r="N367" s="1048"/>
      <c r="O367" s="1047">
        <v>48.6</v>
      </c>
      <c r="P367" s="1047">
        <f t="shared" si="28"/>
        <v>0.93600000000000005</v>
      </c>
      <c r="Q367" s="1064"/>
      <c r="T367" s="1031"/>
    </row>
    <row r="368" spans="2:20">
      <c r="B368" s="1054"/>
      <c r="C368" s="1053" t="s">
        <v>999</v>
      </c>
      <c r="D368" s="1052" t="s">
        <v>853</v>
      </c>
      <c r="E368" s="1052"/>
      <c r="F368" s="1052"/>
      <c r="G368" s="1052"/>
      <c r="H368" s="1052">
        <v>6</v>
      </c>
      <c r="I368" s="1051">
        <f t="shared" si="29"/>
        <v>327</v>
      </c>
      <c r="J368" s="1050">
        <v>380</v>
      </c>
      <c r="K368" s="1049">
        <v>100</v>
      </c>
      <c r="L368" s="1049">
        <v>10.5</v>
      </c>
      <c r="M368" s="1049">
        <v>16</v>
      </c>
      <c r="N368" s="1048"/>
      <c r="O368" s="1047">
        <v>54.5</v>
      </c>
      <c r="P368" s="1047">
        <f t="shared" si="28"/>
        <v>1.139</v>
      </c>
      <c r="Q368" s="1064"/>
      <c r="T368" s="1031"/>
    </row>
    <row r="369" spans="2:20">
      <c r="B369" s="1054"/>
      <c r="C369" s="1053" t="s">
        <v>998</v>
      </c>
      <c r="D369" s="1052" t="s">
        <v>853</v>
      </c>
      <c r="E369" s="1052"/>
      <c r="F369" s="1052"/>
      <c r="G369" s="1052"/>
      <c r="H369" s="1052">
        <v>6</v>
      </c>
      <c r="I369" s="1051">
        <f t="shared" si="29"/>
        <v>372</v>
      </c>
      <c r="J369" s="1050">
        <v>380</v>
      </c>
      <c r="K369" s="1049">
        <v>100</v>
      </c>
      <c r="L369" s="1049">
        <v>13</v>
      </c>
      <c r="M369" s="1049">
        <v>16.5</v>
      </c>
      <c r="N369" s="1048"/>
      <c r="O369" s="1047">
        <v>62</v>
      </c>
      <c r="P369" s="1047">
        <f t="shared" si="28"/>
        <v>1.1339999999999999</v>
      </c>
      <c r="Q369" s="1064"/>
      <c r="T369" s="1031"/>
    </row>
    <row r="370" spans="2:20">
      <c r="B370" s="1054"/>
      <c r="C370" s="1053" t="s">
        <v>997</v>
      </c>
      <c r="D370" s="1052" t="s">
        <v>853</v>
      </c>
      <c r="E370" s="1052"/>
      <c r="F370" s="1052"/>
      <c r="G370" s="1052"/>
      <c r="H370" s="1052">
        <v>6</v>
      </c>
      <c r="I370" s="1051">
        <f t="shared" si="29"/>
        <v>403.79999999999995</v>
      </c>
      <c r="J370" s="1050">
        <v>380</v>
      </c>
      <c r="K370" s="1049">
        <v>100</v>
      </c>
      <c r="L370" s="1049">
        <v>13</v>
      </c>
      <c r="M370" s="1049">
        <v>20</v>
      </c>
      <c r="N370" s="1048"/>
      <c r="O370" s="1047">
        <v>67.3</v>
      </c>
      <c r="P370" s="1047">
        <f t="shared" si="28"/>
        <v>1.1339999999999999</v>
      </c>
      <c r="Q370" s="1064"/>
      <c r="T370" s="1031"/>
    </row>
    <row r="371" spans="2:20">
      <c r="B371" s="1054" t="s">
        <v>996</v>
      </c>
      <c r="C371" s="1053" t="s">
        <v>995</v>
      </c>
      <c r="D371" s="1052"/>
      <c r="E371" s="1052" t="s">
        <v>431</v>
      </c>
      <c r="F371" s="1052"/>
      <c r="G371" s="1052"/>
      <c r="H371" s="1052">
        <v>6</v>
      </c>
      <c r="I371" s="1051">
        <f t="shared" si="29"/>
        <v>1.992</v>
      </c>
      <c r="J371" s="1050">
        <v>12.5</v>
      </c>
      <c r="K371" s="1049">
        <v>12.5</v>
      </c>
      <c r="L371" s="1049">
        <v>0.9</v>
      </c>
      <c r="M371" s="1049"/>
      <c r="N371" s="1048"/>
      <c r="O371" s="1047">
        <v>0.33200000000000002</v>
      </c>
      <c r="P371" s="1047">
        <f t="shared" ref="P371:P402" si="30">(4*J371)*1/1000</f>
        <v>0.05</v>
      </c>
      <c r="Q371" s="1064"/>
      <c r="T371" s="1031"/>
    </row>
    <row r="372" spans="2:20">
      <c r="B372" s="1054"/>
      <c r="C372" s="1053" t="s">
        <v>994</v>
      </c>
      <c r="D372" s="1052"/>
      <c r="E372" s="1052" t="s">
        <v>431</v>
      </c>
      <c r="F372" s="1052"/>
      <c r="G372" s="1052"/>
      <c r="H372" s="1052">
        <v>6</v>
      </c>
      <c r="I372" s="1051">
        <f t="shared" si="29"/>
        <v>2.4180000000000001</v>
      </c>
      <c r="J372" s="1050">
        <v>15</v>
      </c>
      <c r="K372" s="1049">
        <v>15</v>
      </c>
      <c r="L372" s="1049">
        <v>0.9</v>
      </c>
      <c r="M372" s="1049"/>
      <c r="N372" s="1048"/>
      <c r="O372" s="1047">
        <v>0.40300000000000002</v>
      </c>
      <c r="P372" s="1047">
        <f t="shared" si="30"/>
        <v>0.06</v>
      </c>
      <c r="Q372" s="1064"/>
      <c r="T372" s="1031"/>
    </row>
    <row r="373" spans="2:20">
      <c r="B373" s="1054"/>
      <c r="C373" s="1053" t="s">
        <v>993</v>
      </c>
      <c r="D373" s="1052"/>
      <c r="E373" s="1052" t="s">
        <v>431</v>
      </c>
      <c r="F373" s="1052"/>
      <c r="G373" s="1052"/>
      <c r="H373" s="1052">
        <v>6</v>
      </c>
      <c r="I373" s="1051">
        <f t="shared" si="29"/>
        <v>3.2640000000000002</v>
      </c>
      <c r="J373" s="1050">
        <v>20</v>
      </c>
      <c r="K373" s="1049">
        <v>20</v>
      </c>
      <c r="L373" s="1049">
        <v>0.9</v>
      </c>
      <c r="M373" s="1049"/>
      <c r="N373" s="1048"/>
      <c r="O373" s="1047">
        <v>0.54400000000000004</v>
      </c>
      <c r="P373" s="1047">
        <f t="shared" si="30"/>
        <v>0.08</v>
      </c>
      <c r="Q373" s="1064"/>
      <c r="T373" s="1031"/>
    </row>
    <row r="374" spans="2:20">
      <c r="B374" s="1054"/>
      <c r="C374" s="1053" t="s">
        <v>992</v>
      </c>
      <c r="D374" s="1052"/>
      <c r="E374" s="1052" t="s">
        <v>431</v>
      </c>
      <c r="F374" s="1052"/>
      <c r="G374" s="1052"/>
      <c r="H374" s="1052">
        <v>6</v>
      </c>
      <c r="I374" s="1051">
        <f t="shared" si="29"/>
        <v>4.5540000000000003</v>
      </c>
      <c r="J374" s="1050">
        <v>25</v>
      </c>
      <c r="K374" s="1049">
        <v>25</v>
      </c>
      <c r="L374" s="1049">
        <v>1</v>
      </c>
      <c r="M374" s="1049"/>
      <c r="N374" s="1048"/>
      <c r="O374" s="1047">
        <v>0.75900000000000001</v>
      </c>
      <c r="P374" s="1047">
        <f t="shared" si="30"/>
        <v>0.1</v>
      </c>
      <c r="Q374" s="1064"/>
      <c r="T374" s="1031"/>
    </row>
    <row r="375" spans="2:20">
      <c r="B375" s="1054"/>
      <c r="C375" s="1053" t="s">
        <v>991</v>
      </c>
      <c r="D375" s="1052"/>
      <c r="E375" s="1052" t="s">
        <v>431</v>
      </c>
      <c r="F375" s="1052"/>
      <c r="G375" s="1052"/>
      <c r="H375" s="1052">
        <v>6</v>
      </c>
      <c r="I375" s="1051">
        <f t="shared" si="29"/>
        <v>5.49</v>
      </c>
      <c r="J375" s="1050">
        <v>30</v>
      </c>
      <c r="K375" s="1049">
        <v>30</v>
      </c>
      <c r="L375" s="1049">
        <v>1</v>
      </c>
      <c r="M375" s="1049"/>
      <c r="N375" s="1048"/>
      <c r="O375" s="1047">
        <v>0.91500000000000004</v>
      </c>
      <c r="P375" s="1047">
        <f t="shared" si="30"/>
        <v>0.12</v>
      </c>
      <c r="Q375" s="1064"/>
      <c r="T375" s="1031"/>
    </row>
    <row r="376" spans="2:20">
      <c r="B376" s="1054"/>
      <c r="C376" s="1053" t="s">
        <v>990</v>
      </c>
      <c r="D376" s="1052"/>
      <c r="E376" s="1052" t="s">
        <v>431</v>
      </c>
      <c r="F376" s="1052"/>
      <c r="G376" s="1052"/>
      <c r="H376" s="1052">
        <v>6</v>
      </c>
      <c r="I376" s="1051">
        <f t="shared" si="29"/>
        <v>8.8079999999999998</v>
      </c>
      <c r="J376" s="1050">
        <v>40</v>
      </c>
      <c r="K376" s="1049">
        <v>40</v>
      </c>
      <c r="L376" s="1049">
        <v>1.2</v>
      </c>
      <c r="M376" s="1049"/>
      <c r="N376" s="1048"/>
      <c r="O376" s="1047">
        <v>1.468</v>
      </c>
      <c r="P376" s="1047">
        <f t="shared" si="30"/>
        <v>0.16</v>
      </c>
      <c r="Q376" s="1064"/>
      <c r="T376" s="1031"/>
    </row>
    <row r="377" spans="2:20">
      <c r="B377" s="1054"/>
      <c r="C377" s="1053" t="s">
        <v>989</v>
      </c>
      <c r="D377" s="1052" t="s">
        <v>732</v>
      </c>
      <c r="E377" s="1052"/>
      <c r="F377" s="1052"/>
      <c r="G377" s="1052"/>
      <c r="H377" s="1052">
        <v>6</v>
      </c>
      <c r="I377" s="1051">
        <f t="shared" si="29"/>
        <v>11.28</v>
      </c>
      <c r="J377" s="1050">
        <v>40</v>
      </c>
      <c r="K377" s="1049">
        <v>40</v>
      </c>
      <c r="L377" s="1049">
        <v>1.6</v>
      </c>
      <c r="M377" s="1049"/>
      <c r="N377" s="1048"/>
      <c r="O377" s="1047">
        <v>1.88</v>
      </c>
      <c r="P377" s="1047">
        <f t="shared" si="30"/>
        <v>0.16</v>
      </c>
      <c r="Q377" s="1064"/>
      <c r="T377" s="1031"/>
    </row>
    <row r="378" spans="2:20">
      <c r="B378" s="1054"/>
      <c r="C378" s="1053" t="s">
        <v>988</v>
      </c>
      <c r="D378" s="1052" t="s">
        <v>732</v>
      </c>
      <c r="E378" s="1052"/>
      <c r="F378" s="1052"/>
      <c r="G378" s="1052"/>
      <c r="H378" s="1052">
        <v>6</v>
      </c>
      <c r="I378" s="1051">
        <f t="shared" si="29"/>
        <v>15.72</v>
      </c>
      <c r="J378" s="1050">
        <v>40</v>
      </c>
      <c r="K378" s="1049">
        <v>40</v>
      </c>
      <c r="L378" s="1049">
        <v>2.2999999999999998</v>
      </c>
      <c r="M378" s="1049"/>
      <c r="N378" s="1048"/>
      <c r="O378" s="1047">
        <v>2.62</v>
      </c>
      <c r="P378" s="1047">
        <f t="shared" si="30"/>
        <v>0.16</v>
      </c>
      <c r="Q378" s="1064"/>
      <c r="T378" s="1031"/>
    </row>
    <row r="379" spans="2:20">
      <c r="B379" s="1054"/>
      <c r="C379" s="1053" t="s">
        <v>987</v>
      </c>
      <c r="D379" s="1052" t="s">
        <v>713</v>
      </c>
      <c r="E379" s="1052"/>
      <c r="F379" s="1052"/>
      <c r="G379" s="1052"/>
      <c r="H379" s="1052">
        <v>6</v>
      </c>
      <c r="I379" s="1051">
        <f t="shared" si="29"/>
        <v>22.799999999999997</v>
      </c>
      <c r="J379" s="1050">
        <v>40</v>
      </c>
      <c r="K379" s="1049">
        <v>40</v>
      </c>
      <c r="L379" s="1049">
        <v>3.2</v>
      </c>
      <c r="M379" s="1049"/>
      <c r="N379" s="1048"/>
      <c r="O379" s="1047">
        <v>3.8</v>
      </c>
      <c r="P379" s="1047">
        <f t="shared" si="30"/>
        <v>0.16</v>
      </c>
      <c r="Q379" s="1064"/>
      <c r="T379" s="1031"/>
    </row>
    <row r="380" spans="2:20">
      <c r="B380" s="1054"/>
      <c r="C380" s="1053" t="s">
        <v>986</v>
      </c>
      <c r="D380" s="1052" t="s">
        <v>732</v>
      </c>
      <c r="E380" s="1052"/>
      <c r="F380" s="1052"/>
      <c r="G380" s="1052"/>
      <c r="H380" s="1052">
        <v>6</v>
      </c>
      <c r="I380" s="1051">
        <f t="shared" si="29"/>
        <v>14.28</v>
      </c>
      <c r="J380" s="1050">
        <v>50</v>
      </c>
      <c r="K380" s="1049">
        <v>50</v>
      </c>
      <c r="L380" s="1049">
        <v>1.6</v>
      </c>
      <c r="M380" s="1049"/>
      <c r="N380" s="1048"/>
      <c r="O380" s="1047">
        <v>2.38</v>
      </c>
      <c r="P380" s="1047">
        <f t="shared" si="30"/>
        <v>0.2</v>
      </c>
      <c r="Q380" s="1064"/>
      <c r="T380" s="1031"/>
    </row>
    <row r="381" spans="2:20">
      <c r="B381" s="1054"/>
      <c r="C381" s="1053" t="s">
        <v>985</v>
      </c>
      <c r="D381" s="1052" t="s">
        <v>732</v>
      </c>
      <c r="E381" s="1052"/>
      <c r="F381" s="1052"/>
      <c r="G381" s="1052"/>
      <c r="H381" s="1052">
        <v>6</v>
      </c>
      <c r="I381" s="1051">
        <f t="shared" si="29"/>
        <v>20.04</v>
      </c>
      <c r="J381" s="1050">
        <v>50</v>
      </c>
      <c r="K381" s="1049">
        <v>50</v>
      </c>
      <c r="L381" s="1049">
        <v>2.2999999999999998</v>
      </c>
      <c r="M381" s="1049"/>
      <c r="N381" s="1048"/>
      <c r="O381" s="1047">
        <v>3.34</v>
      </c>
      <c r="P381" s="1047">
        <f t="shared" si="30"/>
        <v>0.2</v>
      </c>
      <c r="Q381" s="1064"/>
      <c r="T381" s="1031"/>
    </row>
    <row r="382" spans="2:20">
      <c r="B382" s="1054"/>
      <c r="C382" s="1053" t="s">
        <v>984</v>
      </c>
      <c r="D382" s="1052" t="s">
        <v>732</v>
      </c>
      <c r="E382" s="1052"/>
      <c r="F382" s="1052"/>
      <c r="G382" s="1052"/>
      <c r="H382" s="1052">
        <v>6</v>
      </c>
      <c r="I382" s="1051">
        <f t="shared" si="29"/>
        <v>27</v>
      </c>
      <c r="J382" s="1050">
        <v>50</v>
      </c>
      <c r="K382" s="1049">
        <v>50</v>
      </c>
      <c r="L382" s="1049">
        <v>3.2</v>
      </c>
      <c r="M382" s="1049"/>
      <c r="N382" s="1048"/>
      <c r="O382" s="1047">
        <v>4.5</v>
      </c>
      <c r="P382" s="1047">
        <f t="shared" si="30"/>
        <v>0.2</v>
      </c>
      <c r="Q382" s="1064"/>
      <c r="T382" s="1031"/>
    </row>
    <row r="383" spans="2:20">
      <c r="B383" s="1054"/>
      <c r="C383" s="1053" t="s">
        <v>983</v>
      </c>
      <c r="D383" s="1052" t="s">
        <v>732</v>
      </c>
      <c r="E383" s="1052"/>
      <c r="F383" s="1052"/>
      <c r="G383" s="1052"/>
      <c r="H383" s="1052">
        <v>6</v>
      </c>
      <c r="I383" s="1051">
        <f t="shared" si="29"/>
        <v>17.28</v>
      </c>
      <c r="J383" s="1050">
        <v>60</v>
      </c>
      <c r="K383" s="1049">
        <v>60</v>
      </c>
      <c r="L383" s="1049">
        <v>1.6</v>
      </c>
      <c r="M383" s="1049"/>
      <c r="N383" s="1048"/>
      <c r="O383" s="1047">
        <v>2.88</v>
      </c>
      <c r="P383" s="1047">
        <f t="shared" si="30"/>
        <v>0.24</v>
      </c>
      <c r="Q383" s="1064"/>
      <c r="T383" s="1031"/>
    </row>
    <row r="384" spans="2:20">
      <c r="B384" s="1054"/>
      <c r="C384" s="1053" t="s">
        <v>982</v>
      </c>
      <c r="D384" s="1052" t="s">
        <v>732</v>
      </c>
      <c r="E384" s="1052"/>
      <c r="F384" s="1052"/>
      <c r="G384" s="1052"/>
      <c r="H384" s="1052">
        <v>6</v>
      </c>
      <c r="I384" s="1051">
        <f t="shared" si="29"/>
        <v>24.36</v>
      </c>
      <c r="J384" s="1050">
        <v>60</v>
      </c>
      <c r="K384" s="1049">
        <v>60</v>
      </c>
      <c r="L384" s="1049">
        <v>2.2999999999999998</v>
      </c>
      <c r="M384" s="1049"/>
      <c r="N384" s="1048"/>
      <c r="O384" s="1047">
        <v>4.0599999999999996</v>
      </c>
      <c r="P384" s="1047">
        <f t="shared" si="30"/>
        <v>0.24</v>
      </c>
      <c r="Q384" s="1064"/>
      <c r="T384" s="1031"/>
    </row>
    <row r="385" spans="2:20">
      <c r="B385" s="1054"/>
      <c r="C385" s="1053" t="s">
        <v>981</v>
      </c>
      <c r="D385" s="1052" t="s">
        <v>732</v>
      </c>
      <c r="E385" s="1052"/>
      <c r="F385" s="1052"/>
      <c r="G385" s="1052"/>
      <c r="H385" s="1052">
        <v>6</v>
      </c>
      <c r="I385" s="1051">
        <f t="shared" si="29"/>
        <v>33</v>
      </c>
      <c r="J385" s="1050">
        <v>60</v>
      </c>
      <c r="K385" s="1049">
        <v>60</v>
      </c>
      <c r="L385" s="1049">
        <v>3.2</v>
      </c>
      <c r="M385" s="1049"/>
      <c r="N385" s="1048"/>
      <c r="O385" s="1047">
        <v>5.5</v>
      </c>
      <c r="P385" s="1047">
        <f t="shared" si="30"/>
        <v>0.24</v>
      </c>
      <c r="Q385" s="1064"/>
      <c r="T385" s="1031"/>
    </row>
    <row r="386" spans="2:20">
      <c r="B386" s="1054"/>
      <c r="C386" s="1053" t="s">
        <v>980</v>
      </c>
      <c r="D386" s="1052" t="s">
        <v>853</v>
      </c>
      <c r="E386" s="1052"/>
      <c r="F386" s="1052"/>
      <c r="G386" s="1052"/>
      <c r="H386" s="1052">
        <v>6</v>
      </c>
      <c r="I386" s="1051">
        <f t="shared" si="29"/>
        <v>25.14</v>
      </c>
      <c r="J386" s="1050">
        <v>70</v>
      </c>
      <c r="K386" s="1049">
        <v>70</v>
      </c>
      <c r="L386" s="1049">
        <v>2</v>
      </c>
      <c r="M386" s="1049"/>
      <c r="N386" s="1048"/>
      <c r="O386" s="1047">
        <v>4.1900000000000004</v>
      </c>
      <c r="P386" s="1047">
        <f t="shared" si="30"/>
        <v>0.28000000000000003</v>
      </c>
      <c r="Q386" s="1064"/>
      <c r="T386" s="1031"/>
    </row>
    <row r="387" spans="2:20">
      <c r="B387" s="1054"/>
      <c r="C387" s="1053" t="s">
        <v>979</v>
      </c>
      <c r="D387" s="1052" t="s">
        <v>853</v>
      </c>
      <c r="E387" s="1052"/>
      <c r="F387" s="1052">
        <f>SUM(F361:F386)</f>
        <v>0</v>
      </c>
      <c r="G387" s="1052"/>
      <c r="H387" s="1052">
        <v>6</v>
      </c>
      <c r="I387" s="1051">
        <f t="shared" si="29"/>
        <v>31.02</v>
      </c>
      <c r="J387" s="1050">
        <v>70</v>
      </c>
      <c r="K387" s="1049">
        <v>70</v>
      </c>
      <c r="L387" s="1049">
        <v>2.5</v>
      </c>
      <c r="M387" s="1049"/>
      <c r="N387" s="1048"/>
      <c r="O387" s="1047">
        <v>5.17</v>
      </c>
      <c r="P387" s="1047">
        <f t="shared" si="30"/>
        <v>0.28000000000000003</v>
      </c>
      <c r="Q387" s="1064"/>
      <c r="T387" s="1031"/>
    </row>
    <row r="388" spans="2:20">
      <c r="B388" s="1054"/>
      <c r="C388" s="1053" t="s">
        <v>978</v>
      </c>
      <c r="D388" s="1052" t="s">
        <v>853</v>
      </c>
      <c r="E388" s="1052"/>
      <c r="F388" s="1052"/>
      <c r="G388" s="1052"/>
      <c r="H388" s="1052">
        <v>6</v>
      </c>
      <c r="I388" s="1051">
        <f t="shared" si="29"/>
        <v>36.78</v>
      </c>
      <c r="J388" s="1050">
        <v>70</v>
      </c>
      <c r="K388" s="1049">
        <v>70</v>
      </c>
      <c r="L388" s="1049">
        <v>3</v>
      </c>
      <c r="M388" s="1049"/>
      <c r="N388" s="1048"/>
      <c r="O388" s="1047">
        <v>6.13</v>
      </c>
      <c r="P388" s="1047">
        <f t="shared" si="30"/>
        <v>0.28000000000000003</v>
      </c>
      <c r="Q388" s="1064"/>
      <c r="T388" s="1031"/>
    </row>
    <row r="389" spans="2:20">
      <c r="B389" s="1054"/>
      <c r="C389" s="1053" t="s">
        <v>977</v>
      </c>
      <c r="D389" s="1052" t="s">
        <v>853</v>
      </c>
      <c r="E389" s="1052"/>
      <c r="F389" s="1052"/>
      <c r="G389" s="1052"/>
      <c r="H389" s="1052">
        <v>6</v>
      </c>
      <c r="I389" s="1051">
        <f t="shared" si="29"/>
        <v>42.36</v>
      </c>
      <c r="J389" s="1050">
        <v>70</v>
      </c>
      <c r="K389" s="1049">
        <v>70</v>
      </c>
      <c r="L389" s="1049">
        <v>3.5</v>
      </c>
      <c r="M389" s="1049"/>
      <c r="N389" s="1048"/>
      <c r="O389" s="1047">
        <v>7.06</v>
      </c>
      <c r="P389" s="1047">
        <f t="shared" si="30"/>
        <v>0.28000000000000003</v>
      </c>
      <c r="Q389" s="1064"/>
      <c r="T389" s="1031"/>
    </row>
    <row r="390" spans="2:20">
      <c r="B390" s="1054"/>
      <c r="C390" s="1053" t="s">
        <v>976</v>
      </c>
      <c r="D390" s="1052" t="s">
        <v>853</v>
      </c>
      <c r="E390" s="1052"/>
      <c r="F390" s="1052"/>
      <c r="G390" s="1052"/>
      <c r="H390" s="1052">
        <v>6</v>
      </c>
      <c r="I390" s="1051">
        <f t="shared" si="29"/>
        <v>47.82</v>
      </c>
      <c r="J390" s="1050">
        <v>70</v>
      </c>
      <c r="K390" s="1049">
        <v>70</v>
      </c>
      <c r="L390" s="1049">
        <v>4</v>
      </c>
      <c r="M390" s="1049"/>
      <c r="N390" s="1048"/>
      <c r="O390" s="1047">
        <v>7.97</v>
      </c>
      <c r="P390" s="1047">
        <f t="shared" si="30"/>
        <v>0.28000000000000003</v>
      </c>
      <c r="Q390" s="1064"/>
      <c r="T390" s="1031"/>
    </row>
    <row r="391" spans="2:20">
      <c r="B391" s="1054"/>
      <c r="C391" s="1053" t="s">
        <v>975</v>
      </c>
      <c r="D391" s="1052" t="s">
        <v>853</v>
      </c>
      <c r="E391" s="1052"/>
      <c r="F391" s="1052"/>
      <c r="G391" s="1052"/>
      <c r="H391" s="1052">
        <v>6</v>
      </c>
      <c r="I391" s="1051">
        <f t="shared" si="29"/>
        <v>53.099999999999994</v>
      </c>
      <c r="J391" s="1050">
        <v>70</v>
      </c>
      <c r="K391" s="1049">
        <v>70</v>
      </c>
      <c r="L391" s="1049">
        <v>4.5</v>
      </c>
      <c r="M391" s="1049"/>
      <c r="N391" s="1048"/>
      <c r="O391" s="1047">
        <v>8.85</v>
      </c>
      <c r="P391" s="1047">
        <f t="shared" si="30"/>
        <v>0.28000000000000003</v>
      </c>
      <c r="Q391" s="1064"/>
      <c r="T391" s="1031"/>
    </row>
    <row r="392" spans="2:20">
      <c r="B392" s="1054"/>
      <c r="C392" s="1053" t="s">
        <v>974</v>
      </c>
      <c r="D392" s="1052" t="s">
        <v>853</v>
      </c>
      <c r="E392" s="1052"/>
      <c r="F392" s="1052"/>
      <c r="G392" s="1052"/>
      <c r="H392" s="1052">
        <v>6</v>
      </c>
      <c r="I392" s="1051">
        <f t="shared" si="29"/>
        <v>58.199999999999996</v>
      </c>
      <c r="J392" s="1050">
        <v>70</v>
      </c>
      <c r="K392" s="1049">
        <v>70</v>
      </c>
      <c r="L392" s="1049">
        <v>5</v>
      </c>
      <c r="M392" s="1049"/>
      <c r="N392" s="1048"/>
      <c r="O392" s="1047">
        <v>9.6999999999999993</v>
      </c>
      <c r="P392" s="1047">
        <f t="shared" si="30"/>
        <v>0.28000000000000003</v>
      </c>
      <c r="Q392" s="1064"/>
      <c r="T392" s="1031"/>
    </row>
    <row r="393" spans="2:20">
      <c r="B393" s="1054"/>
      <c r="C393" s="1053" t="s">
        <v>973</v>
      </c>
      <c r="D393" s="1052" t="s">
        <v>853</v>
      </c>
      <c r="E393" s="1052"/>
      <c r="F393" s="1052"/>
      <c r="G393" s="1052"/>
      <c r="H393" s="1052">
        <v>6</v>
      </c>
      <c r="I393" s="1051">
        <f t="shared" si="29"/>
        <v>63.179999999999993</v>
      </c>
      <c r="J393" s="1050">
        <v>70</v>
      </c>
      <c r="K393" s="1049">
        <v>70</v>
      </c>
      <c r="L393" s="1049">
        <v>5.5</v>
      </c>
      <c r="M393" s="1049"/>
      <c r="N393" s="1048"/>
      <c r="O393" s="1047">
        <v>10.53</v>
      </c>
      <c r="P393" s="1047">
        <f t="shared" si="30"/>
        <v>0.28000000000000003</v>
      </c>
      <c r="Q393" s="1064"/>
      <c r="T393" s="1031"/>
    </row>
    <row r="394" spans="2:20">
      <c r="B394" s="1054"/>
      <c r="C394" s="1053" t="s">
        <v>972</v>
      </c>
      <c r="D394" s="1052" t="s">
        <v>732</v>
      </c>
      <c r="E394" s="1052"/>
      <c r="F394" s="1052"/>
      <c r="G394" s="1052"/>
      <c r="H394" s="1052">
        <v>6</v>
      </c>
      <c r="I394" s="1051">
        <f t="shared" si="29"/>
        <v>21.84</v>
      </c>
      <c r="J394" s="1050">
        <v>75</v>
      </c>
      <c r="K394" s="1049">
        <v>75</v>
      </c>
      <c r="L394" s="1049">
        <v>1.6</v>
      </c>
      <c r="M394" s="1049"/>
      <c r="N394" s="1048"/>
      <c r="O394" s="1047">
        <v>3.64</v>
      </c>
      <c r="P394" s="1047">
        <f t="shared" si="30"/>
        <v>0.3</v>
      </c>
      <c r="Q394" s="1064"/>
      <c r="T394" s="1031"/>
    </row>
    <row r="395" spans="2:20">
      <c r="B395" s="1054"/>
      <c r="C395" s="1053" t="s">
        <v>971</v>
      </c>
      <c r="D395" s="1052" t="s">
        <v>732</v>
      </c>
      <c r="E395" s="1052"/>
      <c r="F395" s="1052"/>
      <c r="G395" s="1052"/>
      <c r="H395" s="1052">
        <v>6</v>
      </c>
      <c r="I395" s="1051">
        <f t="shared" si="29"/>
        <v>30.839999999999996</v>
      </c>
      <c r="J395" s="1050">
        <v>75</v>
      </c>
      <c r="K395" s="1049">
        <v>75</v>
      </c>
      <c r="L395" s="1049">
        <v>2.2999999999999998</v>
      </c>
      <c r="M395" s="1049"/>
      <c r="N395" s="1048"/>
      <c r="O395" s="1047">
        <v>5.14</v>
      </c>
      <c r="P395" s="1047">
        <f t="shared" si="30"/>
        <v>0.3</v>
      </c>
      <c r="Q395" s="1064"/>
      <c r="T395" s="1031"/>
    </row>
    <row r="396" spans="2:20">
      <c r="B396" s="1054"/>
      <c r="C396" s="1053" t="s">
        <v>970</v>
      </c>
      <c r="D396" s="1052" t="s">
        <v>732</v>
      </c>
      <c r="E396" s="1052"/>
      <c r="F396" s="1052"/>
      <c r="G396" s="1052"/>
      <c r="H396" s="1052">
        <v>6</v>
      </c>
      <c r="I396" s="1051">
        <f t="shared" si="29"/>
        <v>42.06</v>
      </c>
      <c r="J396" s="1050">
        <v>75</v>
      </c>
      <c r="K396" s="1049">
        <v>75</v>
      </c>
      <c r="L396" s="1049">
        <v>3.2</v>
      </c>
      <c r="M396" s="1049"/>
      <c r="N396" s="1048"/>
      <c r="O396" s="1047">
        <v>7.01</v>
      </c>
      <c r="P396" s="1047">
        <f t="shared" si="30"/>
        <v>0.3</v>
      </c>
      <c r="Q396" s="1064"/>
      <c r="T396" s="1031"/>
    </row>
    <row r="397" spans="2:20">
      <c r="B397" s="1054"/>
      <c r="C397" s="1053" t="s">
        <v>969</v>
      </c>
      <c r="D397" s="1052" t="s">
        <v>853</v>
      </c>
      <c r="E397" s="1052"/>
      <c r="F397" s="1052"/>
      <c r="G397" s="1052"/>
      <c r="H397" s="1052">
        <v>6</v>
      </c>
      <c r="I397" s="1051">
        <f t="shared" si="29"/>
        <v>32.700000000000003</v>
      </c>
      <c r="J397" s="1050">
        <v>90</v>
      </c>
      <c r="K397" s="1049">
        <v>90</v>
      </c>
      <c r="L397" s="1049">
        <v>2</v>
      </c>
      <c r="M397" s="1049"/>
      <c r="N397" s="1048"/>
      <c r="O397" s="1047">
        <v>5.45</v>
      </c>
      <c r="P397" s="1047">
        <f t="shared" si="30"/>
        <v>0.36</v>
      </c>
      <c r="Q397" s="1064"/>
      <c r="T397" s="1031"/>
    </row>
    <row r="398" spans="2:20">
      <c r="B398" s="1054"/>
      <c r="C398" s="1053" t="s">
        <v>968</v>
      </c>
      <c r="D398" s="1052" t="s">
        <v>713</v>
      </c>
      <c r="E398" s="1052"/>
      <c r="F398" s="1052"/>
      <c r="G398" s="1052" t="s">
        <v>865</v>
      </c>
      <c r="H398" s="1052">
        <v>6</v>
      </c>
      <c r="I398" s="1051">
        <f t="shared" si="29"/>
        <v>37.380000000000003</v>
      </c>
      <c r="J398" s="1050">
        <v>90</v>
      </c>
      <c r="K398" s="1049">
        <v>90</v>
      </c>
      <c r="L398" s="1049">
        <v>2.2999999999999998</v>
      </c>
      <c r="M398" s="1049"/>
      <c r="N398" s="1048"/>
      <c r="O398" s="1047">
        <v>6.23</v>
      </c>
      <c r="P398" s="1047">
        <f t="shared" si="30"/>
        <v>0.36</v>
      </c>
      <c r="Q398" s="1064"/>
      <c r="T398" s="1031"/>
    </row>
    <row r="399" spans="2:20">
      <c r="B399" s="1054"/>
      <c r="C399" s="1053" t="s">
        <v>967</v>
      </c>
      <c r="D399" s="1052" t="s">
        <v>853</v>
      </c>
      <c r="E399" s="1052"/>
      <c r="F399" s="1052"/>
      <c r="G399" s="1052"/>
      <c r="H399" s="1052">
        <v>6</v>
      </c>
      <c r="I399" s="1051">
        <f t="shared" si="29"/>
        <v>40.44</v>
      </c>
      <c r="J399" s="1050">
        <v>90</v>
      </c>
      <c r="K399" s="1049">
        <v>90</v>
      </c>
      <c r="L399" s="1049">
        <v>2.5</v>
      </c>
      <c r="M399" s="1049"/>
      <c r="N399" s="1048"/>
      <c r="O399" s="1047">
        <v>6.74</v>
      </c>
      <c r="P399" s="1047">
        <f t="shared" si="30"/>
        <v>0.36</v>
      </c>
      <c r="Q399" s="1064"/>
      <c r="T399" s="1031"/>
    </row>
    <row r="400" spans="2:20">
      <c r="B400" s="1054"/>
      <c r="C400" s="1053" t="s">
        <v>966</v>
      </c>
      <c r="D400" s="1052" t="s">
        <v>853</v>
      </c>
      <c r="E400" s="1052"/>
      <c r="F400" s="1052"/>
      <c r="G400" s="1052"/>
      <c r="H400" s="1052">
        <v>6</v>
      </c>
      <c r="I400" s="1051">
        <f t="shared" si="29"/>
        <v>48.06</v>
      </c>
      <c r="J400" s="1050">
        <v>90</v>
      </c>
      <c r="K400" s="1049">
        <v>90</v>
      </c>
      <c r="L400" s="1049">
        <v>3</v>
      </c>
      <c r="M400" s="1049"/>
      <c r="N400" s="1048"/>
      <c r="O400" s="1047">
        <v>8.01</v>
      </c>
      <c r="P400" s="1047">
        <f t="shared" si="30"/>
        <v>0.36</v>
      </c>
      <c r="Q400" s="1064"/>
      <c r="T400" s="1031"/>
    </row>
    <row r="401" spans="2:20">
      <c r="B401" s="1054"/>
      <c r="C401" s="1053" t="s">
        <v>965</v>
      </c>
      <c r="D401" s="1052" t="s">
        <v>713</v>
      </c>
      <c r="E401" s="1052"/>
      <c r="F401" s="1052"/>
      <c r="G401" s="1052" t="s">
        <v>865</v>
      </c>
      <c r="H401" s="1052">
        <v>6</v>
      </c>
      <c r="I401" s="1051">
        <f t="shared" si="29"/>
        <v>51.06</v>
      </c>
      <c r="J401" s="1050">
        <v>90</v>
      </c>
      <c r="K401" s="1049">
        <v>90</v>
      </c>
      <c r="L401" s="1049">
        <v>3.2</v>
      </c>
      <c r="M401" s="1049"/>
      <c r="N401" s="1048"/>
      <c r="O401" s="1047">
        <v>8.51</v>
      </c>
      <c r="P401" s="1047">
        <f t="shared" si="30"/>
        <v>0.36</v>
      </c>
      <c r="Q401" s="1064"/>
      <c r="T401" s="1031"/>
    </row>
    <row r="402" spans="2:20">
      <c r="B402" s="1054"/>
      <c r="C402" s="1053" t="s">
        <v>964</v>
      </c>
      <c r="D402" s="1052" t="s">
        <v>853</v>
      </c>
      <c r="E402" s="1052"/>
      <c r="F402" s="1052"/>
      <c r="G402" s="1052"/>
      <c r="H402" s="1052">
        <v>6</v>
      </c>
      <c r="I402" s="1051">
        <f t="shared" si="29"/>
        <v>55.56</v>
      </c>
      <c r="J402" s="1050">
        <v>90</v>
      </c>
      <c r="K402" s="1049">
        <v>90</v>
      </c>
      <c r="L402" s="1049">
        <v>3.5</v>
      </c>
      <c r="M402" s="1049"/>
      <c r="N402" s="1048"/>
      <c r="O402" s="1047">
        <v>9.26</v>
      </c>
      <c r="P402" s="1047">
        <f t="shared" si="30"/>
        <v>0.36</v>
      </c>
      <c r="Q402" s="1064"/>
      <c r="T402" s="1031"/>
    </row>
    <row r="403" spans="2:20">
      <c r="B403" s="1054"/>
      <c r="C403" s="1053" t="s">
        <v>963</v>
      </c>
      <c r="D403" s="1052" t="s">
        <v>853</v>
      </c>
      <c r="E403" s="1052"/>
      <c r="F403" s="1052"/>
      <c r="G403" s="1052"/>
      <c r="H403" s="1052">
        <v>6</v>
      </c>
      <c r="I403" s="1051">
        <f t="shared" si="29"/>
        <v>62.88</v>
      </c>
      <c r="J403" s="1050">
        <v>90</v>
      </c>
      <c r="K403" s="1049">
        <v>90</v>
      </c>
      <c r="L403" s="1049">
        <v>4</v>
      </c>
      <c r="M403" s="1049"/>
      <c r="N403" s="1048"/>
      <c r="O403" s="1047">
        <v>10.48</v>
      </c>
      <c r="P403" s="1047">
        <f t="shared" ref="P403:P434" si="31">(4*J403)*1/1000</f>
        <v>0.36</v>
      </c>
      <c r="Q403" s="1064"/>
      <c r="T403" s="1031"/>
    </row>
    <row r="404" spans="2:20">
      <c r="B404" s="1054"/>
      <c r="C404" s="1053" t="s">
        <v>962</v>
      </c>
      <c r="D404" s="1052" t="s">
        <v>853</v>
      </c>
      <c r="E404" s="1052"/>
      <c r="F404" s="1052"/>
      <c r="G404" s="1052"/>
      <c r="H404" s="1052">
        <v>6</v>
      </c>
      <c r="I404" s="1051">
        <f t="shared" si="29"/>
        <v>70.02</v>
      </c>
      <c r="J404" s="1050">
        <v>90</v>
      </c>
      <c r="K404" s="1049">
        <v>90</v>
      </c>
      <c r="L404" s="1049">
        <v>4.5</v>
      </c>
      <c r="M404" s="1049"/>
      <c r="N404" s="1048"/>
      <c r="O404" s="1047">
        <v>11.67</v>
      </c>
      <c r="P404" s="1047">
        <f t="shared" si="31"/>
        <v>0.36</v>
      </c>
      <c r="Q404" s="1064"/>
      <c r="T404" s="1031"/>
    </row>
    <row r="405" spans="2:20">
      <c r="B405" s="1054"/>
      <c r="C405" s="1053" t="s">
        <v>961</v>
      </c>
      <c r="D405" s="1052" t="s">
        <v>853</v>
      </c>
      <c r="E405" s="1052"/>
      <c r="F405" s="1052"/>
      <c r="G405" s="1052"/>
      <c r="H405" s="1052">
        <v>6</v>
      </c>
      <c r="I405" s="1051">
        <f t="shared" si="29"/>
        <v>77.039999999999992</v>
      </c>
      <c r="J405" s="1050">
        <v>90</v>
      </c>
      <c r="K405" s="1049">
        <v>90</v>
      </c>
      <c r="L405" s="1049">
        <v>5</v>
      </c>
      <c r="M405" s="1049"/>
      <c r="N405" s="1048"/>
      <c r="O405" s="1047">
        <v>12.84</v>
      </c>
      <c r="P405" s="1047">
        <f t="shared" si="31"/>
        <v>0.36</v>
      </c>
      <c r="Q405" s="1064"/>
      <c r="T405" s="1031"/>
    </row>
    <row r="406" spans="2:20">
      <c r="B406" s="1054"/>
      <c r="C406" s="1053" t="s">
        <v>960</v>
      </c>
      <c r="D406" s="1052" t="s">
        <v>853</v>
      </c>
      <c r="E406" s="1052"/>
      <c r="F406" s="1052"/>
      <c r="G406" s="1052"/>
      <c r="H406" s="1052">
        <v>6</v>
      </c>
      <c r="I406" s="1051">
        <f t="shared" si="29"/>
        <v>83.88</v>
      </c>
      <c r="J406" s="1050">
        <v>90</v>
      </c>
      <c r="K406" s="1049">
        <v>90</v>
      </c>
      <c r="L406" s="1049">
        <v>5.5</v>
      </c>
      <c r="M406" s="1049"/>
      <c r="N406" s="1048"/>
      <c r="O406" s="1047">
        <v>13.98</v>
      </c>
      <c r="P406" s="1047">
        <f t="shared" si="31"/>
        <v>0.36</v>
      </c>
      <c r="Q406" s="1064"/>
      <c r="T406" s="1031"/>
    </row>
    <row r="407" spans="2:20">
      <c r="B407" s="1054"/>
      <c r="C407" s="1053" t="s">
        <v>959</v>
      </c>
      <c r="D407" s="1052" t="s">
        <v>713</v>
      </c>
      <c r="E407" s="1052"/>
      <c r="F407" s="1052"/>
      <c r="G407" s="1052" t="s">
        <v>865</v>
      </c>
      <c r="H407" s="1052">
        <v>6</v>
      </c>
      <c r="I407" s="1051">
        <f t="shared" si="29"/>
        <v>41.7</v>
      </c>
      <c r="J407" s="1050">
        <v>100</v>
      </c>
      <c r="K407" s="1049">
        <v>100</v>
      </c>
      <c r="L407" s="1049">
        <v>2.2999999999999998</v>
      </c>
      <c r="M407" s="1049"/>
      <c r="N407" s="1048"/>
      <c r="O407" s="1047">
        <v>6.95</v>
      </c>
      <c r="P407" s="1047">
        <f t="shared" si="31"/>
        <v>0.4</v>
      </c>
      <c r="Q407" s="1064"/>
      <c r="T407" s="1031"/>
    </row>
    <row r="408" spans="2:20">
      <c r="B408" s="1054"/>
      <c r="C408" s="1053" t="s">
        <v>958</v>
      </c>
      <c r="D408" s="1052" t="s">
        <v>853</v>
      </c>
      <c r="E408" s="1052"/>
      <c r="F408" s="1052"/>
      <c r="G408" s="1052"/>
      <c r="H408" s="1052">
        <v>6</v>
      </c>
      <c r="I408" s="1051">
        <f t="shared" si="29"/>
        <v>53.760000000000005</v>
      </c>
      <c r="J408" s="1050">
        <v>100</v>
      </c>
      <c r="K408" s="1049">
        <v>100</v>
      </c>
      <c r="L408" s="1049">
        <v>3</v>
      </c>
      <c r="M408" s="1049"/>
      <c r="N408" s="1048"/>
      <c r="O408" s="1047">
        <v>8.9600000000000009</v>
      </c>
      <c r="P408" s="1047">
        <f t="shared" si="31"/>
        <v>0.4</v>
      </c>
      <c r="Q408" s="1064"/>
      <c r="T408" s="1031"/>
    </row>
    <row r="409" spans="2:20">
      <c r="B409" s="1054"/>
      <c r="C409" s="1053" t="s">
        <v>957</v>
      </c>
      <c r="D409" s="1052" t="s">
        <v>713</v>
      </c>
      <c r="E409" s="1052"/>
      <c r="F409" s="1052"/>
      <c r="G409" s="1052" t="s">
        <v>865</v>
      </c>
      <c r="H409" s="1052">
        <v>6</v>
      </c>
      <c r="I409" s="1051">
        <f t="shared" si="29"/>
        <v>57.12</v>
      </c>
      <c r="J409" s="1050">
        <v>100</v>
      </c>
      <c r="K409" s="1049">
        <v>100</v>
      </c>
      <c r="L409" s="1049">
        <v>3.2</v>
      </c>
      <c r="M409" s="1049"/>
      <c r="N409" s="1048"/>
      <c r="O409" s="1047">
        <v>9.52</v>
      </c>
      <c r="P409" s="1047">
        <f t="shared" si="31"/>
        <v>0.4</v>
      </c>
      <c r="Q409" s="1064"/>
      <c r="T409" s="1031"/>
    </row>
    <row r="410" spans="2:20">
      <c r="B410" s="1054"/>
      <c r="C410" s="1053" t="s">
        <v>956</v>
      </c>
      <c r="D410" s="1052" t="s">
        <v>853</v>
      </c>
      <c r="E410" s="1052"/>
      <c r="F410" s="1052"/>
      <c r="G410" s="1052"/>
      <c r="H410" s="1052">
        <v>6</v>
      </c>
      <c r="I410" s="1051">
        <f t="shared" si="29"/>
        <v>62.16</v>
      </c>
      <c r="J410" s="1050">
        <v>100</v>
      </c>
      <c r="K410" s="1049">
        <v>100</v>
      </c>
      <c r="L410" s="1049">
        <v>3.5</v>
      </c>
      <c r="M410" s="1049"/>
      <c r="N410" s="1048"/>
      <c r="O410" s="1047">
        <v>10.36</v>
      </c>
      <c r="P410" s="1047">
        <f t="shared" si="31"/>
        <v>0.4</v>
      </c>
      <c r="Q410" s="1064"/>
      <c r="T410" s="1031"/>
    </row>
    <row r="411" spans="2:20">
      <c r="B411" s="1054"/>
      <c r="C411" s="1053" t="s">
        <v>955</v>
      </c>
      <c r="D411" s="1052" t="s">
        <v>866</v>
      </c>
      <c r="E411" s="1052"/>
      <c r="F411" s="1052"/>
      <c r="G411" s="1052" t="s">
        <v>865</v>
      </c>
      <c r="H411" s="1052">
        <v>6</v>
      </c>
      <c r="I411" s="1051">
        <f t="shared" si="29"/>
        <v>70.38</v>
      </c>
      <c r="J411" s="1050">
        <v>100</v>
      </c>
      <c r="K411" s="1049">
        <v>100</v>
      </c>
      <c r="L411" s="1049">
        <v>4</v>
      </c>
      <c r="M411" s="1049"/>
      <c r="N411" s="1048"/>
      <c r="O411" s="1047">
        <v>11.73</v>
      </c>
      <c r="P411" s="1047">
        <f t="shared" si="31"/>
        <v>0.4</v>
      </c>
      <c r="Q411" s="1064"/>
      <c r="T411" s="1031"/>
    </row>
    <row r="412" spans="2:20">
      <c r="B412" s="1054"/>
      <c r="C412" s="1053" t="s">
        <v>954</v>
      </c>
      <c r="D412" s="1052" t="s">
        <v>866</v>
      </c>
      <c r="E412" s="1052"/>
      <c r="F412" s="1052"/>
      <c r="G412" s="1052" t="s">
        <v>865</v>
      </c>
      <c r="H412" s="1052">
        <v>6</v>
      </c>
      <c r="I412" s="1051">
        <f t="shared" si="29"/>
        <v>78.599999999999994</v>
      </c>
      <c r="J412" s="1050">
        <v>100</v>
      </c>
      <c r="K412" s="1049">
        <v>100</v>
      </c>
      <c r="L412" s="1049">
        <v>4.5</v>
      </c>
      <c r="M412" s="1049"/>
      <c r="N412" s="1048"/>
      <c r="O412" s="1047">
        <v>13.1</v>
      </c>
      <c r="P412" s="1047">
        <f t="shared" si="31"/>
        <v>0.4</v>
      </c>
      <c r="Q412" s="1064"/>
      <c r="T412" s="1031"/>
    </row>
    <row r="413" spans="2:20">
      <c r="B413" s="1054"/>
      <c r="C413" s="1053" t="s">
        <v>953</v>
      </c>
      <c r="D413" s="1052" t="s">
        <v>853</v>
      </c>
      <c r="E413" s="1052"/>
      <c r="F413" s="1052"/>
      <c r="G413" s="1052"/>
      <c r="H413" s="1052">
        <v>6</v>
      </c>
      <c r="I413" s="1051">
        <f t="shared" si="29"/>
        <v>86.460000000000008</v>
      </c>
      <c r="J413" s="1050">
        <v>100</v>
      </c>
      <c r="K413" s="1049">
        <v>100</v>
      </c>
      <c r="L413" s="1049">
        <v>5</v>
      </c>
      <c r="M413" s="1049"/>
      <c r="N413" s="1048"/>
      <c r="O413" s="1047">
        <v>14.41</v>
      </c>
      <c r="P413" s="1047">
        <f t="shared" si="31"/>
        <v>0.4</v>
      </c>
      <c r="Q413" s="1064"/>
      <c r="T413" s="1031"/>
    </row>
    <row r="414" spans="2:20">
      <c r="B414" s="1054"/>
      <c r="C414" s="1053" t="s">
        <v>952</v>
      </c>
      <c r="D414" s="1052" t="s">
        <v>853</v>
      </c>
      <c r="E414" s="1052"/>
      <c r="F414" s="1052"/>
      <c r="G414" s="1052"/>
      <c r="H414" s="1052">
        <v>6</v>
      </c>
      <c r="I414" s="1051">
        <f t="shared" si="29"/>
        <v>94.26</v>
      </c>
      <c r="J414" s="1050">
        <v>100</v>
      </c>
      <c r="K414" s="1049">
        <v>100</v>
      </c>
      <c r="L414" s="1049">
        <v>5.5</v>
      </c>
      <c r="M414" s="1049"/>
      <c r="N414" s="1048"/>
      <c r="O414" s="1047">
        <v>15.71</v>
      </c>
      <c r="P414" s="1047">
        <f t="shared" si="31"/>
        <v>0.4</v>
      </c>
      <c r="Q414" s="1064"/>
      <c r="T414" s="1031"/>
    </row>
    <row r="415" spans="2:20">
      <c r="B415" s="1054"/>
      <c r="C415" s="1053" t="s">
        <v>951</v>
      </c>
      <c r="D415" s="1052" t="s">
        <v>853</v>
      </c>
      <c r="E415" s="1052"/>
      <c r="F415" s="1052"/>
      <c r="G415" s="1052"/>
      <c r="H415" s="1052">
        <v>6</v>
      </c>
      <c r="I415" s="1051">
        <f t="shared" si="29"/>
        <v>101.88</v>
      </c>
      <c r="J415" s="1050">
        <v>100</v>
      </c>
      <c r="K415" s="1049">
        <v>100</v>
      </c>
      <c r="L415" s="1049">
        <v>6</v>
      </c>
      <c r="M415" s="1049"/>
      <c r="N415" s="1048"/>
      <c r="O415" s="1047">
        <v>16.98</v>
      </c>
      <c r="P415" s="1047">
        <f t="shared" si="31"/>
        <v>0.4</v>
      </c>
      <c r="Q415" s="1064"/>
      <c r="T415" s="1031"/>
    </row>
    <row r="416" spans="2:20">
      <c r="B416" s="1054"/>
      <c r="C416" s="1053" t="s">
        <v>950</v>
      </c>
      <c r="D416" s="1052" t="s">
        <v>853</v>
      </c>
      <c r="E416" s="1052"/>
      <c r="F416" s="1052"/>
      <c r="G416" s="1052"/>
      <c r="H416" s="1052">
        <v>6</v>
      </c>
      <c r="I416" s="1051">
        <f t="shared" si="29"/>
        <v>128.28</v>
      </c>
      <c r="J416" s="1050">
        <v>100</v>
      </c>
      <c r="K416" s="1049">
        <v>100</v>
      </c>
      <c r="L416" s="1049">
        <v>8</v>
      </c>
      <c r="M416" s="1049"/>
      <c r="N416" s="1048"/>
      <c r="O416" s="1047">
        <v>21.38</v>
      </c>
      <c r="P416" s="1047">
        <f t="shared" si="31"/>
        <v>0.4</v>
      </c>
      <c r="Q416" s="1064"/>
      <c r="T416" s="1031"/>
    </row>
    <row r="417" spans="2:20">
      <c r="B417" s="1054"/>
      <c r="C417" s="1053" t="s">
        <v>949</v>
      </c>
      <c r="D417" s="1052" t="s">
        <v>853</v>
      </c>
      <c r="E417" s="1052"/>
      <c r="F417" s="1052"/>
      <c r="G417" s="1052"/>
      <c r="H417" s="1052">
        <v>6</v>
      </c>
      <c r="I417" s="1051">
        <f t="shared" si="29"/>
        <v>85.5</v>
      </c>
      <c r="J417" s="1050">
        <v>120</v>
      </c>
      <c r="K417" s="1049">
        <v>120</v>
      </c>
      <c r="L417" s="1049">
        <v>4</v>
      </c>
      <c r="M417" s="1049"/>
      <c r="N417" s="1048"/>
      <c r="O417" s="1047">
        <v>14.25</v>
      </c>
      <c r="P417" s="1047">
        <f t="shared" si="31"/>
        <v>0.48</v>
      </c>
      <c r="Q417" s="1064"/>
      <c r="T417" s="1031"/>
    </row>
    <row r="418" spans="2:20">
      <c r="B418" s="1054"/>
      <c r="C418" s="1053" t="s">
        <v>948</v>
      </c>
      <c r="D418" s="1052" t="s">
        <v>853</v>
      </c>
      <c r="E418" s="1052"/>
      <c r="F418" s="1052"/>
      <c r="G418" s="1052"/>
      <c r="H418" s="1052">
        <v>6</v>
      </c>
      <c r="I418" s="1051">
        <f t="shared" si="29"/>
        <v>124.5</v>
      </c>
      <c r="J418" s="1050">
        <v>120</v>
      </c>
      <c r="K418" s="1049">
        <v>120</v>
      </c>
      <c r="L418" s="1049">
        <v>6</v>
      </c>
      <c r="M418" s="1049"/>
      <c r="N418" s="1048"/>
      <c r="O418" s="1047">
        <v>20.75</v>
      </c>
      <c r="P418" s="1047">
        <f t="shared" si="31"/>
        <v>0.48</v>
      </c>
      <c r="Q418" s="1064"/>
      <c r="T418" s="1031"/>
    </row>
    <row r="419" spans="2:20">
      <c r="B419" s="1054"/>
      <c r="C419" s="1053" t="s">
        <v>947</v>
      </c>
      <c r="D419" s="1052" t="s">
        <v>853</v>
      </c>
      <c r="E419" s="1052"/>
      <c r="F419" s="1052"/>
      <c r="G419" s="1052"/>
      <c r="H419" s="1052">
        <v>6</v>
      </c>
      <c r="I419" s="1051">
        <f t="shared" ref="I419:I482" si="32">O419*H419</f>
        <v>158.46</v>
      </c>
      <c r="J419" s="1050">
        <v>120</v>
      </c>
      <c r="K419" s="1049">
        <v>120</v>
      </c>
      <c r="L419" s="1049">
        <v>8</v>
      </c>
      <c r="M419" s="1049"/>
      <c r="N419" s="1048"/>
      <c r="O419" s="1047">
        <v>26.41</v>
      </c>
      <c r="P419" s="1047">
        <f t="shared" si="31"/>
        <v>0.48</v>
      </c>
      <c r="Q419" s="1064"/>
      <c r="T419" s="1031"/>
    </row>
    <row r="420" spans="2:20">
      <c r="B420" s="1054"/>
      <c r="C420" s="1053" t="s">
        <v>946</v>
      </c>
      <c r="D420" s="1052" t="s">
        <v>713</v>
      </c>
      <c r="E420" s="1052"/>
      <c r="F420" s="1052"/>
      <c r="G420" s="1052" t="s">
        <v>865</v>
      </c>
      <c r="H420" s="1052">
        <v>6</v>
      </c>
      <c r="I420" s="1051">
        <f t="shared" si="32"/>
        <v>72</v>
      </c>
      <c r="J420" s="1050">
        <v>125</v>
      </c>
      <c r="K420" s="1049">
        <v>125</v>
      </c>
      <c r="L420" s="1049">
        <v>3.2</v>
      </c>
      <c r="M420" s="1049"/>
      <c r="N420" s="1048"/>
      <c r="O420" s="1047">
        <v>12</v>
      </c>
      <c r="P420" s="1047">
        <f t="shared" si="31"/>
        <v>0.5</v>
      </c>
      <c r="Q420" s="1064"/>
      <c r="T420" s="1031"/>
    </row>
    <row r="421" spans="2:20">
      <c r="B421" s="1054"/>
      <c r="C421" s="1053" t="s">
        <v>945</v>
      </c>
      <c r="D421" s="1052" t="s">
        <v>713</v>
      </c>
      <c r="E421" s="1052"/>
      <c r="F421" s="1052"/>
      <c r="G421" s="1052" t="s">
        <v>865</v>
      </c>
      <c r="H421" s="1052">
        <v>6</v>
      </c>
      <c r="I421" s="1051">
        <f t="shared" si="32"/>
        <v>75.599999999999994</v>
      </c>
      <c r="J421" s="1050">
        <v>125</v>
      </c>
      <c r="K421" s="1049">
        <v>125</v>
      </c>
      <c r="L421" s="1049">
        <v>4.5</v>
      </c>
      <c r="M421" s="1049"/>
      <c r="N421" s="1048"/>
      <c r="O421" s="1047">
        <v>12.6</v>
      </c>
      <c r="P421" s="1047">
        <f t="shared" si="31"/>
        <v>0.5</v>
      </c>
      <c r="Q421" s="1064"/>
      <c r="T421" s="1031"/>
    </row>
    <row r="422" spans="2:20">
      <c r="B422" s="1054"/>
      <c r="C422" s="1053" t="s">
        <v>944</v>
      </c>
      <c r="D422" s="1052" t="s">
        <v>713</v>
      </c>
      <c r="E422" s="1052"/>
      <c r="F422" s="1052"/>
      <c r="G422" s="1052" t="s">
        <v>865</v>
      </c>
      <c r="H422" s="1052">
        <v>6</v>
      </c>
      <c r="I422" s="1051">
        <f t="shared" si="32"/>
        <v>109.80000000000001</v>
      </c>
      <c r="J422" s="1050">
        <v>125</v>
      </c>
      <c r="K422" s="1049">
        <v>125</v>
      </c>
      <c r="L422" s="1049">
        <v>5</v>
      </c>
      <c r="M422" s="1049"/>
      <c r="N422" s="1048"/>
      <c r="O422" s="1047">
        <v>18.3</v>
      </c>
      <c r="P422" s="1047">
        <f t="shared" si="31"/>
        <v>0.5</v>
      </c>
      <c r="Q422" s="1064"/>
      <c r="T422" s="1031"/>
    </row>
    <row r="423" spans="2:20">
      <c r="B423" s="1054"/>
      <c r="C423" s="1053" t="s">
        <v>943</v>
      </c>
      <c r="D423" s="1052" t="s">
        <v>713</v>
      </c>
      <c r="E423" s="1052"/>
      <c r="F423" s="1052"/>
      <c r="G423" s="1052" t="s">
        <v>865</v>
      </c>
      <c r="H423" s="1052">
        <v>6</v>
      </c>
      <c r="I423" s="1051">
        <f t="shared" si="32"/>
        <v>120.60000000000001</v>
      </c>
      <c r="J423" s="1050">
        <v>150</v>
      </c>
      <c r="K423" s="1049">
        <v>150</v>
      </c>
      <c r="L423" s="1049">
        <v>4.5</v>
      </c>
      <c r="M423" s="1049"/>
      <c r="N423" s="1048"/>
      <c r="O423" s="1047">
        <v>20.100000000000001</v>
      </c>
      <c r="P423" s="1047">
        <f t="shared" si="31"/>
        <v>0.6</v>
      </c>
      <c r="Q423" s="1064"/>
      <c r="T423" s="1031"/>
    </row>
    <row r="424" spans="2:20">
      <c r="B424" s="1054"/>
      <c r="C424" s="1053" t="s">
        <v>942</v>
      </c>
      <c r="D424" s="1052" t="s">
        <v>713</v>
      </c>
      <c r="E424" s="1052"/>
      <c r="F424" s="1052"/>
      <c r="G424" s="1052" t="s">
        <v>865</v>
      </c>
      <c r="H424" s="1052">
        <v>6</v>
      </c>
      <c r="I424" s="1051">
        <f t="shared" si="32"/>
        <v>133.80000000000001</v>
      </c>
      <c r="J424" s="1050">
        <v>150</v>
      </c>
      <c r="K424" s="1049">
        <v>150</v>
      </c>
      <c r="L424" s="1049">
        <v>5</v>
      </c>
      <c r="M424" s="1049"/>
      <c r="N424" s="1048"/>
      <c r="O424" s="1047">
        <v>22.3</v>
      </c>
      <c r="P424" s="1047">
        <f t="shared" si="31"/>
        <v>0.6</v>
      </c>
      <c r="Q424" s="1064"/>
      <c r="T424" s="1031"/>
    </row>
    <row r="425" spans="2:20">
      <c r="B425" s="1054"/>
      <c r="C425" s="1053" t="s">
        <v>941</v>
      </c>
      <c r="D425" s="1052" t="s">
        <v>853</v>
      </c>
      <c r="E425" s="1052"/>
      <c r="F425" s="1052"/>
      <c r="G425" s="1052"/>
      <c r="H425" s="1052">
        <v>6</v>
      </c>
      <c r="I425" s="1051">
        <f t="shared" si="32"/>
        <v>158.39999999999998</v>
      </c>
      <c r="J425" s="1050">
        <v>150</v>
      </c>
      <c r="K425" s="1049">
        <v>150</v>
      </c>
      <c r="L425" s="1049">
        <v>6</v>
      </c>
      <c r="M425" s="1049"/>
      <c r="N425" s="1048"/>
      <c r="O425" s="1047">
        <v>26.4</v>
      </c>
      <c r="P425" s="1047">
        <f t="shared" si="31"/>
        <v>0.6</v>
      </c>
      <c r="Q425" s="1064"/>
      <c r="T425" s="1031"/>
    </row>
    <row r="426" spans="2:20">
      <c r="B426" s="1054"/>
      <c r="C426" s="1053" t="s">
        <v>940</v>
      </c>
      <c r="D426" s="1052" t="s">
        <v>853</v>
      </c>
      <c r="E426" s="1052"/>
      <c r="F426" s="1052"/>
      <c r="G426" s="1052"/>
      <c r="H426" s="1052">
        <v>6</v>
      </c>
      <c r="I426" s="1051">
        <f t="shared" si="32"/>
        <v>203.64</v>
      </c>
      <c r="J426" s="1050">
        <v>150</v>
      </c>
      <c r="K426" s="1049">
        <v>150</v>
      </c>
      <c r="L426" s="1049">
        <v>8</v>
      </c>
      <c r="M426" s="1049"/>
      <c r="N426" s="1048"/>
      <c r="O426" s="1047">
        <v>33.94</v>
      </c>
      <c r="P426" s="1047">
        <f t="shared" si="31"/>
        <v>0.6</v>
      </c>
      <c r="Q426" s="1064"/>
      <c r="T426" s="1031"/>
    </row>
    <row r="427" spans="2:20">
      <c r="B427" s="1054"/>
      <c r="C427" s="1053" t="s">
        <v>939</v>
      </c>
      <c r="D427" s="1052" t="s">
        <v>853</v>
      </c>
      <c r="E427" s="1052"/>
      <c r="F427" s="1052"/>
      <c r="G427" s="1052"/>
      <c r="H427" s="1052">
        <v>6</v>
      </c>
      <c r="I427" s="1051">
        <f t="shared" si="32"/>
        <v>282.84000000000003</v>
      </c>
      <c r="J427" s="1050">
        <v>150</v>
      </c>
      <c r="K427" s="1049">
        <v>150</v>
      </c>
      <c r="L427" s="1049">
        <v>12</v>
      </c>
      <c r="M427" s="1049"/>
      <c r="N427" s="1048"/>
      <c r="O427" s="1047">
        <v>47.14</v>
      </c>
      <c r="P427" s="1047">
        <f t="shared" si="31"/>
        <v>0.6</v>
      </c>
      <c r="Q427" s="1064"/>
      <c r="T427" s="1031"/>
    </row>
    <row r="428" spans="2:20">
      <c r="B428" s="1054"/>
      <c r="C428" s="1053" t="s">
        <v>938</v>
      </c>
      <c r="D428" s="1052" t="s">
        <v>853</v>
      </c>
      <c r="E428" s="1052"/>
      <c r="F428" s="1052"/>
      <c r="G428" s="1052"/>
      <c r="H428" s="1052">
        <v>6</v>
      </c>
      <c r="I428" s="1051">
        <f t="shared" si="32"/>
        <v>192.29999999999998</v>
      </c>
      <c r="J428" s="1050">
        <v>180</v>
      </c>
      <c r="K428" s="1049">
        <v>180</v>
      </c>
      <c r="L428" s="1049">
        <v>6</v>
      </c>
      <c r="M428" s="1049"/>
      <c r="N428" s="1048"/>
      <c r="O428" s="1047">
        <v>32.049999999999997</v>
      </c>
      <c r="P428" s="1047">
        <f t="shared" si="31"/>
        <v>0.72</v>
      </c>
      <c r="Q428" s="1064"/>
      <c r="T428" s="1031"/>
    </row>
    <row r="429" spans="2:20">
      <c r="B429" s="1054"/>
      <c r="C429" s="1053" t="s">
        <v>937</v>
      </c>
      <c r="D429" s="1052" t="s">
        <v>853</v>
      </c>
      <c r="E429" s="1052"/>
      <c r="F429" s="1052"/>
      <c r="G429" s="1052"/>
      <c r="H429" s="1052">
        <v>6</v>
      </c>
      <c r="I429" s="1051">
        <f t="shared" si="32"/>
        <v>248.88</v>
      </c>
      <c r="J429" s="1050">
        <v>180</v>
      </c>
      <c r="K429" s="1049">
        <v>180</v>
      </c>
      <c r="L429" s="1049">
        <v>8</v>
      </c>
      <c r="M429" s="1049"/>
      <c r="N429" s="1048"/>
      <c r="O429" s="1047">
        <v>41.48</v>
      </c>
      <c r="P429" s="1047">
        <f t="shared" si="31"/>
        <v>0.72</v>
      </c>
      <c r="Q429" s="1064"/>
      <c r="T429" s="1031"/>
    </row>
    <row r="430" spans="2:20">
      <c r="B430" s="1054"/>
      <c r="C430" s="1053" t="s">
        <v>936</v>
      </c>
      <c r="D430" s="1052" t="s">
        <v>853</v>
      </c>
      <c r="E430" s="1052"/>
      <c r="F430" s="1052"/>
      <c r="G430" s="1052"/>
      <c r="H430" s="1052">
        <v>6</v>
      </c>
      <c r="I430" s="1051">
        <f t="shared" si="32"/>
        <v>350.64</v>
      </c>
      <c r="J430" s="1050">
        <v>180</v>
      </c>
      <c r="K430" s="1049">
        <v>180</v>
      </c>
      <c r="L430" s="1049">
        <v>12</v>
      </c>
      <c r="M430" s="1049"/>
      <c r="N430" s="1048"/>
      <c r="O430" s="1047">
        <v>58.44</v>
      </c>
      <c r="P430" s="1047">
        <f t="shared" si="31"/>
        <v>0.72</v>
      </c>
      <c r="Q430" s="1064"/>
      <c r="T430" s="1031"/>
    </row>
    <row r="431" spans="2:20">
      <c r="B431" s="1054"/>
      <c r="C431" s="1053" t="s">
        <v>935</v>
      </c>
      <c r="D431" s="1052" t="s">
        <v>853</v>
      </c>
      <c r="E431" s="1052"/>
      <c r="F431" s="1052"/>
      <c r="G431" s="1052"/>
      <c r="H431" s="1052">
        <v>6</v>
      </c>
      <c r="I431" s="1051">
        <f t="shared" si="32"/>
        <v>214.92000000000002</v>
      </c>
      <c r="J431" s="1050">
        <v>200</v>
      </c>
      <c r="K431" s="1049">
        <v>200</v>
      </c>
      <c r="L431" s="1049">
        <v>6</v>
      </c>
      <c r="M431" s="1049"/>
      <c r="N431" s="1048"/>
      <c r="O431" s="1047">
        <v>35.82</v>
      </c>
      <c r="P431" s="1047">
        <f t="shared" si="31"/>
        <v>0.8</v>
      </c>
      <c r="Q431" s="1064"/>
      <c r="T431" s="1031"/>
    </row>
    <row r="432" spans="2:20">
      <c r="B432" s="1054"/>
      <c r="C432" s="1053" t="s">
        <v>934</v>
      </c>
      <c r="D432" s="1052" t="s">
        <v>853</v>
      </c>
      <c r="E432" s="1052"/>
      <c r="F432" s="1052"/>
      <c r="G432" s="1052"/>
      <c r="H432" s="1052">
        <v>6</v>
      </c>
      <c r="I432" s="1051">
        <f t="shared" si="32"/>
        <v>279</v>
      </c>
      <c r="J432" s="1050">
        <v>200</v>
      </c>
      <c r="K432" s="1049">
        <v>200</v>
      </c>
      <c r="L432" s="1049">
        <v>8</v>
      </c>
      <c r="M432" s="1049"/>
      <c r="N432" s="1048"/>
      <c r="O432" s="1047">
        <v>46.5</v>
      </c>
      <c r="P432" s="1047">
        <f t="shared" si="31"/>
        <v>0.8</v>
      </c>
      <c r="Q432" s="1064"/>
      <c r="T432" s="1031"/>
    </row>
    <row r="433" spans="2:20">
      <c r="B433" s="1054"/>
      <c r="C433" s="1053" t="s">
        <v>933</v>
      </c>
      <c r="D433" s="1052" t="s">
        <v>853</v>
      </c>
      <c r="E433" s="1052"/>
      <c r="F433" s="1052"/>
      <c r="G433" s="1052"/>
      <c r="H433" s="1052">
        <v>6</v>
      </c>
      <c r="I433" s="1051">
        <f t="shared" si="32"/>
        <v>395.88</v>
      </c>
      <c r="J433" s="1050">
        <v>200</v>
      </c>
      <c r="K433" s="1049">
        <v>200</v>
      </c>
      <c r="L433" s="1049">
        <v>12</v>
      </c>
      <c r="M433" s="1049"/>
      <c r="N433" s="1048"/>
      <c r="O433" s="1047">
        <v>65.98</v>
      </c>
      <c r="P433" s="1047">
        <f t="shared" si="31"/>
        <v>0.8</v>
      </c>
      <c r="Q433" s="1064"/>
      <c r="T433" s="1031"/>
    </row>
    <row r="434" spans="2:20">
      <c r="B434" s="1054"/>
      <c r="C434" s="1053" t="s">
        <v>932</v>
      </c>
      <c r="D434" s="1052" t="s">
        <v>853</v>
      </c>
      <c r="E434" s="1052"/>
      <c r="F434" s="1052"/>
      <c r="G434" s="1052"/>
      <c r="H434" s="1052">
        <v>6</v>
      </c>
      <c r="I434" s="1051">
        <f t="shared" si="32"/>
        <v>271.44</v>
      </c>
      <c r="J434" s="1050">
        <v>250</v>
      </c>
      <c r="K434" s="1049">
        <v>250</v>
      </c>
      <c r="L434" s="1049">
        <v>6</v>
      </c>
      <c r="M434" s="1049"/>
      <c r="N434" s="1048"/>
      <c r="O434" s="1047">
        <v>45.24</v>
      </c>
      <c r="P434" s="1047">
        <f t="shared" si="31"/>
        <v>1</v>
      </c>
      <c r="Q434" s="1064"/>
      <c r="T434" s="1031"/>
    </row>
    <row r="435" spans="2:20">
      <c r="B435" s="1054"/>
      <c r="C435" s="1053" t="s">
        <v>931</v>
      </c>
      <c r="D435" s="1052" t="s">
        <v>853</v>
      </c>
      <c r="E435" s="1052"/>
      <c r="F435" s="1052"/>
      <c r="G435" s="1052"/>
      <c r="H435" s="1052">
        <v>6</v>
      </c>
      <c r="I435" s="1051">
        <f t="shared" si="32"/>
        <v>354.36</v>
      </c>
      <c r="J435" s="1050">
        <v>250</v>
      </c>
      <c r="K435" s="1049">
        <v>250</v>
      </c>
      <c r="L435" s="1049">
        <v>8</v>
      </c>
      <c r="M435" s="1049"/>
      <c r="N435" s="1048"/>
      <c r="O435" s="1047">
        <v>59.06</v>
      </c>
      <c r="P435" s="1047">
        <f t="shared" ref="P435:P440" si="33">(4*J435)*1/1000</f>
        <v>1</v>
      </c>
      <c r="Q435" s="1064"/>
      <c r="T435" s="1031"/>
    </row>
    <row r="436" spans="2:20">
      <c r="B436" s="1054"/>
      <c r="C436" s="1053" t="s">
        <v>930</v>
      </c>
      <c r="D436" s="1052" t="s">
        <v>853</v>
      </c>
      <c r="E436" s="1052"/>
      <c r="F436" s="1052"/>
      <c r="G436" s="1052"/>
      <c r="H436" s="1052">
        <v>6</v>
      </c>
      <c r="I436" s="1051">
        <f t="shared" si="32"/>
        <v>508.91999999999996</v>
      </c>
      <c r="J436" s="1050">
        <v>250</v>
      </c>
      <c r="K436" s="1049">
        <v>250</v>
      </c>
      <c r="L436" s="1049">
        <v>12</v>
      </c>
      <c r="M436" s="1049"/>
      <c r="N436" s="1048"/>
      <c r="O436" s="1047">
        <v>84.82</v>
      </c>
      <c r="P436" s="1047">
        <f t="shared" si="33"/>
        <v>1</v>
      </c>
      <c r="Q436" s="1064"/>
      <c r="T436" s="1031"/>
    </row>
    <row r="437" spans="2:20">
      <c r="B437" s="1054" t="s">
        <v>929</v>
      </c>
      <c r="C437" s="1053" t="s">
        <v>928</v>
      </c>
      <c r="D437" s="1052"/>
      <c r="E437" s="1052" t="s">
        <v>431</v>
      </c>
      <c r="F437" s="1052"/>
      <c r="G437" s="1052"/>
      <c r="H437" s="1052">
        <v>6</v>
      </c>
      <c r="I437" s="1051">
        <f t="shared" si="32"/>
        <v>2.4180000000000001</v>
      </c>
      <c r="J437" s="1050">
        <v>20</v>
      </c>
      <c r="K437" s="1049">
        <v>10</v>
      </c>
      <c r="L437" s="1049">
        <v>0.9</v>
      </c>
      <c r="M437" s="1049"/>
      <c r="N437" s="1048"/>
      <c r="O437" s="1047">
        <v>0.40300000000000002</v>
      </c>
      <c r="P437" s="1047">
        <f t="shared" si="33"/>
        <v>0.08</v>
      </c>
      <c r="Q437" s="1064"/>
      <c r="T437" s="1031"/>
    </row>
    <row r="438" spans="2:20">
      <c r="B438" s="1054"/>
      <c r="C438" s="1053" t="s">
        <v>927</v>
      </c>
      <c r="D438" s="1052"/>
      <c r="E438" s="1052" t="s">
        <v>431</v>
      </c>
      <c r="F438" s="1052"/>
      <c r="G438" s="1052"/>
      <c r="H438" s="1052">
        <v>6</v>
      </c>
      <c r="I438" s="1051">
        <f t="shared" si="32"/>
        <v>3.2640000000000002</v>
      </c>
      <c r="J438" s="1050">
        <v>27.5</v>
      </c>
      <c r="K438" s="1049">
        <v>12.5</v>
      </c>
      <c r="L438" s="1049">
        <v>0.9</v>
      </c>
      <c r="M438" s="1049"/>
      <c r="N438" s="1048"/>
      <c r="O438" s="1047">
        <v>0.54400000000000004</v>
      </c>
      <c r="P438" s="1047">
        <f t="shared" si="33"/>
        <v>0.11</v>
      </c>
      <c r="Q438" s="1064"/>
      <c r="T438" s="1031"/>
    </row>
    <row r="439" spans="2:20">
      <c r="B439" s="1054"/>
      <c r="C439" s="1053" t="s">
        <v>926</v>
      </c>
      <c r="D439" s="1052"/>
      <c r="E439" s="1052" t="s">
        <v>431</v>
      </c>
      <c r="F439" s="1052"/>
      <c r="G439" s="1052"/>
      <c r="H439" s="1052">
        <v>6</v>
      </c>
      <c r="I439" s="1051">
        <f t="shared" si="32"/>
        <v>3.69</v>
      </c>
      <c r="J439" s="1050">
        <v>30</v>
      </c>
      <c r="K439" s="1049">
        <v>15</v>
      </c>
      <c r="L439" s="1049">
        <v>0.9</v>
      </c>
      <c r="M439" s="1049"/>
      <c r="N439" s="1048"/>
      <c r="O439" s="1047">
        <v>0.61499999999999999</v>
      </c>
      <c r="P439" s="1047">
        <f t="shared" si="33"/>
        <v>0.12</v>
      </c>
      <c r="Q439" s="1064"/>
      <c r="T439" s="1031"/>
    </row>
    <row r="440" spans="2:20">
      <c r="B440" s="1054"/>
      <c r="C440" s="1053" t="s">
        <v>925</v>
      </c>
      <c r="D440" s="1052"/>
      <c r="E440" s="1052" t="s">
        <v>431</v>
      </c>
      <c r="F440" s="1052"/>
      <c r="G440" s="1052"/>
      <c r="H440" s="1052">
        <v>6</v>
      </c>
      <c r="I440" s="1051">
        <f t="shared" si="32"/>
        <v>5.49</v>
      </c>
      <c r="J440" s="1050">
        <v>40</v>
      </c>
      <c r="K440" s="1049">
        <v>20</v>
      </c>
      <c r="L440" s="1049">
        <v>1</v>
      </c>
      <c r="M440" s="1049"/>
      <c r="N440" s="1048"/>
      <c r="O440" s="1047">
        <v>0.91500000000000004</v>
      </c>
      <c r="P440" s="1047">
        <f t="shared" si="33"/>
        <v>0.16</v>
      </c>
      <c r="Q440" s="1064"/>
      <c r="T440" s="1031"/>
    </row>
    <row r="441" spans="2:20">
      <c r="B441" s="1054"/>
      <c r="C441" s="1053" t="s">
        <v>924</v>
      </c>
      <c r="D441" s="1052" t="s">
        <v>713</v>
      </c>
      <c r="E441" s="1052"/>
      <c r="F441" s="1052"/>
      <c r="G441" s="1052"/>
      <c r="H441" s="1052">
        <v>6</v>
      </c>
      <c r="I441" s="1051">
        <f t="shared" si="32"/>
        <v>9.7799999999999994</v>
      </c>
      <c r="J441" s="1050">
        <v>50</v>
      </c>
      <c r="K441" s="1049">
        <v>20</v>
      </c>
      <c r="L441" s="1049">
        <v>1.6</v>
      </c>
      <c r="M441" s="1049"/>
      <c r="N441" s="1048"/>
      <c r="O441" s="1047">
        <v>1.63</v>
      </c>
      <c r="P441" s="1047">
        <f t="shared" ref="P441:P472" si="34">(2*J441+2*K441)*1/1000</f>
        <v>0.14000000000000001</v>
      </c>
      <c r="Q441" s="1064"/>
      <c r="T441" s="1031"/>
    </row>
    <row r="442" spans="2:20">
      <c r="B442" s="1054"/>
      <c r="C442" s="1053" t="s">
        <v>923</v>
      </c>
      <c r="D442" s="1052" t="s">
        <v>713</v>
      </c>
      <c r="E442" s="1052"/>
      <c r="F442" s="1052"/>
      <c r="G442" s="1052"/>
      <c r="H442" s="1052">
        <v>6</v>
      </c>
      <c r="I442" s="1051">
        <f t="shared" si="32"/>
        <v>13.5</v>
      </c>
      <c r="J442" s="1050">
        <v>50</v>
      </c>
      <c r="K442" s="1049">
        <v>20</v>
      </c>
      <c r="L442" s="1049">
        <v>2.2999999999999998</v>
      </c>
      <c r="M442" s="1049"/>
      <c r="N442" s="1048"/>
      <c r="O442" s="1047">
        <v>2.25</v>
      </c>
      <c r="P442" s="1047">
        <f t="shared" si="34"/>
        <v>0.14000000000000001</v>
      </c>
      <c r="Q442" s="1064"/>
      <c r="T442" s="1031"/>
    </row>
    <row r="443" spans="2:20">
      <c r="B443" s="1054"/>
      <c r="C443" s="1053" t="s">
        <v>922</v>
      </c>
      <c r="D443" s="1052"/>
      <c r="E443" s="1052" t="s">
        <v>431</v>
      </c>
      <c r="F443" s="1052"/>
      <c r="G443" s="1052"/>
      <c r="H443" s="1052">
        <v>6</v>
      </c>
      <c r="I443" s="1051">
        <f t="shared" si="32"/>
        <v>9.5820000000000007</v>
      </c>
      <c r="J443" s="1050">
        <v>50</v>
      </c>
      <c r="K443" s="1049">
        <v>25</v>
      </c>
      <c r="L443" s="1049">
        <v>1.4</v>
      </c>
      <c r="M443" s="1049"/>
      <c r="N443" s="1048"/>
      <c r="O443" s="1047">
        <v>1.597</v>
      </c>
      <c r="P443" s="1047">
        <f t="shared" si="34"/>
        <v>0.15</v>
      </c>
      <c r="Q443" s="1064"/>
      <c r="T443" s="1031"/>
    </row>
    <row r="444" spans="2:20">
      <c r="B444" s="1054"/>
      <c r="C444" s="1053" t="s">
        <v>921</v>
      </c>
      <c r="D444" s="1052" t="s">
        <v>713</v>
      </c>
      <c r="E444" s="1052"/>
      <c r="F444" s="1052"/>
      <c r="G444" s="1052" t="s">
        <v>865</v>
      </c>
      <c r="H444" s="1052">
        <v>6</v>
      </c>
      <c r="I444" s="1051">
        <f t="shared" si="32"/>
        <v>11.28</v>
      </c>
      <c r="J444" s="1050">
        <v>50</v>
      </c>
      <c r="K444" s="1049">
        <v>30</v>
      </c>
      <c r="L444" s="1049">
        <v>1.6</v>
      </c>
      <c r="M444" s="1049"/>
      <c r="N444" s="1048"/>
      <c r="O444" s="1047">
        <v>1.88</v>
      </c>
      <c r="P444" s="1047">
        <f t="shared" si="34"/>
        <v>0.16</v>
      </c>
      <c r="Q444" s="1064"/>
      <c r="T444" s="1031"/>
    </row>
    <row r="445" spans="2:20">
      <c r="B445" s="1054"/>
      <c r="C445" s="1053" t="s">
        <v>920</v>
      </c>
      <c r="D445" s="1052" t="s">
        <v>713</v>
      </c>
      <c r="E445" s="1052"/>
      <c r="F445" s="1052"/>
      <c r="G445" s="1052" t="s">
        <v>865</v>
      </c>
      <c r="H445" s="1052">
        <v>6</v>
      </c>
      <c r="I445" s="1051">
        <f t="shared" si="32"/>
        <v>15.72</v>
      </c>
      <c r="J445" s="1050">
        <v>50</v>
      </c>
      <c r="K445" s="1049">
        <v>30</v>
      </c>
      <c r="L445" s="1049">
        <v>2.2999999999999998</v>
      </c>
      <c r="M445" s="1049"/>
      <c r="N445" s="1048"/>
      <c r="O445" s="1047">
        <v>2.62</v>
      </c>
      <c r="P445" s="1047">
        <f t="shared" si="34"/>
        <v>0.16</v>
      </c>
      <c r="Q445" s="1064"/>
      <c r="T445" s="1031"/>
    </row>
    <row r="446" spans="2:20">
      <c r="B446" s="1054"/>
      <c r="C446" s="1053" t="s">
        <v>919</v>
      </c>
      <c r="D446" s="1052"/>
      <c r="E446" s="1052" t="s">
        <v>431</v>
      </c>
      <c r="F446" s="1052"/>
      <c r="G446" s="1052"/>
      <c r="H446" s="1052">
        <v>6</v>
      </c>
      <c r="I446" s="1051">
        <f t="shared" si="32"/>
        <v>11.555999999999999</v>
      </c>
      <c r="J446" s="1050">
        <v>60</v>
      </c>
      <c r="K446" s="1049">
        <v>20</v>
      </c>
      <c r="L446" s="1049">
        <v>1.4</v>
      </c>
      <c r="M446" s="1049"/>
      <c r="N446" s="1048"/>
      <c r="O446" s="1047">
        <v>1.9259999999999999</v>
      </c>
      <c r="P446" s="1047">
        <f t="shared" si="34"/>
        <v>0.16</v>
      </c>
      <c r="Q446" s="1064"/>
      <c r="T446" s="1031"/>
    </row>
    <row r="447" spans="2:20">
      <c r="B447" s="1054"/>
      <c r="C447" s="1053" t="s">
        <v>918</v>
      </c>
      <c r="D447" s="1052" t="s">
        <v>732</v>
      </c>
      <c r="E447" s="1052"/>
      <c r="F447" s="1052"/>
      <c r="G447" s="1052"/>
      <c r="H447" s="1052">
        <v>6</v>
      </c>
      <c r="I447" s="1051">
        <f t="shared" si="32"/>
        <v>12.78</v>
      </c>
      <c r="J447" s="1050">
        <v>60</v>
      </c>
      <c r="K447" s="1049">
        <v>30</v>
      </c>
      <c r="L447" s="1049">
        <v>1.6</v>
      </c>
      <c r="M447" s="1049"/>
      <c r="N447" s="1048"/>
      <c r="O447" s="1047">
        <v>2.13</v>
      </c>
      <c r="P447" s="1047">
        <f t="shared" si="34"/>
        <v>0.18</v>
      </c>
      <c r="Q447" s="1064"/>
      <c r="T447" s="1031"/>
    </row>
    <row r="448" spans="2:20">
      <c r="B448" s="1054"/>
      <c r="C448" s="1053" t="s">
        <v>917</v>
      </c>
      <c r="D448" s="1052" t="s">
        <v>732</v>
      </c>
      <c r="E448" s="1052"/>
      <c r="F448" s="1052"/>
      <c r="G448" s="1052"/>
      <c r="H448" s="1052">
        <v>6</v>
      </c>
      <c r="I448" s="1051">
        <f t="shared" si="32"/>
        <v>17.88</v>
      </c>
      <c r="J448" s="1050">
        <v>60</v>
      </c>
      <c r="K448" s="1049">
        <v>30</v>
      </c>
      <c r="L448" s="1049">
        <v>2.2999999999999998</v>
      </c>
      <c r="M448" s="1049"/>
      <c r="N448" s="1048"/>
      <c r="O448" s="1047">
        <v>2.98</v>
      </c>
      <c r="P448" s="1047">
        <f t="shared" si="34"/>
        <v>0.18</v>
      </c>
      <c r="Q448" s="1064"/>
      <c r="T448" s="1031"/>
    </row>
    <row r="449" spans="2:20">
      <c r="B449" s="1054"/>
      <c r="C449" s="1053" t="s">
        <v>916</v>
      </c>
      <c r="D449" s="1052" t="s">
        <v>732</v>
      </c>
      <c r="E449" s="1052"/>
      <c r="F449" s="1052"/>
      <c r="G449" s="1052"/>
      <c r="H449" s="1052">
        <v>6</v>
      </c>
      <c r="I449" s="1051">
        <f t="shared" si="32"/>
        <v>23.94</v>
      </c>
      <c r="J449" s="1050">
        <v>60</v>
      </c>
      <c r="K449" s="1049">
        <v>30</v>
      </c>
      <c r="L449" s="1049">
        <v>3.2</v>
      </c>
      <c r="M449" s="1049"/>
      <c r="N449" s="1048"/>
      <c r="O449" s="1047">
        <v>3.99</v>
      </c>
      <c r="P449" s="1047">
        <f t="shared" si="34"/>
        <v>0.18</v>
      </c>
      <c r="Q449" s="1064"/>
      <c r="T449" s="1031"/>
    </row>
    <row r="450" spans="2:20">
      <c r="B450" s="1054"/>
      <c r="C450" s="1053" t="s">
        <v>915</v>
      </c>
      <c r="D450" s="1052" t="s">
        <v>732</v>
      </c>
      <c r="E450" s="1052"/>
      <c r="F450" s="1052"/>
      <c r="G450" s="1052"/>
      <c r="H450" s="1052">
        <v>6</v>
      </c>
      <c r="I450" s="1051">
        <f t="shared" si="32"/>
        <v>17.28</v>
      </c>
      <c r="J450" s="1050">
        <v>75</v>
      </c>
      <c r="K450" s="1049">
        <v>45</v>
      </c>
      <c r="L450" s="1049">
        <v>1.6</v>
      </c>
      <c r="M450" s="1049"/>
      <c r="N450" s="1048"/>
      <c r="O450" s="1047">
        <v>2.88</v>
      </c>
      <c r="P450" s="1047">
        <f t="shared" si="34"/>
        <v>0.24</v>
      </c>
      <c r="Q450" s="1064"/>
      <c r="T450" s="1031"/>
    </row>
    <row r="451" spans="2:20">
      <c r="B451" s="1054"/>
      <c r="C451" s="1053" t="s">
        <v>914</v>
      </c>
      <c r="D451" s="1052" t="s">
        <v>732</v>
      </c>
      <c r="E451" s="1052"/>
      <c r="F451" s="1052"/>
      <c r="G451" s="1052"/>
      <c r="H451" s="1052">
        <v>6</v>
      </c>
      <c r="I451" s="1051">
        <f t="shared" si="32"/>
        <v>24.36</v>
      </c>
      <c r="J451" s="1050">
        <v>75</v>
      </c>
      <c r="K451" s="1049">
        <v>45</v>
      </c>
      <c r="L451" s="1049">
        <v>2.2999999999999998</v>
      </c>
      <c r="M451" s="1049"/>
      <c r="N451" s="1048"/>
      <c r="O451" s="1047">
        <v>4.0599999999999996</v>
      </c>
      <c r="P451" s="1047">
        <f t="shared" si="34"/>
        <v>0.24</v>
      </c>
      <c r="Q451" s="1064"/>
      <c r="T451" s="1031"/>
    </row>
    <row r="452" spans="2:20">
      <c r="B452" s="1054"/>
      <c r="C452" s="1053" t="s">
        <v>913</v>
      </c>
      <c r="D452" s="1052" t="s">
        <v>732</v>
      </c>
      <c r="E452" s="1052"/>
      <c r="F452" s="1052"/>
      <c r="G452" s="1052"/>
      <c r="H452" s="1052">
        <v>6</v>
      </c>
      <c r="I452" s="1051">
        <f t="shared" si="32"/>
        <v>24.36</v>
      </c>
      <c r="J452" s="1050">
        <v>75</v>
      </c>
      <c r="K452" s="1049">
        <v>45</v>
      </c>
      <c r="L452" s="1049">
        <v>3.2</v>
      </c>
      <c r="M452" s="1049"/>
      <c r="N452" s="1048"/>
      <c r="O452" s="1047">
        <v>4.0599999999999996</v>
      </c>
      <c r="P452" s="1047">
        <f t="shared" si="34"/>
        <v>0.24</v>
      </c>
      <c r="Q452" s="1064"/>
      <c r="T452" s="1031"/>
    </row>
    <row r="453" spans="2:20">
      <c r="B453" s="1054"/>
      <c r="C453" s="1053" t="s">
        <v>912</v>
      </c>
      <c r="D453" s="1052" t="s">
        <v>713</v>
      </c>
      <c r="E453" s="1052"/>
      <c r="F453" s="1052"/>
      <c r="G453" s="1052" t="s">
        <v>865</v>
      </c>
      <c r="H453" s="1052">
        <v>6</v>
      </c>
      <c r="I453" s="1051">
        <f t="shared" si="32"/>
        <v>17.28</v>
      </c>
      <c r="J453" s="1050">
        <v>80</v>
      </c>
      <c r="K453" s="1049">
        <v>40</v>
      </c>
      <c r="L453" s="1049">
        <v>1.6</v>
      </c>
      <c r="M453" s="1049"/>
      <c r="N453" s="1048"/>
      <c r="O453" s="1047">
        <v>2.88</v>
      </c>
      <c r="P453" s="1047">
        <f t="shared" si="34"/>
        <v>0.24</v>
      </c>
      <c r="Q453" s="1064"/>
      <c r="T453" s="1031"/>
    </row>
    <row r="454" spans="2:20">
      <c r="B454" s="1054"/>
      <c r="C454" s="1053" t="s">
        <v>911</v>
      </c>
      <c r="D454" s="1052" t="s">
        <v>713</v>
      </c>
      <c r="E454" s="1052"/>
      <c r="F454" s="1052"/>
      <c r="G454" s="1052" t="s">
        <v>865</v>
      </c>
      <c r="H454" s="1052">
        <v>6</v>
      </c>
      <c r="I454" s="1051">
        <f t="shared" si="32"/>
        <v>24.36</v>
      </c>
      <c r="J454" s="1050">
        <v>80</v>
      </c>
      <c r="K454" s="1049">
        <v>40</v>
      </c>
      <c r="L454" s="1049">
        <v>2.2999999999999998</v>
      </c>
      <c r="M454" s="1049"/>
      <c r="N454" s="1048"/>
      <c r="O454" s="1047">
        <v>4.0599999999999996</v>
      </c>
      <c r="P454" s="1047">
        <f t="shared" si="34"/>
        <v>0.24</v>
      </c>
      <c r="Q454" s="1064"/>
      <c r="T454" s="1031"/>
    </row>
    <row r="455" spans="2:20">
      <c r="B455" s="1054"/>
      <c r="C455" s="1053" t="s">
        <v>910</v>
      </c>
      <c r="D455" s="1052" t="s">
        <v>713</v>
      </c>
      <c r="E455" s="1052"/>
      <c r="F455" s="1052"/>
      <c r="G455" s="1052" t="s">
        <v>865</v>
      </c>
      <c r="H455" s="1052">
        <v>6</v>
      </c>
      <c r="I455" s="1051">
        <f t="shared" si="32"/>
        <v>33</v>
      </c>
      <c r="J455" s="1050">
        <v>80</v>
      </c>
      <c r="K455" s="1049">
        <v>40</v>
      </c>
      <c r="L455" s="1049">
        <v>3.2</v>
      </c>
      <c r="M455" s="1049"/>
      <c r="N455" s="1048"/>
      <c r="O455" s="1047">
        <v>5.5</v>
      </c>
      <c r="P455" s="1047">
        <f t="shared" si="34"/>
        <v>0.24</v>
      </c>
      <c r="Q455" s="1064"/>
      <c r="T455" s="1031"/>
    </row>
    <row r="456" spans="2:20">
      <c r="B456" s="1054"/>
      <c r="C456" s="1053" t="s">
        <v>909</v>
      </c>
      <c r="D456" s="1052" t="s">
        <v>853</v>
      </c>
      <c r="E456" s="1052"/>
      <c r="F456" s="1052"/>
      <c r="G456" s="1052"/>
      <c r="H456" s="1052">
        <v>6</v>
      </c>
      <c r="I456" s="1051">
        <f t="shared" si="32"/>
        <v>32.700000000000003</v>
      </c>
      <c r="J456" s="1050">
        <v>95</v>
      </c>
      <c r="K456" s="1049">
        <v>85</v>
      </c>
      <c r="L456" s="1049">
        <v>2</v>
      </c>
      <c r="M456" s="1049"/>
      <c r="N456" s="1048"/>
      <c r="O456" s="1047">
        <v>5.45</v>
      </c>
      <c r="P456" s="1047">
        <f t="shared" si="34"/>
        <v>0.36</v>
      </c>
      <c r="Q456" s="1064"/>
      <c r="T456" s="1031"/>
    </row>
    <row r="457" spans="2:20">
      <c r="B457" s="1054"/>
      <c r="C457" s="1053" t="s">
        <v>908</v>
      </c>
      <c r="D457" s="1052" t="s">
        <v>853</v>
      </c>
      <c r="E457" s="1052"/>
      <c r="F457" s="1052"/>
      <c r="G457" s="1052"/>
      <c r="H457" s="1052">
        <v>6</v>
      </c>
      <c r="I457" s="1051">
        <f t="shared" si="32"/>
        <v>40.44</v>
      </c>
      <c r="J457" s="1050">
        <v>95</v>
      </c>
      <c r="K457" s="1049">
        <v>85</v>
      </c>
      <c r="L457" s="1049">
        <v>2.5</v>
      </c>
      <c r="M457" s="1049"/>
      <c r="N457" s="1048"/>
      <c r="O457" s="1047">
        <v>6.74</v>
      </c>
      <c r="P457" s="1047">
        <f t="shared" si="34"/>
        <v>0.36</v>
      </c>
      <c r="Q457" s="1064"/>
      <c r="T457" s="1031"/>
    </row>
    <row r="458" spans="2:20">
      <c r="B458" s="1054"/>
      <c r="C458" s="1053" t="s">
        <v>907</v>
      </c>
      <c r="D458" s="1052" t="s">
        <v>853</v>
      </c>
      <c r="E458" s="1052"/>
      <c r="F458" s="1052"/>
      <c r="G458" s="1052"/>
      <c r="H458" s="1052">
        <v>6</v>
      </c>
      <c r="I458" s="1051">
        <f t="shared" si="32"/>
        <v>48.06</v>
      </c>
      <c r="J458" s="1050">
        <v>95</v>
      </c>
      <c r="K458" s="1049">
        <v>85</v>
      </c>
      <c r="L458" s="1049">
        <v>3</v>
      </c>
      <c r="M458" s="1049"/>
      <c r="N458" s="1048"/>
      <c r="O458" s="1047">
        <v>8.01</v>
      </c>
      <c r="P458" s="1047">
        <f t="shared" si="34"/>
        <v>0.36</v>
      </c>
      <c r="Q458" s="1064"/>
      <c r="T458" s="1031"/>
    </row>
    <row r="459" spans="2:20">
      <c r="B459" s="1054"/>
      <c r="C459" s="1053" t="s">
        <v>906</v>
      </c>
      <c r="D459" s="1052" t="s">
        <v>853</v>
      </c>
      <c r="E459" s="1052"/>
      <c r="F459" s="1052"/>
      <c r="G459" s="1052"/>
      <c r="H459" s="1052">
        <v>6</v>
      </c>
      <c r="I459" s="1051">
        <f t="shared" si="32"/>
        <v>55.56</v>
      </c>
      <c r="J459" s="1050">
        <v>95</v>
      </c>
      <c r="K459" s="1049">
        <v>85</v>
      </c>
      <c r="L459" s="1049">
        <v>3.5</v>
      </c>
      <c r="M459" s="1049"/>
      <c r="N459" s="1048"/>
      <c r="O459" s="1047">
        <v>9.26</v>
      </c>
      <c r="P459" s="1047">
        <f t="shared" si="34"/>
        <v>0.36</v>
      </c>
      <c r="Q459" s="1064"/>
      <c r="T459" s="1031"/>
    </row>
    <row r="460" spans="2:20">
      <c r="B460" s="1054"/>
      <c r="C460" s="1053" t="s">
        <v>905</v>
      </c>
      <c r="D460" s="1052" t="s">
        <v>853</v>
      </c>
      <c r="E460" s="1052"/>
      <c r="F460" s="1052"/>
      <c r="G460" s="1052"/>
      <c r="H460" s="1052">
        <v>6</v>
      </c>
      <c r="I460" s="1051">
        <f t="shared" si="32"/>
        <v>62.88</v>
      </c>
      <c r="J460" s="1050">
        <v>95</v>
      </c>
      <c r="K460" s="1049">
        <v>85</v>
      </c>
      <c r="L460" s="1049">
        <v>4</v>
      </c>
      <c r="M460" s="1049"/>
      <c r="N460" s="1048"/>
      <c r="O460" s="1047">
        <v>10.48</v>
      </c>
      <c r="P460" s="1047">
        <f t="shared" si="34"/>
        <v>0.36</v>
      </c>
      <c r="Q460" s="1064"/>
      <c r="T460" s="1031"/>
    </row>
    <row r="461" spans="2:20">
      <c r="B461" s="1054"/>
      <c r="C461" s="1053" t="s">
        <v>904</v>
      </c>
      <c r="D461" s="1052" t="s">
        <v>853</v>
      </c>
      <c r="E461" s="1052"/>
      <c r="F461" s="1052"/>
      <c r="G461" s="1052"/>
      <c r="H461" s="1052">
        <v>6</v>
      </c>
      <c r="I461" s="1051">
        <f t="shared" si="32"/>
        <v>70.02</v>
      </c>
      <c r="J461" s="1050">
        <v>95</v>
      </c>
      <c r="K461" s="1049">
        <v>85</v>
      </c>
      <c r="L461" s="1049">
        <v>4.5</v>
      </c>
      <c r="M461" s="1049"/>
      <c r="N461" s="1048"/>
      <c r="O461" s="1047">
        <v>11.67</v>
      </c>
      <c r="P461" s="1047">
        <f t="shared" si="34"/>
        <v>0.36</v>
      </c>
      <c r="Q461" s="1064"/>
      <c r="T461" s="1031"/>
    </row>
    <row r="462" spans="2:20">
      <c r="B462" s="1054"/>
      <c r="C462" s="1053" t="s">
        <v>903</v>
      </c>
      <c r="D462" s="1052" t="s">
        <v>853</v>
      </c>
      <c r="E462" s="1052"/>
      <c r="F462" s="1052"/>
      <c r="G462" s="1052"/>
      <c r="H462" s="1052">
        <v>6</v>
      </c>
      <c r="I462" s="1051">
        <f t="shared" si="32"/>
        <v>77.039999999999992</v>
      </c>
      <c r="J462" s="1050">
        <v>95</v>
      </c>
      <c r="K462" s="1049">
        <v>85</v>
      </c>
      <c r="L462" s="1049">
        <v>5</v>
      </c>
      <c r="M462" s="1049"/>
      <c r="N462" s="1048"/>
      <c r="O462" s="1047">
        <v>12.84</v>
      </c>
      <c r="P462" s="1047">
        <f t="shared" si="34"/>
        <v>0.36</v>
      </c>
      <c r="Q462" s="1064"/>
      <c r="T462" s="1031"/>
    </row>
    <row r="463" spans="2:20">
      <c r="B463" s="1054"/>
      <c r="C463" s="1053" t="s">
        <v>902</v>
      </c>
      <c r="D463" s="1052" t="s">
        <v>853</v>
      </c>
      <c r="E463" s="1052"/>
      <c r="F463" s="1052"/>
      <c r="G463" s="1052"/>
      <c r="H463" s="1052">
        <v>6</v>
      </c>
      <c r="I463" s="1051">
        <f t="shared" si="32"/>
        <v>83.88</v>
      </c>
      <c r="J463" s="1050">
        <v>95</v>
      </c>
      <c r="K463" s="1049">
        <v>85</v>
      </c>
      <c r="L463" s="1049">
        <v>5.5</v>
      </c>
      <c r="M463" s="1049"/>
      <c r="N463" s="1048"/>
      <c r="O463" s="1047">
        <v>13.98</v>
      </c>
      <c r="P463" s="1047">
        <f t="shared" si="34"/>
        <v>0.36</v>
      </c>
      <c r="Q463" s="1064"/>
      <c r="T463" s="1031"/>
    </row>
    <row r="464" spans="2:20">
      <c r="B464" s="1054"/>
      <c r="C464" s="1053" t="s">
        <v>901</v>
      </c>
      <c r="D464" s="1052" t="s">
        <v>797</v>
      </c>
      <c r="E464" s="1052"/>
      <c r="F464" s="1052"/>
      <c r="G464" s="1052"/>
      <c r="H464" s="1052">
        <v>6</v>
      </c>
      <c r="I464" s="1051">
        <f t="shared" si="32"/>
        <v>21.84</v>
      </c>
      <c r="J464" s="1050">
        <v>100</v>
      </c>
      <c r="K464" s="1049">
        <v>50</v>
      </c>
      <c r="L464" s="1049">
        <v>1.6</v>
      </c>
      <c r="M464" s="1049"/>
      <c r="N464" s="1048"/>
      <c r="O464" s="1047">
        <v>3.64</v>
      </c>
      <c r="P464" s="1047">
        <f t="shared" si="34"/>
        <v>0.3</v>
      </c>
      <c r="Q464" s="1064"/>
      <c r="T464" s="1031"/>
    </row>
    <row r="465" spans="2:20">
      <c r="B465" s="1054"/>
      <c r="C465" s="1053" t="s">
        <v>900</v>
      </c>
      <c r="D465" s="1052" t="s">
        <v>732</v>
      </c>
      <c r="E465" s="1052"/>
      <c r="F465" s="1052"/>
      <c r="G465" s="1052"/>
      <c r="H465" s="1052">
        <v>6</v>
      </c>
      <c r="I465" s="1051">
        <f t="shared" si="32"/>
        <v>30.839999999999996</v>
      </c>
      <c r="J465" s="1050">
        <v>100</v>
      </c>
      <c r="K465" s="1049">
        <v>50</v>
      </c>
      <c r="L465" s="1049">
        <v>2.2999999999999998</v>
      </c>
      <c r="M465" s="1049"/>
      <c r="N465" s="1048"/>
      <c r="O465" s="1047">
        <v>5.14</v>
      </c>
      <c r="P465" s="1047">
        <f t="shared" si="34"/>
        <v>0.3</v>
      </c>
      <c r="Q465" s="1064"/>
      <c r="T465" s="1031"/>
    </row>
    <row r="466" spans="2:20">
      <c r="B466" s="1054"/>
      <c r="C466" s="1053" t="s">
        <v>899</v>
      </c>
      <c r="D466" s="1052" t="s">
        <v>732</v>
      </c>
      <c r="E466" s="1052"/>
      <c r="F466" s="1052"/>
      <c r="G466" s="1052"/>
      <c r="H466" s="1052">
        <v>6</v>
      </c>
      <c r="I466" s="1051">
        <f t="shared" si="32"/>
        <v>42.06</v>
      </c>
      <c r="J466" s="1050">
        <v>100</v>
      </c>
      <c r="K466" s="1049">
        <v>50</v>
      </c>
      <c r="L466" s="1049">
        <v>3.2</v>
      </c>
      <c r="M466" s="1049"/>
      <c r="N466" s="1048"/>
      <c r="O466" s="1047">
        <v>7.01</v>
      </c>
      <c r="P466" s="1047">
        <f t="shared" si="34"/>
        <v>0.3</v>
      </c>
      <c r="Q466" s="1064"/>
      <c r="T466" s="1031"/>
    </row>
    <row r="467" spans="2:20">
      <c r="B467" s="1054"/>
      <c r="C467" s="1053" t="s">
        <v>898</v>
      </c>
      <c r="D467" s="1052" t="s">
        <v>713</v>
      </c>
      <c r="E467" s="1052"/>
      <c r="F467" s="1052"/>
      <c r="G467" s="1052"/>
      <c r="H467" s="1052">
        <v>6</v>
      </c>
      <c r="I467" s="1051">
        <f t="shared" si="32"/>
        <v>57.300000000000004</v>
      </c>
      <c r="J467" s="1050">
        <v>100</v>
      </c>
      <c r="K467" s="1049">
        <v>50</v>
      </c>
      <c r="L467" s="1049">
        <v>4.5</v>
      </c>
      <c r="M467" s="1049"/>
      <c r="N467" s="1048"/>
      <c r="O467" s="1047">
        <v>9.5500000000000007</v>
      </c>
      <c r="P467" s="1047">
        <f t="shared" si="34"/>
        <v>0.3</v>
      </c>
      <c r="Q467" s="1064"/>
      <c r="T467" s="1031"/>
    </row>
    <row r="468" spans="2:20">
      <c r="B468" s="1054"/>
      <c r="C468" s="1053" t="s">
        <v>897</v>
      </c>
      <c r="D468" s="1052" t="s">
        <v>853</v>
      </c>
      <c r="E468" s="1052"/>
      <c r="F468" s="1052"/>
      <c r="G468" s="1052"/>
      <c r="H468" s="1052">
        <v>6</v>
      </c>
      <c r="I468" s="1051">
        <f t="shared" si="32"/>
        <v>32.700000000000003</v>
      </c>
      <c r="J468" s="1050">
        <v>100</v>
      </c>
      <c r="K468" s="1049">
        <v>80</v>
      </c>
      <c r="L468" s="1049">
        <v>2</v>
      </c>
      <c r="M468" s="1049"/>
      <c r="N468" s="1048"/>
      <c r="O468" s="1047">
        <v>5.45</v>
      </c>
      <c r="P468" s="1047">
        <f t="shared" si="34"/>
        <v>0.36</v>
      </c>
      <c r="Q468" s="1064"/>
      <c r="T468" s="1031"/>
    </row>
    <row r="469" spans="2:20">
      <c r="B469" s="1054"/>
      <c r="C469" s="1053" t="s">
        <v>896</v>
      </c>
      <c r="D469" s="1052" t="s">
        <v>853</v>
      </c>
      <c r="E469" s="1052"/>
      <c r="F469" s="1052"/>
      <c r="G469" s="1052"/>
      <c r="H469" s="1052">
        <v>6</v>
      </c>
      <c r="I469" s="1051">
        <f t="shared" si="32"/>
        <v>40.44</v>
      </c>
      <c r="J469" s="1050">
        <v>100</v>
      </c>
      <c r="K469" s="1049">
        <v>80</v>
      </c>
      <c r="L469" s="1049">
        <v>2.5</v>
      </c>
      <c r="M469" s="1049"/>
      <c r="N469" s="1048"/>
      <c r="O469" s="1047">
        <v>6.74</v>
      </c>
      <c r="P469" s="1047">
        <f t="shared" si="34"/>
        <v>0.36</v>
      </c>
      <c r="Q469" s="1064"/>
      <c r="T469" s="1031"/>
    </row>
    <row r="470" spans="2:20">
      <c r="B470" s="1054"/>
      <c r="C470" s="1053" t="s">
        <v>895</v>
      </c>
      <c r="D470" s="1052" t="s">
        <v>853</v>
      </c>
      <c r="E470" s="1052"/>
      <c r="F470" s="1052"/>
      <c r="G470" s="1052"/>
      <c r="H470" s="1052">
        <v>6</v>
      </c>
      <c r="I470" s="1051">
        <f t="shared" si="32"/>
        <v>48.06</v>
      </c>
      <c r="J470" s="1050">
        <v>100</v>
      </c>
      <c r="K470" s="1049">
        <v>80</v>
      </c>
      <c r="L470" s="1049">
        <v>3</v>
      </c>
      <c r="M470" s="1049"/>
      <c r="N470" s="1048"/>
      <c r="O470" s="1047">
        <v>8.01</v>
      </c>
      <c r="P470" s="1047">
        <f t="shared" si="34"/>
        <v>0.36</v>
      </c>
      <c r="Q470" s="1064"/>
      <c r="T470" s="1031"/>
    </row>
    <row r="471" spans="2:20">
      <c r="B471" s="1054"/>
      <c r="C471" s="1053" t="s">
        <v>894</v>
      </c>
      <c r="D471" s="1052" t="s">
        <v>853</v>
      </c>
      <c r="E471" s="1052"/>
      <c r="F471" s="1052"/>
      <c r="G471" s="1052"/>
      <c r="H471" s="1052">
        <v>6</v>
      </c>
      <c r="I471" s="1051">
        <f t="shared" si="32"/>
        <v>55.56</v>
      </c>
      <c r="J471" s="1050">
        <v>100</v>
      </c>
      <c r="K471" s="1049">
        <v>80</v>
      </c>
      <c r="L471" s="1049">
        <v>3.5</v>
      </c>
      <c r="M471" s="1049"/>
      <c r="N471" s="1048"/>
      <c r="O471" s="1047">
        <v>9.26</v>
      </c>
      <c r="P471" s="1047">
        <f t="shared" si="34"/>
        <v>0.36</v>
      </c>
      <c r="Q471" s="1064"/>
      <c r="T471" s="1031"/>
    </row>
    <row r="472" spans="2:20">
      <c r="B472" s="1054"/>
      <c r="C472" s="1053" t="s">
        <v>893</v>
      </c>
      <c r="D472" s="1052" t="s">
        <v>853</v>
      </c>
      <c r="E472" s="1052"/>
      <c r="F472" s="1052"/>
      <c r="G472" s="1052"/>
      <c r="H472" s="1052">
        <v>6</v>
      </c>
      <c r="I472" s="1051">
        <f t="shared" si="32"/>
        <v>62.88</v>
      </c>
      <c r="J472" s="1050">
        <v>100</v>
      </c>
      <c r="K472" s="1049">
        <v>80</v>
      </c>
      <c r="L472" s="1049">
        <v>4</v>
      </c>
      <c r="M472" s="1049"/>
      <c r="N472" s="1048"/>
      <c r="O472" s="1047">
        <v>10.48</v>
      </c>
      <c r="P472" s="1047">
        <f t="shared" si="34"/>
        <v>0.36</v>
      </c>
      <c r="Q472" s="1064"/>
      <c r="T472" s="1031"/>
    </row>
    <row r="473" spans="2:20">
      <c r="B473" s="1054"/>
      <c r="C473" s="1053" t="s">
        <v>892</v>
      </c>
      <c r="D473" s="1052" t="s">
        <v>853</v>
      </c>
      <c r="E473" s="1052"/>
      <c r="F473" s="1052"/>
      <c r="G473" s="1052"/>
      <c r="H473" s="1052">
        <v>6</v>
      </c>
      <c r="I473" s="1051">
        <f t="shared" si="32"/>
        <v>70.02</v>
      </c>
      <c r="J473" s="1050">
        <v>100</v>
      </c>
      <c r="K473" s="1049">
        <v>80</v>
      </c>
      <c r="L473" s="1049">
        <v>4.5</v>
      </c>
      <c r="M473" s="1049"/>
      <c r="N473" s="1048"/>
      <c r="O473" s="1047">
        <v>11.67</v>
      </c>
      <c r="P473" s="1047">
        <f t="shared" ref="P473:P509" si="35">(2*J473+2*K473)*1/1000</f>
        <v>0.36</v>
      </c>
      <c r="Q473" s="1064"/>
      <c r="T473" s="1031"/>
    </row>
    <row r="474" spans="2:20">
      <c r="B474" s="1054"/>
      <c r="C474" s="1053" t="s">
        <v>891</v>
      </c>
      <c r="D474" s="1052" t="s">
        <v>853</v>
      </c>
      <c r="E474" s="1052"/>
      <c r="F474" s="1052"/>
      <c r="G474" s="1052"/>
      <c r="H474" s="1052">
        <v>6</v>
      </c>
      <c r="I474" s="1051">
        <f t="shared" si="32"/>
        <v>77.039999999999992</v>
      </c>
      <c r="J474" s="1050">
        <v>100</v>
      </c>
      <c r="K474" s="1049">
        <v>80</v>
      </c>
      <c r="L474" s="1049">
        <v>5</v>
      </c>
      <c r="M474" s="1049"/>
      <c r="N474" s="1048"/>
      <c r="O474" s="1047">
        <v>12.84</v>
      </c>
      <c r="P474" s="1047">
        <f t="shared" si="35"/>
        <v>0.36</v>
      </c>
      <c r="Q474" s="1064"/>
      <c r="T474" s="1031"/>
    </row>
    <row r="475" spans="2:20">
      <c r="B475" s="1054"/>
      <c r="C475" s="1053" t="s">
        <v>890</v>
      </c>
      <c r="D475" s="1052" t="s">
        <v>853</v>
      </c>
      <c r="E475" s="1052"/>
      <c r="F475" s="1052"/>
      <c r="G475" s="1052"/>
      <c r="H475" s="1052">
        <v>6</v>
      </c>
      <c r="I475" s="1051">
        <f t="shared" si="32"/>
        <v>83.88</v>
      </c>
      <c r="J475" s="1050">
        <v>100</v>
      </c>
      <c r="K475" s="1049">
        <v>80</v>
      </c>
      <c r="L475" s="1049">
        <v>5.5</v>
      </c>
      <c r="M475" s="1049"/>
      <c r="N475" s="1048"/>
      <c r="O475" s="1047">
        <v>13.98</v>
      </c>
      <c r="P475" s="1047">
        <f t="shared" si="35"/>
        <v>0.36</v>
      </c>
      <c r="Q475" s="1064"/>
      <c r="T475" s="1031"/>
    </row>
    <row r="476" spans="2:20">
      <c r="B476" s="1054"/>
      <c r="C476" s="1053" t="s">
        <v>889</v>
      </c>
      <c r="D476" s="1052" t="s">
        <v>853</v>
      </c>
      <c r="E476" s="1052"/>
      <c r="F476" s="1052"/>
      <c r="G476" s="1052"/>
      <c r="H476" s="1052">
        <v>6</v>
      </c>
      <c r="I476" s="1051">
        <f t="shared" si="32"/>
        <v>53.760000000000005</v>
      </c>
      <c r="J476" s="1050">
        <v>120</v>
      </c>
      <c r="K476" s="1049">
        <v>80</v>
      </c>
      <c r="L476" s="1049">
        <v>3</v>
      </c>
      <c r="M476" s="1049"/>
      <c r="N476" s="1048"/>
      <c r="O476" s="1047">
        <v>8.9600000000000009</v>
      </c>
      <c r="P476" s="1047">
        <f t="shared" si="35"/>
        <v>0.4</v>
      </c>
      <c r="Q476" s="1064"/>
      <c r="T476" s="1031"/>
    </row>
    <row r="477" spans="2:20">
      <c r="B477" s="1054"/>
      <c r="C477" s="1053" t="s">
        <v>888</v>
      </c>
      <c r="D477" s="1052" t="s">
        <v>853</v>
      </c>
      <c r="E477" s="1052"/>
      <c r="F477" s="1052"/>
      <c r="G477" s="1052"/>
      <c r="H477" s="1052">
        <v>6</v>
      </c>
      <c r="I477" s="1051">
        <f t="shared" si="32"/>
        <v>62.16</v>
      </c>
      <c r="J477" s="1050">
        <v>120</v>
      </c>
      <c r="K477" s="1049">
        <v>80</v>
      </c>
      <c r="L477" s="1049">
        <v>3.5</v>
      </c>
      <c r="M477" s="1049"/>
      <c r="N477" s="1048"/>
      <c r="O477" s="1047">
        <v>10.36</v>
      </c>
      <c r="P477" s="1047">
        <f t="shared" si="35"/>
        <v>0.4</v>
      </c>
      <c r="Q477" s="1064"/>
      <c r="T477" s="1031"/>
    </row>
    <row r="478" spans="2:20">
      <c r="B478" s="1054"/>
      <c r="C478" s="1053" t="s">
        <v>887</v>
      </c>
      <c r="D478" s="1052" t="s">
        <v>853</v>
      </c>
      <c r="E478" s="1052"/>
      <c r="F478" s="1052"/>
      <c r="G478" s="1052"/>
      <c r="H478" s="1052">
        <v>6</v>
      </c>
      <c r="I478" s="1051">
        <f t="shared" si="32"/>
        <v>70.38</v>
      </c>
      <c r="J478" s="1050">
        <v>120</v>
      </c>
      <c r="K478" s="1049">
        <v>80</v>
      </c>
      <c r="L478" s="1049">
        <v>4</v>
      </c>
      <c r="M478" s="1049"/>
      <c r="N478" s="1048"/>
      <c r="O478" s="1047">
        <v>11.73</v>
      </c>
      <c r="P478" s="1047">
        <f t="shared" si="35"/>
        <v>0.4</v>
      </c>
      <c r="Q478" s="1064"/>
      <c r="T478" s="1031"/>
    </row>
    <row r="479" spans="2:20">
      <c r="B479" s="1054"/>
      <c r="C479" s="1053" t="s">
        <v>886</v>
      </c>
      <c r="D479" s="1052" t="s">
        <v>853</v>
      </c>
      <c r="E479" s="1052"/>
      <c r="F479" s="1052"/>
      <c r="G479" s="1052"/>
      <c r="H479" s="1052">
        <v>6</v>
      </c>
      <c r="I479" s="1051">
        <f t="shared" si="32"/>
        <v>78.48</v>
      </c>
      <c r="J479" s="1050">
        <v>120</v>
      </c>
      <c r="K479" s="1049">
        <v>80</v>
      </c>
      <c r="L479" s="1049">
        <v>4.5</v>
      </c>
      <c r="M479" s="1049"/>
      <c r="N479" s="1048"/>
      <c r="O479" s="1047">
        <v>13.08</v>
      </c>
      <c r="P479" s="1047">
        <f t="shared" si="35"/>
        <v>0.4</v>
      </c>
      <c r="Q479" s="1064"/>
      <c r="T479" s="1031"/>
    </row>
    <row r="480" spans="2:20">
      <c r="B480" s="1054"/>
      <c r="C480" s="1053" t="s">
        <v>885</v>
      </c>
      <c r="D480" s="1052" t="s">
        <v>853</v>
      </c>
      <c r="E480" s="1052"/>
      <c r="F480" s="1052"/>
      <c r="G480" s="1052"/>
      <c r="H480" s="1052">
        <v>6</v>
      </c>
      <c r="I480" s="1051">
        <f t="shared" si="32"/>
        <v>86.460000000000008</v>
      </c>
      <c r="J480" s="1050">
        <v>120</v>
      </c>
      <c r="K480" s="1049">
        <v>80</v>
      </c>
      <c r="L480" s="1049">
        <v>5</v>
      </c>
      <c r="M480" s="1049"/>
      <c r="N480" s="1048"/>
      <c r="O480" s="1047">
        <v>14.41</v>
      </c>
      <c r="P480" s="1047">
        <f t="shared" si="35"/>
        <v>0.4</v>
      </c>
      <c r="Q480" s="1064"/>
      <c r="T480" s="1031"/>
    </row>
    <row r="481" spans="2:20">
      <c r="B481" s="1054"/>
      <c r="C481" s="1053" t="s">
        <v>884</v>
      </c>
      <c r="D481" s="1052" t="s">
        <v>853</v>
      </c>
      <c r="E481" s="1052"/>
      <c r="F481" s="1052"/>
      <c r="G481" s="1052"/>
      <c r="H481" s="1052">
        <v>6</v>
      </c>
      <c r="I481" s="1051">
        <f t="shared" si="32"/>
        <v>94.26</v>
      </c>
      <c r="J481" s="1050">
        <v>120</v>
      </c>
      <c r="K481" s="1049">
        <v>80</v>
      </c>
      <c r="L481" s="1049">
        <v>5.5</v>
      </c>
      <c r="M481" s="1049"/>
      <c r="N481" s="1048"/>
      <c r="O481" s="1047">
        <v>15.71</v>
      </c>
      <c r="P481" s="1047">
        <f t="shared" si="35"/>
        <v>0.4</v>
      </c>
      <c r="Q481" s="1064"/>
      <c r="T481" s="1031"/>
    </row>
    <row r="482" spans="2:20">
      <c r="B482" s="1054"/>
      <c r="C482" s="1053" t="s">
        <v>883</v>
      </c>
      <c r="D482" s="1052" t="s">
        <v>713</v>
      </c>
      <c r="E482" s="1052"/>
      <c r="F482" s="1052"/>
      <c r="G482" s="1052" t="s">
        <v>865</v>
      </c>
      <c r="H482" s="1052">
        <v>6</v>
      </c>
      <c r="I482" s="1051">
        <f t="shared" si="32"/>
        <v>57.12</v>
      </c>
      <c r="J482" s="1050">
        <v>125</v>
      </c>
      <c r="K482" s="1049">
        <v>75</v>
      </c>
      <c r="L482" s="1049">
        <v>3.2</v>
      </c>
      <c r="M482" s="1049"/>
      <c r="N482" s="1048"/>
      <c r="O482" s="1047">
        <v>9.52</v>
      </c>
      <c r="P482" s="1047">
        <f t="shared" si="35"/>
        <v>0.4</v>
      </c>
      <c r="Q482" s="1064"/>
      <c r="T482" s="1031"/>
    </row>
    <row r="483" spans="2:20">
      <c r="B483" s="1054"/>
      <c r="C483" s="1053" t="s">
        <v>882</v>
      </c>
      <c r="D483" s="1052" t="s">
        <v>713</v>
      </c>
      <c r="E483" s="1052"/>
      <c r="F483" s="1052"/>
      <c r="G483" s="1052" t="s">
        <v>865</v>
      </c>
      <c r="H483" s="1052">
        <v>6</v>
      </c>
      <c r="I483" s="1051">
        <f t="shared" ref="I483:I546" si="36">O483*H483</f>
        <v>70.199999999999989</v>
      </c>
      <c r="J483" s="1050">
        <v>125</v>
      </c>
      <c r="K483" s="1049">
        <v>75</v>
      </c>
      <c r="L483" s="1049">
        <v>4</v>
      </c>
      <c r="M483" s="1049"/>
      <c r="N483" s="1048"/>
      <c r="O483" s="1047">
        <v>11.7</v>
      </c>
      <c r="P483" s="1047">
        <f t="shared" si="35"/>
        <v>0.4</v>
      </c>
      <c r="Q483" s="1064"/>
      <c r="T483" s="1031"/>
    </row>
    <row r="484" spans="2:20">
      <c r="B484" s="1054"/>
      <c r="C484" s="1053" t="s">
        <v>881</v>
      </c>
      <c r="D484" s="1052" t="s">
        <v>713</v>
      </c>
      <c r="E484" s="1052"/>
      <c r="F484" s="1052"/>
      <c r="G484" s="1052" t="s">
        <v>865</v>
      </c>
      <c r="H484" s="1052">
        <v>6</v>
      </c>
      <c r="I484" s="1051">
        <f t="shared" si="36"/>
        <v>78.599999999999994</v>
      </c>
      <c r="J484" s="1050">
        <v>125</v>
      </c>
      <c r="K484" s="1049">
        <v>75</v>
      </c>
      <c r="L484" s="1049">
        <v>4.5</v>
      </c>
      <c r="M484" s="1049"/>
      <c r="N484" s="1048"/>
      <c r="O484" s="1047">
        <v>13.1</v>
      </c>
      <c r="P484" s="1047">
        <f t="shared" si="35"/>
        <v>0.4</v>
      </c>
      <c r="Q484" s="1064"/>
      <c r="T484" s="1031"/>
    </row>
    <row r="485" spans="2:20">
      <c r="B485" s="1054"/>
      <c r="C485" s="1053" t="s">
        <v>880</v>
      </c>
      <c r="D485" s="1052" t="s">
        <v>713</v>
      </c>
      <c r="E485" s="1052"/>
      <c r="F485" s="1052"/>
      <c r="G485" s="1052" t="s">
        <v>865</v>
      </c>
      <c r="H485" s="1052">
        <v>6</v>
      </c>
      <c r="I485" s="1051">
        <f t="shared" si="36"/>
        <v>102</v>
      </c>
      <c r="J485" s="1050">
        <v>125</v>
      </c>
      <c r="K485" s="1049">
        <v>75</v>
      </c>
      <c r="L485" s="1049">
        <v>6</v>
      </c>
      <c r="M485" s="1049"/>
      <c r="N485" s="1048"/>
      <c r="O485" s="1047">
        <v>17</v>
      </c>
      <c r="P485" s="1047">
        <f t="shared" si="35"/>
        <v>0.4</v>
      </c>
      <c r="Q485" s="1064"/>
      <c r="T485" s="1031"/>
    </row>
    <row r="486" spans="2:20">
      <c r="B486" s="1054"/>
      <c r="C486" s="1053" t="s">
        <v>879</v>
      </c>
      <c r="D486" s="1052" t="s">
        <v>713</v>
      </c>
      <c r="E486" s="1052"/>
      <c r="F486" s="1052"/>
      <c r="G486" s="1052"/>
      <c r="H486" s="1052">
        <v>6</v>
      </c>
      <c r="I486" s="1051">
        <f t="shared" si="36"/>
        <v>36.660000000000004</v>
      </c>
      <c r="J486" s="1050">
        <v>127</v>
      </c>
      <c r="K486" s="1049">
        <v>50</v>
      </c>
      <c r="L486" s="1049">
        <v>2.2999999999999998</v>
      </c>
      <c r="M486" s="1049"/>
      <c r="N486" s="1048"/>
      <c r="O486" s="1047">
        <v>6.11</v>
      </c>
      <c r="P486" s="1047">
        <f t="shared" si="35"/>
        <v>0.35399999999999998</v>
      </c>
      <c r="Q486" s="1064"/>
      <c r="T486" s="1031"/>
    </row>
    <row r="487" spans="2:20">
      <c r="B487" s="1054"/>
      <c r="C487" s="1053" t="s">
        <v>878</v>
      </c>
      <c r="D487" s="1052" t="s">
        <v>713</v>
      </c>
      <c r="E487" s="1052"/>
      <c r="F487" s="1052"/>
      <c r="G487" s="1052"/>
      <c r="H487" s="1052">
        <v>6</v>
      </c>
      <c r="I487" s="1051">
        <f t="shared" si="36"/>
        <v>50.099999999999994</v>
      </c>
      <c r="J487" s="1050">
        <v>127</v>
      </c>
      <c r="K487" s="1049">
        <v>50</v>
      </c>
      <c r="L487" s="1049">
        <v>3.2</v>
      </c>
      <c r="M487" s="1049"/>
      <c r="N487" s="1048"/>
      <c r="O487" s="1047">
        <v>8.35</v>
      </c>
      <c r="P487" s="1047">
        <f t="shared" si="35"/>
        <v>0.35399999999999998</v>
      </c>
      <c r="Q487" s="1064"/>
      <c r="T487" s="1031"/>
    </row>
    <row r="488" spans="2:20">
      <c r="B488" s="1054"/>
      <c r="C488" s="1053" t="s">
        <v>877</v>
      </c>
      <c r="D488" s="1052" t="s">
        <v>713</v>
      </c>
      <c r="E488" s="1052"/>
      <c r="F488" s="1052"/>
      <c r="G488" s="1052" t="s">
        <v>865</v>
      </c>
      <c r="H488" s="1052">
        <v>6</v>
      </c>
      <c r="I488" s="1051">
        <f t="shared" si="36"/>
        <v>91.199999999999989</v>
      </c>
      <c r="J488" s="1050">
        <v>150</v>
      </c>
      <c r="K488" s="1049">
        <v>80</v>
      </c>
      <c r="L488" s="1049">
        <v>4.5</v>
      </c>
      <c r="M488" s="1049"/>
      <c r="N488" s="1048"/>
      <c r="O488" s="1047">
        <v>15.2</v>
      </c>
      <c r="P488" s="1047">
        <f t="shared" si="35"/>
        <v>0.46</v>
      </c>
      <c r="Q488" s="1064"/>
      <c r="T488" s="1031"/>
    </row>
    <row r="489" spans="2:20">
      <c r="B489" s="1054"/>
      <c r="C489" s="1053" t="s">
        <v>876</v>
      </c>
      <c r="D489" s="1052" t="s">
        <v>713</v>
      </c>
      <c r="E489" s="1052"/>
      <c r="F489" s="1052"/>
      <c r="G489" s="1052" t="s">
        <v>865</v>
      </c>
      <c r="H489" s="1052">
        <v>6</v>
      </c>
      <c r="I489" s="1051">
        <f t="shared" si="36"/>
        <v>100.80000000000001</v>
      </c>
      <c r="J489" s="1050">
        <v>150</v>
      </c>
      <c r="K489" s="1049">
        <v>80</v>
      </c>
      <c r="L489" s="1049">
        <v>5</v>
      </c>
      <c r="M489" s="1049"/>
      <c r="N489" s="1048"/>
      <c r="O489" s="1047">
        <v>16.8</v>
      </c>
      <c r="P489" s="1047">
        <f t="shared" si="35"/>
        <v>0.46</v>
      </c>
      <c r="Q489" s="1064"/>
      <c r="T489" s="1031"/>
    </row>
    <row r="490" spans="2:20">
      <c r="B490" s="1054"/>
      <c r="C490" s="1053" t="s">
        <v>875</v>
      </c>
      <c r="D490" s="1052" t="s">
        <v>713</v>
      </c>
      <c r="E490" s="1052"/>
      <c r="F490" s="1052"/>
      <c r="G490" s="1052" t="s">
        <v>865</v>
      </c>
      <c r="H490" s="1052">
        <v>6</v>
      </c>
      <c r="I490" s="1051">
        <f t="shared" si="36"/>
        <v>118.80000000000001</v>
      </c>
      <c r="J490" s="1050">
        <v>150</v>
      </c>
      <c r="K490" s="1049">
        <v>80</v>
      </c>
      <c r="L490" s="1049">
        <v>6</v>
      </c>
      <c r="M490" s="1049"/>
      <c r="N490" s="1048"/>
      <c r="O490" s="1047">
        <v>19.8</v>
      </c>
      <c r="P490" s="1047">
        <f t="shared" si="35"/>
        <v>0.46</v>
      </c>
      <c r="Q490" s="1064"/>
      <c r="T490" s="1031"/>
    </row>
    <row r="491" spans="2:20">
      <c r="B491" s="1054"/>
      <c r="C491" s="1053" t="s">
        <v>874</v>
      </c>
      <c r="D491" s="1052" t="s">
        <v>713</v>
      </c>
      <c r="E491" s="1052"/>
      <c r="F491" s="1052"/>
      <c r="G491" s="1052" t="s">
        <v>865</v>
      </c>
      <c r="H491" s="1052">
        <v>6</v>
      </c>
      <c r="I491" s="1051">
        <f t="shared" si="36"/>
        <v>72</v>
      </c>
      <c r="J491" s="1050">
        <v>150</v>
      </c>
      <c r="K491" s="1049">
        <v>100</v>
      </c>
      <c r="L491" s="1049">
        <v>3.2</v>
      </c>
      <c r="M491" s="1049"/>
      <c r="N491" s="1048"/>
      <c r="O491" s="1047">
        <v>12</v>
      </c>
      <c r="P491" s="1047">
        <f t="shared" si="35"/>
        <v>0.5</v>
      </c>
      <c r="Q491" s="1064"/>
      <c r="T491" s="1031"/>
    </row>
    <row r="492" spans="2:20">
      <c r="B492" s="1054"/>
      <c r="C492" s="1053" t="s">
        <v>873</v>
      </c>
      <c r="D492" s="1052" t="s">
        <v>853</v>
      </c>
      <c r="E492" s="1052"/>
      <c r="F492" s="1052"/>
      <c r="G492" s="1052"/>
      <c r="H492" s="1052">
        <v>6</v>
      </c>
      <c r="I492" s="1051">
        <f t="shared" si="36"/>
        <v>89.22</v>
      </c>
      <c r="J492" s="1050">
        <v>150</v>
      </c>
      <c r="K492" s="1049">
        <v>100</v>
      </c>
      <c r="L492" s="1049">
        <v>4</v>
      </c>
      <c r="M492" s="1049"/>
      <c r="N492" s="1048"/>
      <c r="O492" s="1047">
        <v>14.87</v>
      </c>
      <c r="P492" s="1047">
        <f t="shared" si="35"/>
        <v>0.5</v>
      </c>
      <c r="Q492" s="1064"/>
      <c r="T492" s="1031"/>
    </row>
    <row r="493" spans="2:20">
      <c r="B493" s="1054"/>
      <c r="C493" s="1053" t="s">
        <v>872</v>
      </c>
      <c r="D493" s="1052" t="s">
        <v>713</v>
      </c>
      <c r="E493" s="1052"/>
      <c r="F493" s="1052"/>
      <c r="G493" s="1052" t="s">
        <v>865</v>
      </c>
      <c r="H493" s="1052">
        <v>6</v>
      </c>
      <c r="I493" s="1051">
        <f t="shared" si="36"/>
        <v>99.600000000000009</v>
      </c>
      <c r="J493" s="1050">
        <v>150</v>
      </c>
      <c r="K493" s="1049">
        <v>100</v>
      </c>
      <c r="L493" s="1049">
        <v>4.5</v>
      </c>
      <c r="M493" s="1049"/>
      <c r="N493" s="1048"/>
      <c r="O493" s="1047">
        <v>16.600000000000001</v>
      </c>
      <c r="P493" s="1047">
        <f t="shared" si="35"/>
        <v>0.5</v>
      </c>
      <c r="Q493" s="1064"/>
      <c r="T493" s="1031"/>
    </row>
    <row r="494" spans="2:20">
      <c r="B494" s="1054"/>
      <c r="C494" s="1053" t="s">
        <v>871</v>
      </c>
      <c r="D494" s="1052" t="s">
        <v>866</v>
      </c>
      <c r="E494" s="1052"/>
      <c r="F494" s="1052"/>
      <c r="G494" s="1052" t="s">
        <v>865</v>
      </c>
      <c r="H494" s="1052">
        <v>6</v>
      </c>
      <c r="I494" s="1051">
        <f t="shared" si="36"/>
        <v>130.14000000000001</v>
      </c>
      <c r="J494" s="1050">
        <v>150</v>
      </c>
      <c r="K494" s="1049">
        <v>100</v>
      </c>
      <c r="L494" s="1049">
        <v>6</v>
      </c>
      <c r="M494" s="1049"/>
      <c r="N494" s="1048"/>
      <c r="O494" s="1047">
        <v>21.69</v>
      </c>
      <c r="P494" s="1047">
        <f t="shared" si="35"/>
        <v>0.5</v>
      </c>
      <c r="Q494" s="1064"/>
      <c r="T494" s="1031"/>
    </row>
    <row r="495" spans="2:20">
      <c r="B495" s="1054"/>
      <c r="C495" s="1053" t="s">
        <v>870</v>
      </c>
      <c r="D495" s="1052" t="s">
        <v>853</v>
      </c>
      <c r="E495" s="1052"/>
      <c r="F495" s="1052"/>
      <c r="G495" s="1052"/>
      <c r="H495" s="1052">
        <v>6</v>
      </c>
      <c r="I495" s="1051">
        <f t="shared" si="36"/>
        <v>165.96</v>
      </c>
      <c r="J495" s="1050">
        <v>150</v>
      </c>
      <c r="K495" s="1049">
        <v>100</v>
      </c>
      <c r="L495" s="1049">
        <v>8</v>
      </c>
      <c r="M495" s="1049"/>
      <c r="N495" s="1048"/>
      <c r="O495" s="1047">
        <v>27.66</v>
      </c>
      <c r="P495" s="1047">
        <f t="shared" si="35"/>
        <v>0.5</v>
      </c>
      <c r="Q495" s="1064"/>
      <c r="T495" s="1031"/>
    </row>
    <row r="496" spans="2:20">
      <c r="B496" s="1054"/>
      <c r="C496" s="1053" t="s">
        <v>869</v>
      </c>
      <c r="D496" s="1052" t="s">
        <v>853</v>
      </c>
      <c r="E496" s="1052"/>
      <c r="F496" s="1052"/>
      <c r="G496" s="1052"/>
      <c r="H496" s="1052">
        <v>6</v>
      </c>
      <c r="I496" s="1051">
        <f t="shared" si="36"/>
        <v>108.06</v>
      </c>
      <c r="J496" s="1050">
        <v>200</v>
      </c>
      <c r="K496" s="1049">
        <v>100</v>
      </c>
      <c r="L496" s="1049">
        <v>4</v>
      </c>
      <c r="M496" s="1049"/>
      <c r="N496" s="1048"/>
      <c r="O496" s="1047">
        <v>18.010000000000002</v>
      </c>
      <c r="P496" s="1047">
        <f t="shared" si="35"/>
        <v>0.6</v>
      </c>
      <c r="Q496" s="1064"/>
      <c r="T496" s="1031"/>
    </row>
    <row r="497" spans="2:20">
      <c r="B497" s="1054"/>
      <c r="C497" s="1053" t="s">
        <v>868</v>
      </c>
      <c r="D497" s="1052" t="s">
        <v>713</v>
      </c>
      <c r="E497" s="1052"/>
      <c r="F497" s="1052"/>
      <c r="G497" s="1052" t="s">
        <v>865</v>
      </c>
      <c r="H497" s="1052">
        <v>6</v>
      </c>
      <c r="I497" s="1051">
        <f t="shared" si="36"/>
        <v>120.60000000000001</v>
      </c>
      <c r="J497" s="1050">
        <v>200</v>
      </c>
      <c r="K497" s="1049">
        <v>100</v>
      </c>
      <c r="L497" s="1049">
        <v>4.5</v>
      </c>
      <c r="M497" s="1049"/>
      <c r="N497" s="1048"/>
      <c r="O497" s="1047">
        <v>20.100000000000001</v>
      </c>
      <c r="P497" s="1047">
        <f t="shared" si="35"/>
        <v>0.6</v>
      </c>
      <c r="Q497" s="1064"/>
      <c r="T497" s="1031"/>
    </row>
    <row r="498" spans="2:20">
      <c r="B498" s="1054"/>
      <c r="C498" s="1053" t="s">
        <v>867</v>
      </c>
      <c r="D498" s="1052" t="s">
        <v>866</v>
      </c>
      <c r="E498" s="1052"/>
      <c r="F498" s="1052"/>
      <c r="G498" s="1052" t="s">
        <v>865</v>
      </c>
      <c r="H498" s="1052">
        <v>6</v>
      </c>
      <c r="I498" s="1051">
        <f t="shared" si="36"/>
        <v>158.39999999999998</v>
      </c>
      <c r="J498" s="1050">
        <v>200</v>
      </c>
      <c r="K498" s="1049">
        <v>100</v>
      </c>
      <c r="L498" s="1049">
        <v>6</v>
      </c>
      <c r="M498" s="1049"/>
      <c r="N498" s="1048"/>
      <c r="O498" s="1047">
        <v>26.4</v>
      </c>
      <c r="P498" s="1047">
        <f t="shared" si="35"/>
        <v>0.6</v>
      </c>
      <c r="Q498" s="1064"/>
      <c r="T498" s="1031"/>
    </row>
    <row r="499" spans="2:20">
      <c r="B499" s="1054"/>
      <c r="C499" s="1053" t="s">
        <v>864</v>
      </c>
      <c r="D499" s="1052" t="s">
        <v>853</v>
      </c>
      <c r="E499" s="1052"/>
      <c r="F499" s="1052"/>
      <c r="G499" s="1052"/>
      <c r="H499" s="1052">
        <v>6</v>
      </c>
      <c r="I499" s="1051">
        <f t="shared" si="36"/>
        <v>203.64</v>
      </c>
      <c r="J499" s="1050">
        <v>200</v>
      </c>
      <c r="K499" s="1049">
        <v>100</v>
      </c>
      <c r="L499" s="1049">
        <v>8</v>
      </c>
      <c r="M499" s="1049"/>
      <c r="N499" s="1048"/>
      <c r="O499" s="1047">
        <v>33.94</v>
      </c>
      <c r="P499" s="1047">
        <f t="shared" si="35"/>
        <v>0.6</v>
      </c>
      <c r="Q499" s="1064"/>
      <c r="T499" s="1031"/>
    </row>
    <row r="500" spans="2:20">
      <c r="B500" s="1054"/>
      <c r="C500" s="1053" t="s">
        <v>863</v>
      </c>
      <c r="D500" s="1052" t="s">
        <v>853</v>
      </c>
      <c r="E500" s="1052"/>
      <c r="F500" s="1052"/>
      <c r="G500" s="1052"/>
      <c r="H500" s="1052">
        <v>6</v>
      </c>
      <c r="I500" s="1051">
        <f t="shared" si="36"/>
        <v>145.74</v>
      </c>
      <c r="J500" s="1050">
        <v>250</v>
      </c>
      <c r="K500" s="1049">
        <v>150</v>
      </c>
      <c r="L500" s="1049">
        <v>4</v>
      </c>
      <c r="M500" s="1049"/>
      <c r="N500" s="1048"/>
      <c r="O500" s="1047">
        <v>24.29</v>
      </c>
      <c r="P500" s="1047">
        <f t="shared" si="35"/>
        <v>0.8</v>
      </c>
      <c r="Q500" s="1064"/>
      <c r="T500" s="1031"/>
    </row>
    <row r="501" spans="2:20">
      <c r="B501" s="1054"/>
      <c r="C501" s="1053" t="s">
        <v>862</v>
      </c>
      <c r="D501" s="1052" t="s">
        <v>853</v>
      </c>
      <c r="E501" s="1052"/>
      <c r="F501" s="1052"/>
      <c r="G501" s="1052"/>
      <c r="H501" s="1052">
        <v>6</v>
      </c>
      <c r="I501" s="1051">
        <f t="shared" si="36"/>
        <v>214.92000000000002</v>
      </c>
      <c r="J501" s="1050">
        <v>250</v>
      </c>
      <c r="K501" s="1049">
        <v>150</v>
      </c>
      <c r="L501" s="1049">
        <v>6</v>
      </c>
      <c r="M501" s="1049"/>
      <c r="N501" s="1048"/>
      <c r="O501" s="1047">
        <v>35.82</v>
      </c>
      <c r="P501" s="1047">
        <f t="shared" si="35"/>
        <v>0.8</v>
      </c>
      <c r="Q501" s="1064"/>
      <c r="T501" s="1031"/>
    </row>
    <row r="502" spans="2:20">
      <c r="B502" s="1054"/>
      <c r="C502" s="1053" t="s">
        <v>861</v>
      </c>
      <c r="D502" s="1052" t="s">
        <v>853</v>
      </c>
      <c r="E502" s="1052"/>
      <c r="F502" s="1052"/>
      <c r="G502" s="1052"/>
      <c r="H502" s="1052">
        <v>6</v>
      </c>
      <c r="I502" s="1051">
        <f t="shared" si="36"/>
        <v>279</v>
      </c>
      <c r="J502" s="1050">
        <v>250</v>
      </c>
      <c r="K502" s="1049">
        <v>150</v>
      </c>
      <c r="L502" s="1049">
        <v>8</v>
      </c>
      <c r="M502" s="1049"/>
      <c r="N502" s="1048"/>
      <c r="O502" s="1047">
        <v>46.5</v>
      </c>
      <c r="P502" s="1047">
        <f t="shared" si="35"/>
        <v>0.8</v>
      </c>
      <c r="Q502" s="1064"/>
      <c r="T502" s="1031"/>
    </row>
    <row r="503" spans="2:20">
      <c r="B503" s="1054"/>
      <c r="C503" s="1053" t="s">
        <v>860</v>
      </c>
      <c r="D503" s="1052" t="s">
        <v>853</v>
      </c>
      <c r="E503" s="1052"/>
      <c r="F503" s="1052"/>
      <c r="G503" s="1052"/>
      <c r="H503" s="1052">
        <v>6</v>
      </c>
      <c r="I503" s="1051">
        <f t="shared" si="36"/>
        <v>395.88</v>
      </c>
      <c r="J503" s="1050">
        <v>250</v>
      </c>
      <c r="K503" s="1049">
        <v>150</v>
      </c>
      <c r="L503" s="1049">
        <v>12</v>
      </c>
      <c r="M503" s="1049"/>
      <c r="N503" s="1048"/>
      <c r="O503" s="1047">
        <v>65.98</v>
      </c>
      <c r="P503" s="1047">
        <f t="shared" si="35"/>
        <v>0.8</v>
      </c>
      <c r="Q503" s="1064"/>
      <c r="T503" s="1031"/>
    </row>
    <row r="504" spans="2:20">
      <c r="B504" s="1054"/>
      <c r="C504" s="1053" t="s">
        <v>859</v>
      </c>
      <c r="D504" s="1052" t="s">
        <v>853</v>
      </c>
      <c r="E504" s="1052"/>
      <c r="F504" s="1052"/>
      <c r="G504" s="1052"/>
      <c r="H504" s="1052">
        <v>6</v>
      </c>
      <c r="I504" s="1051">
        <f t="shared" si="36"/>
        <v>214.92000000000002</v>
      </c>
      <c r="J504" s="1050">
        <v>300</v>
      </c>
      <c r="K504" s="1049">
        <v>100</v>
      </c>
      <c r="L504" s="1049">
        <v>6</v>
      </c>
      <c r="M504" s="1049"/>
      <c r="N504" s="1048"/>
      <c r="O504" s="1047">
        <v>35.82</v>
      </c>
      <c r="P504" s="1047">
        <f t="shared" si="35"/>
        <v>0.8</v>
      </c>
      <c r="Q504" s="1064"/>
      <c r="T504" s="1031"/>
    </row>
    <row r="505" spans="2:20">
      <c r="B505" s="1054"/>
      <c r="C505" s="1053" t="s">
        <v>858</v>
      </c>
      <c r="D505" s="1052" t="s">
        <v>853</v>
      </c>
      <c r="E505" s="1052"/>
      <c r="F505" s="1052"/>
      <c r="G505" s="1052"/>
      <c r="H505" s="1052">
        <v>6</v>
      </c>
      <c r="I505" s="1051">
        <f t="shared" si="36"/>
        <v>279</v>
      </c>
      <c r="J505" s="1050">
        <v>300</v>
      </c>
      <c r="K505" s="1049">
        <v>100</v>
      </c>
      <c r="L505" s="1049">
        <v>8</v>
      </c>
      <c r="M505" s="1049"/>
      <c r="N505" s="1048"/>
      <c r="O505" s="1047">
        <v>46.5</v>
      </c>
      <c r="P505" s="1047">
        <f t="shared" si="35"/>
        <v>0.8</v>
      </c>
      <c r="Q505" s="1064"/>
      <c r="T505" s="1031"/>
    </row>
    <row r="506" spans="2:20">
      <c r="B506" s="1054"/>
      <c r="C506" s="1053" t="s">
        <v>857</v>
      </c>
      <c r="D506" s="1052" t="s">
        <v>853</v>
      </c>
      <c r="E506" s="1052"/>
      <c r="F506" s="1052"/>
      <c r="G506" s="1052"/>
      <c r="H506" s="1052">
        <v>6</v>
      </c>
      <c r="I506" s="1051">
        <f t="shared" si="36"/>
        <v>395.88</v>
      </c>
      <c r="J506" s="1050">
        <v>300</v>
      </c>
      <c r="K506" s="1049">
        <v>100</v>
      </c>
      <c r="L506" s="1049">
        <v>12</v>
      </c>
      <c r="M506" s="1049"/>
      <c r="N506" s="1048"/>
      <c r="O506" s="1047">
        <v>65.98</v>
      </c>
      <c r="P506" s="1047">
        <f t="shared" si="35"/>
        <v>0.8</v>
      </c>
      <c r="Q506" s="1064"/>
      <c r="T506" s="1031"/>
    </row>
    <row r="507" spans="2:20">
      <c r="B507" s="1054"/>
      <c r="C507" s="1053" t="s">
        <v>856</v>
      </c>
      <c r="D507" s="1052" t="s">
        <v>853</v>
      </c>
      <c r="E507" s="1052"/>
      <c r="F507" s="1052"/>
      <c r="G507" s="1052"/>
      <c r="H507" s="1052">
        <v>6</v>
      </c>
      <c r="I507" s="1051">
        <f t="shared" si="36"/>
        <v>271.44</v>
      </c>
      <c r="J507" s="1050">
        <v>300</v>
      </c>
      <c r="K507" s="1049">
        <v>200</v>
      </c>
      <c r="L507" s="1049">
        <v>6</v>
      </c>
      <c r="M507" s="1049"/>
      <c r="N507" s="1048"/>
      <c r="O507" s="1047">
        <v>45.24</v>
      </c>
      <c r="P507" s="1047">
        <f t="shared" si="35"/>
        <v>1</v>
      </c>
      <c r="Q507" s="1064"/>
      <c r="T507" s="1031"/>
    </row>
    <row r="508" spans="2:20">
      <c r="B508" s="1054"/>
      <c r="C508" s="1053" t="s">
        <v>855</v>
      </c>
      <c r="D508" s="1052" t="s">
        <v>853</v>
      </c>
      <c r="E508" s="1052"/>
      <c r="F508" s="1052"/>
      <c r="G508" s="1052"/>
      <c r="H508" s="1052">
        <v>6</v>
      </c>
      <c r="I508" s="1051">
        <f t="shared" si="36"/>
        <v>354.36</v>
      </c>
      <c r="J508" s="1050">
        <v>300</v>
      </c>
      <c r="K508" s="1049">
        <v>200</v>
      </c>
      <c r="L508" s="1049">
        <v>8</v>
      </c>
      <c r="M508" s="1049"/>
      <c r="N508" s="1048"/>
      <c r="O508" s="1047">
        <v>59.06</v>
      </c>
      <c r="P508" s="1047">
        <f t="shared" si="35"/>
        <v>1</v>
      </c>
      <c r="Q508" s="1064"/>
      <c r="T508" s="1031"/>
    </row>
    <row r="509" spans="2:20">
      <c r="B509" s="1054"/>
      <c r="C509" s="1053" t="s">
        <v>854</v>
      </c>
      <c r="D509" s="1052" t="s">
        <v>853</v>
      </c>
      <c r="E509" s="1052"/>
      <c r="F509" s="1052"/>
      <c r="G509" s="1052"/>
      <c r="H509" s="1052">
        <v>6</v>
      </c>
      <c r="I509" s="1051">
        <f t="shared" si="36"/>
        <v>508.91999999999996</v>
      </c>
      <c r="J509" s="1050">
        <v>300</v>
      </c>
      <c r="K509" s="1049">
        <v>200</v>
      </c>
      <c r="L509" s="1049">
        <v>12</v>
      </c>
      <c r="M509" s="1049"/>
      <c r="N509" s="1048"/>
      <c r="O509" s="1047">
        <v>84.82</v>
      </c>
      <c r="P509" s="1047">
        <f t="shared" si="35"/>
        <v>1</v>
      </c>
      <c r="Q509" s="1064"/>
      <c r="T509" s="1031"/>
    </row>
    <row r="510" spans="2:20">
      <c r="B510" s="1054" t="s">
        <v>629</v>
      </c>
      <c r="C510" s="1053" t="s">
        <v>852</v>
      </c>
      <c r="D510" s="1052"/>
      <c r="E510" s="1052" t="s">
        <v>431</v>
      </c>
      <c r="F510" s="1052"/>
      <c r="G510" s="1052"/>
      <c r="H510" s="1052">
        <v>6</v>
      </c>
      <c r="I510" s="1051">
        <f t="shared" si="36"/>
        <v>1.59</v>
      </c>
      <c r="J510" s="1050">
        <v>12.7</v>
      </c>
      <c r="K510" s="1049">
        <v>0.9</v>
      </c>
      <c r="L510" s="1049"/>
      <c r="M510" s="1049"/>
      <c r="N510" s="1048"/>
      <c r="O510" s="1047">
        <v>0.26500000000000001</v>
      </c>
      <c r="P510" s="1047">
        <f t="shared" ref="P510:P573" si="37">PI()*J510*1/1000</f>
        <v>3.9898226700590372E-2</v>
      </c>
      <c r="Q510" s="1064" t="s">
        <v>788</v>
      </c>
      <c r="T510" s="1031"/>
    </row>
    <row r="511" spans="2:20">
      <c r="B511" s="1054"/>
      <c r="C511" s="1053" t="s">
        <v>851</v>
      </c>
      <c r="D511" s="1052"/>
      <c r="E511" s="1052" t="s">
        <v>431</v>
      </c>
      <c r="F511" s="1052"/>
      <c r="G511" s="1052"/>
      <c r="H511" s="1052">
        <v>6</v>
      </c>
      <c r="I511" s="1051">
        <f t="shared" si="36"/>
        <v>5.46</v>
      </c>
      <c r="J511" s="1050">
        <v>21.4</v>
      </c>
      <c r="K511" s="1049">
        <v>1.9</v>
      </c>
      <c r="L511" s="1049"/>
      <c r="M511" s="1049"/>
      <c r="N511" s="1048"/>
      <c r="O511" s="1047">
        <v>0.91</v>
      </c>
      <c r="P511" s="1047">
        <f t="shared" si="37"/>
        <v>6.7230082786821563E-2</v>
      </c>
      <c r="Q511" s="1064" t="s">
        <v>740</v>
      </c>
      <c r="T511" s="1031"/>
    </row>
    <row r="512" spans="2:20">
      <c r="B512" s="1054"/>
      <c r="C512" s="1053" t="s">
        <v>850</v>
      </c>
      <c r="D512" s="1052" t="s">
        <v>732</v>
      </c>
      <c r="E512" s="1052" t="s">
        <v>431</v>
      </c>
      <c r="F512" s="1052"/>
      <c r="G512" s="1052"/>
      <c r="H512" s="1052">
        <v>6</v>
      </c>
      <c r="I512" s="1051">
        <f t="shared" si="36"/>
        <v>5.82</v>
      </c>
      <c r="J512" s="1050">
        <v>21.4</v>
      </c>
      <c r="K512" s="1049">
        <v>2</v>
      </c>
      <c r="L512" s="1049"/>
      <c r="M512" s="1049"/>
      <c r="N512" s="1048"/>
      <c r="O512" s="1047">
        <v>0.97</v>
      </c>
      <c r="P512" s="1047">
        <f t="shared" si="37"/>
        <v>6.7230082786821563E-2</v>
      </c>
      <c r="Q512" s="1064" t="s">
        <v>762</v>
      </c>
      <c r="T512" s="1031"/>
    </row>
    <row r="513" spans="2:20">
      <c r="B513" s="1054"/>
      <c r="C513" s="1053" t="s">
        <v>849</v>
      </c>
      <c r="D513" s="1052"/>
      <c r="E513" s="1052" t="s">
        <v>431</v>
      </c>
      <c r="F513" s="1052"/>
      <c r="G513" s="1052"/>
      <c r="H513" s="1052">
        <v>6</v>
      </c>
      <c r="I513" s="1051">
        <f t="shared" si="36"/>
        <v>7.32</v>
      </c>
      <c r="J513" s="1050">
        <v>21.4</v>
      </c>
      <c r="K513" s="1049">
        <v>2.6</v>
      </c>
      <c r="L513" s="1049"/>
      <c r="M513" s="1049"/>
      <c r="N513" s="1048"/>
      <c r="O513" s="1047">
        <v>1.22</v>
      </c>
      <c r="P513" s="1047">
        <f t="shared" si="37"/>
        <v>6.7230082786821563E-2</v>
      </c>
      <c r="Q513" s="1064" t="s">
        <v>736</v>
      </c>
      <c r="T513" s="1031"/>
    </row>
    <row r="514" spans="2:20">
      <c r="B514" s="1054"/>
      <c r="C514" s="1053" t="s">
        <v>848</v>
      </c>
      <c r="D514" s="1052" t="s">
        <v>627</v>
      </c>
      <c r="E514" s="1052"/>
      <c r="F514" s="1052"/>
      <c r="G514" s="1052"/>
      <c r="H514" s="1052">
        <v>6</v>
      </c>
      <c r="I514" s="1051">
        <f t="shared" si="36"/>
        <v>7.62</v>
      </c>
      <c r="J514" s="1050">
        <v>21.3</v>
      </c>
      <c r="K514" s="1049">
        <v>2.77</v>
      </c>
      <c r="L514" s="1049"/>
      <c r="M514" s="1049"/>
      <c r="N514" s="1048"/>
      <c r="O514" s="1047">
        <v>1.27</v>
      </c>
      <c r="P514" s="1047">
        <f t="shared" si="37"/>
        <v>6.6915923521462597E-2</v>
      </c>
      <c r="Q514" s="1064"/>
      <c r="T514" s="1031"/>
    </row>
    <row r="515" spans="2:20">
      <c r="B515" s="1054"/>
      <c r="C515" s="1053" t="s">
        <v>847</v>
      </c>
      <c r="D515" s="1052"/>
      <c r="E515" s="1052" t="s">
        <v>431</v>
      </c>
      <c r="F515" s="1052"/>
      <c r="G515" s="1052"/>
      <c r="H515" s="1052">
        <v>6</v>
      </c>
      <c r="I515" s="1051">
        <f t="shared" si="36"/>
        <v>7.86</v>
      </c>
      <c r="J515" s="1050">
        <v>21.7</v>
      </c>
      <c r="K515" s="1049">
        <v>2.8</v>
      </c>
      <c r="L515" s="1049"/>
      <c r="M515" s="1049"/>
      <c r="N515" s="1048"/>
      <c r="O515" s="1047">
        <v>1.31</v>
      </c>
      <c r="P515" s="1047">
        <f t="shared" si="37"/>
        <v>6.8172560582898514E-2</v>
      </c>
      <c r="Q515" s="1064" t="s">
        <v>659</v>
      </c>
      <c r="T515" s="1031"/>
    </row>
    <row r="516" spans="2:20">
      <c r="B516" s="1054"/>
      <c r="C516" s="1053" t="s">
        <v>846</v>
      </c>
      <c r="D516" s="1052"/>
      <c r="E516" s="1052" t="s">
        <v>431</v>
      </c>
      <c r="F516" s="1052"/>
      <c r="G516" s="1052"/>
      <c r="H516" s="1052">
        <v>6</v>
      </c>
      <c r="I516" s="1051">
        <f t="shared" si="36"/>
        <v>9.84</v>
      </c>
      <c r="J516" s="1050">
        <v>21.7</v>
      </c>
      <c r="K516" s="1049">
        <v>3.7</v>
      </c>
      <c r="L516" s="1049"/>
      <c r="M516" s="1049"/>
      <c r="N516" s="1048"/>
      <c r="O516" s="1047">
        <v>1.64</v>
      </c>
      <c r="P516" s="1047">
        <f t="shared" si="37"/>
        <v>6.8172560582898514E-2</v>
      </c>
      <c r="Q516" s="1064" t="s">
        <v>657</v>
      </c>
      <c r="T516" s="1031"/>
    </row>
    <row r="517" spans="2:20">
      <c r="B517" s="1054"/>
      <c r="C517" s="1053" t="s">
        <v>845</v>
      </c>
      <c r="D517" s="1052"/>
      <c r="E517" s="1052" t="s">
        <v>431</v>
      </c>
      <c r="F517" s="1052"/>
      <c r="G517" s="1052"/>
      <c r="H517" s="1052">
        <v>6</v>
      </c>
      <c r="I517" s="1051">
        <f t="shared" si="36"/>
        <v>1.7879999999999998</v>
      </c>
      <c r="J517" s="1050">
        <v>14.3</v>
      </c>
      <c r="K517" s="1049">
        <v>0.9</v>
      </c>
      <c r="L517" s="1049"/>
      <c r="M517" s="1049"/>
      <c r="N517" s="1048"/>
      <c r="O517" s="1047">
        <v>0.29799999999999999</v>
      </c>
      <c r="P517" s="1047">
        <f t="shared" si="37"/>
        <v>4.4924774946334046E-2</v>
      </c>
      <c r="Q517" s="1064" t="s">
        <v>788</v>
      </c>
      <c r="T517" s="1031"/>
    </row>
    <row r="518" spans="2:20">
      <c r="B518" s="1054"/>
      <c r="C518" s="1053" t="s">
        <v>844</v>
      </c>
      <c r="D518" s="1052"/>
      <c r="E518" s="1052" t="s">
        <v>431</v>
      </c>
      <c r="F518" s="1052"/>
      <c r="G518" s="1052"/>
      <c r="H518" s="1052">
        <v>6</v>
      </c>
      <c r="I518" s="1051">
        <f t="shared" si="36"/>
        <v>1.992</v>
      </c>
      <c r="J518" s="1050">
        <v>15.9</v>
      </c>
      <c r="K518" s="1049">
        <v>0.9</v>
      </c>
      <c r="L518" s="1049"/>
      <c r="M518" s="1049"/>
      <c r="N518" s="1048"/>
      <c r="O518" s="1047">
        <v>0.33200000000000002</v>
      </c>
      <c r="P518" s="1047">
        <f t="shared" si="37"/>
        <v>4.9951323192077707E-2</v>
      </c>
      <c r="Q518" s="1064" t="s">
        <v>788</v>
      </c>
      <c r="T518" s="1031"/>
    </row>
    <row r="519" spans="2:20">
      <c r="B519" s="1054"/>
      <c r="C519" s="1053" t="s">
        <v>843</v>
      </c>
      <c r="D519" s="1052"/>
      <c r="E519" s="1052" t="s">
        <v>431</v>
      </c>
      <c r="F519" s="1052"/>
      <c r="G519" s="1052"/>
      <c r="H519" s="1052">
        <v>6</v>
      </c>
      <c r="I519" s="1051">
        <f t="shared" si="36"/>
        <v>2.4180000000000001</v>
      </c>
      <c r="J519" s="1050">
        <v>19.100000000000001</v>
      </c>
      <c r="K519" s="1049">
        <v>0.9</v>
      </c>
      <c r="L519" s="1049"/>
      <c r="M519" s="1049"/>
      <c r="N519" s="1048"/>
      <c r="O519" s="1047">
        <v>0.40300000000000002</v>
      </c>
      <c r="P519" s="1047">
        <f t="shared" si="37"/>
        <v>6.0004419683565055E-2</v>
      </c>
      <c r="Q519" s="1064" t="s">
        <v>788</v>
      </c>
      <c r="T519" s="1031"/>
    </row>
    <row r="520" spans="2:20">
      <c r="B520" s="1054"/>
      <c r="C520" s="1053" t="s">
        <v>842</v>
      </c>
      <c r="D520" s="1052" t="s">
        <v>713</v>
      </c>
      <c r="E520" s="1052"/>
      <c r="F520" s="1052"/>
      <c r="G520" s="1052"/>
      <c r="H520" s="1052">
        <v>6</v>
      </c>
      <c r="I520" s="1051">
        <f t="shared" si="36"/>
        <v>7.5600000000000005</v>
      </c>
      <c r="J520" s="1050">
        <v>27.2</v>
      </c>
      <c r="K520" s="1049">
        <v>2</v>
      </c>
      <c r="L520" s="1049"/>
      <c r="M520" s="1049"/>
      <c r="N520" s="1048"/>
      <c r="O520" s="1047">
        <v>1.26</v>
      </c>
      <c r="P520" s="1047">
        <f t="shared" si="37"/>
        <v>8.545132017764237E-2</v>
      </c>
      <c r="Q520" s="1064"/>
      <c r="T520" s="1031"/>
    </row>
    <row r="521" spans="2:20">
      <c r="B521" s="1054"/>
      <c r="C521" s="1053" t="s">
        <v>841</v>
      </c>
      <c r="D521" s="1052"/>
      <c r="E521" s="1052" t="s">
        <v>431</v>
      </c>
      <c r="F521" s="1052"/>
      <c r="G521" s="1052"/>
      <c r="H521" s="1052">
        <v>6</v>
      </c>
      <c r="I521" s="1051">
        <f t="shared" si="36"/>
        <v>7.68</v>
      </c>
      <c r="J521" s="1050">
        <v>27</v>
      </c>
      <c r="K521" s="1049">
        <v>2.1</v>
      </c>
      <c r="L521" s="1049"/>
      <c r="M521" s="1049"/>
      <c r="N521" s="1048"/>
      <c r="O521" s="1047">
        <v>1.28</v>
      </c>
      <c r="P521" s="1047">
        <f t="shared" si="37"/>
        <v>8.4823001646924412E-2</v>
      </c>
      <c r="Q521" s="1064" t="s">
        <v>740</v>
      </c>
      <c r="T521" s="1031"/>
    </row>
    <row r="522" spans="2:20">
      <c r="B522" s="1054"/>
      <c r="C522" s="1053" t="s">
        <v>840</v>
      </c>
      <c r="D522" s="1052" t="s">
        <v>732</v>
      </c>
      <c r="E522" s="1052" t="s">
        <v>431</v>
      </c>
      <c r="F522" s="1052"/>
      <c r="G522" s="1052"/>
      <c r="H522" s="1052">
        <v>6</v>
      </c>
      <c r="I522" s="1051">
        <f t="shared" si="36"/>
        <v>8.4599999999999991</v>
      </c>
      <c r="J522" s="1050">
        <v>27.2</v>
      </c>
      <c r="K522" s="1049">
        <v>2.2999999999999998</v>
      </c>
      <c r="L522" s="1049"/>
      <c r="M522" s="1049"/>
      <c r="N522" s="1048"/>
      <c r="O522" s="1047">
        <v>1.41</v>
      </c>
      <c r="P522" s="1047">
        <f t="shared" si="37"/>
        <v>8.545132017764237E-2</v>
      </c>
      <c r="Q522" s="1064" t="s">
        <v>762</v>
      </c>
      <c r="T522" s="1031"/>
    </row>
    <row r="523" spans="2:20">
      <c r="B523" s="1054"/>
      <c r="C523" s="1053" t="s">
        <v>839</v>
      </c>
      <c r="D523" s="1052"/>
      <c r="E523" s="1052" t="s">
        <v>431</v>
      </c>
      <c r="F523" s="1052"/>
      <c r="G523" s="1052"/>
      <c r="H523" s="1052">
        <v>6</v>
      </c>
      <c r="I523" s="1051">
        <f t="shared" si="36"/>
        <v>9.48</v>
      </c>
      <c r="J523" s="1050">
        <v>27</v>
      </c>
      <c r="K523" s="1049">
        <v>2.6</v>
      </c>
      <c r="L523" s="1049"/>
      <c r="M523" s="1049"/>
      <c r="N523" s="1048"/>
      <c r="O523" s="1047">
        <v>1.58</v>
      </c>
      <c r="P523" s="1047">
        <f t="shared" si="37"/>
        <v>8.4823001646924412E-2</v>
      </c>
      <c r="Q523" s="1064" t="s">
        <v>736</v>
      </c>
      <c r="T523" s="1031"/>
    </row>
    <row r="524" spans="2:20">
      <c r="B524" s="1054"/>
      <c r="C524" s="1053" t="s">
        <v>838</v>
      </c>
      <c r="D524" s="1052" t="s">
        <v>627</v>
      </c>
      <c r="E524" s="1052"/>
      <c r="F524" s="1052"/>
      <c r="G524" s="1052"/>
      <c r="H524" s="1052">
        <v>6</v>
      </c>
      <c r="I524" s="1051">
        <f t="shared" si="36"/>
        <v>10.14</v>
      </c>
      <c r="J524" s="1050">
        <v>26.7</v>
      </c>
      <c r="K524" s="1049">
        <v>2.87</v>
      </c>
      <c r="L524" s="1049"/>
      <c r="M524" s="1049"/>
      <c r="N524" s="1048"/>
      <c r="O524" s="1047">
        <v>1.69</v>
      </c>
      <c r="P524" s="1047">
        <f t="shared" si="37"/>
        <v>8.388052385084746E-2</v>
      </c>
      <c r="Q524" s="1064"/>
      <c r="T524" s="1031"/>
    </row>
    <row r="525" spans="2:20">
      <c r="B525" s="1054"/>
      <c r="C525" s="1053" t="s">
        <v>837</v>
      </c>
      <c r="D525" s="1052"/>
      <c r="E525" s="1052" t="s">
        <v>431</v>
      </c>
      <c r="F525" s="1052"/>
      <c r="G525" s="1052"/>
      <c r="H525" s="1052">
        <v>6</v>
      </c>
      <c r="I525" s="1051">
        <f t="shared" si="36"/>
        <v>10.44</v>
      </c>
      <c r="J525" s="1050">
        <v>27.2</v>
      </c>
      <c r="K525" s="1049">
        <v>2.9</v>
      </c>
      <c r="L525" s="1049"/>
      <c r="M525" s="1049"/>
      <c r="N525" s="1048"/>
      <c r="O525" s="1047">
        <v>1.74</v>
      </c>
      <c r="P525" s="1047">
        <f t="shared" si="37"/>
        <v>8.545132017764237E-2</v>
      </c>
      <c r="Q525" s="1064" t="s">
        <v>659</v>
      </c>
      <c r="T525" s="1031"/>
    </row>
    <row r="526" spans="2:20">
      <c r="B526" s="1054"/>
      <c r="C526" s="1053" t="s">
        <v>836</v>
      </c>
      <c r="D526" s="1052"/>
      <c r="E526" s="1052" t="s">
        <v>431</v>
      </c>
      <c r="F526" s="1052"/>
      <c r="G526" s="1052"/>
      <c r="H526" s="1052">
        <v>6</v>
      </c>
      <c r="I526" s="1051">
        <f t="shared" si="36"/>
        <v>13.440000000000001</v>
      </c>
      <c r="J526" s="1050">
        <v>27.2</v>
      </c>
      <c r="K526" s="1049">
        <v>3.9</v>
      </c>
      <c r="L526" s="1049"/>
      <c r="M526" s="1049"/>
      <c r="N526" s="1048"/>
      <c r="O526" s="1047">
        <v>2.2400000000000002</v>
      </c>
      <c r="P526" s="1047">
        <f t="shared" si="37"/>
        <v>8.545132017764237E-2</v>
      </c>
      <c r="Q526" s="1064" t="s">
        <v>657</v>
      </c>
      <c r="T526" s="1031"/>
    </row>
    <row r="527" spans="2:20">
      <c r="B527" s="1054"/>
      <c r="C527" s="1053" t="s">
        <v>835</v>
      </c>
      <c r="D527" s="1052"/>
      <c r="E527" s="1052" t="s">
        <v>431</v>
      </c>
      <c r="F527" s="1052"/>
      <c r="G527" s="1052"/>
      <c r="H527" s="1052">
        <v>6</v>
      </c>
      <c r="I527" s="1051">
        <f t="shared" si="36"/>
        <v>3.1440000000000001</v>
      </c>
      <c r="J527" s="1050">
        <v>22.2</v>
      </c>
      <c r="K527" s="1049">
        <v>1</v>
      </c>
      <c r="L527" s="1049"/>
      <c r="M527" s="1049"/>
      <c r="N527" s="1048"/>
      <c r="O527" s="1047">
        <v>0.52400000000000002</v>
      </c>
      <c r="P527" s="1047">
        <f t="shared" si="37"/>
        <v>6.974335690969341E-2</v>
      </c>
      <c r="Q527" s="1064" t="s">
        <v>788</v>
      </c>
      <c r="T527" s="1031"/>
    </row>
    <row r="528" spans="2:20">
      <c r="B528" s="1054"/>
      <c r="C528" s="1053" t="s">
        <v>834</v>
      </c>
      <c r="D528" s="1052"/>
      <c r="E528" s="1052" t="s">
        <v>431</v>
      </c>
      <c r="F528" s="1052"/>
      <c r="G528" s="1052"/>
      <c r="H528" s="1052">
        <v>6</v>
      </c>
      <c r="I528" s="1051">
        <f t="shared" si="36"/>
        <v>3.3660000000000005</v>
      </c>
      <c r="J528" s="1050">
        <v>23.8</v>
      </c>
      <c r="K528" s="1049">
        <v>1</v>
      </c>
      <c r="L528" s="1049"/>
      <c r="M528" s="1049"/>
      <c r="N528" s="1048"/>
      <c r="O528" s="1047">
        <v>0.56100000000000005</v>
      </c>
      <c r="P528" s="1047">
        <f t="shared" si="37"/>
        <v>7.4769905155437077E-2</v>
      </c>
      <c r="Q528" s="1064" t="s">
        <v>788</v>
      </c>
      <c r="T528" s="1031"/>
    </row>
    <row r="529" spans="2:20">
      <c r="B529" s="1054"/>
      <c r="C529" s="1053" t="s">
        <v>833</v>
      </c>
      <c r="D529" s="1052"/>
      <c r="E529" s="1052" t="s">
        <v>431</v>
      </c>
      <c r="F529" s="1052"/>
      <c r="G529" s="1052"/>
      <c r="H529" s="1052">
        <v>6</v>
      </c>
      <c r="I529" s="1051">
        <f t="shared" si="36"/>
        <v>4.3019999999999996</v>
      </c>
      <c r="J529" s="1050">
        <v>25.4</v>
      </c>
      <c r="K529" s="1049">
        <v>1.2</v>
      </c>
      <c r="L529" s="1049"/>
      <c r="M529" s="1049"/>
      <c r="N529" s="1048"/>
      <c r="O529" s="1047">
        <v>0.71699999999999997</v>
      </c>
      <c r="P529" s="1047">
        <f t="shared" si="37"/>
        <v>7.9796453401180745E-2</v>
      </c>
      <c r="Q529" s="1064" t="s">
        <v>788</v>
      </c>
      <c r="T529" s="1031"/>
    </row>
    <row r="530" spans="2:20">
      <c r="B530" s="1054"/>
      <c r="C530" s="1053" t="s">
        <v>832</v>
      </c>
      <c r="D530" s="1052" t="s">
        <v>732</v>
      </c>
      <c r="E530" s="1052"/>
      <c r="F530" s="1052"/>
      <c r="G530" s="1052"/>
      <c r="H530" s="1052">
        <v>6</v>
      </c>
      <c r="I530" s="1051">
        <f t="shared" si="36"/>
        <v>10.8</v>
      </c>
      <c r="J530" s="1050">
        <v>34</v>
      </c>
      <c r="K530" s="1049">
        <v>2.2999999999999998</v>
      </c>
      <c r="L530" s="1049"/>
      <c r="M530" s="1049"/>
      <c r="N530" s="1048"/>
      <c r="O530" s="1047">
        <v>1.8</v>
      </c>
      <c r="P530" s="1047">
        <f t="shared" si="37"/>
        <v>0.10681415022205297</v>
      </c>
      <c r="Q530" s="1064"/>
      <c r="T530" s="1031"/>
    </row>
    <row r="531" spans="2:20">
      <c r="B531" s="1054"/>
      <c r="C531" s="1053" t="s">
        <v>831</v>
      </c>
      <c r="D531" s="1052"/>
      <c r="E531" s="1052" t="s">
        <v>431</v>
      </c>
      <c r="F531" s="1052"/>
      <c r="G531" s="1052"/>
      <c r="H531" s="1052">
        <v>6</v>
      </c>
      <c r="I531" s="1051">
        <f t="shared" si="36"/>
        <v>11.28</v>
      </c>
      <c r="J531" s="1050">
        <v>33.700000000000003</v>
      </c>
      <c r="K531" s="1049">
        <v>2.4500000000000002</v>
      </c>
      <c r="L531" s="1049"/>
      <c r="M531" s="1049"/>
      <c r="N531" s="1048"/>
      <c r="O531" s="1047">
        <v>1.88</v>
      </c>
      <c r="P531" s="1047">
        <f t="shared" si="37"/>
        <v>0.10587167242597605</v>
      </c>
      <c r="Q531" s="1064" t="s">
        <v>740</v>
      </c>
      <c r="T531" s="1031"/>
    </row>
    <row r="532" spans="2:20">
      <c r="B532" s="1054"/>
      <c r="C532" s="1053" t="s">
        <v>830</v>
      </c>
      <c r="D532" s="1052"/>
      <c r="E532" s="1052" t="s">
        <v>431</v>
      </c>
      <c r="F532" s="1052"/>
      <c r="G532" s="1052"/>
      <c r="H532" s="1052">
        <v>6</v>
      </c>
      <c r="I532" s="1051">
        <f t="shared" si="36"/>
        <v>12.059999999999999</v>
      </c>
      <c r="J532" s="1050">
        <v>33.700000000000003</v>
      </c>
      <c r="K532" s="1049">
        <v>2.6</v>
      </c>
      <c r="L532" s="1049"/>
      <c r="M532" s="1049"/>
      <c r="N532" s="1048"/>
      <c r="O532" s="1047">
        <v>2.0099999999999998</v>
      </c>
      <c r="P532" s="1047">
        <f t="shared" si="37"/>
        <v>0.10587167242597605</v>
      </c>
      <c r="Q532" s="1064" t="s">
        <v>762</v>
      </c>
      <c r="T532" s="1031"/>
    </row>
    <row r="533" spans="2:20">
      <c r="B533" s="1054"/>
      <c r="C533" s="1053" t="s">
        <v>829</v>
      </c>
      <c r="D533" s="1052" t="s">
        <v>627</v>
      </c>
      <c r="E533" s="1052"/>
      <c r="F533" s="1052"/>
      <c r="G533" s="1052"/>
      <c r="H533" s="1052">
        <v>6</v>
      </c>
      <c r="I533" s="1051">
        <f t="shared" si="36"/>
        <v>15</v>
      </c>
      <c r="J533" s="1050">
        <v>33.4</v>
      </c>
      <c r="K533" s="1049">
        <v>3.38</v>
      </c>
      <c r="L533" s="1049"/>
      <c r="M533" s="1049"/>
      <c r="N533" s="1048"/>
      <c r="O533" s="1047">
        <v>2.5</v>
      </c>
      <c r="P533" s="1047">
        <f t="shared" si="37"/>
        <v>0.10492919462989908</v>
      </c>
      <c r="Q533" s="1064"/>
      <c r="T533" s="1031"/>
    </row>
    <row r="534" spans="2:20">
      <c r="B534" s="1054"/>
      <c r="C534" s="1053" t="s">
        <v>828</v>
      </c>
      <c r="D534" s="1052"/>
      <c r="E534" s="1052" t="s">
        <v>431</v>
      </c>
      <c r="F534" s="1052"/>
      <c r="G534" s="1052"/>
      <c r="H534" s="1052">
        <v>6</v>
      </c>
      <c r="I534" s="1051">
        <f t="shared" si="36"/>
        <v>14.64</v>
      </c>
      <c r="J534" s="1050">
        <v>33.700000000000003</v>
      </c>
      <c r="K534" s="1049">
        <v>3.2</v>
      </c>
      <c r="L534" s="1049"/>
      <c r="M534" s="1049"/>
      <c r="N534" s="1048"/>
      <c r="O534" s="1047">
        <v>2.44</v>
      </c>
      <c r="P534" s="1047">
        <f t="shared" si="37"/>
        <v>0.10587167242597605</v>
      </c>
      <c r="Q534" s="1064" t="s">
        <v>736</v>
      </c>
      <c r="T534" s="1031"/>
    </row>
    <row r="535" spans="2:20">
      <c r="B535" s="1054"/>
      <c r="C535" s="1053" t="s">
        <v>827</v>
      </c>
      <c r="D535" s="1052"/>
      <c r="E535" s="1052" t="s">
        <v>431</v>
      </c>
      <c r="F535" s="1052"/>
      <c r="G535" s="1052"/>
      <c r="H535" s="1052">
        <v>6</v>
      </c>
      <c r="I535" s="1051">
        <f t="shared" si="36"/>
        <v>15.419999999999998</v>
      </c>
      <c r="J535" s="1050">
        <v>34</v>
      </c>
      <c r="K535" s="1049">
        <v>3.4</v>
      </c>
      <c r="L535" s="1049"/>
      <c r="M535" s="1049"/>
      <c r="N535" s="1048"/>
      <c r="O535" s="1047">
        <v>2.57</v>
      </c>
      <c r="P535" s="1047">
        <f t="shared" si="37"/>
        <v>0.10681415022205297</v>
      </c>
      <c r="Q535" s="1064" t="s">
        <v>659</v>
      </c>
      <c r="T535" s="1031"/>
    </row>
    <row r="536" spans="2:20">
      <c r="B536" s="1054"/>
      <c r="C536" s="1053" t="s">
        <v>826</v>
      </c>
      <c r="D536" s="1052"/>
      <c r="E536" s="1052" t="s">
        <v>431</v>
      </c>
      <c r="F536" s="1052"/>
      <c r="G536" s="1052"/>
      <c r="H536" s="1052">
        <v>6</v>
      </c>
      <c r="I536" s="1051">
        <f t="shared" si="36"/>
        <v>19.62</v>
      </c>
      <c r="J536" s="1050">
        <v>34</v>
      </c>
      <c r="K536" s="1049">
        <v>4.5</v>
      </c>
      <c r="L536" s="1049"/>
      <c r="M536" s="1049"/>
      <c r="N536" s="1048"/>
      <c r="O536" s="1047">
        <v>3.27</v>
      </c>
      <c r="P536" s="1047">
        <f t="shared" si="37"/>
        <v>0.10681415022205297</v>
      </c>
      <c r="Q536" s="1064" t="s">
        <v>657</v>
      </c>
      <c r="T536" s="1031"/>
    </row>
    <row r="537" spans="2:20">
      <c r="B537" s="1054"/>
      <c r="C537" s="1053" t="s">
        <v>825</v>
      </c>
      <c r="D537" s="1052"/>
      <c r="E537" s="1052" t="s">
        <v>431</v>
      </c>
      <c r="F537" s="1052"/>
      <c r="G537" s="1052"/>
      <c r="H537" s="1052">
        <v>6</v>
      </c>
      <c r="I537" s="1051">
        <f t="shared" si="36"/>
        <v>4.8660000000000005</v>
      </c>
      <c r="J537" s="1050">
        <v>28.6</v>
      </c>
      <c r="K537" s="1049">
        <v>1.2</v>
      </c>
      <c r="L537" s="1049"/>
      <c r="M537" s="1049"/>
      <c r="N537" s="1048"/>
      <c r="O537" s="1047">
        <v>0.81100000000000005</v>
      </c>
      <c r="P537" s="1047">
        <f t="shared" si="37"/>
        <v>8.9849549892668093E-2</v>
      </c>
      <c r="Q537" s="1064" t="s">
        <v>788</v>
      </c>
      <c r="T537" s="1031"/>
    </row>
    <row r="538" spans="2:20">
      <c r="B538" s="1054"/>
      <c r="C538" s="1053" t="s">
        <v>824</v>
      </c>
      <c r="D538" s="1052"/>
      <c r="E538" s="1052" t="s">
        <v>431</v>
      </c>
      <c r="F538" s="1052"/>
      <c r="G538" s="1052"/>
      <c r="H538" s="1052">
        <v>6</v>
      </c>
      <c r="I538" s="1051">
        <f t="shared" si="36"/>
        <v>5.4359999999999999</v>
      </c>
      <c r="J538" s="1050">
        <v>31.8</v>
      </c>
      <c r="K538" s="1049">
        <v>1.2</v>
      </c>
      <c r="L538" s="1049"/>
      <c r="M538" s="1049"/>
      <c r="N538" s="1048"/>
      <c r="O538" s="1047">
        <v>0.90600000000000003</v>
      </c>
      <c r="P538" s="1047">
        <f t="shared" si="37"/>
        <v>9.9902646384155414E-2</v>
      </c>
      <c r="Q538" s="1064" t="s">
        <v>788</v>
      </c>
      <c r="T538" s="1031"/>
    </row>
    <row r="539" spans="2:20">
      <c r="B539" s="1054"/>
      <c r="C539" s="1053" t="s">
        <v>823</v>
      </c>
      <c r="D539" s="1052" t="s">
        <v>732</v>
      </c>
      <c r="E539" s="1052"/>
      <c r="F539" s="1052"/>
      <c r="G539" s="1052"/>
      <c r="H539" s="1052">
        <v>6</v>
      </c>
      <c r="I539" s="1051">
        <f t="shared" si="36"/>
        <v>13.74</v>
      </c>
      <c r="J539" s="1050">
        <v>42.7</v>
      </c>
      <c r="K539" s="1049">
        <v>2.2999999999999998</v>
      </c>
      <c r="L539" s="1049"/>
      <c r="M539" s="1049"/>
      <c r="N539" s="1048"/>
      <c r="O539" s="1047">
        <v>2.29</v>
      </c>
      <c r="P539" s="1047">
        <f t="shared" si="37"/>
        <v>0.13414600630828416</v>
      </c>
      <c r="Q539" s="1064"/>
      <c r="T539" s="1031"/>
    </row>
    <row r="540" spans="2:20">
      <c r="B540" s="1054"/>
      <c r="C540" s="1053" t="s">
        <v>822</v>
      </c>
      <c r="D540" s="1052"/>
      <c r="E540" s="1052" t="s">
        <v>431</v>
      </c>
      <c r="F540" s="1052"/>
      <c r="G540" s="1052"/>
      <c r="H540" s="1052">
        <v>6</v>
      </c>
      <c r="I540" s="1051">
        <f t="shared" si="36"/>
        <v>14.399999999999999</v>
      </c>
      <c r="J540" s="1050">
        <v>42.4</v>
      </c>
      <c r="K540" s="1049">
        <v>2.4500000000000002</v>
      </c>
      <c r="L540" s="1049"/>
      <c r="M540" s="1049"/>
      <c r="N540" s="1048"/>
      <c r="O540" s="1047">
        <v>2.4</v>
      </c>
      <c r="P540" s="1047">
        <f t="shared" si="37"/>
        <v>0.13320352851220721</v>
      </c>
      <c r="Q540" s="1064" t="s">
        <v>740</v>
      </c>
      <c r="T540" s="1031"/>
    </row>
    <row r="541" spans="2:20">
      <c r="B541" s="1054"/>
      <c r="C541" s="1053" t="s">
        <v>821</v>
      </c>
      <c r="D541" s="1052"/>
      <c r="E541" s="1052" t="s">
        <v>431</v>
      </c>
      <c r="F541" s="1052"/>
      <c r="G541" s="1052"/>
      <c r="H541" s="1052">
        <v>6</v>
      </c>
      <c r="I541" s="1051">
        <f t="shared" si="36"/>
        <v>15.419999999999998</v>
      </c>
      <c r="J541" s="1050">
        <v>42.4</v>
      </c>
      <c r="K541" s="1049">
        <v>2.6</v>
      </c>
      <c r="L541" s="1049"/>
      <c r="M541" s="1049"/>
      <c r="N541" s="1048"/>
      <c r="O541" s="1047">
        <v>2.57</v>
      </c>
      <c r="P541" s="1047">
        <f t="shared" si="37"/>
        <v>0.13320352851220721</v>
      </c>
      <c r="Q541" s="1064" t="s">
        <v>762</v>
      </c>
      <c r="T541" s="1031"/>
    </row>
    <row r="542" spans="2:20">
      <c r="B542" s="1054"/>
      <c r="C542" s="1053" t="s">
        <v>820</v>
      </c>
      <c r="D542" s="1052" t="s">
        <v>732</v>
      </c>
      <c r="E542" s="1052"/>
      <c r="F542" s="1052"/>
      <c r="G542" s="1052"/>
      <c r="H542" s="1052">
        <v>6</v>
      </c>
      <c r="I542" s="1051">
        <f t="shared" si="36"/>
        <v>16.559999999999999</v>
      </c>
      <c r="J542" s="1050">
        <v>42.7</v>
      </c>
      <c r="K542" s="1049">
        <v>2.8</v>
      </c>
      <c r="L542" s="1049"/>
      <c r="M542" s="1049"/>
      <c r="N542" s="1048"/>
      <c r="O542" s="1047">
        <v>2.76</v>
      </c>
      <c r="P542" s="1047">
        <f t="shared" si="37"/>
        <v>0.13414600630828416</v>
      </c>
      <c r="Q542" s="1064"/>
      <c r="T542" s="1031"/>
    </row>
    <row r="543" spans="2:20">
      <c r="B543" s="1054"/>
      <c r="C543" s="1053" t="s">
        <v>819</v>
      </c>
      <c r="D543" s="1052"/>
      <c r="E543" s="1052" t="s">
        <v>431</v>
      </c>
      <c r="F543" s="1052"/>
      <c r="G543" s="1052"/>
      <c r="H543" s="1052">
        <v>6</v>
      </c>
      <c r="I543" s="1051">
        <f t="shared" si="36"/>
        <v>18.84</v>
      </c>
      <c r="J543" s="1050">
        <v>42.4</v>
      </c>
      <c r="K543" s="1049">
        <v>3.2</v>
      </c>
      <c r="L543" s="1049"/>
      <c r="M543" s="1049"/>
      <c r="N543" s="1048"/>
      <c r="O543" s="1047">
        <v>3.14</v>
      </c>
      <c r="P543" s="1047">
        <f t="shared" si="37"/>
        <v>0.13320352851220721</v>
      </c>
      <c r="Q543" s="1064" t="s">
        <v>736</v>
      </c>
      <c r="T543" s="1031"/>
    </row>
    <row r="544" spans="2:20">
      <c r="B544" s="1054"/>
      <c r="C544" s="1053" t="s">
        <v>818</v>
      </c>
      <c r="D544" s="1052" t="s">
        <v>627</v>
      </c>
      <c r="E544" s="1052"/>
      <c r="F544" s="1052"/>
      <c r="G544" s="1052"/>
      <c r="H544" s="1052">
        <v>6</v>
      </c>
      <c r="I544" s="1051">
        <f t="shared" si="36"/>
        <v>20.34</v>
      </c>
      <c r="J544" s="1050">
        <v>42.2</v>
      </c>
      <c r="K544" s="1049">
        <v>3.56</v>
      </c>
      <c r="L544" s="1049"/>
      <c r="M544" s="1049"/>
      <c r="N544" s="1048"/>
      <c r="O544" s="1047">
        <v>3.39</v>
      </c>
      <c r="P544" s="1047">
        <f t="shared" si="37"/>
        <v>0.13257520998148928</v>
      </c>
      <c r="Q544" s="1064"/>
      <c r="T544" s="1031"/>
    </row>
    <row r="545" spans="2:20">
      <c r="B545" s="1054"/>
      <c r="C545" s="1053" t="s">
        <v>817</v>
      </c>
      <c r="D545" s="1052"/>
      <c r="E545" s="1052" t="s">
        <v>431</v>
      </c>
      <c r="F545" s="1052"/>
      <c r="G545" s="1052"/>
      <c r="H545" s="1052">
        <v>6</v>
      </c>
      <c r="I545" s="1051">
        <f t="shared" si="36"/>
        <v>20.82</v>
      </c>
      <c r="J545" s="1050">
        <v>42.7</v>
      </c>
      <c r="K545" s="1049">
        <v>3.6</v>
      </c>
      <c r="L545" s="1049"/>
      <c r="M545" s="1049"/>
      <c r="N545" s="1048"/>
      <c r="O545" s="1047">
        <v>3.47</v>
      </c>
      <c r="P545" s="1047">
        <f t="shared" si="37"/>
        <v>0.13414600630828416</v>
      </c>
      <c r="Q545" s="1064" t="s">
        <v>659</v>
      </c>
      <c r="T545" s="1031"/>
    </row>
    <row r="546" spans="2:20">
      <c r="B546" s="1054"/>
      <c r="C546" s="1053" t="s">
        <v>816</v>
      </c>
      <c r="D546" s="1052"/>
      <c r="E546" s="1052" t="s">
        <v>431</v>
      </c>
      <c r="F546" s="1052"/>
      <c r="G546" s="1052"/>
      <c r="H546" s="1052">
        <v>6</v>
      </c>
      <c r="I546" s="1051">
        <f t="shared" si="36"/>
        <v>27.42</v>
      </c>
      <c r="J546" s="1050">
        <v>42.7</v>
      </c>
      <c r="K546" s="1049">
        <v>4.9000000000000004</v>
      </c>
      <c r="L546" s="1049"/>
      <c r="M546" s="1049"/>
      <c r="N546" s="1048"/>
      <c r="O546" s="1047">
        <v>4.57</v>
      </c>
      <c r="P546" s="1047">
        <f t="shared" si="37"/>
        <v>0.13414600630828416</v>
      </c>
      <c r="Q546" s="1064" t="s">
        <v>657</v>
      </c>
      <c r="T546" s="1031"/>
    </row>
    <row r="547" spans="2:20">
      <c r="B547" s="1054"/>
      <c r="C547" s="1053" t="s">
        <v>815</v>
      </c>
      <c r="D547" s="1052"/>
      <c r="E547" s="1052" t="s">
        <v>431</v>
      </c>
      <c r="F547" s="1052"/>
      <c r="G547" s="1052"/>
      <c r="H547" s="1052">
        <v>6</v>
      </c>
      <c r="I547" s="1051">
        <f t="shared" ref="I547:I610" si="38">O547*H547</f>
        <v>5.43</v>
      </c>
      <c r="J547" s="1050">
        <v>35</v>
      </c>
      <c r="K547" s="1049">
        <v>1.2</v>
      </c>
      <c r="L547" s="1049"/>
      <c r="M547" s="1049"/>
      <c r="N547" s="1048"/>
      <c r="O547" s="1047">
        <v>0.90500000000000003</v>
      </c>
      <c r="P547" s="1047">
        <f t="shared" si="37"/>
        <v>0.10995574287564276</v>
      </c>
      <c r="Q547" s="1064" t="s">
        <v>788</v>
      </c>
      <c r="T547" s="1031"/>
    </row>
    <row r="548" spans="2:20">
      <c r="B548" s="1054"/>
      <c r="C548" s="1053" t="s">
        <v>814</v>
      </c>
      <c r="D548" s="1052"/>
      <c r="E548" s="1052" t="s">
        <v>431</v>
      </c>
      <c r="F548" s="1052"/>
      <c r="G548" s="1052"/>
      <c r="H548" s="1052">
        <v>6</v>
      </c>
      <c r="I548" s="1051">
        <f t="shared" si="38"/>
        <v>6.8879999999999999</v>
      </c>
      <c r="J548" s="1050">
        <v>35</v>
      </c>
      <c r="K548" s="1049">
        <v>1.4</v>
      </c>
      <c r="L548" s="1049"/>
      <c r="M548" s="1049"/>
      <c r="N548" s="1048"/>
      <c r="O548" s="1047">
        <v>1.1479999999999999</v>
      </c>
      <c r="P548" s="1047">
        <f t="shared" si="37"/>
        <v>0.10995574287564276</v>
      </c>
      <c r="Q548" s="1064" t="s">
        <v>788</v>
      </c>
      <c r="T548" s="1031"/>
    </row>
    <row r="549" spans="2:20">
      <c r="B549" s="1054"/>
      <c r="C549" s="1053" t="s">
        <v>813</v>
      </c>
      <c r="D549" s="1052"/>
      <c r="E549" s="1052" t="s">
        <v>431</v>
      </c>
      <c r="F549" s="1052"/>
      <c r="G549" s="1052"/>
      <c r="H549" s="1052">
        <v>6</v>
      </c>
      <c r="I549" s="1051">
        <f t="shared" si="38"/>
        <v>6.5520000000000005</v>
      </c>
      <c r="J549" s="1050">
        <v>38.1</v>
      </c>
      <c r="K549" s="1049">
        <v>1.2</v>
      </c>
      <c r="L549" s="1049"/>
      <c r="M549" s="1049"/>
      <c r="N549" s="1048"/>
      <c r="O549" s="1047">
        <v>1.0920000000000001</v>
      </c>
      <c r="P549" s="1047">
        <f t="shared" si="37"/>
        <v>0.11969468010177113</v>
      </c>
      <c r="Q549" s="1064" t="s">
        <v>788</v>
      </c>
      <c r="T549" s="1031"/>
    </row>
    <row r="550" spans="2:20">
      <c r="B550" s="1054"/>
      <c r="C550" s="1053" t="s">
        <v>812</v>
      </c>
      <c r="D550" s="1052" t="s">
        <v>713</v>
      </c>
      <c r="E550" s="1052"/>
      <c r="F550" s="1052"/>
      <c r="G550" s="1052"/>
      <c r="H550" s="1052">
        <v>6</v>
      </c>
      <c r="I550" s="1051">
        <f t="shared" si="38"/>
        <v>15.78</v>
      </c>
      <c r="J550" s="1050">
        <v>42.7</v>
      </c>
      <c r="K550" s="1049">
        <v>2.2999999999999998</v>
      </c>
      <c r="L550" s="1049"/>
      <c r="M550" s="1049"/>
      <c r="N550" s="1048"/>
      <c r="O550" s="1047">
        <v>2.63</v>
      </c>
      <c r="P550" s="1047">
        <f t="shared" si="37"/>
        <v>0.13414600630828416</v>
      </c>
      <c r="Q550" s="1064"/>
      <c r="T550" s="1031"/>
    </row>
    <row r="551" spans="2:20">
      <c r="B551" s="1054"/>
      <c r="C551" s="1053" t="s">
        <v>811</v>
      </c>
      <c r="D551" s="1052"/>
      <c r="E551" s="1052" t="s">
        <v>431</v>
      </c>
      <c r="F551" s="1052"/>
      <c r="G551" s="1052"/>
      <c r="H551" s="1052">
        <v>6</v>
      </c>
      <c r="I551" s="1051">
        <f t="shared" si="38"/>
        <v>17.52</v>
      </c>
      <c r="J551" s="1050">
        <v>48.3</v>
      </c>
      <c r="K551" s="1049">
        <v>2.6</v>
      </c>
      <c r="L551" s="1049"/>
      <c r="M551" s="1049"/>
      <c r="N551" s="1048"/>
      <c r="O551" s="1047">
        <v>2.92</v>
      </c>
      <c r="P551" s="1047">
        <f t="shared" si="37"/>
        <v>0.151738925168387</v>
      </c>
      <c r="Q551" s="1064" t="s">
        <v>740</v>
      </c>
      <c r="T551" s="1031"/>
    </row>
    <row r="552" spans="2:20">
      <c r="B552" s="1054"/>
      <c r="C552" s="1053" t="s">
        <v>810</v>
      </c>
      <c r="D552" s="1052" t="s">
        <v>732</v>
      </c>
      <c r="E552" s="1052"/>
      <c r="F552" s="1052"/>
      <c r="G552" s="1052"/>
      <c r="H552" s="1052">
        <v>6</v>
      </c>
      <c r="I552" s="1051">
        <f t="shared" si="38"/>
        <v>18.96</v>
      </c>
      <c r="J552" s="1050">
        <v>48.6</v>
      </c>
      <c r="K552" s="1049">
        <v>2.8</v>
      </c>
      <c r="L552" s="1049"/>
      <c r="M552" s="1049"/>
      <c r="N552" s="1048"/>
      <c r="O552" s="1047">
        <v>3.16</v>
      </c>
      <c r="P552" s="1047">
        <f t="shared" si="37"/>
        <v>0.15268140296446395</v>
      </c>
      <c r="Q552" s="1064"/>
      <c r="T552" s="1031"/>
    </row>
    <row r="553" spans="2:20">
      <c r="B553" s="1054"/>
      <c r="C553" s="1053" t="s">
        <v>809</v>
      </c>
      <c r="D553" s="1052"/>
      <c r="E553" s="1052" t="s">
        <v>431</v>
      </c>
      <c r="F553" s="1052"/>
      <c r="G553" s="1052"/>
      <c r="H553" s="1052">
        <v>6</v>
      </c>
      <c r="I553" s="1051">
        <f t="shared" si="38"/>
        <v>19.559999999999999</v>
      </c>
      <c r="J553" s="1050">
        <v>48.3</v>
      </c>
      <c r="K553" s="1049">
        <v>2.9</v>
      </c>
      <c r="L553" s="1049"/>
      <c r="M553" s="1049"/>
      <c r="N553" s="1048"/>
      <c r="O553" s="1047">
        <v>3.26</v>
      </c>
      <c r="P553" s="1047">
        <f t="shared" si="37"/>
        <v>0.151738925168387</v>
      </c>
      <c r="Q553" s="1064" t="s">
        <v>762</v>
      </c>
      <c r="T553" s="1031"/>
    </row>
    <row r="554" spans="2:20">
      <c r="B554" s="1054"/>
      <c r="C554" s="1053" t="s">
        <v>808</v>
      </c>
      <c r="D554" s="1052" t="s">
        <v>732</v>
      </c>
      <c r="E554" s="1052" t="s">
        <v>431</v>
      </c>
      <c r="F554" s="1052"/>
      <c r="G554" s="1052"/>
      <c r="H554" s="1052">
        <v>6</v>
      </c>
      <c r="I554" s="1051">
        <f t="shared" si="38"/>
        <v>21.72</v>
      </c>
      <c r="J554" s="1050">
        <v>48.3</v>
      </c>
      <c r="K554" s="1049">
        <v>3.2</v>
      </c>
      <c r="L554" s="1049"/>
      <c r="M554" s="1049"/>
      <c r="N554" s="1048"/>
      <c r="O554" s="1047">
        <v>3.62</v>
      </c>
      <c r="P554" s="1047">
        <f t="shared" si="37"/>
        <v>0.151738925168387</v>
      </c>
      <c r="Q554" s="1064" t="s">
        <v>736</v>
      </c>
      <c r="T554" s="1031"/>
    </row>
    <row r="555" spans="2:20">
      <c r="B555" s="1054"/>
      <c r="C555" s="1053" t="s">
        <v>807</v>
      </c>
      <c r="D555" s="1052" t="s">
        <v>627</v>
      </c>
      <c r="E555" s="1052"/>
      <c r="F555" s="1052"/>
      <c r="G555" s="1052"/>
      <c r="H555" s="1052">
        <v>6</v>
      </c>
      <c r="I555" s="1051">
        <f t="shared" si="38"/>
        <v>24.299999999999997</v>
      </c>
      <c r="J555" s="1050">
        <v>48.3</v>
      </c>
      <c r="K555" s="1049">
        <v>3.68</v>
      </c>
      <c r="L555" s="1049"/>
      <c r="M555" s="1049"/>
      <c r="N555" s="1048"/>
      <c r="O555" s="1047">
        <v>4.05</v>
      </c>
      <c r="P555" s="1047">
        <f t="shared" si="37"/>
        <v>0.151738925168387</v>
      </c>
      <c r="Q555" s="1064"/>
      <c r="T555" s="1031"/>
    </row>
    <row r="556" spans="2:20">
      <c r="B556" s="1054"/>
      <c r="C556" s="1053" t="s">
        <v>806</v>
      </c>
      <c r="D556" s="1052"/>
      <c r="E556" s="1052" t="s">
        <v>431</v>
      </c>
      <c r="F556" s="1052"/>
      <c r="G556" s="1052"/>
      <c r="H556" s="1052">
        <v>6</v>
      </c>
      <c r="I556" s="1051">
        <f t="shared" si="38"/>
        <v>24.599999999999998</v>
      </c>
      <c r="J556" s="1050">
        <v>48.6</v>
      </c>
      <c r="K556" s="1049">
        <v>3.7</v>
      </c>
      <c r="L556" s="1049"/>
      <c r="M556" s="1049"/>
      <c r="N556" s="1048"/>
      <c r="O556" s="1047">
        <v>4.0999999999999996</v>
      </c>
      <c r="P556" s="1047">
        <f t="shared" si="37"/>
        <v>0.15268140296446395</v>
      </c>
      <c r="Q556" s="1064" t="s">
        <v>659</v>
      </c>
      <c r="T556" s="1031"/>
    </row>
    <row r="557" spans="2:20">
      <c r="B557" s="1054"/>
      <c r="C557" s="1053" t="s">
        <v>805</v>
      </c>
      <c r="D557" s="1052"/>
      <c r="E557" s="1052" t="s">
        <v>431</v>
      </c>
      <c r="F557" s="1052"/>
      <c r="G557" s="1052"/>
      <c r="H557" s="1052">
        <v>6</v>
      </c>
      <c r="I557" s="1051">
        <f t="shared" si="38"/>
        <v>32.82</v>
      </c>
      <c r="J557" s="1050">
        <v>48.6</v>
      </c>
      <c r="K557" s="1049">
        <v>5.0999999999999996</v>
      </c>
      <c r="L557" s="1049"/>
      <c r="M557" s="1049"/>
      <c r="N557" s="1048"/>
      <c r="O557" s="1047">
        <v>5.47</v>
      </c>
      <c r="P557" s="1047">
        <f t="shared" si="37"/>
        <v>0.15268140296446395</v>
      </c>
      <c r="Q557" s="1064" t="s">
        <v>657</v>
      </c>
      <c r="T557" s="1031"/>
    </row>
    <row r="558" spans="2:20">
      <c r="B558" s="1054"/>
      <c r="C558" s="1053" t="s">
        <v>804</v>
      </c>
      <c r="D558" s="1052"/>
      <c r="E558" s="1052" t="s">
        <v>431</v>
      </c>
      <c r="F558" s="1052"/>
      <c r="G558" s="1052"/>
      <c r="H558" s="1052">
        <v>6</v>
      </c>
      <c r="I558" s="1051">
        <f t="shared" si="38"/>
        <v>7.1159999999999997</v>
      </c>
      <c r="J558" s="1050">
        <v>41.3</v>
      </c>
      <c r="K558" s="1049">
        <v>1.2</v>
      </c>
      <c r="L558" s="1049"/>
      <c r="M558" s="1049"/>
      <c r="N558" s="1048"/>
      <c r="O558" s="1047">
        <v>1.1859999999999999</v>
      </c>
      <c r="P558" s="1047">
        <f t="shared" si="37"/>
        <v>0.12974777659325842</v>
      </c>
      <c r="Q558" s="1064" t="s">
        <v>788</v>
      </c>
      <c r="T558" s="1031"/>
    </row>
    <row r="559" spans="2:20">
      <c r="B559" s="1054"/>
      <c r="C559" s="1053" t="s">
        <v>803</v>
      </c>
      <c r="D559" s="1052"/>
      <c r="E559" s="1052" t="s">
        <v>431</v>
      </c>
      <c r="F559" s="1052"/>
      <c r="G559" s="1052"/>
      <c r="H559" s="1052">
        <v>6</v>
      </c>
      <c r="I559" s="1051">
        <f t="shared" si="38"/>
        <v>8.2620000000000005</v>
      </c>
      <c r="J559" s="1050">
        <v>41.3</v>
      </c>
      <c r="K559" s="1049">
        <v>1.4</v>
      </c>
      <c r="L559" s="1049"/>
      <c r="M559" s="1049"/>
      <c r="N559" s="1048"/>
      <c r="O559" s="1047">
        <v>1.377</v>
      </c>
      <c r="P559" s="1047">
        <f t="shared" si="37"/>
        <v>0.12974777659325842</v>
      </c>
      <c r="Q559" s="1064" t="s">
        <v>788</v>
      </c>
      <c r="T559" s="1031"/>
    </row>
    <row r="560" spans="2:20">
      <c r="B560" s="1054"/>
      <c r="C560" s="1053" t="s">
        <v>802</v>
      </c>
      <c r="D560" s="1052"/>
      <c r="E560" s="1052" t="s">
        <v>431</v>
      </c>
      <c r="F560" s="1052"/>
      <c r="G560" s="1052"/>
      <c r="H560" s="1052">
        <v>6</v>
      </c>
      <c r="I560" s="1051">
        <f t="shared" si="38"/>
        <v>8.9220000000000006</v>
      </c>
      <c r="J560" s="1050">
        <v>44.5</v>
      </c>
      <c r="K560" s="1049">
        <v>1.4</v>
      </c>
      <c r="L560" s="1049"/>
      <c r="M560" s="1049"/>
      <c r="N560" s="1048"/>
      <c r="O560" s="1047">
        <v>1.4870000000000001</v>
      </c>
      <c r="P560" s="1047">
        <f t="shared" si="37"/>
        <v>0.13980087308474581</v>
      </c>
      <c r="Q560" s="1064" t="s">
        <v>788</v>
      </c>
      <c r="T560" s="1031"/>
    </row>
    <row r="561" spans="2:20">
      <c r="B561" s="1054"/>
      <c r="C561" s="1053" t="s">
        <v>801</v>
      </c>
      <c r="D561" s="1052"/>
      <c r="E561" s="1052" t="s">
        <v>431</v>
      </c>
      <c r="F561" s="1052"/>
      <c r="G561" s="1052"/>
      <c r="H561" s="1052">
        <v>6</v>
      </c>
      <c r="I561" s="1051">
        <f t="shared" si="38"/>
        <v>10.236000000000001</v>
      </c>
      <c r="J561" s="1050">
        <v>50.8</v>
      </c>
      <c r="K561" s="1049">
        <v>1.4</v>
      </c>
      <c r="L561" s="1049"/>
      <c r="M561" s="1049"/>
      <c r="N561" s="1048"/>
      <c r="O561" s="1047">
        <v>1.706</v>
      </c>
      <c r="P561" s="1047">
        <f t="shared" si="37"/>
        <v>0.15959290680236149</v>
      </c>
      <c r="Q561" s="1064" t="s">
        <v>788</v>
      </c>
      <c r="T561" s="1031"/>
    </row>
    <row r="562" spans="2:20">
      <c r="B562" s="1054"/>
      <c r="C562" s="1053" t="s">
        <v>800</v>
      </c>
      <c r="D562" s="1052" t="s">
        <v>713</v>
      </c>
      <c r="E562" s="1052"/>
      <c r="F562" s="1052"/>
      <c r="G562" s="1052"/>
      <c r="H562" s="1052">
        <v>6</v>
      </c>
      <c r="I562" s="1051">
        <f t="shared" si="38"/>
        <v>19.799999999999997</v>
      </c>
      <c r="J562" s="1050">
        <v>60.5</v>
      </c>
      <c r="K562" s="1049">
        <v>2.2999999999999998</v>
      </c>
      <c r="L562" s="1049"/>
      <c r="M562" s="1049"/>
      <c r="N562" s="1048"/>
      <c r="O562" s="1047">
        <v>3.3</v>
      </c>
      <c r="P562" s="1047">
        <f t="shared" si="37"/>
        <v>0.19006635554218249</v>
      </c>
      <c r="Q562" s="1064"/>
      <c r="T562" s="1031"/>
    </row>
    <row r="563" spans="2:20">
      <c r="B563" s="1054"/>
      <c r="C563" s="1053" t="s">
        <v>799</v>
      </c>
      <c r="D563" s="1052"/>
      <c r="E563" s="1052" t="s">
        <v>431</v>
      </c>
      <c r="F563" s="1052"/>
      <c r="G563" s="1052"/>
      <c r="H563" s="1052">
        <v>6</v>
      </c>
      <c r="I563" s="1051">
        <f t="shared" si="38"/>
        <v>22.02</v>
      </c>
      <c r="J563" s="1050">
        <v>60.2</v>
      </c>
      <c r="K563" s="1049">
        <v>2.6</v>
      </c>
      <c r="L563" s="1049"/>
      <c r="M563" s="1049"/>
      <c r="N563" s="1048"/>
      <c r="O563" s="1047">
        <v>3.67</v>
      </c>
      <c r="P563" s="1047">
        <f t="shared" si="37"/>
        <v>0.18912387774610556</v>
      </c>
      <c r="Q563" s="1064" t="s">
        <v>740</v>
      </c>
      <c r="T563" s="1031"/>
    </row>
    <row r="564" spans="2:20">
      <c r="B564" s="1054"/>
      <c r="C564" s="1053" t="s">
        <v>798</v>
      </c>
      <c r="D564" s="1052" t="s">
        <v>797</v>
      </c>
      <c r="E564" s="1052"/>
      <c r="F564" s="1052"/>
      <c r="G564" s="1052"/>
      <c r="H564" s="1052">
        <v>6</v>
      </c>
      <c r="I564" s="1051">
        <f t="shared" si="38"/>
        <v>23.88</v>
      </c>
      <c r="J564" s="1050">
        <v>60.5</v>
      </c>
      <c r="K564" s="1049">
        <v>2.8</v>
      </c>
      <c r="L564" s="1049"/>
      <c r="M564" s="1049"/>
      <c r="N564" s="1048"/>
      <c r="O564" s="1047">
        <v>3.98</v>
      </c>
      <c r="P564" s="1047">
        <f t="shared" si="37"/>
        <v>0.19006635554218249</v>
      </c>
      <c r="Q564" s="1064"/>
      <c r="T564" s="1031"/>
    </row>
    <row r="565" spans="2:20">
      <c r="B565" s="1054"/>
      <c r="C565" s="1053" t="s">
        <v>796</v>
      </c>
      <c r="D565" s="1052"/>
      <c r="E565" s="1052" t="s">
        <v>431</v>
      </c>
      <c r="F565" s="1052"/>
      <c r="G565" s="1052"/>
      <c r="H565" s="1052">
        <v>6</v>
      </c>
      <c r="I565" s="1051">
        <f t="shared" si="38"/>
        <v>24.660000000000004</v>
      </c>
      <c r="J565" s="1050">
        <v>60.2</v>
      </c>
      <c r="K565" s="1049">
        <v>2.9</v>
      </c>
      <c r="L565" s="1049"/>
      <c r="M565" s="1049"/>
      <c r="N565" s="1048"/>
      <c r="O565" s="1047">
        <v>4.1100000000000003</v>
      </c>
      <c r="P565" s="1047">
        <f t="shared" si="37"/>
        <v>0.18912387774610556</v>
      </c>
      <c r="Q565" s="1064" t="s">
        <v>762</v>
      </c>
      <c r="T565" s="1031"/>
    </row>
    <row r="566" spans="2:20">
      <c r="B566" s="1054"/>
      <c r="C566" s="1053" t="s">
        <v>795</v>
      </c>
      <c r="D566" s="1052" t="s">
        <v>732</v>
      </c>
      <c r="E566" s="1052"/>
      <c r="F566" s="1052"/>
      <c r="G566" s="1052"/>
      <c r="H566" s="1052">
        <v>6</v>
      </c>
      <c r="I566" s="1051">
        <f t="shared" si="38"/>
        <v>27.119999999999997</v>
      </c>
      <c r="J566" s="1050">
        <v>60.5</v>
      </c>
      <c r="K566" s="1049">
        <v>3.2</v>
      </c>
      <c r="L566" s="1049"/>
      <c r="M566" s="1049"/>
      <c r="N566" s="1048"/>
      <c r="O566" s="1047">
        <v>4.5199999999999996</v>
      </c>
      <c r="P566" s="1047">
        <f t="shared" si="37"/>
        <v>0.19006635554218249</v>
      </c>
      <c r="Q566" s="1064"/>
      <c r="T566" s="1031"/>
    </row>
    <row r="567" spans="2:20">
      <c r="B567" s="1054"/>
      <c r="C567" s="1053" t="s">
        <v>794</v>
      </c>
      <c r="D567" s="1052"/>
      <c r="E567" s="1052" t="s">
        <v>431</v>
      </c>
      <c r="F567" s="1052"/>
      <c r="G567" s="1052"/>
      <c r="H567" s="1052">
        <v>6</v>
      </c>
      <c r="I567" s="1051">
        <f t="shared" si="38"/>
        <v>30.54</v>
      </c>
      <c r="J567" s="1050">
        <v>60.2</v>
      </c>
      <c r="K567" s="1049">
        <v>3.6</v>
      </c>
      <c r="L567" s="1049"/>
      <c r="M567" s="1049"/>
      <c r="N567" s="1048"/>
      <c r="O567" s="1047">
        <v>5.09</v>
      </c>
      <c r="P567" s="1047">
        <f t="shared" si="37"/>
        <v>0.18912387774610556</v>
      </c>
      <c r="Q567" s="1064" t="s">
        <v>736</v>
      </c>
      <c r="T567" s="1031"/>
    </row>
    <row r="568" spans="2:20">
      <c r="B568" s="1054"/>
      <c r="C568" s="1053" t="s">
        <v>793</v>
      </c>
      <c r="D568" s="1052"/>
      <c r="E568" s="1052" t="s">
        <v>431</v>
      </c>
      <c r="F568" s="1052"/>
      <c r="G568" s="1052"/>
      <c r="H568" s="1052">
        <v>6</v>
      </c>
      <c r="I568" s="1051">
        <f t="shared" si="38"/>
        <v>32.64</v>
      </c>
      <c r="J568" s="1050">
        <v>60.5</v>
      </c>
      <c r="K568" s="1049">
        <v>3.9</v>
      </c>
      <c r="L568" s="1049"/>
      <c r="M568" s="1049"/>
      <c r="N568" s="1048"/>
      <c r="O568" s="1047">
        <v>5.44</v>
      </c>
      <c r="P568" s="1047">
        <f t="shared" si="37"/>
        <v>0.19006635554218249</v>
      </c>
      <c r="Q568" s="1064" t="s">
        <v>659</v>
      </c>
      <c r="T568" s="1031"/>
    </row>
    <row r="569" spans="2:20">
      <c r="B569" s="1054"/>
      <c r="C569" s="1053" t="s">
        <v>792</v>
      </c>
      <c r="D569" s="1052" t="s">
        <v>627</v>
      </c>
      <c r="E569" s="1052"/>
      <c r="F569" s="1052"/>
      <c r="G569" s="1052"/>
      <c r="H569" s="1052">
        <v>6</v>
      </c>
      <c r="I569" s="1051">
        <f t="shared" si="38"/>
        <v>32.64</v>
      </c>
      <c r="J569" s="1050">
        <v>60.3</v>
      </c>
      <c r="K569" s="1049">
        <v>3.91</v>
      </c>
      <c r="L569" s="1049"/>
      <c r="M569" s="1049"/>
      <c r="N569" s="1048"/>
      <c r="O569" s="1047">
        <v>5.44</v>
      </c>
      <c r="P569" s="1047">
        <f t="shared" si="37"/>
        <v>0.1894380370114645</v>
      </c>
      <c r="Q569" s="1064"/>
      <c r="T569" s="1031"/>
    </row>
    <row r="570" spans="2:20">
      <c r="B570" s="1054"/>
      <c r="C570" s="1053" t="s">
        <v>791</v>
      </c>
      <c r="D570" s="1052" t="s">
        <v>713</v>
      </c>
      <c r="E570" s="1052"/>
      <c r="F570" s="1052"/>
      <c r="G570" s="1052"/>
      <c r="H570" s="1052">
        <v>6</v>
      </c>
      <c r="I570" s="1051">
        <f t="shared" si="38"/>
        <v>33.42</v>
      </c>
      <c r="J570" s="1050">
        <v>60.5</v>
      </c>
      <c r="K570" s="1049">
        <v>4</v>
      </c>
      <c r="L570" s="1049"/>
      <c r="M570" s="1049"/>
      <c r="N570" s="1048"/>
      <c r="O570" s="1047">
        <v>5.57</v>
      </c>
      <c r="P570" s="1047">
        <f t="shared" si="37"/>
        <v>0.19006635554218249</v>
      </c>
      <c r="Q570" s="1064"/>
      <c r="T570" s="1031"/>
    </row>
    <row r="571" spans="2:20">
      <c r="B571" s="1054"/>
      <c r="C571" s="1053" t="s">
        <v>790</v>
      </c>
      <c r="D571" s="1052"/>
      <c r="E571" s="1052" t="s">
        <v>431</v>
      </c>
      <c r="F571" s="1052"/>
      <c r="G571" s="1052"/>
      <c r="H571" s="1052">
        <v>6</v>
      </c>
      <c r="I571" s="1051">
        <f t="shared" si="38"/>
        <v>44.76</v>
      </c>
      <c r="J571" s="1050">
        <v>60.5</v>
      </c>
      <c r="K571" s="1049">
        <v>5.5</v>
      </c>
      <c r="L571" s="1049"/>
      <c r="M571" s="1049"/>
      <c r="N571" s="1048"/>
      <c r="O571" s="1047">
        <v>7.46</v>
      </c>
      <c r="P571" s="1047">
        <f t="shared" si="37"/>
        <v>0.19006635554218249</v>
      </c>
      <c r="Q571" s="1064" t="s">
        <v>657</v>
      </c>
      <c r="T571" s="1031"/>
    </row>
    <row r="572" spans="2:20">
      <c r="B572" s="1054"/>
      <c r="C572" s="1053" t="s">
        <v>789</v>
      </c>
      <c r="D572" s="1052"/>
      <c r="E572" s="1052" t="s">
        <v>431</v>
      </c>
      <c r="F572" s="1052"/>
      <c r="G572" s="1052"/>
      <c r="H572" s="1052">
        <v>6</v>
      </c>
      <c r="I572" s="1051">
        <f t="shared" si="38"/>
        <v>11.555999999999999</v>
      </c>
      <c r="J572" s="1050">
        <v>57.2</v>
      </c>
      <c r="K572" s="1049">
        <v>1.4</v>
      </c>
      <c r="L572" s="1049"/>
      <c r="M572" s="1049"/>
      <c r="N572" s="1048"/>
      <c r="O572" s="1047">
        <v>1.9259999999999999</v>
      </c>
      <c r="P572" s="1047">
        <f t="shared" si="37"/>
        <v>0.17969909978533619</v>
      </c>
      <c r="Q572" s="1064" t="s">
        <v>788</v>
      </c>
      <c r="T572" s="1031"/>
    </row>
    <row r="573" spans="2:20">
      <c r="B573" s="1054"/>
      <c r="C573" s="1053" t="s">
        <v>787</v>
      </c>
      <c r="D573" s="1052" t="s">
        <v>732</v>
      </c>
      <c r="E573" s="1052" t="s">
        <v>431</v>
      </c>
      <c r="F573" s="1052"/>
      <c r="G573" s="1052"/>
      <c r="H573" s="1052">
        <v>6</v>
      </c>
      <c r="I573" s="1051">
        <f t="shared" si="38"/>
        <v>30.48</v>
      </c>
      <c r="J573" s="1050">
        <v>76.3</v>
      </c>
      <c r="K573" s="1049">
        <v>2.8</v>
      </c>
      <c r="L573" s="1049"/>
      <c r="M573" s="1049"/>
      <c r="N573" s="1048"/>
      <c r="O573" s="1047">
        <v>5.08</v>
      </c>
      <c r="P573" s="1047">
        <f t="shared" si="37"/>
        <v>0.2397035194689012</v>
      </c>
      <c r="Q573" s="1064" t="s">
        <v>677</v>
      </c>
      <c r="T573" s="1031"/>
    </row>
    <row r="574" spans="2:20">
      <c r="B574" s="1054"/>
      <c r="C574" s="1053" t="s">
        <v>786</v>
      </c>
      <c r="D574" s="1052"/>
      <c r="E574" s="1052" t="s">
        <v>431</v>
      </c>
      <c r="F574" s="1052"/>
      <c r="G574" s="1052"/>
      <c r="H574" s="1052">
        <v>6</v>
      </c>
      <c r="I574" s="1051">
        <f t="shared" si="38"/>
        <v>32.22</v>
      </c>
      <c r="J574" s="1050">
        <v>76</v>
      </c>
      <c r="K574" s="1049">
        <v>3</v>
      </c>
      <c r="L574" s="1049"/>
      <c r="M574" s="1049"/>
      <c r="N574" s="1048"/>
      <c r="O574" s="1047">
        <v>5.37</v>
      </c>
      <c r="P574" s="1047">
        <f t="shared" ref="P574:P637" si="39">PI()*J574*1/1000</f>
        <v>0.23876104167282428</v>
      </c>
      <c r="Q574" s="1064" t="s">
        <v>740</v>
      </c>
      <c r="T574" s="1031"/>
    </row>
    <row r="575" spans="2:20">
      <c r="B575" s="1054"/>
      <c r="C575" s="1053" t="s">
        <v>785</v>
      </c>
      <c r="D575" s="1052" t="s">
        <v>732</v>
      </c>
      <c r="E575" s="1052" t="s">
        <v>431</v>
      </c>
      <c r="F575" s="1052"/>
      <c r="G575" s="1052"/>
      <c r="H575" s="1052">
        <v>6</v>
      </c>
      <c r="I575" s="1051">
        <f t="shared" si="38"/>
        <v>34.799999999999997</v>
      </c>
      <c r="J575" s="1050">
        <v>76.3</v>
      </c>
      <c r="K575" s="1049">
        <v>3.2</v>
      </c>
      <c r="L575" s="1049"/>
      <c r="M575" s="1049"/>
      <c r="N575" s="1048"/>
      <c r="O575" s="1047">
        <v>5.8</v>
      </c>
      <c r="P575" s="1047">
        <f t="shared" si="39"/>
        <v>0.2397035194689012</v>
      </c>
      <c r="Q575" s="1064" t="s">
        <v>775</v>
      </c>
      <c r="T575" s="1031"/>
    </row>
    <row r="576" spans="2:20">
      <c r="B576" s="1054"/>
      <c r="C576" s="1053" t="s">
        <v>784</v>
      </c>
      <c r="D576" s="1052"/>
      <c r="E576" s="1052" t="s">
        <v>431</v>
      </c>
      <c r="F576" s="1052"/>
      <c r="G576" s="1052"/>
      <c r="H576" s="1052">
        <v>6</v>
      </c>
      <c r="I576" s="1051">
        <f t="shared" si="38"/>
        <v>39.119999999999997</v>
      </c>
      <c r="J576" s="1050">
        <v>76</v>
      </c>
      <c r="K576" s="1049">
        <v>3.6</v>
      </c>
      <c r="L576" s="1049"/>
      <c r="M576" s="1049"/>
      <c r="N576" s="1048"/>
      <c r="O576" s="1047">
        <v>6.52</v>
      </c>
      <c r="P576" s="1047">
        <f t="shared" si="39"/>
        <v>0.23876104167282428</v>
      </c>
      <c r="Q576" s="1064" t="s">
        <v>736</v>
      </c>
      <c r="T576" s="1031"/>
    </row>
    <row r="577" spans="2:20">
      <c r="B577" s="1054"/>
      <c r="C577" s="1053" t="s">
        <v>783</v>
      </c>
      <c r="D577" s="1052" t="s">
        <v>713</v>
      </c>
      <c r="E577" s="1052"/>
      <c r="F577" s="1052"/>
      <c r="G577" s="1052"/>
      <c r="H577" s="1052">
        <v>6</v>
      </c>
      <c r="I577" s="1051">
        <f t="shared" si="38"/>
        <v>42.78</v>
      </c>
      <c r="J577" s="1050">
        <v>76.3</v>
      </c>
      <c r="K577" s="1049">
        <v>4</v>
      </c>
      <c r="L577" s="1049"/>
      <c r="M577" s="1049"/>
      <c r="N577" s="1048"/>
      <c r="O577" s="1047">
        <v>7.13</v>
      </c>
      <c r="P577" s="1047">
        <f t="shared" si="39"/>
        <v>0.2397035194689012</v>
      </c>
      <c r="Q577" s="1064"/>
      <c r="T577" s="1031"/>
    </row>
    <row r="578" spans="2:20">
      <c r="B578" s="1054"/>
      <c r="C578" s="1053" t="s">
        <v>782</v>
      </c>
      <c r="D578" s="1052" t="s">
        <v>627</v>
      </c>
      <c r="E578" s="1052"/>
      <c r="F578" s="1052"/>
      <c r="G578" s="1052"/>
      <c r="H578" s="1052">
        <v>6</v>
      </c>
      <c r="I578" s="1051">
        <f t="shared" si="38"/>
        <v>51.78</v>
      </c>
      <c r="J578" s="1050">
        <v>73</v>
      </c>
      <c r="K578" s="1049">
        <v>5.16</v>
      </c>
      <c r="L578" s="1049"/>
      <c r="M578" s="1049"/>
      <c r="N578" s="1048"/>
      <c r="O578" s="1047">
        <v>8.6300000000000008</v>
      </c>
      <c r="P578" s="1047">
        <f t="shared" si="39"/>
        <v>0.2293362637120549</v>
      </c>
      <c r="Q578" s="1064"/>
      <c r="T578" s="1031"/>
    </row>
    <row r="579" spans="2:20">
      <c r="B579" s="1054"/>
      <c r="C579" s="1053" t="s">
        <v>781</v>
      </c>
      <c r="D579" s="1052"/>
      <c r="E579" s="1052" t="s">
        <v>431</v>
      </c>
      <c r="F579" s="1052"/>
      <c r="G579" s="1052"/>
      <c r="H579" s="1052">
        <v>6</v>
      </c>
      <c r="I579" s="1051">
        <f t="shared" si="38"/>
        <v>54.72</v>
      </c>
      <c r="J579" s="1050">
        <v>76.3</v>
      </c>
      <c r="K579" s="1049">
        <v>5.2</v>
      </c>
      <c r="L579" s="1049"/>
      <c r="M579" s="1049"/>
      <c r="N579" s="1048"/>
      <c r="O579" s="1047">
        <v>9.1199999999999992</v>
      </c>
      <c r="P579" s="1047">
        <f t="shared" si="39"/>
        <v>0.2397035194689012</v>
      </c>
      <c r="Q579" s="1064" t="s">
        <v>659</v>
      </c>
      <c r="T579" s="1031"/>
    </row>
    <row r="580" spans="2:20">
      <c r="B580" s="1054"/>
      <c r="C580" s="1053" t="s">
        <v>780</v>
      </c>
      <c r="D580" s="1052"/>
      <c r="E580" s="1052" t="s">
        <v>431</v>
      </c>
      <c r="F580" s="1052"/>
      <c r="G580" s="1052"/>
      <c r="H580" s="1052">
        <v>6</v>
      </c>
      <c r="I580" s="1051">
        <f t="shared" si="38"/>
        <v>72</v>
      </c>
      <c r="J580" s="1050">
        <v>76.3</v>
      </c>
      <c r="K580" s="1049">
        <v>7</v>
      </c>
      <c r="L580" s="1049"/>
      <c r="M580" s="1049"/>
      <c r="N580" s="1048"/>
      <c r="O580" s="1047">
        <v>12</v>
      </c>
      <c r="P580" s="1047">
        <f t="shared" si="39"/>
        <v>0.2397035194689012</v>
      </c>
      <c r="Q580" s="1064" t="s">
        <v>657</v>
      </c>
      <c r="T580" s="1031"/>
    </row>
    <row r="581" spans="2:20">
      <c r="B581" s="1054"/>
      <c r="C581" s="1053" t="s">
        <v>779</v>
      </c>
      <c r="D581" s="1052" t="s">
        <v>713</v>
      </c>
      <c r="E581" s="1052"/>
      <c r="F581" s="1052"/>
      <c r="G581" s="1052"/>
      <c r="H581" s="1052">
        <v>6</v>
      </c>
      <c r="I581" s="1051">
        <f t="shared" si="38"/>
        <v>35.76</v>
      </c>
      <c r="J581" s="1050">
        <v>89.1</v>
      </c>
      <c r="K581" s="1049">
        <v>2.8</v>
      </c>
      <c r="L581" s="1049"/>
      <c r="M581" s="1049"/>
      <c r="N581" s="1048"/>
      <c r="O581" s="1047">
        <v>5.96</v>
      </c>
      <c r="P581" s="1047">
        <f t="shared" si="39"/>
        <v>0.27991590543485056</v>
      </c>
      <c r="Q581" s="1064"/>
      <c r="T581" s="1031"/>
    </row>
    <row r="582" spans="2:20">
      <c r="B582" s="1054"/>
      <c r="C582" s="1053" t="s">
        <v>778</v>
      </c>
      <c r="D582" s="1052"/>
      <c r="E582" s="1052" t="s">
        <v>431</v>
      </c>
      <c r="F582" s="1052"/>
      <c r="G582" s="1052"/>
      <c r="H582" s="1052">
        <v>6</v>
      </c>
      <c r="I582" s="1051">
        <f t="shared" si="38"/>
        <v>37.86</v>
      </c>
      <c r="J582" s="1050">
        <v>88.7</v>
      </c>
      <c r="K582" s="1049">
        <v>3</v>
      </c>
      <c r="L582" s="1049"/>
      <c r="M582" s="1049"/>
      <c r="N582" s="1048"/>
      <c r="O582" s="1047">
        <v>6.31</v>
      </c>
      <c r="P582" s="1047">
        <f t="shared" si="39"/>
        <v>0.27865926837341465</v>
      </c>
      <c r="Q582" s="1064" t="s">
        <v>740</v>
      </c>
      <c r="T582" s="1031"/>
    </row>
    <row r="583" spans="2:20">
      <c r="B583" s="1054"/>
      <c r="C583" s="1053" t="s">
        <v>777</v>
      </c>
      <c r="D583" s="1052" t="s">
        <v>627</v>
      </c>
      <c r="E583" s="1052"/>
      <c r="F583" s="1052"/>
      <c r="G583" s="1052"/>
      <c r="H583" s="1052">
        <v>6</v>
      </c>
      <c r="I583" s="1051">
        <f t="shared" si="38"/>
        <v>40.32</v>
      </c>
      <c r="J583" s="1050">
        <v>88.9</v>
      </c>
      <c r="K583" s="1049">
        <v>3.18</v>
      </c>
      <c r="L583" s="1049"/>
      <c r="M583" s="1049"/>
      <c r="N583" s="1048"/>
      <c r="O583" s="1047">
        <v>6.72</v>
      </c>
      <c r="P583" s="1047">
        <f t="shared" si="39"/>
        <v>0.27928758690413263</v>
      </c>
      <c r="Q583" s="1064"/>
      <c r="T583" s="1031"/>
    </row>
    <row r="584" spans="2:20">
      <c r="B584" s="1054"/>
      <c r="C584" s="1053" t="s">
        <v>776</v>
      </c>
      <c r="D584" s="1052" t="s">
        <v>732</v>
      </c>
      <c r="E584" s="1052" t="s">
        <v>431</v>
      </c>
      <c r="F584" s="1052"/>
      <c r="G584" s="1052"/>
      <c r="H584" s="1052">
        <v>6</v>
      </c>
      <c r="I584" s="1051">
        <f t="shared" si="38"/>
        <v>40.92</v>
      </c>
      <c r="J584" s="1050">
        <v>89.1</v>
      </c>
      <c r="K584" s="1049">
        <v>3.2</v>
      </c>
      <c r="L584" s="1049"/>
      <c r="M584" s="1049"/>
      <c r="N584" s="1048"/>
      <c r="O584" s="1047">
        <v>6.82</v>
      </c>
      <c r="P584" s="1047">
        <f t="shared" si="39"/>
        <v>0.27991590543485056</v>
      </c>
      <c r="Q584" s="1064" t="s">
        <v>775</v>
      </c>
      <c r="T584" s="1031"/>
    </row>
    <row r="585" spans="2:20">
      <c r="B585" s="1054"/>
      <c r="C585" s="1053" t="s">
        <v>774</v>
      </c>
      <c r="D585" s="1052" t="s">
        <v>627</v>
      </c>
      <c r="E585" s="1052"/>
      <c r="F585" s="1052"/>
      <c r="G585" s="1052"/>
      <c r="H585" s="1052">
        <v>6</v>
      </c>
      <c r="I585" s="1051">
        <f t="shared" si="38"/>
        <v>49.739999999999995</v>
      </c>
      <c r="J585" s="1050">
        <v>88.9</v>
      </c>
      <c r="K585" s="1049">
        <v>3.96</v>
      </c>
      <c r="L585" s="1049"/>
      <c r="M585" s="1049"/>
      <c r="N585" s="1048"/>
      <c r="O585" s="1047">
        <v>8.2899999999999991</v>
      </c>
      <c r="P585" s="1047">
        <f t="shared" si="39"/>
        <v>0.27928758690413263</v>
      </c>
      <c r="Q585" s="1064"/>
      <c r="T585" s="1031"/>
    </row>
    <row r="586" spans="2:20">
      <c r="B586" s="1054"/>
      <c r="C586" s="1053" t="s">
        <v>773</v>
      </c>
      <c r="D586" s="1052" t="s">
        <v>732</v>
      </c>
      <c r="E586" s="1052" t="s">
        <v>431</v>
      </c>
      <c r="F586" s="1052"/>
      <c r="G586" s="1052"/>
      <c r="H586" s="1052">
        <v>6</v>
      </c>
      <c r="I586" s="1051">
        <f t="shared" si="38"/>
        <v>50.820000000000007</v>
      </c>
      <c r="J586" s="1050">
        <v>88.7</v>
      </c>
      <c r="K586" s="1049">
        <v>4</v>
      </c>
      <c r="L586" s="1049"/>
      <c r="M586" s="1049"/>
      <c r="N586" s="1048"/>
      <c r="O586" s="1047">
        <v>8.4700000000000006</v>
      </c>
      <c r="P586" s="1047">
        <f t="shared" si="39"/>
        <v>0.27865926837341465</v>
      </c>
      <c r="Q586" s="1064" t="s">
        <v>736</v>
      </c>
      <c r="T586" s="1031"/>
    </row>
    <row r="587" spans="2:20">
      <c r="B587" s="1054"/>
      <c r="C587" s="1053" t="s">
        <v>772</v>
      </c>
      <c r="D587" s="1052" t="s">
        <v>732</v>
      </c>
      <c r="E587" s="1052" t="s">
        <v>431</v>
      </c>
      <c r="F587" s="1052"/>
      <c r="G587" s="1052"/>
      <c r="H587" s="1052">
        <v>6</v>
      </c>
      <c r="I587" s="1051">
        <f t="shared" si="38"/>
        <v>50.820000000000007</v>
      </c>
      <c r="J587" s="1050">
        <v>88.7</v>
      </c>
      <c r="K587" s="1049">
        <v>4</v>
      </c>
      <c r="L587" s="1049"/>
      <c r="M587" s="1049"/>
      <c r="N587" s="1048"/>
      <c r="O587" s="1047">
        <v>8.4700000000000006</v>
      </c>
      <c r="P587" s="1047">
        <f t="shared" si="39"/>
        <v>0.27865926837341465</v>
      </c>
      <c r="Q587" s="1064" t="s">
        <v>736</v>
      </c>
      <c r="T587" s="1031"/>
    </row>
    <row r="588" spans="2:20">
      <c r="B588" s="1054"/>
      <c r="C588" s="1053" t="s">
        <v>771</v>
      </c>
      <c r="D588" s="1052" t="s">
        <v>627</v>
      </c>
      <c r="E588" s="1052"/>
      <c r="F588" s="1052"/>
      <c r="G588" s="1052"/>
      <c r="H588" s="1052">
        <v>6</v>
      </c>
      <c r="I588" s="1051">
        <f t="shared" si="38"/>
        <v>59.519999999999996</v>
      </c>
      <c r="J588" s="1050">
        <v>88.9</v>
      </c>
      <c r="K588" s="1049">
        <v>4.78</v>
      </c>
      <c r="L588" s="1049"/>
      <c r="M588" s="1049"/>
      <c r="N588" s="1048"/>
      <c r="O588" s="1047">
        <v>9.92</v>
      </c>
      <c r="P588" s="1047">
        <f t="shared" si="39"/>
        <v>0.27928758690413263</v>
      </c>
      <c r="Q588" s="1064"/>
      <c r="T588" s="1031"/>
    </row>
    <row r="589" spans="2:20">
      <c r="B589" s="1054"/>
      <c r="C589" s="1053" t="s">
        <v>770</v>
      </c>
      <c r="D589" s="1052" t="s">
        <v>627</v>
      </c>
      <c r="E589" s="1052"/>
      <c r="F589" s="1052"/>
      <c r="G589" s="1052"/>
      <c r="H589" s="1052">
        <v>6</v>
      </c>
      <c r="I589" s="1051">
        <f t="shared" si="38"/>
        <v>67.739999999999995</v>
      </c>
      <c r="J589" s="1050">
        <v>88.9</v>
      </c>
      <c r="K589" s="1049">
        <v>5.49</v>
      </c>
      <c r="L589" s="1049"/>
      <c r="M589" s="1049"/>
      <c r="N589" s="1048"/>
      <c r="O589" s="1047">
        <v>11.29</v>
      </c>
      <c r="P589" s="1047">
        <f t="shared" si="39"/>
        <v>0.27928758690413263</v>
      </c>
      <c r="Q589" s="1064"/>
      <c r="T589" s="1031"/>
    </row>
    <row r="590" spans="2:20">
      <c r="B590" s="1054"/>
      <c r="C590" s="1053" t="s">
        <v>769</v>
      </c>
      <c r="D590" s="1052"/>
      <c r="E590" s="1052" t="s">
        <v>431</v>
      </c>
      <c r="F590" s="1052"/>
      <c r="G590" s="1052"/>
      <c r="H590" s="1052">
        <v>6</v>
      </c>
      <c r="I590" s="1051">
        <f t="shared" si="38"/>
        <v>67.800000000000011</v>
      </c>
      <c r="J590" s="1050">
        <v>89.1</v>
      </c>
      <c r="K590" s="1049">
        <v>5.5</v>
      </c>
      <c r="L590" s="1049"/>
      <c r="M590" s="1049"/>
      <c r="N590" s="1048"/>
      <c r="O590" s="1047">
        <v>11.3</v>
      </c>
      <c r="P590" s="1047">
        <f t="shared" si="39"/>
        <v>0.27991590543485056</v>
      </c>
      <c r="Q590" s="1064" t="s">
        <v>659</v>
      </c>
      <c r="T590" s="1031"/>
    </row>
    <row r="591" spans="2:20">
      <c r="B591" s="1054"/>
      <c r="C591" s="1053" t="s">
        <v>768</v>
      </c>
      <c r="D591" s="1052"/>
      <c r="E591" s="1052" t="s">
        <v>431</v>
      </c>
      <c r="F591" s="1052"/>
      <c r="G591" s="1052"/>
      <c r="H591" s="1052">
        <v>6</v>
      </c>
      <c r="I591" s="1051">
        <f t="shared" si="38"/>
        <v>91.800000000000011</v>
      </c>
      <c r="J591" s="1050">
        <v>89.1</v>
      </c>
      <c r="K591" s="1049">
        <v>7.6</v>
      </c>
      <c r="L591" s="1049"/>
      <c r="M591" s="1049"/>
      <c r="N591" s="1048"/>
      <c r="O591" s="1047">
        <v>15.3</v>
      </c>
      <c r="P591" s="1047">
        <f t="shared" si="39"/>
        <v>0.27991590543485056</v>
      </c>
      <c r="Q591" s="1064" t="s">
        <v>657</v>
      </c>
      <c r="T591" s="1031"/>
    </row>
    <row r="592" spans="2:20">
      <c r="B592" s="1054"/>
      <c r="C592" s="1053" t="s">
        <v>767</v>
      </c>
      <c r="D592" s="1052" t="s">
        <v>627</v>
      </c>
      <c r="E592" s="1052"/>
      <c r="F592" s="1052"/>
      <c r="G592" s="1052"/>
      <c r="H592" s="1052">
        <v>6</v>
      </c>
      <c r="I592" s="1051">
        <f t="shared" si="38"/>
        <v>52.260000000000005</v>
      </c>
      <c r="J592" s="1050">
        <v>114.3</v>
      </c>
      <c r="K592" s="1049">
        <v>3.18</v>
      </c>
      <c r="L592" s="1049"/>
      <c r="M592" s="1049"/>
      <c r="N592" s="1048"/>
      <c r="O592" s="1047">
        <v>8.7100000000000009</v>
      </c>
      <c r="P592" s="1047">
        <f t="shared" si="39"/>
        <v>0.35908404030531338</v>
      </c>
      <c r="Q592" s="1064"/>
      <c r="T592" s="1031"/>
    </row>
    <row r="593" spans="2:20">
      <c r="B593" s="1054"/>
      <c r="C593" s="1053" t="s">
        <v>766</v>
      </c>
      <c r="D593" s="1052" t="s">
        <v>713</v>
      </c>
      <c r="E593" s="1052"/>
      <c r="F593" s="1052"/>
      <c r="G593" s="1052"/>
      <c r="H593" s="1052">
        <v>6</v>
      </c>
      <c r="I593" s="1051">
        <f t="shared" si="38"/>
        <v>52.62</v>
      </c>
      <c r="J593" s="1050">
        <v>114.3</v>
      </c>
      <c r="K593" s="1049">
        <v>3.2</v>
      </c>
      <c r="L593" s="1049"/>
      <c r="M593" s="1049"/>
      <c r="N593" s="1048"/>
      <c r="O593" s="1047">
        <v>8.77</v>
      </c>
      <c r="P593" s="1047">
        <f t="shared" si="39"/>
        <v>0.35908404030531338</v>
      </c>
      <c r="Q593" s="1064"/>
      <c r="T593" s="1031"/>
    </row>
    <row r="594" spans="2:20">
      <c r="B594" s="1054"/>
      <c r="C594" s="1053" t="s">
        <v>765</v>
      </c>
      <c r="D594" s="1052"/>
      <c r="E594" s="1052" t="s">
        <v>431</v>
      </c>
      <c r="F594" s="1052"/>
      <c r="G594" s="1052"/>
      <c r="H594" s="1052">
        <v>6</v>
      </c>
      <c r="I594" s="1051">
        <f t="shared" si="38"/>
        <v>52.980000000000004</v>
      </c>
      <c r="J594" s="1050">
        <v>113.9</v>
      </c>
      <c r="K594" s="1049">
        <v>3.25</v>
      </c>
      <c r="L594" s="1049"/>
      <c r="M594" s="1049"/>
      <c r="N594" s="1048"/>
      <c r="O594" s="1047">
        <v>8.83</v>
      </c>
      <c r="P594" s="1047">
        <f t="shared" si="39"/>
        <v>0.35782740324387741</v>
      </c>
      <c r="Q594" s="1064" t="s">
        <v>740</v>
      </c>
      <c r="T594" s="1031"/>
    </row>
    <row r="595" spans="2:20">
      <c r="B595" s="1054"/>
      <c r="C595" s="1053" t="s">
        <v>764</v>
      </c>
      <c r="D595" s="1052" t="s">
        <v>732</v>
      </c>
      <c r="E595" s="1052" t="s">
        <v>431</v>
      </c>
      <c r="F595" s="1052"/>
      <c r="G595" s="1052"/>
      <c r="H595" s="1052">
        <v>6</v>
      </c>
      <c r="I595" s="1051">
        <f t="shared" si="38"/>
        <v>57.36</v>
      </c>
      <c r="J595" s="1050">
        <v>114.3</v>
      </c>
      <c r="K595" s="1049">
        <v>3.5</v>
      </c>
      <c r="L595" s="1049"/>
      <c r="M595" s="1049"/>
      <c r="N595" s="1048"/>
      <c r="O595" s="1047">
        <v>9.56</v>
      </c>
      <c r="P595" s="1047">
        <f t="shared" si="39"/>
        <v>0.35908404030531338</v>
      </c>
      <c r="Q595" s="1064" t="s">
        <v>677</v>
      </c>
      <c r="T595" s="1031"/>
    </row>
    <row r="596" spans="2:20">
      <c r="B596" s="1054"/>
      <c r="C596" s="1053" t="s">
        <v>763</v>
      </c>
      <c r="D596" s="1052"/>
      <c r="E596" s="1052" t="s">
        <v>431</v>
      </c>
      <c r="F596" s="1052"/>
      <c r="G596" s="1052"/>
      <c r="H596" s="1052">
        <v>6</v>
      </c>
      <c r="I596" s="1051">
        <f t="shared" si="38"/>
        <v>59.28</v>
      </c>
      <c r="J596" s="1050">
        <v>113.9</v>
      </c>
      <c r="K596" s="1049">
        <v>3.6</v>
      </c>
      <c r="L596" s="1049"/>
      <c r="M596" s="1049"/>
      <c r="N596" s="1048"/>
      <c r="O596" s="1047">
        <v>9.8800000000000008</v>
      </c>
      <c r="P596" s="1047">
        <f t="shared" si="39"/>
        <v>0.35782740324387741</v>
      </c>
      <c r="Q596" s="1064" t="s">
        <v>762</v>
      </c>
      <c r="T596" s="1031"/>
    </row>
    <row r="597" spans="2:20">
      <c r="B597" s="1054"/>
      <c r="C597" s="1053" t="s">
        <v>761</v>
      </c>
      <c r="D597" s="1052" t="s">
        <v>627</v>
      </c>
      <c r="E597" s="1052"/>
      <c r="F597" s="1052"/>
      <c r="G597" s="1052"/>
      <c r="H597" s="1052">
        <v>6</v>
      </c>
      <c r="I597" s="1051">
        <f t="shared" si="38"/>
        <v>64.679999999999993</v>
      </c>
      <c r="J597" s="1050">
        <v>114.3</v>
      </c>
      <c r="K597" s="1049">
        <v>3.96</v>
      </c>
      <c r="L597" s="1049"/>
      <c r="M597" s="1049"/>
      <c r="N597" s="1048"/>
      <c r="O597" s="1047">
        <v>10.78</v>
      </c>
      <c r="P597" s="1047">
        <f t="shared" si="39"/>
        <v>0.35908404030531338</v>
      </c>
      <c r="Q597" s="1064"/>
      <c r="T597" s="1031"/>
    </row>
    <row r="598" spans="2:20">
      <c r="B598" s="1054"/>
      <c r="C598" s="1053" t="s">
        <v>760</v>
      </c>
      <c r="D598" s="1052" t="s">
        <v>732</v>
      </c>
      <c r="E598" s="1052" t="s">
        <v>431</v>
      </c>
      <c r="F598" s="1052"/>
      <c r="G598" s="1052"/>
      <c r="H598" s="1052">
        <v>6</v>
      </c>
      <c r="I598" s="1051">
        <f t="shared" si="38"/>
        <v>73.199999999999989</v>
      </c>
      <c r="J598" s="1050">
        <v>114.3</v>
      </c>
      <c r="K598" s="1049">
        <v>4.5</v>
      </c>
      <c r="L598" s="1049"/>
      <c r="M598" s="1049"/>
      <c r="N598" s="1048"/>
      <c r="O598" s="1047">
        <v>12.2</v>
      </c>
      <c r="P598" s="1047">
        <f t="shared" si="39"/>
        <v>0.35908404030531338</v>
      </c>
      <c r="Q598" s="1064" t="s">
        <v>759</v>
      </c>
      <c r="T598" s="1031"/>
    </row>
    <row r="599" spans="2:20">
      <c r="B599" s="1054"/>
      <c r="C599" s="1053" t="s">
        <v>758</v>
      </c>
      <c r="D599" s="1052" t="s">
        <v>627</v>
      </c>
      <c r="E599" s="1052"/>
      <c r="F599" s="1052"/>
      <c r="G599" s="1052"/>
      <c r="H599" s="1052">
        <v>6</v>
      </c>
      <c r="I599" s="1051">
        <f t="shared" si="38"/>
        <v>77.460000000000008</v>
      </c>
      <c r="J599" s="1050">
        <v>114.3</v>
      </c>
      <c r="K599" s="1049">
        <v>4.78</v>
      </c>
      <c r="L599" s="1049"/>
      <c r="M599" s="1049"/>
      <c r="N599" s="1048"/>
      <c r="O599" s="1047">
        <v>12.91</v>
      </c>
      <c r="P599" s="1047">
        <f t="shared" si="39"/>
        <v>0.35908404030531338</v>
      </c>
      <c r="Q599" s="1064"/>
      <c r="T599" s="1031"/>
    </row>
    <row r="600" spans="2:20">
      <c r="B600" s="1054"/>
      <c r="C600" s="1053" t="s">
        <v>757</v>
      </c>
      <c r="D600" s="1052" t="s">
        <v>627</v>
      </c>
      <c r="E600" s="1052"/>
      <c r="F600" s="1052"/>
      <c r="G600" s="1052"/>
      <c r="H600" s="1052">
        <v>6</v>
      </c>
      <c r="I600" s="1051">
        <f t="shared" si="38"/>
        <v>89.460000000000008</v>
      </c>
      <c r="J600" s="1050">
        <v>114.3</v>
      </c>
      <c r="K600" s="1049">
        <v>5.56</v>
      </c>
      <c r="L600" s="1049"/>
      <c r="M600" s="1049"/>
      <c r="N600" s="1048"/>
      <c r="O600" s="1047">
        <v>14.91</v>
      </c>
      <c r="P600" s="1047">
        <f t="shared" si="39"/>
        <v>0.35908404030531338</v>
      </c>
      <c r="Q600" s="1064"/>
      <c r="T600" s="1031"/>
    </row>
    <row r="601" spans="2:20">
      <c r="B601" s="1054"/>
      <c r="C601" s="1053" t="s">
        <v>756</v>
      </c>
      <c r="D601" s="1052" t="s">
        <v>713</v>
      </c>
      <c r="E601" s="1052"/>
      <c r="F601" s="1052"/>
      <c r="G601" s="1052"/>
      <c r="H601" s="1052">
        <v>6</v>
      </c>
      <c r="I601" s="1051">
        <f t="shared" si="38"/>
        <v>90</v>
      </c>
      <c r="J601" s="1050">
        <v>114.3</v>
      </c>
      <c r="K601" s="1049">
        <v>5.6</v>
      </c>
      <c r="L601" s="1049"/>
      <c r="M601" s="1049"/>
      <c r="N601" s="1048"/>
      <c r="O601" s="1047">
        <v>15</v>
      </c>
      <c r="P601" s="1047">
        <f t="shared" si="39"/>
        <v>0.35908404030531338</v>
      </c>
      <c r="Q601" s="1064"/>
      <c r="T601" s="1031"/>
    </row>
    <row r="602" spans="2:20">
      <c r="B602" s="1054"/>
      <c r="C602" s="1053" t="s">
        <v>755</v>
      </c>
      <c r="D602" s="1052"/>
      <c r="E602" s="1052" t="s">
        <v>431</v>
      </c>
      <c r="F602" s="1052"/>
      <c r="G602" s="1052"/>
      <c r="H602" s="1052">
        <v>6</v>
      </c>
      <c r="I602" s="1051">
        <f t="shared" si="38"/>
        <v>96</v>
      </c>
      <c r="J602" s="1050">
        <v>114.3</v>
      </c>
      <c r="K602" s="1049">
        <v>6</v>
      </c>
      <c r="L602" s="1049"/>
      <c r="M602" s="1049"/>
      <c r="N602" s="1048"/>
      <c r="O602" s="1047">
        <v>16</v>
      </c>
      <c r="P602" s="1047">
        <f t="shared" si="39"/>
        <v>0.35908404030531338</v>
      </c>
      <c r="Q602" s="1064" t="s">
        <v>659</v>
      </c>
      <c r="T602" s="1031"/>
    </row>
    <row r="603" spans="2:20">
      <c r="B603" s="1054"/>
      <c r="C603" s="1053" t="s">
        <v>754</v>
      </c>
      <c r="D603" s="1052" t="s">
        <v>627</v>
      </c>
      <c r="E603" s="1052"/>
      <c r="F603" s="1052"/>
      <c r="G603" s="1052"/>
      <c r="H603" s="1052">
        <v>6</v>
      </c>
      <c r="I603" s="1051">
        <f t="shared" si="38"/>
        <v>96.42</v>
      </c>
      <c r="J603" s="1050">
        <v>114.3</v>
      </c>
      <c r="K603" s="1049">
        <v>6.02</v>
      </c>
      <c r="L603" s="1049"/>
      <c r="M603" s="1049"/>
      <c r="N603" s="1048"/>
      <c r="O603" s="1047">
        <v>16.07</v>
      </c>
      <c r="P603" s="1047">
        <f t="shared" si="39"/>
        <v>0.35908404030531338</v>
      </c>
      <c r="Q603" s="1064"/>
      <c r="T603" s="1031"/>
    </row>
    <row r="604" spans="2:20">
      <c r="B604" s="1054"/>
      <c r="C604" s="1053" t="s">
        <v>753</v>
      </c>
      <c r="D604" s="1052"/>
      <c r="E604" s="1052" t="s">
        <v>431</v>
      </c>
      <c r="F604" s="1052"/>
      <c r="G604" s="1052"/>
      <c r="H604" s="1052">
        <v>6</v>
      </c>
      <c r="I604" s="1051">
        <f t="shared" si="38"/>
        <v>134.39999999999998</v>
      </c>
      <c r="J604" s="1050">
        <v>114.3</v>
      </c>
      <c r="K604" s="1049">
        <v>8.6</v>
      </c>
      <c r="L604" s="1049"/>
      <c r="M604" s="1049"/>
      <c r="N604" s="1048"/>
      <c r="O604" s="1047">
        <v>22.4</v>
      </c>
      <c r="P604" s="1047">
        <f t="shared" si="39"/>
        <v>0.35908404030531338</v>
      </c>
      <c r="Q604" s="1064" t="s">
        <v>657</v>
      </c>
      <c r="T604" s="1031"/>
    </row>
    <row r="605" spans="2:20">
      <c r="B605" s="1054"/>
      <c r="C605" s="1053" t="s">
        <v>752</v>
      </c>
      <c r="D605" s="1052" t="s">
        <v>713</v>
      </c>
      <c r="E605" s="1052" t="s">
        <v>431</v>
      </c>
      <c r="F605" s="1052"/>
      <c r="G605" s="1052"/>
      <c r="H605" s="1052">
        <v>6</v>
      </c>
      <c r="I605" s="1051">
        <f t="shared" si="38"/>
        <v>73.02</v>
      </c>
      <c r="J605" s="1050">
        <v>140.6</v>
      </c>
      <c r="K605" s="1049">
        <v>3.6</v>
      </c>
      <c r="L605" s="1049"/>
      <c r="M605" s="1049"/>
      <c r="N605" s="1048"/>
      <c r="O605" s="1047">
        <v>12.17</v>
      </c>
      <c r="P605" s="1047">
        <f t="shared" si="39"/>
        <v>0.44170792709472489</v>
      </c>
      <c r="Q605" s="1064" t="s">
        <v>740</v>
      </c>
      <c r="T605" s="1031"/>
    </row>
    <row r="606" spans="2:20">
      <c r="B606" s="1054"/>
      <c r="C606" s="1053" t="s">
        <v>751</v>
      </c>
      <c r="D606" s="1052" t="s">
        <v>627</v>
      </c>
      <c r="E606" s="1052"/>
      <c r="F606" s="1052"/>
      <c r="G606" s="1052"/>
      <c r="H606" s="1052">
        <v>6</v>
      </c>
      <c r="I606" s="1051">
        <f t="shared" si="38"/>
        <v>80.460000000000008</v>
      </c>
      <c r="J606" s="1050">
        <v>141.30000000000001</v>
      </c>
      <c r="K606" s="1049">
        <v>3.96</v>
      </c>
      <c r="L606" s="1049"/>
      <c r="M606" s="1049"/>
      <c r="N606" s="1048"/>
      <c r="O606" s="1047">
        <v>13.41</v>
      </c>
      <c r="P606" s="1047">
        <f t="shared" si="39"/>
        <v>0.44390704195223785</v>
      </c>
      <c r="Q606" s="1064"/>
      <c r="T606" s="1031"/>
    </row>
    <row r="607" spans="2:20">
      <c r="B607" s="1054"/>
      <c r="C607" s="1053" t="s">
        <v>750</v>
      </c>
      <c r="D607" s="1052" t="s">
        <v>713</v>
      </c>
      <c r="E607" s="1052"/>
      <c r="F607" s="1052"/>
      <c r="G607" s="1052"/>
      <c r="H607" s="1052">
        <v>6</v>
      </c>
      <c r="I607" s="1051">
        <f t="shared" si="38"/>
        <v>80.400000000000006</v>
      </c>
      <c r="J607" s="1050">
        <v>139.80000000000001</v>
      </c>
      <c r="K607" s="1049">
        <v>4</v>
      </c>
      <c r="L607" s="1049"/>
      <c r="M607" s="1049"/>
      <c r="N607" s="1048"/>
      <c r="O607" s="1047">
        <v>13.4</v>
      </c>
      <c r="P607" s="1047">
        <f t="shared" si="39"/>
        <v>0.43919465297185306</v>
      </c>
      <c r="Q607" s="1064"/>
      <c r="T607" s="1031"/>
    </row>
    <row r="608" spans="2:20">
      <c r="B608" s="1054"/>
      <c r="C608" s="1053" t="s">
        <v>749</v>
      </c>
      <c r="D608" s="1052" t="s">
        <v>732</v>
      </c>
      <c r="E608" s="1052" t="s">
        <v>431</v>
      </c>
      <c r="F608" s="1052"/>
      <c r="G608" s="1052"/>
      <c r="H608" s="1052">
        <v>6</v>
      </c>
      <c r="I608" s="1051">
        <f t="shared" si="38"/>
        <v>90</v>
      </c>
      <c r="J608" s="1050">
        <v>139.80000000000001</v>
      </c>
      <c r="K608" s="1049">
        <v>4.5</v>
      </c>
      <c r="L608" s="1049"/>
      <c r="M608" s="1049"/>
      <c r="N608" s="1048"/>
      <c r="O608" s="1047">
        <v>15</v>
      </c>
      <c r="P608" s="1047">
        <f t="shared" si="39"/>
        <v>0.43919465297185306</v>
      </c>
      <c r="Q608" s="1064" t="s">
        <v>677</v>
      </c>
      <c r="T608" s="1031"/>
    </row>
    <row r="609" spans="2:20">
      <c r="B609" s="1054"/>
      <c r="C609" s="1053" t="s">
        <v>748</v>
      </c>
      <c r="D609" s="1052" t="s">
        <v>627</v>
      </c>
      <c r="E609" s="1052"/>
      <c r="F609" s="1052"/>
      <c r="G609" s="1052"/>
      <c r="H609" s="1052">
        <v>6</v>
      </c>
      <c r="I609" s="1051">
        <f t="shared" si="38"/>
        <v>96.539999999999992</v>
      </c>
      <c r="J609" s="1050">
        <v>141.30000000000001</v>
      </c>
      <c r="K609" s="1049">
        <v>4.78</v>
      </c>
      <c r="L609" s="1049"/>
      <c r="M609" s="1049"/>
      <c r="N609" s="1048"/>
      <c r="O609" s="1047">
        <v>16.09</v>
      </c>
      <c r="P609" s="1047">
        <f t="shared" si="39"/>
        <v>0.44390704195223785</v>
      </c>
      <c r="Q609" s="1064"/>
      <c r="T609" s="1031"/>
    </row>
    <row r="610" spans="2:20">
      <c r="B610" s="1054"/>
      <c r="C610" s="1053" t="s">
        <v>747</v>
      </c>
      <c r="D610" s="1052"/>
      <c r="E610" s="1052" t="s">
        <v>431</v>
      </c>
      <c r="F610" s="1052"/>
      <c r="G610" s="1052"/>
      <c r="H610" s="1052">
        <v>6</v>
      </c>
      <c r="I610" s="1051">
        <f t="shared" si="38"/>
        <v>97.199999999999989</v>
      </c>
      <c r="J610" s="1050">
        <v>140.6</v>
      </c>
      <c r="K610" s="1049">
        <v>4.8</v>
      </c>
      <c r="L610" s="1049"/>
      <c r="M610" s="1049"/>
      <c r="N610" s="1048"/>
      <c r="O610" s="1047">
        <v>16.2</v>
      </c>
      <c r="P610" s="1047">
        <f t="shared" si="39"/>
        <v>0.44170792709472489</v>
      </c>
      <c r="Q610" s="1064" t="s">
        <v>736</v>
      </c>
      <c r="T610" s="1031"/>
    </row>
    <row r="611" spans="2:20">
      <c r="B611" s="1054"/>
      <c r="C611" s="1053" t="s">
        <v>746</v>
      </c>
      <c r="D611" s="1052" t="s">
        <v>627</v>
      </c>
      <c r="E611" s="1052"/>
      <c r="F611" s="1052"/>
      <c r="G611" s="1052"/>
      <c r="H611" s="1052">
        <v>6</v>
      </c>
      <c r="I611" s="1051">
        <f t="shared" ref="I611:I674" si="40">O611*H611</f>
        <v>111.66</v>
      </c>
      <c r="J611" s="1050">
        <v>141.30000000000001</v>
      </c>
      <c r="K611" s="1049">
        <v>5.56</v>
      </c>
      <c r="L611" s="1049"/>
      <c r="M611" s="1049"/>
      <c r="N611" s="1048"/>
      <c r="O611" s="1047">
        <v>18.61</v>
      </c>
      <c r="P611" s="1047">
        <f t="shared" si="39"/>
        <v>0.44390704195223785</v>
      </c>
      <c r="Q611" s="1064"/>
      <c r="T611" s="1031"/>
    </row>
    <row r="612" spans="2:20">
      <c r="B612" s="1054"/>
      <c r="C612" s="1053" t="s">
        <v>745</v>
      </c>
      <c r="D612" s="1052" t="s">
        <v>732</v>
      </c>
      <c r="E612" s="1052"/>
      <c r="F612" s="1052"/>
      <c r="G612" s="1052"/>
      <c r="H612" s="1052">
        <v>6</v>
      </c>
      <c r="I612" s="1051">
        <f t="shared" si="40"/>
        <v>118.80000000000001</v>
      </c>
      <c r="J612" s="1050">
        <v>139.80000000000001</v>
      </c>
      <c r="K612" s="1049">
        <v>6</v>
      </c>
      <c r="L612" s="1049"/>
      <c r="M612" s="1049"/>
      <c r="N612" s="1048"/>
      <c r="O612" s="1047">
        <v>19.8</v>
      </c>
      <c r="P612" s="1047">
        <f t="shared" si="39"/>
        <v>0.43919465297185306</v>
      </c>
      <c r="Q612" s="1064"/>
      <c r="T612" s="1031"/>
    </row>
    <row r="613" spans="2:20">
      <c r="B613" s="1054"/>
      <c r="C613" s="1053" t="s">
        <v>744</v>
      </c>
      <c r="D613" s="1052" t="s">
        <v>627</v>
      </c>
      <c r="E613" s="1052"/>
      <c r="F613" s="1052"/>
      <c r="G613" s="1052"/>
      <c r="H613" s="1052">
        <v>6</v>
      </c>
      <c r="I613" s="1051">
        <f t="shared" si="40"/>
        <v>130.62</v>
      </c>
      <c r="J613" s="1050">
        <v>141.30000000000001</v>
      </c>
      <c r="K613" s="1049">
        <v>6.55</v>
      </c>
      <c r="L613" s="1049"/>
      <c r="M613" s="1049"/>
      <c r="N613" s="1048"/>
      <c r="O613" s="1047">
        <v>21.77</v>
      </c>
      <c r="P613" s="1047">
        <f t="shared" si="39"/>
        <v>0.44390704195223785</v>
      </c>
      <c r="Q613" s="1064"/>
      <c r="T613" s="1031"/>
    </row>
    <row r="614" spans="2:20">
      <c r="B614" s="1054"/>
      <c r="C614" s="1053" t="s">
        <v>743</v>
      </c>
      <c r="D614" s="1052"/>
      <c r="E614" s="1052" t="s">
        <v>431</v>
      </c>
      <c r="F614" s="1052"/>
      <c r="G614" s="1052"/>
      <c r="H614" s="1052">
        <v>6</v>
      </c>
      <c r="I614" s="1051">
        <f t="shared" si="40"/>
        <v>130.19999999999999</v>
      </c>
      <c r="J614" s="1050">
        <v>139.80000000000001</v>
      </c>
      <c r="K614" s="1049">
        <v>6.6</v>
      </c>
      <c r="L614" s="1049"/>
      <c r="M614" s="1049"/>
      <c r="N614" s="1048"/>
      <c r="O614" s="1047">
        <v>21.7</v>
      </c>
      <c r="P614" s="1047">
        <f t="shared" si="39"/>
        <v>0.43919465297185306</v>
      </c>
      <c r="Q614" s="1064" t="s">
        <v>659</v>
      </c>
      <c r="T614" s="1031"/>
    </row>
    <row r="615" spans="2:20">
      <c r="B615" s="1054"/>
      <c r="C615" s="1053" t="s">
        <v>742</v>
      </c>
      <c r="D615" s="1052"/>
      <c r="E615" s="1052" t="s">
        <v>431</v>
      </c>
      <c r="F615" s="1052"/>
      <c r="G615" s="1052"/>
      <c r="H615" s="1052">
        <v>6</v>
      </c>
      <c r="I615" s="1051">
        <f t="shared" si="40"/>
        <v>183</v>
      </c>
      <c r="J615" s="1050">
        <v>139.80000000000001</v>
      </c>
      <c r="K615" s="1049">
        <v>9.5</v>
      </c>
      <c r="L615" s="1049"/>
      <c r="M615" s="1049"/>
      <c r="N615" s="1048"/>
      <c r="O615" s="1047">
        <v>30.5</v>
      </c>
      <c r="P615" s="1047">
        <f t="shared" si="39"/>
        <v>0.43919465297185306</v>
      </c>
      <c r="Q615" s="1064" t="s">
        <v>657</v>
      </c>
      <c r="T615" s="1031"/>
    </row>
    <row r="616" spans="2:20">
      <c r="B616" s="1054"/>
      <c r="C616" s="1053" t="s">
        <v>741</v>
      </c>
      <c r="D616" s="1052"/>
      <c r="E616" s="1052" t="s">
        <v>431</v>
      </c>
      <c r="F616" s="1052"/>
      <c r="G616" s="1052"/>
      <c r="H616" s="1052">
        <v>6</v>
      </c>
      <c r="I616" s="1051">
        <f t="shared" si="40"/>
        <v>86.58</v>
      </c>
      <c r="J616" s="1050">
        <v>166.1</v>
      </c>
      <c r="K616" s="1049">
        <v>3.6</v>
      </c>
      <c r="L616" s="1049"/>
      <c r="M616" s="1049"/>
      <c r="N616" s="1048"/>
      <c r="O616" s="1047">
        <v>14.43</v>
      </c>
      <c r="P616" s="1047">
        <f t="shared" si="39"/>
        <v>0.52181853976126469</v>
      </c>
      <c r="Q616" s="1064" t="s">
        <v>740</v>
      </c>
      <c r="T616" s="1031"/>
    </row>
    <row r="617" spans="2:20">
      <c r="B617" s="1054"/>
      <c r="C617" s="1053" t="s">
        <v>739</v>
      </c>
      <c r="D617" s="1052" t="s">
        <v>732</v>
      </c>
      <c r="E617" s="1052" t="s">
        <v>431</v>
      </c>
      <c r="F617" s="1052"/>
      <c r="G617" s="1052"/>
      <c r="H617" s="1052">
        <v>6</v>
      </c>
      <c r="I617" s="1051">
        <f t="shared" si="40"/>
        <v>106.80000000000001</v>
      </c>
      <c r="J617" s="1050">
        <v>165.2</v>
      </c>
      <c r="K617" s="1049">
        <v>4.5</v>
      </c>
      <c r="L617" s="1049"/>
      <c r="M617" s="1049"/>
      <c r="N617" s="1048"/>
      <c r="O617" s="1047">
        <v>17.8</v>
      </c>
      <c r="P617" s="1047">
        <f t="shared" si="39"/>
        <v>0.51899110637303369</v>
      </c>
      <c r="Q617" s="1064" t="s">
        <v>677</v>
      </c>
      <c r="T617" s="1031"/>
    </row>
    <row r="618" spans="2:20">
      <c r="B618" s="1054"/>
      <c r="C618" s="1053" t="s">
        <v>738</v>
      </c>
      <c r="D618" s="1052" t="s">
        <v>627</v>
      </c>
      <c r="E618" s="1052"/>
      <c r="F618" s="1052"/>
      <c r="G618" s="1052"/>
      <c r="H618" s="1052">
        <v>6</v>
      </c>
      <c r="I618" s="1051">
        <f t="shared" si="40"/>
        <v>115.62</v>
      </c>
      <c r="J618" s="1050">
        <v>168.3</v>
      </c>
      <c r="K618" s="1049">
        <v>4.78</v>
      </c>
      <c r="L618" s="1049"/>
      <c r="M618" s="1049"/>
      <c r="N618" s="1048"/>
      <c r="O618" s="1047">
        <v>19.27</v>
      </c>
      <c r="P618" s="1047">
        <f t="shared" si="39"/>
        <v>0.5287300435991622</v>
      </c>
      <c r="Q618" s="1064"/>
      <c r="T618" s="1031"/>
    </row>
    <row r="619" spans="2:20">
      <c r="B619" s="1054"/>
      <c r="C619" s="1053" t="s">
        <v>737</v>
      </c>
      <c r="D619" s="1052"/>
      <c r="E619" s="1052" t="s">
        <v>431</v>
      </c>
      <c r="F619" s="1052"/>
      <c r="G619" s="1052"/>
      <c r="H619" s="1052">
        <v>6</v>
      </c>
      <c r="I619" s="1051">
        <f t="shared" si="40"/>
        <v>115.19999999999999</v>
      </c>
      <c r="J619" s="1050">
        <v>166.1</v>
      </c>
      <c r="K619" s="1049">
        <v>4.8</v>
      </c>
      <c r="L619" s="1049"/>
      <c r="M619" s="1049"/>
      <c r="N619" s="1048"/>
      <c r="O619" s="1047">
        <v>19.2</v>
      </c>
      <c r="P619" s="1047">
        <f t="shared" si="39"/>
        <v>0.52181853976126469</v>
      </c>
      <c r="Q619" s="1064" t="s">
        <v>736</v>
      </c>
      <c r="T619" s="1031"/>
    </row>
    <row r="620" spans="2:20">
      <c r="B620" s="1054"/>
      <c r="C620" s="1053" t="s">
        <v>735</v>
      </c>
      <c r="D620" s="1052" t="s">
        <v>732</v>
      </c>
      <c r="E620" s="1052" t="s">
        <v>431</v>
      </c>
      <c r="F620" s="1052"/>
      <c r="G620" s="1052"/>
      <c r="H620" s="1052">
        <v>6</v>
      </c>
      <c r="I620" s="1051">
        <f t="shared" si="40"/>
        <v>118.80000000000001</v>
      </c>
      <c r="J620" s="1050">
        <v>165.2</v>
      </c>
      <c r="K620" s="1049">
        <v>5</v>
      </c>
      <c r="L620" s="1049"/>
      <c r="M620" s="1049"/>
      <c r="N620" s="1048"/>
      <c r="O620" s="1047">
        <v>19.8</v>
      </c>
      <c r="P620" s="1047">
        <f t="shared" si="39"/>
        <v>0.51899110637303369</v>
      </c>
      <c r="Q620" s="1064" t="s">
        <v>677</v>
      </c>
      <c r="T620" s="1031"/>
    </row>
    <row r="621" spans="2:20">
      <c r="B621" s="1054"/>
      <c r="C621" s="1053" t="s">
        <v>734</v>
      </c>
      <c r="D621" s="1052" t="s">
        <v>627</v>
      </c>
      <c r="E621" s="1052"/>
      <c r="F621" s="1052"/>
      <c r="G621" s="1052"/>
      <c r="H621" s="1052">
        <v>6</v>
      </c>
      <c r="I621" s="1051">
        <f t="shared" si="40"/>
        <v>133.85999999999999</v>
      </c>
      <c r="J621" s="1050">
        <v>168.3</v>
      </c>
      <c r="K621" s="1049">
        <v>5.56</v>
      </c>
      <c r="L621" s="1049"/>
      <c r="M621" s="1049"/>
      <c r="N621" s="1048"/>
      <c r="O621" s="1047">
        <v>22.31</v>
      </c>
      <c r="P621" s="1047">
        <f t="shared" si="39"/>
        <v>0.5287300435991622</v>
      </c>
      <c r="Q621" s="1064"/>
      <c r="T621" s="1031"/>
    </row>
    <row r="622" spans="2:20">
      <c r="B622" s="1054"/>
      <c r="C622" s="1053" t="s">
        <v>733</v>
      </c>
      <c r="D622" s="1052" t="s">
        <v>732</v>
      </c>
      <c r="E622" s="1052"/>
      <c r="F622" s="1052"/>
      <c r="G622" s="1052"/>
      <c r="H622" s="1052">
        <v>6</v>
      </c>
      <c r="I622" s="1051">
        <f t="shared" si="40"/>
        <v>141.60000000000002</v>
      </c>
      <c r="J622" s="1050">
        <v>165.2</v>
      </c>
      <c r="K622" s="1049">
        <v>6</v>
      </c>
      <c r="L622" s="1049"/>
      <c r="M622" s="1049"/>
      <c r="N622" s="1048"/>
      <c r="O622" s="1047">
        <v>23.6</v>
      </c>
      <c r="P622" s="1047">
        <f t="shared" si="39"/>
        <v>0.51899110637303369</v>
      </c>
      <c r="Q622" s="1064"/>
      <c r="T622" s="1031"/>
    </row>
    <row r="623" spans="2:20">
      <c r="B623" s="1054"/>
      <c r="C623" s="1053" t="s">
        <v>731</v>
      </c>
      <c r="D623" s="1052" t="s">
        <v>627</v>
      </c>
      <c r="E623" s="1052"/>
      <c r="F623" s="1052"/>
      <c r="G623" s="1052"/>
      <c r="H623" s="1052">
        <v>6</v>
      </c>
      <c r="I623" s="1051">
        <f t="shared" si="40"/>
        <v>152.16</v>
      </c>
      <c r="J623" s="1050">
        <v>168.3</v>
      </c>
      <c r="K623" s="1049">
        <v>6.35</v>
      </c>
      <c r="L623" s="1049"/>
      <c r="M623" s="1049"/>
      <c r="N623" s="1048"/>
      <c r="O623" s="1047">
        <v>25.36</v>
      </c>
      <c r="P623" s="1047">
        <f t="shared" si="39"/>
        <v>0.5287300435991622</v>
      </c>
      <c r="Q623" s="1064"/>
      <c r="T623" s="1031"/>
    </row>
    <row r="624" spans="2:20">
      <c r="B624" s="1054"/>
      <c r="C624" s="1053" t="s">
        <v>730</v>
      </c>
      <c r="D624" s="1052" t="s">
        <v>713</v>
      </c>
      <c r="E624" s="1052"/>
      <c r="F624" s="1052"/>
      <c r="G624" s="1052"/>
      <c r="H624" s="1052">
        <v>6</v>
      </c>
      <c r="I624" s="1051">
        <f t="shared" si="40"/>
        <v>163.80000000000001</v>
      </c>
      <c r="J624" s="1050">
        <v>165.2</v>
      </c>
      <c r="K624" s="1049">
        <v>7</v>
      </c>
      <c r="L624" s="1049"/>
      <c r="M624" s="1049"/>
      <c r="N624" s="1048"/>
      <c r="O624" s="1047">
        <v>27.3</v>
      </c>
      <c r="P624" s="1047">
        <f t="shared" si="39"/>
        <v>0.51899110637303369</v>
      </c>
      <c r="Q624" s="1064"/>
      <c r="T624" s="1031"/>
    </row>
    <row r="625" spans="2:20">
      <c r="B625" s="1054"/>
      <c r="C625" s="1053" t="s">
        <v>729</v>
      </c>
      <c r="D625" s="1052"/>
      <c r="E625" s="1052" t="s">
        <v>431</v>
      </c>
      <c r="F625" s="1052"/>
      <c r="G625" s="1052"/>
      <c r="H625" s="1052">
        <v>6</v>
      </c>
      <c r="I625" s="1051">
        <f t="shared" si="40"/>
        <v>166.2</v>
      </c>
      <c r="J625" s="1050">
        <v>165.2</v>
      </c>
      <c r="K625" s="1049">
        <v>7.1</v>
      </c>
      <c r="L625" s="1049"/>
      <c r="M625" s="1049"/>
      <c r="N625" s="1048"/>
      <c r="O625" s="1047">
        <v>27.7</v>
      </c>
      <c r="P625" s="1047">
        <f t="shared" si="39"/>
        <v>0.51899110637303369</v>
      </c>
      <c r="Q625" s="1064" t="s">
        <v>659</v>
      </c>
      <c r="T625" s="1031"/>
    </row>
    <row r="626" spans="2:20">
      <c r="B626" s="1054"/>
      <c r="C626" s="1053" t="s">
        <v>728</v>
      </c>
      <c r="D626" s="1052" t="s">
        <v>627</v>
      </c>
      <c r="E626" s="1052"/>
      <c r="F626" s="1052"/>
      <c r="G626" s="1052"/>
      <c r="H626" s="1052">
        <v>6</v>
      </c>
      <c r="I626" s="1051">
        <f t="shared" si="40"/>
        <v>169.56</v>
      </c>
      <c r="J626" s="1050">
        <v>168.3</v>
      </c>
      <c r="K626" s="1049">
        <v>7.11</v>
      </c>
      <c r="L626" s="1049"/>
      <c r="M626" s="1049"/>
      <c r="N626" s="1048"/>
      <c r="O626" s="1047">
        <v>28.26</v>
      </c>
      <c r="P626" s="1047">
        <f t="shared" si="39"/>
        <v>0.5287300435991622</v>
      </c>
      <c r="Q626" s="1064"/>
      <c r="T626" s="1031"/>
    </row>
    <row r="627" spans="2:20">
      <c r="B627" s="1054"/>
      <c r="C627" s="1053" t="s">
        <v>727</v>
      </c>
      <c r="D627" s="1052"/>
      <c r="E627" s="1052" t="s">
        <v>431</v>
      </c>
      <c r="F627" s="1052"/>
      <c r="G627" s="1052"/>
      <c r="H627" s="1052">
        <v>6</v>
      </c>
      <c r="I627" s="1051">
        <f t="shared" si="40"/>
        <v>250.79999999999998</v>
      </c>
      <c r="J627" s="1050">
        <v>165.2</v>
      </c>
      <c r="K627" s="1049">
        <v>11</v>
      </c>
      <c r="L627" s="1049"/>
      <c r="M627" s="1049"/>
      <c r="N627" s="1048"/>
      <c r="O627" s="1047">
        <v>41.8</v>
      </c>
      <c r="P627" s="1047">
        <f t="shared" si="39"/>
        <v>0.51899110637303369</v>
      </c>
      <c r="Q627" s="1064" t="s">
        <v>657</v>
      </c>
      <c r="T627" s="1031"/>
    </row>
    <row r="628" spans="2:20">
      <c r="B628" s="1054"/>
      <c r="C628" s="1053" t="s">
        <v>726</v>
      </c>
      <c r="D628" s="1052"/>
      <c r="E628" s="1052" t="s">
        <v>431</v>
      </c>
      <c r="F628" s="1052"/>
      <c r="G628" s="1052"/>
      <c r="H628" s="1052">
        <v>6</v>
      </c>
      <c r="I628" s="1051">
        <f t="shared" si="40"/>
        <v>145.19999999999999</v>
      </c>
      <c r="J628" s="1050">
        <v>190.7</v>
      </c>
      <c r="K628" s="1049">
        <v>5.3</v>
      </c>
      <c r="L628" s="1049"/>
      <c r="M628" s="1049"/>
      <c r="N628" s="1048"/>
      <c r="O628" s="1047">
        <v>24.2</v>
      </c>
      <c r="P628" s="1047">
        <f t="shared" si="39"/>
        <v>0.59910171903957343</v>
      </c>
      <c r="Q628" s="1064" t="s">
        <v>677</v>
      </c>
      <c r="T628" s="1031"/>
    </row>
    <row r="629" spans="2:20">
      <c r="B629" s="1054"/>
      <c r="C629" s="1053" t="s">
        <v>725</v>
      </c>
      <c r="D629" s="1052" t="s">
        <v>713</v>
      </c>
      <c r="E629" s="1052"/>
      <c r="F629" s="1052"/>
      <c r="G629" s="1052"/>
      <c r="H629" s="1052">
        <v>6</v>
      </c>
      <c r="I629" s="1051">
        <f t="shared" si="40"/>
        <v>141</v>
      </c>
      <c r="J629" s="1050">
        <v>216.3</v>
      </c>
      <c r="K629" s="1049">
        <v>4.5</v>
      </c>
      <c r="L629" s="1049"/>
      <c r="M629" s="1049"/>
      <c r="N629" s="1048"/>
      <c r="O629" s="1047">
        <v>23.5</v>
      </c>
      <c r="P629" s="1047">
        <f t="shared" si="39"/>
        <v>0.67952649097147233</v>
      </c>
      <c r="Q629" s="1064"/>
      <c r="T629" s="1031"/>
    </row>
    <row r="630" spans="2:20">
      <c r="B630" s="1054"/>
      <c r="C630" s="1053" t="s">
        <v>724</v>
      </c>
      <c r="D630" s="1052" t="s">
        <v>627</v>
      </c>
      <c r="E630" s="1052"/>
      <c r="F630" s="1052"/>
      <c r="G630" s="1052"/>
      <c r="H630" s="1052">
        <v>6</v>
      </c>
      <c r="I630" s="1051">
        <f t="shared" si="40"/>
        <v>151.56</v>
      </c>
      <c r="J630" s="1050">
        <v>219.1</v>
      </c>
      <c r="K630" s="1049">
        <v>4.78</v>
      </c>
      <c r="L630" s="1049"/>
      <c r="M630" s="1049"/>
      <c r="N630" s="1048"/>
      <c r="O630" s="1047">
        <v>25.26</v>
      </c>
      <c r="P630" s="1047">
        <f t="shared" si="39"/>
        <v>0.68832295040152358</v>
      </c>
      <c r="Q630" s="1064"/>
      <c r="T630" s="1031"/>
    </row>
    <row r="631" spans="2:20">
      <c r="B631" s="1054"/>
      <c r="C631" s="1053" t="s">
        <v>723</v>
      </c>
      <c r="D631" s="1052" t="s">
        <v>627</v>
      </c>
      <c r="E631" s="1052"/>
      <c r="F631" s="1052"/>
      <c r="G631" s="1052"/>
      <c r="H631" s="1052">
        <v>6</v>
      </c>
      <c r="I631" s="1051">
        <f t="shared" si="40"/>
        <v>163.32</v>
      </c>
      <c r="J631" s="1050">
        <v>219.1</v>
      </c>
      <c r="K631" s="1049">
        <v>5.16</v>
      </c>
      <c r="L631" s="1049"/>
      <c r="M631" s="1049"/>
      <c r="N631" s="1048"/>
      <c r="O631" s="1047">
        <v>27.22</v>
      </c>
      <c r="P631" s="1047">
        <f t="shared" si="39"/>
        <v>0.68832295040152358</v>
      </c>
      <c r="Q631" s="1064"/>
      <c r="T631" s="1031"/>
    </row>
    <row r="632" spans="2:20">
      <c r="B632" s="1054"/>
      <c r="C632" s="1053" t="s">
        <v>722</v>
      </c>
      <c r="D632" s="1052" t="s">
        <v>627</v>
      </c>
      <c r="E632" s="1052"/>
      <c r="F632" s="1052"/>
      <c r="G632" s="1052"/>
      <c r="H632" s="1052">
        <v>6</v>
      </c>
      <c r="I632" s="1051">
        <f t="shared" si="40"/>
        <v>175.68</v>
      </c>
      <c r="J632" s="1050">
        <v>219.1</v>
      </c>
      <c r="K632" s="1049">
        <v>5.56</v>
      </c>
      <c r="L632" s="1049"/>
      <c r="M632" s="1049"/>
      <c r="N632" s="1048"/>
      <c r="O632" s="1047">
        <v>29.28</v>
      </c>
      <c r="P632" s="1047">
        <f t="shared" si="39"/>
        <v>0.68832295040152358</v>
      </c>
      <c r="Q632" s="1064"/>
      <c r="T632" s="1031"/>
    </row>
    <row r="633" spans="2:20">
      <c r="B633" s="1054"/>
      <c r="C633" s="1053" t="s">
        <v>721</v>
      </c>
      <c r="D633" s="1052"/>
      <c r="E633" s="1052" t="s">
        <v>431</v>
      </c>
      <c r="F633" s="1052"/>
      <c r="G633" s="1052"/>
      <c r="H633" s="1052">
        <v>6</v>
      </c>
      <c r="I633" s="1051">
        <f t="shared" si="40"/>
        <v>180.60000000000002</v>
      </c>
      <c r="J633" s="1050">
        <v>216.3</v>
      </c>
      <c r="K633" s="1049">
        <v>5.8</v>
      </c>
      <c r="L633" s="1049"/>
      <c r="M633" s="1049"/>
      <c r="N633" s="1048"/>
      <c r="O633" s="1047">
        <v>30.1</v>
      </c>
      <c r="P633" s="1047">
        <f t="shared" si="39"/>
        <v>0.67952649097147233</v>
      </c>
      <c r="Q633" s="1064" t="s">
        <v>677</v>
      </c>
      <c r="T633" s="1031"/>
    </row>
    <row r="634" spans="2:20">
      <c r="B634" s="1054"/>
      <c r="C634" s="1053" t="s">
        <v>720</v>
      </c>
      <c r="D634" s="1052" t="s">
        <v>713</v>
      </c>
      <c r="E634" s="1052"/>
      <c r="F634" s="1052"/>
      <c r="G634" s="1052"/>
      <c r="H634" s="1052">
        <v>6</v>
      </c>
      <c r="I634" s="1051">
        <f t="shared" si="40"/>
        <v>186.60000000000002</v>
      </c>
      <c r="J634" s="1050">
        <v>216.3</v>
      </c>
      <c r="K634" s="1049">
        <v>6</v>
      </c>
      <c r="L634" s="1049"/>
      <c r="M634" s="1049"/>
      <c r="N634" s="1048"/>
      <c r="O634" s="1047">
        <v>31.1</v>
      </c>
      <c r="P634" s="1047">
        <f t="shared" si="39"/>
        <v>0.67952649097147233</v>
      </c>
      <c r="Q634" s="1064"/>
      <c r="T634" s="1031"/>
    </row>
    <row r="635" spans="2:20">
      <c r="B635" s="1054"/>
      <c r="C635" s="1053" t="s">
        <v>719</v>
      </c>
      <c r="D635" s="1052" t="s">
        <v>713</v>
      </c>
      <c r="E635" s="1052"/>
      <c r="F635" s="1052"/>
      <c r="G635" s="1052"/>
      <c r="H635" s="1052">
        <v>6</v>
      </c>
      <c r="I635" s="1051">
        <f t="shared" si="40"/>
        <v>186.60000000000002</v>
      </c>
      <c r="J635" s="1050">
        <v>216.3</v>
      </c>
      <c r="K635" s="1049">
        <v>6</v>
      </c>
      <c r="L635" s="1049"/>
      <c r="M635" s="1049"/>
      <c r="N635" s="1048"/>
      <c r="O635" s="1047">
        <v>31.1</v>
      </c>
      <c r="P635" s="1047">
        <f t="shared" si="39"/>
        <v>0.67952649097147233</v>
      </c>
      <c r="Q635" s="1064"/>
      <c r="T635" s="1031"/>
    </row>
    <row r="636" spans="2:20">
      <c r="B636" s="1054"/>
      <c r="C636" s="1053" t="s">
        <v>718</v>
      </c>
      <c r="D636" s="1052" t="s">
        <v>627</v>
      </c>
      <c r="E636" s="1052"/>
      <c r="F636" s="1052"/>
      <c r="G636" s="1052"/>
      <c r="H636" s="1052">
        <v>6</v>
      </c>
      <c r="I636" s="1051">
        <f t="shared" si="40"/>
        <v>199.86</v>
      </c>
      <c r="J636" s="1050">
        <v>219.1</v>
      </c>
      <c r="K636" s="1049">
        <v>6.35</v>
      </c>
      <c r="L636" s="1049"/>
      <c r="M636" s="1049"/>
      <c r="N636" s="1048"/>
      <c r="O636" s="1047">
        <v>33.31</v>
      </c>
      <c r="P636" s="1047">
        <f t="shared" si="39"/>
        <v>0.68832295040152358</v>
      </c>
      <c r="Q636" s="1064"/>
      <c r="T636" s="1031"/>
    </row>
    <row r="637" spans="2:20">
      <c r="B637" s="1054"/>
      <c r="C637" s="1053" t="s">
        <v>717</v>
      </c>
      <c r="D637" s="1052" t="s">
        <v>713</v>
      </c>
      <c r="E637" s="1052"/>
      <c r="F637" s="1052"/>
      <c r="G637" s="1052"/>
      <c r="H637" s="1052">
        <v>6</v>
      </c>
      <c r="I637" s="1051">
        <f t="shared" si="40"/>
        <v>216.60000000000002</v>
      </c>
      <c r="J637" s="1050">
        <v>216.3</v>
      </c>
      <c r="K637" s="1049">
        <v>7</v>
      </c>
      <c r="L637" s="1049"/>
      <c r="M637" s="1049"/>
      <c r="N637" s="1048"/>
      <c r="O637" s="1047">
        <v>36.1</v>
      </c>
      <c r="P637" s="1047">
        <f t="shared" si="39"/>
        <v>0.67952649097147233</v>
      </c>
      <c r="Q637" s="1064"/>
      <c r="T637" s="1031"/>
    </row>
    <row r="638" spans="2:20">
      <c r="B638" s="1054"/>
      <c r="C638" s="1053" t="s">
        <v>716</v>
      </c>
      <c r="D638" s="1052" t="s">
        <v>627</v>
      </c>
      <c r="E638" s="1052"/>
      <c r="F638" s="1052"/>
      <c r="G638" s="1052"/>
      <c r="H638" s="1052">
        <v>6</v>
      </c>
      <c r="I638" s="1051">
        <f t="shared" si="40"/>
        <v>217.86</v>
      </c>
      <c r="J638" s="1050">
        <v>219.1</v>
      </c>
      <c r="K638" s="1049">
        <v>7.04</v>
      </c>
      <c r="L638" s="1049"/>
      <c r="M638" s="1049"/>
      <c r="N638" s="1048"/>
      <c r="O638" s="1047">
        <v>36.31</v>
      </c>
      <c r="P638" s="1047">
        <f t="shared" ref="P638:P701" si="41">PI()*J638*1/1000</f>
        <v>0.68832295040152358</v>
      </c>
      <c r="Q638" s="1064"/>
      <c r="T638" s="1031"/>
    </row>
    <row r="639" spans="2:20">
      <c r="B639" s="1054"/>
      <c r="C639" s="1053" t="s">
        <v>715</v>
      </c>
      <c r="D639" s="1052" t="s">
        <v>627</v>
      </c>
      <c r="E639" s="1052"/>
      <c r="F639" s="1052"/>
      <c r="G639" s="1052"/>
      <c r="H639" s="1052">
        <v>6</v>
      </c>
      <c r="I639" s="1051">
        <f t="shared" si="40"/>
        <v>247.44</v>
      </c>
      <c r="J639" s="1050">
        <v>219.1</v>
      </c>
      <c r="K639" s="1049">
        <v>7.92</v>
      </c>
      <c r="L639" s="1049"/>
      <c r="M639" s="1049"/>
      <c r="N639" s="1048"/>
      <c r="O639" s="1047">
        <v>41.24</v>
      </c>
      <c r="P639" s="1047">
        <f t="shared" si="41"/>
        <v>0.68832295040152358</v>
      </c>
      <c r="Q639" s="1064"/>
      <c r="T639" s="1031"/>
    </row>
    <row r="640" spans="2:20">
      <c r="B640" s="1054"/>
      <c r="C640" s="1053" t="s">
        <v>714</v>
      </c>
      <c r="D640" s="1052" t="s">
        <v>713</v>
      </c>
      <c r="E640" s="1052"/>
      <c r="F640" s="1052"/>
      <c r="G640" s="1052"/>
      <c r="H640" s="1052">
        <v>6</v>
      </c>
      <c r="I640" s="1051">
        <f t="shared" si="40"/>
        <v>246.60000000000002</v>
      </c>
      <c r="J640" s="1050">
        <v>216.3</v>
      </c>
      <c r="K640" s="1049">
        <v>8</v>
      </c>
      <c r="L640" s="1049"/>
      <c r="M640" s="1049"/>
      <c r="N640" s="1048"/>
      <c r="O640" s="1047">
        <v>41.1</v>
      </c>
      <c r="P640" s="1047">
        <f t="shared" si="41"/>
        <v>0.67952649097147233</v>
      </c>
      <c r="Q640" s="1064"/>
      <c r="T640" s="1031"/>
    </row>
    <row r="641" spans="2:20">
      <c r="B641" s="1054"/>
      <c r="C641" s="1053" t="s">
        <v>712</v>
      </c>
      <c r="D641" s="1052" t="s">
        <v>627</v>
      </c>
      <c r="E641" s="1052"/>
      <c r="F641" s="1052"/>
      <c r="G641" s="1052"/>
      <c r="H641" s="1052">
        <v>6</v>
      </c>
      <c r="I641" s="1051">
        <f t="shared" si="40"/>
        <v>255.24</v>
      </c>
      <c r="J641" s="1050">
        <v>219.1</v>
      </c>
      <c r="K641" s="1049">
        <v>8.18</v>
      </c>
      <c r="L641" s="1049"/>
      <c r="M641" s="1049"/>
      <c r="N641" s="1048"/>
      <c r="O641" s="1047">
        <v>42.54</v>
      </c>
      <c r="P641" s="1047">
        <f t="shared" si="41"/>
        <v>0.68832295040152358</v>
      </c>
      <c r="Q641" s="1064"/>
      <c r="T641" s="1031"/>
    </row>
    <row r="642" spans="2:20">
      <c r="B642" s="1054"/>
      <c r="C642" s="1053" t="s">
        <v>711</v>
      </c>
      <c r="D642" s="1052"/>
      <c r="E642" s="1052" t="s">
        <v>431</v>
      </c>
      <c r="F642" s="1052"/>
      <c r="G642" s="1052"/>
      <c r="H642" s="1052">
        <v>6</v>
      </c>
      <c r="I642" s="1051">
        <f t="shared" si="40"/>
        <v>252.60000000000002</v>
      </c>
      <c r="J642" s="1050">
        <v>216.3</v>
      </c>
      <c r="K642" s="1049">
        <v>8.1999999999999993</v>
      </c>
      <c r="L642" s="1049"/>
      <c r="M642" s="1049"/>
      <c r="N642" s="1048"/>
      <c r="O642" s="1047">
        <v>42.1</v>
      </c>
      <c r="P642" s="1047">
        <f t="shared" si="41"/>
        <v>0.67952649097147233</v>
      </c>
      <c r="Q642" s="1064" t="s">
        <v>710</v>
      </c>
      <c r="T642" s="1031"/>
    </row>
    <row r="643" spans="2:20">
      <c r="B643" s="1054"/>
      <c r="C643" s="1053" t="s">
        <v>709</v>
      </c>
      <c r="D643" s="1052"/>
      <c r="E643" s="1052" t="s">
        <v>431</v>
      </c>
      <c r="F643" s="1052"/>
      <c r="G643" s="1052"/>
      <c r="H643" s="1052">
        <v>6</v>
      </c>
      <c r="I643" s="1051">
        <f t="shared" si="40"/>
        <v>382.79999999999995</v>
      </c>
      <c r="J643" s="1050">
        <v>216.3</v>
      </c>
      <c r="K643" s="1049">
        <v>12.7</v>
      </c>
      <c r="L643" s="1049"/>
      <c r="M643" s="1049"/>
      <c r="N643" s="1048"/>
      <c r="O643" s="1047">
        <v>63.8</v>
      </c>
      <c r="P643" s="1047">
        <f t="shared" si="41"/>
        <v>0.67952649097147233</v>
      </c>
      <c r="Q643" s="1064" t="s">
        <v>657</v>
      </c>
      <c r="T643" s="1031"/>
    </row>
    <row r="644" spans="2:20">
      <c r="B644" s="1054"/>
      <c r="C644" s="1053" t="s">
        <v>708</v>
      </c>
      <c r="D644" s="1052" t="s">
        <v>627</v>
      </c>
      <c r="E644" s="1052"/>
      <c r="F644" s="1052"/>
      <c r="G644" s="1052"/>
      <c r="H644" s="1052">
        <v>6</v>
      </c>
      <c r="I644" s="1051">
        <f t="shared" si="40"/>
        <v>189.72</v>
      </c>
      <c r="J644" s="1050">
        <v>273</v>
      </c>
      <c r="K644" s="1049">
        <v>4.78</v>
      </c>
      <c r="L644" s="1049"/>
      <c r="M644" s="1049"/>
      <c r="N644" s="1048"/>
      <c r="O644" s="1047">
        <v>31.62</v>
      </c>
      <c r="P644" s="1047">
        <f t="shared" si="41"/>
        <v>0.85765479443001358</v>
      </c>
      <c r="Q644" s="1064"/>
      <c r="T644" s="1031"/>
    </row>
    <row r="645" spans="2:20">
      <c r="B645" s="1054"/>
      <c r="C645" s="1053" t="s">
        <v>707</v>
      </c>
      <c r="D645" s="1052" t="s">
        <v>627</v>
      </c>
      <c r="E645" s="1052"/>
      <c r="F645" s="1052"/>
      <c r="G645" s="1052"/>
      <c r="H645" s="1052">
        <v>6</v>
      </c>
      <c r="I645" s="1051">
        <f t="shared" si="40"/>
        <v>204.48</v>
      </c>
      <c r="J645" s="1050">
        <v>273</v>
      </c>
      <c r="K645" s="1049">
        <v>5.16</v>
      </c>
      <c r="L645" s="1049"/>
      <c r="M645" s="1049"/>
      <c r="N645" s="1048"/>
      <c r="O645" s="1047">
        <v>34.08</v>
      </c>
      <c r="P645" s="1047">
        <f t="shared" si="41"/>
        <v>0.85765479443001358</v>
      </c>
      <c r="Q645" s="1064"/>
      <c r="T645" s="1031"/>
    </row>
    <row r="646" spans="2:20">
      <c r="B646" s="1054"/>
      <c r="C646" s="1053" t="s">
        <v>706</v>
      </c>
      <c r="D646" s="1052" t="s">
        <v>627</v>
      </c>
      <c r="E646" s="1052"/>
      <c r="F646" s="1052"/>
      <c r="G646" s="1052"/>
      <c r="H646" s="1052">
        <v>6</v>
      </c>
      <c r="I646" s="1051">
        <f t="shared" si="40"/>
        <v>220.02</v>
      </c>
      <c r="J646" s="1050">
        <v>273</v>
      </c>
      <c r="K646" s="1049">
        <v>5.56</v>
      </c>
      <c r="L646" s="1049"/>
      <c r="M646" s="1049"/>
      <c r="N646" s="1048"/>
      <c r="O646" s="1047">
        <v>36.67</v>
      </c>
      <c r="P646" s="1047">
        <f t="shared" si="41"/>
        <v>0.85765479443001358</v>
      </c>
      <c r="Q646" s="1064"/>
      <c r="T646" s="1031"/>
    </row>
    <row r="647" spans="2:20">
      <c r="B647" s="1054"/>
      <c r="C647" s="1053" t="s">
        <v>705</v>
      </c>
      <c r="D647" s="1052" t="s">
        <v>627</v>
      </c>
      <c r="E647" s="1052"/>
      <c r="F647" s="1052"/>
      <c r="G647" s="1052"/>
      <c r="H647" s="1052">
        <v>6</v>
      </c>
      <c r="I647" s="1051">
        <f t="shared" si="40"/>
        <v>250.5</v>
      </c>
      <c r="J647" s="1050">
        <v>273</v>
      </c>
      <c r="K647" s="1049">
        <v>6.35</v>
      </c>
      <c r="L647" s="1049"/>
      <c r="M647" s="1049"/>
      <c r="N647" s="1048"/>
      <c r="O647" s="1047">
        <v>41.75</v>
      </c>
      <c r="P647" s="1047">
        <f t="shared" si="41"/>
        <v>0.85765479443001358</v>
      </c>
      <c r="Q647" s="1064"/>
      <c r="T647" s="1031"/>
    </row>
    <row r="648" spans="2:20">
      <c r="B648" s="1054"/>
      <c r="C648" s="1053" t="s">
        <v>704</v>
      </c>
      <c r="D648" s="1052"/>
      <c r="E648" s="1052" t="s">
        <v>431</v>
      </c>
      <c r="F648" s="1052"/>
      <c r="G648" s="1052"/>
      <c r="H648" s="1052">
        <v>6</v>
      </c>
      <c r="I648" s="1051">
        <f t="shared" si="40"/>
        <v>254.39999999999998</v>
      </c>
      <c r="J648" s="1050">
        <v>267.39999999999998</v>
      </c>
      <c r="K648" s="1049">
        <v>6.6</v>
      </c>
      <c r="L648" s="1049"/>
      <c r="M648" s="1049"/>
      <c r="N648" s="1048"/>
      <c r="O648" s="1047">
        <v>42.4</v>
      </c>
      <c r="P648" s="1047">
        <f t="shared" si="41"/>
        <v>0.84006187556991063</v>
      </c>
      <c r="Q648" s="1064" t="s">
        <v>677</v>
      </c>
      <c r="T648" s="1031"/>
    </row>
    <row r="649" spans="2:20">
      <c r="B649" s="1054"/>
      <c r="C649" s="1053" t="s">
        <v>703</v>
      </c>
      <c r="D649" s="1052" t="s">
        <v>627</v>
      </c>
      <c r="E649" s="1052"/>
      <c r="F649" s="1052"/>
      <c r="G649" s="1052"/>
      <c r="H649" s="1052">
        <v>6</v>
      </c>
      <c r="I649" s="1051">
        <f t="shared" si="40"/>
        <v>278.94</v>
      </c>
      <c r="J649" s="1050">
        <v>273</v>
      </c>
      <c r="K649" s="1049">
        <v>7.09</v>
      </c>
      <c r="L649" s="1049"/>
      <c r="M649" s="1049"/>
      <c r="N649" s="1048"/>
      <c r="O649" s="1047">
        <v>46.49</v>
      </c>
      <c r="P649" s="1047">
        <f t="shared" si="41"/>
        <v>0.85765479443001358</v>
      </c>
      <c r="Q649" s="1064"/>
      <c r="T649" s="1031"/>
    </row>
    <row r="650" spans="2:20">
      <c r="B650" s="1054"/>
      <c r="C650" s="1053" t="s">
        <v>702</v>
      </c>
      <c r="D650" s="1052" t="s">
        <v>627</v>
      </c>
      <c r="E650" s="1052"/>
      <c r="F650" s="1052"/>
      <c r="G650" s="1052"/>
      <c r="H650" s="1052">
        <v>6</v>
      </c>
      <c r="I650" s="1051">
        <f t="shared" si="40"/>
        <v>306.06</v>
      </c>
      <c r="J650" s="1050">
        <v>273</v>
      </c>
      <c r="K650" s="1049">
        <v>7.8</v>
      </c>
      <c r="L650" s="1049"/>
      <c r="M650" s="1049"/>
      <c r="N650" s="1048"/>
      <c r="O650" s="1047">
        <v>51.01</v>
      </c>
      <c r="P650" s="1047">
        <f t="shared" si="41"/>
        <v>0.85765479443001358</v>
      </c>
      <c r="Q650" s="1064"/>
      <c r="T650" s="1031"/>
    </row>
    <row r="651" spans="2:20">
      <c r="B651" s="1054"/>
      <c r="C651" s="1053" t="s">
        <v>701</v>
      </c>
      <c r="D651" s="1052" t="s">
        <v>627</v>
      </c>
      <c r="E651" s="1052"/>
      <c r="F651" s="1052"/>
      <c r="G651" s="1052"/>
      <c r="H651" s="1052">
        <v>6</v>
      </c>
      <c r="I651" s="1051">
        <f t="shared" si="40"/>
        <v>341.76</v>
      </c>
      <c r="J651" s="1050">
        <v>273</v>
      </c>
      <c r="K651" s="1049">
        <v>8.74</v>
      </c>
      <c r="L651" s="1049"/>
      <c r="M651" s="1049"/>
      <c r="N651" s="1048"/>
      <c r="O651" s="1047">
        <v>56.96</v>
      </c>
      <c r="P651" s="1047">
        <f t="shared" si="41"/>
        <v>0.85765479443001358</v>
      </c>
      <c r="Q651" s="1064"/>
      <c r="T651" s="1031"/>
    </row>
    <row r="652" spans="2:20">
      <c r="B652" s="1054"/>
      <c r="C652" s="1053" t="s">
        <v>700</v>
      </c>
      <c r="D652" s="1052" t="s">
        <v>627</v>
      </c>
      <c r="E652" s="1052"/>
      <c r="F652" s="1052"/>
      <c r="G652" s="1052"/>
      <c r="H652" s="1052">
        <v>6</v>
      </c>
      <c r="I652" s="1051">
        <f t="shared" si="40"/>
        <v>361.74</v>
      </c>
      <c r="J652" s="1050">
        <v>273</v>
      </c>
      <c r="K652" s="1049">
        <v>9.27</v>
      </c>
      <c r="L652" s="1049"/>
      <c r="M652" s="1049"/>
      <c r="N652" s="1048"/>
      <c r="O652" s="1047">
        <v>60.29</v>
      </c>
      <c r="P652" s="1047">
        <f t="shared" si="41"/>
        <v>0.85765479443001358</v>
      </c>
      <c r="Q652" s="1064"/>
      <c r="T652" s="1031"/>
    </row>
    <row r="653" spans="2:20">
      <c r="B653" s="1054"/>
      <c r="C653" s="1053" t="s">
        <v>699</v>
      </c>
      <c r="D653" s="1052"/>
      <c r="E653" s="1052" t="s">
        <v>431</v>
      </c>
      <c r="F653" s="1052"/>
      <c r="G653" s="1052"/>
      <c r="H653" s="1052">
        <v>6</v>
      </c>
      <c r="I653" s="1051">
        <f t="shared" si="40"/>
        <v>355.20000000000005</v>
      </c>
      <c r="J653" s="1050">
        <v>267.39999999999998</v>
      </c>
      <c r="K653" s="1049">
        <v>9.3000000000000007</v>
      </c>
      <c r="L653" s="1049"/>
      <c r="M653" s="1049"/>
      <c r="N653" s="1048"/>
      <c r="O653" s="1047">
        <v>59.2</v>
      </c>
      <c r="P653" s="1047">
        <f t="shared" si="41"/>
        <v>0.84006187556991063</v>
      </c>
      <c r="Q653" s="1064" t="s">
        <v>659</v>
      </c>
      <c r="T653" s="1031"/>
    </row>
    <row r="654" spans="2:20">
      <c r="B654" s="1054"/>
      <c r="C654" s="1053" t="s">
        <v>698</v>
      </c>
      <c r="D654" s="1052" t="s">
        <v>627</v>
      </c>
      <c r="E654" s="1052"/>
      <c r="F654" s="1052"/>
      <c r="G654" s="1052"/>
      <c r="H654" s="1052">
        <v>6</v>
      </c>
      <c r="I654" s="1051">
        <f t="shared" si="40"/>
        <v>431.22</v>
      </c>
      <c r="J654" s="1050">
        <v>273</v>
      </c>
      <c r="K654" s="1049">
        <v>11.13</v>
      </c>
      <c r="L654" s="1049"/>
      <c r="M654" s="1049"/>
      <c r="N654" s="1048"/>
      <c r="O654" s="1047">
        <v>71.87</v>
      </c>
      <c r="P654" s="1047">
        <f t="shared" si="41"/>
        <v>0.85765479443001358</v>
      </c>
      <c r="Q654" s="1064"/>
      <c r="T654" s="1031"/>
    </row>
    <row r="655" spans="2:20">
      <c r="B655" s="1054"/>
      <c r="C655" s="1053" t="s">
        <v>697</v>
      </c>
      <c r="D655" s="1052" t="s">
        <v>627</v>
      </c>
      <c r="E655" s="1052"/>
      <c r="F655" s="1052"/>
      <c r="G655" s="1052"/>
      <c r="H655" s="1052">
        <v>6</v>
      </c>
      <c r="I655" s="1051">
        <f t="shared" si="40"/>
        <v>489.12</v>
      </c>
      <c r="J655" s="1050">
        <v>273</v>
      </c>
      <c r="K655" s="1049">
        <v>12.7</v>
      </c>
      <c r="L655" s="1049"/>
      <c r="M655" s="1049"/>
      <c r="N655" s="1048"/>
      <c r="O655" s="1047">
        <v>81.52</v>
      </c>
      <c r="P655" s="1047">
        <f t="shared" si="41"/>
        <v>0.85765479443001358</v>
      </c>
      <c r="Q655" s="1064"/>
      <c r="T655" s="1031"/>
    </row>
    <row r="656" spans="2:20">
      <c r="B656" s="1054"/>
      <c r="C656" s="1053" t="s">
        <v>696</v>
      </c>
      <c r="D656" s="1052"/>
      <c r="E656" s="1052" t="s">
        <v>431</v>
      </c>
      <c r="F656" s="1052"/>
      <c r="G656" s="1052"/>
      <c r="H656" s="1052">
        <v>6</v>
      </c>
      <c r="I656" s="1051">
        <f t="shared" si="40"/>
        <v>563.40000000000009</v>
      </c>
      <c r="J656" s="1050">
        <v>273</v>
      </c>
      <c r="K656" s="1049">
        <v>15.1</v>
      </c>
      <c r="L656" s="1049"/>
      <c r="M656" s="1049"/>
      <c r="N656" s="1048"/>
      <c r="O656" s="1047">
        <v>93.9</v>
      </c>
      <c r="P656" s="1047">
        <f t="shared" si="41"/>
        <v>0.85765479443001358</v>
      </c>
      <c r="Q656" s="1064" t="s">
        <v>657</v>
      </c>
      <c r="T656" s="1031"/>
    </row>
    <row r="657" spans="2:20">
      <c r="B657" s="1054"/>
      <c r="C657" s="1053" t="s">
        <v>695</v>
      </c>
      <c r="D657" s="1052" t="s">
        <v>627</v>
      </c>
      <c r="E657" s="1052"/>
      <c r="F657" s="1052"/>
      <c r="G657" s="1052"/>
      <c r="H657" s="1052">
        <v>6</v>
      </c>
      <c r="I657" s="1051">
        <f t="shared" si="40"/>
        <v>243.29999999999998</v>
      </c>
      <c r="J657" s="1050">
        <v>323.8</v>
      </c>
      <c r="K657" s="1049">
        <v>5.16</v>
      </c>
      <c r="L657" s="1049"/>
      <c r="M657" s="1049"/>
      <c r="N657" s="1048"/>
      <c r="O657" s="1047">
        <v>40.549999999999997</v>
      </c>
      <c r="P657" s="1047">
        <f t="shared" si="41"/>
        <v>1.0172477012323751</v>
      </c>
      <c r="Q657" s="1064"/>
      <c r="T657" s="1031"/>
    </row>
    <row r="658" spans="2:20">
      <c r="B658" s="1054"/>
      <c r="C658" s="1053" t="s">
        <v>694</v>
      </c>
      <c r="D658" s="1052" t="s">
        <v>627</v>
      </c>
      <c r="E658" s="1052"/>
      <c r="F658" s="1052"/>
      <c r="G658" s="1052"/>
      <c r="H658" s="1052">
        <v>6</v>
      </c>
      <c r="I658" s="1051">
        <f t="shared" si="40"/>
        <v>261.78000000000003</v>
      </c>
      <c r="J658" s="1050">
        <v>323.8</v>
      </c>
      <c r="K658" s="1049">
        <v>5.56</v>
      </c>
      <c r="L658" s="1049"/>
      <c r="M658" s="1049"/>
      <c r="N658" s="1048"/>
      <c r="O658" s="1047">
        <v>43.63</v>
      </c>
      <c r="P658" s="1047">
        <f t="shared" si="41"/>
        <v>1.0172477012323751</v>
      </c>
      <c r="Q658" s="1064"/>
      <c r="T658" s="1031"/>
    </row>
    <row r="659" spans="2:20">
      <c r="B659" s="1054"/>
      <c r="C659" s="1053" t="s">
        <v>693</v>
      </c>
      <c r="D659" s="1052" t="s">
        <v>627</v>
      </c>
      <c r="E659" s="1052"/>
      <c r="F659" s="1052"/>
      <c r="G659" s="1052"/>
      <c r="H659" s="1052">
        <v>6</v>
      </c>
      <c r="I659" s="1051">
        <f t="shared" si="40"/>
        <v>298.26</v>
      </c>
      <c r="J659" s="1050">
        <v>323.8</v>
      </c>
      <c r="K659" s="1049">
        <v>6.35</v>
      </c>
      <c r="L659" s="1049"/>
      <c r="M659" s="1049"/>
      <c r="N659" s="1048"/>
      <c r="O659" s="1047">
        <v>49.71</v>
      </c>
      <c r="P659" s="1047">
        <f t="shared" si="41"/>
        <v>1.0172477012323751</v>
      </c>
      <c r="Q659" s="1064"/>
      <c r="T659" s="1031"/>
    </row>
    <row r="660" spans="2:20">
      <c r="B660" s="1054"/>
      <c r="C660" s="1053" t="s">
        <v>692</v>
      </c>
      <c r="D660" s="1052"/>
      <c r="E660" s="1052" t="s">
        <v>431</v>
      </c>
      <c r="F660" s="1052"/>
      <c r="G660" s="1052"/>
      <c r="H660" s="1052">
        <v>6</v>
      </c>
      <c r="I660" s="1051">
        <f t="shared" si="40"/>
        <v>318</v>
      </c>
      <c r="J660" s="1050">
        <v>318.5</v>
      </c>
      <c r="K660" s="1049">
        <v>6.9</v>
      </c>
      <c r="L660" s="1049"/>
      <c r="M660" s="1049"/>
      <c r="N660" s="1048"/>
      <c r="O660" s="1047">
        <v>53</v>
      </c>
      <c r="P660" s="1047">
        <f t="shared" si="41"/>
        <v>1.000597260168349</v>
      </c>
      <c r="Q660" s="1064" t="s">
        <v>677</v>
      </c>
      <c r="T660" s="1031"/>
    </row>
    <row r="661" spans="2:20">
      <c r="B661" s="1054"/>
      <c r="C661" s="1053" t="s">
        <v>691</v>
      </c>
      <c r="D661" s="1052" t="s">
        <v>627</v>
      </c>
      <c r="E661" s="1052"/>
      <c r="F661" s="1052"/>
      <c r="G661" s="1052"/>
      <c r="H661" s="1052">
        <v>6</v>
      </c>
      <c r="I661" s="1051">
        <f t="shared" si="40"/>
        <v>334.5</v>
      </c>
      <c r="J661" s="1050">
        <v>323.8</v>
      </c>
      <c r="K661" s="1049">
        <v>7.14</v>
      </c>
      <c r="L661" s="1049"/>
      <c r="M661" s="1049"/>
      <c r="N661" s="1048"/>
      <c r="O661" s="1047">
        <v>55.75</v>
      </c>
      <c r="P661" s="1047">
        <f t="shared" si="41"/>
        <v>1.0172477012323751</v>
      </c>
      <c r="Q661" s="1064"/>
      <c r="T661" s="1031"/>
    </row>
    <row r="662" spans="2:20">
      <c r="B662" s="1054"/>
      <c r="C662" s="1053" t="s">
        <v>690</v>
      </c>
      <c r="D662" s="1052" t="s">
        <v>627</v>
      </c>
      <c r="E662" s="1052"/>
      <c r="F662" s="1052"/>
      <c r="G662" s="1052"/>
      <c r="H662" s="1052">
        <v>6</v>
      </c>
      <c r="I662" s="1051">
        <f t="shared" si="40"/>
        <v>370.14</v>
      </c>
      <c r="J662" s="1050">
        <v>323.8</v>
      </c>
      <c r="K662" s="1049">
        <v>7.92</v>
      </c>
      <c r="L662" s="1049"/>
      <c r="M662" s="1049"/>
      <c r="N662" s="1048"/>
      <c r="O662" s="1047">
        <v>61.69</v>
      </c>
      <c r="P662" s="1047">
        <f t="shared" si="41"/>
        <v>1.0172477012323751</v>
      </c>
      <c r="Q662" s="1064"/>
      <c r="T662" s="1031"/>
    </row>
    <row r="663" spans="2:20">
      <c r="B663" s="1054"/>
      <c r="C663" s="1053" t="s">
        <v>689</v>
      </c>
      <c r="D663" s="1052" t="s">
        <v>627</v>
      </c>
      <c r="E663" s="1052"/>
      <c r="F663" s="1052"/>
      <c r="G663" s="1052"/>
      <c r="H663" s="1052">
        <v>6</v>
      </c>
      <c r="I663" s="1051">
        <f t="shared" si="40"/>
        <v>391.08000000000004</v>
      </c>
      <c r="J663" s="1050">
        <v>323.8</v>
      </c>
      <c r="K663" s="1049">
        <v>8.3800000000000008</v>
      </c>
      <c r="L663" s="1049"/>
      <c r="M663" s="1049"/>
      <c r="N663" s="1048"/>
      <c r="O663" s="1047">
        <v>65.180000000000007</v>
      </c>
      <c r="P663" s="1047">
        <f t="shared" si="41"/>
        <v>1.0172477012323751</v>
      </c>
      <c r="Q663" s="1064"/>
      <c r="T663" s="1031"/>
    </row>
    <row r="664" spans="2:20">
      <c r="B664" s="1054"/>
      <c r="C664" s="1053" t="s">
        <v>688</v>
      </c>
      <c r="D664" s="1052" t="s">
        <v>627</v>
      </c>
      <c r="E664" s="1052"/>
      <c r="F664" s="1052"/>
      <c r="G664" s="1052"/>
      <c r="H664" s="1052">
        <v>6</v>
      </c>
      <c r="I664" s="1051">
        <f t="shared" si="40"/>
        <v>407.40000000000003</v>
      </c>
      <c r="J664" s="1050">
        <v>323.8</v>
      </c>
      <c r="K664" s="1049">
        <v>8.74</v>
      </c>
      <c r="L664" s="1049"/>
      <c r="M664" s="1049"/>
      <c r="N664" s="1048"/>
      <c r="O664" s="1047">
        <v>67.900000000000006</v>
      </c>
      <c r="P664" s="1047">
        <f t="shared" si="41"/>
        <v>1.0172477012323751</v>
      </c>
      <c r="Q664" s="1064"/>
      <c r="T664" s="1031"/>
    </row>
    <row r="665" spans="2:20">
      <c r="B665" s="1054"/>
      <c r="C665" s="1053" t="s">
        <v>687</v>
      </c>
      <c r="D665" s="1052" t="s">
        <v>627</v>
      </c>
      <c r="E665" s="1052"/>
      <c r="F665" s="1052"/>
      <c r="G665" s="1052"/>
      <c r="H665" s="1052">
        <v>6</v>
      </c>
      <c r="I665" s="1051">
        <f t="shared" si="40"/>
        <v>442.68</v>
      </c>
      <c r="J665" s="1050">
        <v>323.8</v>
      </c>
      <c r="K665" s="1049">
        <v>9.52</v>
      </c>
      <c r="L665" s="1049"/>
      <c r="M665" s="1049"/>
      <c r="N665" s="1048"/>
      <c r="O665" s="1047">
        <v>73.78</v>
      </c>
      <c r="P665" s="1047">
        <f t="shared" si="41"/>
        <v>1.0172477012323751</v>
      </c>
      <c r="Q665" s="1064"/>
      <c r="T665" s="1031"/>
    </row>
    <row r="666" spans="2:20">
      <c r="B666" s="1054"/>
      <c r="C666" s="1053" t="s">
        <v>686</v>
      </c>
      <c r="D666" s="1052"/>
      <c r="E666" s="1052" t="s">
        <v>431</v>
      </c>
      <c r="F666" s="1052"/>
      <c r="G666" s="1052"/>
      <c r="H666" s="1052">
        <v>6</v>
      </c>
      <c r="I666" s="1051">
        <f t="shared" si="40"/>
        <v>469.79999999999995</v>
      </c>
      <c r="J666" s="1050">
        <v>318.5</v>
      </c>
      <c r="K666" s="1049">
        <v>10.3</v>
      </c>
      <c r="L666" s="1049"/>
      <c r="M666" s="1049"/>
      <c r="N666" s="1048"/>
      <c r="O666" s="1047">
        <v>78.3</v>
      </c>
      <c r="P666" s="1047">
        <f t="shared" si="41"/>
        <v>1.000597260168349</v>
      </c>
      <c r="Q666" s="1064" t="s">
        <v>659</v>
      </c>
      <c r="T666" s="1031"/>
    </row>
    <row r="667" spans="2:20">
      <c r="B667" s="1054"/>
      <c r="C667" s="1053" t="s">
        <v>685</v>
      </c>
      <c r="D667" s="1052" t="s">
        <v>627</v>
      </c>
      <c r="E667" s="1052"/>
      <c r="F667" s="1052"/>
      <c r="G667" s="1052"/>
      <c r="H667" s="1052">
        <v>6</v>
      </c>
      <c r="I667" s="1051">
        <f t="shared" si="40"/>
        <v>478.20000000000005</v>
      </c>
      <c r="J667" s="1050">
        <v>323.8</v>
      </c>
      <c r="K667" s="1049">
        <v>10.31</v>
      </c>
      <c r="L667" s="1049"/>
      <c r="M667" s="1049"/>
      <c r="N667" s="1048"/>
      <c r="O667" s="1047">
        <v>79.7</v>
      </c>
      <c r="P667" s="1047">
        <f t="shared" si="41"/>
        <v>1.0172477012323751</v>
      </c>
      <c r="Q667" s="1064"/>
      <c r="T667" s="1031"/>
    </row>
    <row r="668" spans="2:20">
      <c r="B668" s="1054"/>
      <c r="C668" s="1053" t="s">
        <v>684</v>
      </c>
      <c r="D668" s="1052" t="s">
        <v>627</v>
      </c>
      <c r="E668" s="1052"/>
      <c r="F668" s="1052"/>
      <c r="G668" s="1052"/>
      <c r="H668" s="1052">
        <v>6</v>
      </c>
      <c r="I668" s="1051">
        <f t="shared" si="40"/>
        <v>514.91999999999996</v>
      </c>
      <c r="J668" s="1050">
        <v>323.8</v>
      </c>
      <c r="K668" s="1049">
        <v>11.13</v>
      </c>
      <c r="L668" s="1049"/>
      <c r="M668" s="1049"/>
      <c r="N668" s="1048"/>
      <c r="O668" s="1047">
        <v>85.82</v>
      </c>
      <c r="P668" s="1047">
        <f t="shared" si="41"/>
        <v>1.0172477012323751</v>
      </c>
      <c r="Q668" s="1064"/>
      <c r="T668" s="1031"/>
    </row>
    <row r="669" spans="2:20">
      <c r="B669" s="1054"/>
      <c r="C669" s="1053" t="s">
        <v>683</v>
      </c>
      <c r="D669" s="1052" t="s">
        <v>627</v>
      </c>
      <c r="E669" s="1052"/>
      <c r="F669" s="1052"/>
      <c r="G669" s="1052"/>
      <c r="H669" s="1052">
        <v>6</v>
      </c>
      <c r="I669" s="1051">
        <f t="shared" si="40"/>
        <v>584.58000000000004</v>
      </c>
      <c r="J669" s="1050">
        <v>323.8</v>
      </c>
      <c r="K669" s="1049">
        <v>12.7</v>
      </c>
      <c r="L669" s="1049"/>
      <c r="M669" s="1049"/>
      <c r="N669" s="1048"/>
      <c r="O669" s="1047">
        <v>97.43</v>
      </c>
      <c r="P669" s="1047">
        <f t="shared" si="41"/>
        <v>1.0172477012323751</v>
      </c>
      <c r="Q669" s="1064"/>
      <c r="T669" s="1031"/>
    </row>
    <row r="670" spans="2:20">
      <c r="B670" s="1054"/>
      <c r="C670" s="1053" t="s">
        <v>682</v>
      </c>
      <c r="D670" s="1052"/>
      <c r="E670" s="1052" t="s">
        <v>431</v>
      </c>
      <c r="F670" s="1052"/>
      <c r="G670" s="1052"/>
      <c r="H670" s="1052">
        <v>6</v>
      </c>
      <c r="I670" s="1051">
        <f t="shared" si="40"/>
        <v>774</v>
      </c>
      <c r="J670" s="1050">
        <v>318.5</v>
      </c>
      <c r="K670" s="1049">
        <v>17.399999999999999</v>
      </c>
      <c r="L670" s="1049"/>
      <c r="M670" s="1049"/>
      <c r="N670" s="1048"/>
      <c r="O670" s="1047">
        <v>129</v>
      </c>
      <c r="P670" s="1047">
        <f t="shared" si="41"/>
        <v>1.000597260168349</v>
      </c>
      <c r="Q670" s="1064" t="s">
        <v>657</v>
      </c>
      <c r="T670" s="1031"/>
    </row>
    <row r="671" spans="2:20">
      <c r="B671" s="1054"/>
      <c r="C671" s="1053" t="s">
        <v>681</v>
      </c>
      <c r="D671" s="1052" t="s">
        <v>627</v>
      </c>
      <c r="E671" s="1052"/>
      <c r="F671" s="1052"/>
      <c r="G671" s="1052"/>
      <c r="H671" s="1052">
        <v>6</v>
      </c>
      <c r="I671" s="1051">
        <f t="shared" si="40"/>
        <v>287.94</v>
      </c>
      <c r="J671" s="1050">
        <v>355.6</v>
      </c>
      <c r="K671" s="1049">
        <v>5.56</v>
      </c>
      <c r="L671" s="1049"/>
      <c r="M671" s="1049"/>
      <c r="N671" s="1048"/>
      <c r="O671" s="1047">
        <v>47.99</v>
      </c>
      <c r="P671" s="1047">
        <f t="shared" si="41"/>
        <v>1.1171503476165305</v>
      </c>
      <c r="Q671" s="1064"/>
      <c r="T671" s="1031"/>
    </row>
    <row r="672" spans="2:20">
      <c r="B672" s="1054"/>
      <c r="C672" s="1053" t="s">
        <v>680</v>
      </c>
      <c r="D672" s="1052" t="s">
        <v>627</v>
      </c>
      <c r="E672" s="1052"/>
      <c r="F672" s="1052"/>
      <c r="G672" s="1052"/>
      <c r="H672" s="1052">
        <v>6</v>
      </c>
      <c r="I672" s="1051">
        <f t="shared" si="40"/>
        <v>328.14</v>
      </c>
      <c r="J672" s="1050">
        <v>355.6</v>
      </c>
      <c r="K672" s="1049">
        <v>6.35</v>
      </c>
      <c r="L672" s="1049"/>
      <c r="M672" s="1049"/>
      <c r="N672" s="1048"/>
      <c r="O672" s="1047">
        <v>54.69</v>
      </c>
      <c r="P672" s="1047">
        <f t="shared" si="41"/>
        <v>1.1171503476165305</v>
      </c>
      <c r="Q672" s="1064"/>
      <c r="T672" s="1031"/>
    </row>
    <row r="673" spans="2:20">
      <c r="B673" s="1054"/>
      <c r="C673" s="1053" t="s">
        <v>679</v>
      </c>
      <c r="D673" s="1052" t="s">
        <v>627</v>
      </c>
      <c r="E673" s="1052"/>
      <c r="F673" s="1052"/>
      <c r="G673" s="1052"/>
      <c r="H673" s="1052">
        <v>6</v>
      </c>
      <c r="I673" s="1051">
        <f t="shared" si="40"/>
        <v>368.1</v>
      </c>
      <c r="J673" s="1050">
        <v>355.6</v>
      </c>
      <c r="K673" s="1049">
        <v>7.14</v>
      </c>
      <c r="L673" s="1049"/>
      <c r="M673" s="1049"/>
      <c r="N673" s="1048"/>
      <c r="O673" s="1047">
        <v>61.35</v>
      </c>
      <c r="P673" s="1047">
        <f t="shared" si="41"/>
        <v>1.1171503476165305</v>
      </c>
      <c r="Q673" s="1064"/>
      <c r="T673" s="1031"/>
    </row>
    <row r="674" spans="2:20">
      <c r="B674" s="1054"/>
      <c r="C674" s="1053" t="s">
        <v>678</v>
      </c>
      <c r="D674" s="1052"/>
      <c r="E674" s="1052" t="s">
        <v>431</v>
      </c>
      <c r="F674" s="1052"/>
      <c r="G674" s="1052"/>
      <c r="H674" s="1052">
        <v>6</v>
      </c>
      <c r="I674" s="1051">
        <f t="shared" si="40"/>
        <v>406.20000000000005</v>
      </c>
      <c r="J674" s="1050">
        <v>355.6</v>
      </c>
      <c r="K674" s="1049">
        <v>7.9</v>
      </c>
      <c r="L674" s="1049"/>
      <c r="M674" s="1049"/>
      <c r="N674" s="1048"/>
      <c r="O674" s="1047">
        <v>67.7</v>
      </c>
      <c r="P674" s="1047">
        <f t="shared" si="41"/>
        <v>1.1171503476165305</v>
      </c>
      <c r="Q674" s="1064" t="s">
        <v>677</v>
      </c>
      <c r="T674" s="1031"/>
    </row>
    <row r="675" spans="2:20">
      <c r="B675" s="1054"/>
      <c r="C675" s="1053" t="s">
        <v>676</v>
      </c>
      <c r="D675" s="1052" t="s">
        <v>627</v>
      </c>
      <c r="E675" s="1052"/>
      <c r="F675" s="1052"/>
      <c r="G675" s="1052"/>
      <c r="H675" s="1052">
        <v>6</v>
      </c>
      <c r="I675" s="1051">
        <f t="shared" ref="I675:I719" si="42">O675*H675</f>
        <v>407.40000000000003</v>
      </c>
      <c r="J675" s="1050">
        <v>355.6</v>
      </c>
      <c r="K675" s="1049">
        <v>7.92</v>
      </c>
      <c r="L675" s="1049"/>
      <c r="M675" s="1049"/>
      <c r="N675" s="1048"/>
      <c r="O675" s="1047">
        <v>67.900000000000006</v>
      </c>
      <c r="P675" s="1047">
        <f t="shared" si="41"/>
        <v>1.1171503476165305</v>
      </c>
      <c r="Q675" s="1064"/>
      <c r="T675" s="1031"/>
    </row>
    <row r="676" spans="2:20">
      <c r="B676" s="1054"/>
      <c r="C676" s="1053" t="s">
        <v>675</v>
      </c>
      <c r="D676" s="1052" t="s">
        <v>627</v>
      </c>
      <c r="E676" s="1052"/>
      <c r="F676" s="1052"/>
      <c r="G676" s="1052"/>
      <c r="H676" s="1052">
        <v>6</v>
      </c>
      <c r="I676" s="1051">
        <f t="shared" si="42"/>
        <v>448.56000000000006</v>
      </c>
      <c r="J676" s="1050">
        <v>355.6</v>
      </c>
      <c r="K676" s="1049">
        <v>8.74</v>
      </c>
      <c r="L676" s="1049"/>
      <c r="M676" s="1049"/>
      <c r="N676" s="1048"/>
      <c r="O676" s="1047">
        <v>74.760000000000005</v>
      </c>
      <c r="P676" s="1047">
        <f t="shared" si="41"/>
        <v>1.1171503476165305</v>
      </c>
      <c r="Q676" s="1064"/>
      <c r="T676" s="1031"/>
    </row>
    <row r="677" spans="2:20">
      <c r="B677" s="1054"/>
      <c r="C677" s="1053" t="s">
        <v>674</v>
      </c>
      <c r="D677" s="1052" t="s">
        <v>627</v>
      </c>
      <c r="E677" s="1052"/>
      <c r="F677" s="1052"/>
      <c r="G677" s="1052"/>
      <c r="H677" s="1052">
        <v>6</v>
      </c>
      <c r="I677" s="1051">
        <f t="shared" si="42"/>
        <v>487.5</v>
      </c>
      <c r="J677" s="1050">
        <v>355.6</v>
      </c>
      <c r="K677" s="1049">
        <v>9.52</v>
      </c>
      <c r="L677" s="1049"/>
      <c r="M677" s="1049"/>
      <c r="N677" s="1048"/>
      <c r="O677" s="1047">
        <v>81.25</v>
      </c>
      <c r="P677" s="1047">
        <f t="shared" si="41"/>
        <v>1.1171503476165305</v>
      </c>
      <c r="Q677" s="1064"/>
      <c r="T677" s="1031"/>
    </row>
    <row r="678" spans="2:20">
      <c r="B678" s="1054"/>
      <c r="C678" s="1053" t="s">
        <v>673</v>
      </c>
      <c r="D678" s="1052"/>
      <c r="E678" s="1052" t="s">
        <v>431</v>
      </c>
      <c r="F678" s="1052"/>
      <c r="G678" s="1052"/>
      <c r="H678" s="1052">
        <v>6</v>
      </c>
      <c r="I678" s="1051">
        <f t="shared" si="42"/>
        <v>565.79999999999995</v>
      </c>
      <c r="J678" s="1050">
        <v>355.6</v>
      </c>
      <c r="K678" s="1049">
        <v>11.1</v>
      </c>
      <c r="L678" s="1049"/>
      <c r="M678" s="1049"/>
      <c r="N678" s="1048"/>
      <c r="O678" s="1047">
        <v>94.3</v>
      </c>
      <c r="P678" s="1047">
        <f t="shared" si="41"/>
        <v>1.1171503476165305</v>
      </c>
      <c r="Q678" s="1064" t="s">
        <v>659</v>
      </c>
      <c r="T678" s="1031"/>
    </row>
    <row r="679" spans="2:20">
      <c r="B679" s="1054"/>
      <c r="C679" s="1053" t="s">
        <v>672</v>
      </c>
      <c r="D679" s="1052" t="s">
        <v>627</v>
      </c>
      <c r="E679" s="1052"/>
      <c r="F679" s="1052"/>
      <c r="G679" s="1052"/>
      <c r="H679" s="1052">
        <v>6</v>
      </c>
      <c r="I679" s="1051">
        <f t="shared" si="42"/>
        <v>567.29999999999995</v>
      </c>
      <c r="J679" s="1050">
        <v>355.6</v>
      </c>
      <c r="K679" s="1049">
        <v>11.13</v>
      </c>
      <c r="L679" s="1049"/>
      <c r="M679" s="1049"/>
      <c r="N679" s="1048"/>
      <c r="O679" s="1047">
        <v>94.55</v>
      </c>
      <c r="P679" s="1047">
        <f t="shared" si="41"/>
        <v>1.1171503476165305</v>
      </c>
      <c r="Q679" s="1064"/>
      <c r="T679" s="1031"/>
    </row>
    <row r="680" spans="2:20">
      <c r="B680" s="1054"/>
      <c r="C680" s="1053" t="s">
        <v>671</v>
      </c>
      <c r="D680" s="1052" t="s">
        <v>627</v>
      </c>
      <c r="E680" s="1052"/>
      <c r="F680" s="1052"/>
      <c r="G680" s="1052"/>
      <c r="H680" s="1052">
        <v>6</v>
      </c>
      <c r="I680" s="1051">
        <f t="shared" si="42"/>
        <v>605.64</v>
      </c>
      <c r="J680" s="1050">
        <v>355.6</v>
      </c>
      <c r="K680" s="1049">
        <v>11.91</v>
      </c>
      <c r="L680" s="1049"/>
      <c r="M680" s="1049"/>
      <c r="N680" s="1048"/>
      <c r="O680" s="1047">
        <v>100.94</v>
      </c>
      <c r="P680" s="1047">
        <f t="shared" si="41"/>
        <v>1.1171503476165305</v>
      </c>
      <c r="Q680" s="1064"/>
      <c r="T680" s="1031"/>
    </row>
    <row r="681" spans="2:20">
      <c r="B681" s="1054"/>
      <c r="C681" s="1053" t="s">
        <v>670</v>
      </c>
      <c r="D681" s="1052" t="s">
        <v>627</v>
      </c>
      <c r="E681" s="1052"/>
      <c r="F681" s="1052"/>
      <c r="G681" s="1052"/>
      <c r="H681" s="1052">
        <v>6</v>
      </c>
      <c r="I681" s="1051">
        <f t="shared" si="42"/>
        <v>644.34</v>
      </c>
      <c r="J681" s="1050">
        <v>355.6</v>
      </c>
      <c r="K681" s="1049">
        <v>12.7</v>
      </c>
      <c r="L681" s="1049"/>
      <c r="M681" s="1049"/>
      <c r="N681" s="1048"/>
      <c r="O681" s="1047">
        <v>107.39</v>
      </c>
      <c r="P681" s="1047">
        <f t="shared" si="41"/>
        <v>1.1171503476165305</v>
      </c>
      <c r="Q681" s="1064"/>
      <c r="T681" s="1031"/>
    </row>
    <row r="682" spans="2:20">
      <c r="B682" s="1054"/>
      <c r="C682" s="1053" t="s">
        <v>669</v>
      </c>
      <c r="D682" s="1052"/>
      <c r="E682" s="1052" t="s">
        <v>431</v>
      </c>
      <c r="F682" s="1052"/>
      <c r="G682" s="1052"/>
      <c r="H682" s="1052">
        <v>6</v>
      </c>
      <c r="I682" s="1051">
        <f t="shared" si="42"/>
        <v>948</v>
      </c>
      <c r="J682" s="1050">
        <v>355.6</v>
      </c>
      <c r="K682" s="1049">
        <v>19</v>
      </c>
      <c r="L682" s="1049"/>
      <c r="M682" s="1049"/>
      <c r="N682" s="1048"/>
      <c r="O682" s="1047">
        <v>158</v>
      </c>
      <c r="P682" s="1047">
        <f t="shared" si="41"/>
        <v>1.1171503476165305</v>
      </c>
      <c r="Q682" s="1064" t="s">
        <v>657</v>
      </c>
      <c r="T682" s="1031"/>
    </row>
    <row r="683" spans="2:20">
      <c r="B683" s="1054"/>
      <c r="C683" s="1053" t="s">
        <v>668</v>
      </c>
      <c r="D683" s="1052" t="s">
        <v>627</v>
      </c>
      <c r="E683" s="1052"/>
      <c r="F683" s="1052"/>
      <c r="G683" s="1052"/>
      <c r="H683" s="1052">
        <v>6</v>
      </c>
      <c r="I683" s="1051">
        <f t="shared" si="42"/>
        <v>329.76</v>
      </c>
      <c r="J683" s="1050">
        <v>406.4</v>
      </c>
      <c r="K683" s="1049">
        <v>5.56</v>
      </c>
      <c r="L683" s="1049"/>
      <c r="M683" s="1049"/>
      <c r="N683" s="1048"/>
      <c r="O683" s="1047">
        <v>54.96</v>
      </c>
      <c r="P683" s="1047">
        <f t="shared" si="41"/>
        <v>1.2767432544188919</v>
      </c>
      <c r="Q683" s="1064"/>
      <c r="T683" s="1031"/>
    </row>
    <row r="684" spans="2:20">
      <c r="B684" s="1054"/>
      <c r="C684" s="1053" t="s">
        <v>667</v>
      </c>
      <c r="D684" s="1052" t="s">
        <v>627</v>
      </c>
      <c r="E684" s="1052"/>
      <c r="F684" s="1052"/>
      <c r="G684" s="1052"/>
      <c r="H684" s="1052">
        <v>6</v>
      </c>
      <c r="I684" s="1051">
        <f t="shared" si="42"/>
        <v>375.84000000000003</v>
      </c>
      <c r="J684" s="1050">
        <v>406.4</v>
      </c>
      <c r="K684" s="1049">
        <v>6.35</v>
      </c>
      <c r="L684" s="1049"/>
      <c r="M684" s="1049"/>
      <c r="N684" s="1048"/>
      <c r="O684" s="1047">
        <v>62.64</v>
      </c>
      <c r="P684" s="1047">
        <f t="shared" si="41"/>
        <v>1.2767432544188919</v>
      </c>
      <c r="Q684" s="1064"/>
      <c r="T684" s="1031"/>
    </row>
    <row r="685" spans="2:20">
      <c r="B685" s="1054"/>
      <c r="C685" s="1053" t="s">
        <v>666</v>
      </c>
      <c r="D685" s="1052" t="s">
        <v>627</v>
      </c>
      <c r="E685" s="1052"/>
      <c r="F685" s="1052"/>
      <c r="G685" s="1052"/>
      <c r="H685" s="1052">
        <v>6</v>
      </c>
      <c r="I685" s="1051">
        <f t="shared" si="42"/>
        <v>421.79999999999995</v>
      </c>
      <c r="J685" s="1050">
        <v>406.4</v>
      </c>
      <c r="K685" s="1049">
        <v>7.14</v>
      </c>
      <c r="L685" s="1049"/>
      <c r="M685" s="1049"/>
      <c r="N685" s="1048"/>
      <c r="O685" s="1047">
        <v>70.3</v>
      </c>
      <c r="P685" s="1047">
        <f t="shared" si="41"/>
        <v>1.2767432544188919</v>
      </c>
      <c r="Q685" s="1064"/>
      <c r="T685" s="1031"/>
    </row>
    <row r="686" spans="2:20">
      <c r="B686" s="1054"/>
      <c r="C686" s="1053" t="s">
        <v>665</v>
      </c>
      <c r="D686" s="1052" t="s">
        <v>627</v>
      </c>
      <c r="E686" s="1052"/>
      <c r="F686" s="1052"/>
      <c r="G686" s="1052"/>
      <c r="H686" s="1052">
        <v>6</v>
      </c>
      <c r="I686" s="1051">
        <f t="shared" si="42"/>
        <v>466.98</v>
      </c>
      <c r="J686" s="1050">
        <v>406.4</v>
      </c>
      <c r="K686" s="1049">
        <v>7.92</v>
      </c>
      <c r="L686" s="1049"/>
      <c r="M686" s="1049"/>
      <c r="N686" s="1048"/>
      <c r="O686" s="1047">
        <v>77.83</v>
      </c>
      <c r="P686" s="1047">
        <f t="shared" si="41"/>
        <v>1.2767432544188919</v>
      </c>
      <c r="Q686" s="1064"/>
      <c r="T686" s="1031"/>
    </row>
    <row r="687" spans="2:20">
      <c r="B687" s="1054"/>
      <c r="C687" s="1053" t="s">
        <v>664</v>
      </c>
      <c r="D687" s="1052" t="s">
        <v>627</v>
      </c>
      <c r="E687" s="1052"/>
      <c r="F687" s="1052"/>
      <c r="G687" s="1052"/>
      <c r="H687" s="1052">
        <v>6</v>
      </c>
      <c r="I687" s="1051">
        <f t="shared" si="42"/>
        <v>514.26</v>
      </c>
      <c r="J687" s="1050">
        <v>406.4</v>
      </c>
      <c r="K687" s="1049">
        <v>8.74</v>
      </c>
      <c r="L687" s="1049"/>
      <c r="M687" s="1049"/>
      <c r="N687" s="1048"/>
      <c r="O687" s="1047">
        <v>85.71</v>
      </c>
      <c r="P687" s="1047">
        <f t="shared" si="41"/>
        <v>1.2767432544188919</v>
      </c>
      <c r="Q687" s="1064"/>
      <c r="T687" s="1031"/>
    </row>
    <row r="688" spans="2:20">
      <c r="B688" s="1054"/>
      <c r="C688" s="1053" t="s">
        <v>663</v>
      </c>
      <c r="D688" s="1052" t="s">
        <v>627</v>
      </c>
      <c r="E688" s="1052"/>
      <c r="F688" s="1052"/>
      <c r="G688" s="1052"/>
      <c r="H688" s="1052">
        <v>6</v>
      </c>
      <c r="I688" s="1051">
        <f t="shared" si="42"/>
        <v>559.02</v>
      </c>
      <c r="J688" s="1050">
        <v>406.4</v>
      </c>
      <c r="K688" s="1049">
        <v>9.52</v>
      </c>
      <c r="L688" s="1049"/>
      <c r="M688" s="1049"/>
      <c r="N688" s="1048"/>
      <c r="O688" s="1047">
        <v>93.17</v>
      </c>
      <c r="P688" s="1047">
        <f t="shared" si="41"/>
        <v>1.2767432544188919</v>
      </c>
      <c r="Q688" s="1064"/>
      <c r="T688" s="1031"/>
    </row>
    <row r="689" spans="2:20">
      <c r="B689" s="1054"/>
      <c r="C689" s="1053" t="s">
        <v>662</v>
      </c>
      <c r="D689" s="1052" t="s">
        <v>627</v>
      </c>
      <c r="E689" s="1052"/>
      <c r="F689" s="1052"/>
      <c r="G689" s="1052"/>
      <c r="H689" s="1052">
        <v>6</v>
      </c>
      <c r="I689" s="1051">
        <f t="shared" si="42"/>
        <v>650.93999999999994</v>
      </c>
      <c r="J689" s="1050">
        <v>406.4</v>
      </c>
      <c r="K689" s="1049">
        <v>11.13</v>
      </c>
      <c r="L689" s="1049"/>
      <c r="M689" s="1049"/>
      <c r="N689" s="1048"/>
      <c r="O689" s="1047">
        <v>108.49</v>
      </c>
      <c r="P689" s="1047">
        <f t="shared" si="41"/>
        <v>1.2767432544188919</v>
      </c>
      <c r="Q689" s="1064"/>
      <c r="T689" s="1031"/>
    </row>
    <row r="690" spans="2:20">
      <c r="B690" s="1054"/>
      <c r="C690" s="1053" t="s">
        <v>661</v>
      </c>
      <c r="D690" s="1052" t="s">
        <v>627</v>
      </c>
      <c r="E690" s="1052"/>
      <c r="F690" s="1052"/>
      <c r="G690" s="1052"/>
      <c r="H690" s="1052">
        <v>6</v>
      </c>
      <c r="I690" s="1051">
        <f t="shared" si="42"/>
        <v>695.16</v>
      </c>
      <c r="J690" s="1050">
        <v>406.4</v>
      </c>
      <c r="K690" s="1049">
        <v>11.91</v>
      </c>
      <c r="L690" s="1049"/>
      <c r="M690" s="1049"/>
      <c r="N690" s="1048"/>
      <c r="O690" s="1047">
        <v>115.86</v>
      </c>
      <c r="P690" s="1047">
        <f t="shared" si="41"/>
        <v>1.2767432544188919</v>
      </c>
      <c r="Q690" s="1064"/>
      <c r="T690" s="1031"/>
    </row>
    <row r="691" spans="2:20">
      <c r="B691" s="1054"/>
      <c r="C691" s="1053" t="s">
        <v>660</v>
      </c>
      <c r="D691" s="1052" t="s">
        <v>627</v>
      </c>
      <c r="E691" s="1052" t="s">
        <v>431</v>
      </c>
      <c r="F691" s="1052"/>
      <c r="G691" s="1052"/>
      <c r="H691" s="1052">
        <v>6</v>
      </c>
      <c r="I691" s="1051">
        <f t="shared" si="42"/>
        <v>739.8</v>
      </c>
      <c r="J691" s="1050">
        <v>406.4</v>
      </c>
      <c r="K691" s="1049">
        <v>12.7</v>
      </c>
      <c r="L691" s="1049"/>
      <c r="M691" s="1049"/>
      <c r="N691" s="1048"/>
      <c r="O691" s="1047">
        <v>123.3</v>
      </c>
      <c r="P691" s="1047">
        <f t="shared" si="41"/>
        <v>1.2767432544188919</v>
      </c>
      <c r="Q691" s="1064" t="s">
        <v>659</v>
      </c>
      <c r="T691" s="1031"/>
    </row>
    <row r="692" spans="2:20">
      <c r="B692" s="1054"/>
      <c r="C692" s="1053" t="s">
        <v>658</v>
      </c>
      <c r="D692" s="1052"/>
      <c r="E692" s="1052" t="s">
        <v>431</v>
      </c>
      <c r="F692" s="1052"/>
      <c r="G692" s="1052"/>
      <c r="H692" s="1052">
        <v>6</v>
      </c>
      <c r="I692" s="1051">
        <f t="shared" si="42"/>
        <v>1218</v>
      </c>
      <c r="J692" s="1050">
        <v>406.4</v>
      </c>
      <c r="K692" s="1049">
        <v>21.4</v>
      </c>
      <c r="L692" s="1049"/>
      <c r="M692" s="1049"/>
      <c r="N692" s="1048"/>
      <c r="O692" s="1047">
        <v>203</v>
      </c>
      <c r="P692" s="1047">
        <f t="shared" si="41"/>
        <v>1.2767432544188919</v>
      </c>
      <c r="Q692" s="1064" t="s">
        <v>657</v>
      </c>
      <c r="T692" s="1031"/>
    </row>
    <row r="693" spans="2:20">
      <c r="B693" s="1054"/>
      <c r="C693" s="1053" t="s">
        <v>656</v>
      </c>
      <c r="D693" s="1052" t="s">
        <v>627</v>
      </c>
      <c r="E693" s="1052"/>
      <c r="F693" s="1052"/>
      <c r="G693" s="1052"/>
      <c r="H693" s="1052">
        <v>6</v>
      </c>
      <c r="I693" s="1051">
        <f t="shared" si="42"/>
        <v>423.59999999999997</v>
      </c>
      <c r="J693" s="1050">
        <v>457</v>
      </c>
      <c r="K693" s="1049">
        <v>6.35</v>
      </c>
      <c r="L693" s="1049"/>
      <c r="M693" s="1049"/>
      <c r="N693" s="1048"/>
      <c r="O693" s="1047">
        <v>70.599999999999994</v>
      </c>
      <c r="P693" s="1047">
        <f t="shared" si="41"/>
        <v>1.4357078426905354</v>
      </c>
      <c r="Q693" s="1064"/>
      <c r="T693" s="1031"/>
    </row>
    <row r="694" spans="2:20">
      <c r="B694" s="1054"/>
      <c r="C694" s="1053" t="s">
        <v>655</v>
      </c>
      <c r="D694" s="1052" t="s">
        <v>627</v>
      </c>
      <c r="E694" s="1052"/>
      <c r="F694" s="1052"/>
      <c r="G694" s="1052"/>
      <c r="H694" s="1052">
        <v>6</v>
      </c>
      <c r="I694" s="1051">
        <f t="shared" si="42"/>
        <v>475.43999999999994</v>
      </c>
      <c r="J694" s="1050">
        <v>457</v>
      </c>
      <c r="K694" s="1049">
        <v>7.14</v>
      </c>
      <c r="L694" s="1049"/>
      <c r="M694" s="1049"/>
      <c r="N694" s="1048"/>
      <c r="O694" s="1047">
        <v>79.239999999999995</v>
      </c>
      <c r="P694" s="1047">
        <f t="shared" si="41"/>
        <v>1.4357078426905354</v>
      </c>
      <c r="Q694" s="1064"/>
      <c r="T694" s="1031"/>
    </row>
    <row r="695" spans="2:20">
      <c r="B695" s="1054"/>
      <c r="C695" s="1053" t="s">
        <v>654</v>
      </c>
      <c r="D695" s="1052" t="s">
        <v>627</v>
      </c>
      <c r="E695" s="1052"/>
      <c r="F695" s="1052"/>
      <c r="G695" s="1052"/>
      <c r="H695" s="1052">
        <v>6</v>
      </c>
      <c r="I695" s="1051">
        <f t="shared" si="42"/>
        <v>526.5</v>
      </c>
      <c r="J695" s="1050">
        <v>457</v>
      </c>
      <c r="K695" s="1049">
        <v>7.92</v>
      </c>
      <c r="L695" s="1049"/>
      <c r="M695" s="1049"/>
      <c r="N695" s="1048"/>
      <c r="O695" s="1047">
        <v>87.75</v>
      </c>
      <c r="P695" s="1047">
        <f t="shared" si="41"/>
        <v>1.4357078426905354</v>
      </c>
      <c r="Q695" s="1064"/>
      <c r="T695" s="1031"/>
    </row>
    <row r="696" spans="2:20">
      <c r="B696" s="1054"/>
      <c r="C696" s="1053" t="s">
        <v>653</v>
      </c>
      <c r="D696" s="1052" t="s">
        <v>627</v>
      </c>
      <c r="E696" s="1052"/>
      <c r="F696" s="1052"/>
      <c r="G696" s="1052"/>
      <c r="H696" s="1052">
        <v>6</v>
      </c>
      <c r="I696" s="1051">
        <f t="shared" si="42"/>
        <v>579.96</v>
      </c>
      <c r="J696" s="1050">
        <v>457</v>
      </c>
      <c r="K696" s="1049">
        <v>8.74</v>
      </c>
      <c r="L696" s="1049"/>
      <c r="M696" s="1049"/>
      <c r="N696" s="1048"/>
      <c r="O696" s="1047">
        <v>96.66</v>
      </c>
      <c r="P696" s="1047">
        <f t="shared" si="41"/>
        <v>1.4357078426905354</v>
      </c>
      <c r="Q696" s="1064"/>
      <c r="T696" s="1031"/>
    </row>
    <row r="697" spans="2:20">
      <c r="B697" s="1054"/>
      <c r="C697" s="1053" t="s">
        <v>652</v>
      </c>
      <c r="D697" s="1052" t="s">
        <v>627</v>
      </c>
      <c r="E697" s="1052"/>
      <c r="F697" s="1052"/>
      <c r="G697" s="1052"/>
      <c r="H697" s="1052">
        <v>6</v>
      </c>
      <c r="I697" s="1051">
        <f t="shared" si="42"/>
        <v>630.59999999999991</v>
      </c>
      <c r="J697" s="1050">
        <v>457</v>
      </c>
      <c r="K697" s="1049">
        <v>9.52</v>
      </c>
      <c r="L697" s="1049"/>
      <c r="M697" s="1049"/>
      <c r="N697" s="1048"/>
      <c r="O697" s="1047">
        <v>105.1</v>
      </c>
      <c r="P697" s="1047">
        <f t="shared" si="41"/>
        <v>1.4357078426905354</v>
      </c>
      <c r="Q697" s="1064"/>
      <c r="T697" s="1031"/>
    </row>
    <row r="698" spans="2:20">
      <c r="B698" s="1054"/>
      <c r="C698" s="1053" t="s">
        <v>651</v>
      </c>
      <c r="D698" s="1052" t="s">
        <v>627</v>
      </c>
      <c r="E698" s="1052"/>
      <c r="F698" s="1052"/>
      <c r="G698" s="1052"/>
      <c r="H698" s="1052">
        <v>6</v>
      </c>
      <c r="I698" s="1051">
        <f t="shared" si="42"/>
        <v>681.72</v>
      </c>
      <c r="J698" s="1050">
        <v>457</v>
      </c>
      <c r="K698" s="1049">
        <v>10.31</v>
      </c>
      <c r="L698" s="1049"/>
      <c r="M698" s="1049"/>
      <c r="N698" s="1048"/>
      <c r="O698" s="1047">
        <v>113.62</v>
      </c>
      <c r="P698" s="1047">
        <f t="shared" si="41"/>
        <v>1.4357078426905354</v>
      </c>
      <c r="Q698" s="1064"/>
      <c r="T698" s="1031"/>
    </row>
    <row r="699" spans="2:20">
      <c r="B699" s="1054"/>
      <c r="C699" s="1053" t="s">
        <v>650</v>
      </c>
      <c r="D699" s="1052" t="s">
        <v>627</v>
      </c>
      <c r="E699" s="1052"/>
      <c r="F699" s="1052"/>
      <c r="G699" s="1052"/>
      <c r="H699" s="1052">
        <v>6</v>
      </c>
      <c r="I699" s="1051">
        <f t="shared" si="42"/>
        <v>734.58</v>
      </c>
      <c r="J699" s="1050">
        <v>457</v>
      </c>
      <c r="K699" s="1049">
        <v>11.13</v>
      </c>
      <c r="L699" s="1049"/>
      <c r="M699" s="1049"/>
      <c r="N699" s="1048"/>
      <c r="O699" s="1047">
        <v>122.43</v>
      </c>
      <c r="P699" s="1047">
        <f t="shared" si="41"/>
        <v>1.4357078426905354</v>
      </c>
      <c r="Q699" s="1064"/>
      <c r="T699" s="1031"/>
    </row>
    <row r="700" spans="2:20">
      <c r="B700" s="1054"/>
      <c r="C700" s="1053" t="s">
        <v>649</v>
      </c>
      <c r="D700" s="1052" t="s">
        <v>627</v>
      </c>
      <c r="E700" s="1052"/>
      <c r="F700" s="1052"/>
      <c r="G700" s="1052"/>
      <c r="H700" s="1052">
        <v>6</v>
      </c>
      <c r="I700" s="1051">
        <f t="shared" si="42"/>
        <v>784.68000000000006</v>
      </c>
      <c r="J700" s="1050">
        <v>457</v>
      </c>
      <c r="K700" s="1049">
        <v>11.91</v>
      </c>
      <c r="L700" s="1049"/>
      <c r="M700" s="1049"/>
      <c r="N700" s="1048"/>
      <c r="O700" s="1047">
        <v>130.78</v>
      </c>
      <c r="P700" s="1047">
        <f t="shared" si="41"/>
        <v>1.4357078426905354</v>
      </c>
      <c r="Q700" s="1064"/>
      <c r="T700" s="1031"/>
    </row>
    <row r="701" spans="2:20">
      <c r="B701" s="1054"/>
      <c r="C701" s="1053" t="s">
        <v>648</v>
      </c>
      <c r="D701" s="1052" t="s">
        <v>627</v>
      </c>
      <c r="E701" s="1052"/>
      <c r="F701" s="1052"/>
      <c r="G701" s="1052"/>
      <c r="H701" s="1052">
        <v>6</v>
      </c>
      <c r="I701" s="1051">
        <f t="shared" si="42"/>
        <v>835.19999999999993</v>
      </c>
      <c r="J701" s="1050">
        <v>457</v>
      </c>
      <c r="K701" s="1049">
        <v>12.7</v>
      </c>
      <c r="L701" s="1049"/>
      <c r="M701" s="1049"/>
      <c r="N701" s="1048"/>
      <c r="O701" s="1047">
        <v>139.19999999999999</v>
      </c>
      <c r="P701" s="1047">
        <f t="shared" si="41"/>
        <v>1.4357078426905354</v>
      </c>
      <c r="Q701" s="1064"/>
      <c r="T701" s="1031"/>
    </row>
    <row r="702" spans="2:20">
      <c r="B702" s="1054"/>
      <c r="C702" s="1053" t="s">
        <v>647</v>
      </c>
      <c r="D702" s="1052" t="s">
        <v>627</v>
      </c>
      <c r="E702" s="1052"/>
      <c r="F702" s="1052"/>
      <c r="G702" s="1052"/>
      <c r="H702" s="1052">
        <v>6</v>
      </c>
      <c r="I702" s="1051">
        <f t="shared" si="42"/>
        <v>471.29999999999995</v>
      </c>
      <c r="J702" s="1050">
        <v>508</v>
      </c>
      <c r="K702" s="1049">
        <v>6.35</v>
      </c>
      <c r="L702" s="1049"/>
      <c r="M702" s="1049"/>
      <c r="N702" s="1048"/>
      <c r="O702" s="1047">
        <v>78.55</v>
      </c>
      <c r="P702" s="1047">
        <f t="shared" ref="P702:P720" si="43">PI()*J702*1/1000</f>
        <v>1.5959290680236149</v>
      </c>
      <c r="Q702" s="1064"/>
      <c r="T702" s="1031"/>
    </row>
    <row r="703" spans="2:20">
      <c r="B703" s="1054"/>
      <c r="C703" s="1053" t="s">
        <v>646</v>
      </c>
      <c r="D703" s="1052" t="s">
        <v>627</v>
      </c>
      <c r="E703" s="1052"/>
      <c r="F703" s="1052"/>
      <c r="G703" s="1052"/>
      <c r="H703" s="1052">
        <v>6</v>
      </c>
      <c r="I703" s="1051">
        <f t="shared" si="42"/>
        <v>529.14</v>
      </c>
      <c r="J703" s="1050">
        <v>508</v>
      </c>
      <c r="K703" s="1049">
        <v>7.14</v>
      </c>
      <c r="L703" s="1049"/>
      <c r="M703" s="1049"/>
      <c r="N703" s="1048"/>
      <c r="O703" s="1047">
        <v>88.19</v>
      </c>
      <c r="P703" s="1047">
        <f t="shared" si="43"/>
        <v>1.5959290680236149</v>
      </c>
      <c r="Q703" s="1064"/>
      <c r="T703" s="1031"/>
    </row>
    <row r="704" spans="2:20">
      <c r="B704" s="1054"/>
      <c r="C704" s="1053" t="s">
        <v>645</v>
      </c>
      <c r="D704" s="1052" t="s">
        <v>627</v>
      </c>
      <c r="E704" s="1052"/>
      <c r="F704" s="1052"/>
      <c r="G704" s="1052"/>
      <c r="H704" s="1052">
        <v>6</v>
      </c>
      <c r="I704" s="1051">
        <f t="shared" si="42"/>
        <v>586.02</v>
      </c>
      <c r="J704" s="1050">
        <v>508</v>
      </c>
      <c r="K704" s="1049">
        <v>7.92</v>
      </c>
      <c r="L704" s="1049"/>
      <c r="M704" s="1049"/>
      <c r="N704" s="1048"/>
      <c r="O704" s="1047">
        <v>97.67</v>
      </c>
      <c r="P704" s="1047">
        <f t="shared" si="43"/>
        <v>1.5959290680236149</v>
      </c>
      <c r="Q704" s="1064"/>
      <c r="T704" s="1031"/>
    </row>
    <row r="705" spans="2:20">
      <c r="B705" s="1054"/>
      <c r="C705" s="1053" t="s">
        <v>644</v>
      </c>
      <c r="D705" s="1052" t="s">
        <v>627</v>
      </c>
      <c r="E705" s="1052"/>
      <c r="F705" s="1052"/>
      <c r="G705" s="1052"/>
      <c r="H705" s="1052">
        <v>6</v>
      </c>
      <c r="I705" s="1051">
        <f t="shared" si="42"/>
        <v>645.59999999999991</v>
      </c>
      <c r="J705" s="1050">
        <v>508</v>
      </c>
      <c r="K705" s="1049">
        <v>8.74</v>
      </c>
      <c r="L705" s="1049"/>
      <c r="M705" s="1049"/>
      <c r="N705" s="1048"/>
      <c r="O705" s="1047">
        <v>107.6</v>
      </c>
      <c r="P705" s="1047">
        <f t="shared" si="43"/>
        <v>1.5959290680236149</v>
      </c>
      <c r="Q705" s="1064"/>
      <c r="T705" s="1031"/>
    </row>
    <row r="706" spans="2:20">
      <c r="B706" s="1054"/>
      <c r="C706" s="1053" t="s">
        <v>643</v>
      </c>
      <c r="D706" s="1052" t="s">
        <v>627</v>
      </c>
      <c r="E706" s="1052"/>
      <c r="F706" s="1052"/>
      <c r="G706" s="1052"/>
      <c r="H706" s="1052">
        <v>6</v>
      </c>
      <c r="I706" s="1051">
        <f t="shared" si="42"/>
        <v>702.12</v>
      </c>
      <c r="J706" s="1050">
        <v>508</v>
      </c>
      <c r="K706" s="1049">
        <v>9.52</v>
      </c>
      <c r="L706" s="1049"/>
      <c r="M706" s="1049"/>
      <c r="N706" s="1048"/>
      <c r="O706" s="1047">
        <v>117.02</v>
      </c>
      <c r="P706" s="1047">
        <f t="shared" si="43"/>
        <v>1.5959290680236149</v>
      </c>
      <c r="Q706" s="1064"/>
      <c r="T706" s="1031"/>
    </row>
    <row r="707" spans="2:20">
      <c r="B707" s="1054"/>
      <c r="C707" s="1053" t="s">
        <v>642</v>
      </c>
      <c r="D707" s="1052" t="s">
        <v>627</v>
      </c>
      <c r="E707" s="1052"/>
      <c r="F707" s="1052"/>
      <c r="G707" s="1052"/>
      <c r="H707" s="1052">
        <v>6</v>
      </c>
      <c r="I707" s="1051">
        <f t="shared" si="42"/>
        <v>759.18000000000006</v>
      </c>
      <c r="J707" s="1050">
        <v>508</v>
      </c>
      <c r="K707" s="1049">
        <v>10.31</v>
      </c>
      <c r="L707" s="1049"/>
      <c r="M707" s="1049"/>
      <c r="N707" s="1048"/>
      <c r="O707" s="1047">
        <v>126.53</v>
      </c>
      <c r="P707" s="1047">
        <f t="shared" si="43"/>
        <v>1.5959290680236149</v>
      </c>
      <c r="Q707" s="1064"/>
      <c r="T707" s="1031"/>
    </row>
    <row r="708" spans="2:20">
      <c r="B708" s="1054"/>
      <c r="C708" s="1053" t="s">
        <v>641</v>
      </c>
      <c r="D708" s="1052" t="s">
        <v>627</v>
      </c>
      <c r="E708" s="1052"/>
      <c r="F708" s="1052"/>
      <c r="G708" s="1052"/>
      <c r="H708" s="1052">
        <v>6</v>
      </c>
      <c r="I708" s="1051">
        <f t="shared" si="42"/>
        <v>818.22</v>
      </c>
      <c r="J708" s="1050">
        <v>508</v>
      </c>
      <c r="K708" s="1049">
        <v>11.13</v>
      </c>
      <c r="L708" s="1049"/>
      <c r="M708" s="1049"/>
      <c r="N708" s="1048"/>
      <c r="O708" s="1047">
        <v>136.37</v>
      </c>
      <c r="P708" s="1047">
        <f t="shared" si="43"/>
        <v>1.5959290680236149</v>
      </c>
      <c r="Q708" s="1064"/>
      <c r="T708" s="1031"/>
    </row>
    <row r="709" spans="2:20">
      <c r="B709" s="1054"/>
      <c r="C709" s="1053" t="s">
        <v>640</v>
      </c>
      <c r="D709" s="1052" t="s">
        <v>627</v>
      </c>
      <c r="E709" s="1052"/>
      <c r="F709" s="1052"/>
      <c r="G709" s="1052"/>
      <c r="H709" s="1052">
        <v>6</v>
      </c>
      <c r="I709" s="1051">
        <f t="shared" si="42"/>
        <v>874.19999999999993</v>
      </c>
      <c r="J709" s="1050">
        <v>508</v>
      </c>
      <c r="K709" s="1049">
        <v>11.91</v>
      </c>
      <c r="L709" s="1049"/>
      <c r="M709" s="1049"/>
      <c r="N709" s="1048"/>
      <c r="O709" s="1047">
        <v>145.69999999999999</v>
      </c>
      <c r="P709" s="1047">
        <f t="shared" si="43"/>
        <v>1.5959290680236149</v>
      </c>
      <c r="Q709" s="1064"/>
      <c r="T709" s="1031"/>
    </row>
    <row r="710" spans="2:20">
      <c r="B710" s="1054"/>
      <c r="C710" s="1053" t="s">
        <v>639</v>
      </c>
      <c r="D710" s="1052" t="s">
        <v>627</v>
      </c>
      <c r="E710" s="1052"/>
      <c r="F710" s="1052"/>
      <c r="G710" s="1052"/>
      <c r="H710" s="1052">
        <v>6</v>
      </c>
      <c r="I710" s="1051">
        <f t="shared" si="42"/>
        <v>930.72</v>
      </c>
      <c r="J710" s="1050">
        <v>508</v>
      </c>
      <c r="K710" s="1049">
        <v>12.7</v>
      </c>
      <c r="L710" s="1049"/>
      <c r="M710" s="1049"/>
      <c r="N710" s="1048"/>
      <c r="O710" s="1047">
        <v>155.12</v>
      </c>
      <c r="P710" s="1047">
        <f t="shared" si="43"/>
        <v>1.5959290680236149</v>
      </c>
      <c r="Q710" s="1064"/>
      <c r="T710" s="1031"/>
    </row>
    <row r="711" spans="2:20">
      <c r="B711" s="1054"/>
      <c r="C711" s="1053" t="s">
        <v>638</v>
      </c>
      <c r="D711" s="1052" t="s">
        <v>627</v>
      </c>
      <c r="E711" s="1052"/>
      <c r="F711" s="1052"/>
      <c r="G711" s="1052"/>
      <c r="H711" s="1052">
        <v>6</v>
      </c>
      <c r="I711" s="1051">
        <f t="shared" si="42"/>
        <v>566.76</v>
      </c>
      <c r="J711" s="1050">
        <v>610</v>
      </c>
      <c r="K711" s="1049">
        <v>6.35</v>
      </c>
      <c r="L711" s="1049"/>
      <c r="M711" s="1049"/>
      <c r="N711" s="1048"/>
      <c r="O711" s="1047">
        <v>94.46</v>
      </c>
      <c r="P711" s="1047">
        <f t="shared" si="43"/>
        <v>1.9163715186897738</v>
      </c>
      <c r="Q711" s="1064"/>
      <c r="T711" s="1031"/>
    </row>
    <row r="712" spans="2:20">
      <c r="B712" s="1054"/>
      <c r="C712" s="1053" t="s">
        <v>637</v>
      </c>
      <c r="D712" s="1052" t="s">
        <v>627</v>
      </c>
      <c r="E712" s="1052"/>
      <c r="F712" s="1052"/>
      <c r="G712" s="1052"/>
      <c r="H712" s="1052">
        <v>6</v>
      </c>
      <c r="I712" s="1051">
        <f t="shared" si="42"/>
        <v>636.48</v>
      </c>
      <c r="J712" s="1050">
        <v>610</v>
      </c>
      <c r="K712" s="1049">
        <v>7.14</v>
      </c>
      <c r="L712" s="1049"/>
      <c r="M712" s="1049"/>
      <c r="N712" s="1048"/>
      <c r="O712" s="1047">
        <v>106.08</v>
      </c>
      <c r="P712" s="1047">
        <f t="shared" si="43"/>
        <v>1.9163715186897738</v>
      </c>
      <c r="Q712" s="1064"/>
      <c r="T712" s="1031"/>
    </row>
    <row r="713" spans="2:20">
      <c r="B713" s="1054"/>
      <c r="C713" s="1053" t="s">
        <v>636</v>
      </c>
      <c r="D713" s="1052" t="s">
        <v>627</v>
      </c>
      <c r="E713" s="1052"/>
      <c r="F713" s="1052"/>
      <c r="G713" s="1052"/>
      <c r="H713" s="1052">
        <v>6</v>
      </c>
      <c r="I713" s="1051">
        <f t="shared" si="42"/>
        <v>705.06000000000006</v>
      </c>
      <c r="J713" s="1050">
        <v>610</v>
      </c>
      <c r="K713" s="1049">
        <v>7.92</v>
      </c>
      <c r="L713" s="1049"/>
      <c r="M713" s="1049"/>
      <c r="N713" s="1048"/>
      <c r="O713" s="1047">
        <v>117.51</v>
      </c>
      <c r="P713" s="1047">
        <f t="shared" si="43"/>
        <v>1.9163715186897738</v>
      </c>
      <c r="Q713" s="1064"/>
      <c r="T713" s="1031"/>
    </row>
    <row r="714" spans="2:20">
      <c r="B714" s="1054"/>
      <c r="C714" s="1053" t="s">
        <v>635</v>
      </c>
      <c r="D714" s="1052" t="s">
        <v>627</v>
      </c>
      <c r="E714" s="1052"/>
      <c r="F714" s="1052"/>
      <c r="G714" s="1052"/>
      <c r="H714" s="1052">
        <v>6</v>
      </c>
      <c r="I714" s="1051">
        <f t="shared" si="42"/>
        <v>777</v>
      </c>
      <c r="J714" s="1050">
        <v>610</v>
      </c>
      <c r="K714" s="1049">
        <v>8.74</v>
      </c>
      <c r="L714" s="1049"/>
      <c r="M714" s="1049"/>
      <c r="N714" s="1048"/>
      <c r="O714" s="1047">
        <v>129.5</v>
      </c>
      <c r="P714" s="1047">
        <f t="shared" si="43"/>
        <v>1.9163715186897738</v>
      </c>
      <c r="Q714" s="1064"/>
      <c r="T714" s="1031"/>
    </row>
    <row r="715" spans="2:20">
      <c r="B715" s="1054"/>
      <c r="C715" s="1053" t="s">
        <v>634</v>
      </c>
      <c r="D715" s="1052" t="s">
        <v>627</v>
      </c>
      <c r="E715" s="1052"/>
      <c r="F715" s="1052"/>
      <c r="G715" s="1052"/>
      <c r="H715" s="1052">
        <v>6</v>
      </c>
      <c r="I715" s="1051">
        <f t="shared" si="42"/>
        <v>845.28</v>
      </c>
      <c r="J715" s="1050">
        <v>610</v>
      </c>
      <c r="K715" s="1049">
        <v>9.52</v>
      </c>
      <c r="L715" s="1049"/>
      <c r="M715" s="1049"/>
      <c r="N715" s="1048"/>
      <c r="O715" s="1047">
        <v>140.88</v>
      </c>
      <c r="P715" s="1047">
        <f t="shared" si="43"/>
        <v>1.9163715186897738</v>
      </c>
      <c r="Q715" s="1064"/>
      <c r="T715" s="1031"/>
    </row>
    <row r="716" spans="2:20">
      <c r="B716" s="1054"/>
      <c r="C716" s="1053" t="s">
        <v>633</v>
      </c>
      <c r="D716" s="1052" t="s">
        <v>627</v>
      </c>
      <c r="E716" s="1052"/>
      <c r="F716" s="1052"/>
      <c r="G716" s="1052"/>
      <c r="H716" s="1052">
        <v>6</v>
      </c>
      <c r="I716" s="1051">
        <f t="shared" si="42"/>
        <v>914.22</v>
      </c>
      <c r="J716" s="1050">
        <v>610</v>
      </c>
      <c r="K716" s="1049">
        <v>10.31</v>
      </c>
      <c r="L716" s="1049"/>
      <c r="M716" s="1049"/>
      <c r="N716" s="1048"/>
      <c r="O716" s="1047">
        <v>152.37</v>
      </c>
      <c r="P716" s="1047">
        <f t="shared" si="43"/>
        <v>1.9163715186897738</v>
      </c>
      <c r="Q716" s="1064"/>
      <c r="T716" s="1031"/>
    </row>
    <row r="717" spans="2:20">
      <c r="B717" s="1054"/>
      <c r="C717" s="1053" t="s">
        <v>632</v>
      </c>
      <c r="D717" s="1052" t="s">
        <v>627</v>
      </c>
      <c r="E717" s="1052"/>
      <c r="F717" s="1052"/>
      <c r="G717" s="1052"/>
      <c r="H717" s="1052">
        <v>6</v>
      </c>
      <c r="I717" s="1051">
        <f t="shared" si="42"/>
        <v>985.56</v>
      </c>
      <c r="J717" s="1050">
        <v>610</v>
      </c>
      <c r="K717" s="1049">
        <v>11.13</v>
      </c>
      <c r="L717" s="1049"/>
      <c r="M717" s="1049"/>
      <c r="N717" s="1048"/>
      <c r="O717" s="1047">
        <v>164.26</v>
      </c>
      <c r="P717" s="1047">
        <f t="shared" si="43"/>
        <v>1.9163715186897738</v>
      </c>
      <c r="Q717" s="1064"/>
      <c r="T717" s="1031"/>
    </row>
    <row r="718" spans="2:20">
      <c r="B718" s="1054"/>
      <c r="C718" s="1053" t="s">
        <v>631</v>
      </c>
      <c r="D718" s="1052" t="s">
        <v>627</v>
      </c>
      <c r="E718" s="1052"/>
      <c r="F718" s="1052"/>
      <c r="G718" s="1052"/>
      <c r="H718" s="1052">
        <v>6</v>
      </c>
      <c r="I718" s="1051">
        <f t="shared" si="42"/>
        <v>1053.24</v>
      </c>
      <c r="J718" s="1050">
        <v>610</v>
      </c>
      <c r="K718" s="1049">
        <v>11.91</v>
      </c>
      <c r="L718" s="1049"/>
      <c r="M718" s="1049"/>
      <c r="N718" s="1048"/>
      <c r="O718" s="1047">
        <v>175.54</v>
      </c>
      <c r="P718" s="1047">
        <f t="shared" si="43"/>
        <v>1.9163715186897738</v>
      </c>
      <c r="Q718" s="1064"/>
      <c r="T718" s="1031"/>
    </row>
    <row r="719" spans="2:20">
      <c r="B719" s="1054"/>
      <c r="C719" s="1053" t="s">
        <v>630</v>
      </c>
      <c r="D719" s="1052" t="s">
        <v>627</v>
      </c>
      <c r="E719" s="1052"/>
      <c r="F719" s="1052"/>
      <c r="G719" s="1052"/>
      <c r="H719" s="1052">
        <v>6</v>
      </c>
      <c r="I719" s="1051">
        <f t="shared" si="42"/>
        <v>1121.6399999999999</v>
      </c>
      <c r="J719" s="1050">
        <v>610</v>
      </c>
      <c r="K719" s="1049">
        <v>12.7</v>
      </c>
      <c r="L719" s="1049"/>
      <c r="M719" s="1049"/>
      <c r="N719" s="1048"/>
      <c r="O719" s="1047">
        <v>186.94</v>
      </c>
      <c r="P719" s="1047">
        <f t="shared" si="43"/>
        <v>1.9163715186897738</v>
      </c>
      <c r="Q719" s="1064"/>
      <c r="T719" s="1031"/>
    </row>
    <row r="720" spans="2:20">
      <c r="B720" s="1054" t="s">
        <v>629</v>
      </c>
      <c r="C720" s="1053" t="s">
        <v>628</v>
      </c>
      <c r="D720" s="1052" t="s">
        <v>627</v>
      </c>
      <c r="E720" s="1052"/>
      <c r="F720" s="1052"/>
      <c r="G720" s="1052"/>
      <c r="H720" s="1052">
        <f>60/5</f>
        <v>12</v>
      </c>
      <c r="I720" s="1051">
        <f>10610.51/5</f>
        <v>2122.1019999999999</v>
      </c>
      <c r="J720" s="1050">
        <v>609.6</v>
      </c>
      <c r="K720" s="1049">
        <v>12</v>
      </c>
      <c r="L720" s="1049"/>
      <c r="M720" s="1049"/>
      <c r="N720" s="1048"/>
      <c r="O720" s="1047">
        <f t="shared" ref="O720:O751" si="44">I720/H720</f>
        <v>176.84183333333331</v>
      </c>
      <c r="P720" s="1047">
        <f t="shared" si="43"/>
        <v>1.9151148816283381</v>
      </c>
      <c r="Q720" s="1064"/>
      <c r="T720" s="1031"/>
    </row>
    <row r="721" spans="2:20">
      <c r="B721" s="1054" t="s">
        <v>626</v>
      </c>
      <c r="C721" s="1053" t="s">
        <v>625</v>
      </c>
      <c r="D721" s="1052"/>
      <c r="E721" s="1052" t="s">
        <v>595</v>
      </c>
      <c r="F721" s="1052"/>
      <c r="G721" s="1052"/>
      <c r="H721" s="1052">
        <f t="shared" ref="H721:H733" si="45">3*6*0.3^2</f>
        <v>1.6199999999999999</v>
      </c>
      <c r="I721" s="1051">
        <v>4.5999999999999996</v>
      </c>
      <c r="J721" s="1050">
        <v>0.35</v>
      </c>
      <c r="K721" s="1049"/>
      <c r="L721" s="1049"/>
      <c r="M721" s="1049"/>
      <c r="N721" s="1048"/>
      <c r="O721" s="1047">
        <f t="shared" si="44"/>
        <v>2.8395061728395063</v>
      </c>
      <c r="P721" s="1047">
        <f t="shared" ref="P721:P752" si="46">2+4*J721/1000</f>
        <v>2.0013999999999998</v>
      </c>
      <c r="Q721" s="1064"/>
      <c r="T721" s="1031"/>
    </row>
    <row r="722" spans="2:20">
      <c r="B722" s="1054"/>
      <c r="C722" s="1053" t="s">
        <v>624</v>
      </c>
      <c r="D722" s="1052"/>
      <c r="E722" s="1052" t="s">
        <v>591</v>
      </c>
      <c r="F722" s="1052"/>
      <c r="G722" s="1052"/>
      <c r="H722" s="1052">
        <f t="shared" si="45"/>
        <v>1.6199999999999999</v>
      </c>
      <c r="I722" s="1051">
        <v>5.25</v>
      </c>
      <c r="J722" s="1050">
        <v>0.4</v>
      </c>
      <c r="K722" s="1049"/>
      <c r="L722" s="1049"/>
      <c r="M722" s="1049"/>
      <c r="N722" s="1048"/>
      <c r="O722" s="1047">
        <f t="shared" si="44"/>
        <v>3.2407407407407409</v>
      </c>
      <c r="P722" s="1047">
        <f t="shared" si="46"/>
        <v>2.0015999999999998</v>
      </c>
      <c r="Q722" s="1064"/>
      <c r="T722" s="1031"/>
    </row>
    <row r="723" spans="2:20">
      <c r="B723" s="1054"/>
      <c r="C723" s="1053" t="s">
        <v>623</v>
      </c>
      <c r="D723" s="1052"/>
      <c r="E723" s="1052" t="s">
        <v>595</v>
      </c>
      <c r="F723" s="1052"/>
      <c r="G723" s="1052"/>
      <c r="H723" s="1052">
        <f t="shared" si="45"/>
        <v>1.6199999999999999</v>
      </c>
      <c r="I723" s="1051">
        <v>6.57</v>
      </c>
      <c r="J723" s="1050">
        <v>0.5</v>
      </c>
      <c r="K723" s="1049"/>
      <c r="L723" s="1049"/>
      <c r="M723" s="1049"/>
      <c r="N723" s="1048"/>
      <c r="O723" s="1047">
        <f t="shared" si="44"/>
        <v>4.0555555555555562</v>
      </c>
      <c r="P723" s="1047">
        <f t="shared" si="46"/>
        <v>2.0019999999999998</v>
      </c>
      <c r="Q723" s="1064"/>
      <c r="T723" s="1031"/>
    </row>
    <row r="724" spans="2:20">
      <c r="B724" s="1054"/>
      <c r="C724" s="1053" t="s">
        <v>622</v>
      </c>
      <c r="D724" s="1052"/>
      <c r="E724" s="1052" t="s">
        <v>595</v>
      </c>
      <c r="F724" s="1052"/>
      <c r="G724" s="1052"/>
      <c r="H724" s="1052">
        <f t="shared" si="45"/>
        <v>1.6199999999999999</v>
      </c>
      <c r="I724" s="1051">
        <v>7.88</v>
      </c>
      <c r="J724" s="1050">
        <v>0.6</v>
      </c>
      <c r="K724" s="1049"/>
      <c r="L724" s="1049"/>
      <c r="M724" s="1049"/>
      <c r="N724" s="1048"/>
      <c r="O724" s="1047">
        <f t="shared" si="44"/>
        <v>4.8641975308641978</v>
      </c>
      <c r="P724" s="1047">
        <f t="shared" si="46"/>
        <v>2.0024000000000002</v>
      </c>
      <c r="Q724" s="1064"/>
      <c r="T724" s="1031"/>
    </row>
    <row r="725" spans="2:20">
      <c r="B725" s="1054"/>
      <c r="C725" s="1053" t="s">
        <v>621</v>
      </c>
      <c r="D725" s="1052"/>
      <c r="E725" s="1052" t="s">
        <v>595</v>
      </c>
      <c r="F725" s="1052"/>
      <c r="G725" s="1052"/>
      <c r="H725" s="1052">
        <f t="shared" si="45"/>
        <v>1.6199999999999999</v>
      </c>
      <c r="I725" s="1051">
        <v>8.5299999999999994</v>
      </c>
      <c r="J725" s="1050">
        <v>0.65</v>
      </c>
      <c r="K725" s="1049"/>
      <c r="L725" s="1049"/>
      <c r="M725" s="1049"/>
      <c r="N725" s="1048"/>
      <c r="O725" s="1047">
        <f t="shared" si="44"/>
        <v>5.2654320987654319</v>
      </c>
      <c r="P725" s="1047">
        <f t="shared" si="46"/>
        <v>2.0026000000000002</v>
      </c>
      <c r="Q725" s="1064"/>
      <c r="T725" s="1031"/>
    </row>
    <row r="726" spans="2:20">
      <c r="B726" s="1054"/>
      <c r="C726" s="1053" t="s">
        <v>620</v>
      </c>
      <c r="D726" s="1052"/>
      <c r="E726" s="1052" t="s">
        <v>595</v>
      </c>
      <c r="F726" s="1052"/>
      <c r="G726" s="1052"/>
      <c r="H726" s="1052">
        <f t="shared" si="45"/>
        <v>1.6199999999999999</v>
      </c>
      <c r="I726" s="1051">
        <v>8.67</v>
      </c>
      <c r="J726" s="1050">
        <v>0.66</v>
      </c>
      <c r="K726" s="1049"/>
      <c r="L726" s="1049"/>
      <c r="M726" s="1049"/>
      <c r="N726" s="1048"/>
      <c r="O726" s="1047">
        <f t="shared" si="44"/>
        <v>5.3518518518518521</v>
      </c>
      <c r="P726" s="1047">
        <f t="shared" si="46"/>
        <v>2.00264</v>
      </c>
      <c r="Q726" s="1064"/>
      <c r="T726" s="1031"/>
    </row>
    <row r="727" spans="2:20">
      <c r="B727" s="1054"/>
      <c r="C727" s="1053" t="s">
        <v>619</v>
      </c>
      <c r="D727" s="1052"/>
      <c r="E727" s="1052" t="s">
        <v>595</v>
      </c>
      <c r="F727" s="1052"/>
      <c r="G727" s="1052"/>
      <c r="H727" s="1052">
        <f t="shared" si="45"/>
        <v>1.6199999999999999</v>
      </c>
      <c r="I727" s="1051">
        <v>9.1999999999999993</v>
      </c>
      <c r="J727" s="1050">
        <v>0.7</v>
      </c>
      <c r="K727" s="1049"/>
      <c r="L727" s="1049"/>
      <c r="M727" s="1049"/>
      <c r="N727" s="1048"/>
      <c r="O727" s="1047">
        <f t="shared" si="44"/>
        <v>5.6790123456790127</v>
      </c>
      <c r="P727" s="1047">
        <f t="shared" si="46"/>
        <v>2.0028000000000001</v>
      </c>
      <c r="Q727" s="1064"/>
      <c r="T727" s="1031"/>
    </row>
    <row r="728" spans="2:20">
      <c r="B728" s="1054"/>
      <c r="C728" s="1053" t="s">
        <v>618</v>
      </c>
      <c r="D728" s="1052"/>
      <c r="E728" s="1052" t="s">
        <v>595</v>
      </c>
      <c r="F728" s="1052"/>
      <c r="G728" s="1052"/>
      <c r="H728" s="1052">
        <f t="shared" si="45"/>
        <v>1.6199999999999999</v>
      </c>
      <c r="I728" s="1051">
        <v>10.5</v>
      </c>
      <c r="J728" s="1050">
        <v>0.8</v>
      </c>
      <c r="K728" s="1049"/>
      <c r="L728" s="1049"/>
      <c r="M728" s="1049"/>
      <c r="N728" s="1048"/>
      <c r="O728" s="1047">
        <f t="shared" si="44"/>
        <v>6.4814814814814818</v>
      </c>
      <c r="P728" s="1047">
        <f t="shared" si="46"/>
        <v>2.0032000000000001</v>
      </c>
      <c r="Q728" s="1064"/>
      <c r="T728" s="1031"/>
    </row>
    <row r="729" spans="2:20">
      <c r="B729" s="1054"/>
      <c r="C729" s="1053" t="s">
        <v>617</v>
      </c>
      <c r="D729" s="1052"/>
      <c r="E729" s="1052" t="s">
        <v>595</v>
      </c>
      <c r="F729" s="1052"/>
      <c r="G729" s="1052"/>
      <c r="H729" s="1052">
        <f t="shared" si="45"/>
        <v>1.6199999999999999</v>
      </c>
      <c r="I729" s="1051">
        <v>11.82</v>
      </c>
      <c r="J729" s="1050">
        <v>0.9</v>
      </c>
      <c r="K729" s="1049"/>
      <c r="L729" s="1049"/>
      <c r="M729" s="1049"/>
      <c r="N729" s="1048"/>
      <c r="O729" s="1047">
        <f t="shared" si="44"/>
        <v>7.2962962962962967</v>
      </c>
      <c r="P729" s="1047">
        <f t="shared" si="46"/>
        <v>2.0036</v>
      </c>
      <c r="Q729" s="1064"/>
      <c r="T729" s="1031"/>
    </row>
    <row r="730" spans="2:20">
      <c r="B730" s="1054"/>
      <c r="C730" s="1053" t="s">
        <v>616</v>
      </c>
      <c r="D730" s="1052"/>
      <c r="E730" s="1052" t="s">
        <v>595</v>
      </c>
      <c r="F730" s="1052"/>
      <c r="G730" s="1052"/>
      <c r="H730" s="1052">
        <f t="shared" si="45"/>
        <v>1.6199999999999999</v>
      </c>
      <c r="I730" s="1051">
        <v>13.1</v>
      </c>
      <c r="J730" s="1050">
        <v>1</v>
      </c>
      <c r="K730" s="1049"/>
      <c r="L730" s="1049"/>
      <c r="M730" s="1049"/>
      <c r="N730" s="1048"/>
      <c r="O730" s="1047">
        <f t="shared" si="44"/>
        <v>8.0864197530864192</v>
      </c>
      <c r="P730" s="1047">
        <f t="shared" si="46"/>
        <v>2.004</v>
      </c>
      <c r="Q730" s="1064"/>
      <c r="T730" s="1031"/>
    </row>
    <row r="731" spans="2:20">
      <c r="B731" s="1054"/>
      <c r="C731" s="1053" t="s">
        <v>615</v>
      </c>
      <c r="D731" s="1052"/>
      <c r="E731" s="1052" t="s">
        <v>595</v>
      </c>
      <c r="F731" s="1052"/>
      <c r="G731" s="1052"/>
      <c r="H731" s="1052">
        <f t="shared" si="45"/>
        <v>1.6199999999999999</v>
      </c>
      <c r="I731" s="1051">
        <v>15.8</v>
      </c>
      <c r="J731" s="1050">
        <v>1.2</v>
      </c>
      <c r="K731" s="1049"/>
      <c r="L731" s="1049"/>
      <c r="M731" s="1049"/>
      <c r="N731" s="1048"/>
      <c r="O731" s="1047">
        <f t="shared" si="44"/>
        <v>9.7530864197530871</v>
      </c>
      <c r="P731" s="1047">
        <f t="shared" si="46"/>
        <v>2.0047999999999999</v>
      </c>
      <c r="Q731" s="1064"/>
      <c r="T731" s="1031"/>
    </row>
    <row r="732" spans="2:20">
      <c r="B732" s="1054"/>
      <c r="C732" s="1053" t="s">
        <v>614</v>
      </c>
      <c r="D732" s="1052"/>
      <c r="E732" s="1052" t="s">
        <v>595</v>
      </c>
      <c r="F732" s="1052"/>
      <c r="G732" s="1052"/>
      <c r="H732" s="1052">
        <f t="shared" si="45"/>
        <v>1.6199999999999999</v>
      </c>
      <c r="I732" s="1051">
        <v>19.7</v>
      </c>
      <c r="J732" s="1050">
        <v>1.5</v>
      </c>
      <c r="K732" s="1049"/>
      <c r="L732" s="1049"/>
      <c r="M732" s="1049"/>
      <c r="N732" s="1048"/>
      <c r="O732" s="1047">
        <f t="shared" si="44"/>
        <v>12.160493827160494</v>
      </c>
      <c r="P732" s="1047">
        <f t="shared" si="46"/>
        <v>2.0059999999999998</v>
      </c>
      <c r="Q732" s="1064"/>
      <c r="T732" s="1031"/>
    </row>
    <row r="733" spans="2:20">
      <c r="B733" s="1054"/>
      <c r="C733" s="1053" t="s">
        <v>613</v>
      </c>
      <c r="D733" s="1052"/>
      <c r="E733" s="1052" t="s">
        <v>595</v>
      </c>
      <c r="F733" s="1052"/>
      <c r="G733" s="1052"/>
      <c r="H733" s="1052">
        <f t="shared" si="45"/>
        <v>1.6199999999999999</v>
      </c>
      <c r="I733" s="1051">
        <v>26.3</v>
      </c>
      <c r="J733" s="1050">
        <v>2</v>
      </c>
      <c r="K733" s="1049"/>
      <c r="L733" s="1049"/>
      <c r="M733" s="1049"/>
      <c r="N733" s="1048"/>
      <c r="O733" s="1047">
        <f t="shared" si="44"/>
        <v>16.23456790123457</v>
      </c>
      <c r="P733" s="1047">
        <f t="shared" si="46"/>
        <v>2.008</v>
      </c>
      <c r="Q733" s="1064"/>
      <c r="T733" s="1031"/>
    </row>
    <row r="734" spans="2:20">
      <c r="B734" s="1054" t="s">
        <v>612</v>
      </c>
      <c r="C734" s="1053" t="s">
        <v>611</v>
      </c>
      <c r="D734" s="1052"/>
      <c r="E734" s="1052" t="s">
        <v>595</v>
      </c>
      <c r="F734" s="1052"/>
      <c r="G734" s="1052"/>
      <c r="H734" s="1052">
        <f t="shared" ref="H734:H765" si="47">4*8*0.3^2</f>
        <v>2.88</v>
      </c>
      <c r="I734" s="1051">
        <v>8.16</v>
      </c>
      <c r="J734" s="1050">
        <v>0.35</v>
      </c>
      <c r="K734" s="1049"/>
      <c r="L734" s="1049"/>
      <c r="M734" s="1049"/>
      <c r="N734" s="1048"/>
      <c r="O734" s="1047">
        <f t="shared" si="44"/>
        <v>2.8333333333333335</v>
      </c>
      <c r="P734" s="1047">
        <f t="shared" si="46"/>
        <v>2.0013999999999998</v>
      </c>
      <c r="Q734" s="1064"/>
      <c r="T734" s="1031"/>
    </row>
    <row r="735" spans="2:20">
      <c r="B735" s="1054"/>
      <c r="C735" s="1053" t="s">
        <v>610</v>
      </c>
      <c r="D735" s="1052"/>
      <c r="E735" s="1052" t="s">
        <v>595</v>
      </c>
      <c r="F735" s="1052"/>
      <c r="G735" s="1052"/>
      <c r="H735" s="1052">
        <f t="shared" si="47"/>
        <v>2.88</v>
      </c>
      <c r="I735" s="1051">
        <v>14</v>
      </c>
      <c r="J735" s="1050">
        <v>0.6</v>
      </c>
      <c r="K735" s="1049"/>
      <c r="L735" s="1049"/>
      <c r="M735" s="1049"/>
      <c r="N735" s="1048"/>
      <c r="O735" s="1047">
        <f t="shared" si="44"/>
        <v>4.8611111111111116</v>
      </c>
      <c r="P735" s="1047">
        <f t="shared" si="46"/>
        <v>2.0024000000000002</v>
      </c>
      <c r="Q735" s="1064"/>
      <c r="T735" s="1031"/>
    </row>
    <row r="736" spans="2:20">
      <c r="B736" s="1054"/>
      <c r="C736" s="1053" t="s">
        <v>609</v>
      </c>
      <c r="D736" s="1052"/>
      <c r="E736" s="1052" t="s">
        <v>595</v>
      </c>
      <c r="F736" s="1052"/>
      <c r="G736" s="1052"/>
      <c r="H736" s="1052">
        <f t="shared" si="47"/>
        <v>2.88</v>
      </c>
      <c r="I736" s="1051">
        <v>15.4</v>
      </c>
      <c r="J736" s="1050">
        <v>0.66</v>
      </c>
      <c r="K736" s="1049"/>
      <c r="L736" s="1049"/>
      <c r="M736" s="1049"/>
      <c r="N736" s="1048"/>
      <c r="O736" s="1047">
        <f t="shared" si="44"/>
        <v>5.3472222222222223</v>
      </c>
      <c r="P736" s="1047">
        <f t="shared" si="46"/>
        <v>2.00264</v>
      </c>
      <c r="Q736" s="1064"/>
      <c r="T736" s="1031"/>
    </row>
    <row r="737" spans="2:20">
      <c r="B737" s="1054"/>
      <c r="C737" s="1053" t="s">
        <v>608</v>
      </c>
      <c r="D737" s="1052"/>
      <c r="E737" s="1052" t="s">
        <v>595</v>
      </c>
      <c r="F737" s="1052"/>
      <c r="G737" s="1052"/>
      <c r="H737" s="1052">
        <f t="shared" si="47"/>
        <v>2.88</v>
      </c>
      <c r="I737" s="1051">
        <v>16.309999999999999</v>
      </c>
      <c r="J737" s="1050">
        <v>0.7</v>
      </c>
      <c r="K737" s="1049"/>
      <c r="L737" s="1049"/>
      <c r="M737" s="1049"/>
      <c r="N737" s="1048"/>
      <c r="O737" s="1047">
        <f t="shared" si="44"/>
        <v>5.6631944444444446</v>
      </c>
      <c r="P737" s="1047">
        <f t="shared" si="46"/>
        <v>2.0028000000000001</v>
      </c>
      <c r="Q737" s="1064"/>
      <c r="T737" s="1031"/>
    </row>
    <row r="738" spans="2:20">
      <c r="B738" s="1054"/>
      <c r="C738" s="1053" t="s">
        <v>607</v>
      </c>
      <c r="D738" s="1052"/>
      <c r="E738" s="1052" t="s">
        <v>595</v>
      </c>
      <c r="F738" s="1052"/>
      <c r="G738" s="1052"/>
      <c r="H738" s="1052">
        <f t="shared" si="47"/>
        <v>2.88</v>
      </c>
      <c r="I738" s="1051">
        <v>18.7</v>
      </c>
      <c r="J738" s="1050">
        <v>0.8</v>
      </c>
      <c r="K738" s="1049"/>
      <c r="L738" s="1049"/>
      <c r="M738" s="1049"/>
      <c r="N738" s="1048"/>
      <c r="O738" s="1047">
        <f t="shared" si="44"/>
        <v>6.4930555555555554</v>
      </c>
      <c r="P738" s="1047">
        <f t="shared" si="46"/>
        <v>2.0032000000000001</v>
      </c>
      <c r="Q738" s="1064"/>
      <c r="T738" s="1031"/>
    </row>
    <row r="739" spans="2:20">
      <c r="B739" s="1054"/>
      <c r="C739" s="1053" t="s">
        <v>606</v>
      </c>
      <c r="D739" s="1052"/>
      <c r="E739" s="1052" t="s">
        <v>595</v>
      </c>
      <c r="F739" s="1052"/>
      <c r="G739" s="1052"/>
      <c r="H739" s="1052">
        <f t="shared" si="47"/>
        <v>2.88</v>
      </c>
      <c r="I739" s="1051">
        <v>21</v>
      </c>
      <c r="J739" s="1050">
        <v>0.9</v>
      </c>
      <c r="K739" s="1049"/>
      <c r="L739" s="1049"/>
      <c r="M739" s="1049"/>
      <c r="N739" s="1048"/>
      <c r="O739" s="1047">
        <f t="shared" si="44"/>
        <v>7.291666666666667</v>
      </c>
      <c r="P739" s="1047">
        <f t="shared" si="46"/>
        <v>2.0036</v>
      </c>
      <c r="Q739" s="1064"/>
      <c r="T739" s="1031"/>
    </row>
    <row r="740" spans="2:20">
      <c r="B740" s="1054"/>
      <c r="C740" s="1053" t="s">
        <v>605</v>
      </c>
      <c r="D740" s="1052"/>
      <c r="E740" s="1052" t="s">
        <v>595</v>
      </c>
      <c r="F740" s="1052"/>
      <c r="G740" s="1052"/>
      <c r="H740" s="1052">
        <f t="shared" si="47"/>
        <v>2.88</v>
      </c>
      <c r="I740" s="1051">
        <v>23.33</v>
      </c>
      <c r="J740" s="1050">
        <v>1</v>
      </c>
      <c r="K740" s="1049"/>
      <c r="L740" s="1049"/>
      <c r="M740" s="1049"/>
      <c r="N740" s="1048"/>
      <c r="O740" s="1047">
        <f t="shared" si="44"/>
        <v>8.1006944444444446</v>
      </c>
      <c r="P740" s="1047">
        <f t="shared" si="46"/>
        <v>2.004</v>
      </c>
      <c r="Q740" s="1064"/>
      <c r="T740" s="1031"/>
    </row>
    <row r="741" spans="2:20">
      <c r="B741" s="1054"/>
      <c r="C741" s="1053" t="s">
        <v>604</v>
      </c>
      <c r="D741" s="1052"/>
      <c r="E741" s="1052" t="s">
        <v>595</v>
      </c>
      <c r="F741" s="1052"/>
      <c r="G741" s="1052"/>
      <c r="H741" s="1052">
        <f t="shared" si="47"/>
        <v>2.88</v>
      </c>
      <c r="I741" s="1051">
        <v>28</v>
      </c>
      <c r="J741" s="1050">
        <v>1.2</v>
      </c>
      <c r="K741" s="1049"/>
      <c r="L741" s="1049"/>
      <c r="M741" s="1049"/>
      <c r="N741" s="1048"/>
      <c r="O741" s="1047">
        <f t="shared" si="44"/>
        <v>9.7222222222222232</v>
      </c>
      <c r="P741" s="1047">
        <f t="shared" si="46"/>
        <v>2.0047999999999999</v>
      </c>
      <c r="Q741" s="1064"/>
      <c r="T741" s="1031"/>
    </row>
    <row r="742" spans="2:20">
      <c r="B742" s="1054"/>
      <c r="C742" s="1053" t="s">
        <v>603</v>
      </c>
      <c r="D742" s="1052"/>
      <c r="E742" s="1052" t="s">
        <v>595</v>
      </c>
      <c r="F742" s="1052"/>
      <c r="G742" s="1052"/>
      <c r="H742" s="1052">
        <f t="shared" si="47"/>
        <v>2.88</v>
      </c>
      <c r="I742" s="1051">
        <v>35</v>
      </c>
      <c r="J742" s="1050">
        <v>1.5</v>
      </c>
      <c r="K742" s="1049"/>
      <c r="L742" s="1049"/>
      <c r="M742" s="1049"/>
      <c r="N742" s="1048"/>
      <c r="O742" s="1047">
        <f t="shared" si="44"/>
        <v>12.152777777777779</v>
      </c>
      <c r="P742" s="1047">
        <f t="shared" si="46"/>
        <v>2.0059999999999998</v>
      </c>
      <c r="Q742" s="1064"/>
      <c r="T742" s="1031"/>
    </row>
    <row r="743" spans="2:20">
      <c r="B743" s="1054"/>
      <c r="C743" s="1053" t="s">
        <v>602</v>
      </c>
      <c r="D743" s="1052"/>
      <c r="E743" s="1052" t="s">
        <v>595</v>
      </c>
      <c r="F743" s="1052"/>
      <c r="G743" s="1052"/>
      <c r="H743" s="1052">
        <f t="shared" si="47"/>
        <v>2.88</v>
      </c>
      <c r="I743" s="1051">
        <v>37.299999999999997</v>
      </c>
      <c r="J743" s="1050">
        <v>1.6</v>
      </c>
      <c r="K743" s="1049"/>
      <c r="L743" s="1049"/>
      <c r="M743" s="1049"/>
      <c r="N743" s="1048"/>
      <c r="O743" s="1047">
        <f t="shared" si="44"/>
        <v>12.951388888888888</v>
      </c>
      <c r="P743" s="1047">
        <f t="shared" si="46"/>
        <v>2.0064000000000002</v>
      </c>
      <c r="Q743" s="1064"/>
      <c r="T743" s="1031"/>
    </row>
    <row r="744" spans="2:20">
      <c r="B744" s="1054"/>
      <c r="C744" s="1053" t="s">
        <v>601</v>
      </c>
      <c r="D744" s="1052"/>
      <c r="E744" s="1052" t="s">
        <v>595</v>
      </c>
      <c r="F744" s="1052"/>
      <c r="G744" s="1052"/>
      <c r="H744" s="1052">
        <f t="shared" si="47"/>
        <v>2.88</v>
      </c>
      <c r="I744" s="1051">
        <v>45</v>
      </c>
      <c r="J744" s="1050">
        <v>1.9</v>
      </c>
      <c r="K744" s="1049"/>
      <c r="L744" s="1049"/>
      <c r="M744" s="1049"/>
      <c r="N744" s="1048"/>
      <c r="O744" s="1047">
        <f t="shared" si="44"/>
        <v>15.625</v>
      </c>
      <c r="P744" s="1047">
        <f t="shared" si="46"/>
        <v>2.0076000000000001</v>
      </c>
      <c r="Q744" s="1064"/>
      <c r="T744" s="1031"/>
    </row>
    <row r="745" spans="2:20">
      <c r="B745" s="1054"/>
      <c r="C745" s="1053" t="s">
        <v>600</v>
      </c>
      <c r="D745" s="1052"/>
      <c r="E745" s="1052" t="s">
        <v>595</v>
      </c>
      <c r="F745" s="1052"/>
      <c r="G745" s="1052"/>
      <c r="H745" s="1052">
        <f t="shared" si="47"/>
        <v>2.88</v>
      </c>
      <c r="I745" s="1051">
        <v>46.7</v>
      </c>
      <c r="J745" s="1050">
        <v>2</v>
      </c>
      <c r="K745" s="1049"/>
      <c r="L745" s="1049"/>
      <c r="M745" s="1049"/>
      <c r="N745" s="1048"/>
      <c r="O745" s="1047">
        <f t="shared" si="44"/>
        <v>16.215277777777779</v>
      </c>
      <c r="P745" s="1047">
        <f t="shared" si="46"/>
        <v>2.008</v>
      </c>
      <c r="Q745" s="1064"/>
      <c r="T745" s="1031"/>
    </row>
    <row r="746" spans="2:20">
      <c r="B746" s="1054" t="s">
        <v>599</v>
      </c>
      <c r="C746" s="1053" t="s">
        <v>598</v>
      </c>
      <c r="D746" s="1052"/>
      <c r="E746" s="1052" t="s">
        <v>591</v>
      </c>
      <c r="F746" s="1052"/>
      <c r="G746" s="1052"/>
      <c r="H746" s="1052">
        <f t="shared" si="47"/>
        <v>2.88</v>
      </c>
      <c r="I746" s="1051">
        <v>28</v>
      </c>
      <c r="J746" s="1050">
        <v>1.2</v>
      </c>
      <c r="K746" s="1049"/>
      <c r="L746" s="1049"/>
      <c r="M746" s="1049"/>
      <c r="N746" s="1048"/>
      <c r="O746" s="1047">
        <f t="shared" si="44"/>
        <v>9.7222222222222232</v>
      </c>
      <c r="P746" s="1047">
        <f t="shared" si="46"/>
        <v>2.0047999999999999</v>
      </c>
      <c r="Q746" s="1064"/>
      <c r="T746" s="1031"/>
    </row>
    <row r="747" spans="2:20">
      <c r="B747" s="1054"/>
      <c r="C747" s="1053" t="s">
        <v>597</v>
      </c>
      <c r="D747" s="1052"/>
      <c r="E747" s="1052" t="s">
        <v>595</v>
      </c>
      <c r="F747" s="1052"/>
      <c r="G747" s="1052"/>
      <c r="H747" s="1052">
        <f t="shared" si="47"/>
        <v>2.88</v>
      </c>
      <c r="I747" s="1051">
        <v>33</v>
      </c>
      <c r="J747" s="1050">
        <v>1.4</v>
      </c>
      <c r="K747" s="1049"/>
      <c r="L747" s="1049"/>
      <c r="M747" s="1049"/>
      <c r="N747" s="1048"/>
      <c r="O747" s="1047">
        <f t="shared" si="44"/>
        <v>11.458333333333334</v>
      </c>
      <c r="P747" s="1047">
        <f t="shared" si="46"/>
        <v>2.0055999999999998</v>
      </c>
      <c r="Q747" s="1064"/>
      <c r="T747" s="1031"/>
    </row>
    <row r="748" spans="2:20">
      <c r="B748" s="1054"/>
      <c r="C748" s="1053" t="s">
        <v>596</v>
      </c>
      <c r="D748" s="1052"/>
      <c r="E748" s="1052" t="s">
        <v>595</v>
      </c>
      <c r="F748" s="1052"/>
      <c r="G748" s="1052"/>
      <c r="H748" s="1052">
        <f t="shared" si="47"/>
        <v>2.88</v>
      </c>
      <c r="I748" s="1051">
        <v>35</v>
      </c>
      <c r="J748" s="1050">
        <v>1.5</v>
      </c>
      <c r="K748" s="1049"/>
      <c r="L748" s="1049"/>
      <c r="M748" s="1049"/>
      <c r="N748" s="1048"/>
      <c r="O748" s="1047">
        <f t="shared" si="44"/>
        <v>12.152777777777779</v>
      </c>
      <c r="P748" s="1047">
        <f t="shared" si="46"/>
        <v>2.0059999999999998</v>
      </c>
      <c r="Q748" s="1064"/>
      <c r="T748" s="1031"/>
    </row>
    <row r="749" spans="2:20">
      <c r="B749" s="1054"/>
      <c r="C749" s="1053" t="s">
        <v>594</v>
      </c>
      <c r="D749" s="1052"/>
      <c r="E749" s="1052" t="s">
        <v>591</v>
      </c>
      <c r="F749" s="1052"/>
      <c r="G749" s="1052"/>
      <c r="H749" s="1052">
        <f t="shared" si="47"/>
        <v>2.88</v>
      </c>
      <c r="I749" s="1051">
        <v>37.299999999999997</v>
      </c>
      <c r="J749" s="1050">
        <v>1.6</v>
      </c>
      <c r="K749" s="1049"/>
      <c r="L749" s="1049"/>
      <c r="M749" s="1049"/>
      <c r="N749" s="1048"/>
      <c r="O749" s="1047">
        <f t="shared" si="44"/>
        <v>12.951388888888888</v>
      </c>
      <c r="P749" s="1047">
        <f t="shared" si="46"/>
        <v>2.0064000000000002</v>
      </c>
      <c r="Q749" s="1064"/>
      <c r="T749" s="1031"/>
    </row>
    <row r="750" spans="2:20">
      <c r="B750" s="1054"/>
      <c r="C750" s="1053" t="s">
        <v>593</v>
      </c>
      <c r="D750" s="1052"/>
      <c r="E750" s="1052" t="s">
        <v>591</v>
      </c>
      <c r="F750" s="1052"/>
      <c r="G750" s="1052"/>
      <c r="H750" s="1052">
        <f t="shared" si="47"/>
        <v>2.88</v>
      </c>
      <c r="I750" s="1051">
        <v>39.700000000000003</v>
      </c>
      <c r="J750" s="1050">
        <v>1.7</v>
      </c>
      <c r="K750" s="1049"/>
      <c r="L750" s="1049"/>
      <c r="M750" s="1049"/>
      <c r="N750" s="1048"/>
      <c r="O750" s="1047">
        <f t="shared" si="44"/>
        <v>13.784722222222223</v>
      </c>
      <c r="P750" s="1047">
        <f t="shared" si="46"/>
        <v>2.0068000000000001</v>
      </c>
      <c r="Q750" s="1064"/>
      <c r="T750" s="1031"/>
    </row>
    <row r="751" spans="2:20">
      <c r="B751" s="1054"/>
      <c r="C751" s="1053" t="s">
        <v>592</v>
      </c>
      <c r="D751" s="1052"/>
      <c r="E751" s="1052" t="s">
        <v>591</v>
      </c>
      <c r="F751" s="1052"/>
      <c r="G751" s="1052"/>
      <c r="H751" s="1052">
        <f t="shared" si="47"/>
        <v>2.88</v>
      </c>
      <c r="I751" s="1051">
        <v>42</v>
      </c>
      <c r="J751" s="1050">
        <v>1.8</v>
      </c>
      <c r="K751" s="1049"/>
      <c r="L751" s="1049"/>
      <c r="M751" s="1049"/>
      <c r="N751" s="1048"/>
      <c r="O751" s="1047">
        <f t="shared" si="44"/>
        <v>14.583333333333334</v>
      </c>
      <c r="P751" s="1047">
        <f t="shared" si="46"/>
        <v>2.0072000000000001</v>
      </c>
      <c r="Q751" s="1064"/>
      <c r="T751" s="1031"/>
    </row>
    <row r="752" spans="2:20">
      <c r="B752" s="1054"/>
      <c r="C752" s="1053" t="s">
        <v>590</v>
      </c>
      <c r="D752" s="1052"/>
      <c r="E752" s="1052" t="s">
        <v>431</v>
      </c>
      <c r="F752" s="1052"/>
      <c r="G752" s="1052"/>
      <c r="H752" s="1052">
        <f t="shared" si="47"/>
        <v>2.88</v>
      </c>
      <c r="I752" s="1051">
        <v>44.5</v>
      </c>
      <c r="J752" s="1050">
        <v>1.9</v>
      </c>
      <c r="K752" s="1049"/>
      <c r="L752" s="1049"/>
      <c r="M752" s="1049"/>
      <c r="N752" s="1048"/>
      <c r="O752" s="1047">
        <f t="shared" ref="O752:O783" si="48">I752/H752</f>
        <v>15.451388888888889</v>
      </c>
      <c r="P752" s="1047">
        <f t="shared" si="46"/>
        <v>2.0076000000000001</v>
      </c>
      <c r="Q752" s="1064"/>
      <c r="T752" s="1031"/>
    </row>
    <row r="753" spans="2:20">
      <c r="B753" s="1054"/>
      <c r="C753" s="1053" t="s">
        <v>589</v>
      </c>
      <c r="D753" s="1052"/>
      <c r="E753" s="1052" t="s">
        <v>431</v>
      </c>
      <c r="F753" s="1052"/>
      <c r="G753" s="1052"/>
      <c r="H753" s="1052">
        <f t="shared" si="47"/>
        <v>2.88</v>
      </c>
      <c r="I753" s="1051">
        <v>46.7</v>
      </c>
      <c r="J753" s="1050">
        <v>2</v>
      </c>
      <c r="K753" s="1049"/>
      <c r="L753" s="1049"/>
      <c r="M753" s="1049"/>
      <c r="N753" s="1048"/>
      <c r="O753" s="1047">
        <f t="shared" si="48"/>
        <v>16.215277777777779</v>
      </c>
      <c r="P753" s="1047">
        <f t="shared" ref="P753:P784" si="49">2+4*J753/1000</f>
        <v>2.008</v>
      </c>
      <c r="Q753" s="1064"/>
      <c r="T753" s="1031"/>
    </row>
    <row r="754" spans="2:20">
      <c r="B754" s="1054"/>
      <c r="C754" s="1053" t="s">
        <v>588</v>
      </c>
      <c r="D754" s="1052"/>
      <c r="E754" s="1052" t="s">
        <v>431</v>
      </c>
      <c r="F754" s="1052"/>
      <c r="G754" s="1052"/>
      <c r="H754" s="1052">
        <f t="shared" si="47"/>
        <v>2.88</v>
      </c>
      <c r="I754" s="1051">
        <v>54</v>
      </c>
      <c r="J754" s="1050">
        <v>2.2999999999999998</v>
      </c>
      <c r="K754" s="1049"/>
      <c r="L754" s="1049"/>
      <c r="M754" s="1049"/>
      <c r="N754" s="1048"/>
      <c r="O754" s="1047">
        <f t="shared" si="48"/>
        <v>18.75</v>
      </c>
      <c r="P754" s="1047">
        <f t="shared" si="49"/>
        <v>2.0091999999999999</v>
      </c>
      <c r="Q754" s="1064"/>
      <c r="T754" s="1031"/>
    </row>
    <row r="755" spans="2:20">
      <c r="B755" s="1054"/>
      <c r="C755" s="1053" t="s">
        <v>587</v>
      </c>
      <c r="D755" s="1052"/>
      <c r="E755" s="1052" t="s">
        <v>431</v>
      </c>
      <c r="F755" s="1052"/>
      <c r="G755" s="1052"/>
      <c r="H755" s="1052">
        <f t="shared" si="47"/>
        <v>2.88</v>
      </c>
      <c r="I755" s="1051">
        <v>60.7</v>
      </c>
      <c r="J755" s="1050">
        <v>2.6</v>
      </c>
      <c r="K755" s="1049"/>
      <c r="L755" s="1049"/>
      <c r="M755" s="1049"/>
      <c r="N755" s="1048"/>
      <c r="O755" s="1047">
        <f t="shared" si="48"/>
        <v>21.076388888888889</v>
      </c>
      <c r="P755" s="1047">
        <f t="shared" si="49"/>
        <v>2.0104000000000002</v>
      </c>
      <c r="Q755" s="1064"/>
      <c r="T755" s="1031"/>
    </row>
    <row r="756" spans="2:20">
      <c r="B756" s="1054"/>
      <c r="C756" s="1053" t="s">
        <v>586</v>
      </c>
      <c r="D756" s="1052"/>
      <c r="E756" s="1052" t="s">
        <v>431</v>
      </c>
      <c r="F756" s="1052"/>
      <c r="G756" s="1052"/>
      <c r="H756" s="1052">
        <f t="shared" si="47"/>
        <v>2.88</v>
      </c>
      <c r="I756" s="1051">
        <v>65.3</v>
      </c>
      <c r="J756" s="1050">
        <v>2.8</v>
      </c>
      <c r="K756" s="1049"/>
      <c r="L756" s="1049"/>
      <c r="M756" s="1049"/>
      <c r="N756" s="1048"/>
      <c r="O756" s="1047">
        <f t="shared" si="48"/>
        <v>22.673611111111111</v>
      </c>
      <c r="P756" s="1047">
        <f t="shared" si="49"/>
        <v>2.0112000000000001</v>
      </c>
      <c r="Q756" s="1064"/>
      <c r="T756" s="1031"/>
    </row>
    <row r="757" spans="2:20">
      <c r="B757" s="1054"/>
      <c r="C757" s="1053" t="s">
        <v>585</v>
      </c>
      <c r="D757" s="1052"/>
      <c r="E757" s="1052" t="s">
        <v>431</v>
      </c>
      <c r="F757" s="1052"/>
      <c r="G757" s="1052"/>
      <c r="H757" s="1052">
        <f t="shared" si="47"/>
        <v>2.88</v>
      </c>
      <c r="I757" s="1051">
        <v>67.599999999999994</v>
      </c>
      <c r="J757" s="1050">
        <v>2.9</v>
      </c>
      <c r="K757" s="1049"/>
      <c r="L757" s="1049"/>
      <c r="M757" s="1049"/>
      <c r="N757" s="1048"/>
      <c r="O757" s="1047">
        <f t="shared" si="48"/>
        <v>23.472222222222221</v>
      </c>
      <c r="P757" s="1047">
        <f t="shared" si="49"/>
        <v>2.0116000000000001</v>
      </c>
      <c r="Q757" s="1064"/>
      <c r="T757" s="1031"/>
    </row>
    <row r="758" spans="2:20">
      <c r="B758" s="1054"/>
      <c r="C758" s="1053" t="s">
        <v>584</v>
      </c>
      <c r="D758" s="1052"/>
      <c r="E758" s="1052" t="s">
        <v>431</v>
      </c>
      <c r="F758" s="1052"/>
      <c r="G758" s="1052"/>
      <c r="H758" s="1052">
        <f t="shared" si="47"/>
        <v>2.88</v>
      </c>
      <c r="I758" s="1051">
        <v>70</v>
      </c>
      <c r="J758" s="1050">
        <v>3</v>
      </c>
      <c r="K758" s="1049"/>
      <c r="L758" s="1049"/>
      <c r="M758" s="1049"/>
      <c r="N758" s="1048"/>
      <c r="O758" s="1047">
        <f t="shared" si="48"/>
        <v>24.305555555555557</v>
      </c>
      <c r="P758" s="1047">
        <f t="shared" si="49"/>
        <v>2.012</v>
      </c>
      <c r="Q758" s="1064"/>
      <c r="T758" s="1031"/>
    </row>
    <row r="759" spans="2:20">
      <c r="B759" s="1054"/>
      <c r="C759" s="1053" t="s">
        <v>583</v>
      </c>
      <c r="D759" s="1052"/>
      <c r="E759" s="1052" t="s">
        <v>431</v>
      </c>
      <c r="F759" s="1052"/>
      <c r="G759" s="1052"/>
      <c r="H759" s="1052">
        <f t="shared" si="47"/>
        <v>2.88</v>
      </c>
      <c r="I759" s="1051">
        <v>74.7</v>
      </c>
      <c r="J759" s="1050">
        <v>3.2</v>
      </c>
      <c r="K759" s="1049"/>
      <c r="L759" s="1049"/>
      <c r="M759" s="1049"/>
      <c r="N759" s="1048"/>
      <c r="O759" s="1047">
        <f t="shared" si="48"/>
        <v>25.937500000000004</v>
      </c>
      <c r="P759" s="1047">
        <f t="shared" si="49"/>
        <v>2.0127999999999999</v>
      </c>
      <c r="Q759" s="1064"/>
      <c r="T759" s="1031"/>
    </row>
    <row r="760" spans="2:20">
      <c r="B760" s="1054"/>
      <c r="C760" s="1053" t="s">
        <v>582</v>
      </c>
      <c r="D760" s="1052"/>
      <c r="E760" s="1052" t="s">
        <v>431</v>
      </c>
      <c r="F760" s="1052"/>
      <c r="G760" s="1052"/>
      <c r="H760" s="1052">
        <f t="shared" si="47"/>
        <v>2.88</v>
      </c>
      <c r="I760" s="1051">
        <v>93.3</v>
      </c>
      <c r="J760" s="1050">
        <v>4</v>
      </c>
      <c r="K760" s="1049"/>
      <c r="L760" s="1049"/>
      <c r="M760" s="1049"/>
      <c r="N760" s="1048"/>
      <c r="O760" s="1047">
        <f t="shared" si="48"/>
        <v>32.395833333333336</v>
      </c>
      <c r="P760" s="1047">
        <f t="shared" si="49"/>
        <v>2.016</v>
      </c>
      <c r="Q760" s="1064"/>
      <c r="T760" s="1031"/>
    </row>
    <row r="761" spans="2:20">
      <c r="B761" s="1054"/>
      <c r="C761" s="1053" t="s">
        <v>581</v>
      </c>
      <c r="D761" s="1052"/>
      <c r="E761" s="1052" t="s">
        <v>431</v>
      </c>
      <c r="F761" s="1052"/>
      <c r="G761" s="1052"/>
      <c r="H761" s="1052">
        <f t="shared" si="47"/>
        <v>2.88</v>
      </c>
      <c r="I761" s="1051">
        <v>105</v>
      </c>
      <c r="J761" s="1050">
        <v>4.5</v>
      </c>
      <c r="K761" s="1049"/>
      <c r="L761" s="1049"/>
      <c r="M761" s="1049"/>
      <c r="N761" s="1048"/>
      <c r="O761" s="1047">
        <f t="shared" si="48"/>
        <v>36.458333333333336</v>
      </c>
      <c r="P761" s="1047">
        <f t="shared" si="49"/>
        <v>2.0179999999999998</v>
      </c>
      <c r="Q761" s="1064"/>
      <c r="T761" s="1031"/>
    </row>
    <row r="762" spans="2:20">
      <c r="B762" s="1054"/>
      <c r="C762" s="1053" t="s">
        <v>580</v>
      </c>
      <c r="D762" s="1052"/>
      <c r="E762" s="1052" t="s">
        <v>431</v>
      </c>
      <c r="F762" s="1052"/>
      <c r="G762" s="1052"/>
      <c r="H762" s="1052">
        <f t="shared" si="47"/>
        <v>2.88</v>
      </c>
      <c r="I762" s="1051">
        <v>117</v>
      </c>
      <c r="J762" s="1050">
        <v>5</v>
      </c>
      <c r="K762" s="1049"/>
      <c r="L762" s="1049"/>
      <c r="M762" s="1049"/>
      <c r="N762" s="1048"/>
      <c r="O762" s="1047">
        <f t="shared" si="48"/>
        <v>40.625</v>
      </c>
      <c r="P762" s="1047">
        <f t="shared" si="49"/>
        <v>2.02</v>
      </c>
      <c r="Q762" s="1064"/>
      <c r="T762" s="1031"/>
    </row>
    <row r="763" spans="2:20">
      <c r="B763" s="1054"/>
      <c r="C763" s="1053" t="s">
        <v>579</v>
      </c>
      <c r="D763" s="1052"/>
      <c r="E763" s="1052" t="s">
        <v>431</v>
      </c>
      <c r="F763" s="1052"/>
      <c r="G763" s="1052"/>
      <c r="H763" s="1052">
        <f t="shared" si="47"/>
        <v>2.88</v>
      </c>
      <c r="I763" s="1051">
        <v>140</v>
      </c>
      <c r="J763" s="1050">
        <v>6</v>
      </c>
      <c r="K763" s="1049"/>
      <c r="L763" s="1049"/>
      <c r="M763" s="1049"/>
      <c r="N763" s="1048"/>
      <c r="O763" s="1047">
        <f t="shared" si="48"/>
        <v>48.611111111111114</v>
      </c>
      <c r="P763" s="1047">
        <f t="shared" si="49"/>
        <v>2.024</v>
      </c>
      <c r="Q763" s="1064"/>
      <c r="T763" s="1031"/>
    </row>
    <row r="764" spans="2:20">
      <c r="B764" s="1054"/>
      <c r="C764" s="1053" t="s">
        <v>578</v>
      </c>
      <c r="D764" s="1052"/>
      <c r="E764" s="1052" t="s">
        <v>431</v>
      </c>
      <c r="F764" s="1052"/>
      <c r="G764" s="1052"/>
      <c r="H764" s="1052">
        <f t="shared" si="47"/>
        <v>2.88</v>
      </c>
      <c r="I764" s="1051">
        <v>187</v>
      </c>
      <c r="J764" s="1050">
        <v>8</v>
      </c>
      <c r="K764" s="1049"/>
      <c r="L764" s="1049"/>
      <c r="M764" s="1049"/>
      <c r="N764" s="1048"/>
      <c r="O764" s="1047">
        <f t="shared" si="48"/>
        <v>64.930555555555557</v>
      </c>
      <c r="P764" s="1047">
        <f t="shared" si="49"/>
        <v>2.032</v>
      </c>
      <c r="Q764" s="1064"/>
      <c r="T764" s="1031"/>
    </row>
    <row r="765" spans="2:20">
      <c r="B765" s="1054"/>
      <c r="C765" s="1053" t="s">
        <v>577</v>
      </c>
      <c r="D765" s="1052"/>
      <c r="E765" s="1052" t="s">
        <v>431</v>
      </c>
      <c r="F765" s="1052"/>
      <c r="G765" s="1052"/>
      <c r="H765" s="1052">
        <f t="shared" si="47"/>
        <v>2.88</v>
      </c>
      <c r="I765" s="1051">
        <v>210</v>
      </c>
      <c r="J765" s="1050">
        <v>9</v>
      </c>
      <c r="K765" s="1049"/>
      <c r="L765" s="1049"/>
      <c r="M765" s="1049"/>
      <c r="N765" s="1048"/>
      <c r="O765" s="1047">
        <f t="shared" si="48"/>
        <v>72.916666666666671</v>
      </c>
      <c r="P765" s="1047">
        <f t="shared" si="49"/>
        <v>2.036</v>
      </c>
      <c r="Q765" s="1064"/>
      <c r="T765" s="1031"/>
    </row>
    <row r="766" spans="2:20">
      <c r="B766" s="1054"/>
      <c r="C766" s="1053" t="s">
        <v>576</v>
      </c>
      <c r="D766" s="1052"/>
      <c r="E766" s="1052" t="s">
        <v>431</v>
      </c>
      <c r="F766" s="1052"/>
      <c r="G766" s="1052"/>
      <c r="H766" s="1052">
        <f t="shared" ref="H766:H787" si="50">4*8*0.3^2</f>
        <v>2.88</v>
      </c>
      <c r="I766" s="1051">
        <v>233.3</v>
      </c>
      <c r="J766" s="1050">
        <v>10</v>
      </c>
      <c r="K766" s="1049"/>
      <c r="L766" s="1049"/>
      <c r="M766" s="1049"/>
      <c r="N766" s="1048"/>
      <c r="O766" s="1047">
        <f t="shared" si="48"/>
        <v>81.006944444444457</v>
      </c>
      <c r="P766" s="1047">
        <f t="shared" si="49"/>
        <v>2.04</v>
      </c>
      <c r="Q766" s="1064"/>
      <c r="T766" s="1031"/>
    </row>
    <row r="767" spans="2:20">
      <c r="B767" s="1054"/>
      <c r="C767" s="1053" t="s">
        <v>575</v>
      </c>
      <c r="D767" s="1052"/>
      <c r="E767" s="1052" t="s">
        <v>431</v>
      </c>
      <c r="F767" s="1052"/>
      <c r="G767" s="1052"/>
      <c r="H767" s="1052">
        <f t="shared" si="50"/>
        <v>2.88</v>
      </c>
      <c r="I767" s="1051">
        <v>280</v>
      </c>
      <c r="J767" s="1050">
        <v>12</v>
      </c>
      <c r="K767" s="1049"/>
      <c r="L767" s="1049"/>
      <c r="M767" s="1049"/>
      <c r="N767" s="1048"/>
      <c r="O767" s="1047">
        <f t="shared" si="48"/>
        <v>97.222222222222229</v>
      </c>
      <c r="P767" s="1047">
        <f t="shared" si="49"/>
        <v>2.048</v>
      </c>
      <c r="Q767" s="1064"/>
      <c r="T767" s="1031"/>
    </row>
    <row r="768" spans="2:20">
      <c r="B768" s="1054"/>
      <c r="C768" s="1053" t="s">
        <v>574</v>
      </c>
      <c r="D768" s="1052"/>
      <c r="E768" s="1052" t="s">
        <v>431</v>
      </c>
      <c r="F768" s="1052"/>
      <c r="G768" s="1052"/>
      <c r="H768" s="1052">
        <f t="shared" si="50"/>
        <v>2.88</v>
      </c>
      <c r="I768" s="1051">
        <v>303</v>
      </c>
      <c r="J768" s="1050">
        <v>13</v>
      </c>
      <c r="K768" s="1049"/>
      <c r="L768" s="1049"/>
      <c r="M768" s="1049"/>
      <c r="N768" s="1048"/>
      <c r="O768" s="1047">
        <f t="shared" si="48"/>
        <v>105.20833333333334</v>
      </c>
      <c r="P768" s="1047">
        <f t="shared" si="49"/>
        <v>2.052</v>
      </c>
      <c r="Q768" s="1064"/>
      <c r="T768" s="1031"/>
    </row>
    <row r="769" spans="2:21">
      <c r="B769" s="1054"/>
      <c r="C769" s="1053" t="s">
        <v>573</v>
      </c>
      <c r="D769" s="1052"/>
      <c r="E769" s="1052" t="s">
        <v>431</v>
      </c>
      <c r="F769" s="1052"/>
      <c r="G769" s="1052"/>
      <c r="H769" s="1052">
        <f t="shared" si="50"/>
        <v>2.88</v>
      </c>
      <c r="I769" s="1051">
        <v>350</v>
      </c>
      <c r="J769" s="1050">
        <v>15</v>
      </c>
      <c r="K769" s="1049"/>
      <c r="L769" s="1049"/>
      <c r="M769" s="1049"/>
      <c r="N769" s="1048"/>
      <c r="O769" s="1047">
        <f t="shared" si="48"/>
        <v>121.52777777777779</v>
      </c>
      <c r="P769" s="1047">
        <f t="shared" si="49"/>
        <v>2.06</v>
      </c>
      <c r="Q769" s="1064"/>
      <c r="T769" s="1031"/>
    </row>
    <row r="770" spans="2:21" s="1032" customFormat="1" ht="13.5">
      <c r="B770" s="1043"/>
      <c r="C770" s="1042" t="s">
        <v>572</v>
      </c>
      <c r="D770" s="1041"/>
      <c r="E770" s="1041">
        <v>0</v>
      </c>
      <c r="F770" s="1041"/>
      <c r="G770" s="1041"/>
      <c r="H770" s="1041">
        <f t="shared" si="50"/>
        <v>2.88</v>
      </c>
      <c r="I770" s="1040">
        <f>+I769/J769*J770</f>
        <v>326.66666666666663</v>
      </c>
      <c r="J770" s="1039">
        <v>14</v>
      </c>
      <c r="K770" s="1038"/>
      <c r="L770" s="1038"/>
      <c r="M770" s="1038"/>
      <c r="N770" s="1037"/>
      <c r="O770" s="1036">
        <f t="shared" si="48"/>
        <v>113.42592592592592</v>
      </c>
      <c r="P770" s="1036">
        <f t="shared" si="49"/>
        <v>2.056</v>
      </c>
      <c r="Q770" s="1035" t="s">
        <v>558</v>
      </c>
      <c r="S770" s="1034"/>
      <c r="T770" s="1034"/>
      <c r="U770" s="1033"/>
    </row>
    <row r="771" spans="2:21">
      <c r="B771" s="1073"/>
      <c r="C771" s="1072" t="s">
        <v>571</v>
      </c>
      <c r="D771" s="1071"/>
      <c r="E771" s="1071" t="s">
        <v>431</v>
      </c>
      <c r="F771" s="1071"/>
      <c r="G771" s="1071"/>
      <c r="H771" s="1071">
        <f t="shared" si="50"/>
        <v>2.88</v>
      </c>
      <c r="I771" s="1070">
        <v>373</v>
      </c>
      <c r="J771" s="1069">
        <v>16</v>
      </c>
      <c r="K771" s="1068"/>
      <c r="L771" s="1068"/>
      <c r="M771" s="1068"/>
      <c r="N771" s="1067"/>
      <c r="O771" s="1066">
        <f t="shared" si="48"/>
        <v>129.51388888888889</v>
      </c>
      <c r="P771" s="1066">
        <f t="shared" si="49"/>
        <v>2.0640000000000001</v>
      </c>
      <c r="Q771" s="1065"/>
      <c r="T771" s="1031"/>
    </row>
    <row r="772" spans="2:21">
      <c r="B772" s="1054"/>
      <c r="C772" s="1053" t="s">
        <v>570</v>
      </c>
      <c r="D772" s="1052"/>
      <c r="E772" s="1052" t="s">
        <v>431</v>
      </c>
      <c r="F772" s="1052"/>
      <c r="G772" s="1052"/>
      <c r="H772" s="1052">
        <f t="shared" si="50"/>
        <v>2.88</v>
      </c>
      <c r="I772" s="1051">
        <v>420</v>
      </c>
      <c r="J772" s="1050">
        <v>18</v>
      </c>
      <c r="K772" s="1049"/>
      <c r="L772" s="1049"/>
      <c r="M772" s="1049"/>
      <c r="N772" s="1048"/>
      <c r="O772" s="1047">
        <f t="shared" si="48"/>
        <v>145.83333333333334</v>
      </c>
      <c r="P772" s="1047">
        <f t="shared" si="49"/>
        <v>2.0720000000000001</v>
      </c>
      <c r="Q772" s="1064"/>
      <c r="T772" s="1031"/>
    </row>
    <row r="773" spans="2:21">
      <c r="B773" s="1054"/>
      <c r="C773" s="1053" t="s">
        <v>569</v>
      </c>
      <c r="D773" s="1052"/>
      <c r="E773" s="1052" t="s">
        <v>431</v>
      </c>
      <c r="F773" s="1052"/>
      <c r="G773" s="1052"/>
      <c r="H773" s="1052">
        <f t="shared" si="50"/>
        <v>2.88</v>
      </c>
      <c r="I773" s="1051">
        <v>443</v>
      </c>
      <c r="J773" s="1050">
        <v>19</v>
      </c>
      <c r="K773" s="1049"/>
      <c r="L773" s="1049"/>
      <c r="M773" s="1049"/>
      <c r="N773" s="1048"/>
      <c r="O773" s="1047">
        <f t="shared" si="48"/>
        <v>153.81944444444446</v>
      </c>
      <c r="P773" s="1047">
        <f t="shared" si="49"/>
        <v>2.0760000000000001</v>
      </c>
      <c r="Q773" s="1064"/>
      <c r="T773" s="1031"/>
    </row>
    <row r="774" spans="2:21">
      <c r="B774" s="1054"/>
      <c r="C774" s="1053" t="s">
        <v>568</v>
      </c>
      <c r="D774" s="1052"/>
      <c r="E774" s="1052" t="s">
        <v>431</v>
      </c>
      <c r="F774" s="1052"/>
      <c r="G774" s="1052"/>
      <c r="H774" s="1052">
        <f t="shared" si="50"/>
        <v>2.88</v>
      </c>
      <c r="I774" s="1051">
        <v>466</v>
      </c>
      <c r="J774" s="1050">
        <v>20</v>
      </c>
      <c r="K774" s="1049"/>
      <c r="L774" s="1049"/>
      <c r="M774" s="1049"/>
      <c r="N774" s="1048"/>
      <c r="O774" s="1047">
        <f t="shared" si="48"/>
        <v>161.80555555555557</v>
      </c>
      <c r="P774" s="1047">
        <f t="shared" si="49"/>
        <v>2.08</v>
      </c>
      <c r="Q774" s="1064"/>
      <c r="T774" s="1031"/>
    </row>
    <row r="775" spans="2:21">
      <c r="B775" s="1054"/>
      <c r="C775" s="1053" t="s">
        <v>567</v>
      </c>
      <c r="D775" s="1052"/>
      <c r="E775" s="1052" t="s">
        <v>431</v>
      </c>
      <c r="F775" s="1052"/>
      <c r="G775" s="1052"/>
      <c r="H775" s="1052">
        <f t="shared" si="50"/>
        <v>2.88</v>
      </c>
      <c r="I775" s="1051">
        <v>490</v>
      </c>
      <c r="J775" s="1050">
        <v>21</v>
      </c>
      <c r="K775" s="1049"/>
      <c r="L775" s="1049"/>
      <c r="M775" s="1049"/>
      <c r="N775" s="1048"/>
      <c r="O775" s="1047">
        <f t="shared" si="48"/>
        <v>170.13888888888889</v>
      </c>
      <c r="P775" s="1047">
        <f t="shared" si="49"/>
        <v>2.0840000000000001</v>
      </c>
      <c r="Q775" s="1064"/>
      <c r="T775" s="1031"/>
    </row>
    <row r="776" spans="2:21">
      <c r="B776" s="1054"/>
      <c r="C776" s="1053" t="s">
        <v>566</v>
      </c>
      <c r="D776" s="1052"/>
      <c r="E776" s="1052" t="s">
        <v>431</v>
      </c>
      <c r="F776" s="1052"/>
      <c r="G776" s="1052"/>
      <c r="H776" s="1052">
        <f t="shared" si="50"/>
        <v>2.88</v>
      </c>
      <c r="I776" s="1051">
        <v>513</v>
      </c>
      <c r="J776" s="1050">
        <v>22</v>
      </c>
      <c r="K776" s="1049"/>
      <c r="L776" s="1049"/>
      <c r="M776" s="1049"/>
      <c r="N776" s="1048"/>
      <c r="O776" s="1047">
        <f t="shared" si="48"/>
        <v>178.125</v>
      </c>
      <c r="P776" s="1047">
        <f t="shared" si="49"/>
        <v>2.0880000000000001</v>
      </c>
      <c r="Q776" s="1064"/>
      <c r="T776" s="1031"/>
    </row>
    <row r="777" spans="2:21" s="1032" customFormat="1" ht="13.5">
      <c r="B777" s="1043"/>
      <c r="C777" s="1042" t="s">
        <v>565</v>
      </c>
      <c r="D777" s="1041"/>
      <c r="E777" s="1041">
        <v>0</v>
      </c>
      <c r="F777" s="1041"/>
      <c r="G777" s="1041"/>
      <c r="H777" s="1041">
        <f t="shared" si="50"/>
        <v>2.88</v>
      </c>
      <c r="I777" s="1040">
        <f>+I776/J776*J777</f>
        <v>559.63636363636363</v>
      </c>
      <c r="J777" s="1039">
        <v>24</v>
      </c>
      <c r="K777" s="1038"/>
      <c r="L777" s="1038"/>
      <c r="M777" s="1038"/>
      <c r="N777" s="1037"/>
      <c r="O777" s="1036">
        <f t="shared" si="48"/>
        <v>194.31818181818181</v>
      </c>
      <c r="P777" s="1036">
        <f t="shared" si="49"/>
        <v>2.0960000000000001</v>
      </c>
      <c r="Q777" s="1035" t="s">
        <v>558</v>
      </c>
      <c r="S777" s="1034"/>
      <c r="T777" s="1034"/>
      <c r="U777" s="1033"/>
    </row>
    <row r="778" spans="2:21">
      <c r="B778" s="1054"/>
      <c r="C778" s="1053" t="s">
        <v>564</v>
      </c>
      <c r="D778" s="1052"/>
      <c r="E778" s="1052" t="s">
        <v>431</v>
      </c>
      <c r="F778" s="1052"/>
      <c r="G778" s="1052"/>
      <c r="H778" s="1052">
        <f t="shared" si="50"/>
        <v>2.88</v>
      </c>
      <c r="I778" s="1051">
        <v>583</v>
      </c>
      <c r="J778" s="1050">
        <v>25</v>
      </c>
      <c r="K778" s="1049"/>
      <c r="L778" s="1049"/>
      <c r="M778" s="1049"/>
      <c r="N778" s="1048"/>
      <c r="O778" s="1047">
        <f t="shared" si="48"/>
        <v>202.43055555555557</v>
      </c>
      <c r="P778" s="1047">
        <f t="shared" si="49"/>
        <v>2.1</v>
      </c>
      <c r="Q778" s="1064"/>
      <c r="T778" s="1031"/>
    </row>
    <row r="779" spans="2:21">
      <c r="B779" s="1054"/>
      <c r="C779" s="1053" t="s">
        <v>563</v>
      </c>
      <c r="D779" s="1052"/>
      <c r="E779" s="1052" t="s">
        <v>431</v>
      </c>
      <c r="F779" s="1052"/>
      <c r="G779" s="1052"/>
      <c r="H779" s="1052">
        <f t="shared" si="50"/>
        <v>2.88</v>
      </c>
      <c r="I779" s="1051">
        <v>653</v>
      </c>
      <c r="J779" s="1050">
        <v>28</v>
      </c>
      <c r="K779" s="1049"/>
      <c r="L779" s="1049"/>
      <c r="M779" s="1049"/>
      <c r="N779" s="1048"/>
      <c r="O779" s="1047">
        <f t="shared" si="48"/>
        <v>226.73611111111111</v>
      </c>
      <c r="P779" s="1047">
        <f t="shared" si="49"/>
        <v>2.1120000000000001</v>
      </c>
      <c r="Q779" s="1064"/>
      <c r="T779" s="1031"/>
    </row>
    <row r="780" spans="2:21">
      <c r="B780" s="1054"/>
      <c r="C780" s="1053" t="s">
        <v>562</v>
      </c>
      <c r="D780" s="1052"/>
      <c r="E780" s="1052" t="s">
        <v>431</v>
      </c>
      <c r="F780" s="1052"/>
      <c r="G780" s="1052"/>
      <c r="H780" s="1052">
        <f t="shared" si="50"/>
        <v>2.88</v>
      </c>
      <c r="I780" s="1051">
        <v>699</v>
      </c>
      <c r="J780" s="1050">
        <v>30</v>
      </c>
      <c r="K780" s="1049"/>
      <c r="L780" s="1049"/>
      <c r="M780" s="1049"/>
      <c r="N780" s="1048"/>
      <c r="O780" s="1047">
        <f t="shared" si="48"/>
        <v>242.70833333333334</v>
      </c>
      <c r="P780" s="1047">
        <f t="shared" si="49"/>
        <v>2.12</v>
      </c>
      <c r="Q780" s="1064"/>
      <c r="T780" s="1031"/>
    </row>
    <row r="781" spans="2:21">
      <c r="B781" s="1054"/>
      <c r="C781" s="1053" t="s">
        <v>561</v>
      </c>
      <c r="D781" s="1052"/>
      <c r="E781" s="1052" t="s">
        <v>431</v>
      </c>
      <c r="F781" s="1052"/>
      <c r="G781" s="1052"/>
      <c r="H781" s="1052">
        <f t="shared" si="50"/>
        <v>2.88</v>
      </c>
      <c r="I781" s="1051">
        <v>747</v>
      </c>
      <c r="J781" s="1050">
        <v>32</v>
      </c>
      <c r="K781" s="1049"/>
      <c r="L781" s="1049"/>
      <c r="M781" s="1049"/>
      <c r="N781" s="1048"/>
      <c r="O781" s="1047">
        <f t="shared" si="48"/>
        <v>259.375</v>
      </c>
      <c r="P781" s="1047">
        <f t="shared" si="49"/>
        <v>2.1280000000000001</v>
      </c>
      <c r="Q781" s="1064"/>
      <c r="T781" s="1031"/>
    </row>
    <row r="782" spans="2:21">
      <c r="B782" s="1054"/>
      <c r="C782" s="1053" t="s">
        <v>560</v>
      </c>
      <c r="D782" s="1052"/>
      <c r="E782" s="1052" t="s">
        <v>431</v>
      </c>
      <c r="F782" s="1052"/>
      <c r="G782" s="1052"/>
      <c r="H782" s="1052">
        <f t="shared" si="50"/>
        <v>2.88</v>
      </c>
      <c r="I782" s="1051">
        <v>887</v>
      </c>
      <c r="J782" s="1050">
        <v>38</v>
      </c>
      <c r="K782" s="1049"/>
      <c r="L782" s="1049"/>
      <c r="M782" s="1049"/>
      <c r="N782" s="1048"/>
      <c r="O782" s="1047">
        <f t="shared" si="48"/>
        <v>307.98611111111114</v>
      </c>
      <c r="P782" s="1047">
        <f t="shared" si="49"/>
        <v>2.1520000000000001</v>
      </c>
      <c r="Q782" s="1064"/>
      <c r="T782" s="1031"/>
    </row>
    <row r="783" spans="2:21" s="1032" customFormat="1" ht="13.5">
      <c r="B783" s="1043"/>
      <c r="C783" s="1042" t="s">
        <v>559</v>
      </c>
      <c r="D783" s="1041"/>
      <c r="E783" s="1041">
        <v>0</v>
      </c>
      <c r="F783" s="1041"/>
      <c r="G783" s="1041"/>
      <c r="H783" s="1041">
        <f t="shared" si="50"/>
        <v>2.88</v>
      </c>
      <c r="I783" s="1040">
        <f>+I782/J782*J783</f>
        <v>933.68421052631572</v>
      </c>
      <c r="J783" s="1039">
        <v>40</v>
      </c>
      <c r="K783" s="1038"/>
      <c r="L783" s="1038"/>
      <c r="M783" s="1038"/>
      <c r="N783" s="1037"/>
      <c r="O783" s="1036">
        <f t="shared" si="48"/>
        <v>324.19590643274853</v>
      </c>
      <c r="P783" s="1036">
        <f t="shared" si="49"/>
        <v>2.16</v>
      </c>
      <c r="Q783" s="1035" t="s">
        <v>558</v>
      </c>
      <c r="S783" s="1034"/>
      <c r="T783" s="1034"/>
      <c r="U783" s="1033"/>
    </row>
    <row r="784" spans="2:21">
      <c r="B784" s="1054"/>
      <c r="C784" s="1053" t="s">
        <v>557</v>
      </c>
      <c r="D784" s="1052"/>
      <c r="E784" s="1052" t="s">
        <v>431</v>
      </c>
      <c r="F784" s="1052"/>
      <c r="G784" s="1052"/>
      <c r="H784" s="1052">
        <f t="shared" si="50"/>
        <v>2.88</v>
      </c>
      <c r="I784" s="1051">
        <v>1167</v>
      </c>
      <c r="J784" s="1050">
        <v>50</v>
      </c>
      <c r="K784" s="1049"/>
      <c r="L784" s="1049"/>
      <c r="M784" s="1049"/>
      <c r="N784" s="1048"/>
      <c r="O784" s="1047">
        <f t="shared" ref="O784:O815" si="51">I784/H784</f>
        <v>405.20833333333337</v>
      </c>
      <c r="P784" s="1047">
        <f t="shared" si="49"/>
        <v>2.2000000000000002</v>
      </c>
      <c r="Q784" s="1064"/>
      <c r="T784" s="1031"/>
    </row>
    <row r="785" spans="2:20">
      <c r="B785" s="1054"/>
      <c r="C785" s="1053" t="s">
        <v>556</v>
      </c>
      <c r="D785" s="1052"/>
      <c r="E785" s="1052" t="s">
        <v>431</v>
      </c>
      <c r="F785" s="1052"/>
      <c r="G785" s="1052"/>
      <c r="H785" s="1052">
        <f t="shared" si="50"/>
        <v>2.88</v>
      </c>
      <c r="I785" s="1051">
        <v>1516</v>
      </c>
      <c r="J785" s="1050">
        <v>65</v>
      </c>
      <c r="K785" s="1049"/>
      <c r="L785" s="1049"/>
      <c r="M785" s="1049"/>
      <c r="N785" s="1048"/>
      <c r="O785" s="1047">
        <f t="shared" si="51"/>
        <v>526.38888888888891</v>
      </c>
      <c r="P785" s="1047">
        <f t="shared" ref="P785:P816" si="52">2+4*J785/1000</f>
        <v>2.2599999999999998</v>
      </c>
      <c r="Q785" s="1064"/>
      <c r="T785" s="1031"/>
    </row>
    <row r="786" spans="2:20">
      <c r="B786" s="1054"/>
      <c r="C786" s="1053" t="s">
        <v>555</v>
      </c>
      <c r="D786" s="1052"/>
      <c r="E786" s="1052" t="s">
        <v>431</v>
      </c>
      <c r="F786" s="1052"/>
      <c r="G786" s="1052"/>
      <c r="H786" s="1052">
        <f t="shared" si="50"/>
        <v>2.88</v>
      </c>
      <c r="I786" s="1051">
        <v>1750</v>
      </c>
      <c r="J786" s="1050">
        <v>75</v>
      </c>
      <c r="K786" s="1049"/>
      <c r="L786" s="1049"/>
      <c r="M786" s="1049"/>
      <c r="N786" s="1048"/>
      <c r="O786" s="1047">
        <f t="shared" si="51"/>
        <v>607.63888888888891</v>
      </c>
      <c r="P786" s="1047">
        <f t="shared" si="52"/>
        <v>2.2999999999999998</v>
      </c>
      <c r="Q786" s="1064"/>
      <c r="T786" s="1031"/>
    </row>
    <row r="787" spans="2:20">
      <c r="B787" s="1054"/>
      <c r="C787" s="1053" t="s">
        <v>554</v>
      </c>
      <c r="D787" s="1052"/>
      <c r="E787" s="1052" t="s">
        <v>431</v>
      </c>
      <c r="F787" s="1052"/>
      <c r="G787" s="1052"/>
      <c r="H787" s="1052">
        <f t="shared" si="50"/>
        <v>2.88</v>
      </c>
      <c r="I787" s="1051">
        <v>2333</v>
      </c>
      <c r="J787" s="1050">
        <v>100</v>
      </c>
      <c r="K787" s="1049"/>
      <c r="L787" s="1049"/>
      <c r="M787" s="1049"/>
      <c r="N787" s="1048"/>
      <c r="O787" s="1047">
        <f t="shared" si="51"/>
        <v>810.06944444444446</v>
      </c>
      <c r="P787" s="1047">
        <f t="shared" si="52"/>
        <v>2.4</v>
      </c>
      <c r="Q787" s="1064"/>
      <c r="T787" s="1031"/>
    </row>
    <row r="788" spans="2:20">
      <c r="B788" s="1054" t="s">
        <v>526</v>
      </c>
      <c r="C788" s="1053" t="s">
        <v>553</v>
      </c>
      <c r="D788" s="1052"/>
      <c r="E788" s="1052" t="s">
        <v>431</v>
      </c>
      <c r="F788" s="1052"/>
      <c r="G788" s="1052"/>
      <c r="H788" s="1052">
        <f t="shared" ref="H788:H800" si="53">5*20*0.3^2</f>
        <v>9</v>
      </c>
      <c r="I788" s="1051">
        <v>328</v>
      </c>
      <c r="J788" s="1050">
        <v>4.5</v>
      </c>
      <c r="K788" s="1049"/>
      <c r="L788" s="1049"/>
      <c r="M788" s="1049"/>
      <c r="N788" s="1048"/>
      <c r="O788" s="1047">
        <f t="shared" si="51"/>
        <v>36.444444444444443</v>
      </c>
      <c r="P788" s="1047">
        <f t="shared" si="52"/>
        <v>2.0179999999999998</v>
      </c>
      <c r="Q788" s="1064"/>
      <c r="T788" s="1031"/>
    </row>
    <row r="789" spans="2:20">
      <c r="B789" s="1054"/>
      <c r="C789" s="1053" t="s">
        <v>552</v>
      </c>
      <c r="D789" s="1052"/>
      <c r="E789" s="1052" t="s">
        <v>431</v>
      </c>
      <c r="F789" s="1052"/>
      <c r="G789" s="1052"/>
      <c r="H789" s="1052">
        <f t="shared" si="53"/>
        <v>9</v>
      </c>
      <c r="I789" s="1051">
        <v>438</v>
      </c>
      <c r="J789" s="1050">
        <v>6</v>
      </c>
      <c r="K789" s="1049"/>
      <c r="L789" s="1049"/>
      <c r="M789" s="1049"/>
      <c r="N789" s="1048"/>
      <c r="O789" s="1047">
        <f t="shared" si="51"/>
        <v>48.666666666666664</v>
      </c>
      <c r="P789" s="1047">
        <f t="shared" si="52"/>
        <v>2.024</v>
      </c>
      <c r="Q789" s="1064"/>
      <c r="T789" s="1031"/>
    </row>
    <row r="790" spans="2:20">
      <c r="B790" s="1054"/>
      <c r="C790" s="1053" t="s">
        <v>551</v>
      </c>
      <c r="D790" s="1052"/>
      <c r="E790" s="1052" t="s">
        <v>431</v>
      </c>
      <c r="F790" s="1052"/>
      <c r="G790" s="1052"/>
      <c r="H790" s="1052">
        <f t="shared" si="53"/>
        <v>9</v>
      </c>
      <c r="I790" s="1051">
        <v>583</v>
      </c>
      <c r="J790" s="1050">
        <v>8</v>
      </c>
      <c r="K790" s="1049"/>
      <c r="L790" s="1049"/>
      <c r="M790" s="1049"/>
      <c r="N790" s="1048"/>
      <c r="O790" s="1047">
        <f t="shared" si="51"/>
        <v>64.777777777777771</v>
      </c>
      <c r="P790" s="1047">
        <f t="shared" si="52"/>
        <v>2.032</v>
      </c>
      <c r="Q790" s="1064"/>
      <c r="T790" s="1031"/>
    </row>
    <row r="791" spans="2:20">
      <c r="B791" s="1054"/>
      <c r="C791" s="1053" t="s">
        <v>550</v>
      </c>
      <c r="D791" s="1052"/>
      <c r="E791" s="1052" t="s">
        <v>431</v>
      </c>
      <c r="F791" s="1052"/>
      <c r="G791" s="1052"/>
      <c r="H791" s="1052">
        <f t="shared" si="53"/>
        <v>9</v>
      </c>
      <c r="I791" s="1051">
        <v>656</v>
      </c>
      <c r="J791" s="1050">
        <v>9</v>
      </c>
      <c r="K791" s="1049"/>
      <c r="L791" s="1049"/>
      <c r="M791" s="1049"/>
      <c r="N791" s="1048"/>
      <c r="O791" s="1047">
        <f t="shared" si="51"/>
        <v>72.888888888888886</v>
      </c>
      <c r="P791" s="1047">
        <f t="shared" si="52"/>
        <v>2.036</v>
      </c>
      <c r="Q791" s="1064"/>
      <c r="T791" s="1031"/>
    </row>
    <row r="792" spans="2:20">
      <c r="B792" s="1054"/>
      <c r="C792" s="1053" t="s">
        <v>549</v>
      </c>
      <c r="D792" s="1052"/>
      <c r="E792" s="1052" t="s">
        <v>431</v>
      </c>
      <c r="F792" s="1052"/>
      <c r="G792" s="1052"/>
      <c r="H792" s="1052">
        <f t="shared" si="53"/>
        <v>9</v>
      </c>
      <c r="I792" s="1051">
        <v>729</v>
      </c>
      <c r="J792" s="1050">
        <v>10</v>
      </c>
      <c r="K792" s="1049"/>
      <c r="L792" s="1049"/>
      <c r="M792" s="1049"/>
      <c r="N792" s="1048"/>
      <c r="O792" s="1047">
        <f t="shared" si="51"/>
        <v>81</v>
      </c>
      <c r="P792" s="1047">
        <f t="shared" si="52"/>
        <v>2.04</v>
      </c>
      <c r="Q792" s="1064"/>
      <c r="T792" s="1031"/>
    </row>
    <row r="793" spans="2:20">
      <c r="B793" s="1054"/>
      <c r="C793" s="1053" t="s">
        <v>548</v>
      </c>
      <c r="D793" s="1052"/>
      <c r="E793" s="1052" t="s">
        <v>431</v>
      </c>
      <c r="F793" s="1052"/>
      <c r="G793" s="1052"/>
      <c r="H793" s="1052">
        <f t="shared" si="53"/>
        <v>9</v>
      </c>
      <c r="I793" s="1051">
        <v>875</v>
      </c>
      <c r="J793" s="1050">
        <v>12</v>
      </c>
      <c r="K793" s="1049"/>
      <c r="L793" s="1049"/>
      <c r="M793" s="1049"/>
      <c r="N793" s="1048"/>
      <c r="O793" s="1047">
        <f t="shared" si="51"/>
        <v>97.222222222222229</v>
      </c>
      <c r="P793" s="1047">
        <f t="shared" si="52"/>
        <v>2.048</v>
      </c>
      <c r="Q793" s="1064"/>
      <c r="T793" s="1031"/>
    </row>
    <row r="794" spans="2:20">
      <c r="B794" s="1054"/>
      <c r="C794" s="1053" t="s">
        <v>547</v>
      </c>
      <c r="D794" s="1052"/>
      <c r="E794" s="1052" t="s">
        <v>431</v>
      </c>
      <c r="F794" s="1052"/>
      <c r="G794" s="1052"/>
      <c r="H794" s="1052">
        <f t="shared" si="53"/>
        <v>9</v>
      </c>
      <c r="I794" s="1051">
        <v>1021</v>
      </c>
      <c r="J794" s="1050">
        <v>14</v>
      </c>
      <c r="K794" s="1049"/>
      <c r="L794" s="1049"/>
      <c r="M794" s="1049"/>
      <c r="N794" s="1048"/>
      <c r="O794" s="1047">
        <f t="shared" si="51"/>
        <v>113.44444444444444</v>
      </c>
      <c r="P794" s="1047">
        <f t="shared" si="52"/>
        <v>2.056</v>
      </c>
      <c r="Q794" s="1064"/>
      <c r="T794" s="1031"/>
    </row>
    <row r="795" spans="2:20">
      <c r="B795" s="1054"/>
      <c r="C795" s="1053" t="s">
        <v>546</v>
      </c>
      <c r="D795" s="1052"/>
      <c r="E795" s="1052" t="s">
        <v>431</v>
      </c>
      <c r="F795" s="1052"/>
      <c r="G795" s="1052"/>
      <c r="H795" s="1052">
        <f t="shared" si="53"/>
        <v>9</v>
      </c>
      <c r="I795" s="1051">
        <v>1094</v>
      </c>
      <c r="J795" s="1050">
        <v>15</v>
      </c>
      <c r="K795" s="1049"/>
      <c r="L795" s="1049"/>
      <c r="M795" s="1049"/>
      <c r="N795" s="1048"/>
      <c r="O795" s="1047">
        <f t="shared" si="51"/>
        <v>121.55555555555556</v>
      </c>
      <c r="P795" s="1047">
        <f t="shared" si="52"/>
        <v>2.06</v>
      </c>
      <c r="Q795" s="1064"/>
      <c r="T795" s="1031"/>
    </row>
    <row r="796" spans="2:20">
      <c r="B796" s="1054"/>
      <c r="C796" s="1053" t="s">
        <v>545</v>
      </c>
      <c r="D796" s="1052"/>
      <c r="E796" s="1052" t="s">
        <v>431</v>
      </c>
      <c r="F796" s="1052"/>
      <c r="G796" s="1052"/>
      <c r="H796" s="1052">
        <f t="shared" si="53"/>
        <v>9</v>
      </c>
      <c r="I796" s="1051">
        <v>1167</v>
      </c>
      <c r="J796" s="1050">
        <v>16</v>
      </c>
      <c r="K796" s="1049"/>
      <c r="L796" s="1049"/>
      <c r="M796" s="1049"/>
      <c r="N796" s="1048"/>
      <c r="O796" s="1047">
        <f t="shared" si="51"/>
        <v>129.66666666666666</v>
      </c>
      <c r="P796" s="1047">
        <f t="shared" si="52"/>
        <v>2.0640000000000001</v>
      </c>
      <c r="Q796" s="1064"/>
      <c r="T796" s="1031"/>
    </row>
    <row r="797" spans="2:20">
      <c r="B797" s="1054"/>
      <c r="C797" s="1053" t="s">
        <v>544</v>
      </c>
      <c r="D797" s="1052"/>
      <c r="E797" s="1052" t="s">
        <v>431</v>
      </c>
      <c r="F797" s="1052"/>
      <c r="G797" s="1052"/>
      <c r="H797" s="1052">
        <f t="shared" si="53"/>
        <v>9</v>
      </c>
      <c r="I797" s="1051">
        <v>1313</v>
      </c>
      <c r="J797" s="1050">
        <v>18</v>
      </c>
      <c r="K797" s="1049"/>
      <c r="L797" s="1049"/>
      <c r="M797" s="1049"/>
      <c r="N797" s="1048"/>
      <c r="O797" s="1047">
        <f t="shared" si="51"/>
        <v>145.88888888888889</v>
      </c>
      <c r="P797" s="1047">
        <f t="shared" si="52"/>
        <v>2.0720000000000001</v>
      </c>
      <c r="Q797" s="1064"/>
      <c r="T797" s="1031"/>
    </row>
    <row r="798" spans="2:20">
      <c r="B798" s="1054"/>
      <c r="C798" s="1053" t="s">
        <v>543</v>
      </c>
      <c r="D798" s="1052"/>
      <c r="E798" s="1052" t="s">
        <v>431</v>
      </c>
      <c r="F798" s="1052"/>
      <c r="G798" s="1052"/>
      <c r="H798" s="1052">
        <f t="shared" si="53"/>
        <v>9</v>
      </c>
      <c r="I798" s="1051">
        <v>1386</v>
      </c>
      <c r="J798" s="1050">
        <v>19</v>
      </c>
      <c r="K798" s="1049"/>
      <c r="L798" s="1049"/>
      <c r="M798" s="1049"/>
      <c r="N798" s="1048"/>
      <c r="O798" s="1047">
        <f t="shared" si="51"/>
        <v>154</v>
      </c>
      <c r="P798" s="1047">
        <f t="shared" si="52"/>
        <v>2.0760000000000001</v>
      </c>
      <c r="Q798" s="1064"/>
      <c r="T798" s="1031"/>
    </row>
    <row r="799" spans="2:20">
      <c r="B799" s="1054"/>
      <c r="C799" s="1053" t="s">
        <v>542</v>
      </c>
      <c r="D799" s="1052"/>
      <c r="E799" s="1052" t="s">
        <v>431</v>
      </c>
      <c r="F799" s="1052"/>
      <c r="G799" s="1052"/>
      <c r="H799" s="1052">
        <f t="shared" si="53"/>
        <v>9</v>
      </c>
      <c r="I799" s="1051">
        <v>1531</v>
      </c>
      <c r="J799" s="1050">
        <v>21</v>
      </c>
      <c r="K799" s="1049"/>
      <c r="L799" s="1049"/>
      <c r="M799" s="1049"/>
      <c r="N799" s="1048"/>
      <c r="O799" s="1047">
        <f t="shared" si="51"/>
        <v>170.11111111111111</v>
      </c>
      <c r="P799" s="1047">
        <f t="shared" si="52"/>
        <v>2.0840000000000001</v>
      </c>
      <c r="Q799" s="1064"/>
      <c r="T799" s="1031"/>
    </row>
    <row r="800" spans="2:20">
      <c r="B800" s="1054"/>
      <c r="C800" s="1053" t="s">
        <v>541</v>
      </c>
      <c r="D800" s="1052"/>
      <c r="E800" s="1052" t="s">
        <v>431</v>
      </c>
      <c r="F800" s="1052"/>
      <c r="G800" s="1052"/>
      <c r="H800" s="1052">
        <f t="shared" si="53"/>
        <v>9</v>
      </c>
      <c r="I800" s="1051">
        <v>1823</v>
      </c>
      <c r="J800" s="1050">
        <v>25</v>
      </c>
      <c r="K800" s="1049"/>
      <c r="L800" s="1049"/>
      <c r="M800" s="1049"/>
      <c r="N800" s="1048"/>
      <c r="O800" s="1047">
        <f t="shared" si="51"/>
        <v>202.55555555555554</v>
      </c>
      <c r="P800" s="1047">
        <f t="shared" si="52"/>
        <v>2.1</v>
      </c>
      <c r="Q800" s="1064"/>
      <c r="T800" s="1031"/>
    </row>
    <row r="801" spans="2:20">
      <c r="B801" s="1054" t="s">
        <v>540</v>
      </c>
      <c r="C801" s="1053" t="s">
        <v>539</v>
      </c>
      <c r="D801" s="1052"/>
      <c r="E801" s="1052" t="s">
        <v>431</v>
      </c>
      <c r="F801" s="1052"/>
      <c r="G801" s="1052"/>
      <c r="H801" s="1052">
        <f t="shared" ref="H801:H813" si="54">6*20*0.3^2</f>
        <v>10.799999999999999</v>
      </c>
      <c r="I801" s="1051">
        <v>394</v>
      </c>
      <c r="J801" s="1050">
        <v>4.5</v>
      </c>
      <c r="K801" s="1049"/>
      <c r="L801" s="1049"/>
      <c r="M801" s="1049"/>
      <c r="N801" s="1048"/>
      <c r="O801" s="1047">
        <f t="shared" si="51"/>
        <v>36.481481481481488</v>
      </c>
      <c r="P801" s="1047">
        <f t="shared" si="52"/>
        <v>2.0179999999999998</v>
      </c>
      <c r="Q801" s="1064"/>
      <c r="T801" s="1031"/>
    </row>
    <row r="802" spans="2:20">
      <c r="B802" s="1054"/>
      <c r="C802" s="1053" t="s">
        <v>538</v>
      </c>
      <c r="D802" s="1052"/>
      <c r="E802" s="1052" t="s">
        <v>431</v>
      </c>
      <c r="F802" s="1052"/>
      <c r="G802" s="1052"/>
      <c r="H802" s="1052">
        <f t="shared" si="54"/>
        <v>10.799999999999999</v>
      </c>
      <c r="I802" s="1051">
        <v>525</v>
      </c>
      <c r="J802" s="1050">
        <v>6</v>
      </c>
      <c r="K802" s="1049"/>
      <c r="L802" s="1049"/>
      <c r="M802" s="1049"/>
      <c r="N802" s="1048"/>
      <c r="O802" s="1047">
        <f t="shared" si="51"/>
        <v>48.611111111111114</v>
      </c>
      <c r="P802" s="1047">
        <f t="shared" si="52"/>
        <v>2.024</v>
      </c>
      <c r="Q802" s="1064"/>
      <c r="T802" s="1031"/>
    </row>
    <row r="803" spans="2:20">
      <c r="B803" s="1054"/>
      <c r="C803" s="1053" t="s">
        <v>537</v>
      </c>
      <c r="D803" s="1052"/>
      <c r="E803" s="1052" t="s">
        <v>431</v>
      </c>
      <c r="F803" s="1052"/>
      <c r="G803" s="1052"/>
      <c r="H803" s="1052">
        <f t="shared" si="54"/>
        <v>10.799999999999999</v>
      </c>
      <c r="I803" s="1051">
        <v>709</v>
      </c>
      <c r="J803" s="1050">
        <v>8</v>
      </c>
      <c r="K803" s="1049"/>
      <c r="L803" s="1049"/>
      <c r="M803" s="1049"/>
      <c r="N803" s="1048"/>
      <c r="O803" s="1047">
        <f t="shared" si="51"/>
        <v>65.648148148148152</v>
      </c>
      <c r="P803" s="1047">
        <f t="shared" si="52"/>
        <v>2.032</v>
      </c>
      <c r="Q803" s="1064"/>
      <c r="T803" s="1031"/>
    </row>
    <row r="804" spans="2:20">
      <c r="B804" s="1054"/>
      <c r="C804" s="1053" t="s">
        <v>536</v>
      </c>
      <c r="D804" s="1052"/>
      <c r="E804" s="1052" t="s">
        <v>431</v>
      </c>
      <c r="F804" s="1052"/>
      <c r="G804" s="1052"/>
      <c r="H804" s="1052">
        <f t="shared" si="54"/>
        <v>10.799999999999999</v>
      </c>
      <c r="I804" s="1051">
        <v>788</v>
      </c>
      <c r="J804" s="1050">
        <v>9</v>
      </c>
      <c r="K804" s="1049"/>
      <c r="L804" s="1049"/>
      <c r="M804" s="1049"/>
      <c r="N804" s="1048"/>
      <c r="O804" s="1047">
        <f t="shared" si="51"/>
        <v>72.962962962962976</v>
      </c>
      <c r="P804" s="1047">
        <f t="shared" si="52"/>
        <v>2.036</v>
      </c>
      <c r="Q804" s="1064"/>
      <c r="T804" s="1031"/>
    </row>
    <row r="805" spans="2:20">
      <c r="B805" s="1054"/>
      <c r="C805" s="1053" t="s">
        <v>535</v>
      </c>
      <c r="D805" s="1052"/>
      <c r="E805" s="1052" t="s">
        <v>431</v>
      </c>
      <c r="F805" s="1052"/>
      <c r="G805" s="1052"/>
      <c r="H805" s="1052">
        <f t="shared" si="54"/>
        <v>10.799999999999999</v>
      </c>
      <c r="I805" s="1051">
        <v>875</v>
      </c>
      <c r="J805" s="1050">
        <v>10</v>
      </c>
      <c r="K805" s="1049"/>
      <c r="L805" s="1049"/>
      <c r="M805" s="1049"/>
      <c r="N805" s="1048"/>
      <c r="O805" s="1047">
        <f t="shared" si="51"/>
        <v>81.018518518518533</v>
      </c>
      <c r="P805" s="1047">
        <f t="shared" si="52"/>
        <v>2.04</v>
      </c>
      <c r="Q805" s="1064"/>
      <c r="T805" s="1031"/>
    </row>
    <row r="806" spans="2:20">
      <c r="B806" s="1054"/>
      <c r="C806" s="1053" t="s">
        <v>534</v>
      </c>
      <c r="D806" s="1052"/>
      <c r="E806" s="1052" t="s">
        <v>431</v>
      </c>
      <c r="F806" s="1052"/>
      <c r="G806" s="1052"/>
      <c r="H806" s="1052">
        <f t="shared" si="54"/>
        <v>10.799999999999999</v>
      </c>
      <c r="I806" s="1051">
        <v>1050</v>
      </c>
      <c r="J806" s="1050">
        <v>12</v>
      </c>
      <c r="K806" s="1049"/>
      <c r="L806" s="1049"/>
      <c r="M806" s="1049"/>
      <c r="N806" s="1048"/>
      <c r="O806" s="1047">
        <f t="shared" si="51"/>
        <v>97.222222222222229</v>
      </c>
      <c r="P806" s="1047">
        <f t="shared" si="52"/>
        <v>2.048</v>
      </c>
      <c r="Q806" s="1064"/>
      <c r="T806" s="1031"/>
    </row>
    <row r="807" spans="2:20">
      <c r="B807" s="1054"/>
      <c r="C807" s="1053" t="s">
        <v>533</v>
      </c>
      <c r="D807" s="1052"/>
      <c r="E807" s="1052" t="s">
        <v>431</v>
      </c>
      <c r="F807" s="1052"/>
      <c r="G807" s="1052"/>
      <c r="H807" s="1052">
        <f t="shared" si="54"/>
        <v>10.799999999999999</v>
      </c>
      <c r="I807" s="1051">
        <v>1225</v>
      </c>
      <c r="J807" s="1050">
        <v>14</v>
      </c>
      <c r="K807" s="1049"/>
      <c r="L807" s="1049"/>
      <c r="M807" s="1049"/>
      <c r="N807" s="1048"/>
      <c r="O807" s="1047">
        <f t="shared" si="51"/>
        <v>113.42592592592594</v>
      </c>
      <c r="P807" s="1047">
        <f t="shared" si="52"/>
        <v>2.056</v>
      </c>
      <c r="Q807" s="1064"/>
      <c r="T807" s="1031"/>
    </row>
    <row r="808" spans="2:20">
      <c r="B808" s="1054"/>
      <c r="C808" s="1053" t="s">
        <v>532</v>
      </c>
      <c r="D808" s="1052"/>
      <c r="E808" s="1052" t="s">
        <v>431</v>
      </c>
      <c r="F808" s="1052"/>
      <c r="G808" s="1052"/>
      <c r="H808" s="1052">
        <f t="shared" si="54"/>
        <v>10.799999999999999</v>
      </c>
      <c r="I808" s="1051">
        <v>1313</v>
      </c>
      <c r="J808" s="1050">
        <v>15</v>
      </c>
      <c r="K808" s="1049"/>
      <c r="L808" s="1049"/>
      <c r="M808" s="1049"/>
      <c r="N808" s="1048"/>
      <c r="O808" s="1047">
        <f t="shared" si="51"/>
        <v>121.57407407407409</v>
      </c>
      <c r="P808" s="1047">
        <f t="shared" si="52"/>
        <v>2.06</v>
      </c>
      <c r="Q808" s="1064"/>
      <c r="T808" s="1031"/>
    </row>
    <row r="809" spans="2:20">
      <c r="B809" s="1054"/>
      <c r="C809" s="1053" t="s">
        <v>531</v>
      </c>
      <c r="D809" s="1052"/>
      <c r="E809" s="1052" t="s">
        <v>431</v>
      </c>
      <c r="F809" s="1052"/>
      <c r="G809" s="1052"/>
      <c r="H809" s="1052">
        <f t="shared" si="54"/>
        <v>10.799999999999999</v>
      </c>
      <c r="I809" s="1051">
        <v>1400</v>
      </c>
      <c r="J809" s="1050">
        <v>16</v>
      </c>
      <c r="K809" s="1049"/>
      <c r="L809" s="1049"/>
      <c r="M809" s="1049"/>
      <c r="N809" s="1048"/>
      <c r="O809" s="1047">
        <f t="shared" si="51"/>
        <v>129.62962962962965</v>
      </c>
      <c r="P809" s="1047">
        <f t="shared" si="52"/>
        <v>2.0640000000000001</v>
      </c>
      <c r="Q809" s="1064"/>
      <c r="T809" s="1031"/>
    </row>
    <row r="810" spans="2:20">
      <c r="B810" s="1054"/>
      <c r="C810" s="1053" t="s">
        <v>530</v>
      </c>
      <c r="D810" s="1052"/>
      <c r="E810" s="1052" t="s">
        <v>431</v>
      </c>
      <c r="F810" s="1052"/>
      <c r="G810" s="1052"/>
      <c r="H810" s="1052">
        <f t="shared" si="54"/>
        <v>10.799999999999999</v>
      </c>
      <c r="I810" s="1051">
        <v>1575</v>
      </c>
      <c r="J810" s="1050">
        <v>18</v>
      </c>
      <c r="K810" s="1049"/>
      <c r="L810" s="1049"/>
      <c r="M810" s="1049"/>
      <c r="N810" s="1048"/>
      <c r="O810" s="1047">
        <f t="shared" si="51"/>
        <v>145.83333333333334</v>
      </c>
      <c r="P810" s="1047">
        <f t="shared" si="52"/>
        <v>2.0720000000000001</v>
      </c>
      <c r="Q810" s="1064"/>
      <c r="T810" s="1031"/>
    </row>
    <row r="811" spans="2:20">
      <c r="B811" s="1054"/>
      <c r="C811" s="1053" t="s">
        <v>529</v>
      </c>
      <c r="D811" s="1052"/>
      <c r="E811" s="1052" t="s">
        <v>431</v>
      </c>
      <c r="F811" s="1052"/>
      <c r="G811" s="1052"/>
      <c r="H811" s="1052">
        <f t="shared" si="54"/>
        <v>10.799999999999999</v>
      </c>
      <c r="I811" s="1051">
        <v>1664</v>
      </c>
      <c r="J811" s="1050">
        <v>19</v>
      </c>
      <c r="K811" s="1049"/>
      <c r="L811" s="1049"/>
      <c r="M811" s="1049"/>
      <c r="N811" s="1048"/>
      <c r="O811" s="1047">
        <f t="shared" si="51"/>
        <v>154.07407407407408</v>
      </c>
      <c r="P811" s="1047">
        <f t="shared" si="52"/>
        <v>2.0760000000000001</v>
      </c>
      <c r="Q811" s="1064"/>
      <c r="T811" s="1031"/>
    </row>
    <row r="812" spans="2:20">
      <c r="B812" s="1054"/>
      <c r="C812" s="1053" t="s">
        <v>528</v>
      </c>
      <c r="D812" s="1052"/>
      <c r="E812" s="1052" t="s">
        <v>431</v>
      </c>
      <c r="F812" s="1052"/>
      <c r="G812" s="1052"/>
      <c r="H812" s="1052">
        <f t="shared" si="54"/>
        <v>10.799999999999999</v>
      </c>
      <c r="I812" s="1051">
        <v>1838</v>
      </c>
      <c r="J812" s="1050">
        <v>21</v>
      </c>
      <c r="K812" s="1049"/>
      <c r="L812" s="1049"/>
      <c r="M812" s="1049"/>
      <c r="N812" s="1048"/>
      <c r="O812" s="1047">
        <f t="shared" si="51"/>
        <v>170.18518518518519</v>
      </c>
      <c r="P812" s="1047">
        <f t="shared" si="52"/>
        <v>2.0840000000000001</v>
      </c>
      <c r="Q812" s="1064"/>
      <c r="T812" s="1031"/>
    </row>
    <row r="813" spans="2:20">
      <c r="B813" s="1054"/>
      <c r="C813" s="1053" t="s">
        <v>527</v>
      </c>
      <c r="D813" s="1052"/>
      <c r="E813" s="1052" t="s">
        <v>431</v>
      </c>
      <c r="F813" s="1052"/>
      <c r="G813" s="1052"/>
      <c r="H813" s="1052">
        <f t="shared" si="54"/>
        <v>10.799999999999999</v>
      </c>
      <c r="I813" s="1051">
        <v>2188</v>
      </c>
      <c r="J813" s="1050">
        <v>25</v>
      </c>
      <c r="K813" s="1049"/>
      <c r="L813" s="1049"/>
      <c r="M813" s="1049"/>
      <c r="N813" s="1048"/>
      <c r="O813" s="1047">
        <f t="shared" si="51"/>
        <v>202.59259259259261</v>
      </c>
      <c r="P813" s="1047">
        <f t="shared" si="52"/>
        <v>2.1</v>
      </c>
      <c r="Q813" s="1064"/>
      <c r="T813" s="1031"/>
    </row>
    <row r="814" spans="2:20">
      <c r="B814" s="1054" t="s">
        <v>526</v>
      </c>
      <c r="C814" s="1053" t="s">
        <v>525</v>
      </c>
      <c r="D814" s="1052"/>
      <c r="E814" s="1052" t="s">
        <v>431</v>
      </c>
      <c r="F814" s="1052"/>
      <c r="G814" s="1052"/>
      <c r="H814" s="1052">
        <f t="shared" ref="H814:H827" si="55">5*20*0.3^2</f>
        <v>9</v>
      </c>
      <c r="I814" s="1051">
        <v>347</v>
      </c>
      <c r="J814" s="1050">
        <f>3/16*25.4</f>
        <v>4.7624999999999993</v>
      </c>
      <c r="K814" s="1049"/>
      <c r="L814" s="1049"/>
      <c r="M814" s="1049"/>
      <c r="N814" s="1048"/>
      <c r="O814" s="1047">
        <f t="shared" si="51"/>
        <v>38.555555555555557</v>
      </c>
      <c r="P814" s="1047">
        <f t="shared" si="52"/>
        <v>2.01905</v>
      </c>
      <c r="Q814" s="1064"/>
      <c r="T814" s="1031"/>
    </row>
    <row r="815" spans="2:20">
      <c r="B815" s="1054"/>
      <c r="C815" s="1053" t="s">
        <v>524</v>
      </c>
      <c r="D815" s="1052"/>
      <c r="E815" s="1052" t="s">
        <v>431</v>
      </c>
      <c r="F815" s="1052"/>
      <c r="G815" s="1052"/>
      <c r="H815" s="1052">
        <f t="shared" si="55"/>
        <v>9</v>
      </c>
      <c r="I815" s="1051">
        <v>463</v>
      </c>
      <c r="J815" s="1050">
        <f>25.4*1/4</f>
        <v>6.35</v>
      </c>
      <c r="K815" s="1049"/>
      <c r="L815" s="1049"/>
      <c r="M815" s="1049"/>
      <c r="N815" s="1048"/>
      <c r="O815" s="1047">
        <f t="shared" si="51"/>
        <v>51.444444444444443</v>
      </c>
      <c r="P815" s="1047">
        <f t="shared" si="52"/>
        <v>2.0253999999999999</v>
      </c>
      <c r="Q815" s="1064"/>
      <c r="T815" s="1031"/>
    </row>
    <row r="816" spans="2:20">
      <c r="B816" s="1054"/>
      <c r="C816" s="1053" t="s">
        <v>523</v>
      </c>
      <c r="D816" s="1052"/>
      <c r="E816" s="1052" t="s">
        <v>431</v>
      </c>
      <c r="F816" s="1052"/>
      <c r="G816" s="1052"/>
      <c r="H816" s="1052">
        <f t="shared" si="55"/>
        <v>9</v>
      </c>
      <c r="I816" s="1051">
        <v>579</v>
      </c>
      <c r="J816" s="1050">
        <f>25.4*5/16</f>
        <v>7.9375</v>
      </c>
      <c r="K816" s="1049"/>
      <c r="L816" s="1049"/>
      <c r="M816" s="1049"/>
      <c r="N816" s="1048"/>
      <c r="O816" s="1047">
        <f t="shared" ref="O816:O847" si="56">I816/H816</f>
        <v>64.333333333333329</v>
      </c>
      <c r="P816" s="1047">
        <f t="shared" si="52"/>
        <v>2.0317500000000002</v>
      </c>
      <c r="Q816" s="1064"/>
      <c r="T816" s="1031"/>
    </row>
    <row r="817" spans="2:20">
      <c r="B817" s="1054"/>
      <c r="C817" s="1053" t="s">
        <v>522</v>
      </c>
      <c r="D817" s="1052"/>
      <c r="E817" s="1052" t="s">
        <v>431</v>
      </c>
      <c r="F817" s="1052"/>
      <c r="G817" s="1052"/>
      <c r="H817" s="1052">
        <f t="shared" si="55"/>
        <v>9</v>
      </c>
      <c r="I817" s="1051">
        <v>695</v>
      </c>
      <c r="J817" s="1050">
        <f>25.4*3/8</f>
        <v>9.5249999999999986</v>
      </c>
      <c r="K817" s="1049"/>
      <c r="L817" s="1049"/>
      <c r="M817" s="1049"/>
      <c r="N817" s="1048"/>
      <c r="O817" s="1047">
        <f t="shared" si="56"/>
        <v>77.222222222222229</v>
      </c>
      <c r="P817" s="1047">
        <f t="shared" ref="P817:P851" si="57">2+4*J817/1000</f>
        <v>2.0381</v>
      </c>
      <c r="Q817" s="1064"/>
      <c r="T817" s="1031"/>
    </row>
    <row r="818" spans="2:20">
      <c r="B818" s="1054"/>
      <c r="C818" s="1053" t="s">
        <v>521</v>
      </c>
      <c r="D818" s="1052"/>
      <c r="E818" s="1052" t="s">
        <v>431</v>
      </c>
      <c r="F818" s="1052"/>
      <c r="G818" s="1052"/>
      <c r="H818" s="1052">
        <f t="shared" si="55"/>
        <v>9</v>
      </c>
      <c r="I818" s="1051">
        <v>810</v>
      </c>
      <c r="J818" s="1050">
        <f>25.4*7/16</f>
        <v>11.112499999999999</v>
      </c>
      <c r="K818" s="1049"/>
      <c r="L818" s="1049"/>
      <c r="M818" s="1049"/>
      <c r="N818" s="1048"/>
      <c r="O818" s="1047">
        <f t="shared" si="56"/>
        <v>90</v>
      </c>
      <c r="P818" s="1047">
        <f t="shared" si="57"/>
        <v>2.0444499999999999</v>
      </c>
      <c r="Q818" s="1064"/>
      <c r="T818" s="1031"/>
    </row>
    <row r="819" spans="2:20">
      <c r="B819" s="1054"/>
      <c r="C819" s="1053" t="s">
        <v>520</v>
      </c>
      <c r="D819" s="1052"/>
      <c r="E819" s="1052" t="s">
        <v>431</v>
      </c>
      <c r="F819" s="1052"/>
      <c r="G819" s="1052"/>
      <c r="H819" s="1052">
        <f t="shared" si="55"/>
        <v>9</v>
      </c>
      <c r="I819" s="1051">
        <v>926</v>
      </c>
      <c r="J819" s="1050">
        <f>25.481/2</f>
        <v>12.740500000000001</v>
      </c>
      <c r="K819" s="1049"/>
      <c r="L819" s="1049"/>
      <c r="M819" s="1049"/>
      <c r="N819" s="1048"/>
      <c r="O819" s="1047">
        <f t="shared" si="56"/>
        <v>102.88888888888889</v>
      </c>
      <c r="P819" s="1047">
        <f t="shared" si="57"/>
        <v>2.0509620000000002</v>
      </c>
      <c r="Q819" s="1064"/>
      <c r="T819" s="1031"/>
    </row>
    <row r="820" spans="2:20">
      <c r="B820" s="1054"/>
      <c r="C820" s="1053" t="s">
        <v>519</v>
      </c>
      <c r="D820" s="1052"/>
      <c r="E820" s="1052" t="s">
        <v>431</v>
      </c>
      <c r="F820" s="1052"/>
      <c r="G820" s="1052"/>
      <c r="H820" s="1052">
        <f t="shared" si="55"/>
        <v>9</v>
      </c>
      <c r="I820" s="1051">
        <v>1042</v>
      </c>
      <c r="J820" s="1050">
        <f>25.4*9/16</f>
        <v>14.2875</v>
      </c>
      <c r="K820" s="1049"/>
      <c r="L820" s="1049"/>
      <c r="M820" s="1049"/>
      <c r="N820" s="1048"/>
      <c r="O820" s="1047">
        <f t="shared" si="56"/>
        <v>115.77777777777777</v>
      </c>
      <c r="P820" s="1047">
        <f t="shared" si="57"/>
        <v>2.05715</v>
      </c>
      <c r="Q820" s="1064"/>
      <c r="T820" s="1031"/>
    </row>
    <row r="821" spans="2:20">
      <c r="B821" s="1054"/>
      <c r="C821" s="1053" t="s">
        <v>518</v>
      </c>
      <c r="D821" s="1052"/>
      <c r="E821" s="1052" t="s">
        <v>431</v>
      </c>
      <c r="F821" s="1052"/>
      <c r="G821" s="1052"/>
      <c r="H821" s="1052">
        <f t="shared" si="55"/>
        <v>9</v>
      </c>
      <c r="I821" s="1051">
        <v>1158</v>
      </c>
      <c r="J821" s="1050">
        <f>25.5*5/8</f>
        <v>15.9375</v>
      </c>
      <c r="K821" s="1049"/>
      <c r="L821" s="1049"/>
      <c r="M821" s="1049"/>
      <c r="N821" s="1048"/>
      <c r="O821" s="1047">
        <f t="shared" si="56"/>
        <v>128.66666666666666</v>
      </c>
      <c r="P821" s="1047">
        <f t="shared" si="57"/>
        <v>2.0637500000000002</v>
      </c>
      <c r="Q821" s="1064"/>
      <c r="T821" s="1031"/>
    </row>
    <row r="822" spans="2:20">
      <c r="B822" s="1054"/>
      <c r="C822" s="1053" t="s">
        <v>517</v>
      </c>
      <c r="D822" s="1052"/>
      <c r="E822" s="1052" t="s">
        <v>431</v>
      </c>
      <c r="F822" s="1052"/>
      <c r="G822" s="1052"/>
      <c r="H822" s="1052">
        <f t="shared" si="55"/>
        <v>9</v>
      </c>
      <c r="I822" s="1051">
        <v>1274</v>
      </c>
      <c r="J822" s="1050">
        <f>25.4*11/16</f>
        <v>17.462499999999999</v>
      </c>
      <c r="K822" s="1049"/>
      <c r="L822" s="1049"/>
      <c r="M822" s="1049"/>
      <c r="N822" s="1048"/>
      <c r="O822" s="1047">
        <f t="shared" si="56"/>
        <v>141.55555555555554</v>
      </c>
      <c r="P822" s="1047">
        <f t="shared" si="57"/>
        <v>2.0698500000000002</v>
      </c>
      <c r="Q822" s="1064"/>
      <c r="T822" s="1031"/>
    </row>
    <row r="823" spans="2:20">
      <c r="B823" s="1054"/>
      <c r="C823" s="1053" t="s">
        <v>516</v>
      </c>
      <c r="D823" s="1052"/>
      <c r="E823" s="1052" t="s">
        <v>431</v>
      </c>
      <c r="F823" s="1052"/>
      <c r="G823" s="1052"/>
      <c r="H823" s="1052">
        <f t="shared" si="55"/>
        <v>9</v>
      </c>
      <c r="I823" s="1051">
        <v>1389</v>
      </c>
      <c r="J823" s="1050">
        <f>25.4*3/4</f>
        <v>19.049999999999997</v>
      </c>
      <c r="K823" s="1049"/>
      <c r="L823" s="1049"/>
      <c r="M823" s="1049"/>
      <c r="N823" s="1048"/>
      <c r="O823" s="1047">
        <f t="shared" si="56"/>
        <v>154.33333333333334</v>
      </c>
      <c r="P823" s="1047">
        <f t="shared" si="57"/>
        <v>2.0762</v>
      </c>
      <c r="Q823" s="1064"/>
      <c r="T823" s="1031"/>
    </row>
    <row r="824" spans="2:20">
      <c r="B824" s="1054"/>
      <c r="C824" s="1053" t="s">
        <v>515</v>
      </c>
      <c r="D824" s="1052"/>
      <c r="E824" s="1052" t="s">
        <v>431</v>
      </c>
      <c r="F824" s="1052"/>
      <c r="G824" s="1052"/>
      <c r="H824" s="1052">
        <f t="shared" si="55"/>
        <v>9</v>
      </c>
      <c r="I824" s="1051">
        <v>1505</v>
      </c>
      <c r="J824" s="1050">
        <f>25.4*13/16</f>
        <v>20.637499999999999</v>
      </c>
      <c r="K824" s="1049"/>
      <c r="L824" s="1049"/>
      <c r="M824" s="1049"/>
      <c r="N824" s="1048"/>
      <c r="O824" s="1047">
        <f t="shared" si="56"/>
        <v>167.22222222222223</v>
      </c>
      <c r="P824" s="1047">
        <f t="shared" si="57"/>
        <v>2.0825499999999999</v>
      </c>
      <c r="Q824" s="1064"/>
      <c r="T824" s="1031"/>
    </row>
    <row r="825" spans="2:20">
      <c r="B825" s="1054"/>
      <c r="C825" s="1053" t="s">
        <v>514</v>
      </c>
      <c r="D825" s="1052"/>
      <c r="E825" s="1052" t="s">
        <v>431</v>
      </c>
      <c r="F825" s="1052"/>
      <c r="G825" s="1052"/>
      <c r="H825" s="1052">
        <f t="shared" si="55"/>
        <v>9</v>
      </c>
      <c r="I825" s="1051">
        <v>1620</v>
      </c>
      <c r="J825" s="1050">
        <f>25.4*7/8</f>
        <v>22.224999999999998</v>
      </c>
      <c r="K825" s="1049"/>
      <c r="L825" s="1049"/>
      <c r="M825" s="1049"/>
      <c r="N825" s="1048"/>
      <c r="O825" s="1047">
        <f t="shared" si="56"/>
        <v>180</v>
      </c>
      <c r="P825" s="1047">
        <f t="shared" si="57"/>
        <v>2.0889000000000002</v>
      </c>
      <c r="Q825" s="1064"/>
      <c r="T825" s="1031"/>
    </row>
    <row r="826" spans="2:20">
      <c r="B826" s="1054"/>
      <c r="C826" s="1053" t="s">
        <v>513</v>
      </c>
      <c r="D826" s="1052"/>
      <c r="E826" s="1052" t="s">
        <v>431</v>
      </c>
      <c r="F826" s="1052"/>
      <c r="G826" s="1052"/>
      <c r="H826" s="1052">
        <f t="shared" si="55"/>
        <v>9</v>
      </c>
      <c r="I826" s="1051">
        <v>1736</v>
      </c>
      <c r="J826" s="1050">
        <f>25.4*15/16</f>
        <v>23.8125</v>
      </c>
      <c r="K826" s="1049"/>
      <c r="L826" s="1049"/>
      <c r="M826" s="1049"/>
      <c r="N826" s="1048"/>
      <c r="O826" s="1047">
        <f t="shared" si="56"/>
        <v>192.88888888888889</v>
      </c>
      <c r="P826" s="1047">
        <f t="shared" si="57"/>
        <v>2.0952500000000001</v>
      </c>
      <c r="Q826" s="1064"/>
      <c r="T826" s="1031"/>
    </row>
    <row r="827" spans="2:20">
      <c r="B827" s="1054"/>
      <c r="C827" s="1053" t="s">
        <v>512</v>
      </c>
      <c r="D827" s="1052"/>
      <c r="E827" s="1052" t="s">
        <v>431</v>
      </c>
      <c r="F827" s="1052"/>
      <c r="G827" s="1052"/>
      <c r="H827" s="1052">
        <f t="shared" si="55"/>
        <v>9</v>
      </c>
      <c r="I827" s="1051">
        <v>1852</v>
      </c>
      <c r="J827" s="1050">
        <v>25.4</v>
      </c>
      <c r="K827" s="1049"/>
      <c r="L827" s="1049"/>
      <c r="M827" s="1049"/>
      <c r="N827" s="1048"/>
      <c r="O827" s="1047">
        <f t="shared" si="56"/>
        <v>205.77777777777777</v>
      </c>
      <c r="P827" s="1047">
        <f t="shared" si="57"/>
        <v>2.1015999999999999</v>
      </c>
      <c r="Q827" s="1064"/>
      <c r="T827" s="1031"/>
    </row>
    <row r="828" spans="2:20">
      <c r="B828" s="1054" t="s">
        <v>511</v>
      </c>
      <c r="C828" s="1053" t="s">
        <v>510</v>
      </c>
      <c r="D828" s="1052"/>
      <c r="E828" s="1052" t="s">
        <v>431</v>
      </c>
      <c r="F828" s="1052"/>
      <c r="G828" s="1052"/>
      <c r="H828" s="1052">
        <f t="shared" ref="H828:H841" si="58">6*20*0.3^2</f>
        <v>10.799999999999999</v>
      </c>
      <c r="I828" s="1051">
        <v>417</v>
      </c>
      <c r="J828" s="1050">
        <f>3/16*25.4</f>
        <v>4.7624999999999993</v>
      </c>
      <c r="K828" s="1049"/>
      <c r="L828" s="1049"/>
      <c r="M828" s="1049"/>
      <c r="N828" s="1048"/>
      <c r="O828" s="1047">
        <f t="shared" si="56"/>
        <v>38.611111111111114</v>
      </c>
      <c r="P828" s="1047">
        <f t="shared" si="57"/>
        <v>2.01905</v>
      </c>
      <c r="Q828" s="1064"/>
      <c r="T828" s="1031"/>
    </row>
    <row r="829" spans="2:20">
      <c r="B829" s="1054"/>
      <c r="C829" s="1053" t="s">
        <v>509</v>
      </c>
      <c r="D829" s="1052"/>
      <c r="E829" s="1052" t="s">
        <v>431</v>
      </c>
      <c r="F829" s="1052"/>
      <c r="G829" s="1052"/>
      <c r="H829" s="1052">
        <f t="shared" si="58"/>
        <v>10.799999999999999</v>
      </c>
      <c r="I829" s="1051">
        <v>556</v>
      </c>
      <c r="J829" s="1050">
        <f>25.4*1/4</f>
        <v>6.35</v>
      </c>
      <c r="K829" s="1049"/>
      <c r="L829" s="1049"/>
      <c r="M829" s="1049"/>
      <c r="N829" s="1048"/>
      <c r="O829" s="1047">
        <f t="shared" si="56"/>
        <v>51.481481481481488</v>
      </c>
      <c r="P829" s="1047">
        <f t="shared" si="57"/>
        <v>2.0253999999999999</v>
      </c>
      <c r="Q829" s="1064"/>
      <c r="T829" s="1031"/>
    </row>
    <row r="830" spans="2:20">
      <c r="B830" s="1054"/>
      <c r="C830" s="1053" t="s">
        <v>508</v>
      </c>
      <c r="D830" s="1052"/>
      <c r="E830" s="1052" t="s">
        <v>431</v>
      </c>
      <c r="F830" s="1052"/>
      <c r="G830" s="1052"/>
      <c r="H830" s="1052">
        <f t="shared" si="58"/>
        <v>10.799999999999999</v>
      </c>
      <c r="I830" s="1051">
        <v>695</v>
      </c>
      <c r="J830" s="1050">
        <f>25.4*5/16</f>
        <v>7.9375</v>
      </c>
      <c r="K830" s="1049"/>
      <c r="L830" s="1049"/>
      <c r="M830" s="1049"/>
      <c r="N830" s="1048"/>
      <c r="O830" s="1047">
        <f t="shared" si="56"/>
        <v>64.351851851851862</v>
      </c>
      <c r="P830" s="1047">
        <f t="shared" si="57"/>
        <v>2.0317500000000002</v>
      </c>
      <c r="Q830" s="1064"/>
      <c r="T830" s="1031"/>
    </row>
    <row r="831" spans="2:20">
      <c r="B831" s="1054"/>
      <c r="C831" s="1053" t="s">
        <v>507</v>
      </c>
      <c r="D831" s="1052"/>
      <c r="E831" s="1052" t="s">
        <v>431</v>
      </c>
      <c r="F831" s="1052"/>
      <c r="G831" s="1052"/>
      <c r="H831" s="1052">
        <f t="shared" si="58"/>
        <v>10.799999999999999</v>
      </c>
      <c r="I831" s="1051">
        <v>834</v>
      </c>
      <c r="J831" s="1050">
        <f>25.4*3/8</f>
        <v>9.5249999999999986</v>
      </c>
      <c r="K831" s="1049"/>
      <c r="L831" s="1049"/>
      <c r="M831" s="1049"/>
      <c r="N831" s="1048"/>
      <c r="O831" s="1047">
        <f t="shared" si="56"/>
        <v>77.222222222222229</v>
      </c>
      <c r="P831" s="1047">
        <f t="shared" si="57"/>
        <v>2.0381</v>
      </c>
      <c r="Q831" s="1064"/>
      <c r="T831" s="1031"/>
    </row>
    <row r="832" spans="2:20">
      <c r="B832" s="1054"/>
      <c r="C832" s="1053" t="s">
        <v>506</v>
      </c>
      <c r="D832" s="1052"/>
      <c r="E832" s="1052" t="s">
        <v>431</v>
      </c>
      <c r="F832" s="1052"/>
      <c r="G832" s="1052"/>
      <c r="H832" s="1052">
        <f t="shared" si="58"/>
        <v>10.799999999999999</v>
      </c>
      <c r="I832" s="1051">
        <v>972</v>
      </c>
      <c r="J832" s="1050">
        <f>25.4*7/16</f>
        <v>11.112499999999999</v>
      </c>
      <c r="K832" s="1049"/>
      <c r="L832" s="1049"/>
      <c r="M832" s="1049"/>
      <c r="N832" s="1048"/>
      <c r="O832" s="1047">
        <f t="shared" si="56"/>
        <v>90.000000000000014</v>
      </c>
      <c r="P832" s="1047">
        <f t="shared" si="57"/>
        <v>2.0444499999999999</v>
      </c>
      <c r="Q832" s="1064"/>
      <c r="T832" s="1031"/>
    </row>
    <row r="833" spans="2:20">
      <c r="B833" s="1054"/>
      <c r="C833" s="1053" t="s">
        <v>505</v>
      </c>
      <c r="D833" s="1052"/>
      <c r="E833" s="1052" t="s">
        <v>431</v>
      </c>
      <c r="F833" s="1052"/>
      <c r="G833" s="1052"/>
      <c r="H833" s="1052">
        <f t="shared" si="58"/>
        <v>10.799999999999999</v>
      </c>
      <c r="I833" s="1051">
        <v>1112</v>
      </c>
      <c r="J833" s="1050">
        <f>25.481/2</f>
        <v>12.740500000000001</v>
      </c>
      <c r="K833" s="1049"/>
      <c r="L833" s="1049"/>
      <c r="M833" s="1049"/>
      <c r="N833" s="1048"/>
      <c r="O833" s="1047">
        <f t="shared" si="56"/>
        <v>102.96296296296298</v>
      </c>
      <c r="P833" s="1047">
        <f t="shared" si="57"/>
        <v>2.0509620000000002</v>
      </c>
      <c r="Q833" s="1064"/>
      <c r="T833" s="1031"/>
    </row>
    <row r="834" spans="2:20">
      <c r="B834" s="1054"/>
      <c r="C834" s="1053" t="s">
        <v>504</v>
      </c>
      <c r="D834" s="1052"/>
      <c r="E834" s="1052" t="s">
        <v>431</v>
      </c>
      <c r="F834" s="1052"/>
      <c r="G834" s="1052"/>
      <c r="H834" s="1052">
        <f t="shared" si="58"/>
        <v>10.799999999999999</v>
      </c>
      <c r="I834" s="1051">
        <v>1251</v>
      </c>
      <c r="J834" s="1050">
        <f>25.4*9/16</f>
        <v>14.2875</v>
      </c>
      <c r="K834" s="1049"/>
      <c r="L834" s="1049"/>
      <c r="M834" s="1049"/>
      <c r="N834" s="1048"/>
      <c r="O834" s="1047">
        <f t="shared" si="56"/>
        <v>115.83333333333334</v>
      </c>
      <c r="P834" s="1047">
        <f t="shared" si="57"/>
        <v>2.05715</v>
      </c>
      <c r="Q834" s="1064"/>
      <c r="T834" s="1031"/>
    </row>
    <row r="835" spans="2:20">
      <c r="B835" s="1054"/>
      <c r="C835" s="1053" t="s">
        <v>503</v>
      </c>
      <c r="D835" s="1052"/>
      <c r="E835" s="1052" t="s">
        <v>431</v>
      </c>
      <c r="F835" s="1052"/>
      <c r="G835" s="1052"/>
      <c r="H835" s="1052">
        <f t="shared" si="58"/>
        <v>10.799999999999999</v>
      </c>
      <c r="I835" s="1051">
        <v>1390</v>
      </c>
      <c r="J835" s="1050">
        <f>25.5*5/8</f>
        <v>15.9375</v>
      </c>
      <c r="K835" s="1049"/>
      <c r="L835" s="1049"/>
      <c r="M835" s="1049"/>
      <c r="N835" s="1048"/>
      <c r="O835" s="1047">
        <f t="shared" si="56"/>
        <v>128.70370370370372</v>
      </c>
      <c r="P835" s="1047">
        <f t="shared" si="57"/>
        <v>2.0637500000000002</v>
      </c>
      <c r="Q835" s="1064"/>
      <c r="T835" s="1031"/>
    </row>
    <row r="836" spans="2:20">
      <c r="B836" s="1054"/>
      <c r="C836" s="1053" t="s">
        <v>502</v>
      </c>
      <c r="D836" s="1052"/>
      <c r="E836" s="1052" t="s">
        <v>431</v>
      </c>
      <c r="F836" s="1052"/>
      <c r="G836" s="1052"/>
      <c r="H836" s="1052">
        <f t="shared" si="58"/>
        <v>10.799999999999999</v>
      </c>
      <c r="I836" s="1051">
        <v>1529</v>
      </c>
      <c r="J836" s="1050">
        <f>25.4*11/16</f>
        <v>17.462499999999999</v>
      </c>
      <c r="K836" s="1049"/>
      <c r="L836" s="1049"/>
      <c r="M836" s="1049"/>
      <c r="N836" s="1048"/>
      <c r="O836" s="1047">
        <f t="shared" si="56"/>
        <v>141.57407407407408</v>
      </c>
      <c r="P836" s="1047">
        <f t="shared" si="57"/>
        <v>2.0698500000000002</v>
      </c>
      <c r="Q836" s="1064"/>
      <c r="T836" s="1031"/>
    </row>
    <row r="837" spans="2:20">
      <c r="B837" s="1054"/>
      <c r="C837" s="1053" t="s">
        <v>501</v>
      </c>
      <c r="D837" s="1052"/>
      <c r="E837" s="1052" t="s">
        <v>431</v>
      </c>
      <c r="F837" s="1052"/>
      <c r="G837" s="1052"/>
      <c r="H837" s="1052">
        <f t="shared" si="58"/>
        <v>10.799999999999999</v>
      </c>
      <c r="I837" s="1051">
        <v>1667</v>
      </c>
      <c r="J837" s="1050">
        <f>25.4*3/4</f>
        <v>19.049999999999997</v>
      </c>
      <c r="K837" s="1049"/>
      <c r="L837" s="1049"/>
      <c r="M837" s="1049"/>
      <c r="N837" s="1048"/>
      <c r="O837" s="1047">
        <f t="shared" si="56"/>
        <v>154.35185185185188</v>
      </c>
      <c r="P837" s="1047">
        <f t="shared" si="57"/>
        <v>2.0762</v>
      </c>
      <c r="Q837" s="1064"/>
      <c r="T837" s="1031"/>
    </row>
    <row r="838" spans="2:20">
      <c r="B838" s="1054"/>
      <c r="C838" s="1053" t="s">
        <v>500</v>
      </c>
      <c r="D838" s="1052"/>
      <c r="E838" s="1052" t="s">
        <v>431</v>
      </c>
      <c r="F838" s="1052"/>
      <c r="G838" s="1052"/>
      <c r="H838" s="1052">
        <f t="shared" si="58"/>
        <v>10.799999999999999</v>
      </c>
      <c r="I838" s="1051">
        <v>1806</v>
      </c>
      <c r="J838" s="1050">
        <f>25.4*13/16</f>
        <v>20.637499999999999</v>
      </c>
      <c r="K838" s="1049"/>
      <c r="L838" s="1049"/>
      <c r="M838" s="1049"/>
      <c r="N838" s="1048"/>
      <c r="O838" s="1047">
        <f t="shared" si="56"/>
        <v>167.22222222222223</v>
      </c>
      <c r="P838" s="1047">
        <f t="shared" si="57"/>
        <v>2.0825499999999999</v>
      </c>
      <c r="Q838" s="1064"/>
      <c r="T838" s="1031"/>
    </row>
    <row r="839" spans="2:20">
      <c r="B839" s="1054"/>
      <c r="C839" s="1053" t="s">
        <v>499</v>
      </c>
      <c r="D839" s="1052"/>
      <c r="E839" s="1052" t="s">
        <v>431</v>
      </c>
      <c r="F839" s="1052"/>
      <c r="G839" s="1052"/>
      <c r="H839" s="1052">
        <f t="shared" si="58"/>
        <v>10.799999999999999</v>
      </c>
      <c r="I839" s="1051">
        <v>1945</v>
      </c>
      <c r="J839" s="1050">
        <f>25.4*7/8</f>
        <v>22.224999999999998</v>
      </c>
      <c r="K839" s="1049"/>
      <c r="L839" s="1049"/>
      <c r="M839" s="1049"/>
      <c r="N839" s="1048"/>
      <c r="O839" s="1047">
        <f t="shared" si="56"/>
        <v>180.09259259259261</v>
      </c>
      <c r="P839" s="1047">
        <f t="shared" si="57"/>
        <v>2.0889000000000002</v>
      </c>
      <c r="Q839" s="1064"/>
      <c r="T839" s="1031"/>
    </row>
    <row r="840" spans="2:20">
      <c r="B840" s="1054"/>
      <c r="C840" s="1053" t="s">
        <v>498</v>
      </c>
      <c r="D840" s="1052"/>
      <c r="E840" s="1052" t="s">
        <v>431</v>
      </c>
      <c r="F840" s="1052"/>
      <c r="G840" s="1052"/>
      <c r="H840" s="1052">
        <f t="shared" si="58"/>
        <v>10.799999999999999</v>
      </c>
      <c r="I840" s="1051">
        <v>2084</v>
      </c>
      <c r="J840" s="1050">
        <f>25.4*15/16</f>
        <v>23.8125</v>
      </c>
      <c r="K840" s="1049"/>
      <c r="L840" s="1049"/>
      <c r="M840" s="1049"/>
      <c r="N840" s="1048"/>
      <c r="O840" s="1047">
        <f t="shared" si="56"/>
        <v>192.96296296296299</v>
      </c>
      <c r="P840" s="1047">
        <f t="shared" si="57"/>
        <v>2.0952500000000001</v>
      </c>
      <c r="Q840" s="1064"/>
      <c r="T840" s="1031"/>
    </row>
    <row r="841" spans="2:20">
      <c r="B841" s="1054"/>
      <c r="C841" s="1053" t="s">
        <v>497</v>
      </c>
      <c r="D841" s="1052"/>
      <c r="E841" s="1052" t="s">
        <v>431</v>
      </c>
      <c r="F841" s="1052"/>
      <c r="G841" s="1052"/>
      <c r="H841" s="1052">
        <f t="shared" si="58"/>
        <v>10.799999999999999</v>
      </c>
      <c r="I841" s="1051">
        <v>2223</v>
      </c>
      <c r="J841" s="1050">
        <v>25.4</v>
      </c>
      <c r="K841" s="1049"/>
      <c r="L841" s="1049"/>
      <c r="M841" s="1049"/>
      <c r="N841" s="1048"/>
      <c r="O841" s="1047">
        <f t="shared" si="56"/>
        <v>205.83333333333334</v>
      </c>
      <c r="P841" s="1047">
        <f t="shared" si="57"/>
        <v>2.1015999999999999</v>
      </c>
      <c r="Q841" s="1064"/>
      <c r="T841" s="1031"/>
    </row>
    <row r="842" spans="2:20">
      <c r="B842" s="1054" t="s">
        <v>496</v>
      </c>
      <c r="C842" s="1053" t="s">
        <v>495</v>
      </c>
      <c r="D842" s="1052"/>
      <c r="E842" s="1052" t="s">
        <v>431</v>
      </c>
      <c r="F842" s="1052"/>
      <c r="G842" s="1052"/>
      <c r="H842" s="1052">
        <f t="shared" ref="H842:H851" si="59">4*8*0.3^2</f>
        <v>2.88</v>
      </c>
      <c r="I842" s="1051">
        <v>59</v>
      </c>
      <c r="J842" s="1050">
        <v>2.2999999999999998</v>
      </c>
      <c r="K842" s="1049"/>
      <c r="L842" s="1049"/>
      <c r="M842" s="1049"/>
      <c r="N842" s="1048"/>
      <c r="O842" s="1047">
        <f t="shared" si="56"/>
        <v>20.486111111111111</v>
      </c>
      <c r="P842" s="1047">
        <f t="shared" si="57"/>
        <v>2.0091999999999999</v>
      </c>
      <c r="Q842" s="1064"/>
      <c r="T842" s="1031"/>
    </row>
    <row r="843" spans="2:20">
      <c r="B843" s="1054"/>
      <c r="C843" s="1053" t="s">
        <v>494</v>
      </c>
      <c r="D843" s="1052"/>
      <c r="E843" s="1052" t="s">
        <v>431</v>
      </c>
      <c r="F843" s="1052"/>
      <c r="G843" s="1052"/>
      <c r="H843" s="1052">
        <f t="shared" si="59"/>
        <v>2.88</v>
      </c>
      <c r="I843" s="1051">
        <v>75</v>
      </c>
      <c r="J843" s="1050">
        <v>3</v>
      </c>
      <c r="K843" s="1049"/>
      <c r="L843" s="1049"/>
      <c r="M843" s="1049"/>
      <c r="N843" s="1048"/>
      <c r="O843" s="1047">
        <f t="shared" si="56"/>
        <v>26.041666666666668</v>
      </c>
      <c r="P843" s="1047">
        <f t="shared" si="57"/>
        <v>2.012</v>
      </c>
      <c r="Q843" s="1064"/>
      <c r="T843" s="1031"/>
    </row>
    <row r="844" spans="2:20">
      <c r="B844" s="1054"/>
      <c r="C844" s="1053" t="s">
        <v>493</v>
      </c>
      <c r="D844" s="1052"/>
      <c r="E844" s="1052" t="s">
        <v>431</v>
      </c>
      <c r="F844" s="1052"/>
      <c r="G844" s="1052"/>
      <c r="H844" s="1052">
        <f t="shared" si="59"/>
        <v>2.88</v>
      </c>
      <c r="I844" s="1051">
        <v>79.599999999999994</v>
      </c>
      <c r="J844" s="1050">
        <v>3.2</v>
      </c>
      <c r="K844" s="1049"/>
      <c r="L844" s="1049"/>
      <c r="M844" s="1049"/>
      <c r="N844" s="1048"/>
      <c r="O844" s="1047">
        <f t="shared" si="56"/>
        <v>27.638888888888889</v>
      </c>
      <c r="P844" s="1047">
        <f t="shared" si="57"/>
        <v>2.0127999999999999</v>
      </c>
      <c r="Q844" s="1064"/>
      <c r="T844" s="1031"/>
    </row>
    <row r="845" spans="2:20">
      <c r="B845" s="1054"/>
      <c r="C845" s="1053" t="s">
        <v>492</v>
      </c>
      <c r="D845" s="1052"/>
      <c r="E845" s="1052"/>
      <c r="F845" s="1052"/>
      <c r="G845" s="1052"/>
      <c r="H845" s="1052">
        <f t="shared" si="59"/>
        <v>2.88</v>
      </c>
      <c r="I845" s="1051">
        <v>89</v>
      </c>
      <c r="J845" s="1050">
        <v>3.6</v>
      </c>
      <c r="K845" s="1049"/>
      <c r="L845" s="1049"/>
      <c r="M845" s="1049"/>
      <c r="N845" s="1048"/>
      <c r="O845" s="1047">
        <f t="shared" si="56"/>
        <v>30.902777777777779</v>
      </c>
      <c r="P845" s="1047">
        <f t="shared" si="57"/>
        <v>2.0144000000000002</v>
      </c>
      <c r="Q845" s="1064"/>
      <c r="T845" s="1031"/>
    </row>
    <row r="846" spans="2:20">
      <c r="B846" s="1054"/>
      <c r="C846" s="1053" t="s">
        <v>491</v>
      </c>
      <c r="D846" s="1052"/>
      <c r="E846" s="1052"/>
      <c r="F846" s="1052"/>
      <c r="G846" s="1052"/>
      <c r="H846" s="1052">
        <f t="shared" si="59"/>
        <v>2.88</v>
      </c>
      <c r="I846" s="1051">
        <v>98.32</v>
      </c>
      <c r="J846" s="1050">
        <v>4</v>
      </c>
      <c r="K846" s="1049"/>
      <c r="L846" s="1049"/>
      <c r="M846" s="1049"/>
      <c r="N846" s="1048"/>
      <c r="O846" s="1047">
        <f t="shared" si="56"/>
        <v>34.138888888888886</v>
      </c>
      <c r="P846" s="1047">
        <f t="shared" si="57"/>
        <v>2.016</v>
      </c>
      <c r="Q846" s="1064"/>
      <c r="T846" s="1031"/>
    </row>
    <row r="847" spans="2:20">
      <c r="B847" s="1054"/>
      <c r="C847" s="1053" t="s">
        <v>490</v>
      </c>
      <c r="D847" s="1052"/>
      <c r="E847" s="1052" t="s">
        <v>431</v>
      </c>
      <c r="F847" s="1052"/>
      <c r="G847" s="1052"/>
      <c r="H847" s="1052">
        <f t="shared" si="59"/>
        <v>2.88</v>
      </c>
      <c r="I847" s="1051">
        <v>110</v>
      </c>
      <c r="J847" s="1050">
        <v>4.5</v>
      </c>
      <c r="K847" s="1049"/>
      <c r="L847" s="1049"/>
      <c r="M847" s="1049"/>
      <c r="N847" s="1048"/>
      <c r="O847" s="1047">
        <f t="shared" si="56"/>
        <v>38.194444444444443</v>
      </c>
      <c r="P847" s="1047">
        <f t="shared" si="57"/>
        <v>2.0179999999999998</v>
      </c>
      <c r="Q847" s="1064"/>
      <c r="T847" s="1031"/>
    </row>
    <row r="848" spans="2:20">
      <c r="B848" s="1054"/>
      <c r="C848" s="1053" t="s">
        <v>489</v>
      </c>
      <c r="D848" s="1052"/>
      <c r="E848" s="1052"/>
      <c r="F848" s="1052"/>
      <c r="G848" s="1052"/>
      <c r="H848" s="1052">
        <f t="shared" si="59"/>
        <v>2.88</v>
      </c>
      <c r="I848" s="1051">
        <v>122</v>
      </c>
      <c r="J848" s="1050">
        <v>5</v>
      </c>
      <c r="K848" s="1049"/>
      <c r="L848" s="1049"/>
      <c r="M848" s="1049"/>
      <c r="N848" s="1048"/>
      <c r="O848" s="1047">
        <f t="shared" ref="O848:O879" si="60">I848/H848</f>
        <v>42.361111111111114</v>
      </c>
      <c r="P848" s="1047">
        <f t="shared" si="57"/>
        <v>2.02</v>
      </c>
      <c r="Q848" s="1064"/>
      <c r="T848" s="1031"/>
    </row>
    <row r="849" spans="2:20">
      <c r="B849" s="1054"/>
      <c r="C849" s="1053" t="s">
        <v>488</v>
      </c>
      <c r="D849" s="1052"/>
      <c r="E849" s="1052" t="s">
        <v>431</v>
      </c>
      <c r="F849" s="1052"/>
      <c r="G849" s="1052"/>
      <c r="H849" s="1052">
        <f t="shared" si="59"/>
        <v>2.88</v>
      </c>
      <c r="I849" s="1051">
        <v>145</v>
      </c>
      <c r="J849" s="1050">
        <v>6</v>
      </c>
      <c r="K849" s="1049"/>
      <c r="L849" s="1049"/>
      <c r="M849" s="1049"/>
      <c r="N849" s="1048"/>
      <c r="O849" s="1047">
        <f t="shared" si="60"/>
        <v>50.347222222222221</v>
      </c>
      <c r="P849" s="1047">
        <f t="shared" si="57"/>
        <v>2.024</v>
      </c>
      <c r="Q849" s="1064"/>
      <c r="T849" s="1031"/>
    </row>
    <row r="850" spans="2:20">
      <c r="B850" s="1054"/>
      <c r="C850" s="1053" t="s">
        <v>487</v>
      </c>
      <c r="D850" s="1052"/>
      <c r="E850" s="1052" t="s">
        <v>431</v>
      </c>
      <c r="F850" s="1052"/>
      <c r="G850" s="1052"/>
      <c r="H850" s="1052">
        <f t="shared" si="59"/>
        <v>2.88</v>
      </c>
      <c r="I850" s="1051">
        <v>192</v>
      </c>
      <c r="J850" s="1050">
        <v>8</v>
      </c>
      <c r="K850" s="1049"/>
      <c r="L850" s="1049"/>
      <c r="M850" s="1049"/>
      <c r="N850" s="1048"/>
      <c r="O850" s="1047">
        <f t="shared" si="60"/>
        <v>66.666666666666671</v>
      </c>
      <c r="P850" s="1047">
        <f t="shared" si="57"/>
        <v>2.032</v>
      </c>
      <c r="Q850" s="1064"/>
      <c r="T850" s="1031"/>
    </row>
    <row r="851" spans="2:20">
      <c r="B851" s="1054"/>
      <c r="C851" s="1053" t="s">
        <v>486</v>
      </c>
      <c r="D851" s="1052"/>
      <c r="E851" s="1052" t="s">
        <v>431</v>
      </c>
      <c r="F851" s="1052"/>
      <c r="G851" s="1052"/>
      <c r="H851" s="1052">
        <f t="shared" si="59"/>
        <v>2.88</v>
      </c>
      <c r="I851" s="1051">
        <v>215</v>
      </c>
      <c r="J851" s="1050">
        <v>9</v>
      </c>
      <c r="K851" s="1049"/>
      <c r="L851" s="1049"/>
      <c r="M851" s="1049"/>
      <c r="N851" s="1048"/>
      <c r="O851" s="1047">
        <f t="shared" si="60"/>
        <v>74.652777777777786</v>
      </c>
      <c r="P851" s="1047">
        <f t="shared" si="57"/>
        <v>2.036</v>
      </c>
      <c r="Q851" s="1064"/>
      <c r="T851" s="1031"/>
    </row>
    <row r="852" spans="2:20">
      <c r="B852" s="1054" t="s">
        <v>448</v>
      </c>
      <c r="C852" s="1053" t="s">
        <v>485</v>
      </c>
      <c r="D852" s="1052"/>
      <c r="E852" s="1052" t="s">
        <v>431</v>
      </c>
      <c r="F852" s="1052"/>
      <c r="G852" s="1052"/>
      <c r="H852" s="1052">
        <v>6</v>
      </c>
      <c r="I852" s="1051">
        <v>2.2599999999999998</v>
      </c>
      <c r="J852" s="1050">
        <f>25.4*5/8</f>
        <v>15.875</v>
      </c>
      <c r="K852" s="1049">
        <f>25.4*1/8</f>
        <v>3.1749999999999998</v>
      </c>
      <c r="L852" s="1049"/>
      <c r="M852" s="1049"/>
      <c r="N852" s="1048"/>
      <c r="O852" s="1047">
        <f t="shared" si="60"/>
        <v>0.37666666666666665</v>
      </c>
      <c r="P852" s="1047">
        <f t="shared" ref="P852:P883" si="61">2*(J852+K852)/1000</f>
        <v>3.8100000000000002E-2</v>
      </c>
      <c r="Q852" s="1064"/>
      <c r="T852" s="1031"/>
    </row>
    <row r="853" spans="2:20">
      <c r="B853" s="1054"/>
      <c r="C853" s="1053" t="s">
        <v>484</v>
      </c>
      <c r="D853" s="1052"/>
      <c r="E853" s="1052" t="s">
        <v>431</v>
      </c>
      <c r="F853" s="1052"/>
      <c r="G853" s="1052"/>
      <c r="H853" s="1052">
        <v>6</v>
      </c>
      <c r="I853" s="1051">
        <v>3.4</v>
      </c>
      <c r="J853" s="1050">
        <f>25.4*5/8</f>
        <v>15.875</v>
      </c>
      <c r="K853" s="1049">
        <f>25.4*3/16</f>
        <v>4.7624999999999993</v>
      </c>
      <c r="L853" s="1049"/>
      <c r="M853" s="1049"/>
      <c r="N853" s="1048"/>
      <c r="O853" s="1047">
        <f t="shared" si="60"/>
        <v>0.56666666666666665</v>
      </c>
      <c r="P853" s="1047">
        <f t="shared" si="61"/>
        <v>4.1274999999999999E-2</v>
      </c>
      <c r="Q853" s="1064"/>
      <c r="T853" s="1031"/>
    </row>
    <row r="854" spans="2:20">
      <c r="B854" s="1054"/>
      <c r="C854" s="1053" t="s">
        <v>483</v>
      </c>
      <c r="D854" s="1052"/>
      <c r="E854" s="1052" t="s">
        <v>431</v>
      </c>
      <c r="F854" s="1052"/>
      <c r="G854" s="1052"/>
      <c r="H854" s="1052">
        <v>6</v>
      </c>
      <c r="I854" s="1051">
        <v>2.89</v>
      </c>
      <c r="J854" s="1050">
        <f>25.4*3/4</f>
        <v>19.049999999999997</v>
      </c>
      <c r="K854" s="1049">
        <f>25.4*1/8</f>
        <v>3.1749999999999998</v>
      </c>
      <c r="L854" s="1049"/>
      <c r="M854" s="1049"/>
      <c r="N854" s="1048"/>
      <c r="O854" s="1047">
        <f t="shared" si="60"/>
        <v>0.48166666666666669</v>
      </c>
      <c r="P854" s="1047">
        <f t="shared" si="61"/>
        <v>4.4449999999999996E-2</v>
      </c>
      <c r="Q854" s="1064"/>
      <c r="T854" s="1031"/>
    </row>
    <row r="855" spans="2:20">
      <c r="B855" s="1054"/>
      <c r="C855" s="1053" t="s">
        <v>482</v>
      </c>
      <c r="D855" s="1052"/>
      <c r="E855" s="1052" t="s">
        <v>431</v>
      </c>
      <c r="F855" s="1052"/>
      <c r="G855" s="1052"/>
      <c r="H855" s="1052">
        <v>6</v>
      </c>
      <c r="I855" s="1051">
        <v>4.03</v>
      </c>
      <c r="J855" s="1050">
        <f>25.4*3/4</f>
        <v>19.049999999999997</v>
      </c>
      <c r="K855" s="1049">
        <f>25.4*3/16</f>
        <v>4.7624999999999993</v>
      </c>
      <c r="L855" s="1049"/>
      <c r="M855" s="1049"/>
      <c r="N855" s="1048"/>
      <c r="O855" s="1047">
        <f t="shared" si="60"/>
        <v>0.67166666666666675</v>
      </c>
      <c r="P855" s="1047">
        <f t="shared" si="61"/>
        <v>4.7624999999999994E-2</v>
      </c>
      <c r="Q855" s="1064"/>
      <c r="T855" s="1031"/>
    </row>
    <row r="856" spans="2:20">
      <c r="B856" s="1054"/>
      <c r="C856" s="1053" t="s">
        <v>481</v>
      </c>
      <c r="D856" s="1052"/>
      <c r="E856" s="1052" t="s">
        <v>431</v>
      </c>
      <c r="F856" s="1052"/>
      <c r="G856" s="1052"/>
      <c r="H856" s="1052">
        <v>6</v>
      </c>
      <c r="I856" s="1051">
        <v>5.37</v>
      </c>
      <c r="J856" s="1050">
        <f>25.4*3/4</f>
        <v>19.049999999999997</v>
      </c>
      <c r="K856" s="1049">
        <f>25.4/4</f>
        <v>6.35</v>
      </c>
      <c r="L856" s="1049"/>
      <c r="M856" s="1049"/>
      <c r="N856" s="1048"/>
      <c r="O856" s="1047">
        <f t="shared" si="60"/>
        <v>0.89500000000000002</v>
      </c>
      <c r="P856" s="1047">
        <f t="shared" si="61"/>
        <v>5.0799999999999998E-2</v>
      </c>
      <c r="Q856" s="1064"/>
      <c r="T856" s="1031"/>
    </row>
    <row r="857" spans="2:20">
      <c r="B857" s="1054"/>
      <c r="C857" s="1053" t="s">
        <v>480</v>
      </c>
      <c r="D857" s="1052"/>
      <c r="E857" s="1052" t="s">
        <v>431</v>
      </c>
      <c r="F857" s="1052"/>
      <c r="G857" s="1052"/>
      <c r="H857" s="1052">
        <v>6</v>
      </c>
      <c r="I857" s="1051">
        <v>10.5</v>
      </c>
      <c r="J857" s="1050">
        <f>25.4*3/4</f>
        <v>19.049999999999997</v>
      </c>
      <c r="K857" s="1049">
        <f>25.4*3/8</f>
        <v>9.5249999999999986</v>
      </c>
      <c r="L857" s="1049"/>
      <c r="M857" s="1049"/>
      <c r="N857" s="1048"/>
      <c r="O857" s="1047">
        <f t="shared" si="60"/>
        <v>1.75</v>
      </c>
      <c r="P857" s="1047">
        <f t="shared" si="61"/>
        <v>5.7149999999999992E-2</v>
      </c>
      <c r="Q857" s="1064"/>
      <c r="T857" s="1031"/>
    </row>
    <row r="858" spans="2:20">
      <c r="B858" s="1054"/>
      <c r="C858" s="1053" t="s">
        <v>479</v>
      </c>
      <c r="D858" s="1052"/>
      <c r="E858" s="1052" t="s">
        <v>431</v>
      </c>
      <c r="F858" s="1052"/>
      <c r="G858" s="1052"/>
      <c r="H858" s="1052">
        <v>6</v>
      </c>
      <c r="I858" s="1051">
        <v>12.4</v>
      </c>
      <c r="J858" s="1050">
        <f>25.4*7/4</f>
        <v>44.449999999999996</v>
      </c>
      <c r="K858" s="1049">
        <f>25.4/4</f>
        <v>6.35</v>
      </c>
      <c r="L858" s="1049"/>
      <c r="M858" s="1049"/>
      <c r="N858" s="1048"/>
      <c r="O858" s="1047">
        <f t="shared" si="60"/>
        <v>2.0666666666666669</v>
      </c>
      <c r="P858" s="1047">
        <f t="shared" si="61"/>
        <v>0.1016</v>
      </c>
      <c r="Q858" s="1064"/>
      <c r="T858" s="1031"/>
    </row>
    <row r="859" spans="2:20">
      <c r="B859" s="1054"/>
      <c r="C859" s="1053" t="s">
        <v>478</v>
      </c>
      <c r="D859" s="1052"/>
      <c r="E859" s="1052" t="s">
        <v>431</v>
      </c>
      <c r="F859" s="1052"/>
      <c r="G859" s="1052"/>
      <c r="H859" s="1052">
        <v>6</v>
      </c>
      <c r="I859" s="1051">
        <v>3.6</v>
      </c>
      <c r="J859" s="1050">
        <f>25.4</f>
        <v>25.4</v>
      </c>
      <c r="K859" s="1049">
        <f>25.4*1/8</f>
        <v>3.1749999999999998</v>
      </c>
      <c r="L859" s="1049"/>
      <c r="M859" s="1049"/>
      <c r="N859" s="1048"/>
      <c r="O859" s="1047">
        <f t="shared" si="60"/>
        <v>0.6</v>
      </c>
      <c r="P859" s="1047">
        <f t="shared" si="61"/>
        <v>5.7149999999999999E-2</v>
      </c>
      <c r="Q859" s="1064"/>
      <c r="T859" s="1031"/>
    </row>
    <row r="860" spans="2:20">
      <c r="B860" s="1054"/>
      <c r="C860" s="1053" t="s">
        <v>477</v>
      </c>
      <c r="D860" s="1052"/>
      <c r="E860" s="1052" t="s">
        <v>431</v>
      </c>
      <c r="F860" s="1052"/>
      <c r="G860" s="1052"/>
      <c r="H860" s="1052">
        <v>6</v>
      </c>
      <c r="I860" s="1051">
        <v>5.3</v>
      </c>
      <c r="J860" s="1050">
        <f>25.4</f>
        <v>25.4</v>
      </c>
      <c r="K860" s="1049">
        <f>25.4*3/16</f>
        <v>4.7624999999999993</v>
      </c>
      <c r="L860" s="1049"/>
      <c r="M860" s="1049"/>
      <c r="N860" s="1048"/>
      <c r="O860" s="1047">
        <f t="shared" si="60"/>
        <v>0.8833333333333333</v>
      </c>
      <c r="P860" s="1047">
        <f t="shared" si="61"/>
        <v>6.0324999999999997E-2</v>
      </c>
      <c r="Q860" s="1064"/>
      <c r="T860" s="1031"/>
    </row>
    <row r="861" spans="2:20">
      <c r="B861" s="1054"/>
      <c r="C861" s="1053" t="s">
        <v>476</v>
      </c>
      <c r="D861" s="1052"/>
      <c r="E861" s="1052" t="s">
        <v>431</v>
      </c>
      <c r="F861" s="1052"/>
      <c r="G861" s="1052"/>
      <c r="H861" s="1052">
        <v>6</v>
      </c>
      <c r="I861" s="1051">
        <v>7.08</v>
      </c>
      <c r="J861" s="1050">
        <f>25.4</f>
        <v>25.4</v>
      </c>
      <c r="K861" s="1049">
        <f>25.4/4</f>
        <v>6.35</v>
      </c>
      <c r="L861" s="1049"/>
      <c r="M861" s="1049"/>
      <c r="N861" s="1048"/>
      <c r="O861" s="1047">
        <f t="shared" si="60"/>
        <v>1.18</v>
      </c>
      <c r="P861" s="1047">
        <f t="shared" si="61"/>
        <v>6.3500000000000001E-2</v>
      </c>
      <c r="Q861" s="1064"/>
      <c r="T861" s="1031"/>
    </row>
    <row r="862" spans="2:20">
      <c r="B862" s="1054"/>
      <c r="C862" s="1053" t="s">
        <v>475</v>
      </c>
      <c r="D862" s="1052"/>
      <c r="E862" s="1052" t="s">
        <v>431</v>
      </c>
      <c r="F862" s="1052"/>
      <c r="G862" s="1052"/>
      <c r="H862" s="1052">
        <v>6</v>
      </c>
      <c r="I862" s="1051">
        <v>9.5</v>
      </c>
      <c r="J862" s="1050">
        <v>25.4</v>
      </c>
      <c r="K862" s="1049">
        <f>25.4*5/16</f>
        <v>7.9375</v>
      </c>
      <c r="L862" s="1049"/>
      <c r="M862" s="1049"/>
      <c r="N862" s="1048"/>
      <c r="O862" s="1047">
        <f t="shared" si="60"/>
        <v>1.5833333333333333</v>
      </c>
      <c r="P862" s="1047">
        <f t="shared" si="61"/>
        <v>6.6674999999999998E-2</v>
      </c>
      <c r="Q862" s="1064"/>
      <c r="T862" s="1031"/>
    </row>
    <row r="863" spans="2:20">
      <c r="B863" s="1054"/>
      <c r="C863" s="1053" t="s">
        <v>474</v>
      </c>
      <c r="D863" s="1052"/>
      <c r="E863" s="1052" t="s">
        <v>431</v>
      </c>
      <c r="F863" s="1052"/>
      <c r="G863" s="1052"/>
      <c r="H863" s="1052">
        <v>6</v>
      </c>
      <c r="I863" s="1051">
        <v>10.6</v>
      </c>
      <c r="J863" s="1050">
        <v>25.4</v>
      </c>
      <c r="K863" s="1049">
        <f>25.4*3/8</f>
        <v>9.5249999999999986</v>
      </c>
      <c r="L863" s="1049"/>
      <c r="M863" s="1049"/>
      <c r="N863" s="1048"/>
      <c r="O863" s="1047">
        <f t="shared" si="60"/>
        <v>1.7666666666666666</v>
      </c>
      <c r="P863" s="1047">
        <f t="shared" si="61"/>
        <v>6.9849999999999995E-2</v>
      </c>
      <c r="Q863" s="1064"/>
      <c r="T863" s="1031"/>
    </row>
    <row r="864" spans="2:20">
      <c r="B864" s="1054"/>
      <c r="C864" s="1053" t="s">
        <v>473</v>
      </c>
      <c r="D864" s="1052"/>
      <c r="E864" s="1052" t="s">
        <v>431</v>
      </c>
      <c r="F864" s="1052"/>
      <c r="G864" s="1052"/>
      <c r="H864" s="1052">
        <v>6</v>
      </c>
      <c r="I864" s="1051">
        <v>4.0999999999999996</v>
      </c>
      <c r="J864" s="1050">
        <f>25.4*5/4</f>
        <v>31.75</v>
      </c>
      <c r="K864" s="1049">
        <f>25.4*1/8</f>
        <v>3.1749999999999998</v>
      </c>
      <c r="L864" s="1049"/>
      <c r="M864" s="1049"/>
      <c r="N864" s="1048"/>
      <c r="O864" s="1047">
        <f t="shared" si="60"/>
        <v>0.68333333333333324</v>
      </c>
      <c r="P864" s="1047">
        <f t="shared" si="61"/>
        <v>6.9849999999999995E-2</v>
      </c>
      <c r="Q864" s="1064"/>
      <c r="T864" s="1031"/>
    </row>
    <row r="865" spans="2:20">
      <c r="B865" s="1054"/>
      <c r="C865" s="1053" t="s">
        <v>472</v>
      </c>
      <c r="D865" s="1052"/>
      <c r="E865" s="1052" t="s">
        <v>431</v>
      </c>
      <c r="F865" s="1052"/>
      <c r="G865" s="1052"/>
      <c r="H865" s="1052">
        <v>6</v>
      </c>
      <c r="I865" s="1051">
        <v>6.8</v>
      </c>
      <c r="J865" s="1050">
        <f>25.4*5/4</f>
        <v>31.75</v>
      </c>
      <c r="K865" s="1049">
        <f>25.4*3/16</f>
        <v>4.7624999999999993</v>
      </c>
      <c r="L865" s="1049"/>
      <c r="M865" s="1049"/>
      <c r="N865" s="1048"/>
      <c r="O865" s="1047">
        <f t="shared" si="60"/>
        <v>1.1333333333333333</v>
      </c>
      <c r="P865" s="1047">
        <f t="shared" si="61"/>
        <v>7.3025000000000007E-2</v>
      </c>
      <c r="Q865" s="1064"/>
      <c r="T865" s="1031"/>
    </row>
    <row r="866" spans="2:20">
      <c r="B866" s="1054"/>
      <c r="C866" s="1053" t="s">
        <v>471</v>
      </c>
      <c r="D866" s="1052"/>
      <c r="E866" s="1052" t="s">
        <v>431</v>
      </c>
      <c r="F866" s="1052"/>
      <c r="G866" s="1052"/>
      <c r="H866" s="1052">
        <v>6</v>
      </c>
      <c r="I866" s="1051">
        <v>9.08</v>
      </c>
      <c r="J866" s="1050">
        <f>25.4*5/4</f>
        <v>31.75</v>
      </c>
      <c r="K866" s="1049">
        <f>25.4/4</f>
        <v>6.35</v>
      </c>
      <c r="L866" s="1049"/>
      <c r="M866" s="1049"/>
      <c r="N866" s="1048"/>
      <c r="O866" s="1047">
        <f t="shared" si="60"/>
        <v>1.5133333333333334</v>
      </c>
      <c r="P866" s="1047">
        <f t="shared" si="61"/>
        <v>7.6200000000000004E-2</v>
      </c>
      <c r="Q866" s="1064"/>
      <c r="T866" s="1031"/>
    </row>
    <row r="867" spans="2:20">
      <c r="B867" s="1054"/>
      <c r="C867" s="1053" t="s">
        <v>470</v>
      </c>
      <c r="D867" s="1052"/>
      <c r="E867" s="1052" t="s">
        <v>431</v>
      </c>
      <c r="F867" s="1052"/>
      <c r="G867" s="1052"/>
      <c r="H867" s="1052">
        <v>6</v>
      </c>
      <c r="I867" s="1051">
        <v>14.5</v>
      </c>
      <c r="J867" s="1050">
        <f>25.4*5/4</f>
        <v>31.75</v>
      </c>
      <c r="K867" s="1049">
        <f>25.4*3/8</f>
        <v>9.5249999999999986</v>
      </c>
      <c r="L867" s="1049"/>
      <c r="M867" s="1049"/>
      <c r="N867" s="1048"/>
      <c r="O867" s="1047">
        <f t="shared" si="60"/>
        <v>2.4166666666666665</v>
      </c>
      <c r="P867" s="1047">
        <f t="shared" si="61"/>
        <v>8.2549999999999998E-2</v>
      </c>
      <c r="Q867" s="1064"/>
      <c r="T867" s="1031"/>
    </row>
    <row r="868" spans="2:20">
      <c r="B868" s="1054"/>
      <c r="C868" s="1053" t="s">
        <v>469</v>
      </c>
      <c r="D868" s="1052"/>
      <c r="E868" s="1052" t="s">
        <v>431</v>
      </c>
      <c r="F868" s="1052"/>
      <c r="G868" s="1052"/>
      <c r="H868" s="1052">
        <v>6</v>
      </c>
      <c r="I868" s="1051">
        <v>5.37</v>
      </c>
      <c r="J868" s="1050">
        <f>25.4*3/2</f>
        <v>38.099999999999994</v>
      </c>
      <c r="K868" s="1049">
        <f>25.4*1/8</f>
        <v>3.1749999999999998</v>
      </c>
      <c r="L868" s="1049"/>
      <c r="M868" s="1049"/>
      <c r="N868" s="1048"/>
      <c r="O868" s="1047">
        <f t="shared" si="60"/>
        <v>0.89500000000000002</v>
      </c>
      <c r="P868" s="1047">
        <f t="shared" si="61"/>
        <v>8.2549999999999985E-2</v>
      </c>
      <c r="Q868" s="1064"/>
      <c r="T868" s="1031"/>
    </row>
    <row r="869" spans="2:20">
      <c r="B869" s="1054"/>
      <c r="C869" s="1053" t="s">
        <v>468</v>
      </c>
      <c r="D869" s="1052"/>
      <c r="E869" s="1052" t="s">
        <v>431</v>
      </c>
      <c r="F869" s="1052"/>
      <c r="G869" s="1052"/>
      <c r="H869" s="1052">
        <v>6</v>
      </c>
      <c r="I869" s="1051">
        <v>8.0399999999999991</v>
      </c>
      <c r="J869" s="1050">
        <f>25.4*3/2</f>
        <v>38.099999999999994</v>
      </c>
      <c r="K869" s="1049">
        <f>25.4*3/16</f>
        <v>4.7624999999999993</v>
      </c>
      <c r="L869" s="1049"/>
      <c r="M869" s="1049"/>
      <c r="N869" s="1048"/>
      <c r="O869" s="1047">
        <f t="shared" si="60"/>
        <v>1.3399999999999999</v>
      </c>
      <c r="P869" s="1047">
        <f t="shared" si="61"/>
        <v>8.5724999999999996E-2</v>
      </c>
      <c r="Q869" s="1064"/>
      <c r="T869" s="1031"/>
    </row>
    <row r="870" spans="2:20">
      <c r="B870" s="1054"/>
      <c r="C870" s="1053" t="s">
        <v>467</v>
      </c>
      <c r="D870" s="1052"/>
      <c r="E870" s="1052" t="s">
        <v>431</v>
      </c>
      <c r="F870" s="1052"/>
      <c r="G870" s="1052"/>
      <c r="H870" s="1052">
        <v>6</v>
      </c>
      <c r="I870" s="1051">
        <v>10.8</v>
      </c>
      <c r="J870" s="1050">
        <f>25.4*3/2</f>
        <v>38.099999999999994</v>
      </c>
      <c r="K870" s="1049">
        <f>25.4/4</f>
        <v>6.35</v>
      </c>
      <c r="L870" s="1049"/>
      <c r="M870" s="1049"/>
      <c r="N870" s="1048"/>
      <c r="O870" s="1047">
        <f t="shared" si="60"/>
        <v>1.8</v>
      </c>
      <c r="P870" s="1047">
        <f t="shared" si="61"/>
        <v>8.8899999999999993E-2</v>
      </c>
      <c r="Q870" s="1064"/>
      <c r="T870" s="1031"/>
    </row>
    <row r="871" spans="2:20">
      <c r="B871" s="1054"/>
      <c r="C871" s="1053" t="s">
        <v>466</v>
      </c>
      <c r="D871" s="1052"/>
      <c r="E871" s="1052" t="s">
        <v>431</v>
      </c>
      <c r="F871" s="1052"/>
      <c r="G871" s="1052"/>
      <c r="H871" s="1052">
        <v>6</v>
      </c>
      <c r="I871" s="1051">
        <v>12.2</v>
      </c>
      <c r="J871" s="1050">
        <f>25.4*5/2</f>
        <v>63.5</v>
      </c>
      <c r="K871" s="1049">
        <f>25.4*5/16</f>
        <v>7.9375</v>
      </c>
      <c r="L871" s="1049"/>
      <c r="M871" s="1049"/>
      <c r="N871" s="1048"/>
      <c r="O871" s="1047">
        <f t="shared" si="60"/>
        <v>2.0333333333333332</v>
      </c>
      <c r="P871" s="1047">
        <f t="shared" si="61"/>
        <v>0.142875</v>
      </c>
      <c r="Q871" s="1064"/>
      <c r="T871" s="1031"/>
    </row>
    <row r="872" spans="2:20">
      <c r="B872" s="1054"/>
      <c r="C872" s="1053" t="s">
        <v>465</v>
      </c>
      <c r="D872" s="1052"/>
      <c r="E872" s="1052" t="s">
        <v>431</v>
      </c>
      <c r="F872" s="1052"/>
      <c r="G872" s="1052"/>
      <c r="H872" s="1052">
        <v>6</v>
      </c>
      <c r="I872" s="1051">
        <v>16</v>
      </c>
      <c r="J872" s="1050">
        <f>25.4*5/2</f>
        <v>63.5</v>
      </c>
      <c r="K872" s="1049">
        <f>25.4*3/8</f>
        <v>9.5249999999999986</v>
      </c>
      <c r="L872" s="1049"/>
      <c r="M872" s="1049"/>
      <c r="N872" s="1048"/>
      <c r="O872" s="1047">
        <f t="shared" si="60"/>
        <v>2.6666666666666665</v>
      </c>
      <c r="P872" s="1047">
        <f t="shared" si="61"/>
        <v>0.14605000000000001</v>
      </c>
      <c r="Q872" s="1064"/>
      <c r="T872" s="1031"/>
    </row>
    <row r="873" spans="2:20">
      <c r="B873" s="1054"/>
      <c r="C873" s="1053" t="s">
        <v>464</v>
      </c>
      <c r="D873" s="1052"/>
      <c r="E873" s="1052" t="s">
        <v>431</v>
      </c>
      <c r="F873" s="1052"/>
      <c r="G873" s="1052"/>
      <c r="H873" s="1052">
        <v>6</v>
      </c>
      <c r="I873" s="1051">
        <v>21.5</v>
      </c>
      <c r="J873" s="1050">
        <f>25.4*5/2</f>
        <v>63.5</v>
      </c>
      <c r="K873" s="1049">
        <f>25.4*1/2</f>
        <v>12.7</v>
      </c>
      <c r="L873" s="1049"/>
      <c r="M873" s="1049"/>
      <c r="N873" s="1048"/>
      <c r="O873" s="1047">
        <f t="shared" si="60"/>
        <v>3.5833333333333335</v>
      </c>
      <c r="P873" s="1047">
        <f t="shared" si="61"/>
        <v>0.15240000000000001</v>
      </c>
      <c r="Q873" s="1064"/>
      <c r="T873" s="1031"/>
    </row>
    <row r="874" spans="2:20">
      <c r="B874" s="1054"/>
      <c r="C874" s="1053" t="s">
        <v>463</v>
      </c>
      <c r="D874" s="1052"/>
      <c r="E874" s="1052" t="s">
        <v>431</v>
      </c>
      <c r="F874" s="1052"/>
      <c r="G874" s="1052"/>
      <c r="H874" s="1052">
        <v>6</v>
      </c>
      <c r="I874" s="1051">
        <v>7</v>
      </c>
      <c r="J874" s="1050">
        <f t="shared" ref="J874:J880" si="62">25.4*2</f>
        <v>50.8</v>
      </c>
      <c r="K874" s="1049">
        <f>25.4*1/8</f>
        <v>3.1749999999999998</v>
      </c>
      <c r="L874" s="1049"/>
      <c r="M874" s="1049"/>
      <c r="N874" s="1048"/>
      <c r="O874" s="1047">
        <f t="shared" si="60"/>
        <v>1.1666666666666667</v>
      </c>
      <c r="P874" s="1047">
        <f t="shared" si="61"/>
        <v>0.10794999999999999</v>
      </c>
      <c r="Q874" s="1064"/>
      <c r="T874" s="1031"/>
    </row>
    <row r="875" spans="2:20">
      <c r="B875" s="1054"/>
      <c r="C875" s="1053" t="s">
        <v>462</v>
      </c>
      <c r="D875" s="1052"/>
      <c r="E875" s="1052" t="s">
        <v>431</v>
      </c>
      <c r="F875" s="1052"/>
      <c r="G875" s="1052"/>
      <c r="H875" s="1052">
        <v>6</v>
      </c>
      <c r="I875" s="1051">
        <v>10.6</v>
      </c>
      <c r="J875" s="1050">
        <f t="shared" si="62"/>
        <v>50.8</v>
      </c>
      <c r="K875" s="1049">
        <f>25.4*3/16</f>
        <v>4.7624999999999993</v>
      </c>
      <c r="L875" s="1049"/>
      <c r="M875" s="1049"/>
      <c r="N875" s="1048"/>
      <c r="O875" s="1047">
        <f t="shared" si="60"/>
        <v>1.7666666666666666</v>
      </c>
      <c r="P875" s="1047">
        <f t="shared" si="61"/>
        <v>0.111125</v>
      </c>
      <c r="Q875" s="1064"/>
      <c r="T875" s="1031"/>
    </row>
    <row r="876" spans="2:20">
      <c r="B876" s="1054"/>
      <c r="C876" s="1053" t="s">
        <v>461</v>
      </c>
      <c r="D876" s="1052"/>
      <c r="E876" s="1052" t="s">
        <v>431</v>
      </c>
      <c r="F876" s="1052"/>
      <c r="G876" s="1052"/>
      <c r="H876" s="1052">
        <v>6</v>
      </c>
      <c r="I876" s="1051">
        <v>14.4</v>
      </c>
      <c r="J876" s="1050">
        <f t="shared" si="62"/>
        <v>50.8</v>
      </c>
      <c r="K876" s="1049">
        <f>25.4/4</f>
        <v>6.35</v>
      </c>
      <c r="L876" s="1049"/>
      <c r="M876" s="1049"/>
      <c r="N876" s="1048"/>
      <c r="O876" s="1047">
        <f t="shared" si="60"/>
        <v>2.4</v>
      </c>
      <c r="P876" s="1047">
        <f t="shared" si="61"/>
        <v>0.1143</v>
      </c>
      <c r="Q876" s="1064"/>
      <c r="T876" s="1031"/>
    </row>
    <row r="877" spans="2:20">
      <c r="B877" s="1054"/>
      <c r="C877" s="1053" t="s">
        <v>460</v>
      </c>
      <c r="D877" s="1052"/>
      <c r="E877" s="1052" t="s">
        <v>431</v>
      </c>
      <c r="F877" s="1052"/>
      <c r="G877" s="1052"/>
      <c r="H877" s="1052">
        <v>6</v>
      </c>
      <c r="I877" s="1051">
        <v>9.5</v>
      </c>
      <c r="J877" s="1050">
        <f t="shared" si="62"/>
        <v>50.8</v>
      </c>
      <c r="K877" s="1049">
        <f>25.4*5/16</f>
        <v>7.9375</v>
      </c>
      <c r="L877" s="1049"/>
      <c r="M877" s="1049"/>
      <c r="N877" s="1048"/>
      <c r="O877" s="1047">
        <f t="shared" si="60"/>
        <v>1.5833333333333333</v>
      </c>
      <c r="P877" s="1047">
        <f t="shared" si="61"/>
        <v>0.117475</v>
      </c>
      <c r="Q877" s="1064"/>
      <c r="T877" s="1031"/>
    </row>
    <row r="878" spans="2:20">
      <c r="B878" s="1054"/>
      <c r="C878" s="1053" t="s">
        <v>459</v>
      </c>
      <c r="D878" s="1052"/>
      <c r="E878" s="1052" t="s">
        <v>431</v>
      </c>
      <c r="F878" s="1052"/>
      <c r="G878" s="1052"/>
      <c r="H878" s="1052">
        <v>6</v>
      </c>
      <c r="I878" s="1051">
        <v>21.2</v>
      </c>
      <c r="J878" s="1050">
        <f t="shared" si="62"/>
        <v>50.8</v>
      </c>
      <c r="K878" s="1049">
        <f>25.4*3/8</f>
        <v>9.5249999999999986</v>
      </c>
      <c r="L878" s="1049"/>
      <c r="M878" s="1049"/>
      <c r="N878" s="1048"/>
      <c r="O878" s="1047">
        <f t="shared" si="60"/>
        <v>3.5333333333333332</v>
      </c>
      <c r="P878" s="1047">
        <f t="shared" si="61"/>
        <v>0.12064999999999999</v>
      </c>
      <c r="Q878" s="1064"/>
      <c r="T878" s="1031"/>
    </row>
    <row r="879" spans="2:20">
      <c r="B879" s="1054"/>
      <c r="C879" s="1053" t="s">
        <v>458</v>
      </c>
      <c r="D879" s="1052"/>
      <c r="E879" s="1052" t="s">
        <v>431</v>
      </c>
      <c r="F879" s="1052"/>
      <c r="G879" s="1052"/>
      <c r="H879" s="1052">
        <v>6</v>
      </c>
      <c r="I879" s="1051">
        <v>31.5</v>
      </c>
      <c r="J879" s="1050">
        <f t="shared" si="62"/>
        <v>50.8</v>
      </c>
      <c r="K879" s="1049">
        <f>25.4*1/2</f>
        <v>12.7</v>
      </c>
      <c r="L879" s="1049"/>
      <c r="M879" s="1049"/>
      <c r="N879" s="1048"/>
      <c r="O879" s="1047">
        <f t="shared" si="60"/>
        <v>5.25</v>
      </c>
      <c r="P879" s="1047">
        <f t="shared" si="61"/>
        <v>0.127</v>
      </c>
      <c r="Q879" s="1064"/>
      <c r="T879" s="1031"/>
    </row>
    <row r="880" spans="2:20">
      <c r="B880" s="1054"/>
      <c r="C880" s="1053" t="s">
        <v>457</v>
      </c>
      <c r="D880" s="1052"/>
      <c r="E880" s="1052" t="s">
        <v>431</v>
      </c>
      <c r="F880" s="1052"/>
      <c r="G880" s="1052"/>
      <c r="H880" s="1052">
        <v>6</v>
      </c>
      <c r="I880" s="1051">
        <v>37.799999999999997</v>
      </c>
      <c r="J880" s="1050">
        <f t="shared" si="62"/>
        <v>50.8</v>
      </c>
      <c r="K880" s="1049">
        <f>25.4*5/8</f>
        <v>15.875</v>
      </c>
      <c r="L880" s="1049"/>
      <c r="M880" s="1049"/>
      <c r="N880" s="1048"/>
      <c r="O880" s="1047">
        <f t="shared" ref="O880:O904" si="63">I880/H880</f>
        <v>6.3</v>
      </c>
      <c r="P880" s="1047">
        <f t="shared" si="61"/>
        <v>0.13335</v>
      </c>
      <c r="Q880" s="1064"/>
      <c r="T880" s="1031"/>
    </row>
    <row r="881" spans="2:20">
      <c r="B881" s="1054"/>
      <c r="C881" s="1053" t="s">
        <v>456</v>
      </c>
      <c r="D881" s="1052"/>
      <c r="E881" s="1052" t="s">
        <v>431</v>
      </c>
      <c r="F881" s="1052"/>
      <c r="G881" s="1052"/>
      <c r="H881" s="1052">
        <v>6</v>
      </c>
      <c r="I881" s="1051">
        <v>18.399999999999999</v>
      </c>
      <c r="J881" s="1050">
        <f>25.4*5/2</f>
        <v>63.5</v>
      </c>
      <c r="K881" s="1049">
        <f>25.4/4</f>
        <v>6.35</v>
      </c>
      <c r="L881" s="1049"/>
      <c r="M881" s="1049"/>
      <c r="N881" s="1048"/>
      <c r="O881" s="1047">
        <f t="shared" si="63"/>
        <v>3.0666666666666664</v>
      </c>
      <c r="P881" s="1047">
        <f t="shared" si="61"/>
        <v>0.13969999999999999</v>
      </c>
      <c r="Q881" s="1064"/>
      <c r="T881" s="1031"/>
    </row>
    <row r="882" spans="2:20">
      <c r="B882" s="1054"/>
      <c r="C882" s="1053" t="s">
        <v>455</v>
      </c>
      <c r="D882" s="1052"/>
      <c r="E882" s="1052" t="s">
        <v>431</v>
      </c>
      <c r="F882" s="1052"/>
      <c r="G882" s="1052"/>
      <c r="H882" s="1052">
        <v>6</v>
      </c>
      <c r="I882" s="1051">
        <v>27.6</v>
      </c>
      <c r="J882" s="1050">
        <f>25.4*5/2</f>
        <v>63.5</v>
      </c>
      <c r="K882" s="1049">
        <f>25.4*3/8</f>
        <v>9.5249999999999986</v>
      </c>
      <c r="L882" s="1049"/>
      <c r="M882" s="1049"/>
      <c r="N882" s="1048"/>
      <c r="O882" s="1047">
        <f t="shared" si="63"/>
        <v>4.6000000000000005</v>
      </c>
      <c r="P882" s="1047">
        <f t="shared" si="61"/>
        <v>0.14605000000000001</v>
      </c>
      <c r="Q882" s="1064"/>
      <c r="T882" s="1031"/>
    </row>
    <row r="883" spans="2:20">
      <c r="B883" s="1054"/>
      <c r="C883" s="1053" t="s">
        <v>454</v>
      </c>
      <c r="D883" s="1052"/>
      <c r="E883" s="1052" t="s">
        <v>431</v>
      </c>
      <c r="F883" s="1052"/>
      <c r="G883" s="1052"/>
      <c r="H883" s="1052">
        <v>6</v>
      </c>
      <c r="I883" s="1051">
        <v>22</v>
      </c>
      <c r="J883" s="1050">
        <f>25.4*3</f>
        <v>76.199999999999989</v>
      </c>
      <c r="K883" s="1049">
        <f>25.4/4</f>
        <v>6.35</v>
      </c>
      <c r="L883" s="1049"/>
      <c r="M883" s="1049"/>
      <c r="N883" s="1048"/>
      <c r="O883" s="1047">
        <f t="shared" si="63"/>
        <v>3.6666666666666665</v>
      </c>
      <c r="P883" s="1047">
        <f t="shared" si="61"/>
        <v>0.16509999999999997</v>
      </c>
      <c r="Q883" s="1064"/>
      <c r="T883" s="1031"/>
    </row>
    <row r="884" spans="2:20">
      <c r="B884" s="1054"/>
      <c r="C884" s="1053" t="s">
        <v>453</v>
      </c>
      <c r="D884" s="1052"/>
      <c r="E884" s="1052" t="s">
        <v>431</v>
      </c>
      <c r="F884" s="1052"/>
      <c r="G884" s="1052"/>
      <c r="H884" s="1052">
        <v>6</v>
      </c>
      <c r="I884" s="1051">
        <v>32</v>
      </c>
      <c r="J884" s="1050">
        <f>25.4*3</f>
        <v>76.199999999999989</v>
      </c>
      <c r="K884" s="1049">
        <f>25.4*3/8</f>
        <v>9.5249999999999986</v>
      </c>
      <c r="L884" s="1049"/>
      <c r="M884" s="1049"/>
      <c r="N884" s="1048"/>
      <c r="O884" s="1047">
        <f t="shared" si="63"/>
        <v>5.333333333333333</v>
      </c>
      <c r="P884" s="1047">
        <f t="shared" ref="P884:P904" si="64">2*(J884+K884)/1000</f>
        <v>0.17144999999999999</v>
      </c>
      <c r="Q884" s="1064"/>
      <c r="T884" s="1031"/>
    </row>
    <row r="885" spans="2:20">
      <c r="B885" s="1054"/>
      <c r="C885" s="1053" t="s">
        <v>452</v>
      </c>
      <c r="D885" s="1052"/>
      <c r="E885" s="1052" t="s">
        <v>431</v>
      </c>
      <c r="F885" s="1052"/>
      <c r="G885" s="1052"/>
      <c r="H885" s="1052">
        <v>6</v>
      </c>
      <c r="I885" s="1051">
        <v>42.4</v>
      </c>
      <c r="J885" s="1050">
        <f>25.4*3</f>
        <v>76.199999999999989</v>
      </c>
      <c r="K885" s="1049">
        <f>25.4*1/2</f>
        <v>12.7</v>
      </c>
      <c r="L885" s="1049"/>
      <c r="M885" s="1049"/>
      <c r="N885" s="1048"/>
      <c r="O885" s="1047">
        <f t="shared" si="63"/>
        <v>7.0666666666666664</v>
      </c>
      <c r="P885" s="1047">
        <f t="shared" si="64"/>
        <v>0.17779999999999999</v>
      </c>
      <c r="Q885" s="1064"/>
      <c r="T885" s="1031"/>
    </row>
    <row r="886" spans="2:20">
      <c r="B886" s="1054"/>
      <c r="C886" s="1053" t="s">
        <v>451</v>
      </c>
      <c r="D886" s="1052"/>
      <c r="E886" s="1052" t="s">
        <v>431</v>
      </c>
      <c r="F886" s="1052"/>
      <c r="G886" s="1052"/>
      <c r="H886" s="1052">
        <v>6</v>
      </c>
      <c r="I886" s="1051">
        <v>29.5</v>
      </c>
      <c r="J886" s="1050">
        <f>25.4*4</f>
        <v>101.6</v>
      </c>
      <c r="K886" s="1049">
        <f>25.4/4</f>
        <v>6.35</v>
      </c>
      <c r="L886" s="1049"/>
      <c r="M886" s="1049"/>
      <c r="N886" s="1048"/>
      <c r="O886" s="1047">
        <f t="shared" si="63"/>
        <v>4.916666666666667</v>
      </c>
      <c r="P886" s="1047">
        <f t="shared" si="64"/>
        <v>0.21589999999999998</v>
      </c>
      <c r="Q886" s="1064"/>
      <c r="T886" s="1031"/>
    </row>
    <row r="887" spans="2:20">
      <c r="B887" s="1054"/>
      <c r="C887" s="1053" t="s">
        <v>450</v>
      </c>
      <c r="D887" s="1052"/>
      <c r="E887" s="1052" t="s">
        <v>431</v>
      </c>
      <c r="F887" s="1052"/>
      <c r="G887" s="1052"/>
      <c r="H887" s="1052">
        <v>6</v>
      </c>
      <c r="I887" s="1051">
        <v>42.5</v>
      </c>
      <c r="J887" s="1050">
        <f>25.4*4</f>
        <v>101.6</v>
      </c>
      <c r="K887" s="1049">
        <f>25.4*3/8</f>
        <v>9.5249999999999986</v>
      </c>
      <c r="L887" s="1049"/>
      <c r="M887" s="1049"/>
      <c r="N887" s="1048"/>
      <c r="O887" s="1047">
        <f t="shared" si="63"/>
        <v>7.083333333333333</v>
      </c>
      <c r="P887" s="1047">
        <f t="shared" si="64"/>
        <v>0.22225</v>
      </c>
      <c r="Q887" s="1064"/>
      <c r="T887" s="1031"/>
    </row>
    <row r="888" spans="2:20">
      <c r="B888" s="1054"/>
      <c r="C888" s="1053" t="s">
        <v>449</v>
      </c>
      <c r="D888" s="1052"/>
      <c r="E888" s="1052" t="s">
        <v>431</v>
      </c>
      <c r="F888" s="1052"/>
      <c r="G888" s="1052"/>
      <c r="H888" s="1052">
        <v>6</v>
      </c>
      <c r="I888" s="1051">
        <v>56.5</v>
      </c>
      <c r="J888" s="1050">
        <f>25.4*4</f>
        <v>101.6</v>
      </c>
      <c r="K888" s="1049">
        <f>25.4*1/2</f>
        <v>12.7</v>
      </c>
      <c r="L888" s="1049"/>
      <c r="M888" s="1049"/>
      <c r="N888" s="1048"/>
      <c r="O888" s="1047">
        <f t="shared" si="63"/>
        <v>9.4166666666666661</v>
      </c>
      <c r="P888" s="1047">
        <f t="shared" si="64"/>
        <v>0.2286</v>
      </c>
      <c r="Q888" s="1064"/>
      <c r="T888" s="1031"/>
    </row>
    <row r="889" spans="2:20">
      <c r="B889" s="1054" t="s">
        <v>448</v>
      </c>
      <c r="C889" s="1053" t="s">
        <v>447</v>
      </c>
      <c r="D889" s="1052"/>
      <c r="E889" s="1052" t="s">
        <v>431</v>
      </c>
      <c r="F889" s="1052"/>
      <c r="G889" s="1052"/>
      <c r="H889" s="1052">
        <v>6</v>
      </c>
      <c r="I889" s="1051">
        <v>2.4</v>
      </c>
      <c r="J889" s="1050">
        <v>19</v>
      </c>
      <c r="K889" s="1049">
        <v>3</v>
      </c>
      <c r="L889" s="1049"/>
      <c r="M889" s="1049"/>
      <c r="N889" s="1048"/>
      <c r="O889" s="1047">
        <f t="shared" si="63"/>
        <v>0.39999999999999997</v>
      </c>
      <c r="P889" s="1047">
        <f t="shared" si="64"/>
        <v>4.3999999999999997E-2</v>
      </c>
      <c r="Q889" s="1064"/>
      <c r="T889" s="1031"/>
    </row>
    <row r="890" spans="2:20">
      <c r="B890" s="1054"/>
      <c r="C890" s="1053" t="s">
        <v>446</v>
      </c>
      <c r="D890" s="1052"/>
      <c r="E890" s="1052" t="s">
        <v>431</v>
      </c>
      <c r="F890" s="1052"/>
      <c r="G890" s="1052"/>
      <c r="H890" s="1052">
        <v>6</v>
      </c>
      <c r="I890" s="1051">
        <v>3.3</v>
      </c>
      <c r="J890" s="1050">
        <v>19</v>
      </c>
      <c r="K890" s="1049">
        <v>4</v>
      </c>
      <c r="L890" s="1049"/>
      <c r="M890" s="1049"/>
      <c r="N890" s="1048"/>
      <c r="O890" s="1047">
        <f t="shared" si="63"/>
        <v>0.54999999999999993</v>
      </c>
      <c r="P890" s="1047">
        <f t="shared" si="64"/>
        <v>4.5999999999999999E-2</v>
      </c>
      <c r="Q890" s="1064"/>
      <c r="T890" s="1031"/>
    </row>
    <row r="891" spans="2:20">
      <c r="B891" s="1054"/>
      <c r="C891" s="1053" t="s">
        <v>445</v>
      </c>
      <c r="D891" s="1052"/>
      <c r="E891" s="1052" t="s">
        <v>431</v>
      </c>
      <c r="F891" s="1052"/>
      <c r="G891" s="1052"/>
      <c r="H891" s="1052">
        <v>6</v>
      </c>
      <c r="I891" s="1051">
        <v>4.5999999999999996</v>
      </c>
      <c r="J891" s="1050">
        <v>19</v>
      </c>
      <c r="K891" s="1049">
        <v>5</v>
      </c>
      <c r="L891" s="1049"/>
      <c r="M891" s="1049"/>
      <c r="N891" s="1048"/>
      <c r="O891" s="1047">
        <f t="shared" si="63"/>
        <v>0.76666666666666661</v>
      </c>
      <c r="P891" s="1047">
        <f t="shared" si="64"/>
        <v>4.8000000000000001E-2</v>
      </c>
      <c r="Q891" s="1064"/>
      <c r="T891" s="1031"/>
    </row>
    <row r="892" spans="2:20">
      <c r="B892" s="1054"/>
      <c r="C892" s="1053" t="s">
        <v>444</v>
      </c>
      <c r="D892" s="1052"/>
      <c r="E892" s="1052" t="s">
        <v>431</v>
      </c>
      <c r="F892" s="1052"/>
      <c r="G892" s="1052"/>
      <c r="H892" s="1052">
        <v>6</v>
      </c>
      <c r="I892" s="1051">
        <v>3.3</v>
      </c>
      <c r="J892" s="1050">
        <v>25</v>
      </c>
      <c r="K892" s="1049">
        <v>3</v>
      </c>
      <c r="L892" s="1049"/>
      <c r="M892" s="1049"/>
      <c r="N892" s="1048"/>
      <c r="O892" s="1047">
        <f t="shared" si="63"/>
        <v>0.54999999999999993</v>
      </c>
      <c r="P892" s="1047">
        <f t="shared" si="64"/>
        <v>5.6000000000000001E-2</v>
      </c>
      <c r="Q892" s="1064"/>
      <c r="T892" s="1031"/>
    </row>
    <row r="893" spans="2:20">
      <c r="B893" s="1054"/>
      <c r="C893" s="1053" t="s">
        <v>443</v>
      </c>
      <c r="D893" s="1052"/>
      <c r="E893" s="1052" t="s">
        <v>431</v>
      </c>
      <c r="F893" s="1052"/>
      <c r="G893" s="1052"/>
      <c r="H893" s="1052">
        <v>6</v>
      </c>
      <c r="I893" s="1051">
        <v>4.4000000000000004</v>
      </c>
      <c r="J893" s="1050">
        <v>25</v>
      </c>
      <c r="K893" s="1049">
        <v>4</v>
      </c>
      <c r="L893" s="1049"/>
      <c r="M893" s="1049"/>
      <c r="N893" s="1048"/>
      <c r="O893" s="1047">
        <f t="shared" si="63"/>
        <v>0.73333333333333339</v>
      </c>
      <c r="P893" s="1047">
        <f t="shared" si="64"/>
        <v>5.8000000000000003E-2</v>
      </c>
      <c r="Q893" s="1064"/>
      <c r="T893" s="1031"/>
    </row>
    <row r="894" spans="2:20">
      <c r="B894" s="1054"/>
      <c r="C894" s="1053" t="s">
        <v>442</v>
      </c>
      <c r="D894" s="1052"/>
      <c r="E894" s="1052" t="s">
        <v>431</v>
      </c>
      <c r="F894" s="1052"/>
      <c r="G894" s="1052"/>
      <c r="H894" s="1052">
        <v>6</v>
      </c>
      <c r="I894" s="1051">
        <v>6</v>
      </c>
      <c r="J894" s="1050">
        <v>25</v>
      </c>
      <c r="K894" s="1049">
        <v>5</v>
      </c>
      <c r="L894" s="1049"/>
      <c r="M894" s="1049"/>
      <c r="N894" s="1048"/>
      <c r="O894" s="1047">
        <f t="shared" si="63"/>
        <v>1</v>
      </c>
      <c r="P894" s="1047">
        <f t="shared" si="64"/>
        <v>0.06</v>
      </c>
      <c r="Q894" s="1064"/>
      <c r="T894" s="1031"/>
    </row>
    <row r="895" spans="2:20">
      <c r="B895" s="1054"/>
      <c r="C895" s="1053" t="s">
        <v>441</v>
      </c>
      <c r="D895" s="1052"/>
      <c r="E895" s="1052" t="s">
        <v>431</v>
      </c>
      <c r="F895" s="1052"/>
      <c r="G895" s="1052"/>
      <c r="H895" s="1052">
        <v>6</v>
      </c>
      <c r="I895" s="1051">
        <v>4</v>
      </c>
      <c r="J895" s="1050">
        <v>30</v>
      </c>
      <c r="K895" s="1049">
        <v>3</v>
      </c>
      <c r="L895" s="1049"/>
      <c r="M895" s="1049"/>
      <c r="N895" s="1048"/>
      <c r="O895" s="1047">
        <f t="shared" si="63"/>
        <v>0.66666666666666663</v>
      </c>
      <c r="P895" s="1047">
        <f t="shared" si="64"/>
        <v>6.6000000000000003E-2</v>
      </c>
      <c r="Q895" s="1064"/>
      <c r="T895" s="1031"/>
    </row>
    <row r="896" spans="2:20">
      <c r="B896" s="1054"/>
      <c r="C896" s="1053" t="s">
        <v>440</v>
      </c>
      <c r="D896" s="1052"/>
      <c r="E896" s="1052" t="s">
        <v>431</v>
      </c>
      <c r="F896" s="1052"/>
      <c r="G896" s="1052"/>
      <c r="H896" s="1052">
        <v>6</v>
      </c>
      <c r="I896" s="1051">
        <v>5.4</v>
      </c>
      <c r="J896" s="1050">
        <v>30</v>
      </c>
      <c r="K896" s="1049">
        <v>4</v>
      </c>
      <c r="L896" s="1049"/>
      <c r="M896" s="1049"/>
      <c r="N896" s="1048"/>
      <c r="O896" s="1047">
        <f t="shared" si="63"/>
        <v>0.9</v>
      </c>
      <c r="P896" s="1047">
        <f t="shared" si="64"/>
        <v>6.8000000000000005E-2</v>
      </c>
      <c r="Q896" s="1064"/>
      <c r="T896" s="1031"/>
    </row>
    <row r="897" spans="2:21">
      <c r="B897" s="1054"/>
      <c r="C897" s="1053" t="s">
        <v>439</v>
      </c>
      <c r="D897" s="1052"/>
      <c r="E897" s="1052" t="s">
        <v>431</v>
      </c>
      <c r="F897" s="1052"/>
      <c r="G897" s="1052"/>
      <c r="H897" s="1052">
        <v>6</v>
      </c>
      <c r="I897" s="1051">
        <v>7.1</v>
      </c>
      <c r="J897" s="1050">
        <v>30</v>
      </c>
      <c r="K897" s="1049">
        <v>5</v>
      </c>
      <c r="L897" s="1049"/>
      <c r="M897" s="1049"/>
      <c r="N897" s="1048"/>
      <c r="O897" s="1047">
        <f t="shared" si="63"/>
        <v>1.1833333333333333</v>
      </c>
      <c r="P897" s="1047">
        <f t="shared" si="64"/>
        <v>7.0000000000000007E-2</v>
      </c>
      <c r="Q897" s="1064"/>
      <c r="T897" s="1031"/>
    </row>
    <row r="898" spans="2:21">
      <c r="B898" s="1054"/>
      <c r="C898" s="1053" t="s">
        <v>438</v>
      </c>
      <c r="D898" s="1052"/>
      <c r="E898" s="1052" t="s">
        <v>431</v>
      </c>
      <c r="F898" s="1052"/>
      <c r="G898" s="1052"/>
      <c r="H898" s="1052">
        <v>6</v>
      </c>
      <c r="I898" s="1051">
        <v>6.6</v>
      </c>
      <c r="J898" s="1050">
        <v>38</v>
      </c>
      <c r="K898" s="1049">
        <v>4</v>
      </c>
      <c r="L898" s="1049"/>
      <c r="M898" s="1049"/>
      <c r="N898" s="1048"/>
      <c r="O898" s="1047">
        <f t="shared" si="63"/>
        <v>1.0999999999999999</v>
      </c>
      <c r="P898" s="1047">
        <f t="shared" si="64"/>
        <v>8.4000000000000005E-2</v>
      </c>
      <c r="Q898" s="1064"/>
      <c r="T898" s="1031"/>
    </row>
    <row r="899" spans="2:21">
      <c r="B899" s="1054"/>
      <c r="C899" s="1053" t="s">
        <v>437</v>
      </c>
      <c r="D899" s="1052"/>
      <c r="E899" s="1052" t="s">
        <v>431</v>
      </c>
      <c r="F899" s="1052"/>
      <c r="G899" s="1052"/>
      <c r="H899" s="1052">
        <v>6</v>
      </c>
      <c r="I899" s="1051">
        <v>9</v>
      </c>
      <c r="J899" s="1050">
        <v>38</v>
      </c>
      <c r="K899" s="1049">
        <v>5</v>
      </c>
      <c r="L899" s="1049"/>
      <c r="M899" s="1049"/>
      <c r="N899" s="1048"/>
      <c r="O899" s="1047">
        <f t="shared" si="63"/>
        <v>1.5</v>
      </c>
      <c r="P899" s="1047">
        <f t="shared" si="64"/>
        <v>8.5999999999999993E-2</v>
      </c>
      <c r="Q899" s="1064"/>
      <c r="T899" s="1031"/>
    </row>
    <row r="900" spans="2:21">
      <c r="B900" s="1054"/>
      <c r="C900" s="1053" t="s">
        <v>436</v>
      </c>
      <c r="D900" s="1052"/>
      <c r="E900" s="1052" t="s">
        <v>431</v>
      </c>
      <c r="F900" s="1052"/>
      <c r="G900" s="1052"/>
      <c r="H900" s="1052">
        <v>6</v>
      </c>
      <c r="I900" s="1051">
        <v>14.4</v>
      </c>
      <c r="J900" s="1050">
        <v>38</v>
      </c>
      <c r="K900" s="1049">
        <v>8</v>
      </c>
      <c r="L900" s="1049"/>
      <c r="M900" s="1049"/>
      <c r="N900" s="1048"/>
      <c r="O900" s="1047">
        <f t="shared" si="63"/>
        <v>2.4</v>
      </c>
      <c r="P900" s="1047">
        <f t="shared" si="64"/>
        <v>9.1999999999999998E-2</v>
      </c>
      <c r="Q900" s="1064"/>
      <c r="T900" s="1031"/>
    </row>
    <row r="901" spans="2:21">
      <c r="B901" s="1054"/>
      <c r="C901" s="1053" t="s">
        <v>435</v>
      </c>
      <c r="D901" s="1052"/>
      <c r="E901" s="1052" t="s">
        <v>431</v>
      </c>
      <c r="F901" s="1052"/>
      <c r="G901" s="1052"/>
      <c r="H901" s="1052">
        <v>6</v>
      </c>
      <c r="I901" s="1051">
        <v>12</v>
      </c>
      <c r="J901" s="1050">
        <v>50</v>
      </c>
      <c r="K901" s="1049">
        <v>5</v>
      </c>
      <c r="L901" s="1049"/>
      <c r="M901" s="1049"/>
      <c r="N901" s="1048"/>
      <c r="O901" s="1047">
        <f t="shared" si="63"/>
        <v>2</v>
      </c>
      <c r="P901" s="1047">
        <f t="shared" si="64"/>
        <v>0.11</v>
      </c>
      <c r="Q901" s="1064"/>
      <c r="T901" s="1031"/>
    </row>
    <row r="902" spans="2:21">
      <c r="B902" s="1054"/>
      <c r="C902" s="1053" t="s">
        <v>434</v>
      </c>
      <c r="D902" s="1052"/>
      <c r="E902" s="1052" t="s">
        <v>431</v>
      </c>
      <c r="F902" s="1052"/>
      <c r="G902" s="1052"/>
      <c r="H902" s="1052">
        <v>6</v>
      </c>
      <c r="I902" s="1051">
        <v>53.5</v>
      </c>
      <c r="J902" s="1050">
        <v>125</v>
      </c>
      <c r="K902" s="1049">
        <v>9</v>
      </c>
      <c r="L902" s="1049"/>
      <c r="M902" s="1049"/>
      <c r="N902" s="1048"/>
      <c r="O902" s="1047">
        <f t="shared" si="63"/>
        <v>8.9166666666666661</v>
      </c>
      <c r="P902" s="1047">
        <f t="shared" si="64"/>
        <v>0.26800000000000002</v>
      </c>
      <c r="Q902" s="1064"/>
      <c r="T902" s="1031"/>
    </row>
    <row r="903" spans="2:21">
      <c r="B903" s="1054"/>
      <c r="C903" s="1053" t="s">
        <v>433</v>
      </c>
      <c r="D903" s="1052"/>
      <c r="E903" s="1052" t="s">
        <v>431</v>
      </c>
      <c r="F903" s="1052"/>
      <c r="G903" s="1052"/>
      <c r="H903" s="1052">
        <v>6</v>
      </c>
      <c r="I903" s="1051">
        <v>44</v>
      </c>
      <c r="J903" s="1050">
        <v>150</v>
      </c>
      <c r="K903" s="1049">
        <v>6</v>
      </c>
      <c r="L903" s="1049"/>
      <c r="M903" s="1049"/>
      <c r="N903" s="1048"/>
      <c r="O903" s="1047">
        <f t="shared" si="63"/>
        <v>7.333333333333333</v>
      </c>
      <c r="P903" s="1047">
        <f t="shared" si="64"/>
        <v>0.312</v>
      </c>
      <c r="Q903" s="1064"/>
      <c r="T903" s="1031"/>
    </row>
    <row r="904" spans="2:21" ht="15.75" thickBot="1">
      <c r="B904" s="1063"/>
      <c r="C904" s="1062" t="s">
        <v>432</v>
      </c>
      <c r="D904" s="1061"/>
      <c r="E904" s="1061" t="s">
        <v>431</v>
      </c>
      <c r="F904" s="1061"/>
      <c r="G904" s="1061"/>
      <c r="H904" s="1061">
        <v>6</v>
      </c>
      <c r="I904" s="1060">
        <v>63.6</v>
      </c>
      <c r="J904" s="1059">
        <v>150</v>
      </c>
      <c r="K904" s="1058">
        <v>9</v>
      </c>
      <c r="L904" s="1058"/>
      <c r="M904" s="1058"/>
      <c r="N904" s="1057"/>
      <c r="O904" s="1056">
        <f t="shared" si="63"/>
        <v>10.6</v>
      </c>
      <c r="P904" s="1056">
        <f t="shared" si="64"/>
        <v>0.318</v>
      </c>
      <c r="Q904" s="1055"/>
      <c r="T904" s="1031"/>
    </row>
    <row r="905" spans="2:21" s="1026" customFormat="1" ht="14.25" thickTop="1">
      <c r="B905" s="1054"/>
      <c r="C905" s="1053"/>
      <c r="D905" s="1052"/>
      <c r="E905" s="1052"/>
      <c r="F905" s="1052"/>
      <c r="G905" s="1052"/>
      <c r="H905" s="1052"/>
      <c r="I905" s="1051"/>
      <c r="J905" s="1050"/>
      <c r="K905" s="1049"/>
      <c r="L905" s="1049"/>
      <c r="M905" s="1049"/>
      <c r="N905" s="1048"/>
      <c r="O905" s="1047"/>
      <c r="P905" s="1047"/>
      <c r="Q905" s="1046"/>
      <c r="S905" s="1045"/>
      <c r="T905" s="1045"/>
      <c r="U905" s="1044"/>
    </row>
    <row r="906" spans="2:21" s="1032" customFormat="1" ht="13.5">
      <c r="B906" s="1043"/>
      <c r="C906" s="1042"/>
      <c r="D906" s="1041"/>
      <c r="E906" s="1041"/>
      <c r="F906" s="1041"/>
      <c r="G906" s="1041"/>
      <c r="H906" s="1041"/>
      <c r="I906" s="1040"/>
      <c r="J906" s="1039"/>
      <c r="K906" s="1038"/>
      <c r="L906" s="1038"/>
      <c r="M906" s="1038"/>
      <c r="N906" s="1037"/>
      <c r="O906" s="1036"/>
      <c r="P906" s="1036"/>
      <c r="Q906" s="1035"/>
      <c r="S906" s="1034"/>
      <c r="T906" s="1034"/>
      <c r="U906" s="1033"/>
    </row>
    <row r="907" spans="2:21">
      <c r="C907" s="1026" t="s">
        <v>430</v>
      </c>
      <c r="T907" s="1031"/>
    </row>
    <row r="908" spans="2:21">
      <c r="C908" s="1026" t="s">
        <v>429</v>
      </c>
      <c r="T908" s="1031"/>
    </row>
    <row r="909" spans="2:21">
      <c r="C909" s="1026" t="s">
        <v>428</v>
      </c>
      <c r="T909" s="1031"/>
    </row>
    <row r="910" spans="2:21">
      <c r="T910" s="1031"/>
    </row>
    <row r="911" spans="2:21">
      <c r="T911" s="1031"/>
    </row>
    <row r="912" spans="2:21">
      <c r="C912" s="1026" t="s">
        <v>427</v>
      </c>
      <c r="I912" s="1029">
        <v>6</v>
      </c>
      <c r="O912" s="1027">
        <f t="shared" ref="O912:O926" si="65">0.006165*I912^2</f>
        <v>0.22194000000000003</v>
      </c>
      <c r="T912" s="1031"/>
    </row>
    <row r="913" spans="3:20">
      <c r="C913" s="1026" t="s">
        <v>426</v>
      </c>
      <c r="I913" s="1029">
        <v>8</v>
      </c>
      <c r="O913" s="1027">
        <f t="shared" si="65"/>
        <v>0.39456000000000002</v>
      </c>
      <c r="T913" s="1031"/>
    </row>
    <row r="914" spans="3:20">
      <c r="C914" s="1026" t="s">
        <v>425</v>
      </c>
      <c r="I914" s="1029">
        <v>10</v>
      </c>
      <c r="O914" s="1027">
        <f t="shared" si="65"/>
        <v>0.61650000000000005</v>
      </c>
      <c r="T914" s="1031"/>
    </row>
    <row r="915" spans="3:20">
      <c r="C915" s="1026" t="s">
        <v>424</v>
      </c>
      <c r="I915" s="1029">
        <v>12</v>
      </c>
      <c r="O915" s="1027">
        <f t="shared" si="65"/>
        <v>0.8877600000000001</v>
      </c>
      <c r="T915" s="1031"/>
    </row>
    <row r="916" spans="3:20">
      <c r="C916" s="1026" t="s">
        <v>423</v>
      </c>
      <c r="I916" s="1029">
        <v>13</v>
      </c>
      <c r="O916" s="1027">
        <f t="shared" si="65"/>
        <v>1.041885</v>
      </c>
      <c r="T916" s="1031"/>
    </row>
    <row r="917" spans="3:20">
      <c r="C917" s="1026" t="s">
        <v>422</v>
      </c>
      <c r="I917" s="1029">
        <v>16</v>
      </c>
      <c r="O917" s="1027">
        <f t="shared" si="65"/>
        <v>1.5782400000000001</v>
      </c>
      <c r="T917" s="1031"/>
    </row>
    <row r="918" spans="3:20">
      <c r="C918" s="1026" t="s">
        <v>421</v>
      </c>
      <c r="I918" s="1029">
        <v>19</v>
      </c>
      <c r="O918" s="1027">
        <f t="shared" si="65"/>
        <v>2.225565</v>
      </c>
      <c r="T918" s="1031"/>
    </row>
    <row r="919" spans="3:20">
      <c r="C919" s="1026" t="s">
        <v>420</v>
      </c>
      <c r="I919" s="1029">
        <v>20</v>
      </c>
      <c r="O919" s="1027">
        <f t="shared" si="65"/>
        <v>2.4660000000000002</v>
      </c>
      <c r="T919" s="1031"/>
    </row>
    <row r="920" spans="3:20">
      <c r="C920" s="1026" t="s">
        <v>419</v>
      </c>
      <c r="I920" s="1029">
        <v>21</v>
      </c>
      <c r="O920" s="1027">
        <f t="shared" si="65"/>
        <v>2.7187650000000003</v>
      </c>
      <c r="T920" s="1031"/>
    </row>
    <row r="921" spans="3:20">
      <c r="C921" s="1026" t="s">
        <v>418</v>
      </c>
      <c r="I921" s="1029">
        <v>22</v>
      </c>
      <c r="O921" s="1027">
        <f t="shared" si="65"/>
        <v>2.98386</v>
      </c>
      <c r="T921" s="1031"/>
    </row>
    <row r="922" spans="3:20">
      <c r="C922" s="1026" t="s">
        <v>417</v>
      </c>
      <c r="I922" s="1029">
        <v>25</v>
      </c>
      <c r="O922" s="1027">
        <f t="shared" si="65"/>
        <v>3.8531250000000004</v>
      </c>
      <c r="T922" s="1031"/>
    </row>
    <row r="923" spans="3:20">
      <c r="C923" s="1026" t="s">
        <v>416</v>
      </c>
      <c r="I923" s="1029">
        <v>26</v>
      </c>
      <c r="O923" s="1027">
        <f t="shared" si="65"/>
        <v>4.1675399999999998</v>
      </c>
      <c r="T923" s="1031"/>
    </row>
    <row r="924" spans="3:20">
      <c r="C924" s="1026" t="s">
        <v>415</v>
      </c>
      <c r="I924" s="1029">
        <v>29</v>
      </c>
      <c r="O924" s="1027">
        <f t="shared" si="65"/>
        <v>5.1847650000000005</v>
      </c>
      <c r="T924" s="1031"/>
    </row>
    <row r="925" spans="3:20">
      <c r="C925" s="1026" t="s">
        <v>414</v>
      </c>
      <c r="I925" s="1029">
        <v>32</v>
      </c>
      <c r="O925" s="1027">
        <f t="shared" si="65"/>
        <v>6.3129600000000003</v>
      </c>
      <c r="T925" s="1031"/>
    </row>
    <row r="926" spans="3:20">
      <c r="C926" s="1026" t="s">
        <v>413</v>
      </c>
      <c r="I926" s="1029">
        <v>36</v>
      </c>
      <c r="O926" s="1027">
        <f t="shared" si="65"/>
        <v>7.9898400000000001</v>
      </c>
      <c r="T926" s="1031"/>
    </row>
    <row r="927" spans="3:20">
      <c r="T927" s="1031"/>
    </row>
    <row r="928" spans="3:20">
      <c r="T928" s="1031"/>
    </row>
    <row r="929" spans="20:20">
      <c r="T929" s="1031"/>
    </row>
    <row r="930" spans="20:20">
      <c r="T930" s="1031"/>
    </row>
    <row r="931" spans="20:20">
      <c r="T931" s="1031"/>
    </row>
    <row r="932" spans="20:20">
      <c r="T932" s="1031"/>
    </row>
    <row r="933" spans="20:20">
      <c r="T933" s="1031"/>
    </row>
    <row r="934" spans="20:20">
      <c r="T934" s="1031"/>
    </row>
    <row r="935" spans="20:20">
      <c r="T935" s="1031"/>
    </row>
    <row r="936" spans="20:20">
      <c r="T936" s="1031"/>
    </row>
    <row r="937" spans="20:20">
      <c r="T937" s="1031"/>
    </row>
    <row r="938" spans="20:20">
      <c r="T938" s="1031"/>
    </row>
    <row r="939" spans="20:20">
      <c r="T939" s="1031"/>
    </row>
    <row r="940" spans="20:20">
      <c r="T940" s="1031"/>
    </row>
    <row r="941" spans="20:20">
      <c r="T941" s="1031"/>
    </row>
    <row r="942" spans="20:20">
      <c r="T942" s="1031"/>
    </row>
    <row r="943" spans="20:20">
      <c r="T943" s="1031"/>
    </row>
    <row r="944" spans="20:20">
      <c r="T944" s="1031"/>
    </row>
    <row r="945" spans="20:20">
      <c r="T945" s="1031"/>
    </row>
    <row r="946" spans="20:20">
      <c r="T946" s="1031"/>
    </row>
    <row r="947" spans="20:20">
      <c r="T947" s="1031"/>
    </row>
    <row r="948" spans="20:20">
      <c r="T948" s="1031"/>
    </row>
    <row r="949" spans="20:20">
      <c r="T949" s="1031"/>
    </row>
    <row r="950" spans="20:20">
      <c r="T950" s="1031"/>
    </row>
    <row r="951" spans="20:20">
      <c r="T951" s="1031"/>
    </row>
    <row r="952" spans="20:20">
      <c r="T952" s="1031"/>
    </row>
    <row r="953" spans="20:20">
      <c r="T953" s="1031"/>
    </row>
    <row r="954" spans="20:20">
      <c r="T954" s="1031"/>
    </row>
    <row r="955" spans="20:20">
      <c r="T955" s="1031"/>
    </row>
    <row r="956" spans="20:20">
      <c r="T956" s="1031"/>
    </row>
    <row r="957" spans="20:20">
      <c r="T957" s="1031"/>
    </row>
    <row r="958" spans="20:20">
      <c r="T958" s="1031"/>
    </row>
    <row r="959" spans="20:20">
      <c r="T959" s="1031"/>
    </row>
    <row r="960" spans="20:20">
      <c r="T960" s="1031"/>
    </row>
    <row r="961" spans="20:20">
      <c r="T961" s="1031"/>
    </row>
    <row r="962" spans="20:20">
      <c r="T962" s="1031"/>
    </row>
    <row r="963" spans="20:20">
      <c r="T963" s="1031"/>
    </row>
    <row r="964" spans="20:20">
      <c r="T964" s="1031"/>
    </row>
    <row r="965" spans="20:20">
      <c r="T965" s="1031"/>
    </row>
    <row r="966" spans="20:20">
      <c r="T966" s="1031"/>
    </row>
    <row r="967" spans="20:20">
      <c r="T967" s="1031"/>
    </row>
    <row r="968" spans="20:20">
      <c r="T968" s="1031"/>
    </row>
    <row r="969" spans="20:20">
      <c r="T969" s="1031"/>
    </row>
    <row r="970" spans="20:20">
      <c r="T970" s="1031"/>
    </row>
    <row r="971" spans="20:20">
      <c r="T971" s="1031"/>
    </row>
    <row r="972" spans="20:20">
      <c r="T972" s="1031"/>
    </row>
    <row r="973" spans="20:20">
      <c r="T973" s="1031"/>
    </row>
    <row r="974" spans="20:20">
      <c r="T974" s="1031"/>
    </row>
    <row r="975" spans="20:20">
      <c r="T975" s="1031"/>
    </row>
    <row r="976" spans="20:20">
      <c r="T976" s="1031"/>
    </row>
    <row r="977" spans="20:20">
      <c r="T977" s="1031"/>
    </row>
    <row r="978" spans="20:20">
      <c r="T978" s="1031"/>
    </row>
    <row r="979" spans="20:20">
      <c r="T979" s="1031"/>
    </row>
    <row r="980" spans="20:20">
      <c r="T980" s="1031"/>
    </row>
    <row r="981" spans="20:20">
      <c r="T981" s="1031"/>
    </row>
    <row r="982" spans="20:20">
      <c r="T982" s="1031"/>
    </row>
    <row r="983" spans="20:20">
      <c r="T983" s="1031"/>
    </row>
    <row r="984" spans="20:20">
      <c r="T984" s="1031"/>
    </row>
    <row r="985" spans="20:20">
      <c r="T985" s="1031"/>
    </row>
    <row r="986" spans="20:20">
      <c r="T986" s="1031"/>
    </row>
    <row r="987" spans="20:20">
      <c r="T987" s="1031"/>
    </row>
    <row r="988" spans="20:20">
      <c r="T988" s="1031"/>
    </row>
    <row r="989" spans="20:20">
      <c r="T989" s="1031"/>
    </row>
    <row r="990" spans="20:20">
      <c r="T990" s="1031"/>
    </row>
    <row r="991" spans="20:20">
      <c r="T991" s="1031"/>
    </row>
    <row r="992" spans="20:20">
      <c r="T992" s="1031"/>
    </row>
    <row r="993" spans="20:20">
      <c r="T993" s="1031"/>
    </row>
    <row r="994" spans="20:20">
      <c r="T994" s="1031"/>
    </row>
    <row r="995" spans="20:20">
      <c r="T995" s="1031"/>
    </row>
    <row r="996" spans="20:20">
      <c r="T996" s="1031"/>
    </row>
    <row r="997" spans="20:20">
      <c r="T997" s="1031"/>
    </row>
    <row r="998" spans="20:20">
      <c r="T998" s="1031"/>
    </row>
    <row r="999" spans="20:20">
      <c r="T999" s="1031"/>
    </row>
    <row r="1000" spans="20:20">
      <c r="T1000" s="1031"/>
    </row>
    <row r="1001" spans="20:20">
      <c r="T1001" s="1031"/>
    </row>
    <row r="1002" spans="20:20">
      <c r="T1002" s="1031"/>
    </row>
    <row r="1003" spans="20:20">
      <c r="T1003" s="1031"/>
    </row>
    <row r="1004" spans="20:20">
      <c r="T1004" s="1031"/>
    </row>
    <row r="1005" spans="20:20">
      <c r="T1005" s="1031"/>
    </row>
    <row r="1006" spans="20:20">
      <c r="T1006" s="1031"/>
    </row>
    <row r="1007" spans="20:20">
      <c r="T1007" s="1031"/>
    </row>
    <row r="1008" spans="20:20">
      <c r="T1008" s="1031"/>
    </row>
    <row r="1009" spans="20:20">
      <c r="T1009" s="1031"/>
    </row>
    <row r="1010" spans="20:20">
      <c r="T1010" s="1031"/>
    </row>
    <row r="1011" spans="20:20">
      <c r="T1011" s="1031"/>
    </row>
    <row r="1012" spans="20:20">
      <c r="T1012" s="1031"/>
    </row>
    <row r="1013" spans="20:20">
      <c r="T1013" s="1031"/>
    </row>
    <row r="1014" spans="20:20">
      <c r="T1014" s="1031"/>
    </row>
    <row r="1015" spans="20:20">
      <c r="T1015" s="1031"/>
    </row>
    <row r="1016" spans="20:20">
      <c r="T1016" s="1031"/>
    </row>
    <row r="1017" spans="20:20">
      <c r="T1017" s="1031"/>
    </row>
    <row r="1018" spans="20:20">
      <c r="T1018" s="1031"/>
    </row>
    <row r="1019" spans="20:20">
      <c r="T1019" s="1031"/>
    </row>
    <row r="1020" spans="20:20">
      <c r="T1020" s="1031"/>
    </row>
    <row r="1021" spans="20:20">
      <c r="T1021" s="1031"/>
    </row>
    <row r="1022" spans="20:20">
      <c r="T1022" s="1031"/>
    </row>
    <row r="1023" spans="20:20">
      <c r="T1023" s="1031"/>
    </row>
    <row r="1024" spans="20:20">
      <c r="T1024" s="1031"/>
    </row>
    <row r="1025" spans="20:20">
      <c r="T1025" s="1031"/>
    </row>
    <row r="1026" spans="20:20">
      <c r="T1026" s="1031"/>
    </row>
    <row r="1027" spans="20:20">
      <c r="T1027" s="1031"/>
    </row>
    <row r="1028" spans="20:20">
      <c r="T1028" s="1031"/>
    </row>
    <row r="1029" spans="20:20">
      <c r="T1029" s="1031"/>
    </row>
    <row r="1030" spans="20:20">
      <c r="T1030" s="1031"/>
    </row>
    <row r="1031" spans="20:20">
      <c r="T1031" s="1031"/>
    </row>
    <row r="1032" spans="20:20">
      <c r="T1032" s="1031"/>
    </row>
    <row r="1033" spans="20:20">
      <c r="T1033" s="1031"/>
    </row>
    <row r="1034" spans="20:20">
      <c r="T1034" s="1031"/>
    </row>
    <row r="1035" spans="20:20">
      <c r="T1035" s="1031"/>
    </row>
    <row r="1036" spans="20:20">
      <c r="T1036" s="1031"/>
    </row>
    <row r="1037" spans="20:20">
      <c r="T1037" s="1031"/>
    </row>
    <row r="1038" spans="20:20">
      <c r="T1038" s="1031"/>
    </row>
    <row r="1039" spans="20:20">
      <c r="T1039" s="1031"/>
    </row>
    <row r="1040" spans="20:20">
      <c r="T1040" s="1031"/>
    </row>
    <row r="1041" spans="20:20">
      <c r="T1041" s="1031"/>
    </row>
    <row r="1042" spans="20:20">
      <c r="T1042" s="1031"/>
    </row>
    <row r="1043" spans="20:20">
      <c r="T1043" s="1031"/>
    </row>
    <row r="1044" spans="20:20">
      <c r="T1044" s="1031"/>
    </row>
    <row r="1045" spans="20:20">
      <c r="T1045" s="1031"/>
    </row>
    <row r="1046" spans="20:20">
      <c r="T1046" s="1031"/>
    </row>
    <row r="1047" spans="20:20">
      <c r="T1047" s="1031"/>
    </row>
    <row r="1048" spans="20:20">
      <c r="T1048" s="1031"/>
    </row>
    <row r="1049" spans="20:20">
      <c r="T1049" s="1031"/>
    </row>
    <row r="1050" spans="20:20">
      <c r="T1050" s="1031"/>
    </row>
    <row r="1051" spans="20:20">
      <c r="T1051" s="1031"/>
    </row>
    <row r="1052" spans="20:20">
      <c r="T1052" s="1031"/>
    </row>
    <row r="1053" spans="20:20">
      <c r="T1053" s="1031"/>
    </row>
    <row r="1054" spans="20:20">
      <c r="T1054" s="1031"/>
    </row>
    <row r="1055" spans="20:20">
      <c r="T1055" s="1031"/>
    </row>
  </sheetData>
  <mergeCells count="9">
    <mergeCell ref="B2:Q2"/>
    <mergeCell ref="B4:B6"/>
    <mergeCell ref="C4:C6"/>
    <mergeCell ref="D4:D6"/>
    <mergeCell ref="E4:E6"/>
    <mergeCell ref="F4:F6"/>
    <mergeCell ref="G4:G6"/>
    <mergeCell ref="J4:N4"/>
    <mergeCell ref="Q4:Q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57"/>
  <sheetViews>
    <sheetView view="pageBreakPreview" zoomScale="85" zoomScaleNormal="70" zoomScaleSheetLayoutView="85" workbookViewId="0">
      <pane xSplit="3" ySplit="2" topLeftCell="D3" activePane="bottomRight" state="frozen"/>
      <selection activeCell="F62" sqref="F62"/>
      <selection pane="topRight" activeCell="F62" sqref="F62"/>
      <selection pane="bottomLeft" activeCell="F62" sqref="F62"/>
      <selection pane="bottomRight" activeCell="I8" sqref="I8"/>
    </sheetView>
  </sheetViews>
  <sheetFormatPr defaultColWidth="9.140625" defaultRowHeight="15"/>
  <cols>
    <col min="1" max="1" width="9.7109375" style="614" customWidth="1"/>
    <col min="2" max="2" width="49.5703125" style="614" customWidth="1"/>
    <col min="3" max="3" width="15.7109375" style="614" customWidth="1"/>
    <col min="4" max="4" width="15.42578125" style="614" customWidth="1"/>
    <col min="5" max="5" width="9.5703125" style="614" bestFit="1" customWidth="1"/>
    <col min="6" max="6" width="18" style="1993" bestFit="1" customWidth="1"/>
    <col min="7" max="7" width="15.140625" style="614" customWidth="1"/>
    <col min="8" max="8" width="12.85546875" style="614" customWidth="1"/>
    <col min="9" max="10" width="15.7109375" style="614" customWidth="1"/>
    <col min="11" max="13" width="12.85546875" style="614" customWidth="1"/>
    <col min="14" max="14" width="15" style="614" bestFit="1" customWidth="1"/>
    <col min="15" max="15" width="16.5703125" style="614" bestFit="1" customWidth="1"/>
    <col min="16" max="16" width="16.28515625" style="614" bestFit="1" customWidth="1"/>
    <col min="17" max="17" width="14.140625" style="614" bestFit="1" customWidth="1"/>
    <col min="18" max="18" width="12.85546875" style="614" customWidth="1"/>
    <col min="19" max="19" width="18.7109375" style="614" bestFit="1" customWidth="1"/>
    <col min="20" max="20" width="9.140625" style="614"/>
    <col min="21" max="21" width="10.28515625" style="614" bestFit="1" customWidth="1"/>
    <col min="22" max="22" width="12.28515625" style="614" bestFit="1" customWidth="1"/>
    <col min="23" max="16384" width="9.140625" style="614"/>
  </cols>
  <sheetData>
    <row r="1" spans="1:22" ht="15" customHeight="1">
      <c r="A1" s="2328" t="s">
        <v>162</v>
      </c>
      <c r="B1" s="2329"/>
      <c r="C1" s="2332" t="s">
        <v>246</v>
      </c>
      <c r="D1" s="2334" t="s">
        <v>262</v>
      </c>
      <c r="E1" s="2332" t="s">
        <v>261</v>
      </c>
      <c r="F1" s="2323" t="s">
        <v>260</v>
      </c>
      <c r="G1" s="2325" t="s">
        <v>228</v>
      </c>
      <c r="H1" s="2336" t="s">
        <v>31</v>
      </c>
      <c r="I1" s="2337"/>
      <c r="J1" s="2338"/>
      <c r="K1" s="1970"/>
      <c r="L1" s="1971" t="s">
        <v>227</v>
      </c>
      <c r="M1" s="1972"/>
      <c r="N1" s="2339" t="s">
        <v>226</v>
      </c>
      <c r="O1" s="2340"/>
      <c r="P1" s="2340"/>
      <c r="Q1" s="2340"/>
      <c r="R1" s="2341"/>
      <c r="S1" s="2342" t="s">
        <v>225</v>
      </c>
      <c r="U1" s="2344" t="s">
        <v>259</v>
      </c>
      <c r="V1" s="2344" t="s">
        <v>258</v>
      </c>
    </row>
    <row r="2" spans="1:22" ht="30.75" thickBot="1">
      <c r="A2" s="2330"/>
      <c r="B2" s="2331"/>
      <c r="C2" s="2333"/>
      <c r="D2" s="2335"/>
      <c r="E2" s="2333"/>
      <c r="F2" s="2324"/>
      <c r="G2" s="2326"/>
      <c r="H2" s="1973" t="s">
        <v>222</v>
      </c>
      <c r="I2" s="1974" t="s">
        <v>221</v>
      </c>
      <c r="J2" s="1975" t="s">
        <v>2113</v>
      </c>
      <c r="K2" s="1973" t="s">
        <v>2114</v>
      </c>
      <c r="L2" s="1974" t="s">
        <v>2115</v>
      </c>
      <c r="M2" s="1975" t="s">
        <v>2116</v>
      </c>
      <c r="N2" s="1973">
        <v>8</v>
      </c>
      <c r="O2" s="1974">
        <v>10</v>
      </c>
      <c r="P2" s="1974">
        <v>13</v>
      </c>
      <c r="Q2" s="1974">
        <v>16</v>
      </c>
      <c r="R2" s="1975">
        <v>19</v>
      </c>
      <c r="S2" s="2343"/>
      <c r="U2" s="2229"/>
      <c r="V2" s="2229"/>
    </row>
    <row r="3" spans="1:22">
      <c r="A3" s="1976"/>
      <c r="B3" s="1977"/>
      <c r="C3" s="1880"/>
      <c r="D3" s="996"/>
      <c r="E3" s="1880"/>
      <c r="F3" s="1978"/>
      <c r="G3" s="630"/>
      <c r="H3" s="629"/>
      <c r="I3" s="996"/>
      <c r="J3" s="628"/>
      <c r="K3" s="629"/>
      <c r="L3" s="996"/>
      <c r="M3" s="628"/>
      <c r="N3" s="629"/>
      <c r="O3" s="996"/>
      <c r="P3" s="996"/>
      <c r="Q3" s="996"/>
      <c r="R3" s="628"/>
      <c r="S3" s="627"/>
    </row>
    <row r="4" spans="1:22">
      <c r="A4" s="1979" t="s">
        <v>131</v>
      </c>
      <c r="B4" s="1980"/>
      <c r="C4" s="1880"/>
      <c r="D4" s="996"/>
      <c r="E4" s="1880"/>
      <c r="F4" s="1978"/>
      <c r="G4" s="630"/>
      <c r="H4" s="629"/>
      <c r="I4" s="996"/>
      <c r="J4" s="628"/>
      <c r="K4" s="629"/>
      <c r="L4" s="996"/>
      <c r="M4" s="628"/>
      <c r="N4" s="629"/>
      <c r="O4" s="996"/>
      <c r="P4" s="996"/>
      <c r="Q4" s="996"/>
      <c r="R4" s="628"/>
      <c r="S4" s="627"/>
    </row>
    <row r="5" spans="1:22">
      <c r="A5" s="1979"/>
      <c r="B5" s="1980"/>
      <c r="C5" s="1880"/>
      <c r="D5" s="996"/>
      <c r="E5" s="1880"/>
      <c r="F5" s="1978"/>
      <c r="G5" s="630"/>
      <c r="H5" s="629"/>
      <c r="I5" s="996"/>
      <c r="J5" s="628"/>
      <c r="K5" s="629"/>
      <c r="L5" s="996"/>
      <c r="M5" s="628"/>
      <c r="N5" s="629"/>
      <c r="O5" s="996"/>
      <c r="P5" s="996"/>
      <c r="Q5" s="996"/>
      <c r="R5" s="628"/>
      <c r="S5" s="627"/>
    </row>
    <row r="6" spans="1:22">
      <c r="A6" s="625"/>
      <c r="B6" s="1980" t="str">
        <f>Plat!A36</f>
        <v>Pool, FFL -1.60</v>
      </c>
      <c r="C6" s="1880" t="s">
        <v>2250</v>
      </c>
      <c r="D6" s="996">
        <f>Plat!H36</f>
        <v>24.568677999999998</v>
      </c>
      <c r="E6" s="1880">
        <v>1</v>
      </c>
      <c r="F6" s="1978">
        <f>D6*E6</f>
        <v>24.568677999999998</v>
      </c>
      <c r="G6" s="630">
        <f>Plat!I36</f>
        <v>4.9137355999999999</v>
      </c>
      <c r="H6" s="629">
        <f>Plat!J36</f>
        <v>1.2284339</v>
      </c>
      <c r="I6" s="996">
        <f>Plat!K36</f>
        <v>4.41</v>
      </c>
      <c r="J6" s="628"/>
      <c r="K6" s="629"/>
      <c r="L6" s="996">
        <f>Plat!L36</f>
        <v>0</v>
      </c>
      <c r="M6" s="628"/>
      <c r="N6" s="629">
        <f>Plat!M36</f>
        <v>0</v>
      </c>
      <c r="O6" s="996">
        <f>Plat!N36</f>
        <v>515.69090042406003</v>
      </c>
      <c r="P6" s="996">
        <f>Plat!O36</f>
        <v>0</v>
      </c>
      <c r="Q6" s="996">
        <f>Plat!P36</f>
        <v>0</v>
      </c>
      <c r="R6" s="628">
        <f>Plat!Q36</f>
        <v>0</v>
      </c>
      <c r="S6" s="627">
        <f>SUM(N6:R6)</f>
        <v>515.69090042406003</v>
      </c>
      <c r="U6" s="632">
        <f>SUM(I6:I6)/SUM(G6:G6)</f>
        <v>0.89748418697986121</v>
      </c>
      <c r="V6" s="632">
        <f>SUM(S6:S6)/SUM(G6:G6)</f>
        <v>104.94885000000001</v>
      </c>
    </row>
    <row r="7" spans="1:22">
      <c r="A7" s="1976"/>
      <c r="B7" s="1980"/>
      <c r="C7" s="1880"/>
      <c r="D7" s="996"/>
      <c r="E7" s="1880"/>
      <c r="F7" s="1978"/>
      <c r="G7" s="630"/>
      <c r="H7" s="629"/>
      <c r="I7" s="996"/>
      <c r="J7" s="628"/>
      <c r="K7" s="629"/>
      <c r="L7" s="996"/>
      <c r="M7" s="628"/>
      <c r="N7" s="629"/>
      <c r="O7" s="996"/>
      <c r="P7" s="996"/>
      <c r="Q7" s="996"/>
      <c r="R7" s="628"/>
      <c r="S7" s="627"/>
      <c r="U7" s="632"/>
      <c r="V7" s="632"/>
    </row>
    <row r="8" spans="1:22">
      <c r="A8" s="625"/>
      <c r="B8" s="1980" t="str">
        <f>Plat!A65</f>
        <v>Area Service, FFL ±0.00</v>
      </c>
      <c r="C8" s="1880" t="s">
        <v>2194</v>
      </c>
      <c r="D8" s="996">
        <f>Plat!H65</f>
        <v>35.442034</v>
      </c>
      <c r="E8" s="1880">
        <v>1</v>
      </c>
      <c r="F8" s="1978">
        <f>D8*E8</f>
        <v>35.442034</v>
      </c>
      <c r="G8" s="630">
        <f>Plat!I65</f>
        <v>5.3163050999999992</v>
      </c>
      <c r="H8" s="629">
        <f>Plat!J65</f>
        <v>1.7721016999999999</v>
      </c>
      <c r="I8" s="996">
        <f>Plat!K65</f>
        <v>4.0049999999999999</v>
      </c>
      <c r="J8" s="628"/>
      <c r="K8" s="629"/>
      <c r="L8" s="996">
        <f>Plat!L65</f>
        <v>0</v>
      </c>
      <c r="M8" s="628"/>
      <c r="N8" s="629">
        <f>Plat!M65</f>
        <v>0</v>
      </c>
      <c r="O8" s="996">
        <f>Plat!N65</f>
        <v>583.44392834527991</v>
      </c>
      <c r="P8" s="996">
        <f>Plat!O65</f>
        <v>0</v>
      </c>
      <c r="Q8" s="996">
        <f>Plat!P65</f>
        <v>0</v>
      </c>
      <c r="R8" s="628">
        <f>Plat!Q65</f>
        <v>0</v>
      </c>
      <c r="S8" s="627">
        <f>SUM(N8:R8)</f>
        <v>583.44392834527991</v>
      </c>
      <c r="U8" s="632">
        <f>SUM(I8:I16)/SUM(G8:G16)</f>
        <v>0.80025347930104707</v>
      </c>
      <c r="V8" s="632">
        <f>SUM(S8:S16)/SUM(G8:G16)</f>
        <v>109.74613333333332</v>
      </c>
    </row>
    <row r="9" spans="1:22">
      <c r="A9" s="625"/>
      <c r="B9" s="1980" t="str">
        <f>Plat!A66</f>
        <v>Ramp, FFL ±0.00</v>
      </c>
      <c r="C9" s="1880" t="s">
        <v>2194</v>
      </c>
      <c r="D9" s="996">
        <f>Plat!H66</f>
        <v>11.706120400000001</v>
      </c>
      <c r="E9" s="1880">
        <v>1</v>
      </c>
      <c r="F9" s="1978">
        <f>D9*E9</f>
        <v>11.706120400000001</v>
      </c>
      <c r="G9" s="630">
        <f>Plat!I66</f>
        <v>1.7559180600000002</v>
      </c>
      <c r="H9" s="629">
        <f>Plat!J66</f>
        <v>0.58530602000000009</v>
      </c>
      <c r="I9" s="996">
        <f>Plat!K66</f>
        <v>3.2071649999999998</v>
      </c>
      <c r="J9" s="628"/>
      <c r="K9" s="629"/>
      <c r="L9" s="996">
        <f>Plat!L66</f>
        <v>0</v>
      </c>
      <c r="M9" s="628"/>
      <c r="N9" s="629">
        <f>Plat!M66</f>
        <v>0</v>
      </c>
      <c r="O9" s="996">
        <f>Plat!N66</f>
        <v>192.70521753516803</v>
      </c>
      <c r="P9" s="996">
        <f>Plat!O66</f>
        <v>0</v>
      </c>
      <c r="Q9" s="996">
        <f>Plat!P66</f>
        <v>0</v>
      </c>
      <c r="R9" s="628">
        <f>Plat!Q66</f>
        <v>0</v>
      </c>
      <c r="S9" s="627">
        <f>SUM(N9:R9)</f>
        <v>192.70521753516803</v>
      </c>
      <c r="U9" s="632">
        <f>SUM(I9:I17)/SUM(G9:G17)</f>
        <v>0.80623777910761496</v>
      </c>
      <c r="V9" s="632">
        <f>SUM(S9:S17)/SUM(G9:G17)</f>
        <v>109.7461333333333</v>
      </c>
    </row>
    <row r="10" spans="1:22">
      <c r="A10" s="625"/>
      <c r="B10" s="1980" t="str">
        <f>Plat!A67</f>
        <v>Garage, FFL -0.75</v>
      </c>
      <c r="C10" s="1880" t="s">
        <v>2194</v>
      </c>
      <c r="D10" s="996">
        <f>Plat!H67</f>
        <v>33.446193000000001</v>
      </c>
      <c r="E10" s="1880">
        <v>1</v>
      </c>
      <c r="F10" s="1978">
        <f t="shared" ref="F10:F16" si="0">D10*E10</f>
        <v>33.446193000000001</v>
      </c>
      <c r="G10" s="630">
        <f>Plat!I67</f>
        <v>5.0169289500000005</v>
      </c>
      <c r="H10" s="629">
        <f>Plat!J67</f>
        <v>1.6723096500000001</v>
      </c>
      <c r="I10" s="996">
        <f>Plat!K67</f>
        <v>4.2675000000000001</v>
      </c>
      <c r="J10" s="628"/>
      <c r="K10" s="629"/>
      <c r="L10" s="996">
        <f>Plat!L67</f>
        <v>0</v>
      </c>
      <c r="M10" s="628"/>
      <c r="N10" s="629">
        <f>Plat!M67</f>
        <v>0</v>
      </c>
      <c r="O10" s="996">
        <f>Plat!N67</f>
        <v>550.5885534705601</v>
      </c>
      <c r="P10" s="996">
        <f>Plat!O67</f>
        <v>0</v>
      </c>
      <c r="Q10" s="996">
        <f>Plat!P67</f>
        <v>0</v>
      </c>
      <c r="R10" s="628">
        <f>Plat!Q67</f>
        <v>0</v>
      </c>
      <c r="S10" s="627">
        <f t="shared" ref="S10:S16" si="1">SUM(N10:R10)</f>
        <v>550.5885534705601</v>
      </c>
      <c r="U10" s="634"/>
      <c r="V10" s="634"/>
    </row>
    <row r="11" spans="1:22">
      <c r="A11" s="625"/>
      <c r="B11" s="1980" t="str">
        <f>Plat!A68</f>
        <v>Carport, FFL -1.00</v>
      </c>
      <c r="C11" s="1880" t="s">
        <v>2194</v>
      </c>
      <c r="D11" s="996">
        <f>Plat!H68</f>
        <v>42.660800000000002</v>
      </c>
      <c r="E11" s="1880">
        <v>0.5</v>
      </c>
      <c r="F11" s="1978">
        <f t="shared" si="0"/>
        <v>21.330400000000001</v>
      </c>
      <c r="G11" s="630">
        <f>Plat!I68</f>
        <v>6.3991199999999999</v>
      </c>
      <c r="H11" s="629">
        <f>Plat!J68</f>
        <v>2.1330399999999998</v>
      </c>
      <c r="I11" s="996">
        <f>Plat!K68</f>
        <v>4.1639999999999997</v>
      </c>
      <c r="J11" s="628"/>
      <c r="K11" s="629"/>
      <c r="L11" s="996">
        <f>Plat!L68</f>
        <v>0</v>
      </c>
      <c r="M11" s="628"/>
      <c r="N11" s="629">
        <f>Plat!M68</f>
        <v>0</v>
      </c>
      <c r="O11" s="996">
        <f>Plat!N68</f>
        <v>702.27867673599997</v>
      </c>
      <c r="P11" s="996">
        <f>Plat!O68</f>
        <v>0</v>
      </c>
      <c r="Q11" s="996">
        <f>Plat!P68</f>
        <v>0</v>
      </c>
      <c r="R11" s="628">
        <f>Plat!Q68</f>
        <v>0</v>
      </c>
      <c r="S11" s="627">
        <f t="shared" si="1"/>
        <v>702.27867673599997</v>
      </c>
      <c r="U11" s="632"/>
      <c r="V11" s="632"/>
    </row>
    <row r="12" spans="1:22">
      <c r="A12" s="1976"/>
      <c r="B12" s="1980" t="str">
        <f>Plat!A69</f>
        <v>Living Room, FFL ±0.00</v>
      </c>
      <c r="C12" s="1880" t="s">
        <v>2194</v>
      </c>
      <c r="D12" s="996">
        <f>Plat!H69</f>
        <v>128.62478099999998</v>
      </c>
      <c r="E12" s="1880">
        <v>1</v>
      </c>
      <c r="F12" s="1978">
        <f t="shared" si="0"/>
        <v>128.62478099999998</v>
      </c>
      <c r="G12" s="630">
        <f>Plat!I69</f>
        <v>19.293717149999996</v>
      </c>
      <c r="H12" s="629">
        <f>Plat!J69</f>
        <v>6.4312390499999994</v>
      </c>
      <c r="I12" s="996">
        <f>Plat!K69</f>
        <v>9.2025000000000006</v>
      </c>
      <c r="J12" s="628"/>
      <c r="K12" s="629"/>
      <c r="L12" s="996">
        <f>Plat!L69</f>
        <v>0</v>
      </c>
      <c r="M12" s="628"/>
      <c r="N12" s="629">
        <f>Plat!M69</f>
        <v>0</v>
      </c>
      <c r="O12" s="996">
        <f>Plat!N69</f>
        <v>2117.4108548395193</v>
      </c>
      <c r="P12" s="996">
        <f>Plat!O69</f>
        <v>0</v>
      </c>
      <c r="Q12" s="996">
        <f>Plat!P69</f>
        <v>0</v>
      </c>
      <c r="R12" s="628">
        <f>Plat!Q69</f>
        <v>0</v>
      </c>
      <c r="S12" s="627">
        <f t="shared" si="1"/>
        <v>2117.4108548395193</v>
      </c>
      <c r="U12" s="632"/>
      <c r="V12" s="632"/>
    </row>
    <row r="13" spans="1:22">
      <c r="A13" s="625"/>
      <c r="B13" s="1980" t="str">
        <f>Plat!A70</f>
        <v>PWD Room, FFL -0.47</v>
      </c>
      <c r="C13" s="1880" t="s">
        <v>2194</v>
      </c>
      <c r="D13" s="996">
        <f>Plat!H70</f>
        <v>4.5602179999999999</v>
      </c>
      <c r="E13" s="1880">
        <v>1</v>
      </c>
      <c r="F13" s="1978">
        <f t="shared" si="0"/>
        <v>4.5602179999999999</v>
      </c>
      <c r="G13" s="630">
        <f>Plat!I70</f>
        <v>0.68403269999999994</v>
      </c>
      <c r="H13" s="629">
        <f>Plat!J70</f>
        <v>0.22801089999999999</v>
      </c>
      <c r="I13" s="996">
        <f>Plat!K70</f>
        <v>1.2975000000000001</v>
      </c>
      <c r="J13" s="628"/>
      <c r="K13" s="629"/>
      <c r="L13" s="996">
        <f>Plat!L70</f>
        <v>0</v>
      </c>
      <c r="M13" s="628"/>
      <c r="N13" s="629">
        <f>Plat!M70</f>
        <v>0</v>
      </c>
      <c r="O13" s="996">
        <f>Plat!N70</f>
        <v>75.069943898559998</v>
      </c>
      <c r="P13" s="996">
        <f>Plat!O70</f>
        <v>0</v>
      </c>
      <c r="Q13" s="996">
        <f>Plat!P70</f>
        <v>0</v>
      </c>
      <c r="R13" s="628">
        <f>Plat!Q70</f>
        <v>0</v>
      </c>
      <c r="S13" s="627">
        <f t="shared" si="1"/>
        <v>75.069943898559998</v>
      </c>
      <c r="U13" s="632"/>
      <c r="V13" s="632"/>
    </row>
    <row r="14" spans="1:22">
      <c r="A14" s="625"/>
      <c r="B14" s="1980" t="str">
        <f>Plat!A71</f>
        <v>Terrace, FFL -0.10</v>
      </c>
      <c r="C14" s="1880" t="s">
        <v>2194</v>
      </c>
      <c r="D14" s="996">
        <f>Plat!H71</f>
        <v>37.545726999999999</v>
      </c>
      <c r="E14" s="1880">
        <v>0.5</v>
      </c>
      <c r="F14" s="1978">
        <f t="shared" si="0"/>
        <v>18.7728635</v>
      </c>
      <c r="G14" s="630">
        <f>Plat!I71</f>
        <v>5.6318590500000001</v>
      </c>
      <c r="H14" s="629">
        <f>Plat!J71</f>
        <v>1.8772863499999999</v>
      </c>
      <c r="I14" s="996">
        <f>Plat!K71</f>
        <v>7.8532499999999992</v>
      </c>
      <c r="J14" s="628"/>
      <c r="K14" s="629"/>
      <c r="L14" s="996">
        <f>Plat!L71</f>
        <v>0</v>
      </c>
      <c r="M14" s="628"/>
      <c r="N14" s="629">
        <f>Plat!M71</f>
        <v>0</v>
      </c>
      <c r="O14" s="996">
        <f>Plat!N71</f>
        <v>618.07475421584002</v>
      </c>
      <c r="P14" s="996">
        <f>Plat!O71</f>
        <v>0</v>
      </c>
      <c r="Q14" s="996">
        <f>Plat!P71</f>
        <v>0</v>
      </c>
      <c r="R14" s="628">
        <f>Plat!Q71</f>
        <v>0</v>
      </c>
      <c r="S14" s="627">
        <f t="shared" si="1"/>
        <v>618.07475421584002</v>
      </c>
      <c r="U14" s="632"/>
      <c r="V14" s="632"/>
    </row>
    <row r="15" spans="1:22">
      <c r="A15" s="1976"/>
      <c r="B15" s="1980" t="str">
        <f>Plat!A72</f>
        <v>Garden Terrace, FFL -0.05</v>
      </c>
      <c r="C15" s="1880" t="s">
        <v>2194</v>
      </c>
      <c r="D15" s="996">
        <f>Plat!H72</f>
        <v>3.0099930000000001</v>
      </c>
      <c r="E15" s="1880">
        <v>0.5</v>
      </c>
      <c r="F15" s="1978">
        <f t="shared" si="0"/>
        <v>1.5049965000000001</v>
      </c>
      <c r="G15" s="630">
        <f>Plat!I72</f>
        <v>0.45149895000000001</v>
      </c>
      <c r="H15" s="629">
        <f>Plat!J72</f>
        <v>0.15049965000000001</v>
      </c>
      <c r="I15" s="996">
        <f>Plat!K72</f>
        <v>1.1625000000000001</v>
      </c>
      <c r="J15" s="628"/>
      <c r="K15" s="629"/>
      <c r="L15" s="996">
        <f>Plat!L72</f>
        <v>0</v>
      </c>
      <c r="M15" s="628"/>
      <c r="N15" s="629">
        <f>Plat!M72</f>
        <v>0</v>
      </c>
      <c r="O15" s="996">
        <f>Plat!N72</f>
        <v>49.550263966560003</v>
      </c>
      <c r="P15" s="996">
        <f>Plat!O72</f>
        <v>0</v>
      </c>
      <c r="Q15" s="996">
        <f>Plat!P72</f>
        <v>0</v>
      </c>
      <c r="R15" s="628">
        <f>Plat!Q72</f>
        <v>0</v>
      </c>
      <c r="S15" s="627">
        <f t="shared" si="1"/>
        <v>49.550263966560003</v>
      </c>
      <c r="U15" s="632"/>
      <c r="V15" s="632"/>
    </row>
    <row r="16" spans="1:22">
      <c r="A16" s="625"/>
      <c r="B16" s="1980" t="str">
        <f>Plat!A73</f>
        <v>Terrace, FFL -0.05</v>
      </c>
      <c r="C16" s="1880" t="s">
        <v>2194</v>
      </c>
      <c r="D16" s="996">
        <f>Plat!H73</f>
        <v>16.274999000000001</v>
      </c>
      <c r="E16" s="1880">
        <v>0.5</v>
      </c>
      <c r="F16" s="1978">
        <f t="shared" si="0"/>
        <v>8.1374995000000006</v>
      </c>
      <c r="G16" s="630">
        <f>Plat!I73</f>
        <v>2.4412498500000002</v>
      </c>
      <c r="H16" s="629">
        <f>Plat!J73</f>
        <v>0.81374995000000006</v>
      </c>
      <c r="I16" s="996">
        <f>Plat!K73</f>
        <v>2.4449999999999998</v>
      </c>
      <c r="J16" s="628"/>
      <c r="K16" s="629"/>
      <c r="L16" s="996">
        <f>Plat!L73</f>
        <v>0</v>
      </c>
      <c r="M16" s="628"/>
      <c r="N16" s="629">
        <f>Plat!M73</f>
        <v>0</v>
      </c>
      <c r="O16" s="996">
        <f>Plat!N73</f>
        <v>267.91773153808003</v>
      </c>
      <c r="P16" s="996">
        <f>Plat!O73</f>
        <v>0</v>
      </c>
      <c r="Q16" s="996">
        <f>Plat!P73</f>
        <v>0</v>
      </c>
      <c r="R16" s="628">
        <f>Plat!Q73</f>
        <v>0</v>
      </c>
      <c r="S16" s="627">
        <f t="shared" si="1"/>
        <v>267.91773153808003</v>
      </c>
      <c r="U16" s="632"/>
      <c r="V16" s="632"/>
    </row>
    <row r="17" spans="1:22" ht="15.75" thickBot="1">
      <c r="A17" s="625"/>
      <c r="B17" s="1980"/>
      <c r="C17" s="1880"/>
      <c r="D17" s="996"/>
      <c r="E17" s="1880"/>
      <c r="F17" s="1978"/>
      <c r="G17" s="630"/>
      <c r="H17" s="629"/>
      <c r="I17" s="996"/>
      <c r="J17" s="628"/>
      <c r="K17" s="629"/>
      <c r="L17" s="996"/>
      <c r="M17" s="628"/>
      <c r="N17" s="629"/>
      <c r="O17" s="996"/>
      <c r="P17" s="996"/>
      <c r="Q17" s="996"/>
      <c r="R17" s="628"/>
      <c r="S17" s="627"/>
      <c r="U17" s="634"/>
      <c r="V17" s="634"/>
    </row>
    <row r="18" spans="1:22" ht="15.75" thickBot="1">
      <c r="A18" s="1981"/>
      <c r="B18" s="1982" t="s">
        <v>2220</v>
      </c>
      <c r="C18" s="633"/>
      <c r="D18" s="617">
        <f>SUM(D4:D17)</f>
        <v>337.83954340000003</v>
      </c>
      <c r="E18" s="633"/>
      <c r="F18" s="1983">
        <f>SUM(F3:F17)</f>
        <v>288.09378390000001</v>
      </c>
      <c r="G18" s="621">
        <f t="shared" ref="G18:S18" si="2">SUM(G4:G17)</f>
        <v>51.904365410000004</v>
      </c>
      <c r="H18" s="618">
        <f t="shared" si="2"/>
        <v>16.891977169999997</v>
      </c>
      <c r="I18" s="617">
        <f t="shared" si="2"/>
        <v>42.014415</v>
      </c>
      <c r="J18" s="616">
        <f t="shared" si="2"/>
        <v>0</v>
      </c>
      <c r="K18" s="618">
        <f t="shared" si="2"/>
        <v>0</v>
      </c>
      <c r="L18" s="617">
        <f t="shared" si="2"/>
        <v>0</v>
      </c>
      <c r="M18" s="616">
        <f t="shared" si="2"/>
        <v>0</v>
      </c>
      <c r="N18" s="618">
        <f t="shared" si="2"/>
        <v>0</v>
      </c>
      <c r="O18" s="617">
        <f t="shared" si="2"/>
        <v>5672.730824969628</v>
      </c>
      <c r="P18" s="617">
        <f t="shared" si="2"/>
        <v>0</v>
      </c>
      <c r="Q18" s="617">
        <f t="shared" si="2"/>
        <v>0</v>
      </c>
      <c r="R18" s="616">
        <f t="shared" si="2"/>
        <v>0</v>
      </c>
      <c r="S18" s="1984">
        <f t="shared" si="2"/>
        <v>5672.730824969628</v>
      </c>
      <c r="U18" s="632"/>
      <c r="V18" s="632"/>
    </row>
    <row r="19" spans="1:22">
      <c r="A19" s="1976"/>
      <c r="B19" s="1977"/>
      <c r="C19" s="1880"/>
      <c r="D19" s="996"/>
      <c r="E19" s="1880"/>
      <c r="F19" s="1978"/>
      <c r="G19" s="630"/>
      <c r="H19" s="629"/>
      <c r="I19" s="996"/>
      <c r="J19" s="628"/>
      <c r="K19" s="629"/>
      <c r="L19" s="996"/>
      <c r="M19" s="628"/>
      <c r="N19" s="629"/>
      <c r="O19" s="996"/>
      <c r="P19" s="996"/>
      <c r="Q19" s="996"/>
      <c r="R19" s="628"/>
      <c r="S19" s="627"/>
    </row>
    <row r="20" spans="1:22">
      <c r="A20" s="1979" t="s">
        <v>136</v>
      </c>
      <c r="B20" s="1980"/>
      <c r="C20" s="1880"/>
      <c r="D20" s="996"/>
      <c r="E20" s="1880"/>
      <c r="F20" s="1978"/>
      <c r="G20" s="630"/>
      <c r="H20" s="629"/>
      <c r="I20" s="996"/>
      <c r="J20" s="628"/>
      <c r="K20" s="629"/>
      <c r="L20" s="996"/>
      <c r="M20" s="628"/>
      <c r="N20" s="629"/>
      <c r="O20" s="996"/>
      <c r="P20" s="996"/>
      <c r="Q20" s="996"/>
      <c r="R20" s="628"/>
      <c r="S20" s="627"/>
    </row>
    <row r="21" spans="1:22">
      <c r="A21" s="1976"/>
      <c r="B21" s="1980"/>
      <c r="C21" s="1880"/>
      <c r="D21" s="996"/>
      <c r="E21" s="1880"/>
      <c r="F21" s="1978"/>
      <c r="G21" s="630"/>
      <c r="H21" s="629"/>
      <c r="I21" s="996"/>
      <c r="J21" s="628"/>
      <c r="K21" s="629"/>
      <c r="L21" s="996"/>
      <c r="M21" s="628"/>
      <c r="N21" s="629"/>
      <c r="O21" s="996"/>
      <c r="P21" s="996"/>
      <c r="Q21" s="996"/>
      <c r="R21" s="628"/>
      <c r="S21" s="627"/>
      <c r="U21" s="632"/>
      <c r="V21" s="632"/>
    </row>
    <row r="22" spans="1:22">
      <c r="A22" s="625"/>
      <c r="B22" s="1980" t="str">
        <f>Plat!A76</f>
        <v>Bathroom 3, FFL +4.48</v>
      </c>
      <c r="C22" s="1880" t="s">
        <v>2194</v>
      </c>
      <c r="D22" s="996">
        <f>Plat!H76</f>
        <v>7.9151870000000004</v>
      </c>
      <c r="E22" s="1880">
        <v>1</v>
      </c>
      <c r="F22" s="1978">
        <f>D22*E22</f>
        <v>7.9151870000000004</v>
      </c>
      <c r="G22" s="630">
        <f>Plat!I76</f>
        <v>1.1872780500000002</v>
      </c>
      <c r="H22" s="629">
        <f>Plat!J76</f>
        <v>0</v>
      </c>
      <c r="I22" s="996">
        <f>Plat!K76</f>
        <v>9.6101869999999998</v>
      </c>
      <c r="J22" s="628"/>
      <c r="K22" s="629"/>
      <c r="L22" s="996">
        <f>Plat!L76</f>
        <v>0</v>
      </c>
      <c r="M22" s="628"/>
      <c r="N22" s="629">
        <f>Plat!M76</f>
        <v>0</v>
      </c>
      <c r="O22" s="996">
        <f>Plat!N76</f>
        <v>130.29917517904002</v>
      </c>
      <c r="P22" s="996">
        <f>Plat!O76</f>
        <v>0</v>
      </c>
      <c r="Q22" s="996">
        <f>Plat!P76</f>
        <v>0</v>
      </c>
      <c r="R22" s="628">
        <f>Plat!Q76</f>
        <v>0</v>
      </c>
      <c r="S22" s="627">
        <f>SUM(N22:R22)</f>
        <v>130.29917517904002</v>
      </c>
      <c r="U22" s="632">
        <f>SUM(I22:I31)/SUM(G22:G31)</f>
        <v>8.004115755504392</v>
      </c>
      <c r="V22" s="632">
        <f>SUM(S22:S31)/SUM(G22:G31)</f>
        <v>109.74613333333335</v>
      </c>
    </row>
    <row r="23" spans="1:22">
      <c r="A23" s="625"/>
      <c r="B23" s="1980" t="str">
        <f>Plat!A77</f>
        <v>Bedroom 3, FFL +4.50</v>
      </c>
      <c r="C23" s="1880" t="s">
        <v>2194</v>
      </c>
      <c r="D23" s="996">
        <f>Plat!H77</f>
        <v>29.987500000000001</v>
      </c>
      <c r="E23" s="1880">
        <v>1</v>
      </c>
      <c r="F23" s="1978">
        <f t="shared" ref="F23:F34" si="3">D23*E23</f>
        <v>29.987500000000001</v>
      </c>
      <c r="G23" s="630">
        <f>Plat!I77</f>
        <v>4.4981249999999999</v>
      </c>
      <c r="H23" s="629">
        <f>Plat!J77</f>
        <v>0</v>
      </c>
      <c r="I23" s="996">
        <f>Plat!K77</f>
        <v>33.61</v>
      </c>
      <c r="J23" s="628"/>
      <c r="K23" s="629"/>
      <c r="L23" s="996">
        <f>Plat!L77</f>
        <v>0</v>
      </c>
      <c r="M23" s="628"/>
      <c r="N23" s="629">
        <f>Plat!M77</f>
        <v>0</v>
      </c>
      <c r="O23" s="996">
        <f>Plat!N77</f>
        <v>493.65182599999997</v>
      </c>
      <c r="P23" s="996">
        <f>Plat!O77</f>
        <v>0</v>
      </c>
      <c r="Q23" s="996">
        <f>Plat!P77</f>
        <v>0</v>
      </c>
      <c r="R23" s="628">
        <f>Plat!Q77</f>
        <v>0</v>
      </c>
      <c r="S23" s="627">
        <f t="shared" ref="S23:S34" si="4">SUM(N23:R23)</f>
        <v>493.65182599999997</v>
      </c>
      <c r="U23" s="634"/>
      <c r="V23" s="634"/>
    </row>
    <row r="24" spans="1:22">
      <c r="A24" s="625"/>
      <c r="B24" s="1980" t="str">
        <f>Plat!A78</f>
        <v>Balkon Bedroom 3, FFL +4.45</v>
      </c>
      <c r="C24" s="1880" t="s">
        <v>2194</v>
      </c>
      <c r="D24" s="996">
        <f>Plat!H78</f>
        <v>3.645</v>
      </c>
      <c r="E24" s="1880">
        <v>0.5</v>
      </c>
      <c r="F24" s="1978">
        <f t="shared" si="3"/>
        <v>1.8225</v>
      </c>
      <c r="G24" s="630">
        <f>Plat!I78</f>
        <v>0.54674999999999996</v>
      </c>
      <c r="H24" s="629">
        <f>Plat!J78</f>
        <v>0</v>
      </c>
      <c r="I24" s="996">
        <f>Plat!K78</f>
        <v>5.0385</v>
      </c>
      <c r="J24" s="628"/>
      <c r="K24" s="629"/>
      <c r="L24" s="996">
        <f>Plat!L78</f>
        <v>0</v>
      </c>
      <c r="M24" s="628"/>
      <c r="N24" s="629">
        <f>Plat!M78</f>
        <v>0</v>
      </c>
      <c r="O24" s="996">
        <f>Plat!N78</f>
        <v>60.003698399999998</v>
      </c>
      <c r="P24" s="996">
        <f>Plat!O78</f>
        <v>0</v>
      </c>
      <c r="Q24" s="996">
        <f>Plat!P78</f>
        <v>0</v>
      </c>
      <c r="R24" s="628">
        <f>Plat!Q78</f>
        <v>0</v>
      </c>
      <c r="S24" s="627">
        <f t="shared" si="4"/>
        <v>60.003698399999998</v>
      </c>
      <c r="U24" s="634"/>
      <c r="V24" s="634"/>
    </row>
    <row r="25" spans="1:22">
      <c r="A25" s="625"/>
      <c r="B25" s="1980" t="str">
        <f>Plat!A79</f>
        <v>Bathroom Maid, FFL +4.48</v>
      </c>
      <c r="C25" s="1880" t="s">
        <v>2194</v>
      </c>
      <c r="D25" s="996">
        <f>Plat!H79</f>
        <v>4.1230589999999996</v>
      </c>
      <c r="E25" s="1880">
        <v>1</v>
      </c>
      <c r="F25" s="1978">
        <f t="shared" si="3"/>
        <v>4.1230589999999996</v>
      </c>
      <c r="G25" s="630">
        <f>Plat!I79</f>
        <v>0.61845885</v>
      </c>
      <c r="H25" s="629">
        <f>Plat!J79</f>
        <v>0</v>
      </c>
      <c r="I25" s="996">
        <f>Plat!K79</f>
        <v>5.3680589999999997</v>
      </c>
      <c r="J25" s="628"/>
      <c r="K25" s="629"/>
      <c r="L25" s="996">
        <f>Plat!L79</f>
        <v>0</v>
      </c>
      <c r="M25" s="628"/>
      <c r="N25" s="629">
        <f>Plat!M79</f>
        <v>0</v>
      </c>
      <c r="O25" s="996">
        <f>Plat!N79</f>
        <v>67.873467413279997</v>
      </c>
      <c r="P25" s="996">
        <f>Plat!O79</f>
        <v>0</v>
      </c>
      <c r="Q25" s="996">
        <f>Plat!P79</f>
        <v>0</v>
      </c>
      <c r="R25" s="628">
        <f>Plat!Q79</f>
        <v>0</v>
      </c>
      <c r="S25" s="627">
        <f t="shared" si="4"/>
        <v>67.873467413279997</v>
      </c>
      <c r="U25" s="634"/>
      <c r="V25" s="634"/>
    </row>
    <row r="26" spans="1:22">
      <c r="A26" s="625"/>
      <c r="B26" s="1980" t="str">
        <f>Plat!A80</f>
        <v>Main Building, FFL +4.50</v>
      </c>
      <c r="C26" s="1880" t="s">
        <v>2194</v>
      </c>
      <c r="D26" s="996">
        <f>Plat!H80</f>
        <v>101.34381999999999</v>
      </c>
      <c r="E26" s="1880">
        <v>1</v>
      </c>
      <c r="F26" s="1978">
        <f t="shared" si="3"/>
        <v>101.34381999999999</v>
      </c>
      <c r="G26" s="630">
        <f>Plat!I80</f>
        <v>15.201572999999998</v>
      </c>
      <c r="H26" s="629">
        <f>Plat!J80</f>
        <v>0</v>
      </c>
      <c r="I26" s="996">
        <f>Plat!K80</f>
        <v>121.07616999999999</v>
      </c>
      <c r="J26" s="628"/>
      <c r="K26" s="629"/>
      <c r="L26" s="996">
        <f>Plat!L80</f>
        <v>0</v>
      </c>
      <c r="M26" s="628"/>
      <c r="N26" s="629">
        <f>Plat!M80</f>
        <v>0</v>
      </c>
      <c r="O26" s="996">
        <f>Plat!N80</f>
        <v>1668.3138573343997</v>
      </c>
      <c r="P26" s="996">
        <f>Plat!O80</f>
        <v>0</v>
      </c>
      <c r="Q26" s="996">
        <f>Plat!P80</f>
        <v>0</v>
      </c>
      <c r="R26" s="628">
        <f>Plat!Q80</f>
        <v>0</v>
      </c>
      <c r="S26" s="627">
        <f t="shared" si="4"/>
        <v>1668.3138573343997</v>
      </c>
      <c r="U26" s="634"/>
      <c r="V26" s="634"/>
    </row>
    <row r="27" spans="1:22">
      <c r="A27" s="625"/>
      <c r="B27" s="1980" t="str">
        <f>Plat!A81</f>
        <v>Kanopi Terrace Garden, FFL +4.45</v>
      </c>
      <c r="C27" s="1880" t="s">
        <v>2194</v>
      </c>
      <c r="D27" s="996">
        <f>Plat!H81</f>
        <v>5.9633279999999997</v>
      </c>
      <c r="E27" s="1880">
        <v>0.5</v>
      </c>
      <c r="F27" s="1978">
        <f t="shared" si="3"/>
        <v>2.9816639999999999</v>
      </c>
      <c r="G27" s="630">
        <f>Plat!I81</f>
        <v>0.89449919999999994</v>
      </c>
      <c r="H27" s="629">
        <f>Plat!J81</f>
        <v>0</v>
      </c>
      <c r="I27" s="996">
        <f>Plat!K81</f>
        <v>7.4333279999999995</v>
      </c>
      <c r="J27" s="628"/>
      <c r="K27" s="629"/>
      <c r="L27" s="996">
        <f>Plat!L81</f>
        <v>0</v>
      </c>
      <c r="M27" s="628"/>
      <c r="N27" s="629">
        <f>Plat!M81</f>
        <v>0</v>
      </c>
      <c r="O27" s="996">
        <f>Plat!N81</f>
        <v>98.167828469759996</v>
      </c>
      <c r="P27" s="996">
        <f>Plat!O81</f>
        <v>0</v>
      </c>
      <c r="Q27" s="996">
        <f>Plat!P81</f>
        <v>0</v>
      </c>
      <c r="R27" s="628">
        <f>Plat!Q81</f>
        <v>0</v>
      </c>
      <c r="S27" s="627">
        <f t="shared" si="4"/>
        <v>98.167828469759996</v>
      </c>
      <c r="U27" s="634"/>
      <c r="V27" s="634"/>
    </row>
    <row r="28" spans="1:22">
      <c r="A28" s="625"/>
      <c r="B28" s="1980" t="str">
        <f>Plat!A82</f>
        <v>Bathroom 2, FFL +4.48</v>
      </c>
      <c r="C28" s="1880" t="s">
        <v>2194</v>
      </c>
      <c r="D28" s="996">
        <f>Plat!H82</f>
        <v>5.5023419999999996</v>
      </c>
      <c r="E28" s="1880">
        <v>1</v>
      </c>
      <c r="F28" s="1978">
        <f t="shared" si="3"/>
        <v>5.5023419999999996</v>
      </c>
      <c r="G28" s="630">
        <f>Plat!I82</f>
        <v>0.8253512999999999</v>
      </c>
      <c r="H28" s="629">
        <f>Plat!J82</f>
        <v>0</v>
      </c>
      <c r="I28" s="996">
        <f>Plat!K82</f>
        <v>6.9205919999999992</v>
      </c>
      <c r="J28" s="628"/>
      <c r="K28" s="629"/>
      <c r="L28" s="996">
        <f>Plat!L82</f>
        <v>0</v>
      </c>
      <c r="M28" s="628"/>
      <c r="N28" s="629">
        <f>Plat!M82</f>
        <v>0</v>
      </c>
      <c r="O28" s="996">
        <f>Plat!N82</f>
        <v>90.579113816639989</v>
      </c>
      <c r="P28" s="996">
        <f>Plat!O82</f>
        <v>0</v>
      </c>
      <c r="Q28" s="996">
        <f>Plat!P82</f>
        <v>0</v>
      </c>
      <c r="R28" s="628">
        <f>Plat!Q82</f>
        <v>0</v>
      </c>
      <c r="S28" s="627">
        <f t="shared" si="4"/>
        <v>90.579113816639989</v>
      </c>
      <c r="U28" s="634"/>
      <c r="V28" s="634"/>
    </row>
    <row r="29" spans="1:22">
      <c r="A29" s="625"/>
      <c r="B29" s="1980" t="str">
        <f>Plat!A83</f>
        <v>Bathroom 1, FFL +4.48</v>
      </c>
      <c r="C29" s="1880" t="s">
        <v>2194</v>
      </c>
      <c r="D29" s="996">
        <f>Plat!H83</f>
        <v>8.9224999999999994</v>
      </c>
      <c r="E29" s="1880">
        <v>1</v>
      </c>
      <c r="F29" s="1978">
        <f t="shared" si="3"/>
        <v>8.9224999999999994</v>
      </c>
      <c r="G29" s="630">
        <f>Plat!I83</f>
        <v>1.3383750000000001</v>
      </c>
      <c r="H29" s="629">
        <f>Plat!J83</f>
        <v>0</v>
      </c>
      <c r="I29" s="996">
        <f>Plat!K83</f>
        <v>10.8125</v>
      </c>
      <c r="J29" s="628"/>
      <c r="K29" s="629"/>
      <c r="L29" s="996">
        <f>Plat!L83</f>
        <v>0</v>
      </c>
      <c r="M29" s="628"/>
      <c r="N29" s="629">
        <f>Plat!M83</f>
        <v>0</v>
      </c>
      <c r="O29" s="996">
        <f>Plat!N83</f>
        <v>146.8814812</v>
      </c>
      <c r="P29" s="996">
        <f>Plat!O83</f>
        <v>0</v>
      </c>
      <c r="Q29" s="996">
        <f>Plat!P83</f>
        <v>0</v>
      </c>
      <c r="R29" s="628">
        <f>Plat!Q83</f>
        <v>0</v>
      </c>
      <c r="S29" s="627">
        <f t="shared" si="4"/>
        <v>146.8814812</v>
      </c>
      <c r="U29" s="634"/>
      <c r="V29" s="634"/>
    </row>
    <row r="30" spans="1:22">
      <c r="A30" s="625"/>
      <c r="B30" s="1980" t="str">
        <f>Plat!A84</f>
        <v>Balkon Bedroom 2, FFL +4.45</v>
      </c>
      <c r="C30" s="1880" t="s">
        <v>2194</v>
      </c>
      <c r="D30" s="996">
        <f>Plat!H84</f>
        <v>3.0099469999999999</v>
      </c>
      <c r="E30" s="1880">
        <v>0.5</v>
      </c>
      <c r="F30" s="1978">
        <f t="shared" si="3"/>
        <v>1.5049735</v>
      </c>
      <c r="G30" s="630">
        <f>Plat!I84</f>
        <v>0.45149205000000003</v>
      </c>
      <c r="H30" s="629">
        <f>Plat!J84</f>
        <v>0</v>
      </c>
      <c r="I30" s="996">
        <f>Plat!K84</f>
        <v>4.172447</v>
      </c>
      <c r="J30" s="628"/>
      <c r="K30" s="629"/>
      <c r="L30" s="996">
        <f>Plat!L84</f>
        <v>0</v>
      </c>
      <c r="M30" s="628"/>
      <c r="N30" s="629">
        <f>Plat!M84</f>
        <v>0</v>
      </c>
      <c r="O30" s="996">
        <f>Plat!N84</f>
        <v>49.549506718240004</v>
      </c>
      <c r="P30" s="996">
        <f>Plat!O84</f>
        <v>0</v>
      </c>
      <c r="Q30" s="996">
        <f>Plat!P84</f>
        <v>0</v>
      </c>
      <c r="R30" s="628">
        <f>Plat!Q84</f>
        <v>0</v>
      </c>
      <c r="S30" s="627">
        <f t="shared" si="4"/>
        <v>49.549506718240004</v>
      </c>
      <c r="U30" s="634"/>
      <c r="V30" s="634"/>
    </row>
    <row r="31" spans="1:22">
      <c r="A31" s="625"/>
      <c r="B31" s="1980" t="str">
        <f>Plat!A85</f>
        <v>Balkon Bedroom 1, FFL +4.45</v>
      </c>
      <c r="C31" s="1880" t="s">
        <v>2194</v>
      </c>
      <c r="D31" s="996">
        <f>Plat!H85</f>
        <v>3.0099930000000001</v>
      </c>
      <c r="E31" s="1880">
        <v>0.5</v>
      </c>
      <c r="F31" s="1978">
        <f t="shared" si="3"/>
        <v>1.5049965000000001</v>
      </c>
      <c r="G31" s="630">
        <f>Plat!I85</f>
        <v>0.45149895000000001</v>
      </c>
      <c r="H31" s="629">
        <f>Plat!J85</f>
        <v>0</v>
      </c>
      <c r="I31" s="996">
        <f>Plat!K85</f>
        <v>4.1724930000000002</v>
      </c>
      <c r="J31" s="628"/>
      <c r="K31" s="629"/>
      <c r="L31" s="996">
        <f>Plat!L85</f>
        <v>0</v>
      </c>
      <c r="M31" s="628"/>
      <c r="N31" s="629">
        <f>Plat!M85</f>
        <v>0</v>
      </c>
      <c r="O31" s="996">
        <f>Plat!N85</f>
        <v>49.550263966560003</v>
      </c>
      <c r="P31" s="996">
        <f>Plat!O85</f>
        <v>0</v>
      </c>
      <c r="Q31" s="996">
        <f>Plat!P85</f>
        <v>0</v>
      </c>
      <c r="R31" s="628">
        <f>Plat!Q85</f>
        <v>0</v>
      </c>
      <c r="S31" s="627">
        <f t="shared" si="4"/>
        <v>49.550263966560003</v>
      </c>
      <c r="U31" s="634"/>
      <c r="V31" s="634"/>
    </row>
    <row r="32" spans="1:22">
      <c r="A32" s="625"/>
      <c r="B32" s="1980" t="str">
        <f>Plat!A86</f>
        <v>Kanopi Bawah Balkon Bedroom 2, FFL +4.45</v>
      </c>
      <c r="C32" s="1880" t="s">
        <v>2194</v>
      </c>
      <c r="D32" s="996">
        <f>Plat!H86</f>
        <v>1.887497</v>
      </c>
      <c r="E32" s="1880">
        <v>0.5</v>
      </c>
      <c r="F32" s="1978">
        <f t="shared" si="3"/>
        <v>0.94374849999999999</v>
      </c>
      <c r="G32" s="630">
        <f>Plat!I86</f>
        <v>0.28312454999999997</v>
      </c>
      <c r="H32" s="629">
        <f>Plat!J86</f>
        <v>0</v>
      </c>
      <c r="I32" s="996">
        <f>Plat!K86</f>
        <v>3.169997</v>
      </c>
      <c r="J32" s="628"/>
      <c r="K32" s="629"/>
      <c r="L32" s="996">
        <f>Plat!L86</f>
        <v>0</v>
      </c>
      <c r="M32" s="628"/>
      <c r="N32" s="629">
        <f>Plat!M86</f>
        <v>0</v>
      </c>
      <c r="O32" s="996">
        <f>Plat!N86</f>
        <v>31.071824614239997</v>
      </c>
      <c r="P32" s="996">
        <f>Plat!O86</f>
        <v>0</v>
      </c>
      <c r="Q32" s="996">
        <f>Plat!P86</f>
        <v>0</v>
      </c>
      <c r="R32" s="628">
        <f>Plat!Q86</f>
        <v>0</v>
      </c>
      <c r="S32" s="627">
        <f t="shared" si="4"/>
        <v>31.071824614239997</v>
      </c>
      <c r="U32" s="634"/>
      <c r="V32" s="634"/>
    </row>
    <row r="33" spans="1:22">
      <c r="A33" s="625"/>
      <c r="B33" s="1980" t="str">
        <f>Plat!A87</f>
        <v>Kanopi Carport, FFL +4.45</v>
      </c>
      <c r="C33" s="1880" t="s">
        <v>2194</v>
      </c>
      <c r="D33" s="996">
        <f>Plat!H87</f>
        <v>25.982437000000001</v>
      </c>
      <c r="E33" s="1880">
        <v>0.5</v>
      </c>
      <c r="F33" s="1978">
        <f t="shared" ref="F33" si="5">D33*E33</f>
        <v>12.9912185</v>
      </c>
      <c r="G33" s="630">
        <f>Plat!I87</f>
        <v>3.89736555</v>
      </c>
      <c r="H33" s="629">
        <f>Plat!J87</f>
        <v>0</v>
      </c>
      <c r="I33" s="996">
        <f>Plat!K87</f>
        <v>31.777687</v>
      </c>
      <c r="J33" s="628"/>
      <c r="K33" s="629"/>
      <c r="L33" s="996">
        <f>Plat!L87</f>
        <v>0</v>
      </c>
      <c r="M33" s="628"/>
      <c r="N33" s="629">
        <f>Plat!M87</f>
        <v>0</v>
      </c>
      <c r="O33" s="996">
        <f>Plat!N87</f>
        <v>427.72079929903998</v>
      </c>
      <c r="P33" s="996">
        <f>Plat!O87</f>
        <v>0</v>
      </c>
      <c r="Q33" s="996">
        <f>Plat!P87</f>
        <v>0</v>
      </c>
      <c r="R33" s="628">
        <f>Plat!Q87</f>
        <v>0</v>
      </c>
      <c r="S33" s="627">
        <f t="shared" ref="S33" si="6">SUM(N33:R33)</f>
        <v>427.72079929903998</v>
      </c>
      <c r="U33" s="634"/>
      <c r="V33" s="634"/>
    </row>
    <row r="34" spans="1:22">
      <c r="A34" s="625"/>
      <c r="B34" s="1980" t="str">
        <f>Plat!A88</f>
        <v>Kanopi Depan, FFL +4.45</v>
      </c>
      <c r="C34" s="1880" t="s">
        <v>2194</v>
      </c>
      <c r="D34" s="996">
        <f>Plat!H88</f>
        <v>12.372498999999999</v>
      </c>
      <c r="E34" s="1880">
        <v>0.5</v>
      </c>
      <c r="F34" s="1978">
        <f t="shared" si="3"/>
        <v>6.1862494999999997</v>
      </c>
      <c r="G34" s="630">
        <f>Plat!I88</f>
        <v>1.85587485</v>
      </c>
      <c r="H34" s="629">
        <f>Plat!J88</f>
        <v>0</v>
      </c>
      <c r="I34" s="996">
        <f>Plat!K88</f>
        <v>14.622498999999999</v>
      </c>
      <c r="J34" s="628"/>
      <c r="K34" s="629"/>
      <c r="L34" s="996">
        <f>Plat!L88</f>
        <v>0</v>
      </c>
      <c r="M34" s="628"/>
      <c r="N34" s="629">
        <f>Plat!M88</f>
        <v>0</v>
      </c>
      <c r="O34" s="996">
        <f>Plat!N88</f>
        <v>203.67508873808001</v>
      </c>
      <c r="P34" s="996">
        <f>Plat!O88</f>
        <v>0</v>
      </c>
      <c r="Q34" s="996">
        <f>Plat!P88</f>
        <v>0</v>
      </c>
      <c r="R34" s="628">
        <f>Plat!Q88</f>
        <v>0</v>
      </c>
      <c r="S34" s="627">
        <f t="shared" si="4"/>
        <v>203.67508873808001</v>
      </c>
      <c r="U34" s="634"/>
      <c r="V34" s="634"/>
    </row>
    <row r="35" spans="1:22" ht="15.75" thickBot="1">
      <c r="A35" s="625"/>
      <c r="B35" s="1980"/>
      <c r="C35" s="1880"/>
      <c r="D35" s="996"/>
      <c r="E35" s="1880"/>
      <c r="F35" s="1978"/>
      <c r="G35" s="630"/>
      <c r="H35" s="629"/>
      <c r="I35" s="996"/>
      <c r="J35" s="628"/>
      <c r="K35" s="629"/>
      <c r="L35" s="996"/>
      <c r="M35" s="628"/>
      <c r="N35" s="629"/>
      <c r="O35" s="996"/>
      <c r="P35" s="996"/>
      <c r="Q35" s="996"/>
      <c r="R35" s="628"/>
      <c r="S35" s="627"/>
      <c r="U35" s="634"/>
      <c r="V35" s="634"/>
    </row>
    <row r="36" spans="1:22" ht="15.75" thickBot="1">
      <c r="A36" s="1981"/>
      <c r="B36" s="1982" t="s">
        <v>2219</v>
      </c>
      <c r="C36" s="633"/>
      <c r="D36" s="617">
        <f>SUM(D20:D35)</f>
        <v>213.66510900000003</v>
      </c>
      <c r="E36" s="633"/>
      <c r="F36" s="1983">
        <f>SUM(F19:F35)</f>
        <v>185.7297585</v>
      </c>
      <c r="G36" s="621">
        <f t="shared" ref="G36:S36" si="7">SUM(G20:G35)</f>
        <v>32.049766349999999</v>
      </c>
      <c r="H36" s="618">
        <f t="shared" si="7"/>
        <v>0</v>
      </c>
      <c r="I36" s="617">
        <f t="shared" si="7"/>
        <v>257.78445899999997</v>
      </c>
      <c r="J36" s="616">
        <f t="shared" si="7"/>
        <v>0</v>
      </c>
      <c r="K36" s="618">
        <f t="shared" si="7"/>
        <v>0</v>
      </c>
      <c r="L36" s="617">
        <f t="shared" si="7"/>
        <v>0</v>
      </c>
      <c r="M36" s="616">
        <f t="shared" si="7"/>
        <v>0</v>
      </c>
      <c r="N36" s="618">
        <f t="shared" si="7"/>
        <v>0</v>
      </c>
      <c r="O36" s="617">
        <f t="shared" si="7"/>
        <v>3517.3379311492795</v>
      </c>
      <c r="P36" s="617">
        <f t="shared" si="7"/>
        <v>0</v>
      </c>
      <c r="Q36" s="617">
        <f t="shared" si="7"/>
        <v>0</v>
      </c>
      <c r="R36" s="616">
        <f t="shared" si="7"/>
        <v>0</v>
      </c>
      <c r="S36" s="1984">
        <f t="shared" si="7"/>
        <v>3517.3379311492795</v>
      </c>
      <c r="U36" s="632"/>
      <c r="V36" s="632"/>
    </row>
    <row r="37" spans="1:22">
      <c r="A37" s="1976"/>
      <c r="B37" s="1977"/>
      <c r="C37" s="1880"/>
      <c r="D37" s="996"/>
      <c r="E37" s="1880"/>
      <c r="F37" s="1978"/>
      <c r="G37" s="630"/>
      <c r="H37" s="629"/>
      <c r="I37" s="996"/>
      <c r="J37" s="628"/>
      <c r="K37" s="629"/>
      <c r="L37" s="996"/>
      <c r="M37" s="628"/>
      <c r="N37" s="629"/>
      <c r="O37" s="996"/>
      <c r="P37" s="996"/>
      <c r="Q37" s="996"/>
      <c r="R37" s="628"/>
      <c r="S37" s="627"/>
    </row>
    <row r="38" spans="1:22">
      <c r="A38" s="1979" t="s">
        <v>219</v>
      </c>
      <c r="B38" s="1980"/>
      <c r="C38" s="1880"/>
      <c r="D38" s="996"/>
      <c r="E38" s="1880"/>
      <c r="F38" s="1978"/>
      <c r="G38" s="630"/>
      <c r="H38" s="629"/>
      <c r="I38" s="996"/>
      <c r="J38" s="628"/>
      <c r="K38" s="629"/>
      <c r="L38" s="996"/>
      <c r="M38" s="628"/>
      <c r="N38" s="629"/>
      <c r="O38" s="996"/>
      <c r="P38" s="996"/>
      <c r="Q38" s="996"/>
      <c r="R38" s="628"/>
      <c r="S38" s="627"/>
    </row>
    <row r="39" spans="1:22">
      <c r="A39" s="1976"/>
      <c r="B39" s="1980"/>
      <c r="C39" s="1880"/>
      <c r="D39" s="996"/>
      <c r="E39" s="1880"/>
      <c r="F39" s="1978"/>
      <c r="G39" s="630"/>
      <c r="H39" s="629"/>
      <c r="I39" s="996"/>
      <c r="J39" s="628"/>
      <c r="K39" s="629"/>
      <c r="L39" s="996"/>
      <c r="M39" s="628"/>
      <c r="N39" s="629"/>
      <c r="O39" s="996"/>
      <c r="P39" s="996"/>
      <c r="Q39" s="996"/>
      <c r="R39" s="628"/>
      <c r="S39" s="627"/>
      <c r="U39" s="632"/>
      <c r="V39" s="632"/>
    </row>
    <row r="40" spans="1:22">
      <c r="A40" s="625"/>
      <c r="B40" s="1980" t="str">
        <f>Plat!A91</f>
        <v>Deck Belakang, FFL +8.87</v>
      </c>
      <c r="C40" s="1880" t="s">
        <v>2194</v>
      </c>
      <c r="D40" s="996">
        <f>Plat!H91</f>
        <v>30.005120999999999</v>
      </c>
      <c r="E40" s="1880">
        <v>0.5</v>
      </c>
      <c r="F40" s="1978">
        <f>D40*E40</f>
        <v>15.0025605</v>
      </c>
      <c r="G40" s="630">
        <f>Plat!I91</f>
        <v>4.5007681499999999</v>
      </c>
      <c r="H40" s="629">
        <f>Plat!J91</f>
        <v>0</v>
      </c>
      <c r="I40" s="996">
        <f>Plat!K91</f>
        <v>34.708070999999997</v>
      </c>
      <c r="J40" s="628"/>
      <c r="K40" s="629"/>
      <c r="L40" s="996">
        <f>Plat!L91</f>
        <v>0</v>
      </c>
      <c r="M40" s="628"/>
      <c r="N40" s="629">
        <f>Plat!M91</f>
        <v>0</v>
      </c>
      <c r="O40" s="996">
        <f>Plat!N91</f>
        <v>493.94190149231997</v>
      </c>
      <c r="P40" s="996">
        <f>Plat!O91</f>
        <v>0</v>
      </c>
      <c r="Q40" s="996">
        <f>Plat!P91</f>
        <v>0</v>
      </c>
      <c r="R40" s="628">
        <f>Plat!Q91</f>
        <v>0</v>
      </c>
      <c r="S40" s="627">
        <f>SUM(N40:R40)</f>
        <v>493.94190149231997</v>
      </c>
      <c r="U40" s="632">
        <f>SUM(I40:I42)/SUM(G40:G42)</f>
        <v>7.4150240489140185</v>
      </c>
      <c r="V40" s="632">
        <f>SUM(S40:S42)/SUM(G40:G42)</f>
        <v>109.74613333333335</v>
      </c>
    </row>
    <row r="41" spans="1:22">
      <c r="A41" s="625"/>
      <c r="B41" s="1980" t="str">
        <f>Plat!A92</f>
        <v>Main Building, FFL +9.00</v>
      </c>
      <c r="C41" s="1880" t="s">
        <v>2194</v>
      </c>
      <c r="D41" s="996">
        <f>Plat!H92</f>
        <v>172.01331199999998</v>
      </c>
      <c r="E41" s="1880">
        <v>1</v>
      </c>
      <c r="F41" s="1978">
        <f t="shared" ref="F41:F42" si="8">D41*E41</f>
        <v>172.01331199999998</v>
      </c>
      <c r="G41" s="630">
        <f>Plat!I92</f>
        <v>25.801996799999998</v>
      </c>
      <c r="H41" s="629">
        <f>Plat!J92</f>
        <v>0</v>
      </c>
      <c r="I41" s="996">
        <f>Plat!K92</f>
        <v>189.200312</v>
      </c>
      <c r="J41" s="628"/>
      <c r="K41" s="629"/>
      <c r="L41" s="996">
        <f>Plat!L92</f>
        <v>0</v>
      </c>
      <c r="M41" s="628"/>
      <c r="N41" s="629">
        <f>Plat!M92</f>
        <v>0</v>
      </c>
      <c r="O41" s="996">
        <f>Plat!N92</f>
        <v>2831.6693810790398</v>
      </c>
      <c r="P41" s="996">
        <f>Plat!O92</f>
        <v>0</v>
      </c>
      <c r="Q41" s="996">
        <f>Plat!P92</f>
        <v>0</v>
      </c>
      <c r="R41" s="628">
        <f>Plat!Q92</f>
        <v>0</v>
      </c>
      <c r="S41" s="627">
        <f t="shared" ref="S41:S42" si="9">SUM(N41:R41)</f>
        <v>2831.6693810790398</v>
      </c>
      <c r="U41" s="634"/>
      <c r="V41" s="634"/>
    </row>
    <row r="42" spans="1:22">
      <c r="A42" s="625"/>
      <c r="B42" s="1980" t="str">
        <f>Plat!A93</f>
        <v>Balkon Depan, FFL +8.90</v>
      </c>
      <c r="C42" s="1880" t="s">
        <v>2194</v>
      </c>
      <c r="D42" s="996">
        <f>Plat!H93</f>
        <v>10.891874</v>
      </c>
      <c r="E42" s="1880">
        <v>0.5</v>
      </c>
      <c r="F42" s="1978">
        <f t="shared" si="8"/>
        <v>5.4459369999999998</v>
      </c>
      <c r="G42" s="630">
        <f>Plat!I93</f>
        <v>1.6337811</v>
      </c>
      <c r="H42" s="629">
        <f>Plat!J93</f>
        <v>0</v>
      </c>
      <c r="I42" s="996">
        <f>Plat!K93</f>
        <v>12.901873999999999</v>
      </c>
      <c r="J42" s="628"/>
      <c r="K42" s="629"/>
      <c r="L42" s="996">
        <f>Plat!L93</f>
        <v>0</v>
      </c>
      <c r="M42" s="628"/>
      <c r="N42" s="629">
        <f>Plat!M93</f>
        <v>0</v>
      </c>
      <c r="O42" s="996">
        <f>Plat!N93</f>
        <v>179.30115843807999</v>
      </c>
      <c r="P42" s="996">
        <f>Plat!O93</f>
        <v>0</v>
      </c>
      <c r="Q42" s="996">
        <f>Plat!P93</f>
        <v>0</v>
      </c>
      <c r="R42" s="628">
        <f>Plat!Q93</f>
        <v>0</v>
      </c>
      <c r="S42" s="627">
        <f t="shared" si="9"/>
        <v>179.30115843807999</v>
      </c>
      <c r="U42" s="634"/>
      <c r="V42" s="634"/>
    </row>
    <row r="43" spans="1:22" ht="15.75" thickBot="1">
      <c r="A43" s="625"/>
      <c r="B43" s="1980"/>
      <c r="C43" s="1880"/>
      <c r="D43" s="996"/>
      <c r="E43" s="1880"/>
      <c r="F43" s="1978"/>
      <c r="G43" s="630"/>
      <c r="H43" s="629"/>
      <c r="I43" s="996"/>
      <c r="J43" s="628"/>
      <c r="K43" s="629"/>
      <c r="L43" s="996"/>
      <c r="M43" s="628"/>
      <c r="N43" s="629"/>
      <c r="O43" s="996"/>
      <c r="P43" s="996"/>
      <c r="Q43" s="996"/>
      <c r="R43" s="628"/>
      <c r="S43" s="627"/>
      <c r="U43" s="634"/>
      <c r="V43" s="634"/>
    </row>
    <row r="44" spans="1:22" ht="15.75" thickBot="1">
      <c r="A44" s="1981"/>
      <c r="B44" s="1982" t="s">
        <v>2218</v>
      </c>
      <c r="C44" s="633"/>
      <c r="D44" s="617">
        <f>SUM(D38:D43)</f>
        <v>212.91030699999999</v>
      </c>
      <c r="E44" s="633"/>
      <c r="F44" s="1983">
        <f>SUM(F37:F43)</f>
        <v>192.46180949999996</v>
      </c>
      <c r="G44" s="621">
        <f t="shared" ref="G44:S44" si="10">SUM(G38:G43)</f>
        <v>31.936546049999997</v>
      </c>
      <c r="H44" s="618">
        <f t="shared" si="10"/>
        <v>0</v>
      </c>
      <c r="I44" s="617">
        <f t="shared" si="10"/>
        <v>236.81025699999998</v>
      </c>
      <c r="J44" s="616">
        <f t="shared" si="10"/>
        <v>0</v>
      </c>
      <c r="K44" s="618">
        <f t="shared" si="10"/>
        <v>0</v>
      </c>
      <c r="L44" s="617">
        <f t="shared" si="10"/>
        <v>0</v>
      </c>
      <c r="M44" s="616">
        <f t="shared" si="10"/>
        <v>0</v>
      </c>
      <c r="N44" s="618">
        <f t="shared" si="10"/>
        <v>0</v>
      </c>
      <c r="O44" s="617">
        <f t="shared" si="10"/>
        <v>3504.91244100944</v>
      </c>
      <c r="P44" s="617">
        <f t="shared" si="10"/>
        <v>0</v>
      </c>
      <c r="Q44" s="617">
        <f t="shared" si="10"/>
        <v>0</v>
      </c>
      <c r="R44" s="616">
        <f t="shared" si="10"/>
        <v>0</v>
      </c>
      <c r="S44" s="1984">
        <f t="shared" si="10"/>
        <v>3504.91244100944</v>
      </c>
      <c r="U44" s="632"/>
      <c r="V44" s="632"/>
    </row>
    <row r="45" spans="1:22">
      <c r="A45" s="625"/>
      <c r="B45" s="1980"/>
      <c r="C45" s="1880"/>
      <c r="D45" s="996"/>
      <c r="E45" s="1880"/>
      <c r="F45" s="1978"/>
      <c r="G45" s="630"/>
      <c r="H45" s="629"/>
      <c r="I45" s="996"/>
      <c r="J45" s="628"/>
      <c r="K45" s="629"/>
      <c r="L45" s="996"/>
      <c r="M45" s="628"/>
      <c r="N45" s="629"/>
      <c r="O45" s="996"/>
      <c r="P45" s="996"/>
      <c r="Q45" s="996"/>
      <c r="R45" s="628"/>
      <c r="S45" s="627"/>
      <c r="U45" s="634"/>
      <c r="V45" s="634"/>
    </row>
    <row r="46" spans="1:22">
      <c r="A46" s="1979" t="s">
        <v>2191</v>
      </c>
      <c r="B46" s="1980"/>
      <c r="C46" s="1880"/>
      <c r="D46" s="996"/>
      <c r="E46" s="1880"/>
      <c r="F46" s="1978"/>
      <c r="G46" s="630"/>
      <c r="H46" s="629"/>
      <c r="I46" s="996"/>
      <c r="J46" s="628"/>
      <c r="K46" s="629"/>
      <c r="L46" s="996"/>
      <c r="M46" s="628"/>
      <c r="N46" s="629"/>
      <c r="O46" s="996"/>
      <c r="P46" s="996"/>
      <c r="Q46" s="996"/>
      <c r="R46" s="628"/>
      <c r="S46" s="627"/>
      <c r="U46" s="634"/>
      <c r="V46" s="634"/>
    </row>
    <row r="47" spans="1:22">
      <c r="A47" s="625"/>
      <c r="B47" s="1980"/>
      <c r="C47" s="1880"/>
      <c r="D47" s="996"/>
      <c r="E47" s="1880"/>
      <c r="F47" s="1978"/>
      <c r="G47" s="630"/>
      <c r="H47" s="629"/>
      <c r="I47" s="996"/>
      <c r="J47" s="628"/>
      <c r="K47" s="629"/>
      <c r="L47" s="996"/>
      <c r="M47" s="628"/>
      <c r="N47" s="629"/>
      <c r="O47" s="996"/>
      <c r="P47" s="996"/>
      <c r="Q47" s="996"/>
      <c r="R47" s="628"/>
      <c r="S47" s="627"/>
      <c r="U47" s="632"/>
      <c r="V47" s="632"/>
    </row>
    <row r="48" spans="1:22">
      <c r="A48" s="625"/>
      <c r="B48" s="1980" t="str">
        <f>Plat!A96</f>
        <v>Deck Atap, FFL +12.50</v>
      </c>
      <c r="C48" s="1880" t="s">
        <v>2194</v>
      </c>
      <c r="D48" s="996">
        <f>Plat!H96</f>
        <v>12.765228</v>
      </c>
      <c r="E48" s="1880">
        <v>0.5</v>
      </c>
      <c r="F48" s="1978">
        <f>D48*E48</f>
        <v>6.3826140000000002</v>
      </c>
      <c r="G48" s="630">
        <f>Plat!I96</f>
        <v>1.9147842000000002</v>
      </c>
      <c r="H48" s="629">
        <f>Plat!J96</f>
        <v>0</v>
      </c>
      <c r="I48" s="996">
        <f>Plat!K96</f>
        <v>14.921478</v>
      </c>
      <c r="J48" s="628"/>
      <c r="K48" s="629"/>
      <c r="L48" s="996">
        <f>Plat!L96</f>
        <v>0</v>
      </c>
      <c r="M48" s="628"/>
      <c r="N48" s="629">
        <f>Plat!M96</f>
        <v>0</v>
      </c>
      <c r="O48" s="996">
        <f>Plat!N96</f>
        <v>210.14016211776001</v>
      </c>
      <c r="P48" s="996">
        <f>Plat!O96</f>
        <v>0</v>
      </c>
      <c r="Q48" s="996">
        <f>Plat!P96</f>
        <v>0</v>
      </c>
      <c r="R48" s="628">
        <f>Plat!Q96</f>
        <v>0</v>
      </c>
      <c r="S48" s="627">
        <f t="shared" ref="S48:S49" si="11">SUM(N48:R48)</f>
        <v>210.14016211776001</v>
      </c>
      <c r="U48" s="632">
        <f>SUM(I48:I49)/SUM(G48:G49)</f>
        <v>7.5450517566026551</v>
      </c>
      <c r="V48" s="632">
        <f>SUM(S48:S49)/SUM(G48:G49)</f>
        <v>109.74613333333332</v>
      </c>
    </row>
    <row r="49" spans="1:22">
      <c r="A49" s="625"/>
      <c r="B49" s="1980" t="str">
        <f>Plat!A97</f>
        <v>Deck Atap, FFL +13.70</v>
      </c>
      <c r="C49" s="1880" t="s">
        <v>2194</v>
      </c>
      <c r="D49" s="996">
        <f>Plat!H97</f>
        <v>27.826308000000001</v>
      </c>
      <c r="E49" s="1880">
        <v>0.5</v>
      </c>
      <c r="F49" s="1978">
        <f>D49*E49</f>
        <v>13.913154</v>
      </c>
      <c r="G49" s="630">
        <f>Plat!I97</f>
        <v>4.1739462000000005</v>
      </c>
      <c r="H49" s="629">
        <f>Plat!J97</f>
        <v>0</v>
      </c>
      <c r="I49" s="996">
        <f>Plat!K97</f>
        <v>31.018308000000001</v>
      </c>
      <c r="J49" s="628"/>
      <c r="K49" s="629"/>
      <c r="L49" s="996">
        <f>Plat!L97</f>
        <v>0</v>
      </c>
      <c r="M49" s="628"/>
      <c r="N49" s="629">
        <f>Plat!M97</f>
        <v>0</v>
      </c>
      <c r="O49" s="996">
        <f>Plat!N97</f>
        <v>458.07445619136007</v>
      </c>
      <c r="P49" s="996">
        <f>Plat!O97</f>
        <v>0</v>
      </c>
      <c r="Q49" s="996">
        <f>Plat!P97</f>
        <v>0</v>
      </c>
      <c r="R49" s="628">
        <f>Plat!Q97</f>
        <v>0</v>
      </c>
      <c r="S49" s="627">
        <f t="shared" si="11"/>
        <v>458.07445619136007</v>
      </c>
      <c r="U49" s="632"/>
      <c r="V49" s="632"/>
    </row>
    <row r="50" spans="1:22" ht="15.75" thickBot="1">
      <c r="A50" s="625"/>
      <c r="B50" s="1980"/>
      <c r="C50" s="1880"/>
      <c r="D50" s="996"/>
      <c r="E50" s="1880"/>
      <c r="F50" s="1978"/>
      <c r="G50" s="630"/>
      <c r="H50" s="629"/>
      <c r="I50" s="996"/>
      <c r="J50" s="628"/>
      <c r="K50" s="629"/>
      <c r="L50" s="996"/>
      <c r="M50" s="628"/>
      <c r="N50" s="629"/>
      <c r="O50" s="996"/>
      <c r="P50" s="996"/>
      <c r="Q50" s="996"/>
      <c r="R50" s="628"/>
      <c r="S50" s="627"/>
      <c r="U50" s="634"/>
      <c r="V50" s="634"/>
    </row>
    <row r="51" spans="1:22" ht="15.75" thickBot="1">
      <c r="A51" s="1981"/>
      <c r="B51" s="1982" t="s">
        <v>2192</v>
      </c>
      <c r="C51" s="633"/>
      <c r="D51" s="617">
        <f>SUM(D45:D50)</f>
        <v>40.591536000000005</v>
      </c>
      <c r="E51" s="633"/>
      <c r="F51" s="1983">
        <f t="shared" ref="F51:S51" si="12">SUM(F45:F50)</f>
        <v>20.295768000000002</v>
      </c>
      <c r="G51" s="621">
        <f t="shared" si="12"/>
        <v>6.0887304000000011</v>
      </c>
      <c r="H51" s="618">
        <f t="shared" si="12"/>
        <v>0</v>
      </c>
      <c r="I51" s="617">
        <f t="shared" si="12"/>
        <v>45.939785999999998</v>
      </c>
      <c r="J51" s="616">
        <f t="shared" si="12"/>
        <v>0</v>
      </c>
      <c r="K51" s="618">
        <f t="shared" si="12"/>
        <v>0</v>
      </c>
      <c r="L51" s="617">
        <f t="shared" si="12"/>
        <v>0</v>
      </c>
      <c r="M51" s="616">
        <f t="shared" si="12"/>
        <v>0</v>
      </c>
      <c r="N51" s="618">
        <f t="shared" si="12"/>
        <v>0</v>
      </c>
      <c r="O51" s="617">
        <f t="shared" si="12"/>
        <v>668.21461830912006</v>
      </c>
      <c r="P51" s="617">
        <f t="shared" si="12"/>
        <v>0</v>
      </c>
      <c r="Q51" s="617">
        <f t="shared" si="12"/>
        <v>0</v>
      </c>
      <c r="R51" s="616">
        <f t="shared" si="12"/>
        <v>0</v>
      </c>
      <c r="S51" s="1984">
        <f t="shared" si="12"/>
        <v>668.21461830912006</v>
      </c>
      <c r="U51" s="632"/>
      <c r="V51" s="632"/>
    </row>
    <row r="52" spans="1:22">
      <c r="A52" s="625"/>
      <c r="B52" s="1980"/>
      <c r="C52" s="1880"/>
      <c r="D52" s="996"/>
      <c r="E52" s="1880"/>
      <c r="F52" s="1978"/>
      <c r="G52" s="630"/>
      <c r="H52" s="1985"/>
      <c r="I52" s="1986"/>
      <c r="J52" s="1987"/>
      <c r="K52" s="629"/>
      <c r="L52" s="996"/>
      <c r="M52" s="628"/>
      <c r="N52" s="629"/>
      <c r="O52" s="996"/>
      <c r="P52" s="996"/>
      <c r="Q52" s="996"/>
      <c r="R52" s="628"/>
      <c r="S52" s="627"/>
      <c r="U52" s="631"/>
      <c r="V52" s="631"/>
    </row>
    <row r="53" spans="1:22">
      <c r="A53" s="625"/>
      <c r="B53" s="1980"/>
      <c r="C53" s="1880"/>
      <c r="D53" s="996"/>
      <c r="E53" s="1880"/>
      <c r="F53" s="1978"/>
      <c r="G53" s="630"/>
      <c r="H53" s="629"/>
      <c r="I53" s="996"/>
      <c r="J53" s="628"/>
      <c r="K53" s="629"/>
      <c r="L53" s="996"/>
      <c r="M53" s="628"/>
      <c r="N53" s="629"/>
      <c r="O53" s="996"/>
      <c r="P53" s="996"/>
      <c r="Q53" s="996"/>
      <c r="R53" s="628"/>
      <c r="S53" s="627"/>
    </row>
    <row r="54" spans="1:22" ht="15.75" thickBot="1">
      <c r="A54" s="625"/>
      <c r="B54" s="1988"/>
      <c r="C54" s="1880"/>
      <c r="D54" s="1880"/>
      <c r="E54" s="1880"/>
      <c r="F54" s="1989"/>
      <c r="G54" s="626"/>
      <c r="H54" s="1990"/>
      <c r="I54" s="1991"/>
      <c r="J54" s="1992"/>
      <c r="K54" s="624"/>
      <c r="L54" s="1880"/>
      <c r="M54" s="623"/>
      <c r="N54" s="624"/>
      <c r="O54" s="1880"/>
      <c r="P54" s="1880"/>
      <c r="Q54" s="1880"/>
      <c r="R54" s="623"/>
      <c r="S54" s="622"/>
    </row>
    <row r="55" spans="1:22" ht="15.75" thickBot="1">
      <c r="A55" s="2163" t="s">
        <v>138</v>
      </c>
      <c r="B55" s="2271"/>
      <c r="C55" s="2327"/>
      <c r="D55" s="616">
        <f>SUM(D3:D54)/2</f>
        <v>805.00649539999972</v>
      </c>
      <c r="E55" s="1982"/>
      <c r="F55" s="1983">
        <f>SUM(F3:F54)/2</f>
        <v>686.58111989999986</v>
      </c>
      <c r="G55" s="621">
        <f>SUM(G3:G54)/2</f>
        <v>121.97940820999999</v>
      </c>
      <c r="H55" s="620">
        <f>SUM(H3:H54)/2</f>
        <v>16.891977169999997</v>
      </c>
      <c r="I55" s="619">
        <f>SUM(I3:I54)/2</f>
        <v>582.54891699999985</v>
      </c>
      <c r="J55" s="1984">
        <f>SUM(J3:J54)/2</f>
        <v>0</v>
      </c>
      <c r="K55" s="618"/>
      <c r="L55" s="617">
        <f>SUM(L3:L54)/2</f>
        <v>0</v>
      </c>
      <c r="M55" s="616"/>
      <c r="N55" s="618">
        <f t="shared" ref="N55:S55" si="13">SUM(N3:N54)/2</f>
        <v>0</v>
      </c>
      <c r="O55" s="617">
        <f t="shared" si="13"/>
        <v>13363.195815437468</v>
      </c>
      <c r="P55" s="617">
        <f t="shared" si="13"/>
        <v>0</v>
      </c>
      <c r="Q55" s="617">
        <f t="shared" si="13"/>
        <v>0</v>
      </c>
      <c r="R55" s="616">
        <f t="shared" si="13"/>
        <v>0</v>
      </c>
      <c r="S55" s="1984">
        <f t="shared" si="13"/>
        <v>13363.195815437468</v>
      </c>
    </row>
    <row r="56" spans="1:22">
      <c r="R56" s="614" t="s">
        <v>257</v>
      </c>
      <c r="S56" s="615">
        <f>S55-Plat!R102</f>
        <v>0</v>
      </c>
    </row>
    <row r="57" spans="1:22">
      <c r="F57" s="1994"/>
      <c r="G57" s="921"/>
    </row>
  </sheetData>
  <mergeCells count="12">
    <mergeCell ref="H1:J1"/>
    <mergeCell ref="N1:R1"/>
    <mergeCell ref="S1:S2"/>
    <mergeCell ref="U1:U2"/>
    <mergeCell ref="V1:V2"/>
    <mergeCell ref="F1:F2"/>
    <mergeCell ref="G1:G2"/>
    <mergeCell ref="A55:C55"/>
    <mergeCell ref="A1:B2"/>
    <mergeCell ref="C1:C2"/>
    <mergeCell ref="D1:D2"/>
    <mergeCell ref="E1:E2"/>
  </mergeCells>
  <phoneticPr fontId="7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2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4"/>
  <sheetViews>
    <sheetView view="pageBreakPreview" zoomScale="55" zoomScaleSheetLayoutView="55" workbookViewId="0">
      <selection activeCell="H56" sqref="H56"/>
    </sheetView>
  </sheetViews>
  <sheetFormatPr defaultColWidth="9.140625" defaultRowHeight="15"/>
  <cols>
    <col min="1" max="1" width="42.7109375" style="478" customWidth="1"/>
    <col min="2" max="2" width="1.5703125" style="478" bestFit="1" customWidth="1"/>
    <col min="3" max="3" width="19.28515625" style="478" customWidth="1"/>
    <col min="4" max="4" width="15.42578125" style="478" bestFit="1" customWidth="1"/>
    <col min="5" max="5" width="12.28515625" style="478" bestFit="1" customWidth="1"/>
    <col min="6" max="6" width="14" style="479" customWidth="1"/>
    <col min="7" max="7" width="12.42578125" style="479" customWidth="1"/>
    <col min="8" max="8" width="15.85546875" style="481" customWidth="1"/>
    <col min="9" max="9" width="11.28515625" style="479" customWidth="1"/>
    <col min="10" max="10" width="16.5703125" style="479" customWidth="1"/>
    <col min="11" max="11" width="22.85546875" style="479" bestFit="1" customWidth="1"/>
    <col min="12" max="12" width="16.5703125" style="479" customWidth="1"/>
    <col min="13" max="13" width="14.5703125" style="480" bestFit="1" customWidth="1"/>
    <col min="14" max="14" width="15.7109375" style="480" bestFit="1" customWidth="1"/>
    <col min="15" max="15" width="14.28515625" style="478" bestFit="1" customWidth="1"/>
    <col min="16" max="16" width="11.140625" style="478" bestFit="1" customWidth="1"/>
    <col min="17" max="17" width="14.5703125" style="478" bestFit="1" customWidth="1"/>
    <col min="18" max="18" width="15.7109375" style="479" customWidth="1"/>
    <col min="19" max="19" width="1.28515625" style="478" customWidth="1"/>
    <col min="20" max="20" width="9.140625" style="478"/>
    <col min="21" max="21" width="11" style="478" customWidth="1"/>
    <col min="22" max="16384" width="9.140625" style="478"/>
  </cols>
  <sheetData>
    <row r="1" spans="1:18" ht="20.25">
      <c r="A1" s="613" t="s">
        <v>256</v>
      </c>
    </row>
    <row r="2" spans="1:18" ht="15.75" customHeight="1">
      <c r="A2" s="612"/>
    </row>
    <row r="3" spans="1:18">
      <c r="A3" s="478" t="s">
        <v>255</v>
      </c>
      <c r="B3" s="479" t="s">
        <v>110</v>
      </c>
      <c r="C3" s="608">
        <v>15</v>
      </c>
      <c r="D3" s="607" t="s">
        <v>16</v>
      </c>
      <c r="F3" s="478" t="s">
        <v>254</v>
      </c>
      <c r="G3" s="478"/>
      <c r="I3" s="479" t="s">
        <v>110</v>
      </c>
      <c r="J3" s="608">
        <v>40</v>
      </c>
      <c r="K3" s="478" t="s">
        <v>4</v>
      </c>
      <c r="L3" s="478"/>
    </row>
    <row r="4" spans="1:18">
      <c r="A4" s="478" t="s">
        <v>253</v>
      </c>
      <c r="B4" s="479" t="s">
        <v>110</v>
      </c>
      <c r="C4" s="608">
        <v>20</v>
      </c>
      <c r="D4" s="607" t="s">
        <v>16</v>
      </c>
      <c r="F4" s="478" t="s">
        <v>252</v>
      </c>
      <c r="I4" s="479" t="s">
        <v>110</v>
      </c>
      <c r="J4" s="611">
        <v>300</v>
      </c>
      <c r="K4" s="478" t="s">
        <v>4</v>
      </c>
      <c r="L4" s="478"/>
    </row>
    <row r="5" spans="1:18">
      <c r="A5" s="478" t="s">
        <v>251</v>
      </c>
      <c r="B5" s="479" t="s">
        <v>110</v>
      </c>
      <c r="C5" s="608">
        <v>12</v>
      </c>
      <c r="D5" s="607" t="s">
        <v>16</v>
      </c>
      <c r="F5" s="478" t="s">
        <v>250</v>
      </c>
      <c r="G5" s="478"/>
      <c r="H5" s="478"/>
      <c r="I5" s="479" t="s">
        <v>110</v>
      </c>
      <c r="J5" s="606">
        <v>20</v>
      </c>
      <c r="K5" s="478" t="s">
        <v>4</v>
      </c>
      <c r="L5" s="478"/>
    </row>
    <row r="6" spans="1:18">
      <c r="A6" s="610" t="s">
        <v>249</v>
      </c>
      <c r="B6" s="609" t="s">
        <v>110</v>
      </c>
      <c r="C6" s="608">
        <v>50</v>
      </c>
      <c r="D6" s="607" t="s">
        <v>4</v>
      </c>
      <c r="F6" s="478"/>
      <c r="G6" s="478"/>
      <c r="H6" s="478"/>
      <c r="J6" s="606"/>
      <c r="K6" s="478"/>
      <c r="L6" s="478"/>
    </row>
    <row r="8" spans="1:18" ht="15.75">
      <c r="A8" s="587" t="s">
        <v>248</v>
      </c>
    </row>
    <row r="9" spans="1:18">
      <c r="H9" s="488"/>
    </row>
    <row r="11" spans="1:18">
      <c r="H11" s="488"/>
    </row>
    <row r="12" spans="1:18">
      <c r="F12" s="584" t="s">
        <v>246</v>
      </c>
      <c r="H12" s="488"/>
      <c r="I12" s="479" t="s">
        <v>110</v>
      </c>
      <c r="J12" s="586" t="s">
        <v>2250</v>
      </c>
      <c r="K12" s="584"/>
      <c r="M12" s="585"/>
      <c r="N12" s="585"/>
      <c r="O12" s="585"/>
      <c r="P12" s="585"/>
      <c r="Q12" s="480"/>
    </row>
    <row r="13" spans="1:18">
      <c r="F13" s="584" t="s">
        <v>245</v>
      </c>
      <c r="H13" s="581" t="s">
        <v>244</v>
      </c>
      <c r="I13" s="479" t="s">
        <v>110</v>
      </c>
      <c r="J13" s="583">
        <v>3</v>
      </c>
      <c r="K13" s="577" t="s">
        <v>12</v>
      </c>
      <c r="L13" s="577">
        <v>2.85</v>
      </c>
      <c r="O13" s="480"/>
      <c r="P13" s="480"/>
      <c r="Q13" s="480"/>
    </row>
    <row r="14" spans="1:18">
      <c r="F14" s="577"/>
      <c r="G14" s="478"/>
      <c r="H14" s="581" t="s">
        <v>243</v>
      </c>
      <c r="I14" s="479" t="s">
        <v>110</v>
      </c>
      <c r="J14" s="583">
        <v>3</v>
      </c>
      <c r="K14" s="577" t="s">
        <v>12</v>
      </c>
      <c r="L14" s="577">
        <v>2.85</v>
      </c>
      <c r="O14" s="480"/>
      <c r="P14" s="480"/>
      <c r="Q14" s="480"/>
      <c r="R14" s="577"/>
    </row>
    <row r="15" spans="1:18">
      <c r="F15" s="577"/>
      <c r="G15" s="478"/>
      <c r="H15" s="581" t="s">
        <v>242</v>
      </c>
      <c r="I15" s="479" t="s">
        <v>110</v>
      </c>
      <c r="J15" s="582">
        <v>200</v>
      </c>
      <c r="K15" s="577" t="s">
        <v>4</v>
      </c>
      <c r="L15" s="577"/>
      <c r="O15" s="480"/>
      <c r="P15" s="480"/>
      <c r="Q15" s="480"/>
      <c r="R15" s="577"/>
    </row>
    <row r="16" spans="1:18" ht="15.75" thickBot="1">
      <c r="A16" s="577"/>
      <c r="C16" s="581"/>
      <c r="D16" s="580"/>
      <c r="E16" s="577"/>
      <c r="F16" s="579"/>
      <c r="G16" s="577"/>
      <c r="H16" s="488"/>
      <c r="J16" s="578"/>
      <c r="K16" s="578"/>
      <c r="L16" s="578"/>
      <c r="O16" s="480"/>
      <c r="P16" s="480"/>
      <c r="Q16" s="480"/>
      <c r="R16" s="577"/>
    </row>
    <row r="17" spans="1:18">
      <c r="A17" s="576"/>
      <c r="B17" s="479"/>
      <c r="C17" s="479"/>
      <c r="D17" s="479"/>
      <c r="E17" s="479"/>
      <c r="F17" s="2348" t="s">
        <v>241</v>
      </c>
      <c r="G17" s="574" t="s">
        <v>89</v>
      </c>
      <c r="H17" s="575" t="s">
        <v>47</v>
      </c>
      <c r="I17" s="574" t="s">
        <v>48</v>
      </c>
      <c r="J17" s="573" t="s">
        <v>240</v>
      </c>
      <c r="K17" s="572" t="s">
        <v>239</v>
      </c>
      <c r="L17" s="571" t="s">
        <v>227</v>
      </c>
      <c r="M17" s="2350" t="s">
        <v>238</v>
      </c>
      <c r="N17" s="2351"/>
      <c r="O17" s="2351"/>
      <c r="P17" s="2351"/>
      <c r="Q17" s="2352"/>
      <c r="R17" s="570" t="s">
        <v>103</v>
      </c>
    </row>
    <row r="18" spans="1:18" ht="15.75" thickBot="1">
      <c r="A18" s="524"/>
      <c r="F18" s="2349"/>
      <c r="G18" s="568" t="s">
        <v>4</v>
      </c>
      <c r="H18" s="569" t="s">
        <v>4</v>
      </c>
      <c r="I18" s="568" t="s">
        <v>52</v>
      </c>
      <c r="J18" s="567" t="s">
        <v>12</v>
      </c>
      <c r="K18" s="566" t="s">
        <v>12</v>
      </c>
      <c r="L18" s="565" t="s">
        <v>49</v>
      </c>
      <c r="M18" s="564">
        <v>8</v>
      </c>
      <c r="N18" s="563">
        <v>10</v>
      </c>
      <c r="O18" s="563">
        <v>13</v>
      </c>
      <c r="P18" s="563">
        <v>16</v>
      </c>
      <c r="Q18" s="562">
        <v>25</v>
      </c>
      <c r="R18" s="561" t="s">
        <v>53</v>
      </c>
    </row>
    <row r="19" spans="1:18" ht="15.75" thickBot="1">
      <c r="A19" s="524"/>
      <c r="E19" s="523"/>
      <c r="F19" s="560" t="s">
        <v>237</v>
      </c>
      <c r="G19" s="558">
        <v>10</v>
      </c>
      <c r="H19" s="557">
        <v>150</v>
      </c>
      <c r="I19" s="556">
        <f>ROUND($J14/($H19/1000),0)+1</f>
        <v>21</v>
      </c>
      <c r="J19" s="559">
        <f>J13/12*50*G19/1000</f>
        <v>0.125</v>
      </c>
      <c r="K19" s="555">
        <f>J13+J19</f>
        <v>3.125</v>
      </c>
      <c r="L19" s="554"/>
      <c r="M19" s="551">
        <f t="shared" ref="M19:Q22" si="0">IF($G19=M$18,0.006165*$G19^2*$K19*$I19,0)</f>
        <v>0</v>
      </c>
      <c r="N19" s="551">
        <f t="shared" si="0"/>
        <v>40.457812500000003</v>
      </c>
      <c r="O19" s="551">
        <f t="shared" si="0"/>
        <v>0</v>
      </c>
      <c r="P19" s="551">
        <f t="shared" si="0"/>
        <v>0</v>
      </c>
      <c r="Q19" s="551">
        <f t="shared" si="0"/>
        <v>0</v>
      </c>
      <c r="R19" s="550">
        <f>SUM(M19:Q19)</f>
        <v>40.457812500000003</v>
      </c>
    </row>
    <row r="20" spans="1:18" ht="15.75" thickBot="1">
      <c r="A20" s="524"/>
      <c r="E20" s="523"/>
      <c r="F20" s="549" t="s">
        <v>151</v>
      </c>
      <c r="G20" s="558">
        <v>10</v>
      </c>
      <c r="H20" s="557">
        <v>150</v>
      </c>
      <c r="I20" s="556">
        <f>ROUND($J14/($H20/1000),0)+1</f>
        <v>21</v>
      </c>
      <c r="J20" s="559">
        <f>J13/12*50*G20/1000</f>
        <v>0.125</v>
      </c>
      <c r="K20" s="555">
        <f>J13+J20</f>
        <v>3.125</v>
      </c>
      <c r="L20" s="554"/>
      <c r="M20" s="551">
        <f t="shared" si="0"/>
        <v>0</v>
      </c>
      <c r="N20" s="551">
        <f t="shared" si="0"/>
        <v>40.457812500000003</v>
      </c>
      <c r="O20" s="551">
        <f t="shared" si="0"/>
        <v>0</v>
      </c>
      <c r="P20" s="551">
        <f t="shared" si="0"/>
        <v>0</v>
      </c>
      <c r="Q20" s="551">
        <f t="shared" si="0"/>
        <v>0</v>
      </c>
      <c r="R20" s="550">
        <f>SUM(M20:Q20)</f>
        <v>40.457812500000003</v>
      </c>
    </row>
    <row r="21" spans="1:18" ht="15.75" thickBot="1">
      <c r="A21" s="524"/>
      <c r="E21" s="523"/>
      <c r="F21" s="549" t="s">
        <v>236</v>
      </c>
      <c r="G21" s="558">
        <v>10</v>
      </c>
      <c r="H21" s="557">
        <v>150</v>
      </c>
      <c r="I21" s="556">
        <f>ROUND($J13/($H21/1000),0)+1</f>
        <v>21</v>
      </c>
      <c r="J21" s="546">
        <f>J14/12*50*G21/1000</f>
        <v>0.125</v>
      </c>
      <c r="K21" s="555">
        <f>J14+J21</f>
        <v>3.125</v>
      </c>
      <c r="L21" s="554"/>
      <c r="M21" s="551">
        <f t="shared" si="0"/>
        <v>0</v>
      </c>
      <c r="N21" s="551">
        <f t="shared" si="0"/>
        <v>40.457812500000003</v>
      </c>
      <c r="O21" s="551">
        <f t="shared" si="0"/>
        <v>0</v>
      </c>
      <c r="P21" s="551">
        <f t="shared" si="0"/>
        <v>0</v>
      </c>
      <c r="Q21" s="551">
        <f t="shared" si="0"/>
        <v>0</v>
      </c>
      <c r="R21" s="550">
        <f>SUM(M21:Q21)</f>
        <v>40.457812500000003</v>
      </c>
    </row>
    <row r="22" spans="1:18" ht="15.75" thickBot="1">
      <c r="A22" s="524"/>
      <c r="E22" s="523"/>
      <c r="F22" s="549" t="s">
        <v>16</v>
      </c>
      <c r="G22" s="558">
        <v>10</v>
      </c>
      <c r="H22" s="557">
        <v>150</v>
      </c>
      <c r="I22" s="556">
        <f>ROUND($J13/($H22/1000),0)+1</f>
        <v>21</v>
      </c>
      <c r="J22" s="546">
        <f>J14/12*50*G22/1000</f>
        <v>0.125</v>
      </c>
      <c r="K22" s="555">
        <f>J14+J22</f>
        <v>3.125</v>
      </c>
      <c r="L22" s="554"/>
      <c r="M22" s="551">
        <f t="shared" si="0"/>
        <v>0</v>
      </c>
      <c r="N22" s="551">
        <f t="shared" si="0"/>
        <v>40.457812500000003</v>
      </c>
      <c r="O22" s="551">
        <f t="shared" si="0"/>
        <v>0</v>
      </c>
      <c r="P22" s="551">
        <f t="shared" si="0"/>
        <v>0</v>
      </c>
      <c r="Q22" s="551">
        <f t="shared" si="0"/>
        <v>0</v>
      </c>
      <c r="R22" s="550">
        <f>SUM(M22:Q22)</f>
        <v>40.457812500000003</v>
      </c>
    </row>
    <row r="23" spans="1:18" ht="15.75" thickBot="1">
      <c r="A23" s="524"/>
      <c r="E23" s="523"/>
      <c r="F23" s="549"/>
      <c r="G23" s="547"/>
      <c r="H23" s="553"/>
      <c r="I23" s="547"/>
      <c r="J23" s="546"/>
      <c r="K23" s="545"/>
      <c r="L23" s="544"/>
      <c r="M23" s="551"/>
      <c r="N23" s="551"/>
      <c r="O23" s="551"/>
      <c r="P23" s="551"/>
      <c r="Q23" s="551"/>
      <c r="R23" s="540"/>
    </row>
    <row r="24" spans="1:18">
      <c r="A24" s="524"/>
      <c r="E24" s="523"/>
      <c r="F24" s="549" t="s">
        <v>36</v>
      </c>
      <c r="G24" s="547">
        <v>10</v>
      </c>
      <c r="H24" s="553">
        <v>500</v>
      </c>
      <c r="I24" s="552">
        <f>ROUND(J13/(H24/1000),0)*ROUND(J14/(H24/1000),0)</f>
        <v>36</v>
      </c>
      <c r="J24" s="546">
        <f>3*$J$4/1000</f>
        <v>0.9</v>
      </c>
      <c r="K24" s="545">
        <f>2*(J15-2*$J$5)/1000+J24</f>
        <v>1.22</v>
      </c>
      <c r="L24" s="544"/>
      <c r="M24" s="551">
        <f>IF($G24=M$18,0.006165*$G24^2*$K24*$I24,0)</f>
        <v>0</v>
      </c>
      <c r="N24" s="551">
        <f>IF($G24=N$18,0.006165*$G24^2*$K24*$I24,0)</f>
        <v>27.076680000000003</v>
      </c>
      <c r="O24" s="551">
        <f>IF($G24=O$18,0.006165*$G24^2*$K24*$I24,0)</f>
        <v>0</v>
      </c>
      <c r="P24" s="551">
        <f>IF($G24=P$18,0.006165*$G24^2*$K24*$I24,0)</f>
        <v>0</v>
      </c>
      <c r="Q24" s="551">
        <f>IF($G24=Q$18,0.006165*$G24^2*$K24*$I24,0)</f>
        <v>0</v>
      </c>
      <c r="R24" s="550">
        <f>SUM(M24:Q24)</f>
        <v>27.076680000000003</v>
      </c>
    </row>
    <row r="25" spans="1:18">
      <c r="A25" s="524"/>
      <c r="E25" s="523"/>
      <c r="F25" s="549"/>
      <c r="G25" s="547"/>
      <c r="H25" s="548"/>
      <c r="I25" s="547"/>
      <c r="J25" s="546"/>
      <c r="K25" s="545"/>
      <c r="L25" s="544"/>
      <c r="M25" s="543"/>
      <c r="N25" s="542"/>
      <c r="O25" s="542"/>
      <c r="P25" s="542"/>
      <c r="Q25" s="541"/>
      <c r="R25" s="540"/>
    </row>
    <row r="26" spans="1:18">
      <c r="A26" s="524"/>
      <c r="E26" s="523"/>
      <c r="F26" s="549"/>
      <c r="G26" s="547"/>
      <c r="H26" s="548"/>
      <c r="I26" s="547"/>
      <c r="J26" s="546"/>
      <c r="K26" s="545"/>
      <c r="L26" s="544"/>
      <c r="M26" s="543"/>
      <c r="N26" s="542"/>
      <c r="O26" s="542"/>
      <c r="P26" s="542"/>
      <c r="Q26" s="541"/>
      <c r="R26" s="540"/>
    </row>
    <row r="27" spans="1:18" ht="15.75" thickBot="1">
      <c r="A27" s="524"/>
      <c r="E27" s="523"/>
      <c r="F27" s="539"/>
      <c r="G27" s="537"/>
      <c r="H27" s="538"/>
      <c r="I27" s="537"/>
      <c r="J27" s="536"/>
      <c r="K27" s="535"/>
      <c r="L27" s="534"/>
      <c r="M27" s="533"/>
      <c r="N27" s="532"/>
      <c r="O27" s="532"/>
      <c r="P27" s="532"/>
      <c r="Q27" s="531"/>
      <c r="R27" s="530"/>
    </row>
    <row r="28" spans="1:18">
      <c r="A28" s="524"/>
      <c r="E28" s="523"/>
      <c r="F28" s="2353" t="s">
        <v>235</v>
      </c>
      <c r="G28" s="2354"/>
      <c r="H28" s="2354"/>
      <c r="I28" s="2354"/>
      <c r="J28" s="2354"/>
      <c r="K28" s="2354"/>
      <c r="L28" s="529"/>
      <c r="M28" s="528">
        <f t="shared" ref="M28:R28" si="1">SUM(M19:M27)</f>
        <v>0</v>
      </c>
      <c r="N28" s="527">
        <f t="shared" si="1"/>
        <v>188.90793000000002</v>
      </c>
      <c r="O28" s="527">
        <f t="shared" si="1"/>
        <v>0</v>
      </c>
      <c r="P28" s="527">
        <f t="shared" si="1"/>
        <v>0</v>
      </c>
      <c r="Q28" s="526">
        <f t="shared" si="1"/>
        <v>0</v>
      </c>
      <c r="R28" s="525">
        <f t="shared" si="1"/>
        <v>188.90793000000002</v>
      </c>
    </row>
    <row r="29" spans="1:18" ht="15.75" thickBot="1">
      <c r="A29" s="524"/>
      <c r="E29" s="523"/>
      <c r="F29" s="2355" t="s">
        <v>234</v>
      </c>
      <c r="G29" s="2356"/>
      <c r="H29" s="2356"/>
      <c r="I29" s="2356"/>
      <c r="J29" s="2356"/>
      <c r="K29" s="2356"/>
      <c r="L29" s="522"/>
      <c r="M29" s="2357"/>
      <c r="N29" s="2358"/>
      <c r="O29" s="2358"/>
      <c r="P29" s="2358"/>
      <c r="Q29" s="2359"/>
      <c r="R29" s="521">
        <f>J14*J13*J15/1000</f>
        <v>1.8</v>
      </c>
    </row>
    <row r="30" spans="1:18" ht="16.5" thickTop="1" thickBot="1">
      <c r="A30" s="520"/>
      <c r="B30" s="519"/>
      <c r="C30" s="519"/>
      <c r="D30" s="519"/>
      <c r="E30" s="518"/>
      <c r="F30" s="2345" t="s">
        <v>233</v>
      </c>
      <c r="G30" s="2346"/>
      <c r="H30" s="2346"/>
      <c r="I30" s="2346"/>
      <c r="J30" s="2346"/>
      <c r="K30" s="2346"/>
      <c r="L30" s="517"/>
      <c r="M30" s="516">
        <f>M28/$R29</f>
        <v>0</v>
      </c>
      <c r="N30" s="515">
        <f>N28/$R29</f>
        <v>104.94885000000001</v>
      </c>
      <c r="O30" s="515">
        <f>O28/$R29</f>
        <v>0</v>
      </c>
      <c r="P30" s="515">
        <f>P28/$R29</f>
        <v>0</v>
      </c>
      <c r="Q30" s="514">
        <f>Q28/$R29</f>
        <v>0</v>
      </c>
      <c r="R30" s="513">
        <f>R28/R29</f>
        <v>104.94885000000001</v>
      </c>
    </row>
    <row r="31" spans="1:18" ht="15.75" thickBot="1">
      <c r="F31" s="512"/>
      <c r="G31" s="512"/>
      <c r="H31" s="512"/>
      <c r="I31" s="512"/>
      <c r="J31" s="512"/>
      <c r="K31" s="512"/>
      <c r="L31" s="512"/>
      <c r="M31" s="511"/>
      <c r="N31" s="511"/>
      <c r="O31" s="511"/>
      <c r="P31" s="511"/>
      <c r="Q31" s="511"/>
      <c r="R31" s="511"/>
    </row>
    <row r="32" spans="1:18" ht="15" customHeight="1">
      <c r="A32" s="2364" t="s">
        <v>232</v>
      </c>
      <c r="B32" s="2360"/>
      <c r="C32" s="2360"/>
      <c r="D32" s="2360" t="s">
        <v>247</v>
      </c>
      <c r="E32" s="2363" t="s">
        <v>231</v>
      </c>
      <c r="F32" s="2364" t="s">
        <v>230</v>
      </c>
      <c r="G32" s="2365"/>
      <c r="H32" s="2337" t="s">
        <v>229</v>
      </c>
      <c r="I32" s="2374" t="s">
        <v>228</v>
      </c>
      <c r="J32" s="2362" t="s">
        <v>31</v>
      </c>
      <c r="K32" s="2363"/>
      <c r="L32" s="510" t="s">
        <v>227</v>
      </c>
      <c r="M32" s="2364" t="s">
        <v>226</v>
      </c>
      <c r="N32" s="2360"/>
      <c r="O32" s="2360"/>
      <c r="P32" s="2360"/>
      <c r="Q32" s="2365"/>
      <c r="R32" s="2342" t="s">
        <v>225</v>
      </c>
    </row>
    <row r="33" spans="1:18" ht="30.75" thickBot="1">
      <c r="A33" s="2366"/>
      <c r="B33" s="2361"/>
      <c r="C33" s="2361"/>
      <c r="D33" s="2361"/>
      <c r="E33" s="2373"/>
      <c r="F33" s="506" t="s">
        <v>224</v>
      </c>
      <c r="G33" s="504" t="s">
        <v>223</v>
      </c>
      <c r="H33" s="2367"/>
      <c r="I33" s="2375"/>
      <c r="J33" s="509" t="s">
        <v>222</v>
      </c>
      <c r="K33" s="508" t="s">
        <v>221</v>
      </c>
      <c r="L33" s="507" t="s">
        <v>49</v>
      </c>
      <c r="M33" s="506">
        <v>8</v>
      </c>
      <c r="N33" s="505">
        <v>10</v>
      </c>
      <c r="O33" s="505">
        <v>13</v>
      </c>
      <c r="P33" s="505">
        <v>16</v>
      </c>
      <c r="Q33" s="504">
        <v>25</v>
      </c>
      <c r="R33" s="2343"/>
    </row>
    <row r="34" spans="1:18">
      <c r="A34" s="2371"/>
      <c r="B34" s="2372"/>
      <c r="C34" s="2372"/>
      <c r="D34" s="503"/>
      <c r="E34" s="502"/>
      <c r="F34" s="501"/>
      <c r="G34" s="500"/>
      <c r="H34" s="499"/>
      <c r="I34" s="497"/>
      <c r="J34" s="588"/>
      <c r="K34" s="498"/>
      <c r="L34" s="497"/>
      <c r="M34" s="605"/>
      <c r="N34" s="604"/>
      <c r="O34" s="604"/>
      <c r="P34" s="604"/>
      <c r="Q34" s="603"/>
      <c r="R34" s="602"/>
    </row>
    <row r="35" spans="1:18" s="1962" customFormat="1">
      <c r="A35" s="1963" t="s">
        <v>131</v>
      </c>
      <c r="B35" s="1964"/>
      <c r="C35" s="1965"/>
      <c r="D35" s="1966"/>
      <c r="E35" s="1950"/>
      <c r="F35" s="1951"/>
      <c r="G35" s="1952"/>
      <c r="H35" s="1953"/>
      <c r="I35" s="1954"/>
      <c r="J35" s="1955"/>
      <c r="K35" s="1956"/>
      <c r="L35" s="1957"/>
      <c r="M35" s="1967"/>
      <c r="N35" s="1968"/>
      <c r="O35" s="1968"/>
      <c r="P35" s="1968"/>
      <c r="Q35" s="1969"/>
      <c r="R35" s="1961"/>
    </row>
    <row r="36" spans="1:18" s="1962" customFormat="1">
      <c r="A36" s="1946" t="s">
        <v>2251</v>
      </c>
      <c r="B36" s="1947"/>
      <c r="C36" s="1948"/>
      <c r="D36" s="1949">
        <v>24.568677999999998</v>
      </c>
      <c r="E36" s="1950">
        <v>22.05</v>
      </c>
      <c r="F36" s="1951"/>
      <c r="G36" s="1952"/>
      <c r="H36" s="1953">
        <f>D36-F36</f>
        <v>24.568677999999998</v>
      </c>
      <c r="I36" s="1954">
        <f>H36*$J$15/1000</f>
        <v>4.9137355999999999</v>
      </c>
      <c r="J36" s="1955">
        <f>H36*$C$6/1000</f>
        <v>1.2284339</v>
      </c>
      <c r="K36" s="1956">
        <f>(E36+G36)*$J$15/1000</f>
        <v>4.41</v>
      </c>
      <c r="L36" s="1957"/>
      <c r="M36" s="1967">
        <f>$M$30*$I36</f>
        <v>0</v>
      </c>
      <c r="N36" s="1968">
        <f>$N$30*$I36</f>
        <v>515.69090042406003</v>
      </c>
      <c r="O36" s="1968">
        <f>$O$30*$I36</f>
        <v>0</v>
      </c>
      <c r="P36" s="1968">
        <f>$P$30*$I36</f>
        <v>0</v>
      </c>
      <c r="Q36" s="1969">
        <f>$Q$30*$I36</f>
        <v>0</v>
      </c>
      <c r="R36" s="1961">
        <f>SUM(M36:Q36)</f>
        <v>515.69090042406003</v>
      </c>
    </row>
    <row r="37" spans="1:18" ht="15.75" thickBot="1">
      <c r="A37" s="2368"/>
      <c r="B37" s="2369"/>
      <c r="C37" s="2370"/>
      <c r="D37" s="601"/>
      <c r="E37" s="600"/>
      <c r="F37" s="599"/>
      <c r="G37" s="598"/>
      <c r="H37" s="597"/>
      <c r="I37" s="594"/>
      <c r="J37" s="596"/>
      <c r="K37" s="595"/>
      <c r="L37" s="594"/>
      <c r="M37" s="593"/>
      <c r="N37" s="592"/>
      <c r="O37" s="592"/>
      <c r="P37" s="592"/>
      <c r="Q37" s="591"/>
      <c r="R37" s="590"/>
    </row>
    <row r="38" spans="1:18">
      <c r="H38" s="488"/>
    </row>
    <row r="40" spans="1:18">
      <c r="H40" s="488"/>
    </row>
    <row r="41" spans="1:18">
      <c r="F41" s="584" t="s">
        <v>246</v>
      </c>
      <c r="H41" s="488"/>
      <c r="I41" s="479" t="s">
        <v>110</v>
      </c>
      <c r="J41" s="586" t="s">
        <v>2194</v>
      </c>
      <c r="K41" s="584"/>
      <c r="M41" s="585"/>
      <c r="N41" s="585"/>
      <c r="O41" s="585"/>
      <c r="P41" s="585"/>
      <c r="Q41" s="480"/>
    </row>
    <row r="42" spans="1:18">
      <c r="F42" s="584" t="s">
        <v>245</v>
      </c>
      <c r="H42" s="581" t="s">
        <v>244</v>
      </c>
      <c r="I42" s="479" t="s">
        <v>110</v>
      </c>
      <c r="J42" s="583">
        <v>3</v>
      </c>
      <c r="K42" s="577" t="s">
        <v>12</v>
      </c>
      <c r="L42" s="577"/>
      <c r="O42" s="480"/>
      <c r="P42" s="480"/>
      <c r="Q42" s="480"/>
    </row>
    <row r="43" spans="1:18">
      <c r="F43" s="577"/>
      <c r="G43" s="478"/>
      <c r="H43" s="581" t="s">
        <v>243</v>
      </c>
      <c r="I43" s="479" t="s">
        <v>110</v>
      </c>
      <c r="J43" s="583">
        <v>3</v>
      </c>
      <c r="K43" s="577" t="s">
        <v>12</v>
      </c>
      <c r="L43" s="577"/>
      <c r="O43" s="480"/>
      <c r="P43" s="480"/>
      <c r="Q43" s="480"/>
      <c r="R43" s="577"/>
    </row>
    <row r="44" spans="1:18">
      <c r="F44" s="577"/>
      <c r="G44" s="478"/>
      <c r="H44" s="581" t="s">
        <v>242</v>
      </c>
      <c r="I44" s="479" t="s">
        <v>110</v>
      </c>
      <c r="J44" s="582">
        <v>150</v>
      </c>
      <c r="K44" s="577" t="s">
        <v>4</v>
      </c>
      <c r="L44" s="577"/>
      <c r="O44" s="480"/>
      <c r="P44" s="480"/>
      <c r="Q44" s="480"/>
      <c r="R44" s="577"/>
    </row>
    <row r="45" spans="1:18" ht="15.75" thickBot="1">
      <c r="A45" s="577"/>
      <c r="C45" s="581"/>
      <c r="D45" s="580"/>
      <c r="E45" s="577"/>
      <c r="F45" s="579"/>
      <c r="G45" s="577"/>
      <c r="H45" s="488"/>
      <c r="J45" s="578"/>
      <c r="K45" s="578"/>
      <c r="L45" s="578"/>
      <c r="O45" s="480"/>
      <c r="P45" s="480"/>
      <c r="Q45" s="480"/>
      <c r="R45" s="577"/>
    </row>
    <row r="46" spans="1:18">
      <c r="A46" s="576"/>
      <c r="B46" s="479"/>
      <c r="C46" s="479"/>
      <c r="D46" s="479"/>
      <c r="E46" s="479"/>
      <c r="F46" s="2348" t="s">
        <v>241</v>
      </c>
      <c r="G46" s="574" t="s">
        <v>89</v>
      </c>
      <c r="H46" s="575" t="s">
        <v>47</v>
      </c>
      <c r="I46" s="574" t="s">
        <v>48</v>
      </c>
      <c r="J46" s="573" t="s">
        <v>240</v>
      </c>
      <c r="K46" s="572" t="s">
        <v>239</v>
      </c>
      <c r="L46" s="571" t="s">
        <v>227</v>
      </c>
      <c r="M46" s="2350" t="s">
        <v>238</v>
      </c>
      <c r="N46" s="2351"/>
      <c r="O46" s="2351"/>
      <c r="P46" s="2351"/>
      <c r="Q46" s="2352"/>
      <c r="R46" s="570" t="s">
        <v>103</v>
      </c>
    </row>
    <row r="47" spans="1:18" ht="15.75" thickBot="1">
      <c r="A47" s="524"/>
      <c r="F47" s="2349"/>
      <c r="G47" s="568" t="s">
        <v>4</v>
      </c>
      <c r="H47" s="569" t="s">
        <v>4</v>
      </c>
      <c r="I47" s="568" t="s">
        <v>52</v>
      </c>
      <c r="J47" s="567" t="s">
        <v>12</v>
      </c>
      <c r="K47" s="566" t="s">
        <v>12</v>
      </c>
      <c r="L47" s="565" t="s">
        <v>49</v>
      </c>
      <c r="M47" s="564">
        <v>8</v>
      </c>
      <c r="N47" s="563">
        <v>10</v>
      </c>
      <c r="O47" s="563">
        <v>13</v>
      </c>
      <c r="P47" s="563">
        <v>16</v>
      </c>
      <c r="Q47" s="562">
        <v>25</v>
      </c>
      <c r="R47" s="561" t="s">
        <v>53</v>
      </c>
    </row>
    <row r="48" spans="1:18" ht="15.75" thickBot="1">
      <c r="A48" s="524"/>
      <c r="E48" s="523"/>
      <c r="F48" s="560" t="s">
        <v>237</v>
      </c>
      <c r="G48" s="558">
        <v>10</v>
      </c>
      <c r="H48" s="557">
        <v>200</v>
      </c>
      <c r="I48" s="556">
        <f>ROUND($J43/($H48/1000),0)+1</f>
        <v>16</v>
      </c>
      <c r="J48" s="559">
        <f>J42/12*50*G48/1000</f>
        <v>0.125</v>
      </c>
      <c r="K48" s="555">
        <f>J42+J48</f>
        <v>3.125</v>
      </c>
      <c r="L48" s="554"/>
      <c r="M48" s="551">
        <f t="shared" ref="M48:Q51" si="2">IF($G48=M$18,0.006165*$G48^2*$K48*$I48,0)</f>
        <v>0</v>
      </c>
      <c r="N48" s="551">
        <f t="shared" si="2"/>
        <v>30.825000000000003</v>
      </c>
      <c r="O48" s="551">
        <f t="shared" si="2"/>
        <v>0</v>
      </c>
      <c r="P48" s="551">
        <f t="shared" si="2"/>
        <v>0</v>
      </c>
      <c r="Q48" s="551">
        <f t="shared" si="2"/>
        <v>0</v>
      </c>
      <c r="R48" s="550">
        <f>SUM(M48:Q48)</f>
        <v>30.825000000000003</v>
      </c>
    </row>
    <row r="49" spans="1:18" ht="15.75" thickBot="1">
      <c r="A49" s="524"/>
      <c r="E49" s="523"/>
      <c r="F49" s="549" t="s">
        <v>151</v>
      </c>
      <c r="G49" s="558">
        <v>10</v>
      </c>
      <c r="H49" s="557">
        <v>200</v>
      </c>
      <c r="I49" s="556">
        <f>ROUND($J43/($H49/1000),0)+1</f>
        <v>16</v>
      </c>
      <c r="J49" s="559">
        <f>J42/12*50*G49/1000</f>
        <v>0.125</v>
      </c>
      <c r="K49" s="555">
        <f>J42+J49</f>
        <v>3.125</v>
      </c>
      <c r="L49" s="554"/>
      <c r="M49" s="551">
        <f t="shared" si="2"/>
        <v>0</v>
      </c>
      <c r="N49" s="551">
        <f t="shared" si="2"/>
        <v>30.825000000000003</v>
      </c>
      <c r="O49" s="551">
        <f t="shared" si="2"/>
        <v>0</v>
      </c>
      <c r="P49" s="551">
        <f t="shared" si="2"/>
        <v>0</v>
      </c>
      <c r="Q49" s="551">
        <f t="shared" si="2"/>
        <v>0</v>
      </c>
      <c r="R49" s="550">
        <f>SUM(M49:Q49)</f>
        <v>30.825000000000003</v>
      </c>
    </row>
    <row r="50" spans="1:18" ht="15.75" thickBot="1">
      <c r="A50" s="524"/>
      <c r="E50" s="523"/>
      <c r="F50" s="549" t="s">
        <v>236</v>
      </c>
      <c r="G50" s="558">
        <v>10</v>
      </c>
      <c r="H50" s="557">
        <v>200</v>
      </c>
      <c r="I50" s="556">
        <f>ROUND($J42/($H50/1000),0)+1</f>
        <v>16</v>
      </c>
      <c r="J50" s="546">
        <f>J43/12*50*G50/1000</f>
        <v>0.125</v>
      </c>
      <c r="K50" s="555">
        <f>J43+J50</f>
        <v>3.125</v>
      </c>
      <c r="L50" s="554"/>
      <c r="M50" s="551">
        <f t="shared" si="2"/>
        <v>0</v>
      </c>
      <c r="N50" s="551">
        <f t="shared" si="2"/>
        <v>30.825000000000003</v>
      </c>
      <c r="O50" s="551">
        <f t="shared" si="2"/>
        <v>0</v>
      </c>
      <c r="P50" s="551">
        <f t="shared" si="2"/>
        <v>0</v>
      </c>
      <c r="Q50" s="551">
        <f t="shared" si="2"/>
        <v>0</v>
      </c>
      <c r="R50" s="550">
        <f>SUM(M50:Q50)</f>
        <v>30.825000000000003</v>
      </c>
    </row>
    <row r="51" spans="1:18" ht="15.75" thickBot="1">
      <c r="A51" s="524"/>
      <c r="E51" s="523"/>
      <c r="F51" s="549" t="s">
        <v>16</v>
      </c>
      <c r="G51" s="558">
        <v>10</v>
      </c>
      <c r="H51" s="557">
        <v>200</v>
      </c>
      <c r="I51" s="556">
        <f>ROUND($J42/($H51/1000),0)+1</f>
        <v>16</v>
      </c>
      <c r="J51" s="546">
        <f>J43/12*50*G51/1000</f>
        <v>0.125</v>
      </c>
      <c r="K51" s="555">
        <f>J43+J51</f>
        <v>3.125</v>
      </c>
      <c r="L51" s="554"/>
      <c r="M51" s="551">
        <f t="shared" si="2"/>
        <v>0</v>
      </c>
      <c r="N51" s="551">
        <f t="shared" si="2"/>
        <v>30.825000000000003</v>
      </c>
      <c r="O51" s="551">
        <f t="shared" si="2"/>
        <v>0</v>
      </c>
      <c r="P51" s="551">
        <f t="shared" si="2"/>
        <v>0</v>
      </c>
      <c r="Q51" s="551">
        <f t="shared" si="2"/>
        <v>0</v>
      </c>
      <c r="R51" s="550">
        <f>SUM(M51:Q51)</f>
        <v>30.825000000000003</v>
      </c>
    </row>
    <row r="52" spans="1:18" ht="15.75" thickBot="1">
      <c r="A52" s="524"/>
      <c r="E52" s="523"/>
      <c r="F52" s="549"/>
      <c r="G52" s="547"/>
      <c r="H52" s="553"/>
      <c r="I52" s="547"/>
      <c r="J52" s="546"/>
      <c r="K52" s="545"/>
      <c r="L52" s="544"/>
      <c r="M52" s="551"/>
      <c r="N52" s="551"/>
      <c r="O52" s="551"/>
      <c r="P52" s="551"/>
      <c r="Q52" s="551"/>
      <c r="R52" s="540"/>
    </row>
    <row r="53" spans="1:18">
      <c r="A53" s="524"/>
      <c r="E53" s="523"/>
      <c r="F53" s="549" t="s">
        <v>36</v>
      </c>
      <c r="G53" s="547">
        <v>10</v>
      </c>
      <c r="H53" s="553">
        <v>500</v>
      </c>
      <c r="I53" s="552">
        <f>ROUND(J42/(H53/1000),0)*ROUND(J43/(H53/1000),0)</f>
        <v>36</v>
      </c>
      <c r="J53" s="546">
        <f>3*$J$4/1000</f>
        <v>0.9</v>
      </c>
      <c r="K53" s="545">
        <f>2*(J44-2*$J$5)/1000+J53</f>
        <v>1.1200000000000001</v>
      </c>
      <c r="L53" s="544"/>
      <c r="M53" s="551">
        <f>IF($G53=M$18,0.006165*$G53^2*$K53*$I53,0)</f>
        <v>0</v>
      </c>
      <c r="N53" s="551">
        <f>IF($G53=N$18,0.006165*$G53^2*$K53*$I53,0)</f>
        <v>24.857280000000003</v>
      </c>
      <c r="O53" s="551">
        <f>IF($G53=O$18,0.006165*$G53^2*$K53*$I53,0)</f>
        <v>0</v>
      </c>
      <c r="P53" s="551">
        <f>IF($G53=P$18,0.006165*$G53^2*$K53*$I53,0)</f>
        <v>0</v>
      </c>
      <c r="Q53" s="551">
        <f>IF($G53=Q$18,0.006165*$G53^2*$K53*$I53,0)</f>
        <v>0</v>
      </c>
      <c r="R53" s="550">
        <f>SUM(M53:Q53)</f>
        <v>24.857280000000003</v>
      </c>
    </row>
    <row r="54" spans="1:18">
      <c r="A54" s="524"/>
      <c r="E54" s="523"/>
      <c r="F54" s="549"/>
      <c r="G54" s="547"/>
      <c r="H54" s="548"/>
      <c r="I54" s="547"/>
      <c r="J54" s="546"/>
      <c r="K54" s="545"/>
      <c r="L54" s="544"/>
      <c r="M54" s="543"/>
      <c r="N54" s="542"/>
      <c r="O54" s="542"/>
      <c r="P54" s="542"/>
      <c r="Q54" s="541"/>
      <c r="R54" s="540"/>
    </row>
    <row r="55" spans="1:18">
      <c r="A55" s="524"/>
      <c r="E55" s="523"/>
      <c r="F55" s="549"/>
      <c r="G55" s="547"/>
      <c r="H55" s="548"/>
      <c r="I55" s="547"/>
      <c r="J55" s="546"/>
      <c r="K55" s="545"/>
      <c r="L55" s="544"/>
      <c r="M55" s="543"/>
      <c r="N55" s="542"/>
      <c r="O55" s="542"/>
      <c r="P55" s="542"/>
      <c r="Q55" s="541"/>
      <c r="R55" s="540"/>
    </row>
    <row r="56" spans="1:18" ht="15.75" thickBot="1">
      <c r="A56" s="524"/>
      <c r="E56" s="523"/>
      <c r="F56" s="539"/>
      <c r="G56" s="537"/>
      <c r="H56" s="538"/>
      <c r="I56" s="537"/>
      <c r="J56" s="536"/>
      <c r="K56" s="535"/>
      <c r="L56" s="534"/>
      <c r="M56" s="533"/>
      <c r="N56" s="532"/>
      <c r="O56" s="532"/>
      <c r="P56" s="532"/>
      <c r="Q56" s="531"/>
      <c r="R56" s="530"/>
    </row>
    <row r="57" spans="1:18">
      <c r="A57" s="524"/>
      <c r="E57" s="523"/>
      <c r="F57" s="2353" t="s">
        <v>235</v>
      </c>
      <c r="G57" s="2354"/>
      <c r="H57" s="2354"/>
      <c r="I57" s="2354"/>
      <c r="J57" s="2354"/>
      <c r="K57" s="2354"/>
      <c r="L57" s="529"/>
      <c r="M57" s="528">
        <f t="shared" ref="M57:R57" si="3">SUM(M48:M56)</f>
        <v>0</v>
      </c>
      <c r="N57" s="527">
        <f t="shared" si="3"/>
        <v>148.15728000000001</v>
      </c>
      <c r="O57" s="527">
        <f t="shared" si="3"/>
        <v>0</v>
      </c>
      <c r="P57" s="527">
        <f t="shared" si="3"/>
        <v>0</v>
      </c>
      <c r="Q57" s="526">
        <f t="shared" si="3"/>
        <v>0</v>
      </c>
      <c r="R57" s="525">
        <f t="shared" si="3"/>
        <v>148.15728000000001</v>
      </c>
    </row>
    <row r="58" spans="1:18" ht="15.75" thickBot="1">
      <c r="A58" s="524"/>
      <c r="E58" s="523"/>
      <c r="F58" s="2355" t="s">
        <v>234</v>
      </c>
      <c r="G58" s="2356"/>
      <c r="H58" s="2356"/>
      <c r="I58" s="2356"/>
      <c r="J58" s="2356"/>
      <c r="K58" s="2356"/>
      <c r="L58" s="522"/>
      <c r="M58" s="2357"/>
      <c r="N58" s="2358"/>
      <c r="O58" s="2358"/>
      <c r="P58" s="2358"/>
      <c r="Q58" s="2359"/>
      <c r="R58" s="521">
        <f>J43*J42*J44/1000</f>
        <v>1.35</v>
      </c>
    </row>
    <row r="59" spans="1:18" ht="16.5" thickTop="1" thickBot="1">
      <c r="A59" s="520"/>
      <c r="B59" s="519"/>
      <c r="C59" s="519"/>
      <c r="D59" s="519"/>
      <c r="E59" s="518"/>
      <c r="F59" s="2345" t="s">
        <v>233</v>
      </c>
      <c r="G59" s="2346"/>
      <c r="H59" s="2346"/>
      <c r="I59" s="2346"/>
      <c r="J59" s="2346"/>
      <c r="K59" s="2346"/>
      <c r="L59" s="517"/>
      <c r="M59" s="516">
        <f>M57/$R58</f>
        <v>0</v>
      </c>
      <c r="N59" s="515">
        <f>N57/$R58</f>
        <v>109.74613333333333</v>
      </c>
      <c r="O59" s="515">
        <f>O57/$R58</f>
        <v>0</v>
      </c>
      <c r="P59" s="515">
        <f>P57/$R58</f>
        <v>0</v>
      </c>
      <c r="Q59" s="514">
        <f>Q57/$R58</f>
        <v>0</v>
      </c>
      <c r="R59" s="513">
        <f>R57/R58</f>
        <v>109.74613333333333</v>
      </c>
    </row>
    <row r="60" spans="1:18" ht="15.75" thickBot="1">
      <c r="F60" s="512"/>
      <c r="G60" s="512"/>
      <c r="H60" s="512"/>
      <c r="I60" s="512"/>
      <c r="J60" s="512"/>
      <c r="K60" s="512"/>
      <c r="L60" s="512"/>
      <c r="M60" s="511"/>
      <c r="N60" s="511"/>
      <c r="O60" s="511"/>
      <c r="P60" s="511"/>
      <c r="Q60" s="511"/>
      <c r="R60" s="511"/>
    </row>
    <row r="61" spans="1:18" ht="15" customHeight="1">
      <c r="A61" s="2364" t="s">
        <v>232</v>
      </c>
      <c r="B61" s="2360"/>
      <c r="C61" s="2360"/>
      <c r="D61" s="2360" t="s">
        <v>247</v>
      </c>
      <c r="E61" s="2363" t="s">
        <v>231</v>
      </c>
      <c r="F61" s="2364" t="s">
        <v>230</v>
      </c>
      <c r="G61" s="2365"/>
      <c r="H61" s="2337" t="s">
        <v>229</v>
      </c>
      <c r="I61" s="2374" t="s">
        <v>228</v>
      </c>
      <c r="J61" s="2362" t="s">
        <v>31</v>
      </c>
      <c r="K61" s="2363"/>
      <c r="L61" s="510" t="s">
        <v>227</v>
      </c>
      <c r="M61" s="2364" t="s">
        <v>226</v>
      </c>
      <c r="N61" s="2360"/>
      <c r="O61" s="2360"/>
      <c r="P61" s="2360"/>
      <c r="Q61" s="2365"/>
      <c r="R61" s="2342" t="s">
        <v>225</v>
      </c>
    </row>
    <row r="62" spans="1:18" ht="30.75" thickBot="1">
      <c r="A62" s="2366"/>
      <c r="B62" s="2361"/>
      <c r="C62" s="2361"/>
      <c r="D62" s="2361"/>
      <c r="E62" s="2373"/>
      <c r="F62" s="506" t="s">
        <v>224</v>
      </c>
      <c r="G62" s="504" t="s">
        <v>223</v>
      </c>
      <c r="H62" s="2367"/>
      <c r="I62" s="2375"/>
      <c r="J62" s="509" t="s">
        <v>222</v>
      </c>
      <c r="K62" s="508" t="s">
        <v>221</v>
      </c>
      <c r="L62" s="507" t="s">
        <v>49</v>
      </c>
      <c r="M62" s="506">
        <v>8</v>
      </c>
      <c r="N62" s="505">
        <v>10</v>
      </c>
      <c r="O62" s="505">
        <v>13</v>
      </c>
      <c r="P62" s="505">
        <v>16</v>
      </c>
      <c r="Q62" s="504">
        <v>25</v>
      </c>
      <c r="R62" s="2343"/>
    </row>
    <row r="63" spans="1:18">
      <c r="A63" s="2371"/>
      <c r="B63" s="2372"/>
      <c r="C63" s="2372"/>
      <c r="D63" s="503"/>
      <c r="E63" s="502"/>
      <c r="F63" s="501"/>
      <c r="G63" s="500"/>
      <c r="H63" s="499"/>
      <c r="I63" s="497"/>
      <c r="J63" s="588"/>
      <c r="K63" s="498"/>
      <c r="L63" s="497"/>
      <c r="M63" s="605"/>
      <c r="N63" s="604"/>
      <c r="O63" s="604"/>
      <c r="P63" s="604"/>
      <c r="Q63" s="603"/>
      <c r="R63" s="602"/>
    </row>
    <row r="64" spans="1:18" s="1962" customFormat="1">
      <c r="A64" s="1963" t="s">
        <v>131</v>
      </c>
      <c r="B64" s="1964"/>
      <c r="C64" s="1965"/>
      <c r="D64" s="1966"/>
      <c r="E64" s="1950"/>
      <c r="F64" s="1951"/>
      <c r="G64" s="1952"/>
      <c r="H64" s="1953"/>
      <c r="I64" s="1954"/>
      <c r="J64" s="1955"/>
      <c r="K64" s="1956"/>
      <c r="L64" s="1957"/>
      <c r="M64" s="1958"/>
      <c r="N64" s="1959"/>
      <c r="O64" s="1959"/>
      <c r="P64" s="1959"/>
      <c r="Q64" s="1960"/>
      <c r="R64" s="1961"/>
    </row>
    <row r="65" spans="1:18" s="1962" customFormat="1">
      <c r="A65" s="1946" t="s">
        <v>2232</v>
      </c>
      <c r="B65" s="1947"/>
      <c r="C65" s="1948"/>
      <c r="D65" s="1949">
        <v>35.442034</v>
      </c>
      <c r="E65" s="1950">
        <v>26.7</v>
      </c>
      <c r="F65" s="1951"/>
      <c r="G65" s="1952"/>
      <c r="H65" s="1953">
        <f t="shared" ref="H65:H70" si="4">D65-F65</f>
        <v>35.442034</v>
      </c>
      <c r="I65" s="1954">
        <f>H65*$J$44/1000</f>
        <v>5.3163050999999992</v>
      </c>
      <c r="J65" s="1955">
        <f>H65*$C$6/1000</f>
        <v>1.7721016999999999</v>
      </c>
      <c r="K65" s="1956">
        <f>(E65+G65)*$J$44/1000</f>
        <v>4.0049999999999999</v>
      </c>
      <c r="L65" s="1957"/>
      <c r="M65" s="1958">
        <f t="shared" ref="M65:M73" si="5">$M$59*$I65</f>
        <v>0</v>
      </c>
      <c r="N65" s="1959">
        <f t="shared" ref="N65:N73" si="6">$N$59*$I65</f>
        <v>583.44392834527991</v>
      </c>
      <c r="O65" s="1959">
        <f t="shared" ref="O65:O73" si="7">$O$59*$I65</f>
        <v>0</v>
      </c>
      <c r="P65" s="1959">
        <f t="shared" ref="P65:P73" si="8">$P$59*$I65</f>
        <v>0</v>
      </c>
      <c r="Q65" s="1960">
        <f t="shared" ref="Q65:Q73" si="9">$Q$59*$I65</f>
        <v>0</v>
      </c>
      <c r="R65" s="1961">
        <f t="shared" ref="R65:R70" si="10">SUM(M65:Q65)</f>
        <v>583.44392834527991</v>
      </c>
    </row>
    <row r="66" spans="1:18" s="1962" customFormat="1">
      <c r="A66" s="1946" t="s">
        <v>2341</v>
      </c>
      <c r="B66" s="1947"/>
      <c r="C66" s="1948"/>
      <c r="D66" s="1949">
        <f>9.004708*1.3</f>
        <v>11.706120400000001</v>
      </c>
      <c r="E66" s="1950">
        <f>16.447*1.3</f>
        <v>21.3811</v>
      </c>
      <c r="F66" s="1951"/>
      <c r="G66" s="1952"/>
      <c r="H66" s="1953">
        <f t="shared" ref="H66" si="11">D66-F66</f>
        <v>11.706120400000001</v>
      </c>
      <c r="I66" s="1954">
        <f>H66*$J$44/1000</f>
        <v>1.7559180600000002</v>
      </c>
      <c r="J66" s="1955">
        <f>H66*$C$6/1000</f>
        <v>0.58530602000000009</v>
      </c>
      <c r="K66" s="1956">
        <f>(E66+G66)*$J$44/1000</f>
        <v>3.2071649999999998</v>
      </c>
      <c r="L66" s="1957"/>
      <c r="M66" s="1958">
        <f t="shared" si="5"/>
        <v>0</v>
      </c>
      <c r="N66" s="1959">
        <f t="shared" si="6"/>
        <v>192.70521753516803</v>
      </c>
      <c r="O66" s="1959">
        <f t="shared" si="7"/>
        <v>0</v>
      </c>
      <c r="P66" s="1959">
        <f t="shared" si="8"/>
        <v>0</v>
      </c>
      <c r="Q66" s="1960">
        <f t="shared" si="9"/>
        <v>0</v>
      </c>
      <c r="R66" s="1961">
        <f t="shared" ref="R66" si="12">SUM(M66:Q66)</f>
        <v>192.70521753516803</v>
      </c>
    </row>
    <row r="67" spans="1:18" s="1962" customFormat="1">
      <c r="A67" s="1946" t="s">
        <v>2243</v>
      </c>
      <c r="B67" s="1947"/>
      <c r="C67" s="1948"/>
      <c r="D67" s="1949">
        <v>33.446193000000001</v>
      </c>
      <c r="E67" s="1950">
        <v>28.45</v>
      </c>
      <c r="F67" s="1951"/>
      <c r="G67" s="1952"/>
      <c r="H67" s="1953">
        <f t="shared" ref="H67:H68" si="13">D67-F67</f>
        <v>33.446193000000001</v>
      </c>
      <c r="I67" s="1954">
        <f>H67*$J$44/1000</f>
        <v>5.0169289500000005</v>
      </c>
      <c r="J67" s="1955">
        <f t="shared" ref="J67:J68" si="14">H67*$C$6/1000</f>
        <v>1.6723096500000001</v>
      </c>
      <c r="K67" s="1956">
        <f t="shared" ref="K67:K68" si="15">(E67+G67)*$J$44/1000</f>
        <v>4.2675000000000001</v>
      </c>
      <c r="L67" s="1957"/>
      <c r="M67" s="1958">
        <f t="shared" si="5"/>
        <v>0</v>
      </c>
      <c r="N67" s="1959">
        <f t="shared" si="6"/>
        <v>550.5885534705601</v>
      </c>
      <c r="O67" s="1959">
        <f t="shared" si="7"/>
        <v>0</v>
      </c>
      <c r="P67" s="1959">
        <f t="shared" si="8"/>
        <v>0</v>
      </c>
      <c r="Q67" s="1960">
        <f t="shared" si="9"/>
        <v>0</v>
      </c>
      <c r="R67" s="1961">
        <f t="shared" ref="R67:R68" si="16">SUM(M67:Q67)</f>
        <v>550.5885534705601</v>
      </c>
    </row>
    <row r="68" spans="1:18" s="1962" customFormat="1">
      <c r="A68" s="1946" t="s">
        <v>2244</v>
      </c>
      <c r="B68" s="1947"/>
      <c r="C68" s="1948"/>
      <c r="D68" s="1949">
        <v>42.660800000000002</v>
      </c>
      <c r="E68" s="1950">
        <v>27.76</v>
      </c>
      <c r="F68" s="1951"/>
      <c r="G68" s="1952"/>
      <c r="H68" s="1953">
        <f t="shared" si="13"/>
        <v>42.660800000000002</v>
      </c>
      <c r="I68" s="1954">
        <f>H68*$J$44/1000</f>
        <v>6.3991199999999999</v>
      </c>
      <c r="J68" s="1955">
        <f t="shared" si="14"/>
        <v>2.1330399999999998</v>
      </c>
      <c r="K68" s="1956">
        <f t="shared" si="15"/>
        <v>4.1639999999999997</v>
      </c>
      <c r="L68" s="1957"/>
      <c r="M68" s="1958">
        <f t="shared" si="5"/>
        <v>0</v>
      </c>
      <c r="N68" s="1959">
        <f t="shared" si="6"/>
        <v>702.27867673599997</v>
      </c>
      <c r="O68" s="1959">
        <f t="shared" si="7"/>
        <v>0</v>
      </c>
      <c r="P68" s="1959">
        <f t="shared" si="8"/>
        <v>0</v>
      </c>
      <c r="Q68" s="1960">
        <f t="shared" si="9"/>
        <v>0</v>
      </c>
      <c r="R68" s="1961">
        <f t="shared" si="16"/>
        <v>702.27867673599997</v>
      </c>
    </row>
    <row r="69" spans="1:18" s="1962" customFormat="1">
      <c r="A69" s="1946" t="s">
        <v>2245</v>
      </c>
      <c r="B69" s="1947"/>
      <c r="C69" s="1948"/>
      <c r="D69" s="1949">
        <v>131.86478099999999</v>
      </c>
      <c r="E69" s="1950">
        <v>54.15</v>
      </c>
      <c r="F69" s="1951">
        <f>(3240000)/1000000</f>
        <v>3.24</v>
      </c>
      <c r="G69" s="1952">
        <f>7.2</f>
        <v>7.2</v>
      </c>
      <c r="H69" s="1953">
        <f t="shared" si="4"/>
        <v>128.62478099999998</v>
      </c>
      <c r="I69" s="1954">
        <f t="shared" ref="I69:I70" si="17">H69*$J$44/1000</f>
        <v>19.293717149999996</v>
      </c>
      <c r="J69" s="1955">
        <f t="shared" ref="J69:J70" si="18">H69*$C$6/1000</f>
        <v>6.4312390499999994</v>
      </c>
      <c r="K69" s="1956">
        <f t="shared" ref="K69:K70" si="19">(E69+G69)*$J$44/1000</f>
        <v>9.2025000000000006</v>
      </c>
      <c r="L69" s="1957"/>
      <c r="M69" s="1958">
        <f t="shared" si="5"/>
        <v>0</v>
      </c>
      <c r="N69" s="1959">
        <f t="shared" si="6"/>
        <v>2117.4108548395193</v>
      </c>
      <c r="O69" s="1959">
        <f t="shared" si="7"/>
        <v>0</v>
      </c>
      <c r="P69" s="1959">
        <f t="shared" si="8"/>
        <v>0</v>
      </c>
      <c r="Q69" s="1960">
        <f t="shared" si="9"/>
        <v>0</v>
      </c>
      <c r="R69" s="1961">
        <f t="shared" si="10"/>
        <v>2117.4108548395193</v>
      </c>
    </row>
    <row r="70" spans="1:18" s="1962" customFormat="1">
      <c r="A70" s="1946" t="s">
        <v>2246</v>
      </c>
      <c r="B70" s="1947"/>
      <c r="C70" s="1948"/>
      <c r="D70" s="1949">
        <v>4.5602179999999999</v>
      </c>
      <c r="E70" s="1950">
        <v>8.65</v>
      </c>
      <c r="F70" s="1951"/>
      <c r="G70" s="1952"/>
      <c r="H70" s="1953">
        <f t="shared" si="4"/>
        <v>4.5602179999999999</v>
      </c>
      <c r="I70" s="1954">
        <f t="shared" si="17"/>
        <v>0.68403269999999994</v>
      </c>
      <c r="J70" s="1955">
        <f t="shared" si="18"/>
        <v>0.22801089999999999</v>
      </c>
      <c r="K70" s="1956">
        <f t="shared" si="19"/>
        <v>1.2975000000000001</v>
      </c>
      <c r="L70" s="1957"/>
      <c r="M70" s="1958">
        <f t="shared" si="5"/>
        <v>0</v>
      </c>
      <c r="N70" s="1959">
        <f t="shared" si="6"/>
        <v>75.069943898559998</v>
      </c>
      <c r="O70" s="1959">
        <f t="shared" si="7"/>
        <v>0</v>
      </c>
      <c r="P70" s="1959">
        <f t="shared" si="8"/>
        <v>0</v>
      </c>
      <c r="Q70" s="1960">
        <f t="shared" si="9"/>
        <v>0</v>
      </c>
      <c r="R70" s="1961">
        <f t="shared" si="10"/>
        <v>75.069943898559998</v>
      </c>
    </row>
    <row r="71" spans="1:18" s="1962" customFormat="1">
      <c r="A71" s="1946" t="s">
        <v>2247</v>
      </c>
      <c r="B71" s="1947"/>
      <c r="C71" s="1948"/>
      <c r="D71" s="1949">
        <v>37.545726999999999</v>
      </c>
      <c r="E71" s="1950">
        <v>52.354999999999997</v>
      </c>
      <c r="F71" s="1951"/>
      <c r="G71" s="1952"/>
      <c r="H71" s="1953">
        <f t="shared" ref="H71:H72" si="20">D71-F71</f>
        <v>37.545726999999999</v>
      </c>
      <c r="I71" s="1954">
        <f>H71*$J$44/1000</f>
        <v>5.6318590500000001</v>
      </c>
      <c r="J71" s="1955">
        <f t="shared" ref="J71:J72" si="21">H71*$C$6/1000</f>
        <v>1.8772863499999999</v>
      </c>
      <c r="K71" s="1956">
        <f>(E71+G71)*$J$44/1000</f>
        <v>7.8532499999999992</v>
      </c>
      <c r="L71" s="1957"/>
      <c r="M71" s="1958">
        <f t="shared" si="5"/>
        <v>0</v>
      </c>
      <c r="N71" s="1959">
        <f t="shared" si="6"/>
        <v>618.07475421584002</v>
      </c>
      <c r="O71" s="1959">
        <f t="shared" si="7"/>
        <v>0</v>
      </c>
      <c r="P71" s="1959">
        <f t="shared" si="8"/>
        <v>0</v>
      </c>
      <c r="Q71" s="1960">
        <f t="shared" si="9"/>
        <v>0</v>
      </c>
      <c r="R71" s="1961">
        <f t="shared" ref="R71:R97" si="22">SUM(M71:Q71)</f>
        <v>618.07475421584002</v>
      </c>
    </row>
    <row r="72" spans="1:18" s="1962" customFormat="1">
      <c r="A72" s="1946" t="s">
        <v>2248</v>
      </c>
      <c r="B72" s="1947"/>
      <c r="C72" s="1948"/>
      <c r="D72" s="1949">
        <v>3.0099930000000001</v>
      </c>
      <c r="E72" s="1950">
        <v>7.75</v>
      </c>
      <c r="F72" s="1951"/>
      <c r="G72" s="1952"/>
      <c r="H72" s="1953">
        <f t="shared" si="20"/>
        <v>3.0099930000000001</v>
      </c>
      <c r="I72" s="1954">
        <f>H72*$J$44/1000</f>
        <v>0.45149895000000001</v>
      </c>
      <c r="J72" s="1955">
        <f t="shared" si="21"/>
        <v>0.15049965000000001</v>
      </c>
      <c r="K72" s="1956">
        <f>(E72+G72)*$J$44/1000</f>
        <v>1.1625000000000001</v>
      </c>
      <c r="L72" s="1957"/>
      <c r="M72" s="1958">
        <f t="shared" si="5"/>
        <v>0</v>
      </c>
      <c r="N72" s="1959">
        <f t="shared" si="6"/>
        <v>49.550263966560003</v>
      </c>
      <c r="O72" s="1959">
        <f t="shared" si="7"/>
        <v>0</v>
      </c>
      <c r="P72" s="1959">
        <f t="shared" si="8"/>
        <v>0</v>
      </c>
      <c r="Q72" s="1960">
        <f t="shared" si="9"/>
        <v>0</v>
      </c>
      <c r="R72" s="1961">
        <f t="shared" si="22"/>
        <v>49.550263966560003</v>
      </c>
    </row>
    <row r="73" spans="1:18" s="1962" customFormat="1">
      <c r="A73" s="1946" t="s">
        <v>2249</v>
      </c>
      <c r="B73" s="1947"/>
      <c r="C73" s="1948"/>
      <c r="D73" s="1949">
        <v>16.274999000000001</v>
      </c>
      <c r="E73" s="1950">
        <v>16.3</v>
      </c>
      <c r="F73" s="1951"/>
      <c r="G73" s="1952"/>
      <c r="H73" s="1953">
        <f t="shared" ref="H73" si="23">D73-F73</f>
        <v>16.274999000000001</v>
      </c>
      <c r="I73" s="1954">
        <f t="shared" ref="I73" si="24">H73*$J$44/1000</f>
        <v>2.4412498500000002</v>
      </c>
      <c r="J73" s="1955">
        <f t="shared" ref="J73" si="25">H73*$C$6/1000</f>
        <v>0.81374995000000006</v>
      </c>
      <c r="K73" s="1956">
        <f t="shared" ref="K73" si="26">(E73+G73)*$J$44/1000</f>
        <v>2.4449999999999998</v>
      </c>
      <c r="L73" s="1957"/>
      <c r="M73" s="1958">
        <f t="shared" si="5"/>
        <v>0</v>
      </c>
      <c r="N73" s="1959">
        <f t="shared" si="6"/>
        <v>267.91773153808003</v>
      </c>
      <c r="O73" s="1959">
        <f t="shared" si="7"/>
        <v>0</v>
      </c>
      <c r="P73" s="1959">
        <f t="shared" si="8"/>
        <v>0</v>
      </c>
      <c r="Q73" s="1960">
        <f t="shared" si="9"/>
        <v>0</v>
      </c>
      <c r="R73" s="1961">
        <f t="shared" ref="R73" si="27">SUM(M73:Q73)</f>
        <v>267.91773153808003</v>
      </c>
    </row>
    <row r="74" spans="1:18">
      <c r="A74" s="589"/>
      <c r="B74" s="893"/>
      <c r="C74" s="894"/>
      <c r="D74" s="895"/>
      <c r="E74" s="896"/>
      <c r="F74" s="492"/>
      <c r="G74" s="897"/>
      <c r="H74" s="491"/>
      <c r="I74" s="495"/>
      <c r="J74" s="496"/>
      <c r="K74" s="490"/>
      <c r="L74" s="489"/>
      <c r="M74" s="494"/>
      <c r="N74" s="898"/>
      <c r="O74" s="898"/>
      <c r="P74" s="898"/>
      <c r="Q74" s="899"/>
      <c r="R74" s="493"/>
    </row>
    <row r="75" spans="1:18" s="1962" customFormat="1">
      <c r="A75" s="1963" t="s">
        <v>136</v>
      </c>
      <c r="B75" s="1964"/>
      <c r="C75" s="1965"/>
      <c r="D75" s="1966"/>
      <c r="E75" s="1950"/>
      <c r="F75" s="1951"/>
      <c r="G75" s="1952"/>
      <c r="H75" s="1953"/>
      <c r="I75" s="1954"/>
      <c r="J75" s="1955"/>
      <c r="K75" s="1956"/>
      <c r="L75" s="1957"/>
      <c r="M75" s="1958"/>
      <c r="N75" s="1959"/>
      <c r="O75" s="1959"/>
      <c r="P75" s="1959"/>
      <c r="Q75" s="1960"/>
      <c r="R75" s="1961"/>
    </row>
    <row r="76" spans="1:18" s="1962" customFormat="1">
      <c r="A76" s="1946" t="s">
        <v>2253</v>
      </c>
      <c r="B76" s="1947"/>
      <c r="C76" s="1948"/>
      <c r="D76" s="1949">
        <v>7.9151870000000004</v>
      </c>
      <c r="E76" s="1950">
        <v>11.3</v>
      </c>
      <c r="F76" s="1951"/>
      <c r="G76" s="1952"/>
      <c r="H76" s="1953">
        <f t="shared" ref="H76:H83" si="28">D76-F76</f>
        <v>7.9151870000000004</v>
      </c>
      <c r="I76" s="1954">
        <f>H76*$J$44/1000</f>
        <v>1.1872780500000002</v>
      </c>
      <c r="J76" s="1955"/>
      <c r="K76" s="1956">
        <f>(E76+G76)*$J$44/1000+H76</f>
        <v>9.6101869999999998</v>
      </c>
      <c r="L76" s="1957"/>
      <c r="M76" s="1958">
        <f t="shared" ref="M76:M88" si="29">$M$59*$I76</f>
        <v>0</v>
      </c>
      <c r="N76" s="1959">
        <f>$N$59*$I76</f>
        <v>130.29917517904002</v>
      </c>
      <c r="O76" s="1959">
        <f t="shared" ref="O76:O88" si="30">$O$59*$I76</f>
        <v>0</v>
      </c>
      <c r="P76" s="1959">
        <f t="shared" ref="P76:P88" si="31">$P$59*$I76</f>
        <v>0</v>
      </c>
      <c r="Q76" s="1960">
        <f t="shared" ref="Q76:Q88" si="32">$Q$59*$I76</f>
        <v>0</v>
      </c>
      <c r="R76" s="1961">
        <f t="shared" ref="R76:R82" si="33">SUM(M76:Q76)</f>
        <v>130.29917517904002</v>
      </c>
    </row>
    <row r="77" spans="1:18" s="1962" customFormat="1">
      <c r="A77" s="1946" t="s">
        <v>2256</v>
      </c>
      <c r="B77" s="1947"/>
      <c r="C77" s="1948"/>
      <c r="D77" s="1949">
        <v>29.987500000000001</v>
      </c>
      <c r="E77" s="1950">
        <v>24.15</v>
      </c>
      <c r="F77" s="1951"/>
      <c r="G77" s="1952"/>
      <c r="H77" s="1953">
        <f t="shared" ref="H77:H79" si="34">D77-F77</f>
        <v>29.987500000000001</v>
      </c>
      <c r="I77" s="1954">
        <f t="shared" ref="I77:I79" si="35">H77*$J$44/1000</f>
        <v>4.4981249999999999</v>
      </c>
      <c r="J77" s="1955"/>
      <c r="K77" s="1956">
        <f t="shared" ref="K77:K88" si="36">(E77+G77)*$J$44/1000+H77</f>
        <v>33.61</v>
      </c>
      <c r="L77" s="1957"/>
      <c r="M77" s="1958">
        <f t="shared" si="29"/>
        <v>0</v>
      </c>
      <c r="N77" s="1959">
        <f t="shared" ref="N77:N78" si="37">$N$59*$I77</f>
        <v>493.65182599999997</v>
      </c>
      <c r="O77" s="1959">
        <f t="shared" si="30"/>
        <v>0</v>
      </c>
      <c r="P77" s="1959">
        <f t="shared" si="31"/>
        <v>0</v>
      </c>
      <c r="Q77" s="1960">
        <f t="shared" si="32"/>
        <v>0</v>
      </c>
      <c r="R77" s="1961">
        <f t="shared" ref="R77:R78" si="38">SUM(M77:Q77)</f>
        <v>493.65182599999997</v>
      </c>
    </row>
    <row r="78" spans="1:18" s="1962" customFormat="1">
      <c r="A78" s="1946" t="s">
        <v>2252</v>
      </c>
      <c r="B78" s="1947"/>
      <c r="C78" s="1948"/>
      <c r="D78" s="1949">
        <v>3.645</v>
      </c>
      <c r="E78" s="1950">
        <v>9.2899999999999991</v>
      </c>
      <c r="F78" s="1951"/>
      <c r="G78" s="1952"/>
      <c r="H78" s="1953">
        <f t="shared" si="34"/>
        <v>3.645</v>
      </c>
      <c r="I78" s="1954">
        <f t="shared" si="35"/>
        <v>0.54674999999999996</v>
      </c>
      <c r="J78" s="1955"/>
      <c r="K78" s="1956">
        <f t="shared" si="36"/>
        <v>5.0385</v>
      </c>
      <c r="L78" s="1957"/>
      <c r="M78" s="1958">
        <f t="shared" si="29"/>
        <v>0</v>
      </c>
      <c r="N78" s="1959">
        <f t="shared" si="37"/>
        <v>60.003698399999998</v>
      </c>
      <c r="O78" s="1959">
        <f t="shared" si="30"/>
        <v>0</v>
      </c>
      <c r="P78" s="1959">
        <f t="shared" si="31"/>
        <v>0</v>
      </c>
      <c r="Q78" s="1960">
        <f t="shared" si="32"/>
        <v>0</v>
      </c>
      <c r="R78" s="1961">
        <f t="shared" si="38"/>
        <v>60.003698399999998</v>
      </c>
    </row>
    <row r="79" spans="1:18" s="1962" customFormat="1">
      <c r="A79" s="1946" t="s">
        <v>2254</v>
      </c>
      <c r="B79" s="1947"/>
      <c r="C79" s="1948"/>
      <c r="D79" s="1949">
        <v>4.1230589999999996</v>
      </c>
      <c r="E79" s="1950">
        <v>8.3000000000000007</v>
      </c>
      <c r="F79" s="1951"/>
      <c r="G79" s="1952"/>
      <c r="H79" s="1953">
        <f t="shared" si="34"/>
        <v>4.1230589999999996</v>
      </c>
      <c r="I79" s="1954">
        <f t="shared" si="35"/>
        <v>0.61845885</v>
      </c>
      <c r="J79" s="1955"/>
      <c r="K79" s="1956">
        <f t="shared" si="36"/>
        <v>5.3680589999999997</v>
      </c>
      <c r="L79" s="1957"/>
      <c r="M79" s="1958">
        <f t="shared" si="29"/>
        <v>0</v>
      </c>
      <c r="N79" s="1959">
        <f>$N$59*$I79</f>
        <v>67.873467413279997</v>
      </c>
      <c r="O79" s="1959">
        <f t="shared" si="30"/>
        <v>0</v>
      </c>
      <c r="P79" s="1959">
        <f t="shared" si="31"/>
        <v>0</v>
      </c>
      <c r="Q79" s="1960">
        <f t="shared" si="32"/>
        <v>0</v>
      </c>
      <c r="R79" s="1961">
        <f t="shared" ref="R79" si="39">SUM(M79:Q79)</f>
        <v>67.873467413279997</v>
      </c>
    </row>
    <row r="80" spans="1:18" s="1962" customFormat="1">
      <c r="A80" s="1946" t="s">
        <v>2255</v>
      </c>
      <c r="B80" s="1947"/>
      <c r="C80" s="1948"/>
      <c r="D80" s="1949">
        <v>146.917137</v>
      </c>
      <c r="E80" s="1950">
        <v>67.88</v>
      </c>
      <c r="F80" s="1951">
        <f>(4398650+22522499+14557168+3240000+855000)/1000000</f>
        <v>45.573317000000003</v>
      </c>
      <c r="G80" s="1952">
        <f>9.289+19.4+23.23+7.2+4.55</f>
        <v>63.668999999999997</v>
      </c>
      <c r="H80" s="1953">
        <f t="shared" si="28"/>
        <v>101.34381999999999</v>
      </c>
      <c r="I80" s="1954">
        <f t="shared" ref="I80:I83" si="40">H80*$J$44/1000</f>
        <v>15.201572999999998</v>
      </c>
      <c r="J80" s="1955"/>
      <c r="K80" s="1956">
        <f t="shared" si="36"/>
        <v>121.07616999999999</v>
      </c>
      <c r="L80" s="1957"/>
      <c r="M80" s="1958">
        <f t="shared" si="29"/>
        <v>0</v>
      </c>
      <c r="N80" s="1959">
        <f t="shared" ref="N80:N82" si="41">$N$59*$I80</f>
        <v>1668.3138573343997</v>
      </c>
      <c r="O80" s="1959">
        <f t="shared" si="30"/>
        <v>0</v>
      </c>
      <c r="P80" s="1959">
        <f t="shared" si="31"/>
        <v>0</v>
      </c>
      <c r="Q80" s="1960">
        <f t="shared" si="32"/>
        <v>0</v>
      </c>
      <c r="R80" s="1961">
        <f t="shared" si="33"/>
        <v>1668.3138573343997</v>
      </c>
    </row>
    <row r="81" spans="1:18" s="1962" customFormat="1">
      <c r="A81" s="1946" t="s">
        <v>2263</v>
      </c>
      <c r="B81" s="1947"/>
      <c r="C81" s="1948"/>
      <c r="D81" s="1949">
        <v>5.9633279999999997</v>
      </c>
      <c r="E81" s="1950">
        <v>9.8000000000000007</v>
      </c>
      <c r="F81" s="1951"/>
      <c r="G81" s="1952"/>
      <c r="H81" s="1953">
        <f t="shared" ref="H81" si="42">D81-F81</f>
        <v>5.9633279999999997</v>
      </c>
      <c r="I81" s="1954">
        <f t="shared" ref="I81" si="43">H81*$J$44/1000</f>
        <v>0.89449919999999994</v>
      </c>
      <c r="J81" s="1955"/>
      <c r="K81" s="1956">
        <f t="shared" ref="K81" si="44">(E81+G81)*$J$44/1000+H81</f>
        <v>7.4333279999999995</v>
      </c>
      <c r="L81" s="1957"/>
      <c r="M81" s="1958">
        <f t="shared" si="29"/>
        <v>0</v>
      </c>
      <c r="N81" s="1959">
        <f t="shared" si="41"/>
        <v>98.167828469759996</v>
      </c>
      <c r="O81" s="1959">
        <f t="shared" si="30"/>
        <v>0</v>
      </c>
      <c r="P81" s="1959">
        <f t="shared" si="31"/>
        <v>0</v>
      </c>
      <c r="Q81" s="1960">
        <f t="shared" si="32"/>
        <v>0</v>
      </c>
      <c r="R81" s="1961">
        <f t="shared" ref="R81" si="45">SUM(M81:Q81)</f>
        <v>98.167828469759996</v>
      </c>
    </row>
    <row r="82" spans="1:18" s="1962" customFormat="1">
      <c r="A82" s="1946" t="s">
        <v>2257</v>
      </c>
      <c r="B82" s="1947"/>
      <c r="C82" s="1948"/>
      <c r="D82" s="1949">
        <v>5.5023419999999996</v>
      </c>
      <c r="E82" s="1950">
        <v>9.4550000000000001</v>
      </c>
      <c r="F82" s="1951"/>
      <c r="G82" s="1952"/>
      <c r="H82" s="1953">
        <f t="shared" si="28"/>
        <v>5.5023419999999996</v>
      </c>
      <c r="I82" s="1954">
        <f t="shared" si="40"/>
        <v>0.8253512999999999</v>
      </c>
      <c r="J82" s="1955"/>
      <c r="K82" s="1956">
        <f t="shared" si="36"/>
        <v>6.9205919999999992</v>
      </c>
      <c r="L82" s="1957"/>
      <c r="M82" s="1958">
        <f t="shared" si="29"/>
        <v>0</v>
      </c>
      <c r="N82" s="1959">
        <f t="shared" si="41"/>
        <v>90.579113816639989</v>
      </c>
      <c r="O82" s="1959">
        <f t="shared" si="30"/>
        <v>0</v>
      </c>
      <c r="P82" s="1959">
        <f t="shared" si="31"/>
        <v>0</v>
      </c>
      <c r="Q82" s="1960">
        <f t="shared" si="32"/>
        <v>0</v>
      </c>
      <c r="R82" s="1961">
        <f t="shared" si="33"/>
        <v>90.579113816639989</v>
      </c>
    </row>
    <row r="83" spans="1:18" s="1962" customFormat="1">
      <c r="A83" s="1946" t="s">
        <v>2258</v>
      </c>
      <c r="B83" s="1947"/>
      <c r="C83" s="1948"/>
      <c r="D83" s="1949">
        <v>8.9224999999999994</v>
      </c>
      <c r="E83" s="1950">
        <v>12.6</v>
      </c>
      <c r="F83" s="1951"/>
      <c r="G83" s="1952"/>
      <c r="H83" s="1953">
        <f t="shared" si="28"/>
        <v>8.9224999999999994</v>
      </c>
      <c r="I83" s="1954">
        <f t="shared" si="40"/>
        <v>1.3383750000000001</v>
      </c>
      <c r="J83" s="1955"/>
      <c r="K83" s="1956">
        <f t="shared" si="36"/>
        <v>10.8125</v>
      </c>
      <c r="L83" s="1957"/>
      <c r="M83" s="1958">
        <f t="shared" si="29"/>
        <v>0</v>
      </c>
      <c r="N83" s="1959">
        <f>$N$59*$I83</f>
        <v>146.8814812</v>
      </c>
      <c r="O83" s="1959">
        <f t="shared" si="30"/>
        <v>0</v>
      </c>
      <c r="P83" s="1959">
        <f t="shared" si="31"/>
        <v>0</v>
      </c>
      <c r="Q83" s="1960">
        <f t="shared" si="32"/>
        <v>0</v>
      </c>
      <c r="R83" s="1961">
        <f t="shared" ref="R83" si="46">SUM(M83:Q83)</f>
        <v>146.8814812</v>
      </c>
    </row>
    <row r="84" spans="1:18" s="1962" customFormat="1">
      <c r="A84" s="1946" t="s">
        <v>2259</v>
      </c>
      <c r="B84" s="1947"/>
      <c r="C84" s="1948"/>
      <c r="D84" s="1949">
        <v>3.0099469999999999</v>
      </c>
      <c r="E84" s="1950">
        <v>7.75</v>
      </c>
      <c r="F84" s="1951"/>
      <c r="G84" s="1952"/>
      <c r="H84" s="1953">
        <f t="shared" ref="H84:H88" si="47">D84-F84</f>
        <v>3.0099469999999999</v>
      </c>
      <c r="I84" s="1954">
        <f t="shared" ref="I84:I88" si="48">H84*$J$44/1000</f>
        <v>0.45149205000000003</v>
      </c>
      <c r="J84" s="1955"/>
      <c r="K84" s="1956">
        <f t="shared" si="36"/>
        <v>4.172447</v>
      </c>
      <c r="L84" s="1957"/>
      <c r="M84" s="1958">
        <f t="shared" si="29"/>
        <v>0</v>
      </c>
      <c r="N84" s="1959">
        <f t="shared" ref="N84:N85" si="49">$N$59*$I84</f>
        <v>49.549506718240004</v>
      </c>
      <c r="O84" s="1959">
        <f t="shared" si="30"/>
        <v>0</v>
      </c>
      <c r="P84" s="1959">
        <f t="shared" si="31"/>
        <v>0</v>
      </c>
      <c r="Q84" s="1960">
        <f t="shared" si="32"/>
        <v>0</v>
      </c>
      <c r="R84" s="1961">
        <f t="shared" ref="R84:R85" si="50">SUM(M84:Q84)</f>
        <v>49.549506718240004</v>
      </c>
    </row>
    <row r="85" spans="1:18" s="1962" customFormat="1">
      <c r="A85" s="1946" t="s">
        <v>2260</v>
      </c>
      <c r="B85" s="1947"/>
      <c r="C85" s="1948"/>
      <c r="D85" s="1949">
        <v>3.0099930000000001</v>
      </c>
      <c r="E85" s="1950">
        <v>7.75</v>
      </c>
      <c r="F85" s="1951"/>
      <c r="G85" s="1952"/>
      <c r="H85" s="1953">
        <f t="shared" si="47"/>
        <v>3.0099930000000001</v>
      </c>
      <c r="I85" s="1954">
        <f t="shared" si="48"/>
        <v>0.45149895000000001</v>
      </c>
      <c r="J85" s="1955"/>
      <c r="K85" s="1956">
        <f t="shared" si="36"/>
        <v>4.1724930000000002</v>
      </c>
      <c r="L85" s="1957"/>
      <c r="M85" s="1958">
        <f t="shared" si="29"/>
        <v>0</v>
      </c>
      <c r="N85" s="1959">
        <f t="shared" si="49"/>
        <v>49.550263966560003</v>
      </c>
      <c r="O85" s="1959">
        <f t="shared" si="30"/>
        <v>0</v>
      </c>
      <c r="P85" s="1959">
        <f t="shared" si="31"/>
        <v>0</v>
      </c>
      <c r="Q85" s="1960">
        <f t="shared" si="32"/>
        <v>0</v>
      </c>
      <c r="R85" s="1961">
        <f t="shared" si="50"/>
        <v>49.550263966560003</v>
      </c>
    </row>
    <row r="86" spans="1:18" s="1962" customFormat="1">
      <c r="A86" s="1946" t="s">
        <v>2262</v>
      </c>
      <c r="B86" s="1947"/>
      <c r="C86" s="1948"/>
      <c r="D86" s="1949">
        <v>1.887497</v>
      </c>
      <c r="E86" s="1950">
        <v>8.5500000000000007</v>
      </c>
      <c r="F86" s="1951"/>
      <c r="G86" s="1952"/>
      <c r="H86" s="1953">
        <f t="shared" ref="H86:H87" si="51">D86-F86</f>
        <v>1.887497</v>
      </c>
      <c r="I86" s="1954">
        <f t="shared" ref="I86:I87" si="52">H86*$J$44/1000</f>
        <v>0.28312454999999997</v>
      </c>
      <c r="J86" s="1955"/>
      <c r="K86" s="1956">
        <f t="shared" si="36"/>
        <v>3.169997</v>
      </c>
      <c r="L86" s="1957"/>
      <c r="M86" s="1958">
        <f t="shared" si="29"/>
        <v>0</v>
      </c>
      <c r="N86" s="1959">
        <f>$N$59*$I86</f>
        <v>31.071824614239997</v>
      </c>
      <c r="O86" s="1959">
        <f t="shared" si="30"/>
        <v>0</v>
      </c>
      <c r="P86" s="1959">
        <f t="shared" si="31"/>
        <v>0</v>
      </c>
      <c r="Q86" s="1960">
        <f t="shared" si="32"/>
        <v>0</v>
      </c>
      <c r="R86" s="1961">
        <f t="shared" ref="R86" si="53">SUM(M86:Q86)</f>
        <v>31.071824614239997</v>
      </c>
    </row>
    <row r="87" spans="1:18" s="1962" customFormat="1">
      <c r="A87" s="1946" t="s">
        <v>2347</v>
      </c>
      <c r="B87" s="1947"/>
      <c r="C87" s="1948"/>
      <c r="D87" s="1949">
        <v>38.007826000000001</v>
      </c>
      <c r="E87" s="1950">
        <v>24.672000000000001</v>
      </c>
      <c r="F87" s="1951">
        <v>12.025389000000001</v>
      </c>
      <c r="G87" s="1952">
        <v>13.962999999999999</v>
      </c>
      <c r="H87" s="1953">
        <f t="shared" si="51"/>
        <v>25.982437000000001</v>
      </c>
      <c r="I87" s="1954">
        <f t="shared" si="52"/>
        <v>3.89736555</v>
      </c>
      <c r="J87" s="1955"/>
      <c r="K87" s="1956">
        <f t="shared" ref="K87" si="54">(E87+G87)*$J$44/1000+H87</f>
        <v>31.777687</v>
      </c>
      <c r="L87" s="1957"/>
      <c r="M87" s="1958">
        <f t="shared" si="29"/>
        <v>0</v>
      </c>
      <c r="N87" s="1959">
        <f>$N$59*$I87</f>
        <v>427.72079929903998</v>
      </c>
      <c r="O87" s="1959">
        <f t="shared" si="30"/>
        <v>0</v>
      </c>
      <c r="P87" s="1959">
        <f t="shared" si="31"/>
        <v>0</v>
      </c>
      <c r="Q87" s="1960">
        <f t="shared" si="32"/>
        <v>0</v>
      </c>
      <c r="R87" s="1961">
        <f t="shared" ref="R87" si="55">SUM(M87:Q87)</f>
        <v>427.72079929903998</v>
      </c>
    </row>
    <row r="88" spans="1:18" s="1962" customFormat="1">
      <c r="A88" s="1946" t="s">
        <v>2261</v>
      </c>
      <c r="B88" s="1947"/>
      <c r="C88" s="1948"/>
      <c r="D88" s="1949">
        <v>12.372498999999999</v>
      </c>
      <c r="E88" s="1950">
        <v>15</v>
      </c>
      <c r="F88" s="1951"/>
      <c r="G88" s="1952"/>
      <c r="H88" s="1953">
        <f t="shared" si="47"/>
        <v>12.372498999999999</v>
      </c>
      <c r="I88" s="1954">
        <f t="shared" si="48"/>
        <v>1.85587485</v>
      </c>
      <c r="J88" s="1955"/>
      <c r="K88" s="1956">
        <f t="shared" si="36"/>
        <v>14.622498999999999</v>
      </c>
      <c r="L88" s="1957"/>
      <c r="M88" s="1958">
        <f t="shared" si="29"/>
        <v>0</v>
      </c>
      <c r="N88" s="1959">
        <f>$N$59*$I88</f>
        <v>203.67508873808001</v>
      </c>
      <c r="O88" s="1959">
        <f t="shared" si="30"/>
        <v>0</v>
      </c>
      <c r="P88" s="1959">
        <f t="shared" si="31"/>
        <v>0</v>
      </c>
      <c r="Q88" s="1960">
        <f t="shared" si="32"/>
        <v>0</v>
      </c>
      <c r="R88" s="1961">
        <f t="shared" ref="R88" si="56">SUM(M88:Q88)</f>
        <v>203.67508873808001</v>
      </c>
    </row>
    <row r="89" spans="1:18">
      <c r="A89" s="589"/>
      <c r="B89" s="893"/>
      <c r="C89" s="894"/>
      <c r="D89" s="895"/>
      <c r="E89" s="896"/>
      <c r="F89" s="492"/>
      <c r="G89" s="897"/>
      <c r="H89" s="491"/>
      <c r="I89" s="495"/>
      <c r="J89" s="496"/>
      <c r="K89" s="490"/>
      <c r="L89" s="489"/>
      <c r="M89" s="494"/>
      <c r="N89" s="898"/>
      <c r="O89" s="898"/>
      <c r="P89" s="898"/>
      <c r="Q89" s="899"/>
      <c r="R89" s="493"/>
    </row>
    <row r="90" spans="1:18" s="1962" customFormat="1">
      <c r="A90" s="1963" t="s">
        <v>219</v>
      </c>
      <c r="B90" s="1964"/>
      <c r="C90" s="1965"/>
      <c r="D90" s="1966"/>
      <c r="E90" s="1950"/>
      <c r="F90" s="1951"/>
      <c r="G90" s="1952"/>
      <c r="H90" s="1953"/>
      <c r="I90" s="1954"/>
      <c r="J90" s="1955"/>
      <c r="K90" s="1956"/>
      <c r="L90" s="1957"/>
      <c r="M90" s="1958"/>
      <c r="N90" s="1959"/>
      <c r="O90" s="1959"/>
      <c r="P90" s="1959"/>
      <c r="Q90" s="1960"/>
      <c r="R90" s="1961"/>
    </row>
    <row r="91" spans="1:18" s="1962" customFormat="1">
      <c r="A91" s="1946" t="s">
        <v>2264</v>
      </c>
      <c r="B91" s="1947"/>
      <c r="C91" s="1948"/>
      <c r="D91" s="1949">
        <v>30.005120999999999</v>
      </c>
      <c r="E91" s="1950">
        <v>31.353000000000002</v>
      </c>
      <c r="F91" s="1951"/>
      <c r="G91" s="1952"/>
      <c r="H91" s="1953">
        <f t="shared" ref="H91:H93" si="57">D91-F91</f>
        <v>30.005120999999999</v>
      </c>
      <c r="I91" s="1954">
        <f>H91*$J$44/1000</f>
        <v>4.5007681499999999</v>
      </c>
      <c r="J91" s="1955"/>
      <c r="K91" s="1956">
        <f>(E91+G91)*$J$44/1000+H91</f>
        <v>34.708070999999997</v>
      </c>
      <c r="L91" s="1957"/>
      <c r="M91" s="1958">
        <f>$M$59*$I91</f>
        <v>0</v>
      </c>
      <c r="N91" s="1959">
        <f>$N$59*$I91</f>
        <v>493.94190149231997</v>
      </c>
      <c r="O91" s="1959">
        <f>$O$59*$I91</f>
        <v>0</v>
      </c>
      <c r="P91" s="1959">
        <f>$P$59*$I91</f>
        <v>0</v>
      </c>
      <c r="Q91" s="1960">
        <f>$Q$59*$I91</f>
        <v>0</v>
      </c>
      <c r="R91" s="1961">
        <f t="shared" ref="R91:R93" si="58">SUM(M91:Q91)</f>
        <v>493.94190149231997</v>
      </c>
    </row>
    <row r="92" spans="1:18" s="1962" customFormat="1">
      <c r="A92" s="1946" t="s">
        <v>2265</v>
      </c>
      <c r="B92" s="1947"/>
      <c r="C92" s="1948"/>
      <c r="D92" s="1949">
        <v>200.46360899999999</v>
      </c>
      <c r="E92" s="1950">
        <v>66.650000000000006</v>
      </c>
      <c r="F92" s="1951">
        <f>9.720625+14.634672+3.24+0.855</f>
        <v>28.450297000000003</v>
      </c>
      <c r="G92" s="1952">
        <f>12.7+23.48+7.2+4.55</f>
        <v>47.93</v>
      </c>
      <c r="H92" s="1953">
        <f t="shared" si="57"/>
        <v>172.01331199999998</v>
      </c>
      <c r="I92" s="1954">
        <f t="shared" ref="I92:I93" si="59">H92*$J$44/1000</f>
        <v>25.801996799999998</v>
      </c>
      <c r="J92" s="1955"/>
      <c r="K92" s="1956">
        <f t="shared" ref="K92:K93" si="60">(E92+G92)*$J$44/1000+H92</f>
        <v>189.200312</v>
      </c>
      <c r="L92" s="1957"/>
      <c r="M92" s="1958">
        <f>$M$59*$I92</f>
        <v>0</v>
      </c>
      <c r="N92" s="1959">
        <f t="shared" ref="N92:N93" si="61">$N$59*$I92</f>
        <v>2831.6693810790398</v>
      </c>
      <c r="O92" s="1959">
        <f>$O$59*$I92</f>
        <v>0</v>
      </c>
      <c r="P92" s="1959">
        <f>$P$59*$I92</f>
        <v>0</v>
      </c>
      <c r="Q92" s="1960">
        <f>$Q$59*$I92</f>
        <v>0</v>
      </c>
      <c r="R92" s="1961">
        <f t="shared" si="58"/>
        <v>2831.6693810790398</v>
      </c>
    </row>
    <row r="93" spans="1:18" s="1962" customFormat="1">
      <c r="A93" s="1946" t="s">
        <v>2266</v>
      </c>
      <c r="B93" s="1947"/>
      <c r="C93" s="1948"/>
      <c r="D93" s="1949">
        <v>10.891874</v>
      </c>
      <c r="E93" s="1950">
        <v>13.4</v>
      </c>
      <c r="F93" s="1951"/>
      <c r="G93" s="1952"/>
      <c r="H93" s="1953">
        <f t="shared" si="57"/>
        <v>10.891874</v>
      </c>
      <c r="I93" s="1954">
        <f t="shared" si="59"/>
        <v>1.6337811</v>
      </c>
      <c r="J93" s="1955"/>
      <c r="K93" s="1956">
        <f t="shared" si="60"/>
        <v>12.901873999999999</v>
      </c>
      <c r="L93" s="1957"/>
      <c r="M93" s="1958">
        <f>$M$59*$I93</f>
        <v>0</v>
      </c>
      <c r="N93" s="1959">
        <f t="shared" si="61"/>
        <v>179.30115843807999</v>
      </c>
      <c r="O93" s="1959">
        <f>$O$59*$I93</f>
        <v>0</v>
      </c>
      <c r="P93" s="1959">
        <f>$P$59*$I93</f>
        <v>0</v>
      </c>
      <c r="Q93" s="1960">
        <f>$Q$59*$I93</f>
        <v>0</v>
      </c>
      <c r="R93" s="1961">
        <f t="shared" si="58"/>
        <v>179.30115843807999</v>
      </c>
    </row>
    <row r="94" spans="1:18">
      <c r="A94" s="589"/>
      <c r="B94" s="893"/>
      <c r="C94" s="894"/>
      <c r="D94" s="895"/>
      <c r="E94" s="896"/>
      <c r="F94" s="492"/>
      <c r="G94" s="897"/>
      <c r="H94" s="491"/>
      <c r="I94" s="495"/>
      <c r="J94" s="496"/>
      <c r="K94" s="490"/>
      <c r="L94" s="489"/>
      <c r="M94" s="494"/>
      <c r="N94" s="898"/>
      <c r="O94" s="898"/>
      <c r="P94" s="898"/>
      <c r="Q94" s="899"/>
      <c r="R94" s="493"/>
    </row>
    <row r="95" spans="1:18" s="1962" customFormat="1">
      <c r="A95" s="1963" t="s">
        <v>2191</v>
      </c>
      <c r="B95" s="1964"/>
      <c r="C95" s="1965"/>
      <c r="D95" s="1966"/>
      <c r="E95" s="1950"/>
      <c r="F95" s="1951"/>
      <c r="G95" s="1952"/>
      <c r="H95" s="1953"/>
      <c r="I95" s="1954"/>
      <c r="J95" s="1955"/>
      <c r="K95" s="1956"/>
      <c r="L95" s="1957"/>
      <c r="M95" s="1958"/>
      <c r="N95" s="1959"/>
      <c r="O95" s="1959"/>
      <c r="P95" s="1959"/>
      <c r="Q95" s="1960"/>
      <c r="R95" s="1961"/>
    </row>
    <row r="96" spans="1:18" s="1962" customFormat="1">
      <c r="A96" s="1946" t="s">
        <v>2267</v>
      </c>
      <c r="B96" s="1947"/>
      <c r="C96" s="1948"/>
      <c r="D96" s="1949">
        <v>12.765228</v>
      </c>
      <c r="E96" s="1950">
        <v>14.375</v>
      </c>
      <c r="F96" s="1951"/>
      <c r="G96" s="1952"/>
      <c r="H96" s="1953">
        <f t="shared" ref="H96" si="62">D96-F96</f>
        <v>12.765228</v>
      </c>
      <c r="I96" s="1954">
        <f>H96*$J$44/1000</f>
        <v>1.9147842000000002</v>
      </c>
      <c r="J96" s="1955"/>
      <c r="K96" s="1956">
        <f>(E96+G96)*$J$44/1000+H96</f>
        <v>14.921478</v>
      </c>
      <c r="L96" s="1957"/>
      <c r="M96" s="1958">
        <f>$M$59*$I96</f>
        <v>0</v>
      </c>
      <c r="N96" s="1959">
        <f>$N$59*$I96</f>
        <v>210.14016211776001</v>
      </c>
      <c r="O96" s="1959">
        <f>$O$59*$I96</f>
        <v>0</v>
      </c>
      <c r="P96" s="1959">
        <f>$P$59*$I96</f>
        <v>0</v>
      </c>
      <c r="Q96" s="1960">
        <f>$Q$59*$I96</f>
        <v>0</v>
      </c>
      <c r="R96" s="1961">
        <f t="shared" si="22"/>
        <v>210.14016211776001</v>
      </c>
    </row>
    <row r="97" spans="1:18" s="1962" customFormat="1">
      <c r="A97" s="1946" t="s">
        <v>2268</v>
      </c>
      <c r="B97" s="1947"/>
      <c r="C97" s="1948"/>
      <c r="D97" s="1949">
        <v>27.826308000000001</v>
      </c>
      <c r="E97" s="1950">
        <v>21.28</v>
      </c>
      <c r="F97" s="1951"/>
      <c r="G97" s="1952"/>
      <c r="H97" s="1953">
        <f t="shared" ref="H97" si="63">D97-F97</f>
        <v>27.826308000000001</v>
      </c>
      <c r="I97" s="1954">
        <f t="shared" ref="I97" si="64">H97*$J$44/1000</f>
        <v>4.1739462000000005</v>
      </c>
      <c r="J97" s="1955"/>
      <c r="K97" s="1956">
        <f t="shared" ref="K97" si="65">(E97+G97)*$J$44/1000+H97</f>
        <v>31.018308000000001</v>
      </c>
      <c r="L97" s="1957"/>
      <c r="M97" s="1958">
        <f>$M$59*$I97</f>
        <v>0</v>
      </c>
      <c r="N97" s="1959">
        <f t="shared" ref="N97" si="66">$N$59*$I97</f>
        <v>458.07445619136007</v>
      </c>
      <c r="O97" s="1959">
        <f>$O$59*$I97</f>
        <v>0</v>
      </c>
      <c r="P97" s="1959">
        <f>$P$59*$I97</f>
        <v>0</v>
      </c>
      <c r="Q97" s="1960">
        <f>$Q$59*$I97</f>
        <v>0</v>
      </c>
      <c r="R97" s="1961">
        <f t="shared" si="22"/>
        <v>458.07445619136007</v>
      </c>
    </row>
    <row r="98" spans="1:18" ht="15.75" thickBot="1">
      <c r="A98" s="2368"/>
      <c r="B98" s="2369"/>
      <c r="C98" s="2370"/>
      <c r="D98" s="601"/>
      <c r="E98" s="600"/>
      <c r="F98" s="599"/>
      <c r="G98" s="598"/>
      <c r="H98" s="597"/>
      <c r="I98" s="594"/>
      <c r="J98" s="596"/>
      <c r="K98" s="595"/>
      <c r="L98" s="594"/>
      <c r="M98" s="593"/>
      <c r="N98" s="592"/>
      <c r="O98" s="592"/>
      <c r="P98" s="592"/>
      <c r="Q98" s="591"/>
      <c r="R98" s="590"/>
    </row>
    <row r="99" spans="1:18">
      <c r="H99" s="488"/>
    </row>
    <row r="101" spans="1:18" ht="15.75" thickBot="1">
      <c r="H101" s="488"/>
    </row>
    <row r="102" spans="1:18" ht="16.5" thickTop="1" thickBot="1">
      <c r="A102" s="2347" t="s">
        <v>220</v>
      </c>
      <c r="B102" s="2347"/>
      <c r="C102" s="2347"/>
      <c r="D102" s="2347"/>
      <c r="E102" s="2347"/>
      <c r="F102" s="2347"/>
      <c r="G102" s="2347"/>
      <c r="H102" s="2347"/>
      <c r="I102" s="487">
        <f t="shared" ref="I102:R102" si="67">SUM(I34:I37,I63:I98)</f>
        <v>121.97940821</v>
      </c>
      <c r="J102" s="487">
        <f t="shared" si="67"/>
        <v>16.891977169999997</v>
      </c>
      <c r="K102" s="487">
        <f t="shared" si="67"/>
        <v>582.54891700000007</v>
      </c>
      <c r="L102" s="487">
        <f t="shared" si="67"/>
        <v>0</v>
      </c>
      <c r="M102" s="487">
        <f t="shared" si="67"/>
        <v>0</v>
      </c>
      <c r="N102" s="487">
        <f t="shared" si="67"/>
        <v>13363.195815437468</v>
      </c>
      <c r="O102" s="487">
        <f t="shared" si="67"/>
        <v>0</v>
      </c>
      <c r="P102" s="487">
        <f t="shared" si="67"/>
        <v>0</v>
      </c>
      <c r="Q102" s="487">
        <f t="shared" si="67"/>
        <v>0</v>
      </c>
      <c r="R102" s="487">
        <f t="shared" si="67"/>
        <v>13363.195815437468</v>
      </c>
    </row>
    <row r="103" spans="1:18" ht="15.75" thickTop="1">
      <c r="K103" s="486"/>
      <c r="L103" s="486"/>
      <c r="M103" s="485"/>
      <c r="Q103" s="484" t="s">
        <v>126</v>
      </c>
      <c r="R103" s="483">
        <f>R102/I102</f>
        <v>109.55288283110345</v>
      </c>
    </row>
    <row r="104" spans="1:18">
      <c r="R104" s="482"/>
    </row>
  </sheetData>
  <sheetProtection formatCells="0" formatColumns="0" formatRows="0" insertColumns="0" insertRows="0" insertHyperlinks="0" deleteRows="0" sort="0" autoFilter="0" pivotTables="0"/>
  <mergeCells count="35">
    <mergeCell ref="R32:R33"/>
    <mergeCell ref="A37:C37"/>
    <mergeCell ref="R61:R62"/>
    <mergeCell ref="M61:Q61"/>
    <mergeCell ref="M46:Q46"/>
    <mergeCell ref="A98:C98"/>
    <mergeCell ref="A63:C63"/>
    <mergeCell ref="A34:C34"/>
    <mergeCell ref="A32:C33"/>
    <mergeCell ref="F46:F47"/>
    <mergeCell ref="F57:K57"/>
    <mergeCell ref="E32:E33"/>
    <mergeCell ref="F32:G32"/>
    <mergeCell ref="H32:H33"/>
    <mergeCell ref="I32:I33"/>
    <mergeCell ref="E61:E62"/>
    <mergeCell ref="D61:D62"/>
    <mergeCell ref="I61:I62"/>
    <mergeCell ref="J61:K61"/>
    <mergeCell ref="F30:K30"/>
    <mergeCell ref="A102:H102"/>
    <mergeCell ref="F17:F18"/>
    <mergeCell ref="M17:Q17"/>
    <mergeCell ref="F28:K28"/>
    <mergeCell ref="F29:K29"/>
    <mergeCell ref="M29:Q29"/>
    <mergeCell ref="D32:D33"/>
    <mergeCell ref="J32:K32"/>
    <mergeCell ref="M32:Q32"/>
    <mergeCell ref="F58:K58"/>
    <mergeCell ref="M58:Q58"/>
    <mergeCell ref="F59:K59"/>
    <mergeCell ref="A61:C62"/>
    <mergeCell ref="F61:G61"/>
    <mergeCell ref="H61:H62"/>
  </mergeCells>
  <phoneticPr fontId="76" type="noConversion"/>
  <printOptions horizontalCentered="1"/>
  <pageMargins left="0.5" right="0" top="0.6" bottom="0.6" header="0" footer="0.3"/>
  <pageSetup paperSize="9" scale="36" orientation="portrait" r:id="rId1"/>
  <headerFooter>
    <oddFooter>&amp;R&amp;8hal. &amp;P / dari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A226"/>
  <sheetViews>
    <sheetView view="pageBreakPreview" zoomScale="85" zoomScaleSheetLayoutView="85" workbookViewId="0">
      <pane xSplit="5" ySplit="14" topLeftCell="F15" activePane="bottomRight" state="frozen"/>
      <selection activeCell="A943" sqref="A943:XFD943"/>
      <selection pane="topRight" activeCell="A943" sqref="A943:XFD943"/>
      <selection pane="bottomLeft" activeCell="A943" sqref="A943:XFD943"/>
      <selection pane="bottomRight" activeCell="I38" sqref="I38"/>
    </sheetView>
  </sheetViews>
  <sheetFormatPr defaultColWidth="9.140625" defaultRowHeight="11.25"/>
  <cols>
    <col min="1" max="1" width="5.7109375" style="732" customWidth="1"/>
    <col min="2" max="2" width="15.140625" style="732" customWidth="1"/>
    <col min="3" max="3" width="8.42578125" style="732" customWidth="1"/>
    <col min="4" max="4" width="18.7109375" style="732" bestFit="1" customWidth="1"/>
    <col min="5" max="5" width="3.140625" style="732" customWidth="1"/>
    <col min="6" max="6" width="8.140625" style="732" customWidth="1"/>
    <col min="7" max="7" width="9.42578125" style="732" customWidth="1"/>
    <col min="8" max="8" width="14.28515625" style="732" bestFit="1" customWidth="1"/>
    <col min="9" max="9" width="8.5703125" style="732" bestFit="1" customWidth="1"/>
    <col min="10" max="10" width="8.42578125" style="732" customWidth="1"/>
    <col min="11" max="11" width="9" style="732" bestFit="1" customWidth="1"/>
    <col min="12" max="12" width="9" style="732" customWidth="1"/>
    <col min="13" max="13" width="7.85546875" style="732" customWidth="1"/>
    <col min="14" max="15" width="8.5703125" style="732" customWidth="1"/>
    <col min="16" max="16" width="9.85546875" style="732" bestFit="1" customWidth="1"/>
    <col min="17" max="17" width="8.5703125" style="732" customWidth="1"/>
    <col min="18" max="18" width="10.7109375" style="732" customWidth="1"/>
    <col min="19" max="21" width="11.42578125" style="732" customWidth="1"/>
    <col min="22" max="29" width="9.42578125" style="732" customWidth="1"/>
    <col min="30" max="30" width="10" style="732" customWidth="1"/>
    <col min="31" max="31" width="12.28515625" style="732" customWidth="1"/>
    <col min="32" max="39" width="8.5703125" style="732" customWidth="1"/>
    <col min="40" max="42" width="11.42578125" style="732" customWidth="1"/>
    <col min="43" max="43" width="8.42578125" style="732" customWidth="1"/>
    <col min="44" max="45" width="8.5703125" style="732" customWidth="1"/>
    <col min="46" max="46" width="9.28515625" style="732" customWidth="1"/>
    <col min="47" max="47" width="8.5703125" style="732" customWidth="1"/>
    <col min="48" max="48" width="8" style="732" customWidth="1"/>
    <col min="49" max="49" width="9.85546875" style="732" bestFit="1" customWidth="1"/>
    <col min="50" max="51" width="9.140625" style="732"/>
    <col min="52" max="52" width="10.5703125" style="732" bestFit="1" customWidth="1"/>
    <col min="53" max="16384" width="9.140625" style="732"/>
  </cols>
  <sheetData>
    <row r="1" spans="1:53" ht="22.5">
      <c r="A1" s="892" t="s">
        <v>353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  <c r="M1" s="890"/>
      <c r="N1" s="890"/>
      <c r="O1" s="890"/>
      <c r="P1" s="890"/>
      <c r="Q1" s="890"/>
      <c r="R1" s="890"/>
      <c r="S1" s="890"/>
      <c r="T1" s="890"/>
      <c r="U1" s="890"/>
      <c r="V1" s="747" t="s">
        <v>16</v>
      </c>
      <c r="W1" s="747" t="s">
        <v>352</v>
      </c>
      <c r="X1" s="747" t="s">
        <v>179</v>
      </c>
      <c r="Y1" s="891" t="s">
        <v>351</v>
      </c>
      <c r="Z1" s="890"/>
      <c r="AA1" s="890"/>
      <c r="AB1" s="890"/>
      <c r="AC1" s="890"/>
      <c r="AD1" s="890"/>
      <c r="AE1" s="890"/>
      <c r="AF1" s="890"/>
      <c r="AG1" s="890"/>
      <c r="AH1" s="890"/>
      <c r="AI1" s="890"/>
      <c r="AJ1" s="890"/>
      <c r="AK1" s="890"/>
      <c r="AL1" s="890"/>
      <c r="AM1" s="890"/>
      <c r="AN1" s="890"/>
      <c r="AO1" s="890"/>
      <c r="AP1" s="890"/>
      <c r="AQ1" s="890"/>
      <c r="AR1" s="890"/>
      <c r="AS1" s="890"/>
      <c r="AT1" s="890"/>
      <c r="AU1" s="890"/>
      <c r="AV1" s="890"/>
      <c r="AZ1" s="890"/>
    </row>
    <row r="2" spans="1:53" ht="12.75" customHeight="1">
      <c r="A2" s="747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34">
        <v>10</v>
      </c>
      <c r="W2" s="734">
        <v>640</v>
      </c>
      <c r="X2" s="734">
        <v>490</v>
      </c>
      <c r="Y2" s="747"/>
      <c r="Z2" s="747"/>
      <c r="AA2" s="747"/>
      <c r="AB2" s="747"/>
      <c r="AC2" s="747"/>
      <c r="AD2" s="747"/>
      <c r="AE2" s="747"/>
      <c r="AF2" s="747"/>
      <c r="AG2" s="747"/>
      <c r="AH2" s="747"/>
      <c r="AI2" s="747"/>
      <c r="AJ2" s="747"/>
      <c r="AK2" s="747"/>
      <c r="AL2" s="747"/>
      <c r="AM2" s="747"/>
      <c r="AN2" s="747"/>
      <c r="AO2" s="747"/>
      <c r="AP2" s="747"/>
      <c r="AQ2" s="747"/>
      <c r="AR2" s="747"/>
      <c r="AS2" s="747"/>
      <c r="AT2" s="747"/>
      <c r="AU2" s="747"/>
      <c r="AV2" s="747"/>
      <c r="AZ2" s="747"/>
    </row>
    <row r="3" spans="1:53">
      <c r="A3" s="732" t="str">
        <f>'Data-Kolom'!A3</f>
        <v>Project</v>
      </c>
      <c r="E3" s="734" t="str">
        <f>'Data-Kolom'!E3</f>
        <v>:</v>
      </c>
      <c r="F3" s="2376" t="s">
        <v>2117</v>
      </c>
      <c r="G3" s="2376"/>
      <c r="H3" s="2376"/>
      <c r="I3" s="2376"/>
      <c r="J3" s="2376"/>
      <c r="K3" s="2376"/>
      <c r="L3" s="2376"/>
      <c r="M3" s="2376"/>
      <c r="N3" s="747"/>
      <c r="O3" s="747"/>
      <c r="P3" s="747"/>
      <c r="Q3" s="747"/>
      <c r="S3" s="747"/>
      <c r="T3" s="747"/>
      <c r="U3" s="747"/>
      <c r="V3" s="734">
        <v>13</v>
      </c>
      <c r="W3" s="734">
        <v>820</v>
      </c>
      <c r="X3" s="734">
        <v>630</v>
      </c>
      <c r="Y3" s="747"/>
      <c r="Z3" s="747"/>
      <c r="AA3" s="747"/>
      <c r="AB3" s="747"/>
      <c r="AC3" s="747"/>
    </row>
    <row r="4" spans="1:53" ht="12.75" customHeight="1">
      <c r="A4" s="732" t="str">
        <f>'Data-Kolom'!A4</f>
        <v>Tower</v>
      </c>
      <c r="E4" s="734" t="str">
        <f>'Data-Kolom'!E4</f>
        <v>:</v>
      </c>
      <c r="F4" s="2376">
        <f>'Data-Kolom'!F4</f>
        <v>0</v>
      </c>
      <c r="G4" s="2376"/>
      <c r="H4" s="2376"/>
      <c r="I4" s="2376"/>
      <c r="J4" s="2376"/>
      <c r="K4" s="2376"/>
      <c r="L4" s="2376"/>
      <c r="M4" s="2376"/>
      <c r="N4" s="747"/>
      <c r="O4" s="747"/>
      <c r="P4" s="747"/>
      <c r="Q4" s="747"/>
      <c r="R4" s="706"/>
      <c r="S4" s="747"/>
      <c r="T4" s="747"/>
      <c r="U4" s="747"/>
      <c r="V4" s="734">
        <v>16</v>
      </c>
      <c r="W4" s="734">
        <v>1010</v>
      </c>
      <c r="X4" s="734">
        <v>770</v>
      </c>
      <c r="Y4" s="747"/>
      <c r="Z4" s="747"/>
      <c r="AA4" s="747"/>
      <c r="AB4" s="747"/>
      <c r="AC4" s="747"/>
      <c r="AD4" s="706"/>
      <c r="AE4" s="706"/>
      <c r="AF4" s="706"/>
      <c r="AG4" s="706"/>
      <c r="AH4" s="706"/>
      <c r="AI4" s="706"/>
      <c r="AJ4" s="706"/>
      <c r="AK4" s="706"/>
      <c r="AL4" s="706"/>
      <c r="AM4" s="706"/>
      <c r="AN4" s="706"/>
      <c r="AO4" s="706"/>
      <c r="AP4" s="706"/>
      <c r="AQ4" s="706"/>
      <c r="AS4" s="706"/>
      <c r="AT4" s="706"/>
    </row>
    <row r="5" spans="1:53" ht="12.75" customHeight="1">
      <c r="A5" s="732" t="str">
        <f>'Data-Kolom'!A5</f>
        <v xml:space="preserve">Panjang kait sengkang                         </v>
      </c>
      <c r="E5" s="707" t="str">
        <f>'Data-Kolom'!E5</f>
        <v>:</v>
      </c>
      <c r="F5" s="747">
        <f>'Data-Kolom'!F5</f>
        <v>6</v>
      </c>
      <c r="G5" s="742" t="s">
        <v>16</v>
      </c>
      <c r="H5" s="706"/>
      <c r="J5" s="732" t="str">
        <f>'Data-Kolom'!K5</f>
        <v>Tebal selimut beton</v>
      </c>
      <c r="M5" s="734" t="str">
        <f>'Data-Kolom'!M5</f>
        <v>:</v>
      </c>
      <c r="N5" s="747">
        <v>20</v>
      </c>
      <c r="O5" s="737" t="str">
        <f>'Data-Kolom'!O5</f>
        <v>mm</v>
      </c>
      <c r="Q5" s="744" t="str">
        <f>'Data-Kolom'!P5</f>
        <v>Waste</v>
      </c>
      <c r="R5" s="732" t="str">
        <f>'Data-Kolom'!Q5</f>
        <v xml:space="preserve">Beton </v>
      </c>
      <c r="S5" s="734" t="str">
        <f>'Data-Kolom'!R5</f>
        <v>:</v>
      </c>
      <c r="T5" s="736">
        <f>'Data-Kolom'!S5</f>
        <v>0</v>
      </c>
      <c r="U5" s="734"/>
      <c r="V5" s="734">
        <v>19</v>
      </c>
      <c r="W5" s="734">
        <v>1190</v>
      </c>
      <c r="X5" s="734">
        <v>910</v>
      </c>
      <c r="Y5" s="734"/>
      <c r="Z5" s="734"/>
      <c r="AA5" s="734"/>
      <c r="AB5" s="734"/>
      <c r="AC5" s="734"/>
      <c r="AE5" s="736"/>
    </row>
    <row r="6" spans="1:53" ht="12.75" customHeight="1">
      <c r="A6" s="732" t="str">
        <f>'Data-Kolom'!A6</f>
        <v>Panjang sambungan lewatan</v>
      </c>
      <c r="E6" s="707" t="str">
        <f>'Data-Kolom'!E6</f>
        <v>:</v>
      </c>
      <c r="F6" s="738" t="str">
        <f>'Data-Kolom'!F6</f>
        <v>IKUTI STANDAR DETAIL</v>
      </c>
      <c r="G6" s="742"/>
      <c r="H6" s="706"/>
      <c r="J6" s="732" t="s">
        <v>180</v>
      </c>
      <c r="M6" s="734" t="s">
        <v>110</v>
      </c>
      <c r="N6" s="747">
        <v>12</v>
      </c>
      <c r="O6" s="732" t="s">
        <v>16</v>
      </c>
      <c r="R6" s="732" t="str">
        <f>'Data-Kolom'!Q6</f>
        <v>Besi</v>
      </c>
      <c r="S6" s="734" t="str">
        <f>'Data-Kolom'!R6</f>
        <v>:</v>
      </c>
      <c r="T6" s="1828">
        <v>0</v>
      </c>
      <c r="U6" s="734"/>
      <c r="V6" s="734">
        <v>22</v>
      </c>
      <c r="W6" s="734">
        <v>1700</v>
      </c>
      <c r="X6" s="734">
        <v>1300</v>
      </c>
      <c r="Y6" s="734"/>
      <c r="Z6" s="734"/>
      <c r="AA6" s="734"/>
      <c r="AB6" s="734"/>
      <c r="AC6" s="734"/>
      <c r="AE6" s="736"/>
    </row>
    <row r="7" spans="1:53" ht="12.75" customHeight="1">
      <c r="A7" s="732" t="str">
        <f>'Data-Kolom'!A7</f>
        <v>Panjang penjangkaran</v>
      </c>
      <c r="E7" s="734" t="str">
        <f>'Data-Kolom'!E7</f>
        <v>:</v>
      </c>
      <c r="F7" s="738" t="str">
        <f>'Data-Kolom'!F7</f>
        <v>IKUTI STANDAR DETAIL</v>
      </c>
      <c r="G7" s="737"/>
      <c r="J7" s="732" t="str">
        <f>'Data-Kolom'!K6</f>
        <v>Last Update</v>
      </c>
      <c r="M7" s="734" t="str">
        <f>'Data-Kolom'!M6</f>
        <v>:</v>
      </c>
      <c r="N7" s="741"/>
      <c r="R7" s="732" t="str">
        <f>'Data-Kolom'!Q7</f>
        <v>Bekisting</v>
      </c>
      <c r="S7" s="734" t="str">
        <f>'Data-Kolom'!R7</f>
        <v>:</v>
      </c>
      <c r="T7" s="736">
        <f>'Data-Kolom'!S7</f>
        <v>0</v>
      </c>
      <c r="U7" s="734"/>
      <c r="V7" s="734">
        <v>25</v>
      </c>
      <c r="W7" s="734">
        <v>1920</v>
      </c>
      <c r="X7" s="734">
        <v>1480</v>
      </c>
      <c r="Y7" s="734"/>
      <c r="Z7" s="734"/>
      <c r="AA7" s="734"/>
      <c r="AB7" s="734"/>
      <c r="AC7" s="734"/>
      <c r="AE7" s="736"/>
      <c r="AK7" s="734"/>
    </row>
    <row r="8" spans="1:53" ht="12.75" customHeight="1">
      <c r="A8" s="732" t="str">
        <f>'Data-Kolom'!A8</f>
        <v>Mutu Beton</v>
      </c>
      <c r="E8" s="734" t="str">
        <f>'Data-Kolom'!E8</f>
        <v>:</v>
      </c>
      <c r="F8" s="738" t="str">
        <f>'Data-Kolom'!F8</f>
        <v>VARIABLE</v>
      </c>
      <c r="G8" s="737"/>
      <c r="K8" s="734"/>
      <c r="L8" s="734"/>
      <c r="M8" s="736"/>
      <c r="N8" s="735"/>
      <c r="V8" s="734">
        <v>29</v>
      </c>
      <c r="W8" s="734">
        <v>2230</v>
      </c>
      <c r="X8" s="734">
        <v>1710</v>
      </c>
      <c r="AK8" s="734"/>
    </row>
    <row r="9" spans="1:53" ht="12.75" customHeight="1">
      <c r="E9" s="734"/>
      <c r="F9" s="738"/>
      <c r="G9" s="737"/>
      <c r="K9" s="734"/>
      <c r="L9" s="734"/>
      <c r="M9" s="736"/>
      <c r="N9" s="735"/>
      <c r="V9" s="734">
        <v>32</v>
      </c>
      <c r="W9" s="734">
        <v>2460</v>
      </c>
      <c r="X9" s="734">
        <v>1890</v>
      </c>
      <c r="AK9" s="734"/>
    </row>
    <row r="11" spans="1:53" s="886" customFormat="1" ht="12.75">
      <c r="A11" s="2377" t="s">
        <v>350</v>
      </c>
      <c r="B11" s="2377" t="s">
        <v>296</v>
      </c>
      <c r="C11" s="2377" t="s">
        <v>295</v>
      </c>
      <c r="D11" s="2377" t="s">
        <v>317</v>
      </c>
      <c r="E11" s="2377"/>
      <c r="F11" s="2379" t="s">
        <v>349</v>
      </c>
      <c r="G11" s="2379" t="s">
        <v>348</v>
      </c>
      <c r="H11" s="2377" t="s">
        <v>285</v>
      </c>
      <c r="I11" s="2377" t="s">
        <v>284</v>
      </c>
      <c r="J11" s="2377" t="s">
        <v>283</v>
      </c>
      <c r="K11" s="2377" t="s">
        <v>48</v>
      </c>
      <c r="L11" s="2377" t="s">
        <v>347</v>
      </c>
      <c r="M11" s="2381"/>
      <c r="N11" s="2382" t="s">
        <v>327</v>
      </c>
      <c r="O11" s="2377"/>
      <c r="P11" s="2377"/>
      <c r="Q11" s="2377"/>
      <c r="R11" s="2377"/>
      <c r="S11" s="2377"/>
      <c r="T11" s="2377"/>
      <c r="U11" s="2383"/>
      <c r="V11" s="2384" t="s">
        <v>292</v>
      </c>
      <c r="W11" s="2377"/>
      <c r="X11" s="2377"/>
      <c r="Y11" s="2377"/>
      <c r="Z11" s="2377"/>
      <c r="AA11" s="2377"/>
      <c r="AB11" s="2377"/>
      <c r="AC11" s="2381"/>
      <c r="AD11" s="2403" t="s">
        <v>329</v>
      </c>
      <c r="AE11" s="2399"/>
      <c r="AF11" s="2399"/>
      <c r="AG11" s="2394"/>
      <c r="AH11" s="2393" t="s">
        <v>346</v>
      </c>
      <c r="AI11" s="2394"/>
      <c r="AJ11" s="2393" t="s">
        <v>345</v>
      </c>
      <c r="AK11" s="2397"/>
      <c r="AL11" s="2394" t="s">
        <v>344</v>
      </c>
      <c r="AM11" s="2385" t="s">
        <v>343</v>
      </c>
      <c r="AN11" s="2393" t="s">
        <v>342</v>
      </c>
      <c r="AO11" s="2401" t="s">
        <v>30</v>
      </c>
      <c r="AP11" s="2393" t="s">
        <v>341</v>
      </c>
      <c r="AQ11" s="2399"/>
      <c r="AR11" s="2399"/>
      <c r="AS11" s="2394"/>
      <c r="AT11" s="2385" t="s">
        <v>96</v>
      </c>
      <c r="AU11" s="2387" t="s">
        <v>265</v>
      </c>
      <c r="AV11" s="2388"/>
    </row>
    <row r="12" spans="1:53" s="886" customFormat="1" ht="38.25">
      <c r="A12" s="2377"/>
      <c r="B12" s="2377"/>
      <c r="C12" s="2377"/>
      <c r="D12" s="2377"/>
      <c r="E12" s="2377"/>
      <c r="F12" s="2379"/>
      <c r="G12" s="2379"/>
      <c r="H12" s="2377"/>
      <c r="I12" s="2377"/>
      <c r="J12" s="2377"/>
      <c r="K12" s="2377"/>
      <c r="L12" s="2377"/>
      <c r="M12" s="2381"/>
      <c r="N12" s="2389" t="s">
        <v>277</v>
      </c>
      <c r="O12" s="2379" t="s">
        <v>276</v>
      </c>
      <c r="P12" s="888" t="s">
        <v>190</v>
      </c>
      <c r="Q12" s="888" t="s">
        <v>339</v>
      </c>
      <c r="R12" s="888" t="s">
        <v>338</v>
      </c>
      <c r="S12" s="888" t="s">
        <v>337</v>
      </c>
      <c r="T12" s="888" t="s">
        <v>336</v>
      </c>
      <c r="U12" s="889" t="s">
        <v>340</v>
      </c>
      <c r="V12" s="2391" t="s">
        <v>277</v>
      </c>
      <c r="W12" s="2379" t="s">
        <v>276</v>
      </c>
      <c r="X12" s="888" t="s">
        <v>190</v>
      </c>
      <c r="Y12" s="888" t="s">
        <v>339</v>
      </c>
      <c r="Z12" s="888" t="s">
        <v>338</v>
      </c>
      <c r="AA12" s="888" t="s">
        <v>337</v>
      </c>
      <c r="AB12" s="888" t="s">
        <v>336</v>
      </c>
      <c r="AC12" s="887" t="s">
        <v>335</v>
      </c>
      <c r="AD12" s="2404"/>
      <c r="AE12" s="2400"/>
      <c r="AF12" s="2400"/>
      <c r="AG12" s="2396"/>
      <c r="AH12" s="2395"/>
      <c r="AI12" s="2396"/>
      <c r="AJ12" s="2395"/>
      <c r="AK12" s="2398"/>
      <c r="AL12" s="2396"/>
      <c r="AM12" s="2386"/>
      <c r="AN12" s="2395"/>
      <c r="AO12" s="2402"/>
      <c r="AP12" s="2395"/>
      <c r="AQ12" s="2400"/>
      <c r="AR12" s="2400"/>
      <c r="AS12" s="2396"/>
      <c r="AT12" s="2386"/>
      <c r="AU12" s="875"/>
      <c r="AV12" s="875"/>
    </row>
    <row r="13" spans="1:53" s="874" customFormat="1" ht="26.25" thickBot="1">
      <c r="A13" s="2378"/>
      <c r="B13" s="2378"/>
      <c r="C13" s="2378"/>
      <c r="D13" s="2378"/>
      <c r="E13" s="2378"/>
      <c r="F13" s="2380"/>
      <c r="G13" s="2380"/>
      <c r="H13" s="878" t="s">
        <v>4</v>
      </c>
      <c r="I13" s="878" t="s">
        <v>4</v>
      </c>
      <c r="J13" s="878" t="s">
        <v>4</v>
      </c>
      <c r="K13" s="878" t="s">
        <v>52</v>
      </c>
      <c r="L13" s="878" t="s">
        <v>334</v>
      </c>
      <c r="M13" s="881" t="s">
        <v>273</v>
      </c>
      <c r="N13" s="2390"/>
      <c r="O13" s="2380"/>
      <c r="P13" s="878" t="s">
        <v>4</v>
      </c>
      <c r="Q13" s="878" t="s">
        <v>4</v>
      </c>
      <c r="R13" s="878" t="s">
        <v>4</v>
      </c>
      <c r="S13" s="878" t="s">
        <v>4</v>
      </c>
      <c r="T13" s="878" t="s">
        <v>4</v>
      </c>
      <c r="U13" s="883" t="s">
        <v>52</v>
      </c>
      <c r="V13" s="2392"/>
      <c r="W13" s="2380"/>
      <c r="X13" s="878" t="s">
        <v>4</v>
      </c>
      <c r="Y13" s="878" t="s">
        <v>4</v>
      </c>
      <c r="Z13" s="878" t="s">
        <v>4</v>
      </c>
      <c r="AA13" s="878" t="s">
        <v>4</v>
      </c>
      <c r="AB13" s="878" t="s">
        <v>4</v>
      </c>
      <c r="AC13" s="881" t="s">
        <v>52</v>
      </c>
      <c r="AD13" s="885" t="s">
        <v>276</v>
      </c>
      <c r="AE13" s="878" t="s">
        <v>333</v>
      </c>
      <c r="AF13" s="878" t="s">
        <v>332</v>
      </c>
      <c r="AG13" s="878" t="s">
        <v>331</v>
      </c>
      <c r="AH13" s="884" t="s">
        <v>277</v>
      </c>
      <c r="AI13" s="878" t="s">
        <v>276</v>
      </c>
      <c r="AJ13" s="884" t="s">
        <v>277</v>
      </c>
      <c r="AK13" s="883" t="s">
        <v>276</v>
      </c>
      <c r="AL13" s="882" t="s">
        <v>4</v>
      </c>
      <c r="AM13" s="878" t="s">
        <v>4</v>
      </c>
      <c r="AN13" s="881" t="s">
        <v>330</v>
      </c>
      <c r="AO13" s="880" t="s">
        <v>51</v>
      </c>
      <c r="AP13" s="879" t="s">
        <v>327</v>
      </c>
      <c r="AQ13" s="879" t="s">
        <v>292</v>
      </c>
      <c r="AR13" s="879" t="s">
        <v>329</v>
      </c>
      <c r="AS13" s="879" t="s">
        <v>328</v>
      </c>
      <c r="AT13" s="878" t="s">
        <v>49</v>
      </c>
      <c r="AU13" s="877" t="s">
        <v>99</v>
      </c>
      <c r="AV13" s="877" t="s">
        <v>96</v>
      </c>
      <c r="AX13" s="876" t="s">
        <v>327</v>
      </c>
      <c r="AZ13" s="875" t="s">
        <v>326</v>
      </c>
    </row>
    <row r="14" spans="1:53" s="854" customFormat="1" ht="14.25" customHeight="1" thickTop="1">
      <c r="A14" s="873"/>
      <c r="B14" s="873"/>
      <c r="C14" s="873"/>
      <c r="D14" s="873"/>
      <c r="E14" s="872"/>
      <c r="F14" s="872"/>
      <c r="G14" s="867"/>
      <c r="H14" s="871"/>
      <c r="I14" s="863"/>
      <c r="J14" s="867"/>
      <c r="K14" s="867"/>
      <c r="L14" s="867"/>
      <c r="M14" s="867"/>
      <c r="N14" s="866"/>
      <c r="O14" s="871"/>
      <c r="P14" s="856"/>
      <c r="Q14" s="867"/>
      <c r="R14" s="867"/>
      <c r="S14" s="867"/>
      <c r="T14" s="867"/>
      <c r="U14" s="870"/>
      <c r="V14" s="869"/>
      <c r="W14" s="868"/>
      <c r="X14" s="867"/>
      <c r="Y14" s="867"/>
      <c r="Z14" s="867"/>
      <c r="AA14" s="867"/>
      <c r="AB14" s="867"/>
      <c r="AC14" s="867"/>
      <c r="AD14" s="866"/>
      <c r="AE14" s="865"/>
      <c r="AF14" s="863"/>
      <c r="AG14" s="864"/>
      <c r="AH14" s="863"/>
      <c r="AI14" s="863"/>
      <c r="AJ14" s="863"/>
      <c r="AK14" s="862"/>
      <c r="AL14" s="861"/>
      <c r="AM14" s="860"/>
      <c r="AN14" s="860"/>
      <c r="AO14" s="859"/>
      <c r="AP14" s="855"/>
      <c r="AQ14" s="858"/>
      <c r="AR14" s="857"/>
      <c r="AS14" s="857"/>
      <c r="AT14" s="856"/>
      <c r="AX14" s="855"/>
    </row>
    <row r="15" spans="1:53" s="2053" customFormat="1" ht="13.9" customHeight="1">
      <c r="A15" s="2033">
        <f>'Data-Kolom'!A16</f>
        <v>1</v>
      </c>
      <c r="B15" s="2033" t="str">
        <f>'Data-Kolom'!B16</f>
        <v>Lantai 1</v>
      </c>
      <c r="C15" s="2033">
        <f>'Data-Kolom'!C16</f>
        <v>0</v>
      </c>
      <c r="D15" s="2034" t="str">
        <f>'Data-Kolom'!D16</f>
        <v>KL66</v>
      </c>
      <c r="E15" s="2035" t="s">
        <v>16</v>
      </c>
      <c r="F15" s="2036">
        <f>'Data-Kolom'!U16</f>
        <v>0</v>
      </c>
      <c r="G15" s="2037">
        <f>'Data-Kolom'!T16</f>
        <v>0</v>
      </c>
      <c r="H15" s="2035">
        <f>'Data-Kolom'!E16</f>
        <v>170</v>
      </c>
      <c r="I15" s="2035">
        <f>'Data-Kolom'!F16</f>
        <v>600</v>
      </c>
      <c r="J15" s="2035">
        <f>'Data-Kolom'!G16</f>
        <v>4600</v>
      </c>
      <c r="K15" s="2038">
        <v>2</v>
      </c>
      <c r="L15" s="2038"/>
      <c r="M15" s="2038">
        <f>IF(L15&gt;0,VLOOKUP(L15,'Data-PC'!$B$14:$F$56,4,FALSE),0)</f>
        <v>0</v>
      </c>
      <c r="N15" s="2039">
        <f>'Data-Kolom'!H16</f>
        <v>8</v>
      </c>
      <c r="O15" s="2035">
        <f>'Data-Kolom'!I16</f>
        <v>16</v>
      </c>
      <c r="P15" s="2040">
        <f t="shared" ref="P15" si="0">IF(N15&gt;0,VLOOKUP(O15,$V$2:$X$9,2,FALSE),0)</f>
        <v>1010</v>
      </c>
      <c r="Q15" s="2038">
        <f t="shared" ref="Q15" si="1">IF(L15&gt;0,M15-50+$N$6*O15,VLOOKUP(O15,$V$2:$X$9,3,FALSE))</f>
        <v>770</v>
      </c>
      <c r="R15" s="2038">
        <f t="shared" ref="R15" si="2">IF(E15="F",J15-$N$5+$N$6*O15+Q15,IF(E15="D",J15+Q15+P15,IF(E15="T",J15+P15,IF(E15="A",J15-$N$5+$N$6*O15,0))))</f>
        <v>6380</v>
      </c>
      <c r="S15" s="2038"/>
      <c r="T15" s="2041">
        <f t="shared" ref="T15" si="3">SUM(R15:S15)</f>
        <v>6380</v>
      </c>
      <c r="U15" s="2042">
        <f t="shared" ref="U15" si="4">K15*N15</f>
        <v>16</v>
      </c>
      <c r="V15" s="2043">
        <f>'Data-Kolom'!J16</f>
        <v>0</v>
      </c>
      <c r="W15" s="2035">
        <f>'Data-Kolom'!K16</f>
        <v>0</v>
      </c>
      <c r="X15" s="2038">
        <f t="shared" ref="X15" si="5">IF(V15&gt;0,VLOOKUP(W15,$V$2:$X$9,2,FALSE),0)</f>
        <v>0</v>
      </c>
      <c r="Y15" s="2038">
        <f t="shared" ref="Y15" si="6">IF(V15&gt;0,IF(L15&gt;0,M15-50+$N$6*W15,VLOOKUP(W15,$V$2:$X$9,3,FALSE)),0)</f>
        <v>0</v>
      </c>
      <c r="Z15" s="2038">
        <f t="shared" ref="Z15" si="7">IF(E15="F",J15-$N$5+$N$6*W15+Y15,IF(E15="D",J15+Y15+X15,IF(E15="T",J15+X15,IF(E15="A",J15-$N$5+$N$6*W15,0))))</f>
        <v>4600</v>
      </c>
      <c r="AA15" s="2038"/>
      <c r="AB15" s="2038">
        <f t="shared" ref="AB15" si="8">SUM(Z15:AA15)</f>
        <v>4600</v>
      </c>
      <c r="AC15" s="2038">
        <f t="shared" ref="AC15" si="9">V15*K15</f>
        <v>0</v>
      </c>
      <c r="AD15" s="2039">
        <f>'Data-Kolom'!L16</f>
        <v>10</v>
      </c>
      <c r="AE15" s="2044">
        <f>'Data-Kolom'!M16</f>
        <v>100</v>
      </c>
      <c r="AF15" s="2044">
        <f>'Data-Kolom'!N16</f>
        <v>100</v>
      </c>
      <c r="AG15" s="2044">
        <f>'Data-Kolom'!O16</f>
        <v>100</v>
      </c>
      <c r="AH15" s="2044">
        <f>'Data-Kolom'!P16</f>
        <v>2</v>
      </c>
      <c r="AI15" s="2044">
        <f>'Data-Kolom'!Q16</f>
        <v>10</v>
      </c>
      <c r="AJ15" s="2044">
        <f>'Data-Kolom'!R16</f>
        <v>0</v>
      </c>
      <c r="AK15" s="2045">
        <f>'Data-Kolom'!S16</f>
        <v>0</v>
      </c>
      <c r="AL15" s="2046">
        <f t="shared" ref="AL15" si="10">2*(H15+I15-4*$N$5)+2*MAX($F$5*AD15,75)</f>
        <v>1530</v>
      </c>
      <c r="AM15" s="2047">
        <f t="shared" ref="AM15" si="11">+AH15*(H15-2*$N$5+2*MAX($F$5*AI15,75))+AJ15*(I15-2*$N$5+2*MAX($F$5*AK15,75))</f>
        <v>560</v>
      </c>
      <c r="AN15" s="2047">
        <f t="shared" ref="AN15" si="12">(ROUND((1/2*J15+IF(M15&gt;0,(Q15-$N$6*AD15),0))/AE15,0)+(ROUND(1/2*J15/AF15,0)+1))*K15</f>
        <v>94</v>
      </c>
      <c r="AO15" s="2048">
        <f>H15*I15*J15/1000000000*K15*(1+$T$5)</f>
        <v>0.93840000000000001</v>
      </c>
      <c r="AP15" s="2049">
        <f t="shared" ref="AP15" si="13">0.006165*O15^2*T15*U15/1000*(1+$T$6)</f>
        <v>161.10673920000002</v>
      </c>
      <c r="AQ15" s="2050">
        <f t="shared" ref="AQ15" si="14">0.006165*W15^2*AB15*AC15/1000*(1+$T$6)</f>
        <v>0</v>
      </c>
      <c r="AR15" s="2050">
        <f t="shared" ref="AR15" si="15">AN15*0.006165*AD15^2*AL15/1000*(1+$T$6)</f>
        <v>88.665030000000016</v>
      </c>
      <c r="AS15" s="2050">
        <f t="shared" ref="AS15" si="16">AN15*0.006165*AI15^2*AM15/1000*(1+$T$6)</f>
        <v>32.452560000000005</v>
      </c>
      <c r="AT15" s="2051">
        <f t="shared" ref="AT15" si="17">K15*2*J15*(H15+I15)/1000000*(1+$T$7)</f>
        <v>14.167999999999999</v>
      </c>
      <c r="AU15" s="2052">
        <f t="shared" ref="AU15" si="18">SUM(AP15:AS15)/AO15</f>
        <v>300.750563938619</v>
      </c>
      <c r="AV15" s="2052">
        <f t="shared" ref="AV15" si="19">AT15/AO15</f>
        <v>15.098039215686274</v>
      </c>
      <c r="AX15" s="2049">
        <f t="shared" ref="AX15" si="20">0.006165*O15^2*R15*U15/1000*(1+$T$6)</f>
        <v>161.10673920000002</v>
      </c>
      <c r="AY15" s="2054"/>
      <c r="AZ15" s="2055">
        <f t="shared" ref="AZ15" si="21">0.006165*O15^2*S15*U15/1000*(1+$T$6)</f>
        <v>0</v>
      </c>
      <c r="BA15" s="2056">
        <f t="shared" ref="BA15" si="22">AZ15/AP15</f>
        <v>0</v>
      </c>
    </row>
    <row r="16" spans="1:53" s="2053" customFormat="1" ht="13.9" customHeight="1">
      <c r="A16" s="2033">
        <f>'Data-Kolom'!A17</f>
        <v>2</v>
      </c>
      <c r="B16" s="2033" t="str">
        <f>'Data-Kolom'!B17</f>
        <v>Lantai 1</v>
      </c>
      <c r="C16" s="2033">
        <f>'Data-Kolom'!C17</f>
        <v>0</v>
      </c>
      <c r="D16" s="2034" t="str">
        <f>'Data-Kolom'!D17</f>
        <v>KL66</v>
      </c>
      <c r="E16" s="2035" t="s">
        <v>16</v>
      </c>
      <c r="F16" s="2036">
        <f>'Data-Kolom'!U17</f>
        <v>0</v>
      </c>
      <c r="G16" s="2037">
        <f>'Data-Kolom'!T17</f>
        <v>0</v>
      </c>
      <c r="H16" s="2035">
        <f>'Data-Kolom'!E17</f>
        <v>170</v>
      </c>
      <c r="I16" s="2035">
        <f>'Data-Kolom'!F17</f>
        <v>600</v>
      </c>
      <c r="J16" s="2035">
        <f>'Data-Kolom'!G17</f>
        <v>4600</v>
      </c>
      <c r="K16" s="2038">
        <v>2</v>
      </c>
      <c r="L16" s="2038"/>
      <c r="M16" s="2038">
        <f>IF(L16&gt;0,VLOOKUP(L16,'Data-PC'!$B$14:$F$56,4,FALSE),0)</f>
        <v>0</v>
      </c>
      <c r="N16" s="2039">
        <f>'Data-Kolom'!H17</f>
        <v>8</v>
      </c>
      <c r="O16" s="2035">
        <f>'Data-Kolom'!I17</f>
        <v>16</v>
      </c>
      <c r="P16" s="2040">
        <f t="shared" ref="P16:P78" si="23">IF(N16&gt;0,VLOOKUP(O16,$V$2:$X$9,2,FALSE),0)</f>
        <v>1010</v>
      </c>
      <c r="Q16" s="2038">
        <f t="shared" ref="Q16:Q78" si="24">IF(L16&gt;0,M16-50+$N$6*O16,VLOOKUP(O16,$V$2:$X$9,3,FALSE))</f>
        <v>770</v>
      </c>
      <c r="R16" s="2038">
        <f t="shared" ref="R16:R78" si="25">IF(E16="F",J16-$N$5+$N$6*O16+Q16,IF(E16="D",J16+Q16+P16,IF(E16="T",J16+P16,IF(E16="A",J16-$N$5+$N$6*O16,0))))</f>
        <v>6380</v>
      </c>
      <c r="S16" s="2038"/>
      <c r="T16" s="2041">
        <f t="shared" ref="T16:T78" si="26">SUM(R16:S16)</f>
        <v>6380</v>
      </c>
      <c r="U16" s="2042">
        <f t="shared" ref="U16:U78" si="27">K16*N16</f>
        <v>16</v>
      </c>
      <c r="V16" s="2043">
        <f>'Data-Kolom'!J17</f>
        <v>0</v>
      </c>
      <c r="W16" s="2035">
        <f>'Data-Kolom'!K17</f>
        <v>0</v>
      </c>
      <c r="X16" s="2038">
        <f t="shared" ref="X16:X78" si="28">IF(V16&gt;0,VLOOKUP(W16,$V$2:$X$9,2,FALSE),0)</f>
        <v>0</v>
      </c>
      <c r="Y16" s="2038">
        <f t="shared" ref="Y16:Y78" si="29">IF(V16&gt;0,IF(L16&gt;0,M16-50+$N$6*W16,VLOOKUP(W16,$V$2:$X$9,3,FALSE)),0)</f>
        <v>0</v>
      </c>
      <c r="Z16" s="2038">
        <f t="shared" ref="Z16:Z78" si="30">IF(E16="F",J16-$N$5+$N$6*W16+Y16,IF(E16="D",J16+Y16+X16,IF(E16="T",J16+X16,IF(E16="A",J16-$N$5+$N$6*W16,0))))</f>
        <v>4600</v>
      </c>
      <c r="AA16" s="2038"/>
      <c r="AB16" s="2038">
        <f t="shared" ref="AB16:AB78" si="31">SUM(Z16:AA16)</f>
        <v>4600</v>
      </c>
      <c r="AC16" s="2038">
        <f t="shared" ref="AC16:AC78" si="32">V16*K16</f>
        <v>0</v>
      </c>
      <c r="AD16" s="2039">
        <f>'Data-Kolom'!L17</f>
        <v>10</v>
      </c>
      <c r="AE16" s="2044">
        <f>'Data-Kolom'!M17</f>
        <v>100</v>
      </c>
      <c r="AF16" s="2044">
        <f>'Data-Kolom'!N17</f>
        <v>100</v>
      </c>
      <c r="AG16" s="2044">
        <f>'Data-Kolom'!O17</f>
        <v>100</v>
      </c>
      <c r="AH16" s="2044">
        <f>'Data-Kolom'!P17</f>
        <v>2</v>
      </c>
      <c r="AI16" s="2044">
        <f>'Data-Kolom'!Q17</f>
        <v>10</v>
      </c>
      <c r="AJ16" s="2044">
        <f>'Data-Kolom'!R17</f>
        <v>0</v>
      </c>
      <c r="AK16" s="2045">
        <f>'Data-Kolom'!S17</f>
        <v>0</v>
      </c>
      <c r="AL16" s="2046">
        <f t="shared" ref="AL16:AL78" si="33">2*(H16+I16-4*$N$5)+2*MAX($F$5*AD16,75)</f>
        <v>1530</v>
      </c>
      <c r="AM16" s="2047">
        <f t="shared" ref="AM16:AM78" si="34">+AH16*(H16-2*$N$5+2*MAX($F$5*AI16,75))+AJ16*(I16-2*$N$5+2*MAX($F$5*AK16,75))</f>
        <v>560</v>
      </c>
      <c r="AN16" s="2047">
        <f t="shared" ref="AN16:AN78" si="35">(ROUND((1/2*J16+IF(M16&gt;0,(Q16-$N$6*AD16),0))/AE16,0)+(ROUND(1/2*J16/AF16,0)+1))*K16</f>
        <v>94</v>
      </c>
      <c r="AO16" s="2048">
        <f t="shared" ref="AO16:AO78" si="36">H16*I16*J16/1000000000*K16*(1+$T$5)</f>
        <v>0.93840000000000001</v>
      </c>
      <c r="AP16" s="2049">
        <f t="shared" ref="AP16:AP78" si="37">0.006165*O16^2*T16*U16/1000*(1+$T$6)</f>
        <v>161.10673920000002</v>
      </c>
      <c r="AQ16" s="2050">
        <f t="shared" ref="AQ16:AQ78" si="38">0.006165*W16^2*AB16*AC16/1000*(1+$T$6)</f>
        <v>0</v>
      </c>
      <c r="AR16" s="2050">
        <f t="shared" ref="AR16:AR78" si="39">AN16*0.006165*AD16^2*AL16/1000*(1+$T$6)</f>
        <v>88.665030000000016</v>
      </c>
      <c r="AS16" s="2050">
        <f t="shared" ref="AS16:AS78" si="40">AN16*0.006165*AI16^2*AM16/1000*(1+$T$6)</f>
        <v>32.452560000000005</v>
      </c>
      <c r="AT16" s="2051">
        <f t="shared" ref="AT16:AT78" si="41">K16*2*J16*(H16+I16)/1000000*(1+$T$7)</f>
        <v>14.167999999999999</v>
      </c>
      <c r="AU16" s="2052">
        <f t="shared" ref="AU16:AU78" si="42">SUM(AP16:AS16)/AO16</f>
        <v>300.750563938619</v>
      </c>
      <c r="AV16" s="2052">
        <f t="shared" ref="AV16:AV78" si="43">AT16/AO16</f>
        <v>15.098039215686274</v>
      </c>
      <c r="AX16" s="2049">
        <f t="shared" ref="AX16:AX78" si="44">0.006165*O16^2*R16*U16/1000*(1+$T$6)</f>
        <v>161.10673920000002</v>
      </c>
      <c r="AY16" s="2054"/>
      <c r="AZ16" s="2055">
        <f t="shared" ref="AZ16:AZ78" si="45">0.006165*O16^2*S16*U16/1000*(1+$T$6)</f>
        <v>0</v>
      </c>
      <c r="BA16" s="2056">
        <f t="shared" ref="BA16:BA78" si="46">AZ16/AP16</f>
        <v>0</v>
      </c>
    </row>
    <row r="17" spans="1:53" s="2053" customFormat="1" ht="13.9" customHeight="1">
      <c r="A17" s="2033">
        <f>'Data-Kolom'!A18</f>
        <v>3</v>
      </c>
      <c r="B17" s="2033" t="str">
        <f>'Data-Kolom'!B18</f>
        <v>Lantai 1</v>
      </c>
      <c r="C17" s="2033">
        <f>'Data-Kolom'!C18</f>
        <v>0</v>
      </c>
      <c r="D17" s="2034" t="str">
        <f>'Data-Kolom'!D18</f>
        <v>KL55</v>
      </c>
      <c r="E17" s="2035" t="s">
        <v>16</v>
      </c>
      <c r="F17" s="2036">
        <f>'Data-Kolom'!U18</f>
        <v>0</v>
      </c>
      <c r="G17" s="2037">
        <f>'Data-Kolom'!T18</f>
        <v>0</v>
      </c>
      <c r="H17" s="2035">
        <f>'Data-Kolom'!E18</f>
        <v>170</v>
      </c>
      <c r="I17" s="2035">
        <f>'Data-Kolom'!F18</f>
        <v>500</v>
      </c>
      <c r="J17" s="2035">
        <f>'Data-Kolom'!G18</f>
        <v>4600</v>
      </c>
      <c r="K17" s="2038">
        <v>2</v>
      </c>
      <c r="L17" s="2038"/>
      <c r="M17" s="2038">
        <f>IF(L17&gt;0,VLOOKUP(L17,'Data-PC'!$B$14:$F$56,4,FALSE),0)</f>
        <v>0</v>
      </c>
      <c r="N17" s="2039">
        <f>'Data-Kolom'!H18</f>
        <v>6</v>
      </c>
      <c r="O17" s="2035">
        <f>'Data-Kolom'!I18</f>
        <v>16</v>
      </c>
      <c r="P17" s="2040">
        <f t="shared" si="23"/>
        <v>1010</v>
      </c>
      <c r="Q17" s="2038">
        <f t="shared" si="24"/>
        <v>770</v>
      </c>
      <c r="R17" s="2038">
        <f t="shared" si="25"/>
        <v>6380</v>
      </c>
      <c r="S17" s="2038"/>
      <c r="T17" s="2041">
        <f t="shared" si="26"/>
        <v>6380</v>
      </c>
      <c r="U17" s="2042">
        <f t="shared" si="27"/>
        <v>12</v>
      </c>
      <c r="V17" s="2043">
        <f>'Data-Kolom'!J18</f>
        <v>0</v>
      </c>
      <c r="W17" s="2035">
        <f>'Data-Kolom'!K18</f>
        <v>0</v>
      </c>
      <c r="X17" s="2038">
        <f t="shared" si="28"/>
        <v>0</v>
      </c>
      <c r="Y17" s="2038">
        <f t="shared" si="29"/>
        <v>0</v>
      </c>
      <c r="Z17" s="2038">
        <f t="shared" si="30"/>
        <v>4600</v>
      </c>
      <c r="AA17" s="2038"/>
      <c r="AB17" s="2038">
        <f t="shared" si="31"/>
        <v>4600</v>
      </c>
      <c r="AC17" s="2038">
        <f t="shared" si="32"/>
        <v>0</v>
      </c>
      <c r="AD17" s="2039">
        <f>'Data-Kolom'!L18</f>
        <v>10</v>
      </c>
      <c r="AE17" s="2044">
        <f>'Data-Kolom'!M18</f>
        <v>100</v>
      </c>
      <c r="AF17" s="2044">
        <f>'Data-Kolom'!N18</f>
        <v>100</v>
      </c>
      <c r="AG17" s="2044">
        <f>'Data-Kolom'!O18</f>
        <v>100</v>
      </c>
      <c r="AH17" s="2044">
        <f>'Data-Kolom'!P18</f>
        <v>0</v>
      </c>
      <c r="AI17" s="2044">
        <f>'Data-Kolom'!Q18</f>
        <v>0</v>
      </c>
      <c r="AJ17" s="2044">
        <f>'Data-Kolom'!R18</f>
        <v>0</v>
      </c>
      <c r="AK17" s="2045">
        <f>'Data-Kolom'!S18</f>
        <v>0</v>
      </c>
      <c r="AL17" s="2046">
        <f t="shared" si="33"/>
        <v>1330</v>
      </c>
      <c r="AM17" s="2047">
        <f t="shared" si="34"/>
        <v>0</v>
      </c>
      <c r="AN17" s="2047">
        <f t="shared" si="35"/>
        <v>94</v>
      </c>
      <c r="AO17" s="2048">
        <f t="shared" si="36"/>
        <v>0.78200000000000003</v>
      </c>
      <c r="AP17" s="2049">
        <f t="shared" si="37"/>
        <v>120.83005440000001</v>
      </c>
      <c r="AQ17" s="2050">
        <f t="shared" si="38"/>
        <v>0</v>
      </c>
      <c r="AR17" s="2050">
        <f t="shared" si="39"/>
        <v>77.07483000000002</v>
      </c>
      <c r="AS17" s="2050">
        <f t="shared" si="40"/>
        <v>0</v>
      </c>
      <c r="AT17" s="2051">
        <f t="shared" si="41"/>
        <v>12.327999999999999</v>
      </c>
      <c r="AU17" s="2052">
        <f t="shared" si="42"/>
        <v>253.07529974424554</v>
      </c>
      <c r="AV17" s="2052">
        <f t="shared" si="43"/>
        <v>15.76470588235294</v>
      </c>
      <c r="AX17" s="2049">
        <f t="shared" si="44"/>
        <v>120.83005440000001</v>
      </c>
      <c r="AY17" s="2054"/>
      <c r="AZ17" s="2055">
        <f t="shared" si="45"/>
        <v>0</v>
      </c>
      <c r="BA17" s="2056">
        <f t="shared" si="46"/>
        <v>0</v>
      </c>
    </row>
    <row r="18" spans="1:53" ht="13.9" customHeight="1">
      <c r="A18" s="842">
        <f>'Data-Kolom'!A19</f>
        <v>4</v>
      </c>
      <c r="B18" s="842" t="str">
        <f>'Data-Kolom'!B19</f>
        <v>Lantai 1</v>
      </c>
      <c r="C18" s="842">
        <f>'Data-Kolom'!C19</f>
        <v>0</v>
      </c>
      <c r="D18" s="841" t="str">
        <f>'Data-Kolom'!D19</f>
        <v>K4</v>
      </c>
      <c r="E18" s="832" t="s">
        <v>16</v>
      </c>
      <c r="F18" s="840">
        <f>'Data-Kolom'!U19</f>
        <v>0</v>
      </c>
      <c r="G18" s="839">
        <f>'Data-Kolom'!T19</f>
        <v>0</v>
      </c>
      <c r="H18" s="832">
        <f>'Data-Kolom'!E19</f>
        <v>170</v>
      </c>
      <c r="I18" s="832">
        <f>'Data-Kolom'!F19</f>
        <v>400</v>
      </c>
      <c r="J18" s="832">
        <f>'Data-Kolom'!G19</f>
        <v>6200</v>
      </c>
      <c r="K18" s="831">
        <v>1</v>
      </c>
      <c r="L18" s="831"/>
      <c r="M18" s="831">
        <f>IF(L18&gt;0,VLOOKUP(L18,'Data-PC'!$B$14:$F$56,4,FALSE),0)</f>
        <v>0</v>
      </c>
      <c r="N18" s="847">
        <f>'Data-Kolom'!H19</f>
        <v>6</v>
      </c>
      <c r="O18" s="832">
        <f>'Data-Kolom'!I19</f>
        <v>16</v>
      </c>
      <c r="P18" s="850">
        <f t="shared" si="23"/>
        <v>1010</v>
      </c>
      <c r="Q18" s="831">
        <f t="shared" si="24"/>
        <v>770</v>
      </c>
      <c r="R18" s="831">
        <f t="shared" si="25"/>
        <v>7980</v>
      </c>
      <c r="S18" s="831"/>
      <c r="T18" s="849">
        <f t="shared" si="26"/>
        <v>7980</v>
      </c>
      <c r="U18" s="848">
        <f t="shared" si="27"/>
        <v>6</v>
      </c>
      <c r="V18" s="833">
        <f>'Data-Kolom'!J19</f>
        <v>0</v>
      </c>
      <c r="W18" s="832">
        <f>'Data-Kolom'!K19</f>
        <v>0</v>
      </c>
      <c r="X18" s="831">
        <f t="shared" si="28"/>
        <v>0</v>
      </c>
      <c r="Y18" s="831">
        <f t="shared" si="29"/>
        <v>0</v>
      </c>
      <c r="Z18" s="831">
        <f t="shared" si="30"/>
        <v>6200</v>
      </c>
      <c r="AA18" s="831"/>
      <c r="AB18" s="831">
        <f t="shared" si="31"/>
        <v>6200</v>
      </c>
      <c r="AC18" s="831">
        <f t="shared" si="32"/>
        <v>0</v>
      </c>
      <c r="AD18" s="847">
        <f>'Data-Kolom'!L19</f>
        <v>10</v>
      </c>
      <c r="AE18" s="846">
        <f>'Data-Kolom'!M19</f>
        <v>100</v>
      </c>
      <c r="AF18" s="846">
        <f>'Data-Kolom'!N19</f>
        <v>100</v>
      </c>
      <c r="AG18" s="846">
        <f>'Data-Kolom'!O19</f>
        <v>100</v>
      </c>
      <c r="AH18" s="846">
        <f>'Data-Kolom'!P19</f>
        <v>0</v>
      </c>
      <c r="AI18" s="846">
        <f>'Data-Kolom'!Q19</f>
        <v>0</v>
      </c>
      <c r="AJ18" s="846">
        <f>'Data-Kolom'!R19</f>
        <v>0</v>
      </c>
      <c r="AK18" s="853">
        <f>'Data-Kolom'!S19</f>
        <v>0</v>
      </c>
      <c r="AL18" s="827">
        <f t="shared" si="33"/>
        <v>1130</v>
      </c>
      <c r="AM18" s="826">
        <f t="shared" si="34"/>
        <v>0</v>
      </c>
      <c r="AN18" s="826">
        <f t="shared" si="35"/>
        <v>63</v>
      </c>
      <c r="AO18" s="845">
        <f t="shared" si="36"/>
        <v>0.42159999999999997</v>
      </c>
      <c r="AP18" s="822">
        <f t="shared" si="37"/>
        <v>75.566131200000001</v>
      </c>
      <c r="AQ18" s="824">
        <f t="shared" si="38"/>
        <v>0</v>
      </c>
      <c r="AR18" s="824">
        <f t="shared" si="39"/>
        <v>43.888635000000001</v>
      </c>
      <c r="AS18" s="824">
        <f t="shared" si="40"/>
        <v>0</v>
      </c>
      <c r="AT18" s="823">
        <f t="shared" si="41"/>
        <v>7.0679999999999996</v>
      </c>
      <c r="AU18" s="844">
        <f t="shared" si="42"/>
        <v>283.33673197343455</v>
      </c>
      <c r="AV18" s="844">
        <f t="shared" si="43"/>
        <v>16.764705882352942</v>
      </c>
      <c r="AX18" s="822">
        <f t="shared" si="44"/>
        <v>75.566131200000001</v>
      </c>
      <c r="AY18" s="843"/>
      <c r="AZ18" s="852">
        <f t="shared" si="45"/>
        <v>0</v>
      </c>
      <c r="BA18" s="851">
        <f t="shared" si="46"/>
        <v>0</v>
      </c>
    </row>
    <row r="19" spans="1:53" ht="13.9" customHeight="1">
      <c r="A19" s="842">
        <f>'Data-Kolom'!A20</f>
        <v>5</v>
      </c>
      <c r="B19" s="842" t="str">
        <f>'Data-Kolom'!B20</f>
        <v>Lantai 1</v>
      </c>
      <c r="C19" s="842">
        <f>'Data-Kolom'!C20</f>
        <v>0</v>
      </c>
      <c r="D19" s="841" t="str">
        <f>'Data-Kolom'!D20</f>
        <v>K4</v>
      </c>
      <c r="E19" s="832" t="s">
        <v>16</v>
      </c>
      <c r="F19" s="840">
        <f>'Data-Kolom'!U20</f>
        <v>0</v>
      </c>
      <c r="G19" s="839">
        <f>'Data-Kolom'!T20</f>
        <v>0</v>
      </c>
      <c r="H19" s="832">
        <f>'Data-Kolom'!E20</f>
        <v>170</v>
      </c>
      <c r="I19" s="832">
        <f>'Data-Kolom'!F20</f>
        <v>400</v>
      </c>
      <c r="J19" s="832">
        <f>'Data-Kolom'!G20</f>
        <v>6200</v>
      </c>
      <c r="K19" s="831">
        <v>1</v>
      </c>
      <c r="L19" s="831"/>
      <c r="M19" s="831">
        <f>IF(L19&gt;0,VLOOKUP(L19,'Data-PC'!$B$14:$F$56,4,FALSE),0)</f>
        <v>0</v>
      </c>
      <c r="N19" s="847">
        <f>'Data-Kolom'!H20</f>
        <v>6</v>
      </c>
      <c r="O19" s="832">
        <f>'Data-Kolom'!I20</f>
        <v>16</v>
      </c>
      <c r="P19" s="850">
        <f t="shared" si="23"/>
        <v>1010</v>
      </c>
      <c r="Q19" s="831">
        <f t="shared" si="24"/>
        <v>770</v>
      </c>
      <c r="R19" s="831">
        <f t="shared" si="25"/>
        <v>7980</v>
      </c>
      <c r="S19" s="831"/>
      <c r="T19" s="849">
        <f t="shared" si="26"/>
        <v>7980</v>
      </c>
      <c r="U19" s="848">
        <f t="shared" si="27"/>
        <v>6</v>
      </c>
      <c r="V19" s="833">
        <f>'Data-Kolom'!J20</f>
        <v>0</v>
      </c>
      <c r="W19" s="832">
        <f>'Data-Kolom'!K20</f>
        <v>0</v>
      </c>
      <c r="X19" s="831">
        <f t="shared" si="28"/>
        <v>0</v>
      </c>
      <c r="Y19" s="831">
        <f t="shared" si="29"/>
        <v>0</v>
      </c>
      <c r="Z19" s="831">
        <f t="shared" si="30"/>
        <v>6200</v>
      </c>
      <c r="AA19" s="831"/>
      <c r="AB19" s="831">
        <f t="shared" si="31"/>
        <v>6200</v>
      </c>
      <c r="AC19" s="831">
        <f t="shared" si="32"/>
        <v>0</v>
      </c>
      <c r="AD19" s="847">
        <f>'Data-Kolom'!L20</f>
        <v>10</v>
      </c>
      <c r="AE19" s="846">
        <f>'Data-Kolom'!M20</f>
        <v>100</v>
      </c>
      <c r="AF19" s="846">
        <f>'Data-Kolom'!N20</f>
        <v>100</v>
      </c>
      <c r="AG19" s="846">
        <f>'Data-Kolom'!O20</f>
        <v>100</v>
      </c>
      <c r="AH19" s="846">
        <f>'Data-Kolom'!P20</f>
        <v>0</v>
      </c>
      <c r="AI19" s="846">
        <f>'Data-Kolom'!Q20</f>
        <v>0</v>
      </c>
      <c r="AJ19" s="846">
        <f>'Data-Kolom'!R20</f>
        <v>0</v>
      </c>
      <c r="AK19" s="853">
        <f>'Data-Kolom'!S20</f>
        <v>0</v>
      </c>
      <c r="AL19" s="827">
        <f t="shared" si="33"/>
        <v>1130</v>
      </c>
      <c r="AM19" s="826">
        <f t="shared" si="34"/>
        <v>0</v>
      </c>
      <c r="AN19" s="826">
        <f t="shared" si="35"/>
        <v>63</v>
      </c>
      <c r="AO19" s="845">
        <f t="shared" si="36"/>
        <v>0.42159999999999997</v>
      </c>
      <c r="AP19" s="822">
        <f t="shared" si="37"/>
        <v>75.566131200000001</v>
      </c>
      <c r="AQ19" s="824">
        <f t="shared" si="38"/>
        <v>0</v>
      </c>
      <c r="AR19" s="824">
        <f t="shared" si="39"/>
        <v>43.888635000000001</v>
      </c>
      <c r="AS19" s="824">
        <f t="shared" si="40"/>
        <v>0</v>
      </c>
      <c r="AT19" s="823">
        <f t="shared" si="41"/>
        <v>7.0679999999999996</v>
      </c>
      <c r="AU19" s="844">
        <f t="shared" si="42"/>
        <v>283.33673197343455</v>
      </c>
      <c r="AV19" s="844">
        <f t="shared" si="43"/>
        <v>16.764705882352942</v>
      </c>
      <c r="AX19" s="822">
        <f t="shared" si="44"/>
        <v>75.566131200000001</v>
      </c>
      <c r="AY19" s="843"/>
      <c r="AZ19" s="852">
        <f t="shared" si="45"/>
        <v>0</v>
      </c>
      <c r="BA19" s="851">
        <f t="shared" si="46"/>
        <v>0</v>
      </c>
    </row>
    <row r="20" spans="1:53" ht="13.9" customHeight="1">
      <c r="A20" s="842">
        <f>'Data-Kolom'!A21</f>
        <v>6</v>
      </c>
      <c r="B20" s="842" t="str">
        <f>'Data-Kolom'!B21</f>
        <v>Lantai 1</v>
      </c>
      <c r="C20" s="842">
        <f>'Data-Kolom'!C21</f>
        <v>0</v>
      </c>
      <c r="D20" s="841" t="str">
        <f>'Data-Kolom'!D21</f>
        <v>K4</v>
      </c>
      <c r="E20" s="832" t="s">
        <v>16</v>
      </c>
      <c r="F20" s="840">
        <f>'Data-Kolom'!U21</f>
        <v>0</v>
      </c>
      <c r="G20" s="839">
        <f>'Data-Kolom'!T21</f>
        <v>0</v>
      </c>
      <c r="H20" s="832">
        <f>'Data-Kolom'!E21</f>
        <v>170</v>
      </c>
      <c r="I20" s="832">
        <f>'Data-Kolom'!F21</f>
        <v>400</v>
      </c>
      <c r="J20" s="832">
        <f>'Data-Kolom'!G21</f>
        <v>6200</v>
      </c>
      <c r="K20" s="831">
        <v>1</v>
      </c>
      <c r="L20" s="831"/>
      <c r="M20" s="831">
        <f>IF(L20&gt;0,VLOOKUP(L20,'Data-PC'!$B$14:$F$56,4,FALSE),0)</f>
        <v>0</v>
      </c>
      <c r="N20" s="847">
        <f>'Data-Kolom'!H21</f>
        <v>6</v>
      </c>
      <c r="O20" s="832">
        <f>'Data-Kolom'!I21</f>
        <v>16</v>
      </c>
      <c r="P20" s="850">
        <f t="shared" si="23"/>
        <v>1010</v>
      </c>
      <c r="Q20" s="831">
        <f t="shared" si="24"/>
        <v>770</v>
      </c>
      <c r="R20" s="831">
        <f t="shared" si="25"/>
        <v>7980</v>
      </c>
      <c r="S20" s="831"/>
      <c r="T20" s="849">
        <f t="shared" si="26"/>
        <v>7980</v>
      </c>
      <c r="U20" s="848">
        <f t="shared" si="27"/>
        <v>6</v>
      </c>
      <c r="V20" s="833">
        <f>'Data-Kolom'!J21</f>
        <v>0</v>
      </c>
      <c r="W20" s="832">
        <f>'Data-Kolom'!K21</f>
        <v>0</v>
      </c>
      <c r="X20" s="831">
        <f t="shared" si="28"/>
        <v>0</v>
      </c>
      <c r="Y20" s="831">
        <f t="shared" si="29"/>
        <v>0</v>
      </c>
      <c r="Z20" s="831">
        <f t="shared" si="30"/>
        <v>6200</v>
      </c>
      <c r="AA20" s="831"/>
      <c r="AB20" s="831">
        <f t="shared" si="31"/>
        <v>6200</v>
      </c>
      <c r="AC20" s="831">
        <f t="shared" si="32"/>
        <v>0</v>
      </c>
      <c r="AD20" s="847">
        <f>'Data-Kolom'!L21</f>
        <v>10</v>
      </c>
      <c r="AE20" s="846">
        <f>'Data-Kolom'!M21</f>
        <v>100</v>
      </c>
      <c r="AF20" s="846">
        <f>'Data-Kolom'!N21</f>
        <v>100</v>
      </c>
      <c r="AG20" s="846">
        <f>'Data-Kolom'!O21</f>
        <v>100</v>
      </c>
      <c r="AH20" s="846">
        <f>'Data-Kolom'!P21</f>
        <v>0</v>
      </c>
      <c r="AI20" s="846">
        <f>'Data-Kolom'!Q21</f>
        <v>0</v>
      </c>
      <c r="AJ20" s="846">
        <f>'Data-Kolom'!R21</f>
        <v>0</v>
      </c>
      <c r="AK20" s="853">
        <f>'Data-Kolom'!S21</f>
        <v>0</v>
      </c>
      <c r="AL20" s="827">
        <f t="shared" si="33"/>
        <v>1130</v>
      </c>
      <c r="AM20" s="826">
        <f t="shared" si="34"/>
        <v>0</v>
      </c>
      <c r="AN20" s="826">
        <f t="shared" si="35"/>
        <v>63</v>
      </c>
      <c r="AO20" s="845">
        <f t="shared" si="36"/>
        <v>0.42159999999999997</v>
      </c>
      <c r="AP20" s="822">
        <f t="shared" si="37"/>
        <v>75.566131200000001</v>
      </c>
      <c r="AQ20" s="824">
        <f t="shared" si="38"/>
        <v>0</v>
      </c>
      <c r="AR20" s="824">
        <f t="shared" si="39"/>
        <v>43.888635000000001</v>
      </c>
      <c r="AS20" s="824">
        <f t="shared" si="40"/>
        <v>0</v>
      </c>
      <c r="AT20" s="823">
        <f t="shared" si="41"/>
        <v>7.0679999999999996</v>
      </c>
      <c r="AU20" s="844">
        <f t="shared" si="42"/>
        <v>283.33673197343455</v>
      </c>
      <c r="AV20" s="844">
        <f t="shared" si="43"/>
        <v>16.764705882352942</v>
      </c>
      <c r="AX20" s="822">
        <f t="shared" si="44"/>
        <v>75.566131200000001</v>
      </c>
      <c r="AY20" s="843"/>
      <c r="AZ20" s="852">
        <f t="shared" si="45"/>
        <v>0</v>
      </c>
      <c r="BA20" s="851">
        <f t="shared" si="46"/>
        <v>0</v>
      </c>
    </row>
    <row r="21" spans="1:53" ht="13.9" customHeight="1">
      <c r="A21" s="842">
        <f>'Data-Kolom'!A22</f>
        <v>7</v>
      </c>
      <c r="B21" s="842" t="str">
        <f>'Data-Kolom'!B22</f>
        <v>Lantai 1</v>
      </c>
      <c r="C21" s="842">
        <f>'Data-Kolom'!C22</f>
        <v>0</v>
      </c>
      <c r="D21" s="841" t="str">
        <f>'Data-Kolom'!D22</f>
        <v>K4</v>
      </c>
      <c r="E21" s="832" t="s">
        <v>16</v>
      </c>
      <c r="F21" s="840">
        <f>'Data-Kolom'!U22</f>
        <v>0</v>
      </c>
      <c r="G21" s="839">
        <f>'Data-Kolom'!T22</f>
        <v>0</v>
      </c>
      <c r="H21" s="832">
        <f>'Data-Kolom'!E22</f>
        <v>170</v>
      </c>
      <c r="I21" s="832">
        <f>'Data-Kolom'!F22</f>
        <v>400</v>
      </c>
      <c r="J21" s="832">
        <f>'Data-Kolom'!G22</f>
        <v>6200</v>
      </c>
      <c r="K21" s="831">
        <v>1</v>
      </c>
      <c r="L21" s="831"/>
      <c r="M21" s="831">
        <f>IF(L21&gt;0,VLOOKUP(L21,'Data-PC'!$B$14:$F$56,4,FALSE),0)</f>
        <v>0</v>
      </c>
      <c r="N21" s="847">
        <f>'Data-Kolom'!H22</f>
        <v>6</v>
      </c>
      <c r="O21" s="832">
        <f>'Data-Kolom'!I22</f>
        <v>16</v>
      </c>
      <c r="P21" s="850">
        <f t="shared" si="23"/>
        <v>1010</v>
      </c>
      <c r="Q21" s="831">
        <f t="shared" si="24"/>
        <v>770</v>
      </c>
      <c r="R21" s="831">
        <f t="shared" si="25"/>
        <v>7980</v>
      </c>
      <c r="S21" s="831"/>
      <c r="T21" s="849">
        <f t="shared" si="26"/>
        <v>7980</v>
      </c>
      <c r="U21" s="848">
        <f t="shared" si="27"/>
        <v>6</v>
      </c>
      <c r="V21" s="833">
        <f>'Data-Kolom'!J22</f>
        <v>0</v>
      </c>
      <c r="W21" s="832">
        <f>'Data-Kolom'!K22</f>
        <v>0</v>
      </c>
      <c r="X21" s="831">
        <f t="shared" si="28"/>
        <v>0</v>
      </c>
      <c r="Y21" s="831">
        <f t="shared" si="29"/>
        <v>0</v>
      </c>
      <c r="Z21" s="831">
        <f t="shared" si="30"/>
        <v>6200</v>
      </c>
      <c r="AA21" s="831"/>
      <c r="AB21" s="831">
        <f t="shared" si="31"/>
        <v>6200</v>
      </c>
      <c r="AC21" s="831">
        <f t="shared" si="32"/>
        <v>0</v>
      </c>
      <c r="AD21" s="847">
        <f>'Data-Kolom'!L22</f>
        <v>10</v>
      </c>
      <c r="AE21" s="846">
        <f>'Data-Kolom'!M22</f>
        <v>100</v>
      </c>
      <c r="AF21" s="846">
        <f>'Data-Kolom'!N22</f>
        <v>100</v>
      </c>
      <c r="AG21" s="846">
        <f>'Data-Kolom'!O22</f>
        <v>100</v>
      </c>
      <c r="AH21" s="846">
        <f>'Data-Kolom'!P22</f>
        <v>0</v>
      </c>
      <c r="AI21" s="846">
        <f>'Data-Kolom'!Q22</f>
        <v>0</v>
      </c>
      <c r="AJ21" s="846">
        <f>'Data-Kolom'!R22</f>
        <v>0</v>
      </c>
      <c r="AK21" s="853">
        <f>'Data-Kolom'!S22</f>
        <v>0</v>
      </c>
      <c r="AL21" s="827">
        <f t="shared" si="33"/>
        <v>1130</v>
      </c>
      <c r="AM21" s="826">
        <f t="shared" si="34"/>
        <v>0</v>
      </c>
      <c r="AN21" s="826">
        <f t="shared" si="35"/>
        <v>63</v>
      </c>
      <c r="AO21" s="845">
        <f t="shared" si="36"/>
        <v>0.42159999999999997</v>
      </c>
      <c r="AP21" s="822">
        <f t="shared" si="37"/>
        <v>75.566131200000001</v>
      </c>
      <c r="AQ21" s="824">
        <f t="shared" si="38"/>
        <v>0</v>
      </c>
      <c r="AR21" s="824">
        <f t="shared" si="39"/>
        <v>43.888635000000001</v>
      </c>
      <c r="AS21" s="824">
        <f t="shared" si="40"/>
        <v>0</v>
      </c>
      <c r="AT21" s="823">
        <f t="shared" si="41"/>
        <v>7.0679999999999996</v>
      </c>
      <c r="AU21" s="844">
        <f t="shared" si="42"/>
        <v>283.33673197343455</v>
      </c>
      <c r="AV21" s="844">
        <f t="shared" si="43"/>
        <v>16.764705882352942</v>
      </c>
      <c r="AX21" s="822">
        <f t="shared" si="44"/>
        <v>75.566131200000001</v>
      </c>
      <c r="AY21" s="843"/>
      <c r="AZ21" s="852">
        <f t="shared" si="45"/>
        <v>0</v>
      </c>
      <c r="BA21" s="851">
        <f t="shared" si="46"/>
        <v>0</v>
      </c>
    </row>
    <row r="22" spans="1:53" ht="13.9" customHeight="1">
      <c r="A22" s="842">
        <f>'Data-Kolom'!A23</f>
        <v>8</v>
      </c>
      <c r="B22" s="842" t="str">
        <f>'Data-Kolom'!B23</f>
        <v>Lantai 1</v>
      </c>
      <c r="C22" s="842">
        <f>'Data-Kolom'!C23</f>
        <v>0</v>
      </c>
      <c r="D22" s="841" t="str">
        <f>'Data-Kolom'!D23</f>
        <v>K26</v>
      </c>
      <c r="E22" s="832" t="s">
        <v>16</v>
      </c>
      <c r="F22" s="840">
        <f>'Data-Kolom'!U23</f>
        <v>0</v>
      </c>
      <c r="G22" s="839">
        <f>'Data-Kolom'!T23</f>
        <v>0</v>
      </c>
      <c r="H22" s="832">
        <f>'Data-Kolom'!E23</f>
        <v>200</v>
      </c>
      <c r="I22" s="832">
        <f>'Data-Kolom'!F23</f>
        <v>600</v>
      </c>
      <c r="J22" s="832">
        <f>'Data-Kolom'!G23</f>
        <v>4600</v>
      </c>
      <c r="K22" s="831">
        <v>1</v>
      </c>
      <c r="L22" s="831"/>
      <c r="M22" s="831">
        <f>IF(L22&gt;0,VLOOKUP(L22,'Data-PC'!$B$14:$F$56,4,FALSE),0)</f>
        <v>0</v>
      </c>
      <c r="N22" s="847">
        <f>'Data-Kolom'!H23</f>
        <v>10</v>
      </c>
      <c r="O22" s="832">
        <f>'Data-Kolom'!I23</f>
        <v>16</v>
      </c>
      <c r="P22" s="850">
        <f t="shared" si="23"/>
        <v>1010</v>
      </c>
      <c r="Q22" s="831">
        <f t="shared" si="24"/>
        <v>770</v>
      </c>
      <c r="R22" s="831">
        <f t="shared" si="25"/>
        <v>6380</v>
      </c>
      <c r="S22" s="831"/>
      <c r="T22" s="849">
        <f t="shared" si="26"/>
        <v>6380</v>
      </c>
      <c r="U22" s="848">
        <f t="shared" si="27"/>
        <v>10</v>
      </c>
      <c r="V22" s="833">
        <f>'Data-Kolom'!J23</f>
        <v>0</v>
      </c>
      <c r="W22" s="832">
        <f>'Data-Kolom'!K23</f>
        <v>0</v>
      </c>
      <c r="X22" s="831">
        <f t="shared" si="28"/>
        <v>0</v>
      </c>
      <c r="Y22" s="831">
        <f t="shared" si="29"/>
        <v>0</v>
      </c>
      <c r="Z22" s="831">
        <f t="shared" si="30"/>
        <v>4600</v>
      </c>
      <c r="AA22" s="831"/>
      <c r="AB22" s="831">
        <f t="shared" si="31"/>
        <v>4600</v>
      </c>
      <c r="AC22" s="831">
        <f t="shared" si="32"/>
        <v>0</v>
      </c>
      <c r="AD22" s="847">
        <f>'Data-Kolom'!L23</f>
        <v>10</v>
      </c>
      <c r="AE22" s="846">
        <f>'Data-Kolom'!M23</f>
        <v>100</v>
      </c>
      <c r="AF22" s="846">
        <f>'Data-Kolom'!N23</f>
        <v>100</v>
      </c>
      <c r="AG22" s="846">
        <f>'Data-Kolom'!O23</f>
        <v>100</v>
      </c>
      <c r="AH22" s="846">
        <f>'Data-Kolom'!P23</f>
        <v>0</v>
      </c>
      <c r="AI22" s="846">
        <f>'Data-Kolom'!Q23</f>
        <v>0</v>
      </c>
      <c r="AJ22" s="846">
        <f>'Data-Kolom'!R23</f>
        <v>0</v>
      </c>
      <c r="AK22" s="853">
        <f>'Data-Kolom'!S23</f>
        <v>0</v>
      </c>
      <c r="AL22" s="827">
        <f t="shared" si="33"/>
        <v>1590</v>
      </c>
      <c r="AM22" s="826">
        <f t="shared" si="34"/>
        <v>0</v>
      </c>
      <c r="AN22" s="826">
        <f t="shared" si="35"/>
        <v>47</v>
      </c>
      <c r="AO22" s="845">
        <f t="shared" si="36"/>
        <v>0.55200000000000005</v>
      </c>
      <c r="AP22" s="822">
        <f t="shared" si="37"/>
        <v>100.691712</v>
      </c>
      <c r="AQ22" s="824">
        <f t="shared" si="38"/>
        <v>0</v>
      </c>
      <c r="AR22" s="824">
        <f t="shared" si="39"/>
        <v>46.071045000000005</v>
      </c>
      <c r="AS22" s="824">
        <f t="shared" si="40"/>
        <v>0</v>
      </c>
      <c r="AT22" s="823">
        <f t="shared" si="41"/>
        <v>7.36</v>
      </c>
      <c r="AU22" s="844">
        <f t="shared" si="42"/>
        <v>265.87455978260869</v>
      </c>
      <c r="AV22" s="844">
        <f t="shared" si="43"/>
        <v>13.333333333333332</v>
      </c>
      <c r="AX22" s="822">
        <f t="shared" si="44"/>
        <v>100.691712</v>
      </c>
      <c r="AY22" s="843"/>
      <c r="AZ22" s="852">
        <f t="shared" si="45"/>
        <v>0</v>
      </c>
      <c r="BA22" s="851">
        <f t="shared" si="46"/>
        <v>0</v>
      </c>
    </row>
    <row r="23" spans="1:53" ht="13.9" customHeight="1">
      <c r="A23" s="842">
        <f>'Data-Kolom'!A24</f>
        <v>9</v>
      </c>
      <c r="B23" s="842" t="str">
        <f>'Data-Kolom'!B24</f>
        <v>Lantai 1</v>
      </c>
      <c r="C23" s="842">
        <f>'Data-Kolom'!C24</f>
        <v>0</v>
      </c>
      <c r="D23" s="841" t="str">
        <f>'Data-Kolom'!D24</f>
        <v>K26</v>
      </c>
      <c r="E23" s="832" t="s">
        <v>16</v>
      </c>
      <c r="F23" s="840">
        <f>'Data-Kolom'!U24</f>
        <v>0</v>
      </c>
      <c r="G23" s="839">
        <f>'Data-Kolom'!T24</f>
        <v>0</v>
      </c>
      <c r="H23" s="832">
        <f>'Data-Kolom'!E24</f>
        <v>200</v>
      </c>
      <c r="I23" s="832">
        <f>'Data-Kolom'!F24</f>
        <v>600</v>
      </c>
      <c r="J23" s="832">
        <f>'Data-Kolom'!G24</f>
        <v>4600</v>
      </c>
      <c r="K23" s="831">
        <v>1</v>
      </c>
      <c r="L23" s="831"/>
      <c r="M23" s="831">
        <f>IF(L23&gt;0,VLOOKUP(L23,'Data-PC'!$B$14:$F$56,4,FALSE),0)</f>
        <v>0</v>
      </c>
      <c r="N23" s="847">
        <f>'Data-Kolom'!H24</f>
        <v>10</v>
      </c>
      <c r="O23" s="832">
        <f>'Data-Kolom'!I24</f>
        <v>16</v>
      </c>
      <c r="P23" s="850">
        <f t="shared" si="23"/>
        <v>1010</v>
      </c>
      <c r="Q23" s="831">
        <f t="shared" si="24"/>
        <v>770</v>
      </c>
      <c r="R23" s="831">
        <f t="shared" si="25"/>
        <v>6380</v>
      </c>
      <c r="S23" s="831"/>
      <c r="T23" s="849">
        <f t="shared" si="26"/>
        <v>6380</v>
      </c>
      <c r="U23" s="848">
        <f t="shared" si="27"/>
        <v>10</v>
      </c>
      <c r="V23" s="833">
        <f>'Data-Kolom'!J24</f>
        <v>0</v>
      </c>
      <c r="W23" s="832">
        <f>'Data-Kolom'!K24</f>
        <v>0</v>
      </c>
      <c r="X23" s="831">
        <f t="shared" si="28"/>
        <v>0</v>
      </c>
      <c r="Y23" s="831">
        <f t="shared" si="29"/>
        <v>0</v>
      </c>
      <c r="Z23" s="831">
        <f t="shared" si="30"/>
        <v>4600</v>
      </c>
      <c r="AA23" s="831"/>
      <c r="AB23" s="831">
        <f t="shared" si="31"/>
        <v>4600</v>
      </c>
      <c r="AC23" s="831">
        <f t="shared" si="32"/>
        <v>0</v>
      </c>
      <c r="AD23" s="847">
        <f>'Data-Kolom'!L24</f>
        <v>10</v>
      </c>
      <c r="AE23" s="846">
        <f>'Data-Kolom'!M24</f>
        <v>100</v>
      </c>
      <c r="AF23" s="846">
        <f>'Data-Kolom'!N24</f>
        <v>100</v>
      </c>
      <c r="AG23" s="846">
        <f>'Data-Kolom'!O24</f>
        <v>100</v>
      </c>
      <c r="AH23" s="846">
        <f>'Data-Kolom'!P24</f>
        <v>0</v>
      </c>
      <c r="AI23" s="846">
        <f>'Data-Kolom'!Q24</f>
        <v>0</v>
      </c>
      <c r="AJ23" s="846">
        <f>'Data-Kolom'!R24</f>
        <v>0</v>
      </c>
      <c r="AK23" s="853">
        <f>'Data-Kolom'!S24</f>
        <v>0</v>
      </c>
      <c r="AL23" s="827">
        <f t="shared" si="33"/>
        <v>1590</v>
      </c>
      <c r="AM23" s="826">
        <f t="shared" si="34"/>
        <v>0</v>
      </c>
      <c r="AN23" s="826">
        <f t="shared" si="35"/>
        <v>47</v>
      </c>
      <c r="AO23" s="845">
        <f t="shared" si="36"/>
        <v>0.55200000000000005</v>
      </c>
      <c r="AP23" s="822">
        <f t="shared" si="37"/>
        <v>100.691712</v>
      </c>
      <c r="AQ23" s="824">
        <f t="shared" si="38"/>
        <v>0</v>
      </c>
      <c r="AR23" s="824">
        <f t="shared" si="39"/>
        <v>46.071045000000005</v>
      </c>
      <c r="AS23" s="824">
        <f t="shared" si="40"/>
        <v>0</v>
      </c>
      <c r="AT23" s="823">
        <f t="shared" si="41"/>
        <v>7.36</v>
      </c>
      <c r="AU23" s="844">
        <f t="shared" si="42"/>
        <v>265.87455978260869</v>
      </c>
      <c r="AV23" s="844">
        <f t="shared" si="43"/>
        <v>13.333333333333332</v>
      </c>
      <c r="AX23" s="822">
        <f t="shared" si="44"/>
        <v>100.691712</v>
      </c>
      <c r="AY23" s="843"/>
      <c r="AZ23" s="852">
        <f t="shared" si="45"/>
        <v>0</v>
      </c>
      <c r="BA23" s="851">
        <f t="shared" si="46"/>
        <v>0</v>
      </c>
    </row>
    <row r="24" spans="1:53" ht="13.9" customHeight="1">
      <c r="A24" s="842">
        <f>'Data-Kolom'!A25</f>
        <v>10</v>
      </c>
      <c r="B24" s="842" t="str">
        <f>'Data-Kolom'!B25</f>
        <v>Lantai 1</v>
      </c>
      <c r="C24" s="842">
        <f>'Data-Kolom'!C25</f>
        <v>0</v>
      </c>
      <c r="D24" s="841" t="str">
        <f>'Data-Kolom'!D25</f>
        <v>K26</v>
      </c>
      <c r="E24" s="832" t="s">
        <v>16</v>
      </c>
      <c r="F24" s="840">
        <f>'Data-Kolom'!U25</f>
        <v>0</v>
      </c>
      <c r="G24" s="839">
        <f>'Data-Kolom'!T25</f>
        <v>0</v>
      </c>
      <c r="H24" s="832">
        <f>'Data-Kolom'!E25</f>
        <v>200</v>
      </c>
      <c r="I24" s="832">
        <f>'Data-Kolom'!F25</f>
        <v>600</v>
      </c>
      <c r="J24" s="832">
        <f>'Data-Kolom'!G25</f>
        <v>4600</v>
      </c>
      <c r="K24" s="831">
        <v>1</v>
      </c>
      <c r="L24" s="831"/>
      <c r="M24" s="831">
        <f>IF(L24&gt;0,VLOOKUP(L24,'Data-PC'!$B$14:$F$56,4,FALSE),0)</f>
        <v>0</v>
      </c>
      <c r="N24" s="847">
        <f>'Data-Kolom'!H25</f>
        <v>10</v>
      </c>
      <c r="O24" s="832">
        <f>'Data-Kolom'!I25</f>
        <v>16</v>
      </c>
      <c r="P24" s="850">
        <f t="shared" si="23"/>
        <v>1010</v>
      </c>
      <c r="Q24" s="831">
        <f t="shared" si="24"/>
        <v>770</v>
      </c>
      <c r="R24" s="831">
        <f t="shared" si="25"/>
        <v>6380</v>
      </c>
      <c r="S24" s="831"/>
      <c r="T24" s="849">
        <f t="shared" si="26"/>
        <v>6380</v>
      </c>
      <c r="U24" s="848">
        <f t="shared" si="27"/>
        <v>10</v>
      </c>
      <c r="V24" s="833">
        <f>'Data-Kolom'!J25</f>
        <v>0</v>
      </c>
      <c r="W24" s="832">
        <f>'Data-Kolom'!K25</f>
        <v>0</v>
      </c>
      <c r="X24" s="831">
        <f t="shared" si="28"/>
        <v>0</v>
      </c>
      <c r="Y24" s="831">
        <f t="shared" si="29"/>
        <v>0</v>
      </c>
      <c r="Z24" s="831">
        <f t="shared" si="30"/>
        <v>4600</v>
      </c>
      <c r="AA24" s="831"/>
      <c r="AB24" s="831">
        <f t="shared" si="31"/>
        <v>4600</v>
      </c>
      <c r="AC24" s="831">
        <f t="shared" si="32"/>
        <v>0</v>
      </c>
      <c r="AD24" s="847">
        <f>'Data-Kolom'!L25</f>
        <v>10</v>
      </c>
      <c r="AE24" s="846">
        <f>'Data-Kolom'!M25</f>
        <v>100</v>
      </c>
      <c r="AF24" s="846">
        <f>'Data-Kolom'!N25</f>
        <v>100</v>
      </c>
      <c r="AG24" s="846">
        <f>'Data-Kolom'!O25</f>
        <v>100</v>
      </c>
      <c r="AH24" s="846">
        <f>'Data-Kolom'!P25</f>
        <v>0</v>
      </c>
      <c r="AI24" s="846">
        <f>'Data-Kolom'!Q25</f>
        <v>0</v>
      </c>
      <c r="AJ24" s="846">
        <f>'Data-Kolom'!R25</f>
        <v>0</v>
      </c>
      <c r="AK24" s="853">
        <f>'Data-Kolom'!S25</f>
        <v>0</v>
      </c>
      <c r="AL24" s="827">
        <f t="shared" si="33"/>
        <v>1590</v>
      </c>
      <c r="AM24" s="826">
        <f t="shared" si="34"/>
        <v>0</v>
      </c>
      <c r="AN24" s="826">
        <f t="shared" si="35"/>
        <v>47</v>
      </c>
      <c r="AO24" s="845">
        <f t="shared" si="36"/>
        <v>0.55200000000000005</v>
      </c>
      <c r="AP24" s="822">
        <f t="shared" si="37"/>
        <v>100.691712</v>
      </c>
      <c r="AQ24" s="824">
        <f t="shared" si="38"/>
        <v>0</v>
      </c>
      <c r="AR24" s="824">
        <f t="shared" si="39"/>
        <v>46.071045000000005</v>
      </c>
      <c r="AS24" s="824">
        <f t="shared" si="40"/>
        <v>0</v>
      </c>
      <c r="AT24" s="823">
        <f t="shared" si="41"/>
        <v>7.36</v>
      </c>
      <c r="AU24" s="844">
        <f t="shared" si="42"/>
        <v>265.87455978260869</v>
      </c>
      <c r="AV24" s="844">
        <f t="shared" si="43"/>
        <v>13.333333333333332</v>
      </c>
      <c r="AX24" s="822">
        <f t="shared" si="44"/>
        <v>100.691712</v>
      </c>
      <c r="AY24" s="843"/>
      <c r="AZ24" s="852">
        <f t="shared" si="45"/>
        <v>0</v>
      </c>
      <c r="BA24" s="851">
        <f t="shared" si="46"/>
        <v>0</v>
      </c>
    </row>
    <row r="25" spans="1:53" s="2053" customFormat="1" ht="13.9" customHeight="1">
      <c r="A25" s="2033">
        <f>'Data-Kolom'!A26</f>
        <v>11</v>
      </c>
      <c r="B25" s="2033" t="str">
        <f>'Data-Kolom'!B26</f>
        <v>Lantai 1</v>
      </c>
      <c r="C25" s="2033">
        <f>'Data-Kolom'!C26</f>
        <v>0</v>
      </c>
      <c r="D25" s="2034" t="str">
        <f>'Data-Kolom'!D26</f>
        <v>KL55</v>
      </c>
      <c r="E25" s="2035" t="s">
        <v>16</v>
      </c>
      <c r="F25" s="2036">
        <f>'Data-Kolom'!U26</f>
        <v>0</v>
      </c>
      <c r="G25" s="2037">
        <f>'Data-Kolom'!T26</f>
        <v>0</v>
      </c>
      <c r="H25" s="2035">
        <f>'Data-Kolom'!E26</f>
        <v>170</v>
      </c>
      <c r="I25" s="2035">
        <f>'Data-Kolom'!F26</f>
        <v>500</v>
      </c>
      <c r="J25" s="2035">
        <f>'Data-Kolom'!G26</f>
        <v>4600</v>
      </c>
      <c r="K25" s="2038">
        <v>2</v>
      </c>
      <c r="L25" s="2038"/>
      <c r="M25" s="2038">
        <f>IF(L25&gt;0,VLOOKUP(L25,'Data-PC'!$B$14:$F$56,4,FALSE),0)</f>
        <v>0</v>
      </c>
      <c r="N25" s="2039">
        <f>'Data-Kolom'!H26</f>
        <v>6</v>
      </c>
      <c r="O25" s="2035">
        <f>'Data-Kolom'!I26</f>
        <v>16</v>
      </c>
      <c r="P25" s="2040">
        <f t="shared" si="23"/>
        <v>1010</v>
      </c>
      <c r="Q25" s="2038">
        <f t="shared" si="24"/>
        <v>770</v>
      </c>
      <c r="R25" s="2038">
        <f t="shared" si="25"/>
        <v>6380</v>
      </c>
      <c r="S25" s="2038"/>
      <c r="T25" s="2041">
        <f t="shared" si="26"/>
        <v>6380</v>
      </c>
      <c r="U25" s="2042">
        <f t="shared" si="27"/>
        <v>12</v>
      </c>
      <c r="V25" s="2043">
        <f>'Data-Kolom'!J26</f>
        <v>0</v>
      </c>
      <c r="W25" s="2035">
        <f>'Data-Kolom'!K26</f>
        <v>0</v>
      </c>
      <c r="X25" s="2038">
        <f t="shared" si="28"/>
        <v>0</v>
      </c>
      <c r="Y25" s="2038">
        <f t="shared" si="29"/>
        <v>0</v>
      </c>
      <c r="Z25" s="2038">
        <f t="shared" si="30"/>
        <v>4600</v>
      </c>
      <c r="AA25" s="2038"/>
      <c r="AB25" s="2038">
        <f t="shared" si="31"/>
        <v>4600</v>
      </c>
      <c r="AC25" s="2038">
        <f t="shared" si="32"/>
        <v>0</v>
      </c>
      <c r="AD25" s="2039">
        <f>'Data-Kolom'!L26</f>
        <v>10</v>
      </c>
      <c r="AE25" s="2044">
        <f>'Data-Kolom'!M26</f>
        <v>100</v>
      </c>
      <c r="AF25" s="2044">
        <f>'Data-Kolom'!N26</f>
        <v>100</v>
      </c>
      <c r="AG25" s="2044">
        <f>'Data-Kolom'!O26</f>
        <v>100</v>
      </c>
      <c r="AH25" s="2044">
        <f>'Data-Kolom'!P26</f>
        <v>0</v>
      </c>
      <c r="AI25" s="2044">
        <f>'Data-Kolom'!Q26</f>
        <v>0</v>
      </c>
      <c r="AJ25" s="2044">
        <f>'Data-Kolom'!R26</f>
        <v>0</v>
      </c>
      <c r="AK25" s="2045">
        <f>'Data-Kolom'!S26</f>
        <v>0</v>
      </c>
      <c r="AL25" s="2046">
        <f t="shared" si="33"/>
        <v>1330</v>
      </c>
      <c r="AM25" s="2047">
        <f t="shared" si="34"/>
        <v>0</v>
      </c>
      <c r="AN25" s="2047">
        <f t="shared" si="35"/>
        <v>94</v>
      </c>
      <c r="AO25" s="2048">
        <f t="shared" si="36"/>
        <v>0.78200000000000003</v>
      </c>
      <c r="AP25" s="2049">
        <f t="shared" si="37"/>
        <v>120.83005440000001</v>
      </c>
      <c r="AQ25" s="2050">
        <f t="shared" si="38"/>
        <v>0</v>
      </c>
      <c r="AR25" s="2050">
        <f t="shared" si="39"/>
        <v>77.07483000000002</v>
      </c>
      <c r="AS25" s="2050">
        <f t="shared" si="40"/>
        <v>0</v>
      </c>
      <c r="AT25" s="2051">
        <f t="shared" si="41"/>
        <v>12.327999999999999</v>
      </c>
      <c r="AU25" s="2052">
        <f t="shared" si="42"/>
        <v>253.07529974424554</v>
      </c>
      <c r="AV25" s="2052">
        <f t="shared" si="43"/>
        <v>15.76470588235294</v>
      </c>
      <c r="AX25" s="2049">
        <f t="shared" si="44"/>
        <v>120.83005440000001</v>
      </c>
      <c r="AY25" s="2054"/>
      <c r="AZ25" s="2055">
        <f t="shared" si="45"/>
        <v>0</v>
      </c>
      <c r="BA25" s="2056">
        <f t="shared" si="46"/>
        <v>0</v>
      </c>
    </row>
    <row r="26" spans="1:53" ht="13.9" customHeight="1">
      <c r="A26" s="842">
        <f>'Data-Kolom'!A27</f>
        <v>12</v>
      </c>
      <c r="B26" s="842" t="str">
        <f>'Data-Kolom'!B27</f>
        <v>Lantai 1</v>
      </c>
      <c r="C26" s="842">
        <f>'Data-Kolom'!C27</f>
        <v>0</v>
      </c>
      <c r="D26" s="841" t="str">
        <f>'Data-Kolom'!D27</f>
        <v>K2A5</v>
      </c>
      <c r="E26" s="832" t="s">
        <v>16</v>
      </c>
      <c r="F26" s="840">
        <f>'Data-Kolom'!U27</f>
        <v>0</v>
      </c>
      <c r="G26" s="839">
        <f>'Data-Kolom'!T27</f>
        <v>0</v>
      </c>
      <c r="H26" s="832">
        <f>'Data-Kolom'!E27</f>
        <v>250</v>
      </c>
      <c r="I26" s="832">
        <f>'Data-Kolom'!F27</f>
        <v>500</v>
      </c>
      <c r="J26" s="832">
        <f>'Data-Kolom'!G27</f>
        <v>4600</v>
      </c>
      <c r="K26" s="831">
        <v>1</v>
      </c>
      <c r="L26" s="831"/>
      <c r="M26" s="831">
        <f>IF(L26&gt;0,VLOOKUP(L26,'Data-PC'!$B$14:$F$56,4,FALSE),0)</f>
        <v>0</v>
      </c>
      <c r="N26" s="847">
        <f>'Data-Kolom'!H27</f>
        <v>8</v>
      </c>
      <c r="O26" s="832">
        <f>'Data-Kolom'!I27</f>
        <v>16</v>
      </c>
      <c r="P26" s="850">
        <f t="shared" si="23"/>
        <v>1010</v>
      </c>
      <c r="Q26" s="831">
        <f t="shared" si="24"/>
        <v>770</v>
      </c>
      <c r="R26" s="831">
        <f t="shared" si="25"/>
        <v>6380</v>
      </c>
      <c r="S26" s="831"/>
      <c r="T26" s="849">
        <f t="shared" si="26"/>
        <v>6380</v>
      </c>
      <c r="U26" s="848">
        <f t="shared" si="27"/>
        <v>8</v>
      </c>
      <c r="V26" s="833">
        <f>'Data-Kolom'!J27</f>
        <v>0</v>
      </c>
      <c r="W26" s="832">
        <f>'Data-Kolom'!K27</f>
        <v>0</v>
      </c>
      <c r="X26" s="831">
        <f t="shared" si="28"/>
        <v>0</v>
      </c>
      <c r="Y26" s="831">
        <f t="shared" si="29"/>
        <v>0</v>
      </c>
      <c r="Z26" s="831">
        <f t="shared" si="30"/>
        <v>4600</v>
      </c>
      <c r="AA26" s="831"/>
      <c r="AB26" s="831">
        <f t="shared" si="31"/>
        <v>4600</v>
      </c>
      <c r="AC26" s="831">
        <f t="shared" si="32"/>
        <v>0</v>
      </c>
      <c r="AD26" s="847">
        <f>'Data-Kolom'!L27</f>
        <v>10</v>
      </c>
      <c r="AE26" s="846">
        <f>'Data-Kolom'!M27</f>
        <v>100</v>
      </c>
      <c r="AF26" s="846">
        <f>'Data-Kolom'!N27</f>
        <v>100</v>
      </c>
      <c r="AG26" s="846">
        <f>'Data-Kolom'!O27</f>
        <v>100</v>
      </c>
      <c r="AH26" s="846">
        <f>'Data-Kolom'!P27</f>
        <v>1</v>
      </c>
      <c r="AI26" s="846">
        <f>'Data-Kolom'!Q27</f>
        <v>10</v>
      </c>
      <c r="AJ26" s="846">
        <f>'Data-Kolom'!R27</f>
        <v>0</v>
      </c>
      <c r="AK26" s="853">
        <f>'Data-Kolom'!S27</f>
        <v>0</v>
      </c>
      <c r="AL26" s="827">
        <f t="shared" si="33"/>
        <v>1490</v>
      </c>
      <c r="AM26" s="826">
        <f t="shared" si="34"/>
        <v>360</v>
      </c>
      <c r="AN26" s="826">
        <f t="shared" si="35"/>
        <v>47</v>
      </c>
      <c r="AO26" s="845">
        <f t="shared" si="36"/>
        <v>0.57499999999999996</v>
      </c>
      <c r="AP26" s="822">
        <f t="shared" si="37"/>
        <v>80.553369600000011</v>
      </c>
      <c r="AQ26" s="824">
        <f t="shared" si="38"/>
        <v>0</v>
      </c>
      <c r="AR26" s="824">
        <f t="shared" si="39"/>
        <v>43.173495000000003</v>
      </c>
      <c r="AS26" s="824">
        <f t="shared" si="40"/>
        <v>10.431180000000001</v>
      </c>
      <c r="AT26" s="823">
        <f t="shared" si="41"/>
        <v>6.9</v>
      </c>
      <c r="AU26" s="844">
        <f t="shared" si="42"/>
        <v>233.31833843478265</v>
      </c>
      <c r="AV26" s="844">
        <f t="shared" si="43"/>
        <v>12.000000000000002</v>
      </c>
      <c r="AX26" s="822">
        <f t="shared" si="44"/>
        <v>80.553369600000011</v>
      </c>
      <c r="AY26" s="843"/>
      <c r="AZ26" s="852">
        <f t="shared" si="45"/>
        <v>0</v>
      </c>
      <c r="BA26" s="851">
        <f t="shared" si="46"/>
        <v>0</v>
      </c>
    </row>
    <row r="27" spans="1:53" ht="14.25" customHeight="1">
      <c r="A27" s="2057">
        <f>'Data-Kolom'!A28</f>
        <v>13</v>
      </c>
      <c r="B27" s="2058" t="str">
        <f>'Data-Kolom'!B28</f>
        <v>Lantai 1</v>
      </c>
      <c r="C27" s="2058">
        <f>'Data-Kolom'!C28</f>
        <v>0</v>
      </c>
      <c r="D27" s="2059" t="str">
        <f>'Data-Kolom'!D28</f>
        <v>KB2A</v>
      </c>
      <c r="E27" s="2060" t="s">
        <v>324</v>
      </c>
      <c r="F27" s="2061">
        <f>'Data-Kolom'!U28</f>
        <v>0</v>
      </c>
      <c r="G27" s="2062">
        <f>'Data-Kolom'!T28</f>
        <v>0</v>
      </c>
      <c r="H27" s="2060">
        <f>'Data-Kolom'!E28</f>
        <v>250</v>
      </c>
      <c r="I27" s="2060">
        <f>'Data-Kolom'!F28</f>
        <v>250</v>
      </c>
      <c r="J27" s="2060">
        <f>'Data-Kolom'!G28</f>
        <v>4600</v>
      </c>
      <c r="K27" s="2063">
        <v>1</v>
      </c>
      <c r="L27" s="2063"/>
      <c r="M27" s="2063">
        <f>IF(L27&gt;0,VLOOKUP(L27,'Data-PC'!$B$14:$F$56,4,FALSE),0)</f>
        <v>0</v>
      </c>
      <c r="N27" s="2064">
        <f>'Data-Kolom'!H28</f>
        <v>6</v>
      </c>
      <c r="O27" s="2060">
        <f>'Data-Kolom'!I28</f>
        <v>16</v>
      </c>
      <c r="P27" s="2065">
        <f>IF(N27&gt;0,VLOOKUP(O27,$V$2:$X$9,2,FALSE),0)</f>
        <v>1010</v>
      </c>
      <c r="Q27" s="2063">
        <f>IF(L27&gt;0,M27-50+$N$6*O27,VLOOKUP(O27,$V$2:$X$9,3,FALSE))</f>
        <v>770</v>
      </c>
      <c r="R27" s="2063">
        <f t="shared" si="25"/>
        <v>5542</v>
      </c>
      <c r="S27" s="2063"/>
      <c r="T27" s="2066">
        <f t="shared" si="26"/>
        <v>5542</v>
      </c>
      <c r="U27" s="2067">
        <f t="shared" si="27"/>
        <v>6</v>
      </c>
      <c r="V27" s="2068">
        <f>'Data-Kolom'!J28</f>
        <v>0</v>
      </c>
      <c r="W27" s="2060">
        <f>'Data-Kolom'!K28</f>
        <v>0</v>
      </c>
      <c r="X27" s="2063">
        <f>IF(V27&gt;0,VLOOKUP(W27,$V$2:$X$9,2,FALSE),0)</f>
        <v>0</v>
      </c>
      <c r="Y27" s="2063">
        <f>IF(V27&gt;0,IF(L27&gt;0,M27-50+$N$6*W27,VLOOKUP(W27,$V$2:$X$9,3,FALSE)),0)</f>
        <v>0</v>
      </c>
      <c r="Z27" s="2063">
        <f t="shared" si="30"/>
        <v>4580</v>
      </c>
      <c r="AA27" s="2063"/>
      <c r="AB27" s="2063">
        <f t="shared" si="31"/>
        <v>4580</v>
      </c>
      <c r="AC27" s="2063">
        <f t="shared" si="32"/>
        <v>0</v>
      </c>
      <c r="AD27" s="2064">
        <f>'Data-Kolom'!L28</f>
        <v>10</v>
      </c>
      <c r="AE27" s="2069">
        <f>'Data-Kolom'!M28</f>
        <v>100</v>
      </c>
      <c r="AF27" s="2069">
        <f>'Data-Kolom'!N28</f>
        <v>100</v>
      </c>
      <c r="AG27" s="2069">
        <f>'Data-Kolom'!O28</f>
        <v>100</v>
      </c>
      <c r="AH27" s="2069">
        <f>'Data-Kolom'!P28</f>
        <v>0</v>
      </c>
      <c r="AI27" s="2069">
        <f>'Data-Kolom'!Q28</f>
        <v>0</v>
      </c>
      <c r="AJ27" s="2069">
        <f>'Data-Kolom'!R28</f>
        <v>0</v>
      </c>
      <c r="AK27" s="2070">
        <f>'Data-Kolom'!S28</f>
        <v>0</v>
      </c>
      <c r="AL27" s="2071">
        <f>2*PI()*(H27-$N$5)+2*MAX($F$5*AD27,75)</f>
        <v>1595.1326206513049</v>
      </c>
      <c r="AM27" s="2072">
        <f t="shared" si="34"/>
        <v>0</v>
      </c>
      <c r="AN27" s="2072">
        <f t="shared" si="35"/>
        <v>47</v>
      </c>
      <c r="AO27" s="2073">
        <f>PI()*H27^2*J27/1000000000*K27*(1+$T$5)</f>
        <v>0.90320788790706552</v>
      </c>
      <c r="AP27" s="2074">
        <f t="shared" si="37"/>
        <v>52.479636480000011</v>
      </c>
      <c r="AQ27" s="2075">
        <f t="shared" si="38"/>
        <v>0</v>
      </c>
      <c r="AR27" s="2075">
        <f t="shared" si="39"/>
        <v>46.219765249681892</v>
      </c>
      <c r="AS27" s="2075">
        <f t="shared" si="40"/>
        <v>0</v>
      </c>
      <c r="AT27" s="2076">
        <f>(K27*PI()*H27*J27)/1000000*(1+$T$7)</f>
        <v>3.6128315516282616</v>
      </c>
      <c r="AU27" s="2077">
        <f t="shared" ref="AU27" si="47">SUM(AP27:AS27)/AO27</f>
        <v>109.27650549907229</v>
      </c>
      <c r="AV27" s="2077">
        <f t="shared" si="43"/>
        <v>3.9999999999999996</v>
      </c>
      <c r="AW27" s="2078"/>
      <c r="AX27" s="2074">
        <f t="shared" si="44"/>
        <v>52.479636480000011</v>
      </c>
      <c r="AY27" s="2079"/>
      <c r="AZ27" s="2080">
        <f t="shared" si="45"/>
        <v>0</v>
      </c>
      <c r="BA27" s="2081">
        <f t="shared" si="46"/>
        <v>0</v>
      </c>
    </row>
    <row r="28" spans="1:53" ht="13.9" customHeight="1">
      <c r="A28" s="842">
        <f>'Data-Kolom'!A29</f>
        <v>14</v>
      </c>
      <c r="B28" s="842" t="str">
        <f>'Data-Kolom'!B29</f>
        <v>Lantai 1</v>
      </c>
      <c r="C28" s="842">
        <f>'Data-Kolom'!C29</f>
        <v>0</v>
      </c>
      <c r="D28" s="841" t="str">
        <f>'Data-Kolom'!D29</f>
        <v>K26</v>
      </c>
      <c r="E28" s="832" t="s">
        <v>16</v>
      </c>
      <c r="F28" s="840">
        <f>'Data-Kolom'!U29</f>
        <v>0</v>
      </c>
      <c r="G28" s="839">
        <f>'Data-Kolom'!T29</f>
        <v>0</v>
      </c>
      <c r="H28" s="832">
        <f>'Data-Kolom'!E29</f>
        <v>200</v>
      </c>
      <c r="I28" s="832">
        <f>'Data-Kolom'!F29</f>
        <v>600</v>
      </c>
      <c r="J28" s="832">
        <f>'Data-Kolom'!G29</f>
        <v>5250</v>
      </c>
      <c r="K28" s="831">
        <v>1</v>
      </c>
      <c r="L28" s="831"/>
      <c r="M28" s="831">
        <f>IF(L28&gt;0,VLOOKUP(L28,'Data-PC'!$B$14:$F$56,4,FALSE),0)</f>
        <v>0</v>
      </c>
      <c r="N28" s="847">
        <f>'Data-Kolom'!H29</f>
        <v>10</v>
      </c>
      <c r="O28" s="832">
        <f>'Data-Kolom'!I29</f>
        <v>16</v>
      </c>
      <c r="P28" s="850">
        <f t="shared" si="23"/>
        <v>1010</v>
      </c>
      <c r="Q28" s="831">
        <f t="shared" si="24"/>
        <v>770</v>
      </c>
      <c r="R28" s="831">
        <f t="shared" si="25"/>
        <v>7030</v>
      </c>
      <c r="S28" s="831"/>
      <c r="T28" s="849">
        <f t="shared" si="26"/>
        <v>7030</v>
      </c>
      <c r="U28" s="848">
        <f t="shared" si="27"/>
        <v>10</v>
      </c>
      <c r="V28" s="833">
        <f>'Data-Kolom'!J29</f>
        <v>0</v>
      </c>
      <c r="W28" s="832">
        <f>'Data-Kolom'!K29</f>
        <v>0</v>
      </c>
      <c r="X28" s="831">
        <f t="shared" si="28"/>
        <v>0</v>
      </c>
      <c r="Y28" s="831">
        <f t="shared" si="29"/>
        <v>0</v>
      </c>
      <c r="Z28" s="831">
        <f t="shared" si="30"/>
        <v>5250</v>
      </c>
      <c r="AA28" s="831"/>
      <c r="AB28" s="831">
        <f t="shared" si="31"/>
        <v>5250</v>
      </c>
      <c r="AC28" s="831">
        <f t="shared" si="32"/>
        <v>0</v>
      </c>
      <c r="AD28" s="847">
        <f>'Data-Kolom'!L29</f>
        <v>10</v>
      </c>
      <c r="AE28" s="846">
        <f>'Data-Kolom'!M29</f>
        <v>100</v>
      </c>
      <c r="AF28" s="846">
        <f>'Data-Kolom'!N29</f>
        <v>100</v>
      </c>
      <c r="AG28" s="846">
        <f>'Data-Kolom'!O29</f>
        <v>100</v>
      </c>
      <c r="AH28" s="846">
        <f>'Data-Kolom'!P29</f>
        <v>0</v>
      </c>
      <c r="AI28" s="846">
        <f>'Data-Kolom'!Q29</f>
        <v>0</v>
      </c>
      <c r="AJ28" s="846">
        <f>'Data-Kolom'!R29</f>
        <v>0</v>
      </c>
      <c r="AK28" s="853">
        <f>'Data-Kolom'!S29</f>
        <v>0</v>
      </c>
      <c r="AL28" s="827">
        <f t="shared" si="33"/>
        <v>1590</v>
      </c>
      <c r="AM28" s="826">
        <f t="shared" si="34"/>
        <v>0</v>
      </c>
      <c r="AN28" s="826">
        <f t="shared" si="35"/>
        <v>53</v>
      </c>
      <c r="AO28" s="845">
        <f t="shared" si="36"/>
        <v>0.63</v>
      </c>
      <c r="AP28" s="822">
        <f t="shared" si="37"/>
        <v>110.950272</v>
      </c>
      <c r="AQ28" s="824">
        <f t="shared" si="38"/>
        <v>0</v>
      </c>
      <c r="AR28" s="824">
        <f t="shared" si="39"/>
        <v>51.952455</v>
      </c>
      <c r="AS28" s="824">
        <f t="shared" si="40"/>
        <v>0</v>
      </c>
      <c r="AT28" s="823">
        <f t="shared" si="41"/>
        <v>8.4</v>
      </c>
      <c r="AU28" s="844">
        <f t="shared" si="42"/>
        <v>258.57575714285713</v>
      </c>
      <c r="AV28" s="844">
        <f t="shared" si="43"/>
        <v>13.333333333333334</v>
      </c>
      <c r="AX28" s="822">
        <f t="shared" si="44"/>
        <v>110.950272</v>
      </c>
      <c r="AY28" s="843"/>
      <c r="AZ28" s="852">
        <f t="shared" si="45"/>
        <v>0</v>
      </c>
      <c r="BA28" s="851">
        <f t="shared" si="46"/>
        <v>0</v>
      </c>
    </row>
    <row r="29" spans="1:53" ht="13.9" customHeight="1">
      <c r="A29" s="842">
        <f>'Data-Kolom'!A30</f>
        <v>15</v>
      </c>
      <c r="B29" s="842" t="str">
        <f>'Data-Kolom'!B30</f>
        <v>Lantai 1</v>
      </c>
      <c r="C29" s="842">
        <f>'Data-Kolom'!C30</f>
        <v>0</v>
      </c>
      <c r="D29" s="841" t="str">
        <f>'Data-Kolom'!D30</f>
        <v>K26</v>
      </c>
      <c r="E29" s="832" t="s">
        <v>16</v>
      </c>
      <c r="F29" s="840">
        <f>'Data-Kolom'!U30</f>
        <v>0</v>
      </c>
      <c r="G29" s="839">
        <f>'Data-Kolom'!T30</f>
        <v>0</v>
      </c>
      <c r="H29" s="832">
        <f>'Data-Kolom'!E30</f>
        <v>200</v>
      </c>
      <c r="I29" s="832">
        <f>'Data-Kolom'!F30</f>
        <v>600</v>
      </c>
      <c r="J29" s="832">
        <f>'Data-Kolom'!G30</f>
        <v>5250</v>
      </c>
      <c r="K29" s="831">
        <v>1</v>
      </c>
      <c r="L29" s="831"/>
      <c r="M29" s="831">
        <f>IF(L29&gt;0,VLOOKUP(L29,'Data-PC'!$B$14:$F$56,4,FALSE),0)</f>
        <v>0</v>
      </c>
      <c r="N29" s="847">
        <f>'Data-Kolom'!H30</f>
        <v>10</v>
      </c>
      <c r="O29" s="832">
        <f>'Data-Kolom'!I30</f>
        <v>16</v>
      </c>
      <c r="P29" s="850">
        <f t="shared" si="23"/>
        <v>1010</v>
      </c>
      <c r="Q29" s="831">
        <f t="shared" si="24"/>
        <v>770</v>
      </c>
      <c r="R29" s="831">
        <f t="shared" si="25"/>
        <v>7030</v>
      </c>
      <c r="S29" s="831"/>
      <c r="T29" s="849">
        <f t="shared" si="26"/>
        <v>7030</v>
      </c>
      <c r="U29" s="848">
        <f t="shared" si="27"/>
        <v>10</v>
      </c>
      <c r="V29" s="833">
        <f>'Data-Kolom'!J30</f>
        <v>0</v>
      </c>
      <c r="W29" s="832">
        <f>'Data-Kolom'!K30</f>
        <v>0</v>
      </c>
      <c r="X29" s="831">
        <f t="shared" si="28"/>
        <v>0</v>
      </c>
      <c r="Y29" s="831">
        <f t="shared" si="29"/>
        <v>0</v>
      </c>
      <c r="Z29" s="831">
        <f t="shared" si="30"/>
        <v>5250</v>
      </c>
      <c r="AA29" s="831"/>
      <c r="AB29" s="831">
        <f t="shared" si="31"/>
        <v>5250</v>
      </c>
      <c r="AC29" s="831">
        <f t="shared" si="32"/>
        <v>0</v>
      </c>
      <c r="AD29" s="847">
        <f>'Data-Kolom'!L30</f>
        <v>10</v>
      </c>
      <c r="AE29" s="846">
        <f>'Data-Kolom'!M30</f>
        <v>100</v>
      </c>
      <c r="AF29" s="846">
        <f>'Data-Kolom'!N30</f>
        <v>100</v>
      </c>
      <c r="AG29" s="846">
        <f>'Data-Kolom'!O30</f>
        <v>100</v>
      </c>
      <c r="AH29" s="846">
        <f>'Data-Kolom'!P30</f>
        <v>0</v>
      </c>
      <c r="AI29" s="846">
        <f>'Data-Kolom'!Q30</f>
        <v>0</v>
      </c>
      <c r="AJ29" s="846">
        <f>'Data-Kolom'!R30</f>
        <v>0</v>
      </c>
      <c r="AK29" s="853">
        <f>'Data-Kolom'!S30</f>
        <v>0</v>
      </c>
      <c r="AL29" s="827">
        <f t="shared" si="33"/>
        <v>1590</v>
      </c>
      <c r="AM29" s="826">
        <f t="shared" si="34"/>
        <v>0</v>
      </c>
      <c r="AN29" s="826">
        <f t="shared" si="35"/>
        <v>53</v>
      </c>
      <c r="AO29" s="845">
        <f t="shared" si="36"/>
        <v>0.63</v>
      </c>
      <c r="AP29" s="822">
        <f t="shared" si="37"/>
        <v>110.950272</v>
      </c>
      <c r="AQ29" s="824">
        <f t="shared" si="38"/>
        <v>0</v>
      </c>
      <c r="AR29" s="824">
        <f t="shared" si="39"/>
        <v>51.952455</v>
      </c>
      <c r="AS29" s="824">
        <f t="shared" si="40"/>
        <v>0</v>
      </c>
      <c r="AT29" s="823">
        <f t="shared" si="41"/>
        <v>8.4</v>
      </c>
      <c r="AU29" s="844">
        <f t="shared" si="42"/>
        <v>258.57575714285713</v>
      </c>
      <c r="AV29" s="844">
        <f t="shared" si="43"/>
        <v>13.333333333333334</v>
      </c>
      <c r="AX29" s="822">
        <f t="shared" si="44"/>
        <v>110.950272</v>
      </c>
      <c r="AY29" s="843"/>
      <c r="AZ29" s="852">
        <f t="shared" si="45"/>
        <v>0</v>
      </c>
      <c r="BA29" s="851">
        <f t="shared" si="46"/>
        <v>0</v>
      </c>
    </row>
    <row r="30" spans="1:53" ht="13.9" customHeight="1">
      <c r="A30" s="842">
        <f>'Data-Kolom'!A31</f>
        <v>16</v>
      </c>
      <c r="B30" s="842" t="str">
        <f>'Data-Kolom'!B31</f>
        <v>Lantai 1</v>
      </c>
      <c r="C30" s="842">
        <f>'Data-Kolom'!C31</f>
        <v>0</v>
      </c>
      <c r="D30" s="841" t="str">
        <f>'Data-Kolom'!D31</f>
        <v>K26</v>
      </c>
      <c r="E30" s="832" t="s">
        <v>16</v>
      </c>
      <c r="F30" s="840">
        <f>'Data-Kolom'!U31</f>
        <v>0</v>
      </c>
      <c r="G30" s="839">
        <f>'Data-Kolom'!T31</f>
        <v>0</v>
      </c>
      <c r="H30" s="832">
        <f>'Data-Kolom'!E31</f>
        <v>200</v>
      </c>
      <c r="I30" s="832">
        <f>'Data-Kolom'!F31</f>
        <v>600</v>
      </c>
      <c r="J30" s="832">
        <f>'Data-Kolom'!G31</f>
        <v>5250</v>
      </c>
      <c r="K30" s="831">
        <v>1</v>
      </c>
      <c r="L30" s="831"/>
      <c r="M30" s="831">
        <f>IF(L30&gt;0,VLOOKUP(L30,'Data-PC'!$B$14:$F$56,4,FALSE),0)</f>
        <v>0</v>
      </c>
      <c r="N30" s="847">
        <f>'Data-Kolom'!H31</f>
        <v>10</v>
      </c>
      <c r="O30" s="832">
        <f>'Data-Kolom'!I31</f>
        <v>16</v>
      </c>
      <c r="P30" s="850">
        <f t="shared" si="23"/>
        <v>1010</v>
      </c>
      <c r="Q30" s="831">
        <f t="shared" si="24"/>
        <v>770</v>
      </c>
      <c r="R30" s="831">
        <f t="shared" si="25"/>
        <v>7030</v>
      </c>
      <c r="S30" s="831"/>
      <c r="T30" s="849">
        <f t="shared" si="26"/>
        <v>7030</v>
      </c>
      <c r="U30" s="848">
        <f t="shared" si="27"/>
        <v>10</v>
      </c>
      <c r="V30" s="833">
        <f>'Data-Kolom'!J31</f>
        <v>0</v>
      </c>
      <c r="W30" s="832">
        <f>'Data-Kolom'!K31</f>
        <v>0</v>
      </c>
      <c r="X30" s="831">
        <f t="shared" si="28"/>
        <v>0</v>
      </c>
      <c r="Y30" s="831">
        <f t="shared" si="29"/>
        <v>0</v>
      </c>
      <c r="Z30" s="831">
        <f t="shared" si="30"/>
        <v>5250</v>
      </c>
      <c r="AA30" s="831"/>
      <c r="AB30" s="831">
        <f t="shared" si="31"/>
        <v>5250</v>
      </c>
      <c r="AC30" s="831">
        <f t="shared" si="32"/>
        <v>0</v>
      </c>
      <c r="AD30" s="847">
        <f>'Data-Kolom'!L31</f>
        <v>10</v>
      </c>
      <c r="AE30" s="846">
        <f>'Data-Kolom'!M31</f>
        <v>100</v>
      </c>
      <c r="AF30" s="846">
        <f>'Data-Kolom'!N31</f>
        <v>100</v>
      </c>
      <c r="AG30" s="846">
        <f>'Data-Kolom'!O31</f>
        <v>100</v>
      </c>
      <c r="AH30" s="846">
        <f>'Data-Kolom'!P31</f>
        <v>0</v>
      </c>
      <c r="AI30" s="846">
        <f>'Data-Kolom'!Q31</f>
        <v>0</v>
      </c>
      <c r="AJ30" s="846">
        <f>'Data-Kolom'!R31</f>
        <v>0</v>
      </c>
      <c r="AK30" s="853">
        <f>'Data-Kolom'!S31</f>
        <v>0</v>
      </c>
      <c r="AL30" s="827">
        <f t="shared" si="33"/>
        <v>1590</v>
      </c>
      <c r="AM30" s="826">
        <f t="shared" si="34"/>
        <v>0</v>
      </c>
      <c r="AN30" s="826">
        <f t="shared" si="35"/>
        <v>53</v>
      </c>
      <c r="AO30" s="845">
        <f t="shared" si="36"/>
        <v>0.63</v>
      </c>
      <c r="AP30" s="822">
        <f t="shared" si="37"/>
        <v>110.950272</v>
      </c>
      <c r="AQ30" s="824">
        <f t="shared" si="38"/>
        <v>0</v>
      </c>
      <c r="AR30" s="824">
        <f t="shared" si="39"/>
        <v>51.952455</v>
      </c>
      <c r="AS30" s="824">
        <f t="shared" si="40"/>
        <v>0</v>
      </c>
      <c r="AT30" s="823">
        <f t="shared" si="41"/>
        <v>8.4</v>
      </c>
      <c r="AU30" s="844">
        <f t="shared" si="42"/>
        <v>258.57575714285713</v>
      </c>
      <c r="AV30" s="844">
        <f t="shared" si="43"/>
        <v>13.333333333333334</v>
      </c>
      <c r="AX30" s="822">
        <f t="shared" si="44"/>
        <v>110.950272</v>
      </c>
      <c r="AY30" s="843"/>
      <c r="AZ30" s="852">
        <f t="shared" si="45"/>
        <v>0</v>
      </c>
      <c r="BA30" s="851">
        <f t="shared" si="46"/>
        <v>0</v>
      </c>
    </row>
    <row r="31" spans="1:53" ht="13.9" customHeight="1">
      <c r="A31" s="842">
        <f>'Data-Kolom'!A32</f>
        <v>17</v>
      </c>
      <c r="B31" s="842" t="str">
        <f>'Data-Kolom'!B32</f>
        <v>Lantai 1</v>
      </c>
      <c r="C31" s="842">
        <f>'Data-Kolom'!C32</f>
        <v>0</v>
      </c>
      <c r="D31" s="841" t="str">
        <f>'Data-Kolom'!D32</f>
        <v>K26</v>
      </c>
      <c r="E31" s="832" t="s">
        <v>16</v>
      </c>
      <c r="F31" s="840">
        <f>'Data-Kolom'!U32</f>
        <v>0</v>
      </c>
      <c r="G31" s="839">
        <f>'Data-Kolom'!T32</f>
        <v>0</v>
      </c>
      <c r="H31" s="832">
        <f>'Data-Kolom'!E32</f>
        <v>200</v>
      </c>
      <c r="I31" s="832">
        <f>'Data-Kolom'!F32</f>
        <v>600</v>
      </c>
      <c r="J31" s="832">
        <f>'Data-Kolom'!G32</f>
        <v>5250</v>
      </c>
      <c r="K31" s="831">
        <v>1</v>
      </c>
      <c r="L31" s="831"/>
      <c r="M31" s="831">
        <f>IF(L31&gt;0,VLOOKUP(L31,'Data-PC'!$B$14:$F$56,4,FALSE),0)</f>
        <v>0</v>
      </c>
      <c r="N31" s="847">
        <f>'Data-Kolom'!H32</f>
        <v>10</v>
      </c>
      <c r="O31" s="832">
        <f>'Data-Kolom'!I32</f>
        <v>16</v>
      </c>
      <c r="P31" s="850">
        <f t="shared" si="23"/>
        <v>1010</v>
      </c>
      <c r="Q31" s="831">
        <f t="shared" si="24"/>
        <v>770</v>
      </c>
      <c r="R31" s="831">
        <f t="shared" si="25"/>
        <v>7030</v>
      </c>
      <c r="S31" s="831"/>
      <c r="T31" s="849">
        <f t="shared" si="26"/>
        <v>7030</v>
      </c>
      <c r="U31" s="848">
        <f t="shared" si="27"/>
        <v>10</v>
      </c>
      <c r="V31" s="833">
        <f>'Data-Kolom'!J32</f>
        <v>0</v>
      </c>
      <c r="W31" s="832">
        <f>'Data-Kolom'!K32</f>
        <v>0</v>
      </c>
      <c r="X31" s="831">
        <f t="shared" si="28"/>
        <v>0</v>
      </c>
      <c r="Y31" s="831">
        <f t="shared" si="29"/>
        <v>0</v>
      </c>
      <c r="Z31" s="831">
        <f t="shared" si="30"/>
        <v>5250</v>
      </c>
      <c r="AA31" s="831"/>
      <c r="AB31" s="831">
        <f t="shared" si="31"/>
        <v>5250</v>
      </c>
      <c r="AC31" s="831">
        <f t="shared" si="32"/>
        <v>0</v>
      </c>
      <c r="AD31" s="847">
        <f>'Data-Kolom'!L32</f>
        <v>10</v>
      </c>
      <c r="AE31" s="846">
        <f>'Data-Kolom'!M32</f>
        <v>100</v>
      </c>
      <c r="AF31" s="846">
        <f>'Data-Kolom'!N32</f>
        <v>100</v>
      </c>
      <c r="AG31" s="846">
        <f>'Data-Kolom'!O32</f>
        <v>100</v>
      </c>
      <c r="AH31" s="846">
        <f>'Data-Kolom'!P32</f>
        <v>0</v>
      </c>
      <c r="AI31" s="846">
        <f>'Data-Kolom'!Q32</f>
        <v>0</v>
      </c>
      <c r="AJ31" s="846">
        <f>'Data-Kolom'!R32</f>
        <v>0</v>
      </c>
      <c r="AK31" s="853">
        <f>'Data-Kolom'!S32</f>
        <v>0</v>
      </c>
      <c r="AL31" s="827">
        <f t="shared" si="33"/>
        <v>1590</v>
      </c>
      <c r="AM31" s="826">
        <f t="shared" si="34"/>
        <v>0</v>
      </c>
      <c r="AN31" s="826">
        <f t="shared" si="35"/>
        <v>53</v>
      </c>
      <c r="AO31" s="845">
        <f t="shared" si="36"/>
        <v>0.63</v>
      </c>
      <c r="AP31" s="822">
        <f t="shared" si="37"/>
        <v>110.950272</v>
      </c>
      <c r="AQ31" s="824">
        <f t="shared" si="38"/>
        <v>0</v>
      </c>
      <c r="AR31" s="824">
        <f t="shared" si="39"/>
        <v>51.952455</v>
      </c>
      <c r="AS31" s="824">
        <f t="shared" si="40"/>
        <v>0</v>
      </c>
      <c r="AT31" s="823">
        <f t="shared" si="41"/>
        <v>8.4</v>
      </c>
      <c r="AU31" s="844">
        <f t="shared" si="42"/>
        <v>258.57575714285713</v>
      </c>
      <c r="AV31" s="844">
        <f t="shared" si="43"/>
        <v>13.333333333333334</v>
      </c>
      <c r="AX31" s="822">
        <f t="shared" si="44"/>
        <v>110.950272</v>
      </c>
      <c r="AY31" s="843"/>
      <c r="AZ31" s="852">
        <f t="shared" si="45"/>
        <v>0</v>
      </c>
      <c r="BA31" s="851">
        <f t="shared" si="46"/>
        <v>0</v>
      </c>
    </row>
    <row r="32" spans="1:53" s="2053" customFormat="1" ht="13.9" customHeight="1">
      <c r="A32" s="2033">
        <f>'Data-Kolom'!A33</f>
        <v>18</v>
      </c>
      <c r="B32" s="2033" t="str">
        <f>'Data-Kolom'!B33</f>
        <v>Lantai 1</v>
      </c>
      <c r="C32" s="2033">
        <f>'Data-Kolom'!C33</f>
        <v>0</v>
      </c>
      <c r="D32" s="2034" t="str">
        <f>'Data-Kolom'!D33</f>
        <v>KL55</v>
      </c>
      <c r="E32" s="2035" t="s">
        <v>16</v>
      </c>
      <c r="F32" s="2036">
        <f>'Data-Kolom'!U33</f>
        <v>0</v>
      </c>
      <c r="G32" s="2037">
        <f>'Data-Kolom'!T33</f>
        <v>0</v>
      </c>
      <c r="H32" s="2035">
        <f>'Data-Kolom'!E33</f>
        <v>170</v>
      </c>
      <c r="I32" s="2035">
        <f>'Data-Kolom'!F33</f>
        <v>500</v>
      </c>
      <c r="J32" s="2035">
        <f>'Data-Kolom'!G33</f>
        <v>6000</v>
      </c>
      <c r="K32" s="2038">
        <v>2</v>
      </c>
      <c r="L32" s="2038"/>
      <c r="M32" s="2038">
        <f>IF(L32&gt;0,VLOOKUP(L32,'Data-PC'!$B$14:$F$56,4,FALSE),0)</f>
        <v>0</v>
      </c>
      <c r="N32" s="2039">
        <f>'Data-Kolom'!H33</f>
        <v>6</v>
      </c>
      <c r="O32" s="2035">
        <f>'Data-Kolom'!I33</f>
        <v>16</v>
      </c>
      <c r="P32" s="2040">
        <f t="shared" si="23"/>
        <v>1010</v>
      </c>
      <c r="Q32" s="2038">
        <f t="shared" si="24"/>
        <v>770</v>
      </c>
      <c r="R32" s="2038">
        <f t="shared" si="25"/>
        <v>7780</v>
      </c>
      <c r="S32" s="2038"/>
      <c r="T32" s="2041">
        <f t="shared" si="26"/>
        <v>7780</v>
      </c>
      <c r="U32" s="2042">
        <f t="shared" si="27"/>
        <v>12</v>
      </c>
      <c r="V32" s="2043">
        <f>'Data-Kolom'!J33</f>
        <v>0</v>
      </c>
      <c r="W32" s="2035">
        <f>'Data-Kolom'!K33</f>
        <v>0</v>
      </c>
      <c r="X32" s="2038">
        <f t="shared" si="28"/>
        <v>0</v>
      </c>
      <c r="Y32" s="2038">
        <f t="shared" si="29"/>
        <v>0</v>
      </c>
      <c r="Z32" s="2038">
        <f t="shared" si="30"/>
        <v>6000</v>
      </c>
      <c r="AA32" s="2038"/>
      <c r="AB32" s="2038">
        <f t="shared" si="31"/>
        <v>6000</v>
      </c>
      <c r="AC32" s="2038">
        <f t="shared" si="32"/>
        <v>0</v>
      </c>
      <c r="AD32" s="2039">
        <f>'Data-Kolom'!L33</f>
        <v>10</v>
      </c>
      <c r="AE32" s="2044">
        <f>'Data-Kolom'!M33</f>
        <v>100</v>
      </c>
      <c r="AF32" s="2044">
        <f>'Data-Kolom'!N33</f>
        <v>100</v>
      </c>
      <c r="AG32" s="2044">
        <f>'Data-Kolom'!O33</f>
        <v>100</v>
      </c>
      <c r="AH32" s="2044">
        <f>'Data-Kolom'!P33</f>
        <v>0</v>
      </c>
      <c r="AI32" s="2044">
        <f>'Data-Kolom'!Q33</f>
        <v>0</v>
      </c>
      <c r="AJ32" s="2044">
        <f>'Data-Kolom'!R33</f>
        <v>0</v>
      </c>
      <c r="AK32" s="2045">
        <f>'Data-Kolom'!S33</f>
        <v>0</v>
      </c>
      <c r="AL32" s="2046">
        <f t="shared" si="33"/>
        <v>1330</v>
      </c>
      <c r="AM32" s="2047">
        <f t="shared" si="34"/>
        <v>0</v>
      </c>
      <c r="AN32" s="2047">
        <f t="shared" si="35"/>
        <v>122</v>
      </c>
      <c r="AO32" s="2048">
        <f t="shared" si="36"/>
        <v>1.02</v>
      </c>
      <c r="AP32" s="2049">
        <f t="shared" si="37"/>
        <v>147.34448639999999</v>
      </c>
      <c r="AQ32" s="2050">
        <f t="shared" si="38"/>
        <v>0</v>
      </c>
      <c r="AR32" s="2050">
        <f t="shared" si="39"/>
        <v>100.03329000000001</v>
      </c>
      <c r="AS32" s="2050">
        <f t="shared" si="40"/>
        <v>0</v>
      </c>
      <c r="AT32" s="2051">
        <f t="shared" si="41"/>
        <v>16.079999999999998</v>
      </c>
      <c r="AU32" s="2052">
        <f t="shared" si="42"/>
        <v>242.5272317647059</v>
      </c>
      <c r="AV32" s="2052">
        <f t="shared" si="43"/>
        <v>15.764705882352938</v>
      </c>
      <c r="AX32" s="2049">
        <f t="shared" si="44"/>
        <v>147.34448639999999</v>
      </c>
      <c r="AY32" s="2054"/>
      <c r="AZ32" s="2055">
        <f t="shared" si="45"/>
        <v>0</v>
      </c>
      <c r="BA32" s="2056">
        <f t="shared" si="46"/>
        <v>0</v>
      </c>
    </row>
    <row r="33" spans="1:53" s="2053" customFormat="1" ht="13.9" customHeight="1">
      <c r="A33" s="2033">
        <f>'Data-Kolom'!A34</f>
        <v>19</v>
      </c>
      <c r="B33" s="2033" t="str">
        <f>'Data-Kolom'!B34</f>
        <v>Lantai 1</v>
      </c>
      <c r="C33" s="2033">
        <f>'Data-Kolom'!C34</f>
        <v>0</v>
      </c>
      <c r="D33" s="2034" t="str">
        <f>'Data-Kolom'!D34</f>
        <v>KL55</v>
      </c>
      <c r="E33" s="2035" t="s">
        <v>16</v>
      </c>
      <c r="F33" s="2036">
        <f>'Data-Kolom'!U34</f>
        <v>0</v>
      </c>
      <c r="G33" s="2037">
        <f>'Data-Kolom'!T34</f>
        <v>0</v>
      </c>
      <c r="H33" s="2035">
        <f>'Data-Kolom'!E34</f>
        <v>170</v>
      </c>
      <c r="I33" s="2035">
        <f>'Data-Kolom'!F34</f>
        <v>500</v>
      </c>
      <c r="J33" s="2035">
        <f>'Data-Kolom'!G34</f>
        <v>6000</v>
      </c>
      <c r="K33" s="2038">
        <v>2</v>
      </c>
      <c r="L33" s="2038"/>
      <c r="M33" s="2038">
        <f>IF(L33&gt;0,VLOOKUP(L33,'Data-PC'!$B$14:$F$56,4,FALSE),0)</f>
        <v>0</v>
      </c>
      <c r="N33" s="2039">
        <f>'Data-Kolom'!H34</f>
        <v>6</v>
      </c>
      <c r="O33" s="2035">
        <f>'Data-Kolom'!I34</f>
        <v>16</v>
      </c>
      <c r="P33" s="2040">
        <f t="shared" si="23"/>
        <v>1010</v>
      </c>
      <c r="Q33" s="2038">
        <f t="shared" si="24"/>
        <v>770</v>
      </c>
      <c r="R33" s="2038">
        <f t="shared" si="25"/>
        <v>7780</v>
      </c>
      <c r="S33" s="2038"/>
      <c r="T33" s="2041">
        <f t="shared" si="26"/>
        <v>7780</v>
      </c>
      <c r="U33" s="2042">
        <f t="shared" si="27"/>
        <v>12</v>
      </c>
      <c r="V33" s="2043">
        <f>'Data-Kolom'!J34</f>
        <v>0</v>
      </c>
      <c r="W33" s="2035">
        <f>'Data-Kolom'!K34</f>
        <v>0</v>
      </c>
      <c r="X33" s="2038">
        <f t="shared" si="28"/>
        <v>0</v>
      </c>
      <c r="Y33" s="2038">
        <f t="shared" si="29"/>
        <v>0</v>
      </c>
      <c r="Z33" s="2038">
        <f t="shared" si="30"/>
        <v>6000</v>
      </c>
      <c r="AA33" s="2038"/>
      <c r="AB33" s="2038">
        <f t="shared" si="31"/>
        <v>6000</v>
      </c>
      <c r="AC33" s="2038">
        <f t="shared" si="32"/>
        <v>0</v>
      </c>
      <c r="AD33" s="2039">
        <f>'Data-Kolom'!L34</f>
        <v>10</v>
      </c>
      <c r="AE33" s="2044">
        <f>'Data-Kolom'!M34</f>
        <v>100</v>
      </c>
      <c r="AF33" s="2044">
        <f>'Data-Kolom'!N34</f>
        <v>100</v>
      </c>
      <c r="AG33" s="2044">
        <f>'Data-Kolom'!O34</f>
        <v>100</v>
      </c>
      <c r="AH33" s="2044">
        <f>'Data-Kolom'!P34</f>
        <v>0</v>
      </c>
      <c r="AI33" s="2044">
        <f>'Data-Kolom'!Q34</f>
        <v>0</v>
      </c>
      <c r="AJ33" s="2044">
        <f>'Data-Kolom'!R34</f>
        <v>0</v>
      </c>
      <c r="AK33" s="2045">
        <f>'Data-Kolom'!S34</f>
        <v>0</v>
      </c>
      <c r="AL33" s="2046">
        <f t="shared" si="33"/>
        <v>1330</v>
      </c>
      <c r="AM33" s="2047">
        <f t="shared" si="34"/>
        <v>0</v>
      </c>
      <c r="AN33" s="2047">
        <f t="shared" si="35"/>
        <v>122</v>
      </c>
      <c r="AO33" s="2048">
        <f t="shared" si="36"/>
        <v>1.02</v>
      </c>
      <c r="AP33" s="2049">
        <f t="shared" si="37"/>
        <v>147.34448639999999</v>
      </c>
      <c r="AQ33" s="2050">
        <f t="shared" si="38"/>
        <v>0</v>
      </c>
      <c r="AR33" s="2050">
        <f t="shared" si="39"/>
        <v>100.03329000000001</v>
      </c>
      <c r="AS33" s="2050">
        <f t="shared" si="40"/>
        <v>0</v>
      </c>
      <c r="AT33" s="2051">
        <f t="shared" si="41"/>
        <v>16.079999999999998</v>
      </c>
      <c r="AU33" s="2052">
        <f t="shared" si="42"/>
        <v>242.5272317647059</v>
      </c>
      <c r="AV33" s="2052">
        <f t="shared" si="43"/>
        <v>15.764705882352938</v>
      </c>
      <c r="AX33" s="2049">
        <f t="shared" si="44"/>
        <v>147.34448639999999</v>
      </c>
      <c r="AY33" s="2054"/>
      <c r="AZ33" s="2055">
        <f t="shared" si="45"/>
        <v>0</v>
      </c>
      <c r="BA33" s="2056">
        <f t="shared" si="46"/>
        <v>0</v>
      </c>
    </row>
    <row r="34" spans="1:53" ht="13.9" customHeight="1">
      <c r="A34" s="842">
        <f>'Data-Kolom'!A35</f>
        <v>20</v>
      </c>
      <c r="B34" s="842" t="str">
        <f>'Data-Kolom'!B35</f>
        <v>Lantai 1</v>
      </c>
      <c r="C34" s="842">
        <f>'Data-Kolom'!C35</f>
        <v>0</v>
      </c>
      <c r="D34" s="841" t="str">
        <f>'Data-Kolom'!D35</f>
        <v>K2A6</v>
      </c>
      <c r="E34" s="832" t="s">
        <v>16</v>
      </c>
      <c r="F34" s="840">
        <f>'Data-Kolom'!U35</f>
        <v>0</v>
      </c>
      <c r="G34" s="839">
        <f>'Data-Kolom'!T35</f>
        <v>0</v>
      </c>
      <c r="H34" s="832">
        <f>'Data-Kolom'!E35</f>
        <v>250</v>
      </c>
      <c r="I34" s="832">
        <f>'Data-Kolom'!F35</f>
        <v>600</v>
      </c>
      <c r="J34" s="832">
        <f>'Data-Kolom'!G35</f>
        <v>4600</v>
      </c>
      <c r="K34" s="831">
        <v>1</v>
      </c>
      <c r="L34" s="831"/>
      <c r="M34" s="831">
        <f>IF(L34&gt;0,VLOOKUP(L34,'Data-PC'!$B$14:$F$56,4,FALSE),0)</f>
        <v>0</v>
      </c>
      <c r="N34" s="847">
        <f>'Data-Kolom'!H35</f>
        <v>10</v>
      </c>
      <c r="O34" s="832">
        <f>'Data-Kolom'!I35</f>
        <v>16</v>
      </c>
      <c r="P34" s="850">
        <f t="shared" si="23"/>
        <v>1010</v>
      </c>
      <c r="Q34" s="831">
        <f t="shared" si="24"/>
        <v>770</v>
      </c>
      <c r="R34" s="831">
        <f t="shared" si="25"/>
        <v>6380</v>
      </c>
      <c r="S34" s="831"/>
      <c r="T34" s="849">
        <f t="shared" si="26"/>
        <v>6380</v>
      </c>
      <c r="U34" s="848">
        <f t="shared" si="27"/>
        <v>10</v>
      </c>
      <c r="V34" s="833">
        <f>'Data-Kolom'!J35</f>
        <v>0</v>
      </c>
      <c r="W34" s="832">
        <f>'Data-Kolom'!K35</f>
        <v>0</v>
      </c>
      <c r="X34" s="831">
        <f t="shared" si="28"/>
        <v>0</v>
      </c>
      <c r="Y34" s="831">
        <f t="shared" si="29"/>
        <v>0</v>
      </c>
      <c r="Z34" s="831">
        <f t="shared" si="30"/>
        <v>4600</v>
      </c>
      <c r="AA34" s="831"/>
      <c r="AB34" s="831">
        <f t="shared" si="31"/>
        <v>4600</v>
      </c>
      <c r="AC34" s="831">
        <f t="shared" si="32"/>
        <v>0</v>
      </c>
      <c r="AD34" s="847">
        <f>'Data-Kolom'!L35</f>
        <v>10</v>
      </c>
      <c r="AE34" s="846">
        <f>'Data-Kolom'!M35</f>
        <v>100</v>
      </c>
      <c r="AF34" s="846">
        <f>'Data-Kolom'!N35</f>
        <v>100</v>
      </c>
      <c r="AG34" s="846">
        <f>'Data-Kolom'!O35</f>
        <v>100</v>
      </c>
      <c r="AH34" s="846">
        <f>'Data-Kolom'!P35</f>
        <v>1</v>
      </c>
      <c r="AI34" s="846">
        <f>'Data-Kolom'!Q35</f>
        <v>10</v>
      </c>
      <c r="AJ34" s="846">
        <f>'Data-Kolom'!R35</f>
        <v>0</v>
      </c>
      <c r="AK34" s="853">
        <f>'Data-Kolom'!S35</f>
        <v>0</v>
      </c>
      <c r="AL34" s="827">
        <f t="shared" si="33"/>
        <v>1690</v>
      </c>
      <c r="AM34" s="826">
        <f t="shared" si="34"/>
        <v>360</v>
      </c>
      <c r="AN34" s="826">
        <f t="shared" si="35"/>
        <v>47</v>
      </c>
      <c r="AO34" s="845">
        <f t="shared" si="36"/>
        <v>0.69</v>
      </c>
      <c r="AP34" s="822">
        <f t="shared" si="37"/>
        <v>100.691712</v>
      </c>
      <c r="AQ34" s="824">
        <f t="shared" si="38"/>
        <v>0</v>
      </c>
      <c r="AR34" s="824">
        <f t="shared" si="39"/>
        <v>48.968595000000008</v>
      </c>
      <c r="AS34" s="824">
        <f t="shared" si="40"/>
        <v>10.431180000000001</v>
      </c>
      <c r="AT34" s="823">
        <f t="shared" si="41"/>
        <v>7.82</v>
      </c>
      <c r="AU34" s="844">
        <f t="shared" si="42"/>
        <v>232.01664782608697</v>
      </c>
      <c r="AV34" s="844">
        <f t="shared" si="43"/>
        <v>11.333333333333334</v>
      </c>
      <c r="AX34" s="822">
        <f t="shared" si="44"/>
        <v>100.691712</v>
      </c>
      <c r="AY34" s="843"/>
      <c r="AZ34" s="852">
        <f t="shared" si="45"/>
        <v>0</v>
      </c>
      <c r="BA34" s="851">
        <f t="shared" si="46"/>
        <v>0</v>
      </c>
    </row>
    <row r="35" spans="1:53" s="2053" customFormat="1" ht="13.9" customHeight="1">
      <c r="A35" s="2033">
        <f>'Data-Kolom'!A36</f>
        <v>21</v>
      </c>
      <c r="B35" s="2033" t="str">
        <f>'Data-Kolom'!B36</f>
        <v>Lantai 1</v>
      </c>
      <c r="C35" s="2033">
        <f>'Data-Kolom'!C36</f>
        <v>0</v>
      </c>
      <c r="D35" s="2034" t="str">
        <f>'Data-Kolom'!D36</f>
        <v>KL55</v>
      </c>
      <c r="E35" s="2035" t="s">
        <v>16</v>
      </c>
      <c r="F35" s="2036">
        <f>'Data-Kolom'!U36</f>
        <v>0</v>
      </c>
      <c r="G35" s="2037">
        <f>'Data-Kolom'!T36</f>
        <v>0</v>
      </c>
      <c r="H35" s="2035">
        <f>'Data-Kolom'!E36</f>
        <v>170</v>
      </c>
      <c r="I35" s="2035">
        <f>'Data-Kolom'!F36</f>
        <v>500</v>
      </c>
      <c r="J35" s="2035">
        <f>'Data-Kolom'!G36</f>
        <v>6000</v>
      </c>
      <c r="K35" s="2038">
        <v>2</v>
      </c>
      <c r="L35" s="2038"/>
      <c r="M35" s="2038">
        <f>IF(L35&gt;0,VLOOKUP(L35,'Data-PC'!$B$14:$F$56,4,FALSE),0)</f>
        <v>0</v>
      </c>
      <c r="N35" s="2039">
        <f>'Data-Kolom'!H36</f>
        <v>6</v>
      </c>
      <c r="O35" s="2035">
        <f>'Data-Kolom'!I36</f>
        <v>16</v>
      </c>
      <c r="P35" s="2040">
        <f t="shared" si="23"/>
        <v>1010</v>
      </c>
      <c r="Q35" s="2038">
        <f t="shared" si="24"/>
        <v>770</v>
      </c>
      <c r="R35" s="2038">
        <f t="shared" si="25"/>
        <v>7780</v>
      </c>
      <c r="S35" s="2038"/>
      <c r="T35" s="2041">
        <f t="shared" si="26"/>
        <v>7780</v>
      </c>
      <c r="U35" s="2042">
        <f t="shared" si="27"/>
        <v>12</v>
      </c>
      <c r="V35" s="2043">
        <f>'Data-Kolom'!J36</f>
        <v>0</v>
      </c>
      <c r="W35" s="2035">
        <f>'Data-Kolom'!K36</f>
        <v>0</v>
      </c>
      <c r="X35" s="2038">
        <f t="shared" si="28"/>
        <v>0</v>
      </c>
      <c r="Y35" s="2038">
        <f t="shared" si="29"/>
        <v>0</v>
      </c>
      <c r="Z35" s="2038">
        <f t="shared" si="30"/>
        <v>6000</v>
      </c>
      <c r="AA35" s="2038"/>
      <c r="AB35" s="2038">
        <f t="shared" si="31"/>
        <v>6000</v>
      </c>
      <c r="AC35" s="2038">
        <f t="shared" si="32"/>
        <v>0</v>
      </c>
      <c r="AD35" s="2039">
        <f>'Data-Kolom'!L36</f>
        <v>10</v>
      </c>
      <c r="AE35" s="2044">
        <f>'Data-Kolom'!M36</f>
        <v>100</v>
      </c>
      <c r="AF35" s="2044">
        <f>'Data-Kolom'!N36</f>
        <v>100</v>
      </c>
      <c r="AG35" s="2044">
        <f>'Data-Kolom'!O36</f>
        <v>100</v>
      </c>
      <c r="AH35" s="2044">
        <f>'Data-Kolom'!P36</f>
        <v>0</v>
      </c>
      <c r="AI35" s="2044">
        <f>'Data-Kolom'!Q36</f>
        <v>0</v>
      </c>
      <c r="AJ35" s="2044">
        <f>'Data-Kolom'!R36</f>
        <v>0</v>
      </c>
      <c r="AK35" s="2045">
        <f>'Data-Kolom'!S36</f>
        <v>0</v>
      </c>
      <c r="AL35" s="2046">
        <f t="shared" si="33"/>
        <v>1330</v>
      </c>
      <c r="AM35" s="2047">
        <f t="shared" si="34"/>
        <v>0</v>
      </c>
      <c r="AN35" s="2047">
        <f t="shared" si="35"/>
        <v>122</v>
      </c>
      <c r="AO35" s="2048">
        <f t="shared" si="36"/>
        <v>1.02</v>
      </c>
      <c r="AP35" s="2049">
        <f t="shared" si="37"/>
        <v>147.34448639999999</v>
      </c>
      <c r="AQ35" s="2050">
        <f t="shared" si="38"/>
        <v>0</v>
      </c>
      <c r="AR35" s="2050">
        <f t="shared" si="39"/>
        <v>100.03329000000001</v>
      </c>
      <c r="AS35" s="2050">
        <f t="shared" si="40"/>
        <v>0</v>
      </c>
      <c r="AT35" s="2051">
        <f t="shared" si="41"/>
        <v>16.079999999999998</v>
      </c>
      <c r="AU35" s="2052">
        <f t="shared" si="42"/>
        <v>242.5272317647059</v>
      </c>
      <c r="AV35" s="2052">
        <f t="shared" si="43"/>
        <v>15.764705882352938</v>
      </c>
      <c r="AX35" s="2049">
        <f t="shared" si="44"/>
        <v>147.34448639999999</v>
      </c>
      <c r="AY35" s="2054"/>
      <c r="AZ35" s="2055">
        <f t="shared" si="45"/>
        <v>0</v>
      </c>
      <c r="BA35" s="2056">
        <f t="shared" si="46"/>
        <v>0</v>
      </c>
    </row>
    <row r="36" spans="1:53" s="2053" customFormat="1" ht="13.9" customHeight="1">
      <c r="A36" s="2033">
        <f>'Data-Kolom'!A37</f>
        <v>22</v>
      </c>
      <c r="B36" s="2033" t="str">
        <f>'Data-Kolom'!B37</f>
        <v>Lantai 1</v>
      </c>
      <c r="C36" s="2033">
        <f>'Data-Kolom'!C37</f>
        <v>0</v>
      </c>
      <c r="D36" s="2034" t="str">
        <f>'Data-Kolom'!D37</f>
        <v>KL55</v>
      </c>
      <c r="E36" s="2035" t="s">
        <v>16</v>
      </c>
      <c r="F36" s="2036">
        <f>'Data-Kolom'!U37</f>
        <v>0</v>
      </c>
      <c r="G36" s="2037">
        <f>'Data-Kolom'!T37</f>
        <v>0</v>
      </c>
      <c r="H36" s="2035">
        <f>'Data-Kolom'!E37</f>
        <v>170</v>
      </c>
      <c r="I36" s="2035">
        <f>'Data-Kolom'!F37</f>
        <v>500</v>
      </c>
      <c r="J36" s="2035">
        <f>'Data-Kolom'!G37</f>
        <v>6000</v>
      </c>
      <c r="K36" s="2038">
        <v>2</v>
      </c>
      <c r="L36" s="2038"/>
      <c r="M36" s="2038">
        <f>IF(L36&gt;0,VLOOKUP(L36,'Data-PC'!$B$14:$F$56,4,FALSE),0)</f>
        <v>0</v>
      </c>
      <c r="N36" s="2039">
        <f>'Data-Kolom'!H37</f>
        <v>6</v>
      </c>
      <c r="O36" s="2035">
        <f>'Data-Kolom'!I37</f>
        <v>16</v>
      </c>
      <c r="P36" s="2040">
        <f t="shared" si="23"/>
        <v>1010</v>
      </c>
      <c r="Q36" s="2038">
        <f t="shared" si="24"/>
        <v>770</v>
      </c>
      <c r="R36" s="2038">
        <f t="shared" si="25"/>
        <v>7780</v>
      </c>
      <c r="S36" s="2038"/>
      <c r="T36" s="2041">
        <f t="shared" si="26"/>
        <v>7780</v>
      </c>
      <c r="U36" s="2042">
        <f t="shared" si="27"/>
        <v>12</v>
      </c>
      <c r="V36" s="2043">
        <f>'Data-Kolom'!J37</f>
        <v>0</v>
      </c>
      <c r="W36" s="2035">
        <f>'Data-Kolom'!K37</f>
        <v>0</v>
      </c>
      <c r="X36" s="2038">
        <f t="shared" si="28"/>
        <v>0</v>
      </c>
      <c r="Y36" s="2038">
        <f t="shared" si="29"/>
        <v>0</v>
      </c>
      <c r="Z36" s="2038">
        <f t="shared" si="30"/>
        <v>6000</v>
      </c>
      <c r="AA36" s="2038"/>
      <c r="AB36" s="2038">
        <f t="shared" si="31"/>
        <v>6000</v>
      </c>
      <c r="AC36" s="2038">
        <f t="shared" si="32"/>
        <v>0</v>
      </c>
      <c r="AD36" s="2039">
        <f>'Data-Kolom'!L37</f>
        <v>10</v>
      </c>
      <c r="AE36" s="2044">
        <f>'Data-Kolom'!M37</f>
        <v>100</v>
      </c>
      <c r="AF36" s="2044">
        <f>'Data-Kolom'!N37</f>
        <v>100</v>
      </c>
      <c r="AG36" s="2044">
        <f>'Data-Kolom'!O37</f>
        <v>100</v>
      </c>
      <c r="AH36" s="2044">
        <f>'Data-Kolom'!P37</f>
        <v>0</v>
      </c>
      <c r="AI36" s="2044">
        <f>'Data-Kolom'!Q37</f>
        <v>0</v>
      </c>
      <c r="AJ36" s="2044">
        <f>'Data-Kolom'!R37</f>
        <v>0</v>
      </c>
      <c r="AK36" s="2045">
        <f>'Data-Kolom'!S37</f>
        <v>0</v>
      </c>
      <c r="AL36" s="2046">
        <f t="shared" si="33"/>
        <v>1330</v>
      </c>
      <c r="AM36" s="2047">
        <f t="shared" si="34"/>
        <v>0</v>
      </c>
      <c r="AN36" s="2047">
        <f t="shared" si="35"/>
        <v>122</v>
      </c>
      <c r="AO36" s="2048">
        <f t="shared" si="36"/>
        <v>1.02</v>
      </c>
      <c r="AP36" s="2049">
        <f t="shared" si="37"/>
        <v>147.34448639999999</v>
      </c>
      <c r="AQ36" s="2050">
        <f t="shared" si="38"/>
        <v>0</v>
      </c>
      <c r="AR36" s="2050">
        <f t="shared" si="39"/>
        <v>100.03329000000001</v>
      </c>
      <c r="AS36" s="2050">
        <f t="shared" si="40"/>
        <v>0</v>
      </c>
      <c r="AT36" s="2051">
        <f t="shared" si="41"/>
        <v>16.079999999999998</v>
      </c>
      <c r="AU36" s="2052">
        <f t="shared" si="42"/>
        <v>242.5272317647059</v>
      </c>
      <c r="AV36" s="2052">
        <f t="shared" si="43"/>
        <v>15.764705882352938</v>
      </c>
      <c r="AX36" s="2049">
        <f t="shared" si="44"/>
        <v>147.34448639999999</v>
      </c>
      <c r="AY36" s="2054"/>
      <c r="AZ36" s="2055">
        <f t="shared" si="45"/>
        <v>0</v>
      </c>
      <c r="BA36" s="2056">
        <f t="shared" si="46"/>
        <v>0</v>
      </c>
    </row>
    <row r="37" spans="1:53" ht="13.9" customHeight="1">
      <c r="A37" s="842">
        <f>'Data-Kolom'!A38</f>
        <v>23</v>
      </c>
      <c r="B37" s="842" t="str">
        <f>'Data-Kolom'!B38</f>
        <v>Lantai 1</v>
      </c>
      <c r="C37" s="842">
        <f>'Data-Kolom'!C38</f>
        <v>0</v>
      </c>
      <c r="D37" s="841" t="str">
        <f>'Data-Kolom'!D38</f>
        <v>K2A5</v>
      </c>
      <c r="E37" s="832" t="s">
        <v>16</v>
      </c>
      <c r="F37" s="840">
        <f>'Data-Kolom'!U38</f>
        <v>0</v>
      </c>
      <c r="G37" s="839">
        <f>'Data-Kolom'!T38</f>
        <v>0</v>
      </c>
      <c r="H37" s="832">
        <f>'Data-Kolom'!E38</f>
        <v>250</v>
      </c>
      <c r="I37" s="832">
        <f>'Data-Kolom'!F38</f>
        <v>500</v>
      </c>
      <c r="J37" s="832">
        <f>'Data-Kolom'!G38</f>
        <v>4600</v>
      </c>
      <c r="K37" s="831">
        <v>1</v>
      </c>
      <c r="L37" s="831"/>
      <c r="M37" s="831">
        <f>IF(L37&gt;0,VLOOKUP(L37,'Data-PC'!$B$14:$F$56,4,FALSE),0)</f>
        <v>0</v>
      </c>
      <c r="N37" s="847">
        <f>'Data-Kolom'!H38</f>
        <v>8</v>
      </c>
      <c r="O37" s="832">
        <f>'Data-Kolom'!I38</f>
        <v>16</v>
      </c>
      <c r="P37" s="850">
        <f t="shared" si="23"/>
        <v>1010</v>
      </c>
      <c r="Q37" s="831">
        <f t="shared" si="24"/>
        <v>770</v>
      </c>
      <c r="R37" s="831">
        <f t="shared" si="25"/>
        <v>6380</v>
      </c>
      <c r="S37" s="831"/>
      <c r="T37" s="849">
        <f t="shared" si="26"/>
        <v>6380</v>
      </c>
      <c r="U37" s="848">
        <f t="shared" si="27"/>
        <v>8</v>
      </c>
      <c r="V37" s="833">
        <f>'Data-Kolom'!J38</f>
        <v>0</v>
      </c>
      <c r="W37" s="832">
        <f>'Data-Kolom'!K38</f>
        <v>0</v>
      </c>
      <c r="X37" s="831">
        <f t="shared" si="28"/>
        <v>0</v>
      </c>
      <c r="Y37" s="831">
        <f t="shared" si="29"/>
        <v>0</v>
      </c>
      <c r="Z37" s="831">
        <f t="shared" si="30"/>
        <v>4600</v>
      </c>
      <c r="AA37" s="831"/>
      <c r="AB37" s="831">
        <f t="shared" si="31"/>
        <v>4600</v>
      </c>
      <c r="AC37" s="831">
        <f t="shared" si="32"/>
        <v>0</v>
      </c>
      <c r="AD37" s="847">
        <f>'Data-Kolom'!L38</f>
        <v>10</v>
      </c>
      <c r="AE37" s="846">
        <f>'Data-Kolom'!M38</f>
        <v>100</v>
      </c>
      <c r="AF37" s="846">
        <f>'Data-Kolom'!N38</f>
        <v>100</v>
      </c>
      <c r="AG37" s="846">
        <f>'Data-Kolom'!O38</f>
        <v>100</v>
      </c>
      <c r="AH37" s="846">
        <f>'Data-Kolom'!P38</f>
        <v>1</v>
      </c>
      <c r="AI37" s="846">
        <f>'Data-Kolom'!Q38</f>
        <v>10</v>
      </c>
      <c r="AJ37" s="846">
        <f>'Data-Kolom'!R38</f>
        <v>0</v>
      </c>
      <c r="AK37" s="853">
        <f>'Data-Kolom'!S38</f>
        <v>0</v>
      </c>
      <c r="AL37" s="827">
        <f t="shared" si="33"/>
        <v>1490</v>
      </c>
      <c r="AM37" s="826">
        <f t="shared" si="34"/>
        <v>360</v>
      </c>
      <c r="AN37" s="826">
        <f t="shared" si="35"/>
        <v>47</v>
      </c>
      <c r="AO37" s="845">
        <f t="shared" si="36"/>
        <v>0.57499999999999996</v>
      </c>
      <c r="AP37" s="822">
        <f t="shared" si="37"/>
        <v>80.553369600000011</v>
      </c>
      <c r="AQ37" s="824">
        <f t="shared" si="38"/>
        <v>0</v>
      </c>
      <c r="AR37" s="824">
        <f t="shared" si="39"/>
        <v>43.173495000000003</v>
      </c>
      <c r="AS37" s="824">
        <f t="shared" si="40"/>
        <v>10.431180000000001</v>
      </c>
      <c r="AT37" s="823">
        <f t="shared" si="41"/>
        <v>6.9</v>
      </c>
      <c r="AU37" s="844">
        <f t="shared" si="42"/>
        <v>233.31833843478265</v>
      </c>
      <c r="AV37" s="844">
        <f t="shared" si="43"/>
        <v>12.000000000000002</v>
      </c>
      <c r="AX37" s="822">
        <f t="shared" si="44"/>
        <v>80.553369600000011</v>
      </c>
      <c r="AY37" s="843"/>
      <c r="AZ37" s="852">
        <f t="shared" si="45"/>
        <v>0</v>
      </c>
      <c r="BA37" s="851">
        <f t="shared" si="46"/>
        <v>0</v>
      </c>
    </row>
    <row r="38" spans="1:53" ht="14.25" customHeight="1">
      <c r="A38" s="2057">
        <f>'Data-Kolom'!A39</f>
        <v>24</v>
      </c>
      <c r="B38" s="2058" t="str">
        <f>'Data-Kolom'!B39</f>
        <v>Lantai 1</v>
      </c>
      <c r="C38" s="2058">
        <f>'Data-Kolom'!C39</f>
        <v>0</v>
      </c>
      <c r="D38" s="2059" t="str">
        <f>'Data-Kolom'!D39</f>
        <v>KB2A</v>
      </c>
      <c r="E38" s="2060" t="s">
        <v>324</v>
      </c>
      <c r="F38" s="2061">
        <f>'Data-Kolom'!U39</f>
        <v>0</v>
      </c>
      <c r="G38" s="2062">
        <f>'Data-Kolom'!T39</f>
        <v>0</v>
      </c>
      <c r="H38" s="2060">
        <f>'Data-Kolom'!E39</f>
        <v>250</v>
      </c>
      <c r="I38" s="2060">
        <f>'Data-Kolom'!F39</f>
        <v>250</v>
      </c>
      <c r="J38" s="2060">
        <f>'Data-Kolom'!G39</f>
        <v>4600</v>
      </c>
      <c r="K38" s="2063">
        <v>1</v>
      </c>
      <c r="L38" s="2063"/>
      <c r="M38" s="2063">
        <f>IF(L38&gt;0,VLOOKUP(L38,'Data-PC'!$B$14:$F$56,4,FALSE),0)</f>
        <v>0</v>
      </c>
      <c r="N38" s="2064">
        <f>'Data-Kolom'!H39</f>
        <v>6</v>
      </c>
      <c r="O38" s="2060">
        <f>'Data-Kolom'!I39</f>
        <v>16</v>
      </c>
      <c r="P38" s="2065">
        <f>IF(N38&gt;0,VLOOKUP(O38,$V$2:$X$9,2,FALSE),0)</f>
        <v>1010</v>
      </c>
      <c r="Q38" s="2063">
        <f>IF(L38&gt;0,M38-50+$N$6*O38,VLOOKUP(O38,$V$2:$X$9,3,FALSE))</f>
        <v>770</v>
      </c>
      <c r="R38" s="2063">
        <f t="shared" ref="R38" si="48">IF(E38="F",J38-$N$5+$N$6*O38+Q38,IF(E38="D",J38+Q38+P38,IF(E38="T",J38+P38,IF(E38="A",J38-$N$5+$N$6*O38,0))))</f>
        <v>5542</v>
      </c>
      <c r="S38" s="2063"/>
      <c r="T38" s="2066">
        <f t="shared" ref="T38" si="49">SUM(R38:S38)</f>
        <v>5542</v>
      </c>
      <c r="U38" s="2067">
        <f t="shared" ref="U38" si="50">K38*N38</f>
        <v>6</v>
      </c>
      <c r="V38" s="2068">
        <f>'Data-Kolom'!J39</f>
        <v>0</v>
      </c>
      <c r="W38" s="2060">
        <f>'Data-Kolom'!K39</f>
        <v>0</v>
      </c>
      <c r="X38" s="2063">
        <f>IF(V38&gt;0,VLOOKUP(W38,$V$2:$X$9,2,FALSE),0)</f>
        <v>0</v>
      </c>
      <c r="Y38" s="2063">
        <f>IF(V38&gt;0,IF(L38&gt;0,M38-50+$N$6*W38,VLOOKUP(W38,$V$2:$X$9,3,FALSE)),0)</f>
        <v>0</v>
      </c>
      <c r="Z38" s="2063">
        <f t="shared" ref="Z38" si="51">IF(E38="F",J38-$N$5+$N$6*W38+Y38,IF(E38="D",J38+Y38+X38,IF(E38="T",J38+X38,IF(E38="A",J38-$N$5+$N$6*W38,0))))</f>
        <v>4580</v>
      </c>
      <c r="AA38" s="2063"/>
      <c r="AB38" s="2063">
        <f t="shared" ref="AB38" si="52">SUM(Z38:AA38)</f>
        <v>4580</v>
      </c>
      <c r="AC38" s="2063">
        <f t="shared" ref="AC38" si="53">V38*K38</f>
        <v>0</v>
      </c>
      <c r="AD38" s="2064">
        <f>'Data-Kolom'!L39</f>
        <v>10</v>
      </c>
      <c r="AE38" s="2069">
        <f>'Data-Kolom'!M39</f>
        <v>100</v>
      </c>
      <c r="AF38" s="2069">
        <f>'Data-Kolom'!N39</f>
        <v>100</v>
      </c>
      <c r="AG38" s="2069">
        <f>'Data-Kolom'!O39</f>
        <v>100</v>
      </c>
      <c r="AH38" s="2069">
        <f>'Data-Kolom'!P39</f>
        <v>0</v>
      </c>
      <c r="AI38" s="2069">
        <f>'Data-Kolom'!Q39</f>
        <v>0</v>
      </c>
      <c r="AJ38" s="2069">
        <f>'Data-Kolom'!R39</f>
        <v>0</v>
      </c>
      <c r="AK38" s="2070">
        <f>'Data-Kolom'!S39</f>
        <v>0</v>
      </c>
      <c r="AL38" s="2071">
        <f>2*PI()*(H38-$N$5)+2*MAX($F$5*AD38,75)</f>
        <v>1595.1326206513049</v>
      </c>
      <c r="AM38" s="2072">
        <f t="shared" ref="AM38" si="54">+AH38*(H38-2*$N$5+2*MAX($F$5*AI38,75))+AJ38*(I38-2*$N$5+2*MAX($F$5*AK38,75))</f>
        <v>0</v>
      </c>
      <c r="AN38" s="2072">
        <f t="shared" ref="AN38" si="55">(ROUND((1/2*J38+IF(M38&gt;0,(Q38-$N$6*AD38),0))/AE38,0)+(ROUND(1/2*J38/AF38,0)+1))*K38</f>
        <v>47</v>
      </c>
      <c r="AO38" s="2073">
        <f>PI()*H38^2*J38/1000000000*K38*(1+$T$5)</f>
        <v>0.90320788790706552</v>
      </c>
      <c r="AP38" s="2074">
        <f t="shared" ref="AP38" si="56">0.006165*O38^2*T38*U38/1000*(1+$T$6)</f>
        <v>52.479636480000011</v>
      </c>
      <c r="AQ38" s="2075">
        <f t="shared" ref="AQ38" si="57">0.006165*W38^2*AB38*AC38/1000*(1+$T$6)</f>
        <v>0</v>
      </c>
      <c r="AR38" s="2075">
        <f t="shared" ref="AR38" si="58">AN38*0.006165*AD38^2*AL38/1000*(1+$T$6)</f>
        <v>46.219765249681892</v>
      </c>
      <c r="AS38" s="2075">
        <f t="shared" ref="AS38" si="59">AN38*0.006165*AI38^2*AM38/1000*(1+$T$6)</f>
        <v>0</v>
      </c>
      <c r="AT38" s="2076">
        <f>(K38*PI()*H38*J38)/1000000*(1+$T$7)</f>
        <v>3.6128315516282616</v>
      </c>
      <c r="AU38" s="2077">
        <f t="shared" ref="AU38" si="60">SUM(AP38:AS38)/AO38</f>
        <v>109.27650549907229</v>
      </c>
      <c r="AV38" s="2077">
        <f t="shared" ref="AV38" si="61">AT38/AO38</f>
        <v>3.9999999999999996</v>
      </c>
      <c r="AW38" s="2078"/>
      <c r="AX38" s="2074">
        <f t="shared" ref="AX38" si="62">0.006165*O38^2*R38*U38/1000*(1+$T$6)</f>
        <v>52.479636480000011</v>
      </c>
      <c r="AY38" s="2079"/>
      <c r="AZ38" s="2080">
        <f t="shared" ref="AZ38" si="63">0.006165*O38^2*S38*U38/1000*(1+$T$6)</f>
        <v>0</v>
      </c>
      <c r="BA38" s="2081">
        <f t="shared" ref="BA38" si="64">AZ38/AP38</f>
        <v>0</v>
      </c>
    </row>
    <row r="39" spans="1:53" ht="13.9" customHeight="1">
      <c r="A39" s="842">
        <f>'Data-Kolom'!A40</f>
        <v>25</v>
      </c>
      <c r="B39" s="842" t="str">
        <f>'Data-Kolom'!B40</f>
        <v>Lantai 1</v>
      </c>
      <c r="C39" s="842">
        <f>'Data-Kolom'!C40</f>
        <v>0</v>
      </c>
      <c r="D39" s="841" t="str">
        <f>'Data-Kolom'!D40</f>
        <v>K26</v>
      </c>
      <c r="E39" s="832" t="s">
        <v>16</v>
      </c>
      <c r="F39" s="840">
        <f>'Data-Kolom'!U40</f>
        <v>0</v>
      </c>
      <c r="G39" s="839">
        <f>'Data-Kolom'!T40</f>
        <v>0</v>
      </c>
      <c r="H39" s="832">
        <f>'Data-Kolom'!E40</f>
        <v>200</v>
      </c>
      <c r="I39" s="832">
        <f>'Data-Kolom'!F40</f>
        <v>600</v>
      </c>
      <c r="J39" s="832">
        <f>'Data-Kolom'!G40</f>
        <v>4600</v>
      </c>
      <c r="K39" s="831">
        <v>1</v>
      </c>
      <c r="L39" s="831"/>
      <c r="M39" s="831">
        <f>IF(L39&gt;0,VLOOKUP(L39,'Data-PC'!$B$14:$F$56,4,FALSE),0)</f>
        <v>0</v>
      </c>
      <c r="N39" s="847">
        <f>'Data-Kolom'!H40</f>
        <v>10</v>
      </c>
      <c r="O39" s="832">
        <f>'Data-Kolom'!I40</f>
        <v>16</v>
      </c>
      <c r="P39" s="850">
        <f t="shared" si="23"/>
        <v>1010</v>
      </c>
      <c r="Q39" s="831">
        <f t="shared" si="24"/>
        <v>770</v>
      </c>
      <c r="R39" s="831">
        <f t="shared" si="25"/>
        <v>6380</v>
      </c>
      <c r="S39" s="831"/>
      <c r="T39" s="849">
        <f t="shared" si="26"/>
        <v>6380</v>
      </c>
      <c r="U39" s="848">
        <f t="shared" si="27"/>
        <v>10</v>
      </c>
      <c r="V39" s="833">
        <f>'Data-Kolom'!J40</f>
        <v>0</v>
      </c>
      <c r="W39" s="832">
        <f>'Data-Kolom'!K40</f>
        <v>0</v>
      </c>
      <c r="X39" s="831">
        <f t="shared" si="28"/>
        <v>0</v>
      </c>
      <c r="Y39" s="831">
        <f t="shared" si="29"/>
        <v>0</v>
      </c>
      <c r="Z39" s="831">
        <f t="shared" si="30"/>
        <v>4600</v>
      </c>
      <c r="AA39" s="831"/>
      <c r="AB39" s="831">
        <f t="shared" si="31"/>
        <v>4600</v>
      </c>
      <c r="AC39" s="831">
        <f t="shared" si="32"/>
        <v>0</v>
      </c>
      <c r="AD39" s="847">
        <f>'Data-Kolom'!L40</f>
        <v>10</v>
      </c>
      <c r="AE39" s="846">
        <f>'Data-Kolom'!M40</f>
        <v>100</v>
      </c>
      <c r="AF39" s="846">
        <f>'Data-Kolom'!N40</f>
        <v>100</v>
      </c>
      <c r="AG39" s="846">
        <f>'Data-Kolom'!O40</f>
        <v>100</v>
      </c>
      <c r="AH39" s="846">
        <f>'Data-Kolom'!P40</f>
        <v>0</v>
      </c>
      <c r="AI39" s="846">
        <f>'Data-Kolom'!Q40</f>
        <v>0</v>
      </c>
      <c r="AJ39" s="846">
        <f>'Data-Kolom'!R40</f>
        <v>0</v>
      </c>
      <c r="AK39" s="853">
        <f>'Data-Kolom'!S40</f>
        <v>0</v>
      </c>
      <c r="AL39" s="827">
        <f t="shared" si="33"/>
        <v>1590</v>
      </c>
      <c r="AM39" s="826">
        <f t="shared" si="34"/>
        <v>0</v>
      </c>
      <c r="AN39" s="826">
        <f t="shared" si="35"/>
        <v>47</v>
      </c>
      <c r="AO39" s="845">
        <f t="shared" si="36"/>
        <v>0.55200000000000005</v>
      </c>
      <c r="AP39" s="822">
        <f t="shared" si="37"/>
        <v>100.691712</v>
      </c>
      <c r="AQ39" s="824">
        <f t="shared" si="38"/>
        <v>0</v>
      </c>
      <c r="AR39" s="824">
        <f t="shared" si="39"/>
        <v>46.071045000000005</v>
      </c>
      <c r="AS39" s="824">
        <f t="shared" si="40"/>
        <v>0</v>
      </c>
      <c r="AT39" s="823">
        <f t="shared" si="41"/>
        <v>7.36</v>
      </c>
      <c r="AU39" s="844">
        <f t="shared" si="42"/>
        <v>265.87455978260869</v>
      </c>
      <c r="AV39" s="844">
        <f t="shared" si="43"/>
        <v>13.333333333333332</v>
      </c>
      <c r="AX39" s="822">
        <f t="shared" si="44"/>
        <v>100.691712</v>
      </c>
      <c r="AY39" s="843"/>
      <c r="AZ39" s="852">
        <f t="shared" si="45"/>
        <v>0</v>
      </c>
      <c r="BA39" s="851">
        <f t="shared" si="46"/>
        <v>0</v>
      </c>
    </row>
    <row r="40" spans="1:53" ht="13.9" customHeight="1">
      <c r="A40" s="842">
        <f>'Data-Kolom'!A41</f>
        <v>26</v>
      </c>
      <c r="B40" s="842" t="str">
        <f>'Data-Kolom'!B41</f>
        <v>Lantai 1</v>
      </c>
      <c r="C40" s="842">
        <f>'Data-Kolom'!C41</f>
        <v>0</v>
      </c>
      <c r="D40" s="841" t="str">
        <f>'Data-Kolom'!D41</f>
        <v>K26</v>
      </c>
      <c r="E40" s="832" t="s">
        <v>16</v>
      </c>
      <c r="F40" s="840">
        <f>'Data-Kolom'!U41</f>
        <v>0</v>
      </c>
      <c r="G40" s="839">
        <f>'Data-Kolom'!T41</f>
        <v>0</v>
      </c>
      <c r="H40" s="832">
        <f>'Data-Kolom'!E41</f>
        <v>200</v>
      </c>
      <c r="I40" s="832">
        <f>'Data-Kolom'!F41</f>
        <v>600</v>
      </c>
      <c r="J40" s="832">
        <f>'Data-Kolom'!G41</f>
        <v>5500</v>
      </c>
      <c r="K40" s="831">
        <v>1</v>
      </c>
      <c r="L40" s="831"/>
      <c r="M40" s="831">
        <f>IF(L40&gt;0,VLOOKUP(L40,'Data-PC'!$B$14:$F$56,4,FALSE),0)</f>
        <v>0</v>
      </c>
      <c r="N40" s="847">
        <f>'Data-Kolom'!H41</f>
        <v>10</v>
      </c>
      <c r="O40" s="832">
        <f>'Data-Kolom'!I41</f>
        <v>16</v>
      </c>
      <c r="P40" s="850">
        <f t="shared" si="23"/>
        <v>1010</v>
      </c>
      <c r="Q40" s="831">
        <f t="shared" si="24"/>
        <v>770</v>
      </c>
      <c r="R40" s="831">
        <f t="shared" si="25"/>
        <v>7280</v>
      </c>
      <c r="S40" s="831"/>
      <c r="T40" s="849">
        <f t="shared" si="26"/>
        <v>7280</v>
      </c>
      <c r="U40" s="848">
        <f t="shared" si="27"/>
        <v>10</v>
      </c>
      <c r="V40" s="833">
        <f>'Data-Kolom'!J41</f>
        <v>0</v>
      </c>
      <c r="W40" s="832">
        <f>'Data-Kolom'!K41</f>
        <v>0</v>
      </c>
      <c r="X40" s="831">
        <f t="shared" si="28"/>
        <v>0</v>
      </c>
      <c r="Y40" s="831">
        <f t="shared" si="29"/>
        <v>0</v>
      </c>
      <c r="Z40" s="831">
        <f t="shared" si="30"/>
        <v>5500</v>
      </c>
      <c r="AA40" s="831"/>
      <c r="AB40" s="831">
        <f t="shared" si="31"/>
        <v>5500</v>
      </c>
      <c r="AC40" s="831">
        <f t="shared" si="32"/>
        <v>0</v>
      </c>
      <c r="AD40" s="847">
        <f>'Data-Kolom'!L41</f>
        <v>10</v>
      </c>
      <c r="AE40" s="846">
        <f>'Data-Kolom'!M41</f>
        <v>100</v>
      </c>
      <c r="AF40" s="846">
        <f>'Data-Kolom'!N41</f>
        <v>100</v>
      </c>
      <c r="AG40" s="846">
        <f>'Data-Kolom'!O41</f>
        <v>100</v>
      </c>
      <c r="AH40" s="846">
        <f>'Data-Kolom'!P41</f>
        <v>0</v>
      </c>
      <c r="AI40" s="846">
        <f>'Data-Kolom'!Q41</f>
        <v>0</v>
      </c>
      <c r="AJ40" s="846">
        <f>'Data-Kolom'!R41</f>
        <v>0</v>
      </c>
      <c r="AK40" s="853">
        <f>'Data-Kolom'!S41</f>
        <v>0</v>
      </c>
      <c r="AL40" s="827">
        <f t="shared" si="33"/>
        <v>1590</v>
      </c>
      <c r="AM40" s="826">
        <f t="shared" si="34"/>
        <v>0</v>
      </c>
      <c r="AN40" s="826">
        <f t="shared" si="35"/>
        <v>57</v>
      </c>
      <c r="AO40" s="845">
        <f t="shared" si="36"/>
        <v>0.66</v>
      </c>
      <c r="AP40" s="822">
        <f t="shared" si="37"/>
        <v>114.895872</v>
      </c>
      <c r="AQ40" s="824">
        <f t="shared" si="38"/>
        <v>0</v>
      </c>
      <c r="AR40" s="824">
        <f t="shared" si="39"/>
        <v>55.873395000000002</v>
      </c>
      <c r="AS40" s="824">
        <f t="shared" si="40"/>
        <v>0</v>
      </c>
      <c r="AT40" s="823">
        <f t="shared" si="41"/>
        <v>8.8000000000000007</v>
      </c>
      <c r="AU40" s="844">
        <f t="shared" si="42"/>
        <v>258.74131363636366</v>
      </c>
      <c r="AV40" s="844">
        <f t="shared" si="43"/>
        <v>13.333333333333334</v>
      </c>
      <c r="AX40" s="822">
        <f t="shared" si="44"/>
        <v>114.895872</v>
      </c>
      <c r="AY40" s="843"/>
      <c r="AZ40" s="852">
        <f t="shared" si="45"/>
        <v>0</v>
      </c>
      <c r="BA40" s="851">
        <f t="shared" si="46"/>
        <v>0</v>
      </c>
    </row>
    <row r="41" spans="1:53" s="2053" customFormat="1" ht="13.9" customHeight="1">
      <c r="A41" s="2033">
        <f>'Data-Kolom'!A42</f>
        <v>27</v>
      </c>
      <c r="B41" s="2033" t="str">
        <f>'Data-Kolom'!B42</f>
        <v>Lantai 1</v>
      </c>
      <c r="C41" s="2033">
        <f>'Data-Kolom'!C42</f>
        <v>0</v>
      </c>
      <c r="D41" s="2034" t="str">
        <f>'Data-Kolom'!D42</f>
        <v>KL66</v>
      </c>
      <c r="E41" s="2035" t="s">
        <v>16</v>
      </c>
      <c r="F41" s="2036">
        <f>'Data-Kolom'!U42</f>
        <v>0</v>
      </c>
      <c r="G41" s="2037">
        <f>'Data-Kolom'!T42</f>
        <v>0</v>
      </c>
      <c r="H41" s="2035">
        <f>'Data-Kolom'!E42</f>
        <v>170</v>
      </c>
      <c r="I41" s="2035">
        <f>'Data-Kolom'!F42</f>
        <v>600</v>
      </c>
      <c r="J41" s="2035">
        <f>'Data-Kolom'!G42</f>
        <v>5500</v>
      </c>
      <c r="K41" s="2038">
        <v>2</v>
      </c>
      <c r="L41" s="2038"/>
      <c r="M41" s="2038">
        <f>IF(L41&gt;0,VLOOKUP(L41,'Data-PC'!$B$14:$F$56,4,FALSE),0)</f>
        <v>0</v>
      </c>
      <c r="N41" s="2039">
        <f>'Data-Kolom'!H42</f>
        <v>8</v>
      </c>
      <c r="O41" s="2035">
        <f>'Data-Kolom'!I42</f>
        <v>16</v>
      </c>
      <c r="P41" s="2040">
        <f t="shared" si="23"/>
        <v>1010</v>
      </c>
      <c r="Q41" s="2038">
        <f t="shared" si="24"/>
        <v>770</v>
      </c>
      <c r="R41" s="2038">
        <f t="shared" si="25"/>
        <v>7280</v>
      </c>
      <c r="S41" s="2038"/>
      <c r="T41" s="2041">
        <f t="shared" si="26"/>
        <v>7280</v>
      </c>
      <c r="U41" s="2042">
        <f t="shared" si="27"/>
        <v>16</v>
      </c>
      <c r="V41" s="2043">
        <f>'Data-Kolom'!J42</f>
        <v>0</v>
      </c>
      <c r="W41" s="2035">
        <f>'Data-Kolom'!K42</f>
        <v>0</v>
      </c>
      <c r="X41" s="2038">
        <f t="shared" si="28"/>
        <v>0</v>
      </c>
      <c r="Y41" s="2038">
        <f t="shared" si="29"/>
        <v>0</v>
      </c>
      <c r="Z41" s="2038">
        <f t="shared" si="30"/>
        <v>5500</v>
      </c>
      <c r="AA41" s="2038"/>
      <c r="AB41" s="2038">
        <f t="shared" si="31"/>
        <v>5500</v>
      </c>
      <c r="AC41" s="2038">
        <f t="shared" si="32"/>
        <v>0</v>
      </c>
      <c r="AD41" s="2039">
        <f>'Data-Kolom'!L42</f>
        <v>10</v>
      </c>
      <c r="AE41" s="2044">
        <f>'Data-Kolom'!M42</f>
        <v>100</v>
      </c>
      <c r="AF41" s="2044">
        <f>'Data-Kolom'!N42</f>
        <v>100</v>
      </c>
      <c r="AG41" s="2044">
        <f>'Data-Kolom'!O42</f>
        <v>100</v>
      </c>
      <c r="AH41" s="2044">
        <f>'Data-Kolom'!P42</f>
        <v>2</v>
      </c>
      <c r="AI41" s="2044">
        <f>'Data-Kolom'!Q42</f>
        <v>10</v>
      </c>
      <c r="AJ41" s="2044">
        <f>'Data-Kolom'!R42</f>
        <v>0</v>
      </c>
      <c r="AK41" s="2045">
        <f>'Data-Kolom'!S42</f>
        <v>0</v>
      </c>
      <c r="AL41" s="2046">
        <f t="shared" si="33"/>
        <v>1530</v>
      </c>
      <c r="AM41" s="2047">
        <f t="shared" si="34"/>
        <v>560</v>
      </c>
      <c r="AN41" s="2047">
        <f t="shared" si="35"/>
        <v>114</v>
      </c>
      <c r="AO41" s="2048">
        <f t="shared" si="36"/>
        <v>1.1220000000000001</v>
      </c>
      <c r="AP41" s="2049">
        <f t="shared" si="37"/>
        <v>183.83339520000001</v>
      </c>
      <c r="AQ41" s="2050">
        <f t="shared" si="38"/>
        <v>0</v>
      </c>
      <c r="AR41" s="2050">
        <f t="shared" si="39"/>
        <v>107.52993000000001</v>
      </c>
      <c r="AS41" s="2050">
        <f t="shared" si="40"/>
        <v>39.35736</v>
      </c>
      <c r="AT41" s="2051">
        <f t="shared" si="41"/>
        <v>16.940000000000001</v>
      </c>
      <c r="AU41" s="2052">
        <f t="shared" si="42"/>
        <v>294.75996898395721</v>
      </c>
      <c r="AV41" s="2052">
        <f t="shared" si="43"/>
        <v>15.098039215686274</v>
      </c>
      <c r="AX41" s="2049">
        <f t="shared" si="44"/>
        <v>183.83339520000001</v>
      </c>
      <c r="AY41" s="2054"/>
      <c r="AZ41" s="2055">
        <f t="shared" si="45"/>
        <v>0</v>
      </c>
      <c r="BA41" s="2056">
        <f t="shared" si="46"/>
        <v>0</v>
      </c>
    </row>
    <row r="42" spans="1:53" s="2053" customFormat="1" ht="13.9" customHeight="1">
      <c r="A42" s="2033">
        <f>'Data-Kolom'!A43</f>
        <v>28</v>
      </c>
      <c r="B42" s="2033" t="str">
        <f>'Data-Kolom'!B43</f>
        <v>Lantai 1</v>
      </c>
      <c r="C42" s="2033">
        <f>'Data-Kolom'!C43</f>
        <v>0</v>
      </c>
      <c r="D42" s="2034" t="str">
        <f>'Data-Kolom'!D43</f>
        <v>KL55</v>
      </c>
      <c r="E42" s="2035" t="s">
        <v>16</v>
      </c>
      <c r="F42" s="2036">
        <f>'Data-Kolom'!U43</f>
        <v>0</v>
      </c>
      <c r="G42" s="2037">
        <f>'Data-Kolom'!T43</f>
        <v>0</v>
      </c>
      <c r="H42" s="2035">
        <f>'Data-Kolom'!E43</f>
        <v>170</v>
      </c>
      <c r="I42" s="2035">
        <f>'Data-Kolom'!F43</f>
        <v>500</v>
      </c>
      <c r="J42" s="2035">
        <f>'Data-Kolom'!G43</f>
        <v>5500</v>
      </c>
      <c r="K42" s="2038">
        <v>2</v>
      </c>
      <c r="L42" s="2038"/>
      <c r="M42" s="2038">
        <f>IF(L42&gt;0,VLOOKUP(L42,'Data-PC'!$B$14:$F$56,4,FALSE),0)</f>
        <v>0</v>
      </c>
      <c r="N42" s="2039">
        <f>'Data-Kolom'!H43</f>
        <v>6</v>
      </c>
      <c r="O42" s="2035">
        <f>'Data-Kolom'!I43</f>
        <v>16</v>
      </c>
      <c r="P42" s="2040">
        <f t="shared" si="23"/>
        <v>1010</v>
      </c>
      <c r="Q42" s="2038">
        <f t="shared" si="24"/>
        <v>770</v>
      </c>
      <c r="R42" s="2038">
        <f t="shared" si="25"/>
        <v>7280</v>
      </c>
      <c r="S42" s="2038"/>
      <c r="T42" s="2041">
        <f t="shared" si="26"/>
        <v>7280</v>
      </c>
      <c r="U42" s="2042">
        <f t="shared" si="27"/>
        <v>12</v>
      </c>
      <c r="V42" s="2043">
        <f>'Data-Kolom'!J43</f>
        <v>0</v>
      </c>
      <c r="W42" s="2035">
        <f>'Data-Kolom'!K43</f>
        <v>0</v>
      </c>
      <c r="X42" s="2038">
        <f t="shared" si="28"/>
        <v>0</v>
      </c>
      <c r="Y42" s="2038">
        <f t="shared" si="29"/>
        <v>0</v>
      </c>
      <c r="Z42" s="2038">
        <f t="shared" si="30"/>
        <v>5500</v>
      </c>
      <c r="AA42" s="2038"/>
      <c r="AB42" s="2038">
        <f t="shared" si="31"/>
        <v>5500</v>
      </c>
      <c r="AC42" s="2038">
        <f t="shared" si="32"/>
        <v>0</v>
      </c>
      <c r="AD42" s="2039">
        <f>'Data-Kolom'!L43</f>
        <v>10</v>
      </c>
      <c r="AE42" s="2044">
        <f>'Data-Kolom'!M43</f>
        <v>100</v>
      </c>
      <c r="AF42" s="2044">
        <f>'Data-Kolom'!N43</f>
        <v>100</v>
      </c>
      <c r="AG42" s="2044">
        <f>'Data-Kolom'!O43</f>
        <v>100</v>
      </c>
      <c r="AH42" s="2044">
        <f>'Data-Kolom'!P43</f>
        <v>0</v>
      </c>
      <c r="AI42" s="2044">
        <f>'Data-Kolom'!Q43</f>
        <v>0</v>
      </c>
      <c r="AJ42" s="2044">
        <f>'Data-Kolom'!R43</f>
        <v>0</v>
      </c>
      <c r="AK42" s="2045">
        <f>'Data-Kolom'!S43</f>
        <v>0</v>
      </c>
      <c r="AL42" s="2046">
        <f t="shared" si="33"/>
        <v>1330</v>
      </c>
      <c r="AM42" s="2047">
        <f t="shared" si="34"/>
        <v>0</v>
      </c>
      <c r="AN42" s="2047">
        <f t="shared" si="35"/>
        <v>114</v>
      </c>
      <c r="AO42" s="2048">
        <f t="shared" si="36"/>
        <v>0.93500000000000005</v>
      </c>
      <c r="AP42" s="2049">
        <f t="shared" si="37"/>
        <v>137.8750464</v>
      </c>
      <c r="AQ42" s="2050">
        <f t="shared" si="38"/>
        <v>0</v>
      </c>
      <c r="AR42" s="2050">
        <f t="shared" si="39"/>
        <v>93.473730000000018</v>
      </c>
      <c r="AS42" s="2050">
        <f t="shared" si="40"/>
        <v>0</v>
      </c>
      <c r="AT42" s="2051">
        <f t="shared" si="41"/>
        <v>14.74</v>
      </c>
      <c r="AU42" s="2052">
        <f t="shared" si="42"/>
        <v>247.4318464171123</v>
      </c>
      <c r="AV42" s="2052">
        <f t="shared" si="43"/>
        <v>15.76470588235294</v>
      </c>
      <c r="AX42" s="2049">
        <f t="shared" si="44"/>
        <v>137.8750464</v>
      </c>
      <c r="AY42" s="2054"/>
      <c r="AZ42" s="2055">
        <f t="shared" si="45"/>
        <v>0</v>
      </c>
      <c r="BA42" s="2056">
        <f t="shared" si="46"/>
        <v>0</v>
      </c>
    </row>
    <row r="43" spans="1:53" ht="13.9" customHeight="1">
      <c r="A43" s="842">
        <f>'Data-Kolom'!A44</f>
        <v>29</v>
      </c>
      <c r="B43" s="842" t="str">
        <f>'Data-Kolom'!B44</f>
        <v>Lantai 1</v>
      </c>
      <c r="C43" s="842">
        <f>'Data-Kolom'!C44</f>
        <v>0</v>
      </c>
      <c r="D43" s="841" t="str">
        <f>'Data-Kolom'!D44</f>
        <v>K25</v>
      </c>
      <c r="E43" s="832" t="s">
        <v>16</v>
      </c>
      <c r="F43" s="840">
        <f>'Data-Kolom'!U44</f>
        <v>0</v>
      </c>
      <c r="G43" s="839">
        <f>'Data-Kolom'!T44</f>
        <v>0</v>
      </c>
      <c r="H43" s="832">
        <f>'Data-Kolom'!E44</f>
        <v>200</v>
      </c>
      <c r="I43" s="832">
        <f>'Data-Kolom'!F44</f>
        <v>500</v>
      </c>
      <c r="J43" s="832">
        <f>'Data-Kolom'!G44</f>
        <v>5500</v>
      </c>
      <c r="K43" s="831">
        <v>1</v>
      </c>
      <c r="L43" s="831"/>
      <c r="M43" s="831">
        <f>IF(L43&gt;0,VLOOKUP(L43,'Data-PC'!$B$14:$F$56,4,FALSE),0)</f>
        <v>0</v>
      </c>
      <c r="N43" s="847">
        <f>'Data-Kolom'!H44</f>
        <v>8</v>
      </c>
      <c r="O43" s="832">
        <f>'Data-Kolom'!I44</f>
        <v>16</v>
      </c>
      <c r="P43" s="850">
        <f t="shared" si="23"/>
        <v>1010</v>
      </c>
      <c r="Q43" s="831">
        <f t="shared" si="24"/>
        <v>770</v>
      </c>
      <c r="R43" s="831">
        <f t="shared" si="25"/>
        <v>7280</v>
      </c>
      <c r="S43" s="831"/>
      <c r="T43" s="849">
        <f t="shared" si="26"/>
        <v>7280</v>
      </c>
      <c r="U43" s="848">
        <f t="shared" si="27"/>
        <v>8</v>
      </c>
      <c r="V43" s="833">
        <f>'Data-Kolom'!J44</f>
        <v>0</v>
      </c>
      <c r="W43" s="832">
        <f>'Data-Kolom'!K44</f>
        <v>0</v>
      </c>
      <c r="X43" s="831">
        <f t="shared" si="28"/>
        <v>0</v>
      </c>
      <c r="Y43" s="831">
        <f t="shared" si="29"/>
        <v>0</v>
      </c>
      <c r="Z43" s="831">
        <f t="shared" si="30"/>
        <v>5500</v>
      </c>
      <c r="AA43" s="831"/>
      <c r="AB43" s="831">
        <f t="shared" si="31"/>
        <v>5500</v>
      </c>
      <c r="AC43" s="831">
        <f t="shared" si="32"/>
        <v>0</v>
      </c>
      <c r="AD43" s="847">
        <f>'Data-Kolom'!L44</f>
        <v>10</v>
      </c>
      <c r="AE43" s="846">
        <f>'Data-Kolom'!M44</f>
        <v>100</v>
      </c>
      <c r="AF43" s="846">
        <f>'Data-Kolom'!N44</f>
        <v>100</v>
      </c>
      <c r="AG43" s="846">
        <f>'Data-Kolom'!O44</f>
        <v>100</v>
      </c>
      <c r="AH43" s="846">
        <f>'Data-Kolom'!P44</f>
        <v>1</v>
      </c>
      <c r="AI43" s="846">
        <f>'Data-Kolom'!Q44</f>
        <v>10</v>
      </c>
      <c r="AJ43" s="846">
        <f>'Data-Kolom'!R44</f>
        <v>0</v>
      </c>
      <c r="AK43" s="853">
        <f>'Data-Kolom'!S44</f>
        <v>0</v>
      </c>
      <c r="AL43" s="827">
        <f t="shared" si="33"/>
        <v>1390</v>
      </c>
      <c r="AM43" s="826">
        <f t="shared" si="34"/>
        <v>310</v>
      </c>
      <c r="AN43" s="826">
        <f t="shared" si="35"/>
        <v>57</v>
      </c>
      <c r="AO43" s="845">
        <f t="shared" si="36"/>
        <v>0.55000000000000004</v>
      </c>
      <c r="AP43" s="822">
        <f t="shared" si="37"/>
        <v>91.916697600000006</v>
      </c>
      <c r="AQ43" s="824">
        <f t="shared" si="38"/>
        <v>0</v>
      </c>
      <c r="AR43" s="824">
        <f t="shared" si="39"/>
        <v>48.845295000000007</v>
      </c>
      <c r="AS43" s="824">
        <f t="shared" si="40"/>
        <v>10.893555000000001</v>
      </c>
      <c r="AT43" s="823">
        <f t="shared" si="41"/>
        <v>7.7</v>
      </c>
      <c r="AU43" s="844">
        <f t="shared" si="42"/>
        <v>275.73735927272725</v>
      </c>
      <c r="AV43" s="844">
        <f t="shared" si="43"/>
        <v>14</v>
      </c>
      <c r="AX43" s="822">
        <f t="shared" si="44"/>
        <v>91.916697600000006</v>
      </c>
      <c r="AY43" s="843"/>
      <c r="AZ43" s="852">
        <f t="shared" si="45"/>
        <v>0</v>
      </c>
      <c r="BA43" s="851">
        <f t="shared" si="46"/>
        <v>0</v>
      </c>
    </row>
    <row r="44" spans="1:53" ht="13.9" customHeight="1">
      <c r="A44" s="842">
        <f>'Data-Kolom'!A45</f>
        <v>30</v>
      </c>
      <c r="B44" s="842" t="str">
        <f>'Data-Kolom'!B45</f>
        <v>Lantai 1</v>
      </c>
      <c r="C44" s="842">
        <f>'Data-Kolom'!C45</f>
        <v>0</v>
      </c>
      <c r="D44" s="841" t="str">
        <f>'Data-Kolom'!D45</f>
        <v>K25</v>
      </c>
      <c r="E44" s="832" t="s">
        <v>16</v>
      </c>
      <c r="F44" s="840">
        <f>'Data-Kolom'!U45</f>
        <v>0</v>
      </c>
      <c r="G44" s="839">
        <f>'Data-Kolom'!T45</f>
        <v>0</v>
      </c>
      <c r="H44" s="832">
        <f>'Data-Kolom'!E45</f>
        <v>200</v>
      </c>
      <c r="I44" s="832">
        <f>'Data-Kolom'!F45</f>
        <v>500</v>
      </c>
      <c r="J44" s="832">
        <f>'Data-Kolom'!G45</f>
        <v>5500</v>
      </c>
      <c r="K44" s="831">
        <v>1</v>
      </c>
      <c r="L44" s="831"/>
      <c r="M44" s="831">
        <f>IF(L44&gt;0,VLOOKUP(L44,'Data-PC'!$B$14:$F$56,4,FALSE),0)</f>
        <v>0</v>
      </c>
      <c r="N44" s="847">
        <f>'Data-Kolom'!H45</f>
        <v>8</v>
      </c>
      <c r="O44" s="832">
        <f>'Data-Kolom'!I45</f>
        <v>16</v>
      </c>
      <c r="P44" s="850">
        <f t="shared" si="23"/>
        <v>1010</v>
      </c>
      <c r="Q44" s="831">
        <f t="shared" si="24"/>
        <v>770</v>
      </c>
      <c r="R44" s="831">
        <f t="shared" si="25"/>
        <v>7280</v>
      </c>
      <c r="S44" s="831"/>
      <c r="T44" s="849">
        <f t="shared" si="26"/>
        <v>7280</v>
      </c>
      <c r="U44" s="848">
        <f t="shared" si="27"/>
        <v>8</v>
      </c>
      <c r="V44" s="833">
        <f>'Data-Kolom'!J45</f>
        <v>0</v>
      </c>
      <c r="W44" s="832">
        <f>'Data-Kolom'!K45</f>
        <v>0</v>
      </c>
      <c r="X44" s="831">
        <f t="shared" si="28"/>
        <v>0</v>
      </c>
      <c r="Y44" s="831">
        <f t="shared" si="29"/>
        <v>0</v>
      </c>
      <c r="Z44" s="831">
        <f t="shared" si="30"/>
        <v>5500</v>
      </c>
      <c r="AA44" s="831"/>
      <c r="AB44" s="831">
        <f t="shared" si="31"/>
        <v>5500</v>
      </c>
      <c r="AC44" s="831">
        <f t="shared" si="32"/>
        <v>0</v>
      </c>
      <c r="AD44" s="847">
        <f>'Data-Kolom'!L45</f>
        <v>10</v>
      </c>
      <c r="AE44" s="846">
        <f>'Data-Kolom'!M45</f>
        <v>100</v>
      </c>
      <c r="AF44" s="846">
        <f>'Data-Kolom'!N45</f>
        <v>100</v>
      </c>
      <c r="AG44" s="846">
        <f>'Data-Kolom'!O45</f>
        <v>100</v>
      </c>
      <c r="AH44" s="846">
        <f>'Data-Kolom'!P45</f>
        <v>1</v>
      </c>
      <c r="AI44" s="846">
        <f>'Data-Kolom'!Q45</f>
        <v>10</v>
      </c>
      <c r="AJ44" s="846">
        <f>'Data-Kolom'!R45</f>
        <v>0</v>
      </c>
      <c r="AK44" s="853">
        <f>'Data-Kolom'!S45</f>
        <v>0</v>
      </c>
      <c r="AL44" s="827">
        <f t="shared" si="33"/>
        <v>1390</v>
      </c>
      <c r="AM44" s="826">
        <f t="shared" si="34"/>
        <v>310</v>
      </c>
      <c r="AN44" s="826">
        <f t="shared" si="35"/>
        <v>57</v>
      </c>
      <c r="AO44" s="845">
        <f t="shared" si="36"/>
        <v>0.55000000000000004</v>
      </c>
      <c r="AP44" s="822">
        <f t="shared" si="37"/>
        <v>91.916697600000006</v>
      </c>
      <c r="AQ44" s="824">
        <f t="shared" si="38"/>
        <v>0</v>
      </c>
      <c r="AR44" s="824">
        <f t="shared" si="39"/>
        <v>48.845295000000007</v>
      </c>
      <c r="AS44" s="824">
        <f t="shared" si="40"/>
        <v>10.893555000000001</v>
      </c>
      <c r="AT44" s="823">
        <f t="shared" si="41"/>
        <v>7.7</v>
      </c>
      <c r="AU44" s="844">
        <f t="shared" si="42"/>
        <v>275.73735927272725</v>
      </c>
      <c r="AV44" s="844">
        <f t="shared" si="43"/>
        <v>14</v>
      </c>
      <c r="AX44" s="822">
        <f t="shared" si="44"/>
        <v>91.916697600000006</v>
      </c>
      <c r="AY44" s="843"/>
      <c r="AZ44" s="852">
        <f t="shared" si="45"/>
        <v>0</v>
      </c>
      <c r="BA44" s="851">
        <f t="shared" si="46"/>
        <v>0</v>
      </c>
    </row>
    <row r="45" spans="1:53" ht="14.25" customHeight="1">
      <c r="A45" s="2057">
        <f>'Data-Kolom'!A46</f>
        <v>31</v>
      </c>
      <c r="B45" s="2058" t="str">
        <f>'Data-Kolom'!B46</f>
        <v>Lantai 1</v>
      </c>
      <c r="C45" s="2058">
        <f>'Data-Kolom'!C46</f>
        <v>0</v>
      </c>
      <c r="D45" s="2059" t="str">
        <f>'Data-Kolom'!D46</f>
        <v>KB2A</v>
      </c>
      <c r="E45" s="2060" t="s">
        <v>324</v>
      </c>
      <c r="F45" s="2061">
        <f>'Data-Kolom'!U46</f>
        <v>0</v>
      </c>
      <c r="G45" s="2062">
        <f>'Data-Kolom'!T46</f>
        <v>0</v>
      </c>
      <c r="H45" s="2060">
        <f>'Data-Kolom'!E46</f>
        <v>250</v>
      </c>
      <c r="I45" s="2060">
        <f>'Data-Kolom'!F46</f>
        <v>250</v>
      </c>
      <c r="J45" s="2060">
        <f>'Data-Kolom'!G46</f>
        <v>5500</v>
      </c>
      <c r="K45" s="2063">
        <v>1</v>
      </c>
      <c r="L45" s="2063"/>
      <c r="M45" s="2063">
        <f>IF(L45&gt;0,VLOOKUP(L45,'Data-PC'!$B$14:$F$56,4,FALSE),0)</f>
        <v>0</v>
      </c>
      <c r="N45" s="2064">
        <f>'Data-Kolom'!H46</f>
        <v>6</v>
      </c>
      <c r="O45" s="2060">
        <f>'Data-Kolom'!I46</f>
        <v>16</v>
      </c>
      <c r="P45" s="2065">
        <f>IF(N45&gt;0,VLOOKUP(O45,$V$2:$X$9,2,FALSE),0)</f>
        <v>1010</v>
      </c>
      <c r="Q45" s="2063">
        <f>IF(L45&gt;0,M45-50+$N$6*O45,VLOOKUP(O45,$V$2:$X$9,3,FALSE))</f>
        <v>770</v>
      </c>
      <c r="R45" s="2063">
        <f t="shared" ref="R45:R46" si="65">IF(E45="F",J45-$N$5+$N$6*O45+Q45,IF(E45="D",J45+Q45+P45,IF(E45="T",J45+P45,IF(E45="A",J45-$N$5+$N$6*O45,0))))</f>
        <v>6442</v>
      </c>
      <c r="S45" s="2063"/>
      <c r="T45" s="2066">
        <f t="shared" ref="T45:T46" si="66">SUM(R45:S45)</f>
        <v>6442</v>
      </c>
      <c r="U45" s="2067">
        <f t="shared" ref="U45:U46" si="67">K45*N45</f>
        <v>6</v>
      </c>
      <c r="V45" s="2068">
        <f>'Data-Kolom'!J46</f>
        <v>0</v>
      </c>
      <c r="W45" s="2060">
        <f>'Data-Kolom'!K46</f>
        <v>0</v>
      </c>
      <c r="X45" s="2063">
        <f>IF(V45&gt;0,VLOOKUP(W45,$V$2:$X$9,2,FALSE),0)</f>
        <v>0</v>
      </c>
      <c r="Y45" s="2063">
        <f>IF(V45&gt;0,IF(L45&gt;0,M45-50+$N$6*W45,VLOOKUP(W45,$V$2:$X$9,3,FALSE)),0)</f>
        <v>0</v>
      </c>
      <c r="Z45" s="2063">
        <f t="shared" ref="Z45:Z46" si="68">IF(E45="F",J45-$N$5+$N$6*W45+Y45,IF(E45="D",J45+Y45+X45,IF(E45="T",J45+X45,IF(E45="A",J45-$N$5+$N$6*W45,0))))</f>
        <v>5480</v>
      </c>
      <c r="AA45" s="2063"/>
      <c r="AB45" s="2063">
        <f t="shared" ref="AB45:AB46" si="69">SUM(Z45:AA45)</f>
        <v>5480</v>
      </c>
      <c r="AC45" s="2063">
        <f t="shared" ref="AC45:AC46" si="70">V45*K45</f>
        <v>0</v>
      </c>
      <c r="AD45" s="2064">
        <f>'Data-Kolom'!L46</f>
        <v>10</v>
      </c>
      <c r="AE45" s="2069">
        <f>'Data-Kolom'!M46</f>
        <v>100</v>
      </c>
      <c r="AF45" s="2069">
        <f>'Data-Kolom'!N46</f>
        <v>100</v>
      </c>
      <c r="AG45" s="2069">
        <f>'Data-Kolom'!O46</f>
        <v>100</v>
      </c>
      <c r="AH45" s="2069">
        <f>'Data-Kolom'!P46</f>
        <v>0</v>
      </c>
      <c r="AI45" s="2069">
        <f>'Data-Kolom'!Q46</f>
        <v>0</v>
      </c>
      <c r="AJ45" s="2069">
        <f>'Data-Kolom'!R46</f>
        <v>0</v>
      </c>
      <c r="AK45" s="2070">
        <f>'Data-Kolom'!S46</f>
        <v>0</v>
      </c>
      <c r="AL45" s="2071">
        <f>2*PI()*(H45-$N$5)+2*MAX($F$5*AD45,75)</f>
        <v>1595.1326206513049</v>
      </c>
      <c r="AM45" s="2072">
        <f t="shared" ref="AM45:AM46" si="71">+AH45*(H45-2*$N$5+2*MAX($F$5*AI45,75))+AJ45*(I45-2*$N$5+2*MAX($F$5*AK45,75))</f>
        <v>0</v>
      </c>
      <c r="AN45" s="2072">
        <f t="shared" ref="AN45:AN46" si="72">(ROUND((1/2*J45+IF(M45&gt;0,(Q45-$N$6*AD45),0))/AE45,0)+(ROUND(1/2*J45/AF45,0)+1))*K45</f>
        <v>57</v>
      </c>
      <c r="AO45" s="2073">
        <f>PI()*H45^2*J45/1000000000*K45*(1+$T$5)</f>
        <v>1.0799224746714915</v>
      </c>
      <c r="AP45" s="2074">
        <f t="shared" ref="AP45:AP46" si="73">0.006165*O45^2*T45*U45/1000*(1+$T$6)</f>
        <v>61.00213248</v>
      </c>
      <c r="AQ45" s="2075">
        <f t="shared" ref="AQ45:AQ46" si="74">0.006165*W45^2*AB45*AC45/1000*(1+$T$6)</f>
        <v>0</v>
      </c>
      <c r="AR45" s="2075">
        <f t="shared" ref="AR45:AR46" si="75">AN45*0.006165*AD45^2*AL45/1000*(1+$T$6)</f>
        <v>56.053757855997191</v>
      </c>
      <c r="AS45" s="2075">
        <f t="shared" ref="AS45:AS46" si="76">AN45*0.006165*AI45^2*AM45/1000*(1+$T$6)</f>
        <v>0</v>
      </c>
      <c r="AT45" s="2076">
        <f>(K45*PI()*H45*J45)/1000000*(1+$T$7)</f>
        <v>4.319689898685966</v>
      </c>
      <c r="AU45" s="2077">
        <f t="shared" ref="AU45:AU46" si="77">SUM(AP45:AS45)/AO45</f>
        <v>108.39286437816304</v>
      </c>
      <c r="AV45" s="2077">
        <f t="shared" ref="AV45:AV46" si="78">AT45/AO45</f>
        <v>4</v>
      </c>
      <c r="AW45" s="2078"/>
      <c r="AX45" s="2074">
        <f t="shared" ref="AX45:AX46" si="79">0.006165*O45^2*R45*U45/1000*(1+$T$6)</f>
        <v>61.00213248</v>
      </c>
      <c r="AY45" s="2079"/>
      <c r="AZ45" s="2080">
        <f t="shared" ref="AZ45:AZ46" si="80">0.006165*O45^2*S45*U45/1000*(1+$T$6)</f>
        <v>0</v>
      </c>
      <c r="BA45" s="2081">
        <f t="shared" ref="BA45:BA46" si="81">AZ45/AP45</f>
        <v>0</v>
      </c>
    </row>
    <row r="46" spans="1:53" ht="14.25" customHeight="1">
      <c r="A46" s="2057">
        <f>'Data-Kolom'!A47</f>
        <v>32</v>
      </c>
      <c r="B46" s="2058" t="str">
        <f>'Data-Kolom'!B47</f>
        <v>Lantai 1</v>
      </c>
      <c r="C46" s="2058">
        <f>'Data-Kolom'!C47</f>
        <v>0</v>
      </c>
      <c r="D46" s="2059" t="str">
        <f>'Data-Kolom'!D47</f>
        <v>KB2A</v>
      </c>
      <c r="E46" s="2060" t="s">
        <v>324</v>
      </c>
      <c r="F46" s="2061">
        <f>'Data-Kolom'!U47</f>
        <v>0</v>
      </c>
      <c r="G46" s="2062">
        <f>'Data-Kolom'!T47</f>
        <v>0</v>
      </c>
      <c r="H46" s="2060">
        <f>'Data-Kolom'!E47</f>
        <v>250</v>
      </c>
      <c r="I46" s="2060">
        <f>'Data-Kolom'!F47</f>
        <v>250</v>
      </c>
      <c r="J46" s="2060">
        <f>'Data-Kolom'!G47</f>
        <v>5500</v>
      </c>
      <c r="K46" s="2063">
        <v>1</v>
      </c>
      <c r="L46" s="2063"/>
      <c r="M46" s="2063">
        <f>IF(L46&gt;0,VLOOKUP(L46,'Data-PC'!$B$14:$F$56,4,FALSE),0)</f>
        <v>0</v>
      </c>
      <c r="N46" s="2064">
        <f>'Data-Kolom'!H47</f>
        <v>6</v>
      </c>
      <c r="O46" s="2060">
        <f>'Data-Kolom'!I47</f>
        <v>16</v>
      </c>
      <c r="P46" s="2065">
        <f>IF(N46&gt;0,VLOOKUP(O46,$V$2:$X$9,2,FALSE),0)</f>
        <v>1010</v>
      </c>
      <c r="Q46" s="2063">
        <f>IF(L46&gt;0,M46-50+$N$6*O46,VLOOKUP(O46,$V$2:$X$9,3,FALSE))</f>
        <v>770</v>
      </c>
      <c r="R46" s="2063">
        <f t="shared" si="65"/>
        <v>6442</v>
      </c>
      <c r="S46" s="2063"/>
      <c r="T46" s="2066">
        <f t="shared" si="66"/>
        <v>6442</v>
      </c>
      <c r="U46" s="2067">
        <f t="shared" si="67"/>
        <v>6</v>
      </c>
      <c r="V46" s="2068">
        <f>'Data-Kolom'!J47</f>
        <v>0</v>
      </c>
      <c r="W46" s="2060">
        <f>'Data-Kolom'!K47</f>
        <v>0</v>
      </c>
      <c r="X46" s="2063">
        <f>IF(V46&gt;0,VLOOKUP(W46,$V$2:$X$9,2,FALSE),0)</f>
        <v>0</v>
      </c>
      <c r="Y46" s="2063">
        <f>IF(V46&gt;0,IF(L46&gt;0,M46-50+$N$6*W46,VLOOKUP(W46,$V$2:$X$9,3,FALSE)),0)</f>
        <v>0</v>
      </c>
      <c r="Z46" s="2063">
        <f t="shared" si="68"/>
        <v>5480</v>
      </c>
      <c r="AA46" s="2063"/>
      <c r="AB46" s="2063">
        <f t="shared" si="69"/>
        <v>5480</v>
      </c>
      <c r="AC46" s="2063">
        <f t="shared" si="70"/>
        <v>0</v>
      </c>
      <c r="AD46" s="2064">
        <f>'Data-Kolom'!L47</f>
        <v>10</v>
      </c>
      <c r="AE46" s="2069">
        <f>'Data-Kolom'!M47</f>
        <v>100</v>
      </c>
      <c r="AF46" s="2069">
        <f>'Data-Kolom'!N47</f>
        <v>100</v>
      </c>
      <c r="AG46" s="2069">
        <f>'Data-Kolom'!O47</f>
        <v>100</v>
      </c>
      <c r="AH46" s="2069">
        <f>'Data-Kolom'!P47</f>
        <v>0</v>
      </c>
      <c r="AI46" s="2069">
        <f>'Data-Kolom'!Q47</f>
        <v>0</v>
      </c>
      <c r="AJ46" s="2069">
        <f>'Data-Kolom'!R47</f>
        <v>0</v>
      </c>
      <c r="AK46" s="2070">
        <f>'Data-Kolom'!S47</f>
        <v>0</v>
      </c>
      <c r="AL46" s="2071">
        <f>2*PI()*(H46-$N$5)+2*MAX($F$5*AD46,75)</f>
        <v>1595.1326206513049</v>
      </c>
      <c r="AM46" s="2072">
        <f t="shared" si="71"/>
        <v>0</v>
      </c>
      <c r="AN46" s="2072">
        <f t="shared" si="72"/>
        <v>57</v>
      </c>
      <c r="AO46" s="2073">
        <f>PI()*H46^2*J46/1000000000*K46*(1+$T$5)</f>
        <v>1.0799224746714915</v>
      </c>
      <c r="AP46" s="2074">
        <f t="shared" si="73"/>
        <v>61.00213248</v>
      </c>
      <c r="AQ46" s="2075">
        <f t="shared" si="74"/>
        <v>0</v>
      </c>
      <c r="AR46" s="2075">
        <f t="shared" si="75"/>
        <v>56.053757855997191</v>
      </c>
      <c r="AS46" s="2075">
        <f t="shared" si="76"/>
        <v>0</v>
      </c>
      <c r="AT46" s="2076">
        <f>(K46*PI()*H46*J46)/1000000*(1+$T$7)</f>
        <v>4.319689898685966</v>
      </c>
      <c r="AU46" s="2077">
        <f t="shared" si="77"/>
        <v>108.39286437816304</v>
      </c>
      <c r="AV46" s="2077">
        <f t="shared" si="78"/>
        <v>4</v>
      </c>
      <c r="AW46" s="2078"/>
      <c r="AX46" s="2074">
        <f t="shared" si="79"/>
        <v>61.00213248</v>
      </c>
      <c r="AY46" s="2079"/>
      <c r="AZ46" s="2080">
        <f t="shared" si="80"/>
        <v>0</v>
      </c>
      <c r="BA46" s="2081">
        <f t="shared" si="81"/>
        <v>0</v>
      </c>
    </row>
    <row r="47" spans="1:53" ht="13.9" customHeight="1">
      <c r="A47" s="842">
        <f>'Data-Kolom'!A48</f>
        <v>33</v>
      </c>
      <c r="B47" s="842" t="str">
        <f>'Data-Kolom'!B48</f>
        <v>Lantai 1</v>
      </c>
      <c r="C47" s="842">
        <f>'Data-Kolom'!C48</f>
        <v>0</v>
      </c>
      <c r="D47" s="841" t="str">
        <f>'Data-Kolom'!D48</f>
        <v>K4</v>
      </c>
      <c r="E47" s="832" t="s">
        <v>16</v>
      </c>
      <c r="F47" s="840">
        <f>'Data-Kolom'!U48</f>
        <v>0</v>
      </c>
      <c r="G47" s="839">
        <f>'Data-Kolom'!T48</f>
        <v>0</v>
      </c>
      <c r="H47" s="832">
        <f>'Data-Kolom'!E48</f>
        <v>170</v>
      </c>
      <c r="I47" s="832">
        <f>'Data-Kolom'!F48</f>
        <v>400</v>
      </c>
      <c r="J47" s="832">
        <f>'Data-Kolom'!G48</f>
        <v>6200</v>
      </c>
      <c r="K47" s="831">
        <v>1</v>
      </c>
      <c r="L47" s="831"/>
      <c r="M47" s="831">
        <f>IF(L47&gt;0,VLOOKUP(L47,'Data-PC'!$B$14:$F$56,4,FALSE),0)</f>
        <v>0</v>
      </c>
      <c r="N47" s="847">
        <f>'Data-Kolom'!H48</f>
        <v>6</v>
      </c>
      <c r="O47" s="832">
        <f>'Data-Kolom'!I48</f>
        <v>16</v>
      </c>
      <c r="P47" s="850">
        <f t="shared" si="23"/>
        <v>1010</v>
      </c>
      <c r="Q47" s="831">
        <f t="shared" si="24"/>
        <v>770</v>
      </c>
      <c r="R47" s="831">
        <f t="shared" si="25"/>
        <v>7980</v>
      </c>
      <c r="S47" s="831"/>
      <c r="T47" s="849">
        <f t="shared" si="26"/>
        <v>7980</v>
      </c>
      <c r="U47" s="848">
        <f t="shared" si="27"/>
        <v>6</v>
      </c>
      <c r="V47" s="833">
        <f>'Data-Kolom'!J48</f>
        <v>0</v>
      </c>
      <c r="W47" s="832">
        <f>'Data-Kolom'!K48</f>
        <v>0</v>
      </c>
      <c r="X47" s="831">
        <f t="shared" si="28"/>
        <v>0</v>
      </c>
      <c r="Y47" s="831">
        <f t="shared" si="29"/>
        <v>0</v>
      </c>
      <c r="Z47" s="831">
        <f t="shared" si="30"/>
        <v>6200</v>
      </c>
      <c r="AA47" s="831"/>
      <c r="AB47" s="831">
        <f t="shared" si="31"/>
        <v>6200</v>
      </c>
      <c r="AC47" s="831">
        <f t="shared" si="32"/>
        <v>0</v>
      </c>
      <c r="AD47" s="847">
        <f>'Data-Kolom'!L48</f>
        <v>10</v>
      </c>
      <c r="AE47" s="846">
        <f>'Data-Kolom'!M48</f>
        <v>100</v>
      </c>
      <c r="AF47" s="846">
        <f>'Data-Kolom'!N48</f>
        <v>100</v>
      </c>
      <c r="AG47" s="846">
        <f>'Data-Kolom'!O48</f>
        <v>100</v>
      </c>
      <c r="AH47" s="846">
        <f>'Data-Kolom'!P48</f>
        <v>0</v>
      </c>
      <c r="AI47" s="846">
        <f>'Data-Kolom'!Q48</f>
        <v>0</v>
      </c>
      <c r="AJ47" s="846">
        <f>'Data-Kolom'!R48</f>
        <v>0</v>
      </c>
      <c r="AK47" s="853">
        <f>'Data-Kolom'!S48</f>
        <v>0</v>
      </c>
      <c r="AL47" s="827">
        <f t="shared" si="33"/>
        <v>1130</v>
      </c>
      <c r="AM47" s="826">
        <f t="shared" si="34"/>
        <v>0</v>
      </c>
      <c r="AN47" s="826">
        <f t="shared" si="35"/>
        <v>63</v>
      </c>
      <c r="AO47" s="845">
        <f t="shared" si="36"/>
        <v>0.42159999999999997</v>
      </c>
      <c r="AP47" s="822">
        <f t="shared" si="37"/>
        <v>75.566131200000001</v>
      </c>
      <c r="AQ47" s="824">
        <f t="shared" si="38"/>
        <v>0</v>
      </c>
      <c r="AR47" s="824">
        <f t="shared" si="39"/>
        <v>43.888635000000001</v>
      </c>
      <c r="AS47" s="824">
        <f t="shared" si="40"/>
        <v>0</v>
      </c>
      <c r="AT47" s="823">
        <f t="shared" si="41"/>
        <v>7.0679999999999996</v>
      </c>
      <c r="AU47" s="844">
        <f t="shared" si="42"/>
        <v>283.33673197343455</v>
      </c>
      <c r="AV47" s="844">
        <f t="shared" si="43"/>
        <v>16.764705882352942</v>
      </c>
      <c r="AX47" s="822">
        <f t="shared" si="44"/>
        <v>75.566131200000001</v>
      </c>
      <c r="AY47" s="843"/>
      <c r="AZ47" s="852">
        <f t="shared" si="45"/>
        <v>0</v>
      </c>
      <c r="BA47" s="851">
        <f t="shared" si="46"/>
        <v>0</v>
      </c>
    </row>
    <row r="48" spans="1:53" ht="13.9" customHeight="1">
      <c r="A48" s="842">
        <f>'Data-Kolom'!A49</f>
        <v>34</v>
      </c>
      <c r="B48" s="842" t="str">
        <f>'Data-Kolom'!B49</f>
        <v>Lantai 1</v>
      </c>
      <c r="C48" s="842">
        <f>'Data-Kolom'!C49</f>
        <v>0</v>
      </c>
      <c r="D48" s="841" t="str">
        <f>'Data-Kolom'!D49</f>
        <v>K4</v>
      </c>
      <c r="E48" s="832" t="s">
        <v>16</v>
      </c>
      <c r="F48" s="840">
        <f>'Data-Kolom'!U49</f>
        <v>0</v>
      </c>
      <c r="G48" s="839">
        <f>'Data-Kolom'!T49</f>
        <v>0</v>
      </c>
      <c r="H48" s="832">
        <f>'Data-Kolom'!E49</f>
        <v>170</v>
      </c>
      <c r="I48" s="832">
        <f>'Data-Kolom'!F49</f>
        <v>400</v>
      </c>
      <c r="J48" s="832">
        <f>'Data-Kolom'!G49</f>
        <v>4600</v>
      </c>
      <c r="K48" s="831">
        <v>1</v>
      </c>
      <c r="L48" s="831"/>
      <c r="M48" s="831">
        <f>IF(L48&gt;0,VLOOKUP(L48,'Data-PC'!$B$14:$F$56,4,FALSE),0)</f>
        <v>0</v>
      </c>
      <c r="N48" s="847">
        <f>'Data-Kolom'!H49</f>
        <v>6</v>
      </c>
      <c r="O48" s="832">
        <f>'Data-Kolom'!I49</f>
        <v>16</v>
      </c>
      <c r="P48" s="850">
        <f t="shared" si="23"/>
        <v>1010</v>
      </c>
      <c r="Q48" s="831">
        <f t="shared" si="24"/>
        <v>770</v>
      </c>
      <c r="R48" s="831">
        <f t="shared" si="25"/>
        <v>6380</v>
      </c>
      <c r="S48" s="831"/>
      <c r="T48" s="849">
        <f t="shared" si="26"/>
        <v>6380</v>
      </c>
      <c r="U48" s="848">
        <f t="shared" si="27"/>
        <v>6</v>
      </c>
      <c r="V48" s="833">
        <f>'Data-Kolom'!J49</f>
        <v>0</v>
      </c>
      <c r="W48" s="832">
        <f>'Data-Kolom'!K49</f>
        <v>0</v>
      </c>
      <c r="X48" s="831">
        <f t="shared" si="28"/>
        <v>0</v>
      </c>
      <c r="Y48" s="831">
        <f t="shared" si="29"/>
        <v>0</v>
      </c>
      <c r="Z48" s="831">
        <f t="shared" si="30"/>
        <v>4600</v>
      </c>
      <c r="AA48" s="831"/>
      <c r="AB48" s="831">
        <f t="shared" si="31"/>
        <v>4600</v>
      </c>
      <c r="AC48" s="831">
        <f t="shared" si="32"/>
        <v>0</v>
      </c>
      <c r="AD48" s="847">
        <f>'Data-Kolom'!L49</f>
        <v>10</v>
      </c>
      <c r="AE48" s="846">
        <f>'Data-Kolom'!M49</f>
        <v>100</v>
      </c>
      <c r="AF48" s="846">
        <f>'Data-Kolom'!N49</f>
        <v>100</v>
      </c>
      <c r="AG48" s="846">
        <f>'Data-Kolom'!O49</f>
        <v>100</v>
      </c>
      <c r="AH48" s="846">
        <f>'Data-Kolom'!P49</f>
        <v>0</v>
      </c>
      <c r="AI48" s="846">
        <f>'Data-Kolom'!Q49</f>
        <v>0</v>
      </c>
      <c r="AJ48" s="846">
        <f>'Data-Kolom'!R49</f>
        <v>0</v>
      </c>
      <c r="AK48" s="853">
        <f>'Data-Kolom'!S49</f>
        <v>0</v>
      </c>
      <c r="AL48" s="827">
        <f t="shared" si="33"/>
        <v>1130</v>
      </c>
      <c r="AM48" s="826">
        <f t="shared" si="34"/>
        <v>0</v>
      </c>
      <c r="AN48" s="826">
        <f t="shared" si="35"/>
        <v>47</v>
      </c>
      <c r="AO48" s="845">
        <f t="shared" si="36"/>
        <v>0.31280000000000002</v>
      </c>
      <c r="AP48" s="822">
        <f t="shared" si="37"/>
        <v>60.415027200000004</v>
      </c>
      <c r="AQ48" s="824">
        <f t="shared" si="38"/>
        <v>0</v>
      </c>
      <c r="AR48" s="824">
        <f t="shared" si="39"/>
        <v>32.742315000000005</v>
      </c>
      <c r="AS48" s="824">
        <f t="shared" si="40"/>
        <v>0</v>
      </c>
      <c r="AT48" s="823">
        <f t="shared" si="41"/>
        <v>5.2439999999999998</v>
      </c>
      <c r="AU48" s="844">
        <f t="shared" si="42"/>
        <v>297.81759015345273</v>
      </c>
      <c r="AV48" s="844">
        <f t="shared" si="43"/>
        <v>16.764705882352938</v>
      </c>
      <c r="AX48" s="822">
        <f t="shared" si="44"/>
        <v>60.415027200000004</v>
      </c>
      <c r="AY48" s="843"/>
      <c r="AZ48" s="852">
        <f t="shared" si="45"/>
        <v>0</v>
      </c>
      <c r="BA48" s="851">
        <f t="shared" si="46"/>
        <v>0</v>
      </c>
    </row>
    <row r="49" spans="1:53" ht="13.9" customHeight="1">
      <c r="A49" s="842">
        <f>'Data-Kolom'!A50</f>
        <v>35</v>
      </c>
      <c r="B49" s="842" t="str">
        <f>'Data-Kolom'!B50</f>
        <v>Lantai 1</v>
      </c>
      <c r="C49" s="842">
        <f>'Data-Kolom'!C50</f>
        <v>0</v>
      </c>
      <c r="D49" s="841" t="str">
        <f>'Data-Kolom'!D50</f>
        <v>K4</v>
      </c>
      <c r="E49" s="832" t="s">
        <v>16</v>
      </c>
      <c r="F49" s="840">
        <f>'Data-Kolom'!U50</f>
        <v>0</v>
      </c>
      <c r="G49" s="839">
        <f>'Data-Kolom'!T50</f>
        <v>0</v>
      </c>
      <c r="H49" s="832">
        <f>'Data-Kolom'!E50</f>
        <v>170</v>
      </c>
      <c r="I49" s="832">
        <f>'Data-Kolom'!F50</f>
        <v>400</v>
      </c>
      <c r="J49" s="832">
        <f>'Data-Kolom'!G50</f>
        <v>4600</v>
      </c>
      <c r="K49" s="831">
        <v>1</v>
      </c>
      <c r="L49" s="831"/>
      <c r="M49" s="831">
        <f>IF(L49&gt;0,VLOOKUP(L49,'Data-PC'!$B$14:$F$56,4,FALSE),0)</f>
        <v>0</v>
      </c>
      <c r="N49" s="847">
        <f>'Data-Kolom'!H50</f>
        <v>6</v>
      </c>
      <c r="O49" s="832">
        <f>'Data-Kolom'!I50</f>
        <v>16</v>
      </c>
      <c r="P49" s="850">
        <f t="shared" si="23"/>
        <v>1010</v>
      </c>
      <c r="Q49" s="831">
        <f t="shared" si="24"/>
        <v>770</v>
      </c>
      <c r="R49" s="831">
        <f t="shared" si="25"/>
        <v>6380</v>
      </c>
      <c r="S49" s="831"/>
      <c r="T49" s="849">
        <f t="shared" si="26"/>
        <v>6380</v>
      </c>
      <c r="U49" s="848">
        <f t="shared" si="27"/>
        <v>6</v>
      </c>
      <c r="V49" s="833">
        <f>'Data-Kolom'!J50</f>
        <v>0</v>
      </c>
      <c r="W49" s="832">
        <f>'Data-Kolom'!K50</f>
        <v>0</v>
      </c>
      <c r="X49" s="831">
        <f t="shared" si="28"/>
        <v>0</v>
      </c>
      <c r="Y49" s="831">
        <f t="shared" si="29"/>
        <v>0</v>
      </c>
      <c r="Z49" s="831">
        <f t="shared" si="30"/>
        <v>4600</v>
      </c>
      <c r="AA49" s="831"/>
      <c r="AB49" s="831">
        <f t="shared" si="31"/>
        <v>4600</v>
      </c>
      <c r="AC49" s="831">
        <f t="shared" si="32"/>
        <v>0</v>
      </c>
      <c r="AD49" s="847">
        <f>'Data-Kolom'!L50</f>
        <v>10</v>
      </c>
      <c r="AE49" s="846">
        <f>'Data-Kolom'!M50</f>
        <v>100</v>
      </c>
      <c r="AF49" s="846">
        <f>'Data-Kolom'!N50</f>
        <v>100</v>
      </c>
      <c r="AG49" s="846">
        <f>'Data-Kolom'!O50</f>
        <v>100</v>
      </c>
      <c r="AH49" s="846">
        <f>'Data-Kolom'!P50</f>
        <v>0</v>
      </c>
      <c r="AI49" s="846">
        <f>'Data-Kolom'!Q50</f>
        <v>0</v>
      </c>
      <c r="AJ49" s="846">
        <f>'Data-Kolom'!R50</f>
        <v>0</v>
      </c>
      <c r="AK49" s="853">
        <f>'Data-Kolom'!S50</f>
        <v>0</v>
      </c>
      <c r="AL49" s="827">
        <f t="shared" si="33"/>
        <v>1130</v>
      </c>
      <c r="AM49" s="826">
        <f t="shared" si="34"/>
        <v>0</v>
      </c>
      <c r="AN49" s="826">
        <f t="shared" si="35"/>
        <v>47</v>
      </c>
      <c r="AO49" s="845">
        <f t="shared" si="36"/>
        <v>0.31280000000000002</v>
      </c>
      <c r="AP49" s="822">
        <f t="shared" si="37"/>
        <v>60.415027200000004</v>
      </c>
      <c r="AQ49" s="824">
        <f t="shared" si="38"/>
        <v>0</v>
      </c>
      <c r="AR49" s="824">
        <f t="shared" si="39"/>
        <v>32.742315000000005</v>
      </c>
      <c r="AS49" s="824">
        <f t="shared" si="40"/>
        <v>0</v>
      </c>
      <c r="AT49" s="823">
        <f t="shared" si="41"/>
        <v>5.2439999999999998</v>
      </c>
      <c r="AU49" s="844">
        <f t="shared" si="42"/>
        <v>297.81759015345273</v>
      </c>
      <c r="AV49" s="844">
        <f t="shared" si="43"/>
        <v>16.764705882352938</v>
      </c>
      <c r="AX49" s="822">
        <f t="shared" si="44"/>
        <v>60.415027200000004</v>
      </c>
      <c r="AY49" s="843"/>
      <c r="AZ49" s="852">
        <f t="shared" si="45"/>
        <v>0</v>
      </c>
      <c r="BA49" s="851">
        <f t="shared" si="46"/>
        <v>0</v>
      </c>
    </row>
    <row r="50" spans="1:53" ht="13.9" customHeight="1">
      <c r="A50" s="842">
        <f>'Data-Kolom'!A51</f>
        <v>36</v>
      </c>
      <c r="B50" s="842" t="str">
        <f>'Data-Kolom'!B51</f>
        <v>Lantai 1</v>
      </c>
      <c r="C50" s="842">
        <f>'Data-Kolom'!C51</f>
        <v>0</v>
      </c>
      <c r="D50" s="841" t="str">
        <f>'Data-Kolom'!D51</f>
        <v>K4</v>
      </c>
      <c r="E50" s="832" t="s">
        <v>16</v>
      </c>
      <c r="F50" s="840">
        <f>'Data-Kolom'!U51</f>
        <v>0</v>
      </c>
      <c r="G50" s="839">
        <f>'Data-Kolom'!T51</f>
        <v>0</v>
      </c>
      <c r="H50" s="832">
        <f>'Data-Kolom'!E51</f>
        <v>170</v>
      </c>
      <c r="I50" s="832">
        <f>'Data-Kolom'!F51</f>
        <v>400</v>
      </c>
      <c r="J50" s="832">
        <f>'Data-Kolom'!G51</f>
        <v>4600</v>
      </c>
      <c r="K50" s="831">
        <v>1</v>
      </c>
      <c r="L50" s="831"/>
      <c r="M50" s="831">
        <f>IF(L50&gt;0,VLOOKUP(L50,'Data-PC'!$B$14:$F$56,4,FALSE),0)</f>
        <v>0</v>
      </c>
      <c r="N50" s="847">
        <f>'Data-Kolom'!H51</f>
        <v>6</v>
      </c>
      <c r="O50" s="832">
        <f>'Data-Kolom'!I51</f>
        <v>16</v>
      </c>
      <c r="P50" s="850">
        <f t="shared" si="23"/>
        <v>1010</v>
      </c>
      <c r="Q50" s="831">
        <f t="shared" si="24"/>
        <v>770</v>
      </c>
      <c r="R50" s="831">
        <f t="shared" si="25"/>
        <v>6380</v>
      </c>
      <c r="S50" s="831"/>
      <c r="T50" s="849">
        <f t="shared" si="26"/>
        <v>6380</v>
      </c>
      <c r="U50" s="848">
        <f t="shared" si="27"/>
        <v>6</v>
      </c>
      <c r="V50" s="833">
        <f>'Data-Kolom'!J51</f>
        <v>0</v>
      </c>
      <c r="W50" s="832">
        <f>'Data-Kolom'!K51</f>
        <v>0</v>
      </c>
      <c r="X50" s="831">
        <f t="shared" si="28"/>
        <v>0</v>
      </c>
      <c r="Y50" s="831">
        <f t="shared" si="29"/>
        <v>0</v>
      </c>
      <c r="Z50" s="831">
        <f t="shared" si="30"/>
        <v>4600</v>
      </c>
      <c r="AA50" s="831"/>
      <c r="AB50" s="831">
        <f t="shared" si="31"/>
        <v>4600</v>
      </c>
      <c r="AC50" s="831">
        <f t="shared" si="32"/>
        <v>0</v>
      </c>
      <c r="AD50" s="847">
        <f>'Data-Kolom'!L51</f>
        <v>10</v>
      </c>
      <c r="AE50" s="846">
        <f>'Data-Kolom'!M51</f>
        <v>100</v>
      </c>
      <c r="AF50" s="846">
        <f>'Data-Kolom'!N51</f>
        <v>100</v>
      </c>
      <c r="AG50" s="846">
        <f>'Data-Kolom'!O51</f>
        <v>100</v>
      </c>
      <c r="AH50" s="846">
        <f>'Data-Kolom'!P51</f>
        <v>0</v>
      </c>
      <c r="AI50" s="846">
        <f>'Data-Kolom'!Q51</f>
        <v>0</v>
      </c>
      <c r="AJ50" s="846">
        <f>'Data-Kolom'!R51</f>
        <v>0</v>
      </c>
      <c r="AK50" s="853">
        <f>'Data-Kolom'!S51</f>
        <v>0</v>
      </c>
      <c r="AL50" s="827">
        <f t="shared" si="33"/>
        <v>1130</v>
      </c>
      <c r="AM50" s="826">
        <f t="shared" si="34"/>
        <v>0</v>
      </c>
      <c r="AN50" s="826">
        <f t="shared" si="35"/>
        <v>47</v>
      </c>
      <c r="AO50" s="845">
        <f t="shared" si="36"/>
        <v>0.31280000000000002</v>
      </c>
      <c r="AP50" s="822">
        <f t="shared" si="37"/>
        <v>60.415027200000004</v>
      </c>
      <c r="AQ50" s="824">
        <f t="shared" si="38"/>
        <v>0</v>
      </c>
      <c r="AR50" s="824">
        <f t="shared" si="39"/>
        <v>32.742315000000005</v>
      </c>
      <c r="AS50" s="824">
        <f t="shared" si="40"/>
        <v>0</v>
      </c>
      <c r="AT50" s="823">
        <f t="shared" si="41"/>
        <v>5.2439999999999998</v>
      </c>
      <c r="AU50" s="844">
        <f t="shared" si="42"/>
        <v>297.81759015345273</v>
      </c>
      <c r="AV50" s="844">
        <f t="shared" si="43"/>
        <v>16.764705882352938</v>
      </c>
      <c r="AX50" s="822">
        <f t="shared" si="44"/>
        <v>60.415027200000004</v>
      </c>
      <c r="AY50" s="843"/>
      <c r="AZ50" s="852">
        <f t="shared" si="45"/>
        <v>0</v>
      </c>
      <c r="BA50" s="851">
        <f t="shared" si="46"/>
        <v>0</v>
      </c>
    </row>
    <row r="51" spans="1:53" ht="13.9" customHeight="1">
      <c r="A51" s="842">
        <f>'Data-Kolom'!A52</f>
        <v>37</v>
      </c>
      <c r="B51" s="842" t="str">
        <f>'Data-Kolom'!B52</f>
        <v>Lantai 1</v>
      </c>
      <c r="C51" s="842">
        <f>'Data-Kolom'!C52</f>
        <v>0</v>
      </c>
      <c r="D51" s="841" t="str">
        <f>'Data-Kolom'!D52</f>
        <v>K4</v>
      </c>
      <c r="E51" s="832" t="s">
        <v>16</v>
      </c>
      <c r="F51" s="840">
        <f>'Data-Kolom'!U52</f>
        <v>0</v>
      </c>
      <c r="G51" s="839">
        <f>'Data-Kolom'!T52</f>
        <v>0</v>
      </c>
      <c r="H51" s="832">
        <f>'Data-Kolom'!E52</f>
        <v>170</v>
      </c>
      <c r="I51" s="832">
        <f>'Data-Kolom'!F52</f>
        <v>400</v>
      </c>
      <c r="J51" s="832">
        <f>'Data-Kolom'!G52</f>
        <v>5500</v>
      </c>
      <c r="K51" s="831">
        <v>1</v>
      </c>
      <c r="L51" s="831"/>
      <c r="M51" s="831">
        <f>IF(L51&gt;0,VLOOKUP(L51,'Data-PC'!$B$14:$F$56,4,FALSE),0)</f>
        <v>0</v>
      </c>
      <c r="N51" s="847">
        <f>'Data-Kolom'!H52</f>
        <v>6</v>
      </c>
      <c r="O51" s="832">
        <f>'Data-Kolom'!I52</f>
        <v>16</v>
      </c>
      <c r="P51" s="850">
        <f t="shared" si="23"/>
        <v>1010</v>
      </c>
      <c r="Q51" s="831">
        <f t="shared" si="24"/>
        <v>770</v>
      </c>
      <c r="R51" s="831">
        <f t="shared" si="25"/>
        <v>7280</v>
      </c>
      <c r="S51" s="831"/>
      <c r="T51" s="849">
        <f t="shared" si="26"/>
        <v>7280</v>
      </c>
      <c r="U51" s="848">
        <f t="shared" si="27"/>
        <v>6</v>
      </c>
      <c r="V51" s="833">
        <f>'Data-Kolom'!J52</f>
        <v>0</v>
      </c>
      <c r="W51" s="832">
        <f>'Data-Kolom'!K52</f>
        <v>0</v>
      </c>
      <c r="X51" s="831">
        <f t="shared" si="28"/>
        <v>0</v>
      </c>
      <c r="Y51" s="831">
        <f t="shared" si="29"/>
        <v>0</v>
      </c>
      <c r="Z51" s="831">
        <f t="shared" si="30"/>
        <v>5500</v>
      </c>
      <c r="AA51" s="831"/>
      <c r="AB51" s="831">
        <f t="shared" si="31"/>
        <v>5500</v>
      </c>
      <c r="AC51" s="831">
        <f t="shared" si="32"/>
        <v>0</v>
      </c>
      <c r="AD51" s="847">
        <f>'Data-Kolom'!L52</f>
        <v>10</v>
      </c>
      <c r="AE51" s="846">
        <f>'Data-Kolom'!M52</f>
        <v>100</v>
      </c>
      <c r="AF51" s="846">
        <f>'Data-Kolom'!N52</f>
        <v>100</v>
      </c>
      <c r="AG51" s="846">
        <f>'Data-Kolom'!O52</f>
        <v>100</v>
      </c>
      <c r="AH51" s="846">
        <f>'Data-Kolom'!P52</f>
        <v>0</v>
      </c>
      <c r="AI51" s="846">
        <f>'Data-Kolom'!Q52</f>
        <v>0</v>
      </c>
      <c r="AJ51" s="846">
        <f>'Data-Kolom'!R52</f>
        <v>0</v>
      </c>
      <c r="AK51" s="853">
        <f>'Data-Kolom'!S52</f>
        <v>0</v>
      </c>
      <c r="AL51" s="827">
        <f t="shared" si="33"/>
        <v>1130</v>
      </c>
      <c r="AM51" s="826">
        <f t="shared" si="34"/>
        <v>0</v>
      </c>
      <c r="AN51" s="826">
        <f t="shared" si="35"/>
        <v>57</v>
      </c>
      <c r="AO51" s="845">
        <f t="shared" si="36"/>
        <v>0.374</v>
      </c>
      <c r="AP51" s="822">
        <f t="shared" si="37"/>
        <v>68.937523200000001</v>
      </c>
      <c r="AQ51" s="824">
        <f t="shared" si="38"/>
        <v>0</v>
      </c>
      <c r="AR51" s="824">
        <f t="shared" si="39"/>
        <v>39.708765000000007</v>
      </c>
      <c r="AS51" s="824">
        <f t="shared" si="40"/>
        <v>0</v>
      </c>
      <c r="AT51" s="823">
        <f t="shared" si="41"/>
        <v>6.27</v>
      </c>
      <c r="AU51" s="844">
        <f t="shared" si="42"/>
        <v>290.49809679144391</v>
      </c>
      <c r="AV51" s="844">
        <f t="shared" si="43"/>
        <v>16.764705882352938</v>
      </c>
      <c r="AX51" s="822">
        <f t="shared" si="44"/>
        <v>68.937523200000001</v>
      </c>
      <c r="AY51" s="843"/>
      <c r="AZ51" s="852">
        <f t="shared" si="45"/>
        <v>0</v>
      </c>
      <c r="BA51" s="851">
        <f t="shared" si="46"/>
        <v>0</v>
      </c>
    </row>
    <row r="52" spans="1:53" ht="13.9" customHeight="1">
      <c r="A52" s="842">
        <f>'Data-Kolom'!A53</f>
        <v>38</v>
      </c>
      <c r="B52" s="842" t="str">
        <f>'Data-Kolom'!B53</f>
        <v>Lantai 1</v>
      </c>
      <c r="C52" s="842">
        <f>'Data-Kolom'!C53</f>
        <v>0</v>
      </c>
      <c r="D52" s="841" t="str">
        <f>'Data-Kolom'!D53</f>
        <v>K4</v>
      </c>
      <c r="E52" s="832" t="s">
        <v>16</v>
      </c>
      <c r="F52" s="840">
        <f>'Data-Kolom'!U53</f>
        <v>0</v>
      </c>
      <c r="G52" s="839">
        <f>'Data-Kolom'!T53</f>
        <v>0</v>
      </c>
      <c r="H52" s="832">
        <f>'Data-Kolom'!E53</f>
        <v>170</v>
      </c>
      <c r="I52" s="832">
        <f>'Data-Kolom'!F53</f>
        <v>400</v>
      </c>
      <c r="J52" s="832">
        <f>'Data-Kolom'!G53</f>
        <v>5500</v>
      </c>
      <c r="K52" s="831">
        <v>1</v>
      </c>
      <c r="L52" s="831"/>
      <c r="M52" s="831">
        <f>IF(L52&gt;0,VLOOKUP(L52,'Data-PC'!$B$14:$F$56,4,FALSE),0)</f>
        <v>0</v>
      </c>
      <c r="N52" s="847">
        <f>'Data-Kolom'!H53</f>
        <v>6</v>
      </c>
      <c r="O52" s="832">
        <f>'Data-Kolom'!I53</f>
        <v>16</v>
      </c>
      <c r="P52" s="850">
        <f t="shared" si="23"/>
        <v>1010</v>
      </c>
      <c r="Q52" s="831">
        <f t="shared" si="24"/>
        <v>770</v>
      </c>
      <c r="R52" s="831">
        <f t="shared" si="25"/>
        <v>7280</v>
      </c>
      <c r="S52" s="831"/>
      <c r="T52" s="849">
        <f t="shared" si="26"/>
        <v>7280</v>
      </c>
      <c r="U52" s="848">
        <f t="shared" si="27"/>
        <v>6</v>
      </c>
      <c r="V52" s="833">
        <f>'Data-Kolom'!J53</f>
        <v>0</v>
      </c>
      <c r="W52" s="832">
        <f>'Data-Kolom'!K53</f>
        <v>0</v>
      </c>
      <c r="X52" s="831">
        <f t="shared" si="28"/>
        <v>0</v>
      </c>
      <c r="Y52" s="831">
        <f t="shared" si="29"/>
        <v>0</v>
      </c>
      <c r="Z52" s="831">
        <f t="shared" si="30"/>
        <v>5500</v>
      </c>
      <c r="AA52" s="831"/>
      <c r="AB52" s="831">
        <f t="shared" si="31"/>
        <v>5500</v>
      </c>
      <c r="AC52" s="831">
        <f t="shared" si="32"/>
        <v>0</v>
      </c>
      <c r="AD52" s="847">
        <f>'Data-Kolom'!L53</f>
        <v>10</v>
      </c>
      <c r="AE52" s="846">
        <f>'Data-Kolom'!M53</f>
        <v>100</v>
      </c>
      <c r="AF52" s="846">
        <f>'Data-Kolom'!N53</f>
        <v>100</v>
      </c>
      <c r="AG52" s="846">
        <f>'Data-Kolom'!O53</f>
        <v>100</v>
      </c>
      <c r="AH52" s="846">
        <f>'Data-Kolom'!P53</f>
        <v>0</v>
      </c>
      <c r="AI52" s="846">
        <f>'Data-Kolom'!Q53</f>
        <v>0</v>
      </c>
      <c r="AJ52" s="846">
        <f>'Data-Kolom'!R53</f>
        <v>0</v>
      </c>
      <c r="AK52" s="853">
        <f>'Data-Kolom'!S53</f>
        <v>0</v>
      </c>
      <c r="AL52" s="827">
        <f t="shared" si="33"/>
        <v>1130</v>
      </c>
      <c r="AM52" s="826">
        <f t="shared" si="34"/>
        <v>0</v>
      </c>
      <c r="AN52" s="826">
        <f t="shared" si="35"/>
        <v>57</v>
      </c>
      <c r="AO52" s="845">
        <f t="shared" si="36"/>
        <v>0.374</v>
      </c>
      <c r="AP52" s="822">
        <f t="shared" si="37"/>
        <v>68.937523200000001</v>
      </c>
      <c r="AQ52" s="824">
        <f t="shared" si="38"/>
        <v>0</v>
      </c>
      <c r="AR52" s="824">
        <f t="shared" si="39"/>
        <v>39.708765000000007</v>
      </c>
      <c r="AS52" s="824">
        <f t="shared" si="40"/>
        <v>0</v>
      </c>
      <c r="AT52" s="823">
        <f t="shared" si="41"/>
        <v>6.27</v>
      </c>
      <c r="AU52" s="844">
        <f t="shared" si="42"/>
        <v>290.49809679144391</v>
      </c>
      <c r="AV52" s="844">
        <f t="shared" si="43"/>
        <v>16.764705882352938</v>
      </c>
      <c r="AX52" s="822">
        <f t="shared" si="44"/>
        <v>68.937523200000001</v>
      </c>
      <c r="AY52" s="843"/>
      <c r="AZ52" s="852">
        <f t="shared" si="45"/>
        <v>0</v>
      </c>
      <c r="BA52" s="851">
        <f t="shared" si="46"/>
        <v>0</v>
      </c>
    </row>
    <row r="53" spans="1:53" ht="13.9" customHeight="1">
      <c r="A53" s="842">
        <f>'Data-Kolom'!A54</f>
        <v>39</v>
      </c>
      <c r="B53" s="842" t="str">
        <f>'Data-Kolom'!B54</f>
        <v>Lantai 1</v>
      </c>
      <c r="C53" s="842">
        <f>'Data-Kolom'!C54</f>
        <v>0</v>
      </c>
      <c r="D53" s="841" t="str">
        <f>'Data-Kolom'!D54</f>
        <v>K4</v>
      </c>
      <c r="E53" s="832" t="s">
        <v>16</v>
      </c>
      <c r="F53" s="840">
        <f>'Data-Kolom'!U54</f>
        <v>0</v>
      </c>
      <c r="G53" s="839">
        <f>'Data-Kolom'!T54</f>
        <v>0</v>
      </c>
      <c r="H53" s="832">
        <f>'Data-Kolom'!E54</f>
        <v>170</v>
      </c>
      <c r="I53" s="832">
        <f>'Data-Kolom'!F54</f>
        <v>400</v>
      </c>
      <c r="J53" s="832">
        <f>'Data-Kolom'!G54</f>
        <v>5500</v>
      </c>
      <c r="K53" s="831">
        <v>1</v>
      </c>
      <c r="L53" s="831"/>
      <c r="M53" s="831">
        <f>IF(L53&gt;0,VLOOKUP(L53,'Data-PC'!$B$14:$F$56,4,FALSE),0)</f>
        <v>0</v>
      </c>
      <c r="N53" s="847">
        <f>'Data-Kolom'!H54</f>
        <v>6</v>
      </c>
      <c r="O53" s="832">
        <f>'Data-Kolom'!I54</f>
        <v>16</v>
      </c>
      <c r="P53" s="850">
        <f t="shared" si="23"/>
        <v>1010</v>
      </c>
      <c r="Q53" s="831">
        <f t="shared" si="24"/>
        <v>770</v>
      </c>
      <c r="R53" s="831">
        <f t="shared" si="25"/>
        <v>7280</v>
      </c>
      <c r="S53" s="831"/>
      <c r="T53" s="849">
        <f t="shared" si="26"/>
        <v>7280</v>
      </c>
      <c r="U53" s="848">
        <f t="shared" si="27"/>
        <v>6</v>
      </c>
      <c r="V53" s="833">
        <f>'Data-Kolom'!J54</f>
        <v>0</v>
      </c>
      <c r="W53" s="832">
        <f>'Data-Kolom'!K54</f>
        <v>0</v>
      </c>
      <c r="X53" s="831">
        <f t="shared" si="28"/>
        <v>0</v>
      </c>
      <c r="Y53" s="831">
        <f t="shared" si="29"/>
        <v>0</v>
      </c>
      <c r="Z53" s="831">
        <f t="shared" si="30"/>
        <v>5500</v>
      </c>
      <c r="AA53" s="831"/>
      <c r="AB53" s="831">
        <f t="shared" si="31"/>
        <v>5500</v>
      </c>
      <c r="AC53" s="831">
        <f t="shared" si="32"/>
        <v>0</v>
      </c>
      <c r="AD53" s="847">
        <f>'Data-Kolom'!L54</f>
        <v>10</v>
      </c>
      <c r="AE53" s="846">
        <f>'Data-Kolom'!M54</f>
        <v>100</v>
      </c>
      <c r="AF53" s="846">
        <f>'Data-Kolom'!N54</f>
        <v>100</v>
      </c>
      <c r="AG53" s="846">
        <f>'Data-Kolom'!O54</f>
        <v>100</v>
      </c>
      <c r="AH53" s="846">
        <f>'Data-Kolom'!P54</f>
        <v>0</v>
      </c>
      <c r="AI53" s="846">
        <f>'Data-Kolom'!Q54</f>
        <v>0</v>
      </c>
      <c r="AJ53" s="846">
        <f>'Data-Kolom'!R54</f>
        <v>0</v>
      </c>
      <c r="AK53" s="853">
        <f>'Data-Kolom'!S54</f>
        <v>0</v>
      </c>
      <c r="AL53" s="827">
        <f t="shared" si="33"/>
        <v>1130</v>
      </c>
      <c r="AM53" s="826">
        <f t="shared" si="34"/>
        <v>0</v>
      </c>
      <c r="AN53" s="826">
        <f t="shared" si="35"/>
        <v>57</v>
      </c>
      <c r="AO53" s="845">
        <f t="shared" si="36"/>
        <v>0.374</v>
      </c>
      <c r="AP53" s="822">
        <f t="shared" si="37"/>
        <v>68.937523200000001</v>
      </c>
      <c r="AQ53" s="824">
        <f t="shared" si="38"/>
        <v>0</v>
      </c>
      <c r="AR53" s="824">
        <f t="shared" si="39"/>
        <v>39.708765000000007</v>
      </c>
      <c r="AS53" s="824">
        <f t="shared" si="40"/>
        <v>0</v>
      </c>
      <c r="AT53" s="823">
        <f t="shared" si="41"/>
        <v>6.27</v>
      </c>
      <c r="AU53" s="844">
        <f t="shared" si="42"/>
        <v>290.49809679144391</v>
      </c>
      <c r="AV53" s="844">
        <f t="shared" si="43"/>
        <v>16.764705882352938</v>
      </c>
      <c r="AX53" s="822">
        <f t="shared" si="44"/>
        <v>68.937523200000001</v>
      </c>
      <c r="AY53" s="843"/>
      <c r="AZ53" s="852">
        <f t="shared" si="45"/>
        <v>0</v>
      </c>
      <c r="BA53" s="851">
        <f t="shared" si="46"/>
        <v>0</v>
      </c>
    </row>
    <row r="54" spans="1:53" ht="13.9" customHeight="1">
      <c r="A54" s="842">
        <f>'Data-Kolom'!A55</f>
        <v>40</v>
      </c>
      <c r="B54" s="842" t="str">
        <f>'Data-Kolom'!B55</f>
        <v>Lantai 1</v>
      </c>
      <c r="C54" s="842">
        <f>'Data-Kolom'!C55</f>
        <v>0</v>
      </c>
      <c r="D54" s="841" t="str">
        <f>'Data-Kolom'!D55</f>
        <v>K4</v>
      </c>
      <c r="E54" s="832" t="s">
        <v>16</v>
      </c>
      <c r="F54" s="840">
        <f>'Data-Kolom'!U55</f>
        <v>0</v>
      </c>
      <c r="G54" s="839">
        <f>'Data-Kolom'!T55</f>
        <v>0</v>
      </c>
      <c r="H54" s="832">
        <f>'Data-Kolom'!E55</f>
        <v>170</v>
      </c>
      <c r="I54" s="832">
        <f>'Data-Kolom'!F55</f>
        <v>400</v>
      </c>
      <c r="J54" s="832">
        <f>'Data-Kolom'!G55</f>
        <v>5500</v>
      </c>
      <c r="K54" s="831">
        <v>1</v>
      </c>
      <c r="L54" s="831"/>
      <c r="M54" s="831">
        <f>IF(L54&gt;0,VLOOKUP(L54,'Data-PC'!$B$14:$F$56,4,FALSE),0)</f>
        <v>0</v>
      </c>
      <c r="N54" s="847">
        <f>'Data-Kolom'!H55</f>
        <v>6</v>
      </c>
      <c r="O54" s="832">
        <f>'Data-Kolom'!I55</f>
        <v>16</v>
      </c>
      <c r="P54" s="850">
        <f t="shared" si="23"/>
        <v>1010</v>
      </c>
      <c r="Q54" s="831">
        <f t="shared" si="24"/>
        <v>770</v>
      </c>
      <c r="R54" s="831">
        <f t="shared" si="25"/>
        <v>7280</v>
      </c>
      <c r="S54" s="831"/>
      <c r="T54" s="849">
        <f t="shared" si="26"/>
        <v>7280</v>
      </c>
      <c r="U54" s="848">
        <f t="shared" si="27"/>
        <v>6</v>
      </c>
      <c r="V54" s="833">
        <f>'Data-Kolom'!J55</f>
        <v>0</v>
      </c>
      <c r="W54" s="832">
        <f>'Data-Kolom'!K55</f>
        <v>0</v>
      </c>
      <c r="X54" s="831">
        <f t="shared" si="28"/>
        <v>0</v>
      </c>
      <c r="Y54" s="831">
        <f t="shared" si="29"/>
        <v>0</v>
      </c>
      <c r="Z54" s="831">
        <f t="shared" si="30"/>
        <v>5500</v>
      </c>
      <c r="AA54" s="831"/>
      <c r="AB54" s="831">
        <f t="shared" si="31"/>
        <v>5500</v>
      </c>
      <c r="AC54" s="831">
        <f t="shared" si="32"/>
        <v>0</v>
      </c>
      <c r="AD54" s="847">
        <f>'Data-Kolom'!L55</f>
        <v>10</v>
      </c>
      <c r="AE54" s="846">
        <f>'Data-Kolom'!M55</f>
        <v>100</v>
      </c>
      <c r="AF54" s="846">
        <f>'Data-Kolom'!N55</f>
        <v>100</v>
      </c>
      <c r="AG54" s="846">
        <f>'Data-Kolom'!O55</f>
        <v>100</v>
      </c>
      <c r="AH54" s="846">
        <f>'Data-Kolom'!P55</f>
        <v>0</v>
      </c>
      <c r="AI54" s="846">
        <f>'Data-Kolom'!Q55</f>
        <v>0</v>
      </c>
      <c r="AJ54" s="846">
        <f>'Data-Kolom'!R55</f>
        <v>0</v>
      </c>
      <c r="AK54" s="853">
        <f>'Data-Kolom'!S55</f>
        <v>0</v>
      </c>
      <c r="AL54" s="827">
        <f t="shared" si="33"/>
        <v>1130</v>
      </c>
      <c r="AM54" s="826">
        <f t="shared" si="34"/>
        <v>0</v>
      </c>
      <c r="AN54" s="826">
        <f t="shared" si="35"/>
        <v>57</v>
      </c>
      <c r="AO54" s="845">
        <f t="shared" si="36"/>
        <v>0.374</v>
      </c>
      <c r="AP54" s="822">
        <f t="shared" si="37"/>
        <v>68.937523200000001</v>
      </c>
      <c r="AQ54" s="824">
        <f t="shared" si="38"/>
        <v>0</v>
      </c>
      <c r="AR54" s="824">
        <f t="shared" si="39"/>
        <v>39.708765000000007</v>
      </c>
      <c r="AS54" s="824">
        <f t="shared" si="40"/>
        <v>0</v>
      </c>
      <c r="AT54" s="823">
        <f t="shared" si="41"/>
        <v>6.27</v>
      </c>
      <c r="AU54" s="844">
        <f t="shared" si="42"/>
        <v>290.49809679144391</v>
      </c>
      <c r="AV54" s="844">
        <f t="shared" si="43"/>
        <v>16.764705882352938</v>
      </c>
      <c r="AX54" s="822">
        <f t="shared" si="44"/>
        <v>68.937523200000001</v>
      </c>
      <c r="AY54" s="843"/>
      <c r="AZ54" s="852">
        <f t="shared" si="45"/>
        <v>0</v>
      </c>
      <c r="BA54" s="851">
        <f t="shared" si="46"/>
        <v>0</v>
      </c>
    </row>
    <row r="55" spans="1:53" ht="13.9" customHeight="1">
      <c r="A55" s="842">
        <f>'Data-Kolom'!A56</f>
        <v>41</v>
      </c>
      <c r="B55" s="842" t="str">
        <f>'Data-Kolom'!B56</f>
        <v>Lantai 1</v>
      </c>
      <c r="C55" s="842">
        <f>'Data-Kolom'!C56</f>
        <v>0</v>
      </c>
      <c r="D55" s="841" t="str">
        <f>'Data-Kolom'!D56</f>
        <v>K4</v>
      </c>
      <c r="E55" s="832" t="s">
        <v>16</v>
      </c>
      <c r="F55" s="840">
        <f>'Data-Kolom'!U56</f>
        <v>0</v>
      </c>
      <c r="G55" s="839">
        <f>'Data-Kolom'!T56</f>
        <v>0</v>
      </c>
      <c r="H55" s="832">
        <f>'Data-Kolom'!E56</f>
        <v>170</v>
      </c>
      <c r="I55" s="832">
        <f>'Data-Kolom'!F56</f>
        <v>400</v>
      </c>
      <c r="J55" s="832">
        <f>'Data-Kolom'!G56</f>
        <v>5500</v>
      </c>
      <c r="K55" s="831">
        <v>1</v>
      </c>
      <c r="L55" s="831"/>
      <c r="M55" s="831">
        <f>IF(L55&gt;0,VLOOKUP(L55,'Data-PC'!$B$14:$F$56,4,FALSE),0)</f>
        <v>0</v>
      </c>
      <c r="N55" s="847">
        <f>'Data-Kolom'!H56</f>
        <v>6</v>
      </c>
      <c r="O55" s="832">
        <f>'Data-Kolom'!I56</f>
        <v>16</v>
      </c>
      <c r="P55" s="850">
        <f t="shared" si="23"/>
        <v>1010</v>
      </c>
      <c r="Q55" s="831">
        <f t="shared" si="24"/>
        <v>770</v>
      </c>
      <c r="R55" s="831">
        <f t="shared" si="25"/>
        <v>7280</v>
      </c>
      <c r="S55" s="831"/>
      <c r="T55" s="849">
        <f t="shared" si="26"/>
        <v>7280</v>
      </c>
      <c r="U55" s="848">
        <f t="shared" si="27"/>
        <v>6</v>
      </c>
      <c r="V55" s="833">
        <f>'Data-Kolom'!J56</f>
        <v>0</v>
      </c>
      <c r="W55" s="832">
        <f>'Data-Kolom'!K56</f>
        <v>0</v>
      </c>
      <c r="X55" s="831">
        <f t="shared" si="28"/>
        <v>0</v>
      </c>
      <c r="Y55" s="831">
        <f t="shared" si="29"/>
        <v>0</v>
      </c>
      <c r="Z55" s="831">
        <f t="shared" si="30"/>
        <v>5500</v>
      </c>
      <c r="AA55" s="831"/>
      <c r="AB55" s="831">
        <f t="shared" si="31"/>
        <v>5500</v>
      </c>
      <c r="AC55" s="831">
        <f t="shared" si="32"/>
        <v>0</v>
      </c>
      <c r="AD55" s="847">
        <f>'Data-Kolom'!L56</f>
        <v>10</v>
      </c>
      <c r="AE55" s="846">
        <f>'Data-Kolom'!M56</f>
        <v>100</v>
      </c>
      <c r="AF55" s="846">
        <f>'Data-Kolom'!N56</f>
        <v>100</v>
      </c>
      <c r="AG55" s="846">
        <f>'Data-Kolom'!O56</f>
        <v>100</v>
      </c>
      <c r="AH55" s="846">
        <f>'Data-Kolom'!P56</f>
        <v>0</v>
      </c>
      <c r="AI55" s="846">
        <f>'Data-Kolom'!Q56</f>
        <v>0</v>
      </c>
      <c r="AJ55" s="846">
        <f>'Data-Kolom'!R56</f>
        <v>0</v>
      </c>
      <c r="AK55" s="853">
        <f>'Data-Kolom'!S56</f>
        <v>0</v>
      </c>
      <c r="AL55" s="827">
        <f t="shared" si="33"/>
        <v>1130</v>
      </c>
      <c r="AM55" s="826">
        <f t="shared" si="34"/>
        <v>0</v>
      </c>
      <c r="AN55" s="826">
        <f t="shared" si="35"/>
        <v>57</v>
      </c>
      <c r="AO55" s="845">
        <f t="shared" si="36"/>
        <v>0.374</v>
      </c>
      <c r="AP55" s="822">
        <f t="shared" si="37"/>
        <v>68.937523200000001</v>
      </c>
      <c r="AQ55" s="824">
        <f t="shared" si="38"/>
        <v>0</v>
      </c>
      <c r="AR55" s="824">
        <f t="shared" si="39"/>
        <v>39.708765000000007</v>
      </c>
      <c r="AS55" s="824">
        <f t="shared" si="40"/>
        <v>0</v>
      </c>
      <c r="AT55" s="823">
        <f t="shared" si="41"/>
        <v>6.27</v>
      </c>
      <c r="AU55" s="844">
        <f t="shared" si="42"/>
        <v>290.49809679144391</v>
      </c>
      <c r="AV55" s="844">
        <f t="shared" si="43"/>
        <v>16.764705882352938</v>
      </c>
      <c r="AX55" s="822">
        <f t="shared" si="44"/>
        <v>68.937523200000001</v>
      </c>
      <c r="AY55" s="843"/>
      <c r="AZ55" s="852">
        <f t="shared" si="45"/>
        <v>0</v>
      </c>
      <c r="BA55" s="851">
        <f t="shared" si="46"/>
        <v>0</v>
      </c>
    </row>
    <row r="56" spans="1:53" ht="13.9" customHeight="1">
      <c r="A56" s="842">
        <f>'Data-Kolom'!A57</f>
        <v>42</v>
      </c>
      <c r="B56" s="842" t="str">
        <f>'Data-Kolom'!B57</f>
        <v>Lantai 1</v>
      </c>
      <c r="C56" s="842">
        <f>'Data-Kolom'!C57</f>
        <v>0</v>
      </c>
      <c r="D56" s="841" t="str">
        <f>'Data-Kolom'!D57</f>
        <v>K4</v>
      </c>
      <c r="E56" s="832" t="s">
        <v>16</v>
      </c>
      <c r="F56" s="840">
        <f>'Data-Kolom'!U57</f>
        <v>0</v>
      </c>
      <c r="G56" s="839">
        <f>'Data-Kolom'!T57</f>
        <v>0</v>
      </c>
      <c r="H56" s="832">
        <f>'Data-Kolom'!E57</f>
        <v>170</v>
      </c>
      <c r="I56" s="832">
        <f>'Data-Kolom'!F57</f>
        <v>400</v>
      </c>
      <c r="J56" s="832">
        <f>'Data-Kolom'!G57</f>
        <v>5500</v>
      </c>
      <c r="K56" s="831">
        <v>1</v>
      </c>
      <c r="L56" s="831"/>
      <c r="M56" s="831">
        <f>IF(L56&gt;0,VLOOKUP(L56,'Data-PC'!$B$14:$F$56,4,FALSE),0)</f>
        <v>0</v>
      </c>
      <c r="N56" s="847">
        <f>'Data-Kolom'!H57</f>
        <v>6</v>
      </c>
      <c r="O56" s="832">
        <f>'Data-Kolom'!I57</f>
        <v>16</v>
      </c>
      <c r="P56" s="850">
        <f t="shared" si="23"/>
        <v>1010</v>
      </c>
      <c r="Q56" s="831">
        <f t="shared" si="24"/>
        <v>770</v>
      </c>
      <c r="R56" s="831">
        <f t="shared" si="25"/>
        <v>7280</v>
      </c>
      <c r="S56" s="831"/>
      <c r="T56" s="849">
        <f t="shared" si="26"/>
        <v>7280</v>
      </c>
      <c r="U56" s="848">
        <f t="shared" si="27"/>
        <v>6</v>
      </c>
      <c r="V56" s="833">
        <f>'Data-Kolom'!J57</f>
        <v>0</v>
      </c>
      <c r="W56" s="832">
        <f>'Data-Kolom'!K57</f>
        <v>0</v>
      </c>
      <c r="X56" s="831">
        <f t="shared" si="28"/>
        <v>0</v>
      </c>
      <c r="Y56" s="831">
        <f t="shared" si="29"/>
        <v>0</v>
      </c>
      <c r="Z56" s="831">
        <f t="shared" si="30"/>
        <v>5500</v>
      </c>
      <c r="AA56" s="831"/>
      <c r="AB56" s="831">
        <f t="shared" si="31"/>
        <v>5500</v>
      </c>
      <c r="AC56" s="831">
        <f t="shared" si="32"/>
        <v>0</v>
      </c>
      <c r="AD56" s="847">
        <f>'Data-Kolom'!L57</f>
        <v>10</v>
      </c>
      <c r="AE56" s="846">
        <f>'Data-Kolom'!M57</f>
        <v>100</v>
      </c>
      <c r="AF56" s="846">
        <f>'Data-Kolom'!N57</f>
        <v>100</v>
      </c>
      <c r="AG56" s="846">
        <f>'Data-Kolom'!O57</f>
        <v>100</v>
      </c>
      <c r="AH56" s="846">
        <f>'Data-Kolom'!P57</f>
        <v>0</v>
      </c>
      <c r="AI56" s="846">
        <f>'Data-Kolom'!Q57</f>
        <v>0</v>
      </c>
      <c r="AJ56" s="846">
        <f>'Data-Kolom'!R57</f>
        <v>0</v>
      </c>
      <c r="AK56" s="853">
        <f>'Data-Kolom'!S57</f>
        <v>0</v>
      </c>
      <c r="AL56" s="827">
        <f t="shared" si="33"/>
        <v>1130</v>
      </c>
      <c r="AM56" s="826">
        <f t="shared" si="34"/>
        <v>0</v>
      </c>
      <c r="AN56" s="826">
        <f t="shared" si="35"/>
        <v>57</v>
      </c>
      <c r="AO56" s="845">
        <f t="shared" si="36"/>
        <v>0.374</v>
      </c>
      <c r="AP56" s="822">
        <f t="shared" si="37"/>
        <v>68.937523200000001</v>
      </c>
      <c r="AQ56" s="824">
        <f t="shared" si="38"/>
        <v>0</v>
      </c>
      <c r="AR56" s="824">
        <f t="shared" si="39"/>
        <v>39.708765000000007</v>
      </c>
      <c r="AS56" s="824">
        <f t="shared" si="40"/>
        <v>0</v>
      </c>
      <c r="AT56" s="823">
        <f t="shared" si="41"/>
        <v>6.27</v>
      </c>
      <c r="AU56" s="844">
        <f t="shared" si="42"/>
        <v>290.49809679144391</v>
      </c>
      <c r="AV56" s="844">
        <f t="shared" si="43"/>
        <v>16.764705882352938</v>
      </c>
      <c r="AX56" s="822">
        <f t="shared" si="44"/>
        <v>68.937523200000001</v>
      </c>
      <c r="AY56" s="843"/>
      <c r="AZ56" s="852">
        <f t="shared" si="45"/>
        <v>0</v>
      </c>
      <c r="BA56" s="851">
        <f t="shared" si="46"/>
        <v>0</v>
      </c>
    </row>
    <row r="57" spans="1:53" ht="13.9" customHeight="1">
      <c r="A57" s="842">
        <f>'Data-Kolom'!A58</f>
        <v>43</v>
      </c>
      <c r="B57" s="842" t="str">
        <f>'Data-Kolom'!B58</f>
        <v>Lantai 1</v>
      </c>
      <c r="C57" s="842">
        <f>'Data-Kolom'!C58</f>
        <v>0</v>
      </c>
      <c r="D57" s="841" t="str">
        <f>'Data-Kolom'!D58</f>
        <v>K4</v>
      </c>
      <c r="E57" s="832" t="s">
        <v>16</v>
      </c>
      <c r="F57" s="840">
        <f>'Data-Kolom'!U58</f>
        <v>0</v>
      </c>
      <c r="G57" s="839">
        <f>'Data-Kolom'!T58</f>
        <v>0</v>
      </c>
      <c r="H57" s="832">
        <f>'Data-Kolom'!E58</f>
        <v>170</v>
      </c>
      <c r="I57" s="832">
        <f>'Data-Kolom'!F58</f>
        <v>400</v>
      </c>
      <c r="J57" s="832">
        <f>'Data-Kolom'!G58</f>
        <v>5500</v>
      </c>
      <c r="K57" s="831">
        <v>1</v>
      </c>
      <c r="L57" s="831"/>
      <c r="M57" s="831">
        <f>IF(L57&gt;0,VLOOKUP(L57,'Data-PC'!$B$14:$F$56,4,FALSE),0)</f>
        <v>0</v>
      </c>
      <c r="N57" s="847">
        <f>'Data-Kolom'!H58</f>
        <v>6</v>
      </c>
      <c r="O57" s="832">
        <f>'Data-Kolom'!I58</f>
        <v>16</v>
      </c>
      <c r="P57" s="850">
        <f t="shared" si="23"/>
        <v>1010</v>
      </c>
      <c r="Q57" s="831">
        <f t="shared" si="24"/>
        <v>770</v>
      </c>
      <c r="R57" s="831">
        <f t="shared" si="25"/>
        <v>7280</v>
      </c>
      <c r="S57" s="831"/>
      <c r="T57" s="849">
        <f t="shared" si="26"/>
        <v>7280</v>
      </c>
      <c r="U57" s="848">
        <f t="shared" si="27"/>
        <v>6</v>
      </c>
      <c r="V57" s="833">
        <f>'Data-Kolom'!J58</f>
        <v>0</v>
      </c>
      <c r="W57" s="832">
        <f>'Data-Kolom'!K58</f>
        <v>0</v>
      </c>
      <c r="X57" s="831">
        <f t="shared" si="28"/>
        <v>0</v>
      </c>
      <c r="Y57" s="831">
        <f t="shared" si="29"/>
        <v>0</v>
      </c>
      <c r="Z57" s="831">
        <f t="shared" si="30"/>
        <v>5500</v>
      </c>
      <c r="AA57" s="831"/>
      <c r="AB57" s="831">
        <f t="shared" si="31"/>
        <v>5500</v>
      </c>
      <c r="AC57" s="831">
        <f t="shared" si="32"/>
        <v>0</v>
      </c>
      <c r="AD57" s="847">
        <f>'Data-Kolom'!L58</f>
        <v>10</v>
      </c>
      <c r="AE57" s="846">
        <f>'Data-Kolom'!M58</f>
        <v>100</v>
      </c>
      <c r="AF57" s="846">
        <f>'Data-Kolom'!N58</f>
        <v>100</v>
      </c>
      <c r="AG57" s="846">
        <f>'Data-Kolom'!O58</f>
        <v>100</v>
      </c>
      <c r="AH57" s="846">
        <f>'Data-Kolom'!P58</f>
        <v>0</v>
      </c>
      <c r="AI57" s="846">
        <f>'Data-Kolom'!Q58</f>
        <v>0</v>
      </c>
      <c r="AJ57" s="846">
        <f>'Data-Kolom'!R58</f>
        <v>0</v>
      </c>
      <c r="AK57" s="853">
        <f>'Data-Kolom'!S58</f>
        <v>0</v>
      </c>
      <c r="AL57" s="827">
        <f t="shared" si="33"/>
        <v>1130</v>
      </c>
      <c r="AM57" s="826">
        <f t="shared" si="34"/>
        <v>0</v>
      </c>
      <c r="AN57" s="826">
        <f t="shared" si="35"/>
        <v>57</v>
      </c>
      <c r="AO57" s="845">
        <f t="shared" si="36"/>
        <v>0.374</v>
      </c>
      <c r="AP57" s="822">
        <f t="shared" si="37"/>
        <v>68.937523200000001</v>
      </c>
      <c r="AQ57" s="824">
        <f t="shared" si="38"/>
        <v>0</v>
      </c>
      <c r="AR57" s="824">
        <f t="shared" si="39"/>
        <v>39.708765000000007</v>
      </c>
      <c r="AS57" s="824">
        <f t="shared" si="40"/>
        <v>0</v>
      </c>
      <c r="AT57" s="823">
        <f t="shared" si="41"/>
        <v>6.27</v>
      </c>
      <c r="AU57" s="844">
        <f t="shared" si="42"/>
        <v>290.49809679144391</v>
      </c>
      <c r="AV57" s="844">
        <f t="shared" si="43"/>
        <v>16.764705882352938</v>
      </c>
      <c r="AX57" s="822">
        <f t="shared" si="44"/>
        <v>68.937523200000001</v>
      </c>
      <c r="AY57" s="843"/>
      <c r="AZ57" s="852">
        <f t="shared" si="45"/>
        <v>0</v>
      </c>
      <c r="BA57" s="851">
        <f t="shared" si="46"/>
        <v>0</v>
      </c>
    </row>
    <row r="58" spans="1:53" ht="13.9" customHeight="1">
      <c r="A58" s="842">
        <f>'Data-Kolom'!A59</f>
        <v>44</v>
      </c>
      <c r="B58" s="842" t="str">
        <f>'Data-Kolom'!B59</f>
        <v>Lantai 1</v>
      </c>
      <c r="C58" s="842">
        <f>'Data-Kolom'!C59</f>
        <v>0</v>
      </c>
      <c r="D58" s="841" t="str">
        <f>'Data-Kolom'!D59</f>
        <v>K25</v>
      </c>
      <c r="E58" s="832" t="s">
        <v>16</v>
      </c>
      <c r="F58" s="840">
        <f>'Data-Kolom'!U59</f>
        <v>0</v>
      </c>
      <c r="G58" s="839">
        <f>'Data-Kolom'!T59</f>
        <v>0</v>
      </c>
      <c r="H58" s="832">
        <f>'Data-Kolom'!E59</f>
        <v>200</v>
      </c>
      <c r="I58" s="832">
        <f>'Data-Kolom'!F59</f>
        <v>500</v>
      </c>
      <c r="J58" s="832">
        <f>'Data-Kolom'!G59</f>
        <v>5500</v>
      </c>
      <c r="K58" s="831">
        <v>1</v>
      </c>
      <c r="L58" s="831"/>
      <c r="M58" s="831">
        <f>IF(L58&gt;0,VLOOKUP(L58,'Data-PC'!$B$14:$F$56,4,FALSE),0)</f>
        <v>0</v>
      </c>
      <c r="N58" s="847">
        <f>'Data-Kolom'!H59</f>
        <v>8</v>
      </c>
      <c r="O58" s="832">
        <f>'Data-Kolom'!I59</f>
        <v>16</v>
      </c>
      <c r="P58" s="850">
        <f t="shared" si="23"/>
        <v>1010</v>
      </c>
      <c r="Q58" s="831">
        <f t="shared" si="24"/>
        <v>770</v>
      </c>
      <c r="R58" s="831">
        <f t="shared" si="25"/>
        <v>7280</v>
      </c>
      <c r="S58" s="831"/>
      <c r="T58" s="849">
        <f t="shared" si="26"/>
        <v>7280</v>
      </c>
      <c r="U58" s="848">
        <f t="shared" si="27"/>
        <v>8</v>
      </c>
      <c r="V58" s="833">
        <f>'Data-Kolom'!J59</f>
        <v>0</v>
      </c>
      <c r="W58" s="832">
        <f>'Data-Kolom'!K59</f>
        <v>0</v>
      </c>
      <c r="X58" s="831">
        <f t="shared" si="28"/>
        <v>0</v>
      </c>
      <c r="Y58" s="831">
        <f t="shared" si="29"/>
        <v>0</v>
      </c>
      <c r="Z58" s="831">
        <f t="shared" si="30"/>
        <v>5500</v>
      </c>
      <c r="AA58" s="831"/>
      <c r="AB58" s="831">
        <f t="shared" si="31"/>
        <v>5500</v>
      </c>
      <c r="AC58" s="831">
        <f t="shared" si="32"/>
        <v>0</v>
      </c>
      <c r="AD58" s="847">
        <f>'Data-Kolom'!L59</f>
        <v>10</v>
      </c>
      <c r="AE58" s="846">
        <f>'Data-Kolom'!M59</f>
        <v>100</v>
      </c>
      <c r="AF58" s="846">
        <f>'Data-Kolom'!N59</f>
        <v>100</v>
      </c>
      <c r="AG58" s="846">
        <f>'Data-Kolom'!O59</f>
        <v>100</v>
      </c>
      <c r="AH58" s="846">
        <f>'Data-Kolom'!P59</f>
        <v>1</v>
      </c>
      <c r="AI58" s="846">
        <f>'Data-Kolom'!Q59</f>
        <v>10</v>
      </c>
      <c r="AJ58" s="846">
        <f>'Data-Kolom'!R59</f>
        <v>0</v>
      </c>
      <c r="AK58" s="853">
        <f>'Data-Kolom'!S59</f>
        <v>0</v>
      </c>
      <c r="AL58" s="827">
        <f t="shared" si="33"/>
        <v>1390</v>
      </c>
      <c r="AM58" s="826">
        <f t="shared" si="34"/>
        <v>310</v>
      </c>
      <c r="AN58" s="826">
        <f t="shared" si="35"/>
        <v>57</v>
      </c>
      <c r="AO58" s="845">
        <f t="shared" si="36"/>
        <v>0.55000000000000004</v>
      </c>
      <c r="AP58" s="822">
        <f t="shared" si="37"/>
        <v>91.916697600000006</v>
      </c>
      <c r="AQ58" s="824">
        <f t="shared" si="38"/>
        <v>0</v>
      </c>
      <c r="AR58" s="824">
        <f t="shared" si="39"/>
        <v>48.845295000000007</v>
      </c>
      <c r="AS58" s="824">
        <f t="shared" si="40"/>
        <v>10.893555000000001</v>
      </c>
      <c r="AT58" s="823">
        <f t="shared" si="41"/>
        <v>7.7</v>
      </c>
      <c r="AU58" s="844">
        <f t="shared" si="42"/>
        <v>275.73735927272725</v>
      </c>
      <c r="AV58" s="844">
        <f t="shared" si="43"/>
        <v>14</v>
      </c>
      <c r="AX58" s="822">
        <f t="shared" si="44"/>
        <v>91.916697600000006</v>
      </c>
      <c r="AY58" s="843"/>
      <c r="AZ58" s="852">
        <f t="shared" si="45"/>
        <v>0</v>
      </c>
      <c r="BA58" s="851">
        <f t="shared" si="46"/>
        <v>0</v>
      </c>
    </row>
    <row r="59" spans="1:53" ht="13.9" customHeight="1">
      <c r="A59" s="842">
        <f>'Data-Kolom'!A60</f>
        <v>45</v>
      </c>
      <c r="B59" s="842" t="str">
        <f>'Data-Kolom'!B60</f>
        <v>Lantai 1</v>
      </c>
      <c r="C59" s="842">
        <f>'Data-Kolom'!C60</f>
        <v>0</v>
      </c>
      <c r="D59" s="841" t="str">
        <f>'Data-Kolom'!D60</f>
        <v>K24</v>
      </c>
      <c r="E59" s="832" t="s">
        <v>324</v>
      </c>
      <c r="F59" s="840">
        <f>'Data-Kolom'!U60</f>
        <v>0</v>
      </c>
      <c r="G59" s="839">
        <f>'Data-Kolom'!T60</f>
        <v>0</v>
      </c>
      <c r="H59" s="832">
        <f>'Data-Kolom'!E60</f>
        <v>200</v>
      </c>
      <c r="I59" s="832">
        <f>'Data-Kolom'!F60</f>
        <v>400</v>
      </c>
      <c r="J59" s="832">
        <f>'Data-Kolom'!G60</f>
        <v>1700</v>
      </c>
      <c r="K59" s="831">
        <v>1</v>
      </c>
      <c r="L59" s="831"/>
      <c r="M59" s="831">
        <f>IF(L59&gt;0,VLOOKUP(L59,'Data-PC'!$B$14:$F$56,4,FALSE),0)</f>
        <v>0</v>
      </c>
      <c r="N59" s="847">
        <f>'Data-Kolom'!H60</f>
        <v>6</v>
      </c>
      <c r="O59" s="832">
        <f>'Data-Kolom'!I60</f>
        <v>16</v>
      </c>
      <c r="P59" s="850">
        <f t="shared" ref="P59:P64" si="82">IF(N59&gt;0,VLOOKUP(O59,$V$2:$X$9,2,FALSE),0)</f>
        <v>1010</v>
      </c>
      <c r="Q59" s="831">
        <f t="shared" ref="Q59:Q64" si="83">IF(L59&gt;0,M59-50+$N$6*O59,VLOOKUP(O59,$V$2:$X$9,3,FALSE))</f>
        <v>770</v>
      </c>
      <c r="R59" s="831">
        <f t="shared" ref="R59:R64" si="84">IF(E59="F",J59-$N$5+$N$6*O59+Q59,IF(E59="D",J59+Q59+P59,IF(E59="T",J59+P59,IF(E59="A",J59-$N$5+$N$6*O59,0))))</f>
        <v>2642</v>
      </c>
      <c r="S59" s="831"/>
      <c r="T59" s="849">
        <f t="shared" ref="T59:T64" si="85">SUM(R59:S59)</f>
        <v>2642</v>
      </c>
      <c r="U59" s="848">
        <f t="shared" ref="U59:U64" si="86">K59*N59</f>
        <v>6</v>
      </c>
      <c r="V59" s="833">
        <f>'Data-Kolom'!J60</f>
        <v>0</v>
      </c>
      <c r="W59" s="832">
        <f>'Data-Kolom'!K60</f>
        <v>0</v>
      </c>
      <c r="X59" s="831">
        <f t="shared" ref="X59:X64" si="87">IF(V59&gt;0,VLOOKUP(W59,$V$2:$X$9,2,FALSE),0)</f>
        <v>0</v>
      </c>
      <c r="Y59" s="831">
        <f t="shared" ref="Y59:Y64" si="88">IF(V59&gt;0,IF(L59&gt;0,M59-50+$N$6*W59,VLOOKUP(W59,$V$2:$X$9,3,FALSE)),0)</f>
        <v>0</v>
      </c>
      <c r="Z59" s="831">
        <f t="shared" ref="Z59:Z64" si="89">IF(E59="F",J59-$N$5+$N$6*W59+Y59,IF(E59="D",J59+Y59+X59,IF(E59="T",J59+X59,IF(E59="A",J59-$N$5+$N$6*W59,0))))</f>
        <v>1680</v>
      </c>
      <c r="AA59" s="831"/>
      <c r="AB59" s="831">
        <f t="shared" ref="AB59:AB64" si="90">SUM(Z59:AA59)</f>
        <v>1680</v>
      </c>
      <c r="AC59" s="831">
        <f t="shared" ref="AC59:AC64" si="91">V59*K59</f>
        <v>0</v>
      </c>
      <c r="AD59" s="847">
        <f>'Data-Kolom'!L60</f>
        <v>10</v>
      </c>
      <c r="AE59" s="846">
        <f>'Data-Kolom'!M60</f>
        <v>100</v>
      </c>
      <c r="AF59" s="846">
        <f>'Data-Kolom'!N60</f>
        <v>100</v>
      </c>
      <c r="AG59" s="846">
        <f>'Data-Kolom'!O60</f>
        <v>100</v>
      </c>
      <c r="AH59" s="846">
        <f>'Data-Kolom'!P60</f>
        <v>1</v>
      </c>
      <c r="AI59" s="846">
        <f>'Data-Kolom'!Q60</f>
        <v>10</v>
      </c>
      <c r="AJ59" s="846">
        <f>'Data-Kolom'!R60</f>
        <v>0</v>
      </c>
      <c r="AK59" s="853">
        <f>'Data-Kolom'!S60</f>
        <v>0</v>
      </c>
      <c r="AL59" s="827">
        <f t="shared" ref="AL59:AL64" si="92">2*(H59+I59-4*$N$5)+2*MAX($F$5*AD59,75)</f>
        <v>1190</v>
      </c>
      <c r="AM59" s="826">
        <f t="shared" ref="AM59:AM64" si="93">+AH59*(H59-2*$N$5+2*MAX($F$5*AI59,75))+AJ59*(I59-2*$N$5+2*MAX($F$5*AK59,75))</f>
        <v>310</v>
      </c>
      <c r="AN59" s="826">
        <f t="shared" ref="AN59:AN64" si="94">(ROUND((1/2*J59+IF(M59&gt;0,(Q59-$N$6*AD59),0))/AE59,0)+(ROUND(1/2*J59/AF59,0)+1))*K59</f>
        <v>19</v>
      </c>
      <c r="AO59" s="845">
        <f t="shared" ref="AO59:AO64" si="95">H59*I59*J59/1000000000*K59*(1+$T$5)</f>
        <v>0.13600000000000001</v>
      </c>
      <c r="AP59" s="822">
        <f t="shared" ref="AP59:AP64" si="96">0.006165*O59^2*T59*U59/1000*(1+$T$6)</f>
        <v>25.018260479999999</v>
      </c>
      <c r="AQ59" s="824">
        <f t="shared" ref="AQ59:AQ64" si="97">0.006165*W59^2*AB59*AC59/1000*(1+$T$6)</f>
        <v>0</v>
      </c>
      <c r="AR59" s="824">
        <f t="shared" ref="AR59:AR64" si="98">AN59*0.006165*AD59^2*AL59/1000*(1+$T$6)</f>
        <v>13.939065000000001</v>
      </c>
      <c r="AS59" s="824">
        <f t="shared" ref="AS59:AS64" si="99">AN59*0.006165*AI59^2*AM59/1000*(1+$T$6)</f>
        <v>3.6311849999999999</v>
      </c>
      <c r="AT59" s="823">
        <f t="shared" ref="AT59:AT64" si="100">K59*2*J59*(H59+I59)/1000000*(1+$T$7)</f>
        <v>2.04</v>
      </c>
      <c r="AU59" s="844">
        <f t="shared" ref="AU59:AU64" si="101">SUM(AP59:AS59)/AO59</f>
        <v>313.15081235294116</v>
      </c>
      <c r="AV59" s="844">
        <f t="shared" ref="AV59:AV64" si="102">AT59/AO59</f>
        <v>15</v>
      </c>
      <c r="AX59" s="822">
        <f t="shared" ref="AX59:AX64" si="103">0.006165*O59^2*R59*U59/1000*(1+$T$6)</f>
        <v>25.018260479999999</v>
      </c>
      <c r="AY59" s="843"/>
      <c r="AZ59" s="852">
        <f t="shared" ref="AZ59:AZ64" si="104">0.006165*O59^2*S59*U59/1000*(1+$T$6)</f>
        <v>0</v>
      </c>
      <c r="BA59" s="851">
        <f t="shared" ref="BA59:BA64" si="105">AZ59/AP59</f>
        <v>0</v>
      </c>
    </row>
    <row r="60" spans="1:53" ht="13.9" customHeight="1">
      <c r="A60" s="842">
        <f>'Data-Kolom'!A61</f>
        <v>46</v>
      </c>
      <c r="B60" s="842" t="str">
        <f>'Data-Kolom'!B61</f>
        <v>Lantai 1</v>
      </c>
      <c r="C60" s="842">
        <f>'Data-Kolom'!C61</f>
        <v>0</v>
      </c>
      <c r="D60" s="841" t="str">
        <f>'Data-Kolom'!D61</f>
        <v>K24</v>
      </c>
      <c r="E60" s="832" t="s">
        <v>324</v>
      </c>
      <c r="F60" s="840">
        <f>'Data-Kolom'!U61</f>
        <v>0</v>
      </c>
      <c r="G60" s="839">
        <f>'Data-Kolom'!T61</f>
        <v>0</v>
      </c>
      <c r="H60" s="832">
        <f>'Data-Kolom'!E61</f>
        <v>200</v>
      </c>
      <c r="I60" s="832">
        <f>'Data-Kolom'!F61</f>
        <v>400</v>
      </c>
      <c r="J60" s="832">
        <f>'Data-Kolom'!G61</f>
        <v>1700</v>
      </c>
      <c r="K60" s="831">
        <v>1</v>
      </c>
      <c r="L60" s="831"/>
      <c r="M60" s="831">
        <f>IF(L60&gt;0,VLOOKUP(L60,'Data-PC'!$B$14:$F$56,4,FALSE),0)</f>
        <v>0</v>
      </c>
      <c r="N60" s="847">
        <f>'Data-Kolom'!H61</f>
        <v>6</v>
      </c>
      <c r="O60" s="832">
        <f>'Data-Kolom'!I61</f>
        <v>16</v>
      </c>
      <c r="P60" s="850">
        <f t="shared" si="82"/>
        <v>1010</v>
      </c>
      <c r="Q60" s="831">
        <f t="shared" si="83"/>
        <v>770</v>
      </c>
      <c r="R60" s="831">
        <f t="shared" si="84"/>
        <v>2642</v>
      </c>
      <c r="S60" s="831"/>
      <c r="T60" s="849">
        <f t="shared" si="85"/>
        <v>2642</v>
      </c>
      <c r="U60" s="848">
        <f t="shared" si="86"/>
        <v>6</v>
      </c>
      <c r="V60" s="833">
        <f>'Data-Kolom'!J61</f>
        <v>0</v>
      </c>
      <c r="W60" s="832">
        <f>'Data-Kolom'!K61</f>
        <v>0</v>
      </c>
      <c r="X60" s="831">
        <f t="shared" si="87"/>
        <v>0</v>
      </c>
      <c r="Y60" s="831">
        <f t="shared" si="88"/>
        <v>0</v>
      </c>
      <c r="Z60" s="831">
        <f t="shared" si="89"/>
        <v>1680</v>
      </c>
      <c r="AA60" s="831"/>
      <c r="AB60" s="831">
        <f t="shared" si="90"/>
        <v>1680</v>
      </c>
      <c r="AC60" s="831">
        <f t="shared" si="91"/>
        <v>0</v>
      </c>
      <c r="AD60" s="847">
        <f>'Data-Kolom'!L61</f>
        <v>10</v>
      </c>
      <c r="AE60" s="846">
        <f>'Data-Kolom'!M61</f>
        <v>100</v>
      </c>
      <c r="AF60" s="846">
        <f>'Data-Kolom'!N61</f>
        <v>100</v>
      </c>
      <c r="AG60" s="846">
        <f>'Data-Kolom'!O61</f>
        <v>100</v>
      </c>
      <c r="AH60" s="846">
        <f>'Data-Kolom'!P61</f>
        <v>1</v>
      </c>
      <c r="AI60" s="846">
        <f>'Data-Kolom'!Q61</f>
        <v>10</v>
      </c>
      <c r="AJ60" s="846">
        <f>'Data-Kolom'!R61</f>
        <v>0</v>
      </c>
      <c r="AK60" s="853">
        <f>'Data-Kolom'!S61</f>
        <v>0</v>
      </c>
      <c r="AL60" s="827">
        <f t="shared" si="92"/>
        <v>1190</v>
      </c>
      <c r="AM60" s="826">
        <f t="shared" si="93"/>
        <v>310</v>
      </c>
      <c r="AN60" s="826">
        <f t="shared" si="94"/>
        <v>19</v>
      </c>
      <c r="AO60" s="845">
        <f t="shared" si="95"/>
        <v>0.13600000000000001</v>
      </c>
      <c r="AP60" s="822">
        <f t="shared" si="96"/>
        <v>25.018260479999999</v>
      </c>
      <c r="AQ60" s="824">
        <f t="shared" si="97"/>
        <v>0</v>
      </c>
      <c r="AR60" s="824">
        <f t="shared" si="98"/>
        <v>13.939065000000001</v>
      </c>
      <c r="AS60" s="824">
        <f t="shared" si="99"/>
        <v>3.6311849999999999</v>
      </c>
      <c r="AT60" s="823">
        <f t="shared" si="100"/>
        <v>2.04</v>
      </c>
      <c r="AU60" s="844">
        <f t="shared" si="101"/>
        <v>313.15081235294116</v>
      </c>
      <c r="AV60" s="844">
        <f t="shared" si="102"/>
        <v>15</v>
      </c>
      <c r="AX60" s="822">
        <f t="shared" si="103"/>
        <v>25.018260479999999</v>
      </c>
      <c r="AY60" s="843"/>
      <c r="AZ60" s="852">
        <f t="shared" si="104"/>
        <v>0</v>
      </c>
      <c r="BA60" s="851">
        <f t="shared" si="105"/>
        <v>0</v>
      </c>
    </row>
    <row r="61" spans="1:53" ht="13.9" customHeight="1">
      <c r="A61" s="842">
        <f>'Data-Kolom'!A62</f>
        <v>47</v>
      </c>
      <c r="B61" s="842" t="str">
        <f>'Data-Kolom'!B62</f>
        <v>Lantai 1</v>
      </c>
      <c r="C61" s="842">
        <f>'Data-Kolom'!C62</f>
        <v>0</v>
      </c>
      <c r="D61" s="841" t="str">
        <f>'Data-Kolom'!D62</f>
        <v>K24</v>
      </c>
      <c r="E61" s="832" t="s">
        <v>324</v>
      </c>
      <c r="F61" s="840">
        <f>'Data-Kolom'!U62</f>
        <v>0</v>
      </c>
      <c r="G61" s="839">
        <f>'Data-Kolom'!T62</f>
        <v>0</v>
      </c>
      <c r="H61" s="832">
        <f>'Data-Kolom'!E62</f>
        <v>200</v>
      </c>
      <c r="I61" s="832">
        <f>'Data-Kolom'!F62</f>
        <v>400</v>
      </c>
      <c r="J61" s="832">
        <f>'Data-Kolom'!G62</f>
        <v>1700</v>
      </c>
      <c r="K61" s="831">
        <v>1</v>
      </c>
      <c r="L61" s="831"/>
      <c r="M61" s="831">
        <f>IF(L61&gt;0,VLOOKUP(L61,'Data-PC'!$B$14:$F$56,4,FALSE),0)</f>
        <v>0</v>
      </c>
      <c r="N61" s="847">
        <f>'Data-Kolom'!H62</f>
        <v>6</v>
      </c>
      <c r="O61" s="832">
        <f>'Data-Kolom'!I62</f>
        <v>16</v>
      </c>
      <c r="P61" s="850">
        <f t="shared" si="82"/>
        <v>1010</v>
      </c>
      <c r="Q61" s="831">
        <f t="shared" si="83"/>
        <v>770</v>
      </c>
      <c r="R61" s="831">
        <f t="shared" si="84"/>
        <v>2642</v>
      </c>
      <c r="S61" s="831"/>
      <c r="T61" s="849">
        <f t="shared" si="85"/>
        <v>2642</v>
      </c>
      <c r="U61" s="848">
        <f t="shared" si="86"/>
        <v>6</v>
      </c>
      <c r="V61" s="833">
        <f>'Data-Kolom'!J62</f>
        <v>0</v>
      </c>
      <c r="W61" s="832">
        <f>'Data-Kolom'!K62</f>
        <v>0</v>
      </c>
      <c r="X61" s="831">
        <f t="shared" si="87"/>
        <v>0</v>
      </c>
      <c r="Y61" s="831">
        <f t="shared" si="88"/>
        <v>0</v>
      </c>
      <c r="Z61" s="831">
        <f t="shared" si="89"/>
        <v>1680</v>
      </c>
      <c r="AA61" s="831"/>
      <c r="AB61" s="831">
        <f t="shared" si="90"/>
        <v>1680</v>
      </c>
      <c r="AC61" s="831">
        <f t="shared" si="91"/>
        <v>0</v>
      </c>
      <c r="AD61" s="847">
        <f>'Data-Kolom'!L62</f>
        <v>10</v>
      </c>
      <c r="AE61" s="846">
        <f>'Data-Kolom'!M62</f>
        <v>100</v>
      </c>
      <c r="AF61" s="846">
        <f>'Data-Kolom'!N62</f>
        <v>100</v>
      </c>
      <c r="AG61" s="846">
        <f>'Data-Kolom'!O62</f>
        <v>100</v>
      </c>
      <c r="AH61" s="846">
        <f>'Data-Kolom'!P62</f>
        <v>1</v>
      </c>
      <c r="AI61" s="846">
        <f>'Data-Kolom'!Q62</f>
        <v>10</v>
      </c>
      <c r="AJ61" s="846">
        <f>'Data-Kolom'!R62</f>
        <v>0</v>
      </c>
      <c r="AK61" s="853">
        <f>'Data-Kolom'!S62</f>
        <v>0</v>
      </c>
      <c r="AL61" s="827">
        <f t="shared" si="92"/>
        <v>1190</v>
      </c>
      <c r="AM61" s="826">
        <f t="shared" si="93"/>
        <v>310</v>
      </c>
      <c r="AN61" s="826">
        <f t="shared" si="94"/>
        <v>19</v>
      </c>
      <c r="AO61" s="845">
        <f t="shared" si="95"/>
        <v>0.13600000000000001</v>
      </c>
      <c r="AP61" s="822">
        <f t="shared" si="96"/>
        <v>25.018260479999999</v>
      </c>
      <c r="AQ61" s="824">
        <f t="shared" si="97"/>
        <v>0</v>
      </c>
      <c r="AR61" s="824">
        <f t="shared" si="98"/>
        <v>13.939065000000001</v>
      </c>
      <c r="AS61" s="824">
        <f t="shared" si="99"/>
        <v>3.6311849999999999</v>
      </c>
      <c r="AT61" s="823">
        <f t="shared" si="100"/>
        <v>2.04</v>
      </c>
      <c r="AU61" s="844">
        <f t="shared" si="101"/>
        <v>313.15081235294116</v>
      </c>
      <c r="AV61" s="844">
        <f t="shared" si="102"/>
        <v>15</v>
      </c>
      <c r="AX61" s="822">
        <f t="shared" si="103"/>
        <v>25.018260479999999</v>
      </c>
      <c r="AY61" s="843"/>
      <c r="AZ61" s="852">
        <f t="shared" si="104"/>
        <v>0</v>
      </c>
      <c r="BA61" s="851">
        <f t="shared" si="105"/>
        <v>0</v>
      </c>
    </row>
    <row r="62" spans="1:53" ht="13.9" customHeight="1">
      <c r="A62" s="842">
        <f>'Data-Kolom'!A63</f>
        <v>48</v>
      </c>
      <c r="B62" s="842" t="str">
        <f>'Data-Kolom'!B63</f>
        <v>Lantai 1</v>
      </c>
      <c r="C62" s="842">
        <f>'Data-Kolom'!C63</f>
        <v>0</v>
      </c>
      <c r="D62" s="841" t="str">
        <f>'Data-Kolom'!D63</f>
        <v>K24</v>
      </c>
      <c r="E62" s="832" t="s">
        <v>324</v>
      </c>
      <c r="F62" s="840">
        <f>'Data-Kolom'!U63</f>
        <v>0</v>
      </c>
      <c r="G62" s="839">
        <f>'Data-Kolom'!T63</f>
        <v>0</v>
      </c>
      <c r="H62" s="832">
        <f>'Data-Kolom'!E63</f>
        <v>200</v>
      </c>
      <c r="I62" s="832">
        <f>'Data-Kolom'!F63</f>
        <v>400</v>
      </c>
      <c r="J62" s="832">
        <f>'Data-Kolom'!G63</f>
        <v>1700</v>
      </c>
      <c r="K62" s="831">
        <v>1</v>
      </c>
      <c r="L62" s="831"/>
      <c r="M62" s="831">
        <f>IF(L62&gt;0,VLOOKUP(L62,'Data-PC'!$B$14:$F$56,4,FALSE),0)</f>
        <v>0</v>
      </c>
      <c r="N62" s="847">
        <f>'Data-Kolom'!H63</f>
        <v>6</v>
      </c>
      <c r="O62" s="832">
        <f>'Data-Kolom'!I63</f>
        <v>16</v>
      </c>
      <c r="P62" s="850">
        <f t="shared" si="82"/>
        <v>1010</v>
      </c>
      <c r="Q62" s="831">
        <f t="shared" si="83"/>
        <v>770</v>
      </c>
      <c r="R62" s="831">
        <f t="shared" si="84"/>
        <v>2642</v>
      </c>
      <c r="S62" s="831"/>
      <c r="T62" s="849">
        <f t="shared" si="85"/>
        <v>2642</v>
      </c>
      <c r="U62" s="848">
        <f t="shared" si="86"/>
        <v>6</v>
      </c>
      <c r="V62" s="833">
        <f>'Data-Kolom'!J63</f>
        <v>0</v>
      </c>
      <c r="W62" s="832">
        <f>'Data-Kolom'!K63</f>
        <v>0</v>
      </c>
      <c r="X62" s="831">
        <f t="shared" si="87"/>
        <v>0</v>
      </c>
      <c r="Y62" s="831">
        <f t="shared" si="88"/>
        <v>0</v>
      </c>
      <c r="Z62" s="831">
        <f t="shared" si="89"/>
        <v>1680</v>
      </c>
      <c r="AA62" s="831"/>
      <c r="AB62" s="831">
        <f t="shared" si="90"/>
        <v>1680</v>
      </c>
      <c r="AC62" s="831">
        <f t="shared" si="91"/>
        <v>0</v>
      </c>
      <c r="AD62" s="847">
        <f>'Data-Kolom'!L63</f>
        <v>10</v>
      </c>
      <c r="AE62" s="846">
        <f>'Data-Kolom'!M63</f>
        <v>100</v>
      </c>
      <c r="AF62" s="846">
        <f>'Data-Kolom'!N63</f>
        <v>100</v>
      </c>
      <c r="AG62" s="846">
        <f>'Data-Kolom'!O63</f>
        <v>100</v>
      </c>
      <c r="AH62" s="846">
        <f>'Data-Kolom'!P63</f>
        <v>1</v>
      </c>
      <c r="AI62" s="846">
        <f>'Data-Kolom'!Q63</f>
        <v>10</v>
      </c>
      <c r="AJ62" s="846">
        <f>'Data-Kolom'!R63</f>
        <v>0</v>
      </c>
      <c r="AK62" s="853">
        <f>'Data-Kolom'!S63</f>
        <v>0</v>
      </c>
      <c r="AL62" s="827">
        <f t="shared" si="92"/>
        <v>1190</v>
      </c>
      <c r="AM62" s="826">
        <f t="shared" si="93"/>
        <v>310</v>
      </c>
      <c r="AN62" s="826">
        <f t="shared" si="94"/>
        <v>19</v>
      </c>
      <c r="AO62" s="845">
        <f t="shared" si="95"/>
        <v>0.13600000000000001</v>
      </c>
      <c r="AP62" s="822">
        <f t="shared" si="96"/>
        <v>25.018260479999999</v>
      </c>
      <c r="AQ62" s="824">
        <f t="shared" si="97"/>
        <v>0</v>
      </c>
      <c r="AR62" s="824">
        <f t="shared" si="98"/>
        <v>13.939065000000001</v>
      </c>
      <c r="AS62" s="824">
        <f t="shared" si="99"/>
        <v>3.6311849999999999</v>
      </c>
      <c r="AT62" s="823">
        <f t="shared" si="100"/>
        <v>2.04</v>
      </c>
      <c r="AU62" s="844">
        <f t="shared" si="101"/>
        <v>313.15081235294116</v>
      </c>
      <c r="AV62" s="844">
        <f t="shared" si="102"/>
        <v>15</v>
      </c>
      <c r="AX62" s="822">
        <f t="shared" si="103"/>
        <v>25.018260479999999</v>
      </c>
      <c r="AY62" s="843"/>
      <c r="AZ62" s="852">
        <f t="shared" si="104"/>
        <v>0</v>
      </c>
      <c r="BA62" s="851">
        <f t="shared" si="105"/>
        <v>0</v>
      </c>
    </row>
    <row r="63" spans="1:53" ht="13.9" customHeight="1">
      <c r="A63" s="842">
        <f>'Data-Kolom'!A64</f>
        <v>49</v>
      </c>
      <c r="B63" s="842" t="str">
        <f>'Data-Kolom'!B64</f>
        <v>Lantai 1</v>
      </c>
      <c r="C63" s="842">
        <f>'Data-Kolom'!C64</f>
        <v>0</v>
      </c>
      <c r="D63" s="841" t="str">
        <f>'Data-Kolom'!D64</f>
        <v>K24</v>
      </c>
      <c r="E63" s="832" t="s">
        <v>324</v>
      </c>
      <c r="F63" s="840">
        <f>'Data-Kolom'!U64</f>
        <v>0</v>
      </c>
      <c r="G63" s="839">
        <f>'Data-Kolom'!T64</f>
        <v>0</v>
      </c>
      <c r="H63" s="832">
        <f>'Data-Kolom'!E64</f>
        <v>200</v>
      </c>
      <c r="I63" s="832">
        <f>'Data-Kolom'!F64</f>
        <v>400</v>
      </c>
      <c r="J63" s="832">
        <f>'Data-Kolom'!G64</f>
        <v>1700</v>
      </c>
      <c r="K63" s="831">
        <v>1</v>
      </c>
      <c r="L63" s="831"/>
      <c r="M63" s="831">
        <f>IF(L63&gt;0,VLOOKUP(L63,'Data-PC'!$B$14:$F$56,4,FALSE),0)</f>
        <v>0</v>
      </c>
      <c r="N63" s="847">
        <f>'Data-Kolom'!H64</f>
        <v>6</v>
      </c>
      <c r="O63" s="832">
        <f>'Data-Kolom'!I64</f>
        <v>16</v>
      </c>
      <c r="P63" s="850">
        <f t="shared" si="82"/>
        <v>1010</v>
      </c>
      <c r="Q63" s="831">
        <f t="shared" si="83"/>
        <v>770</v>
      </c>
      <c r="R63" s="831">
        <f t="shared" si="84"/>
        <v>2642</v>
      </c>
      <c r="S63" s="831"/>
      <c r="T63" s="849">
        <f t="shared" si="85"/>
        <v>2642</v>
      </c>
      <c r="U63" s="848">
        <f t="shared" si="86"/>
        <v>6</v>
      </c>
      <c r="V63" s="833">
        <f>'Data-Kolom'!J64</f>
        <v>0</v>
      </c>
      <c r="W63" s="832">
        <f>'Data-Kolom'!K64</f>
        <v>0</v>
      </c>
      <c r="X63" s="831">
        <f t="shared" si="87"/>
        <v>0</v>
      </c>
      <c r="Y63" s="831">
        <f t="shared" si="88"/>
        <v>0</v>
      </c>
      <c r="Z63" s="831">
        <f t="shared" si="89"/>
        <v>1680</v>
      </c>
      <c r="AA63" s="831"/>
      <c r="AB63" s="831">
        <f t="shared" si="90"/>
        <v>1680</v>
      </c>
      <c r="AC63" s="831">
        <f t="shared" si="91"/>
        <v>0</v>
      </c>
      <c r="AD63" s="847">
        <f>'Data-Kolom'!L64</f>
        <v>10</v>
      </c>
      <c r="AE63" s="846">
        <f>'Data-Kolom'!M64</f>
        <v>100</v>
      </c>
      <c r="AF63" s="846">
        <f>'Data-Kolom'!N64</f>
        <v>100</v>
      </c>
      <c r="AG63" s="846">
        <f>'Data-Kolom'!O64</f>
        <v>100</v>
      </c>
      <c r="AH63" s="846">
        <f>'Data-Kolom'!P64</f>
        <v>1</v>
      </c>
      <c r="AI63" s="846">
        <f>'Data-Kolom'!Q64</f>
        <v>10</v>
      </c>
      <c r="AJ63" s="846">
        <f>'Data-Kolom'!R64</f>
        <v>0</v>
      </c>
      <c r="AK63" s="853">
        <f>'Data-Kolom'!S64</f>
        <v>0</v>
      </c>
      <c r="AL63" s="827">
        <f t="shared" si="92"/>
        <v>1190</v>
      </c>
      <c r="AM63" s="826">
        <f t="shared" si="93"/>
        <v>310</v>
      </c>
      <c r="AN63" s="826">
        <f t="shared" si="94"/>
        <v>19</v>
      </c>
      <c r="AO63" s="845">
        <f t="shared" si="95"/>
        <v>0.13600000000000001</v>
      </c>
      <c r="AP63" s="822">
        <f t="shared" si="96"/>
        <v>25.018260479999999</v>
      </c>
      <c r="AQ63" s="824">
        <f t="shared" si="97"/>
        <v>0</v>
      </c>
      <c r="AR63" s="824">
        <f t="shared" si="98"/>
        <v>13.939065000000001</v>
      </c>
      <c r="AS63" s="824">
        <f t="shared" si="99"/>
        <v>3.6311849999999999</v>
      </c>
      <c r="AT63" s="823">
        <f t="shared" si="100"/>
        <v>2.04</v>
      </c>
      <c r="AU63" s="844">
        <f t="shared" si="101"/>
        <v>313.15081235294116</v>
      </c>
      <c r="AV63" s="844">
        <f t="shared" si="102"/>
        <v>15</v>
      </c>
      <c r="AX63" s="822">
        <f t="shared" si="103"/>
        <v>25.018260479999999</v>
      </c>
      <c r="AY63" s="843"/>
      <c r="AZ63" s="852">
        <f t="shared" si="104"/>
        <v>0</v>
      </c>
      <c r="BA63" s="851">
        <f t="shared" si="105"/>
        <v>0</v>
      </c>
    </row>
    <row r="64" spans="1:53" ht="13.9" customHeight="1">
      <c r="A64" s="842">
        <f>'Data-Kolom'!A65</f>
        <v>50</v>
      </c>
      <c r="B64" s="842" t="str">
        <f>'Data-Kolom'!B65</f>
        <v>Lantai 1</v>
      </c>
      <c r="C64" s="842">
        <f>'Data-Kolom'!C65</f>
        <v>0</v>
      </c>
      <c r="D64" s="841" t="str">
        <f>'Data-Kolom'!D65</f>
        <v>K24</v>
      </c>
      <c r="E64" s="832" t="s">
        <v>324</v>
      </c>
      <c r="F64" s="840">
        <f>'Data-Kolom'!U65</f>
        <v>0</v>
      </c>
      <c r="G64" s="839">
        <f>'Data-Kolom'!T65</f>
        <v>0</v>
      </c>
      <c r="H64" s="832">
        <f>'Data-Kolom'!E65</f>
        <v>200</v>
      </c>
      <c r="I64" s="832">
        <f>'Data-Kolom'!F65</f>
        <v>400</v>
      </c>
      <c r="J64" s="832">
        <f>'Data-Kolom'!G65</f>
        <v>1700</v>
      </c>
      <c r="K64" s="831">
        <v>1</v>
      </c>
      <c r="L64" s="831"/>
      <c r="M64" s="831">
        <f>IF(L64&gt;0,VLOOKUP(L64,'Data-PC'!$B$14:$F$56,4,FALSE),0)</f>
        <v>0</v>
      </c>
      <c r="N64" s="847">
        <f>'Data-Kolom'!H65</f>
        <v>6</v>
      </c>
      <c r="O64" s="832">
        <f>'Data-Kolom'!I65</f>
        <v>16</v>
      </c>
      <c r="P64" s="850">
        <f t="shared" si="82"/>
        <v>1010</v>
      </c>
      <c r="Q64" s="831">
        <f t="shared" si="83"/>
        <v>770</v>
      </c>
      <c r="R64" s="831">
        <f t="shared" si="84"/>
        <v>2642</v>
      </c>
      <c r="S64" s="831"/>
      <c r="T64" s="849">
        <f t="shared" si="85"/>
        <v>2642</v>
      </c>
      <c r="U64" s="848">
        <f t="shared" si="86"/>
        <v>6</v>
      </c>
      <c r="V64" s="833">
        <f>'Data-Kolom'!J65</f>
        <v>0</v>
      </c>
      <c r="W64" s="832">
        <f>'Data-Kolom'!K65</f>
        <v>0</v>
      </c>
      <c r="X64" s="831">
        <f t="shared" si="87"/>
        <v>0</v>
      </c>
      <c r="Y64" s="831">
        <f t="shared" si="88"/>
        <v>0</v>
      </c>
      <c r="Z64" s="831">
        <f t="shared" si="89"/>
        <v>1680</v>
      </c>
      <c r="AA64" s="831"/>
      <c r="AB64" s="831">
        <f t="shared" si="90"/>
        <v>1680</v>
      </c>
      <c r="AC64" s="831">
        <f t="shared" si="91"/>
        <v>0</v>
      </c>
      <c r="AD64" s="847">
        <f>'Data-Kolom'!L65</f>
        <v>10</v>
      </c>
      <c r="AE64" s="846">
        <f>'Data-Kolom'!M65</f>
        <v>100</v>
      </c>
      <c r="AF64" s="846">
        <f>'Data-Kolom'!N65</f>
        <v>100</v>
      </c>
      <c r="AG64" s="846">
        <f>'Data-Kolom'!O65</f>
        <v>100</v>
      </c>
      <c r="AH64" s="846">
        <f>'Data-Kolom'!P65</f>
        <v>1</v>
      </c>
      <c r="AI64" s="846">
        <f>'Data-Kolom'!Q65</f>
        <v>10</v>
      </c>
      <c r="AJ64" s="846">
        <f>'Data-Kolom'!R65</f>
        <v>0</v>
      </c>
      <c r="AK64" s="853">
        <f>'Data-Kolom'!S65</f>
        <v>0</v>
      </c>
      <c r="AL64" s="827">
        <f t="shared" si="92"/>
        <v>1190</v>
      </c>
      <c r="AM64" s="826">
        <f t="shared" si="93"/>
        <v>310</v>
      </c>
      <c r="AN64" s="826">
        <f t="shared" si="94"/>
        <v>19</v>
      </c>
      <c r="AO64" s="845">
        <f t="shared" si="95"/>
        <v>0.13600000000000001</v>
      </c>
      <c r="AP64" s="822">
        <f t="shared" si="96"/>
        <v>25.018260479999999</v>
      </c>
      <c r="AQ64" s="824">
        <f t="shared" si="97"/>
        <v>0</v>
      </c>
      <c r="AR64" s="824">
        <f t="shared" si="98"/>
        <v>13.939065000000001</v>
      </c>
      <c r="AS64" s="824">
        <f t="shared" si="99"/>
        <v>3.6311849999999999</v>
      </c>
      <c r="AT64" s="823">
        <f t="shared" si="100"/>
        <v>2.04</v>
      </c>
      <c r="AU64" s="844">
        <f t="shared" si="101"/>
        <v>313.15081235294116</v>
      </c>
      <c r="AV64" s="844">
        <f t="shared" si="102"/>
        <v>15</v>
      </c>
      <c r="AX64" s="822">
        <f t="shared" si="103"/>
        <v>25.018260479999999</v>
      </c>
      <c r="AY64" s="843"/>
      <c r="AZ64" s="852">
        <f t="shared" si="104"/>
        <v>0</v>
      </c>
      <c r="BA64" s="851">
        <f t="shared" si="105"/>
        <v>0</v>
      </c>
    </row>
    <row r="65" spans="1:53" ht="13.9" customHeight="1">
      <c r="A65" s="842"/>
      <c r="B65" s="842"/>
      <c r="C65" s="842"/>
      <c r="D65" s="841"/>
      <c r="E65" s="832"/>
      <c r="F65" s="840"/>
      <c r="G65" s="839"/>
      <c r="H65" s="832"/>
      <c r="I65" s="832"/>
      <c r="J65" s="832"/>
      <c r="K65" s="831"/>
      <c r="L65" s="831"/>
      <c r="M65" s="831"/>
      <c r="N65" s="847"/>
      <c r="O65" s="832"/>
      <c r="P65" s="850"/>
      <c r="Q65" s="831"/>
      <c r="R65" s="831"/>
      <c r="S65" s="831"/>
      <c r="T65" s="849"/>
      <c r="U65" s="848"/>
      <c r="V65" s="833"/>
      <c r="W65" s="832"/>
      <c r="X65" s="831"/>
      <c r="Y65" s="831"/>
      <c r="Z65" s="831"/>
      <c r="AA65" s="831"/>
      <c r="AB65" s="831"/>
      <c r="AC65" s="831"/>
      <c r="AD65" s="847"/>
      <c r="AE65" s="846"/>
      <c r="AF65" s="846"/>
      <c r="AG65" s="846"/>
      <c r="AH65" s="846"/>
      <c r="AI65" s="846"/>
      <c r="AJ65" s="846"/>
      <c r="AK65" s="853"/>
      <c r="AL65" s="827"/>
      <c r="AM65" s="826"/>
      <c r="AN65" s="826"/>
      <c r="AO65" s="845"/>
      <c r="AP65" s="822"/>
      <c r="AQ65" s="824"/>
      <c r="AR65" s="824"/>
      <c r="AS65" s="824"/>
      <c r="AT65" s="823"/>
      <c r="AU65" s="844"/>
      <c r="AV65" s="844"/>
      <c r="AX65" s="822"/>
      <c r="AY65" s="843"/>
      <c r="AZ65" s="852"/>
      <c r="BA65" s="851"/>
    </row>
    <row r="66" spans="1:53" ht="13.9" customHeight="1">
      <c r="A66" s="842">
        <f>'Data-Kolom'!A67</f>
        <v>1</v>
      </c>
      <c r="B66" s="842" t="str">
        <f>'Data-Kolom'!B67</f>
        <v>Lantai 2</v>
      </c>
      <c r="C66" s="842">
        <f>'Data-Kolom'!C67</f>
        <v>0</v>
      </c>
      <c r="D66" s="841" t="str">
        <f>'Data-Kolom'!D67</f>
        <v>K5</v>
      </c>
      <c r="E66" s="832" t="s">
        <v>325</v>
      </c>
      <c r="F66" s="840">
        <f>'Data-Kolom'!U67</f>
        <v>0</v>
      </c>
      <c r="G66" s="839">
        <f>'Data-Kolom'!T67</f>
        <v>0</v>
      </c>
      <c r="H66" s="832">
        <f>'Data-Kolom'!E67</f>
        <v>170</v>
      </c>
      <c r="I66" s="832">
        <f>'Data-Kolom'!F67</f>
        <v>500</v>
      </c>
      <c r="J66" s="832">
        <f>'Data-Kolom'!G67</f>
        <v>4500</v>
      </c>
      <c r="K66" s="831">
        <v>1</v>
      </c>
      <c r="L66" s="831"/>
      <c r="M66" s="831">
        <f>IF(L66&gt;0,VLOOKUP(L66,'Data-PC'!$B$14:$F$56,4,FALSE),0)</f>
        <v>0</v>
      </c>
      <c r="N66" s="847">
        <f>'Data-Kolom'!H67</f>
        <v>8</v>
      </c>
      <c r="O66" s="832">
        <f>'Data-Kolom'!I67</f>
        <v>16</v>
      </c>
      <c r="P66" s="850">
        <f t="shared" si="23"/>
        <v>1010</v>
      </c>
      <c r="Q66" s="831">
        <f t="shared" si="24"/>
        <v>770</v>
      </c>
      <c r="R66" s="831">
        <f t="shared" si="25"/>
        <v>5510</v>
      </c>
      <c r="S66" s="831"/>
      <c r="T66" s="849">
        <f t="shared" si="26"/>
        <v>5510</v>
      </c>
      <c r="U66" s="848">
        <f t="shared" si="27"/>
        <v>8</v>
      </c>
      <c r="V66" s="833">
        <f>'Data-Kolom'!J67</f>
        <v>0</v>
      </c>
      <c r="W66" s="832">
        <f>'Data-Kolom'!K67</f>
        <v>0</v>
      </c>
      <c r="X66" s="831">
        <f t="shared" si="28"/>
        <v>0</v>
      </c>
      <c r="Y66" s="831">
        <f t="shared" si="29"/>
        <v>0</v>
      </c>
      <c r="Z66" s="831">
        <f t="shared" si="30"/>
        <v>4500</v>
      </c>
      <c r="AA66" s="831"/>
      <c r="AB66" s="831">
        <f t="shared" si="31"/>
        <v>4500</v>
      </c>
      <c r="AC66" s="831">
        <f t="shared" si="32"/>
        <v>0</v>
      </c>
      <c r="AD66" s="847">
        <f>'Data-Kolom'!L67</f>
        <v>10</v>
      </c>
      <c r="AE66" s="846">
        <f>'Data-Kolom'!M67</f>
        <v>100</v>
      </c>
      <c r="AF66" s="846">
        <f>'Data-Kolom'!N67</f>
        <v>100</v>
      </c>
      <c r="AG66" s="846">
        <f>'Data-Kolom'!O67</f>
        <v>100</v>
      </c>
      <c r="AH66" s="846">
        <f>'Data-Kolom'!P67</f>
        <v>1</v>
      </c>
      <c r="AI66" s="846">
        <f>'Data-Kolom'!Q67</f>
        <v>10</v>
      </c>
      <c r="AJ66" s="846">
        <f>'Data-Kolom'!R67</f>
        <v>0</v>
      </c>
      <c r="AK66" s="853">
        <f>'Data-Kolom'!S67</f>
        <v>0</v>
      </c>
      <c r="AL66" s="827">
        <f t="shared" si="33"/>
        <v>1330</v>
      </c>
      <c r="AM66" s="826">
        <f t="shared" si="34"/>
        <v>280</v>
      </c>
      <c r="AN66" s="826">
        <f t="shared" si="35"/>
        <v>47</v>
      </c>
      <c r="AO66" s="845">
        <f t="shared" si="36"/>
        <v>0.38250000000000001</v>
      </c>
      <c r="AP66" s="822">
        <f t="shared" si="37"/>
        <v>69.568819199999993</v>
      </c>
      <c r="AQ66" s="824">
        <f t="shared" si="38"/>
        <v>0</v>
      </c>
      <c r="AR66" s="824">
        <f t="shared" si="39"/>
        <v>38.53741500000001</v>
      </c>
      <c r="AS66" s="824">
        <f t="shared" si="40"/>
        <v>8.1131400000000014</v>
      </c>
      <c r="AT66" s="823">
        <f t="shared" si="41"/>
        <v>6.03</v>
      </c>
      <c r="AU66" s="844">
        <f t="shared" si="42"/>
        <v>303.84150117647062</v>
      </c>
      <c r="AV66" s="844">
        <f t="shared" si="43"/>
        <v>15.764705882352942</v>
      </c>
      <c r="AX66" s="822">
        <f t="shared" si="44"/>
        <v>69.568819199999993</v>
      </c>
      <c r="AY66" s="843"/>
      <c r="AZ66" s="852">
        <f t="shared" si="45"/>
        <v>0</v>
      </c>
      <c r="BA66" s="851">
        <f t="shared" si="46"/>
        <v>0</v>
      </c>
    </row>
    <row r="67" spans="1:53" ht="13.9" customHeight="1">
      <c r="A67" s="842">
        <f>'Data-Kolom'!A68</f>
        <v>2</v>
      </c>
      <c r="B67" s="842" t="str">
        <f>'Data-Kolom'!B68</f>
        <v>Lantai 2</v>
      </c>
      <c r="C67" s="842">
        <f>'Data-Kolom'!C68</f>
        <v>0</v>
      </c>
      <c r="D67" s="841" t="str">
        <f>'Data-Kolom'!D68</f>
        <v>K5</v>
      </c>
      <c r="E67" s="832" t="s">
        <v>325</v>
      </c>
      <c r="F67" s="840">
        <f>'Data-Kolom'!U68</f>
        <v>0</v>
      </c>
      <c r="G67" s="839">
        <f>'Data-Kolom'!T68</f>
        <v>0</v>
      </c>
      <c r="H67" s="832">
        <f>'Data-Kolom'!E68</f>
        <v>170</v>
      </c>
      <c r="I67" s="832">
        <f>'Data-Kolom'!F68</f>
        <v>500</v>
      </c>
      <c r="J67" s="832">
        <f>'Data-Kolom'!G68</f>
        <v>4500</v>
      </c>
      <c r="K67" s="831">
        <v>1</v>
      </c>
      <c r="L67" s="831"/>
      <c r="M67" s="831">
        <f>IF(L67&gt;0,VLOOKUP(L67,'Data-PC'!$B$14:$F$56,4,FALSE),0)</f>
        <v>0</v>
      </c>
      <c r="N67" s="847">
        <f>'Data-Kolom'!H68</f>
        <v>8</v>
      </c>
      <c r="O67" s="832">
        <f>'Data-Kolom'!I68</f>
        <v>16</v>
      </c>
      <c r="P67" s="850">
        <f t="shared" si="23"/>
        <v>1010</v>
      </c>
      <c r="Q67" s="831">
        <f t="shared" si="24"/>
        <v>770</v>
      </c>
      <c r="R67" s="831">
        <f t="shared" si="25"/>
        <v>5510</v>
      </c>
      <c r="S67" s="831"/>
      <c r="T67" s="849">
        <f t="shared" si="26"/>
        <v>5510</v>
      </c>
      <c r="U67" s="848">
        <f t="shared" si="27"/>
        <v>8</v>
      </c>
      <c r="V67" s="833">
        <f>'Data-Kolom'!J68</f>
        <v>0</v>
      </c>
      <c r="W67" s="832">
        <f>'Data-Kolom'!K68</f>
        <v>0</v>
      </c>
      <c r="X67" s="831">
        <f t="shared" si="28"/>
        <v>0</v>
      </c>
      <c r="Y67" s="831">
        <f t="shared" si="29"/>
        <v>0</v>
      </c>
      <c r="Z67" s="831">
        <f t="shared" si="30"/>
        <v>4500</v>
      </c>
      <c r="AA67" s="831"/>
      <c r="AB67" s="831">
        <f t="shared" si="31"/>
        <v>4500</v>
      </c>
      <c r="AC67" s="831">
        <f t="shared" si="32"/>
        <v>0</v>
      </c>
      <c r="AD67" s="847">
        <f>'Data-Kolom'!L68</f>
        <v>10</v>
      </c>
      <c r="AE67" s="846">
        <f>'Data-Kolom'!M68</f>
        <v>100</v>
      </c>
      <c r="AF67" s="846">
        <f>'Data-Kolom'!N68</f>
        <v>100</v>
      </c>
      <c r="AG67" s="846">
        <f>'Data-Kolom'!O68</f>
        <v>100</v>
      </c>
      <c r="AH67" s="846">
        <f>'Data-Kolom'!P68</f>
        <v>1</v>
      </c>
      <c r="AI67" s="846">
        <f>'Data-Kolom'!Q68</f>
        <v>10</v>
      </c>
      <c r="AJ67" s="846">
        <f>'Data-Kolom'!R68</f>
        <v>0</v>
      </c>
      <c r="AK67" s="853">
        <f>'Data-Kolom'!S68</f>
        <v>0</v>
      </c>
      <c r="AL67" s="827">
        <f t="shared" si="33"/>
        <v>1330</v>
      </c>
      <c r="AM67" s="826">
        <f t="shared" si="34"/>
        <v>280</v>
      </c>
      <c r="AN67" s="826">
        <f t="shared" si="35"/>
        <v>47</v>
      </c>
      <c r="AO67" s="845">
        <f t="shared" si="36"/>
        <v>0.38250000000000001</v>
      </c>
      <c r="AP67" s="822">
        <f t="shared" si="37"/>
        <v>69.568819199999993</v>
      </c>
      <c r="AQ67" s="824">
        <f t="shared" si="38"/>
        <v>0</v>
      </c>
      <c r="AR67" s="824">
        <f t="shared" si="39"/>
        <v>38.53741500000001</v>
      </c>
      <c r="AS67" s="824">
        <f t="shared" si="40"/>
        <v>8.1131400000000014</v>
      </c>
      <c r="AT67" s="823">
        <f t="shared" si="41"/>
        <v>6.03</v>
      </c>
      <c r="AU67" s="844">
        <f t="shared" si="42"/>
        <v>303.84150117647062</v>
      </c>
      <c r="AV67" s="844">
        <f t="shared" si="43"/>
        <v>15.764705882352942</v>
      </c>
      <c r="AX67" s="822">
        <f t="shared" si="44"/>
        <v>69.568819199999993</v>
      </c>
      <c r="AY67" s="843"/>
      <c r="AZ67" s="852">
        <f t="shared" si="45"/>
        <v>0</v>
      </c>
      <c r="BA67" s="851">
        <f t="shared" si="46"/>
        <v>0</v>
      </c>
    </row>
    <row r="68" spans="1:53" s="2053" customFormat="1" ht="13.9" customHeight="1">
      <c r="A68" s="2033">
        <f>'Data-Kolom'!A69</f>
        <v>3</v>
      </c>
      <c r="B68" s="2033" t="str">
        <f>'Data-Kolom'!B69</f>
        <v>Lantai 2</v>
      </c>
      <c r="C68" s="2033">
        <f>'Data-Kolom'!C69</f>
        <v>0</v>
      </c>
      <c r="D68" s="2034" t="str">
        <f>'Data-Kolom'!D69</f>
        <v>KL55</v>
      </c>
      <c r="E68" s="2035" t="s">
        <v>325</v>
      </c>
      <c r="F68" s="2036">
        <f>'Data-Kolom'!U69</f>
        <v>0</v>
      </c>
      <c r="G68" s="2037">
        <f>'Data-Kolom'!T69</f>
        <v>0</v>
      </c>
      <c r="H68" s="2035">
        <f>'Data-Kolom'!E69</f>
        <v>170</v>
      </c>
      <c r="I68" s="2035">
        <f>'Data-Kolom'!F69</f>
        <v>500</v>
      </c>
      <c r="J68" s="2035">
        <f>'Data-Kolom'!G69</f>
        <v>4500</v>
      </c>
      <c r="K68" s="2038">
        <v>2</v>
      </c>
      <c r="L68" s="2038"/>
      <c r="M68" s="2038">
        <f>IF(L68&gt;0,VLOOKUP(L68,'Data-PC'!$B$14:$F$56,4,FALSE),0)</f>
        <v>0</v>
      </c>
      <c r="N68" s="2039">
        <f>'Data-Kolom'!H69</f>
        <v>6</v>
      </c>
      <c r="O68" s="2035">
        <f>'Data-Kolom'!I69</f>
        <v>16</v>
      </c>
      <c r="P68" s="2040">
        <f t="shared" si="23"/>
        <v>1010</v>
      </c>
      <c r="Q68" s="2038">
        <f t="shared" si="24"/>
        <v>770</v>
      </c>
      <c r="R68" s="2038">
        <f t="shared" si="25"/>
        <v>5510</v>
      </c>
      <c r="S68" s="2038"/>
      <c r="T68" s="2041">
        <f t="shared" si="26"/>
        <v>5510</v>
      </c>
      <c r="U68" s="2042">
        <f t="shared" si="27"/>
        <v>12</v>
      </c>
      <c r="V68" s="2043">
        <f>'Data-Kolom'!J69</f>
        <v>0</v>
      </c>
      <c r="W68" s="2035">
        <f>'Data-Kolom'!K69</f>
        <v>0</v>
      </c>
      <c r="X68" s="2038">
        <f t="shared" si="28"/>
        <v>0</v>
      </c>
      <c r="Y68" s="2038">
        <f t="shared" si="29"/>
        <v>0</v>
      </c>
      <c r="Z68" s="2038">
        <f t="shared" si="30"/>
        <v>4500</v>
      </c>
      <c r="AA68" s="2038"/>
      <c r="AB68" s="2038">
        <f t="shared" si="31"/>
        <v>4500</v>
      </c>
      <c r="AC68" s="2038">
        <f t="shared" si="32"/>
        <v>0</v>
      </c>
      <c r="AD68" s="2039">
        <f>'Data-Kolom'!L69</f>
        <v>10</v>
      </c>
      <c r="AE68" s="2044">
        <f>'Data-Kolom'!M69</f>
        <v>100</v>
      </c>
      <c r="AF68" s="2044">
        <f>'Data-Kolom'!N69</f>
        <v>100</v>
      </c>
      <c r="AG68" s="2044">
        <f>'Data-Kolom'!O69</f>
        <v>100</v>
      </c>
      <c r="AH68" s="2044">
        <f>'Data-Kolom'!P69</f>
        <v>0</v>
      </c>
      <c r="AI68" s="2044">
        <f>'Data-Kolom'!Q69</f>
        <v>0</v>
      </c>
      <c r="AJ68" s="2044">
        <f>'Data-Kolom'!R69</f>
        <v>0</v>
      </c>
      <c r="AK68" s="2045">
        <f>'Data-Kolom'!S69</f>
        <v>0</v>
      </c>
      <c r="AL68" s="2046">
        <f t="shared" si="33"/>
        <v>1330</v>
      </c>
      <c r="AM68" s="2047">
        <f t="shared" si="34"/>
        <v>0</v>
      </c>
      <c r="AN68" s="2047">
        <f t="shared" si="35"/>
        <v>94</v>
      </c>
      <c r="AO68" s="2048">
        <f t="shared" si="36"/>
        <v>0.76500000000000001</v>
      </c>
      <c r="AP68" s="2049">
        <f t="shared" si="37"/>
        <v>104.3532288</v>
      </c>
      <c r="AQ68" s="2050">
        <f t="shared" si="38"/>
        <v>0</v>
      </c>
      <c r="AR68" s="2050">
        <f t="shared" si="39"/>
        <v>77.07483000000002</v>
      </c>
      <c r="AS68" s="2050">
        <f t="shared" si="40"/>
        <v>0</v>
      </c>
      <c r="AT68" s="2051">
        <f t="shared" si="41"/>
        <v>12.06</v>
      </c>
      <c r="AU68" s="2052">
        <f t="shared" si="42"/>
        <v>237.16086117647063</v>
      </c>
      <c r="AV68" s="2052">
        <f t="shared" si="43"/>
        <v>15.764705882352942</v>
      </c>
      <c r="AX68" s="2049">
        <f t="shared" si="44"/>
        <v>104.3532288</v>
      </c>
      <c r="AY68" s="2054"/>
      <c r="AZ68" s="2055">
        <f t="shared" si="45"/>
        <v>0</v>
      </c>
      <c r="BA68" s="2056">
        <f t="shared" si="46"/>
        <v>0</v>
      </c>
    </row>
    <row r="69" spans="1:53" ht="13.9" customHeight="1">
      <c r="A69" s="842">
        <f>'Data-Kolom'!A70</f>
        <v>4</v>
      </c>
      <c r="B69" s="842" t="str">
        <f>'Data-Kolom'!B70</f>
        <v>Lantai 2</v>
      </c>
      <c r="C69" s="842">
        <f>'Data-Kolom'!C70</f>
        <v>0</v>
      </c>
      <c r="D69" s="841" t="str">
        <f>'Data-Kolom'!D70</f>
        <v>K4</v>
      </c>
      <c r="E69" s="832" t="s">
        <v>325</v>
      </c>
      <c r="F69" s="840">
        <f>'Data-Kolom'!U70</f>
        <v>0</v>
      </c>
      <c r="G69" s="839">
        <f>'Data-Kolom'!T70</f>
        <v>0</v>
      </c>
      <c r="H69" s="832">
        <f>'Data-Kolom'!E70</f>
        <v>170</v>
      </c>
      <c r="I69" s="832">
        <f>'Data-Kolom'!F70</f>
        <v>400</v>
      </c>
      <c r="J69" s="832">
        <f>'Data-Kolom'!G70</f>
        <v>4500</v>
      </c>
      <c r="K69" s="831">
        <v>1</v>
      </c>
      <c r="L69" s="831"/>
      <c r="M69" s="831">
        <f>IF(L69&gt;0,VLOOKUP(L69,'Data-PC'!$B$14:$F$56,4,FALSE),0)</f>
        <v>0</v>
      </c>
      <c r="N69" s="847">
        <f>'Data-Kolom'!H70</f>
        <v>6</v>
      </c>
      <c r="O69" s="832">
        <f>'Data-Kolom'!I70</f>
        <v>16</v>
      </c>
      <c r="P69" s="850">
        <f t="shared" si="23"/>
        <v>1010</v>
      </c>
      <c r="Q69" s="831">
        <f t="shared" si="24"/>
        <v>770</v>
      </c>
      <c r="R69" s="831">
        <f t="shared" si="25"/>
        <v>5510</v>
      </c>
      <c r="S69" s="831"/>
      <c r="T69" s="849">
        <f t="shared" si="26"/>
        <v>5510</v>
      </c>
      <c r="U69" s="848">
        <f t="shared" si="27"/>
        <v>6</v>
      </c>
      <c r="V69" s="833">
        <f>'Data-Kolom'!J70</f>
        <v>0</v>
      </c>
      <c r="W69" s="832">
        <f>'Data-Kolom'!K70</f>
        <v>0</v>
      </c>
      <c r="X69" s="831">
        <f t="shared" si="28"/>
        <v>0</v>
      </c>
      <c r="Y69" s="831">
        <f t="shared" si="29"/>
        <v>0</v>
      </c>
      <c r="Z69" s="831">
        <f t="shared" si="30"/>
        <v>4500</v>
      </c>
      <c r="AA69" s="831"/>
      <c r="AB69" s="831">
        <f t="shared" si="31"/>
        <v>4500</v>
      </c>
      <c r="AC69" s="831">
        <f t="shared" si="32"/>
        <v>0</v>
      </c>
      <c r="AD69" s="847">
        <f>'Data-Kolom'!L70</f>
        <v>10</v>
      </c>
      <c r="AE69" s="846">
        <f>'Data-Kolom'!M70</f>
        <v>100</v>
      </c>
      <c r="AF69" s="846">
        <f>'Data-Kolom'!N70</f>
        <v>100</v>
      </c>
      <c r="AG69" s="846">
        <f>'Data-Kolom'!O70</f>
        <v>100</v>
      </c>
      <c r="AH69" s="846">
        <f>'Data-Kolom'!P70</f>
        <v>0</v>
      </c>
      <c r="AI69" s="846">
        <f>'Data-Kolom'!Q70</f>
        <v>0</v>
      </c>
      <c r="AJ69" s="846">
        <f>'Data-Kolom'!R70</f>
        <v>0</v>
      </c>
      <c r="AK69" s="853">
        <f>'Data-Kolom'!S70</f>
        <v>0</v>
      </c>
      <c r="AL69" s="827">
        <f t="shared" si="33"/>
        <v>1130</v>
      </c>
      <c r="AM69" s="826">
        <f t="shared" si="34"/>
        <v>0</v>
      </c>
      <c r="AN69" s="826">
        <f t="shared" si="35"/>
        <v>47</v>
      </c>
      <c r="AO69" s="845">
        <f t="shared" si="36"/>
        <v>0.30599999999999999</v>
      </c>
      <c r="AP69" s="822">
        <f t="shared" si="37"/>
        <v>52.176614399999998</v>
      </c>
      <c r="AQ69" s="824">
        <f t="shared" si="38"/>
        <v>0</v>
      </c>
      <c r="AR69" s="824">
        <f t="shared" si="39"/>
        <v>32.742315000000005</v>
      </c>
      <c r="AS69" s="824">
        <f t="shared" si="40"/>
        <v>0</v>
      </c>
      <c r="AT69" s="823">
        <f t="shared" si="41"/>
        <v>5.13</v>
      </c>
      <c r="AU69" s="844">
        <f t="shared" si="42"/>
        <v>277.5128411764706</v>
      </c>
      <c r="AV69" s="844">
        <f t="shared" si="43"/>
        <v>16.764705882352942</v>
      </c>
      <c r="AX69" s="822">
        <f t="shared" si="44"/>
        <v>52.176614399999998</v>
      </c>
      <c r="AY69" s="843"/>
      <c r="AZ69" s="852">
        <f t="shared" si="45"/>
        <v>0</v>
      </c>
      <c r="BA69" s="851">
        <f t="shared" si="46"/>
        <v>0</v>
      </c>
    </row>
    <row r="70" spans="1:53" ht="13.9" customHeight="1">
      <c r="A70" s="842">
        <f>'Data-Kolom'!A71</f>
        <v>5</v>
      </c>
      <c r="B70" s="842" t="str">
        <f>'Data-Kolom'!B71</f>
        <v>Lantai 2</v>
      </c>
      <c r="C70" s="842">
        <f>'Data-Kolom'!C71</f>
        <v>0</v>
      </c>
      <c r="D70" s="841" t="str">
        <f>'Data-Kolom'!D71</f>
        <v>K4</v>
      </c>
      <c r="E70" s="832" t="s">
        <v>325</v>
      </c>
      <c r="F70" s="840">
        <f>'Data-Kolom'!U71</f>
        <v>0</v>
      </c>
      <c r="G70" s="839">
        <f>'Data-Kolom'!T71</f>
        <v>0</v>
      </c>
      <c r="H70" s="832">
        <f>'Data-Kolom'!E71</f>
        <v>170</v>
      </c>
      <c r="I70" s="832">
        <f>'Data-Kolom'!F71</f>
        <v>400</v>
      </c>
      <c r="J70" s="832">
        <f>'Data-Kolom'!G71</f>
        <v>4500</v>
      </c>
      <c r="K70" s="831">
        <v>1</v>
      </c>
      <c r="L70" s="831"/>
      <c r="M70" s="831">
        <f>IF(L70&gt;0,VLOOKUP(L70,'Data-PC'!$B$14:$F$56,4,FALSE),0)</f>
        <v>0</v>
      </c>
      <c r="N70" s="847">
        <f>'Data-Kolom'!H71</f>
        <v>6</v>
      </c>
      <c r="O70" s="832">
        <f>'Data-Kolom'!I71</f>
        <v>16</v>
      </c>
      <c r="P70" s="850">
        <f t="shared" si="23"/>
        <v>1010</v>
      </c>
      <c r="Q70" s="831">
        <f t="shared" si="24"/>
        <v>770</v>
      </c>
      <c r="R70" s="831">
        <f t="shared" si="25"/>
        <v>5510</v>
      </c>
      <c r="S70" s="831"/>
      <c r="T70" s="849">
        <f t="shared" si="26"/>
        <v>5510</v>
      </c>
      <c r="U70" s="848">
        <f t="shared" si="27"/>
        <v>6</v>
      </c>
      <c r="V70" s="833">
        <f>'Data-Kolom'!J71</f>
        <v>0</v>
      </c>
      <c r="W70" s="832">
        <f>'Data-Kolom'!K71</f>
        <v>0</v>
      </c>
      <c r="X70" s="831">
        <f t="shared" si="28"/>
        <v>0</v>
      </c>
      <c r="Y70" s="831">
        <f t="shared" si="29"/>
        <v>0</v>
      </c>
      <c r="Z70" s="831">
        <f t="shared" si="30"/>
        <v>4500</v>
      </c>
      <c r="AA70" s="831"/>
      <c r="AB70" s="831">
        <f t="shared" si="31"/>
        <v>4500</v>
      </c>
      <c r="AC70" s="831">
        <f t="shared" si="32"/>
        <v>0</v>
      </c>
      <c r="AD70" s="847">
        <f>'Data-Kolom'!L71</f>
        <v>10</v>
      </c>
      <c r="AE70" s="846">
        <f>'Data-Kolom'!M71</f>
        <v>100</v>
      </c>
      <c r="AF70" s="846">
        <f>'Data-Kolom'!N71</f>
        <v>100</v>
      </c>
      <c r="AG70" s="846">
        <f>'Data-Kolom'!O71</f>
        <v>100</v>
      </c>
      <c r="AH70" s="846">
        <f>'Data-Kolom'!P71</f>
        <v>0</v>
      </c>
      <c r="AI70" s="846">
        <f>'Data-Kolom'!Q71</f>
        <v>0</v>
      </c>
      <c r="AJ70" s="846">
        <f>'Data-Kolom'!R71</f>
        <v>0</v>
      </c>
      <c r="AK70" s="853">
        <f>'Data-Kolom'!S71</f>
        <v>0</v>
      </c>
      <c r="AL70" s="827">
        <f t="shared" si="33"/>
        <v>1130</v>
      </c>
      <c r="AM70" s="826">
        <f t="shared" si="34"/>
        <v>0</v>
      </c>
      <c r="AN70" s="826">
        <f t="shared" si="35"/>
        <v>47</v>
      </c>
      <c r="AO70" s="845">
        <f t="shared" si="36"/>
        <v>0.30599999999999999</v>
      </c>
      <c r="AP70" s="822">
        <f t="shared" si="37"/>
        <v>52.176614399999998</v>
      </c>
      <c r="AQ70" s="824">
        <f t="shared" si="38"/>
        <v>0</v>
      </c>
      <c r="AR70" s="824">
        <f t="shared" si="39"/>
        <v>32.742315000000005</v>
      </c>
      <c r="AS70" s="824">
        <f t="shared" si="40"/>
        <v>0</v>
      </c>
      <c r="AT70" s="823">
        <f t="shared" si="41"/>
        <v>5.13</v>
      </c>
      <c r="AU70" s="844">
        <f t="shared" si="42"/>
        <v>277.5128411764706</v>
      </c>
      <c r="AV70" s="844">
        <f t="shared" si="43"/>
        <v>16.764705882352942</v>
      </c>
      <c r="AX70" s="822">
        <f t="shared" si="44"/>
        <v>52.176614399999998</v>
      </c>
      <c r="AY70" s="843"/>
      <c r="AZ70" s="852">
        <f t="shared" si="45"/>
        <v>0</v>
      </c>
      <c r="BA70" s="851">
        <f t="shared" si="46"/>
        <v>0</v>
      </c>
    </row>
    <row r="71" spans="1:53" ht="13.9" customHeight="1">
      <c r="A71" s="842">
        <f>'Data-Kolom'!A72</f>
        <v>6</v>
      </c>
      <c r="B71" s="842" t="str">
        <f>'Data-Kolom'!B72</f>
        <v>Lantai 2</v>
      </c>
      <c r="C71" s="842">
        <f>'Data-Kolom'!C72</f>
        <v>0</v>
      </c>
      <c r="D71" s="841" t="str">
        <f>'Data-Kolom'!D72</f>
        <v>K4</v>
      </c>
      <c r="E71" s="832" t="s">
        <v>325</v>
      </c>
      <c r="F71" s="840">
        <f>'Data-Kolom'!U72</f>
        <v>0</v>
      </c>
      <c r="G71" s="839">
        <f>'Data-Kolom'!T72</f>
        <v>0</v>
      </c>
      <c r="H71" s="832">
        <f>'Data-Kolom'!E72</f>
        <v>170</v>
      </c>
      <c r="I71" s="832">
        <f>'Data-Kolom'!F72</f>
        <v>400</v>
      </c>
      <c r="J71" s="832">
        <f>'Data-Kolom'!G72</f>
        <v>4500</v>
      </c>
      <c r="K71" s="831">
        <v>1</v>
      </c>
      <c r="L71" s="831"/>
      <c r="M71" s="831">
        <f>IF(L71&gt;0,VLOOKUP(L71,'Data-PC'!$B$14:$F$56,4,FALSE),0)</f>
        <v>0</v>
      </c>
      <c r="N71" s="847">
        <f>'Data-Kolom'!H72</f>
        <v>6</v>
      </c>
      <c r="O71" s="832">
        <f>'Data-Kolom'!I72</f>
        <v>16</v>
      </c>
      <c r="P71" s="850">
        <f t="shared" si="23"/>
        <v>1010</v>
      </c>
      <c r="Q71" s="831">
        <f t="shared" si="24"/>
        <v>770</v>
      </c>
      <c r="R71" s="831">
        <f t="shared" si="25"/>
        <v>5510</v>
      </c>
      <c r="S71" s="831"/>
      <c r="T71" s="849">
        <f t="shared" si="26"/>
        <v>5510</v>
      </c>
      <c r="U71" s="848">
        <f t="shared" si="27"/>
        <v>6</v>
      </c>
      <c r="V71" s="833">
        <f>'Data-Kolom'!J72</f>
        <v>0</v>
      </c>
      <c r="W71" s="832">
        <f>'Data-Kolom'!K72</f>
        <v>0</v>
      </c>
      <c r="X71" s="831">
        <f t="shared" si="28"/>
        <v>0</v>
      </c>
      <c r="Y71" s="831">
        <f t="shared" si="29"/>
        <v>0</v>
      </c>
      <c r="Z71" s="831">
        <f t="shared" si="30"/>
        <v>4500</v>
      </c>
      <c r="AA71" s="831"/>
      <c r="AB71" s="831">
        <f t="shared" si="31"/>
        <v>4500</v>
      </c>
      <c r="AC71" s="831">
        <f t="shared" si="32"/>
        <v>0</v>
      </c>
      <c r="AD71" s="847">
        <f>'Data-Kolom'!L72</f>
        <v>10</v>
      </c>
      <c r="AE71" s="846">
        <f>'Data-Kolom'!M72</f>
        <v>100</v>
      </c>
      <c r="AF71" s="846">
        <f>'Data-Kolom'!N72</f>
        <v>100</v>
      </c>
      <c r="AG71" s="846">
        <f>'Data-Kolom'!O72</f>
        <v>100</v>
      </c>
      <c r="AH71" s="846">
        <f>'Data-Kolom'!P72</f>
        <v>0</v>
      </c>
      <c r="AI71" s="846">
        <f>'Data-Kolom'!Q72</f>
        <v>0</v>
      </c>
      <c r="AJ71" s="846">
        <f>'Data-Kolom'!R72</f>
        <v>0</v>
      </c>
      <c r="AK71" s="853">
        <f>'Data-Kolom'!S72</f>
        <v>0</v>
      </c>
      <c r="AL71" s="827">
        <f t="shared" si="33"/>
        <v>1130</v>
      </c>
      <c r="AM71" s="826">
        <f t="shared" si="34"/>
        <v>0</v>
      </c>
      <c r="AN71" s="826">
        <f t="shared" si="35"/>
        <v>47</v>
      </c>
      <c r="AO71" s="845">
        <f t="shared" si="36"/>
        <v>0.30599999999999999</v>
      </c>
      <c r="AP71" s="822">
        <f t="shared" si="37"/>
        <v>52.176614399999998</v>
      </c>
      <c r="AQ71" s="824">
        <f t="shared" si="38"/>
        <v>0</v>
      </c>
      <c r="AR71" s="824">
        <f t="shared" si="39"/>
        <v>32.742315000000005</v>
      </c>
      <c r="AS71" s="824">
        <f t="shared" si="40"/>
        <v>0</v>
      </c>
      <c r="AT71" s="823">
        <f t="shared" si="41"/>
        <v>5.13</v>
      </c>
      <c r="AU71" s="844">
        <f t="shared" si="42"/>
        <v>277.5128411764706</v>
      </c>
      <c r="AV71" s="844">
        <f t="shared" si="43"/>
        <v>16.764705882352942</v>
      </c>
      <c r="AX71" s="822">
        <f t="shared" si="44"/>
        <v>52.176614399999998</v>
      </c>
      <c r="AY71" s="843"/>
      <c r="AZ71" s="852">
        <f t="shared" si="45"/>
        <v>0</v>
      </c>
      <c r="BA71" s="851">
        <f t="shared" si="46"/>
        <v>0</v>
      </c>
    </row>
    <row r="72" spans="1:53" ht="13.9" customHeight="1">
      <c r="A72" s="842">
        <f>'Data-Kolom'!A73</f>
        <v>7</v>
      </c>
      <c r="B72" s="842" t="str">
        <f>'Data-Kolom'!B73</f>
        <v>Lantai 2</v>
      </c>
      <c r="C72" s="842">
        <f>'Data-Kolom'!C73</f>
        <v>0</v>
      </c>
      <c r="D72" s="841" t="str">
        <f>'Data-Kolom'!D73</f>
        <v>K4</v>
      </c>
      <c r="E72" s="832" t="s">
        <v>325</v>
      </c>
      <c r="F72" s="840">
        <f>'Data-Kolom'!U73</f>
        <v>0</v>
      </c>
      <c r="G72" s="839">
        <f>'Data-Kolom'!T73</f>
        <v>0</v>
      </c>
      <c r="H72" s="832">
        <f>'Data-Kolom'!E73</f>
        <v>170</v>
      </c>
      <c r="I72" s="832">
        <f>'Data-Kolom'!F73</f>
        <v>400</v>
      </c>
      <c r="J72" s="832">
        <f>'Data-Kolom'!G73</f>
        <v>4500</v>
      </c>
      <c r="K72" s="831">
        <v>1</v>
      </c>
      <c r="L72" s="831"/>
      <c r="M72" s="831">
        <f>IF(L72&gt;0,VLOOKUP(L72,'Data-PC'!$B$14:$F$56,4,FALSE),0)</f>
        <v>0</v>
      </c>
      <c r="N72" s="847">
        <f>'Data-Kolom'!H73</f>
        <v>6</v>
      </c>
      <c r="O72" s="832">
        <f>'Data-Kolom'!I73</f>
        <v>16</v>
      </c>
      <c r="P72" s="850">
        <f t="shared" si="23"/>
        <v>1010</v>
      </c>
      <c r="Q72" s="831">
        <f t="shared" si="24"/>
        <v>770</v>
      </c>
      <c r="R72" s="831">
        <f t="shared" si="25"/>
        <v>5510</v>
      </c>
      <c r="S72" s="831"/>
      <c r="T72" s="849">
        <f t="shared" si="26"/>
        <v>5510</v>
      </c>
      <c r="U72" s="848">
        <f t="shared" si="27"/>
        <v>6</v>
      </c>
      <c r="V72" s="833">
        <f>'Data-Kolom'!J73</f>
        <v>0</v>
      </c>
      <c r="W72" s="832">
        <f>'Data-Kolom'!K73</f>
        <v>0</v>
      </c>
      <c r="X72" s="831">
        <f t="shared" si="28"/>
        <v>0</v>
      </c>
      <c r="Y72" s="831">
        <f t="shared" si="29"/>
        <v>0</v>
      </c>
      <c r="Z72" s="831">
        <f t="shared" si="30"/>
        <v>4500</v>
      </c>
      <c r="AA72" s="831"/>
      <c r="AB72" s="831">
        <f t="shared" si="31"/>
        <v>4500</v>
      </c>
      <c r="AC72" s="831">
        <f t="shared" si="32"/>
        <v>0</v>
      </c>
      <c r="AD72" s="847">
        <f>'Data-Kolom'!L73</f>
        <v>10</v>
      </c>
      <c r="AE72" s="846">
        <f>'Data-Kolom'!M73</f>
        <v>100</v>
      </c>
      <c r="AF72" s="846">
        <f>'Data-Kolom'!N73</f>
        <v>100</v>
      </c>
      <c r="AG72" s="846">
        <f>'Data-Kolom'!O73</f>
        <v>100</v>
      </c>
      <c r="AH72" s="846">
        <f>'Data-Kolom'!P73</f>
        <v>0</v>
      </c>
      <c r="AI72" s="846">
        <f>'Data-Kolom'!Q73</f>
        <v>0</v>
      </c>
      <c r="AJ72" s="846">
        <f>'Data-Kolom'!R73</f>
        <v>0</v>
      </c>
      <c r="AK72" s="853">
        <f>'Data-Kolom'!S73</f>
        <v>0</v>
      </c>
      <c r="AL72" s="827">
        <f t="shared" si="33"/>
        <v>1130</v>
      </c>
      <c r="AM72" s="826">
        <f t="shared" si="34"/>
        <v>0</v>
      </c>
      <c r="AN72" s="826">
        <f t="shared" si="35"/>
        <v>47</v>
      </c>
      <c r="AO72" s="845">
        <f t="shared" si="36"/>
        <v>0.30599999999999999</v>
      </c>
      <c r="AP72" s="822">
        <f t="shared" si="37"/>
        <v>52.176614399999998</v>
      </c>
      <c r="AQ72" s="824">
        <f t="shared" si="38"/>
        <v>0</v>
      </c>
      <c r="AR72" s="824">
        <f t="shared" si="39"/>
        <v>32.742315000000005</v>
      </c>
      <c r="AS72" s="824">
        <f t="shared" si="40"/>
        <v>0</v>
      </c>
      <c r="AT72" s="823">
        <f t="shared" si="41"/>
        <v>5.13</v>
      </c>
      <c r="AU72" s="844">
        <f t="shared" si="42"/>
        <v>277.5128411764706</v>
      </c>
      <c r="AV72" s="844">
        <f t="shared" si="43"/>
        <v>16.764705882352942</v>
      </c>
      <c r="AX72" s="822">
        <f t="shared" si="44"/>
        <v>52.176614399999998</v>
      </c>
      <c r="AY72" s="843"/>
      <c r="AZ72" s="852">
        <f t="shared" si="45"/>
        <v>0</v>
      </c>
      <c r="BA72" s="851">
        <f t="shared" si="46"/>
        <v>0</v>
      </c>
    </row>
    <row r="73" spans="1:53" ht="13.9" customHeight="1">
      <c r="A73" s="842">
        <f>'Data-Kolom'!A74</f>
        <v>8</v>
      </c>
      <c r="B73" s="842" t="str">
        <f>'Data-Kolom'!B74</f>
        <v>Lantai 2</v>
      </c>
      <c r="C73" s="842">
        <f>'Data-Kolom'!C74</f>
        <v>0</v>
      </c>
      <c r="D73" s="841" t="str">
        <f>'Data-Kolom'!D74</f>
        <v>K5</v>
      </c>
      <c r="E73" s="832" t="s">
        <v>325</v>
      </c>
      <c r="F73" s="840">
        <f>'Data-Kolom'!U74</f>
        <v>0</v>
      </c>
      <c r="G73" s="839">
        <f>'Data-Kolom'!T74</f>
        <v>0</v>
      </c>
      <c r="H73" s="832">
        <f>'Data-Kolom'!E74</f>
        <v>170</v>
      </c>
      <c r="I73" s="832">
        <f>'Data-Kolom'!F74</f>
        <v>500</v>
      </c>
      <c r="J73" s="832">
        <f>'Data-Kolom'!G74</f>
        <v>4500</v>
      </c>
      <c r="K73" s="831">
        <v>1</v>
      </c>
      <c r="L73" s="831"/>
      <c r="M73" s="831">
        <f>IF(L73&gt;0,VLOOKUP(L73,'Data-PC'!$B$14:$F$56,4,FALSE),0)</f>
        <v>0</v>
      </c>
      <c r="N73" s="847">
        <f>'Data-Kolom'!H74</f>
        <v>8</v>
      </c>
      <c r="O73" s="832">
        <f>'Data-Kolom'!I74</f>
        <v>16</v>
      </c>
      <c r="P73" s="850">
        <f t="shared" si="23"/>
        <v>1010</v>
      </c>
      <c r="Q73" s="831">
        <f t="shared" si="24"/>
        <v>770</v>
      </c>
      <c r="R73" s="831">
        <f t="shared" si="25"/>
        <v>5510</v>
      </c>
      <c r="S73" s="831"/>
      <c r="T73" s="849">
        <f t="shared" si="26"/>
        <v>5510</v>
      </c>
      <c r="U73" s="848">
        <f t="shared" si="27"/>
        <v>8</v>
      </c>
      <c r="V73" s="833">
        <f>'Data-Kolom'!J74</f>
        <v>0</v>
      </c>
      <c r="W73" s="832">
        <f>'Data-Kolom'!K74</f>
        <v>0</v>
      </c>
      <c r="X73" s="831">
        <f t="shared" si="28"/>
        <v>0</v>
      </c>
      <c r="Y73" s="831">
        <f t="shared" si="29"/>
        <v>0</v>
      </c>
      <c r="Z73" s="831">
        <f t="shared" si="30"/>
        <v>4500</v>
      </c>
      <c r="AA73" s="831"/>
      <c r="AB73" s="831">
        <f t="shared" si="31"/>
        <v>4500</v>
      </c>
      <c r="AC73" s="831">
        <f t="shared" si="32"/>
        <v>0</v>
      </c>
      <c r="AD73" s="847">
        <f>'Data-Kolom'!L74</f>
        <v>10</v>
      </c>
      <c r="AE73" s="846">
        <f>'Data-Kolom'!M74</f>
        <v>100</v>
      </c>
      <c r="AF73" s="846">
        <f>'Data-Kolom'!N74</f>
        <v>100</v>
      </c>
      <c r="AG73" s="846">
        <f>'Data-Kolom'!O74</f>
        <v>100</v>
      </c>
      <c r="AH73" s="846">
        <f>'Data-Kolom'!P74</f>
        <v>1</v>
      </c>
      <c r="AI73" s="846">
        <f>'Data-Kolom'!Q74</f>
        <v>10</v>
      </c>
      <c r="AJ73" s="846">
        <f>'Data-Kolom'!R74</f>
        <v>0</v>
      </c>
      <c r="AK73" s="853">
        <f>'Data-Kolom'!S74</f>
        <v>0</v>
      </c>
      <c r="AL73" s="827">
        <f t="shared" si="33"/>
        <v>1330</v>
      </c>
      <c r="AM73" s="826">
        <f t="shared" si="34"/>
        <v>280</v>
      </c>
      <c r="AN73" s="826">
        <f t="shared" si="35"/>
        <v>47</v>
      </c>
      <c r="AO73" s="845">
        <f t="shared" si="36"/>
        <v>0.38250000000000001</v>
      </c>
      <c r="AP73" s="822">
        <f t="shared" si="37"/>
        <v>69.568819199999993</v>
      </c>
      <c r="AQ73" s="824">
        <f t="shared" si="38"/>
        <v>0</v>
      </c>
      <c r="AR73" s="824">
        <f t="shared" si="39"/>
        <v>38.53741500000001</v>
      </c>
      <c r="AS73" s="824">
        <f t="shared" si="40"/>
        <v>8.1131400000000014</v>
      </c>
      <c r="AT73" s="823">
        <f t="shared" si="41"/>
        <v>6.03</v>
      </c>
      <c r="AU73" s="844">
        <f t="shared" si="42"/>
        <v>303.84150117647062</v>
      </c>
      <c r="AV73" s="844">
        <f t="shared" si="43"/>
        <v>15.764705882352942</v>
      </c>
      <c r="AX73" s="822">
        <f t="shared" si="44"/>
        <v>69.568819199999993</v>
      </c>
      <c r="AY73" s="843"/>
      <c r="AZ73" s="852">
        <f t="shared" si="45"/>
        <v>0</v>
      </c>
      <c r="BA73" s="851">
        <f t="shared" si="46"/>
        <v>0</v>
      </c>
    </row>
    <row r="74" spans="1:53" ht="13.9" customHeight="1">
      <c r="A74" s="842">
        <f>'Data-Kolom'!A75</f>
        <v>10</v>
      </c>
      <c r="B74" s="842" t="str">
        <f>'Data-Kolom'!B75</f>
        <v>Lantai 2</v>
      </c>
      <c r="C74" s="842">
        <f>'Data-Kolom'!C75</f>
        <v>0</v>
      </c>
      <c r="D74" s="841" t="str">
        <f>'Data-Kolom'!D75</f>
        <v>K6</v>
      </c>
      <c r="E74" s="832" t="s">
        <v>325</v>
      </c>
      <c r="F74" s="840">
        <f>'Data-Kolom'!U75</f>
        <v>0</v>
      </c>
      <c r="G74" s="839">
        <f>'Data-Kolom'!T75</f>
        <v>0</v>
      </c>
      <c r="H74" s="832">
        <f>'Data-Kolom'!E75</f>
        <v>170</v>
      </c>
      <c r="I74" s="832">
        <f>'Data-Kolom'!F75</f>
        <v>600</v>
      </c>
      <c r="J74" s="832">
        <f>'Data-Kolom'!G75</f>
        <v>4500</v>
      </c>
      <c r="K74" s="831">
        <v>1</v>
      </c>
      <c r="L74" s="831"/>
      <c r="M74" s="831">
        <f>IF(L74&gt;0,VLOOKUP(L74,'Data-PC'!$B$14:$F$56,4,FALSE),0)</f>
        <v>0</v>
      </c>
      <c r="N74" s="847">
        <f>'Data-Kolom'!H75</f>
        <v>10</v>
      </c>
      <c r="O74" s="832">
        <f>'Data-Kolom'!I75</f>
        <v>16</v>
      </c>
      <c r="P74" s="850">
        <f t="shared" si="23"/>
        <v>1010</v>
      </c>
      <c r="Q74" s="831">
        <f t="shared" si="24"/>
        <v>770</v>
      </c>
      <c r="R74" s="831">
        <f t="shared" si="25"/>
        <v>5510</v>
      </c>
      <c r="S74" s="831"/>
      <c r="T74" s="849">
        <f t="shared" si="26"/>
        <v>5510</v>
      </c>
      <c r="U74" s="848">
        <f t="shared" si="27"/>
        <v>10</v>
      </c>
      <c r="V74" s="833">
        <f>'Data-Kolom'!J75</f>
        <v>0</v>
      </c>
      <c r="W74" s="832">
        <f>'Data-Kolom'!K75</f>
        <v>0</v>
      </c>
      <c r="X74" s="831">
        <f t="shared" si="28"/>
        <v>0</v>
      </c>
      <c r="Y74" s="831">
        <f t="shared" si="29"/>
        <v>0</v>
      </c>
      <c r="Z74" s="831">
        <f t="shared" si="30"/>
        <v>4500</v>
      </c>
      <c r="AA74" s="831"/>
      <c r="AB74" s="831">
        <f t="shared" si="31"/>
        <v>4500</v>
      </c>
      <c r="AC74" s="831">
        <f t="shared" si="32"/>
        <v>0</v>
      </c>
      <c r="AD74" s="847">
        <f>'Data-Kolom'!L75</f>
        <v>10</v>
      </c>
      <c r="AE74" s="846">
        <f>'Data-Kolom'!M75</f>
        <v>100</v>
      </c>
      <c r="AF74" s="846">
        <f>'Data-Kolom'!N75</f>
        <v>100</v>
      </c>
      <c r="AG74" s="846">
        <f>'Data-Kolom'!O75</f>
        <v>100</v>
      </c>
      <c r="AH74" s="846">
        <f>'Data-Kolom'!P75</f>
        <v>1</v>
      </c>
      <c r="AI74" s="846">
        <f>'Data-Kolom'!Q75</f>
        <v>10</v>
      </c>
      <c r="AJ74" s="846">
        <f>'Data-Kolom'!R75</f>
        <v>0</v>
      </c>
      <c r="AK74" s="853">
        <f>'Data-Kolom'!S75</f>
        <v>0</v>
      </c>
      <c r="AL74" s="827">
        <f t="shared" si="33"/>
        <v>1530</v>
      </c>
      <c r="AM74" s="826">
        <f t="shared" si="34"/>
        <v>280</v>
      </c>
      <c r="AN74" s="826">
        <f t="shared" si="35"/>
        <v>47</v>
      </c>
      <c r="AO74" s="845">
        <f t="shared" si="36"/>
        <v>0.45900000000000002</v>
      </c>
      <c r="AP74" s="822">
        <f t="shared" si="37"/>
        <v>86.961024000000009</v>
      </c>
      <c r="AQ74" s="824">
        <f t="shared" si="38"/>
        <v>0</v>
      </c>
      <c r="AR74" s="824">
        <f t="shared" si="39"/>
        <v>44.332515000000008</v>
      </c>
      <c r="AS74" s="824">
        <f t="shared" si="40"/>
        <v>8.1131400000000014</v>
      </c>
      <c r="AT74" s="823">
        <f t="shared" si="41"/>
        <v>6.93</v>
      </c>
      <c r="AU74" s="844">
        <f t="shared" si="42"/>
        <v>303.71825490196079</v>
      </c>
      <c r="AV74" s="844">
        <f t="shared" si="43"/>
        <v>15.098039215686272</v>
      </c>
      <c r="AX74" s="822">
        <f t="shared" si="44"/>
        <v>86.961024000000009</v>
      </c>
      <c r="AY74" s="843"/>
      <c r="AZ74" s="852">
        <f t="shared" si="45"/>
        <v>0</v>
      </c>
      <c r="BA74" s="851">
        <f t="shared" si="46"/>
        <v>0</v>
      </c>
    </row>
    <row r="75" spans="1:53" s="2053" customFormat="1" ht="13.9" customHeight="1">
      <c r="A75" s="2033">
        <f>'Data-Kolom'!A76</f>
        <v>11</v>
      </c>
      <c r="B75" s="2033" t="str">
        <f>'Data-Kolom'!B76</f>
        <v>Lantai 2</v>
      </c>
      <c r="C75" s="2033">
        <f>'Data-Kolom'!C76</f>
        <v>0</v>
      </c>
      <c r="D75" s="2034" t="str">
        <f>'Data-Kolom'!D76</f>
        <v>KL55</v>
      </c>
      <c r="E75" s="2035" t="s">
        <v>325</v>
      </c>
      <c r="F75" s="2036">
        <f>'Data-Kolom'!U76</f>
        <v>0</v>
      </c>
      <c r="G75" s="2037">
        <f>'Data-Kolom'!T76</f>
        <v>0</v>
      </c>
      <c r="H75" s="2035">
        <f>'Data-Kolom'!E76</f>
        <v>170</v>
      </c>
      <c r="I75" s="2035">
        <f>'Data-Kolom'!F76</f>
        <v>500</v>
      </c>
      <c r="J75" s="2035">
        <f>'Data-Kolom'!G76</f>
        <v>4500</v>
      </c>
      <c r="K75" s="2038">
        <v>2</v>
      </c>
      <c r="L75" s="2038"/>
      <c r="M75" s="2038">
        <f>IF(L75&gt;0,VLOOKUP(L75,'Data-PC'!$B$14:$F$56,4,FALSE),0)</f>
        <v>0</v>
      </c>
      <c r="N75" s="2039">
        <f>'Data-Kolom'!H76</f>
        <v>6</v>
      </c>
      <c r="O75" s="2035">
        <f>'Data-Kolom'!I76</f>
        <v>16</v>
      </c>
      <c r="P75" s="2040">
        <f t="shared" si="23"/>
        <v>1010</v>
      </c>
      <c r="Q75" s="2038">
        <f t="shared" si="24"/>
        <v>770</v>
      </c>
      <c r="R75" s="2038">
        <f t="shared" si="25"/>
        <v>5510</v>
      </c>
      <c r="S75" s="2038"/>
      <c r="T75" s="2041">
        <f t="shared" si="26"/>
        <v>5510</v>
      </c>
      <c r="U75" s="2042">
        <f t="shared" si="27"/>
        <v>12</v>
      </c>
      <c r="V75" s="2043">
        <f>'Data-Kolom'!J76</f>
        <v>0</v>
      </c>
      <c r="W75" s="2035">
        <f>'Data-Kolom'!K76</f>
        <v>0</v>
      </c>
      <c r="X75" s="2038">
        <f t="shared" si="28"/>
        <v>0</v>
      </c>
      <c r="Y75" s="2038">
        <f t="shared" si="29"/>
        <v>0</v>
      </c>
      <c r="Z75" s="2038">
        <f t="shared" si="30"/>
        <v>4500</v>
      </c>
      <c r="AA75" s="2038"/>
      <c r="AB75" s="2038">
        <f t="shared" si="31"/>
        <v>4500</v>
      </c>
      <c r="AC75" s="2038">
        <f t="shared" si="32"/>
        <v>0</v>
      </c>
      <c r="AD75" s="2039">
        <f>'Data-Kolom'!L76</f>
        <v>10</v>
      </c>
      <c r="AE75" s="2044">
        <f>'Data-Kolom'!M76</f>
        <v>100</v>
      </c>
      <c r="AF75" s="2044">
        <f>'Data-Kolom'!N76</f>
        <v>100</v>
      </c>
      <c r="AG75" s="2044">
        <f>'Data-Kolom'!O76</f>
        <v>100</v>
      </c>
      <c r="AH75" s="2044">
        <f>'Data-Kolom'!P76</f>
        <v>0</v>
      </c>
      <c r="AI75" s="2044">
        <f>'Data-Kolom'!Q76</f>
        <v>0</v>
      </c>
      <c r="AJ75" s="2044">
        <f>'Data-Kolom'!R76</f>
        <v>0</v>
      </c>
      <c r="AK75" s="2045">
        <f>'Data-Kolom'!S76</f>
        <v>0</v>
      </c>
      <c r="AL75" s="2046">
        <f t="shared" si="33"/>
        <v>1330</v>
      </c>
      <c r="AM75" s="2047">
        <f t="shared" si="34"/>
        <v>0</v>
      </c>
      <c r="AN75" s="2047">
        <f t="shared" si="35"/>
        <v>94</v>
      </c>
      <c r="AO75" s="2048">
        <f t="shared" si="36"/>
        <v>0.76500000000000001</v>
      </c>
      <c r="AP75" s="2049">
        <f t="shared" si="37"/>
        <v>104.3532288</v>
      </c>
      <c r="AQ75" s="2050">
        <f t="shared" si="38"/>
        <v>0</v>
      </c>
      <c r="AR75" s="2050">
        <f t="shared" si="39"/>
        <v>77.07483000000002</v>
      </c>
      <c r="AS75" s="2050">
        <f t="shared" si="40"/>
        <v>0</v>
      </c>
      <c r="AT75" s="2051">
        <f t="shared" si="41"/>
        <v>12.06</v>
      </c>
      <c r="AU75" s="2052">
        <f t="shared" si="42"/>
        <v>237.16086117647063</v>
      </c>
      <c r="AV75" s="2052">
        <f t="shared" si="43"/>
        <v>15.764705882352942</v>
      </c>
      <c r="AX75" s="2049">
        <f t="shared" si="44"/>
        <v>104.3532288</v>
      </c>
      <c r="AY75" s="2054"/>
      <c r="AZ75" s="2055">
        <f t="shared" si="45"/>
        <v>0</v>
      </c>
      <c r="BA75" s="2056">
        <f t="shared" si="46"/>
        <v>0</v>
      </c>
    </row>
    <row r="76" spans="1:53" s="2053" customFormat="1" ht="13.9" customHeight="1">
      <c r="A76" s="2033">
        <f>'Data-Kolom'!A77</f>
        <v>12</v>
      </c>
      <c r="B76" s="2033" t="str">
        <f>'Data-Kolom'!B77</f>
        <v>Lantai 2</v>
      </c>
      <c r="C76" s="2033">
        <f>'Data-Kolom'!C77</f>
        <v>0</v>
      </c>
      <c r="D76" s="2034" t="str">
        <f>'Data-Kolom'!D77</f>
        <v>KL55</v>
      </c>
      <c r="E76" s="2035" t="s">
        <v>325</v>
      </c>
      <c r="F76" s="2036">
        <f>'Data-Kolom'!U77</f>
        <v>0</v>
      </c>
      <c r="G76" s="2037">
        <f>'Data-Kolom'!T77</f>
        <v>0</v>
      </c>
      <c r="H76" s="2035">
        <f>'Data-Kolom'!E77</f>
        <v>170</v>
      </c>
      <c r="I76" s="2035">
        <f>'Data-Kolom'!F77</f>
        <v>500</v>
      </c>
      <c r="J76" s="2035">
        <f>'Data-Kolom'!G77</f>
        <v>4500</v>
      </c>
      <c r="K76" s="2038">
        <v>2</v>
      </c>
      <c r="L76" s="2038"/>
      <c r="M76" s="2038">
        <f>IF(L76&gt;0,VLOOKUP(L76,'Data-PC'!$B$14:$F$56,4,FALSE),0)</f>
        <v>0</v>
      </c>
      <c r="N76" s="2039">
        <f>'Data-Kolom'!H77</f>
        <v>6</v>
      </c>
      <c r="O76" s="2035">
        <f>'Data-Kolom'!I77</f>
        <v>16</v>
      </c>
      <c r="P76" s="2040">
        <f t="shared" si="23"/>
        <v>1010</v>
      </c>
      <c r="Q76" s="2038">
        <f t="shared" si="24"/>
        <v>770</v>
      </c>
      <c r="R76" s="2038">
        <f t="shared" si="25"/>
        <v>5510</v>
      </c>
      <c r="S76" s="2038"/>
      <c r="T76" s="2041">
        <f t="shared" si="26"/>
        <v>5510</v>
      </c>
      <c r="U76" s="2042">
        <f t="shared" si="27"/>
        <v>12</v>
      </c>
      <c r="V76" s="2043">
        <f>'Data-Kolom'!J77</f>
        <v>0</v>
      </c>
      <c r="W76" s="2035">
        <f>'Data-Kolom'!K77</f>
        <v>0</v>
      </c>
      <c r="X76" s="2038">
        <f t="shared" si="28"/>
        <v>0</v>
      </c>
      <c r="Y76" s="2038">
        <f t="shared" si="29"/>
        <v>0</v>
      </c>
      <c r="Z76" s="2038">
        <f t="shared" si="30"/>
        <v>4500</v>
      </c>
      <c r="AA76" s="2038"/>
      <c r="AB76" s="2038">
        <f t="shared" si="31"/>
        <v>4500</v>
      </c>
      <c r="AC76" s="2038">
        <f t="shared" si="32"/>
        <v>0</v>
      </c>
      <c r="AD76" s="2039">
        <f>'Data-Kolom'!L77</f>
        <v>10</v>
      </c>
      <c r="AE76" s="2044">
        <f>'Data-Kolom'!M77</f>
        <v>100</v>
      </c>
      <c r="AF76" s="2044">
        <f>'Data-Kolom'!N77</f>
        <v>100</v>
      </c>
      <c r="AG76" s="2044">
        <f>'Data-Kolom'!O77</f>
        <v>100</v>
      </c>
      <c r="AH76" s="2044">
        <f>'Data-Kolom'!P77</f>
        <v>0</v>
      </c>
      <c r="AI76" s="2044">
        <f>'Data-Kolom'!Q77</f>
        <v>0</v>
      </c>
      <c r="AJ76" s="2044">
        <f>'Data-Kolom'!R77</f>
        <v>0</v>
      </c>
      <c r="AK76" s="2045">
        <f>'Data-Kolom'!S77</f>
        <v>0</v>
      </c>
      <c r="AL76" s="2046">
        <f t="shared" si="33"/>
        <v>1330</v>
      </c>
      <c r="AM76" s="2047">
        <f t="shared" si="34"/>
        <v>0</v>
      </c>
      <c r="AN76" s="2047">
        <f t="shared" si="35"/>
        <v>94</v>
      </c>
      <c r="AO76" s="2048">
        <f t="shared" si="36"/>
        <v>0.76500000000000001</v>
      </c>
      <c r="AP76" s="2049">
        <f t="shared" si="37"/>
        <v>104.3532288</v>
      </c>
      <c r="AQ76" s="2050">
        <f t="shared" si="38"/>
        <v>0</v>
      </c>
      <c r="AR76" s="2050">
        <f t="shared" si="39"/>
        <v>77.07483000000002</v>
      </c>
      <c r="AS76" s="2050">
        <f t="shared" si="40"/>
        <v>0</v>
      </c>
      <c r="AT76" s="2051">
        <f t="shared" si="41"/>
        <v>12.06</v>
      </c>
      <c r="AU76" s="2052">
        <f t="shared" si="42"/>
        <v>237.16086117647063</v>
      </c>
      <c r="AV76" s="2052">
        <f t="shared" si="43"/>
        <v>15.764705882352942</v>
      </c>
      <c r="AX76" s="2049">
        <f t="shared" si="44"/>
        <v>104.3532288</v>
      </c>
      <c r="AY76" s="2054"/>
      <c r="AZ76" s="2055">
        <f t="shared" si="45"/>
        <v>0</v>
      </c>
      <c r="BA76" s="2056">
        <f t="shared" si="46"/>
        <v>0</v>
      </c>
    </row>
    <row r="77" spans="1:53" ht="13.9" customHeight="1">
      <c r="A77" s="842">
        <f>'Data-Kolom'!A78</f>
        <v>14</v>
      </c>
      <c r="B77" s="842" t="str">
        <f>'Data-Kolom'!B78</f>
        <v>Lantai 2</v>
      </c>
      <c r="C77" s="842">
        <f>'Data-Kolom'!C78</f>
        <v>0</v>
      </c>
      <c r="D77" s="841" t="str">
        <f>'Data-Kolom'!D78</f>
        <v>K5</v>
      </c>
      <c r="E77" s="832" t="s">
        <v>325</v>
      </c>
      <c r="F77" s="840">
        <f>'Data-Kolom'!U78</f>
        <v>0</v>
      </c>
      <c r="G77" s="839">
        <f>'Data-Kolom'!T78</f>
        <v>0</v>
      </c>
      <c r="H77" s="832">
        <f>'Data-Kolom'!E78</f>
        <v>170</v>
      </c>
      <c r="I77" s="832">
        <f>'Data-Kolom'!F78</f>
        <v>500</v>
      </c>
      <c r="J77" s="832">
        <f>'Data-Kolom'!G78</f>
        <v>4500</v>
      </c>
      <c r="K77" s="831">
        <v>1</v>
      </c>
      <c r="L77" s="831"/>
      <c r="M77" s="831">
        <f>IF(L77&gt;0,VLOOKUP(L77,'Data-PC'!$B$14:$F$56,4,FALSE),0)</f>
        <v>0</v>
      </c>
      <c r="N77" s="847">
        <f>'Data-Kolom'!H78</f>
        <v>8</v>
      </c>
      <c r="O77" s="832">
        <f>'Data-Kolom'!I78</f>
        <v>16</v>
      </c>
      <c r="P77" s="850">
        <f t="shared" si="23"/>
        <v>1010</v>
      </c>
      <c r="Q77" s="831">
        <f t="shared" si="24"/>
        <v>770</v>
      </c>
      <c r="R77" s="831">
        <f t="shared" si="25"/>
        <v>5510</v>
      </c>
      <c r="S77" s="831"/>
      <c r="T77" s="849">
        <f t="shared" si="26"/>
        <v>5510</v>
      </c>
      <c r="U77" s="848">
        <f t="shared" si="27"/>
        <v>8</v>
      </c>
      <c r="V77" s="833">
        <f>'Data-Kolom'!J78</f>
        <v>0</v>
      </c>
      <c r="W77" s="832">
        <f>'Data-Kolom'!K78</f>
        <v>0</v>
      </c>
      <c r="X77" s="831">
        <f t="shared" si="28"/>
        <v>0</v>
      </c>
      <c r="Y77" s="831">
        <f t="shared" si="29"/>
        <v>0</v>
      </c>
      <c r="Z77" s="831">
        <f t="shared" si="30"/>
        <v>4500</v>
      </c>
      <c r="AA77" s="831"/>
      <c r="AB77" s="831">
        <f t="shared" si="31"/>
        <v>4500</v>
      </c>
      <c r="AC77" s="831">
        <f t="shared" si="32"/>
        <v>0</v>
      </c>
      <c r="AD77" s="847">
        <f>'Data-Kolom'!L78</f>
        <v>10</v>
      </c>
      <c r="AE77" s="846">
        <f>'Data-Kolom'!M78</f>
        <v>100</v>
      </c>
      <c r="AF77" s="846">
        <f>'Data-Kolom'!N78</f>
        <v>100</v>
      </c>
      <c r="AG77" s="846">
        <f>'Data-Kolom'!O78</f>
        <v>100</v>
      </c>
      <c r="AH77" s="846">
        <f>'Data-Kolom'!P78</f>
        <v>1</v>
      </c>
      <c r="AI77" s="846">
        <f>'Data-Kolom'!Q78</f>
        <v>10</v>
      </c>
      <c r="AJ77" s="846">
        <f>'Data-Kolom'!R78</f>
        <v>0</v>
      </c>
      <c r="AK77" s="853">
        <f>'Data-Kolom'!S78</f>
        <v>0</v>
      </c>
      <c r="AL77" s="827">
        <f t="shared" si="33"/>
        <v>1330</v>
      </c>
      <c r="AM77" s="826">
        <f t="shared" si="34"/>
        <v>280</v>
      </c>
      <c r="AN77" s="826">
        <f t="shared" si="35"/>
        <v>47</v>
      </c>
      <c r="AO77" s="845">
        <f t="shared" si="36"/>
        <v>0.38250000000000001</v>
      </c>
      <c r="AP77" s="822">
        <f t="shared" si="37"/>
        <v>69.568819199999993</v>
      </c>
      <c r="AQ77" s="824">
        <f t="shared" si="38"/>
        <v>0</v>
      </c>
      <c r="AR77" s="824">
        <f t="shared" si="39"/>
        <v>38.53741500000001</v>
      </c>
      <c r="AS77" s="824">
        <f t="shared" si="40"/>
        <v>8.1131400000000014</v>
      </c>
      <c r="AT77" s="823">
        <f t="shared" si="41"/>
        <v>6.03</v>
      </c>
      <c r="AU77" s="844">
        <f t="shared" si="42"/>
        <v>303.84150117647062</v>
      </c>
      <c r="AV77" s="844">
        <f t="shared" si="43"/>
        <v>15.764705882352942</v>
      </c>
      <c r="AX77" s="822">
        <f t="shared" si="44"/>
        <v>69.568819199999993</v>
      </c>
      <c r="AY77" s="843"/>
      <c r="AZ77" s="852">
        <f t="shared" si="45"/>
        <v>0</v>
      </c>
      <c r="BA77" s="851">
        <f t="shared" si="46"/>
        <v>0</v>
      </c>
    </row>
    <row r="78" spans="1:53" ht="13.9" customHeight="1">
      <c r="A78" s="842">
        <f>'Data-Kolom'!A79</f>
        <v>15</v>
      </c>
      <c r="B78" s="842" t="str">
        <f>'Data-Kolom'!B79</f>
        <v>Lantai 2</v>
      </c>
      <c r="C78" s="842">
        <f>'Data-Kolom'!C79</f>
        <v>0</v>
      </c>
      <c r="D78" s="841" t="str">
        <f>'Data-Kolom'!D79</f>
        <v>K5</v>
      </c>
      <c r="E78" s="832" t="s">
        <v>325</v>
      </c>
      <c r="F78" s="840">
        <f>'Data-Kolom'!U79</f>
        <v>0</v>
      </c>
      <c r="G78" s="839">
        <f>'Data-Kolom'!T79</f>
        <v>0</v>
      </c>
      <c r="H78" s="832">
        <f>'Data-Kolom'!E79</f>
        <v>170</v>
      </c>
      <c r="I78" s="832">
        <f>'Data-Kolom'!F79</f>
        <v>500</v>
      </c>
      <c r="J78" s="832">
        <f>'Data-Kolom'!G79</f>
        <v>4500</v>
      </c>
      <c r="K78" s="831">
        <v>1</v>
      </c>
      <c r="L78" s="831"/>
      <c r="M78" s="831">
        <f>IF(L78&gt;0,VLOOKUP(L78,'Data-PC'!$B$14:$F$56,4,FALSE),0)</f>
        <v>0</v>
      </c>
      <c r="N78" s="847">
        <f>'Data-Kolom'!H79</f>
        <v>8</v>
      </c>
      <c r="O78" s="832">
        <f>'Data-Kolom'!I79</f>
        <v>16</v>
      </c>
      <c r="P78" s="850">
        <f t="shared" si="23"/>
        <v>1010</v>
      </c>
      <c r="Q78" s="831">
        <f t="shared" si="24"/>
        <v>770</v>
      </c>
      <c r="R78" s="831">
        <f t="shared" si="25"/>
        <v>5510</v>
      </c>
      <c r="S78" s="831"/>
      <c r="T78" s="849">
        <f t="shared" si="26"/>
        <v>5510</v>
      </c>
      <c r="U78" s="848">
        <f t="shared" si="27"/>
        <v>8</v>
      </c>
      <c r="V78" s="833">
        <f>'Data-Kolom'!J79</f>
        <v>0</v>
      </c>
      <c r="W78" s="832">
        <f>'Data-Kolom'!K79</f>
        <v>0</v>
      </c>
      <c r="X78" s="831">
        <f t="shared" si="28"/>
        <v>0</v>
      </c>
      <c r="Y78" s="831">
        <f t="shared" si="29"/>
        <v>0</v>
      </c>
      <c r="Z78" s="831">
        <f t="shared" si="30"/>
        <v>4500</v>
      </c>
      <c r="AA78" s="831"/>
      <c r="AB78" s="831">
        <f t="shared" si="31"/>
        <v>4500</v>
      </c>
      <c r="AC78" s="831">
        <f t="shared" si="32"/>
        <v>0</v>
      </c>
      <c r="AD78" s="847">
        <f>'Data-Kolom'!L79</f>
        <v>10</v>
      </c>
      <c r="AE78" s="846">
        <f>'Data-Kolom'!M79</f>
        <v>100</v>
      </c>
      <c r="AF78" s="846">
        <f>'Data-Kolom'!N79</f>
        <v>100</v>
      </c>
      <c r="AG78" s="846">
        <f>'Data-Kolom'!O79</f>
        <v>100</v>
      </c>
      <c r="AH78" s="846">
        <f>'Data-Kolom'!P79</f>
        <v>1</v>
      </c>
      <c r="AI78" s="846">
        <f>'Data-Kolom'!Q79</f>
        <v>10</v>
      </c>
      <c r="AJ78" s="846">
        <f>'Data-Kolom'!R79</f>
        <v>0</v>
      </c>
      <c r="AK78" s="853">
        <f>'Data-Kolom'!S79</f>
        <v>0</v>
      </c>
      <c r="AL78" s="827">
        <f t="shared" si="33"/>
        <v>1330</v>
      </c>
      <c r="AM78" s="826">
        <f t="shared" si="34"/>
        <v>280</v>
      </c>
      <c r="AN78" s="826">
        <f t="shared" si="35"/>
        <v>47</v>
      </c>
      <c r="AO78" s="845">
        <f t="shared" si="36"/>
        <v>0.38250000000000001</v>
      </c>
      <c r="AP78" s="822">
        <f t="shared" si="37"/>
        <v>69.568819199999993</v>
      </c>
      <c r="AQ78" s="824">
        <f t="shared" si="38"/>
        <v>0</v>
      </c>
      <c r="AR78" s="824">
        <f t="shared" si="39"/>
        <v>38.53741500000001</v>
      </c>
      <c r="AS78" s="824">
        <f t="shared" si="40"/>
        <v>8.1131400000000014</v>
      </c>
      <c r="AT78" s="823">
        <f t="shared" si="41"/>
        <v>6.03</v>
      </c>
      <c r="AU78" s="844">
        <f t="shared" si="42"/>
        <v>303.84150117647062</v>
      </c>
      <c r="AV78" s="844">
        <f t="shared" si="43"/>
        <v>15.764705882352942</v>
      </c>
      <c r="AX78" s="822">
        <f t="shared" si="44"/>
        <v>69.568819199999993</v>
      </c>
      <c r="AY78" s="843"/>
      <c r="AZ78" s="852">
        <f t="shared" si="45"/>
        <v>0</v>
      </c>
      <c r="BA78" s="851">
        <f t="shared" si="46"/>
        <v>0</v>
      </c>
    </row>
    <row r="79" spans="1:53" ht="13.9" customHeight="1">
      <c r="A79" s="842">
        <f>'Data-Kolom'!A80</f>
        <v>16</v>
      </c>
      <c r="B79" s="842" t="str">
        <f>'Data-Kolom'!B80</f>
        <v>Lantai 2</v>
      </c>
      <c r="C79" s="842">
        <f>'Data-Kolom'!C80</f>
        <v>0</v>
      </c>
      <c r="D79" s="841" t="str">
        <f>'Data-Kolom'!D80</f>
        <v>K5</v>
      </c>
      <c r="E79" s="832" t="s">
        <v>325</v>
      </c>
      <c r="F79" s="840">
        <f>'Data-Kolom'!U80</f>
        <v>0</v>
      </c>
      <c r="G79" s="839">
        <f>'Data-Kolom'!T80</f>
        <v>0</v>
      </c>
      <c r="H79" s="832">
        <f>'Data-Kolom'!E80</f>
        <v>170</v>
      </c>
      <c r="I79" s="832">
        <f>'Data-Kolom'!F80</f>
        <v>500</v>
      </c>
      <c r="J79" s="832">
        <f>'Data-Kolom'!G80</f>
        <v>4500</v>
      </c>
      <c r="K79" s="831">
        <v>1</v>
      </c>
      <c r="L79" s="831"/>
      <c r="M79" s="831">
        <f>IF(L79&gt;0,VLOOKUP(L79,'Data-PC'!$B$14:$F$56,4,FALSE),0)</f>
        <v>0</v>
      </c>
      <c r="N79" s="847">
        <f>'Data-Kolom'!H80</f>
        <v>8</v>
      </c>
      <c r="O79" s="832">
        <f>'Data-Kolom'!I80</f>
        <v>16</v>
      </c>
      <c r="P79" s="850">
        <f t="shared" ref="P79:P126" si="106">IF(N79&gt;0,VLOOKUP(O79,$V$2:$X$9,2,FALSE),0)</f>
        <v>1010</v>
      </c>
      <c r="Q79" s="831">
        <f t="shared" ref="Q79:Q126" si="107">IF(L79&gt;0,M79-50+$N$6*O79,VLOOKUP(O79,$V$2:$X$9,3,FALSE))</f>
        <v>770</v>
      </c>
      <c r="R79" s="831">
        <f t="shared" ref="R79:R126" si="108">IF(E79="F",J79-$N$5+$N$6*O79+Q79,IF(E79="D",J79+Q79+P79,IF(E79="T",J79+P79,IF(E79="A",J79-$N$5+$N$6*O79,0))))</f>
        <v>5510</v>
      </c>
      <c r="S79" s="831"/>
      <c r="T79" s="849">
        <f t="shared" ref="T79:T126" si="109">SUM(R79:S79)</f>
        <v>5510</v>
      </c>
      <c r="U79" s="848">
        <f t="shared" ref="U79:U126" si="110">K79*N79</f>
        <v>8</v>
      </c>
      <c r="V79" s="833">
        <f>'Data-Kolom'!J80</f>
        <v>0</v>
      </c>
      <c r="W79" s="832">
        <f>'Data-Kolom'!K80</f>
        <v>0</v>
      </c>
      <c r="X79" s="831">
        <f t="shared" ref="X79:X126" si="111">IF(V79&gt;0,VLOOKUP(W79,$V$2:$X$9,2,FALSE),0)</f>
        <v>0</v>
      </c>
      <c r="Y79" s="831">
        <f t="shared" ref="Y79:Y126" si="112">IF(V79&gt;0,IF(L79&gt;0,M79-50+$N$6*W79,VLOOKUP(W79,$V$2:$X$9,3,FALSE)),0)</f>
        <v>0</v>
      </c>
      <c r="Z79" s="831">
        <f t="shared" ref="Z79:Z126" si="113">IF(E79="F",J79-$N$5+$N$6*W79+Y79,IF(E79="D",J79+Y79+X79,IF(E79="T",J79+X79,IF(E79="A",J79-$N$5+$N$6*W79,0))))</f>
        <v>4500</v>
      </c>
      <c r="AA79" s="831"/>
      <c r="AB79" s="831">
        <f t="shared" ref="AB79:AB126" si="114">SUM(Z79:AA79)</f>
        <v>4500</v>
      </c>
      <c r="AC79" s="831">
        <f t="shared" ref="AC79:AC126" si="115">V79*K79</f>
        <v>0</v>
      </c>
      <c r="AD79" s="847">
        <f>'Data-Kolom'!L80</f>
        <v>10</v>
      </c>
      <c r="AE79" s="846">
        <f>'Data-Kolom'!M80</f>
        <v>100</v>
      </c>
      <c r="AF79" s="846">
        <f>'Data-Kolom'!N80</f>
        <v>100</v>
      </c>
      <c r="AG79" s="846">
        <f>'Data-Kolom'!O80</f>
        <v>100</v>
      </c>
      <c r="AH79" s="846">
        <f>'Data-Kolom'!P80</f>
        <v>1</v>
      </c>
      <c r="AI79" s="846">
        <f>'Data-Kolom'!Q80</f>
        <v>10</v>
      </c>
      <c r="AJ79" s="846">
        <f>'Data-Kolom'!R80</f>
        <v>0</v>
      </c>
      <c r="AK79" s="853">
        <f>'Data-Kolom'!S80</f>
        <v>0</v>
      </c>
      <c r="AL79" s="827">
        <f t="shared" ref="AL79:AL126" si="116">2*(H79+I79-4*$N$5)+2*MAX($F$5*AD79,75)</f>
        <v>1330</v>
      </c>
      <c r="AM79" s="826">
        <f t="shared" ref="AM79:AM126" si="117">+AH79*(H79-2*$N$5+2*MAX($F$5*AI79,75))+AJ79*(I79-2*$N$5+2*MAX($F$5*AK79,75))</f>
        <v>280</v>
      </c>
      <c r="AN79" s="826">
        <f t="shared" ref="AN79:AN126" si="118">(ROUND((1/2*J79+IF(M79&gt;0,(Q79-$N$6*AD79),0))/AE79,0)+(ROUND(1/2*J79/AF79,0)+1))*K79</f>
        <v>47</v>
      </c>
      <c r="AO79" s="845">
        <f t="shared" ref="AO79:AO126" si="119">H79*I79*J79/1000000000*K79*(1+$T$5)</f>
        <v>0.38250000000000001</v>
      </c>
      <c r="AP79" s="822">
        <f t="shared" ref="AP79:AP126" si="120">0.006165*O79^2*T79*U79/1000*(1+$T$6)</f>
        <v>69.568819199999993</v>
      </c>
      <c r="AQ79" s="824">
        <f t="shared" ref="AQ79:AQ126" si="121">0.006165*W79^2*AB79*AC79/1000*(1+$T$6)</f>
        <v>0</v>
      </c>
      <c r="AR79" s="824">
        <f t="shared" ref="AR79:AR126" si="122">AN79*0.006165*AD79^2*AL79/1000*(1+$T$6)</f>
        <v>38.53741500000001</v>
      </c>
      <c r="AS79" s="824">
        <f t="shared" ref="AS79:AS126" si="123">AN79*0.006165*AI79^2*AM79/1000*(1+$T$6)</f>
        <v>8.1131400000000014</v>
      </c>
      <c r="AT79" s="823">
        <f t="shared" ref="AT79:AT126" si="124">K79*2*J79*(H79+I79)/1000000*(1+$T$7)</f>
        <v>6.03</v>
      </c>
      <c r="AU79" s="844">
        <f t="shared" ref="AU79:AU126" si="125">SUM(AP79:AS79)/AO79</f>
        <v>303.84150117647062</v>
      </c>
      <c r="AV79" s="844">
        <f t="shared" ref="AV79:AV126" si="126">AT79/AO79</f>
        <v>15.764705882352942</v>
      </c>
      <c r="AX79" s="822">
        <f t="shared" ref="AX79:AX126" si="127">0.006165*O79^2*R79*U79/1000*(1+$T$6)</f>
        <v>69.568819199999993</v>
      </c>
      <c r="AY79" s="843"/>
      <c r="AZ79" s="852">
        <f t="shared" ref="AZ79:AZ126" si="128">0.006165*O79^2*S79*U79/1000*(1+$T$6)</f>
        <v>0</v>
      </c>
      <c r="BA79" s="851">
        <f t="shared" ref="BA79:BA126" si="129">AZ79/AP79</f>
        <v>0</v>
      </c>
    </row>
    <row r="80" spans="1:53" ht="13.9" customHeight="1">
      <c r="A80" s="842">
        <f>'Data-Kolom'!A81</f>
        <v>17</v>
      </c>
      <c r="B80" s="842" t="str">
        <f>'Data-Kolom'!B81</f>
        <v>Lantai 2</v>
      </c>
      <c r="C80" s="842">
        <f>'Data-Kolom'!C81</f>
        <v>0</v>
      </c>
      <c r="D80" s="841" t="str">
        <f>'Data-Kolom'!D81</f>
        <v>K5</v>
      </c>
      <c r="E80" s="832" t="s">
        <v>325</v>
      </c>
      <c r="F80" s="840">
        <f>'Data-Kolom'!U81</f>
        <v>0</v>
      </c>
      <c r="G80" s="839">
        <f>'Data-Kolom'!T81</f>
        <v>0</v>
      </c>
      <c r="H80" s="832">
        <f>'Data-Kolom'!E81</f>
        <v>170</v>
      </c>
      <c r="I80" s="832">
        <f>'Data-Kolom'!F81</f>
        <v>500</v>
      </c>
      <c r="J80" s="832">
        <f>'Data-Kolom'!G81</f>
        <v>4500</v>
      </c>
      <c r="K80" s="831">
        <v>1</v>
      </c>
      <c r="L80" s="831"/>
      <c r="M80" s="831">
        <f>IF(L80&gt;0,VLOOKUP(L80,'Data-PC'!$B$14:$F$56,4,FALSE),0)</f>
        <v>0</v>
      </c>
      <c r="N80" s="847">
        <f>'Data-Kolom'!H81</f>
        <v>8</v>
      </c>
      <c r="O80" s="832">
        <f>'Data-Kolom'!I81</f>
        <v>16</v>
      </c>
      <c r="P80" s="850">
        <f t="shared" si="106"/>
        <v>1010</v>
      </c>
      <c r="Q80" s="831">
        <f t="shared" si="107"/>
        <v>770</v>
      </c>
      <c r="R80" s="831">
        <f t="shared" si="108"/>
        <v>5510</v>
      </c>
      <c r="S80" s="831"/>
      <c r="T80" s="849">
        <f t="shared" si="109"/>
        <v>5510</v>
      </c>
      <c r="U80" s="848">
        <f t="shared" si="110"/>
        <v>8</v>
      </c>
      <c r="V80" s="833">
        <f>'Data-Kolom'!J81</f>
        <v>0</v>
      </c>
      <c r="W80" s="832">
        <f>'Data-Kolom'!K81</f>
        <v>0</v>
      </c>
      <c r="X80" s="831">
        <f t="shared" si="111"/>
        <v>0</v>
      </c>
      <c r="Y80" s="831">
        <f t="shared" si="112"/>
        <v>0</v>
      </c>
      <c r="Z80" s="831">
        <f t="shared" si="113"/>
        <v>4500</v>
      </c>
      <c r="AA80" s="831"/>
      <c r="AB80" s="831">
        <f t="shared" si="114"/>
        <v>4500</v>
      </c>
      <c r="AC80" s="831">
        <f t="shared" si="115"/>
        <v>0</v>
      </c>
      <c r="AD80" s="847">
        <f>'Data-Kolom'!L81</f>
        <v>10</v>
      </c>
      <c r="AE80" s="846">
        <f>'Data-Kolom'!M81</f>
        <v>100</v>
      </c>
      <c r="AF80" s="846">
        <f>'Data-Kolom'!N81</f>
        <v>100</v>
      </c>
      <c r="AG80" s="846">
        <f>'Data-Kolom'!O81</f>
        <v>100</v>
      </c>
      <c r="AH80" s="846">
        <f>'Data-Kolom'!P81</f>
        <v>1</v>
      </c>
      <c r="AI80" s="846">
        <f>'Data-Kolom'!Q81</f>
        <v>10</v>
      </c>
      <c r="AJ80" s="846">
        <f>'Data-Kolom'!R81</f>
        <v>0</v>
      </c>
      <c r="AK80" s="853">
        <f>'Data-Kolom'!S81</f>
        <v>0</v>
      </c>
      <c r="AL80" s="827">
        <f t="shared" si="116"/>
        <v>1330</v>
      </c>
      <c r="AM80" s="826">
        <f t="shared" si="117"/>
        <v>280</v>
      </c>
      <c r="AN80" s="826">
        <f t="shared" si="118"/>
        <v>47</v>
      </c>
      <c r="AO80" s="845">
        <f t="shared" si="119"/>
        <v>0.38250000000000001</v>
      </c>
      <c r="AP80" s="822">
        <f t="shared" si="120"/>
        <v>69.568819199999993</v>
      </c>
      <c r="AQ80" s="824">
        <f t="shared" si="121"/>
        <v>0</v>
      </c>
      <c r="AR80" s="824">
        <f t="shared" si="122"/>
        <v>38.53741500000001</v>
      </c>
      <c r="AS80" s="824">
        <f t="shared" si="123"/>
        <v>8.1131400000000014</v>
      </c>
      <c r="AT80" s="823">
        <f t="shared" si="124"/>
        <v>6.03</v>
      </c>
      <c r="AU80" s="844">
        <f t="shared" si="125"/>
        <v>303.84150117647062</v>
      </c>
      <c r="AV80" s="844">
        <f t="shared" si="126"/>
        <v>15.764705882352942</v>
      </c>
      <c r="AX80" s="822">
        <f t="shared" si="127"/>
        <v>69.568819199999993</v>
      </c>
      <c r="AY80" s="843"/>
      <c r="AZ80" s="852">
        <f t="shared" si="128"/>
        <v>0</v>
      </c>
      <c r="BA80" s="851">
        <f t="shared" si="129"/>
        <v>0</v>
      </c>
    </row>
    <row r="81" spans="1:53" s="2053" customFormat="1" ht="13.9" customHeight="1">
      <c r="A81" s="2033">
        <f>'Data-Kolom'!A82</f>
        <v>18</v>
      </c>
      <c r="B81" s="2033" t="str">
        <f>'Data-Kolom'!B82</f>
        <v>Lantai 2</v>
      </c>
      <c r="C81" s="2033">
        <f>'Data-Kolom'!C82</f>
        <v>0</v>
      </c>
      <c r="D81" s="2034" t="str">
        <f>'Data-Kolom'!D82</f>
        <v>KL55</v>
      </c>
      <c r="E81" s="2035" t="s">
        <v>325</v>
      </c>
      <c r="F81" s="2036">
        <f>'Data-Kolom'!U82</f>
        <v>0</v>
      </c>
      <c r="G81" s="2037">
        <f>'Data-Kolom'!T82</f>
        <v>0</v>
      </c>
      <c r="H81" s="2035">
        <f>'Data-Kolom'!E82</f>
        <v>170</v>
      </c>
      <c r="I81" s="2035">
        <f>'Data-Kolom'!F82</f>
        <v>500</v>
      </c>
      <c r="J81" s="2035">
        <f>'Data-Kolom'!G82</f>
        <v>4500</v>
      </c>
      <c r="K81" s="2038">
        <v>2</v>
      </c>
      <c r="L81" s="2038"/>
      <c r="M81" s="2038">
        <f>IF(L81&gt;0,VLOOKUP(L81,'Data-PC'!$B$14:$F$56,4,FALSE),0)</f>
        <v>0</v>
      </c>
      <c r="N81" s="2039">
        <f>'Data-Kolom'!H82</f>
        <v>6</v>
      </c>
      <c r="O81" s="2035">
        <f>'Data-Kolom'!I82</f>
        <v>16</v>
      </c>
      <c r="P81" s="2040">
        <f t="shared" si="106"/>
        <v>1010</v>
      </c>
      <c r="Q81" s="2038">
        <f t="shared" si="107"/>
        <v>770</v>
      </c>
      <c r="R81" s="2038">
        <f t="shared" si="108"/>
        <v>5510</v>
      </c>
      <c r="S81" s="2038"/>
      <c r="T81" s="2041">
        <f t="shared" si="109"/>
        <v>5510</v>
      </c>
      <c r="U81" s="2042">
        <f t="shared" si="110"/>
        <v>12</v>
      </c>
      <c r="V81" s="2043">
        <f>'Data-Kolom'!J82</f>
        <v>0</v>
      </c>
      <c r="W81" s="2035">
        <f>'Data-Kolom'!K82</f>
        <v>0</v>
      </c>
      <c r="X81" s="2038">
        <f t="shared" si="111"/>
        <v>0</v>
      </c>
      <c r="Y81" s="2038">
        <f t="shared" si="112"/>
        <v>0</v>
      </c>
      <c r="Z81" s="2038">
        <f t="shared" si="113"/>
        <v>4500</v>
      </c>
      <c r="AA81" s="2038"/>
      <c r="AB81" s="2038">
        <f t="shared" si="114"/>
        <v>4500</v>
      </c>
      <c r="AC81" s="2038">
        <f t="shared" si="115"/>
        <v>0</v>
      </c>
      <c r="AD81" s="2039">
        <f>'Data-Kolom'!L82</f>
        <v>10</v>
      </c>
      <c r="AE81" s="2044">
        <f>'Data-Kolom'!M82</f>
        <v>100</v>
      </c>
      <c r="AF81" s="2044">
        <f>'Data-Kolom'!N82</f>
        <v>100</v>
      </c>
      <c r="AG81" s="2044">
        <f>'Data-Kolom'!O82</f>
        <v>100</v>
      </c>
      <c r="AH81" s="2044">
        <f>'Data-Kolom'!P82</f>
        <v>0</v>
      </c>
      <c r="AI81" s="2044">
        <f>'Data-Kolom'!Q82</f>
        <v>0</v>
      </c>
      <c r="AJ81" s="2044">
        <f>'Data-Kolom'!R82</f>
        <v>0</v>
      </c>
      <c r="AK81" s="2045">
        <f>'Data-Kolom'!S82</f>
        <v>0</v>
      </c>
      <c r="AL81" s="2046">
        <f t="shared" si="116"/>
        <v>1330</v>
      </c>
      <c r="AM81" s="2047">
        <f t="shared" si="117"/>
        <v>0</v>
      </c>
      <c r="AN81" s="2047">
        <f t="shared" si="118"/>
        <v>94</v>
      </c>
      <c r="AO81" s="2048">
        <f t="shared" si="119"/>
        <v>0.76500000000000001</v>
      </c>
      <c r="AP81" s="2049">
        <f t="shared" si="120"/>
        <v>104.3532288</v>
      </c>
      <c r="AQ81" s="2050">
        <f t="shared" si="121"/>
        <v>0</v>
      </c>
      <c r="AR81" s="2050">
        <f t="shared" si="122"/>
        <v>77.07483000000002</v>
      </c>
      <c r="AS81" s="2050">
        <f t="shared" si="123"/>
        <v>0</v>
      </c>
      <c r="AT81" s="2051">
        <f t="shared" si="124"/>
        <v>12.06</v>
      </c>
      <c r="AU81" s="2052">
        <f t="shared" si="125"/>
        <v>237.16086117647063</v>
      </c>
      <c r="AV81" s="2052">
        <f t="shared" si="126"/>
        <v>15.764705882352942</v>
      </c>
      <c r="AX81" s="2049">
        <f t="shared" si="127"/>
        <v>104.3532288</v>
      </c>
      <c r="AY81" s="2054"/>
      <c r="AZ81" s="2055">
        <f t="shared" si="128"/>
        <v>0</v>
      </c>
      <c r="BA81" s="2056">
        <f t="shared" si="129"/>
        <v>0</v>
      </c>
    </row>
    <row r="82" spans="1:53" s="2053" customFormat="1" ht="13.9" customHeight="1">
      <c r="A82" s="2033">
        <f>'Data-Kolom'!A83</f>
        <v>19</v>
      </c>
      <c r="B82" s="2033" t="str">
        <f>'Data-Kolom'!B83</f>
        <v>Lantai 2</v>
      </c>
      <c r="C82" s="2033">
        <f>'Data-Kolom'!C83</f>
        <v>0</v>
      </c>
      <c r="D82" s="2034" t="str">
        <f>'Data-Kolom'!D83</f>
        <v>KL55</v>
      </c>
      <c r="E82" s="2035" t="s">
        <v>325</v>
      </c>
      <c r="F82" s="2036">
        <f>'Data-Kolom'!U83</f>
        <v>0</v>
      </c>
      <c r="G82" s="2037">
        <f>'Data-Kolom'!T83</f>
        <v>0</v>
      </c>
      <c r="H82" s="2035">
        <f>'Data-Kolom'!E83</f>
        <v>170</v>
      </c>
      <c r="I82" s="2035">
        <f>'Data-Kolom'!F83</f>
        <v>500</v>
      </c>
      <c r="J82" s="2035">
        <f>'Data-Kolom'!G83</f>
        <v>4500</v>
      </c>
      <c r="K82" s="2038">
        <v>2</v>
      </c>
      <c r="L82" s="2038"/>
      <c r="M82" s="2038">
        <f>IF(L82&gt;0,VLOOKUP(L82,'Data-PC'!$B$14:$F$56,4,FALSE),0)</f>
        <v>0</v>
      </c>
      <c r="N82" s="2039">
        <f>'Data-Kolom'!H83</f>
        <v>6</v>
      </c>
      <c r="O82" s="2035">
        <f>'Data-Kolom'!I83</f>
        <v>16</v>
      </c>
      <c r="P82" s="2040">
        <f t="shared" si="106"/>
        <v>1010</v>
      </c>
      <c r="Q82" s="2038">
        <f t="shared" si="107"/>
        <v>770</v>
      </c>
      <c r="R82" s="2038">
        <f t="shared" si="108"/>
        <v>5510</v>
      </c>
      <c r="S82" s="2038"/>
      <c r="T82" s="2041">
        <f t="shared" si="109"/>
        <v>5510</v>
      </c>
      <c r="U82" s="2042">
        <f t="shared" si="110"/>
        <v>12</v>
      </c>
      <c r="V82" s="2043">
        <f>'Data-Kolom'!J83</f>
        <v>0</v>
      </c>
      <c r="W82" s="2035">
        <f>'Data-Kolom'!K83</f>
        <v>0</v>
      </c>
      <c r="X82" s="2038">
        <f t="shared" si="111"/>
        <v>0</v>
      </c>
      <c r="Y82" s="2038">
        <f t="shared" si="112"/>
        <v>0</v>
      </c>
      <c r="Z82" s="2038">
        <f t="shared" si="113"/>
        <v>4500</v>
      </c>
      <c r="AA82" s="2038"/>
      <c r="AB82" s="2038">
        <f t="shared" si="114"/>
        <v>4500</v>
      </c>
      <c r="AC82" s="2038">
        <f t="shared" si="115"/>
        <v>0</v>
      </c>
      <c r="AD82" s="2039">
        <f>'Data-Kolom'!L83</f>
        <v>10</v>
      </c>
      <c r="AE82" s="2044">
        <f>'Data-Kolom'!M83</f>
        <v>100</v>
      </c>
      <c r="AF82" s="2044">
        <f>'Data-Kolom'!N83</f>
        <v>100</v>
      </c>
      <c r="AG82" s="2044">
        <f>'Data-Kolom'!O83</f>
        <v>100</v>
      </c>
      <c r="AH82" s="2044">
        <f>'Data-Kolom'!P83</f>
        <v>0</v>
      </c>
      <c r="AI82" s="2044">
        <f>'Data-Kolom'!Q83</f>
        <v>0</v>
      </c>
      <c r="AJ82" s="2044">
        <f>'Data-Kolom'!R83</f>
        <v>0</v>
      </c>
      <c r="AK82" s="2045">
        <f>'Data-Kolom'!S83</f>
        <v>0</v>
      </c>
      <c r="AL82" s="2046">
        <f t="shared" si="116"/>
        <v>1330</v>
      </c>
      <c r="AM82" s="2047">
        <f t="shared" si="117"/>
        <v>0</v>
      </c>
      <c r="AN82" s="2047">
        <f t="shared" si="118"/>
        <v>94</v>
      </c>
      <c r="AO82" s="2048">
        <f t="shared" si="119"/>
        <v>0.76500000000000001</v>
      </c>
      <c r="AP82" s="2049">
        <f t="shared" si="120"/>
        <v>104.3532288</v>
      </c>
      <c r="AQ82" s="2050">
        <f t="shared" si="121"/>
        <v>0</v>
      </c>
      <c r="AR82" s="2050">
        <f t="shared" si="122"/>
        <v>77.07483000000002</v>
      </c>
      <c r="AS82" s="2050">
        <f t="shared" si="123"/>
        <v>0</v>
      </c>
      <c r="AT82" s="2051">
        <f t="shared" si="124"/>
        <v>12.06</v>
      </c>
      <c r="AU82" s="2052">
        <f t="shared" si="125"/>
        <v>237.16086117647063</v>
      </c>
      <c r="AV82" s="2052">
        <f t="shared" si="126"/>
        <v>15.764705882352942</v>
      </c>
      <c r="AX82" s="2049">
        <f t="shared" si="127"/>
        <v>104.3532288</v>
      </c>
      <c r="AY82" s="2054"/>
      <c r="AZ82" s="2055">
        <f t="shared" si="128"/>
        <v>0</v>
      </c>
      <c r="BA82" s="2056">
        <f t="shared" si="129"/>
        <v>0</v>
      </c>
    </row>
    <row r="83" spans="1:53" ht="13.9" customHeight="1">
      <c r="A83" s="842">
        <f>'Data-Kolom'!A84</f>
        <v>20</v>
      </c>
      <c r="B83" s="842" t="str">
        <f>'Data-Kolom'!B84</f>
        <v>Lantai 2</v>
      </c>
      <c r="C83" s="842">
        <f>'Data-Kolom'!C84</f>
        <v>0</v>
      </c>
      <c r="D83" s="841" t="str">
        <f>'Data-Kolom'!D84</f>
        <v>K5</v>
      </c>
      <c r="E83" s="832" t="s">
        <v>325</v>
      </c>
      <c r="F83" s="840">
        <f>'Data-Kolom'!U84</f>
        <v>0</v>
      </c>
      <c r="G83" s="839">
        <f>'Data-Kolom'!T84</f>
        <v>0</v>
      </c>
      <c r="H83" s="832">
        <f>'Data-Kolom'!E84</f>
        <v>170</v>
      </c>
      <c r="I83" s="832">
        <f>'Data-Kolom'!F84</f>
        <v>500</v>
      </c>
      <c r="J83" s="832">
        <f>'Data-Kolom'!G84</f>
        <v>4500</v>
      </c>
      <c r="K83" s="831">
        <v>1</v>
      </c>
      <c r="L83" s="831"/>
      <c r="M83" s="831">
        <f>IF(L83&gt;0,VLOOKUP(L83,'Data-PC'!$B$14:$F$56,4,FALSE),0)</f>
        <v>0</v>
      </c>
      <c r="N83" s="847">
        <f>'Data-Kolom'!H84</f>
        <v>8</v>
      </c>
      <c r="O83" s="832">
        <f>'Data-Kolom'!I84</f>
        <v>16</v>
      </c>
      <c r="P83" s="850">
        <f t="shared" si="106"/>
        <v>1010</v>
      </c>
      <c r="Q83" s="831">
        <f t="shared" si="107"/>
        <v>770</v>
      </c>
      <c r="R83" s="831">
        <f t="shared" si="108"/>
        <v>5510</v>
      </c>
      <c r="S83" s="831"/>
      <c r="T83" s="849">
        <f t="shared" si="109"/>
        <v>5510</v>
      </c>
      <c r="U83" s="848">
        <f t="shared" si="110"/>
        <v>8</v>
      </c>
      <c r="V83" s="833">
        <f>'Data-Kolom'!J84</f>
        <v>0</v>
      </c>
      <c r="W83" s="832">
        <f>'Data-Kolom'!K84</f>
        <v>0</v>
      </c>
      <c r="X83" s="831">
        <f t="shared" si="111"/>
        <v>0</v>
      </c>
      <c r="Y83" s="831">
        <f t="shared" si="112"/>
        <v>0</v>
      </c>
      <c r="Z83" s="831">
        <f t="shared" si="113"/>
        <v>4500</v>
      </c>
      <c r="AA83" s="831"/>
      <c r="AB83" s="831">
        <f t="shared" si="114"/>
        <v>4500</v>
      </c>
      <c r="AC83" s="831">
        <f t="shared" si="115"/>
        <v>0</v>
      </c>
      <c r="AD83" s="847">
        <f>'Data-Kolom'!L84</f>
        <v>10</v>
      </c>
      <c r="AE83" s="846">
        <f>'Data-Kolom'!M84</f>
        <v>100</v>
      </c>
      <c r="AF83" s="846">
        <f>'Data-Kolom'!N84</f>
        <v>100</v>
      </c>
      <c r="AG83" s="846">
        <f>'Data-Kolom'!O84</f>
        <v>100</v>
      </c>
      <c r="AH83" s="846">
        <f>'Data-Kolom'!P84</f>
        <v>1</v>
      </c>
      <c r="AI83" s="846">
        <f>'Data-Kolom'!Q84</f>
        <v>10</v>
      </c>
      <c r="AJ83" s="846">
        <f>'Data-Kolom'!R84</f>
        <v>0</v>
      </c>
      <c r="AK83" s="853">
        <f>'Data-Kolom'!S84</f>
        <v>0</v>
      </c>
      <c r="AL83" s="827">
        <f t="shared" si="116"/>
        <v>1330</v>
      </c>
      <c r="AM83" s="826">
        <f t="shared" si="117"/>
        <v>280</v>
      </c>
      <c r="AN83" s="826">
        <f t="shared" si="118"/>
        <v>47</v>
      </c>
      <c r="AO83" s="845">
        <f t="shared" si="119"/>
        <v>0.38250000000000001</v>
      </c>
      <c r="AP83" s="822">
        <f t="shared" si="120"/>
        <v>69.568819199999993</v>
      </c>
      <c r="AQ83" s="824">
        <f t="shared" si="121"/>
        <v>0</v>
      </c>
      <c r="AR83" s="824">
        <f t="shared" si="122"/>
        <v>38.53741500000001</v>
      </c>
      <c r="AS83" s="824">
        <f t="shared" si="123"/>
        <v>8.1131400000000014</v>
      </c>
      <c r="AT83" s="823">
        <f t="shared" si="124"/>
        <v>6.03</v>
      </c>
      <c r="AU83" s="844">
        <f t="shared" si="125"/>
        <v>303.84150117647062</v>
      </c>
      <c r="AV83" s="844">
        <f t="shared" si="126"/>
        <v>15.764705882352942</v>
      </c>
      <c r="AX83" s="822">
        <f t="shared" si="127"/>
        <v>69.568819199999993</v>
      </c>
      <c r="AY83" s="843"/>
      <c r="AZ83" s="852">
        <f t="shared" si="128"/>
        <v>0</v>
      </c>
      <c r="BA83" s="851">
        <f t="shared" si="129"/>
        <v>0</v>
      </c>
    </row>
    <row r="84" spans="1:53" s="2053" customFormat="1" ht="13.9" customHeight="1">
      <c r="A84" s="2033">
        <f>'Data-Kolom'!A85</f>
        <v>21</v>
      </c>
      <c r="B84" s="2033" t="str">
        <f>'Data-Kolom'!B85</f>
        <v>Lantai 2</v>
      </c>
      <c r="C84" s="2033">
        <f>'Data-Kolom'!C85</f>
        <v>0</v>
      </c>
      <c r="D84" s="2034" t="str">
        <f>'Data-Kolom'!D85</f>
        <v>KL55</v>
      </c>
      <c r="E84" s="2035" t="s">
        <v>325</v>
      </c>
      <c r="F84" s="2036">
        <f>'Data-Kolom'!U85</f>
        <v>0</v>
      </c>
      <c r="G84" s="2037">
        <f>'Data-Kolom'!T85</f>
        <v>0</v>
      </c>
      <c r="H84" s="2035">
        <f>'Data-Kolom'!E85</f>
        <v>170</v>
      </c>
      <c r="I84" s="2035">
        <f>'Data-Kolom'!F85</f>
        <v>500</v>
      </c>
      <c r="J84" s="2035">
        <f>'Data-Kolom'!G85</f>
        <v>4500</v>
      </c>
      <c r="K84" s="2038">
        <v>2</v>
      </c>
      <c r="L84" s="2038"/>
      <c r="M84" s="2038">
        <f>IF(L84&gt;0,VLOOKUP(L84,'Data-PC'!$B$14:$F$56,4,FALSE),0)</f>
        <v>0</v>
      </c>
      <c r="N84" s="2039">
        <f>'Data-Kolom'!H85</f>
        <v>6</v>
      </c>
      <c r="O84" s="2035">
        <f>'Data-Kolom'!I85</f>
        <v>16</v>
      </c>
      <c r="P84" s="2040">
        <f t="shared" si="106"/>
        <v>1010</v>
      </c>
      <c r="Q84" s="2038">
        <f t="shared" si="107"/>
        <v>770</v>
      </c>
      <c r="R84" s="2038">
        <f t="shared" si="108"/>
        <v>5510</v>
      </c>
      <c r="S84" s="2038"/>
      <c r="T84" s="2041">
        <f t="shared" si="109"/>
        <v>5510</v>
      </c>
      <c r="U84" s="2042">
        <f t="shared" si="110"/>
        <v>12</v>
      </c>
      <c r="V84" s="2043">
        <f>'Data-Kolom'!J85</f>
        <v>0</v>
      </c>
      <c r="W84" s="2035">
        <f>'Data-Kolom'!K85</f>
        <v>0</v>
      </c>
      <c r="X84" s="2038">
        <f t="shared" si="111"/>
        <v>0</v>
      </c>
      <c r="Y84" s="2038">
        <f t="shared" si="112"/>
        <v>0</v>
      </c>
      <c r="Z84" s="2038">
        <f t="shared" si="113"/>
        <v>4500</v>
      </c>
      <c r="AA84" s="2038"/>
      <c r="AB84" s="2038">
        <f t="shared" si="114"/>
        <v>4500</v>
      </c>
      <c r="AC84" s="2038">
        <f t="shared" si="115"/>
        <v>0</v>
      </c>
      <c r="AD84" s="2039">
        <f>'Data-Kolom'!L85</f>
        <v>10</v>
      </c>
      <c r="AE84" s="2044">
        <f>'Data-Kolom'!M85</f>
        <v>100</v>
      </c>
      <c r="AF84" s="2044">
        <f>'Data-Kolom'!N85</f>
        <v>100</v>
      </c>
      <c r="AG84" s="2044">
        <f>'Data-Kolom'!O85</f>
        <v>100</v>
      </c>
      <c r="AH84" s="2044">
        <f>'Data-Kolom'!P85</f>
        <v>0</v>
      </c>
      <c r="AI84" s="2044">
        <f>'Data-Kolom'!Q85</f>
        <v>0</v>
      </c>
      <c r="AJ84" s="2044">
        <f>'Data-Kolom'!R85</f>
        <v>0</v>
      </c>
      <c r="AK84" s="2045">
        <f>'Data-Kolom'!S85</f>
        <v>0</v>
      </c>
      <c r="AL84" s="2046">
        <f t="shared" si="116"/>
        <v>1330</v>
      </c>
      <c r="AM84" s="2047">
        <f t="shared" si="117"/>
        <v>0</v>
      </c>
      <c r="AN84" s="2047">
        <f t="shared" si="118"/>
        <v>94</v>
      </c>
      <c r="AO84" s="2048">
        <f t="shared" si="119"/>
        <v>0.76500000000000001</v>
      </c>
      <c r="AP84" s="2049">
        <f t="shared" si="120"/>
        <v>104.3532288</v>
      </c>
      <c r="AQ84" s="2050">
        <f t="shared" si="121"/>
        <v>0</v>
      </c>
      <c r="AR84" s="2050">
        <f t="shared" si="122"/>
        <v>77.07483000000002</v>
      </c>
      <c r="AS84" s="2050">
        <f t="shared" si="123"/>
        <v>0</v>
      </c>
      <c r="AT84" s="2051">
        <f t="shared" si="124"/>
        <v>12.06</v>
      </c>
      <c r="AU84" s="2052">
        <f t="shared" si="125"/>
        <v>237.16086117647063</v>
      </c>
      <c r="AV84" s="2052">
        <f t="shared" si="126"/>
        <v>15.764705882352942</v>
      </c>
      <c r="AX84" s="2049">
        <f t="shared" si="127"/>
        <v>104.3532288</v>
      </c>
      <c r="AY84" s="2054"/>
      <c r="AZ84" s="2055">
        <f t="shared" si="128"/>
        <v>0</v>
      </c>
      <c r="BA84" s="2056">
        <f t="shared" si="129"/>
        <v>0</v>
      </c>
    </row>
    <row r="85" spans="1:53" s="2053" customFormat="1" ht="13.9" customHeight="1">
      <c r="A85" s="2033">
        <f>'Data-Kolom'!A86</f>
        <v>22</v>
      </c>
      <c r="B85" s="2033" t="str">
        <f>'Data-Kolom'!B86</f>
        <v>Lantai 2</v>
      </c>
      <c r="C85" s="2033">
        <f>'Data-Kolom'!C86</f>
        <v>0</v>
      </c>
      <c r="D85" s="2034" t="str">
        <f>'Data-Kolom'!D86</f>
        <v>KL55</v>
      </c>
      <c r="E85" s="2035" t="s">
        <v>325</v>
      </c>
      <c r="F85" s="2036">
        <f>'Data-Kolom'!U86</f>
        <v>0</v>
      </c>
      <c r="G85" s="2037">
        <f>'Data-Kolom'!T86</f>
        <v>0</v>
      </c>
      <c r="H85" s="2035">
        <f>'Data-Kolom'!E86</f>
        <v>170</v>
      </c>
      <c r="I85" s="2035">
        <f>'Data-Kolom'!F86</f>
        <v>500</v>
      </c>
      <c r="J85" s="2035">
        <f>'Data-Kolom'!G86</f>
        <v>4500</v>
      </c>
      <c r="K85" s="2038">
        <v>2</v>
      </c>
      <c r="L85" s="2038"/>
      <c r="M85" s="2038">
        <f>IF(L85&gt;0,VLOOKUP(L85,'Data-PC'!$B$14:$F$56,4,FALSE),0)</f>
        <v>0</v>
      </c>
      <c r="N85" s="2039">
        <f>'Data-Kolom'!H86</f>
        <v>6</v>
      </c>
      <c r="O85" s="2035">
        <f>'Data-Kolom'!I86</f>
        <v>16</v>
      </c>
      <c r="P85" s="2040">
        <f t="shared" si="106"/>
        <v>1010</v>
      </c>
      <c r="Q85" s="2038">
        <f t="shared" si="107"/>
        <v>770</v>
      </c>
      <c r="R85" s="2038">
        <f t="shared" si="108"/>
        <v>5510</v>
      </c>
      <c r="S85" s="2038"/>
      <c r="T85" s="2041">
        <f t="shared" si="109"/>
        <v>5510</v>
      </c>
      <c r="U85" s="2042">
        <f t="shared" si="110"/>
        <v>12</v>
      </c>
      <c r="V85" s="2043">
        <f>'Data-Kolom'!J86</f>
        <v>0</v>
      </c>
      <c r="W85" s="2035">
        <f>'Data-Kolom'!K86</f>
        <v>0</v>
      </c>
      <c r="X85" s="2038">
        <f t="shared" si="111"/>
        <v>0</v>
      </c>
      <c r="Y85" s="2038">
        <f t="shared" si="112"/>
        <v>0</v>
      </c>
      <c r="Z85" s="2038">
        <f t="shared" si="113"/>
        <v>4500</v>
      </c>
      <c r="AA85" s="2038"/>
      <c r="AB85" s="2038">
        <f t="shared" si="114"/>
        <v>4500</v>
      </c>
      <c r="AC85" s="2038">
        <f t="shared" si="115"/>
        <v>0</v>
      </c>
      <c r="AD85" s="2039">
        <f>'Data-Kolom'!L86</f>
        <v>10</v>
      </c>
      <c r="AE85" s="2044">
        <f>'Data-Kolom'!M86</f>
        <v>100</v>
      </c>
      <c r="AF85" s="2044">
        <f>'Data-Kolom'!N86</f>
        <v>100</v>
      </c>
      <c r="AG85" s="2044">
        <f>'Data-Kolom'!O86</f>
        <v>100</v>
      </c>
      <c r="AH85" s="2044">
        <f>'Data-Kolom'!P86</f>
        <v>0</v>
      </c>
      <c r="AI85" s="2044">
        <f>'Data-Kolom'!Q86</f>
        <v>0</v>
      </c>
      <c r="AJ85" s="2044">
        <f>'Data-Kolom'!R86</f>
        <v>0</v>
      </c>
      <c r="AK85" s="2045">
        <f>'Data-Kolom'!S86</f>
        <v>0</v>
      </c>
      <c r="AL85" s="2046">
        <f t="shared" si="116"/>
        <v>1330</v>
      </c>
      <c r="AM85" s="2047">
        <f t="shared" si="117"/>
        <v>0</v>
      </c>
      <c r="AN85" s="2047">
        <f t="shared" si="118"/>
        <v>94</v>
      </c>
      <c r="AO85" s="2048">
        <f t="shared" si="119"/>
        <v>0.76500000000000001</v>
      </c>
      <c r="AP85" s="2049">
        <f t="shared" si="120"/>
        <v>104.3532288</v>
      </c>
      <c r="AQ85" s="2050">
        <f t="shared" si="121"/>
        <v>0</v>
      </c>
      <c r="AR85" s="2050">
        <f t="shared" si="122"/>
        <v>77.07483000000002</v>
      </c>
      <c r="AS85" s="2050">
        <f t="shared" si="123"/>
        <v>0</v>
      </c>
      <c r="AT85" s="2051">
        <f t="shared" si="124"/>
        <v>12.06</v>
      </c>
      <c r="AU85" s="2052">
        <f t="shared" si="125"/>
        <v>237.16086117647063</v>
      </c>
      <c r="AV85" s="2052">
        <f t="shared" si="126"/>
        <v>15.764705882352942</v>
      </c>
      <c r="AX85" s="2049">
        <f t="shared" si="127"/>
        <v>104.3532288</v>
      </c>
      <c r="AY85" s="2054"/>
      <c r="AZ85" s="2055">
        <f t="shared" si="128"/>
        <v>0</v>
      </c>
      <c r="BA85" s="2056">
        <f t="shared" si="129"/>
        <v>0</v>
      </c>
    </row>
    <row r="86" spans="1:53" s="2053" customFormat="1" ht="13.9" customHeight="1">
      <c r="A86" s="2033">
        <f>'Data-Kolom'!A87</f>
        <v>23</v>
      </c>
      <c r="B86" s="2033" t="str">
        <f>'Data-Kolom'!B87</f>
        <v>Lantai 2</v>
      </c>
      <c r="C86" s="2033">
        <f>'Data-Kolom'!C87</f>
        <v>0</v>
      </c>
      <c r="D86" s="2034" t="str">
        <f>'Data-Kolom'!D87</f>
        <v>KL55</v>
      </c>
      <c r="E86" s="2035" t="s">
        <v>325</v>
      </c>
      <c r="F86" s="2036">
        <f>'Data-Kolom'!U87</f>
        <v>0</v>
      </c>
      <c r="G86" s="2037">
        <f>'Data-Kolom'!T87</f>
        <v>0</v>
      </c>
      <c r="H86" s="2035">
        <f>'Data-Kolom'!E87</f>
        <v>170</v>
      </c>
      <c r="I86" s="2035">
        <f>'Data-Kolom'!F87</f>
        <v>500</v>
      </c>
      <c r="J86" s="2035">
        <f>'Data-Kolom'!G87</f>
        <v>4500</v>
      </c>
      <c r="K86" s="2038">
        <v>2</v>
      </c>
      <c r="L86" s="2038"/>
      <c r="M86" s="2038">
        <f>IF(L86&gt;0,VLOOKUP(L86,'Data-PC'!$B$14:$F$56,4,FALSE),0)</f>
        <v>0</v>
      </c>
      <c r="N86" s="2039">
        <f>'Data-Kolom'!H87</f>
        <v>6</v>
      </c>
      <c r="O86" s="2035">
        <f>'Data-Kolom'!I87</f>
        <v>16</v>
      </c>
      <c r="P86" s="2040">
        <f t="shared" si="106"/>
        <v>1010</v>
      </c>
      <c r="Q86" s="2038">
        <f t="shared" si="107"/>
        <v>770</v>
      </c>
      <c r="R86" s="2038">
        <f t="shared" si="108"/>
        <v>5510</v>
      </c>
      <c r="S86" s="2038"/>
      <c r="T86" s="2041">
        <f t="shared" si="109"/>
        <v>5510</v>
      </c>
      <c r="U86" s="2042">
        <f t="shared" si="110"/>
        <v>12</v>
      </c>
      <c r="V86" s="2043">
        <f>'Data-Kolom'!J87</f>
        <v>0</v>
      </c>
      <c r="W86" s="2035">
        <f>'Data-Kolom'!K87</f>
        <v>0</v>
      </c>
      <c r="X86" s="2038">
        <f t="shared" si="111"/>
        <v>0</v>
      </c>
      <c r="Y86" s="2038">
        <f t="shared" si="112"/>
        <v>0</v>
      </c>
      <c r="Z86" s="2038">
        <f t="shared" si="113"/>
        <v>4500</v>
      </c>
      <c r="AA86" s="2038"/>
      <c r="AB86" s="2038">
        <f t="shared" si="114"/>
        <v>4500</v>
      </c>
      <c r="AC86" s="2038">
        <f t="shared" si="115"/>
        <v>0</v>
      </c>
      <c r="AD86" s="2039">
        <f>'Data-Kolom'!L87</f>
        <v>10</v>
      </c>
      <c r="AE86" s="2044">
        <f>'Data-Kolom'!M87</f>
        <v>100</v>
      </c>
      <c r="AF86" s="2044">
        <f>'Data-Kolom'!N87</f>
        <v>100</v>
      </c>
      <c r="AG86" s="2044">
        <f>'Data-Kolom'!O87</f>
        <v>100</v>
      </c>
      <c r="AH86" s="2044">
        <f>'Data-Kolom'!P87</f>
        <v>0</v>
      </c>
      <c r="AI86" s="2044">
        <f>'Data-Kolom'!Q87</f>
        <v>0</v>
      </c>
      <c r="AJ86" s="2044">
        <f>'Data-Kolom'!R87</f>
        <v>0</v>
      </c>
      <c r="AK86" s="2045">
        <f>'Data-Kolom'!S87</f>
        <v>0</v>
      </c>
      <c r="AL86" s="2046">
        <f t="shared" si="116"/>
        <v>1330</v>
      </c>
      <c r="AM86" s="2047">
        <f t="shared" si="117"/>
        <v>0</v>
      </c>
      <c r="AN86" s="2047">
        <f t="shared" si="118"/>
        <v>94</v>
      </c>
      <c r="AO86" s="2048">
        <f t="shared" si="119"/>
        <v>0.76500000000000001</v>
      </c>
      <c r="AP86" s="2049">
        <f t="shared" si="120"/>
        <v>104.3532288</v>
      </c>
      <c r="AQ86" s="2050">
        <f t="shared" si="121"/>
        <v>0</v>
      </c>
      <c r="AR86" s="2050">
        <f t="shared" si="122"/>
        <v>77.07483000000002</v>
      </c>
      <c r="AS86" s="2050">
        <f t="shared" si="123"/>
        <v>0</v>
      </c>
      <c r="AT86" s="2051">
        <f t="shared" si="124"/>
        <v>12.06</v>
      </c>
      <c r="AU86" s="2052">
        <f t="shared" si="125"/>
        <v>237.16086117647063</v>
      </c>
      <c r="AV86" s="2052">
        <f t="shared" si="126"/>
        <v>15.764705882352942</v>
      </c>
      <c r="AX86" s="2049">
        <f t="shared" si="127"/>
        <v>104.3532288</v>
      </c>
      <c r="AY86" s="2054"/>
      <c r="AZ86" s="2055">
        <f t="shared" si="128"/>
        <v>0</v>
      </c>
      <c r="BA86" s="2056">
        <f t="shared" si="129"/>
        <v>0</v>
      </c>
    </row>
    <row r="87" spans="1:53" ht="13.9" customHeight="1">
      <c r="A87" s="842">
        <f>'Data-Kolom'!A88</f>
        <v>25</v>
      </c>
      <c r="B87" s="842" t="str">
        <f>'Data-Kolom'!B88</f>
        <v>Lantai 2</v>
      </c>
      <c r="C87" s="842">
        <f>'Data-Kolom'!C88</f>
        <v>0</v>
      </c>
      <c r="D87" s="841" t="str">
        <f>'Data-Kolom'!D88</f>
        <v>K5</v>
      </c>
      <c r="E87" s="832" t="s">
        <v>325</v>
      </c>
      <c r="F87" s="840">
        <f>'Data-Kolom'!U88</f>
        <v>0</v>
      </c>
      <c r="G87" s="839">
        <f>'Data-Kolom'!T88</f>
        <v>0</v>
      </c>
      <c r="H87" s="832">
        <f>'Data-Kolom'!E88</f>
        <v>170</v>
      </c>
      <c r="I87" s="832">
        <f>'Data-Kolom'!F88</f>
        <v>500</v>
      </c>
      <c r="J87" s="832">
        <f>'Data-Kolom'!G88</f>
        <v>4500</v>
      </c>
      <c r="K87" s="831">
        <v>1</v>
      </c>
      <c r="L87" s="831"/>
      <c r="M87" s="831">
        <f>IF(L87&gt;0,VLOOKUP(L87,'Data-PC'!$B$14:$F$56,4,FALSE),0)</f>
        <v>0</v>
      </c>
      <c r="N87" s="847">
        <f>'Data-Kolom'!H88</f>
        <v>8</v>
      </c>
      <c r="O87" s="832">
        <f>'Data-Kolom'!I88</f>
        <v>16</v>
      </c>
      <c r="P87" s="850">
        <f t="shared" si="106"/>
        <v>1010</v>
      </c>
      <c r="Q87" s="831">
        <f t="shared" si="107"/>
        <v>770</v>
      </c>
      <c r="R87" s="831">
        <f t="shared" si="108"/>
        <v>5510</v>
      </c>
      <c r="S87" s="831"/>
      <c r="T87" s="849">
        <f t="shared" si="109"/>
        <v>5510</v>
      </c>
      <c r="U87" s="848">
        <f t="shared" si="110"/>
        <v>8</v>
      </c>
      <c r="V87" s="833">
        <f>'Data-Kolom'!J88</f>
        <v>0</v>
      </c>
      <c r="W87" s="832">
        <f>'Data-Kolom'!K88</f>
        <v>0</v>
      </c>
      <c r="X87" s="831">
        <f t="shared" si="111"/>
        <v>0</v>
      </c>
      <c r="Y87" s="831">
        <f t="shared" si="112"/>
        <v>0</v>
      </c>
      <c r="Z87" s="831">
        <f t="shared" si="113"/>
        <v>4500</v>
      </c>
      <c r="AA87" s="831"/>
      <c r="AB87" s="831">
        <f t="shared" si="114"/>
        <v>4500</v>
      </c>
      <c r="AC87" s="831">
        <f t="shared" si="115"/>
        <v>0</v>
      </c>
      <c r="AD87" s="847">
        <f>'Data-Kolom'!L88</f>
        <v>10</v>
      </c>
      <c r="AE87" s="846">
        <f>'Data-Kolom'!M88</f>
        <v>100</v>
      </c>
      <c r="AF87" s="846">
        <f>'Data-Kolom'!N88</f>
        <v>100</v>
      </c>
      <c r="AG87" s="846">
        <f>'Data-Kolom'!O88</f>
        <v>100</v>
      </c>
      <c r="AH87" s="846">
        <f>'Data-Kolom'!P88</f>
        <v>1</v>
      </c>
      <c r="AI87" s="846">
        <f>'Data-Kolom'!Q88</f>
        <v>10</v>
      </c>
      <c r="AJ87" s="846">
        <f>'Data-Kolom'!R88</f>
        <v>0</v>
      </c>
      <c r="AK87" s="853">
        <f>'Data-Kolom'!S88</f>
        <v>0</v>
      </c>
      <c r="AL87" s="827">
        <f t="shared" si="116"/>
        <v>1330</v>
      </c>
      <c r="AM87" s="826">
        <f t="shared" si="117"/>
        <v>280</v>
      </c>
      <c r="AN87" s="826">
        <f t="shared" si="118"/>
        <v>47</v>
      </c>
      <c r="AO87" s="845">
        <f t="shared" si="119"/>
        <v>0.38250000000000001</v>
      </c>
      <c r="AP87" s="822">
        <f t="shared" si="120"/>
        <v>69.568819199999993</v>
      </c>
      <c r="AQ87" s="824">
        <f t="shared" si="121"/>
        <v>0</v>
      </c>
      <c r="AR87" s="824">
        <f t="shared" si="122"/>
        <v>38.53741500000001</v>
      </c>
      <c r="AS87" s="824">
        <f t="shared" si="123"/>
        <v>8.1131400000000014</v>
      </c>
      <c r="AT87" s="823">
        <f t="shared" si="124"/>
        <v>6.03</v>
      </c>
      <c r="AU87" s="844">
        <f t="shared" si="125"/>
        <v>303.84150117647062</v>
      </c>
      <c r="AV87" s="844">
        <f t="shared" si="126"/>
        <v>15.764705882352942</v>
      </c>
      <c r="AX87" s="822">
        <f t="shared" si="127"/>
        <v>69.568819199999993</v>
      </c>
      <c r="AY87" s="843"/>
      <c r="AZ87" s="852">
        <f t="shared" si="128"/>
        <v>0</v>
      </c>
      <c r="BA87" s="851">
        <f t="shared" si="129"/>
        <v>0</v>
      </c>
    </row>
    <row r="88" spans="1:53" ht="13.9" customHeight="1">
      <c r="A88" s="842">
        <f>'Data-Kolom'!A89</f>
        <v>26</v>
      </c>
      <c r="B88" s="842" t="str">
        <f>'Data-Kolom'!B89</f>
        <v>Lantai 2</v>
      </c>
      <c r="C88" s="842">
        <f>'Data-Kolom'!C89</f>
        <v>0</v>
      </c>
      <c r="D88" s="841" t="str">
        <f>'Data-Kolom'!D89</f>
        <v>K6</v>
      </c>
      <c r="E88" s="832" t="s">
        <v>325</v>
      </c>
      <c r="F88" s="840">
        <f>'Data-Kolom'!U89</f>
        <v>0</v>
      </c>
      <c r="G88" s="839">
        <f>'Data-Kolom'!T89</f>
        <v>0</v>
      </c>
      <c r="H88" s="832">
        <f>'Data-Kolom'!E89</f>
        <v>170</v>
      </c>
      <c r="I88" s="832">
        <f>'Data-Kolom'!F89</f>
        <v>600</v>
      </c>
      <c r="J88" s="832">
        <f>'Data-Kolom'!G89</f>
        <v>4500</v>
      </c>
      <c r="K88" s="831">
        <v>1</v>
      </c>
      <c r="L88" s="831"/>
      <c r="M88" s="831">
        <f>IF(L88&gt;0,VLOOKUP(L88,'Data-PC'!$B$14:$F$56,4,FALSE),0)</f>
        <v>0</v>
      </c>
      <c r="N88" s="847">
        <f>'Data-Kolom'!H89</f>
        <v>10</v>
      </c>
      <c r="O88" s="832">
        <f>'Data-Kolom'!I89</f>
        <v>16</v>
      </c>
      <c r="P88" s="850">
        <f t="shared" si="106"/>
        <v>1010</v>
      </c>
      <c r="Q88" s="831">
        <f t="shared" si="107"/>
        <v>770</v>
      </c>
      <c r="R88" s="831">
        <f t="shared" si="108"/>
        <v>5510</v>
      </c>
      <c r="S88" s="831"/>
      <c r="T88" s="849">
        <f t="shared" si="109"/>
        <v>5510</v>
      </c>
      <c r="U88" s="848">
        <f t="shared" si="110"/>
        <v>10</v>
      </c>
      <c r="V88" s="833">
        <f>'Data-Kolom'!J89</f>
        <v>0</v>
      </c>
      <c r="W88" s="832">
        <f>'Data-Kolom'!K89</f>
        <v>0</v>
      </c>
      <c r="X88" s="831">
        <f t="shared" si="111"/>
        <v>0</v>
      </c>
      <c r="Y88" s="831">
        <f t="shared" si="112"/>
        <v>0</v>
      </c>
      <c r="Z88" s="831">
        <f t="shared" si="113"/>
        <v>4500</v>
      </c>
      <c r="AA88" s="831"/>
      <c r="AB88" s="831">
        <f t="shared" si="114"/>
        <v>4500</v>
      </c>
      <c r="AC88" s="831">
        <f t="shared" si="115"/>
        <v>0</v>
      </c>
      <c r="AD88" s="847">
        <f>'Data-Kolom'!L89</f>
        <v>10</v>
      </c>
      <c r="AE88" s="846">
        <f>'Data-Kolom'!M89</f>
        <v>100</v>
      </c>
      <c r="AF88" s="846">
        <f>'Data-Kolom'!N89</f>
        <v>100</v>
      </c>
      <c r="AG88" s="846">
        <f>'Data-Kolom'!O89</f>
        <v>100</v>
      </c>
      <c r="AH88" s="846">
        <f>'Data-Kolom'!P89</f>
        <v>1</v>
      </c>
      <c r="AI88" s="846">
        <f>'Data-Kolom'!Q89</f>
        <v>10</v>
      </c>
      <c r="AJ88" s="846">
        <f>'Data-Kolom'!R89</f>
        <v>0</v>
      </c>
      <c r="AK88" s="853">
        <f>'Data-Kolom'!S89</f>
        <v>0</v>
      </c>
      <c r="AL88" s="827">
        <f t="shared" si="116"/>
        <v>1530</v>
      </c>
      <c r="AM88" s="826">
        <f t="shared" si="117"/>
        <v>280</v>
      </c>
      <c r="AN88" s="826">
        <f t="shared" si="118"/>
        <v>47</v>
      </c>
      <c r="AO88" s="845">
        <f t="shared" si="119"/>
        <v>0.45900000000000002</v>
      </c>
      <c r="AP88" s="822">
        <f t="shared" si="120"/>
        <v>86.961024000000009</v>
      </c>
      <c r="AQ88" s="824">
        <f t="shared" si="121"/>
        <v>0</v>
      </c>
      <c r="AR88" s="824">
        <f t="shared" si="122"/>
        <v>44.332515000000008</v>
      </c>
      <c r="AS88" s="824">
        <f t="shared" si="123"/>
        <v>8.1131400000000014</v>
      </c>
      <c r="AT88" s="823">
        <f t="shared" si="124"/>
        <v>6.93</v>
      </c>
      <c r="AU88" s="844">
        <f t="shared" si="125"/>
        <v>303.71825490196079</v>
      </c>
      <c r="AV88" s="844">
        <f t="shared" si="126"/>
        <v>15.098039215686272</v>
      </c>
      <c r="AX88" s="822">
        <f t="shared" si="127"/>
        <v>86.961024000000009</v>
      </c>
      <c r="AY88" s="843"/>
      <c r="AZ88" s="852">
        <f t="shared" si="128"/>
        <v>0</v>
      </c>
      <c r="BA88" s="851">
        <f t="shared" si="129"/>
        <v>0</v>
      </c>
    </row>
    <row r="89" spans="1:53" ht="13.9" customHeight="1">
      <c r="A89" s="842">
        <f>'Data-Kolom'!A90</f>
        <v>27</v>
      </c>
      <c r="B89" s="842" t="str">
        <f>'Data-Kolom'!B90</f>
        <v>Lantai 2</v>
      </c>
      <c r="C89" s="842">
        <f>'Data-Kolom'!C90</f>
        <v>0</v>
      </c>
      <c r="D89" s="841" t="str">
        <f>'Data-Kolom'!D90</f>
        <v>K6</v>
      </c>
      <c r="E89" s="832" t="s">
        <v>325</v>
      </c>
      <c r="F89" s="840">
        <f>'Data-Kolom'!U90</f>
        <v>0</v>
      </c>
      <c r="G89" s="839">
        <f>'Data-Kolom'!T90</f>
        <v>0</v>
      </c>
      <c r="H89" s="832">
        <f>'Data-Kolom'!E90</f>
        <v>170</v>
      </c>
      <c r="I89" s="832">
        <f>'Data-Kolom'!F90</f>
        <v>600</v>
      </c>
      <c r="J89" s="832">
        <f>'Data-Kolom'!G90</f>
        <v>4500</v>
      </c>
      <c r="K89" s="831">
        <v>1</v>
      </c>
      <c r="L89" s="831"/>
      <c r="M89" s="831">
        <f>IF(L89&gt;0,VLOOKUP(L89,'Data-PC'!$B$14:$F$56,4,FALSE),0)</f>
        <v>0</v>
      </c>
      <c r="N89" s="847">
        <f>'Data-Kolom'!H90</f>
        <v>10</v>
      </c>
      <c r="O89" s="832">
        <f>'Data-Kolom'!I90</f>
        <v>16</v>
      </c>
      <c r="P89" s="850">
        <f t="shared" si="106"/>
        <v>1010</v>
      </c>
      <c r="Q89" s="831">
        <f t="shared" si="107"/>
        <v>770</v>
      </c>
      <c r="R89" s="831">
        <f t="shared" si="108"/>
        <v>5510</v>
      </c>
      <c r="S89" s="831"/>
      <c r="T89" s="849">
        <f t="shared" si="109"/>
        <v>5510</v>
      </c>
      <c r="U89" s="848">
        <f t="shared" si="110"/>
        <v>10</v>
      </c>
      <c r="V89" s="833">
        <f>'Data-Kolom'!J90</f>
        <v>0</v>
      </c>
      <c r="W89" s="832">
        <f>'Data-Kolom'!K90</f>
        <v>0</v>
      </c>
      <c r="X89" s="831">
        <f t="shared" si="111"/>
        <v>0</v>
      </c>
      <c r="Y89" s="831">
        <f t="shared" si="112"/>
        <v>0</v>
      </c>
      <c r="Z89" s="831">
        <f t="shared" si="113"/>
        <v>4500</v>
      </c>
      <c r="AA89" s="831"/>
      <c r="AB89" s="831">
        <f t="shared" si="114"/>
        <v>4500</v>
      </c>
      <c r="AC89" s="831">
        <f t="shared" si="115"/>
        <v>0</v>
      </c>
      <c r="AD89" s="847">
        <f>'Data-Kolom'!L90</f>
        <v>10</v>
      </c>
      <c r="AE89" s="846">
        <f>'Data-Kolom'!M90</f>
        <v>100</v>
      </c>
      <c r="AF89" s="846">
        <f>'Data-Kolom'!N90</f>
        <v>100</v>
      </c>
      <c r="AG89" s="846">
        <f>'Data-Kolom'!O90</f>
        <v>100</v>
      </c>
      <c r="AH89" s="846">
        <f>'Data-Kolom'!P90</f>
        <v>1</v>
      </c>
      <c r="AI89" s="846">
        <f>'Data-Kolom'!Q90</f>
        <v>10</v>
      </c>
      <c r="AJ89" s="846">
        <f>'Data-Kolom'!R90</f>
        <v>0</v>
      </c>
      <c r="AK89" s="853">
        <f>'Data-Kolom'!S90</f>
        <v>0</v>
      </c>
      <c r="AL89" s="827">
        <f t="shared" si="116"/>
        <v>1530</v>
      </c>
      <c r="AM89" s="826">
        <f t="shared" si="117"/>
        <v>280</v>
      </c>
      <c r="AN89" s="826">
        <f t="shared" si="118"/>
        <v>47</v>
      </c>
      <c r="AO89" s="845">
        <f t="shared" si="119"/>
        <v>0.45900000000000002</v>
      </c>
      <c r="AP89" s="822">
        <f t="shared" si="120"/>
        <v>86.961024000000009</v>
      </c>
      <c r="AQ89" s="824">
        <f t="shared" si="121"/>
        <v>0</v>
      </c>
      <c r="AR89" s="824">
        <f t="shared" si="122"/>
        <v>44.332515000000008</v>
      </c>
      <c r="AS89" s="824">
        <f t="shared" si="123"/>
        <v>8.1131400000000014</v>
      </c>
      <c r="AT89" s="823">
        <f t="shared" si="124"/>
        <v>6.93</v>
      </c>
      <c r="AU89" s="844">
        <f t="shared" si="125"/>
        <v>303.71825490196079</v>
      </c>
      <c r="AV89" s="844">
        <f t="shared" si="126"/>
        <v>15.098039215686272</v>
      </c>
      <c r="AX89" s="822">
        <f t="shared" si="127"/>
        <v>86.961024000000009</v>
      </c>
      <c r="AY89" s="843"/>
      <c r="AZ89" s="852">
        <f t="shared" si="128"/>
        <v>0</v>
      </c>
      <c r="BA89" s="851">
        <f t="shared" si="129"/>
        <v>0</v>
      </c>
    </row>
    <row r="90" spans="1:53" ht="13.9" customHeight="1">
      <c r="A90" s="842">
        <f>'Data-Kolom'!A91</f>
        <v>28</v>
      </c>
      <c r="B90" s="842" t="str">
        <f>'Data-Kolom'!B91</f>
        <v>Lantai 2</v>
      </c>
      <c r="C90" s="842">
        <f>'Data-Kolom'!C91</f>
        <v>0</v>
      </c>
      <c r="D90" s="841" t="str">
        <f>'Data-Kolom'!D91</f>
        <v>K7</v>
      </c>
      <c r="E90" s="832" t="s">
        <v>325</v>
      </c>
      <c r="F90" s="840">
        <f>'Data-Kolom'!U91</f>
        <v>0</v>
      </c>
      <c r="G90" s="839">
        <f>'Data-Kolom'!T91</f>
        <v>0</v>
      </c>
      <c r="H90" s="832">
        <f>'Data-Kolom'!E91</f>
        <v>170</v>
      </c>
      <c r="I90" s="832">
        <f>'Data-Kolom'!F91</f>
        <v>700</v>
      </c>
      <c r="J90" s="832">
        <f>'Data-Kolom'!G91</f>
        <v>4500</v>
      </c>
      <c r="K90" s="831">
        <v>1</v>
      </c>
      <c r="L90" s="831"/>
      <c r="M90" s="831">
        <f>IF(L90&gt;0,VLOOKUP(L90,'Data-PC'!$B$14:$F$56,4,FALSE),0)</f>
        <v>0</v>
      </c>
      <c r="N90" s="847">
        <f>'Data-Kolom'!H91</f>
        <v>10</v>
      </c>
      <c r="O90" s="832">
        <f>'Data-Kolom'!I91</f>
        <v>16</v>
      </c>
      <c r="P90" s="850">
        <f t="shared" si="106"/>
        <v>1010</v>
      </c>
      <c r="Q90" s="831">
        <f t="shared" si="107"/>
        <v>770</v>
      </c>
      <c r="R90" s="831">
        <f t="shared" si="108"/>
        <v>5510</v>
      </c>
      <c r="S90" s="831"/>
      <c r="T90" s="849">
        <f t="shared" si="109"/>
        <v>5510</v>
      </c>
      <c r="U90" s="848">
        <f t="shared" si="110"/>
        <v>10</v>
      </c>
      <c r="V90" s="833">
        <f>'Data-Kolom'!J91</f>
        <v>0</v>
      </c>
      <c r="W90" s="832">
        <f>'Data-Kolom'!K91</f>
        <v>0</v>
      </c>
      <c r="X90" s="831">
        <f t="shared" si="111"/>
        <v>0</v>
      </c>
      <c r="Y90" s="831">
        <f t="shared" si="112"/>
        <v>0</v>
      </c>
      <c r="Z90" s="831">
        <f t="shared" si="113"/>
        <v>4500</v>
      </c>
      <c r="AA90" s="831"/>
      <c r="AB90" s="831">
        <f t="shared" si="114"/>
        <v>4500</v>
      </c>
      <c r="AC90" s="831">
        <f t="shared" si="115"/>
        <v>0</v>
      </c>
      <c r="AD90" s="847">
        <f>'Data-Kolom'!L91</f>
        <v>10</v>
      </c>
      <c r="AE90" s="846">
        <f>'Data-Kolom'!M91</f>
        <v>100</v>
      </c>
      <c r="AF90" s="846">
        <f>'Data-Kolom'!N91</f>
        <v>100</v>
      </c>
      <c r="AG90" s="846">
        <f>'Data-Kolom'!O91</f>
        <v>100</v>
      </c>
      <c r="AH90" s="846">
        <f>'Data-Kolom'!P91</f>
        <v>1</v>
      </c>
      <c r="AI90" s="846">
        <f>'Data-Kolom'!Q91</f>
        <v>10</v>
      </c>
      <c r="AJ90" s="846">
        <f>'Data-Kolom'!R91</f>
        <v>0</v>
      </c>
      <c r="AK90" s="853">
        <f>'Data-Kolom'!S91</f>
        <v>0</v>
      </c>
      <c r="AL90" s="827">
        <f t="shared" si="116"/>
        <v>1730</v>
      </c>
      <c r="AM90" s="826">
        <f t="shared" si="117"/>
        <v>280</v>
      </c>
      <c r="AN90" s="826">
        <f t="shared" si="118"/>
        <v>47</v>
      </c>
      <c r="AO90" s="845">
        <f t="shared" si="119"/>
        <v>0.53549999999999998</v>
      </c>
      <c r="AP90" s="822">
        <f t="shared" si="120"/>
        <v>86.961024000000009</v>
      </c>
      <c r="AQ90" s="824">
        <f t="shared" si="121"/>
        <v>0</v>
      </c>
      <c r="AR90" s="824">
        <f t="shared" si="122"/>
        <v>50.127615000000006</v>
      </c>
      <c r="AS90" s="824">
        <f t="shared" si="123"/>
        <v>8.1131400000000014</v>
      </c>
      <c r="AT90" s="823">
        <f t="shared" si="124"/>
        <v>7.83</v>
      </c>
      <c r="AU90" s="844">
        <f t="shared" si="125"/>
        <v>271.15178151260506</v>
      </c>
      <c r="AV90" s="844">
        <f t="shared" si="126"/>
        <v>14.6218487394958</v>
      </c>
      <c r="AX90" s="822">
        <f t="shared" si="127"/>
        <v>86.961024000000009</v>
      </c>
      <c r="AY90" s="843"/>
      <c r="AZ90" s="852">
        <f t="shared" si="128"/>
        <v>0</v>
      </c>
      <c r="BA90" s="851">
        <f t="shared" si="129"/>
        <v>0</v>
      </c>
    </row>
    <row r="91" spans="1:53" ht="13.9" customHeight="1">
      <c r="A91" s="842">
        <f>'Data-Kolom'!A92</f>
        <v>29</v>
      </c>
      <c r="B91" s="842" t="str">
        <f>'Data-Kolom'!B92</f>
        <v>Lantai 2</v>
      </c>
      <c r="C91" s="842">
        <f>'Data-Kolom'!C92</f>
        <v>0</v>
      </c>
      <c r="D91" s="841" t="str">
        <f>'Data-Kolom'!D92</f>
        <v>K5</v>
      </c>
      <c r="E91" s="832" t="s">
        <v>325</v>
      </c>
      <c r="F91" s="840">
        <f>'Data-Kolom'!U92</f>
        <v>0</v>
      </c>
      <c r="G91" s="839">
        <f>'Data-Kolom'!T92</f>
        <v>0</v>
      </c>
      <c r="H91" s="832">
        <f>'Data-Kolom'!E92</f>
        <v>170</v>
      </c>
      <c r="I91" s="832">
        <f>'Data-Kolom'!F92</f>
        <v>500</v>
      </c>
      <c r="J91" s="832">
        <f>'Data-Kolom'!G92</f>
        <v>4500</v>
      </c>
      <c r="K91" s="831">
        <v>1</v>
      </c>
      <c r="L91" s="831"/>
      <c r="M91" s="831">
        <f>IF(L91&gt;0,VLOOKUP(L91,'Data-PC'!$B$14:$F$56,4,FALSE),0)</f>
        <v>0</v>
      </c>
      <c r="N91" s="847">
        <f>'Data-Kolom'!H92</f>
        <v>8</v>
      </c>
      <c r="O91" s="832">
        <f>'Data-Kolom'!I92</f>
        <v>16</v>
      </c>
      <c r="P91" s="850">
        <f t="shared" si="106"/>
        <v>1010</v>
      </c>
      <c r="Q91" s="831">
        <f t="shared" si="107"/>
        <v>770</v>
      </c>
      <c r="R91" s="831">
        <f t="shared" si="108"/>
        <v>5510</v>
      </c>
      <c r="S91" s="831"/>
      <c r="T91" s="849">
        <f t="shared" si="109"/>
        <v>5510</v>
      </c>
      <c r="U91" s="848">
        <f t="shared" si="110"/>
        <v>8</v>
      </c>
      <c r="V91" s="833">
        <f>'Data-Kolom'!J92</f>
        <v>0</v>
      </c>
      <c r="W91" s="832">
        <f>'Data-Kolom'!K92</f>
        <v>0</v>
      </c>
      <c r="X91" s="831">
        <f t="shared" si="111"/>
        <v>0</v>
      </c>
      <c r="Y91" s="831">
        <f t="shared" si="112"/>
        <v>0</v>
      </c>
      <c r="Z91" s="831">
        <f t="shared" si="113"/>
        <v>4500</v>
      </c>
      <c r="AA91" s="831"/>
      <c r="AB91" s="831">
        <f t="shared" si="114"/>
        <v>4500</v>
      </c>
      <c r="AC91" s="831">
        <f t="shared" si="115"/>
        <v>0</v>
      </c>
      <c r="AD91" s="847">
        <f>'Data-Kolom'!L92</f>
        <v>10</v>
      </c>
      <c r="AE91" s="846">
        <f>'Data-Kolom'!M92</f>
        <v>100</v>
      </c>
      <c r="AF91" s="846">
        <f>'Data-Kolom'!N92</f>
        <v>100</v>
      </c>
      <c r="AG91" s="846">
        <f>'Data-Kolom'!O92</f>
        <v>100</v>
      </c>
      <c r="AH91" s="846">
        <f>'Data-Kolom'!P92</f>
        <v>1</v>
      </c>
      <c r="AI91" s="846">
        <f>'Data-Kolom'!Q92</f>
        <v>10</v>
      </c>
      <c r="AJ91" s="846">
        <f>'Data-Kolom'!R92</f>
        <v>0</v>
      </c>
      <c r="AK91" s="853">
        <f>'Data-Kolom'!S92</f>
        <v>0</v>
      </c>
      <c r="AL91" s="827">
        <f t="shared" si="116"/>
        <v>1330</v>
      </c>
      <c r="AM91" s="826">
        <f t="shared" si="117"/>
        <v>280</v>
      </c>
      <c r="AN91" s="826">
        <f t="shared" si="118"/>
        <v>47</v>
      </c>
      <c r="AO91" s="845">
        <f t="shared" si="119"/>
        <v>0.38250000000000001</v>
      </c>
      <c r="AP91" s="822">
        <f t="shared" si="120"/>
        <v>69.568819199999993</v>
      </c>
      <c r="AQ91" s="824">
        <f t="shared" si="121"/>
        <v>0</v>
      </c>
      <c r="AR91" s="824">
        <f t="shared" si="122"/>
        <v>38.53741500000001</v>
      </c>
      <c r="AS91" s="824">
        <f t="shared" si="123"/>
        <v>8.1131400000000014</v>
      </c>
      <c r="AT91" s="823">
        <f t="shared" si="124"/>
        <v>6.03</v>
      </c>
      <c r="AU91" s="844">
        <f t="shared" si="125"/>
        <v>303.84150117647062</v>
      </c>
      <c r="AV91" s="844">
        <f t="shared" si="126"/>
        <v>15.764705882352942</v>
      </c>
      <c r="AX91" s="822">
        <f t="shared" si="127"/>
        <v>69.568819199999993</v>
      </c>
      <c r="AY91" s="843"/>
      <c r="AZ91" s="852">
        <f t="shared" si="128"/>
        <v>0</v>
      </c>
      <c r="BA91" s="851">
        <f t="shared" si="129"/>
        <v>0</v>
      </c>
    </row>
    <row r="92" spans="1:53" ht="13.9" customHeight="1">
      <c r="A92" s="842">
        <f>'Data-Kolom'!A93</f>
        <v>30</v>
      </c>
      <c r="B92" s="842" t="str">
        <f>'Data-Kolom'!B93</f>
        <v>Lantai 2</v>
      </c>
      <c r="C92" s="842">
        <f>'Data-Kolom'!C93</f>
        <v>0</v>
      </c>
      <c r="D92" s="841" t="str">
        <f>'Data-Kolom'!D93</f>
        <v>K4</v>
      </c>
      <c r="E92" s="832" t="s">
        <v>325</v>
      </c>
      <c r="F92" s="840">
        <f>'Data-Kolom'!U93</f>
        <v>0</v>
      </c>
      <c r="G92" s="839">
        <f>'Data-Kolom'!T93</f>
        <v>0</v>
      </c>
      <c r="H92" s="832">
        <f>'Data-Kolom'!E93</f>
        <v>170</v>
      </c>
      <c r="I92" s="832">
        <f>'Data-Kolom'!F93</f>
        <v>400</v>
      </c>
      <c r="J92" s="832">
        <f>'Data-Kolom'!G93</f>
        <v>4500</v>
      </c>
      <c r="K92" s="831">
        <v>1</v>
      </c>
      <c r="L92" s="831"/>
      <c r="M92" s="831">
        <f>IF(L92&gt;0,VLOOKUP(L92,'Data-PC'!$B$14:$F$56,4,FALSE),0)</f>
        <v>0</v>
      </c>
      <c r="N92" s="847">
        <f>'Data-Kolom'!H93</f>
        <v>6</v>
      </c>
      <c r="O92" s="832">
        <f>'Data-Kolom'!I93</f>
        <v>16</v>
      </c>
      <c r="P92" s="850">
        <f t="shared" si="106"/>
        <v>1010</v>
      </c>
      <c r="Q92" s="831">
        <f t="shared" si="107"/>
        <v>770</v>
      </c>
      <c r="R92" s="831">
        <f t="shared" si="108"/>
        <v>5510</v>
      </c>
      <c r="S92" s="831"/>
      <c r="T92" s="849">
        <f t="shared" si="109"/>
        <v>5510</v>
      </c>
      <c r="U92" s="848">
        <f t="shared" si="110"/>
        <v>6</v>
      </c>
      <c r="V92" s="833">
        <f>'Data-Kolom'!J93</f>
        <v>0</v>
      </c>
      <c r="W92" s="832">
        <f>'Data-Kolom'!K93</f>
        <v>0</v>
      </c>
      <c r="X92" s="831">
        <f t="shared" si="111"/>
        <v>0</v>
      </c>
      <c r="Y92" s="831">
        <f t="shared" si="112"/>
        <v>0</v>
      </c>
      <c r="Z92" s="831">
        <f t="shared" si="113"/>
        <v>4500</v>
      </c>
      <c r="AA92" s="831"/>
      <c r="AB92" s="831">
        <f t="shared" si="114"/>
        <v>4500</v>
      </c>
      <c r="AC92" s="831">
        <f t="shared" si="115"/>
        <v>0</v>
      </c>
      <c r="AD92" s="847">
        <f>'Data-Kolom'!L93</f>
        <v>10</v>
      </c>
      <c r="AE92" s="846">
        <f>'Data-Kolom'!M93</f>
        <v>100</v>
      </c>
      <c r="AF92" s="846">
        <f>'Data-Kolom'!N93</f>
        <v>100</v>
      </c>
      <c r="AG92" s="846">
        <f>'Data-Kolom'!O93</f>
        <v>100</v>
      </c>
      <c r="AH92" s="846">
        <f>'Data-Kolom'!P93</f>
        <v>0</v>
      </c>
      <c r="AI92" s="846">
        <f>'Data-Kolom'!Q93</f>
        <v>0</v>
      </c>
      <c r="AJ92" s="846">
        <f>'Data-Kolom'!R93</f>
        <v>0</v>
      </c>
      <c r="AK92" s="853">
        <f>'Data-Kolom'!S93</f>
        <v>0</v>
      </c>
      <c r="AL92" s="827">
        <f t="shared" si="116"/>
        <v>1130</v>
      </c>
      <c r="AM92" s="826">
        <f t="shared" si="117"/>
        <v>0</v>
      </c>
      <c r="AN92" s="826">
        <f t="shared" si="118"/>
        <v>47</v>
      </c>
      <c r="AO92" s="845">
        <f t="shared" si="119"/>
        <v>0.30599999999999999</v>
      </c>
      <c r="AP92" s="822">
        <f t="shared" si="120"/>
        <v>52.176614399999998</v>
      </c>
      <c r="AQ92" s="824">
        <f t="shared" si="121"/>
        <v>0</v>
      </c>
      <c r="AR92" s="824">
        <f t="shared" si="122"/>
        <v>32.742315000000005</v>
      </c>
      <c r="AS92" s="824">
        <f t="shared" si="123"/>
        <v>0</v>
      </c>
      <c r="AT92" s="823">
        <f t="shared" si="124"/>
        <v>5.13</v>
      </c>
      <c r="AU92" s="844">
        <f t="shared" si="125"/>
        <v>277.5128411764706</v>
      </c>
      <c r="AV92" s="844">
        <f t="shared" si="126"/>
        <v>16.764705882352942</v>
      </c>
      <c r="AX92" s="822">
        <f t="shared" si="127"/>
        <v>52.176614399999998</v>
      </c>
      <c r="AY92" s="843"/>
      <c r="AZ92" s="852">
        <f t="shared" si="128"/>
        <v>0</v>
      </c>
      <c r="BA92" s="851">
        <f t="shared" si="129"/>
        <v>0</v>
      </c>
    </row>
    <row r="93" spans="1:53" ht="13.9" customHeight="1">
      <c r="A93" s="842">
        <f>'Data-Kolom'!A94</f>
        <v>44</v>
      </c>
      <c r="B93" s="842" t="str">
        <f>'Data-Kolom'!B94</f>
        <v>Lantai 2</v>
      </c>
      <c r="C93" s="842">
        <f>'Data-Kolom'!C94</f>
        <v>0</v>
      </c>
      <c r="D93" s="841" t="str">
        <f>'Data-Kolom'!D94</f>
        <v>K4</v>
      </c>
      <c r="E93" s="832" t="s">
        <v>325</v>
      </c>
      <c r="F93" s="840">
        <f>'Data-Kolom'!U94</f>
        <v>0</v>
      </c>
      <c r="G93" s="839">
        <f>'Data-Kolom'!T94</f>
        <v>0</v>
      </c>
      <c r="H93" s="832">
        <f>'Data-Kolom'!E94</f>
        <v>170</v>
      </c>
      <c r="I93" s="832">
        <f>'Data-Kolom'!F94</f>
        <v>400</v>
      </c>
      <c r="J93" s="832">
        <f>'Data-Kolom'!G94</f>
        <v>4500</v>
      </c>
      <c r="K93" s="831">
        <v>1</v>
      </c>
      <c r="L93" s="831"/>
      <c r="M93" s="831">
        <f>IF(L93&gt;0,VLOOKUP(L93,'Data-PC'!$B$14:$F$56,4,FALSE),0)</f>
        <v>0</v>
      </c>
      <c r="N93" s="847">
        <f>'Data-Kolom'!H94</f>
        <v>6</v>
      </c>
      <c r="O93" s="832">
        <f>'Data-Kolom'!I94</f>
        <v>16</v>
      </c>
      <c r="P93" s="850">
        <f t="shared" si="106"/>
        <v>1010</v>
      </c>
      <c r="Q93" s="831">
        <f t="shared" si="107"/>
        <v>770</v>
      </c>
      <c r="R93" s="831">
        <f t="shared" si="108"/>
        <v>5510</v>
      </c>
      <c r="S93" s="831"/>
      <c r="T93" s="849">
        <f t="shared" si="109"/>
        <v>5510</v>
      </c>
      <c r="U93" s="848">
        <f t="shared" si="110"/>
        <v>6</v>
      </c>
      <c r="V93" s="833">
        <f>'Data-Kolom'!J94</f>
        <v>0</v>
      </c>
      <c r="W93" s="832">
        <f>'Data-Kolom'!K94</f>
        <v>0</v>
      </c>
      <c r="X93" s="831">
        <f t="shared" si="111"/>
        <v>0</v>
      </c>
      <c r="Y93" s="831">
        <f t="shared" si="112"/>
        <v>0</v>
      </c>
      <c r="Z93" s="831">
        <f t="shared" si="113"/>
        <v>4500</v>
      </c>
      <c r="AA93" s="831"/>
      <c r="AB93" s="831">
        <f t="shared" si="114"/>
        <v>4500</v>
      </c>
      <c r="AC93" s="831">
        <f t="shared" si="115"/>
        <v>0</v>
      </c>
      <c r="AD93" s="847">
        <f>'Data-Kolom'!L94</f>
        <v>10</v>
      </c>
      <c r="AE93" s="846">
        <f>'Data-Kolom'!M94</f>
        <v>100</v>
      </c>
      <c r="AF93" s="846">
        <f>'Data-Kolom'!N94</f>
        <v>100</v>
      </c>
      <c r="AG93" s="846">
        <f>'Data-Kolom'!O94</f>
        <v>100</v>
      </c>
      <c r="AH93" s="846">
        <f>'Data-Kolom'!P94</f>
        <v>0</v>
      </c>
      <c r="AI93" s="846">
        <f>'Data-Kolom'!Q94</f>
        <v>0</v>
      </c>
      <c r="AJ93" s="846">
        <f>'Data-Kolom'!R94</f>
        <v>0</v>
      </c>
      <c r="AK93" s="853">
        <f>'Data-Kolom'!S94</f>
        <v>0</v>
      </c>
      <c r="AL93" s="827">
        <f t="shared" si="116"/>
        <v>1130</v>
      </c>
      <c r="AM93" s="826">
        <f t="shared" si="117"/>
        <v>0</v>
      </c>
      <c r="AN93" s="826">
        <f t="shared" si="118"/>
        <v>47</v>
      </c>
      <c r="AO93" s="845">
        <f t="shared" si="119"/>
        <v>0.30599999999999999</v>
      </c>
      <c r="AP93" s="822">
        <f t="shared" si="120"/>
        <v>52.176614399999998</v>
      </c>
      <c r="AQ93" s="824">
        <f t="shared" si="121"/>
        <v>0</v>
      </c>
      <c r="AR93" s="824">
        <f t="shared" si="122"/>
        <v>32.742315000000005</v>
      </c>
      <c r="AS93" s="824">
        <f t="shared" si="123"/>
        <v>0</v>
      </c>
      <c r="AT93" s="823">
        <f t="shared" si="124"/>
        <v>5.13</v>
      </c>
      <c r="AU93" s="844">
        <f t="shared" si="125"/>
        <v>277.5128411764706</v>
      </c>
      <c r="AV93" s="844">
        <f t="shared" si="126"/>
        <v>16.764705882352942</v>
      </c>
      <c r="AX93" s="822">
        <f t="shared" si="127"/>
        <v>52.176614399999998</v>
      </c>
      <c r="AY93" s="843"/>
      <c r="AZ93" s="852">
        <f t="shared" si="128"/>
        <v>0</v>
      </c>
      <c r="BA93" s="851">
        <f t="shared" si="129"/>
        <v>0</v>
      </c>
    </row>
    <row r="94" spans="1:53" ht="13.9" customHeight="1">
      <c r="A94" s="842"/>
      <c r="B94" s="842"/>
      <c r="C94" s="842"/>
      <c r="D94" s="841"/>
      <c r="E94" s="832"/>
      <c r="F94" s="840"/>
      <c r="G94" s="839"/>
      <c r="H94" s="832"/>
      <c r="I94" s="832"/>
      <c r="J94" s="832"/>
      <c r="K94" s="831"/>
      <c r="L94" s="831"/>
      <c r="M94" s="831"/>
      <c r="N94" s="847"/>
      <c r="O94" s="832"/>
      <c r="P94" s="850"/>
      <c r="Q94" s="831"/>
      <c r="R94" s="831"/>
      <c r="S94" s="831"/>
      <c r="T94" s="849"/>
      <c r="U94" s="848"/>
      <c r="V94" s="833"/>
      <c r="W94" s="832"/>
      <c r="X94" s="831"/>
      <c r="Y94" s="831"/>
      <c r="Z94" s="831"/>
      <c r="AA94" s="831"/>
      <c r="AB94" s="831"/>
      <c r="AC94" s="831"/>
      <c r="AD94" s="847"/>
      <c r="AE94" s="846"/>
      <c r="AF94" s="846"/>
      <c r="AG94" s="846"/>
      <c r="AH94" s="846"/>
      <c r="AI94" s="846"/>
      <c r="AJ94" s="846"/>
      <c r="AK94" s="853"/>
      <c r="AL94" s="827"/>
      <c r="AM94" s="826"/>
      <c r="AN94" s="826"/>
      <c r="AO94" s="845"/>
      <c r="AP94" s="822"/>
      <c r="AQ94" s="824"/>
      <c r="AR94" s="824"/>
      <c r="AS94" s="824"/>
      <c r="AT94" s="823"/>
      <c r="AU94" s="844"/>
      <c r="AV94" s="844"/>
      <c r="AX94" s="822"/>
      <c r="AY94" s="843"/>
      <c r="AZ94" s="852"/>
      <c r="BA94" s="851"/>
    </row>
    <row r="95" spans="1:53" ht="13.9" customHeight="1">
      <c r="A95" s="842">
        <f>'Data-Kolom'!A96</f>
        <v>101</v>
      </c>
      <c r="B95" s="842" t="str">
        <f>'Data-Kolom'!B96</f>
        <v>Lantai 2</v>
      </c>
      <c r="C95" s="842">
        <f>'Data-Kolom'!C96</f>
        <v>0</v>
      </c>
      <c r="D95" s="841" t="str">
        <f>'Data-Kolom'!D96</f>
        <v>K5</v>
      </c>
      <c r="E95" s="832" t="s">
        <v>16</v>
      </c>
      <c r="F95" s="840">
        <f>'Data-Kolom'!U96</f>
        <v>0</v>
      </c>
      <c r="G95" s="839">
        <f>'Data-Kolom'!T96</f>
        <v>0</v>
      </c>
      <c r="H95" s="832">
        <f>'Data-Kolom'!E96</f>
        <v>170</v>
      </c>
      <c r="I95" s="832">
        <f>'Data-Kolom'!F96</f>
        <v>500</v>
      </c>
      <c r="J95" s="832">
        <f>'Data-Kolom'!G96</f>
        <v>4500</v>
      </c>
      <c r="K95" s="831">
        <v>1</v>
      </c>
      <c r="L95" s="831"/>
      <c r="M95" s="831">
        <f>IF(L95&gt;0,VLOOKUP(L95,'Data-PC'!$B$14:$F$56,4,FALSE),0)</f>
        <v>0</v>
      </c>
      <c r="N95" s="847">
        <f>'Data-Kolom'!H96</f>
        <v>8</v>
      </c>
      <c r="O95" s="832">
        <f>'Data-Kolom'!I96</f>
        <v>16</v>
      </c>
      <c r="P95" s="850">
        <f t="shared" si="106"/>
        <v>1010</v>
      </c>
      <c r="Q95" s="831">
        <f t="shared" si="107"/>
        <v>770</v>
      </c>
      <c r="R95" s="831">
        <f t="shared" si="108"/>
        <v>6280</v>
      </c>
      <c r="S95" s="831"/>
      <c r="T95" s="849">
        <f t="shared" si="109"/>
        <v>6280</v>
      </c>
      <c r="U95" s="848">
        <f t="shared" si="110"/>
        <v>8</v>
      </c>
      <c r="V95" s="833">
        <f>'Data-Kolom'!J96</f>
        <v>0</v>
      </c>
      <c r="W95" s="832">
        <f>'Data-Kolom'!K96</f>
        <v>0</v>
      </c>
      <c r="X95" s="831">
        <f t="shared" si="111"/>
        <v>0</v>
      </c>
      <c r="Y95" s="831">
        <f t="shared" si="112"/>
        <v>0</v>
      </c>
      <c r="Z95" s="831">
        <f t="shared" si="113"/>
        <v>4500</v>
      </c>
      <c r="AA95" s="831"/>
      <c r="AB95" s="831">
        <f t="shared" si="114"/>
        <v>4500</v>
      </c>
      <c r="AC95" s="831">
        <f t="shared" si="115"/>
        <v>0</v>
      </c>
      <c r="AD95" s="847">
        <f>'Data-Kolom'!L96</f>
        <v>10</v>
      </c>
      <c r="AE95" s="846">
        <f>'Data-Kolom'!M96</f>
        <v>100</v>
      </c>
      <c r="AF95" s="846">
        <f>'Data-Kolom'!N96</f>
        <v>100</v>
      </c>
      <c r="AG95" s="846">
        <f>'Data-Kolom'!O96</f>
        <v>100</v>
      </c>
      <c r="AH95" s="846">
        <f>'Data-Kolom'!P96</f>
        <v>1</v>
      </c>
      <c r="AI95" s="846">
        <f>'Data-Kolom'!Q96</f>
        <v>10</v>
      </c>
      <c r="AJ95" s="846">
        <f>'Data-Kolom'!R96</f>
        <v>0</v>
      </c>
      <c r="AK95" s="853">
        <f>'Data-Kolom'!S96</f>
        <v>0</v>
      </c>
      <c r="AL95" s="827">
        <f t="shared" si="116"/>
        <v>1330</v>
      </c>
      <c r="AM95" s="826">
        <f t="shared" si="117"/>
        <v>280</v>
      </c>
      <c r="AN95" s="826">
        <f t="shared" si="118"/>
        <v>47</v>
      </c>
      <c r="AO95" s="845">
        <f t="shared" si="119"/>
        <v>0.38250000000000001</v>
      </c>
      <c r="AP95" s="822">
        <f t="shared" si="120"/>
        <v>79.290777599999998</v>
      </c>
      <c r="AQ95" s="824">
        <f t="shared" si="121"/>
        <v>0</v>
      </c>
      <c r="AR95" s="824">
        <f t="shared" si="122"/>
        <v>38.53741500000001</v>
      </c>
      <c r="AS95" s="824">
        <f t="shared" si="123"/>
        <v>8.1131400000000014</v>
      </c>
      <c r="AT95" s="823">
        <f t="shared" si="124"/>
        <v>6.03</v>
      </c>
      <c r="AU95" s="844">
        <f t="shared" si="125"/>
        <v>329.25838588235297</v>
      </c>
      <c r="AV95" s="844">
        <f t="shared" si="126"/>
        <v>15.764705882352942</v>
      </c>
      <c r="AX95" s="822">
        <f t="shared" si="127"/>
        <v>79.290777599999998</v>
      </c>
      <c r="AY95" s="843"/>
      <c r="AZ95" s="852">
        <f t="shared" si="128"/>
        <v>0</v>
      </c>
      <c r="BA95" s="851">
        <f t="shared" si="129"/>
        <v>0</v>
      </c>
    </row>
    <row r="96" spans="1:53" ht="13.9" customHeight="1">
      <c r="A96" s="842">
        <f>'Data-Kolom'!A97</f>
        <v>102</v>
      </c>
      <c r="B96" s="842" t="str">
        <f>'Data-Kolom'!B97</f>
        <v>Lantai 2</v>
      </c>
      <c r="C96" s="842">
        <f>'Data-Kolom'!C97</f>
        <v>0</v>
      </c>
      <c r="D96" s="841" t="str">
        <f>'Data-Kolom'!D97</f>
        <v>K4</v>
      </c>
      <c r="E96" s="832" t="s">
        <v>16</v>
      </c>
      <c r="F96" s="840">
        <f>'Data-Kolom'!U97</f>
        <v>0</v>
      </c>
      <c r="G96" s="839">
        <f>'Data-Kolom'!T97</f>
        <v>0</v>
      </c>
      <c r="H96" s="832">
        <f>'Data-Kolom'!E97</f>
        <v>170</v>
      </c>
      <c r="I96" s="832">
        <f>'Data-Kolom'!F97</f>
        <v>400</v>
      </c>
      <c r="J96" s="832">
        <f>'Data-Kolom'!G97</f>
        <v>6250</v>
      </c>
      <c r="K96" s="831">
        <v>1</v>
      </c>
      <c r="L96" s="831"/>
      <c r="M96" s="831">
        <f>IF(L96&gt;0,VLOOKUP(L96,'Data-PC'!$B$14:$F$56,4,FALSE),0)</f>
        <v>0</v>
      </c>
      <c r="N96" s="847">
        <f>'Data-Kolom'!H97</f>
        <v>6</v>
      </c>
      <c r="O96" s="832">
        <f>'Data-Kolom'!I97</f>
        <v>16</v>
      </c>
      <c r="P96" s="850">
        <f t="shared" si="106"/>
        <v>1010</v>
      </c>
      <c r="Q96" s="831">
        <f t="shared" si="107"/>
        <v>770</v>
      </c>
      <c r="R96" s="831">
        <f t="shared" si="108"/>
        <v>8030</v>
      </c>
      <c r="S96" s="831"/>
      <c r="T96" s="849">
        <f t="shared" si="109"/>
        <v>8030</v>
      </c>
      <c r="U96" s="848">
        <f t="shared" si="110"/>
        <v>6</v>
      </c>
      <c r="V96" s="833">
        <f>'Data-Kolom'!J97</f>
        <v>0</v>
      </c>
      <c r="W96" s="832">
        <f>'Data-Kolom'!K97</f>
        <v>0</v>
      </c>
      <c r="X96" s="831">
        <f t="shared" si="111"/>
        <v>0</v>
      </c>
      <c r="Y96" s="831">
        <f t="shared" si="112"/>
        <v>0</v>
      </c>
      <c r="Z96" s="831">
        <f t="shared" si="113"/>
        <v>6250</v>
      </c>
      <c r="AA96" s="831"/>
      <c r="AB96" s="831">
        <f t="shared" si="114"/>
        <v>6250</v>
      </c>
      <c r="AC96" s="831">
        <f t="shared" si="115"/>
        <v>0</v>
      </c>
      <c r="AD96" s="847">
        <f>'Data-Kolom'!L97</f>
        <v>10</v>
      </c>
      <c r="AE96" s="846">
        <f>'Data-Kolom'!M97</f>
        <v>100</v>
      </c>
      <c r="AF96" s="846">
        <f>'Data-Kolom'!N97</f>
        <v>100</v>
      </c>
      <c r="AG96" s="846">
        <f>'Data-Kolom'!O97</f>
        <v>100</v>
      </c>
      <c r="AH96" s="846">
        <f>'Data-Kolom'!P97</f>
        <v>0</v>
      </c>
      <c r="AI96" s="846">
        <f>'Data-Kolom'!Q97</f>
        <v>0</v>
      </c>
      <c r="AJ96" s="846">
        <f>'Data-Kolom'!R97</f>
        <v>0</v>
      </c>
      <c r="AK96" s="853">
        <f>'Data-Kolom'!S97</f>
        <v>0</v>
      </c>
      <c r="AL96" s="827">
        <f t="shared" si="116"/>
        <v>1130</v>
      </c>
      <c r="AM96" s="826">
        <f t="shared" si="117"/>
        <v>0</v>
      </c>
      <c r="AN96" s="826">
        <f t="shared" si="118"/>
        <v>63</v>
      </c>
      <c r="AO96" s="845">
        <f t="shared" si="119"/>
        <v>0.42499999999999999</v>
      </c>
      <c r="AP96" s="822">
        <f t="shared" si="120"/>
        <v>76.039603200000002</v>
      </c>
      <c r="AQ96" s="824">
        <f t="shared" si="121"/>
        <v>0</v>
      </c>
      <c r="AR96" s="824">
        <f t="shared" si="122"/>
        <v>43.888635000000001</v>
      </c>
      <c r="AS96" s="824">
        <f t="shared" si="123"/>
        <v>0</v>
      </c>
      <c r="AT96" s="823">
        <f t="shared" si="124"/>
        <v>7.125</v>
      </c>
      <c r="AU96" s="844">
        <f t="shared" si="125"/>
        <v>282.18408988235296</v>
      </c>
      <c r="AV96" s="844">
        <f t="shared" si="126"/>
        <v>16.764705882352942</v>
      </c>
      <c r="AX96" s="822">
        <f t="shared" si="127"/>
        <v>76.039603200000002</v>
      </c>
      <c r="AY96" s="843"/>
      <c r="AZ96" s="852">
        <f t="shared" si="128"/>
        <v>0</v>
      </c>
      <c r="BA96" s="851">
        <f t="shared" si="129"/>
        <v>0</v>
      </c>
    </row>
    <row r="97" spans="1:53" ht="13.9" customHeight="1">
      <c r="A97" s="842">
        <f>'Data-Kolom'!A98</f>
        <v>103</v>
      </c>
      <c r="B97" s="842" t="str">
        <f>'Data-Kolom'!B98</f>
        <v>Lantai 2</v>
      </c>
      <c r="C97" s="842">
        <f>'Data-Kolom'!C98</f>
        <v>0</v>
      </c>
      <c r="D97" s="841" t="str">
        <f>'Data-Kolom'!D98</f>
        <v>K4</v>
      </c>
      <c r="E97" s="832" t="s">
        <v>16</v>
      </c>
      <c r="F97" s="840">
        <f>'Data-Kolom'!U98</f>
        <v>0</v>
      </c>
      <c r="G97" s="839">
        <f>'Data-Kolom'!T98</f>
        <v>0</v>
      </c>
      <c r="H97" s="832">
        <f>'Data-Kolom'!E98</f>
        <v>170</v>
      </c>
      <c r="I97" s="832">
        <f>'Data-Kolom'!F98</f>
        <v>400</v>
      </c>
      <c r="J97" s="832">
        <f>'Data-Kolom'!G98</f>
        <v>6250</v>
      </c>
      <c r="K97" s="831">
        <v>1</v>
      </c>
      <c r="L97" s="831"/>
      <c r="M97" s="831">
        <f>IF(L97&gt;0,VLOOKUP(L97,'Data-PC'!$B$14:$F$56,4,FALSE),0)</f>
        <v>0</v>
      </c>
      <c r="N97" s="847">
        <f>'Data-Kolom'!H98</f>
        <v>6</v>
      </c>
      <c r="O97" s="832">
        <f>'Data-Kolom'!I98</f>
        <v>16</v>
      </c>
      <c r="P97" s="850">
        <f t="shared" si="106"/>
        <v>1010</v>
      </c>
      <c r="Q97" s="831">
        <f t="shared" si="107"/>
        <v>770</v>
      </c>
      <c r="R97" s="831">
        <f t="shared" si="108"/>
        <v>8030</v>
      </c>
      <c r="S97" s="831"/>
      <c r="T97" s="849">
        <f t="shared" si="109"/>
        <v>8030</v>
      </c>
      <c r="U97" s="848">
        <f t="shared" si="110"/>
        <v>6</v>
      </c>
      <c r="V97" s="833">
        <f>'Data-Kolom'!J98</f>
        <v>0</v>
      </c>
      <c r="W97" s="832">
        <f>'Data-Kolom'!K98</f>
        <v>0</v>
      </c>
      <c r="X97" s="831">
        <f t="shared" si="111"/>
        <v>0</v>
      </c>
      <c r="Y97" s="831">
        <f t="shared" si="112"/>
        <v>0</v>
      </c>
      <c r="Z97" s="831">
        <f t="shared" si="113"/>
        <v>6250</v>
      </c>
      <c r="AA97" s="831"/>
      <c r="AB97" s="831">
        <f t="shared" si="114"/>
        <v>6250</v>
      </c>
      <c r="AC97" s="831">
        <f t="shared" si="115"/>
        <v>0</v>
      </c>
      <c r="AD97" s="847">
        <f>'Data-Kolom'!L98</f>
        <v>10</v>
      </c>
      <c r="AE97" s="846">
        <f>'Data-Kolom'!M98</f>
        <v>100</v>
      </c>
      <c r="AF97" s="846">
        <f>'Data-Kolom'!N98</f>
        <v>100</v>
      </c>
      <c r="AG97" s="846">
        <f>'Data-Kolom'!O98</f>
        <v>100</v>
      </c>
      <c r="AH97" s="846">
        <f>'Data-Kolom'!P98</f>
        <v>0</v>
      </c>
      <c r="AI97" s="846">
        <f>'Data-Kolom'!Q98</f>
        <v>0</v>
      </c>
      <c r="AJ97" s="846">
        <f>'Data-Kolom'!R98</f>
        <v>0</v>
      </c>
      <c r="AK97" s="853">
        <f>'Data-Kolom'!S98</f>
        <v>0</v>
      </c>
      <c r="AL97" s="827">
        <f t="shared" si="116"/>
        <v>1130</v>
      </c>
      <c r="AM97" s="826">
        <f t="shared" si="117"/>
        <v>0</v>
      </c>
      <c r="AN97" s="826">
        <f t="shared" si="118"/>
        <v>63</v>
      </c>
      <c r="AO97" s="845">
        <f t="shared" si="119"/>
        <v>0.42499999999999999</v>
      </c>
      <c r="AP97" s="822">
        <f t="shared" si="120"/>
        <v>76.039603200000002</v>
      </c>
      <c r="AQ97" s="824">
        <f t="shared" si="121"/>
        <v>0</v>
      </c>
      <c r="AR97" s="824">
        <f t="shared" si="122"/>
        <v>43.888635000000001</v>
      </c>
      <c r="AS97" s="824">
        <f t="shared" si="123"/>
        <v>0</v>
      </c>
      <c r="AT97" s="823">
        <f t="shared" si="124"/>
        <v>7.125</v>
      </c>
      <c r="AU97" s="844">
        <f t="shared" si="125"/>
        <v>282.18408988235296</v>
      </c>
      <c r="AV97" s="844">
        <f t="shared" si="126"/>
        <v>16.764705882352942</v>
      </c>
      <c r="AX97" s="822">
        <f t="shared" si="127"/>
        <v>76.039603200000002</v>
      </c>
      <c r="AY97" s="843"/>
      <c r="AZ97" s="852">
        <f t="shared" si="128"/>
        <v>0</v>
      </c>
      <c r="BA97" s="851">
        <f t="shared" si="129"/>
        <v>0</v>
      </c>
    </row>
    <row r="98" spans="1:53" ht="13.9" customHeight="1">
      <c r="A98" s="842"/>
      <c r="B98" s="842"/>
      <c r="C98" s="842"/>
      <c r="D98" s="841"/>
      <c r="E98" s="832"/>
      <c r="F98" s="840"/>
      <c r="G98" s="839"/>
      <c r="H98" s="832"/>
      <c r="I98" s="832"/>
      <c r="J98" s="832"/>
      <c r="K98" s="831"/>
      <c r="L98" s="831"/>
      <c r="M98" s="831"/>
      <c r="N98" s="847"/>
      <c r="O98" s="832"/>
      <c r="P98" s="850"/>
      <c r="Q98" s="831"/>
      <c r="R98" s="831"/>
      <c r="S98" s="831"/>
      <c r="T98" s="849"/>
      <c r="U98" s="848"/>
      <c r="V98" s="833"/>
      <c r="W98" s="832"/>
      <c r="X98" s="831"/>
      <c r="Y98" s="831"/>
      <c r="Z98" s="831"/>
      <c r="AA98" s="831"/>
      <c r="AB98" s="831"/>
      <c r="AC98" s="831"/>
      <c r="AD98" s="847"/>
      <c r="AE98" s="846"/>
      <c r="AF98" s="846"/>
      <c r="AG98" s="846"/>
      <c r="AH98" s="846"/>
      <c r="AI98" s="846"/>
      <c r="AJ98" s="846"/>
      <c r="AK98" s="853"/>
      <c r="AL98" s="827"/>
      <c r="AM98" s="826"/>
      <c r="AN98" s="826"/>
      <c r="AO98" s="845"/>
      <c r="AP98" s="822"/>
      <c r="AQ98" s="824"/>
      <c r="AR98" s="824"/>
      <c r="AS98" s="824"/>
      <c r="AT98" s="823"/>
      <c r="AU98" s="844"/>
      <c r="AV98" s="844"/>
      <c r="AX98" s="822"/>
      <c r="AY98" s="843"/>
      <c r="AZ98" s="852"/>
      <c r="BA98" s="851"/>
    </row>
    <row r="99" spans="1:53" ht="13.9" customHeight="1">
      <c r="A99" s="842">
        <f>'Data-Kolom'!A100</f>
        <v>1</v>
      </c>
      <c r="B99" s="842" t="str">
        <f>'Data-Kolom'!B100</f>
        <v>Lantai 3</v>
      </c>
      <c r="C99" s="842">
        <f>'Data-Kolom'!C100</f>
        <v>0</v>
      </c>
      <c r="D99" s="841" t="str">
        <f>'Data-Kolom'!D100</f>
        <v>K1A4</v>
      </c>
      <c r="E99" s="832" t="s">
        <v>237</v>
      </c>
      <c r="F99" s="840">
        <f>'Data-Kolom'!U100</f>
        <v>0</v>
      </c>
      <c r="G99" s="839">
        <f>'Data-Kolom'!T100</f>
        <v>0</v>
      </c>
      <c r="H99" s="832">
        <f>'Data-Kolom'!E100</f>
        <v>130</v>
      </c>
      <c r="I99" s="832">
        <f>'Data-Kolom'!F100</f>
        <v>400</v>
      </c>
      <c r="J99" s="832">
        <f>'Data-Kolom'!G100</f>
        <v>3500</v>
      </c>
      <c r="K99" s="831">
        <v>1</v>
      </c>
      <c r="L99" s="831"/>
      <c r="M99" s="831">
        <f>IF(L99&gt;0,VLOOKUP(L99,'Data-PC'!$B$14:$F$56,4,FALSE),0)</f>
        <v>0</v>
      </c>
      <c r="N99" s="847">
        <f>'Data-Kolom'!H100</f>
        <v>6</v>
      </c>
      <c r="O99" s="832">
        <f>'Data-Kolom'!I100</f>
        <v>16</v>
      </c>
      <c r="P99" s="850">
        <f t="shared" si="106"/>
        <v>1010</v>
      </c>
      <c r="Q99" s="831">
        <f t="shared" si="107"/>
        <v>770</v>
      </c>
      <c r="R99" s="831">
        <f t="shared" si="108"/>
        <v>3672</v>
      </c>
      <c r="S99" s="831"/>
      <c r="T99" s="849">
        <f t="shared" si="109"/>
        <v>3672</v>
      </c>
      <c r="U99" s="848">
        <f t="shared" si="110"/>
        <v>6</v>
      </c>
      <c r="V99" s="833">
        <f>'Data-Kolom'!J100</f>
        <v>0</v>
      </c>
      <c r="W99" s="832">
        <f>'Data-Kolom'!K100</f>
        <v>0</v>
      </c>
      <c r="X99" s="831">
        <f t="shared" si="111"/>
        <v>0</v>
      </c>
      <c r="Y99" s="831">
        <f t="shared" si="112"/>
        <v>0</v>
      </c>
      <c r="Z99" s="831">
        <f t="shared" si="113"/>
        <v>3480</v>
      </c>
      <c r="AA99" s="831"/>
      <c r="AB99" s="831">
        <f t="shared" si="114"/>
        <v>3480</v>
      </c>
      <c r="AC99" s="831">
        <f t="shared" si="115"/>
        <v>0</v>
      </c>
      <c r="AD99" s="847">
        <f>'Data-Kolom'!L100</f>
        <v>10</v>
      </c>
      <c r="AE99" s="846">
        <f>'Data-Kolom'!M100</f>
        <v>100</v>
      </c>
      <c r="AF99" s="846">
        <f>'Data-Kolom'!N100</f>
        <v>100</v>
      </c>
      <c r="AG99" s="846">
        <f>'Data-Kolom'!O100</f>
        <v>100</v>
      </c>
      <c r="AH99" s="846">
        <f>'Data-Kolom'!P100</f>
        <v>0</v>
      </c>
      <c r="AI99" s="846">
        <f>'Data-Kolom'!Q100</f>
        <v>0</v>
      </c>
      <c r="AJ99" s="846">
        <f>'Data-Kolom'!R100</f>
        <v>0</v>
      </c>
      <c r="AK99" s="853">
        <f>'Data-Kolom'!S100</f>
        <v>0</v>
      </c>
      <c r="AL99" s="827">
        <f t="shared" si="116"/>
        <v>1050</v>
      </c>
      <c r="AM99" s="826">
        <f t="shared" si="117"/>
        <v>0</v>
      </c>
      <c r="AN99" s="826">
        <f t="shared" si="118"/>
        <v>37</v>
      </c>
      <c r="AO99" s="845">
        <f t="shared" si="119"/>
        <v>0.182</v>
      </c>
      <c r="AP99" s="822">
        <f t="shared" si="120"/>
        <v>34.771783680000006</v>
      </c>
      <c r="AQ99" s="824">
        <f t="shared" si="121"/>
        <v>0</v>
      </c>
      <c r="AR99" s="824">
        <f t="shared" si="122"/>
        <v>23.951025000000001</v>
      </c>
      <c r="AS99" s="824">
        <f t="shared" si="123"/>
        <v>0</v>
      </c>
      <c r="AT99" s="823">
        <f t="shared" si="124"/>
        <v>3.71</v>
      </c>
      <c r="AU99" s="844">
        <f t="shared" si="125"/>
        <v>322.65279494505501</v>
      </c>
      <c r="AV99" s="844">
        <f t="shared" si="126"/>
        <v>20.384615384615383</v>
      </c>
      <c r="AX99" s="822">
        <f t="shared" si="127"/>
        <v>34.771783680000006</v>
      </c>
      <c r="AY99" s="843"/>
      <c r="AZ99" s="852">
        <f t="shared" si="128"/>
        <v>0</v>
      </c>
      <c r="BA99" s="851">
        <f t="shared" si="129"/>
        <v>0</v>
      </c>
    </row>
    <row r="100" spans="1:53" ht="13.9" customHeight="1">
      <c r="A100" s="842">
        <f>'Data-Kolom'!A101</f>
        <v>2</v>
      </c>
      <c r="B100" s="842" t="str">
        <f>'Data-Kolom'!B101</f>
        <v>Lantai 3</v>
      </c>
      <c r="C100" s="842">
        <f>'Data-Kolom'!C101</f>
        <v>0</v>
      </c>
      <c r="D100" s="841" t="str">
        <f>'Data-Kolom'!D101</f>
        <v>K4</v>
      </c>
      <c r="E100" s="832" t="s">
        <v>237</v>
      </c>
      <c r="F100" s="840">
        <f>'Data-Kolom'!U101</f>
        <v>0</v>
      </c>
      <c r="G100" s="839">
        <f>'Data-Kolom'!T101</f>
        <v>0</v>
      </c>
      <c r="H100" s="832">
        <f>'Data-Kolom'!E101</f>
        <v>170</v>
      </c>
      <c r="I100" s="832">
        <f>'Data-Kolom'!F101</f>
        <v>400</v>
      </c>
      <c r="J100" s="832">
        <f>'Data-Kolom'!G101</f>
        <v>3500</v>
      </c>
      <c r="K100" s="831">
        <v>1</v>
      </c>
      <c r="L100" s="831"/>
      <c r="M100" s="831">
        <f>IF(L100&gt;0,VLOOKUP(L100,'Data-PC'!$B$14:$F$56,4,FALSE),0)</f>
        <v>0</v>
      </c>
      <c r="N100" s="847">
        <f>'Data-Kolom'!H101</f>
        <v>6</v>
      </c>
      <c r="O100" s="832">
        <f>'Data-Kolom'!I101</f>
        <v>16</v>
      </c>
      <c r="P100" s="850">
        <f t="shared" si="106"/>
        <v>1010</v>
      </c>
      <c r="Q100" s="831">
        <f t="shared" si="107"/>
        <v>770</v>
      </c>
      <c r="R100" s="831">
        <f t="shared" si="108"/>
        <v>3672</v>
      </c>
      <c r="S100" s="831"/>
      <c r="T100" s="849">
        <f t="shared" si="109"/>
        <v>3672</v>
      </c>
      <c r="U100" s="848">
        <f t="shared" si="110"/>
        <v>6</v>
      </c>
      <c r="V100" s="833">
        <f>'Data-Kolom'!J101</f>
        <v>0</v>
      </c>
      <c r="W100" s="832">
        <f>'Data-Kolom'!K101</f>
        <v>0</v>
      </c>
      <c r="X100" s="831">
        <f t="shared" si="111"/>
        <v>0</v>
      </c>
      <c r="Y100" s="831">
        <f t="shared" si="112"/>
        <v>0</v>
      </c>
      <c r="Z100" s="831">
        <f t="shared" si="113"/>
        <v>3480</v>
      </c>
      <c r="AA100" s="831"/>
      <c r="AB100" s="831">
        <f t="shared" si="114"/>
        <v>3480</v>
      </c>
      <c r="AC100" s="831">
        <f t="shared" si="115"/>
        <v>0</v>
      </c>
      <c r="AD100" s="847">
        <f>'Data-Kolom'!L101</f>
        <v>10</v>
      </c>
      <c r="AE100" s="846">
        <f>'Data-Kolom'!M101</f>
        <v>100</v>
      </c>
      <c r="AF100" s="846">
        <f>'Data-Kolom'!N101</f>
        <v>100</v>
      </c>
      <c r="AG100" s="846">
        <f>'Data-Kolom'!O101</f>
        <v>100</v>
      </c>
      <c r="AH100" s="846">
        <f>'Data-Kolom'!P101</f>
        <v>0</v>
      </c>
      <c r="AI100" s="846">
        <f>'Data-Kolom'!Q101</f>
        <v>0</v>
      </c>
      <c r="AJ100" s="846">
        <f>'Data-Kolom'!R101</f>
        <v>0</v>
      </c>
      <c r="AK100" s="853">
        <f>'Data-Kolom'!S101</f>
        <v>0</v>
      </c>
      <c r="AL100" s="827">
        <f t="shared" si="116"/>
        <v>1130</v>
      </c>
      <c r="AM100" s="826">
        <f t="shared" si="117"/>
        <v>0</v>
      </c>
      <c r="AN100" s="826">
        <f t="shared" si="118"/>
        <v>37</v>
      </c>
      <c r="AO100" s="845">
        <f t="shared" si="119"/>
        <v>0.23799999999999999</v>
      </c>
      <c r="AP100" s="822">
        <f t="shared" si="120"/>
        <v>34.771783680000006</v>
      </c>
      <c r="AQ100" s="824">
        <f t="shared" si="121"/>
        <v>0</v>
      </c>
      <c r="AR100" s="824">
        <f t="shared" si="122"/>
        <v>25.775865000000003</v>
      </c>
      <c r="AS100" s="824">
        <f t="shared" si="123"/>
        <v>0</v>
      </c>
      <c r="AT100" s="823">
        <f t="shared" si="124"/>
        <v>3.99</v>
      </c>
      <c r="AU100" s="844">
        <f t="shared" si="125"/>
        <v>254.40188521008409</v>
      </c>
      <c r="AV100" s="844">
        <f t="shared" si="126"/>
        <v>16.764705882352942</v>
      </c>
      <c r="AX100" s="822">
        <f t="shared" si="127"/>
        <v>34.771783680000006</v>
      </c>
      <c r="AY100" s="843"/>
      <c r="AZ100" s="852">
        <f t="shared" si="128"/>
        <v>0</v>
      </c>
      <c r="BA100" s="851">
        <f t="shared" si="129"/>
        <v>0</v>
      </c>
    </row>
    <row r="101" spans="1:53" ht="13.9" customHeight="1">
      <c r="A101" s="842">
        <f>'Data-Kolom'!A102</f>
        <v>3</v>
      </c>
      <c r="B101" s="842" t="str">
        <f>'Data-Kolom'!B102</f>
        <v>Lantai 3</v>
      </c>
      <c r="C101" s="842">
        <f>'Data-Kolom'!C102</f>
        <v>0</v>
      </c>
      <c r="D101" s="841" t="str">
        <f>'Data-Kolom'!D102</f>
        <v>K4</v>
      </c>
      <c r="E101" s="832" t="s">
        <v>237</v>
      </c>
      <c r="F101" s="840">
        <f>'Data-Kolom'!U102</f>
        <v>0</v>
      </c>
      <c r="G101" s="839">
        <f>'Data-Kolom'!T102</f>
        <v>0</v>
      </c>
      <c r="H101" s="832">
        <f>'Data-Kolom'!E102</f>
        <v>170</v>
      </c>
      <c r="I101" s="832">
        <f>'Data-Kolom'!F102</f>
        <v>400</v>
      </c>
      <c r="J101" s="832">
        <f>'Data-Kolom'!G102</f>
        <v>3500</v>
      </c>
      <c r="K101" s="831">
        <v>1</v>
      </c>
      <c r="L101" s="831"/>
      <c r="M101" s="831">
        <f>IF(L101&gt;0,VLOOKUP(L101,'Data-PC'!$B$14:$F$56,4,FALSE),0)</f>
        <v>0</v>
      </c>
      <c r="N101" s="847">
        <f>'Data-Kolom'!H102</f>
        <v>6</v>
      </c>
      <c r="O101" s="832">
        <f>'Data-Kolom'!I102</f>
        <v>16</v>
      </c>
      <c r="P101" s="850">
        <f t="shared" si="106"/>
        <v>1010</v>
      </c>
      <c r="Q101" s="831">
        <f t="shared" si="107"/>
        <v>770</v>
      </c>
      <c r="R101" s="831">
        <f t="shared" si="108"/>
        <v>3672</v>
      </c>
      <c r="S101" s="831"/>
      <c r="T101" s="849">
        <f t="shared" si="109"/>
        <v>3672</v>
      </c>
      <c r="U101" s="848">
        <f t="shared" si="110"/>
        <v>6</v>
      </c>
      <c r="V101" s="833">
        <f>'Data-Kolom'!J102</f>
        <v>0</v>
      </c>
      <c r="W101" s="832">
        <f>'Data-Kolom'!K102</f>
        <v>0</v>
      </c>
      <c r="X101" s="831">
        <f t="shared" si="111"/>
        <v>0</v>
      </c>
      <c r="Y101" s="831">
        <f t="shared" si="112"/>
        <v>0</v>
      </c>
      <c r="Z101" s="831">
        <f t="shared" si="113"/>
        <v>3480</v>
      </c>
      <c r="AA101" s="831"/>
      <c r="AB101" s="831">
        <f t="shared" si="114"/>
        <v>3480</v>
      </c>
      <c r="AC101" s="831">
        <f t="shared" si="115"/>
        <v>0</v>
      </c>
      <c r="AD101" s="847">
        <f>'Data-Kolom'!L102</f>
        <v>10</v>
      </c>
      <c r="AE101" s="846">
        <f>'Data-Kolom'!M102</f>
        <v>100</v>
      </c>
      <c r="AF101" s="846">
        <f>'Data-Kolom'!N102</f>
        <v>100</v>
      </c>
      <c r="AG101" s="846">
        <f>'Data-Kolom'!O102</f>
        <v>100</v>
      </c>
      <c r="AH101" s="846">
        <f>'Data-Kolom'!P102</f>
        <v>0</v>
      </c>
      <c r="AI101" s="846">
        <f>'Data-Kolom'!Q102</f>
        <v>0</v>
      </c>
      <c r="AJ101" s="846">
        <f>'Data-Kolom'!R102</f>
        <v>0</v>
      </c>
      <c r="AK101" s="853">
        <f>'Data-Kolom'!S102</f>
        <v>0</v>
      </c>
      <c r="AL101" s="827">
        <f t="shared" si="116"/>
        <v>1130</v>
      </c>
      <c r="AM101" s="826">
        <f t="shared" si="117"/>
        <v>0</v>
      </c>
      <c r="AN101" s="826">
        <f t="shared" si="118"/>
        <v>37</v>
      </c>
      <c r="AO101" s="845">
        <f t="shared" si="119"/>
        <v>0.23799999999999999</v>
      </c>
      <c r="AP101" s="822">
        <f t="shared" si="120"/>
        <v>34.771783680000006</v>
      </c>
      <c r="AQ101" s="824">
        <f t="shared" si="121"/>
        <v>0</v>
      </c>
      <c r="AR101" s="824">
        <f t="shared" si="122"/>
        <v>25.775865000000003</v>
      </c>
      <c r="AS101" s="824">
        <f t="shared" si="123"/>
        <v>0</v>
      </c>
      <c r="AT101" s="823">
        <f t="shared" si="124"/>
        <v>3.99</v>
      </c>
      <c r="AU101" s="844">
        <f t="shared" si="125"/>
        <v>254.40188521008409</v>
      </c>
      <c r="AV101" s="844">
        <f t="shared" si="126"/>
        <v>16.764705882352942</v>
      </c>
      <c r="AX101" s="822">
        <f t="shared" si="127"/>
        <v>34.771783680000006</v>
      </c>
      <c r="AY101" s="843"/>
      <c r="AZ101" s="852">
        <f t="shared" si="128"/>
        <v>0</v>
      </c>
      <c r="BA101" s="851">
        <f t="shared" si="129"/>
        <v>0</v>
      </c>
    </row>
    <row r="102" spans="1:53" ht="13.9" customHeight="1">
      <c r="A102" s="842">
        <f>'Data-Kolom'!A103</f>
        <v>8</v>
      </c>
      <c r="B102" s="842" t="str">
        <f>'Data-Kolom'!B103</f>
        <v>Lantai 3</v>
      </c>
      <c r="C102" s="842">
        <f>'Data-Kolom'!C103</f>
        <v>0</v>
      </c>
      <c r="D102" s="841" t="str">
        <f>'Data-Kolom'!D103</f>
        <v>K1A4</v>
      </c>
      <c r="E102" s="832" t="s">
        <v>237</v>
      </c>
      <c r="F102" s="840">
        <f>'Data-Kolom'!U103</f>
        <v>0</v>
      </c>
      <c r="G102" s="839">
        <f>'Data-Kolom'!T103</f>
        <v>0</v>
      </c>
      <c r="H102" s="832">
        <f>'Data-Kolom'!E103</f>
        <v>130</v>
      </c>
      <c r="I102" s="832">
        <f>'Data-Kolom'!F103</f>
        <v>400</v>
      </c>
      <c r="J102" s="832">
        <f>'Data-Kolom'!G103</f>
        <v>3500</v>
      </c>
      <c r="K102" s="831">
        <v>1</v>
      </c>
      <c r="L102" s="831"/>
      <c r="M102" s="831">
        <f>IF(L102&gt;0,VLOOKUP(L102,'Data-PC'!$B$14:$F$56,4,FALSE),0)</f>
        <v>0</v>
      </c>
      <c r="N102" s="847">
        <f>'Data-Kolom'!H103</f>
        <v>6</v>
      </c>
      <c r="O102" s="832">
        <f>'Data-Kolom'!I103</f>
        <v>16</v>
      </c>
      <c r="P102" s="850">
        <f t="shared" si="106"/>
        <v>1010</v>
      </c>
      <c r="Q102" s="831">
        <f t="shared" si="107"/>
        <v>770</v>
      </c>
      <c r="R102" s="831">
        <f t="shared" si="108"/>
        <v>3672</v>
      </c>
      <c r="S102" s="831"/>
      <c r="T102" s="849">
        <f t="shared" si="109"/>
        <v>3672</v>
      </c>
      <c r="U102" s="848">
        <f t="shared" si="110"/>
        <v>6</v>
      </c>
      <c r="V102" s="833">
        <f>'Data-Kolom'!J103</f>
        <v>0</v>
      </c>
      <c r="W102" s="832">
        <f>'Data-Kolom'!K103</f>
        <v>0</v>
      </c>
      <c r="X102" s="831">
        <f t="shared" si="111"/>
        <v>0</v>
      </c>
      <c r="Y102" s="831">
        <f t="shared" si="112"/>
        <v>0</v>
      </c>
      <c r="Z102" s="831">
        <f t="shared" si="113"/>
        <v>3480</v>
      </c>
      <c r="AA102" s="831"/>
      <c r="AB102" s="831">
        <f t="shared" si="114"/>
        <v>3480</v>
      </c>
      <c r="AC102" s="831">
        <f t="shared" si="115"/>
        <v>0</v>
      </c>
      <c r="AD102" s="847">
        <f>'Data-Kolom'!L103</f>
        <v>10</v>
      </c>
      <c r="AE102" s="846">
        <f>'Data-Kolom'!M103</f>
        <v>100</v>
      </c>
      <c r="AF102" s="846">
        <f>'Data-Kolom'!N103</f>
        <v>100</v>
      </c>
      <c r="AG102" s="846">
        <f>'Data-Kolom'!O103</f>
        <v>100</v>
      </c>
      <c r="AH102" s="846">
        <f>'Data-Kolom'!P103</f>
        <v>0</v>
      </c>
      <c r="AI102" s="846">
        <f>'Data-Kolom'!Q103</f>
        <v>0</v>
      </c>
      <c r="AJ102" s="846">
        <f>'Data-Kolom'!R103</f>
        <v>0</v>
      </c>
      <c r="AK102" s="853">
        <f>'Data-Kolom'!S103</f>
        <v>0</v>
      </c>
      <c r="AL102" s="827">
        <f t="shared" si="116"/>
        <v>1050</v>
      </c>
      <c r="AM102" s="826">
        <f t="shared" si="117"/>
        <v>0</v>
      </c>
      <c r="AN102" s="826">
        <f t="shared" si="118"/>
        <v>37</v>
      </c>
      <c r="AO102" s="845">
        <f t="shared" si="119"/>
        <v>0.182</v>
      </c>
      <c r="AP102" s="822">
        <f t="shared" si="120"/>
        <v>34.771783680000006</v>
      </c>
      <c r="AQ102" s="824">
        <f t="shared" si="121"/>
        <v>0</v>
      </c>
      <c r="AR102" s="824">
        <f t="shared" si="122"/>
        <v>23.951025000000001</v>
      </c>
      <c r="AS102" s="824">
        <f t="shared" si="123"/>
        <v>0</v>
      </c>
      <c r="AT102" s="823">
        <f t="shared" si="124"/>
        <v>3.71</v>
      </c>
      <c r="AU102" s="844">
        <f t="shared" si="125"/>
        <v>322.65279494505501</v>
      </c>
      <c r="AV102" s="844">
        <f t="shared" si="126"/>
        <v>20.384615384615383</v>
      </c>
      <c r="AX102" s="822">
        <f t="shared" si="127"/>
        <v>34.771783680000006</v>
      </c>
      <c r="AY102" s="843"/>
      <c r="AZ102" s="852">
        <f t="shared" si="128"/>
        <v>0</v>
      </c>
      <c r="BA102" s="851">
        <f t="shared" si="129"/>
        <v>0</v>
      </c>
    </row>
    <row r="103" spans="1:53" ht="13.9" customHeight="1">
      <c r="A103" s="842">
        <f>'Data-Kolom'!A104</f>
        <v>10</v>
      </c>
      <c r="B103" s="842" t="str">
        <f>'Data-Kolom'!B104</f>
        <v>Lantai 3</v>
      </c>
      <c r="C103" s="842">
        <f>'Data-Kolom'!C104</f>
        <v>0</v>
      </c>
      <c r="D103" s="841" t="str">
        <f>'Data-Kolom'!D104</f>
        <v>K1A4</v>
      </c>
      <c r="E103" s="832" t="s">
        <v>237</v>
      </c>
      <c r="F103" s="840">
        <f>'Data-Kolom'!U104</f>
        <v>0</v>
      </c>
      <c r="G103" s="839">
        <f>'Data-Kolom'!T104</f>
        <v>0</v>
      </c>
      <c r="H103" s="832">
        <f>'Data-Kolom'!E104</f>
        <v>130</v>
      </c>
      <c r="I103" s="832">
        <f>'Data-Kolom'!F104</f>
        <v>400</v>
      </c>
      <c r="J103" s="832">
        <f>'Data-Kolom'!G104</f>
        <v>3500</v>
      </c>
      <c r="K103" s="831">
        <v>1</v>
      </c>
      <c r="L103" s="831"/>
      <c r="M103" s="831">
        <f>IF(L103&gt;0,VLOOKUP(L103,'Data-PC'!$B$14:$F$56,4,FALSE),0)</f>
        <v>0</v>
      </c>
      <c r="N103" s="847">
        <f>'Data-Kolom'!H104</f>
        <v>6</v>
      </c>
      <c r="O103" s="832">
        <f>'Data-Kolom'!I104</f>
        <v>16</v>
      </c>
      <c r="P103" s="850">
        <f t="shared" si="106"/>
        <v>1010</v>
      </c>
      <c r="Q103" s="831">
        <f t="shared" si="107"/>
        <v>770</v>
      </c>
      <c r="R103" s="831">
        <f t="shared" si="108"/>
        <v>3672</v>
      </c>
      <c r="S103" s="831"/>
      <c r="T103" s="849">
        <f t="shared" si="109"/>
        <v>3672</v>
      </c>
      <c r="U103" s="848">
        <f t="shared" si="110"/>
        <v>6</v>
      </c>
      <c r="V103" s="833">
        <f>'Data-Kolom'!J104</f>
        <v>0</v>
      </c>
      <c r="W103" s="832">
        <f>'Data-Kolom'!K104</f>
        <v>0</v>
      </c>
      <c r="X103" s="831">
        <f t="shared" si="111"/>
        <v>0</v>
      </c>
      <c r="Y103" s="831">
        <f t="shared" si="112"/>
        <v>0</v>
      </c>
      <c r="Z103" s="831">
        <f t="shared" si="113"/>
        <v>3480</v>
      </c>
      <c r="AA103" s="831"/>
      <c r="AB103" s="831">
        <f t="shared" si="114"/>
        <v>3480</v>
      </c>
      <c r="AC103" s="831">
        <f t="shared" si="115"/>
        <v>0</v>
      </c>
      <c r="AD103" s="847">
        <f>'Data-Kolom'!L104</f>
        <v>10</v>
      </c>
      <c r="AE103" s="846">
        <f>'Data-Kolom'!M104</f>
        <v>100</v>
      </c>
      <c r="AF103" s="846">
        <f>'Data-Kolom'!N104</f>
        <v>100</v>
      </c>
      <c r="AG103" s="846">
        <f>'Data-Kolom'!O104</f>
        <v>100</v>
      </c>
      <c r="AH103" s="846">
        <f>'Data-Kolom'!P104</f>
        <v>0</v>
      </c>
      <c r="AI103" s="846">
        <f>'Data-Kolom'!Q104</f>
        <v>0</v>
      </c>
      <c r="AJ103" s="846">
        <f>'Data-Kolom'!R104</f>
        <v>0</v>
      </c>
      <c r="AK103" s="853">
        <f>'Data-Kolom'!S104</f>
        <v>0</v>
      </c>
      <c r="AL103" s="827">
        <f t="shared" si="116"/>
        <v>1050</v>
      </c>
      <c r="AM103" s="826">
        <f t="shared" si="117"/>
        <v>0</v>
      </c>
      <c r="AN103" s="826">
        <f t="shared" si="118"/>
        <v>37</v>
      </c>
      <c r="AO103" s="845">
        <f t="shared" si="119"/>
        <v>0.182</v>
      </c>
      <c r="AP103" s="822">
        <f t="shared" si="120"/>
        <v>34.771783680000006</v>
      </c>
      <c r="AQ103" s="824">
        <f t="shared" si="121"/>
        <v>0</v>
      </c>
      <c r="AR103" s="824">
        <f t="shared" si="122"/>
        <v>23.951025000000001</v>
      </c>
      <c r="AS103" s="824">
        <f t="shared" si="123"/>
        <v>0</v>
      </c>
      <c r="AT103" s="823">
        <f t="shared" si="124"/>
        <v>3.71</v>
      </c>
      <c r="AU103" s="844">
        <f t="shared" si="125"/>
        <v>322.65279494505501</v>
      </c>
      <c r="AV103" s="844">
        <f t="shared" si="126"/>
        <v>20.384615384615383</v>
      </c>
      <c r="AX103" s="822">
        <f t="shared" si="127"/>
        <v>34.771783680000006</v>
      </c>
      <c r="AY103" s="843"/>
      <c r="AZ103" s="852">
        <f t="shared" si="128"/>
        <v>0</v>
      </c>
      <c r="BA103" s="851">
        <f t="shared" si="129"/>
        <v>0</v>
      </c>
    </row>
    <row r="104" spans="1:53" ht="13.9" customHeight="1">
      <c r="A104" s="842">
        <f>'Data-Kolom'!A105</f>
        <v>11</v>
      </c>
      <c r="B104" s="842" t="str">
        <f>'Data-Kolom'!B105</f>
        <v>Lantai 3</v>
      </c>
      <c r="C104" s="842">
        <f>'Data-Kolom'!C105</f>
        <v>0</v>
      </c>
      <c r="D104" s="841" t="str">
        <f>'Data-Kolom'!D105</f>
        <v>K1A5</v>
      </c>
      <c r="E104" s="832" t="s">
        <v>237</v>
      </c>
      <c r="F104" s="840">
        <f>'Data-Kolom'!U105</f>
        <v>0</v>
      </c>
      <c r="G104" s="839">
        <f>'Data-Kolom'!T105</f>
        <v>0</v>
      </c>
      <c r="H104" s="832">
        <f>'Data-Kolom'!E105</f>
        <v>130</v>
      </c>
      <c r="I104" s="832">
        <f>'Data-Kolom'!F105</f>
        <v>500</v>
      </c>
      <c r="J104" s="832">
        <f>'Data-Kolom'!G105</f>
        <v>3500</v>
      </c>
      <c r="K104" s="831">
        <v>1</v>
      </c>
      <c r="L104" s="831"/>
      <c r="M104" s="831">
        <f>IF(L104&gt;0,VLOOKUP(L104,'Data-PC'!$B$14:$F$56,4,FALSE),0)</f>
        <v>0</v>
      </c>
      <c r="N104" s="847">
        <f>'Data-Kolom'!H105</f>
        <v>6</v>
      </c>
      <c r="O104" s="832">
        <f>'Data-Kolom'!I105</f>
        <v>16</v>
      </c>
      <c r="P104" s="850">
        <f t="shared" si="106"/>
        <v>1010</v>
      </c>
      <c r="Q104" s="831">
        <f t="shared" si="107"/>
        <v>770</v>
      </c>
      <c r="R104" s="831">
        <f t="shared" si="108"/>
        <v>3672</v>
      </c>
      <c r="S104" s="831"/>
      <c r="T104" s="849">
        <f t="shared" si="109"/>
        <v>3672</v>
      </c>
      <c r="U104" s="848">
        <f t="shared" si="110"/>
        <v>6</v>
      </c>
      <c r="V104" s="833">
        <f>'Data-Kolom'!J105</f>
        <v>0</v>
      </c>
      <c r="W104" s="832">
        <f>'Data-Kolom'!K105</f>
        <v>0</v>
      </c>
      <c r="X104" s="831">
        <f t="shared" si="111"/>
        <v>0</v>
      </c>
      <c r="Y104" s="831">
        <f t="shared" si="112"/>
        <v>0</v>
      </c>
      <c r="Z104" s="831">
        <f t="shared" si="113"/>
        <v>3480</v>
      </c>
      <c r="AA104" s="831"/>
      <c r="AB104" s="831">
        <f t="shared" si="114"/>
        <v>3480</v>
      </c>
      <c r="AC104" s="831">
        <f t="shared" si="115"/>
        <v>0</v>
      </c>
      <c r="AD104" s="847">
        <f>'Data-Kolom'!L105</f>
        <v>10</v>
      </c>
      <c r="AE104" s="846">
        <f>'Data-Kolom'!M105</f>
        <v>100</v>
      </c>
      <c r="AF104" s="846">
        <f>'Data-Kolom'!N105</f>
        <v>100</v>
      </c>
      <c r="AG104" s="846">
        <f>'Data-Kolom'!O105</f>
        <v>100</v>
      </c>
      <c r="AH104" s="846">
        <f>'Data-Kolom'!P105</f>
        <v>0</v>
      </c>
      <c r="AI104" s="846">
        <f>'Data-Kolom'!Q105</f>
        <v>0</v>
      </c>
      <c r="AJ104" s="846">
        <f>'Data-Kolom'!R105</f>
        <v>0</v>
      </c>
      <c r="AK104" s="853">
        <f>'Data-Kolom'!S105</f>
        <v>0</v>
      </c>
      <c r="AL104" s="827">
        <f t="shared" si="116"/>
        <v>1250</v>
      </c>
      <c r="AM104" s="826">
        <f t="shared" si="117"/>
        <v>0</v>
      </c>
      <c r="AN104" s="826">
        <f t="shared" si="118"/>
        <v>37</v>
      </c>
      <c r="AO104" s="845">
        <f t="shared" si="119"/>
        <v>0.22750000000000001</v>
      </c>
      <c r="AP104" s="822">
        <f t="shared" si="120"/>
        <v>34.771783680000006</v>
      </c>
      <c r="AQ104" s="824">
        <f t="shared" si="121"/>
        <v>0</v>
      </c>
      <c r="AR104" s="824">
        <f t="shared" si="122"/>
        <v>28.513124999999999</v>
      </c>
      <c r="AS104" s="824">
        <f t="shared" si="123"/>
        <v>0</v>
      </c>
      <c r="AT104" s="823">
        <f t="shared" si="124"/>
        <v>4.41</v>
      </c>
      <c r="AU104" s="844">
        <f t="shared" si="125"/>
        <v>278.17542276923075</v>
      </c>
      <c r="AV104" s="844">
        <f t="shared" si="126"/>
        <v>19.384615384615383</v>
      </c>
      <c r="AX104" s="822">
        <f t="shared" si="127"/>
        <v>34.771783680000006</v>
      </c>
      <c r="AY104" s="843"/>
      <c r="AZ104" s="852">
        <f t="shared" si="128"/>
        <v>0</v>
      </c>
      <c r="BA104" s="851">
        <f t="shared" si="129"/>
        <v>0</v>
      </c>
    </row>
    <row r="105" spans="1:53" ht="13.9" customHeight="1">
      <c r="A105" s="842">
        <f>'Data-Kolom'!A106</f>
        <v>12</v>
      </c>
      <c r="B105" s="842" t="str">
        <f>'Data-Kolom'!B106</f>
        <v>Lantai 3</v>
      </c>
      <c r="C105" s="842">
        <f>'Data-Kolom'!C106</f>
        <v>0</v>
      </c>
      <c r="D105" s="841" t="str">
        <f>'Data-Kolom'!D106</f>
        <v>K1A5</v>
      </c>
      <c r="E105" s="832" t="s">
        <v>237</v>
      </c>
      <c r="F105" s="840">
        <f>'Data-Kolom'!U106</f>
        <v>0</v>
      </c>
      <c r="G105" s="839">
        <f>'Data-Kolom'!T106</f>
        <v>0</v>
      </c>
      <c r="H105" s="832">
        <f>'Data-Kolom'!E106</f>
        <v>130</v>
      </c>
      <c r="I105" s="832">
        <f>'Data-Kolom'!F106</f>
        <v>500</v>
      </c>
      <c r="J105" s="832">
        <f>'Data-Kolom'!G106</f>
        <v>3500</v>
      </c>
      <c r="K105" s="831">
        <v>1</v>
      </c>
      <c r="L105" s="831"/>
      <c r="M105" s="831">
        <f>IF(L105&gt;0,VLOOKUP(L105,'Data-PC'!$B$14:$F$56,4,FALSE),0)</f>
        <v>0</v>
      </c>
      <c r="N105" s="847">
        <f>'Data-Kolom'!H106</f>
        <v>6</v>
      </c>
      <c r="O105" s="832">
        <f>'Data-Kolom'!I106</f>
        <v>16</v>
      </c>
      <c r="P105" s="850">
        <f t="shared" si="106"/>
        <v>1010</v>
      </c>
      <c r="Q105" s="831">
        <f t="shared" si="107"/>
        <v>770</v>
      </c>
      <c r="R105" s="831">
        <f t="shared" si="108"/>
        <v>3672</v>
      </c>
      <c r="S105" s="831"/>
      <c r="T105" s="849">
        <f t="shared" si="109"/>
        <v>3672</v>
      </c>
      <c r="U105" s="848">
        <f t="shared" si="110"/>
        <v>6</v>
      </c>
      <c r="V105" s="833">
        <f>'Data-Kolom'!J106</f>
        <v>0</v>
      </c>
      <c r="W105" s="832">
        <f>'Data-Kolom'!K106</f>
        <v>0</v>
      </c>
      <c r="X105" s="831">
        <f t="shared" si="111"/>
        <v>0</v>
      </c>
      <c r="Y105" s="831">
        <f t="shared" si="112"/>
        <v>0</v>
      </c>
      <c r="Z105" s="831">
        <f t="shared" si="113"/>
        <v>3480</v>
      </c>
      <c r="AA105" s="831"/>
      <c r="AB105" s="831">
        <f t="shared" si="114"/>
        <v>3480</v>
      </c>
      <c r="AC105" s="831">
        <f t="shared" si="115"/>
        <v>0</v>
      </c>
      <c r="AD105" s="847">
        <f>'Data-Kolom'!L106</f>
        <v>10</v>
      </c>
      <c r="AE105" s="846">
        <f>'Data-Kolom'!M106</f>
        <v>100</v>
      </c>
      <c r="AF105" s="846">
        <f>'Data-Kolom'!N106</f>
        <v>100</v>
      </c>
      <c r="AG105" s="846">
        <f>'Data-Kolom'!O106</f>
        <v>100</v>
      </c>
      <c r="AH105" s="846">
        <f>'Data-Kolom'!P106</f>
        <v>0</v>
      </c>
      <c r="AI105" s="846">
        <f>'Data-Kolom'!Q106</f>
        <v>0</v>
      </c>
      <c r="AJ105" s="846">
        <f>'Data-Kolom'!R106</f>
        <v>0</v>
      </c>
      <c r="AK105" s="853">
        <f>'Data-Kolom'!S106</f>
        <v>0</v>
      </c>
      <c r="AL105" s="827">
        <f t="shared" si="116"/>
        <v>1250</v>
      </c>
      <c r="AM105" s="826">
        <f t="shared" si="117"/>
        <v>0</v>
      </c>
      <c r="AN105" s="826">
        <f t="shared" si="118"/>
        <v>37</v>
      </c>
      <c r="AO105" s="845">
        <f t="shared" si="119"/>
        <v>0.22750000000000001</v>
      </c>
      <c r="AP105" s="822">
        <f t="shared" si="120"/>
        <v>34.771783680000006</v>
      </c>
      <c r="AQ105" s="824">
        <f t="shared" si="121"/>
        <v>0</v>
      </c>
      <c r="AR105" s="824">
        <f t="shared" si="122"/>
        <v>28.513124999999999</v>
      </c>
      <c r="AS105" s="824">
        <f t="shared" si="123"/>
        <v>0</v>
      </c>
      <c r="AT105" s="823">
        <f t="shared" si="124"/>
        <v>4.41</v>
      </c>
      <c r="AU105" s="844">
        <f t="shared" si="125"/>
        <v>278.17542276923075</v>
      </c>
      <c r="AV105" s="844">
        <f t="shared" si="126"/>
        <v>19.384615384615383</v>
      </c>
      <c r="AX105" s="822">
        <f t="shared" si="127"/>
        <v>34.771783680000006</v>
      </c>
      <c r="AY105" s="843"/>
      <c r="AZ105" s="852">
        <f t="shared" si="128"/>
        <v>0</v>
      </c>
      <c r="BA105" s="851">
        <f t="shared" si="129"/>
        <v>0</v>
      </c>
    </row>
    <row r="106" spans="1:53" ht="13.9" customHeight="1">
      <c r="A106" s="842">
        <f>'Data-Kolom'!A107</f>
        <v>14</v>
      </c>
      <c r="B106" s="842" t="str">
        <f>'Data-Kolom'!B107</f>
        <v>Lantai 3</v>
      </c>
      <c r="C106" s="842">
        <f>'Data-Kolom'!C107</f>
        <v>0</v>
      </c>
      <c r="D106" s="841" t="str">
        <f>'Data-Kolom'!D107</f>
        <v>K1A4</v>
      </c>
      <c r="E106" s="832" t="s">
        <v>237</v>
      </c>
      <c r="F106" s="840">
        <f>'Data-Kolom'!U107</f>
        <v>0</v>
      </c>
      <c r="G106" s="839">
        <f>'Data-Kolom'!T107</f>
        <v>0</v>
      </c>
      <c r="H106" s="832">
        <f>'Data-Kolom'!E107</f>
        <v>130</v>
      </c>
      <c r="I106" s="832">
        <f>'Data-Kolom'!F107</f>
        <v>400</v>
      </c>
      <c r="J106" s="832">
        <f>'Data-Kolom'!G107</f>
        <v>3500</v>
      </c>
      <c r="K106" s="831">
        <v>1</v>
      </c>
      <c r="L106" s="831"/>
      <c r="M106" s="831">
        <f>IF(L106&gt;0,VLOOKUP(L106,'Data-PC'!$B$14:$F$56,4,FALSE),0)</f>
        <v>0</v>
      </c>
      <c r="N106" s="847">
        <f>'Data-Kolom'!H107</f>
        <v>6</v>
      </c>
      <c r="O106" s="832">
        <f>'Data-Kolom'!I107</f>
        <v>16</v>
      </c>
      <c r="P106" s="850">
        <f t="shared" si="106"/>
        <v>1010</v>
      </c>
      <c r="Q106" s="831">
        <f t="shared" si="107"/>
        <v>770</v>
      </c>
      <c r="R106" s="831">
        <f t="shared" si="108"/>
        <v>3672</v>
      </c>
      <c r="S106" s="831"/>
      <c r="T106" s="849">
        <f t="shared" si="109"/>
        <v>3672</v>
      </c>
      <c r="U106" s="848">
        <f t="shared" si="110"/>
        <v>6</v>
      </c>
      <c r="V106" s="833">
        <f>'Data-Kolom'!J107</f>
        <v>0</v>
      </c>
      <c r="W106" s="832">
        <f>'Data-Kolom'!K107</f>
        <v>0</v>
      </c>
      <c r="X106" s="831">
        <f t="shared" si="111"/>
        <v>0</v>
      </c>
      <c r="Y106" s="831">
        <f t="shared" si="112"/>
        <v>0</v>
      </c>
      <c r="Z106" s="831">
        <f t="shared" si="113"/>
        <v>3480</v>
      </c>
      <c r="AA106" s="831"/>
      <c r="AB106" s="831">
        <f t="shared" si="114"/>
        <v>3480</v>
      </c>
      <c r="AC106" s="831">
        <f t="shared" si="115"/>
        <v>0</v>
      </c>
      <c r="AD106" s="847">
        <f>'Data-Kolom'!L107</f>
        <v>10</v>
      </c>
      <c r="AE106" s="846">
        <f>'Data-Kolom'!M107</f>
        <v>100</v>
      </c>
      <c r="AF106" s="846">
        <f>'Data-Kolom'!N107</f>
        <v>100</v>
      </c>
      <c r="AG106" s="846">
        <f>'Data-Kolom'!O107</f>
        <v>100</v>
      </c>
      <c r="AH106" s="846">
        <f>'Data-Kolom'!P107</f>
        <v>0</v>
      </c>
      <c r="AI106" s="846">
        <f>'Data-Kolom'!Q107</f>
        <v>0</v>
      </c>
      <c r="AJ106" s="846">
        <f>'Data-Kolom'!R107</f>
        <v>0</v>
      </c>
      <c r="AK106" s="853">
        <f>'Data-Kolom'!S107</f>
        <v>0</v>
      </c>
      <c r="AL106" s="827">
        <f t="shared" si="116"/>
        <v>1050</v>
      </c>
      <c r="AM106" s="826">
        <f t="shared" si="117"/>
        <v>0</v>
      </c>
      <c r="AN106" s="826">
        <f t="shared" si="118"/>
        <v>37</v>
      </c>
      <c r="AO106" s="845">
        <f t="shared" si="119"/>
        <v>0.182</v>
      </c>
      <c r="AP106" s="822">
        <f t="shared" si="120"/>
        <v>34.771783680000006</v>
      </c>
      <c r="AQ106" s="824">
        <f t="shared" si="121"/>
        <v>0</v>
      </c>
      <c r="AR106" s="824">
        <f t="shared" si="122"/>
        <v>23.951025000000001</v>
      </c>
      <c r="AS106" s="824">
        <f t="shared" si="123"/>
        <v>0</v>
      </c>
      <c r="AT106" s="823">
        <f t="shared" si="124"/>
        <v>3.71</v>
      </c>
      <c r="AU106" s="844">
        <f t="shared" si="125"/>
        <v>322.65279494505501</v>
      </c>
      <c r="AV106" s="844">
        <f t="shared" si="126"/>
        <v>20.384615384615383</v>
      </c>
      <c r="AX106" s="822">
        <f t="shared" si="127"/>
        <v>34.771783680000006</v>
      </c>
      <c r="AY106" s="843"/>
      <c r="AZ106" s="852">
        <f t="shared" si="128"/>
        <v>0</v>
      </c>
      <c r="BA106" s="851">
        <f t="shared" si="129"/>
        <v>0</v>
      </c>
    </row>
    <row r="107" spans="1:53" ht="13.9" customHeight="1">
      <c r="A107" s="842">
        <f>'Data-Kolom'!A108</f>
        <v>15</v>
      </c>
      <c r="B107" s="842" t="str">
        <f>'Data-Kolom'!B108</f>
        <v>Lantai 3</v>
      </c>
      <c r="C107" s="842">
        <f>'Data-Kolom'!C108</f>
        <v>0</v>
      </c>
      <c r="D107" s="841" t="str">
        <f>'Data-Kolom'!D108</f>
        <v>K1A4</v>
      </c>
      <c r="E107" s="832" t="s">
        <v>237</v>
      </c>
      <c r="F107" s="840">
        <f>'Data-Kolom'!U108</f>
        <v>0</v>
      </c>
      <c r="G107" s="839">
        <f>'Data-Kolom'!T108</f>
        <v>0</v>
      </c>
      <c r="H107" s="832">
        <f>'Data-Kolom'!E108</f>
        <v>130</v>
      </c>
      <c r="I107" s="832">
        <f>'Data-Kolom'!F108</f>
        <v>400</v>
      </c>
      <c r="J107" s="832">
        <f>'Data-Kolom'!G108</f>
        <v>3500</v>
      </c>
      <c r="K107" s="831">
        <v>1</v>
      </c>
      <c r="L107" s="831"/>
      <c r="M107" s="831">
        <f>IF(L107&gt;0,VLOOKUP(L107,'Data-PC'!$B$14:$F$56,4,FALSE),0)</f>
        <v>0</v>
      </c>
      <c r="N107" s="847">
        <f>'Data-Kolom'!H108</f>
        <v>6</v>
      </c>
      <c r="O107" s="832">
        <f>'Data-Kolom'!I108</f>
        <v>16</v>
      </c>
      <c r="P107" s="850">
        <f t="shared" si="106"/>
        <v>1010</v>
      </c>
      <c r="Q107" s="831">
        <f t="shared" si="107"/>
        <v>770</v>
      </c>
      <c r="R107" s="831">
        <f t="shared" si="108"/>
        <v>3672</v>
      </c>
      <c r="S107" s="831"/>
      <c r="T107" s="849">
        <f t="shared" si="109"/>
        <v>3672</v>
      </c>
      <c r="U107" s="848">
        <f t="shared" si="110"/>
        <v>6</v>
      </c>
      <c r="V107" s="833">
        <f>'Data-Kolom'!J108</f>
        <v>0</v>
      </c>
      <c r="W107" s="832">
        <f>'Data-Kolom'!K108</f>
        <v>0</v>
      </c>
      <c r="X107" s="831">
        <f t="shared" si="111"/>
        <v>0</v>
      </c>
      <c r="Y107" s="831">
        <f t="shared" si="112"/>
        <v>0</v>
      </c>
      <c r="Z107" s="831">
        <f t="shared" si="113"/>
        <v>3480</v>
      </c>
      <c r="AA107" s="831"/>
      <c r="AB107" s="831">
        <f t="shared" si="114"/>
        <v>3480</v>
      </c>
      <c r="AC107" s="831">
        <f t="shared" si="115"/>
        <v>0</v>
      </c>
      <c r="AD107" s="847">
        <f>'Data-Kolom'!L108</f>
        <v>10</v>
      </c>
      <c r="AE107" s="846">
        <f>'Data-Kolom'!M108</f>
        <v>100</v>
      </c>
      <c r="AF107" s="846">
        <f>'Data-Kolom'!N108</f>
        <v>100</v>
      </c>
      <c r="AG107" s="846">
        <f>'Data-Kolom'!O108</f>
        <v>100</v>
      </c>
      <c r="AH107" s="846">
        <f>'Data-Kolom'!P108</f>
        <v>0</v>
      </c>
      <c r="AI107" s="846">
        <f>'Data-Kolom'!Q108</f>
        <v>0</v>
      </c>
      <c r="AJ107" s="846">
        <f>'Data-Kolom'!R108</f>
        <v>0</v>
      </c>
      <c r="AK107" s="853">
        <f>'Data-Kolom'!S108</f>
        <v>0</v>
      </c>
      <c r="AL107" s="827">
        <f t="shared" si="116"/>
        <v>1050</v>
      </c>
      <c r="AM107" s="826">
        <f t="shared" si="117"/>
        <v>0</v>
      </c>
      <c r="AN107" s="826">
        <f t="shared" si="118"/>
        <v>37</v>
      </c>
      <c r="AO107" s="845">
        <f t="shared" si="119"/>
        <v>0.182</v>
      </c>
      <c r="AP107" s="822">
        <f t="shared" si="120"/>
        <v>34.771783680000006</v>
      </c>
      <c r="AQ107" s="824">
        <f t="shared" si="121"/>
        <v>0</v>
      </c>
      <c r="AR107" s="824">
        <f t="shared" si="122"/>
        <v>23.951025000000001</v>
      </c>
      <c r="AS107" s="824">
        <f t="shared" si="123"/>
        <v>0</v>
      </c>
      <c r="AT107" s="823">
        <f t="shared" si="124"/>
        <v>3.71</v>
      </c>
      <c r="AU107" s="844">
        <f t="shared" si="125"/>
        <v>322.65279494505501</v>
      </c>
      <c r="AV107" s="844">
        <f t="shared" si="126"/>
        <v>20.384615384615383</v>
      </c>
      <c r="AX107" s="822">
        <f t="shared" si="127"/>
        <v>34.771783680000006</v>
      </c>
      <c r="AY107" s="843"/>
      <c r="AZ107" s="852">
        <f t="shared" si="128"/>
        <v>0</v>
      </c>
      <c r="BA107" s="851">
        <f t="shared" si="129"/>
        <v>0</v>
      </c>
    </row>
    <row r="108" spans="1:53" ht="13.9" customHeight="1">
      <c r="A108" s="842">
        <f>'Data-Kolom'!A109</f>
        <v>17</v>
      </c>
      <c r="B108" s="842" t="str">
        <f>'Data-Kolom'!B109</f>
        <v>Lantai 3</v>
      </c>
      <c r="C108" s="842">
        <f>'Data-Kolom'!C109</f>
        <v>0</v>
      </c>
      <c r="D108" s="841" t="str">
        <f>'Data-Kolom'!D109</f>
        <v>K1A4</v>
      </c>
      <c r="E108" s="832" t="s">
        <v>237</v>
      </c>
      <c r="F108" s="840">
        <f>'Data-Kolom'!U109</f>
        <v>0</v>
      </c>
      <c r="G108" s="839">
        <f>'Data-Kolom'!T109</f>
        <v>0</v>
      </c>
      <c r="H108" s="832">
        <f>'Data-Kolom'!E109</f>
        <v>130</v>
      </c>
      <c r="I108" s="832">
        <f>'Data-Kolom'!F109</f>
        <v>400</v>
      </c>
      <c r="J108" s="832">
        <f>'Data-Kolom'!G109</f>
        <v>3500</v>
      </c>
      <c r="K108" s="831">
        <v>1</v>
      </c>
      <c r="L108" s="831"/>
      <c r="M108" s="831">
        <f>IF(L108&gt;0,VLOOKUP(L108,'Data-PC'!$B$14:$F$56,4,FALSE),0)</f>
        <v>0</v>
      </c>
      <c r="N108" s="847">
        <f>'Data-Kolom'!H109</f>
        <v>6</v>
      </c>
      <c r="O108" s="832">
        <f>'Data-Kolom'!I109</f>
        <v>16</v>
      </c>
      <c r="P108" s="850">
        <f t="shared" si="106"/>
        <v>1010</v>
      </c>
      <c r="Q108" s="831">
        <f t="shared" si="107"/>
        <v>770</v>
      </c>
      <c r="R108" s="831">
        <f t="shared" si="108"/>
        <v>3672</v>
      </c>
      <c r="S108" s="831"/>
      <c r="T108" s="849">
        <f t="shared" si="109"/>
        <v>3672</v>
      </c>
      <c r="U108" s="848">
        <f t="shared" si="110"/>
        <v>6</v>
      </c>
      <c r="V108" s="833">
        <f>'Data-Kolom'!J109</f>
        <v>0</v>
      </c>
      <c r="W108" s="832">
        <f>'Data-Kolom'!K109</f>
        <v>0</v>
      </c>
      <c r="X108" s="831">
        <f t="shared" si="111"/>
        <v>0</v>
      </c>
      <c r="Y108" s="831">
        <f t="shared" si="112"/>
        <v>0</v>
      </c>
      <c r="Z108" s="831">
        <f t="shared" si="113"/>
        <v>3480</v>
      </c>
      <c r="AA108" s="831"/>
      <c r="AB108" s="831">
        <f t="shared" si="114"/>
        <v>3480</v>
      </c>
      <c r="AC108" s="831">
        <f t="shared" si="115"/>
        <v>0</v>
      </c>
      <c r="AD108" s="847">
        <f>'Data-Kolom'!L109</f>
        <v>10</v>
      </c>
      <c r="AE108" s="846">
        <f>'Data-Kolom'!M109</f>
        <v>100</v>
      </c>
      <c r="AF108" s="846">
        <f>'Data-Kolom'!N109</f>
        <v>100</v>
      </c>
      <c r="AG108" s="846">
        <f>'Data-Kolom'!O109</f>
        <v>100</v>
      </c>
      <c r="AH108" s="846">
        <f>'Data-Kolom'!P109</f>
        <v>0</v>
      </c>
      <c r="AI108" s="846">
        <f>'Data-Kolom'!Q109</f>
        <v>0</v>
      </c>
      <c r="AJ108" s="846">
        <f>'Data-Kolom'!R109</f>
        <v>0</v>
      </c>
      <c r="AK108" s="853">
        <f>'Data-Kolom'!S109</f>
        <v>0</v>
      </c>
      <c r="AL108" s="827">
        <f t="shared" si="116"/>
        <v>1050</v>
      </c>
      <c r="AM108" s="826">
        <f t="shared" si="117"/>
        <v>0</v>
      </c>
      <c r="AN108" s="826">
        <f t="shared" si="118"/>
        <v>37</v>
      </c>
      <c r="AO108" s="845">
        <f t="shared" si="119"/>
        <v>0.182</v>
      </c>
      <c r="AP108" s="822">
        <f t="shared" si="120"/>
        <v>34.771783680000006</v>
      </c>
      <c r="AQ108" s="824">
        <f t="shared" si="121"/>
        <v>0</v>
      </c>
      <c r="AR108" s="824">
        <f t="shared" si="122"/>
        <v>23.951025000000001</v>
      </c>
      <c r="AS108" s="824">
        <f t="shared" si="123"/>
        <v>0</v>
      </c>
      <c r="AT108" s="823">
        <f t="shared" si="124"/>
        <v>3.71</v>
      </c>
      <c r="AU108" s="844">
        <f t="shared" si="125"/>
        <v>322.65279494505501</v>
      </c>
      <c r="AV108" s="844">
        <f t="shared" si="126"/>
        <v>20.384615384615383</v>
      </c>
      <c r="AX108" s="822">
        <f t="shared" si="127"/>
        <v>34.771783680000006</v>
      </c>
      <c r="AY108" s="843"/>
      <c r="AZ108" s="852">
        <f t="shared" si="128"/>
        <v>0</v>
      </c>
      <c r="BA108" s="851">
        <f t="shared" si="129"/>
        <v>0</v>
      </c>
    </row>
    <row r="109" spans="1:53" s="2053" customFormat="1" ht="13.9" customHeight="1">
      <c r="A109" s="2033">
        <f>'Data-Kolom'!A110</f>
        <v>18</v>
      </c>
      <c r="B109" s="2033" t="str">
        <f>'Data-Kolom'!B110</f>
        <v>Lantai 3</v>
      </c>
      <c r="C109" s="2033">
        <f>'Data-Kolom'!C110</f>
        <v>0</v>
      </c>
      <c r="D109" s="2034" t="str">
        <f>'Data-Kolom'!D110</f>
        <v>KL55</v>
      </c>
      <c r="E109" s="2035" t="s">
        <v>237</v>
      </c>
      <c r="F109" s="2036">
        <f>'Data-Kolom'!U110</f>
        <v>0</v>
      </c>
      <c r="G109" s="2037">
        <f>'Data-Kolom'!T110</f>
        <v>0</v>
      </c>
      <c r="H109" s="2035">
        <f>'Data-Kolom'!E110</f>
        <v>170</v>
      </c>
      <c r="I109" s="2035">
        <f>'Data-Kolom'!F110</f>
        <v>500</v>
      </c>
      <c r="J109" s="2035">
        <f>'Data-Kolom'!G110</f>
        <v>3500</v>
      </c>
      <c r="K109" s="2038">
        <v>2</v>
      </c>
      <c r="L109" s="2038"/>
      <c r="M109" s="2038">
        <f>IF(L109&gt;0,VLOOKUP(L109,'Data-PC'!$B$14:$F$56,4,FALSE),0)</f>
        <v>0</v>
      </c>
      <c r="N109" s="2039">
        <f>'Data-Kolom'!H110</f>
        <v>6</v>
      </c>
      <c r="O109" s="2035">
        <f>'Data-Kolom'!I110</f>
        <v>16</v>
      </c>
      <c r="P109" s="2040">
        <f t="shared" si="106"/>
        <v>1010</v>
      </c>
      <c r="Q109" s="2038">
        <f t="shared" si="107"/>
        <v>770</v>
      </c>
      <c r="R109" s="2038">
        <f t="shared" si="108"/>
        <v>3672</v>
      </c>
      <c r="S109" s="2038"/>
      <c r="T109" s="2041">
        <f t="shared" si="109"/>
        <v>3672</v>
      </c>
      <c r="U109" s="2042">
        <f t="shared" si="110"/>
        <v>12</v>
      </c>
      <c r="V109" s="2043">
        <f>'Data-Kolom'!J110</f>
        <v>0</v>
      </c>
      <c r="W109" s="2035">
        <f>'Data-Kolom'!K110</f>
        <v>0</v>
      </c>
      <c r="X109" s="2038">
        <f t="shared" si="111"/>
        <v>0</v>
      </c>
      <c r="Y109" s="2038">
        <f t="shared" si="112"/>
        <v>0</v>
      </c>
      <c r="Z109" s="2038">
        <f t="shared" si="113"/>
        <v>3480</v>
      </c>
      <c r="AA109" s="2038"/>
      <c r="AB109" s="2038">
        <f t="shared" si="114"/>
        <v>3480</v>
      </c>
      <c r="AC109" s="2038">
        <f t="shared" si="115"/>
        <v>0</v>
      </c>
      <c r="AD109" s="2039">
        <f>'Data-Kolom'!L110</f>
        <v>10</v>
      </c>
      <c r="AE109" s="2044">
        <f>'Data-Kolom'!M110</f>
        <v>100</v>
      </c>
      <c r="AF109" s="2044">
        <f>'Data-Kolom'!N110</f>
        <v>100</v>
      </c>
      <c r="AG109" s="2044">
        <f>'Data-Kolom'!O110</f>
        <v>100</v>
      </c>
      <c r="AH109" s="2044">
        <f>'Data-Kolom'!P110</f>
        <v>0</v>
      </c>
      <c r="AI109" s="2044">
        <f>'Data-Kolom'!Q110</f>
        <v>0</v>
      </c>
      <c r="AJ109" s="2044">
        <f>'Data-Kolom'!R110</f>
        <v>0</v>
      </c>
      <c r="AK109" s="2045">
        <f>'Data-Kolom'!S110</f>
        <v>0</v>
      </c>
      <c r="AL109" s="2046">
        <f t="shared" si="116"/>
        <v>1330</v>
      </c>
      <c r="AM109" s="2047">
        <f t="shared" si="117"/>
        <v>0</v>
      </c>
      <c r="AN109" s="2047">
        <f t="shared" si="118"/>
        <v>74</v>
      </c>
      <c r="AO109" s="2048">
        <f t="shared" si="119"/>
        <v>0.59499999999999997</v>
      </c>
      <c r="AP109" s="2049">
        <f t="shared" si="120"/>
        <v>69.543567360000011</v>
      </c>
      <c r="AQ109" s="2050">
        <f t="shared" si="121"/>
        <v>0</v>
      </c>
      <c r="AR109" s="2050">
        <f t="shared" si="122"/>
        <v>60.675930000000001</v>
      </c>
      <c r="AS109" s="2050">
        <f t="shared" si="123"/>
        <v>0</v>
      </c>
      <c r="AT109" s="2051">
        <f t="shared" si="124"/>
        <v>9.3800000000000008</v>
      </c>
      <c r="AU109" s="2052">
        <f t="shared" si="125"/>
        <v>218.85629808403365</v>
      </c>
      <c r="AV109" s="2052">
        <f t="shared" si="126"/>
        <v>15.764705882352944</v>
      </c>
      <c r="AX109" s="2049">
        <f t="shared" si="127"/>
        <v>69.543567360000011</v>
      </c>
      <c r="AY109" s="2054"/>
      <c r="AZ109" s="2055">
        <f t="shared" si="128"/>
        <v>0</v>
      </c>
      <c r="BA109" s="2056">
        <f t="shared" si="129"/>
        <v>0</v>
      </c>
    </row>
    <row r="110" spans="1:53" s="2053" customFormat="1" ht="13.9" customHeight="1">
      <c r="A110" s="2033">
        <f>'Data-Kolom'!A111</f>
        <v>19</v>
      </c>
      <c r="B110" s="2033" t="str">
        <f>'Data-Kolom'!B111</f>
        <v>Lantai 3</v>
      </c>
      <c r="C110" s="2033">
        <f>'Data-Kolom'!C111</f>
        <v>0</v>
      </c>
      <c r="D110" s="2034" t="str">
        <f>'Data-Kolom'!D111</f>
        <v>KL55</v>
      </c>
      <c r="E110" s="2035" t="s">
        <v>237</v>
      </c>
      <c r="F110" s="2036">
        <f>'Data-Kolom'!U111</f>
        <v>0</v>
      </c>
      <c r="G110" s="2037">
        <f>'Data-Kolom'!T111</f>
        <v>0</v>
      </c>
      <c r="H110" s="2035">
        <f>'Data-Kolom'!E111</f>
        <v>170</v>
      </c>
      <c r="I110" s="2035">
        <f>'Data-Kolom'!F111</f>
        <v>500</v>
      </c>
      <c r="J110" s="2035">
        <f>'Data-Kolom'!G111</f>
        <v>3500</v>
      </c>
      <c r="K110" s="2038">
        <v>2</v>
      </c>
      <c r="L110" s="2038"/>
      <c r="M110" s="2038">
        <f>IF(L110&gt;0,VLOOKUP(L110,'Data-PC'!$B$14:$F$56,4,FALSE),0)</f>
        <v>0</v>
      </c>
      <c r="N110" s="2039">
        <f>'Data-Kolom'!H111</f>
        <v>6</v>
      </c>
      <c r="O110" s="2035">
        <f>'Data-Kolom'!I111</f>
        <v>16</v>
      </c>
      <c r="P110" s="2040">
        <f t="shared" si="106"/>
        <v>1010</v>
      </c>
      <c r="Q110" s="2038">
        <f t="shared" si="107"/>
        <v>770</v>
      </c>
      <c r="R110" s="2038">
        <f t="shared" si="108"/>
        <v>3672</v>
      </c>
      <c r="S110" s="2038"/>
      <c r="T110" s="2041">
        <f t="shared" si="109"/>
        <v>3672</v>
      </c>
      <c r="U110" s="2042">
        <f t="shared" si="110"/>
        <v>12</v>
      </c>
      <c r="V110" s="2043">
        <f>'Data-Kolom'!J111</f>
        <v>0</v>
      </c>
      <c r="W110" s="2035">
        <f>'Data-Kolom'!K111</f>
        <v>0</v>
      </c>
      <c r="X110" s="2038">
        <f t="shared" si="111"/>
        <v>0</v>
      </c>
      <c r="Y110" s="2038">
        <f t="shared" si="112"/>
        <v>0</v>
      </c>
      <c r="Z110" s="2038">
        <f t="shared" si="113"/>
        <v>3480</v>
      </c>
      <c r="AA110" s="2038"/>
      <c r="AB110" s="2038">
        <f t="shared" si="114"/>
        <v>3480</v>
      </c>
      <c r="AC110" s="2038">
        <f t="shared" si="115"/>
        <v>0</v>
      </c>
      <c r="AD110" s="2039">
        <f>'Data-Kolom'!L111</f>
        <v>10</v>
      </c>
      <c r="AE110" s="2044">
        <f>'Data-Kolom'!M111</f>
        <v>100</v>
      </c>
      <c r="AF110" s="2044">
        <f>'Data-Kolom'!N111</f>
        <v>100</v>
      </c>
      <c r="AG110" s="2044">
        <f>'Data-Kolom'!O111</f>
        <v>100</v>
      </c>
      <c r="AH110" s="2044">
        <f>'Data-Kolom'!P111</f>
        <v>0</v>
      </c>
      <c r="AI110" s="2044">
        <f>'Data-Kolom'!Q111</f>
        <v>0</v>
      </c>
      <c r="AJ110" s="2044">
        <f>'Data-Kolom'!R111</f>
        <v>0</v>
      </c>
      <c r="AK110" s="2045">
        <f>'Data-Kolom'!S111</f>
        <v>0</v>
      </c>
      <c r="AL110" s="2046">
        <f t="shared" si="116"/>
        <v>1330</v>
      </c>
      <c r="AM110" s="2047">
        <f t="shared" si="117"/>
        <v>0</v>
      </c>
      <c r="AN110" s="2047">
        <f t="shared" si="118"/>
        <v>74</v>
      </c>
      <c r="AO110" s="2048">
        <f t="shared" si="119"/>
        <v>0.59499999999999997</v>
      </c>
      <c r="AP110" s="2049">
        <f t="shared" si="120"/>
        <v>69.543567360000011</v>
      </c>
      <c r="AQ110" s="2050">
        <f t="shared" si="121"/>
        <v>0</v>
      </c>
      <c r="AR110" s="2050">
        <f t="shared" si="122"/>
        <v>60.675930000000001</v>
      </c>
      <c r="AS110" s="2050">
        <f t="shared" si="123"/>
        <v>0</v>
      </c>
      <c r="AT110" s="2051">
        <f t="shared" si="124"/>
        <v>9.3800000000000008</v>
      </c>
      <c r="AU110" s="2052">
        <f t="shared" si="125"/>
        <v>218.85629808403365</v>
      </c>
      <c r="AV110" s="2052">
        <f t="shared" si="126"/>
        <v>15.764705882352944</v>
      </c>
      <c r="AX110" s="2049">
        <f t="shared" si="127"/>
        <v>69.543567360000011</v>
      </c>
      <c r="AY110" s="2054"/>
      <c r="AZ110" s="2055">
        <f t="shared" si="128"/>
        <v>0</v>
      </c>
      <c r="BA110" s="2056">
        <f t="shared" si="129"/>
        <v>0</v>
      </c>
    </row>
    <row r="111" spans="1:53" ht="13.9" customHeight="1">
      <c r="A111" s="842">
        <f>'Data-Kolom'!A112</f>
        <v>20</v>
      </c>
      <c r="B111" s="842" t="str">
        <f>'Data-Kolom'!B112</f>
        <v>Lantai 3</v>
      </c>
      <c r="C111" s="842">
        <f>'Data-Kolom'!C112</f>
        <v>0</v>
      </c>
      <c r="D111" s="841" t="str">
        <f>'Data-Kolom'!D112</f>
        <v>K1A5</v>
      </c>
      <c r="E111" s="832" t="s">
        <v>237</v>
      </c>
      <c r="F111" s="840">
        <f>'Data-Kolom'!U112</f>
        <v>0</v>
      </c>
      <c r="G111" s="839">
        <f>'Data-Kolom'!T112</f>
        <v>0</v>
      </c>
      <c r="H111" s="832">
        <f>'Data-Kolom'!E112</f>
        <v>130</v>
      </c>
      <c r="I111" s="832">
        <f>'Data-Kolom'!F112</f>
        <v>500</v>
      </c>
      <c r="J111" s="832">
        <f>'Data-Kolom'!G112</f>
        <v>3500</v>
      </c>
      <c r="K111" s="831">
        <v>1</v>
      </c>
      <c r="L111" s="831"/>
      <c r="M111" s="831">
        <f>IF(L111&gt;0,VLOOKUP(L111,'Data-PC'!$B$14:$F$56,4,FALSE),0)</f>
        <v>0</v>
      </c>
      <c r="N111" s="847">
        <f>'Data-Kolom'!H112</f>
        <v>6</v>
      </c>
      <c r="O111" s="832">
        <f>'Data-Kolom'!I112</f>
        <v>16</v>
      </c>
      <c r="P111" s="850">
        <f t="shared" si="106"/>
        <v>1010</v>
      </c>
      <c r="Q111" s="831">
        <f t="shared" si="107"/>
        <v>770</v>
      </c>
      <c r="R111" s="831">
        <f t="shared" si="108"/>
        <v>3672</v>
      </c>
      <c r="S111" s="831"/>
      <c r="T111" s="849">
        <f t="shared" si="109"/>
        <v>3672</v>
      </c>
      <c r="U111" s="848">
        <f t="shared" si="110"/>
        <v>6</v>
      </c>
      <c r="V111" s="833">
        <f>'Data-Kolom'!J112</f>
        <v>0</v>
      </c>
      <c r="W111" s="832">
        <f>'Data-Kolom'!K112</f>
        <v>0</v>
      </c>
      <c r="X111" s="831">
        <f t="shared" si="111"/>
        <v>0</v>
      </c>
      <c r="Y111" s="831">
        <f t="shared" si="112"/>
        <v>0</v>
      </c>
      <c r="Z111" s="831">
        <f t="shared" si="113"/>
        <v>3480</v>
      </c>
      <c r="AA111" s="831"/>
      <c r="AB111" s="831">
        <f t="shared" si="114"/>
        <v>3480</v>
      </c>
      <c r="AC111" s="831">
        <f t="shared" si="115"/>
        <v>0</v>
      </c>
      <c r="AD111" s="847">
        <f>'Data-Kolom'!L112</f>
        <v>10</v>
      </c>
      <c r="AE111" s="846">
        <f>'Data-Kolom'!M112</f>
        <v>100</v>
      </c>
      <c r="AF111" s="846">
        <f>'Data-Kolom'!N112</f>
        <v>100</v>
      </c>
      <c r="AG111" s="846">
        <f>'Data-Kolom'!O112</f>
        <v>100</v>
      </c>
      <c r="AH111" s="846">
        <f>'Data-Kolom'!P112</f>
        <v>0</v>
      </c>
      <c r="AI111" s="846">
        <f>'Data-Kolom'!Q112</f>
        <v>0</v>
      </c>
      <c r="AJ111" s="846">
        <f>'Data-Kolom'!R112</f>
        <v>0</v>
      </c>
      <c r="AK111" s="853">
        <f>'Data-Kolom'!S112</f>
        <v>0</v>
      </c>
      <c r="AL111" s="827">
        <f t="shared" si="116"/>
        <v>1250</v>
      </c>
      <c r="AM111" s="826">
        <f t="shared" si="117"/>
        <v>0</v>
      </c>
      <c r="AN111" s="826">
        <f t="shared" si="118"/>
        <v>37</v>
      </c>
      <c r="AO111" s="845">
        <f t="shared" si="119"/>
        <v>0.22750000000000001</v>
      </c>
      <c r="AP111" s="822">
        <f t="shared" si="120"/>
        <v>34.771783680000006</v>
      </c>
      <c r="AQ111" s="824">
        <f t="shared" si="121"/>
        <v>0</v>
      </c>
      <c r="AR111" s="824">
        <f t="shared" si="122"/>
        <v>28.513124999999999</v>
      </c>
      <c r="AS111" s="824">
        <f t="shared" si="123"/>
        <v>0</v>
      </c>
      <c r="AT111" s="823">
        <f t="shared" si="124"/>
        <v>4.41</v>
      </c>
      <c r="AU111" s="844">
        <f t="shared" si="125"/>
        <v>278.17542276923075</v>
      </c>
      <c r="AV111" s="844">
        <f t="shared" si="126"/>
        <v>19.384615384615383</v>
      </c>
      <c r="AX111" s="822">
        <f t="shared" si="127"/>
        <v>34.771783680000006</v>
      </c>
      <c r="AY111" s="843"/>
      <c r="AZ111" s="852">
        <f t="shared" si="128"/>
        <v>0</v>
      </c>
      <c r="BA111" s="851">
        <f t="shared" si="129"/>
        <v>0</v>
      </c>
    </row>
    <row r="112" spans="1:53" s="2053" customFormat="1" ht="13.9" customHeight="1">
      <c r="A112" s="2033">
        <f>'Data-Kolom'!A113</f>
        <v>21</v>
      </c>
      <c r="B112" s="2033" t="str">
        <f>'Data-Kolom'!B113</f>
        <v>Lantai 3</v>
      </c>
      <c r="C112" s="2033">
        <f>'Data-Kolom'!C113</f>
        <v>0</v>
      </c>
      <c r="D112" s="2034" t="str">
        <f>'Data-Kolom'!D113</f>
        <v>KL55</v>
      </c>
      <c r="E112" s="2035" t="s">
        <v>237</v>
      </c>
      <c r="F112" s="2036">
        <f>'Data-Kolom'!U113</f>
        <v>0</v>
      </c>
      <c r="G112" s="2037">
        <f>'Data-Kolom'!T113</f>
        <v>0</v>
      </c>
      <c r="H112" s="2035">
        <f>'Data-Kolom'!E113</f>
        <v>170</v>
      </c>
      <c r="I112" s="2035">
        <f>'Data-Kolom'!F113</f>
        <v>500</v>
      </c>
      <c r="J112" s="2035">
        <f>'Data-Kolom'!G113</f>
        <v>3500</v>
      </c>
      <c r="K112" s="2038">
        <v>2</v>
      </c>
      <c r="L112" s="2038"/>
      <c r="M112" s="2038">
        <f>IF(L112&gt;0,VLOOKUP(L112,'Data-PC'!$B$14:$F$56,4,FALSE),0)</f>
        <v>0</v>
      </c>
      <c r="N112" s="2039">
        <f>'Data-Kolom'!H113</f>
        <v>6</v>
      </c>
      <c r="O112" s="2035">
        <f>'Data-Kolom'!I113</f>
        <v>16</v>
      </c>
      <c r="P112" s="2040">
        <f t="shared" si="106"/>
        <v>1010</v>
      </c>
      <c r="Q112" s="2038">
        <f t="shared" si="107"/>
        <v>770</v>
      </c>
      <c r="R112" s="2038">
        <f t="shared" si="108"/>
        <v>3672</v>
      </c>
      <c r="S112" s="2038"/>
      <c r="T112" s="2041">
        <f t="shared" si="109"/>
        <v>3672</v>
      </c>
      <c r="U112" s="2042">
        <f t="shared" si="110"/>
        <v>12</v>
      </c>
      <c r="V112" s="2043">
        <f>'Data-Kolom'!J113</f>
        <v>0</v>
      </c>
      <c r="W112" s="2035">
        <f>'Data-Kolom'!K113</f>
        <v>0</v>
      </c>
      <c r="X112" s="2038">
        <f t="shared" si="111"/>
        <v>0</v>
      </c>
      <c r="Y112" s="2038">
        <f t="shared" si="112"/>
        <v>0</v>
      </c>
      <c r="Z112" s="2038">
        <f t="shared" si="113"/>
        <v>3480</v>
      </c>
      <c r="AA112" s="2038"/>
      <c r="AB112" s="2038">
        <f t="shared" si="114"/>
        <v>3480</v>
      </c>
      <c r="AC112" s="2038">
        <f t="shared" si="115"/>
        <v>0</v>
      </c>
      <c r="AD112" s="2039">
        <f>'Data-Kolom'!L113</f>
        <v>10</v>
      </c>
      <c r="AE112" s="2044">
        <f>'Data-Kolom'!M113</f>
        <v>100</v>
      </c>
      <c r="AF112" s="2044">
        <f>'Data-Kolom'!N113</f>
        <v>100</v>
      </c>
      <c r="AG112" s="2044">
        <f>'Data-Kolom'!O113</f>
        <v>100</v>
      </c>
      <c r="AH112" s="2044">
        <f>'Data-Kolom'!P113</f>
        <v>0</v>
      </c>
      <c r="AI112" s="2044">
        <f>'Data-Kolom'!Q113</f>
        <v>0</v>
      </c>
      <c r="AJ112" s="2044">
        <f>'Data-Kolom'!R113</f>
        <v>0</v>
      </c>
      <c r="AK112" s="2045">
        <f>'Data-Kolom'!S113</f>
        <v>0</v>
      </c>
      <c r="AL112" s="2046">
        <f t="shared" si="116"/>
        <v>1330</v>
      </c>
      <c r="AM112" s="2047">
        <f t="shared" si="117"/>
        <v>0</v>
      </c>
      <c r="AN112" s="2047">
        <f t="shared" si="118"/>
        <v>74</v>
      </c>
      <c r="AO112" s="2048">
        <f t="shared" si="119"/>
        <v>0.59499999999999997</v>
      </c>
      <c r="AP112" s="2049">
        <f t="shared" si="120"/>
        <v>69.543567360000011</v>
      </c>
      <c r="AQ112" s="2050">
        <f t="shared" si="121"/>
        <v>0</v>
      </c>
      <c r="AR112" s="2050">
        <f t="shared" si="122"/>
        <v>60.675930000000001</v>
      </c>
      <c r="AS112" s="2050">
        <f t="shared" si="123"/>
        <v>0</v>
      </c>
      <c r="AT112" s="2051">
        <f t="shared" si="124"/>
        <v>9.3800000000000008</v>
      </c>
      <c r="AU112" s="2052">
        <f t="shared" si="125"/>
        <v>218.85629808403365</v>
      </c>
      <c r="AV112" s="2052">
        <f t="shared" si="126"/>
        <v>15.764705882352944</v>
      </c>
      <c r="AX112" s="2049">
        <f t="shared" si="127"/>
        <v>69.543567360000011</v>
      </c>
      <c r="AY112" s="2054"/>
      <c r="AZ112" s="2055">
        <f t="shared" si="128"/>
        <v>0</v>
      </c>
      <c r="BA112" s="2056">
        <f t="shared" si="129"/>
        <v>0</v>
      </c>
    </row>
    <row r="113" spans="1:53" s="2053" customFormat="1" ht="13.9" customHeight="1">
      <c r="A113" s="2033">
        <f>'Data-Kolom'!A114</f>
        <v>22</v>
      </c>
      <c r="B113" s="2033" t="str">
        <f>'Data-Kolom'!B114</f>
        <v>Lantai 3</v>
      </c>
      <c r="C113" s="2033">
        <f>'Data-Kolom'!C114</f>
        <v>0</v>
      </c>
      <c r="D113" s="2034" t="str">
        <f>'Data-Kolom'!D114</f>
        <v>KL55</v>
      </c>
      <c r="E113" s="2035" t="s">
        <v>237</v>
      </c>
      <c r="F113" s="2036">
        <f>'Data-Kolom'!U114</f>
        <v>0</v>
      </c>
      <c r="G113" s="2037">
        <f>'Data-Kolom'!T114</f>
        <v>0</v>
      </c>
      <c r="H113" s="2035">
        <f>'Data-Kolom'!E114</f>
        <v>170</v>
      </c>
      <c r="I113" s="2035">
        <f>'Data-Kolom'!F114</f>
        <v>500</v>
      </c>
      <c r="J113" s="2035">
        <f>'Data-Kolom'!G114</f>
        <v>3500</v>
      </c>
      <c r="K113" s="2038">
        <v>2</v>
      </c>
      <c r="L113" s="2038"/>
      <c r="M113" s="2038">
        <f>IF(L113&gt;0,VLOOKUP(L113,'Data-PC'!$B$14:$F$56,4,FALSE),0)</f>
        <v>0</v>
      </c>
      <c r="N113" s="2039">
        <f>'Data-Kolom'!H114</f>
        <v>6</v>
      </c>
      <c r="O113" s="2035">
        <f>'Data-Kolom'!I114</f>
        <v>16</v>
      </c>
      <c r="P113" s="2040">
        <f t="shared" si="106"/>
        <v>1010</v>
      </c>
      <c r="Q113" s="2038">
        <f t="shared" si="107"/>
        <v>770</v>
      </c>
      <c r="R113" s="2038">
        <f t="shared" si="108"/>
        <v>3672</v>
      </c>
      <c r="S113" s="2038"/>
      <c r="T113" s="2041">
        <f t="shared" si="109"/>
        <v>3672</v>
      </c>
      <c r="U113" s="2042">
        <f t="shared" si="110"/>
        <v>12</v>
      </c>
      <c r="V113" s="2043">
        <f>'Data-Kolom'!J114</f>
        <v>0</v>
      </c>
      <c r="W113" s="2035">
        <f>'Data-Kolom'!K114</f>
        <v>0</v>
      </c>
      <c r="X113" s="2038">
        <f t="shared" si="111"/>
        <v>0</v>
      </c>
      <c r="Y113" s="2038">
        <f t="shared" si="112"/>
        <v>0</v>
      </c>
      <c r="Z113" s="2038">
        <f t="shared" si="113"/>
        <v>3480</v>
      </c>
      <c r="AA113" s="2038"/>
      <c r="AB113" s="2038">
        <f t="shared" si="114"/>
        <v>3480</v>
      </c>
      <c r="AC113" s="2038">
        <f t="shared" si="115"/>
        <v>0</v>
      </c>
      <c r="AD113" s="2039">
        <f>'Data-Kolom'!L114</f>
        <v>10</v>
      </c>
      <c r="AE113" s="2044">
        <f>'Data-Kolom'!M114</f>
        <v>100</v>
      </c>
      <c r="AF113" s="2044">
        <f>'Data-Kolom'!N114</f>
        <v>100</v>
      </c>
      <c r="AG113" s="2044">
        <f>'Data-Kolom'!O114</f>
        <v>100</v>
      </c>
      <c r="AH113" s="2044">
        <f>'Data-Kolom'!P114</f>
        <v>0</v>
      </c>
      <c r="AI113" s="2044">
        <f>'Data-Kolom'!Q114</f>
        <v>0</v>
      </c>
      <c r="AJ113" s="2044">
        <f>'Data-Kolom'!R114</f>
        <v>0</v>
      </c>
      <c r="AK113" s="2045">
        <f>'Data-Kolom'!S114</f>
        <v>0</v>
      </c>
      <c r="AL113" s="2046">
        <f t="shared" si="116"/>
        <v>1330</v>
      </c>
      <c r="AM113" s="2047">
        <f t="shared" si="117"/>
        <v>0</v>
      </c>
      <c r="AN113" s="2047">
        <f t="shared" si="118"/>
        <v>74</v>
      </c>
      <c r="AO113" s="2048">
        <f t="shared" si="119"/>
        <v>0.59499999999999997</v>
      </c>
      <c r="AP113" s="2049">
        <f t="shared" si="120"/>
        <v>69.543567360000011</v>
      </c>
      <c r="AQ113" s="2050">
        <f t="shared" si="121"/>
        <v>0</v>
      </c>
      <c r="AR113" s="2050">
        <f t="shared" si="122"/>
        <v>60.675930000000001</v>
      </c>
      <c r="AS113" s="2050">
        <f t="shared" si="123"/>
        <v>0</v>
      </c>
      <c r="AT113" s="2051">
        <f t="shared" si="124"/>
        <v>9.3800000000000008</v>
      </c>
      <c r="AU113" s="2052">
        <f t="shared" si="125"/>
        <v>218.85629808403365</v>
      </c>
      <c r="AV113" s="2052">
        <f t="shared" si="126"/>
        <v>15.764705882352944</v>
      </c>
      <c r="AX113" s="2049">
        <f t="shared" si="127"/>
        <v>69.543567360000011</v>
      </c>
      <c r="AY113" s="2054"/>
      <c r="AZ113" s="2055">
        <f t="shared" si="128"/>
        <v>0</v>
      </c>
      <c r="BA113" s="2056">
        <f t="shared" si="129"/>
        <v>0</v>
      </c>
    </row>
    <row r="114" spans="1:53" ht="13.9" customHeight="1">
      <c r="A114" s="842">
        <f>'Data-Kolom'!A115</f>
        <v>23</v>
      </c>
      <c r="B114" s="842" t="str">
        <f>'Data-Kolom'!B115</f>
        <v>Lantai 3</v>
      </c>
      <c r="C114" s="842">
        <f>'Data-Kolom'!C115</f>
        <v>0</v>
      </c>
      <c r="D114" s="841" t="str">
        <f>'Data-Kolom'!D115</f>
        <v>K1A5</v>
      </c>
      <c r="E114" s="832" t="s">
        <v>237</v>
      </c>
      <c r="F114" s="840">
        <f>'Data-Kolom'!U115</f>
        <v>0</v>
      </c>
      <c r="G114" s="839">
        <f>'Data-Kolom'!T115</f>
        <v>0</v>
      </c>
      <c r="H114" s="832">
        <f>'Data-Kolom'!E115</f>
        <v>130</v>
      </c>
      <c r="I114" s="832">
        <f>'Data-Kolom'!F115</f>
        <v>500</v>
      </c>
      <c r="J114" s="832">
        <f>'Data-Kolom'!G115</f>
        <v>3500</v>
      </c>
      <c r="K114" s="831">
        <v>1</v>
      </c>
      <c r="L114" s="831"/>
      <c r="M114" s="831">
        <f>IF(L114&gt;0,VLOOKUP(L114,'Data-PC'!$B$14:$F$56,4,FALSE),0)</f>
        <v>0</v>
      </c>
      <c r="N114" s="847">
        <f>'Data-Kolom'!H115</f>
        <v>6</v>
      </c>
      <c r="O114" s="832">
        <f>'Data-Kolom'!I115</f>
        <v>16</v>
      </c>
      <c r="P114" s="850">
        <f t="shared" si="106"/>
        <v>1010</v>
      </c>
      <c r="Q114" s="831">
        <f t="shared" si="107"/>
        <v>770</v>
      </c>
      <c r="R114" s="831">
        <f t="shared" si="108"/>
        <v>3672</v>
      </c>
      <c r="S114" s="831"/>
      <c r="T114" s="849">
        <f t="shared" si="109"/>
        <v>3672</v>
      </c>
      <c r="U114" s="848">
        <f t="shared" si="110"/>
        <v>6</v>
      </c>
      <c r="V114" s="833">
        <f>'Data-Kolom'!J115</f>
        <v>0</v>
      </c>
      <c r="W114" s="832">
        <f>'Data-Kolom'!K115</f>
        <v>0</v>
      </c>
      <c r="X114" s="831">
        <f t="shared" si="111"/>
        <v>0</v>
      </c>
      <c r="Y114" s="831">
        <f t="shared" si="112"/>
        <v>0</v>
      </c>
      <c r="Z114" s="831">
        <f t="shared" si="113"/>
        <v>3480</v>
      </c>
      <c r="AA114" s="831"/>
      <c r="AB114" s="831">
        <f t="shared" si="114"/>
        <v>3480</v>
      </c>
      <c r="AC114" s="831">
        <f t="shared" si="115"/>
        <v>0</v>
      </c>
      <c r="AD114" s="847">
        <f>'Data-Kolom'!L115</f>
        <v>10</v>
      </c>
      <c r="AE114" s="846">
        <f>'Data-Kolom'!M115</f>
        <v>100</v>
      </c>
      <c r="AF114" s="846">
        <f>'Data-Kolom'!N115</f>
        <v>100</v>
      </c>
      <c r="AG114" s="846">
        <f>'Data-Kolom'!O115</f>
        <v>100</v>
      </c>
      <c r="AH114" s="846">
        <f>'Data-Kolom'!P115</f>
        <v>0</v>
      </c>
      <c r="AI114" s="846">
        <f>'Data-Kolom'!Q115</f>
        <v>0</v>
      </c>
      <c r="AJ114" s="846">
        <f>'Data-Kolom'!R115</f>
        <v>0</v>
      </c>
      <c r="AK114" s="853">
        <f>'Data-Kolom'!S115</f>
        <v>0</v>
      </c>
      <c r="AL114" s="827">
        <f t="shared" si="116"/>
        <v>1250</v>
      </c>
      <c r="AM114" s="826">
        <f t="shared" si="117"/>
        <v>0</v>
      </c>
      <c r="AN114" s="826">
        <f t="shared" si="118"/>
        <v>37</v>
      </c>
      <c r="AO114" s="845">
        <f t="shared" si="119"/>
        <v>0.22750000000000001</v>
      </c>
      <c r="AP114" s="822">
        <f t="shared" si="120"/>
        <v>34.771783680000006</v>
      </c>
      <c r="AQ114" s="824">
        <f t="shared" si="121"/>
        <v>0</v>
      </c>
      <c r="AR114" s="824">
        <f t="shared" si="122"/>
        <v>28.513124999999999</v>
      </c>
      <c r="AS114" s="824">
        <f t="shared" si="123"/>
        <v>0</v>
      </c>
      <c r="AT114" s="823">
        <f t="shared" si="124"/>
        <v>4.41</v>
      </c>
      <c r="AU114" s="844">
        <f t="shared" si="125"/>
        <v>278.17542276923075</v>
      </c>
      <c r="AV114" s="844">
        <f t="shared" si="126"/>
        <v>19.384615384615383</v>
      </c>
      <c r="AX114" s="822">
        <f t="shared" si="127"/>
        <v>34.771783680000006</v>
      </c>
      <c r="AY114" s="843"/>
      <c r="AZ114" s="852">
        <f t="shared" si="128"/>
        <v>0</v>
      </c>
      <c r="BA114" s="851">
        <f t="shared" si="129"/>
        <v>0</v>
      </c>
    </row>
    <row r="115" spans="1:53" ht="13.9" customHeight="1">
      <c r="A115" s="842">
        <f>'Data-Kolom'!A116</f>
        <v>25</v>
      </c>
      <c r="B115" s="842" t="str">
        <f>'Data-Kolom'!B116</f>
        <v>Lantai 3</v>
      </c>
      <c r="C115" s="842">
        <f>'Data-Kolom'!C116</f>
        <v>0</v>
      </c>
      <c r="D115" s="841" t="str">
        <f>'Data-Kolom'!D116</f>
        <v>K1A5</v>
      </c>
      <c r="E115" s="832" t="s">
        <v>237</v>
      </c>
      <c r="F115" s="840">
        <f>'Data-Kolom'!U116</f>
        <v>0</v>
      </c>
      <c r="G115" s="839">
        <f>'Data-Kolom'!T116</f>
        <v>0</v>
      </c>
      <c r="H115" s="832">
        <f>'Data-Kolom'!E116</f>
        <v>130</v>
      </c>
      <c r="I115" s="832">
        <f>'Data-Kolom'!F116</f>
        <v>500</v>
      </c>
      <c r="J115" s="832">
        <f>'Data-Kolom'!G116</f>
        <v>3500</v>
      </c>
      <c r="K115" s="831">
        <v>1</v>
      </c>
      <c r="L115" s="831"/>
      <c r="M115" s="831">
        <f>IF(L115&gt;0,VLOOKUP(L115,'Data-PC'!$B$14:$F$56,4,FALSE),0)</f>
        <v>0</v>
      </c>
      <c r="N115" s="847">
        <f>'Data-Kolom'!H116</f>
        <v>6</v>
      </c>
      <c r="O115" s="832">
        <f>'Data-Kolom'!I116</f>
        <v>16</v>
      </c>
      <c r="P115" s="850">
        <f t="shared" si="106"/>
        <v>1010</v>
      </c>
      <c r="Q115" s="831">
        <f t="shared" si="107"/>
        <v>770</v>
      </c>
      <c r="R115" s="831">
        <f t="shared" si="108"/>
        <v>3672</v>
      </c>
      <c r="S115" s="831"/>
      <c r="T115" s="849">
        <f t="shared" si="109"/>
        <v>3672</v>
      </c>
      <c r="U115" s="848">
        <f t="shared" si="110"/>
        <v>6</v>
      </c>
      <c r="V115" s="833">
        <f>'Data-Kolom'!J116</f>
        <v>0</v>
      </c>
      <c r="W115" s="832">
        <f>'Data-Kolom'!K116</f>
        <v>0</v>
      </c>
      <c r="X115" s="831">
        <f t="shared" si="111"/>
        <v>0</v>
      </c>
      <c r="Y115" s="831">
        <f t="shared" si="112"/>
        <v>0</v>
      </c>
      <c r="Z115" s="831">
        <f t="shared" si="113"/>
        <v>3480</v>
      </c>
      <c r="AA115" s="831"/>
      <c r="AB115" s="831">
        <f t="shared" si="114"/>
        <v>3480</v>
      </c>
      <c r="AC115" s="831">
        <f t="shared" si="115"/>
        <v>0</v>
      </c>
      <c r="AD115" s="847">
        <f>'Data-Kolom'!L116</f>
        <v>10</v>
      </c>
      <c r="AE115" s="846">
        <f>'Data-Kolom'!M116</f>
        <v>100</v>
      </c>
      <c r="AF115" s="846">
        <f>'Data-Kolom'!N116</f>
        <v>100</v>
      </c>
      <c r="AG115" s="846">
        <f>'Data-Kolom'!O116</f>
        <v>100</v>
      </c>
      <c r="AH115" s="846">
        <f>'Data-Kolom'!P116</f>
        <v>0</v>
      </c>
      <c r="AI115" s="846">
        <f>'Data-Kolom'!Q116</f>
        <v>0</v>
      </c>
      <c r="AJ115" s="846">
        <f>'Data-Kolom'!R116</f>
        <v>0</v>
      </c>
      <c r="AK115" s="853">
        <f>'Data-Kolom'!S116</f>
        <v>0</v>
      </c>
      <c r="AL115" s="827">
        <f t="shared" si="116"/>
        <v>1250</v>
      </c>
      <c r="AM115" s="826">
        <f t="shared" si="117"/>
        <v>0</v>
      </c>
      <c r="AN115" s="826">
        <f t="shared" si="118"/>
        <v>37</v>
      </c>
      <c r="AO115" s="845">
        <f t="shared" si="119"/>
        <v>0.22750000000000001</v>
      </c>
      <c r="AP115" s="822">
        <f t="shared" si="120"/>
        <v>34.771783680000006</v>
      </c>
      <c r="AQ115" s="824">
        <f t="shared" si="121"/>
        <v>0</v>
      </c>
      <c r="AR115" s="824">
        <f t="shared" si="122"/>
        <v>28.513124999999999</v>
      </c>
      <c r="AS115" s="824">
        <f t="shared" si="123"/>
        <v>0</v>
      </c>
      <c r="AT115" s="823">
        <f t="shared" si="124"/>
        <v>4.41</v>
      </c>
      <c r="AU115" s="844">
        <f t="shared" si="125"/>
        <v>278.17542276923075</v>
      </c>
      <c r="AV115" s="844">
        <f t="shared" si="126"/>
        <v>19.384615384615383</v>
      </c>
      <c r="AX115" s="822">
        <f t="shared" si="127"/>
        <v>34.771783680000006</v>
      </c>
      <c r="AY115" s="843"/>
      <c r="AZ115" s="852">
        <f t="shared" si="128"/>
        <v>0</v>
      </c>
      <c r="BA115" s="851">
        <f t="shared" si="129"/>
        <v>0</v>
      </c>
    </row>
    <row r="116" spans="1:53" ht="13.9" customHeight="1">
      <c r="A116" s="842">
        <f>'Data-Kolom'!A117</f>
        <v>27</v>
      </c>
      <c r="B116" s="842" t="str">
        <f>'Data-Kolom'!B117</f>
        <v>Lantai 3</v>
      </c>
      <c r="C116" s="842">
        <f>'Data-Kolom'!C117</f>
        <v>0</v>
      </c>
      <c r="D116" s="841" t="str">
        <f>'Data-Kolom'!D117</f>
        <v>K4</v>
      </c>
      <c r="E116" s="832" t="s">
        <v>237</v>
      </c>
      <c r="F116" s="840">
        <f>'Data-Kolom'!U117</f>
        <v>0</v>
      </c>
      <c r="G116" s="839">
        <f>'Data-Kolom'!T117</f>
        <v>0</v>
      </c>
      <c r="H116" s="832">
        <f>'Data-Kolom'!E117</f>
        <v>170</v>
      </c>
      <c r="I116" s="832">
        <f>'Data-Kolom'!F117</f>
        <v>400</v>
      </c>
      <c r="J116" s="832">
        <f>'Data-Kolom'!G117</f>
        <v>3500</v>
      </c>
      <c r="K116" s="831">
        <v>1</v>
      </c>
      <c r="L116" s="831"/>
      <c r="M116" s="831">
        <f>IF(L116&gt;0,VLOOKUP(L116,'Data-PC'!$B$14:$F$56,4,FALSE),0)</f>
        <v>0</v>
      </c>
      <c r="N116" s="847">
        <f>'Data-Kolom'!H117</f>
        <v>6</v>
      </c>
      <c r="O116" s="832">
        <f>'Data-Kolom'!I117</f>
        <v>16</v>
      </c>
      <c r="P116" s="850">
        <f t="shared" si="106"/>
        <v>1010</v>
      </c>
      <c r="Q116" s="831">
        <f t="shared" si="107"/>
        <v>770</v>
      </c>
      <c r="R116" s="831">
        <f t="shared" si="108"/>
        <v>3672</v>
      </c>
      <c r="S116" s="831"/>
      <c r="T116" s="849">
        <f t="shared" si="109"/>
        <v>3672</v>
      </c>
      <c r="U116" s="848">
        <f t="shared" si="110"/>
        <v>6</v>
      </c>
      <c r="V116" s="833">
        <f>'Data-Kolom'!J117</f>
        <v>0</v>
      </c>
      <c r="W116" s="832">
        <f>'Data-Kolom'!K117</f>
        <v>0</v>
      </c>
      <c r="X116" s="831">
        <f t="shared" si="111"/>
        <v>0</v>
      </c>
      <c r="Y116" s="831">
        <f t="shared" si="112"/>
        <v>0</v>
      </c>
      <c r="Z116" s="831">
        <f t="shared" si="113"/>
        <v>3480</v>
      </c>
      <c r="AA116" s="831"/>
      <c r="AB116" s="831">
        <f t="shared" si="114"/>
        <v>3480</v>
      </c>
      <c r="AC116" s="831">
        <f t="shared" si="115"/>
        <v>0</v>
      </c>
      <c r="AD116" s="847">
        <f>'Data-Kolom'!L117</f>
        <v>10</v>
      </c>
      <c r="AE116" s="846">
        <f>'Data-Kolom'!M117</f>
        <v>100</v>
      </c>
      <c r="AF116" s="846">
        <f>'Data-Kolom'!N117</f>
        <v>100</v>
      </c>
      <c r="AG116" s="846">
        <f>'Data-Kolom'!O117</f>
        <v>100</v>
      </c>
      <c r="AH116" s="846">
        <f>'Data-Kolom'!P117</f>
        <v>0</v>
      </c>
      <c r="AI116" s="846">
        <f>'Data-Kolom'!Q117</f>
        <v>0</v>
      </c>
      <c r="AJ116" s="846">
        <f>'Data-Kolom'!R117</f>
        <v>0</v>
      </c>
      <c r="AK116" s="853">
        <f>'Data-Kolom'!S117</f>
        <v>0</v>
      </c>
      <c r="AL116" s="827">
        <f t="shared" si="116"/>
        <v>1130</v>
      </c>
      <c r="AM116" s="826">
        <f t="shared" si="117"/>
        <v>0</v>
      </c>
      <c r="AN116" s="826">
        <f t="shared" si="118"/>
        <v>37</v>
      </c>
      <c r="AO116" s="845">
        <f t="shared" si="119"/>
        <v>0.23799999999999999</v>
      </c>
      <c r="AP116" s="822">
        <f t="shared" si="120"/>
        <v>34.771783680000006</v>
      </c>
      <c r="AQ116" s="824">
        <f t="shared" si="121"/>
        <v>0</v>
      </c>
      <c r="AR116" s="824">
        <f t="shared" si="122"/>
        <v>25.775865000000003</v>
      </c>
      <c r="AS116" s="824">
        <f t="shared" si="123"/>
        <v>0</v>
      </c>
      <c r="AT116" s="823">
        <f t="shared" si="124"/>
        <v>3.99</v>
      </c>
      <c r="AU116" s="844">
        <f t="shared" si="125"/>
        <v>254.40188521008409</v>
      </c>
      <c r="AV116" s="844">
        <f t="shared" si="126"/>
        <v>16.764705882352942</v>
      </c>
      <c r="AX116" s="822">
        <f t="shared" si="127"/>
        <v>34.771783680000006</v>
      </c>
      <c r="AY116" s="843"/>
      <c r="AZ116" s="852">
        <f t="shared" si="128"/>
        <v>0</v>
      </c>
      <c r="BA116" s="851">
        <f t="shared" si="129"/>
        <v>0</v>
      </c>
    </row>
    <row r="117" spans="1:53" ht="13.9" customHeight="1">
      <c r="A117" s="842">
        <f>'Data-Kolom'!A118</f>
        <v>28</v>
      </c>
      <c r="B117" s="842" t="str">
        <f>'Data-Kolom'!B118</f>
        <v>Lantai 3</v>
      </c>
      <c r="C117" s="842">
        <f>'Data-Kolom'!C118</f>
        <v>0</v>
      </c>
      <c r="D117" s="841" t="str">
        <f>'Data-Kolom'!D118</f>
        <v>K1A5</v>
      </c>
      <c r="E117" s="832" t="s">
        <v>237</v>
      </c>
      <c r="F117" s="840">
        <f>'Data-Kolom'!U118</f>
        <v>0</v>
      </c>
      <c r="G117" s="839">
        <f>'Data-Kolom'!T118</f>
        <v>0</v>
      </c>
      <c r="H117" s="832">
        <f>'Data-Kolom'!E118</f>
        <v>130</v>
      </c>
      <c r="I117" s="832">
        <f>'Data-Kolom'!F118</f>
        <v>500</v>
      </c>
      <c r="J117" s="832">
        <f>'Data-Kolom'!G118</f>
        <v>3500</v>
      </c>
      <c r="K117" s="831">
        <v>1</v>
      </c>
      <c r="L117" s="831"/>
      <c r="M117" s="831">
        <f>IF(L117&gt;0,VLOOKUP(L117,'Data-PC'!$B$14:$F$56,4,FALSE),0)</f>
        <v>0</v>
      </c>
      <c r="N117" s="847">
        <f>'Data-Kolom'!H118</f>
        <v>6</v>
      </c>
      <c r="O117" s="832">
        <f>'Data-Kolom'!I118</f>
        <v>16</v>
      </c>
      <c r="P117" s="850">
        <f t="shared" si="106"/>
        <v>1010</v>
      </c>
      <c r="Q117" s="831">
        <f t="shared" si="107"/>
        <v>770</v>
      </c>
      <c r="R117" s="831">
        <f t="shared" si="108"/>
        <v>3672</v>
      </c>
      <c r="S117" s="831"/>
      <c r="T117" s="849">
        <f t="shared" si="109"/>
        <v>3672</v>
      </c>
      <c r="U117" s="848">
        <f t="shared" si="110"/>
        <v>6</v>
      </c>
      <c r="V117" s="833">
        <f>'Data-Kolom'!J118</f>
        <v>0</v>
      </c>
      <c r="W117" s="832">
        <f>'Data-Kolom'!K118</f>
        <v>0</v>
      </c>
      <c r="X117" s="831">
        <f t="shared" si="111"/>
        <v>0</v>
      </c>
      <c r="Y117" s="831">
        <f t="shared" si="112"/>
        <v>0</v>
      </c>
      <c r="Z117" s="831">
        <f t="shared" si="113"/>
        <v>3480</v>
      </c>
      <c r="AA117" s="831"/>
      <c r="AB117" s="831">
        <f t="shared" si="114"/>
        <v>3480</v>
      </c>
      <c r="AC117" s="831">
        <f t="shared" si="115"/>
        <v>0</v>
      </c>
      <c r="AD117" s="847">
        <f>'Data-Kolom'!L118</f>
        <v>10</v>
      </c>
      <c r="AE117" s="846">
        <f>'Data-Kolom'!M118</f>
        <v>100</v>
      </c>
      <c r="AF117" s="846">
        <f>'Data-Kolom'!N118</f>
        <v>100</v>
      </c>
      <c r="AG117" s="846">
        <f>'Data-Kolom'!O118</f>
        <v>100</v>
      </c>
      <c r="AH117" s="846">
        <f>'Data-Kolom'!P118</f>
        <v>0</v>
      </c>
      <c r="AI117" s="846">
        <f>'Data-Kolom'!Q118</f>
        <v>0</v>
      </c>
      <c r="AJ117" s="846">
        <f>'Data-Kolom'!R118</f>
        <v>0</v>
      </c>
      <c r="AK117" s="853">
        <f>'Data-Kolom'!S118</f>
        <v>0</v>
      </c>
      <c r="AL117" s="827">
        <f t="shared" si="116"/>
        <v>1250</v>
      </c>
      <c r="AM117" s="826">
        <f t="shared" si="117"/>
        <v>0</v>
      </c>
      <c r="AN117" s="826">
        <f t="shared" si="118"/>
        <v>37</v>
      </c>
      <c r="AO117" s="845">
        <f t="shared" si="119"/>
        <v>0.22750000000000001</v>
      </c>
      <c r="AP117" s="822">
        <f t="shared" si="120"/>
        <v>34.771783680000006</v>
      </c>
      <c r="AQ117" s="824">
        <f t="shared" si="121"/>
        <v>0</v>
      </c>
      <c r="AR117" s="824">
        <f t="shared" si="122"/>
        <v>28.513124999999999</v>
      </c>
      <c r="AS117" s="824">
        <f t="shared" si="123"/>
        <v>0</v>
      </c>
      <c r="AT117" s="823">
        <f t="shared" si="124"/>
        <v>4.41</v>
      </c>
      <c r="AU117" s="844">
        <f t="shared" si="125"/>
        <v>278.17542276923075</v>
      </c>
      <c r="AV117" s="844">
        <f t="shared" si="126"/>
        <v>19.384615384615383</v>
      </c>
      <c r="AX117" s="822">
        <f t="shared" si="127"/>
        <v>34.771783680000006</v>
      </c>
      <c r="AY117" s="843"/>
      <c r="AZ117" s="852">
        <f t="shared" si="128"/>
        <v>0</v>
      </c>
      <c r="BA117" s="851">
        <f t="shared" si="129"/>
        <v>0</v>
      </c>
    </row>
    <row r="118" spans="1:53" ht="13.9" customHeight="1">
      <c r="A118" s="842">
        <f>'Data-Kolom'!A119</f>
        <v>29</v>
      </c>
      <c r="B118" s="842" t="str">
        <f>'Data-Kolom'!B119</f>
        <v>Lantai 3</v>
      </c>
      <c r="C118" s="842">
        <f>'Data-Kolom'!C119</f>
        <v>0</v>
      </c>
      <c r="D118" s="841" t="str">
        <f>'Data-Kolom'!D119</f>
        <v>K1A5</v>
      </c>
      <c r="E118" s="832" t="s">
        <v>237</v>
      </c>
      <c r="F118" s="840">
        <f>'Data-Kolom'!U119</f>
        <v>0</v>
      </c>
      <c r="G118" s="839">
        <f>'Data-Kolom'!T119</f>
        <v>0</v>
      </c>
      <c r="H118" s="832">
        <f>'Data-Kolom'!E119</f>
        <v>130</v>
      </c>
      <c r="I118" s="832">
        <f>'Data-Kolom'!F119</f>
        <v>500</v>
      </c>
      <c r="J118" s="832">
        <f>'Data-Kolom'!G119</f>
        <v>3500</v>
      </c>
      <c r="K118" s="831">
        <v>1</v>
      </c>
      <c r="L118" s="831"/>
      <c r="M118" s="831">
        <f>IF(L118&gt;0,VLOOKUP(L118,'Data-PC'!$B$14:$F$56,4,FALSE),0)</f>
        <v>0</v>
      </c>
      <c r="N118" s="847">
        <f>'Data-Kolom'!H119</f>
        <v>6</v>
      </c>
      <c r="O118" s="832">
        <f>'Data-Kolom'!I119</f>
        <v>16</v>
      </c>
      <c r="P118" s="850">
        <f t="shared" si="106"/>
        <v>1010</v>
      </c>
      <c r="Q118" s="831">
        <f t="shared" si="107"/>
        <v>770</v>
      </c>
      <c r="R118" s="831">
        <f t="shared" si="108"/>
        <v>3672</v>
      </c>
      <c r="S118" s="831"/>
      <c r="T118" s="849">
        <f t="shared" si="109"/>
        <v>3672</v>
      </c>
      <c r="U118" s="848">
        <f t="shared" si="110"/>
        <v>6</v>
      </c>
      <c r="V118" s="833">
        <f>'Data-Kolom'!J119</f>
        <v>0</v>
      </c>
      <c r="W118" s="832">
        <f>'Data-Kolom'!K119</f>
        <v>0</v>
      </c>
      <c r="X118" s="831">
        <f t="shared" si="111"/>
        <v>0</v>
      </c>
      <c r="Y118" s="831">
        <f t="shared" si="112"/>
        <v>0</v>
      </c>
      <c r="Z118" s="831">
        <f t="shared" si="113"/>
        <v>3480</v>
      </c>
      <c r="AA118" s="831"/>
      <c r="AB118" s="831">
        <f t="shared" si="114"/>
        <v>3480</v>
      </c>
      <c r="AC118" s="831">
        <f t="shared" si="115"/>
        <v>0</v>
      </c>
      <c r="AD118" s="847">
        <f>'Data-Kolom'!L119</f>
        <v>10</v>
      </c>
      <c r="AE118" s="846">
        <f>'Data-Kolom'!M119</f>
        <v>100</v>
      </c>
      <c r="AF118" s="846">
        <f>'Data-Kolom'!N119</f>
        <v>100</v>
      </c>
      <c r="AG118" s="846">
        <f>'Data-Kolom'!O119</f>
        <v>100</v>
      </c>
      <c r="AH118" s="846">
        <f>'Data-Kolom'!P119</f>
        <v>0</v>
      </c>
      <c r="AI118" s="846">
        <f>'Data-Kolom'!Q119</f>
        <v>0</v>
      </c>
      <c r="AJ118" s="846">
        <f>'Data-Kolom'!R119</f>
        <v>0</v>
      </c>
      <c r="AK118" s="853">
        <f>'Data-Kolom'!S119</f>
        <v>0</v>
      </c>
      <c r="AL118" s="827">
        <f t="shared" si="116"/>
        <v>1250</v>
      </c>
      <c r="AM118" s="826">
        <f t="shared" si="117"/>
        <v>0</v>
      </c>
      <c r="AN118" s="826">
        <f t="shared" si="118"/>
        <v>37</v>
      </c>
      <c r="AO118" s="845">
        <f t="shared" si="119"/>
        <v>0.22750000000000001</v>
      </c>
      <c r="AP118" s="822">
        <f t="shared" si="120"/>
        <v>34.771783680000006</v>
      </c>
      <c r="AQ118" s="824">
        <f t="shared" si="121"/>
        <v>0</v>
      </c>
      <c r="AR118" s="824">
        <f t="shared" si="122"/>
        <v>28.513124999999999</v>
      </c>
      <c r="AS118" s="824">
        <f t="shared" si="123"/>
        <v>0</v>
      </c>
      <c r="AT118" s="823">
        <f t="shared" si="124"/>
        <v>4.41</v>
      </c>
      <c r="AU118" s="844">
        <f t="shared" si="125"/>
        <v>278.17542276923075</v>
      </c>
      <c r="AV118" s="844">
        <f t="shared" si="126"/>
        <v>19.384615384615383</v>
      </c>
      <c r="AX118" s="822">
        <f t="shared" si="127"/>
        <v>34.771783680000006</v>
      </c>
      <c r="AY118" s="843"/>
      <c r="AZ118" s="852">
        <f t="shared" si="128"/>
        <v>0</v>
      </c>
      <c r="BA118" s="851">
        <f t="shared" si="129"/>
        <v>0</v>
      </c>
    </row>
    <row r="119" spans="1:53" ht="13.9" customHeight="1">
      <c r="A119" s="842"/>
      <c r="B119" s="842"/>
      <c r="C119" s="842"/>
      <c r="D119" s="841"/>
      <c r="E119" s="832"/>
      <c r="F119" s="840"/>
      <c r="G119" s="839"/>
      <c r="H119" s="832"/>
      <c r="I119" s="832"/>
      <c r="J119" s="832"/>
      <c r="K119" s="831"/>
      <c r="L119" s="831"/>
      <c r="M119" s="831"/>
      <c r="N119" s="847"/>
      <c r="O119" s="832"/>
      <c r="P119" s="850"/>
      <c r="Q119" s="831"/>
      <c r="R119" s="831"/>
      <c r="S119" s="831"/>
      <c r="T119" s="849"/>
      <c r="U119" s="848"/>
      <c r="V119" s="833"/>
      <c r="W119" s="832"/>
      <c r="X119" s="831"/>
      <c r="Y119" s="831"/>
      <c r="Z119" s="831"/>
      <c r="AA119" s="831"/>
      <c r="AB119" s="831"/>
      <c r="AC119" s="831"/>
      <c r="AD119" s="847"/>
      <c r="AE119" s="846"/>
      <c r="AF119" s="846"/>
      <c r="AG119" s="846"/>
      <c r="AH119" s="846"/>
      <c r="AI119" s="846"/>
      <c r="AJ119" s="846"/>
      <c r="AK119" s="853"/>
      <c r="AL119" s="827"/>
      <c r="AM119" s="826"/>
      <c r="AN119" s="826"/>
      <c r="AO119" s="845"/>
      <c r="AP119" s="822"/>
      <c r="AQ119" s="824"/>
      <c r="AR119" s="824"/>
      <c r="AS119" s="824"/>
      <c r="AT119" s="823"/>
      <c r="AU119" s="844"/>
      <c r="AV119" s="844"/>
      <c r="AX119" s="822"/>
      <c r="AY119" s="843"/>
      <c r="AZ119" s="852"/>
      <c r="BA119" s="851"/>
    </row>
    <row r="120" spans="1:53" ht="13.9" customHeight="1">
      <c r="A120" s="842">
        <f>'Data-Kolom'!A121</f>
        <v>101</v>
      </c>
      <c r="B120" s="842" t="str">
        <f>'Data-Kolom'!B121</f>
        <v>Lantai 3</v>
      </c>
      <c r="C120" s="842">
        <f>'Data-Kolom'!C121</f>
        <v>0</v>
      </c>
      <c r="D120" s="841" t="str">
        <f>'Data-Kolom'!D121</f>
        <v>K1A5</v>
      </c>
      <c r="E120" s="832" t="s">
        <v>237</v>
      </c>
      <c r="F120" s="840">
        <f>'Data-Kolom'!U121</f>
        <v>0</v>
      </c>
      <c r="G120" s="839">
        <f>'Data-Kolom'!T121</f>
        <v>0</v>
      </c>
      <c r="H120" s="832">
        <f>'Data-Kolom'!E121</f>
        <v>130</v>
      </c>
      <c r="I120" s="832">
        <f>'Data-Kolom'!F121</f>
        <v>500</v>
      </c>
      <c r="J120" s="832">
        <f>'Data-Kolom'!G121</f>
        <v>3500</v>
      </c>
      <c r="K120" s="831">
        <v>1</v>
      </c>
      <c r="L120" s="831"/>
      <c r="M120" s="831">
        <f>IF(L120&gt;0,VLOOKUP(L120,'Data-PC'!$B$14:$F$56,4,FALSE),0)</f>
        <v>0</v>
      </c>
      <c r="N120" s="847">
        <f>'Data-Kolom'!H121</f>
        <v>6</v>
      </c>
      <c r="O120" s="832">
        <f>'Data-Kolom'!I121</f>
        <v>16</v>
      </c>
      <c r="P120" s="850">
        <f t="shared" si="106"/>
        <v>1010</v>
      </c>
      <c r="Q120" s="831">
        <f t="shared" si="107"/>
        <v>770</v>
      </c>
      <c r="R120" s="831">
        <f t="shared" si="108"/>
        <v>3672</v>
      </c>
      <c r="S120" s="831"/>
      <c r="T120" s="849">
        <f t="shared" si="109"/>
        <v>3672</v>
      </c>
      <c r="U120" s="848">
        <f t="shared" si="110"/>
        <v>6</v>
      </c>
      <c r="V120" s="833">
        <f>'Data-Kolom'!J121</f>
        <v>0</v>
      </c>
      <c r="W120" s="832">
        <f>'Data-Kolom'!K121</f>
        <v>0</v>
      </c>
      <c r="X120" s="831">
        <f t="shared" si="111"/>
        <v>0</v>
      </c>
      <c r="Y120" s="831">
        <f t="shared" si="112"/>
        <v>0</v>
      </c>
      <c r="Z120" s="831">
        <f t="shared" si="113"/>
        <v>3480</v>
      </c>
      <c r="AA120" s="831"/>
      <c r="AB120" s="831">
        <f t="shared" si="114"/>
        <v>3480</v>
      </c>
      <c r="AC120" s="831">
        <f t="shared" si="115"/>
        <v>0</v>
      </c>
      <c r="AD120" s="847">
        <f>'Data-Kolom'!L121</f>
        <v>10</v>
      </c>
      <c r="AE120" s="846">
        <f>'Data-Kolom'!M121</f>
        <v>100</v>
      </c>
      <c r="AF120" s="846">
        <f>'Data-Kolom'!N121</f>
        <v>100</v>
      </c>
      <c r="AG120" s="846">
        <f>'Data-Kolom'!O121</f>
        <v>100</v>
      </c>
      <c r="AH120" s="846">
        <f>'Data-Kolom'!P121</f>
        <v>0</v>
      </c>
      <c r="AI120" s="846">
        <f>'Data-Kolom'!Q121</f>
        <v>0</v>
      </c>
      <c r="AJ120" s="846">
        <f>'Data-Kolom'!R121</f>
        <v>0</v>
      </c>
      <c r="AK120" s="853">
        <f>'Data-Kolom'!S121</f>
        <v>0</v>
      </c>
      <c r="AL120" s="827">
        <f t="shared" si="116"/>
        <v>1250</v>
      </c>
      <c r="AM120" s="826">
        <f t="shared" si="117"/>
        <v>0</v>
      </c>
      <c r="AN120" s="826">
        <f t="shared" si="118"/>
        <v>37</v>
      </c>
      <c r="AO120" s="845">
        <f t="shared" si="119"/>
        <v>0.22750000000000001</v>
      </c>
      <c r="AP120" s="822">
        <f t="shared" si="120"/>
        <v>34.771783680000006</v>
      </c>
      <c r="AQ120" s="824">
        <f t="shared" si="121"/>
        <v>0</v>
      </c>
      <c r="AR120" s="824">
        <f t="shared" si="122"/>
        <v>28.513124999999999</v>
      </c>
      <c r="AS120" s="824">
        <f t="shared" si="123"/>
        <v>0</v>
      </c>
      <c r="AT120" s="823">
        <f t="shared" si="124"/>
        <v>4.41</v>
      </c>
      <c r="AU120" s="844">
        <f t="shared" si="125"/>
        <v>278.17542276923075</v>
      </c>
      <c r="AV120" s="844">
        <f t="shared" si="126"/>
        <v>19.384615384615383</v>
      </c>
      <c r="AX120" s="822">
        <f t="shared" si="127"/>
        <v>34.771783680000006</v>
      </c>
      <c r="AY120" s="843"/>
      <c r="AZ120" s="852">
        <f t="shared" si="128"/>
        <v>0</v>
      </c>
      <c r="BA120" s="851">
        <f t="shared" si="129"/>
        <v>0</v>
      </c>
    </row>
    <row r="121" spans="1:53" ht="13.9" customHeight="1">
      <c r="A121" s="842">
        <f>'Data-Kolom'!A122</f>
        <v>102</v>
      </c>
      <c r="B121" s="842" t="str">
        <f>'Data-Kolom'!B122</f>
        <v>Lantai 3</v>
      </c>
      <c r="C121" s="842">
        <f>'Data-Kolom'!C122</f>
        <v>0</v>
      </c>
      <c r="D121" s="841" t="str">
        <f>'Data-Kolom'!D122</f>
        <v>K4</v>
      </c>
      <c r="E121" s="832" t="s">
        <v>237</v>
      </c>
      <c r="F121" s="840">
        <f>'Data-Kolom'!U122</f>
        <v>0</v>
      </c>
      <c r="G121" s="839">
        <f>'Data-Kolom'!T122</f>
        <v>0</v>
      </c>
      <c r="H121" s="832">
        <f>'Data-Kolom'!E122</f>
        <v>170</v>
      </c>
      <c r="I121" s="832">
        <f>'Data-Kolom'!F122</f>
        <v>400</v>
      </c>
      <c r="J121" s="832">
        <f>'Data-Kolom'!G122</f>
        <v>3500</v>
      </c>
      <c r="K121" s="831">
        <v>1</v>
      </c>
      <c r="L121" s="831"/>
      <c r="M121" s="831">
        <f>IF(L121&gt;0,VLOOKUP(L121,'Data-PC'!$B$14:$F$56,4,FALSE),0)</f>
        <v>0</v>
      </c>
      <c r="N121" s="847">
        <f>'Data-Kolom'!H122</f>
        <v>6</v>
      </c>
      <c r="O121" s="832">
        <f>'Data-Kolom'!I122</f>
        <v>16</v>
      </c>
      <c r="P121" s="850">
        <f t="shared" si="106"/>
        <v>1010</v>
      </c>
      <c r="Q121" s="831">
        <f t="shared" si="107"/>
        <v>770</v>
      </c>
      <c r="R121" s="831">
        <f t="shared" si="108"/>
        <v>3672</v>
      </c>
      <c r="S121" s="831"/>
      <c r="T121" s="849">
        <f t="shared" si="109"/>
        <v>3672</v>
      </c>
      <c r="U121" s="848">
        <f t="shared" si="110"/>
        <v>6</v>
      </c>
      <c r="V121" s="833">
        <f>'Data-Kolom'!J122</f>
        <v>0</v>
      </c>
      <c r="W121" s="832">
        <f>'Data-Kolom'!K122</f>
        <v>0</v>
      </c>
      <c r="X121" s="831">
        <f t="shared" si="111"/>
        <v>0</v>
      </c>
      <c r="Y121" s="831">
        <f t="shared" si="112"/>
        <v>0</v>
      </c>
      <c r="Z121" s="831">
        <f t="shared" si="113"/>
        <v>3480</v>
      </c>
      <c r="AA121" s="831"/>
      <c r="AB121" s="831">
        <f t="shared" si="114"/>
        <v>3480</v>
      </c>
      <c r="AC121" s="831">
        <f t="shared" si="115"/>
        <v>0</v>
      </c>
      <c r="AD121" s="847">
        <f>'Data-Kolom'!L122</f>
        <v>10</v>
      </c>
      <c r="AE121" s="846">
        <f>'Data-Kolom'!M122</f>
        <v>100</v>
      </c>
      <c r="AF121" s="846">
        <f>'Data-Kolom'!N122</f>
        <v>100</v>
      </c>
      <c r="AG121" s="846">
        <f>'Data-Kolom'!O122</f>
        <v>100</v>
      </c>
      <c r="AH121" s="846">
        <f>'Data-Kolom'!P122</f>
        <v>0</v>
      </c>
      <c r="AI121" s="846">
        <f>'Data-Kolom'!Q122</f>
        <v>0</v>
      </c>
      <c r="AJ121" s="846">
        <f>'Data-Kolom'!R122</f>
        <v>0</v>
      </c>
      <c r="AK121" s="853">
        <f>'Data-Kolom'!S122</f>
        <v>0</v>
      </c>
      <c r="AL121" s="827">
        <f t="shared" si="116"/>
        <v>1130</v>
      </c>
      <c r="AM121" s="826">
        <f t="shared" si="117"/>
        <v>0</v>
      </c>
      <c r="AN121" s="826">
        <f t="shared" si="118"/>
        <v>37</v>
      </c>
      <c r="AO121" s="845">
        <f t="shared" si="119"/>
        <v>0.23799999999999999</v>
      </c>
      <c r="AP121" s="822">
        <f t="shared" si="120"/>
        <v>34.771783680000006</v>
      </c>
      <c r="AQ121" s="824">
        <f t="shared" si="121"/>
        <v>0</v>
      </c>
      <c r="AR121" s="824">
        <f t="shared" si="122"/>
        <v>25.775865000000003</v>
      </c>
      <c r="AS121" s="824">
        <f t="shared" si="123"/>
        <v>0</v>
      </c>
      <c r="AT121" s="823">
        <f t="shared" si="124"/>
        <v>3.99</v>
      </c>
      <c r="AU121" s="844">
        <f t="shared" si="125"/>
        <v>254.40188521008409</v>
      </c>
      <c r="AV121" s="844">
        <f t="shared" si="126"/>
        <v>16.764705882352942</v>
      </c>
      <c r="AX121" s="822">
        <f t="shared" si="127"/>
        <v>34.771783680000006</v>
      </c>
      <c r="AY121" s="843"/>
      <c r="AZ121" s="852">
        <f t="shared" si="128"/>
        <v>0</v>
      </c>
      <c r="BA121" s="851">
        <f t="shared" si="129"/>
        <v>0</v>
      </c>
    </row>
    <row r="122" spans="1:53" ht="13.9" customHeight="1">
      <c r="A122" s="842">
        <f>'Data-Kolom'!A123</f>
        <v>103</v>
      </c>
      <c r="B122" s="842" t="str">
        <f>'Data-Kolom'!B123</f>
        <v>Lantai 3</v>
      </c>
      <c r="C122" s="842">
        <f>'Data-Kolom'!C123</f>
        <v>0</v>
      </c>
      <c r="D122" s="841" t="str">
        <f>'Data-Kolom'!D123</f>
        <v>K4</v>
      </c>
      <c r="E122" s="832" t="s">
        <v>237</v>
      </c>
      <c r="F122" s="840">
        <f>'Data-Kolom'!U123</f>
        <v>0</v>
      </c>
      <c r="G122" s="839">
        <f>'Data-Kolom'!T123</f>
        <v>0</v>
      </c>
      <c r="H122" s="832">
        <f>'Data-Kolom'!E123</f>
        <v>170</v>
      </c>
      <c r="I122" s="832">
        <f>'Data-Kolom'!F123</f>
        <v>400</v>
      </c>
      <c r="J122" s="832">
        <f>'Data-Kolom'!G123</f>
        <v>3500</v>
      </c>
      <c r="K122" s="831">
        <v>1</v>
      </c>
      <c r="L122" s="831"/>
      <c r="M122" s="831">
        <f>IF(L122&gt;0,VLOOKUP(L122,'Data-PC'!$B$14:$F$56,4,FALSE),0)</f>
        <v>0</v>
      </c>
      <c r="N122" s="847">
        <f>'Data-Kolom'!H123</f>
        <v>6</v>
      </c>
      <c r="O122" s="832">
        <f>'Data-Kolom'!I123</f>
        <v>16</v>
      </c>
      <c r="P122" s="850">
        <f t="shared" si="106"/>
        <v>1010</v>
      </c>
      <c r="Q122" s="831">
        <f t="shared" si="107"/>
        <v>770</v>
      </c>
      <c r="R122" s="831">
        <f t="shared" si="108"/>
        <v>3672</v>
      </c>
      <c r="S122" s="831"/>
      <c r="T122" s="849">
        <f t="shared" si="109"/>
        <v>3672</v>
      </c>
      <c r="U122" s="848">
        <f t="shared" si="110"/>
        <v>6</v>
      </c>
      <c r="V122" s="833">
        <f>'Data-Kolom'!J123</f>
        <v>0</v>
      </c>
      <c r="W122" s="832">
        <f>'Data-Kolom'!K123</f>
        <v>0</v>
      </c>
      <c r="X122" s="831">
        <f t="shared" si="111"/>
        <v>0</v>
      </c>
      <c r="Y122" s="831">
        <f t="shared" si="112"/>
        <v>0</v>
      </c>
      <c r="Z122" s="831">
        <f t="shared" si="113"/>
        <v>3480</v>
      </c>
      <c r="AA122" s="831"/>
      <c r="AB122" s="831">
        <f t="shared" si="114"/>
        <v>3480</v>
      </c>
      <c r="AC122" s="831">
        <f t="shared" si="115"/>
        <v>0</v>
      </c>
      <c r="AD122" s="847">
        <f>'Data-Kolom'!L123</f>
        <v>10</v>
      </c>
      <c r="AE122" s="846">
        <f>'Data-Kolom'!M123</f>
        <v>100</v>
      </c>
      <c r="AF122" s="846">
        <f>'Data-Kolom'!N123</f>
        <v>100</v>
      </c>
      <c r="AG122" s="846">
        <f>'Data-Kolom'!O123</f>
        <v>100</v>
      </c>
      <c r="AH122" s="846">
        <f>'Data-Kolom'!P123</f>
        <v>0</v>
      </c>
      <c r="AI122" s="846">
        <f>'Data-Kolom'!Q123</f>
        <v>0</v>
      </c>
      <c r="AJ122" s="846">
        <f>'Data-Kolom'!R123</f>
        <v>0</v>
      </c>
      <c r="AK122" s="853">
        <f>'Data-Kolom'!S123</f>
        <v>0</v>
      </c>
      <c r="AL122" s="827">
        <f t="shared" si="116"/>
        <v>1130</v>
      </c>
      <c r="AM122" s="826">
        <f t="shared" si="117"/>
        <v>0</v>
      </c>
      <c r="AN122" s="826">
        <f t="shared" si="118"/>
        <v>37</v>
      </c>
      <c r="AO122" s="845">
        <f t="shared" si="119"/>
        <v>0.23799999999999999</v>
      </c>
      <c r="AP122" s="822">
        <f t="shared" si="120"/>
        <v>34.771783680000006</v>
      </c>
      <c r="AQ122" s="824">
        <f t="shared" si="121"/>
        <v>0</v>
      </c>
      <c r="AR122" s="824">
        <f t="shared" si="122"/>
        <v>25.775865000000003</v>
      </c>
      <c r="AS122" s="824">
        <f t="shared" si="123"/>
        <v>0</v>
      </c>
      <c r="AT122" s="823">
        <f t="shared" si="124"/>
        <v>3.99</v>
      </c>
      <c r="AU122" s="844">
        <f t="shared" si="125"/>
        <v>254.40188521008409</v>
      </c>
      <c r="AV122" s="844">
        <f t="shared" si="126"/>
        <v>16.764705882352942</v>
      </c>
      <c r="AX122" s="822">
        <f t="shared" si="127"/>
        <v>34.771783680000006</v>
      </c>
      <c r="AY122" s="843"/>
      <c r="AZ122" s="852">
        <f t="shared" si="128"/>
        <v>0</v>
      </c>
      <c r="BA122" s="851">
        <f t="shared" si="129"/>
        <v>0</v>
      </c>
    </row>
    <row r="123" spans="1:53" ht="13.9" customHeight="1">
      <c r="A123" s="842"/>
      <c r="B123" s="842"/>
      <c r="C123" s="842"/>
      <c r="D123" s="841"/>
      <c r="E123" s="832"/>
      <c r="F123" s="840"/>
      <c r="G123" s="839"/>
      <c r="H123" s="832"/>
      <c r="I123" s="832"/>
      <c r="J123" s="832"/>
      <c r="K123" s="831"/>
      <c r="L123" s="831"/>
      <c r="M123" s="831"/>
      <c r="N123" s="847"/>
      <c r="O123" s="832"/>
      <c r="P123" s="850"/>
      <c r="Q123" s="831"/>
      <c r="R123" s="831"/>
      <c r="S123" s="831"/>
      <c r="T123" s="849"/>
      <c r="U123" s="848"/>
      <c r="V123" s="833"/>
      <c r="W123" s="832"/>
      <c r="X123" s="831"/>
      <c r="Y123" s="831"/>
      <c r="Z123" s="831"/>
      <c r="AA123" s="831"/>
      <c r="AB123" s="831"/>
      <c r="AC123" s="831"/>
      <c r="AD123" s="847"/>
      <c r="AE123" s="846"/>
      <c r="AF123" s="846"/>
      <c r="AG123" s="846"/>
      <c r="AH123" s="846"/>
      <c r="AI123" s="846"/>
      <c r="AJ123" s="846"/>
      <c r="AK123" s="853"/>
      <c r="AL123" s="827"/>
      <c r="AM123" s="826"/>
      <c r="AN123" s="826"/>
      <c r="AO123" s="845"/>
      <c r="AP123" s="822"/>
      <c r="AQ123" s="824"/>
      <c r="AR123" s="824"/>
      <c r="AS123" s="824"/>
      <c r="AT123" s="823"/>
      <c r="AU123" s="844"/>
      <c r="AV123" s="844"/>
      <c r="AX123" s="822"/>
      <c r="AY123" s="843"/>
      <c r="AZ123" s="852"/>
      <c r="BA123" s="851"/>
    </row>
    <row r="124" spans="1:53" ht="13.9" customHeight="1">
      <c r="A124" s="842">
        <f>'Data-Kolom'!A125</f>
        <v>201</v>
      </c>
      <c r="B124" s="842" t="str">
        <f>'Data-Kolom'!B125</f>
        <v>Lantai 3</v>
      </c>
      <c r="C124" s="842">
        <f>'Data-Kolom'!C125</f>
        <v>0</v>
      </c>
      <c r="D124" s="841" t="str">
        <f>'Data-Kolom'!D125</f>
        <v>K1A4</v>
      </c>
      <c r="E124" s="832" t="s">
        <v>324</v>
      </c>
      <c r="F124" s="840">
        <f>'Data-Kolom'!U125</f>
        <v>0</v>
      </c>
      <c r="G124" s="839">
        <f>'Data-Kolom'!T125</f>
        <v>0</v>
      </c>
      <c r="H124" s="832">
        <f>'Data-Kolom'!E125</f>
        <v>130</v>
      </c>
      <c r="I124" s="832">
        <f>'Data-Kolom'!F125</f>
        <v>400</v>
      </c>
      <c r="J124" s="832">
        <f>'Data-Kolom'!G125</f>
        <v>3500</v>
      </c>
      <c r="K124" s="831">
        <v>1</v>
      </c>
      <c r="L124" s="831"/>
      <c r="M124" s="831">
        <f>IF(L124&gt;0,VLOOKUP(L124,'Data-PC'!$B$14:$F$56,4,FALSE),0)</f>
        <v>0</v>
      </c>
      <c r="N124" s="847">
        <f>'Data-Kolom'!H125</f>
        <v>6</v>
      </c>
      <c r="O124" s="832">
        <f>'Data-Kolom'!I125</f>
        <v>16</v>
      </c>
      <c r="P124" s="850">
        <f t="shared" si="106"/>
        <v>1010</v>
      </c>
      <c r="Q124" s="831">
        <f t="shared" si="107"/>
        <v>770</v>
      </c>
      <c r="R124" s="831">
        <f t="shared" si="108"/>
        <v>4442</v>
      </c>
      <c r="S124" s="831"/>
      <c r="T124" s="849">
        <f t="shared" si="109"/>
        <v>4442</v>
      </c>
      <c r="U124" s="848">
        <f t="shared" si="110"/>
        <v>6</v>
      </c>
      <c r="V124" s="833">
        <f>'Data-Kolom'!J125</f>
        <v>0</v>
      </c>
      <c r="W124" s="832">
        <f>'Data-Kolom'!K125</f>
        <v>0</v>
      </c>
      <c r="X124" s="831">
        <f t="shared" si="111"/>
        <v>0</v>
      </c>
      <c r="Y124" s="831">
        <f t="shared" si="112"/>
        <v>0</v>
      </c>
      <c r="Z124" s="831">
        <f t="shared" si="113"/>
        <v>3480</v>
      </c>
      <c r="AA124" s="831"/>
      <c r="AB124" s="831">
        <f t="shared" si="114"/>
        <v>3480</v>
      </c>
      <c r="AC124" s="831">
        <f t="shared" si="115"/>
        <v>0</v>
      </c>
      <c r="AD124" s="847">
        <f>'Data-Kolom'!L125</f>
        <v>10</v>
      </c>
      <c r="AE124" s="846">
        <f>'Data-Kolom'!M125</f>
        <v>100</v>
      </c>
      <c r="AF124" s="846">
        <f>'Data-Kolom'!N125</f>
        <v>100</v>
      </c>
      <c r="AG124" s="846">
        <f>'Data-Kolom'!O125</f>
        <v>100</v>
      </c>
      <c r="AH124" s="846">
        <f>'Data-Kolom'!P125</f>
        <v>0</v>
      </c>
      <c r="AI124" s="846">
        <f>'Data-Kolom'!Q125</f>
        <v>0</v>
      </c>
      <c r="AJ124" s="846">
        <f>'Data-Kolom'!R125</f>
        <v>0</v>
      </c>
      <c r="AK124" s="853">
        <f>'Data-Kolom'!S125</f>
        <v>0</v>
      </c>
      <c r="AL124" s="827">
        <f t="shared" si="116"/>
        <v>1050</v>
      </c>
      <c r="AM124" s="826">
        <f t="shared" si="117"/>
        <v>0</v>
      </c>
      <c r="AN124" s="826">
        <f t="shared" si="118"/>
        <v>37</v>
      </c>
      <c r="AO124" s="845">
        <f t="shared" si="119"/>
        <v>0.182</v>
      </c>
      <c r="AP124" s="822">
        <f t="shared" si="120"/>
        <v>42.063252480000003</v>
      </c>
      <c r="AQ124" s="824">
        <f t="shared" si="121"/>
        <v>0</v>
      </c>
      <c r="AR124" s="824">
        <f t="shared" si="122"/>
        <v>23.951025000000001</v>
      </c>
      <c r="AS124" s="824">
        <f t="shared" si="123"/>
        <v>0</v>
      </c>
      <c r="AT124" s="823">
        <f t="shared" si="124"/>
        <v>3.71</v>
      </c>
      <c r="AU124" s="844">
        <f t="shared" si="125"/>
        <v>362.71581032967038</v>
      </c>
      <c r="AV124" s="844">
        <f t="shared" si="126"/>
        <v>20.384615384615383</v>
      </c>
      <c r="AX124" s="822">
        <f t="shared" si="127"/>
        <v>42.063252480000003</v>
      </c>
      <c r="AY124" s="843"/>
      <c r="AZ124" s="852">
        <f t="shared" si="128"/>
        <v>0</v>
      </c>
      <c r="BA124" s="851">
        <f t="shared" si="129"/>
        <v>0</v>
      </c>
    </row>
    <row r="125" spans="1:53" ht="13.9" customHeight="1">
      <c r="A125" s="842">
        <f>'Data-Kolom'!A126</f>
        <v>202</v>
      </c>
      <c r="B125" s="842" t="str">
        <f>'Data-Kolom'!B126</f>
        <v>Lantai 3</v>
      </c>
      <c r="C125" s="842">
        <f>'Data-Kolom'!C126</f>
        <v>0</v>
      </c>
      <c r="D125" s="841" t="str">
        <f>'Data-Kolom'!D126</f>
        <v>K1A4</v>
      </c>
      <c r="E125" s="832" t="s">
        <v>324</v>
      </c>
      <c r="F125" s="840">
        <f>'Data-Kolom'!U126</f>
        <v>0</v>
      </c>
      <c r="G125" s="839">
        <f>'Data-Kolom'!T126</f>
        <v>0</v>
      </c>
      <c r="H125" s="832">
        <f>'Data-Kolom'!E126</f>
        <v>130</v>
      </c>
      <c r="I125" s="832">
        <f>'Data-Kolom'!F126</f>
        <v>400</v>
      </c>
      <c r="J125" s="832">
        <f>'Data-Kolom'!G126</f>
        <v>3500</v>
      </c>
      <c r="K125" s="831">
        <v>1</v>
      </c>
      <c r="L125" s="831"/>
      <c r="M125" s="831">
        <f>IF(L125&gt;0,VLOOKUP(L125,'Data-PC'!$B$14:$F$56,4,FALSE),0)</f>
        <v>0</v>
      </c>
      <c r="N125" s="847">
        <f>'Data-Kolom'!H126</f>
        <v>6</v>
      </c>
      <c r="O125" s="832">
        <f>'Data-Kolom'!I126</f>
        <v>16</v>
      </c>
      <c r="P125" s="850">
        <f t="shared" si="106"/>
        <v>1010</v>
      </c>
      <c r="Q125" s="831">
        <f t="shared" si="107"/>
        <v>770</v>
      </c>
      <c r="R125" s="831">
        <f t="shared" si="108"/>
        <v>4442</v>
      </c>
      <c r="S125" s="831"/>
      <c r="T125" s="849">
        <f t="shared" si="109"/>
        <v>4442</v>
      </c>
      <c r="U125" s="848">
        <f t="shared" si="110"/>
        <v>6</v>
      </c>
      <c r="V125" s="833">
        <f>'Data-Kolom'!J126</f>
        <v>0</v>
      </c>
      <c r="W125" s="832">
        <f>'Data-Kolom'!K126</f>
        <v>0</v>
      </c>
      <c r="X125" s="831">
        <f t="shared" si="111"/>
        <v>0</v>
      </c>
      <c r="Y125" s="831">
        <f t="shared" si="112"/>
        <v>0</v>
      </c>
      <c r="Z125" s="831">
        <f t="shared" si="113"/>
        <v>3480</v>
      </c>
      <c r="AA125" s="831"/>
      <c r="AB125" s="831">
        <f t="shared" si="114"/>
        <v>3480</v>
      </c>
      <c r="AC125" s="831">
        <f t="shared" si="115"/>
        <v>0</v>
      </c>
      <c r="AD125" s="847">
        <f>'Data-Kolom'!L126</f>
        <v>10</v>
      </c>
      <c r="AE125" s="846">
        <f>'Data-Kolom'!M126</f>
        <v>100</v>
      </c>
      <c r="AF125" s="846">
        <f>'Data-Kolom'!N126</f>
        <v>100</v>
      </c>
      <c r="AG125" s="846">
        <f>'Data-Kolom'!O126</f>
        <v>100</v>
      </c>
      <c r="AH125" s="846">
        <f>'Data-Kolom'!P126</f>
        <v>0</v>
      </c>
      <c r="AI125" s="846">
        <f>'Data-Kolom'!Q126</f>
        <v>0</v>
      </c>
      <c r="AJ125" s="846">
        <f>'Data-Kolom'!R126</f>
        <v>0</v>
      </c>
      <c r="AK125" s="853">
        <f>'Data-Kolom'!S126</f>
        <v>0</v>
      </c>
      <c r="AL125" s="827">
        <f t="shared" si="116"/>
        <v>1050</v>
      </c>
      <c r="AM125" s="826">
        <f t="shared" si="117"/>
        <v>0</v>
      </c>
      <c r="AN125" s="826">
        <f t="shared" si="118"/>
        <v>37</v>
      </c>
      <c r="AO125" s="845">
        <f t="shared" si="119"/>
        <v>0.182</v>
      </c>
      <c r="AP125" s="822">
        <f t="shared" si="120"/>
        <v>42.063252480000003</v>
      </c>
      <c r="AQ125" s="824">
        <f t="shared" si="121"/>
        <v>0</v>
      </c>
      <c r="AR125" s="824">
        <f t="shared" si="122"/>
        <v>23.951025000000001</v>
      </c>
      <c r="AS125" s="824">
        <f t="shared" si="123"/>
        <v>0</v>
      </c>
      <c r="AT125" s="823">
        <f t="shared" si="124"/>
        <v>3.71</v>
      </c>
      <c r="AU125" s="844">
        <f t="shared" si="125"/>
        <v>362.71581032967038</v>
      </c>
      <c r="AV125" s="844">
        <f t="shared" si="126"/>
        <v>20.384615384615383</v>
      </c>
      <c r="AX125" s="822">
        <f t="shared" si="127"/>
        <v>42.063252480000003</v>
      </c>
      <c r="AY125" s="843"/>
      <c r="AZ125" s="852">
        <f t="shared" si="128"/>
        <v>0</v>
      </c>
      <c r="BA125" s="851">
        <f t="shared" si="129"/>
        <v>0</v>
      </c>
    </row>
    <row r="126" spans="1:53" ht="13.9" customHeight="1">
      <c r="A126" s="842">
        <f>'Data-Kolom'!A127</f>
        <v>203</v>
      </c>
      <c r="B126" s="842" t="str">
        <f>'Data-Kolom'!B127</f>
        <v>Lantai 3</v>
      </c>
      <c r="C126" s="842">
        <f>'Data-Kolom'!C127</f>
        <v>0</v>
      </c>
      <c r="D126" s="841" t="str">
        <f>'Data-Kolom'!D127</f>
        <v>K1A4</v>
      </c>
      <c r="E126" s="832" t="s">
        <v>324</v>
      </c>
      <c r="F126" s="840">
        <f>'Data-Kolom'!U127</f>
        <v>0</v>
      </c>
      <c r="G126" s="839">
        <f>'Data-Kolom'!T127</f>
        <v>0</v>
      </c>
      <c r="H126" s="832">
        <f>'Data-Kolom'!E127</f>
        <v>130</v>
      </c>
      <c r="I126" s="832">
        <f>'Data-Kolom'!F127</f>
        <v>400</v>
      </c>
      <c r="J126" s="832">
        <f>'Data-Kolom'!G127</f>
        <v>3500</v>
      </c>
      <c r="K126" s="831">
        <v>1</v>
      </c>
      <c r="L126" s="831"/>
      <c r="M126" s="831">
        <f>IF(L126&gt;0,VLOOKUP(L126,'Data-PC'!$B$14:$F$56,4,FALSE),0)</f>
        <v>0</v>
      </c>
      <c r="N126" s="847">
        <f>'Data-Kolom'!H127</f>
        <v>6</v>
      </c>
      <c r="O126" s="832">
        <f>'Data-Kolom'!I127</f>
        <v>16</v>
      </c>
      <c r="P126" s="850">
        <f t="shared" si="106"/>
        <v>1010</v>
      </c>
      <c r="Q126" s="831">
        <f t="shared" si="107"/>
        <v>770</v>
      </c>
      <c r="R126" s="831">
        <f t="shared" si="108"/>
        <v>4442</v>
      </c>
      <c r="S126" s="831"/>
      <c r="T126" s="849">
        <f t="shared" si="109"/>
        <v>4442</v>
      </c>
      <c r="U126" s="848">
        <f t="shared" si="110"/>
        <v>6</v>
      </c>
      <c r="V126" s="833">
        <f>'Data-Kolom'!J127</f>
        <v>0</v>
      </c>
      <c r="W126" s="832">
        <f>'Data-Kolom'!K127</f>
        <v>0</v>
      </c>
      <c r="X126" s="831">
        <f t="shared" si="111"/>
        <v>0</v>
      </c>
      <c r="Y126" s="831">
        <f t="shared" si="112"/>
        <v>0</v>
      </c>
      <c r="Z126" s="831">
        <f t="shared" si="113"/>
        <v>3480</v>
      </c>
      <c r="AA126" s="831"/>
      <c r="AB126" s="831">
        <f t="shared" si="114"/>
        <v>3480</v>
      </c>
      <c r="AC126" s="831">
        <f t="shared" si="115"/>
        <v>0</v>
      </c>
      <c r="AD126" s="847">
        <f>'Data-Kolom'!L127</f>
        <v>10</v>
      </c>
      <c r="AE126" s="846">
        <f>'Data-Kolom'!M127</f>
        <v>100</v>
      </c>
      <c r="AF126" s="846">
        <f>'Data-Kolom'!N127</f>
        <v>100</v>
      </c>
      <c r="AG126" s="846">
        <f>'Data-Kolom'!O127</f>
        <v>100</v>
      </c>
      <c r="AH126" s="846">
        <f>'Data-Kolom'!P127</f>
        <v>0</v>
      </c>
      <c r="AI126" s="846">
        <f>'Data-Kolom'!Q127</f>
        <v>0</v>
      </c>
      <c r="AJ126" s="846">
        <f>'Data-Kolom'!R127</f>
        <v>0</v>
      </c>
      <c r="AK126" s="853">
        <f>'Data-Kolom'!S127</f>
        <v>0</v>
      </c>
      <c r="AL126" s="827">
        <f t="shared" si="116"/>
        <v>1050</v>
      </c>
      <c r="AM126" s="826">
        <f t="shared" si="117"/>
        <v>0</v>
      </c>
      <c r="AN126" s="826">
        <f t="shared" si="118"/>
        <v>37</v>
      </c>
      <c r="AO126" s="845">
        <f t="shared" si="119"/>
        <v>0.182</v>
      </c>
      <c r="AP126" s="822">
        <f t="shared" si="120"/>
        <v>42.063252480000003</v>
      </c>
      <c r="AQ126" s="824">
        <f t="shared" si="121"/>
        <v>0</v>
      </c>
      <c r="AR126" s="824">
        <f t="shared" si="122"/>
        <v>23.951025000000001</v>
      </c>
      <c r="AS126" s="824">
        <f t="shared" si="123"/>
        <v>0</v>
      </c>
      <c r="AT126" s="823">
        <f t="shared" si="124"/>
        <v>3.71</v>
      </c>
      <c r="AU126" s="844">
        <f t="shared" si="125"/>
        <v>362.71581032967038</v>
      </c>
      <c r="AV126" s="844">
        <f t="shared" si="126"/>
        <v>20.384615384615383</v>
      </c>
      <c r="AX126" s="822">
        <f t="shared" si="127"/>
        <v>42.063252480000003</v>
      </c>
      <c r="AY126" s="843"/>
      <c r="AZ126" s="852">
        <f t="shared" si="128"/>
        <v>0</v>
      </c>
      <c r="BA126" s="851">
        <f t="shared" si="129"/>
        <v>0</v>
      </c>
    </row>
    <row r="127" spans="1:53" ht="13.9" customHeight="1">
      <c r="A127" s="842">
        <f>'Data-Kolom'!A128</f>
        <v>204</v>
      </c>
      <c r="B127" s="842" t="str">
        <f>'Data-Kolom'!B128</f>
        <v>Lantai 3</v>
      </c>
      <c r="C127" s="842">
        <f>'Data-Kolom'!C128</f>
        <v>0</v>
      </c>
      <c r="D127" s="841" t="str">
        <f>'Data-Kolom'!D128</f>
        <v>K1A4</v>
      </c>
      <c r="E127" s="832" t="s">
        <v>324</v>
      </c>
      <c r="F127" s="840">
        <f>'Data-Kolom'!U128</f>
        <v>0</v>
      </c>
      <c r="G127" s="839">
        <f>'Data-Kolom'!T128</f>
        <v>0</v>
      </c>
      <c r="H127" s="832">
        <f>'Data-Kolom'!E128</f>
        <v>130</v>
      </c>
      <c r="I127" s="832">
        <f>'Data-Kolom'!F128</f>
        <v>400</v>
      </c>
      <c r="J127" s="832">
        <f>'Data-Kolom'!G128</f>
        <v>3500</v>
      </c>
      <c r="K127" s="831">
        <v>1</v>
      </c>
      <c r="L127" s="831"/>
      <c r="M127" s="831">
        <f>IF(L127&gt;0,VLOOKUP(L127,'Data-PC'!$B$14:$F$56,4,FALSE),0)</f>
        <v>0</v>
      </c>
      <c r="N127" s="847">
        <f>'Data-Kolom'!H128</f>
        <v>6</v>
      </c>
      <c r="O127" s="832">
        <f>'Data-Kolom'!I128</f>
        <v>16</v>
      </c>
      <c r="P127" s="850">
        <f t="shared" ref="P127:P137" si="130">IF(N127&gt;0,VLOOKUP(O127,$V$2:$X$9,2,FALSE),0)</f>
        <v>1010</v>
      </c>
      <c r="Q127" s="831">
        <f t="shared" ref="Q127:Q137" si="131">IF(L127&gt;0,M127-50+$N$6*O127,VLOOKUP(O127,$V$2:$X$9,3,FALSE))</f>
        <v>770</v>
      </c>
      <c r="R127" s="831">
        <f t="shared" ref="R127:R137" si="132">IF(E127="F",J127-$N$5+$N$6*O127+Q127,IF(E127="D",J127+Q127+P127,IF(E127="T",J127+P127,IF(E127="A",J127-$N$5+$N$6*O127,0))))</f>
        <v>4442</v>
      </c>
      <c r="S127" s="831"/>
      <c r="T127" s="849">
        <f t="shared" ref="T127:T137" si="133">SUM(R127:S127)</f>
        <v>4442</v>
      </c>
      <c r="U127" s="848">
        <f t="shared" ref="U127:U137" si="134">K127*N127</f>
        <v>6</v>
      </c>
      <c r="V127" s="833">
        <f>'Data-Kolom'!J128</f>
        <v>0</v>
      </c>
      <c r="W127" s="832">
        <f>'Data-Kolom'!K128</f>
        <v>0</v>
      </c>
      <c r="X127" s="831">
        <f t="shared" ref="X127:X137" si="135">IF(V127&gt;0,VLOOKUP(W127,$V$2:$X$9,2,FALSE),0)</f>
        <v>0</v>
      </c>
      <c r="Y127" s="831">
        <f t="shared" ref="Y127:Y137" si="136">IF(V127&gt;0,IF(L127&gt;0,M127-50+$N$6*W127,VLOOKUP(W127,$V$2:$X$9,3,FALSE)),0)</f>
        <v>0</v>
      </c>
      <c r="Z127" s="831">
        <f t="shared" ref="Z127:Z137" si="137">IF(E127="F",J127-$N$5+$N$6*W127+Y127,IF(E127="D",J127+Y127+X127,IF(E127="T",J127+X127,IF(E127="A",J127-$N$5+$N$6*W127,0))))</f>
        <v>3480</v>
      </c>
      <c r="AA127" s="831"/>
      <c r="AB127" s="831">
        <f t="shared" ref="AB127:AB137" si="138">SUM(Z127:AA127)</f>
        <v>3480</v>
      </c>
      <c r="AC127" s="831">
        <f t="shared" ref="AC127:AC137" si="139">V127*K127</f>
        <v>0</v>
      </c>
      <c r="AD127" s="847">
        <f>'Data-Kolom'!L128</f>
        <v>10</v>
      </c>
      <c r="AE127" s="846">
        <f>'Data-Kolom'!M128</f>
        <v>100</v>
      </c>
      <c r="AF127" s="846">
        <f>'Data-Kolom'!N128</f>
        <v>100</v>
      </c>
      <c r="AG127" s="846">
        <f>'Data-Kolom'!O128</f>
        <v>100</v>
      </c>
      <c r="AH127" s="846">
        <f>'Data-Kolom'!P128</f>
        <v>0</v>
      </c>
      <c r="AI127" s="846">
        <f>'Data-Kolom'!Q128</f>
        <v>0</v>
      </c>
      <c r="AJ127" s="846">
        <f>'Data-Kolom'!R128</f>
        <v>0</v>
      </c>
      <c r="AK127" s="853">
        <f>'Data-Kolom'!S128</f>
        <v>0</v>
      </c>
      <c r="AL127" s="827">
        <f t="shared" ref="AL127:AL137" si="140">2*(H127+I127-4*$N$5)+2*MAX($F$5*AD127,75)</f>
        <v>1050</v>
      </c>
      <c r="AM127" s="826">
        <f t="shared" ref="AM127:AM137" si="141">+AH127*(H127-2*$N$5+2*MAX($F$5*AI127,75))+AJ127*(I127-2*$N$5+2*MAX($F$5*AK127,75))</f>
        <v>0</v>
      </c>
      <c r="AN127" s="826">
        <f t="shared" ref="AN127:AN137" si="142">(ROUND((1/2*J127+IF(M127&gt;0,(Q127-$N$6*AD127),0))/AE127,0)+(ROUND(1/2*J127/AF127,0)+1))*K127</f>
        <v>37</v>
      </c>
      <c r="AO127" s="845">
        <f t="shared" ref="AO127:AO137" si="143">H127*I127*J127/1000000000*K127*(1+$T$5)</f>
        <v>0.182</v>
      </c>
      <c r="AP127" s="822">
        <f t="shared" ref="AP127:AP137" si="144">0.006165*O127^2*T127*U127/1000*(1+$T$6)</f>
        <v>42.063252480000003</v>
      </c>
      <c r="AQ127" s="824">
        <f t="shared" ref="AQ127:AQ137" si="145">0.006165*W127^2*AB127*AC127/1000*(1+$T$6)</f>
        <v>0</v>
      </c>
      <c r="AR127" s="824">
        <f t="shared" ref="AR127:AR137" si="146">AN127*0.006165*AD127^2*AL127/1000*(1+$T$6)</f>
        <v>23.951025000000001</v>
      </c>
      <c r="AS127" s="824">
        <f t="shared" ref="AS127:AS137" si="147">AN127*0.006165*AI127^2*AM127/1000*(1+$T$6)</f>
        <v>0</v>
      </c>
      <c r="AT127" s="823">
        <f t="shared" ref="AT127:AT137" si="148">K127*2*J127*(H127+I127)/1000000*(1+$T$7)</f>
        <v>3.71</v>
      </c>
      <c r="AU127" s="844">
        <f t="shared" ref="AU127:AU137" si="149">SUM(AP127:AS127)/AO127</f>
        <v>362.71581032967038</v>
      </c>
      <c r="AV127" s="844">
        <f t="shared" ref="AV127:AV137" si="150">AT127/AO127</f>
        <v>20.384615384615383</v>
      </c>
      <c r="AX127" s="822">
        <f t="shared" ref="AX127:AX137" si="151">0.006165*O127^2*R127*U127/1000*(1+$T$6)</f>
        <v>42.063252480000003</v>
      </c>
      <c r="AY127" s="843"/>
      <c r="AZ127" s="852">
        <f t="shared" ref="AZ127:AZ137" si="152">0.006165*O127^2*S127*U127/1000*(1+$T$6)</f>
        <v>0</v>
      </c>
      <c r="BA127" s="851">
        <f t="shared" ref="BA127:BA137" si="153">AZ127/AP127</f>
        <v>0</v>
      </c>
    </row>
    <row r="128" spans="1:53" ht="13.9" customHeight="1">
      <c r="A128" s="842">
        <f>'Data-Kolom'!A129</f>
        <v>205</v>
      </c>
      <c r="B128" s="842" t="str">
        <f>'Data-Kolom'!B129</f>
        <v>Lantai 3</v>
      </c>
      <c r="C128" s="842">
        <f>'Data-Kolom'!C129</f>
        <v>0</v>
      </c>
      <c r="D128" s="841" t="str">
        <f>'Data-Kolom'!D129</f>
        <v>K1A5</v>
      </c>
      <c r="E128" s="832" t="s">
        <v>16</v>
      </c>
      <c r="F128" s="840">
        <f>'Data-Kolom'!U129</f>
        <v>0</v>
      </c>
      <c r="G128" s="839">
        <f>'Data-Kolom'!T129</f>
        <v>0</v>
      </c>
      <c r="H128" s="832">
        <f>'Data-Kolom'!E129</f>
        <v>130</v>
      </c>
      <c r="I128" s="832">
        <f>'Data-Kolom'!F129</f>
        <v>500</v>
      </c>
      <c r="J128" s="832">
        <f>'Data-Kolom'!G129</f>
        <v>3500</v>
      </c>
      <c r="K128" s="831">
        <v>1</v>
      </c>
      <c r="L128" s="831"/>
      <c r="M128" s="831">
        <f>IF(L128&gt;0,VLOOKUP(L128,'Data-PC'!$B$14:$F$56,4,FALSE),0)</f>
        <v>0</v>
      </c>
      <c r="N128" s="847">
        <f>'Data-Kolom'!H129</f>
        <v>6</v>
      </c>
      <c r="O128" s="832">
        <f>'Data-Kolom'!I129</f>
        <v>16</v>
      </c>
      <c r="P128" s="850">
        <f t="shared" si="130"/>
        <v>1010</v>
      </c>
      <c r="Q128" s="831">
        <f t="shared" si="131"/>
        <v>770</v>
      </c>
      <c r="R128" s="831">
        <f t="shared" si="132"/>
        <v>5280</v>
      </c>
      <c r="S128" s="831"/>
      <c r="T128" s="849">
        <f t="shared" si="133"/>
        <v>5280</v>
      </c>
      <c r="U128" s="848">
        <f t="shared" si="134"/>
        <v>6</v>
      </c>
      <c r="V128" s="833">
        <f>'Data-Kolom'!J129</f>
        <v>0</v>
      </c>
      <c r="W128" s="832">
        <f>'Data-Kolom'!K129</f>
        <v>0</v>
      </c>
      <c r="X128" s="831">
        <f t="shared" si="135"/>
        <v>0</v>
      </c>
      <c r="Y128" s="831">
        <f t="shared" si="136"/>
        <v>0</v>
      </c>
      <c r="Z128" s="831">
        <f t="shared" si="137"/>
        <v>3500</v>
      </c>
      <c r="AA128" s="831"/>
      <c r="AB128" s="831">
        <f t="shared" si="138"/>
        <v>3500</v>
      </c>
      <c r="AC128" s="831">
        <f t="shared" si="139"/>
        <v>0</v>
      </c>
      <c r="AD128" s="847">
        <f>'Data-Kolom'!L129</f>
        <v>10</v>
      </c>
      <c r="AE128" s="846">
        <f>'Data-Kolom'!M129</f>
        <v>100</v>
      </c>
      <c r="AF128" s="846">
        <f>'Data-Kolom'!N129</f>
        <v>100</v>
      </c>
      <c r="AG128" s="846">
        <f>'Data-Kolom'!O129</f>
        <v>100</v>
      </c>
      <c r="AH128" s="846">
        <f>'Data-Kolom'!P129</f>
        <v>0</v>
      </c>
      <c r="AI128" s="846">
        <f>'Data-Kolom'!Q129</f>
        <v>0</v>
      </c>
      <c r="AJ128" s="846">
        <f>'Data-Kolom'!R129</f>
        <v>0</v>
      </c>
      <c r="AK128" s="853">
        <f>'Data-Kolom'!S129</f>
        <v>0</v>
      </c>
      <c r="AL128" s="827">
        <f t="shared" si="140"/>
        <v>1250</v>
      </c>
      <c r="AM128" s="826">
        <f t="shared" si="141"/>
        <v>0</v>
      </c>
      <c r="AN128" s="826">
        <f t="shared" si="142"/>
        <v>37</v>
      </c>
      <c r="AO128" s="845">
        <f t="shared" si="143"/>
        <v>0.22750000000000001</v>
      </c>
      <c r="AP128" s="822">
        <f t="shared" si="144"/>
        <v>49.998643200000004</v>
      </c>
      <c r="AQ128" s="824">
        <f t="shared" si="145"/>
        <v>0</v>
      </c>
      <c r="AR128" s="824">
        <f t="shared" si="146"/>
        <v>28.513124999999999</v>
      </c>
      <c r="AS128" s="824">
        <f t="shared" si="147"/>
        <v>0</v>
      </c>
      <c r="AT128" s="823">
        <f t="shared" si="148"/>
        <v>4.41</v>
      </c>
      <c r="AU128" s="844">
        <f t="shared" si="149"/>
        <v>345.10667340659342</v>
      </c>
      <c r="AV128" s="844">
        <f t="shared" si="150"/>
        <v>19.384615384615383</v>
      </c>
      <c r="AX128" s="822">
        <f t="shared" si="151"/>
        <v>49.998643200000004</v>
      </c>
      <c r="AY128" s="843"/>
      <c r="AZ128" s="852">
        <f t="shared" si="152"/>
        <v>0</v>
      </c>
      <c r="BA128" s="851">
        <f t="shared" si="153"/>
        <v>0</v>
      </c>
    </row>
    <row r="129" spans="1:53" ht="13.9" customHeight="1">
      <c r="A129" s="842">
        <f>'Data-Kolom'!A130</f>
        <v>206</v>
      </c>
      <c r="B129" s="842" t="str">
        <f>'Data-Kolom'!B130</f>
        <v>Lantai 3</v>
      </c>
      <c r="C129" s="842">
        <f>'Data-Kolom'!C130</f>
        <v>0</v>
      </c>
      <c r="D129" s="841" t="str">
        <f>'Data-Kolom'!D130</f>
        <v>K1A5</v>
      </c>
      <c r="E129" s="832" t="s">
        <v>324</v>
      </c>
      <c r="F129" s="840">
        <f>'Data-Kolom'!U130</f>
        <v>0</v>
      </c>
      <c r="G129" s="839">
        <f>'Data-Kolom'!T130</f>
        <v>0</v>
      </c>
      <c r="H129" s="832">
        <f>'Data-Kolom'!E130</f>
        <v>130</v>
      </c>
      <c r="I129" s="832">
        <f>'Data-Kolom'!F130</f>
        <v>500</v>
      </c>
      <c r="J129" s="832">
        <f>'Data-Kolom'!G130</f>
        <v>3500</v>
      </c>
      <c r="K129" s="831">
        <v>1</v>
      </c>
      <c r="L129" s="831"/>
      <c r="M129" s="831">
        <f>IF(L129&gt;0,VLOOKUP(L129,'Data-PC'!$B$14:$F$56,4,FALSE),0)</f>
        <v>0</v>
      </c>
      <c r="N129" s="847">
        <f>'Data-Kolom'!H130</f>
        <v>6</v>
      </c>
      <c r="O129" s="832">
        <f>'Data-Kolom'!I130</f>
        <v>16</v>
      </c>
      <c r="P129" s="850">
        <f t="shared" si="130"/>
        <v>1010</v>
      </c>
      <c r="Q129" s="831">
        <f t="shared" si="131"/>
        <v>770</v>
      </c>
      <c r="R129" s="831">
        <f t="shared" si="132"/>
        <v>4442</v>
      </c>
      <c r="S129" s="831"/>
      <c r="T129" s="849">
        <f t="shared" si="133"/>
        <v>4442</v>
      </c>
      <c r="U129" s="848">
        <f t="shared" si="134"/>
        <v>6</v>
      </c>
      <c r="V129" s="833">
        <f>'Data-Kolom'!J130</f>
        <v>0</v>
      </c>
      <c r="W129" s="832">
        <f>'Data-Kolom'!K130</f>
        <v>0</v>
      </c>
      <c r="X129" s="831">
        <f t="shared" si="135"/>
        <v>0</v>
      </c>
      <c r="Y129" s="831">
        <f t="shared" si="136"/>
        <v>0</v>
      </c>
      <c r="Z129" s="831">
        <f t="shared" si="137"/>
        <v>3480</v>
      </c>
      <c r="AA129" s="831"/>
      <c r="AB129" s="831">
        <f t="shared" si="138"/>
        <v>3480</v>
      </c>
      <c r="AC129" s="831">
        <f t="shared" si="139"/>
        <v>0</v>
      </c>
      <c r="AD129" s="847">
        <f>'Data-Kolom'!L130</f>
        <v>10</v>
      </c>
      <c r="AE129" s="846">
        <f>'Data-Kolom'!M130</f>
        <v>100</v>
      </c>
      <c r="AF129" s="846">
        <f>'Data-Kolom'!N130</f>
        <v>100</v>
      </c>
      <c r="AG129" s="846">
        <f>'Data-Kolom'!O130</f>
        <v>100</v>
      </c>
      <c r="AH129" s="846">
        <f>'Data-Kolom'!P130</f>
        <v>0</v>
      </c>
      <c r="AI129" s="846">
        <f>'Data-Kolom'!Q130</f>
        <v>0</v>
      </c>
      <c r="AJ129" s="846">
        <f>'Data-Kolom'!R130</f>
        <v>0</v>
      </c>
      <c r="AK129" s="853">
        <f>'Data-Kolom'!S130</f>
        <v>0</v>
      </c>
      <c r="AL129" s="827">
        <f t="shared" si="140"/>
        <v>1250</v>
      </c>
      <c r="AM129" s="826">
        <f t="shared" si="141"/>
        <v>0</v>
      </c>
      <c r="AN129" s="826">
        <f t="shared" si="142"/>
        <v>37</v>
      </c>
      <c r="AO129" s="845">
        <f t="shared" si="143"/>
        <v>0.22750000000000001</v>
      </c>
      <c r="AP129" s="822">
        <f t="shared" si="144"/>
        <v>42.063252480000003</v>
      </c>
      <c r="AQ129" s="824">
        <f t="shared" si="145"/>
        <v>0</v>
      </c>
      <c r="AR129" s="824">
        <f t="shared" si="146"/>
        <v>28.513124999999999</v>
      </c>
      <c r="AS129" s="824">
        <f t="shared" si="147"/>
        <v>0</v>
      </c>
      <c r="AT129" s="823">
        <f t="shared" si="148"/>
        <v>4.41</v>
      </c>
      <c r="AU129" s="844">
        <f t="shared" si="149"/>
        <v>310.22583507692309</v>
      </c>
      <c r="AV129" s="844">
        <f t="shared" si="150"/>
        <v>19.384615384615383</v>
      </c>
      <c r="AX129" s="822">
        <f t="shared" si="151"/>
        <v>42.063252480000003</v>
      </c>
      <c r="AY129" s="843"/>
      <c r="AZ129" s="852">
        <f t="shared" si="152"/>
        <v>0</v>
      </c>
      <c r="BA129" s="851">
        <f t="shared" si="153"/>
        <v>0</v>
      </c>
    </row>
    <row r="130" spans="1:53" ht="13.9" customHeight="1">
      <c r="A130" s="842"/>
      <c r="B130" s="842"/>
      <c r="C130" s="842"/>
      <c r="D130" s="841"/>
      <c r="E130" s="832"/>
      <c r="F130" s="840"/>
      <c r="G130" s="839"/>
      <c r="H130" s="832"/>
      <c r="I130" s="832"/>
      <c r="J130" s="832"/>
      <c r="K130" s="831"/>
      <c r="L130" s="831"/>
      <c r="M130" s="831"/>
      <c r="N130" s="847"/>
      <c r="O130" s="832"/>
      <c r="P130" s="850"/>
      <c r="Q130" s="831"/>
      <c r="R130" s="831"/>
      <c r="S130" s="831"/>
      <c r="T130" s="849"/>
      <c r="U130" s="848"/>
      <c r="V130" s="833"/>
      <c r="W130" s="832"/>
      <c r="X130" s="831"/>
      <c r="Y130" s="831"/>
      <c r="Z130" s="831"/>
      <c r="AA130" s="831"/>
      <c r="AB130" s="831"/>
      <c r="AC130" s="831"/>
      <c r="AD130" s="847"/>
      <c r="AE130" s="846"/>
      <c r="AF130" s="846"/>
      <c r="AG130" s="846"/>
      <c r="AH130" s="846"/>
      <c r="AI130" s="846"/>
      <c r="AJ130" s="846"/>
      <c r="AK130" s="853"/>
      <c r="AL130" s="827"/>
      <c r="AM130" s="826"/>
      <c r="AN130" s="826"/>
      <c r="AO130" s="845"/>
      <c r="AP130" s="822"/>
      <c r="AQ130" s="824"/>
      <c r="AR130" s="824"/>
      <c r="AS130" s="824"/>
      <c r="AT130" s="823"/>
      <c r="AU130" s="844"/>
      <c r="AV130" s="844"/>
      <c r="AX130" s="822"/>
      <c r="AY130" s="843"/>
      <c r="AZ130" s="852"/>
      <c r="BA130" s="851"/>
    </row>
    <row r="131" spans="1:53" ht="13.9" customHeight="1">
      <c r="A131" s="842">
        <f>'Data-Kolom'!A132</f>
        <v>205</v>
      </c>
      <c r="B131" s="842" t="str">
        <f>'Data-Kolom'!B132</f>
        <v>Lantai Atap</v>
      </c>
      <c r="C131" s="842">
        <f>'Data-Kolom'!C132</f>
        <v>0</v>
      </c>
      <c r="D131" s="841" t="str">
        <f>'Data-Kolom'!D132</f>
        <v>K1A4</v>
      </c>
      <c r="E131" s="832" t="s">
        <v>237</v>
      </c>
      <c r="F131" s="840">
        <f>'Data-Kolom'!U132</f>
        <v>0</v>
      </c>
      <c r="G131" s="839">
        <f>'Data-Kolom'!T132</f>
        <v>0</v>
      </c>
      <c r="H131" s="832">
        <f>'Data-Kolom'!E132</f>
        <v>130</v>
      </c>
      <c r="I131" s="832">
        <f>'Data-Kolom'!F132</f>
        <v>400</v>
      </c>
      <c r="J131" s="832">
        <f>'Data-Kolom'!G132</f>
        <v>1000</v>
      </c>
      <c r="K131" s="831">
        <v>1</v>
      </c>
      <c r="L131" s="831"/>
      <c r="M131" s="831">
        <f>IF(L131&gt;0,VLOOKUP(L131,'Data-PC'!$B$14:$F$56,4,FALSE),0)</f>
        <v>0</v>
      </c>
      <c r="N131" s="847">
        <f>'Data-Kolom'!H132</f>
        <v>6</v>
      </c>
      <c r="O131" s="832">
        <f>'Data-Kolom'!I132</f>
        <v>16</v>
      </c>
      <c r="P131" s="850">
        <f t="shared" si="130"/>
        <v>1010</v>
      </c>
      <c r="Q131" s="831">
        <f t="shared" si="131"/>
        <v>770</v>
      </c>
      <c r="R131" s="831">
        <f t="shared" si="132"/>
        <v>1172</v>
      </c>
      <c r="S131" s="831"/>
      <c r="T131" s="849">
        <f t="shared" si="133"/>
        <v>1172</v>
      </c>
      <c r="U131" s="848">
        <f t="shared" si="134"/>
        <v>6</v>
      </c>
      <c r="V131" s="833">
        <f>'Data-Kolom'!J132</f>
        <v>0</v>
      </c>
      <c r="W131" s="832">
        <f>'Data-Kolom'!K132</f>
        <v>0</v>
      </c>
      <c r="X131" s="831">
        <f t="shared" si="135"/>
        <v>0</v>
      </c>
      <c r="Y131" s="831">
        <f t="shared" si="136"/>
        <v>0</v>
      </c>
      <c r="Z131" s="831">
        <f t="shared" si="137"/>
        <v>980</v>
      </c>
      <c r="AA131" s="831"/>
      <c r="AB131" s="831">
        <f t="shared" si="138"/>
        <v>980</v>
      </c>
      <c r="AC131" s="831">
        <f t="shared" si="139"/>
        <v>0</v>
      </c>
      <c r="AD131" s="847">
        <f>'Data-Kolom'!L132</f>
        <v>10</v>
      </c>
      <c r="AE131" s="846">
        <f>'Data-Kolom'!M132</f>
        <v>100</v>
      </c>
      <c r="AF131" s="846">
        <f>'Data-Kolom'!N132</f>
        <v>100</v>
      </c>
      <c r="AG131" s="846">
        <f>'Data-Kolom'!O132</f>
        <v>100</v>
      </c>
      <c r="AH131" s="846">
        <f>'Data-Kolom'!P132</f>
        <v>0</v>
      </c>
      <c r="AI131" s="846">
        <f>'Data-Kolom'!Q132</f>
        <v>0</v>
      </c>
      <c r="AJ131" s="846">
        <f>'Data-Kolom'!R132</f>
        <v>0</v>
      </c>
      <c r="AK131" s="853">
        <f>'Data-Kolom'!S132</f>
        <v>0</v>
      </c>
      <c r="AL131" s="827">
        <f t="shared" si="140"/>
        <v>1050</v>
      </c>
      <c r="AM131" s="826">
        <f t="shared" si="141"/>
        <v>0</v>
      </c>
      <c r="AN131" s="826">
        <f t="shared" si="142"/>
        <v>11</v>
      </c>
      <c r="AO131" s="845">
        <f t="shared" si="143"/>
        <v>5.1999999999999998E-2</v>
      </c>
      <c r="AP131" s="822">
        <f t="shared" si="144"/>
        <v>11.09818368</v>
      </c>
      <c r="AQ131" s="824">
        <f t="shared" si="145"/>
        <v>0</v>
      </c>
      <c r="AR131" s="824">
        <f t="shared" si="146"/>
        <v>7.1205750000000005</v>
      </c>
      <c r="AS131" s="824">
        <f t="shared" si="147"/>
        <v>0</v>
      </c>
      <c r="AT131" s="823">
        <f t="shared" si="148"/>
        <v>1.06</v>
      </c>
      <c r="AU131" s="844">
        <f t="shared" si="149"/>
        <v>350.36074384615387</v>
      </c>
      <c r="AV131" s="844">
        <f t="shared" si="150"/>
        <v>20.384615384615387</v>
      </c>
      <c r="AX131" s="822">
        <f t="shared" si="151"/>
        <v>11.09818368</v>
      </c>
      <c r="AY131" s="843"/>
      <c r="AZ131" s="852">
        <f t="shared" si="152"/>
        <v>0</v>
      </c>
      <c r="BA131" s="851">
        <f t="shared" si="153"/>
        <v>0</v>
      </c>
    </row>
    <row r="132" spans="1:53" ht="13.9" customHeight="1">
      <c r="A132" s="842"/>
      <c r="B132" s="842"/>
      <c r="C132" s="842"/>
      <c r="D132" s="841"/>
      <c r="E132" s="832"/>
      <c r="F132" s="840"/>
      <c r="G132" s="839"/>
      <c r="H132" s="832"/>
      <c r="I132" s="832"/>
      <c r="J132" s="832"/>
      <c r="K132" s="831"/>
      <c r="L132" s="831"/>
      <c r="M132" s="831"/>
      <c r="N132" s="847"/>
      <c r="O132" s="832"/>
      <c r="P132" s="850"/>
      <c r="Q132" s="831"/>
      <c r="R132" s="831"/>
      <c r="S132" s="831"/>
      <c r="T132" s="849"/>
      <c r="U132" s="848"/>
      <c r="V132" s="833"/>
      <c r="W132" s="832"/>
      <c r="X132" s="831"/>
      <c r="Y132" s="831"/>
      <c r="Z132" s="831"/>
      <c r="AA132" s="831"/>
      <c r="AB132" s="831"/>
      <c r="AC132" s="831"/>
      <c r="AD132" s="847"/>
      <c r="AE132" s="846"/>
      <c r="AF132" s="846"/>
      <c r="AG132" s="846"/>
      <c r="AH132" s="846"/>
      <c r="AI132" s="846"/>
      <c r="AJ132" s="846"/>
      <c r="AK132" s="853"/>
      <c r="AL132" s="827"/>
      <c r="AM132" s="826"/>
      <c r="AN132" s="826"/>
      <c r="AO132" s="845"/>
      <c r="AP132" s="822"/>
      <c r="AQ132" s="824"/>
      <c r="AR132" s="824"/>
      <c r="AS132" s="824"/>
      <c r="AT132" s="823"/>
      <c r="AU132" s="844"/>
      <c r="AV132" s="844"/>
      <c r="AX132" s="822"/>
      <c r="AY132" s="843"/>
      <c r="AZ132" s="852"/>
      <c r="BA132" s="851"/>
    </row>
    <row r="133" spans="1:53" ht="13.9" customHeight="1">
      <c r="A133" s="842">
        <f>'Data-Kolom'!A134</f>
        <v>301</v>
      </c>
      <c r="B133" s="842" t="str">
        <f>'Data-Kolom'!B134</f>
        <v>Lantai Atap</v>
      </c>
      <c r="C133" s="842">
        <f>'Data-Kolom'!C134</f>
        <v>0</v>
      </c>
      <c r="D133" s="841" t="str">
        <f>'Data-Kolom'!D134</f>
        <v>K1A4</v>
      </c>
      <c r="E133" s="832" t="s">
        <v>324</v>
      </c>
      <c r="F133" s="840">
        <f>'Data-Kolom'!U134</f>
        <v>0</v>
      </c>
      <c r="G133" s="839">
        <f>'Data-Kolom'!T134</f>
        <v>0</v>
      </c>
      <c r="H133" s="832">
        <f>'Data-Kolom'!E134</f>
        <v>130</v>
      </c>
      <c r="I133" s="832">
        <f>'Data-Kolom'!F134</f>
        <v>400</v>
      </c>
      <c r="J133" s="832">
        <f>'Data-Kolom'!G134</f>
        <v>1000</v>
      </c>
      <c r="K133" s="831">
        <v>1</v>
      </c>
      <c r="L133" s="831"/>
      <c r="M133" s="831">
        <f>IF(L133&gt;0,VLOOKUP(L133,'Data-PC'!$B$14:$F$56,4,FALSE),0)</f>
        <v>0</v>
      </c>
      <c r="N133" s="847">
        <f>'Data-Kolom'!H134</f>
        <v>6</v>
      </c>
      <c r="O133" s="832">
        <f>'Data-Kolom'!I134</f>
        <v>16</v>
      </c>
      <c r="P133" s="850">
        <f t="shared" si="130"/>
        <v>1010</v>
      </c>
      <c r="Q133" s="831">
        <f t="shared" si="131"/>
        <v>770</v>
      </c>
      <c r="R133" s="831">
        <f t="shared" si="132"/>
        <v>1942</v>
      </c>
      <c r="S133" s="831"/>
      <c r="T133" s="849">
        <f t="shared" si="133"/>
        <v>1942</v>
      </c>
      <c r="U133" s="848">
        <f t="shared" si="134"/>
        <v>6</v>
      </c>
      <c r="V133" s="833">
        <f>'Data-Kolom'!J134</f>
        <v>0</v>
      </c>
      <c r="W133" s="832">
        <f>'Data-Kolom'!K134</f>
        <v>0</v>
      </c>
      <c r="X133" s="831">
        <f t="shared" si="135"/>
        <v>0</v>
      </c>
      <c r="Y133" s="831">
        <f t="shared" si="136"/>
        <v>0</v>
      </c>
      <c r="Z133" s="831">
        <f t="shared" si="137"/>
        <v>980</v>
      </c>
      <c r="AA133" s="831"/>
      <c r="AB133" s="831">
        <f t="shared" si="138"/>
        <v>980</v>
      </c>
      <c r="AC133" s="831">
        <f t="shared" si="139"/>
        <v>0</v>
      </c>
      <c r="AD133" s="847">
        <f>'Data-Kolom'!L134</f>
        <v>10</v>
      </c>
      <c r="AE133" s="846">
        <f>'Data-Kolom'!M134</f>
        <v>100</v>
      </c>
      <c r="AF133" s="846">
        <f>'Data-Kolom'!N134</f>
        <v>100</v>
      </c>
      <c r="AG133" s="846">
        <f>'Data-Kolom'!O134</f>
        <v>100</v>
      </c>
      <c r="AH133" s="846">
        <f>'Data-Kolom'!P134</f>
        <v>0</v>
      </c>
      <c r="AI133" s="846">
        <f>'Data-Kolom'!Q134</f>
        <v>0</v>
      </c>
      <c r="AJ133" s="846">
        <f>'Data-Kolom'!R134</f>
        <v>0</v>
      </c>
      <c r="AK133" s="853">
        <f>'Data-Kolom'!S134</f>
        <v>0</v>
      </c>
      <c r="AL133" s="827">
        <f t="shared" si="140"/>
        <v>1050</v>
      </c>
      <c r="AM133" s="826">
        <f t="shared" si="141"/>
        <v>0</v>
      </c>
      <c r="AN133" s="826">
        <f t="shared" si="142"/>
        <v>11</v>
      </c>
      <c r="AO133" s="845">
        <f t="shared" si="143"/>
        <v>5.1999999999999998E-2</v>
      </c>
      <c r="AP133" s="822">
        <f t="shared" si="144"/>
        <v>18.389652480000002</v>
      </c>
      <c r="AQ133" s="824">
        <f t="shared" si="145"/>
        <v>0</v>
      </c>
      <c r="AR133" s="824">
        <f t="shared" si="146"/>
        <v>7.1205750000000005</v>
      </c>
      <c r="AS133" s="824">
        <f t="shared" si="147"/>
        <v>0</v>
      </c>
      <c r="AT133" s="823">
        <f t="shared" si="148"/>
        <v>1.06</v>
      </c>
      <c r="AU133" s="844">
        <f t="shared" si="149"/>
        <v>490.58129769230783</v>
      </c>
      <c r="AV133" s="844">
        <f t="shared" si="150"/>
        <v>20.384615384615387</v>
      </c>
      <c r="AX133" s="822">
        <f t="shared" si="151"/>
        <v>18.389652480000002</v>
      </c>
      <c r="AY133" s="843"/>
      <c r="AZ133" s="852">
        <f t="shared" si="152"/>
        <v>0</v>
      </c>
      <c r="BA133" s="851">
        <f t="shared" si="153"/>
        <v>0</v>
      </c>
    </row>
    <row r="134" spans="1:53" ht="13.9" customHeight="1">
      <c r="A134" s="842">
        <f>'Data-Kolom'!A135</f>
        <v>302</v>
      </c>
      <c r="B134" s="842" t="str">
        <f>'Data-Kolom'!B135</f>
        <v>Lantai Atap</v>
      </c>
      <c r="C134" s="842">
        <f>'Data-Kolom'!C135</f>
        <v>0</v>
      </c>
      <c r="D134" s="841" t="str">
        <f>'Data-Kolom'!D135</f>
        <v>K1A4</v>
      </c>
      <c r="E134" s="832" t="s">
        <v>324</v>
      </c>
      <c r="F134" s="840">
        <f>'Data-Kolom'!U135</f>
        <v>0</v>
      </c>
      <c r="G134" s="839">
        <f>'Data-Kolom'!T135</f>
        <v>0</v>
      </c>
      <c r="H134" s="832">
        <f>'Data-Kolom'!E135</f>
        <v>130</v>
      </c>
      <c r="I134" s="832">
        <f>'Data-Kolom'!F135</f>
        <v>400</v>
      </c>
      <c r="J134" s="832">
        <f>'Data-Kolom'!G135</f>
        <v>1000</v>
      </c>
      <c r="K134" s="831">
        <v>1</v>
      </c>
      <c r="L134" s="831"/>
      <c r="M134" s="831">
        <f>IF(L134&gt;0,VLOOKUP(L134,'Data-PC'!$B$14:$F$56,4,FALSE),0)</f>
        <v>0</v>
      </c>
      <c r="N134" s="847">
        <f>'Data-Kolom'!H135</f>
        <v>6</v>
      </c>
      <c r="O134" s="832">
        <f>'Data-Kolom'!I135</f>
        <v>16</v>
      </c>
      <c r="P134" s="850">
        <f t="shared" si="130"/>
        <v>1010</v>
      </c>
      <c r="Q134" s="831">
        <f t="shared" si="131"/>
        <v>770</v>
      </c>
      <c r="R134" s="831">
        <f t="shared" si="132"/>
        <v>1942</v>
      </c>
      <c r="S134" s="831"/>
      <c r="T134" s="849">
        <f t="shared" si="133"/>
        <v>1942</v>
      </c>
      <c r="U134" s="848">
        <f t="shared" si="134"/>
        <v>6</v>
      </c>
      <c r="V134" s="833">
        <f>'Data-Kolom'!J135</f>
        <v>0</v>
      </c>
      <c r="W134" s="832">
        <f>'Data-Kolom'!K135</f>
        <v>0</v>
      </c>
      <c r="X134" s="831">
        <f t="shared" si="135"/>
        <v>0</v>
      </c>
      <c r="Y134" s="831">
        <f t="shared" si="136"/>
        <v>0</v>
      </c>
      <c r="Z134" s="831">
        <f t="shared" si="137"/>
        <v>980</v>
      </c>
      <c r="AA134" s="831"/>
      <c r="AB134" s="831">
        <f t="shared" si="138"/>
        <v>980</v>
      </c>
      <c r="AC134" s="831">
        <f t="shared" si="139"/>
        <v>0</v>
      </c>
      <c r="AD134" s="847">
        <f>'Data-Kolom'!L135</f>
        <v>10</v>
      </c>
      <c r="AE134" s="846">
        <f>'Data-Kolom'!M135</f>
        <v>100</v>
      </c>
      <c r="AF134" s="846">
        <f>'Data-Kolom'!N135</f>
        <v>100</v>
      </c>
      <c r="AG134" s="846">
        <f>'Data-Kolom'!O135</f>
        <v>100</v>
      </c>
      <c r="AH134" s="846">
        <f>'Data-Kolom'!P135</f>
        <v>0</v>
      </c>
      <c r="AI134" s="846">
        <f>'Data-Kolom'!Q135</f>
        <v>0</v>
      </c>
      <c r="AJ134" s="846">
        <f>'Data-Kolom'!R135</f>
        <v>0</v>
      </c>
      <c r="AK134" s="853">
        <f>'Data-Kolom'!S135</f>
        <v>0</v>
      </c>
      <c r="AL134" s="827">
        <f t="shared" si="140"/>
        <v>1050</v>
      </c>
      <c r="AM134" s="826">
        <f t="shared" si="141"/>
        <v>0</v>
      </c>
      <c r="AN134" s="826">
        <f t="shared" si="142"/>
        <v>11</v>
      </c>
      <c r="AO134" s="845">
        <f t="shared" si="143"/>
        <v>5.1999999999999998E-2</v>
      </c>
      <c r="AP134" s="822">
        <f t="shared" si="144"/>
        <v>18.389652480000002</v>
      </c>
      <c r="AQ134" s="824">
        <f t="shared" si="145"/>
        <v>0</v>
      </c>
      <c r="AR134" s="824">
        <f t="shared" si="146"/>
        <v>7.1205750000000005</v>
      </c>
      <c r="AS134" s="824">
        <f t="shared" si="147"/>
        <v>0</v>
      </c>
      <c r="AT134" s="823">
        <f t="shared" si="148"/>
        <v>1.06</v>
      </c>
      <c r="AU134" s="844">
        <f t="shared" si="149"/>
        <v>490.58129769230783</v>
      </c>
      <c r="AV134" s="844">
        <f t="shared" si="150"/>
        <v>20.384615384615387</v>
      </c>
      <c r="AX134" s="822">
        <f t="shared" si="151"/>
        <v>18.389652480000002</v>
      </c>
      <c r="AY134" s="843"/>
      <c r="AZ134" s="852">
        <f t="shared" si="152"/>
        <v>0</v>
      </c>
      <c r="BA134" s="851">
        <f t="shared" si="153"/>
        <v>0</v>
      </c>
    </row>
    <row r="135" spans="1:53" ht="13.9" customHeight="1">
      <c r="A135" s="842">
        <f>'Data-Kolom'!A136</f>
        <v>303</v>
      </c>
      <c r="B135" s="842" t="str">
        <f>'Data-Kolom'!B136</f>
        <v>Lantai Atap</v>
      </c>
      <c r="C135" s="842">
        <f>'Data-Kolom'!C136</f>
        <v>0</v>
      </c>
      <c r="D135" s="841" t="str">
        <f>'Data-Kolom'!D136</f>
        <v>K1A4</v>
      </c>
      <c r="E135" s="832" t="s">
        <v>324</v>
      </c>
      <c r="F135" s="840">
        <f>'Data-Kolom'!U136</f>
        <v>0</v>
      </c>
      <c r="G135" s="839">
        <f>'Data-Kolom'!T136</f>
        <v>0</v>
      </c>
      <c r="H135" s="832">
        <f>'Data-Kolom'!E136</f>
        <v>130</v>
      </c>
      <c r="I135" s="832">
        <f>'Data-Kolom'!F136</f>
        <v>400</v>
      </c>
      <c r="J135" s="832">
        <f>'Data-Kolom'!G136</f>
        <v>1000</v>
      </c>
      <c r="K135" s="831">
        <v>1</v>
      </c>
      <c r="L135" s="831"/>
      <c r="M135" s="831">
        <f>IF(L135&gt;0,VLOOKUP(L135,'Data-PC'!$B$14:$F$56,4,FALSE),0)</f>
        <v>0</v>
      </c>
      <c r="N135" s="847">
        <f>'Data-Kolom'!H136</f>
        <v>6</v>
      </c>
      <c r="O135" s="832">
        <f>'Data-Kolom'!I136</f>
        <v>16</v>
      </c>
      <c r="P135" s="850">
        <f t="shared" si="130"/>
        <v>1010</v>
      </c>
      <c r="Q135" s="831">
        <f t="shared" si="131"/>
        <v>770</v>
      </c>
      <c r="R135" s="831">
        <f t="shared" si="132"/>
        <v>1942</v>
      </c>
      <c r="S135" s="831"/>
      <c r="T135" s="849">
        <f t="shared" si="133"/>
        <v>1942</v>
      </c>
      <c r="U135" s="848">
        <f t="shared" si="134"/>
        <v>6</v>
      </c>
      <c r="V135" s="833">
        <f>'Data-Kolom'!J136</f>
        <v>0</v>
      </c>
      <c r="W135" s="832">
        <f>'Data-Kolom'!K136</f>
        <v>0</v>
      </c>
      <c r="X135" s="831">
        <f t="shared" si="135"/>
        <v>0</v>
      </c>
      <c r="Y135" s="831">
        <f t="shared" si="136"/>
        <v>0</v>
      </c>
      <c r="Z135" s="831">
        <f t="shared" si="137"/>
        <v>980</v>
      </c>
      <c r="AA135" s="831"/>
      <c r="AB135" s="831">
        <f t="shared" si="138"/>
        <v>980</v>
      </c>
      <c r="AC135" s="831">
        <f t="shared" si="139"/>
        <v>0</v>
      </c>
      <c r="AD135" s="847">
        <f>'Data-Kolom'!L136</f>
        <v>10</v>
      </c>
      <c r="AE135" s="846">
        <f>'Data-Kolom'!M136</f>
        <v>100</v>
      </c>
      <c r="AF135" s="846">
        <f>'Data-Kolom'!N136</f>
        <v>100</v>
      </c>
      <c r="AG135" s="846">
        <f>'Data-Kolom'!O136</f>
        <v>100</v>
      </c>
      <c r="AH135" s="846">
        <f>'Data-Kolom'!P136</f>
        <v>0</v>
      </c>
      <c r="AI135" s="846">
        <f>'Data-Kolom'!Q136</f>
        <v>0</v>
      </c>
      <c r="AJ135" s="846">
        <f>'Data-Kolom'!R136</f>
        <v>0</v>
      </c>
      <c r="AK135" s="853">
        <f>'Data-Kolom'!S136</f>
        <v>0</v>
      </c>
      <c r="AL135" s="827">
        <f t="shared" si="140"/>
        <v>1050</v>
      </c>
      <c r="AM135" s="826">
        <f t="shared" si="141"/>
        <v>0</v>
      </c>
      <c r="AN135" s="826">
        <f t="shared" si="142"/>
        <v>11</v>
      </c>
      <c r="AO135" s="845">
        <f t="shared" si="143"/>
        <v>5.1999999999999998E-2</v>
      </c>
      <c r="AP135" s="822">
        <f t="shared" si="144"/>
        <v>18.389652480000002</v>
      </c>
      <c r="AQ135" s="824">
        <f t="shared" si="145"/>
        <v>0</v>
      </c>
      <c r="AR135" s="824">
        <f t="shared" si="146"/>
        <v>7.1205750000000005</v>
      </c>
      <c r="AS135" s="824">
        <f t="shared" si="147"/>
        <v>0</v>
      </c>
      <c r="AT135" s="823">
        <f t="shared" si="148"/>
        <v>1.06</v>
      </c>
      <c r="AU135" s="844">
        <f t="shared" si="149"/>
        <v>490.58129769230783</v>
      </c>
      <c r="AV135" s="844">
        <f t="shared" si="150"/>
        <v>20.384615384615387</v>
      </c>
      <c r="AX135" s="822">
        <f t="shared" si="151"/>
        <v>18.389652480000002</v>
      </c>
      <c r="AY135" s="843"/>
      <c r="AZ135" s="852">
        <f t="shared" si="152"/>
        <v>0</v>
      </c>
      <c r="BA135" s="851">
        <f t="shared" si="153"/>
        <v>0</v>
      </c>
    </row>
    <row r="136" spans="1:53" ht="13.9" customHeight="1">
      <c r="A136" s="842">
        <f>'Data-Kolom'!A137</f>
        <v>304</v>
      </c>
      <c r="B136" s="842" t="str">
        <f>'Data-Kolom'!B137</f>
        <v>Lantai Atap</v>
      </c>
      <c r="C136" s="842">
        <f>'Data-Kolom'!C137</f>
        <v>0</v>
      </c>
      <c r="D136" s="841" t="str">
        <f>'Data-Kolom'!D137</f>
        <v>K1A4</v>
      </c>
      <c r="E136" s="832" t="s">
        <v>324</v>
      </c>
      <c r="F136" s="840">
        <f>'Data-Kolom'!U137</f>
        <v>0</v>
      </c>
      <c r="G136" s="839">
        <f>'Data-Kolom'!T137</f>
        <v>0</v>
      </c>
      <c r="H136" s="832">
        <f>'Data-Kolom'!E137</f>
        <v>130</v>
      </c>
      <c r="I136" s="832">
        <f>'Data-Kolom'!F137</f>
        <v>400</v>
      </c>
      <c r="J136" s="832">
        <f>'Data-Kolom'!G137</f>
        <v>1000</v>
      </c>
      <c r="K136" s="831">
        <v>1</v>
      </c>
      <c r="L136" s="831"/>
      <c r="M136" s="831">
        <f>IF(L136&gt;0,VLOOKUP(L136,'Data-PC'!$B$14:$F$56,4,FALSE),0)</f>
        <v>0</v>
      </c>
      <c r="N136" s="847">
        <f>'Data-Kolom'!H137</f>
        <v>6</v>
      </c>
      <c r="O136" s="832">
        <f>'Data-Kolom'!I137</f>
        <v>16</v>
      </c>
      <c r="P136" s="850">
        <f t="shared" si="130"/>
        <v>1010</v>
      </c>
      <c r="Q136" s="831">
        <f t="shared" si="131"/>
        <v>770</v>
      </c>
      <c r="R136" s="831">
        <f t="shared" si="132"/>
        <v>1942</v>
      </c>
      <c r="S136" s="831"/>
      <c r="T136" s="849">
        <f t="shared" si="133"/>
        <v>1942</v>
      </c>
      <c r="U136" s="848">
        <f t="shared" si="134"/>
        <v>6</v>
      </c>
      <c r="V136" s="833">
        <f>'Data-Kolom'!J137</f>
        <v>0</v>
      </c>
      <c r="W136" s="832">
        <f>'Data-Kolom'!K137</f>
        <v>0</v>
      </c>
      <c r="X136" s="831">
        <f t="shared" si="135"/>
        <v>0</v>
      </c>
      <c r="Y136" s="831">
        <f t="shared" si="136"/>
        <v>0</v>
      </c>
      <c r="Z136" s="831">
        <f t="shared" si="137"/>
        <v>980</v>
      </c>
      <c r="AA136" s="831"/>
      <c r="AB136" s="831">
        <f t="shared" si="138"/>
        <v>980</v>
      </c>
      <c r="AC136" s="831">
        <f t="shared" si="139"/>
        <v>0</v>
      </c>
      <c r="AD136" s="847">
        <f>'Data-Kolom'!L137</f>
        <v>10</v>
      </c>
      <c r="AE136" s="846">
        <f>'Data-Kolom'!M137</f>
        <v>100</v>
      </c>
      <c r="AF136" s="846">
        <f>'Data-Kolom'!N137</f>
        <v>100</v>
      </c>
      <c r="AG136" s="846">
        <f>'Data-Kolom'!O137</f>
        <v>100</v>
      </c>
      <c r="AH136" s="846">
        <f>'Data-Kolom'!P137</f>
        <v>0</v>
      </c>
      <c r="AI136" s="846">
        <f>'Data-Kolom'!Q137</f>
        <v>0</v>
      </c>
      <c r="AJ136" s="846">
        <f>'Data-Kolom'!R137</f>
        <v>0</v>
      </c>
      <c r="AK136" s="853">
        <f>'Data-Kolom'!S137</f>
        <v>0</v>
      </c>
      <c r="AL136" s="827">
        <f t="shared" si="140"/>
        <v>1050</v>
      </c>
      <c r="AM136" s="826">
        <f t="shared" si="141"/>
        <v>0</v>
      </c>
      <c r="AN136" s="826">
        <f t="shared" si="142"/>
        <v>11</v>
      </c>
      <c r="AO136" s="845">
        <f t="shared" si="143"/>
        <v>5.1999999999999998E-2</v>
      </c>
      <c r="AP136" s="822">
        <f t="shared" si="144"/>
        <v>18.389652480000002</v>
      </c>
      <c r="AQ136" s="824">
        <f t="shared" si="145"/>
        <v>0</v>
      </c>
      <c r="AR136" s="824">
        <f t="shared" si="146"/>
        <v>7.1205750000000005</v>
      </c>
      <c r="AS136" s="824">
        <f t="shared" si="147"/>
        <v>0</v>
      </c>
      <c r="AT136" s="823">
        <f t="shared" si="148"/>
        <v>1.06</v>
      </c>
      <c r="AU136" s="844">
        <f t="shared" si="149"/>
        <v>490.58129769230783</v>
      </c>
      <c r="AV136" s="844">
        <f t="shared" si="150"/>
        <v>20.384615384615387</v>
      </c>
      <c r="AX136" s="822">
        <f t="shared" si="151"/>
        <v>18.389652480000002</v>
      </c>
      <c r="AY136" s="843"/>
      <c r="AZ136" s="852">
        <f t="shared" si="152"/>
        <v>0</v>
      </c>
      <c r="BA136" s="851">
        <f t="shared" si="153"/>
        <v>0</v>
      </c>
    </row>
    <row r="137" spans="1:53" ht="13.9" customHeight="1">
      <c r="A137" s="842">
        <f>'Data-Kolom'!A138</f>
        <v>305</v>
      </c>
      <c r="B137" s="842" t="str">
        <f>'Data-Kolom'!B138</f>
        <v>Lantai Atap</v>
      </c>
      <c r="C137" s="842">
        <f>'Data-Kolom'!C138</f>
        <v>0</v>
      </c>
      <c r="D137" s="841" t="str">
        <f>'Data-Kolom'!D138</f>
        <v>K1A4</v>
      </c>
      <c r="E137" s="832" t="s">
        <v>324</v>
      </c>
      <c r="F137" s="840">
        <f>'Data-Kolom'!U138</f>
        <v>0</v>
      </c>
      <c r="G137" s="839">
        <f>'Data-Kolom'!T138</f>
        <v>0</v>
      </c>
      <c r="H137" s="832">
        <f>'Data-Kolom'!E138</f>
        <v>130</v>
      </c>
      <c r="I137" s="832">
        <f>'Data-Kolom'!F138</f>
        <v>400</v>
      </c>
      <c r="J137" s="832">
        <f>'Data-Kolom'!G138</f>
        <v>1000</v>
      </c>
      <c r="K137" s="831">
        <v>1</v>
      </c>
      <c r="L137" s="831"/>
      <c r="M137" s="831">
        <f>IF(L137&gt;0,VLOOKUP(L137,'Data-PC'!$B$14:$F$56,4,FALSE),0)</f>
        <v>0</v>
      </c>
      <c r="N137" s="847">
        <f>'Data-Kolom'!H138</f>
        <v>6</v>
      </c>
      <c r="O137" s="832">
        <f>'Data-Kolom'!I138</f>
        <v>16</v>
      </c>
      <c r="P137" s="850">
        <f t="shared" si="130"/>
        <v>1010</v>
      </c>
      <c r="Q137" s="831">
        <f t="shared" si="131"/>
        <v>770</v>
      </c>
      <c r="R137" s="831">
        <f t="shared" si="132"/>
        <v>1942</v>
      </c>
      <c r="S137" s="831"/>
      <c r="T137" s="849">
        <f t="shared" si="133"/>
        <v>1942</v>
      </c>
      <c r="U137" s="848">
        <f t="shared" si="134"/>
        <v>6</v>
      </c>
      <c r="V137" s="833">
        <f>'Data-Kolom'!J138</f>
        <v>0</v>
      </c>
      <c r="W137" s="832">
        <f>'Data-Kolom'!K138</f>
        <v>0</v>
      </c>
      <c r="X137" s="831">
        <f t="shared" si="135"/>
        <v>0</v>
      </c>
      <c r="Y137" s="831">
        <f t="shared" si="136"/>
        <v>0</v>
      </c>
      <c r="Z137" s="831">
        <f t="shared" si="137"/>
        <v>980</v>
      </c>
      <c r="AA137" s="831"/>
      <c r="AB137" s="831">
        <f t="shared" si="138"/>
        <v>980</v>
      </c>
      <c r="AC137" s="831">
        <f t="shared" si="139"/>
        <v>0</v>
      </c>
      <c r="AD137" s="847">
        <f>'Data-Kolom'!L138</f>
        <v>10</v>
      </c>
      <c r="AE137" s="846">
        <f>'Data-Kolom'!M138</f>
        <v>100</v>
      </c>
      <c r="AF137" s="846">
        <f>'Data-Kolom'!N138</f>
        <v>100</v>
      </c>
      <c r="AG137" s="846">
        <f>'Data-Kolom'!O138</f>
        <v>100</v>
      </c>
      <c r="AH137" s="846">
        <f>'Data-Kolom'!P138</f>
        <v>0</v>
      </c>
      <c r="AI137" s="846">
        <f>'Data-Kolom'!Q138</f>
        <v>0</v>
      </c>
      <c r="AJ137" s="846">
        <f>'Data-Kolom'!R138</f>
        <v>0</v>
      </c>
      <c r="AK137" s="853">
        <f>'Data-Kolom'!S138</f>
        <v>0</v>
      </c>
      <c r="AL137" s="827">
        <f t="shared" si="140"/>
        <v>1050</v>
      </c>
      <c r="AM137" s="826">
        <f t="shared" si="141"/>
        <v>0</v>
      </c>
      <c r="AN137" s="826">
        <f t="shared" si="142"/>
        <v>11</v>
      </c>
      <c r="AO137" s="845">
        <f t="shared" si="143"/>
        <v>5.1999999999999998E-2</v>
      </c>
      <c r="AP137" s="822">
        <f t="shared" si="144"/>
        <v>18.389652480000002</v>
      </c>
      <c r="AQ137" s="824">
        <f t="shared" si="145"/>
        <v>0</v>
      </c>
      <c r="AR137" s="824">
        <f t="shared" si="146"/>
        <v>7.1205750000000005</v>
      </c>
      <c r="AS137" s="824">
        <f t="shared" si="147"/>
        <v>0</v>
      </c>
      <c r="AT137" s="823">
        <f t="shared" si="148"/>
        <v>1.06</v>
      </c>
      <c r="AU137" s="844">
        <f t="shared" si="149"/>
        <v>490.58129769230783</v>
      </c>
      <c r="AV137" s="844">
        <f t="shared" si="150"/>
        <v>20.384615384615387</v>
      </c>
      <c r="AX137" s="822">
        <f t="shared" si="151"/>
        <v>18.389652480000002</v>
      </c>
      <c r="AY137" s="843"/>
      <c r="AZ137" s="852">
        <f t="shared" si="152"/>
        <v>0</v>
      </c>
      <c r="BA137" s="851">
        <f t="shared" si="153"/>
        <v>0</v>
      </c>
    </row>
    <row r="138" spans="1:53" ht="13.9" customHeight="1">
      <c r="A138" s="842"/>
      <c r="B138" s="842"/>
      <c r="C138" s="842"/>
      <c r="D138" s="841"/>
      <c r="E138" s="832"/>
      <c r="F138" s="840"/>
      <c r="G138" s="839"/>
      <c r="H138" s="832"/>
      <c r="I138" s="832"/>
      <c r="J138" s="832"/>
      <c r="K138" s="831"/>
      <c r="L138" s="831"/>
      <c r="M138" s="831"/>
      <c r="N138" s="847"/>
      <c r="O138" s="832"/>
      <c r="P138" s="850"/>
      <c r="Q138" s="831"/>
      <c r="R138" s="831"/>
      <c r="S138" s="831"/>
      <c r="T138" s="849"/>
      <c r="U138" s="848"/>
      <c r="V138" s="833"/>
      <c r="W138" s="832"/>
      <c r="X138" s="831"/>
      <c r="Y138" s="831"/>
      <c r="Z138" s="831"/>
      <c r="AA138" s="831"/>
      <c r="AB138" s="831"/>
      <c r="AC138" s="831"/>
      <c r="AD138" s="847"/>
      <c r="AE138" s="846"/>
      <c r="AF138" s="846"/>
      <c r="AG138" s="846"/>
      <c r="AH138" s="846"/>
      <c r="AI138" s="846"/>
      <c r="AJ138" s="846"/>
      <c r="AK138" s="853"/>
      <c r="AL138" s="827"/>
      <c r="AM138" s="826"/>
      <c r="AN138" s="826"/>
      <c r="AO138" s="845"/>
      <c r="AP138" s="822"/>
      <c r="AQ138" s="824"/>
      <c r="AR138" s="824"/>
      <c r="AS138" s="824"/>
      <c r="AT138" s="823"/>
      <c r="AU138" s="844"/>
      <c r="AV138" s="844"/>
      <c r="AX138" s="822"/>
      <c r="AY138" s="843"/>
      <c r="AZ138" s="852"/>
      <c r="BA138" s="851"/>
    </row>
    <row r="139" spans="1:53" s="1730" customFormat="1" ht="14.25" customHeight="1">
      <c r="A139" s="842"/>
      <c r="B139" s="842"/>
      <c r="C139" s="842"/>
      <c r="D139" s="841"/>
      <c r="E139" s="832"/>
      <c r="F139" s="840"/>
      <c r="G139" s="839"/>
      <c r="H139" s="832"/>
      <c r="I139" s="832"/>
      <c r="J139" s="832"/>
      <c r="K139" s="831"/>
      <c r="L139" s="831"/>
      <c r="M139" s="831"/>
      <c r="N139" s="847"/>
      <c r="O139" s="832"/>
      <c r="P139" s="850"/>
      <c r="Q139" s="831"/>
      <c r="R139" s="831"/>
      <c r="S139" s="831"/>
      <c r="T139" s="849"/>
      <c r="U139" s="848"/>
      <c r="V139" s="833"/>
      <c r="W139" s="832"/>
      <c r="X139" s="831"/>
      <c r="Y139" s="831"/>
      <c r="Z139" s="831"/>
      <c r="AA139" s="831"/>
      <c r="AB139" s="831"/>
      <c r="AC139" s="831"/>
      <c r="AD139" s="847"/>
      <c r="AE139" s="846"/>
      <c r="AF139" s="846"/>
      <c r="AG139" s="846"/>
      <c r="AH139" s="846"/>
      <c r="AI139" s="846"/>
      <c r="AJ139" s="846"/>
      <c r="AK139" s="853"/>
      <c r="AL139" s="827"/>
      <c r="AM139" s="826"/>
      <c r="AN139" s="826"/>
      <c r="AO139" s="845"/>
      <c r="AP139" s="822"/>
      <c r="AQ139" s="824"/>
      <c r="AR139" s="824"/>
      <c r="AS139" s="824"/>
      <c r="AT139" s="823"/>
      <c r="AU139" s="844"/>
      <c r="AV139" s="844"/>
      <c r="AW139" s="732"/>
      <c r="AX139" s="822"/>
      <c r="AY139" s="1731"/>
      <c r="AZ139" s="1732">
        <f t="shared" ref="AZ139" si="154">0.006165*O139^2*S139*U139/1000*(1+$T$6)</f>
        <v>0</v>
      </c>
      <c r="BA139" s="1733" t="e">
        <f t="shared" ref="BA139" si="155">AZ139/AP139</f>
        <v>#DIV/0!</v>
      </c>
    </row>
    <row r="140" spans="1:53" ht="14.25" customHeight="1" thickBot="1">
      <c r="B140" s="842"/>
      <c r="C140" s="842"/>
      <c r="D140" s="841"/>
      <c r="E140" s="832"/>
      <c r="F140" s="840"/>
      <c r="G140" s="839"/>
      <c r="H140" s="832"/>
      <c r="I140" s="832"/>
      <c r="J140" s="832"/>
      <c r="K140" s="831"/>
      <c r="L140" s="831"/>
      <c r="M140" s="831"/>
      <c r="N140" s="830"/>
      <c r="O140" s="838"/>
      <c r="P140" s="837"/>
      <c r="Q140" s="836"/>
      <c r="R140" s="836"/>
      <c r="S140" s="836"/>
      <c r="T140" s="835"/>
      <c r="U140" s="834"/>
      <c r="V140" s="833"/>
      <c r="W140" s="832"/>
      <c r="X140" s="831"/>
      <c r="Y140" s="831"/>
      <c r="Z140" s="831"/>
      <c r="AA140" s="831"/>
      <c r="AB140" s="831"/>
      <c r="AC140" s="831"/>
      <c r="AD140" s="830"/>
      <c r="AE140" s="829"/>
      <c r="AF140" s="829"/>
      <c r="AG140" s="829"/>
      <c r="AH140" s="829"/>
      <c r="AI140" s="829"/>
      <c r="AJ140" s="829"/>
      <c r="AK140" s="828"/>
      <c r="AL140" s="827"/>
      <c r="AM140" s="826"/>
      <c r="AN140" s="826"/>
      <c r="AO140" s="825"/>
      <c r="AP140" s="822"/>
      <c r="AQ140" s="824"/>
      <c r="AR140" s="824"/>
      <c r="AS140" s="824"/>
      <c r="AT140" s="823"/>
      <c r="AX140" s="822"/>
    </row>
    <row r="141" spans="1:53" ht="14.25" customHeight="1" thickBot="1">
      <c r="B141" s="819"/>
      <c r="C141" s="819"/>
      <c r="D141" s="821"/>
      <c r="E141" s="819"/>
      <c r="F141" s="819"/>
      <c r="G141" s="819"/>
      <c r="H141" s="819"/>
      <c r="I141" s="819"/>
      <c r="J141" s="819"/>
      <c r="K141" s="820"/>
      <c r="L141" s="820"/>
      <c r="M141" s="820"/>
      <c r="N141" s="819"/>
      <c r="O141" s="819"/>
      <c r="P141" s="819"/>
      <c r="Q141" s="819"/>
      <c r="R141" s="819"/>
      <c r="S141" s="819"/>
      <c r="T141" s="819"/>
      <c r="U141" s="819"/>
      <c r="V141" s="819"/>
      <c r="W141" s="819"/>
      <c r="X141" s="819"/>
      <c r="Y141" s="819"/>
      <c r="Z141" s="819"/>
      <c r="AA141" s="819"/>
      <c r="AB141" s="819"/>
      <c r="AC141" s="819"/>
      <c r="AD141" s="819"/>
      <c r="AE141" s="819"/>
      <c r="AF141" s="819"/>
      <c r="AG141" s="819"/>
      <c r="AL141" s="818" t="s">
        <v>138</v>
      </c>
      <c r="AM141" s="818"/>
      <c r="AN141" s="818"/>
      <c r="AO141" s="817">
        <f>SUM(AO14:AO140)</f>
        <v>51.805460725157111</v>
      </c>
      <c r="AP141" s="2405">
        <f>SUM(AP14:AQ140)</f>
        <v>8117.6711270400092</v>
      </c>
      <c r="AQ141" s="2406"/>
      <c r="AR141" s="811">
        <f>SUM(AR14:AR140)</f>
        <v>4993.062836211363</v>
      </c>
      <c r="AS141" s="816">
        <f>SUM(AS14:AS140)</f>
        <v>311.7208949999997</v>
      </c>
      <c r="AT141" s="816">
        <f>SUM(AT14:AT140)</f>
        <v>770.10904290062763</v>
      </c>
      <c r="AU141" s="815">
        <f>AVERAGE(AU14:AU140)</f>
        <v>284.95824989516285</v>
      </c>
      <c r="AV141" s="815">
        <f>AVERAGE(AV14:AV140)</f>
        <v>16.128416883994991</v>
      </c>
      <c r="AX141" s="814">
        <f>SUM(AX14:AX140)</f>
        <v>8117.6711270400092</v>
      </c>
      <c r="AY141" s="733" t="s">
        <v>323</v>
      </c>
    </row>
    <row r="142" spans="1:53" ht="14.25" customHeight="1" thickBot="1">
      <c r="C142" s="732" t="s">
        <v>322</v>
      </c>
      <c r="D142" s="813">
        <f>COUNT(D14:D140)-COUNT('Data-Kolom'!D14:D248)</f>
        <v>0</v>
      </c>
      <c r="K142" s="812"/>
      <c r="L142" s="812"/>
      <c r="M142" s="812"/>
      <c r="AL142" s="2407" t="s">
        <v>321</v>
      </c>
      <c r="AM142" s="2408"/>
      <c r="AN142" s="2408"/>
      <c r="AO142" s="2409"/>
      <c r="AP142" s="2405">
        <f>SUM(AP141:AS141)/AO141</f>
        <v>259.09343668346781</v>
      </c>
      <c r="AQ142" s="2410"/>
      <c r="AR142" s="2410"/>
      <c r="AS142" s="2406"/>
      <c r="AT142" s="810">
        <f>AT141/AO141</f>
        <v>14.865402838250544</v>
      </c>
      <c r="AX142" s="809">
        <f>AP141-AX141</f>
        <v>0</v>
      </c>
      <c r="AY142" s="733" t="s">
        <v>320</v>
      </c>
    </row>
    <row r="143" spans="1:53">
      <c r="AZ143" s="808">
        <f>AX142/AP141</f>
        <v>0</v>
      </c>
      <c r="BA143" s="733" t="s">
        <v>319</v>
      </c>
    </row>
    <row r="144" spans="1:53">
      <c r="B144" s="739" t="s">
        <v>266</v>
      </c>
    </row>
    <row r="145" spans="2:23" ht="12" thickBot="1"/>
    <row r="146" spans="2:23" ht="12.75" customHeight="1">
      <c r="B146" s="2411" t="s">
        <v>318</v>
      </c>
      <c r="C146" s="2412"/>
      <c r="D146" s="807" t="s">
        <v>317</v>
      </c>
      <c r="E146" s="806"/>
      <c r="F146" s="2415" t="s">
        <v>95</v>
      </c>
      <c r="G146" s="2417" t="s">
        <v>96</v>
      </c>
      <c r="H146" s="2419" t="s">
        <v>316</v>
      </c>
      <c r="I146" s="2420"/>
      <c r="J146" s="2420"/>
      <c r="K146" s="2421"/>
      <c r="L146" s="2424" t="s">
        <v>315</v>
      </c>
      <c r="M146" s="2425"/>
      <c r="N146" s="2425"/>
      <c r="O146" s="2425"/>
      <c r="P146" s="2425"/>
      <c r="Q146" s="2425"/>
      <c r="R146" s="2425"/>
      <c r="S146" s="2425"/>
      <c r="T146" s="739" t="s">
        <v>124</v>
      </c>
      <c r="V146" s="2422" t="s">
        <v>128</v>
      </c>
      <c r="W146" s="2423"/>
    </row>
    <row r="147" spans="2:23" ht="13.5" customHeight="1" thickBot="1">
      <c r="B147" s="2413"/>
      <c r="C147" s="2414"/>
      <c r="D147" s="805"/>
      <c r="E147" s="804"/>
      <c r="F147" s="2416"/>
      <c r="G147" s="2418"/>
      <c r="H147" s="802">
        <v>8</v>
      </c>
      <c r="I147" s="800">
        <v>10</v>
      </c>
      <c r="J147" s="800">
        <v>13</v>
      </c>
      <c r="K147" s="803">
        <v>16</v>
      </c>
      <c r="L147" s="802">
        <v>10</v>
      </c>
      <c r="M147" s="801">
        <v>13</v>
      </c>
      <c r="N147" s="800">
        <v>16</v>
      </c>
      <c r="O147" s="800">
        <v>19</v>
      </c>
      <c r="P147" s="800">
        <v>22</v>
      </c>
      <c r="Q147" s="800">
        <v>25</v>
      </c>
      <c r="R147" s="800">
        <v>29</v>
      </c>
      <c r="S147" s="800">
        <v>32</v>
      </c>
      <c r="V147" s="799" t="s">
        <v>129</v>
      </c>
      <c r="W147" s="798" t="s">
        <v>130</v>
      </c>
    </row>
    <row r="148" spans="2:23">
      <c r="B148" s="767"/>
      <c r="C148" s="764"/>
      <c r="D148" s="767"/>
      <c r="E148" s="764"/>
      <c r="F148" s="763"/>
      <c r="G148" s="767"/>
      <c r="H148" s="765"/>
      <c r="I148" s="763"/>
      <c r="J148" s="763"/>
      <c r="K148" s="766"/>
      <c r="L148" s="765"/>
      <c r="M148" s="764"/>
      <c r="N148" s="763"/>
      <c r="O148" s="763"/>
      <c r="P148" s="763"/>
      <c r="Q148" s="763"/>
      <c r="R148" s="763"/>
      <c r="S148" s="763"/>
    </row>
    <row r="149" spans="2:23">
      <c r="B149" s="797" t="s">
        <v>131</v>
      </c>
      <c r="C149" s="794"/>
      <c r="D149" s="797"/>
      <c r="E149" s="794"/>
      <c r="F149" s="793"/>
      <c r="G149" s="797"/>
      <c r="H149" s="795"/>
      <c r="I149" s="793"/>
      <c r="J149" s="793"/>
      <c r="K149" s="796"/>
      <c r="L149" s="795"/>
      <c r="M149" s="794"/>
      <c r="N149" s="793"/>
      <c r="O149" s="793"/>
      <c r="P149" s="793"/>
      <c r="Q149" s="793"/>
      <c r="R149" s="793"/>
      <c r="S149" s="793"/>
    </row>
    <row r="150" spans="2:23">
      <c r="B150" s="792"/>
      <c r="C150" s="791"/>
      <c r="D150" s="784" t="s">
        <v>2302</v>
      </c>
      <c r="E150" s="791"/>
      <c r="F150" s="789">
        <f t="shared" ref="F150:F163" si="156">SUMIFS($AO$15:$AO$140,$B$15:$B$140,$B$149,$D$15:$D$140,$D150)</f>
        <v>0</v>
      </c>
      <c r="G150" s="790">
        <f t="shared" ref="G150:G163" si="157">SUMIFS($AT$15:$AT$140,$B$15:$B$140,$B$149,$D$15:$D$140,$D150)</f>
        <v>0</v>
      </c>
      <c r="H150" s="780">
        <f t="shared" ref="H150:K163" si="158">SUMIFS($AR$15:$AR$140,$B$15:$B$140,$B$149,$D$15:$D$140,$D150,$AD$15:$AD$140,H$147)+SUMIFS($AS$15:$AS$140,$B$15:$B$140,$B$149,$D$15:$D$140,$D150,$AI$15:$AI$140,H$147)</f>
        <v>0</v>
      </c>
      <c r="I150" s="789">
        <f t="shared" si="158"/>
        <v>0</v>
      </c>
      <c r="J150" s="789">
        <f t="shared" si="158"/>
        <v>0</v>
      </c>
      <c r="K150" s="788">
        <f t="shared" si="158"/>
        <v>0</v>
      </c>
      <c r="L150" s="780">
        <f t="shared" ref="L150:S163" si="159">SUMIFS($AP$15:$AP$140,$B$15:$B$140,$B$149,$D$15:$D$140,$D150,$O$15:$O$140,L$147)+SUMIFS($AQ$15:$AQ$140,$B$15:$B$140,$B$149,$D$15:$D$140,$D150,$W$15:$W$140,L$147)</f>
        <v>0</v>
      </c>
      <c r="M150" s="779">
        <f t="shared" si="159"/>
        <v>0</v>
      </c>
      <c r="N150" s="778">
        <f t="shared" si="159"/>
        <v>0</v>
      </c>
      <c r="O150" s="778">
        <f t="shared" si="159"/>
        <v>0</v>
      </c>
      <c r="P150" s="778">
        <f t="shared" si="159"/>
        <v>0</v>
      </c>
      <c r="Q150" s="778">
        <f t="shared" si="159"/>
        <v>0</v>
      </c>
      <c r="R150" s="778">
        <f t="shared" si="159"/>
        <v>0</v>
      </c>
      <c r="S150" s="778">
        <f t="shared" si="159"/>
        <v>0</v>
      </c>
      <c r="T150" s="787">
        <f t="shared" ref="T150:T163" si="160">SUM(H150:R150)</f>
        <v>0</v>
      </c>
      <c r="U150" s="787"/>
      <c r="V150" s="786">
        <f t="shared" ref="V150:V163" si="161">IF(F150&gt;0,G150/F150,0)</f>
        <v>0</v>
      </c>
      <c r="W150" s="785">
        <f t="shared" ref="W150:W163" si="162">IF(F150&gt;0,T150/F150,0)</f>
        <v>0</v>
      </c>
    </row>
    <row r="151" spans="2:23">
      <c r="B151" s="792"/>
      <c r="C151" s="791"/>
      <c r="D151" s="784" t="s">
        <v>2303</v>
      </c>
      <c r="E151" s="791"/>
      <c r="F151" s="789">
        <f t="shared" si="156"/>
        <v>0</v>
      </c>
      <c r="G151" s="790">
        <f t="shared" si="157"/>
        <v>0</v>
      </c>
      <c r="H151" s="780">
        <f t="shared" si="158"/>
        <v>0</v>
      </c>
      <c r="I151" s="789">
        <f t="shared" si="158"/>
        <v>0</v>
      </c>
      <c r="J151" s="789">
        <f t="shared" si="158"/>
        <v>0</v>
      </c>
      <c r="K151" s="788">
        <f t="shared" si="158"/>
        <v>0</v>
      </c>
      <c r="L151" s="780">
        <f t="shared" si="159"/>
        <v>0</v>
      </c>
      <c r="M151" s="779">
        <f t="shared" si="159"/>
        <v>0</v>
      </c>
      <c r="N151" s="778">
        <f t="shared" si="159"/>
        <v>0</v>
      </c>
      <c r="O151" s="778">
        <f t="shared" si="159"/>
        <v>0</v>
      </c>
      <c r="P151" s="778">
        <f t="shared" si="159"/>
        <v>0</v>
      </c>
      <c r="Q151" s="778">
        <f t="shared" si="159"/>
        <v>0</v>
      </c>
      <c r="R151" s="778">
        <f t="shared" si="159"/>
        <v>0</v>
      </c>
      <c r="S151" s="778">
        <f t="shared" si="159"/>
        <v>0</v>
      </c>
      <c r="T151" s="787">
        <f t="shared" si="160"/>
        <v>0</v>
      </c>
      <c r="U151" s="787"/>
      <c r="V151" s="786">
        <f t="shared" si="161"/>
        <v>0</v>
      </c>
      <c r="W151" s="785">
        <f t="shared" si="162"/>
        <v>0</v>
      </c>
    </row>
    <row r="152" spans="2:23">
      <c r="B152" s="792"/>
      <c r="C152" s="791"/>
      <c r="D152" s="784" t="s">
        <v>2337</v>
      </c>
      <c r="E152" s="791"/>
      <c r="F152" s="789">
        <f t="shared" si="156"/>
        <v>0.81600000000000006</v>
      </c>
      <c r="G152" s="790">
        <f t="shared" si="157"/>
        <v>12.239999999999998</v>
      </c>
      <c r="H152" s="780">
        <f t="shared" si="158"/>
        <v>0</v>
      </c>
      <c r="I152" s="789">
        <f t="shared" si="158"/>
        <v>105.42150000000001</v>
      </c>
      <c r="J152" s="789">
        <f t="shared" si="158"/>
        <v>0</v>
      </c>
      <c r="K152" s="788">
        <f t="shared" si="158"/>
        <v>0</v>
      </c>
      <c r="L152" s="780">
        <f t="shared" si="159"/>
        <v>0</v>
      </c>
      <c r="M152" s="779">
        <f t="shared" si="159"/>
        <v>0</v>
      </c>
      <c r="N152" s="778">
        <f t="shared" si="159"/>
        <v>150.10956288</v>
      </c>
      <c r="O152" s="778">
        <f t="shared" si="159"/>
        <v>0</v>
      </c>
      <c r="P152" s="778">
        <f t="shared" si="159"/>
        <v>0</v>
      </c>
      <c r="Q152" s="778">
        <f t="shared" si="159"/>
        <v>0</v>
      </c>
      <c r="R152" s="778">
        <f t="shared" si="159"/>
        <v>0</v>
      </c>
      <c r="S152" s="778">
        <f t="shared" si="159"/>
        <v>0</v>
      </c>
      <c r="T152" s="787">
        <f t="shared" ref="T152" si="163">SUM(H152:R152)</f>
        <v>255.53106288000001</v>
      </c>
      <c r="U152" s="787"/>
      <c r="V152" s="786">
        <f t="shared" ref="V152" si="164">IF(F152&gt;0,G152/F152,0)</f>
        <v>14.999999999999996</v>
      </c>
      <c r="W152" s="785">
        <f t="shared" ref="W152" si="165">IF(F152&gt;0,T152/F152,0)</f>
        <v>313.15081235294116</v>
      </c>
    </row>
    <row r="153" spans="2:23">
      <c r="B153" s="792"/>
      <c r="C153" s="791"/>
      <c r="D153" s="784" t="s">
        <v>2193</v>
      </c>
      <c r="E153" s="791"/>
      <c r="F153" s="789">
        <f t="shared" si="156"/>
        <v>1.6500000000000001</v>
      </c>
      <c r="G153" s="790">
        <f t="shared" si="157"/>
        <v>23.1</v>
      </c>
      <c r="H153" s="780">
        <f t="shared" si="158"/>
        <v>0</v>
      </c>
      <c r="I153" s="789">
        <f t="shared" si="158"/>
        <v>179.21655000000001</v>
      </c>
      <c r="J153" s="789">
        <f t="shared" si="158"/>
        <v>0</v>
      </c>
      <c r="K153" s="788">
        <f t="shared" si="158"/>
        <v>0</v>
      </c>
      <c r="L153" s="780">
        <f t="shared" si="159"/>
        <v>0</v>
      </c>
      <c r="M153" s="779">
        <f t="shared" si="159"/>
        <v>0</v>
      </c>
      <c r="N153" s="778">
        <f t="shared" si="159"/>
        <v>275.7500928</v>
      </c>
      <c r="O153" s="778">
        <f t="shared" si="159"/>
        <v>0</v>
      </c>
      <c r="P153" s="778">
        <f t="shared" si="159"/>
        <v>0</v>
      </c>
      <c r="Q153" s="778">
        <f t="shared" si="159"/>
        <v>0</v>
      </c>
      <c r="R153" s="778">
        <f t="shared" si="159"/>
        <v>0</v>
      </c>
      <c r="S153" s="778">
        <f t="shared" si="159"/>
        <v>0</v>
      </c>
      <c r="T153" s="787">
        <f t="shared" si="160"/>
        <v>454.96664280000005</v>
      </c>
      <c r="U153" s="787"/>
      <c r="V153" s="786">
        <f t="shared" si="161"/>
        <v>14</v>
      </c>
      <c r="W153" s="785">
        <f t="shared" si="162"/>
        <v>275.7373592727273</v>
      </c>
    </row>
    <row r="154" spans="2:23">
      <c r="B154" s="792"/>
      <c r="C154" s="791"/>
      <c r="D154" s="784" t="s">
        <v>2295</v>
      </c>
      <c r="E154" s="791"/>
      <c r="F154" s="789">
        <f t="shared" si="156"/>
        <v>5.3879999999999999</v>
      </c>
      <c r="G154" s="790">
        <f t="shared" si="157"/>
        <v>71.84</v>
      </c>
      <c r="H154" s="780">
        <f t="shared" si="158"/>
        <v>0</v>
      </c>
      <c r="I154" s="789">
        <f t="shared" si="158"/>
        <v>447.96739500000001</v>
      </c>
      <c r="J154" s="789">
        <f t="shared" si="158"/>
        <v>0</v>
      </c>
      <c r="K154" s="788">
        <f t="shared" si="158"/>
        <v>0</v>
      </c>
      <c r="L154" s="780">
        <f t="shared" si="159"/>
        <v>0</v>
      </c>
      <c r="M154" s="779">
        <f t="shared" si="159"/>
        <v>0</v>
      </c>
      <c r="N154" s="778">
        <f t="shared" si="159"/>
        <v>961.4638080000002</v>
      </c>
      <c r="O154" s="778">
        <f t="shared" si="159"/>
        <v>0</v>
      </c>
      <c r="P154" s="778">
        <f t="shared" si="159"/>
        <v>0</v>
      </c>
      <c r="Q154" s="778">
        <f t="shared" si="159"/>
        <v>0</v>
      </c>
      <c r="R154" s="778">
        <f t="shared" si="159"/>
        <v>0</v>
      </c>
      <c r="S154" s="778">
        <f t="shared" si="159"/>
        <v>0</v>
      </c>
      <c r="T154" s="787">
        <f t="shared" si="160"/>
        <v>1409.4312030000001</v>
      </c>
      <c r="U154" s="787"/>
      <c r="V154" s="786">
        <f t="shared" si="161"/>
        <v>13.333333333333334</v>
      </c>
      <c r="W154" s="785">
        <f t="shared" si="162"/>
        <v>261.58708296213808</v>
      </c>
    </row>
    <row r="155" spans="2:23">
      <c r="B155" s="792"/>
      <c r="C155" s="791"/>
      <c r="D155" s="784" t="s">
        <v>2296</v>
      </c>
      <c r="E155" s="791"/>
      <c r="F155" s="789">
        <f t="shared" si="156"/>
        <v>1.1499999999999999</v>
      </c>
      <c r="G155" s="790">
        <f t="shared" si="157"/>
        <v>13.8</v>
      </c>
      <c r="H155" s="780">
        <f t="shared" si="158"/>
        <v>0</v>
      </c>
      <c r="I155" s="789">
        <f t="shared" si="158"/>
        <v>107.20935</v>
      </c>
      <c r="J155" s="789">
        <f t="shared" si="158"/>
        <v>0</v>
      </c>
      <c r="K155" s="788">
        <f t="shared" si="158"/>
        <v>0</v>
      </c>
      <c r="L155" s="780">
        <f t="shared" si="159"/>
        <v>0</v>
      </c>
      <c r="M155" s="779">
        <f t="shared" si="159"/>
        <v>0</v>
      </c>
      <c r="N155" s="778">
        <f t="shared" si="159"/>
        <v>161.10673920000002</v>
      </c>
      <c r="O155" s="778">
        <f t="shared" si="159"/>
        <v>0</v>
      </c>
      <c r="P155" s="778">
        <f t="shared" si="159"/>
        <v>0</v>
      </c>
      <c r="Q155" s="778">
        <f t="shared" si="159"/>
        <v>0</v>
      </c>
      <c r="R155" s="778">
        <f t="shared" si="159"/>
        <v>0</v>
      </c>
      <c r="S155" s="778">
        <f t="shared" si="159"/>
        <v>0</v>
      </c>
      <c r="T155" s="787">
        <f t="shared" si="160"/>
        <v>268.31608920000002</v>
      </c>
      <c r="U155" s="787"/>
      <c r="V155" s="786">
        <f t="shared" si="161"/>
        <v>12.000000000000002</v>
      </c>
      <c r="W155" s="785">
        <f t="shared" si="162"/>
        <v>233.31833843478265</v>
      </c>
    </row>
    <row r="156" spans="2:23">
      <c r="B156" s="792"/>
      <c r="C156" s="791"/>
      <c r="D156" s="784" t="s">
        <v>2298</v>
      </c>
      <c r="E156" s="791"/>
      <c r="F156" s="789">
        <f t="shared" si="156"/>
        <v>0.69</v>
      </c>
      <c r="G156" s="790">
        <f t="shared" si="157"/>
        <v>7.82</v>
      </c>
      <c r="H156" s="780">
        <f t="shared" si="158"/>
        <v>0</v>
      </c>
      <c r="I156" s="789">
        <f t="shared" si="158"/>
        <v>59.399775000000005</v>
      </c>
      <c r="J156" s="789">
        <f t="shared" si="158"/>
        <v>0</v>
      </c>
      <c r="K156" s="788">
        <f t="shared" si="158"/>
        <v>0</v>
      </c>
      <c r="L156" s="780">
        <f t="shared" si="159"/>
        <v>0</v>
      </c>
      <c r="M156" s="779">
        <f t="shared" si="159"/>
        <v>0</v>
      </c>
      <c r="N156" s="778">
        <f t="shared" si="159"/>
        <v>100.691712</v>
      </c>
      <c r="O156" s="778">
        <f t="shared" si="159"/>
        <v>0</v>
      </c>
      <c r="P156" s="778">
        <f t="shared" si="159"/>
        <v>0</v>
      </c>
      <c r="Q156" s="778">
        <f t="shared" si="159"/>
        <v>0</v>
      </c>
      <c r="R156" s="778">
        <f t="shared" si="159"/>
        <v>0</v>
      </c>
      <c r="S156" s="778">
        <f t="shared" si="159"/>
        <v>0</v>
      </c>
      <c r="T156" s="787">
        <f t="shared" ref="T156:T160" si="166">SUM(H156:R156)</f>
        <v>160.091487</v>
      </c>
      <c r="U156" s="787"/>
      <c r="V156" s="786">
        <f t="shared" ref="V156:V160" si="167">IF(F156&gt;0,G156/F156,0)</f>
        <v>11.333333333333334</v>
      </c>
      <c r="W156" s="785">
        <f t="shared" ref="W156:W160" si="168">IF(F156&gt;0,T156/F156,0)</f>
        <v>232.01664782608697</v>
      </c>
    </row>
    <row r="157" spans="2:23">
      <c r="B157" s="792"/>
      <c r="C157" s="791"/>
      <c r="D157" s="784" t="s">
        <v>2294</v>
      </c>
      <c r="E157" s="791"/>
      <c r="F157" s="789">
        <f t="shared" si="156"/>
        <v>5.6643999999999988</v>
      </c>
      <c r="G157" s="790">
        <f t="shared" si="157"/>
        <v>94.961999999999975</v>
      </c>
      <c r="H157" s="780">
        <f t="shared" si="158"/>
        <v>0</v>
      </c>
      <c r="I157" s="789">
        <f t="shared" si="158"/>
        <v>595.63147500000014</v>
      </c>
      <c r="J157" s="789">
        <f t="shared" si="158"/>
        <v>0</v>
      </c>
      <c r="K157" s="788">
        <f t="shared" si="158"/>
        <v>0</v>
      </c>
      <c r="L157" s="780">
        <f t="shared" si="159"/>
        <v>0</v>
      </c>
      <c r="M157" s="779">
        <f t="shared" si="159"/>
        <v>0</v>
      </c>
      <c r="N157" s="778">
        <f t="shared" si="159"/>
        <v>1041.6384</v>
      </c>
      <c r="O157" s="778">
        <f t="shared" si="159"/>
        <v>0</v>
      </c>
      <c r="P157" s="778">
        <f t="shared" si="159"/>
        <v>0</v>
      </c>
      <c r="Q157" s="778">
        <f t="shared" si="159"/>
        <v>0</v>
      </c>
      <c r="R157" s="778">
        <f t="shared" si="159"/>
        <v>0</v>
      </c>
      <c r="S157" s="778">
        <f t="shared" si="159"/>
        <v>0</v>
      </c>
      <c r="T157" s="787">
        <f t="shared" ref="T157:T158" si="169">SUM(H157:R157)</f>
        <v>1637.2698750000002</v>
      </c>
      <c r="U157" s="787"/>
      <c r="V157" s="786">
        <f t="shared" ref="V157:V158" si="170">IF(F157&gt;0,G157/F157,0)</f>
        <v>16.764705882352942</v>
      </c>
      <c r="W157" s="785">
        <f t="shared" ref="W157:W158" si="171">IF(F157&gt;0,T157/F157,0)</f>
        <v>289.04559617964844</v>
      </c>
    </row>
    <row r="158" spans="2:23">
      <c r="B158" s="792"/>
      <c r="C158" s="791"/>
      <c r="D158" s="784" t="s">
        <v>2299</v>
      </c>
      <c r="E158" s="791"/>
      <c r="F158" s="789">
        <f t="shared" si="156"/>
        <v>0</v>
      </c>
      <c r="G158" s="790">
        <f t="shared" si="157"/>
        <v>0</v>
      </c>
      <c r="H158" s="780">
        <f t="shared" si="158"/>
        <v>0</v>
      </c>
      <c r="I158" s="789">
        <f t="shared" si="158"/>
        <v>0</v>
      </c>
      <c r="J158" s="789">
        <f t="shared" si="158"/>
        <v>0</v>
      </c>
      <c r="K158" s="788">
        <f t="shared" si="158"/>
        <v>0</v>
      </c>
      <c r="L158" s="780">
        <f t="shared" si="159"/>
        <v>0</v>
      </c>
      <c r="M158" s="779">
        <f t="shared" si="159"/>
        <v>0</v>
      </c>
      <c r="N158" s="778">
        <f t="shared" si="159"/>
        <v>0</v>
      </c>
      <c r="O158" s="778">
        <f t="shared" si="159"/>
        <v>0</v>
      </c>
      <c r="P158" s="778">
        <f t="shared" si="159"/>
        <v>0</v>
      </c>
      <c r="Q158" s="778">
        <f t="shared" si="159"/>
        <v>0</v>
      </c>
      <c r="R158" s="778">
        <f t="shared" si="159"/>
        <v>0</v>
      </c>
      <c r="S158" s="778">
        <f t="shared" si="159"/>
        <v>0</v>
      </c>
      <c r="T158" s="787">
        <f t="shared" si="169"/>
        <v>0</v>
      </c>
      <c r="U158" s="787"/>
      <c r="V158" s="786">
        <f t="shared" si="170"/>
        <v>0</v>
      </c>
      <c r="W158" s="785">
        <f t="shared" si="171"/>
        <v>0</v>
      </c>
    </row>
    <row r="159" spans="2:23">
      <c r="B159" s="792"/>
      <c r="C159" s="791"/>
      <c r="D159" s="784" t="s">
        <v>2300</v>
      </c>
      <c r="E159" s="791"/>
      <c r="F159" s="789">
        <f t="shared" si="156"/>
        <v>0</v>
      </c>
      <c r="G159" s="790">
        <f t="shared" si="157"/>
        <v>0</v>
      </c>
      <c r="H159" s="780">
        <f t="shared" si="158"/>
        <v>0</v>
      </c>
      <c r="I159" s="789">
        <f t="shared" si="158"/>
        <v>0</v>
      </c>
      <c r="J159" s="789">
        <f t="shared" si="158"/>
        <v>0</v>
      </c>
      <c r="K159" s="788">
        <f t="shared" si="158"/>
        <v>0</v>
      </c>
      <c r="L159" s="780">
        <f t="shared" si="159"/>
        <v>0</v>
      </c>
      <c r="M159" s="779">
        <f t="shared" si="159"/>
        <v>0</v>
      </c>
      <c r="N159" s="778">
        <f t="shared" si="159"/>
        <v>0</v>
      </c>
      <c r="O159" s="778">
        <f t="shared" si="159"/>
        <v>0</v>
      </c>
      <c r="P159" s="778">
        <f t="shared" si="159"/>
        <v>0</v>
      </c>
      <c r="Q159" s="778">
        <f t="shared" si="159"/>
        <v>0</v>
      </c>
      <c r="R159" s="778">
        <f t="shared" si="159"/>
        <v>0</v>
      </c>
      <c r="S159" s="778">
        <f t="shared" si="159"/>
        <v>0</v>
      </c>
      <c r="T159" s="787">
        <f t="shared" si="166"/>
        <v>0</v>
      </c>
      <c r="U159" s="787"/>
      <c r="V159" s="786">
        <f t="shared" si="167"/>
        <v>0</v>
      </c>
      <c r="W159" s="785">
        <f t="shared" si="168"/>
        <v>0</v>
      </c>
    </row>
    <row r="160" spans="2:23">
      <c r="B160" s="792"/>
      <c r="C160" s="791"/>
      <c r="D160" s="784" t="s">
        <v>2301</v>
      </c>
      <c r="E160" s="791"/>
      <c r="F160" s="789">
        <f t="shared" si="156"/>
        <v>0</v>
      </c>
      <c r="G160" s="790">
        <f t="shared" si="157"/>
        <v>0</v>
      </c>
      <c r="H160" s="780">
        <f t="shared" si="158"/>
        <v>0</v>
      </c>
      <c r="I160" s="789">
        <f t="shared" si="158"/>
        <v>0</v>
      </c>
      <c r="J160" s="789">
        <f t="shared" si="158"/>
        <v>0</v>
      </c>
      <c r="K160" s="788">
        <f t="shared" si="158"/>
        <v>0</v>
      </c>
      <c r="L160" s="780">
        <f t="shared" si="159"/>
        <v>0</v>
      </c>
      <c r="M160" s="779">
        <f t="shared" si="159"/>
        <v>0</v>
      </c>
      <c r="N160" s="778">
        <f t="shared" si="159"/>
        <v>0</v>
      </c>
      <c r="O160" s="778">
        <f t="shared" si="159"/>
        <v>0</v>
      </c>
      <c r="P160" s="778">
        <f t="shared" si="159"/>
        <v>0</v>
      </c>
      <c r="Q160" s="778">
        <f t="shared" si="159"/>
        <v>0</v>
      </c>
      <c r="R160" s="778">
        <f t="shared" si="159"/>
        <v>0</v>
      </c>
      <c r="S160" s="778">
        <f t="shared" si="159"/>
        <v>0</v>
      </c>
      <c r="T160" s="787">
        <f t="shared" si="166"/>
        <v>0</v>
      </c>
      <c r="U160" s="787"/>
      <c r="V160" s="786">
        <f t="shared" si="167"/>
        <v>0</v>
      </c>
      <c r="W160" s="785">
        <f t="shared" si="168"/>
        <v>0</v>
      </c>
    </row>
    <row r="161" spans="2:23">
      <c r="B161" s="792"/>
      <c r="C161" s="791"/>
      <c r="D161" s="784" t="s">
        <v>2297</v>
      </c>
      <c r="E161" s="791"/>
      <c r="F161" s="789">
        <f t="shared" si="156"/>
        <v>3.966260725157114</v>
      </c>
      <c r="G161" s="790">
        <f t="shared" si="157"/>
        <v>15.865042900628456</v>
      </c>
      <c r="H161" s="780">
        <f t="shared" si="158"/>
        <v>0</v>
      </c>
      <c r="I161" s="789">
        <f t="shared" si="158"/>
        <v>204.54704621135815</v>
      </c>
      <c r="J161" s="789">
        <f t="shared" si="158"/>
        <v>0</v>
      </c>
      <c r="K161" s="788">
        <f t="shared" si="158"/>
        <v>0</v>
      </c>
      <c r="L161" s="780">
        <f t="shared" si="159"/>
        <v>0</v>
      </c>
      <c r="M161" s="779">
        <f t="shared" si="159"/>
        <v>0</v>
      </c>
      <c r="N161" s="778">
        <f t="shared" si="159"/>
        <v>226.96353792000002</v>
      </c>
      <c r="O161" s="778">
        <f t="shared" si="159"/>
        <v>0</v>
      </c>
      <c r="P161" s="778">
        <f t="shared" si="159"/>
        <v>0</v>
      </c>
      <c r="Q161" s="778">
        <f t="shared" si="159"/>
        <v>0</v>
      </c>
      <c r="R161" s="778">
        <f t="shared" si="159"/>
        <v>0</v>
      </c>
      <c r="S161" s="778">
        <f t="shared" si="159"/>
        <v>0</v>
      </c>
      <c r="T161" s="787">
        <f t="shared" si="160"/>
        <v>431.5105841313582</v>
      </c>
      <c r="U161" s="787"/>
      <c r="V161" s="786">
        <f t="shared" si="161"/>
        <v>4</v>
      </c>
      <c r="W161" s="785">
        <f t="shared" si="162"/>
        <v>108.79531478966626</v>
      </c>
    </row>
    <row r="162" spans="2:23">
      <c r="B162" s="792"/>
      <c r="C162" s="791"/>
      <c r="D162" s="784" t="s">
        <v>2293</v>
      </c>
      <c r="E162" s="791"/>
      <c r="F162" s="789">
        <f t="shared" si="156"/>
        <v>6.5790000000000006</v>
      </c>
      <c r="G162" s="790">
        <f t="shared" si="157"/>
        <v>103.71599999999998</v>
      </c>
      <c r="H162" s="780">
        <f t="shared" si="158"/>
        <v>0</v>
      </c>
      <c r="I162" s="789">
        <f t="shared" si="158"/>
        <v>647.75655000000017</v>
      </c>
      <c r="J162" s="789">
        <f t="shared" si="158"/>
        <v>0</v>
      </c>
      <c r="K162" s="788">
        <f t="shared" si="158"/>
        <v>0</v>
      </c>
      <c r="L162" s="780">
        <f t="shared" si="159"/>
        <v>0</v>
      </c>
      <c r="M162" s="779">
        <f t="shared" si="159"/>
        <v>0</v>
      </c>
      <c r="N162" s="778">
        <f t="shared" si="159"/>
        <v>968.91310080000017</v>
      </c>
      <c r="O162" s="778">
        <f t="shared" si="159"/>
        <v>0</v>
      </c>
      <c r="P162" s="778">
        <f t="shared" si="159"/>
        <v>0</v>
      </c>
      <c r="Q162" s="778">
        <f t="shared" si="159"/>
        <v>0</v>
      </c>
      <c r="R162" s="778">
        <f t="shared" si="159"/>
        <v>0</v>
      </c>
      <c r="S162" s="778">
        <f t="shared" si="159"/>
        <v>0</v>
      </c>
      <c r="T162" s="787">
        <f t="shared" si="160"/>
        <v>1616.6696508000005</v>
      </c>
      <c r="U162" s="787"/>
      <c r="V162" s="786">
        <f t="shared" si="161"/>
        <v>15.764705882352937</v>
      </c>
      <c r="W162" s="785">
        <f t="shared" si="162"/>
        <v>245.73182106703152</v>
      </c>
    </row>
    <row r="163" spans="2:23">
      <c r="B163" s="792"/>
      <c r="C163" s="791"/>
      <c r="D163" s="784" t="s">
        <v>2292</v>
      </c>
      <c r="E163" s="791"/>
      <c r="F163" s="789">
        <f t="shared" si="156"/>
        <v>2.9988000000000001</v>
      </c>
      <c r="G163" s="790">
        <f t="shared" si="157"/>
        <v>45.275999999999996</v>
      </c>
      <c r="H163" s="780">
        <f t="shared" si="158"/>
        <v>0</v>
      </c>
      <c r="I163" s="789">
        <f t="shared" si="158"/>
        <v>389.12247000000002</v>
      </c>
      <c r="J163" s="789">
        <f t="shared" si="158"/>
        <v>0</v>
      </c>
      <c r="K163" s="788">
        <f t="shared" si="158"/>
        <v>0</v>
      </c>
      <c r="L163" s="780">
        <f t="shared" si="159"/>
        <v>0</v>
      </c>
      <c r="M163" s="779">
        <f t="shared" si="159"/>
        <v>0</v>
      </c>
      <c r="N163" s="778">
        <f t="shared" si="159"/>
        <v>506.04687360000003</v>
      </c>
      <c r="O163" s="778">
        <f t="shared" si="159"/>
        <v>0</v>
      </c>
      <c r="P163" s="778">
        <f t="shared" si="159"/>
        <v>0</v>
      </c>
      <c r="Q163" s="778">
        <f t="shared" si="159"/>
        <v>0</v>
      </c>
      <c r="R163" s="778">
        <f t="shared" si="159"/>
        <v>0</v>
      </c>
      <c r="S163" s="778">
        <f t="shared" si="159"/>
        <v>0</v>
      </c>
      <c r="T163" s="787">
        <f t="shared" si="160"/>
        <v>895.16934360000005</v>
      </c>
      <c r="U163" s="787"/>
      <c r="V163" s="786">
        <f t="shared" si="161"/>
        <v>15.098039215686272</v>
      </c>
      <c r="W163" s="785">
        <f t="shared" si="162"/>
        <v>298.50918487394961</v>
      </c>
    </row>
    <row r="164" spans="2:23" ht="12" thickBot="1">
      <c r="B164" s="784"/>
      <c r="C164" s="783"/>
      <c r="D164" s="784"/>
      <c r="E164" s="783"/>
      <c r="F164" s="778"/>
      <c r="G164" s="782"/>
      <c r="H164" s="780"/>
      <c r="I164" s="778"/>
      <c r="J164" s="778"/>
      <c r="K164" s="781"/>
      <c r="L164" s="780"/>
      <c r="M164" s="779"/>
      <c r="N164" s="778"/>
      <c r="O164" s="778"/>
      <c r="P164" s="778"/>
      <c r="Q164" s="778"/>
      <c r="R164" s="778"/>
      <c r="S164" s="778"/>
    </row>
    <row r="165" spans="2:23" ht="12.75" thickTop="1" thickBot="1">
      <c r="B165" s="777" t="s">
        <v>2220</v>
      </c>
      <c r="C165" s="776"/>
      <c r="D165" s="776"/>
      <c r="E165" s="775"/>
      <c r="F165" s="770">
        <f t="shared" ref="F165:S165" si="172">SUM(F149:F164)</f>
        <v>28.902460725157113</v>
      </c>
      <c r="G165" s="774">
        <f t="shared" si="172"/>
        <v>388.61904290062847</v>
      </c>
      <c r="H165" s="772">
        <f t="shared" si="172"/>
        <v>0</v>
      </c>
      <c r="I165" s="770">
        <f t="shared" si="172"/>
        <v>2736.2721112113586</v>
      </c>
      <c r="J165" s="770">
        <f t="shared" si="172"/>
        <v>0</v>
      </c>
      <c r="K165" s="773">
        <f t="shared" si="172"/>
        <v>0</v>
      </c>
      <c r="L165" s="772">
        <f t="shared" si="172"/>
        <v>0</v>
      </c>
      <c r="M165" s="771">
        <f t="shared" si="172"/>
        <v>0</v>
      </c>
      <c r="N165" s="770">
        <f t="shared" si="172"/>
        <v>4392.6838272000005</v>
      </c>
      <c r="O165" s="770">
        <f t="shared" si="172"/>
        <v>0</v>
      </c>
      <c r="P165" s="770">
        <f t="shared" si="172"/>
        <v>0</v>
      </c>
      <c r="Q165" s="770">
        <f t="shared" si="172"/>
        <v>0</v>
      </c>
      <c r="R165" s="769">
        <f t="shared" si="172"/>
        <v>0</v>
      </c>
      <c r="S165" s="769">
        <f t="shared" si="172"/>
        <v>0</v>
      </c>
      <c r="T165" s="769">
        <f>SUM(T150:T164)</f>
        <v>7128.9559384113581</v>
      </c>
      <c r="U165" s="768"/>
    </row>
    <row r="166" spans="2:23" ht="12" thickTop="1">
      <c r="B166" s="767"/>
      <c r="C166" s="764"/>
      <c r="D166" s="767"/>
      <c r="E166" s="764"/>
      <c r="F166" s="763"/>
      <c r="G166" s="767"/>
      <c r="H166" s="765"/>
      <c r="I166" s="763"/>
      <c r="J166" s="763"/>
      <c r="K166" s="766"/>
      <c r="L166" s="765"/>
      <c r="M166" s="764"/>
      <c r="N166" s="763"/>
      <c r="O166" s="763"/>
      <c r="P166" s="763"/>
      <c r="Q166" s="763"/>
      <c r="R166" s="763"/>
      <c r="S166" s="763"/>
    </row>
    <row r="167" spans="2:23">
      <c r="B167" s="797" t="s">
        <v>136</v>
      </c>
      <c r="C167" s="794"/>
      <c r="D167" s="797"/>
      <c r="E167" s="794"/>
      <c r="F167" s="793"/>
      <c r="G167" s="797"/>
      <c r="H167" s="795"/>
      <c r="I167" s="793"/>
      <c r="J167" s="793"/>
      <c r="K167" s="796"/>
      <c r="L167" s="795"/>
      <c r="M167" s="794"/>
      <c r="N167" s="793"/>
      <c r="O167" s="793"/>
      <c r="P167" s="793"/>
      <c r="Q167" s="793"/>
      <c r="R167" s="793"/>
      <c r="S167" s="793"/>
    </row>
    <row r="168" spans="2:23">
      <c r="B168" s="792"/>
      <c r="C168" s="791"/>
      <c r="D168" s="784" t="s">
        <v>2302</v>
      </c>
      <c r="E168" s="791"/>
      <c r="F168" s="789">
        <f t="shared" ref="F168:F181" si="173">SUMIFS($AO$15:$AO$140,$B$15:$B$140,$B$167,$D$15:$D$140,$D168)</f>
        <v>0</v>
      </c>
      <c r="G168" s="790">
        <f t="shared" ref="G168:G181" si="174">SUMIFS($AT$15:$AT$140,$B$15:$B$140,$B$167,$D$15:$D$140,$D168)</f>
        <v>0</v>
      </c>
      <c r="H168" s="780">
        <f t="shared" ref="H168:K181" si="175">SUMIFS($AR$15:$AR$140,$B$15:$B$140,$B$167,$D$15:$D$140,$D168,$AD$15:$AD$140,H$147)+SUMIFS($AS$15:$AS$140,$B$15:$B$140,$B$167,$D$15:$D$140,$D168,$AI$15:$AI$140,H$147)</f>
        <v>0</v>
      </c>
      <c r="I168" s="789">
        <f t="shared" si="175"/>
        <v>0</v>
      </c>
      <c r="J168" s="789">
        <f t="shared" si="175"/>
        <v>0</v>
      </c>
      <c r="K168" s="788">
        <f t="shared" si="175"/>
        <v>0</v>
      </c>
      <c r="L168" s="780">
        <f t="shared" ref="L168:S181" si="176">SUMIFS($AP$15:$AP$140,$B$15:$B$140,$B$167,$D$15:$D$140,$D168,$O$15:$O$140,L$147)+SUMIFS($AQ$15:$AQ$140,$B$15:$B$140,$B$167,$D$15:$D$140,$D168,$W$15:$W$140,L$147)</f>
        <v>0</v>
      </c>
      <c r="M168" s="779">
        <f t="shared" si="176"/>
        <v>0</v>
      </c>
      <c r="N168" s="778">
        <f t="shared" si="176"/>
        <v>0</v>
      </c>
      <c r="O168" s="778">
        <f t="shared" si="176"/>
        <v>0</v>
      </c>
      <c r="P168" s="778">
        <f t="shared" si="176"/>
        <v>0</v>
      </c>
      <c r="Q168" s="778">
        <f t="shared" si="176"/>
        <v>0</v>
      </c>
      <c r="R168" s="778">
        <f t="shared" si="176"/>
        <v>0</v>
      </c>
      <c r="S168" s="778">
        <f t="shared" si="176"/>
        <v>0</v>
      </c>
      <c r="T168" s="787">
        <f t="shared" ref="T168:T181" si="177">SUM(H168:R168)</f>
        <v>0</v>
      </c>
      <c r="U168" s="787"/>
      <c r="V168" s="786">
        <f t="shared" ref="V168:V181" si="178">IF(F168&gt;0,G168/F168,0)</f>
        <v>0</v>
      </c>
      <c r="W168" s="785">
        <f t="shared" ref="W168:W181" si="179">IF(F168&gt;0,T168/F168,0)</f>
        <v>0</v>
      </c>
    </row>
    <row r="169" spans="2:23">
      <c r="B169" s="792"/>
      <c r="C169" s="791"/>
      <c r="D169" s="784" t="s">
        <v>2303</v>
      </c>
      <c r="E169" s="791"/>
      <c r="F169" s="789">
        <f t="shared" si="173"/>
        <v>0</v>
      </c>
      <c r="G169" s="790">
        <f t="shared" si="174"/>
        <v>0</v>
      </c>
      <c r="H169" s="780">
        <f t="shared" si="175"/>
        <v>0</v>
      </c>
      <c r="I169" s="789">
        <f t="shared" si="175"/>
        <v>0</v>
      </c>
      <c r="J169" s="789">
        <f t="shared" si="175"/>
        <v>0</v>
      </c>
      <c r="K169" s="788">
        <f t="shared" si="175"/>
        <v>0</v>
      </c>
      <c r="L169" s="780">
        <f t="shared" si="176"/>
        <v>0</v>
      </c>
      <c r="M169" s="779">
        <f t="shared" si="176"/>
        <v>0</v>
      </c>
      <c r="N169" s="778">
        <f t="shared" si="176"/>
        <v>0</v>
      </c>
      <c r="O169" s="778">
        <f t="shared" si="176"/>
        <v>0</v>
      </c>
      <c r="P169" s="778">
        <f t="shared" si="176"/>
        <v>0</v>
      </c>
      <c r="Q169" s="778">
        <f t="shared" si="176"/>
        <v>0</v>
      </c>
      <c r="R169" s="778">
        <f t="shared" si="176"/>
        <v>0</v>
      </c>
      <c r="S169" s="778">
        <f t="shared" si="176"/>
        <v>0</v>
      </c>
      <c r="T169" s="787">
        <f t="shared" si="177"/>
        <v>0</v>
      </c>
      <c r="U169" s="787"/>
      <c r="V169" s="786">
        <f t="shared" si="178"/>
        <v>0</v>
      </c>
      <c r="W169" s="785">
        <f t="shared" si="179"/>
        <v>0</v>
      </c>
    </row>
    <row r="170" spans="2:23">
      <c r="B170" s="792"/>
      <c r="C170" s="791"/>
      <c r="D170" s="784" t="s">
        <v>2337</v>
      </c>
      <c r="E170" s="791"/>
      <c r="F170" s="789">
        <f t="shared" si="173"/>
        <v>0</v>
      </c>
      <c r="G170" s="790">
        <f t="shared" si="174"/>
        <v>0</v>
      </c>
      <c r="H170" s="780">
        <f t="shared" si="175"/>
        <v>0</v>
      </c>
      <c r="I170" s="789">
        <f t="shared" si="175"/>
        <v>0</v>
      </c>
      <c r="J170" s="789">
        <f t="shared" si="175"/>
        <v>0</v>
      </c>
      <c r="K170" s="788">
        <f t="shared" si="175"/>
        <v>0</v>
      </c>
      <c r="L170" s="780">
        <f t="shared" si="176"/>
        <v>0</v>
      </c>
      <c r="M170" s="779">
        <f t="shared" si="176"/>
        <v>0</v>
      </c>
      <c r="N170" s="778">
        <f t="shared" si="176"/>
        <v>0</v>
      </c>
      <c r="O170" s="778">
        <f t="shared" si="176"/>
        <v>0</v>
      </c>
      <c r="P170" s="778">
        <f t="shared" si="176"/>
        <v>0</v>
      </c>
      <c r="Q170" s="778">
        <f t="shared" si="176"/>
        <v>0</v>
      </c>
      <c r="R170" s="778">
        <f t="shared" si="176"/>
        <v>0</v>
      </c>
      <c r="S170" s="778">
        <f t="shared" si="176"/>
        <v>0</v>
      </c>
      <c r="T170" s="787">
        <f t="shared" ref="T170" si="180">SUM(H170:R170)</f>
        <v>0</v>
      </c>
      <c r="U170" s="787"/>
      <c r="V170" s="786">
        <f t="shared" ref="V170" si="181">IF(F170&gt;0,G170/F170,0)</f>
        <v>0</v>
      </c>
      <c r="W170" s="785">
        <f t="shared" ref="W170" si="182">IF(F170&gt;0,T170/F170,0)</f>
        <v>0</v>
      </c>
    </row>
    <row r="171" spans="2:23">
      <c r="B171" s="792"/>
      <c r="C171" s="791"/>
      <c r="D171" s="784" t="s">
        <v>2193</v>
      </c>
      <c r="E171" s="791"/>
      <c r="F171" s="789">
        <f t="shared" si="173"/>
        <v>0</v>
      </c>
      <c r="G171" s="790">
        <f t="shared" si="174"/>
        <v>0</v>
      </c>
      <c r="H171" s="780">
        <f t="shared" si="175"/>
        <v>0</v>
      </c>
      <c r="I171" s="789">
        <f t="shared" si="175"/>
        <v>0</v>
      </c>
      <c r="J171" s="789">
        <f t="shared" si="175"/>
        <v>0</v>
      </c>
      <c r="K171" s="788">
        <f t="shared" si="175"/>
        <v>0</v>
      </c>
      <c r="L171" s="780">
        <f t="shared" si="176"/>
        <v>0</v>
      </c>
      <c r="M171" s="779">
        <f t="shared" si="176"/>
        <v>0</v>
      </c>
      <c r="N171" s="778">
        <f t="shared" si="176"/>
        <v>0</v>
      </c>
      <c r="O171" s="778">
        <f t="shared" si="176"/>
        <v>0</v>
      </c>
      <c r="P171" s="778">
        <f t="shared" si="176"/>
        <v>0</v>
      </c>
      <c r="Q171" s="778">
        <f t="shared" si="176"/>
        <v>0</v>
      </c>
      <c r="R171" s="778">
        <f t="shared" si="176"/>
        <v>0</v>
      </c>
      <c r="S171" s="778">
        <f t="shared" si="176"/>
        <v>0</v>
      </c>
      <c r="T171" s="787">
        <f t="shared" si="177"/>
        <v>0</v>
      </c>
      <c r="U171" s="787"/>
      <c r="V171" s="786">
        <f t="shared" si="178"/>
        <v>0</v>
      </c>
      <c r="W171" s="785">
        <f t="shared" si="179"/>
        <v>0</v>
      </c>
    </row>
    <row r="172" spans="2:23">
      <c r="B172" s="792"/>
      <c r="C172" s="791"/>
      <c r="D172" s="784" t="s">
        <v>2295</v>
      </c>
      <c r="E172" s="791"/>
      <c r="F172" s="789">
        <f t="shared" si="173"/>
        <v>0</v>
      </c>
      <c r="G172" s="790">
        <f t="shared" si="174"/>
        <v>0</v>
      </c>
      <c r="H172" s="780">
        <f t="shared" si="175"/>
        <v>0</v>
      </c>
      <c r="I172" s="789">
        <f t="shared" si="175"/>
        <v>0</v>
      </c>
      <c r="J172" s="789">
        <f t="shared" si="175"/>
        <v>0</v>
      </c>
      <c r="K172" s="788">
        <f t="shared" si="175"/>
        <v>0</v>
      </c>
      <c r="L172" s="780">
        <f t="shared" si="176"/>
        <v>0</v>
      </c>
      <c r="M172" s="779">
        <f t="shared" si="176"/>
        <v>0</v>
      </c>
      <c r="N172" s="778">
        <f t="shared" si="176"/>
        <v>0</v>
      </c>
      <c r="O172" s="778">
        <f t="shared" si="176"/>
        <v>0</v>
      </c>
      <c r="P172" s="778">
        <f t="shared" si="176"/>
        <v>0</v>
      </c>
      <c r="Q172" s="778">
        <f t="shared" si="176"/>
        <v>0</v>
      </c>
      <c r="R172" s="778">
        <f t="shared" si="176"/>
        <v>0</v>
      </c>
      <c r="S172" s="778">
        <f t="shared" si="176"/>
        <v>0</v>
      </c>
      <c r="T172" s="787">
        <f t="shared" si="177"/>
        <v>0</v>
      </c>
      <c r="U172" s="787"/>
      <c r="V172" s="786">
        <f t="shared" si="178"/>
        <v>0</v>
      </c>
      <c r="W172" s="785">
        <f t="shared" si="179"/>
        <v>0</v>
      </c>
    </row>
    <row r="173" spans="2:23">
      <c r="B173" s="792"/>
      <c r="C173" s="791"/>
      <c r="D173" s="784" t="s">
        <v>2296</v>
      </c>
      <c r="E173" s="791"/>
      <c r="F173" s="789">
        <f t="shared" si="173"/>
        <v>0</v>
      </c>
      <c r="G173" s="790">
        <f t="shared" si="174"/>
        <v>0</v>
      </c>
      <c r="H173" s="780">
        <f t="shared" si="175"/>
        <v>0</v>
      </c>
      <c r="I173" s="789">
        <f t="shared" si="175"/>
        <v>0</v>
      </c>
      <c r="J173" s="789">
        <f t="shared" si="175"/>
        <v>0</v>
      </c>
      <c r="K173" s="788">
        <f t="shared" si="175"/>
        <v>0</v>
      </c>
      <c r="L173" s="780">
        <f t="shared" si="176"/>
        <v>0</v>
      </c>
      <c r="M173" s="779">
        <f t="shared" si="176"/>
        <v>0</v>
      </c>
      <c r="N173" s="778">
        <f t="shared" si="176"/>
        <v>0</v>
      </c>
      <c r="O173" s="778">
        <f t="shared" si="176"/>
        <v>0</v>
      </c>
      <c r="P173" s="778">
        <f t="shared" si="176"/>
        <v>0</v>
      </c>
      <c r="Q173" s="778">
        <f t="shared" si="176"/>
        <v>0</v>
      </c>
      <c r="R173" s="778">
        <f t="shared" si="176"/>
        <v>0</v>
      </c>
      <c r="S173" s="778">
        <f t="shared" si="176"/>
        <v>0</v>
      </c>
      <c r="T173" s="787">
        <f t="shared" si="177"/>
        <v>0</v>
      </c>
      <c r="U173" s="787"/>
      <c r="V173" s="786">
        <f t="shared" si="178"/>
        <v>0</v>
      </c>
      <c r="W173" s="785">
        <f t="shared" si="179"/>
        <v>0</v>
      </c>
    </row>
    <row r="174" spans="2:23">
      <c r="B174" s="792"/>
      <c r="C174" s="791"/>
      <c r="D174" s="784" t="s">
        <v>2298</v>
      </c>
      <c r="E174" s="791"/>
      <c r="F174" s="789">
        <f t="shared" si="173"/>
        <v>0</v>
      </c>
      <c r="G174" s="790">
        <f t="shared" si="174"/>
        <v>0</v>
      </c>
      <c r="H174" s="780">
        <f t="shared" si="175"/>
        <v>0</v>
      </c>
      <c r="I174" s="789">
        <f t="shared" si="175"/>
        <v>0</v>
      </c>
      <c r="J174" s="789">
        <f t="shared" si="175"/>
        <v>0</v>
      </c>
      <c r="K174" s="788">
        <f t="shared" si="175"/>
        <v>0</v>
      </c>
      <c r="L174" s="780">
        <f t="shared" si="176"/>
        <v>0</v>
      </c>
      <c r="M174" s="779">
        <f t="shared" si="176"/>
        <v>0</v>
      </c>
      <c r="N174" s="778">
        <f t="shared" si="176"/>
        <v>0</v>
      </c>
      <c r="O174" s="778">
        <f t="shared" si="176"/>
        <v>0</v>
      </c>
      <c r="P174" s="778">
        <f t="shared" si="176"/>
        <v>0</v>
      </c>
      <c r="Q174" s="778">
        <f t="shared" si="176"/>
        <v>0</v>
      </c>
      <c r="R174" s="778">
        <f t="shared" si="176"/>
        <v>0</v>
      </c>
      <c r="S174" s="778">
        <f t="shared" si="176"/>
        <v>0</v>
      </c>
      <c r="T174" s="787">
        <f t="shared" ref="T174:T177" si="183">SUM(H174:R174)</f>
        <v>0</v>
      </c>
      <c r="U174" s="787"/>
      <c r="V174" s="786">
        <f t="shared" ref="V174:V177" si="184">IF(F174&gt;0,G174/F174,0)</f>
        <v>0</v>
      </c>
      <c r="W174" s="785">
        <f t="shared" ref="W174:W177" si="185">IF(F174&gt;0,T174/F174,0)</f>
        <v>0</v>
      </c>
    </row>
    <row r="175" spans="2:23">
      <c r="B175" s="792"/>
      <c r="C175" s="791"/>
      <c r="D175" s="784" t="s">
        <v>2294</v>
      </c>
      <c r="E175" s="791"/>
      <c r="F175" s="789">
        <f t="shared" si="173"/>
        <v>2.6859999999999999</v>
      </c>
      <c r="G175" s="790">
        <f t="shared" si="174"/>
        <v>45.03</v>
      </c>
      <c r="H175" s="780">
        <f t="shared" si="175"/>
        <v>0</v>
      </c>
      <c r="I175" s="789">
        <f t="shared" si="175"/>
        <v>284.23116000000005</v>
      </c>
      <c r="J175" s="789">
        <f t="shared" si="175"/>
        <v>0</v>
      </c>
      <c r="K175" s="788">
        <f t="shared" si="175"/>
        <v>0</v>
      </c>
      <c r="L175" s="780">
        <f t="shared" si="176"/>
        <v>0</v>
      </c>
      <c r="M175" s="779">
        <f t="shared" si="176"/>
        <v>0</v>
      </c>
      <c r="N175" s="778">
        <f t="shared" si="176"/>
        <v>465.13889279999995</v>
      </c>
      <c r="O175" s="778">
        <f t="shared" si="176"/>
        <v>0</v>
      </c>
      <c r="P175" s="778">
        <f t="shared" si="176"/>
        <v>0</v>
      </c>
      <c r="Q175" s="778">
        <f t="shared" si="176"/>
        <v>0</v>
      </c>
      <c r="R175" s="778">
        <f t="shared" si="176"/>
        <v>0</v>
      </c>
      <c r="S175" s="778">
        <f t="shared" si="176"/>
        <v>0</v>
      </c>
      <c r="T175" s="787">
        <f t="shared" si="183"/>
        <v>749.37005279999994</v>
      </c>
      <c r="U175" s="787"/>
      <c r="V175" s="786">
        <f t="shared" si="184"/>
        <v>16.764705882352942</v>
      </c>
      <c r="W175" s="785">
        <f t="shared" si="185"/>
        <v>278.99108443782575</v>
      </c>
    </row>
    <row r="176" spans="2:23">
      <c r="B176" s="792"/>
      <c r="C176" s="791"/>
      <c r="D176" s="784" t="s">
        <v>2299</v>
      </c>
      <c r="E176" s="791"/>
      <c r="F176" s="789">
        <f t="shared" si="173"/>
        <v>4.2074999999999996</v>
      </c>
      <c r="G176" s="790">
        <f t="shared" si="174"/>
        <v>66.33</v>
      </c>
      <c r="H176" s="780">
        <f t="shared" si="175"/>
        <v>0</v>
      </c>
      <c r="I176" s="789">
        <f t="shared" si="175"/>
        <v>513.15610500000014</v>
      </c>
      <c r="J176" s="789">
        <f t="shared" si="175"/>
        <v>0</v>
      </c>
      <c r="K176" s="788">
        <f t="shared" si="175"/>
        <v>0</v>
      </c>
      <c r="L176" s="780">
        <f t="shared" si="176"/>
        <v>0</v>
      </c>
      <c r="M176" s="779">
        <f t="shared" si="176"/>
        <v>0</v>
      </c>
      <c r="N176" s="778">
        <f t="shared" si="176"/>
        <v>774.97896959999991</v>
      </c>
      <c r="O176" s="778">
        <f t="shared" si="176"/>
        <v>0</v>
      </c>
      <c r="P176" s="778">
        <f t="shared" si="176"/>
        <v>0</v>
      </c>
      <c r="Q176" s="778">
        <f t="shared" si="176"/>
        <v>0</v>
      </c>
      <c r="R176" s="778">
        <f t="shared" si="176"/>
        <v>0</v>
      </c>
      <c r="S176" s="778">
        <f t="shared" si="176"/>
        <v>0</v>
      </c>
      <c r="T176" s="787">
        <f t="shared" si="183"/>
        <v>1288.1350746000001</v>
      </c>
      <c r="U176" s="787"/>
      <c r="V176" s="786">
        <f t="shared" si="184"/>
        <v>15.764705882352942</v>
      </c>
      <c r="W176" s="785">
        <f t="shared" si="185"/>
        <v>306.15212705882357</v>
      </c>
    </row>
    <row r="177" spans="2:23">
      <c r="B177" s="792"/>
      <c r="C177" s="791"/>
      <c r="D177" s="784" t="s">
        <v>2300</v>
      </c>
      <c r="E177" s="791"/>
      <c r="F177" s="789">
        <f t="shared" si="173"/>
        <v>1.377</v>
      </c>
      <c r="G177" s="790">
        <f t="shared" si="174"/>
        <v>20.79</v>
      </c>
      <c r="H177" s="780">
        <f t="shared" si="175"/>
        <v>0</v>
      </c>
      <c r="I177" s="789">
        <f t="shared" si="175"/>
        <v>157.33696500000002</v>
      </c>
      <c r="J177" s="789">
        <f t="shared" si="175"/>
        <v>0</v>
      </c>
      <c r="K177" s="788">
        <f t="shared" si="175"/>
        <v>0</v>
      </c>
      <c r="L177" s="780">
        <f t="shared" si="176"/>
        <v>0</v>
      </c>
      <c r="M177" s="779">
        <f t="shared" si="176"/>
        <v>0</v>
      </c>
      <c r="N177" s="778">
        <f t="shared" si="176"/>
        <v>260.88307200000003</v>
      </c>
      <c r="O177" s="778">
        <f t="shared" si="176"/>
        <v>0</v>
      </c>
      <c r="P177" s="778">
        <f t="shared" si="176"/>
        <v>0</v>
      </c>
      <c r="Q177" s="778">
        <f t="shared" si="176"/>
        <v>0</v>
      </c>
      <c r="R177" s="778">
        <f t="shared" si="176"/>
        <v>0</v>
      </c>
      <c r="S177" s="778">
        <f t="shared" si="176"/>
        <v>0</v>
      </c>
      <c r="T177" s="787">
        <f t="shared" si="183"/>
        <v>418.22003700000005</v>
      </c>
      <c r="U177" s="787"/>
      <c r="V177" s="786">
        <f t="shared" si="184"/>
        <v>15.098039215686274</v>
      </c>
      <c r="W177" s="785">
        <f t="shared" si="185"/>
        <v>303.71825490196079</v>
      </c>
    </row>
    <row r="178" spans="2:23">
      <c r="B178" s="792"/>
      <c r="C178" s="791"/>
      <c r="D178" s="784" t="s">
        <v>2301</v>
      </c>
      <c r="E178" s="791"/>
      <c r="F178" s="789">
        <f t="shared" si="173"/>
        <v>0.53549999999999998</v>
      </c>
      <c r="G178" s="790">
        <f t="shared" si="174"/>
        <v>7.83</v>
      </c>
      <c r="H178" s="780">
        <f t="shared" si="175"/>
        <v>0</v>
      </c>
      <c r="I178" s="789">
        <f t="shared" si="175"/>
        <v>58.240755000000007</v>
      </c>
      <c r="J178" s="789">
        <f t="shared" si="175"/>
        <v>0</v>
      </c>
      <c r="K178" s="788">
        <f t="shared" si="175"/>
        <v>0</v>
      </c>
      <c r="L178" s="780">
        <f t="shared" si="176"/>
        <v>0</v>
      </c>
      <c r="M178" s="779">
        <f t="shared" si="176"/>
        <v>0</v>
      </c>
      <c r="N178" s="778">
        <f t="shared" si="176"/>
        <v>86.961024000000009</v>
      </c>
      <c r="O178" s="778">
        <f t="shared" si="176"/>
        <v>0</v>
      </c>
      <c r="P178" s="778">
        <f t="shared" si="176"/>
        <v>0</v>
      </c>
      <c r="Q178" s="778">
        <f t="shared" si="176"/>
        <v>0</v>
      </c>
      <c r="R178" s="778">
        <f t="shared" si="176"/>
        <v>0</v>
      </c>
      <c r="S178" s="778">
        <f t="shared" si="176"/>
        <v>0</v>
      </c>
      <c r="T178" s="787">
        <f t="shared" si="177"/>
        <v>145.20177900000002</v>
      </c>
      <c r="U178" s="787"/>
      <c r="V178" s="786">
        <f t="shared" si="178"/>
        <v>14.6218487394958</v>
      </c>
      <c r="W178" s="785">
        <f t="shared" si="179"/>
        <v>271.15178151260511</v>
      </c>
    </row>
    <row r="179" spans="2:23">
      <c r="B179" s="792"/>
      <c r="C179" s="791"/>
      <c r="D179" s="784" t="s">
        <v>2297</v>
      </c>
      <c r="E179" s="791"/>
      <c r="F179" s="789">
        <f t="shared" si="173"/>
        <v>0</v>
      </c>
      <c r="G179" s="790">
        <f t="shared" si="174"/>
        <v>0</v>
      </c>
      <c r="H179" s="780">
        <f t="shared" si="175"/>
        <v>0</v>
      </c>
      <c r="I179" s="789">
        <f t="shared" si="175"/>
        <v>0</v>
      </c>
      <c r="J179" s="789">
        <f t="shared" si="175"/>
        <v>0</v>
      </c>
      <c r="K179" s="788">
        <f t="shared" si="175"/>
        <v>0</v>
      </c>
      <c r="L179" s="780">
        <f t="shared" si="176"/>
        <v>0</v>
      </c>
      <c r="M179" s="779">
        <f t="shared" si="176"/>
        <v>0</v>
      </c>
      <c r="N179" s="778">
        <f t="shared" si="176"/>
        <v>0</v>
      </c>
      <c r="O179" s="778">
        <f t="shared" si="176"/>
        <v>0</v>
      </c>
      <c r="P179" s="778">
        <f t="shared" si="176"/>
        <v>0</v>
      </c>
      <c r="Q179" s="778">
        <f t="shared" si="176"/>
        <v>0</v>
      </c>
      <c r="R179" s="778">
        <f t="shared" si="176"/>
        <v>0</v>
      </c>
      <c r="S179" s="778">
        <f t="shared" si="176"/>
        <v>0</v>
      </c>
      <c r="T179" s="787">
        <f t="shared" si="177"/>
        <v>0</v>
      </c>
      <c r="U179" s="787"/>
      <c r="V179" s="786">
        <f t="shared" si="178"/>
        <v>0</v>
      </c>
      <c r="W179" s="785">
        <f t="shared" si="179"/>
        <v>0</v>
      </c>
    </row>
    <row r="180" spans="2:23">
      <c r="B180" s="792"/>
      <c r="C180" s="791"/>
      <c r="D180" s="784" t="s">
        <v>2293</v>
      </c>
      <c r="E180" s="791"/>
      <c r="F180" s="789">
        <f t="shared" si="173"/>
        <v>6.1199999999999992</v>
      </c>
      <c r="G180" s="790">
        <f t="shared" si="174"/>
        <v>96.48</v>
      </c>
      <c r="H180" s="780">
        <f t="shared" si="175"/>
        <v>0</v>
      </c>
      <c r="I180" s="789">
        <f t="shared" si="175"/>
        <v>616.59864000000016</v>
      </c>
      <c r="J180" s="789">
        <f t="shared" si="175"/>
        <v>0</v>
      </c>
      <c r="K180" s="788">
        <f t="shared" si="175"/>
        <v>0</v>
      </c>
      <c r="L180" s="780">
        <f t="shared" si="176"/>
        <v>0</v>
      </c>
      <c r="M180" s="779">
        <f t="shared" si="176"/>
        <v>0</v>
      </c>
      <c r="N180" s="778">
        <f t="shared" si="176"/>
        <v>834.82583039999997</v>
      </c>
      <c r="O180" s="778">
        <f t="shared" si="176"/>
        <v>0</v>
      </c>
      <c r="P180" s="778">
        <f t="shared" si="176"/>
        <v>0</v>
      </c>
      <c r="Q180" s="778">
        <f t="shared" si="176"/>
        <v>0</v>
      </c>
      <c r="R180" s="778">
        <f t="shared" si="176"/>
        <v>0</v>
      </c>
      <c r="S180" s="778">
        <f t="shared" si="176"/>
        <v>0</v>
      </c>
      <c r="T180" s="787">
        <f t="shared" si="177"/>
        <v>1451.4244704000002</v>
      </c>
      <c r="U180" s="787"/>
      <c r="V180" s="786">
        <f t="shared" si="178"/>
        <v>15.764705882352944</v>
      </c>
      <c r="W180" s="785">
        <f t="shared" si="179"/>
        <v>237.16086117647066</v>
      </c>
    </row>
    <row r="181" spans="2:23">
      <c r="B181" s="792"/>
      <c r="C181" s="791"/>
      <c r="D181" s="784" t="s">
        <v>2292</v>
      </c>
      <c r="E181" s="791"/>
      <c r="F181" s="789">
        <f t="shared" si="173"/>
        <v>0</v>
      </c>
      <c r="G181" s="790">
        <f t="shared" si="174"/>
        <v>0</v>
      </c>
      <c r="H181" s="780">
        <f t="shared" si="175"/>
        <v>0</v>
      </c>
      <c r="I181" s="789">
        <f t="shared" si="175"/>
        <v>0</v>
      </c>
      <c r="J181" s="789">
        <f t="shared" si="175"/>
        <v>0</v>
      </c>
      <c r="K181" s="788">
        <f t="shared" si="175"/>
        <v>0</v>
      </c>
      <c r="L181" s="780">
        <f t="shared" si="176"/>
        <v>0</v>
      </c>
      <c r="M181" s="779">
        <f t="shared" si="176"/>
        <v>0</v>
      </c>
      <c r="N181" s="778">
        <f t="shared" si="176"/>
        <v>0</v>
      </c>
      <c r="O181" s="778">
        <f t="shared" si="176"/>
        <v>0</v>
      </c>
      <c r="P181" s="778">
        <f t="shared" si="176"/>
        <v>0</v>
      </c>
      <c r="Q181" s="778">
        <f t="shared" si="176"/>
        <v>0</v>
      </c>
      <c r="R181" s="778">
        <f t="shared" si="176"/>
        <v>0</v>
      </c>
      <c r="S181" s="778">
        <f t="shared" si="176"/>
        <v>0</v>
      </c>
      <c r="T181" s="787">
        <f t="shared" si="177"/>
        <v>0</v>
      </c>
      <c r="U181" s="787"/>
      <c r="V181" s="786">
        <f t="shared" si="178"/>
        <v>0</v>
      </c>
      <c r="W181" s="785">
        <f t="shared" si="179"/>
        <v>0</v>
      </c>
    </row>
    <row r="182" spans="2:23" ht="12" thickBot="1">
      <c r="B182" s="784"/>
      <c r="C182" s="783"/>
      <c r="D182" s="784"/>
      <c r="E182" s="783"/>
      <c r="F182" s="778"/>
      <c r="G182" s="782"/>
      <c r="H182" s="780"/>
      <c r="I182" s="778"/>
      <c r="J182" s="778"/>
      <c r="K182" s="781"/>
      <c r="L182" s="780"/>
      <c r="M182" s="779"/>
      <c r="N182" s="778"/>
      <c r="O182" s="778"/>
      <c r="P182" s="778"/>
      <c r="Q182" s="778"/>
      <c r="R182" s="778"/>
      <c r="S182" s="778"/>
    </row>
    <row r="183" spans="2:23" ht="12.75" thickTop="1" thickBot="1">
      <c r="B183" s="777" t="s">
        <v>2219</v>
      </c>
      <c r="C183" s="776"/>
      <c r="D183" s="776"/>
      <c r="E183" s="775"/>
      <c r="F183" s="770">
        <f t="shared" ref="F183:S183" si="186">SUM(F167:F182)</f>
        <v>14.926</v>
      </c>
      <c r="G183" s="774">
        <f t="shared" si="186"/>
        <v>236.46000000000004</v>
      </c>
      <c r="H183" s="772">
        <f t="shared" si="186"/>
        <v>0</v>
      </c>
      <c r="I183" s="770">
        <f t="shared" si="186"/>
        <v>1629.5636250000005</v>
      </c>
      <c r="J183" s="770">
        <f t="shared" si="186"/>
        <v>0</v>
      </c>
      <c r="K183" s="773">
        <f t="shared" si="186"/>
        <v>0</v>
      </c>
      <c r="L183" s="772">
        <f t="shared" si="186"/>
        <v>0</v>
      </c>
      <c r="M183" s="771">
        <f t="shared" si="186"/>
        <v>0</v>
      </c>
      <c r="N183" s="770">
        <f t="shared" si="186"/>
        <v>2422.7877887999998</v>
      </c>
      <c r="O183" s="770">
        <f t="shared" si="186"/>
        <v>0</v>
      </c>
      <c r="P183" s="770">
        <f t="shared" si="186"/>
        <v>0</v>
      </c>
      <c r="Q183" s="770">
        <f t="shared" si="186"/>
        <v>0</v>
      </c>
      <c r="R183" s="769">
        <f t="shared" si="186"/>
        <v>0</v>
      </c>
      <c r="S183" s="769">
        <f t="shared" si="186"/>
        <v>0</v>
      </c>
      <c r="T183" s="769">
        <f>SUM(T168:T182)</f>
        <v>4052.3514138</v>
      </c>
      <c r="U183" s="768"/>
    </row>
    <row r="184" spans="2:23" ht="12" thickTop="1">
      <c r="B184" s="767"/>
      <c r="C184" s="764"/>
      <c r="D184" s="767"/>
      <c r="E184" s="764"/>
      <c r="F184" s="763"/>
      <c r="G184" s="767"/>
      <c r="H184" s="765"/>
      <c r="I184" s="763"/>
      <c r="J184" s="763"/>
      <c r="K184" s="766"/>
      <c r="L184" s="765"/>
      <c r="M184" s="764"/>
      <c r="N184" s="763"/>
      <c r="O184" s="763"/>
      <c r="P184" s="763"/>
      <c r="Q184" s="763"/>
      <c r="R184" s="763"/>
      <c r="S184" s="763"/>
    </row>
    <row r="185" spans="2:23">
      <c r="B185" s="797" t="s">
        <v>219</v>
      </c>
      <c r="C185" s="794"/>
      <c r="D185" s="797"/>
      <c r="E185" s="794"/>
      <c r="F185" s="793"/>
      <c r="G185" s="797"/>
      <c r="H185" s="795"/>
      <c r="I185" s="793"/>
      <c r="J185" s="793"/>
      <c r="K185" s="796"/>
      <c r="L185" s="795"/>
      <c r="M185" s="794"/>
      <c r="N185" s="793"/>
      <c r="O185" s="793"/>
      <c r="P185" s="793"/>
      <c r="Q185" s="793"/>
      <c r="R185" s="793"/>
      <c r="S185" s="793"/>
    </row>
    <row r="186" spans="2:23">
      <c r="B186" s="792"/>
      <c r="C186" s="791"/>
      <c r="D186" s="784" t="s">
        <v>2302</v>
      </c>
      <c r="E186" s="791"/>
      <c r="F186" s="789">
        <f t="shared" ref="F186:F199" si="187">SUMIFS($AO$15:$AO$140,$B$15:$B$140,$B$185,$D$15:$D$140,$D186)</f>
        <v>1.8199999999999996</v>
      </c>
      <c r="G186" s="790">
        <f t="shared" ref="G186:G199" si="188">SUMIFS($AT$15:$AT$140,$B$15:$B$140,$B$185,$D$15:$D$140,$D186)</f>
        <v>37.1</v>
      </c>
      <c r="H186" s="780">
        <f t="shared" ref="H186:K199" si="189">SUMIFS($AR$15:$AR$140,$B$15:$B$140,$B$185,$D$15:$D$140,$D186,$AD$15:$AD$140,H$147)+SUMIFS($AS$15:$AS$140,$B$15:$B$140,$B$185,$D$15:$D$140,$D186,$AI$15:$AI$140,H$147)</f>
        <v>0</v>
      </c>
      <c r="I186" s="789">
        <f t="shared" si="189"/>
        <v>239.51025000000004</v>
      </c>
      <c r="J186" s="789">
        <f t="shared" si="189"/>
        <v>0</v>
      </c>
      <c r="K186" s="788">
        <f t="shared" si="189"/>
        <v>0</v>
      </c>
      <c r="L186" s="780">
        <f t="shared" ref="L186:S199" si="190">SUMIFS($AP$15:$AP$140,$B$15:$B$140,$B$185,$D$15:$D$140,$D186,$O$15:$O$140,L$147)+SUMIFS($AQ$15:$AQ$140,$B$15:$B$140,$B$185,$D$15:$D$140,$D186,$W$15:$W$140,L$147)</f>
        <v>0</v>
      </c>
      <c r="M186" s="779">
        <f t="shared" si="190"/>
        <v>0</v>
      </c>
      <c r="N186" s="778">
        <f t="shared" si="190"/>
        <v>376.88371200000006</v>
      </c>
      <c r="O186" s="778">
        <f t="shared" si="190"/>
        <v>0</v>
      </c>
      <c r="P186" s="778">
        <f t="shared" si="190"/>
        <v>0</v>
      </c>
      <c r="Q186" s="778">
        <f t="shared" si="190"/>
        <v>0</v>
      </c>
      <c r="R186" s="778">
        <f t="shared" si="190"/>
        <v>0</v>
      </c>
      <c r="S186" s="778">
        <f t="shared" si="190"/>
        <v>0</v>
      </c>
      <c r="T186" s="787">
        <f t="shared" ref="T186:T199" si="191">SUM(H186:R186)</f>
        <v>616.3939620000001</v>
      </c>
      <c r="U186" s="787"/>
      <c r="V186" s="786">
        <f t="shared" ref="V186:V199" si="192">IF(F186&gt;0,G186/F186,0)</f>
        <v>20.38461538461539</v>
      </c>
      <c r="W186" s="785">
        <f t="shared" ref="W186:W199" si="193">IF(F186&gt;0,T186/F186,0)</f>
        <v>338.67800109890123</v>
      </c>
    </row>
    <row r="187" spans="2:23">
      <c r="B187" s="792"/>
      <c r="C187" s="791"/>
      <c r="D187" s="784" t="s">
        <v>2303</v>
      </c>
      <c r="E187" s="791"/>
      <c r="F187" s="789">
        <f t="shared" si="187"/>
        <v>2.2749999999999999</v>
      </c>
      <c r="G187" s="790">
        <f t="shared" si="188"/>
        <v>44.099999999999994</v>
      </c>
      <c r="H187" s="780">
        <f t="shared" si="189"/>
        <v>0</v>
      </c>
      <c r="I187" s="789">
        <f t="shared" si="189"/>
        <v>285.13124999999997</v>
      </c>
      <c r="J187" s="789">
        <f t="shared" si="189"/>
        <v>0</v>
      </c>
      <c r="K187" s="788">
        <f t="shared" si="189"/>
        <v>0</v>
      </c>
      <c r="L187" s="780">
        <f t="shared" si="190"/>
        <v>0</v>
      </c>
      <c r="M187" s="779">
        <f t="shared" si="190"/>
        <v>0</v>
      </c>
      <c r="N187" s="778">
        <f t="shared" si="190"/>
        <v>370.23616512000007</v>
      </c>
      <c r="O187" s="778">
        <f t="shared" si="190"/>
        <v>0</v>
      </c>
      <c r="P187" s="778">
        <f t="shared" si="190"/>
        <v>0</v>
      </c>
      <c r="Q187" s="778">
        <f t="shared" si="190"/>
        <v>0</v>
      </c>
      <c r="R187" s="778">
        <f t="shared" si="190"/>
        <v>0</v>
      </c>
      <c r="S187" s="778">
        <f t="shared" si="190"/>
        <v>0</v>
      </c>
      <c r="T187" s="787">
        <f t="shared" si="191"/>
        <v>655.36741512000003</v>
      </c>
      <c r="U187" s="787"/>
      <c r="V187" s="786">
        <f t="shared" si="192"/>
        <v>19.384615384615383</v>
      </c>
      <c r="W187" s="785">
        <f t="shared" si="193"/>
        <v>288.07358906373628</v>
      </c>
    </row>
    <row r="188" spans="2:23">
      <c r="B188" s="792"/>
      <c r="C188" s="791"/>
      <c r="D188" s="784" t="s">
        <v>2337</v>
      </c>
      <c r="E188" s="791"/>
      <c r="F188" s="789">
        <f t="shared" si="187"/>
        <v>0</v>
      </c>
      <c r="G188" s="790">
        <f t="shared" si="188"/>
        <v>0</v>
      </c>
      <c r="H188" s="780">
        <f t="shared" si="189"/>
        <v>0</v>
      </c>
      <c r="I188" s="789">
        <f t="shared" si="189"/>
        <v>0</v>
      </c>
      <c r="J188" s="789">
        <f t="shared" si="189"/>
        <v>0</v>
      </c>
      <c r="K188" s="788">
        <f t="shared" si="189"/>
        <v>0</v>
      </c>
      <c r="L188" s="780">
        <f t="shared" si="190"/>
        <v>0</v>
      </c>
      <c r="M188" s="779">
        <f t="shared" si="190"/>
        <v>0</v>
      </c>
      <c r="N188" s="778">
        <f t="shared" si="190"/>
        <v>0</v>
      </c>
      <c r="O188" s="778">
        <f t="shared" si="190"/>
        <v>0</v>
      </c>
      <c r="P188" s="778">
        <f t="shared" si="190"/>
        <v>0</v>
      </c>
      <c r="Q188" s="778">
        <f t="shared" si="190"/>
        <v>0</v>
      </c>
      <c r="R188" s="778">
        <f t="shared" si="190"/>
        <v>0</v>
      </c>
      <c r="S188" s="778">
        <f t="shared" si="190"/>
        <v>0</v>
      </c>
      <c r="T188" s="787">
        <f t="shared" ref="T188" si="194">SUM(H188:R188)</f>
        <v>0</v>
      </c>
      <c r="U188" s="787"/>
      <c r="V188" s="786">
        <f t="shared" ref="V188" si="195">IF(F188&gt;0,G188/F188,0)</f>
        <v>0</v>
      </c>
      <c r="W188" s="785">
        <f t="shared" ref="W188" si="196">IF(F188&gt;0,T188/F188,0)</f>
        <v>0</v>
      </c>
    </row>
    <row r="189" spans="2:23">
      <c r="B189" s="792"/>
      <c r="C189" s="791"/>
      <c r="D189" s="784" t="s">
        <v>2193</v>
      </c>
      <c r="E189" s="791"/>
      <c r="F189" s="789">
        <f t="shared" si="187"/>
        <v>0</v>
      </c>
      <c r="G189" s="790">
        <f t="shared" si="188"/>
        <v>0</v>
      </c>
      <c r="H189" s="780">
        <f t="shared" si="189"/>
        <v>0</v>
      </c>
      <c r="I189" s="789">
        <f t="shared" si="189"/>
        <v>0</v>
      </c>
      <c r="J189" s="789">
        <f t="shared" si="189"/>
        <v>0</v>
      </c>
      <c r="K189" s="788">
        <f t="shared" si="189"/>
        <v>0</v>
      </c>
      <c r="L189" s="780">
        <f t="shared" si="190"/>
        <v>0</v>
      </c>
      <c r="M189" s="779">
        <f t="shared" si="190"/>
        <v>0</v>
      </c>
      <c r="N189" s="778">
        <f t="shared" si="190"/>
        <v>0</v>
      </c>
      <c r="O189" s="778">
        <f t="shared" si="190"/>
        <v>0</v>
      </c>
      <c r="P189" s="778">
        <f t="shared" si="190"/>
        <v>0</v>
      </c>
      <c r="Q189" s="778">
        <f t="shared" si="190"/>
        <v>0</v>
      </c>
      <c r="R189" s="778">
        <f t="shared" si="190"/>
        <v>0</v>
      </c>
      <c r="S189" s="778">
        <f t="shared" si="190"/>
        <v>0</v>
      </c>
      <c r="T189" s="787">
        <f t="shared" si="191"/>
        <v>0</v>
      </c>
      <c r="U189" s="787"/>
      <c r="V189" s="786">
        <f t="shared" si="192"/>
        <v>0</v>
      </c>
      <c r="W189" s="785">
        <f t="shared" si="193"/>
        <v>0</v>
      </c>
    </row>
    <row r="190" spans="2:23">
      <c r="B190" s="792"/>
      <c r="C190" s="791"/>
      <c r="D190" s="784" t="s">
        <v>2295</v>
      </c>
      <c r="E190" s="791"/>
      <c r="F190" s="789">
        <f t="shared" si="187"/>
        <v>0</v>
      </c>
      <c r="G190" s="790">
        <f t="shared" si="188"/>
        <v>0</v>
      </c>
      <c r="H190" s="780">
        <f t="shared" si="189"/>
        <v>0</v>
      </c>
      <c r="I190" s="789">
        <f t="shared" si="189"/>
        <v>0</v>
      </c>
      <c r="J190" s="789">
        <f t="shared" si="189"/>
        <v>0</v>
      </c>
      <c r="K190" s="788">
        <f t="shared" si="189"/>
        <v>0</v>
      </c>
      <c r="L190" s="780">
        <f t="shared" si="190"/>
        <v>0</v>
      </c>
      <c r="M190" s="779">
        <f t="shared" si="190"/>
        <v>0</v>
      </c>
      <c r="N190" s="778">
        <f t="shared" si="190"/>
        <v>0</v>
      </c>
      <c r="O190" s="778">
        <f t="shared" si="190"/>
        <v>0</v>
      </c>
      <c r="P190" s="778">
        <f t="shared" si="190"/>
        <v>0</v>
      </c>
      <c r="Q190" s="778">
        <f t="shared" si="190"/>
        <v>0</v>
      </c>
      <c r="R190" s="778">
        <f t="shared" si="190"/>
        <v>0</v>
      </c>
      <c r="S190" s="778">
        <f t="shared" si="190"/>
        <v>0</v>
      </c>
      <c r="T190" s="787">
        <f t="shared" si="191"/>
        <v>0</v>
      </c>
      <c r="U190" s="787"/>
      <c r="V190" s="786">
        <f t="shared" si="192"/>
        <v>0</v>
      </c>
      <c r="W190" s="785">
        <f t="shared" si="193"/>
        <v>0</v>
      </c>
    </row>
    <row r="191" spans="2:23">
      <c r="B191" s="792"/>
      <c r="C191" s="791"/>
      <c r="D191" s="784" t="s">
        <v>2296</v>
      </c>
      <c r="E191" s="791"/>
      <c r="F191" s="789">
        <f t="shared" si="187"/>
        <v>0</v>
      </c>
      <c r="G191" s="790">
        <f t="shared" si="188"/>
        <v>0</v>
      </c>
      <c r="H191" s="780">
        <f t="shared" si="189"/>
        <v>0</v>
      </c>
      <c r="I191" s="789">
        <f t="shared" si="189"/>
        <v>0</v>
      </c>
      <c r="J191" s="789">
        <f t="shared" si="189"/>
        <v>0</v>
      </c>
      <c r="K191" s="788">
        <f t="shared" si="189"/>
        <v>0</v>
      </c>
      <c r="L191" s="780">
        <f t="shared" si="190"/>
        <v>0</v>
      </c>
      <c r="M191" s="779">
        <f t="shared" si="190"/>
        <v>0</v>
      </c>
      <c r="N191" s="778">
        <f t="shared" si="190"/>
        <v>0</v>
      </c>
      <c r="O191" s="778">
        <f t="shared" si="190"/>
        <v>0</v>
      </c>
      <c r="P191" s="778">
        <f t="shared" si="190"/>
        <v>0</v>
      </c>
      <c r="Q191" s="778">
        <f t="shared" si="190"/>
        <v>0</v>
      </c>
      <c r="R191" s="778">
        <f t="shared" si="190"/>
        <v>0</v>
      </c>
      <c r="S191" s="778">
        <f t="shared" si="190"/>
        <v>0</v>
      </c>
      <c r="T191" s="787">
        <f t="shared" si="191"/>
        <v>0</v>
      </c>
      <c r="U191" s="787"/>
      <c r="V191" s="786">
        <f t="shared" si="192"/>
        <v>0</v>
      </c>
      <c r="W191" s="785">
        <f t="shared" si="193"/>
        <v>0</v>
      </c>
    </row>
    <row r="192" spans="2:23">
      <c r="B192" s="792"/>
      <c r="C192" s="791"/>
      <c r="D192" s="784" t="s">
        <v>2298</v>
      </c>
      <c r="E192" s="791"/>
      <c r="F192" s="789">
        <f t="shared" si="187"/>
        <v>0</v>
      </c>
      <c r="G192" s="790">
        <f t="shared" si="188"/>
        <v>0</v>
      </c>
      <c r="H192" s="780">
        <f t="shared" si="189"/>
        <v>0</v>
      </c>
      <c r="I192" s="789">
        <f t="shared" si="189"/>
        <v>0</v>
      </c>
      <c r="J192" s="789">
        <f t="shared" si="189"/>
        <v>0</v>
      </c>
      <c r="K192" s="788">
        <f t="shared" si="189"/>
        <v>0</v>
      </c>
      <c r="L192" s="780">
        <f t="shared" si="190"/>
        <v>0</v>
      </c>
      <c r="M192" s="779">
        <f t="shared" si="190"/>
        <v>0</v>
      </c>
      <c r="N192" s="778">
        <f t="shared" si="190"/>
        <v>0</v>
      </c>
      <c r="O192" s="778">
        <f t="shared" si="190"/>
        <v>0</v>
      </c>
      <c r="P192" s="778">
        <f t="shared" si="190"/>
        <v>0</v>
      </c>
      <c r="Q192" s="778">
        <f t="shared" si="190"/>
        <v>0</v>
      </c>
      <c r="R192" s="778">
        <f t="shared" si="190"/>
        <v>0</v>
      </c>
      <c r="S192" s="778">
        <f t="shared" si="190"/>
        <v>0</v>
      </c>
      <c r="T192" s="787">
        <f t="shared" ref="T192:T195" si="197">SUM(H192:R192)</f>
        <v>0</v>
      </c>
      <c r="U192" s="787"/>
      <c r="V192" s="786">
        <f t="shared" ref="V192:V195" si="198">IF(F192&gt;0,G192/F192,0)</f>
        <v>0</v>
      </c>
      <c r="W192" s="785">
        <f t="shared" ref="W192:W195" si="199">IF(F192&gt;0,T192/F192,0)</f>
        <v>0</v>
      </c>
    </row>
    <row r="193" spans="2:23">
      <c r="B193" s="792"/>
      <c r="C193" s="791"/>
      <c r="D193" s="784" t="s">
        <v>2294</v>
      </c>
      <c r="E193" s="791"/>
      <c r="F193" s="789">
        <f t="shared" si="187"/>
        <v>1.19</v>
      </c>
      <c r="G193" s="790">
        <f t="shared" si="188"/>
        <v>19.950000000000003</v>
      </c>
      <c r="H193" s="780">
        <f t="shared" si="189"/>
        <v>0</v>
      </c>
      <c r="I193" s="789">
        <f t="shared" si="189"/>
        <v>128.87932500000002</v>
      </c>
      <c r="J193" s="789">
        <f t="shared" si="189"/>
        <v>0</v>
      </c>
      <c r="K193" s="788">
        <f t="shared" si="189"/>
        <v>0</v>
      </c>
      <c r="L193" s="780">
        <f t="shared" si="190"/>
        <v>0</v>
      </c>
      <c r="M193" s="779">
        <f t="shared" si="190"/>
        <v>0</v>
      </c>
      <c r="N193" s="778">
        <f t="shared" si="190"/>
        <v>173.85891840000002</v>
      </c>
      <c r="O193" s="778">
        <f t="shared" si="190"/>
        <v>0</v>
      </c>
      <c r="P193" s="778">
        <f t="shared" si="190"/>
        <v>0</v>
      </c>
      <c r="Q193" s="778">
        <f t="shared" si="190"/>
        <v>0</v>
      </c>
      <c r="R193" s="778">
        <f t="shared" si="190"/>
        <v>0</v>
      </c>
      <c r="S193" s="778">
        <f t="shared" si="190"/>
        <v>0</v>
      </c>
      <c r="T193" s="787">
        <f t="shared" si="197"/>
        <v>302.73824340000004</v>
      </c>
      <c r="U193" s="787"/>
      <c r="V193" s="786">
        <f t="shared" si="198"/>
        <v>16.764705882352946</v>
      </c>
      <c r="W193" s="785">
        <f t="shared" si="199"/>
        <v>254.40188521008409</v>
      </c>
    </row>
    <row r="194" spans="2:23">
      <c r="B194" s="792"/>
      <c r="C194" s="791"/>
      <c r="D194" s="784" t="s">
        <v>2299</v>
      </c>
      <c r="E194" s="791"/>
      <c r="F194" s="789">
        <f t="shared" si="187"/>
        <v>0</v>
      </c>
      <c r="G194" s="790">
        <f t="shared" si="188"/>
        <v>0</v>
      </c>
      <c r="H194" s="780">
        <f t="shared" si="189"/>
        <v>0</v>
      </c>
      <c r="I194" s="789">
        <f t="shared" si="189"/>
        <v>0</v>
      </c>
      <c r="J194" s="789">
        <f t="shared" si="189"/>
        <v>0</v>
      </c>
      <c r="K194" s="788">
        <f t="shared" si="189"/>
        <v>0</v>
      </c>
      <c r="L194" s="780">
        <f t="shared" si="190"/>
        <v>0</v>
      </c>
      <c r="M194" s="779">
        <f t="shared" si="190"/>
        <v>0</v>
      </c>
      <c r="N194" s="778">
        <f t="shared" si="190"/>
        <v>0</v>
      </c>
      <c r="O194" s="778">
        <f t="shared" si="190"/>
        <v>0</v>
      </c>
      <c r="P194" s="778">
        <f t="shared" si="190"/>
        <v>0</v>
      </c>
      <c r="Q194" s="778">
        <f t="shared" si="190"/>
        <v>0</v>
      </c>
      <c r="R194" s="778">
        <f t="shared" si="190"/>
        <v>0</v>
      </c>
      <c r="S194" s="778">
        <f t="shared" si="190"/>
        <v>0</v>
      </c>
      <c r="T194" s="787">
        <f t="shared" si="197"/>
        <v>0</v>
      </c>
      <c r="U194" s="787"/>
      <c r="V194" s="786">
        <f t="shared" si="198"/>
        <v>0</v>
      </c>
      <c r="W194" s="785">
        <f t="shared" si="199"/>
        <v>0</v>
      </c>
    </row>
    <row r="195" spans="2:23">
      <c r="B195" s="792"/>
      <c r="C195" s="791"/>
      <c r="D195" s="784" t="s">
        <v>2300</v>
      </c>
      <c r="E195" s="791"/>
      <c r="F195" s="789">
        <f t="shared" si="187"/>
        <v>0</v>
      </c>
      <c r="G195" s="790">
        <f t="shared" si="188"/>
        <v>0</v>
      </c>
      <c r="H195" s="780">
        <f t="shared" si="189"/>
        <v>0</v>
      </c>
      <c r="I195" s="789">
        <f t="shared" si="189"/>
        <v>0</v>
      </c>
      <c r="J195" s="789">
        <f t="shared" si="189"/>
        <v>0</v>
      </c>
      <c r="K195" s="788">
        <f t="shared" si="189"/>
        <v>0</v>
      </c>
      <c r="L195" s="780">
        <f t="shared" si="190"/>
        <v>0</v>
      </c>
      <c r="M195" s="779">
        <f t="shared" si="190"/>
        <v>0</v>
      </c>
      <c r="N195" s="778">
        <f t="shared" si="190"/>
        <v>0</v>
      </c>
      <c r="O195" s="778">
        <f t="shared" si="190"/>
        <v>0</v>
      </c>
      <c r="P195" s="778">
        <f t="shared" si="190"/>
        <v>0</v>
      </c>
      <c r="Q195" s="778">
        <f t="shared" si="190"/>
        <v>0</v>
      </c>
      <c r="R195" s="778">
        <f t="shared" si="190"/>
        <v>0</v>
      </c>
      <c r="S195" s="778">
        <f t="shared" si="190"/>
        <v>0</v>
      </c>
      <c r="T195" s="787">
        <f t="shared" si="197"/>
        <v>0</v>
      </c>
      <c r="U195" s="787"/>
      <c r="V195" s="786">
        <f t="shared" si="198"/>
        <v>0</v>
      </c>
      <c r="W195" s="785">
        <f t="shared" si="199"/>
        <v>0</v>
      </c>
    </row>
    <row r="196" spans="2:23">
      <c r="B196" s="792"/>
      <c r="C196" s="791"/>
      <c r="D196" s="784" t="s">
        <v>2301</v>
      </c>
      <c r="E196" s="791"/>
      <c r="F196" s="789">
        <f t="shared" si="187"/>
        <v>0</v>
      </c>
      <c r="G196" s="790">
        <f t="shared" si="188"/>
        <v>0</v>
      </c>
      <c r="H196" s="780">
        <f t="shared" si="189"/>
        <v>0</v>
      </c>
      <c r="I196" s="789">
        <f t="shared" si="189"/>
        <v>0</v>
      </c>
      <c r="J196" s="789">
        <f t="shared" si="189"/>
        <v>0</v>
      </c>
      <c r="K196" s="788">
        <f t="shared" si="189"/>
        <v>0</v>
      </c>
      <c r="L196" s="780">
        <f t="shared" si="190"/>
        <v>0</v>
      </c>
      <c r="M196" s="779">
        <f t="shared" si="190"/>
        <v>0</v>
      </c>
      <c r="N196" s="778">
        <f t="shared" si="190"/>
        <v>0</v>
      </c>
      <c r="O196" s="778">
        <f t="shared" si="190"/>
        <v>0</v>
      </c>
      <c r="P196" s="778">
        <f t="shared" si="190"/>
        <v>0</v>
      </c>
      <c r="Q196" s="778">
        <f t="shared" si="190"/>
        <v>0</v>
      </c>
      <c r="R196" s="778">
        <f t="shared" si="190"/>
        <v>0</v>
      </c>
      <c r="S196" s="778">
        <f t="shared" si="190"/>
        <v>0</v>
      </c>
      <c r="T196" s="787">
        <f t="shared" si="191"/>
        <v>0</v>
      </c>
      <c r="U196" s="787"/>
      <c r="V196" s="786">
        <f t="shared" si="192"/>
        <v>0</v>
      </c>
      <c r="W196" s="785">
        <f t="shared" si="193"/>
        <v>0</v>
      </c>
    </row>
    <row r="197" spans="2:23">
      <c r="B197" s="792"/>
      <c r="C197" s="791"/>
      <c r="D197" s="784" t="s">
        <v>2297</v>
      </c>
      <c r="E197" s="791"/>
      <c r="F197" s="789">
        <f t="shared" si="187"/>
        <v>0</v>
      </c>
      <c r="G197" s="790">
        <f t="shared" si="188"/>
        <v>0</v>
      </c>
      <c r="H197" s="780">
        <f t="shared" si="189"/>
        <v>0</v>
      </c>
      <c r="I197" s="789">
        <f t="shared" si="189"/>
        <v>0</v>
      </c>
      <c r="J197" s="789">
        <f t="shared" si="189"/>
        <v>0</v>
      </c>
      <c r="K197" s="788">
        <f t="shared" si="189"/>
        <v>0</v>
      </c>
      <c r="L197" s="780">
        <f t="shared" si="190"/>
        <v>0</v>
      </c>
      <c r="M197" s="779">
        <f t="shared" si="190"/>
        <v>0</v>
      </c>
      <c r="N197" s="778">
        <f t="shared" si="190"/>
        <v>0</v>
      </c>
      <c r="O197" s="778">
        <f t="shared" si="190"/>
        <v>0</v>
      </c>
      <c r="P197" s="778">
        <f t="shared" si="190"/>
        <v>0</v>
      </c>
      <c r="Q197" s="778">
        <f t="shared" si="190"/>
        <v>0</v>
      </c>
      <c r="R197" s="778">
        <f t="shared" si="190"/>
        <v>0</v>
      </c>
      <c r="S197" s="778">
        <f t="shared" si="190"/>
        <v>0</v>
      </c>
      <c r="T197" s="787">
        <f t="shared" si="191"/>
        <v>0</v>
      </c>
      <c r="U197" s="787"/>
      <c r="V197" s="786">
        <f t="shared" si="192"/>
        <v>0</v>
      </c>
      <c r="W197" s="785">
        <f t="shared" si="193"/>
        <v>0</v>
      </c>
    </row>
    <row r="198" spans="2:23">
      <c r="B198" s="792"/>
      <c r="C198" s="791"/>
      <c r="D198" s="784" t="s">
        <v>2293</v>
      </c>
      <c r="E198" s="791"/>
      <c r="F198" s="789">
        <f t="shared" si="187"/>
        <v>2.38</v>
      </c>
      <c r="G198" s="790">
        <f t="shared" si="188"/>
        <v>37.520000000000003</v>
      </c>
      <c r="H198" s="780">
        <f t="shared" si="189"/>
        <v>0</v>
      </c>
      <c r="I198" s="789">
        <f t="shared" si="189"/>
        <v>242.70372</v>
      </c>
      <c r="J198" s="789">
        <f t="shared" si="189"/>
        <v>0</v>
      </c>
      <c r="K198" s="788">
        <f t="shared" si="189"/>
        <v>0</v>
      </c>
      <c r="L198" s="780">
        <f t="shared" si="190"/>
        <v>0</v>
      </c>
      <c r="M198" s="779">
        <f t="shared" si="190"/>
        <v>0</v>
      </c>
      <c r="N198" s="778">
        <f t="shared" si="190"/>
        <v>278.17426944000005</v>
      </c>
      <c r="O198" s="778">
        <f t="shared" si="190"/>
        <v>0</v>
      </c>
      <c r="P198" s="778">
        <f t="shared" si="190"/>
        <v>0</v>
      </c>
      <c r="Q198" s="778">
        <f t="shared" si="190"/>
        <v>0</v>
      </c>
      <c r="R198" s="778">
        <f t="shared" si="190"/>
        <v>0</v>
      </c>
      <c r="S198" s="778">
        <f t="shared" si="190"/>
        <v>0</v>
      </c>
      <c r="T198" s="787">
        <f t="shared" si="191"/>
        <v>520.87798944000008</v>
      </c>
      <c r="U198" s="787"/>
      <c r="V198" s="786">
        <f t="shared" si="192"/>
        <v>15.764705882352944</v>
      </c>
      <c r="W198" s="785">
        <f t="shared" si="193"/>
        <v>218.85629808403365</v>
      </c>
    </row>
    <row r="199" spans="2:23">
      <c r="B199" s="792"/>
      <c r="C199" s="791"/>
      <c r="D199" s="784" t="s">
        <v>2292</v>
      </c>
      <c r="E199" s="791"/>
      <c r="F199" s="789">
        <f t="shared" si="187"/>
        <v>0</v>
      </c>
      <c r="G199" s="790">
        <f t="shared" si="188"/>
        <v>0</v>
      </c>
      <c r="H199" s="780">
        <f t="shared" si="189"/>
        <v>0</v>
      </c>
      <c r="I199" s="789">
        <f t="shared" si="189"/>
        <v>0</v>
      </c>
      <c r="J199" s="789">
        <f t="shared" si="189"/>
        <v>0</v>
      </c>
      <c r="K199" s="788">
        <f t="shared" si="189"/>
        <v>0</v>
      </c>
      <c r="L199" s="780">
        <f t="shared" si="190"/>
        <v>0</v>
      </c>
      <c r="M199" s="779">
        <f t="shared" si="190"/>
        <v>0</v>
      </c>
      <c r="N199" s="778">
        <f t="shared" si="190"/>
        <v>0</v>
      </c>
      <c r="O199" s="778">
        <f t="shared" si="190"/>
        <v>0</v>
      </c>
      <c r="P199" s="778">
        <f t="shared" si="190"/>
        <v>0</v>
      </c>
      <c r="Q199" s="778">
        <f t="shared" si="190"/>
        <v>0</v>
      </c>
      <c r="R199" s="778">
        <f t="shared" si="190"/>
        <v>0</v>
      </c>
      <c r="S199" s="778">
        <f t="shared" si="190"/>
        <v>0</v>
      </c>
      <c r="T199" s="787">
        <f t="shared" si="191"/>
        <v>0</v>
      </c>
      <c r="U199" s="787"/>
      <c r="V199" s="786">
        <f t="shared" si="192"/>
        <v>0</v>
      </c>
      <c r="W199" s="785">
        <f t="shared" si="193"/>
        <v>0</v>
      </c>
    </row>
    <row r="200" spans="2:23" ht="12" thickBot="1">
      <c r="B200" s="784"/>
      <c r="C200" s="783"/>
      <c r="D200" s="784"/>
      <c r="E200" s="783"/>
      <c r="F200" s="778"/>
      <c r="G200" s="782"/>
      <c r="H200" s="780"/>
      <c r="I200" s="778"/>
      <c r="J200" s="778"/>
      <c r="K200" s="781"/>
      <c r="L200" s="780"/>
      <c r="M200" s="779"/>
      <c r="N200" s="778"/>
      <c r="O200" s="778"/>
      <c r="P200" s="778"/>
      <c r="Q200" s="778"/>
      <c r="R200" s="778"/>
      <c r="S200" s="778"/>
    </row>
    <row r="201" spans="2:23" ht="12.75" thickTop="1" thickBot="1">
      <c r="B201" s="777" t="s">
        <v>2218</v>
      </c>
      <c r="C201" s="776"/>
      <c r="D201" s="776"/>
      <c r="E201" s="775"/>
      <c r="F201" s="770">
        <f t="shared" ref="F201:S201" si="200">SUM(F185:F200)</f>
        <v>7.665</v>
      </c>
      <c r="G201" s="774">
        <f t="shared" si="200"/>
        <v>138.66999999999999</v>
      </c>
      <c r="H201" s="772">
        <f t="shared" si="200"/>
        <v>0</v>
      </c>
      <c r="I201" s="770">
        <f t="shared" si="200"/>
        <v>896.22454499999992</v>
      </c>
      <c r="J201" s="770">
        <f t="shared" si="200"/>
        <v>0</v>
      </c>
      <c r="K201" s="773">
        <f t="shared" si="200"/>
        <v>0</v>
      </c>
      <c r="L201" s="772">
        <f t="shared" si="200"/>
        <v>0</v>
      </c>
      <c r="M201" s="771">
        <f t="shared" si="200"/>
        <v>0</v>
      </c>
      <c r="N201" s="770">
        <f t="shared" si="200"/>
        <v>1199.1530649600002</v>
      </c>
      <c r="O201" s="770">
        <f t="shared" si="200"/>
        <v>0</v>
      </c>
      <c r="P201" s="770">
        <f t="shared" si="200"/>
        <v>0</v>
      </c>
      <c r="Q201" s="770">
        <f t="shared" si="200"/>
        <v>0</v>
      </c>
      <c r="R201" s="769">
        <f t="shared" si="200"/>
        <v>0</v>
      </c>
      <c r="S201" s="769">
        <f t="shared" si="200"/>
        <v>0</v>
      </c>
      <c r="T201" s="769">
        <f>SUM(T186:T200)</f>
        <v>2095.3776099600004</v>
      </c>
      <c r="U201" s="768"/>
    </row>
    <row r="202" spans="2:23" ht="12" thickTop="1">
      <c r="B202" s="767"/>
      <c r="C202" s="764"/>
      <c r="D202" s="767"/>
      <c r="E202" s="764"/>
      <c r="F202" s="763"/>
      <c r="G202" s="767"/>
      <c r="H202" s="765"/>
      <c r="I202" s="763"/>
      <c r="J202" s="763"/>
      <c r="K202" s="766"/>
      <c r="L202" s="765"/>
      <c r="M202" s="764"/>
      <c r="N202" s="763"/>
      <c r="O202" s="763"/>
      <c r="P202" s="763"/>
      <c r="Q202" s="763"/>
      <c r="R202" s="763"/>
      <c r="S202" s="763"/>
    </row>
    <row r="203" spans="2:23">
      <c r="B203" s="797" t="s">
        <v>137</v>
      </c>
      <c r="C203" s="794"/>
      <c r="D203" s="797"/>
      <c r="E203" s="794"/>
      <c r="F203" s="793"/>
      <c r="G203" s="797"/>
      <c r="H203" s="795"/>
      <c r="I203" s="793"/>
      <c r="J203" s="793"/>
      <c r="K203" s="796"/>
      <c r="L203" s="795"/>
      <c r="M203" s="794"/>
      <c r="N203" s="793"/>
      <c r="O203" s="793"/>
      <c r="P203" s="793"/>
      <c r="Q203" s="793"/>
      <c r="R203" s="793"/>
      <c r="S203" s="793"/>
    </row>
    <row r="204" spans="2:23">
      <c r="B204" s="792"/>
      <c r="C204" s="791"/>
      <c r="D204" s="784" t="s">
        <v>2302</v>
      </c>
      <c r="E204" s="791"/>
      <c r="F204" s="789">
        <f t="shared" ref="F204:F217" si="201">SUMIFS($AO$15:$AO$140,$B$15:$B$140,$B$203,$D$15:$D$140,$D204)</f>
        <v>0.312</v>
      </c>
      <c r="G204" s="790">
        <f t="shared" ref="G204:G217" si="202">SUMIFS($AT$15:$AT$140,$B$15:$B$140,$B$203,$D$15:$D$140,$D204)</f>
        <v>6.3600000000000012</v>
      </c>
      <c r="H204" s="780">
        <f t="shared" ref="H204:K217" si="203">SUMIFS($AR$15:$AR$140,$B$15:$B$140,$B$203,$D$15:$D$140,$D204,$AD$15:$AD$140,H$147)+SUMIFS($AS$15:$AS$140,$B$15:$B$140,$B$203,$D$15:$D$140,$D204,$AI$15:$AI$140,H$147)</f>
        <v>0</v>
      </c>
      <c r="I204" s="789">
        <f t="shared" si="203"/>
        <v>42.723450000000007</v>
      </c>
      <c r="J204" s="789">
        <f t="shared" si="203"/>
        <v>0</v>
      </c>
      <c r="K204" s="788">
        <f t="shared" si="203"/>
        <v>0</v>
      </c>
      <c r="L204" s="780">
        <f t="shared" ref="L204:S217" si="204">SUMIFS($AP$15:$AP$140,$B$15:$B$140,$B$203,$D$15:$D$140,$D204,$O$15:$O$140,L$147)+SUMIFS($AQ$15:$AQ$140,$B$15:$B$140,$B$203,$D$15:$D$140,$D204,$W$15:$W$140,L$147)</f>
        <v>0</v>
      </c>
      <c r="M204" s="779">
        <f t="shared" si="204"/>
        <v>0</v>
      </c>
      <c r="N204" s="778">
        <f t="shared" si="204"/>
        <v>103.04644608000001</v>
      </c>
      <c r="O204" s="778">
        <f t="shared" si="204"/>
        <v>0</v>
      </c>
      <c r="P204" s="778">
        <f t="shared" si="204"/>
        <v>0</v>
      </c>
      <c r="Q204" s="778">
        <f t="shared" si="204"/>
        <v>0</v>
      </c>
      <c r="R204" s="778">
        <f t="shared" si="204"/>
        <v>0</v>
      </c>
      <c r="S204" s="778">
        <f t="shared" si="204"/>
        <v>0</v>
      </c>
      <c r="T204" s="787">
        <f t="shared" ref="T204:T217" si="205">SUM(H204:R204)</f>
        <v>145.76989608000002</v>
      </c>
      <c r="U204" s="787"/>
      <c r="V204" s="786">
        <f t="shared" ref="V204:V217" si="206">IF(F204&gt;0,G204/F204,0)</f>
        <v>20.384615384615387</v>
      </c>
      <c r="W204" s="785">
        <f t="shared" ref="W204:W217" si="207">IF(F204&gt;0,T204/F204,0)</f>
        <v>467.21120538461548</v>
      </c>
    </row>
    <row r="205" spans="2:23">
      <c r="B205" s="792"/>
      <c r="C205" s="791"/>
      <c r="D205" s="784" t="s">
        <v>2303</v>
      </c>
      <c r="E205" s="791"/>
      <c r="F205" s="789">
        <f t="shared" si="201"/>
        <v>0</v>
      </c>
      <c r="G205" s="790">
        <f t="shared" si="202"/>
        <v>0</v>
      </c>
      <c r="H205" s="780">
        <f t="shared" si="203"/>
        <v>0</v>
      </c>
      <c r="I205" s="789">
        <f t="shared" si="203"/>
        <v>0</v>
      </c>
      <c r="J205" s="789">
        <f t="shared" si="203"/>
        <v>0</v>
      </c>
      <c r="K205" s="788">
        <f t="shared" si="203"/>
        <v>0</v>
      </c>
      <c r="L205" s="780">
        <f t="shared" si="204"/>
        <v>0</v>
      </c>
      <c r="M205" s="779">
        <f t="shared" si="204"/>
        <v>0</v>
      </c>
      <c r="N205" s="778">
        <f t="shared" si="204"/>
        <v>0</v>
      </c>
      <c r="O205" s="778">
        <f t="shared" si="204"/>
        <v>0</v>
      </c>
      <c r="P205" s="778">
        <f t="shared" si="204"/>
        <v>0</v>
      </c>
      <c r="Q205" s="778">
        <f t="shared" si="204"/>
        <v>0</v>
      </c>
      <c r="R205" s="778">
        <f t="shared" si="204"/>
        <v>0</v>
      </c>
      <c r="S205" s="778">
        <f t="shared" si="204"/>
        <v>0</v>
      </c>
      <c r="T205" s="787">
        <f t="shared" si="205"/>
        <v>0</v>
      </c>
      <c r="U205" s="787"/>
      <c r="V205" s="786">
        <f t="shared" si="206"/>
        <v>0</v>
      </c>
      <c r="W205" s="785">
        <f t="shared" si="207"/>
        <v>0</v>
      </c>
    </row>
    <row r="206" spans="2:23">
      <c r="B206" s="792"/>
      <c r="C206" s="791"/>
      <c r="D206" s="784" t="s">
        <v>2337</v>
      </c>
      <c r="E206" s="791"/>
      <c r="F206" s="789">
        <f t="shared" si="201"/>
        <v>0</v>
      </c>
      <c r="G206" s="790">
        <f t="shared" si="202"/>
        <v>0</v>
      </c>
      <c r="H206" s="780">
        <f t="shared" si="203"/>
        <v>0</v>
      </c>
      <c r="I206" s="789">
        <f t="shared" si="203"/>
        <v>0</v>
      </c>
      <c r="J206" s="789">
        <f t="shared" si="203"/>
        <v>0</v>
      </c>
      <c r="K206" s="788">
        <f t="shared" si="203"/>
        <v>0</v>
      </c>
      <c r="L206" s="780">
        <f t="shared" si="204"/>
        <v>0</v>
      </c>
      <c r="M206" s="779">
        <f t="shared" si="204"/>
        <v>0</v>
      </c>
      <c r="N206" s="778">
        <f t="shared" si="204"/>
        <v>0</v>
      </c>
      <c r="O206" s="778">
        <f t="shared" si="204"/>
        <v>0</v>
      </c>
      <c r="P206" s="778">
        <f t="shared" si="204"/>
        <v>0</v>
      </c>
      <c r="Q206" s="778">
        <f t="shared" si="204"/>
        <v>0</v>
      </c>
      <c r="R206" s="778">
        <f t="shared" si="204"/>
        <v>0</v>
      </c>
      <c r="S206" s="778">
        <f t="shared" si="204"/>
        <v>0</v>
      </c>
      <c r="T206" s="787">
        <f>SUM(H206:R206)</f>
        <v>0</v>
      </c>
      <c r="U206" s="787"/>
      <c r="V206" s="786">
        <f>IF(F206&gt;0,G206/F206,0)</f>
        <v>0</v>
      </c>
      <c r="W206" s="785">
        <f t="shared" ref="W206" si="208">IF(F206&gt;0,T206/F206,0)</f>
        <v>0</v>
      </c>
    </row>
    <row r="207" spans="2:23">
      <c r="B207" s="792"/>
      <c r="C207" s="791"/>
      <c r="D207" s="784" t="s">
        <v>2193</v>
      </c>
      <c r="E207" s="791"/>
      <c r="F207" s="789">
        <f t="shared" si="201"/>
        <v>0</v>
      </c>
      <c r="G207" s="790">
        <f t="shared" si="202"/>
        <v>0</v>
      </c>
      <c r="H207" s="780">
        <f t="shared" si="203"/>
        <v>0</v>
      </c>
      <c r="I207" s="789">
        <f t="shared" si="203"/>
        <v>0</v>
      </c>
      <c r="J207" s="789">
        <f t="shared" si="203"/>
        <v>0</v>
      </c>
      <c r="K207" s="788">
        <f t="shared" si="203"/>
        <v>0</v>
      </c>
      <c r="L207" s="780">
        <f t="shared" si="204"/>
        <v>0</v>
      </c>
      <c r="M207" s="779">
        <f t="shared" si="204"/>
        <v>0</v>
      </c>
      <c r="N207" s="778">
        <f t="shared" si="204"/>
        <v>0</v>
      </c>
      <c r="O207" s="778">
        <f t="shared" si="204"/>
        <v>0</v>
      </c>
      <c r="P207" s="778">
        <f t="shared" si="204"/>
        <v>0</v>
      </c>
      <c r="Q207" s="778">
        <f t="shared" si="204"/>
        <v>0</v>
      </c>
      <c r="R207" s="778">
        <f t="shared" si="204"/>
        <v>0</v>
      </c>
      <c r="S207" s="778">
        <f t="shared" si="204"/>
        <v>0</v>
      </c>
      <c r="T207" s="787">
        <f>SUM(H207:R207)</f>
        <v>0</v>
      </c>
      <c r="U207" s="787"/>
      <c r="V207" s="786">
        <f>IF(F207&gt;0,G207/F207,0)</f>
        <v>0</v>
      </c>
      <c r="W207" s="785">
        <f t="shared" si="207"/>
        <v>0</v>
      </c>
    </row>
    <row r="208" spans="2:23">
      <c r="B208" s="792"/>
      <c r="C208" s="791"/>
      <c r="D208" s="784" t="s">
        <v>2295</v>
      </c>
      <c r="E208" s="791"/>
      <c r="F208" s="789">
        <f t="shared" si="201"/>
        <v>0</v>
      </c>
      <c r="G208" s="790">
        <f t="shared" si="202"/>
        <v>0</v>
      </c>
      <c r="H208" s="780">
        <f t="shared" si="203"/>
        <v>0</v>
      </c>
      <c r="I208" s="789">
        <f t="shared" si="203"/>
        <v>0</v>
      </c>
      <c r="J208" s="789">
        <f t="shared" si="203"/>
        <v>0</v>
      </c>
      <c r="K208" s="788">
        <f t="shared" si="203"/>
        <v>0</v>
      </c>
      <c r="L208" s="780">
        <f t="shared" si="204"/>
        <v>0</v>
      </c>
      <c r="M208" s="779">
        <f t="shared" si="204"/>
        <v>0</v>
      </c>
      <c r="N208" s="778">
        <f t="shared" si="204"/>
        <v>0</v>
      </c>
      <c r="O208" s="778">
        <f t="shared" si="204"/>
        <v>0</v>
      </c>
      <c r="P208" s="778">
        <f t="shared" si="204"/>
        <v>0</v>
      </c>
      <c r="Q208" s="778">
        <f t="shared" si="204"/>
        <v>0</v>
      </c>
      <c r="R208" s="778">
        <f t="shared" si="204"/>
        <v>0</v>
      </c>
      <c r="S208" s="778">
        <f t="shared" si="204"/>
        <v>0</v>
      </c>
      <c r="T208" s="787">
        <f t="shared" ref="T208:T209" si="209">SUM(H208:R208)</f>
        <v>0</v>
      </c>
      <c r="U208" s="787"/>
      <c r="V208" s="786">
        <f t="shared" ref="V208:V209" si="210">IF(F208&gt;0,G208/F208,0)</f>
        <v>0</v>
      </c>
      <c r="W208" s="785">
        <f t="shared" si="207"/>
        <v>0</v>
      </c>
    </row>
    <row r="209" spans="2:23">
      <c r="B209" s="792"/>
      <c r="C209" s="791"/>
      <c r="D209" s="784" t="s">
        <v>2296</v>
      </c>
      <c r="E209" s="791"/>
      <c r="F209" s="789">
        <f t="shared" si="201"/>
        <v>0</v>
      </c>
      <c r="G209" s="790">
        <f t="shared" si="202"/>
        <v>0</v>
      </c>
      <c r="H209" s="780">
        <f t="shared" si="203"/>
        <v>0</v>
      </c>
      <c r="I209" s="789">
        <f t="shared" si="203"/>
        <v>0</v>
      </c>
      <c r="J209" s="789">
        <f t="shared" si="203"/>
        <v>0</v>
      </c>
      <c r="K209" s="788">
        <f t="shared" si="203"/>
        <v>0</v>
      </c>
      <c r="L209" s="780">
        <f t="shared" si="204"/>
        <v>0</v>
      </c>
      <c r="M209" s="779">
        <f t="shared" si="204"/>
        <v>0</v>
      </c>
      <c r="N209" s="778">
        <f t="shared" si="204"/>
        <v>0</v>
      </c>
      <c r="O209" s="778">
        <f t="shared" si="204"/>
        <v>0</v>
      </c>
      <c r="P209" s="778">
        <f t="shared" si="204"/>
        <v>0</v>
      </c>
      <c r="Q209" s="778">
        <f t="shared" si="204"/>
        <v>0</v>
      </c>
      <c r="R209" s="778">
        <f t="shared" si="204"/>
        <v>0</v>
      </c>
      <c r="S209" s="778">
        <f t="shared" si="204"/>
        <v>0</v>
      </c>
      <c r="T209" s="787">
        <f t="shared" si="209"/>
        <v>0</v>
      </c>
      <c r="U209" s="787"/>
      <c r="V209" s="786">
        <f t="shared" si="210"/>
        <v>0</v>
      </c>
      <c r="W209" s="785">
        <f t="shared" si="207"/>
        <v>0</v>
      </c>
    </row>
    <row r="210" spans="2:23">
      <c r="B210" s="792"/>
      <c r="C210" s="791"/>
      <c r="D210" s="784" t="s">
        <v>2298</v>
      </c>
      <c r="E210" s="791"/>
      <c r="F210" s="789">
        <f t="shared" si="201"/>
        <v>0</v>
      </c>
      <c r="G210" s="790">
        <f t="shared" si="202"/>
        <v>0</v>
      </c>
      <c r="H210" s="780">
        <f t="shared" si="203"/>
        <v>0</v>
      </c>
      <c r="I210" s="789">
        <f t="shared" si="203"/>
        <v>0</v>
      </c>
      <c r="J210" s="789">
        <f t="shared" si="203"/>
        <v>0</v>
      </c>
      <c r="K210" s="788">
        <f t="shared" si="203"/>
        <v>0</v>
      </c>
      <c r="L210" s="780">
        <f t="shared" si="204"/>
        <v>0</v>
      </c>
      <c r="M210" s="779">
        <f t="shared" si="204"/>
        <v>0</v>
      </c>
      <c r="N210" s="778">
        <f t="shared" si="204"/>
        <v>0</v>
      </c>
      <c r="O210" s="778">
        <f t="shared" si="204"/>
        <v>0</v>
      </c>
      <c r="P210" s="778">
        <f t="shared" si="204"/>
        <v>0</v>
      </c>
      <c r="Q210" s="778">
        <f t="shared" si="204"/>
        <v>0</v>
      </c>
      <c r="R210" s="778">
        <f t="shared" si="204"/>
        <v>0</v>
      </c>
      <c r="S210" s="778">
        <f t="shared" si="204"/>
        <v>0</v>
      </c>
      <c r="T210" s="787">
        <f t="shared" ref="T210" si="211">SUM(H210:R210)</f>
        <v>0</v>
      </c>
      <c r="U210" s="787"/>
      <c r="V210" s="786">
        <f t="shared" ref="V210" si="212">IF(F210&gt;0,G210/F210,0)</f>
        <v>0</v>
      </c>
      <c r="W210" s="785">
        <f t="shared" ref="W210:W213" si="213">IF(F210&gt;0,T210/F210,0)</f>
        <v>0</v>
      </c>
    </row>
    <row r="211" spans="2:23">
      <c r="B211" s="792"/>
      <c r="C211" s="791"/>
      <c r="D211" s="784" t="s">
        <v>2294</v>
      </c>
      <c r="E211" s="791"/>
      <c r="F211" s="789">
        <f t="shared" si="201"/>
        <v>0</v>
      </c>
      <c r="G211" s="790">
        <f t="shared" si="202"/>
        <v>0</v>
      </c>
      <c r="H211" s="780">
        <f t="shared" si="203"/>
        <v>0</v>
      </c>
      <c r="I211" s="789">
        <f t="shared" si="203"/>
        <v>0</v>
      </c>
      <c r="J211" s="789">
        <f t="shared" si="203"/>
        <v>0</v>
      </c>
      <c r="K211" s="788">
        <f t="shared" si="203"/>
        <v>0</v>
      </c>
      <c r="L211" s="780">
        <f t="shared" si="204"/>
        <v>0</v>
      </c>
      <c r="M211" s="779">
        <f t="shared" si="204"/>
        <v>0</v>
      </c>
      <c r="N211" s="778">
        <f t="shared" si="204"/>
        <v>0</v>
      </c>
      <c r="O211" s="778">
        <f t="shared" si="204"/>
        <v>0</v>
      </c>
      <c r="P211" s="778">
        <f t="shared" si="204"/>
        <v>0</v>
      </c>
      <c r="Q211" s="778">
        <f t="shared" si="204"/>
        <v>0</v>
      </c>
      <c r="R211" s="778">
        <f t="shared" si="204"/>
        <v>0</v>
      </c>
      <c r="S211" s="778">
        <f t="shared" si="204"/>
        <v>0</v>
      </c>
      <c r="T211" s="787">
        <f>SUM(H211:R211)</f>
        <v>0</v>
      </c>
      <c r="U211" s="787"/>
      <c r="V211" s="786">
        <f>IF(F211&gt;0,G211/F211,0)</f>
        <v>0</v>
      </c>
      <c r="W211" s="785">
        <f t="shared" si="213"/>
        <v>0</v>
      </c>
    </row>
    <row r="212" spans="2:23">
      <c r="B212" s="792"/>
      <c r="C212" s="791"/>
      <c r="D212" s="784" t="s">
        <v>2299</v>
      </c>
      <c r="E212" s="791"/>
      <c r="F212" s="789">
        <f t="shared" si="201"/>
        <v>0</v>
      </c>
      <c r="G212" s="790">
        <f t="shared" si="202"/>
        <v>0</v>
      </c>
      <c r="H212" s="780">
        <f t="shared" si="203"/>
        <v>0</v>
      </c>
      <c r="I212" s="789">
        <f t="shared" si="203"/>
        <v>0</v>
      </c>
      <c r="J212" s="789">
        <f t="shared" si="203"/>
        <v>0</v>
      </c>
      <c r="K212" s="788">
        <f t="shared" si="203"/>
        <v>0</v>
      </c>
      <c r="L212" s="780">
        <f t="shared" si="204"/>
        <v>0</v>
      </c>
      <c r="M212" s="779">
        <f t="shared" si="204"/>
        <v>0</v>
      </c>
      <c r="N212" s="778">
        <f t="shared" si="204"/>
        <v>0</v>
      </c>
      <c r="O212" s="778">
        <f t="shared" si="204"/>
        <v>0</v>
      </c>
      <c r="P212" s="778">
        <f t="shared" si="204"/>
        <v>0</v>
      </c>
      <c r="Q212" s="778">
        <f t="shared" si="204"/>
        <v>0</v>
      </c>
      <c r="R212" s="778">
        <f t="shared" si="204"/>
        <v>0</v>
      </c>
      <c r="S212" s="778">
        <f t="shared" si="204"/>
        <v>0</v>
      </c>
      <c r="T212" s="787">
        <f t="shared" ref="T212:T213" si="214">SUM(H212:R212)</f>
        <v>0</v>
      </c>
      <c r="U212" s="787"/>
      <c r="V212" s="786">
        <f t="shared" ref="V212:V213" si="215">IF(F212&gt;0,G212/F212,0)</f>
        <v>0</v>
      </c>
      <c r="W212" s="785">
        <f t="shared" si="213"/>
        <v>0</v>
      </c>
    </row>
    <row r="213" spans="2:23">
      <c r="B213" s="792"/>
      <c r="C213" s="791"/>
      <c r="D213" s="784" t="s">
        <v>2300</v>
      </c>
      <c r="E213" s="791"/>
      <c r="F213" s="789">
        <f t="shared" si="201"/>
        <v>0</v>
      </c>
      <c r="G213" s="790">
        <f t="shared" si="202"/>
        <v>0</v>
      </c>
      <c r="H213" s="780">
        <f t="shared" si="203"/>
        <v>0</v>
      </c>
      <c r="I213" s="789">
        <f t="shared" si="203"/>
        <v>0</v>
      </c>
      <c r="J213" s="789">
        <f t="shared" si="203"/>
        <v>0</v>
      </c>
      <c r="K213" s="788">
        <f t="shared" si="203"/>
        <v>0</v>
      </c>
      <c r="L213" s="780">
        <f t="shared" si="204"/>
        <v>0</v>
      </c>
      <c r="M213" s="779">
        <f t="shared" si="204"/>
        <v>0</v>
      </c>
      <c r="N213" s="778">
        <f t="shared" si="204"/>
        <v>0</v>
      </c>
      <c r="O213" s="778">
        <f t="shared" si="204"/>
        <v>0</v>
      </c>
      <c r="P213" s="778">
        <f t="shared" si="204"/>
        <v>0</v>
      </c>
      <c r="Q213" s="778">
        <f t="shared" si="204"/>
        <v>0</v>
      </c>
      <c r="R213" s="778">
        <f t="shared" si="204"/>
        <v>0</v>
      </c>
      <c r="S213" s="778">
        <f t="shared" si="204"/>
        <v>0</v>
      </c>
      <c r="T213" s="787">
        <f t="shared" si="214"/>
        <v>0</v>
      </c>
      <c r="U213" s="787"/>
      <c r="V213" s="786">
        <f t="shared" si="215"/>
        <v>0</v>
      </c>
      <c r="W213" s="785">
        <f t="shared" si="213"/>
        <v>0</v>
      </c>
    </row>
    <row r="214" spans="2:23">
      <c r="B214" s="792"/>
      <c r="C214" s="791"/>
      <c r="D214" s="784" t="s">
        <v>2301</v>
      </c>
      <c r="E214" s="791"/>
      <c r="F214" s="789">
        <f t="shared" si="201"/>
        <v>0</v>
      </c>
      <c r="G214" s="790">
        <f t="shared" si="202"/>
        <v>0</v>
      </c>
      <c r="H214" s="780">
        <f t="shared" si="203"/>
        <v>0</v>
      </c>
      <c r="I214" s="789">
        <f t="shared" si="203"/>
        <v>0</v>
      </c>
      <c r="J214" s="789">
        <f t="shared" si="203"/>
        <v>0</v>
      </c>
      <c r="K214" s="788">
        <f t="shared" si="203"/>
        <v>0</v>
      </c>
      <c r="L214" s="780">
        <f t="shared" si="204"/>
        <v>0</v>
      </c>
      <c r="M214" s="779">
        <f t="shared" si="204"/>
        <v>0</v>
      </c>
      <c r="N214" s="778">
        <f t="shared" si="204"/>
        <v>0</v>
      </c>
      <c r="O214" s="778">
        <f t="shared" si="204"/>
        <v>0</v>
      </c>
      <c r="P214" s="778">
        <f t="shared" si="204"/>
        <v>0</v>
      </c>
      <c r="Q214" s="778">
        <f t="shared" si="204"/>
        <v>0</v>
      </c>
      <c r="R214" s="778">
        <f t="shared" si="204"/>
        <v>0</v>
      </c>
      <c r="S214" s="778">
        <f t="shared" si="204"/>
        <v>0</v>
      </c>
      <c r="T214" s="787">
        <f t="shared" si="205"/>
        <v>0</v>
      </c>
      <c r="U214" s="787"/>
      <c r="V214" s="786">
        <f t="shared" si="206"/>
        <v>0</v>
      </c>
      <c r="W214" s="785">
        <f t="shared" si="207"/>
        <v>0</v>
      </c>
    </row>
    <row r="215" spans="2:23">
      <c r="B215" s="792"/>
      <c r="C215" s="791"/>
      <c r="D215" s="784" t="s">
        <v>2297</v>
      </c>
      <c r="E215" s="791"/>
      <c r="F215" s="789">
        <f t="shared" si="201"/>
        <v>0</v>
      </c>
      <c r="G215" s="790">
        <f t="shared" si="202"/>
        <v>0</v>
      </c>
      <c r="H215" s="780">
        <f t="shared" si="203"/>
        <v>0</v>
      </c>
      <c r="I215" s="789">
        <f t="shared" si="203"/>
        <v>0</v>
      </c>
      <c r="J215" s="789">
        <f t="shared" si="203"/>
        <v>0</v>
      </c>
      <c r="K215" s="788">
        <f t="shared" si="203"/>
        <v>0</v>
      </c>
      <c r="L215" s="780">
        <f t="shared" si="204"/>
        <v>0</v>
      </c>
      <c r="M215" s="779">
        <f t="shared" si="204"/>
        <v>0</v>
      </c>
      <c r="N215" s="778">
        <f t="shared" si="204"/>
        <v>0</v>
      </c>
      <c r="O215" s="778">
        <f t="shared" si="204"/>
        <v>0</v>
      </c>
      <c r="P215" s="778">
        <f t="shared" si="204"/>
        <v>0</v>
      </c>
      <c r="Q215" s="778">
        <f t="shared" si="204"/>
        <v>0</v>
      </c>
      <c r="R215" s="778">
        <f t="shared" si="204"/>
        <v>0</v>
      </c>
      <c r="S215" s="778">
        <f t="shared" si="204"/>
        <v>0</v>
      </c>
      <c r="T215" s="787">
        <f>SUM(H215:R215)</f>
        <v>0</v>
      </c>
      <c r="U215" s="787"/>
      <c r="V215" s="786">
        <f>IF(F215&gt;0,G215/F215,0)</f>
        <v>0</v>
      </c>
      <c r="W215" s="785">
        <f t="shared" si="207"/>
        <v>0</v>
      </c>
    </row>
    <row r="216" spans="2:23">
      <c r="B216" s="792"/>
      <c r="C216" s="791"/>
      <c r="D216" s="784" t="s">
        <v>2293</v>
      </c>
      <c r="E216" s="791"/>
      <c r="F216" s="789">
        <f t="shared" si="201"/>
        <v>0</v>
      </c>
      <c r="G216" s="790">
        <f t="shared" si="202"/>
        <v>0</v>
      </c>
      <c r="H216" s="780">
        <f t="shared" si="203"/>
        <v>0</v>
      </c>
      <c r="I216" s="789">
        <f t="shared" si="203"/>
        <v>0</v>
      </c>
      <c r="J216" s="789">
        <f t="shared" si="203"/>
        <v>0</v>
      </c>
      <c r="K216" s="788">
        <f t="shared" si="203"/>
        <v>0</v>
      </c>
      <c r="L216" s="780">
        <f t="shared" si="204"/>
        <v>0</v>
      </c>
      <c r="M216" s="779">
        <f t="shared" si="204"/>
        <v>0</v>
      </c>
      <c r="N216" s="778">
        <f t="shared" si="204"/>
        <v>0</v>
      </c>
      <c r="O216" s="778">
        <f t="shared" si="204"/>
        <v>0</v>
      </c>
      <c r="P216" s="778">
        <f t="shared" si="204"/>
        <v>0</v>
      </c>
      <c r="Q216" s="778">
        <f t="shared" si="204"/>
        <v>0</v>
      </c>
      <c r="R216" s="778">
        <f t="shared" si="204"/>
        <v>0</v>
      </c>
      <c r="S216" s="778">
        <f t="shared" si="204"/>
        <v>0</v>
      </c>
      <c r="T216" s="787">
        <f t="shared" si="205"/>
        <v>0</v>
      </c>
      <c r="U216" s="787"/>
      <c r="V216" s="786">
        <f t="shared" si="206"/>
        <v>0</v>
      </c>
      <c r="W216" s="785">
        <f t="shared" si="207"/>
        <v>0</v>
      </c>
    </row>
    <row r="217" spans="2:23">
      <c r="B217" s="792"/>
      <c r="C217" s="791"/>
      <c r="D217" s="784" t="s">
        <v>2292</v>
      </c>
      <c r="E217" s="791"/>
      <c r="F217" s="789">
        <f t="shared" si="201"/>
        <v>0</v>
      </c>
      <c r="G217" s="790">
        <f t="shared" si="202"/>
        <v>0</v>
      </c>
      <c r="H217" s="780">
        <f t="shared" si="203"/>
        <v>0</v>
      </c>
      <c r="I217" s="789">
        <f t="shared" si="203"/>
        <v>0</v>
      </c>
      <c r="J217" s="789">
        <f t="shared" si="203"/>
        <v>0</v>
      </c>
      <c r="K217" s="788">
        <f t="shared" si="203"/>
        <v>0</v>
      </c>
      <c r="L217" s="780">
        <f t="shared" si="204"/>
        <v>0</v>
      </c>
      <c r="M217" s="779">
        <f t="shared" si="204"/>
        <v>0</v>
      </c>
      <c r="N217" s="778">
        <f t="shared" si="204"/>
        <v>0</v>
      </c>
      <c r="O217" s="778">
        <f t="shared" si="204"/>
        <v>0</v>
      </c>
      <c r="P217" s="778">
        <f t="shared" si="204"/>
        <v>0</v>
      </c>
      <c r="Q217" s="778">
        <f t="shared" si="204"/>
        <v>0</v>
      </c>
      <c r="R217" s="778">
        <f t="shared" si="204"/>
        <v>0</v>
      </c>
      <c r="S217" s="778">
        <f t="shared" si="204"/>
        <v>0</v>
      </c>
      <c r="T217" s="787">
        <f t="shared" si="205"/>
        <v>0</v>
      </c>
      <c r="U217" s="787"/>
      <c r="V217" s="786">
        <f t="shared" si="206"/>
        <v>0</v>
      </c>
      <c r="W217" s="785">
        <f t="shared" si="207"/>
        <v>0</v>
      </c>
    </row>
    <row r="218" spans="2:23" ht="12" thickBot="1">
      <c r="B218" s="784"/>
      <c r="C218" s="783"/>
      <c r="D218" s="784"/>
      <c r="E218" s="783"/>
      <c r="F218" s="778"/>
      <c r="G218" s="782"/>
      <c r="H218" s="780"/>
      <c r="I218" s="778"/>
      <c r="J218" s="778"/>
      <c r="K218" s="781"/>
      <c r="L218" s="780"/>
      <c r="M218" s="779"/>
      <c r="N218" s="778"/>
      <c r="O218" s="778"/>
      <c r="P218" s="778"/>
      <c r="Q218" s="778"/>
      <c r="R218" s="778"/>
      <c r="S218" s="778"/>
    </row>
    <row r="219" spans="2:23" ht="12.75" thickTop="1" thickBot="1">
      <c r="B219" s="777" t="s">
        <v>2217</v>
      </c>
      <c r="C219" s="776"/>
      <c r="D219" s="776"/>
      <c r="E219" s="775"/>
      <c r="F219" s="770">
        <f t="shared" ref="F219:S219" si="216">SUM(F203:F218)</f>
        <v>0.312</v>
      </c>
      <c r="G219" s="774">
        <f t="shared" si="216"/>
        <v>6.3600000000000012</v>
      </c>
      <c r="H219" s="772">
        <f t="shared" si="216"/>
        <v>0</v>
      </c>
      <c r="I219" s="770">
        <f t="shared" si="216"/>
        <v>42.723450000000007</v>
      </c>
      <c r="J219" s="770">
        <f t="shared" si="216"/>
        <v>0</v>
      </c>
      <c r="K219" s="773">
        <f t="shared" si="216"/>
        <v>0</v>
      </c>
      <c r="L219" s="772">
        <f t="shared" si="216"/>
        <v>0</v>
      </c>
      <c r="M219" s="771">
        <f t="shared" si="216"/>
        <v>0</v>
      </c>
      <c r="N219" s="770">
        <f t="shared" si="216"/>
        <v>103.04644608000001</v>
      </c>
      <c r="O219" s="770">
        <f t="shared" si="216"/>
        <v>0</v>
      </c>
      <c r="P219" s="770">
        <f t="shared" si="216"/>
        <v>0</v>
      </c>
      <c r="Q219" s="770">
        <f t="shared" si="216"/>
        <v>0</v>
      </c>
      <c r="R219" s="769">
        <f t="shared" si="216"/>
        <v>0</v>
      </c>
      <c r="S219" s="769">
        <f t="shared" si="216"/>
        <v>0</v>
      </c>
      <c r="T219" s="769">
        <f>SUM(T204:T218)</f>
        <v>145.76989608000002</v>
      </c>
      <c r="U219" s="768"/>
    </row>
    <row r="220" spans="2:23" ht="12.75" thickTop="1" thickBot="1">
      <c r="B220" s="767"/>
      <c r="C220" s="764"/>
      <c r="D220" s="767"/>
      <c r="E220" s="764"/>
      <c r="F220" s="763"/>
      <c r="G220" s="767"/>
      <c r="H220" s="765"/>
      <c r="I220" s="763"/>
      <c r="J220" s="763"/>
      <c r="K220" s="766"/>
      <c r="L220" s="765"/>
      <c r="M220" s="764"/>
      <c r="N220" s="763"/>
      <c r="O220" s="763"/>
      <c r="P220" s="763"/>
      <c r="Q220" s="763"/>
      <c r="R220" s="763"/>
      <c r="S220" s="763"/>
    </row>
    <row r="221" spans="2:23" ht="15.75" customHeight="1" thickBot="1">
      <c r="B221" s="762" t="s">
        <v>138</v>
      </c>
      <c r="C221" s="761"/>
      <c r="D221" s="761"/>
      <c r="E221" s="760"/>
      <c r="F221" s="756">
        <f t="shared" ref="F221:T221" si="217">SUM(F148:F220)/2</f>
        <v>51.805460725157111</v>
      </c>
      <c r="G221" s="759">
        <f t="shared" si="217"/>
        <v>770.10904290062842</v>
      </c>
      <c r="H221" s="758">
        <f t="shared" si="217"/>
        <v>0</v>
      </c>
      <c r="I221" s="756">
        <f t="shared" si="217"/>
        <v>5304.7837312113579</v>
      </c>
      <c r="J221" s="756">
        <f t="shared" si="217"/>
        <v>0</v>
      </c>
      <c r="K221" s="755">
        <f t="shared" si="217"/>
        <v>0</v>
      </c>
      <c r="L221" s="758">
        <f t="shared" si="217"/>
        <v>0</v>
      </c>
      <c r="M221" s="757">
        <f t="shared" si="217"/>
        <v>0</v>
      </c>
      <c r="N221" s="756">
        <f t="shared" si="217"/>
        <v>8117.671127040001</v>
      </c>
      <c r="O221" s="756">
        <f t="shared" si="217"/>
        <v>0</v>
      </c>
      <c r="P221" s="756">
        <f t="shared" si="217"/>
        <v>0</v>
      </c>
      <c r="Q221" s="756">
        <f t="shared" si="217"/>
        <v>0</v>
      </c>
      <c r="R221" s="755">
        <f t="shared" si="217"/>
        <v>0</v>
      </c>
      <c r="S221" s="755">
        <f t="shared" si="217"/>
        <v>0</v>
      </c>
      <c r="T221" s="755">
        <f t="shared" si="217"/>
        <v>13422.45485825136</v>
      </c>
      <c r="U221" s="754"/>
    </row>
    <row r="222" spans="2:23">
      <c r="B222" s="739"/>
      <c r="C222" s="739"/>
      <c r="D222" s="733" t="s">
        <v>257</v>
      </c>
      <c r="E222" s="733"/>
      <c r="F222" s="753">
        <f>F221-AO141</f>
        <v>0</v>
      </c>
      <c r="G222" s="753">
        <f>G221-AT141</f>
        <v>0</v>
      </c>
      <c r="H222" s="753">
        <f>SUM(H221:S221)-SUM(AP141:AS141)</f>
        <v>0</v>
      </c>
      <c r="I222" s="753"/>
      <c r="J222" s="753"/>
      <c r="K222" s="753"/>
      <c r="L222" s="753"/>
      <c r="M222" s="739"/>
      <c r="N222" s="739"/>
    </row>
    <row r="223" spans="2:23">
      <c r="G223" s="751" t="s">
        <v>126</v>
      </c>
      <c r="H223" s="752">
        <f>SUM(H221:R221)/F221</f>
        <v>259.09343668346759</v>
      </c>
      <c r="I223" s="751"/>
      <c r="J223" s="751"/>
      <c r="K223" s="751"/>
      <c r="L223" s="751"/>
    </row>
    <row r="224" spans="2:23">
      <c r="H224" s="750"/>
    </row>
    <row r="225" spans="8:8">
      <c r="H225" s="750"/>
    </row>
    <row r="226" spans="8:8">
      <c r="H226" s="750"/>
    </row>
  </sheetData>
  <autoFilter ref="A14:BA138">
    <sortState ref="A15:BA138">
      <sortCondition ref="C14:C138"/>
    </sortState>
  </autoFilter>
  <mergeCells count="38">
    <mergeCell ref="AP141:AQ141"/>
    <mergeCell ref="AL142:AO142"/>
    <mergeCell ref="AP142:AS142"/>
    <mergeCell ref="B146:C147"/>
    <mergeCell ref="F146:F147"/>
    <mergeCell ref="G146:G147"/>
    <mergeCell ref="H146:K146"/>
    <mergeCell ref="V146:W146"/>
    <mergeCell ref="L146:S146"/>
    <mergeCell ref="N11:U11"/>
    <mergeCell ref="V11:AC11"/>
    <mergeCell ref="AT11:AT12"/>
    <mergeCell ref="AU11:AV11"/>
    <mergeCell ref="N12:N13"/>
    <mergeCell ref="O12:O13"/>
    <mergeCell ref="V12:V13"/>
    <mergeCell ref="W12:W13"/>
    <mergeCell ref="AH11:AI12"/>
    <mergeCell ref="AJ11:AK12"/>
    <mergeCell ref="AL11:AL12"/>
    <mergeCell ref="AM11:AM12"/>
    <mergeCell ref="AP11:AS12"/>
    <mergeCell ref="AN11:AN12"/>
    <mergeCell ref="AO11:AO12"/>
    <mergeCell ref="AD11:AG12"/>
    <mergeCell ref="F3:M3"/>
    <mergeCell ref="F4:M4"/>
    <mergeCell ref="A11:A13"/>
    <mergeCell ref="B11:B13"/>
    <mergeCell ref="C11:C13"/>
    <mergeCell ref="D11:E13"/>
    <mergeCell ref="F11:F13"/>
    <mergeCell ref="G11:G13"/>
    <mergeCell ref="H11:H12"/>
    <mergeCell ref="I11:I12"/>
    <mergeCell ref="J11:J12"/>
    <mergeCell ref="K11:K12"/>
    <mergeCell ref="L11:M12"/>
  </mergeCells>
  <phoneticPr fontId="76" type="noConversion"/>
  <printOptions horizontalCentered="1"/>
  <pageMargins left="0" right="0" top="0.59055118110236204" bottom="0.511811023622047" header="0.23622047244094499" footer="0.23622047244094499"/>
  <pageSetup paperSize="9" orientation="landscape" r:id="rId1"/>
  <headerFooter alignWithMargins="0">
    <oddHeader>&amp;R&amp;D</oddHeader>
    <oddFooter>&amp;L&amp;8&amp;Z&amp;F&amp;R&amp;8DITA(REV.0)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48"/>
  <sheetViews>
    <sheetView zoomScale="70" zoomScaleNormal="70" workbookViewId="0">
      <pane xSplit="4" ySplit="14" topLeftCell="E54" activePane="bottomRight" state="frozen"/>
      <selection activeCell="A943" sqref="A943:XFD943"/>
      <selection pane="topRight" activeCell="A943" sqref="A943:XFD943"/>
      <selection pane="bottomLeft" activeCell="A943" sqref="A943:XFD943"/>
      <selection pane="bottomRight" activeCell="J39" sqref="J39"/>
    </sheetView>
  </sheetViews>
  <sheetFormatPr defaultColWidth="9.140625" defaultRowHeight="12.75"/>
  <cols>
    <col min="1" max="1" width="5.7109375" style="707" customWidth="1"/>
    <col min="2" max="2" width="17.28515625" style="707" customWidth="1"/>
    <col min="3" max="3" width="10.7109375" style="707" customWidth="1"/>
    <col min="4" max="4" width="22.140625" style="706" customWidth="1"/>
    <col min="5" max="11" width="9.85546875" style="706" customWidth="1"/>
    <col min="12" max="15" width="10" style="706" customWidth="1"/>
    <col min="16" max="16" width="7.7109375" style="706" customWidth="1"/>
    <col min="17" max="19" width="10.140625" style="706" customWidth="1"/>
    <col min="20" max="16384" width="9.140625" style="706"/>
  </cols>
  <sheetData>
    <row r="1" spans="1:31" ht="15.75">
      <c r="A1" s="2426" t="s">
        <v>314</v>
      </c>
      <c r="B1" s="2426"/>
      <c r="C1" s="2426"/>
      <c r="D1" s="2426"/>
      <c r="E1" s="2426"/>
      <c r="F1" s="2426"/>
      <c r="G1" s="2426"/>
      <c r="H1" s="2426"/>
      <c r="I1" s="2426"/>
      <c r="J1" s="2426"/>
      <c r="K1" s="2426"/>
      <c r="L1" s="2426"/>
      <c r="M1" s="2426"/>
      <c r="N1" s="2426"/>
      <c r="O1" s="2426"/>
      <c r="P1" s="2426"/>
      <c r="Q1" s="2426"/>
      <c r="R1" s="749"/>
      <c r="S1" s="749"/>
      <c r="W1" s="706" t="s">
        <v>313</v>
      </c>
      <c r="X1" s="706" t="s">
        <v>312</v>
      </c>
      <c r="Y1" s="706" t="s">
        <v>310</v>
      </c>
      <c r="Z1" s="706" t="s">
        <v>311</v>
      </c>
      <c r="AA1" s="706" t="s">
        <v>310</v>
      </c>
    </row>
    <row r="2" spans="1:31" ht="15.75">
      <c r="A2" s="749"/>
      <c r="B2" s="749"/>
      <c r="C2" s="749"/>
      <c r="D2" s="749"/>
      <c r="E2" s="749"/>
      <c r="F2" s="749"/>
      <c r="G2" s="749"/>
      <c r="H2" s="749"/>
      <c r="I2" s="749"/>
      <c r="J2" s="749"/>
      <c r="K2" s="749"/>
      <c r="L2" s="749"/>
      <c r="M2" s="749"/>
      <c r="N2" s="749"/>
      <c r="O2" s="749"/>
      <c r="P2" s="749"/>
      <c r="Q2" s="749"/>
      <c r="R2" s="749"/>
      <c r="S2" s="749"/>
      <c r="Y2" s="706" t="s">
        <v>309</v>
      </c>
    </row>
    <row r="3" spans="1:31" s="732" customFormat="1" ht="11.25">
      <c r="A3" s="732" t="s">
        <v>308</v>
      </c>
      <c r="E3" s="734" t="s">
        <v>110</v>
      </c>
      <c r="F3" s="2376" t="s">
        <v>2105</v>
      </c>
      <c r="G3" s="2376"/>
      <c r="H3" s="2376"/>
      <c r="I3" s="2376"/>
      <c r="J3" s="2376"/>
      <c r="K3" s="2376"/>
      <c r="L3" s="2376"/>
      <c r="M3" s="747"/>
      <c r="N3" s="747"/>
      <c r="O3" s="747"/>
      <c r="P3" s="747"/>
      <c r="R3" s="747"/>
    </row>
    <row r="4" spans="1:31" s="732" customFormat="1" ht="12.75" customHeight="1">
      <c r="A4" s="2427" t="s">
        <v>307</v>
      </c>
      <c r="B4" s="2427"/>
      <c r="C4" s="2427"/>
      <c r="D4" s="748"/>
      <c r="E4" s="734" t="s">
        <v>110</v>
      </c>
      <c r="F4" s="2376"/>
      <c r="G4" s="2376"/>
      <c r="H4" s="2376"/>
      <c r="I4" s="2376"/>
      <c r="J4" s="2376"/>
      <c r="K4" s="2376"/>
      <c r="L4" s="2376"/>
      <c r="M4" s="747"/>
      <c r="N4" s="747"/>
      <c r="O4" s="747"/>
      <c r="P4" s="747"/>
      <c r="Q4" s="706"/>
      <c r="R4" s="747"/>
      <c r="S4" s="706"/>
      <c r="T4" s="706"/>
      <c r="U4" s="706"/>
      <c r="V4" s="706"/>
      <c r="W4" s="706"/>
      <c r="X4" s="706"/>
      <c r="Y4" s="706"/>
      <c r="Z4" s="706"/>
      <c r="AA4" s="706"/>
      <c r="AB4" s="706"/>
      <c r="AC4" s="706"/>
      <c r="AE4" s="706"/>
    </row>
    <row r="5" spans="1:31" s="732" customFormat="1" ht="12.75" customHeight="1">
      <c r="A5" s="743" t="s">
        <v>306</v>
      </c>
      <c r="B5" s="743"/>
      <c r="C5" s="743"/>
      <c r="E5" s="707" t="s">
        <v>110</v>
      </c>
      <c r="F5" s="746">
        <v>6</v>
      </c>
      <c r="G5" s="742" t="s">
        <v>216</v>
      </c>
      <c r="H5" s="706"/>
      <c r="K5" s="732" t="s">
        <v>305</v>
      </c>
      <c r="M5" s="734" t="s">
        <v>110</v>
      </c>
      <c r="N5" s="745">
        <v>20</v>
      </c>
      <c r="O5" s="737" t="s">
        <v>4</v>
      </c>
      <c r="P5" s="744" t="s">
        <v>304</v>
      </c>
      <c r="Q5" s="732" t="s">
        <v>303</v>
      </c>
      <c r="R5" s="734" t="s">
        <v>110</v>
      </c>
      <c r="S5" s="736">
        <v>0</v>
      </c>
    </row>
    <row r="6" spans="1:31" s="732" customFormat="1" ht="12.75" customHeight="1">
      <c r="A6" s="743" t="s">
        <v>302</v>
      </c>
      <c r="B6" s="743"/>
      <c r="C6" s="743"/>
      <c r="E6" s="707" t="s">
        <v>110</v>
      </c>
      <c r="F6" s="738" t="s">
        <v>299</v>
      </c>
      <c r="G6" s="742"/>
      <c r="H6" s="706"/>
      <c r="K6" s="732" t="s">
        <v>301</v>
      </c>
      <c r="M6" s="734" t="s">
        <v>110</v>
      </c>
      <c r="N6" s="741">
        <v>43331</v>
      </c>
      <c r="O6" s="740"/>
      <c r="Q6" s="732" t="s">
        <v>99</v>
      </c>
      <c r="R6" s="734" t="s">
        <v>110</v>
      </c>
      <c r="S6" s="736">
        <v>0</v>
      </c>
    </row>
    <row r="7" spans="1:31" s="732" customFormat="1" ht="12.75" customHeight="1">
      <c r="A7" s="732" t="s">
        <v>300</v>
      </c>
      <c r="E7" s="734" t="s">
        <v>110</v>
      </c>
      <c r="F7" s="738" t="s">
        <v>299</v>
      </c>
      <c r="G7" s="737"/>
      <c r="Q7" s="732" t="s">
        <v>96</v>
      </c>
      <c r="R7" s="734" t="s">
        <v>110</v>
      </c>
      <c r="S7" s="736">
        <v>0</v>
      </c>
      <c r="Y7" s="734"/>
    </row>
    <row r="8" spans="1:31" s="732" customFormat="1" ht="12.75" customHeight="1">
      <c r="A8" s="732" t="s">
        <v>298</v>
      </c>
      <c r="B8" s="739"/>
      <c r="C8" s="739"/>
      <c r="E8" s="734" t="s">
        <v>110</v>
      </c>
      <c r="F8" s="738" t="s">
        <v>297</v>
      </c>
      <c r="G8" s="737"/>
      <c r="K8" s="734"/>
      <c r="L8" s="736"/>
      <c r="M8" s="735"/>
      <c r="Y8" s="734"/>
    </row>
    <row r="9" spans="1:31" s="732" customFormat="1" ht="12.75" customHeight="1">
      <c r="B9" s="739"/>
      <c r="C9" s="739"/>
      <c r="E9" s="734"/>
      <c r="F9" s="738"/>
      <c r="G9" s="737"/>
      <c r="K9" s="734"/>
      <c r="L9" s="736"/>
      <c r="M9" s="735"/>
      <c r="Y9" s="734"/>
    </row>
    <row r="10" spans="1:31" s="732" customFormat="1" ht="11.25">
      <c r="D10" s="733"/>
    </row>
    <row r="11" spans="1:31" ht="22.5" customHeight="1">
      <c r="A11" s="2428" t="s">
        <v>63</v>
      </c>
      <c r="B11" s="2428" t="s">
        <v>296</v>
      </c>
      <c r="C11" s="2428" t="s">
        <v>295</v>
      </c>
      <c r="D11" s="2431" t="s">
        <v>64</v>
      </c>
      <c r="E11" s="2434" t="s">
        <v>294</v>
      </c>
      <c r="F11" s="2435"/>
      <c r="G11" s="2436"/>
      <c r="H11" s="2440" t="s">
        <v>293</v>
      </c>
      <c r="I11" s="2441"/>
      <c r="J11" s="2445" t="s">
        <v>292</v>
      </c>
      <c r="K11" s="2446"/>
      <c r="L11" s="2449" t="s">
        <v>291</v>
      </c>
      <c r="M11" s="2451" t="s">
        <v>290</v>
      </c>
      <c r="N11" s="2452"/>
      <c r="O11" s="2453"/>
      <c r="P11" s="2451" t="s">
        <v>289</v>
      </c>
      <c r="Q11" s="2453"/>
      <c r="R11" s="2451" t="s">
        <v>288</v>
      </c>
      <c r="S11" s="2453"/>
      <c r="T11" s="2444" t="s">
        <v>287</v>
      </c>
      <c r="U11" s="2444" t="s">
        <v>286</v>
      </c>
    </row>
    <row r="12" spans="1:31" ht="22.5" customHeight="1">
      <c r="A12" s="2429"/>
      <c r="B12" s="2429"/>
      <c r="C12" s="2429"/>
      <c r="D12" s="2432"/>
      <c r="E12" s="2437"/>
      <c r="F12" s="2438"/>
      <c r="G12" s="2439"/>
      <c r="H12" s="2442"/>
      <c r="I12" s="2443"/>
      <c r="J12" s="2447"/>
      <c r="K12" s="2448"/>
      <c r="L12" s="2450"/>
      <c r="M12" s="2454"/>
      <c r="N12" s="2455"/>
      <c r="O12" s="2456"/>
      <c r="P12" s="2454"/>
      <c r="Q12" s="2456"/>
      <c r="R12" s="2454"/>
      <c r="S12" s="2456"/>
      <c r="T12" s="2444"/>
      <c r="U12" s="2444"/>
    </row>
    <row r="13" spans="1:31" ht="22.5" customHeight="1">
      <c r="A13" s="2430"/>
      <c r="B13" s="2430"/>
      <c r="C13" s="2430"/>
      <c r="D13" s="2433"/>
      <c r="E13" s="731" t="s">
        <v>285</v>
      </c>
      <c r="F13" s="731" t="s">
        <v>284</v>
      </c>
      <c r="G13" s="731" t="s">
        <v>283</v>
      </c>
      <c r="H13" s="730" t="s">
        <v>282</v>
      </c>
      <c r="I13" s="730" t="s">
        <v>276</v>
      </c>
      <c r="J13" s="729" t="s">
        <v>282</v>
      </c>
      <c r="K13" s="729" t="s">
        <v>281</v>
      </c>
      <c r="L13" s="727" t="s">
        <v>276</v>
      </c>
      <c r="M13" s="727" t="s">
        <v>280</v>
      </c>
      <c r="N13" s="727" t="s">
        <v>279</v>
      </c>
      <c r="O13" s="727" t="s">
        <v>278</v>
      </c>
      <c r="P13" s="728" t="s">
        <v>277</v>
      </c>
      <c r="Q13" s="727" t="s">
        <v>276</v>
      </c>
      <c r="R13" s="728" t="s">
        <v>277</v>
      </c>
      <c r="S13" s="727" t="s">
        <v>276</v>
      </c>
      <c r="T13" s="2444"/>
      <c r="U13" s="2444"/>
    </row>
    <row r="14" spans="1:31" ht="22.5" customHeight="1">
      <c r="A14" s="726"/>
      <c r="B14" s="726"/>
      <c r="C14" s="726"/>
      <c r="D14" s="725"/>
      <c r="E14" s="720"/>
      <c r="F14" s="717"/>
      <c r="G14" s="724"/>
      <c r="H14" s="723"/>
      <c r="I14" s="717"/>
      <c r="J14" s="722"/>
      <c r="K14" s="721"/>
      <c r="L14" s="720"/>
      <c r="M14" s="719"/>
      <c r="N14" s="719"/>
      <c r="O14" s="719"/>
      <c r="P14" s="718"/>
      <c r="Q14" s="717"/>
      <c r="R14" s="717"/>
      <c r="S14" s="717"/>
      <c r="T14" s="716"/>
      <c r="U14" s="715"/>
    </row>
    <row r="15" spans="1:31" ht="22.5" customHeight="1">
      <c r="A15" s="714"/>
      <c r="B15" s="714"/>
      <c r="C15" s="714"/>
      <c r="D15" s="714"/>
      <c r="E15" s="712"/>
      <c r="F15" s="709"/>
      <c r="G15" s="709"/>
      <c r="H15" s="712"/>
      <c r="I15" s="709"/>
      <c r="J15" s="713"/>
      <c r="K15" s="710"/>
      <c r="L15" s="712"/>
      <c r="M15" s="711"/>
      <c r="N15" s="711"/>
      <c r="O15" s="711"/>
      <c r="P15" s="710"/>
      <c r="Q15" s="709"/>
      <c r="R15" s="709"/>
      <c r="S15" s="709"/>
      <c r="T15" s="708"/>
      <c r="U15" s="708"/>
    </row>
    <row r="16" spans="1:31" ht="22.5" customHeight="1">
      <c r="A16" s="714">
        <v>1</v>
      </c>
      <c r="B16" s="714" t="s">
        <v>131</v>
      </c>
      <c r="C16" s="714"/>
      <c r="D16" s="714" t="s">
        <v>2292</v>
      </c>
      <c r="E16" s="712">
        <v>170</v>
      </c>
      <c r="F16" s="709">
        <v>600</v>
      </c>
      <c r="G16" s="1729">
        <f>4500-(-100)</f>
        <v>4600</v>
      </c>
      <c r="H16" s="712">
        <v>8</v>
      </c>
      <c r="I16" s="709">
        <v>16</v>
      </c>
      <c r="J16" s="713"/>
      <c r="K16" s="710"/>
      <c r="L16" s="712">
        <v>10</v>
      </c>
      <c r="M16" s="711">
        <v>100</v>
      </c>
      <c r="N16" s="711">
        <v>100</v>
      </c>
      <c r="O16" s="711">
        <v>100</v>
      </c>
      <c r="P16" s="710">
        <v>2</v>
      </c>
      <c r="Q16" s="709">
        <v>10</v>
      </c>
      <c r="R16" s="709"/>
      <c r="S16" s="709"/>
      <c r="T16" s="708"/>
      <c r="U16" s="708"/>
    </row>
    <row r="17" spans="1:21" ht="22.5" customHeight="1">
      <c r="A17" s="714">
        <v>2</v>
      </c>
      <c r="B17" s="714" t="s">
        <v>131</v>
      </c>
      <c r="C17" s="714"/>
      <c r="D17" s="714" t="s">
        <v>2292</v>
      </c>
      <c r="E17" s="712">
        <v>170</v>
      </c>
      <c r="F17" s="709">
        <v>600</v>
      </c>
      <c r="G17" s="1729">
        <f t="shared" ref="G17:G51" si="0">4500-(-100)</f>
        <v>4600</v>
      </c>
      <c r="H17" s="712">
        <v>8</v>
      </c>
      <c r="I17" s="709">
        <v>16</v>
      </c>
      <c r="J17" s="713"/>
      <c r="K17" s="710"/>
      <c r="L17" s="712">
        <v>10</v>
      </c>
      <c r="M17" s="711">
        <v>100</v>
      </c>
      <c r="N17" s="711">
        <v>100</v>
      </c>
      <c r="O17" s="711">
        <v>100</v>
      </c>
      <c r="P17" s="710">
        <v>2</v>
      </c>
      <c r="Q17" s="709">
        <v>10</v>
      </c>
      <c r="R17" s="709"/>
      <c r="S17" s="709"/>
      <c r="T17" s="708"/>
      <c r="U17" s="708"/>
    </row>
    <row r="18" spans="1:21" ht="22.5" customHeight="1">
      <c r="A18" s="714">
        <v>3</v>
      </c>
      <c r="B18" s="714" t="s">
        <v>131</v>
      </c>
      <c r="C18" s="714"/>
      <c r="D18" s="714" t="s">
        <v>2293</v>
      </c>
      <c r="E18" s="712">
        <v>170</v>
      </c>
      <c r="F18" s="709">
        <v>500</v>
      </c>
      <c r="G18" s="1729">
        <f t="shared" si="0"/>
        <v>4600</v>
      </c>
      <c r="H18" s="712">
        <v>6</v>
      </c>
      <c r="I18" s="709">
        <v>16</v>
      </c>
      <c r="J18" s="713"/>
      <c r="K18" s="710"/>
      <c r="L18" s="712">
        <v>10</v>
      </c>
      <c r="M18" s="711">
        <v>100</v>
      </c>
      <c r="N18" s="711">
        <v>100</v>
      </c>
      <c r="O18" s="711">
        <v>100</v>
      </c>
      <c r="P18" s="710"/>
      <c r="Q18" s="709"/>
      <c r="R18" s="709"/>
      <c r="S18" s="709"/>
      <c r="T18" s="708"/>
      <c r="U18" s="708"/>
    </row>
    <row r="19" spans="1:21" ht="22.5" customHeight="1">
      <c r="A19" s="714">
        <v>4</v>
      </c>
      <c r="B19" s="714" t="s">
        <v>131</v>
      </c>
      <c r="C19" s="714"/>
      <c r="D19" s="714" t="s">
        <v>2294</v>
      </c>
      <c r="E19" s="712">
        <v>170</v>
      </c>
      <c r="F19" s="709">
        <v>400</v>
      </c>
      <c r="G19" s="1729">
        <f>4500-(-1700)</f>
        <v>6200</v>
      </c>
      <c r="H19" s="712">
        <v>6</v>
      </c>
      <c r="I19" s="709">
        <v>16</v>
      </c>
      <c r="J19" s="713"/>
      <c r="K19" s="710"/>
      <c r="L19" s="712">
        <v>10</v>
      </c>
      <c r="M19" s="711">
        <v>100</v>
      </c>
      <c r="N19" s="711">
        <v>100</v>
      </c>
      <c r="O19" s="711">
        <v>100</v>
      </c>
      <c r="P19" s="710"/>
      <c r="Q19" s="709"/>
      <c r="R19" s="709"/>
      <c r="S19" s="709"/>
      <c r="T19" s="708"/>
      <c r="U19" s="708"/>
    </row>
    <row r="20" spans="1:21" ht="22.5" customHeight="1">
      <c r="A20" s="714">
        <v>5</v>
      </c>
      <c r="B20" s="714" t="s">
        <v>131</v>
      </c>
      <c r="C20" s="714"/>
      <c r="D20" s="714" t="s">
        <v>2294</v>
      </c>
      <c r="E20" s="712">
        <v>170</v>
      </c>
      <c r="F20" s="709">
        <v>400</v>
      </c>
      <c r="G20" s="1729">
        <f t="shared" ref="G20:G22" si="1">4500-(-1700)</f>
        <v>6200</v>
      </c>
      <c r="H20" s="712">
        <v>6</v>
      </c>
      <c r="I20" s="709">
        <v>16</v>
      </c>
      <c r="J20" s="713"/>
      <c r="K20" s="710"/>
      <c r="L20" s="712">
        <v>10</v>
      </c>
      <c r="M20" s="711">
        <v>100</v>
      </c>
      <c r="N20" s="711">
        <v>100</v>
      </c>
      <c r="O20" s="711">
        <v>100</v>
      </c>
      <c r="P20" s="710"/>
      <c r="Q20" s="709"/>
      <c r="R20" s="709"/>
      <c r="S20" s="709"/>
      <c r="T20" s="708"/>
      <c r="U20" s="708"/>
    </row>
    <row r="21" spans="1:21" ht="22.5" customHeight="1">
      <c r="A21" s="714">
        <v>6</v>
      </c>
      <c r="B21" s="714" t="s">
        <v>131</v>
      </c>
      <c r="C21" s="714"/>
      <c r="D21" s="714" t="s">
        <v>2294</v>
      </c>
      <c r="E21" s="712">
        <v>170</v>
      </c>
      <c r="F21" s="709">
        <v>400</v>
      </c>
      <c r="G21" s="1729">
        <f>4500-(-1700)</f>
        <v>6200</v>
      </c>
      <c r="H21" s="712">
        <v>6</v>
      </c>
      <c r="I21" s="709">
        <v>16</v>
      </c>
      <c r="J21" s="713"/>
      <c r="K21" s="710"/>
      <c r="L21" s="712">
        <v>10</v>
      </c>
      <c r="M21" s="711">
        <v>100</v>
      </c>
      <c r="N21" s="711">
        <v>100</v>
      </c>
      <c r="O21" s="711">
        <v>100</v>
      </c>
      <c r="P21" s="710"/>
      <c r="Q21" s="709"/>
      <c r="R21" s="709"/>
      <c r="S21" s="709"/>
      <c r="T21" s="708"/>
      <c r="U21" s="708"/>
    </row>
    <row r="22" spans="1:21" ht="22.5" customHeight="1">
      <c r="A22" s="714">
        <v>7</v>
      </c>
      <c r="B22" s="714" t="s">
        <v>131</v>
      </c>
      <c r="C22" s="714"/>
      <c r="D22" s="714" t="s">
        <v>2294</v>
      </c>
      <c r="E22" s="712">
        <v>170</v>
      </c>
      <c r="F22" s="709">
        <v>400</v>
      </c>
      <c r="G22" s="1729">
        <f t="shared" si="1"/>
        <v>6200</v>
      </c>
      <c r="H22" s="712">
        <v>6</v>
      </c>
      <c r="I22" s="709">
        <v>16</v>
      </c>
      <c r="J22" s="713"/>
      <c r="K22" s="710"/>
      <c r="L22" s="712">
        <v>10</v>
      </c>
      <c r="M22" s="711">
        <v>100</v>
      </c>
      <c r="N22" s="711">
        <v>100</v>
      </c>
      <c r="O22" s="711">
        <v>100</v>
      </c>
      <c r="P22" s="710"/>
      <c r="Q22" s="709"/>
      <c r="R22" s="709"/>
      <c r="S22" s="709"/>
      <c r="T22" s="708"/>
      <c r="U22" s="708"/>
    </row>
    <row r="23" spans="1:21" ht="22.5" customHeight="1">
      <c r="A23" s="714">
        <v>8</v>
      </c>
      <c r="B23" s="714" t="s">
        <v>131</v>
      </c>
      <c r="C23" s="714"/>
      <c r="D23" s="714" t="s">
        <v>2295</v>
      </c>
      <c r="E23" s="712">
        <v>200</v>
      </c>
      <c r="F23" s="709">
        <v>600</v>
      </c>
      <c r="G23" s="1729">
        <f t="shared" si="0"/>
        <v>4600</v>
      </c>
      <c r="H23" s="712">
        <v>10</v>
      </c>
      <c r="I23" s="709">
        <v>16</v>
      </c>
      <c r="J23" s="713"/>
      <c r="K23" s="710"/>
      <c r="L23" s="712">
        <v>10</v>
      </c>
      <c r="M23" s="711">
        <v>100</v>
      </c>
      <c r="N23" s="711">
        <v>100</v>
      </c>
      <c r="O23" s="711">
        <v>100</v>
      </c>
      <c r="P23" s="710"/>
      <c r="Q23" s="709"/>
      <c r="R23" s="709"/>
      <c r="S23" s="709"/>
      <c r="T23" s="708"/>
      <c r="U23" s="708"/>
    </row>
    <row r="24" spans="1:21" ht="22.5" customHeight="1">
      <c r="A24" s="714">
        <v>9</v>
      </c>
      <c r="B24" s="714" t="s">
        <v>131</v>
      </c>
      <c r="C24" s="714"/>
      <c r="D24" s="714" t="s">
        <v>2295</v>
      </c>
      <c r="E24" s="712">
        <v>200</v>
      </c>
      <c r="F24" s="709">
        <v>600</v>
      </c>
      <c r="G24" s="1729">
        <f t="shared" si="0"/>
        <v>4600</v>
      </c>
      <c r="H24" s="712">
        <v>10</v>
      </c>
      <c r="I24" s="709">
        <v>16</v>
      </c>
      <c r="J24" s="713"/>
      <c r="K24" s="710"/>
      <c r="L24" s="712">
        <v>10</v>
      </c>
      <c r="M24" s="711">
        <v>100</v>
      </c>
      <c r="N24" s="711">
        <v>100</v>
      </c>
      <c r="O24" s="711">
        <v>100</v>
      </c>
      <c r="P24" s="710"/>
      <c r="Q24" s="709"/>
      <c r="R24" s="709"/>
      <c r="S24" s="709"/>
      <c r="T24" s="708"/>
      <c r="U24" s="708"/>
    </row>
    <row r="25" spans="1:21" ht="22.5" customHeight="1">
      <c r="A25" s="714">
        <v>10</v>
      </c>
      <c r="B25" s="714" t="s">
        <v>131</v>
      </c>
      <c r="C25" s="714"/>
      <c r="D25" s="714" t="s">
        <v>2295</v>
      </c>
      <c r="E25" s="712">
        <v>200</v>
      </c>
      <c r="F25" s="709">
        <v>600</v>
      </c>
      <c r="G25" s="1729">
        <f t="shared" si="0"/>
        <v>4600</v>
      </c>
      <c r="H25" s="712">
        <v>10</v>
      </c>
      <c r="I25" s="709">
        <v>16</v>
      </c>
      <c r="J25" s="713"/>
      <c r="K25" s="710"/>
      <c r="L25" s="712">
        <v>10</v>
      </c>
      <c r="M25" s="711">
        <v>100</v>
      </c>
      <c r="N25" s="711">
        <v>100</v>
      </c>
      <c r="O25" s="711">
        <v>100</v>
      </c>
      <c r="P25" s="710"/>
      <c r="Q25" s="709"/>
      <c r="R25" s="709"/>
      <c r="S25" s="709"/>
      <c r="T25" s="708"/>
      <c r="U25" s="708"/>
    </row>
    <row r="26" spans="1:21" ht="22.5" customHeight="1">
      <c r="A26" s="714">
        <v>11</v>
      </c>
      <c r="B26" s="714" t="s">
        <v>131</v>
      </c>
      <c r="C26" s="714"/>
      <c r="D26" s="714" t="s">
        <v>2293</v>
      </c>
      <c r="E26" s="712">
        <v>170</v>
      </c>
      <c r="F26" s="709">
        <v>500</v>
      </c>
      <c r="G26" s="1729">
        <f t="shared" si="0"/>
        <v>4600</v>
      </c>
      <c r="H26" s="712">
        <v>6</v>
      </c>
      <c r="I26" s="709">
        <v>16</v>
      </c>
      <c r="J26" s="713"/>
      <c r="K26" s="710"/>
      <c r="L26" s="712">
        <v>10</v>
      </c>
      <c r="M26" s="711">
        <v>100</v>
      </c>
      <c r="N26" s="711">
        <v>100</v>
      </c>
      <c r="O26" s="711">
        <v>100</v>
      </c>
      <c r="P26" s="710"/>
      <c r="Q26" s="709"/>
      <c r="R26" s="709"/>
      <c r="S26" s="709"/>
      <c r="T26" s="708"/>
      <c r="U26" s="708"/>
    </row>
    <row r="27" spans="1:21" ht="22.5" customHeight="1">
      <c r="A27" s="714">
        <v>12</v>
      </c>
      <c r="B27" s="714" t="s">
        <v>131</v>
      </c>
      <c r="C27" s="714"/>
      <c r="D27" s="714" t="s">
        <v>2296</v>
      </c>
      <c r="E27" s="712">
        <v>250</v>
      </c>
      <c r="F27" s="709">
        <v>500</v>
      </c>
      <c r="G27" s="1729">
        <f t="shared" si="0"/>
        <v>4600</v>
      </c>
      <c r="H27" s="712">
        <v>8</v>
      </c>
      <c r="I27" s="709">
        <v>16</v>
      </c>
      <c r="J27" s="713"/>
      <c r="K27" s="710"/>
      <c r="L27" s="712">
        <v>10</v>
      </c>
      <c r="M27" s="711">
        <v>100</v>
      </c>
      <c r="N27" s="711">
        <v>100</v>
      </c>
      <c r="O27" s="711">
        <v>100</v>
      </c>
      <c r="P27" s="710">
        <v>1</v>
      </c>
      <c r="Q27" s="709">
        <v>10</v>
      </c>
      <c r="R27" s="709"/>
      <c r="S27" s="709"/>
      <c r="T27" s="708"/>
      <c r="U27" s="708"/>
    </row>
    <row r="28" spans="1:21" ht="22.5" customHeight="1">
      <c r="A28" s="714">
        <v>13</v>
      </c>
      <c r="B28" s="714" t="s">
        <v>131</v>
      </c>
      <c r="C28" s="714"/>
      <c r="D28" s="714" t="s">
        <v>2297</v>
      </c>
      <c r="E28" s="712">
        <v>250</v>
      </c>
      <c r="F28" s="709">
        <v>250</v>
      </c>
      <c r="G28" s="1729">
        <f t="shared" si="0"/>
        <v>4600</v>
      </c>
      <c r="H28" s="712">
        <v>6</v>
      </c>
      <c r="I28" s="709">
        <v>16</v>
      </c>
      <c r="J28" s="713"/>
      <c r="K28" s="710"/>
      <c r="L28" s="712">
        <v>10</v>
      </c>
      <c r="M28" s="711">
        <v>100</v>
      </c>
      <c r="N28" s="711">
        <v>100</v>
      </c>
      <c r="O28" s="711">
        <v>100</v>
      </c>
      <c r="P28" s="710"/>
      <c r="Q28" s="709"/>
      <c r="R28" s="709"/>
      <c r="S28" s="709"/>
      <c r="T28" s="708"/>
      <c r="U28" s="708"/>
    </row>
    <row r="29" spans="1:21" ht="22.5" customHeight="1">
      <c r="A29" s="714">
        <v>14</v>
      </c>
      <c r="B29" s="714" t="s">
        <v>131</v>
      </c>
      <c r="C29" s="714"/>
      <c r="D29" s="714" t="s">
        <v>2295</v>
      </c>
      <c r="E29" s="712">
        <v>200</v>
      </c>
      <c r="F29" s="709">
        <v>600</v>
      </c>
      <c r="G29" s="1729">
        <f>4500-(-750)</f>
        <v>5250</v>
      </c>
      <c r="H29" s="712">
        <v>10</v>
      </c>
      <c r="I29" s="709">
        <v>16</v>
      </c>
      <c r="J29" s="713"/>
      <c r="K29" s="710"/>
      <c r="L29" s="712">
        <v>10</v>
      </c>
      <c r="M29" s="711">
        <v>100</v>
      </c>
      <c r="N29" s="711">
        <v>100</v>
      </c>
      <c r="O29" s="711">
        <v>100</v>
      </c>
      <c r="P29" s="710"/>
      <c r="Q29" s="709"/>
      <c r="R29" s="709"/>
      <c r="S29" s="709"/>
      <c r="T29" s="708"/>
      <c r="U29" s="708"/>
    </row>
    <row r="30" spans="1:21" ht="22.5" customHeight="1">
      <c r="A30" s="714">
        <v>15</v>
      </c>
      <c r="B30" s="714" t="s">
        <v>131</v>
      </c>
      <c r="C30" s="714"/>
      <c r="D30" s="714" t="s">
        <v>2295</v>
      </c>
      <c r="E30" s="712">
        <v>200</v>
      </c>
      <c r="F30" s="709">
        <v>600</v>
      </c>
      <c r="G30" s="1729">
        <f t="shared" ref="G30:G32" si="2">4500-(-750)</f>
        <v>5250</v>
      </c>
      <c r="H30" s="712">
        <v>10</v>
      </c>
      <c r="I30" s="709">
        <v>16</v>
      </c>
      <c r="J30" s="713"/>
      <c r="K30" s="710"/>
      <c r="L30" s="712">
        <v>10</v>
      </c>
      <c r="M30" s="711">
        <v>100</v>
      </c>
      <c r="N30" s="711">
        <v>100</v>
      </c>
      <c r="O30" s="711">
        <v>100</v>
      </c>
      <c r="P30" s="710"/>
      <c r="Q30" s="709"/>
      <c r="R30" s="709"/>
      <c r="S30" s="709"/>
      <c r="T30" s="708"/>
      <c r="U30" s="708"/>
    </row>
    <row r="31" spans="1:21" ht="22.5" customHeight="1">
      <c r="A31" s="714">
        <v>16</v>
      </c>
      <c r="B31" s="714" t="s">
        <v>131</v>
      </c>
      <c r="C31" s="714"/>
      <c r="D31" s="714" t="s">
        <v>2295</v>
      </c>
      <c r="E31" s="712">
        <v>200</v>
      </c>
      <c r="F31" s="709">
        <v>600</v>
      </c>
      <c r="G31" s="1729">
        <f t="shared" si="2"/>
        <v>5250</v>
      </c>
      <c r="H31" s="712">
        <v>10</v>
      </c>
      <c r="I31" s="709">
        <v>16</v>
      </c>
      <c r="J31" s="713"/>
      <c r="K31" s="710"/>
      <c r="L31" s="712">
        <v>10</v>
      </c>
      <c r="M31" s="711">
        <v>100</v>
      </c>
      <c r="N31" s="711">
        <v>100</v>
      </c>
      <c r="O31" s="711">
        <v>100</v>
      </c>
      <c r="P31" s="710"/>
      <c r="Q31" s="709"/>
      <c r="R31" s="709"/>
      <c r="S31" s="709"/>
      <c r="T31" s="708"/>
      <c r="U31" s="708"/>
    </row>
    <row r="32" spans="1:21" ht="22.5" customHeight="1">
      <c r="A32" s="714">
        <v>17</v>
      </c>
      <c r="B32" s="714" t="s">
        <v>131</v>
      </c>
      <c r="C32" s="714"/>
      <c r="D32" s="714" t="s">
        <v>2295</v>
      </c>
      <c r="E32" s="712">
        <v>200</v>
      </c>
      <c r="F32" s="709">
        <v>600</v>
      </c>
      <c r="G32" s="1729">
        <f t="shared" si="2"/>
        <v>5250</v>
      </c>
      <c r="H32" s="712">
        <v>10</v>
      </c>
      <c r="I32" s="709">
        <v>16</v>
      </c>
      <c r="J32" s="713"/>
      <c r="K32" s="710"/>
      <c r="L32" s="712">
        <v>10</v>
      </c>
      <c r="M32" s="711">
        <v>100</v>
      </c>
      <c r="N32" s="711">
        <v>100</v>
      </c>
      <c r="O32" s="711">
        <v>100</v>
      </c>
      <c r="P32" s="710"/>
      <c r="Q32" s="709"/>
      <c r="R32" s="709"/>
      <c r="S32" s="709"/>
      <c r="T32" s="708"/>
      <c r="U32" s="708"/>
    </row>
    <row r="33" spans="1:21" ht="22.5" customHeight="1">
      <c r="A33" s="714">
        <v>18</v>
      </c>
      <c r="B33" s="714" t="s">
        <v>131</v>
      </c>
      <c r="C33" s="714"/>
      <c r="D33" s="714" t="s">
        <v>2293</v>
      </c>
      <c r="E33" s="712">
        <v>170</v>
      </c>
      <c r="F33" s="709">
        <v>500</v>
      </c>
      <c r="G33" s="1729">
        <f>4500-(-1500)</f>
        <v>6000</v>
      </c>
      <c r="H33" s="712">
        <v>6</v>
      </c>
      <c r="I33" s="709">
        <v>16</v>
      </c>
      <c r="J33" s="713"/>
      <c r="K33" s="710"/>
      <c r="L33" s="712">
        <v>10</v>
      </c>
      <c r="M33" s="711">
        <v>100</v>
      </c>
      <c r="N33" s="711">
        <v>100</v>
      </c>
      <c r="O33" s="711">
        <v>100</v>
      </c>
      <c r="P33" s="710"/>
      <c r="Q33" s="709"/>
      <c r="R33" s="709"/>
      <c r="S33" s="709"/>
      <c r="T33" s="708"/>
      <c r="U33" s="708"/>
    </row>
    <row r="34" spans="1:21" ht="22.5" customHeight="1">
      <c r="A34" s="714">
        <v>19</v>
      </c>
      <c r="B34" s="714" t="s">
        <v>131</v>
      </c>
      <c r="C34" s="714"/>
      <c r="D34" s="714" t="s">
        <v>2293</v>
      </c>
      <c r="E34" s="712">
        <v>170</v>
      </c>
      <c r="F34" s="709">
        <v>500</v>
      </c>
      <c r="G34" s="1729">
        <f>4500-(-1500)</f>
        <v>6000</v>
      </c>
      <c r="H34" s="712">
        <v>6</v>
      </c>
      <c r="I34" s="709">
        <v>16</v>
      </c>
      <c r="J34" s="713"/>
      <c r="K34" s="710"/>
      <c r="L34" s="712">
        <v>10</v>
      </c>
      <c r="M34" s="711">
        <v>100</v>
      </c>
      <c r="N34" s="711">
        <v>100</v>
      </c>
      <c r="O34" s="711">
        <v>100</v>
      </c>
      <c r="P34" s="710"/>
      <c r="Q34" s="709"/>
      <c r="R34" s="709"/>
      <c r="S34" s="709"/>
      <c r="T34" s="708"/>
      <c r="U34" s="708"/>
    </row>
    <row r="35" spans="1:21" ht="22.5" customHeight="1">
      <c r="A35" s="714">
        <v>20</v>
      </c>
      <c r="B35" s="714" t="s">
        <v>131</v>
      </c>
      <c r="C35" s="714"/>
      <c r="D35" s="714" t="s">
        <v>2298</v>
      </c>
      <c r="E35" s="712">
        <v>250</v>
      </c>
      <c r="F35" s="709">
        <v>600</v>
      </c>
      <c r="G35" s="1729">
        <f t="shared" si="0"/>
        <v>4600</v>
      </c>
      <c r="H35" s="712">
        <v>10</v>
      </c>
      <c r="I35" s="709">
        <v>16</v>
      </c>
      <c r="J35" s="713"/>
      <c r="K35" s="710"/>
      <c r="L35" s="712">
        <v>10</v>
      </c>
      <c r="M35" s="711">
        <v>100</v>
      </c>
      <c r="N35" s="711">
        <v>100</v>
      </c>
      <c r="O35" s="711">
        <v>100</v>
      </c>
      <c r="P35" s="710">
        <v>1</v>
      </c>
      <c r="Q35" s="709">
        <v>10</v>
      </c>
      <c r="R35" s="709"/>
      <c r="S35" s="709"/>
      <c r="T35" s="708"/>
      <c r="U35" s="708"/>
    </row>
    <row r="36" spans="1:21" ht="22.5" customHeight="1">
      <c r="A36" s="714">
        <v>21</v>
      </c>
      <c r="B36" s="714" t="s">
        <v>131</v>
      </c>
      <c r="C36" s="714"/>
      <c r="D36" s="714" t="s">
        <v>2293</v>
      </c>
      <c r="E36" s="712">
        <v>170</v>
      </c>
      <c r="F36" s="709">
        <v>500</v>
      </c>
      <c r="G36" s="1729">
        <f t="shared" ref="G36:G37" si="3">4500-(-1500)</f>
        <v>6000</v>
      </c>
      <c r="H36" s="712">
        <v>6</v>
      </c>
      <c r="I36" s="709">
        <v>16</v>
      </c>
      <c r="J36" s="713"/>
      <c r="K36" s="710"/>
      <c r="L36" s="712">
        <v>10</v>
      </c>
      <c r="M36" s="711">
        <v>100</v>
      </c>
      <c r="N36" s="711">
        <v>100</v>
      </c>
      <c r="O36" s="711">
        <v>100</v>
      </c>
      <c r="P36" s="710"/>
      <c r="Q36" s="709"/>
      <c r="R36" s="709"/>
      <c r="S36" s="709"/>
      <c r="T36" s="708"/>
      <c r="U36" s="708"/>
    </row>
    <row r="37" spans="1:21" ht="22.5" customHeight="1">
      <c r="A37" s="714">
        <v>22</v>
      </c>
      <c r="B37" s="714" t="s">
        <v>131</v>
      </c>
      <c r="C37" s="714"/>
      <c r="D37" s="714" t="s">
        <v>2293</v>
      </c>
      <c r="E37" s="712">
        <v>170</v>
      </c>
      <c r="F37" s="709">
        <v>500</v>
      </c>
      <c r="G37" s="1729">
        <f t="shared" si="3"/>
        <v>6000</v>
      </c>
      <c r="H37" s="712">
        <v>6</v>
      </c>
      <c r="I37" s="709">
        <v>16</v>
      </c>
      <c r="J37" s="713"/>
      <c r="K37" s="710"/>
      <c r="L37" s="712">
        <v>10</v>
      </c>
      <c r="M37" s="711">
        <v>100</v>
      </c>
      <c r="N37" s="711">
        <v>100</v>
      </c>
      <c r="O37" s="711">
        <v>100</v>
      </c>
      <c r="P37" s="710"/>
      <c r="Q37" s="709"/>
      <c r="R37" s="709"/>
      <c r="S37" s="709"/>
      <c r="T37" s="708"/>
      <c r="U37" s="708"/>
    </row>
    <row r="38" spans="1:21" ht="22.5" customHeight="1">
      <c r="A38" s="714">
        <v>23</v>
      </c>
      <c r="B38" s="714" t="s">
        <v>131</v>
      </c>
      <c r="C38" s="714"/>
      <c r="D38" s="714" t="s">
        <v>2296</v>
      </c>
      <c r="E38" s="712">
        <v>250</v>
      </c>
      <c r="F38" s="709">
        <v>500</v>
      </c>
      <c r="G38" s="1729">
        <f t="shared" si="0"/>
        <v>4600</v>
      </c>
      <c r="H38" s="712">
        <v>8</v>
      </c>
      <c r="I38" s="709">
        <v>16</v>
      </c>
      <c r="J38" s="713"/>
      <c r="K38" s="710"/>
      <c r="L38" s="712">
        <v>10</v>
      </c>
      <c r="M38" s="711">
        <v>100</v>
      </c>
      <c r="N38" s="711">
        <v>100</v>
      </c>
      <c r="O38" s="711">
        <v>100</v>
      </c>
      <c r="P38" s="710">
        <v>1</v>
      </c>
      <c r="Q38" s="709">
        <v>10</v>
      </c>
      <c r="R38" s="709"/>
      <c r="S38" s="709"/>
      <c r="T38" s="708"/>
      <c r="U38" s="708"/>
    </row>
    <row r="39" spans="1:21" ht="22.5" customHeight="1">
      <c r="A39" s="714">
        <v>24</v>
      </c>
      <c r="B39" s="714" t="s">
        <v>131</v>
      </c>
      <c r="C39" s="714"/>
      <c r="D39" s="714" t="s">
        <v>2297</v>
      </c>
      <c r="E39" s="712">
        <v>250</v>
      </c>
      <c r="F39" s="709">
        <v>250</v>
      </c>
      <c r="G39" s="1729">
        <f t="shared" si="0"/>
        <v>4600</v>
      </c>
      <c r="H39" s="712">
        <v>6</v>
      </c>
      <c r="I39" s="709">
        <v>16</v>
      </c>
      <c r="J39" s="713"/>
      <c r="K39" s="710"/>
      <c r="L39" s="712">
        <v>10</v>
      </c>
      <c r="M39" s="711">
        <v>100</v>
      </c>
      <c r="N39" s="711">
        <v>100</v>
      </c>
      <c r="O39" s="711">
        <v>100</v>
      </c>
      <c r="P39" s="710"/>
      <c r="Q39" s="709"/>
      <c r="R39" s="709"/>
      <c r="S39" s="709"/>
      <c r="T39" s="708"/>
      <c r="U39" s="708"/>
    </row>
    <row r="40" spans="1:21" ht="22.5" customHeight="1">
      <c r="A40" s="714">
        <v>25</v>
      </c>
      <c r="B40" s="714" t="s">
        <v>131</v>
      </c>
      <c r="C40" s="714"/>
      <c r="D40" s="714" t="s">
        <v>2295</v>
      </c>
      <c r="E40" s="712">
        <v>200</v>
      </c>
      <c r="F40" s="709">
        <v>600</v>
      </c>
      <c r="G40" s="1729">
        <f t="shared" si="0"/>
        <v>4600</v>
      </c>
      <c r="H40" s="712">
        <v>10</v>
      </c>
      <c r="I40" s="709">
        <v>16</v>
      </c>
      <c r="J40" s="713"/>
      <c r="K40" s="710"/>
      <c r="L40" s="712">
        <v>10</v>
      </c>
      <c r="M40" s="711">
        <v>100</v>
      </c>
      <c r="N40" s="711">
        <v>100</v>
      </c>
      <c r="O40" s="711">
        <v>100</v>
      </c>
      <c r="P40" s="710"/>
      <c r="Q40" s="709"/>
      <c r="R40" s="709"/>
      <c r="S40" s="709"/>
      <c r="T40" s="708"/>
      <c r="U40" s="708"/>
    </row>
    <row r="41" spans="1:21" ht="22.5" customHeight="1">
      <c r="A41" s="714">
        <v>26</v>
      </c>
      <c r="B41" s="714" t="s">
        <v>131</v>
      </c>
      <c r="C41" s="714"/>
      <c r="D41" s="714" t="s">
        <v>2295</v>
      </c>
      <c r="E41" s="712">
        <v>200</v>
      </c>
      <c r="F41" s="709">
        <v>600</v>
      </c>
      <c r="G41" s="1729">
        <f>4500-(-1000)</f>
        <v>5500</v>
      </c>
      <c r="H41" s="712">
        <v>10</v>
      </c>
      <c r="I41" s="709">
        <v>16</v>
      </c>
      <c r="J41" s="713"/>
      <c r="K41" s="710"/>
      <c r="L41" s="712">
        <v>10</v>
      </c>
      <c r="M41" s="711">
        <v>100</v>
      </c>
      <c r="N41" s="711">
        <v>100</v>
      </c>
      <c r="O41" s="711">
        <v>100</v>
      </c>
      <c r="P41" s="710"/>
      <c r="Q41" s="709"/>
      <c r="R41" s="709"/>
      <c r="S41" s="709"/>
      <c r="T41" s="708"/>
      <c r="U41" s="708"/>
    </row>
    <row r="42" spans="1:21" ht="22.5" customHeight="1">
      <c r="A42" s="714">
        <v>27</v>
      </c>
      <c r="B42" s="714" t="s">
        <v>131</v>
      </c>
      <c r="C42" s="714"/>
      <c r="D42" s="714" t="s">
        <v>2292</v>
      </c>
      <c r="E42" s="712">
        <v>170</v>
      </c>
      <c r="F42" s="709">
        <v>600</v>
      </c>
      <c r="G42" s="1729">
        <f>4500-(-1000)</f>
        <v>5500</v>
      </c>
      <c r="H42" s="712">
        <v>8</v>
      </c>
      <c r="I42" s="709">
        <v>16</v>
      </c>
      <c r="J42" s="713"/>
      <c r="K42" s="710"/>
      <c r="L42" s="712">
        <v>10</v>
      </c>
      <c r="M42" s="711">
        <v>100</v>
      </c>
      <c r="N42" s="711">
        <v>100</v>
      </c>
      <c r="O42" s="711">
        <v>100</v>
      </c>
      <c r="P42" s="710">
        <v>2</v>
      </c>
      <c r="Q42" s="709">
        <v>10</v>
      </c>
      <c r="R42" s="709"/>
      <c r="S42" s="709"/>
      <c r="T42" s="708"/>
      <c r="U42" s="708"/>
    </row>
    <row r="43" spans="1:21" ht="22.5" customHeight="1">
      <c r="A43" s="714">
        <v>28</v>
      </c>
      <c r="B43" s="714" t="s">
        <v>131</v>
      </c>
      <c r="C43" s="714"/>
      <c r="D43" s="714" t="s">
        <v>2293</v>
      </c>
      <c r="E43" s="712">
        <v>170</v>
      </c>
      <c r="F43" s="709">
        <v>500</v>
      </c>
      <c r="G43" s="1729">
        <f t="shared" ref="G43:G44" si="4">4500-(-1000)</f>
        <v>5500</v>
      </c>
      <c r="H43" s="712">
        <v>6</v>
      </c>
      <c r="I43" s="709">
        <v>16</v>
      </c>
      <c r="J43" s="713"/>
      <c r="K43" s="710"/>
      <c r="L43" s="712">
        <v>10</v>
      </c>
      <c r="M43" s="711">
        <v>100</v>
      </c>
      <c r="N43" s="711">
        <v>100</v>
      </c>
      <c r="O43" s="711">
        <v>100</v>
      </c>
      <c r="P43" s="710"/>
      <c r="Q43" s="709"/>
      <c r="R43" s="709"/>
      <c r="S43" s="709"/>
      <c r="T43" s="708"/>
      <c r="U43" s="708"/>
    </row>
    <row r="44" spans="1:21" ht="22.5" customHeight="1">
      <c r="A44" s="714">
        <v>29</v>
      </c>
      <c r="B44" s="714" t="s">
        <v>131</v>
      </c>
      <c r="C44" s="714"/>
      <c r="D44" s="714" t="s">
        <v>2193</v>
      </c>
      <c r="E44" s="712">
        <v>200</v>
      </c>
      <c r="F44" s="709">
        <v>500</v>
      </c>
      <c r="G44" s="1729">
        <f t="shared" si="4"/>
        <v>5500</v>
      </c>
      <c r="H44" s="712">
        <v>8</v>
      </c>
      <c r="I44" s="709">
        <v>16</v>
      </c>
      <c r="J44" s="713"/>
      <c r="K44" s="710"/>
      <c r="L44" s="712">
        <v>10</v>
      </c>
      <c r="M44" s="711">
        <v>100</v>
      </c>
      <c r="N44" s="711">
        <v>100</v>
      </c>
      <c r="O44" s="711">
        <v>100</v>
      </c>
      <c r="P44" s="710">
        <v>1</v>
      </c>
      <c r="Q44" s="709">
        <v>10</v>
      </c>
      <c r="R44" s="709"/>
      <c r="S44" s="709"/>
      <c r="T44" s="708"/>
      <c r="U44" s="708"/>
    </row>
    <row r="45" spans="1:21" ht="22.5" customHeight="1">
      <c r="A45" s="714">
        <v>30</v>
      </c>
      <c r="B45" s="714" t="s">
        <v>131</v>
      </c>
      <c r="C45" s="714"/>
      <c r="D45" s="714" t="s">
        <v>2193</v>
      </c>
      <c r="E45" s="712">
        <v>200</v>
      </c>
      <c r="F45" s="709">
        <v>500</v>
      </c>
      <c r="G45" s="1729">
        <f>4500-(-1000)</f>
        <v>5500</v>
      </c>
      <c r="H45" s="712">
        <v>8</v>
      </c>
      <c r="I45" s="709">
        <v>16</v>
      </c>
      <c r="J45" s="713"/>
      <c r="K45" s="710"/>
      <c r="L45" s="712">
        <v>10</v>
      </c>
      <c r="M45" s="711">
        <v>100</v>
      </c>
      <c r="N45" s="711">
        <v>100</v>
      </c>
      <c r="O45" s="711">
        <v>100</v>
      </c>
      <c r="P45" s="710">
        <v>1</v>
      </c>
      <c r="Q45" s="709">
        <v>10</v>
      </c>
      <c r="R45" s="709"/>
      <c r="S45" s="709"/>
      <c r="T45" s="708"/>
      <c r="U45" s="708"/>
    </row>
    <row r="46" spans="1:21" ht="22.5" customHeight="1">
      <c r="A46" s="714">
        <v>31</v>
      </c>
      <c r="B46" s="714" t="s">
        <v>131</v>
      </c>
      <c r="C46" s="714"/>
      <c r="D46" s="714" t="s">
        <v>2297</v>
      </c>
      <c r="E46" s="712">
        <v>250</v>
      </c>
      <c r="F46" s="709">
        <v>250</v>
      </c>
      <c r="G46" s="1729">
        <f t="shared" ref="G46:G47" si="5">4500-(-1000)</f>
        <v>5500</v>
      </c>
      <c r="H46" s="712">
        <v>6</v>
      </c>
      <c r="I46" s="709">
        <v>16</v>
      </c>
      <c r="J46" s="713"/>
      <c r="K46" s="710"/>
      <c r="L46" s="712">
        <v>10</v>
      </c>
      <c r="M46" s="711">
        <v>100</v>
      </c>
      <c r="N46" s="711">
        <v>100</v>
      </c>
      <c r="O46" s="711">
        <v>100</v>
      </c>
      <c r="P46" s="710"/>
      <c r="Q46" s="709"/>
      <c r="R46" s="709"/>
      <c r="S46" s="709"/>
      <c r="T46" s="708"/>
      <c r="U46" s="708"/>
    </row>
    <row r="47" spans="1:21" ht="22.5" customHeight="1">
      <c r="A47" s="714">
        <v>32</v>
      </c>
      <c r="B47" s="714" t="s">
        <v>131</v>
      </c>
      <c r="C47" s="714"/>
      <c r="D47" s="714" t="s">
        <v>2297</v>
      </c>
      <c r="E47" s="712">
        <v>250</v>
      </c>
      <c r="F47" s="709">
        <v>250</v>
      </c>
      <c r="G47" s="1729">
        <f t="shared" si="5"/>
        <v>5500</v>
      </c>
      <c r="H47" s="712">
        <v>6</v>
      </c>
      <c r="I47" s="709">
        <v>16</v>
      </c>
      <c r="J47" s="713"/>
      <c r="K47" s="710"/>
      <c r="L47" s="712">
        <v>10</v>
      </c>
      <c r="M47" s="711">
        <v>100</v>
      </c>
      <c r="N47" s="711">
        <v>100</v>
      </c>
      <c r="O47" s="711">
        <v>100</v>
      </c>
      <c r="P47" s="710"/>
      <c r="Q47" s="709"/>
      <c r="R47" s="709"/>
      <c r="S47" s="709"/>
      <c r="T47" s="708"/>
      <c r="U47" s="708"/>
    </row>
    <row r="48" spans="1:21" ht="22.5" customHeight="1">
      <c r="A48" s="714">
        <v>33</v>
      </c>
      <c r="B48" s="714" t="s">
        <v>131</v>
      </c>
      <c r="C48" s="714"/>
      <c r="D48" s="714" t="s">
        <v>2294</v>
      </c>
      <c r="E48" s="712">
        <v>170</v>
      </c>
      <c r="F48" s="709">
        <v>400</v>
      </c>
      <c r="G48" s="1729">
        <f>4500-(-1700)</f>
        <v>6200</v>
      </c>
      <c r="H48" s="712">
        <v>6</v>
      </c>
      <c r="I48" s="709">
        <v>16</v>
      </c>
      <c r="J48" s="713"/>
      <c r="K48" s="710"/>
      <c r="L48" s="712">
        <v>10</v>
      </c>
      <c r="M48" s="711">
        <v>100</v>
      </c>
      <c r="N48" s="711">
        <v>100</v>
      </c>
      <c r="O48" s="711">
        <v>100</v>
      </c>
      <c r="P48" s="710"/>
      <c r="Q48" s="709"/>
      <c r="R48" s="709"/>
      <c r="S48" s="709"/>
      <c r="T48" s="708"/>
      <c r="U48" s="708"/>
    </row>
    <row r="49" spans="1:21" ht="22.5" customHeight="1">
      <c r="A49" s="714">
        <v>34</v>
      </c>
      <c r="B49" s="714" t="s">
        <v>131</v>
      </c>
      <c r="C49" s="714"/>
      <c r="D49" s="714" t="s">
        <v>2294</v>
      </c>
      <c r="E49" s="712">
        <v>170</v>
      </c>
      <c r="F49" s="709">
        <v>400</v>
      </c>
      <c r="G49" s="1729">
        <f t="shared" si="0"/>
        <v>4600</v>
      </c>
      <c r="H49" s="712">
        <v>6</v>
      </c>
      <c r="I49" s="709">
        <v>16</v>
      </c>
      <c r="J49" s="713"/>
      <c r="K49" s="710"/>
      <c r="L49" s="712">
        <v>10</v>
      </c>
      <c r="M49" s="711">
        <v>100</v>
      </c>
      <c r="N49" s="711">
        <v>100</v>
      </c>
      <c r="O49" s="711">
        <v>100</v>
      </c>
      <c r="P49" s="710"/>
      <c r="Q49" s="709"/>
      <c r="R49" s="709"/>
      <c r="S49" s="709"/>
      <c r="T49" s="708"/>
      <c r="U49" s="708"/>
    </row>
    <row r="50" spans="1:21" ht="22.5" customHeight="1">
      <c r="A50" s="714">
        <v>35</v>
      </c>
      <c r="B50" s="714" t="s">
        <v>131</v>
      </c>
      <c r="C50" s="714"/>
      <c r="D50" s="714" t="s">
        <v>2294</v>
      </c>
      <c r="E50" s="712">
        <v>170</v>
      </c>
      <c r="F50" s="709">
        <v>400</v>
      </c>
      <c r="G50" s="1729">
        <f t="shared" si="0"/>
        <v>4600</v>
      </c>
      <c r="H50" s="712">
        <v>6</v>
      </c>
      <c r="I50" s="709">
        <v>16</v>
      </c>
      <c r="J50" s="713"/>
      <c r="K50" s="710"/>
      <c r="L50" s="712">
        <v>10</v>
      </c>
      <c r="M50" s="711">
        <v>100</v>
      </c>
      <c r="N50" s="711">
        <v>100</v>
      </c>
      <c r="O50" s="711">
        <v>100</v>
      </c>
      <c r="P50" s="710"/>
      <c r="Q50" s="709"/>
      <c r="R50" s="709"/>
      <c r="S50" s="709"/>
      <c r="T50" s="708"/>
      <c r="U50" s="708"/>
    </row>
    <row r="51" spans="1:21" ht="22.5" customHeight="1">
      <c r="A51" s="714">
        <v>36</v>
      </c>
      <c r="B51" s="714" t="s">
        <v>131</v>
      </c>
      <c r="C51" s="714"/>
      <c r="D51" s="714" t="s">
        <v>2294</v>
      </c>
      <c r="E51" s="712">
        <v>170</v>
      </c>
      <c r="F51" s="709">
        <v>400</v>
      </c>
      <c r="G51" s="1729">
        <f t="shared" si="0"/>
        <v>4600</v>
      </c>
      <c r="H51" s="712">
        <v>6</v>
      </c>
      <c r="I51" s="709">
        <v>16</v>
      </c>
      <c r="J51" s="713"/>
      <c r="K51" s="710"/>
      <c r="L51" s="712">
        <v>10</v>
      </c>
      <c r="M51" s="711">
        <v>100</v>
      </c>
      <c r="N51" s="711">
        <v>100</v>
      </c>
      <c r="O51" s="711">
        <v>100</v>
      </c>
      <c r="P51" s="710"/>
      <c r="Q51" s="709"/>
      <c r="R51" s="709"/>
      <c r="S51" s="709"/>
      <c r="T51" s="708"/>
      <c r="U51" s="708"/>
    </row>
    <row r="52" spans="1:21" ht="22.5" customHeight="1">
      <c r="A52" s="714">
        <v>37</v>
      </c>
      <c r="B52" s="714" t="s">
        <v>131</v>
      </c>
      <c r="C52" s="714"/>
      <c r="D52" s="714" t="s">
        <v>2294</v>
      </c>
      <c r="E52" s="712">
        <v>170</v>
      </c>
      <c r="F52" s="709">
        <v>400</v>
      </c>
      <c r="G52" s="1729">
        <f t="shared" ref="G52:G59" si="6">4500-(-1000)</f>
        <v>5500</v>
      </c>
      <c r="H52" s="712">
        <v>6</v>
      </c>
      <c r="I52" s="709">
        <v>16</v>
      </c>
      <c r="J52" s="713"/>
      <c r="K52" s="710"/>
      <c r="L52" s="712">
        <v>10</v>
      </c>
      <c r="M52" s="711">
        <v>100</v>
      </c>
      <c r="N52" s="711">
        <v>100</v>
      </c>
      <c r="O52" s="711">
        <v>100</v>
      </c>
      <c r="P52" s="710"/>
      <c r="Q52" s="709"/>
      <c r="R52" s="709"/>
      <c r="S52" s="709"/>
      <c r="T52" s="708"/>
      <c r="U52" s="708"/>
    </row>
    <row r="53" spans="1:21" ht="22.5" customHeight="1">
      <c r="A53" s="714">
        <v>38</v>
      </c>
      <c r="B53" s="714" t="s">
        <v>131</v>
      </c>
      <c r="C53" s="714"/>
      <c r="D53" s="714" t="s">
        <v>2294</v>
      </c>
      <c r="E53" s="712">
        <v>170</v>
      </c>
      <c r="F53" s="709">
        <v>400</v>
      </c>
      <c r="G53" s="1729">
        <f t="shared" si="6"/>
        <v>5500</v>
      </c>
      <c r="H53" s="712">
        <v>6</v>
      </c>
      <c r="I53" s="709">
        <v>16</v>
      </c>
      <c r="J53" s="713"/>
      <c r="K53" s="710"/>
      <c r="L53" s="712">
        <v>10</v>
      </c>
      <c r="M53" s="711">
        <v>100</v>
      </c>
      <c r="N53" s="711">
        <v>100</v>
      </c>
      <c r="O53" s="711">
        <v>100</v>
      </c>
      <c r="P53" s="710"/>
      <c r="Q53" s="709"/>
      <c r="R53" s="709"/>
      <c r="S53" s="709"/>
      <c r="T53" s="708"/>
      <c r="U53" s="708"/>
    </row>
    <row r="54" spans="1:21" ht="22.5" customHeight="1">
      <c r="A54" s="714">
        <v>39</v>
      </c>
      <c r="B54" s="714" t="s">
        <v>131</v>
      </c>
      <c r="C54" s="714"/>
      <c r="D54" s="714" t="s">
        <v>2294</v>
      </c>
      <c r="E54" s="712">
        <v>170</v>
      </c>
      <c r="F54" s="709">
        <v>400</v>
      </c>
      <c r="G54" s="1729">
        <f t="shared" si="6"/>
        <v>5500</v>
      </c>
      <c r="H54" s="712">
        <v>6</v>
      </c>
      <c r="I54" s="709">
        <v>16</v>
      </c>
      <c r="J54" s="713"/>
      <c r="K54" s="710"/>
      <c r="L54" s="712">
        <v>10</v>
      </c>
      <c r="M54" s="711">
        <v>100</v>
      </c>
      <c r="N54" s="711">
        <v>100</v>
      </c>
      <c r="O54" s="711">
        <v>100</v>
      </c>
      <c r="P54" s="710"/>
      <c r="Q54" s="709"/>
      <c r="R54" s="709"/>
      <c r="S54" s="709"/>
      <c r="T54" s="708"/>
      <c r="U54" s="708"/>
    </row>
    <row r="55" spans="1:21" ht="22.5" customHeight="1">
      <c r="A55" s="714">
        <v>40</v>
      </c>
      <c r="B55" s="714" t="s">
        <v>131</v>
      </c>
      <c r="C55" s="714"/>
      <c r="D55" s="714" t="s">
        <v>2294</v>
      </c>
      <c r="E55" s="712">
        <v>170</v>
      </c>
      <c r="F55" s="709">
        <v>400</v>
      </c>
      <c r="G55" s="1729">
        <f t="shared" si="6"/>
        <v>5500</v>
      </c>
      <c r="H55" s="712">
        <v>6</v>
      </c>
      <c r="I55" s="709">
        <v>16</v>
      </c>
      <c r="J55" s="713"/>
      <c r="K55" s="710"/>
      <c r="L55" s="712">
        <v>10</v>
      </c>
      <c r="M55" s="711">
        <v>100</v>
      </c>
      <c r="N55" s="711">
        <v>100</v>
      </c>
      <c r="O55" s="711">
        <v>100</v>
      </c>
      <c r="P55" s="710"/>
      <c r="Q55" s="709"/>
      <c r="R55" s="709"/>
      <c r="S55" s="709"/>
      <c r="T55" s="708"/>
      <c r="U55" s="708"/>
    </row>
    <row r="56" spans="1:21" ht="22.5" customHeight="1">
      <c r="A56" s="714">
        <v>41</v>
      </c>
      <c r="B56" s="714" t="s">
        <v>131</v>
      </c>
      <c r="C56" s="714"/>
      <c r="D56" s="714" t="s">
        <v>2294</v>
      </c>
      <c r="E56" s="712">
        <v>170</v>
      </c>
      <c r="F56" s="709">
        <v>400</v>
      </c>
      <c r="G56" s="1729">
        <f t="shared" si="6"/>
        <v>5500</v>
      </c>
      <c r="H56" s="712">
        <v>6</v>
      </c>
      <c r="I56" s="709">
        <v>16</v>
      </c>
      <c r="J56" s="713"/>
      <c r="K56" s="710"/>
      <c r="L56" s="712">
        <v>10</v>
      </c>
      <c r="M56" s="711">
        <v>100</v>
      </c>
      <c r="N56" s="711">
        <v>100</v>
      </c>
      <c r="O56" s="711">
        <v>100</v>
      </c>
      <c r="P56" s="710"/>
      <c r="Q56" s="709"/>
      <c r="R56" s="709"/>
      <c r="S56" s="709"/>
      <c r="T56" s="708"/>
      <c r="U56" s="708"/>
    </row>
    <row r="57" spans="1:21" ht="22.5" customHeight="1">
      <c r="A57" s="714">
        <v>42</v>
      </c>
      <c r="B57" s="714" t="s">
        <v>131</v>
      </c>
      <c r="C57" s="714"/>
      <c r="D57" s="714" t="s">
        <v>2294</v>
      </c>
      <c r="E57" s="712">
        <v>170</v>
      </c>
      <c r="F57" s="709">
        <v>400</v>
      </c>
      <c r="G57" s="1729">
        <f t="shared" si="6"/>
        <v>5500</v>
      </c>
      <c r="H57" s="712">
        <v>6</v>
      </c>
      <c r="I57" s="709">
        <v>16</v>
      </c>
      <c r="J57" s="713"/>
      <c r="K57" s="710"/>
      <c r="L57" s="712">
        <v>10</v>
      </c>
      <c r="M57" s="711">
        <v>100</v>
      </c>
      <c r="N57" s="711">
        <v>100</v>
      </c>
      <c r="O57" s="711">
        <v>100</v>
      </c>
      <c r="P57" s="710"/>
      <c r="Q57" s="709"/>
      <c r="R57" s="709"/>
      <c r="S57" s="709"/>
      <c r="T57" s="708"/>
      <c r="U57" s="708"/>
    </row>
    <row r="58" spans="1:21" ht="22.5" customHeight="1">
      <c r="A58" s="714">
        <v>43</v>
      </c>
      <c r="B58" s="714" t="s">
        <v>131</v>
      </c>
      <c r="C58" s="714"/>
      <c r="D58" s="714" t="s">
        <v>2294</v>
      </c>
      <c r="E58" s="712">
        <v>170</v>
      </c>
      <c r="F58" s="709">
        <v>400</v>
      </c>
      <c r="G58" s="1729">
        <f t="shared" si="6"/>
        <v>5500</v>
      </c>
      <c r="H58" s="712">
        <v>6</v>
      </c>
      <c r="I58" s="709">
        <v>16</v>
      </c>
      <c r="J58" s="713"/>
      <c r="K58" s="710"/>
      <c r="L58" s="712">
        <v>10</v>
      </c>
      <c r="M58" s="711">
        <v>100</v>
      </c>
      <c r="N58" s="711">
        <v>100</v>
      </c>
      <c r="O58" s="711">
        <v>100</v>
      </c>
      <c r="P58" s="710"/>
      <c r="Q58" s="709"/>
      <c r="R58" s="709"/>
      <c r="S58" s="709"/>
      <c r="T58" s="708"/>
      <c r="U58" s="708"/>
    </row>
    <row r="59" spans="1:21" ht="22.5" customHeight="1">
      <c r="A59" s="714">
        <v>44</v>
      </c>
      <c r="B59" s="714" t="s">
        <v>131</v>
      </c>
      <c r="C59" s="714"/>
      <c r="D59" s="714" t="s">
        <v>2193</v>
      </c>
      <c r="E59" s="712">
        <v>200</v>
      </c>
      <c r="F59" s="709">
        <v>500</v>
      </c>
      <c r="G59" s="1729">
        <f t="shared" si="6"/>
        <v>5500</v>
      </c>
      <c r="H59" s="712">
        <v>8</v>
      </c>
      <c r="I59" s="709">
        <v>16</v>
      </c>
      <c r="J59" s="713"/>
      <c r="K59" s="710"/>
      <c r="L59" s="712">
        <v>10</v>
      </c>
      <c r="M59" s="711">
        <v>100</v>
      </c>
      <c r="N59" s="711">
        <v>100</v>
      </c>
      <c r="O59" s="711">
        <v>100</v>
      </c>
      <c r="P59" s="710">
        <v>1</v>
      </c>
      <c r="Q59" s="709">
        <v>10</v>
      </c>
      <c r="R59" s="709"/>
      <c r="S59" s="709"/>
      <c r="T59" s="708"/>
      <c r="U59" s="708"/>
    </row>
    <row r="60" spans="1:21" ht="22.5" customHeight="1">
      <c r="A60" s="714">
        <v>45</v>
      </c>
      <c r="B60" s="714" t="s">
        <v>131</v>
      </c>
      <c r="C60" s="714"/>
      <c r="D60" s="714" t="s">
        <v>2337</v>
      </c>
      <c r="E60" s="712">
        <v>200</v>
      </c>
      <c r="F60" s="709">
        <v>400</v>
      </c>
      <c r="G60" s="1729">
        <v>1700</v>
      </c>
      <c r="H60" s="712">
        <v>6</v>
      </c>
      <c r="I60" s="709">
        <v>16</v>
      </c>
      <c r="J60" s="713"/>
      <c r="K60" s="710"/>
      <c r="L60" s="712">
        <v>10</v>
      </c>
      <c r="M60" s="711">
        <v>100</v>
      </c>
      <c r="N60" s="711">
        <v>100</v>
      </c>
      <c r="O60" s="711">
        <v>100</v>
      </c>
      <c r="P60" s="710">
        <v>1</v>
      </c>
      <c r="Q60" s="709">
        <v>10</v>
      </c>
      <c r="R60" s="709"/>
      <c r="S60" s="709"/>
      <c r="T60" s="708"/>
      <c r="U60" s="708"/>
    </row>
    <row r="61" spans="1:21" ht="22.5" customHeight="1">
      <c r="A61" s="714">
        <v>46</v>
      </c>
      <c r="B61" s="714" t="s">
        <v>131</v>
      </c>
      <c r="C61" s="714"/>
      <c r="D61" s="714" t="s">
        <v>2337</v>
      </c>
      <c r="E61" s="712">
        <v>200</v>
      </c>
      <c r="F61" s="709">
        <v>400</v>
      </c>
      <c r="G61" s="1729">
        <v>1700</v>
      </c>
      <c r="H61" s="712">
        <v>6</v>
      </c>
      <c r="I61" s="709">
        <v>16</v>
      </c>
      <c r="J61" s="713"/>
      <c r="K61" s="710"/>
      <c r="L61" s="712">
        <v>10</v>
      </c>
      <c r="M61" s="711">
        <v>100</v>
      </c>
      <c r="N61" s="711">
        <v>100</v>
      </c>
      <c r="O61" s="711">
        <v>100</v>
      </c>
      <c r="P61" s="710">
        <v>1</v>
      </c>
      <c r="Q61" s="709">
        <v>10</v>
      </c>
      <c r="R61" s="709"/>
      <c r="S61" s="709"/>
      <c r="T61" s="708"/>
      <c r="U61" s="708"/>
    </row>
    <row r="62" spans="1:21" ht="22.5" customHeight="1">
      <c r="A62" s="714">
        <v>47</v>
      </c>
      <c r="B62" s="714" t="s">
        <v>131</v>
      </c>
      <c r="C62" s="714"/>
      <c r="D62" s="714" t="s">
        <v>2337</v>
      </c>
      <c r="E62" s="712">
        <v>200</v>
      </c>
      <c r="F62" s="709">
        <v>400</v>
      </c>
      <c r="G62" s="1729">
        <v>1700</v>
      </c>
      <c r="H62" s="712">
        <v>6</v>
      </c>
      <c r="I62" s="709">
        <v>16</v>
      </c>
      <c r="J62" s="713"/>
      <c r="K62" s="710"/>
      <c r="L62" s="712">
        <v>10</v>
      </c>
      <c r="M62" s="711">
        <v>100</v>
      </c>
      <c r="N62" s="711">
        <v>100</v>
      </c>
      <c r="O62" s="711">
        <v>100</v>
      </c>
      <c r="P62" s="710">
        <v>1</v>
      </c>
      <c r="Q62" s="709">
        <v>10</v>
      </c>
      <c r="R62" s="709"/>
      <c r="S62" s="709"/>
      <c r="T62" s="708"/>
      <c r="U62" s="708"/>
    </row>
    <row r="63" spans="1:21" ht="22.5" customHeight="1">
      <c r="A63" s="714">
        <v>48</v>
      </c>
      <c r="B63" s="714" t="s">
        <v>131</v>
      </c>
      <c r="C63" s="714"/>
      <c r="D63" s="714" t="s">
        <v>2337</v>
      </c>
      <c r="E63" s="712">
        <v>200</v>
      </c>
      <c r="F63" s="709">
        <v>400</v>
      </c>
      <c r="G63" s="1729">
        <v>1700</v>
      </c>
      <c r="H63" s="712">
        <v>6</v>
      </c>
      <c r="I63" s="709">
        <v>16</v>
      </c>
      <c r="J63" s="713"/>
      <c r="K63" s="710"/>
      <c r="L63" s="712">
        <v>10</v>
      </c>
      <c r="M63" s="711">
        <v>100</v>
      </c>
      <c r="N63" s="711">
        <v>100</v>
      </c>
      <c r="O63" s="711">
        <v>100</v>
      </c>
      <c r="P63" s="710">
        <v>1</v>
      </c>
      <c r="Q63" s="709">
        <v>10</v>
      </c>
      <c r="R63" s="709"/>
      <c r="S63" s="709"/>
      <c r="T63" s="708"/>
      <c r="U63" s="708"/>
    </row>
    <row r="64" spans="1:21" ht="22.5" customHeight="1">
      <c r="A64" s="714">
        <v>49</v>
      </c>
      <c r="B64" s="714" t="s">
        <v>131</v>
      </c>
      <c r="C64" s="714"/>
      <c r="D64" s="714" t="s">
        <v>2337</v>
      </c>
      <c r="E64" s="712">
        <v>200</v>
      </c>
      <c r="F64" s="709">
        <v>400</v>
      </c>
      <c r="G64" s="1729">
        <v>1700</v>
      </c>
      <c r="H64" s="712">
        <v>6</v>
      </c>
      <c r="I64" s="709">
        <v>16</v>
      </c>
      <c r="J64" s="713"/>
      <c r="K64" s="710"/>
      <c r="L64" s="712">
        <v>10</v>
      </c>
      <c r="M64" s="711">
        <v>100</v>
      </c>
      <c r="N64" s="711">
        <v>100</v>
      </c>
      <c r="O64" s="711">
        <v>100</v>
      </c>
      <c r="P64" s="710">
        <v>1</v>
      </c>
      <c r="Q64" s="709">
        <v>10</v>
      </c>
      <c r="R64" s="709"/>
      <c r="S64" s="709"/>
      <c r="T64" s="708"/>
      <c r="U64" s="708"/>
    </row>
    <row r="65" spans="1:21" ht="22.5" customHeight="1">
      <c r="A65" s="714">
        <v>50</v>
      </c>
      <c r="B65" s="714" t="s">
        <v>131</v>
      </c>
      <c r="C65" s="714"/>
      <c r="D65" s="714" t="s">
        <v>2337</v>
      </c>
      <c r="E65" s="712">
        <v>200</v>
      </c>
      <c r="F65" s="709">
        <v>400</v>
      </c>
      <c r="G65" s="1729">
        <v>1700</v>
      </c>
      <c r="H65" s="712">
        <v>6</v>
      </c>
      <c r="I65" s="709">
        <v>16</v>
      </c>
      <c r="J65" s="713"/>
      <c r="K65" s="710"/>
      <c r="L65" s="712">
        <v>10</v>
      </c>
      <c r="M65" s="711">
        <v>100</v>
      </c>
      <c r="N65" s="711">
        <v>100</v>
      </c>
      <c r="O65" s="711">
        <v>100</v>
      </c>
      <c r="P65" s="710">
        <v>1</v>
      </c>
      <c r="Q65" s="709">
        <v>10</v>
      </c>
      <c r="R65" s="709"/>
      <c r="S65" s="709"/>
      <c r="T65" s="708"/>
      <c r="U65" s="708"/>
    </row>
    <row r="66" spans="1:21" ht="22.5" customHeight="1">
      <c r="A66" s="714"/>
      <c r="B66" s="714"/>
      <c r="C66" s="714"/>
      <c r="D66" s="714"/>
      <c r="E66" s="712"/>
      <c r="F66" s="709"/>
      <c r="G66" s="1729"/>
      <c r="H66" s="712"/>
      <c r="I66" s="709"/>
      <c r="J66" s="713"/>
      <c r="K66" s="710"/>
      <c r="L66" s="712"/>
      <c r="M66" s="711"/>
      <c r="N66" s="711"/>
      <c r="O66" s="711"/>
      <c r="P66" s="710"/>
      <c r="Q66" s="709"/>
      <c r="R66" s="709"/>
      <c r="S66" s="709"/>
      <c r="T66" s="708"/>
      <c r="U66" s="708"/>
    </row>
    <row r="67" spans="1:21" ht="22.5" customHeight="1">
      <c r="A67" s="714">
        <v>1</v>
      </c>
      <c r="B67" s="714" t="s">
        <v>136</v>
      </c>
      <c r="C67" s="714"/>
      <c r="D67" s="714" t="s">
        <v>2299</v>
      </c>
      <c r="E67" s="712">
        <v>170</v>
      </c>
      <c r="F67" s="709">
        <v>500</v>
      </c>
      <c r="G67" s="1729">
        <f>9000-4500</f>
        <v>4500</v>
      </c>
      <c r="H67" s="712">
        <v>8</v>
      </c>
      <c r="I67" s="709">
        <v>16</v>
      </c>
      <c r="J67" s="713"/>
      <c r="K67" s="710"/>
      <c r="L67" s="712">
        <v>10</v>
      </c>
      <c r="M67" s="711">
        <v>100</v>
      </c>
      <c r="N67" s="711">
        <v>100</v>
      </c>
      <c r="O67" s="711">
        <v>100</v>
      </c>
      <c r="P67" s="710">
        <v>1</v>
      </c>
      <c r="Q67" s="709">
        <v>10</v>
      </c>
      <c r="R67" s="709"/>
      <c r="S67" s="709"/>
      <c r="T67" s="708"/>
      <c r="U67" s="708"/>
    </row>
    <row r="68" spans="1:21" ht="22.5" customHeight="1">
      <c r="A68" s="714">
        <v>2</v>
      </c>
      <c r="B68" s="714" t="s">
        <v>136</v>
      </c>
      <c r="C68" s="714"/>
      <c r="D68" s="714" t="s">
        <v>2299</v>
      </c>
      <c r="E68" s="712">
        <v>170</v>
      </c>
      <c r="F68" s="709">
        <v>500</v>
      </c>
      <c r="G68" s="1729">
        <f t="shared" ref="G68:G94" si="7">9000-4500</f>
        <v>4500</v>
      </c>
      <c r="H68" s="712">
        <v>8</v>
      </c>
      <c r="I68" s="709">
        <v>16</v>
      </c>
      <c r="J68" s="713"/>
      <c r="K68" s="710"/>
      <c r="L68" s="712">
        <v>10</v>
      </c>
      <c r="M68" s="711">
        <v>100</v>
      </c>
      <c r="N68" s="711">
        <v>100</v>
      </c>
      <c r="O68" s="711">
        <v>100</v>
      </c>
      <c r="P68" s="710">
        <v>1</v>
      </c>
      <c r="Q68" s="709">
        <v>10</v>
      </c>
      <c r="R68" s="709"/>
      <c r="S68" s="709"/>
      <c r="T68" s="708"/>
      <c r="U68" s="708"/>
    </row>
    <row r="69" spans="1:21" ht="22.5" customHeight="1">
      <c r="A69" s="714">
        <v>3</v>
      </c>
      <c r="B69" s="714" t="s">
        <v>136</v>
      </c>
      <c r="C69" s="714"/>
      <c r="D69" s="714" t="s">
        <v>2293</v>
      </c>
      <c r="E69" s="712">
        <v>170</v>
      </c>
      <c r="F69" s="709">
        <v>500</v>
      </c>
      <c r="G69" s="1729">
        <f t="shared" si="7"/>
        <v>4500</v>
      </c>
      <c r="H69" s="712">
        <v>6</v>
      </c>
      <c r="I69" s="709">
        <v>16</v>
      </c>
      <c r="J69" s="713"/>
      <c r="K69" s="710"/>
      <c r="L69" s="712">
        <v>10</v>
      </c>
      <c r="M69" s="711">
        <v>100</v>
      </c>
      <c r="N69" s="711">
        <v>100</v>
      </c>
      <c r="O69" s="711">
        <v>100</v>
      </c>
      <c r="P69" s="710"/>
      <c r="Q69" s="709"/>
      <c r="R69" s="709"/>
      <c r="S69" s="709"/>
      <c r="T69" s="708"/>
      <c r="U69" s="708"/>
    </row>
    <row r="70" spans="1:21" ht="22.5" customHeight="1">
      <c r="A70" s="714">
        <v>4</v>
      </c>
      <c r="B70" s="714" t="s">
        <v>136</v>
      </c>
      <c r="C70" s="714"/>
      <c r="D70" s="714" t="s">
        <v>2294</v>
      </c>
      <c r="E70" s="712">
        <v>170</v>
      </c>
      <c r="F70" s="709">
        <v>400</v>
      </c>
      <c r="G70" s="1729">
        <f t="shared" si="7"/>
        <v>4500</v>
      </c>
      <c r="H70" s="712">
        <v>6</v>
      </c>
      <c r="I70" s="709">
        <v>16</v>
      </c>
      <c r="J70" s="713"/>
      <c r="K70" s="710"/>
      <c r="L70" s="712">
        <v>10</v>
      </c>
      <c r="M70" s="711">
        <v>100</v>
      </c>
      <c r="N70" s="711">
        <v>100</v>
      </c>
      <c r="O70" s="711">
        <v>100</v>
      </c>
      <c r="P70" s="710"/>
      <c r="Q70" s="709"/>
      <c r="R70" s="709"/>
      <c r="S70" s="709"/>
      <c r="T70" s="708"/>
      <c r="U70" s="708"/>
    </row>
    <row r="71" spans="1:21" ht="22.5" customHeight="1">
      <c r="A71" s="714">
        <v>5</v>
      </c>
      <c r="B71" s="714" t="s">
        <v>136</v>
      </c>
      <c r="C71" s="714"/>
      <c r="D71" s="714" t="s">
        <v>2294</v>
      </c>
      <c r="E71" s="712">
        <v>170</v>
      </c>
      <c r="F71" s="709">
        <v>400</v>
      </c>
      <c r="G71" s="1729">
        <f t="shared" si="7"/>
        <v>4500</v>
      </c>
      <c r="H71" s="712">
        <v>6</v>
      </c>
      <c r="I71" s="709">
        <v>16</v>
      </c>
      <c r="J71" s="713"/>
      <c r="K71" s="710"/>
      <c r="L71" s="712">
        <v>10</v>
      </c>
      <c r="M71" s="711">
        <v>100</v>
      </c>
      <c r="N71" s="711">
        <v>100</v>
      </c>
      <c r="O71" s="711">
        <v>100</v>
      </c>
      <c r="P71" s="710"/>
      <c r="Q71" s="709"/>
      <c r="R71" s="709"/>
      <c r="S71" s="709"/>
      <c r="T71" s="708"/>
      <c r="U71" s="708"/>
    </row>
    <row r="72" spans="1:21" ht="22.5" customHeight="1">
      <c r="A72" s="714">
        <v>6</v>
      </c>
      <c r="B72" s="714" t="s">
        <v>136</v>
      </c>
      <c r="C72" s="714"/>
      <c r="D72" s="714" t="s">
        <v>2294</v>
      </c>
      <c r="E72" s="712">
        <v>170</v>
      </c>
      <c r="F72" s="709">
        <v>400</v>
      </c>
      <c r="G72" s="1729">
        <f t="shared" si="7"/>
        <v>4500</v>
      </c>
      <c r="H72" s="712">
        <v>6</v>
      </c>
      <c r="I72" s="709">
        <v>16</v>
      </c>
      <c r="J72" s="713"/>
      <c r="K72" s="710"/>
      <c r="L72" s="712">
        <v>10</v>
      </c>
      <c r="M72" s="711">
        <v>100</v>
      </c>
      <c r="N72" s="711">
        <v>100</v>
      </c>
      <c r="O72" s="711">
        <v>100</v>
      </c>
      <c r="P72" s="710"/>
      <c r="Q72" s="709"/>
      <c r="R72" s="709"/>
      <c r="S72" s="709"/>
      <c r="T72" s="708"/>
      <c r="U72" s="708"/>
    </row>
    <row r="73" spans="1:21" ht="22.5" customHeight="1">
      <c r="A73" s="714">
        <v>7</v>
      </c>
      <c r="B73" s="714" t="s">
        <v>136</v>
      </c>
      <c r="C73" s="714"/>
      <c r="D73" s="714" t="s">
        <v>2294</v>
      </c>
      <c r="E73" s="712">
        <v>170</v>
      </c>
      <c r="F73" s="709">
        <v>400</v>
      </c>
      <c r="G73" s="1729">
        <f t="shared" si="7"/>
        <v>4500</v>
      </c>
      <c r="H73" s="712">
        <v>6</v>
      </c>
      <c r="I73" s="709">
        <v>16</v>
      </c>
      <c r="J73" s="713"/>
      <c r="K73" s="710"/>
      <c r="L73" s="712">
        <v>10</v>
      </c>
      <c r="M73" s="711">
        <v>100</v>
      </c>
      <c r="N73" s="711">
        <v>100</v>
      </c>
      <c r="O73" s="711">
        <v>100</v>
      </c>
      <c r="P73" s="710"/>
      <c r="Q73" s="709"/>
      <c r="R73" s="709"/>
      <c r="S73" s="709"/>
      <c r="T73" s="708"/>
      <c r="U73" s="708"/>
    </row>
    <row r="74" spans="1:21" ht="22.5" customHeight="1">
      <c r="A74" s="714">
        <v>8</v>
      </c>
      <c r="B74" s="714" t="s">
        <v>136</v>
      </c>
      <c r="C74" s="714"/>
      <c r="D74" s="714" t="s">
        <v>2299</v>
      </c>
      <c r="E74" s="712">
        <v>170</v>
      </c>
      <c r="F74" s="709">
        <v>500</v>
      </c>
      <c r="G74" s="1729">
        <f t="shared" si="7"/>
        <v>4500</v>
      </c>
      <c r="H74" s="712">
        <v>8</v>
      </c>
      <c r="I74" s="709">
        <v>16</v>
      </c>
      <c r="J74" s="713"/>
      <c r="K74" s="710"/>
      <c r="L74" s="712">
        <v>10</v>
      </c>
      <c r="M74" s="711">
        <v>100</v>
      </c>
      <c r="N74" s="711">
        <v>100</v>
      </c>
      <c r="O74" s="711">
        <v>100</v>
      </c>
      <c r="P74" s="710">
        <v>1</v>
      </c>
      <c r="Q74" s="709">
        <v>10</v>
      </c>
      <c r="R74" s="709"/>
      <c r="S74" s="709"/>
      <c r="T74" s="708"/>
      <c r="U74" s="708"/>
    </row>
    <row r="75" spans="1:21" ht="22.5" customHeight="1">
      <c r="A75" s="714">
        <v>10</v>
      </c>
      <c r="B75" s="714" t="s">
        <v>136</v>
      </c>
      <c r="C75" s="714"/>
      <c r="D75" s="714" t="s">
        <v>2300</v>
      </c>
      <c r="E75" s="712">
        <v>170</v>
      </c>
      <c r="F75" s="709">
        <v>600</v>
      </c>
      <c r="G75" s="1729">
        <f t="shared" si="7"/>
        <v>4500</v>
      </c>
      <c r="H75" s="712">
        <v>10</v>
      </c>
      <c r="I75" s="709">
        <v>16</v>
      </c>
      <c r="J75" s="713"/>
      <c r="K75" s="710"/>
      <c r="L75" s="712">
        <v>10</v>
      </c>
      <c r="M75" s="711">
        <v>100</v>
      </c>
      <c r="N75" s="711">
        <v>100</v>
      </c>
      <c r="O75" s="711">
        <v>100</v>
      </c>
      <c r="P75" s="710">
        <v>1</v>
      </c>
      <c r="Q75" s="709">
        <v>10</v>
      </c>
      <c r="R75" s="709"/>
      <c r="S75" s="709"/>
      <c r="T75" s="708"/>
      <c r="U75" s="708"/>
    </row>
    <row r="76" spans="1:21" ht="22.5" customHeight="1">
      <c r="A76" s="714">
        <v>11</v>
      </c>
      <c r="B76" s="714" t="s">
        <v>136</v>
      </c>
      <c r="C76" s="714"/>
      <c r="D76" s="714" t="s">
        <v>2293</v>
      </c>
      <c r="E76" s="712">
        <v>170</v>
      </c>
      <c r="F76" s="709">
        <v>500</v>
      </c>
      <c r="G76" s="1729">
        <f t="shared" si="7"/>
        <v>4500</v>
      </c>
      <c r="H76" s="712">
        <v>6</v>
      </c>
      <c r="I76" s="709">
        <v>16</v>
      </c>
      <c r="J76" s="713"/>
      <c r="K76" s="710"/>
      <c r="L76" s="712">
        <v>10</v>
      </c>
      <c r="M76" s="711">
        <v>100</v>
      </c>
      <c r="N76" s="711">
        <v>100</v>
      </c>
      <c r="O76" s="711">
        <v>100</v>
      </c>
      <c r="P76" s="710"/>
      <c r="Q76" s="709"/>
      <c r="R76" s="709"/>
      <c r="S76" s="709"/>
      <c r="T76" s="708"/>
      <c r="U76" s="708"/>
    </row>
    <row r="77" spans="1:21" ht="22.5" customHeight="1">
      <c r="A77" s="714">
        <v>12</v>
      </c>
      <c r="B77" s="714" t="s">
        <v>136</v>
      </c>
      <c r="C77" s="714"/>
      <c r="D77" s="714" t="s">
        <v>2293</v>
      </c>
      <c r="E77" s="712">
        <v>170</v>
      </c>
      <c r="F77" s="709">
        <v>500</v>
      </c>
      <c r="G77" s="1729">
        <f t="shared" si="7"/>
        <v>4500</v>
      </c>
      <c r="H77" s="712">
        <v>6</v>
      </c>
      <c r="I77" s="709">
        <v>16</v>
      </c>
      <c r="J77" s="713"/>
      <c r="K77" s="710"/>
      <c r="L77" s="712">
        <v>10</v>
      </c>
      <c r="M77" s="711">
        <v>100</v>
      </c>
      <c r="N77" s="711">
        <v>100</v>
      </c>
      <c r="O77" s="711">
        <v>100</v>
      </c>
      <c r="P77" s="710"/>
      <c r="Q77" s="709"/>
      <c r="R77" s="709"/>
      <c r="S77" s="709"/>
      <c r="T77" s="708"/>
      <c r="U77" s="708"/>
    </row>
    <row r="78" spans="1:21" ht="22.5" customHeight="1">
      <c r="A78" s="714">
        <v>14</v>
      </c>
      <c r="B78" s="714" t="s">
        <v>136</v>
      </c>
      <c r="C78" s="714"/>
      <c r="D78" s="714" t="s">
        <v>2299</v>
      </c>
      <c r="E78" s="712">
        <v>170</v>
      </c>
      <c r="F78" s="709">
        <v>500</v>
      </c>
      <c r="G78" s="1729">
        <f t="shared" si="7"/>
        <v>4500</v>
      </c>
      <c r="H78" s="712">
        <v>8</v>
      </c>
      <c r="I78" s="709">
        <v>16</v>
      </c>
      <c r="J78" s="713"/>
      <c r="K78" s="710"/>
      <c r="L78" s="712">
        <v>10</v>
      </c>
      <c r="M78" s="711">
        <v>100</v>
      </c>
      <c r="N78" s="711">
        <v>100</v>
      </c>
      <c r="O78" s="711">
        <v>100</v>
      </c>
      <c r="P78" s="710">
        <v>1</v>
      </c>
      <c r="Q78" s="709">
        <v>10</v>
      </c>
      <c r="R78" s="709"/>
      <c r="S78" s="709"/>
      <c r="T78" s="708"/>
      <c r="U78" s="708"/>
    </row>
    <row r="79" spans="1:21" ht="22.5" customHeight="1">
      <c r="A79" s="714">
        <v>15</v>
      </c>
      <c r="B79" s="714" t="s">
        <v>136</v>
      </c>
      <c r="C79" s="714"/>
      <c r="D79" s="714" t="s">
        <v>2299</v>
      </c>
      <c r="E79" s="712">
        <v>170</v>
      </c>
      <c r="F79" s="709">
        <v>500</v>
      </c>
      <c r="G79" s="1729">
        <f t="shared" si="7"/>
        <v>4500</v>
      </c>
      <c r="H79" s="712">
        <v>8</v>
      </c>
      <c r="I79" s="709">
        <v>16</v>
      </c>
      <c r="J79" s="713"/>
      <c r="K79" s="710"/>
      <c r="L79" s="712">
        <v>10</v>
      </c>
      <c r="M79" s="711">
        <v>100</v>
      </c>
      <c r="N79" s="711">
        <v>100</v>
      </c>
      <c r="O79" s="711">
        <v>100</v>
      </c>
      <c r="P79" s="710">
        <v>1</v>
      </c>
      <c r="Q79" s="709">
        <v>10</v>
      </c>
      <c r="R79" s="709"/>
      <c r="S79" s="709"/>
      <c r="T79" s="708"/>
      <c r="U79" s="708"/>
    </row>
    <row r="80" spans="1:21" ht="22.5" customHeight="1">
      <c r="A80" s="714">
        <v>16</v>
      </c>
      <c r="B80" s="714" t="s">
        <v>136</v>
      </c>
      <c r="C80" s="714"/>
      <c r="D80" s="714" t="s">
        <v>2299</v>
      </c>
      <c r="E80" s="712">
        <v>170</v>
      </c>
      <c r="F80" s="709">
        <v>500</v>
      </c>
      <c r="G80" s="1729">
        <f t="shared" si="7"/>
        <v>4500</v>
      </c>
      <c r="H80" s="712">
        <v>8</v>
      </c>
      <c r="I80" s="709">
        <v>16</v>
      </c>
      <c r="J80" s="713"/>
      <c r="K80" s="710"/>
      <c r="L80" s="712">
        <v>10</v>
      </c>
      <c r="M80" s="711">
        <v>100</v>
      </c>
      <c r="N80" s="711">
        <v>100</v>
      </c>
      <c r="O80" s="711">
        <v>100</v>
      </c>
      <c r="P80" s="710">
        <v>1</v>
      </c>
      <c r="Q80" s="709">
        <v>10</v>
      </c>
      <c r="R80" s="709"/>
      <c r="S80" s="709"/>
      <c r="T80" s="708"/>
      <c r="U80" s="708"/>
    </row>
    <row r="81" spans="1:21" ht="22.5" customHeight="1">
      <c r="A81" s="714">
        <v>17</v>
      </c>
      <c r="B81" s="714" t="s">
        <v>136</v>
      </c>
      <c r="C81" s="714"/>
      <c r="D81" s="714" t="s">
        <v>2299</v>
      </c>
      <c r="E81" s="712">
        <v>170</v>
      </c>
      <c r="F81" s="709">
        <v>500</v>
      </c>
      <c r="G81" s="1729">
        <f t="shared" si="7"/>
        <v>4500</v>
      </c>
      <c r="H81" s="712">
        <v>8</v>
      </c>
      <c r="I81" s="709">
        <v>16</v>
      </c>
      <c r="J81" s="713"/>
      <c r="K81" s="710"/>
      <c r="L81" s="712">
        <v>10</v>
      </c>
      <c r="M81" s="711">
        <v>100</v>
      </c>
      <c r="N81" s="711">
        <v>100</v>
      </c>
      <c r="O81" s="711">
        <v>100</v>
      </c>
      <c r="P81" s="710">
        <v>1</v>
      </c>
      <c r="Q81" s="709">
        <v>10</v>
      </c>
      <c r="R81" s="709"/>
      <c r="S81" s="709"/>
      <c r="T81" s="708"/>
      <c r="U81" s="708"/>
    </row>
    <row r="82" spans="1:21" ht="22.5" customHeight="1">
      <c r="A82" s="714">
        <v>18</v>
      </c>
      <c r="B82" s="714" t="s">
        <v>136</v>
      </c>
      <c r="C82" s="714"/>
      <c r="D82" s="714" t="s">
        <v>2293</v>
      </c>
      <c r="E82" s="712">
        <v>170</v>
      </c>
      <c r="F82" s="709">
        <v>500</v>
      </c>
      <c r="G82" s="1729">
        <f t="shared" si="7"/>
        <v>4500</v>
      </c>
      <c r="H82" s="712">
        <v>6</v>
      </c>
      <c r="I82" s="709">
        <v>16</v>
      </c>
      <c r="J82" s="713"/>
      <c r="K82" s="710"/>
      <c r="L82" s="712">
        <v>10</v>
      </c>
      <c r="M82" s="711">
        <v>100</v>
      </c>
      <c r="N82" s="711">
        <v>100</v>
      </c>
      <c r="O82" s="711">
        <v>100</v>
      </c>
      <c r="P82" s="710"/>
      <c r="Q82" s="709"/>
      <c r="R82" s="709"/>
      <c r="S82" s="709"/>
      <c r="T82" s="708"/>
      <c r="U82" s="708"/>
    </row>
    <row r="83" spans="1:21" ht="22.5" customHeight="1">
      <c r="A83" s="714">
        <v>19</v>
      </c>
      <c r="B83" s="714" t="s">
        <v>136</v>
      </c>
      <c r="C83" s="714"/>
      <c r="D83" s="714" t="s">
        <v>2293</v>
      </c>
      <c r="E83" s="712">
        <v>170</v>
      </c>
      <c r="F83" s="709">
        <v>500</v>
      </c>
      <c r="G83" s="1729">
        <f t="shared" si="7"/>
        <v>4500</v>
      </c>
      <c r="H83" s="712">
        <v>6</v>
      </c>
      <c r="I83" s="709">
        <v>16</v>
      </c>
      <c r="J83" s="713"/>
      <c r="K83" s="710"/>
      <c r="L83" s="712">
        <v>10</v>
      </c>
      <c r="M83" s="711">
        <v>100</v>
      </c>
      <c r="N83" s="711">
        <v>100</v>
      </c>
      <c r="O83" s="711">
        <v>100</v>
      </c>
      <c r="P83" s="710"/>
      <c r="Q83" s="709"/>
      <c r="R83" s="709"/>
      <c r="S83" s="709"/>
      <c r="T83" s="708"/>
      <c r="U83" s="708"/>
    </row>
    <row r="84" spans="1:21" ht="22.5" customHeight="1">
      <c r="A84" s="714">
        <v>20</v>
      </c>
      <c r="B84" s="714" t="s">
        <v>136</v>
      </c>
      <c r="C84" s="714"/>
      <c r="D84" s="714" t="s">
        <v>2299</v>
      </c>
      <c r="E84" s="712">
        <v>170</v>
      </c>
      <c r="F84" s="709">
        <v>500</v>
      </c>
      <c r="G84" s="1729">
        <f t="shared" si="7"/>
        <v>4500</v>
      </c>
      <c r="H84" s="712">
        <v>8</v>
      </c>
      <c r="I84" s="709">
        <v>16</v>
      </c>
      <c r="J84" s="713"/>
      <c r="K84" s="710"/>
      <c r="L84" s="712">
        <v>10</v>
      </c>
      <c r="M84" s="711">
        <v>100</v>
      </c>
      <c r="N84" s="711">
        <v>100</v>
      </c>
      <c r="O84" s="711">
        <v>100</v>
      </c>
      <c r="P84" s="710">
        <v>1</v>
      </c>
      <c r="Q84" s="709">
        <v>10</v>
      </c>
      <c r="R84" s="709"/>
      <c r="S84" s="709"/>
      <c r="T84" s="708"/>
      <c r="U84" s="708"/>
    </row>
    <row r="85" spans="1:21" ht="22.5" customHeight="1">
      <c r="A85" s="714">
        <v>21</v>
      </c>
      <c r="B85" s="714" t="s">
        <v>136</v>
      </c>
      <c r="C85" s="714"/>
      <c r="D85" s="714" t="s">
        <v>2293</v>
      </c>
      <c r="E85" s="712">
        <v>170</v>
      </c>
      <c r="F85" s="709">
        <v>500</v>
      </c>
      <c r="G85" s="1729">
        <f t="shared" si="7"/>
        <v>4500</v>
      </c>
      <c r="H85" s="712">
        <v>6</v>
      </c>
      <c r="I85" s="709">
        <v>16</v>
      </c>
      <c r="J85" s="713"/>
      <c r="K85" s="710"/>
      <c r="L85" s="712">
        <v>10</v>
      </c>
      <c r="M85" s="711">
        <v>100</v>
      </c>
      <c r="N85" s="711">
        <v>100</v>
      </c>
      <c r="O85" s="711">
        <v>100</v>
      </c>
      <c r="P85" s="710"/>
      <c r="Q85" s="709"/>
      <c r="R85" s="709"/>
      <c r="S85" s="709"/>
      <c r="T85" s="708"/>
      <c r="U85" s="708"/>
    </row>
    <row r="86" spans="1:21" ht="22.5" customHeight="1">
      <c r="A86" s="714">
        <v>22</v>
      </c>
      <c r="B86" s="714" t="s">
        <v>136</v>
      </c>
      <c r="C86" s="714"/>
      <c r="D86" s="714" t="s">
        <v>2293</v>
      </c>
      <c r="E86" s="712">
        <v>170</v>
      </c>
      <c r="F86" s="709">
        <v>500</v>
      </c>
      <c r="G86" s="1729">
        <f t="shared" si="7"/>
        <v>4500</v>
      </c>
      <c r="H86" s="712">
        <v>6</v>
      </c>
      <c r="I86" s="709">
        <v>16</v>
      </c>
      <c r="J86" s="713"/>
      <c r="K86" s="710"/>
      <c r="L86" s="712">
        <v>10</v>
      </c>
      <c r="M86" s="711">
        <v>100</v>
      </c>
      <c r="N86" s="711">
        <v>100</v>
      </c>
      <c r="O86" s="711">
        <v>100</v>
      </c>
      <c r="P86" s="710"/>
      <c r="Q86" s="709"/>
      <c r="R86" s="709"/>
      <c r="S86" s="709"/>
      <c r="T86" s="708"/>
      <c r="U86" s="708"/>
    </row>
    <row r="87" spans="1:21" ht="22.5" customHeight="1">
      <c r="A87" s="714">
        <v>23</v>
      </c>
      <c r="B87" s="714" t="s">
        <v>136</v>
      </c>
      <c r="C87" s="714"/>
      <c r="D87" s="714" t="s">
        <v>2293</v>
      </c>
      <c r="E87" s="712">
        <v>170</v>
      </c>
      <c r="F87" s="709">
        <v>500</v>
      </c>
      <c r="G87" s="1729">
        <f t="shared" si="7"/>
        <v>4500</v>
      </c>
      <c r="H87" s="712">
        <v>6</v>
      </c>
      <c r="I87" s="709">
        <v>16</v>
      </c>
      <c r="J87" s="713"/>
      <c r="K87" s="710"/>
      <c r="L87" s="712">
        <v>10</v>
      </c>
      <c r="M87" s="711">
        <v>100</v>
      </c>
      <c r="N87" s="711">
        <v>100</v>
      </c>
      <c r="O87" s="711">
        <v>100</v>
      </c>
      <c r="P87" s="710"/>
      <c r="Q87" s="709"/>
      <c r="R87" s="709"/>
      <c r="S87" s="709"/>
      <c r="T87" s="708"/>
      <c r="U87" s="708"/>
    </row>
    <row r="88" spans="1:21" ht="22.5" customHeight="1">
      <c r="A88" s="714">
        <v>25</v>
      </c>
      <c r="B88" s="714" t="s">
        <v>136</v>
      </c>
      <c r="C88" s="714"/>
      <c r="D88" s="714" t="s">
        <v>2299</v>
      </c>
      <c r="E88" s="712">
        <v>170</v>
      </c>
      <c r="F88" s="709">
        <v>500</v>
      </c>
      <c r="G88" s="1729">
        <f t="shared" si="7"/>
        <v>4500</v>
      </c>
      <c r="H88" s="712">
        <v>8</v>
      </c>
      <c r="I88" s="709">
        <v>16</v>
      </c>
      <c r="J88" s="713"/>
      <c r="K88" s="710"/>
      <c r="L88" s="712">
        <v>10</v>
      </c>
      <c r="M88" s="711">
        <v>100</v>
      </c>
      <c r="N88" s="711">
        <v>100</v>
      </c>
      <c r="O88" s="711">
        <v>100</v>
      </c>
      <c r="P88" s="710">
        <v>1</v>
      </c>
      <c r="Q88" s="709">
        <v>10</v>
      </c>
      <c r="R88" s="709"/>
      <c r="S88" s="709"/>
      <c r="T88" s="708"/>
      <c r="U88" s="708"/>
    </row>
    <row r="89" spans="1:21" ht="22.5" customHeight="1">
      <c r="A89" s="714">
        <v>26</v>
      </c>
      <c r="B89" s="714" t="s">
        <v>136</v>
      </c>
      <c r="C89" s="714"/>
      <c r="D89" s="714" t="s">
        <v>2300</v>
      </c>
      <c r="E89" s="712">
        <v>170</v>
      </c>
      <c r="F89" s="709">
        <v>600</v>
      </c>
      <c r="G89" s="1729">
        <f t="shared" si="7"/>
        <v>4500</v>
      </c>
      <c r="H89" s="712">
        <v>10</v>
      </c>
      <c r="I89" s="709">
        <v>16</v>
      </c>
      <c r="J89" s="713"/>
      <c r="K89" s="710"/>
      <c r="L89" s="712">
        <v>10</v>
      </c>
      <c r="M89" s="711">
        <v>100</v>
      </c>
      <c r="N89" s="711">
        <v>100</v>
      </c>
      <c r="O89" s="711">
        <v>100</v>
      </c>
      <c r="P89" s="710">
        <v>1</v>
      </c>
      <c r="Q89" s="709">
        <v>10</v>
      </c>
      <c r="R89" s="709"/>
      <c r="S89" s="709"/>
      <c r="T89" s="708"/>
      <c r="U89" s="708"/>
    </row>
    <row r="90" spans="1:21" ht="22.5" customHeight="1">
      <c r="A90" s="714">
        <v>27</v>
      </c>
      <c r="B90" s="714" t="s">
        <v>136</v>
      </c>
      <c r="C90" s="714"/>
      <c r="D90" s="714" t="s">
        <v>2300</v>
      </c>
      <c r="E90" s="712">
        <v>170</v>
      </c>
      <c r="F90" s="709">
        <v>600</v>
      </c>
      <c r="G90" s="1729">
        <f t="shared" si="7"/>
        <v>4500</v>
      </c>
      <c r="H90" s="712">
        <v>10</v>
      </c>
      <c r="I90" s="709">
        <v>16</v>
      </c>
      <c r="J90" s="713"/>
      <c r="K90" s="710"/>
      <c r="L90" s="712">
        <v>10</v>
      </c>
      <c r="M90" s="711">
        <v>100</v>
      </c>
      <c r="N90" s="711">
        <v>100</v>
      </c>
      <c r="O90" s="711">
        <v>100</v>
      </c>
      <c r="P90" s="710">
        <v>1</v>
      </c>
      <c r="Q90" s="709">
        <v>10</v>
      </c>
      <c r="R90" s="709"/>
      <c r="S90" s="709"/>
      <c r="T90" s="708"/>
      <c r="U90" s="708"/>
    </row>
    <row r="91" spans="1:21" ht="22.5" customHeight="1">
      <c r="A91" s="714">
        <v>28</v>
      </c>
      <c r="B91" s="714" t="s">
        <v>136</v>
      </c>
      <c r="C91" s="714"/>
      <c r="D91" s="714" t="s">
        <v>2301</v>
      </c>
      <c r="E91" s="712">
        <v>170</v>
      </c>
      <c r="F91" s="709">
        <v>700</v>
      </c>
      <c r="G91" s="1729">
        <f t="shared" si="7"/>
        <v>4500</v>
      </c>
      <c r="H91" s="712">
        <v>10</v>
      </c>
      <c r="I91" s="709">
        <v>16</v>
      </c>
      <c r="J91" s="713"/>
      <c r="K91" s="710"/>
      <c r="L91" s="712">
        <v>10</v>
      </c>
      <c r="M91" s="711">
        <v>100</v>
      </c>
      <c r="N91" s="711">
        <v>100</v>
      </c>
      <c r="O91" s="711">
        <v>100</v>
      </c>
      <c r="P91" s="710">
        <v>1</v>
      </c>
      <c r="Q91" s="709">
        <v>10</v>
      </c>
      <c r="R91" s="709"/>
      <c r="S91" s="709"/>
      <c r="T91" s="708"/>
      <c r="U91" s="708"/>
    </row>
    <row r="92" spans="1:21" ht="22.5" customHeight="1">
      <c r="A92" s="714">
        <v>29</v>
      </c>
      <c r="B92" s="714" t="s">
        <v>136</v>
      </c>
      <c r="C92" s="714"/>
      <c r="D92" s="714" t="s">
        <v>2299</v>
      </c>
      <c r="E92" s="712">
        <v>170</v>
      </c>
      <c r="F92" s="709">
        <v>500</v>
      </c>
      <c r="G92" s="1729">
        <f t="shared" si="7"/>
        <v>4500</v>
      </c>
      <c r="H92" s="712">
        <v>8</v>
      </c>
      <c r="I92" s="709">
        <v>16</v>
      </c>
      <c r="J92" s="713"/>
      <c r="K92" s="710"/>
      <c r="L92" s="712">
        <v>10</v>
      </c>
      <c r="M92" s="711">
        <v>100</v>
      </c>
      <c r="N92" s="711">
        <v>100</v>
      </c>
      <c r="O92" s="711">
        <v>100</v>
      </c>
      <c r="P92" s="710">
        <v>1</v>
      </c>
      <c r="Q92" s="709">
        <v>10</v>
      </c>
      <c r="R92" s="709"/>
      <c r="S92" s="709"/>
      <c r="T92" s="708"/>
      <c r="U92" s="708"/>
    </row>
    <row r="93" spans="1:21" ht="22.5" customHeight="1">
      <c r="A93" s="714">
        <v>30</v>
      </c>
      <c r="B93" s="714" t="s">
        <v>136</v>
      </c>
      <c r="C93" s="714"/>
      <c r="D93" s="714" t="s">
        <v>2294</v>
      </c>
      <c r="E93" s="712">
        <v>170</v>
      </c>
      <c r="F93" s="709">
        <v>400</v>
      </c>
      <c r="G93" s="1729">
        <f t="shared" si="7"/>
        <v>4500</v>
      </c>
      <c r="H93" s="712">
        <v>6</v>
      </c>
      <c r="I93" s="709">
        <v>16</v>
      </c>
      <c r="J93" s="713"/>
      <c r="K93" s="710"/>
      <c r="L93" s="712">
        <v>10</v>
      </c>
      <c r="M93" s="711">
        <v>100</v>
      </c>
      <c r="N93" s="711">
        <v>100</v>
      </c>
      <c r="O93" s="711">
        <v>100</v>
      </c>
      <c r="P93" s="710"/>
      <c r="Q93" s="709"/>
      <c r="R93" s="709"/>
      <c r="S93" s="709"/>
      <c r="T93" s="708"/>
      <c r="U93" s="708"/>
    </row>
    <row r="94" spans="1:21" ht="22.5" customHeight="1">
      <c r="A94" s="714">
        <v>44</v>
      </c>
      <c r="B94" s="714" t="s">
        <v>136</v>
      </c>
      <c r="C94" s="714"/>
      <c r="D94" s="714" t="s">
        <v>2294</v>
      </c>
      <c r="E94" s="712">
        <v>170</v>
      </c>
      <c r="F94" s="709">
        <v>400</v>
      </c>
      <c r="G94" s="1729">
        <f t="shared" si="7"/>
        <v>4500</v>
      </c>
      <c r="H94" s="712">
        <v>6</v>
      </c>
      <c r="I94" s="709">
        <v>16</v>
      </c>
      <c r="J94" s="713"/>
      <c r="K94" s="710"/>
      <c r="L94" s="712">
        <v>10</v>
      </c>
      <c r="M94" s="711">
        <v>100</v>
      </c>
      <c r="N94" s="711">
        <v>100</v>
      </c>
      <c r="O94" s="711">
        <v>100</v>
      </c>
      <c r="P94" s="710"/>
      <c r="Q94" s="709"/>
      <c r="R94" s="709"/>
      <c r="S94" s="709"/>
      <c r="T94" s="708"/>
      <c r="U94" s="708"/>
    </row>
    <row r="95" spans="1:21" ht="22.5" customHeight="1">
      <c r="A95" s="714"/>
      <c r="B95" s="714"/>
      <c r="C95" s="714"/>
      <c r="D95" s="714"/>
      <c r="E95" s="712"/>
      <c r="F95" s="709"/>
      <c r="G95" s="1729"/>
      <c r="H95" s="712"/>
      <c r="I95" s="709"/>
      <c r="J95" s="713"/>
      <c r="K95" s="710"/>
      <c r="L95" s="712"/>
      <c r="M95" s="711"/>
      <c r="N95" s="711"/>
      <c r="O95" s="711"/>
      <c r="P95" s="710"/>
      <c r="Q95" s="709"/>
      <c r="R95" s="709"/>
      <c r="S95" s="709"/>
      <c r="T95" s="708"/>
      <c r="U95" s="708"/>
    </row>
    <row r="96" spans="1:21" ht="22.5" customHeight="1">
      <c r="A96" s="714">
        <v>101</v>
      </c>
      <c r="B96" s="714" t="s">
        <v>136</v>
      </c>
      <c r="C96" s="714"/>
      <c r="D96" s="714" t="s">
        <v>2299</v>
      </c>
      <c r="E96" s="712">
        <v>170</v>
      </c>
      <c r="F96" s="709">
        <v>500</v>
      </c>
      <c r="G96" s="1729">
        <f>9000-4500</f>
        <v>4500</v>
      </c>
      <c r="H96" s="712">
        <v>8</v>
      </c>
      <c r="I96" s="709">
        <v>16</v>
      </c>
      <c r="J96" s="713"/>
      <c r="K96" s="710"/>
      <c r="L96" s="712">
        <v>10</v>
      </c>
      <c r="M96" s="711">
        <v>100</v>
      </c>
      <c r="N96" s="711">
        <v>100</v>
      </c>
      <c r="O96" s="711">
        <v>100</v>
      </c>
      <c r="P96" s="710">
        <v>1</v>
      </c>
      <c r="Q96" s="709">
        <v>10</v>
      </c>
      <c r="R96" s="709"/>
      <c r="S96" s="709"/>
      <c r="T96" s="708"/>
      <c r="U96" s="708"/>
    </row>
    <row r="97" spans="1:21" ht="22.5" customHeight="1">
      <c r="A97" s="714">
        <v>102</v>
      </c>
      <c r="B97" s="714" t="s">
        <v>136</v>
      </c>
      <c r="C97" s="714"/>
      <c r="D97" s="714" t="s">
        <v>2294</v>
      </c>
      <c r="E97" s="712">
        <v>170</v>
      </c>
      <c r="F97" s="709">
        <v>400</v>
      </c>
      <c r="G97" s="1729">
        <f>9000-2750</f>
        <v>6250</v>
      </c>
      <c r="H97" s="712">
        <v>6</v>
      </c>
      <c r="I97" s="709">
        <v>16</v>
      </c>
      <c r="J97" s="713"/>
      <c r="K97" s="710"/>
      <c r="L97" s="712">
        <v>10</v>
      </c>
      <c r="M97" s="711">
        <v>100</v>
      </c>
      <c r="N97" s="711">
        <v>100</v>
      </c>
      <c r="O97" s="711">
        <v>100</v>
      </c>
      <c r="P97" s="710"/>
      <c r="Q97" s="709"/>
      <c r="R97" s="709"/>
      <c r="S97" s="709"/>
      <c r="T97" s="708"/>
      <c r="U97" s="708"/>
    </row>
    <row r="98" spans="1:21" ht="22.5" customHeight="1">
      <c r="A98" s="714">
        <v>103</v>
      </c>
      <c r="B98" s="714" t="s">
        <v>136</v>
      </c>
      <c r="C98" s="714"/>
      <c r="D98" s="714" t="s">
        <v>2294</v>
      </c>
      <c r="E98" s="712">
        <v>170</v>
      </c>
      <c r="F98" s="709">
        <v>400</v>
      </c>
      <c r="G98" s="1729">
        <f>9000-2750</f>
        <v>6250</v>
      </c>
      <c r="H98" s="712">
        <v>6</v>
      </c>
      <c r="I98" s="709">
        <v>16</v>
      </c>
      <c r="J98" s="713"/>
      <c r="K98" s="710"/>
      <c r="L98" s="712">
        <v>10</v>
      </c>
      <c r="M98" s="711">
        <v>100</v>
      </c>
      <c r="N98" s="711">
        <v>100</v>
      </c>
      <c r="O98" s="711">
        <v>100</v>
      </c>
      <c r="P98" s="710"/>
      <c r="Q98" s="709"/>
      <c r="R98" s="709"/>
      <c r="S98" s="709"/>
      <c r="T98" s="708"/>
      <c r="U98" s="708"/>
    </row>
    <row r="99" spans="1:21" ht="22.5" customHeight="1">
      <c r="A99" s="714"/>
      <c r="B99" s="714"/>
      <c r="C99" s="714"/>
      <c r="D99" s="714"/>
      <c r="E99" s="712"/>
      <c r="F99" s="709"/>
      <c r="G99" s="1729"/>
      <c r="H99" s="712"/>
      <c r="I99" s="709"/>
      <c r="J99" s="713"/>
      <c r="K99" s="710"/>
      <c r="L99" s="712"/>
      <c r="M99" s="711"/>
      <c r="N99" s="711"/>
      <c r="O99" s="711"/>
      <c r="P99" s="710"/>
      <c r="Q99" s="709"/>
      <c r="R99" s="709"/>
      <c r="S99" s="709"/>
      <c r="T99" s="708"/>
      <c r="U99" s="708"/>
    </row>
    <row r="100" spans="1:21" ht="22.5" customHeight="1">
      <c r="A100" s="714">
        <v>1</v>
      </c>
      <c r="B100" s="714" t="s">
        <v>219</v>
      </c>
      <c r="C100" s="714"/>
      <c r="D100" s="714" t="s">
        <v>2302</v>
      </c>
      <c r="E100" s="712">
        <v>130</v>
      </c>
      <c r="F100" s="709">
        <v>400</v>
      </c>
      <c r="G100" s="1729">
        <f>12500-9000</f>
        <v>3500</v>
      </c>
      <c r="H100" s="712">
        <v>6</v>
      </c>
      <c r="I100" s="709">
        <v>16</v>
      </c>
      <c r="J100" s="713"/>
      <c r="K100" s="710"/>
      <c r="L100" s="712">
        <v>10</v>
      </c>
      <c r="M100" s="711">
        <v>100</v>
      </c>
      <c r="N100" s="711">
        <v>100</v>
      </c>
      <c r="O100" s="711">
        <v>100</v>
      </c>
      <c r="P100" s="710"/>
      <c r="Q100" s="709"/>
      <c r="R100" s="709"/>
      <c r="S100" s="709"/>
      <c r="T100" s="708"/>
      <c r="U100" s="708"/>
    </row>
    <row r="101" spans="1:21" ht="22.5" customHeight="1">
      <c r="A101" s="714">
        <v>2</v>
      </c>
      <c r="B101" s="714" t="s">
        <v>219</v>
      </c>
      <c r="C101" s="714"/>
      <c r="D101" s="714" t="s">
        <v>2294</v>
      </c>
      <c r="E101" s="712">
        <v>170</v>
      </c>
      <c r="F101" s="709">
        <v>400</v>
      </c>
      <c r="G101" s="1729">
        <f t="shared" ref="G101:G130" si="8">12500-9000</f>
        <v>3500</v>
      </c>
      <c r="H101" s="712">
        <v>6</v>
      </c>
      <c r="I101" s="709">
        <v>16</v>
      </c>
      <c r="J101" s="713"/>
      <c r="K101" s="710"/>
      <c r="L101" s="712">
        <v>10</v>
      </c>
      <c r="M101" s="711">
        <v>100</v>
      </c>
      <c r="N101" s="711">
        <v>100</v>
      </c>
      <c r="O101" s="711">
        <v>100</v>
      </c>
      <c r="P101" s="710"/>
      <c r="Q101" s="709"/>
      <c r="R101" s="709"/>
      <c r="S101" s="709"/>
      <c r="T101" s="708"/>
      <c r="U101" s="708"/>
    </row>
    <row r="102" spans="1:21" ht="22.5" customHeight="1">
      <c r="A102" s="714">
        <v>3</v>
      </c>
      <c r="B102" s="714" t="s">
        <v>219</v>
      </c>
      <c r="C102" s="714"/>
      <c r="D102" s="714" t="s">
        <v>2294</v>
      </c>
      <c r="E102" s="712">
        <v>170</v>
      </c>
      <c r="F102" s="709">
        <v>400</v>
      </c>
      <c r="G102" s="1729">
        <f t="shared" si="8"/>
        <v>3500</v>
      </c>
      <c r="H102" s="712">
        <v>6</v>
      </c>
      <c r="I102" s="709">
        <v>16</v>
      </c>
      <c r="J102" s="713"/>
      <c r="K102" s="710"/>
      <c r="L102" s="712">
        <v>10</v>
      </c>
      <c r="M102" s="711">
        <v>100</v>
      </c>
      <c r="N102" s="711">
        <v>100</v>
      </c>
      <c r="O102" s="711">
        <v>100</v>
      </c>
      <c r="P102" s="710"/>
      <c r="Q102" s="709"/>
      <c r="R102" s="709"/>
      <c r="S102" s="709"/>
      <c r="T102" s="708"/>
      <c r="U102" s="708"/>
    </row>
    <row r="103" spans="1:21" ht="22.5" customHeight="1">
      <c r="A103" s="714">
        <v>8</v>
      </c>
      <c r="B103" s="714" t="s">
        <v>219</v>
      </c>
      <c r="C103" s="714"/>
      <c r="D103" s="714" t="s">
        <v>2302</v>
      </c>
      <c r="E103" s="712">
        <v>130</v>
      </c>
      <c r="F103" s="709">
        <v>400</v>
      </c>
      <c r="G103" s="1729">
        <f t="shared" si="8"/>
        <v>3500</v>
      </c>
      <c r="H103" s="712">
        <v>6</v>
      </c>
      <c r="I103" s="709">
        <v>16</v>
      </c>
      <c r="J103" s="713"/>
      <c r="K103" s="710"/>
      <c r="L103" s="712">
        <v>10</v>
      </c>
      <c r="M103" s="711">
        <v>100</v>
      </c>
      <c r="N103" s="711">
        <v>100</v>
      </c>
      <c r="O103" s="711">
        <v>100</v>
      </c>
      <c r="P103" s="710"/>
      <c r="Q103" s="709"/>
      <c r="R103" s="709"/>
      <c r="S103" s="709"/>
      <c r="T103" s="708"/>
      <c r="U103" s="708"/>
    </row>
    <row r="104" spans="1:21" ht="22.5" customHeight="1">
      <c r="A104" s="714">
        <v>10</v>
      </c>
      <c r="B104" s="714" t="s">
        <v>219</v>
      </c>
      <c r="C104" s="714"/>
      <c r="D104" s="714" t="s">
        <v>2302</v>
      </c>
      <c r="E104" s="712">
        <v>130</v>
      </c>
      <c r="F104" s="709">
        <v>400</v>
      </c>
      <c r="G104" s="1729">
        <f t="shared" si="8"/>
        <v>3500</v>
      </c>
      <c r="H104" s="712">
        <v>6</v>
      </c>
      <c r="I104" s="709">
        <v>16</v>
      </c>
      <c r="J104" s="713"/>
      <c r="K104" s="710"/>
      <c r="L104" s="712">
        <v>10</v>
      </c>
      <c r="M104" s="711">
        <v>100</v>
      </c>
      <c r="N104" s="711">
        <v>100</v>
      </c>
      <c r="O104" s="711">
        <v>100</v>
      </c>
      <c r="P104" s="710"/>
      <c r="Q104" s="709"/>
      <c r="R104" s="709"/>
      <c r="S104" s="709"/>
      <c r="T104" s="708"/>
      <c r="U104" s="708"/>
    </row>
    <row r="105" spans="1:21" ht="22.5" customHeight="1">
      <c r="A105" s="714">
        <v>11</v>
      </c>
      <c r="B105" s="714" t="s">
        <v>219</v>
      </c>
      <c r="C105" s="714"/>
      <c r="D105" s="714" t="s">
        <v>2303</v>
      </c>
      <c r="E105" s="712">
        <v>130</v>
      </c>
      <c r="F105" s="709">
        <v>500</v>
      </c>
      <c r="G105" s="1729">
        <f t="shared" si="8"/>
        <v>3500</v>
      </c>
      <c r="H105" s="712">
        <v>6</v>
      </c>
      <c r="I105" s="709">
        <v>16</v>
      </c>
      <c r="J105" s="713"/>
      <c r="K105" s="710"/>
      <c r="L105" s="712">
        <v>10</v>
      </c>
      <c r="M105" s="711">
        <v>100</v>
      </c>
      <c r="N105" s="711">
        <v>100</v>
      </c>
      <c r="O105" s="711">
        <v>100</v>
      </c>
      <c r="P105" s="710"/>
      <c r="Q105" s="709"/>
      <c r="R105" s="709"/>
      <c r="S105" s="709"/>
      <c r="T105" s="708"/>
      <c r="U105" s="708"/>
    </row>
    <row r="106" spans="1:21" ht="22.5" customHeight="1">
      <c r="A106" s="714">
        <v>12</v>
      </c>
      <c r="B106" s="714" t="s">
        <v>219</v>
      </c>
      <c r="C106" s="714"/>
      <c r="D106" s="714" t="s">
        <v>2303</v>
      </c>
      <c r="E106" s="712">
        <v>130</v>
      </c>
      <c r="F106" s="709">
        <v>500</v>
      </c>
      <c r="G106" s="1729">
        <f t="shared" si="8"/>
        <v>3500</v>
      </c>
      <c r="H106" s="712">
        <v>6</v>
      </c>
      <c r="I106" s="709">
        <v>16</v>
      </c>
      <c r="J106" s="713"/>
      <c r="K106" s="710"/>
      <c r="L106" s="712">
        <v>10</v>
      </c>
      <c r="M106" s="711">
        <v>100</v>
      </c>
      <c r="N106" s="711">
        <v>100</v>
      </c>
      <c r="O106" s="711">
        <v>100</v>
      </c>
      <c r="P106" s="710"/>
      <c r="Q106" s="709"/>
      <c r="R106" s="709"/>
      <c r="S106" s="709"/>
      <c r="T106" s="708"/>
      <c r="U106" s="708"/>
    </row>
    <row r="107" spans="1:21" ht="22.5" customHeight="1">
      <c r="A107" s="714">
        <v>14</v>
      </c>
      <c r="B107" s="714" t="s">
        <v>219</v>
      </c>
      <c r="C107" s="714"/>
      <c r="D107" s="714" t="s">
        <v>2302</v>
      </c>
      <c r="E107" s="712">
        <v>130</v>
      </c>
      <c r="F107" s="709">
        <v>400</v>
      </c>
      <c r="G107" s="1729">
        <f t="shared" si="8"/>
        <v>3500</v>
      </c>
      <c r="H107" s="712">
        <v>6</v>
      </c>
      <c r="I107" s="709">
        <v>16</v>
      </c>
      <c r="J107" s="713"/>
      <c r="K107" s="710"/>
      <c r="L107" s="712">
        <v>10</v>
      </c>
      <c r="M107" s="711">
        <v>100</v>
      </c>
      <c r="N107" s="711">
        <v>100</v>
      </c>
      <c r="O107" s="711">
        <v>100</v>
      </c>
      <c r="P107" s="710"/>
      <c r="Q107" s="709"/>
      <c r="R107" s="709"/>
      <c r="S107" s="709"/>
      <c r="T107" s="708"/>
      <c r="U107" s="708"/>
    </row>
    <row r="108" spans="1:21" ht="22.5" customHeight="1">
      <c r="A108" s="714">
        <v>15</v>
      </c>
      <c r="B108" s="714" t="s">
        <v>219</v>
      </c>
      <c r="C108" s="714"/>
      <c r="D108" s="714" t="s">
        <v>2302</v>
      </c>
      <c r="E108" s="712">
        <v>130</v>
      </c>
      <c r="F108" s="709">
        <v>400</v>
      </c>
      <c r="G108" s="1729">
        <f t="shared" si="8"/>
        <v>3500</v>
      </c>
      <c r="H108" s="712">
        <v>6</v>
      </c>
      <c r="I108" s="709">
        <v>16</v>
      </c>
      <c r="J108" s="713"/>
      <c r="K108" s="710"/>
      <c r="L108" s="712">
        <v>10</v>
      </c>
      <c r="M108" s="711">
        <v>100</v>
      </c>
      <c r="N108" s="711">
        <v>100</v>
      </c>
      <c r="O108" s="711">
        <v>100</v>
      </c>
      <c r="P108" s="710"/>
      <c r="Q108" s="709"/>
      <c r="R108" s="709"/>
      <c r="S108" s="709"/>
      <c r="T108" s="708"/>
      <c r="U108" s="708"/>
    </row>
    <row r="109" spans="1:21" ht="22.5" customHeight="1">
      <c r="A109" s="714">
        <v>17</v>
      </c>
      <c r="B109" s="714" t="s">
        <v>219</v>
      </c>
      <c r="C109" s="714"/>
      <c r="D109" s="714" t="s">
        <v>2302</v>
      </c>
      <c r="E109" s="712">
        <v>130</v>
      </c>
      <c r="F109" s="709">
        <v>400</v>
      </c>
      <c r="G109" s="1729">
        <f t="shared" si="8"/>
        <v>3500</v>
      </c>
      <c r="H109" s="712">
        <v>6</v>
      </c>
      <c r="I109" s="709">
        <v>16</v>
      </c>
      <c r="J109" s="713"/>
      <c r="K109" s="710"/>
      <c r="L109" s="712">
        <v>10</v>
      </c>
      <c r="M109" s="711">
        <v>100</v>
      </c>
      <c r="N109" s="711">
        <v>100</v>
      </c>
      <c r="O109" s="711">
        <v>100</v>
      </c>
      <c r="P109" s="710"/>
      <c r="Q109" s="709"/>
      <c r="R109" s="709"/>
      <c r="S109" s="709"/>
      <c r="T109" s="708"/>
      <c r="U109" s="708"/>
    </row>
    <row r="110" spans="1:21" ht="22.5" customHeight="1">
      <c r="A110" s="714">
        <v>18</v>
      </c>
      <c r="B110" s="714" t="s">
        <v>219</v>
      </c>
      <c r="C110" s="714"/>
      <c r="D110" s="714" t="s">
        <v>2293</v>
      </c>
      <c r="E110" s="712">
        <v>170</v>
      </c>
      <c r="F110" s="709">
        <v>500</v>
      </c>
      <c r="G110" s="1729">
        <f t="shared" si="8"/>
        <v>3500</v>
      </c>
      <c r="H110" s="712">
        <v>6</v>
      </c>
      <c r="I110" s="709">
        <v>16</v>
      </c>
      <c r="J110" s="713"/>
      <c r="K110" s="710"/>
      <c r="L110" s="712">
        <v>10</v>
      </c>
      <c r="M110" s="711">
        <v>100</v>
      </c>
      <c r="N110" s="711">
        <v>100</v>
      </c>
      <c r="O110" s="711">
        <v>100</v>
      </c>
      <c r="P110" s="710"/>
      <c r="Q110" s="709"/>
      <c r="R110" s="709"/>
      <c r="S110" s="709"/>
      <c r="T110" s="708"/>
      <c r="U110" s="708"/>
    </row>
    <row r="111" spans="1:21" ht="22.5" customHeight="1">
      <c r="A111" s="714">
        <v>19</v>
      </c>
      <c r="B111" s="714" t="s">
        <v>219</v>
      </c>
      <c r="C111" s="714"/>
      <c r="D111" s="714" t="s">
        <v>2293</v>
      </c>
      <c r="E111" s="712">
        <v>170</v>
      </c>
      <c r="F111" s="709">
        <v>500</v>
      </c>
      <c r="G111" s="1729">
        <f t="shared" si="8"/>
        <v>3500</v>
      </c>
      <c r="H111" s="712">
        <v>6</v>
      </c>
      <c r="I111" s="709">
        <v>16</v>
      </c>
      <c r="J111" s="713"/>
      <c r="K111" s="710"/>
      <c r="L111" s="712">
        <v>10</v>
      </c>
      <c r="M111" s="711">
        <v>100</v>
      </c>
      <c r="N111" s="711">
        <v>100</v>
      </c>
      <c r="O111" s="711">
        <v>100</v>
      </c>
      <c r="P111" s="710"/>
      <c r="Q111" s="709"/>
      <c r="R111" s="709"/>
      <c r="S111" s="709"/>
      <c r="T111" s="708"/>
      <c r="U111" s="708"/>
    </row>
    <row r="112" spans="1:21" ht="22.5" customHeight="1">
      <c r="A112" s="714">
        <v>20</v>
      </c>
      <c r="B112" s="714" t="s">
        <v>219</v>
      </c>
      <c r="C112" s="714"/>
      <c r="D112" s="714" t="s">
        <v>2303</v>
      </c>
      <c r="E112" s="712">
        <v>130</v>
      </c>
      <c r="F112" s="709">
        <v>500</v>
      </c>
      <c r="G112" s="1729">
        <f t="shared" si="8"/>
        <v>3500</v>
      </c>
      <c r="H112" s="712">
        <v>6</v>
      </c>
      <c r="I112" s="709">
        <v>16</v>
      </c>
      <c r="J112" s="713"/>
      <c r="K112" s="710"/>
      <c r="L112" s="712">
        <v>10</v>
      </c>
      <c r="M112" s="711">
        <v>100</v>
      </c>
      <c r="N112" s="711">
        <v>100</v>
      </c>
      <c r="O112" s="711">
        <v>100</v>
      </c>
      <c r="P112" s="710"/>
      <c r="Q112" s="709"/>
      <c r="R112" s="709"/>
      <c r="S112" s="709"/>
      <c r="T112" s="708"/>
      <c r="U112" s="708"/>
    </row>
    <row r="113" spans="1:21" ht="22.5" customHeight="1">
      <c r="A113" s="714">
        <v>21</v>
      </c>
      <c r="B113" s="714" t="s">
        <v>219</v>
      </c>
      <c r="C113" s="714"/>
      <c r="D113" s="714" t="s">
        <v>2293</v>
      </c>
      <c r="E113" s="712">
        <v>170</v>
      </c>
      <c r="F113" s="709">
        <v>500</v>
      </c>
      <c r="G113" s="1729">
        <f t="shared" si="8"/>
        <v>3500</v>
      </c>
      <c r="H113" s="712">
        <v>6</v>
      </c>
      <c r="I113" s="709">
        <v>16</v>
      </c>
      <c r="J113" s="713"/>
      <c r="K113" s="710"/>
      <c r="L113" s="712">
        <v>10</v>
      </c>
      <c r="M113" s="711">
        <v>100</v>
      </c>
      <c r="N113" s="711">
        <v>100</v>
      </c>
      <c r="O113" s="711">
        <v>100</v>
      </c>
      <c r="P113" s="710"/>
      <c r="Q113" s="709"/>
      <c r="R113" s="709"/>
      <c r="S113" s="709"/>
      <c r="T113" s="708"/>
      <c r="U113" s="708"/>
    </row>
    <row r="114" spans="1:21" ht="22.5" customHeight="1">
      <c r="A114" s="714">
        <v>22</v>
      </c>
      <c r="B114" s="714" t="s">
        <v>219</v>
      </c>
      <c r="C114" s="714"/>
      <c r="D114" s="714" t="s">
        <v>2293</v>
      </c>
      <c r="E114" s="712">
        <v>170</v>
      </c>
      <c r="F114" s="709">
        <v>500</v>
      </c>
      <c r="G114" s="1729">
        <f t="shared" si="8"/>
        <v>3500</v>
      </c>
      <c r="H114" s="712">
        <v>6</v>
      </c>
      <c r="I114" s="709">
        <v>16</v>
      </c>
      <c r="J114" s="713"/>
      <c r="K114" s="710"/>
      <c r="L114" s="712">
        <v>10</v>
      </c>
      <c r="M114" s="711">
        <v>100</v>
      </c>
      <c r="N114" s="711">
        <v>100</v>
      </c>
      <c r="O114" s="711">
        <v>100</v>
      </c>
      <c r="P114" s="710"/>
      <c r="Q114" s="709"/>
      <c r="R114" s="709"/>
      <c r="S114" s="709"/>
      <c r="T114" s="708"/>
      <c r="U114" s="708"/>
    </row>
    <row r="115" spans="1:21" ht="22.5" customHeight="1">
      <c r="A115" s="714">
        <v>23</v>
      </c>
      <c r="B115" s="714" t="s">
        <v>219</v>
      </c>
      <c r="C115" s="714"/>
      <c r="D115" s="714" t="s">
        <v>2303</v>
      </c>
      <c r="E115" s="712">
        <v>130</v>
      </c>
      <c r="F115" s="709">
        <v>500</v>
      </c>
      <c r="G115" s="1729">
        <f t="shared" si="8"/>
        <v>3500</v>
      </c>
      <c r="H115" s="712">
        <v>6</v>
      </c>
      <c r="I115" s="709">
        <v>16</v>
      </c>
      <c r="J115" s="713"/>
      <c r="K115" s="710"/>
      <c r="L115" s="712">
        <v>10</v>
      </c>
      <c r="M115" s="711">
        <v>100</v>
      </c>
      <c r="N115" s="711">
        <v>100</v>
      </c>
      <c r="O115" s="711">
        <v>100</v>
      </c>
      <c r="P115" s="710"/>
      <c r="Q115" s="709"/>
      <c r="R115" s="709"/>
      <c r="S115" s="709"/>
      <c r="T115" s="708"/>
      <c r="U115" s="708"/>
    </row>
    <row r="116" spans="1:21" ht="22.5" customHeight="1">
      <c r="A116" s="714">
        <v>25</v>
      </c>
      <c r="B116" s="714" t="s">
        <v>219</v>
      </c>
      <c r="C116" s="714"/>
      <c r="D116" s="714" t="s">
        <v>2303</v>
      </c>
      <c r="E116" s="712">
        <v>130</v>
      </c>
      <c r="F116" s="709">
        <v>500</v>
      </c>
      <c r="G116" s="1729">
        <f t="shared" si="8"/>
        <v>3500</v>
      </c>
      <c r="H116" s="712">
        <v>6</v>
      </c>
      <c r="I116" s="709">
        <v>16</v>
      </c>
      <c r="J116" s="713"/>
      <c r="K116" s="710"/>
      <c r="L116" s="712">
        <v>10</v>
      </c>
      <c r="M116" s="711">
        <v>100</v>
      </c>
      <c r="N116" s="711">
        <v>100</v>
      </c>
      <c r="O116" s="711">
        <v>100</v>
      </c>
      <c r="P116" s="710"/>
      <c r="Q116" s="709"/>
      <c r="R116" s="709"/>
      <c r="S116" s="709"/>
      <c r="T116" s="708"/>
      <c r="U116" s="708"/>
    </row>
    <row r="117" spans="1:21" ht="22.5" customHeight="1">
      <c r="A117" s="714">
        <v>27</v>
      </c>
      <c r="B117" s="714" t="s">
        <v>219</v>
      </c>
      <c r="C117" s="714"/>
      <c r="D117" s="714" t="s">
        <v>2294</v>
      </c>
      <c r="E117" s="712">
        <v>170</v>
      </c>
      <c r="F117" s="709">
        <v>400</v>
      </c>
      <c r="G117" s="1729">
        <f t="shared" si="8"/>
        <v>3500</v>
      </c>
      <c r="H117" s="712">
        <v>6</v>
      </c>
      <c r="I117" s="709">
        <v>16</v>
      </c>
      <c r="J117" s="713"/>
      <c r="K117" s="710"/>
      <c r="L117" s="712">
        <v>10</v>
      </c>
      <c r="M117" s="711">
        <v>100</v>
      </c>
      <c r="N117" s="711">
        <v>100</v>
      </c>
      <c r="O117" s="711">
        <v>100</v>
      </c>
      <c r="P117" s="710"/>
      <c r="Q117" s="709"/>
      <c r="R117" s="709"/>
      <c r="S117" s="709"/>
      <c r="T117" s="708"/>
      <c r="U117" s="708"/>
    </row>
    <row r="118" spans="1:21" ht="22.5" customHeight="1">
      <c r="A118" s="714">
        <v>28</v>
      </c>
      <c r="B118" s="714" t="s">
        <v>219</v>
      </c>
      <c r="C118" s="714"/>
      <c r="D118" s="714" t="s">
        <v>2303</v>
      </c>
      <c r="E118" s="712">
        <v>130</v>
      </c>
      <c r="F118" s="709">
        <v>500</v>
      </c>
      <c r="G118" s="1729">
        <f t="shared" si="8"/>
        <v>3500</v>
      </c>
      <c r="H118" s="712">
        <v>6</v>
      </c>
      <c r="I118" s="709">
        <v>16</v>
      </c>
      <c r="J118" s="713"/>
      <c r="K118" s="710"/>
      <c r="L118" s="712">
        <v>10</v>
      </c>
      <c r="M118" s="711">
        <v>100</v>
      </c>
      <c r="N118" s="711">
        <v>100</v>
      </c>
      <c r="O118" s="711">
        <v>100</v>
      </c>
      <c r="P118" s="710"/>
      <c r="Q118" s="709"/>
      <c r="R118" s="709"/>
      <c r="S118" s="709"/>
      <c r="T118" s="708"/>
      <c r="U118" s="708"/>
    </row>
    <row r="119" spans="1:21" ht="22.5" customHeight="1">
      <c r="A119" s="714">
        <v>29</v>
      </c>
      <c r="B119" s="714" t="s">
        <v>219</v>
      </c>
      <c r="C119" s="714"/>
      <c r="D119" s="714" t="s">
        <v>2303</v>
      </c>
      <c r="E119" s="712">
        <v>130</v>
      </c>
      <c r="F119" s="709">
        <v>500</v>
      </c>
      <c r="G119" s="1729">
        <f t="shared" si="8"/>
        <v>3500</v>
      </c>
      <c r="H119" s="712">
        <v>6</v>
      </c>
      <c r="I119" s="709">
        <v>16</v>
      </c>
      <c r="J119" s="713"/>
      <c r="K119" s="710"/>
      <c r="L119" s="712">
        <v>10</v>
      </c>
      <c r="M119" s="711">
        <v>100</v>
      </c>
      <c r="N119" s="711">
        <v>100</v>
      </c>
      <c r="O119" s="711">
        <v>100</v>
      </c>
      <c r="P119" s="710"/>
      <c r="Q119" s="709"/>
      <c r="R119" s="709"/>
      <c r="S119" s="709"/>
      <c r="T119" s="708"/>
      <c r="U119" s="708"/>
    </row>
    <row r="120" spans="1:21" ht="22.5" customHeight="1">
      <c r="A120" s="714"/>
      <c r="B120" s="714"/>
      <c r="C120" s="714"/>
      <c r="D120" s="714"/>
      <c r="E120" s="712"/>
      <c r="F120" s="709"/>
      <c r="G120" s="1729"/>
      <c r="H120" s="712"/>
      <c r="I120" s="709"/>
      <c r="J120" s="713"/>
      <c r="K120" s="710"/>
      <c r="L120" s="712"/>
      <c r="M120" s="711"/>
      <c r="N120" s="711"/>
      <c r="O120" s="711"/>
      <c r="P120" s="710"/>
      <c r="Q120" s="709"/>
      <c r="R120" s="709"/>
      <c r="S120" s="709"/>
      <c r="T120" s="708"/>
      <c r="U120" s="708"/>
    </row>
    <row r="121" spans="1:21" ht="22.5" customHeight="1">
      <c r="A121" s="714">
        <v>101</v>
      </c>
      <c r="B121" s="714" t="s">
        <v>219</v>
      </c>
      <c r="C121" s="714"/>
      <c r="D121" s="714" t="s">
        <v>2303</v>
      </c>
      <c r="E121" s="712">
        <v>130</v>
      </c>
      <c r="F121" s="709">
        <v>500</v>
      </c>
      <c r="G121" s="1729">
        <f t="shared" si="8"/>
        <v>3500</v>
      </c>
      <c r="H121" s="712">
        <v>6</v>
      </c>
      <c r="I121" s="709">
        <v>16</v>
      </c>
      <c r="J121" s="713"/>
      <c r="K121" s="710"/>
      <c r="L121" s="712">
        <v>10</v>
      </c>
      <c r="M121" s="711">
        <v>100</v>
      </c>
      <c r="N121" s="711">
        <v>100</v>
      </c>
      <c r="O121" s="711">
        <v>100</v>
      </c>
      <c r="P121" s="710"/>
      <c r="Q121" s="709"/>
      <c r="R121" s="709"/>
      <c r="S121" s="709"/>
      <c r="T121" s="708"/>
      <c r="U121" s="708"/>
    </row>
    <row r="122" spans="1:21" ht="22.5" customHeight="1">
      <c r="A122" s="714">
        <v>102</v>
      </c>
      <c r="B122" s="714" t="s">
        <v>219</v>
      </c>
      <c r="C122" s="714"/>
      <c r="D122" s="714" t="s">
        <v>2294</v>
      </c>
      <c r="E122" s="712">
        <v>170</v>
      </c>
      <c r="F122" s="709">
        <v>400</v>
      </c>
      <c r="G122" s="1729">
        <f t="shared" si="8"/>
        <v>3500</v>
      </c>
      <c r="H122" s="712">
        <v>6</v>
      </c>
      <c r="I122" s="709">
        <v>16</v>
      </c>
      <c r="J122" s="713"/>
      <c r="K122" s="710"/>
      <c r="L122" s="712">
        <v>10</v>
      </c>
      <c r="M122" s="711">
        <v>100</v>
      </c>
      <c r="N122" s="711">
        <v>100</v>
      </c>
      <c r="O122" s="711">
        <v>100</v>
      </c>
      <c r="P122" s="710"/>
      <c r="Q122" s="709"/>
      <c r="R122" s="709"/>
      <c r="S122" s="709"/>
      <c r="T122" s="708"/>
      <c r="U122" s="708"/>
    </row>
    <row r="123" spans="1:21" ht="22.5" customHeight="1">
      <c r="A123" s="714">
        <v>103</v>
      </c>
      <c r="B123" s="714" t="s">
        <v>219</v>
      </c>
      <c r="C123" s="714"/>
      <c r="D123" s="714" t="s">
        <v>2294</v>
      </c>
      <c r="E123" s="712">
        <v>170</v>
      </c>
      <c r="F123" s="709">
        <v>400</v>
      </c>
      <c r="G123" s="1729">
        <f t="shared" si="8"/>
        <v>3500</v>
      </c>
      <c r="H123" s="712">
        <v>6</v>
      </c>
      <c r="I123" s="709">
        <v>16</v>
      </c>
      <c r="J123" s="713"/>
      <c r="K123" s="710"/>
      <c r="L123" s="712">
        <v>10</v>
      </c>
      <c r="M123" s="711">
        <v>100</v>
      </c>
      <c r="N123" s="711">
        <v>100</v>
      </c>
      <c r="O123" s="711">
        <v>100</v>
      </c>
      <c r="P123" s="710"/>
      <c r="Q123" s="709"/>
      <c r="R123" s="709"/>
      <c r="S123" s="709"/>
      <c r="T123" s="708"/>
      <c r="U123" s="708"/>
    </row>
    <row r="124" spans="1:21" ht="22.5" customHeight="1">
      <c r="A124" s="714"/>
      <c r="B124" s="714"/>
      <c r="C124" s="714"/>
      <c r="D124" s="714"/>
      <c r="E124" s="712"/>
      <c r="F124" s="709"/>
      <c r="G124" s="1729"/>
      <c r="H124" s="712"/>
      <c r="I124" s="709"/>
      <c r="J124" s="713"/>
      <c r="K124" s="710"/>
      <c r="L124" s="712"/>
      <c r="M124" s="711"/>
      <c r="N124" s="711"/>
      <c r="O124" s="711"/>
      <c r="P124" s="710"/>
      <c r="Q124" s="709"/>
      <c r="R124" s="709"/>
      <c r="S124" s="709"/>
      <c r="T124" s="708"/>
      <c r="U124" s="708"/>
    </row>
    <row r="125" spans="1:21" ht="22.5" customHeight="1">
      <c r="A125" s="714">
        <v>201</v>
      </c>
      <c r="B125" s="714" t="s">
        <v>219</v>
      </c>
      <c r="C125" s="714"/>
      <c r="D125" s="714" t="s">
        <v>2302</v>
      </c>
      <c r="E125" s="712">
        <v>130</v>
      </c>
      <c r="F125" s="709">
        <v>400</v>
      </c>
      <c r="G125" s="1729">
        <f t="shared" si="8"/>
        <v>3500</v>
      </c>
      <c r="H125" s="712">
        <v>6</v>
      </c>
      <c r="I125" s="709">
        <v>16</v>
      </c>
      <c r="J125" s="713"/>
      <c r="K125" s="710"/>
      <c r="L125" s="712">
        <v>10</v>
      </c>
      <c r="M125" s="711">
        <v>100</v>
      </c>
      <c r="N125" s="711">
        <v>100</v>
      </c>
      <c r="O125" s="711">
        <v>100</v>
      </c>
      <c r="P125" s="710"/>
      <c r="Q125" s="709"/>
      <c r="R125" s="709"/>
      <c r="S125" s="709"/>
      <c r="T125" s="708"/>
      <c r="U125" s="708"/>
    </row>
    <row r="126" spans="1:21" ht="22.5" customHeight="1">
      <c r="A126" s="714">
        <v>202</v>
      </c>
      <c r="B126" s="714" t="s">
        <v>219</v>
      </c>
      <c r="C126" s="714"/>
      <c r="D126" s="714" t="s">
        <v>2302</v>
      </c>
      <c r="E126" s="712">
        <v>130</v>
      </c>
      <c r="F126" s="709">
        <v>400</v>
      </c>
      <c r="G126" s="1729">
        <f t="shared" si="8"/>
        <v>3500</v>
      </c>
      <c r="H126" s="712">
        <v>6</v>
      </c>
      <c r="I126" s="709">
        <v>16</v>
      </c>
      <c r="J126" s="713"/>
      <c r="K126" s="710"/>
      <c r="L126" s="712">
        <v>10</v>
      </c>
      <c r="M126" s="711">
        <v>100</v>
      </c>
      <c r="N126" s="711">
        <v>100</v>
      </c>
      <c r="O126" s="711">
        <v>100</v>
      </c>
      <c r="P126" s="710"/>
      <c r="Q126" s="709"/>
      <c r="R126" s="709"/>
      <c r="S126" s="709"/>
      <c r="T126" s="708"/>
      <c r="U126" s="708"/>
    </row>
    <row r="127" spans="1:21" ht="22.5" customHeight="1">
      <c r="A127" s="714">
        <v>203</v>
      </c>
      <c r="B127" s="714" t="s">
        <v>219</v>
      </c>
      <c r="C127" s="714"/>
      <c r="D127" s="714" t="s">
        <v>2302</v>
      </c>
      <c r="E127" s="712">
        <v>130</v>
      </c>
      <c r="F127" s="709">
        <v>400</v>
      </c>
      <c r="G127" s="1729">
        <f t="shared" si="8"/>
        <v>3500</v>
      </c>
      <c r="H127" s="712">
        <v>6</v>
      </c>
      <c r="I127" s="709">
        <v>16</v>
      </c>
      <c r="J127" s="713"/>
      <c r="K127" s="710"/>
      <c r="L127" s="712">
        <v>10</v>
      </c>
      <c r="M127" s="711">
        <v>100</v>
      </c>
      <c r="N127" s="711">
        <v>100</v>
      </c>
      <c r="O127" s="711">
        <v>100</v>
      </c>
      <c r="P127" s="710"/>
      <c r="Q127" s="709"/>
      <c r="R127" s="709"/>
      <c r="S127" s="709"/>
      <c r="T127" s="708"/>
      <c r="U127" s="708"/>
    </row>
    <row r="128" spans="1:21" ht="22.5" customHeight="1">
      <c r="A128" s="714">
        <v>204</v>
      </c>
      <c r="B128" s="714" t="s">
        <v>219</v>
      </c>
      <c r="C128" s="714"/>
      <c r="D128" s="714" t="s">
        <v>2302</v>
      </c>
      <c r="E128" s="712">
        <v>130</v>
      </c>
      <c r="F128" s="709">
        <v>400</v>
      </c>
      <c r="G128" s="1729">
        <f t="shared" si="8"/>
        <v>3500</v>
      </c>
      <c r="H128" s="712">
        <v>6</v>
      </c>
      <c r="I128" s="709">
        <v>16</v>
      </c>
      <c r="J128" s="713"/>
      <c r="K128" s="710"/>
      <c r="L128" s="712">
        <v>10</v>
      </c>
      <c r="M128" s="711">
        <v>100</v>
      </c>
      <c r="N128" s="711">
        <v>100</v>
      </c>
      <c r="O128" s="711">
        <v>100</v>
      </c>
      <c r="P128" s="710"/>
      <c r="Q128" s="709"/>
      <c r="R128" s="709"/>
      <c r="S128" s="709"/>
      <c r="T128" s="708"/>
      <c r="U128" s="708"/>
    </row>
    <row r="129" spans="1:21" ht="22.5" customHeight="1">
      <c r="A129" s="714">
        <v>205</v>
      </c>
      <c r="B129" s="714" t="s">
        <v>219</v>
      </c>
      <c r="C129" s="714"/>
      <c r="D129" s="714" t="s">
        <v>2303</v>
      </c>
      <c r="E129" s="712">
        <v>130</v>
      </c>
      <c r="F129" s="709">
        <v>500</v>
      </c>
      <c r="G129" s="1729">
        <f t="shared" si="8"/>
        <v>3500</v>
      </c>
      <c r="H129" s="712">
        <v>6</v>
      </c>
      <c r="I129" s="709">
        <v>16</v>
      </c>
      <c r="J129" s="713"/>
      <c r="K129" s="710"/>
      <c r="L129" s="712">
        <v>10</v>
      </c>
      <c r="M129" s="711">
        <v>100</v>
      </c>
      <c r="N129" s="711">
        <v>100</v>
      </c>
      <c r="O129" s="711">
        <v>100</v>
      </c>
      <c r="P129" s="710"/>
      <c r="Q129" s="709"/>
      <c r="R129" s="709"/>
      <c r="S129" s="709"/>
      <c r="T129" s="708"/>
      <c r="U129" s="708"/>
    </row>
    <row r="130" spans="1:21" ht="22.5" customHeight="1">
      <c r="A130" s="714">
        <v>206</v>
      </c>
      <c r="B130" s="714" t="s">
        <v>219</v>
      </c>
      <c r="C130" s="714"/>
      <c r="D130" s="714" t="s">
        <v>2303</v>
      </c>
      <c r="E130" s="712">
        <v>130</v>
      </c>
      <c r="F130" s="709">
        <v>500</v>
      </c>
      <c r="G130" s="1729">
        <f t="shared" si="8"/>
        <v>3500</v>
      </c>
      <c r="H130" s="712">
        <v>6</v>
      </c>
      <c r="I130" s="709">
        <v>16</v>
      </c>
      <c r="J130" s="713"/>
      <c r="K130" s="710"/>
      <c r="L130" s="712">
        <v>10</v>
      </c>
      <c r="M130" s="711">
        <v>100</v>
      </c>
      <c r="N130" s="711">
        <v>100</v>
      </c>
      <c r="O130" s="711">
        <v>100</v>
      </c>
      <c r="P130" s="710"/>
      <c r="Q130" s="709"/>
      <c r="R130" s="709"/>
      <c r="S130" s="709"/>
      <c r="T130" s="708"/>
      <c r="U130" s="708"/>
    </row>
    <row r="131" spans="1:21" ht="22.5" customHeight="1">
      <c r="A131" s="714"/>
      <c r="B131" s="714"/>
      <c r="C131" s="714"/>
      <c r="D131" s="714"/>
      <c r="E131" s="712"/>
      <c r="F131" s="709"/>
      <c r="G131" s="1729"/>
      <c r="H131" s="712"/>
      <c r="I131" s="709"/>
      <c r="J131" s="713"/>
      <c r="K131" s="710"/>
      <c r="L131" s="712"/>
      <c r="M131" s="711"/>
      <c r="N131" s="711"/>
      <c r="O131" s="711"/>
      <c r="P131" s="710"/>
      <c r="Q131" s="709"/>
      <c r="R131" s="709"/>
      <c r="S131" s="709"/>
      <c r="T131" s="708"/>
      <c r="U131" s="708"/>
    </row>
    <row r="132" spans="1:21" ht="22.5" customHeight="1">
      <c r="A132" s="714">
        <v>205</v>
      </c>
      <c r="B132" s="714" t="s">
        <v>137</v>
      </c>
      <c r="C132" s="714"/>
      <c r="D132" s="714" t="s">
        <v>2302</v>
      </c>
      <c r="E132" s="712">
        <v>130</v>
      </c>
      <c r="F132" s="709">
        <v>400</v>
      </c>
      <c r="G132" s="1729">
        <f>13500-12500</f>
        <v>1000</v>
      </c>
      <c r="H132" s="712">
        <v>6</v>
      </c>
      <c r="I132" s="709">
        <v>16</v>
      </c>
      <c r="J132" s="713"/>
      <c r="K132" s="710"/>
      <c r="L132" s="712">
        <v>10</v>
      </c>
      <c r="M132" s="711">
        <v>100</v>
      </c>
      <c r="N132" s="711">
        <v>100</v>
      </c>
      <c r="O132" s="711">
        <v>100</v>
      </c>
      <c r="P132" s="710"/>
      <c r="Q132" s="709"/>
      <c r="R132" s="709"/>
      <c r="S132" s="709"/>
      <c r="T132" s="708"/>
      <c r="U132" s="708"/>
    </row>
    <row r="133" spans="1:21" ht="22.5" customHeight="1">
      <c r="A133" s="714"/>
      <c r="B133" s="714"/>
      <c r="C133" s="714"/>
      <c r="D133" s="714"/>
      <c r="E133" s="712"/>
      <c r="F133" s="709"/>
      <c r="G133" s="1729"/>
      <c r="H133" s="712"/>
      <c r="I133" s="709"/>
      <c r="J133" s="713"/>
      <c r="K133" s="710"/>
      <c r="L133" s="712"/>
      <c r="M133" s="711"/>
      <c r="N133" s="711"/>
      <c r="O133" s="711"/>
      <c r="P133" s="710"/>
      <c r="Q133" s="709"/>
      <c r="R133" s="709"/>
      <c r="S133" s="709"/>
      <c r="T133" s="708"/>
      <c r="U133" s="708"/>
    </row>
    <row r="134" spans="1:21" ht="22.5" customHeight="1">
      <c r="A134" s="714">
        <v>301</v>
      </c>
      <c r="B134" s="714" t="s">
        <v>137</v>
      </c>
      <c r="C134" s="714"/>
      <c r="D134" s="714" t="s">
        <v>2302</v>
      </c>
      <c r="E134" s="712">
        <v>130</v>
      </c>
      <c r="F134" s="709">
        <v>400</v>
      </c>
      <c r="G134" s="1729">
        <f t="shared" ref="G134:G138" si="9">13500-12500</f>
        <v>1000</v>
      </c>
      <c r="H134" s="712">
        <v>6</v>
      </c>
      <c r="I134" s="709">
        <v>16</v>
      </c>
      <c r="J134" s="713"/>
      <c r="K134" s="710"/>
      <c r="L134" s="712">
        <v>10</v>
      </c>
      <c r="M134" s="711">
        <v>100</v>
      </c>
      <c r="N134" s="711">
        <v>100</v>
      </c>
      <c r="O134" s="711">
        <v>100</v>
      </c>
      <c r="P134" s="710"/>
      <c r="Q134" s="709"/>
      <c r="R134" s="709"/>
      <c r="S134" s="709"/>
      <c r="T134" s="708"/>
      <c r="U134" s="708"/>
    </row>
    <row r="135" spans="1:21" ht="22.5" customHeight="1">
      <c r="A135" s="714">
        <v>302</v>
      </c>
      <c r="B135" s="714" t="s">
        <v>137</v>
      </c>
      <c r="C135" s="714"/>
      <c r="D135" s="714" t="s">
        <v>2302</v>
      </c>
      <c r="E135" s="712">
        <v>130</v>
      </c>
      <c r="F135" s="709">
        <v>400</v>
      </c>
      <c r="G135" s="1729">
        <f t="shared" si="9"/>
        <v>1000</v>
      </c>
      <c r="H135" s="712">
        <v>6</v>
      </c>
      <c r="I135" s="709">
        <v>16</v>
      </c>
      <c r="J135" s="713"/>
      <c r="K135" s="710"/>
      <c r="L135" s="712">
        <v>10</v>
      </c>
      <c r="M135" s="711">
        <v>100</v>
      </c>
      <c r="N135" s="711">
        <v>100</v>
      </c>
      <c r="O135" s="711">
        <v>100</v>
      </c>
      <c r="P135" s="710"/>
      <c r="Q135" s="709"/>
      <c r="R135" s="709"/>
      <c r="S135" s="709"/>
      <c r="T135" s="708"/>
      <c r="U135" s="708"/>
    </row>
    <row r="136" spans="1:21" ht="22.5" customHeight="1">
      <c r="A136" s="714">
        <v>303</v>
      </c>
      <c r="B136" s="714" t="s">
        <v>137</v>
      </c>
      <c r="C136" s="714"/>
      <c r="D136" s="714" t="s">
        <v>2302</v>
      </c>
      <c r="E136" s="712">
        <v>130</v>
      </c>
      <c r="F136" s="709">
        <v>400</v>
      </c>
      <c r="G136" s="1729">
        <f t="shared" si="9"/>
        <v>1000</v>
      </c>
      <c r="H136" s="712">
        <v>6</v>
      </c>
      <c r="I136" s="709">
        <v>16</v>
      </c>
      <c r="J136" s="713"/>
      <c r="K136" s="710"/>
      <c r="L136" s="712">
        <v>10</v>
      </c>
      <c r="M136" s="711">
        <v>100</v>
      </c>
      <c r="N136" s="711">
        <v>100</v>
      </c>
      <c r="O136" s="711">
        <v>100</v>
      </c>
      <c r="P136" s="710"/>
      <c r="Q136" s="709"/>
      <c r="R136" s="709"/>
      <c r="S136" s="709"/>
      <c r="T136" s="708"/>
      <c r="U136" s="708"/>
    </row>
    <row r="137" spans="1:21" ht="22.5" customHeight="1">
      <c r="A137" s="714">
        <v>304</v>
      </c>
      <c r="B137" s="714" t="s">
        <v>137</v>
      </c>
      <c r="C137" s="714"/>
      <c r="D137" s="714" t="s">
        <v>2302</v>
      </c>
      <c r="E137" s="712">
        <v>130</v>
      </c>
      <c r="F137" s="709">
        <v>400</v>
      </c>
      <c r="G137" s="1729">
        <f t="shared" si="9"/>
        <v>1000</v>
      </c>
      <c r="H137" s="712">
        <v>6</v>
      </c>
      <c r="I137" s="709">
        <v>16</v>
      </c>
      <c r="J137" s="713"/>
      <c r="K137" s="710"/>
      <c r="L137" s="712">
        <v>10</v>
      </c>
      <c r="M137" s="711">
        <v>100</v>
      </c>
      <c r="N137" s="711">
        <v>100</v>
      </c>
      <c r="O137" s="711">
        <v>100</v>
      </c>
      <c r="P137" s="710"/>
      <c r="Q137" s="709"/>
      <c r="R137" s="709"/>
      <c r="S137" s="709"/>
      <c r="T137" s="708"/>
      <c r="U137" s="708"/>
    </row>
    <row r="138" spans="1:21" ht="22.5" customHeight="1">
      <c r="A138" s="714">
        <v>305</v>
      </c>
      <c r="B138" s="714" t="s">
        <v>137</v>
      </c>
      <c r="C138" s="714"/>
      <c r="D138" s="714" t="s">
        <v>2302</v>
      </c>
      <c r="E138" s="712">
        <v>130</v>
      </c>
      <c r="F138" s="709">
        <v>400</v>
      </c>
      <c r="G138" s="1729">
        <f t="shared" si="9"/>
        <v>1000</v>
      </c>
      <c r="H138" s="712">
        <v>6</v>
      </c>
      <c r="I138" s="709">
        <v>16</v>
      </c>
      <c r="J138" s="713"/>
      <c r="K138" s="710"/>
      <c r="L138" s="712">
        <v>10</v>
      </c>
      <c r="M138" s="711">
        <v>100</v>
      </c>
      <c r="N138" s="711">
        <v>100</v>
      </c>
      <c r="O138" s="711">
        <v>100</v>
      </c>
      <c r="P138" s="710"/>
      <c r="Q138" s="709"/>
      <c r="R138" s="709"/>
      <c r="S138" s="709"/>
      <c r="T138" s="708"/>
      <c r="U138" s="708"/>
    </row>
    <row r="139" spans="1:21" ht="22.5" customHeight="1">
      <c r="A139" s="714"/>
      <c r="B139" s="714"/>
      <c r="C139" s="714"/>
      <c r="D139" s="714"/>
      <c r="E139" s="712"/>
      <c r="F139" s="709"/>
      <c r="G139" s="1729"/>
      <c r="H139" s="712"/>
      <c r="I139" s="709"/>
      <c r="J139" s="713"/>
      <c r="K139" s="710"/>
      <c r="L139" s="712"/>
      <c r="M139" s="711"/>
      <c r="N139" s="711"/>
      <c r="O139" s="711"/>
      <c r="P139" s="710"/>
      <c r="Q139" s="709"/>
      <c r="R139" s="709"/>
      <c r="S139" s="709"/>
      <c r="T139" s="708"/>
      <c r="U139" s="708"/>
    </row>
    <row r="140" spans="1:21" ht="22.5" customHeight="1">
      <c r="A140" s="714"/>
      <c r="B140" s="714"/>
      <c r="C140" s="714"/>
      <c r="D140" s="714"/>
      <c r="E140" s="712"/>
      <c r="F140" s="709"/>
      <c r="G140" s="1729"/>
      <c r="H140" s="712"/>
      <c r="I140" s="709"/>
      <c r="J140" s="713"/>
      <c r="K140" s="710"/>
      <c r="L140" s="712"/>
      <c r="M140" s="711"/>
      <c r="N140" s="711"/>
      <c r="O140" s="711"/>
      <c r="P140" s="710"/>
      <c r="Q140" s="709"/>
      <c r="R140" s="709"/>
      <c r="S140" s="709"/>
      <c r="T140" s="708"/>
      <c r="U140" s="708"/>
    </row>
    <row r="141" spans="1:21" ht="22.5" customHeight="1">
      <c r="A141" s="714"/>
      <c r="B141" s="714"/>
      <c r="C141" s="714"/>
      <c r="D141" s="714"/>
      <c r="E141" s="712"/>
      <c r="F141" s="709"/>
      <c r="G141" s="1729"/>
      <c r="H141" s="712"/>
      <c r="I141" s="709"/>
      <c r="J141" s="713"/>
      <c r="K141" s="710"/>
      <c r="L141" s="712"/>
      <c r="M141" s="711"/>
      <c r="N141" s="711"/>
      <c r="O141" s="711"/>
      <c r="P141" s="710"/>
      <c r="Q141" s="709"/>
      <c r="R141" s="709"/>
      <c r="S141" s="709"/>
      <c r="T141" s="708"/>
      <c r="U141" s="708"/>
    </row>
    <row r="142" spans="1:21" ht="22.5" customHeight="1">
      <c r="A142" s="714"/>
      <c r="B142" s="714"/>
      <c r="C142" s="714"/>
      <c r="D142" s="714"/>
      <c r="E142" s="712"/>
      <c r="F142" s="709"/>
      <c r="G142" s="1729"/>
      <c r="H142" s="712"/>
      <c r="I142" s="709"/>
      <c r="J142" s="713"/>
      <c r="K142" s="710"/>
      <c r="L142" s="712"/>
      <c r="M142" s="711"/>
      <c r="N142" s="711"/>
      <c r="O142" s="711"/>
      <c r="P142" s="710"/>
      <c r="Q142" s="709"/>
      <c r="R142" s="709"/>
      <c r="S142" s="709"/>
      <c r="T142" s="708"/>
      <c r="U142" s="708"/>
    </row>
    <row r="143" spans="1:21" ht="22.5" customHeight="1">
      <c r="A143" s="714"/>
      <c r="B143" s="714"/>
      <c r="C143" s="714"/>
      <c r="D143" s="714"/>
      <c r="E143" s="712"/>
      <c r="F143" s="709"/>
      <c r="G143" s="1729"/>
      <c r="H143" s="712"/>
      <c r="I143" s="709"/>
      <c r="J143" s="713"/>
      <c r="K143" s="710"/>
      <c r="L143" s="712"/>
      <c r="M143" s="711"/>
      <c r="N143" s="711"/>
      <c r="O143" s="711"/>
      <c r="P143" s="710"/>
      <c r="Q143" s="709"/>
      <c r="R143" s="709"/>
      <c r="S143" s="709"/>
      <c r="T143" s="708"/>
      <c r="U143" s="708"/>
    </row>
    <row r="144" spans="1:21" ht="22.5" customHeight="1">
      <c r="A144" s="714"/>
      <c r="B144" s="714"/>
      <c r="C144" s="714"/>
      <c r="D144" s="714"/>
      <c r="E144" s="712"/>
      <c r="F144" s="709"/>
      <c r="G144" s="1729"/>
      <c r="H144" s="712"/>
      <c r="I144" s="709"/>
      <c r="J144" s="713"/>
      <c r="K144" s="710"/>
      <c r="L144" s="712"/>
      <c r="M144" s="711"/>
      <c r="N144" s="711"/>
      <c r="O144" s="711"/>
      <c r="P144" s="710"/>
      <c r="Q144" s="709"/>
      <c r="R144" s="709"/>
      <c r="S144" s="709"/>
      <c r="T144" s="708"/>
      <c r="U144" s="708"/>
    </row>
    <row r="145" spans="1:21" ht="22.5" customHeight="1">
      <c r="A145" s="714"/>
      <c r="B145" s="714"/>
      <c r="C145" s="714"/>
      <c r="D145" s="714"/>
      <c r="E145" s="712"/>
      <c r="F145" s="709"/>
      <c r="G145" s="1729"/>
      <c r="H145" s="712"/>
      <c r="I145" s="709"/>
      <c r="J145" s="713"/>
      <c r="K145" s="710"/>
      <c r="L145" s="712"/>
      <c r="M145" s="711"/>
      <c r="N145" s="711"/>
      <c r="O145" s="711"/>
      <c r="P145" s="710"/>
      <c r="Q145" s="709"/>
      <c r="R145" s="709"/>
      <c r="S145" s="709"/>
      <c r="T145" s="708"/>
      <c r="U145" s="708"/>
    </row>
    <row r="146" spans="1:21" ht="22.5" customHeight="1">
      <c r="A146" s="714"/>
      <c r="B146" s="714"/>
      <c r="C146" s="714"/>
      <c r="D146" s="714"/>
      <c r="E146" s="712"/>
      <c r="F146" s="709"/>
      <c r="G146" s="1729"/>
      <c r="H146" s="712"/>
      <c r="I146" s="709"/>
      <c r="J146" s="713"/>
      <c r="K146" s="710"/>
      <c r="L146" s="712"/>
      <c r="M146" s="711"/>
      <c r="N146" s="711"/>
      <c r="O146" s="711"/>
      <c r="P146" s="710"/>
      <c r="Q146" s="709"/>
      <c r="R146" s="709"/>
      <c r="S146" s="709"/>
      <c r="T146" s="708"/>
      <c r="U146" s="708"/>
    </row>
    <row r="147" spans="1:21" ht="22.5" customHeight="1">
      <c r="A147" s="714"/>
      <c r="B147" s="714"/>
      <c r="C147" s="714"/>
      <c r="D147" s="714"/>
      <c r="E147" s="712"/>
      <c r="F147" s="709"/>
      <c r="G147" s="1729"/>
      <c r="H147" s="712"/>
      <c r="I147" s="709"/>
      <c r="J147" s="713"/>
      <c r="K147" s="710"/>
      <c r="L147" s="712"/>
      <c r="M147" s="711"/>
      <c r="N147" s="711"/>
      <c r="O147" s="711"/>
      <c r="P147" s="710"/>
      <c r="Q147" s="709"/>
      <c r="R147" s="709"/>
      <c r="S147" s="709"/>
      <c r="T147" s="708"/>
      <c r="U147" s="708"/>
    </row>
    <row r="148" spans="1:21" ht="22.5" customHeight="1">
      <c r="A148" s="714"/>
      <c r="B148" s="714"/>
      <c r="C148" s="714"/>
      <c r="D148" s="714"/>
      <c r="E148" s="712"/>
      <c r="F148" s="709"/>
      <c r="G148" s="1729"/>
      <c r="H148" s="712"/>
      <c r="I148" s="709"/>
      <c r="J148" s="713"/>
      <c r="K148" s="710"/>
      <c r="L148" s="712"/>
      <c r="M148" s="711"/>
      <c r="N148" s="711"/>
      <c r="O148" s="711"/>
      <c r="P148" s="710"/>
      <c r="Q148" s="709"/>
      <c r="R148" s="709"/>
      <c r="S148" s="709"/>
      <c r="T148" s="708"/>
      <c r="U148" s="708"/>
    </row>
    <row r="149" spans="1:21" ht="22.5" customHeight="1">
      <c r="A149" s="714"/>
      <c r="B149" s="714"/>
      <c r="C149" s="714"/>
      <c r="D149" s="714"/>
      <c r="E149" s="712"/>
      <c r="F149" s="709"/>
      <c r="G149" s="1729"/>
      <c r="H149" s="712"/>
      <c r="I149" s="709"/>
      <c r="J149" s="713"/>
      <c r="K149" s="710"/>
      <c r="L149" s="712"/>
      <c r="M149" s="711"/>
      <c r="N149" s="711"/>
      <c r="O149" s="711"/>
      <c r="P149" s="710"/>
      <c r="Q149" s="709"/>
      <c r="R149" s="709"/>
      <c r="S149" s="709"/>
      <c r="T149" s="708"/>
      <c r="U149" s="708"/>
    </row>
    <row r="150" spans="1:21" ht="22.5" customHeight="1">
      <c r="A150" s="714"/>
      <c r="B150" s="714"/>
      <c r="C150" s="714"/>
      <c r="D150" s="714"/>
      <c r="E150" s="712"/>
      <c r="F150" s="709"/>
      <c r="G150" s="1729"/>
      <c r="H150" s="712"/>
      <c r="I150" s="709"/>
      <c r="J150" s="713"/>
      <c r="K150" s="710"/>
      <c r="L150" s="712"/>
      <c r="M150" s="711"/>
      <c r="N150" s="711"/>
      <c r="O150" s="711"/>
      <c r="P150" s="710"/>
      <c r="Q150" s="709"/>
      <c r="R150" s="709"/>
      <c r="S150" s="709"/>
      <c r="T150" s="708"/>
      <c r="U150" s="708"/>
    </row>
    <row r="151" spans="1:21" ht="22.5" customHeight="1">
      <c r="A151" s="714"/>
      <c r="B151" s="714"/>
      <c r="C151" s="714"/>
      <c r="D151" s="714"/>
      <c r="E151" s="712"/>
      <c r="F151" s="709"/>
      <c r="G151" s="1729"/>
      <c r="H151" s="712"/>
      <c r="I151" s="709"/>
      <c r="J151" s="713"/>
      <c r="K151" s="710"/>
      <c r="L151" s="712"/>
      <c r="M151" s="711"/>
      <c r="N151" s="711"/>
      <c r="O151" s="711"/>
      <c r="P151" s="710"/>
      <c r="Q151" s="709"/>
      <c r="R151" s="709"/>
      <c r="S151" s="709"/>
      <c r="T151" s="708"/>
      <c r="U151" s="708"/>
    </row>
    <row r="152" spans="1:21" ht="22.5" customHeight="1">
      <c r="A152" s="714"/>
      <c r="B152" s="714"/>
      <c r="C152" s="714"/>
      <c r="D152" s="714"/>
      <c r="E152" s="712"/>
      <c r="F152" s="709"/>
      <c r="G152" s="1729"/>
      <c r="H152" s="712"/>
      <c r="I152" s="709"/>
      <c r="J152" s="713"/>
      <c r="K152" s="710"/>
      <c r="L152" s="712"/>
      <c r="M152" s="711"/>
      <c r="N152" s="711"/>
      <c r="O152" s="711"/>
      <c r="P152" s="710"/>
      <c r="Q152" s="709"/>
      <c r="R152" s="709"/>
      <c r="S152" s="709"/>
      <c r="T152" s="708"/>
      <c r="U152" s="708"/>
    </row>
    <row r="153" spans="1:21" ht="22.5" customHeight="1">
      <c r="A153" s="714"/>
      <c r="B153" s="714"/>
      <c r="C153" s="714"/>
      <c r="D153" s="714"/>
      <c r="E153" s="712"/>
      <c r="F153" s="709"/>
      <c r="G153" s="1729"/>
      <c r="H153" s="712"/>
      <c r="I153" s="709"/>
      <c r="J153" s="713"/>
      <c r="K153" s="710"/>
      <c r="L153" s="712"/>
      <c r="M153" s="711"/>
      <c r="N153" s="711"/>
      <c r="O153" s="711"/>
      <c r="P153" s="710"/>
      <c r="Q153" s="709"/>
      <c r="R153" s="709"/>
      <c r="S153" s="709"/>
      <c r="T153" s="708"/>
      <c r="U153" s="708"/>
    </row>
    <row r="154" spans="1:21" ht="22.5" customHeight="1">
      <c r="A154" s="714"/>
      <c r="B154" s="714"/>
      <c r="C154" s="714"/>
      <c r="D154" s="714"/>
      <c r="E154" s="712"/>
      <c r="F154" s="709"/>
      <c r="G154" s="1729"/>
      <c r="H154" s="712"/>
      <c r="I154" s="709"/>
      <c r="J154" s="713"/>
      <c r="K154" s="710"/>
      <c r="L154" s="712"/>
      <c r="M154" s="711"/>
      <c r="N154" s="711"/>
      <c r="O154" s="711"/>
      <c r="P154" s="710"/>
      <c r="Q154" s="709"/>
      <c r="R154" s="709"/>
      <c r="S154" s="709"/>
      <c r="T154" s="708"/>
      <c r="U154" s="708"/>
    </row>
    <row r="155" spans="1:21" ht="22.5" customHeight="1">
      <c r="A155" s="714"/>
      <c r="B155" s="714"/>
      <c r="C155" s="714"/>
      <c r="D155" s="714"/>
      <c r="E155" s="712"/>
      <c r="F155" s="709"/>
      <c r="G155" s="1729"/>
      <c r="H155" s="712"/>
      <c r="I155" s="709"/>
      <c r="J155" s="713"/>
      <c r="K155" s="710"/>
      <c r="L155" s="712"/>
      <c r="M155" s="711"/>
      <c r="N155" s="711"/>
      <c r="O155" s="711"/>
      <c r="P155" s="710"/>
      <c r="Q155" s="709"/>
      <c r="R155" s="709"/>
      <c r="S155" s="709"/>
      <c r="T155" s="708"/>
      <c r="U155" s="708"/>
    </row>
    <row r="156" spans="1:21" ht="22.5" customHeight="1">
      <c r="A156" s="714"/>
      <c r="B156" s="714"/>
      <c r="C156" s="714"/>
      <c r="D156" s="714"/>
      <c r="E156" s="712"/>
      <c r="F156" s="709"/>
      <c r="G156" s="1729"/>
      <c r="H156" s="712"/>
      <c r="I156" s="709"/>
      <c r="J156" s="713"/>
      <c r="K156" s="710"/>
      <c r="L156" s="712"/>
      <c r="M156" s="711"/>
      <c r="N156" s="711"/>
      <c r="O156" s="711"/>
      <c r="P156" s="710"/>
      <c r="Q156" s="709"/>
      <c r="R156" s="709"/>
      <c r="S156" s="709"/>
      <c r="T156" s="708"/>
      <c r="U156" s="708"/>
    </row>
    <row r="157" spans="1:21" ht="22.5" customHeight="1">
      <c r="A157" s="714"/>
      <c r="B157" s="714"/>
      <c r="C157" s="714"/>
      <c r="D157" s="714"/>
      <c r="E157" s="712"/>
      <c r="F157" s="709"/>
      <c r="G157" s="1729"/>
      <c r="H157" s="712"/>
      <c r="I157" s="709"/>
      <c r="J157" s="713"/>
      <c r="K157" s="710"/>
      <c r="L157" s="712"/>
      <c r="M157" s="711"/>
      <c r="N157" s="711"/>
      <c r="O157" s="711"/>
      <c r="P157" s="710"/>
      <c r="Q157" s="709"/>
      <c r="R157" s="709"/>
      <c r="S157" s="709"/>
      <c r="T157" s="708"/>
      <c r="U157" s="708"/>
    </row>
    <row r="158" spans="1:21" ht="22.5" customHeight="1">
      <c r="A158" s="714"/>
      <c r="B158" s="714"/>
      <c r="C158" s="714"/>
      <c r="D158" s="714"/>
      <c r="E158" s="712"/>
      <c r="F158" s="709"/>
      <c r="G158" s="1729"/>
      <c r="H158" s="712"/>
      <c r="I158" s="709"/>
      <c r="J158" s="713"/>
      <c r="K158" s="710"/>
      <c r="L158" s="712"/>
      <c r="M158" s="711"/>
      <c r="N158" s="711"/>
      <c r="O158" s="711"/>
      <c r="P158" s="710"/>
      <c r="Q158" s="709"/>
      <c r="R158" s="709"/>
      <c r="S158" s="709"/>
      <c r="T158" s="708"/>
      <c r="U158" s="708"/>
    </row>
    <row r="159" spans="1:21" ht="22.5" customHeight="1">
      <c r="A159" s="714"/>
      <c r="B159" s="714"/>
      <c r="C159" s="714"/>
      <c r="D159" s="714"/>
      <c r="E159" s="712"/>
      <c r="F159" s="709"/>
      <c r="G159" s="1729"/>
      <c r="H159" s="712"/>
      <c r="I159" s="709"/>
      <c r="J159" s="713"/>
      <c r="K159" s="710"/>
      <c r="L159" s="712"/>
      <c r="M159" s="711"/>
      <c r="N159" s="711"/>
      <c r="O159" s="711"/>
      <c r="P159" s="710"/>
      <c r="Q159" s="709"/>
      <c r="R159" s="709"/>
      <c r="S159" s="709"/>
      <c r="T159" s="708"/>
      <c r="U159" s="708"/>
    </row>
    <row r="160" spans="1:21" ht="22.5" customHeight="1">
      <c r="A160" s="714"/>
      <c r="B160" s="714"/>
      <c r="C160" s="714"/>
      <c r="D160" s="714"/>
      <c r="E160" s="712"/>
      <c r="F160" s="709"/>
      <c r="G160" s="1729"/>
      <c r="H160" s="712"/>
      <c r="I160" s="709"/>
      <c r="J160" s="713"/>
      <c r="K160" s="710"/>
      <c r="L160" s="712"/>
      <c r="M160" s="711"/>
      <c r="N160" s="711"/>
      <c r="O160" s="711"/>
      <c r="P160" s="710"/>
      <c r="Q160" s="709"/>
      <c r="R160" s="709"/>
      <c r="S160" s="709"/>
      <c r="T160" s="708"/>
      <c r="U160" s="708"/>
    </row>
    <row r="161" spans="1:21" ht="22.5" customHeight="1">
      <c r="A161" s="714"/>
      <c r="B161" s="714"/>
      <c r="C161" s="714"/>
      <c r="D161" s="714"/>
      <c r="E161" s="712"/>
      <c r="F161" s="709"/>
      <c r="G161" s="1729"/>
      <c r="H161" s="712"/>
      <c r="I161" s="709"/>
      <c r="J161" s="713"/>
      <c r="K161" s="710"/>
      <c r="L161" s="712"/>
      <c r="M161" s="711"/>
      <c r="N161" s="711"/>
      <c r="O161" s="711"/>
      <c r="P161" s="710"/>
      <c r="Q161" s="709"/>
      <c r="R161" s="709"/>
      <c r="S161" s="709"/>
      <c r="T161" s="708"/>
      <c r="U161" s="708"/>
    </row>
    <row r="162" spans="1:21" ht="22.5" customHeight="1">
      <c r="A162" s="714"/>
      <c r="B162" s="714"/>
      <c r="C162" s="714"/>
      <c r="D162" s="714"/>
      <c r="E162" s="712"/>
      <c r="F162" s="709"/>
      <c r="G162" s="1729"/>
      <c r="H162" s="712"/>
      <c r="I162" s="709"/>
      <c r="J162" s="713"/>
      <c r="K162" s="710"/>
      <c r="L162" s="712"/>
      <c r="M162" s="711"/>
      <c r="N162" s="711"/>
      <c r="O162" s="711"/>
      <c r="P162" s="710"/>
      <c r="Q162" s="709"/>
      <c r="R162" s="709"/>
      <c r="S162" s="709"/>
      <c r="T162" s="708"/>
      <c r="U162" s="708"/>
    </row>
    <row r="163" spans="1:21" ht="22.5" customHeight="1">
      <c r="A163" s="714"/>
      <c r="B163" s="714"/>
      <c r="C163" s="714"/>
      <c r="D163" s="714"/>
      <c r="E163" s="712"/>
      <c r="F163" s="709"/>
      <c r="G163" s="1729"/>
      <c r="H163" s="712"/>
      <c r="I163" s="709"/>
      <c r="J163" s="713"/>
      <c r="K163" s="710"/>
      <c r="L163" s="712"/>
      <c r="M163" s="711"/>
      <c r="N163" s="711"/>
      <c r="O163" s="711"/>
      <c r="P163" s="710"/>
      <c r="Q163" s="709"/>
      <c r="R163" s="709"/>
      <c r="S163" s="709"/>
      <c r="T163" s="708"/>
      <c r="U163" s="708"/>
    </row>
    <row r="164" spans="1:21" ht="22.5" customHeight="1">
      <c r="A164" s="714"/>
      <c r="B164" s="714"/>
      <c r="C164" s="714"/>
      <c r="D164" s="714"/>
      <c r="E164" s="712"/>
      <c r="F164" s="709"/>
      <c r="G164" s="1729"/>
      <c r="H164" s="712"/>
      <c r="I164" s="709"/>
      <c r="J164" s="713"/>
      <c r="K164" s="710"/>
      <c r="L164" s="712"/>
      <c r="M164" s="711"/>
      <c r="N164" s="711"/>
      <c r="O164" s="711"/>
      <c r="P164" s="710"/>
      <c r="Q164" s="709"/>
      <c r="R164" s="709"/>
      <c r="S164" s="709"/>
      <c r="T164" s="708"/>
      <c r="U164" s="708"/>
    </row>
    <row r="165" spans="1:21" ht="22.5" customHeight="1">
      <c r="A165" s="714"/>
      <c r="B165" s="714"/>
      <c r="C165" s="714"/>
      <c r="D165" s="714"/>
      <c r="E165" s="712"/>
      <c r="F165" s="709"/>
      <c r="G165" s="1729"/>
      <c r="H165" s="712"/>
      <c r="I165" s="709"/>
      <c r="J165" s="713"/>
      <c r="K165" s="710"/>
      <c r="L165" s="712"/>
      <c r="M165" s="711"/>
      <c r="N165" s="711"/>
      <c r="O165" s="711"/>
      <c r="P165" s="710"/>
      <c r="Q165" s="709"/>
      <c r="R165" s="709"/>
      <c r="S165" s="709"/>
      <c r="T165" s="708"/>
      <c r="U165" s="708"/>
    </row>
    <row r="166" spans="1:21" ht="22.5" customHeight="1">
      <c r="A166" s="714"/>
      <c r="B166" s="714"/>
      <c r="C166" s="714"/>
      <c r="D166" s="714"/>
      <c r="E166" s="712"/>
      <c r="F166" s="709"/>
      <c r="G166" s="1729"/>
      <c r="H166" s="712"/>
      <c r="I166" s="709"/>
      <c r="J166" s="713"/>
      <c r="K166" s="710"/>
      <c r="L166" s="712"/>
      <c r="M166" s="711"/>
      <c r="N166" s="711"/>
      <c r="O166" s="711"/>
      <c r="P166" s="710"/>
      <c r="Q166" s="709"/>
      <c r="R166" s="709"/>
      <c r="S166" s="709"/>
      <c r="T166" s="708"/>
      <c r="U166" s="708"/>
    </row>
    <row r="167" spans="1:21" ht="22.5" customHeight="1">
      <c r="A167" s="714"/>
      <c r="B167" s="714"/>
      <c r="C167" s="714"/>
      <c r="D167" s="714"/>
      <c r="E167" s="712"/>
      <c r="F167" s="709"/>
      <c r="G167" s="1729"/>
      <c r="H167" s="712"/>
      <c r="I167" s="709"/>
      <c r="J167" s="713"/>
      <c r="K167" s="710"/>
      <c r="L167" s="712"/>
      <c r="M167" s="711"/>
      <c r="N167" s="711"/>
      <c r="O167" s="711"/>
      <c r="P167" s="710"/>
      <c r="Q167" s="709"/>
      <c r="R167" s="709"/>
      <c r="S167" s="709"/>
      <c r="T167" s="708"/>
      <c r="U167" s="708"/>
    </row>
    <row r="168" spans="1:21" ht="22.5" customHeight="1">
      <c r="A168" s="714"/>
      <c r="B168" s="714"/>
      <c r="C168" s="714"/>
      <c r="D168" s="714"/>
      <c r="E168" s="712"/>
      <c r="F168" s="709"/>
      <c r="G168" s="1729"/>
      <c r="H168" s="712"/>
      <c r="I168" s="709"/>
      <c r="J168" s="713"/>
      <c r="K168" s="710"/>
      <c r="L168" s="712"/>
      <c r="M168" s="711"/>
      <c r="N168" s="711"/>
      <c r="O168" s="711"/>
      <c r="P168" s="710"/>
      <c r="Q168" s="709"/>
      <c r="R168" s="709"/>
      <c r="S168" s="709"/>
      <c r="T168" s="708"/>
      <c r="U168" s="708"/>
    </row>
    <row r="169" spans="1:21" ht="22.5" customHeight="1">
      <c r="A169" s="714"/>
      <c r="B169" s="714"/>
      <c r="C169" s="714"/>
      <c r="D169" s="714"/>
      <c r="E169" s="712"/>
      <c r="F169" s="709"/>
      <c r="G169" s="1729"/>
      <c r="H169" s="712"/>
      <c r="I169" s="709"/>
      <c r="J169" s="713"/>
      <c r="K169" s="710"/>
      <c r="L169" s="712"/>
      <c r="M169" s="711"/>
      <c r="N169" s="711"/>
      <c r="O169" s="711"/>
      <c r="P169" s="710"/>
      <c r="Q169" s="709"/>
      <c r="R169" s="709"/>
      <c r="S169" s="709"/>
      <c r="T169" s="708"/>
      <c r="U169" s="708"/>
    </row>
    <row r="170" spans="1:21" ht="22.5" customHeight="1">
      <c r="A170" s="714"/>
      <c r="B170" s="714"/>
      <c r="C170" s="714"/>
      <c r="D170" s="714"/>
      <c r="E170" s="712"/>
      <c r="F170" s="709"/>
      <c r="G170" s="1729"/>
      <c r="H170" s="712"/>
      <c r="I170" s="709"/>
      <c r="J170" s="713"/>
      <c r="K170" s="710"/>
      <c r="L170" s="712"/>
      <c r="M170" s="711"/>
      <c r="N170" s="711"/>
      <c r="O170" s="711"/>
      <c r="P170" s="710"/>
      <c r="Q170" s="709"/>
      <c r="R170" s="709"/>
      <c r="S170" s="709"/>
      <c r="T170" s="708"/>
      <c r="U170" s="708"/>
    </row>
    <row r="171" spans="1:21" ht="22.5" customHeight="1">
      <c r="A171" s="714"/>
      <c r="B171" s="714"/>
      <c r="C171" s="714"/>
      <c r="D171" s="714"/>
      <c r="E171" s="712"/>
      <c r="F171" s="709"/>
      <c r="G171" s="1729"/>
      <c r="H171" s="712"/>
      <c r="I171" s="709"/>
      <c r="J171" s="713"/>
      <c r="K171" s="710"/>
      <c r="L171" s="712"/>
      <c r="M171" s="711"/>
      <c r="N171" s="711"/>
      <c r="O171" s="711"/>
      <c r="P171" s="710"/>
      <c r="Q171" s="709"/>
      <c r="R171" s="709"/>
      <c r="S171" s="709"/>
      <c r="T171" s="708"/>
      <c r="U171" s="708"/>
    </row>
    <row r="172" spans="1:21" ht="22.5" customHeight="1">
      <c r="A172" s="714"/>
      <c r="B172" s="714"/>
      <c r="C172" s="714"/>
      <c r="D172" s="714"/>
      <c r="E172" s="712"/>
      <c r="F172" s="709"/>
      <c r="G172" s="1729"/>
      <c r="H172" s="712"/>
      <c r="I172" s="709"/>
      <c r="J172" s="713"/>
      <c r="K172" s="710"/>
      <c r="L172" s="712"/>
      <c r="M172" s="711"/>
      <c r="N172" s="711"/>
      <c r="O172" s="711"/>
      <c r="P172" s="710"/>
      <c r="Q172" s="709"/>
      <c r="R172" s="709"/>
      <c r="S172" s="709"/>
      <c r="T172" s="708"/>
      <c r="U172" s="708"/>
    </row>
    <row r="173" spans="1:21" ht="22.5" customHeight="1">
      <c r="A173" s="714"/>
      <c r="B173" s="714"/>
      <c r="C173" s="714"/>
      <c r="D173" s="714"/>
      <c r="E173" s="712"/>
      <c r="F173" s="709"/>
      <c r="G173" s="1729"/>
      <c r="H173" s="712"/>
      <c r="I173" s="709"/>
      <c r="J173" s="713"/>
      <c r="K173" s="710"/>
      <c r="L173" s="712"/>
      <c r="M173" s="711"/>
      <c r="N173" s="711"/>
      <c r="O173" s="711"/>
      <c r="P173" s="710"/>
      <c r="Q173" s="709"/>
      <c r="R173" s="709"/>
      <c r="S173" s="709"/>
      <c r="T173" s="708"/>
      <c r="U173" s="708"/>
    </row>
    <row r="174" spans="1:21" ht="22.5" customHeight="1">
      <c r="A174" s="714"/>
      <c r="B174" s="714"/>
      <c r="C174" s="714"/>
      <c r="D174" s="714"/>
      <c r="E174" s="712"/>
      <c r="F174" s="709"/>
      <c r="G174" s="1729"/>
      <c r="H174" s="712"/>
      <c r="I174" s="709"/>
      <c r="J174" s="713"/>
      <c r="K174" s="710"/>
      <c r="L174" s="712"/>
      <c r="M174" s="711"/>
      <c r="N174" s="711"/>
      <c r="O174" s="711"/>
      <c r="P174" s="710"/>
      <c r="Q174" s="709"/>
      <c r="R174" s="709"/>
      <c r="S174" s="709"/>
      <c r="T174" s="708"/>
      <c r="U174" s="708"/>
    </row>
    <row r="175" spans="1:21" ht="22.5" customHeight="1">
      <c r="A175" s="714"/>
      <c r="B175" s="714"/>
      <c r="C175" s="714"/>
      <c r="D175" s="714"/>
      <c r="E175" s="712"/>
      <c r="F175" s="709"/>
      <c r="G175" s="1729"/>
      <c r="H175" s="712"/>
      <c r="I175" s="709"/>
      <c r="J175" s="713"/>
      <c r="K175" s="710"/>
      <c r="L175" s="712"/>
      <c r="M175" s="711"/>
      <c r="N175" s="711"/>
      <c r="O175" s="711"/>
      <c r="P175" s="710"/>
      <c r="Q175" s="709"/>
      <c r="R175" s="709"/>
      <c r="S175" s="709"/>
      <c r="T175" s="708"/>
      <c r="U175" s="708"/>
    </row>
    <row r="176" spans="1:21" ht="22.5" customHeight="1">
      <c r="A176" s="714"/>
      <c r="B176" s="714"/>
      <c r="C176" s="714"/>
      <c r="D176" s="714"/>
      <c r="E176" s="712"/>
      <c r="F176" s="709"/>
      <c r="G176" s="1729"/>
      <c r="H176" s="712"/>
      <c r="I176" s="709"/>
      <c r="J176" s="713"/>
      <c r="K176" s="710"/>
      <c r="L176" s="712"/>
      <c r="M176" s="711"/>
      <c r="N176" s="711"/>
      <c r="O176" s="711"/>
      <c r="P176" s="710"/>
      <c r="Q176" s="709"/>
      <c r="R176" s="709"/>
      <c r="S176" s="709"/>
      <c r="T176" s="708"/>
      <c r="U176" s="708"/>
    </row>
    <row r="177" spans="1:21" ht="22.5" customHeight="1">
      <c r="A177" s="714"/>
      <c r="B177" s="714"/>
      <c r="C177" s="714"/>
      <c r="D177" s="714"/>
      <c r="E177" s="712"/>
      <c r="F177" s="709"/>
      <c r="G177" s="1729"/>
      <c r="H177" s="712"/>
      <c r="I177" s="709"/>
      <c r="J177" s="713"/>
      <c r="K177" s="710"/>
      <c r="L177" s="712"/>
      <c r="M177" s="711"/>
      <c r="N177" s="711"/>
      <c r="O177" s="711"/>
      <c r="P177" s="710"/>
      <c r="Q177" s="709"/>
      <c r="R177" s="709"/>
      <c r="S177" s="709"/>
      <c r="T177" s="708"/>
      <c r="U177" s="708"/>
    </row>
    <row r="178" spans="1:21" ht="22.5" customHeight="1">
      <c r="A178" s="714"/>
      <c r="B178" s="714"/>
      <c r="C178" s="714"/>
      <c r="D178" s="714"/>
      <c r="E178" s="712"/>
      <c r="F178" s="709"/>
      <c r="G178" s="1729"/>
      <c r="H178" s="712"/>
      <c r="I178" s="709"/>
      <c r="J178" s="713"/>
      <c r="K178" s="710"/>
      <c r="L178" s="712"/>
      <c r="M178" s="711"/>
      <c r="N178" s="711"/>
      <c r="O178" s="711"/>
      <c r="P178" s="710"/>
      <c r="Q178" s="709"/>
      <c r="R178" s="709"/>
      <c r="S178" s="709"/>
      <c r="T178" s="708"/>
      <c r="U178" s="708"/>
    </row>
    <row r="179" spans="1:21" ht="22.5" customHeight="1">
      <c r="A179" s="714"/>
      <c r="B179" s="714"/>
      <c r="C179" s="714"/>
      <c r="D179" s="714"/>
      <c r="E179" s="712"/>
      <c r="F179" s="709"/>
      <c r="G179" s="1729"/>
      <c r="H179" s="712"/>
      <c r="I179" s="709"/>
      <c r="J179" s="713"/>
      <c r="K179" s="710"/>
      <c r="L179" s="712"/>
      <c r="M179" s="711"/>
      <c r="N179" s="711"/>
      <c r="O179" s="711"/>
      <c r="P179" s="710"/>
      <c r="Q179" s="709"/>
      <c r="R179" s="709"/>
      <c r="S179" s="709"/>
      <c r="T179" s="708"/>
      <c r="U179" s="708"/>
    </row>
    <row r="180" spans="1:21" ht="22.5" customHeight="1">
      <c r="A180" s="714"/>
      <c r="B180" s="714"/>
      <c r="C180" s="714"/>
      <c r="D180" s="714"/>
      <c r="E180" s="712"/>
      <c r="F180" s="709"/>
      <c r="G180" s="1729"/>
      <c r="H180" s="712"/>
      <c r="I180" s="709"/>
      <c r="J180" s="713"/>
      <c r="K180" s="710"/>
      <c r="L180" s="712"/>
      <c r="M180" s="711"/>
      <c r="N180" s="711"/>
      <c r="O180" s="711"/>
      <c r="P180" s="710"/>
      <c r="Q180" s="709"/>
      <c r="R180" s="709"/>
      <c r="S180" s="709"/>
      <c r="T180" s="708"/>
      <c r="U180" s="708"/>
    </row>
    <row r="181" spans="1:21" ht="22.5" customHeight="1">
      <c r="A181" s="714"/>
      <c r="B181" s="714"/>
      <c r="C181" s="714"/>
      <c r="D181" s="714"/>
      <c r="E181" s="712"/>
      <c r="F181" s="709"/>
      <c r="G181" s="1729"/>
      <c r="H181" s="712"/>
      <c r="I181" s="709"/>
      <c r="J181" s="713"/>
      <c r="K181" s="710"/>
      <c r="L181" s="712"/>
      <c r="M181" s="711"/>
      <c r="N181" s="711"/>
      <c r="O181" s="711"/>
      <c r="P181" s="710"/>
      <c r="Q181" s="709"/>
      <c r="R181" s="709"/>
      <c r="S181" s="709"/>
      <c r="T181" s="708"/>
      <c r="U181" s="708"/>
    </row>
    <row r="182" spans="1:21" ht="22.5" customHeight="1">
      <c r="A182" s="714"/>
      <c r="B182" s="714"/>
      <c r="C182" s="714"/>
      <c r="D182" s="714"/>
      <c r="E182" s="712"/>
      <c r="F182" s="709"/>
      <c r="G182" s="1729"/>
      <c r="H182" s="712"/>
      <c r="I182" s="709"/>
      <c r="J182" s="713"/>
      <c r="K182" s="710"/>
      <c r="L182" s="712"/>
      <c r="M182" s="711"/>
      <c r="N182" s="711"/>
      <c r="O182" s="711"/>
      <c r="P182" s="710"/>
      <c r="Q182" s="709"/>
      <c r="R182" s="709"/>
      <c r="S182" s="709"/>
      <c r="T182" s="708"/>
      <c r="U182" s="708"/>
    </row>
    <row r="183" spans="1:21" ht="22.5" customHeight="1">
      <c r="A183" s="714"/>
      <c r="B183" s="714"/>
      <c r="C183" s="714"/>
      <c r="D183" s="714"/>
      <c r="E183" s="712"/>
      <c r="F183" s="709"/>
      <c r="G183" s="1729"/>
      <c r="H183" s="712"/>
      <c r="I183" s="709"/>
      <c r="J183" s="713"/>
      <c r="K183" s="710"/>
      <c r="L183" s="712"/>
      <c r="M183" s="711"/>
      <c r="N183" s="711"/>
      <c r="O183" s="711"/>
      <c r="P183" s="710"/>
      <c r="Q183" s="709"/>
      <c r="R183" s="709"/>
      <c r="S183" s="709"/>
      <c r="T183" s="708"/>
      <c r="U183" s="708"/>
    </row>
    <row r="184" spans="1:21" ht="22.5" customHeight="1">
      <c r="A184" s="714"/>
      <c r="B184" s="714"/>
      <c r="C184" s="714"/>
      <c r="D184" s="714"/>
      <c r="E184" s="712"/>
      <c r="F184" s="709"/>
      <c r="G184" s="1729"/>
      <c r="H184" s="712"/>
      <c r="I184" s="709"/>
      <c r="J184" s="713"/>
      <c r="K184" s="710"/>
      <c r="L184" s="712"/>
      <c r="M184" s="711"/>
      <c r="N184" s="711"/>
      <c r="O184" s="711"/>
      <c r="P184" s="710"/>
      <c r="Q184" s="709"/>
      <c r="R184" s="709"/>
      <c r="S184" s="709"/>
      <c r="T184" s="708"/>
      <c r="U184" s="708"/>
    </row>
    <row r="185" spans="1:21" ht="22.5" customHeight="1">
      <c r="A185" s="714"/>
      <c r="B185" s="714"/>
      <c r="C185" s="714"/>
      <c r="D185" s="714"/>
      <c r="E185" s="712"/>
      <c r="F185" s="709"/>
      <c r="G185" s="1729"/>
      <c r="H185" s="712"/>
      <c r="I185" s="709"/>
      <c r="J185" s="713"/>
      <c r="K185" s="710"/>
      <c r="L185" s="712"/>
      <c r="M185" s="711"/>
      <c r="N185" s="711"/>
      <c r="O185" s="711"/>
      <c r="P185" s="710"/>
      <c r="Q185" s="709"/>
      <c r="R185" s="709"/>
      <c r="S185" s="709"/>
      <c r="T185" s="708"/>
      <c r="U185" s="708"/>
    </row>
    <row r="186" spans="1:21" ht="22.5" customHeight="1">
      <c r="A186" s="714"/>
      <c r="B186" s="714"/>
      <c r="C186" s="714"/>
      <c r="D186" s="714"/>
      <c r="E186" s="712"/>
      <c r="F186" s="709"/>
      <c r="G186" s="1729"/>
      <c r="H186" s="712"/>
      <c r="I186" s="709"/>
      <c r="J186" s="713"/>
      <c r="K186" s="710"/>
      <c r="L186" s="712"/>
      <c r="M186" s="711"/>
      <c r="N186" s="711"/>
      <c r="O186" s="711"/>
      <c r="P186" s="710"/>
      <c r="Q186" s="709"/>
      <c r="R186" s="709"/>
      <c r="S186" s="709"/>
      <c r="T186" s="708"/>
      <c r="U186" s="708"/>
    </row>
    <row r="187" spans="1:21" ht="22.5" customHeight="1">
      <c r="A187" s="714"/>
      <c r="B187" s="714"/>
      <c r="C187" s="714"/>
      <c r="D187" s="714"/>
      <c r="E187" s="712"/>
      <c r="F187" s="709"/>
      <c r="G187" s="1729"/>
      <c r="H187" s="712"/>
      <c r="I187" s="709"/>
      <c r="J187" s="713"/>
      <c r="K187" s="710"/>
      <c r="L187" s="712"/>
      <c r="M187" s="711"/>
      <c r="N187" s="711"/>
      <c r="O187" s="711"/>
      <c r="P187" s="710"/>
      <c r="Q187" s="709"/>
      <c r="R187" s="709"/>
      <c r="S187" s="709"/>
      <c r="T187" s="708"/>
      <c r="U187" s="708"/>
    </row>
    <row r="188" spans="1:21" ht="22.5" customHeight="1">
      <c r="A188" s="714"/>
      <c r="B188" s="714"/>
      <c r="C188" s="714"/>
      <c r="D188" s="714"/>
      <c r="E188" s="712"/>
      <c r="F188" s="709"/>
      <c r="G188" s="1729"/>
      <c r="H188" s="712"/>
      <c r="I188" s="709"/>
      <c r="J188" s="713"/>
      <c r="K188" s="710"/>
      <c r="L188" s="712"/>
      <c r="M188" s="711"/>
      <c r="N188" s="711"/>
      <c r="O188" s="711"/>
      <c r="P188" s="710"/>
      <c r="Q188" s="709"/>
      <c r="R188" s="709"/>
      <c r="S188" s="709"/>
      <c r="T188" s="708"/>
      <c r="U188" s="708"/>
    </row>
    <row r="189" spans="1:21" ht="22.5" customHeight="1">
      <c r="A189" s="714"/>
      <c r="B189" s="714"/>
      <c r="C189" s="714"/>
      <c r="D189" s="714"/>
      <c r="E189" s="712"/>
      <c r="F189" s="709"/>
      <c r="G189" s="1729"/>
      <c r="H189" s="712"/>
      <c r="I189" s="709"/>
      <c r="J189" s="713"/>
      <c r="K189" s="710"/>
      <c r="L189" s="712"/>
      <c r="M189" s="711"/>
      <c r="N189" s="711"/>
      <c r="O189" s="711"/>
      <c r="P189" s="710"/>
      <c r="Q189" s="709"/>
      <c r="R189" s="709"/>
      <c r="S189" s="709"/>
      <c r="T189" s="708"/>
      <c r="U189" s="708"/>
    </row>
    <row r="190" spans="1:21" ht="22.5" customHeight="1">
      <c r="A190" s="714"/>
      <c r="B190" s="714"/>
      <c r="C190" s="714"/>
      <c r="D190" s="714"/>
      <c r="E190" s="712"/>
      <c r="F190" s="709"/>
      <c r="G190" s="1729"/>
      <c r="H190" s="712"/>
      <c r="I190" s="709"/>
      <c r="J190" s="713"/>
      <c r="K190" s="710"/>
      <c r="L190" s="712"/>
      <c r="M190" s="711"/>
      <c r="N190" s="711"/>
      <c r="O190" s="711"/>
      <c r="P190" s="710"/>
      <c r="Q190" s="709"/>
      <c r="R190" s="709"/>
      <c r="S190" s="709"/>
      <c r="T190" s="708"/>
      <c r="U190" s="708"/>
    </row>
    <row r="191" spans="1:21" ht="22.5" customHeight="1">
      <c r="A191" s="714"/>
      <c r="B191" s="714"/>
      <c r="C191" s="714"/>
      <c r="D191" s="714"/>
      <c r="E191" s="712"/>
      <c r="F191" s="709"/>
      <c r="G191" s="1729"/>
      <c r="H191" s="712"/>
      <c r="I191" s="709"/>
      <c r="J191" s="713"/>
      <c r="K191" s="710"/>
      <c r="L191" s="712"/>
      <c r="M191" s="711"/>
      <c r="N191" s="711"/>
      <c r="O191" s="711"/>
      <c r="P191" s="710"/>
      <c r="Q191" s="709"/>
      <c r="R191" s="709"/>
      <c r="S191" s="709"/>
      <c r="T191" s="708"/>
      <c r="U191" s="708"/>
    </row>
    <row r="192" spans="1:21" ht="22.5" customHeight="1">
      <c r="A192" s="714"/>
      <c r="B192" s="714"/>
      <c r="C192" s="714"/>
      <c r="D192" s="714"/>
      <c r="E192" s="712"/>
      <c r="F192" s="709"/>
      <c r="G192" s="1729"/>
      <c r="H192" s="712"/>
      <c r="I192" s="709"/>
      <c r="J192" s="713"/>
      <c r="K192" s="710"/>
      <c r="L192" s="712"/>
      <c r="M192" s="711"/>
      <c r="N192" s="711"/>
      <c r="O192" s="711"/>
      <c r="P192" s="710"/>
      <c r="Q192" s="709"/>
      <c r="R192" s="709"/>
      <c r="S192" s="709"/>
      <c r="T192" s="708"/>
      <c r="U192" s="708"/>
    </row>
    <row r="193" spans="1:21" ht="22.5" customHeight="1">
      <c r="A193" s="714"/>
      <c r="B193" s="714"/>
      <c r="C193" s="714"/>
      <c r="D193" s="714"/>
      <c r="E193" s="712"/>
      <c r="F193" s="709"/>
      <c r="G193" s="1729"/>
      <c r="H193" s="712"/>
      <c r="I193" s="709"/>
      <c r="J193" s="713"/>
      <c r="K193" s="710"/>
      <c r="L193" s="712"/>
      <c r="M193" s="711"/>
      <c r="N193" s="711"/>
      <c r="O193" s="711"/>
      <c r="P193" s="710"/>
      <c r="Q193" s="709"/>
      <c r="R193" s="709"/>
      <c r="S193" s="709"/>
      <c r="T193" s="708"/>
      <c r="U193" s="708"/>
    </row>
    <row r="194" spans="1:21" ht="22.5" customHeight="1">
      <c r="A194" s="714"/>
      <c r="B194" s="714"/>
      <c r="C194" s="714"/>
      <c r="D194" s="714"/>
      <c r="E194" s="712"/>
      <c r="F194" s="709"/>
      <c r="G194" s="1729"/>
      <c r="H194" s="712"/>
      <c r="I194" s="709"/>
      <c r="J194" s="713"/>
      <c r="K194" s="710"/>
      <c r="L194" s="712"/>
      <c r="M194" s="711"/>
      <c r="N194" s="711"/>
      <c r="O194" s="711"/>
      <c r="P194" s="710"/>
      <c r="Q194" s="709"/>
      <c r="R194" s="709"/>
      <c r="S194" s="709"/>
      <c r="T194" s="708"/>
      <c r="U194" s="708"/>
    </row>
    <row r="195" spans="1:21" ht="22.5" customHeight="1">
      <c r="A195" s="714"/>
      <c r="B195" s="714"/>
      <c r="C195" s="714"/>
      <c r="D195" s="714"/>
      <c r="E195" s="712"/>
      <c r="F195" s="709"/>
      <c r="G195" s="1729"/>
      <c r="H195" s="709"/>
      <c r="I195" s="709"/>
      <c r="J195" s="713"/>
      <c r="K195" s="710"/>
      <c r="L195" s="712"/>
      <c r="M195" s="711"/>
      <c r="N195" s="711"/>
      <c r="O195" s="711"/>
      <c r="P195" s="710"/>
      <c r="Q195" s="709"/>
      <c r="R195" s="709"/>
      <c r="S195" s="709"/>
      <c r="T195" s="708"/>
      <c r="U195" s="708"/>
    </row>
    <row r="196" spans="1:21" ht="22.5" customHeight="1">
      <c r="A196" s="1727"/>
      <c r="B196" s="714"/>
      <c r="C196" s="714"/>
      <c r="D196" s="714"/>
      <c r="E196" s="712"/>
      <c r="F196" s="709"/>
      <c r="G196" s="1729"/>
      <c r="H196" s="712"/>
      <c r="I196" s="709"/>
      <c r="J196" s="713"/>
      <c r="K196" s="710"/>
      <c r="L196" s="712"/>
      <c r="M196" s="711"/>
      <c r="N196" s="711"/>
      <c r="O196" s="711"/>
      <c r="P196" s="710"/>
      <c r="Q196" s="709"/>
      <c r="R196" s="709"/>
      <c r="S196" s="709"/>
      <c r="T196" s="708"/>
      <c r="U196" s="708"/>
    </row>
    <row r="197" spans="1:21" ht="22.5" customHeight="1">
      <c r="A197" s="1727"/>
      <c r="B197" s="714"/>
      <c r="C197" s="714"/>
      <c r="D197" s="714"/>
      <c r="E197" s="712"/>
      <c r="F197" s="709"/>
      <c r="G197" s="1729"/>
      <c r="H197" s="712"/>
      <c r="I197" s="709"/>
      <c r="J197" s="713"/>
      <c r="K197" s="710"/>
      <c r="L197" s="712"/>
      <c r="M197" s="711"/>
      <c r="N197" s="711"/>
      <c r="O197" s="711"/>
      <c r="P197" s="710"/>
      <c r="Q197" s="709"/>
      <c r="R197" s="709"/>
      <c r="S197" s="709"/>
      <c r="T197" s="708"/>
      <c r="U197" s="708"/>
    </row>
    <row r="198" spans="1:21" ht="22.5" customHeight="1">
      <c r="A198" s="1727"/>
      <c r="B198" s="714"/>
      <c r="C198" s="714"/>
      <c r="D198" s="714"/>
      <c r="E198" s="712"/>
      <c r="F198" s="709"/>
      <c r="G198" s="1729"/>
      <c r="H198" s="712"/>
      <c r="I198" s="709"/>
      <c r="J198" s="713"/>
      <c r="K198" s="710"/>
      <c r="L198" s="712"/>
      <c r="M198" s="711"/>
      <c r="N198" s="711"/>
      <c r="O198" s="711"/>
      <c r="P198" s="710"/>
      <c r="Q198" s="709"/>
      <c r="R198" s="709"/>
      <c r="S198" s="709"/>
      <c r="T198" s="708"/>
      <c r="U198" s="708"/>
    </row>
    <row r="199" spans="1:21" ht="22.5" customHeight="1">
      <c r="A199" s="1727"/>
      <c r="B199" s="714"/>
      <c r="C199" s="714"/>
      <c r="D199" s="714"/>
      <c r="E199" s="712"/>
      <c r="F199" s="709"/>
      <c r="G199" s="1729"/>
      <c r="H199" s="712"/>
      <c r="I199" s="709"/>
      <c r="J199" s="713"/>
      <c r="K199" s="710"/>
      <c r="L199" s="712"/>
      <c r="M199" s="711"/>
      <c r="N199" s="711"/>
      <c r="O199" s="711"/>
      <c r="P199" s="710"/>
      <c r="Q199" s="709"/>
      <c r="R199" s="709"/>
      <c r="S199" s="709"/>
      <c r="T199" s="708"/>
      <c r="U199" s="708"/>
    </row>
    <row r="200" spans="1:21" ht="22.5" customHeight="1">
      <c r="A200" s="1727"/>
      <c r="B200" s="714"/>
      <c r="C200" s="714"/>
      <c r="D200" s="714"/>
      <c r="E200" s="712"/>
      <c r="F200" s="709"/>
      <c r="G200" s="1729"/>
      <c r="H200" s="712"/>
      <c r="I200" s="709"/>
      <c r="J200" s="713"/>
      <c r="K200" s="710"/>
      <c r="L200" s="712"/>
      <c r="M200" s="711"/>
      <c r="N200" s="711"/>
      <c r="O200" s="711"/>
      <c r="P200" s="710"/>
      <c r="Q200" s="709"/>
      <c r="R200" s="709"/>
      <c r="S200" s="709"/>
      <c r="T200" s="708"/>
      <c r="U200" s="708"/>
    </row>
    <row r="201" spans="1:21" ht="22.5" customHeight="1">
      <c r="A201" s="1727"/>
      <c r="B201" s="714"/>
      <c r="C201" s="714"/>
      <c r="D201" s="714"/>
      <c r="E201" s="712"/>
      <c r="F201" s="709"/>
      <c r="G201" s="1729"/>
      <c r="H201" s="712"/>
      <c r="I201" s="709"/>
      <c r="J201" s="713"/>
      <c r="K201" s="710"/>
      <c r="L201" s="712"/>
      <c r="M201" s="711"/>
      <c r="N201" s="711"/>
      <c r="O201" s="711"/>
      <c r="P201" s="710"/>
      <c r="Q201" s="709"/>
      <c r="R201" s="709"/>
      <c r="S201" s="709"/>
      <c r="T201" s="708"/>
      <c r="U201" s="708"/>
    </row>
    <row r="202" spans="1:21" ht="22.5" customHeight="1">
      <c r="A202" s="1727"/>
      <c r="B202" s="714"/>
      <c r="C202" s="714"/>
      <c r="D202" s="714"/>
      <c r="E202" s="712"/>
      <c r="F202" s="709"/>
      <c r="G202" s="1729"/>
      <c r="H202" s="712"/>
      <c r="I202" s="709"/>
      <c r="J202" s="713"/>
      <c r="K202" s="710"/>
      <c r="L202" s="712"/>
      <c r="M202" s="711"/>
      <c r="N202" s="711"/>
      <c r="O202" s="711"/>
      <c r="P202" s="710"/>
      <c r="Q202" s="709"/>
      <c r="R202" s="709"/>
      <c r="S202" s="709"/>
      <c r="T202" s="708"/>
      <c r="U202" s="708"/>
    </row>
    <row r="203" spans="1:21" ht="22.5" customHeight="1">
      <c r="A203" s="1727"/>
      <c r="B203" s="714"/>
      <c r="C203" s="714"/>
      <c r="D203" s="714"/>
      <c r="E203" s="712"/>
      <c r="F203" s="709"/>
      <c r="G203" s="1729"/>
      <c r="H203" s="712"/>
      <c r="I203" s="709"/>
      <c r="J203" s="713"/>
      <c r="K203" s="710"/>
      <c r="L203" s="712"/>
      <c r="M203" s="711"/>
      <c r="N203" s="711"/>
      <c r="O203" s="711"/>
      <c r="P203" s="710"/>
      <c r="Q203" s="709"/>
      <c r="R203" s="709"/>
      <c r="S203" s="709"/>
      <c r="T203" s="708"/>
      <c r="U203" s="708"/>
    </row>
    <row r="204" spans="1:21" ht="22.5" customHeight="1">
      <c r="A204" s="1727"/>
      <c r="B204" s="714"/>
      <c r="C204" s="714"/>
      <c r="D204" s="714"/>
      <c r="E204" s="712"/>
      <c r="F204" s="709"/>
      <c r="G204" s="1729"/>
      <c r="H204" s="712"/>
      <c r="I204" s="709"/>
      <c r="J204" s="713"/>
      <c r="K204" s="710"/>
      <c r="L204" s="712"/>
      <c r="M204" s="711"/>
      <c r="N204" s="711"/>
      <c r="O204" s="711"/>
      <c r="P204" s="710"/>
      <c r="Q204" s="709"/>
      <c r="R204" s="709"/>
      <c r="S204" s="709"/>
      <c r="T204" s="708"/>
      <c r="U204" s="708"/>
    </row>
    <row r="205" spans="1:21" ht="22.5" customHeight="1">
      <c r="A205" s="1727"/>
      <c r="B205" s="714"/>
      <c r="C205" s="714"/>
      <c r="D205" s="714"/>
      <c r="E205" s="712"/>
      <c r="F205" s="709"/>
      <c r="G205" s="1729"/>
      <c r="H205" s="712"/>
      <c r="I205" s="709"/>
      <c r="J205" s="713"/>
      <c r="K205" s="710"/>
      <c r="L205" s="712"/>
      <c r="M205" s="711"/>
      <c r="N205" s="711"/>
      <c r="O205" s="711"/>
      <c r="P205" s="710"/>
      <c r="Q205" s="709"/>
      <c r="R205" s="709"/>
      <c r="S205" s="709"/>
      <c r="T205" s="708"/>
      <c r="U205" s="708"/>
    </row>
    <row r="206" spans="1:21" ht="22.5" customHeight="1">
      <c r="A206" s="1727"/>
      <c r="B206" s="714"/>
      <c r="C206" s="714"/>
      <c r="D206" s="714"/>
      <c r="E206" s="712"/>
      <c r="F206" s="709"/>
      <c r="G206" s="1729"/>
      <c r="H206" s="712"/>
      <c r="I206" s="709"/>
      <c r="J206" s="713"/>
      <c r="K206" s="710"/>
      <c r="L206" s="712"/>
      <c r="M206" s="711"/>
      <c r="N206" s="711"/>
      <c r="O206" s="711"/>
      <c r="P206" s="710"/>
      <c r="Q206" s="709"/>
      <c r="R206" s="709"/>
      <c r="S206" s="709"/>
      <c r="T206" s="708"/>
      <c r="U206" s="708"/>
    </row>
    <row r="207" spans="1:21" ht="22.5" customHeight="1">
      <c r="A207" s="1727"/>
      <c r="B207" s="714"/>
      <c r="C207" s="714"/>
      <c r="D207" s="714"/>
      <c r="E207" s="712"/>
      <c r="F207" s="709"/>
      <c r="G207" s="1729"/>
      <c r="H207" s="712"/>
      <c r="I207" s="709"/>
      <c r="J207" s="713"/>
      <c r="K207" s="710"/>
      <c r="L207" s="712"/>
      <c r="M207" s="711"/>
      <c r="N207" s="711"/>
      <c r="O207" s="711"/>
      <c r="P207" s="710"/>
      <c r="Q207" s="709"/>
      <c r="R207" s="709"/>
      <c r="S207" s="709"/>
      <c r="T207" s="708"/>
      <c r="U207" s="708"/>
    </row>
    <row r="208" spans="1:21" ht="22.5" customHeight="1">
      <c r="A208" s="1727"/>
      <c r="B208" s="714"/>
      <c r="C208" s="714"/>
      <c r="D208" s="714"/>
      <c r="E208" s="712"/>
      <c r="F208" s="709"/>
      <c r="G208" s="1729"/>
      <c r="H208" s="712"/>
      <c r="I208" s="709"/>
      <c r="J208" s="713"/>
      <c r="K208" s="710"/>
      <c r="L208" s="712"/>
      <c r="M208" s="711"/>
      <c r="N208" s="711"/>
      <c r="O208" s="711"/>
      <c r="P208" s="710"/>
      <c r="Q208" s="709"/>
      <c r="R208" s="709"/>
      <c r="S208" s="709"/>
      <c r="T208" s="708"/>
      <c r="U208" s="708"/>
    </row>
    <row r="209" spans="1:21" ht="22.5" customHeight="1">
      <c r="A209" s="1727"/>
      <c r="B209" s="714"/>
      <c r="C209" s="714"/>
      <c r="D209" s="714"/>
      <c r="E209" s="712"/>
      <c r="F209" s="709"/>
      <c r="G209" s="1729"/>
      <c r="H209" s="712"/>
      <c r="I209" s="709"/>
      <c r="J209" s="713"/>
      <c r="K209" s="710"/>
      <c r="L209" s="712"/>
      <c r="M209" s="711"/>
      <c r="N209" s="711"/>
      <c r="O209" s="711"/>
      <c r="P209" s="710"/>
      <c r="Q209" s="709"/>
      <c r="R209" s="709"/>
      <c r="S209" s="709"/>
      <c r="T209" s="708"/>
      <c r="U209" s="708"/>
    </row>
    <row r="210" spans="1:21" ht="22.5" customHeight="1">
      <c r="A210" s="1727"/>
      <c r="B210" s="714"/>
      <c r="C210" s="714"/>
      <c r="D210" s="714"/>
      <c r="E210" s="712"/>
      <c r="F210" s="709"/>
      <c r="G210" s="1729"/>
      <c r="H210" s="712"/>
      <c r="I210" s="709"/>
      <c r="J210" s="713"/>
      <c r="K210" s="710"/>
      <c r="L210" s="712"/>
      <c r="M210" s="711"/>
      <c r="N210" s="711"/>
      <c r="O210" s="711"/>
      <c r="P210" s="710"/>
      <c r="Q210" s="709"/>
      <c r="R210" s="709"/>
      <c r="S210" s="709"/>
      <c r="T210" s="708"/>
      <c r="U210" s="708"/>
    </row>
    <row r="211" spans="1:21" ht="22.5" customHeight="1">
      <c r="A211" s="1727"/>
      <c r="B211" s="714"/>
      <c r="C211" s="714"/>
      <c r="D211" s="714"/>
      <c r="E211" s="712"/>
      <c r="F211" s="709"/>
      <c r="G211" s="1729"/>
      <c r="H211" s="712"/>
      <c r="I211" s="709"/>
      <c r="J211" s="713"/>
      <c r="K211" s="710"/>
      <c r="L211" s="712"/>
      <c r="M211" s="711"/>
      <c r="N211" s="711"/>
      <c r="O211" s="711"/>
      <c r="P211" s="710"/>
      <c r="Q211" s="709"/>
      <c r="R211" s="709"/>
      <c r="S211" s="709"/>
      <c r="T211" s="708"/>
      <c r="U211" s="708"/>
    </row>
    <row r="212" spans="1:21" ht="22.5" customHeight="1">
      <c r="A212" s="1727"/>
      <c r="B212" s="714"/>
      <c r="C212" s="714"/>
      <c r="D212" s="714"/>
      <c r="E212" s="712"/>
      <c r="F212" s="709"/>
      <c r="G212" s="1729"/>
      <c r="H212" s="712"/>
      <c r="I212" s="709"/>
      <c r="J212" s="713"/>
      <c r="K212" s="710"/>
      <c r="L212" s="712"/>
      <c r="M212" s="711"/>
      <c r="N212" s="711"/>
      <c r="O212" s="711"/>
      <c r="P212" s="710"/>
      <c r="Q212" s="709"/>
      <c r="R212" s="709"/>
      <c r="S212" s="709"/>
      <c r="T212" s="708"/>
      <c r="U212" s="708"/>
    </row>
    <row r="213" spans="1:21" ht="22.5" customHeight="1">
      <c r="A213" s="1727"/>
      <c r="B213" s="714"/>
      <c r="C213" s="714"/>
      <c r="D213" s="714"/>
      <c r="E213" s="712"/>
      <c r="F213" s="709"/>
      <c r="G213" s="1729"/>
      <c r="H213" s="712"/>
      <c r="I213" s="709"/>
      <c r="J213" s="713"/>
      <c r="K213" s="710"/>
      <c r="L213" s="712"/>
      <c r="M213" s="711"/>
      <c r="N213" s="711"/>
      <c r="O213" s="711"/>
      <c r="P213" s="710"/>
      <c r="Q213" s="709"/>
      <c r="R213" s="709"/>
      <c r="S213" s="709"/>
      <c r="T213" s="708"/>
      <c r="U213" s="708"/>
    </row>
    <row r="214" spans="1:21" ht="22.5" customHeight="1">
      <c r="A214" s="1727"/>
      <c r="B214" s="714"/>
      <c r="C214" s="714"/>
      <c r="D214" s="714"/>
      <c r="E214" s="712"/>
      <c r="F214" s="709"/>
      <c r="G214" s="1729"/>
      <c r="H214" s="712"/>
      <c r="I214" s="709"/>
      <c r="J214" s="713"/>
      <c r="K214" s="710"/>
      <c r="L214" s="712"/>
      <c r="M214" s="711"/>
      <c r="N214" s="711"/>
      <c r="O214" s="711"/>
      <c r="P214" s="710"/>
      <c r="Q214" s="709"/>
      <c r="R214" s="709"/>
      <c r="S214" s="709"/>
      <c r="T214" s="708"/>
      <c r="U214" s="708"/>
    </row>
    <row r="215" spans="1:21" ht="22.5" customHeight="1">
      <c r="A215" s="1727"/>
      <c r="B215" s="714"/>
      <c r="C215" s="714"/>
      <c r="D215" s="714"/>
      <c r="E215" s="712"/>
      <c r="F215" s="709"/>
      <c r="G215" s="1729"/>
      <c r="H215" s="712"/>
      <c r="I215" s="709"/>
      <c r="J215" s="713"/>
      <c r="K215" s="710"/>
      <c r="L215" s="712"/>
      <c r="M215" s="711"/>
      <c r="N215" s="711"/>
      <c r="O215" s="711"/>
      <c r="P215" s="710"/>
      <c r="Q215" s="709"/>
      <c r="R215" s="709"/>
      <c r="S215" s="709"/>
      <c r="T215" s="708"/>
      <c r="U215" s="708"/>
    </row>
    <row r="216" spans="1:21" ht="22.5" customHeight="1">
      <c r="A216" s="1727"/>
      <c r="B216" s="714"/>
      <c r="C216" s="714"/>
      <c r="D216" s="714"/>
      <c r="E216" s="712"/>
      <c r="F216" s="709"/>
      <c r="G216" s="1729"/>
      <c r="H216" s="712"/>
      <c r="I216" s="709"/>
      <c r="J216" s="713"/>
      <c r="K216" s="710"/>
      <c r="L216" s="712"/>
      <c r="M216" s="711"/>
      <c r="N216" s="711"/>
      <c r="O216" s="711"/>
      <c r="P216" s="710"/>
      <c r="Q216" s="709"/>
      <c r="R216" s="709"/>
      <c r="S216" s="709"/>
      <c r="T216" s="708"/>
      <c r="U216" s="708"/>
    </row>
    <row r="217" spans="1:21" ht="22.5" customHeight="1">
      <c r="A217" s="1727"/>
      <c r="B217" s="714"/>
      <c r="C217" s="714"/>
      <c r="D217" s="714"/>
      <c r="E217" s="712"/>
      <c r="F217" s="709"/>
      <c r="G217" s="1729"/>
      <c r="H217" s="712"/>
      <c r="I217" s="709"/>
      <c r="J217" s="713"/>
      <c r="K217" s="710"/>
      <c r="L217" s="712"/>
      <c r="M217" s="711"/>
      <c r="N217" s="711"/>
      <c r="O217" s="711"/>
      <c r="P217" s="710"/>
      <c r="Q217" s="709"/>
      <c r="R217" s="709"/>
      <c r="S217" s="709"/>
      <c r="T217" s="708"/>
      <c r="U217" s="708"/>
    </row>
    <row r="218" spans="1:21" ht="22.5" customHeight="1">
      <c r="A218" s="1727"/>
      <c r="B218" s="714"/>
      <c r="C218" s="714"/>
      <c r="D218" s="714"/>
      <c r="E218" s="712"/>
      <c r="F218" s="709"/>
      <c r="G218" s="1729"/>
      <c r="H218" s="712"/>
      <c r="I218" s="709"/>
      <c r="J218" s="713"/>
      <c r="K218" s="710"/>
      <c r="L218" s="712"/>
      <c r="M218" s="711"/>
      <c r="N218" s="711"/>
      <c r="O218" s="711"/>
      <c r="P218" s="710"/>
      <c r="Q218" s="709"/>
      <c r="R218" s="709"/>
      <c r="S218" s="709"/>
      <c r="T218" s="708"/>
      <c r="U218" s="708"/>
    </row>
    <row r="219" spans="1:21" ht="22.5" customHeight="1">
      <c r="A219" s="1727"/>
      <c r="B219" s="714"/>
      <c r="C219" s="714"/>
      <c r="D219" s="714"/>
      <c r="E219" s="712"/>
      <c r="F219" s="709"/>
      <c r="G219" s="1729"/>
      <c r="H219" s="712"/>
      <c r="I219" s="709"/>
      <c r="J219" s="713"/>
      <c r="K219" s="710"/>
      <c r="L219" s="712"/>
      <c r="M219" s="711"/>
      <c r="N219" s="711"/>
      <c r="O219" s="711"/>
      <c r="P219" s="710"/>
      <c r="Q219" s="709"/>
      <c r="R219" s="709"/>
      <c r="S219" s="709"/>
      <c r="T219" s="708"/>
      <c r="U219" s="708"/>
    </row>
    <row r="220" spans="1:21" ht="22.5" customHeight="1">
      <c r="A220" s="1727"/>
      <c r="B220" s="714"/>
      <c r="C220" s="714"/>
      <c r="D220" s="714"/>
      <c r="E220" s="712"/>
      <c r="F220" s="709"/>
      <c r="G220" s="1729"/>
      <c r="H220" s="712"/>
      <c r="I220" s="709"/>
      <c r="J220" s="713"/>
      <c r="K220" s="710"/>
      <c r="L220" s="712"/>
      <c r="M220" s="711"/>
      <c r="N220" s="711"/>
      <c r="O220" s="711"/>
      <c r="P220" s="710"/>
      <c r="Q220" s="709"/>
      <c r="R220" s="709"/>
      <c r="S220" s="709"/>
      <c r="T220" s="708"/>
      <c r="U220" s="708"/>
    </row>
    <row r="221" spans="1:21" ht="22.5" customHeight="1">
      <c r="A221" s="1727"/>
      <c r="B221" s="714"/>
      <c r="C221" s="714"/>
      <c r="D221" s="714"/>
      <c r="E221" s="712"/>
      <c r="F221" s="709"/>
      <c r="G221" s="1729"/>
      <c r="H221" s="712"/>
      <c r="I221" s="709"/>
      <c r="J221" s="713"/>
      <c r="K221" s="710"/>
      <c r="L221" s="712"/>
      <c r="M221" s="711"/>
      <c r="N221" s="711"/>
      <c r="O221" s="711"/>
      <c r="P221" s="710"/>
      <c r="Q221" s="709"/>
      <c r="R221" s="709"/>
      <c r="S221" s="709"/>
      <c r="T221" s="708"/>
      <c r="U221" s="708"/>
    </row>
    <row r="222" spans="1:21" ht="22.5" customHeight="1">
      <c r="A222" s="1727"/>
      <c r="B222" s="714"/>
      <c r="C222" s="714"/>
      <c r="D222" s="714"/>
      <c r="E222" s="712"/>
      <c r="F222" s="709"/>
      <c r="G222" s="1729"/>
      <c r="H222" s="712"/>
      <c r="I222" s="709"/>
      <c r="J222" s="713"/>
      <c r="K222" s="710"/>
      <c r="L222" s="712"/>
      <c r="M222" s="711"/>
      <c r="N222" s="711"/>
      <c r="O222" s="711"/>
      <c r="P222" s="710"/>
      <c r="Q222" s="709"/>
      <c r="R222" s="709"/>
      <c r="S222" s="709"/>
      <c r="T222" s="708"/>
      <c r="U222" s="708"/>
    </row>
    <row r="223" spans="1:21" ht="22.5" customHeight="1">
      <c r="A223" s="1727"/>
      <c r="B223" s="714"/>
      <c r="C223" s="714"/>
      <c r="D223" s="714"/>
      <c r="E223" s="712"/>
      <c r="F223" s="709"/>
      <c r="G223" s="1729"/>
      <c r="H223" s="712"/>
      <c r="I223" s="709"/>
      <c r="J223" s="713"/>
      <c r="K223" s="710"/>
      <c r="L223" s="712"/>
      <c r="M223" s="711"/>
      <c r="N223" s="711"/>
      <c r="O223" s="711"/>
      <c r="P223" s="710"/>
      <c r="Q223" s="709"/>
      <c r="R223" s="709"/>
      <c r="S223" s="709"/>
      <c r="T223" s="708"/>
      <c r="U223" s="708"/>
    </row>
    <row r="224" spans="1:21" ht="22.5" customHeight="1">
      <c r="A224" s="1727"/>
      <c r="B224" s="714"/>
      <c r="C224" s="714"/>
      <c r="D224" s="714"/>
      <c r="E224" s="712"/>
      <c r="F224" s="709"/>
      <c r="G224" s="1729"/>
      <c r="H224" s="712"/>
      <c r="I224" s="709"/>
      <c r="J224" s="713"/>
      <c r="K224" s="710"/>
      <c r="L224" s="712"/>
      <c r="M224" s="711"/>
      <c r="N224" s="711"/>
      <c r="O224" s="711"/>
      <c r="P224" s="710"/>
      <c r="Q224" s="709"/>
      <c r="R224" s="709"/>
      <c r="S224" s="709"/>
      <c r="T224" s="708"/>
      <c r="U224" s="708"/>
    </row>
    <row r="225" spans="1:21" ht="22.5" customHeight="1">
      <c r="A225" s="1727"/>
      <c r="B225" s="714"/>
      <c r="C225" s="714"/>
      <c r="D225" s="714"/>
      <c r="E225" s="712"/>
      <c r="F225" s="709"/>
      <c r="G225" s="1729"/>
      <c r="H225" s="712"/>
      <c r="I225" s="709"/>
      <c r="J225" s="713"/>
      <c r="K225" s="710"/>
      <c r="L225" s="712"/>
      <c r="M225" s="711"/>
      <c r="N225" s="711"/>
      <c r="O225" s="711"/>
      <c r="P225" s="710"/>
      <c r="Q225" s="709"/>
      <c r="R225" s="709"/>
      <c r="S225" s="709"/>
      <c r="T225" s="708"/>
      <c r="U225" s="708"/>
    </row>
    <row r="226" spans="1:21" ht="22.5" customHeight="1">
      <c r="A226" s="1727"/>
      <c r="B226" s="714"/>
      <c r="C226" s="714"/>
      <c r="D226" s="714"/>
      <c r="E226" s="712"/>
      <c r="F226" s="709"/>
      <c r="G226" s="1729"/>
      <c r="H226" s="712"/>
      <c r="I226" s="709"/>
      <c r="J226" s="713"/>
      <c r="K226" s="710"/>
      <c r="L226" s="712"/>
      <c r="M226" s="711"/>
      <c r="N226" s="711"/>
      <c r="O226" s="711"/>
      <c r="P226" s="710"/>
      <c r="Q226" s="709"/>
      <c r="R226" s="709"/>
      <c r="S226" s="709"/>
      <c r="T226" s="708"/>
      <c r="U226" s="708"/>
    </row>
    <row r="227" spans="1:21" ht="22.5" customHeight="1">
      <c r="A227" s="1727"/>
      <c r="B227" s="714"/>
      <c r="C227" s="714"/>
      <c r="D227" s="714"/>
      <c r="E227" s="712"/>
      <c r="F227" s="709"/>
      <c r="G227" s="1729"/>
      <c r="H227" s="712"/>
      <c r="I227" s="709"/>
      <c r="J227" s="713"/>
      <c r="K227" s="710"/>
      <c r="L227" s="712"/>
      <c r="M227" s="711"/>
      <c r="N227" s="711"/>
      <c r="O227" s="711"/>
      <c r="P227" s="710"/>
      <c r="Q227" s="709"/>
      <c r="R227" s="709"/>
      <c r="S227" s="709"/>
      <c r="T227" s="708"/>
      <c r="U227" s="708"/>
    </row>
    <row r="228" spans="1:21" ht="22.5" customHeight="1">
      <c r="A228" s="1727"/>
      <c r="B228" s="714"/>
      <c r="C228" s="714"/>
      <c r="D228" s="714"/>
      <c r="E228" s="712"/>
      <c r="F228" s="709"/>
      <c r="G228" s="1729"/>
      <c r="H228" s="712"/>
      <c r="I228" s="709"/>
      <c r="J228" s="713"/>
      <c r="K228" s="710"/>
      <c r="L228" s="712"/>
      <c r="M228" s="711"/>
      <c r="N228" s="711"/>
      <c r="O228" s="711"/>
      <c r="P228" s="710"/>
      <c r="Q228" s="709"/>
      <c r="R228" s="709"/>
      <c r="S228" s="709"/>
      <c r="T228" s="708"/>
      <c r="U228" s="708"/>
    </row>
    <row r="229" spans="1:21" ht="22.5" customHeight="1">
      <c r="A229" s="1727"/>
      <c r="B229" s="714"/>
      <c r="C229" s="714"/>
      <c r="D229" s="714"/>
      <c r="E229" s="712"/>
      <c r="F229" s="709"/>
      <c r="G229" s="1729"/>
      <c r="H229" s="712"/>
      <c r="I229" s="709"/>
      <c r="J229" s="713"/>
      <c r="K229" s="710"/>
      <c r="L229" s="712"/>
      <c r="M229" s="711"/>
      <c r="N229" s="711"/>
      <c r="O229" s="711"/>
      <c r="P229" s="710"/>
      <c r="Q229" s="709"/>
      <c r="R229" s="709"/>
      <c r="S229" s="709"/>
      <c r="T229" s="708"/>
      <c r="U229" s="708"/>
    </row>
    <row r="230" spans="1:21" ht="22.5" customHeight="1">
      <c r="A230" s="1727"/>
      <c r="B230" s="714"/>
      <c r="C230" s="714"/>
      <c r="D230" s="714"/>
      <c r="E230" s="712"/>
      <c r="F230" s="709"/>
      <c r="G230" s="1729"/>
      <c r="H230" s="712"/>
      <c r="I230" s="709"/>
      <c r="J230" s="713"/>
      <c r="K230" s="710"/>
      <c r="L230" s="712"/>
      <c r="M230" s="711"/>
      <c r="N230" s="711"/>
      <c r="O230" s="711"/>
      <c r="P230" s="710"/>
      <c r="Q230" s="709"/>
      <c r="R230" s="709"/>
      <c r="S230" s="709"/>
      <c r="T230" s="708"/>
      <c r="U230" s="708"/>
    </row>
    <row r="231" spans="1:21" ht="22.5" customHeight="1">
      <c r="A231" s="1727"/>
      <c r="B231" s="714"/>
      <c r="C231" s="714"/>
      <c r="D231" s="714"/>
      <c r="E231" s="712"/>
      <c r="F231" s="709"/>
      <c r="G231" s="1729"/>
      <c r="H231" s="712"/>
      <c r="I231" s="709"/>
      <c r="J231" s="713"/>
      <c r="K231" s="710"/>
      <c r="L231" s="712"/>
      <c r="M231" s="711"/>
      <c r="N231" s="711"/>
      <c r="O231" s="711"/>
      <c r="P231" s="710"/>
      <c r="Q231" s="709"/>
      <c r="R231" s="709"/>
      <c r="S231" s="709"/>
      <c r="T231" s="708"/>
      <c r="U231" s="708"/>
    </row>
    <row r="232" spans="1:21" ht="22.5" customHeight="1">
      <c r="A232" s="1727"/>
      <c r="B232" s="714"/>
      <c r="C232" s="714"/>
      <c r="D232" s="714"/>
      <c r="E232" s="712"/>
      <c r="F232" s="709"/>
      <c r="G232" s="1729"/>
      <c r="H232" s="712"/>
      <c r="I232" s="709"/>
      <c r="J232" s="713"/>
      <c r="K232" s="710"/>
      <c r="L232" s="712"/>
      <c r="M232" s="711"/>
      <c r="N232" s="711"/>
      <c r="O232" s="711"/>
      <c r="P232" s="710"/>
      <c r="Q232" s="709"/>
      <c r="R232" s="709"/>
      <c r="S232" s="709"/>
      <c r="T232" s="708"/>
      <c r="U232" s="708"/>
    </row>
    <row r="233" spans="1:21" ht="22.5" customHeight="1">
      <c r="A233" s="1727"/>
      <c r="B233" s="714"/>
      <c r="C233" s="714"/>
      <c r="D233" s="714"/>
      <c r="E233" s="712"/>
      <c r="F233" s="709"/>
      <c r="G233" s="1729"/>
      <c r="H233" s="712"/>
      <c r="I233" s="709"/>
      <c r="J233" s="713"/>
      <c r="K233" s="710"/>
      <c r="L233" s="712"/>
      <c r="M233" s="711"/>
      <c r="N233" s="711"/>
      <c r="O233" s="711"/>
      <c r="P233" s="710"/>
      <c r="Q233" s="709"/>
      <c r="R233" s="709"/>
      <c r="S233" s="709"/>
      <c r="T233" s="708"/>
      <c r="U233" s="708"/>
    </row>
    <row r="234" spans="1:21" ht="22.5" customHeight="1">
      <c r="A234" s="1727"/>
      <c r="B234" s="714"/>
      <c r="C234" s="714"/>
      <c r="D234" s="714"/>
      <c r="E234" s="712"/>
      <c r="F234" s="709"/>
      <c r="G234" s="1729"/>
      <c r="H234" s="712"/>
      <c r="I234" s="709"/>
      <c r="J234" s="713"/>
      <c r="K234" s="710"/>
      <c r="L234" s="712"/>
      <c r="M234" s="711"/>
      <c r="N234" s="711"/>
      <c r="O234" s="711"/>
      <c r="P234" s="710"/>
      <c r="Q234" s="709"/>
      <c r="R234" s="709"/>
      <c r="S234" s="709"/>
      <c r="T234" s="708"/>
      <c r="U234" s="708"/>
    </row>
    <row r="235" spans="1:21" ht="22.5" customHeight="1">
      <c r="A235" s="1727"/>
      <c r="B235" s="714"/>
      <c r="C235" s="714"/>
      <c r="D235" s="714"/>
      <c r="E235" s="712"/>
      <c r="F235" s="709"/>
      <c r="G235" s="1729"/>
      <c r="H235" s="712"/>
      <c r="I235" s="709"/>
      <c r="J235" s="713"/>
      <c r="K235" s="710"/>
      <c r="L235" s="712"/>
      <c r="M235" s="711"/>
      <c r="N235" s="711"/>
      <c r="O235" s="711"/>
      <c r="P235" s="710"/>
      <c r="Q235" s="709"/>
      <c r="R235" s="709"/>
      <c r="S235" s="709"/>
      <c r="T235" s="708"/>
      <c r="U235" s="708"/>
    </row>
    <row r="236" spans="1:21" ht="22.5" customHeight="1">
      <c r="A236" s="1727"/>
      <c r="B236" s="714"/>
      <c r="C236" s="714"/>
      <c r="D236" s="714"/>
      <c r="E236" s="712"/>
      <c r="F236" s="709"/>
      <c r="G236" s="1729"/>
      <c r="H236" s="712"/>
      <c r="I236" s="709"/>
      <c r="J236" s="713"/>
      <c r="K236" s="710"/>
      <c r="L236" s="712"/>
      <c r="M236" s="711"/>
      <c r="N236" s="711"/>
      <c r="O236" s="711"/>
      <c r="P236" s="710"/>
      <c r="Q236" s="709"/>
      <c r="R236" s="709"/>
      <c r="S236" s="709"/>
      <c r="T236" s="708"/>
      <c r="U236" s="708"/>
    </row>
    <row r="237" spans="1:21" ht="22.5" customHeight="1">
      <c r="A237" s="1727"/>
      <c r="B237" s="714"/>
      <c r="C237" s="714"/>
      <c r="D237" s="714"/>
      <c r="E237" s="712"/>
      <c r="F237" s="709"/>
      <c r="G237" s="1729"/>
      <c r="H237" s="712"/>
      <c r="I237" s="709"/>
      <c r="J237" s="713"/>
      <c r="K237" s="710"/>
      <c r="L237" s="712"/>
      <c r="M237" s="711"/>
      <c r="N237" s="711"/>
      <c r="O237" s="711"/>
      <c r="P237" s="710"/>
      <c r="Q237" s="709"/>
      <c r="R237" s="709"/>
      <c r="S237" s="709"/>
      <c r="T237" s="708"/>
      <c r="U237" s="708"/>
    </row>
    <row r="238" spans="1:21" ht="22.5" customHeight="1">
      <c r="A238" s="1727"/>
      <c r="B238" s="714"/>
      <c r="C238" s="714"/>
      <c r="D238" s="714"/>
      <c r="E238" s="712"/>
      <c r="F238" s="709"/>
      <c r="G238" s="1729"/>
      <c r="H238" s="712"/>
      <c r="I238" s="709"/>
      <c r="J238" s="713"/>
      <c r="K238" s="710"/>
      <c r="L238" s="712"/>
      <c r="M238" s="711"/>
      <c r="N238" s="711"/>
      <c r="O238" s="711"/>
      <c r="P238" s="710"/>
      <c r="Q238" s="709"/>
      <c r="R238" s="709"/>
      <c r="S238" s="709"/>
      <c r="T238" s="708"/>
      <c r="U238" s="708"/>
    </row>
    <row r="239" spans="1:21" ht="22.5" customHeight="1">
      <c r="A239" s="1727"/>
      <c r="B239" s="714"/>
      <c r="C239" s="714"/>
      <c r="D239" s="714"/>
      <c r="E239" s="712"/>
      <c r="F239" s="709"/>
      <c r="G239" s="1729"/>
      <c r="H239" s="712"/>
      <c r="I239" s="709"/>
      <c r="J239" s="713"/>
      <c r="K239" s="710"/>
      <c r="L239" s="712"/>
      <c r="M239" s="711"/>
      <c r="N239" s="711"/>
      <c r="O239" s="711"/>
      <c r="P239" s="710"/>
      <c r="Q239" s="709"/>
      <c r="R239" s="709"/>
      <c r="S239" s="709"/>
      <c r="T239" s="708"/>
      <c r="U239" s="708"/>
    </row>
    <row r="240" spans="1:21" ht="22.5" customHeight="1">
      <c r="A240" s="1727"/>
      <c r="B240" s="714"/>
      <c r="C240" s="714"/>
      <c r="D240" s="714"/>
      <c r="E240" s="712"/>
      <c r="F240" s="709"/>
      <c r="G240" s="1729"/>
      <c r="H240" s="712"/>
      <c r="I240" s="709"/>
      <c r="J240" s="713"/>
      <c r="K240" s="710"/>
      <c r="L240" s="712"/>
      <c r="M240" s="711"/>
      <c r="N240" s="711"/>
      <c r="O240" s="711"/>
      <c r="P240" s="710"/>
      <c r="Q240" s="709"/>
      <c r="R240" s="709"/>
      <c r="S240" s="709"/>
      <c r="T240" s="708"/>
      <c r="U240" s="708"/>
    </row>
    <row r="241" spans="1:21" ht="22.5" customHeight="1">
      <c r="A241" s="1727"/>
      <c r="B241" s="714"/>
      <c r="C241" s="714"/>
      <c r="D241" s="714"/>
      <c r="E241" s="712"/>
      <c r="F241" s="709"/>
      <c r="G241" s="1729"/>
      <c r="H241" s="712"/>
      <c r="I241" s="709"/>
      <c r="J241" s="713"/>
      <c r="K241" s="710"/>
      <c r="L241" s="712"/>
      <c r="M241" s="711"/>
      <c r="N241" s="711"/>
      <c r="O241" s="711"/>
      <c r="P241" s="710"/>
      <c r="Q241" s="709"/>
      <c r="R241" s="709"/>
      <c r="S241" s="709"/>
      <c r="T241" s="708"/>
      <c r="U241" s="708"/>
    </row>
    <row r="242" spans="1:21" ht="22.5" customHeight="1">
      <c r="A242" s="1727"/>
      <c r="B242" s="714"/>
      <c r="C242" s="714"/>
      <c r="D242" s="714"/>
      <c r="E242" s="712"/>
      <c r="F242" s="709"/>
      <c r="G242" s="1729"/>
      <c r="H242" s="712"/>
      <c r="I242" s="709"/>
      <c r="J242" s="713"/>
      <c r="K242" s="710"/>
      <c r="L242" s="712"/>
      <c r="M242" s="711"/>
      <c r="N242" s="711"/>
      <c r="O242" s="711"/>
      <c r="P242" s="710"/>
      <c r="Q242" s="709"/>
      <c r="R242" s="709"/>
      <c r="S242" s="709"/>
      <c r="T242" s="708"/>
      <c r="U242" s="708"/>
    </row>
    <row r="243" spans="1:21" ht="22.5" customHeight="1">
      <c r="A243" s="1727"/>
      <c r="B243" s="714"/>
      <c r="C243" s="714"/>
      <c r="D243" s="714"/>
      <c r="E243" s="712"/>
      <c r="F243" s="709"/>
      <c r="G243" s="1729"/>
      <c r="H243" s="712"/>
      <c r="I243" s="709"/>
      <c r="J243" s="713"/>
      <c r="K243" s="710"/>
      <c r="L243" s="712"/>
      <c r="M243" s="711"/>
      <c r="N243" s="711"/>
      <c r="O243" s="711"/>
      <c r="P243" s="710"/>
      <c r="Q243" s="709"/>
      <c r="R243" s="709"/>
      <c r="S243" s="709"/>
      <c r="T243" s="708"/>
      <c r="U243" s="708"/>
    </row>
    <row r="244" spans="1:21" ht="22.5" customHeight="1">
      <c r="A244" s="1727"/>
      <c r="B244" s="714"/>
      <c r="C244" s="714"/>
      <c r="D244" s="714"/>
      <c r="E244" s="712"/>
      <c r="F244" s="709"/>
      <c r="G244" s="1729"/>
      <c r="H244" s="712"/>
      <c r="I244" s="709"/>
      <c r="J244" s="713"/>
      <c r="K244" s="710"/>
      <c r="L244" s="712"/>
      <c r="M244" s="711"/>
      <c r="N244" s="711"/>
      <c r="O244" s="711"/>
      <c r="P244" s="710"/>
      <c r="Q244" s="709"/>
      <c r="R244" s="709"/>
      <c r="S244" s="709"/>
      <c r="T244" s="708"/>
      <c r="U244" s="708"/>
    </row>
    <row r="245" spans="1:21" ht="22.5" customHeight="1">
      <c r="A245" s="1727"/>
      <c r="B245" s="714"/>
      <c r="C245" s="714"/>
      <c r="D245" s="714"/>
      <c r="E245" s="712"/>
      <c r="F245" s="709"/>
      <c r="G245" s="1729"/>
      <c r="H245" s="712"/>
      <c r="I245" s="709"/>
      <c r="J245" s="713"/>
      <c r="K245" s="710"/>
      <c r="L245" s="712"/>
      <c r="M245" s="711"/>
      <c r="N245" s="711"/>
      <c r="O245" s="711"/>
      <c r="P245" s="710"/>
      <c r="Q245" s="709"/>
      <c r="R245" s="709"/>
      <c r="S245" s="709"/>
      <c r="T245" s="708"/>
      <c r="U245" s="708"/>
    </row>
    <row r="246" spans="1:21" ht="22.5" customHeight="1">
      <c r="A246" s="1728"/>
      <c r="B246" s="714"/>
      <c r="C246" s="714"/>
      <c r="D246" s="714"/>
      <c r="E246" s="712"/>
      <c r="F246" s="709"/>
      <c r="G246" s="1729"/>
      <c r="H246" s="712"/>
      <c r="I246" s="709"/>
      <c r="J246" s="713"/>
      <c r="K246" s="710"/>
      <c r="L246" s="712"/>
      <c r="M246" s="711"/>
      <c r="N246" s="711"/>
      <c r="O246" s="711"/>
      <c r="P246" s="710"/>
      <c r="Q246" s="709"/>
      <c r="R246" s="709"/>
      <c r="S246" s="709"/>
      <c r="T246" s="708"/>
      <c r="U246" s="708"/>
    </row>
    <row r="247" spans="1:21" ht="22.5" customHeight="1">
      <c r="A247" s="1728"/>
      <c r="B247" s="714"/>
      <c r="C247" s="714"/>
      <c r="D247" s="714"/>
      <c r="E247" s="712"/>
      <c r="F247" s="709"/>
      <c r="G247" s="1729"/>
      <c r="H247" s="712"/>
      <c r="I247" s="709"/>
      <c r="J247" s="713"/>
      <c r="K247" s="710"/>
      <c r="L247" s="712"/>
      <c r="M247" s="711"/>
      <c r="N247" s="711"/>
      <c r="O247" s="711"/>
      <c r="P247" s="710"/>
      <c r="Q247" s="709"/>
      <c r="R247" s="709"/>
      <c r="S247" s="709"/>
      <c r="T247" s="708"/>
      <c r="U247" s="708"/>
    </row>
    <row r="248" spans="1:21" ht="22.5" customHeight="1">
      <c r="A248"/>
      <c r="B248" s="714"/>
      <c r="C248" s="714"/>
      <c r="D248" s="714"/>
      <c r="E248" s="712"/>
      <c r="F248" s="709"/>
      <c r="G248" s="1729"/>
      <c r="H248" s="712"/>
      <c r="I248" s="709"/>
      <c r="J248" s="713"/>
      <c r="K248" s="710"/>
      <c r="L248" s="712"/>
      <c r="M248" s="711"/>
      <c r="N248" s="711"/>
      <c r="O248" s="711"/>
      <c r="P248" s="710"/>
      <c r="Q248" s="709"/>
      <c r="R248" s="709"/>
      <c r="S248" s="709"/>
      <c r="T248" s="708"/>
      <c r="U248" s="708"/>
    </row>
    <row r="249" spans="1:21" ht="15">
      <c r="A249"/>
    </row>
    <row r="250" spans="1:21" ht="15">
      <c r="A250"/>
    </row>
    <row r="251" spans="1:21" ht="15">
      <c r="A251"/>
    </row>
    <row r="252" spans="1:21" ht="15">
      <c r="A252"/>
    </row>
    <row r="253" spans="1:21" ht="15">
      <c r="A253"/>
    </row>
    <row r="254" spans="1:21" ht="15">
      <c r="A254"/>
    </row>
    <row r="255" spans="1:21" ht="15">
      <c r="A255"/>
    </row>
    <row r="256" spans="1:21" ht="15">
      <c r="A256"/>
    </row>
    <row r="257" spans="1:1" ht="15">
      <c r="A257"/>
    </row>
    <row r="258" spans="1:1" ht="15">
      <c r="A258"/>
    </row>
    <row r="259" spans="1:1" ht="15">
      <c r="A259"/>
    </row>
    <row r="260" spans="1:1" ht="15">
      <c r="A260"/>
    </row>
    <row r="261" spans="1:1" ht="15">
      <c r="A261"/>
    </row>
    <row r="262" spans="1:1" ht="15">
      <c r="A262"/>
    </row>
    <row r="263" spans="1:1" ht="15">
      <c r="A263"/>
    </row>
    <row r="264" spans="1:1" ht="15">
      <c r="A264"/>
    </row>
    <row r="265" spans="1:1" ht="15">
      <c r="A265"/>
    </row>
    <row r="266" spans="1:1" ht="15">
      <c r="A266"/>
    </row>
    <row r="267" spans="1:1" ht="15">
      <c r="A267"/>
    </row>
    <row r="268" spans="1:1" ht="15">
      <c r="A268"/>
    </row>
    <row r="269" spans="1:1" ht="15">
      <c r="A269"/>
    </row>
    <row r="270" spans="1:1" ht="15">
      <c r="A270"/>
    </row>
    <row r="271" spans="1:1" ht="15">
      <c r="A271"/>
    </row>
    <row r="272" spans="1:1" ht="15">
      <c r="A272"/>
    </row>
    <row r="273" spans="1:1" ht="15">
      <c r="A273"/>
    </row>
    <row r="274" spans="1:1" ht="15">
      <c r="A274"/>
    </row>
    <row r="275" spans="1:1" ht="15">
      <c r="A275"/>
    </row>
    <row r="276" spans="1:1" ht="15">
      <c r="A276"/>
    </row>
    <row r="277" spans="1:1" ht="15">
      <c r="A277"/>
    </row>
    <row r="278" spans="1:1" ht="15">
      <c r="A278"/>
    </row>
    <row r="279" spans="1:1" ht="15">
      <c r="A279"/>
    </row>
    <row r="280" spans="1:1" ht="15">
      <c r="A280"/>
    </row>
    <row r="281" spans="1:1" ht="15">
      <c r="A281"/>
    </row>
    <row r="282" spans="1:1" ht="15">
      <c r="A282"/>
    </row>
    <row r="283" spans="1:1" ht="15">
      <c r="A283"/>
    </row>
    <row r="284" spans="1:1" ht="15">
      <c r="A284"/>
    </row>
    <row r="285" spans="1:1" ht="15">
      <c r="A285"/>
    </row>
    <row r="286" spans="1:1" ht="15">
      <c r="A286"/>
    </row>
    <row r="287" spans="1:1" ht="15">
      <c r="A287"/>
    </row>
    <row r="288" spans="1:1" ht="15">
      <c r="A288"/>
    </row>
    <row r="289" spans="1:1" ht="15">
      <c r="A289"/>
    </row>
    <row r="290" spans="1:1" ht="15">
      <c r="A290"/>
    </row>
    <row r="291" spans="1:1" ht="15">
      <c r="A291"/>
    </row>
    <row r="292" spans="1:1" ht="15">
      <c r="A292"/>
    </row>
    <row r="293" spans="1:1" ht="15">
      <c r="A293"/>
    </row>
    <row r="294" spans="1:1" ht="15">
      <c r="A294"/>
    </row>
    <row r="295" spans="1:1" ht="15">
      <c r="A295"/>
    </row>
    <row r="296" spans="1:1" ht="15">
      <c r="A296"/>
    </row>
    <row r="297" spans="1:1" ht="15">
      <c r="A297"/>
    </row>
    <row r="298" spans="1:1" ht="15">
      <c r="A298"/>
    </row>
    <row r="299" spans="1:1" ht="15">
      <c r="A299"/>
    </row>
    <row r="300" spans="1:1" ht="15">
      <c r="A300"/>
    </row>
    <row r="301" spans="1:1" ht="15">
      <c r="A301"/>
    </row>
    <row r="302" spans="1:1" ht="15">
      <c r="A302"/>
    </row>
    <row r="303" spans="1:1" ht="15">
      <c r="A303"/>
    </row>
    <row r="304" spans="1:1" ht="15">
      <c r="A304"/>
    </row>
    <row r="305" spans="1:1" ht="15">
      <c r="A305"/>
    </row>
    <row r="306" spans="1:1" ht="15">
      <c r="A306"/>
    </row>
    <row r="307" spans="1:1" ht="15">
      <c r="A307"/>
    </row>
    <row r="308" spans="1:1" ht="15">
      <c r="A308"/>
    </row>
    <row r="309" spans="1:1" ht="15">
      <c r="A309"/>
    </row>
    <row r="310" spans="1:1" ht="15">
      <c r="A310"/>
    </row>
    <row r="311" spans="1:1" ht="15">
      <c r="A311"/>
    </row>
    <row r="312" spans="1:1" ht="15">
      <c r="A312"/>
    </row>
    <row r="313" spans="1:1" ht="15">
      <c r="A313"/>
    </row>
    <row r="314" spans="1:1" ht="15">
      <c r="A314"/>
    </row>
    <row r="315" spans="1:1" ht="15">
      <c r="A315"/>
    </row>
    <row r="316" spans="1:1" ht="15">
      <c r="A316"/>
    </row>
    <row r="317" spans="1:1" ht="15">
      <c r="A317"/>
    </row>
    <row r="318" spans="1:1" ht="15">
      <c r="A318"/>
    </row>
    <row r="319" spans="1:1" ht="15">
      <c r="A319"/>
    </row>
    <row r="320" spans="1:1" ht="15">
      <c r="A320"/>
    </row>
    <row r="321" spans="1:1" ht="15">
      <c r="A321"/>
    </row>
    <row r="322" spans="1:1" ht="15">
      <c r="A322"/>
    </row>
    <row r="323" spans="1:1" ht="15">
      <c r="A323"/>
    </row>
    <row r="324" spans="1:1" ht="15">
      <c r="A324"/>
    </row>
    <row r="325" spans="1:1" ht="15">
      <c r="A325"/>
    </row>
    <row r="326" spans="1:1" ht="15">
      <c r="A326"/>
    </row>
    <row r="327" spans="1:1" ht="15">
      <c r="A327"/>
    </row>
    <row r="328" spans="1:1" ht="15">
      <c r="A328"/>
    </row>
    <row r="329" spans="1:1" ht="15">
      <c r="A329"/>
    </row>
    <row r="330" spans="1:1" ht="15">
      <c r="A330"/>
    </row>
    <row r="331" spans="1:1" ht="15">
      <c r="A331"/>
    </row>
    <row r="332" spans="1:1" ht="15">
      <c r="A332"/>
    </row>
    <row r="333" spans="1:1" ht="15">
      <c r="A333"/>
    </row>
    <row r="334" spans="1:1" ht="15">
      <c r="A334"/>
    </row>
    <row r="335" spans="1:1" ht="15">
      <c r="A335"/>
    </row>
    <row r="336" spans="1:1" ht="15">
      <c r="A336"/>
    </row>
    <row r="337" spans="1:1" ht="15">
      <c r="A337"/>
    </row>
    <row r="338" spans="1:1" ht="15">
      <c r="A338"/>
    </row>
    <row r="339" spans="1:1" ht="15">
      <c r="A339"/>
    </row>
    <row r="340" spans="1:1" ht="15">
      <c r="A340"/>
    </row>
    <row r="341" spans="1:1" ht="15">
      <c r="A341"/>
    </row>
    <row r="342" spans="1:1" ht="15">
      <c r="A342"/>
    </row>
    <row r="343" spans="1:1" ht="15">
      <c r="A343"/>
    </row>
    <row r="344" spans="1:1" ht="15">
      <c r="A344"/>
    </row>
    <row r="345" spans="1:1" ht="15">
      <c r="A345"/>
    </row>
    <row r="346" spans="1:1" ht="15">
      <c r="A346"/>
    </row>
    <row r="347" spans="1:1" ht="15">
      <c r="A347"/>
    </row>
    <row r="348" spans="1:1" ht="15">
      <c r="A348"/>
    </row>
  </sheetData>
  <autoFilter ref="A14:U248"/>
  <mergeCells count="17">
    <mergeCell ref="U11:U13"/>
    <mergeCell ref="J11:K12"/>
    <mergeCell ref="L11:L12"/>
    <mergeCell ref="M11:O12"/>
    <mergeCell ref="P11:Q12"/>
    <mergeCell ref="R11:S12"/>
    <mergeCell ref="T11:T13"/>
    <mergeCell ref="A1:Q1"/>
    <mergeCell ref="F3:L3"/>
    <mergeCell ref="A4:C4"/>
    <mergeCell ref="F4:L4"/>
    <mergeCell ref="A11:A13"/>
    <mergeCell ref="B11:B13"/>
    <mergeCell ref="C11:C13"/>
    <mergeCell ref="D11:D13"/>
    <mergeCell ref="E11:G12"/>
    <mergeCell ref="H11:I12"/>
  </mergeCells>
  <phoneticPr fontId="76" type="noConversion"/>
  <printOptions horizontalCentered="1"/>
  <pageMargins left="0.25" right="0.25" top="1.5" bottom="0.75" header="0.25" footer="0.25"/>
  <pageSetup paperSize="9" orientation="landscape" horizontalDpi="360" verticalDpi="360" r:id="rId1"/>
  <headerFooter alignWithMargins="0">
    <oddFooter>&amp;L&amp;8&amp;Z&amp;F&amp;R&amp;8Heri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  <pageSetUpPr fitToPage="1"/>
  </sheetPr>
  <dimension ref="A1:AC337"/>
  <sheetViews>
    <sheetView showGridLines="0" view="pageBreakPreview" zoomScale="70" zoomScaleSheetLayoutView="70" workbookViewId="0">
      <pane xSplit="3" ySplit="12" topLeftCell="M13" activePane="bottomRight" state="frozen"/>
      <selection activeCell="A40" sqref="A40:A41"/>
      <selection pane="topRight" activeCell="A40" sqref="A40:A41"/>
      <selection pane="bottomLeft" activeCell="A40" sqref="A40:A41"/>
      <selection pane="bottomRight" activeCell="P45" sqref="P45"/>
    </sheetView>
  </sheetViews>
  <sheetFormatPr defaultColWidth="9.140625" defaultRowHeight="15"/>
  <cols>
    <col min="1" max="1" width="29.85546875" style="246" customWidth="1"/>
    <col min="2" max="2" width="9.5703125" style="246" bestFit="1" customWidth="1"/>
    <col min="3" max="3" width="30.85546875" style="246" customWidth="1"/>
    <col min="4" max="4" width="8.42578125" style="247" customWidth="1"/>
    <col min="5" max="5" width="2" style="247" bestFit="1" customWidth="1"/>
    <col min="6" max="6" width="9.7109375" style="247" customWidth="1"/>
    <col min="7" max="7" width="12.5703125" style="246" customWidth="1"/>
    <col min="8" max="8" width="13.42578125" style="246" bestFit="1" customWidth="1"/>
    <col min="9" max="10" width="12" style="246" customWidth="1"/>
    <col min="11" max="11" width="15" style="323" bestFit="1" customWidth="1"/>
    <col min="12" max="12" width="13.5703125" style="246" bestFit="1" customWidth="1"/>
    <col min="13" max="13" width="13.5703125" style="246" customWidth="1"/>
    <col min="14" max="14" width="13.5703125" style="246" bestFit="1" customWidth="1"/>
    <col min="15" max="15" width="14.5703125" style="246" bestFit="1" customWidth="1"/>
    <col min="16" max="19" width="14.85546875" style="246" bestFit="1" customWidth="1"/>
    <col min="20" max="20" width="15.7109375" style="246" bestFit="1" customWidth="1"/>
    <col min="21" max="21" width="17.7109375" style="249" bestFit="1" customWidth="1"/>
    <col min="22" max="22" width="13.42578125" style="246" customWidth="1"/>
    <col min="23" max="23" width="13.5703125" style="246" bestFit="1" customWidth="1"/>
    <col min="24" max="24" width="11.5703125" style="246" customWidth="1"/>
    <col min="25" max="25" width="9.85546875" style="246" customWidth="1"/>
    <col min="26" max="26" width="12.28515625" style="246" bestFit="1" customWidth="1"/>
    <col min="27" max="16384" width="9.140625" style="246"/>
  </cols>
  <sheetData>
    <row r="1" spans="1:29" ht="20.25">
      <c r="A1" s="244"/>
      <c r="B1" s="245" t="s">
        <v>109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</row>
    <row r="2" spans="1:29">
      <c r="K2" s="248"/>
    </row>
    <row r="3" spans="1:29">
      <c r="B3" s="249" t="s">
        <v>1</v>
      </c>
      <c r="C3" s="249"/>
      <c r="D3" s="250"/>
      <c r="E3" s="251" t="s">
        <v>110</v>
      </c>
      <c r="F3" s="252" t="s">
        <v>2112</v>
      </c>
      <c r="K3" s="248"/>
    </row>
    <row r="4" spans="1:29">
      <c r="B4" s="253" t="s">
        <v>111</v>
      </c>
      <c r="C4" s="254"/>
      <c r="D4" s="250"/>
      <c r="E4" s="250" t="s">
        <v>110</v>
      </c>
      <c r="F4" s="255">
        <v>-3.5</v>
      </c>
      <c r="K4" s="248"/>
    </row>
    <row r="5" spans="1:29">
      <c r="B5" s="253" t="s">
        <v>112</v>
      </c>
      <c r="C5" s="254"/>
      <c r="D5" s="250"/>
      <c r="E5" s="250" t="s">
        <v>110</v>
      </c>
      <c r="F5" s="256">
        <v>100</v>
      </c>
      <c r="G5" s="249" t="s">
        <v>4</v>
      </c>
      <c r="K5" s="248"/>
    </row>
    <row r="6" spans="1:29">
      <c r="B6" s="253" t="s">
        <v>113</v>
      </c>
      <c r="C6" s="254"/>
      <c r="D6" s="250"/>
      <c r="E6" s="250" t="s">
        <v>110</v>
      </c>
      <c r="F6" s="256">
        <v>50</v>
      </c>
      <c r="G6" s="249" t="s">
        <v>4</v>
      </c>
      <c r="K6" s="248"/>
    </row>
    <row r="7" spans="1:29">
      <c r="B7" s="253" t="s">
        <v>114</v>
      </c>
      <c r="C7" s="254"/>
      <c r="D7" s="250"/>
      <c r="E7" s="250" t="s">
        <v>110</v>
      </c>
      <c r="F7" s="256"/>
      <c r="G7" s="249" t="s">
        <v>4</v>
      </c>
      <c r="K7" s="248"/>
    </row>
    <row r="8" spans="1:29" ht="15.75" thickBot="1">
      <c r="K8" s="248"/>
    </row>
    <row r="9" spans="1:29" ht="15" customHeight="1">
      <c r="A9" s="2457" t="s">
        <v>115</v>
      </c>
      <c r="B9" s="2460" t="s">
        <v>116</v>
      </c>
      <c r="C9" s="2463" t="s">
        <v>117</v>
      </c>
      <c r="D9" s="2465" t="s">
        <v>118</v>
      </c>
      <c r="E9" s="2466"/>
      <c r="F9" s="2467"/>
      <c r="G9" s="2477" t="s">
        <v>119</v>
      </c>
      <c r="H9" s="2478"/>
      <c r="I9" s="2478"/>
      <c r="J9" s="2478"/>
      <c r="K9" s="2478"/>
      <c r="L9" s="2478"/>
      <c r="M9" s="2478"/>
      <c r="N9" s="2478"/>
      <c r="O9" s="2478"/>
      <c r="P9" s="2478"/>
      <c r="Q9" s="2478"/>
      <c r="R9" s="2478"/>
      <c r="S9" s="2478"/>
      <c r="T9" s="2478"/>
      <c r="U9" s="2478"/>
      <c r="V9" s="2478"/>
      <c r="W9" s="2478"/>
      <c r="X9" s="2478"/>
      <c r="Y9" s="2478"/>
      <c r="Z9" s="2479"/>
    </row>
    <row r="10" spans="1:29" ht="15" customHeight="1">
      <c r="A10" s="2458"/>
      <c r="B10" s="2461"/>
      <c r="C10" s="2464"/>
      <c r="D10" s="2468"/>
      <c r="E10" s="2469"/>
      <c r="F10" s="2470"/>
      <c r="G10" s="2480" t="s">
        <v>120</v>
      </c>
      <c r="H10" s="2480" t="s">
        <v>121</v>
      </c>
      <c r="I10" s="2482" t="s">
        <v>122</v>
      </c>
      <c r="J10" s="2482" t="s">
        <v>123</v>
      </c>
      <c r="K10" s="2484" t="s">
        <v>48</v>
      </c>
      <c r="L10" s="2490" t="s">
        <v>99</v>
      </c>
      <c r="M10" s="2491"/>
      <c r="N10" s="2491"/>
      <c r="O10" s="2491"/>
      <c r="P10" s="2491"/>
      <c r="Q10" s="2491"/>
      <c r="R10" s="2491"/>
      <c r="S10" s="2491"/>
      <c r="T10" s="2492"/>
      <c r="U10" s="2493" t="s">
        <v>124</v>
      </c>
      <c r="V10" s="2495" t="s">
        <v>95</v>
      </c>
      <c r="W10" s="2482" t="s">
        <v>96</v>
      </c>
      <c r="X10" s="2482" t="s">
        <v>72</v>
      </c>
      <c r="Y10" s="2482" t="s">
        <v>71</v>
      </c>
      <c r="Z10" s="2486" t="s">
        <v>73</v>
      </c>
    </row>
    <row r="11" spans="1:29" ht="15.75" customHeight="1" thickBot="1">
      <c r="A11" s="2459"/>
      <c r="B11" s="2462"/>
      <c r="C11" s="2464"/>
      <c r="D11" s="2468"/>
      <c r="E11" s="2469"/>
      <c r="F11" s="2470"/>
      <c r="G11" s="2464"/>
      <c r="H11" s="2481"/>
      <c r="I11" s="2483"/>
      <c r="J11" s="2483"/>
      <c r="K11" s="2485"/>
      <c r="L11" s="260">
        <v>6</v>
      </c>
      <c r="M11" s="258">
        <v>8</v>
      </c>
      <c r="N11" s="257">
        <v>10</v>
      </c>
      <c r="O11" s="257">
        <v>13</v>
      </c>
      <c r="P11" s="257">
        <v>16</v>
      </c>
      <c r="Q11" s="257">
        <v>19</v>
      </c>
      <c r="R11" s="257">
        <v>22</v>
      </c>
      <c r="S11" s="257">
        <v>25</v>
      </c>
      <c r="T11" s="259">
        <v>29</v>
      </c>
      <c r="U11" s="2494"/>
      <c r="V11" s="2470"/>
      <c r="W11" s="2483"/>
      <c r="X11" s="2483"/>
      <c r="Y11" s="2483"/>
      <c r="Z11" s="2487"/>
    </row>
    <row r="12" spans="1:29">
      <c r="A12" s="261"/>
      <c r="B12" s="262"/>
      <c r="C12" s="263"/>
      <c r="D12" s="264"/>
      <c r="E12" s="265"/>
      <c r="F12" s="266"/>
      <c r="G12" s="263"/>
      <c r="H12" s="263"/>
      <c r="I12" s="267"/>
      <c r="J12" s="267"/>
      <c r="K12" s="268"/>
      <c r="L12" s="269"/>
      <c r="M12" s="262"/>
      <c r="N12" s="263"/>
      <c r="O12" s="263"/>
      <c r="P12" s="263"/>
      <c r="Q12" s="263"/>
      <c r="R12" s="263"/>
      <c r="S12" s="263"/>
      <c r="T12" s="270"/>
      <c r="U12" s="271"/>
      <c r="V12" s="262"/>
      <c r="W12" s="263"/>
      <c r="X12" s="263"/>
      <c r="Y12" s="263"/>
      <c r="Z12" s="270"/>
    </row>
    <row r="13" spans="1:29" hidden="1">
      <c r="A13" s="272"/>
      <c r="B13" s="273"/>
      <c r="C13" s="274"/>
      <c r="D13" s="275"/>
      <c r="E13" s="276"/>
      <c r="F13" s="277"/>
      <c r="G13" s="278"/>
      <c r="H13" s="278"/>
      <c r="I13" s="279"/>
      <c r="J13" s="279"/>
      <c r="K13" s="280"/>
      <c r="L13" s="281"/>
      <c r="M13" s="282"/>
      <c r="N13" s="282"/>
      <c r="O13" s="282"/>
      <c r="P13" s="282"/>
      <c r="Q13" s="282"/>
      <c r="R13" s="282"/>
      <c r="S13" s="282"/>
      <c r="T13" s="283"/>
      <c r="U13" s="284"/>
      <c r="V13" s="285"/>
      <c r="W13" s="282"/>
      <c r="X13" s="282"/>
      <c r="Y13" s="282"/>
      <c r="Z13" s="283"/>
      <c r="AC13" s="1784"/>
    </row>
    <row r="14" spans="1:29" hidden="1">
      <c r="A14" s="272" t="str">
        <f>'Data Panjang Balok'!A10</f>
        <v>Lantai 1</v>
      </c>
      <c r="B14" s="273">
        <f>'Data Panjang Balok'!B10</f>
        <v>1</v>
      </c>
      <c r="C14" s="274" t="str">
        <f>'Data Panjang Balok'!D10</f>
        <v>S36-1</v>
      </c>
      <c r="D14" s="275">
        <f>IF(C14&gt;0,VLOOKUP(C14,'Detail Balok'!$C$11:$AU$140,2,FALSE),0)</f>
        <v>300</v>
      </c>
      <c r="E14" s="276" t="s">
        <v>125</v>
      </c>
      <c r="F14" s="277">
        <f>IF(C14&gt;0,VLOOKUP(C14,'Detail Balok'!$C$11:$AU$140,3,FALSE),0)</f>
        <v>600</v>
      </c>
      <c r="G14" s="278">
        <f>'Data Panjang Balok'!I10</f>
        <v>4825</v>
      </c>
      <c r="H14" s="278">
        <f>'Data Panjang Balok'!J10</f>
        <v>150</v>
      </c>
      <c r="I14" s="279">
        <v>-3.5</v>
      </c>
      <c r="J14" s="279">
        <f t="shared" ref="J14:J16" si="0">I14-F14/1000</f>
        <v>-4.0999999999999996</v>
      </c>
      <c r="K14" s="280">
        <f>'Data Panjang Balok'!E10</f>
        <v>1</v>
      </c>
      <c r="L14" s="281">
        <f>SUMIFS('Besi Balok'!$AA$23:$AA$7253,'Besi Balok'!$A$23:$A$7253,$A14,'Besi Balok'!$B$23:$B$7253,$B14,'Besi Balok'!$F$23:$F$7253,'REKAP Balok'!L$11)</f>
        <v>0</v>
      </c>
      <c r="M14" s="282">
        <f>SUMIFS('Besi Balok'!$AA$23:$AA$7253,'Besi Balok'!$A$23:$A$7253,$A14,'Besi Balok'!$B$23:$B$7253,$B14,'Besi Balok'!$F$23:$F$7253,'REKAP Balok'!M$11)</f>
        <v>19.293983999999998</v>
      </c>
      <c r="N14" s="282">
        <f>SUMIFS('Besi Balok'!$AA$23:$AA$7253,'Besi Balok'!$A$23:$A$7253,$A14,'Besi Balok'!$B$23:$B$7253,$B14,'Besi Balok'!$F$23:$F$7253,'REKAP Balok'!N$11)</f>
        <v>6.2451450000000008</v>
      </c>
      <c r="O14" s="282">
        <f>SUMIFS('Besi Balok'!$AA$23:$AA$7253,'Besi Balok'!$A$23:$A$7253,$A14,'Besi Balok'!$B$23:$B$7253,$B14,'Besi Balok'!$F$23:$F$7253,'REKAP Balok'!O$11)</f>
        <v>0</v>
      </c>
      <c r="P14" s="282">
        <f>SUMIFS('Besi Balok'!$AA$23:$AA$7253,'Besi Balok'!$A$23:$A$7253,$A14,'Besi Balok'!$B$23:$B$7253,$B14,'Besi Balok'!$F$23:$F$7253,'REKAP Balok'!P$11)</f>
        <v>65.768417279999994</v>
      </c>
      <c r="Q14" s="282">
        <f>SUMIFS('Besi Balok'!$AA$23:$AA$7253,'Besi Balok'!$A$23:$A$7253,$A14,'Besi Balok'!$B$23:$B$7253,$B14,'Besi Balok'!$F$23:$F$7253,'REKAP Balok'!Q$11)</f>
        <v>0</v>
      </c>
      <c r="R14" s="282">
        <f>SUMIFS('Besi Balok'!$AA$23:$AA$7253,'Besi Balok'!$A$23:$A$7253,$A14,'Besi Balok'!$B$23:$B$7253,$B14,'Besi Balok'!$F$23:$F$7253,'REKAP Balok'!R$11)</f>
        <v>0</v>
      </c>
      <c r="S14" s="282">
        <f>SUMIFS('Besi Balok'!$AA$23:$AA$7253,'Besi Balok'!$A$23:$A$7253,$A14,'Besi Balok'!$B$23:$B$7253,$B14,'Besi Balok'!$F$23:$F$7253,'REKAP Balok'!S$11)</f>
        <v>0</v>
      </c>
      <c r="T14" s="283">
        <f>SUMIFS('Besi Balok'!$AA$23:$AA$7253,'Besi Balok'!$A$23:$A$7253,$A14,'Besi Balok'!$B$23:$B$7253,$B14,'Besi Balok'!$F$23:$F$7253,'REKAP Balok'!T$11)</f>
        <v>0</v>
      </c>
      <c r="U14" s="284">
        <f t="shared" ref="U14:U16" si="1">SUM(L14:T14)</f>
        <v>91.307546279999997</v>
      </c>
      <c r="V14" s="285">
        <f t="shared" ref="V14:V16" si="2">(D14*(F14-H14)*G14*K14)/1000000000</f>
        <v>0.65137500000000004</v>
      </c>
      <c r="W14" s="282">
        <f>(((F14-H14)*2)*(G14)*K14)/1000000</f>
        <v>4.3425000000000002</v>
      </c>
      <c r="X14" s="282">
        <v>0</v>
      </c>
      <c r="Y14" s="282">
        <f t="shared" ref="Y14:Y16" si="3">K14*(D14+2*$F$5)*G14*$F$6/1000000000</f>
        <v>0.120625</v>
      </c>
      <c r="Z14" s="283">
        <f t="shared" ref="Z14:Z16" si="4">K14*(D14+2*$F$5)*($F$4-J14+($F$6+$F$7)/1000)*G14/1000000</f>
        <v>1.5681249999999991</v>
      </c>
      <c r="AC14" s="1784">
        <f t="shared" ref="AC14:AC16" si="5">(D14+2*$F$5)*F14*G14/1000000000</f>
        <v>1.4475</v>
      </c>
    </row>
    <row r="15" spans="1:29" hidden="1">
      <c r="A15" s="272" t="str">
        <f>'Data Panjang Balok'!A11</f>
        <v>Lantai 1</v>
      </c>
      <c r="B15" s="273">
        <f>'Data Panjang Balok'!B11</f>
        <v>2</v>
      </c>
      <c r="C15" s="274" t="str">
        <f>'Data Panjang Balok'!D11</f>
        <v>S24-1</v>
      </c>
      <c r="D15" s="275">
        <f>IF(C15&gt;0,VLOOKUP(C15,'Detail Balok'!$C$11:$AU$140,2,FALSE),0)</f>
        <v>200</v>
      </c>
      <c r="E15" s="276" t="s">
        <v>125</v>
      </c>
      <c r="F15" s="277">
        <f>IF(C15&gt;0,VLOOKUP(C15,'Detail Balok'!$C$11:$AU$140,3,FALSE),0)</f>
        <v>400</v>
      </c>
      <c r="G15" s="278">
        <f>'Data Panjang Balok'!I11</f>
        <v>4175</v>
      </c>
      <c r="H15" s="278">
        <f>'Data Panjang Balok'!J11</f>
        <v>150</v>
      </c>
      <c r="I15" s="279">
        <v>-3.5</v>
      </c>
      <c r="J15" s="279">
        <f t="shared" si="0"/>
        <v>-3.9</v>
      </c>
      <c r="K15" s="280">
        <f>'Data Panjang Balok'!E11</f>
        <v>1</v>
      </c>
      <c r="L15" s="281">
        <f>SUMIFS('Besi Balok'!$AA$23:$AA$7253,'Besi Balok'!$A$23:$A$7253,$A15,'Besi Balok'!$B$23:$B$7253,$B15,'Besi Balok'!$F$23:$F$7253,'REKAP Balok'!L$11)</f>
        <v>0</v>
      </c>
      <c r="M15" s="282">
        <f>SUMIFS('Besi Balok'!$AA$23:$AA$7253,'Besi Balok'!$A$23:$A$7253,$A15,'Besi Balok'!$B$23:$B$7253,$B15,'Besi Balok'!$F$23:$F$7253,'REKAP Balok'!M$11)</f>
        <v>10.566316800000001</v>
      </c>
      <c r="N15" s="282">
        <f>SUMIFS('Besi Balok'!$AA$23:$AA$7253,'Besi Balok'!$A$23:$A$7253,$A15,'Besi Balok'!$B$23:$B$7253,$B15,'Besi Balok'!$F$23:$F$7253,'REKAP Balok'!N$11)</f>
        <v>0</v>
      </c>
      <c r="O15" s="282">
        <f>SUMIFS('Besi Balok'!$AA$23:$AA$7253,'Besi Balok'!$A$23:$A$7253,$A15,'Besi Balok'!$B$23:$B$7253,$B15,'Besi Balok'!$F$23:$F$7253,'REKAP Balok'!O$11)</f>
        <v>28.049627969999996</v>
      </c>
      <c r="P15" s="282">
        <f>SUMIFS('Besi Balok'!$AA$23:$AA$7253,'Besi Balok'!$A$23:$A$7253,$A15,'Besi Balok'!$B$23:$B$7253,$B15,'Besi Balok'!$F$23:$F$7253,'REKAP Balok'!P$11)</f>
        <v>0</v>
      </c>
      <c r="Q15" s="282">
        <f>SUMIFS('Besi Balok'!$AA$23:$AA$7253,'Besi Balok'!$A$23:$A$7253,$A15,'Besi Balok'!$B$23:$B$7253,$B15,'Besi Balok'!$F$23:$F$7253,'REKAP Balok'!Q$11)</f>
        <v>0</v>
      </c>
      <c r="R15" s="282">
        <f>SUMIFS('Besi Balok'!$AA$23:$AA$7253,'Besi Balok'!$A$23:$A$7253,$A15,'Besi Balok'!$B$23:$B$7253,$B15,'Besi Balok'!$F$23:$F$7253,'REKAP Balok'!R$11)</f>
        <v>0</v>
      </c>
      <c r="S15" s="282">
        <f>SUMIFS('Besi Balok'!$AA$23:$AA$7253,'Besi Balok'!$A$23:$A$7253,$A15,'Besi Balok'!$B$23:$B$7253,$B15,'Besi Balok'!$F$23:$F$7253,'REKAP Balok'!S$11)</f>
        <v>0</v>
      </c>
      <c r="T15" s="283">
        <f>SUMIFS('Besi Balok'!$AA$23:$AA$7253,'Besi Balok'!$A$23:$A$7253,$A15,'Besi Balok'!$B$23:$B$7253,$B15,'Besi Balok'!$F$23:$F$7253,'REKAP Balok'!T$11)</f>
        <v>0</v>
      </c>
      <c r="U15" s="284">
        <f t="shared" si="1"/>
        <v>38.615944769999999</v>
      </c>
      <c r="V15" s="285">
        <f t="shared" si="2"/>
        <v>0.20874999999999999</v>
      </c>
      <c r="W15" s="282">
        <f t="shared" ref="W15:W17" si="6">(((F15-H15)*2)*(G15)*K15)/1000000</f>
        <v>2.0874999999999999</v>
      </c>
      <c r="X15" s="282">
        <v>0</v>
      </c>
      <c r="Y15" s="282">
        <f t="shared" si="3"/>
        <v>8.3500000000000005E-2</v>
      </c>
      <c r="Z15" s="283">
        <f t="shared" si="4"/>
        <v>0.75149999999999983</v>
      </c>
      <c r="AC15" s="1784">
        <f t="shared" si="5"/>
        <v>0.66800000000000004</v>
      </c>
    </row>
    <row r="16" spans="1:29" hidden="1">
      <c r="A16" s="272" t="str">
        <f>'Data Panjang Balok'!A12</f>
        <v>Lantai 1</v>
      </c>
      <c r="B16" s="273">
        <f>'Data Panjang Balok'!B12</f>
        <v>3</v>
      </c>
      <c r="C16" s="274" t="str">
        <f>'Data Panjang Balok'!D12</f>
        <v>S24-1</v>
      </c>
      <c r="D16" s="275">
        <f>IF(C16&gt;0,VLOOKUP(C16,'Detail Balok'!$C$11:$AU$140,2,FALSE),0)</f>
        <v>200</v>
      </c>
      <c r="E16" s="276" t="s">
        <v>125</v>
      </c>
      <c r="F16" s="277">
        <f>IF(C16&gt;0,VLOOKUP(C16,'Detail Balok'!$C$11:$AU$140,3,FALSE),0)</f>
        <v>400</v>
      </c>
      <c r="G16" s="278">
        <f>'Data Panjang Balok'!I12</f>
        <v>3000</v>
      </c>
      <c r="H16" s="278">
        <f>'Data Panjang Balok'!J12</f>
        <v>150</v>
      </c>
      <c r="I16" s="279">
        <v>-3.5</v>
      </c>
      <c r="J16" s="279">
        <f t="shared" si="0"/>
        <v>-3.9</v>
      </c>
      <c r="K16" s="280">
        <f>'Data Panjang Balok'!E12</f>
        <v>1</v>
      </c>
      <c r="L16" s="281">
        <f>SUMIFS('Besi Balok'!$AA$23:$AA$7253,'Besi Balok'!$A$23:$A$7253,$A16,'Besi Balok'!$B$23:$B$7253,$B16,'Besi Balok'!$F$23:$F$7253,'REKAP Balok'!L$11)</f>
        <v>0</v>
      </c>
      <c r="M16" s="282">
        <f>SUMIFS('Besi Balok'!$AA$23:$AA$7253,'Besi Balok'!$A$23:$A$7253,$A16,'Besi Balok'!$B$23:$B$7253,$B16,'Besi Balok'!$F$23:$F$7253,'REKAP Balok'!M$11)</f>
        <v>7.7215392000000023</v>
      </c>
      <c r="N16" s="282">
        <f>SUMIFS('Besi Balok'!$AA$23:$AA$7253,'Besi Balok'!$A$23:$A$7253,$A16,'Besi Balok'!$B$23:$B$7253,$B16,'Besi Balok'!$F$23:$F$7253,'REKAP Balok'!N$11)</f>
        <v>0</v>
      </c>
      <c r="O16" s="282">
        <f>SUMIFS('Besi Balok'!$AA$23:$AA$7253,'Besi Balok'!$A$23:$A$7253,$A16,'Besi Balok'!$B$23:$B$7253,$B16,'Besi Balok'!$F$23:$F$7253,'REKAP Balok'!O$11)</f>
        <v>20.704338720000003</v>
      </c>
      <c r="P16" s="282">
        <f>SUMIFS('Besi Balok'!$AA$23:$AA$7253,'Besi Balok'!$A$23:$A$7253,$A16,'Besi Balok'!$B$23:$B$7253,$B16,'Besi Balok'!$F$23:$F$7253,'REKAP Balok'!P$11)</f>
        <v>0</v>
      </c>
      <c r="Q16" s="282">
        <f>SUMIFS('Besi Balok'!$AA$23:$AA$7253,'Besi Balok'!$A$23:$A$7253,$A16,'Besi Balok'!$B$23:$B$7253,$B16,'Besi Balok'!$F$23:$F$7253,'REKAP Balok'!Q$11)</f>
        <v>0</v>
      </c>
      <c r="R16" s="282">
        <f>SUMIFS('Besi Balok'!$AA$23:$AA$7253,'Besi Balok'!$A$23:$A$7253,$A16,'Besi Balok'!$B$23:$B$7253,$B16,'Besi Balok'!$F$23:$F$7253,'REKAP Balok'!R$11)</f>
        <v>0</v>
      </c>
      <c r="S16" s="282">
        <f>SUMIFS('Besi Balok'!$AA$23:$AA$7253,'Besi Balok'!$A$23:$A$7253,$A16,'Besi Balok'!$B$23:$B$7253,$B16,'Besi Balok'!$F$23:$F$7253,'REKAP Balok'!S$11)</f>
        <v>0</v>
      </c>
      <c r="T16" s="283">
        <f>SUMIFS('Besi Balok'!$AA$23:$AA$7253,'Besi Balok'!$A$23:$A$7253,$A16,'Besi Balok'!$B$23:$B$7253,$B16,'Besi Balok'!$F$23:$F$7253,'REKAP Balok'!T$11)</f>
        <v>0</v>
      </c>
      <c r="U16" s="284">
        <f t="shared" si="1"/>
        <v>28.425877920000005</v>
      </c>
      <c r="V16" s="285">
        <f t="shared" si="2"/>
        <v>0.15</v>
      </c>
      <c r="W16" s="282">
        <f t="shared" si="6"/>
        <v>1.5</v>
      </c>
      <c r="X16" s="282">
        <v>0</v>
      </c>
      <c r="Y16" s="282">
        <f t="shared" si="3"/>
        <v>0.06</v>
      </c>
      <c r="Z16" s="283">
        <f t="shared" si="4"/>
        <v>0.53999999999999992</v>
      </c>
      <c r="AC16" s="1784">
        <f t="shared" si="5"/>
        <v>0.48</v>
      </c>
    </row>
    <row r="17" spans="1:29" hidden="1">
      <c r="A17" s="272" t="str">
        <f>'Data Panjang Balok'!A13</f>
        <v>Lantai 1</v>
      </c>
      <c r="B17" s="273">
        <f>'Data Panjang Balok'!B13</f>
        <v>4</v>
      </c>
      <c r="C17" s="274" t="str">
        <f>'Data Panjang Balok'!D13</f>
        <v>S24-1</v>
      </c>
      <c r="D17" s="275">
        <f>IF(C17&gt;0,VLOOKUP(C17,'Detail Balok'!$C$11:$AU$140,2,FALSE),0)</f>
        <v>200</v>
      </c>
      <c r="E17" s="276" t="s">
        <v>125</v>
      </c>
      <c r="F17" s="277">
        <f>IF(C17&gt;0,VLOOKUP(C17,'Detail Balok'!$C$11:$AU$140,3,FALSE),0)</f>
        <v>400</v>
      </c>
      <c r="G17" s="278">
        <f>'Data Panjang Balok'!I13</f>
        <v>3000</v>
      </c>
      <c r="H17" s="278">
        <f>'Data Panjang Balok'!J13</f>
        <v>0</v>
      </c>
      <c r="I17" s="279">
        <v>-3.5</v>
      </c>
      <c r="J17" s="279">
        <f t="shared" ref="J17:J73" si="7">I17-F17/1000</f>
        <v>-3.9</v>
      </c>
      <c r="K17" s="280">
        <f>'Data Panjang Balok'!E13</f>
        <v>1</v>
      </c>
      <c r="L17" s="281">
        <f>SUMIFS('Besi Balok'!$AA$23:$AA$7253,'Besi Balok'!$A$23:$A$7253,$A17,'Besi Balok'!$B$23:$B$7253,$B17,'Besi Balok'!$F$23:$F$7253,'REKAP Balok'!L$11)</f>
        <v>0</v>
      </c>
      <c r="M17" s="282">
        <f>SUMIFS('Besi Balok'!$AA$23:$AA$7253,'Besi Balok'!$A$23:$A$7253,$A17,'Besi Balok'!$B$23:$B$7253,$B17,'Besi Balok'!$F$23:$F$7253,'REKAP Balok'!M$11)</f>
        <v>7.7215392000000023</v>
      </c>
      <c r="N17" s="282">
        <f>SUMIFS('Besi Balok'!$AA$23:$AA$7253,'Besi Balok'!$A$23:$A$7253,$A17,'Besi Balok'!$B$23:$B$7253,$B17,'Besi Balok'!$F$23:$F$7253,'REKAP Balok'!N$11)</f>
        <v>0</v>
      </c>
      <c r="O17" s="282">
        <f>SUMIFS('Besi Balok'!$AA$23:$AA$7253,'Besi Balok'!$A$23:$A$7253,$A17,'Besi Balok'!$B$23:$B$7253,$B17,'Besi Balok'!$F$23:$F$7253,'REKAP Balok'!O$11)</f>
        <v>20.704338720000003</v>
      </c>
      <c r="P17" s="282">
        <f>SUMIFS('Besi Balok'!$AA$23:$AA$7253,'Besi Balok'!$A$23:$A$7253,$A17,'Besi Balok'!$B$23:$B$7253,$B17,'Besi Balok'!$F$23:$F$7253,'REKAP Balok'!P$11)</f>
        <v>0</v>
      </c>
      <c r="Q17" s="282">
        <f>SUMIFS('Besi Balok'!$AA$23:$AA$7253,'Besi Balok'!$A$23:$A$7253,$A17,'Besi Balok'!$B$23:$B$7253,$B17,'Besi Balok'!$F$23:$F$7253,'REKAP Balok'!Q$11)</f>
        <v>0</v>
      </c>
      <c r="R17" s="282">
        <f>SUMIFS('Besi Balok'!$AA$23:$AA$7253,'Besi Balok'!$A$23:$A$7253,$A17,'Besi Balok'!$B$23:$B$7253,$B17,'Besi Balok'!$F$23:$F$7253,'REKAP Balok'!R$11)</f>
        <v>0</v>
      </c>
      <c r="S17" s="282">
        <f>SUMIFS('Besi Balok'!$AA$23:$AA$7253,'Besi Balok'!$A$23:$A$7253,$A17,'Besi Balok'!$B$23:$B$7253,$B17,'Besi Balok'!$F$23:$F$7253,'REKAP Balok'!S$11)</f>
        <v>0</v>
      </c>
      <c r="T17" s="283">
        <f>SUMIFS('Besi Balok'!$AA$23:$AA$7253,'Besi Balok'!$A$23:$A$7253,$A17,'Besi Balok'!$B$23:$B$7253,$B17,'Besi Balok'!$F$23:$F$7253,'REKAP Balok'!T$11)</f>
        <v>0</v>
      </c>
      <c r="U17" s="284">
        <f t="shared" ref="U17:U73" si="8">SUM(L17:T17)</f>
        <v>28.425877920000005</v>
      </c>
      <c r="V17" s="285">
        <f t="shared" ref="V17:V73" si="9">(D17*(F17-H17)*G17*K17)/1000000000</f>
        <v>0.24</v>
      </c>
      <c r="W17" s="282">
        <f t="shared" si="6"/>
        <v>2.4</v>
      </c>
      <c r="X17" s="282">
        <v>0</v>
      </c>
      <c r="Y17" s="282">
        <f t="shared" ref="Y17:Y73" si="10">K17*(D17+2*$F$5)*G17*$F$6/1000000000</f>
        <v>0.06</v>
      </c>
      <c r="Z17" s="283">
        <f t="shared" ref="Z17:Z72" si="11">K17*(D17+2*$F$5)*($F$4-J17+($F$6+$F$7)/1000)*G17/1000000</f>
        <v>0.53999999999999992</v>
      </c>
      <c r="AC17" s="1784">
        <f t="shared" ref="AC17:AC73" si="12">(D17+2*$F$5)*F17*G17/1000000000</f>
        <v>0.48</v>
      </c>
    </row>
    <row r="18" spans="1:29" hidden="1">
      <c r="A18" s="272" t="str">
        <f>'Data Panjang Balok'!A14</f>
        <v>Lantai 1</v>
      </c>
      <c r="B18" s="273">
        <f>'Data Panjang Balok'!B14</f>
        <v>5</v>
      </c>
      <c r="C18" s="274" t="str">
        <f>'Data Panjang Balok'!D14</f>
        <v>S24-1</v>
      </c>
      <c r="D18" s="275">
        <f>IF(C18&gt;0,VLOOKUP(C18,'Detail Balok'!$C$11:$AU$140,2,FALSE),0)</f>
        <v>200</v>
      </c>
      <c r="E18" s="276" t="s">
        <v>125</v>
      </c>
      <c r="F18" s="277">
        <f>IF(C18&gt;0,VLOOKUP(C18,'Detail Balok'!$C$11:$AU$140,3,FALSE),0)</f>
        <v>400</v>
      </c>
      <c r="G18" s="278">
        <f>'Data Panjang Balok'!I14</f>
        <v>2590</v>
      </c>
      <c r="H18" s="278">
        <f>'Data Panjang Balok'!J14</f>
        <v>0</v>
      </c>
      <c r="I18" s="279">
        <v>-3.5</v>
      </c>
      <c r="J18" s="279">
        <f t="shared" si="7"/>
        <v>-3.9</v>
      </c>
      <c r="K18" s="280">
        <f>'Data Panjang Balok'!E14</f>
        <v>1</v>
      </c>
      <c r="L18" s="281">
        <f>SUMIFS('Besi Balok'!$AA$23:$AA$7253,'Besi Balok'!$A$23:$A$7253,$A18,'Besi Balok'!$B$23:$B$7253,$B18,'Besi Balok'!$F$23:$F$7253,'REKAP Balok'!L$11)</f>
        <v>0</v>
      </c>
      <c r="M18" s="282">
        <f>SUMIFS('Besi Balok'!$AA$23:$AA$7253,'Besi Balok'!$A$23:$A$7253,$A18,'Besi Balok'!$B$23:$B$7253,$B18,'Besi Balok'!$F$23:$F$7253,'REKAP Balok'!M$11)</f>
        <v>6.9087456000000014</v>
      </c>
      <c r="N18" s="282">
        <f>SUMIFS('Besi Balok'!$AA$23:$AA$7253,'Besi Balok'!$A$23:$A$7253,$A18,'Besi Balok'!$B$23:$B$7253,$B18,'Besi Balok'!$F$23:$F$7253,'REKAP Balok'!N$11)</f>
        <v>0</v>
      </c>
      <c r="O18" s="282">
        <f>SUMIFS('Besi Balok'!$AA$23:$AA$7253,'Besi Balok'!$A$23:$A$7253,$A18,'Besi Balok'!$B$23:$B$7253,$B18,'Besi Balok'!$F$23:$F$7253,'REKAP Balok'!O$11)</f>
        <v>18.14130162</v>
      </c>
      <c r="P18" s="282">
        <f>SUMIFS('Besi Balok'!$AA$23:$AA$7253,'Besi Balok'!$A$23:$A$7253,$A18,'Besi Balok'!$B$23:$B$7253,$B18,'Besi Balok'!$F$23:$F$7253,'REKAP Balok'!P$11)</f>
        <v>0</v>
      </c>
      <c r="Q18" s="282">
        <f>SUMIFS('Besi Balok'!$AA$23:$AA$7253,'Besi Balok'!$A$23:$A$7253,$A18,'Besi Balok'!$B$23:$B$7253,$B18,'Besi Balok'!$F$23:$F$7253,'REKAP Balok'!Q$11)</f>
        <v>0</v>
      </c>
      <c r="R18" s="282">
        <f>SUMIFS('Besi Balok'!$AA$23:$AA$7253,'Besi Balok'!$A$23:$A$7253,$A18,'Besi Balok'!$B$23:$B$7253,$B18,'Besi Balok'!$F$23:$F$7253,'REKAP Balok'!R$11)</f>
        <v>0</v>
      </c>
      <c r="S18" s="282">
        <f>SUMIFS('Besi Balok'!$AA$23:$AA$7253,'Besi Balok'!$A$23:$A$7253,$A18,'Besi Balok'!$B$23:$B$7253,$B18,'Besi Balok'!$F$23:$F$7253,'REKAP Balok'!S$11)</f>
        <v>0</v>
      </c>
      <c r="T18" s="283">
        <f>SUMIFS('Besi Balok'!$AA$23:$AA$7253,'Besi Balok'!$A$23:$A$7253,$A18,'Besi Balok'!$B$23:$B$7253,$B18,'Besi Balok'!$F$23:$F$7253,'REKAP Balok'!T$11)</f>
        <v>0</v>
      </c>
      <c r="U18" s="284">
        <f t="shared" si="8"/>
        <v>25.050047220000003</v>
      </c>
      <c r="V18" s="285">
        <f t="shared" si="9"/>
        <v>0.2072</v>
      </c>
      <c r="W18" s="282">
        <f t="shared" ref="W18:W73" si="13">(((F18-H18)*2)*(G18)*K18)/1000000</f>
        <v>2.0720000000000001</v>
      </c>
      <c r="X18" s="282">
        <v>0</v>
      </c>
      <c r="Y18" s="282">
        <f t="shared" si="10"/>
        <v>5.1799999999999999E-2</v>
      </c>
      <c r="Z18" s="283">
        <f t="shared" si="11"/>
        <v>0.46619999999999995</v>
      </c>
      <c r="AC18" s="1784">
        <f t="shared" si="12"/>
        <v>0.41439999999999999</v>
      </c>
    </row>
    <row r="19" spans="1:29" hidden="1">
      <c r="A19" s="272" t="str">
        <f>'Data Panjang Balok'!A15</f>
        <v>Lantai 1</v>
      </c>
      <c r="B19" s="273">
        <f>'Data Panjang Balok'!B15</f>
        <v>6</v>
      </c>
      <c r="C19" s="274" t="str">
        <f>'Data Panjang Balok'!D15</f>
        <v>S24-1</v>
      </c>
      <c r="D19" s="275">
        <f>IF(C19&gt;0,VLOOKUP(C19,'Detail Balok'!$C$11:$AU$140,2,FALSE),0)</f>
        <v>200</v>
      </c>
      <c r="E19" s="276" t="s">
        <v>125</v>
      </c>
      <c r="F19" s="277">
        <f>IF(C19&gt;0,VLOOKUP(C19,'Detail Balok'!$C$11:$AU$140,3,FALSE),0)</f>
        <v>400</v>
      </c>
      <c r="G19" s="278">
        <f>'Data Panjang Balok'!I15</f>
        <v>2415</v>
      </c>
      <c r="H19" s="278">
        <f>'Data Panjang Balok'!J15</f>
        <v>0</v>
      </c>
      <c r="I19" s="279">
        <v>-3.5</v>
      </c>
      <c r="J19" s="279">
        <f t="shared" si="7"/>
        <v>-3.9</v>
      </c>
      <c r="K19" s="280">
        <f>'Data Panjang Balok'!E15</f>
        <v>1</v>
      </c>
      <c r="L19" s="281">
        <f>SUMIFS('Besi Balok'!$AA$23:$AA$7253,'Besi Balok'!$A$23:$A$7253,$A19,'Besi Balok'!$B$23:$B$7253,$B19,'Besi Balok'!$F$23:$F$7253,'REKAP Balok'!L$11)</f>
        <v>0</v>
      </c>
      <c r="M19" s="282">
        <f>SUMIFS('Besi Balok'!$AA$23:$AA$7253,'Besi Balok'!$A$23:$A$7253,$A19,'Besi Balok'!$B$23:$B$7253,$B19,'Besi Balok'!$F$23:$F$7253,'REKAP Balok'!M$11)</f>
        <v>6.5023488000000018</v>
      </c>
      <c r="N19" s="282">
        <f>SUMIFS('Besi Balok'!$AA$23:$AA$7253,'Besi Balok'!$A$23:$A$7253,$A19,'Besi Balok'!$B$23:$B$7253,$B19,'Besi Balok'!$F$23:$F$7253,'REKAP Balok'!N$11)</f>
        <v>0</v>
      </c>
      <c r="O19" s="282">
        <f>SUMIFS('Besi Balok'!$AA$23:$AA$7253,'Besi Balok'!$A$23:$A$7253,$A19,'Besi Balok'!$B$23:$B$7253,$B19,'Besi Balok'!$F$23:$F$7253,'REKAP Balok'!O$11)</f>
        <v>17.047322369999996</v>
      </c>
      <c r="P19" s="282">
        <f>SUMIFS('Besi Balok'!$AA$23:$AA$7253,'Besi Balok'!$A$23:$A$7253,$A19,'Besi Balok'!$B$23:$B$7253,$B19,'Besi Balok'!$F$23:$F$7253,'REKAP Balok'!P$11)</f>
        <v>0</v>
      </c>
      <c r="Q19" s="282">
        <f>SUMIFS('Besi Balok'!$AA$23:$AA$7253,'Besi Balok'!$A$23:$A$7253,$A19,'Besi Balok'!$B$23:$B$7253,$B19,'Besi Balok'!$F$23:$F$7253,'REKAP Balok'!Q$11)</f>
        <v>0</v>
      </c>
      <c r="R19" s="282">
        <f>SUMIFS('Besi Balok'!$AA$23:$AA$7253,'Besi Balok'!$A$23:$A$7253,$A19,'Besi Balok'!$B$23:$B$7253,$B19,'Besi Balok'!$F$23:$F$7253,'REKAP Balok'!R$11)</f>
        <v>0</v>
      </c>
      <c r="S19" s="282">
        <f>SUMIFS('Besi Balok'!$AA$23:$AA$7253,'Besi Balok'!$A$23:$A$7253,$A19,'Besi Balok'!$B$23:$B$7253,$B19,'Besi Balok'!$F$23:$F$7253,'REKAP Balok'!S$11)</f>
        <v>0</v>
      </c>
      <c r="T19" s="283">
        <f>SUMIFS('Besi Balok'!$AA$23:$AA$7253,'Besi Balok'!$A$23:$A$7253,$A19,'Besi Balok'!$B$23:$B$7253,$B19,'Besi Balok'!$F$23:$F$7253,'REKAP Balok'!T$11)</f>
        <v>0</v>
      </c>
      <c r="U19" s="284">
        <f t="shared" si="8"/>
        <v>23.549671169999996</v>
      </c>
      <c r="V19" s="285">
        <f t="shared" si="9"/>
        <v>0.19320000000000001</v>
      </c>
      <c r="W19" s="282">
        <f t="shared" si="13"/>
        <v>1.9319999999999999</v>
      </c>
      <c r="X19" s="282">
        <v>0</v>
      </c>
      <c r="Y19" s="282">
        <f t="shared" si="10"/>
        <v>4.8300000000000003E-2</v>
      </c>
      <c r="Z19" s="283">
        <f t="shared" si="11"/>
        <v>0.43469999999999992</v>
      </c>
      <c r="AC19" s="1784">
        <f t="shared" si="12"/>
        <v>0.38640000000000002</v>
      </c>
    </row>
    <row r="20" spans="1:29" hidden="1">
      <c r="A20" s="272" t="str">
        <f>'Data Panjang Balok'!A16</f>
        <v>Lantai 1</v>
      </c>
      <c r="B20" s="273">
        <f>'Data Panjang Balok'!B16</f>
        <v>7</v>
      </c>
      <c r="C20" s="274" t="str">
        <f>'Data Panjang Balok'!D16</f>
        <v>S24-2</v>
      </c>
      <c r="D20" s="275">
        <f>IF(C20&gt;0,VLOOKUP(C20,'Detail Balok'!$C$11:$AU$140,2,FALSE),0)</f>
        <v>200</v>
      </c>
      <c r="E20" s="276" t="s">
        <v>125</v>
      </c>
      <c r="F20" s="277">
        <f>IF(C20&gt;0,VLOOKUP(C20,'Detail Balok'!$C$11:$AU$140,3,FALSE),0)</f>
        <v>400</v>
      </c>
      <c r="G20" s="278">
        <f>'Data Panjang Balok'!I16</f>
        <v>9445</v>
      </c>
      <c r="H20" s="278">
        <f>'Data Panjang Balok'!J16</f>
        <v>100</v>
      </c>
      <c r="I20" s="279">
        <v>-3.5</v>
      </c>
      <c r="J20" s="279">
        <f t="shared" si="7"/>
        <v>-3.9</v>
      </c>
      <c r="K20" s="280">
        <f>'Data Panjang Balok'!E16</f>
        <v>2</v>
      </c>
      <c r="L20" s="281">
        <f>SUMIFS('Besi Balok'!$AA$23:$AA$7253,'Besi Balok'!$A$23:$A$7253,$A20,'Besi Balok'!$B$23:$B$7253,$B20,'Besi Balok'!$F$23:$F$7253,'REKAP Balok'!L$11)</f>
        <v>0</v>
      </c>
      <c r="M20" s="282">
        <f>SUMIFS('Besi Balok'!$AA$23:$AA$7253,'Besi Balok'!$A$23:$A$7253,$A20,'Besi Balok'!$B$23:$B$7253,$B20,'Besi Balok'!$F$23:$F$7253,'REKAP Balok'!M$11)</f>
        <v>47.142028800000006</v>
      </c>
      <c r="N20" s="282">
        <f>SUMIFS('Besi Balok'!$AA$23:$AA$7253,'Besi Balok'!$A$23:$A$7253,$A20,'Besi Balok'!$B$23:$B$7253,$B20,'Besi Balok'!$F$23:$F$7253,'REKAP Balok'!N$11)</f>
        <v>0</v>
      </c>
      <c r="O20" s="282">
        <f>SUMIFS('Besi Balok'!$AA$23:$AA$7253,'Besi Balok'!$A$23:$A$7253,$A20,'Besi Balok'!$B$23:$B$7253,$B20,'Besi Balok'!$F$23:$F$7253,'REKAP Balok'!O$11)</f>
        <v>0</v>
      </c>
      <c r="P20" s="282">
        <f>SUMIFS('Besi Balok'!$AA$23:$AA$7253,'Besi Balok'!$A$23:$A$7253,$A20,'Besi Balok'!$B$23:$B$7253,$B20,'Besi Balok'!$F$23:$F$7253,'REKAP Balok'!P$11)</f>
        <v>186.15025152000001</v>
      </c>
      <c r="Q20" s="282">
        <f>SUMIFS('Besi Balok'!$AA$23:$AA$7253,'Besi Balok'!$A$23:$A$7253,$A20,'Besi Balok'!$B$23:$B$7253,$B20,'Besi Balok'!$F$23:$F$7253,'REKAP Balok'!Q$11)</f>
        <v>0</v>
      </c>
      <c r="R20" s="282">
        <f>SUMIFS('Besi Balok'!$AA$23:$AA$7253,'Besi Balok'!$A$23:$A$7253,$A20,'Besi Balok'!$B$23:$B$7253,$B20,'Besi Balok'!$F$23:$F$7253,'REKAP Balok'!R$11)</f>
        <v>0</v>
      </c>
      <c r="S20" s="282">
        <f>SUMIFS('Besi Balok'!$AA$23:$AA$7253,'Besi Balok'!$A$23:$A$7253,$A20,'Besi Balok'!$B$23:$B$7253,$B20,'Besi Balok'!$F$23:$F$7253,'REKAP Balok'!S$11)</f>
        <v>0</v>
      </c>
      <c r="T20" s="283">
        <f>SUMIFS('Besi Balok'!$AA$23:$AA$7253,'Besi Balok'!$A$23:$A$7253,$A20,'Besi Balok'!$B$23:$B$7253,$B20,'Besi Balok'!$F$23:$F$7253,'REKAP Balok'!T$11)</f>
        <v>0</v>
      </c>
      <c r="U20" s="284">
        <f t="shared" si="8"/>
        <v>233.29228032000003</v>
      </c>
      <c r="V20" s="285">
        <f t="shared" si="9"/>
        <v>1.1334</v>
      </c>
      <c r="W20" s="282">
        <f t="shared" si="13"/>
        <v>11.334</v>
      </c>
      <c r="X20" s="282">
        <v>0</v>
      </c>
      <c r="Y20" s="282">
        <f t="shared" si="10"/>
        <v>0.37780000000000002</v>
      </c>
      <c r="Z20" s="283">
        <f t="shared" si="11"/>
        <v>3.4001999999999994</v>
      </c>
      <c r="AC20" s="1784">
        <f t="shared" si="12"/>
        <v>1.5112000000000001</v>
      </c>
    </row>
    <row r="21" spans="1:29" hidden="1">
      <c r="A21" s="272" t="str">
        <f>'Data Panjang Balok'!A17</f>
        <v>Lantai 1</v>
      </c>
      <c r="B21" s="273">
        <f>'Data Panjang Balok'!B17</f>
        <v>8</v>
      </c>
      <c r="C21" s="274" t="str">
        <f>'Data Panjang Balok'!D17</f>
        <v>S24-1</v>
      </c>
      <c r="D21" s="275">
        <f>IF(C21&gt;0,VLOOKUP(C21,'Detail Balok'!$C$11:$AU$140,2,FALSE),0)</f>
        <v>200</v>
      </c>
      <c r="E21" s="276" t="s">
        <v>125</v>
      </c>
      <c r="F21" s="277">
        <f>IF(C21&gt;0,VLOOKUP(C21,'Detail Balok'!$C$11:$AU$140,3,FALSE),0)</f>
        <v>400</v>
      </c>
      <c r="G21" s="278">
        <f>'Data Panjang Balok'!I17</f>
        <v>1720</v>
      </c>
      <c r="H21" s="278">
        <f>'Data Panjang Balok'!J17</f>
        <v>0</v>
      </c>
      <c r="I21" s="279">
        <v>-3.5</v>
      </c>
      <c r="J21" s="279">
        <f t="shared" si="7"/>
        <v>-3.9</v>
      </c>
      <c r="K21" s="280">
        <f>'Data Panjang Balok'!E17</f>
        <v>1</v>
      </c>
      <c r="L21" s="281">
        <f>SUMIFS('Besi Balok'!$AA$23:$AA$7253,'Besi Balok'!$A$23:$A$7253,$A21,'Besi Balok'!$B$23:$B$7253,$B21,'Besi Balok'!$F$23:$F$7253,'REKAP Balok'!L$11)</f>
        <v>0</v>
      </c>
      <c r="M21" s="282">
        <f>SUMIFS('Besi Balok'!$AA$23:$AA$7253,'Besi Balok'!$A$23:$A$7253,$A21,'Besi Balok'!$B$23:$B$7253,$B21,'Besi Balok'!$F$23:$F$7253,'REKAP Balok'!M$11)</f>
        <v>5.2831584000000014</v>
      </c>
      <c r="N21" s="282">
        <f>SUMIFS('Besi Balok'!$AA$23:$AA$7253,'Besi Balok'!$A$23:$A$7253,$A21,'Besi Balok'!$B$23:$B$7253,$B21,'Besi Balok'!$F$23:$F$7253,'REKAP Balok'!N$11)</f>
        <v>0</v>
      </c>
      <c r="O21" s="282">
        <f>SUMIFS('Besi Balok'!$AA$23:$AA$7253,'Besi Balok'!$A$23:$A$7253,$A21,'Besi Balok'!$B$23:$B$7253,$B21,'Besi Balok'!$F$23:$F$7253,'REKAP Balok'!O$11)</f>
        <v>12.702661920000001</v>
      </c>
      <c r="P21" s="282">
        <f>SUMIFS('Besi Balok'!$AA$23:$AA$7253,'Besi Balok'!$A$23:$A$7253,$A21,'Besi Balok'!$B$23:$B$7253,$B21,'Besi Balok'!$F$23:$F$7253,'REKAP Balok'!P$11)</f>
        <v>0</v>
      </c>
      <c r="Q21" s="282">
        <f>SUMIFS('Besi Balok'!$AA$23:$AA$7253,'Besi Balok'!$A$23:$A$7253,$A21,'Besi Balok'!$B$23:$B$7253,$B21,'Besi Balok'!$F$23:$F$7253,'REKAP Balok'!Q$11)</f>
        <v>0</v>
      </c>
      <c r="R21" s="282">
        <f>SUMIFS('Besi Balok'!$AA$23:$AA$7253,'Besi Balok'!$A$23:$A$7253,$A21,'Besi Balok'!$B$23:$B$7253,$B21,'Besi Balok'!$F$23:$F$7253,'REKAP Balok'!R$11)</f>
        <v>0</v>
      </c>
      <c r="S21" s="282">
        <f>SUMIFS('Besi Balok'!$AA$23:$AA$7253,'Besi Balok'!$A$23:$A$7253,$A21,'Besi Balok'!$B$23:$B$7253,$B21,'Besi Balok'!$F$23:$F$7253,'REKAP Balok'!S$11)</f>
        <v>0</v>
      </c>
      <c r="T21" s="283">
        <f>SUMIFS('Besi Balok'!$AA$23:$AA$7253,'Besi Balok'!$A$23:$A$7253,$A21,'Besi Balok'!$B$23:$B$7253,$B21,'Besi Balok'!$F$23:$F$7253,'REKAP Balok'!T$11)</f>
        <v>0</v>
      </c>
      <c r="U21" s="284">
        <f t="shared" si="8"/>
        <v>17.985820320000002</v>
      </c>
      <c r="V21" s="285">
        <f t="shared" si="9"/>
        <v>0.1376</v>
      </c>
      <c r="W21" s="282">
        <f t="shared" si="13"/>
        <v>1.3759999999999999</v>
      </c>
      <c r="X21" s="282">
        <v>0</v>
      </c>
      <c r="Y21" s="282">
        <f t="shared" si="10"/>
        <v>3.44E-2</v>
      </c>
      <c r="Z21" s="283">
        <f t="shared" si="11"/>
        <v>0.30959999999999993</v>
      </c>
      <c r="AC21" s="1784">
        <f t="shared" si="12"/>
        <v>0.2752</v>
      </c>
    </row>
    <row r="22" spans="1:29" hidden="1">
      <c r="A22" s="272" t="str">
        <f>'Data Panjang Balok'!A18</f>
        <v>Lantai 1</v>
      </c>
      <c r="B22" s="273">
        <f>'Data Panjang Balok'!B18</f>
        <v>9</v>
      </c>
      <c r="C22" s="274" t="str">
        <f>'Data Panjang Balok'!D18</f>
        <v>S23-1</v>
      </c>
      <c r="D22" s="275">
        <f>IF(C22&gt;0,VLOOKUP(C22,'Detail Balok'!$C$11:$AU$140,2,FALSE),0)</f>
        <v>200</v>
      </c>
      <c r="E22" s="276" t="s">
        <v>125</v>
      </c>
      <c r="F22" s="277">
        <f>IF(C22&gt;0,VLOOKUP(C22,'Detail Balok'!$C$11:$AU$140,3,FALSE),0)</f>
        <v>300</v>
      </c>
      <c r="G22" s="278">
        <f>'Data Panjang Balok'!I18</f>
        <v>5000</v>
      </c>
      <c r="H22" s="278">
        <f>'Data Panjang Balok'!J18</f>
        <v>150</v>
      </c>
      <c r="I22" s="279">
        <v>-3.5</v>
      </c>
      <c r="J22" s="279">
        <f t="shared" si="7"/>
        <v>-3.8</v>
      </c>
      <c r="K22" s="280">
        <f>'Data Panjang Balok'!E18</f>
        <v>1</v>
      </c>
      <c r="L22" s="281">
        <f>SUMIFS('Besi Balok'!$AA$23:$AA$7253,'Besi Balok'!$A$23:$A$7253,$A22,'Besi Balok'!$B$23:$B$7253,$B22,'Besi Balok'!$F$23:$F$7253,'REKAP Balok'!L$11)</f>
        <v>0</v>
      </c>
      <c r="M22" s="282">
        <f>SUMIFS('Besi Balok'!$AA$23:$AA$7253,'Besi Balok'!$A$23:$A$7253,$A22,'Besi Balok'!$B$23:$B$7253,$B22,'Besi Balok'!$F$23:$F$7253,'REKAP Balok'!M$11)</f>
        <v>11.461968000000001</v>
      </c>
      <c r="N22" s="282">
        <f>SUMIFS('Besi Balok'!$AA$23:$AA$7253,'Besi Balok'!$A$23:$A$7253,$A22,'Besi Balok'!$B$23:$B$7253,$B22,'Besi Balok'!$F$23:$F$7253,'REKAP Balok'!N$11)</f>
        <v>0</v>
      </c>
      <c r="O22" s="282">
        <f>SUMIFS('Besi Balok'!$AA$23:$AA$7253,'Besi Balok'!$A$23:$A$7253,$A22,'Besi Balok'!$B$23:$B$7253,$B22,'Besi Balok'!$F$23:$F$7253,'REKAP Balok'!O$11)</f>
        <v>22.137972479999995</v>
      </c>
      <c r="P22" s="282">
        <f>SUMIFS('Besi Balok'!$AA$23:$AA$7253,'Besi Balok'!$A$23:$A$7253,$A22,'Besi Balok'!$B$23:$B$7253,$B22,'Besi Balok'!$F$23:$F$7253,'REKAP Balok'!P$11)</f>
        <v>0</v>
      </c>
      <c r="Q22" s="282">
        <f>SUMIFS('Besi Balok'!$AA$23:$AA$7253,'Besi Balok'!$A$23:$A$7253,$A22,'Besi Balok'!$B$23:$B$7253,$B22,'Besi Balok'!$F$23:$F$7253,'REKAP Balok'!Q$11)</f>
        <v>0</v>
      </c>
      <c r="R22" s="282">
        <f>SUMIFS('Besi Balok'!$AA$23:$AA$7253,'Besi Balok'!$A$23:$A$7253,$A22,'Besi Balok'!$B$23:$B$7253,$B22,'Besi Balok'!$F$23:$F$7253,'REKAP Balok'!R$11)</f>
        <v>0</v>
      </c>
      <c r="S22" s="282">
        <f>SUMIFS('Besi Balok'!$AA$23:$AA$7253,'Besi Balok'!$A$23:$A$7253,$A22,'Besi Balok'!$B$23:$B$7253,$B22,'Besi Balok'!$F$23:$F$7253,'REKAP Balok'!S$11)</f>
        <v>0</v>
      </c>
      <c r="T22" s="283">
        <f>SUMIFS('Besi Balok'!$AA$23:$AA$7253,'Besi Balok'!$A$23:$A$7253,$A22,'Besi Balok'!$B$23:$B$7253,$B22,'Besi Balok'!$F$23:$F$7253,'REKAP Balok'!T$11)</f>
        <v>0</v>
      </c>
      <c r="U22" s="284">
        <f t="shared" si="8"/>
        <v>33.599940479999994</v>
      </c>
      <c r="V22" s="285">
        <f t="shared" si="9"/>
        <v>0.15</v>
      </c>
      <c r="W22" s="282">
        <f t="shared" si="13"/>
        <v>1.5</v>
      </c>
      <c r="X22" s="282">
        <v>0</v>
      </c>
      <c r="Y22" s="282">
        <f t="shared" si="10"/>
        <v>0.1</v>
      </c>
      <c r="Z22" s="283">
        <f t="shared" si="11"/>
        <v>0.69999999999999951</v>
      </c>
      <c r="AC22" s="1784">
        <f t="shared" si="12"/>
        <v>0.6</v>
      </c>
    </row>
    <row r="23" spans="1:29" hidden="1">
      <c r="A23" s="272" t="str">
        <f>'Data Panjang Balok'!A19</f>
        <v>Lantai 1</v>
      </c>
      <c r="B23" s="273">
        <f>'Data Panjang Balok'!B19</f>
        <v>10</v>
      </c>
      <c r="C23" s="274" t="str">
        <f>'Data Panjang Balok'!D19</f>
        <v>S36-1</v>
      </c>
      <c r="D23" s="275">
        <f>IF(C23&gt;0,VLOOKUP(C23,'Detail Balok'!$C$11:$AU$140,2,FALSE),0)</f>
        <v>300</v>
      </c>
      <c r="E23" s="276" t="s">
        <v>125</v>
      </c>
      <c r="F23" s="277">
        <f>IF(C23&gt;0,VLOOKUP(C23,'Detail Balok'!$C$11:$AU$140,3,FALSE),0)</f>
        <v>600</v>
      </c>
      <c r="G23" s="278">
        <f>'Data Panjang Balok'!I19</f>
        <v>5000</v>
      </c>
      <c r="H23" s="278">
        <f>'Data Panjang Balok'!J19</f>
        <v>150</v>
      </c>
      <c r="I23" s="279">
        <v>-3.5</v>
      </c>
      <c r="J23" s="279">
        <f t="shared" si="7"/>
        <v>-4.0999999999999996</v>
      </c>
      <c r="K23" s="280">
        <f>'Data Panjang Balok'!E19</f>
        <v>1</v>
      </c>
      <c r="L23" s="281">
        <f>SUMIFS('Besi Balok'!$AA$23:$AA$7253,'Besi Balok'!$A$23:$A$7253,$A23,'Besi Balok'!$B$23:$B$7253,$B23,'Besi Balok'!$F$23:$F$7253,'REKAP Balok'!L$11)</f>
        <v>0</v>
      </c>
      <c r="M23" s="282">
        <f>SUMIFS('Besi Balok'!$AA$23:$AA$7253,'Besi Balok'!$A$23:$A$7253,$A23,'Besi Balok'!$B$23:$B$7253,$B23,'Besi Balok'!$F$23:$F$7253,'REKAP Balok'!M$11)</f>
        <v>19.937116799999998</v>
      </c>
      <c r="N23" s="282">
        <f>SUMIFS('Besi Balok'!$AA$23:$AA$7253,'Besi Balok'!$A$23:$A$7253,$A23,'Besi Balok'!$B$23:$B$7253,$B23,'Besi Balok'!$F$23:$F$7253,'REKAP Balok'!N$11)</f>
        <v>6.4609200000000007</v>
      </c>
      <c r="O23" s="282">
        <f>SUMIFS('Besi Balok'!$AA$23:$AA$7253,'Besi Balok'!$A$23:$A$7253,$A23,'Besi Balok'!$B$23:$B$7253,$B23,'Besi Balok'!$F$23:$F$7253,'REKAP Balok'!O$11)</f>
        <v>0</v>
      </c>
      <c r="P23" s="282">
        <f>SUMIFS('Besi Balok'!$AA$23:$AA$7253,'Besi Balok'!$A$23:$A$7253,$A23,'Besi Balok'!$B$23:$B$7253,$B23,'Besi Balok'!$F$23:$F$7253,'REKAP Balok'!P$11)</f>
        <v>67.977953280000008</v>
      </c>
      <c r="Q23" s="282">
        <f>SUMIFS('Besi Balok'!$AA$23:$AA$7253,'Besi Balok'!$A$23:$A$7253,$A23,'Besi Balok'!$B$23:$B$7253,$B23,'Besi Balok'!$F$23:$F$7253,'REKAP Balok'!Q$11)</f>
        <v>0</v>
      </c>
      <c r="R23" s="282">
        <f>SUMIFS('Besi Balok'!$AA$23:$AA$7253,'Besi Balok'!$A$23:$A$7253,$A23,'Besi Balok'!$B$23:$B$7253,$B23,'Besi Balok'!$F$23:$F$7253,'REKAP Balok'!R$11)</f>
        <v>0</v>
      </c>
      <c r="S23" s="282">
        <f>SUMIFS('Besi Balok'!$AA$23:$AA$7253,'Besi Balok'!$A$23:$A$7253,$A23,'Besi Balok'!$B$23:$B$7253,$B23,'Besi Balok'!$F$23:$F$7253,'REKAP Balok'!S$11)</f>
        <v>0</v>
      </c>
      <c r="T23" s="283">
        <f>SUMIFS('Besi Balok'!$AA$23:$AA$7253,'Besi Balok'!$A$23:$A$7253,$A23,'Besi Balok'!$B$23:$B$7253,$B23,'Besi Balok'!$F$23:$F$7253,'REKAP Balok'!T$11)</f>
        <v>0</v>
      </c>
      <c r="U23" s="284">
        <f t="shared" si="8"/>
        <v>94.375990080000008</v>
      </c>
      <c r="V23" s="285">
        <f t="shared" si="9"/>
        <v>0.67500000000000004</v>
      </c>
      <c r="W23" s="282">
        <f t="shared" si="13"/>
        <v>4.5</v>
      </c>
      <c r="X23" s="282">
        <v>0</v>
      </c>
      <c r="Y23" s="282">
        <f t="shared" si="10"/>
        <v>0.125</v>
      </c>
      <c r="Z23" s="283">
        <f t="shared" si="11"/>
        <v>1.6249999999999991</v>
      </c>
      <c r="AC23" s="1784">
        <f t="shared" si="12"/>
        <v>1.5</v>
      </c>
    </row>
    <row r="24" spans="1:29" hidden="1">
      <c r="A24" s="272" t="str">
        <f>'Data Panjang Balok'!A20</f>
        <v>Lantai 1</v>
      </c>
      <c r="B24" s="273">
        <f>'Data Panjang Balok'!B20</f>
        <v>11</v>
      </c>
      <c r="C24" s="274" t="str">
        <f>'Data Panjang Balok'!D20</f>
        <v>S24-1</v>
      </c>
      <c r="D24" s="275">
        <f>IF(C24&gt;0,VLOOKUP(C24,'Detail Balok'!$C$11:$AU$140,2,FALSE),0)</f>
        <v>200</v>
      </c>
      <c r="E24" s="276" t="s">
        <v>125</v>
      </c>
      <c r="F24" s="277">
        <f>IF(C24&gt;0,VLOOKUP(C24,'Detail Balok'!$C$11:$AU$140,3,FALSE),0)</f>
        <v>400</v>
      </c>
      <c r="G24" s="278">
        <f>'Data Panjang Balok'!I20</f>
        <v>4020</v>
      </c>
      <c r="H24" s="278">
        <f>'Data Panjang Balok'!J20</f>
        <v>150</v>
      </c>
      <c r="I24" s="279">
        <v>-3.5</v>
      </c>
      <c r="J24" s="279">
        <f t="shared" si="7"/>
        <v>-3.9</v>
      </c>
      <c r="K24" s="280">
        <f>'Data Panjang Balok'!E20</f>
        <v>1</v>
      </c>
      <c r="L24" s="281">
        <f>SUMIFS('Besi Balok'!$AA$23:$AA$7253,'Besi Balok'!$A$23:$A$7253,$A24,'Besi Balok'!$B$23:$B$7253,$B24,'Besi Balok'!$F$23:$F$7253,'REKAP Balok'!L$11)</f>
        <v>0</v>
      </c>
      <c r="M24" s="282">
        <f>SUMIFS('Besi Balok'!$AA$23:$AA$7253,'Besi Balok'!$A$23:$A$7253,$A24,'Besi Balok'!$B$23:$B$7253,$B24,'Besi Balok'!$F$23:$F$7253,'REKAP Balok'!M$11)</f>
        <v>10.566316800000001</v>
      </c>
      <c r="N24" s="282">
        <f>SUMIFS('Besi Balok'!$AA$23:$AA$7253,'Besi Balok'!$A$23:$A$7253,$A24,'Besi Balok'!$B$23:$B$7253,$B24,'Besi Balok'!$F$23:$F$7253,'REKAP Balok'!N$11)</f>
        <v>0</v>
      </c>
      <c r="O24" s="282">
        <f>SUMIFS('Besi Balok'!$AA$23:$AA$7253,'Besi Balok'!$A$23:$A$7253,$A24,'Besi Balok'!$B$23:$B$7253,$B24,'Besi Balok'!$F$23:$F$7253,'REKAP Balok'!O$11)</f>
        <v>27.080674919999993</v>
      </c>
      <c r="P24" s="282">
        <f>SUMIFS('Besi Balok'!$AA$23:$AA$7253,'Besi Balok'!$A$23:$A$7253,$A24,'Besi Balok'!$B$23:$B$7253,$B24,'Besi Balok'!$F$23:$F$7253,'REKAP Balok'!P$11)</f>
        <v>0</v>
      </c>
      <c r="Q24" s="282">
        <f>SUMIFS('Besi Balok'!$AA$23:$AA$7253,'Besi Balok'!$A$23:$A$7253,$A24,'Besi Balok'!$B$23:$B$7253,$B24,'Besi Balok'!$F$23:$F$7253,'REKAP Balok'!Q$11)</f>
        <v>0</v>
      </c>
      <c r="R24" s="282">
        <f>SUMIFS('Besi Balok'!$AA$23:$AA$7253,'Besi Balok'!$A$23:$A$7253,$A24,'Besi Balok'!$B$23:$B$7253,$B24,'Besi Balok'!$F$23:$F$7253,'REKAP Balok'!R$11)</f>
        <v>0</v>
      </c>
      <c r="S24" s="282">
        <f>SUMIFS('Besi Balok'!$AA$23:$AA$7253,'Besi Balok'!$A$23:$A$7253,$A24,'Besi Balok'!$B$23:$B$7253,$B24,'Besi Balok'!$F$23:$F$7253,'REKAP Balok'!S$11)</f>
        <v>0</v>
      </c>
      <c r="T24" s="283">
        <f>SUMIFS('Besi Balok'!$AA$23:$AA$7253,'Besi Balok'!$A$23:$A$7253,$A24,'Besi Balok'!$B$23:$B$7253,$B24,'Besi Balok'!$F$23:$F$7253,'REKAP Balok'!T$11)</f>
        <v>0</v>
      </c>
      <c r="U24" s="284">
        <f t="shared" si="8"/>
        <v>37.646991719999995</v>
      </c>
      <c r="V24" s="285">
        <f t="shared" si="9"/>
        <v>0.20100000000000001</v>
      </c>
      <c r="W24" s="282">
        <f t="shared" si="13"/>
        <v>2.0099999999999998</v>
      </c>
      <c r="X24" s="282">
        <v>0</v>
      </c>
      <c r="Y24" s="282">
        <f t="shared" si="10"/>
        <v>8.0399999999999999E-2</v>
      </c>
      <c r="Z24" s="283">
        <f t="shared" si="11"/>
        <v>0.72359999999999991</v>
      </c>
      <c r="AC24" s="1784">
        <f t="shared" si="12"/>
        <v>0.64319999999999999</v>
      </c>
    </row>
    <row r="25" spans="1:29" hidden="1">
      <c r="A25" s="272" t="str">
        <f>'Data Panjang Balok'!A21</f>
        <v>Lantai 1</v>
      </c>
      <c r="B25" s="273">
        <f>'Data Panjang Balok'!B21</f>
        <v>12</v>
      </c>
      <c r="C25" s="274" t="str">
        <f>'Data Panjang Balok'!D21</f>
        <v>S36-1</v>
      </c>
      <c r="D25" s="275">
        <f>IF(C25&gt;0,VLOOKUP(C25,'Detail Balok'!$C$11:$AU$140,2,FALSE),0)</f>
        <v>300</v>
      </c>
      <c r="E25" s="276" t="s">
        <v>125</v>
      </c>
      <c r="F25" s="277">
        <f>IF(C25&gt;0,VLOOKUP(C25,'Detail Balok'!$C$11:$AU$140,3,FALSE),0)</f>
        <v>600</v>
      </c>
      <c r="G25" s="278">
        <f>'Data Panjang Balok'!I21</f>
        <v>4000</v>
      </c>
      <c r="H25" s="278">
        <f>'Data Panjang Balok'!J21</f>
        <v>150</v>
      </c>
      <c r="I25" s="279">
        <v>-3.5</v>
      </c>
      <c r="J25" s="279">
        <f t="shared" si="7"/>
        <v>-4.0999999999999996</v>
      </c>
      <c r="K25" s="280">
        <f>'Data Panjang Balok'!E21</f>
        <v>1</v>
      </c>
      <c r="L25" s="281">
        <f>SUMIFS('Besi Balok'!$AA$23:$AA$7253,'Besi Balok'!$A$23:$A$7253,$A25,'Besi Balok'!$B$23:$B$7253,$B25,'Besi Balok'!$F$23:$F$7253,'REKAP Balok'!L$11)</f>
        <v>0</v>
      </c>
      <c r="M25" s="282">
        <f>SUMIFS('Besi Balok'!$AA$23:$AA$7253,'Besi Balok'!$A$23:$A$7253,$A25,'Besi Balok'!$B$23:$B$7253,$B25,'Besi Balok'!$F$23:$F$7253,'REKAP Balok'!M$11)</f>
        <v>16.721452799999998</v>
      </c>
      <c r="N25" s="282">
        <f>SUMIFS('Besi Balok'!$AA$23:$AA$7253,'Besi Balok'!$A$23:$A$7253,$A25,'Besi Balok'!$B$23:$B$7253,$B25,'Besi Balok'!$F$23:$F$7253,'REKAP Balok'!N$11)</f>
        <v>5.227920000000001</v>
      </c>
      <c r="O25" s="282">
        <f>SUMIFS('Besi Balok'!$AA$23:$AA$7253,'Besi Balok'!$A$23:$A$7253,$A25,'Besi Balok'!$B$23:$B$7253,$B25,'Besi Balok'!$F$23:$F$7253,'REKAP Balok'!O$11)</f>
        <v>0</v>
      </c>
      <c r="P25" s="282">
        <f>SUMIFS('Besi Balok'!$AA$23:$AA$7253,'Besi Balok'!$A$23:$A$7253,$A25,'Besi Balok'!$B$23:$B$7253,$B25,'Besi Balok'!$F$23:$F$7253,'REKAP Balok'!P$11)</f>
        <v>55.352033280000008</v>
      </c>
      <c r="Q25" s="282">
        <f>SUMIFS('Besi Balok'!$AA$23:$AA$7253,'Besi Balok'!$A$23:$A$7253,$A25,'Besi Balok'!$B$23:$B$7253,$B25,'Besi Balok'!$F$23:$F$7253,'REKAP Balok'!Q$11)</f>
        <v>0</v>
      </c>
      <c r="R25" s="282">
        <f>SUMIFS('Besi Balok'!$AA$23:$AA$7253,'Besi Balok'!$A$23:$A$7253,$A25,'Besi Balok'!$B$23:$B$7253,$B25,'Besi Balok'!$F$23:$F$7253,'REKAP Balok'!R$11)</f>
        <v>0</v>
      </c>
      <c r="S25" s="282">
        <f>SUMIFS('Besi Balok'!$AA$23:$AA$7253,'Besi Balok'!$A$23:$A$7253,$A25,'Besi Balok'!$B$23:$B$7253,$B25,'Besi Balok'!$F$23:$F$7253,'REKAP Balok'!S$11)</f>
        <v>0</v>
      </c>
      <c r="T25" s="283">
        <f>SUMIFS('Besi Balok'!$AA$23:$AA$7253,'Besi Balok'!$A$23:$A$7253,$A25,'Besi Balok'!$B$23:$B$7253,$B25,'Besi Balok'!$F$23:$F$7253,'REKAP Balok'!T$11)</f>
        <v>0</v>
      </c>
      <c r="U25" s="284">
        <f t="shared" si="8"/>
        <v>77.301406080000007</v>
      </c>
      <c r="V25" s="285">
        <f t="shared" si="9"/>
        <v>0.54</v>
      </c>
      <c r="W25" s="282">
        <f t="shared" si="13"/>
        <v>3.6</v>
      </c>
      <c r="X25" s="282">
        <v>0</v>
      </c>
      <c r="Y25" s="282">
        <f t="shared" si="10"/>
        <v>0.1</v>
      </c>
      <c r="Z25" s="283">
        <f t="shared" si="11"/>
        <v>1.2999999999999994</v>
      </c>
      <c r="AC25" s="1784">
        <f t="shared" si="12"/>
        <v>1.2</v>
      </c>
    </row>
    <row r="26" spans="1:29" hidden="1">
      <c r="A26" s="272" t="str">
        <f>'Data Panjang Balok'!A22</f>
        <v>Lantai 1</v>
      </c>
      <c r="B26" s="273">
        <f>'Data Panjang Balok'!B22</f>
        <v>13</v>
      </c>
      <c r="C26" s="274" t="str">
        <f>'Data Panjang Balok'!D22</f>
        <v>S24-2</v>
      </c>
      <c r="D26" s="275">
        <f>IF(C26&gt;0,VLOOKUP(C26,'Detail Balok'!$C$11:$AU$140,2,FALSE),0)</f>
        <v>200</v>
      </c>
      <c r="E26" s="276" t="s">
        <v>125</v>
      </c>
      <c r="F26" s="277">
        <f>IF(C26&gt;0,VLOOKUP(C26,'Detail Balok'!$C$11:$AU$140,3,FALSE),0)</f>
        <v>400</v>
      </c>
      <c r="G26" s="278">
        <f>'Data Panjang Balok'!I22</f>
        <v>9515</v>
      </c>
      <c r="H26" s="278">
        <f>'Data Panjang Balok'!J22</f>
        <v>200</v>
      </c>
      <c r="I26" s="279">
        <v>-3.5</v>
      </c>
      <c r="J26" s="279">
        <f t="shared" si="7"/>
        <v>-3.9</v>
      </c>
      <c r="K26" s="280">
        <f>'Data Panjang Balok'!E22</f>
        <v>1</v>
      </c>
      <c r="L26" s="281">
        <f>SUMIFS('Besi Balok'!$AA$23:$AA$7253,'Besi Balok'!$A$23:$A$7253,$A26,'Besi Balok'!$B$23:$B$7253,$B26,'Besi Balok'!$F$23:$F$7253,'REKAP Balok'!L$11)</f>
        <v>0</v>
      </c>
      <c r="M26" s="282">
        <f>SUMIFS('Besi Balok'!$AA$23:$AA$7253,'Besi Balok'!$A$23:$A$7253,$A26,'Besi Balok'!$B$23:$B$7253,$B26,'Besi Balok'!$F$23:$F$7253,'REKAP Balok'!M$11)</f>
        <v>23.571014400000003</v>
      </c>
      <c r="N26" s="282">
        <f>SUMIFS('Besi Balok'!$AA$23:$AA$7253,'Besi Balok'!$A$23:$A$7253,$A26,'Besi Balok'!$B$23:$B$7253,$B26,'Besi Balok'!$F$23:$F$7253,'REKAP Balok'!N$11)</f>
        <v>0</v>
      </c>
      <c r="O26" s="282">
        <f>SUMIFS('Besi Balok'!$AA$23:$AA$7253,'Besi Balok'!$A$23:$A$7253,$A26,'Besi Balok'!$B$23:$B$7253,$B26,'Besi Balok'!$F$23:$F$7253,'REKAP Balok'!O$11)</f>
        <v>0</v>
      </c>
      <c r="P26" s="282">
        <f>SUMIFS('Besi Balok'!$AA$23:$AA$7253,'Besi Balok'!$A$23:$A$7253,$A26,'Besi Balok'!$B$23:$B$7253,$B26,'Besi Balok'!$F$23:$F$7253,'REKAP Balok'!P$11)</f>
        <v>93.73798656000001</v>
      </c>
      <c r="Q26" s="282">
        <f>SUMIFS('Besi Balok'!$AA$23:$AA$7253,'Besi Balok'!$A$23:$A$7253,$A26,'Besi Balok'!$B$23:$B$7253,$B26,'Besi Balok'!$F$23:$F$7253,'REKAP Balok'!Q$11)</f>
        <v>0</v>
      </c>
      <c r="R26" s="282">
        <f>SUMIFS('Besi Balok'!$AA$23:$AA$7253,'Besi Balok'!$A$23:$A$7253,$A26,'Besi Balok'!$B$23:$B$7253,$B26,'Besi Balok'!$F$23:$F$7253,'REKAP Balok'!R$11)</f>
        <v>0</v>
      </c>
      <c r="S26" s="282">
        <f>SUMIFS('Besi Balok'!$AA$23:$AA$7253,'Besi Balok'!$A$23:$A$7253,$A26,'Besi Balok'!$B$23:$B$7253,$B26,'Besi Balok'!$F$23:$F$7253,'REKAP Balok'!S$11)</f>
        <v>0</v>
      </c>
      <c r="T26" s="283">
        <f>SUMIFS('Besi Balok'!$AA$23:$AA$7253,'Besi Balok'!$A$23:$A$7253,$A26,'Besi Balok'!$B$23:$B$7253,$B26,'Besi Balok'!$F$23:$F$7253,'REKAP Balok'!T$11)</f>
        <v>0</v>
      </c>
      <c r="U26" s="284">
        <f t="shared" si="8"/>
        <v>117.30900096000002</v>
      </c>
      <c r="V26" s="285">
        <f t="shared" si="9"/>
        <v>0.38059999999999999</v>
      </c>
      <c r="W26" s="282">
        <f t="shared" si="13"/>
        <v>3.806</v>
      </c>
      <c r="X26" s="282">
        <v>0</v>
      </c>
      <c r="Y26" s="282">
        <f t="shared" si="10"/>
        <v>0.1903</v>
      </c>
      <c r="Z26" s="283">
        <f t="shared" si="11"/>
        <v>1.7126999999999997</v>
      </c>
      <c r="AC26" s="1784">
        <f t="shared" si="12"/>
        <v>1.5224</v>
      </c>
    </row>
    <row r="27" spans="1:29" hidden="1">
      <c r="A27" s="272" t="str">
        <f>'Data Panjang Balok'!A23</f>
        <v>Lantai 1</v>
      </c>
      <c r="B27" s="273" t="str">
        <f>'Data Panjang Balok'!B23</f>
        <v>13A</v>
      </c>
      <c r="C27" s="274" t="str">
        <f>'Data Panjang Balok'!D23</f>
        <v>S24-2</v>
      </c>
      <c r="D27" s="275">
        <f>IF(C27&gt;0,VLOOKUP(C27,'Detail Balok'!$C$11:$AU$140,2,FALSE),0)</f>
        <v>200</v>
      </c>
      <c r="E27" s="276" t="s">
        <v>125</v>
      </c>
      <c r="F27" s="277">
        <f>IF(C27&gt;0,VLOOKUP(C27,'Detail Balok'!$C$11:$AU$140,3,FALSE),0)</f>
        <v>400</v>
      </c>
      <c r="G27" s="278">
        <f>'Data Panjang Balok'!I23</f>
        <v>7925</v>
      </c>
      <c r="H27" s="278">
        <f>'Data Panjang Balok'!J23</f>
        <v>0</v>
      </c>
      <c r="I27" s="279">
        <v>-3.5</v>
      </c>
      <c r="J27" s="279">
        <f t="shared" ref="J27" si="14">I27-F27/1000</f>
        <v>-3.9</v>
      </c>
      <c r="K27" s="280">
        <f>'Data Panjang Balok'!E23</f>
        <v>1</v>
      </c>
      <c r="L27" s="281">
        <f>SUMIFS('Besi Balok'!$AA$23:$AA$7253,'Besi Balok'!$A$23:$A$7253,$A27,'Besi Balok'!$B$23:$B$7253,$B27,'Besi Balok'!$F$23:$F$7253,'REKAP Balok'!L$11)</f>
        <v>0</v>
      </c>
      <c r="M27" s="282">
        <f>SUMIFS('Besi Balok'!$AA$23:$AA$7253,'Besi Balok'!$A$23:$A$7253,$A27,'Besi Balok'!$B$23:$B$7253,$B27,'Besi Balok'!$F$23:$F$7253,'REKAP Balok'!M$11)</f>
        <v>19.507046400000004</v>
      </c>
      <c r="N27" s="282">
        <f>SUMIFS('Besi Balok'!$AA$23:$AA$7253,'Besi Balok'!$A$23:$A$7253,$A27,'Besi Balok'!$B$23:$B$7253,$B27,'Besi Balok'!$F$23:$F$7253,'REKAP Balok'!N$11)</f>
        <v>0</v>
      </c>
      <c r="O27" s="282">
        <f>SUMIFS('Besi Balok'!$AA$23:$AA$7253,'Besi Balok'!$A$23:$A$7253,$A27,'Besi Balok'!$B$23:$B$7253,$B27,'Besi Balok'!$F$23:$F$7253,'REKAP Balok'!O$11)</f>
        <v>0</v>
      </c>
      <c r="P27" s="282">
        <f>SUMIFS('Besi Balok'!$AA$23:$AA$7253,'Besi Balok'!$A$23:$A$7253,$A27,'Besi Balok'!$B$23:$B$7253,$B27,'Besi Balok'!$F$23:$F$7253,'REKAP Balok'!P$11)</f>
        <v>78.681576960000001</v>
      </c>
      <c r="Q27" s="282">
        <f>SUMIFS('Besi Balok'!$AA$23:$AA$7253,'Besi Balok'!$A$23:$A$7253,$A27,'Besi Balok'!$B$23:$B$7253,$B27,'Besi Balok'!$F$23:$F$7253,'REKAP Balok'!Q$11)</f>
        <v>0</v>
      </c>
      <c r="R27" s="282">
        <f>SUMIFS('Besi Balok'!$AA$23:$AA$7253,'Besi Balok'!$A$23:$A$7253,$A27,'Besi Balok'!$B$23:$B$7253,$B27,'Besi Balok'!$F$23:$F$7253,'REKAP Balok'!R$11)</f>
        <v>0</v>
      </c>
      <c r="S27" s="282">
        <f>SUMIFS('Besi Balok'!$AA$23:$AA$7253,'Besi Balok'!$A$23:$A$7253,$A27,'Besi Balok'!$B$23:$B$7253,$B27,'Besi Balok'!$F$23:$F$7253,'REKAP Balok'!S$11)</f>
        <v>0</v>
      </c>
      <c r="T27" s="283">
        <f>SUMIFS('Besi Balok'!$AA$23:$AA$7253,'Besi Balok'!$A$23:$A$7253,$A27,'Besi Balok'!$B$23:$B$7253,$B27,'Besi Balok'!$F$23:$F$7253,'REKAP Balok'!T$11)</f>
        <v>0</v>
      </c>
      <c r="U27" s="284">
        <f t="shared" ref="U27" si="15">SUM(L27:T27)</f>
        <v>98.188623360000008</v>
      </c>
      <c r="V27" s="285">
        <f t="shared" ref="V27" si="16">(D27*(F27-H27)*G27*K27)/1000000000</f>
        <v>0.63400000000000001</v>
      </c>
      <c r="W27" s="282">
        <f t="shared" ref="W27" si="17">(((F27-H27)*2)*(G27)*K27)/1000000</f>
        <v>6.34</v>
      </c>
      <c r="X27" s="282">
        <v>0</v>
      </c>
      <c r="Y27" s="282">
        <f t="shared" ref="Y27" si="18">K27*(D27+2*$F$5)*G27*$F$6/1000000000</f>
        <v>0.1585</v>
      </c>
      <c r="Z27" s="283">
        <f t="shared" ref="Z27" si="19">K27*(D27+2*$F$5)*($F$4-J27+($F$6+$F$7)/1000)*G27/1000000</f>
        <v>1.4264999999999997</v>
      </c>
      <c r="AC27" s="1784">
        <f t="shared" ref="AC27" si="20">(D27+2*$F$5)*F27*G27/1000000000</f>
        <v>1.268</v>
      </c>
    </row>
    <row r="28" spans="1:29" hidden="1">
      <c r="A28" s="272" t="str">
        <f>'Data Panjang Balok'!A24</f>
        <v>Lantai 1</v>
      </c>
      <c r="B28" s="273">
        <f>'Data Panjang Balok'!B24</f>
        <v>14</v>
      </c>
      <c r="C28" s="274" t="str">
        <f>'Data Panjang Balok'!D24</f>
        <v>S36-1</v>
      </c>
      <c r="D28" s="275">
        <f>IF(C28&gt;0,VLOOKUP(C28,'Detail Balok'!$C$11:$AU$140,2,FALSE),0)</f>
        <v>300</v>
      </c>
      <c r="E28" s="276" t="s">
        <v>125</v>
      </c>
      <c r="F28" s="277">
        <f>IF(C28&gt;0,VLOOKUP(C28,'Detail Balok'!$C$11:$AU$140,3,FALSE),0)</f>
        <v>600</v>
      </c>
      <c r="G28" s="278">
        <f>'Data Panjang Balok'!I24</f>
        <v>6000</v>
      </c>
      <c r="H28" s="278">
        <f>'Data Panjang Balok'!J24</f>
        <v>150</v>
      </c>
      <c r="I28" s="279">
        <v>-3.5</v>
      </c>
      <c r="J28" s="279">
        <f t="shared" si="7"/>
        <v>-4.0999999999999996</v>
      </c>
      <c r="K28" s="280">
        <f>'Data Panjang Balok'!E24</f>
        <v>1</v>
      </c>
      <c r="L28" s="281">
        <f>SUMIFS('Besi Balok'!$AA$23:$AA$7253,'Besi Balok'!$A$23:$A$7253,$A28,'Besi Balok'!$B$23:$B$7253,$B28,'Besi Balok'!$F$23:$F$7253,'REKAP Balok'!L$11)</f>
        <v>0</v>
      </c>
      <c r="M28" s="282">
        <f>SUMIFS('Besi Balok'!$AA$23:$AA$7253,'Besi Balok'!$A$23:$A$7253,$A28,'Besi Balok'!$B$23:$B$7253,$B28,'Besi Balok'!$F$23:$F$7253,'REKAP Balok'!M$11)</f>
        <v>23.795913599999999</v>
      </c>
      <c r="N28" s="282">
        <f>SUMIFS('Besi Balok'!$AA$23:$AA$7253,'Besi Balok'!$A$23:$A$7253,$A28,'Besi Balok'!$B$23:$B$7253,$B28,'Besi Balok'!$F$23:$F$7253,'REKAP Balok'!N$11)</f>
        <v>7.6939200000000012</v>
      </c>
      <c r="O28" s="282">
        <f>SUMIFS('Besi Balok'!$AA$23:$AA$7253,'Besi Balok'!$A$23:$A$7253,$A28,'Besi Balok'!$B$23:$B$7253,$B28,'Besi Balok'!$F$23:$F$7253,'REKAP Balok'!O$11)</f>
        <v>0</v>
      </c>
      <c r="P28" s="282">
        <f>SUMIFS('Besi Balok'!$AA$23:$AA$7253,'Besi Balok'!$A$23:$A$7253,$A28,'Besi Balok'!$B$23:$B$7253,$B28,'Besi Balok'!$F$23:$F$7253,'REKAP Balok'!P$11)</f>
        <v>80.603873280000002</v>
      </c>
      <c r="Q28" s="282">
        <f>SUMIFS('Besi Balok'!$AA$23:$AA$7253,'Besi Balok'!$A$23:$A$7253,$A28,'Besi Balok'!$B$23:$B$7253,$B28,'Besi Balok'!$F$23:$F$7253,'REKAP Balok'!Q$11)</f>
        <v>0</v>
      </c>
      <c r="R28" s="282">
        <f>SUMIFS('Besi Balok'!$AA$23:$AA$7253,'Besi Balok'!$A$23:$A$7253,$A28,'Besi Balok'!$B$23:$B$7253,$B28,'Besi Balok'!$F$23:$F$7253,'REKAP Balok'!R$11)</f>
        <v>0</v>
      </c>
      <c r="S28" s="282">
        <f>SUMIFS('Besi Balok'!$AA$23:$AA$7253,'Besi Balok'!$A$23:$A$7253,$A28,'Besi Balok'!$B$23:$B$7253,$B28,'Besi Balok'!$F$23:$F$7253,'REKAP Balok'!S$11)</f>
        <v>0</v>
      </c>
      <c r="T28" s="283">
        <f>SUMIFS('Besi Balok'!$AA$23:$AA$7253,'Besi Balok'!$A$23:$A$7253,$A28,'Besi Balok'!$B$23:$B$7253,$B28,'Besi Balok'!$F$23:$F$7253,'REKAP Balok'!T$11)</f>
        <v>0</v>
      </c>
      <c r="U28" s="284">
        <f t="shared" si="8"/>
        <v>112.09370688</v>
      </c>
      <c r="V28" s="285">
        <f t="shared" si="9"/>
        <v>0.81</v>
      </c>
      <c r="W28" s="282">
        <f t="shared" si="13"/>
        <v>5.4</v>
      </c>
      <c r="X28" s="282">
        <v>0</v>
      </c>
      <c r="Y28" s="282">
        <f t="shared" si="10"/>
        <v>0.15</v>
      </c>
      <c r="Z28" s="283">
        <f t="shared" si="11"/>
        <v>1.9499999999999991</v>
      </c>
      <c r="AC28" s="1784">
        <f t="shared" si="12"/>
        <v>1.8</v>
      </c>
    </row>
    <row r="29" spans="1:29" hidden="1">
      <c r="A29" s="272" t="str">
        <f>'Data Panjang Balok'!A25</f>
        <v>Lantai 1</v>
      </c>
      <c r="B29" s="273">
        <f>'Data Panjang Balok'!B25</f>
        <v>15</v>
      </c>
      <c r="C29" s="274" t="str">
        <f>'Data Panjang Balok'!D25</f>
        <v>S24-1</v>
      </c>
      <c r="D29" s="275">
        <f>IF(C29&gt;0,VLOOKUP(C29,'Detail Balok'!$C$11:$AU$140,2,FALSE),0)</f>
        <v>200</v>
      </c>
      <c r="E29" s="276" t="s">
        <v>125</v>
      </c>
      <c r="F29" s="277">
        <f>IF(C29&gt;0,VLOOKUP(C29,'Detail Balok'!$C$11:$AU$140,3,FALSE),0)</f>
        <v>400</v>
      </c>
      <c r="G29" s="278">
        <f>'Data Panjang Balok'!I25</f>
        <v>2575</v>
      </c>
      <c r="H29" s="278">
        <f>'Data Panjang Balok'!J25</f>
        <v>150</v>
      </c>
      <c r="I29" s="279">
        <v>-3.5</v>
      </c>
      <c r="J29" s="279">
        <f t="shared" si="7"/>
        <v>-3.9</v>
      </c>
      <c r="K29" s="280">
        <f>'Data Panjang Balok'!E25</f>
        <v>1</v>
      </c>
      <c r="L29" s="281">
        <f>SUMIFS('Besi Balok'!$AA$23:$AA$7253,'Besi Balok'!$A$23:$A$7253,$A29,'Besi Balok'!$B$23:$B$7253,$B29,'Besi Balok'!$F$23:$F$7253,'REKAP Balok'!L$11)</f>
        <v>0</v>
      </c>
      <c r="M29" s="282">
        <f>SUMIFS('Besi Balok'!$AA$23:$AA$7253,'Besi Balok'!$A$23:$A$7253,$A29,'Besi Balok'!$B$23:$B$7253,$B29,'Besi Balok'!$F$23:$F$7253,'REKAP Balok'!M$11)</f>
        <v>6.9087456000000014</v>
      </c>
      <c r="N29" s="282">
        <f>SUMIFS('Besi Balok'!$AA$23:$AA$7253,'Besi Balok'!$A$23:$A$7253,$A29,'Besi Balok'!$B$23:$B$7253,$B29,'Besi Balok'!$F$23:$F$7253,'REKAP Balok'!N$11)</f>
        <v>0</v>
      </c>
      <c r="O29" s="282">
        <f>SUMIFS('Besi Balok'!$AA$23:$AA$7253,'Besi Balok'!$A$23:$A$7253,$A29,'Besi Balok'!$B$23:$B$7253,$B29,'Besi Balok'!$F$23:$F$7253,'REKAP Balok'!O$11)</f>
        <v>18.047531969999998</v>
      </c>
      <c r="P29" s="282">
        <f>SUMIFS('Besi Balok'!$AA$23:$AA$7253,'Besi Balok'!$A$23:$A$7253,$A29,'Besi Balok'!$B$23:$B$7253,$B29,'Besi Balok'!$F$23:$F$7253,'REKAP Balok'!P$11)</f>
        <v>0</v>
      </c>
      <c r="Q29" s="282">
        <f>SUMIFS('Besi Balok'!$AA$23:$AA$7253,'Besi Balok'!$A$23:$A$7253,$A29,'Besi Balok'!$B$23:$B$7253,$B29,'Besi Balok'!$F$23:$F$7253,'REKAP Balok'!Q$11)</f>
        <v>0</v>
      </c>
      <c r="R29" s="282">
        <f>SUMIFS('Besi Balok'!$AA$23:$AA$7253,'Besi Balok'!$A$23:$A$7253,$A29,'Besi Balok'!$B$23:$B$7253,$B29,'Besi Balok'!$F$23:$F$7253,'REKAP Balok'!R$11)</f>
        <v>0</v>
      </c>
      <c r="S29" s="282">
        <f>SUMIFS('Besi Balok'!$AA$23:$AA$7253,'Besi Balok'!$A$23:$A$7253,$A29,'Besi Balok'!$B$23:$B$7253,$B29,'Besi Balok'!$F$23:$F$7253,'REKAP Balok'!S$11)</f>
        <v>0</v>
      </c>
      <c r="T29" s="283">
        <f>SUMIFS('Besi Balok'!$AA$23:$AA$7253,'Besi Balok'!$A$23:$A$7253,$A29,'Besi Balok'!$B$23:$B$7253,$B29,'Besi Balok'!$F$23:$F$7253,'REKAP Balok'!T$11)</f>
        <v>0</v>
      </c>
      <c r="U29" s="284">
        <f t="shared" si="8"/>
        <v>24.956277569999997</v>
      </c>
      <c r="V29" s="285">
        <f t="shared" si="9"/>
        <v>0.12875</v>
      </c>
      <c r="W29" s="282">
        <f t="shared" si="13"/>
        <v>1.2875000000000001</v>
      </c>
      <c r="X29" s="282">
        <v>0</v>
      </c>
      <c r="Y29" s="282">
        <f t="shared" si="10"/>
        <v>5.1499999999999997E-2</v>
      </c>
      <c r="Z29" s="283">
        <f t="shared" si="11"/>
        <v>0.46349999999999997</v>
      </c>
      <c r="AC29" s="1784">
        <f t="shared" si="12"/>
        <v>0.41199999999999998</v>
      </c>
    </row>
    <row r="30" spans="1:29" hidden="1">
      <c r="A30" s="272" t="str">
        <f>'Data Panjang Balok'!A26</f>
        <v>Lantai 1</v>
      </c>
      <c r="B30" s="273">
        <f>'Data Panjang Balok'!B26</f>
        <v>16</v>
      </c>
      <c r="C30" s="274" t="str">
        <f>'Data Panjang Balok'!D26</f>
        <v>S24-1</v>
      </c>
      <c r="D30" s="275">
        <f>IF(C30&gt;0,VLOOKUP(C30,'Detail Balok'!$C$11:$AU$140,2,FALSE),0)</f>
        <v>200</v>
      </c>
      <c r="E30" s="276" t="s">
        <v>125</v>
      </c>
      <c r="F30" s="277">
        <f>IF(C30&gt;0,VLOOKUP(C30,'Detail Balok'!$C$11:$AU$140,3,FALSE),0)</f>
        <v>400</v>
      </c>
      <c r="G30" s="278">
        <f>'Data Panjang Balok'!I26</f>
        <v>2675</v>
      </c>
      <c r="H30" s="278">
        <f>'Data Panjang Balok'!J26</f>
        <v>150</v>
      </c>
      <c r="I30" s="279">
        <v>-3.5</v>
      </c>
      <c r="J30" s="279">
        <f t="shared" si="7"/>
        <v>-3.9</v>
      </c>
      <c r="K30" s="280">
        <f>'Data Panjang Balok'!E26</f>
        <v>1</v>
      </c>
      <c r="L30" s="281">
        <f>SUMIFS('Besi Balok'!$AA$23:$AA$7253,'Besi Balok'!$A$23:$A$7253,$A30,'Besi Balok'!$B$23:$B$7253,$B30,'Besi Balok'!$F$23:$F$7253,'REKAP Balok'!L$11)</f>
        <v>0</v>
      </c>
      <c r="M30" s="282">
        <f>SUMIFS('Besi Balok'!$AA$23:$AA$7253,'Besi Balok'!$A$23:$A$7253,$A30,'Besi Balok'!$B$23:$B$7253,$B30,'Besi Balok'!$F$23:$F$7253,'REKAP Balok'!M$11)</f>
        <v>6.9087456000000014</v>
      </c>
      <c r="N30" s="282">
        <f>SUMIFS('Besi Balok'!$AA$23:$AA$7253,'Besi Balok'!$A$23:$A$7253,$A30,'Besi Balok'!$B$23:$B$7253,$B30,'Besi Balok'!$F$23:$F$7253,'REKAP Balok'!N$11)</f>
        <v>0</v>
      </c>
      <c r="O30" s="282">
        <f>SUMIFS('Besi Balok'!$AA$23:$AA$7253,'Besi Balok'!$A$23:$A$7253,$A30,'Besi Balok'!$B$23:$B$7253,$B30,'Besi Balok'!$F$23:$F$7253,'REKAP Balok'!O$11)</f>
        <v>18.672662969999998</v>
      </c>
      <c r="P30" s="282">
        <f>SUMIFS('Besi Balok'!$AA$23:$AA$7253,'Besi Balok'!$A$23:$A$7253,$A30,'Besi Balok'!$B$23:$B$7253,$B30,'Besi Balok'!$F$23:$F$7253,'REKAP Balok'!P$11)</f>
        <v>0</v>
      </c>
      <c r="Q30" s="282">
        <f>SUMIFS('Besi Balok'!$AA$23:$AA$7253,'Besi Balok'!$A$23:$A$7253,$A30,'Besi Balok'!$B$23:$B$7253,$B30,'Besi Balok'!$F$23:$F$7253,'REKAP Balok'!Q$11)</f>
        <v>0</v>
      </c>
      <c r="R30" s="282">
        <f>SUMIFS('Besi Balok'!$AA$23:$AA$7253,'Besi Balok'!$A$23:$A$7253,$A30,'Besi Balok'!$B$23:$B$7253,$B30,'Besi Balok'!$F$23:$F$7253,'REKAP Balok'!R$11)</f>
        <v>0</v>
      </c>
      <c r="S30" s="282">
        <f>SUMIFS('Besi Balok'!$AA$23:$AA$7253,'Besi Balok'!$A$23:$A$7253,$A30,'Besi Balok'!$B$23:$B$7253,$B30,'Besi Balok'!$F$23:$F$7253,'REKAP Balok'!S$11)</f>
        <v>0</v>
      </c>
      <c r="T30" s="283">
        <f>SUMIFS('Besi Balok'!$AA$23:$AA$7253,'Besi Balok'!$A$23:$A$7253,$A30,'Besi Balok'!$B$23:$B$7253,$B30,'Besi Balok'!$F$23:$F$7253,'REKAP Balok'!T$11)</f>
        <v>0</v>
      </c>
      <c r="U30" s="284">
        <f t="shared" si="8"/>
        <v>25.581408570000001</v>
      </c>
      <c r="V30" s="285">
        <f t="shared" si="9"/>
        <v>0.13375000000000001</v>
      </c>
      <c r="W30" s="282">
        <f t="shared" si="13"/>
        <v>1.3374999999999999</v>
      </c>
      <c r="X30" s="282">
        <v>0</v>
      </c>
      <c r="Y30" s="282">
        <f t="shared" si="10"/>
        <v>5.3499999999999999E-2</v>
      </c>
      <c r="Z30" s="283">
        <f t="shared" si="11"/>
        <v>0.48149999999999993</v>
      </c>
      <c r="AC30" s="1784">
        <f t="shared" si="12"/>
        <v>0.42799999999999999</v>
      </c>
    </row>
    <row r="31" spans="1:29" hidden="1">
      <c r="A31" s="272" t="str">
        <f>'Data Panjang Balok'!A27</f>
        <v>Lantai 1</v>
      </c>
      <c r="B31" s="273">
        <f>'Data Panjang Balok'!B27</f>
        <v>17</v>
      </c>
      <c r="C31" s="274" t="str">
        <f>'Data Panjang Balok'!D27</f>
        <v>S24-1</v>
      </c>
      <c r="D31" s="275">
        <f>IF(C31&gt;0,VLOOKUP(C31,'Detail Balok'!$C$11:$AU$140,2,FALSE),0)</f>
        <v>200</v>
      </c>
      <c r="E31" s="276" t="s">
        <v>125</v>
      </c>
      <c r="F31" s="277">
        <f>IF(C31&gt;0,VLOOKUP(C31,'Detail Balok'!$C$11:$AU$140,3,FALSE),0)</f>
        <v>400</v>
      </c>
      <c r="G31" s="278">
        <f>'Data Panjang Balok'!I27</f>
        <v>3100</v>
      </c>
      <c r="H31" s="278">
        <f>'Data Panjang Balok'!J27</f>
        <v>0</v>
      </c>
      <c r="I31" s="279">
        <v>-3.5</v>
      </c>
      <c r="J31" s="279">
        <f t="shared" si="7"/>
        <v>-3.9</v>
      </c>
      <c r="K31" s="280">
        <f>'Data Panjang Balok'!E27</f>
        <v>1</v>
      </c>
      <c r="L31" s="281">
        <f>SUMIFS('Besi Balok'!$AA$23:$AA$7253,'Besi Balok'!$A$23:$A$7253,$A31,'Besi Balok'!$B$23:$B$7253,$B31,'Besi Balok'!$F$23:$F$7253,'REKAP Balok'!L$11)</f>
        <v>0</v>
      </c>
      <c r="M31" s="282">
        <f>SUMIFS('Besi Balok'!$AA$23:$AA$7253,'Besi Balok'!$A$23:$A$7253,$A31,'Besi Balok'!$B$23:$B$7253,$B31,'Besi Balok'!$F$23:$F$7253,'REKAP Balok'!M$11)</f>
        <v>8.1279360000000018</v>
      </c>
      <c r="N31" s="282">
        <f>SUMIFS('Besi Balok'!$AA$23:$AA$7253,'Besi Balok'!$A$23:$A$7253,$A31,'Besi Balok'!$B$23:$B$7253,$B31,'Besi Balok'!$F$23:$F$7253,'REKAP Balok'!N$11)</f>
        <v>0</v>
      </c>
      <c r="O31" s="282">
        <f>SUMIFS('Besi Balok'!$AA$23:$AA$7253,'Besi Balok'!$A$23:$A$7253,$A31,'Besi Balok'!$B$23:$B$7253,$B31,'Besi Balok'!$F$23:$F$7253,'REKAP Balok'!O$11)</f>
        <v>21.329469719999999</v>
      </c>
      <c r="P31" s="282">
        <f>SUMIFS('Besi Balok'!$AA$23:$AA$7253,'Besi Balok'!$A$23:$A$7253,$A31,'Besi Balok'!$B$23:$B$7253,$B31,'Besi Balok'!$F$23:$F$7253,'REKAP Balok'!P$11)</f>
        <v>0</v>
      </c>
      <c r="Q31" s="282">
        <f>SUMIFS('Besi Balok'!$AA$23:$AA$7253,'Besi Balok'!$A$23:$A$7253,$A31,'Besi Balok'!$B$23:$B$7253,$B31,'Besi Balok'!$F$23:$F$7253,'REKAP Balok'!Q$11)</f>
        <v>0</v>
      </c>
      <c r="R31" s="282">
        <f>SUMIFS('Besi Balok'!$AA$23:$AA$7253,'Besi Balok'!$A$23:$A$7253,$A31,'Besi Balok'!$B$23:$B$7253,$B31,'Besi Balok'!$F$23:$F$7253,'REKAP Balok'!R$11)</f>
        <v>0</v>
      </c>
      <c r="S31" s="282">
        <f>SUMIFS('Besi Balok'!$AA$23:$AA$7253,'Besi Balok'!$A$23:$A$7253,$A31,'Besi Balok'!$B$23:$B$7253,$B31,'Besi Balok'!$F$23:$F$7253,'REKAP Balok'!S$11)</f>
        <v>0</v>
      </c>
      <c r="T31" s="283">
        <f>SUMIFS('Besi Balok'!$AA$23:$AA$7253,'Besi Balok'!$A$23:$A$7253,$A31,'Besi Balok'!$B$23:$B$7253,$B31,'Besi Balok'!$F$23:$F$7253,'REKAP Balok'!T$11)</f>
        <v>0</v>
      </c>
      <c r="U31" s="284">
        <f t="shared" si="8"/>
        <v>29.457405720000001</v>
      </c>
      <c r="V31" s="285">
        <f t="shared" si="9"/>
        <v>0.248</v>
      </c>
      <c r="W31" s="282">
        <f t="shared" si="13"/>
        <v>2.48</v>
      </c>
      <c r="X31" s="282">
        <v>0</v>
      </c>
      <c r="Y31" s="282">
        <f t="shared" si="10"/>
        <v>6.2E-2</v>
      </c>
      <c r="Z31" s="283">
        <f t="shared" si="11"/>
        <v>0.55799999999999983</v>
      </c>
      <c r="AC31" s="1784">
        <f t="shared" si="12"/>
        <v>0.496</v>
      </c>
    </row>
    <row r="32" spans="1:29">
      <c r="A32" s="272" t="str">
        <f>'Data Panjang Balok'!A28</f>
        <v>Lantai 1</v>
      </c>
      <c r="B32" s="273">
        <f>'Data Panjang Balok'!B28</f>
        <v>18</v>
      </c>
      <c r="C32" s="274" t="str">
        <f>'Data Panjang Balok'!D28</f>
        <v>S25-1</v>
      </c>
      <c r="D32" s="275">
        <f>IF(C32&gt;0,VLOOKUP(C32,'Detail Balok'!$C$11:$AU$140,2,FALSE),0)</f>
        <v>200</v>
      </c>
      <c r="E32" s="276" t="s">
        <v>125</v>
      </c>
      <c r="F32" s="277">
        <f>IF(C32&gt;0,VLOOKUP(C32,'Detail Balok'!$C$11:$AU$140,3,FALSE),0)</f>
        <v>500</v>
      </c>
      <c r="G32" s="278">
        <f>'Data Panjang Balok'!I28</f>
        <v>13400</v>
      </c>
      <c r="H32" s="278">
        <f>'Data Panjang Balok'!J28</f>
        <v>150</v>
      </c>
      <c r="I32" s="279">
        <v>-3.5</v>
      </c>
      <c r="J32" s="279">
        <f t="shared" si="7"/>
        <v>-4</v>
      </c>
      <c r="K32" s="280">
        <f>'Data Panjang Balok'!E28</f>
        <v>1</v>
      </c>
      <c r="L32" s="281">
        <f>SUMIFS('Besi Balok'!$AA$23:$AA$7253,'Besi Balok'!$A$23:$A$7253,$A32,'Besi Balok'!$B$23:$B$7253,$B32,'Besi Balok'!$F$23:$F$7253,'REKAP Balok'!L$11)</f>
        <v>0</v>
      </c>
      <c r="M32" s="282">
        <f>SUMIFS('Besi Balok'!$AA$23:$AA$7253,'Besi Balok'!$A$23:$A$7253,$A32,'Besi Balok'!$B$23:$B$7253,$B32,'Besi Balok'!$F$23:$F$7253,'REKAP Balok'!M$11)</f>
        <v>38.824704000000004</v>
      </c>
      <c r="N32" s="282">
        <f>SUMIFS('Besi Balok'!$AA$23:$AA$7253,'Besi Balok'!$A$23:$A$7253,$A32,'Besi Balok'!$B$23:$B$7253,$B32,'Besi Balok'!$F$23:$F$7253,'REKAP Balok'!N$11)</f>
        <v>16.818859800000002</v>
      </c>
      <c r="O32" s="282">
        <f>SUMIFS('Besi Balok'!$AA$23:$AA$7253,'Besi Balok'!$A$23:$A$7253,$A32,'Besi Balok'!$B$23:$B$7253,$B32,'Besi Balok'!$F$23:$F$7253,'REKAP Balok'!O$11)</f>
        <v>0</v>
      </c>
      <c r="P32" s="282">
        <f>SUMIFS('Besi Balok'!$AA$23:$AA$7253,'Besi Balok'!$A$23:$A$7253,$A32,'Besi Balok'!$B$23:$B$7253,$B32,'Besi Balok'!$F$23:$F$7253,'REKAP Balok'!P$11)</f>
        <v>130.53433651200001</v>
      </c>
      <c r="Q32" s="282">
        <f>SUMIFS('Besi Balok'!$AA$23:$AA$7253,'Besi Balok'!$A$23:$A$7253,$A32,'Besi Balok'!$B$23:$B$7253,$B32,'Besi Balok'!$F$23:$F$7253,'REKAP Balok'!Q$11)</f>
        <v>0</v>
      </c>
      <c r="R32" s="282">
        <f>SUMIFS('Besi Balok'!$AA$23:$AA$7253,'Besi Balok'!$A$23:$A$7253,$A32,'Besi Balok'!$B$23:$B$7253,$B32,'Besi Balok'!$F$23:$F$7253,'REKAP Balok'!R$11)</f>
        <v>0</v>
      </c>
      <c r="S32" s="282">
        <f>SUMIFS('Besi Balok'!$AA$23:$AA$7253,'Besi Balok'!$A$23:$A$7253,$A32,'Besi Balok'!$B$23:$B$7253,$B32,'Besi Balok'!$F$23:$F$7253,'REKAP Balok'!S$11)</f>
        <v>0</v>
      </c>
      <c r="T32" s="283">
        <f>SUMIFS('Besi Balok'!$AA$23:$AA$7253,'Besi Balok'!$A$23:$A$7253,$A32,'Besi Balok'!$B$23:$B$7253,$B32,'Besi Balok'!$F$23:$F$7253,'REKAP Balok'!T$11)</f>
        <v>0</v>
      </c>
      <c r="U32" s="284">
        <f t="shared" si="8"/>
        <v>186.17790031200002</v>
      </c>
      <c r="V32" s="285">
        <f t="shared" si="9"/>
        <v>0.93799999999999994</v>
      </c>
      <c r="W32" s="282">
        <f t="shared" si="13"/>
        <v>9.3800000000000008</v>
      </c>
      <c r="X32" s="282">
        <v>0</v>
      </c>
      <c r="Y32" s="282">
        <f t="shared" si="10"/>
        <v>0.26800000000000002</v>
      </c>
      <c r="Z32" s="283">
        <f t="shared" si="11"/>
        <v>2.9480000000000004</v>
      </c>
      <c r="AB32" s="246">
        <f>U32/V32</f>
        <v>198.48390225159918</v>
      </c>
      <c r="AC32" s="1784">
        <f t="shared" si="12"/>
        <v>2.68</v>
      </c>
    </row>
    <row r="33" spans="1:29" hidden="1">
      <c r="A33" s="272" t="str">
        <f>'Data Panjang Balok'!A29</f>
        <v>Lantai 1</v>
      </c>
      <c r="B33" s="273">
        <f>'Data Panjang Balok'!B29</f>
        <v>19</v>
      </c>
      <c r="C33" s="274" t="str">
        <f>'Data Panjang Balok'!D29</f>
        <v>S24-1</v>
      </c>
      <c r="D33" s="275">
        <f>IF(C33&gt;0,VLOOKUP(C33,'Detail Balok'!$C$11:$AU$140,2,FALSE),0)</f>
        <v>200</v>
      </c>
      <c r="E33" s="276" t="s">
        <v>125</v>
      </c>
      <c r="F33" s="277">
        <f>IF(C33&gt;0,VLOOKUP(C33,'Detail Balok'!$C$11:$AU$140,3,FALSE),0)</f>
        <v>400</v>
      </c>
      <c r="G33" s="278">
        <f>'Data Panjang Balok'!I29</f>
        <v>4075</v>
      </c>
      <c r="H33" s="278">
        <f>'Data Panjang Balok'!J29</f>
        <v>150</v>
      </c>
      <c r="I33" s="279">
        <v>-3.5</v>
      </c>
      <c r="J33" s="279">
        <f t="shared" si="7"/>
        <v>-3.9</v>
      </c>
      <c r="K33" s="280">
        <f>'Data Panjang Balok'!E29</f>
        <v>1</v>
      </c>
      <c r="L33" s="281">
        <f>SUMIFS('Besi Balok'!$AA$23:$AA$7253,'Besi Balok'!$A$23:$A$7253,$A33,'Besi Balok'!$B$23:$B$7253,$B33,'Besi Balok'!$F$23:$F$7253,'REKAP Balok'!L$11)</f>
        <v>0</v>
      </c>
      <c r="M33" s="282">
        <f>SUMIFS('Besi Balok'!$AA$23:$AA$7253,'Besi Balok'!$A$23:$A$7253,$A33,'Besi Balok'!$B$23:$B$7253,$B33,'Besi Balok'!$F$23:$F$7253,'REKAP Balok'!M$11)</f>
        <v>10.566316800000001</v>
      </c>
      <c r="N33" s="282">
        <f>SUMIFS('Besi Balok'!$AA$23:$AA$7253,'Besi Balok'!$A$23:$A$7253,$A33,'Besi Balok'!$B$23:$B$7253,$B33,'Besi Balok'!$F$23:$F$7253,'REKAP Balok'!N$11)</f>
        <v>0</v>
      </c>
      <c r="O33" s="282">
        <f>SUMIFS('Besi Balok'!$AA$23:$AA$7253,'Besi Balok'!$A$23:$A$7253,$A33,'Besi Balok'!$B$23:$B$7253,$B33,'Besi Balok'!$F$23:$F$7253,'REKAP Balok'!O$11)</f>
        <v>27.42449697</v>
      </c>
      <c r="P33" s="282">
        <f>SUMIFS('Besi Balok'!$AA$23:$AA$7253,'Besi Balok'!$A$23:$A$7253,$A33,'Besi Balok'!$B$23:$B$7253,$B33,'Besi Balok'!$F$23:$F$7253,'REKAP Balok'!P$11)</f>
        <v>0</v>
      </c>
      <c r="Q33" s="282">
        <f>SUMIFS('Besi Balok'!$AA$23:$AA$7253,'Besi Balok'!$A$23:$A$7253,$A33,'Besi Balok'!$B$23:$B$7253,$B33,'Besi Balok'!$F$23:$F$7253,'REKAP Balok'!Q$11)</f>
        <v>0</v>
      </c>
      <c r="R33" s="282">
        <f>SUMIFS('Besi Balok'!$AA$23:$AA$7253,'Besi Balok'!$A$23:$A$7253,$A33,'Besi Balok'!$B$23:$B$7253,$B33,'Besi Balok'!$F$23:$F$7253,'REKAP Balok'!R$11)</f>
        <v>0</v>
      </c>
      <c r="S33" s="282">
        <f>SUMIFS('Besi Balok'!$AA$23:$AA$7253,'Besi Balok'!$A$23:$A$7253,$A33,'Besi Balok'!$B$23:$B$7253,$B33,'Besi Balok'!$F$23:$F$7253,'REKAP Balok'!S$11)</f>
        <v>0</v>
      </c>
      <c r="T33" s="283">
        <f>SUMIFS('Besi Balok'!$AA$23:$AA$7253,'Besi Balok'!$A$23:$A$7253,$A33,'Besi Balok'!$B$23:$B$7253,$B33,'Besi Balok'!$F$23:$F$7253,'REKAP Balok'!T$11)</f>
        <v>0</v>
      </c>
      <c r="U33" s="284">
        <f t="shared" si="8"/>
        <v>37.990813770000003</v>
      </c>
      <c r="V33" s="285">
        <f t="shared" si="9"/>
        <v>0.20374999999999999</v>
      </c>
      <c r="W33" s="282">
        <f t="shared" si="13"/>
        <v>2.0375000000000001</v>
      </c>
      <c r="X33" s="282">
        <v>0</v>
      </c>
      <c r="Y33" s="282">
        <f t="shared" si="10"/>
        <v>8.1500000000000003E-2</v>
      </c>
      <c r="Z33" s="283">
        <f t="shared" si="11"/>
        <v>0.73349999999999993</v>
      </c>
      <c r="AC33" s="1784">
        <f t="shared" si="12"/>
        <v>0.65200000000000002</v>
      </c>
    </row>
    <row r="34" spans="1:29" hidden="1">
      <c r="A34" s="272" t="str">
        <f>'Data Panjang Balok'!A30</f>
        <v>Lantai 1</v>
      </c>
      <c r="B34" s="273">
        <f>'Data Panjang Balok'!B30</f>
        <v>20</v>
      </c>
      <c r="C34" s="274" t="str">
        <f>'Data Panjang Balok'!D30</f>
        <v>S24-2</v>
      </c>
      <c r="D34" s="275">
        <f>IF(C34&gt;0,VLOOKUP(C34,'Detail Balok'!$C$11:$AU$140,2,FALSE),0)</f>
        <v>200</v>
      </c>
      <c r="E34" s="276" t="s">
        <v>125</v>
      </c>
      <c r="F34" s="277">
        <f>IF(C34&gt;0,VLOOKUP(C34,'Detail Balok'!$C$11:$AU$140,3,FALSE),0)</f>
        <v>400</v>
      </c>
      <c r="G34" s="278">
        <f>'Data Panjang Balok'!I30</f>
        <v>4000</v>
      </c>
      <c r="H34" s="278">
        <f>'Data Panjang Balok'!J30</f>
        <v>150</v>
      </c>
      <c r="I34" s="279">
        <v>-3.5</v>
      </c>
      <c r="J34" s="279">
        <f t="shared" si="7"/>
        <v>-3.9</v>
      </c>
      <c r="K34" s="280">
        <f>'Data Panjang Balok'!E30</f>
        <v>1</v>
      </c>
      <c r="L34" s="281">
        <f>SUMIFS('Besi Balok'!$AA$23:$AA$7253,'Besi Balok'!$A$23:$A$7253,$A34,'Besi Balok'!$B$23:$B$7253,$B34,'Besi Balok'!$F$23:$F$7253,'REKAP Balok'!L$11)</f>
        <v>0</v>
      </c>
      <c r="M34" s="282">
        <f>SUMIFS('Besi Balok'!$AA$23:$AA$7253,'Besi Balok'!$A$23:$A$7253,$A34,'Besi Balok'!$B$23:$B$7253,$B34,'Besi Balok'!$F$23:$F$7253,'REKAP Balok'!M$11)</f>
        <v>10.566316800000001</v>
      </c>
      <c r="N34" s="282">
        <f>SUMIFS('Besi Balok'!$AA$23:$AA$7253,'Besi Balok'!$A$23:$A$7253,$A34,'Besi Balok'!$B$23:$B$7253,$B34,'Besi Balok'!$F$23:$F$7253,'REKAP Balok'!N$11)</f>
        <v>0</v>
      </c>
      <c r="O34" s="282">
        <f>SUMIFS('Besi Balok'!$AA$23:$AA$7253,'Besi Balok'!$A$23:$A$7253,$A34,'Besi Balok'!$B$23:$B$7253,$B34,'Besi Balok'!$F$23:$F$7253,'REKAP Balok'!O$11)</f>
        <v>0</v>
      </c>
      <c r="P34" s="282">
        <f>SUMIFS('Besi Balok'!$AA$23:$AA$7253,'Besi Balok'!$A$23:$A$7253,$A34,'Besi Balok'!$B$23:$B$7253,$B34,'Besi Balok'!$F$23:$F$7253,'REKAP Balok'!P$11)</f>
        <v>41.514024960000008</v>
      </c>
      <c r="Q34" s="282">
        <f>SUMIFS('Besi Balok'!$AA$23:$AA$7253,'Besi Balok'!$A$23:$A$7253,$A34,'Besi Balok'!$B$23:$B$7253,$B34,'Besi Balok'!$F$23:$F$7253,'REKAP Balok'!Q$11)</f>
        <v>0</v>
      </c>
      <c r="R34" s="282">
        <f>SUMIFS('Besi Balok'!$AA$23:$AA$7253,'Besi Balok'!$A$23:$A$7253,$A34,'Besi Balok'!$B$23:$B$7253,$B34,'Besi Balok'!$F$23:$F$7253,'REKAP Balok'!R$11)</f>
        <v>0</v>
      </c>
      <c r="S34" s="282">
        <f>SUMIFS('Besi Balok'!$AA$23:$AA$7253,'Besi Balok'!$A$23:$A$7253,$A34,'Besi Balok'!$B$23:$B$7253,$B34,'Besi Balok'!$F$23:$F$7253,'REKAP Balok'!S$11)</f>
        <v>0</v>
      </c>
      <c r="T34" s="283">
        <f>SUMIFS('Besi Balok'!$AA$23:$AA$7253,'Besi Balok'!$A$23:$A$7253,$A34,'Besi Balok'!$B$23:$B$7253,$B34,'Besi Balok'!$F$23:$F$7253,'REKAP Balok'!T$11)</f>
        <v>0</v>
      </c>
      <c r="U34" s="284">
        <f t="shared" si="8"/>
        <v>52.08034176000001</v>
      </c>
      <c r="V34" s="285">
        <f t="shared" si="9"/>
        <v>0.2</v>
      </c>
      <c r="W34" s="282">
        <f t="shared" si="13"/>
        <v>2</v>
      </c>
      <c r="X34" s="282">
        <v>0</v>
      </c>
      <c r="Y34" s="282">
        <f t="shared" si="10"/>
        <v>0.08</v>
      </c>
      <c r="Z34" s="283">
        <f t="shared" si="11"/>
        <v>0.71999999999999986</v>
      </c>
      <c r="AC34" s="1784">
        <f t="shared" si="12"/>
        <v>0.64</v>
      </c>
    </row>
    <row r="35" spans="1:29" hidden="1">
      <c r="A35" s="272" t="str">
        <f>'Data Panjang Balok'!A31</f>
        <v>Lantai 1</v>
      </c>
      <c r="B35" s="273">
        <f>'Data Panjang Balok'!B31</f>
        <v>21</v>
      </c>
      <c r="C35" s="274" t="str">
        <f>'Data Panjang Balok'!D31</f>
        <v>S24-2</v>
      </c>
      <c r="D35" s="275">
        <f>IF(C35&gt;0,VLOOKUP(C35,'Detail Balok'!$C$11:$AU$140,2,FALSE),0)</f>
        <v>200</v>
      </c>
      <c r="E35" s="276" t="s">
        <v>125</v>
      </c>
      <c r="F35" s="277">
        <f>IF(C35&gt;0,VLOOKUP(C35,'Detail Balok'!$C$11:$AU$140,3,FALSE),0)</f>
        <v>400</v>
      </c>
      <c r="G35" s="278">
        <f>'Data Panjang Balok'!I31</f>
        <v>4000</v>
      </c>
      <c r="H35" s="278">
        <f>'Data Panjang Balok'!J31</f>
        <v>150</v>
      </c>
      <c r="I35" s="279">
        <v>-3.5</v>
      </c>
      <c r="J35" s="279">
        <f t="shared" si="7"/>
        <v>-3.9</v>
      </c>
      <c r="K35" s="280">
        <f>'Data Panjang Balok'!E31</f>
        <v>1</v>
      </c>
      <c r="L35" s="281">
        <f>SUMIFS('Besi Balok'!$AA$23:$AA$7253,'Besi Balok'!$A$23:$A$7253,$A35,'Besi Balok'!$B$23:$B$7253,$B35,'Besi Balok'!$F$23:$F$7253,'REKAP Balok'!L$11)</f>
        <v>0</v>
      </c>
      <c r="M35" s="282">
        <f>SUMIFS('Besi Balok'!$AA$23:$AA$7253,'Besi Balok'!$A$23:$A$7253,$A35,'Besi Balok'!$B$23:$B$7253,$B35,'Besi Balok'!$F$23:$F$7253,'REKAP Balok'!M$11)</f>
        <v>10.566316800000001</v>
      </c>
      <c r="N35" s="282">
        <f>SUMIFS('Besi Balok'!$AA$23:$AA$7253,'Besi Balok'!$A$23:$A$7253,$A35,'Besi Balok'!$B$23:$B$7253,$B35,'Besi Balok'!$F$23:$F$7253,'REKAP Balok'!N$11)</f>
        <v>0</v>
      </c>
      <c r="O35" s="282">
        <f>SUMIFS('Besi Balok'!$AA$23:$AA$7253,'Besi Balok'!$A$23:$A$7253,$A35,'Besi Balok'!$B$23:$B$7253,$B35,'Besi Balok'!$F$23:$F$7253,'REKAP Balok'!O$11)</f>
        <v>0</v>
      </c>
      <c r="P35" s="282">
        <f>SUMIFS('Besi Balok'!$AA$23:$AA$7253,'Besi Balok'!$A$23:$A$7253,$A35,'Besi Balok'!$B$23:$B$7253,$B35,'Besi Balok'!$F$23:$F$7253,'REKAP Balok'!P$11)</f>
        <v>41.514024960000008</v>
      </c>
      <c r="Q35" s="282">
        <f>SUMIFS('Besi Balok'!$AA$23:$AA$7253,'Besi Balok'!$A$23:$A$7253,$A35,'Besi Balok'!$B$23:$B$7253,$B35,'Besi Balok'!$F$23:$F$7253,'REKAP Balok'!Q$11)</f>
        <v>0</v>
      </c>
      <c r="R35" s="282">
        <f>SUMIFS('Besi Balok'!$AA$23:$AA$7253,'Besi Balok'!$A$23:$A$7253,$A35,'Besi Balok'!$B$23:$B$7253,$B35,'Besi Balok'!$F$23:$F$7253,'REKAP Balok'!R$11)</f>
        <v>0</v>
      </c>
      <c r="S35" s="282">
        <f>SUMIFS('Besi Balok'!$AA$23:$AA$7253,'Besi Balok'!$A$23:$A$7253,$A35,'Besi Balok'!$B$23:$B$7253,$B35,'Besi Balok'!$F$23:$F$7253,'REKAP Balok'!S$11)</f>
        <v>0</v>
      </c>
      <c r="T35" s="283">
        <f>SUMIFS('Besi Balok'!$AA$23:$AA$7253,'Besi Balok'!$A$23:$A$7253,$A35,'Besi Balok'!$B$23:$B$7253,$B35,'Besi Balok'!$F$23:$F$7253,'REKAP Balok'!T$11)</f>
        <v>0</v>
      </c>
      <c r="U35" s="284">
        <f t="shared" si="8"/>
        <v>52.08034176000001</v>
      </c>
      <c r="V35" s="285">
        <f t="shared" si="9"/>
        <v>0.2</v>
      </c>
      <c r="W35" s="282">
        <f t="shared" si="13"/>
        <v>2</v>
      </c>
      <c r="X35" s="282">
        <v>0</v>
      </c>
      <c r="Y35" s="282">
        <f t="shared" si="10"/>
        <v>0.08</v>
      </c>
      <c r="Z35" s="283">
        <f t="shared" si="11"/>
        <v>0.71999999999999986</v>
      </c>
      <c r="AC35" s="1784">
        <f t="shared" si="12"/>
        <v>0.64</v>
      </c>
    </row>
    <row r="36" spans="1:29" hidden="1">
      <c r="A36" s="272" t="str">
        <f>'Data Panjang Balok'!A32</f>
        <v>Lantai 1</v>
      </c>
      <c r="B36" s="273">
        <f>'Data Panjang Balok'!B32</f>
        <v>22</v>
      </c>
      <c r="C36" s="274" t="str">
        <f>'Data Panjang Balok'!D32</f>
        <v>S24-1</v>
      </c>
      <c r="D36" s="275">
        <f>IF(C36&gt;0,VLOOKUP(C36,'Detail Balok'!$C$11:$AU$140,2,FALSE),0)</f>
        <v>200</v>
      </c>
      <c r="E36" s="276" t="s">
        <v>125</v>
      </c>
      <c r="F36" s="277">
        <f>IF(C36&gt;0,VLOOKUP(C36,'Detail Balok'!$C$11:$AU$140,3,FALSE),0)</f>
        <v>400</v>
      </c>
      <c r="G36" s="278">
        <f>'Data Panjang Balok'!I32</f>
        <v>1600</v>
      </c>
      <c r="H36" s="278">
        <f>'Data Panjang Balok'!J32</f>
        <v>150</v>
      </c>
      <c r="I36" s="279">
        <v>-3.5</v>
      </c>
      <c r="J36" s="279">
        <f t="shared" si="7"/>
        <v>-3.9</v>
      </c>
      <c r="K36" s="280">
        <f>'Data Panjang Balok'!E32</f>
        <v>1</v>
      </c>
      <c r="L36" s="281">
        <f>SUMIFS('Besi Balok'!$AA$23:$AA$7253,'Besi Balok'!$A$23:$A$7253,$A36,'Besi Balok'!$B$23:$B$7253,$B36,'Besi Balok'!$F$23:$F$7253,'REKAP Balok'!L$11)</f>
        <v>0</v>
      </c>
      <c r="M36" s="282">
        <f>SUMIFS('Besi Balok'!$AA$23:$AA$7253,'Besi Balok'!$A$23:$A$7253,$A36,'Besi Balok'!$B$23:$B$7253,$B36,'Besi Balok'!$F$23:$F$7253,'REKAP Balok'!M$11)</f>
        <v>4.8767616000000009</v>
      </c>
      <c r="N36" s="282">
        <f>SUMIFS('Besi Balok'!$AA$23:$AA$7253,'Besi Balok'!$A$23:$A$7253,$A36,'Besi Balok'!$B$23:$B$7253,$B36,'Besi Balok'!$F$23:$F$7253,'REKAP Balok'!N$11)</f>
        <v>0</v>
      </c>
      <c r="O36" s="282">
        <f>SUMIFS('Besi Balok'!$AA$23:$AA$7253,'Besi Balok'!$A$23:$A$7253,$A36,'Besi Balok'!$B$23:$B$7253,$B36,'Besi Balok'!$F$23:$F$7253,'REKAP Balok'!O$11)</f>
        <v>11.95250472</v>
      </c>
      <c r="P36" s="282">
        <f>SUMIFS('Besi Balok'!$AA$23:$AA$7253,'Besi Balok'!$A$23:$A$7253,$A36,'Besi Balok'!$B$23:$B$7253,$B36,'Besi Balok'!$F$23:$F$7253,'REKAP Balok'!P$11)</f>
        <v>0</v>
      </c>
      <c r="Q36" s="282">
        <f>SUMIFS('Besi Balok'!$AA$23:$AA$7253,'Besi Balok'!$A$23:$A$7253,$A36,'Besi Balok'!$B$23:$B$7253,$B36,'Besi Balok'!$F$23:$F$7253,'REKAP Balok'!Q$11)</f>
        <v>0</v>
      </c>
      <c r="R36" s="282">
        <f>SUMIFS('Besi Balok'!$AA$23:$AA$7253,'Besi Balok'!$A$23:$A$7253,$A36,'Besi Balok'!$B$23:$B$7253,$B36,'Besi Balok'!$F$23:$F$7253,'REKAP Balok'!R$11)</f>
        <v>0</v>
      </c>
      <c r="S36" s="282">
        <f>SUMIFS('Besi Balok'!$AA$23:$AA$7253,'Besi Balok'!$A$23:$A$7253,$A36,'Besi Balok'!$B$23:$B$7253,$B36,'Besi Balok'!$F$23:$F$7253,'REKAP Balok'!S$11)</f>
        <v>0</v>
      </c>
      <c r="T36" s="283">
        <f>SUMIFS('Besi Balok'!$AA$23:$AA$7253,'Besi Balok'!$A$23:$A$7253,$A36,'Besi Balok'!$B$23:$B$7253,$B36,'Besi Balok'!$F$23:$F$7253,'REKAP Balok'!T$11)</f>
        <v>0</v>
      </c>
      <c r="U36" s="284">
        <f t="shared" si="8"/>
        <v>16.829266320000002</v>
      </c>
      <c r="V36" s="285">
        <f t="shared" si="9"/>
        <v>0.08</v>
      </c>
      <c r="W36" s="282">
        <f t="shared" si="13"/>
        <v>0.8</v>
      </c>
      <c r="X36" s="282">
        <v>0</v>
      </c>
      <c r="Y36" s="282">
        <f t="shared" si="10"/>
        <v>3.2000000000000001E-2</v>
      </c>
      <c r="Z36" s="283">
        <f t="shared" si="11"/>
        <v>0.28799999999999992</v>
      </c>
      <c r="AC36" s="1784">
        <f t="shared" si="12"/>
        <v>0.25600000000000001</v>
      </c>
    </row>
    <row r="37" spans="1:29" hidden="1">
      <c r="A37" s="272" t="str">
        <f>'Data Panjang Balok'!A33</f>
        <v>Lantai 1</v>
      </c>
      <c r="B37" s="273">
        <f>'Data Panjang Balok'!B33</f>
        <v>23</v>
      </c>
      <c r="C37" s="274" t="str">
        <f>'Data Panjang Balok'!D33</f>
        <v>S24-1</v>
      </c>
      <c r="D37" s="275">
        <f>IF(C37&gt;0,VLOOKUP(C37,'Detail Balok'!$C$11:$AU$140,2,FALSE),0)</f>
        <v>200</v>
      </c>
      <c r="E37" s="276" t="s">
        <v>125</v>
      </c>
      <c r="F37" s="277">
        <f>IF(C37&gt;0,VLOOKUP(C37,'Detail Balok'!$C$11:$AU$140,3,FALSE),0)</f>
        <v>400</v>
      </c>
      <c r="G37" s="278">
        <f>'Data Panjang Balok'!I33</f>
        <v>2200</v>
      </c>
      <c r="H37" s="278">
        <f>'Data Panjang Balok'!J33</f>
        <v>150</v>
      </c>
      <c r="I37" s="279">
        <v>-3.5</v>
      </c>
      <c r="J37" s="279">
        <f t="shared" si="7"/>
        <v>-3.9</v>
      </c>
      <c r="K37" s="280">
        <f>'Data Panjang Balok'!E33</f>
        <v>1</v>
      </c>
      <c r="L37" s="281">
        <f>SUMIFS('Besi Balok'!$AA$23:$AA$7253,'Besi Balok'!$A$23:$A$7253,$A37,'Besi Balok'!$B$23:$B$7253,$B37,'Besi Balok'!$F$23:$F$7253,'REKAP Balok'!L$11)</f>
        <v>0</v>
      </c>
      <c r="M37" s="282">
        <f>SUMIFS('Besi Balok'!$AA$23:$AA$7253,'Besi Balok'!$A$23:$A$7253,$A37,'Besi Balok'!$B$23:$B$7253,$B37,'Besi Balok'!$F$23:$F$7253,'REKAP Balok'!M$11)</f>
        <v>6.0959520000000005</v>
      </c>
      <c r="N37" s="282">
        <f>SUMIFS('Besi Balok'!$AA$23:$AA$7253,'Besi Balok'!$A$23:$A$7253,$A37,'Besi Balok'!$B$23:$B$7253,$B37,'Besi Balok'!$F$23:$F$7253,'REKAP Balok'!N$11)</f>
        <v>0</v>
      </c>
      <c r="O37" s="282">
        <f>SUMIFS('Besi Balok'!$AA$23:$AA$7253,'Besi Balok'!$A$23:$A$7253,$A37,'Besi Balok'!$B$23:$B$7253,$B37,'Besi Balok'!$F$23:$F$7253,'REKAP Balok'!O$11)</f>
        <v>15.70329072</v>
      </c>
      <c r="P37" s="282">
        <f>SUMIFS('Besi Balok'!$AA$23:$AA$7253,'Besi Balok'!$A$23:$A$7253,$A37,'Besi Balok'!$B$23:$B$7253,$B37,'Besi Balok'!$F$23:$F$7253,'REKAP Balok'!P$11)</f>
        <v>0</v>
      </c>
      <c r="Q37" s="282">
        <f>SUMIFS('Besi Balok'!$AA$23:$AA$7253,'Besi Balok'!$A$23:$A$7253,$A37,'Besi Balok'!$B$23:$B$7253,$B37,'Besi Balok'!$F$23:$F$7253,'REKAP Balok'!Q$11)</f>
        <v>0</v>
      </c>
      <c r="R37" s="282">
        <f>SUMIFS('Besi Balok'!$AA$23:$AA$7253,'Besi Balok'!$A$23:$A$7253,$A37,'Besi Balok'!$B$23:$B$7253,$B37,'Besi Balok'!$F$23:$F$7253,'REKAP Balok'!R$11)</f>
        <v>0</v>
      </c>
      <c r="S37" s="282">
        <f>SUMIFS('Besi Balok'!$AA$23:$AA$7253,'Besi Balok'!$A$23:$A$7253,$A37,'Besi Balok'!$B$23:$B$7253,$B37,'Besi Balok'!$F$23:$F$7253,'REKAP Balok'!S$11)</f>
        <v>0</v>
      </c>
      <c r="T37" s="283">
        <f>SUMIFS('Besi Balok'!$AA$23:$AA$7253,'Besi Balok'!$A$23:$A$7253,$A37,'Besi Balok'!$B$23:$B$7253,$B37,'Besi Balok'!$F$23:$F$7253,'REKAP Balok'!T$11)</f>
        <v>0</v>
      </c>
      <c r="U37" s="284">
        <f t="shared" si="8"/>
        <v>21.799242720000002</v>
      </c>
      <c r="V37" s="285">
        <f t="shared" si="9"/>
        <v>0.11</v>
      </c>
      <c r="W37" s="282">
        <f t="shared" si="13"/>
        <v>1.1000000000000001</v>
      </c>
      <c r="X37" s="282">
        <v>0</v>
      </c>
      <c r="Y37" s="282">
        <f t="shared" si="10"/>
        <v>4.3999999999999997E-2</v>
      </c>
      <c r="Z37" s="283">
        <f t="shared" si="11"/>
        <v>0.39599999999999996</v>
      </c>
      <c r="AC37" s="1784">
        <f t="shared" si="12"/>
        <v>0.35199999999999998</v>
      </c>
    </row>
    <row r="38" spans="1:29" hidden="1">
      <c r="A38" s="272" t="str">
        <f>'Data Panjang Balok'!A34</f>
        <v>Lantai 1</v>
      </c>
      <c r="B38" s="273">
        <f>'Data Panjang Balok'!B34</f>
        <v>24</v>
      </c>
      <c r="C38" s="274" t="str">
        <f>'Data Panjang Balok'!D34</f>
        <v>S24-1</v>
      </c>
      <c r="D38" s="275">
        <f>IF(C38&gt;0,VLOOKUP(C38,'Detail Balok'!$C$11:$AU$140,2,FALSE),0)</f>
        <v>200</v>
      </c>
      <c r="E38" s="276" t="s">
        <v>125</v>
      </c>
      <c r="F38" s="277">
        <f>IF(C38&gt;0,VLOOKUP(C38,'Detail Balok'!$C$11:$AU$140,3,FALSE),0)</f>
        <v>400</v>
      </c>
      <c r="G38" s="278">
        <f>'Data Panjang Balok'!I34</f>
        <v>1675</v>
      </c>
      <c r="H38" s="278">
        <f>'Data Panjang Balok'!J34</f>
        <v>150</v>
      </c>
      <c r="I38" s="279">
        <v>-3.5</v>
      </c>
      <c r="J38" s="279">
        <f t="shared" si="7"/>
        <v>-3.9</v>
      </c>
      <c r="K38" s="280">
        <f>'Data Panjang Balok'!E34</f>
        <v>1</v>
      </c>
      <c r="L38" s="281">
        <f>SUMIFS('Besi Balok'!$AA$23:$AA$7253,'Besi Balok'!$A$23:$A$7253,$A38,'Besi Balok'!$B$23:$B$7253,$B38,'Besi Balok'!$F$23:$F$7253,'REKAP Balok'!L$11)</f>
        <v>0</v>
      </c>
      <c r="M38" s="282">
        <f>SUMIFS('Besi Balok'!$AA$23:$AA$7253,'Besi Balok'!$A$23:$A$7253,$A38,'Besi Balok'!$B$23:$B$7253,$B38,'Besi Balok'!$F$23:$F$7253,'REKAP Balok'!M$11)</f>
        <v>4.8767616000000009</v>
      </c>
      <c r="N38" s="282">
        <f>SUMIFS('Besi Balok'!$AA$23:$AA$7253,'Besi Balok'!$A$23:$A$7253,$A38,'Besi Balok'!$B$23:$B$7253,$B38,'Besi Balok'!$F$23:$F$7253,'REKAP Balok'!N$11)</f>
        <v>0</v>
      </c>
      <c r="O38" s="282">
        <f>SUMIFS('Besi Balok'!$AA$23:$AA$7253,'Besi Balok'!$A$23:$A$7253,$A38,'Besi Balok'!$B$23:$B$7253,$B38,'Besi Balok'!$F$23:$F$7253,'REKAP Balok'!O$11)</f>
        <v>12.421352969999999</v>
      </c>
      <c r="P38" s="282">
        <f>SUMIFS('Besi Balok'!$AA$23:$AA$7253,'Besi Balok'!$A$23:$A$7253,$A38,'Besi Balok'!$B$23:$B$7253,$B38,'Besi Balok'!$F$23:$F$7253,'REKAP Balok'!P$11)</f>
        <v>0</v>
      </c>
      <c r="Q38" s="282">
        <f>SUMIFS('Besi Balok'!$AA$23:$AA$7253,'Besi Balok'!$A$23:$A$7253,$A38,'Besi Balok'!$B$23:$B$7253,$B38,'Besi Balok'!$F$23:$F$7253,'REKAP Balok'!Q$11)</f>
        <v>0</v>
      </c>
      <c r="R38" s="282">
        <f>SUMIFS('Besi Balok'!$AA$23:$AA$7253,'Besi Balok'!$A$23:$A$7253,$A38,'Besi Balok'!$B$23:$B$7253,$B38,'Besi Balok'!$F$23:$F$7253,'REKAP Balok'!R$11)</f>
        <v>0</v>
      </c>
      <c r="S38" s="282">
        <f>SUMIFS('Besi Balok'!$AA$23:$AA$7253,'Besi Balok'!$A$23:$A$7253,$A38,'Besi Balok'!$B$23:$B$7253,$B38,'Besi Balok'!$F$23:$F$7253,'REKAP Balok'!S$11)</f>
        <v>0</v>
      </c>
      <c r="T38" s="283">
        <f>SUMIFS('Besi Balok'!$AA$23:$AA$7253,'Besi Balok'!$A$23:$A$7253,$A38,'Besi Balok'!$B$23:$B$7253,$B38,'Besi Balok'!$F$23:$F$7253,'REKAP Balok'!T$11)</f>
        <v>0</v>
      </c>
      <c r="U38" s="284">
        <f t="shared" si="8"/>
        <v>17.298114569999999</v>
      </c>
      <c r="V38" s="285">
        <f t="shared" si="9"/>
        <v>8.3750000000000005E-2</v>
      </c>
      <c r="W38" s="282">
        <f t="shared" si="13"/>
        <v>0.83750000000000002</v>
      </c>
      <c r="X38" s="282">
        <v>0</v>
      </c>
      <c r="Y38" s="282">
        <f t="shared" si="10"/>
        <v>3.3500000000000002E-2</v>
      </c>
      <c r="Z38" s="283">
        <f t="shared" si="11"/>
        <v>0.30149999999999993</v>
      </c>
      <c r="AC38" s="1784">
        <f t="shared" si="12"/>
        <v>0.26800000000000002</v>
      </c>
    </row>
    <row r="39" spans="1:29">
      <c r="A39" s="272" t="str">
        <f>'Data Panjang Balok'!A35</f>
        <v>Lantai 1</v>
      </c>
      <c r="B39" s="273">
        <f>'Data Panjang Balok'!B35</f>
        <v>25</v>
      </c>
      <c r="C39" s="274" t="str">
        <f>'Data Panjang Balok'!D35</f>
        <v>S25-1</v>
      </c>
      <c r="D39" s="275">
        <f>IF(C39&gt;0,VLOOKUP(C39,'Detail Balok'!$C$11:$AU$140,2,FALSE),0)</f>
        <v>200</v>
      </c>
      <c r="E39" s="276" t="s">
        <v>125</v>
      </c>
      <c r="F39" s="277">
        <f>IF(C39&gt;0,VLOOKUP(C39,'Detail Balok'!$C$11:$AU$140,3,FALSE),0)</f>
        <v>500</v>
      </c>
      <c r="G39" s="278">
        <f>'Data Panjang Balok'!I35</f>
        <v>11000</v>
      </c>
      <c r="H39" s="278">
        <f>'Data Panjang Balok'!J35</f>
        <v>150</v>
      </c>
      <c r="I39" s="279">
        <v>-3.5</v>
      </c>
      <c r="J39" s="279">
        <f t="shared" si="7"/>
        <v>-4</v>
      </c>
      <c r="K39" s="280">
        <f>'Data Panjang Balok'!E35</f>
        <v>1</v>
      </c>
      <c r="L39" s="281">
        <f>SUMIFS('Besi Balok'!$AA$23:$AA$7253,'Besi Balok'!$A$23:$A$7253,$A39,'Besi Balok'!$B$23:$B$7253,$B39,'Besi Balok'!$F$23:$F$7253,'REKAP Balok'!L$11)</f>
        <v>0</v>
      </c>
      <c r="M39" s="282">
        <f>SUMIFS('Besi Balok'!$AA$23:$AA$7253,'Besi Balok'!$A$23:$A$7253,$A39,'Besi Balok'!$B$23:$B$7253,$B39,'Besi Balok'!$F$23:$F$7253,'REKAP Balok'!M$11)</f>
        <v>32.030380800000003</v>
      </c>
      <c r="N39" s="282">
        <f>SUMIFS('Besi Balok'!$AA$23:$AA$7253,'Besi Balok'!$A$23:$A$7253,$A39,'Besi Balok'!$B$23:$B$7253,$B39,'Besi Balok'!$F$23:$F$7253,'REKAP Balok'!N$11)</f>
        <v>13.858920000000001</v>
      </c>
      <c r="O39" s="282">
        <f>SUMIFS('Besi Balok'!$AA$23:$AA$7253,'Besi Balok'!$A$23:$A$7253,$A39,'Besi Balok'!$B$23:$B$7253,$B39,'Besi Balok'!$F$23:$F$7253,'REKAP Balok'!O$11)</f>
        <v>0</v>
      </c>
      <c r="P39" s="282">
        <f>SUMIFS('Besi Balok'!$AA$23:$AA$7253,'Besi Balok'!$A$23:$A$7253,$A39,'Besi Balok'!$B$23:$B$7253,$B39,'Besi Balok'!$F$23:$F$7253,'REKAP Balok'!P$11)</f>
        <v>107.80010496</v>
      </c>
      <c r="Q39" s="282">
        <f>SUMIFS('Besi Balok'!$AA$23:$AA$7253,'Besi Balok'!$A$23:$A$7253,$A39,'Besi Balok'!$B$23:$B$7253,$B39,'Besi Balok'!$F$23:$F$7253,'REKAP Balok'!Q$11)</f>
        <v>0</v>
      </c>
      <c r="R39" s="282">
        <f>SUMIFS('Besi Balok'!$AA$23:$AA$7253,'Besi Balok'!$A$23:$A$7253,$A39,'Besi Balok'!$B$23:$B$7253,$B39,'Besi Balok'!$F$23:$F$7253,'REKAP Balok'!R$11)</f>
        <v>0</v>
      </c>
      <c r="S39" s="282">
        <f>SUMIFS('Besi Balok'!$AA$23:$AA$7253,'Besi Balok'!$A$23:$A$7253,$A39,'Besi Balok'!$B$23:$B$7253,$B39,'Besi Balok'!$F$23:$F$7253,'REKAP Balok'!S$11)</f>
        <v>0</v>
      </c>
      <c r="T39" s="283">
        <f>SUMIFS('Besi Balok'!$AA$23:$AA$7253,'Besi Balok'!$A$23:$A$7253,$A39,'Besi Balok'!$B$23:$B$7253,$B39,'Besi Balok'!$F$23:$F$7253,'REKAP Balok'!T$11)</f>
        <v>0</v>
      </c>
      <c r="U39" s="284">
        <f t="shared" si="8"/>
        <v>153.68940576</v>
      </c>
      <c r="V39" s="285">
        <f t="shared" si="9"/>
        <v>0.77</v>
      </c>
      <c r="W39" s="282">
        <f t="shared" si="13"/>
        <v>7.7</v>
      </c>
      <c r="X39" s="282">
        <v>0</v>
      </c>
      <c r="Y39" s="282">
        <f t="shared" si="10"/>
        <v>0.22</v>
      </c>
      <c r="Z39" s="283">
        <f t="shared" si="11"/>
        <v>2.4200000000000004</v>
      </c>
      <c r="AB39" s="246">
        <f>U39/V39</f>
        <v>199.59663085714286</v>
      </c>
      <c r="AC39" s="1784">
        <f t="shared" si="12"/>
        <v>2.2000000000000002</v>
      </c>
    </row>
    <row r="40" spans="1:29" hidden="1">
      <c r="A40" s="272" t="str">
        <f>'Data Panjang Balok'!A36</f>
        <v>Lantai 1</v>
      </c>
      <c r="B40" s="273">
        <f>'Data Panjang Balok'!B36</f>
        <v>26</v>
      </c>
      <c r="C40" s="274" t="str">
        <f>'Data Panjang Balok'!D36</f>
        <v>S36-1</v>
      </c>
      <c r="D40" s="275">
        <f>IF(C40&gt;0,VLOOKUP(C40,'Detail Balok'!$C$11:$AU$140,2,FALSE),0)</f>
        <v>300</v>
      </c>
      <c r="E40" s="276" t="s">
        <v>125</v>
      </c>
      <c r="F40" s="277">
        <f>IF(C40&gt;0,VLOOKUP(C40,'Detail Balok'!$C$11:$AU$140,3,FALSE),0)</f>
        <v>600</v>
      </c>
      <c r="G40" s="278">
        <f>'Data Panjang Balok'!I36</f>
        <v>6150</v>
      </c>
      <c r="H40" s="278">
        <f>'Data Panjang Balok'!J36</f>
        <v>150</v>
      </c>
      <c r="I40" s="279">
        <v>-3.5</v>
      </c>
      <c r="J40" s="279">
        <f t="shared" si="7"/>
        <v>-4.0999999999999996</v>
      </c>
      <c r="K40" s="280">
        <f>'Data Panjang Balok'!E36</f>
        <v>1</v>
      </c>
      <c r="L40" s="281">
        <f>SUMIFS('Besi Balok'!$AA$23:$AA$7253,'Besi Balok'!$A$23:$A$7253,$A40,'Besi Balok'!$B$23:$B$7253,$B40,'Besi Balok'!$F$23:$F$7253,'REKAP Balok'!L$11)</f>
        <v>0</v>
      </c>
      <c r="M40" s="282">
        <f>SUMIFS('Besi Balok'!$AA$23:$AA$7253,'Besi Balok'!$A$23:$A$7253,$A40,'Besi Balok'!$B$23:$B$7253,$B40,'Besi Balok'!$F$23:$F$7253,'REKAP Balok'!M$11)</f>
        <v>23.795913599999999</v>
      </c>
      <c r="N40" s="282">
        <f>SUMIFS('Besi Balok'!$AA$23:$AA$7253,'Besi Balok'!$A$23:$A$7253,$A40,'Besi Balok'!$B$23:$B$7253,$B40,'Besi Balok'!$F$23:$F$7253,'REKAP Balok'!N$11)</f>
        <v>7.8788700000000009</v>
      </c>
      <c r="O40" s="282">
        <f>SUMIFS('Besi Balok'!$AA$23:$AA$7253,'Besi Balok'!$A$23:$A$7253,$A40,'Besi Balok'!$B$23:$B$7253,$B40,'Besi Balok'!$F$23:$F$7253,'REKAP Balok'!O$11)</f>
        <v>0</v>
      </c>
      <c r="P40" s="282">
        <f>SUMIFS('Besi Balok'!$AA$23:$AA$7253,'Besi Balok'!$A$23:$A$7253,$A40,'Besi Balok'!$B$23:$B$7253,$B40,'Besi Balok'!$F$23:$F$7253,'REKAP Balok'!P$11)</f>
        <v>82.497761280000006</v>
      </c>
      <c r="Q40" s="282">
        <f>SUMIFS('Besi Balok'!$AA$23:$AA$7253,'Besi Balok'!$A$23:$A$7253,$A40,'Besi Balok'!$B$23:$B$7253,$B40,'Besi Balok'!$F$23:$F$7253,'REKAP Balok'!Q$11)</f>
        <v>0</v>
      </c>
      <c r="R40" s="282">
        <f>SUMIFS('Besi Balok'!$AA$23:$AA$7253,'Besi Balok'!$A$23:$A$7253,$A40,'Besi Balok'!$B$23:$B$7253,$B40,'Besi Balok'!$F$23:$F$7253,'REKAP Balok'!R$11)</f>
        <v>0</v>
      </c>
      <c r="S40" s="282">
        <f>SUMIFS('Besi Balok'!$AA$23:$AA$7253,'Besi Balok'!$A$23:$A$7253,$A40,'Besi Balok'!$B$23:$B$7253,$B40,'Besi Balok'!$F$23:$F$7253,'REKAP Balok'!S$11)</f>
        <v>0</v>
      </c>
      <c r="T40" s="283">
        <f>SUMIFS('Besi Balok'!$AA$23:$AA$7253,'Besi Balok'!$A$23:$A$7253,$A40,'Besi Balok'!$B$23:$B$7253,$B40,'Besi Balok'!$F$23:$F$7253,'REKAP Balok'!T$11)</f>
        <v>0</v>
      </c>
      <c r="U40" s="284">
        <f t="shared" si="8"/>
        <v>114.17254488</v>
      </c>
      <c r="V40" s="285">
        <f t="shared" si="9"/>
        <v>0.83025000000000004</v>
      </c>
      <c r="W40" s="282">
        <f t="shared" si="13"/>
        <v>5.5350000000000001</v>
      </c>
      <c r="X40" s="282">
        <v>0</v>
      </c>
      <c r="Y40" s="282">
        <f t="shared" si="10"/>
        <v>0.15375</v>
      </c>
      <c r="Z40" s="283">
        <f t="shared" si="11"/>
        <v>1.9987499999999989</v>
      </c>
      <c r="AC40" s="1784">
        <f t="shared" si="12"/>
        <v>1.845</v>
      </c>
    </row>
    <row r="41" spans="1:29" hidden="1">
      <c r="A41" s="272" t="str">
        <f>'Data Panjang Balok'!A37</f>
        <v>Lantai 1</v>
      </c>
      <c r="B41" s="273">
        <f>'Data Panjang Balok'!B37</f>
        <v>27</v>
      </c>
      <c r="C41" s="274" t="str">
        <f>'Data Panjang Balok'!D37</f>
        <v>S24-1</v>
      </c>
      <c r="D41" s="275">
        <f>IF(C41&gt;0,VLOOKUP(C41,'Detail Balok'!$C$11:$AU$140,2,FALSE),0)</f>
        <v>200</v>
      </c>
      <c r="E41" s="276" t="s">
        <v>125</v>
      </c>
      <c r="F41" s="277">
        <f>IF(C41&gt;0,VLOOKUP(C41,'Detail Balok'!$C$11:$AU$140,3,FALSE),0)</f>
        <v>400</v>
      </c>
      <c r="G41" s="278">
        <f>'Data Panjang Balok'!I37</f>
        <v>2390</v>
      </c>
      <c r="H41" s="278">
        <f>'Data Panjang Balok'!J37</f>
        <v>150</v>
      </c>
      <c r="I41" s="279">
        <v>-3.5</v>
      </c>
      <c r="J41" s="279">
        <f t="shared" si="7"/>
        <v>-3.9</v>
      </c>
      <c r="K41" s="280">
        <f>'Data Panjang Balok'!E37</f>
        <v>1</v>
      </c>
      <c r="L41" s="281">
        <f>SUMIFS('Besi Balok'!$AA$23:$AA$7253,'Besi Balok'!$A$23:$A$7253,$A41,'Besi Balok'!$B$23:$B$7253,$B41,'Besi Balok'!$F$23:$F$7253,'REKAP Balok'!L$11)</f>
        <v>0</v>
      </c>
      <c r="M41" s="282">
        <f>SUMIFS('Besi Balok'!$AA$23:$AA$7253,'Besi Balok'!$A$23:$A$7253,$A41,'Besi Balok'!$B$23:$B$7253,$B41,'Besi Balok'!$F$23:$F$7253,'REKAP Balok'!M$11)</f>
        <v>6.5023488000000018</v>
      </c>
      <c r="N41" s="282">
        <f>SUMIFS('Besi Balok'!$AA$23:$AA$7253,'Besi Balok'!$A$23:$A$7253,$A41,'Besi Balok'!$B$23:$B$7253,$B41,'Besi Balok'!$F$23:$F$7253,'REKAP Balok'!N$11)</f>
        <v>0</v>
      </c>
      <c r="O41" s="282">
        <f>SUMIFS('Besi Balok'!$AA$23:$AA$7253,'Besi Balok'!$A$23:$A$7253,$A41,'Besi Balok'!$B$23:$B$7253,$B41,'Besi Balok'!$F$23:$F$7253,'REKAP Balok'!O$11)</f>
        <v>16.891039620000001</v>
      </c>
      <c r="P41" s="282">
        <f>SUMIFS('Besi Balok'!$AA$23:$AA$7253,'Besi Balok'!$A$23:$A$7253,$A41,'Besi Balok'!$B$23:$B$7253,$B41,'Besi Balok'!$F$23:$F$7253,'REKAP Balok'!P$11)</f>
        <v>0</v>
      </c>
      <c r="Q41" s="282">
        <f>SUMIFS('Besi Balok'!$AA$23:$AA$7253,'Besi Balok'!$A$23:$A$7253,$A41,'Besi Balok'!$B$23:$B$7253,$B41,'Besi Balok'!$F$23:$F$7253,'REKAP Balok'!Q$11)</f>
        <v>0</v>
      </c>
      <c r="R41" s="282">
        <f>SUMIFS('Besi Balok'!$AA$23:$AA$7253,'Besi Balok'!$A$23:$A$7253,$A41,'Besi Balok'!$B$23:$B$7253,$B41,'Besi Balok'!$F$23:$F$7253,'REKAP Balok'!R$11)</f>
        <v>0</v>
      </c>
      <c r="S41" s="282">
        <f>SUMIFS('Besi Balok'!$AA$23:$AA$7253,'Besi Balok'!$A$23:$A$7253,$A41,'Besi Balok'!$B$23:$B$7253,$B41,'Besi Balok'!$F$23:$F$7253,'REKAP Balok'!S$11)</f>
        <v>0</v>
      </c>
      <c r="T41" s="283">
        <f>SUMIFS('Besi Balok'!$AA$23:$AA$7253,'Besi Balok'!$A$23:$A$7253,$A41,'Besi Balok'!$B$23:$B$7253,$B41,'Besi Balok'!$F$23:$F$7253,'REKAP Balok'!T$11)</f>
        <v>0</v>
      </c>
      <c r="U41" s="284">
        <f t="shared" si="8"/>
        <v>23.393388420000001</v>
      </c>
      <c r="V41" s="285">
        <f t="shared" si="9"/>
        <v>0.1195</v>
      </c>
      <c r="W41" s="282">
        <f t="shared" si="13"/>
        <v>1.1950000000000001</v>
      </c>
      <c r="X41" s="282">
        <v>0</v>
      </c>
      <c r="Y41" s="282">
        <f t="shared" si="10"/>
        <v>4.7800000000000002E-2</v>
      </c>
      <c r="Z41" s="283">
        <f t="shared" si="11"/>
        <v>0.43019999999999992</v>
      </c>
      <c r="AC41" s="1784">
        <f t="shared" si="12"/>
        <v>0.38240000000000002</v>
      </c>
    </row>
    <row r="42" spans="1:29" hidden="1">
      <c r="A42" s="272" t="str">
        <f>'Data Panjang Balok'!A38</f>
        <v>Lantai 1</v>
      </c>
      <c r="B42" s="273">
        <f>'Data Panjang Balok'!B38</f>
        <v>28</v>
      </c>
      <c r="C42" s="274" t="str">
        <f>'Data Panjang Balok'!D38</f>
        <v>S24-1</v>
      </c>
      <c r="D42" s="275">
        <f>IF(C42&gt;0,VLOOKUP(C42,'Detail Balok'!$C$11:$AU$140,2,FALSE),0)</f>
        <v>200</v>
      </c>
      <c r="E42" s="276" t="s">
        <v>125</v>
      </c>
      <c r="F42" s="277">
        <f>IF(C42&gt;0,VLOOKUP(C42,'Detail Balok'!$C$11:$AU$140,3,FALSE),0)</f>
        <v>400</v>
      </c>
      <c r="G42" s="278">
        <f>'Data Panjang Balok'!I38</f>
        <v>2650</v>
      </c>
      <c r="H42" s="278">
        <f>'Data Panjang Balok'!J38</f>
        <v>150</v>
      </c>
      <c r="I42" s="279">
        <v>-3.5</v>
      </c>
      <c r="J42" s="279">
        <f t="shared" si="7"/>
        <v>-3.9</v>
      </c>
      <c r="K42" s="280">
        <f>'Data Panjang Balok'!E38</f>
        <v>1</v>
      </c>
      <c r="L42" s="281">
        <f>SUMIFS('Besi Balok'!$AA$23:$AA$7253,'Besi Balok'!$A$23:$A$7253,$A42,'Besi Balok'!$B$23:$B$7253,$B42,'Besi Balok'!$F$23:$F$7253,'REKAP Balok'!L$11)</f>
        <v>0</v>
      </c>
      <c r="M42" s="282">
        <f>SUMIFS('Besi Balok'!$AA$23:$AA$7253,'Besi Balok'!$A$23:$A$7253,$A42,'Besi Balok'!$B$23:$B$7253,$B42,'Besi Balok'!$F$23:$F$7253,'REKAP Balok'!M$11)</f>
        <v>6.9087456000000014</v>
      </c>
      <c r="N42" s="282">
        <f>SUMIFS('Besi Balok'!$AA$23:$AA$7253,'Besi Balok'!$A$23:$A$7253,$A42,'Besi Balok'!$B$23:$B$7253,$B42,'Besi Balok'!$F$23:$F$7253,'REKAP Balok'!N$11)</f>
        <v>0</v>
      </c>
      <c r="O42" s="282">
        <f>SUMIFS('Besi Balok'!$AA$23:$AA$7253,'Besi Balok'!$A$23:$A$7253,$A42,'Besi Balok'!$B$23:$B$7253,$B42,'Besi Balok'!$F$23:$F$7253,'REKAP Balok'!O$11)</f>
        <v>18.516380219999999</v>
      </c>
      <c r="P42" s="282">
        <f>SUMIFS('Besi Balok'!$AA$23:$AA$7253,'Besi Balok'!$A$23:$A$7253,$A42,'Besi Balok'!$B$23:$B$7253,$B42,'Besi Balok'!$F$23:$F$7253,'REKAP Balok'!P$11)</f>
        <v>0</v>
      </c>
      <c r="Q42" s="282">
        <f>SUMIFS('Besi Balok'!$AA$23:$AA$7253,'Besi Balok'!$A$23:$A$7253,$A42,'Besi Balok'!$B$23:$B$7253,$B42,'Besi Balok'!$F$23:$F$7253,'REKAP Balok'!Q$11)</f>
        <v>0</v>
      </c>
      <c r="R42" s="282">
        <f>SUMIFS('Besi Balok'!$AA$23:$AA$7253,'Besi Balok'!$A$23:$A$7253,$A42,'Besi Balok'!$B$23:$B$7253,$B42,'Besi Balok'!$F$23:$F$7253,'REKAP Balok'!R$11)</f>
        <v>0</v>
      </c>
      <c r="S42" s="282">
        <f>SUMIFS('Besi Balok'!$AA$23:$AA$7253,'Besi Balok'!$A$23:$A$7253,$A42,'Besi Balok'!$B$23:$B$7253,$B42,'Besi Balok'!$F$23:$F$7253,'REKAP Balok'!S$11)</f>
        <v>0</v>
      </c>
      <c r="T42" s="283">
        <f>SUMIFS('Besi Balok'!$AA$23:$AA$7253,'Besi Balok'!$A$23:$A$7253,$A42,'Besi Balok'!$B$23:$B$7253,$B42,'Besi Balok'!$F$23:$F$7253,'REKAP Balok'!T$11)</f>
        <v>0</v>
      </c>
      <c r="U42" s="284">
        <f t="shared" si="8"/>
        <v>25.425125819999998</v>
      </c>
      <c r="V42" s="285">
        <f t="shared" si="9"/>
        <v>0.13250000000000001</v>
      </c>
      <c r="W42" s="282">
        <f t="shared" si="13"/>
        <v>1.325</v>
      </c>
      <c r="X42" s="282">
        <v>0</v>
      </c>
      <c r="Y42" s="282">
        <f t="shared" si="10"/>
        <v>5.2999999999999999E-2</v>
      </c>
      <c r="Z42" s="283">
        <f t="shared" si="11"/>
        <v>0.47699999999999992</v>
      </c>
      <c r="AC42" s="1784">
        <f t="shared" si="12"/>
        <v>0.42399999999999999</v>
      </c>
    </row>
    <row r="43" spans="1:29" hidden="1">
      <c r="A43" s="272" t="str">
        <f>'Data Panjang Balok'!A39</f>
        <v>Lantai 1</v>
      </c>
      <c r="B43" s="273">
        <f>'Data Panjang Balok'!B39</f>
        <v>29</v>
      </c>
      <c r="C43" s="274" t="str">
        <f>'Data Panjang Balok'!D39</f>
        <v>S24-1</v>
      </c>
      <c r="D43" s="275">
        <f>IF(C43&gt;0,VLOOKUP(C43,'Detail Balok'!$C$11:$AU$140,2,FALSE),0)</f>
        <v>200</v>
      </c>
      <c r="E43" s="276" t="s">
        <v>125</v>
      </c>
      <c r="F43" s="277">
        <f>IF(C43&gt;0,VLOOKUP(C43,'Detail Balok'!$C$11:$AU$140,3,FALSE),0)</f>
        <v>400</v>
      </c>
      <c r="G43" s="278">
        <f>'Data Panjang Balok'!I39</f>
        <v>2890</v>
      </c>
      <c r="H43" s="278">
        <f>'Data Panjang Balok'!J39</f>
        <v>0</v>
      </c>
      <c r="I43" s="279">
        <v>-3.5</v>
      </c>
      <c r="J43" s="279">
        <f t="shared" si="7"/>
        <v>-3.9</v>
      </c>
      <c r="K43" s="280">
        <f>'Data Panjang Balok'!E39</f>
        <v>1</v>
      </c>
      <c r="L43" s="281">
        <f>SUMIFS('Besi Balok'!$AA$23:$AA$7253,'Besi Balok'!$A$23:$A$7253,$A43,'Besi Balok'!$B$23:$B$7253,$B43,'Besi Balok'!$F$23:$F$7253,'REKAP Balok'!L$11)</f>
        <v>0</v>
      </c>
      <c r="M43" s="282">
        <f>SUMIFS('Besi Balok'!$AA$23:$AA$7253,'Besi Balok'!$A$23:$A$7253,$A43,'Besi Balok'!$B$23:$B$7253,$B43,'Besi Balok'!$F$23:$F$7253,'REKAP Balok'!M$11)</f>
        <v>7.3151424000000009</v>
      </c>
      <c r="N43" s="282">
        <f>SUMIFS('Besi Balok'!$AA$23:$AA$7253,'Besi Balok'!$A$23:$A$7253,$A43,'Besi Balok'!$B$23:$B$7253,$B43,'Besi Balok'!$F$23:$F$7253,'REKAP Balok'!N$11)</f>
        <v>0</v>
      </c>
      <c r="O43" s="282">
        <f>SUMIFS('Besi Balok'!$AA$23:$AA$7253,'Besi Balok'!$A$23:$A$7253,$A43,'Besi Balok'!$B$23:$B$7253,$B43,'Besi Balok'!$F$23:$F$7253,'REKAP Balok'!O$11)</f>
        <v>20.016694619999999</v>
      </c>
      <c r="P43" s="282">
        <f>SUMIFS('Besi Balok'!$AA$23:$AA$7253,'Besi Balok'!$A$23:$A$7253,$A43,'Besi Balok'!$B$23:$B$7253,$B43,'Besi Balok'!$F$23:$F$7253,'REKAP Balok'!P$11)</f>
        <v>0</v>
      </c>
      <c r="Q43" s="282">
        <f>SUMIFS('Besi Balok'!$AA$23:$AA$7253,'Besi Balok'!$A$23:$A$7253,$A43,'Besi Balok'!$B$23:$B$7253,$B43,'Besi Balok'!$F$23:$F$7253,'REKAP Balok'!Q$11)</f>
        <v>0</v>
      </c>
      <c r="R43" s="282">
        <f>SUMIFS('Besi Balok'!$AA$23:$AA$7253,'Besi Balok'!$A$23:$A$7253,$A43,'Besi Balok'!$B$23:$B$7253,$B43,'Besi Balok'!$F$23:$F$7253,'REKAP Balok'!R$11)</f>
        <v>0</v>
      </c>
      <c r="S43" s="282">
        <f>SUMIFS('Besi Balok'!$AA$23:$AA$7253,'Besi Balok'!$A$23:$A$7253,$A43,'Besi Balok'!$B$23:$B$7253,$B43,'Besi Balok'!$F$23:$F$7253,'REKAP Balok'!S$11)</f>
        <v>0</v>
      </c>
      <c r="T43" s="283">
        <f>SUMIFS('Besi Balok'!$AA$23:$AA$7253,'Besi Balok'!$A$23:$A$7253,$A43,'Besi Balok'!$B$23:$B$7253,$B43,'Besi Balok'!$F$23:$F$7253,'REKAP Balok'!T$11)</f>
        <v>0</v>
      </c>
      <c r="U43" s="284">
        <f t="shared" si="8"/>
        <v>27.331837020000002</v>
      </c>
      <c r="V43" s="285">
        <f t="shared" si="9"/>
        <v>0.23119999999999999</v>
      </c>
      <c r="W43" s="282">
        <f t="shared" si="13"/>
        <v>2.3119999999999998</v>
      </c>
      <c r="X43" s="282">
        <v>0</v>
      </c>
      <c r="Y43" s="282">
        <f t="shared" si="10"/>
        <v>5.7799999999999997E-2</v>
      </c>
      <c r="Z43" s="283">
        <f t="shared" si="11"/>
        <v>0.5202</v>
      </c>
      <c r="AC43" s="1784">
        <f t="shared" si="12"/>
        <v>0.46239999999999998</v>
      </c>
    </row>
    <row r="44" spans="1:29" hidden="1">
      <c r="A44" s="272" t="str">
        <f>'Data Panjang Balok'!A40</f>
        <v>Lantai 1</v>
      </c>
      <c r="B44" s="273">
        <f>'Data Panjang Balok'!B40</f>
        <v>30</v>
      </c>
      <c r="C44" s="274" t="str">
        <f>'Data Panjang Balok'!D40</f>
        <v>S24-1</v>
      </c>
      <c r="D44" s="275">
        <f>IF(C44&gt;0,VLOOKUP(C44,'Detail Balok'!$C$11:$AU$140,2,FALSE),0)</f>
        <v>200</v>
      </c>
      <c r="E44" s="276" t="s">
        <v>125</v>
      </c>
      <c r="F44" s="277">
        <f>IF(C44&gt;0,VLOOKUP(C44,'Detail Balok'!$C$11:$AU$140,3,FALSE),0)</f>
        <v>400</v>
      </c>
      <c r="G44" s="278">
        <f>'Data Panjang Balok'!I40</f>
        <v>2120</v>
      </c>
      <c r="H44" s="278">
        <f>'Data Panjang Balok'!J40</f>
        <v>150</v>
      </c>
      <c r="I44" s="279">
        <v>-3.5</v>
      </c>
      <c r="J44" s="279">
        <f t="shared" si="7"/>
        <v>-3.9</v>
      </c>
      <c r="K44" s="280">
        <f>'Data Panjang Balok'!E40</f>
        <v>1</v>
      </c>
      <c r="L44" s="281">
        <f>SUMIFS('Besi Balok'!$AA$23:$AA$7253,'Besi Balok'!$A$23:$A$7253,$A44,'Besi Balok'!$B$23:$B$7253,$B44,'Besi Balok'!$F$23:$F$7253,'REKAP Balok'!L$11)</f>
        <v>0</v>
      </c>
      <c r="M44" s="282">
        <f>SUMIFS('Besi Balok'!$AA$23:$AA$7253,'Besi Balok'!$A$23:$A$7253,$A44,'Besi Balok'!$B$23:$B$7253,$B44,'Besi Balok'!$F$23:$F$7253,'REKAP Balok'!M$11)</f>
        <v>6.0959520000000005</v>
      </c>
      <c r="N44" s="282">
        <f>SUMIFS('Besi Balok'!$AA$23:$AA$7253,'Besi Balok'!$A$23:$A$7253,$A44,'Besi Balok'!$B$23:$B$7253,$B44,'Besi Balok'!$F$23:$F$7253,'REKAP Balok'!N$11)</f>
        <v>0</v>
      </c>
      <c r="O44" s="282">
        <f>SUMIFS('Besi Balok'!$AA$23:$AA$7253,'Besi Balok'!$A$23:$A$7253,$A44,'Besi Balok'!$B$23:$B$7253,$B44,'Besi Balok'!$F$23:$F$7253,'REKAP Balok'!O$11)</f>
        <v>15.203185919999999</v>
      </c>
      <c r="P44" s="282">
        <f>SUMIFS('Besi Balok'!$AA$23:$AA$7253,'Besi Balok'!$A$23:$A$7253,$A44,'Besi Balok'!$B$23:$B$7253,$B44,'Besi Balok'!$F$23:$F$7253,'REKAP Balok'!P$11)</f>
        <v>0</v>
      </c>
      <c r="Q44" s="282">
        <f>SUMIFS('Besi Balok'!$AA$23:$AA$7253,'Besi Balok'!$A$23:$A$7253,$A44,'Besi Balok'!$B$23:$B$7253,$B44,'Besi Balok'!$F$23:$F$7253,'REKAP Balok'!Q$11)</f>
        <v>0</v>
      </c>
      <c r="R44" s="282">
        <f>SUMIFS('Besi Balok'!$AA$23:$AA$7253,'Besi Balok'!$A$23:$A$7253,$A44,'Besi Balok'!$B$23:$B$7253,$B44,'Besi Balok'!$F$23:$F$7253,'REKAP Balok'!R$11)</f>
        <v>0</v>
      </c>
      <c r="S44" s="282">
        <f>SUMIFS('Besi Balok'!$AA$23:$AA$7253,'Besi Balok'!$A$23:$A$7253,$A44,'Besi Balok'!$B$23:$B$7253,$B44,'Besi Balok'!$F$23:$F$7253,'REKAP Balok'!S$11)</f>
        <v>0</v>
      </c>
      <c r="T44" s="283">
        <f>SUMIFS('Besi Balok'!$AA$23:$AA$7253,'Besi Balok'!$A$23:$A$7253,$A44,'Besi Balok'!$B$23:$B$7253,$B44,'Besi Balok'!$F$23:$F$7253,'REKAP Balok'!T$11)</f>
        <v>0</v>
      </c>
      <c r="U44" s="284">
        <f t="shared" si="8"/>
        <v>21.29913792</v>
      </c>
      <c r="V44" s="285">
        <f t="shared" si="9"/>
        <v>0.106</v>
      </c>
      <c r="W44" s="282">
        <f t="shared" si="13"/>
        <v>1.06</v>
      </c>
      <c r="X44" s="282">
        <v>0</v>
      </c>
      <c r="Y44" s="282">
        <f t="shared" si="10"/>
        <v>4.24E-2</v>
      </c>
      <c r="Z44" s="283">
        <f t="shared" si="11"/>
        <v>0.38159999999999994</v>
      </c>
      <c r="AC44" s="1784">
        <f t="shared" si="12"/>
        <v>0.3392</v>
      </c>
    </row>
    <row r="45" spans="1:29">
      <c r="A45" s="272" t="str">
        <f>'Data Panjang Balok'!A41</f>
        <v>Lantai 1</v>
      </c>
      <c r="B45" s="273">
        <f>'Data Panjang Balok'!B41</f>
        <v>31</v>
      </c>
      <c r="C45" s="274" t="str">
        <f>'Data Panjang Balok'!D41</f>
        <v>S25-1</v>
      </c>
      <c r="D45" s="275">
        <f>IF(C45&gt;0,VLOOKUP(C45,'Detail Balok'!$C$11:$AU$140,2,FALSE),0)</f>
        <v>200</v>
      </c>
      <c r="E45" s="276" t="s">
        <v>125</v>
      </c>
      <c r="F45" s="277">
        <f>IF(C45&gt;0,VLOOKUP(C45,'Detail Balok'!$C$11:$AU$140,3,FALSE),0)</f>
        <v>500</v>
      </c>
      <c r="G45" s="278">
        <f>'Data Panjang Balok'!I41</f>
        <v>6150</v>
      </c>
      <c r="H45" s="278">
        <f>'Data Panjang Balok'!J41</f>
        <v>150</v>
      </c>
      <c r="I45" s="279">
        <v>-3.5</v>
      </c>
      <c r="J45" s="279">
        <f t="shared" si="7"/>
        <v>-4</v>
      </c>
      <c r="K45" s="280">
        <f>'Data Panjang Balok'!E41</f>
        <v>1</v>
      </c>
      <c r="L45" s="281">
        <f>SUMIFS('Besi Balok'!$AA$23:$AA$7253,'Besi Balok'!$A$23:$A$7253,$A45,'Besi Balok'!$B$23:$B$7253,$B45,'Besi Balok'!$F$23:$F$7253,'REKAP Balok'!L$11)</f>
        <v>0</v>
      </c>
      <c r="M45" s="282">
        <f>SUMIFS('Besi Balok'!$AA$23:$AA$7253,'Besi Balok'!$A$23:$A$7253,$A45,'Besi Balok'!$B$23:$B$7253,$B45,'Besi Balok'!$F$23:$F$7253,'REKAP Balok'!M$11)</f>
        <v>17.956425600000003</v>
      </c>
      <c r="N45" s="282">
        <f>SUMIFS('Besi Balok'!$AA$23:$AA$7253,'Besi Balok'!$A$23:$A$7253,$A45,'Besi Balok'!$B$23:$B$7253,$B45,'Besi Balok'!$F$23:$F$7253,'REKAP Balok'!N$11)</f>
        <v>7.8788700000000009</v>
      </c>
      <c r="O45" s="282">
        <f>SUMIFS('Besi Balok'!$AA$23:$AA$7253,'Besi Balok'!$A$23:$A$7253,$A45,'Besi Balok'!$B$23:$B$7253,$B45,'Besi Balok'!$F$23:$F$7253,'REKAP Balok'!O$11)</f>
        <v>0</v>
      </c>
      <c r="P45" s="282">
        <f>SUMIFS('Besi Balok'!$AA$23:$AA$7253,'Besi Balok'!$A$23:$A$7253,$A45,'Besi Balok'!$B$23:$B$7253,$B45,'Besi Balok'!$F$23:$F$7253,'REKAP Balok'!P$11)</f>
        <v>61.873320960000001</v>
      </c>
      <c r="Q45" s="282">
        <f>SUMIFS('Besi Balok'!$AA$23:$AA$7253,'Besi Balok'!$A$23:$A$7253,$A45,'Besi Balok'!$B$23:$B$7253,$B45,'Besi Balok'!$F$23:$F$7253,'REKAP Balok'!Q$11)</f>
        <v>0</v>
      </c>
      <c r="R45" s="282">
        <f>SUMIFS('Besi Balok'!$AA$23:$AA$7253,'Besi Balok'!$A$23:$A$7253,$A45,'Besi Balok'!$B$23:$B$7253,$B45,'Besi Balok'!$F$23:$F$7253,'REKAP Balok'!R$11)</f>
        <v>0</v>
      </c>
      <c r="S45" s="282">
        <f>SUMIFS('Besi Balok'!$AA$23:$AA$7253,'Besi Balok'!$A$23:$A$7253,$A45,'Besi Balok'!$B$23:$B$7253,$B45,'Besi Balok'!$F$23:$F$7253,'REKAP Balok'!S$11)</f>
        <v>0</v>
      </c>
      <c r="T45" s="283">
        <f>SUMIFS('Besi Balok'!$AA$23:$AA$7253,'Besi Balok'!$A$23:$A$7253,$A45,'Besi Balok'!$B$23:$B$7253,$B45,'Besi Balok'!$F$23:$F$7253,'REKAP Balok'!T$11)</f>
        <v>0</v>
      </c>
      <c r="U45" s="284">
        <f t="shared" si="8"/>
        <v>87.708616559999996</v>
      </c>
      <c r="V45" s="285">
        <f t="shared" si="9"/>
        <v>0.43049999999999999</v>
      </c>
      <c r="W45" s="282">
        <f t="shared" si="13"/>
        <v>4.3049999999999997</v>
      </c>
      <c r="X45" s="282">
        <v>0</v>
      </c>
      <c r="Y45" s="282">
        <f t="shared" si="10"/>
        <v>0.123</v>
      </c>
      <c r="Z45" s="283">
        <f t="shared" si="11"/>
        <v>1.3530000000000002</v>
      </c>
      <c r="AB45" s="246">
        <f>U45/V45</f>
        <v>203.7366238327526</v>
      </c>
      <c r="AC45" s="1784">
        <f t="shared" si="12"/>
        <v>1.23</v>
      </c>
    </row>
    <row r="46" spans="1:29" hidden="1">
      <c r="A46" s="272" t="str">
        <f>'Data Panjang Balok'!A42</f>
        <v>Lantai 1</v>
      </c>
      <c r="B46" s="273">
        <f>'Data Panjang Balok'!B42</f>
        <v>32</v>
      </c>
      <c r="C46" s="274" t="str">
        <f>'Data Panjang Balok'!D42</f>
        <v>S24-1</v>
      </c>
      <c r="D46" s="275">
        <f>IF(C46&gt;0,VLOOKUP(C46,'Detail Balok'!$C$11:$AU$140,2,FALSE),0)</f>
        <v>200</v>
      </c>
      <c r="E46" s="276" t="s">
        <v>125</v>
      </c>
      <c r="F46" s="277">
        <f>IF(C46&gt;0,VLOOKUP(C46,'Detail Balok'!$C$11:$AU$140,3,FALSE),0)</f>
        <v>400</v>
      </c>
      <c r="G46" s="278">
        <f>'Data Panjang Balok'!I42</f>
        <v>5150</v>
      </c>
      <c r="H46" s="278">
        <f>'Data Panjang Balok'!J42</f>
        <v>150</v>
      </c>
      <c r="I46" s="279">
        <v>-3.5</v>
      </c>
      <c r="J46" s="279">
        <f t="shared" si="7"/>
        <v>-3.9</v>
      </c>
      <c r="K46" s="280">
        <f>'Data Panjang Balok'!E42</f>
        <v>1</v>
      </c>
      <c r="L46" s="281">
        <f>SUMIFS('Besi Balok'!$AA$23:$AA$7253,'Besi Balok'!$A$23:$A$7253,$A46,'Besi Balok'!$B$23:$B$7253,$B46,'Besi Balok'!$F$23:$F$7253,'REKAP Balok'!L$11)</f>
        <v>0</v>
      </c>
      <c r="M46" s="282">
        <f>SUMIFS('Besi Balok'!$AA$23:$AA$7253,'Besi Balok'!$A$23:$A$7253,$A46,'Besi Balok'!$B$23:$B$7253,$B46,'Besi Balok'!$F$23:$F$7253,'REKAP Balok'!M$11)</f>
        <v>13.411094400000001</v>
      </c>
      <c r="N46" s="282">
        <f>SUMIFS('Besi Balok'!$AA$23:$AA$7253,'Besi Balok'!$A$23:$A$7253,$A46,'Besi Balok'!$B$23:$B$7253,$B46,'Besi Balok'!$F$23:$F$7253,'REKAP Balok'!N$11)</f>
        <v>0</v>
      </c>
      <c r="O46" s="282">
        <f>SUMIFS('Besi Balok'!$AA$23:$AA$7253,'Besi Balok'!$A$23:$A$7253,$A46,'Besi Balok'!$B$23:$B$7253,$B46,'Besi Balok'!$F$23:$F$7253,'REKAP Balok'!O$11)</f>
        <v>34.144655220000004</v>
      </c>
      <c r="P46" s="282">
        <f>SUMIFS('Besi Balok'!$AA$23:$AA$7253,'Besi Balok'!$A$23:$A$7253,$A46,'Besi Balok'!$B$23:$B$7253,$B46,'Besi Balok'!$F$23:$F$7253,'REKAP Balok'!P$11)</f>
        <v>0</v>
      </c>
      <c r="Q46" s="282">
        <f>SUMIFS('Besi Balok'!$AA$23:$AA$7253,'Besi Balok'!$A$23:$A$7253,$A46,'Besi Balok'!$B$23:$B$7253,$B46,'Besi Balok'!$F$23:$F$7253,'REKAP Balok'!Q$11)</f>
        <v>0</v>
      </c>
      <c r="R46" s="282">
        <f>SUMIFS('Besi Balok'!$AA$23:$AA$7253,'Besi Balok'!$A$23:$A$7253,$A46,'Besi Balok'!$B$23:$B$7253,$B46,'Besi Balok'!$F$23:$F$7253,'REKAP Balok'!R$11)</f>
        <v>0</v>
      </c>
      <c r="S46" s="282">
        <f>SUMIFS('Besi Balok'!$AA$23:$AA$7253,'Besi Balok'!$A$23:$A$7253,$A46,'Besi Balok'!$B$23:$B$7253,$B46,'Besi Balok'!$F$23:$F$7253,'REKAP Balok'!S$11)</f>
        <v>0</v>
      </c>
      <c r="T46" s="283">
        <f>SUMIFS('Besi Balok'!$AA$23:$AA$7253,'Besi Balok'!$A$23:$A$7253,$A46,'Besi Balok'!$B$23:$B$7253,$B46,'Besi Balok'!$F$23:$F$7253,'REKAP Balok'!T$11)</f>
        <v>0</v>
      </c>
      <c r="U46" s="284">
        <f t="shared" si="8"/>
        <v>47.555749620000007</v>
      </c>
      <c r="V46" s="285">
        <f t="shared" si="9"/>
        <v>0.25750000000000001</v>
      </c>
      <c r="W46" s="282">
        <f t="shared" si="13"/>
        <v>2.5750000000000002</v>
      </c>
      <c r="X46" s="282">
        <v>0</v>
      </c>
      <c r="Y46" s="282">
        <f t="shared" si="10"/>
        <v>0.10299999999999999</v>
      </c>
      <c r="Z46" s="283">
        <f t="shared" si="11"/>
        <v>0.92699999999999994</v>
      </c>
      <c r="AC46" s="1784">
        <f t="shared" si="12"/>
        <v>0.82399999999999995</v>
      </c>
    </row>
    <row r="47" spans="1:29" hidden="1">
      <c r="A47" s="272" t="str">
        <f>'Data Panjang Balok'!A43</f>
        <v>Lantai 1</v>
      </c>
      <c r="B47" s="273">
        <f>'Data Panjang Balok'!B43</f>
        <v>33</v>
      </c>
      <c r="C47" s="274" t="str">
        <f>'Data Panjang Balok'!D43</f>
        <v>S24-2</v>
      </c>
      <c r="D47" s="275">
        <f>IF(C47&gt;0,VLOOKUP(C47,'Detail Balok'!$C$11:$AU$140,2,FALSE),0)</f>
        <v>200</v>
      </c>
      <c r="E47" s="276" t="s">
        <v>125</v>
      </c>
      <c r="F47" s="277">
        <f>IF(C47&gt;0,VLOOKUP(C47,'Detail Balok'!$C$11:$AU$140,3,FALSE),0)</f>
        <v>400</v>
      </c>
      <c r="G47" s="278">
        <f>'Data Panjang Balok'!I43</f>
        <v>4000</v>
      </c>
      <c r="H47" s="278">
        <f>'Data Panjang Balok'!J43</f>
        <v>150</v>
      </c>
      <c r="I47" s="279">
        <v>-3.5</v>
      </c>
      <c r="J47" s="279">
        <f t="shared" si="7"/>
        <v>-3.9</v>
      </c>
      <c r="K47" s="280">
        <f>'Data Panjang Balok'!E43</f>
        <v>1</v>
      </c>
      <c r="L47" s="281">
        <f>SUMIFS('Besi Balok'!$AA$23:$AA$7253,'Besi Balok'!$A$23:$A$7253,$A47,'Besi Balok'!$B$23:$B$7253,$B47,'Besi Balok'!$F$23:$F$7253,'REKAP Balok'!L$11)</f>
        <v>0</v>
      </c>
      <c r="M47" s="282">
        <f>SUMIFS('Besi Balok'!$AA$23:$AA$7253,'Besi Balok'!$A$23:$A$7253,$A47,'Besi Balok'!$B$23:$B$7253,$B47,'Besi Balok'!$F$23:$F$7253,'REKAP Balok'!M$11)</f>
        <v>10.566316800000001</v>
      </c>
      <c r="N47" s="282">
        <f>SUMIFS('Besi Balok'!$AA$23:$AA$7253,'Besi Balok'!$A$23:$A$7253,$A47,'Besi Balok'!$B$23:$B$7253,$B47,'Besi Balok'!$F$23:$F$7253,'REKAP Balok'!N$11)</f>
        <v>0</v>
      </c>
      <c r="O47" s="282">
        <f>SUMIFS('Besi Balok'!$AA$23:$AA$7253,'Besi Balok'!$A$23:$A$7253,$A47,'Besi Balok'!$B$23:$B$7253,$B47,'Besi Balok'!$F$23:$F$7253,'REKAP Balok'!O$11)</f>
        <v>0</v>
      </c>
      <c r="P47" s="282">
        <f>SUMIFS('Besi Balok'!$AA$23:$AA$7253,'Besi Balok'!$A$23:$A$7253,$A47,'Besi Balok'!$B$23:$B$7253,$B47,'Besi Balok'!$F$23:$F$7253,'REKAP Balok'!P$11)</f>
        <v>41.514024960000008</v>
      </c>
      <c r="Q47" s="282">
        <f>SUMIFS('Besi Balok'!$AA$23:$AA$7253,'Besi Balok'!$A$23:$A$7253,$A47,'Besi Balok'!$B$23:$B$7253,$B47,'Besi Balok'!$F$23:$F$7253,'REKAP Balok'!Q$11)</f>
        <v>0</v>
      </c>
      <c r="R47" s="282">
        <f>SUMIFS('Besi Balok'!$AA$23:$AA$7253,'Besi Balok'!$A$23:$A$7253,$A47,'Besi Balok'!$B$23:$B$7253,$B47,'Besi Balok'!$F$23:$F$7253,'REKAP Balok'!R$11)</f>
        <v>0</v>
      </c>
      <c r="S47" s="282">
        <f>SUMIFS('Besi Balok'!$AA$23:$AA$7253,'Besi Balok'!$A$23:$A$7253,$A47,'Besi Balok'!$B$23:$B$7253,$B47,'Besi Balok'!$F$23:$F$7253,'REKAP Balok'!S$11)</f>
        <v>0</v>
      </c>
      <c r="T47" s="283">
        <f>SUMIFS('Besi Balok'!$AA$23:$AA$7253,'Besi Balok'!$A$23:$A$7253,$A47,'Besi Balok'!$B$23:$B$7253,$B47,'Besi Balok'!$F$23:$F$7253,'REKAP Balok'!T$11)</f>
        <v>0</v>
      </c>
      <c r="U47" s="284">
        <f t="shared" si="8"/>
        <v>52.08034176000001</v>
      </c>
      <c r="V47" s="285">
        <f t="shared" si="9"/>
        <v>0.2</v>
      </c>
      <c r="W47" s="282">
        <f t="shared" si="13"/>
        <v>2</v>
      </c>
      <c r="X47" s="282">
        <v>0</v>
      </c>
      <c r="Y47" s="282">
        <f t="shared" si="10"/>
        <v>0.08</v>
      </c>
      <c r="Z47" s="283">
        <f t="shared" si="11"/>
        <v>0.71999999999999986</v>
      </c>
      <c r="AC47" s="1784">
        <f t="shared" si="12"/>
        <v>0.64</v>
      </c>
    </row>
    <row r="48" spans="1:29">
      <c r="A48" s="272" t="str">
        <f>'Data Panjang Balok'!A44</f>
        <v>Lantai 1</v>
      </c>
      <c r="B48" s="273">
        <f>'Data Panjang Balok'!B44</f>
        <v>34</v>
      </c>
      <c r="C48" s="274" t="str">
        <f>'Data Panjang Balok'!D44</f>
        <v>S25-1</v>
      </c>
      <c r="D48" s="275">
        <f>IF(C48&gt;0,VLOOKUP(C48,'Detail Balok'!$C$11:$AU$140,2,FALSE),0)</f>
        <v>200</v>
      </c>
      <c r="E48" s="276" t="s">
        <v>125</v>
      </c>
      <c r="F48" s="277">
        <f>IF(C48&gt;0,VLOOKUP(C48,'Detail Balok'!$C$11:$AU$140,3,FALSE),0)</f>
        <v>500</v>
      </c>
      <c r="G48" s="278">
        <f>'Data Panjang Balok'!I44</f>
        <v>5075</v>
      </c>
      <c r="H48" s="278">
        <f>'Data Panjang Balok'!J44</f>
        <v>150</v>
      </c>
      <c r="I48" s="279">
        <v>-3.5</v>
      </c>
      <c r="J48" s="279">
        <f t="shared" si="7"/>
        <v>-4</v>
      </c>
      <c r="K48" s="280">
        <f>'Data Panjang Balok'!E44</f>
        <v>1</v>
      </c>
      <c r="L48" s="281">
        <f>SUMIFS('Besi Balok'!$AA$23:$AA$7253,'Besi Balok'!$A$23:$A$7253,$A48,'Besi Balok'!$B$23:$B$7253,$B48,'Besi Balok'!$F$23:$F$7253,'REKAP Balok'!L$11)</f>
        <v>0</v>
      </c>
      <c r="M48" s="282">
        <f>SUMIFS('Besi Balok'!$AA$23:$AA$7253,'Besi Balok'!$A$23:$A$7253,$A48,'Besi Balok'!$B$23:$B$7253,$B48,'Besi Balok'!$F$23:$F$7253,'REKAP Balok'!M$11)</f>
        <v>15.044572800000001</v>
      </c>
      <c r="N48" s="282">
        <f>SUMIFS('Besi Balok'!$AA$23:$AA$7253,'Besi Balok'!$A$23:$A$7253,$A48,'Besi Balok'!$B$23:$B$7253,$B48,'Besi Balok'!$F$23:$F$7253,'REKAP Balok'!N$11)</f>
        <v>6.553395000000001</v>
      </c>
      <c r="O48" s="282">
        <f>SUMIFS('Besi Balok'!$AA$23:$AA$7253,'Besi Balok'!$A$23:$A$7253,$A48,'Besi Balok'!$B$23:$B$7253,$B48,'Besi Balok'!$F$23:$F$7253,'REKAP Balok'!O$11)</f>
        <v>0</v>
      </c>
      <c r="P48" s="282">
        <f>SUMIFS('Besi Balok'!$AA$23:$AA$7253,'Besi Balok'!$A$23:$A$7253,$A48,'Besi Balok'!$B$23:$B$7253,$B48,'Besi Balok'!$F$23:$F$7253,'REKAP Balok'!P$11)</f>
        <v>51.693672960000001</v>
      </c>
      <c r="Q48" s="282">
        <f>SUMIFS('Besi Balok'!$AA$23:$AA$7253,'Besi Balok'!$A$23:$A$7253,$A48,'Besi Balok'!$B$23:$B$7253,$B48,'Besi Balok'!$F$23:$F$7253,'REKAP Balok'!Q$11)</f>
        <v>0</v>
      </c>
      <c r="R48" s="282">
        <f>SUMIFS('Besi Balok'!$AA$23:$AA$7253,'Besi Balok'!$A$23:$A$7253,$A48,'Besi Balok'!$B$23:$B$7253,$B48,'Besi Balok'!$F$23:$F$7253,'REKAP Balok'!R$11)</f>
        <v>0</v>
      </c>
      <c r="S48" s="282">
        <f>SUMIFS('Besi Balok'!$AA$23:$AA$7253,'Besi Balok'!$A$23:$A$7253,$A48,'Besi Balok'!$B$23:$B$7253,$B48,'Besi Balok'!$F$23:$F$7253,'REKAP Balok'!S$11)</f>
        <v>0</v>
      </c>
      <c r="T48" s="283">
        <f>SUMIFS('Besi Balok'!$AA$23:$AA$7253,'Besi Balok'!$A$23:$A$7253,$A48,'Besi Balok'!$B$23:$B$7253,$B48,'Besi Balok'!$F$23:$F$7253,'REKAP Balok'!T$11)</f>
        <v>0</v>
      </c>
      <c r="U48" s="284">
        <f t="shared" si="8"/>
        <v>73.291640760000007</v>
      </c>
      <c r="V48" s="285">
        <f t="shared" si="9"/>
        <v>0.35525000000000001</v>
      </c>
      <c r="W48" s="282">
        <f t="shared" si="13"/>
        <v>3.5525000000000002</v>
      </c>
      <c r="X48" s="282">
        <v>0</v>
      </c>
      <c r="Y48" s="282">
        <f t="shared" si="10"/>
        <v>0.10150000000000001</v>
      </c>
      <c r="Z48" s="283">
        <f t="shared" si="11"/>
        <v>1.1165000000000003</v>
      </c>
      <c r="AB48" s="246">
        <f>U48/V48</f>
        <v>206.3100373258269</v>
      </c>
      <c r="AC48" s="1784">
        <f t="shared" si="12"/>
        <v>1.0149999999999999</v>
      </c>
    </row>
    <row r="49" spans="1:29" hidden="1">
      <c r="A49" s="272" t="str">
        <f>'Data Panjang Balok'!A45</f>
        <v>Lantai 1</v>
      </c>
      <c r="B49" s="273">
        <f>'Data Panjang Balok'!B45</f>
        <v>35</v>
      </c>
      <c r="C49" s="274" t="str">
        <f>'Data Panjang Balok'!D45</f>
        <v>S36-1</v>
      </c>
      <c r="D49" s="275">
        <f>IF(C49&gt;0,VLOOKUP(C49,'Detail Balok'!$C$11:$AU$140,2,FALSE),0)</f>
        <v>300</v>
      </c>
      <c r="E49" s="276" t="s">
        <v>125</v>
      </c>
      <c r="F49" s="277">
        <f>IF(C49&gt;0,VLOOKUP(C49,'Detail Balok'!$C$11:$AU$140,3,FALSE),0)</f>
        <v>600</v>
      </c>
      <c r="G49" s="278">
        <f>'Data Panjang Balok'!I45</f>
        <v>6075</v>
      </c>
      <c r="H49" s="278">
        <f>'Data Panjang Balok'!J45</f>
        <v>150</v>
      </c>
      <c r="I49" s="279">
        <v>-3.5</v>
      </c>
      <c r="J49" s="279">
        <f t="shared" si="7"/>
        <v>-4.0999999999999996</v>
      </c>
      <c r="K49" s="280">
        <f>'Data Panjang Balok'!E45</f>
        <v>1</v>
      </c>
      <c r="L49" s="281">
        <f>SUMIFS('Besi Balok'!$AA$23:$AA$7253,'Besi Balok'!$A$23:$A$7253,$A49,'Besi Balok'!$B$23:$B$7253,$B49,'Besi Balok'!$F$23:$F$7253,'REKAP Balok'!L$11)</f>
        <v>0</v>
      </c>
      <c r="M49" s="282">
        <f>SUMIFS('Besi Balok'!$AA$23:$AA$7253,'Besi Balok'!$A$23:$A$7253,$A49,'Besi Balok'!$B$23:$B$7253,$B49,'Besi Balok'!$F$23:$F$7253,'REKAP Balok'!M$11)</f>
        <v>23.795913599999999</v>
      </c>
      <c r="N49" s="282">
        <f>SUMIFS('Besi Balok'!$AA$23:$AA$7253,'Besi Balok'!$A$23:$A$7253,$A49,'Besi Balok'!$B$23:$B$7253,$B49,'Besi Balok'!$F$23:$F$7253,'REKAP Balok'!N$11)</f>
        <v>7.7863950000000015</v>
      </c>
      <c r="O49" s="282">
        <f>SUMIFS('Besi Balok'!$AA$23:$AA$7253,'Besi Balok'!$A$23:$A$7253,$A49,'Besi Balok'!$B$23:$B$7253,$B49,'Besi Balok'!$F$23:$F$7253,'REKAP Balok'!O$11)</f>
        <v>0</v>
      </c>
      <c r="P49" s="282">
        <f>SUMIFS('Besi Balok'!$AA$23:$AA$7253,'Besi Balok'!$A$23:$A$7253,$A49,'Besi Balok'!$B$23:$B$7253,$B49,'Besi Balok'!$F$23:$F$7253,'REKAP Balok'!P$11)</f>
        <v>81.550817280000004</v>
      </c>
      <c r="Q49" s="282">
        <f>SUMIFS('Besi Balok'!$AA$23:$AA$7253,'Besi Balok'!$A$23:$A$7253,$A49,'Besi Balok'!$B$23:$B$7253,$B49,'Besi Balok'!$F$23:$F$7253,'REKAP Balok'!Q$11)</f>
        <v>0</v>
      </c>
      <c r="R49" s="282">
        <f>SUMIFS('Besi Balok'!$AA$23:$AA$7253,'Besi Balok'!$A$23:$A$7253,$A49,'Besi Balok'!$B$23:$B$7253,$B49,'Besi Balok'!$F$23:$F$7253,'REKAP Balok'!R$11)</f>
        <v>0</v>
      </c>
      <c r="S49" s="282">
        <f>SUMIFS('Besi Balok'!$AA$23:$AA$7253,'Besi Balok'!$A$23:$A$7253,$A49,'Besi Balok'!$B$23:$B$7253,$B49,'Besi Balok'!$F$23:$F$7253,'REKAP Balok'!S$11)</f>
        <v>0</v>
      </c>
      <c r="T49" s="283">
        <f>SUMIFS('Besi Balok'!$AA$23:$AA$7253,'Besi Balok'!$A$23:$A$7253,$A49,'Besi Balok'!$B$23:$B$7253,$B49,'Besi Balok'!$F$23:$F$7253,'REKAP Balok'!T$11)</f>
        <v>0</v>
      </c>
      <c r="U49" s="284">
        <f t="shared" si="8"/>
        <v>113.13312588000001</v>
      </c>
      <c r="V49" s="285">
        <f t="shared" si="9"/>
        <v>0.82012499999999999</v>
      </c>
      <c r="W49" s="282">
        <f t="shared" si="13"/>
        <v>5.4675000000000002</v>
      </c>
      <c r="X49" s="282">
        <v>0</v>
      </c>
      <c r="Y49" s="282">
        <f t="shared" si="10"/>
        <v>0.15187500000000001</v>
      </c>
      <c r="Z49" s="283">
        <f t="shared" si="11"/>
        <v>1.9743749999999991</v>
      </c>
      <c r="AC49" s="1784">
        <f t="shared" si="12"/>
        <v>1.8225</v>
      </c>
    </row>
    <row r="50" spans="1:29" hidden="1">
      <c r="A50" s="272" t="str">
        <f>'Data Panjang Balok'!A46</f>
        <v>Lantai 1</v>
      </c>
      <c r="B50" s="273">
        <f>'Data Panjang Balok'!B46</f>
        <v>36</v>
      </c>
      <c r="C50" s="274" t="str">
        <f>'Data Panjang Balok'!D46</f>
        <v>S24-1</v>
      </c>
      <c r="D50" s="275">
        <f>IF(C50&gt;0,VLOOKUP(C50,'Detail Balok'!$C$11:$AU$140,2,FALSE),0)</f>
        <v>200</v>
      </c>
      <c r="E50" s="276" t="s">
        <v>125</v>
      </c>
      <c r="F50" s="277">
        <f>IF(C50&gt;0,VLOOKUP(C50,'Detail Balok'!$C$11:$AU$140,3,FALSE),0)</f>
        <v>400</v>
      </c>
      <c r="G50" s="278">
        <f>'Data Panjang Balok'!I46</f>
        <v>5370</v>
      </c>
      <c r="H50" s="278">
        <f>'Data Panjang Balok'!J46</f>
        <v>0</v>
      </c>
      <c r="I50" s="279">
        <v>-3.5</v>
      </c>
      <c r="J50" s="279">
        <f t="shared" si="7"/>
        <v>-3.9</v>
      </c>
      <c r="K50" s="280">
        <f>'Data Panjang Balok'!E46</f>
        <v>1</v>
      </c>
      <c r="L50" s="281">
        <f>SUMIFS('Besi Balok'!$AA$23:$AA$7253,'Besi Balok'!$A$23:$A$7253,$A50,'Besi Balok'!$B$23:$B$7253,$B50,'Besi Balok'!$F$23:$F$7253,'REKAP Balok'!L$11)</f>
        <v>0</v>
      </c>
      <c r="M50" s="282">
        <f>SUMIFS('Besi Balok'!$AA$23:$AA$7253,'Besi Balok'!$A$23:$A$7253,$A50,'Besi Balok'!$B$23:$B$7253,$B50,'Besi Balok'!$F$23:$F$7253,'REKAP Balok'!M$11)</f>
        <v>13.411094400000001</v>
      </c>
      <c r="N50" s="282">
        <f>SUMIFS('Besi Balok'!$AA$23:$AA$7253,'Besi Balok'!$A$23:$A$7253,$A50,'Besi Balok'!$B$23:$B$7253,$B50,'Besi Balok'!$F$23:$F$7253,'REKAP Balok'!N$11)</f>
        <v>0</v>
      </c>
      <c r="O50" s="282">
        <f>SUMIFS('Besi Balok'!$AA$23:$AA$7253,'Besi Balok'!$A$23:$A$7253,$A50,'Besi Balok'!$B$23:$B$7253,$B50,'Besi Balok'!$F$23:$F$7253,'REKAP Balok'!O$11)</f>
        <v>35.519943420000004</v>
      </c>
      <c r="P50" s="282">
        <f>SUMIFS('Besi Balok'!$AA$23:$AA$7253,'Besi Balok'!$A$23:$A$7253,$A50,'Besi Balok'!$B$23:$B$7253,$B50,'Besi Balok'!$F$23:$F$7253,'REKAP Balok'!P$11)</f>
        <v>0</v>
      </c>
      <c r="Q50" s="282">
        <f>SUMIFS('Besi Balok'!$AA$23:$AA$7253,'Besi Balok'!$A$23:$A$7253,$A50,'Besi Balok'!$B$23:$B$7253,$B50,'Besi Balok'!$F$23:$F$7253,'REKAP Balok'!Q$11)</f>
        <v>0</v>
      </c>
      <c r="R50" s="282">
        <f>SUMIFS('Besi Balok'!$AA$23:$AA$7253,'Besi Balok'!$A$23:$A$7253,$A50,'Besi Balok'!$B$23:$B$7253,$B50,'Besi Balok'!$F$23:$F$7253,'REKAP Balok'!R$11)</f>
        <v>0</v>
      </c>
      <c r="S50" s="282">
        <f>SUMIFS('Besi Balok'!$AA$23:$AA$7253,'Besi Balok'!$A$23:$A$7253,$A50,'Besi Balok'!$B$23:$B$7253,$B50,'Besi Balok'!$F$23:$F$7253,'REKAP Balok'!S$11)</f>
        <v>0</v>
      </c>
      <c r="T50" s="283">
        <f>SUMIFS('Besi Balok'!$AA$23:$AA$7253,'Besi Balok'!$A$23:$A$7253,$A50,'Besi Balok'!$B$23:$B$7253,$B50,'Besi Balok'!$F$23:$F$7253,'REKAP Balok'!T$11)</f>
        <v>0</v>
      </c>
      <c r="U50" s="284">
        <f t="shared" si="8"/>
        <v>48.931037820000007</v>
      </c>
      <c r="V50" s="285">
        <f t="shared" si="9"/>
        <v>0.42959999999999998</v>
      </c>
      <c r="W50" s="282">
        <f t="shared" si="13"/>
        <v>4.2960000000000003</v>
      </c>
      <c r="X50" s="282">
        <v>0</v>
      </c>
      <c r="Y50" s="282">
        <f t="shared" si="10"/>
        <v>0.1074</v>
      </c>
      <c r="Z50" s="283">
        <f t="shared" si="11"/>
        <v>0.9665999999999999</v>
      </c>
      <c r="AC50" s="1784">
        <f t="shared" si="12"/>
        <v>0.85919999999999996</v>
      </c>
    </row>
    <row r="51" spans="1:29" hidden="1">
      <c r="A51" s="272" t="str">
        <f>'Data Panjang Balok'!A47</f>
        <v>Lantai 1</v>
      </c>
      <c r="B51" s="273">
        <f>'Data Panjang Balok'!B47</f>
        <v>37</v>
      </c>
      <c r="C51" s="274" t="str">
        <f>'Data Panjang Balok'!D47</f>
        <v>S24-2</v>
      </c>
      <c r="D51" s="275">
        <f>IF(C51&gt;0,VLOOKUP(C51,'Detail Balok'!$C$11:$AU$140,2,FALSE),0)</f>
        <v>200</v>
      </c>
      <c r="E51" s="276" t="s">
        <v>125</v>
      </c>
      <c r="F51" s="277">
        <f>IF(C51&gt;0,VLOOKUP(C51,'Detail Balok'!$C$11:$AU$140,3,FALSE),0)</f>
        <v>400</v>
      </c>
      <c r="G51" s="278">
        <f>'Data Panjang Balok'!I47</f>
        <v>5500</v>
      </c>
      <c r="H51" s="278">
        <f>'Data Panjang Balok'!J47</f>
        <v>150</v>
      </c>
      <c r="I51" s="279">
        <v>-3.5</v>
      </c>
      <c r="J51" s="279">
        <f t="shared" si="7"/>
        <v>-3.9</v>
      </c>
      <c r="K51" s="280">
        <f>'Data Panjang Balok'!E47</f>
        <v>1</v>
      </c>
      <c r="L51" s="281">
        <f>SUMIFS('Besi Balok'!$AA$23:$AA$7253,'Besi Balok'!$A$23:$A$7253,$A51,'Besi Balok'!$B$23:$B$7253,$B51,'Besi Balok'!$F$23:$F$7253,'REKAP Balok'!L$11)</f>
        <v>0</v>
      </c>
      <c r="M51" s="282">
        <f>SUMIFS('Besi Balok'!$AA$23:$AA$7253,'Besi Balok'!$A$23:$A$7253,$A51,'Besi Balok'!$B$23:$B$7253,$B51,'Besi Balok'!$F$23:$F$7253,'REKAP Balok'!M$11)</f>
        <v>13.817491200000003</v>
      </c>
      <c r="N51" s="282">
        <f>SUMIFS('Besi Balok'!$AA$23:$AA$7253,'Besi Balok'!$A$23:$A$7253,$A51,'Besi Balok'!$B$23:$B$7253,$B51,'Besi Balok'!$F$23:$F$7253,'REKAP Balok'!N$11)</f>
        <v>0</v>
      </c>
      <c r="O51" s="282">
        <f>SUMIFS('Besi Balok'!$AA$23:$AA$7253,'Besi Balok'!$A$23:$A$7253,$A51,'Besi Balok'!$B$23:$B$7253,$B51,'Besi Balok'!$F$23:$F$7253,'REKAP Balok'!O$11)</f>
        <v>0</v>
      </c>
      <c r="P51" s="282">
        <f>SUMIFS('Besi Balok'!$AA$23:$AA$7253,'Besi Balok'!$A$23:$A$7253,$A51,'Besi Balok'!$B$23:$B$7253,$B51,'Besi Balok'!$F$23:$F$7253,'REKAP Balok'!P$11)</f>
        <v>55.718184960000009</v>
      </c>
      <c r="Q51" s="282">
        <f>SUMIFS('Besi Balok'!$AA$23:$AA$7253,'Besi Balok'!$A$23:$A$7253,$A51,'Besi Balok'!$B$23:$B$7253,$B51,'Besi Balok'!$F$23:$F$7253,'REKAP Balok'!Q$11)</f>
        <v>0</v>
      </c>
      <c r="R51" s="282">
        <f>SUMIFS('Besi Balok'!$AA$23:$AA$7253,'Besi Balok'!$A$23:$A$7253,$A51,'Besi Balok'!$B$23:$B$7253,$B51,'Besi Balok'!$F$23:$F$7253,'REKAP Balok'!R$11)</f>
        <v>0</v>
      </c>
      <c r="S51" s="282">
        <f>SUMIFS('Besi Balok'!$AA$23:$AA$7253,'Besi Balok'!$A$23:$A$7253,$A51,'Besi Balok'!$B$23:$B$7253,$B51,'Besi Balok'!$F$23:$F$7253,'REKAP Balok'!S$11)</f>
        <v>0</v>
      </c>
      <c r="T51" s="283">
        <f>SUMIFS('Besi Balok'!$AA$23:$AA$7253,'Besi Balok'!$A$23:$A$7253,$A51,'Besi Balok'!$B$23:$B$7253,$B51,'Besi Balok'!$F$23:$F$7253,'REKAP Balok'!T$11)</f>
        <v>0</v>
      </c>
      <c r="U51" s="284">
        <f t="shared" si="8"/>
        <v>69.535676160000008</v>
      </c>
      <c r="V51" s="285">
        <f t="shared" si="9"/>
        <v>0.27500000000000002</v>
      </c>
      <c r="W51" s="282">
        <f t="shared" si="13"/>
        <v>2.75</v>
      </c>
      <c r="X51" s="282">
        <v>0</v>
      </c>
      <c r="Y51" s="282">
        <f t="shared" si="10"/>
        <v>0.11</v>
      </c>
      <c r="Z51" s="283">
        <f t="shared" si="11"/>
        <v>0.98999999999999988</v>
      </c>
      <c r="AC51" s="1784">
        <f t="shared" si="12"/>
        <v>0.88</v>
      </c>
    </row>
    <row r="52" spans="1:29" hidden="1">
      <c r="A52" s="272" t="str">
        <f>'Data Panjang Balok'!A48</f>
        <v>Lantai 1</v>
      </c>
      <c r="B52" s="273">
        <f>'Data Panjang Balok'!B48</f>
        <v>38</v>
      </c>
      <c r="C52" s="274" t="str">
        <f>'Data Panjang Balok'!D48</f>
        <v>S24-1</v>
      </c>
      <c r="D52" s="275">
        <f>IF(C52&gt;0,VLOOKUP(C52,'Detail Balok'!$C$11:$AU$140,2,FALSE),0)</f>
        <v>200</v>
      </c>
      <c r="E52" s="276" t="s">
        <v>125</v>
      </c>
      <c r="F52" s="277">
        <f>IF(C52&gt;0,VLOOKUP(C52,'Detail Balok'!$C$11:$AU$140,3,FALSE),0)</f>
        <v>400</v>
      </c>
      <c r="G52" s="278">
        <f>'Data Panjang Balok'!I48</f>
        <v>8825</v>
      </c>
      <c r="H52" s="278">
        <f>'Data Panjang Balok'!J48</f>
        <v>150</v>
      </c>
      <c r="I52" s="279">
        <v>-3.5</v>
      </c>
      <c r="J52" s="279">
        <f t="shared" si="7"/>
        <v>-3.9</v>
      </c>
      <c r="K52" s="280">
        <f>'Data Panjang Balok'!E48</f>
        <v>1</v>
      </c>
      <c r="L52" s="281">
        <f>SUMIFS('Besi Balok'!$AA$23:$AA$7253,'Besi Balok'!$A$23:$A$7253,$A52,'Besi Balok'!$B$23:$B$7253,$B52,'Besi Balok'!$F$23:$F$7253,'REKAP Balok'!L$11)</f>
        <v>0</v>
      </c>
      <c r="M52" s="282">
        <f>SUMIFS('Besi Balok'!$AA$23:$AA$7253,'Besi Balok'!$A$23:$A$7253,$A52,'Besi Balok'!$B$23:$B$7253,$B52,'Besi Balok'!$F$23:$F$7253,'REKAP Balok'!M$11)</f>
        <v>21.945427200000001</v>
      </c>
      <c r="N52" s="282">
        <f>SUMIFS('Besi Balok'!$AA$23:$AA$7253,'Besi Balok'!$A$23:$A$7253,$A52,'Besi Balok'!$B$23:$B$7253,$B52,'Besi Balok'!$F$23:$F$7253,'REKAP Balok'!N$11)</f>
        <v>0</v>
      </c>
      <c r="O52" s="282">
        <f>SUMIFS('Besi Balok'!$AA$23:$AA$7253,'Besi Balok'!$A$23:$A$7253,$A52,'Besi Balok'!$B$23:$B$7253,$B52,'Besi Balok'!$F$23:$F$7253,'REKAP Balok'!O$11)</f>
        <v>57.118219469999993</v>
      </c>
      <c r="P52" s="282">
        <f>SUMIFS('Besi Balok'!$AA$23:$AA$7253,'Besi Balok'!$A$23:$A$7253,$A52,'Besi Balok'!$B$23:$B$7253,$B52,'Besi Balok'!$F$23:$F$7253,'REKAP Balok'!P$11)</f>
        <v>0</v>
      </c>
      <c r="Q52" s="282">
        <f>SUMIFS('Besi Balok'!$AA$23:$AA$7253,'Besi Balok'!$A$23:$A$7253,$A52,'Besi Balok'!$B$23:$B$7253,$B52,'Besi Balok'!$F$23:$F$7253,'REKAP Balok'!Q$11)</f>
        <v>0</v>
      </c>
      <c r="R52" s="282">
        <f>SUMIFS('Besi Balok'!$AA$23:$AA$7253,'Besi Balok'!$A$23:$A$7253,$A52,'Besi Balok'!$B$23:$B$7253,$B52,'Besi Balok'!$F$23:$F$7253,'REKAP Balok'!R$11)</f>
        <v>0</v>
      </c>
      <c r="S52" s="282">
        <f>SUMIFS('Besi Balok'!$AA$23:$AA$7253,'Besi Balok'!$A$23:$A$7253,$A52,'Besi Balok'!$B$23:$B$7253,$B52,'Besi Balok'!$F$23:$F$7253,'REKAP Balok'!S$11)</f>
        <v>0</v>
      </c>
      <c r="T52" s="283">
        <f>SUMIFS('Besi Balok'!$AA$23:$AA$7253,'Besi Balok'!$A$23:$A$7253,$A52,'Besi Balok'!$B$23:$B$7253,$B52,'Besi Balok'!$F$23:$F$7253,'REKAP Balok'!T$11)</f>
        <v>0</v>
      </c>
      <c r="U52" s="284">
        <f t="shared" si="8"/>
        <v>79.063646669999997</v>
      </c>
      <c r="V52" s="285">
        <f t="shared" si="9"/>
        <v>0.44124999999999998</v>
      </c>
      <c r="W52" s="282">
        <f t="shared" si="13"/>
        <v>4.4124999999999996</v>
      </c>
      <c r="X52" s="282">
        <v>0</v>
      </c>
      <c r="Y52" s="282">
        <f t="shared" si="10"/>
        <v>0.17649999999999999</v>
      </c>
      <c r="Z52" s="283">
        <f t="shared" si="11"/>
        <v>1.5884999999999998</v>
      </c>
      <c r="AC52" s="1784">
        <f t="shared" si="12"/>
        <v>1.4119999999999999</v>
      </c>
    </row>
    <row r="53" spans="1:29" hidden="1">
      <c r="A53" s="272" t="str">
        <f>'Data Panjang Balok'!A49</f>
        <v>Lantai 1</v>
      </c>
      <c r="B53" s="273">
        <f>'Data Panjang Balok'!B49</f>
        <v>39</v>
      </c>
      <c r="C53" s="274" t="str">
        <f>'Data Panjang Balok'!D49</f>
        <v>S24-1</v>
      </c>
      <c r="D53" s="275">
        <f>IF(C53&gt;0,VLOOKUP(C53,'Detail Balok'!$C$11:$AU$140,2,FALSE),0)</f>
        <v>200</v>
      </c>
      <c r="E53" s="276" t="s">
        <v>125</v>
      </c>
      <c r="F53" s="277">
        <f>IF(C53&gt;0,VLOOKUP(C53,'Detail Balok'!$C$11:$AU$140,3,FALSE),0)</f>
        <v>400</v>
      </c>
      <c r="G53" s="278">
        <f>'Data Panjang Balok'!I49</f>
        <v>8825</v>
      </c>
      <c r="H53" s="278">
        <f>'Data Panjang Balok'!J49</f>
        <v>0</v>
      </c>
      <c r="I53" s="279">
        <v>-3.5</v>
      </c>
      <c r="J53" s="279">
        <f t="shared" si="7"/>
        <v>-3.9</v>
      </c>
      <c r="K53" s="280">
        <f>'Data Panjang Balok'!E49</f>
        <v>1</v>
      </c>
      <c r="L53" s="281">
        <f>SUMIFS('Besi Balok'!$AA$23:$AA$7253,'Besi Balok'!$A$23:$A$7253,$A53,'Besi Balok'!$B$23:$B$7253,$B53,'Besi Balok'!$F$23:$F$7253,'REKAP Balok'!L$11)</f>
        <v>0</v>
      </c>
      <c r="M53" s="282">
        <f>SUMIFS('Besi Balok'!$AA$23:$AA$7253,'Besi Balok'!$A$23:$A$7253,$A53,'Besi Balok'!$B$23:$B$7253,$B53,'Besi Balok'!$F$23:$F$7253,'REKAP Balok'!M$11)</f>
        <v>21.945427200000001</v>
      </c>
      <c r="N53" s="282">
        <f>SUMIFS('Besi Balok'!$AA$23:$AA$7253,'Besi Balok'!$A$23:$A$7253,$A53,'Besi Balok'!$B$23:$B$7253,$B53,'Besi Balok'!$F$23:$F$7253,'REKAP Balok'!N$11)</f>
        <v>0</v>
      </c>
      <c r="O53" s="282">
        <f>SUMIFS('Besi Balok'!$AA$23:$AA$7253,'Besi Balok'!$A$23:$A$7253,$A53,'Besi Balok'!$B$23:$B$7253,$B53,'Besi Balok'!$F$23:$F$7253,'REKAP Balok'!O$11)</f>
        <v>57.118219469999993</v>
      </c>
      <c r="P53" s="282">
        <f>SUMIFS('Besi Balok'!$AA$23:$AA$7253,'Besi Balok'!$A$23:$A$7253,$A53,'Besi Balok'!$B$23:$B$7253,$B53,'Besi Balok'!$F$23:$F$7253,'REKAP Balok'!P$11)</f>
        <v>0</v>
      </c>
      <c r="Q53" s="282">
        <f>SUMIFS('Besi Balok'!$AA$23:$AA$7253,'Besi Balok'!$A$23:$A$7253,$A53,'Besi Balok'!$B$23:$B$7253,$B53,'Besi Balok'!$F$23:$F$7253,'REKAP Balok'!Q$11)</f>
        <v>0</v>
      </c>
      <c r="R53" s="282">
        <f>SUMIFS('Besi Balok'!$AA$23:$AA$7253,'Besi Balok'!$A$23:$A$7253,$A53,'Besi Balok'!$B$23:$B$7253,$B53,'Besi Balok'!$F$23:$F$7253,'REKAP Balok'!R$11)</f>
        <v>0</v>
      </c>
      <c r="S53" s="282">
        <f>SUMIFS('Besi Balok'!$AA$23:$AA$7253,'Besi Balok'!$A$23:$A$7253,$A53,'Besi Balok'!$B$23:$B$7253,$B53,'Besi Balok'!$F$23:$F$7253,'REKAP Balok'!S$11)</f>
        <v>0</v>
      </c>
      <c r="T53" s="283">
        <f>SUMIFS('Besi Balok'!$AA$23:$AA$7253,'Besi Balok'!$A$23:$A$7253,$A53,'Besi Balok'!$B$23:$B$7253,$B53,'Besi Balok'!$F$23:$F$7253,'REKAP Balok'!T$11)</f>
        <v>0</v>
      </c>
      <c r="U53" s="284">
        <f t="shared" si="8"/>
        <v>79.063646669999997</v>
      </c>
      <c r="V53" s="285">
        <f t="shared" si="9"/>
        <v>0.70599999999999996</v>
      </c>
      <c r="W53" s="282">
        <f t="shared" si="13"/>
        <v>7.06</v>
      </c>
      <c r="X53" s="282">
        <v>0</v>
      </c>
      <c r="Y53" s="282">
        <f t="shared" si="10"/>
        <v>0.17649999999999999</v>
      </c>
      <c r="Z53" s="283">
        <f t="shared" si="11"/>
        <v>1.5884999999999998</v>
      </c>
      <c r="AC53" s="1784">
        <f t="shared" si="12"/>
        <v>1.4119999999999999</v>
      </c>
    </row>
    <row r="54" spans="1:29" hidden="1">
      <c r="A54" s="272" t="str">
        <f>'Data Panjang Balok'!A50</f>
        <v>Lantai 1</v>
      </c>
      <c r="B54" s="273">
        <f>'Data Panjang Balok'!B50</f>
        <v>40</v>
      </c>
      <c r="C54" s="274" t="str">
        <f>'Data Panjang Balok'!D50</f>
        <v>S24-1</v>
      </c>
      <c r="D54" s="275">
        <f>IF(C54&gt;0,VLOOKUP(C54,'Detail Balok'!$C$11:$AU$140,2,FALSE),0)</f>
        <v>200</v>
      </c>
      <c r="E54" s="276" t="s">
        <v>125</v>
      </c>
      <c r="F54" s="277">
        <f>IF(C54&gt;0,VLOOKUP(C54,'Detail Balok'!$C$11:$AU$140,3,FALSE),0)</f>
        <v>400</v>
      </c>
      <c r="G54" s="278">
        <f>'Data Panjang Balok'!I50</f>
        <v>16710</v>
      </c>
      <c r="H54" s="278">
        <f>'Data Panjang Balok'!J50</f>
        <v>0</v>
      </c>
      <c r="I54" s="279">
        <v>-3.5</v>
      </c>
      <c r="J54" s="279">
        <f t="shared" si="7"/>
        <v>-3.9</v>
      </c>
      <c r="K54" s="280">
        <f>'Data Panjang Balok'!E50</f>
        <v>1</v>
      </c>
      <c r="L54" s="281">
        <f>SUMIFS('Besi Balok'!$AA$23:$AA$7253,'Besi Balok'!$A$23:$A$7253,$A54,'Besi Balok'!$B$23:$B$7253,$B54,'Besi Balok'!$F$23:$F$7253,'REKAP Balok'!L$11)</f>
        <v>0</v>
      </c>
      <c r="M54" s="282">
        <f>SUMIFS('Besi Balok'!$AA$23:$AA$7253,'Besi Balok'!$A$23:$A$7253,$A54,'Besi Balok'!$B$23:$B$7253,$B54,'Besi Balok'!$F$23:$F$7253,'REKAP Balok'!M$11)</f>
        <v>40.639680000000006</v>
      </c>
      <c r="N54" s="282">
        <f>SUMIFS('Besi Balok'!$AA$23:$AA$7253,'Besi Balok'!$A$23:$A$7253,$A54,'Besi Balok'!$B$23:$B$7253,$B54,'Besi Balok'!$F$23:$F$7253,'REKAP Balok'!N$11)</f>
        <v>0</v>
      </c>
      <c r="O54" s="282">
        <f>SUMIFS('Besi Balok'!$AA$23:$AA$7253,'Besi Balok'!$A$23:$A$7253,$A54,'Besi Balok'!$B$23:$B$7253,$B54,'Besi Balok'!$F$23:$F$7253,'REKAP Balok'!O$11)</f>
        <v>106.4138621715</v>
      </c>
      <c r="P54" s="282">
        <f>SUMIFS('Besi Balok'!$AA$23:$AA$7253,'Besi Balok'!$A$23:$A$7253,$A54,'Besi Balok'!$B$23:$B$7253,$B54,'Besi Balok'!$F$23:$F$7253,'REKAP Balok'!P$11)</f>
        <v>0</v>
      </c>
      <c r="Q54" s="282">
        <f>SUMIFS('Besi Balok'!$AA$23:$AA$7253,'Besi Balok'!$A$23:$A$7253,$A54,'Besi Balok'!$B$23:$B$7253,$B54,'Besi Balok'!$F$23:$F$7253,'REKAP Balok'!Q$11)</f>
        <v>0</v>
      </c>
      <c r="R54" s="282">
        <f>SUMIFS('Besi Balok'!$AA$23:$AA$7253,'Besi Balok'!$A$23:$A$7253,$A54,'Besi Balok'!$B$23:$B$7253,$B54,'Besi Balok'!$F$23:$F$7253,'REKAP Balok'!R$11)</f>
        <v>0</v>
      </c>
      <c r="S54" s="282">
        <f>SUMIFS('Besi Balok'!$AA$23:$AA$7253,'Besi Balok'!$A$23:$A$7253,$A54,'Besi Balok'!$B$23:$B$7253,$B54,'Besi Balok'!$F$23:$F$7253,'REKAP Balok'!S$11)</f>
        <v>0</v>
      </c>
      <c r="T54" s="283">
        <f>SUMIFS('Besi Balok'!$AA$23:$AA$7253,'Besi Balok'!$A$23:$A$7253,$A54,'Besi Balok'!$B$23:$B$7253,$B54,'Besi Balok'!$F$23:$F$7253,'REKAP Balok'!T$11)</f>
        <v>0</v>
      </c>
      <c r="U54" s="284">
        <f t="shared" si="8"/>
        <v>147.0535421715</v>
      </c>
      <c r="V54" s="285">
        <f t="shared" si="9"/>
        <v>1.3368</v>
      </c>
      <c r="W54" s="282">
        <f t="shared" si="13"/>
        <v>13.368</v>
      </c>
      <c r="X54" s="282">
        <v>0</v>
      </c>
      <c r="Y54" s="282">
        <f t="shared" si="10"/>
        <v>0.3342</v>
      </c>
      <c r="Z54" s="283">
        <f t="shared" si="11"/>
        <v>3.0077999999999996</v>
      </c>
      <c r="AC54" s="1784">
        <f t="shared" si="12"/>
        <v>2.6736</v>
      </c>
    </row>
    <row r="55" spans="1:29" hidden="1">
      <c r="A55" s="272" t="str">
        <f>'Data Panjang Balok'!A51</f>
        <v>Lantai 1</v>
      </c>
      <c r="B55" s="273">
        <f>'Data Panjang Balok'!B51</f>
        <v>41</v>
      </c>
      <c r="C55" s="274" t="str">
        <f>'Data Panjang Balok'!D51</f>
        <v>S24-1</v>
      </c>
      <c r="D55" s="275">
        <f>IF(C55&gt;0,VLOOKUP(C55,'Detail Balok'!$C$11:$AU$140,2,FALSE),0)</f>
        <v>200</v>
      </c>
      <c r="E55" s="276" t="s">
        <v>125</v>
      </c>
      <c r="F55" s="277">
        <f>IF(C55&gt;0,VLOOKUP(C55,'Detail Balok'!$C$11:$AU$140,3,FALSE),0)</f>
        <v>400</v>
      </c>
      <c r="G55" s="278">
        <f>'Data Panjang Balok'!I51</f>
        <v>7090</v>
      </c>
      <c r="H55" s="278">
        <f>'Data Panjang Balok'!J51</f>
        <v>0</v>
      </c>
      <c r="I55" s="279">
        <v>-3.5</v>
      </c>
      <c r="J55" s="279">
        <f t="shared" si="7"/>
        <v>-3.9</v>
      </c>
      <c r="K55" s="280">
        <f>'Data Panjang Balok'!E51</f>
        <v>1</v>
      </c>
      <c r="L55" s="281">
        <f>SUMIFS('Besi Balok'!$AA$23:$AA$7253,'Besi Balok'!$A$23:$A$7253,$A55,'Besi Balok'!$B$23:$B$7253,$B55,'Besi Balok'!$F$23:$F$7253,'REKAP Balok'!L$11)</f>
        <v>0</v>
      </c>
      <c r="M55" s="282">
        <f>SUMIFS('Besi Balok'!$AA$23:$AA$7253,'Besi Balok'!$A$23:$A$7253,$A55,'Besi Balok'!$B$23:$B$7253,$B55,'Besi Balok'!$F$23:$F$7253,'REKAP Balok'!M$11)</f>
        <v>17.881459200000002</v>
      </c>
      <c r="N55" s="282">
        <f>SUMIFS('Besi Balok'!$AA$23:$AA$7253,'Besi Balok'!$A$23:$A$7253,$A55,'Besi Balok'!$B$23:$B$7253,$B55,'Besi Balok'!$F$23:$F$7253,'REKAP Balok'!N$11)</f>
        <v>0</v>
      </c>
      <c r="O55" s="282">
        <f>SUMIFS('Besi Balok'!$AA$23:$AA$7253,'Besi Balok'!$A$23:$A$7253,$A55,'Besi Balok'!$B$23:$B$7253,$B55,'Besi Balok'!$F$23:$F$7253,'REKAP Balok'!O$11)</f>
        <v>46.272196619999988</v>
      </c>
      <c r="P55" s="282">
        <f>SUMIFS('Besi Balok'!$AA$23:$AA$7253,'Besi Balok'!$A$23:$A$7253,$A55,'Besi Balok'!$B$23:$B$7253,$B55,'Besi Balok'!$F$23:$F$7253,'REKAP Balok'!P$11)</f>
        <v>0</v>
      </c>
      <c r="Q55" s="282">
        <f>SUMIFS('Besi Balok'!$AA$23:$AA$7253,'Besi Balok'!$A$23:$A$7253,$A55,'Besi Balok'!$B$23:$B$7253,$B55,'Besi Balok'!$F$23:$F$7253,'REKAP Balok'!Q$11)</f>
        <v>0</v>
      </c>
      <c r="R55" s="282">
        <f>SUMIFS('Besi Balok'!$AA$23:$AA$7253,'Besi Balok'!$A$23:$A$7253,$A55,'Besi Balok'!$B$23:$B$7253,$B55,'Besi Balok'!$F$23:$F$7253,'REKAP Balok'!R$11)</f>
        <v>0</v>
      </c>
      <c r="S55" s="282">
        <f>SUMIFS('Besi Balok'!$AA$23:$AA$7253,'Besi Balok'!$A$23:$A$7253,$A55,'Besi Balok'!$B$23:$B$7253,$B55,'Besi Balok'!$F$23:$F$7253,'REKAP Balok'!S$11)</f>
        <v>0</v>
      </c>
      <c r="T55" s="283">
        <f>SUMIFS('Besi Balok'!$AA$23:$AA$7253,'Besi Balok'!$A$23:$A$7253,$A55,'Besi Balok'!$B$23:$B$7253,$B55,'Besi Balok'!$F$23:$F$7253,'REKAP Balok'!T$11)</f>
        <v>0</v>
      </c>
      <c r="U55" s="284">
        <f t="shared" si="8"/>
        <v>64.153655819999983</v>
      </c>
      <c r="V55" s="285">
        <f t="shared" si="9"/>
        <v>0.56720000000000004</v>
      </c>
      <c r="W55" s="282">
        <f t="shared" si="13"/>
        <v>5.6719999999999997</v>
      </c>
      <c r="X55" s="282">
        <v>0</v>
      </c>
      <c r="Y55" s="282">
        <f t="shared" si="10"/>
        <v>0.14180000000000001</v>
      </c>
      <c r="Z55" s="283">
        <f t="shared" si="11"/>
        <v>1.2761999999999998</v>
      </c>
      <c r="AC55" s="1784">
        <f t="shared" si="12"/>
        <v>1.1344000000000001</v>
      </c>
    </row>
    <row r="56" spans="1:29">
      <c r="A56" s="272" t="str">
        <f>'Data Panjang Balok'!A52</f>
        <v>Lantai 1</v>
      </c>
      <c r="B56" s="273">
        <f>'Data Panjang Balok'!B52</f>
        <v>42</v>
      </c>
      <c r="C56" s="274" t="str">
        <f>'Data Panjang Balok'!D52</f>
        <v>S25-1</v>
      </c>
      <c r="D56" s="275">
        <f>IF(C56&gt;0,VLOOKUP(C56,'Detail Balok'!$C$11:$AU$140,2,FALSE),0)</f>
        <v>200</v>
      </c>
      <c r="E56" s="276" t="s">
        <v>125</v>
      </c>
      <c r="F56" s="277">
        <f>IF(C56&gt;0,VLOOKUP(C56,'Detail Balok'!$C$11:$AU$140,3,FALSE),0)</f>
        <v>500</v>
      </c>
      <c r="G56" s="278">
        <f>'Data Panjang Balok'!I52</f>
        <v>5500</v>
      </c>
      <c r="H56" s="278">
        <f>'Data Panjang Balok'!J52</f>
        <v>150</v>
      </c>
      <c r="I56" s="279">
        <v>-3.5</v>
      </c>
      <c r="J56" s="279">
        <f t="shared" si="7"/>
        <v>-4</v>
      </c>
      <c r="K56" s="280">
        <f>'Data Panjang Balok'!E52</f>
        <v>1</v>
      </c>
      <c r="L56" s="281">
        <f>SUMIFS('Besi Balok'!$AA$23:$AA$7253,'Besi Balok'!$A$23:$A$7253,$A56,'Besi Balok'!$B$23:$B$7253,$B56,'Besi Balok'!$F$23:$F$7253,'REKAP Balok'!L$11)</f>
        <v>0</v>
      </c>
      <c r="M56" s="282">
        <f>SUMIFS('Besi Balok'!$AA$23:$AA$7253,'Besi Balok'!$A$23:$A$7253,$A56,'Besi Balok'!$B$23:$B$7253,$B56,'Besi Balok'!$F$23:$F$7253,'REKAP Balok'!M$11)</f>
        <v>16.5004992</v>
      </c>
      <c r="N56" s="282">
        <f>SUMIFS('Besi Balok'!$AA$23:$AA$7253,'Besi Balok'!$A$23:$A$7253,$A56,'Besi Balok'!$B$23:$B$7253,$B56,'Besi Balok'!$F$23:$F$7253,'REKAP Balok'!N$11)</f>
        <v>7.0774200000000009</v>
      </c>
      <c r="O56" s="282">
        <f>SUMIFS('Besi Balok'!$AA$23:$AA$7253,'Besi Balok'!$A$23:$A$7253,$A56,'Besi Balok'!$B$23:$B$7253,$B56,'Besi Balok'!$F$23:$F$7253,'REKAP Balok'!O$11)</f>
        <v>0</v>
      </c>
      <c r="P56" s="282">
        <f>SUMIFS('Besi Balok'!$AA$23:$AA$7253,'Besi Balok'!$A$23:$A$7253,$A56,'Besi Balok'!$B$23:$B$7253,$B56,'Besi Balok'!$F$23:$F$7253,'REKAP Balok'!P$11)</f>
        <v>55.718184960000009</v>
      </c>
      <c r="Q56" s="282">
        <f>SUMIFS('Besi Balok'!$AA$23:$AA$7253,'Besi Balok'!$A$23:$A$7253,$A56,'Besi Balok'!$B$23:$B$7253,$B56,'Besi Balok'!$F$23:$F$7253,'REKAP Balok'!Q$11)</f>
        <v>0</v>
      </c>
      <c r="R56" s="282">
        <f>SUMIFS('Besi Balok'!$AA$23:$AA$7253,'Besi Balok'!$A$23:$A$7253,$A56,'Besi Balok'!$B$23:$B$7253,$B56,'Besi Balok'!$F$23:$F$7253,'REKAP Balok'!R$11)</f>
        <v>0</v>
      </c>
      <c r="S56" s="282">
        <f>SUMIFS('Besi Balok'!$AA$23:$AA$7253,'Besi Balok'!$A$23:$A$7253,$A56,'Besi Balok'!$B$23:$B$7253,$B56,'Besi Balok'!$F$23:$F$7253,'REKAP Balok'!S$11)</f>
        <v>0</v>
      </c>
      <c r="T56" s="283">
        <f>SUMIFS('Besi Balok'!$AA$23:$AA$7253,'Besi Balok'!$A$23:$A$7253,$A56,'Besi Balok'!$B$23:$B$7253,$B56,'Besi Balok'!$F$23:$F$7253,'REKAP Balok'!T$11)</f>
        <v>0</v>
      </c>
      <c r="U56" s="284">
        <f t="shared" si="8"/>
        <v>79.296104160000013</v>
      </c>
      <c r="V56" s="285">
        <f t="shared" si="9"/>
        <v>0.38500000000000001</v>
      </c>
      <c r="W56" s="282">
        <f t="shared" si="13"/>
        <v>3.85</v>
      </c>
      <c r="X56" s="282">
        <v>0</v>
      </c>
      <c r="Y56" s="282">
        <f t="shared" si="10"/>
        <v>0.11</v>
      </c>
      <c r="Z56" s="283">
        <f t="shared" si="11"/>
        <v>1.2100000000000002</v>
      </c>
      <c r="AB56" s="246">
        <f t="shared" ref="AB56:AB57" si="21">U56/V56</f>
        <v>205.96390690909095</v>
      </c>
      <c r="AC56" s="1784">
        <f t="shared" si="12"/>
        <v>1.1000000000000001</v>
      </c>
    </row>
    <row r="57" spans="1:29">
      <c r="A57" s="272" t="str">
        <f>'Data Panjang Balok'!A53</f>
        <v>Lantai 1</v>
      </c>
      <c r="B57" s="273">
        <f>'Data Panjang Balok'!B53</f>
        <v>43</v>
      </c>
      <c r="C57" s="274" t="str">
        <f>'Data Panjang Balok'!D53</f>
        <v>S25-1</v>
      </c>
      <c r="D57" s="275">
        <f>IF(C57&gt;0,VLOOKUP(C57,'Detail Balok'!$C$11:$AU$140,2,FALSE),0)</f>
        <v>200</v>
      </c>
      <c r="E57" s="276" t="s">
        <v>125</v>
      </c>
      <c r="F57" s="277">
        <f>IF(C57&gt;0,VLOOKUP(C57,'Detail Balok'!$C$11:$AU$140,3,FALSE),0)</f>
        <v>500</v>
      </c>
      <c r="G57" s="278">
        <f>'Data Panjang Balok'!I53</f>
        <v>5575</v>
      </c>
      <c r="H57" s="278">
        <f>'Data Panjang Balok'!J53</f>
        <v>150</v>
      </c>
      <c r="I57" s="279">
        <v>-3.5</v>
      </c>
      <c r="J57" s="279">
        <f t="shared" si="7"/>
        <v>-4</v>
      </c>
      <c r="K57" s="280">
        <f>'Data Panjang Balok'!E53</f>
        <v>1</v>
      </c>
      <c r="L57" s="281">
        <f>SUMIFS('Besi Balok'!$AA$23:$AA$7253,'Besi Balok'!$A$23:$A$7253,$A57,'Besi Balok'!$B$23:$B$7253,$B57,'Besi Balok'!$F$23:$F$7253,'REKAP Balok'!L$11)</f>
        <v>0</v>
      </c>
      <c r="M57" s="282">
        <f>SUMIFS('Besi Balok'!$AA$23:$AA$7253,'Besi Balok'!$A$23:$A$7253,$A57,'Besi Balok'!$B$23:$B$7253,$B57,'Besi Balok'!$F$23:$F$7253,'REKAP Balok'!M$11)</f>
        <v>16.5004992</v>
      </c>
      <c r="N57" s="282">
        <f>SUMIFS('Besi Balok'!$AA$23:$AA$7253,'Besi Balok'!$A$23:$A$7253,$A57,'Besi Balok'!$B$23:$B$7253,$B57,'Besi Balok'!$F$23:$F$7253,'REKAP Balok'!N$11)</f>
        <v>7.1698950000000012</v>
      </c>
      <c r="O57" s="282">
        <f>SUMIFS('Besi Balok'!$AA$23:$AA$7253,'Besi Balok'!$A$23:$A$7253,$A57,'Besi Balok'!$B$23:$B$7253,$B57,'Besi Balok'!$F$23:$F$7253,'REKAP Balok'!O$11)</f>
        <v>0</v>
      </c>
      <c r="P57" s="282">
        <f>SUMIFS('Besi Balok'!$AA$23:$AA$7253,'Besi Balok'!$A$23:$A$7253,$A57,'Besi Balok'!$B$23:$B$7253,$B57,'Besi Balok'!$F$23:$F$7253,'REKAP Balok'!P$11)</f>
        <v>56.428392960000011</v>
      </c>
      <c r="Q57" s="282">
        <f>SUMIFS('Besi Balok'!$AA$23:$AA$7253,'Besi Balok'!$A$23:$A$7253,$A57,'Besi Balok'!$B$23:$B$7253,$B57,'Besi Balok'!$F$23:$F$7253,'REKAP Balok'!Q$11)</f>
        <v>0</v>
      </c>
      <c r="R57" s="282">
        <f>SUMIFS('Besi Balok'!$AA$23:$AA$7253,'Besi Balok'!$A$23:$A$7253,$A57,'Besi Balok'!$B$23:$B$7253,$B57,'Besi Balok'!$F$23:$F$7253,'REKAP Balok'!R$11)</f>
        <v>0</v>
      </c>
      <c r="S57" s="282">
        <f>SUMIFS('Besi Balok'!$AA$23:$AA$7253,'Besi Balok'!$A$23:$A$7253,$A57,'Besi Balok'!$B$23:$B$7253,$B57,'Besi Balok'!$F$23:$F$7253,'REKAP Balok'!S$11)</f>
        <v>0</v>
      </c>
      <c r="T57" s="283">
        <f>SUMIFS('Besi Balok'!$AA$23:$AA$7253,'Besi Balok'!$A$23:$A$7253,$A57,'Besi Balok'!$B$23:$B$7253,$B57,'Besi Balok'!$F$23:$F$7253,'REKAP Balok'!T$11)</f>
        <v>0</v>
      </c>
      <c r="U57" s="284">
        <f t="shared" si="8"/>
        <v>80.098787160000015</v>
      </c>
      <c r="V57" s="285">
        <f t="shared" si="9"/>
        <v>0.39024999999999999</v>
      </c>
      <c r="W57" s="282">
        <f t="shared" si="13"/>
        <v>3.9024999999999999</v>
      </c>
      <c r="X57" s="282">
        <v>0</v>
      </c>
      <c r="Y57" s="282">
        <f t="shared" si="10"/>
        <v>0.1115</v>
      </c>
      <c r="Z57" s="283">
        <f t="shared" si="11"/>
        <v>1.2265000000000001</v>
      </c>
      <c r="AB57" s="246">
        <f t="shared" si="21"/>
        <v>205.24993506726463</v>
      </c>
      <c r="AC57" s="1784">
        <f t="shared" si="12"/>
        <v>1.115</v>
      </c>
    </row>
    <row r="58" spans="1:29" hidden="1">
      <c r="A58" s="272" t="str">
        <f>'Data Panjang Balok'!A54</f>
        <v>Lantai 1</v>
      </c>
      <c r="B58" s="273">
        <f>'Data Panjang Balok'!B54</f>
        <v>44</v>
      </c>
      <c r="C58" s="274" t="str">
        <f>'Data Panjang Balok'!D54</f>
        <v>S36-1</v>
      </c>
      <c r="D58" s="275">
        <f>IF(C58&gt;0,VLOOKUP(C58,'Detail Balok'!$C$11:$AU$140,2,FALSE),0)</f>
        <v>300</v>
      </c>
      <c r="E58" s="276" t="s">
        <v>125</v>
      </c>
      <c r="F58" s="277">
        <f>IF(C58&gt;0,VLOOKUP(C58,'Detail Balok'!$C$11:$AU$140,3,FALSE),0)</f>
        <v>600</v>
      </c>
      <c r="G58" s="278">
        <f>'Data Panjang Balok'!I54</f>
        <v>5585</v>
      </c>
      <c r="H58" s="278">
        <f>'Data Panjang Balok'!J54</f>
        <v>150</v>
      </c>
      <c r="I58" s="279">
        <v>-3.5</v>
      </c>
      <c r="J58" s="279">
        <f t="shared" si="7"/>
        <v>-4.0999999999999996</v>
      </c>
      <c r="K58" s="280">
        <f>'Data Panjang Balok'!E54</f>
        <v>1</v>
      </c>
      <c r="L58" s="281">
        <f>SUMIFS('Besi Balok'!$AA$23:$AA$7253,'Besi Balok'!$A$23:$A$7253,$A58,'Besi Balok'!$B$23:$B$7253,$B58,'Besi Balok'!$F$23:$F$7253,'REKAP Balok'!L$11)</f>
        <v>0</v>
      </c>
      <c r="M58" s="282">
        <f>SUMIFS('Besi Balok'!$AA$23:$AA$7253,'Besi Balok'!$A$23:$A$7253,$A58,'Besi Balok'!$B$23:$B$7253,$B58,'Besi Balok'!$F$23:$F$7253,'REKAP Balok'!M$11)</f>
        <v>21.866515199999998</v>
      </c>
      <c r="N58" s="282">
        <f>SUMIFS('Besi Balok'!$AA$23:$AA$7253,'Besi Balok'!$A$23:$A$7253,$A58,'Besi Balok'!$B$23:$B$7253,$B58,'Besi Balok'!$F$23:$F$7253,'REKAP Balok'!N$11)</f>
        <v>7.1822250000000007</v>
      </c>
      <c r="O58" s="282">
        <f>SUMIFS('Besi Balok'!$AA$23:$AA$7253,'Besi Balok'!$A$23:$A$7253,$A58,'Besi Balok'!$B$23:$B$7253,$B58,'Besi Balok'!$F$23:$F$7253,'REKAP Balok'!O$11)</f>
        <v>0</v>
      </c>
      <c r="P58" s="282">
        <f>SUMIFS('Besi Balok'!$AA$23:$AA$7253,'Besi Balok'!$A$23:$A$7253,$A58,'Besi Balok'!$B$23:$B$7253,$B58,'Besi Balok'!$F$23:$F$7253,'REKAP Balok'!P$11)</f>
        <v>75.364116479999993</v>
      </c>
      <c r="Q58" s="282">
        <f>SUMIFS('Besi Balok'!$AA$23:$AA$7253,'Besi Balok'!$A$23:$A$7253,$A58,'Besi Balok'!$B$23:$B$7253,$B58,'Besi Balok'!$F$23:$F$7253,'REKAP Balok'!Q$11)</f>
        <v>0</v>
      </c>
      <c r="R58" s="282">
        <f>SUMIFS('Besi Balok'!$AA$23:$AA$7253,'Besi Balok'!$A$23:$A$7253,$A58,'Besi Balok'!$B$23:$B$7253,$B58,'Besi Balok'!$F$23:$F$7253,'REKAP Balok'!R$11)</f>
        <v>0</v>
      </c>
      <c r="S58" s="282">
        <f>SUMIFS('Besi Balok'!$AA$23:$AA$7253,'Besi Balok'!$A$23:$A$7253,$A58,'Besi Balok'!$B$23:$B$7253,$B58,'Besi Balok'!$F$23:$F$7253,'REKAP Balok'!S$11)</f>
        <v>0</v>
      </c>
      <c r="T58" s="283">
        <f>SUMIFS('Besi Balok'!$AA$23:$AA$7253,'Besi Balok'!$A$23:$A$7253,$A58,'Besi Balok'!$B$23:$B$7253,$B58,'Besi Balok'!$F$23:$F$7253,'REKAP Balok'!T$11)</f>
        <v>0</v>
      </c>
      <c r="U58" s="284">
        <f t="shared" si="8"/>
        <v>104.41285667999999</v>
      </c>
      <c r="V58" s="285">
        <f t="shared" si="9"/>
        <v>0.75397499999999995</v>
      </c>
      <c r="W58" s="282">
        <f t="shared" si="13"/>
        <v>5.0265000000000004</v>
      </c>
      <c r="X58" s="282">
        <v>0</v>
      </c>
      <c r="Y58" s="282">
        <f t="shared" si="10"/>
        <v>0.139625</v>
      </c>
      <c r="Z58" s="283">
        <f t="shared" si="11"/>
        <v>1.815124999999999</v>
      </c>
      <c r="AC58" s="1784">
        <f t="shared" si="12"/>
        <v>1.6755</v>
      </c>
    </row>
    <row r="59" spans="1:29">
      <c r="A59" s="272" t="str">
        <f>'Data Panjang Balok'!A55</f>
        <v>Lantai 1</v>
      </c>
      <c r="B59" s="273">
        <f>'Data Panjang Balok'!B55</f>
        <v>45</v>
      </c>
      <c r="C59" s="274" t="str">
        <f>'Data Panjang Balok'!D55</f>
        <v>S25-1</v>
      </c>
      <c r="D59" s="275">
        <f>IF(C59&gt;0,VLOOKUP(C59,'Detail Balok'!$C$11:$AU$140,2,FALSE),0)</f>
        <v>200</v>
      </c>
      <c r="E59" s="276" t="s">
        <v>125</v>
      </c>
      <c r="F59" s="277">
        <f>IF(C59&gt;0,VLOOKUP(C59,'Detail Balok'!$C$11:$AU$140,3,FALSE),0)</f>
        <v>500</v>
      </c>
      <c r="G59" s="278">
        <f>'Data Panjang Balok'!I55</f>
        <v>5575</v>
      </c>
      <c r="H59" s="278">
        <f>'Data Panjang Balok'!J55</f>
        <v>150</v>
      </c>
      <c r="I59" s="279">
        <v>-3.5</v>
      </c>
      <c r="J59" s="279">
        <f t="shared" si="7"/>
        <v>-4</v>
      </c>
      <c r="K59" s="280">
        <f>'Data Panjang Balok'!E55</f>
        <v>1</v>
      </c>
      <c r="L59" s="281">
        <f>SUMIFS('Besi Balok'!$AA$23:$AA$7253,'Besi Balok'!$A$23:$A$7253,$A59,'Besi Balok'!$B$23:$B$7253,$B59,'Besi Balok'!$F$23:$F$7253,'REKAP Balok'!L$11)</f>
        <v>0</v>
      </c>
      <c r="M59" s="282">
        <f>SUMIFS('Besi Balok'!$AA$23:$AA$7253,'Besi Balok'!$A$23:$A$7253,$A59,'Besi Balok'!$B$23:$B$7253,$B59,'Besi Balok'!$F$23:$F$7253,'REKAP Balok'!M$11)</f>
        <v>16.5004992</v>
      </c>
      <c r="N59" s="282">
        <f>SUMIFS('Besi Balok'!$AA$23:$AA$7253,'Besi Balok'!$A$23:$A$7253,$A59,'Besi Balok'!$B$23:$B$7253,$B59,'Besi Balok'!$F$23:$F$7253,'REKAP Balok'!N$11)</f>
        <v>7.1698950000000012</v>
      </c>
      <c r="O59" s="282">
        <f>SUMIFS('Besi Balok'!$AA$23:$AA$7253,'Besi Balok'!$A$23:$A$7253,$A59,'Besi Balok'!$B$23:$B$7253,$B59,'Besi Balok'!$F$23:$F$7253,'REKAP Balok'!O$11)</f>
        <v>0</v>
      </c>
      <c r="P59" s="282">
        <f>SUMIFS('Besi Balok'!$AA$23:$AA$7253,'Besi Balok'!$A$23:$A$7253,$A59,'Besi Balok'!$B$23:$B$7253,$B59,'Besi Balok'!$F$23:$F$7253,'REKAP Balok'!P$11)</f>
        <v>56.428392960000011</v>
      </c>
      <c r="Q59" s="282">
        <f>SUMIFS('Besi Balok'!$AA$23:$AA$7253,'Besi Balok'!$A$23:$A$7253,$A59,'Besi Balok'!$B$23:$B$7253,$B59,'Besi Balok'!$F$23:$F$7253,'REKAP Balok'!Q$11)</f>
        <v>0</v>
      </c>
      <c r="R59" s="282">
        <f>SUMIFS('Besi Balok'!$AA$23:$AA$7253,'Besi Balok'!$A$23:$A$7253,$A59,'Besi Balok'!$B$23:$B$7253,$B59,'Besi Balok'!$F$23:$F$7253,'REKAP Balok'!R$11)</f>
        <v>0</v>
      </c>
      <c r="S59" s="282">
        <f>SUMIFS('Besi Balok'!$AA$23:$AA$7253,'Besi Balok'!$A$23:$A$7253,$A59,'Besi Balok'!$B$23:$B$7253,$B59,'Besi Balok'!$F$23:$F$7253,'REKAP Balok'!S$11)</f>
        <v>0</v>
      </c>
      <c r="T59" s="283">
        <f>SUMIFS('Besi Balok'!$AA$23:$AA$7253,'Besi Balok'!$A$23:$A$7253,$A59,'Besi Balok'!$B$23:$B$7253,$B59,'Besi Balok'!$F$23:$F$7253,'REKAP Balok'!T$11)</f>
        <v>0</v>
      </c>
      <c r="U59" s="284">
        <f t="shared" si="8"/>
        <v>80.098787160000015</v>
      </c>
      <c r="V59" s="285">
        <f t="shared" si="9"/>
        <v>0.39024999999999999</v>
      </c>
      <c r="W59" s="282">
        <f t="shared" si="13"/>
        <v>3.9024999999999999</v>
      </c>
      <c r="X59" s="282">
        <v>0</v>
      </c>
      <c r="Y59" s="282">
        <f t="shared" si="10"/>
        <v>0.1115</v>
      </c>
      <c r="Z59" s="283">
        <f t="shared" si="11"/>
        <v>1.2265000000000001</v>
      </c>
      <c r="AB59" s="246">
        <f t="shared" ref="AB59:AB61" si="22">U59/V59</f>
        <v>205.24993506726463</v>
      </c>
      <c r="AC59" s="1784">
        <f t="shared" si="12"/>
        <v>1.115</v>
      </c>
    </row>
    <row r="60" spans="1:29">
      <c r="A60" s="272" t="str">
        <f>'Data Panjang Balok'!A56</f>
        <v>Lantai 1</v>
      </c>
      <c r="B60" s="273">
        <f>'Data Panjang Balok'!B56</f>
        <v>46</v>
      </c>
      <c r="C60" s="274" t="str">
        <f>'Data Panjang Balok'!D56</f>
        <v>S25-1</v>
      </c>
      <c r="D60" s="275">
        <f>IF(C60&gt;0,VLOOKUP(C60,'Detail Balok'!$C$11:$AU$140,2,FALSE),0)</f>
        <v>200</v>
      </c>
      <c r="E60" s="276" t="s">
        <v>125</v>
      </c>
      <c r="F60" s="277">
        <f>IF(C60&gt;0,VLOOKUP(C60,'Detail Balok'!$C$11:$AU$140,3,FALSE),0)</f>
        <v>500</v>
      </c>
      <c r="G60" s="278">
        <f>'Data Panjang Balok'!I56</f>
        <v>5575</v>
      </c>
      <c r="H60" s="278">
        <f>'Data Panjang Balok'!J56</f>
        <v>100</v>
      </c>
      <c r="I60" s="279">
        <v>-3.5</v>
      </c>
      <c r="J60" s="279">
        <f t="shared" si="7"/>
        <v>-4</v>
      </c>
      <c r="K60" s="280">
        <f>'Data Panjang Balok'!E56</f>
        <v>2</v>
      </c>
      <c r="L60" s="281">
        <f>SUMIFS('Besi Balok'!$AA$23:$AA$7253,'Besi Balok'!$A$23:$A$7253,$A60,'Besi Balok'!$B$23:$B$7253,$B60,'Besi Balok'!$F$23:$F$7253,'REKAP Balok'!L$11)</f>
        <v>0</v>
      </c>
      <c r="M60" s="282">
        <f>SUMIFS('Besi Balok'!$AA$23:$AA$7253,'Besi Balok'!$A$23:$A$7253,$A60,'Besi Balok'!$B$23:$B$7253,$B60,'Besi Balok'!$F$23:$F$7253,'REKAP Balok'!M$11)</f>
        <v>33.0009984</v>
      </c>
      <c r="N60" s="282">
        <f>SUMIFS('Besi Balok'!$AA$23:$AA$7253,'Besi Balok'!$A$23:$A$7253,$A60,'Besi Balok'!$B$23:$B$7253,$B60,'Besi Balok'!$F$23:$F$7253,'REKAP Balok'!N$11)</f>
        <v>14.339790000000002</v>
      </c>
      <c r="O60" s="282">
        <f>SUMIFS('Besi Balok'!$AA$23:$AA$7253,'Besi Balok'!$A$23:$A$7253,$A60,'Besi Balok'!$B$23:$B$7253,$B60,'Besi Balok'!$F$23:$F$7253,'REKAP Balok'!O$11)</f>
        <v>0</v>
      </c>
      <c r="P60" s="282">
        <f>SUMIFS('Besi Balok'!$AA$23:$AA$7253,'Besi Balok'!$A$23:$A$7253,$A60,'Besi Balok'!$B$23:$B$7253,$B60,'Besi Balok'!$F$23:$F$7253,'REKAP Balok'!P$11)</f>
        <v>112.85678592000002</v>
      </c>
      <c r="Q60" s="282">
        <f>SUMIFS('Besi Balok'!$AA$23:$AA$7253,'Besi Balok'!$A$23:$A$7253,$A60,'Besi Balok'!$B$23:$B$7253,$B60,'Besi Balok'!$F$23:$F$7253,'REKAP Balok'!Q$11)</f>
        <v>0</v>
      </c>
      <c r="R60" s="282">
        <f>SUMIFS('Besi Balok'!$AA$23:$AA$7253,'Besi Balok'!$A$23:$A$7253,$A60,'Besi Balok'!$B$23:$B$7253,$B60,'Besi Balok'!$F$23:$F$7253,'REKAP Balok'!R$11)</f>
        <v>0</v>
      </c>
      <c r="S60" s="282">
        <f>SUMIFS('Besi Balok'!$AA$23:$AA$7253,'Besi Balok'!$A$23:$A$7253,$A60,'Besi Balok'!$B$23:$B$7253,$B60,'Besi Balok'!$F$23:$F$7253,'REKAP Balok'!S$11)</f>
        <v>0</v>
      </c>
      <c r="T60" s="283">
        <f>SUMIFS('Besi Balok'!$AA$23:$AA$7253,'Besi Balok'!$A$23:$A$7253,$A60,'Besi Balok'!$B$23:$B$7253,$B60,'Besi Balok'!$F$23:$F$7253,'REKAP Balok'!T$11)</f>
        <v>0</v>
      </c>
      <c r="U60" s="284">
        <f t="shared" si="8"/>
        <v>160.19757432000003</v>
      </c>
      <c r="V60" s="285">
        <f t="shared" si="9"/>
        <v>0.89200000000000002</v>
      </c>
      <c r="W60" s="282">
        <f t="shared" si="13"/>
        <v>8.92</v>
      </c>
      <c r="X60" s="282">
        <v>0</v>
      </c>
      <c r="Y60" s="282">
        <f t="shared" si="10"/>
        <v>0.223</v>
      </c>
      <c r="Z60" s="283">
        <f t="shared" si="11"/>
        <v>2.4530000000000003</v>
      </c>
      <c r="AB60" s="246">
        <f t="shared" si="22"/>
        <v>179.59369318385654</v>
      </c>
      <c r="AC60" s="1784">
        <f t="shared" si="12"/>
        <v>1.115</v>
      </c>
    </row>
    <row r="61" spans="1:29">
      <c r="A61" s="272" t="str">
        <f>'Data Panjang Balok'!A57</f>
        <v>Lantai 1</v>
      </c>
      <c r="B61" s="273">
        <f>'Data Panjang Balok'!B57</f>
        <v>47</v>
      </c>
      <c r="C61" s="274" t="str">
        <f>'Data Panjang Balok'!D57</f>
        <v>S25-1</v>
      </c>
      <c r="D61" s="275">
        <f>IF(C61&gt;0,VLOOKUP(C61,'Detail Balok'!$C$11:$AU$140,2,FALSE),0)</f>
        <v>200</v>
      </c>
      <c r="E61" s="276" t="s">
        <v>125</v>
      </c>
      <c r="F61" s="277">
        <f>IF(C61&gt;0,VLOOKUP(C61,'Detail Balok'!$C$11:$AU$140,3,FALSE),0)</f>
        <v>500</v>
      </c>
      <c r="G61" s="278">
        <f>'Data Panjang Balok'!I57</f>
        <v>3850</v>
      </c>
      <c r="H61" s="278">
        <f>'Data Panjang Balok'!J57</f>
        <v>200</v>
      </c>
      <c r="I61" s="279">
        <v>-3.5</v>
      </c>
      <c r="J61" s="279">
        <f t="shared" si="7"/>
        <v>-4</v>
      </c>
      <c r="K61" s="280">
        <f>'Data Panjang Balok'!E57</f>
        <v>1</v>
      </c>
      <c r="L61" s="281">
        <f>SUMIFS('Besi Balok'!$AA$23:$AA$7253,'Besi Balok'!$A$23:$A$7253,$A61,'Besi Balok'!$B$23:$B$7253,$B61,'Besi Balok'!$F$23:$F$7253,'REKAP Balok'!L$11)</f>
        <v>0</v>
      </c>
      <c r="M61" s="282">
        <f>SUMIFS('Besi Balok'!$AA$23:$AA$7253,'Besi Balok'!$A$23:$A$7253,$A61,'Besi Balok'!$B$23:$B$7253,$B61,'Besi Balok'!$F$23:$F$7253,'REKAP Balok'!M$11)</f>
        <v>12.132720000000001</v>
      </c>
      <c r="N61" s="282">
        <f>SUMIFS('Besi Balok'!$AA$23:$AA$7253,'Besi Balok'!$A$23:$A$7253,$A61,'Besi Balok'!$B$23:$B$7253,$B61,'Besi Balok'!$F$23:$F$7253,'REKAP Balok'!N$11)</f>
        <v>5.0429700000000004</v>
      </c>
      <c r="O61" s="282">
        <f>SUMIFS('Besi Balok'!$AA$23:$AA$7253,'Besi Balok'!$A$23:$A$7253,$A61,'Besi Balok'!$B$23:$B$7253,$B61,'Besi Balok'!$F$23:$F$7253,'REKAP Balok'!O$11)</f>
        <v>0</v>
      </c>
      <c r="P61" s="282">
        <f>SUMIFS('Besi Balok'!$AA$23:$AA$7253,'Besi Balok'!$A$23:$A$7253,$A61,'Besi Balok'!$B$23:$B$7253,$B61,'Besi Balok'!$F$23:$F$7253,'REKAP Balok'!P$11)</f>
        <v>40.093608960000005</v>
      </c>
      <c r="Q61" s="282">
        <f>SUMIFS('Besi Balok'!$AA$23:$AA$7253,'Besi Balok'!$A$23:$A$7253,$A61,'Besi Balok'!$B$23:$B$7253,$B61,'Besi Balok'!$F$23:$F$7253,'REKAP Balok'!Q$11)</f>
        <v>0</v>
      </c>
      <c r="R61" s="282">
        <f>SUMIFS('Besi Balok'!$AA$23:$AA$7253,'Besi Balok'!$A$23:$A$7253,$A61,'Besi Balok'!$B$23:$B$7253,$B61,'Besi Balok'!$F$23:$F$7253,'REKAP Balok'!R$11)</f>
        <v>0</v>
      </c>
      <c r="S61" s="282">
        <f>SUMIFS('Besi Balok'!$AA$23:$AA$7253,'Besi Balok'!$A$23:$A$7253,$A61,'Besi Balok'!$B$23:$B$7253,$B61,'Besi Balok'!$F$23:$F$7253,'REKAP Balok'!S$11)</f>
        <v>0</v>
      </c>
      <c r="T61" s="283">
        <f>SUMIFS('Besi Balok'!$AA$23:$AA$7253,'Besi Balok'!$A$23:$A$7253,$A61,'Besi Balok'!$B$23:$B$7253,$B61,'Besi Balok'!$F$23:$F$7253,'REKAP Balok'!T$11)</f>
        <v>0</v>
      </c>
      <c r="U61" s="284">
        <f t="shared" si="8"/>
        <v>57.269298960000008</v>
      </c>
      <c r="V61" s="285">
        <f t="shared" si="9"/>
        <v>0.23100000000000001</v>
      </c>
      <c r="W61" s="282">
        <f t="shared" si="13"/>
        <v>2.31</v>
      </c>
      <c r="X61" s="282">
        <v>0</v>
      </c>
      <c r="Y61" s="282">
        <f t="shared" si="10"/>
        <v>7.6999999999999999E-2</v>
      </c>
      <c r="Z61" s="283">
        <f t="shared" si="11"/>
        <v>0.84700000000000009</v>
      </c>
      <c r="AB61" s="246">
        <f t="shared" si="22"/>
        <v>247.91904311688313</v>
      </c>
      <c r="AC61" s="1784">
        <f t="shared" si="12"/>
        <v>0.77</v>
      </c>
    </row>
    <row r="62" spans="1:29" hidden="1">
      <c r="A62" s="272" t="str">
        <f>'Data Panjang Balok'!A58</f>
        <v>Lantai 1</v>
      </c>
      <c r="B62" s="273">
        <f>'Data Panjang Balok'!B58</f>
        <v>48</v>
      </c>
      <c r="C62" s="274" t="str">
        <f>'Data Panjang Balok'!D58</f>
        <v>S24-2</v>
      </c>
      <c r="D62" s="275">
        <f>IF(C62&gt;0,VLOOKUP(C62,'Detail Balok'!$C$11:$AU$140,2,FALSE),0)</f>
        <v>200</v>
      </c>
      <c r="E62" s="276" t="s">
        <v>125</v>
      </c>
      <c r="F62" s="277">
        <f>IF(C62&gt;0,VLOOKUP(C62,'Detail Balok'!$C$11:$AU$140,3,FALSE),0)</f>
        <v>400</v>
      </c>
      <c r="G62" s="278">
        <f>'Data Panjang Balok'!I58</f>
        <v>3850</v>
      </c>
      <c r="H62" s="278">
        <f>'Data Panjang Balok'!J58</f>
        <v>200</v>
      </c>
      <c r="I62" s="279">
        <v>-3.5</v>
      </c>
      <c r="J62" s="279">
        <f t="shared" si="7"/>
        <v>-3.9</v>
      </c>
      <c r="K62" s="280">
        <f>'Data Panjang Balok'!E58</f>
        <v>1</v>
      </c>
      <c r="L62" s="281">
        <f>SUMIFS('Besi Balok'!$AA$23:$AA$7253,'Besi Balok'!$A$23:$A$7253,$A62,'Besi Balok'!$B$23:$B$7253,$B62,'Besi Balok'!$F$23:$F$7253,'REKAP Balok'!L$11)</f>
        <v>0</v>
      </c>
      <c r="M62" s="282">
        <f>SUMIFS('Besi Balok'!$AA$23:$AA$7253,'Besi Balok'!$A$23:$A$7253,$A62,'Besi Balok'!$B$23:$B$7253,$B62,'Besi Balok'!$F$23:$F$7253,'REKAP Balok'!M$11)</f>
        <v>9.7535232000000018</v>
      </c>
      <c r="N62" s="282">
        <f>SUMIFS('Besi Balok'!$AA$23:$AA$7253,'Besi Balok'!$A$23:$A$7253,$A62,'Besi Balok'!$B$23:$B$7253,$B62,'Besi Balok'!$F$23:$F$7253,'REKAP Balok'!N$11)</f>
        <v>0</v>
      </c>
      <c r="O62" s="282">
        <f>SUMIFS('Besi Balok'!$AA$23:$AA$7253,'Besi Balok'!$A$23:$A$7253,$A62,'Besi Balok'!$B$23:$B$7253,$B62,'Besi Balok'!$F$23:$F$7253,'REKAP Balok'!O$11)</f>
        <v>0</v>
      </c>
      <c r="P62" s="282">
        <f>SUMIFS('Besi Balok'!$AA$23:$AA$7253,'Besi Balok'!$A$23:$A$7253,$A62,'Besi Balok'!$B$23:$B$7253,$B62,'Besi Balok'!$F$23:$F$7253,'REKAP Balok'!P$11)</f>
        <v>40.093608960000005</v>
      </c>
      <c r="Q62" s="282">
        <f>SUMIFS('Besi Balok'!$AA$23:$AA$7253,'Besi Balok'!$A$23:$A$7253,$A62,'Besi Balok'!$B$23:$B$7253,$B62,'Besi Balok'!$F$23:$F$7253,'REKAP Balok'!Q$11)</f>
        <v>0</v>
      </c>
      <c r="R62" s="282">
        <f>SUMIFS('Besi Balok'!$AA$23:$AA$7253,'Besi Balok'!$A$23:$A$7253,$A62,'Besi Balok'!$B$23:$B$7253,$B62,'Besi Balok'!$F$23:$F$7253,'REKAP Balok'!R$11)</f>
        <v>0</v>
      </c>
      <c r="S62" s="282">
        <f>SUMIFS('Besi Balok'!$AA$23:$AA$7253,'Besi Balok'!$A$23:$A$7253,$A62,'Besi Balok'!$B$23:$B$7253,$B62,'Besi Balok'!$F$23:$F$7253,'REKAP Balok'!S$11)</f>
        <v>0</v>
      </c>
      <c r="T62" s="283">
        <f>SUMIFS('Besi Balok'!$AA$23:$AA$7253,'Besi Balok'!$A$23:$A$7253,$A62,'Besi Balok'!$B$23:$B$7253,$B62,'Besi Balok'!$F$23:$F$7253,'REKAP Balok'!T$11)</f>
        <v>0</v>
      </c>
      <c r="U62" s="284">
        <f t="shared" si="8"/>
        <v>49.847132160000008</v>
      </c>
      <c r="V62" s="285">
        <f t="shared" si="9"/>
        <v>0.154</v>
      </c>
      <c r="W62" s="282">
        <f t="shared" si="13"/>
        <v>1.54</v>
      </c>
      <c r="X62" s="282">
        <v>0</v>
      </c>
      <c r="Y62" s="282">
        <f t="shared" si="10"/>
        <v>7.6999999999999999E-2</v>
      </c>
      <c r="Z62" s="283">
        <f t="shared" si="11"/>
        <v>0.69299999999999984</v>
      </c>
      <c r="AC62" s="1784">
        <f t="shared" si="12"/>
        <v>0.61599999999999999</v>
      </c>
    </row>
    <row r="63" spans="1:29">
      <c r="A63" s="272" t="str">
        <f>'Data Panjang Balok'!A59</f>
        <v>Lantai 1</v>
      </c>
      <c r="B63" s="273">
        <f>'Data Panjang Balok'!B59</f>
        <v>49</v>
      </c>
      <c r="C63" s="274" t="str">
        <f>'Data Panjang Balok'!D59</f>
        <v>S25-1</v>
      </c>
      <c r="D63" s="275">
        <f>IF(C63&gt;0,VLOOKUP(C63,'Detail Balok'!$C$11:$AU$140,2,FALSE),0)</f>
        <v>200</v>
      </c>
      <c r="E63" s="276" t="s">
        <v>125</v>
      </c>
      <c r="F63" s="277">
        <f>IF(C63&gt;0,VLOOKUP(C63,'Detail Balok'!$C$11:$AU$140,3,FALSE),0)</f>
        <v>500</v>
      </c>
      <c r="G63" s="278">
        <f>'Data Panjang Balok'!I59</f>
        <v>3850</v>
      </c>
      <c r="H63" s="278">
        <f>'Data Panjang Balok'!J59</f>
        <v>200</v>
      </c>
      <c r="I63" s="279">
        <v>-3.5</v>
      </c>
      <c r="J63" s="279">
        <f t="shared" si="7"/>
        <v>-4</v>
      </c>
      <c r="K63" s="280">
        <f>'Data Panjang Balok'!E59</f>
        <v>1</v>
      </c>
      <c r="L63" s="281">
        <f>SUMIFS('Besi Balok'!$AA$23:$AA$7253,'Besi Balok'!$A$23:$A$7253,$A63,'Besi Balok'!$B$23:$B$7253,$B63,'Besi Balok'!$F$23:$F$7253,'REKAP Balok'!L$11)</f>
        <v>0</v>
      </c>
      <c r="M63" s="282">
        <f>SUMIFS('Besi Balok'!$AA$23:$AA$7253,'Besi Balok'!$A$23:$A$7253,$A63,'Besi Balok'!$B$23:$B$7253,$B63,'Besi Balok'!$F$23:$F$7253,'REKAP Balok'!M$11)</f>
        <v>12.132720000000001</v>
      </c>
      <c r="N63" s="282">
        <f>SUMIFS('Besi Balok'!$AA$23:$AA$7253,'Besi Balok'!$A$23:$A$7253,$A63,'Besi Balok'!$B$23:$B$7253,$B63,'Besi Balok'!$F$23:$F$7253,'REKAP Balok'!N$11)</f>
        <v>5.0429700000000004</v>
      </c>
      <c r="O63" s="282">
        <f>SUMIFS('Besi Balok'!$AA$23:$AA$7253,'Besi Balok'!$A$23:$A$7253,$A63,'Besi Balok'!$B$23:$B$7253,$B63,'Besi Balok'!$F$23:$F$7253,'REKAP Balok'!O$11)</f>
        <v>0</v>
      </c>
      <c r="P63" s="282">
        <f>SUMIFS('Besi Balok'!$AA$23:$AA$7253,'Besi Balok'!$A$23:$A$7253,$A63,'Besi Balok'!$B$23:$B$7253,$B63,'Besi Balok'!$F$23:$F$7253,'REKAP Balok'!P$11)</f>
        <v>40.093608960000005</v>
      </c>
      <c r="Q63" s="282">
        <f>SUMIFS('Besi Balok'!$AA$23:$AA$7253,'Besi Balok'!$A$23:$A$7253,$A63,'Besi Balok'!$B$23:$B$7253,$B63,'Besi Balok'!$F$23:$F$7253,'REKAP Balok'!Q$11)</f>
        <v>0</v>
      </c>
      <c r="R63" s="282">
        <f>SUMIFS('Besi Balok'!$AA$23:$AA$7253,'Besi Balok'!$A$23:$A$7253,$A63,'Besi Balok'!$B$23:$B$7253,$B63,'Besi Balok'!$F$23:$F$7253,'REKAP Balok'!R$11)</f>
        <v>0</v>
      </c>
      <c r="S63" s="282">
        <f>SUMIFS('Besi Balok'!$AA$23:$AA$7253,'Besi Balok'!$A$23:$A$7253,$A63,'Besi Balok'!$B$23:$B$7253,$B63,'Besi Balok'!$F$23:$F$7253,'REKAP Balok'!S$11)</f>
        <v>0</v>
      </c>
      <c r="T63" s="283">
        <f>SUMIFS('Besi Balok'!$AA$23:$AA$7253,'Besi Balok'!$A$23:$A$7253,$A63,'Besi Balok'!$B$23:$B$7253,$B63,'Besi Balok'!$F$23:$F$7253,'REKAP Balok'!T$11)</f>
        <v>0</v>
      </c>
      <c r="U63" s="284">
        <f t="shared" si="8"/>
        <v>57.269298960000008</v>
      </c>
      <c r="V63" s="285">
        <f t="shared" si="9"/>
        <v>0.23100000000000001</v>
      </c>
      <c r="W63" s="282">
        <f t="shared" si="13"/>
        <v>2.31</v>
      </c>
      <c r="X63" s="282">
        <v>0</v>
      </c>
      <c r="Y63" s="282">
        <f t="shared" si="10"/>
        <v>7.6999999999999999E-2</v>
      </c>
      <c r="Z63" s="283">
        <f t="shared" si="11"/>
        <v>0.84700000000000009</v>
      </c>
      <c r="AB63" s="246">
        <f>U63/V63</f>
        <v>247.91904311688313</v>
      </c>
      <c r="AC63" s="1784">
        <f t="shared" si="12"/>
        <v>0.77</v>
      </c>
    </row>
    <row r="64" spans="1:29" hidden="1">
      <c r="A64" s="272" t="str">
        <f>'Data Panjang Balok'!A60</f>
        <v>Lantai 1</v>
      </c>
      <c r="B64" s="273" t="str">
        <f>'Data Panjang Balok'!B60</f>
        <v>49A</v>
      </c>
      <c r="C64" s="274" t="str">
        <f>'Data Panjang Balok'!D60</f>
        <v>S24-2</v>
      </c>
      <c r="D64" s="275">
        <f>IF(C64&gt;0,VLOOKUP(C64,'Detail Balok'!$C$11:$AU$140,2,FALSE),0)</f>
        <v>200</v>
      </c>
      <c r="E64" s="276" t="s">
        <v>125</v>
      </c>
      <c r="F64" s="277">
        <f>IF(C64&gt;0,VLOOKUP(C64,'Detail Balok'!$C$11:$AU$140,3,FALSE),0)</f>
        <v>400</v>
      </c>
      <c r="G64" s="278">
        <f>'Data Panjang Balok'!I60</f>
        <v>3100</v>
      </c>
      <c r="H64" s="278">
        <f>'Data Panjang Balok'!J60</f>
        <v>100</v>
      </c>
      <c r="I64" s="279">
        <v>-3.5</v>
      </c>
      <c r="J64" s="279">
        <f t="shared" si="7"/>
        <v>-3.9</v>
      </c>
      <c r="K64" s="280">
        <f>'Data Panjang Balok'!E60</f>
        <v>2</v>
      </c>
      <c r="L64" s="281">
        <f>SUMIFS('Besi Balok'!$AA$23:$AA$7253,'Besi Balok'!$A$23:$A$7253,$A64,'Besi Balok'!$B$23:$B$7253,$B64,'Besi Balok'!$F$23:$F$7253,'REKAP Balok'!L$11)</f>
        <v>0</v>
      </c>
      <c r="M64" s="282">
        <f>SUMIFS('Besi Balok'!$AA$23:$AA$7253,'Besi Balok'!$A$23:$A$7253,$A64,'Besi Balok'!$B$23:$B$7253,$B64,'Besi Balok'!$F$23:$F$7253,'REKAP Balok'!M$11)</f>
        <v>16.255872000000004</v>
      </c>
      <c r="N64" s="282">
        <f>SUMIFS('Besi Balok'!$AA$23:$AA$7253,'Besi Balok'!$A$23:$A$7253,$A64,'Besi Balok'!$B$23:$B$7253,$B64,'Besi Balok'!$F$23:$F$7253,'REKAP Balok'!N$11)</f>
        <v>0</v>
      </c>
      <c r="O64" s="282">
        <f>SUMIFS('Besi Balok'!$AA$23:$AA$7253,'Besi Balok'!$A$23:$A$7253,$A64,'Besi Balok'!$B$23:$B$7253,$B64,'Besi Balok'!$F$23:$F$7253,'REKAP Balok'!O$11)</f>
        <v>0</v>
      </c>
      <c r="P64" s="282">
        <f>SUMIFS('Besi Balok'!$AA$23:$AA$7253,'Besi Balok'!$A$23:$A$7253,$A64,'Besi Balok'!$B$23:$B$7253,$B64,'Besi Balok'!$F$23:$F$7253,'REKAP Balok'!P$11)</f>
        <v>65.983057920000007</v>
      </c>
      <c r="Q64" s="282">
        <f>SUMIFS('Besi Balok'!$AA$23:$AA$7253,'Besi Balok'!$A$23:$A$7253,$A64,'Besi Balok'!$B$23:$B$7253,$B64,'Besi Balok'!$F$23:$F$7253,'REKAP Balok'!Q$11)</f>
        <v>0</v>
      </c>
      <c r="R64" s="282">
        <f>SUMIFS('Besi Balok'!$AA$23:$AA$7253,'Besi Balok'!$A$23:$A$7253,$A64,'Besi Balok'!$B$23:$B$7253,$B64,'Besi Balok'!$F$23:$F$7253,'REKAP Balok'!R$11)</f>
        <v>0</v>
      </c>
      <c r="S64" s="282">
        <f>SUMIFS('Besi Balok'!$AA$23:$AA$7253,'Besi Balok'!$A$23:$A$7253,$A64,'Besi Balok'!$B$23:$B$7253,$B64,'Besi Balok'!$F$23:$F$7253,'REKAP Balok'!S$11)</f>
        <v>0</v>
      </c>
      <c r="T64" s="283">
        <f>SUMIFS('Besi Balok'!$AA$23:$AA$7253,'Besi Balok'!$A$23:$A$7253,$A64,'Besi Balok'!$B$23:$B$7253,$B64,'Besi Balok'!$F$23:$F$7253,'REKAP Balok'!T$11)</f>
        <v>0</v>
      </c>
      <c r="U64" s="284">
        <f t="shared" si="8"/>
        <v>82.238929920000004</v>
      </c>
      <c r="V64" s="285">
        <f t="shared" si="9"/>
        <v>0.372</v>
      </c>
      <c r="W64" s="282">
        <f t="shared" si="13"/>
        <v>3.72</v>
      </c>
      <c r="X64" s="282">
        <v>0</v>
      </c>
      <c r="Y64" s="282">
        <f t="shared" si="10"/>
        <v>0.124</v>
      </c>
      <c r="Z64" s="283">
        <f t="shared" si="11"/>
        <v>1.1159999999999997</v>
      </c>
      <c r="AC64" s="1784">
        <f t="shared" si="12"/>
        <v>0.496</v>
      </c>
    </row>
    <row r="65" spans="1:29" hidden="1">
      <c r="A65" s="272" t="str">
        <f>'Data Panjang Balok'!A61</f>
        <v>Lantai 1</v>
      </c>
      <c r="B65" s="273">
        <f>'Data Panjang Balok'!B61</f>
        <v>50</v>
      </c>
      <c r="C65" s="274" t="str">
        <f>'Data Panjang Balok'!D61</f>
        <v>S24-1</v>
      </c>
      <c r="D65" s="275">
        <f>IF(C65&gt;0,VLOOKUP(C65,'Detail Balok'!$C$11:$AU$140,2,FALSE),0)</f>
        <v>200</v>
      </c>
      <c r="E65" s="276" t="s">
        <v>125</v>
      </c>
      <c r="F65" s="277">
        <f>IF(C65&gt;0,VLOOKUP(C65,'Detail Balok'!$C$11:$AU$140,3,FALSE),0)</f>
        <v>400</v>
      </c>
      <c r="G65" s="278">
        <f>'Data Panjang Balok'!I61</f>
        <v>1975</v>
      </c>
      <c r="H65" s="278">
        <f>'Data Panjang Balok'!J61</f>
        <v>150</v>
      </c>
      <c r="I65" s="279">
        <v>-3.5</v>
      </c>
      <c r="J65" s="279">
        <f t="shared" si="7"/>
        <v>-3.9</v>
      </c>
      <c r="K65" s="280">
        <f>'Data Panjang Balok'!E61</f>
        <v>1</v>
      </c>
      <c r="L65" s="281">
        <f>SUMIFS('Besi Balok'!$AA$23:$AA$7253,'Besi Balok'!$A$23:$A$7253,$A65,'Besi Balok'!$B$23:$B$7253,$B65,'Besi Balok'!$F$23:$F$7253,'REKAP Balok'!L$11)</f>
        <v>0</v>
      </c>
      <c r="M65" s="282">
        <f>SUMIFS('Besi Balok'!$AA$23:$AA$7253,'Besi Balok'!$A$23:$A$7253,$A65,'Besi Balok'!$B$23:$B$7253,$B65,'Besi Balok'!$F$23:$F$7253,'REKAP Balok'!M$11)</f>
        <v>5.6895552000000009</v>
      </c>
      <c r="N65" s="282">
        <f>SUMIFS('Besi Balok'!$AA$23:$AA$7253,'Besi Balok'!$A$23:$A$7253,$A65,'Besi Balok'!$B$23:$B$7253,$B65,'Besi Balok'!$F$23:$F$7253,'REKAP Balok'!N$11)</f>
        <v>0</v>
      </c>
      <c r="O65" s="282">
        <f>SUMIFS('Besi Balok'!$AA$23:$AA$7253,'Besi Balok'!$A$23:$A$7253,$A65,'Besi Balok'!$B$23:$B$7253,$B65,'Besi Balok'!$F$23:$F$7253,'REKAP Balok'!O$11)</f>
        <v>14.296745969999998</v>
      </c>
      <c r="P65" s="282">
        <f>SUMIFS('Besi Balok'!$AA$23:$AA$7253,'Besi Balok'!$A$23:$A$7253,$A65,'Besi Balok'!$B$23:$B$7253,$B65,'Besi Balok'!$F$23:$F$7253,'REKAP Balok'!P$11)</f>
        <v>0</v>
      </c>
      <c r="Q65" s="282">
        <f>SUMIFS('Besi Balok'!$AA$23:$AA$7253,'Besi Balok'!$A$23:$A$7253,$A65,'Besi Balok'!$B$23:$B$7253,$B65,'Besi Balok'!$F$23:$F$7253,'REKAP Balok'!Q$11)</f>
        <v>0</v>
      </c>
      <c r="R65" s="282">
        <f>SUMIFS('Besi Balok'!$AA$23:$AA$7253,'Besi Balok'!$A$23:$A$7253,$A65,'Besi Balok'!$B$23:$B$7253,$B65,'Besi Balok'!$F$23:$F$7253,'REKAP Balok'!R$11)</f>
        <v>0</v>
      </c>
      <c r="S65" s="282">
        <f>SUMIFS('Besi Balok'!$AA$23:$AA$7253,'Besi Balok'!$A$23:$A$7253,$A65,'Besi Balok'!$B$23:$B$7253,$B65,'Besi Balok'!$F$23:$F$7253,'REKAP Balok'!S$11)</f>
        <v>0</v>
      </c>
      <c r="T65" s="283">
        <f>SUMIFS('Besi Balok'!$AA$23:$AA$7253,'Besi Balok'!$A$23:$A$7253,$A65,'Besi Balok'!$B$23:$B$7253,$B65,'Besi Balok'!$F$23:$F$7253,'REKAP Balok'!T$11)</f>
        <v>0</v>
      </c>
      <c r="U65" s="284">
        <f t="shared" si="8"/>
        <v>19.986301169999997</v>
      </c>
      <c r="V65" s="285">
        <f t="shared" si="9"/>
        <v>9.8750000000000004E-2</v>
      </c>
      <c r="W65" s="282">
        <f t="shared" si="13"/>
        <v>0.98750000000000004</v>
      </c>
      <c r="X65" s="282">
        <v>0</v>
      </c>
      <c r="Y65" s="282">
        <f t="shared" si="10"/>
        <v>3.95E-2</v>
      </c>
      <c r="Z65" s="283">
        <f t="shared" si="11"/>
        <v>0.35549999999999993</v>
      </c>
      <c r="AC65" s="1784">
        <f t="shared" si="12"/>
        <v>0.316</v>
      </c>
    </row>
    <row r="66" spans="1:29">
      <c r="A66" s="272" t="str">
        <f>'Data Panjang Balok'!A62</f>
        <v>Lantai 1</v>
      </c>
      <c r="B66" s="273">
        <f>'Data Panjang Balok'!B62</f>
        <v>51</v>
      </c>
      <c r="C66" s="274" t="str">
        <f>'Data Panjang Balok'!D62</f>
        <v>S25-1</v>
      </c>
      <c r="D66" s="275">
        <f>IF(C66&gt;0,VLOOKUP(C66,'Detail Balok'!$C$11:$AU$140,2,FALSE),0)</f>
        <v>200</v>
      </c>
      <c r="E66" s="276" t="s">
        <v>125</v>
      </c>
      <c r="F66" s="277">
        <f>IF(C66&gt;0,VLOOKUP(C66,'Detail Balok'!$C$11:$AU$140,3,FALSE),0)</f>
        <v>500</v>
      </c>
      <c r="G66" s="278">
        <f>'Data Panjang Balok'!I62</f>
        <v>4000</v>
      </c>
      <c r="H66" s="278">
        <f>'Data Panjang Balok'!J62</f>
        <v>150</v>
      </c>
      <c r="I66" s="279">
        <v>-3.5</v>
      </c>
      <c r="J66" s="279">
        <f t="shared" si="7"/>
        <v>-4</v>
      </c>
      <c r="K66" s="280">
        <f>'Data Panjang Balok'!E62</f>
        <v>1</v>
      </c>
      <c r="L66" s="281">
        <f>SUMIFS('Besi Balok'!$AA$23:$AA$7253,'Besi Balok'!$A$23:$A$7253,$A66,'Besi Balok'!$B$23:$B$7253,$B66,'Besi Balok'!$F$23:$F$7253,'REKAP Balok'!L$11)</f>
        <v>0</v>
      </c>
      <c r="M66" s="282">
        <f>SUMIFS('Besi Balok'!$AA$23:$AA$7253,'Besi Balok'!$A$23:$A$7253,$A66,'Besi Balok'!$B$23:$B$7253,$B66,'Besi Balok'!$F$23:$F$7253,'REKAP Balok'!M$11)</f>
        <v>12.618028800000001</v>
      </c>
      <c r="N66" s="282">
        <f>SUMIFS('Besi Balok'!$AA$23:$AA$7253,'Besi Balok'!$A$23:$A$7253,$A66,'Besi Balok'!$B$23:$B$7253,$B66,'Besi Balok'!$F$23:$F$7253,'REKAP Balok'!N$11)</f>
        <v>5.227920000000001</v>
      </c>
      <c r="O66" s="282">
        <f>SUMIFS('Besi Balok'!$AA$23:$AA$7253,'Besi Balok'!$A$23:$A$7253,$A66,'Besi Balok'!$B$23:$B$7253,$B66,'Besi Balok'!$F$23:$F$7253,'REKAP Balok'!O$11)</f>
        <v>0</v>
      </c>
      <c r="P66" s="282">
        <f>SUMIFS('Besi Balok'!$AA$23:$AA$7253,'Besi Balok'!$A$23:$A$7253,$A66,'Besi Balok'!$B$23:$B$7253,$B66,'Besi Balok'!$F$23:$F$7253,'REKAP Balok'!P$11)</f>
        <v>41.514024960000008</v>
      </c>
      <c r="Q66" s="282">
        <f>SUMIFS('Besi Balok'!$AA$23:$AA$7253,'Besi Balok'!$A$23:$A$7253,$A66,'Besi Balok'!$B$23:$B$7253,$B66,'Besi Balok'!$F$23:$F$7253,'REKAP Balok'!Q$11)</f>
        <v>0</v>
      </c>
      <c r="R66" s="282">
        <f>SUMIFS('Besi Balok'!$AA$23:$AA$7253,'Besi Balok'!$A$23:$A$7253,$A66,'Besi Balok'!$B$23:$B$7253,$B66,'Besi Balok'!$F$23:$F$7253,'REKAP Balok'!R$11)</f>
        <v>0</v>
      </c>
      <c r="S66" s="282">
        <f>SUMIFS('Besi Balok'!$AA$23:$AA$7253,'Besi Balok'!$A$23:$A$7253,$A66,'Besi Balok'!$B$23:$B$7253,$B66,'Besi Balok'!$F$23:$F$7253,'REKAP Balok'!S$11)</f>
        <v>0</v>
      </c>
      <c r="T66" s="283">
        <f>SUMIFS('Besi Balok'!$AA$23:$AA$7253,'Besi Balok'!$A$23:$A$7253,$A66,'Besi Balok'!$B$23:$B$7253,$B66,'Besi Balok'!$F$23:$F$7253,'REKAP Balok'!T$11)</f>
        <v>0</v>
      </c>
      <c r="U66" s="284">
        <f t="shared" si="8"/>
        <v>59.35997376000001</v>
      </c>
      <c r="V66" s="285">
        <f t="shared" si="9"/>
        <v>0.28000000000000003</v>
      </c>
      <c r="W66" s="282">
        <f t="shared" si="13"/>
        <v>2.8</v>
      </c>
      <c r="X66" s="282">
        <v>0</v>
      </c>
      <c r="Y66" s="282">
        <f t="shared" si="10"/>
        <v>0.08</v>
      </c>
      <c r="Z66" s="283">
        <f t="shared" si="11"/>
        <v>0.88000000000000012</v>
      </c>
      <c r="AB66" s="246">
        <f t="shared" ref="AB66:AB67" si="23">U66/V66</f>
        <v>211.9999062857143</v>
      </c>
      <c r="AC66" s="1784">
        <f t="shared" si="12"/>
        <v>0.8</v>
      </c>
    </row>
    <row r="67" spans="1:29">
      <c r="A67" s="272" t="str">
        <f>'Data Panjang Balok'!A63</f>
        <v>Lantai 1</v>
      </c>
      <c r="B67" s="273">
        <f>'Data Panjang Balok'!B63</f>
        <v>52</v>
      </c>
      <c r="C67" s="274" t="str">
        <f>'Data Panjang Balok'!D63</f>
        <v>S25-1</v>
      </c>
      <c r="D67" s="275">
        <f>IF(C67&gt;0,VLOOKUP(C67,'Detail Balok'!$C$11:$AU$140,2,FALSE),0)</f>
        <v>200</v>
      </c>
      <c r="E67" s="276" t="s">
        <v>125</v>
      </c>
      <c r="F67" s="277">
        <f>IF(C67&gt;0,VLOOKUP(C67,'Detail Balok'!$C$11:$AU$140,3,FALSE),0)</f>
        <v>500</v>
      </c>
      <c r="G67" s="278">
        <f>'Data Panjang Balok'!I63</f>
        <v>1300</v>
      </c>
      <c r="H67" s="278">
        <f>'Data Panjang Balok'!J63</f>
        <v>150</v>
      </c>
      <c r="I67" s="279">
        <v>-3.5</v>
      </c>
      <c r="J67" s="279">
        <f t="shared" si="7"/>
        <v>-4</v>
      </c>
      <c r="K67" s="280">
        <f>'Data Panjang Balok'!E63</f>
        <v>1</v>
      </c>
      <c r="L67" s="281">
        <f>SUMIFS('Besi Balok'!$AA$23:$AA$7253,'Besi Balok'!$A$23:$A$7253,$A67,'Besi Balok'!$B$23:$B$7253,$B67,'Besi Balok'!$F$23:$F$7253,'REKAP Balok'!L$11)</f>
        <v>0</v>
      </c>
      <c r="M67" s="282">
        <f>SUMIFS('Besi Balok'!$AA$23:$AA$7253,'Besi Balok'!$A$23:$A$7253,$A67,'Besi Balok'!$B$23:$B$7253,$B67,'Besi Balok'!$F$23:$F$7253,'REKAP Balok'!M$11)</f>
        <v>4.8530880000000005</v>
      </c>
      <c r="N67" s="282">
        <f>SUMIFS('Besi Balok'!$AA$23:$AA$7253,'Besi Balok'!$A$23:$A$7253,$A67,'Besi Balok'!$B$23:$B$7253,$B67,'Besi Balok'!$F$23:$F$7253,'REKAP Balok'!N$11)</f>
        <v>1.8988200000000002</v>
      </c>
      <c r="O67" s="282">
        <f>SUMIFS('Besi Balok'!$AA$23:$AA$7253,'Besi Balok'!$A$23:$A$7253,$A67,'Besi Balok'!$B$23:$B$7253,$B67,'Besi Balok'!$F$23:$F$7253,'REKAP Balok'!O$11)</f>
        <v>0</v>
      </c>
      <c r="P67" s="282">
        <f>SUMIFS('Besi Balok'!$AA$23:$AA$7253,'Besi Balok'!$A$23:$A$7253,$A67,'Besi Balok'!$B$23:$B$7253,$B67,'Besi Balok'!$F$23:$F$7253,'REKAP Balok'!P$11)</f>
        <v>15.946536960000003</v>
      </c>
      <c r="Q67" s="282">
        <f>SUMIFS('Besi Balok'!$AA$23:$AA$7253,'Besi Balok'!$A$23:$A$7253,$A67,'Besi Balok'!$B$23:$B$7253,$B67,'Besi Balok'!$F$23:$F$7253,'REKAP Balok'!Q$11)</f>
        <v>0</v>
      </c>
      <c r="R67" s="282">
        <f>SUMIFS('Besi Balok'!$AA$23:$AA$7253,'Besi Balok'!$A$23:$A$7253,$A67,'Besi Balok'!$B$23:$B$7253,$B67,'Besi Balok'!$F$23:$F$7253,'REKAP Balok'!R$11)</f>
        <v>0</v>
      </c>
      <c r="S67" s="282">
        <f>SUMIFS('Besi Balok'!$AA$23:$AA$7253,'Besi Balok'!$A$23:$A$7253,$A67,'Besi Balok'!$B$23:$B$7253,$B67,'Besi Balok'!$F$23:$F$7253,'REKAP Balok'!S$11)</f>
        <v>0</v>
      </c>
      <c r="T67" s="283">
        <f>SUMIFS('Besi Balok'!$AA$23:$AA$7253,'Besi Balok'!$A$23:$A$7253,$A67,'Besi Balok'!$B$23:$B$7253,$B67,'Besi Balok'!$F$23:$F$7253,'REKAP Balok'!T$11)</f>
        <v>0</v>
      </c>
      <c r="U67" s="284">
        <f t="shared" si="8"/>
        <v>22.698444960000003</v>
      </c>
      <c r="V67" s="285">
        <f t="shared" si="9"/>
        <v>9.0999999999999998E-2</v>
      </c>
      <c r="W67" s="282">
        <f t="shared" si="13"/>
        <v>0.91</v>
      </c>
      <c r="X67" s="282">
        <v>0</v>
      </c>
      <c r="Y67" s="282">
        <f t="shared" si="10"/>
        <v>2.5999999999999999E-2</v>
      </c>
      <c r="Z67" s="283">
        <f t="shared" si="11"/>
        <v>0.28600000000000003</v>
      </c>
      <c r="AB67" s="246">
        <f t="shared" si="23"/>
        <v>249.43346109890115</v>
      </c>
      <c r="AC67" s="1784">
        <f t="shared" si="12"/>
        <v>0.26</v>
      </c>
    </row>
    <row r="68" spans="1:29" hidden="1">
      <c r="A68" s="272" t="str">
        <f>'Data Panjang Balok'!A64</f>
        <v>Lantai 1</v>
      </c>
      <c r="B68" s="273">
        <f>'Data Panjang Balok'!B64</f>
        <v>53</v>
      </c>
      <c r="C68" s="274" t="str">
        <f>'Data Panjang Balok'!D64</f>
        <v>S24-1</v>
      </c>
      <c r="D68" s="275">
        <f>IF(C68&gt;0,VLOOKUP(C68,'Detail Balok'!$C$11:$AU$140,2,FALSE),0)</f>
        <v>200</v>
      </c>
      <c r="E68" s="276" t="s">
        <v>125</v>
      </c>
      <c r="F68" s="277">
        <f>IF(C68&gt;0,VLOOKUP(C68,'Detail Balok'!$C$11:$AU$140,3,FALSE),0)</f>
        <v>400</v>
      </c>
      <c r="G68" s="278">
        <f>'Data Panjang Balok'!I64</f>
        <v>4150</v>
      </c>
      <c r="H68" s="278">
        <f>'Data Panjang Balok'!J64</f>
        <v>150</v>
      </c>
      <c r="I68" s="279">
        <v>-3.5</v>
      </c>
      <c r="J68" s="279">
        <f t="shared" si="7"/>
        <v>-3.9</v>
      </c>
      <c r="K68" s="280">
        <f>'Data Panjang Balok'!E64</f>
        <v>1</v>
      </c>
      <c r="L68" s="281">
        <f>SUMIFS('Besi Balok'!$AA$23:$AA$7253,'Besi Balok'!$A$23:$A$7253,$A68,'Besi Balok'!$B$23:$B$7253,$B68,'Besi Balok'!$F$23:$F$7253,'REKAP Balok'!L$11)</f>
        <v>0</v>
      </c>
      <c r="M68" s="282">
        <f>SUMIFS('Besi Balok'!$AA$23:$AA$7253,'Besi Balok'!$A$23:$A$7253,$A68,'Besi Balok'!$B$23:$B$7253,$B68,'Besi Balok'!$F$23:$F$7253,'REKAP Balok'!M$11)</f>
        <v>10.566316800000001</v>
      </c>
      <c r="N68" s="282">
        <f>SUMIFS('Besi Balok'!$AA$23:$AA$7253,'Besi Balok'!$A$23:$A$7253,$A68,'Besi Balok'!$B$23:$B$7253,$B68,'Besi Balok'!$F$23:$F$7253,'REKAP Balok'!N$11)</f>
        <v>0</v>
      </c>
      <c r="O68" s="282">
        <f>SUMIFS('Besi Balok'!$AA$23:$AA$7253,'Besi Balok'!$A$23:$A$7253,$A68,'Besi Balok'!$B$23:$B$7253,$B68,'Besi Balok'!$F$23:$F$7253,'REKAP Balok'!O$11)</f>
        <v>27.893345220000004</v>
      </c>
      <c r="P68" s="282">
        <f>SUMIFS('Besi Balok'!$AA$23:$AA$7253,'Besi Balok'!$A$23:$A$7253,$A68,'Besi Balok'!$B$23:$B$7253,$B68,'Besi Balok'!$F$23:$F$7253,'REKAP Balok'!P$11)</f>
        <v>0</v>
      </c>
      <c r="Q68" s="282">
        <f>SUMIFS('Besi Balok'!$AA$23:$AA$7253,'Besi Balok'!$A$23:$A$7253,$A68,'Besi Balok'!$B$23:$B$7253,$B68,'Besi Balok'!$F$23:$F$7253,'REKAP Balok'!Q$11)</f>
        <v>0</v>
      </c>
      <c r="R68" s="282">
        <f>SUMIFS('Besi Balok'!$AA$23:$AA$7253,'Besi Balok'!$A$23:$A$7253,$A68,'Besi Balok'!$B$23:$B$7253,$B68,'Besi Balok'!$F$23:$F$7253,'REKAP Balok'!R$11)</f>
        <v>0</v>
      </c>
      <c r="S68" s="282">
        <f>SUMIFS('Besi Balok'!$AA$23:$AA$7253,'Besi Balok'!$A$23:$A$7253,$A68,'Besi Balok'!$B$23:$B$7253,$B68,'Besi Balok'!$F$23:$F$7253,'REKAP Balok'!S$11)</f>
        <v>0</v>
      </c>
      <c r="T68" s="283">
        <f>SUMIFS('Besi Balok'!$AA$23:$AA$7253,'Besi Balok'!$A$23:$A$7253,$A68,'Besi Balok'!$B$23:$B$7253,$B68,'Besi Balok'!$F$23:$F$7253,'REKAP Balok'!T$11)</f>
        <v>0</v>
      </c>
      <c r="U68" s="284">
        <f t="shared" si="8"/>
        <v>38.459662020000003</v>
      </c>
      <c r="V68" s="285">
        <f t="shared" si="9"/>
        <v>0.20749999999999999</v>
      </c>
      <c r="W68" s="282">
        <f t="shared" si="13"/>
        <v>2.0750000000000002</v>
      </c>
      <c r="X68" s="282">
        <v>0</v>
      </c>
      <c r="Y68" s="282">
        <f t="shared" si="10"/>
        <v>8.3000000000000004E-2</v>
      </c>
      <c r="Z68" s="283">
        <f t="shared" si="11"/>
        <v>0.74699999999999989</v>
      </c>
      <c r="AC68" s="1784">
        <f t="shared" si="12"/>
        <v>0.66400000000000003</v>
      </c>
    </row>
    <row r="69" spans="1:29" hidden="1">
      <c r="A69" s="272" t="str">
        <f>'Data Panjang Balok'!A65</f>
        <v>Lantai 1</v>
      </c>
      <c r="B69" s="273">
        <f>'Data Panjang Balok'!B65</f>
        <v>54</v>
      </c>
      <c r="C69" s="274" t="str">
        <f>'Data Panjang Balok'!D65</f>
        <v>S36-1</v>
      </c>
      <c r="D69" s="275">
        <f>IF(C69&gt;0,VLOOKUP(C69,'Detail Balok'!$C$11:$AU$140,2,FALSE),0)</f>
        <v>300</v>
      </c>
      <c r="E69" s="276" t="s">
        <v>125</v>
      </c>
      <c r="F69" s="277">
        <f>IF(C69&gt;0,VLOOKUP(C69,'Detail Balok'!$C$11:$AU$140,3,FALSE),0)</f>
        <v>600</v>
      </c>
      <c r="G69" s="278">
        <f>'Data Panjang Balok'!I65</f>
        <v>4075</v>
      </c>
      <c r="H69" s="278">
        <f>'Data Panjang Balok'!J65</f>
        <v>150</v>
      </c>
      <c r="I69" s="279">
        <v>-3.5</v>
      </c>
      <c r="J69" s="279">
        <f t="shared" si="7"/>
        <v>-4.0999999999999996</v>
      </c>
      <c r="K69" s="280">
        <f>'Data Panjang Balok'!E65</f>
        <v>1</v>
      </c>
      <c r="L69" s="281">
        <f>SUMIFS('Besi Balok'!$AA$23:$AA$7253,'Besi Balok'!$A$23:$A$7253,$A69,'Besi Balok'!$B$23:$B$7253,$B69,'Besi Balok'!$F$23:$F$7253,'REKAP Balok'!L$11)</f>
        <v>0</v>
      </c>
      <c r="M69" s="282">
        <f>SUMIFS('Besi Balok'!$AA$23:$AA$7253,'Besi Balok'!$A$23:$A$7253,$A69,'Besi Balok'!$B$23:$B$7253,$B69,'Besi Balok'!$F$23:$F$7253,'REKAP Balok'!M$11)</f>
        <v>16.721452799999998</v>
      </c>
      <c r="N69" s="282">
        <f>SUMIFS('Besi Balok'!$AA$23:$AA$7253,'Besi Balok'!$A$23:$A$7253,$A69,'Besi Balok'!$B$23:$B$7253,$B69,'Besi Balok'!$F$23:$F$7253,'REKAP Balok'!N$11)</f>
        <v>5.3203950000000013</v>
      </c>
      <c r="O69" s="282">
        <f>SUMIFS('Besi Balok'!$AA$23:$AA$7253,'Besi Balok'!$A$23:$A$7253,$A69,'Besi Balok'!$B$23:$B$7253,$B69,'Besi Balok'!$F$23:$F$7253,'REKAP Balok'!O$11)</f>
        <v>0</v>
      </c>
      <c r="P69" s="282">
        <f>SUMIFS('Besi Balok'!$AA$23:$AA$7253,'Besi Balok'!$A$23:$A$7253,$A69,'Besi Balok'!$B$23:$B$7253,$B69,'Besi Balok'!$F$23:$F$7253,'REKAP Balok'!P$11)</f>
        <v>56.298977279999995</v>
      </c>
      <c r="Q69" s="282">
        <f>SUMIFS('Besi Balok'!$AA$23:$AA$7253,'Besi Balok'!$A$23:$A$7253,$A69,'Besi Balok'!$B$23:$B$7253,$B69,'Besi Balok'!$F$23:$F$7253,'REKAP Balok'!Q$11)</f>
        <v>0</v>
      </c>
      <c r="R69" s="282">
        <f>SUMIFS('Besi Balok'!$AA$23:$AA$7253,'Besi Balok'!$A$23:$A$7253,$A69,'Besi Balok'!$B$23:$B$7253,$B69,'Besi Balok'!$F$23:$F$7253,'REKAP Balok'!R$11)</f>
        <v>0</v>
      </c>
      <c r="S69" s="282">
        <f>SUMIFS('Besi Balok'!$AA$23:$AA$7253,'Besi Balok'!$A$23:$A$7253,$A69,'Besi Balok'!$B$23:$B$7253,$B69,'Besi Balok'!$F$23:$F$7253,'REKAP Balok'!S$11)</f>
        <v>0</v>
      </c>
      <c r="T69" s="283">
        <f>SUMIFS('Besi Balok'!$AA$23:$AA$7253,'Besi Balok'!$A$23:$A$7253,$A69,'Besi Balok'!$B$23:$B$7253,$B69,'Besi Balok'!$F$23:$F$7253,'REKAP Balok'!T$11)</f>
        <v>0</v>
      </c>
      <c r="U69" s="284">
        <f t="shared" si="8"/>
        <v>78.340825080000002</v>
      </c>
      <c r="V69" s="285">
        <f t="shared" si="9"/>
        <v>0.55012499999999998</v>
      </c>
      <c r="W69" s="282">
        <f t="shared" si="13"/>
        <v>3.6675</v>
      </c>
      <c r="X69" s="282">
        <v>0</v>
      </c>
      <c r="Y69" s="282">
        <f t="shared" si="10"/>
        <v>0.10187499999999999</v>
      </c>
      <c r="Z69" s="283">
        <f t="shared" si="11"/>
        <v>1.3243749999999992</v>
      </c>
      <c r="AC69" s="1784">
        <f t="shared" si="12"/>
        <v>1.2224999999999999</v>
      </c>
    </row>
    <row r="70" spans="1:29" hidden="1">
      <c r="A70" s="272" t="str">
        <f>'Data Panjang Balok'!A66</f>
        <v>Lantai 1</v>
      </c>
      <c r="B70" s="273">
        <f>'Data Panjang Balok'!B66</f>
        <v>55</v>
      </c>
      <c r="C70" s="274" t="str">
        <f>'Data Panjang Balok'!D66</f>
        <v>S24-1</v>
      </c>
      <c r="D70" s="275">
        <f>IF(C70&gt;0,VLOOKUP(C70,'Detail Balok'!$C$11:$AU$140,2,FALSE),0)</f>
        <v>200</v>
      </c>
      <c r="E70" s="276" t="s">
        <v>125</v>
      </c>
      <c r="F70" s="277">
        <f>IF(C70&gt;0,VLOOKUP(C70,'Detail Balok'!$C$11:$AU$140,3,FALSE),0)</f>
        <v>400</v>
      </c>
      <c r="G70" s="278">
        <f>'Data Panjang Balok'!I66</f>
        <v>1780</v>
      </c>
      <c r="H70" s="278">
        <f>'Data Panjang Balok'!J66</f>
        <v>150</v>
      </c>
      <c r="I70" s="279">
        <v>-3.5</v>
      </c>
      <c r="J70" s="279">
        <f t="shared" si="7"/>
        <v>-3.9</v>
      </c>
      <c r="K70" s="280">
        <f>'Data Panjang Balok'!E66</f>
        <v>1</v>
      </c>
      <c r="L70" s="281">
        <f>SUMIFS('Besi Balok'!$AA$23:$AA$7253,'Besi Balok'!$A$23:$A$7253,$A70,'Besi Balok'!$B$23:$B$7253,$B70,'Besi Balok'!$F$23:$F$7253,'REKAP Balok'!L$11)</f>
        <v>0</v>
      </c>
      <c r="M70" s="282">
        <f>SUMIFS('Besi Balok'!$AA$23:$AA$7253,'Besi Balok'!$A$23:$A$7253,$A70,'Besi Balok'!$B$23:$B$7253,$B70,'Besi Balok'!$F$23:$F$7253,'REKAP Balok'!M$11)</f>
        <v>5.2831584000000014</v>
      </c>
      <c r="N70" s="282">
        <f>SUMIFS('Besi Balok'!$AA$23:$AA$7253,'Besi Balok'!$A$23:$A$7253,$A70,'Besi Balok'!$B$23:$B$7253,$B70,'Besi Balok'!$F$23:$F$7253,'REKAP Balok'!N$11)</f>
        <v>0</v>
      </c>
      <c r="O70" s="282">
        <f>SUMIFS('Besi Balok'!$AA$23:$AA$7253,'Besi Balok'!$A$23:$A$7253,$A70,'Besi Balok'!$B$23:$B$7253,$B70,'Besi Balok'!$F$23:$F$7253,'REKAP Balok'!O$11)</f>
        <v>13.077740519999999</v>
      </c>
      <c r="P70" s="282">
        <f>SUMIFS('Besi Balok'!$AA$23:$AA$7253,'Besi Balok'!$A$23:$A$7253,$A70,'Besi Balok'!$B$23:$B$7253,$B70,'Besi Balok'!$F$23:$F$7253,'REKAP Balok'!P$11)</f>
        <v>0</v>
      </c>
      <c r="Q70" s="282">
        <f>SUMIFS('Besi Balok'!$AA$23:$AA$7253,'Besi Balok'!$A$23:$A$7253,$A70,'Besi Balok'!$B$23:$B$7253,$B70,'Besi Balok'!$F$23:$F$7253,'REKAP Balok'!Q$11)</f>
        <v>0</v>
      </c>
      <c r="R70" s="282">
        <f>SUMIFS('Besi Balok'!$AA$23:$AA$7253,'Besi Balok'!$A$23:$A$7253,$A70,'Besi Balok'!$B$23:$B$7253,$B70,'Besi Balok'!$F$23:$F$7253,'REKAP Balok'!R$11)</f>
        <v>0</v>
      </c>
      <c r="S70" s="282">
        <f>SUMIFS('Besi Balok'!$AA$23:$AA$7253,'Besi Balok'!$A$23:$A$7253,$A70,'Besi Balok'!$B$23:$B$7253,$B70,'Besi Balok'!$F$23:$F$7253,'REKAP Balok'!S$11)</f>
        <v>0</v>
      </c>
      <c r="T70" s="283">
        <f>SUMIFS('Besi Balok'!$AA$23:$AA$7253,'Besi Balok'!$A$23:$A$7253,$A70,'Besi Balok'!$B$23:$B$7253,$B70,'Besi Balok'!$F$23:$F$7253,'REKAP Balok'!T$11)</f>
        <v>0</v>
      </c>
      <c r="U70" s="284">
        <f t="shared" si="8"/>
        <v>18.36089892</v>
      </c>
      <c r="V70" s="285">
        <f t="shared" si="9"/>
        <v>8.8999999999999996E-2</v>
      </c>
      <c r="W70" s="282">
        <f t="shared" si="13"/>
        <v>0.89</v>
      </c>
      <c r="X70" s="282">
        <v>0</v>
      </c>
      <c r="Y70" s="282">
        <f t="shared" si="10"/>
        <v>3.56E-2</v>
      </c>
      <c r="Z70" s="283">
        <f t="shared" si="11"/>
        <v>0.32039999999999996</v>
      </c>
      <c r="AC70" s="1784">
        <f t="shared" si="12"/>
        <v>0.2848</v>
      </c>
    </row>
    <row r="71" spans="1:29" hidden="1">
      <c r="A71" s="272" t="str">
        <f>'Data Panjang Balok'!A67</f>
        <v>Lantai 1</v>
      </c>
      <c r="B71" s="273">
        <f>'Data Panjang Balok'!B67</f>
        <v>56</v>
      </c>
      <c r="C71" s="274" t="str">
        <f>'Data Panjang Balok'!D67</f>
        <v>S36-1</v>
      </c>
      <c r="D71" s="275">
        <f>IF(C71&gt;0,VLOOKUP(C71,'Detail Balok'!$C$11:$AU$140,2,FALSE),0)</f>
        <v>300</v>
      </c>
      <c r="E71" s="276" t="s">
        <v>125</v>
      </c>
      <c r="F71" s="277">
        <f>IF(C71&gt;0,VLOOKUP(C71,'Detail Balok'!$C$11:$AU$140,3,FALSE),0)</f>
        <v>600</v>
      </c>
      <c r="G71" s="278">
        <f>'Data Panjang Balok'!I67</f>
        <v>5690</v>
      </c>
      <c r="H71" s="278">
        <f>'Data Panjang Balok'!J67</f>
        <v>150</v>
      </c>
      <c r="I71" s="279">
        <v>-3.5</v>
      </c>
      <c r="J71" s="279">
        <f t="shared" si="7"/>
        <v>-4.0999999999999996</v>
      </c>
      <c r="K71" s="280">
        <f>'Data Panjang Balok'!E67</f>
        <v>1</v>
      </c>
      <c r="L71" s="281">
        <f>SUMIFS('Besi Balok'!$AA$23:$AA$7253,'Besi Balok'!$A$23:$A$7253,$A71,'Besi Balok'!$B$23:$B$7253,$B71,'Besi Balok'!$F$23:$F$7253,'REKAP Balok'!L$11)</f>
        <v>0</v>
      </c>
      <c r="M71" s="282">
        <f>SUMIFS('Besi Balok'!$AA$23:$AA$7253,'Besi Balok'!$A$23:$A$7253,$A71,'Besi Balok'!$B$23:$B$7253,$B71,'Besi Balok'!$F$23:$F$7253,'REKAP Balok'!M$11)</f>
        <v>21.866515199999998</v>
      </c>
      <c r="N71" s="282">
        <f>SUMIFS('Besi Balok'!$AA$23:$AA$7253,'Besi Balok'!$A$23:$A$7253,$A71,'Besi Balok'!$B$23:$B$7253,$B71,'Besi Balok'!$F$23:$F$7253,'REKAP Balok'!N$11)</f>
        <v>7.3116900000000014</v>
      </c>
      <c r="O71" s="282">
        <f>SUMIFS('Besi Balok'!$AA$23:$AA$7253,'Besi Balok'!$A$23:$A$7253,$A71,'Besi Balok'!$B$23:$B$7253,$B71,'Besi Balok'!$F$23:$F$7253,'REKAP Balok'!O$11)</f>
        <v>0</v>
      </c>
      <c r="P71" s="282">
        <f>SUMIFS('Besi Balok'!$AA$23:$AA$7253,'Besi Balok'!$A$23:$A$7253,$A71,'Besi Balok'!$B$23:$B$7253,$B71,'Besi Balok'!$F$23:$F$7253,'REKAP Balok'!P$11)</f>
        <v>76.689838080000001</v>
      </c>
      <c r="Q71" s="282">
        <f>SUMIFS('Besi Balok'!$AA$23:$AA$7253,'Besi Balok'!$A$23:$A$7253,$A71,'Besi Balok'!$B$23:$B$7253,$B71,'Besi Balok'!$F$23:$F$7253,'REKAP Balok'!Q$11)</f>
        <v>0</v>
      </c>
      <c r="R71" s="282">
        <f>SUMIFS('Besi Balok'!$AA$23:$AA$7253,'Besi Balok'!$A$23:$A$7253,$A71,'Besi Balok'!$B$23:$B$7253,$B71,'Besi Balok'!$F$23:$F$7253,'REKAP Balok'!R$11)</f>
        <v>0</v>
      </c>
      <c r="S71" s="282">
        <f>SUMIFS('Besi Balok'!$AA$23:$AA$7253,'Besi Balok'!$A$23:$A$7253,$A71,'Besi Balok'!$B$23:$B$7253,$B71,'Besi Balok'!$F$23:$F$7253,'REKAP Balok'!S$11)</f>
        <v>0</v>
      </c>
      <c r="T71" s="283">
        <f>SUMIFS('Besi Balok'!$AA$23:$AA$7253,'Besi Balok'!$A$23:$A$7253,$A71,'Besi Balok'!$B$23:$B$7253,$B71,'Besi Balok'!$F$23:$F$7253,'REKAP Balok'!T$11)</f>
        <v>0</v>
      </c>
      <c r="U71" s="284">
        <f t="shared" si="8"/>
        <v>105.86804327999999</v>
      </c>
      <c r="V71" s="285">
        <f t="shared" si="9"/>
        <v>0.76815</v>
      </c>
      <c r="W71" s="282">
        <f t="shared" si="13"/>
        <v>5.1210000000000004</v>
      </c>
      <c r="X71" s="282">
        <v>0</v>
      </c>
      <c r="Y71" s="282">
        <f t="shared" si="10"/>
        <v>0.14224999999999999</v>
      </c>
      <c r="Z71" s="283">
        <f t="shared" si="11"/>
        <v>1.8492499999999992</v>
      </c>
      <c r="AC71" s="1784">
        <f t="shared" si="12"/>
        <v>1.7070000000000001</v>
      </c>
    </row>
    <row r="72" spans="1:29" hidden="1">
      <c r="A72" s="272" t="str">
        <f>'Data Panjang Balok'!A68</f>
        <v>Lantai 1</v>
      </c>
      <c r="B72" s="273">
        <f>'Data Panjang Balok'!B68</f>
        <v>57</v>
      </c>
      <c r="C72" s="274" t="str">
        <f>'Data Panjang Balok'!D68</f>
        <v>S36-1</v>
      </c>
      <c r="D72" s="275">
        <f>IF(C72&gt;0,VLOOKUP(C72,'Detail Balok'!$C$11:$AU$140,2,FALSE),0)</f>
        <v>300</v>
      </c>
      <c r="E72" s="276" t="s">
        <v>125</v>
      </c>
      <c r="F72" s="277">
        <f>IF(C72&gt;0,VLOOKUP(C72,'Detail Balok'!$C$11:$AU$140,3,FALSE),0)</f>
        <v>600</v>
      </c>
      <c r="G72" s="278">
        <f>'Data Panjang Balok'!I68</f>
        <v>4000</v>
      </c>
      <c r="H72" s="278">
        <f>'Data Panjang Balok'!J68</f>
        <v>150</v>
      </c>
      <c r="I72" s="279">
        <v>-3.5</v>
      </c>
      <c r="J72" s="279">
        <f t="shared" si="7"/>
        <v>-4.0999999999999996</v>
      </c>
      <c r="K72" s="280">
        <f>'Data Panjang Balok'!E68</f>
        <v>1</v>
      </c>
      <c r="L72" s="281">
        <f>SUMIFS('Besi Balok'!$AA$23:$AA$7253,'Besi Balok'!$A$23:$A$7253,$A72,'Besi Balok'!$B$23:$B$7253,$B72,'Besi Balok'!$F$23:$F$7253,'REKAP Balok'!L$11)</f>
        <v>0</v>
      </c>
      <c r="M72" s="282">
        <f>SUMIFS('Besi Balok'!$AA$23:$AA$7253,'Besi Balok'!$A$23:$A$7253,$A72,'Besi Balok'!$B$23:$B$7253,$B72,'Besi Balok'!$F$23:$F$7253,'REKAP Balok'!M$11)</f>
        <v>16.721452799999998</v>
      </c>
      <c r="N72" s="282">
        <f>SUMIFS('Besi Balok'!$AA$23:$AA$7253,'Besi Balok'!$A$23:$A$7253,$A72,'Besi Balok'!$B$23:$B$7253,$B72,'Besi Balok'!$F$23:$F$7253,'REKAP Balok'!N$11)</f>
        <v>5.227920000000001</v>
      </c>
      <c r="O72" s="282">
        <f>SUMIFS('Besi Balok'!$AA$23:$AA$7253,'Besi Balok'!$A$23:$A$7253,$A72,'Besi Balok'!$B$23:$B$7253,$B72,'Besi Balok'!$F$23:$F$7253,'REKAP Balok'!O$11)</f>
        <v>0</v>
      </c>
      <c r="P72" s="282">
        <f>SUMIFS('Besi Balok'!$AA$23:$AA$7253,'Besi Balok'!$A$23:$A$7253,$A72,'Besi Balok'!$B$23:$B$7253,$B72,'Besi Balok'!$F$23:$F$7253,'REKAP Balok'!P$11)</f>
        <v>55.352033280000008</v>
      </c>
      <c r="Q72" s="282">
        <f>SUMIFS('Besi Balok'!$AA$23:$AA$7253,'Besi Balok'!$A$23:$A$7253,$A72,'Besi Balok'!$B$23:$B$7253,$B72,'Besi Balok'!$F$23:$F$7253,'REKAP Balok'!Q$11)</f>
        <v>0</v>
      </c>
      <c r="R72" s="282">
        <f>SUMIFS('Besi Balok'!$AA$23:$AA$7253,'Besi Balok'!$A$23:$A$7253,$A72,'Besi Balok'!$B$23:$B$7253,$B72,'Besi Balok'!$F$23:$F$7253,'REKAP Balok'!R$11)</f>
        <v>0</v>
      </c>
      <c r="S72" s="282">
        <f>SUMIFS('Besi Balok'!$AA$23:$AA$7253,'Besi Balok'!$A$23:$A$7253,$A72,'Besi Balok'!$B$23:$B$7253,$B72,'Besi Balok'!$F$23:$F$7253,'REKAP Balok'!S$11)</f>
        <v>0</v>
      </c>
      <c r="T72" s="283">
        <f>SUMIFS('Besi Balok'!$AA$23:$AA$7253,'Besi Balok'!$A$23:$A$7253,$A72,'Besi Balok'!$B$23:$B$7253,$B72,'Besi Balok'!$F$23:$F$7253,'REKAP Balok'!T$11)</f>
        <v>0</v>
      </c>
      <c r="U72" s="284">
        <f t="shared" si="8"/>
        <v>77.301406080000007</v>
      </c>
      <c r="V72" s="285">
        <f t="shared" si="9"/>
        <v>0.54</v>
      </c>
      <c r="W72" s="282">
        <f t="shared" si="13"/>
        <v>3.6</v>
      </c>
      <c r="X72" s="282">
        <v>0</v>
      </c>
      <c r="Y72" s="282">
        <f t="shared" si="10"/>
        <v>0.1</v>
      </c>
      <c r="Z72" s="283">
        <f t="shared" si="11"/>
        <v>1.2999999999999994</v>
      </c>
      <c r="AC72" s="1784">
        <f t="shared" si="12"/>
        <v>1.2</v>
      </c>
    </row>
    <row r="73" spans="1:29">
      <c r="A73" s="272" t="str">
        <f>'Data Panjang Balok'!A69</f>
        <v>Lantai 1</v>
      </c>
      <c r="B73" s="273">
        <f>'Data Panjang Balok'!B69</f>
        <v>58</v>
      </c>
      <c r="C73" s="274" t="str">
        <f>'Data Panjang Balok'!D69</f>
        <v>S25-1</v>
      </c>
      <c r="D73" s="275">
        <f>IF(C73&gt;0,VLOOKUP(C73,'Detail Balok'!$C$11:$AU$140,2,FALSE),0)</f>
        <v>200</v>
      </c>
      <c r="E73" s="276" t="s">
        <v>125</v>
      </c>
      <c r="F73" s="277">
        <f>IF(C73&gt;0,VLOOKUP(C73,'Detail Balok'!$C$11:$AU$140,3,FALSE),0)</f>
        <v>500</v>
      </c>
      <c r="G73" s="278">
        <f>'Data Panjang Balok'!I69</f>
        <v>1600</v>
      </c>
      <c r="H73" s="278">
        <f>'Data Panjang Balok'!J69</f>
        <v>150</v>
      </c>
      <c r="I73" s="279">
        <v>-3.5</v>
      </c>
      <c r="J73" s="279">
        <f t="shared" si="7"/>
        <v>-4</v>
      </c>
      <c r="K73" s="280">
        <f>'Data Panjang Balok'!E69</f>
        <v>1</v>
      </c>
      <c r="L73" s="281">
        <f>SUMIFS('Besi Balok'!$AA$23:$AA$7253,'Besi Balok'!$A$23:$A$7253,$A73,'Besi Balok'!$B$23:$B$7253,$B73,'Besi Balok'!$F$23:$F$7253,'REKAP Balok'!L$11)</f>
        <v>0</v>
      </c>
      <c r="M73" s="282">
        <f>SUMIFS('Besi Balok'!$AA$23:$AA$7253,'Besi Balok'!$A$23:$A$7253,$A73,'Besi Balok'!$B$23:$B$7253,$B73,'Besi Balok'!$F$23:$F$7253,'REKAP Balok'!M$11)</f>
        <v>5.8237056000000003</v>
      </c>
      <c r="N73" s="282">
        <f>SUMIFS('Besi Balok'!$AA$23:$AA$7253,'Besi Balok'!$A$23:$A$7253,$A73,'Besi Balok'!$B$23:$B$7253,$B73,'Besi Balok'!$F$23:$F$7253,'REKAP Balok'!N$11)</f>
        <v>2.2687200000000001</v>
      </c>
      <c r="O73" s="282">
        <f>SUMIFS('Besi Balok'!$AA$23:$AA$7253,'Besi Balok'!$A$23:$A$7253,$A73,'Besi Balok'!$B$23:$B$7253,$B73,'Besi Balok'!$F$23:$F$7253,'REKAP Balok'!O$11)</f>
        <v>0</v>
      </c>
      <c r="P73" s="282">
        <f>SUMIFS('Besi Balok'!$AA$23:$AA$7253,'Besi Balok'!$A$23:$A$7253,$A73,'Besi Balok'!$B$23:$B$7253,$B73,'Besi Balok'!$F$23:$F$7253,'REKAP Balok'!P$11)</f>
        <v>18.787368960000002</v>
      </c>
      <c r="Q73" s="282">
        <f>SUMIFS('Besi Balok'!$AA$23:$AA$7253,'Besi Balok'!$A$23:$A$7253,$A73,'Besi Balok'!$B$23:$B$7253,$B73,'Besi Balok'!$F$23:$F$7253,'REKAP Balok'!Q$11)</f>
        <v>0</v>
      </c>
      <c r="R73" s="282">
        <f>SUMIFS('Besi Balok'!$AA$23:$AA$7253,'Besi Balok'!$A$23:$A$7253,$A73,'Besi Balok'!$B$23:$B$7253,$B73,'Besi Balok'!$F$23:$F$7253,'REKAP Balok'!R$11)</f>
        <v>0</v>
      </c>
      <c r="S73" s="282">
        <f>SUMIFS('Besi Balok'!$AA$23:$AA$7253,'Besi Balok'!$A$23:$A$7253,$A73,'Besi Balok'!$B$23:$B$7253,$B73,'Besi Balok'!$F$23:$F$7253,'REKAP Balok'!S$11)</f>
        <v>0</v>
      </c>
      <c r="T73" s="283">
        <f>SUMIFS('Besi Balok'!$AA$23:$AA$7253,'Besi Balok'!$A$23:$A$7253,$A73,'Besi Balok'!$B$23:$B$7253,$B73,'Besi Balok'!$F$23:$F$7253,'REKAP Balok'!T$11)</f>
        <v>0</v>
      </c>
      <c r="U73" s="284">
        <f t="shared" si="8"/>
        <v>26.879794560000001</v>
      </c>
      <c r="V73" s="285">
        <f t="shared" si="9"/>
        <v>0.112</v>
      </c>
      <c r="W73" s="282">
        <f t="shared" si="13"/>
        <v>1.1200000000000001</v>
      </c>
      <c r="X73" s="282">
        <v>0</v>
      </c>
      <c r="Y73" s="282">
        <f t="shared" si="10"/>
        <v>3.2000000000000001E-2</v>
      </c>
      <c r="Z73" s="283">
        <f>K73*(D73+2*$F$5)*($F$4-J73+($F$6+$F$7)/1000)*G73/1000000</f>
        <v>0.35200000000000004</v>
      </c>
      <c r="AB73" s="246">
        <f>U73/V73</f>
        <v>239.9981657142857</v>
      </c>
      <c r="AC73" s="1784">
        <f t="shared" si="12"/>
        <v>0.32</v>
      </c>
    </row>
    <row r="74" spans="1:29" hidden="1">
      <c r="A74" s="272" t="str">
        <f>'Data Panjang Balok'!A70</f>
        <v>Lantai 1</v>
      </c>
      <c r="B74" s="273">
        <f>'Data Panjang Balok'!B70</f>
        <v>59</v>
      </c>
      <c r="C74" s="274" t="str">
        <f>'Data Panjang Balok'!D70</f>
        <v>S24-1</v>
      </c>
      <c r="D74" s="275">
        <f>IF(C74&gt;0,VLOOKUP(C74,'Detail Balok'!$C$11:$AU$140,2,FALSE),0)</f>
        <v>200</v>
      </c>
      <c r="E74" s="276" t="s">
        <v>125</v>
      </c>
      <c r="F74" s="277">
        <f>IF(C74&gt;0,VLOOKUP(C74,'Detail Balok'!$C$11:$AU$140,3,FALSE),0)</f>
        <v>400</v>
      </c>
      <c r="G74" s="278">
        <f>'Data Panjang Balok'!I70</f>
        <v>6975</v>
      </c>
      <c r="H74" s="278">
        <f>'Data Panjang Balok'!J70</f>
        <v>150</v>
      </c>
      <c r="I74" s="279">
        <v>-3.5</v>
      </c>
      <c r="J74" s="279">
        <f t="shared" ref="J74:J92" si="24">I74-F74/1000</f>
        <v>-3.9</v>
      </c>
      <c r="K74" s="280">
        <f>'Data Panjang Balok'!E70</f>
        <v>1</v>
      </c>
      <c r="L74" s="281">
        <f>SUMIFS('Besi Balok'!$AA$23:$AA$7253,'Besi Balok'!$A$23:$A$7253,$A74,'Besi Balok'!$B$23:$B$7253,$B74,'Besi Balok'!$F$23:$F$7253,'REKAP Balok'!L$11)</f>
        <v>0</v>
      </c>
      <c r="M74" s="282">
        <f>SUMIFS('Besi Balok'!$AA$23:$AA$7253,'Besi Balok'!$A$23:$A$7253,$A74,'Besi Balok'!$B$23:$B$7253,$B74,'Besi Balok'!$F$23:$F$7253,'REKAP Balok'!M$11)</f>
        <v>17.475062400000002</v>
      </c>
      <c r="N74" s="282">
        <f>SUMIFS('Besi Balok'!$AA$23:$AA$7253,'Besi Balok'!$A$23:$A$7253,$A74,'Besi Balok'!$B$23:$B$7253,$B74,'Besi Balok'!$F$23:$F$7253,'REKAP Balok'!N$11)</f>
        <v>0</v>
      </c>
      <c r="O74" s="282">
        <f>SUMIFS('Besi Balok'!$AA$23:$AA$7253,'Besi Balok'!$A$23:$A$7253,$A74,'Besi Balok'!$B$23:$B$7253,$B74,'Besi Balok'!$F$23:$F$7253,'REKAP Balok'!O$11)</f>
        <v>45.553295969999994</v>
      </c>
      <c r="P74" s="282">
        <f>SUMIFS('Besi Balok'!$AA$23:$AA$7253,'Besi Balok'!$A$23:$A$7253,$A74,'Besi Balok'!$B$23:$B$7253,$B74,'Besi Balok'!$F$23:$F$7253,'REKAP Balok'!P$11)</f>
        <v>0</v>
      </c>
      <c r="Q74" s="282">
        <f>SUMIFS('Besi Balok'!$AA$23:$AA$7253,'Besi Balok'!$A$23:$A$7253,$A74,'Besi Balok'!$B$23:$B$7253,$B74,'Besi Balok'!$F$23:$F$7253,'REKAP Balok'!Q$11)</f>
        <v>0</v>
      </c>
      <c r="R74" s="282">
        <f>SUMIFS('Besi Balok'!$AA$23:$AA$7253,'Besi Balok'!$A$23:$A$7253,$A74,'Besi Balok'!$B$23:$B$7253,$B74,'Besi Balok'!$F$23:$F$7253,'REKAP Balok'!R$11)</f>
        <v>0</v>
      </c>
      <c r="S74" s="282">
        <f>SUMIFS('Besi Balok'!$AA$23:$AA$7253,'Besi Balok'!$A$23:$A$7253,$A74,'Besi Balok'!$B$23:$B$7253,$B74,'Besi Balok'!$F$23:$F$7253,'REKAP Balok'!S$11)</f>
        <v>0</v>
      </c>
      <c r="T74" s="283">
        <f>SUMIFS('Besi Balok'!$AA$23:$AA$7253,'Besi Balok'!$A$23:$A$7253,$A74,'Besi Balok'!$B$23:$B$7253,$B74,'Besi Balok'!$F$23:$F$7253,'REKAP Balok'!T$11)</f>
        <v>0</v>
      </c>
      <c r="U74" s="284">
        <f t="shared" ref="U74:U92" si="25">SUM(L74:T74)</f>
        <v>63.028358369999992</v>
      </c>
      <c r="V74" s="285">
        <f t="shared" ref="V74:V92" si="26">(D74*(F74-H74)*G74*K74)/1000000000</f>
        <v>0.34875</v>
      </c>
      <c r="W74" s="282">
        <f t="shared" ref="W74:W92" si="27">(((F74-H74)*2)*(G74)*K74)/1000000</f>
        <v>3.4874999999999998</v>
      </c>
      <c r="X74" s="282">
        <v>0</v>
      </c>
      <c r="Y74" s="282">
        <f t="shared" ref="Y74:Y92" si="28">K74*(D74+2*$F$5)*G74*$F$6/1000000000</f>
        <v>0.13950000000000001</v>
      </c>
      <c r="Z74" s="283">
        <f t="shared" ref="Z74:Z91" si="29">K74*(D74+2*$F$5)*($F$4-J74+($F$6+$F$7)/1000)*G74/1000000</f>
        <v>1.2554999999999998</v>
      </c>
      <c r="AC74" s="1784">
        <f t="shared" ref="AC74:AC92" si="30">(D74+2*$F$5)*F74*G74/1000000000</f>
        <v>1.1160000000000001</v>
      </c>
    </row>
    <row r="75" spans="1:29" hidden="1">
      <c r="A75" s="272" t="str">
        <f>'Data Panjang Balok'!A71</f>
        <v>Lantai 1</v>
      </c>
      <c r="B75" s="273">
        <f>'Data Panjang Balok'!B71</f>
        <v>60</v>
      </c>
      <c r="C75" s="274" t="str">
        <f>'Data Panjang Balok'!D71</f>
        <v>S24-1</v>
      </c>
      <c r="D75" s="275">
        <f>IF(C75&gt;0,VLOOKUP(C75,'Detail Balok'!$C$11:$AU$140,2,FALSE),0)</f>
        <v>200</v>
      </c>
      <c r="E75" s="276" t="s">
        <v>125</v>
      </c>
      <c r="F75" s="277">
        <f>IF(C75&gt;0,VLOOKUP(C75,'Detail Balok'!$C$11:$AU$140,3,FALSE),0)</f>
        <v>400</v>
      </c>
      <c r="G75" s="278">
        <f>'Data Panjang Balok'!I71</f>
        <v>17030</v>
      </c>
      <c r="H75" s="278">
        <f>'Data Panjang Balok'!J71</f>
        <v>0</v>
      </c>
      <c r="I75" s="279">
        <v>-3.5</v>
      </c>
      <c r="J75" s="279">
        <f t="shared" si="24"/>
        <v>-3.9</v>
      </c>
      <c r="K75" s="280">
        <f>'Data Panjang Balok'!E71</f>
        <v>1</v>
      </c>
      <c r="L75" s="281">
        <f>SUMIFS('Besi Balok'!$AA$23:$AA$7253,'Besi Balok'!$A$23:$A$7253,$A75,'Besi Balok'!$B$23:$B$7253,$B75,'Besi Balok'!$F$23:$F$7253,'REKAP Balok'!L$11)</f>
        <v>0</v>
      </c>
      <c r="M75" s="282">
        <f>SUMIFS('Besi Balok'!$AA$23:$AA$7253,'Besi Balok'!$A$23:$A$7253,$A75,'Besi Balok'!$B$23:$B$7253,$B75,'Besi Balok'!$F$23:$F$7253,'REKAP Balok'!M$11)</f>
        <v>41.046076800000009</v>
      </c>
      <c r="N75" s="282">
        <f>SUMIFS('Besi Balok'!$AA$23:$AA$7253,'Besi Balok'!$A$23:$A$7253,$A75,'Besi Balok'!$B$23:$B$7253,$B75,'Besi Balok'!$F$23:$F$7253,'REKAP Balok'!N$11)</f>
        <v>0</v>
      </c>
      <c r="O75" s="282">
        <f>SUMIFS('Besi Balok'!$AA$23:$AA$7253,'Besi Balok'!$A$23:$A$7253,$A75,'Besi Balok'!$B$23:$B$7253,$B75,'Besi Balok'!$F$23:$F$7253,'REKAP Balok'!O$11)</f>
        <v>108.41428137149998</v>
      </c>
      <c r="P75" s="282">
        <f>SUMIFS('Besi Balok'!$AA$23:$AA$7253,'Besi Balok'!$A$23:$A$7253,$A75,'Besi Balok'!$B$23:$B$7253,$B75,'Besi Balok'!$F$23:$F$7253,'REKAP Balok'!P$11)</f>
        <v>0</v>
      </c>
      <c r="Q75" s="282">
        <f>SUMIFS('Besi Balok'!$AA$23:$AA$7253,'Besi Balok'!$A$23:$A$7253,$A75,'Besi Balok'!$B$23:$B$7253,$B75,'Besi Balok'!$F$23:$F$7253,'REKAP Balok'!Q$11)</f>
        <v>0</v>
      </c>
      <c r="R75" s="282">
        <f>SUMIFS('Besi Balok'!$AA$23:$AA$7253,'Besi Balok'!$A$23:$A$7253,$A75,'Besi Balok'!$B$23:$B$7253,$B75,'Besi Balok'!$F$23:$F$7253,'REKAP Balok'!R$11)</f>
        <v>0</v>
      </c>
      <c r="S75" s="282">
        <f>SUMIFS('Besi Balok'!$AA$23:$AA$7253,'Besi Balok'!$A$23:$A$7253,$A75,'Besi Balok'!$B$23:$B$7253,$B75,'Besi Balok'!$F$23:$F$7253,'REKAP Balok'!S$11)</f>
        <v>0</v>
      </c>
      <c r="T75" s="283">
        <f>SUMIFS('Besi Balok'!$AA$23:$AA$7253,'Besi Balok'!$A$23:$A$7253,$A75,'Besi Balok'!$B$23:$B$7253,$B75,'Besi Balok'!$F$23:$F$7253,'REKAP Balok'!T$11)</f>
        <v>0</v>
      </c>
      <c r="U75" s="284">
        <f t="shared" si="25"/>
        <v>149.46035817149999</v>
      </c>
      <c r="V75" s="285">
        <f t="shared" si="26"/>
        <v>1.3624000000000001</v>
      </c>
      <c r="W75" s="282">
        <f t="shared" si="27"/>
        <v>13.624000000000001</v>
      </c>
      <c r="X75" s="282">
        <v>0</v>
      </c>
      <c r="Y75" s="282">
        <f t="shared" si="28"/>
        <v>0.34060000000000001</v>
      </c>
      <c r="Z75" s="283">
        <f t="shared" si="29"/>
        <v>3.0653999999999995</v>
      </c>
      <c r="AC75" s="1784">
        <f t="shared" si="30"/>
        <v>2.7248000000000001</v>
      </c>
    </row>
    <row r="76" spans="1:29" hidden="1">
      <c r="A76" s="272" t="str">
        <f>'Data Panjang Balok'!A72</f>
        <v>Lantai 1</v>
      </c>
      <c r="B76" s="273">
        <f>'Data Panjang Balok'!B72</f>
        <v>61</v>
      </c>
      <c r="C76" s="274" t="str">
        <f>'Data Panjang Balok'!D72</f>
        <v>S24-1</v>
      </c>
      <c r="D76" s="275">
        <f>IF(C76&gt;0,VLOOKUP(C76,'Detail Balok'!$C$11:$AU$140,2,FALSE),0)</f>
        <v>200</v>
      </c>
      <c r="E76" s="276" t="s">
        <v>125</v>
      </c>
      <c r="F76" s="277">
        <f>IF(C76&gt;0,VLOOKUP(C76,'Detail Balok'!$C$11:$AU$140,3,FALSE),0)</f>
        <v>400</v>
      </c>
      <c r="G76" s="278">
        <f>'Data Panjang Balok'!I72</f>
        <v>5675</v>
      </c>
      <c r="H76" s="278">
        <f>'Data Panjang Balok'!J72</f>
        <v>150</v>
      </c>
      <c r="I76" s="279">
        <v>-3.5</v>
      </c>
      <c r="J76" s="279">
        <f t="shared" si="24"/>
        <v>-3.9</v>
      </c>
      <c r="K76" s="280">
        <f>'Data Panjang Balok'!E72</f>
        <v>1</v>
      </c>
      <c r="L76" s="281">
        <f>SUMIFS('Besi Balok'!$AA$23:$AA$7253,'Besi Balok'!$A$23:$A$7253,$A76,'Besi Balok'!$B$23:$B$7253,$B76,'Besi Balok'!$F$23:$F$7253,'REKAP Balok'!L$11)</f>
        <v>0</v>
      </c>
      <c r="M76" s="282">
        <f>SUMIFS('Besi Balok'!$AA$23:$AA$7253,'Besi Balok'!$A$23:$A$7253,$A76,'Besi Balok'!$B$23:$B$7253,$B76,'Besi Balok'!$F$23:$F$7253,'REKAP Balok'!M$11)</f>
        <v>13.817491200000003</v>
      </c>
      <c r="N76" s="282">
        <f>SUMIFS('Besi Balok'!$AA$23:$AA$7253,'Besi Balok'!$A$23:$A$7253,$A76,'Besi Balok'!$B$23:$B$7253,$B76,'Besi Balok'!$F$23:$F$7253,'REKAP Balok'!N$11)</f>
        <v>0</v>
      </c>
      <c r="O76" s="282">
        <f>SUMIFS('Besi Balok'!$AA$23:$AA$7253,'Besi Balok'!$A$23:$A$7253,$A76,'Besi Balok'!$B$23:$B$7253,$B76,'Besi Balok'!$F$23:$F$7253,'REKAP Balok'!O$11)</f>
        <v>37.426592970000002</v>
      </c>
      <c r="P76" s="282">
        <f>SUMIFS('Besi Balok'!$AA$23:$AA$7253,'Besi Balok'!$A$23:$A$7253,$A76,'Besi Balok'!$B$23:$B$7253,$B76,'Besi Balok'!$F$23:$F$7253,'REKAP Balok'!P$11)</f>
        <v>0</v>
      </c>
      <c r="Q76" s="282">
        <f>SUMIFS('Besi Balok'!$AA$23:$AA$7253,'Besi Balok'!$A$23:$A$7253,$A76,'Besi Balok'!$B$23:$B$7253,$B76,'Besi Balok'!$F$23:$F$7253,'REKAP Balok'!Q$11)</f>
        <v>0</v>
      </c>
      <c r="R76" s="282">
        <f>SUMIFS('Besi Balok'!$AA$23:$AA$7253,'Besi Balok'!$A$23:$A$7253,$A76,'Besi Balok'!$B$23:$B$7253,$B76,'Besi Balok'!$F$23:$F$7253,'REKAP Balok'!R$11)</f>
        <v>0</v>
      </c>
      <c r="S76" s="282">
        <f>SUMIFS('Besi Balok'!$AA$23:$AA$7253,'Besi Balok'!$A$23:$A$7253,$A76,'Besi Balok'!$B$23:$B$7253,$B76,'Besi Balok'!$F$23:$F$7253,'REKAP Balok'!S$11)</f>
        <v>0</v>
      </c>
      <c r="T76" s="283">
        <f>SUMIFS('Besi Balok'!$AA$23:$AA$7253,'Besi Balok'!$A$23:$A$7253,$A76,'Besi Balok'!$B$23:$B$7253,$B76,'Besi Balok'!$F$23:$F$7253,'REKAP Balok'!T$11)</f>
        <v>0</v>
      </c>
      <c r="U76" s="284">
        <f t="shared" si="25"/>
        <v>51.244084170000008</v>
      </c>
      <c r="V76" s="285">
        <f t="shared" si="26"/>
        <v>0.28375</v>
      </c>
      <c r="W76" s="282">
        <f t="shared" si="27"/>
        <v>2.8374999999999999</v>
      </c>
      <c r="X76" s="282">
        <v>0</v>
      </c>
      <c r="Y76" s="282">
        <f t="shared" si="28"/>
        <v>0.1135</v>
      </c>
      <c r="Z76" s="283">
        <f t="shared" si="29"/>
        <v>1.0214999999999999</v>
      </c>
      <c r="AC76" s="1784">
        <f t="shared" si="30"/>
        <v>0.90800000000000003</v>
      </c>
    </row>
    <row r="77" spans="1:29">
      <c r="A77" s="272" t="str">
        <f>'Data Panjang Balok'!A73</f>
        <v>Lantai 1</v>
      </c>
      <c r="B77" s="273">
        <f>'Data Panjang Balok'!B73</f>
        <v>62</v>
      </c>
      <c r="C77" s="274" t="str">
        <f>'Data Panjang Balok'!D73</f>
        <v>S25-1</v>
      </c>
      <c r="D77" s="275">
        <f>IF(C77&gt;0,VLOOKUP(C77,'Detail Balok'!$C$11:$AU$140,2,FALSE),0)</f>
        <v>200</v>
      </c>
      <c r="E77" s="276" t="s">
        <v>125</v>
      </c>
      <c r="F77" s="277">
        <f>IF(C77&gt;0,VLOOKUP(C77,'Detail Balok'!$C$11:$AU$140,3,FALSE),0)</f>
        <v>500</v>
      </c>
      <c r="G77" s="278">
        <f>'Data Panjang Balok'!I73</f>
        <v>4300</v>
      </c>
      <c r="H77" s="278">
        <f>'Data Panjang Balok'!J73</f>
        <v>150</v>
      </c>
      <c r="I77" s="279">
        <v>-3.5</v>
      </c>
      <c r="J77" s="279">
        <f t="shared" si="24"/>
        <v>-4</v>
      </c>
      <c r="K77" s="280">
        <f>'Data Panjang Balok'!E73</f>
        <v>1</v>
      </c>
      <c r="L77" s="281">
        <f>SUMIFS('Besi Balok'!$AA$23:$AA$7253,'Besi Balok'!$A$23:$A$7253,$A77,'Besi Balok'!$B$23:$B$7253,$B77,'Besi Balok'!$F$23:$F$7253,'REKAP Balok'!L$11)</f>
        <v>0</v>
      </c>
      <c r="M77" s="282">
        <f>SUMIFS('Besi Balok'!$AA$23:$AA$7253,'Besi Balok'!$A$23:$A$7253,$A77,'Besi Balok'!$B$23:$B$7253,$B77,'Besi Balok'!$F$23:$F$7253,'REKAP Balok'!M$11)</f>
        <v>13.103337600000001</v>
      </c>
      <c r="N77" s="282">
        <f>SUMIFS('Besi Balok'!$AA$23:$AA$7253,'Besi Balok'!$A$23:$A$7253,$A77,'Besi Balok'!$B$23:$B$7253,$B77,'Besi Balok'!$F$23:$F$7253,'REKAP Balok'!N$11)</f>
        <v>5.5978200000000005</v>
      </c>
      <c r="O77" s="282">
        <f>SUMIFS('Besi Balok'!$AA$23:$AA$7253,'Besi Balok'!$A$23:$A$7253,$A77,'Besi Balok'!$B$23:$B$7253,$B77,'Besi Balok'!$F$23:$F$7253,'REKAP Balok'!O$11)</f>
        <v>0</v>
      </c>
      <c r="P77" s="282">
        <f>SUMIFS('Besi Balok'!$AA$23:$AA$7253,'Besi Balok'!$A$23:$A$7253,$A77,'Besi Balok'!$B$23:$B$7253,$B77,'Besi Balok'!$F$23:$F$7253,'REKAP Balok'!P$11)</f>
        <v>44.354856959999992</v>
      </c>
      <c r="Q77" s="282">
        <f>SUMIFS('Besi Balok'!$AA$23:$AA$7253,'Besi Balok'!$A$23:$A$7253,$A77,'Besi Balok'!$B$23:$B$7253,$B77,'Besi Balok'!$F$23:$F$7253,'REKAP Balok'!Q$11)</f>
        <v>0</v>
      </c>
      <c r="R77" s="282">
        <f>SUMIFS('Besi Balok'!$AA$23:$AA$7253,'Besi Balok'!$A$23:$A$7253,$A77,'Besi Balok'!$B$23:$B$7253,$B77,'Besi Balok'!$F$23:$F$7253,'REKAP Balok'!R$11)</f>
        <v>0</v>
      </c>
      <c r="S77" s="282">
        <f>SUMIFS('Besi Balok'!$AA$23:$AA$7253,'Besi Balok'!$A$23:$A$7253,$A77,'Besi Balok'!$B$23:$B$7253,$B77,'Besi Balok'!$F$23:$F$7253,'REKAP Balok'!S$11)</f>
        <v>0</v>
      </c>
      <c r="T77" s="283">
        <f>SUMIFS('Besi Balok'!$AA$23:$AA$7253,'Besi Balok'!$A$23:$A$7253,$A77,'Besi Balok'!$B$23:$B$7253,$B77,'Besi Balok'!$F$23:$F$7253,'REKAP Balok'!T$11)</f>
        <v>0</v>
      </c>
      <c r="U77" s="284">
        <f t="shared" si="25"/>
        <v>63.056014559999994</v>
      </c>
      <c r="V77" s="285">
        <f t="shared" si="26"/>
        <v>0.30099999999999999</v>
      </c>
      <c r="W77" s="282">
        <f t="shared" si="27"/>
        <v>3.01</v>
      </c>
      <c r="X77" s="282">
        <v>0</v>
      </c>
      <c r="Y77" s="282">
        <f t="shared" si="28"/>
        <v>8.5999999999999993E-2</v>
      </c>
      <c r="Z77" s="283">
        <f t="shared" si="29"/>
        <v>0.94600000000000006</v>
      </c>
      <c r="AB77" s="246">
        <f>U77/V77</f>
        <v>209.48842046511626</v>
      </c>
      <c r="AC77" s="1784">
        <f t="shared" si="30"/>
        <v>0.86</v>
      </c>
    </row>
    <row r="78" spans="1:29" hidden="1">
      <c r="A78" s="272" t="str">
        <f>'Data Panjang Balok'!A74</f>
        <v>Lantai 1</v>
      </c>
      <c r="B78" s="273">
        <f>'Data Panjang Balok'!B74</f>
        <v>63</v>
      </c>
      <c r="C78" s="274" t="str">
        <f>'Data Panjang Balok'!D74</f>
        <v>S24-1</v>
      </c>
      <c r="D78" s="275">
        <f>IF(C78&gt;0,VLOOKUP(C78,'Detail Balok'!$C$11:$AU$140,2,FALSE),0)</f>
        <v>200</v>
      </c>
      <c r="E78" s="276" t="s">
        <v>125</v>
      </c>
      <c r="F78" s="277">
        <f>IF(C78&gt;0,VLOOKUP(C78,'Detail Balok'!$C$11:$AU$140,3,FALSE),0)</f>
        <v>400</v>
      </c>
      <c r="G78" s="278">
        <f>'Data Panjang Balok'!I74</f>
        <v>2100</v>
      </c>
      <c r="H78" s="278">
        <f>'Data Panjang Balok'!J74</f>
        <v>150</v>
      </c>
      <c r="I78" s="279">
        <v>-3.5</v>
      </c>
      <c r="J78" s="279">
        <f t="shared" si="24"/>
        <v>-3.9</v>
      </c>
      <c r="K78" s="280">
        <f>'Data Panjang Balok'!E74</f>
        <v>1</v>
      </c>
      <c r="L78" s="281">
        <f>SUMIFS('Besi Balok'!$AA$23:$AA$7253,'Besi Balok'!$A$23:$A$7253,$A78,'Besi Balok'!$B$23:$B$7253,$B78,'Besi Balok'!$F$23:$F$7253,'REKAP Balok'!L$11)</f>
        <v>0</v>
      </c>
      <c r="M78" s="282">
        <f>SUMIFS('Besi Balok'!$AA$23:$AA$7253,'Besi Balok'!$A$23:$A$7253,$A78,'Besi Balok'!$B$23:$B$7253,$B78,'Besi Balok'!$F$23:$F$7253,'REKAP Balok'!M$11)</f>
        <v>6.0959520000000005</v>
      </c>
      <c r="N78" s="282">
        <f>SUMIFS('Besi Balok'!$AA$23:$AA$7253,'Besi Balok'!$A$23:$A$7253,$A78,'Besi Balok'!$B$23:$B$7253,$B78,'Besi Balok'!$F$23:$F$7253,'REKAP Balok'!N$11)</f>
        <v>0</v>
      </c>
      <c r="O78" s="282">
        <f>SUMIFS('Besi Balok'!$AA$23:$AA$7253,'Besi Balok'!$A$23:$A$7253,$A78,'Besi Balok'!$B$23:$B$7253,$B78,'Besi Balok'!$F$23:$F$7253,'REKAP Balok'!O$11)</f>
        <v>15.078159719999999</v>
      </c>
      <c r="P78" s="282">
        <f>SUMIFS('Besi Balok'!$AA$23:$AA$7253,'Besi Balok'!$A$23:$A$7253,$A78,'Besi Balok'!$B$23:$B$7253,$B78,'Besi Balok'!$F$23:$F$7253,'REKAP Balok'!P$11)</f>
        <v>0</v>
      </c>
      <c r="Q78" s="282">
        <f>SUMIFS('Besi Balok'!$AA$23:$AA$7253,'Besi Balok'!$A$23:$A$7253,$A78,'Besi Balok'!$B$23:$B$7253,$B78,'Besi Balok'!$F$23:$F$7253,'REKAP Balok'!Q$11)</f>
        <v>0</v>
      </c>
      <c r="R78" s="282">
        <f>SUMIFS('Besi Balok'!$AA$23:$AA$7253,'Besi Balok'!$A$23:$A$7253,$A78,'Besi Balok'!$B$23:$B$7253,$B78,'Besi Balok'!$F$23:$F$7253,'REKAP Balok'!R$11)</f>
        <v>0</v>
      </c>
      <c r="S78" s="282">
        <f>SUMIFS('Besi Balok'!$AA$23:$AA$7253,'Besi Balok'!$A$23:$A$7253,$A78,'Besi Balok'!$B$23:$B$7253,$B78,'Besi Balok'!$F$23:$F$7253,'REKAP Balok'!S$11)</f>
        <v>0</v>
      </c>
      <c r="T78" s="283">
        <f>SUMIFS('Besi Balok'!$AA$23:$AA$7253,'Besi Balok'!$A$23:$A$7253,$A78,'Besi Balok'!$B$23:$B$7253,$B78,'Besi Balok'!$F$23:$F$7253,'REKAP Balok'!T$11)</f>
        <v>0</v>
      </c>
      <c r="U78" s="284">
        <f t="shared" si="25"/>
        <v>21.174111719999999</v>
      </c>
      <c r="V78" s="285">
        <f t="shared" si="26"/>
        <v>0.105</v>
      </c>
      <c r="W78" s="282">
        <f t="shared" si="27"/>
        <v>1.05</v>
      </c>
      <c r="X78" s="282">
        <v>0</v>
      </c>
      <c r="Y78" s="282">
        <f t="shared" si="28"/>
        <v>4.2000000000000003E-2</v>
      </c>
      <c r="Z78" s="283">
        <f t="shared" si="29"/>
        <v>0.37799999999999995</v>
      </c>
      <c r="AC78" s="1784">
        <f t="shared" si="30"/>
        <v>0.33600000000000002</v>
      </c>
    </row>
    <row r="79" spans="1:29" hidden="1">
      <c r="A79" s="272" t="str">
        <f>'Data Panjang Balok'!A75</f>
        <v>Lantai 1</v>
      </c>
      <c r="B79" s="273">
        <f>'Data Panjang Balok'!B75</f>
        <v>64</v>
      </c>
      <c r="C79" s="274" t="str">
        <f>'Data Panjang Balok'!D75</f>
        <v>S24-1</v>
      </c>
      <c r="D79" s="275">
        <f>IF(C79&gt;0,VLOOKUP(C79,'Detail Balok'!$C$11:$AU$140,2,FALSE),0)</f>
        <v>200</v>
      </c>
      <c r="E79" s="276" t="s">
        <v>125</v>
      </c>
      <c r="F79" s="277">
        <f>IF(C79&gt;0,VLOOKUP(C79,'Detail Balok'!$C$11:$AU$140,3,FALSE),0)</f>
        <v>400</v>
      </c>
      <c r="G79" s="278">
        <f>'Data Panjang Balok'!I75</f>
        <v>925</v>
      </c>
      <c r="H79" s="278">
        <f>'Data Panjang Balok'!J75</f>
        <v>150</v>
      </c>
      <c r="I79" s="279">
        <v>-3.5</v>
      </c>
      <c r="J79" s="279">
        <f t="shared" si="24"/>
        <v>-3.9</v>
      </c>
      <c r="K79" s="280">
        <f>'Data Panjang Balok'!E75</f>
        <v>1</v>
      </c>
      <c r="L79" s="281">
        <f>SUMIFS('Besi Balok'!$AA$23:$AA$7253,'Besi Balok'!$A$23:$A$7253,$A79,'Besi Balok'!$B$23:$B$7253,$B79,'Besi Balok'!$F$23:$F$7253,'REKAP Balok'!L$11)</f>
        <v>0</v>
      </c>
      <c r="M79" s="282">
        <f>SUMIFS('Besi Balok'!$AA$23:$AA$7253,'Besi Balok'!$A$23:$A$7253,$A79,'Besi Balok'!$B$23:$B$7253,$B79,'Besi Balok'!$F$23:$F$7253,'REKAP Balok'!M$11)</f>
        <v>2.8447776000000005</v>
      </c>
      <c r="N79" s="282">
        <f>SUMIFS('Besi Balok'!$AA$23:$AA$7253,'Besi Balok'!$A$23:$A$7253,$A79,'Besi Balok'!$B$23:$B$7253,$B79,'Besi Balok'!$F$23:$F$7253,'REKAP Balok'!N$11)</f>
        <v>0</v>
      </c>
      <c r="O79" s="282">
        <f>SUMIFS('Besi Balok'!$AA$23:$AA$7253,'Besi Balok'!$A$23:$A$7253,$A79,'Besi Balok'!$B$23:$B$7253,$B79,'Besi Balok'!$F$23:$F$7253,'REKAP Balok'!O$11)</f>
        <v>7.7328704699999999</v>
      </c>
      <c r="P79" s="282">
        <f>SUMIFS('Besi Balok'!$AA$23:$AA$7253,'Besi Balok'!$A$23:$A$7253,$A79,'Besi Balok'!$B$23:$B$7253,$B79,'Besi Balok'!$F$23:$F$7253,'REKAP Balok'!P$11)</f>
        <v>0</v>
      </c>
      <c r="Q79" s="282">
        <f>SUMIFS('Besi Balok'!$AA$23:$AA$7253,'Besi Balok'!$A$23:$A$7253,$A79,'Besi Balok'!$B$23:$B$7253,$B79,'Besi Balok'!$F$23:$F$7253,'REKAP Balok'!Q$11)</f>
        <v>0</v>
      </c>
      <c r="R79" s="282">
        <f>SUMIFS('Besi Balok'!$AA$23:$AA$7253,'Besi Balok'!$A$23:$A$7253,$A79,'Besi Balok'!$B$23:$B$7253,$B79,'Besi Balok'!$F$23:$F$7253,'REKAP Balok'!R$11)</f>
        <v>0</v>
      </c>
      <c r="S79" s="282">
        <f>SUMIFS('Besi Balok'!$AA$23:$AA$7253,'Besi Balok'!$A$23:$A$7253,$A79,'Besi Balok'!$B$23:$B$7253,$B79,'Besi Balok'!$F$23:$F$7253,'REKAP Balok'!S$11)</f>
        <v>0</v>
      </c>
      <c r="T79" s="283">
        <f>SUMIFS('Besi Balok'!$AA$23:$AA$7253,'Besi Balok'!$A$23:$A$7253,$A79,'Besi Balok'!$B$23:$B$7253,$B79,'Besi Balok'!$F$23:$F$7253,'REKAP Balok'!T$11)</f>
        <v>0</v>
      </c>
      <c r="U79" s="284">
        <f t="shared" si="25"/>
        <v>10.57764807</v>
      </c>
      <c r="V79" s="285">
        <f t="shared" si="26"/>
        <v>4.6249999999999999E-2</v>
      </c>
      <c r="W79" s="282">
        <f t="shared" si="27"/>
        <v>0.46250000000000002</v>
      </c>
      <c r="X79" s="282">
        <v>0</v>
      </c>
      <c r="Y79" s="282">
        <f t="shared" si="28"/>
        <v>1.8499999999999999E-2</v>
      </c>
      <c r="Z79" s="283">
        <f t="shared" si="29"/>
        <v>0.16649999999999998</v>
      </c>
      <c r="AC79" s="1784">
        <f t="shared" si="30"/>
        <v>0.14799999999999999</v>
      </c>
    </row>
    <row r="80" spans="1:29">
      <c r="A80" s="272" t="str">
        <f>'Data Panjang Balok'!A76</f>
        <v>Lantai 1</v>
      </c>
      <c r="B80" s="273">
        <f>'Data Panjang Balok'!B76</f>
        <v>65</v>
      </c>
      <c r="C80" s="274" t="str">
        <f>'Data Panjang Balok'!D76</f>
        <v>S25-1</v>
      </c>
      <c r="D80" s="275">
        <f>IF(C80&gt;0,VLOOKUP(C80,'Detail Balok'!$C$11:$AU$140,2,FALSE),0)</f>
        <v>200</v>
      </c>
      <c r="E80" s="276" t="s">
        <v>125</v>
      </c>
      <c r="F80" s="277">
        <f>IF(C80&gt;0,VLOOKUP(C80,'Detail Balok'!$C$11:$AU$140,3,FALSE),0)</f>
        <v>500</v>
      </c>
      <c r="G80" s="278">
        <f>'Data Panjang Balok'!I76</f>
        <v>1875</v>
      </c>
      <c r="H80" s="278">
        <f>'Data Panjang Balok'!J76</f>
        <v>150</v>
      </c>
      <c r="I80" s="279">
        <v>-3.5</v>
      </c>
      <c r="J80" s="279">
        <f t="shared" si="24"/>
        <v>-4</v>
      </c>
      <c r="K80" s="280">
        <f>'Data Panjang Balok'!E76</f>
        <v>1</v>
      </c>
      <c r="L80" s="281">
        <f>SUMIFS('Besi Balok'!$AA$23:$AA$7253,'Besi Balok'!$A$23:$A$7253,$A80,'Besi Balok'!$B$23:$B$7253,$B80,'Besi Balok'!$F$23:$F$7253,'REKAP Balok'!L$11)</f>
        <v>0</v>
      </c>
      <c r="M80" s="282">
        <f>SUMIFS('Besi Balok'!$AA$23:$AA$7253,'Besi Balok'!$A$23:$A$7253,$A80,'Besi Balok'!$B$23:$B$7253,$B80,'Besi Balok'!$F$23:$F$7253,'REKAP Balok'!M$11)</f>
        <v>6.7943232000000009</v>
      </c>
      <c r="N80" s="282">
        <f>SUMIFS('Besi Balok'!$AA$23:$AA$7253,'Besi Balok'!$A$23:$A$7253,$A80,'Besi Balok'!$B$23:$B$7253,$B80,'Besi Balok'!$F$23:$F$7253,'REKAP Balok'!N$11)</f>
        <v>2.6077950000000003</v>
      </c>
      <c r="O80" s="282">
        <f>SUMIFS('Besi Balok'!$AA$23:$AA$7253,'Besi Balok'!$A$23:$A$7253,$A80,'Besi Balok'!$B$23:$B$7253,$B80,'Besi Balok'!$F$23:$F$7253,'REKAP Balok'!O$11)</f>
        <v>0</v>
      </c>
      <c r="P80" s="282">
        <f>SUMIFS('Besi Balok'!$AA$23:$AA$7253,'Besi Balok'!$A$23:$A$7253,$A80,'Besi Balok'!$B$23:$B$7253,$B80,'Besi Balok'!$F$23:$F$7253,'REKAP Balok'!P$11)</f>
        <v>21.39146496</v>
      </c>
      <c r="Q80" s="282">
        <f>SUMIFS('Besi Balok'!$AA$23:$AA$7253,'Besi Balok'!$A$23:$A$7253,$A80,'Besi Balok'!$B$23:$B$7253,$B80,'Besi Balok'!$F$23:$F$7253,'REKAP Balok'!Q$11)</f>
        <v>0</v>
      </c>
      <c r="R80" s="282">
        <f>SUMIFS('Besi Balok'!$AA$23:$AA$7253,'Besi Balok'!$A$23:$A$7253,$A80,'Besi Balok'!$B$23:$B$7253,$B80,'Besi Balok'!$F$23:$F$7253,'REKAP Balok'!R$11)</f>
        <v>0</v>
      </c>
      <c r="S80" s="282">
        <f>SUMIFS('Besi Balok'!$AA$23:$AA$7253,'Besi Balok'!$A$23:$A$7253,$A80,'Besi Balok'!$B$23:$B$7253,$B80,'Besi Balok'!$F$23:$F$7253,'REKAP Balok'!S$11)</f>
        <v>0</v>
      </c>
      <c r="T80" s="283">
        <f>SUMIFS('Besi Balok'!$AA$23:$AA$7253,'Besi Balok'!$A$23:$A$7253,$A80,'Besi Balok'!$B$23:$B$7253,$B80,'Besi Balok'!$F$23:$F$7253,'REKAP Balok'!T$11)</f>
        <v>0</v>
      </c>
      <c r="U80" s="284">
        <f t="shared" si="25"/>
        <v>30.793583160000001</v>
      </c>
      <c r="V80" s="285">
        <f t="shared" si="26"/>
        <v>0.13125000000000001</v>
      </c>
      <c r="W80" s="282">
        <f t="shared" si="27"/>
        <v>1.3125</v>
      </c>
      <c r="X80" s="282">
        <v>0</v>
      </c>
      <c r="Y80" s="282">
        <f t="shared" si="28"/>
        <v>3.7499999999999999E-2</v>
      </c>
      <c r="Z80" s="283">
        <f t="shared" si="29"/>
        <v>0.41250000000000003</v>
      </c>
      <c r="AB80" s="246">
        <f>U80/V80</f>
        <v>234.61777645714287</v>
      </c>
      <c r="AC80" s="1784">
        <f t="shared" si="30"/>
        <v>0.375</v>
      </c>
    </row>
    <row r="81" spans="1:29" hidden="1">
      <c r="A81" s="272" t="str">
        <f>'Data Panjang Balok'!A77</f>
        <v>Lantai 1</v>
      </c>
      <c r="B81" s="273">
        <f>'Data Panjang Balok'!B77</f>
        <v>66</v>
      </c>
      <c r="C81" s="274" t="str">
        <f>'Data Panjang Balok'!D77</f>
        <v>S24-1</v>
      </c>
      <c r="D81" s="275">
        <f>IF(C81&gt;0,VLOOKUP(C81,'Detail Balok'!$C$11:$AU$140,2,FALSE),0)</f>
        <v>200</v>
      </c>
      <c r="E81" s="276" t="s">
        <v>125</v>
      </c>
      <c r="F81" s="277">
        <f>IF(C81&gt;0,VLOOKUP(C81,'Detail Balok'!$C$11:$AU$140,3,FALSE),0)</f>
        <v>400</v>
      </c>
      <c r="G81" s="278">
        <f>'Data Panjang Balok'!I77</f>
        <v>2100</v>
      </c>
      <c r="H81" s="278">
        <f>'Data Panjang Balok'!J77</f>
        <v>150</v>
      </c>
      <c r="I81" s="279">
        <v>-3.5</v>
      </c>
      <c r="J81" s="279">
        <f t="shared" si="24"/>
        <v>-3.9</v>
      </c>
      <c r="K81" s="280">
        <f>'Data Panjang Balok'!E77</f>
        <v>1</v>
      </c>
      <c r="L81" s="281">
        <f>SUMIFS('Besi Balok'!$AA$23:$AA$7253,'Besi Balok'!$A$23:$A$7253,$A81,'Besi Balok'!$B$23:$B$7253,$B81,'Besi Balok'!$F$23:$F$7253,'REKAP Balok'!L$11)</f>
        <v>0</v>
      </c>
      <c r="M81" s="282">
        <f>SUMIFS('Besi Balok'!$AA$23:$AA$7253,'Besi Balok'!$A$23:$A$7253,$A81,'Besi Balok'!$B$23:$B$7253,$B81,'Besi Balok'!$F$23:$F$7253,'REKAP Balok'!M$11)</f>
        <v>6.0959520000000005</v>
      </c>
      <c r="N81" s="282">
        <f>SUMIFS('Besi Balok'!$AA$23:$AA$7253,'Besi Balok'!$A$23:$A$7253,$A81,'Besi Balok'!$B$23:$B$7253,$B81,'Besi Balok'!$F$23:$F$7253,'REKAP Balok'!N$11)</f>
        <v>0</v>
      </c>
      <c r="O81" s="282">
        <f>SUMIFS('Besi Balok'!$AA$23:$AA$7253,'Besi Balok'!$A$23:$A$7253,$A81,'Besi Balok'!$B$23:$B$7253,$B81,'Besi Balok'!$F$23:$F$7253,'REKAP Balok'!O$11)</f>
        <v>15.078159719999999</v>
      </c>
      <c r="P81" s="282">
        <f>SUMIFS('Besi Balok'!$AA$23:$AA$7253,'Besi Balok'!$A$23:$A$7253,$A81,'Besi Balok'!$B$23:$B$7253,$B81,'Besi Balok'!$F$23:$F$7253,'REKAP Balok'!P$11)</f>
        <v>0</v>
      </c>
      <c r="Q81" s="282">
        <f>SUMIFS('Besi Balok'!$AA$23:$AA$7253,'Besi Balok'!$A$23:$A$7253,$A81,'Besi Balok'!$B$23:$B$7253,$B81,'Besi Balok'!$F$23:$F$7253,'REKAP Balok'!Q$11)</f>
        <v>0</v>
      </c>
      <c r="R81" s="282">
        <f>SUMIFS('Besi Balok'!$AA$23:$AA$7253,'Besi Balok'!$A$23:$A$7253,$A81,'Besi Balok'!$B$23:$B$7253,$B81,'Besi Balok'!$F$23:$F$7253,'REKAP Balok'!R$11)</f>
        <v>0</v>
      </c>
      <c r="S81" s="282">
        <f>SUMIFS('Besi Balok'!$AA$23:$AA$7253,'Besi Balok'!$A$23:$A$7253,$A81,'Besi Balok'!$B$23:$B$7253,$B81,'Besi Balok'!$F$23:$F$7253,'REKAP Balok'!S$11)</f>
        <v>0</v>
      </c>
      <c r="T81" s="283">
        <f>SUMIFS('Besi Balok'!$AA$23:$AA$7253,'Besi Balok'!$A$23:$A$7253,$A81,'Besi Balok'!$B$23:$B$7253,$B81,'Besi Balok'!$F$23:$F$7253,'REKAP Balok'!T$11)</f>
        <v>0</v>
      </c>
      <c r="U81" s="284">
        <f t="shared" si="25"/>
        <v>21.174111719999999</v>
      </c>
      <c r="V81" s="285">
        <f t="shared" si="26"/>
        <v>0.105</v>
      </c>
      <c r="W81" s="282">
        <f t="shared" si="27"/>
        <v>1.05</v>
      </c>
      <c r="X81" s="282">
        <v>0</v>
      </c>
      <c r="Y81" s="282">
        <f t="shared" si="28"/>
        <v>4.2000000000000003E-2</v>
      </c>
      <c r="Z81" s="283">
        <f t="shared" si="29"/>
        <v>0.37799999999999995</v>
      </c>
      <c r="AC81" s="1784">
        <f t="shared" si="30"/>
        <v>0.33600000000000002</v>
      </c>
    </row>
    <row r="82" spans="1:29" hidden="1">
      <c r="A82" s="272" t="str">
        <f>'Data Panjang Balok'!A78</f>
        <v>Lantai 1</v>
      </c>
      <c r="B82" s="273">
        <f>'Data Panjang Balok'!B78</f>
        <v>67</v>
      </c>
      <c r="C82" s="274" t="str">
        <f>'Data Panjang Balok'!D78</f>
        <v>S24-1</v>
      </c>
      <c r="D82" s="275">
        <f>IF(C82&gt;0,VLOOKUP(C82,'Detail Balok'!$C$11:$AU$140,2,FALSE),0)</f>
        <v>200</v>
      </c>
      <c r="E82" s="276" t="s">
        <v>125</v>
      </c>
      <c r="F82" s="277">
        <f>IF(C82&gt;0,VLOOKUP(C82,'Detail Balok'!$C$11:$AU$140,3,FALSE),0)</f>
        <v>400</v>
      </c>
      <c r="G82" s="278">
        <f>'Data Panjang Balok'!I78</f>
        <v>925</v>
      </c>
      <c r="H82" s="278">
        <f>'Data Panjang Balok'!J78</f>
        <v>150</v>
      </c>
      <c r="I82" s="279">
        <v>-3.5</v>
      </c>
      <c r="J82" s="279">
        <f t="shared" si="24"/>
        <v>-3.9</v>
      </c>
      <c r="K82" s="280">
        <f>'Data Panjang Balok'!E78</f>
        <v>1</v>
      </c>
      <c r="L82" s="281">
        <f>SUMIFS('Besi Balok'!$AA$23:$AA$7253,'Besi Balok'!$A$23:$A$7253,$A82,'Besi Balok'!$B$23:$B$7253,$B82,'Besi Balok'!$F$23:$F$7253,'REKAP Balok'!L$11)</f>
        <v>0</v>
      </c>
      <c r="M82" s="282">
        <f>SUMIFS('Besi Balok'!$AA$23:$AA$7253,'Besi Balok'!$A$23:$A$7253,$A82,'Besi Balok'!$B$23:$B$7253,$B82,'Besi Balok'!$F$23:$F$7253,'REKAP Balok'!M$11)</f>
        <v>2.8447776000000005</v>
      </c>
      <c r="N82" s="282">
        <f>SUMIFS('Besi Balok'!$AA$23:$AA$7253,'Besi Balok'!$A$23:$A$7253,$A82,'Besi Balok'!$B$23:$B$7253,$B82,'Besi Balok'!$F$23:$F$7253,'REKAP Balok'!N$11)</f>
        <v>0</v>
      </c>
      <c r="O82" s="282">
        <f>SUMIFS('Besi Balok'!$AA$23:$AA$7253,'Besi Balok'!$A$23:$A$7253,$A82,'Besi Balok'!$B$23:$B$7253,$B82,'Besi Balok'!$F$23:$F$7253,'REKAP Balok'!O$11)</f>
        <v>7.7328704699999999</v>
      </c>
      <c r="P82" s="282">
        <f>SUMIFS('Besi Balok'!$AA$23:$AA$7253,'Besi Balok'!$A$23:$A$7253,$A82,'Besi Balok'!$B$23:$B$7253,$B82,'Besi Balok'!$F$23:$F$7253,'REKAP Balok'!P$11)</f>
        <v>0</v>
      </c>
      <c r="Q82" s="282">
        <f>SUMIFS('Besi Balok'!$AA$23:$AA$7253,'Besi Balok'!$A$23:$A$7253,$A82,'Besi Balok'!$B$23:$B$7253,$B82,'Besi Balok'!$F$23:$F$7253,'REKAP Balok'!Q$11)</f>
        <v>0</v>
      </c>
      <c r="R82" s="282">
        <f>SUMIFS('Besi Balok'!$AA$23:$AA$7253,'Besi Balok'!$A$23:$A$7253,$A82,'Besi Balok'!$B$23:$B$7253,$B82,'Besi Balok'!$F$23:$F$7253,'REKAP Balok'!R$11)</f>
        <v>0</v>
      </c>
      <c r="S82" s="282">
        <f>SUMIFS('Besi Balok'!$AA$23:$AA$7253,'Besi Balok'!$A$23:$A$7253,$A82,'Besi Balok'!$B$23:$B$7253,$B82,'Besi Balok'!$F$23:$F$7253,'REKAP Balok'!S$11)</f>
        <v>0</v>
      </c>
      <c r="T82" s="283">
        <f>SUMIFS('Besi Balok'!$AA$23:$AA$7253,'Besi Balok'!$A$23:$A$7253,$A82,'Besi Balok'!$B$23:$B$7253,$B82,'Besi Balok'!$F$23:$F$7253,'REKAP Balok'!T$11)</f>
        <v>0</v>
      </c>
      <c r="U82" s="284">
        <f t="shared" si="25"/>
        <v>10.57764807</v>
      </c>
      <c r="V82" s="285">
        <f t="shared" si="26"/>
        <v>4.6249999999999999E-2</v>
      </c>
      <c r="W82" s="282">
        <f t="shared" si="27"/>
        <v>0.46250000000000002</v>
      </c>
      <c r="X82" s="282">
        <v>0</v>
      </c>
      <c r="Y82" s="282">
        <f t="shared" si="28"/>
        <v>1.8499999999999999E-2</v>
      </c>
      <c r="Z82" s="283">
        <f t="shared" si="29"/>
        <v>0.16649999999999998</v>
      </c>
      <c r="AC82" s="1784">
        <f t="shared" si="30"/>
        <v>0.14799999999999999</v>
      </c>
    </row>
    <row r="83" spans="1:29">
      <c r="A83" s="272" t="str">
        <f>'Data Panjang Balok'!A79</f>
        <v>Lantai 1</v>
      </c>
      <c r="B83" s="273">
        <f>'Data Panjang Balok'!B79</f>
        <v>68</v>
      </c>
      <c r="C83" s="274" t="str">
        <f>'Data Panjang Balok'!D79</f>
        <v>S25-1</v>
      </c>
      <c r="D83" s="275">
        <f>IF(C83&gt;0,VLOOKUP(C83,'Detail Balok'!$C$11:$AU$140,2,FALSE),0)</f>
        <v>200</v>
      </c>
      <c r="E83" s="276" t="s">
        <v>125</v>
      </c>
      <c r="F83" s="277">
        <f>IF(C83&gt;0,VLOOKUP(C83,'Detail Balok'!$C$11:$AU$140,3,FALSE),0)</f>
        <v>500</v>
      </c>
      <c r="G83" s="278">
        <f>'Data Panjang Balok'!I79</f>
        <v>4805</v>
      </c>
      <c r="H83" s="278">
        <f>'Data Panjang Balok'!J79</f>
        <v>150</v>
      </c>
      <c r="I83" s="279">
        <v>-3.5</v>
      </c>
      <c r="J83" s="279">
        <f t="shared" si="24"/>
        <v>-4</v>
      </c>
      <c r="K83" s="280">
        <f>'Data Panjang Balok'!E79</f>
        <v>1</v>
      </c>
      <c r="L83" s="281">
        <f>SUMIFS('Besi Balok'!$AA$23:$AA$7253,'Besi Balok'!$A$23:$A$7253,$A83,'Besi Balok'!$B$23:$B$7253,$B83,'Besi Balok'!$F$23:$F$7253,'REKAP Balok'!L$11)</f>
        <v>0</v>
      </c>
      <c r="M83" s="282">
        <f>SUMIFS('Besi Balok'!$AA$23:$AA$7253,'Besi Balok'!$A$23:$A$7253,$A83,'Besi Balok'!$B$23:$B$7253,$B83,'Besi Balok'!$F$23:$F$7253,'REKAP Balok'!M$11)</f>
        <v>14.559264000000002</v>
      </c>
      <c r="N83" s="282">
        <f>SUMIFS('Besi Balok'!$AA$23:$AA$7253,'Besi Balok'!$A$23:$A$7253,$A83,'Besi Balok'!$B$23:$B$7253,$B83,'Besi Balok'!$F$23:$F$7253,'REKAP Balok'!N$11)</f>
        <v>6.220485</v>
      </c>
      <c r="O83" s="282">
        <f>SUMIFS('Besi Balok'!$AA$23:$AA$7253,'Besi Balok'!$A$23:$A$7253,$A83,'Besi Balok'!$B$23:$B$7253,$B83,'Besi Balok'!$F$23:$F$7253,'REKAP Balok'!O$11)</f>
        <v>0</v>
      </c>
      <c r="P83" s="282">
        <f>SUMIFS('Besi Balok'!$AA$23:$AA$7253,'Besi Balok'!$A$23:$A$7253,$A83,'Besi Balok'!$B$23:$B$7253,$B83,'Besi Balok'!$F$23:$F$7253,'REKAP Balok'!P$11)</f>
        <v>49.136924160000007</v>
      </c>
      <c r="Q83" s="282">
        <f>SUMIFS('Besi Balok'!$AA$23:$AA$7253,'Besi Balok'!$A$23:$A$7253,$A83,'Besi Balok'!$B$23:$B$7253,$B83,'Besi Balok'!$F$23:$F$7253,'REKAP Balok'!Q$11)</f>
        <v>0</v>
      </c>
      <c r="R83" s="282">
        <f>SUMIFS('Besi Balok'!$AA$23:$AA$7253,'Besi Balok'!$A$23:$A$7253,$A83,'Besi Balok'!$B$23:$B$7253,$B83,'Besi Balok'!$F$23:$F$7253,'REKAP Balok'!R$11)</f>
        <v>0</v>
      </c>
      <c r="S83" s="282">
        <f>SUMIFS('Besi Balok'!$AA$23:$AA$7253,'Besi Balok'!$A$23:$A$7253,$A83,'Besi Balok'!$B$23:$B$7253,$B83,'Besi Balok'!$F$23:$F$7253,'REKAP Balok'!S$11)</f>
        <v>0</v>
      </c>
      <c r="T83" s="283">
        <f>SUMIFS('Besi Balok'!$AA$23:$AA$7253,'Besi Balok'!$A$23:$A$7253,$A83,'Besi Balok'!$B$23:$B$7253,$B83,'Besi Balok'!$F$23:$F$7253,'REKAP Balok'!T$11)</f>
        <v>0</v>
      </c>
      <c r="U83" s="284">
        <f t="shared" si="25"/>
        <v>69.916673160000016</v>
      </c>
      <c r="V83" s="285">
        <f t="shared" si="26"/>
        <v>0.33634999999999998</v>
      </c>
      <c r="W83" s="282">
        <f t="shared" si="27"/>
        <v>3.3635000000000002</v>
      </c>
      <c r="X83" s="282">
        <v>0</v>
      </c>
      <c r="Y83" s="282">
        <f t="shared" si="28"/>
        <v>9.6100000000000005E-2</v>
      </c>
      <c r="Z83" s="283">
        <f t="shared" si="29"/>
        <v>1.0571000000000002</v>
      </c>
      <c r="AB83" s="246">
        <f t="shared" ref="AB83:AB84" si="31">U83/V83</f>
        <v>207.86880677865324</v>
      </c>
      <c r="AC83" s="1784">
        <f t="shared" si="30"/>
        <v>0.96099999999999997</v>
      </c>
    </row>
    <row r="84" spans="1:29">
      <c r="A84" s="272" t="str">
        <f>'Data Panjang Balok'!A80</f>
        <v>Lantai 1</v>
      </c>
      <c r="B84" s="273">
        <f>'Data Panjang Balok'!B80</f>
        <v>69</v>
      </c>
      <c r="C84" s="274" t="str">
        <f>'Data Panjang Balok'!D80</f>
        <v>S25-1</v>
      </c>
      <c r="D84" s="275">
        <f>IF(C84&gt;0,VLOOKUP(C84,'Detail Balok'!$C$11:$AU$140,2,FALSE),0)</f>
        <v>200</v>
      </c>
      <c r="E84" s="276" t="s">
        <v>125</v>
      </c>
      <c r="F84" s="277">
        <f>IF(C84&gt;0,VLOOKUP(C84,'Detail Balok'!$C$11:$AU$140,3,FALSE),0)</f>
        <v>500</v>
      </c>
      <c r="G84" s="278">
        <f>'Data Panjang Balok'!I80</f>
        <v>4805</v>
      </c>
      <c r="H84" s="278">
        <f>'Data Panjang Balok'!J80</f>
        <v>150</v>
      </c>
      <c r="I84" s="279">
        <v>-3.5</v>
      </c>
      <c r="J84" s="279">
        <f t="shared" si="24"/>
        <v>-4</v>
      </c>
      <c r="K84" s="280">
        <f>'Data Panjang Balok'!E80</f>
        <v>1</v>
      </c>
      <c r="L84" s="281">
        <f>SUMIFS('Besi Balok'!$AA$23:$AA$7253,'Besi Balok'!$A$23:$A$7253,$A84,'Besi Balok'!$B$23:$B$7253,$B84,'Besi Balok'!$F$23:$F$7253,'REKAP Balok'!L$11)</f>
        <v>0</v>
      </c>
      <c r="M84" s="282">
        <f>SUMIFS('Besi Balok'!$AA$23:$AA$7253,'Besi Balok'!$A$23:$A$7253,$A84,'Besi Balok'!$B$23:$B$7253,$B84,'Besi Balok'!$F$23:$F$7253,'REKAP Balok'!M$11)</f>
        <v>14.559264000000002</v>
      </c>
      <c r="N84" s="282">
        <f>SUMIFS('Besi Balok'!$AA$23:$AA$7253,'Besi Balok'!$A$23:$A$7253,$A84,'Besi Balok'!$B$23:$B$7253,$B84,'Besi Balok'!$F$23:$F$7253,'REKAP Balok'!N$11)</f>
        <v>6.220485</v>
      </c>
      <c r="O84" s="282">
        <f>SUMIFS('Besi Balok'!$AA$23:$AA$7253,'Besi Balok'!$A$23:$A$7253,$A84,'Besi Balok'!$B$23:$B$7253,$B84,'Besi Balok'!$F$23:$F$7253,'REKAP Balok'!O$11)</f>
        <v>0</v>
      </c>
      <c r="P84" s="282">
        <f>SUMIFS('Besi Balok'!$AA$23:$AA$7253,'Besi Balok'!$A$23:$A$7253,$A84,'Besi Balok'!$B$23:$B$7253,$B84,'Besi Balok'!$F$23:$F$7253,'REKAP Balok'!P$11)</f>
        <v>49.136924160000007</v>
      </c>
      <c r="Q84" s="282">
        <f>SUMIFS('Besi Balok'!$AA$23:$AA$7253,'Besi Balok'!$A$23:$A$7253,$A84,'Besi Balok'!$B$23:$B$7253,$B84,'Besi Balok'!$F$23:$F$7253,'REKAP Balok'!Q$11)</f>
        <v>0</v>
      </c>
      <c r="R84" s="282">
        <f>SUMIFS('Besi Balok'!$AA$23:$AA$7253,'Besi Balok'!$A$23:$A$7253,$A84,'Besi Balok'!$B$23:$B$7253,$B84,'Besi Balok'!$F$23:$F$7253,'REKAP Balok'!R$11)</f>
        <v>0</v>
      </c>
      <c r="S84" s="282">
        <f>SUMIFS('Besi Balok'!$AA$23:$AA$7253,'Besi Balok'!$A$23:$A$7253,$A84,'Besi Balok'!$B$23:$B$7253,$B84,'Besi Balok'!$F$23:$F$7253,'REKAP Balok'!S$11)</f>
        <v>0</v>
      </c>
      <c r="T84" s="283">
        <f>SUMIFS('Besi Balok'!$AA$23:$AA$7253,'Besi Balok'!$A$23:$A$7253,$A84,'Besi Balok'!$B$23:$B$7253,$B84,'Besi Balok'!$F$23:$F$7253,'REKAP Balok'!T$11)</f>
        <v>0</v>
      </c>
      <c r="U84" s="284">
        <f t="shared" si="25"/>
        <v>69.916673160000016</v>
      </c>
      <c r="V84" s="285">
        <f t="shared" si="26"/>
        <v>0.33634999999999998</v>
      </c>
      <c r="W84" s="282">
        <f t="shared" si="27"/>
        <v>3.3635000000000002</v>
      </c>
      <c r="X84" s="282">
        <v>0</v>
      </c>
      <c r="Y84" s="282">
        <f t="shared" si="28"/>
        <v>9.6100000000000005E-2</v>
      </c>
      <c r="Z84" s="283">
        <f t="shared" si="29"/>
        <v>1.0571000000000002</v>
      </c>
      <c r="AB84" s="246">
        <f t="shared" si="31"/>
        <v>207.86880677865324</v>
      </c>
      <c r="AC84" s="1784">
        <f t="shared" si="30"/>
        <v>0.96099999999999997</v>
      </c>
    </row>
    <row r="85" spans="1:29" hidden="1">
      <c r="A85" s="272" t="str">
        <f>'Data Panjang Balok'!A81</f>
        <v>Lantai 1</v>
      </c>
      <c r="B85" s="273">
        <f>'Data Panjang Balok'!B81</f>
        <v>70</v>
      </c>
      <c r="C85" s="274" t="str">
        <f>'Data Panjang Balok'!D81</f>
        <v>S24-1</v>
      </c>
      <c r="D85" s="275">
        <f>IF(C85&gt;0,VLOOKUP(C85,'Detail Balok'!$C$11:$AU$140,2,FALSE),0)</f>
        <v>200</v>
      </c>
      <c r="E85" s="276" t="s">
        <v>125</v>
      </c>
      <c r="F85" s="277">
        <f>IF(C85&gt;0,VLOOKUP(C85,'Detail Balok'!$C$11:$AU$140,3,FALSE),0)</f>
        <v>400</v>
      </c>
      <c r="G85" s="278">
        <f>'Data Panjang Balok'!I81</f>
        <v>6825</v>
      </c>
      <c r="H85" s="278">
        <f>'Data Panjang Balok'!J81</f>
        <v>150</v>
      </c>
      <c r="I85" s="279">
        <v>-3.5</v>
      </c>
      <c r="J85" s="279">
        <f t="shared" si="24"/>
        <v>-3.9</v>
      </c>
      <c r="K85" s="280">
        <f>'Data Panjang Balok'!E81</f>
        <v>1</v>
      </c>
      <c r="L85" s="281">
        <f>SUMIFS('Besi Balok'!$AA$23:$AA$7253,'Besi Balok'!$A$23:$A$7253,$A85,'Besi Balok'!$B$23:$B$7253,$B85,'Besi Balok'!$F$23:$F$7253,'REKAP Balok'!L$11)</f>
        <v>0</v>
      </c>
      <c r="M85" s="282">
        <f>SUMIFS('Besi Balok'!$AA$23:$AA$7253,'Besi Balok'!$A$23:$A$7253,$A85,'Besi Balok'!$B$23:$B$7253,$B85,'Besi Balok'!$F$23:$F$7253,'REKAP Balok'!M$11)</f>
        <v>16.662268800000003</v>
      </c>
      <c r="N85" s="282">
        <f>SUMIFS('Besi Balok'!$AA$23:$AA$7253,'Besi Balok'!$A$23:$A$7253,$A85,'Besi Balok'!$B$23:$B$7253,$B85,'Besi Balok'!$F$23:$F$7253,'REKAP Balok'!N$11)</f>
        <v>0</v>
      </c>
      <c r="O85" s="282">
        <f>SUMIFS('Besi Balok'!$AA$23:$AA$7253,'Besi Balok'!$A$23:$A$7253,$A85,'Besi Balok'!$B$23:$B$7253,$B85,'Besi Balok'!$F$23:$F$7253,'REKAP Balok'!O$11)</f>
        <v>44.615599469999999</v>
      </c>
      <c r="P85" s="282">
        <f>SUMIFS('Besi Balok'!$AA$23:$AA$7253,'Besi Balok'!$A$23:$A$7253,$A85,'Besi Balok'!$B$23:$B$7253,$B85,'Besi Balok'!$F$23:$F$7253,'REKAP Balok'!P$11)</f>
        <v>0</v>
      </c>
      <c r="Q85" s="282">
        <f>SUMIFS('Besi Balok'!$AA$23:$AA$7253,'Besi Balok'!$A$23:$A$7253,$A85,'Besi Balok'!$B$23:$B$7253,$B85,'Besi Balok'!$F$23:$F$7253,'REKAP Balok'!Q$11)</f>
        <v>0</v>
      </c>
      <c r="R85" s="282">
        <f>SUMIFS('Besi Balok'!$AA$23:$AA$7253,'Besi Balok'!$A$23:$A$7253,$A85,'Besi Balok'!$B$23:$B$7253,$B85,'Besi Balok'!$F$23:$F$7253,'REKAP Balok'!R$11)</f>
        <v>0</v>
      </c>
      <c r="S85" s="282">
        <f>SUMIFS('Besi Balok'!$AA$23:$AA$7253,'Besi Balok'!$A$23:$A$7253,$A85,'Besi Balok'!$B$23:$B$7253,$B85,'Besi Balok'!$F$23:$F$7253,'REKAP Balok'!S$11)</f>
        <v>0</v>
      </c>
      <c r="T85" s="283">
        <f>SUMIFS('Besi Balok'!$AA$23:$AA$7253,'Besi Balok'!$A$23:$A$7253,$A85,'Besi Balok'!$B$23:$B$7253,$B85,'Besi Balok'!$F$23:$F$7253,'REKAP Balok'!T$11)</f>
        <v>0</v>
      </c>
      <c r="U85" s="284">
        <f t="shared" si="25"/>
        <v>61.277868269999999</v>
      </c>
      <c r="V85" s="285">
        <f t="shared" si="26"/>
        <v>0.34125</v>
      </c>
      <c r="W85" s="282">
        <f t="shared" si="27"/>
        <v>3.4125000000000001</v>
      </c>
      <c r="X85" s="282">
        <v>0</v>
      </c>
      <c r="Y85" s="282">
        <f t="shared" si="28"/>
        <v>0.13650000000000001</v>
      </c>
      <c r="Z85" s="283">
        <f t="shared" si="29"/>
        <v>1.2284999999999997</v>
      </c>
      <c r="AC85" s="1784">
        <f t="shared" si="30"/>
        <v>1.0920000000000001</v>
      </c>
    </row>
    <row r="86" spans="1:29" hidden="1">
      <c r="A86" s="272" t="str">
        <f>'Data Panjang Balok'!A82</f>
        <v>Lantai 1</v>
      </c>
      <c r="B86" s="273">
        <f>'Data Panjang Balok'!B82</f>
        <v>71</v>
      </c>
      <c r="C86" s="274" t="str">
        <f>'Data Panjang Balok'!D82</f>
        <v>S24-2</v>
      </c>
      <c r="D86" s="275">
        <f>IF(C86&gt;0,VLOOKUP(C86,'Detail Balok'!$C$11:$AU$140,2,FALSE),0)</f>
        <v>200</v>
      </c>
      <c r="E86" s="276" t="s">
        <v>125</v>
      </c>
      <c r="F86" s="277">
        <f>IF(C86&gt;0,VLOOKUP(C86,'Detail Balok'!$C$11:$AU$140,3,FALSE),0)</f>
        <v>400</v>
      </c>
      <c r="G86" s="278">
        <f>'Data Panjang Balok'!I82</f>
        <v>6575</v>
      </c>
      <c r="H86" s="278">
        <f>'Data Panjang Balok'!J82</f>
        <v>150</v>
      </c>
      <c r="I86" s="279">
        <v>-3.5</v>
      </c>
      <c r="J86" s="279">
        <f t="shared" si="24"/>
        <v>-3.9</v>
      </c>
      <c r="K86" s="280">
        <f>'Data Panjang Balok'!E82</f>
        <v>1</v>
      </c>
      <c r="L86" s="281">
        <f>SUMIFS('Besi Balok'!$AA$23:$AA$7253,'Besi Balok'!$A$23:$A$7253,$A86,'Besi Balok'!$B$23:$B$7253,$B86,'Besi Balok'!$F$23:$F$7253,'REKAP Balok'!L$11)</f>
        <v>0</v>
      </c>
      <c r="M86" s="282">
        <f>SUMIFS('Besi Balok'!$AA$23:$AA$7253,'Besi Balok'!$A$23:$A$7253,$A86,'Besi Balok'!$B$23:$B$7253,$B86,'Besi Balok'!$F$23:$F$7253,'REKAP Balok'!M$11)</f>
        <v>16.255872000000004</v>
      </c>
      <c r="N86" s="282">
        <f>SUMIFS('Besi Balok'!$AA$23:$AA$7253,'Besi Balok'!$A$23:$A$7253,$A86,'Besi Balok'!$B$23:$B$7253,$B86,'Besi Balok'!$F$23:$F$7253,'REKAP Balok'!N$11)</f>
        <v>0</v>
      </c>
      <c r="O86" s="282">
        <f>SUMIFS('Besi Balok'!$AA$23:$AA$7253,'Besi Balok'!$A$23:$A$7253,$A86,'Besi Balok'!$B$23:$B$7253,$B86,'Besi Balok'!$F$23:$F$7253,'REKAP Balok'!O$11)</f>
        <v>0</v>
      </c>
      <c r="P86" s="282">
        <f>SUMIFS('Besi Balok'!$AA$23:$AA$7253,'Besi Balok'!$A$23:$A$7253,$A86,'Besi Balok'!$B$23:$B$7253,$B86,'Besi Balok'!$F$23:$F$7253,'REKAP Balok'!P$11)</f>
        <v>65.897832960000002</v>
      </c>
      <c r="Q86" s="282">
        <f>SUMIFS('Besi Balok'!$AA$23:$AA$7253,'Besi Balok'!$A$23:$A$7253,$A86,'Besi Balok'!$B$23:$B$7253,$B86,'Besi Balok'!$F$23:$F$7253,'REKAP Balok'!Q$11)</f>
        <v>0</v>
      </c>
      <c r="R86" s="282">
        <f>SUMIFS('Besi Balok'!$AA$23:$AA$7253,'Besi Balok'!$A$23:$A$7253,$A86,'Besi Balok'!$B$23:$B$7253,$B86,'Besi Balok'!$F$23:$F$7253,'REKAP Balok'!R$11)</f>
        <v>0</v>
      </c>
      <c r="S86" s="282">
        <f>SUMIFS('Besi Balok'!$AA$23:$AA$7253,'Besi Balok'!$A$23:$A$7253,$A86,'Besi Balok'!$B$23:$B$7253,$B86,'Besi Balok'!$F$23:$F$7253,'REKAP Balok'!S$11)</f>
        <v>0</v>
      </c>
      <c r="T86" s="283">
        <f>SUMIFS('Besi Balok'!$AA$23:$AA$7253,'Besi Balok'!$A$23:$A$7253,$A86,'Besi Balok'!$B$23:$B$7253,$B86,'Besi Balok'!$F$23:$F$7253,'REKAP Balok'!T$11)</f>
        <v>0</v>
      </c>
      <c r="U86" s="284">
        <f t="shared" si="25"/>
        <v>82.153704959999999</v>
      </c>
      <c r="V86" s="285">
        <f t="shared" si="26"/>
        <v>0.32874999999999999</v>
      </c>
      <c r="W86" s="282">
        <f t="shared" si="27"/>
        <v>3.2875000000000001</v>
      </c>
      <c r="X86" s="282">
        <v>0</v>
      </c>
      <c r="Y86" s="282">
        <f t="shared" si="28"/>
        <v>0.13150000000000001</v>
      </c>
      <c r="Z86" s="283">
        <f t="shared" si="29"/>
        <v>1.1834999999999998</v>
      </c>
      <c r="AC86" s="1784">
        <f t="shared" si="30"/>
        <v>1.052</v>
      </c>
    </row>
    <row r="87" spans="1:29" hidden="1">
      <c r="A87" s="272" t="str">
        <f>'Data Panjang Balok'!A83</f>
        <v>Lantai 1</v>
      </c>
      <c r="B87" s="273">
        <f>'Data Panjang Balok'!B83</f>
        <v>72</v>
      </c>
      <c r="C87" s="274" t="str">
        <f>'Data Panjang Balok'!D83</f>
        <v>S24-1</v>
      </c>
      <c r="D87" s="275">
        <f>IF(C87&gt;0,VLOOKUP(C87,'Detail Balok'!$C$11:$AU$140,2,FALSE),0)</f>
        <v>200</v>
      </c>
      <c r="E87" s="276" t="s">
        <v>125</v>
      </c>
      <c r="F87" s="277">
        <f>IF(C87&gt;0,VLOOKUP(C87,'Detail Balok'!$C$11:$AU$140,3,FALSE),0)</f>
        <v>400</v>
      </c>
      <c r="G87" s="278">
        <f>'Data Panjang Balok'!I83</f>
        <v>6575</v>
      </c>
      <c r="H87" s="278">
        <f>'Data Panjang Balok'!J83</f>
        <v>0</v>
      </c>
      <c r="I87" s="279">
        <v>-3.5</v>
      </c>
      <c r="J87" s="279">
        <f t="shared" si="24"/>
        <v>-3.9</v>
      </c>
      <c r="K87" s="280">
        <f>'Data Panjang Balok'!E83</f>
        <v>1</v>
      </c>
      <c r="L87" s="281">
        <f>SUMIFS('Besi Balok'!$AA$23:$AA$7253,'Besi Balok'!$A$23:$A$7253,$A87,'Besi Balok'!$B$23:$B$7253,$B87,'Besi Balok'!$F$23:$F$7253,'REKAP Balok'!L$11)</f>
        <v>0</v>
      </c>
      <c r="M87" s="282">
        <f>SUMIFS('Besi Balok'!$AA$23:$AA$7253,'Besi Balok'!$A$23:$A$7253,$A87,'Besi Balok'!$B$23:$B$7253,$B87,'Besi Balok'!$F$23:$F$7253,'REKAP Balok'!M$11)</f>
        <v>16.255872000000004</v>
      </c>
      <c r="N87" s="282">
        <f>SUMIFS('Besi Balok'!$AA$23:$AA$7253,'Besi Balok'!$A$23:$A$7253,$A87,'Besi Balok'!$B$23:$B$7253,$B87,'Besi Balok'!$F$23:$F$7253,'REKAP Balok'!N$11)</f>
        <v>0</v>
      </c>
      <c r="O87" s="282">
        <f>SUMIFS('Besi Balok'!$AA$23:$AA$7253,'Besi Balok'!$A$23:$A$7253,$A87,'Besi Balok'!$B$23:$B$7253,$B87,'Besi Balok'!$F$23:$F$7253,'REKAP Balok'!O$11)</f>
        <v>43.052771970000002</v>
      </c>
      <c r="P87" s="282">
        <f>SUMIFS('Besi Balok'!$AA$23:$AA$7253,'Besi Balok'!$A$23:$A$7253,$A87,'Besi Balok'!$B$23:$B$7253,$B87,'Besi Balok'!$F$23:$F$7253,'REKAP Balok'!P$11)</f>
        <v>0</v>
      </c>
      <c r="Q87" s="282">
        <f>SUMIFS('Besi Balok'!$AA$23:$AA$7253,'Besi Balok'!$A$23:$A$7253,$A87,'Besi Balok'!$B$23:$B$7253,$B87,'Besi Balok'!$F$23:$F$7253,'REKAP Balok'!Q$11)</f>
        <v>0</v>
      </c>
      <c r="R87" s="282">
        <f>SUMIFS('Besi Balok'!$AA$23:$AA$7253,'Besi Balok'!$A$23:$A$7253,$A87,'Besi Balok'!$B$23:$B$7253,$B87,'Besi Balok'!$F$23:$F$7253,'REKAP Balok'!R$11)</f>
        <v>0</v>
      </c>
      <c r="S87" s="282">
        <f>SUMIFS('Besi Balok'!$AA$23:$AA$7253,'Besi Balok'!$A$23:$A$7253,$A87,'Besi Balok'!$B$23:$B$7253,$B87,'Besi Balok'!$F$23:$F$7253,'REKAP Balok'!S$11)</f>
        <v>0</v>
      </c>
      <c r="T87" s="283">
        <f>SUMIFS('Besi Balok'!$AA$23:$AA$7253,'Besi Balok'!$A$23:$A$7253,$A87,'Besi Balok'!$B$23:$B$7253,$B87,'Besi Balok'!$F$23:$F$7253,'REKAP Balok'!T$11)</f>
        <v>0</v>
      </c>
      <c r="U87" s="284">
        <f t="shared" si="25"/>
        <v>59.308643970000006</v>
      </c>
      <c r="V87" s="285">
        <f t="shared" si="26"/>
        <v>0.52600000000000002</v>
      </c>
      <c r="W87" s="282">
        <f t="shared" si="27"/>
        <v>5.26</v>
      </c>
      <c r="X87" s="282">
        <v>0</v>
      </c>
      <c r="Y87" s="282">
        <f t="shared" si="28"/>
        <v>0.13150000000000001</v>
      </c>
      <c r="Z87" s="283">
        <f t="shared" si="29"/>
        <v>1.1834999999999998</v>
      </c>
      <c r="AC87" s="1784">
        <f t="shared" si="30"/>
        <v>1.052</v>
      </c>
    </row>
    <row r="88" spans="1:29" hidden="1">
      <c r="A88" s="272" t="str">
        <f>'Data Panjang Balok'!A84</f>
        <v>Lantai 1</v>
      </c>
      <c r="B88" s="273">
        <f>'Data Panjang Balok'!B84</f>
        <v>73</v>
      </c>
      <c r="C88" s="274" t="str">
        <f>'Data Panjang Balok'!D84</f>
        <v>S24-2</v>
      </c>
      <c r="D88" s="275">
        <f>IF(C88&gt;0,VLOOKUP(C88,'Detail Balok'!$C$11:$AU$140,2,FALSE),0)</f>
        <v>200</v>
      </c>
      <c r="E88" s="276" t="s">
        <v>125</v>
      </c>
      <c r="F88" s="277">
        <f>IF(C88&gt;0,VLOOKUP(C88,'Detail Balok'!$C$11:$AU$140,3,FALSE),0)</f>
        <v>400</v>
      </c>
      <c r="G88" s="278">
        <f>'Data Panjang Balok'!I84</f>
        <v>6075</v>
      </c>
      <c r="H88" s="278">
        <f>'Data Panjang Balok'!J84</f>
        <v>0</v>
      </c>
      <c r="I88" s="279">
        <v>-3.5</v>
      </c>
      <c r="J88" s="279">
        <f t="shared" si="24"/>
        <v>-3.9</v>
      </c>
      <c r="K88" s="280">
        <f>'Data Panjang Balok'!E84</f>
        <v>1</v>
      </c>
      <c r="L88" s="281">
        <f>SUMIFS('Besi Balok'!$AA$23:$AA$7253,'Besi Balok'!$A$23:$A$7253,$A88,'Besi Balok'!$B$23:$B$7253,$B88,'Besi Balok'!$F$23:$F$7253,'REKAP Balok'!L$11)</f>
        <v>0</v>
      </c>
      <c r="M88" s="282">
        <f>SUMIFS('Besi Balok'!$AA$23:$AA$7253,'Besi Balok'!$A$23:$A$7253,$A88,'Besi Balok'!$B$23:$B$7253,$B88,'Besi Balok'!$F$23:$F$7253,'REKAP Balok'!M$11)</f>
        <v>15.036681600000001</v>
      </c>
      <c r="N88" s="282">
        <f>SUMIFS('Besi Balok'!$AA$23:$AA$7253,'Besi Balok'!$A$23:$A$7253,$A88,'Besi Balok'!$B$23:$B$7253,$B88,'Besi Balok'!$F$23:$F$7253,'REKAP Balok'!N$11)</f>
        <v>0</v>
      </c>
      <c r="O88" s="282">
        <f>SUMIFS('Besi Balok'!$AA$23:$AA$7253,'Besi Balok'!$A$23:$A$7253,$A88,'Besi Balok'!$B$23:$B$7253,$B88,'Besi Balok'!$F$23:$F$7253,'REKAP Balok'!O$11)</f>
        <v>0</v>
      </c>
      <c r="P88" s="282">
        <f>SUMIFS('Besi Balok'!$AA$23:$AA$7253,'Besi Balok'!$A$23:$A$7253,$A88,'Besi Balok'!$B$23:$B$7253,$B88,'Besi Balok'!$F$23:$F$7253,'REKAP Balok'!P$11)</f>
        <v>61.163112960000007</v>
      </c>
      <c r="Q88" s="282">
        <f>SUMIFS('Besi Balok'!$AA$23:$AA$7253,'Besi Balok'!$A$23:$A$7253,$A88,'Besi Balok'!$B$23:$B$7253,$B88,'Besi Balok'!$F$23:$F$7253,'REKAP Balok'!Q$11)</f>
        <v>0</v>
      </c>
      <c r="R88" s="282">
        <f>SUMIFS('Besi Balok'!$AA$23:$AA$7253,'Besi Balok'!$A$23:$A$7253,$A88,'Besi Balok'!$B$23:$B$7253,$B88,'Besi Balok'!$F$23:$F$7253,'REKAP Balok'!R$11)</f>
        <v>0</v>
      </c>
      <c r="S88" s="282">
        <f>SUMIFS('Besi Balok'!$AA$23:$AA$7253,'Besi Balok'!$A$23:$A$7253,$A88,'Besi Balok'!$B$23:$B$7253,$B88,'Besi Balok'!$F$23:$F$7253,'REKAP Balok'!S$11)</f>
        <v>0</v>
      </c>
      <c r="T88" s="283">
        <f>SUMIFS('Besi Balok'!$AA$23:$AA$7253,'Besi Balok'!$A$23:$A$7253,$A88,'Besi Balok'!$B$23:$B$7253,$B88,'Besi Balok'!$F$23:$F$7253,'REKAP Balok'!T$11)</f>
        <v>0</v>
      </c>
      <c r="U88" s="284">
        <f t="shared" si="25"/>
        <v>76.199794560000015</v>
      </c>
      <c r="V88" s="285">
        <f t="shared" si="26"/>
        <v>0.48599999999999999</v>
      </c>
      <c r="W88" s="282">
        <f t="shared" si="27"/>
        <v>4.8600000000000003</v>
      </c>
      <c r="X88" s="282">
        <v>0</v>
      </c>
      <c r="Y88" s="282">
        <f t="shared" si="28"/>
        <v>0.1215</v>
      </c>
      <c r="Z88" s="283">
        <f t="shared" si="29"/>
        <v>1.0934999999999997</v>
      </c>
      <c r="AC88" s="1784">
        <f t="shared" si="30"/>
        <v>0.97199999999999998</v>
      </c>
    </row>
    <row r="89" spans="1:29" hidden="1">
      <c r="A89" s="272" t="str">
        <f>'Data Panjang Balok'!A85</f>
        <v>Lantai 1</v>
      </c>
      <c r="B89" s="273">
        <f>'Data Panjang Balok'!B85</f>
        <v>74</v>
      </c>
      <c r="C89" s="274" t="str">
        <f>'Data Panjang Balok'!D85</f>
        <v>S24-2</v>
      </c>
      <c r="D89" s="275">
        <f>IF(C89&gt;0,VLOOKUP(C89,'Detail Balok'!$C$11:$AU$140,2,FALSE),0)</f>
        <v>200</v>
      </c>
      <c r="E89" s="276" t="s">
        <v>125</v>
      </c>
      <c r="F89" s="277">
        <f>IF(C89&gt;0,VLOOKUP(C89,'Detail Balok'!$C$11:$AU$140,3,FALSE),0)</f>
        <v>400</v>
      </c>
      <c r="G89" s="278">
        <f>'Data Panjang Balok'!I85</f>
        <v>5560</v>
      </c>
      <c r="H89" s="278">
        <f>'Data Panjang Balok'!J85</f>
        <v>0</v>
      </c>
      <c r="I89" s="279">
        <v>-3.5</v>
      </c>
      <c r="J89" s="279">
        <f t="shared" si="24"/>
        <v>-3.9</v>
      </c>
      <c r="K89" s="280">
        <f>'Data Panjang Balok'!E85</f>
        <v>1</v>
      </c>
      <c r="L89" s="281">
        <f>SUMIFS('Besi Balok'!$AA$23:$AA$7253,'Besi Balok'!$A$23:$A$7253,$A89,'Besi Balok'!$B$23:$B$7253,$B89,'Besi Balok'!$F$23:$F$7253,'REKAP Balok'!L$11)</f>
        <v>0</v>
      </c>
      <c r="M89" s="282">
        <f>SUMIFS('Besi Balok'!$AA$23:$AA$7253,'Besi Balok'!$A$23:$A$7253,$A89,'Besi Balok'!$B$23:$B$7253,$B89,'Besi Balok'!$F$23:$F$7253,'REKAP Balok'!M$11)</f>
        <v>13.817491200000003</v>
      </c>
      <c r="N89" s="282">
        <f>SUMIFS('Besi Balok'!$AA$23:$AA$7253,'Besi Balok'!$A$23:$A$7253,$A89,'Besi Balok'!$B$23:$B$7253,$B89,'Besi Balok'!$F$23:$F$7253,'REKAP Balok'!N$11)</f>
        <v>0</v>
      </c>
      <c r="O89" s="282">
        <f>SUMIFS('Besi Balok'!$AA$23:$AA$7253,'Besi Balok'!$A$23:$A$7253,$A89,'Besi Balok'!$B$23:$B$7253,$B89,'Besi Balok'!$F$23:$F$7253,'REKAP Balok'!O$11)</f>
        <v>0</v>
      </c>
      <c r="P89" s="282">
        <f>SUMIFS('Besi Balok'!$AA$23:$AA$7253,'Besi Balok'!$A$23:$A$7253,$A89,'Besi Balok'!$B$23:$B$7253,$B89,'Besi Balok'!$F$23:$F$7253,'REKAP Balok'!P$11)</f>
        <v>56.286351359999998</v>
      </c>
      <c r="Q89" s="282">
        <f>SUMIFS('Besi Balok'!$AA$23:$AA$7253,'Besi Balok'!$A$23:$A$7253,$A89,'Besi Balok'!$B$23:$B$7253,$B89,'Besi Balok'!$F$23:$F$7253,'REKAP Balok'!Q$11)</f>
        <v>0</v>
      </c>
      <c r="R89" s="282">
        <f>SUMIFS('Besi Balok'!$AA$23:$AA$7253,'Besi Balok'!$A$23:$A$7253,$A89,'Besi Balok'!$B$23:$B$7253,$B89,'Besi Balok'!$F$23:$F$7253,'REKAP Balok'!R$11)</f>
        <v>0</v>
      </c>
      <c r="S89" s="282">
        <f>SUMIFS('Besi Balok'!$AA$23:$AA$7253,'Besi Balok'!$A$23:$A$7253,$A89,'Besi Balok'!$B$23:$B$7253,$B89,'Besi Balok'!$F$23:$F$7253,'REKAP Balok'!S$11)</f>
        <v>0</v>
      </c>
      <c r="T89" s="283">
        <f>SUMIFS('Besi Balok'!$AA$23:$AA$7253,'Besi Balok'!$A$23:$A$7253,$A89,'Besi Balok'!$B$23:$B$7253,$B89,'Besi Balok'!$F$23:$F$7253,'REKAP Balok'!T$11)</f>
        <v>0</v>
      </c>
      <c r="U89" s="284">
        <f t="shared" si="25"/>
        <v>70.103842560000004</v>
      </c>
      <c r="V89" s="285">
        <f t="shared" si="26"/>
        <v>0.44479999999999997</v>
      </c>
      <c r="W89" s="282">
        <f t="shared" si="27"/>
        <v>4.4480000000000004</v>
      </c>
      <c r="X89" s="282">
        <v>0</v>
      </c>
      <c r="Y89" s="282">
        <f t="shared" si="28"/>
        <v>0.11119999999999999</v>
      </c>
      <c r="Z89" s="283">
        <f t="shared" si="29"/>
        <v>1.0007999999999999</v>
      </c>
      <c r="AC89" s="1784">
        <f t="shared" si="30"/>
        <v>0.88959999999999995</v>
      </c>
    </row>
    <row r="90" spans="1:29" hidden="1">
      <c r="A90" s="272" t="str">
        <f>'Data Panjang Balok'!A86</f>
        <v>Lantai 1</v>
      </c>
      <c r="B90" s="273">
        <f>'Data Panjang Balok'!B86</f>
        <v>75</v>
      </c>
      <c r="C90" s="274" t="str">
        <f>'Data Panjang Balok'!D86</f>
        <v>B25-1</v>
      </c>
      <c r="D90" s="275">
        <f>IF(C90&gt;0,VLOOKUP(C90,'Detail Balok'!$C$11:$AU$140,2,FALSE),0)</f>
        <v>200</v>
      </c>
      <c r="E90" s="276" t="s">
        <v>125</v>
      </c>
      <c r="F90" s="277">
        <f>IF(C90&gt;0,VLOOKUP(C90,'Detail Balok'!$C$11:$AU$140,3,FALSE),0)</f>
        <v>500</v>
      </c>
      <c r="G90" s="278">
        <f>'Data Panjang Balok'!I86</f>
        <v>4000</v>
      </c>
      <c r="H90" s="278">
        <f>'Data Panjang Balok'!J86</f>
        <v>150</v>
      </c>
      <c r="I90" s="279">
        <v>-3.5</v>
      </c>
      <c r="J90" s="279">
        <f t="shared" si="24"/>
        <v>-4</v>
      </c>
      <c r="K90" s="280">
        <f>'Data Panjang Balok'!E86</f>
        <v>1</v>
      </c>
      <c r="L90" s="281">
        <f>SUMIFS('Besi Balok'!$AA$23:$AA$7253,'Besi Balok'!$A$23:$A$7253,$A90,'Besi Balok'!$B$23:$B$7253,$B90,'Besi Balok'!$F$23:$F$7253,'REKAP Balok'!L$11)</f>
        <v>0</v>
      </c>
      <c r="M90" s="282">
        <f>SUMIFS('Besi Balok'!$AA$23:$AA$7253,'Besi Balok'!$A$23:$A$7253,$A90,'Besi Balok'!$B$23:$B$7253,$B90,'Besi Balok'!$F$23:$F$7253,'REKAP Balok'!M$11)</f>
        <v>0</v>
      </c>
      <c r="N90" s="282">
        <f>SUMIFS('Besi Balok'!$AA$23:$AA$7253,'Besi Balok'!$A$23:$A$7253,$A90,'Besi Balok'!$B$23:$B$7253,$B90,'Besi Balok'!$F$23:$F$7253,'REKAP Balok'!N$11)</f>
        <v>24.94359</v>
      </c>
      <c r="O90" s="282">
        <f>SUMIFS('Besi Balok'!$AA$23:$AA$7253,'Besi Balok'!$A$23:$A$7253,$A90,'Besi Balok'!$B$23:$B$7253,$B90,'Besi Balok'!$F$23:$F$7253,'REKAP Balok'!O$11)</f>
        <v>0</v>
      </c>
      <c r="P90" s="282">
        <f>SUMIFS('Besi Balok'!$AA$23:$AA$7253,'Besi Balok'!$A$23:$A$7253,$A90,'Besi Balok'!$B$23:$B$7253,$B90,'Besi Balok'!$F$23:$F$7253,'REKAP Balok'!P$11)</f>
        <v>55.352033280000008</v>
      </c>
      <c r="Q90" s="282">
        <f>SUMIFS('Besi Balok'!$AA$23:$AA$7253,'Besi Balok'!$A$23:$A$7253,$A90,'Besi Balok'!$B$23:$B$7253,$B90,'Besi Balok'!$F$23:$F$7253,'REKAP Balok'!Q$11)</f>
        <v>0</v>
      </c>
      <c r="R90" s="282">
        <f>SUMIFS('Besi Balok'!$AA$23:$AA$7253,'Besi Balok'!$A$23:$A$7253,$A90,'Besi Balok'!$B$23:$B$7253,$B90,'Besi Balok'!$F$23:$F$7253,'REKAP Balok'!R$11)</f>
        <v>0</v>
      </c>
      <c r="S90" s="282">
        <f>SUMIFS('Besi Balok'!$AA$23:$AA$7253,'Besi Balok'!$A$23:$A$7253,$A90,'Besi Balok'!$B$23:$B$7253,$B90,'Besi Balok'!$F$23:$F$7253,'REKAP Balok'!S$11)</f>
        <v>0</v>
      </c>
      <c r="T90" s="283">
        <f>SUMIFS('Besi Balok'!$AA$23:$AA$7253,'Besi Balok'!$A$23:$A$7253,$A90,'Besi Balok'!$B$23:$B$7253,$B90,'Besi Balok'!$F$23:$F$7253,'REKAP Balok'!T$11)</f>
        <v>0</v>
      </c>
      <c r="U90" s="284">
        <f t="shared" si="25"/>
        <v>80.295623280000001</v>
      </c>
      <c r="V90" s="285">
        <f t="shared" si="26"/>
        <v>0.28000000000000003</v>
      </c>
      <c r="W90" s="282">
        <f t="shared" si="27"/>
        <v>2.8</v>
      </c>
      <c r="X90" s="282">
        <v>0</v>
      </c>
      <c r="Y90" s="282">
        <f t="shared" si="28"/>
        <v>0.08</v>
      </c>
      <c r="Z90" s="283">
        <f t="shared" si="29"/>
        <v>0.88000000000000012</v>
      </c>
      <c r="AC90" s="1784">
        <f t="shared" si="30"/>
        <v>0.8</v>
      </c>
    </row>
    <row r="91" spans="1:29" hidden="1">
      <c r="A91" s="272" t="str">
        <f>'Data Panjang Balok'!A87</f>
        <v>Lantai 1</v>
      </c>
      <c r="B91" s="273">
        <f>'Data Panjang Balok'!B87</f>
        <v>76</v>
      </c>
      <c r="C91" s="274" t="str">
        <f>'Data Panjang Balok'!D87</f>
        <v>B25-1</v>
      </c>
      <c r="D91" s="275">
        <f>IF(C91&gt;0,VLOOKUP(C91,'Detail Balok'!$C$11:$AU$140,2,FALSE),0)</f>
        <v>200</v>
      </c>
      <c r="E91" s="276" t="s">
        <v>125</v>
      </c>
      <c r="F91" s="277">
        <f>IF(C91&gt;0,VLOOKUP(C91,'Detail Balok'!$C$11:$AU$140,3,FALSE),0)</f>
        <v>500</v>
      </c>
      <c r="G91" s="278">
        <f>'Data Panjang Balok'!I87</f>
        <v>5075</v>
      </c>
      <c r="H91" s="278">
        <f>'Data Panjang Balok'!J87</f>
        <v>0</v>
      </c>
      <c r="I91" s="279">
        <v>-3.5</v>
      </c>
      <c r="J91" s="279">
        <f t="shared" si="24"/>
        <v>-4</v>
      </c>
      <c r="K91" s="280">
        <f>'Data Panjang Balok'!E87</f>
        <v>1</v>
      </c>
      <c r="L91" s="281">
        <f>SUMIFS('Besi Balok'!$AA$23:$AA$7253,'Besi Balok'!$A$23:$A$7253,$A91,'Besi Balok'!$B$23:$B$7253,$B91,'Besi Balok'!$F$23:$F$7253,'REKAP Balok'!L$11)</f>
        <v>0</v>
      </c>
      <c r="M91" s="282">
        <f>SUMIFS('Besi Balok'!$AA$23:$AA$7253,'Besi Balok'!$A$23:$A$7253,$A91,'Besi Balok'!$B$23:$B$7253,$B91,'Besi Balok'!$F$23:$F$7253,'REKAP Balok'!M$11)</f>
        <v>0</v>
      </c>
      <c r="N91" s="282">
        <f>SUMIFS('Besi Balok'!$AA$23:$AA$7253,'Besi Balok'!$A$23:$A$7253,$A91,'Besi Balok'!$B$23:$B$7253,$B91,'Besi Balok'!$F$23:$F$7253,'REKAP Balok'!N$11)</f>
        <v>30.060540000000003</v>
      </c>
      <c r="O91" s="282">
        <f>SUMIFS('Besi Balok'!$AA$23:$AA$7253,'Besi Balok'!$A$23:$A$7253,$A91,'Besi Balok'!$B$23:$B$7253,$B91,'Besi Balok'!$F$23:$F$7253,'REKAP Balok'!O$11)</f>
        <v>0</v>
      </c>
      <c r="P91" s="282">
        <f>SUMIFS('Besi Balok'!$AA$23:$AA$7253,'Besi Balok'!$A$23:$A$7253,$A91,'Besi Balok'!$B$23:$B$7253,$B91,'Besi Balok'!$F$23:$F$7253,'REKAP Balok'!P$11)</f>
        <v>68.924897279999996</v>
      </c>
      <c r="Q91" s="282">
        <f>SUMIFS('Besi Balok'!$AA$23:$AA$7253,'Besi Balok'!$A$23:$A$7253,$A91,'Besi Balok'!$B$23:$B$7253,$B91,'Besi Balok'!$F$23:$F$7253,'REKAP Balok'!Q$11)</f>
        <v>0</v>
      </c>
      <c r="R91" s="282">
        <f>SUMIFS('Besi Balok'!$AA$23:$AA$7253,'Besi Balok'!$A$23:$A$7253,$A91,'Besi Balok'!$B$23:$B$7253,$B91,'Besi Balok'!$F$23:$F$7253,'REKAP Balok'!R$11)</f>
        <v>0</v>
      </c>
      <c r="S91" s="282">
        <f>SUMIFS('Besi Balok'!$AA$23:$AA$7253,'Besi Balok'!$A$23:$A$7253,$A91,'Besi Balok'!$B$23:$B$7253,$B91,'Besi Balok'!$F$23:$F$7253,'REKAP Balok'!S$11)</f>
        <v>0</v>
      </c>
      <c r="T91" s="283">
        <f>SUMIFS('Besi Balok'!$AA$23:$AA$7253,'Besi Balok'!$A$23:$A$7253,$A91,'Besi Balok'!$B$23:$B$7253,$B91,'Besi Balok'!$F$23:$F$7253,'REKAP Balok'!T$11)</f>
        <v>0</v>
      </c>
      <c r="U91" s="284">
        <f t="shared" si="25"/>
        <v>98.985437279999999</v>
      </c>
      <c r="V91" s="285">
        <f t="shared" si="26"/>
        <v>0.50749999999999995</v>
      </c>
      <c r="W91" s="282">
        <f t="shared" si="27"/>
        <v>5.0750000000000002</v>
      </c>
      <c r="X91" s="282">
        <v>0</v>
      </c>
      <c r="Y91" s="282">
        <f t="shared" si="28"/>
        <v>0.10150000000000001</v>
      </c>
      <c r="Z91" s="283">
        <f t="shared" si="29"/>
        <v>1.1165000000000003</v>
      </c>
      <c r="AC91" s="1784">
        <f t="shared" si="30"/>
        <v>1.0149999999999999</v>
      </c>
    </row>
    <row r="92" spans="1:29" hidden="1">
      <c r="A92" s="272" t="str">
        <f>'Data Panjang Balok'!A88</f>
        <v>Lantai 1</v>
      </c>
      <c r="B92" s="273">
        <f>'Data Panjang Balok'!B88</f>
        <v>77</v>
      </c>
      <c r="C92" s="274" t="str">
        <f>'Data Panjang Balok'!D88</f>
        <v>B24-2</v>
      </c>
      <c r="D92" s="275">
        <f>IF(C92&gt;0,VLOOKUP(C92,'Detail Balok'!$C$11:$AU$140,2,FALSE),0)</f>
        <v>200</v>
      </c>
      <c r="E92" s="276" t="s">
        <v>125</v>
      </c>
      <c r="F92" s="277">
        <f>IF(C92&gt;0,VLOOKUP(C92,'Detail Balok'!$C$11:$AU$140,3,FALSE),0)</f>
        <v>400</v>
      </c>
      <c r="G92" s="278">
        <f>'Data Panjang Balok'!I88</f>
        <v>2540</v>
      </c>
      <c r="H92" s="278">
        <f>'Data Panjang Balok'!J88</f>
        <v>150</v>
      </c>
      <c r="I92" s="279">
        <v>-3.5</v>
      </c>
      <c r="J92" s="279">
        <f t="shared" si="24"/>
        <v>-3.9</v>
      </c>
      <c r="K92" s="280">
        <f>'Data Panjang Balok'!E88</f>
        <v>1</v>
      </c>
      <c r="L92" s="281">
        <f>SUMIFS('Besi Balok'!$AA$23:$AA$7253,'Besi Balok'!$A$23:$A$7253,$A92,'Besi Balok'!$B$23:$B$7253,$B92,'Besi Balok'!$F$23:$F$7253,'REKAP Balok'!L$11)</f>
        <v>0</v>
      </c>
      <c r="M92" s="282">
        <f>SUMIFS('Besi Balok'!$AA$23:$AA$7253,'Besi Balok'!$A$23:$A$7253,$A92,'Besi Balok'!$B$23:$B$7253,$B92,'Besi Balok'!$F$23:$F$7253,'REKAP Balok'!M$11)</f>
        <v>0</v>
      </c>
      <c r="N92" s="282">
        <f>SUMIFS('Besi Balok'!$AA$23:$AA$7253,'Besi Balok'!$A$23:$A$7253,$A92,'Besi Balok'!$B$23:$B$7253,$B92,'Besi Balok'!$F$23:$F$7253,'REKAP Balok'!N$11)</f>
        <v>14.604885000000003</v>
      </c>
      <c r="O92" s="282">
        <f>SUMIFS('Besi Balok'!$AA$23:$AA$7253,'Besi Balok'!$A$23:$A$7253,$A92,'Besi Balok'!$B$23:$B$7253,$B92,'Besi Balok'!$F$23:$F$7253,'REKAP Balok'!O$11)</f>
        <v>0</v>
      </c>
      <c r="P92" s="282">
        <f>SUMIFS('Besi Balok'!$AA$23:$AA$7253,'Besi Balok'!$A$23:$A$7253,$A92,'Besi Balok'!$B$23:$B$7253,$B92,'Besi Balok'!$F$23:$F$7253,'REKAP Balok'!P$11)</f>
        <v>27.688642560000002</v>
      </c>
      <c r="Q92" s="282">
        <f>SUMIFS('Besi Balok'!$AA$23:$AA$7253,'Besi Balok'!$A$23:$A$7253,$A92,'Besi Balok'!$B$23:$B$7253,$B92,'Besi Balok'!$F$23:$F$7253,'REKAP Balok'!Q$11)</f>
        <v>0</v>
      </c>
      <c r="R92" s="282">
        <f>SUMIFS('Besi Balok'!$AA$23:$AA$7253,'Besi Balok'!$A$23:$A$7253,$A92,'Besi Balok'!$B$23:$B$7253,$B92,'Besi Balok'!$F$23:$F$7253,'REKAP Balok'!R$11)</f>
        <v>0</v>
      </c>
      <c r="S92" s="282">
        <f>SUMIFS('Besi Balok'!$AA$23:$AA$7253,'Besi Balok'!$A$23:$A$7253,$A92,'Besi Balok'!$B$23:$B$7253,$B92,'Besi Balok'!$F$23:$F$7253,'REKAP Balok'!S$11)</f>
        <v>0</v>
      </c>
      <c r="T92" s="283">
        <f>SUMIFS('Besi Balok'!$AA$23:$AA$7253,'Besi Balok'!$A$23:$A$7253,$A92,'Besi Balok'!$B$23:$B$7253,$B92,'Besi Balok'!$F$23:$F$7253,'REKAP Balok'!T$11)</f>
        <v>0</v>
      </c>
      <c r="U92" s="284">
        <f t="shared" si="25"/>
        <v>42.293527560000001</v>
      </c>
      <c r="V92" s="285">
        <f t="shared" si="26"/>
        <v>0.127</v>
      </c>
      <c r="W92" s="282">
        <f t="shared" si="27"/>
        <v>1.27</v>
      </c>
      <c r="X92" s="282">
        <v>0</v>
      </c>
      <c r="Y92" s="282">
        <f t="shared" si="28"/>
        <v>5.0799999999999998E-2</v>
      </c>
      <c r="Z92" s="283">
        <f>K92*(D92+2*$F$5)*($F$4-J92+($F$6+$F$7)/1000)*G92/1000000</f>
        <v>0.45719999999999994</v>
      </c>
      <c r="AC92" s="1784">
        <f t="shared" si="30"/>
        <v>0.40639999999999998</v>
      </c>
    </row>
    <row r="93" spans="1:29" hidden="1">
      <c r="A93" s="272" t="str">
        <f>'Data Panjang Balok'!A89</f>
        <v>Lantai 1</v>
      </c>
      <c r="B93" s="273">
        <f>'Data Panjang Balok'!B89</f>
        <v>78</v>
      </c>
      <c r="C93" s="274" t="str">
        <f>'Data Panjang Balok'!D89</f>
        <v>B25-1</v>
      </c>
      <c r="D93" s="275">
        <f>IF(C93&gt;0,VLOOKUP(C93,'Detail Balok'!$C$11:$AU$140,2,FALSE),0)</f>
        <v>200</v>
      </c>
      <c r="E93" s="276" t="s">
        <v>125</v>
      </c>
      <c r="F93" s="277">
        <f>IF(C93&gt;0,VLOOKUP(C93,'Detail Balok'!$C$11:$AU$140,3,FALSE),0)</f>
        <v>500</v>
      </c>
      <c r="G93" s="278">
        <f>'Data Panjang Balok'!I89</f>
        <v>7075</v>
      </c>
      <c r="H93" s="278">
        <f>'Data Panjang Balok'!J89</f>
        <v>150</v>
      </c>
      <c r="I93" s="279">
        <v>-3.5</v>
      </c>
      <c r="J93" s="279">
        <f t="shared" ref="J93:J217" si="32">I93-F93/1000</f>
        <v>-4</v>
      </c>
      <c r="K93" s="280">
        <f>'Data Panjang Balok'!E89</f>
        <v>1</v>
      </c>
      <c r="L93" s="281">
        <f>SUMIFS('Besi Balok'!$AA$23:$AA$7253,'Besi Balok'!$A$23:$A$7253,$A93,'Besi Balok'!$B$23:$B$7253,$B93,'Besi Balok'!$F$23:$F$7253,'REKAP Balok'!L$11)</f>
        <v>0</v>
      </c>
      <c r="M93" s="282">
        <f>SUMIFS('Besi Balok'!$AA$23:$AA$7253,'Besi Balok'!$A$23:$A$7253,$A93,'Besi Balok'!$B$23:$B$7253,$B93,'Besi Balok'!$F$23:$F$7253,'REKAP Balok'!M$11)</f>
        <v>0</v>
      </c>
      <c r="N93" s="282">
        <f>SUMIFS('Besi Balok'!$AA$23:$AA$7253,'Besi Balok'!$A$23:$A$7253,$A93,'Besi Balok'!$B$23:$B$7253,$B93,'Besi Balok'!$F$23:$F$7253,'REKAP Balok'!N$11)</f>
        <v>42.384375000000006</v>
      </c>
      <c r="O93" s="282">
        <f>SUMIFS('Besi Balok'!$AA$23:$AA$7253,'Besi Balok'!$A$23:$A$7253,$A93,'Besi Balok'!$B$23:$B$7253,$B93,'Besi Balok'!$F$23:$F$7253,'REKAP Balok'!O$11)</f>
        <v>0</v>
      </c>
      <c r="P93" s="282">
        <f>SUMIFS('Besi Balok'!$AA$23:$AA$7253,'Besi Balok'!$A$23:$A$7253,$A93,'Besi Balok'!$B$23:$B$7253,$B93,'Besi Balok'!$F$23:$F$7253,'REKAP Balok'!P$11)</f>
        <v>94.176737280000012</v>
      </c>
      <c r="Q93" s="282">
        <f>SUMIFS('Besi Balok'!$AA$23:$AA$7253,'Besi Balok'!$A$23:$A$7253,$A93,'Besi Balok'!$B$23:$B$7253,$B93,'Besi Balok'!$F$23:$F$7253,'REKAP Balok'!Q$11)</f>
        <v>0</v>
      </c>
      <c r="R93" s="282">
        <f>SUMIFS('Besi Balok'!$AA$23:$AA$7253,'Besi Balok'!$A$23:$A$7253,$A93,'Besi Balok'!$B$23:$B$7253,$B93,'Besi Balok'!$F$23:$F$7253,'REKAP Balok'!R$11)</f>
        <v>0</v>
      </c>
      <c r="S93" s="282">
        <f>SUMIFS('Besi Balok'!$AA$23:$AA$7253,'Besi Balok'!$A$23:$A$7253,$A93,'Besi Balok'!$B$23:$B$7253,$B93,'Besi Balok'!$F$23:$F$7253,'REKAP Balok'!S$11)</f>
        <v>0</v>
      </c>
      <c r="T93" s="283">
        <f>SUMIFS('Besi Balok'!$AA$23:$AA$7253,'Besi Balok'!$A$23:$A$7253,$A93,'Besi Balok'!$B$23:$B$7253,$B93,'Besi Balok'!$F$23:$F$7253,'REKAP Balok'!T$11)</f>
        <v>0</v>
      </c>
      <c r="U93" s="284">
        <f t="shared" ref="U93:U217" si="33">SUM(L93:T93)</f>
        <v>136.56111228000003</v>
      </c>
      <c r="V93" s="285">
        <f t="shared" ref="V93:V217" si="34">(D93*(F93-H93)*G93*K93)/1000000000</f>
        <v>0.49525000000000002</v>
      </c>
      <c r="W93" s="282">
        <f t="shared" ref="W93:W100" si="35">(((F93-H93)*2)*(G93)*K93)/1000000</f>
        <v>4.9524999999999997</v>
      </c>
      <c r="X93" s="282">
        <v>0</v>
      </c>
      <c r="Y93" s="282">
        <f t="shared" ref="Y93:Y100" si="36">K93*(D93+2*$F$5)*G93*$F$6/1000000000</f>
        <v>0.14149999999999999</v>
      </c>
      <c r="Z93" s="283">
        <f t="shared" ref="Z93:Z100" si="37">K93*(D93+2*$F$5)*($F$4-J93+($F$6+$F$7)/1000)*G93/1000000</f>
        <v>1.5565000000000002</v>
      </c>
      <c r="AC93" s="1784">
        <f t="shared" ref="AC93:AC217" si="38">(D93+2*$F$5)*F93*G93/1000000000</f>
        <v>1.415</v>
      </c>
    </row>
    <row r="94" spans="1:29" hidden="1">
      <c r="A94" s="272" t="str">
        <f>'Data Panjang Balok'!A90</f>
        <v>Lantai 1</v>
      </c>
      <c r="B94" s="273">
        <f>'Data Panjang Balok'!B90</f>
        <v>79</v>
      </c>
      <c r="C94" s="274" t="str">
        <f>'Data Panjang Balok'!D90</f>
        <v>B24-2</v>
      </c>
      <c r="D94" s="275">
        <f>IF(C94&gt;0,VLOOKUP(C94,'Detail Balok'!$C$11:$AU$140,2,FALSE),0)</f>
        <v>200</v>
      </c>
      <c r="E94" s="276" t="s">
        <v>125</v>
      </c>
      <c r="F94" s="277">
        <f>IF(C94&gt;0,VLOOKUP(C94,'Detail Balok'!$C$11:$AU$140,3,FALSE),0)</f>
        <v>400</v>
      </c>
      <c r="G94" s="278">
        <f>'Data Panjang Balok'!I90</f>
        <v>1130</v>
      </c>
      <c r="H94" s="278">
        <f>'Data Panjang Balok'!J90</f>
        <v>150</v>
      </c>
      <c r="I94" s="279">
        <v>-3.5</v>
      </c>
      <c r="J94" s="279">
        <f t="shared" si="32"/>
        <v>-3.9</v>
      </c>
      <c r="K94" s="280">
        <f>'Data Panjang Balok'!E90</f>
        <v>1</v>
      </c>
      <c r="L94" s="281">
        <f>SUMIFS('Besi Balok'!$AA$23:$AA$7253,'Besi Balok'!$A$23:$A$7253,$A94,'Besi Balok'!$B$23:$B$7253,$B94,'Besi Balok'!$F$23:$F$7253,'REKAP Balok'!L$11)</f>
        <v>0</v>
      </c>
      <c r="M94" s="282">
        <f>SUMIFS('Besi Balok'!$AA$23:$AA$7253,'Besi Balok'!$A$23:$A$7253,$A94,'Besi Balok'!$B$23:$B$7253,$B94,'Besi Balok'!$F$23:$F$7253,'REKAP Balok'!M$11)</f>
        <v>0</v>
      </c>
      <c r="N94" s="282">
        <f>SUMIFS('Besi Balok'!$AA$23:$AA$7253,'Besi Balok'!$A$23:$A$7253,$A94,'Besi Balok'!$B$23:$B$7253,$B94,'Besi Balok'!$F$23:$F$7253,'REKAP Balok'!N$11)</f>
        <v>7.6199400000000015</v>
      </c>
      <c r="O94" s="282">
        <f>SUMIFS('Besi Balok'!$AA$23:$AA$7253,'Besi Balok'!$A$23:$A$7253,$A94,'Besi Balok'!$B$23:$B$7253,$B94,'Besi Balok'!$F$23:$F$7253,'REKAP Balok'!O$11)</f>
        <v>0</v>
      </c>
      <c r="P94" s="282">
        <f>SUMIFS('Besi Balok'!$AA$23:$AA$7253,'Besi Balok'!$A$23:$A$7253,$A94,'Besi Balok'!$B$23:$B$7253,$B94,'Besi Balok'!$F$23:$F$7253,'REKAP Balok'!P$11)</f>
        <v>14.33673216</v>
      </c>
      <c r="Q94" s="282">
        <f>SUMIFS('Besi Balok'!$AA$23:$AA$7253,'Besi Balok'!$A$23:$A$7253,$A94,'Besi Balok'!$B$23:$B$7253,$B94,'Besi Balok'!$F$23:$F$7253,'REKAP Balok'!Q$11)</f>
        <v>0</v>
      </c>
      <c r="R94" s="282">
        <f>SUMIFS('Besi Balok'!$AA$23:$AA$7253,'Besi Balok'!$A$23:$A$7253,$A94,'Besi Balok'!$B$23:$B$7253,$B94,'Besi Balok'!$F$23:$F$7253,'REKAP Balok'!R$11)</f>
        <v>0</v>
      </c>
      <c r="S94" s="282">
        <f>SUMIFS('Besi Balok'!$AA$23:$AA$7253,'Besi Balok'!$A$23:$A$7253,$A94,'Besi Balok'!$B$23:$B$7253,$B94,'Besi Balok'!$F$23:$F$7253,'REKAP Balok'!S$11)</f>
        <v>0</v>
      </c>
      <c r="T94" s="283">
        <f>SUMIFS('Besi Balok'!$AA$23:$AA$7253,'Besi Balok'!$A$23:$A$7253,$A94,'Besi Balok'!$B$23:$B$7253,$B94,'Besi Balok'!$F$23:$F$7253,'REKAP Balok'!T$11)</f>
        <v>0</v>
      </c>
      <c r="U94" s="284">
        <f t="shared" si="33"/>
        <v>21.956672160000004</v>
      </c>
      <c r="V94" s="285">
        <f t="shared" si="34"/>
        <v>5.6500000000000002E-2</v>
      </c>
      <c r="W94" s="282">
        <f t="shared" si="35"/>
        <v>0.56499999999999995</v>
      </c>
      <c r="X94" s="282">
        <v>0</v>
      </c>
      <c r="Y94" s="282">
        <f t="shared" si="36"/>
        <v>2.2599999999999999E-2</v>
      </c>
      <c r="Z94" s="283">
        <f t="shared" si="37"/>
        <v>0.20339999999999997</v>
      </c>
      <c r="AC94" s="1784">
        <f t="shared" si="38"/>
        <v>0.18079999999999999</v>
      </c>
    </row>
    <row r="95" spans="1:29" hidden="1">
      <c r="A95" s="272" t="str">
        <f>'Data Panjang Balok'!A91</f>
        <v>Lantai 1</v>
      </c>
      <c r="B95" s="273">
        <f>'Data Panjang Balok'!B91</f>
        <v>80</v>
      </c>
      <c r="C95" s="274" t="str">
        <f>'Data Panjang Balok'!D91</f>
        <v>B24-1</v>
      </c>
      <c r="D95" s="275">
        <f>IF(C95&gt;0,VLOOKUP(C95,'Detail Balok'!$C$11:$AU$140,2,FALSE),0)</f>
        <v>200</v>
      </c>
      <c r="E95" s="276" t="s">
        <v>125</v>
      </c>
      <c r="F95" s="277">
        <f>IF(C95&gt;0,VLOOKUP(C95,'Detail Balok'!$C$11:$AU$140,3,FALSE),0)</f>
        <v>400</v>
      </c>
      <c r="G95" s="278">
        <f>'Data Panjang Balok'!I91</f>
        <v>3090</v>
      </c>
      <c r="H95" s="278">
        <f>'Data Panjang Balok'!J91</f>
        <v>150</v>
      </c>
      <c r="I95" s="279">
        <v>-3.5</v>
      </c>
      <c r="J95" s="279">
        <f t="shared" si="32"/>
        <v>-3.9</v>
      </c>
      <c r="K95" s="280">
        <f>'Data Panjang Balok'!E91</f>
        <v>1</v>
      </c>
      <c r="L95" s="281">
        <f>SUMIFS('Besi Balok'!$AA$23:$AA$7253,'Besi Balok'!$A$23:$A$7253,$A95,'Besi Balok'!$B$23:$B$7253,$B95,'Besi Balok'!$F$23:$F$7253,'REKAP Balok'!L$11)</f>
        <v>0</v>
      </c>
      <c r="M95" s="282">
        <f>SUMIFS('Besi Balok'!$AA$23:$AA$7253,'Besi Balok'!$A$23:$A$7253,$A95,'Besi Balok'!$B$23:$B$7253,$B95,'Besi Balok'!$F$23:$F$7253,'REKAP Balok'!M$11)</f>
        <v>0</v>
      </c>
      <c r="N95" s="282">
        <f>SUMIFS('Besi Balok'!$AA$23:$AA$7253,'Besi Balok'!$A$23:$A$7253,$A95,'Besi Balok'!$B$23:$B$7253,$B95,'Besi Balok'!$F$23:$F$7253,'REKAP Balok'!N$11)</f>
        <v>15.874875000000003</v>
      </c>
      <c r="O95" s="282">
        <f>SUMIFS('Besi Balok'!$AA$23:$AA$7253,'Besi Balok'!$A$23:$A$7253,$A95,'Besi Balok'!$B$23:$B$7253,$B95,'Besi Balok'!$F$23:$F$7253,'REKAP Balok'!O$11)</f>
        <v>21.266956620000002</v>
      </c>
      <c r="P95" s="282">
        <f>SUMIFS('Besi Balok'!$AA$23:$AA$7253,'Besi Balok'!$A$23:$A$7253,$A95,'Besi Balok'!$B$23:$B$7253,$B95,'Besi Balok'!$F$23:$F$7253,'REKAP Balok'!P$11)</f>
        <v>0</v>
      </c>
      <c r="Q95" s="282">
        <f>SUMIFS('Besi Balok'!$AA$23:$AA$7253,'Besi Balok'!$A$23:$A$7253,$A95,'Besi Balok'!$B$23:$B$7253,$B95,'Besi Balok'!$F$23:$F$7253,'REKAP Balok'!Q$11)</f>
        <v>0</v>
      </c>
      <c r="R95" s="282">
        <f>SUMIFS('Besi Balok'!$AA$23:$AA$7253,'Besi Balok'!$A$23:$A$7253,$A95,'Besi Balok'!$B$23:$B$7253,$B95,'Besi Balok'!$F$23:$F$7253,'REKAP Balok'!R$11)</f>
        <v>0</v>
      </c>
      <c r="S95" s="282">
        <f>SUMIFS('Besi Balok'!$AA$23:$AA$7253,'Besi Balok'!$A$23:$A$7253,$A95,'Besi Balok'!$B$23:$B$7253,$B95,'Besi Balok'!$F$23:$F$7253,'REKAP Balok'!S$11)</f>
        <v>0</v>
      </c>
      <c r="T95" s="283">
        <f>SUMIFS('Besi Balok'!$AA$23:$AA$7253,'Besi Balok'!$A$23:$A$7253,$A95,'Besi Balok'!$B$23:$B$7253,$B95,'Besi Balok'!$F$23:$F$7253,'REKAP Balok'!T$11)</f>
        <v>0</v>
      </c>
      <c r="U95" s="284">
        <f t="shared" si="33"/>
        <v>37.141831620000005</v>
      </c>
      <c r="V95" s="285">
        <f t="shared" si="34"/>
        <v>0.1545</v>
      </c>
      <c r="W95" s="282">
        <f t="shared" si="35"/>
        <v>1.5449999999999999</v>
      </c>
      <c r="X95" s="282">
        <v>0</v>
      </c>
      <c r="Y95" s="282">
        <f t="shared" si="36"/>
        <v>6.1800000000000001E-2</v>
      </c>
      <c r="Z95" s="283">
        <f t="shared" si="37"/>
        <v>0.55619999999999992</v>
      </c>
      <c r="AC95" s="1784">
        <f t="shared" si="38"/>
        <v>0.49440000000000001</v>
      </c>
    </row>
    <row r="96" spans="1:29" hidden="1">
      <c r="A96" s="272" t="str">
        <f>'Data Panjang Balok'!A92</f>
        <v>Lantai 1</v>
      </c>
      <c r="B96" s="273">
        <f>'Data Panjang Balok'!B92</f>
        <v>81</v>
      </c>
      <c r="C96" s="274" t="str">
        <f>'Data Panjang Balok'!D92</f>
        <v>B25-1</v>
      </c>
      <c r="D96" s="275">
        <f>IF(C96&gt;0,VLOOKUP(C96,'Detail Balok'!$C$11:$AU$140,2,FALSE),0)</f>
        <v>200</v>
      </c>
      <c r="E96" s="276" t="s">
        <v>125</v>
      </c>
      <c r="F96" s="277">
        <f>IF(C96&gt;0,VLOOKUP(C96,'Detail Balok'!$C$11:$AU$140,3,FALSE),0)</f>
        <v>500</v>
      </c>
      <c r="G96" s="278">
        <f>'Data Panjang Balok'!I92</f>
        <v>6030</v>
      </c>
      <c r="H96" s="278">
        <f>'Data Panjang Balok'!J92</f>
        <v>150</v>
      </c>
      <c r="I96" s="279">
        <v>-3.5</v>
      </c>
      <c r="J96" s="279">
        <f t="shared" si="32"/>
        <v>-4</v>
      </c>
      <c r="K96" s="280">
        <f>'Data Panjang Balok'!E92</f>
        <v>1</v>
      </c>
      <c r="L96" s="281">
        <f>SUMIFS('Besi Balok'!$AA$23:$AA$7253,'Besi Balok'!$A$23:$A$7253,$A96,'Besi Balok'!$B$23:$B$7253,$B96,'Besi Balok'!$F$23:$F$7253,'REKAP Balok'!L$11)</f>
        <v>0</v>
      </c>
      <c r="M96" s="282">
        <f>SUMIFS('Besi Balok'!$AA$23:$AA$7253,'Besi Balok'!$A$23:$A$7253,$A96,'Besi Balok'!$B$23:$B$7253,$B96,'Besi Balok'!$F$23:$F$7253,'REKAP Balok'!M$11)</f>
        <v>0</v>
      </c>
      <c r="N96" s="282">
        <f>SUMIFS('Besi Balok'!$AA$23:$AA$7253,'Besi Balok'!$A$23:$A$7253,$A96,'Besi Balok'!$B$23:$B$7253,$B96,'Besi Balok'!$F$23:$F$7253,'REKAP Balok'!N$11)</f>
        <v>35.787825000000005</v>
      </c>
      <c r="O96" s="282">
        <f>SUMIFS('Besi Balok'!$AA$23:$AA$7253,'Besi Balok'!$A$23:$A$7253,$A96,'Besi Balok'!$B$23:$B$7253,$B96,'Besi Balok'!$F$23:$F$7253,'REKAP Balok'!O$11)</f>
        <v>0</v>
      </c>
      <c r="P96" s="282">
        <f>SUMIFS('Besi Balok'!$AA$23:$AA$7253,'Besi Balok'!$A$23:$A$7253,$A96,'Besi Balok'!$B$23:$B$7253,$B96,'Besi Balok'!$F$23:$F$7253,'REKAP Balok'!P$11)</f>
        <v>80.982650879999994</v>
      </c>
      <c r="Q96" s="282">
        <f>SUMIFS('Besi Balok'!$AA$23:$AA$7253,'Besi Balok'!$A$23:$A$7253,$A96,'Besi Balok'!$B$23:$B$7253,$B96,'Besi Balok'!$F$23:$F$7253,'REKAP Balok'!Q$11)</f>
        <v>0</v>
      </c>
      <c r="R96" s="282">
        <f>SUMIFS('Besi Balok'!$AA$23:$AA$7253,'Besi Balok'!$A$23:$A$7253,$A96,'Besi Balok'!$B$23:$B$7253,$B96,'Besi Balok'!$F$23:$F$7253,'REKAP Balok'!R$11)</f>
        <v>0</v>
      </c>
      <c r="S96" s="282">
        <f>SUMIFS('Besi Balok'!$AA$23:$AA$7253,'Besi Balok'!$A$23:$A$7253,$A96,'Besi Balok'!$B$23:$B$7253,$B96,'Besi Balok'!$F$23:$F$7253,'REKAP Balok'!S$11)</f>
        <v>0</v>
      </c>
      <c r="T96" s="283">
        <f>SUMIFS('Besi Balok'!$AA$23:$AA$7253,'Besi Balok'!$A$23:$A$7253,$A96,'Besi Balok'!$B$23:$B$7253,$B96,'Besi Balok'!$F$23:$F$7253,'REKAP Balok'!T$11)</f>
        <v>0</v>
      </c>
      <c r="U96" s="284">
        <f t="shared" si="33"/>
        <v>116.77047587999999</v>
      </c>
      <c r="V96" s="285">
        <f t="shared" si="34"/>
        <v>0.42209999999999998</v>
      </c>
      <c r="W96" s="282">
        <f t="shared" si="35"/>
        <v>4.2210000000000001</v>
      </c>
      <c r="X96" s="282">
        <v>0</v>
      </c>
      <c r="Y96" s="282">
        <f t="shared" si="36"/>
        <v>0.1206</v>
      </c>
      <c r="Z96" s="283">
        <f t="shared" si="37"/>
        <v>1.3266000000000002</v>
      </c>
      <c r="AC96" s="1784">
        <f t="shared" si="38"/>
        <v>1.206</v>
      </c>
    </row>
    <row r="97" spans="1:29" hidden="1">
      <c r="A97" s="272" t="str">
        <f>'Data Panjang Balok'!A93</f>
        <v>Lantai 1</v>
      </c>
      <c r="B97" s="273">
        <f>'Data Panjang Balok'!B93</f>
        <v>82</v>
      </c>
      <c r="C97" s="274" t="str">
        <f>'Data Panjang Balok'!D93</f>
        <v>B25-1</v>
      </c>
      <c r="D97" s="275">
        <f>IF(C97&gt;0,VLOOKUP(C97,'Detail Balok'!$C$11:$AU$140,2,FALSE),0)</f>
        <v>200</v>
      </c>
      <c r="E97" s="276" t="s">
        <v>125</v>
      </c>
      <c r="F97" s="277">
        <f>IF(C97&gt;0,VLOOKUP(C97,'Detail Balok'!$C$11:$AU$140,3,FALSE),0)</f>
        <v>500</v>
      </c>
      <c r="G97" s="278">
        <f>'Data Panjang Balok'!I93</f>
        <v>6035</v>
      </c>
      <c r="H97" s="278">
        <f>'Data Panjang Balok'!J93</f>
        <v>150</v>
      </c>
      <c r="I97" s="279">
        <v>-3.5</v>
      </c>
      <c r="J97" s="279">
        <f t="shared" si="32"/>
        <v>-4</v>
      </c>
      <c r="K97" s="280">
        <f>'Data Panjang Balok'!E93</f>
        <v>1</v>
      </c>
      <c r="L97" s="281">
        <f>SUMIFS('Besi Balok'!$AA$23:$AA$7253,'Besi Balok'!$A$23:$A$7253,$A97,'Besi Balok'!$B$23:$B$7253,$B97,'Besi Balok'!$F$23:$F$7253,'REKAP Balok'!L$11)</f>
        <v>0</v>
      </c>
      <c r="M97" s="282">
        <f>SUMIFS('Besi Balok'!$AA$23:$AA$7253,'Besi Balok'!$A$23:$A$7253,$A97,'Besi Balok'!$B$23:$B$7253,$B97,'Besi Balok'!$F$23:$F$7253,'REKAP Balok'!M$11)</f>
        <v>0</v>
      </c>
      <c r="N97" s="282">
        <f>SUMIFS('Besi Balok'!$AA$23:$AA$7253,'Besi Balok'!$A$23:$A$7253,$A97,'Besi Balok'!$B$23:$B$7253,$B97,'Besi Balok'!$F$23:$F$7253,'REKAP Balok'!N$11)</f>
        <v>35.793990000000001</v>
      </c>
      <c r="O97" s="282">
        <f>SUMIFS('Besi Balok'!$AA$23:$AA$7253,'Besi Balok'!$A$23:$A$7253,$A97,'Besi Balok'!$B$23:$B$7253,$B97,'Besi Balok'!$F$23:$F$7253,'REKAP Balok'!O$11)</f>
        <v>0</v>
      </c>
      <c r="P97" s="282">
        <f>SUMIFS('Besi Balok'!$AA$23:$AA$7253,'Besi Balok'!$A$23:$A$7253,$A97,'Besi Balok'!$B$23:$B$7253,$B97,'Besi Balok'!$F$23:$F$7253,'REKAP Balok'!P$11)</f>
        <v>81.045780480000005</v>
      </c>
      <c r="Q97" s="282">
        <f>SUMIFS('Besi Balok'!$AA$23:$AA$7253,'Besi Balok'!$A$23:$A$7253,$A97,'Besi Balok'!$B$23:$B$7253,$B97,'Besi Balok'!$F$23:$F$7253,'REKAP Balok'!Q$11)</f>
        <v>0</v>
      </c>
      <c r="R97" s="282">
        <f>SUMIFS('Besi Balok'!$AA$23:$AA$7253,'Besi Balok'!$A$23:$A$7253,$A97,'Besi Balok'!$B$23:$B$7253,$B97,'Besi Balok'!$F$23:$F$7253,'REKAP Balok'!R$11)</f>
        <v>0</v>
      </c>
      <c r="S97" s="282">
        <f>SUMIFS('Besi Balok'!$AA$23:$AA$7253,'Besi Balok'!$A$23:$A$7253,$A97,'Besi Balok'!$B$23:$B$7253,$B97,'Besi Balok'!$F$23:$F$7253,'REKAP Balok'!S$11)</f>
        <v>0</v>
      </c>
      <c r="T97" s="283">
        <f>SUMIFS('Besi Balok'!$AA$23:$AA$7253,'Besi Balok'!$A$23:$A$7253,$A97,'Besi Balok'!$B$23:$B$7253,$B97,'Besi Balok'!$F$23:$F$7253,'REKAP Balok'!T$11)</f>
        <v>0</v>
      </c>
      <c r="U97" s="284">
        <f t="shared" si="33"/>
        <v>116.83977048</v>
      </c>
      <c r="V97" s="285">
        <f t="shared" si="34"/>
        <v>0.42244999999999999</v>
      </c>
      <c r="W97" s="282">
        <f t="shared" si="35"/>
        <v>4.2244999999999999</v>
      </c>
      <c r="X97" s="282">
        <v>0</v>
      </c>
      <c r="Y97" s="282">
        <f t="shared" si="36"/>
        <v>0.1207</v>
      </c>
      <c r="Z97" s="283">
        <f t="shared" si="37"/>
        <v>1.3277000000000003</v>
      </c>
      <c r="AC97" s="1784">
        <f t="shared" si="38"/>
        <v>1.2070000000000001</v>
      </c>
    </row>
    <row r="98" spans="1:29" hidden="1">
      <c r="A98" s="272" t="str">
        <f>'Data Panjang Balok'!A94</f>
        <v>Lantai 1</v>
      </c>
      <c r="B98" s="273">
        <f>'Data Panjang Balok'!B94</f>
        <v>83</v>
      </c>
      <c r="C98" s="274" t="str">
        <f>'Data Panjang Balok'!D94</f>
        <v>B24-1</v>
      </c>
      <c r="D98" s="275">
        <f>IF(C98&gt;0,VLOOKUP(C98,'Detail Balok'!$C$11:$AU$140,2,FALSE),0)</f>
        <v>200</v>
      </c>
      <c r="E98" s="276" t="s">
        <v>125</v>
      </c>
      <c r="F98" s="277">
        <f>IF(C98&gt;0,VLOOKUP(C98,'Detail Balok'!$C$11:$AU$140,3,FALSE),0)</f>
        <v>400</v>
      </c>
      <c r="G98" s="278">
        <f>'Data Panjang Balok'!I94</f>
        <v>3090</v>
      </c>
      <c r="H98" s="278">
        <f>'Data Panjang Balok'!J94</f>
        <v>150</v>
      </c>
      <c r="I98" s="279">
        <v>-3.5</v>
      </c>
      <c r="J98" s="279">
        <f t="shared" si="32"/>
        <v>-3.9</v>
      </c>
      <c r="K98" s="280">
        <f>'Data Panjang Balok'!E94</f>
        <v>1</v>
      </c>
      <c r="L98" s="281">
        <f>SUMIFS('Besi Balok'!$AA$23:$AA$7253,'Besi Balok'!$A$23:$A$7253,$A98,'Besi Balok'!$B$23:$B$7253,$B98,'Besi Balok'!$F$23:$F$7253,'REKAP Balok'!L$11)</f>
        <v>0</v>
      </c>
      <c r="M98" s="282">
        <f>SUMIFS('Besi Balok'!$AA$23:$AA$7253,'Besi Balok'!$A$23:$A$7253,$A98,'Besi Balok'!$B$23:$B$7253,$B98,'Besi Balok'!$F$23:$F$7253,'REKAP Balok'!M$11)</f>
        <v>0</v>
      </c>
      <c r="N98" s="282">
        <f>SUMIFS('Besi Balok'!$AA$23:$AA$7253,'Besi Balok'!$A$23:$A$7253,$A98,'Besi Balok'!$B$23:$B$7253,$B98,'Besi Balok'!$F$23:$F$7253,'REKAP Balok'!N$11)</f>
        <v>15.874875000000003</v>
      </c>
      <c r="O98" s="282">
        <f>SUMIFS('Besi Balok'!$AA$23:$AA$7253,'Besi Balok'!$A$23:$A$7253,$A98,'Besi Balok'!$B$23:$B$7253,$B98,'Besi Balok'!$F$23:$F$7253,'REKAP Balok'!O$11)</f>
        <v>21.266956620000002</v>
      </c>
      <c r="P98" s="282">
        <f>SUMIFS('Besi Balok'!$AA$23:$AA$7253,'Besi Balok'!$A$23:$A$7253,$A98,'Besi Balok'!$B$23:$B$7253,$B98,'Besi Balok'!$F$23:$F$7253,'REKAP Balok'!P$11)</f>
        <v>0</v>
      </c>
      <c r="Q98" s="282">
        <f>SUMIFS('Besi Balok'!$AA$23:$AA$7253,'Besi Balok'!$A$23:$A$7253,$A98,'Besi Balok'!$B$23:$B$7253,$B98,'Besi Balok'!$F$23:$F$7253,'REKAP Balok'!Q$11)</f>
        <v>0</v>
      </c>
      <c r="R98" s="282">
        <f>SUMIFS('Besi Balok'!$AA$23:$AA$7253,'Besi Balok'!$A$23:$A$7253,$A98,'Besi Balok'!$B$23:$B$7253,$B98,'Besi Balok'!$F$23:$F$7253,'REKAP Balok'!R$11)</f>
        <v>0</v>
      </c>
      <c r="S98" s="282">
        <f>SUMIFS('Besi Balok'!$AA$23:$AA$7253,'Besi Balok'!$A$23:$A$7253,$A98,'Besi Balok'!$B$23:$B$7253,$B98,'Besi Balok'!$F$23:$F$7253,'REKAP Balok'!S$11)</f>
        <v>0</v>
      </c>
      <c r="T98" s="283">
        <f>SUMIFS('Besi Balok'!$AA$23:$AA$7253,'Besi Balok'!$A$23:$A$7253,$A98,'Besi Balok'!$B$23:$B$7253,$B98,'Besi Balok'!$F$23:$F$7253,'REKAP Balok'!T$11)</f>
        <v>0</v>
      </c>
      <c r="U98" s="284">
        <f t="shared" si="33"/>
        <v>37.141831620000005</v>
      </c>
      <c r="V98" s="285">
        <f t="shared" si="34"/>
        <v>0.1545</v>
      </c>
      <c r="W98" s="282">
        <f t="shared" si="35"/>
        <v>1.5449999999999999</v>
      </c>
      <c r="X98" s="282">
        <v>0</v>
      </c>
      <c r="Y98" s="282">
        <f t="shared" si="36"/>
        <v>6.1800000000000001E-2</v>
      </c>
      <c r="Z98" s="283">
        <f t="shared" si="37"/>
        <v>0.55619999999999992</v>
      </c>
      <c r="AC98" s="1784">
        <f t="shared" si="38"/>
        <v>0.49440000000000001</v>
      </c>
    </row>
    <row r="99" spans="1:29" hidden="1">
      <c r="A99" s="272" t="str">
        <f>'Data Panjang Balok'!A95</f>
        <v>Lantai 1</v>
      </c>
      <c r="B99" s="273">
        <f>'Data Panjang Balok'!B95</f>
        <v>84</v>
      </c>
      <c r="C99" s="274" t="str">
        <f>'Data Panjang Balok'!D95</f>
        <v>B25-1</v>
      </c>
      <c r="D99" s="275">
        <f>IF(C99&gt;0,VLOOKUP(C99,'Detail Balok'!$C$11:$AU$140,2,FALSE),0)</f>
        <v>200</v>
      </c>
      <c r="E99" s="276" t="s">
        <v>125</v>
      </c>
      <c r="F99" s="277">
        <f>IF(C99&gt;0,VLOOKUP(C99,'Detail Balok'!$C$11:$AU$140,3,FALSE),0)</f>
        <v>500</v>
      </c>
      <c r="G99" s="278">
        <f>'Data Panjang Balok'!I95</f>
        <v>6170</v>
      </c>
      <c r="H99" s="278">
        <f>'Data Panjang Balok'!J95</f>
        <v>150</v>
      </c>
      <c r="I99" s="279">
        <v>-3.5</v>
      </c>
      <c r="J99" s="279">
        <f t="shared" si="32"/>
        <v>-4</v>
      </c>
      <c r="K99" s="280">
        <f>'Data Panjang Balok'!E95</f>
        <v>1</v>
      </c>
      <c r="L99" s="281">
        <f>SUMIFS('Besi Balok'!$AA$23:$AA$7253,'Besi Balok'!$A$23:$A$7253,$A99,'Besi Balok'!$B$23:$B$7253,$B99,'Besi Balok'!$F$23:$F$7253,'REKAP Balok'!L$11)</f>
        <v>0</v>
      </c>
      <c r="M99" s="282">
        <f>SUMIFS('Besi Balok'!$AA$23:$AA$7253,'Besi Balok'!$A$23:$A$7253,$A99,'Besi Balok'!$B$23:$B$7253,$B99,'Besi Balok'!$F$23:$F$7253,'REKAP Balok'!M$11)</f>
        <v>0</v>
      </c>
      <c r="N99" s="282">
        <f>SUMIFS('Besi Balok'!$AA$23:$AA$7253,'Besi Balok'!$A$23:$A$7253,$A99,'Besi Balok'!$B$23:$B$7253,$B99,'Besi Balok'!$F$23:$F$7253,'REKAP Balok'!N$11)</f>
        <v>35.960445</v>
      </c>
      <c r="O99" s="282">
        <f>SUMIFS('Besi Balok'!$AA$23:$AA$7253,'Besi Balok'!$A$23:$A$7253,$A99,'Besi Balok'!$B$23:$B$7253,$B99,'Besi Balok'!$F$23:$F$7253,'REKAP Balok'!O$11)</f>
        <v>0</v>
      </c>
      <c r="P99" s="282">
        <f>SUMIFS('Besi Balok'!$AA$23:$AA$7253,'Besi Balok'!$A$23:$A$7253,$A99,'Besi Balok'!$B$23:$B$7253,$B99,'Besi Balok'!$F$23:$F$7253,'REKAP Balok'!P$11)</f>
        <v>82.750279679999991</v>
      </c>
      <c r="Q99" s="282">
        <f>SUMIFS('Besi Balok'!$AA$23:$AA$7253,'Besi Balok'!$A$23:$A$7253,$A99,'Besi Balok'!$B$23:$B$7253,$B99,'Besi Balok'!$F$23:$F$7253,'REKAP Balok'!Q$11)</f>
        <v>0</v>
      </c>
      <c r="R99" s="282">
        <f>SUMIFS('Besi Balok'!$AA$23:$AA$7253,'Besi Balok'!$A$23:$A$7253,$A99,'Besi Balok'!$B$23:$B$7253,$B99,'Besi Balok'!$F$23:$F$7253,'REKAP Balok'!R$11)</f>
        <v>0</v>
      </c>
      <c r="S99" s="282">
        <f>SUMIFS('Besi Balok'!$AA$23:$AA$7253,'Besi Balok'!$A$23:$A$7253,$A99,'Besi Balok'!$B$23:$B$7253,$B99,'Besi Balok'!$F$23:$F$7253,'REKAP Balok'!S$11)</f>
        <v>0</v>
      </c>
      <c r="T99" s="283">
        <f>SUMIFS('Besi Balok'!$AA$23:$AA$7253,'Besi Balok'!$A$23:$A$7253,$A99,'Besi Balok'!$B$23:$B$7253,$B99,'Besi Balok'!$F$23:$F$7253,'REKAP Balok'!T$11)</f>
        <v>0</v>
      </c>
      <c r="U99" s="284">
        <f t="shared" si="33"/>
        <v>118.71072468</v>
      </c>
      <c r="V99" s="285">
        <f t="shared" si="34"/>
        <v>0.43190000000000001</v>
      </c>
      <c r="W99" s="282">
        <f t="shared" si="35"/>
        <v>4.319</v>
      </c>
      <c r="X99" s="282">
        <v>0</v>
      </c>
      <c r="Y99" s="282">
        <f t="shared" si="36"/>
        <v>0.1234</v>
      </c>
      <c r="Z99" s="283">
        <f t="shared" si="37"/>
        <v>1.3574000000000002</v>
      </c>
      <c r="AC99" s="1784">
        <f t="shared" si="38"/>
        <v>1.234</v>
      </c>
    </row>
    <row r="100" spans="1:29" hidden="1">
      <c r="A100" s="272" t="str">
        <f>'Data Panjang Balok'!A96</f>
        <v>Lantai 1</v>
      </c>
      <c r="B100" s="273">
        <f>'Data Panjang Balok'!B96</f>
        <v>85</v>
      </c>
      <c r="C100" s="274" t="str">
        <f>'Data Panjang Balok'!D96</f>
        <v>B25-1</v>
      </c>
      <c r="D100" s="275">
        <f>IF(C100&gt;0,VLOOKUP(C100,'Detail Balok'!$C$11:$AU$140,2,FALSE),0)</f>
        <v>200</v>
      </c>
      <c r="E100" s="276" t="s">
        <v>125</v>
      </c>
      <c r="F100" s="277">
        <f>IF(C100&gt;0,VLOOKUP(C100,'Detail Balok'!$C$11:$AU$140,3,FALSE),0)</f>
        <v>500</v>
      </c>
      <c r="G100" s="278">
        <f>'Data Panjang Balok'!I96</f>
        <v>8435</v>
      </c>
      <c r="H100" s="278">
        <f>'Data Panjang Balok'!J96</f>
        <v>150</v>
      </c>
      <c r="I100" s="279">
        <v>-3.5</v>
      </c>
      <c r="J100" s="279">
        <f t="shared" si="32"/>
        <v>-4</v>
      </c>
      <c r="K100" s="280">
        <f>'Data Panjang Balok'!E96</f>
        <v>1</v>
      </c>
      <c r="L100" s="281">
        <f>SUMIFS('Besi Balok'!$AA$23:$AA$7253,'Besi Balok'!$A$23:$A$7253,$A100,'Besi Balok'!$B$23:$B$7253,$B100,'Besi Balok'!$F$23:$F$7253,'REKAP Balok'!L$11)</f>
        <v>0</v>
      </c>
      <c r="M100" s="282">
        <f>SUMIFS('Besi Balok'!$AA$23:$AA$7253,'Besi Balok'!$A$23:$A$7253,$A100,'Besi Balok'!$B$23:$B$7253,$B100,'Besi Balok'!$F$23:$F$7253,'REKAP Balok'!M$11)</f>
        <v>0</v>
      </c>
      <c r="N100" s="282">
        <f>SUMIFS('Besi Balok'!$AA$23:$AA$7253,'Besi Balok'!$A$23:$A$7253,$A100,'Besi Balok'!$B$23:$B$7253,$B100,'Besi Balok'!$F$23:$F$7253,'REKAP Balok'!N$11)</f>
        <v>49.369320000000002</v>
      </c>
      <c r="O100" s="282">
        <f>SUMIFS('Besi Balok'!$AA$23:$AA$7253,'Besi Balok'!$A$23:$A$7253,$A100,'Besi Balok'!$B$23:$B$7253,$B100,'Besi Balok'!$F$23:$F$7253,'REKAP Balok'!O$11)</f>
        <v>0</v>
      </c>
      <c r="P100" s="282">
        <f>SUMIFS('Besi Balok'!$AA$23:$AA$7253,'Besi Balok'!$A$23:$A$7253,$A100,'Besi Balok'!$B$23:$B$7253,$B100,'Besi Balok'!$F$23:$F$7253,'REKAP Balok'!P$11)</f>
        <v>111.34798848000001</v>
      </c>
      <c r="Q100" s="282">
        <f>SUMIFS('Besi Balok'!$AA$23:$AA$7253,'Besi Balok'!$A$23:$A$7253,$A100,'Besi Balok'!$B$23:$B$7253,$B100,'Besi Balok'!$F$23:$F$7253,'REKAP Balok'!Q$11)</f>
        <v>0</v>
      </c>
      <c r="R100" s="282">
        <f>SUMIFS('Besi Balok'!$AA$23:$AA$7253,'Besi Balok'!$A$23:$A$7253,$A100,'Besi Balok'!$B$23:$B$7253,$B100,'Besi Balok'!$F$23:$F$7253,'REKAP Balok'!R$11)</f>
        <v>0</v>
      </c>
      <c r="S100" s="282">
        <f>SUMIFS('Besi Balok'!$AA$23:$AA$7253,'Besi Balok'!$A$23:$A$7253,$A100,'Besi Balok'!$B$23:$B$7253,$B100,'Besi Balok'!$F$23:$F$7253,'REKAP Balok'!S$11)</f>
        <v>0</v>
      </c>
      <c r="T100" s="283">
        <f>SUMIFS('Besi Balok'!$AA$23:$AA$7253,'Besi Balok'!$A$23:$A$7253,$A100,'Besi Balok'!$B$23:$B$7253,$B100,'Besi Balok'!$F$23:$F$7253,'REKAP Balok'!T$11)</f>
        <v>0</v>
      </c>
      <c r="U100" s="284">
        <f t="shared" si="33"/>
        <v>160.71730848000001</v>
      </c>
      <c r="V100" s="285">
        <f t="shared" si="34"/>
        <v>0.59045000000000003</v>
      </c>
      <c r="W100" s="282">
        <f t="shared" si="35"/>
        <v>5.9044999999999996</v>
      </c>
      <c r="X100" s="282">
        <v>0</v>
      </c>
      <c r="Y100" s="282">
        <f t="shared" si="36"/>
        <v>0.16869999999999999</v>
      </c>
      <c r="Z100" s="283">
        <f t="shared" si="37"/>
        <v>1.8557000000000001</v>
      </c>
      <c r="AC100" s="1784">
        <f t="shared" si="38"/>
        <v>1.6870000000000001</v>
      </c>
    </row>
    <row r="101" spans="1:29" hidden="1">
      <c r="A101" s="272"/>
      <c r="B101" s="273"/>
      <c r="C101" s="274"/>
      <c r="D101" s="275"/>
      <c r="E101" s="276"/>
      <c r="F101" s="277"/>
      <c r="G101" s="278"/>
      <c r="H101" s="278"/>
      <c r="I101" s="279"/>
      <c r="J101" s="279"/>
      <c r="K101" s="280"/>
      <c r="L101" s="281"/>
      <c r="M101" s="282"/>
      <c r="N101" s="282"/>
      <c r="O101" s="282"/>
      <c r="P101" s="282"/>
      <c r="Q101" s="282"/>
      <c r="R101" s="282"/>
      <c r="S101" s="282"/>
      <c r="T101" s="283"/>
      <c r="U101" s="284"/>
      <c r="V101" s="285"/>
      <c r="W101" s="282"/>
      <c r="X101" s="282"/>
      <c r="Y101" s="282"/>
      <c r="Z101" s="283"/>
      <c r="AC101" s="1784"/>
    </row>
    <row r="102" spans="1:29" hidden="1">
      <c r="A102" s="272" t="str">
        <f>'Data Panjang Balok'!A98</f>
        <v>Lantai 2</v>
      </c>
      <c r="B102" s="273">
        <f>'Data Panjang Balok'!B98</f>
        <v>1</v>
      </c>
      <c r="C102" s="274" t="str">
        <f>'Data Panjang Balok'!D98</f>
        <v>B26-1</v>
      </c>
      <c r="D102" s="275">
        <f>IF(C102&gt;0,VLOOKUP(C102,'Detail Balok'!$C$11:$AU$140,2,FALSE),0)</f>
        <v>200</v>
      </c>
      <c r="E102" s="276" t="s">
        <v>125</v>
      </c>
      <c r="F102" s="277">
        <f>IF(C102&gt;0,VLOOKUP(C102,'Detail Balok'!$C$11:$AU$140,3,FALSE),0)</f>
        <v>600</v>
      </c>
      <c r="G102" s="278">
        <f>'Data Panjang Balok'!I98</f>
        <v>4825</v>
      </c>
      <c r="H102" s="278">
        <f>'Data Panjang Balok'!J98</f>
        <v>150</v>
      </c>
      <c r="I102" s="279">
        <v>0</v>
      </c>
      <c r="J102" s="279">
        <f t="shared" ref="J102:J118" si="39">I102-F102/1000</f>
        <v>-0.6</v>
      </c>
      <c r="K102" s="280">
        <f>'Data Panjang Balok'!E98</f>
        <v>1</v>
      </c>
      <c r="L102" s="281">
        <f>SUMIFS('Besi Balok'!$AA$23:$AA$7253,'Besi Balok'!$A$23:$A$7253,$A102,'Besi Balok'!$B$23:$B$7253,$B102,'Besi Balok'!$F$23:$F$7253,'REKAP Balok'!L$11)</f>
        <v>0</v>
      </c>
      <c r="M102" s="282">
        <f>SUMIFS('Besi Balok'!$AA$23:$AA$7253,'Besi Balok'!$A$23:$A$7253,$A102,'Besi Balok'!$B$23:$B$7253,$B102,'Besi Balok'!$F$23:$F$7253,'REKAP Balok'!M$11)</f>
        <v>0</v>
      </c>
      <c r="N102" s="282">
        <f>SUMIFS('Besi Balok'!$AA$23:$AA$7253,'Besi Balok'!$A$23:$A$7253,$A102,'Besi Balok'!$B$23:$B$7253,$B102,'Besi Balok'!$F$23:$F$7253,'REKAP Balok'!N$11)</f>
        <v>43.272134999999999</v>
      </c>
      <c r="O102" s="282">
        <f>SUMIFS('Besi Balok'!$AA$23:$AA$7253,'Besi Balok'!$A$23:$A$7253,$A102,'Besi Balok'!$B$23:$B$7253,$B102,'Besi Balok'!$F$23:$F$7253,'REKAP Balok'!O$11)</f>
        <v>0</v>
      </c>
      <c r="P102" s="282">
        <f>SUMIFS('Besi Balok'!$AA$23:$AA$7253,'Besi Balok'!$A$23:$A$7253,$A102,'Besi Balok'!$B$23:$B$7253,$B102,'Besi Balok'!$F$23:$F$7253,'REKAP Balok'!P$11)</f>
        <v>59.827921920000001</v>
      </c>
      <c r="Q102" s="282">
        <f>SUMIFS('Besi Balok'!$AA$23:$AA$7253,'Besi Balok'!$A$23:$A$7253,$A102,'Besi Balok'!$B$23:$B$7253,$B102,'Besi Balok'!$F$23:$F$7253,'REKAP Balok'!Q$11)</f>
        <v>0</v>
      </c>
      <c r="R102" s="282">
        <f>SUMIFS('Besi Balok'!$AA$23:$AA$7253,'Besi Balok'!$A$23:$A$7253,$A102,'Besi Balok'!$B$23:$B$7253,$B102,'Besi Balok'!$F$23:$F$7253,'REKAP Balok'!R$11)</f>
        <v>0</v>
      </c>
      <c r="S102" s="282">
        <f>SUMIFS('Besi Balok'!$AA$23:$AA$7253,'Besi Balok'!$A$23:$A$7253,$A102,'Besi Balok'!$B$23:$B$7253,$B102,'Besi Balok'!$F$23:$F$7253,'REKAP Balok'!S$11)</f>
        <v>0</v>
      </c>
      <c r="T102" s="283">
        <f>SUMIFS('Besi Balok'!$AA$23:$AA$7253,'Besi Balok'!$A$23:$A$7253,$A102,'Besi Balok'!$B$23:$B$7253,$B102,'Besi Balok'!$F$23:$F$7253,'REKAP Balok'!T$11)</f>
        <v>0</v>
      </c>
      <c r="U102" s="284">
        <f t="shared" ref="U102:U118" si="40">SUM(L102:T102)</f>
        <v>103.10005692</v>
      </c>
      <c r="V102" s="285">
        <f t="shared" ref="V102:V118" si="41">(D102*(F102-H102)*G102*K102)/1000000000</f>
        <v>0.43425000000000002</v>
      </c>
      <c r="W102" s="282">
        <f t="shared" ref="W102:W118" si="42">(((F102-H102)*2+IF(H102&gt;0,0,D102))*(G102)*K102)/1000000</f>
        <v>4.3425000000000002</v>
      </c>
      <c r="X102" s="282"/>
      <c r="Y102" s="282"/>
      <c r="Z102" s="283"/>
      <c r="AC102" s="1784">
        <f t="shared" ref="AC102:AC118" si="43">(D102+2*$F$5)*F102*G102/1000000000</f>
        <v>1.1579999999999999</v>
      </c>
    </row>
    <row r="103" spans="1:29" hidden="1">
      <c r="A103" s="272" t="str">
        <f>'Data Panjang Balok'!A99</f>
        <v>Lantai 2</v>
      </c>
      <c r="B103" s="273">
        <f>'Data Panjang Balok'!B99</f>
        <v>2</v>
      </c>
      <c r="C103" s="274" t="str">
        <f>'Data Panjang Balok'!D99</f>
        <v>B26-1</v>
      </c>
      <c r="D103" s="275">
        <f>IF(C103&gt;0,VLOOKUP(C103,'Detail Balok'!$C$11:$AU$140,2,FALSE),0)</f>
        <v>200</v>
      </c>
      <c r="E103" s="276" t="s">
        <v>125</v>
      </c>
      <c r="F103" s="277">
        <f>IF(C103&gt;0,VLOOKUP(C103,'Detail Balok'!$C$11:$AU$140,3,FALSE),0)</f>
        <v>600</v>
      </c>
      <c r="G103" s="278">
        <f>'Data Panjang Balok'!I99</f>
        <v>4175</v>
      </c>
      <c r="H103" s="278">
        <f>'Data Panjang Balok'!J99</f>
        <v>150</v>
      </c>
      <c r="I103" s="279">
        <v>0</v>
      </c>
      <c r="J103" s="279">
        <f t="shared" si="39"/>
        <v>-0.6</v>
      </c>
      <c r="K103" s="280">
        <f>'Data Panjang Balok'!E99</f>
        <v>1</v>
      </c>
      <c r="L103" s="281">
        <f>SUMIFS('Besi Balok'!$AA$23:$AA$7253,'Besi Balok'!$A$23:$A$7253,$A103,'Besi Balok'!$B$23:$B$7253,$B103,'Besi Balok'!$F$23:$F$7253,'REKAP Balok'!L$11)</f>
        <v>0</v>
      </c>
      <c r="M103" s="282">
        <f>SUMIFS('Besi Balok'!$AA$23:$AA$7253,'Besi Balok'!$A$23:$A$7253,$A103,'Besi Balok'!$B$23:$B$7253,$B103,'Besi Balok'!$F$23:$F$7253,'REKAP Balok'!M$11)</f>
        <v>0</v>
      </c>
      <c r="N103" s="282">
        <f>SUMIFS('Besi Balok'!$AA$23:$AA$7253,'Besi Balok'!$A$23:$A$7253,$A103,'Besi Balok'!$B$23:$B$7253,$B103,'Besi Balok'!$F$23:$F$7253,'REKAP Balok'!N$11)</f>
        <v>38.944305</v>
      </c>
      <c r="O103" s="282">
        <f>SUMIFS('Besi Balok'!$AA$23:$AA$7253,'Besi Balok'!$A$23:$A$7253,$A103,'Besi Balok'!$B$23:$B$7253,$B103,'Besi Balok'!$F$23:$F$7253,'REKAP Balok'!O$11)</f>
        <v>0</v>
      </c>
      <c r="P103" s="282">
        <f>SUMIFS('Besi Balok'!$AA$23:$AA$7253,'Besi Balok'!$A$23:$A$7253,$A103,'Besi Balok'!$B$23:$B$7253,$B103,'Besi Balok'!$F$23:$F$7253,'REKAP Balok'!P$11)</f>
        <v>52.441758719999996</v>
      </c>
      <c r="Q103" s="282">
        <f>SUMIFS('Besi Balok'!$AA$23:$AA$7253,'Besi Balok'!$A$23:$A$7253,$A103,'Besi Balok'!$B$23:$B$7253,$B103,'Besi Balok'!$F$23:$F$7253,'REKAP Balok'!Q$11)</f>
        <v>0</v>
      </c>
      <c r="R103" s="282">
        <f>SUMIFS('Besi Balok'!$AA$23:$AA$7253,'Besi Balok'!$A$23:$A$7253,$A103,'Besi Balok'!$B$23:$B$7253,$B103,'Besi Balok'!$F$23:$F$7253,'REKAP Balok'!R$11)</f>
        <v>0</v>
      </c>
      <c r="S103" s="282">
        <f>SUMIFS('Besi Balok'!$AA$23:$AA$7253,'Besi Balok'!$A$23:$A$7253,$A103,'Besi Balok'!$B$23:$B$7253,$B103,'Besi Balok'!$F$23:$F$7253,'REKAP Balok'!S$11)</f>
        <v>0</v>
      </c>
      <c r="T103" s="283">
        <f>SUMIFS('Besi Balok'!$AA$23:$AA$7253,'Besi Balok'!$A$23:$A$7253,$A103,'Besi Balok'!$B$23:$B$7253,$B103,'Besi Balok'!$F$23:$F$7253,'REKAP Balok'!T$11)</f>
        <v>0</v>
      </c>
      <c r="U103" s="284">
        <f t="shared" si="40"/>
        <v>91.386063719999996</v>
      </c>
      <c r="V103" s="285">
        <f t="shared" si="41"/>
        <v>0.37574999999999997</v>
      </c>
      <c r="W103" s="282">
        <f t="shared" si="42"/>
        <v>3.7574999999999998</v>
      </c>
      <c r="X103" s="282"/>
      <c r="Y103" s="282"/>
      <c r="Z103" s="283"/>
      <c r="AC103" s="1784">
        <f t="shared" si="43"/>
        <v>1.002</v>
      </c>
    </row>
    <row r="104" spans="1:29" hidden="1">
      <c r="A104" s="272" t="str">
        <f>'Data Panjang Balok'!A100</f>
        <v>Lantai 2</v>
      </c>
      <c r="B104" s="273">
        <f>'Data Panjang Balok'!B100</f>
        <v>3</v>
      </c>
      <c r="C104" s="274" t="str">
        <f>'Data Panjang Balok'!D100</f>
        <v>B4-1</v>
      </c>
      <c r="D104" s="275">
        <f>IF(C104&gt;0,VLOOKUP(C104,'Detail Balok'!$C$11:$AU$140,2,FALSE),0)</f>
        <v>130</v>
      </c>
      <c r="E104" s="276" t="s">
        <v>125</v>
      </c>
      <c r="F104" s="277">
        <f>IF(C104&gt;0,VLOOKUP(C104,'Detail Balok'!$C$11:$AU$140,3,FALSE),0)</f>
        <v>400</v>
      </c>
      <c r="G104" s="278">
        <f>'Data Panjang Balok'!I100</f>
        <v>11000</v>
      </c>
      <c r="H104" s="278">
        <f>'Data Panjang Balok'!J100</f>
        <v>0</v>
      </c>
      <c r="I104" s="279">
        <v>0</v>
      </c>
      <c r="J104" s="279">
        <f t="shared" si="39"/>
        <v>-0.4</v>
      </c>
      <c r="K104" s="280">
        <f>'Data Panjang Balok'!E100</f>
        <v>1</v>
      </c>
      <c r="L104" s="281">
        <f>SUMIFS('Besi Balok'!$AA$23:$AA$7253,'Besi Balok'!$A$23:$A$7253,$A104,'Besi Balok'!$B$23:$B$7253,$B104,'Besi Balok'!$F$23:$F$7253,'REKAP Balok'!L$11)</f>
        <v>0</v>
      </c>
      <c r="M104" s="282">
        <f>SUMIFS('Besi Balok'!$AA$23:$AA$7253,'Besi Balok'!$A$23:$A$7253,$A104,'Besi Balok'!$B$23:$B$7253,$B104,'Besi Balok'!$F$23:$F$7253,'REKAP Balok'!M$11)</f>
        <v>23.176454400000004</v>
      </c>
      <c r="N104" s="282">
        <f>SUMIFS('Besi Balok'!$AA$23:$AA$7253,'Besi Balok'!$A$23:$A$7253,$A104,'Besi Balok'!$B$23:$B$7253,$B104,'Besi Balok'!$F$23:$F$7253,'REKAP Balok'!N$11)</f>
        <v>0</v>
      </c>
      <c r="O104" s="282">
        <f>SUMIFS('Besi Balok'!$AA$23:$AA$7253,'Besi Balok'!$A$23:$A$7253,$A104,'Besi Balok'!$B$23:$B$7253,$B104,'Besi Balok'!$F$23:$F$7253,'REKAP Balok'!O$11)</f>
        <v>47.143212480000003</v>
      </c>
      <c r="P104" s="282">
        <f>SUMIFS('Besi Balok'!$AA$23:$AA$7253,'Besi Balok'!$A$23:$A$7253,$A104,'Besi Balok'!$B$23:$B$7253,$B104,'Besi Balok'!$F$23:$F$7253,'REKAP Balok'!P$11)</f>
        <v>0</v>
      </c>
      <c r="Q104" s="282">
        <f>SUMIFS('Besi Balok'!$AA$23:$AA$7253,'Besi Balok'!$A$23:$A$7253,$A104,'Besi Balok'!$B$23:$B$7253,$B104,'Besi Balok'!$F$23:$F$7253,'REKAP Balok'!Q$11)</f>
        <v>0</v>
      </c>
      <c r="R104" s="282">
        <f>SUMIFS('Besi Balok'!$AA$23:$AA$7253,'Besi Balok'!$A$23:$A$7253,$A104,'Besi Balok'!$B$23:$B$7253,$B104,'Besi Balok'!$F$23:$F$7253,'REKAP Balok'!R$11)</f>
        <v>0</v>
      </c>
      <c r="S104" s="282">
        <f>SUMIFS('Besi Balok'!$AA$23:$AA$7253,'Besi Balok'!$A$23:$A$7253,$A104,'Besi Balok'!$B$23:$B$7253,$B104,'Besi Balok'!$F$23:$F$7253,'REKAP Balok'!S$11)</f>
        <v>0</v>
      </c>
      <c r="T104" s="283">
        <f>SUMIFS('Besi Balok'!$AA$23:$AA$7253,'Besi Balok'!$A$23:$A$7253,$A104,'Besi Balok'!$B$23:$B$7253,$B104,'Besi Balok'!$F$23:$F$7253,'REKAP Balok'!T$11)</f>
        <v>0</v>
      </c>
      <c r="U104" s="284">
        <f t="shared" si="40"/>
        <v>70.31966688</v>
      </c>
      <c r="V104" s="285">
        <f t="shared" si="41"/>
        <v>0.57199999999999995</v>
      </c>
      <c r="W104" s="282">
        <f t="shared" si="42"/>
        <v>10.23</v>
      </c>
      <c r="X104" s="282"/>
      <c r="Y104" s="282"/>
      <c r="Z104" s="283"/>
      <c r="AC104" s="1784">
        <f t="shared" si="43"/>
        <v>1.452</v>
      </c>
    </row>
    <row r="105" spans="1:29" hidden="1">
      <c r="A105" s="272" t="str">
        <f>'Data Panjang Balok'!A101</f>
        <v>Lantai 2</v>
      </c>
      <c r="B105" s="273">
        <f>'Data Panjang Balok'!B101</f>
        <v>4</v>
      </c>
      <c r="C105" s="274" t="str">
        <f>'Data Panjang Balok'!D101</f>
        <v>B25-1</v>
      </c>
      <c r="D105" s="275">
        <f>IF(C105&gt;0,VLOOKUP(C105,'Detail Balok'!$C$11:$AU$140,2,FALSE),0)</f>
        <v>200</v>
      </c>
      <c r="E105" s="276" t="s">
        <v>125</v>
      </c>
      <c r="F105" s="277">
        <f>IF(C105&gt;0,VLOOKUP(C105,'Detail Balok'!$C$11:$AU$140,3,FALSE),0)</f>
        <v>500</v>
      </c>
      <c r="G105" s="278">
        <f>'Data Panjang Balok'!I101</f>
        <v>9075</v>
      </c>
      <c r="H105" s="278">
        <f>'Data Panjang Balok'!J101</f>
        <v>150</v>
      </c>
      <c r="I105" s="279">
        <v>0</v>
      </c>
      <c r="J105" s="279">
        <f t="shared" si="39"/>
        <v>-0.5</v>
      </c>
      <c r="K105" s="280">
        <f>'Data Panjang Balok'!E101</f>
        <v>1</v>
      </c>
      <c r="L105" s="281">
        <f>SUMIFS('Besi Balok'!$AA$23:$AA$7253,'Besi Balok'!$A$23:$A$7253,$A105,'Besi Balok'!$B$23:$B$7253,$B105,'Besi Balok'!$F$23:$F$7253,'REKAP Balok'!L$11)</f>
        <v>0</v>
      </c>
      <c r="M105" s="282">
        <f>SUMIFS('Besi Balok'!$AA$23:$AA$7253,'Besi Balok'!$A$23:$A$7253,$A105,'Besi Balok'!$B$23:$B$7253,$B105,'Besi Balok'!$F$23:$F$7253,'REKAP Balok'!M$11)</f>
        <v>0</v>
      </c>
      <c r="N105" s="282">
        <f>SUMIFS('Besi Balok'!$AA$23:$AA$7253,'Besi Balok'!$A$23:$A$7253,$A105,'Besi Balok'!$B$23:$B$7253,$B105,'Besi Balok'!$F$23:$F$7253,'REKAP Balok'!N$11)</f>
        <v>53.191620000000007</v>
      </c>
      <c r="O105" s="282">
        <f>SUMIFS('Besi Balok'!$AA$23:$AA$7253,'Besi Balok'!$A$23:$A$7253,$A105,'Besi Balok'!$B$23:$B$7253,$B105,'Besi Balok'!$F$23:$F$7253,'REKAP Balok'!O$11)</f>
        <v>0</v>
      </c>
      <c r="P105" s="282">
        <f>SUMIFS('Besi Balok'!$AA$23:$AA$7253,'Besi Balok'!$A$23:$A$7253,$A105,'Besi Balok'!$B$23:$B$7253,$B105,'Besi Balok'!$F$23:$F$7253,'REKAP Balok'!P$11)</f>
        <v>119.42857728</v>
      </c>
      <c r="Q105" s="282">
        <f>SUMIFS('Besi Balok'!$AA$23:$AA$7253,'Besi Balok'!$A$23:$A$7253,$A105,'Besi Balok'!$B$23:$B$7253,$B105,'Besi Balok'!$F$23:$F$7253,'REKAP Balok'!Q$11)</f>
        <v>0</v>
      </c>
      <c r="R105" s="282">
        <f>SUMIFS('Besi Balok'!$AA$23:$AA$7253,'Besi Balok'!$A$23:$A$7253,$A105,'Besi Balok'!$B$23:$B$7253,$B105,'Besi Balok'!$F$23:$F$7253,'REKAP Balok'!R$11)</f>
        <v>0</v>
      </c>
      <c r="S105" s="282">
        <f>SUMIFS('Besi Balok'!$AA$23:$AA$7253,'Besi Balok'!$A$23:$A$7253,$A105,'Besi Balok'!$B$23:$B$7253,$B105,'Besi Balok'!$F$23:$F$7253,'REKAP Balok'!S$11)</f>
        <v>0</v>
      </c>
      <c r="T105" s="283">
        <f>SUMIFS('Besi Balok'!$AA$23:$AA$7253,'Besi Balok'!$A$23:$A$7253,$A105,'Besi Balok'!$B$23:$B$7253,$B105,'Besi Balok'!$F$23:$F$7253,'REKAP Balok'!T$11)</f>
        <v>0</v>
      </c>
      <c r="U105" s="284">
        <f t="shared" si="40"/>
        <v>172.62019728000001</v>
      </c>
      <c r="V105" s="285">
        <f t="shared" si="41"/>
        <v>0.63524999999999998</v>
      </c>
      <c r="W105" s="282">
        <f t="shared" si="42"/>
        <v>6.3525</v>
      </c>
      <c r="X105" s="282"/>
      <c r="Y105" s="282"/>
      <c r="Z105" s="283"/>
      <c r="AC105" s="1784">
        <f t="shared" si="43"/>
        <v>1.8149999999999999</v>
      </c>
    </row>
    <row r="106" spans="1:29" hidden="1">
      <c r="A106" s="272" t="str">
        <f>'Data Panjang Balok'!A102</f>
        <v>Lantai 2</v>
      </c>
      <c r="B106" s="273">
        <f>'Data Panjang Balok'!B102</f>
        <v>5</v>
      </c>
      <c r="C106" s="274" t="str">
        <f>'Data Panjang Balok'!D102</f>
        <v>CL24-1</v>
      </c>
      <c r="D106" s="275">
        <f>IF(C106&gt;0,VLOOKUP(C106,'Detail Balok'!$C$11:$AU$140,2,FALSE),0)</f>
        <v>200</v>
      </c>
      <c r="E106" s="276" t="s">
        <v>125</v>
      </c>
      <c r="F106" s="277">
        <f>IF(C106&gt;0,VLOOKUP(C106,'Detail Balok'!$C$11:$AU$140,3,FALSE),0)</f>
        <v>400</v>
      </c>
      <c r="G106" s="278">
        <f>'Data Panjang Balok'!I102</f>
        <v>2475</v>
      </c>
      <c r="H106" s="278">
        <f>'Data Panjang Balok'!J102</f>
        <v>150</v>
      </c>
      <c r="I106" s="279">
        <v>0</v>
      </c>
      <c r="J106" s="279">
        <f t="shared" si="39"/>
        <v>-0.4</v>
      </c>
      <c r="K106" s="280">
        <f>'Data Panjang Balok'!E102</f>
        <v>1</v>
      </c>
      <c r="L106" s="281">
        <f>SUMIFS('Besi Balok'!$AA$23:$AA$7253,'Besi Balok'!$A$23:$A$7253,$A106,'Besi Balok'!$B$23:$B$7253,$B106,'Besi Balok'!$F$23:$F$7253,'REKAP Balok'!L$11)</f>
        <v>0</v>
      </c>
      <c r="M106" s="282">
        <f>SUMIFS('Besi Balok'!$AA$23:$AA$7253,'Besi Balok'!$A$23:$A$7253,$A106,'Besi Balok'!$B$23:$B$7253,$B106,'Besi Balok'!$F$23:$F$7253,'REKAP Balok'!M$11)</f>
        <v>0</v>
      </c>
      <c r="N106" s="282">
        <f>SUMIFS('Besi Balok'!$AA$23:$AA$7253,'Besi Balok'!$A$23:$A$7253,$A106,'Besi Balok'!$B$23:$B$7253,$B106,'Besi Balok'!$F$23:$F$7253,'REKAP Balok'!N$11)</f>
        <v>17.144865000000003</v>
      </c>
      <c r="O106" s="282">
        <f>SUMIFS('Besi Balok'!$AA$23:$AA$7253,'Besi Balok'!$A$23:$A$7253,$A106,'Besi Balok'!$B$23:$B$7253,$B106,'Besi Balok'!$F$23:$F$7253,'REKAP Balok'!O$11)</f>
        <v>0</v>
      </c>
      <c r="P106" s="282">
        <f>SUMIFS('Besi Balok'!$AA$23:$AA$7253,'Besi Balok'!$A$23:$A$7253,$A106,'Besi Balok'!$B$23:$B$7253,$B106,'Besi Balok'!$F$23:$F$7253,'REKAP Balok'!P$11)</f>
        <v>27.073128960000005</v>
      </c>
      <c r="Q106" s="282">
        <f>SUMIFS('Besi Balok'!$AA$23:$AA$7253,'Besi Balok'!$A$23:$A$7253,$A106,'Besi Balok'!$B$23:$B$7253,$B106,'Besi Balok'!$F$23:$F$7253,'REKAP Balok'!Q$11)</f>
        <v>0</v>
      </c>
      <c r="R106" s="282">
        <f>SUMIFS('Besi Balok'!$AA$23:$AA$7253,'Besi Balok'!$A$23:$A$7253,$A106,'Besi Balok'!$B$23:$B$7253,$B106,'Besi Balok'!$F$23:$F$7253,'REKAP Balok'!R$11)</f>
        <v>0</v>
      </c>
      <c r="S106" s="282">
        <f>SUMIFS('Besi Balok'!$AA$23:$AA$7253,'Besi Balok'!$A$23:$A$7253,$A106,'Besi Balok'!$B$23:$B$7253,$B106,'Besi Balok'!$F$23:$F$7253,'REKAP Balok'!S$11)</f>
        <v>0</v>
      </c>
      <c r="T106" s="283">
        <f>SUMIFS('Besi Balok'!$AA$23:$AA$7253,'Besi Balok'!$A$23:$A$7253,$A106,'Besi Balok'!$B$23:$B$7253,$B106,'Besi Balok'!$F$23:$F$7253,'REKAP Balok'!T$11)</f>
        <v>0</v>
      </c>
      <c r="U106" s="284">
        <f t="shared" si="40"/>
        <v>44.217993960000008</v>
      </c>
      <c r="V106" s="285">
        <f t="shared" si="41"/>
        <v>0.12375</v>
      </c>
      <c r="W106" s="282">
        <f t="shared" si="42"/>
        <v>1.2375</v>
      </c>
      <c r="X106" s="282"/>
      <c r="Y106" s="282"/>
      <c r="Z106" s="283"/>
      <c r="AC106" s="1784">
        <f t="shared" si="43"/>
        <v>0.39600000000000002</v>
      </c>
    </row>
    <row r="107" spans="1:29" hidden="1">
      <c r="A107" s="272" t="str">
        <f>'Data Panjang Balok'!A103</f>
        <v>Lantai 2</v>
      </c>
      <c r="B107" s="273">
        <f>'Data Panjang Balok'!B103</f>
        <v>6</v>
      </c>
      <c r="C107" s="274" t="str">
        <f>'Data Panjang Balok'!D103</f>
        <v>B36-1</v>
      </c>
      <c r="D107" s="275">
        <f>IF(C107&gt;0,VLOOKUP(C107,'Detail Balok'!$C$11:$AU$140,2,FALSE),0)</f>
        <v>300</v>
      </c>
      <c r="E107" s="276" t="s">
        <v>125</v>
      </c>
      <c r="F107" s="277">
        <f>IF(C107&gt;0,VLOOKUP(C107,'Detail Balok'!$C$11:$AU$140,3,FALSE),0)</f>
        <v>600</v>
      </c>
      <c r="G107" s="278">
        <f>'Data Panjang Balok'!I103</f>
        <v>9000</v>
      </c>
      <c r="H107" s="278">
        <f>'Data Panjang Balok'!J103</f>
        <v>150</v>
      </c>
      <c r="I107" s="279">
        <v>0</v>
      </c>
      <c r="J107" s="279">
        <f t="shared" si="39"/>
        <v>-0.6</v>
      </c>
      <c r="K107" s="280">
        <f>'Data Panjang Balok'!E103</f>
        <v>1</v>
      </c>
      <c r="L107" s="281">
        <f>SUMIFS('Besi Balok'!$AA$23:$AA$7253,'Besi Balok'!$A$23:$A$7253,$A107,'Besi Balok'!$B$23:$B$7253,$B107,'Besi Balok'!$F$23:$F$7253,'REKAP Balok'!L$11)</f>
        <v>0</v>
      </c>
      <c r="M107" s="282">
        <f>SUMIFS('Besi Balok'!$AA$23:$AA$7253,'Besi Balok'!$A$23:$A$7253,$A107,'Besi Balok'!$B$23:$B$7253,$B107,'Besi Balok'!$F$23:$F$7253,'REKAP Balok'!M$11)</f>
        <v>0</v>
      </c>
      <c r="N107" s="282">
        <f>SUMIFS('Besi Balok'!$AA$23:$AA$7253,'Besi Balok'!$A$23:$A$7253,$A107,'Besi Balok'!$B$23:$B$7253,$B107,'Besi Balok'!$F$23:$F$7253,'REKAP Balok'!N$11)</f>
        <v>89.774730000000005</v>
      </c>
      <c r="O107" s="282">
        <f>SUMIFS('Besi Balok'!$AA$23:$AA$7253,'Besi Balok'!$A$23:$A$7253,$A107,'Besi Balok'!$B$23:$B$7253,$B107,'Besi Balok'!$F$23:$F$7253,'REKAP Balok'!O$11)</f>
        <v>0</v>
      </c>
      <c r="P107" s="282">
        <f>SUMIFS('Besi Balok'!$AA$23:$AA$7253,'Besi Balok'!$A$23:$A$7253,$A107,'Besi Balok'!$B$23:$B$7253,$B107,'Besi Balok'!$F$23:$F$7253,'REKAP Balok'!P$11)</f>
        <v>148.10204160000001</v>
      </c>
      <c r="Q107" s="282">
        <f>SUMIFS('Besi Balok'!$AA$23:$AA$7253,'Besi Balok'!$A$23:$A$7253,$A107,'Besi Balok'!$B$23:$B$7253,$B107,'Besi Balok'!$F$23:$F$7253,'REKAP Balok'!Q$11)</f>
        <v>0</v>
      </c>
      <c r="R107" s="282">
        <f>SUMIFS('Besi Balok'!$AA$23:$AA$7253,'Besi Balok'!$A$23:$A$7253,$A107,'Besi Balok'!$B$23:$B$7253,$B107,'Besi Balok'!$F$23:$F$7253,'REKAP Balok'!R$11)</f>
        <v>0</v>
      </c>
      <c r="S107" s="282">
        <f>SUMIFS('Besi Balok'!$AA$23:$AA$7253,'Besi Balok'!$A$23:$A$7253,$A107,'Besi Balok'!$B$23:$B$7253,$B107,'Besi Balok'!$F$23:$F$7253,'REKAP Balok'!S$11)</f>
        <v>0</v>
      </c>
      <c r="T107" s="283">
        <f>SUMIFS('Besi Balok'!$AA$23:$AA$7253,'Besi Balok'!$A$23:$A$7253,$A107,'Besi Balok'!$B$23:$B$7253,$B107,'Besi Balok'!$F$23:$F$7253,'REKAP Balok'!T$11)</f>
        <v>0</v>
      </c>
      <c r="U107" s="284">
        <f t="shared" si="40"/>
        <v>237.87677160000001</v>
      </c>
      <c r="V107" s="285">
        <f t="shared" si="41"/>
        <v>1.2150000000000001</v>
      </c>
      <c r="W107" s="282">
        <f t="shared" si="42"/>
        <v>8.1</v>
      </c>
      <c r="X107" s="282"/>
      <c r="Y107" s="282"/>
      <c r="Z107" s="283"/>
      <c r="AC107" s="1784">
        <f t="shared" si="43"/>
        <v>2.7</v>
      </c>
    </row>
    <row r="108" spans="1:29" hidden="1">
      <c r="A108" s="272" t="str">
        <f>'Data Panjang Balok'!A104</f>
        <v>Lantai 2</v>
      </c>
      <c r="B108" s="273">
        <f>'Data Panjang Balok'!B104</f>
        <v>7</v>
      </c>
      <c r="C108" s="274" t="str">
        <f>'Data Panjang Balok'!D104</f>
        <v>B24-2</v>
      </c>
      <c r="D108" s="275">
        <f>IF(C108&gt;0,VLOOKUP(C108,'Detail Balok'!$C$11:$AU$140,2,FALSE),0)</f>
        <v>200</v>
      </c>
      <c r="E108" s="276" t="s">
        <v>125</v>
      </c>
      <c r="F108" s="277">
        <f>IF(C108&gt;0,VLOOKUP(C108,'Detail Balok'!$C$11:$AU$140,3,FALSE),0)</f>
        <v>400</v>
      </c>
      <c r="G108" s="278">
        <f>'Data Panjang Balok'!I104</f>
        <v>2475</v>
      </c>
      <c r="H108" s="278">
        <f>'Data Panjang Balok'!J104</f>
        <v>150</v>
      </c>
      <c r="I108" s="279">
        <v>0</v>
      </c>
      <c r="J108" s="279">
        <f t="shared" si="39"/>
        <v>-0.4</v>
      </c>
      <c r="K108" s="280">
        <f>'Data Panjang Balok'!E104</f>
        <v>1</v>
      </c>
      <c r="L108" s="281">
        <f>SUMIFS('Besi Balok'!$AA$23:$AA$7253,'Besi Balok'!$A$23:$A$7253,$A108,'Besi Balok'!$B$23:$B$7253,$B108,'Besi Balok'!$F$23:$F$7253,'REKAP Balok'!L$11)</f>
        <v>0</v>
      </c>
      <c r="M108" s="282">
        <f>SUMIFS('Besi Balok'!$AA$23:$AA$7253,'Besi Balok'!$A$23:$A$7253,$A108,'Besi Balok'!$B$23:$B$7253,$B108,'Besi Balok'!$F$23:$F$7253,'REKAP Balok'!M$11)</f>
        <v>0</v>
      </c>
      <c r="N108" s="282">
        <f>SUMIFS('Besi Balok'!$AA$23:$AA$7253,'Besi Balok'!$A$23:$A$7253,$A108,'Besi Balok'!$B$23:$B$7253,$B108,'Besi Balok'!$F$23:$F$7253,'REKAP Balok'!N$11)</f>
        <v>13.969890000000003</v>
      </c>
      <c r="O108" s="282">
        <f>SUMIFS('Besi Balok'!$AA$23:$AA$7253,'Besi Balok'!$A$23:$A$7253,$A108,'Besi Balok'!$B$23:$B$7253,$B108,'Besi Balok'!$F$23:$F$7253,'REKAP Balok'!O$11)</f>
        <v>0</v>
      </c>
      <c r="P108" s="282">
        <f>SUMIFS('Besi Balok'!$AA$23:$AA$7253,'Besi Balok'!$A$23:$A$7253,$A108,'Besi Balok'!$B$23:$B$7253,$B108,'Besi Balok'!$F$23:$F$7253,'REKAP Balok'!P$11)</f>
        <v>27.073128960000005</v>
      </c>
      <c r="Q108" s="282">
        <f>SUMIFS('Besi Balok'!$AA$23:$AA$7253,'Besi Balok'!$A$23:$A$7253,$A108,'Besi Balok'!$B$23:$B$7253,$B108,'Besi Balok'!$F$23:$F$7253,'REKAP Balok'!Q$11)</f>
        <v>0</v>
      </c>
      <c r="R108" s="282">
        <f>SUMIFS('Besi Balok'!$AA$23:$AA$7253,'Besi Balok'!$A$23:$A$7253,$A108,'Besi Balok'!$B$23:$B$7253,$B108,'Besi Balok'!$F$23:$F$7253,'REKAP Balok'!R$11)</f>
        <v>0</v>
      </c>
      <c r="S108" s="282">
        <f>SUMIFS('Besi Balok'!$AA$23:$AA$7253,'Besi Balok'!$A$23:$A$7253,$A108,'Besi Balok'!$B$23:$B$7253,$B108,'Besi Balok'!$F$23:$F$7253,'REKAP Balok'!S$11)</f>
        <v>0</v>
      </c>
      <c r="T108" s="283">
        <f>SUMIFS('Besi Balok'!$AA$23:$AA$7253,'Besi Balok'!$A$23:$A$7253,$A108,'Besi Balok'!$B$23:$B$7253,$B108,'Besi Balok'!$F$23:$F$7253,'REKAP Balok'!T$11)</f>
        <v>0</v>
      </c>
      <c r="U108" s="284">
        <f t="shared" si="40"/>
        <v>41.043018960000012</v>
      </c>
      <c r="V108" s="285">
        <f t="shared" si="41"/>
        <v>0.12375</v>
      </c>
      <c r="W108" s="282">
        <f t="shared" si="42"/>
        <v>1.2375</v>
      </c>
      <c r="X108" s="282"/>
      <c r="Y108" s="282"/>
      <c r="Z108" s="283"/>
      <c r="AC108" s="1784">
        <f t="shared" si="43"/>
        <v>0.39600000000000002</v>
      </c>
    </row>
    <row r="109" spans="1:29" hidden="1">
      <c r="A109" s="272" t="str">
        <f>'Data Panjang Balok'!A105</f>
        <v>Lantai 2</v>
      </c>
      <c r="B109" s="273">
        <f>'Data Panjang Balok'!B105</f>
        <v>8</v>
      </c>
      <c r="C109" s="274" t="str">
        <f>'Data Panjang Balok'!D105</f>
        <v>B25-1</v>
      </c>
      <c r="D109" s="275">
        <f>IF(C109&gt;0,VLOOKUP(C109,'Detail Balok'!$C$11:$AU$140,2,FALSE),0)</f>
        <v>200</v>
      </c>
      <c r="E109" s="276" t="s">
        <v>125</v>
      </c>
      <c r="F109" s="277">
        <f>IF(C109&gt;0,VLOOKUP(C109,'Detail Balok'!$C$11:$AU$140,3,FALSE),0)</f>
        <v>500</v>
      </c>
      <c r="G109" s="278">
        <f>'Data Panjang Balok'!I105</f>
        <v>6075</v>
      </c>
      <c r="H109" s="278">
        <f>'Data Panjang Balok'!J105</f>
        <v>0</v>
      </c>
      <c r="I109" s="279">
        <v>0</v>
      </c>
      <c r="J109" s="279">
        <f t="shared" si="39"/>
        <v>-0.5</v>
      </c>
      <c r="K109" s="280">
        <f>'Data Panjang Balok'!E105</f>
        <v>1</v>
      </c>
      <c r="L109" s="281">
        <f>SUMIFS('Besi Balok'!$AA$23:$AA$7253,'Besi Balok'!$A$23:$A$7253,$A109,'Besi Balok'!$B$23:$B$7253,$B109,'Besi Balok'!$F$23:$F$7253,'REKAP Balok'!L$11)</f>
        <v>0</v>
      </c>
      <c r="M109" s="282">
        <f>SUMIFS('Besi Balok'!$AA$23:$AA$7253,'Besi Balok'!$A$23:$A$7253,$A109,'Besi Balok'!$B$23:$B$7253,$B109,'Besi Balok'!$F$23:$F$7253,'REKAP Balok'!M$11)</f>
        <v>0</v>
      </c>
      <c r="N109" s="282">
        <f>SUMIFS('Besi Balok'!$AA$23:$AA$7253,'Besi Balok'!$A$23:$A$7253,$A109,'Besi Balok'!$B$23:$B$7253,$B109,'Besi Balok'!$F$23:$F$7253,'REKAP Balok'!N$11)</f>
        <v>35.843310000000002</v>
      </c>
      <c r="O109" s="282">
        <f>SUMIFS('Besi Balok'!$AA$23:$AA$7253,'Besi Balok'!$A$23:$A$7253,$A109,'Besi Balok'!$B$23:$B$7253,$B109,'Besi Balok'!$F$23:$F$7253,'REKAP Balok'!O$11)</f>
        <v>0</v>
      </c>
      <c r="P109" s="282">
        <f>SUMIFS('Besi Balok'!$AA$23:$AA$7253,'Besi Balok'!$A$23:$A$7253,$A109,'Besi Balok'!$B$23:$B$7253,$B109,'Besi Balok'!$F$23:$F$7253,'REKAP Balok'!P$11)</f>
        <v>81.550817280000004</v>
      </c>
      <c r="Q109" s="282">
        <f>SUMIFS('Besi Balok'!$AA$23:$AA$7253,'Besi Balok'!$A$23:$A$7253,$A109,'Besi Balok'!$B$23:$B$7253,$B109,'Besi Balok'!$F$23:$F$7253,'REKAP Balok'!Q$11)</f>
        <v>0</v>
      </c>
      <c r="R109" s="282">
        <f>SUMIFS('Besi Balok'!$AA$23:$AA$7253,'Besi Balok'!$A$23:$A$7253,$A109,'Besi Balok'!$B$23:$B$7253,$B109,'Besi Balok'!$F$23:$F$7253,'REKAP Balok'!R$11)</f>
        <v>0</v>
      </c>
      <c r="S109" s="282">
        <f>SUMIFS('Besi Balok'!$AA$23:$AA$7253,'Besi Balok'!$A$23:$A$7253,$A109,'Besi Balok'!$B$23:$B$7253,$B109,'Besi Balok'!$F$23:$F$7253,'REKAP Balok'!S$11)</f>
        <v>0</v>
      </c>
      <c r="T109" s="283">
        <f>SUMIFS('Besi Balok'!$AA$23:$AA$7253,'Besi Balok'!$A$23:$A$7253,$A109,'Besi Balok'!$B$23:$B$7253,$B109,'Besi Balok'!$F$23:$F$7253,'REKAP Balok'!T$11)</f>
        <v>0</v>
      </c>
      <c r="U109" s="284">
        <f t="shared" si="40"/>
        <v>117.39412728000001</v>
      </c>
      <c r="V109" s="285">
        <f t="shared" si="41"/>
        <v>0.60750000000000004</v>
      </c>
      <c r="W109" s="282">
        <f t="shared" si="42"/>
        <v>7.29</v>
      </c>
      <c r="X109" s="282"/>
      <c r="Y109" s="282"/>
      <c r="Z109" s="283"/>
      <c r="AC109" s="1784">
        <f t="shared" si="43"/>
        <v>1.2150000000000001</v>
      </c>
    </row>
    <row r="110" spans="1:29" hidden="1">
      <c r="A110" s="272" t="str">
        <f>'Data Panjang Balok'!A106</f>
        <v>Lantai 2</v>
      </c>
      <c r="B110" s="273">
        <f>'Data Panjang Balok'!B106</f>
        <v>9</v>
      </c>
      <c r="C110" s="274" t="str">
        <f>'Data Panjang Balok'!D106</f>
        <v>B24-1</v>
      </c>
      <c r="D110" s="275">
        <f>IF(C110&gt;0,VLOOKUP(C110,'Detail Balok'!$C$11:$AU$140,2,FALSE),0)</f>
        <v>200</v>
      </c>
      <c r="E110" s="276" t="s">
        <v>125</v>
      </c>
      <c r="F110" s="277">
        <f>IF(C110&gt;0,VLOOKUP(C110,'Detail Balok'!$C$11:$AU$140,3,FALSE),0)</f>
        <v>400</v>
      </c>
      <c r="G110" s="278">
        <f>'Data Panjang Balok'!I106</f>
        <v>4075</v>
      </c>
      <c r="H110" s="278">
        <f>'Data Panjang Balok'!J106</f>
        <v>150</v>
      </c>
      <c r="I110" s="279">
        <v>0</v>
      </c>
      <c r="J110" s="279">
        <f t="shared" si="39"/>
        <v>-0.4</v>
      </c>
      <c r="K110" s="280">
        <f>'Data Panjang Balok'!E106</f>
        <v>1</v>
      </c>
      <c r="L110" s="281">
        <f>SUMIFS('Besi Balok'!$AA$23:$AA$7253,'Besi Balok'!$A$23:$A$7253,$A110,'Besi Balok'!$B$23:$B$7253,$B110,'Besi Balok'!$F$23:$F$7253,'REKAP Balok'!L$11)</f>
        <v>0</v>
      </c>
      <c r="M110" s="282">
        <f>SUMIFS('Besi Balok'!$AA$23:$AA$7253,'Besi Balok'!$A$23:$A$7253,$A110,'Besi Balok'!$B$23:$B$7253,$B110,'Besi Balok'!$F$23:$F$7253,'REKAP Balok'!M$11)</f>
        <v>0</v>
      </c>
      <c r="N110" s="282">
        <f>SUMIFS('Besi Balok'!$AA$23:$AA$7253,'Besi Balok'!$A$23:$A$7253,$A110,'Besi Balok'!$B$23:$B$7253,$B110,'Besi Balok'!$F$23:$F$7253,'REKAP Balok'!N$11)</f>
        <v>20.319840000000003</v>
      </c>
      <c r="O110" s="282">
        <f>SUMIFS('Besi Balok'!$AA$23:$AA$7253,'Besi Balok'!$A$23:$A$7253,$A110,'Besi Balok'!$B$23:$B$7253,$B110,'Besi Balok'!$F$23:$F$7253,'REKAP Balok'!O$11)</f>
        <v>27.42449697</v>
      </c>
      <c r="P110" s="282">
        <f>SUMIFS('Besi Balok'!$AA$23:$AA$7253,'Besi Balok'!$A$23:$A$7253,$A110,'Besi Balok'!$B$23:$B$7253,$B110,'Besi Balok'!$F$23:$F$7253,'REKAP Balok'!P$11)</f>
        <v>0</v>
      </c>
      <c r="Q110" s="282">
        <f>SUMIFS('Besi Balok'!$AA$23:$AA$7253,'Besi Balok'!$A$23:$A$7253,$A110,'Besi Balok'!$B$23:$B$7253,$B110,'Besi Balok'!$F$23:$F$7253,'REKAP Balok'!Q$11)</f>
        <v>0</v>
      </c>
      <c r="R110" s="282">
        <f>SUMIFS('Besi Balok'!$AA$23:$AA$7253,'Besi Balok'!$A$23:$A$7253,$A110,'Besi Balok'!$B$23:$B$7253,$B110,'Besi Balok'!$F$23:$F$7253,'REKAP Balok'!R$11)</f>
        <v>0</v>
      </c>
      <c r="S110" s="282">
        <f>SUMIFS('Besi Balok'!$AA$23:$AA$7253,'Besi Balok'!$A$23:$A$7253,$A110,'Besi Balok'!$B$23:$B$7253,$B110,'Besi Balok'!$F$23:$F$7253,'REKAP Balok'!S$11)</f>
        <v>0</v>
      </c>
      <c r="T110" s="283">
        <f>SUMIFS('Besi Balok'!$AA$23:$AA$7253,'Besi Balok'!$A$23:$A$7253,$A110,'Besi Balok'!$B$23:$B$7253,$B110,'Besi Balok'!$F$23:$F$7253,'REKAP Balok'!T$11)</f>
        <v>0</v>
      </c>
      <c r="U110" s="284">
        <f t="shared" si="40"/>
        <v>47.744336970000006</v>
      </c>
      <c r="V110" s="285">
        <f t="shared" si="41"/>
        <v>0.20374999999999999</v>
      </c>
      <c r="W110" s="282">
        <f t="shared" si="42"/>
        <v>2.0375000000000001</v>
      </c>
      <c r="X110" s="282"/>
      <c r="Y110" s="282"/>
      <c r="Z110" s="283"/>
      <c r="AC110" s="1784">
        <f t="shared" si="43"/>
        <v>0.65200000000000002</v>
      </c>
    </row>
    <row r="111" spans="1:29" hidden="1">
      <c r="A111" s="272" t="str">
        <f>'Data Panjang Balok'!A107</f>
        <v>Lantai 2</v>
      </c>
      <c r="B111" s="273">
        <f>'Data Panjang Balok'!B107</f>
        <v>10</v>
      </c>
      <c r="C111" s="274" t="str">
        <f>'Data Panjang Balok'!D107</f>
        <v>B26-1</v>
      </c>
      <c r="D111" s="275">
        <f>IF(C111&gt;0,VLOOKUP(C111,'Detail Balok'!$C$11:$AU$140,2,FALSE),0)</f>
        <v>200</v>
      </c>
      <c r="E111" s="276" t="s">
        <v>125</v>
      </c>
      <c r="F111" s="277">
        <f>IF(C111&gt;0,VLOOKUP(C111,'Detail Balok'!$C$11:$AU$140,3,FALSE),0)</f>
        <v>600</v>
      </c>
      <c r="G111" s="278">
        <f>'Data Panjang Balok'!I107</f>
        <v>4000</v>
      </c>
      <c r="H111" s="278">
        <f>'Data Panjang Balok'!J107</f>
        <v>150</v>
      </c>
      <c r="I111" s="279">
        <v>0</v>
      </c>
      <c r="J111" s="279">
        <f t="shared" si="39"/>
        <v>-0.6</v>
      </c>
      <c r="K111" s="280">
        <f>'Data Panjang Balok'!E107</f>
        <v>1</v>
      </c>
      <c r="L111" s="281">
        <f>SUMIFS('Besi Balok'!$AA$23:$AA$7253,'Besi Balok'!$A$23:$A$7253,$A111,'Besi Balok'!$B$23:$B$7253,$B111,'Besi Balok'!$F$23:$F$7253,'REKAP Balok'!L$11)</f>
        <v>0</v>
      </c>
      <c r="M111" s="282">
        <f>SUMIFS('Besi Balok'!$AA$23:$AA$7253,'Besi Balok'!$A$23:$A$7253,$A111,'Besi Balok'!$B$23:$B$7253,$B111,'Besi Balok'!$F$23:$F$7253,'REKAP Balok'!M$11)</f>
        <v>0</v>
      </c>
      <c r="N111" s="282">
        <f>SUMIFS('Besi Balok'!$AA$23:$AA$7253,'Besi Balok'!$A$23:$A$7253,$A111,'Besi Balok'!$B$23:$B$7253,$B111,'Besi Balok'!$F$23:$F$7253,'REKAP Balok'!N$11)</f>
        <v>37.846935000000002</v>
      </c>
      <c r="O111" s="282">
        <f>SUMIFS('Besi Balok'!$AA$23:$AA$7253,'Besi Balok'!$A$23:$A$7253,$A111,'Besi Balok'!$B$23:$B$7253,$B111,'Besi Balok'!$F$23:$F$7253,'REKAP Balok'!O$11)</f>
        <v>0</v>
      </c>
      <c r="P111" s="282">
        <f>SUMIFS('Besi Balok'!$AA$23:$AA$7253,'Besi Balok'!$A$23:$A$7253,$A111,'Besi Balok'!$B$23:$B$7253,$B111,'Besi Balok'!$F$23:$F$7253,'REKAP Balok'!P$11)</f>
        <v>50.453176319999997</v>
      </c>
      <c r="Q111" s="282">
        <f>SUMIFS('Besi Balok'!$AA$23:$AA$7253,'Besi Balok'!$A$23:$A$7253,$A111,'Besi Balok'!$B$23:$B$7253,$B111,'Besi Balok'!$F$23:$F$7253,'REKAP Balok'!Q$11)</f>
        <v>0</v>
      </c>
      <c r="R111" s="282">
        <f>SUMIFS('Besi Balok'!$AA$23:$AA$7253,'Besi Balok'!$A$23:$A$7253,$A111,'Besi Balok'!$B$23:$B$7253,$B111,'Besi Balok'!$F$23:$F$7253,'REKAP Balok'!R$11)</f>
        <v>0</v>
      </c>
      <c r="S111" s="282">
        <f>SUMIFS('Besi Balok'!$AA$23:$AA$7253,'Besi Balok'!$A$23:$A$7253,$A111,'Besi Balok'!$B$23:$B$7253,$B111,'Besi Balok'!$F$23:$F$7253,'REKAP Balok'!S$11)</f>
        <v>0</v>
      </c>
      <c r="T111" s="283">
        <f>SUMIFS('Besi Balok'!$AA$23:$AA$7253,'Besi Balok'!$A$23:$A$7253,$A111,'Besi Balok'!$B$23:$B$7253,$B111,'Besi Balok'!$F$23:$F$7253,'REKAP Balok'!T$11)</f>
        <v>0</v>
      </c>
      <c r="U111" s="284">
        <f t="shared" si="40"/>
        <v>88.300111319999999</v>
      </c>
      <c r="V111" s="285">
        <f t="shared" si="41"/>
        <v>0.36</v>
      </c>
      <c r="W111" s="282">
        <f t="shared" si="42"/>
        <v>3.6</v>
      </c>
      <c r="X111" s="282"/>
      <c r="Y111" s="282"/>
      <c r="Z111" s="283"/>
      <c r="AC111" s="1784">
        <f t="shared" si="43"/>
        <v>0.96</v>
      </c>
    </row>
    <row r="112" spans="1:29" hidden="1">
      <c r="A112" s="272" t="str">
        <f>'Data Panjang Balok'!A108</f>
        <v>Lantai 2</v>
      </c>
      <c r="B112" s="273">
        <f>'Data Panjang Balok'!B108</f>
        <v>11</v>
      </c>
      <c r="C112" s="274" t="str">
        <f>'Data Panjang Balok'!D108</f>
        <v>B26-1</v>
      </c>
      <c r="D112" s="275">
        <f>IF(C112&gt;0,VLOOKUP(C112,'Detail Balok'!$C$11:$AU$140,2,FALSE),0)</f>
        <v>200</v>
      </c>
      <c r="E112" s="276" t="s">
        <v>125</v>
      </c>
      <c r="F112" s="277">
        <f>IF(C112&gt;0,VLOOKUP(C112,'Detail Balok'!$C$11:$AU$140,3,FALSE),0)</f>
        <v>600</v>
      </c>
      <c r="G112" s="278">
        <f>'Data Panjang Balok'!I108</f>
        <v>5175</v>
      </c>
      <c r="H112" s="278">
        <f>'Data Panjang Balok'!J108</f>
        <v>150</v>
      </c>
      <c r="I112" s="279">
        <v>0</v>
      </c>
      <c r="J112" s="279">
        <f t="shared" si="39"/>
        <v>-0.6</v>
      </c>
      <c r="K112" s="280">
        <f>'Data Panjang Balok'!E108</f>
        <v>1</v>
      </c>
      <c r="L112" s="281">
        <f>SUMIFS('Besi Balok'!$AA$23:$AA$7253,'Besi Balok'!$A$23:$A$7253,$A112,'Besi Balok'!$B$23:$B$7253,$B112,'Besi Balok'!$F$23:$F$7253,'REKAP Balok'!L$11)</f>
        <v>0</v>
      </c>
      <c r="M112" s="282">
        <f>SUMIFS('Besi Balok'!$AA$23:$AA$7253,'Besi Balok'!$A$23:$A$7253,$A112,'Besi Balok'!$B$23:$B$7253,$B112,'Besi Balok'!$F$23:$F$7253,'REKAP Balok'!M$11)</f>
        <v>0</v>
      </c>
      <c r="N112" s="282">
        <f>SUMIFS('Besi Balok'!$AA$23:$AA$7253,'Besi Balok'!$A$23:$A$7253,$A112,'Besi Balok'!$B$23:$B$7253,$B112,'Besi Balok'!$F$23:$F$7253,'REKAP Balok'!N$11)</f>
        <v>46.348470000000006</v>
      </c>
      <c r="O112" s="282">
        <f>SUMIFS('Besi Balok'!$AA$23:$AA$7253,'Besi Balok'!$A$23:$A$7253,$A112,'Besi Balok'!$B$23:$B$7253,$B112,'Besi Balok'!$F$23:$F$7253,'REKAP Balok'!O$11)</f>
        <v>0</v>
      </c>
      <c r="P112" s="282">
        <f>SUMIFS('Besi Balok'!$AA$23:$AA$7253,'Besi Balok'!$A$23:$A$7253,$A112,'Besi Balok'!$B$23:$B$7253,$B112,'Besi Balok'!$F$23:$F$7253,'REKAP Balok'!P$11)</f>
        <v>63.805086719999998</v>
      </c>
      <c r="Q112" s="282">
        <f>SUMIFS('Besi Balok'!$AA$23:$AA$7253,'Besi Balok'!$A$23:$A$7253,$A112,'Besi Balok'!$B$23:$B$7253,$B112,'Besi Balok'!$F$23:$F$7253,'REKAP Balok'!Q$11)</f>
        <v>0</v>
      </c>
      <c r="R112" s="282">
        <f>SUMIFS('Besi Balok'!$AA$23:$AA$7253,'Besi Balok'!$A$23:$A$7253,$A112,'Besi Balok'!$B$23:$B$7253,$B112,'Besi Balok'!$F$23:$F$7253,'REKAP Balok'!R$11)</f>
        <v>0</v>
      </c>
      <c r="S112" s="282">
        <f>SUMIFS('Besi Balok'!$AA$23:$AA$7253,'Besi Balok'!$A$23:$A$7253,$A112,'Besi Balok'!$B$23:$B$7253,$B112,'Besi Balok'!$F$23:$F$7253,'REKAP Balok'!S$11)</f>
        <v>0</v>
      </c>
      <c r="T112" s="283">
        <f>SUMIFS('Besi Balok'!$AA$23:$AA$7253,'Besi Balok'!$A$23:$A$7253,$A112,'Besi Balok'!$B$23:$B$7253,$B112,'Besi Balok'!$F$23:$F$7253,'REKAP Balok'!T$11)</f>
        <v>0</v>
      </c>
      <c r="U112" s="284">
        <f t="shared" si="40"/>
        <v>110.15355672000001</v>
      </c>
      <c r="V112" s="285">
        <f t="shared" si="41"/>
        <v>0.46575</v>
      </c>
      <c r="W112" s="282">
        <f t="shared" si="42"/>
        <v>4.6574999999999998</v>
      </c>
      <c r="X112" s="282"/>
      <c r="Y112" s="282"/>
      <c r="Z112" s="283"/>
      <c r="AC112" s="1784">
        <f t="shared" si="43"/>
        <v>1.242</v>
      </c>
    </row>
    <row r="113" spans="1:29" hidden="1">
      <c r="A113" s="272" t="str">
        <f>'Data Panjang Balok'!A109</f>
        <v>Lantai 2</v>
      </c>
      <c r="B113" s="273">
        <f>'Data Panjang Balok'!B109</f>
        <v>12</v>
      </c>
      <c r="C113" s="274" t="str">
        <f>'Data Panjang Balok'!D109</f>
        <v>B26-1</v>
      </c>
      <c r="D113" s="275">
        <f>IF(C113&gt;0,VLOOKUP(C113,'Detail Balok'!$C$11:$AU$140,2,FALSE),0)</f>
        <v>200</v>
      </c>
      <c r="E113" s="276" t="s">
        <v>125</v>
      </c>
      <c r="F113" s="277">
        <f>IF(C113&gt;0,VLOOKUP(C113,'Detail Balok'!$C$11:$AU$140,3,FALSE),0)</f>
        <v>600</v>
      </c>
      <c r="G113" s="278">
        <f>'Data Panjang Balok'!I109</f>
        <v>5900</v>
      </c>
      <c r="H113" s="278">
        <f>'Data Panjang Balok'!J109</f>
        <v>150</v>
      </c>
      <c r="I113" s="279">
        <v>0</v>
      </c>
      <c r="J113" s="279">
        <f t="shared" si="39"/>
        <v>-0.6</v>
      </c>
      <c r="K113" s="280">
        <f>'Data Panjang Balok'!E109</f>
        <v>1</v>
      </c>
      <c r="L113" s="281">
        <f>SUMIFS('Besi Balok'!$AA$23:$AA$7253,'Besi Balok'!$A$23:$A$7253,$A113,'Besi Balok'!$B$23:$B$7253,$B113,'Besi Balok'!$F$23:$F$7253,'REKAP Balok'!L$11)</f>
        <v>0</v>
      </c>
      <c r="M113" s="282">
        <f>SUMIFS('Besi Balok'!$AA$23:$AA$7253,'Besi Balok'!$A$23:$A$7253,$A113,'Besi Balok'!$B$23:$B$7253,$B113,'Besi Balok'!$F$23:$F$7253,'REKAP Balok'!M$11)</f>
        <v>0</v>
      </c>
      <c r="N113" s="282">
        <f>SUMIFS('Besi Balok'!$AA$23:$AA$7253,'Besi Balok'!$A$23:$A$7253,$A113,'Besi Balok'!$B$23:$B$7253,$B113,'Besi Balok'!$F$23:$F$7253,'REKAP Balok'!N$11)</f>
        <v>53.413560000000004</v>
      </c>
      <c r="O113" s="282">
        <f>SUMIFS('Besi Balok'!$AA$23:$AA$7253,'Besi Balok'!$A$23:$A$7253,$A113,'Besi Balok'!$B$23:$B$7253,$B113,'Besi Balok'!$F$23:$F$7253,'REKAP Balok'!O$11)</f>
        <v>0</v>
      </c>
      <c r="P113" s="282">
        <f>SUMIFS('Besi Balok'!$AA$23:$AA$7253,'Besi Balok'!$A$23:$A$7253,$A113,'Besi Balok'!$B$23:$B$7253,$B113,'Besi Balok'!$F$23:$F$7253,'REKAP Balok'!P$11)</f>
        <v>72.043499519999997</v>
      </c>
      <c r="Q113" s="282">
        <f>SUMIFS('Besi Balok'!$AA$23:$AA$7253,'Besi Balok'!$A$23:$A$7253,$A113,'Besi Balok'!$B$23:$B$7253,$B113,'Besi Balok'!$F$23:$F$7253,'REKAP Balok'!Q$11)</f>
        <v>0</v>
      </c>
      <c r="R113" s="282">
        <f>SUMIFS('Besi Balok'!$AA$23:$AA$7253,'Besi Balok'!$A$23:$A$7253,$A113,'Besi Balok'!$B$23:$B$7253,$B113,'Besi Balok'!$F$23:$F$7253,'REKAP Balok'!R$11)</f>
        <v>0</v>
      </c>
      <c r="S113" s="282">
        <f>SUMIFS('Besi Balok'!$AA$23:$AA$7253,'Besi Balok'!$A$23:$A$7253,$A113,'Besi Balok'!$B$23:$B$7253,$B113,'Besi Balok'!$F$23:$F$7253,'REKAP Balok'!S$11)</f>
        <v>0</v>
      </c>
      <c r="T113" s="283">
        <f>SUMIFS('Besi Balok'!$AA$23:$AA$7253,'Besi Balok'!$A$23:$A$7253,$A113,'Besi Balok'!$B$23:$B$7253,$B113,'Besi Balok'!$F$23:$F$7253,'REKAP Balok'!T$11)</f>
        <v>0</v>
      </c>
      <c r="U113" s="284">
        <f t="shared" si="40"/>
        <v>125.45705952</v>
      </c>
      <c r="V113" s="285">
        <f t="shared" si="41"/>
        <v>0.53100000000000003</v>
      </c>
      <c r="W113" s="282">
        <f t="shared" si="42"/>
        <v>5.31</v>
      </c>
      <c r="X113" s="282"/>
      <c r="Y113" s="282"/>
      <c r="Z113" s="283"/>
      <c r="AC113" s="1784">
        <f t="shared" si="43"/>
        <v>1.4159999999999999</v>
      </c>
    </row>
    <row r="114" spans="1:29" hidden="1">
      <c r="A114" s="272" t="str">
        <f>'Data Panjang Balok'!A110</f>
        <v>Lantai 2</v>
      </c>
      <c r="B114" s="273">
        <f>'Data Panjang Balok'!B110</f>
        <v>13</v>
      </c>
      <c r="C114" s="274" t="str">
        <f>'Data Panjang Balok'!D110</f>
        <v>B23-1</v>
      </c>
      <c r="D114" s="275">
        <f>IF(C114&gt;0,VLOOKUP(C114,'Detail Balok'!$C$11:$AU$140,2,FALSE),0)</f>
        <v>200</v>
      </c>
      <c r="E114" s="276" t="s">
        <v>125</v>
      </c>
      <c r="F114" s="277">
        <f>IF(C114&gt;0,VLOOKUP(C114,'Detail Balok'!$C$11:$AU$140,3,FALSE),0)</f>
        <v>300</v>
      </c>
      <c r="G114" s="278">
        <f>'Data Panjang Balok'!I110</f>
        <v>2040</v>
      </c>
      <c r="H114" s="278">
        <f>'Data Panjang Balok'!J110</f>
        <v>150</v>
      </c>
      <c r="I114" s="279">
        <v>0</v>
      </c>
      <c r="J114" s="279">
        <f t="shared" si="39"/>
        <v>-0.3</v>
      </c>
      <c r="K114" s="280">
        <f>'Data Panjang Balok'!E110</f>
        <v>1</v>
      </c>
      <c r="L114" s="281">
        <f>SUMIFS('Besi Balok'!$AA$23:$AA$7253,'Besi Balok'!$A$23:$A$7253,$A114,'Besi Balok'!$B$23:$B$7253,$B114,'Besi Balok'!$F$23:$F$7253,'REKAP Balok'!L$11)</f>
        <v>0</v>
      </c>
      <c r="M114" s="282">
        <f>SUMIFS('Besi Balok'!$AA$23:$AA$7253,'Besi Balok'!$A$23:$A$7253,$A114,'Besi Balok'!$B$23:$B$7253,$B114,'Besi Balok'!$F$23:$F$7253,'REKAP Balok'!M$11)</f>
        <v>0</v>
      </c>
      <c r="N114" s="282">
        <f>SUMIFS('Besi Balok'!$AA$23:$AA$7253,'Besi Balok'!$A$23:$A$7253,$A114,'Besi Balok'!$B$23:$B$7253,$B114,'Besi Balok'!$F$23:$F$7253,'REKAP Balok'!N$11)</f>
        <v>9.2105100000000029</v>
      </c>
      <c r="O114" s="282">
        <f>SUMIFS('Besi Balok'!$AA$23:$AA$7253,'Besi Balok'!$A$23:$A$7253,$A114,'Besi Balok'!$B$23:$B$7253,$B114,'Besi Balok'!$F$23:$F$7253,'REKAP Balok'!O$11)</f>
        <v>14.70308112</v>
      </c>
      <c r="P114" s="282">
        <f>SUMIFS('Besi Balok'!$AA$23:$AA$7253,'Besi Balok'!$A$23:$A$7253,$A114,'Besi Balok'!$B$23:$B$7253,$B114,'Besi Balok'!$F$23:$F$7253,'REKAP Balok'!P$11)</f>
        <v>0</v>
      </c>
      <c r="Q114" s="282">
        <f>SUMIFS('Besi Balok'!$AA$23:$AA$7253,'Besi Balok'!$A$23:$A$7253,$A114,'Besi Balok'!$B$23:$B$7253,$B114,'Besi Balok'!$F$23:$F$7253,'REKAP Balok'!Q$11)</f>
        <v>0</v>
      </c>
      <c r="R114" s="282">
        <f>SUMIFS('Besi Balok'!$AA$23:$AA$7253,'Besi Balok'!$A$23:$A$7253,$A114,'Besi Balok'!$B$23:$B$7253,$B114,'Besi Balok'!$F$23:$F$7253,'REKAP Balok'!R$11)</f>
        <v>0</v>
      </c>
      <c r="S114" s="282">
        <f>SUMIFS('Besi Balok'!$AA$23:$AA$7253,'Besi Balok'!$A$23:$A$7253,$A114,'Besi Balok'!$B$23:$B$7253,$B114,'Besi Balok'!$F$23:$F$7253,'REKAP Balok'!S$11)</f>
        <v>0</v>
      </c>
      <c r="T114" s="283">
        <f>SUMIFS('Besi Balok'!$AA$23:$AA$7253,'Besi Balok'!$A$23:$A$7253,$A114,'Besi Balok'!$B$23:$B$7253,$B114,'Besi Balok'!$F$23:$F$7253,'REKAP Balok'!T$11)</f>
        <v>0</v>
      </c>
      <c r="U114" s="284">
        <f t="shared" si="40"/>
        <v>23.913591120000003</v>
      </c>
      <c r="V114" s="285">
        <f t="shared" si="41"/>
        <v>6.1199999999999997E-2</v>
      </c>
      <c r="W114" s="282">
        <f t="shared" si="42"/>
        <v>0.61199999999999999</v>
      </c>
      <c r="X114" s="282"/>
      <c r="Y114" s="282"/>
      <c r="Z114" s="283"/>
      <c r="AC114" s="1784">
        <f t="shared" si="43"/>
        <v>0.24479999999999999</v>
      </c>
    </row>
    <row r="115" spans="1:29" hidden="1">
      <c r="A115" s="272" t="str">
        <f>'Data Panjang Balok'!A111</f>
        <v>Lantai 2</v>
      </c>
      <c r="B115" s="273">
        <f>'Data Panjang Balok'!B111</f>
        <v>14</v>
      </c>
      <c r="C115" s="274" t="str">
        <f>'Data Panjang Balok'!D111</f>
        <v>B25-1</v>
      </c>
      <c r="D115" s="275">
        <f>IF(C115&gt;0,VLOOKUP(C115,'Detail Balok'!$C$11:$AU$140,2,FALSE),0)</f>
        <v>200</v>
      </c>
      <c r="E115" s="276" t="s">
        <v>125</v>
      </c>
      <c r="F115" s="277">
        <f>IF(C115&gt;0,VLOOKUP(C115,'Detail Balok'!$C$11:$AU$140,3,FALSE),0)</f>
        <v>500</v>
      </c>
      <c r="G115" s="278">
        <f>'Data Panjang Balok'!I111</f>
        <v>4000</v>
      </c>
      <c r="H115" s="278">
        <f>'Data Panjang Balok'!J111</f>
        <v>150</v>
      </c>
      <c r="I115" s="279">
        <v>0</v>
      </c>
      <c r="J115" s="279">
        <f t="shared" si="39"/>
        <v>-0.5</v>
      </c>
      <c r="K115" s="280">
        <f>'Data Panjang Balok'!E111</f>
        <v>1</v>
      </c>
      <c r="L115" s="281">
        <f>SUMIFS('Besi Balok'!$AA$23:$AA$7253,'Besi Balok'!$A$23:$A$7253,$A115,'Besi Balok'!$B$23:$B$7253,$B115,'Besi Balok'!$F$23:$F$7253,'REKAP Balok'!L$11)</f>
        <v>0</v>
      </c>
      <c r="M115" s="282">
        <f>SUMIFS('Besi Balok'!$AA$23:$AA$7253,'Besi Balok'!$A$23:$A$7253,$A115,'Besi Balok'!$B$23:$B$7253,$B115,'Besi Balok'!$F$23:$F$7253,'REKAP Balok'!M$11)</f>
        <v>0</v>
      </c>
      <c r="N115" s="282">
        <f>SUMIFS('Besi Balok'!$AA$23:$AA$7253,'Besi Balok'!$A$23:$A$7253,$A115,'Besi Balok'!$B$23:$B$7253,$B115,'Besi Balok'!$F$23:$F$7253,'REKAP Balok'!N$11)</f>
        <v>24.94359</v>
      </c>
      <c r="O115" s="282">
        <f>SUMIFS('Besi Balok'!$AA$23:$AA$7253,'Besi Balok'!$A$23:$A$7253,$A115,'Besi Balok'!$B$23:$B$7253,$B115,'Besi Balok'!$F$23:$F$7253,'REKAP Balok'!O$11)</f>
        <v>0</v>
      </c>
      <c r="P115" s="282">
        <f>SUMIFS('Besi Balok'!$AA$23:$AA$7253,'Besi Balok'!$A$23:$A$7253,$A115,'Besi Balok'!$B$23:$B$7253,$B115,'Besi Balok'!$F$23:$F$7253,'REKAP Balok'!P$11)</f>
        <v>55.352033280000008</v>
      </c>
      <c r="Q115" s="282">
        <f>SUMIFS('Besi Balok'!$AA$23:$AA$7253,'Besi Balok'!$A$23:$A$7253,$A115,'Besi Balok'!$B$23:$B$7253,$B115,'Besi Balok'!$F$23:$F$7253,'REKAP Balok'!Q$11)</f>
        <v>0</v>
      </c>
      <c r="R115" s="282">
        <f>SUMIFS('Besi Balok'!$AA$23:$AA$7253,'Besi Balok'!$A$23:$A$7253,$A115,'Besi Balok'!$B$23:$B$7253,$B115,'Besi Balok'!$F$23:$F$7253,'REKAP Balok'!R$11)</f>
        <v>0</v>
      </c>
      <c r="S115" s="282">
        <f>SUMIFS('Besi Balok'!$AA$23:$AA$7253,'Besi Balok'!$A$23:$A$7253,$A115,'Besi Balok'!$B$23:$B$7253,$B115,'Besi Balok'!$F$23:$F$7253,'REKAP Balok'!S$11)</f>
        <v>0</v>
      </c>
      <c r="T115" s="283">
        <f>SUMIFS('Besi Balok'!$AA$23:$AA$7253,'Besi Balok'!$A$23:$A$7253,$A115,'Besi Balok'!$B$23:$B$7253,$B115,'Besi Balok'!$F$23:$F$7253,'REKAP Balok'!T$11)</f>
        <v>0</v>
      </c>
      <c r="U115" s="284">
        <f t="shared" si="40"/>
        <v>80.295623280000001</v>
      </c>
      <c r="V115" s="285">
        <f t="shared" si="41"/>
        <v>0.28000000000000003</v>
      </c>
      <c r="W115" s="282">
        <f t="shared" si="42"/>
        <v>2.8</v>
      </c>
      <c r="X115" s="282"/>
      <c r="Y115" s="282"/>
      <c r="Z115" s="283"/>
      <c r="AC115" s="1784">
        <f t="shared" si="43"/>
        <v>0.8</v>
      </c>
    </row>
    <row r="116" spans="1:29" hidden="1">
      <c r="A116" s="272" t="str">
        <f>'Data Panjang Balok'!A112</f>
        <v>Lantai 2</v>
      </c>
      <c r="B116" s="273">
        <f>'Data Panjang Balok'!B112</f>
        <v>15</v>
      </c>
      <c r="C116" s="274" t="str">
        <f>'Data Panjang Balok'!D112</f>
        <v>B25-1</v>
      </c>
      <c r="D116" s="275">
        <f>IF(C116&gt;0,VLOOKUP(C116,'Detail Balok'!$C$11:$AU$140,2,FALSE),0)</f>
        <v>200</v>
      </c>
      <c r="E116" s="276" t="s">
        <v>125</v>
      </c>
      <c r="F116" s="277">
        <f>IF(C116&gt;0,VLOOKUP(C116,'Detail Balok'!$C$11:$AU$140,3,FALSE),0)</f>
        <v>500</v>
      </c>
      <c r="G116" s="278">
        <f>'Data Panjang Balok'!I112</f>
        <v>5000</v>
      </c>
      <c r="H116" s="278">
        <f>'Data Panjang Balok'!J112</f>
        <v>150</v>
      </c>
      <c r="I116" s="279">
        <v>0</v>
      </c>
      <c r="J116" s="279">
        <f t="shared" si="39"/>
        <v>-0.5</v>
      </c>
      <c r="K116" s="280">
        <f>'Data Panjang Balok'!E112</f>
        <v>1</v>
      </c>
      <c r="L116" s="281">
        <f>SUMIFS('Besi Balok'!$AA$23:$AA$7253,'Besi Balok'!$A$23:$A$7253,$A116,'Besi Balok'!$B$23:$B$7253,$B116,'Besi Balok'!$F$23:$F$7253,'REKAP Balok'!L$11)</f>
        <v>0</v>
      </c>
      <c r="M116" s="282">
        <f>SUMIFS('Besi Balok'!$AA$23:$AA$7253,'Besi Balok'!$A$23:$A$7253,$A116,'Besi Balok'!$B$23:$B$7253,$B116,'Besi Balok'!$F$23:$F$7253,'REKAP Balok'!M$11)</f>
        <v>0</v>
      </c>
      <c r="N116" s="282">
        <f>SUMIFS('Besi Balok'!$AA$23:$AA$7253,'Besi Balok'!$A$23:$A$7253,$A116,'Besi Balok'!$B$23:$B$7253,$B116,'Besi Balok'!$F$23:$F$7253,'REKAP Balok'!N$11)</f>
        <v>29.968065000000003</v>
      </c>
      <c r="O116" s="282">
        <f>SUMIFS('Besi Balok'!$AA$23:$AA$7253,'Besi Balok'!$A$23:$A$7253,$A116,'Besi Balok'!$B$23:$B$7253,$B116,'Besi Balok'!$F$23:$F$7253,'REKAP Balok'!O$11)</f>
        <v>0</v>
      </c>
      <c r="P116" s="282">
        <f>SUMIFS('Besi Balok'!$AA$23:$AA$7253,'Besi Balok'!$A$23:$A$7253,$A116,'Besi Balok'!$B$23:$B$7253,$B116,'Besi Balok'!$F$23:$F$7253,'REKAP Balok'!P$11)</f>
        <v>67.977953280000008</v>
      </c>
      <c r="Q116" s="282">
        <f>SUMIFS('Besi Balok'!$AA$23:$AA$7253,'Besi Balok'!$A$23:$A$7253,$A116,'Besi Balok'!$B$23:$B$7253,$B116,'Besi Balok'!$F$23:$F$7253,'REKAP Balok'!Q$11)</f>
        <v>0</v>
      </c>
      <c r="R116" s="282">
        <f>SUMIFS('Besi Balok'!$AA$23:$AA$7253,'Besi Balok'!$A$23:$A$7253,$A116,'Besi Balok'!$B$23:$B$7253,$B116,'Besi Balok'!$F$23:$F$7253,'REKAP Balok'!R$11)</f>
        <v>0</v>
      </c>
      <c r="S116" s="282">
        <f>SUMIFS('Besi Balok'!$AA$23:$AA$7253,'Besi Balok'!$A$23:$A$7253,$A116,'Besi Balok'!$B$23:$B$7253,$B116,'Besi Balok'!$F$23:$F$7253,'REKAP Balok'!S$11)</f>
        <v>0</v>
      </c>
      <c r="T116" s="283">
        <f>SUMIFS('Besi Balok'!$AA$23:$AA$7253,'Besi Balok'!$A$23:$A$7253,$A116,'Besi Balok'!$B$23:$B$7253,$B116,'Besi Balok'!$F$23:$F$7253,'REKAP Balok'!T$11)</f>
        <v>0</v>
      </c>
      <c r="U116" s="284">
        <f t="shared" si="40"/>
        <v>97.946018280000004</v>
      </c>
      <c r="V116" s="285">
        <f t="shared" si="41"/>
        <v>0.35</v>
      </c>
      <c r="W116" s="282">
        <f t="shared" si="42"/>
        <v>3.5</v>
      </c>
      <c r="X116" s="282"/>
      <c r="Y116" s="282"/>
      <c r="Z116" s="283"/>
      <c r="AC116" s="1784">
        <f t="shared" si="43"/>
        <v>1</v>
      </c>
    </row>
    <row r="117" spans="1:29" hidden="1">
      <c r="A117" s="272" t="str">
        <f>'Data Panjang Balok'!A113</f>
        <v>Lantai 2</v>
      </c>
      <c r="B117" s="273">
        <f>'Data Panjang Balok'!B113</f>
        <v>16</v>
      </c>
      <c r="C117" s="274" t="str">
        <f>'Data Panjang Balok'!D113</f>
        <v>B36-1</v>
      </c>
      <c r="D117" s="275">
        <f>IF(C117&gt;0,VLOOKUP(C117,'Detail Balok'!$C$11:$AU$140,2,FALSE),0)</f>
        <v>300</v>
      </c>
      <c r="E117" s="276" t="s">
        <v>125</v>
      </c>
      <c r="F117" s="277">
        <f>IF(C117&gt;0,VLOOKUP(C117,'Detail Balok'!$C$11:$AU$140,3,FALSE),0)</f>
        <v>600</v>
      </c>
      <c r="G117" s="278">
        <f>'Data Panjang Balok'!I113</f>
        <v>6075</v>
      </c>
      <c r="H117" s="278">
        <f>'Data Panjang Balok'!J113</f>
        <v>150</v>
      </c>
      <c r="I117" s="279">
        <v>0</v>
      </c>
      <c r="J117" s="279">
        <f t="shared" si="39"/>
        <v>-0.6</v>
      </c>
      <c r="K117" s="280">
        <f>'Data Panjang Balok'!E113</f>
        <v>1</v>
      </c>
      <c r="L117" s="281">
        <f>SUMIFS('Besi Balok'!$AA$23:$AA$7253,'Besi Balok'!$A$23:$A$7253,$A117,'Besi Balok'!$B$23:$B$7253,$B117,'Besi Balok'!$F$23:$F$7253,'REKAP Balok'!L$11)</f>
        <v>0</v>
      </c>
      <c r="M117" s="282">
        <f>SUMIFS('Besi Balok'!$AA$23:$AA$7253,'Besi Balok'!$A$23:$A$7253,$A117,'Besi Balok'!$B$23:$B$7253,$B117,'Besi Balok'!$F$23:$F$7253,'REKAP Balok'!M$11)</f>
        <v>0</v>
      </c>
      <c r="N117" s="282">
        <f>SUMIFS('Besi Balok'!$AA$23:$AA$7253,'Besi Balok'!$A$23:$A$7253,$A117,'Besi Balok'!$B$23:$B$7253,$B117,'Besi Balok'!$F$23:$F$7253,'REKAP Balok'!N$11)</f>
        <v>60.040935000000005</v>
      </c>
      <c r="O117" s="282">
        <f>SUMIFS('Besi Balok'!$AA$23:$AA$7253,'Besi Balok'!$A$23:$A$7253,$A117,'Besi Balok'!$B$23:$B$7253,$B117,'Besi Balok'!$F$23:$F$7253,'REKAP Balok'!O$11)</f>
        <v>0</v>
      </c>
      <c r="P117" s="282">
        <f>SUMIFS('Besi Balok'!$AA$23:$AA$7253,'Besi Balok'!$A$23:$A$7253,$A117,'Besi Balok'!$B$23:$B$7253,$B117,'Besi Balok'!$F$23:$F$7253,'REKAP Balok'!P$11)</f>
        <v>101.9385216</v>
      </c>
      <c r="Q117" s="282">
        <f>SUMIFS('Besi Balok'!$AA$23:$AA$7253,'Besi Balok'!$A$23:$A$7253,$A117,'Besi Balok'!$B$23:$B$7253,$B117,'Besi Balok'!$F$23:$F$7253,'REKAP Balok'!Q$11)</f>
        <v>0</v>
      </c>
      <c r="R117" s="282">
        <f>SUMIFS('Besi Balok'!$AA$23:$AA$7253,'Besi Balok'!$A$23:$A$7253,$A117,'Besi Balok'!$B$23:$B$7253,$B117,'Besi Balok'!$F$23:$F$7253,'REKAP Balok'!R$11)</f>
        <v>0</v>
      </c>
      <c r="S117" s="282">
        <f>SUMIFS('Besi Balok'!$AA$23:$AA$7253,'Besi Balok'!$A$23:$A$7253,$A117,'Besi Balok'!$B$23:$B$7253,$B117,'Besi Balok'!$F$23:$F$7253,'REKAP Balok'!S$11)</f>
        <v>0</v>
      </c>
      <c r="T117" s="283">
        <f>SUMIFS('Besi Balok'!$AA$23:$AA$7253,'Besi Balok'!$A$23:$A$7253,$A117,'Besi Balok'!$B$23:$B$7253,$B117,'Besi Balok'!$F$23:$F$7253,'REKAP Balok'!T$11)</f>
        <v>0</v>
      </c>
      <c r="U117" s="284">
        <f t="shared" si="40"/>
        <v>161.97945659999999</v>
      </c>
      <c r="V117" s="285">
        <f t="shared" si="41"/>
        <v>0.82012499999999999</v>
      </c>
      <c r="W117" s="282">
        <f t="shared" si="42"/>
        <v>5.4675000000000002</v>
      </c>
      <c r="X117" s="282"/>
      <c r="Y117" s="282"/>
      <c r="Z117" s="283"/>
      <c r="AC117" s="1784">
        <f t="shared" si="43"/>
        <v>1.8225</v>
      </c>
    </row>
    <row r="118" spans="1:29" hidden="1">
      <c r="A118" s="272" t="str">
        <f>'Data Panjang Balok'!A114</f>
        <v>Lantai 2</v>
      </c>
      <c r="B118" s="273">
        <f>'Data Panjang Balok'!B114</f>
        <v>17</v>
      </c>
      <c r="C118" s="274" t="str">
        <f>'Data Panjang Balok'!D114</f>
        <v>B24-2</v>
      </c>
      <c r="D118" s="275">
        <f>IF(C118&gt;0,VLOOKUP(C118,'Detail Balok'!$C$11:$AU$140,2,FALSE),0)</f>
        <v>200</v>
      </c>
      <c r="E118" s="276" t="s">
        <v>125</v>
      </c>
      <c r="F118" s="277">
        <f>IF(C118&gt;0,VLOOKUP(C118,'Detail Balok'!$C$11:$AU$140,3,FALSE),0)</f>
        <v>400</v>
      </c>
      <c r="G118" s="278">
        <f>'Data Panjang Balok'!I114</f>
        <v>4065</v>
      </c>
      <c r="H118" s="278">
        <f>'Data Panjang Balok'!J114</f>
        <v>150</v>
      </c>
      <c r="I118" s="279">
        <v>0</v>
      </c>
      <c r="J118" s="279">
        <f t="shared" si="39"/>
        <v>-0.4</v>
      </c>
      <c r="K118" s="280">
        <f>'Data Panjang Balok'!E114</f>
        <v>1</v>
      </c>
      <c r="L118" s="281">
        <f>SUMIFS('Besi Balok'!$AA$23:$AA$7253,'Besi Balok'!$A$23:$A$7253,$A118,'Besi Balok'!$B$23:$B$7253,$B118,'Besi Balok'!$F$23:$F$7253,'REKAP Balok'!L$11)</f>
        <v>0</v>
      </c>
      <c r="M118" s="282">
        <f>SUMIFS('Besi Balok'!$AA$23:$AA$7253,'Besi Balok'!$A$23:$A$7253,$A118,'Besi Balok'!$B$23:$B$7253,$B118,'Besi Balok'!$F$23:$F$7253,'REKAP Balok'!M$11)</f>
        <v>0</v>
      </c>
      <c r="N118" s="282">
        <f>SUMIFS('Besi Balok'!$AA$23:$AA$7253,'Besi Balok'!$A$23:$A$7253,$A118,'Besi Balok'!$B$23:$B$7253,$B118,'Besi Balok'!$F$23:$F$7253,'REKAP Balok'!N$11)</f>
        <v>20.319840000000003</v>
      </c>
      <c r="O118" s="282">
        <f>SUMIFS('Besi Balok'!$AA$23:$AA$7253,'Besi Balok'!$A$23:$A$7253,$A118,'Besi Balok'!$B$23:$B$7253,$B118,'Besi Balok'!$F$23:$F$7253,'REKAP Balok'!O$11)</f>
        <v>0</v>
      </c>
      <c r="P118" s="282">
        <f>SUMIFS('Besi Balok'!$AA$23:$AA$7253,'Besi Balok'!$A$23:$A$7253,$A118,'Besi Balok'!$B$23:$B$7253,$B118,'Besi Balok'!$F$23:$F$7253,'REKAP Balok'!P$11)</f>
        <v>42.12953856</v>
      </c>
      <c r="Q118" s="282">
        <f>SUMIFS('Besi Balok'!$AA$23:$AA$7253,'Besi Balok'!$A$23:$A$7253,$A118,'Besi Balok'!$B$23:$B$7253,$B118,'Besi Balok'!$F$23:$F$7253,'REKAP Balok'!Q$11)</f>
        <v>0</v>
      </c>
      <c r="R118" s="282">
        <f>SUMIFS('Besi Balok'!$AA$23:$AA$7253,'Besi Balok'!$A$23:$A$7253,$A118,'Besi Balok'!$B$23:$B$7253,$B118,'Besi Balok'!$F$23:$F$7253,'REKAP Balok'!R$11)</f>
        <v>0</v>
      </c>
      <c r="S118" s="282">
        <f>SUMIFS('Besi Balok'!$AA$23:$AA$7253,'Besi Balok'!$A$23:$A$7253,$A118,'Besi Balok'!$B$23:$B$7253,$B118,'Besi Balok'!$F$23:$F$7253,'REKAP Balok'!S$11)</f>
        <v>0</v>
      </c>
      <c r="T118" s="283">
        <f>SUMIFS('Besi Balok'!$AA$23:$AA$7253,'Besi Balok'!$A$23:$A$7253,$A118,'Besi Balok'!$B$23:$B$7253,$B118,'Besi Balok'!$F$23:$F$7253,'REKAP Balok'!T$11)</f>
        <v>0</v>
      </c>
      <c r="U118" s="284">
        <f t="shared" si="40"/>
        <v>62.44937856</v>
      </c>
      <c r="V118" s="285">
        <f t="shared" si="41"/>
        <v>0.20324999999999999</v>
      </c>
      <c r="W118" s="282">
        <f t="shared" si="42"/>
        <v>2.0325000000000002</v>
      </c>
      <c r="X118" s="282"/>
      <c r="Y118" s="282"/>
      <c r="Z118" s="283"/>
      <c r="AC118" s="1784">
        <f t="shared" si="43"/>
        <v>0.65039999999999998</v>
      </c>
    </row>
    <row r="119" spans="1:29" hidden="1">
      <c r="A119" s="272" t="str">
        <f>'Data Panjang Balok'!A115</f>
        <v>Lantai 2</v>
      </c>
      <c r="B119" s="273">
        <f>'Data Panjang Balok'!B115</f>
        <v>18</v>
      </c>
      <c r="C119" s="274" t="str">
        <f>'Data Panjang Balok'!D115</f>
        <v>B24-1</v>
      </c>
      <c r="D119" s="275">
        <f>IF(C119&gt;0,VLOOKUP(C119,'Detail Balok'!$C$11:$AU$140,2,FALSE),0)</f>
        <v>200</v>
      </c>
      <c r="E119" s="276" t="s">
        <v>125</v>
      </c>
      <c r="F119" s="277">
        <f>IF(C119&gt;0,VLOOKUP(C119,'Detail Balok'!$C$11:$AU$140,3,FALSE),0)</f>
        <v>400</v>
      </c>
      <c r="G119" s="278">
        <f>'Data Panjang Balok'!I115</f>
        <v>1855</v>
      </c>
      <c r="H119" s="278">
        <f>'Data Panjang Balok'!J115</f>
        <v>0</v>
      </c>
      <c r="I119" s="279">
        <v>0</v>
      </c>
      <c r="J119" s="279">
        <f t="shared" si="32"/>
        <v>-0.4</v>
      </c>
      <c r="K119" s="280">
        <f>'Data Panjang Balok'!E115</f>
        <v>1</v>
      </c>
      <c r="L119" s="281">
        <f>SUMIFS('Besi Balok'!$AA$23:$AA$7253,'Besi Balok'!$A$23:$A$7253,$A119,'Besi Balok'!$B$23:$B$7253,$B119,'Besi Balok'!$F$23:$F$7253,'REKAP Balok'!L$11)</f>
        <v>0</v>
      </c>
      <c r="M119" s="282">
        <f>SUMIFS('Besi Balok'!$AA$23:$AA$7253,'Besi Balok'!$A$23:$A$7253,$A119,'Besi Balok'!$B$23:$B$7253,$B119,'Besi Balok'!$F$23:$F$7253,'REKAP Balok'!M$11)</f>
        <v>0</v>
      </c>
      <c r="N119" s="282">
        <f>SUMIFS('Besi Balok'!$AA$23:$AA$7253,'Besi Balok'!$A$23:$A$7253,$A119,'Besi Balok'!$B$23:$B$7253,$B119,'Besi Balok'!$F$23:$F$7253,'REKAP Balok'!N$11)</f>
        <v>12.064905000000001</v>
      </c>
      <c r="O119" s="282">
        <f>SUMIFS('Besi Balok'!$AA$23:$AA$7253,'Besi Balok'!$A$23:$A$7253,$A119,'Besi Balok'!$B$23:$B$7253,$B119,'Besi Balok'!$F$23:$F$7253,'REKAP Balok'!O$11)</f>
        <v>13.546588769999996</v>
      </c>
      <c r="P119" s="282">
        <f>SUMIFS('Besi Balok'!$AA$23:$AA$7253,'Besi Balok'!$A$23:$A$7253,$A119,'Besi Balok'!$B$23:$B$7253,$B119,'Besi Balok'!$F$23:$F$7253,'REKAP Balok'!P$11)</f>
        <v>0</v>
      </c>
      <c r="Q119" s="282">
        <f>SUMIFS('Besi Balok'!$AA$23:$AA$7253,'Besi Balok'!$A$23:$A$7253,$A119,'Besi Balok'!$B$23:$B$7253,$B119,'Besi Balok'!$F$23:$F$7253,'REKAP Balok'!Q$11)</f>
        <v>0</v>
      </c>
      <c r="R119" s="282">
        <f>SUMIFS('Besi Balok'!$AA$23:$AA$7253,'Besi Balok'!$A$23:$A$7253,$A119,'Besi Balok'!$B$23:$B$7253,$B119,'Besi Balok'!$F$23:$F$7253,'REKAP Balok'!R$11)</f>
        <v>0</v>
      </c>
      <c r="S119" s="282">
        <f>SUMIFS('Besi Balok'!$AA$23:$AA$7253,'Besi Balok'!$A$23:$A$7253,$A119,'Besi Balok'!$B$23:$B$7253,$B119,'Besi Balok'!$F$23:$F$7253,'REKAP Balok'!S$11)</f>
        <v>0</v>
      </c>
      <c r="T119" s="283">
        <f>SUMIFS('Besi Balok'!$AA$23:$AA$7253,'Besi Balok'!$A$23:$A$7253,$A119,'Besi Balok'!$B$23:$B$7253,$B119,'Besi Balok'!$F$23:$F$7253,'REKAP Balok'!T$11)</f>
        <v>0</v>
      </c>
      <c r="U119" s="284">
        <f t="shared" si="33"/>
        <v>25.611493769999996</v>
      </c>
      <c r="V119" s="285">
        <f t="shared" si="34"/>
        <v>0.1484</v>
      </c>
      <c r="W119" s="282">
        <f t="shared" ref="W119:W151" si="44">(((F119-H119)*2+IF(H119&gt;0,0,D119))*(G119)*K119)/1000000</f>
        <v>1.855</v>
      </c>
      <c r="X119" s="282"/>
      <c r="Y119" s="282"/>
      <c r="Z119" s="283"/>
      <c r="AC119" s="1784">
        <f t="shared" si="38"/>
        <v>0.29680000000000001</v>
      </c>
    </row>
    <row r="120" spans="1:29" hidden="1">
      <c r="A120" s="272" t="str">
        <f>'Data Panjang Balok'!A116</f>
        <v>Lantai 2</v>
      </c>
      <c r="B120" s="273">
        <f>'Data Panjang Balok'!B116</f>
        <v>19</v>
      </c>
      <c r="C120" s="274" t="str">
        <f>'Data Panjang Balok'!D116</f>
        <v>B23-1</v>
      </c>
      <c r="D120" s="275">
        <f>IF(C120&gt;0,VLOOKUP(C120,'Detail Balok'!$C$11:$AU$140,2,FALSE),0)</f>
        <v>200</v>
      </c>
      <c r="E120" s="276" t="s">
        <v>125</v>
      </c>
      <c r="F120" s="277">
        <f>IF(C120&gt;0,VLOOKUP(C120,'Detail Balok'!$C$11:$AU$140,3,FALSE),0)</f>
        <v>300</v>
      </c>
      <c r="G120" s="278">
        <f>'Data Panjang Balok'!I116</f>
        <v>2075</v>
      </c>
      <c r="H120" s="278">
        <f>'Data Panjang Balok'!J116</f>
        <v>150</v>
      </c>
      <c r="I120" s="279">
        <v>0</v>
      </c>
      <c r="J120" s="279">
        <f t="shared" si="32"/>
        <v>-0.3</v>
      </c>
      <c r="K120" s="280">
        <f>'Data Panjang Balok'!E116</f>
        <v>1</v>
      </c>
      <c r="L120" s="281">
        <f>SUMIFS('Besi Balok'!$AA$23:$AA$7253,'Besi Balok'!$A$23:$A$7253,$A120,'Besi Balok'!$B$23:$B$7253,$B120,'Besi Balok'!$F$23:$F$7253,'REKAP Balok'!L$11)</f>
        <v>0</v>
      </c>
      <c r="M120" s="282">
        <f>SUMIFS('Besi Balok'!$AA$23:$AA$7253,'Besi Balok'!$A$23:$A$7253,$A120,'Besi Balok'!$B$23:$B$7253,$B120,'Besi Balok'!$F$23:$F$7253,'REKAP Balok'!M$11)</f>
        <v>0</v>
      </c>
      <c r="N120" s="282">
        <f>SUMIFS('Besi Balok'!$AA$23:$AA$7253,'Besi Balok'!$A$23:$A$7253,$A120,'Besi Balok'!$B$23:$B$7253,$B120,'Besi Balok'!$F$23:$F$7253,'REKAP Balok'!N$11)</f>
        <v>9.2105100000000029</v>
      </c>
      <c r="O120" s="282">
        <f>SUMIFS('Besi Balok'!$AA$23:$AA$7253,'Besi Balok'!$A$23:$A$7253,$A120,'Besi Balok'!$B$23:$B$7253,$B120,'Besi Balok'!$F$23:$F$7253,'REKAP Balok'!O$11)</f>
        <v>14.92187697</v>
      </c>
      <c r="P120" s="282">
        <f>SUMIFS('Besi Balok'!$AA$23:$AA$7253,'Besi Balok'!$A$23:$A$7253,$A120,'Besi Balok'!$B$23:$B$7253,$B120,'Besi Balok'!$F$23:$F$7253,'REKAP Balok'!P$11)</f>
        <v>0</v>
      </c>
      <c r="Q120" s="282">
        <f>SUMIFS('Besi Balok'!$AA$23:$AA$7253,'Besi Balok'!$A$23:$A$7253,$A120,'Besi Balok'!$B$23:$B$7253,$B120,'Besi Balok'!$F$23:$F$7253,'REKAP Balok'!Q$11)</f>
        <v>0</v>
      </c>
      <c r="R120" s="282">
        <f>SUMIFS('Besi Balok'!$AA$23:$AA$7253,'Besi Balok'!$A$23:$A$7253,$A120,'Besi Balok'!$B$23:$B$7253,$B120,'Besi Balok'!$F$23:$F$7253,'REKAP Balok'!R$11)</f>
        <v>0</v>
      </c>
      <c r="S120" s="282">
        <f>SUMIFS('Besi Balok'!$AA$23:$AA$7253,'Besi Balok'!$A$23:$A$7253,$A120,'Besi Balok'!$B$23:$B$7253,$B120,'Besi Balok'!$F$23:$F$7253,'REKAP Balok'!S$11)</f>
        <v>0</v>
      </c>
      <c r="T120" s="283">
        <f>SUMIFS('Besi Balok'!$AA$23:$AA$7253,'Besi Balok'!$A$23:$A$7253,$A120,'Besi Balok'!$B$23:$B$7253,$B120,'Besi Balok'!$F$23:$F$7253,'REKAP Balok'!T$11)</f>
        <v>0</v>
      </c>
      <c r="U120" s="284">
        <f t="shared" si="33"/>
        <v>24.132386970000002</v>
      </c>
      <c r="V120" s="285">
        <f t="shared" si="34"/>
        <v>6.225E-2</v>
      </c>
      <c r="W120" s="282">
        <f t="shared" si="44"/>
        <v>0.62250000000000005</v>
      </c>
      <c r="X120" s="282"/>
      <c r="Y120" s="282"/>
      <c r="Z120" s="283"/>
      <c r="AC120" s="1784">
        <f t="shared" si="38"/>
        <v>0.249</v>
      </c>
    </row>
    <row r="121" spans="1:29" hidden="1">
      <c r="A121" s="272" t="str">
        <f>'Data Panjang Balok'!A117</f>
        <v>Lantai 2</v>
      </c>
      <c r="B121" s="273">
        <f>'Data Panjang Balok'!B117</f>
        <v>20</v>
      </c>
      <c r="C121" s="274" t="str">
        <f>'Data Panjang Balok'!D117</f>
        <v>B24-2</v>
      </c>
      <c r="D121" s="275">
        <f>IF(C121&gt;0,VLOOKUP(C121,'Detail Balok'!$C$11:$AU$140,2,FALSE),0)</f>
        <v>200</v>
      </c>
      <c r="E121" s="276" t="s">
        <v>125</v>
      </c>
      <c r="F121" s="277">
        <f>IF(C121&gt;0,VLOOKUP(C121,'Detail Balok'!$C$11:$AU$140,3,FALSE),0)</f>
        <v>400</v>
      </c>
      <c r="G121" s="278">
        <f>'Data Panjang Balok'!I117</f>
        <v>3010</v>
      </c>
      <c r="H121" s="278">
        <f>'Data Panjang Balok'!J117</f>
        <v>150</v>
      </c>
      <c r="I121" s="279">
        <v>0</v>
      </c>
      <c r="J121" s="279">
        <f t="shared" si="32"/>
        <v>-0.4</v>
      </c>
      <c r="K121" s="280">
        <f>'Data Panjang Balok'!E117</f>
        <v>1</v>
      </c>
      <c r="L121" s="281">
        <f>SUMIFS('Besi Balok'!$AA$23:$AA$7253,'Besi Balok'!$A$23:$A$7253,$A121,'Besi Balok'!$B$23:$B$7253,$B121,'Besi Balok'!$F$23:$F$7253,'REKAP Balok'!L$11)</f>
        <v>0</v>
      </c>
      <c r="M121" s="282">
        <f>SUMIFS('Besi Balok'!$AA$23:$AA$7253,'Besi Balok'!$A$23:$A$7253,$A121,'Besi Balok'!$B$23:$B$7253,$B121,'Besi Balok'!$F$23:$F$7253,'REKAP Balok'!M$11)</f>
        <v>0</v>
      </c>
      <c r="N121" s="282">
        <f>SUMIFS('Besi Balok'!$AA$23:$AA$7253,'Besi Balok'!$A$23:$A$7253,$A121,'Besi Balok'!$B$23:$B$7253,$B121,'Besi Balok'!$F$23:$F$7253,'REKAP Balok'!N$11)</f>
        <v>15.874875000000003</v>
      </c>
      <c r="O121" s="282">
        <f>SUMIFS('Besi Balok'!$AA$23:$AA$7253,'Besi Balok'!$A$23:$A$7253,$A121,'Besi Balok'!$B$23:$B$7253,$B121,'Besi Balok'!$F$23:$F$7253,'REKAP Balok'!O$11)</f>
        <v>0</v>
      </c>
      <c r="P121" s="282">
        <f>SUMIFS('Besi Balok'!$AA$23:$AA$7253,'Besi Balok'!$A$23:$A$7253,$A121,'Besi Balok'!$B$23:$B$7253,$B121,'Besi Balok'!$F$23:$F$7253,'REKAP Balok'!P$11)</f>
        <v>32.139279359999996</v>
      </c>
      <c r="Q121" s="282">
        <f>SUMIFS('Besi Balok'!$AA$23:$AA$7253,'Besi Balok'!$A$23:$A$7253,$A121,'Besi Balok'!$B$23:$B$7253,$B121,'Besi Balok'!$F$23:$F$7253,'REKAP Balok'!Q$11)</f>
        <v>0</v>
      </c>
      <c r="R121" s="282">
        <f>SUMIFS('Besi Balok'!$AA$23:$AA$7253,'Besi Balok'!$A$23:$A$7253,$A121,'Besi Balok'!$B$23:$B$7253,$B121,'Besi Balok'!$F$23:$F$7253,'REKAP Balok'!R$11)</f>
        <v>0</v>
      </c>
      <c r="S121" s="282">
        <f>SUMIFS('Besi Balok'!$AA$23:$AA$7253,'Besi Balok'!$A$23:$A$7253,$A121,'Besi Balok'!$B$23:$B$7253,$B121,'Besi Balok'!$F$23:$F$7253,'REKAP Balok'!S$11)</f>
        <v>0</v>
      </c>
      <c r="T121" s="283">
        <f>SUMIFS('Besi Balok'!$AA$23:$AA$7253,'Besi Balok'!$A$23:$A$7253,$A121,'Besi Balok'!$B$23:$B$7253,$B121,'Besi Balok'!$F$23:$F$7253,'REKAP Balok'!T$11)</f>
        <v>0</v>
      </c>
      <c r="U121" s="284">
        <f t="shared" si="33"/>
        <v>48.014154359999999</v>
      </c>
      <c r="V121" s="285">
        <f t="shared" si="34"/>
        <v>0.15049999999999999</v>
      </c>
      <c r="W121" s="282">
        <f t="shared" si="44"/>
        <v>1.5049999999999999</v>
      </c>
      <c r="X121" s="282"/>
      <c r="Y121" s="282"/>
      <c r="Z121" s="283"/>
      <c r="AC121" s="1784">
        <f t="shared" si="38"/>
        <v>0.48159999999999997</v>
      </c>
    </row>
    <row r="122" spans="1:29" hidden="1">
      <c r="A122" s="272" t="str">
        <f>'Data Panjang Balok'!A118</f>
        <v>Lantai 2</v>
      </c>
      <c r="B122" s="273">
        <f>'Data Panjang Balok'!B118</f>
        <v>21</v>
      </c>
      <c r="C122" s="274" t="str">
        <f>'Data Panjang Balok'!D118</f>
        <v>B25-1</v>
      </c>
      <c r="D122" s="275">
        <f>IF(C122&gt;0,VLOOKUP(C122,'Detail Balok'!$C$11:$AU$140,2,FALSE),0)</f>
        <v>200</v>
      </c>
      <c r="E122" s="276" t="s">
        <v>125</v>
      </c>
      <c r="F122" s="277">
        <f>IF(C122&gt;0,VLOOKUP(C122,'Detail Balok'!$C$11:$AU$140,3,FALSE),0)</f>
        <v>500</v>
      </c>
      <c r="G122" s="278">
        <f>'Data Panjang Balok'!I118</f>
        <v>4075</v>
      </c>
      <c r="H122" s="278">
        <f>'Data Panjang Balok'!J118</f>
        <v>150</v>
      </c>
      <c r="I122" s="279">
        <v>0</v>
      </c>
      <c r="J122" s="279">
        <f t="shared" si="32"/>
        <v>-0.5</v>
      </c>
      <c r="K122" s="280">
        <f>'Data Panjang Balok'!E118</f>
        <v>1</v>
      </c>
      <c r="L122" s="281">
        <f>SUMIFS('Besi Balok'!$AA$23:$AA$7253,'Besi Balok'!$A$23:$A$7253,$A122,'Besi Balok'!$B$23:$B$7253,$B122,'Besi Balok'!$F$23:$F$7253,'REKAP Balok'!L$11)</f>
        <v>0</v>
      </c>
      <c r="M122" s="282">
        <f>SUMIFS('Besi Balok'!$AA$23:$AA$7253,'Besi Balok'!$A$23:$A$7253,$A122,'Besi Balok'!$B$23:$B$7253,$B122,'Besi Balok'!$F$23:$F$7253,'REKAP Balok'!M$11)</f>
        <v>0</v>
      </c>
      <c r="N122" s="282">
        <f>SUMIFS('Besi Balok'!$AA$23:$AA$7253,'Besi Balok'!$A$23:$A$7253,$A122,'Besi Balok'!$B$23:$B$7253,$B122,'Besi Balok'!$F$23:$F$7253,'REKAP Balok'!N$11)</f>
        <v>25.036065000000001</v>
      </c>
      <c r="O122" s="282">
        <f>SUMIFS('Besi Balok'!$AA$23:$AA$7253,'Besi Balok'!$A$23:$A$7253,$A122,'Besi Balok'!$B$23:$B$7253,$B122,'Besi Balok'!$F$23:$F$7253,'REKAP Balok'!O$11)</f>
        <v>0</v>
      </c>
      <c r="P122" s="282">
        <f>SUMIFS('Besi Balok'!$AA$23:$AA$7253,'Besi Balok'!$A$23:$A$7253,$A122,'Besi Balok'!$B$23:$B$7253,$B122,'Besi Balok'!$F$23:$F$7253,'REKAP Balok'!P$11)</f>
        <v>56.298977279999995</v>
      </c>
      <c r="Q122" s="282">
        <f>SUMIFS('Besi Balok'!$AA$23:$AA$7253,'Besi Balok'!$A$23:$A$7253,$A122,'Besi Balok'!$B$23:$B$7253,$B122,'Besi Balok'!$F$23:$F$7253,'REKAP Balok'!Q$11)</f>
        <v>0</v>
      </c>
      <c r="R122" s="282">
        <f>SUMIFS('Besi Balok'!$AA$23:$AA$7253,'Besi Balok'!$A$23:$A$7253,$A122,'Besi Balok'!$B$23:$B$7253,$B122,'Besi Balok'!$F$23:$F$7253,'REKAP Balok'!R$11)</f>
        <v>0</v>
      </c>
      <c r="S122" s="282">
        <f>SUMIFS('Besi Balok'!$AA$23:$AA$7253,'Besi Balok'!$A$23:$A$7253,$A122,'Besi Balok'!$B$23:$B$7253,$B122,'Besi Balok'!$F$23:$F$7253,'REKAP Balok'!S$11)</f>
        <v>0</v>
      </c>
      <c r="T122" s="283">
        <f>SUMIFS('Besi Balok'!$AA$23:$AA$7253,'Besi Balok'!$A$23:$A$7253,$A122,'Besi Balok'!$B$23:$B$7253,$B122,'Besi Balok'!$F$23:$F$7253,'REKAP Balok'!T$11)</f>
        <v>0</v>
      </c>
      <c r="U122" s="284">
        <f t="shared" si="33"/>
        <v>81.335042279999996</v>
      </c>
      <c r="V122" s="285">
        <f t="shared" si="34"/>
        <v>0.28525</v>
      </c>
      <c r="W122" s="282">
        <f t="shared" si="44"/>
        <v>2.8525</v>
      </c>
      <c r="X122" s="282"/>
      <c r="Y122" s="282"/>
      <c r="Z122" s="283"/>
      <c r="AC122" s="1784">
        <f t="shared" si="38"/>
        <v>0.81499999999999995</v>
      </c>
    </row>
    <row r="123" spans="1:29" hidden="1">
      <c r="A123" s="272" t="str">
        <f>'Data Panjang Balok'!A119</f>
        <v>Lantai 2</v>
      </c>
      <c r="B123" s="273">
        <f>'Data Panjang Balok'!B119</f>
        <v>22</v>
      </c>
      <c r="C123" s="274" t="str">
        <f>'Data Panjang Balok'!D119</f>
        <v>B24-1</v>
      </c>
      <c r="D123" s="275">
        <f>IF(C123&gt;0,VLOOKUP(C123,'Detail Balok'!$C$11:$AU$140,2,FALSE),0)</f>
        <v>200</v>
      </c>
      <c r="E123" s="276" t="s">
        <v>125</v>
      </c>
      <c r="F123" s="277">
        <f>IF(C123&gt;0,VLOOKUP(C123,'Detail Balok'!$C$11:$AU$140,3,FALSE),0)</f>
        <v>400</v>
      </c>
      <c r="G123" s="278">
        <f>'Data Panjang Balok'!I119</f>
        <v>1760</v>
      </c>
      <c r="H123" s="278">
        <f>'Data Panjang Balok'!J119</f>
        <v>0</v>
      </c>
      <c r="I123" s="279">
        <v>0</v>
      </c>
      <c r="J123" s="279">
        <f t="shared" si="32"/>
        <v>-0.4</v>
      </c>
      <c r="K123" s="280">
        <f>'Data Panjang Balok'!E119</f>
        <v>1</v>
      </c>
      <c r="L123" s="281">
        <f>SUMIFS('Besi Balok'!$AA$23:$AA$7253,'Besi Balok'!$A$23:$A$7253,$A123,'Besi Balok'!$B$23:$B$7253,$B123,'Besi Balok'!$F$23:$F$7253,'REKAP Balok'!L$11)</f>
        <v>0</v>
      </c>
      <c r="M123" s="282">
        <f>SUMIFS('Besi Balok'!$AA$23:$AA$7253,'Besi Balok'!$A$23:$A$7253,$A123,'Besi Balok'!$B$23:$B$7253,$B123,'Besi Balok'!$F$23:$F$7253,'REKAP Balok'!M$11)</f>
        <v>0</v>
      </c>
      <c r="N123" s="282">
        <f>SUMIFS('Besi Balok'!$AA$23:$AA$7253,'Besi Balok'!$A$23:$A$7253,$A123,'Besi Balok'!$B$23:$B$7253,$B123,'Besi Balok'!$F$23:$F$7253,'REKAP Balok'!N$11)</f>
        <v>12.064905000000001</v>
      </c>
      <c r="O123" s="282">
        <f>SUMIFS('Besi Balok'!$AA$23:$AA$7253,'Besi Balok'!$A$23:$A$7253,$A123,'Besi Balok'!$B$23:$B$7253,$B123,'Besi Balok'!$F$23:$F$7253,'REKAP Balok'!O$11)</f>
        <v>12.95271432</v>
      </c>
      <c r="P123" s="282">
        <f>SUMIFS('Besi Balok'!$AA$23:$AA$7253,'Besi Balok'!$A$23:$A$7253,$A123,'Besi Balok'!$B$23:$B$7253,$B123,'Besi Balok'!$F$23:$F$7253,'REKAP Balok'!P$11)</f>
        <v>0</v>
      </c>
      <c r="Q123" s="282">
        <f>SUMIFS('Besi Balok'!$AA$23:$AA$7253,'Besi Balok'!$A$23:$A$7253,$A123,'Besi Balok'!$B$23:$B$7253,$B123,'Besi Balok'!$F$23:$F$7253,'REKAP Balok'!Q$11)</f>
        <v>0</v>
      </c>
      <c r="R123" s="282">
        <f>SUMIFS('Besi Balok'!$AA$23:$AA$7253,'Besi Balok'!$A$23:$A$7253,$A123,'Besi Balok'!$B$23:$B$7253,$B123,'Besi Balok'!$F$23:$F$7253,'REKAP Balok'!R$11)</f>
        <v>0</v>
      </c>
      <c r="S123" s="282">
        <f>SUMIFS('Besi Balok'!$AA$23:$AA$7253,'Besi Balok'!$A$23:$A$7253,$A123,'Besi Balok'!$B$23:$B$7253,$B123,'Besi Balok'!$F$23:$F$7253,'REKAP Balok'!S$11)</f>
        <v>0</v>
      </c>
      <c r="T123" s="283">
        <f>SUMIFS('Besi Balok'!$AA$23:$AA$7253,'Besi Balok'!$A$23:$A$7253,$A123,'Besi Balok'!$B$23:$B$7253,$B123,'Besi Balok'!$F$23:$F$7253,'REKAP Balok'!T$11)</f>
        <v>0</v>
      </c>
      <c r="U123" s="284">
        <f t="shared" si="33"/>
        <v>25.017619320000001</v>
      </c>
      <c r="V123" s="285">
        <f t="shared" si="34"/>
        <v>0.14080000000000001</v>
      </c>
      <c r="W123" s="282">
        <f t="shared" si="44"/>
        <v>1.76</v>
      </c>
      <c r="X123" s="282"/>
      <c r="Y123" s="282"/>
      <c r="Z123" s="283"/>
      <c r="AC123" s="1784">
        <f t="shared" si="38"/>
        <v>0.28160000000000002</v>
      </c>
    </row>
    <row r="124" spans="1:29" hidden="1">
      <c r="A124" s="272" t="str">
        <f>'Data Panjang Balok'!A120</f>
        <v>Lantai 2</v>
      </c>
      <c r="B124" s="273">
        <f>'Data Panjang Balok'!B120</f>
        <v>23</v>
      </c>
      <c r="C124" s="274" t="str">
        <f>'Data Panjang Balok'!D120</f>
        <v>CL24-1</v>
      </c>
      <c r="D124" s="275">
        <f>IF(C124&gt;0,VLOOKUP(C124,'Detail Balok'!$C$11:$AU$140,2,FALSE),0)</f>
        <v>200</v>
      </c>
      <c r="E124" s="276" t="s">
        <v>125</v>
      </c>
      <c r="F124" s="277">
        <f>IF(C124&gt;0,VLOOKUP(C124,'Detail Balok'!$C$11:$AU$140,3,FALSE),0)</f>
        <v>400</v>
      </c>
      <c r="G124" s="278">
        <f>'Data Panjang Balok'!I120</f>
        <v>3010</v>
      </c>
      <c r="H124" s="278">
        <f>'Data Panjang Balok'!J120</f>
        <v>150</v>
      </c>
      <c r="I124" s="279">
        <v>0</v>
      </c>
      <c r="J124" s="279">
        <f t="shared" si="32"/>
        <v>-0.4</v>
      </c>
      <c r="K124" s="280">
        <f>'Data Panjang Balok'!E120</f>
        <v>1</v>
      </c>
      <c r="L124" s="281">
        <f>SUMIFS('Besi Balok'!$AA$23:$AA$7253,'Besi Balok'!$A$23:$A$7253,$A124,'Besi Balok'!$B$23:$B$7253,$B124,'Besi Balok'!$F$23:$F$7253,'REKAP Balok'!L$11)</f>
        <v>0</v>
      </c>
      <c r="M124" s="282">
        <f>SUMIFS('Besi Balok'!$AA$23:$AA$7253,'Besi Balok'!$A$23:$A$7253,$A124,'Besi Balok'!$B$23:$B$7253,$B124,'Besi Balok'!$F$23:$F$7253,'REKAP Balok'!M$11)</f>
        <v>0</v>
      </c>
      <c r="N124" s="282">
        <f>SUMIFS('Besi Balok'!$AA$23:$AA$7253,'Besi Balok'!$A$23:$A$7253,$A124,'Besi Balok'!$B$23:$B$7253,$B124,'Besi Balok'!$F$23:$F$7253,'REKAP Balok'!N$11)</f>
        <v>20.319840000000003</v>
      </c>
      <c r="O124" s="282">
        <f>SUMIFS('Besi Balok'!$AA$23:$AA$7253,'Besi Balok'!$A$23:$A$7253,$A124,'Besi Balok'!$B$23:$B$7253,$B124,'Besi Balok'!$F$23:$F$7253,'REKAP Balok'!O$11)</f>
        <v>0</v>
      </c>
      <c r="P124" s="282">
        <f>SUMIFS('Besi Balok'!$AA$23:$AA$7253,'Besi Balok'!$A$23:$A$7253,$A124,'Besi Balok'!$B$23:$B$7253,$B124,'Besi Balok'!$F$23:$F$7253,'REKAP Balok'!P$11)</f>
        <v>32.139279359999996</v>
      </c>
      <c r="Q124" s="282">
        <f>SUMIFS('Besi Balok'!$AA$23:$AA$7253,'Besi Balok'!$A$23:$A$7253,$A124,'Besi Balok'!$B$23:$B$7253,$B124,'Besi Balok'!$F$23:$F$7253,'REKAP Balok'!Q$11)</f>
        <v>0</v>
      </c>
      <c r="R124" s="282">
        <f>SUMIFS('Besi Balok'!$AA$23:$AA$7253,'Besi Balok'!$A$23:$A$7253,$A124,'Besi Balok'!$B$23:$B$7253,$B124,'Besi Balok'!$F$23:$F$7253,'REKAP Balok'!R$11)</f>
        <v>0</v>
      </c>
      <c r="S124" s="282">
        <f>SUMIFS('Besi Balok'!$AA$23:$AA$7253,'Besi Balok'!$A$23:$A$7253,$A124,'Besi Balok'!$B$23:$B$7253,$B124,'Besi Balok'!$F$23:$F$7253,'REKAP Balok'!S$11)</f>
        <v>0</v>
      </c>
      <c r="T124" s="283">
        <f>SUMIFS('Besi Balok'!$AA$23:$AA$7253,'Besi Balok'!$A$23:$A$7253,$A124,'Besi Balok'!$B$23:$B$7253,$B124,'Besi Balok'!$F$23:$F$7253,'REKAP Balok'!T$11)</f>
        <v>0</v>
      </c>
      <c r="U124" s="284">
        <f t="shared" si="33"/>
        <v>52.459119360000003</v>
      </c>
      <c r="V124" s="285">
        <f t="shared" si="34"/>
        <v>0.15049999999999999</v>
      </c>
      <c r="W124" s="282">
        <f t="shared" si="44"/>
        <v>1.5049999999999999</v>
      </c>
      <c r="X124" s="282"/>
      <c r="Y124" s="282"/>
      <c r="Z124" s="283"/>
      <c r="AC124" s="1784">
        <f t="shared" si="38"/>
        <v>0.48159999999999997</v>
      </c>
    </row>
    <row r="125" spans="1:29" hidden="1">
      <c r="A125" s="272" t="str">
        <f>'Data Panjang Balok'!A121</f>
        <v>Lantai 2</v>
      </c>
      <c r="B125" s="273">
        <f>'Data Panjang Balok'!B121</f>
        <v>24</v>
      </c>
      <c r="C125" s="274" t="str">
        <f>'Data Panjang Balok'!D121</f>
        <v>B24-1</v>
      </c>
      <c r="D125" s="275">
        <f>IF(C125&gt;0,VLOOKUP(C125,'Detail Balok'!$C$11:$AU$140,2,FALSE),0)</f>
        <v>200</v>
      </c>
      <c r="E125" s="276" t="s">
        <v>125</v>
      </c>
      <c r="F125" s="277">
        <f>IF(C125&gt;0,VLOOKUP(C125,'Detail Balok'!$C$11:$AU$140,3,FALSE),0)</f>
        <v>400</v>
      </c>
      <c r="G125" s="278">
        <f>'Data Panjang Balok'!I121</f>
        <v>2800</v>
      </c>
      <c r="H125" s="278">
        <f>'Data Panjang Balok'!J121</f>
        <v>150</v>
      </c>
      <c r="I125" s="279">
        <v>0</v>
      </c>
      <c r="J125" s="279">
        <f t="shared" si="32"/>
        <v>-0.4</v>
      </c>
      <c r="K125" s="280">
        <f>'Data Panjang Balok'!E121</f>
        <v>1</v>
      </c>
      <c r="L125" s="281">
        <f>SUMIFS('Besi Balok'!$AA$23:$AA$7253,'Besi Balok'!$A$23:$A$7253,$A125,'Besi Balok'!$B$23:$B$7253,$B125,'Besi Balok'!$F$23:$F$7253,'REKAP Balok'!L$11)</f>
        <v>0</v>
      </c>
      <c r="M125" s="282">
        <f>SUMIFS('Besi Balok'!$AA$23:$AA$7253,'Besi Balok'!$A$23:$A$7253,$A125,'Besi Balok'!$B$23:$B$7253,$B125,'Besi Balok'!$F$23:$F$7253,'REKAP Balok'!M$11)</f>
        <v>0</v>
      </c>
      <c r="N125" s="282">
        <f>SUMIFS('Besi Balok'!$AA$23:$AA$7253,'Besi Balok'!$A$23:$A$7253,$A125,'Besi Balok'!$B$23:$B$7253,$B125,'Besi Balok'!$F$23:$F$7253,'REKAP Balok'!N$11)</f>
        <v>15.239880000000003</v>
      </c>
      <c r="O125" s="282">
        <f>SUMIFS('Besi Balok'!$AA$23:$AA$7253,'Besi Balok'!$A$23:$A$7253,$A125,'Besi Balok'!$B$23:$B$7253,$B125,'Besi Balok'!$F$23:$F$7253,'REKAP Balok'!O$11)</f>
        <v>19.454076719999996</v>
      </c>
      <c r="P125" s="282">
        <f>SUMIFS('Besi Balok'!$AA$23:$AA$7253,'Besi Balok'!$A$23:$A$7253,$A125,'Besi Balok'!$B$23:$B$7253,$B125,'Besi Balok'!$F$23:$F$7253,'REKAP Balok'!P$11)</f>
        <v>0</v>
      </c>
      <c r="Q125" s="282">
        <f>SUMIFS('Besi Balok'!$AA$23:$AA$7253,'Besi Balok'!$A$23:$A$7253,$A125,'Besi Balok'!$B$23:$B$7253,$B125,'Besi Balok'!$F$23:$F$7253,'REKAP Balok'!Q$11)</f>
        <v>0</v>
      </c>
      <c r="R125" s="282">
        <f>SUMIFS('Besi Balok'!$AA$23:$AA$7253,'Besi Balok'!$A$23:$A$7253,$A125,'Besi Balok'!$B$23:$B$7253,$B125,'Besi Balok'!$F$23:$F$7253,'REKAP Balok'!R$11)</f>
        <v>0</v>
      </c>
      <c r="S125" s="282">
        <f>SUMIFS('Besi Balok'!$AA$23:$AA$7253,'Besi Balok'!$A$23:$A$7253,$A125,'Besi Balok'!$B$23:$B$7253,$B125,'Besi Balok'!$F$23:$F$7253,'REKAP Balok'!S$11)</f>
        <v>0</v>
      </c>
      <c r="T125" s="283">
        <f>SUMIFS('Besi Balok'!$AA$23:$AA$7253,'Besi Balok'!$A$23:$A$7253,$A125,'Besi Balok'!$B$23:$B$7253,$B125,'Besi Balok'!$F$23:$F$7253,'REKAP Balok'!T$11)</f>
        <v>0</v>
      </c>
      <c r="U125" s="284">
        <f t="shared" si="33"/>
        <v>34.693956720000003</v>
      </c>
      <c r="V125" s="285">
        <f t="shared" si="34"/>
        <v>0.14000000000000001</v>
      </c>
      <c r="W125" s="282">
        <f t="shared" si="44"/>
        <v>1.4</v>
      </c>
      <c r="X125" s="282"/>
      <c r="Y125" s="282"/>
      <c r="Z125" s="283"/>
      <c r="AC125" s="1784">
        <f t="shared" si="38"/>
        <v>0.44800000000000001</v>
      </c>
    </row>
    <row r="126" spans="1:29" hidden="1">
      <c r="A126" s="272" t="str">
        <f>'Data Panjang Balok'!A122</f>
        <v>Lantai 2</v>
      </c>
      <c r="B126" s="273">
        <f>'Data Panjang Balok'!B122</f>
        <v>25</v>
      </c>
      <c r="C126" s="274" t="str">
        <f>'Data Panjang Balok'!D122</f>
        <v>B24-1</v>
      </c>
      <c r="D126" s="275">
        <f>IF(C126&gt;0,VLOOKUP(C126,'Detail Balok'!$C$11:$AU$140,2,FALSE),0)</f>
        <v>200</v>
      </c>
      <c r="E126" s="276" t="s">
        <v>125</v>
      </c>
      <c r="F126" s="277">
        <f>IF(C126&gt;0,VLOOKUP(C126,'Detail Balok'!$C$11:$AU$140,3,FALSE),0)</f>
        <v>400</v>
      </c>
      <c r="G126" s="278">
        <f>'Data Panjang Balok'!I122</f>
        <v>5150</v>
      </c>
      <c r="H126" s="278">
        <f>'Data Panjang Balok'!J122</f>
        <v>0</v>
      </c>
      <c r="I126" s="279">
        <v>0</v>
      </c>
      <c r="J126" s="279">
        <f t="shared" si="32"/>
        <v>-0.4</v>
      </c>
      <c r="K126" s="280">
        <f>'Data Panjang Balok'!E122</f>
        <v>1</v>
      </c>
      <c r="L126" s="281">
        <f>SUMIFS('Besi Balok'!$AA$23:$AA$7253,'Besi Balok'!$A$23:$A$7253,$A126,'Besi Balok'!$B$23:$B$7253,$B126,'Besi Balok'!$F$23:$F$7253,'REKAP Balok'!L$11)</f>
        <v>0</v>
      </c>
      <c r="M126" s="282">
        <f>SUMIFS('Besi Balok'!$AA$23:$AA$7253,'Besi Balok'!$A$23:$A$7253,$A126,'Besi Balok'!$B$23:$B$7253,$B126,'Besi Balok'!$F$23:$F$7253,'REKAP Balok'!M$11)</f>
        <v>0</v>
      </c>
      <c r="N126" s="282">
        <f>SUMIFS('Besi Balok'!$AA$23:$AA$7253,'Besi Balok'!$A$23:$A$7253,$A126,'Besi Balok'!$B$23:$B$7253,$B126,'Besi Balok'!$F$23:$F$7253,'REKAP Balok'!N$11)</f>
        <v>26.034795000000003</v>
      </c>
      <c r="O126" s="282">
        <f>SUMIFS('Besi Balok'!$AA$23:$AA$7253,'Besi Balok'!$A$23:$A$7253,$A126,'Besi Balok'!$B$23:$B$7253,$B126,'Besi Balok'!$F$23:$F$7253,'REKAP Balok'!O$11)</f>
        <v>34.144655220000004</v>
      </c>
      <c r="P126" s="282">
        <f>SUMIFS('Besi Balok'!$AA$23:$AA$7253,'Besi Balok'!$A$23:$A$7253,$A126,'Besi Balok'!$B$23:$B$7253,$B126,'Besi Balok'!$F$23:$F$7253,'REKAP Balok'!P$11)</f>
        <v>0</v>
      </c>
      <c r="Q126" s="282">
        <f>SUMIFS('Besi Balok'!$AA$23:$AA$7253,'Besi Balok'!$A$23:$A$7253,$A126,'Besi Balok'!$B$23:$B$7253,$B126,'Besi Balok'!$F$23:$F$7253,'REKAP Balok'!Q$11)</f>
        <v>0</v>
      </c>
      <c r="R126" s="282">
        <f>SUMIFS('Besi Balok'!$AA$23:$AA$7253,'Besi Balok'!$A$23:$A$7253,$A126,'Besi Balok'!$B$23:$B$7253,$B126,'Besi Balok'!$F$23:$F$7253,'REKAP Balok'!R$11)</f>
        <v>0</v>
      </c>
      <c r="S126" s="282">
        <f>SUMIFS('Besi Balok'!$AA$23:$AA$7253,'Besi Balok'!$A$23:$A$7253,$A126,'Besi Balok'!$B$23:$B$7253,$B126,'Besi Balok'!$F$23:$F$7253,'REKAP Balok'!S$11)</f>
        <v>0</v>
      </c>
      <c r="T126" s="283">
        <f>SUMIFS('Besi Balok'!$AA$23:$AA$7253,'Besi Balok'!$A$23:$A$7253,$A126,'Besi Balok'!$B$23:$B$7253,$B126,'Besi Balok'!$F$23:$F$7253,'REKAP Balok'!T$11)</f>
        <v>0</v>
      </c>
      <c r="U126" s="284">
        <f t="shared" si="33"/>
        <v>60.179450220000007</v>
      </c>
      <c r="V126" s="285">
        <f t="shared" si="34"/>
        <v>0.41199999999999998</v>
      </c>
      <c r="W126" s="282">
        <f t="shared" si="44"/>
        <v>5.15</v>
      </c>
      <c r="X126" s="282"/>
      <c r="Y126" s="282"/>
      <c r="Z126" s="283"/>
      <c r="AC126" s="1784">
        <f t="shared" si="38"/>
        <v>0.82399999999999995</v>
      </c>
    </row>
    <row r="127" spans="1:29" hidden="1">
      <c r="A127" s="272" t="str">
        <f>'Data Panjang Balok'!A123</f>
        <v>Lantai 2</v>
      </c>
      <c r="B127" s="273">
        <f>'Data Panjang Balok'!B123</f>
        <v>26</v>
      </c>
      <c r="C127" s="274" t="str">
        <f>'Data Panjang Balok'!D123</f>
        <v>B26-1</v>
      </c>
      <c r="D127" s="275">
        <f>IF(C127&gt;0,VLOOKUP(C127,'Detail Balok'!$C$11:$AU$140,2,FALSE),0)</f>
        <v>200</v>
      </c>
      <c r="E127" s="276" t="s">
        <v>125</v>
      </c>
      <c r="F127" s="277">
        <f>IF(C127&gt;0,VLOOKUP(C127,'Detail Balok'!$C$11:$AU$140,3,FALSE),0)</f>
        <v>600</v>
      </c>
      <c r="G127" s="278">
        <f>'Data Panjang Balok'!I123</f>
        <v>6150</v>
      </c>
      <c r="H127" s="278">
        <f>'Data Panjang Balok'!J123</f>
        <v>150</v>
      </c>
      <c r="I127" s="279">
        <v>0</v>
      </c>
      <c r="J127" s="279">
        <f t="shared" si="32"/>
        <v>-0.6</v>
      </c>
      <c r="K127" s="280">
        <f>'Data Panjang Balok'!E123</f>
        <v>1</v>
      </c>
      <c r="L127" s="281">
        <f>SUMIFS('Besi Balok'!$AA$23:$AA$7253,'Besi Balok'!$A$23:$A$7253,$A127,'Besi Balok'!$B$23:$B$7253,$B127,'Besi Balok'!$F$23:$F$7253,'REKAP Balok'!L$11)</f>
        <v>0</v>
      </c>
      <c r="M127" s="282">
        <f>SUMIFS('Besi Balok'!$AA$23:$AA$7253,'Besi Balok'!$A$23:$A$7253,$A127,'Besi Balok'!$B$23:$B$7253,$B127,'Besi Balok'!$F$23:$F$7253,'REKAP Balok'!M$11)</f>
        <v>0</v>
      </c>
      <c r="N127" s="282">
        <f>SUMIFS('Besi Balok'!$AA$23:$AA$7253,'Besi Balok'!$A$23:$A$7253,$A127,'Besi Balok'!$B$23:$B$7253,$B127,'Besi Balok'!$F$23:$F$7253,'REKAP Balok'!N$11)</f>
        <v>54.603404999999995</v>
      </c>
      <c r="O127" s="282">
        <f>SUMIFS('Besi Balok'!$AA$23:$AA$7253,'Besi Balok'!$A$23:$A$7253,$A127,'Besi Balok'!$B$23:$B$7253,$B127,'Besi Balok'!$F$23:$F$7253,'REKAP Balok'!O$11)</f>
        <v>0</v>
      </c>
      <c r="P127" s="282">
        <f>SUMIFS('Besi Balok'!$AA$23:$AA$7253,'Besi Balok'!$A$23:$A$7253,$A127,'Besi Balok'!$B$23:$B$7253,$B127,'Besi Balok'!$F$23:$F$7253,'REKAP Balok'!P$11)</f>
        <v>74.884331520000018</v>
      </c>
      <c r="Q127" s="282">
        <f>SUMIFS('Besi Balok'!$AA$23:$AA$7253,'Besi Balok'!$A$23:$A$7253,$A127,'Besi Balok'!$B$23:$B$7253,$B127,'Besi Balok'!$F$23:$F$7253,'REKAP Balok'!Q$11)</f>
        <v>0</v>
      </c>
      <c r="R127" s="282">
        <f>SUMIFS('Besi Balok'!$AA$23:$AA$7253,'Besi Balok'!$A$23:$A$7253,$A127,'Besi Balok'!$B$23:$B$7253,$B127,'Besi Balok'!$F$23:$F$7253,'REKAP Balok'!R$11)</f>
        <v>0</v>
      </c>
      <c r="S127" s="282">
        <f>SUMIFS('Besi Balok'!$AA$23:$AA$7253,'Besi Balok'!$A$23:$A$7253,$A127,'Besi Balok'!$B$23:$B$7253,$B127,'Besi Balok'!$F$23:$F$7253,'REKAP Balok'!S$11)</f>
        <v>0</v>
      </c>
      <c r="T127" s="283">
        <f>SUMIFS('Besi Balok'!$AA$23:$AA$7253,'Besi Balok'!$A$23:$A$7253,$A127,'Besi Balok'!$B$23:$B$7253,$B127,'Besi Balok'!$F$23:$F$7253,'REKAP Balok'!T$11)</f>
        <v>0</v>
      </c>
      <c r="U127" s="284">
        <f t="shared" si="33"/>
        <v>129.48773652</v>
      </c>
      <c r="V127" s="285">
        <f t="shared" si="34"/>
        <v>0.55349999999999999</v>
      </c>
      <c r="W127" s="282">
        <f t="shared" si="44"/>
        <v>5.5350000000000001</v>
      </c>
      <c r="X127" s="282"/>
      <c r="Y127" s="282"/>
      <c r="Z127" s="283"/>
      <c r="AC127" s="1784">
        <f t="shared" si="38"/>
        <v>1.476</v>
      </c>
    </row>
    <row r="128" spans="1:29" hidden="1">
      <c r="A128" s="272" t="str">
        <f>'Data Panjang Balok'!A124</f>
        <v>Lantai 2</v>
      </c>
      <c r="B128" s="273">
        <f>'Data Panjang Balok'!B124</f>
        <v>27</v>
      </c>
      <c r="C128" s="274" t="str">
        <f>'Data Panjang Balok'!D124</f>
        <v>B24-1</v>
      </c>
      <c r="D128" s="275">
        <f>IF(C128&gt;0,VLOOKUP(C128,'Detail Balok'!$C$11:$AU$140,2,FALSE),0)</f>
        <v>200</v>
      </c>
      <c r="E128" s="276" t="s">
        <v>125</v>
      </c>
      <c r="F128" s="277">
        <f>IF(C128&gt;0,VLOOKUP(C128,'Detail Balok'!$C$11:$AU$140,3,FALSE),0)</f>
        <v>400</v>
      </c>
      <c r="G128" s="278">
        <f>'Data Panjang Balok'!I124</f>
        <v>5050</v>
      </c>
      <c r="H128" s="278">
        <f>'Data Panjang Balok'!J124</f>
        <v>150</v>
      </c>
      <c r="I128" s="279">
        <v>0</v>
      </c>
      <c r="J128" s="279">
        <f t="shared" si="32"/>
        <v>-0.4</v>
      </c>
      <c r="K128" s="280">
        <f>'Data Panjang Balok'!E124</f>
        <v>1</v>
      </c>
      <c r="L128" s="281">
        <f>SUMIFS('Besi Balok'!$AA$23:$AA$7253,'Besi Balok'!$A$23:$A$7253,$A128,'Besi Balok'!$B$23:$B$7253,$B128,'Besi Balok'!$F$23:$F$7253,'REKAP Balok'!L$11)</f>
        <v>0</v>
      </c>
      <c r="M128" s="282">
        <f>SUMIFS('Besi Balok'!$AA$23:$AA$7253,'Besi Balok'!$A$23:$A$7253,$A128,'Besi Balok'!$B$23:$B$7253,$B128,'Besi Balok'!$F$23:$F$7253,'REKAP Balok'!M$11)</f>
        <v>0</v>
      </c>
      <c r="N128" s="282">
        <f>SUMIFS('Besi Balok'!$AA$23:$AA$7253,'Besi Balok'!$A$23:$A$7253,$A128,'Besi Balok'!$B$23:$B$7253,$B128,'Besi Balok'!$F$23:$F$7253,'REKAP Balok'!N$11)</f>
        <v>26.034795000000003</v>
      </c>
      <c r="O128" s="282">
        <f>SUMIFS('Besi Balok'!$AA$23:$AA$7253,'Besi Balok'!$A$23:$A$7253,$A128,'Besi Balok'!$B$23:$B$7253,$B128,'Besi Balok'!$F$23:$F$7253,'REKAP Balok'!O$11)</f>
        <v>33.519524220000001</v>
      </c>
      <c r="P128" s="282">
        <f>SUMIFS('Besi Balok'!$AA$23:$AA$7253,'Besi Balok'!$A$23:$A$7253,$A128,'Besi Balok'!$B$23:$B$7253,$B128,'Besi Balok'!$F$23:$F$7253,'REKAP Balok'!P$11)</f>
        <v>0</v>
      </c>
      <c r="Q128" s="282">
        <f>SUMIFS('Besi Balok'!$AA$23:$AA$7253,'Besi Balok'!$A$23:$A$7253,$A128,'Besi Balok'!$B$23:$B$7253,$B128,'Besi Balok'!$F$23:$F$7253,'REKAP Balok'!Q$11)</f>
        <v>0</v>
      </c>
      <c r="R128" s="282">
        <f>SUMIFS('Besi Balok'!$AA$23:$AA$7253,'Besi Balok'!$A$23:$A$7253,$A128,'Besi Balok'!$B$23:$B$7253,$B128,'Besi Balok'!$F$23:$F$7253,'REKAP Balok'!R$11)</f>
        <v>0</v>
      </c>
      <c r="S128" s="282">
        <f>SUMIFS('Besi Balok'!$AA$23:$AA$7253,'Besi Balok'!$A$23:$A$7253,$A128,'Besi Balok'!$B$23:$B$7253,$B128,'Besi Balok'!$F$23:$F$7253,'REKAP Balok'!S$11)</f>
        <v>0</v>
      </c>
      <c r="T128" s="283">
        <f>SUMIFS('Besi Balok'!$AA$23:$AA$7253,'Besi Balok'!$A$23:$A$7253,$A128,'Besi Balok'!$B$23:$B$7253,$B128,'Besi Balok'!$F$23:$F$7253,'REKAP Balok'!T$11)</f>
        <v>0</v>
      </c>
      <c r="U128" s="284">
        <f t="shared" si="33"/>
        <v>59.554319220000004</v>
      </c>
      <c r="V128" s="285">
        <f t="shared" si="34"/>
        <v>0.2525</v>
      </c>
      <c r="W128" s="282">
        <f t="shared" si="44"/>
        <v>2.5249999999999999</v>
      </c>
      <c r="X128" s="282"/>
      <c r="Y128" s="282"/>
      <c r="Z128" s="283"/>
      <c r="AC128" s="1784">
        <f t="shared" si="38"/>
        <v>0.80800000000000005</v>
      </c>
    </row>
    <row r="129" spans="1:29" hidden="1">
      <c r="A129" s="272" t="str">
        <f>'Data Panjang Balok'!A125</f>
        <v>Lantai 2</v>
      </c>
      <c r="B129" s="273">
        <f>'Data Panjang Balok'!B125</f>
        <v>28</v>
      </c>
      <c r="C129" s="274" t="str">
        <f>'Data Panjang Balok'!D125</f>
        <v>B24-1</v>
      </c>
      <c r="D129" s="275">
        <f>IF(C129&gt;0,VLOOKUP(C129,'Detail Balok'!$C$11:$AU$140,2,FALSE),0)</f>
        <v>200</v>
      </c>
      <c r="E129" s="276" t="s">
        <v>125</v>
      </c>
      <c r="F129" s="277">
        <f>IF(C129&gt;0,VLOOKUP(C129,'Detail Balok'!$C$11:$AU$140,3,FALSE),0)</f>
        <v>400</v>
      </c>
      <c r="G129" s="278">
        <f>'Data Panjang Balok'!I125</f>
        <v>5050</v>
      </c>
      <c r="H129" s="278">
        <f>'Data Panjang Balok'!J125</f>
        <v>150</v>
      </c>
      <c r="I129" s="279">
        <v>0</v>
      </c>
      <c r="J129" s="279">
        <f t="shared" si="32"/>
        <v>-0.4</v>
      </c>
      <c r="K129" s="280">
        <f>'Data Panjang Balok'!E125</f>
        <v>1</v>
      </c>
      <c r="L129" s="281">
        <f>SUMIFS('Besi Balok'!$AA$23:$AA$7253,'Besi Balok'!$A$23:$A$7253,$A129,'Besi Balok'!$B$23:$B$7253,$B129,'Besi Balok'!$F$23:$F$7253,'REKAP Balok'!L$11)</f>
        <v>0</v>
      </c>
      <c r="M129" s="282">
        <f>SUMIFS('Besi Balok'!$AA$23:$AA$7253,'Besi Balok'!$A$23:$A$7253,$A129,'Besi Balok'!$B$23:$B$7253,$B129,'Besi Balok'!$F$23:$F$7253,'REKAP Balok'!M$11)</f>
        <v>0</v>
      </c>
      <c r="N129" s="282">
        <f>SUMIFS('Besi Balok'!$AA$23:$AA$7253,'Besi Balok'!$A$23:$A$7253,$A129,'Besi Balok'!$B$23:$B$7253,$B129,'Besi Balok'!$F$23:$F$7253,'REKAP Balok'!N$11)</f>
        <v>26.034795000000003</v>
      </c>
      <c r="O129" s="282">
        <f>SUMIFS('Besi Balok'!$AA$23:$AA$7253,'Besi Balok'!$A$23:$A$7253,$A129,'Besi Balok'!$B$23:$B$7253,$B129,'Besi Balok'!$F$23:$F$7253,'REKAP Balok'!O$11)</f>
        <v>33.519524220000001</v>
      </c>
      <c r="P129" s="282">
        <f>SUMIFS('Besi Balok'!$AA$23:$AA$7253,'Besi Balok'!$A$23:$A$7253,$A129,'Besi Balok'!$B$23:$B$7253,$B129,'Besi Balok'!$F$23:$F$7253,'REKAP Balok'!P$11)</f>
        <v>0</v>
      </c>
      <c r="Q129" s="282">
        <f>SUMIFS('Besi Balok'!$AA$23:$AA$7253,'Besi Balok'!$A$23:$A$7253,$A129,'Besi Balok'!$B$23:$B$7253,$B129,'Besi Balok'!$F$23:$F$7253,'REKAP Balok'!Q$11)</f>
        <v>0</v>
      </c>
      <c r="R129" s="282">
        <f>SUMIFS('Besi Balok'!$AA$23:$AA$7253,'Besi Balok'!$A$23:$A$7253,$A129,'Besi Balok'!$B$23:$B$7253,$B129,'Besi Balok'!$F$23:$F$7253,'REKAP Balok'!R$11)</f>
        <v>0</v>
      </c>
      <c r="S129" s="282">
        <f>SUMIFS('Besi Balok'!$AA$23:$AA$7253,'Besi Balok'!$A$23:$A$7253,$A129,'Besi Balok'!$B$23:$B$7253,$B129,'Besi Balok'!$F$23:$F$7253,'REKAP Balok'!S$11)</f>
        <v>0</v>
      </c>
      <c r="T129" s="283">
        <f>SUMIFS('Besi Balok'!$AA$23:$AA$7253,'Besi Balok'!$A$23:$A$7253,$A129,'Besi Balok'!$B$23:$B$7253,$B129,'Besi Balok'!$F$23:$F$7253,'REKAP Balok'!T$11)</f>
        <v>0</v>
      </c>
      <c r="U129" s="284">
        <f t="shared" si="33"/>
        <v>59.554319220000004</v>
      </c>
      <c r="V129" s="285">
        <f t="shared" si="34"/>
        <v>0.2525</v>
      </c>
      <c r="W129" s="282">
        <f t="shared" si="44"/>
        <v>2.5249999999999999</v>
      </c>
      <c r="X129" s="282"/>
      <c r="Y129" s="282"/>
      <c r="Z129" s="283"/>
      <c r="AC129" s="1784">
        <f t="shared" si="38"/>
        <v>0.80800000000000005</v>
      </c>
    </row>
    <row r="130" spans="1:29" hidden="1">
      <c r="A130" s="272" t="str">
        <f>'Data Panjang Balok'!A126</f>
        <v>Lantai 2</v>
      </c>
      <c r="B130" s="273">
        <f>'Data Panjang Balok'!B126</f>
        <v>29</v>
      </c>
      <c r="C130" s="274" t="str">
        <f>'Data Panjang Balok'!D126</f>
        <v>B23-1</v>
      </c>
      <c r="D130" s="275">
        <f>IF(C130&gt;0,VLOOKUP(C130,'Detail Balok'!$C$11:$AU$140,2,FALSE),0)</f>
        <v>200</v>
      </c>
      <c r="E130" s="276" t="s">
        <v>125</v>
      </c>
      <c r="F130" s="277">
        <f>IF(C130&gt;0,VLOOKUP(C130,'Detail Balok'!$C$11:$AU$140,3,FALSE),0)</f>
        <v>300</v>
      </c>
      <c r="G130" s="278">
        <f>'Data Panjang Balok'!I126</f>
        <v>3075</v>
      </c>
      <c r="H130" s="278">
        <f>'Data Panjang Balok'!J126</f>
        <v>150</v>
      </c>
      <c r="I130" s="279">
        <v>0</v>
      </c>
      <c r="J130" s="279">
        <f t="shared" si="32"/>
        <v>-0.3</v>
      </c>
      <c r="K130" s="280">
        <f>'Data Panjang Balok'!E126</f>
        <v>1</v>
      </c>
      <c r="L130" s="281">
        <f>SUMIFS('Besi Balok'!$AA$23:$AA$7253,'Besi Balok'!$A$23:$A$7253,$A130,'Besi Balok'!$B$23:$B$7253,$B130,'Besi Balok'!$F$23:$F$7253,'REKAP Balok'!L$11)</f>
        <v>0</v>
      </c>
      <c r="M130" s="282">
        <f>SUMIFS('Besi Balok'!$AA$23:$AA$7253,'Besi Balok'!$A$23:$A$7253,$A130,'Besi Balok'!$B$23:$B$7253,$B130,'Besi Balok'!$F$23:$F$7253,'REKAP Balok'!M$11)</f>
        <v>0</v>
      </c>
      <c r="N130" s="282">
        <f>SUMIFS('Besi Balok'!$AA$23:$AA$7253,'Besi Balok'!$A$23:$A$7253,$A130,'Besi Balok'!$B$23:$B$7253,$B130,'Besi Balok'!$F$23:$F$7253,'REKAP Balok'!N$11)</f>
        <v>13.304070000000005</v>
      </c>
      <c r="O130" s="282">
        <f>SUMIFS('Besi Balok'!$AA$23:$AA$7253,'Besi Balok'!$A$23:$A$7253,$A130,'Besi Balok'!$B$23:$B$7253,$B130,'Besi Balok'!$F$23:$F$7253,'REKAP Balok'!O$11)</f>
        <v>21.173186969999996</v>
      </c>
      <c r="P130" s="282">
        <f>SUMIFS('Besi Balok'!$AA$23:$AA$7253,'Besi Balok'!$A$23:$A$7253,$A130,'Besi Balok'!$B$23:$B$7253,$B130,'Besi Balok'!$F$23:$F$7253,'REKAP Balok'!P$11)</f>
        <v>0</v>
      </c>
      <c r="Q130" s="282">
        <f>SUMIFS('Besi Balok'!$AA$23:$AA$7253,'Besi Balok'!$A$23:$A$7253,$A130,'Besi Balok'!$B$23:$B$7253,$B130,'Besi Balok'!$F$23:$F$7253,'REKAP Balok'!Q$11)</f>
        <v>0</v>
      </c>
      <c r="R130" s="282">
        <f>SUMIFS('Besi Balok'!$AA$23:$AA$7253,'Besi Balok'!$A$23:$A$7253,$A130,'Besi Balok'!$B$23:$B$7253,$B130,'Besi Balok'!$F$23:$F$7253,'REKAP Balok'!R$11)</f>
        <v>0</v>
      </c>
      <c r="S130" s="282">
        <f>SUMIFS('Besi Balok'!$AA$23:$AA$7253,'Besi Balok'!$A$23:$A$7253,$A130,'Besi Balok'!$B$23:$B$7253,$B130,'Besi Balok'!$F$23:$F$7253,'REKAP Balok'!S$11)</f>
        <v>0</v>
      </c>
      <c r="T130" s="283">
        <f>SUMIFS('Besi Balok'!$AA$23:$AA$7253,'Besi Balok'!$A$23:$A$7253,$A130,'Besi Balok'!$B$23:$B$7253,$B130,'Besi Balok'!$F$23:$F$7253,'REKAP Balok'!T$11)</f>
        <v>0</v>
      </c>
      <c r="U130" s="284">
        <f t="shared" si="33"/>
        <v>34.477256969999999</v>
      </c>
      <c r="V130" s="285">
        <f t="shared" si="34"/>
        <v>9.2249999999999999E-2</v>
      </c>
      <c r="W130" s="282">
        <f t="shared" si="44"/>
        <v>0.92249999999999999</v>
      </c>
      <c r="X130" s="282"/>
      <c r="Y130" s="282"/>
      <c r="Z130" s="283"/>
      <c r="AC130" s="1784">
        <f t="shared" si="38"/>
        <v>0.36899999999999999</v>
      </c>
    </row>
    <row r="131" spans="1:29" hidden="1">
      <c r="A131" s="272" t="str">
        <f>'Data Panjang Balok'!A127</f>
        <v>Lantai 2</v>
      </c>
      <c r="B131" s="273">
        <f>'Data Panjang Balok'!B127</f>
        <v>30</v>
      </c>
      <c r="C131" s="274" t="str">
        <f>'Data Panjang Balok'!D127</f>
        <v>B36-1</v>
      </c>
      <c r="D131" s="275">
        <f>IF(C131&gt;0,VLOOKUP(C131,'Detail Balok'!$C$11:$AU$140,2,FALSE),0)</f>
        <v>300</v>
      </c>
      <c r="E131" s="276" t="s">
        <v>125</v>
      </c>
      <c r="F131" s="277">
        <f>IF(C131&gt;0,VLOOKUP(C131,'Detail Balok'!$C$11:$AU$140,3,FALSE),0)</f>
        <v>600</v>
      </c>
      <c r="G131" s="278">
        <f>'Data Panjang Balok'!I127</f>
        <v>5585</v>
      </c>
      <c r="H131" s="278">
        <f>'Data Panjang Balok'!J127</f>
        <v>150</v>
      </c>
      <c r="I131" s="279">
        <v>0</v>
      </c>
      <c r="J131" s="279">
        <f t="shared" si="32"/>
        <v>-0.6</v>
      </c>
      <c r="K131" s="280">
        <f>'Data Panjang Balok'!E127</f>
        <v>1</v>
      </c>
      <c r="L131" s="281">
        <f>SUMIFS('Besi Balok'!$AA$23:$AA$7253,'Besi Balok'!$A$23:$A$7253,$A131,'Besi Balok'!$B$23:$B$7253,$B131,'Besi Balok'!$F$23:$F$7253,'REKAP Balok'!L$11)</f>
        <v>0</v>
      </c>
      <c r="M131" s="282">
        <f>SUMIFS('Besi Balok'!$AA$23:$AA$7253,'Besi Balok'!$A$23:$A$7253,$A131,'Besi Balok'!$B$23:$B$7253,$B131,'Besi Balok'!$F$23:$F$7253,'REKAP Balok'!M$11)</f>
        <v>0</v>
      </c>
      <c r="N131" s="282">
        <f>SUMIFS('Besi Balok'!$AA$23:$AA$7253,'Besi Balok'!$A$23:$A$7253,$A131,'Besi Balok'!$B$23:$B$7253,$B131,'Besi Balok'!$F$23:$F$7253,'REKAP Balok'!N$11)</f>
        <v>56.422080000000008</v>
      </c>
      <c r="O131" s="282">
        <f>SUMIFS('Besi Balok'!$AA$23:$AA$7253,'Besi Balok'!$A$23:$A$7253,$A131,'Besi Balok'!$B$23:$B$7253,$B131,'Besi Balok'!$F$23:$F$7253,'REKAP Balok'!O$11)</f>
        <v>0</v>
      </c>
      <c r="P131" s="282">
        <f>SUMIFS('Besi Balok'!$AA$23:$AA$7253,'Besi Balok'!$A$23:$A$7253,$A131,'Besi Balok'!$B$23:$B$7253,$B131,'Besi Balok'!$F$23:$F$7253,'REKAP Balok'!P$11)</f>
        <v>94.205145599999994</v>
      </c>
      <c r="Q131" s="282">
        <f>SUMIFS('Besi Balok'!$AA$23:$AA$7253,'Besi Balok'!$A$23:$A$7253,$A131,'Besi Balok'!$B$23:$B$7253,$B131,'Besi Balok'!$F$23:$F$7253,'REKAP Balok'!Q$11)</f>
        <v>0</v>
      </c>
      <c r="R131" s="282">
        <f>SUMIFS('Besi Balok'!$AA$23:$AA$7253,'Besi Balok'!$A$23:$A$7253,$A131,'Besi Balok'!$B$23:$B$7253,$B131,'Besi Balok'!$F$23:$F$7253,'REKAP Balok'!R$11)</f>
        <v>0</v>
      </c>
      <c r="S131" s="282">
        <f>SUMIFS('Besi Balok'!$AA$23:$AA$7253,'Besi Balok'!$A$23:$A$7253,$A131,'Besi Balok'!$B$23:$B$7253,$B131,'Besi Balok'!$F$23:$F$7253,'REKAP Balok'!S$11)</f>
        <v>0</v>
      </c>
      <c r="T131" s="283">
        <f>SUMIFS('Besi Balok'!$AA$23:$AA$7253,'Besi Balok'!$A$23:$A$7253,$A131,'Besi Balok'!$B$23:$B$7253,$B131,'Besi Balok'!$F$23:$F$7253,'REKAP Balok'!T$11)</f>
        <v>0</v>
      </c>
      <c r="U131" s="284">
        <f t="shared" si="33"/>
        <v>150.6272256</v>
      </c>
      <c r="V131" s="285">
        <f t="shared" si="34"/>
        <v>0.75397499999999995</v>
      </c>
      <c r="W131" s="282">
        <f t="shared" si="44"/>
        <v>5.0265000000000004</v>
      </c>
      <c r="X131" s="282"/>
      <c r="Y131" s="282"/>
      <c r="Z131" s="283"/>
      <c r="AC131" s="1784">
        <f t="shared" si="38"/>
        <v>1.6755</v>
      </c>
    </row>
    <row r="132" spans="1:29" hidden="1">
      <c r="A132" s="272" t="str">
        <f>'Data Panjang Balok'!A128</f>
        <v>Lantai 2</v>
      </c>
      <c r="B132" s="273">
        <f>'Data Panjang Balok'!B128</f>
        <v>31</v>
      </c>
      <c r="C132" s="274" t="str">
        <f>'Data Panjang Balok'!D128</f>
        <v>B23-1</v>
      </c>
      <c r="D132" s="275">
        <f>IF(C132&gt;0,VLOOKUP(C132,'Detail Balok'!$C$11:$AU$140,2,FALSE),0)</f>
        <v>200</v>
      </c>
      <c r="E132" s="276" t="s">
        <v>125</v>
      </c>
      <c r="F132" s="277">
        <f>IF(C132&gt;0,VLOOKUP(C132,'Detail Balok'!$C$11:$AU$140,3,FALSE),0)</f>
        <v>300</v>
      </c>
      <c r="G132" s="278">
        <f>'Data Panjang Balok'!I128</f>
        <v>2650</v>
      </c>
      <c r="H132" s="278">
        <f>'Data Panjang Balok'!J128</f>
        <v>150</v>
      </c>
      <c r="I132" s="279">
        <v>0</v>
      </c>
      <c r="J132" s="279">
        <f t="shared" si="32"/>
        <v>-0.3</v>
      </c>
      <c r="K132" s="280">
        <f>'Data Panjang Balok'!E128</f>
        <v>1</v>
      </c>
      <c r="L132" s="281">
        <f>SUMIFS('Besi Balok'!$AA$23:$AA$7253,'Besi Balok'!$A$23:$A$7253,$A132,'Besi Balok'!$B$23:$B$7253,$B132,'Besi Balok'!$F$23:$F$7253,'REKAP Balok'!L$11)</f>
        <v>0</v>
      </c>
      <c r="M132" s="282">
        <f>SUMIFS('Besi Balok'!$AA$23:$AA$7253,'Besi Balok'!$A$23:$A$7253,$A132,'Besi Balok'!$B$23:$B$7253,$B132,'Besi Balok'!$F$23:$F$7253,'REKAP Balok'!M$11)</f>
        <v>0</v>
      </c>
      <c r="N132" s="282">
        <f>SUMIFS('Besi Balok'!$AA$23:$AA$7253,'Besi Balok'!$A$23:$A$7253,$A132,'Besi Balok'!$B$23:$B$7253,$B132,'Besi Balok'!$F$23:$F$7253,'REKAP Balok'!N$11)</f>
        <v>11.768985000000004</v>
      </c>
      <c r="O132" s="282">
        <f>SUMIFS('Besi Balok'!$AA$23:$AA$7253,'Besi Balok'!$A$23:$A$7253,$A132,'Besi Balok'!$B$23:$B$7253,$B132,'Besi Balok'!$F$23:$F$7253,'REKAP Balok'!O$11)</f>
        <v>18.516380219999999</v>
      </c>
      <c r="P132" s="282">
        <f>SUMIFS('Besi Balok'!$AA$23:$AA$7253,'Besi Balok'!$A$23:$A$7253,$A132,'Besi Balok'!$B$23:$B$7253,$B132,'Besi Balok'!$F$23:$F$7253,'REKAP Balok'!P$11)</f>
        <v>0</v>
      </c>
      <c r="Q132" s="282">
        <f>SUMIFS('Besi Balok'!$AA$23:$AA$7253,'Besi Balok'!$A$23:$A$7253,$A132,'Besi Balok'!$B$23:$B$7253,$B132,'Besi Balok'!$F$23:$F$7253,'REKAP Balok'!Q$11)</f>
        <v>0</v>
      </c>
      <c r="R132" s="282">
        <f>SUMIFS('Besi Balok'!$AA$23:$AA$7253,'Besi Balok'!$A$23:$A$7253,$A132,'Besi Balok'!$B$23:$B$7253,$B132,'Besi Balok'!$F$23:$F$7253,'REKAP Balok'!R$11)</f>
        <v>0</v>
      </c>
      <c r="S132" s="282">
        <f>SUMIFS('Besi Balok'!$AA$23:$AA$7253,'Besi Balok'!$A$23:$A$7253,$A132,'Besi Balok'!$B$23:$B$7253,$B132,'Besi Balok'!$F$23:$F$7253,'REKAP Balok'!S$11)</f>
        <v>0</v>
      </c>
      <c r="T132" s="283">
        <f>SUMIFS('Besi Balok'!$AA$23:$AA$7253,'Besi Balok'!$A$23:$A$7253,$A132,'Besi Balok'!$B$23:$B$7253,$B132,'Besi Balok'!$F$23:$F$7253,'REKAP Balok'!T$11)</f>
        <v>0</v>
      </c>
      <c r="U132" s="284">
        <f t="shared" si="33"/>
        <v>30.285365220000003</v>
      </c>
      <c r="V132" s="285">
        <f t="shared" si="34"/>
        <v>7.9500000000000001E-2</v>
      </c>
      <c r="W132" s="282">
        <f t="shared" si="44"/>
        <v>0.79500000000000004</v>
      </c>
      <c r="X132" s="282"/>
      <c r="Y132" s="282"/>
      <c r="Z132" s="283"/>
      <c r="AC132" s="1784">
        <f t="shared" si="38"/>
        <v>0.318</v>
      </c>
    </row>
    <row r="133" spans="1:29" hidden="1">
      <c r="A133" s="272" t="str">
        <f>'Data Panjang Balok'!A129</f>
        <v>Lantai 2</v>
      </c>
      <c r="B133" s="273">
        <f>'Data Panjang Balok'!B129</f>
        <v>32</v>
      </c>
      <c r="C133" s="274" t="str">
        <f>'Data Panjang Balok'!D129</f>
        <v>B36-1</v>
      </c>
      <c r="D133" s="275">
        <f>IF(C133&gt;0,VLOOKUP(C133,'Detail Balok'!$C$11:$AU$140,2,FALSE),0)</f>
        <v>300</v>
      </c>
      <c r="E133" s="276" t="s">
        <v>125</v>
      </c>
      <c r="F133" s="277">
        <f>IF(C133&gt;0,VLOOKUP(C133,'Detail Balok'!$C$11:$AU$140,3,FALSE),0)</f>
        <v>600</v>
      </c>
      <c r="G133" s="278">
        <f>'Data Panjang Balok'!I129</f>
        <v>5325</v>
      </c>
      <c r="H133" s="278">
        <f>'Data Panjang Balok'!J129</f>
        <v>150</v>
      </c>
      <c r="I133" s="279">
        <v>0</v>
      </c>
      <c r="J133" s="279">
        <f t="shared" si="32"/>
        <v>-0.6</v>
      </c>
      <c r="K133" s="280">
        <f>'Data Panjang Balok'!E129</f>
        <v>1</v>
      </c>
      <c r="L133" s="281">
        <f>SUMIFS('Besi Balok'!$AA$23:$AA$7253,'Besi Balok'!$A$23:$A$7253,$A133,'Besi Balok'!$B$23:$B$7253,$B133,'Besi Balok'!$F$23:$F$7253,'REKAP Balok'!L$11)</f>
        <v>0</v>
      </c>
      <c r="M133" s="282">
        <f>SUMIFS('Besi Balok'!$AA$23:$AA$7253,'Besi Balok'!$A$23:$A$7253,$A133,'Besi Balok'!$B$23:$B$7253,$B133,'Besi Balok'!$F$23:$F$7253,'REKAP Balok'!M$11)</f>
        <v>0</v>
      </c>
      <c r="N133" s="282">
        <f>SUMIFS('Besi Balok'!$AA$23:$AA$7253,'Besi Balok'!$A$23:$A$7253,$A133,'Besi Balok'!$B$23:$B$7253,$B133,'Besi Balok'!$F$23:$F$7253,'REKAP Balok'!N$11)</f>
        <v>53.086815000000009</v>
      </c>
      <c r="O133" s="282">
        <f>SUMIFS('Besi Balok'!$AA$23:$AA$7253,'Besi Balok'!$A$23:$A$7253,$A133,'Besi Balok'!$B$23:$B$7253,$B133,'Besi Balok'!$F$23:$F$7253,'REKAP Balok'!O$11)</f>
        <v>0</v>
      </c>
      <c r="P133" s="282">
        <f>SUMIFS('Besi Balok'!$AA$23:$AA$7253,'Besi Balok'!$A$23:$A$7253,$A133,'Besi Balok'!$B$23:$B$7253,$B133,'Besi Balok'!$F$23:$F$7253,'REKAP Balok'!P$11)</f>
        <v>90.101721600000019</v>
      </c>
      <c r="Q133" s="282">
        <f>SUMIFS('Besi Balok'!$AA$23:$AA$7253,'Besi Balok'!$A$23:$A$7253,$A133,'Besi Balok'!$B$23:$B$7253,$B133,'Besi Balok'!$F$23:$F$7253,'REKAP Balok'!Q$11)</f>
        <v>0</v>
      </c>
      <c r="R133" s="282">
        <f>SUMIFS('Besi Balok'!$AA$23:$AA$7253,'Besi Balok'!$A$23:$A$7253,$A133,'Besi Balok'!$B$23:$B$7253,$B133,'Besi Balok'!$F$23:$F$7253,'REKAP Balok'!R$11)</f>
        <v>0</v>
      </c>
      <c r="S133" s="282">
        <f>SUMIFS('Besi Balok'!$AA$23:$AA$7253,'Besi Balok'!$A$23:$A$7253,$A133,'Besi Balok'!$B$23:$B$7253,$B133,'Besi Balok'!$F$23:$F$7253,'REKAP Balok'!S$11)</f>
        <v>0</v>
      </c>
      <c r="T133" s="283">
        <f>SUMIFS('Besi Balok'!$AA$23:$AA$7253,'Besi Balok'!$A$23:$A$7253,$A133,'Besi Balok'!$B$23:$B$7253,$B133,'Besi Balok'!$F$23:$F$7253,'REKAP Balok'!T$11)</f>
        <v>0</v>
      </c>
      <c r="U133" s="284">
        <f t="shared" si="33"/>
        <v>143.18853660000002</v>
      </c>
      <c r="V133" s="285">
        <f t="shared" si="34"/>
        <v>0.71887500000000004</v>
      </c>
      <c r="W133" s="282">
        <f t="shared" si="44"/>
        <v>4.7925000000000004</v>
      </c>
      <c r="X133" s="282"/>
      <c r="Y133" s="282"/>
      <c r="Z133" s="283"/>
      <c r="AC133" s="1784">
        <f t="shared" si="38"/>
        <v>1.5974999999999999</v>
      </c>
    </row>
    <row r="134" spans="1:29" hidden="1">
      <c r="A134" s="272" t="str">
        <f>'Data Panjang Balok'!A130</f>
        <v>Lantai 2</v>
      </c>
      <c r="B134" s="273">
        <f>'Data Panjang Balok'!B130</f>
        <v>33</v>
      </c>
      <c r="C134" s="274" t="str">
        <f>'Data Panjang Balok'!D130</f>
        <v>B24-1</v>
      </c>
      <c r="D134" s="275">
        <f>IF(C134&gt;0,VLOOKUP(C134,'Detail Balok'!$C$11:$AU$140,2,FALSE),0)</f>
        <v>200</v>
      </c>
      <c r="E134" s="276" t="s">
        <v>125</v>
      </c>
      <c r="F134" s="277">
        <f>IF(C134&gt;0,VLOOKUP(C134,'Detail Balok'!$C$11:$AU$140,3,FALSE),0)</f>
        <v>400</v>
      </c>
      <c r="G134" s="278">
        <f>'Data Panjang Balok'!I130</f>
        <v>3645</v>
      </c>
      <c r="H134" s="278">
        <f>'Data Panjang Balok'!J130</f>
        <v>150</v>
      </c>
      <c r="I134" s="279">
        <v>0</v>
      </c>
      <c r="J134" s="279">
        <f t="shared" si="32"/>
        <v>-0.4</v>
      </c>
      <c r="K134" s="280">
        <f>'Data Panjang Balok'!E130</f>
        <v>1</v>
      </c>
      <c r="L134" s="281">
        <f>SUMIFS('Besi Balok'!$AA$23:$AA$7253,'Besi Balok'!$A$23:$A$7253,$A134,'Besi Balok'!$B$23:$B$7253,$B134,'Besi Balok'!$F$23:$F$7253,'REKAP Balok'!L$11)</f>
        <v>0</v>
      </c>
      <c r="M134" s="282">
        <f>SUMIFS('Besi Balok'!$AA$23:$AA$7253,'Besi Balok'!$A$23:$A$7253,$A134,'Besi Balok'!$B$23:$B$7253,$B134,'Besi Balok'!$F$23:$F$7253,'REKAP Balok'!M$11)</f>
        <v>0</v>
      </c>
      <c r="N134" s="282">
        <f>SUMIFS('Besi Balok'!$AA$23:$AA$7253,'Besi Balok'!$A$23:$A$7253,$A134,'Besi Balok'!$B$23:$B$7253,$B134,'Besi Balok'!$F$23:$F$7253,'REKAP Balok'!N$11)</f>
        <v>18.414855000000003</v>
      </c>
      <c r="O134" s="282">
        <f>SUMIFS('Besi Balok'!$AA$23:$AA$7253,'Besi Balok'!$A$23:$A$7253,$A134,'Besi Balok'!$B$23:$B$7253,$B134,'Besi Balok'!$F$23:$F$7253,'REKAP Balok'!O$11)</f>
        <v>24.73643367</v>
      </c>
      <c r="P134" s="282">
        <f>SUMIFS('Besi Balok'!$AA$23:$AA$7253,'Besi Balok'!$A$23:$A$7253,$A134,'Besi Balok'!$B$23:$B$7253,$B134,'Besi Balok'!$F$23:$F$7253,'REKAP Balok'!P$11)</f>
        <v>0</v>
      </c>
      <c r="Q134" s="282">
        <f>SUMIFS('Besi Balok'!$AA$23:$AA$7253,'Besi Balok'!$A$23:$A$7253,$A134,'Besi Balok'!$B$23:$B$7253,$B134,'Besi Balok'!$F$23:$F$7253,'REKAP Balok'!Q$11)</f>
        <v>0</v>
      </c>
      <c r="R134" s="282">
        <f>SUMIFS('Besi Balok'!$AA$23:$AA$7253,'Besi Balok'!$A$23:$A$7253,$A134,'Besi Balok'!$B$23:$B$7253,$B134,'Besi Balok'!$F$23:$F$7253,'REKAP Balok'!R$11)</f>
        <v>0</v>
      </c>
      <c r="S134" s="282">
        <f>SUMIFS('Besi Balok'!$AA$23:$AA$7253,'Besi Balok'!$A$23:$A$7253,$A134,'Besi Balok'!$B$23:$B$7253,$B134,'Besi Balok'!$F$23:$F$7253,'REKAP Balok'!S$11)</f>
        <v>0</v>
      </c>
      <c r="T134" s="283">
        <f>SUMIFS('Besi Balok'!$AA$23:$AA$7253,'Besi Balok'!$A$23:$A$7253,$A134,'Besi Balok'!$B$23:$B$7253,$B134,'Besi Balok'!$F$23:$F$7253,'REKAP Balok'!T$11)</f>
        <v>0</v>
      </c>
      <c r="U134" s="284">
        <f t="shared" si="33"/>
        <v>43.15128867</v>
      </c>
      <c r="V134" s="285">
        <f t="shared" si="34"/>
        <v>0.18225</v>
      </c>
      <c r="W134" s="282">
        <f t="shared" si="44"/>
        <v>1.8225</v>
      </c>
      <c r="X134" s="282"/>
      <c r="Y134" s="282"/>
      <c r="Z134" s="283"/>
      <c r="AC134" s="1784">
        <f t="shared" si="38"/>
        <v>0.58320000000000005</v>
      </c>
    </row>
    <row r="135" spans="1:29" hidden="1">
      <c r="A135" s="272" t="str">
        <f>'Data Panjang Balok'!A131</f>
        <v>Lantai 2</v>
      </c>
      <c r="B135" s="273">
        <f>'Data Panjang Balok'!B131</f>
        <v>34</v>
      </c>
      <c r="C135" s="274" t="str">
        <f>'Data Panjang Balok'!D131</f>
        <v>B24-1</v>
      </c>
      <c r="D135" s="275">
        <f>IF(C135&gt;0,VLOOKUP(C135,'Detail Balok'!$C$11:$AU$140,2,FALSE),0)</f>
        <v>200</v>
      </c>
      <c r="E135" s="276" t="s">
        <v>125</v>
      </c>
      <c r="F135" s="277">
        <f>IF(C135&gt;0,VLOOKUP(C135,'Detail Balok'!$C$11:$AU$140,3,FALSE),0)</f>
        <v>400</v>
      </c>
      <c r="G135" s="278">
        <f>'Data Panjang Balok'!I131</f>
        <v>3965</v>
      </c>
      <c r="H135" s="278">
        <f>'Data Panjang Balok'!J131</f>
        <v>150</v>
      </c>
      <c r="I135" s="279">
        <v>0</v>
      </c>
      <c r="J135" s="279">
        <f t="shared" si="32"/>
        <v>-0.4</v>
      </c>
      <c r="K135" s="280">
        <f>'Data Panjang Balok'!E131</f>
        <v>1</v>
      </c>
      <c r="L135" s="281">
        <f>SUMIFS('Besi Balok'!$AA$23:$AA$7253,'Besi Balok'!$A$23:$A$7253,$A135,'Besi Balok'!$B$23:$B$7253,$B135,'Besi Balok'!$F$23:$F$7253,'REKAP Balok'!L$11)</f>
        <v>0</v>
      </c>
      <c r="M135" s="282">
        <f>SUMIFS('Besi Balok'!$AA$23:$AA$7253,'Besi Balok'!$A$23:$A$7253,$A135,'Besi Balok'!$B$23:$B$7253,$B135,'Besi Balok'!$F$23:$F$7253,'REKAP Balok'!M$11)</f>
        <v>0</v>
      </c>
      <c r="N135" s="282">
        <f>SUMIFS('Besi Balok'!$AA$23:$AA$7253,'Besi Balok'!$A$23:$A$7253,$A135,'Besi Balok'!$B$23:$B$7253,$B135,'Besi Balok'!$F$23:$F$7253,'REKAP Balok'!N$11)</f>
        <v>20.319840000000003</v>
      </c>
      <c r="O135" s="282">
        <f>SUMIFS('Besi Balok'!$AA$23:$AA$7253,'Besi Balok'!$A$23:$A$7253,$A135,'Besi Balok'!$B$23:$B$7253,$B135,'Besi Balok'!$F$23:$F$7253,'REKAP Balok'!O$11)</f>
        <v>26.736852869999996</v>
      </c>
      <c r="P135" s="282">
        <f>SUMIFS('Besi Balok'!$AA$23:$AA$7253,'Besi Balok'!$A$23:$A$7253,$A135,'Besi Balok'!$B$23:$B$7253,$B135,'Besi Balok'!$F$23:$F$7253,'REKAP Balok'!P$11)</f>
        <v>0</v>
      </c>
      <c r="Q135" s="282">
        <f>SUMIFS('Besi Balok'!$AA$23:$AA$7253,'Besi Balok'!$A$23:$A$7253,$A135,'Besi Balok'!$B$23:$B$7253,$B135,'Besi Balok'!$F$23:$F$7253,'REKAP Balok'!Q$11)</f>
        <v>0</v>
      </c>
      <c r="R135" s="282">
        <f>SUMIFS('Besi Balok'!$AA$23:$AA$7253,'Besi Balok'!$A$23:$A$7253,$A135,'Besi Balok'!$B$23:$B$7253,$B135,'Besi Balok'!$F$23:$F$7253,'REKAP Balok'!R$11)</f>
        <v>0</v>
      </c>
      <c r="S135" s="282">
        <f>SUMIFS('Besi Balok'!$AA$23:$AA$7253,'Besi Balok'!$A$23:$A$7253,$A135,'Besi Balok'!$B$23:$B$7253,$B135,'Besi Balok'!$F$23:$F$7253,'REKAP Balok'!S$11)</f>
        <v>0</v>
      </c>
      <c r="T135" s="283">
        <f>SUMIFS('Besi Balok'!$AA$23:$AA$7253,'Besi Balok'!$A$23:$A$7253,$A135,'Besi Balok'!$B$23:$B$7253,$B135,'Besi Balok'!$F$23:$F$7253,'REKAP Balok'!T$11)</f>
        <v>0</v>
      </c>
      <c r="U135" s="284">
        <f t="shared" si="33"/>
        <v>47.056692869999999</v>
      </c>
      <c r="V135" s="285">
        <f t="shared" si="34"/>
        <v>0.19825000000000001</v>
      </c>
      <c r="W135" s="282">
        <f t="shared" si="44"/>
        <v>1.9824999999999999</v>
      </c>
      <c r="X135" s="282"/>
      <c r="Y135" s="282"/>
      <c r="Z135" s="283"/>
      <c r="AC135" s="1784">
        <f t="shared" si="38"/>
        <v>0.63439999999999996</v>
      </c>
    </row>
    <row r="136" spans="1:29" hidden="1">
      <c r="A136" s="272" t="str">
        <f>'Data Panjang Balok'!A132</f>
        <v>Lantai 2</v>
      </c>
      <c r="B136" s="273">
        <f>'Data Panjang Balok'!B132</f>
        <v>35</v>
      </c>
      <c r="C136" s="274" t="str">
        <f>'Data Panjang Balok'!D132</f>
        <v>B25-1</v>
      </c>
      <c r="D136" s="275">
        <f>IF(C136&gt;0,VLOOKUP(C136,'Detail Balok'!$C$11:$AU$140,2,FALSE),0)</f>
        <v>200</v>
      </c>
      <c r="E136" s="276" t="s">
        <v>125</v>
      </c>
      <c r="F136" s="277">
        <f>IF(C136&gt;0,VLOOKUP(C136,'Detail Balok'!$C$11:$AU$140,3,FALSE),0)</f>
        <v>500</v>
      </c>
      <c r="G136" s="278">
        <f>'Data Panjang Balok'!I132</f>
        <v>4075</v>
      </c>
      <c r="H136" s="278">
        <f>'Data Panjang Balok'!J132</f>
        <v>150</v>
      </c>
      <c r="I136" s="279">
        <v>0</v>
      </c>
      <c r="J136" s="279">
        <f t="shared" si="32"/>
        <v>-0.5</v>
      </c>
      <c r="K136" s="280">
        <f>'Data Panjang Balok'!E132</f>
        <v>1</v>
      </c>
      <c r="L136" s="281">
        <f>SUMIFS('Besi Balok'!$AA$23:$AA$7253,'Besi Balok'!$A$23:$A$7253,$A136,'Besi Balok'!$B$23:$B$7253,$B136,'Besi Balok'!$F$23:$F$7253,'REKAP Balok'!L$11)</f>
        <v>0</v>
      </c>
      <c r="M136" s="282">
        <f>SUMIFS('Besi Balok'!$AA$23:$AA$7253,'Besi Balok'!$A$23:$A$7253,$A136,'Besi Balok'!$B$23:$B$7253,$B136,'Besi Balok'!$F$23:$F$7253,'REKAP Balok'!M$11)</f>
        <v>0</v>
      </c>
      <c r="N136" s="282">
        <f>SUMIFS('Besi Balok'!$AA$23:$AA$7253,'Besi Balok'!$A$23:$A$7253,$A136,'Besi Balok'!$B$23:$B$7253,$B136,'Besi Balok'!$F$23:$F$7253,'REKAP Balok'!N$11)</f>
        <v>25.036065000000001</v>
      </c>
      <c r="O136" s="282">
        <f>SUMIFS('Besi Balok'!$AA$23:$AA$7253,'Besi Balok'!$A$23:$A$7253,$A136,'Besi Balok'!$B$23:$B$7253,$B136,'Besi Balok'!$F$23:$F$7253,'REKAP Balok'!O$11)</f>
        <v>0</v>
      </c>
      <c r="P136" s="282">
        <f>SUMIFS('Besi Balok'!$AA$23:$AA$7253,'Besi Balok'!$A$23:$A$7253,$A136,'Besi Balok'!$B$23:$B$7253,$B136,'Besi Balok'!$F$23:$F$7253,'REKAP Balok'!P$11)</f>
        <v>56.298977279999995</v>
      </c>
      <c r="Q136" s="282">
        <f>SUMIFS('Besi Balok'!$AA$23:$AA$7253,'Besi Balok'!$A$23:$A$7253,$A136,'Besi Balok'!$B$23:$B$7253,$B136,'Besi Balok'!$F$23:$F$7253,'REKAP Balok'!Q$11)</f>
        <v>0</v>
      </c>
      <c r="R136" s="282">
        <f>SUMIFS('Besi Balok'!$AA$23:$AA$7253,'Besi Balok'!$A$23:$A$7253,$A136,'Besi Balok'!$B$23:$B$7253,$B136,'Besi Balok'!$F$23:$F$7253,'REKAP Balok'!R$11)</f>
        <v>0</v>
      </c>
      <c r="S136" s="282">
        <f>SUMIFS('Besi Balok'!$AA$23:$AA$7253,'Besi Balok'!$A$23:$A$7253,$A136,'Besi Balok'!$B$23:$B$7253,$B136,'Besi Balok'!$F$23:$F$7253,'REKAP Balok'!S$11)</f>
        <v>0</v>
      </c>
      <c r="T136" s="283">
        <f>SUMIFS('Besi Balok'!$AA$23:$AA$7253,'Besi Balok'!$A$23:$A$7253,$A136,'Besi Balok'!$B$23:$B$7253,$B136,'Besi Balok'!$F$23:$F$7253,'REKAP Balok'!T$11)</f>
        <v>0</v>
      </c>
      <c r="U136" s="284">
        <f t="shared" si="33"/>
        <v>81.335042279999996</v>
      </c>
      <c r="V136" s="285">
        <f t="shared" si="34"/>
        <v>0.28525</v>
      </c>
      <c r="W136" s="282">
        <f t="shared" si="44"/>
        <v>2.8525</v>
      </c>
      <c r="X136" s="282"/>
      <c r="Y136" s="282"/>
      <c r="Z136" s="283"/>
      <c r="AC136" s="1784">
        <f t="shared" si="38"/>
        <v>0.81499999999999995</v>
      </c>
    </row>
    <row r="137" spans="1:29" hidden="1">
      <c r="A137" s="272" t="str">
        <f>'Data Panjang Balok'!A133</f>
        <v>Lantai 2</v>
      </c>
      <c r="B137" s="273">
        <f>'Data Panjang Balok'!B133</f>
        <v>36</v>
      </c>
      <c r="C137" s="274" t="str">
        <f>'Data Panjang Balok'!D133</f>
        <v>B24-1</v>
      </c>
      <c r="D137" s="275">
        <f>IF(C137&gt;0,VLOOKUP(C137,'Detail Balok'!$C$11:$AU$140,2,FALSE),0)</f>
        <v>200</v>
      </c>
      <c r="E137" s="276" t="s">
        <v>125</v>
      </c>
      <c r="F137" s="277">
        <f>IF(C137&gt;0,VLOOKUP(C137,'Detail Balok'!$C$11:$AU$140,3,FALSE),0)</f>
        <v>400</v>
      </c>
      <c r="G137" s="278">
        <f>'Data Panjang Balok'!I133</f>
        <v>4000</v>
      </c>
      <c r="H137" s="278">
        <f>'Data Panjang Balok'!J133</f>
        <v>150</v>
      </c>
      <c r="I137" s="279">
        <v>0</v>
      </c>
      <c r="J137" s="279">
        <f t="shared" si="32"/>
        <v>-0.4</v>
      </c>
      <c r="K137" s="280">
        <f>'Data Panjang Balok'!E133</f>
        <v>1</v>
      </c>
      <c r="L137" s="281">
        <f>SUMIFS('Besi Balok'!$AA$23:$AA$7253,'Besi Balok'!$A$23:$A$7253,$A137,'Besi Balok'!$B$23:$B$7253,$B137,'Besi Balok'!$F$23:$F$7253,'REKAP Balok'!L$11)</f>
        <v>0</v>
      </c>
      <c r="M137" s="282">
        <f>SUMIFS('Besi Balok'!$AA$23:$AA$7253,'Besi Balok'!$A$23:$A$7253,$A137,'Besi Balok'!$B$23:$B$7253,$B137,'Besi Balok'!$F$23:$F$7253,'REKAP Balok'!M$11)</f>
        <v>0</v>
      </c>
      <c r="N137" s="282">
        <f>SUMIFS('Besi Balok'!$AA$23:$AA$7253,'Besi Balok'!$A$23:$A$7253,$A137,'Besi Balok'!$B$23:$B$7253,$B137,'Besi Balok'!$F$23:$F$7253,'REKAP Balok'!N$11)</f>
        <v>20.319840000000003</v>
      </c>
      <c r="O137" s="282">
        <f>SUMIFS('Besi Balok'!$AA$23:$AA$7253,'Besi Balok'!$A$23:$A$7253,$A137,'Besi Balok'!$B$23:$B$7253,$B137,'Besi Balok'!$F$23:$F$7253,'REKAP Balok'!O$11)</f>
        <v>26.955648719999992</v>
      </c>
      <c r="P137" s="282">
        <f>SUMIFS('Besi Balok'!$AA$23:$AA$7253,'Besi Balok'!$A$23:$A$7253,$A137,'Besi Balok'!$B$23:$B$7253,$B137,'Besi Balok'!$F$23:$F$7253,'REKAP Balok'!P$11)</f>
        <v>0</v>
      </c>
      <c r="Q137" s="282">
        <f>SUMIFS('Besi Balok'!$AA$23:$AA$7253,'Besi Balok'!$A$23:$A$7253,$A137,'Besi Balok'!$B$23:$B$7253,$B137,'Besi Balok'!$F$23:$F$7253,'REKAP Balok'!Q$11)</f>
        <v>0</v>
      </c>
      <c r="R137" s="282">
        <f>SUMIFS('Besi Balok'!$AA$23:$AA$7253,'Besi Balok'!$A$23:$A$7253,$A137,'Besi Balok'!$B$23:$B$7253,$B137,'Besi Balok'!$F$23:$F$7253,'REKAP Balok'!R$11)</f>
        <v>0</v>
      </c>
      <c r="S137" s="282">
        <f>SUMIFS('Besi Balok'!$AA$23:$AA$7253,'Besi Balok'!$A$23:$A$7253,$A137,'Besi Balok'!$B$23:$B$7253,$B137,'Besi Balok'!$F$23:$F$7253,'REKAP Balok'!S$11)</f>
        <v>0</v>
      </c>
      <c r="T137" s="283">
        <f>SUMIFS('Besi Balok'!$AA$23:$AA$7253,'Besi Balok'!$A$23:$A$7253,$A137,'Besi Balok'!$B$23:$B$7253,$B137,'Besi Balok'!$F$23:$F$7253,'REKAP Balok'!T$11)</f>
        <v>0</v>
      </c>
      <c r="U137" s="284">
        <f t="shared" si="33"/>
        <v>47.275488719999998</v>
      </c>
      <c r="V137" s="285">
        <f t="shared" si="34"/>
        <v>0.2</v>
      </c>
      <c r="W137" s="282">
        <f t="shared" si="44"/>
        <v>2</v>
      </c>
      <c r="X137" s="282"/>
      <c r="Y137" s="282"/>
      <c r="Z137" s="283"/>
      <c r="AC137" s="1784">
        <f t="shared" si="38"/>
        <v>0.64</v>
      </c>
    </row>
    <row r="138" spans="1:29" hidden="1">
      <c r="A138" s="272" t="str">
        <f>'Data Panjang Balok'!A134</f>
        <v>Lantai 2</v>
      </c>
      <c r="B138" s="273">
        <f>'Data Panjang Balok'!B134</f>
        <v>37</v>
      </c>
      <c r="C138" s="274" t="str">
        <f>'Data Panjang Balok'!D134</f>
        <v>B24-2</v>
      </c>
      <c r="D138" s="275">
        <f>IF(C138&gt;0,VLOOKUP(C138,'Detail Balok'!$C$11:$AU$140,2,FALSE),0)</f>
        <v>200</v>
      </c>
      <c r="E138" s="276" t="s">
        <v>125</v>
      </c>
      <c r="F138" s="277">
        <f>IF(C138&gt;0,VLOOKUP(C138,'Detail Balok'!$C$11:$AU$140,3,FALSE),0)</f>
        <v>400</v>
      </c>
      <c r="G138" s="278">
        <f>'Data Panjang Balok'!I134</f>
        <v>11275</v>
      </c>
      <c r="H138" s="278">
        <f>'Data Panjang Balok'!J134</f>
        <v>150</v>
      </c>
      <c r="I138" s="279">
        <v>0</v>
      </c>
      <c r="J138" s="279">
        <f t="shared" si="32"/>
        <v>-0.4</v>
      </c>
      <c r="K138" s="280">
        <f>'Data Panjang Balok'!E134</f>
        <v>1</v>
      </c>
      <c r="L138" s="281">
        <f>SUMIFS('Besi Balok'!$AA$23:$AA$7253,'Besi Balok'!$A$23:$A$7253,$A138,'Besi Balok'!$B$23:$B$7253,$B138,'Besi Balok'!$F$23:$F$7253,'REKAP Balok'!L$11)</f>
        <v>0</v>
      </c>
      <c r="M138" s="282">
        <f>SUMIFS('Besi Balok'!$AA$23:$AA$7253,'Besi Balok'!$A$23:$A$7253,$A138,'Besi Balok'!$B$23:$B$7253,$B138,'Besi Balok'!$F$23:$F$7253,'REKAP Balok'!M$11)</f>
        <v>0</v>
      </c>
      <c r="N138" s="282">
        <f>SUMIFS('Besi Balok'!$AA$23:$AA$7253,'Besi Balok'!$A$23:$A$7253,$A138,'Besi Balok'!$B$23:$B$7253,$B138,'Besi Balok'!$F$23:$F$7253,'REKAP Balok'!N$11)</f>
        <v>54.609570000000005</v>
      </c>
      <c r="O138" s="282">
        <f>SUMIFS('Besi Balok'!$AA$23:$AA$7253,'Besi Balok'!$A$23:$A$7253,$A138,'Besi Balok'!$B$23:$B$7253,$B138,'Besi Balok'!$F$23:$F$7253,'REKAP Balok'!O$11)</f>
        <v>0</v>
      </c>
      <c r="P138" s="282">
        <f>SUMIFS('Besi Balok'!$AA$23:$AA$7253,'Besi Balok'!$A$23:$A$7253,$A138,'Besi Balok'!$B$23:$B$7253,$B138,'Besi Balok'!$F$23:$F$7253,'REKAP Balok'!P$11)</f>
        <v>110.40420096000003</v>
      </c>
      <c r="Q138" s="282">
        <f>SUMIFS('Besi Balok'!$AA$23:$AA$7253,'Besi Balok'!$A$23:$A$7253,$A138,'Besi Balok'!$B$23:$B$7253,$B138,'Besi Balok'!$F$23:$F$7253,'REKAP Balok'!Q$11)</f>
        <v>0</v>
      </c>
      <c r="R138" s="282">
        <f>SUMIFS('Besi Balok'!$AA$23:$AA$7253,'Besi Balok'!$A$23:$A$7253,$A138,'Besi Balok'!$B$23:$B$7253,$B138,'Besi Balok'!$F$23:$F$7253,'REKAP Balok'!R$11)</f>
        <v>0</v>
      </c>
      <c r="S138" s="282">
        <f>SUMIFS('Besi Balok'!$AA$23:$AA$7253,'Besi Balok'!$A$23:$A$7253,$A138,'Besi Balok'!$B$23:$B$7253,$B138,'Besi Balok'!$F$23:$F$7253,'REKAP Balok'!S$11)</f>
        <v>0</v>
      </c>
      <c r="T138" s="283">
        <f>SUMIFS('Besi Balok'!$AA$23:$AA$7253,'Besi Balok'!$A$23:$A$7253,$A138,'Besi Balok'!$B$23:$B$7253,$B138,'Besi Balok'!$F$23:$F$7253,'REKAP Balok'!T$11)</f>
        <v>0</v>
      </c>
      <c r="U138" s="284">
        <f t="shared" si="33"/>
        <v>165.01377096000004</v>
      </c>
      <c r="V138" s="285">
        <f t="shared" si="34"/>
        <v>0.56374999999999997</v>
      </c>
      <c r="W138" s="282">
        <f t="shared" si="44"/>
        <v>5.6375000000000002</v>
      </c>
      <c r="X138" s="282"/>
      <c r="Y138" s="282"/>
      <c r="Z138" s="283"/>
      <c r="AC138" s="1784">
        <f t="shared" si="38"/>
        <v>1.804</v>
      </c>
    </row>
    <row r="139" spans="1:29" hidden="1">
      <c r="A139" s="272" t="str">
        <f>'Data Panjang Balok'!A135</f>
        <v>Lantai 2</v>
      </c>
      <c r="B139" s="273">
        <f>'Data Panjang Balok'!B135</f>
        <v>38</v>
      </c>
      <c r="C139" s="274" t="str">
        <f>'Data Panjang Balok'!D135</f>
        <v>B36-1</v>
      </c>
      <c r="D139" s="275">
        <f>IF(C139&gt;0,VLOOKUP(C139,'Detail Balok'!$C$11:$AU$140,2,FALSE),0)</f>
        <v>300</v>
      </c>
      <c r="E139" s="276" t="s">
        <v>125</v>
      </c>
      <c r="F139" s="277">
        <f>IF(C139&gt;0,VLOOKUP(C139,'Detail Balok'!$C$11:$AU$140,3,FALSE),0)</f>
        <v>600</v>
      </c>
      <c r="G139" s="278">
        <f>'Data Panjang Balok'!I135</f>
        <v>5950</v>
      </c>
      <c r="H139" s="278">
        <f>'Data Panjang Balok'!J135</f>
        <v>150</v>
      </c>
      <c r="I139" s="279">
        <v>0</v>
      </c>
      <c r="J139" s="279">
        <f t="shared" si="32"/>
        <v>-0.6</v>
      </c>
      <c r="K139" s="280">
        <f>'Data Panjang Balok'!E135</f>
        <v>1</v>
      </c>
      <c r="L139" s="281">
        <f>SUMIFS('Besi Balok'!$AA$23:$AA$7253,'Besi Balok'!$A$23:$A$7253,$A139,'Besi Balok'!$B$23:$B$7253,$B139,'Besi Balok'!$F$23:$F$7253,'REKAP Balok'!L$11)</f>
        <v>0</v>
      </c>
      <c r="M139" s="282">
        <f>SUMIFS('Besi Balok'!$AA$23:$AA$7253,'Besi Balok'!$A$23:$A$7253,$A139,'Besi Balok'!$B$23:$B$7253,$B139,'Besi Balok'!$F$23:$F$7253,'REKAP Balok'!M$11)</f>
        <v>0</v>
      </c>
      <c r="N139" s="282">
        <f>SUMIFS('Besi Balok'!$AA$23:$AA$7253,'Besi Balok'!$A$23:$A$7253,$A139,'Besi Balok'!$B$23:$B$7253,$B139,'Besi Balok'!$F$23:$F$7253,'REKAP Balok'!N$11)</f>
        <v>59.886810000000011</v>
      </c>
      <c r="O139" s="282">
        <f>SUMIFS('Besi Balok'!$AA$23:$AA$7253,'Besi Balok'!$A$23:$A$7253,$A139,'Besi Balok'!$B$23:$B$7253,$B139,'Besi Balok'!$F$23:$F$7253,'REKAP Balok'!O$11)</f>
        <v>0</v>
      </c>
      <c r="P139" s="282">
        <f>SUMIFS('Besi Balok'!$AA$23:$AA$7253,'Besi Balok'!$A$23:$A$7253,$A139,'Besi Balok'!$B$23:$B$7253,$B139,'Besi Balok'!$F$23:$F$7253,'REKAP Balok'!P$11)</f>
        <v>99.965721600000009</v>
      </c>
      <c r="Q139" s="282">
        <f>SUMIFS('Besi Balok'!$AA$23:$AA$7253,'Besi Balok'!$A$23:$A$7253,$A139,'Besi Balok'!$B$23:$B$7253,$B139,'Besi Balok'!$F$23:$F$7253,'REKAP Balok'!Q$11)</f>
        <v>0</v>
      </c>
      <c r="R139" s="282">
        <f>SUMIFS('Besi Balok'!$AA$23:$AA$7253,'Besi Balok'!$A$23:$A$7253,$A139,'Besi Balok'!$B$23:$B$7253,$B139,'Besi Balok'!$F$23:$F$7253,'REKAP Balok'!R$11)</f>
        <v>0</v>
      </c>
      <c r="S139" s="282">
        <f>SUMIFS('Besi Balok'!$AA$23:$AA$7253,'Besi Balok'!$A$23:$A$7253,$A139,'Besi Balok'!$B$23:$B$7253,$B139,'Besi Balok'!$F$23:$F$7253,'REKAP Balok'!S$11)</f>
        <v>0</v>
      </c>
      <c r="T139" s="283">
        <f>SUMIFS('Besi Balok'!$AA$23:$AA$7253,'Besi Balok'!$A$23:$A$7253,$A139,'Besi Balok'!$B$23:$B$7253,$B139,'Besi Balok'!$F$23:$F$7253,'REKAP Balok'!T$11)</f>
        <v>0</v>
      </c>
      <c r="U139" s="284">
        <f t="shared" si="33"/>
        <v>159.85253160000002</v>
      </c>
      <c r="V139" s="285">
        <f t="shared" si="34"/>
        <v>0.80325000000000002</v>
      </c>
      <c r="W139" s="282">
        <f t="shared" si="44"/>
        <v>5.3550000000000004</v>
      </c>
      <c r="X139" s="282"/>
      <c r="Y139" s="282"/>
      <c r="Z139" s="283"/>
      <c r="AC139" s="1784">
        <f t="shared" si="38"/>
        <v>1.7849999999999999</v>
      </c>
    </row>
    <row r="140" spans="1:29" hidden="1">
      <c r="A140" s="272" t="str">
        <f>'Data Panjang Balok'!A136</f>
        <v>Lantai 2</v>
      </c>
      <c r="B140" s="273">
        <f>'Data Panjang Balok'!B136</f>
        <v>39</v>
      </c>
      <c r="C140" s="274" t="str">
        <f>'Data Panjang Balok'!D136</f>
        <v>B25-1</v>
      </c>
      <c r="D140" s="275">
        <f>IF(C140&gt;0,VLOOKUP(C140,'Detail Balok'!$C$11:$AU$140,2,FALSE),0)</f>
        <v>200</v>
      </c>
      <c r="E140" s="276" t="s">
        <v>125</v>
      </c>
      <c r="F140" s="277">
        <f>IF(C140&gt;0,VLOOKUP(C140,'Detail Balok'!$C$11:$AU$140,3,FALSE),0)</f>
        <v>500</v>
      </c>
      <c r="G140" s="278">
        <f>'Data Panjang Balok'!I136</f>
        <v>4250</v>
      </c>
      <c r="H140" s="278">
        <f>'Data Panjang Balok'!J136</f>
        <v>0</v>
      </c>
      <c r="I140" s="279">
        <v>0</v>
      </c>
      <c r="J140" s="279">
        <f t="shared" si="32"/>
        <v>-0.5</v>
      </c>
      <c r="K140" s="280">
        <f>'Data Panjang Balok'!E136</f>
        <v>1</v>
      </c>
      <c r="L140" s="281">
        <f>SUMIFS('Besi Balok'!$AA$23:$AA$7253,'Besi Balok'!$A$23:$A$7253,$A140,'Besi Balok'!$B$23:$B$7253,$B140,'Besi Balok'!$F$23:$F$7253,'REKAP Balok'!L$11)</f>
        <v>0</v>
      </c>
      <c r="M140" s="282">
        <f>SUMIFS('Besi Balok'!$AA$23:$AA$7253,'Besi Balok'!$A$23:$A$7253,$A140,'Besi Balok'!$B$23:$B$7253,$B140,'Besi Balok'!$F$23:$F$7253,'REKAP Balok'!M$11)</f>
        <v>0</v>
      </c>
      <c r="N140" s="282">
        <f>SUMIFS('Besi Balok'!$AA$23:$AA$7253,'Besi Balok'!$A$23:$A$7253,$A140,'Besi Balok'!$B$23:$B$7253,$B140,'Besi Balok'!$F$23:$F$7253,'REKAP Balok'!N$11)</f>
        <v>26.010135000000002</v>
      </c>
      <c r="O140" s="282">
        <f>SUMIFS('Besi Balok'!$AA$23:$AA$7253,'Besi Balok'!$A$23:$A$7253,$A140,'Besi Balok'!$B$23:$B$7253,$B140,'Besi Balok'!$F$23:$F$7253,'REKAP Balok'!O$11)</f>
        <v>0</v>
      </c>
      <c r="P140" s="282">
        <f>SUMIFS('Besi Balok'!$AA$23:$AA$7253,'Besi Balok'!$A$23:$A$7253,$A140,'Besi Balok'!$B$23:$B$7253,$B140,'Besi Balok'!$F$23:$F$7253,'REKAP Balok'!P$11)</f>
        <v>58.50851328000001</v>
      </c>
      <c r="Q140" s="282">
        <f>SUMIFS('Besi Balok'!$AA$23:$AA$7253,'Besi Balok'!$A$23:$A$7253,$A140,'Besi Balok'!$B$23:$B$7253,$B140,'Besi Balok'!$F$23:$F$7253,'REKAP Balok'!Q$11)</f>
        <v>0</v>
      </c>
      <c r="R140" s="282">
        <f>SUMIFS('Besi Balok'!$AA$23:$AA$7253,'Besi Balok'!$A$23:$A$7253,$A140,'Besi Balok'!$B$23:$B$7253,$B140,'Besi Balok'!$F$23:$F$7253,'REKAP Balok'!R$11)</f>
        <v>0</v>
      </c>
      <c r="S140" s="282">
        <f>SUMIFS('Besi Balok'!$AA$23:$AA$7253,'Besi Balok'!$A$23:$A$7253,$A140,'Besi Balok'!$B$23:$B$7253,$B140,'Besi Balok'!$F$23:$F$7253,'REKAP Balok'!S$11)</f>
        <v>0</v>
      </c>
      <c r="T140" s="283">
        <f>SUMIFS('Besi Balok'!$AA$23:$AA$7253,'Besi Balok'!$A$23:$A$7253,$A140,'Besi Balok'!$B$23:$B$7253,$B140,'Besi Balok'!$F$23:$F$7253,'REKAP Balok'!T$11)</f>
        <v>0</v>
      </c>
      <c r="U140" s="284">
        <f t="shared" si="33"/>
        <v>84.518648280000008</v>
      </c>
      <c r="V140" s="285">
        <f t="shared" si="34"/>
        <v>0.42499999999999999</v>
      </c>
      <c r="W140" s="282">
        <f t="shared" si="44"/>
        <v>5.0999999999999996</v>
      </c>
      <c r="X140" s="282"/>
      <c r="Y140" s="282"/>
      <c r="Z140" s="283"/>
      <c r="AC140" s="1784">
        <f t="shared" si="38"/>
        <v>0.85</v>
      </c>
    </row>
    <row r="141" spans="1:29" hidden="1">
      <c r="A141" s="272" t="str">
        <f>'Data Panjang Balok'!A137</f>
        <v>Lantai 2</v>
      </c>
      <c r="B141" s="273">
        <f>'Data Panjang Balok'!B137</f>
        <v>40</v>
      </c>
      <c r="C141" s="274" t="str">
        <f>'Data Panjang Balok'!D137</f>
        <v>B25-1</v>
      </c>
      <c r="D141" s="275">
        <f>IF(C141&gt;0,VLOOKUP(C141,'Detail Balok'!$C$11:$AU$140,2,FALSE),0)</f>
        <v>200</v>
      </c>
      <c r="E141" s="276" t="s">
        <v>125</v>
      </c>
      <c r="F141" s="277">
        <f>IF(C141&gt;0,VLOOKUP(C141,'Detail Balok'!$C$11:$AU$140,3,FALSE),0)</f>
        <v>500</v>
      </c>
      <c r="G141" s="278">
        <f>'Data Panjang Balok'!I137</f>
        <v>1600</v>
      </c>
      <c r="H141" s="278">
        <f>'Data Panjang Balok'!J137</f>
        <v>150</v>
      </c>
      <c r="I141" s="279">
        <v>0</v>
      </c>
      <c r="J141" s="279">
        <f t="shared" si="32"/>
        <v>-0.5</v>
      </c>
      <c r="K141" s="280">
        <f>'Data Panjang Balok'!E137</f>
        <v>1</v>
      </c>
      <c r="L141" s="281">
        <f>SUMIFS('Besi Balok'!$AA$23:$AA$7253,'Besi Balok'!$A$23:$A$7253,$A141,'Besi Balok'!$B$23:$B$7253,$B141,'Besi Balok'!$F$23:$F$7253,'REKAP Balok'!L$11)</f>
        <v>0</v>
      </c>
      <c r="M141" s="282">
        <f>SUMIFS('Besi Balok'!$AA$23:$AA$7253,'Besi Balok'!$A$23:$A$7253,$A141,'Besi Balok'!$B$23:$B$7253,$B141,'Besi Balok'!$F$23:$F$7253,'REKAP Balok'!M$11)</f>
        <v>0</v>
      </c>
      <c r="N141" s="282">
        <f>SUMIFS('Besi Balok'!$AA$23:$AA$7253,'Besi Balok'!$A$23:$A$7253,$A141,'Besi Balok'!$B$23:$B$7253,$B141,'Besi Balok'!$F$23:$F$7253,'REKAP Balok'!N$11)</f>
        <v>11.368260000000001</v>
      </c>
      <c r="O141" s="282">
        <f>SUMIFS('Besi Balok'!$AA$23:$AA$7253,'Besi Balok'!$A$23:$A$7253,$A141,'Besi Balok'!$B$23:$B$7253,$B141,'Besi Balok'!$F$23:$F$7253,'REKAP Balok'!O$11)</f>
        <v>0</v>
      </c>
      <c r="P141" s="282">
        <f>SUMIFS('Besi Balok'!$AA$23:$AA$7253,'Besi Balok'!$A$23:$A$7253,$A141,'Besi Balok'!$B$23:$B$7253,$B141,'Besi Balok'!$F$23:$F$7253,'REKAP Balok'!P$11)</f>
        <v>25.049825280000004</v>
      </c>
      <c r="Q141" s="282">
        <f>SUMIFS('Besi Balok'!$AA$23:$AA$7253,'Besi Balok'!$A$23:$A$7253,$A141,'Besi Balok'!$B$23:$B$7253,$B141,'Besi Balok'!$F$23:$F$7253,'REKAP Balok'!Q$11)</f>
        <v>0</v>
      </c>
      <c r="R141" s="282">
        <f>SUMIFS('Besi Balok'!$AA$23:$AA$7253,'Besi Balok'!$A$23:$A$7253,$A141,'Besi Balok'!$B$23:$B$7253,$B141,'Besi Balok'!$F$23:$F$7253,'REKAP Balok'!R$11)</f>
        <v>0</v>
      </c>
      <c r="S141" s="282">
        <f>SUMIFS('Besi Balok'!$AA$23:$AA$7253,'Besi Balok'!$A$23:$A$7253,$A141,'Besi Balok'!$B$23:$B$7253,$B141,'Besi Balok'!$F$23:$F$7253,'REKAP Balok'!S$11)</f>
        <v>0</v>
      </c>
      <c r="T141" s="283">
        <f>SUMIFS('Besi Balok'!$AA$23:$AA$7253,'Besi Balok'!$A$23:$A$7253,$A141,'Besi Balok'!$B$23:$B$7253,$B141,'Besi Balok'!$F$23:$F$7253,'REKAP Balok'!T$11)</f>
        <v>0</v>
      </c>
      <c r="U141" s="284">
        <f t="shared" si="33"/>
        <v>36.418085280000007</v>
      </c>
      <c r="V141" s="285">
        <f t="shared" si="34"/>
        <v>0.112</v>
      </c>
      <c r="W141" s="282">
        <f t="shared" si="44"/>
        <v>1.1200000000000001</v>
      </c>
      <c r="X141" s="282"/>
      <c r="Y141" s="282"/>
      <c r="Z141" s="283"/>
      <c r="AC141" s="1784">
        <f t="shared" si="38"/>
        <v>0.32</v>
      </c>
    </row>
    <row r="142" spans="1:29" hidden="1">
      <c r="A142" s="272" t="str">
        <f>'Data Panjang Balok'!A138</f>
        <v>Lantai 2</v>
      </c>
      <c r="B142" s="273">
        <f>'Data Panjang Balok'!B138</f>
        <v>41</v>
      </c>
      <c r="C142" s="274" t="str">
        <f>'Data Panjang Balok'!D138</f>
        <v>B25-1</v>
      </c>
      <c r="D142" s="275">
        <f>IF(C142&gt;0,VLOOKUP(C142,'Detail Balok'!$C$11:$AU$140,2,FALSE),0)</f>
        <v>200</v>
      </c>
      <c r="E142" s="276" t="s">
        <v>125</v>
      </c>
      <c r="F142" s="277">
        <f>IF(C142&gt;0,VLOOKUP(C142,'Detail Balok'!$C$11:$AU$140,3,FALSE),0)</f>
        <v>500</v>
      </c>
      <c r="G142" s="278">
        <f>'Data Panjang Balok'!I138</f>
        <v>22000</v>
      </c>
      <c r="H142" s="278">
        <f>'Data Panjang Balok'!J138</f>
        <v>100</v>
      </c>
      <c r="I142" s="279">
        <v>0</v>
      </c>
      <c r="J142" s="279">
        <f t="shared" si="32"/>
        <v>-0.5</v>
      </c>
      <c r="K142" s="280">
        <f>'Data Panjang Balok'!E138</f>
        <v>1</v>
      </c>
      <c r="L142" s="281">
        <f>SUMIFS('Besi Balok'!$AA$23:$AA$7253,'Besi Balok'!$A$23:$A$7253,$A142,'Besi Balok'!$B$23:$B$7253,$B142,'Besi Balok'!$F$23:$F$7253,'REKAP Balok'!L$11)</f>
        <v>0</v>
      </c>
      <c r="M142" s="282">
        <f>SUMIFS('Besi Balok'!$AA$23:$AA$7253,'Besi Balok'!$A$23:$A$7253,$A142,'Besi Balok'!$B$23:$B$7253,$B142,'Besi Balok'!$F$23:$F$7253,'REKAP Balok'!M$11)</f>
        <v>0</v>
      </c>
      <c r="N142" s="282">
        <f>SUMIFS('Besi Balok'!$AA$23:$AA$7253,'Besi Balok'!$A$23:$A$7253,$A142,'Besi Balok'!$B$23:$B$7253,$B142,'Besi Balok'!$F$23:$F$7253,'REKAP Balok'!N$11)</f>
        <v>126.7593048</v>
      </c>
      <c r="O142" s="282">
        <f>SUMIFS('Besi Balok'!$AA$23:$AA$7253,'Besi Balok'!$A$23:$A$7253,$A142,'Besi Balok'!$B$23:$B$7253,$B142,'Besi Balok'!$F$23:$F$7253,'REKAP Balok'!O$11)</f>
        <v>0</v>
      </c>
      <c r="P142" s="282">
        <f>SUMIFS('Besi Balok'!$AA$23:$AA$7253,'Besi Balok'!$A$23:$A$7253,$A142,'Besi Balok'!$B$23:$B$7253,$B142,'Besi Balok'!$F$23:$F$7253,'REKAP Balok'!P$11)</f>
        <v>282.62869401600005</v>
      </c>
      <c r="Q142" s="282">
        <f>SUMIFS('Besi Balok'!$AA$23:$AA$7253,'Besi Balok'!$A$23:$A$7253,$A142,'Besi Balok'!$B$23:$B$7253,$B142,'Besi Balok'!$F$23:$F$7253,'REKAP Balok'!Q$11)</f>
        <v>0</v>
      </c>
      <c r="R142" s="282">
        <f>SUMIFS('Besi Balok'!$AA$23:$AA$7253,'Besi Balok'!$A$23:$A$7253,$A142,'Besi Balok'!$B$23:$B$7253,$B142,'Besi Balok'!$F$23:$F$7253,'REKAP Balok'!R$11)</f>
        <v>0</v>
      </c>
      <c r="S142" s="282">
        <f>SUMIFS('Besi Balok'!$AA$23:$AA$7253,'Besi Balok'!$A$23:$A$7253,$A142,'Besi Balok'!$B$23:$B$7253,$B142,'Besi Balok'!$F$23:$F$7253,'REKAP Balok'!S$11)</f>
        <v>0</v>
      </c>
      <c r="T142" s="283">
        <f>SUMIFS('Besi Balok'!$AA$23:$AA$7253,'Besi Balok'!$A$23:$A$7253,$A142,'Besi Balok'!$B$23:$B$7253,$B142,'Besi Balok'!$F$23:$F$7253,'REKAP Balok'!T$11)</f>
        <v>0</v>
      </c>
      <c r="U142" s="284">
        <f t="shared" si="33"/>
        <v>409.38799881600005</v>
      </c>
      <c r="V142" s="285">
        <f t="shared" si="34"/>
        <v>1.76</v>
      </c>
      <c r="W142" s="282">
        <f t="shared" si="44"/>
        <v>17.600000000000001</v>
      </c>
      <c r="X142" s="282"/>
      <c r="Y142" s="282"/>
      <c r="Z142" s="283"/>
      <c r="AC142" s="1784">
        <f t="shared" si="38"/>
        <v>4.4000000000000004</v>
      </c>
    </row>
    <row r="143" spans="1:29" hidden="1">
      <c r="A143" s="272" t="str">
        <f>'Data Panjang Balok'!A139</f>
        <v>Lantai 2</v>
      </c>
      <c r="B143" s="273">
        <f>'Data Panjang Balok'!B139</f>
        <v>42</v>
      </c>
      <c r="C143" s="274" t="str">
        <f>'Data Panjang Balok'!D139</f>
        <v>CL24-1</v>
      </c>
      <c r="D143" s="275">
        <f>IF(C143&gt;0,VLOOKUP(C143,'Detail Balok'!$C$11:$AU$140,2,FALSE),0)</f>
        <v>200</v>
      </c>
      <c r="E143" s="276" t="s">
        <v>125</v>
      </c>
      <c r="F143" s="277">
        <f>IF(C143&gt;0,VLOOKUP(C143,'Detail Balok'!$C$11:$AU$140,3,FALSE),0)</f>
        <v>400</v>
      </c>
      <c r="G143" s="278">
        <f>'Data Panjang Balok'!I139</f>
        <v>3090</v>
      </c>
      <c r="H143" s="278">
        <f>'Data Panjang Balok'!J139</f>
        <v>150</v>
      </c>
      <c r="I143" s="279">
        <v>0</v>
      </c>
      <c r="J143" s="279">
        <f t="shared" si="32"/>
        <v>-0.4</v>
      </c>
      <c r="K143" s="280">
        <f>'Data Panjang Balok'!E139</f>
        <v>1</v>
      </c>
      <c r="L143" s="281">
        <f>SUMIFS('Besi Balok'!$AA$23:$AA$7253,'Besi Balok'!$A$23:$A$7253,$A143,'Besi Balok'!$B$23:$B$7253,$B143,'Besi Balok'!$F$23:$F$7253,'REKAP Balok'!L$11)</f>
        <v>0</v>
      </c>
      <c r="M143" s="282">
        <f>SUMIFS('Besi Balok'!$AA$23:$AA$7253,'Besi Balok'!$A$23:$A$7253,$A143,'Besi Balok'!$B$23:$B$7253,$B143,'Besi Balok'!$F$23:$F$7253,'REKAP Balok'!M$11)</f>
        <v>0</v>
      </c>
      <c r="N143" s="282">
        <f>SUMIFS('Besi Balok'!$AA$23:$AA$7253,'Besi Balok'!$A$23:$A$7253,$A143,'Besi Balok'!$B$23:$B$7253,$B143,'Besi Balok'!$F$23:$F$7253,'REKAP Balok'!N$11)</f>
        <v>20.954835000000003</v>
      </c>
      <c r="O143" s="282">
        <f>SUMIFS('Besi Balok'!$AA$23:$AA$7253,'Besi Balok'!$A$23:$A$7253,$A143,'Besi Balok'!$B$23:$B$7253,$B143,'Besi Balok'!$F$23:$F$7253,'REKAP Balok'!O$11)</f>
        <v>0</v>
      </c>
      <c r="P143" s="282">
        <f>SUMIFS('Besi Balok'!$AA$23:$AA$7253,'Besi Balok'!$A$23:$A$7253,$A143,'Besi Balok'!$B$23:$B$7253,$B143,'Besi Balok'!$F$23:$F$7253,'REKAP Balok'!P$11)</f>
        <v>32.896834560000002</v>
      </c>
      <c r="Q143" s="282">
        <f>SUMIFS('Besi Balok'!$AA$23:$AA$7253,'Besi Balok'!$A$23:$A$7253,$A143,'Besi Balok'!$B$23:$B$7253,$B143,'Besi Balok'!$F$23:$F$7253,'REKAP Balok'!Q$11)</f>
        <v>0</v>
      </c>
      <c r="R143" s="282">
        <f>SUMIFS('Besi Balok'!$AA$23:$AA$7253,'Besi Balok'!$A$23:$A$7253,$A143,'Besi Balok'!$B$23:$B$7253,$B143,'Besi Balok'!$F$23:$F$7253,'REKAP Balok'!R$11)</f>
        <v>0</v>
      </c>
      <c r="S143" s="282">
        <f>SUMIFS('Besi Balok'!$AA$23:$AA$7253,'Besi Balok'!$A$23:$A$7253,$A143,'Besi Balok'!$B$23:$B$7253,$B143,'Besi Balok'!$F$23:$F$7253,'REKAP Balok'!S$11)</f>
        <v>0</v>
      </c>
      <c r="T143" s="283">
        <f>SUMIFS('Besi Balok'!$AA$23:$AA$7253,'Besi Balok'!$A$23:$A$7253,$A143,'Besi Balok'!$B$23:$B$7253,$B143,'Besi Balok'!$F$23:$F$7253,'REKAP Balok'!T$11)</f>
        <v>0</v>
      </c>
      <c r="U143" s="284">
        <f t="shared" si="33"/>
        <v>53.851669560000005</v>
      </c>
      <c r="V143" s="285">
        <f t="shared" si="34"/>
        <v>0.1545</v>
      </c>
      <c r="W143" s="282">
        <f t="shared" si="44"/>
        <v>1.5449999999999999</v>
      </c>
      <c r="X143" s="282"/>
      <c r="Y143" s="282"/>
      <c r="Z143" s="283"/>
      <c r="AC143" s="1784">
        <f t="shared" si="38"/>
        <v>0.49440000000000001</v>
      </c>
    </row>
    <row r="144" spans="1:29" hidden="1">
      <c r="A144" s="272" t="str">
        <f>'Data Panjang Balok'!A140</f>
        <v>Lantai 2</v>
      </c>
      <c r="B144" s="273">
        <f>'Data Panjang Balok'!B140</f>
        <v>43</v>
      </c>
      <c r="C144" s="274" t="str">
        <f>'Data Panjang Balok'!D140</f>
        <v>CL24-1</v>
      </c>
      <c r="D144" s="275">
        <f>IF(C144&gt;0,VLOOKUP(C144,'Detail Balok'!$C$11:$AU$140,2,FALSE),0)</f>
        <v>200</v>
      </c>
      <c r="E144" s="276" t="s">
        <v>125</v>
      </c>
      <c r="F144" s="277">
        <f>IF(C144&gt;0,VLOOKUP(C144,'Detail Balok'!$C$11:$AU$140,3,FALSE),0)</f>
        <v>400</v>
      </c>
      <c r="G144" s="278">
        <f>'Data Panjang Balok'!I140</f>
        <v>3090</v>
      </c>
      <c r="H144" s="278">
        <f>'Data Panjang Balok'!J140</f>
        <v>150</v>
      </c>
      <c r="I144" s="279">
        <v>0</v>
      </c>
      <c r="J144" s="279">
        <f t="shared" si="32"/>
        <v>-0.4</v>
      </c>
      <c r="K144" s="280">
        <f>'Data Panjang Balok'!E140</f>
        <v>1</v>
      </c>
      <c r="L144" s="281">
        <f>SUMIFS('Besi Balok'!$AA$23:$AA$7253,'Besi Balok'!$A$23:$A$7253,$A144,'Besi Balok'!$B$23:$B$7253,$B144,'Besi Balok'!$F$23:$F$7253,'REKAP Balok'!L$11)</f>
        <v>0</v>
      </c>
      <c r="M144" s="282">
        <f>SUMIFS('Besi Balok'!$AA$23:$AA$7253,'Besi Balok'!$A$23:$A$7253,$A144,'Besi Balok'!$B$23:$B$7253,$B144,'Besi Balok'!$F$23:$F$7253,'REKAP Balok'!M$11)</f>
        <v>0</v>
      </c>
      <c r="N144" s="282">
        <f>SUMIFS('Besi Balok'!$AA$23:$AA$7253,'Besi Balok'!$A$23:$A$7253,$A144,'Besi Balok'!$B$23:$B$7253,$B144,'Besi Balok'!$F$23:$F$7253,'REKAP Balok'!N$11)</f>
        <v>20.954835000000003</v>
      </c>
      <c r="O144" s="282">
        <f>SUMIFS('Besi Balok'!$AA$23:$AA$7253,'Besi Balok'!$A$23:$A$7253,$A144,'Besi Balok'!$B$23:$B$7253,$B144,'Besi Balok'!$F$23:$F$7253,'REKAP Balok'!O$11)</f>
        <v>0</v>
      </c>
      <c r="P144" s="282">
        <f>SUMIFS('Besi Balok'!$AA$23:$AA$7253,'Besi Balok'!$A$23:$A$7253,$A144,'Besi Balok'!$B$23:$B$7253,$B144,'Besi Balok'!$F$23:$F$7253,'REKAP Balok'!P$11)</f>
        <v>32.896834560000002</v>
      </c>
      <c r="Q144" s="282">
        <f>SUMIFS('Besi Balok'!$AA$23:$AA$7253,'Besi Balok'!$A$23:$A$7253,$A144,'Besi Balok'!$B$23:$B$7253,$B144,'Besi Balok'!$F$23:$F$7253,'REKAP Balok'!Q$11)</f>
        <v>0</v>
      </c>
      <c r="R144" s="282">
        <f>SUMIFS('Besi Balok'!$AA$23:$AA$7253,'Besi Balok'!$A$23:$A$7253,$A144,'Besi Balok'!$B$23:$B$7253,$B144,'Besi Balok'!$F$23:$F$7253,'REKAP Balok'!R$11)</f>
        <v>0</v>
      </c>
      <c r="S144" s="282">
        <f>SUMIFS('Besi Balok'!$AA$23:$AA$7253,'Besi Balok'!$A$23:$A$7253,$A144,'Besi Balok'!$B$23:$B$7253,$B144,'Besi Balok'!$F$23:$F$7253,'REKAP Balok'!S$11)</f>
        <v>0</v>
      </c>
      <c r="T144" s="283">
        <f>SUMIFS('Besi Balok'!$AA$23:$AA$7253,'Besi Balok'!$A$23:$A$7253,$A144,'Besi Balok'!$B$23:$B$7253,$B144,'Besi Balok'!$F$23:$F$7253,'REKAP Balok'!T$11)</f>
        <v>0</v>
      </c>
      <c r="U144" s="284">
        <f t="shared" si="33"/>
        <v>53.851669560000005</v>
      </c>
      <c r="V144" s="285">
        <f t="shared" si="34"/>
        <v>0.1545</v>
      </c>
      <c r="W144" s="282">
        <f t="shared" si="44"/>
        <v>1.5449999999999999</v>
      </c>
      <c r="X144" s="282"/>
      <c r="Y144" s="282"/>
      <c r="Z144" s="283"/>
      <c r="AC144" s="1784">
        <f t="shared" si="38"/>
        <v>0.49440000000000001</v>
      </c>
    </row>
    <row r="145" spans="1:29" hidden="1">
      <c r="A145" s="272" t="str">
        <f>'Data Panjang Balok'!A141</f>
        <v>Lantai 2</v>
      </c>
      <c r="B145" s="273">
        <f>'Data Panjang Balok'!B141</f>
        <v>44</v>
      </c>
      <c r="C145" s="274" t="str">
        <f>'Data Panjang Balok'!D141</f>
        <v>B25-1</v>
      </c>
      <c r="D145" s="275">
        <f>IF(C145&gt;0,VLOOKUP(C145,'Detail Balok'!$C$11:$AU$140,2,FALSE),0)</f>
        <v>200</v>
      </c>
      <c r="E145" s="276" t="s">
        <v>125</v>
      </c>
      <c r="F145" s="277">
        <f>IF(C145&gt;0,VLOOKUP(C145,'Detail Balok'!$C$11:$AU$140,3,FALSE),0)</f>
        <v>500</v>
      </c>
      <c r="G145" s="278">
        <f>'Data Panjang Balok'!I141</f>
        <v>6080</v>
      </c>
      <c r="H145" s="278">
        <f>'Data Panjang Balok'!J141</f>
        <v>150</v>
      </c>
      <c r="I145" s="279">
        <v>0</v>
      </c>
      <c r="J145" s="279">
        <f t="shared" si="32"/>
        <v>-0.5</v>
      </c>
      <c r="K145" s="280">
        <f>'Data Panjang Balok'!E141</f>
        <v>1</v>
      </c>
      <c r="L145" s="281">
        <f>SUMIFS('Besi Balok'!$AA$23:$AA$7253,'Besi Balok'!$A$23:$A$7253,$A145,'Besi Balok'!$B$23:$B$7253,$B145,'Besi Balok'!$F$23:$F$7253,'REKAP Balok'!L$11)</f>
        <v>0</v>
      </c>
      <c r="M145" s="282">
        <f>SUMIFS('Besi Balok'!$AA$23:$AA$7253,'Besi Balok'!$A$23:$A$7253,$A145,'Besi Balok'!$B$23:$B$7253,$B145,'Besi Balok'!$F$23:$F$7253,'REKAP Balok'!M$11)</f>
        <v>0</v>
      </c>
      <c r="N145" s="282">
        <f>SUMIFS('Besi Balok'!$AA$23:$AA$7253,'Besi Balok'!$A$23:$A$7253,$A145,'Besi Balok'!$B$23:$B$7253,$B145,'Besi Balok'!$F$23:$F$7253,'REKAP Balok'!N$11)</f>
        <v>35.849475000000005</v>
      </c>
      <c r="O145" s="282">
        <f>SUMIFS('Besi Balok'!$AA$23:$AA$7253,'Besi Balok'!$A$23:$A$7253,$A145,'Besi Balok'!$B$23:$B$7253,$B145,'Besi Balok'!$F$23:$F$7253,'REKAP Balok'!O$11)</f>
        <v>0</v>
      </c>
      <c r="P145" s="282">
        <f>SUMIFS('Besi Balok'!$AA$23:$AA$7253,'Besi Balok'!$A$23:$A$7253,$A145,'Besi Balok'!$B$23:$B$7253,$B145,'Besi Balok'!$F$23:$F$7253,'REKAP Balok'!P$11)</f>
        <v>81.61394688</v>
      </c>
      <c r="Q145" s="282">
        <f>SUMIFS('Besi Balok'!$AA$23:$AA$7253,'Besi Balok'!$A$23:$A$7253,$A145,'Besi Balok'!$B$23:$B$7253,$B145,'Besi Balok'!$F$23:$F$7253,'REKAP Balok'!Q$11)</f>
        <v>0</v>
      </c>
      <c r="R145" s="282">
        <f>SUMIFS('Besi Balok'!$AA$23:$AA$7253,'Besi Balok'!$A$23:$A$7253,$A145,'Besi Balok'!$B$23:$B$7253,$B145,'Besi Balok'!$F$23:$F$7253,'REKAP Balok'!R$11)</f>
        <v>0</v>
      </c>
      <c r="S145" s="282">
        <f>SUMIFS('Besi Balok'!$AA$23:$AA$7253,'Besi Balok'!$A$23:$A$7253,$A145,'Besi Balok'!$B$23:$B$7253,$B145,'Besi Balok'!$F$23:$F$7253,'REKAP Balok'!S$11)</f>
        <v>0</v>
      </c>
      <c r="T145" s="283">
        <f>SUMIFS('Besi Balok'!$AA$23:$AA$7253,'Besi Balok'!$A$23:$A$7253,$A145,'Besi Balok'!$B$23:$B$7253,$B145,'Besi Balok'!$F$23:$F$7253,'REKAP Balok'!T$11)</f>
        <v>0</v>
      </c>
      <c r="U145" s="284">
        <f t="shared" si="33"/>
        <v>117.46342188</v>
      </c>
      <c r="V145" s="285">
        <f t="shared" si="34"/>
        <v>0.42559999999999998</v>
      </c>
      <c r="W145" s="282">
        <f t="shared" si="44"/>
        <v>4.2560000000000002</v>
      </c>
      <c r="X145" s="282"/>
      <c r="Y145" s="282"/>
      <c r="Z145" s="283"/>
      <c r="AC145" s="1784">
        <f t="shared" si="38"/>
        <v>1.216</v>
      </c>
    </row>
    <row r="146" spans="1:29" hidden="1">
      <c r="A146" s="272" t="str">
        <f>'Data Panjang Balok'!A142</f>
        <v>Lantai 2</v>
      </c>
      <c r="B146" s="273">
        <f>'Data Panjang Balok'!B142</f>
        <v>45</v>
      </c>
      <c r="C146" s="274" t="str">
        <f>'Data Panjang Balok'!D142</f>
        <v>B24-1</v>
      </c>
      <c r="D146" s="275">
        <f>IF(C146&gt;0,VLOOKUP(C146,'Detail Balok'!$C$11:$AU$140,2,FALSE),0)</f>
        <v>200</v>
      </c>
      <c r="E146" s="276" t="s">
        <v>125</v>
      </c>
      <c r="F146" s="277">
        <f>IF(C146&gt;0,VLOOKUP(C146,'Detail Balok'!$C$11:$AU$140,3,FALSE),0)</f>
        <v>400</v>
      </c>
      <c r="G146" s="278">
        <f>'Data Panjang Balok'!I142</f>
        <v>2125</v>
      </c>
      <c r="H146" s="278">
        <f>'Data Panjang Balok'!J142</f>
        <v>0</v>
      </c>
      <c r="I146" s="279">
        <v>0</v>
      </c>
      <c r="J146" s="279">
        <f t="shared" si="32"/>
        <v>-0.4</v>
      </c>
      <c r="K146" s="280">
        <f>'Data Panjang Balok'!E142</f>
        <v>1</v>
      </c>
      <c r="L146" s="281">
        <f>SUMIFS('Besi Balok'!$AA$23:$AA$7253,'Besi Balok'!$A$23:$A$7253,$A146,'Besi Balok'!$B$23:$B$7253,$B146,'Besi Balok'!$F$23:$F$7253,'REKAP Balok'!L$11)</f>
        <v>0</v>
      </c>
      <c r="M146" s="282">
        <f>SUMIFS('Besi Balok'!$AA$23:$AA$7253,'Besi Balok'!$A$23:$A$7253,$A146,'Besi Balok'!$B$23:$B$7253,$B146,'Besi Balok'!$F$23:$F$7253,'REKAP Balok'!M$11)</f>
        <v>0</v>
      </c>
      <c r="N146" s="282">
        <f>SUMIFS('Besi Balok'!$AA$23:$AA$7253,'Besi Balok'!$A$23:$A$7253,$A146,'Besi Balok'!$B$23:$B$7253,$B146,'Besi Balok'!$F$23:$F$7253,'REKAP Balok'!N$11)</f>
        <v>13.334895000000003</v>
      </c>
      <c r="O146" s="282">
        <f>SUMIFS('Besi Balok'!$AA$23:$AA$7253,'Besi Balok'!$A$23:$A$7253,$A146,'Besi Balok'!$B$23:$B$7253,$B146,'Besi Balok'!$F$23:$F$7253,'REKAP Balok'!O$11)</f>
        <v>15.234442470000001</v>
      </c>
      <c r="P146" s="282">
        <f>SUMIFS('Besi Balok'!$AA$23:$AA$7253,'Besi Balok'!$A$23:$A$7253,$A146,'Besi Balok'!$B$23:$B$7253,$B146,'Besi Balok'!$F$23:$F$7253,'REKAP Balok'!P$11)</f>
        <v>0</v>
      </c>
      <c r="Q146" s="282">
        <f>SUMIFS('Besi Balok'!$AA$23:$AA$7253,'Besi Balok'!$A$23:$A$7253,$A146,'Besi Balok'!$B$23:$B$7253,$B146,'Besi Balok'!$F$23:$F$7253,'REKAP Balok'!Q$11)</f>
        <v>0</v>
      </c>
      <c r="R146" s="282">
        <f>SUMIFS('Besi Balok'!$AA$23:$AA$7253,'Besi Balok'!$A$23:$A$7253,$A146,'Besi Balok'!$B$23:$B$7253,$B146,'Besi Balok'!$F$23:$F$7253,'REKAP Balok'!R$11)</f>
        <v>0</v>
      </c>
      <c r="S146" s="282">
        <f>SUMIFS('Besi Balok'!$AA$23:$AA$7253,'Besi Balok'!$A$23:$A$7253,$A146,'Besi Balok'!$B$23:$B$7253,$B146,'Besi Balok'!$F$23:$F$7253,'REKAP Balok'!S$11)</f>
        <v>0</v>
      </c>
      <c r="T146" s="283">
        <f>SUMIFS('Besi Balok'!$AA$23:$AA$7253,'Besi Balok'!$A$23:$A$7253,$A146,'Besi Balok'!$B$23:$B$7253,$B146,'Besi Balok'!$F$23:$F$7253,'REKAP Balok'!T$11)</f>
        <v>0</v>
      </c>
      <c r="U146" s="284">
        <f t="shared" si="33"/>
        <v>28.569337470000004</v>
      </c>
      <c r="V146" s="285">
        <f t="shared" si="34"/>
        <v>0.17</v>
      </c>
      <c r="W146" s="282">
        <f t="shared" si="44"/>
        <v>2.125</v>
      </c>
      <c r="X146" s="282"/>
      <c r="Y146" s="282"/>
      <c r="Z146" s="283"/>
      <c r="AC146" s="1784">
        <f t="shared" si="38"/>
        <v>0.34</v>
      </c>
    </row>
    <row r="147" spans="1:29" hidden="1">
      <c r="A147" s="272" t="str">
        <f>'Data Panjang Balok'!A143</f>
        <v>Lantai 2</v>
      </c>
      <c r="B147" s="273">
        <f>'Data Panjang Balok'!B143</f>
        <v>46</v>
      </c>
      <c r="C147" s="274" t="str">
        <f>'Data Panjang Balok'!D143</f>
        <v>B24-1</v>
      </c>
      <c r="D147" s="275">
        <f>IF(C147&gt;0,VLOOKUP(C147,'Detail Balok'!$C$11:$AU$140,2,FALSE),0)</f>
        <v>200</v>
      </c>
      <c r="E147" s="276" t="s">
        <v>125</v>
      </c>
      <c r="F147" s="277">
        <f>IF(C147&gt;0,VLOOKUP(C147,'Detail Balok'!$C$11:$AU$140,3,FALSE),0)</f>
        <v>400</v>
      </c>
      <c r="G147" s="278">
        <f>'Data Panjang Balok'!I143</f>
        <v>900</v>
      </c>
      <c r="H147" s="278">
        <f>'Data Panjang Balok'!J143</f>
        <v>0</v>
      </c>
      <c r="I147" s="279">
        <v>0</v>
      </c>
      <c r="J147" s="279">
        <f t="shared" si="32"/>
        <v>-0.4</v>
      </c>
      <c r="K147" s="280">
        <f>'Data Panjang Balok'!E143</f>
        <v>1</v>
      </c>
      <c r="L147" s="281">
        <f>SUMIFS('Besi Balok'!$AA$23:$AA$7253,'Besi Balok'!$A$23:$A$7253,$A147,'Besi Balok'!$B$23:$B$7253,$B147,'Besi Balok'!$F$23:$F$7253,'REKAP Balok'!L$11)</f>
        <v>0</v>
      </c>
      <c r="M147" s="282">
        <f>SUMIFS('Besi Balok'!$AA$23:$AA$7253,'Besi Balok'!$A$23:$A$7253,$A147,'Besi Balok'!$B$23:$B$7253,$B147,'Besi Balok'!$F$23:$F$7253,'REKAP Balok'!M$11)</f>
        <v>0</v>
      </c>
      <c r="N147" s="282">
        <f>SUMIFS('Besi Balok'!$AA$23:$AA$7253,'Besi Balok'!$A$23:$A$7253,$A147,'Besi Balok'!$B$23:$B$7253,$B147,'Besi Balok'!$F$23:$F$7253,'REKAP Balok'!N$11)</f>
        <v>6.3499500000000006</v>
      </c>
      <c r="O147" s="282">
        <f>SUMIFS('Besi Balok'!$AA$23:$AA$7253,'Besi Balok'!$A$23:$A$7253,$A147,'Besi Balok'!$B$23:$B$7253,$B147,'Besi Balok'!$F$23:$F$7253,'REKAP Balok'!O$11)</f>
        <v>7.57658772</v>
      </c>
      <c r="P147" s="282">
        <f>SUMIFS('Besi Balok'!$AA$23:$AA$7253,'Besi Balok'!$A$23:$A$7253,$A147,'Besi Balok'!$B$23:$B$7253,$B147,'Besi Balok'!$F$23:$F$7253,'REKAP Balok'!P$11)</f>
        <v>0</v>
      </c>
      <c r="Q147" s="282">
        <f>SUMIFS('Besi Balok'!$AA$23:$AA$7253,'Besi Balok'!$A$23:$A$7253,$A147,'Besi Balok'!$B$23:$B$7253,$B147,'Besi Balok'!$F$23:$F$7253,'REKAP Balok'!Q$11)</f>
        <v>0</v>
      </c>
      <c r="R147" s="282">
        <f>SUMIFS('Besi Balok'!$AA$23:$AA$7253,'Besi Balok'!$A$23:$A$7253,$A147,'Besi Balok'!$B$23:$B$7253,$B147,'Besi Balok'!$F$23:$F$7253,'REKAP Balok'!R$11)</f>
        <v>0</v>
      </c>
      <c r="S147" s="282">
        <f>SUMIFS('Besi Balok'!$AA$23:$AA$7253,'Besi Balok'!$A$23:$A$7253,$A147,'Besi Balok'!$B$23:$B$7253,$B147,'Besi Balok'!$F$23:$F$7253,'REKAP Balok'!S$11)</f>
        <v>0</v>
      </c>
      <c r="T147" s="283">
        <f>SUMIFS('Besi Balok'!$AA$23:$AA$7253,'Besi Balok'!$A$23:$A$7253,$A147,'Besi Balok'!$B$23:$B$7253,$B147,'Besi Balok'!$F$23:$F$7253,'REKAP Balok'!T$11)</f>
        <v>0</v>
      </c>
      <c r="U147" s="284">
        <f t="shared" si="33"/>
        <v>13.926537720000001</v>
      </c>
      <c r="V147" s="285">
        <f t="shared" si="34"/>
        <v>7.1999999999999995E-2</v>
      </c>
      <c r="W147" s="282">
        <f t="shared" si="44"/>
        <v>0.9</v>
      </c>
      <c r="X147" s="282"/>
      <c r="Y147" s="282"/>
      <c r="Z147" s="283"/>
      <c r="AC147" s="1784">
        <f t="shared" si="38"/>
        <v>0.14399999999999999</v>
      </c>
    </row>
    <row r="148" spans="1:29" hidden="1">
      <c r="A148" s="272" t="str">
        <f>'Data Panjang Balok'!A144</f>
        <v>Lantai 2</v>
      </c>
      <c r="B148" s="273">
        <f>'Data Panjang Balok'!B144</f>
        <v>47</v>
      </c>
      <c r="C148" s="274" t="str">
        <f>'Data Panjang Balok'!D144</f>
        <v>B24-1</v>
      </c>
      <c r="D148" s="275">
        <f>IF(C148&gt;0,VLOOKUP(C148,'Detail Balok'!$C$11:$AU$140,2,FALSE),0)</f>
        <v>200</v>
      </c>
      <c r="E148" s="276" t="s">
        <v>125</v>
      </c>
      <c r="F148" s="277">
        <f>IF(C148&gt;0,VLOOKUP(C148,'Detail Balok'!$C$11:$AU$140,3,FALSE),0)</f>
        <v>400</v>
      </c>
      <c r="G148" s="278">
        <f>'Data Panjang Balok'!I144</f>
        <v>2125</v>
      </c>
      <c r="H148" s="278">
        <f>'Data Panjang Balok'!J144</f>
        <v>0</v>
      </c>
      <c r="I148" s="279">
        <v>0</v>
      </c>
      <c r="J148" s="279">
        <f t="shared" si="32"/>
        <v>-0.4</v>
      </c>
      <c r="K148" s="280">
        <f>'Data Panjang Balok'!E144</f>
        <v>1</v>
      </c>
      <c r="L148" s="281">
        <f>SUMIFS('Besi Balok'!$AA$23:$AA$7253,'Besi Balok'!$A$23:$A$7253,$A148,'Besi Balok'!$B$23:$B$7253,$B148,'Besi Balok'!$F$23:$F$7253,'REKAP Balok'!L$11)</f>
        <v>0</v>
      </c>
      <c r="M148" s="282">
        <f>SUMIFS('Besi Balok'!$AA$23:$AA$7253,'Besi Balok'!$A$23:$A$7253,$A148,'Besi Balok'!$B$23:$B$7253,$B148,'Besi Balok'!$F$23:$F$7253,'REKAP Balok'!M$11)</f>
        <v>0</v>
      </c>
      <c r="N148" s="282">
        <f>SUMIFS('Besi Balok'!$AA$23:$AA$7253,'Besi Balok'!$A$23:$A$7253,$A148,'Besi Balok'!$B$23:$B$7253,$B148,'Besi Balok'!$F$23:$F$7253,'REKAP Balok'!N$11)</f>
        <v>13.334895000000003</v>
      </c>
      <c r="O148" s="282">
        <f>SUMIFS('Besi Balok'!$AA$23:$AA$7253,'Besi Balok'!$A$23:$A$7253,$A148,'Besi Balok'!$B$23:$B$7253,$B148,'Besi Balok'!$F$23:$F$7253,'REKAP Balok'!O$11)</f>
        <v>15.234442470000001</v>
      </c>
      <c r="P148" s="282">
        <f>SUMIFS('Besi Balok'!$AA$23:$AA$7253,'Besi Balok'!$A$23:$A$7253,$A148,'Besi Balok'!$B$23:$B$7253,$B148,'Besi Balok'!$F$23:$F$7253,'REKAP Balok'!P$11)</f>
        <v>0</v>
      </c>
      <c r="Q148" s="282">
        <f>SUMIFS('Besi Balok'!$AA$23:$AA$7253,'Besi Balok'!$A$23:$A$7253,$A148,'Besi Balok'!$B$23:$B$7253,$B148,'Besi Balok'!$F$23:$F$7253,'REKAP Balok'!Q$11)</f>
        <v>0</v>
      </c>
      <c r="R148" s="282">
        <f>SUMIFS('Besi Balok'!$AA$23:$AA$7253,'Besi Balok'!$A$23:$A$7253,$A148,'Besi Balok'!$B$23:$B$7253,$B148,'Besi Balok'!$F$23:$F$7253,'REKAP Balok'!R$11)</f>
        <v>0</v>
      </c>
      <c r="S148" s="282">
        <f>SUMIFS('Besi Balok'!$AA$23:$AA$7253,'Besi Balok'!$A$23:$A$7253,$A148,'Besi Balok'!$B$23:$B$7253,$B148,'Besi Balok'!$F$23:$F$7253,'REKAP Balok'!S$11)</f>
        <v>0</v>
      </c>
      <c r="T148" s="283">
        <f>SUMIFS('Besi Balok'!$AA$23:$AA$7253,'Besi Balok'!$A$23:$A$7253,$A148,'Besi Balok'!$B$23:$B$7253,$B148,'Besi Balok'!$F$23:$F$7253,'REKAP Balok'!T$11)</f>
        <v>0</v>
      </c>
      <c r="U148" s="284">
        <f t="shared" si="33"/>
        <v>28.569337470000004</v>
      </c>
      <c r="V148" s="285">
        <f t="shared" si="34"/>
        <v>0.17</v>
      </c>
      <c r="W148" s="282">
        <f t="shared" si="44"/>
        <v>2.125</v>
      </c>
      <c r="X148" s="282"/>
      <c r="Y148" s="282"/>
      <c r="Z148" s="283"/>
      <c r="AC148" s="1784">
        <f t="shared" si="38"/>
        <v>0.34</v>
      </c>
    </row>
    <row r="149" spans="1:29" hidden="1">
      <c r="A149" s="272" t="str">
        <f>'Data Panjang Balok'!A145</f>
        <v>Lantai 2</v>
      </c>
      <c r="B149" s="273">
        <f>'Data Panjang Balok'!B145</f>
        <v>48</v>
      </c>
      <c r="C149" s="274" t="str">
        <f>'Data Panjang Balok'!D145</f>
        <v>B24-1</v>
      </c>
      <c r="D149" s="275">
        <f>IF(C149&gt;0,VLOOKUP(C149,'Detail Balok'!$C$11:$AU$140,2,FALSE),0)</f>
        <v>200</v>
      </c>
      <c r="E149" s="276" t="s">
        <v>125</v>
      </c>
      <c r="F149" s="277">
        <f>IF(C149&gt;0,VLOOKUP(C149,'Detail Balok'!$C$11:$AU$140,3,FALSE),0)</f>
        <v>400</v>
      </c>
      <c r="G149" s="278">
        <f>'Data Panjang Balok'!I145</f>
        <v>900</v>
      </c>
      <c r="H149" s="278">
        <f>'Data Panjang Balok'!J145</f>
        <v>0</v>
      </c>
      <c r="I149" s="279">
        <v>0</v>
      </c>
      <c r="J149" s="279">
        <f t="shared" si="32"/>
        <v>-0.4</v>
      </c>
      <c r="K149" s="280">
        <f>'Data Panjang Balok'!E145</f>
        <v>1</v>
      </c>
      <c r="L149" s="281">
        <f>SUMIFS('Besi Balok'!$AA$23:$AA$7253,'Besi Balok'!$A$23:$A$7253,$A149,'Besi Balok'!$B$23:$B$7253,$B149,'Besi Balok'!$F$23:$F$7253,'REKAP Balok'!L$11)</f>
        <v>0</v>
      </c>
      <c r="M149" s="282">
        <f>SUMIFS('Besi Balok'!$AA$23:$AA$7253,'Besi Balok'!$A$23:$A$7253,$A149,'Besi Balok'!$B$23:$B$7253,$B149,'Besi Balok'!$F$23:$F$7253,'REKAP Balok'!M$11)</f>
        <v>0</v>
      </c>
      <c r="N149" s="282">
        <f>SUMIFS('Besi Balok'!$AA$23:$AA$7253,'Besi Balok'!$A$23:$A$7253,$A149,'Besi Balok'!$B$23:$B$7253,$B149,'Besi Balok'!$F$23:$F$7253,'REKAP Balok'!N$11)</f>
        <v>6.3499500000000006</v>
      </c>
      <c r="O149" s="282">
        <f>SUMIFS('Besi Balok'!$AA$23:$AA$7253,'Besi Balok'!$A$23:$A$7253,$A149,'Besi Balok'!$B$23:$B$7253,$B149,'Besi Balok'!$F$23:$F$7253,'REKAP Balok'!O$11)</f>
        <v>7.57658772</v>
      </c>
      <c r="P149" s="282">
        <f>SUMIFS('Besi Balok'!$AA$23:$AA$7253,'Besi Balok'!$A$23:$A$7253,$A149,'Besi Balok'!$B$23:$B$7253,$B149,'Besi Balok'!$F$23:$F$7253,'REKAP Balok'!P$11)</f>
        <v>0</v>
      </c>
      <c r="Q149" s="282">
        <f>SUMIFS('Besi Balok'!$AA$23:$AA$7253,'Besi Balok'!$A$23:$A$7253,$A149,'Besi Balok'!$B$23:$B$7253,$B149,'Besi Balok'!$F$23:$F$7253,'REKAP Balok'!Q$11)</f>
        <v>0</v>
      </c>
      <c r="R149" s="282">
        <f>SUMIFS('Besi Balok'!$AA$23:$AA$7253,'Besi Balok'!$A$23:$A$7253,$A149,'Besi Balok'!$B$23:$B$7253,$B149,'Besi Balok'!$F$23:$F$7253,'REKAP Balok'!R$11)</f>
        <v>0</v>
      </c>
      <c r="S149" s="282">
        <f>SUMIFS('Besi Balok'!$AA$23:$AA$7253,'Besi Balok'!$A$23:$A$7253,$A149,'Besi Balok'!$B$23:$B$7253,$B149,'Besi Balok'!$F$23:$F$7253,'REKAP Balok'!S$11)</f>
        <v>0</v>
      </c>
      <c r="T149" s="283">
        <f>SUMIFS('Besi Balok'!$AA$23:$AA$7253,'Besi Balok'!$A$23:$A$7253,$A149,'Besi Balok'!$B$23:$B$7253,$B149,'Besi Balok'!$F$23:$F$7253,'REKAP Balok'!T$11)</f>
        <v>0</v>
      </c>
      <c r="U149" s="284">
        <f t="shared" si="33"/>
        <v>13.926537720000001</v>
      </c>
      <c r="V149" s="285">
        <f t="shared" si="34"/>
        <v>7.1999999999999995E-2</v>
      </c>
      <c r="W149" s="282">
        <f t="shared" si="44"/>
        <v>0.9</v>
      </c>
      <c r="X149" s="282"/>
      <c r="Y149" s="282"/>
      <c r="Z149" s="283"/>
      <c r="AC149" s="1784">
        <f t="shared" si="38"/>
        <v>0.14399999999999999</v>
      </c>
    </row>
    <row r="150" spans="1:29" hidden="1">
      <c r="A150" s="272" t="str">
        <f>'Data Panjang Balok'!A146</f>
        <v>Lantai 2</v>
      </c>
      <c r="B150" s="273">
        <f>'Data Panjang Balok'!B146</f>
        <v>49</v>
      </c>
      <c r="C150" s="274" t="str">
        <f>'Data Panjang Balok'!D146</f>
        <v>B25-1</v>
      </c>
      <c r="D150" s="275">
        <f>IF(C150&gt;0,VLOOKUP(C150,'Detail Balok'!$C$11:$AU$140,2,FALSE),0)</f>
        <v>200</v>
      </c>
      <c r="E150" s="276" t="s">
        <v>125</v>
      </c>
      <c r="F150" s="277">
        <f>IF(C150&gt;0,VLOOKUP(C150,'Detail Balok'!$C$11:$AU$140,3,FALSE),0)</f>
        <v>500</v>
      </c>
      <c r="G150" s="278">
        <f>'Data Panjang Balok'!I146</f>
        <v>4805</v>
      </c>
      <c r="H150" s="278">
        <f>'Data Panjang Balok'!J146</f>
        <v>150</v>
      </c>
      <c r="I150" s="279">
        <v>0</v>
      </c>
      <c r="J150" s="279">
        <f t="shared" si="32"/>
        <v>-0.5</v>
      </c>
      <c r="K150" s="280">
        <f>'Data Panjang Balok'!E146</f>
        <v>1</v>
      </c>
      <c r="L150" s="281">
        <f>SUMIFS('Besi Balok'!$AA$23:$AA$7253,'Besi Balok'!$A$23:$A$7253,$A150,'Besi Balok'!$B$23:$B$7253,$B150,'Besi Balok'!$F$23:$F$7253,'REKAP Balok'!L$11)</f>
        <v>0</v>
      </c>
      <c r="M150" s="282">
        <f>SUMIFS('Besi Balok'!$AA$23:$AA$7253,'Besi Balok'!$A$23:$A$7253,$A150,'Besi Balok'!$B$23:$B$7253,$B150,'Besi Balok'!$F$23:$F$7253,'REKAP Balok'!M$11)</f>
        <v>0</v>
      </c>
      <c r="N150" s="282">
        <f>SUMIFS('Besi Balok'!$AA$23:$AA$7253,'Besi Balok'!$A$23:$A$7253,$A150,'Besi Balok'!$B$23:$B$7253,$B150,'Besi Balok'!$F$23:$F$7253,'REKAP Balok'!N$11)</f>
        <v>28.969335000000001</v>
      </c>
      <c r="O150" s="282">
        <f>SUMIFS('Besi Balok'!$AA$23:$AA$7253,'Besi Balok'!$A$23:$A$7253,$A150,'Besi Balok'!$B$23:$B$7253,$B150,'Besi Balok'!$F$23:$F$7253,'REKAP Balok'!O$11)</f>
        <v>0</v>
      </c>
      <c r="P150" s="282">
        <f>SUMIFS('Besi Balok'!$AA$23:$AA$7253,'Besi Balok'!$A$23:$A$7253,$A150,'Besi Balok'!$B$23:$B$7253,$B150,'Besi Balok'!$F$23:$F$7253,'REKAP Balok'!P$11)</f>
        <v>65.515898880000009</v>
      </c>
      <c r="Q150" s="282">
        <f>SUMIFS('Besi Balok'!$AA$23:$AA$7253,'Besi Balok'!$A$23:$A$7253,$A150,'Besi Balok'!$B$23:$B$7253,$B150,'Besi Balok'!$F$23:$F$7253,'REKAP Balok'!Q$11)</f>
        <v>0</v>
      </c>
      <c r="R150" s="282">
        <f>SUMIFS('Besi Balok'!$AA$23:$AA$7253,'Besi Balok'!$A$23:$A$7253,$A150,'Besi Balok'!$B$23:$B$7253,$B150,'Besi Balok'!$F$23:$F$7253,'REKAP Balok'!R$11)</f>
        <v>0</v>
      </c>
      <c r="S150" s="282">
        <f>SUMIFS('Besi Balok'!$AA$23:$AA$7253,'Besi Balok'!$A$23:$A$7253,$A150,'Besi Balok'!$B$23:$B$7253,$B150,'Besi Balok'!$F$23:$F$7253,'REKAP Balok'!S$11)</f>
        <v>0</v>
      </c>
      <c r="T150" s="283">
        <f>SUMIFS('Besi Balok'!$AA$23:$AA$7253,'Besi Balok'!$A$23:$A$7253,$A150,'Besi Balok'!$B$23:$B$7253,$B150,'Besi Balok'!$F$23:$F$7253,'REKAP Balok'!T$11)</f>
        <v>0</v>
      </c>
      <c r="U150" s="284">
        <f t="shared" si="33"/>
        <v>94.48523388000001</v>
      </c>
      <c r="V150" s="285">
        <f t="shared" si="34"/>
        <v>0.33634999999999998</v>
      </c>
      <c r="W150" s="282">
        <f t="shared" si="44"/>
        <v>3.3635000000000002</v>
      </c>
      <c r="X150" s="282"/>
      <c r="Y150" s="282"/>
      <c r="Z150" s="283"/>
      <c r="AC150" s="1784">
        <f t="shared" si="38"/>
        <v>0.96099999999999997</v>
      </c>
    </row>
    <row r="151" spans="1:29" hidden="1">
      <c r="A151" s="272" t="str">
        <f>'Data Panjang Balok'!A147</f>
        <v>Lantai 2</v>
      </c>
      <c r="B151" s="273">
        <f>'Data Panjang Balok'!B147</f>
        <v>50</v>
      </c>
      <c r="C151" s="274" t="str">
        <f>'Data Panjang Balok'!D147</f>
        <v>B25-1</v>
      </c>
      <c r="D151" s="275">
        <f>IF(C151&gt;0,VLOOKUP(C151,'Detail Balok'!$C$11:$AU$140,2,FALSE),0)</f>
        <v>200</v>
      </c>
      <c r="E151" s="276" t="s">
        <v>125</v>
      </c>
      <c r="F151" s="277">
        <f>IF(C151&gt;0,VLOOKUP(C151,'Detail Balok'!$C$11:$AU$140,3,FALSE),0)</f>
        <v>500</v>
      </c>
      <c r="G151" s="278">
        <f>'Data Panjang Balok'!I147</f>
        <v>6650</v>
      </c>
      <c r="H151" s="278">
        <f>'Data Panjang Balok'!J147</f>
        <v>150</v>
      </c>
      <c r="I151" s="279">
        <v>0</v>
      </c>
      <c r="J151" s="279">
        <f t="shared" si="32"/>
        <v>-0.5</v>
      </c>
      <c r="K151" s="280">
        <f>'Data Panjang Balok'!E147</f>
        <v>1</v>
      </c>
      <c r="L151" s="281">
        <f>SUMIFS('Besi Balok'!$AA$23:$AA$7253,'Besi Balok'!$A$23:$A$7253,$A151,'Besi Balok'!$B$23:$B$7253,$B151,'Besi Balok'!$F$23:$F$7253,'REKAP Balok'!L$11)</f>
        <v>0</v>
      </c>
      <c r="M151" s="282">
        <f>SUMIFS('Besi Balok'!$AA$23:$AA$7253,'Besi Balok'!$A$23:$A$7253,$A151,'Besi Balok'!$B$23:$B$7253,$B151,'Besi Balok'!$F$23:$F$7253,'REKAP Balok'!M$11)</f>
        <v>0</v>
      </c>
      <c r="N151" s="282">
        <f>SUMIFS('Besi Balok'!$AA$23:$AA$7253,'Besi Balok'!$A$23:$A$7253,$A151,'Besi Balok'!$B$23:$B$7253,$B151,'Besi Balok'!$F$23:$F$7253,'REKAP Balok'!N$11)</f>
        <v>39.585464999999999</v>
      </c>
      <c r="O151" s="282">
        <f>SUMIFS('Besi Balok'!$AA$23:$AA$7253,'Besi Balok'!$A$23:$A$7253,$A151,'Besi Balok'!$B$23:$B$7253,$B151,'Besi Balok'!$F$23:$F$7253,'REKAP Balok'!O$11)</f>
        <v>0</v>
      </c>
      <c r="P151" s="282">
        <f>SUMIFS('Besi Balok'!$AA$23:$AA$7253,'Besi Balok'!$A$23:$A$7253,$A151,'Besi Balok'!$B$23:$B$7253,$B151,'Besi Balok'!$F$23:$F$7253,'REKAP Balok'!P$11)</f>
        <v>88.810721279999996</v>
      </c>
      <c r="Q151" s="282">
        <f>SUMIFS('Besi Balok'!$AA$23:$AA$7253,'Besi Balok'!$A$23:$A$7253,$A151,'Besi Balok'!$B$23:$B$7253,$B151,'Besi Balok'!$F$23:$F$7253,'REKAP Balok'!Q$11)</f>
        <v>0</v>
      </c>
      <c r="R151" s="282">
        <f>SUMIFS('Besi Balok'!$AA$23:$AA$7253,'Besi Balok'!$A$23:$A$7253,$A151,'Besi Balok'!$B$23:$B$7253,$B151,'Besi Balok'!$F$23:$F$7253,'REKAP Balok'!R$11)</f>
        <v>0</v>
      </c>
      <c r="S151" s="282">
        <f>SUMIFS('Besi Balok'!$AA$23:$AA$7253,'Besi Balok'!$A$23:$A$7253,$A151,'Besi Balok'!$B$23:$B$7253,$B151,'Besi Balok'!$F$23:$F$7253,'REKAP Balok'!S$11)</f>
        <v>0</v>
      </c>
      <c r="T151" s="283">
        <f>SUMIFS('Besi Balok'!$AA$23:$AA$7253,'Besi Balok'!$A$23:$A$7253,$A151,'Besi Balok'!$B$23:$B$7253,$B151,'Besi Balok'!$F$23:$F$7253,'REKAP Balok'!T$11)</f>
        <v>0</v>
      </c>
      <c r="U151" s="284">
        <f t="shared" si="33"/>
        <v>128.39618627999999</v>
      </c>
      <c r="V151" s="285">
        <f t="shared" si="34"/>
        <v>0.46550000000000002</v>
      </c>
      <c r="W151" s="282">
        <f t="shared" si="44"/>
        <v>4.6550000000000002</v>
      </c>
      <c r="X151" s="282"/>
      <c r="Y151" s="282"/>
      <c r="Z151" s="283"/>
      <c r="AC151" s="1784">
        <f t="shared" si="38"/>
        <v>1.33</v>
      </c>
    </row>
    <row r="152" spans="1:29" hidden="1">
      <c r="A152" s="272" t="str">
        <f>'Data Panjang Balok'!A148</f>
        <v>Lantai 2</v>
      </c>
      <c r="B152" s="273">
        <f>'Data Panjang Balok'!B148</f>
        <v>51</v>
      </c>
      <c r="C152" s="274" t="str">
        <f>'Data Panjang Balok'!D148</f>
        <v>B25-1</v>
      </c>
      <c r="D152" s="275">
        <f>IF(C152&gt;0,VLOOKUP(C152,'Detail Balok'!$C$11:$AU$140,2,FALSE),0)</f>
        <v>200</v>
      </c>
      <c r="E152" s="276" t="s">
        <v>125</v>
      </c>
      <c r="F152" s="277">
        <f>IF(C152&gt;0,VLOOKUP(C152,'Detail Balok'!$C$11:$AU$140,3,FALSE),0)</f>
        <v>500</v>
      </c>
      <c r="G152" s="278">
        <f>'Data Panjang Balok'!I148</f>
        <v>6650</v>
      </c>
      <c r="H152" s="278">
        <f>'Data Panjang Balok'!J148</f>
        <v>150</v>
      </c>
      <c r="I152" s="279">
        <v>0</v>
      </c>
      <c r="J152" s="279">
        <f t="shared" ref="J152:J184" si="45">I152-F152/1000</f>
        <v>-0.5</v>
      </c>
      <c r="K152" s="280">
        <f>'Data Panjang Balok'!E148</f>
        <v>1</v>
      </c>
      <c r="L152" s="281">
        <f>SUMIFS('Besi Balok'!$AA$23:$AA$7253,'Besi Balok'!$A$23:$A$7253,$A152,'Besi Balok'!$B$23:$B$7253,$B152,'Besi Balok'!$F$23:$F$7253,'REKAP Balok'!L$11)</f>
        <v>0</v>
      </c>
      <c r="M152" s="282">
        <f>SUMIFS('Besi Balok'!$AA$23:$AA$7253,'Besi Balok'!$A$23:$A$7253,$A152,'Besi Balok'!$B$23:$B$7253,$B152,'Besi Balok'!$F$23:$F$7253,'REKAP Balok'!M$11)</f>
        <v>0</v>
      </c>
      <c r="N152" s="282">
        <f>SUMIFS('Besi Balok'!$AA$23:$AA$7253,'Besi Balok'!$A$23:$A$7253,$A152,'Besi Balok'!$B$23:$B$7253,$B152,'Besi Balok'!$F$23:$F$7253,'REKAP Balok'!N$11)</f>
        <v>39.585464999999999</v>
      </c>
      <c r="O152" s="282">
        <f>SUMIFS('Besi Balok'!$AA$23:$AA$7253,'Besi Balok'!$A$23:$A$7253,$A152,'Besi Balok'!$B$23:$B$7253,$B152,'Besi Balok'!$F$23:$F$7253,'REKAP Balok'!O$11)</f>
        <v>0</v>
      </c>
      <c r="P152" s="282">
        <f>SUMIFS('Besi Balok'!$AA$23:$AA$7253,'Besi Balok'!$A$23:$A$7253,$A152,'Besi Balok'!$B$23:$B$7253,$B152,'Besi Balok'!$F$23:$F$7253,'REKAP Balok'!P$11)</f>
        <v>88.810721279999996</v>
      </c>
      <c r="Q152" s="282">
        <f>SUMIFS('Besi Balok'!$AA$23:$AA$7253,'Besi Balok'!$A$23:$A$7253,$A152,'Besi Balok'!$B$23:$B$7253,$B152,'Besi Balok'!$F$23:$F$7253,'REKAP Balok'!Q$11)</f>
        <v>0</v>
      </c>
      <c r="R152" s="282">
        <f>SUMIFS('Besi Balok'!$AA$23:$AA$7253,'Besi Balok'!$A$23:$A$7253,$A152,'Besi Balok'!$B$23:$B$7253,$B152,'Besi Balok'!$F$23:$F$7253,'REKAP Balok'!R$11)</f>
        <v>0</v>
      </c>
      <c r="S152" s="282">
        <f>SUMIFS('Besi Balok'!$AA$23:$AA$7253,'Besi Balok'!$A$23:$A$7253,$A152,'Besi Balok'!$B$23:$B$7253,$B152,'Besi Balok'!$F$23:$F$7253,'REKAP Balok'!S$11)</f>
        <v>0</v>
      </c>
      <c r="T152" s="283">
        <f>SUMIFS('Besi Balok'!$AA$23:$AA$7253,'Besi Balok'!$A$23:$A$7253,$A152,'Besi Balok'!$B$23:$B$7253,$B152,'Besi Balok'!$F$23:$F$7253,'REKAP Balok'!T$11)</f>
        <v>0</v>
      </c>
      <c r="U152" s="284">
        <f t="shared" ref="U152:U184" si="46">SUM(L152:T152)</f>
        <v>128.39618627999999</v>
      </c>
      <c r="V152" s="285">
        <f t="shared" ref="V152:V184" si="47">(D152*(F152-H152)*G152*K152)/1000000000</f>
        <v>0.46550000000000002</v>
      </c>
      <c r="W152" s="282">
        <f t="shared" ref="W152:W184" si="48">(((F152-H152)*2+IF(H152&gt;0,0,D152))*(G152)*K152)/1000000</f>
        <v>4.6550000000000002</v>
      </c>
      <c r="X152" s="282"/>
      <c r="Y152" s="282"/>
      <c r="Z152" s="283"/>
      <c r="AC152" s="1784">
        <f t="shared" ref="AC152:AC184" si="49">(D152+2*$F$5)*F152*G152/1000000000</f>
        <v>1.33</v>
      </c>
    </row>
    <row r="153" spans="1:29" hidden="1">
      <c r="A153" s="272" t="str">
        <f>'Data Panjang Balok'!A149</f>
        <v>Lantai 2</v>
      </c>
      <c r="B153" s="273">
        <f>'Data Panjang Balok'!B149</f>
        <v>52</v>
      </c>
      <c r="C153" s="274" t="str">
        <f>'Data Panjang Balok'!D149</f>
        <v>B25-1</v>
      </c>
      <c r="D153" s="275">
        <f>IF(C153&gt;0,VLOOKUP(C153,'Detail Balok'!$C$11:$AU$140,2,FALSE),0)</f>
        <v>200</v>
      </c>
      <c r="E153" s="276" t="s">
        <v>125</v>
      </c>
      <c r="F153" s="277">
        <f>IF(C153&gt;0,VLOOKUP(C153,'Detail Balok'!$C$11:$AU$140,3,FALSE),0)</f>
        <v>500</v>
      </c>
      <c r="G153" s="278">
        <f>'Data Panjang Balok'!I149</f>
        <v>4805</v>
      </c>
      <c r="H153" s="278">
        <f>'Data Panjang Balok'!J149</f>
        <v>150</v>
      </c>
      <c r="I153" s="279">
        <v>0</v>
      </c>
      <c r="J153" s="279">
        <f t="shared" si="45"/>
        <v>-0.5</v>
      </c>
      <c r="K153" s="280">
        <f>'Data Panjang Balok'!E149</f>
        <v>1</v>
      </c>
      <c r="L153" s="281">
        <f>SUMIFS('Besi Balok'!$AA$23:$AA$7253,'Besi Balok'!$A$23:$A$7253,$A153,'Besi Balok'!$B$23:$B$7253,$B153,'Besi Balok'!$F$23:$F$7253,'REKAP Balok'!L$11)</f>
        <v>0</v>
      </c>
      <c r="M153" s="282">
        <f>SUMIFS('Besi Balok'!$AA$23:$AA$7253,'Besi Balok'!$A$23:$A$7253,$A153,'Besi Balok'!$B$23:$B$7253,$B153,'Besi Balok'!$F$23:$F$7253,'REKAP Balok'!M$11)</f>
        <v>0</v>
      </c>
      <c r="N153" s="282">
        <f>SUMIFS('Besi Balok'!$AA$23:$AA$7253,'Besi Balok'!$A$23:$A$7253,$A153,'Besi Balok'!$B$23:$B$7253,$B153,'Besi Balok'!$F$23:$F$7253,'REKAP Balok'!N$11)</f>
        <v>28.969335000000001</v>
      </c>
      <c r="O153" s="282">
        <f>SUMIFS('Besi Balok'!$AA$23:$AA$7253,'Besi Balok'!$A$23:$A$7253,$A153,'Besi Balok'!$B$23:$B$7253,$B153,'Besi Balok'!$F$23:$F$7253,'REKAP Balok'!O$11)</f>
        <v>0</v>
      </c>
      <c r="P153" s="282">
        <f>SUMIFS('Besi Balok'!$AA$23:$AA$7253,'Besi Balok'!$A$23:$A$7253,$A153,'Besi Balok'!$B$23:$B$7253,$B153,'Besi Balok'!$F$23:$F$7253,'REKAP Balok'!P$11)</f>
        <v>65.515898880000009</v>
      </c>
      <c r="Q153" s="282">
        <f>SUMIFS('Besi Balok'!$AA$23:$AA$7253,'Besi Balok'!$A$23:$A$7253,$A153,'Besi Balok'!$B$23:$B$7253,$B153,'Besi Balok'!$F$23:$F$7253,'REKAP Balok'!Q$11)</f>
        <v>0</v>
      </c>
      <c r="R153" s="282">
        <f>SUMIFS('Besi Balok'!$AA$23:$AA$7253,'Besi Balok'!$A$23:$A$7253,$A153,'Besi Balok'!$B$23:$B$7253,$B153,'Besi Balok'!$F$23:$F$7253,'REKAP Balok'!R$11)</f>
        <v>0</v>
      </c>
      <c r="S153" s="282">
        <f>SUMIFS('Besi Balok'!$AA$23:$AA$7253,'Besi Balok'!$A$23:$A$7253,$A153,'Besi Balok'!$B$23:$B$7253,$B153,'Besi Balok'!$F$23:$F$7253,'REKAP Balok'!S$11)</f>
        <v>0</v>
      </c>
      <c r="T153" s="283">
        <f>SUMIFS('Besi Balok'!$AA$23:$AA$7253,'Besi Balok'!$A$23:$A$7253,$A153,'Besi Balok'!$B$23:$B$7253,$B153,'Besi Balok'!$F$23:$F$7253,'REKAP Balok'!T$11)</f>
        <v>0</v>
      </c>
      <c r="U153" s="284">
        <f t="shared" si="46"/>
        <v>94.48523388000001</v>
      </c>
      <c r="V153" s="285">
        <f t="shared" si="47"/>
        <v>0.33634999999999998</v>
      </c>
      <c r="W153" s="282">
        <f t="shared" si="48"/>
        <v>3.3635000000000002</v>
      </c>
      <c r="X153" s="282"/>
      <c r="Y153" s="282"/>
      <c r="Z153" s="283"/>
      <c r="AC153" s="1784">
        <f t="shared" si="49"/>
        <v>0.96099999999999997</v>
      </c>
    </row>
    <row r="154" spans="1:29" hidden="1">
      <c r="A154" s="272" t="str">
        <f>'Data Panjang Balok'!A150</f>
        <v>Lantai 2</v>
      </c>
      <c r="B154" s="273">
        <f>'Data Panjang Balok'!B150</f>
        <v>53</v>
      </c>
      <c r="C154" s="274" t="str">
        <f>'Data Panjang Balok'!D150</f>
        <v>B24-1</v>
      </c>
      <c r="D154" s="275">
        <f>IF(C154&gt;0,VLOOKUP(C154,'Detail Balok'!$C$11:$AU$140,2,FALSE),0)</f>
        <v>200</v>
      </c>
      <c r="E154" s="276" t="s">
        <v>125</v>
      </c>
      <c r="F154" s="277">
        <f>IF(C154&gt;0,VLOOKUP(C154,'Detail Balok'!$C$11:$AU$140,3,FALSE),0)</f>
        <v>400</v>
      </c>
      <c r="G154" s="278">
        <f>'Data Panjang Balok'!I150</f>
        <v>2755</v>
      </c>
      <c r="H154" s="278">
        <f>'Data Panjang Balok'!J150</f>
        <v>150</v>
      </c>
      <c r="I154" s="279">
        <v>0</v>
      </c>
      <c r="J154" s="279">
        <f t="shared" si="45"/>
        <v>-0.4</v>
      </c>
      <c r="K154" s="280">
        <f>'Data Panjang Balok'!E150</f>
        <v>1</v>
      </c>
      <c r="L154" s="281">
        <f>SUMIFS('Besi Balok'!$AA$23:$AA$7253,'Besi Balok'!$A$23:$A$7253,$A154,'Besi Balok'!$B$23:$B$7253,$B154,'Besi Balok'!$F$23:$F$7253,'REKAP Balok'!L$11)</f>
        <v>0</v>
      </c>
      <c r="M154" s="282">
        <f>SUMIFS('Besi Balok'!$AA$23:$AA$7253,'Besi Balok'!$A$23:$A$7253,$A154,'Besi Balok'!$B$23:$B$7253,$B154,'Besi Balok'!$F$23:$F$7253,'REKAP Balok'!M$11)</f>
        <v>0</v>
      </c>
      <c r="N154" s="282">
        <f>SUMIFS('Besi Balok'!$AA$23:$AA$7253,'Besi Balok'!$A$23:$A$7253,$A154,'Besi Balok'!$B$23:$B$7253,$B154,'Besi Balok'!$F$23:$F$7253,'REKAP Balok'!N$11)</f>
        <v>15.239880000000003</v>
      </c>
      <c r="O154" s="282">
        <f>SUMIFS('Besi Balok'!$AA$23:$AA$7253,'Besi Balok'!$A$23:$A$7253,$A154,'Besi Balok'!$B$23:$B$7253,$B154,'Besi Balok'!$F$23:$F$7253,'REKAP Balok'!O$11)</f>
        <v>19.172767769999997</v>
      </c>
      <c r="P154" s="282">
        <f>SUMIFS('Besi Balok'!$AA$23:$AA$7253,'Besi Balok'!$A$23:$A$7253,$A154,'Besi Balok'!$B$23:$B$7253,$B154,'Besi Balok'!$F$23:$F$7253,'REKAP Balok'!P$11)</f>
        <v>0</v>
      </c>
      <c r="Q154" s="282">
        <f>SUMIFS('Besi Balok'!$AA$23:$AA$7253,'Besi Balok'!$A$23:$A$7253,$A154,'Besi Balok'!$B$23:$B$7253,$B154,'Besi Balok'!$F$23:$F$7253,'REKAP Balok'!Q$11)</f>
        <v>0</v>
      </c>
      <c r="R154" s="282">
        <f>SUMIFS('Besi Balok'!$AA$23:$AA$7253,'Besi Balok'!$A$23:$A$7253,$A154,'Besi Balok'!$B$23:$B$7253,$B154,'Besi Balok'!$F$23:$F$7253,'REKAP Balok'!R$11)</f>
        <v>0</v>
      </c>
      <c r="S154" s="282">
        <f>SUMIFS('Besi Balok'!$AA$23:$AA$7253,'Besi Balok'!$A$23:$A$7253,$A154,'Besi Balok'!$B$23:$B$7253,$B154,'Besi Balok'!$F$23:$F$7253,'REKAP Balok'!S$11)</f>
        <v>0</v>
      </c>
      <c r="T154" s="283">
        <f>SUMIFS('Besi Balok'!$AA$23:$AA$7253,'Besi Balok'!$A$23:$A$7253,$A154,'Besi Balok'!$B$23:$B$7253,$B154,'Besi Balok'!$F$23:$F$7253,'REKAP Balok'!T$11)</f>
        <v>0</v>
      </c>
      <c r="U154" s="284">
        <f t="shared" si="46"/>
        <v>34.41264777</v>
      </c>
      <c r="V154" s="285">
        <f t="shared" si="47"/>
        <v>0.13775000000000001</v>
      </c>
      <c r="W154" s="282">
        <f t="shared" si="48"/>
        <v>1.3774999999999999</v>
      </c>
      <c r="X154" s="282"/>
      <c r="Y154" s="282"/>
      <c r="Z154" s="283"/>
      <c r="AC154" s="1784">
        <f t="shared" si="49"/>
        <v>0.44080000000000003</v>
      </c>
    </row>
    <row r="155" spans="1:29" hidden="1">
      <c r="A155" s="272" t="str">
        <f>'Data Panjang Balok'!A151</f>
        <v>Lantai 2</v>
      </c>
      <c r="B155" s="273">
        <f>'Data Panjang Balok'!B151</f>
        <v>54</v>
      </c>
      <c r="C155" s="274" t="str">
        <f>'Data Panjang Balok'!D151</f>
        <v>CL24-1</v>
      </c>
      <c r="D155" s="275">
        <f>IF(C155&gt;0,VLOOKUP(C155,'Detail Balok'!$C$11:$AU$140,2,FALSE),0)</f>
        <v>200</v>
      </c>
      <c r="E155" s="276" t="s">
        <v>125</v>
      </c>
      <c r="F155" s="277">
        <f>IF(C155&gt;0,VLOOKUP(C155,'Detail Balok'!$C$11:$AU$140,3,FALSE),0)</f>
        <v>400</v>
      </c>
      <c r="G155" s="278">
        <f>'Data Panjang Balok'!I151</f>
        <v>2100</v>
      </c>
      <c r="H155" s="278">
        <f>'Data Panjang Balok'!J151</f>
        <v>150</v>
      </c>
      <c r="I155" s="279">
        <v>0</v>
      </c>
      <c r="J155" s="279">
        <f t="shared" si="45"/>
        <v>-0.4</v>
      </c>
      <c r="K155" s="280">
        <f>'Data Panjang Balok'!E151</f>
        <v>1</v>
      </c>
      <c r="L155" s="281">
        <f>SUMIFS('Besi Balok'!$AA$23:$AA$7253,'Besi Balok'!$A$23:$A$7253,$A155,'Besi Balok'!$B$23:$B$7253,$B155,'Besi Balok'!$F$23:$F$7253,'REKAP Balok'!L$11)</f>
        <v>0</v>
      </c>
      <c r="M155" s="282">
        <f>SUMIFS('Besi Balok'!$AA$23:$AA$7253,'Besi Balok'!$A$23:$A$7253,$A155,'Besi Balok'!$B$23:$B$7253,$B155,'Besi Balok'!$F$23:$F$7253,'REKAP Balok'!M$11)</f>
        <v>0</v>
      </c>
      <c r="N155" s="282">
        <f>SUMIFS('Besi Balok'!$AA$23:$AA$7253,'Besi Balok'!$A$23:$A$7253,$A155,'Besi Balok'!$B$23:$B$7253,$B155,'Besi Balok'!$F$23:$F$7253,'REKAP Balok'!N$11)</f>
        <v>14.604885000000003</v>
      </c>
      <c r="O155" s="282">
        <f>SUMIFS('Besi Balok'!$AA$23:$AA$7253,'Besi Balok'!$A$23:$A$7253,$A155,'Besi Balok'!$B$23:$B$7253,$B155,'Besi Balok'!$F$23:$F$7253,'REKAP Balok'!O$11)</f>
        <v>0</v>
      </c>
      <c r="P155" s="282">
        <f>SUMIFS('Besi Balok'!$AA$23:$AA$7253,'Besi Balok'!$A$23:$A$7253,$A155,'Besi Balok'!$B$23:$B$7253,$B155,'Besi Balok'!$F$23:$F$7253,'REKAP Balok'!P$11)</f>
        <v>23.522088960000001</v>
      </c>
      <c r="Q155" s="282">
        <f>SUMIFS('Besi Balok'!$AA$23:$AA$7253,'Besi Balok'!$A$23:$A$7253,$A155,'Besi Balok'!$B$23:$B$7253,$B155,'Besi Balok'!$F$23:$F$7253,'REKAP Balok'!Q$11)</f>
        <v>0</v>
      </c>
      <c r="R155" s="282">
        <f>SUMIFS('Besi Balok'!$AA$23:$AA$7253,'Besi Balok'!$A$23:$A$7253,$A155,'Besi Balok'!$B$23:$B$7253,$B155,'Besi Balok'!$F$23:$F$7253,'REKAP Balok'!R$11)</f>
        <v>0</v>
      </c>
      <c r="S155" s="282">
        <f>SUMIFS('Besi Balok'!$AA$23:$AA$7253,'Besi Balok'!$A$23:$A$7253,$A155,'Besi Balok'!$B$23:$B$7253,$B155,'Besi Balok'!$F$23:$F$7253,'REKAP Balok'!S$11)</f>
        <v>0</v>
      </c>
      <c r="T155" s="283">
        <f>SUMIFS('Besi Balok'!$AA$23:$AA$7253,'Besi Balok'!$A$23:$A$7253,$A155,'Besi Balok'!$B$23:$B$7253,$B155,'Besi Balok'!$F$23:$F$7253,'REKAP Balok'!T$11)</f>
        <v>0</v>
      </c>
      <c r="U155" s="284">
        <f t="shared" si="46"/>
        <v>38.126973960000001</v>
      </c>
      <c r="V155" s="285">
        <f t="shared" si="47"/>
        <v>0.105</v>
      </c>
      <c r="W155" s="282">
        <f t="shared" si="48"/>
        <v>1.05</v>
      </c>
      <c r="X155" s="282"/>
      <c r="Y155" s="282"/>
      <c r="Z155" s="283"/>
      <c r="AC155" s="1784">
        <f t="shared" si="49"/>
        <v>0.33600000000000002</v>
      </c>
    </row>
    <row r="156" spans="1:29" hidden="1">
      <c r="A156" s="272" t="str">
        <f>'Data Panjang Balok'!A152</f>
        <v>Lantai 2</v>
      </c>
      <c r="B156" s="273">
        <f>'Data Panjang Balok'!B152</f>
        <v>55</v>
      </c>
      <c r="C156" s="274" t="str">
        <f>'Data Panjang Balok'!D152</f>
        <v>CL24-1</v>
      </c>
      <c r="D156" s="275">
        <f>IF(C156&gt;0,VLOOKUP(C156,'Detail Balok'!$C$11:$AU$140,2,FALSE),0)</f>
        <v>200</v>
      </c>
      <c r="E156" s="276" t="s">
        <v>125</v>
      </c>
      <c r="F156" s="277">
        <f>IF(C156&gt;0,VLOOKUP(C156,'Detail Balok'!$C$11:$AU$140,3,FALSE),0)</f>
        <v>400</v>
      </c>
      <c r="G156" s="278">
        <f>'Data Panjang Balok'!I152</f>
        <v>2100</v>
      </c>
      <c r="H156" s="278">
        <f>'Data Panjang Balok'!J152</f>
        <v>150</v>
      </c>
      <c r="I156" s="279">
        <v>0</v>
      </c>
      <c r="J156" s="279">
        <f t="shared" si="45"/>
        <v>-0.4</v>
      </c>
      <c r="K156" s="280">
        <f>'Data Panjang Balok'!E152</f>
        <v>1</v>
      </c>
      <c r="L156" s="281">
        <f>SUMIFS('Besi Balok'!$AA$23:$AA$7253,'Besi Balok'!$A$23:$A$7253,$A156,'Besi Balok'!$B$23:$B$7253,$B156,'Besi Balok'!$F$23:$F$7253,'REKAP Balok'!L$11)</f>
        <v>0</v>
      </c>
      <c r="M156" s="282">
        <f>SUMIFS('Besi Balok'!$AA$23:$AA$7253,'Besi Balok'!$A$23:$A$7253,$A156,'Besi Balok'!$B$23:$B$7253,$B156,'Besi Balok'!$F$23:$F$7253,'REKAP Balok'!M$11)</f>
        <v>0</v>
      </c>
      <c r="N156" s="282">
        <f>SUMIFS('Besi Balok'!$AA$23:$AA$7253,'Besi Balok'!$A$23:$A$7253,$A156,'Besi Balok'!$B$23:$B$7253,$B156,'Besi Balok'!$F$23:$F$7253,'REKAP Balok'!N$11)</f>
        <v>14.604885000000003</v>
      </c>
      <c r="O156" s="282">
        <f>SUMIFS('Besi Balok'!$AA$23:$AA$7253,'Besi Balok'!$A$23:$A$7253,$A156,'Besi Balok'!$B$23:$B$7253,$B156,'Besi Balok'!$F$23:$F$7253,'REKAP Balok'!O$11)</f>
        <v>0</v>
      </c>
      <c r="P156" s="282">
        <f>SUMIFS('Besi Balok'!$AA$23:$AA$7253,'Besi Balok'!$A$23:$A$7253,$A156,'Besi Balok'!$B$23:$B$7253,$B156,'Besi Balok'!$F$23:$F$7253,'REKAP Balok'!P$11)</f>
        <v>23.522088960000001</v>
      </c>
      <c r="Q156" s="282">
        <f>SUMIFS('Besi Balok'!$AA$23:$AA$7253,'Besi Balok'!$A$23:$A$7253,$A156,'Besi Balok'!$B$23:$B$7253,$B156,'Besi Balok'!$F$23:$F$7253,'REKAP Balok'!Q$11)</f>
        <v>0</v>
      </c>
      <c r="R156" s="282">
        <f>SUMIFS('Besi Balok'!$AA$23:$AA$7253,'Besi Balok'!$A$23:$A$7253,$A156,'Besi Balok'!$B$23:$B$7253,$B156,'Besi Balok'!$F$23:$F$7253,'REKAP Balok'!R$11)</f>
        <v>0</v>
      </c>
      <c r="S156" s="282">
        <f>SUMIFS('Besi Balok'!$AA$23:$AA$7253,'Besi Balok'!$A$23:$A$7253,$A156,'Besi Balok'!$B$23:$B$7253,$B156,'Besi Balok'!$F$23:$F$7253,'REKAP Balok'!S$11)</f>
        <v>0</v>
      </c>
      <c r="T156" s="283">
        <f>SUMIFS('Besi Balok'!$AA$23:$AA$7253,'Besi Balok'!$A$23:$A$7253,$A156,'Besi Balok'!$B$23:$B$7253,$B156,'Besi Balok'!$F$23:$F$7253,'REKAP Balok'!T$11)</f>
        <v>0</v>
      </c>
      <c r="U156" s="284">
        <f t="shared" si="46"/>
        <v>38.126973960000001</v>
      </c>
      <c r="V156" s="285">
        <f t="shared" si="47"/>
        <v>0.105</v>
      </c>
      <c r="W156" s="282">
        <f t="shared" si="48"/>
        <v>1.05</v>
      </c>
      <c r="X156" s="282"/>
      <c r="Y156" s="282"/>
      <c r="Z156" s="283"/>
      <c r="AC156" s="1784">
        <f t="shared" si="49"/>
        <v>0.33600000000000002</v>
      </c>
    </row>
    <row r="157" spans="1:29" hidden="1">
      <c r="A157" s="272"/>
      <c r="B157" s="273"/>
      <c r="C157" s="274"/>
      <c r="D157" s="275"/>
      <c r="E157" s="276"/>
      <c r="F157" s="277"/>
      <c r="G157" s="278"/>
      <c r="H157" s="278"/>
      <c r="I157" s="279"/>
      <c r="J157" s="279"/>
      <c r="K157" s="280"/>
      <c r="L157" s="281"/>
      <c r="M157" s="282"/>
      <c r="N157" s="282"/>
      <c r="O157" s="282"/>
      <c r="P157" s="282"/>
      <c r="Q157" s="282"/>
      <c r="R157" s="282"/>
      <c r="S157" s="282"/>
      <c r="T157" s="283"/>
      <c r="U157" s="284"/>
      <c r="V157" s="285"/>
      <c r="W157" s="282"/>
      <c r="X157" s="282"/>
      <c r="Y157" s="282"/>
      <c r="Z157" s="283"/>
      <c r="AC157" s="1784"/>
    </row>
    <row r="158" spans="1:29" hidden="1">
      <c r="A158" s="272" t="str">
        <f>'Data Panjang Balok'!A154</f>
        <v>Lantai 3</v>
      </c>
      <c r="B158" s="273">
        <f>'Data Panjang Balok'!B154</f>
        <v>1</v>
      </c>
      <c r="C158" s="274" t="str">
        <f>'Data Panjang Balok'!D154</f>
        <v>B24-1</v>
      </c>
      <c r="D158" s="275">
        <f>IF(C158&gt;0,VLOOKUP(C158,'Detail Balok'!$C$11:$AU$140,2,FALSE),0)</f>
        <v>200</v>
      </c>
      <c r="E158" s="276" t="s">
        <v>125</v>
      </c>
      <c r="F158" s="277">
        <f>IF(C158&gt;0,VLOOKUP(C158,'Detail Balok'!$C$11:$AU$140,3,FALSE),0)</f>
        <v>400</v>
      </c>
      <c r="G158" s="278">
        <f>'Data Panjang Balok'!I154</f>
        <v>9250</v>
      </c>
      <c r="H158" s="278">
        <f>'Data Panjang Balok'!J154</f>
        <v>150</v>
      </c>
      <c r="I158" s="279">
        <v>0</v>
      </c>
      <c r="J158" s="279">
        <f t="shared" si="45"/>
        <v>-0.4</v>
      </c>
      <c r="K158" s="280">
        <f>'Data Panjang Balok'!E154</f>
        <v>1</v>
      </c>
      <c r="L158" s="281">
        <f>SUMIFS('Besi Balok'!$AA$23:$AA$7253,'Besi Balok'!$A$23:$A$7253,$A158,'Besi Balok'!$B$23:$B$7253,$B158,'Besi Balok'!$F$23:$F$7253,'REKAP Balok'!L$11)</f>
        <v>0</v>
      </c>
      <c r="M158" s="282">
        <f>SUMIFS('Besi Balok'!$AA$23:$AA$7253,'Besi Balok'!$A$23:$A$7253,$A158,'Besi Balok'!$B$23:$B$7253,$B158,'Besi Balok'!$F$23:$F$7253,'REKAP Balok'!M$11)</f>
        <v>0</v>
      </c>
      <c r="N158" s="282">
        <f>SUMIFS('Besi Balok'!$AA$23:$AA$7253,'Besi Balok'!$A$23:$A$7253,$A158,'Besi Balok'!$B$23:$B$7253,$B158,'Besi Balok'!$F$23:$F$7253,'REKAP Balok'!N$11)</f>
        <v>45.084645000000009</v>
      </c>
      <c r="O158" s="282">
        <f>SUMIFS('Besi Balok'!$AA$23:$AA$7253,'Besi Balok'!$A$23:$A$7253,$A158,'Besi Balok'!$B$23:$B$7253,$B158,'Besi Balok'!$F$23:$F$7253,'REKAP Balok'!O$11)</f>
        <v>59.775026220000008</v>
      </c>
      <c r="P158" s="282">
        <f>SUMIFS('Besi Balok'!$AA$23:$AA$7253,'Besi Balok'!$A$23:$A$7253,$A158,'Besi Balok'!$B$23:$B$7253,$B158,'Besi Balok'!$F$23:$F$7253,'REKAP Balok'!P$11)</f>
        <v>0</v>
      </c>
      <c r="Q158" s="282">
        <f>SUMIFS('Besi Balok'!$AA$23:$AA$7253,'Besi Balok'!$A$23:$A$7253,$A158,'Besi Balok'!$B$23:$B$7253,$B158,'Besi Balok'!$F$23:$F$7253,'REKAP Balok'!Q$11)</f>
        <v>0</v>
      </c>
      <c r="R158" s="282">
        <f>SUMIFS('Besi Balok'!$AA$23:$AA$7253,'Besi Balok'!$A$23:$A$7253,$A158,'Besi Balok'!$B$23:$B$7253,$B158,'Besi Balok'!$F$23:$F$7253,'REKAP Balok'!R$11)</f>
        <v>0</v>
      </c>
      <c r="S158" s="282">
        <f>SUMIFS('Besi Balok'!$AA$23:$AA$7253,'Besi Balok'!$A$23:$A$7253,$A158,'Besi Balok'!$B$23:$B$7253,$B158,'Besi Balok'!$F$23:$F$7253,'REKAP Balok'!S$11)</f>
        <v>0</v>
      </c>
      <c r="T158" s="283">
        <f>SUMIFS('Besi Balok'!$AA$23:$AA$7253,'Besi Balok'!$A$23:$A$7253,$A158,'Besi Balok'!$B$23:$B$7253,$B158,'Besi Balok'!$F$23:$F$7253,'REKAP Balok'!T$11)</f>
        <v>0</v>
      </c>
      <c r="U158" s="284">
        <f t="shared" si="46"/>
        <v>104.85967122000002</v>
      </c>
      <c r="V158" s="285">
        <f t="shared" si="47"/>
        <v>0.46250000000000002</v>
      </c>
      <c r="W158" s="282">
        <f t="shared" si="48"/>
        <v>4.625</v>
      </c>
      <c r="X158" s="282"/>
      <c r="Y158" s="282"/>
      <c r="Z158" s="283"/>
      <c r="AC158" s="1784">
        <f t="shared" si="49"/>
        <v>1.48</v>
      </c>
    </row>
    <row r="159" spans="1:29" hidden="1">
      <c r="A159" s="272" t="str">
        <f>'Data Panjang Balok'!A155</f>
        <v>Lantai 3</v>
      </c>
      <c r="B159" s="273">
        <f>'Data Panjang Balok'!B155</f>
        <v>2</v>
      </c>
      <c r="C159" s="274" t="str">
        <f>'Data Panjang Balok'!D155</f>
        <v>B24-2</v>
      </c>
      <c r="D159" s="275">
        <f>IF(C159&gt;0,VLOOKUP(C159,'Detail Balok'!$C$11:$AU$140,2,FALSE),0)</f>
        <v>200</v>
      </c>
      <c r="E159" s="276" t="s">
        <v>125</v>
      </c>
      <c r="F159" s="277">
        <f>IF(C159&gt;0,VLOOKUP(C159,'Detail Balok'!$C$11:$AU$140,3,FALSE),0)</f>
        <v>400</v>
      </c>
      <c r="G159" s="278">
        <f>'Data Panjang Balok'!I155</f>
        <v>9000</v>
      </c>
      <c r="H159" s="278">
        <f>'Data Panjang Balok'!J155</f>
        <v>150</v>
      </c>
      <c r="I159" s="279">
        <v>0</v>
      </c>
      <c r="J159" s="279">
        <f t="shared" si="45"/>
        <v>-0.4</v>
      </c>
      <c r="K159" s="280">
        <f>'Data Panjang Balok'!E155</f>
        <v>1</v>
      </c>
      <c r="L159" s="281">
        <f>SUMIFS('Besi Balok'!$AA$23:$AA$7253,'Besi Balok'!$A$23:$A$7253,$A159,'Besi Balok'!$B$23:$B$7253,$B159,'Besi Balok'!$F$23:$F$7253,'REKAP Balok'!L$11)</f>
        <v>0</v>
      </c>
      <c r="M159" s="282">
        <f>SUMIFS('Besi Balok'!$AA$23:$AA$7253,'Besi Balok'!$A$23:$A$7253,$A159,'Besi Balok'!$B$23:$B$7253,$B159,'Besi Balok'!$F$23:$F$7253,'REKAP Balok'!M$11)</f>
        <v>0</v>
      </c>
      <c r="N159" s="282">
        <f>SUMIFS('Besi Balok'!$AA$23:$AA$7253,'Besi Balok'!$A$23:$A$7253,$A159,'Besi Balok'!$B$23:$B$7253,$B159,'Besi Balok'!$F$23:$F$7253,'REKAP Balok'!N$11)</f>
        <v>45.084645000000009</v>
      </c>
      <c r="O159" s="282">
        <f>SUMIFS('Besi Balok'!$AA$23:$AA$7253,'Besi Balok'!$A$23:$A$7253,$A159,'Besi Balok'!$B$23:$B$7253,$B159,'Besi Balok'!$F$23:$F$7253,'REKAP Balok'!O$11)</f>
        <v>0</v>
      </c>
      <c r="P159" s="282">
        <f>SUMIFS('Besi Balok'!$AA$23:$AA$7253,'Besi Balok'!$A$23:$A$7253,$A159,'Besi Balok'!$B$23:$B$7253,$B159,'Besi Balok'!$F$23:$F$7253,'REKAP Balok'!P$11)</f>
        <v>88.861224960000015</v>
      </c>
      <c r="Q159" s="282">
        <f>SUMIFS('Besi Balok'!$AA$23:$AA$7253,'Besi Balok'!$A$23:$A$7253,$A159,'Besi Balok'!$B$23:$B$7253,$B159,'Besi Balok'!$F$23:$F$7253,'REKAP Balok'!Q$11)</f>
        <v>0</v>
      </c>
      <c r="R159" s="282">
        <f>SUMIFS('Besi Balok'!$AA$23:$AA$7253,'Besi Balok'!$A$23:$A$7253,$A159,'Besi Balok'!$B$23:$B$7253,$B159,'Besi Balok'!$F$23:$F$7253,'REKAP Balok'!R$11)</f>
        <v>0</v>
      </c>
      <c r="S159" s="282">
        <f>SUMIFS('Besi Balok'!$AA$23:$AA$7253,'Besi Balok'!$A$23:$A$7253,$A159,'Besi Balok'!$B$23:$B$7253,$B159,'Besi Balok'!$F$23:$F$7253,'REKAP Balok'!S$11)</f>
        <v>0</v>
      </c>
      <c r="T159" s="283">
        <f>SUMIFS('Besi Balok'!$AA$23:$AA$7253,'Besi Balok'!$A$23:$A$7253,$A159,'Besi Balok'!$B$23:$B$7253,$B159,'Besi Balok'!$F$23:$F$7253,'REKAP Balok'!T$11)</f>
        <v>0</v>
      </c>
      <c r="U159" s="284">
        <f t="shared" si="46"/>
        <v>133.94586996000004</v>
      </c>
      <c r="V159" s="285">
        <f t="shared" si="47"/>
        <v>0.45</v>
      </c>
      <c r="W159" s="282">
        <f t="shared" si="48"/>
        <v>4.5</v>
      </c>
      <c r="X159" s="282"/>
      <c r="Y159" s="282"/>
      <c r="Z159" s="283"/>
      <c r="AC159" s="1784">
        <f t="shared" si="49"/>
        <v>1.44</v>
      </c>
    </row>
    <row r="160" spans="1:29" hidden="1">
      <c r="A160" s="272" t="str">
        <f>'Data Panjang Balok'!A156</f>
        <v>Lantai 3</v>
      </c>
      <c r="B160" s="273">
        <f>'Data Panjang Balok'!B156</f>
        <v>3</v>
      </c>
      <c r="C160" s="274" t="str">
        <f>'Data Panjang Balok'!D156</f>
        <v>CL24-1</v>
      </c>
      <c r="D160" s="275">
        <f>IF(C160&gt;0,VLOOKUP(C160,'Detail Balok'!$C$11:$AU$140,2,FALSE),0)</f>
        <v>200</v>
      </c>
      <c r="E160" s="276" t="s">
        <v>125</v>
      </c>
      <c r="F160" s="277">
        <f>IF(C160&gt;0,VLOOKUP(C160,'Detail Balok'!$C$11:$AU$140,3,FALSE),0)</f>
        <v>400</v>
      </c>
      <c r="G160" s="278">
        <f>'Data Panjang Balok'!I156</f>
        <v>1075</v>
      </c>
      <c r="H160" s="278">
        <f>'Data Panjang Balok'!J156</f>
        <v>150</v>
      </c>
      <c r="I160" s="279">
        <v>0</v>
      </c>
      <c r="J160" s="279">
        <f t="shared" si="45"/>
        <v>-0.4</v>
      </c>
      <c r="K160" s="280">
        <f>'Data Panjang Balok'!E156</f>
        <v>1</v>
      </c>
      <c r="L160" s="281">
        <f>SUMIFS('Besi Balok'!$AA$23:$AA$7253,'Besi Balok'!$A$23:$A$7253,$A160,'Besi Balok'!$B$23:$B$7253,$B160,'Besi Balok'!$F$23:$F$7253,'REKAP Balok'!L$11)</f>
        <v>0</v>
      </c>
      <c r="M160" s="282">
        <f>SUMIFS('Besi Balok'!$AA$23:$AA$7253,'Besi Balok'!$A$23:$A$7253,$A160,'Besi Balok'!$B$23:$B$7253,$B160,'Besi Balok'!$F$23:$F$7253,'REKAP Balok'!M$11)</f>
        <v>0</v>
      </c>
      <c r="N160" s="282">
        <f>SUMIFS('Besi Balok'!$AA$23:$AA$7253,'Besi Balok'!$A$23:$A$7253,$A160,'Besi Balok'!$B$23:$B$7253,$B160,'Besi Balok'!$F$23:$F$7253,'REKAP Balok'!N$11)</f>
        <v>7.6199400000000015</v>
      </c>
      <c r="O160" s="282">
        <f>SUMIFS('Besi Balok'!$AA$23:$AA$7253,'Besi Balok'!$A$23:$A$7253,$A160,'Besi Balok'!$B$23:$B$7253,$B160,'Besi Balok'!$F$23:$F$7253,'REKAP Balok'!O$11)</f>
        <v>0</v>
      </c>
      <c r="P160" s="282">
        <f>SUMIFS('Besi Balok'!$AA$23:$AA$7253,'Besi Balok'!$A$23:$A$7253,$A160,'Besi Balok'!$B$23:$B$7253,$B160,'Besi Balok'!$F$23:$F$7253,'REKAP Balok'!P$11)</f>
        <v>13.81591296</v>
      </c>
      <c r="Q160" s="282">
        <f>SUMIFS('Besi Balok'!$AA$23:$AA$7253,'Besi Balok'!$A$23:$A$7253,$A160,'Besi Balok'!$B$23:$B$7253,$B160,'Besi Balok'!$F$23:$F$7253,'REKAP Balok'!Q$11)</f>
        <v>0</v>
      </c>
      <c r="R160" s="282">
        <f>SUMIFS('Besi Balok'!$AA$23:$AA$7253,'Besi Balok'!$A$23:$A$7253,$A160,'Besi Balok'!$B$23:$B$7253,$B160,'Besi Balok'!$F$23:$F$7253,'REKAP Balok'!R$11)</f>
        <v>0</v>
      </c>
      <c r="S160" s="282">
        <f>SUMIFS('Besi Balok'!$AA$23:$AA$7253,'Besi Balok'!$A$23:$A$7253,$A160,'Besi Balok'!$B$23:$B$7253,$B160,'Besi Balok'!$F$23:$F$7253,'REKAP Balok'!S$11)</f>
        <v>0</v>
      </c>
      <c r="T160" s="283">
        <f>SUMIFS('Besi Balok'!$AA$23:$AA$7253,'Besi Balok'!$A$23:$A$7253,$A160,'Besi Balok'!$B$23:$B$7253,$B160,'Besi Balok'!$F$23:$F$7253,'REKAP Balok'!T$11)</f>
        <v>0</v>
      </c>
      <c r="U160" s="284">
        <f t="shared" si="46"/>
        <v>21.435852960000002</v>
      </c>
      <c r="V160" s="285">
        <f t="shared" si="47"/>
        <v>5.3749999999999999E-2</v>
      </c>
      <c r="W160" s="282">
        <f t="shared" si="48"/>
        <v>0.53749999999999998</v>
      </c>
      <c r="X160" s="282"/>
      <c r="Y160" s="282"/>
      <c r="Z160" s="283"/>
      <c r="AC160" s="1784">
        <f t="shared" si="49"/>
        <v>0.17199999999999999</v>
      </c>
    </row>
    <row r="161" spans="1:29" hidden="1">
      <c r="A161" s="272" t="str">
        <f>'Data Panjang Balok'!A157</f>
        <v>Lantai 3</v>
      </c>
      <c r="B161" s="273">
        <f>'Data Panjang Balok'!B157</f>
        <v>4</v>
      </c>
      <c r="C161" s="274" t="str">
        <f>'Data Panjang Balok'!D157</f>
        <v>CL24-1</v>
      </c>
      <c r="D161" s="275">
        <f>IF(C161&gt;0,VLOOKUP(C161,'Detail Balok'!$C$11:$AU$140,2,FALSE),0)</f>
        <v>200</v>
      </c>
      <c r="E161" s="276" t="s">
        <v>125</v>
      </c>
      <c r="F161" s="277">
        <f>IF(C161&gt;0,VLOOKUP(C161,'Detail Balok'!$C$11:$AU$140,3,FALSE),0)</f>
        <v>400</v>
      </c>
      <c r="G161" s="278">
        <f>'Data Panjang Balok'!I157</f>
        <v>1075</v>
      </c>
      <c r="H161" s="278">
        <f>'Data Panjang Balok'!J157</f>
        <v>150</v>
      </c>
      <c r="I161" s="279">
        <v>0</v>
      </c>
      <c r="J161" s="279">
        <f t="shared" si="45"/>
        <v>-0.4</v>
      </c>
      <c r="K161" s="280">
        <f>'Data Panjang Balok'!E157</f>
        <v>1</v>
      </c>
      <c r="L161" s="281">
        <f>SUMIFS('Besi Balok'!$AA$23:$AA$7253,'Besi Balok'!$A$23:$A$7253,$A161,'Besi Balok'!$B$23:$B$7253,$B161,'Besi Balok'!$F$23:$F$7253,'REKAP Balok'!L$11)</f>
        <v>0</v>
      </c>
      <c r="M161" s="282">
        <f>SUMIFS('Besi Balok'!$AA$23:$AA$7253,'Besi Balok'!$A$23:$A$7253,$A161,'Besi Balok'!$B$23:$B$7253,$B161,'Besi Balok'!$F$23:$F$7253,'REKAP Balok'!M$11)</f>
        <v>0</v>
      </c>
      <c r="N161" s="282">
        <f>SUMIFS('Besi Balok'!$AA$23:$AA$7253,'Besi Balok'!$A$23:$A$7253,$A161,'Besi Balok'!$B$23:$B$7253,$B161,'Besi Balok'!$F$23:$F$7253,'REKAP Balok'!N$11)</f>
        <v>7.6199400000000015</v>
      </c>
      <c r="O161" s="282">
        <f>SUMIFS('Besi Balok'!$AA$23:$AA$7253,'Besi Balok'!$A$23:$A$7253,$A161,'Besi Balok'!$B$23:$B$7253,$B161,'Besi Balok'!$F$23:$F$7253,'REKAP Balok'!O$11)</f>
        <v>0</v>
      </c>
      <c r="P161" s="282">
        <f>SUMIFS('Besi Balok'!$AA$23:$AA$7253,'Besi Balok'!$A$23:$A$7253,$A161,'Besi Balok'!$B$23:$B$7253,$B161,'Besi Balok'!$F$23:$F$7253,'REKAP Balok'!P$11)</f>
        <v>13.81591296</v>
      </c>
      <c r="Q161" s="282">
        <f>SUMIFS('Besi Balok'!$AA$23:$AA$7253,'Besi Balok'!$A$23:$A$7253,$A161,'Besi Balok'!$B$23:$B$7253,$B161,'Besi Balok'!$F$23:$F$7253,'REKAP Balok'!Q$11)</f>
        <v>0</v>
      </c>
      <c r="R161" s="282">
        <f>SUMIFS('Besi Balok'!$AA$23:$AA$7253,'Besi Balok'!$A$23:$A$7253,$A161,'Besi Balok'!$B$23:$B$7253,$B161,'Besi Balok'!$F$23:$F$7253,'REKAP Balok'!R$11)</f>
        <v>0</v>
      </c>
      <c r="S161" s="282">
        <f>SUMIFS('Besi Balok'!$AA$23:$AA$7253,'Besi Balok'!$A$23:$A$7253,$A161,'Besi Balok'!$B$23:$B$7253,$B161,'Besi Balok'!$F$23:$F$7253,'REKAP Balok'!S$11)</f>
        <v>0</v>
      </c>
      <c r="T161" s="283">
        <f>SUMIFS('Besi Balok'!$AA$23:$AA$7253,'Besi Balok'!$A$23:$A$7253,$A161,'Besi Balok'!$B$23:$B$7253,$B161,'Besi Balok'!$F$23:$F$7253,'REKAP Balok'!T$11)</f>
        <v>0</v>
      </c>
      <c r="U161" s="284">
        <f t="shared" si="46"/>
        <v>21.435852960000002</v>
      </c>
      <c r="V161" s="285">
        <f t="shared" si="47"/>
        <v>5.3749999999999999E-2</v>
      </c>
      <c r="W161" s="282">
        <f t="shared" si="48"/>
        <v>0.53749999999999998</v>
      </c>
      <c r="X161" s="282"/>
      <c r="Y161" s="282"/>
      <c r="Z161" s="283"/>
      <c r="AC161" s="1784">
        <f t="shared" si="49"/>
        <v>0.17199999999999999</v>
      </c>
    </row>
    <row r="162" spans="1:29" hidden="1">
      <c r="A162" s="272" t="str">
        <f>'Data Panjang Balok'!A158</f>
        <v>Lantai 3</v>
      </c>
      <c r="B162" s="273">
        <f>'Data Panjang Balok'!B158</f>
        <v>5</v>
      </c>
      <c r="C162" s="274" t="str">
        <f>'Data Panjang Balok'!D158</f>
        <v>B24-2</v>
      </c>
      <c r="D162" s="275">
        <f>IF(C162&gt;0,VLOOKUP(C162,'Detail Balok'!$C$11:$AU$140,2,FALSE),0)</f>
        <v>200</v>
      </c>
      <c r="E162" s="276" t="s">
        <v>125</v>
      </c>
      <c r="F162" s="277">
        <f>IF(C162&gt;0,VLOOKUP(C162,'Detail Balok'!$C$11:$AU$140,3,FALSE),0)</f>
        <v>400</v>
      </c>
      <c r="G162" s="278">
        <f>'Data Panjang Balok'!I158</f>
        <v>9075</v>
      </c>
      <c r="H162" s="278">
        <f>'Data Panjang Balok'!J158</f>
        <v>150</v>
      </c>
      <c r="I162" s="279">
        <v>0</v>
      </c>
      <c r="J162" s="279">
        <f t="shared" si="45"/>
        <v>-0.4</v>
      </c>
      <c r="K162" s="280">
        <f>'Data Panjang Balok'!E158</f>
        <v>1</v>
      </c>
      <c r="L162" s="281">
        <f>SUMIFS('Besi Balok'!$AA$23:$AA$7253,'Besi Balok'!$A$23:$A$7253,$A162,'Besi Balok'!$B$23:$B$7253,$B162,'Besi Balok'!$F$23:$F$7253,'REKAP Balok'!L$11)</f>
        <v>0</v>
      </c>
      <c r="M162" s="282">
        <f>SUMIFS('Besi Balok'!$AA$23:$AA$7253,'Besi Balok'!$A$23:$A$7253,$A162,'Besi Balok'!$B$23:$B$7253,$B162,'Besi Balok'!$F$23:$F$7253,'REKAP Balok'!M$11)</f>
        <v>0</v>
      </c>
      <c r="N162" s="282">
        <f>SUMIFS('Besi Balok'!$AA$23:$AA$7253,'Besi Balok'!$A$23:$A$7253,$A162,'Besi Balok'!$B$23:$B$7253,$B162,'Besi Balok'!$F$23:$F$7253,'REKAP Balok'!N$11)</f>
        <v>45.084645000000009</v>
      </c>
      <c r="O162" s="282">
        <f>SUMIFS('Besi Balok'!$AA$23:$AA$7253,'Besi Balok'!$A$23:$A$7253,$A162,'Besi Balok'!$B$23:$B$7253,$B162,'Besi Balok'!$F$23:$F$7253,'REKAP Balok'!O$11)</f>
        <v>0</v>
      </c>
      <c r="P162" s="282">
        <f>SUMIFS('Besi Balok'!$AA$23:$AA$7253,'Besi Balok'!$A$23:$A$7253,$A162,'Besi Balok'!$B$23:$B$7253,$B162,'Besi Balok'!$F$23:$F$7253,'REKAP Balok'!P$11)</f>
        <v>89.571432959999996</v>
      </c>
      <c r="Q162" s="282">
        <f>SUMIFS('Besi Balok'!$AA$23:$AA$7253,'Besi Balok'!$A$23:$A$7253,$A162,'Besi Balok'!$B$23:$B$7253,$B162,'Besi Balok'!$F$23:$F$7253,'REKAP Balok'!Q$11)</f>
        <v>0</v>
      </c>
      <c r="R162" s="282">
        <f>SUMIFS('Besi Balok'!$AA$23:$AA$7253,'Besi Balok'!$A$23:$A$7253,$A162,'Besi Balok'!$B$23:$B$7253,$B162,'Besi Balok'!$F$23:$F$7253,'REKAP Balok'!R$11)</f>
        <v>0</v>
      </c>
      <c r="S162" s="282">
        <f>SUMIFS('Besi Balok'!$AA$23:$AA$7253,'Besi Balok'!$A$23:$A$7253,$A162,'Besi Balok'!$B$23:$B$7253,$B162,'Besi Balok'!$F$23:$F$7253,'REKAP Balok'!S$11)</f>
        <v>0</v>
      </c>
      <c r="T162" s="283">
        <f>SUMIFS('Besi Balok'!$AA$23:$AA$7253,'Besi Balok'!$A$23:$A$7253,$A162,'Besi Balok'!$B$23:$B$7253,$B162,'Besi Balok'!$F$23:$F$7253,'REKAP Balok'!T$11)</f>
        <v>0</v>
      </c>
      <c r="U162" s="284">
        <f t="shared" si="46"/>
        <v>134.65607796</v>
      </c>
      <c r="V162" s="285">
        <f t="shared" si="47"/>
        <v>0.45374999999999999</v>
      </c>
      <c r="W162" s="282">
        <f t="shared" si="48"/>
        <v>4.5374999999999996</v>
      </c>
      <c r="X162" s="282"/>
      <c r="Y162" s="282"/>
      <c r="Z162" s="283"/>
      <c r="AC162" s="1784">
        <f t="shared" si="49"/>
        <v>1.452</v>
      </c>
    </row>
    <row r="163" spans="1:29" hidden="1">
      <c r="A163" s="272" t="str">
        <f>'Data Panjang Balok'!A159</f>
        <v>Lantai 3</v>
      </c>
      <c r="B163" s="273">
        <f>'Data Panjang Balok'!B159</f>
        <v>6</v>
      </c>
      <c r="C163" s="274" t="str">
        <f>'Data Panjang Balok'!D159</f>
        <v>B26-1</v>
      </c>
      <c r="D163" s="275">
        <f>IF(C163&gt;0,VLOOKUP(C163,'Detail Balok'!$C$11:$AU$140,2,FALSE),0)</f>
        <v>200</v>
      </c>
      <c r="E163" s="276" t="s">
        <v>125</v>
      </c>
      <c r="F163" s="277">
        <f>IF(C163&gt;0,VLOOKUP(C163,'Detail Balok'!$C$11:$AU$140,3,FALSE),0)</f>
        <v>600</v>
      </c>
      <c r="G163" s="278">
        <f>'Data Panjang Balok'!I159</f>
        <v>9000</v>
      </c>
      <c r="H163" s="278">
        <f>'Data Panjang Balok'!J159</f>
        <v>150</v>
      </c>
      <c r="I163" s="279">
        <v>0</v>
      </c>
      <c r="J163" s="279">
        <f t="shared" si="45"/>
        <v>-0.6</v>
      </c>
      <c r="K163" s="280">
        <f>'Data Panjang Balok'!E159</f>
        <v>1</v>
      </c>
      <c r="L163" s="281">
        <f>SUMIFS('Besi Balok'!$AA$23:$AA$7253,'Besi Balok'!$A$23:$A$7253,$A163,'Besi Balok'!$B$23:$B$7253,$B163,'Besi Balok'!$F$23:$F$7253,'REKAP Balok'!L$11)</f>
        <v>0</v>
      </c>
      <c r="M163" s="282">
        <f>SUMIFS('Besi Balok'!$AA$23:$AA$7253,'Besi Balok'!$A$23:$A$7253,$A163,'Besi Balok'!$B$23:$B$7253,$B163,'Besi Balok'!$F$23:$F$7253,'REKAP Balok'!M$11)</f>
        <v>0</v>
      </c>
      <c r="N163" s="282">
        <f>SUMIFS('Besi Balok'!$AA$23:$AA$7253,'Besi Balok'!$A$23:$A$7253,$A163,'Besi Balok'!$B$23:$B$7253,$B163,'Besi Balok'!$F$23:$F$7253,'REKAP Balok'!N$11)</f>
        <v>80.157330000000002</v>
      </c>
      <c r="O163" s="282">
        <f>SUMIFS('Besi Balok'!$AA$23:$AA$7253,'Besi Balok'!$A$23:$A$7253,$A163,'Besi Balok'!$B$23:$B$7253,$B163,'Besi Balok'!$F$23:$F$7253,'REKAP Balok'!O$11)</f>
        <v>0</v>
      </c>
      <c r="P163" s="282">
        <f>SUMIFS('Besi Balok'!$AA$23:$AA$7253,'Besi Balok'!$A$23:$A$7253,$A163,'Besi Balok'!$B$23:$B$7253,$B163,'Besi Balok'!$F$23:$F$7253,'REKAP Balok'!P$11)</f>
        <v>107.26981632</v>
      </c>
      <c r="Q163" s="282">
        <f>SUMIFS('Besi Balok'!$AA$23:$AA$7253,'Besi Balok'!$A$23:$A$7253,$A163,'Besi Balok'!$B$23:$B$7253,$B163,'Besi Balok'!$F$23:$F$7253,'REKAP Balok'!Q$11)</f>
        <v>0</v>
      </c>
      <c r="R163" s="282">
        <f>SUMIFS('Besi Balok'!$AA$23:$AA$7253,'Besi Balok'!$A$23:$A$7253,$A163,'Besi Balok'!$B$23:$B$7253,$B163,'Besi Balok'!$F$23:$F$7253,'REKAP Balok'!R$11)</f>
        <v>0</v>
      </c>
      <c r="S163" s="282">
        <f>SUMIFS('Besi Balok'!$AA$23:$AA$7253,'Besi Balok'!$A$23:$A$7253,$A163,'Besi Balok'!$B$23:$B$7253,$B163,'Besi Balok'!$F$23:$F$7253,'REKAP Balok'!S$11)</f>
        <v>0</v>
      </c>
      <c r="T163" s="283">
        <f>SUMIFS('Besi Balok'!$AA$23:$AA$7253,'Besi Balok'!$A$23:$A$7253,$A163,'Besi Balok'!$B$23:$B$7253,$B163,'Besi Balok'!$F$23:$F$7253,'REKAP Balok'!T$11)</f>
        <v>0</v>
      </c>
      <c r="U163" s="284">
        <f t="shared" si="46"/>
        <v>187.42714632000002</v>
      </c>
      <c r="V163" s="285">
        <f t="shared" si="47"/>
        <v>0.81</v>
      </c>
      <c r="W163" s="282">
        <f t="shared" si="48"/>
        <v>8.1</v>
      </c>
      <c r="X163" s="282"/>
      <c r="Y163" s="282"/>
      <c r="Z163" s="283"/>
      <c r="AC163" s="1784">
        <f t="shared" si="49"/>
        <v>2.16</v>
      </c>
    </row>
    <row r="164" spans="1:29" hidden="1">
      <c r="A164" s="272" t="str">
        <f>'Data Panjang Balok'!A160</f>
        <v>Lantai 3</v>
      </c>
      <c r="B164" s="273">
        <f>'Data Panjang Balok'!B160</f>
        <v>7</v>
      </c>
      <c r="C164" s="274" t="str">
        <f>'Data Panjang Balok'!D160</f>
        <v>CL24-1</v>
      </c>
      <c r="D164" s="275">
        <f>IF(C164&gt;0,VLOOKUP(C164,'Detail Balok'!$C$11:$AU$140,2,FALSE),0)</f>
        <v>200</v>
      </c>
      <c r="E164" s="276" t="s">
        <v>125</v>
      </c>
      <c r="F164" s="277">
        <f>IF(C164&gt;0,VLOOKUP(C164,'Detail Balok'!$C$11:$AU$140,3,FALSE),0)</f>
        <v>400</v>
      </c>
      <c r="G164" s="278">
        <f>'Data Panjang Balok'!I160</f>
        <v>7150</v>
      </c>
      <c r="H164" s="278">
        <f>'Data Panjang Balok'!J160</f>
        <v>150</v>
      </c>
      <c r="I164" s="279">
        <v>0</v>
      </c>
      <c r="J164" s="279">
        <f t="shared" si="45"/>
        <v>-0.4</v>
      </c>
      <c r="K164" s="280">
        <f>'Data Panjang Balok'!E160</f>
        <v>1</v>
      </c>
      <c r="L164" s="281">
        <f>SUMIFS('Besi Balok'!$AA$23:$AA$7253,'Besi Balok'!$A$23:$A$7253,$A164,'Besi Balok'!$B$23:$B$7253,$B164,'Besi Balok'!$F$23:$F$7253,'REKAP Balok'!L$11)</f>
        <v>0</v>
      </c>
      <c r="M164" s="282">
        <f>SUMIFS('Besi Balok'!$AA$23:$AA$7253,'Besi Balok'!$A$23:$A$7253,$A164,'Besi Balok'!$B$23:$B$7253,$B164,'Besi Balok'!$F$23:$F$7253,'REKAP Balok'!M$11)</f>
        <v>0</v>
      </c>
      <c r="N164" s="282">
        <f>SUMIFS('Besi Balok'!$AA$23:$AA$7253,'Besi Balok'!$A$23:$A$7253,$A164,'Besi Balok'!$B$23:$B$7253,$B164,'Besi Balok'!$F$23:$F$7253,'REKAP Balok'!N$11)</f>
        <v>46.989630000000005</v>
      </c>
      <c r="O164" s="282">
        <f>SUMIFS('Besi Balok'!$AA$23:$AA$7253,'Besi Balok'!$A$23:$A$7253,$A164,'Besi Balok'!$B$23:$B$7253,$B164,'Besi Balok'!$F$23:$F$7253,'REKAP Balok'!O$11)</f>
        <v>0</v>
      </c>
      <c r="P164" s="282">
        <f>SUMIFS('Besi Balok'!$AA$23:$AA$7253,'Besi Balok'!$A$23:$A$7253,$A164,'Besi Balok'!$B$23:$B$7253,$B164,'Besi Balok'!$F$23:$F$7253,'REKAP Balok'!P$11)</f>
        <v>71.342760959999993</v>
      </c>
      <c r="Q164" s="282">
        <f>SUMIFS('Besi Balok'!$AA$23:$AA$7253,'Besi Balok'!$A$23:$A$7253,$A164,'Besi Balok'!$B$23:$B$7253,$B164,'Besi Balok'!$F$23:$F$7253,'REKAP Balok'!Q$11)</f>
        <v>0</v>
      </c>
      <c r="R164" s="282">
        <f>SUMIFS('Besi Balok'!$AA$23:$AA$7253,'Besi Balok'!$A$23:$A$7253,$A164,'Besi Balok'!$B$23:$B$7253,$B164,'Besi Balok'!$F$23:$F$7253,'REKAP Balok'!R$11)</f>
        <v>0</v>
      </c>
      <c r="S164" s="282">
        <f>SUMIFS('Besi Balok'!$AA$23:$AA$7253,'Besi Balok'!$A$23:$A$7253,$A164,'Besi Balok'!$B$23:$B$7253,$B164,'Besi Balok'!$F$23:$F$7253,'REKAP Balok'!S$11)</f>
        <v>0</v>
      </c>
      <c r="T164" s="283">
        <f>SUMIFS('Besi Balok'!$AA$23:$AA$7253,'Besi Balok'!$A$23:$A$7253,$A164,'Besi Balok'!$B$23:$B$7253,$B164,'Besi Balok'!$F$23:$F$7253,'REKAP Balok'!T$11)</f>
        <v>0</v>
      </c>
      <c r="U164" s="284">
        <f t="shared" si="46"/>
        <v>118.33239096</v>
      </c>
      <c r="V164" s="285">
        <f t="shared" si="47"/>
        <v>0.35749999999999998</v>
      </c>
      <c r="W164" s="282">
        <f t="shared" si="48"/>
        <v>3.5750000000000002</v>
      </c>
      <c r="X164" s="282"/>
      <c r="Y164" s="282"/>
      <c r="Z164" s="283"/>
      <c r="AC164" s="1784">
        <f t="shared" si="49"/>
        <v>1.1439999999999999</v>
      </c>
    </row>
    <row r="165" spans="1:29" hidden="1">
      <c r="A165" s="272" t="str">
        <f>'Data Panjang Balok'!A161</f>
        <v>Lantai 3</v>
      </c>
      <c r="B165" s="273">
        <f>'Data Panjang Balok'!B161</f>
        <v>8</v>
      </c>
      <c r="C165" s="274" t="str">
        <f>'Data Panjang Balok'!D161</f>
        <v>B26-1</v>
      </c>
      <c r="D165" s="275">
        <f>IF(C165&gt;0,VLOOKUP(C165,'Detail Balok'!$C$11:$AU$140,2,FALSE),0)</f>
        <v>200</v>
      </c>
      <c r="E165" s="276" t="s">
        <v>125</v>
      </c>
      <c r="F165" s="277">
        <f>IF(C165&gt;0,VLOOKUP(C165,'Detail Balok'!$C$11:$AU$140,3,FALSE),0)</f>
        <v>600</v>
      </c>
      <c r="G165" s="278">
        <f>'Data Panjang Balok'!I161</f>
        <v>6075</v>
      </c>
      <c r="H165" s="278">
        <f>'Data Panjang Balok'!J161</f>
        <v>150</v>
      </c>
      <c r="I165" s="279">
        <v>0</v>
      </c>
      <c r="J165" s="279">
        <f t="shared" si="45"/>
        <v>-0.6</v>
      </c>
      <c r="K165" s="280">
        <f>'Data Panjang Balok'!E161</f>
        <v>1</v>
      </c>
      <c r="L165" s="281">
        <f>SUMIFS('Besi Balok'!$AA$23:$AA$7253,'Besi Balok'!$A$23:$A$7253,$A165,'Besi Balok'!$B$23:$B$7253,$B165,'Besi Balok'!$F$23:$F$7253,'REKAP Balok'!L$11)</f>
        <v>0</v>
      </c>
      <c r="M165" s="282">
        <f>SUMIFS('Besi Balok'!$AA$23:$AA$7253,'Besi Balok'!$A$23:$A$7253,$A165,'Besi Balok'!$B$23:$B$7253,$B165,'Besi Balok'!$F$23:$F$7253,'REKAP Balok'!M$11)</f>
        <v>0</v>
      </c>
      <c r="N165" s="282">
        <f>SUMIFS('Besi Balok'!$AA$23:$AA$7253,'Besi Balok'!$A$23:$A$7253,$A165,'Besi Balok'!$B$23:$B$7253,$B165,'Besi Balok'!$F$23:$F$7253,'REKAP Balok'!N$11)</f>
        <v>53.629334999999998</v>
      </c>
      <c r="O165" s="282">
        <f>SUMIFS('Besi Balok'!$AA$23:$AA$7253,'Besi Balok'!$A$23:$A$7253,$A165,'Besi Balok'!$B$23:$B$7253,$B165,'Besi Balok'!$F$23:$F$7253,'REKAP Balok'!O$11)</f>
        <v>0</v>
      </c>
      <c r="P165" s="282">
        <f>SUMIFS('Besi Balok'!$AA$23:$AA$7253,'Besi Balok'!$A$23:$A$7253,$A165,'Besi Balok'!$B$23:$B$7253,$B165,'Besi Balok'!$F$23:$F$7253,'REKAP Balok'!P$11)</f>
        <v>74.032081919999996</v>
      </c>
      <c r="Q165" s="282">
        <f>SUMIFS('Besi Balok'!$AA$23:$AA$7253,'Besi Balok'!$A$23:$A$7253,$A165,'Besi Balok'!$B$23:$B$7253,$B165,'Besi Balok'!$F$23:$F$7253,'REKAP Balok'!Q$11)</f>
        <v>0</v>
      </c>
      <c r="R165" s="282">
        <f>SUMIFS('Besi Balok'!$AA$23:$AA$7253,'Besi Balok'!$A$23:$A$7253,$A165,'Besi Balok'!$B$23:$B$7253,$B165,'Besi Balok'!$F$23:$F$7253,'REKAP Balok'!R$11)</f>
        <v>0</v>
      </c>
      <c r="S165" s="282">
        <f>SUMIFS('Besi Balok'!$AA$23:$AA$7253,'Besi Balok'!$A$23:$A$7253,$A165,'Besi Balok'!$B$23:$B$7253,$B165,'Besi Balok'!$F$23:$F$7253,'REKAP Balok'!S$11)</f>
        <v>0</v>
      </c>
      <c r="T165" s="283">
        <f>SUMIFS('Besi Balok'!$AA$23:$AA$7253,'Besi Balok'!$A$23:$A$7253,$A165,'Besi Balok'!$B$23:$B$7253,$B165,'Besi Balok'!$F$23:$F$7253,'REKAP Balok'!T$11)</f>
        <v>0</v>
      </c>
      <c r="U165" s="284">
        <f t="shared" si="46"/>
        <v>127.66141691999999</v>
      </c>
      <c r="V165" s="285">
        <f t="shared" si="47"/>
        <v>0.54674999999999996</v>
      </c>
      <c r="W165" s="282">
        <f t="shared" si="48"/>
        <v>5.4675000000000002</v>
      </c>
      <c r="X165" s="282"/>
      <c r="Y165" s="282"/>
      <c r="Z165" s="283"/>
      <c r="AC165" s="1784">
        <f t="shared" si="49"/>
        <v>1.458</v>
      </c>
    </row>
    <row r="166" spans="1:29" hidden="1">
      <c r="A166" s="272" t="str">
        <f>'Data Panjang Balok'!A162</f>
        <v>Lantai 3</v>
      </c>
      <c r="B166" s="273">
        <f>'Data Panjang Balok'!B162</f>
        <v>9</v>
      </c>
      <c r="C166" s="274" t="str">
        <f>'Data Panjang Balok'!D162</f>
        <v>CL24-1</v>
      </c>
      <c r="D166" s="275">
        <f>IF(C166&gt;0,VLOOKUP(C166,'Detail Balok'!$C$11:$AU$140,2,FALSE),0)</f>
        <v>200</v>
      </c>
      <c r="E166" s="276" t="s">
        <v>125</v>
      </c>
      <c r="F166" s="277">
        <f>IF(C166&gt;0,VLOOKUP(C166,'Detail Balok'!$C$11:$AU$140,3,FALSE),0)</f>
        <v>400</v>
      </c>
      <c r="G166" s="278">
        <f>'Data Panjang Balok'!I162</f>
        <v>1000</v>
      </c>
      <c r="H166" s="278">
        <f>'Data Panjang Balok'!J162</f>
        <v>150</v>
      </c>
      <c r="I166" s="279">
        <v>0</v>
      </c>
      <c r="J166" s="279">
        <f t="shared" si="45"/>
        <v>-0.4</v>
      </c>
      <c r="K166" s="280">
        <f>'Data Panjang Balok'!E162</f>
        <v>1</v>
      </c>
      <c r="L166" s="281">
        <f>SUMIFS('Besi Balok'!$AA$23:$AA$7253,'Besi Balok'!$A$23:$A$7253,$A166,'Besi Balok'!$B$23:$B$7253,$B166,'Besi Balok'!$F$23:$F$7253,'REKAP Balok'!L$11)</f>
        <v>0</v>
      </c>
      <c r="M166" s="282">
        <f>SUMIFS('Besi Balok'!$AA$23:$AA$7253,'Besi Balok'!$A$23:$A$7253,$A166,'Besi Balok'!$B$23:$B$7253,$B166,'Besi Balok'!$F$23:$F$7253,'REKAP Balok'!M$11)</f>
        <v>0</v>
      </c>
      <c r="N166" s="282">
        <f>SUMIFS('Besi Balok'!$AA$23:$AA$7253,'Besi Balok'!$A$23:$A$7253,$A166,'Besi Balok'!$B$23:$B$7253,$B166,'Besi Balok'!$F$23:$F$7253,'REKAP Balok'!N$11)</f>
        <v>6.9849450000000006</v>
      </c>
      <c r="O166" s="282">
        <f>SUMIFS('Besi Balok'!$AA$23:$AA$7253,'Besi Balok'!$A$23:$A$7253,$A166,'Besi Balok'!$B$23:$B$7253,$B166,'Besi Balok'!$F$23:$F$7253,'REKAP Balok'!O$11)</f>
        <v>0</v>
      </c>
      <c r="P166" s="282">
        <f>SUMIFS('Besi Balok'!$AA$23:$AA$7253,'Besi Balok'!$A$23:$A$7253,$A166,'Besi Balok'!$B$23:$B$7253,$B166,'Besi Balok'!$F$23:$F$7253,'REKAP Balok'!P$11)</f>
        <v>13.105704959999999</v>
      </c>
      <c r="Q166" s="282">
        <f>SUMIFS('Besi Balok'!$AA$23:$AA$7253,'Besi Balok'!$A$23:$A$7253,$A166,'Besi Balok'!$B$23:$B$7253,$B166,'Besi Balok'!$F$23:$F$7253,'REKAP Balok'!Q$11)</f>
        <v>0</v>
      </c>
      <c r="R166" s="282">
        <f>SUMIFS('Besi Balok'!$AA$23:$AA$7253,'Besi Balok'!$A$23:$A$7253,$A166,'Besi Balok'!$B$23:$B$7253,$B166,'Besi Balok'!$F$23:$F$7253,'REKAP Balok'!R$11)</f>
        <v>0</v>
      </c>
      <c r="S166" s="282">
        <f>SUMIFS('Besi Balok'!$AA$23:$AA$7253,'Besi Balok'!$A$23:$A$7253,$A166,'Besi Balok'!$B$23:$B$7253,$B166,'Besi Balok'!$F$23:$F$7253,'REKAP Balok'!S$11)</f>
        <v>0</v>
      </c>
      <c r="T166" s="283">
        <f>SUMIFS('Besi Balok'!$AA$23:$AA$7253,'Besi Balok'!$A$23:$A$7253,$A166,'Besi Balok'!$B$23:$B$7253,$B166,'Besi Balok'!$F$23:$F$7253,'REKAP Balok'!T$11)</f>
        <v>0</v>
      </c>
      <c r="U166" s="284">
        <f t="shared" si="46"/>
        <v>20.09064996</v>
      </c>
      <c r="V166" s="285">
        <f t="shared" si="47"/>
        <v>0.05</v>
      </c>
      <c r="W166" s="282">
        <f t="shared" si="48"/>
        <v>0.5</v>
      </c>
      <c r="X166" s="282"/>
      <c r="Y166" s="282"/>
      <c r="Z166" s="283"/>
      <c r="AC166" s="1784">
        <f t="shared" si="49"/>
        <v>0.16</v>
      </c>
    </row>
    <row r="167" spans="1:29" hidden="1">
      <c r="A167" s="272" t="str">
        <f>'Data Panjang Balok'!A163</f>
        <v>Lantai 3</v>
      </c>
      <c r="B167" s="273">
        <f>'Data Panjang Balok'!B163</f>
        <v>10</v>
      </c>
      <c r="C167" s="274" t="str">
        <f>'Data Panjang Balok'!D163</f>
        <v>B24-1</v>
      </c>
      <c r="D167" s="275">
        <f>IF(C167&gt;0,VLOOKUP(C167,'Detail Balok'!$C$11:$AU$140,2,FALSE),0)</f>
        <v>200</v>
      </c>
      <c r="E167" s="276" t="s">
        <v>125</v>
      </c>
      <c r="F167" s="277">
        <f>IF(C167&gt;0,VLOOKUP(C167,'Detail Balok'!$C$11:$AU$140,3,FALSE),0)</f>
        <v>400</v>
      </c>
      <c r="G167" s="278">
        <f>'Data Panjang Balok'!I163</f>
        <v>3425</v>
      </c>
      <c r="H167" s="278">
        <f>'Data Panjang Balok'!J163</f>
        <v>150</v>
      </c>
      <c r="I167" s="279">
        <v>0</v>
      </c>
      <c r="J167" s="279">
        <f t="shared" si="45"/>
        <v>-0.4</v>
      </c>
      <c r="K167" s="280">
        <f>'Data Panjang Balok'!E163</f>
        <v>1</v>
      </c>
      <c r="L167" s="281">
        <f>SUMIFS('Besi Balok'!$AA$23:$AA$7253,'Besi Balok'!$A$23:$A$7253,$A167,'Besi Balok'!$B$23:$B$7253,$B167,'Besi Balok'!$F$23:$F$7253,'REKAP Balok'!L$11)</f>
        <v>0</v>
      </c>
      <c r="M167" s="282">
        <f>SUMIFS('Besi Balok'!$AA$23:$AA$7253,'Besi Balok'!$A$23:$A$7253,$A167,'Besi Balok'!$B$23:$B$7253,$B167,'Besi Balok'!$F$23:$F$7253,'REKAP Balok'!M$11)</f>
        <v>0</v>
      </c>
      <c r="N167" s="282">
        <f>SUMIFS('Besi Balok'!$AA$23:$AA$7253,'Besi Balok'!$A$23:$A$7253,$A167,'Besi Balok'!$B$23:$B$7253,$B167,'Besi Balok'!$F$23:$F$7253,'REKAP Balok'!N$11)</f>
        <v>18.414855000000003</v>
      </c>
      <c r="O167" s="282">
        <f>SUMIFS('Besi Balok'!$AA$23:$AA$7253,'Besi Balok'!$A$23:$A$7253,$A167,'Besi Balok'!$B$23:$B$7253,$B167,'Besi Balok'!$F$23:$F$7253,'REKAP Balok'!O$11)</f>
        <v>23.361145469999997</v>
      </c>
      <c r="P167" s="282">
        <f>SUMIFS('Besi Balok'!$AA$23:$AA$7253,'Besi Balok'!$A$23:$A$7253,$A167,'Besi Balok'!$B$23:$B$7253,$B167,'Besi Balok'!$F$23:$F$7253,'REKAP Balok'!P$11)</f>
        <v>0</v>
      </c>
      <c r="Q167" s="282">
        <f>SUMIFS('Besi Balok'!$AA$23:$AA$7253,'Besi Balok'!$A$23:$A$7253,$A167,'Besi Balok'!$B$23:$B$7253,$B167,'Besi Balok'!$F$23:$F$7253,'REKAP Balok'!Q$11)</f>
        <v>0</v>
      </c>
      <c r="R167" s="282">
        <f>SUMIFS('Besi Balok'!$AA$23:$AA$7253,'Besi Balok'!$A$23:$A$7253,$A167,'Besi Balok'!$B$23:$B$7253,$B167,'Besi Balok'!$F$23:$F$7253,'REKAP Balok'!R$11)</f>
        <v>0</v>
      </c>
      <c r="S167" s="282">
        <f>SUMIFS('Besi Balok'!$AA$23:$AA$7253,'Besi Balok'!$A$23:$A$7253,$A167,'Besi Balok'!$B$23:$B$7253,$B167,'Besi Balok'!$F$23:$F$7253,'REKAP Balok'!S$11)</f>
        <v>0</v>
      </c>
      <c r="T167" s="283">
        <f>SUMIFS('Besi Balok'!$AA$23:$AA$7253,'Besi Balok'!$A$23:$A$7253,$A167,'Besi Balok'!$B$23:$B$7253,$B167,'Besi Balok'!$F$23:$F$7253,'REKAP Balok'!T$11)</f>
        <v>0</v>
      </c>
      <c r="U167" s="284">
        <f t="shared" si="46"/>
        <v>41.77600047</v>
      </c>
      <c r="V167" s="285">
        <f t="shared" si="47"/>
        <v>0.17125000000000001</v>
      </c>
      <c r="W167" s="282">
        <f t="shared" si="48"/>
        <v>1.7124999999999999</v>
      </c>
      <c r="X167" s="282"/>
      <c r="Y167" s="282"/>
      <c r="Z167" s="283"/>
      <c r="AC167" s="1784">
        <f t="shared" si="49"/>
        <v>0.54800000000000004</v>
      </c>
    </row>
    <row r="168" spans="1:29" hidden="1">
      <c r="A168" s="272" t="str">
        <f>'Data Panjang Balok'!A164</f>
        <v>Lantai 3</v>
      </c>
      <c r="B168" s="273">
        <f>'Data Panjang Balok'!B164</f>
        <v>11</v>
      </c>
      <c r="C168" s="274" t="str">
        <f>'Data Panjang Balok'!D164</f>
        <v>B25-1</v>
      </c>
      <c r="D168" s="275">
        <f>IF(C168&gt;0,VLOOKUP(C168,'Detail Balok'!$C$11:$AU$140,2,FALSE),0)</f>
        <v>200</v>
      </c>
      <c r="E168" s="276" t="s">
        <v>125</v>
      </c>
      <c r="F168" s="277">
        <f>IF(C168&gt;0,VLOOKUP(C168,'Detail Balok'!$C$11:$AU$140,3,FALSE),0)</f>
        <v>500</v>
      </c>
      <c r="G168" s="278">
        <f>'Data Panjang Balok'!I164</f>
        <v>9075</v>
      </c>
      <c r="H168" s="278">
        <f>'Data Panjang Balok'!J164</f>
        <v>150</v>
      </c>
      <c r="I168" s="279">
        <v>0</v>
      </c>
      <c r="J168" s="279">
        <f t="shared" si="45"/>
        <v>-0.5</v>
      </c>
      <c r="K168" s="280">
        <f>'Data Panjang Balok'!E164</f>
        <v>1</v>
      </c>
      <c r="L168" s="281">
        <f>SUMIFS('Besi Balok'!$AA$23:$AA$7253,'Besi Balok'!$A$23:$A$7253,$A168,'Besi Balok'!$B$23:$B$7253,$B168,'Besi Balok'!$F$23:$F$7253,'REKAP Balok'!L$11)</f>
        <v>0</v>
      </c>
      <c r="M168" s="282">
        <f>SUMIFS('Besi Balok'!$AA$23:$AA$7253,'Besi Balok'!$A$23:$A$7253,$A168,'Besi Balok'!$B$23:$B$7253,$B168,'Besi Balok'!$F$23:$F$7253,'REKAP Balok'!M$11)</f>
        <v>0</v>
      </c>
      <c r="N168" s="282">
        <f>SUMIFS('Besi Balok'!$AA$23:$AA$7253,'Besi Balok'!$A$23:$A$7253,$A168,'Besi Balok'!$B$23:$B$7253,$B168,'Besi Balok'!$F$23:$F$7253,'REKAP Balok'!N$11)</f>
        <v>53.191620000000007</v>
      </c>
      <c r="O168" s="282">
        <f>SUMIFS('Besi Balok'!$AA$23:$AA$7253,'Besi Balok'!$A$23:$A$7253,$A168,'Besi Balok'!$B$23:$B$7253,$B168,'Besi Balok'!$F$23:$F$7253,'REKAP Balok'!O$11)</f>
        <v>0</v>
      </c>
      <c r="P168" s="282">
        <f>SUMIFS('Besi Balok'!$AA$23:$AA$7253,'Besi Balok'!$A$23:$A$7253,$A168,'Besi Balok'!$B$23:$B$7253,$B168,'Besi Balok'!$F$23:$F$7253,'REKAP Balok'!P$11)</f>
        <v>119.42857728</v>
      </c>
      <c r="Q168" s="282">
        <f>SUMIFS('Besi Balok'!$AA$23:$AA$7253,'Besi Balok'!$A$23:$A$7253,$A168,'Besi Balok'!$B$23:$B$7253,$B168,'Besi Balok'!$F$23:$F$7253,'REKAP Balok'!Q$11)</f>
        <v>0</v>
      </c>
      <c r="R168" s="282">
        <f>SUMIFS('Besi Balok'!$AA$23:$AA$7253,'Besi Balok'!$A$23:$A$7253,$A168,'Besi Balok'!$B$23:$B$7253,$B168,'Besi Balok'!$F$23:$F$7253,'REKAP Balok'!R$11)</f>
        <v>0</v>
      </c>
      <c r="S168" s="282">
        <f>SUMIFS('Besi Balok'!$AA$23:$AA$7253,'Besi Balok'!$A$23:$A$7253,$A168,'Besi Balok'!$B$23:$B$7253,$B168,'Besi Balok'!$F$23:$F$7253,'REKAP Balok'!S$11)</f>
        <v>0</v>
      </c>
      <c r="T168" s="283">
        <f>SUMIFS('Besi Balok'!$AA$23:$AA$7253,'Besi Balok'!$A$23:$A$7253,$A168,'Besi Balok'!$B$23:$B$7253,$B168,'Besi Balok'!$F$23:$F$7253,'REKAP Balok'!T$11)</f>
        <v>0</v>
      </c>
      <c r="U168" s="284">
        <f t="shared" si="46"/>
        <v>172.62019728000001</v>
      </c>
      <c r="V168" s="285">
        <f t="shared" si="47"/>
        <v>0.63524999999999998</v>
      </c>
      <c r="W168" s="282">
        <f t="shared" si="48"/>
        <v>6.3525</v>
      </c>
      <c r="X168" s="282"/>
      <c r="Y168" s="282"/>
      <c r="Z168" s="283"/>
      <c r="AC168" s="1784">
        <f t="shared" si="49"/>
        <v>1.8149999999999999</v>
      </c>
    </row>
    <row r="169" spans="1:29" hidden="1">
      <c r="A169" s="272" t="str">
        <f>'Data Panjang Balok'!A165</f>
        <v>Lantai 3</v>
      </c>
      <c r="B169" s="273">
        <f>'Data Panjang Balok'!B165</f>
        <v>12</v>
      </c>
      <c r="C169" s="274" t="str">
        <f>'Data Panjang Balok'!D165</f>
        <v>B25-1</v>
      </c>
      <c r="D169" s="275">
        <f>IF(C169&gt;0,VLOOKUP(C169,'Detail Balok'!$C$11:$AU$140,2,FALSE),0)</f>
        <v>200</v>
      </c>
      <c r="E169" s="276" t="s">
        <v>125</v>
      </c>
      <c r="F169" s="277">
        <f>IF(C169&gt;0,VLOOKUP(C169,'Detail Balok'!$C$11:$AU$140,3,FALSE),0)</f>
        <v>500</v>
      </c>
      <c r="G169" s="278">
        <f>'Data Panjang Balok'!I165</f>
        <v>5925</v>
      </c>
      <c r="H169" s="278">
        <f>'Data Panjang Balok'!J165</f>
        <v>150</v>
      </c>
      <c r="I169" s="279">
        <v>0</v>
      </c>
      <c r="J169" s="279">
        <f t="shared" si="45"/>
        <v>-0.5</v>
      </c>
      <c r="K169" s="280">
        <f>'Data Panjang Balok'!E165</f>
        <v>1</v>
      </c>
      <c r="L169" s="281">
        <f>SUMIFS('Besi Balok'!$AA$23:$AA$7253,'Besi Balok'!$A$23:$A$7253,$A169,'Besi Balok'!$B$23:$B$7253,$B169,'Besi Balok'!$F$23:$F$7253,'REKAP Balok'!L$11)</f>
        <v>0</v>
      </c>
      <c r="M169" s="282">
        <f>SUMIFS('Besi Balok'!$AA$23:$AA$7253,'Besi Balok'!$A$23:$A$7253,$A169,'Besi Balok'!$B$23:$B$7253,$B169,'Besi Balok'!$F$23:$F$7253,'REKAP Balok'!M$11)</f>
        <v>0</v>
      </c>
      <c r="N169" s="282">
        <f>SUMIFS('Besi Balok'!$AA$23:$AA$7253,'Besi Balok'!$A$23:$A$7253,$A169,'Besi Balok'!$B$23:$B$7253,$B169,'Besi Balok'!$F$23:$F$7253,'REKAP Balok'!N$11)</f>
        <v>35.658360000000002</v>
      </c>
      <c r="O169" s="282">
        <f>SUMIFS('Besi Balok'!$AA$23:$AA$7253,'Besi Balok'!$A$23:$A$7253,$A169,'Besi Balok'!$B$23:$B$7253,$B169,'Besi Balok'!$F$23:$F$7253,'REKAP Balok'!O$11)</f>
        <v>0</v>
      </c>
      <c r="P169" s="282">
        <f>SUMIFS('Besi Balok'!$AA$23:$AA$7253,'Besi Balok'!$A$23:$A$7253,$A169,'Besi Balok'!$B$23:$B$7253,$B169,'Besi Balok'!$F$23:$F$7253,'REKAP Balok'!P$11)</f>
        <v>79.65692928</v>
      </c>
      <c r="Q169" s="282">
        <f>SUMIFS('Besi Balok'!$AA$23:$AA$7253,'Besi Balok'!$A$23:$A$7253,$A169,'Besi Balok'!$B$23:$B$7253,$B169,'Besi Balok'!$F$23:$F$7253,'REKAP Balok'!Q$11)</f>
        <v>0</v>
      </c>
      <c r="R169" s="282">
        <f>SUMIFS('Besi Balok'!$AA$23:$AA$7253,'Besi Balok'!$A$23:$A$7253,$A169,'Besi Balok'!$B$23:$B$7253,$B169,'Besi Balok'!$F$23:$F$7253,'REKAP Balok'!R$11)</f>
        <v>0</v>
      </c>
      <c r="S169" s="282">
        <f>SUMIFS('Besi Balok'!$AA$23:$AA$7253,'Besi Balok'!$A$23:$A$7253,$A169,'Besi Balok'!$B$23:$B$7253,$B169,'Besi Balok'!$F$23:$F$7253,'REKAP Balok'!S$11)</f>
        <v>0</v>
      </c>
      <c r="T169" s="283">
        <f>SUMIFS('Besi Balok'!$AA$23:$AA$7253,'Besi Balok'!$A$23:$A$7253,$A169,'Besi Balok'!$B$23:$B$7253,$B169,'Besi Balok'!$F$23:$F$7253,'REKAP Balok'!T$11)</f>
        <v>0</v>
      </c>
      <c r="U169" s="284">
        <f t="shared" si="46"/>
        <v>115.31528928</v>
      </c>
      <c r="V169" s="285">
        <f t="shared" si="47"/>
        <v>0.41475000000000001</v>
      </c>
      <c r="W169" s="282">
        <f t="shared" si="48"/>
        <v>4.1475</v>
      </c>
      <c r="X169" s="282"/>
      <c r="Y169" s="282"/>
      <c r="Z169" s="283"/>
      <c r="AC169" s="1784">
        <f t="shared" si="49"/>
        <v>1.1850000000000001</v>
      </c>
    </row>
    <row r="170" spans="1:29" hidden="1">
      <c r="A170" s="272" t="str">
        <f>'Data Panjang Balok'!A166</f>
        <v>Lantai 3</v>
      </c>
      <c r="B170" s="273">
        <f>'Data Panjang Balok'!B166</f>
        <v>13</v>
      </c>
      <c r="C170" s="274" t="str">
        <f>'Data Panjang Balok'!D166</f>
        <v>CL24-1</v>
      </c>
      <c r="D170" s="275">
        <f>IF(C170&gt;0,VLOOKUP(C170,'Detail Balok'!$C$11:$AU$140,2,FALSE),0)</f>
        <v>200</v>
      </c>
      <c r="E170" s="276" t="s">
        <v>125</v>
      </c>
      <c r="F170" s="277">
        <f>IF(C170&gt;0,VLOOKUP(C170,'Detail Balok'!$C$11:$AU$140,3,FALSE),0)</f>
        <v>400</v>
      </c>
      <c r="G170" s="278">
        <f>'Data Panjang Balok'!I166</f>
        <v>1175</v>
      </c>
      <c r="H170" s="278">
        <f>'Data Panjang Balok'!J166</f>
        <v>150</v>
      </c>
      <c r="I170" s="279">
        <v>0</v>
      </c>
      <c r="J170" s="279">
        <f t="shared" si="45"/>
        <v>-0.4</v>
      </c>
      <c r="K170" s="280">
        <f>'Data Panjang Balok'!E166</f>
        <v>1</v>
      </c>
      <c r="L170" s="281">
        <f>SUMIFS('Besi Balok'!$AA$23:$AA$7253,'Besi Balok'!$A$23:$A$7253,$A170,'Besi Balok'!$B$23:$B$7253,$B170,'Besi Balok'!$F$23:$F$7253,'REKAP Balok'!L$11)</f>
        <v>0</v>
      </c>
      <c r="M170" s="282">
        <f>SUMIFS('Besi Balok'!$AA$23:$AA$7253,'Besi Balok'!$A$23:$A$7253,$A170,'Besi Balok'!$B$23:$B$7253,$B170,'Besi Balok'!$F$23:$F$7253,'REKAP Balok'!M$11)</f>
        <v>0</v>
      </c>
      <c r="N170" s="282">
        <f>SUMIFS('Besi Balok'!$AA$23:$AA$7253,'Besi Balok'!$A$23:$A$7253,$A170,'Besi Balok'!$B$23:$B$7253,$B170,'Besi Balok'!$F$23:$F$7253,'REKAP Balok'!N$11)</f>
        <v>8.2549350000000015</v>
      </c>
      <c r="O170" s="282">
        <f>SUMIFS('Besi Balok'!$AA$23:$AA$7253,'Besi Balok'!$A$23:$A$7253,$A170,'Besi Balok'!$B$23:$B$7253,$B170,'Besi Balok'!$F$23:$F$7253,'REKAP Balok'!O$11)</f>
        <v>0</v>
      </c>
      <c r="P170" s="282">
        <f>SUMIFS('Besi Balok'!$AA$23:$AA$7253,'Besi Balok'!$A$23:$A$7253,$A170,'Besi Balok'!$B$23:$B$7253,$B170,'Besi Balok'!$F$23:$F$7253,'REKAP Balok'!P$11)</f>
        <v>14.762856960000001</v>
      </c>
      <c r="Q170" s="282">
        <f>SUMIFS('Besi Balok'!$AA$23:$AA$7253,'Besi Balok'!$A$23:$A$7253,$A170,'Besi Balok'!$B$23:$B$7253,$B170,'Besi Balok'!$F$23:$F$7253,'REKAP Balok'!Q$11)</f>
        <v>0</v>
      </c>
      <c r="R170" s="282">
        <f>SUMIFS('Besi Balok'!$AA$23:$AA$7253,'Besi Balok'!$A$23:$A$7253,$A170,'Besi Balok'!$B$23:$B$7253,$B170,'Besi Balok'!$F$23:$F$7253,'REKAP Balok'!R$11)</f>
        <v>0</v>
      </c>
      <c r="S170" s="282">
        <f>SUMIFS('Besi Balok'!$AA$23:$AA$7253,'Besi Balok'!$A$23:$A$7253,$A170,'Besi Balok'!$B$23:$B$7253,$B170,'Besi Balok'!$F$23:$F$7253,'REKAP Balok'!S$11)</f>
        <v>0</v>
      </c>
      <c r="T170" s="283">
        <f>SUMIFS('Besi Balok'!$AA$23:$AA$7253,'Besi Balok'!$A$23:$A$7253,$A170,'Besi Balok'!$B$23:$B$7253,$B170,'Besi Balok'!$F$23:$F$7253,'REKAP Balok'!T$11)</f>
        <v>0</v>
      </c>
      <c r="U170" s="284">
        <f t="shared" si="46"/>
        <v>23.017791960000004</v>
      </c>
      <c r="V170" s="285">
        <f t="shared" si="47"/>
        <v>5.8749999999999997E-2</v>
      </c>
      <c r="W170" s="282">
        <f t="shared" si="48"/>
        <v>0.58750000000000002</v>
      </c>
      <c r="X170" s="282"/>
      <c r="Y170" s="282"/>
      <c r="Z170" s="283"/>
      <c r="AC170" s="1784">
        <f t="shared" si="49"/>
        <v>0.188</v>
      </c>
    </row>
    <row r="171" spans="1:29" hidden="1">
      <c r="A171" s="272" t="str">
        <f>'Data Panjang Balok'!A167</f>
        <v>Lantai 3</v>
      </c>
      <c r="B171" s="273">
        <f>'Data Panjang Balok'!B167</f>
        <v>14</v>
      </c>
      <c r="C171" s="274" t="str">
        <f>'Data Panjang Balok'!D167</f>
        <v>B26-1</v>
      </c>
      <c r="D171" s="275">
        <f>IF(C171&gt;0,VLOOKUP(C171,'Detail Balok'!$C$11:$AU$140,2,FALSE),0)</f>
        <v>200</v>
      </c>
      <c r="E171" s="276" t="s">
        <v>125</v>
      </c>
      <c r="F171" s="277">
        <f>IF(C171&gt;0,VLOOKUP(C171,'Detail Balok'!$C$11:$AU$140,3,FALSE),0)</f>
        <v>600</v>
      </c>
      <c r="G171" s="278">
        <f>'Data Panjang Balok'!I167</f>
        <v>9175</v>
      </c>
      <c r="H171" s="278">
        <f>'Data Panjang Balok'!J167</f>
        <v>150</v>
      </c>
      <c r="I171" s="279">
        <v>0</v>
      </c>
      <c r="J171" s="279">
        <f t="shared" si="45"/>
        <v>-0.6</v>
      </c>
      <c r="K171" s="280">
        <f>'Data Panjang Balok'!E167</f>
        <v>1</v>
      </c>
      <c r="L171" s="281">
        <f>SUMIFS('Besi Balok'!$AA$23:$AA$7253,'Besi Balok'!$A$23:$A$7253,$A171,'Besi Balok'!$B$23:$B$7253,$B171,'Besi Balok'!$F$23:$F$7253,'REKAP Balok'!L$11)</f>
        <v>0</v>
      </c>
      <c r="M171" s="282">
        <f>SUMIFS('Besi Balok'!$AA$23:$AA$7253,'Besi Balok'!$A$23:$A$7253,$A171,'Besi Balok'!$B$23:$B$7253,$B171,'Besi Balok'!$F$23:$F$7253,'REKAP Balok'!M$11)</f>
        <v>0</v>
      </c>
      <c r="N171" s="282">
        <f>SUMIFS('Besi Balok'!$AA$23:$AA$7253,'Besi Balok'!$A$23:$A$7253,$A171,'Besi Balok'!$B$23:$B$7253,$B171,'Besi Balok'!$F$23:$F$7253,'REKAP Balok'!N$11)</f>
        <v>81.2547</v>
      </c>
      <c r="O171" s="282">
        <f>SUMIFS('Besi Balok'!$AA$23:$AA$7253,'Besi Balok'!$A$23:$A$7253,$A171,'Besi Balok'!$B$23:$B$7253,$B171,'Besi Balok'!$F$23:$F$7253,'REKAP Balok'!O$11)</f>
        <v>0</v>
      </c>
      <c r="P171" s="282">
        <f>SUMIFS('Besi Balok'!$AA$23:$AA$7253,'Besi Balok'!$A$23:$A$7253,$A171,'Besi Balok'!$B$23:$B$7253,$B171,'Besi Balok'!$F$23:$F$7253,'REKAP Balok'!P$11)</f>
        <v>109.25839872000002</v>
      </c>
      <c r="Q171" s="282">
        <f>SUMIFS('Besi Balok'!$AA$23:$AA$7253,'Besi Balok'!$A$23:$A$7253,$A171,'Besi Balok'!$B$23:$B$7253,$B171,'Besi Balok'!$F$23:$F$7253,'REKAP Balok'!Q$11)</f>
        <v>0</v>
      </c>
      <c r="R171" s="282">
        <f>SUMIFS('Besi Balok'!$AA$23:$AA$7253,'Besi Balok'!$A$23:$A$7253,$A171,'Besi Balok'!$B$23:$B$7253,$B171,'Besi Balok'!$F$23:$F$7253,'REKAP Balok'!R$11)</f>
        <v>0</v>
      </c>
      <c r="S171" s="282">
        <f>SUMIFS('Besi Balok'!$AA$23:$AA$7253,'Besi Balok'!$A$23:$A$7253,$A171,'Besi Balok'!$B$23:$B$7253,$B171,'Besi Balok'!$F$23:$F$7253,'REKAP Balok'!S$11)</f>
        <v>0</v>
      </c>
      <c r="T171" s="283">
        <f>SUMIFS('Besi Balok'!$AA$23:$AA$7253,'Besi Balok'!$A$23:$A$7253,$A171,'Besi Balok'!$B$23:$B$7253,$B171,'Besi Balok'!$F$23:$F$7253,'REKAP Balok'!T$11)</f>
        <v>0</v>
      </c>
      <c r="U171" s="284">
        <f t="shared" si="46"/>
        <v>190.51309872000002</v>
      </c>
      <c r="V171" s="285">
        <f t="shared" si="47"/>
        <v>0.82574999999999998</v>
      </c>
      <c r="W171" s="282">
        <f t="shared" si="48"/>
        <v>8.2575000000000003</v>
      </c>
      <c r="X171" s="282"/>
      <c r="Y171" s="282"/>
      <c r="Z171" s="283"/>
      <c r="AC171" s="1784">
        <f t="shared" si="49"/>
        <v>2.202</v>
      </c>
    </row>
    <row r="172" spans="1:29" hidden="1">
      <c r="A172" s="272" t="str">
        <f>'Data Panjang Balok'!A168</f>
        <v>Lantai 3</v>
      </c>
      <c r="B172" s="273">
        <f>'Data Panjang Balok'!B168</f>
        <v>15</v>
      </c>
      <c r="C172" s="274" t="str">
        <f>'Data Panjang Balok'!D168</f>
        <v>B26-1</v>
      </c>
      <c r="D172" s="275">
        <f>IF(C172&gt;0,VLOOKUP(C172,'Detail Balok'!$C$11:$AU$140,2,FALSE),0)</f>
        <v>200</v>
      </c>
      <c r="E172" s="276" t="s">
        <v>125</v>
      </c>
      <c r="F172" s="277">
        <f>IF(C172&gt;0,VLOOKUP(C172,'Detail Balok'!$C$11:$AU$140,3,FALSE),0)</f>
        <v>600</v>
      </c>
      <c r="G172" s="278">
        <f>'Data Panjang Balok'!I168</f>
        <v>5825</v>
      </c>
      <c r="H172" s="278">
        <f>'Data Panjang Balok'!J168</f>
        <v>150</v>
      </c>
      <c r="I172" s="279">
        <v>0</v>
      </c>
      <c r="J172" s="279">
        <f t="shared" si="45"/>
        <v>-0.6</v>
      </c>
      <c r="K172" s="280">
        <f>'Data Panjang Balok'!E168</f>
        <v>1</v>
      </c>
      <c r="L172" s="281">
        <f>SUMIFS('Besi Balok'!$AA$23:$AA$7253,'Besi Balok'!$A$23:$A$7253,$A172,'Besi Balok'!$B$23:$B$7253,$B172,'Besi Balok'!$F$23:$F$7253,'REKAP Balok'!L$11)</f>
        <v>0</v>
      </c>
      <c r="M172" s="282">
        <f>SUMIFS('Besi Balok'!$AA$23:$AA$7253,'Besi Balok'!$A$23:$A$7253,$A172,'Besi Balok'!$B$23:$B$7253,$B172,'Besi Balok'!$F$23:$F$7253,'REKAP Balok'!M$11)</f>
        <v>0</v>
      </c>
      <c r="N172" s="282">
        <f>SUMIFS('Besi Balok'!$AA$23:$AA$7253,'Besi Balok'!$A$23:$A$7253,$A172,'Besi Balok'!$B$23:$B$7253,$B172,'Besi Balok'!$F$23:$F$7253,'REKAP Balok'!N$11)</f>
        <v>52.439490000000006</v>
      </c>
      <c r="O172" s="282">
        <f>SUMIFS('Besi Balok'!$AA$23:$AA$7253,'Besi Balok'!$A$23:$A$7253,$A172,'Besi Balok'!$B$23:$B$7253,$B172,'Besi Balok'!$F$23:$F$7253,'REKAP Balok'!O$11)</f>
        <v>0</v>
      </c>
      <c r="P172" s="282">
        <f>SUMIFS('Besi Balok'!$AA$23:$AA$7253,'Besi Balok'!$A$23:$A$7253,$A172,'Besi Balok'!$B$23:$B$7253,$B172,'Besi Balok'!$F$23:$F$7253,'REKAP Balok'!P$11)</f>
        <v>71.191249920000018</v>
      </c>
      <c r="Q172" s="282">
        <f>SUMIFS('Besi Balok'!$AA$23:$AA$7253,'Besi Balok'!$A$23:$A$7253,$A172,'Besi Balok'!$B$23:$B$7253,$B172,'Besi Balok'!$F$23:$F$7253,'REKAP Balok'!Q$11)</f>
        <v>0</v>
      </c>
      <c r="R172" s="282">
        <f>SUMIFS('Besi Balok'!$AA$23:$AA$7253,'Besi Balok'!$A$23:$A$7253,$A172,'Besi Balok'!$B$23:$B$7253,$B172,'Besi Balok'!$F$23:$F$7253,'REKAP Balok'!R$11)</f>
        <v>0</v>
      </c>
      <c r="S172" s="282">
        <f>SUMIFS('Besi Balok'!$AA$23:$AA$7253,'Besi Balok'!$A$23:$A$7253,$A172,'Besi Balok'!$B$23:$B$7253,$B172,'Besi Balok'!$F$23:$F$7253,'REKAP Balok'!S$11)</f>
        <v>0</v>
      </c>
      <c r="T172" s="283">
        <f>SUMIFS('Besi Balok'!$AA$23:$AA$7253,'Besi Balok'!$A$23:$A$7253,$A172,'Besi Balok'!$B$23:$B$7253,$B172,'Besi Balok'!$F$23:$F$7253,'REKAP Balok'!T$11)</f>
        <v>0</v>
      </c>
      <c r="U172" s="284">
        <f t="shared" si="46"/>
        <v>123.63073992000002</v>
      </c>
      <c r="V172" s="285">
        <f t="shared" si="47"/>
        <v>0.52424999999999999</v>
      </c>
      <c r="W172" s="282">
        <f t="shared" si="48"/>
        <v>5.2424999999999997</v>
      </c>
      <c r="X172" s="282"/>
      <c r="Y172" s="282"/>
      <c r="Z172" s="283"/>
      <c r="AC172" s="1784">
        <f t="shared" si="49"/>
        <v>1.3979999999999999</v>
      </c>
    </row>
    <row r="173" spans="1:29" hidden="1">
      <c r="A173" s="272" t="str">
        <f>'Data Panjang Balok'!A169</f>
        <v>Lantai 3</v>
      </c>
      <c r="B173" s="273">
        <f>'Data Panjang Balok'!B169</f>
        <v>16</v>
      </c>
      <c r="C173" s="274" t="str">
        <f>'Data Panjang Balok'!D169</f>
        <v>CL24-1</v>
      </c>
      <c r="D173" s="275">
        <f>IF(C173&gt;0,VLOOKUP(C173,'Detail Balok'!$C$11:$AU$140,2,FALSE),0)</f>
        <v>200</v>
      </c>
      <c r="E173" s="276" t="s">
        <v>125</v>
      </c>
      <c r="F173" s="277">
        <f>IF(C173&gt;0,VLOOKUP(C173,'Detail Balok'!$C$11:$AU$140,3,FALSE),0)</f>
        <v>400</v>
      </c>
      <c r="G173" s="278">
        <f>'Data Panjang Balok'!I169</f>
        <v>1075</v>
      </c>
      <c r="H173" s="278">
        <f>'Data Panjang Balok'!J169</f>
        <v>150</v>
      </c>
      <c r="I173" s="279">
        <v>0</v>
      </c>
      <c r="J173" s="279">
        <f t="shared" si="45"/>
        <v>-0.4</v>
      </c>
      <c r="K173" s="280">
        <f>'Data Panjang Balok'!E169</f>
        <v>1</v>
      </c>
      <c r="L173" s="281">
        <f>SUMIFS('Besi Balok'!$AA$23:$AA$7253,'Besi Balok'!$A$23:$A$7253,$A173,'Besi Balok'!$B$23:$B$7253,$B173,'Besi Balok'!$F$23:$F$7253,'REKAP Balok'!L$11)</f>
        <v>0</v>
      </c>
      <c r="M173" s="282">
        <f>SUMIFS('Besi Balok'!$AA$23:$AA$7253,'Besi Balok'!$A$23:$A$7253,$A173,'Besi Balok'!$B$23:$B$7253,$B173,'Besi Balok'!$F$23:$F$7253,'REKAP Balok'!M$11)</f>
        <v>0</v>
      </c>
      <c r="N173" s="282">
        <f>SUMIFS('Besi Balok'!$AA$23:$AA$7253,'Besi Balok'!$A$23:$A$7253,$A173,'Besi Balok'!$B$23:$B$7253,$B173,'Besi Balok'!$F$23:$F$7253,'REKAP Balok'!N$11)</f>
        <v>7.6199400000000015</v>
      </c>
      <c r="O173" s="282">
        <f>SUMIFS('Besi Balok'!$AA$23:$AA$7253,'Besi Balok'!$A$23:$A$7253,$A173,'Besi Balok'!$B$23:$B$7253,$B173,'Besi Balok'!$F$23:$F$7253,'REKAP Balok'!O$11)</f>
        <v>0</v>
      </c>
      <c r="P173" s="282">
        <f>SUMIFS('Besi Balok'!$AA$23:$AA$7253,'Besi Balok'!$A$23:$A$7253,$A173,'Besi Balok'!$B$23:$B$7253,$B173,'Besi Balok'!$F$23:$F$7253,'REKAP Balok'!P$11)</f>
        <v>13.81591296</v>
      </c>
      <c r="Q173" s="282">
        <f>SUMIFS('Besi Balok'!$AA$23:$AA$7253,'Besi Balok'!$A$23:$A$7253,$A173,'Besi Balok'!$B$23:$B$7253,$B173,'Besi Balok'!$F$23:$F$7253,'REKAP Balok'!Q$11)</f>
        <v>0</v>
      </c>
      <c r="R173" s="282">
        <f>SUMIFS('Besi Balok'!$AA$23:$AA$7253,'Besi Balok'!$A$23:$A$7253,$A173,'Besi Balok'!$B$23:$B$7253,$B173,'Besi Balok'!$F$23:$F$7253,'REKAP Balok'!R$11)</f>
        <v>0</v>
      </c>
      <c r="S173" s="282">
        <f>SUMIFS('Besi Balok'!$AA$23:$AA$7253,'Besi Balok'!$A$23:$A$7253,$A173,'Besi Balok'!$B$23:$B$7253,$B173,'Besi Balok'!$F$23:$F$7253,'REKAP Balok'!S$11)</f>
        <v>0</v>
      </c>
      <c r="T173" s="283">
        <f>SUMIFS('Besi Balok'!$AA$23:$AA$7253,'Besi Balok'!$A$23:$A$7253,$A173,'Besi Balok'!$B$23:$B$7253,$B173,'Besi Balok'!$F$23:$F$7253,'REKAP Balok'!T$11)</f>
        <v>0</v>
      </c>
      <c r="U173" s="284">
        <f t="shared" si="46"/>
        <v>21.435852960000002</v>
      </c>
      <c r="V173" s="285">
        <f t="shared" si="47"/>
        <v>5.3749999999999999E-2</v>
      </c>
      <c r="W173" s="282">
        <f t="shared" si="48"/>
        <v>0.53749999999999998</v>
      </c>
      <c r="X173" s="282"/>
      <c r="Y173" s="282"/>
      <c r="Z173" s="283"/>
      <c r="AC173" s="1784">
        <f t="shared" si="49"/>
        <v>0.17199999999999999</v>
      </c>
    </row>
    <row r="174" spans="1:29" hidden="1">
      <c r="A174" s="272" t="str">
        <f>'Data Panjang Balok'!A170</f>
        <v>Lantai 3</v>
      </c>
      <c r="B174" s="273">
        <f>'Data Panjang Balok'!B170</f>
        <v>17</v>
      </c>
      <c r="C174" s="274" t="str">
        <f>'Data Panjang Balok'!D170</f>
        <v>B25-1</v>
      </c>
      <c r="D174" s="275">
        <f>IF(C174&gt;0,VLOOKUP(C174,'Detail Balok'!$C$11:$AU$140,2,FALSE),0)</f>
        <v>200</v>
      </c>
      <c r="E174" s="276" t="s">
        <v>125</v>
      </c>
      <c r="F174" s="277">
        <f>IF(C174&gt;0,VLOOKUP(C174,'Detail Balok'!$C$11:$AU$140,3,FALSE),0)</f>
        <v>500</v>
      </c>
      <c r="G174" s="278">
        <f>'Data Panjang Balok'!I170</f>
        <v>9075</v>
      </c>
      <c r="H174" s="278">
        <f>'Data Panjang Balok'!J170</f>
        <v>150</v>
      </c>
      <c r="I174" s="279">
        <v>0</v>
      </c>
      <c r="J174" s="279">
        <f t="shared" si="45"/>
        <v>-0.5</v>
      </c>
      <c r="K174" s="280">
        <f>'Data Panjang Balok'!E170</f>
        <v>1</v>
      </c>
      <c r="L174" s="281">
        <f>SUMIFS('Besi Balok'!$AA$23:$AA$7253,'Besi Balok'!$A$23:$A$7253,$A174,'Besi Balok'!$B$23:$B$7253,$B174,'Besi Balok'!$F$23:$F$7253,'REKAP Balok'!L$11)</f>
        <v>0</v>
      </c>
      <c r="M174" s="282">
        <f>SUMIFS('Besi Balok'!$AA$23:$AA$7253,'Besi Balok'!$A$23:$A$7253,$A174,'Besi Balok'!$B$23:$B$7253,$B174,'Besi Balok'!$F$23:$F$7253,'REKAP Balok'!M$11)</f>
        <v>0</v>
      </c>
      <c r="N174" s="282">
        <f>SUMIFS('Besi Balok'!$AA$23:$AA$7253,'Besi Balok'!$A$23:$A$7253,$A174,'Besi Balok'!$B$23:$B$7253,$B174,'Besi Balok'!$F$23:$F$7253,'REKAP Balok'!N$11)</f>
        <v>53.191620000000007</v>
      </c>
      <c r="O174" s="282">
        <f>SUMIFS('Besi Balok'!$AA$23:$AA$7253,'Besi Balok'!$A$23:$A$7253,$A174,'Besi Balok'!$B$23:$B$7253,$B174,'Besi Balok'!$F$23:$F$7253,'REKAP Balok'!O$11)</f>
        <v>0</v>
      </c>
      <c r="P174" s="282">
        <f>SUMIFS('Besi Balok'!$AA$23:$AA$7253,'Besi Balok'!$A$23:$A$7253,$A174,'Besi Balok'!$B$23:$B$7253,$B174,'Besi Balok'!$F$23:$F$7253,'REKAP Balok'!P$11)</f>
        <v>119.42857728</v>
      </c>
      <c r="Q174" s="282">
        <f>SUMIFS('Besi Balok'!$AA$23:$AA$7253,'Besi Balok'!$A$23:$A$7253,$A174,'Besi Balok'!$B$23:$B$7253,$B174,'Besi Balok'!$F$23:$F$7253,'REKAP Balok'!Q$11)</f>
        <v>0</v>
      </c>
      <c r="R174" s="282">
        <f>SUMIFS('Besi Balok'!$AA$23:$AA$7253,'Besi Balok'!$A$23:$A$7253,$A174,'Besi Balok'!$B$23:$B$7253,$B174,'Besi Balok'!$F$23:$F$7253,'REKAP Balok'!R$11)</f>
        <v>0</v>
      </c>
      <c r="S174" s="282">
        <f>SUMIFS('Besi Balok'!$AA$23:$AA$7253,'Besi Balok'!$A$23:$A$7253,$A174,'Besi Balok'!$B$23:$B$7253,$B174,'Besi Balok'!$F$23:$F$7253,'REKAP Balok'!S$11)</f>
        <v>0</v>
      </c>
      <c r="T174" s="283">
        <f>SUMIFS('Besi Balok'!$AA$23:$AA$7253,'Besi Balok'!$A$23:$A$7253,$A174,'Besi Balok'!$B$23:$B$7253,$B174,'Besi Balok'!$F$23:$F$7253,'REKAP Balok'!T$11)</f>
        <v>0</v>
      </c>
      <c r="U174" s="284">
        <f t="shared" si="46"/>
        <v>172.62019728000001</v>
      </c>
      <c r="V174" s="285">
        <f t="shared" si="47"/>
        <v>0.63524999999999998</v>
      </c>
      <c r="W174" s="282">
        <f t="shared" si="48"/>
        <v>6.3525</v>
      </c>
      <c r="X174" s="282"/>
      <c r="Y174" s="282"/>
      <c r="Z174" s="283"/>
      <c r="AC174" s="1784">
        <f t="shared" si="49"/>
        <v>1.8149999999999999</v>
      </c>
    </row>
    <row r="175" spans="1:29" hidden="1">
      <c r="A175" s="272" t="str">
        <f>'Data Panjang Balok'!A171</f>
        <v>Lantai 3</v>
      </c>
      <c r="B175" s="273">
        <f>'Data Panjang Balok'!B171</f>
        <v>18</v>
      </c>
      <c r="C175" s="274" t="str">
        <f>'Data Panjang Balok'!D171</f>
        <v>B26-1</v>
      </c>
      <c r="D175" s="275">
        <f>IF(C175&gt;0,VLOOKUP(C175,'Detail Balok'!$C$11:$AU$140,2,FALSE),0)</f>
        <v>200</v>
      </c>
      <c r="E175" s="276" t="s">
        <v>125</v>
      </c>
      <c r="F175" s="277">
        <f>IF(C175&gt;0,VLOOKUP(C175,'Detail Balok'!$C$11:$AU$140,3,FALSE),0)</f>
        <v>600</v>
      </c>
      <c r="G175" s="278">
        <f>'Data Panjang Balok'!I171</f>
        <v>5925</v>
      </c>
      <c r="H175" s="278">
        <f>'Data Panjang Balok'!J171</f>
        <v>150</v>
      </c>
      <c r="I175" s="279">
        <v>0</v>
      </c>
      <c r="J175" s="279">
        <f t="shared" si="45"/>
        <v>-0.6</v>
      </c>
      <c r="K175" s="280">
        <f>'Data Panjang Balok'!E171</f>
        <v>1</v>
      </c>
      <c r="L175" s="281">
        <f>SUMIFS('Besi Balok'!$AA$23:$AA$7253,'Besi Balok'!$A$23:$A$7253,$A175,'Besi Balok'!$B$23:$B$7253,$B175,'Besi Balok'!$F$23:$F$7253,'REKAP Balok'!L$11)</f>
        <v>0</v>
      </c>
      <c r="M175" s="282">
        <f>SUMIFS('Besi Balok'!$AA$23:$AA$7253,'Besi Balok'!$A$23:$A$7253,$A175,'Besi Balok'!$B$23:$B$7253,$B175,'Besi Balok'!$F$23:$F$7253,'REKAP Balok'!M$11)</f>
        <v>0</v>
      </c>
      <c r="N175" s="282">
        <f>SUMIFS('Besi Balok'!$AA$23:$AA$7253,'Besi Balok'!$A$23:$A$7253,$A175,'Besi Balok'!$B$23:$B$7253,$B175,'Besi Balok'!$F$23:$F$7253,'REKAP Balok'!N$11)</f>
        <v>53.444384999999997</v>
      </c>
      <c r="O175" s="282">
        <f>SUMIFS('Besi Balok'!$AA$23:$AA$7253,'Besi Balok'!$A$23:$A$7253,$A175,'Besi Balok'!$B$23:$B$7253,$B175,'Besi Balok'!$F$23:$F$7253,'REKAP Balok'!O$11)</f>
        <v>0</v>
      </c>
      <c r="P175" s="282">
        <f>SUMIFS('Besi Balok'!$AA$23:$AA$7253,'Besi Balok'!$A$23:$A$7253,$A175,'Besi Balok'!$B$23:$B$7253,$B175,'Besi Balok'!$F$23:$F$7253,'REKAP Balok'!P$11)</f>
        <v>72.327582720000009</v>
      </c>
      <c r="Q175" s="282">
        <f>SUMIFS('Besi Balok'!$AA$23:$AA$7253,'Besi Balok'!$A$23:$A$7253,$A175,'Besi Balok'!$B$23:$B$7253,$B175,'Besi Balok'!$F$23:$F$7253,'REKAP Balok'!Q$11)</f>
        <v>0</v>
      </c>
      <c r="R175" s="282">
        <f>SUMIFS('Besi Balok'!$AA$23:$AA$7253,'Besi Balok'!$A$23:$A$7253,$A175,'Besi Balok'!$B$23:$B$7253,$B175,'Besi Balok'!$F$23:$F$7253,'REKAP Balok'!R$11)</f>
        <v>0</v>
      </c>
      <c r="S175" s="282">
        <f>SUMIFS('Besi Balok'!$AA$23:$AA$7253,'Besi Balok'!$A$23:$A$7253,$A175,'Besi Balok'!$B$23:$B$7253,$B175,'Besi Balok'!$F$23:$F$7253,'REKAP Balok'!S$11)</f>
        <v>0</v>
      </c>
      <c r="T175" s="283">
        <f>SUMIFS('Besi Balok'!$AA$23:$AA$7253,'Besi Balok'!$A$23:$A$7253,$A175,'Besi Balok'!$B$23:$B$7253,$B175,'Besi Balok'!$F$23:$F$7253,'REKAP Balok'!T$11)</f>
        <v>0</v>
      </c>
      <c r="U175" s="284">
        <f t="shared" si="46"/>
        <v>125.77196772000001</v>
      </c>
      <c r="V175" s="285">
        <f t="shared" si="47"/>
        <v>0.53325</v>
      </c>
      <c r="W175" s="282">
        <f t="shared" si="48"/>
        <v>5.3324999999999996</v>
      </c>
      <c r="X175" s="282"/>
      <c r="Y175" s="282"/>
      <c r="Z175" s="283"/>
      <c r="AC175" s="1784">
        <f t="shared" si="49"/>
        <v>1.4219999999999999</v>
      </c>
    </row>
    <row r="176" spans="1:29" hidden="1">
      <c r="A176" s="272" t="str">
        <f>'Data Panjang Balok'!A172</f>
        <v>Lantai 3</v>
      </c>
      <c r="B176" s="273">
        <f>'Data Panjang Balok'!B172</f>
        <v>19</v>
      </c>
      <c r="C176" s="274" t="str">
        <f>'Data Panjang Balok'!D172</f>
        <v>CL24-1</v>
      </c>
      <c r="D176" s="275">
        <f>IF(C176&gt;0,VLOOKUP(C176,'Detail Balok'!$C$11:$AU$140,2,FALSE),0)</f>
        <v>200</v>
      </c>
      <c r="E176" s="276" t="s">
        <v>125</v>
      </c>
      <c r="F176" s="277">
        <f>IF(C176&gt;0,VLOOKUP(C176,'Detail Balok'!$C$11:$AU$140,3,FALSE),0)</f>
        <v>400</v>
      </c>
      <c r="G176" s="278">
        <f>'Data Panjang Balok'!I172</f>
        <v>1075</v>
      </c>
      <c r="H176" s="278">
        <f>'Data Panjang Balok'!J172</f>
        <v>150</v>
      </c>
      <c r="I176" s="279">
        <v>0</v>
      </c>
      <c r="J176" s="279">
        <f t="shared" si="45"/>
        <v>-0.4</v>
      </c>
      <c r="K176" s="280">
        <f>'Data Panjang Balok'!E172</f>
        <v>1</v>
      </c>
      <c r="L176" s="281">
        <f>SUMIFS('Besi Balok'!$AA$23:$AA$7253,'Besi Balok'!$A$23:$A$7253,$A176,'Besi Balok'!$B$23:$B$7253,$B176,'Besi Balok'!$F$23:$F$7253,'REKAP Balok'!L$11)</f>
        <v>0</v>
      </c>
      <c r="M176" s="282">
        <f>SUMIFS('Besi Balok'!$AA$23:$AA$7253,'Besi Balok'!$A$23:$A$7253,$A176,'Besi Balok'!$B$23:$B$7253,$B176,'Besi Balok'!$F$23:$F$7253,'REKAP Balok'!M$11)</f>
        <v>0</v>
      </c>
      <c r="N176" s="282">
        <f>SUMIFS('Besi Balok'!$AA$23:$AA$7253,'Besi Balok'!$A$23:$A$7253,$A176,'Besi Balok'!$B$23:$B$7253,$B176,'Besi Balok'!$F$23:$F$7253,'REKAP Balok'!N$11)</f>
        <v>7.6199400000000015</v>
      </c>
      <c r="O176" s="282">
        <f>SUMIFS('Besi Balok'!$AA$23:$AA$7253,'Besi Balok'!$A$23:$A$7253,$A176,'Besi Balok'!$B$23:$B$7253,$B176,'Besi Balok'!$F$23:$F$7253,'REKAP Balok'!O$11)</f>
        <v>0</v>
      </c>
      <c r="P176" s="282">
        <f>SUMIFS('Besi Balok'!$AA$23:$AA$7253,'Besi Balok'!$A$23:$A$7253,$A176,'Besi Balok'!$B$23:$B$7253,$B176,'Besi Balok'!$F$23:$F$7253,'REKAP Balok'!P$11)</f>
        <v>13.81591296</v>
      </c>
      <c r="Q176" s="282">
        <f>SUMIFS('Besi Balok'!$AA$23:$AA$7253,'Besi Balok'!$A$23:$A$7253,$A176,'Besi Balok'!$B$23:$B$7253,$B176,'Besi Balok'!$F$23:$F$7253,'REKAP Balok'!Q$11)</f>
        <v>0</v>
      </c>
      <c r="R176" s="282">
        <f>SUMIFS('Besi Balok'!$AA$23:$AA$7253,'Besi Balok'!$A$23:$A$7253,$A176,'Besi Balok'!$B$23:$B$7253,$B176,'Besi Balok'!$F$23:$F$7253,'REKAP Balok'!R$11)</f>
        <v>0</v>
      </c>
      <c r="S176" s="282">
        <f>SUMIFS('Besi Balok'!$AA$23:$AA$7253,'Besi Balok'!$A$23:$A$7253,$A176,'Besi Balok'!$B$23:$B$7253,$B176,'Besi Balok'!$F$23:$F$7253,'REKAP Balok'!S$11)</f>
        <v>0</v>
      </c>
      <c r="T176" s="283">
        <f>SUMIFS('Besi Balok'!$AA$23:$AA$7253,'Besi Balok'!$A$23:$A$7253,$A176,'Besi Balok'!$B$23:$B$7253,$B176,'Besi Balok'!$F$23:$F$7253,'REKAP Balok'!T$11)</f>
        <v>0</v>
      </c>
      <c r="U176" s="284">
        <f t="shared" si="46"/>
        <v>21.435852960000002</v>
      </c>
      <c r="V176" s="285">
        <f t="shared" si="47"/>
        <v>5.3749999999999999E-2</v>
      </c>
      <c r="W176" s="282">
        <f t="shared" si="48"/>
        <v>0.53749999999999998</v>
      </c>
      <c r="X176" s="282"/>
      <c r="Y176" s="282"/>
      <c r="Z176" s="283"/>
      <c r="AC176" s="1784">
        <f t="shared" si="49"/>
        <v>0.17199999999999999</v>
      </c>
    </row>
    <row r="177" spans="1:29" hidden="1">
      <c r="A177" s="272" t="str">
        <f>'Data Panjang Balok'!A173</f>
        <v>Lantai 3</v>
      </c>
      <c r="B177" s="273">
        <f>'Data Panjang Balok'!B173</f>
        <v>20</v>
      </c>
      <c r="C177" s="274" t="str">
        <f>'Data Panjang Balok'!D173</f>
        <v>B24-1</v>
      </c>
      <c r="D177" s="275">
        <f>IF(C177&gt;0,VLOOKUP(C177,'Detail Balok'!$C$11:$AU$140,2,FALSE),0)</f>
        <v>200</v>
      </c>
      <c r="E177" s="276" t="s">
        <v>125</v>
      </c>
      <c r="F177" s="277">
        <f>IF(C177&gt;0,VLOOKUP(C177,'Detail Balok'!$C$11:$AU$140,3,FALSE),0)</f>
        <v>400</v>
      </c>
      <c r="G177" s="278">
        <f>'Data Panjang Balok'!I173</f>
        <v>4075</v>
      </c>
      <c r="H177" s="278">
        <f>'Data Panjang Balok'!J173</f>
        <v>150</v>
      </c>
      <c r="I177" s="279">
        <v>0</v>
      </c>
      <c r="J177" s="279">
        <f t="shared" si="45"/>
        <v>-0.4</v>
      </c>
      <c r="K177" s="280">
        <f>'Data Panjang Balok'!E173</f>
        <v>1</v>
      </c>
      <c r="L177" s="281">
        <f>SUMIFS('Besi Balok'!$AA$23:$AA$7253,'Besi Balok'!$A$23:$A$7253,$A177,'Besi Balok'!$B$23:$B$7253,$B177,'Besi Balok'!$F$23:$F$7253,'REKAP Balok'!L$11)</f>
        <v>0</v>
      </c>
      <c r="M177" s="282">
        <f>SUMIFS('Besi Balok'!$AA$23:$AA$7253,'Besi Balok'!$A$23:$A$7253,$A177,'Besi Balok'!$B$23:$B$7253,$B177,'Besi Balok'!$F$23:$F$7253,'REKAP Balok'!M$11)</f>
        <v>0</v>
      </c>
      <c r="N177" s="282">
        <f>SUMIFS('Besi Balok'!$AA$23:$AA$7253,'Besi Balok'!$A$23:$A$7253,$A177,'Besi Balok'!$B$23:$B$7253,$B177,'Besi Balok'!$F$23:$F$7253,'REKAP Balok'!N$11)</f>
        <v>20.319840000000003</v>
      </c>
      <c r="O177" s="282">
        <f>SUMIFS('Besi Balok'!$AA$23:$AA$7253,'Besi Balok'!$A$23:$A$7253,$A177,'Besi Balok'!$B$23:$B$7253,$B177,'Besi Balok'!$F$23:$F$7253,'REKAP Balok'!O$11)</f>
        <v>27.42449697</v>
      </c>
      <c r="P177" s="282">
        <f>SUMIFS('Besi Balok'!$AA$23:$AA$7253,'Besi Balok'!$A$23:$A$7253,$A177,'Besi Balok'!$B$23:$B$7253,$B177,'Besi Balok'!$F$23:$F$7253,'REKAP Balok'!P$11)</f>
        <v>0</v>
      </c>
      <c r="Q177" s="282">
        <f>SUMIFS('Besi Balok'!$AA$23:$AA$7253,'Besi Balok'!$A$23:$A$7253,$A177,'Besi Balok'!$B$23:$B$7253,$B177,'Besi Balok'!$F$23:$F$7253,'REKAP Balok'!Q$11)</f>
        <v>0</v>
      </c>
      <c r="R177" s="282">
        <f>SUMIFS('Besi Balok'!$AA$23:$AA$7253,'Besi Balok'!$A$23:$A$7253,$A177,'Besi Balok'!$B$23:$B$7253,$B177,'Besi Balok'!$F$23:$F$7253,'REKAP Balok'!R$11)</f>
        <v>0</v>
      </c>
      <c r="S177" s="282">
        <f>SUMIFS('Besi Balok'!$AA$23:$AA$7253,'Besi Balok'!$A$23:$A$7253,$A177,'Besi Balok'!$B$23:$B$7253,$B177,'Besi Balok'!$F$23:$F$7253,'REKAP Balok'!S$11)</f>
        <v>0</v>
      </c>
      <c r="T177" s="283">
        <f>SUMIFS('Besi Balok'!$AA$23:$AA$7253,'Besi Balok'!$A$23:$A$7253,$A177,'Besi Balok'!$B$23:$B$7253,$B177,'Besi Balok'!$F$23:$F$7253,'REKAP Balok'!T$11)</f>
        <v>0</v>
      </c>
      <c r="U177" s="284">
        <f t="shared" si="46"/>
        <v>47.744336970000006</v>
      </c>
      <c r="V177" s="285">
        <f t="shared" si="47"/>
        <v>0.20374999999999999</v>
      </c>
      <c r="W177" s="282">
        <f t="shared" si="48"/>
        <v>2.0375000000000001</v>
      </c>
      <c r="X177" s="282"/>
      <c r="Y177" s="282"/>
      <c r="Z177" s="283"/>
      <c r="AC177" s="1784">
        <f t="shared" si="49"/>
        <v>0.65200000000000002</v>
      </c>
    </row>
    <row r="178" spans="1:29" hidden="1">
      <c r="A178" s="272" t="str">
        <f>'Data Panjang Balok'!A174</f>
        <v>Lantai 3</v>
      </c>
      <c r="B178" s="273">
        <f>'Data Panjang Balok'!B174</f>
        <v>21</v>
      </c>
      <c r="C178" s="274" t="str">
        <f>'Data Panjang Balok'!D174</f>
        <v>B24-1</v>
      </c>
      <c r="D178" s="275">
        <f>IF(C178&gt;0,VLOOKUP(C178,'Detail Balok'!$C$11:$AU$140,2,FALSE),0)</f>
        <v>200</v>
      </c>
      <c r="E178" s="276" t="s">
        <v>125</v>
      </c>
      <c r="F178" s="277">
        <f>IF(C178&gt;0,VLOOKUP(C178,'Detail Balok'!$C$11:$AU$140,3,FALSE),0)</f>
        <v>400</v>
      </c>
      <c r="G178" s="278">
        <f>'Data Panjang Balok'!I174</f>
        <v>2195</v>
      </c>
      <c r="H178" s="278">
        <f>'Data Panjang Balok'!J174</f>
        <v>0</v>
      </c>
      <c r="I178" s="279">
        <v>0</v>
      </c>
      <c r="J178" s="279">
        <f t="shared" si="45"/>
        <v>-0.4</v>
      </c>
      <c r="K178" s="280">
        <f>'Data Panjang Balok'!E174</f>
        <v>1</v>
      </c>
      <c r="L178" s="281">
        <f>SUMIFS('Besi Balok'!$AA$23:$AA$7253,'Besi Balok'!$A$23:$A$7253,$A178,'Besi Balok'!$B$23:$B$7253,$B178,'Besi Balok'!$F$23:$F$7253,'REKAP Balok'!L$11)</f>
        <v>0</v>
      </c>
      <c r="M178" s="282">
        <f>SUMIFS('Besi Balok'!$AA$23:$AA$7253,'Besi Balok'!$A$23:$A$7253,$A178,'Besi Balok'!$B$23:$B$7253,$B178,'Besi Balok'!$F$23:$F$7253,'REKAP Balok'!M$11)</f>
        <v>0</v>
      </c>
      <c r="N178" s="282">
        <f>SUMIFS('Besi Balok'!$AA$23:$AA$7253,'Besi Balok'!$A$23:$A$7253,$A178,'Besi Balok'!$B$23:$B$7253,$B178,'Besi Balok'!$F$23:$F$7253,'REKAP Balok'!N$11)</f>
        <v>13.334895000000003</v>
      </c>
      <c r="O178" s="282">
        <f>SUMIFS('Besi Balok'!$AA$23:$AA$7253,'Besi Balok'!$A$23:$A$7253,$A178,'Besi Balok'!$B$23:$B$7253,$B178,'Besi Balok'!$F$23:$F$7253,'REKAP Balok'!O$11)</f>
        <v>15.672034169999998</v>
      </c>
      <c r="P178" s="282">
        <f>SUMIFS('Besi Balok'!$AA$23:$AA$7253,'Besi Balok'!$A$23:$A$7253,$A178,'Besi Balok'!$B$23:$B$7253,$B178,'Besi Balok'!$F$23:$F$7253,'REKAP Balok'!P$11)</f>
        <v>0</v>
      </c>
      <c r="Q178" s="282">
        <f>SUMIFS('Besi Balok'!$AA$23:$AA$7253,'Besi Balok'!$A$23:$A$7253,$A178,'Besi Balok'!$B$23:$B$7253,$B178,'Besi Balok'!$F$23:$F$7253,'REKAP Balok'!Q$11)</f>
        <v>0</v>
      </c>
      <c r="R178" s="282">
        <f>SUMIFS('Besi Balok'!$AA$23:$AA$7253,'Besi Balok'!$A$23:$A$7253,$A178,'Besi Balok'!$B$23:$B$7253,$B178,'Besi Balok'!$F$23:$F$7253,'REKAP Balok'!R$11)</f>
        <v>0</v>
      </c>
      <c r="S178" s="282">
        <f>SUMIFS('Besi Balok'!$AA$23:$AA$7253,'Besi Balok'!$A$23:$A$7253,$A178,'Besi Balok'!$B$23:$B$7253,$B178,'Besi Balok'!$F$23:$F$7253,'REKAP Balok'!S$11)</f>
        <v>0</v>
      </c>
      <c r="T178" s="283">
        <f>SUMIFS('Besi Balok'!$AA$23:$AA$7253,'Besi Balok'!$A$23:$A$7253,$A178,'Besi Balok'!$B$23:$B$7253,$B178,'Besi Balok'!$F$23:$F$7253,'REKAP Balok'!T$11)</f>
        <v>0</v>
      </c>
      <c r="U178" s="284">
        <f t="shared" si="46"/>
        <v>29.006929169999999</v>
      </c>
      <c r="V178" s="285">
        <f t="shared" si="47"/>
        <v>0.17560000000000001</v>
      </c>
      <c r="W178" s="282">
        <f t="shared" si="48"/>
        <v>2.1949999999999998</v>
      </c>
      <c r="X178" s="282"/>
      <c r="Y178" s="282"/>
      <c r="Z178" s="283"/>
      <c r="AC178" s="1784">
        <f t="shared" si="49"/>
        <v>0.35120000000000001</v>
      </c>
    </row>
    <row r="179" spans="1:29" hidden="1">
      <c r="A179" s="272" t="str">
        <f>'Data Panjang Balok'!A175</f>
        <v>Lantai 3</v>
      </c>
      <c r="B179" s="273">
        <f>'Data Panjang Balok'!B175</f>
        <v>22</v>
      </c>
      <c r="C179" s="274" t="str">
        <f>'Data Panjang Balok'!D175</f>
        <v>B24-1</v>
      </c>
      <c r="D179" s="275">
        <f>IF(C179&gt;0,VLOOKUP(C179,'Detail Balok'!$C$11:$AU$140,2,FALSE),0)</f>
        <v>200</v>
      </c>
      <c r="E179" s="276" t="s">
        <v>125</v>
      </c>
      <c r="F179" s="277">
        <f>IF(C179&gt;0,VLOOKUP(C179,'Detail Balok'!$C$11:$AU$140,3,FALSE),0)</f>
        <v>400</v>
      </c>
      <c r="G179" s="278">
        <f>'Data Panjang Balok'!I175</f>
        <v>2200</v>
      </c>
      <c r="H179" s="278">
        <f>'Data Panjang Balok'!J175</f>
        <v>0</v>
      </c>
      <c r="I179" s="279">
        <v>0</v>
      </c>
      <c r="J179" s="279">
        <f t="shared" si="45"/>
        <v>-0.4</v>
      </c>
      <c r="K179" s="280">
        <f>'Data Panjang Balok'!E175</f>
        <v>1</v>
      </c>
      <c r="L179" s="281">
        <f>SUMIFS('Besi Balok'!$AA$23:$AA$7253,'Besi Balok'!$A$23:$A$7253,$A179,'Besi Balok'!$B$23:$B$7253,$B179,'Besi Balok'!$F$23:$F$7253,'REKAP Balok'!L$11)</f>
        <v>0</v>
      </c>
      <c r="M179" s="282">
        <f>SUMIFS('Besi Balok'!$AA$23:$AA$7253,'Besi Balok'!$A$23:$A$7253,$A179,'Besi Balok'!$B$23:$B$7253,$B179,'Besi Balok'!$F$23:$F$7253,'REKAP Balok'!M$11)</f>
        <v>0</v>
      </c>
      <c r="N179" s="282">
        <f>SUMIFS('Besi Balok'!$AA$23:$AA$7253,'Besi Balok'!$A$23:$A$7253,$A179,'Besi Balok'!$B$23:$B$7253,$B179,'Besi Balok'!$F$23:$F$7253,'REKAP Balok'!N$11)</f>
        <v>13.334895000000003</v>
      </c>
      <c r="O179" s="282">
        <f>SUMIFS('Besi Balok'!$AA$23:$AA$7253,'Besi Balok'!$A$23:$A$7253,$A179,'Besi Balok'!$B$23:$B$7253,$B179,'Besi Balok'!$F$23:$F$7253,'REKAP Balok'!O$11)</f>
        <v>15.70329072</v>
      </c>
      <c r="P179" s="282">
        <f>SUMIFS('Besi Balok'!$AA$23:$AA$7253,'Besi Balok'!$A$23:$A$7253,$A179,'Besi Balok'!$B$23:$B$7253,$B179,'Besi Balok'!$F$23:$F$7253,'REKAP Balok'!P$11)</f>
        <v>0</v>
      </c>
      <c r="Q179" s="282">
        <f>SUMIFS('Besi Balok'!$AA$23:$AA$7253,'Besi Balok'!$A$23:$A$7253,$A179,'Besi Balok'!$B$23:$B$7253,$B179,'Besi Balok'!$F$23:$F$7253,'REKAP Balok'!Q$11)</f>
        <v>0</v>
      </c>
      <c r="R179" s="282">
        <f>SUMIFS('Besi Balok'!$AA$23:$AA$7253,'Besi Balok'!$A$23:$A$7253,$A179,'Besi Balok'!$B$23:$B$7253,$B179,'Besi Balok'!$F$23:$F$7253,'REKAP Balok'!R$11)</f>
        <v>0</v>
      </c>
      <c r="S179" s="282">
        <f>SUMIFS('Besi Balok'!$AA$23:$AA$7253,'Besi Balok'!$A$23:$A$7253,$A179,'Besi Balok'!$B$23:$B$7253,$B179,'Besi Balok'!$F$23:$F$7253,'REKAP Balok'!S$11)</f>
        <v>0</v>
      </c>
      <c r="T179" s="283">
        <f>SUMIFS('Besi Balok'!$AA$23:$AA$7253,'Besi Balok'!$A$23:$A$7253,$A179,'Besi Balok'!$B$23:$B$7253,$B179,'Besi Balok'!$F$23:$F$7253,'REKAP Balok'!T$11)</f>
        <v>0</v>
      </c>
      <c r="U179" s="284">
        <f t="shared" si="46"/>
        <v>29.038185720000001</v>
      </c>
      <c r="V179" s="285">
        <f t="shared" si="47"/>
        <v>0.17599999999999999</v>
      </c>
      <c r="W179" s="282">
        <f t="shared" si="48"/>
        <v>2.2000000000000002</v>
      </c>
      <c r="X179" s="282"/>
      <c r="Y179" s="282"/>
      <c r="Z179" s="283"/>
      <c r="AC179" s="1784">
        <f t="shared" si="49"/>
        <v>0.35199999999999998</v>
      </c>
    </row>
    <row r="180" spans="1:29" hidden="1">
      <c r="A180" s="272" t="str">
        <f>'Data Panjang Balok'!A176</f>
        <v>Lantai 3</v>
      </c>
      <c r="B180" s="273">
        <f>'Data Panjang Balok'!B176</f>
        <v>23</v>
      </c>
      <c r="C180" s="274" t="str">
        <f>'Data Panjang Balok'!D176</f>
        <v>CL24-1</v>
      </c>
      <c r="D180" s="275">
        <f>IF(C180&gt;0,VLOOKUP(C180,'Detail Balok'!$C$11:$AU$140,2,FALSE),0)</f>
        <v>200</v>
      </c>
      <c r="E180" s="276" t="s">
        <v>125</v>
      </c>
      <c r="F180" s="277">
        <f>IF(C180&gt;0,VLOOKUP(C180,'Detail Balok'!$C$11:$AU$140,3,FALSE),0)</f>
        <v>400</v>
      </c>
      <c r="G180" s="278">
        <f>'Data Panjang Balok'!I176</f>
        <v>3425</v>
      </c>
      <c r="H180" s="278">
        <f>'Data Panjang Balok'!J176</f>
        <v>150</v>
      </c>
      <c r="I180" s="279">
        <v>0</v>
      </c>
      <c r="J180" s="279">
        <f t="shared" si="45"/>
        <v>-0.4</v>
      </c>
      <c r="K180" s="280">
        <f>'Data Panjang Balok'!E176</f>
        <v>1</v>
      </c>
      <c r="L180" s="281">
        <f>SUMIFS('Besi Balok'!$AA$23:$AA$7253,'Besi Balok'!$A$23:$A$7253,$A180,'Besi Balok'!$B$23:$B$7253,$B180,'Besi Balok'!$F$23:$F$7253,'REKAP Balok'!L$11)</f>
        <v>0</v>
      </c>
      <c r="M180" s="282">
        <f>SUMIFS('Besi Balok'!$AA$23:$AA$7253,'Besi Balok'!$A$23:$A$7253,$A180,'Besi Balok'!$B$23:$B$7253,$B180,'Besi Balok'!$F$23:$F$7253,'REKAP Balok'!M$11)</f>
        <v>0</v>
      </c>
      <c r="N180" s="282">
        <f>SUMIFS('Besi Balok'!$AA$23:$AA$7253,'Besi Balok'!$A$23:$A$7253,$A180,'Besi Balok'!$B$23:$B$7253,$B180,'Besi Balok'!$F$23:$F$7253,'REKAP Balok'!N$11)</f>
        <v>23.494815000000003</v>
      </c>
      <c r="O180" s="282">
        <f>SUMIFS('Besi Balok'!$AA$23:$AA$7253,'Besi Balok'!$A$23:$A$7253,$A180,'Besi Balok'!$B$23:$B$7253,$B180,'Besi Balok'!$F$23:$F$7253,'REKAP Balok'!O$11)</f>
        <v>0</v>
      </c>
      <c r="P180" s="282">
        <f>SUMIFS('Besi Balok'!$AA$23:$AA$7253,'Besi Balok'!$A$23:$A$7253,$A180,'Besi Balok'!$B$23:$B$7253,$B180,'Besi Balok'!$F$23:$F$7253,'REKAP Balok'!P$11)</f>
        <v>36.069096960000003</v>
      </c>
      <c r="Q180" s="282">
        <f>SUMIFS('Besi Balok'!$AA$23:$AA$7253,'Besi Balok'!$A$23:$A$7253,$A180,'Besi Balok'!$B$23:$B$7253,$B180,'Besi Balok'!$F$23:$F$7253,'REKAP Balok'!Q$11)</f>
        <v>0</v>
      </c>
      <c r="R180" s="282">
        <f>SUMIFS('Besi Balok'!$AA$23:$AA$7253,'Besi Balok'!$A$23:$A$7253,$A180,'Besi Balok'!$B$23:$B$7253,$B180,'Besi Balok'!$F$23:$F$7253,'REKAP Balok'!R$11)</f>
        <v>0</v>
      </c>
      <c r="S180" s="282">
        <f>SUMIFS('Besi Balok'!$AA$23:$AA$7253,'Besi Balok'!$A$23:$A$7253,$A180,'Besi Balok'!$B$23:$B$7253,$B180,'Besi Balok'!$F$23:$F$7253,'REKAP Balok'!S$11)</f>
        <v>0</v>
      </c>
      <c r="T180" s="283">
        <f>SUMIFS('Besi Balok'!$AA$23:$AA$7253,'Besi Balok'!$A$23:$A$7253,$A180,'Besi Balok'!$B$23:$B$7253,$B180,'Besi Balok'!$F$23:$F$7253,'REKAP Balok'!T$11)</f>
        <v>0</v>
      </c>
      <c r="U180" s="284">
        <f t="shared" si="46"/>
        <v>59.563911960000006</v>
      </c>
      <c r="V180" s="285">
        <f t="shared" si="47"/>
        <v>0.17125000000000001</v>
      </c>
      <c r="W180" s="282">
        <f t="shared" si="48"/>
        <v>1.7124999999999999</v>
      </c>
      <c r="X180" s="282"/>
      <c r="Y180" s="282"/>
      <c r="Z180" s="283"/>
      <c r="AC180" s="1784">
        <f t="shared" si="49"/>
        <v>0.54800000000000004</v>
      </c>
    </row>
    <row r="181" spans="1:29" hidden="1">
      <c r="A181" s="272" t="str">
        <f>'Data Panjang Balok'!A177</f>
        <v>Lantai 3</v>
      </c>
      <c r="B181" s="273">
        <f>'Data Panjang Balok'!B177</f>
        <v>24</v>
      </c>
      <c r="C181" s="274" t="str">
        <f>'Data Panjang Balok'!D177</f>
        <v>B25-1</v>
      </c>
      <c r="D181" s="275">
        <f>IF(C181&gt;0,VLOOKUP(C181,'Detail Balok'!$C$11:$AU$140,2,FALSE),0)</f>
        <v>200</v>
      </c>
      <c r="E181" s="276" t="s">
        <v>125</v>
      </c>
      <c r="F181" s="277">
        <f>IF(C181&gt;0,VLOOKUP(C181,'Detail Balok'!$C$11:$AU$140,3,FALSE),0)</f>
        <v>500</v>
      </c>
      <c r="G181" s="278">
        <f>'Data Panjang Balok'!I177</f>
        <v>4075</v>
      </c>
      <c r="H181" s="278">
        <f>'Data Panjang Balok'!J177</f>
        <v>150</v>
      </c>
      <c r="I181" s="279">
        <v>0</v>
      </c>
      <c r="J181" s="279">
        <f t="shared" si="45"/>
        <v>-0.5</v>
      </c>
      <c r="K181" s="280">
        <f>'Data Panjang Balok'!E177</f>
        <v>1</v>
      </c>
      <c r="L181" s="281">
        <f>SUMIFS('Besi Balok'!$AA$23:$AA$7253,'Besi Balok'!$A$23:$A$7253,$A181,'Besi Balok'!$B$23:$B$7253,$B181,'Besi Balok'!$F$23:$F$7253,'REKAP Balok'!L$11)</f>
        <v>0</v>
      </c>
      <c r="M181" s="282">
        <f>SUMIFS('Besi Balok'!$AA$23:$AA$7253,'Besi Balok'!$A$23:$A$7253,$A181,'Besi Balok'!$B$23:$B$7253,$B181,'Besi Balok'!$F$23:$F$7253,'REKAP Balok'!M$11)</f>
        <v>0</v>
      </c>
      <c r="N181" s="282">
        <f>SUMIFS('Besi Balok'!$AA$23:$AA$7253,'Besi Balok'!$A$23:$A$7253,$A181,'Besi Balok'!$B$23:$B$7253,$B181,'Besi Balok'!$F$23:$F$7253,'REKAP Balok'!N$11)</f>
        <v>25.036065000000001</v>
      </c>
      <c r="O181" s="282">
        <f>SUMIFS('Besi Balok'!$AA$23:$AA$7253,'Besi Balok'!$A$23:$A$7253,$A181,'Besi Balok'!$B$23:$B$7253,$B181,'Besi Balok'!$F$23:$F$7253,'REKAP Balok'!O$11)</f>
        <v>0</v>
      </c>
      <c r="P181" s="282">
        <f>SUMIFS('Besi Balok'!$AA$23:$AA$7253,'Besi Balok'!$A$23:$A$7253,$A181,'Besi Balok'!$B$23:$B$7253,$B181,'Besi Balok'!$F$23:$F$7253,'REKAP Balok'!P$11)</f>
        <v>56.298977279999995</v>
      </c>
      <c r="Q181" s="282">
        <f>SUMIFS('Besi Balok'!$AA$23:$AA$7253,'Besi Balok'!$A$23:$A$7253,$A181,'Besi Balok'!$B$23:$B$7253,$B181,'Besi Balok'!$F$23:$F$7253,'REKAP Balok'!Q$11)</f>
        <v>0</v>
      </c>
      <c r="R181" s="282">
        <f>SUMIFS('Besi Balok'!$AA$23:$AA$7253,'Besi Balok'!$A$23:$A$7253,$A181,'Besi Balok'!$B$23:$B$7253,$B181,'Besi Balok'!$F$23:$F$7253,'REKAP Balok'!R$11)</f>
        <v>0</v>
      </c>
      <c r="S181" s="282">
        <f>SUMIFS('Besi Balok'!$AA$23:$AA$7253,'Besi Balok'!$A$23:$A$7253,$A181,'Besi Balok'!$B$23:$B$7253,$B181,'Besi Balok'!$F$23:$F$7253,'REKAP Balok'!S$11)</f>
        <v>0</v>
      </c>
      <c r="T181" s="283">
        <f>SUMIFS('Besi Balok'!$AA$23:$AA$7253,'Besi Balok'!$A$23:$A$7253,$A181,'Besi Balok'!$B$23:$B$7253,$B181,'Besi Balok'!$F$23:$F$7253,'REKAP Balok'!T$11)</f>
        <v>0</v>
      </c>
      <c r="U181" s="284">
        <f t="shared" si="46"/>
        <v>81.335042279999996</v>
      </c>
      <c r="V181" s="285">
        <f t="shared" si="47"/>
        <v>0.28525</v>
      </c>
      <c r="W181" s="282">
        <f t="shared" si="48"/>
        <v>2.8525</v>
      </c>
      <c r="X181" s="282"/>
      <c r="Y181" s="282"/>
      <c r="Z181" s="283"/>
      <c r="AC181" s="1784">
        <f t="shared" si="49"/>
        <v>0.81499999999999995</v>
      </c>
    </row>
    <row r="182" spans="1:29" hidden="1">
      <c r="A182" s="272" t="str">
        <f>'Data Panjang Balok'!A178</f>
        <v>Lantai 3</v>
      </c>
      <c r="B182" s="273">
        <f>'Data Panjang Balok'!B178</f>
        <v>25</v>
      </c>
      <c r="C182" s="274" t="str">
        <f>'Data Panjang Balok'!D178</f>
        <v>CL24-1</v>
      </c>
      <c r="D182" s="275">
        <f>IF(C182&gt;0,VLOOKUP(C182,'Detail Balok'!$C$11:$AU$140,2,FALSE),0)</f>
        <v>200</v>
      </c>
      <c r="E182" s="276" t="s">
        <v>125</v>
      </c>
      <c r="F182" s="277">
        <f>IF(C182&gt;0,VLOOKUP(C182,'Detail Balok'!$C$11:$AU$140,3,FALSE),0)</f>
        <v>400</v>
      </c>
      <c r="G182" s="278">
        <f>'Data Panjang Balok'!I178</f>
        <v>1075</v>
      </c>
      <c r="H182" s="278">
        <f>'Data Panjang Balok'!J178</f>
        <v>150</v>
      </c>
      <c r="I182" s="279">
        <v>0</v>
      </c>
      <c r="J182" s="279">
        <f t="shared" si="45"/>
        <v>-0.4</v>
      </c>
      <c r="K182" s="280">
        <f>'Data Panjang Balok'!E178</f>
        <v>1</v>
      </c>
      <c r="L182" s="281">
        <f>SUMIFS('Besi Balok'!$AA$23:$AA$7253,'Besi Balok'!$A$23:$A$7253,$A182,'Besi Balok'!$B$23:$B$7253,$B182,'Besi Balok'!$F$23:$F$7253,'REKAP Balok'!L$11)</f>
        <v>0</v>
      </c>
      <c r="M182" s="282">
        <f>SUMIFS('Besi Balok'!$AA$23:$AA$7253,'Besi Balok'!$A$23:$A$7253,$A182,'Besi Balok'!$B$23:$B$7253,$B182,'Besi Balok'!$F$23:$F$7253,'REKAP Balok'!M$11)</f>
        <v>0</v>
      </c>
      <c r="N182" s="282">
        <f>SUMIFS('Besi Balok'!$AA$23:$AA$7253,'Besi Balok'!$A$23:$A$7253,$A182,'Besi Balok'!$B$23:$B$7253,$B182,'Besi Balok'!$F$23:$F$7253,'REKAP Balok'!N$11)</f>
        <v>7.6199400000000015</v>
      </c>
      <c r="O182" s="282">
        <f>SUMIFS('Besi Balok'!$AA$23:$AA$7253,'Besi Balok'!$A$23:$A$7253,$A182,'Besi Balok'!$B$23:$B$7253,$B182,'Besi Balok'!$F$23:$F$7253,'REKAP Balok'!O$11)</f>
        <v>0</v>
      </c>
      <c r="P182" s="282">
        <f>SUMIFS('Besi Balok'!$AA$23:$AA$7253,'Besi Balok'!$A$23:$A$7253,$A182,'Besi Balok'!$B$23:$B$7253,$B182,'Besi Balok'!$F$23:$F$7253,'REKAP Balok'!P$11)</f>
        <v>13.81591296</v>
      </c>
      <c r="Q182" s="282">
        <f>SUMIFS('Besi Balok'!$AA$23:$AA$7253,'Besi Balok'!$A$23:$A$7253,$A182,'Besi Balok'!$B$23:$B$7253,$B182,'Besi Balok'!$F$23:$F$7253,'REKAP Balok'!Q$11)</f>
        <v>0</v>
      </c>
      <c r="R182" s="282">
        <f>SUMIFS('Besi Balok'!$AA$23:$AA$7253,'Besi Balok'!$A$23:$A$7253,$A182,'Besi Balok'!$B$23:$B$7253,$B182,'Besi Balok'!$F$23:$F$7253,'REKAP Balok'!R$11)</f>
        <v>0</v>
      </c>
      <c r="S182" s="282">
        <f>SUMIFS('Besi Balok'!$AA$23:$AA$7253,'Besi Balok'!$A$23:$A$7253,$A182,'Besi Balok'!$B$23:$B$7253,$B182,'Besi Balok'!$F$23:$F$7253,'REKAP Balok'!S$11)</f>
        <v>0</v>
      </c>
      <c r="T182" s="283">
        <f>SUMIFS('Besi Balok'!$AA$23:$AA$7253,'Besi Balok'!$A$23:$A$7253,$A182,'Besi Balok'!$B$23:$B$7253,$B182,'Besi Balok'!$F$23:$F$7253,'REKAP Balok'!T$11)</f>
        <v>0</v>
      </c>
      <c r="U182" s="284">
        <f t="shared" si="46"/>
        <v>21.435852960000002</v>
      </c>
      <c r="V182" s="285">
        <f t="shared" si="47"/>
        <v>5.3749999999999999E-2</v>
      </c>
      <c r="W182" s="282">
        <f t="shared" si="48"/>
        <v>0.53749999999999998</v>
      </c>
      <c r="X182" s="282"/>
      <c r="Y182" s="282"/>
      <c r="Z182" s="283"/>
      <c r="AC182" s="1784">
        <f t="shared" si="49"/>
        <v>0.17199999999999999</v>
      </c>
    </row>
    <row r="183" spans="1:29" hidden="1">
      <c r="A183" s="272" t="str">
        <f>'Data Panjang Balok'!A179</f>
        <v>Lantai 3</v>
      </c>
      <c r="B183" s="273">
        <f>'Data Panjang Balok'!B179</f>
        <v>26</v>
      </c>
      <c r="C183" s="274" t="str">
        <f>'Data Panjang Balok'!D179</f>
        <v>B25-1</v>
      </c>
      <c r="D183" s="275">
        <f>IF(C183&gt;0,VLOOKUP(C183,'Detail Balok'!$C$11:$AU$140,2,FALSE),0)</f>
        <v>200</v>
      </c>
      <c r="E183" s="276" t="s">
        <v>125</v>
      </c>
      <c r="F183" s="277">
        <f>IF(C183&gt;0,VLOOKUP(C183,'Detail Balok'!$C$11:$AU$140,3,FALSE),0)</f>
        <v>500</v>
      </c>
      <c r="G183" s="278">
        <f>'Data Panjang Balok'!I179</f>
        <v>5075</v>
      </c>
      <c r="H183" s="278">
        <f>'Data Panjang Balok'!J179</f>
        <v>150</v>
      </c>
      <c r="I183" s="279">
        <v>0</v>
      </c>
      <c r="J183" s="279">
        <f t="shared" si="45"/>
        <v>-0.5</v>
      </c>
      <c r="K183" s="280">
        <f>'Data Panjang Balok'!E179</f>
        <v>1</v>
      </c>
      <c r="L183" s="281">
        <f>SUMIFS('Besi Balok'!$AA$23:$AA$7253,'Besi Balok'!$A$23:$A$7253,$A183,'Besi Balok'!$B$23:$B$7253,$B183,'Besi Balok'!$F$23:$F$7253,'REKAP Balok'!L$11)</f>
        <v>0</v>
      </c>
      <c r="M183" s="282">
        <f>SUMIFS('Besi Balok'!$AA$23:$AA$7253,'Besi Balok'!$A$23:$A$7253,$A183,'Besi Balok'!$B$23:$B$7253,$B183,'Besi Balok'!$F$23:$F$7253,'REKAP Balok'!M$11)</f>
        <v>0</v>
      </c>
      <c r="N183" s="282">
        <f>SUMIFS('Besi Balok'!$AA$23:$AA$7253,'Besi Balok'!$A$23:$A$7253,$A183,'Besi Balok'!$B$23:$B$7253,$B183,'Besi Balok'!$F$23:$F$7253,'REKAP Balok'!N$11)</f>
        <v>30.060540000000003</v>
      </c>
      <c r="O183" s="282">
        <f>SUMIFS('Besi Balok'!$AA$23:$AA$7253,'Besi Balok'!$A$23:$A$7253,$A183,'Besi Balok'!$B$23:$B$7253,$B183,'Besi Balok'!$F$23:$F$7253,'REKAP Balok'!O$11)</f>
        <v>0</v>
      </c>
      <c r="P183" s="282">
        <f>SUMIFS('Besi Balok'!$AA$23:$AA$7253,'Besi Balok'!$A$23:$A$7253,$A183,'Besi Balok'!$B$23:$B$7253,$B183,'Besi Balok'!$F$23:$F$7253,'REKAP Balok'!P$11)</f>
        <v>68.924897279999996</v>
      </c>
      <c r="Q183" s="282">
        <f>SUMIFS('Besi Balok'!$AA$23:$AA$7253,'Besi Balok'!$A$23:$A$7253,$A183,'Besi Balok'!$B$23:$B$7253,$B183,'Besi Balok'!$F$23:$F$7253,'REKAP Balok'!Q$11)</f>
        <v>0</v>
      </c>
      <c r="R183" s="282">
        <f>SUMIFS('Besi Balok'!$AA$23:$AA$7253,'Besi Balok'!$A$23:$A$7253,$A183,'Besi Balok'!$B$23:$B$7253,$B183,'Besi Balok'!$F$23:$F$7253,'REKAP Balok'!R$11)</f>
        <v>0</v>
      </c>
      <c r="S183" s="282">
        <f>SUMIFS('Besi Balok'!$AA$23:$AA$7253,'Besi Balok'!$A$23:$A$7253,$A183,'Besi Balok'!$B$23:$B$7253,$B183,'Besi Balok'!$F$23:$F$7253,'REKAP Balok'!S$11)</f>
        <v>0</v>
      </c>
      <c r="T183" s="283">
        <f>SUMIFS('Besi Balok'!$AA$23:$AA$7253,'Besi Balok'!$A$23:$A$7253,$A183,'Besi Balok'!$B$23:$B$7253,$B183,'Besi Balok'!$F$23:$F$7253,'REKAP Balok'!T$11)</f>
        <v>0</v>
      </c>
      <c r="U183" s="284">
        <f t="shared" si="46"/>
        <v>98.985437279999999</v>
      </c>
      <c r="V183" s="285">
        <f t="shared" si="47"/>
        <v>0.35525000000000001</v>
      </c>
      <c r="W183" s="282">
        <f t="shared" si="48"/>
        <v>3.5525000000000002</v>
      </c>
      <c r="X183" s="282"/>
      <c r="Y183" s="282"/>
      <c r="Z183" s="283"/>
      <c r="AC183" s="1784">
        <f t="shared" si="49"/>
        <v>1.0149999999999999</v>
      </c>
    </row>
    <row r="184" spans="1:29" hidden="1">
      <c r="A184" s="272" t="str">
        <f>'Data Panjang Balok'!A180</f>
        <v>Lantai 3</v>
      </c>
      <c r="B184" s="273">
        <f>'Data Panjang Balok'!B180</f>
        <v>27</v>
      </c>
      <c r="C184" s="274" t="str">
        <f>'Data Panjang Balok'!D180</f>
        <v>CL24-1</v>
      </c>
      <c r="D184" s="275">
        <f>IF(C184&gt;0,VLOOKUP(C184,'Detail Balok'!$C$11:$AU$140,2,FALSE),0)</f>
        <v>200</v>
      </c>
      <c r="E184" s="276" t="s">
        <v>125</v>
      </c>
      <c r="F184" s="277">
        <f>IF(C184&gt;0,VLOOKUP(C184,'Detail Balok'!$C$11:$AU$140,3,FALSE),0)</f>
        <v>400</v>
      </c>
      <c r="G184" s="278">
        <f>'Data Panjang Balok'!I180</f>
        <v>5000</v>
      </c>
      <c r="H184" s="278">
        <f>'Data Panjang Balok'!J180</f>
        <v>150</v>
      </c>
      <c r="I184" s="279">
        <v>0</v>
      </c>
      <c r="J184" s="279">
        <f t="shared" si="45"/>
        <v>-0.4</v>
      </c>
      <c r="K184" s="280">
        <f>'Data Panjang Balok'!E180</f>
        <v>1</v>
      </c>
      <c r="L184" s="281">
        <f>SUMIFS('Besi Balok'!$AA$23:$AA$7253,'Besi Balok'!$A$23:$A$7253,$A184,'Besi Balok'!$B$23:$B$7253,$B184,'Besi Balok'!$F$23:$F$7253,'REKAP Balok'!L$11)</f>
        <v>0</v>
      </c>
      <c r="M184" s="282">
        <f>SUMIFS('Besi Balok'!$AA$23:$AA$7253,'Besi Balok'!$A$23:$A$7253,$A184,'Besi Balok'!$B$23:$B$7253,$B184,'Besi Balok'!$F$23:$F$7253,'REKAP Balok'!M$11)</f>
        <v>0</v>
      </c>
      <c r="N184" s="282">
        <f>SUMIFS('Besi Balok'!$AA$23:$AA$7253,'Besi Balok'!$A$23:$A$7253,$A184,'Besi Balok'!$B$23:$B$7253,$B184,'Besi Balok'!$F$23:$F$7253,'REKAP Balok'!N$11)</f>
        <v>33.654735000000002</v>
      </c>
      <c r="O184" s="282">
        <f>SUMIFS('Besi Balok'!$AA$23:$AA$7253,'Besi Balok'!$A$23:$A$7253,$A184,'Besi Balok'!$B$23:$B$7253,$B184,'Besi Balok'!$F$23:$F$7253,'REKAP Balok'!O$11)</f>
        <v>0</v>
      </c>
      <c r="P184" s="282">
        <f>SUMIFS('Besi Balok'!$AA$23:$AA$7253,'Besi Balok'!$A$23:$A$7253,$A184,'Besi Balok'!$B$23:$B$7253,$B184,'Besi Balok'!$F$23:$F$7253,'REKAP Balok'!P$11)</f>
        <v>50.983464960000006</v>
      </c>
      <c r="Q184" s="282">
        <f>SUMIFS('Besi Balok'!$AA$23:$AA$7253,'Besi Balok'!$A$23:$A$7253,$A184,'Besi Balok'!$B$23:$B$7253,$B184,'Besi Balok'!$F$23:$F$7253,'REKAP Balok'!Q$11)</f>
        <v>0</v>
      </c>
      <c r="R184" s="282">
        <f>SUMIFS('Besi Balok'!$AA$23:$AA$7253,'Besi Balok'!$A$23:$A$7253,$A184,'Besi Balok'!$B$23:$B$7253,$B184,'Besi Balok'!$F$23:$F$7253,'REKAP Balok'!R$11)</f>
        <v>0</v>
      </c>
      <c r="S184" s="282">
        <f>SUMIFS('Besi Balok'!$AA$23:$AA$7253,'Besi Balok'!$A$23:$A$7253,$A184,'Besi Balok'!$B$23:$B$7253,$B184,'Besi Balok'!$F$23:$F$7253,'REKAP Balok'!S$11)</f>
        <v>0</v>
      </c>
      <c r="T184" s="283">
        <f>SUMIFS('Besi Balok'!$AA$23:$AA$7253,'Besi Balok'!$A$23:$A$7253,$A184,'Besi Balok'!$B$23:$B$7253,$B184,'Besi Balok'!$F$23:$F$7253,'REKAP Balok'!T$11)</f>
        <v>0</v>
      </c>
      <c r="U184" s="284">
        <f t="shared" si="46"/>
        <v>84.638199960000009</v>
      </c>
      <c r="V184" s="285">
        <f t="shared" si="47"/>
        <v>0.25</v>
      </c>
      <c r="W184" s="282">
        <f t="shared" si="48"/>
        <v>2.5</v>
      </c>
      <c r="X184" s="282"/>
      <c r="Y184" s="282"/>
      <c r="Z184" s="283"/>
      <c r="AC184" s="1784">
        <f t="shared" si="49"/>
        <v>0.8</v>
      </c>
    </row>
    <row r="185" spans="1:29" hidden="1">
      <c r="A185" s="272" t="str">
        <f>'Data Panjang Balok'!A181</f>
        <v>Lantai 3</v>
      </c>
      <c r="B185" s="273">
        <f>'Data Panjang Balok'!B181</f>
        <v>28</v>
      </c>
      <c r="C185" s="274" t="str">
        <f>'Data Panjang Balok'!D181</f>
        <v>B25-1</v>
      </c>
      <c r="D185" s="275">
        <f>IF(C185&gt;0,VLOOKUP(C185,'Detail Balok'!$C$11:$AU$140,2,FALSE),0)</f>
        <v>200</v>
      </c>
      <c r="E185" s="276" t="s">
        <v>125</v>
      </c>
      <c r="F185" s="277">
        <f>IF(C185&gt;0,VLOOKUP(C185,'Detail Balok'!$C$11:$AU$140,3,FALSE),0)</f>
        <v>500</v>
      </c>
      <c r="G185" s="278">
        <f>'Data Panjang Balok'!I181</f>
        <v>7250</v>
      </c>
      <c r="H185" s="278">
        <f>'Data Panjang Balok'!J181</f>
        <v>150</v>
      </c>
      <c r="I185" s="279">
        <v>0</v>
      </c>
      <c r="J185" s="279">
        <f t="shared" si="32"/>
        <v>-0.5</v>
      </c>
      <c r="K185" s="280">
        <f>'Data Panjang Balok'!E181</f>
        <v>1</v>
      </c>
      <c r="L185" s="281">
        <f>SUMIFS('Besi Balok'!$AA$23:$AA$7253,'Besi Balok'!$A$23:$A$7253,$A185,'Besi Balok'!$B$23:$B$7253,$B185,'Besi Balok'!$F$23:$F$7253,'REKAP Balok'!L$11)</f>
        <v>0</v>
      </c>
      <c r="M185" s="282">
        <f>SUMIFS('Besi Balok'!$AA$23:$AA$7253,'Besi Balok'!$A$23:$A$7253,$A185,'Besi Balok'!$B$23:$B$7253,$B185,'Besi Balok'!$F$23:$F$7253,'REKAP Balok'!M$11)</f>
        <v>0</v>
      </c>
      <c r="N185" s="282">
        <f>SUMIFS('Besi Balok'!$AA$23:$AA$7253,'Besi Balok'!$A$23:$A$7253,$A185,'Besi Balok'!$B$23:$B$7253,$B185,'Besi Balok'!$F$23:$F$7253,'REKAP Balok'!N$11)</f>
        <v>42.600150000000006</v>
      </c>
      <c r="O185" s="282">
        <f>SUMIFS('Besi Balok'!$AA$23:$AA$7253,'Besi Balok'!$A$23:$A$7253,$A185,'Besi Balok'!$B$23:$B$7253,$B185,'Besi Balok'!$F$23:$F$7253,'REKAP Balok'!O$11)</f>
        <v>0</v>
      </c>
      <c r="P185" s="282">
        <f>SUMIFS('Besi Balok'!$AA$23:$AA$7253,'Besi Balok'!$A$23:$A$7253,$A185,'Besi Balok'!$B$23:$B$7253,$B185,'Besi Balok'!$F$23:$F$7253,'REKAP Balok'!P$11)</f>
        <v>96.386273280000012</v>
      </c>
      <c r="Q185" s="282">
        <f>SUMIFS('Besi Balok'!$AA$23:$AA$7253,'Besi Balok'!$A$23:$A$7253,$A185,'Besi Balok'!$B$23:$B$7253,$B185,'Besi Balok'!$F$23:$F$7253,'REKAP Balok'!Q$11)</f>
        <v>0</v>
      </c>
      <c r="R185" s="282">
        <f>SUMIFS('Besi Balok'!$AA$23:$AA$7253,'Besi Balok'!$A$23:$A$7253,$A185,'Besi Balok'!$B$23:$B$7253,$B185,'Besi Balok'!$F$23:$F$7253,'REKAP Balok'!R$11)</f>
        <v>0</v>
      </c>
      <c r="S185" s="282">
        <f>SUMIFS('Besi Balok'!$AA$23:$AA$7253,'Besi Balok'!$A$23:$A$7253,$A185,'Besi Balok'!$B$23:$B$7253,$B185,'Besi Balok'!$F$23:$F$7253,'REKAP Balok'!S$11)</f>
        <v>0</v>
      </c>
      <c r="T185" s="283">
        <f>SUMIFS('Besi Balok'!$AA$23:$AA$7253,'Besi Balok'!$A$23:$A$7253,$A185,'Besi Balok'!$B$23:$B$7253,$B185,'Besi Balok'!$F$23:$F$7253,'REKAP Balok'!T$11)</f>
        <v>0</v>
      </c>
      <c r="U185" s="284">
        <f t="shared" si="33"/>
        <v>138.98642328000003</v>
      </c>
      <c r="V185" s="285">
        <f t="shared" si="34"/>
        <v>0.50749999999999995</v>
      </c>
      <c r="W185" s="282">
        <f t="shared" ref="W185:W217" si="50">(((F185-H185)*2+IF(H185&gt;0,0,D185))*(G185)*K185)/1000000</f>
        <v>5.0750000000000002</v>
      </c>
      <c r="X185" s="282"/>
      <c r="Y185" s="282"/>
      <c r="Z185" s="283"/>
      <c r="AC185" s="1784">
        <f t="shared" si="38"/>
        <v>1.45</v>
      </c>
    </row>
    <row r="186" spans="1:29" hidden="1">
      <c r="A186" s="272" t="str">
        <f>'Data Panjang Balok'!A182</f>
        <v>Lantai 3</v>
      </c>
      <c r="B186" s="273">
        <f>'Data Panjang Balok'!B182</f>
        <v>29</v>
      </c>
      <c r="C186" s="274" t="str">
        <f>'Data Panjang Balok'!D182</f>
        <v>B26-1</v>
      </c>
      <c r="D186" s="275">
        <f>IF(C186&gt;0,VLOOKUP(C186,'Detail Balok'!$C$11:$AU$140,2,FALSE),0)</f>
        <v>200</v>
      </c>
      <c r="E186" s="276" t="s">
        <v>125</v>
      </c>
      <c r="F186" s="277">
        <f>IF(C186&gt;0,VLOOKUP(C186,'Detail Balok'!$C$11:$AU$140,3,FALSE),0)</f>
        <v>600</v>
      </c>
      <c r="G186" s="278">
        <f>'Data Panjang Balok'!I182</f>
        <v>6075</v>
      </c>
      <c r="H186" s="278">
        <f>'Data Panjang Balok'!J182</f>
        <v>150</v>
      </c>
      <c r="I186" s="279">
        <v>0</v>
      </c>
      <c r="J186" s="279">
        <f t="shared" si="32"/>
        <v>-0.6</v>
      </c>
      <c r="K186" s="280">
        <f>'Data Panjang Balok'!E182</f>
        <v>1</v>
      </c>
      <c r="L186" s="281">
        <f>SUMIFS('Besi Balok'!$AA$23:$AA$7253,'Besi Balok'!$A$23:$A$7253,$A186,'Besi Balok'!$B$23:$B$7253,$B186,'Besi Balok'!$F$23:$F$7253,'REKAP Balok'!L$11)</f>
        <v>0</v>
      </c>
      <c r="M186" s="282">
        <f>SUMIFS('Besi Balok'!$AA$23:$AA$7253,'Besi Balok'!$A$23:$A$7253,$A186,'Besi Balok'!$B$23:$B$7253,$B186,'Besi Balok'!$F$23:$F$7253,'REKAP Balok'!M$11)</f>
        <v>0</v>
      </c>
      <c r="N186" s="282">
        <f>SUMIFS('Besi Balok'!$AA$23:$AA$7253,'Besi Balok'!$A$23:$A$7253,$A186,'Besi Balok'!$B$23:$B$7253,$B186,'Besi Balok'!$F$23:$F$7253,'REKAP Balok'!N$11)</f>
        <v>53.629334999999998</v>
      </c>
      <c r="O186" s="282">
        <f>SUMIFS('Besi Balok'!$AA$23:$AA$7253,'Besi Balok'!$A$23:$A$7253,$A186,'Besi Balok'!$B$23:$B$7253,$B186,'Besi Balok'!$F$23:$F$7253,'REKAP Balok'!O$11)</f>
        <v>0</v>
      </c>
      <c r="P186" s="282">
        <f>SUMIFS('Besi Balok'!$AA$23:$AA$7253,'Besi Balok'!$A$23:$A$7253,$A186,'Besi Balok'!$B$23:$B$7253,$B186,'Besi Balok'!$F$23:$F$7253,'REKAP Balok'!P$11)</f>
        <v>74.032081919999996</v>
      </c>
      <c r="Q186" s="282">
        <f>SUMIFS('Besi Balok'!$AA$23:$AA$7253,'Besi Balok'!$A$23:$A$7253,$A186,'Besi Balok'!$B$23:$B$7253,$B186,'Besi Balok'!$F$23:$F$7253,'REKAP Balok'!Q$11)</f>
        <v>0</v>
      </c>
      <c r="R186" s="282">
        <f>SUMIFS('Besi Balok'!$AA$23:$AA$7253,'Besi Balok'!$A$23:$A$7253,$A186,'Besi Balok'!$B$23:$B$7253,$B186,'Besi Balok'!$F$23:$F$7253,'REKAP Balok'!R$11)</f>
        <v>0</v>
      </c>
      <c r="S186" s="282">
        <f>SUMIFS('Besi Balok'!$AA$23:$AA$7253,'Besi Balok'!$A$23:$A$7253,$A186,'Besi Balok'!$B$23:$B$7253,$B186,'Besi Balok'!$F$23:$F$7253,'REKAP Balok'!S$11)</f>
        <v>0</v>
      </c>
      <c r="T186" s="283">
        <f>SUMIFS('Besi Balok'!$AA$23:$AA$7253,'Besi Balok'!$A$23:$A$7253,$A186,'Besi Balok'!$B$23:$B$7253,$B186,'Besi Balok'!$F$23:$F$7253,'REKAP Balok'!T$11)</f>
        <v>0</v>
      </c>
      <c r="U186" s="284">
        <f t="shared" si="33"/>
        <v>127.66141691999999</v>
      </c>
      <c r="V186" s="285">
        <f t="shared" si="34"/>
        <v>0.54674999999999996</v>
      </c>
      <c r="W186" s="282">
        <f t="shared" si="50"/>
        <v>5.4675000000000002</v>
      </c>
      <c r="X186" s="282"/>
      <c r="Y186" s="282"/>
      <c r="Z186" s="283"/>
      <c r="AC186" s="1784">
        <f t="shared" si="38"/>
        <v>1.458</v>
      </c>
    </row>
    <row r="187" spans="1:29" hidden="1">
      <c r="A187" s="272" t="str">
        <f>'Data Panjang Balok'!A183</f>
        <v>Lantai 3</v>
      </c>
      <c r="B187" s="273">
        <f>'Data Panjang Balok'!B183</f>
        <v>30</v>
      </c>
      <c r="C187" s="274" t="str">
        <f>'Data Panjang Balok'!D183</f>
        <v>CL24-1</v>
      </c>
      <c r="D187" s="275">
        <f>IF(C187&gt;0,VLOOKUP(C187,'Detail Balok'!$C$11:$AU$140,2,FALSE),0)</f>
        <v>200</v>
      </c>
      <c r="E187" s="276" t="s">
        <v>125</v>
      </c>
      <c r="F187" s="277">
        <f>IF(C187&gt;0,VLOOKUP(C187,'Detail Balok'!$C$11:$AU$140,3,FALSE),0)</f>
        <v>400</v>
      </c>
      <c r="G187" s="278">
        <f>'Data Panjang Balok'!I183</f>
        <v>1075</v>
      </c>
      <c r="H187" s="278">
        <f>'Data Panjang Balok'!J183</f>
        <v>150</v>
      </c>
      <c r="I187" s="279">
        <v>0</v>
      </c>
      <c r="J187" s="279">
        <f t="shared" si="32"/>
        <v>-0.4</v>
      </c>
      <c r="K187" s="280">
        <f>'Data Panjang Balok'!E183</f>
        <v>1</v>
      </c>
      <c r="L187" s="281">
        <f>SUMIFS('Besi Balok'!$AA$23:$AA$7253,'Besi Balok'!$A$23:$A$7253,$A187,'Besi Balok'!$B$23:$B$7253,$B187,'Besi Balok'!$F$23:$F$7253,'REKAP Balok'!L$11)</f>
        <v>0</v>
      </c>
      <c r="M187" s="282">
        <f>SUMIFS('Besi Balok'!$AA$23:$AA$7253,'Besi Balok'!$A$23:$A$7253,$A187,'Besi Balok'!$B$23:$B$7253,$B187,'Besi Balok'!$F$23:$F$7253,'REKAP Balok'!M$11)</f>
        <v>0</v>
      </c>
      <c r="N187" s="282">
        <f>SUMIFS('Besi Balok'!$AA$23:$AA$7253,'Besi Balok'!$A$23:$A$7253,$A187,'Besi Balok'!$B$23:$B$7253,$B187,'Besi Balok'!$F$23:$F$7253,'REKAP Balok'!N$11)</f>
        <v>7.6199400000000015</v>
      </c>
      <c r="O187" s="282">
        <f>SUMIFS('Besi Balok'!$AA$23:$AA$7253,'Besi Balok'!$A$23:$A$7253,$A187,'Besi Balok'!$B$23:$B$7253,$B187,'Besi Balok'!$F$23:$F$7253,'REKAP Balok'!O$11)</f>
        <v>0</v>
      </c>
      <c r="P187" s="282">
        <f>SUMIFS('Besi Balok'!$AA$23:$AA$7253,'Besi Balok'!$A$23:$A$7253,$A187,'Besi Balok'!$B$23:$B$7253,$B187,'Besi Balok'!$F$23:$F$7253,'REKAP Balok'!P$11)</f>
        <v>13.81591296</v>
      </c>
      <c r="Q187" s="282">
        <f>SUMIFS('Besi Balok'!$AA$23:$AA$7253,'Besi Balok'!$A$23:$A$7253,$A187,'Besi Balok'!$B$23:$B$7253,$B187,'Besi Balok'!$F$23:$F$7253,'REKAP Balok'!Q$11)</f>
        <v>0</v>
      </c>
      <c r="R187" s="282">
        <f>SUMIFS('Besi Balok'!$AA$23:$AA$7253,'Besi Balok'!$A$23:$A$7253,$A187,'Besi Balok'!$B$23:$B$7253,$B187,'Besi Balok'!$F$23:$F$7253,'REKAP Balok'!R$11)</f>
        <v>0</v>
      </c>
      <c r="S187" s="282">
        <f>SUMIFS('Besi Balok'!$AA$23:$AA$7253,'Besi Balok'!$A$23:$A$7253,$A187,'Besi Balok'!$B$23:$B$7253,$B187,'Besi Balok'!$F$23:$F$7253,'REKAP Balok'!S$11)</f>
        <v>0</v>
      </c>
      <c r="T187" s="283">
        <f>SUMIFS('Besi Balok'!$AA$23:$AA$7253,'Besi Balok'!$A$23:$A$7253,$A187,'Besi Balok'!$B$23:$B$7253,$B187,'Besi Balok'!$F$23:$F$7253,'REKAP Balok'!T$11)</f>
        <v>0</v>
      </c>
      <c r="U187" s="284">
        <f t="shared" si="33"/>
        <v>21.435852960000002</v>
      </c>
      <c r="V187" s="285">
        <f t="shared" si="34"/>
        <v>5.3749999999999999E-2</v>
      </c>
      <c r="W187" s="282">
        <f t="shared" si="50"/>
        <v>0.53749999999999998</v>
      </c>
      <c r="X187" s="282"/>
      <c r="Y187" s="282"/>
      <c r="Z187" s="283"/>
      <c r="AC187" s="1784">
        <f t="shared" si="38"/>
        <v>0.17199999999999999</v>
      </c>
    </row>
    <row r="188" spans="1:29" hidden="1">
      <c r="A188" s="272" t="str">
        <f>'Data Panjang Balok'!A184</f>
        <v>Lantai 3</v>
      </c>
      <c r="B188" s="273">
        <f>'Data Panjang Balok'!B184</f>
        <v>31</v>
      </c>
      <c r="C188" s="274" t="str">
        <f>'Data Panjang Balok'!D184</f>
        <v>CL24-1</v>
      </c>
      <c r="D188" s="275">
        <f>IF(C188&gt;0,VLOOKUP(C188,'Detail Balok'!$C$11:$AU$140,2,FALSE),0)</f>
        <v>200</v>
      </c>
      <c r="E188" s="276" t="s">
        <v>125</v>
      </c>
      <c r="F188" s="277">
        <f>IF(C188&gt;0,VLOOKUP(C188,'Detail Balok'!$C$11:$AU$140,3,FALSE),0)</f>
        <v>400</v>
      </c>
      <c r="G188" s="278">
        <f>'Data Panjang Balok'!I184</f>
        <v>8150</v>
      </c>
      <c r="H188" s="278">
        <f>'Data Panjang Balok'!J184</f>
        <v>150</v>
      </c>
      <c r="I188" s="279">
        <v>0</v>
      </c>
      <c r="J188" s="279">
        <f t="shared" si="32"/>
        <v>-0.4</v>
      </c>
      <c r="K188" s="280">
        <f>'Data Panjang Balok'!E184</f>
        <v>1</v>
      </c>
      <c r="L188" s="281">
        <f>SUMIFS('Besi Balok'!$AA$23:$AA$7253,'Besi Balok'!$A$23:$A$7253,$A188,'Besi Balok'!$B$23:$B$7253,$B188,'Besi Balok'!$F$23:$F$7253,'REKAP Balok'!L$11)</f>
        <v>0</v>
      </c>
      <c r="M188" s="282">
        <f>SUMIFS('Besi Balok'!$AA$23:$AA$7253,'Besi Balok'!$A$23:$A$7253,$A188,'Besi Balok'!$B$23:$B$7253,$B188,'Besi Balok'!$F$23:$F$7253,'REKAP Balok'!M$11)</f>
        <v>0</v>
      </c>
      <c r="N188" s="282">
        <f>SUMIFS('Besi Balok'!$AA$23:$AA$7253,'Besi Balok'!$A$23:$A$7253,$A188,'Besi Balok'!$B$23:$B$7253,$B188,'Besi Balok'!$F$23:$F$7253,'REKAP Balok'!N$11)</f>
        <v>52.704585000000009</v>
      </c>
      <c r="O188" s="282">
        <f>SUMIFS('Besi Balok'!$AA$23:$AA$7253,'Besi Balok'!$A$23:$A$7253,$A188,'Besi Balok'!$B$23:$B$7253,$B188,'Besi Balok'!$F$23:$F$7253,'REKAP Balok'!O$11)</f>
        <v>0</v>
      </c>
      <c r="P188" s="282">
        <f>SUMIFS('Besi Balok'!$AA$23:$AA$7253,'Besi Balok'!$A$23:$A$7253,$A188,'Besi Balok'!$B$23:$B$7253,$B188,'Besi Balok'!$F$23:$F$7253,'REKAP Balok'!P$11)</f>
        <v>80.812200960000013</v>
      </c>
      <c r="Q188" s="282">
        <f>SUMIFS('Besi Balok'!$AA$23:$AA$7253,'Besi Balok'!$A$23:$A$7253,$A188,'Besi Balok'!$B$23:$B$7253,$B188,'Besi Balok'!$F$23:$F$7253,'REKAP Balok'!Q$11)</f>
        <v>0</v>
      </c>
      <c r="R188" s="282">
        <f>SUMIFS('Besi Balok'!$AA$23:$AA$7253,'Besi Balok'!$A$23:$A$7253,$A188,'Besi Balok'!$B$23:$B$7253,$B188,'Besi Balok'!$F$23:$F$7253,'REKAP Balok'!R$11)</f>
        <v>0</v>
      </c>
      <c r="S188" s="282">
        <f>SUMIFS('Besi Balok'!$AA$23:$AA$7253,'Besi Balok'!$A$23:$A$7253,$A188,'Besi Balok'!$B$23:$B$7253,$B188,'Besi Balok'!$F$23:$F$7253,'REKAP Balok'!S$11)</f>
        <v>0</v>
      </c>
      <c r="T188" s="283">
        <f>SUMIFS('Besi Balok'!$AA$23:$AA$7253,'Besi Balok'!$A$23:$A$7253,$A188,'Besi Balok'!$B$23:$B$7253,$B188,'Besi Balok'!$F$23:$F$7253,'REKAP Balok'!T$11)</f>
        <v>0</v>
      </c>
      <c r="U188" s="284">
        <f t="shared" si="33"/>
        <v>133.51678596000002</v>
      </c>
      <c r="V188" s="285">
        <f t="shared" si="34"/>
        <v>0.40749999999999997</v>
      </c>
      <c r="W188" s="282">
        <f t="shared" si="50"/>
        <v>4.0750000000000002</v>
      </c>
      <c r="X188" s="282"/>
      <c r="Y188" s="282"/>
      <c r="Z188" s="283"/>
      <c r="AC188" s="1784">
        <f t="shared" si="38"/>
        <v>1.304</v>
      </c>
    </row>
    <row r="189" spans="1:29" hidden="1">
      <c r="A189" s="272" t="str">
        <f>'Data Panjang Balok'!A185</f>
        <v>Lantai 3</v>
      </c>
      <c r="B189" s="273">
        <f>'Data Panjang Balok'!B185</f>
        <v>32</v>
      </c>
      <c r="C189" s="274" t="str">
        <f>'Data Panjang Balok'!D185</f>
        <v>B25-1</v>
      </c>
      <c r="D189" s="275">
        <f>IF(C189&gt;0,VLOOKUP(C189,'Detail Balok'!$C$11:$AU$140,2,FALSE),0)</f>
        <v>200</v>
      </c>
      <c r="E189" s="276" t="s">
        <v>125</v>
      </c>
      <c r="F189" s="277">
        <f>IF(C189&gt;0,VLOOKUP(C189,'Detail Balok'!$C$11:$AU$140,3,FALSE),0)</f>
        <v>500</v>
      </c>
      <c r="G189" s="278">
        <f>'Data Panjang Balok'!I185</f>
        <v>5425</v>
      </c>
      <c r="H189" s="278">
        <f>'Data Panjang Balok'!J185</f>
        <v>150</v>
      </c>
      <c r="I189" s="279">
        <v>0</v>
      </c>
      <c r="J189" s="279">
        <f t="shared" si="32"/>
        <v>-0.5</v>
      </c>
      <c r="K189" s="280">
        <f>'Data Panjang Balok'!E185</f>
        <v>1</v>
      </c>
      <c r="L189" s="281">
        <f>SUMIFS('Besi Balok'!$AA$23:$AA$7253,'Besi Balok'!$A$23:$A$7253,$A189,'Besi Balok'!$B$23:$B$7253,$B189,'Besi Balok'!$F$23:$F$7253,'REKAP Balok'!L$11)</f>
        <v>0</v>
      </c>
      <c r="M189" s="282">
        <f>SUMIFS('Besi Balok'!$AA$23:$AA$7253,'Besi Balok'!$A$23:$A$7253,$A189,'Besi Balok'!$B$23:$B$7253,$B189,'Besi Balok'!$F$23:$F$7253,'REKAP Balok'!M$11)</f>
        <v>0</v>
      </c>
      <c r="N189" s="282">
        <f>SUMIFS('Besi Balok'!$AA$23:$AA$7253,'Besi Balok'!$A$23:$A$7253,$A189,'Besi Balok'!$B$23:$B$7253,$B189,'Besi Balok'!$F$23:$F$7253,'REKAP Balok'!N$11)</f>
        <v>32.766975000000002</v>
      </c>
      <c r="O189" s="282">
        <f>SUMIFS('Besi Balok'!$AA$23:$AA$7253,'Besi Balok'!$A$23:$A$7253,$A189,'Besi Balok'!$B$23:$B$7253,$B189,'Besi Balok'!$F$23:$F$7253,'REKAP Balok'!O$11)</f>
        <v>0</v>
      </c>
      <c r="P189" s="282">
        <f>SUMIFS('Besi Balok'!$AA$23:$AA$7253,'Besi Balok'!$A$23:$A$7253,$A189,'Besi Balok'!$B$23:$B$7253,$B189,'Besi Balok'!$F$23:$F$7253,'REKAP Balok'!P$11)</f>
        <v>73.343969279999996</v>
      </c>
      <c r="Q189" s="282">
        <f>SUMIFS('Besi Balok'!$AA$23:$AA$7253,'Besi Balok'!$A$23:$A$7253,$A189,'Besi Balok'!$B$23:$B$7253,$B189,'Besi Balok'!$F$23:$F$7253,'REKAP Balok'!Q$11)</f>
        <v>0</v>
      </c>
      <c r="R189" s="282">
        <f>SUMIFS('Besi Balok'!$AA$23:$AA$7253,'Besi Balok'!$A$23:$A$7253,$A189,'Besi Balok'!$B$23:$B$7253,$B189,'Besi Balok'!$F$23:$F$7253,'REKAP Balok'!R$11)</f>
        <v>0</v>
      </c>
      <c r="S189" s="282">
        <f>SUMIFS('Besi Balok'!$AA$23:$AA$7253,'Besi Balok'!$A$23:$A$7253,$A189,'Besi Balok'!$B$23:$B$7253,$B189,'Besi Balok'!$F$23:$F$7253,'REKAP Balok'!S$11)</f>
        <v>0</v>
      </c>
      <c r="T189" s="283">
        <f>SUMIFS('Besi Balok'!$AA$23:$AA$7253,'Besi Balok'!$A$23:$A$7253,$A189,'Besi Balok'!$B$23:$B$7253,$B189,'Besi Balok'!$F$23:$F$7253,'REKAP Balok'!T$11)</f>
        <v>0</v>
      </c>
      <c r="U189" s="284">
        <f t="shared" si="33"/>
        <v>106.11094428</v>
      </c>
      <c r="V189" s="285">
        <f t="shared" si="34"/>
        <v>0.37974999999999998</v>
      </c>
      <c r="W189" s="282">
        <f t="shared" si="50"/>
        <v>3.7974999999999999</v>
      </c>
      <c r="X189" s="282"/>
      <c r="Y189" s="282"/>
      <c r="Z189" s="283"/>
      <c r="AC189" s="1784">
        <f t="shared" si="38"/>
        <v>1.085</v>
      </c>
    </row>
    <row r="190" spans="1:29" hidden="1">
      <c r="A190" s="272" t="str">
        <f>'Data Panjang Balok'!A186</f>
        <v>Lantai 3</v>
      </c>
      <c r="B190" s="273">
        <f>'Data Panjang Balok'!B186</f>
        <v>33</v>
      </c>
      <c r="C190" s="274" t="str">
        <f>'Data Panjang Balok'!D186</f>
        <v>B26-1</v>
      </c>
      <c r="D190" s="275">
        <f>IF(C190&gt;0,VLOOKUP(C190,'Detail Balok'!$C$11:$AU$140,2,FALSE),0)</f>
        <v>200</v>
      </c>
      <c r="E190" s="276" t="s">
        <v>125</v>
      </c>
      <c r="F190" s="277">
        <f>IF(C190&gt;0,VLOOKUP(C190,'Detail Balok'!$C$11:$AU$140,3,FALSE),0)</f>
        <v>600</v>
      </c>
      <c r="G190" s="278">
        <f>'Data Panjang Balok'!I186</f>
        <v>5585</v>
      </c>
      <c r="H190" s="278">
        <f>'Data Panjang Balok'!J186</f>
        <v>150</v>
      </c>
      <c r="I190" s="279">
        <v>0</v>
      </c>
      <c r="J190" s="279">
        <f t="shared" si="32"/>
        <v>-0.6</v>
      </c>
      <c r="K190" s="280">
        <f>'Data Panjang Balok'!E186</f>
        <v>1</v>
      </c>
      <c r="L190" s="281">
        <f>SUMIFS('Besi Balok'!$AA$23:$AA$7253,'Besi Balok'!$A$23:$A$7253,$A190,'Besi Balok'!$B$23:$B$7253,$B190,'Besi Balok'!$F$23:$F$7253,'REKAP Balok'!L$11)</f>
        <v>0</v>
      </c>
      <c r="M190" s="282">
        <f>SUMIFS('Besi Balok'!$AA$23:$AA$7253,'Besi Balok'!$A$23:$A$7253,$A190,'Besi Balok'!$B$23:$B$7253,$B190,'Besi Balok'!$F$23:$F$7253,'REKAP Balok'!M$11)</f>
        <v>0</v>
      </c>
      <c r="N190" s="282">
        <f>SUMIFS('Besi Balok'!$AA$23:$AA$7253,'Besi Balok'!$A$23:$A$7253,$A190,'Besi Balok'!$B$23:$B$7253,$B190,'Besi Balok'!$F$23:$F$7253,'REKAP Balok'!N$11)</f>
        <v>50.380380000000002</v>
      </c>
      <c r="O190" s="282">
        <f>SUMIFS('Besi Balok'!$AA$23:$AA$7253,'Besi Balok'!$A$23:$A$7253,$A190,'Besi Balok'!$B$23:$B$7253,$B190,'Besi Balok'!$F$23:$F$7253,'REKAP Balok'!O$11)</f>
        <v>0</v>
      </c>
      <c r="P190" s="282">
        <f>SUMIFS('Besi Balok'!$AA$23:$AA$7253,'Besi Balok'!$A$23:$A$7253,$A190,'Besi Balok'!$B$23:$B$7253,$B190,'Besi Balok'!$F$23:$F$7253,'REKAP Balok'!P$11)</f>
        <v>68.4640512</v>
      </c>
      <c r="Q190" s="282">
        <f>SUMIFS('Besi Balok'!$AA$23:$AA$7253,'Besi Balok'!$A$23:$A$7253,$A190,'Besi Balok'!$B$23:$B$7253,$B190,'Besi Balok'!$F$23:$F$7253,'REKAP Balok'!Q$11)</f>
        <v>0</v>
      </c>
      <c r="R190" s="282">
        <f>SUMIFS('Besi Balok'!$AA$23:$AA$7253,'Besi Balok'!$A$23:$A$7253,$A190,'Besi Balok'!$B$23:$B$7253,$B190,'Besi Balok'!$F$23:$F$7253,'REKAP Balok'!R$11)</f>
        <v>0</v>
      </c>
      <c r="S190" s="282">
        <f>SUMIFS('Besi Balok'!$AA$23:$AA$7253,'Besi Balok'!$A$23:$A$7253,$A190,'Besi Balok'!$B$23:$B$7253,$B190,'Besi Balok'!$F$23:$F$7253,'REKAP Balok'!S$11)</f>
        <v>0</v>
      </c>
      <c r="T190" s="283">
        <f>SUMIFS('Besi Balok'!$AA$23:$AA$7253,'Besi Balok'!$A$23:$A$7253,$A190,'Besi Balok'!$B$23:$B$7253,$B190,'Besi Balok'!$F$23:$F$7253,'REKAP Balok'!T$11)</f>
        <v>0</v>
      </c>
      <c r="U190" s="284">
        <f t="shared" si="33"/>
        <v>118.8444312</v>
      </c>
      <c r="V190" s="285">
        <f t="shared" si="34"/>
        <v>0.50265000000000004</v>
      </c>
      <c r="W190" s="282">
        <f t="shared" si="50"/>
        <v>5.0265000000000004</v>
      </c>
      <c r="X190" s="282"/>
      <c r="Y190" s="282"/>
      <c r="Z190" s="283"/>
      <c r="AC190" s="1784">
        <f t="shared" si="38"/>
        <v>1.3404</v>
      </c>
    </row>
    <row r="191" spans="1:29" hidden="1">
      <c r="A191" s="272" t="str">
        <f>'Data Panjang Balok'!A187</f>
        <v>Lantai 3</v>
      </c>
      <c r="B191" s="273">
        <f>'Data Panjang Balok'!B187</f>
        <v>34</v>
      </c>
      <c r="C191" s="274" t="str">
        <f>'Data Panjang Balok'!D187</f>
        <v>B26-1</v>
      </c>
      <c r="D191" s="275">
        <f>IF(C191&gt;0,VLOOKUP(C191,'Detail Balok'!$C$11:$AU$140,2,FALSE),0)</f>
        <v>200</v>
      </c>
      <c r="E191" s="276" t="s">
        <v>125</v>
      </c>
      <c r="F191" s="277">
        <f>IF(C191&gt;0,VLOOKUP(C191,'Detail Balok'!$C$11:$AU$140,3,FALSE),0)</f>
        <v>600</v>
      </c>
      <c r="G191" s="278">
        <f>'Data Panjang Balok'!I187</f>
        <v>5325</v>
      </c>
      <c r="H191" s="278">
        <f>'Data Panjang Balok'!J187</f>
        <v>150</v>
      </c>
      <c r="I191" s="279">
        <v>0</v>
      </c>
      <c r="J191" s="279">
        <f t="shared" si="32"/>
        <v>-0.6</v>
      </c>
      <c r="K191" s="280">
        <f>'Data Panjang Balok'!E187</f>
        <v>1</v>
      </c>
      <c r="L191" s="281">
        <f>SUMIFS('Besi Balok'!$AA$23:$AA$7253,'Besi Balok'!$A$23:$A$7253,$A191,'Besi Balok'!$B$23:$B$7253,$B191,'Besi Balok'!$F$23:$F$7253,'REKAP Balok'!L$11)</f>
        <v>0</v>
      </c>
      <c r="M191" s="282">
        <f>SUMIFS('Besi Balok'!$AA$23:$AA$7253,'Besi Balok'!$A$23:$A$7253,$A191,'Besi Balok'!$B$23:$B$7253,$B191,'Besi Balok'!$F$23:$F$7253,'REKAP Balok'!M$11)</f>
        <v>0</v>
      </c>
      <c r="N191" s="282">
        <f>SUMIFS('Besi Balok'!$AA$23:$AA$7253,'Besi Balok'!$A$23:$A$7253,$A191,'Besi Balok'!$B$23:$B$7253,$B191,'Besi Balok'!$F$23:$F$7253,'REKAP Balok'!N$11)</f>
        <v>47.415014999999997</v>
      </c>
      <c r="O191" s="282">
        <f>SUMIFS('Besi Balok'!$AA$23:$AA$7253,'Besi Balok'!$A$23:$A$7253,$A191,'Besi Balok'!$B$23:$B$7253,$B191,'Besi Balok'!$F$23:$F$7253,'REKAP Balok'!O$11)</f>
        <v>0</v>
      </c>
      <c r="P191" s="282">
        <f>SUMIFS('Besi Balok'!$AA$23:$AA$7253,'Besi Balok'!$A$23:$A$7253,$A191,'Besi Balok'!$B$23:$B$7253,$B191,'Besi Balok'!$F$23:$F$7253,'REKAP Balok'!P$11)</f>
        <v>65.509585920000006</v>
      </c>
      <c r="Q191" s="282">
        <f>SUMIFS('Besi Balok'!$AA$23:$AA$7253,'Besi Balok'!$A$23:$A$7253,$A191,'Besi Balok'!$B$23:$B$7253,$B191,'Besi Balok'!$F$23:$F$7253,'REKAP Balok'!Q$11)</f>
        <v>0</v>
      </c>
      <c r="R191" s="282">
        <f>SUMIFS('Besi Balok'!$AA$23:$AA$7253,'Besi Balok'!$A$23:$A$7253,$A191,'Besi Balok'!$B$23:$B$7253,$B191,'Besi Balok'!$F$23:$F$7253,'REKAP Balok'!R$11)</f>
        <v>0</v>
      </c>
      <c r="S191" s="282">
        <f>SUMIFS('Besi Balok'!$AA$23:$AA$7253,'Besi Balok'!$A$23:$A$7253,$A191,'Besi Balok'!$B$23:$B$7253,$B191,'Besi Balok'!$F$23:$F$7253,'REKAP Balok'!S$11)</f>
        <v>0</v>
      </c>
      <c r="T191" s="283">
        <f>SUMIFS('Besi Balok'!$AA$23:$AA$7253,'Besi Balok'!$A$23:$A$7253,$A191,'Besi Balok'!$B$23:$B$7253,$B191,'Besi Balok'!$F$23:$F$7253,'REKAP Balok'!T$11)</f>
        <v>0</v>
      </c>
      <c r="U191" s="284">
        <f t="shared" si="33"/>
        <v>112.92460092</v>
      </c>
      <c r="V191" s="285">
        <f t="shared" si="34"/>
        <v>0.47925000000000001</v>
      </c>
      <c r="W191" s="282">
        <f t="shared" si="50"/>
        <v>4.7925000000000004</v>
      </c>
      <c r="X191" s="282"/>
      <c r="Y191" s="282"/>
      <c r="Z191" s="283"/>
      <c r="AC191" s="1784">
        <f t="shared" si="38"/>
        <v>1.278</v>
      </c>
    </row>
    <row r="192" spans="1:29" hidden="1">
      <c r="A192" s="272" t="str">
        <f>'Data Panjang Balok'!A188</f>
        <v>Lantai 3</v>
      </c>
      <c r="B192" s="273">
        <f>'Data Panjang Balok'!B188</f>
        <v>35</v>
      </c>
      <c r="C192" s="274" t="str">
        <f>'Data Panjang Balok'!D188</f>
        <v>B24-1</v>
      </c>
      <c r="D192" s="275">
        <f>IF(C192&gt;0,VLOOKUP(C192,'Detail Balok'!$C$11:$AU$140,2,FALSE),0)</f>
        <v>200</v>
      </c>
      <c r="E192" s="276" t="s">
        <v>125</v>
      </c>
      <c r="F192" s="277">
        <f>IF(C192&gt;0,VLOOKUP(C192,'Detail Balok'!$C$11:$AU$140,3,FALSE),0)</f>
        <v>400</v>
      </c>
      <c r="G192" s="278">
        <f>'Data Panjang Balok'!I188</f>
        <v>3500</v>
      </c>
      <c r="H192" s="278">
        <f>'Data Panjang Balok'!J188</f>
        <v>150</v>
      </c>
      <c r="I192" s="279">
        <v>0</v>
      </c>
      <c r="J192" s="279">
        <f t="shared" si="32"/>
        <v>-0.4</v>
      </c>
      <c r="K192" s="280">
        <f>'Data Panjang Balok'!E188</f>
        <v>1</v>
      </c>
      <c r="L192" s="281">
        <f>SUMIFS('Besi Balok'!$AA$23:$AA$7253,'Besi Balok'!$A$23:$A$7253,$A192,'Besi Balok'!$B$23:$B$7253,$B192,'Besi Balok'!$F$23:$F$7253,'REKAP Balok'!L$11)</f>
        <v>0</v>
      </c>
      <c r="M192" s="282">
        <f>SUMIFS('Besi Balok'!$AA$23:$AA$7253,'Besi Balok'!$A$23:$A$7253,$A192,'Besi Balok'!$B$23:$B$7253,$B192,'Besi Balok'!$F$23:$F$7253,'REKAP Balok'!M$11)</f>
        <v>0</v>
      </c>
      <c r="N192" s="282">
        <f>SUMIFS('Besi Balok'!$AA$23:$AA$7253,'Besi Balok'!$A$23:$A$7253,$A192,'Besi Balok'!$B$23:$B$7253,$B192,'Besi Balok'!$F$23:$F$7253,'REKAP Balok'!N$11)</f>
        <v>18.414855000000003</v>
      </c>
      <c r="O192" s="282">
        <f>SUMIFS('Besi Balok'!$AA$23:$AA$7253,'Besi Balok'!$A$23:$A$7253,$A192,'Besi Balok'!$B$23:$B$7253,$B192,'Besi Balok'!$F$23:$F$7253,'REKAP Balok'!O$11)</f>
        <v>23.829993719999994</v>
      </c>
      <c r="P192" s="282">
        <f>SUMIFS('Besi Balok'!$AA$23:$AA$7253,'Besi Balok'!$A$23:$A$7253,$A192,'Besi Balok'!$B$23:$B$7253,$B192,'Besi Balok'!$F$23:$F$7253,'REKAP Balok'!P$11)</f>
        <v>0</v>
      </c>
      <c r="Q192" s="282">
        <f>SUMIFS('Besi Balok'!$AA$23:$AA$7253,'Besi Balok'!$A$23:$A$7253,$A192,'Besi Balok'!$B$23:$B$7253,$B192,'Besi Balok'!$F$23:$F$7253,'REKAP Balok'!Q$11)</f>
        <v>0</v>
      </c>
      <c r="R192" s="282">
        <f>SUMIFS('Besi Balok'!$AA$23:$AA$7253,'Besi Balok'!$A$23:$A$7253,$A192,'Besi Balok'!$B$23:$B$7253,$B192,'Besi Balok'!$F$23:$F$7253,'REKAP Balok'!R$11)</f>
        <v>0</v>
      </c>
      <c r="S192" s="282">
        <f>SUMIFS('Besi Balok'!$AA$23:$AA$7253,'Besi Balok'!$A$23:$A$7253,$A192,'Besi Balok'!$B$23:$B$7253,$B192,'Besi Balok'!$F$23:$F$7253,'REKAP Balok'!S$11)</f>
        <v>0</v>
      </c>
      <c r="T192" s="283">
        <f>SUMIFS('Besi Balok'!$AA$23:$AA$7253,'Besi Balok'!$A$23:$A$7253,$A192,'Besi Balok'!$B$23:$B$7253,$B192,'Besi Balok'!$F$23:$F$7253,'REKAP Balok'!T$11)</f>
        <v>0</v>
      </c>
      <c r="U192" s="284">
        <f t="shared" si="33"/>
        <v>42.244848719999993</v>
      </c>
      <c r="V192" s="285">
        <f t="shared" si="34"/>
        <v>0.17499999999999999</v>
      </c>
      <c r="W192" s="282">
        <f t="shared" si="50"/>
        <v>1.75</v>
      </c>
      <c r="X192" s="282"/>
      <c r="Y192" s="282"/>
      <c r="Z192" s="283"/>
      <c r="AC192" s="1784">
        <f t="shared" si="38"/>
        <v>0.56000000000000005</v>
      </c>
    </row>
    <row r="193" spans="1:29" hidden="1">
      <c r="A193" s="272" t="str">
        <f>'Data Panjang Balok'!A189</f>
        <v>Lantai 3</v>
      </c>
      <c r="B193" s="273">
        <f>'Data Panjang Balok'!B189</f>
        <v>36</v>
      </c>
      <c r="C193" s="274" t="str">
        <f>'Data Panjang Balok'!D189</f>
        <v>CL24-1</v>
      </c>
      <c r="D193" s="275">
        <f>IF(C193&gt;0,VLOOKUP(C193,'Detail Balok'!$C$11:$AU$140,2,FALSE),0)</f>
        <v>200</v>
      </c>
      <c r="E193" s="276" t="s">
        <v>125</v>
      </c>
      <c r="F193" s="277">
        <f>IF(C193&gt;0,VLOOKUP(C193,'Detail Balok'!$C$11:$AU$140,3,FALSE),0)</f>
        <v>400</v>
      </c>
      <c r="G193" s="278">
        <f>'Data Panjang Balok'!I189</f>
        <v>1250</v>
      </c>
      <c r="H193" s="278">
        <f>'Data Panjang Balok'!J189</f>
        <v>150</v>
      </c>
      <c r="I193" s="279">
        <v>0</v>
      </c>
      <c r="J193" s="279">
        <f t="shared" si="32"/>
        <v>-0.4</v>
      </c>
      <c r="K193" s="280">
        <f>'Data Panjang Balok'!E189</f>
        <v>1</v>
      </c>
      <c r="L193" s="281">
        <f>SUMIFS('Besi Balok'!$AA$23:$AA$7253,'Besi Balok'!$A$23:$A$7253,$A193,'Besi Balok'!$B$23:$B$7253,$B193,'Besi Balok'!$F$23:$F$7253,'REKAP Balok'!L$11)</f>
        <v>0</v>
      </c>
      <c r="M193" s="282">
        <f>SUMIFS('Besi Balok'!$AA$23:$AA$7253,'Besi Balok'!$A$23:$A$7253,$A193,'Besi Balok'!$B$23:$B$7253,$B193,'Besi Balok'!$F$23:$F$7253,'REKAP Balok'!M$11)</f>
        <v>0</v>
      </c>
      <c r="N193" s="282">
        <f>SUMIFS('Besi Balok'!$AA$23:$AA$7253,'Besi Balok'!$A$23:$A$7253,$A193,'Besi Balok'!$B$23:$B$7253,$B193,'Besi Balok'!$F$23:$F$7253,'REKAP Balok'!N$11)</f>
        <v>8.8899300000000014</v>
      </c>
      <c r="O193" s="282">
        <f>SUMIFS('Besi Balok'!$AA$23:$AA$7253,'Besi Balok'!$A$23:$A$7253,$A193,'Besi Balok'!$B$23:$B$7253,$B193,'Besi Balok'!$F$23:$F$7253,'REKAP Balok'!O$11)</f>
        <v>0</v>
      </c>
      <c r="P193" s="282">
        <f>SUMIFS('Besi Balok'!$AA$23:$AA$7253,'Besi Balok'!$A$23:$A$7253,$A193,'Besi Balok'!$B$23:$B$7253,$B193,'Besi Balok'!$F$23:$F$7253,'REKAP Balok'!P$11)</f>
        <v>15.47306496</v>
      </c>
      <c r="Q193" s="282">
        <f>SUMIFS('Besi Balok'!$AA$23:$AA$7253,'Besi Balok'!$A$23:$A$7253,$A193,'Besi Balok'!$B$23:$B$7253,$B193,'Besi Balok'!$F$23:$F$7253,'REKAP Balok'!Q$11)</f>
        <v>0</v>
      </c>
      <c r="R193" s="282">
        <f>SUMIFS('Besi Balok'!$AA$23:$AA$7253,'Besi Balok'!$A$23:$A$7253,$A193,'Besi Balok'!$B$23:$B$7253,$B193,'Besi Balok'!$F$23:$F$7253,'REKAP Balok'!R$11)</f>
        <v>0</v>
      </c>
      <c r="S193" s="282">
        <f>SUMIFS('Besi Balok'!$AA$23:$AA$7253,'Besi Balok'!$A$23:$A$7253,$A193,'Besi Balok'!$B$23:$B$7253,$B193,'Besi Balok'!$F$23:$F$7253,'REKAP Balok'!S$11)</f>
        <v>0</v>
      </c>
      <c r="T193" s="283">
        <f>SUMIFS('Besi Balok'!$AA$23:$AA$7253,'Besi Balok'!$A$23:$A$7253,$A193,'Besi Balok'!$B$23:$B$7253,$B193,'Besi Balok'!$F$23:$F$7253,'REKAP Balok'!T$11)</f>
        <v>0</v>
      </c>
      <c r="U193" s="284">
        <f t="shared" si="33"/>
        <v>24.362994960000002</v>
      </c>
      <c r="V193" s="285">
        <f t="shared" si="34"/>
        <v>6.25E-2</v>
      </c>
      <c r="W193" s="282">
        <f t="shared" si="50"/>
        <v>0.625</v>
      </c>
      <c r="X193" s="282"/>
      <c r="Y193" s="282"/>
      <c r="Z193" s="283"/>
      <c r="AC193" s="1784">
        <f t="shared" si="38"/>
        <v>0.2</v>
      </c>
    </row>
    <row r="194" spans="1:29" hidden="1">
      <c r="A194" s="272" t="str">
        <f>'Data Panjang Balok'!A190</f>
        <v>Lantai 3</v>
      </c>
      <c r="B194" s="273">
        <f>'Data Panjang Balok'!B190</f>
        <v>37</v>
      </c>
      <c r="C194" s="274" t="str">
        <f>'Data Panjang Balok'!D190</f>
        <v>B25-1</v>
      </c>
      <c r="D194" s="275">
        <f>IF(C194&gt;0,VLOOKUP(C194,'Detail Balok'!$C$11:$AU$140,2,FALSE),0)</f>
        <v>200</v>
      </c>
      <c r="E194" s="276" t="s">
        <v>125</v>
      </c>
      <c r="F194" s="277">
        <f>IF(C194&gt;0,VLOOKUP(C194,'Detail Balok'!$C$11:$AU$140,3,FALSE),0)</f>
        <v>500</v>
      </c>
      <c r="G194" s="278">
        <f>'Data Panjang Balok'!I190</f>
        <v>4075</v>
      </c>
      <c r="H194" s="278">
        <f>'Data Panjang Balok'!J190</f>
        <v>150</v>
      </c>
      <c r="I194" s="279">
        <v>0</v>
      </c>
      <c r="J194" s="279">
        <f t="shared" si="32"/>
        <v>-0.5</v>
      </c>
      <c r="K194" s="280">
        <f>'Data Panjang Balok'!E190</f>
        <v>1</v>
      </c>
      <c r="L194" s="281">
        <f>SUMIFS('Besi Balok'!$AA$23:$AA$7253,'Besi Balok'!$A$23:$A$7253,$A194,'Besi Balok'!$B$23:$B$7253,$B194,'Besi Balok'!$F$23:$F$7253,'REKAP Balok'!L$11)</f>
        <v>0</v>
      </c>
      <c r="M194" s="282">
        <f>SUMIFS('Besi Balok'!$AA$23:$AA$7253,'Besi Balok'!$A$23:$A$7253,$A194,'Besi Balok'!$B$23:$B$7253,$B194,'Besi Balok'!$F$23:$F$7253,'REKAP Balok'!M$11)</f>
        <v>0</v>
      </c>
      <c r="N194" s="282">
        <f>SUMIFS('Besi Balok'!$AA$23:$AA$7253,'Besi Balok'!$A$23:$A$7253,$A194,'Besi Balok'!$B$23:$B$7253,$B194,'Besi Balok'!$F$23:$F$7253,'REKAP Balok'!N$11)</f>
        <v>25.036065000000001</v>
      </c>
      <c r="O194" s="282">
        <f>SUMIFS('Besi Balok'!$AA$23:$AA$7253,'Besi Balok'!$A$23:$A$7253,$A194,'Besi Balok'!$B$23:$B$7253,$B194,'Besi Balok'!$F$23:$F$7253,'REKAP Balok'!O$11)</f>
        <v>0</v>
      </c>
      <c r="P194" s="282">
        <f>SUMIFS('Besi Balok'!$AA$23:$AA$7253,'Besi Balok'!$A$23:$A$7253,$A194,'Besi Balok'!$B$23:$B$7253,$B194,'Besi Balok'!$F$23:$F$7253,'REKAP Balok'!P$11)</f>
        <v>56.298977279999995</v>
      </c>
      <c r="Q194" s="282">
        <f>SUMIFS('Besi Balok'!$AA$23:$AA$7253,'Besi Balok'!$A$23:$A$7253,$A194,'Besi Balok'!$B$23:$B$7253,$B194,'Besi Balok'!$F$23:$F$7253,'REKAP Balok'!Q$11)</f>
        <v>0</v>
      </c>
      <c r="R194" s="282">
        <f>SUMIFS('Besi Balok'!$AA$23:$AA$7253,'Besi Balok'!$A$23:$A$7253,$A194,'Besi Balok'!$B$23:$B$7253,$B194,'Besi Balok'!$F$23:$F$7253,'REKAP Balok'!R$11)</f>
        <v>0</v>
      </c>
      <c r="S194" s="282">
        <f>SUMIFS('Besi Balok'!$AA$23:$AA$7253,'Besi Balok'!$A$23:$A$7253,$A194,'Besi Balok'!$B$23:$B$7253,$B194,'Besi Balok'!$F$23:$F$7253,'REKAP Balok'!S$11)</f>
        <v>0</v>
      </c>
      <c r="T194" s="283">
        <f>SUMIFS('Besi Balok'!$AA$23:$AA$7253,'Besi Balok'!$A$23:$A$7253,$A194,'Besi Balok'!$B$23:$B$7253,$B194,'Besi Balok'!$F$23:$F$7253,'REKAP Balok'!T$11)</f>
        <v>0</v>
      </c>
      <c r="U194" s="284">
        <f t="shared" si="33"/>
        <v>81.335042279999996</v>
      </c>
      <c r="V194" s="285">
        <f t="shared" si="34"/>
        <v>0.28525</v>
      </c>
      <c r="W194" s="282">
        <f t="shared" si="50"/>
        <v>2.8525</v>
      </c>
      <c r="X194" s="282"/>
      <c r="Y194" s="282"/>
      <c r="Z194" s="283"/>
      <c r="AC194" s="1784">
        <f t="shared" si="38"/>
        <v>0.81499999999999995</v>
      </c>
    </row>
    <row r="195" spans="1:29" hidden="1">
      <c r="A195" s="272" t="str">
        <f>'Data Panjang Balok'!A191</f>
        <v>Lantai 3</v>
      </c>
      <c r="B195" s="273">
        <f>'Data Panjang Balok'!B191</f>
        <v>38</v>
      </c>
      <c r="C195" s="274" t="str">
        <f>'Data Panjang Balok'!D191</f>
        <v>B24-1</v>
      </c>
      <c r="D195" s="275">
        <f>IF(C195&gt;0,VLOOKUP(C195,'Detail Balok'!$C$11:$AU$140,2,FALSE),0)</f>
        <v>200</v>
      </c>
      <c r="E195" s="276" t="s">
        <v>125</v>
      </c>
      <c r="F195" s="277">
        <f>IF(C195&gt;0,VLOOKUP(C195,'Detail Balok'!$C$11:$AU$140,3,FALSE),0)</f>
        <v>400</v>
      </c>
      <c r="G195" s="278">
        <f>'Data Panjang Balok'!I191</f>
        <v>2875</v>
      </c>
      <c r="H195" s="278">
        <f>'Data Panjang Balok'!J191</f>
        <v>150</v>
      </c>
      <c r="I195" s="279">
        <v>0</v>
      </c>
      <c r="J195" s="279">
        <f t="shared" si="32"/>
        <v>-0.4</v>
      </c>
      <c r="K195" s="280">
        <f>'Data Panjang Balok'!E191</f>
        <v>1</v>
      </c>
      <c r="L195" s="281">
        <f>SUMIFS('Besi Balok'!$AA$23:$AA$7253,'Besi Balok'!$A$23:$A$7253,$A195,'Besi Balok'!$B$23:$B$7253,$B195,'Besi Balok'!$F$23:$F$7253,'REKAP Balok'!L$11)</f>
        <v>0</v>
      </c>
      <c r="M195" s="282">
        <f>SUMIFS('Besi Balok'!$AA$23:$AA$7253,'Besi Balok'!$A$23:$A$7253,$A195,'Besi Balok'!$B$23:$B$7253,$B195,'Besi Balok'!$F$23:$F$7253,'REKAP Balok'!M$11)</f>
        <v>0</v>
      </c>
      <c r="N195" s="282">
        <f>SUMIFS('Besi Balok'!$AA$23:$AA$7253,'Besi Balok'!$A$23:$A$7253,$A195,'Besi Balok'!$B$23:$B$7253,$B195,'Besi Balok'!$F$23:$F$7253,'REKAP Balok'!N$11)</f>
        <v>15.239880000000003</v>
      </c>
      <c r="O195" s="282">
        <f>SUMIFS('Besi Balok'!$AA$23:$AA$7253,'Besi Balok'!$A$23:$A$7253,$A195,'Besi Balok'!$B$23:$B$7253,$B195,'Besi Balok'!$F$23:$F$7253,'REKAP Balok'!O$11)</f>
        <v>19.92292497</v>
      </c>
      <c r="P195" s="282">
        <f>SUMIFS('Besi Balok'!$AA$23:$AA$7253,'Besi Balok'!$A$23:$A$7253,$A195,'Besi Balok'!$B$23:$B$7253,$B195,'Besi Balok'!$F$23:$F$7253,'REKAP Balok'!P$11)</f>
        <v>0</v>
      </c>
      <c r="Q195" s="282">
        <f>SUMIFS('Besi Balok'!$AA$23:$AA$7253,'Besi Balok'!$A$23:$A$7253,$A195,'Besi Balok'!$B$23:$B$7253,$B195,'Besi Balok'!$F$23:$F$7253,'REKAP Balok'!Q$11)</f>
        <v>0</v>
      </c>
      <c r="R195" s="282">
        <f>SUMIFS('Besi Balok'!$AA$23:$AA$7253,'Besi Balok'!$A$23:$A$7253,$A195,'Besi Balok'!$B$23:$B$7253,$B195,'Besi Balok'!$F$23:$F$7253,'REKAP Balok'!R$11)</f>
        <v>0</v>
      </c>
      <c r="S195" s="282">
        <f>SUMIFS('Besi Balok'!$AA$23:$AA$7253,'Besi Balok'!$A$23:$A$7253,$A195,'Besi Balok'!$B$23:$B$7253,$B195,'Besi Balok'!$F$23:$F$7253,'REKAP Balok'!S$11)</f>
        <v>0</v>
      </c>
      <c r="T195" s="283">
        <f>SUMIFS('Besi Balok'!$AA$23:$AA$7253,'Besi Balok'!$A$23:$A$7253,$A195,'Besi Balok'!$B$23:$B$7253,$B195,'Besi Balok'!$F$23:$F$7253,'REKAP Balok'!T$11)</f>
        <v>0</v>
      </c>
      <c r="U195" s="284">
        <f t="shared" si="33"/>
        <v>35.162804970000003</v>
      </c>
      <c r="V195" s="285">
        <f t="shared" si="34"/>
        <v>0.14374999999999999</v>
      </c>
      <c r="W195" s="282">
        <f t="shared" si="50"/>
        <v>1.4375</v>
      </c>
      <c r="X195" s="282"/>
      <c r="Y195" s="282"/>
      <c r="Z195" s="283"/>
      <c r="AC195" s="1784">
        <f t="shared" si="38"/>
        <v>0.46</v>
      </c>
    </row>
    <row r="196" spans="1:29" hidden="1">
      <c r="A196" s="272" t="str">
        <f>'Data Panjang Balok'!A192</f>
        <v>Lantai 3</v>
      </c>
      <c r="B196" s="273">
        <f>'Data Panjang Balok'!B192</f>
        <v>39</v>
      </c>
      <c r="C196" s="274" t="str">
        <f>'Data Panjang Balok'!D192</f>
        <v>B26-1</v>
      </c>
      <c r="D196" s="275">
        <f>IF(C196&gt;0,VLOOKUP(C196,'Detail Balok'!$C$11:$AU$140,2,FALSE),0)</f>
        <v>200</v>
      </c>
      <c r="E196" s="276" t="s">
        <v>125</v>
      </c>
      <c r="F196" s="277">
        <f>IF(C196&gt;0,VLOOKUP(C196,'Detail Balok'!$C$11:$AU$140,3,FALSE),0)</f>
        <v>600</v>
      </c>
      <c r="G196" s="278">
        <f>'Data Panjang Balok'!I192</f>
        <v>4100</v>
      </c>
      <c r="H196" s="278">
        <f>'Data Panjang Balok'!J192</f>
        <v>150</v>
      </c>
      <c r="I196" s="279">
        <v>0</v>
      </c>
      <c r="J196" s="279">
        <f t="shared" si="32"/>
        <v>-0.6</v>
      </c>
      <c r="K196" s="280">
        <f>'Data Panjang Balok'!E192</f>
        <v>1</v>
      </c>
      <c r="L196" s="281">
        <f>SUMIFS('Besi Balok'!$AA$23:$AA$7253,'Besi Balok'!$A$23:$A$7253,$A196,'Besi Balok'!$B$23:$B$7253,$B196,'Besi Balok'!$F$23:$F$7253,'REKAP Balok'!L$11)</f>
        <v>0</v>
      </c>
      <c r="M196" s="282">
        <f>SUMIFS('Besi Balok'!$AA$23:$AA$7253,'Besi Balok'!$A$23:$A$7253,$A196,'Besi Balok'!$B$23:$B$7253,$B196,'Besi Balok'!$F$23:$F$7253,'REKAP Balok'!M$11)</f>
        <v>0</v>
      </c>
      <c r="N196" s="282">
        <f>SUMIFS('Besi Balok'!$AA$23:$AA$7253,'Besi Balok'!$A$23:$A$7253,$A196,'Besi Balok'!$B$23:$B$7253,$B196,'Besi Balok'!$F$23:$F$7253,'REKAP Balok'!N$11)</f>
        <v>37.970235000000002</v>
      </c>
      <c r="O196" s="282">
        <f>SUMIFS('Besi Balok'!$AA$23:$AA$7253,'Besi Balok'!$A$23:$A$7253,$A196,'Besi Balok'!$B$23:$B$7253,$B196,'Besi Balok'!$F$23:$F$7253,'REKAP Balok'!O$11)</f>
        <v>0</v>
      </c>
      <c r="P196" s="282">
        <f>SUMIFS('Besi Balok'!$AA$23:$AA$7253,'Besi Balok'!$A$23:$A$7253,$A196,'Besi Balok'!$B$23:$B$7253,$B196,'Besi Balok'!$F$23:$F$7253,'REKAP Balok'!P$11)</f>
        <v>51.589509120000002</v>
      </c>
      <c r="Q196" s="282">
        <f>SUMIFS('Besi Balok'!$AA$23:$AA$7253,'Besi Balok'!$A$23:$A$7253,$A196,'Besi Balok'!$B$23:$B$7253,$B196,'Besi Balok'!$F$23:$F$7253,'REKAP Balok'!Q$11)</f>
        <v>0</v>
      </c>
      <c r="R196" s="282">
        <f>SUMIFS('Besi Balok'!$AA$23:$AA$7253,'Besi Balok'!$A$23:$A$7253,$A196,'Besi Balok'!$B$23:$B$7253,$B196,'Besi Balok'!$F$23:$F$7253,'REKAP Balok'!R$11)</f>
        <v>0</v>
      </c>
      <c r="S196" s="282">
        <f>SUMIFS('Besi Balok'!$AA$23:$AA$7253,'Besi Balok'!$A$23:$A$7253,$A196,'Besi Balok'!$B$23:$B$7253,$B196,'Besi Balok'!$F$23:$F$7253,'REKAP Balok'!S$11)</f>
        <v>0</v>
      </c>
      <c r="T196" s="283">
        <f>SUMIFS('Besi Balok'!$AA$23:$AA$7253,'Besi Balok'!$A$23:$A$7253,$A196,'Besi Balok'!$B$23:$B$7253,$B196,'Besi Balok'!$F$23:$F$7253,'REKAP Balok'!T$11)</f>
        <v>0</v>
      </c>
      <c r="U196" s="284">
        <f t="shared" si="33"/>
        <v>89.559744120000005</v>
      </c>
      <c r="V196" s="285">
        <f t="shared" si="34"/>
        <v>0.36899999999999999</v>
      </c>
      <c r="W196" s="282">
        <f t="shared" si="50"/>
        <v>3.69</v>
      </c>
      <c r="X196" s="282"/>
      <c r="Y196" s="282"/>
      <c r="Z196" s="283"/>
      <c r="AC196" s="1784">
        <f t="shared" si="38"/>
        <v>0.98399999999999999</v>
      </c>
    </row>
    <row r="197" spans="1:29" hidden="1">
      <c r="A197" s="272" t="str">
        <f>'Data Panjang Balok'!A193</f>
        <v>Lantai 3</v>
      </c>
      <c r="B197" s="273">
        <f>'Data Panjang Balok'!B193</f>
        <v>40</v>
      </c>
      <c r="C197" s="274" t="str">
        <f>'Data Panjang Balok'!D193</f>
        <v>B26-1</v>
      </c>
      <c r="D197" s="275">
        <f>IF(C197&gt;0,VLOOKUP(C197,'Detail Balok'!$C$11:$AU$140,2,FALSE),0)</f>
        <v>200</v>
      </c>
      <c r="E197" s="276" t="s">
        <v>125</v>
      </c>
      <c r="F197" s="277">
        <f>IF(C197&gt;0,VLOOKUP(C197,'Detail Balok'!$C$11:$AU$140,3,FALSE),0)</f>
        <v>600</v>
      </c>
      <c r="G197" s="278">
        <f>'Data Panjang Balok'!I193</f>
        <v>4000</v>
      </c>
      <c r="H197" s="278">
        <f>'Data Panjang Balok'!J193</f>
        <v>150</v>
      </c>
      <c r="I197" s="279">
        <v>0</v>
      </c>
      <c r="J197" s="279">
        <f t="shared" si="32"/>
        <v>-0.6</v>
      </c>
      <c r="K197" s="280">
        <f>'Data Panjang Balok'!E193</f>
        <v>1</v>
      </c>
      <c r="L197" s="281">
        <f>SUMIFS('Besi Balok'!$AA$23:$AA$7253,'Besi Balok'!$A$23:$A$7253,$A197,'Besi Balok'!$B$23:$B$7253,$B197,'Besi Balok'!$F$23:$F$7253,'REKAP Balok'!L$11)</f>
        <v>0</v>
      </c>
      <c r="M197" s="282">
        <f>SUMIFS('Besi Balok'!$AA$23:$AA$7253,'Besi Balok'!$A$23:$A$7253,$A197,'Besi Balok'!$B$23:$B$7253,$B197,'Besi Balok'!$F$23:$F$7253,'REKAP Balok'!M$11)</f>
        <v>0</v>
      </c>
      <c r="N197" s="282">
        <f>SUMIFS('Besi Balok'!$AA$23:$AA$7253,'Besi Balok'!$A$23:$A$7253,$A197,'Besi Balok'!$B$23:$B$7253,$B197,'Besi Balok'!$F$23:$F$7253,'REKAP Balok'!N$11)</f>
        <v>37.846935000000002</v>
      </c>
      <c r="O197" s="282">
        <f>SUMIFS('Besi Balok'!$AA$23:$AA$7253,'Besi Balok'!$A$23:$A$7253,$A197,'Besi Balok'!$B$23:$B$7253,$B197,'Besi Balok'!$F$23:$F$7253,'REKAP Balok'!O$11)</f>
        <v>0</v>
      </c>
      <c r="P197" s="282">
        <f>SUMIFS('Besi Balok'!$AA$23:$AA$7253,'Besi Balok'!$A$23:$A$7253,$A197,'Besi Balok'!$B$23:$B$7253,$B197,'Besi Balok'!$F$23:$F$7253,'REKAP Balok'!P$11)</f>
        <v>50.453176319999997</v>
      </c>
      <c r="Q197" s="282">
        <f>SUMIFS('Besi Balok'!$AA$23:$AA$7253,'Besi Balok'!$A$23:$A$7253,$A197,'Besi Balok'!$B$23:$B$7253,$B197,'Besi Balok'!$F$23:$F$7253,'REKAP Balok'!Q$11)</f>
        <v>0</v>
      </c>
      <c r="R197" s="282">
        <f>SUMIFS('Besi Balok'!$AA$23:$AA$7253,'Besi Balok'!$A$23:$A$7253,$A197,'Besi Balok'!$B$23:$B$7253,$B197,'Besi Balok'!$F$23:$F$7253,'REKAP Balok'!R$11)</f>
        <v>0</v>
      </c>
      <c r="S197" s="282">
        <f>SUMIFS('Besi Balok'!$AA$23:$AA$7253,'Besi Balok'!$A$23:$A$7253,$A197,'Besi Balok'!$B$23:$B$7253,$B197,'Besi Balok'!$F$23:$F$7253,'REKAP Balok'!S$11)</f>
        <v>0</v>
      </c>
      <c r="T197" s="283">
        <f>SUMIFS('Besi Balok'!$AA$23:$AA$7253,'Besi Balok'!$A$23:$A$7253,$A197,'Besi Balok'!$B$23:$B$7253,$B197,'Besi Balok'!$F$23:$F$7253,'REKAP Balok'!T$11)</f>
        <v>0</v>
      </c>
      <c r="U197" s="284">
        <f t="shared" si="33"/>
        <v>88.300111319999999</v>
      </c>
      <c r="V197" s="285">
        <f t="shared" si="34"/>
        <v>0.36</v>
      </c>
      <c r="W197" s="282">
        <f t="shared" si="50"/>
        <v>3.6</v>
      </c>
      <c r="X197" s="282"/>
      <c r="Y197" s="282"/>
      <c r="Z197" s="283"/>
      <c r="AC197" s="1784">
        <f t="shared" si="38"/>
        <v>0.96</v>
      </c>
    </row>
    <row r="198" spans="1:29" hidden="1">
      <c r="A198" s="272" t="str">
        <f>'Data Panjang Balok'!A194</f>
        <v>Lantai 3</v>
      </c>
      <c r="B198" s="273">
        <f>'Data Panjang Balok'!B194</f>
        <v>41</v>
      </c>
      <c r="C198" s="274" t="str">
        <f>'Data Panjang Balok'!D194</f>
        <v>B26-1</v>
      </c>
      <c r="D198" s="275">
        <f>IF(C198&gt;0,VLOOKUP(C198,'Detail Balok'!$C$11:$AU$140,2,FALSE),0)</f>
        <v>200</v>
      </c>
      <c r="E198" s="276" t="s">
        <v>125</v>
      </c>
      <c r="F198" s="277">
        <f>IF(C198&gt;0,VLOOKUP(C198,'Detail Balok'!$C$11:$AU$140,3,FALSE),0)</f>
        <v>600</v>
      </c>
      <c r="G198" s="278">
        <f>'Data Panjang Balok'!I194</f>
        <v>15425</v>
      </c>
      <c r="H198" s="278">
        <f>'Data Panjang Balok'!J194</f>
        <v>150</v>
      </c>
      <c r="I198" s="279">
        <v>0</v>
      </c>
      <c r="J198" s="279">
        <f t="shared" si="32"/>
        <v>-0.6</v>
      </c>
      <c r="K198" s="280">
        <f>'Data Panjang Balok'!E194</f>
        <v>1</v>
      </c>
      <c r="L198" s="281">
        <f>SUMIFS('Besi Balok'!$AA$23:$AA$7253,'Besi Balok'!$A$23:$A$7253,$A198,'Besi Balok'!$B$23:$B$7253,$B198,'Besi Balok'!$F$23:$F$7253,'REKAP Balok'!L$11)</f>
        <v>0</v>
      </c>
      <c r="M198" s="282">
        <f>SUMIFS('Besi Balok'!$AA$23:$AA$7253,'Besi Balok'!$A$23:$A$7253,$A198,'Besi Balok'!$B$23:$B$7253,$B198,'Besi Balok'!$F$23:$F$7253,'REKAP Balok'!M$11)</f>
        <v>0</v>
      </c>
      <c r="N198" s="282">
        <f>SUMIFS('Besi Balok'!$AA$23:$AA$7253,'Besi Balok'!$A$23:$A$7253,$A198,'Besi Balok'!$B$23:$B$7253,$B198,'Besi Balok'!$F$23:$F$7253,'REKAP Balok'!N$11)</f>
        <v>134.80462980000001</v>
      </c>
      <c r="O198" s="282">
        <f>SUMIFS('Besi Balok'!$AA$23:$AA$7253,'Besi Balok'!$A$23:$A$7253,$A198,'Besi Balok'!$B$23:$B$7253,$B198,'Besi Balok'!$F$23:$F$7253,'REKAP Balok'!O$11)</f>
        <v>0</v>
      </c>
      <c r="P198" s="282">
        <f>SUMIFS('Besi Balok'!$AA$23:$AA$7253,'Besi Balok'!$A$23:$A$7253,$A198,'Besi Balok'!$B$23:$B$7253,$B198,'Besi Balok'!$F$23:$F$7253,'REKAP Balok'!P$11)</f>
        <v>180.27919872000001</v>
      </c>
      <c r="Q198" s="282">
        <f>SUMIFS('Besi Balok'!$AA$23:$AA$7253,'Besi Balok'!$A$23:$A$7253,$A198,'Besi Balok'!$B$23:$B$7253,$B198,'Besi Balok'!$F$23:$F$7253,'REKAP Balok'!Q$11)</f>
        <v>0</v>
      </c>
      <c r="R198" s="282">
        <f>SUMIFS('Besi Balok'!$AA$23:$AA$7253,'Besi Balok'!$A$23:$A$7253,$A198,'Besi Balok'!$B$23:$B$7253,$B198,'Besi Balok'!$F$23:$F$7253,'REKAP Balok'!R$11)</f>
        <v>0</v>
      </c>
      <c r="S198" s="282">
        <f>SUMIFS('Besi Balok'!$AA$23:$AA$7253,'Besi Balok'!$A$23:$A$7253,$A198,'Besi Balok'!$B$23:$B$7253,$B198,'Besi Balok'!$F$23:$F$7253,'REKAP Balok'!S$11)</f>
        <v>0</v>
      </c>
      <c r="T198" s="283">
        <f>SUMIFS('Besi Balok'!$AA$23:$AA$7253,'Besi Balok'!$A$23:$A$7253,$A198,'Besi Balok'!$B$23:$B$7253,$B198,'Besi Balok'!$F$23:$F$7253,'REKAP Balok'!T$11)</f>
        <v>0</v>
      </c>
      <c r="U198" s="284">
        <f t="shared" si="33"/>
        <v>315.08382852</v>
      </c>
      <c r="V198" s="285">
        <f t="shared" si="34"/>
        <v>1.38825</v>
      </c>
      <c r="W198" s="282">
        <f t="shared" si="50"/>
        <v>13.8825</v>
      </c>
      <c r="X198" s="282"/>
      <c r="Y198" s="282"/>
      <c r="Z198" s="283"/>
      <c r="AC198" s="1784">
        <f t="shared" si="38"/>
        <v>3.702</v>
      </c>
    </row>
    <row r="199" spans="1:29" hidden="1">
      <c r="A199" s="272" t="str">
        <f>'Data Panjang Balok'!A195</f>
        <v>Lantai 3</v>
      </c>
      <c r="B199" s="273">
        <f>'Data Panjang Balok'!B195</f>
        <v>42</v>
      </c>
      <c r="C199" s="274" t="str">
        <f>'Data Panjang Balok'!D195</f>
        <v>B24-2</v>
      </c>
      <c r="D199" s="275">
        <f>IF(C199&gt;0,VLOOKUP(C199,'Detail Balok'!$C$11:$AU$140,2,FALSE),0)</f>
        <v>200</v>
      </c>
      <c r="E199" s="276" t="s">
        <v>125</v>
      </c>
      <c r="F199" s="277">
        <f>IF(C199&gt;0,VLOOKUP(C199,'Detail Balok'!$C$11:$AU$140,3,FALSE),0)</f>
        <v>400</v>
      </c>
      <c r="G199" s="278">
        <f>'Data Panjang Balok'!I195</f>
        <v>3125</v>
      </c>
      <c r="H199" s="278">
        <f>'Data Panjang Balok'!J195</f>
        <v>150</v>
      </c>
      <c r="I199" s="279">
        <v>0</v>
      </c>
      <c r="J199" s="279">
        <f t="shared" si="32"/>
        <v>-0.4</v>
      </c>
      <c r="K199" s="280">
        <f>'Data Panjang Balok'!E195</f>
        <v>1</v>
      </c>
      <c r="L199" s="281">
        <f>SUMIFS('Besi Balok'!$AA$23:$AA$7253,'Besi Balok'!$A$23:$A$7253,$A199,'Besi Balok'!$B$23:$B$7253,$B199,'Besi Balok'!$F$23:$F$7253,'REKAP Balok'!L$11)</f>
        <v>0</v>
      </c>
      <c r="M199" s="282">
        <f>SUMIFS('Besi Balok'!$AA$23:$AA$7253,'Besi Balok'!$A$23:$A$7253,$A199,'Besi Balok'!$B$23:$B$7253,$B199,'Besi Balok'!$F$23:$F$7253,'REKAP Balok'!M$11)</f>
        <v>0</v>
      </c>
      <c r="N199" s="282">
        <f>SUMIFS('Besi Balok'!$AA$23:$AA$7253,'Besi Balok'!$A$23:$A$7253,$A199,'Besi Balok'!$B$23:$B$7253,$B199,'Besi Balok'!$F$23:$F$7253,'REKAP Balok'!N$11)</f>
        <v>16.509870000000003</v>
      </c>
      <c r="O199" s="282">
        <f>SUMIFS('Besi Balok'!$AA$23:$AA$7253,'Besi Balok'!$A$23:$A$7253,$A199,'Besi Balok'!$B$23:$B$7253,$B199,'Besi Balok'!$F$23:$F$7253,'REKAP Balok'!O$11)</f>
        <v>0</v>
      </c>
      <c r="P199" s="282">
        <f>SUMIFS('Besi Balok'!$AA$23:$AA$7253,'Besi Balok'!$A$23:$A$7253,$A199,'Besi Balok'!$B$23:$B$7253,$B199,'Besi Balok'!$F$23:$F$7253,'REKAP Balok'!P$11)</f>
        <v>33.228264960000004</v>
      </c>
      <c r="Q199" s="282">
        <f>SUMIFS('Besi Balok'!$AA$23:$AA$7253,'Besi Balok'!$A$23:$A$7253,$A199,'Besi Balok'!$B$23:$B$7253,$B199,'Besi Balok'!$F$23:$F$7253,'REKAP Balok'!Q$11)</f>
        <v>0</v>
      </c>
      <c r="R199" s="282">
        <f>SUMIFS('Besi Balok'!$AA$23:$AA$7253,'Besi Balok'!$A$23:$A$7253,$A199,'Besi Balok'!$B$23:$B$7253,$B199,'Besi Balok'!$F$23:$F$7253,'REKAP Balok'!R$11)</f>
        <v>0</v>
      </c>
      <c r="S199" s="282">
        <f>SUMIFS('Besi Balok'!$AA$23:$AA$7253,'Besi Balok'!$A$23:$A$7253,$A199,'Besi Balok'!$B$23:$B$7253,$B199,'Besi Balok'!$F$23:$F$7253,'REKAP Balok'!S$11)</f>
        <v>0</v>
      </c>
      <c r="T199" s="283">
        <f>SUMIFS('Besi Balok'!$AA$23:$AA$7253,'Besi Balok'!$A$23:$A$7253,$A199,'Besi Balok'!$B$23:$B$7253,$B199,'Besi Balok'!$F$23:$F$7253,'REKAP Balok'!T$11)</f>
        <v>0</v>
      </c>
      <c r="U199" s="284">
        <f t="shared" si="33"/>
        <v>49.738134960000011</v>
      </c>
      <c r="V199" s="285">
        <f t="shared" si="34"/>
        <v>0.15625</v>
      </c>
      <c r="W199" s="282">
        <f t="shared" si="50"/>
        <v>1.5625</v>
      </c>
      <c r="X199" s="282"/>
      <c r="Y199" s="282"/>
      <c r="Z199" s="283"/>
      <c r="AC199" s="1784">
        <f t="shared" si="38"/>
        <v>0.5</v>
      </c>
    </row>
    <row r="200" spans="1:29" hidden="1">
      <c r="A200" s="272" t="str">
        <f>'Data Panjang Balok'!A196</f>
        <v>Lantai 3</v>
      </c>
      <c r="B200" s="273">
        <f>'Data Panjang Balok'!B196</f>
        <v>43</v>
      </c>
      <c r="C200" s="274" t="str">
        <f>'Data Panjang Balok'!D196</f>
        <v>B24-2</v>
      </c>
      <c r="D200" s="275">
        <f>IF(C200&gt;0,VLOOKUP(C200,'Detail Balok'!$C$11:$AU$140,2,FALSE),0)</f>
        <v>200</v>
      </c>
      <c r="E200" s="276" t="s">
        <v>125</v>
      </c>
      <c r="F200" s="277">
        <f>IF(C200&gt;0,VLOOKUP(C200,'Detail Balok'!$C$11:$AU$140,3,FALSE),0)</f>
        <v>400</v>
      </c>
      <c r="G200" s="278">
        <f>'Data Panjang Balok'!I196</f>
        <v>3125</v>
      </c>
      <c r="H200" s="278">
        <f>'Data Panjang Balok'!J196</f>
        <v>150</v>
      </c>
      <c r="I200" s="279">
        <v>0</v>
      </c>
      <c r="J200" s="279">
        <f t="shared" si="32"/>
        <v>-0.4</v>
      </c>
      <c r="K200" s="280">
        <f>'Data Panjang Balok'!E196</f>
        <v>1</v>
      </c>
      <c r="L200" s="281">
        <f>SUMIFS('Besi Balok'!$AA$23:$AA$7253,'Besi Balok'!$A$23:$A$7253,$A200,'Besi Balok'!$B$23:$B$7253,$B200,'Besi Balok'!$F$23:$F$7253,'REKAP Balok'!L$11)</f>
        <v>0</v>
      </c>
      <c r="M200" s="282">
        <f>SUMIFS('Besi Balok'!$AA$23:$AA$7253,'Besi Balok'!$A$23:$A$7253,$A200,'Besi Balok'!$B$23:$B$7253,$B200,'Besi Balok'!$F$23:$F$7253,'REKAP Balok'!M$11)</f>
        <v>0</v>
      </c>
      <c r="N200" s="282">
        <f>SUMIFS('Besi Balok'!$AA$23:$AA$7253,'Besi Balok'!$A$23:$A$7253,$A200,'Besi Balok'!$B$23:$B$7253,$B200,'Besi Balok'!$F$23:$F$7253,'REKAP Balok'!N$11)</f>
        <v>16.509870000000003</v>
      </c>
      <c r="O200" s="282">
        <f>SUMIFS('Besi Balok'!$AA$23:$AA$7253,'Besi Balok'!$A$23:$A$7253,$A200,'Besi Balok'!$B$23:$B$7253,$B200,'Besi Balok'!$F$23:$F$7253,'REKAP Balok'!O$11)</f>
        <v>0</v>
      </c>
      <c r="P200" s="282">
        <f>SUMIFS('Besi Balok'!$AA$23:$AA$7253,'Besi Balok'!$A$23:$A$7253,$A200,'Besi Balok'!$B$23:$B$7253,$B200,'Besi Balok'!$F$23:$F$7253,'REKAP Balok'!P$11)</f>
        <v>33.228264960000004</v>
      </c>
      <c r="Q200" s="282">
        <f>SUMIFS('Besi Balok'!$AA$23:$AA$7253,'Besi Balok'!$A$23:$A$7253,$A200,'Besi Balok'!$B$23:$B$7253,$B200,'Besi Balok'!$F$23:$F$7253,'REKAP Balok'!Q$11)</f>
        <v>0</v>
      </c>
      <c r="R200" s="282">
        <f>SUMIFS('Besi Balok'!$AA$23:$AA$7253,'Besi Balok'!$A$23:$A$7253,$A200,'Besi Balok'!$B$23:$B$7253,$B200,'Besi Balok'!$F$23:$F$7253,'REKAP Balok'!R$11)</f>
        <v>0</v>
      </c>
      <c r="S200" s="282">
        <f>SUMIFS('Besi Balok'!$AA$23:$AA$7253,'Besi Balok'!$A$23:$A$7253,$A200,'Besi Balok'!$B$23:$B$7253,$B200,'Besi Balok'!$F$23:$F$7253,'REKAP Balok'!S$11)</f>
        <v>0</v>
      </c>
      <c r="T200" s="283">
        <f>SUMIFS('Besi Balok'!$AA$23:$AA$7253,'Besi Balok'!$A$23:$A$7253,$A200,'Besi Balok'!$B$23:$B$7253,$B200,'Besi Balok'!$F$23:$F$7253,'REKAP Balok'!T$11)</f>
        <v>0</v>
      </c>
      <c r="U200" s="284">
        <f t="shared" si="33"/>
        <v>49.738134960000011</v>
      </c>
      <c r="V200" s="285">
        <f t="shared" si="34"/>
        <v>0.15625</v>
      </c>
      <c r="W200" s="282">
        <f t="shared" si="50"/>
        <v>1.5625</v>
      </c>
      <c r="X200" s="282"/>
      <c r="Y200" s="282"/>
      <c r="Z200" s="283"/>
      <c r="AC200" s="1784">
        <f t="shared" si="38"/>
        <v>0.5</v>
      </c>
    </row>
    <row r="201" spans="1:29" hidden="1">
      <c r="A201" s="272" t="str">
        <f>'Data Panjang Balok'!A197</f>
        <v>Lantai 3</v>
      </c>
      <c r="B201" s="273">
        <f>'Data Panjang Balok'!B197</f>
        <v>44</v>
      </c>
      <c r="C201" s="274" t="str">
        <f>'Data Panjang Balok'!D197</f>
        <v>B24-2</v>
      </c>
      <c r="D201" s="275">
        <f>IF(C201&gt;0,VLOOKUP(C201,'Detail Balok'!$C$11:$AU$140,2,FALSE),0)</f>
        <v>200</v>
      </c>
      <c r="E201" s="276" t="s">
        <v>125</v>
      </c>
      <c r="F201" s="277">
        <f>IF(C201&gt;0,VLOOKUP(C201,'Detail Balok'!$C$11:$AU$140,3,FALSE),0)</f>
        <v>400</v>
      </c>
      <c r="G201" s="278">
        <f>'Data Panjang Balok'!I197</f>
        <v>12750</v>
      </c>
      <c r="H201" s="278">
        <f>'Data Panjang Balok'!J197</f>
        <v>150</v>
      </c>
      <c r="I201" s="279">
        <v>0</v>
      </c>
      <c r="J201" s="279">
        <f t="shared" si="32"/>
        <v>-0.4</v>
      </c>
      <c r="K201" s="280">
        <f>'Data Panjang Balok'!E197</f>
        <v>1</v>
      </c>
      <c r="L201" s="281">
        <f>SUMIFS('Besi Balok'!$AA$23:$AA$7253,'Besi Balok'!$A$23:$A$7253,$A201,'Besi Balok'!$B$23:$B$7253,$B201,'Besi Balok'!$F$23:$F$7253,'REKAP Balok'!L$11)</f>
        <v>0</v>
      </c>
      <c r="M201" s="282">
        <f>SUMIFS('Besi Balok'!$AA$23:$AA$7253,'Besi Balok'!$A$23:$A$7253,$A201,'Besi Balok'!$B$23:$B$7253,$B201,'Besi Balok'!$F$23:$F$7253,'REKAP Balok'!M$11)</f>
        <v>0</v>
      </c>
      <c r="N201" s="282">
        <f>SUMIFS('Besi Balok'!$AA$23:$AA$7253,'Besi Balok'!$A$23:$A$7253,$A201,'Besi Balok'!$B$23:$B$7253,$B201,'Besi Balok'!$F$23:$F$7253,'REKAP Balok'!N$11)</f>
        <v>62.229510000000005</v>
      </c>
      <c r="O201" s="282">
        <f>SUMIFS('Besi Balok'!$AA$23:$AA$7253,'Besi Balok'!$A$23:$A$7253,$A201,'Besi Balok'!$B$23:$B$7253,$B201,'Besi Balok'!$F$23:$F$7253,'REKAP Balok'!O$11)</f>
        <v>0</v>
      </c>
      <c r="P201" s="282">
        <f>SUMIFS('Besi Balok'!$AA$23:$AA$7253,'Besi Balok'!$A$23:$A$7253,$A201,'Besi Balok'!$B$23:$B$7253,$B201,'Besi Balok'!$F$23:$F$7253,'REKAP Balok'!P$11)</f>
        <v>124.37920051200001</v>
      </c>
      <c r="Q201" s="282">
        <f>SUMIFS('Besi Balok'!$AA$23:$AA$7253,'Besi Balok'!$A$23:$A$7253,$A201,'Besi Balok'!$B$23:$B$7253,$B201,'Besi Balok'!$F$23:$F$7253,'REKAP Balok'!Q$11)</f>
        <v>0</v>
      </c>
      <c r="R201" s="282">
        <f>SUMIFS('Besi Balok'!$AA$23:$AA$7253,'Besi Balok'!$A$23:$A$7253,$A201,'Besi Balok'!$B$23:$B$7253,$B201,'Besi Balok'!$F$23:$F$7253,'REKAP Balok'!R$11)</f>
        <v>0</v>
      </c>
      <c r="S201" s="282">
        <f>SUMIFS('Besi Balok'!$AA$23:$AA$7253,'Besi Balok'!$A$23:$A$7253,$A201,'Besi Balok'!$B$23:$B$7253,$B201,'Besi Balok'!$F$23:$F$7253,'REKAP Balok'!S$11)</f>
        <v>0</v>
      </c>
      <c r="T201" s="283">
        <f>SUMIFS('Besi Balok'!$AA$23:$AA$7253,'Besi Balok'!$A$23:$A$7253,$A201,'Besi Balok'!$B$23:$B$7253,$B201,'Besi Balok'!$F$23:$F$7253,'REKAP Balok'!T$11)</f>
        <v>0</v>
      </c>
      <c r="U201" s="284">
        <f t="shared" si="33"/>
        <v>186.60871051200002</v>
      </c>
      <c r="V201" s="285">
        <f t="shared" si="34"/>
        <v>0.63749999999999996</v>
      </c>
      <c r="W201" s="282">
        <f t="shared" si="50"/>
        <v>6.375</v>
      </c>
      <c r="X201" s="282"/>
      <c r="Y201" s="282"/>
      <c r="Z201" s="283"/>
      <c r="AC201" s="1784">
        <f t="shared" si="38"/>
        <v>2.04</v>
      </c>
    </row>
    <row r="202" spans="1:29" hidden="1">
      <c r="A202" s="272" t="str">
        <f>'Data Panjang Balok'!A198</f>
        <v>Lantai 3</v>
      </c>
      <c r="B202" s="273">
        <f>'Data Panjang Balok'!B198</f>
        <v>45</v>
      </c>
      <c r="C202" s="274" t="str">
        <f>'Data Panjang Balok'!D198</f>
        <v>B24-2</v>
      </c>
      <c r="D202" s="275">
        <f>IF(C202&gt;0,VLOOKUP(C202,'Detail Balok'!$C$11:$AU$140,2,FALSE),0)</f>
        <v>200</v>
      </c>
      <c r="E202" s="276" t="s">
        <v>125</v>
      </c>
      <c r="F202" s="277">
        <f>IF(C202&gt;0,VLOOKUP(C202,'Detail Balok'!$C$11:$AU$140,3,FALSE),0)</f>
        <v>400</v>
      </c>
      <c r="G202" s="278">
        <f>'Data Panjang Balok'!I198</f>
        <v>12750</v>
      </c>
      <c r="H202" s="278">
        <f>'Data Panjang Balok'!J198</f>
        <v>150</v>
      </c>
      <c r="I202" s="279">
        <v>0</v>
      </c>
      <c r="J202" s="279">
        <f t="shared" si="32"/>
        <v>-0.4</v>
      </c>
      <c r="K202" s="280">
        <f>'Data Panjang Balok'!E198</f>
        <v>1</v>
      </c>
      <c r="L202" s="281">
        <f>SUMIFS('Besi Balok'!$AA$23:$AA$7253,'Besi Balok'!$A$23:$A$7253,$A202,'Besi Balok'!$B$23:$B$7253,$B202,'Besi Balok'!$F$23:$F$7253,'REKAP Balok'!L$11)</f>
        <v>0</v>
      </c>
      <c r="M202" s="282">
        <f>SUMIFS('Besi Balok'!$AA$23:$AA$7253,'Besi Balok'!$A$23:$A$7253,$A202,'Besi Balok'!$B$23:$B$7253,$B202,'Besi Balok'!$F$23:$F$7253,'REKAP Balok'!M$11)</f>
        <v>0</v>
      </c>
      <c r="N202" s="282">
        <f>SUMIFS('Besi Balok'!$AA$23:$AA$7253,'Besi Balok'!$A$23:$A$7253,$A202,'Besi Balok'!$B$23:$B$7253,$B202,'Besi Balok'!$F$23:$F$7253,'REKAP Balok'!N$11)</f>
        <v>62.229510000000005</v>
      </c>
      <c r="O202" s="282">
        <f>SUMIFS('Besi Balok'!$AA$23:$AA$7253,'Besi Balok'!$A$23:$A$7253,$A202,'Besi Balok'!$B$23:$B$7253,$B202,'Besi Balok'!$F$23:$F$7253,'REKAP Balok'!O$11)</f>
        <v>0</v>
      </c>
      <c r="P202" s="282">
        <f>SUMIFS('Besi Balok'!$AA$23:$AA$7253,'Besi Balok'!$A$23:$A$7253,$A202,'Besi Balok'!$B$23:$B$7253,$B202,'Besi Balok'!$F$23:$F$7253,'REKAP Balok'!P$11)</f>
        <v>124.37920051200001</v>
      </c>
      <c r="Q202" s="282">
        <f>SUMIFS('Besi Balok'!$AA$23:$AA$7253,'Besi Balok'!$A$23:$A$7253,$A202,'Besi Balok'!$B$23:$B$7253,$B202,'Besi Balok'!$F$23:$F$7253,'REKAP Balok'!Q$11)</f>
        <v>0</v>
      </c>
      <c r="R202" s="282">
        <f>SUMIFS('Besi Balok'!$AA$23:$AA$7253,'Besi Balok'!$A$23:$A$7253,$A202,'Besi Balok'!$B$23:$B$7253,$B202,'Besi Balok'!$F$23:$F$7253,'REKAP Balok'!R$11)</f>
        <v>0</v>
      </c>
      <c r="S202" s="282">
        <f>SUMIFS('Besi Balok'!$AA$23:$AA$7253,'Besi Balok'!$A$23:$A$7253,$A202,'Besi Balok'!$B$23:$B$7253,$B202,'Besi Balok'!$F$23:$F$7253,'REKAP Balok'!S$11)</f>
        <v>0</v>
      </c>
      <c r="T202" s="283">
        <f>SUMIFS('Besi Balok'!$AA$23:$AA$7253,'Besi Balok'!$A$23:$A$7253,$A202,'Besi Balok'!$B$23:$B$7253,$B202,'Besi Balok'!$F$23:$F$7253,'REKAP Balok'!T$11)</f>
        <v>0</v>
      </c>
      <c r="U202" s="284">
        <f t="shared" si="33"/>
        <v>186.60871051200002</v>
      </c>
      <c r="V202" s="285">
        <f t="shared" si="34"/>
        <v>0.63749999999999996</v>
      </c>
      <c r="W202" s="282">
        <f t="shared" si="50"/>
        <v>6.375</v>
      </c>
      <c r="X202" s="282"/>
      <c r="Y202" s="282"/>
      <c r="Z202" s="283"/>
      <c r="AC202" s="1784">
        <f t="shared" si="38"/>
        <v>2.04</v>
      </c>
    </row>
    <row r="203" spans="1:29" hidden="1">
      <c r="A203" s="272" t="str">
        <f>'Data Panjang Balok'!A199</f>
        <v>Lantai 3</v>
      </c>
      <c r="B203" s="273">
        <f>'Data Panjang Balok'!B199</f>
        <v>46</v>
      </c>
      <c r="C203" s="274" t="str">
        <f>'Data Panjang Balok'!D199</f>
        <v>B26-1</v>
      </c>
      <c r="D203" s="275">
        <f>IF(C203&gt;0,VLOOKUP(C203,'Detail Balok'!$C$11:$AU$140,2,FALSE),0)</f>
        <v>200</v>
      </c>
      <c r="E203" s="276" t="s">
        <v>125</v>
      </c>
      <c r="F203" s="277">
        <f>IF(C203&gt;0,VLOOKUP(C203,'Detail Balok'!$C$11:$AU$140,3,FALSE),0)</f>
        <v>600</v>
      </c>
      <c r="G203" s="278">
        <f>'Data Panjang Balok'!I199</f>
        <v>1600</v>
      </c>
      <c r="H203" s="278">
        <f>'Data Panjang Balok'!J199</f>
        <v>150</v>
      </c>
      <c r="I203" s="279">
        <v>0</v>
      </c>
      <c r="J203" s="279">
        <f t="shared" si="32"/>
        <v>-0.6</v>
      </c>
      <c r="K203" s="280">
        <f>'Data Panjang Balok'!E199</f>
        <v>1</v>
      </c>
      <c r="L203" s="281">
        <f>SUMIFS('Besi Balok'!$AA$23:$AA$7253,'Besi Balok'!$A$23:$A$7253,$A203,'Besi Balok'!$B$23:$B$7253,$B203,'Besi Balok'!$F$23:$F$7253,'REKAP Balok'!L$11)</f>
        <v>0</v>
      </c>
      <c r="M203" s="282">
        <f>SUMIFS('Besi Balok'!$AA$23:$AA$7253,'Besi Balok'!$A$23:$A$7253,$A203,'Besi Balok'!$B$23:$B$7253,$B203,'Besi Balok'!$F$23:$F$7253,'REKAP Balok'!M$11)</f>
        <v>0</v>
      </c>
      <c r="N203" s="282">
        <f>SUMIFS('Besi Balok'!$AA$23:$AA$7253,'Besi Balok'!$A$23:$A$7253,$A203,'Besi Balok'!$B$23:$B$7253,$B203,'Besi Balok'!$F$23:$F$7253,'REKAP Balok'!N$11)</f>
        <v>17.255835000000001</v>
      </c>
      <c r="O203" s="282">
        <f>SUMIFS('Besi Balok'!$AA$23:$AA$7253,'Besi Balok'!$A$23:$A$7253,$A203,'Besi Balok'!$B$23:$B$7253,$B203,'Besi Balok'!$F$23:$F$7253,'REKAP Balok'!O$11)</f>
        <v>0</v>
      </c>
      <c r="P203" s="282">
        <f>SUMIFS('Besi Balok'!$AA$23:$AA$7253,'Besi Balok'!$A$23:$A$7253,$A203,'Besi Balok'!$B$23:$B$7253,$B203,'Besi Balok'!$F$23:$F$7253,'REKAP Balok'!P$11)</f>
        <v>23.181189120000006</v>
      </c>
      <c r="Q203" s="282">
        <f>SUMIFS('Besi Balok'!$AA$23:$AA$7253,'Besi Balok'!$A$23:$A$7253,$A203,'Besi Balok'!$B$23:$B$7253,$B203,'Besi Balok'!$F$23:$F$7253,'REKAP Balok'!Q$11)</f>
        <v>0</v>
      </c>
      <c r="R203" s="282">
        <f>SUMIFS('Besi Balok'!$AA$23:$AA$7253,'Besi Balok'!$A$23:$A$7253,$A203,'Besi Balok'!$B$23:$B$7253,$B203,'Besi Balok'!$F$23:$F$7253,'REKAP Balok'!R$11)</f>
        <v>0</v>
      </c>
      <c r="S203" s="282">
        <f>SUMIFS('Besi Balok'!$AA$23:$AA$7253,'Besi Balok'!$A$23:$A$7253,$A203,'Besi Balok'!$B$23:$B$7253,$B203,'Besi Balok'!$F$23:$F$7253,'REKAP Balok'!S$11)</f>
        <v>0</v>
      </c>
      <c r="T203" s="283">
        <f>SUMIFS('Besi Balok'!$AA$23:$AA$7253,'Besi Balok'!$A$23:$A$7253,$A203,'Besi Balok'!$B$23:$B$7253,$B203,'Besi Balok'!$F$23:$F$7253,'REKAP Balok'!T$11)</f>
        <v>0</v>
      </c>
      <c r="U203" s="284">
        <f t="shared" si="33"/>
        <v>40.437024120000004</v>
      </c>
      <c r="V203" s="285">
        <f t="shared" si="34"/>
        <v>0.14399999999999999</v>
      </c>
      <c r="W203" s="282">
        <f t="shared" si="50"/>
        <v>1.44</v>
      </c>
      <c r="X203" s="282"/>
      <c r="Y203" s="282"/>
      <c r="Z203" s="283"/>
      <c r="AC203" s="1784">
        <f t="shared" si="38"/>
        <v>0.38400000000000001</v>
      </c>
    </row>
    <row r="204" spans="1:29" hidden="1">
      <c r="A204" s="272" t="str">
        <f>'Data Panjang Balok'!A200</f>
        <v>Lantai 3</v>
      </c>
      <c r="B204" s="273">
        <f>'Data Panjang Balok'!B200</f>
        <v>47</v>
      </c>
      <c r="C204" s="274" t="str">
        <f>'Data Panjang Balok'!D200</f>
        <v>CL24-1</v>
      </c>
      <c r="D204" s="275">
        <f>IF(C204&gt;0,VLOOKUP(C204,'Detail Balok'!$C$11:$AU$140,2,FALSE),0)</f>
        <v>200</v>
      </c>
      <c r="E204" s="276" t="s">
        <v>125</v>
      </c>
      <c r="F204" s="277">
        <f>IF(C204&gt;0,VLOOKUP(C204,'Detail Balok'!$C$11:$AU$140,3,FALSE),0)</f>
        <v>400</v>
      </c>
      <c r="G204" s="278">
        <f>'Data Panjang Balok'!I200</f>
        <v>12650</v>
      </c>
      <c r="H204" s="278">
        <f>'Data Panjang Balok'!J200</f>
        <v>150</v>
      </c>
      <c r="I204" s="279">
        <v>0</v>
      </c>
      <c r="J204" s="279">
        <f t="shared" si="32"/>
        <v>-0.4</v>
      </c>
      <c r="K204" s="280">
        <f>'Data Panjang Balok'!E200</f>
        <v>1</v>
      </c>
      <c r="L204" s="281">
        <f>SUMIFS('Besi Balok'!$AA$23:$AA$7253,'Besi Balok'!$A$23:$A$7253,$A204,'Besi Balok'!$B$23:$B$7253,$B204,'Besi Balok'!$F$23:$F$7253,'REKAP Balok'!L$11)</f>
        <v>0</v>
      </c>
      <c r="M204" s="282">
        <f>SUMIFS('Besi Balok'!$AA$23:$AA$7253,'Besi Balok'!$A$23:$A$7253,$A204,'Besi Balok'!$B$23:$B$7253,$B204,'Besi Balok'!$F$23:$F$7253,'REKAP Balok'!M$11)</f>
        <v>0</v>
      </c>
      <c r="N204" s="282">
        <f>SUMIFS('Besi Balok'!$AA$23:$AA$7253,'Besi Balok'!$A$23:$A$7253,$A204,'Besi Balok'!$B$23:$B$7253,$B204,'Besi Balok'!$F$23:$F$7253,'REKAP Balok'!N$11)</f>
        <v>81.914355</v>
      </c>
      <c r="O204" s="282">
        <f>SUMIFS('Besi Balok'!$AA$23:$AA$7253,'Besi Balok'!$A$23:$A$7253,$A204,'Besi Balok'!$B$23:$B$7253,$B204,'Besi Balok'!$F$23:$F$7253,'REKAP Balok'!O$11)</f>
        <v>0</v>
      </c>
      <c r="P204" s="282">
        <f>SUMIFS('Besi Balok'!$AA$23:$AA$7253,'Besi Balok'!$A$23:$A$7253,$A204,'Besi Balok'!$B$23:$B$7253,$B204,'Besi Balok'!$F$23:$F$7253,'REKAP Balok'!P$11)</f>
        <v>123.43225651200001</v>
      </c>
      <c r="Q204" s="282">
        <f>SUMIFS('Besi Balok'!$AA$23:$AA$7253,'Besi Balok'!$A$23:$A$7253,$A204,'Besi Balok'!$B$23:$B$7253,$B204,'Besi Balok'!$F$23:$F$7253,'REKAP Balok'!Q$11)</f>
        <v>0</v>
      </c>
      <c r="R204" s="282">
        <f>SUMIFS('Besi Balok'!$AA$23:$AA$7253,'Besi Balok'!$A$23:$A$7253,$A204,'Besi Balok'!$B$23:$B$7253,$B204,'Besi Balok'!$F$23:$F$7253,'REKAP Balok'!R$11)</f>
        <v>0</v>
      </c>
      <c r="S204" s="282">
        <f>SUMIFS('Besi Balok'!$AA$23:$AA$7253,'Besi Balok'!$A$23:$A$7253,$A204,'Besi Balok'!$B$23:$B$7253,$B204,'Besi Balok'!$F$23:$F$7253,'REKAP Balok'!S$11)</f>
        <v>0</v>
      </c>
      <c r="T204" s="283">
        <f>SUMIFS('Besi Balok'!$AA$23:$AA$7253,'Besi Balok'!$A$23:$A$7253,$A204,'Besi Balok'!$B$23:$B$7253,$B204,'Besi Balok'!$F$23:$F$7253,'REKAP Balok'!T$11)</f>
        <v>0</v>
      </c>
      <c r="U204" s="284">
        <f t="shared" si="33"/>
        <v>205.34661151200001</v>
      </c>
      <c r="V204" s="285">
        <f t="shared" si="34"/>
        <v>0.63249999999999995</v>
      </c>
      <c r="W204" s="282">
        <f t="shared" si="50"/>
        <v>6.3250000000000002</v>
      </c>
      <c r="X204" s="282"/>
      <c r="Y204" s="282"/>
      <c r="Z204" s="283"/>
      <c r="AC204" s="1784">
        <f t="shared" si="38"/>
        <v>2.024</v>
      </c>
    </row>
    <row r="205" spans="1:29" hidden="1">
      <c r="A205" s="272" t="str">
        <f>'Data Panjang Balok'!A201</f>
        <v>Lantai 3</v>
      </c>
      <c r="B205" s="273">
        <f>'Data Panjang Balok'!B201</f>
        <v>48</v>
      </c>
      <c r="C205" s="274" t="str">
        <f>'Data Panjang Balok'!D201</f>
        <v>B25-1</v>
      </c>
      <c r="D205" s="275">
        <f>IF(C205&gt;0,VLOOKUP(C205,'Detail Balok'!$C$11:$AU$140,2,FALSE),0)</f>
        <v>200</v>
      </c>
      <c r="E205" s="276" t="s">
        <v>125</v>
      </c>
      <c r="F205" s="277">
        <f>IF(C205&gt;0,VLOOKUP(C205,'Detail Balok'!$C$11:$AU$140,3,FALSE),0)</f>
        <v>500</v>
      </c>
      <c r="G205" s="278">
        <f>'Data Panjang Balok'!I201</f>
        <v>5825</v>
      </c>
      <c r="H205" s="278">
        <f>'Data Panjang Balok'!J201</f>
        <v>150</v>
      </c>
      <c r="I205" s="279">
        <v>0</v>
      </c>
      <c r="J205" s="279">
        <f t="shared" si="32"/>
        <v>-0.5</v>
      </c>
      <c r="K205" s="280">
        <f>'Data Panjang Balok'!E201</f>
        <v>1</v>
      </c>
      <c r="L205" s="281">
        <f>SUMIFS('Besi Balok'!$AA$23:$AA$7253,'Besi Balok'!$A$23:$A$7253,$A205,'Besi Balok'!$B$23:$B$7253,$B205,'Besi Balok'!$F$23:$F$7253,'REKAP Balok'!L$11)</f>
        <v>0</v>
      </c>
      <c r="M205" s="282">
        <f>SUMIFS('Besi Balok'!$AA$23:$AA$7253,'Besi Balok'!$A$23:$A$7253,$A205,'Besi Balok'!$B$23:$B$7253,$B205,'Besi Balok'!$F$23:$F$7253,'REKAP Balok'!M$11)</f>
        <v>0</v>
      </c>
      <c r="N205" s="282">
        <f>SUMIFS('Besi Balok'!$AA$23:$AA$7253,'Besi Balok'!$A$23:$A$7253,$A205,'Besi Balok'!$B$23:$B$7253,$B205,'Besi Balok'!$F$23:$F$7253,'REKAP Balok'!N$11)</f>
        <v>35.535060000000001</v>
      </c>
      <c r="O205" s="282">
        <f>SUMIFS('Besi Balok'!$AA$23:$AA$7253,'Besi Balok'!$A$23:$A$7253,$A205,'Besi Balok'!$B$23:$B$7253,$B205,'Besi Balok'!$F$23:$F$7253,'REKAP Balok'!O$11)</f>
        <v>0</v>
      </c>
      <c r="P205" s="282">
        <f>SUMIFS('Besi Balok'!$AA$23:$AA$7253,'Besi Balok'!$A$23:$A$7253,$A205,'Besi Balok'!$B$23:$B$7253,$B205,'Besi Balok'!$F$23:$F$7253,'REKAP Balok'!P$11)</f>
        <v>78.394337280000016</v>
      </c>
      <c r="Q205" s="282">
        <f>SUMIFS('Besi Balok'!$AA$23:$AA$7253,'Besi Balok'!$A$23:$A$7253,$A205,'Besi Balok'!$B$23:$B$7253,$B205,'Besi Balok'!$F$23:$F$7253,'REKAP Balok'!Q$11)</f>
        <v>0</v>
      </c>
      <c r="R205" s="282">
        <f>SUMIFS('Besi Balok'!$AA$23:$AA$7253,'Besi Balok'!$A$23:$A$7253,$A205,'Besi Balok'!$B$23:$B$7253,$B205,'Besi Balok'!$F$23:$F$7253,'REKAP Balok'!R$11)</f>
        <v>0</v>
      </c>
      <c r="S205" s="282">
        <f>SUMIFS('Besi Balok'!$AA$23:$AA$7253,'Besi Balok'!$A$23:$A$7253,$A205,'Besi Balok'!$B$23:$B$7253,$B205,'Besi Balok'!$F$23:$F$7253,'REKAP Balok'!S$11)</f>
        <v>0</v>
      </c>
      <c r="T205" s="283">
        <f>SUMIFS('Besi Balok'!$AA$23:$AA$7253,'Besi Balok'!$A$23:$A$7253,$A205,'Besi Balok'!$B$23:$B$7253,$B205,'Besi Balok'!$F$23:$F$7253,'REKAP Balok'!T$11)</f>
        <v>0</v>
      </c>
      <c r="U205" s="284">
        <f t="shared" si="33"/>
        <v>113.92939728000002</v>
      </c>
      <c r="V205" s="285">
        <f t="shared" si="34"/>
        <v>0.40775</v>
      </c>
      <c r="W205" s="282">
        <f t="shared" si="50"/>
        <v>4.0774999999999997</v>
      </c>
      <c r="X205" s="282"/>
      <c r="Y205" s="282"/>
      <c r="Z205" s="283"/>
      <c r="AC205" s="1784">
        <f t="shared" si="38"/>
        <v>1.165</v>
      </c>
    </row>
    <row r="206" spans="1:29" hidden="1">
      <c r="A206" s="272" t="str">
        <f>'Data Panjang Balok'!A202</f>
        <v>Lantai 3</v>
      </c>
      <c r="B206" s="273">
        <f>'Data Panjang Balok'!B202</f>
        <v>49</v>
      </c>
      <c r="C206" s="274" t="str">
        <f>'Data Panjang Balok'!D202</f>
        <v>B24-1</v>
      </c>
      <c r="D206" s="275">
        <f>IF(C206&gt;0,VLOOKUP(C206,'Detail Balok'!$C$11:$AU$140,2,FALSE),0)</f>
        <v>200</v>
      </c>
      <c r="E206" s="276" t="s">
        <v>125</v>
      </c>
      <c r="F206" s="277">
        <f>IF(C206&gt;0,VLOOKUP(C206,'Detail Balok'!$C$11:$AU$140,3,FALSE),0)</f>
        <v>400</v>
      </c>
      <c r="G206" s="278">
        <f>'Data Panjang Balok'!I202</f>
        <v>1705</v>
      </c>
      <c r="H206" s="278">
        <f>'Data Panjang Balok'!J202</f>
        <v>0</v>
      </c>
      <c r="I206" s="279">
        <v>0</v>
      </c>
      <c r="J206" s="279">
        <f t="shared" si="32"/>
        <v>-0.4</v>
      </c>
      <c r="K206" s="280">
        <f>'Data Panjang Balok'!E202</f>
        <v>1</v>
      </c>
      <c r="L206" s="281">
        <f>SUMIFS('Besi Balok'!$AA$23:$AA$7253,'Besi Balok'!$A$23:$A$7253,$A206,'Besi Balok'!$B$23:$B$7253,$B206,'Besi Balok'!$F$23:$F$7253,'REKAP Balok'!L$11)</f>
        <v>0</v>
      </c>
      <c r="M206" s="282">
        <f>SUMIFS('Besi Balok'!$AA$23:$AA$7253,'Besi Balok'!$A$23:$A$7253,$A206,'Besi Balok'!$B$23:$B$7253,$B206,'Besi Balok'!$F$23:$F$7253,'REKAP Balok'!M$11)</f>
        <v>0</v>
      </c>
      <c r="N206" s="282">
        <f>SUMIFS('Besi Balok'!$AA$23:$AA$7253,'Besi Balok'!$A$23:$A$7253,$A206,'Besi Balok'!$B$23:$B$7253,$B206,'Besi Balok'!$F$23:$F$7253,'REKAP Balok'!N$11)</f>
        <v>12.064905000000001</v>
      </c>
      <c r="O206" s="282">
        <f>SUMIFS('Besi Balok'!$AA$23:$AA$7253,'Besi Balok'!$A$23:$A$7253,$A206,'Besi Balok'!$B$23:$B$7253,$B206,'Besi Balok'!$F$23:$F$7253,'REKAP Balok'!O$11)</f>
        <v>12.608892270000002</v>
      </c>
      <c r="P206" s="282">
        <f>SUMIFS('Besi Balok'!$AA$23:$AA$7253,'Besi Balok'!$A$23:$A$7253,$A206,'Besi Balok'!$B$23:$B$7253,$B206,'Besi Balok'!$F$23:$F$7253,'REKAP Balok'!P$11)</f>
        <v>0</v>
      </c>
      <c r="Q206" s="282">
        <f>SUMIFS('Besi Balok'!$AA$23:$AA$7253,'Besi Balok'!$A$23:$A$7253,$A206,'Besi Balok'!$B$23:$B$7253,$B206,'Besi Balok'!$F$23:$F$7253,'REKAP Balok'!Q$11)</f>
        <v>0</v>
      </c>
      <c r="R206" s="282">
        <f>SUMIFS('Besi Balok'!$AA$23:$AA$7253,'Besi Balok'!$A$23:$A$7253,$A206,'Besi Balok'!$B$23:$B$7253,$B206,'Besi Balok'!$F$23:$F$7253,'REKAP Balok'!R$11)</f>
        <v>0</v>
      </c>
      <c r="S206" s="282">
        <f>SUMIFS('Besi Balok'!$AA$23:$AA$7253,'Besi Balok'!$A$23:$A$7253,$A206,'Besi Balok'!$B$23:$B$7253,$B206,'Besi Balok'!$F$23:$F$7253,'REKAP Balok'!S$11)</f>
        <v>0</v>
      </c>
      <c r="T206" s="283">
        <f>SUMIFS('Besi Balok'!$AA$23:$AA$7253,'Besi Balok'!$A$23:$A$7253,$A206,'Besi Balok'!$B$23:$B$7253,$B206,'Besi Balok'!$F$23:$F$7253,'REKAP Balok'!T$11)</f>
        <v>0</v>
      </c>
      <c r="U206" s="284">
        <f t="shared" si="33"/>
        <v>24.673797270000001</v>
      </c>
      <c r="V206" s="285">
        <f t="shared" si="34"/>
        <v>0.13639999999999999</v>
      </c>
      <c r="W206" s="282">
        <f t="shared" si="50"/>
        <v>1.7050000000000001</v>
      </c>
      <c r="X206" s="282"/>
      <c r="Y206" s="282"/>
      <c r="Z206" s="283"/>
      <c r="AC206" s="1784">
        <f t="shared" si="38"/>
        <v>0.27279999999999999</v>
      </c>
    </row>
    <row r="207" spans="1:29" hidden="1">
      <c r="A207" s="272" t="str">
        <f>'Data Panjang Balok'!A203</f>
        <v>Lantai 3</v>
      </c>
      <c r="B207" s="273">
        <f>'Data Panjang Balok'!B203</f>
        <v>50</v>
      </c>
      <c r="C207" s="274" t="str">
        <f>'Data Panjang Balok'!D203</f>
        <v>B24-1</v>
      </c>
      <c r="D207" s="275">
        <f>IF(C207&gt;0,VLOOKUP(C207,'Detail Balok'!$C$11:$AU$140,2,FALSE),0)</f>
        <v>200</v>
      </c>
      <c r="E207" s="276" t="s">
        <v>125</v>
      </c>
      <c r="F207" s="277">
        <f>IF(C207&gt;0,VLOOKUP(C207,'Detail Balok'!$C$11:$AU$140,3,FALSE),0)</f>
        <v>400</v>
      </c>
      <c r="G207" s="278">
        <f>'Data Panjang Balok'!I203</f>
        <v>1705</v>
      </c>
      <c r="H207" s="278">
        <f>'Data Panjang Balok'!J203</f>
        <v>0</v>
      </c>
      <c r="I207" s="279">
        <v>0</v>
      </c>
      <c r="J207" s="279">
        <f t="shared" si="32"/>
        <v>-0.4</v>
      </c>
      <c r="K207" s="280">
        <f>'Data Panjang Balok'!E203</f>
        <v>1</v>
      </c>
      <c r="L207" s="281">
        <f>SUMIFS('Besi Balok'!$AA$23:$AA$7253,'Besi Balok'!$A$23:$A$7253,$A207,'Besi Balok'!$B$23:$B$7253,$B207,'Besi Balok'!$F$23:$F$7253,'REKAP Balok'!L$11)</f>
        <v>0</v>
      </c>
      <c r="M207" s="282">
        <f>SUMIFS('Besi Balok'!$AA$23:$AA$7253,'Besi Balok'!$A$23:$A$7253,$A207,'Besi Balok'!$B$23:$B$7253,$B207,'Besi Balok'!$F$23:$F$7253,'REKAP Balok'!M$11)</f>
        <v>0</v>
      </c>
      <c r="N207" s="282">
        <f>SUMIFS('Besi Balok'!$AA$23:$AA$7253,'Besi Balok'!$A$23:$A$7253,$A207,'Besi Balok'!$B$23:$B$7253,$B207,'Besi Balok'!$F$23:$F$7253,'REKAP Balok'!N$11)</f>
        <v>12.064905000000001</v>
      </c>
      <c r="O207" s="282">
        <f>SUMIFS('Besi Balok'!$AA$23:$AA$7253,'Besi Balok'!$A$23:$A$7253,$A207,'Besi Balok'!$B$23:$B$7253,$B207,'Besi Balok'!$F$23:$F$7253,'REKAP Balok'!O$11)</f>
        <v>12.608892270000002</v>
      </c>
      <c r="P207" s="282">
        <f>SUMIFS('Besi Balok'!$AA$23:$AA$7253,'Besi Balok'!$A$23:$A$7253,$A207,'Besi Balok'!$B$23:$B$7253,$B207,'Besi Balok'!$F$23:$F$7253,'REKAP Balok'!P$11)</f>
        <v>0</v>
      </c>
      <c r="Q207" s="282">
        <f>SUMIFS('Besi Balok'!$AA$23:$AA$7253,'Besi Balok'!$A$23:$A$7253,$A207,'Besi Balok'!$B$23:$B$7253,$B207,'Besi Balok'!$F$23:$F$7253,'REKAP Balok'!Q$11)</f>
        <v>0</v>
      </c>
      <c r="R207" s="282">
        <f>SUMIFS('Besi Balok'!$AA$23:$AA$7253,'Besi Balok'!$A$23:$A$7253,$A207,'Besi Balok'!$B$23:$B$7253,$B207,'Besi Balok'!$F$23:$F$7253,'REKAP Balok'!R$11)</f>
        <v>0</v>
      </c>
      <c r="S207" s="282">
        <f>SUMIFS('Besi Balok'!$AA$23:$AA$7253,'Besi Balok'!$A$23:$A$7253,$A207,'Besi Balok'!$B$23:$B$7253,$B207,'Besi Balok'!$F$23:$F$7253,'REKAP Balok'!S$11)</f>
        <v>0</v>
      </c>
      <c r="T207" s="283">
        <f>SUMIFS('Besi Balok'!$AA$23:$AA$7253,'Besi Balok'!$A$23:$A$7253,$A207,'Besi Balok'!$B$23:$B$7253,$B207,'Besi Balok'!$F$23:$F$7253,'REKAP Balok'!T$11)</f>
        <v>0</v>
      </c>
      <c r="U207" s="284">
        <f t="shared" si="33"/>
        <v>24.673797270000001</v>
      </c>
      <c r="V207" s="285">
        <f t="shared" si="34"/>
        <v>0.13639999999999999</v>
      </c>
      <c r="W207" s="282">
        <f t="shared" si="50"/>
        <v>1.7050000000000001</v>
      </c>
      <c r="X207" s="282"/>
      <c r="Y207" s="282"/>
      <c r="Z207" s="283"/>
      <c r="AC207" s="1784">
        <f t="shared" si="38"/>
        <v>0.27279999999999999</v>
      </c>
    </row>
    <row r="208" spans="1:29" hidden="1">
      <c r="A208" s="272" t="str">
        <f>'Data Panjang Balok'!A204</f>
        <v>Lantai 3</v>
      </c>
      <c r="B208" s="273">
        <f>'Data Panjang Balok'!B204</f>
        <v>51</v>
      </c>
      <c r="C208" s="274" t="str">
        <f>'Data Panjang Balok'!D204</f>
        <v>CL24-1</v>
      </c>
      <c r="D208" s="275">
        <f>IF(C208&gt;0,VLOOKUP(C208,'Detail Balok'!$C$11:$AU$140,2,FALSE),0)</f>
        <v>200</v>
      </c>
      <c r="E208" s="276" t="s">
        <v>125</v>
      </c>
      <c r="F208" s="277">
        <f>IF(C208&gt;0,VLOOKUP(C208,'Detail Balok'!$C$11:$AU$140,3,FALSE),0)</f>
        <v>400</v>
      </c>
      <c r="G208" s="278">
        <f>'Data Panjang Balok'!I204</f>
        <v>925</v>
      </c>
      <c r="H208" s="278">
        <f>'Data Panjang Balok'!J204</f>
        <v>0</v>
      </c>
      <c r="I208" s="279">
        <v>0</v>
      </c>
      <c r="J208" s="279">
        <f t="shared" si="32"/>
        <v>-0.4</v>
      </c>
      <c r="K208" s="280">
        <f>'Data Panjang Balok'!E204</f>
        <v>1</v>
      </c>
      <c r="L208" s="281">
        <f>SUMIFS('Besi Balok'!$AA$23:$AA$7253,'Besi Balok'!$A$23:$A$7253,$A208,'Besi Balok'!$B$23:$B$7253,$B208,'Besi Balok'!$F$23:$F$7253,'REKAP Balok'!L$11)</f>
        <v>0</v>
      </c>
      <c r="M208" s="282">
        <f>SUMIFS('Besi Balok'!$AA$23:$AA$7253,'Besi Balok'!$A$23:$A$7253,$A208,'Besi Balok'!$B$23:$B$7253,$B208,'Besi Balok'!$F$23:$F$7253,'REKAP Balok'!M$11)</f>
        <v>0</v>
      </c>
      <c r="N208" s="282">
        <f>SUMIFS('Besi Balok'!$AA$23:$AA$7253,'Besi Balok'!$A$23:$A$7253,$A208,'Besi Balok'!$B$23:$B$7253,$B208,'Besi Balok'!$F$23:$F$7253,'REKAP Balok'!N$11)</f>
        <v>6.3499500000000006</v>
      </c>
      <c r="O208" s="282">
        <f>SUMIFS('Besi Balok'!$AA$23:$AA$7253,'Besi Balok'!$A$23:$A$7253,$A208,'Besi Balok'!$B$23:$B$7253,$B208,'Besi Balok'!$F$23:$F$7253,'REKAP Balok'!O$11)</f>
        <v>0</v>
      </c>
      <c r="P208" s="282">
        <f>SUMIFS('Besi Balok'!$AA$23:$AA$7253,'Besi Balok'!$A$23:$A$7253,$A208,'Besi Balok'!$B$23:$B$7253,$B208,'Besi Balok'!$F$23:$F$7253,'REKAP Balok'!P$11)</f>
        <v>12.395496960000003</v>
      </c>
      <c r="Q208" s="282">
        <f>SUMIFS('Besi Balok'!$AA$23:$AA$7253,'Besi Balok'!$A$23:$A$7253,$A208,'Besi Balok'!$B$23:$B$7253,$B208,'Besi Balok'!$F$23:$F$7253,'REKAP Balok'!Q$11)</f>
        <v>0</v>
      </c>
      <c r="R208" s="282">
        <f>SUMIFS('Besi Balok'!$AA$23:$AA$7253,'Besi Balok'!$A$23:$A$7253,$A208,'Besi Balok'!$B$23:$B$7253,$B208,'Besi Balok'!$F$23:$F$7253,'REKAP Balok'!R$11)</f>
        <v>0</v>
      </c>
      <c r="S208" s="282">
        <f>SUMIFS('Besi Balok'!$AA$23:$AA$7253,'Besi Balok'!$A$23:$A$7253,$A208,'Besi Balok'!$B$23:$B$7253,$B208,'Besi Balok'!$F$23:$F$7253,'REKAP Balok'!S$11)</f>
        <v>0</v>
      </c>
      <c r="T208" s="283">
        <f>SUMIFS('Besi Balok'!$AA$23:$AA$7253,'Besi Balok'!$A$23:$A$7253,$A208,'Besi Balok'!$B$23:$B$7253,$B208,'Besi Balok'!$F$23:$F$7253,'REKAP Balok'!T$11)</f>
        <v>0</v>
      </c>
      <c r="U208" s="284">
        <f t="shared" si="33"/>
        <v>18.745446960000002</v>
      </c>
      <c r="V208" s="285">
        <f t="shared" si="34"/>
        <v>7.3999999999999996E-2</v>
      </c>
      <c r="W208" s="282">
        <f t="shared" si="50"/>
        <v>0.92500000000000004</v>
      </c>
      <c r="X208" s="282"/>
      <c r="Y208" s="282"/>
      <c r="Z208" s="283"/>
      <c r="AC208" s="1784">
        <f t="shared" si="38"/>
        <v>0.14799999999999999</v>
      </c>
    </row>
    <row r="209" spans="1:29" hidden="1">
      <c r="A209" s="272" t="str">
        <f>'Data Panjang Balok'!A205</f>
        <v>Lantai 3</v>
      </c>
      <c r="B209" s="273">
        <f>'Data Panjang Balok'!B205</f>
        <v>52</v>
      </c>
      <c r="C209" s="274" t="str">
        <f>'Data Panjang Balok'!D205</f>
        <v>CL24-1</v>
      </c>
      <c r="D209" s="275">
        <f>IF(C209&gt;0,VLOOKUP(C209,'Detail Balok'!$C$11:$AU$140,2,FALSE),0)</f>
        <v>200</v>
      </c>
      <c r="E209" s="276" t="s">
        <v>125</v>
      </c>
      <c r="F209" s="277">
        <f>IF(C209&gt;0,VLOOKUP(C209,'Detail Balok'!$C$11:$AU$140,3,FALSE),0)</f>
        <v>400</v>
      </c>
      <c r="G209" s="278">
        <f>'Data Panjang Balok'!I205</f>
        <v>925</v>
      </c>
      <c r="H209" s="278">
        <f>'Data Panjang Balok'!J205</f>
        <v>0</v>
      </c>
      <c r="I209" s="279">
        <v>0</v>
      </c>
      <c r="J209" s="279">
        <f t="shared" si="32"/>
        <v>-0.4</v>
      </c>
      <c r="K209" s="280">
        <f>'Data Panjang Balok'!E205</f>
        <v>1</v>
      </c>
      <c r="L209" s="281">
        <f>SUMIFS('Besi Balok'!$AA$23:$AA$7253,'Besi Balok'!$A$23:$A$7253,$A209,'Besi Balok'!$B$23:$B$7253,$B209,'Besi Balok'!$F$23:$F$7253,'REKAP Balok'!L$11)</f>
        <v>0</v>
      </c>
      <c r="M209" s="282">
        <f>SUMIFS('Besi Balok'!$AA$23:$AA$7253,'Besi Balok'!$A$23:$A$7253,$A209,'Besi Balok'!$B$23:$B$7253,$B209,'Besi Balok'!$F$23:$F$7253,'REKAP Balok'!M$11)</f>
        <v>0</v>
      </c>
      <c r="N209" s="282">
        <f>SUMIFS('Besi Balok'!$AA$23:$AA$7253,'Besi Balok'!$A$23:$A$7253,$A209,'Besi Balok'!$B$23:$B$7253,$B209,'Besi Balok'!$F$23:$F$7253,'REKAP Balok'!N$11)</f>
        <v>6.3499500000000006</v>
      </c>
      <c r="O209" s="282">
        <f>SUMIFS('Besi Balok'!$AA$23:$AA$7253,'Besi Balok'!$A$23:$A$7253,$A209,'Besi Balok'!$B$23:$B$7253,$B209,'Besi Balok'!$F$23:$F$7253,'REKAP Balok'!O$11)</f>
        <v>0</v>
      </c>
      <c r="P209" s="282">
        <f>SUMIFS('Besi Balok'!$AA$23:$AA$7253,'Besi Balok'!$A$23:$A$7253,$A209,'Besi Balok'!$B$23:$B$7253,$B209,'Besi Balok'!$F$23:$F$7253,'REKAP Balok'!P$11)</f>
        <v>12.395496960000003</v>
      </c>
      <c r="Q209" s="282">
        <f>SUMIFS('Besi Balok'!$AA$23:$AA$7253,'Besi Balok'!$A$23:$A$7253,$A209,'Besi Balok'!$B$23:$B$7253,$B209,'Besi Balok'!$F$23:$F$7253,'REKAP Balok'!Q$11)</f>
        <v>0</v>
      </c>
      <c r="R209" s="282">
        <f>SUMIFS('Besi Balok'!$AA$23:$AA$7253,'Besi Balok'!$A$23:$A$7253,$A209,'Besi Balok'!$B$23:$B$7253,$B209,'Besi Balok'!$F$23:$F$7253,'REKAP Balok'!R$11)</f>
        <v>0</v>
      </c>
      <c r="S209" s="282">
        <f>SUMIFS('Besi Balok'!$AA$23:$AA$7253,'Besi Balok'!$A$23:$A$7253,$A209,'Besi Balok'!$B$23:$B$7253,$B209,'Besi Balok'!$F$23:$F$7253,'REKAP Balok'!S$11)</f>
        <v>0</v>
      </c>
      <c r="T209" s="283">
        <f>SUMIFS('Besi Balok'!$AA$23:$AA$7253,'Besi Balok'!$A$23:$A$7253,$A209,'Besi Balok'!$B$23:$B$7253,$B209,'Besi Balok'!$F$23:$F$7253,'REKAP Balok'!T$11)</f>
        <v>0</v>
      </c>
      <c r="U209" s="284">
        <f t="shared" si="33"/>
        <v>18.745446960000002</v>
      </c>
      <c r="V209" s="285">
        <f t="shared" si="34"/>
        <v>7.3999999999999996E-2</v>
      </c>
      <c r="W209" s="282">
        <f t="shared" si="50"/>
        <v>0.92500000000000004</v>
      </c>
      <c r="X209" s="282"/>
      <c r="Y209" s="282"/>
      <c r="Z209" s="283"/>
      <c r="AC209" s="1784">
        <f t="shared" si="38"/>
        <v>0.14799999999999999</v>
      </c>
    </row>
    <row r="210" spans="1:29" hidden="1">
      <c r="A210" s="272" t="str">
        <f>'Data Panjang Balok'!A206</f>
        <v>Lantai 3</v>
      </c>
      <c r="B210" s="273">
        <f>'Data Panjang Balok'!B206</f>
        <v>53</v>
      </c>
      <c r="C210" s="274" t="str">
        <f>'Data Panjang Balok'!D206</f>
        <v>B26-1</v>
      </c>
      <c r="D210" s="275">
        <f>IF(C210&gt;0,VLOOKUP(C210,'Detail Balok'!$C$11:$AU$140,2,FALSE),0)</f>
        <v>200</v>
      </c>
      <c r="E210" s="276" t="s">
        <v>125</v>
      </c>
      <c r="F210" s="277">
        <f>IF(C210&gt;0,VLOOKUP(C210,'Detail Balok'!$C$11:$AU$140,3,FALSE),0)</f>
        <v>600</v>
      </c>
      <c r="G210" s="278">
        <f>'Data Panjang Balok'!I206</f>
        <v>6325</v>
      </c>
      <c r="H210" s="278">
        <f>'Data Panjang Balok'!J206</f>
        <v>0</v>
      </c>
      <c r="I210" s="279">
        <v>0</v>
      </c>
      <c r="J210" s="279">
        <f t="shared" si="32"/>
        <v>-0.6</v>
      </c>
      <c r="K210" s="280">
        <f>'Data Panjang Balok'!E206</f>
        <v>1</v>
      </c>
      <c r="L210" s="281">
        <f>SUMIFS('Besi Balok'!$AA$23:$AA$7253,'Besi Balok'!$A$23:$A$7253,$A210,'Besi Balok'!$B$23:$B$7253,$B210,'Besi Balok'!$F$23:$F$7253,'REKAP Balok'!L$11)</f>
        <v>0</v>
      </c>
      <c r="M210" s="282">
        <f>SUMIFS('Besi Balok'!$AA$23:$AA$7253,'Besi Balok'!$A$23:$A$7253,$A210,'Besi Balok'!$B$23:$B$7253,$B210,'Besi Balok'!$F$23:$F$7253,'REKAP Balok'!M$11)</f>
        <v>0</v>
      </c>
      <c r="N210" s="282">
        <f>SUMIFS('Besi Balok'!$AA$23:$AA$7253,'Besi Balok'!$A$23:$A$7253,$A210,'Besi Balok'!$B$23:$B$7253,$B210,'Besi Balok'!$F$23:$F$7253,'REKAP Balok'!N$11)</f>
        <v>56.582370000000004</v>
      </c>
      <c r="O210" s="282">
        <f>SUMIFS('Besi Balok'!$AA$23:$AA$7253,'Besi Balok'!$A$23:$A$7253,$A210,'Besi Balok'!$B$23:$B$7253,$B210,'Besi Balok'!$F$23:$F$7253,'REKAP Balok'!O$11)</f>
        <v>0</v>
      </c>
      <c r="P210" s="282">
        <f>SUMIFS('Besi Balok'!$AA$23:$AA$7253,'Besi Balok'!$A$23:$A$7253,$A210,'Besi Balok'!$B$23:$B$7253,$B210,'Besi Balok'!$F$23:$F$7253,'REKAP Balok'!P$11)</f>
        <v>76.872913920000002</v>
      </c>
      <c r="Q210" s="282">
        <f>SUMIFS('Besi Balok'!$AA$23:$AA$7253,'Besi Balok'!$A$23:$A$7253,$A210,'Besi Balok'!$B$23:$B$7253,$B210,'Besi Balok'!$F$23:$F$7253,'REKAP Balok'!Q$11)</f>
        <v>0</v>
      </c>
      <c r="R210" s="282">
        <f>SUMIFS('Besi Balok'!$AA$23:$AA$7253,'Besi Balok'!$A$23:$A$7253,$A210,'Besi Balok'!$B$23:$B$7253,$B210,'Besi Balok'!$F$23:$F$7253,'REKAP Balok'!R$11)</f>
        <v>0</v>
      </c>
      <c r="S210" s="282">
        <f>SUMIFS('Besi Balok'!$AA$23:$AA$7253,'Besi Balok'!$A$23:$A$7253,$A210,'Besi Balok'!$B$23:$B$7253,$B210,'Besi Balok'!$F$23:$F$7253,'REKAP Balok'!S$11)</f>
        <v>0</v>
      </c>
      <c r="T210" s="283">
        <f>SUMIFS('Besi Balok'!$AA$23:$AA$7253,'Besi Balok'!$A$23:$A$7253,$A210,'Besi Balok'!$B$23:$B$7253,$B210,'Besi Balok'!$F$23:$F$7253,'REKAP Balok'!T$11)</f>
        <v>0</v>
      </c>
      <c r="U210" s="284">
        <f t="shared" si="33"/>
        <v>133.45528392</v>
      </c>
      <c r="V210" s="285">
        <f t="shared" si="34"/>
        <v>0.75900000000000001</v>
      </c>
      <c r="W210" s="282">
        <f t="shared" si="50"/>
        <v>8.8550000000000004</v>
      </c>
      <c r="X210" s="282"/>
      <c r="Y210" s="282"/>
      <c r="Z210" s="283"/>
      <c r="AC210" s="1784">
        <f t="shared" si="38"/>
        <v>1.518</v>
      </c>
    </row>
    <row r="211" spans="1:29" hidden="1">
      <c r="A211" s="272" t="str">
        <f>'Data Panjang Balok'!A207</f>
        <v>Lantai 3</v>
      </c>
      <c r="B211" s="273">
        <f>'Data Panjang Balok'!B207</f>
        <v>54</v>
      </c>
      <c r="C211" s="274" t="str">
        <f>'Data Panjang Balok'!D207</f>
        <v>B26-1</v>
      </c>
      <c r="D211" s="275">
        <f>IF(C211&gt;0,VLOOKUP(C211,'Detail Balok'!$C$11:$AU$140,2,FALSE),0)</f>
        <v>200</v>
      </c>
      <c r="E211" s="276" t="s">
        <v>125</v>
      </c>
      <c r="F211" s="277">
        <f>IF(C211&gt;0,VLOOKUP(C211,'Detail Balok'!$C$11:$AU$140,3,FALSE),0)</f>
        <v>600</v>
      </c>
      <c r="G211" s="278">
        <f>'Data Panjang Balok'!I207</f>
        <v>4555</v>
      </c>
      <c r="H211" s="278">
        <f>'Data Panjang Balok'!J207</f>
        <v>150</v>
      </c>
      <c r="I211" s="279">
        <v>0</v>
      </c>
      <c r="J211" s="279">
        <f t="shared" si="32"/>
        <v>-0.6</v>
      </c>
      <c r="K211" s="280">
        <f>'Data Panjang Balok'!E207</f>
        <v>1</v>
      </c>
      <c r="L211" s="281">
        <f>SUMIFS('Besi Balok'!$AA$23:$AA$7253,'Besi Balok'!$A$23:$A$7253,$A211,'Besi Balok'!$B$23:$B$7253,$B211,'Besi Balok'!$F$23:$F$7253,'REKAP Balok'!L$11)</f>
        <v>0</v>
      </c>
      <c r="M211" s="282">
        <f>SUMIFS('Besi Balok'!$AA$23:$AA$7253,'Besi Balok'!$A$23:$A$7253,$A211,'Besi Balok'!$B$23:$B$7253,$B211,'Besi Balok'!$F$23:$F$7253,'REKAP Balok'!M$11)</f>
        <v>0</v>
      </c>
      <c r="N211" s="282">
        <f>SUMIFS('Besi Balok'!$AA$23:$AA$7253,'Besi Balok'!$A$23:$A$7253,$A211,'Besi Balok'!$B$23:$B$7253,$B211,'Besi Balok'!$F$23:$F$7253,'REKAP Balok'!N$11)</f>
        <v>41.176034999999999</v>
      </c>
      <c r="O211" s="282">
        <f>SUMIFS('Besi Balok'!$AA$23:$AA$7253,'Besi Balok'!$A$23:$A$7253,$A211,'Besi Balok'!$B$23:$B$7253,$B211,'Besi Balok'!$F$23:$F$7253,'REKAP Balok'!O$11)</f>
        <v>0</v>
      </c>
      <c r="P211" s="282">
        <f>SUMIFS('Besi Balok'!$AA$23:$AA$7253,'Besi Balok'!$A$23:$A$7253,$A211,'Besi Balok'!$B$23:$B$7253,$B211,'Besi Balok'!$F$23:$F$7253,'REKAP Balok'!P$11)</f>
        <v>56.759823359999999</v>
      </c>
      <c r="Q211" s="282">
        <f>SUMIFS('Besi Balok'!$AA$23:$AA$7253,'Besi Balok'!$A$23:$A$7253,$A211,'Besi Balok'!$B$23:$B$7253,$B211,'Besi Balok'!$F$23:$F$7253,'REKAP Balok'!Q$11)</f>
        <v>0</v>
      </c>
      <c r="R211" s="282">
        <f>SUMIFS('Besi Balok'!$AA$23:$AA$7253,'Besi Balok'!$A$23:$A$7253,$A211,'Besi Balok'!$B$23:$B$7253,$B211,'Besi Balok'!$F$23:$F$7253,'REKAP Balok'!R$11)</f>
        <v>0</v>
      </c>
      <c r="S211" s="282">
        <f>SUMIFS('Besi Balok'!$AA$23:$AA$7253,'Besi Balok'!$A$23:$A$7253,$A211,'Besi Balok'!$B$23:$B$7253,$B211,'Besi Balok'!$F$23:$F$7253,'REKAP Balok'!S$11)</f>
        <v>0</v>
      </c>
      <c r="T211" s="283">
        <f>SUMIFS('Besi Balok'!$AA$23:$AA$7253,'Besi Balok'!$A$23:$A$7253,$A211,'Besi Balok'!$B$23:$B$7253,$B211,'Besi Balok'!$F$23:$F$7253,'REKAP Balok'!T$11)</f>
        <v>0</v>
      </c>
      <c r="U211" s="284">
        <f t="shared" si="33"/>
        <v>97.935858359999997</v>
      </c>
      <c r="V211" s="285">
        <f t="shared" si="34"/>
        <v>0.40994999999999998</v>
      </c>
      <c r="W211" s="282">
        <f t="shared" si="50"/>
        <v>4.0994999999999999</v>
      </c>
      <c r="X211" s="282"/>
      <c r="Y211" s="282"/>
      <c r="Z211" s="283"/>
      <c r="AC211" s="1784">
        <f t="shared" si="38"/>
        <v>1.0931999999999999</v>
      </c>
    </row>
    <row r="212" spans="1:29" hidden="1">
      <c r="A212" s="272" t="str">
        <f>'Data Panjang Balok'!A208</f>
        <v>Lantai 3</v>
      </c>
      <c r="B212" s="273">
        <f>'Data Panjang Balok'!B208</f>
        <v>55</v>
      </c>
      <c r="C212" s="274" t="str">
        <f>'Data Panjang Balok'!D208</f>
        <v>CL24-1</v>
      </c>
      <c r="D212" s="275">
        <f>IF(C212&gt;0,VLOOKUP(C212,'Detail Balok'!$C$11:$AU$140,2,FALSE),0)</f>
        <v>200</v>
      </c>
      <c r="E212" s="276" t="s">
        <v>125</v>
      </c>
      <c r="F212" s="277">
        <f>IF(C212&gt;0,VLOOKUP(C212,'Detail Balok'!$C$11:$AU$140,3,FALSE),0)</f>
        <v>400</v>
      </c>
      <c r="G212" s="278">
        <f>'Data Panjang Balok'!I208</f>
        <v>5300</v>
      </c>
      <c r="H212" s="278">
        <f>'Data Panjang Balok'!J208</f>
        <v>150</v>
      </c>
      <c r="I212" s="279">
        <v>0</v>
      </c>
      <c r="J212" s="279">
        <f t="shared" si="32"/>
        <v>-0.4</v>
      </c>
      <c r="K212" s="280">
        <f>'Data Panjang Balok'!E208</f>
        <v>1</v>
      </c>
      <c r="L212" s="281">
        <f>SUMIFS('Besi Balok'!$AA$23:$AA$7253,'Besi Balok'!$A$23:$A$7253,$A212,'Besi Balok'!$B$23:$B$7253,$B212,'Besi Balok'!$F$23:$F$7253,'REKAP Balok'!L$11)</f>
        <v>0</v>
      </c>
      <c r="M212" s="282">
        <f>SUMIFS('Besi Balok'!$AA$23:$AA$7253,'Besi Balok'!$A$23:$A$7253,$A212,'Besi Balok'!$B$23:$B$7253,$B212,'Besi Balok'!$F$23:$F$7253,'REKAP Balok'!M$11)</f>
        <v>0</v>
      </c>
      <c r="N212" s="282">
        <f>SUMIFS('Besi Balok'!$AA$23:$AA$7253,'Besi Balok'!$A$23:$A$7253,$A212,'Besi Balok'!$B$23:$B$7253,$B212,'Besi Balok'!$F$23:$F$7253,'REKAP Balok'!N$11)</f>
        <v>34.924725000000002</v>
      </c>
      <c r="O212" s="282">
        <f>SUMIFS('Besi Balok'!$AA$23:$AA$7253,'Besi Balok'!$A$23:$A$7253,$A212,'Besi Balok'!$B$23:$B$7253,$B212,'Besi Balok'!$F$23:$F$7253,'REKAP Balok'!O$11)</f>
        <v>0</v>
      </c>
      <c r="P212" s="282">
        <f>SUMIFS('Besi Balok'!$AA$23:$AA$7253,'Besi Balok'!$A$23:$A$7253,$A212,'Besi Balok'!$B$23:$B$7253,$B212,'Besi Balok'!$F$23:$F$7253,'REKAP Balok'!P$11)</f>
        <v>53.824296959999991</v>
      </c>
      <c r="Q212" s="282">
        <f>SUMIFS('Besi Balok'!$AA$23:$AA$7253,'Besi Balok'!$A$23:$A$7253,$A212,'Besi Balok'!$B$23:$B$7253,$B212,'Besi Balok'!$F$23:$F$7253,'REKAP Balok'!Q$11)</f>
        <v>0</v>
      </c>
      <c r="R212" s="282">
        <f>SUMIFS('Besi Balok'!$AA$23:$AA$7253,'Besi Balok'!$A$23:$A$7253,$A212,'Besi Balok'!$B$23:$B$7253,$B212,'Besi Balok'!$F$23:$F$7253,'REKAP Balok'!R$11)</f>
        <v>0</v>
      </c>
      <c r="S212" s="282">
        <f>SUMIFS('Besi Balok'!$AA$23:$AA$7253,'Besi Balok'!$A$23:$A$7253,$A212,'Besi Balok'!$B$23:$B$7253,$B212,'Besi Balok'!$F$23:$F$7253,'REKAP Balok'!S$11)</f>
        <v>0</v>
      </c>
      <c r="T212" s="283">
        <f>SUMIFS('Besi Balok'!$AA$23:$AA$7253,'Besi Balok'!$A$23:$A$7253,$A212,'Besi Balok'!$B$23:$B$7253,$B212,'Besi Balok'!$F$23:$F$7253,'REKAP Balok'!T$11)</f>
        <v>0</v>
      </c>
      <c r="U212" s="284">
        <f t="shared" si="33"/>
        <v>88.749021959999993</v>
      </c>
      <c r="V212" s="285">
        <f t="shared" si="34"/>
        <v>0.26500000000000001</v>
      </c>
      <c r="W212" s="282">
        <f t="shared" si="50"/>
        <v>2.65</v>
      </c>
      <c r="X212" s="282"/>
      <c r="Y212" s="282"/>
      <c r="Z212" s="283"/>
      <c r="AC212" s="1784">
        <f t="shared" si="38"/>
        <v>0.84799999999999998</v>
      </c>
    </row>
    <row r="213" spans="1:29" hidden="1">
      <c r="A213" s="272" t="str">
        <f>'Data Panjang Balok'!A209</f>
        <v>Lantai 3</v>
      </c>
      <c r="B213" s="273">
        <f>'Data Panjang Balok'!B209</f>
        <v>56</v>
      </c>
      <c r="C213" s="274" t="str">
        <f>'Data Panjang Balok'!D209</f>
        <v>CL24-1</v>
      </c>
      <c r="D213" s="275">
        <f>IF(C213&gt;0,VLOOKUP(C213,'Detail Balok'!$C$11:$AU$140,2,FALSE),0)</f>
        <v>200</v>
      </c>
      <c r="E213" s="276" t="s">
        <v>125</v>
      </c>
      <c r="F213" s="277">
        <f>IF(C213&gt;0,VLOOKUP(C213,'Detail Balok'!$C$11:$AU$140,3,FALSE),0)</f>
        <v>400</v>
      </c>
      <c r="G213" s="278">
        <f>'Data Panjang Balok'!I209</f>
        <v>1250</v>
      </c>
      <c r="H213" s="278">
        <f>'Data Panjang Balok'!J209</f>
        <v>150</v>
      </c>
      <c r="I213" s="279">
        <v>0</v>
      </c>
      <c r="J213" s="279">
        <f t="shared" si="32"/>
        <v>-0.4</v>
      </c>
      <c r="K213" s="280">
        <f>'Data Panjang Balok'!E209</f>
        <v>1</v>
      </c>
      <c r="L213" s="281">
        <f>SUMIFS('Besi Balok'!$AA$23:$AA$7253,'Besi Balok'!$A$23:$A$7253,$A213,'Besi Balok'!$B$23:$B$7253,$B213,'Besi Balok'!$F$23:$F$7253,'REKAP Balok'!L$11)</f>
        <v>0</v>
      </c>
      <c r="M213" s="282">
        <f>SUMIFS('Besi Balok'!$AA$23:$AA$7253,'Besi Balok'!$A$23:$A$7253,$A213,'Besi Balok'!$B$23:$B$7253,$B213,'Besi Balok'!$F$23:$F$7253,'REKAP Balok'!M$11)</f>
        <v>0</v>
      </c>
      <c r="N213" s="282">
        <f>SUMIFS('Besi Balok'!$AA$23:$AA$7253,'Besi Balok'!$A$23:$A$7253,$A213,'Besi Balok'!$B$23:$B$7253,$B213,'Besi Balok'!$F$23:$F$7253,'REKAP Balok'!N$11)</f>
        <v>8.8899300000000014</v>
      </c>
      <c r="O213" s="282">
        <f>SUMIFS('Besi Balok'!$AA$23:$AA$7253,'Besi Balok'!$A$23:$A$7253,$A213,'Besi Balok'!$B$23:$B$7253,$B213,'Besi Balok'!$F$23:$F$7253,'REKAP Balok'!O$11)</f>
        <v>0</v>
      </c>
      <c r="P213" s="282">
        <f>SUMIFS('Besi Balok'!$AA$23:$AA$7253,'Besi Balok'!$A$23:$A$7253,$A213,'Besi Balok'!$B$23:$B$7253,$B213,'Besi Balok'!$F$23:$F$7253,'REKAP Balok'!P$11)</f>
        <v>15.47306496</v>
      </c>
      <c r="Q213" s="282">
        <f>SUMIFS('Besi Balok'!$AA$23:$AA$7253,'Besi Balok'!$A$23:$A$7253,$A213,'Besi Balok'!$B$23:$B$7253,$B213,'Besi Balok'!$F$23:$F$7253,'REKAP Balok'!Q$11)</f>
        <v>0</v>
      </c>
      <c r="R213" s="282">
        <f>SUMIFS('Besi Balok'!$AA$23:$AA$7253,'Besi Balok'!$A$23:$A$7253,$A213,'Besi Balok'!$B$23:$B$7253,$B213,'Besi Balok'!$F$23:$F$7253,'REKAP Balok'!R$11)</f>
        <v>0</v>
      </c>
      <c r="S213" s="282">
        <f>SUMIFS('Besi Balok'!$AA$23:$AA$7253,'Besi Balok'!$A$23:$A$7253,$A213,'Besi Balok'!$B$23:$B$7253,$B213,'Besi Balok'!$F$23:$F$7253,'REKAP Balok'!S$11)</f>
        <v>0</v>
      </c>
      <c r="T213" s="283">
        <f>SUMIFS('Besi Balok'!$AA$23:$AA$7253,'Besi Balok'!$A$23:$A$7253,$A213,'Besi Balok'!$B$23:$B$7253,$B213,'Besi Balok'!$F$23:$F$7253,'REKAP Balok'!T$11)</f>
        <v>0</v>
      </c>
      <c r="U213" s="284">
        <f t="shared" si="33"/>
        <v>24.362994960000002</v>
      </c>
      <c r="V213" s="285">
        <f t="shared" si="34"/>
        <v>6.25E-2</v>
      </c>
      <c r="W213" s="282">
        <f t="shared" si="50"/>
        <v>0.625</v>
      </c>
      <c r="X213" s="282"/>
      <c r="Y213" s="282"/>
      <c r="Z213" s="283"/>
      <c r="AC213" s="1784">
        <f t="shared" si="38"/>
        <v>0.2</v>
      </c>
    </row>
    <row r="214" spans="1:29" hidden="1">
      <c r="A214" s="272" t="str">
        <f>'Data Panjang Balok'!A210</f>
        <v>Lantai 3</v>
      </c>
      <c r="B214" s="273">
        <f>'Data Panjang Balok'!B210</f>
        <v>57</v>
      </c>
      <c r="C214" s="274" t="str">
        <f>'Data Panjang Balok'!D210</f>
        <v>CL24-1</v>
      </c>
      <c r="D214" s="275">
        <f>IF(C214&gt;0,VLOOKUP(C214,'Detail Balok'!$C$11:$AU$140,2,FALSE),0)</f>
        <v>200</v>
      </c>
      <c r="E214" s="276" t="s">
        <v>125</v>
      </c>
      <c r="F214" s="277">
        <f>IF(C214&gt;0,VLOOKUP(C214,'Detail Balok'!$C$11:$AU$140,3,FALSE),0)</f>
        <v>400</v>
      </c>
      <c r="G214" s="278">
        <f>'Data Panjang Balok'!I210</f>
        <v>1250</v>
      </c>
      <c r="H214" s="278">
        <f>'Data Panjang Balok'!J210</f>
        <v>150</v>
      </c>
      <c r="I214" s="279">
        <v>0</v>
      </c>
      <c r="J214" s="279">
        <f t="shared" si="32"/>
        <v>-0.4</v>
      </c>
      <c r="K214" s="280">
        <f>'Data Panjang Balok'!E210</f>
        <v>1</v>
      </c>
      <c r="L214" s="281">
        <f>SUMIFS('Besi Balok'!$AA$23:$AA$7253,'Besi Balok'!$A$23:$A$7253,$A214,'Besi Balok'!$B$23:$B$7253,$B214,'Besi Balok'!$F$23:$F$7253,'REKAP Balok'!L$11)</f>
        <v>0</v>
      </c>
      <c r="M214" s="282">
        <f>SUMIFS('Besi Balok'!$AA$23:$AA$7253,'Besi Balok'!$A$23:$A$7253,$A214,'Besi Balok'!$B$23:$B$7253,$B214,'Besi Balok'!$F$23:$F$7253,'REKAP Balok'!M$11)</f>
        <v>0</v>
      </c>
      <c r="N214" s="282">
        <f>SUMIFS('Besi Balok'!$AA$23:$AA$7253,'Besi Balok'!$A$23:$A$7253,$A214,'Besi Balok'!$B$23:$B$7253,$B214,'Besi Balok'!$F$23:$F$7253,'REKAP Balok'!N$11)</f>
        <v>8.8899300000000014</v>
      </c>
      <c r="O214" s="282">
        <f>SUMIFS('Besi Balok'!$AA$23:$AA$7253,'Besi Balok'!$A$23:$A$7253,$A214,'Besi Balok'!$B$23:$B$7253,$B214,'Besi Balok'!$F$23:$F$7253,'REKAP Balok'!O$11)</f>
        <v>0</v>
      </c>
      <c r="P214" s="282">
        <f>SUMIFS('Besi Balok'!$AA$23:$AA$7253,'Besi Balok'!$A$23:$A$7253,$A214,'Besi Balok'!$B$23:$B$7253,$B214,'Besi Balok'!$F$23:$F$7253,'REKAP Balok'!P$11)</f>
        <v>15.47306496</v>
      </c>
      <c r="Q214" s="282">
        <f>SUMIFS('Besi Balok'!$AA$23:$AA$7253,'Besi Balok'!$A$23:$A$7253,$A214,'Besi Balok'!$B$23:$B$7253,$B214,'Besi Balok'!$F$23:$F$7253,'REKAP Balok'!Q$11)</f>
        <v>0</v>
      </c>
      <c r="R214" s="282">
        <f>SUMIFS('Besi Balok'!$AA$23:$AA$7253,'Besi Balok'!$A$23:$A$7253,$A214,'Besi Balok'!$B$23:$B$7253,$B214,'Besi Balok'!$F$23:$F$7253,'REKAP Balok'!R$11)</f>
        <v>0</v>
      </c>
      <c r="S214" s="282">
        <f>SUMIFS('Besi Balok'!$AA$23:$AA$7253,'Besi Balok'!$A$23:$A$7253,$A214,'Besi Balok'!$B$23:$B$7253,$B214,'Besi Balok'!$F$23:$F$7253,'REKAP Balok'!S$11)</f>
        <v>0</v>
      </c>
      <c r="T214" s="283">
        <f>SUMIFS('Besi Balok'!$AA$23:$AA$7253,'Besi Balok'!$A$23:$A$7253,$A214,'Besi Balok'!$B$23:$B$7253,$B214,'Besi Balok'!$F$23:$F$7253,'REKAP Balok'!T$11)</f>
        <v>0</v>
      </c>
      <c r="U214" s="284">
        <f t="shared" si="33"/>
        <v>24.362994960000002</v>
      </c>
      <c r="V214" s="285">
        <f t="shared" si="34"/>
        <v>6.25E-2</v>
      </c>
      <c r="W214" s="282">
        <f t="shared" si="50"/>
        <v>0.625</v>
      </c>
      <c r="X214" s="282"/>
      <c r="Y214" s="282"/>
      <c r="Z214" s="283"/>
      <c r="AC214" s="1784">
        <f t="shared" si="38"/>
        <v>0.2</v>
      </c>
    </row>
    <row r="215" spans="1:29" hidden="1">
      <c r="A215" s="272" t="str">
        <f>'Data Panjang Balok'!A211</f>
        <v>Lantai 3</v>
      </c>
      <c r="B215" s="273">
        <f>'Data Panjang Balok'!B211</f>
        <v>58</v>
      </c>
      <c r="C215" s="274" t="str">
        <f>'Data Panjang Balok'!D211</f>
        <v>CL24-1</v>
      </c>
      <c r="D215" s="275">
        <f>IF(C215&gt;0,VLOOKUP(C215,'Detail Balok'!$C$11:$AU$140,2,FALSE),0)</f>
        <v>200</v>
      </c>
      <c r="E215" s="276" t="s">
        <v>125</v>
      </c>
      <c r="F215" s="277">
        <f>IF(C215&gt;0,VLOOKUP(C215,'Detail Balok'!$C$11:$AU$140,3,FALSE),0)</f>
        <v>400</v>
      </c>
      <c r="G215" s="278">
        <f>'Data Panjang Balok'!I211</f>
        <v>1250</v>
      </c>
      <c r="H215" s="278">
        <f>'Data Panjang Balok'!J211</f>
        <v>150</v>
      </c>
      <c r="I215" s="279">
        <v>0</v>
      </c>
      <c r="J215" s="279">
        <f t="shared" si="32"/>
        <v>-0.4</v>
      </c>
      <c r="K215" s="280">
        <f>'Data Panjang Balok'!E211</f>
        <v>1</v>
      </c>
      <c r="L215" s="281">
        <f>SUMIFS('Besi Balok'!$AA$23:$AA$7253,'Besi Balok'!$A$23:$A$7253,$A215,'Besi Balok'!$B$23:$B$7253,$B215,'Besi Balok'!$F$23:$F$7253,'REKAP Balok'!L$11)</f>
        <v>0</v>
      </c>
      <c r="M215" s="282">
        <f>SUMIFS('Besi Balok'!$AA$23:$AA$7253,'Besi Balok'!$A$23:$A$7253,$A215,'Besi Balok'!$B$23:$B$7253,$B215,'Besi Balok'!$F$23:$F$7253,'REKAP Balok'!M$11)</f>
        <v>0</v>
      </c>
      <c r="N215" s="282">
        <f>SUMIFS('Besi Balok'!$AA$23:$AA$7253,'Besi Balok'!$A$23:$A$7253,$A215,'Besi Balok'!$B$23:$B$7253,$B215,'Besi Balok'!$F$23:$F$7253,'REKAP Balok'!N$11)</f>
        <v>8.8899300000000014</v>
      </c>
      <c r="O215" s="282">
        <f>SUMIFS('Besi Balok'!$AA$23:$AA$7253,'Besi Balok'!$A$23:$A$7253,$A215,'Besi Balok'!$B$23:$B$7253,$B215,'Besi Balok'!$F$23:$F$7253,'REKAP Balok'!O$11)</f>
        <v>0</v>
      </c>
      <c r="P215" s="282">
        <f>SUMIFS('Besi Balok'!$AA$23:$AA$7253,'Besi Balok'!$A$23:$A$7253,$A215,'Besi Balok'!$B$23:$B$7253,$B215,'Besi Balok'!$F$23:$F$7253,'REKAP Balok'!P$11)</f>
        <v>15.47306496</v>
      </c>
      <c r="Q215" s="282">
        <f>SUMIFS('Besi Balok'!$AA$23:$AA$7253,'Besi Balok'!$A$23:$A$7253,$A215,'Besi Balok'!$B$23:$B$7253,$B215,'Besi Balok'!$F$23:$F$7253,'REKAP Balok'!Q$11)</f>
        <v>0</v>
      </c>
      <c r="R215" s="282">
        <f>SUMIFS('Besi Balok'!$AA$23:$AA$7253,'Besi Balok'!$A$23:$A$7253,$A215,'Besi Balok'!$B$23:$B$7253,$B215,'Besi Balok'!$F$23:$F$7253,'REKAP Balok'!R$11)</f>
        <v>0</v>
      </c>
      <c r="S215" s="282">
        <f>SUMIFS('Besi Balok'!$AA$23:$AA$7253,'Besi Balok'!$A$23:$A$7253,$A215,'Besi Balok'!$B$23:$B$7253,$B215,'Besi Balok'!$F$23:$F$7253,'REKAP Balok'!S$11)</f>
        <v>0</v>
      </c>
      <c r="T215" s="283">
        <f>SUMIFS('Besi Balok'!$AA$23:$AA$7253,'Besi Balok'!$A$23:$A$7253,$A215,'Besi Balok'!$B$23:$B$7253,$B215,'Besi Balok'!$F$23:$F$7253,'REKAP Balok'!T$11)</f>
        <v>0</v>
      </c>
      <c r="U215" s="284">
        <f t="shared" si="33"/>
        <v>24.362994960000002</v>
      </c>
      <c r="V215" s="285">
        <f t="shared" si="34"/>
        <v>6.25E-2</v>
      </c>
      <c r="W215" s="282">
        <f t="shared" si="50"/>
        <v>0.625</v>
      </c>
      <c r="X215" s="282"/>
      <c r="Y215" s="282"/>
      <c r="Z215" s="283"/>
      <c r="AC215" s="1784">
        <f t="shared" si="38"/>
        <v>0.2</v>
      </c>
    </row>
    <row r="216" spans="1:29" hidden="1">
      <c r="A216" s="272" t="str">
        <f>'Data Panjang Balok'!A212</f>
        <v>Lantai 3</v>
      </c>
      <c r="B216" s="273">
        <f>'Data Panjang Balok'!B212</f>
        <v>59</v>
      </c>
      <c r="C216" s="274" t="str">
        <f>'Data Panjang Balok'!D212</f>
        <v>CL24-1</v>
      </c>
      <c r="D216" s="275">
        <f>IF(C216&gt;0,VLOOKUP(C216,'Detail Balok'!$C$11:$AU$140,2,FALSE),0)</f>
        <v>200</v>
      </c>
      <c r="E216" s="276" t="s">
        <v>125</v>
      </c>
      <c r="F216" s="277">
        <f>IF(C216&gt;0,VLOOKUP(C216,'Detail Balok'!$C$11:$AU$140,3,FALSE),0)</f>
        <v>400</v>
      </c>
      <c r="G216" s="278">
        <f>'Data Panjang Balok'!I212</f>
        <v>1325</v>
      </c>
      <c r="H216" s="278">
        <f>'Data Panjang Balok'!J212</f>
        <v>150</v>
      </c>
      <c r="I216" s="279">
        <v>0</v>
      </c>
      <c r="J216" s="279">
        <f t="shared" si="32"/>
        <v>-0.4</v>
      </c>
      <c r="K216" s="280">
        <f>'Data Panjang Balok'!E212</f>
        <v>1</v>
      </c>
      <c r="L216" s="281">
        <f>SUMIFS('Besi Balok'!$AA$23:$AA$7253,'Besi Balok'!$A$23:$A$7253,$A216,'Besi Balok'!$B$23:$B$7253,$B216,'Besi Balok'!$F$23:$F$7253,'REKAP Balok'!L$11)</f>
        <v>0</v>
      </c>
      <c r="M216" s="282">
        <f>SUMIFS('Besi Balok'!$AA$23:$AA$7253,'Besi Balok'!$A$23:$A$7253,$A216,'Besi Balok'!$B$23:$B$7253,$B216,'Besi Balok'!$F$23:$F$7253,'REKAP Balok'!M$11)</f>
        <v>0</v>
      </c>
      <c r="N216" s="282">
        <f>SUMIFS('Besi Balok'!$AA$23:$AA$7253,'Besi Balok'!$A$23:$A$7253,$A216,'Besi Balok'!$B$23:$B$7253,$B216,'Besi Balok'!$F$23:$F$7253,'REKAP Balok'!N$11)</f>
        <v>8.8899300000000014</v>
      </c>
      <c r="O216" s="282">
        <f>SUMIFS('Besi Balok'!$AA$23:$AA$7253,'Besi Balok'!$A$23:$A$7253,$A216,'Besi Balok'!$B$23:$B$7253,$B216,'Besi Balok'!$F$23:$F$7253,'REKAP Balok'!O$11)</f>
        <v>0</v>
      </c>
      <c r="P216" s="282">
        <f>SUMIFS('Besi Balok'!$AA$23:$AA$7253,'Besi Balok'!$A$23:$A$7253,$A216,'Besi Balok'!$B$23:$B$7253,$B216,'Besi Balok'!$F$23:$F$7253,'REKAP Balok'!P$11)</f>
        <v>16.183272960000004</v>
      </c>
      <c r="Q216" s="282">
        <f>SUMIFS('Besi Balok'!$AA$23:$AA$7253,'Besi Balok'!$A$23:$A$7253,$A216,'Besi Balok'!$B$23:$B$7253,$B216,'Besi Balok'!$F$23:$F$7253,'REKAP Balok'!Q$11)</f>
        <v>0</v>
      </c>
      <c r="R216" s="282">
        <f>SUMIFS('Besi Balok'!$AA$23:$AA$7253,'Besi Balok'!$A$23:$A$7253,$A216,'Besi Balok'!$B$23:$B$7253,$B216,'Besi Balok'!$F$23:$F$7253,'REKAP Balok'!R$11)</f>
        <v>0</v>
      </c>
      <c r="S216" s="282">
        <f>SUMIFS('Besi Balok'!$AA$23:$AA$7253,'Besi Balok'!$A$23:$A$7253,$A216,'Besi Balok'!$B$23:$B$7253,$B216,'Besi Balok'!$F$23:$F$7253,'REKAP Balok'!S$11)</f>
        <v>0</v>
      </c>
      <c r="T216" s="283">
        <f>SUMIFS('Besi Balok'!$AA$23:$AA$7253,'Besi Balok'!$A$23:$A$7253,$A216,'Besi Balok'!$B$23:$B$7253,$B216,'Besi Balok'!$F$23:$F$7253,'REKAP Balok'!T$11)</f>
        <v>0</v>
      </c>
      <c r="U216" s="284">
        <f t="shared" si="33"/>
        <v>25.073202960000003</v>
      </c>
      <c r="V216" s="285">
        <f t="shared" si="34"/>
        <v>6.6250000000000003E-2</v>
      </c>
      <c r="W216" s="282">
        <f t="shared" si="50"/>
        <v>0.66249999999999998</v>
      </c>
      <c r="X216" s="282"/>
      <c r="Y216" s="282"/>
      <c r="Z216" s="283"/>
      <c r="AC216" s="1784">
        <f t="shared" si="38"/>
        <v>0.21199999999999999</v>
      </c>
    </row>
    <row r="217" spans="1:29" hidden="1">
      <c r="A217" s="272" t="str">
        <f>'Data Panjang Balok'!A213</f>
        <v>Lantai 3</v>
      </c>
      <c r="B217" s="273">
        <f>'Data Panjang Balok'!B213</f>
        <v>60</v>
      </c>
      <c r="C217" s="274" t="str">
        <f>'Data Panjang Balok'!D213</f>
        <v>CL24-1</v>
      </c>
      <c r="D217" s="275">
        <f>IF(C217&gt;0,VLOOKUP(C217,'Detail Balok'!$C$11:$AU$140,2,FALSE),0)</f>
        <v>200</v>
      </c>
      <c r="E217" s="276" t="s">
        <v>125</v>
      </c>
      <c r="F217" s="277">
        <f>IF(C217&gt;0,VLOOKUP(C217,'Detail Balok'!$C$11:$AU$140,3,FALSE),0)</f>
        <v>400</v>
      </c>
      <c r="G217" s="278">
        <f>'Data Panjang Balok'!I213</f>
        <v>1250</v>
      </c>
      <c r="H217" s="278">
        <f>'Data Panjang Balok'!J213</f>
        <v>150</v>
      </c>
      <c r="I217" s="279">
        <v>0</v>
      </c>
      <c r="J217" s="279">
        <f t="shared" si="32"/>
        <v>-0.4</v>
      </c>
      <c r="K217" s="280">
        <f>'Data Panjang Balok'!E213</f>
        <v>1</v>
      </c>
      <c r="L217" s="281">
        <f>SUMIFS('Besi Balok'!$AA$23:$AA$7253,'Besi Balok'!$A$23:$A$7253,$A217,'Besi Balok'!$B$23:$B$7253,$B217,'Besi Balok'!$F$23:$F$7253,'REKAP Balok'!L$11)</f>
        <v>0</v>
      </c>
      <c r="M217" s="282">
        <f>SUMIFS('Besi Balok'!$AA$23:$AA$7253,'Besi Balok'!$A$23:$A$7253,$A217,'Besi Balok'!$B$23:$B$7253,$B217,'Besi Balok'!$F$23:$F$7253,'REKAP Balok'!M$11)</f>
        <v>0</v>
      </c>
      <c r="N217" s="282">
        <f>SUMIFS('Besi Balok'!$AA$23:$AA$7253,'Besi Balok'!$A$23:$A$7253,$A217,'Besi Balok'!$B$23:$B$7253,$B217,'Besi Balok'!$F$23:$F$7253,'REKAP Balok'!N$11)</f>
        <v>8.8899300000000014</v>
      </c>
      <c r="O217" s="282">
        <f>SUMIFS('Besi Balok'!$AA$23:$AA$7253,'Besi Balok'!$A$23:$A$7253,$A217,'Besi Balok'!$B$23:$B$7253,$B217,'Besi Balok'!$F$23:$F$7253,'REKAP Balok'!O$11)</f>
        <v>0</v>
      </c>
      <c r="P217" s="282">
        <f>SUMIFS('Besi Balok'!$AA$23:$AA$7253,'Besi Balok'!$A$23:$A$7253,$A217,'Besi Balok'!$B$23:$B$7253,$B217,'Besi Balok'!$F$23:$F$7253,'REKAP Balok'!P$11)</f>
        <v>15.47306496</v>
      </c>
      <c r="Q217" s="282">
        <f>SUMIFS('Besi Balok'!$AA$23:$AA$7253,'Besi Balok'!$A$23:$A$7253,$A217,'Besi Balok'!$B$23:$B$7253,$B217,'Besi Balok'!$F$23:$F$7253,'REKAP Balok'!Q$11)</f>
        <v>0</v>
      </c>
      <c r="R217" s="282">
        <f>SUMIFS('Besi Balok'!$AA$23:$AA$7253,'Besi Balok'!$A$23:$A$7253,$A217,'Besi Balok'!$B$23:$B$7253,$B217,'Besi Balok'!$F$23:$F$7253,'REKAP Balok'!R$11)</f>
        <v>0</v>
      </c>
      <c r="S217" s="282">
        <f>SUMIFS('Besi Balok'!$AA$23:$AA$7253,'Besi Balok'!$A$23:$A$7253,$A217,'Besi Balok'!$B$23:$B$7253,$B217,'Besi Balok'!$F$23:$F$7253,'REKAP Balok'!S$11)</f>
        <v>0</v>
      </c>
      <c r="T217" s="283">
        <f>SUMIFS('Besi Balok'!$AA$23:$AA$7253,'Besi Balok'!$A$23:$A$7253,$A217,'Besi Balok'!$B$23:$B$7253,$B217,'Besi Balok'!$F$23:$F$7253,'REKAP Balok'!T$11)</f>
        <v>0</v>
      </c>
      <c r="U217" s="284">
        <f t="shared" si="33"/>
        <v>24.362994960000002</v>
      </c>
      <c r="V217" s="285">
        <f t="shared" si="34"/>
        <v>6.25E-2</v>
      </c>
      <c r="W217" s="282">
        <f t="shared" si="50"/>
        <v>0.625</v>
      </c>
      <c r="X217" s="282"/>
      <c r="Y217" s="282"/>
      <c r="Z217" s="283"/>
      <c r="AC217" s="1784">
        <f t="shared" si="38"/>
        <v>0.2</v>
      </c>
    </row>
    <row r="218" spans="1:29" hidden="1">
      <c r="A218" s="272" t="str">
        <f>'Data Panjang Balok'!A214</f>
        <v>Lantai 3</v>
      </c>
      <c r="B218" s="273">
        <f>'Data Panjang Balok'!B214</f>
        <v>61</v>
      </c>
      <c r="C218" s="274" t="str">
        <f>'Data Panjang Balok'!D214</f>
        <v>B4-1</v>
      </c>
      <c r="D218" s="275">
        <f>IF(C218&gt;0,VLOOKUP(C218,'Detail Balok'!$C$11:$AU$140,2,FALSE),0)</f>
        <v>130</v>
      </c>
      <c r="E218" s="276" t="s">
        <v>125</v>
      </c>
      <c r="F218" s="277">
        <f>IF(C218&gt;0,VLOOKUP(C218,'Detail Balok'!$C$11:$AU$140,3,FALSE),0)</f>
        <v>400</v>
      </c>
      <c r="G218" s="278">
        <f>'Data Panjang Balok'!I214</f>
        <v>10750</v>
      </c>
      <c r="H218" s="278">
        <f>'Data Panjang Balok'!J214</f>
        <v>0</v>
      </c>
      <c r="I218" s="279">
        <v>0</v>
      </c>
      <c r="J218" s="279">
        <f t="shared" ref="J218:J221" si="51">I218-F218/1000</f>
        <v>-0.4</v>
      </c>
      <c r="K218" s="280">
        <f>'Data Panjang Balok'!E214</f>
        <v>1</v>
      </c>
      <c r="L218" s="281">
        <f>SUMIFS('Besi Balok'!$AA$23:$AA$7253,'Besi Balok'!$A$23:$A$7253,$A218,'Besi Balok'!$B$23:$B$7253,$B218,'Besi Balok'!$F$23:$F$7253,'REKAP Balok'!L$11)</f>
        <v>0</v>
      </c>
      <c r="M218" s="282">
        <f>SUMIFS('Besi Balok'!$AA$23:$AA$7253,'Besi Balok'!$A$23:$A$7253,$A218,'Besi Balok'!$B$23:$B$7253,$B218,'Besi Balok'!$F$23:$F$7253,'REKAP Balok'!M$11)</f>
        <v>22.825296000000002</v>
      </c>
      <c r="N218" s="282">
        <f>SUMIFS('Besi Balok'!$AA$23:$AA$7253,'Besi Balok'!$A$23:$A$7253,$A218,'Besi Balok'!$B$23:$B$7253,$B218,'Besi Balok'!$F$23:$F$7253,'REKAP Balok'!N$11)</f>
        <v>0</v>
      </c>
      <c r="O218" s="282">
        <f>SUMIFS('Besi Balok'!$AA$23:$AA$7253,'Besi Balok'!$A$23:$A$7253,$A218,'Besi Balok'!$B$23:$B$7253,$B218,'Besi Balok'!$F$23:$F$7253,'REKAP Balok'!O$11)</f>
        <v>46.101327480000002</v>
      </c>
      <c r="P218" s="282">
        <f>SUMIFS('Besi Balok'!$AA$23:$AA$7253,'Besi Balok'!$A$23:$A$7253,$A218,'Besi Balok'!$B$23:$B$7253,$B218,'Besi Balok'!$F$23:$F$7253,'REKAP Balok'!P$11)</f>
        <v>0</v>
      </c>
      <c r="Q218" s="282">
        <f>SUMIFS('Besi Balok'!$AA$23:$AA$7253,'Besi Balok'!$A$23:$A$7253,$A218,'Besi Balok'!$B$23:$B$7253,$B218,'Besi Balok'!$F$23:$F$7253,'REKAP Balok'!Q$11)</f>
        <v>0</v>
      </c>
      <c r="R218" s="282">
        <f>SUMIFS('Besi Balok'!$AA$23:$AA$7253,'Besi Balok'!$A$23:$A$7253,$A218,'Besi Balok'!$B$23:$B$7253,$B218,'Besi Balok'!$F$23:$F$7253,'REKAP Balok'!R$11)</f>
        <v>0</v>
      </c>
      <c r="S218" s="282">
        <f>SUMIFS('Besi Balok'!$AA$23:$AA$7253,'Besi Balok'!$A$23:$A$7253,$A218,'Besi Balok'!$B$23:$B$7253,$B218,'Besi Balok'!$F$23:$F$7253,'REKAP Balok'!S$11)</f>
        <v>0</v>
      </c>
      <c r="T218" s="283">
        <f>SUMIFS('Besi Balok'!$AA$23:$AA$7253,'Besi Balok'!$A$23:$A$7253,$A218,'Besi Balok'!$B$23:$B$7253,$B218,'Besi Balok'!$F$23:$F$7253,'REKAP Balok'!T$11)</f>
        <v>0</v>
      </c>
      <c r="U218" s="284">
        <f t="shared" ref="U218:U221" si="52">SUM(L218:T218)</f>
        <v>68.926623480000003</v>
      </c>
      <c r="V218" s="285">
        <f t="shared" ref="V218:V221" si="53">(D218*(F218-H218)*G218*K218)/1000000000</f>
        <v>0.55900000000000005</v>
      </c>
      <c r="W218" s="282">
        <f t="shared" ref="W218:W221" si="54">(((F218-H218)*2+IF(H218&gt;0,0,D218))*(G218)*K218)/1000000</f>
        <v>9.9975000000000005</v>
      </c>
      <c r="X218" s="282"/>
      <c r="Y218" s="282"/>
      <c r="Z218" s="283"/>
      <c r="AC218" s="1784">
        <f t="shared" ref="AC218:AC221" si="55">(D218+2*$F$5)*F218*G218/1000000000</f>
        <v>1.419</v>
      </c>
    </row>
    <row r="219" spans="1:29" hidden="1">
      <c r="A219" s="272" t="str">
        <f>'Data Panjang Balok'!A215</f>
        <v>Lantai 3</v>
      </c>
      <c r="B219" s="273">
        <f>'Data Panjang Balok'!B215</f>
        <v>62</v>
      </c>
      <c r="C219" s="274" t="str">
        <f>'Data Panjang Balok'!D215</f>
        <v>B23-1</v>
      </c>
      <c r="D219" s="275">
        <f>IF(C219&gt;0,VLOOKUP(C219,'Detail Balok'!$C$11:$AU$140,2,FALSE),0)</f>
        <v>200</v>
      </c>
      <c r="E219" s="276" t="s">
        <v>125</v>
      </c>
      <c r="F219" s="277">
        <f>IF(C219&gt;0,VLOOKUP(C219,'Detail Balok'!$C$11:$AU$140,3,FALSE),0)</f>
        <v>300</v>
      </c>
      <c r="G219" s="278">
        <f>'Data Panjang Balok'!I215</f>
        <v>4175</v>
      </c>
      <c r="H219" s="278">
        <f>'Data Panjang Balok'!J215</f>
        <v>150</v>
      </c>
      <c r="I219" s="279">
        <v>0</v>
      </c>
      <c r="J219" s="279">
        <f t="shared" si="51"/>
        <v>-0.3</v>
      </c>
      <c r="K219" s="280">
        <f>'Data Panjang Balok'!E215</f>
        <v>1</v>
      </c>
      <c r="L219" s="281">
        <f>SUMIFS('Besi Balok'!$AA$23:$AA$7253,'Besi Balok'!$A$23:$A$7253,$A219,'Besi Balok'!$B$23:$B$7253,$B219,'Besi Balok'!$F$23:$F$7253,'REKAP Balok'!L$11)</f>
        <v>0</v>
      </c>
      <c r="M219" s="282">
        <f>SUMIFS('Besi Balok'!$AA$23:$AA$7253,'Besi Balok'!$A$23:$A$7253,$A219,'Besi Balok'!$B$23:$B$7253,$B219,'Besi Balok'!$F$23:$F$7253,'REKAP Balok'!M$11)</f>
        <v>0</v>
      </c>
      <c r="N219" s="282">
        <f>SUMIFS('Besi Balok'!$AA$23:$AA$7253,'Besi Balok'!$A$23:$A$7253,$A219,'Besi Balok'!$B$23:$B$7253,$B219,'Besi Balok'!$F$23:$F$7253,'REKAP Balok'!N$11)</f>
        <v>16.374240000000004</v>
      </c>
      <c r="O219" s="282">
        <f>SUMIFS('Besi Balok'!$AA$23:$AA$7253,'Besi Balok'!$A$23:$A$7253,$A219,'Besi Balok'!$B$23:$B$7253,$B219,'Besi Balok'!$F$23:$F$7253,'REKAP Balok'!O$11)</f>
        <v>28.049627969999996</v>
      </c>
      <c r="P219" s="282">
        <f>SUMIFS('Besi Balok'!$AA$23:$AA$7253,'Besi Balok'!$A$23:$A$7253,$A219,'Besi Balok'!$B$23:$B$7253,$B219,'Besi Balok'!$F$23:$F$7253,'REKAP Balok'!P$11)</f>
        <v>0</v>
      </c>
      <c r="Q219" s="282">
        <f>SUMIFS('Besi Balok'!$AA$23:$AA$7253,'Besi Balok'!$A$23:$A$7253,$A219,'Besi Balok'!$B$23:$B$7253,$B219,'Besi Balok'!$F$23:$F$7253,'REKAP Balok'!Q$11)</f>
        <v>0</v>
      </c>
      <c r="R219" s="282">
        <f>SUMIFS('Besi Balok'!$AA$23:$AA$7253,'Besi Balok'!$A$23:$A$7253,$A219,'Besi Balok'!$B$23:$B$7253,$B219,'Besi Balok'!$F$23:$F$7253,'REKAP Balok'!R$11)</f>
        <v>0</v>
      </c>
      <c r="S219" s="282">
        <f>SUMIFS('Besi Balok'!$AA$23:$AA$7253,'Besi Balok'!$A$23:$A$7253,$A219,'Besi Balok'!$B$23:$B$7253,$B219,'Besi Balok'!$F$23:$F$7253,'REKAP Balok'!S$11)</f>
        <v>0</v>
      </c>
      <c r="T219" s="283">
        <f>SUMIFS('Besi Balok'!$AA$23:$AA$7253,'Besi Balok'!$A$23:$A$7253,$A219,'Besi Balok'!$B$23:$B$7253,$B219,'Besi Balok'!$F$23:$F$7253,'REKAP Balok'!T$11)</f>
        <v>0</v>
      </c>
      <c r="U219" s="284">
        <f t="shared" si="52"/>
        <v>44.423867970000003</v>
      </c>
      <c r="V219" s="285">
        <f t="shared" si="53"/>
        <v>0.12525</v>
      </c>
      <c r="W219" s="282">
        <f t="shared" si="54"/>
        <v>1.2524999999999999</v>
      </c>
      <c r="X219" s="282"/>
      <c r="Y219" s="282"/>
      <c r="Z219" s="283"/>
      <c r="AC219" s="1784">
        <f t="shared" si="55"/>
        <v>0.501</v>
      </c>
    </row>
    <row r="220" spans="1:29" hidden="1">
      <c r="A220" s="272" t="str">
        <f>'Data Panjang Balok'!A216</f>
        <v>Lantai 3</v>
      </c>
      <c r="B220" s="273">
        <f>'Data Panjang Balok'!B216</f>
        <v>63</v>
      </c>
      <c r="C220" s="274" t="str">
        <f>'Data Panjang Balok'!D216</f>
        <v>B23-1</v>
      </c>
      <c r="D220" s="275">
        <f>IF(C220&gt;0,VLOOKUP(C220,'Detail Balok'!$C$11:$AU$140,2,FALSE),0)</f>
        <v>200</v>
      </c>
      <c r="E220" s="276" t="s">
        <v>125</v>
      </c>
      <c r="F220" s="277">
        <f>IF(C220&gt;0,VLOOKUP(C220,'Detail Balok'!$C$11:$AU$140,3,FALSE),0)</f>
        <v>300</v>
      </c>
      <c r="G220" s="278">
        <f>'Data Panjang Balok'!I216</f>
        <v>4175</v>
      </c>
      <c r="H220" s="278">
        <f>'Data Panjang Balok'!J216</f>
        <v>150</v>
      </c>
      <c r="I220" s="279">
        <v>0</v>
      </c>
      <c r="J220" s="279">
        <f t="shared" si="51"/>
        <v>-0.3</v>
      </c>
      <c r="K220" s="280">
        <f>'Data Panjang Balok'!E216</f>
        <v>1</v>
      </c>
      <c r="L220" s="281">
        <f>SUMIFS('Besi Balok'!$AA$23:$AA$7253,'Besi Balok'!$A$23:$A$7253,$A220,'Besi Balok'!$B$23:$B$7253,$B220,'Besi Balok'!$F$23:$F$7253,'REKAP Balok'!L$11)</f>
        <v>0</v>
      </c>
      <c r="M220" s="282">
        <f>SUMIFS('Besi Balok'!$AA$23:$AA$7253,'Besi Balok'!$A$23:$A$7253,$A220,'Besi Balok'!$B$23:$B$7253,$B220,'Besi Balok'!$F$23:$F$7253,'REKAP Balok'!M$11)</f>
        <v>0</v>
      </c>
      <c r="N220" s="282">
        <f>SUMIFS('Besi Balok'!$AA$23:$AA$7253,'Besi Balok'!$A$23:$A$7253,$A220,'Besi Balok'!$B$23:$B$7253,$B220,'Besi Balok'!$F$23:$F$7253,'REKAP Balok'!N$11)</f>
        <v>16.374240000000004</v>
      </c>
      <c r="O220" s="282">
        <f>SUMIFS('Besi Balok'!$AA$23:$AA$7253,'Besi Balok'!$A$23:$A$7253,$A220,'Besi Balok'!$B$23:$B$7253,$B220,'Besi Balok'!$F$23:$F$7253,'REKAP Balok'!O$11)</f>
        <v>28.049627969999996</v>
      </c>
      <c r="P220" s="282">
        <f>SUMIFS('Besi Balok'!$AA$23:$AA$7253,'Besi Balok'!$A$23:$A$7253,$A220,'Besi Balok'!$B$23:$B$7253,$B220,'Besi Balok'!$F$23:$F$7253,'REKAP Balok'!P$11)</f>
        <v>0</v>
      </c>
      <c r="Q220" s="282">
        <f>SUMIFS('Besi Balok'!$AA$23:$AA$7253,'Besi Balok'!$A$23:$A$7253,$A220,'Besi Balok'!$B$23:$B$7253,$B220,'Besi Balok'!$F$23:$F$7253,'REKAP Balok'!Q$11)</f>
        <v>0</v>
      </c>
      <c r="R220" s="282">
        <f>SUMIFS('Besi Balok'!$AA$23:$AA$7253,'Besi Balok'!$A$23:$A$7253,$A220,'Besi Balok'!$B$23:$B$7253,$B220,'Besi Balok'!$F$23:$F$7253,'REKAP Balok'!R$11)</f>
        <v>0</v>
      </c>
      <c r="S220" s="282">
        <f>SUMIFS('Besi Balok'!$AA$23:$AA$7253,'Besi Balok'!$A$23:$A$7253,$A220,'Besi Balok'!$B$23:$B$7253,$B220,'Besi Balok'!$F$23:$F$7253,'REKAP Balok'!S$11)</f>
        <v>0</v>
      </c>
      <c r="T220" s="283">
        <f>SUMIFS('Besi Balok'!$AA$23:$AA$7253,'Besi Balok'!$A$23:$A$7253,$A220,'Besi Balok'!$B$23:$B$7253,$B220,'Besi Balok'!$F$23:$F$7253,'REKAP Balok'!T$11)</f>
        <v>0</v>
      </c>
      <c r="U220" s="284">
        <f t="shared" si="52"/>
        <v>44.423867970000003</v>
      </c>
      <c r="V220" s="285">
        <f t="shared" si="53"/>
        <v>0.12525</v>
      </c>
      <c r="W220" s="282">
        <f t="shared" si="54"/>
        <v>1.2524999999999999</v>
      </c>
      <c r="X220" s="282"/>
      <c r="Y220" s="282"/>
      <c r="Z220" s="283"/>
      <c r="AC220" s="1784">
        <f t="shared" si="55"/>
        <v>0.501</v>
      </c>
    </row>
    <row r="221" spans="1:29" hidden="1">
      <c r="A221" s="272" t="str">
        <f>'Data Panjang Balok'!A217</f>
        <v>Lantai 3</v>
      </c>
      <c r="B221" s="273">
        <f>'Data Panjang Balok'!B217</f>
        <v>64</v>
      </c>
      <c r="C221" s="274" t="str">
        <f>'Data Panjang Balok'!D217</f>
        <v>B4-1</v>
      </c>
      <c r="D221" s="275">
        <f>IF(C221&gt;0,VLOOKUP(C221,'Detail Balok'!$C$11:$AU$140,2,FALSE),0)</f>
        <v>130</v>
      </c>
      <c r="E221" s="276" t="s">
        <v>125</v>
      </c>
      <c r="F221" s="277">
        <f>IF(C221&gt;0,VLOOKUP(C221,'Detail Balok'!$C$11:$AU$140,3,FALSE),0)</f>
        <v>400</v>
      </c>
      <c r="G221" s="278">
        <f>'Data Panjang Balok'!I217</f>
        <v>6570</v>
      </c>
      <c r="H221" s="278">
        <f>'Data Panjang Balok'!J217</f>
        <v>0</v>
      </c>
      <c r="I221" s="279">
        <v>0</v>
      </c>
      <c r="J221" s="279">
        <f t="shared" si="51"/>
        <v>-0.4</v>
      </c>
      <c r="K221" s="280">
        <f>'Data Panjang Balok'!E217</f>
        <v>1</v>
      </c>
      <c r="L221" s="281">
        <f>SUMIFS('Besi Balok'!$AA$23:$AA$7253,'Besi Balok'!$A$23:$A$7253,$A221,'Besi Balok'!$B$23:$B$7253,$B221,'Besi Balok'!$F$23:$F$7253,'REKAP Balok'!L$11)</f>
        <v>0</v>
      </c>
      <c r="M221" s="282">
        <f>SUMIFS('Besi Balok'!$AA$23:$AA$7253,'Besi Balok'!$A$23:$A$7253,$A221,'Besi Balok'!$B$23:$B$7253,$B221,'Besi Balok'!$F$23:$F$7253,'REKAP Balok'!M$11)</f>
        <v>14.046336</v>
      </c>
      <c r="N221" s="282">
        <f>SUMIFS('Besi Balok'!$AA$23:$AA$7253,'Besi Balok'!$A$23:$A$7253,$A221,'Besi Balok'!$B$23:$B$7253,$B221,'Besi Balok'!$F$23:$F$7253,'REKAP Balok'!N$11)</f>
        <v>0</v>
      </c>
      <c r="O221" s="282">
        <f>SUMIFS('Besi Balok'!$AA$23:$AA$7253,'Besi Balok'!$A$23:$A$7253,$A221,'Besi Balok'!$B$23:$B$7253,$B221,'Besi Balok'!$F$23:$F$7253,'REKAP Balok'!O$11)</f>
        <v>28.681010279999999</v>
      </c>
      <c r="P221" s="282">
        <f>SUMIFS('Besi Balok'!$AA$23:$AA$7253,'Besi Balok'!$A$23:$A$7253,$A221,'Besi Balok'!$B$23:$B$7253,$B221,'Besi Balok'!$F$23:$F$7253,'REKAP Balok'!P$11)</f>
        <v>0</v>
      </c>
      <c r="Q221" s="282">
        <f>SUMIFS('Besi Balok'!$AA$23:$AA$7253,'Besi Balok'!$A$23:$A$7253,$A221,'Besi Balok'!$B$23:$B$7253,$B221,'Besi Balok'!$F$23:$F$7253,'REKAP Balok'!Q$11)</f>
        <v>0</v>
      </c>
      <c r="R221" s="282">
        <f>SUMIFS('Besi Balok'!$AA$23:$AA$7253,'Besi Balok'!$A$23:$A$7253,$A221,'Besi Balok'!$B$23:$B$7253,$B221,'Besi Balok'!$F$23:$F$7253,'REKAP Balok'!R$11)</f>
        <v>0</v>
      </c>
      <c r="S221" s="282">
        <f>SUMIFS('Besi Balok'!$AA$23:$AA$7253,'Besi Balok'!$A$23:$A$7253,$A221,'Besi Balok'!$B$23:$B$7253,$B221,'Besi Balok'!$F$23:$F$7253,'REKAP Balok'!S$11)</f>
        <v>0</v>
      </c>
      <c r="T221" s="283">
        <f>SUMIFS('Besi Balok'!$AA$23:$AA$7253,'Besi Balok'!$A$23:$A$7253,$A221,'Besi Balok'!$B$23:$B$7253,$B221,'Besi Balok'!$F$23:$F$7253,'REKAP Balok'!T$11)</f>
        <v>0</v>
      </c>
      <c r="U221" s="284">
        <f t="shared" si="52"/>
        <v>42.727346279999999</v>
      </c>
      <c r="V221" s="285">
        <f t="shared" si="53"/>
        <v>0.34164</v>
      </c>
      <c r="W221" s="282">
        <f t="shared" si="54"/>
        <v>6.1101000000000001</v>
      </c>
      <c r="X221" s="282"/>
      <c r="Y221" s="282"/>
      <c r="Z221" s="283"/>
      <c r="AC221" s="1784">
        <f t="shared" si="55"/>
        <v>0.86724000000000001</v>
      </c>
    </row>
    <row r="222" spans="1:29" hidden="1">
      <c r="A222" s="272"/>
      <c r="B222" s="273"/>
      <c r="C222" s="274"/>
      <c r="D222" s="275"/>
      <c r="E222" s="276"/>
      <c r="F222" s="277"/>
      <c r="G222" s="278"/>
      <c r="H222" s="278"/>
      <c r="I222" s="279"/>
      <c r="J222" s="279"/>
      <c r="K222" s="280"/>
      <c r="L222" s="281"/>
      <c r="M222" s="282"/>
      <c r="N222" s="282"/>
      <c r="O222" s="282"/>
      <c r="P222" s="282"/>
      <c r="Q222" s="282"/>
      <c r="R222" s="282"/>
      <c r="S222" s="282"/>
      <c r="T222" s="283"/>
      <c r="U222" s="284"/>
      <c r="V222" s="285"/>
      <c r="W222" s="282"/>
      <c r="X222" s="282"/>
      <c r="Y222" s="282"/>
      <c r="Z222" s="283"/>
      <c r="AC222" s="1784"/>
    </row>
    <row r="223" spans="1:29" hidden="1">
      <c r="A223" s="272" t="str">
        <f>'Data Panjang Balok'!A219</f>
        <v>Lantai Atap</v>
      </c>
      <c r="B223" s="273">
        <f>'Data Panjang Balok'!B219</f>
        <v>1</v>
      </c>
      <c r="C223" s="274" t="str">
        <f>'Data Panjang Balok'!D219</f>
        <v>B4-1</v>
      </c>
      <c r="D223" s="275">
        <f>IF(C223&gt;0,VLOOKUP(C223,'Detail Balok'!$C$11:$AU$140,2,FALSE),0)</f>
        <v>130</v>
      </c>
      <c r="E223" s="276" t="s">
        <v>125</v>
      </c>
      <c r="F223" s="277">
        <f>IF(C223&gt;0,VLOOKUP(C223,'Detail Balok'!$C$11:$AU$140,3,FALSE),0)</f>
        <v>400</v>
      </c>
      <c r="G223" s="278">
        <f>'Data Panjang Balok'!I219</f>
        <v>9250</v>
      </c>
      <c r="H223" s="278">
        <f>'Data Panjang Balok'!J219</f>
        <v>0</v>
      </c>
      <c r="I223" s="279">
        <v>0</v>
      </c>
      <c r="J223" s="279">
        <f t="shared" ref="J223:J225" si="56">I223-F223/1000</f>
        <v>-0.4</v>
      </c>
      <c r="K223" s="280">
        <f>'Data Panjang Balok'!E219</f>
        <v>1</v>
      </c>
      <c r="L223" s="281">
        <f>SUMIFS('Besi Balok'!$AA$23:$AA$7253,'Besi Balok'!$A$23:$A$7253,$A223,'Besi Balok'!$B$23:$B$7253,$B223,'Besi Balok'!$F$23:$F$7253,'REKAP Balok'!L$11)</f>
        <v>0</v>
      </c>
      <c r="M223" s="282">
        <f>SUMIFS('Besi Balok'!$AA$23:$AA$7253,'Besi Balok'!$A$23:$A$7253,$A223,'Besi Balok'!$B$23:$B$7253,$B223,'Besi Balok'!$F$23:$F$7253,'REKAP Balok'!M$11)</f>
        <v>19.313712000000002</v>
      </c>
      <c r="N223" s="282">
        <f>SUMIFS('Besi Balok'!$AA$23:$AA$7253,'Besi Balok'!$A$23:$A$7253,$A223,'Besi Balok'!$B$23:$B$7253,$B223,'Besi Balok'!$F$23:$F$7253,'REKAP Balok'!N$11)</f>
        <v>0</v>
      </c>
      <c r="O223" s="282">
        <f>SUMIFS('Besi Balok'!$AA$23:$AA$7253,'Besi Balok'!$A$23:$A$7253,$A223,'Besi Balok'!$B$23:$B$7253,$B223,'Besi Balok'!$F$23:$F$7253,'REKAP Balok'!O$11)</f>
        <v>39.850017480000005</v>
      </c>
      <c r="P223" s="282">
        <f>SUMIFS('Besi Balok'!$AA$23:$AA$7253,'Besi Balok'!$A$23:$A$7253,$A223,'Besi Balok'!$B$23:$B$7253,$B223,'Besi Balok'!$F$23:$F$7253,'REKAP Balok'!P$11)</f>
        <v>0</v>
      </c>
      <c r="Q223" s="282">
        <f>SUMIFS('Besi Balok'!$AA$23:$AA$7253,'Besi Balok'!$A$23:$A$7253,$A223,'Besi Balok'!$B$23:$B$7253,$B223,'Besi Balok'!$F$23:$F$7253,'REKAP Balok'!Q$11)</f>
        <v>0</v>
      </c>
      <c r="R223" s="282">
        <f>SUMIFS('Besi Balok'!$AA$23:$AA$7253,'Besi Balok'!$A$23:$A$7253,$A223,'Besi Balok'!$B$23:$B$7253,$B223,'Besi Balok'!$F$23:$F$7253,'REKAP Balok'!R$11)</f>
        <v>0</v>
      </c>
      <c r="S223" s="282">
        <f>SUMIFS('Besi Balok'!$AA$23:$AA$7253,'Besi Balok'!$A$23:$A$7253,$A223,'Besi Balok'!$B$23:$B$7253,$B223,'Besi Balok'!$F$23:$F$7253,'REKAP Balok'!S$11)</f>
        <v>0</v>
      </c>
      <c r="T223" s="283">
        <f>SUMIFS('Besi Balok'!$AA$23:$AA$7253,'Besi Balok'!$A$23:$A$7253,$A223,'Besi Balok'!$B$23:$B$7253,$B223,'Besi Balok'!$F$23:$F$7253,'REKAP Balok'!T$11)</f>
        <v>0</v>
      </c>
      <c r="U223" s="284">
        <f t="shared" ref="U223:U225" si="57">SUM(L223:T223)</f>
        <v>59.163729480000008</v>
      </c>
      <c r="V223" s="285">
        <f t="shared" ref="V223:V225" si="58">(D223*(F223-H223)*G223*K223)/1000000000</f>
        <v>0.48099999999999998</v>
      </c>
      <c r="W223" s="282">
        <f t="shared" ref="W223:W225" si="59">(((F223-H223)*2+IF(H223&gt;0,0,D223))*(G223)*K223)/1000000</f>
        <v>8.6024999999999991</v>
      </c>
      <c r="X223" s="282"/>
      <c r="Y223" s="282"/>
      <c r="Z223" s="283"/>
      <c r="AC223" s="1784">
        <f t="shared" ref="AC223:AC225" si="60">(D223+2*$F$5)*F223*G223/1000000000</f>
        <v>1.2210000000000001</v>
      </c>
    </row>
    <row r="224" spans="1:29" hidden="1">
      <c r="A224" s="272" t="str">
        <f>'Data Panjang Balok'!A220</f>
        <v>Lantai Atap</v>
      </c>
      <c r="B224" s="273">
        <f>'Data Panjang Balok'!B220</f>
        <v>2</v>
      </c>
      <c r="C224" s="274" t="str">
        <f>'Data Panjang Balok'!D220</f>
        <v>B4-1</v>
      </c>
      <c r="D224" s="275">
        <f>IF(C224&gt;0,VLOOKUP(C224,'Detail Balok'!$C$11:$AU$140,2,FALSE),0)</f>
        <v>130</v>
      </c>
      <c r="E224" s="276" t="s">
        <v>125</v>
      </c>
      <c r="F224" s="277">
        <f>IF(C224&gt;0,VLOOKUP(C224,'Detail Balok'!$C$11:$AU$140,3,FALSE),0)</f>
        <v>400</v>
      </c>
      <c r="G224" s="278">
        <f>'Data Panjang Balok'!I220</f>
        <v>5145</v>
      </c>
      <c r="H224" s="278">
        <f>'Data Panjang Balok'!J220</f>
        <v>0</v>
      </c>
      <c r="I224" s="279">
        <v>0</v>
      </c>
      <c r="J224" s="279">
        <f t="shared" si="56"/>
        <v>-0.4</v>
      </c>
      <c r="K224" s="280">
        <f>'Data Panjang Balok'!E220</f>
        <v>1</v>
      </c>
      <c r="L224" s="281">
        <f>SUMIFS('Besi Balok'!$AA$23:$AA$7253,'Besi Balok'!$A$23:$A$7253,$A224,'Besi Balok'!$B$23:$B$7253,$B224,'Besi Balok'!$F$23:$F$7253,'REKAP Balok'!L$11)</f>
        <v>0</v>
      </c>
      <c r="M224" s="282">
        <f>SUMIFS('Besi Balok'!$AA$23:$AA$7253,'Besi Balok'!$A$23:$A$7253,$A224,'Besi Balok'!$B$23:$B$7253,$B224,'Besi Balok'!$F$23:$F$7253,'REKAP Balok'!M$11)</f>
        <v>11.588227200000002</v>
      </c>
      <c r="N224" s="282">
        <f>SUMIFS('Besi Balok'!$AA$23:$AA$7253,'Besi Balok'!$A$23:$A$7253,$A224,'Besi Balok'!$B$23:$B$7253,$B224,'Besi Balok'!$F$23:$F$7253,'REKAP Balok'!N$11)</f>
        <v>0</v>
      </c>
      <c r="O224" s="282">
        <f>SUMIFS('Besi Balok'!$AA$23:$AA$7253,'Besi Balok'!$A$23:$A$7253,$A224,'Besi Balok'!$B$23:$B$7253,$B224,'Besi Balok'!$F$23:$F$7253,'REKAP Balok'!O$11)</f>
        <v>22.742265779999993</v>
      </c>
      <c r="P224" s="282">
        <f>SUMIFS('Besi Balok'!$AA$23:$AA$7253,'Besi Balok'!$A$23:$A$7253,$A224,'Besi Balok'!$B$23:$B$7253,$B224,'Besi Balok'!$F$23:$F$7253,'REKAP Balok'!P$11)</f>
        <v>0</v>
      </c>
      <c r="Q224" s="282">
        <f>SUMIFS('Besi Balok'!$AA$23:$AA$7253,'Besi Balok'!$A$23:$A$7253,$A224,'Besi Balok'!$B$23:$B$7253,$B224,'Besi Balok'!$F$23:$F$7253,'REKAP Balok'!Q$11)</f>
        <v>0</v>
      </c>
      <c r="R224" s="282">
        <f>SUMIFS('Besi Balok'!$AA$23:$AA$7253,'Besi Balok'!$A$23:$A$7253,$A224,'Besi Balok'!$B$23:$B$7253,$B224,'Besi Balok'!$F$23:$F$7253,'REKAP Balok'!R$11)</f>
        <v>0</v>
      </c>
      <c r="S224" s="282">
        <f>SUMIFS('Besi Balok'!$AA$23:$AA$7253,'Besi Balok'!$A$23:$A$7253,$A224,'Besi Balok'!$B$23:$B$7253,$B224,'Besi Balok'!$F$23:$F$7253,'REKAP Balok'!S$11)</f>
        <v>0</v>
      </c>
      <c r="T224" s="283">
        <f>SUMIFS('Besi Balok'!$AA$23:$AA$7253,'Besi Balok'!$A$23:$A$7253,$A224,'Besi Balok'!$B$23:$B$7253,$B224,'Besi Balok'!$F$23:$F$7253,'REKAP Balok'!T$11)</f>
        <v>0</v>
      </c>
      <c r="U224" s="284">
        <f t="shared" si="57"/>
        <v>34.330492979999995</v>
      </c>
      <c r="V224" s="285">
        <f t="shared" si="58"/>
        <v>0.26754</v>
      </c>
      <c r="W224" s="282">
        <f t="shared" si="59"/>
        <v>4.7848499999999996</v>
      </c>
      <c r="X224" s="282"/>
      <c r="Y224" s="282"/>
      <c r="Z224" s="283"/>
      <c r="AC224" s="1784">
        <f t="shared" si="60"/>
        <v>0.67913999999999997</v>
      </c>
    </row>
    <row r="225" spans="1:29" hidden="1">
      <c r="A225" s="272" t="str">
        <f>'Data Panjang Balok'!A221</f>
        <v>Lantai Atap</v>
      </c>
      <c r="B225" s="273">
        <f>'Data Panjang Balok'!B221</f>
        <v>3</v>
      </c>
      <c r="C225" s="274" t="str">
        <f>'Data Panjang Balok'!D221</f>
        <v>B4-1</v>
      </c>
      <c r="D225" s="275">
        <f>IF(C225&gt;0,VLOOKUP(C225,'Detail Balok'!$C$11:$AU$140,2,FALSE),0)</f>
        <v>130</v>
      </c>
      <c r="E225" s="276" t="s">
        <v>125</v>
      </c>
      <c r="F225" s="277">
        <f>IF(C225&gt;0,VLOOKUP(C225,'Detail Balok'!$C$11:$AU$140,3,FALSE),0)</f>
        <v>400</v>
      </c>
      <c r="G225" s="278">
        <f>'Data Panjang Balok'!I221</f>
        <v>4075</v>
      </c>
      <c r="H225" s="278">
        <f>'Data Panjang Balok'!J221</f>
        <v>0</v>
      </c>
      <c r="I225" s="279">
        <v>0</v>
      </c>
      <c r="J225" s="279">
        <f t="shared" si="56"/>
        <v>-0.4</v>
      </c>
      <c r="K225" s="280">
        <f>'Data Panjang Balok'!E221</f>
        <v>1</v>
      </c>
      <c r="L225" s="281">
        <f>SUMIFS('Besi Balok'!$AA$23:$AA$7253,'Besi Balok'!$A$23:$A$7253,$A225,'Besi Balok'!$B$23:$B$7253,$B225,'Besi Balok'!$F$23:$F$7253,'REKAP Balok'!L$11)</f>
        <v>0</v>
      </c>
      <c r="M225" s="282">
        <f>SUMIFS('Besi Balok'!$AA$23:$AA$7253,'Besi Balok'!$A$23:$A$7253,$A225,'Besi Balok'!$B$23:$B$7253,$B225,'Besi Balok'!$F$23:$F$7253,'REKAP Balok'!M$11)</f>
        <v>9.1301184000000006</v>
      </c>
      <c r="N225" s="282">
        <f>SUMIFS('Besi Balok'!$AA$23:$AA$7253,'Besi Balok'!$A$23:$A$7253,$A225,'Besi Balok'!$B$23:$B$7253,$B225,'Besi Balok'!$F$23:$F$7253,'REKAP Balok'!N$11)</f>
        <v>0</v>
      </c>
      <c r="O225" s="282">
        <f>SUMIFS('Besi Balok'!$AA$23:$AA$7253,'Besi Balok'!$A$23:$A$7253,$A225,'Besi Balok'!$B$23:$B$7253,$B225,'Besi Balok'!$F$23:$F$7253,'REKAP Balok'!O$11)</f>
        <v>18.282997980000001</v>
      </c>
      <c r="P225" s="282">
        <f>SUMIFS('Besi Balok'!$AA$23:$AA$7253,'Besi Balok'!$A$23:$A$7253,$A225,'Besi Balok'!$B$23:$B$7253,$B225,'Besi Balok'!$F$23:$F$7253,'REKAP Balok'!P$11)</f>
        <v>0</v>
      </c>
      <c r="Q225" s="282">
        <f>SUMIFS('Besi Balok'!$AA$23:$AA$7253,'Besi Balok'!$A$23:$A$7253,$A225,'Besi Balok'!$B$23:$B$7253,$B225,'Besi Balok'!$F$23:$F$7253,'REKAP Balok'!Q$11)</f>
        <v>0</v>
      </c>
      <c r="R225" s="282">
        <f>SUMIFS('Besi Balok'!$AA$23:$AA$7253,'Besi Balok'!$A$23:$A$7253,$A225,'Besi Balok'!$B$23:$B$7253,$B225,'Besi Balok'!$F$23:$F$7253,'REKAP Balok'!R$11)</f>
        <v>0</v>
      </c>
      <c r="S225" s="282">
        <f>SUMIFS('Besi Balok'!$AA$23:$AA$7253,'Besi Balok'!$A$23:$A$7253,$A225,'Besi Balok'!$B$23:$B$7253,$B225,'Besi Balok'!$F$23:$F$7253,'REKAP Balok'!S$11)</f>
        <v>0</v>
      </c>
      <c r="T225" s="283">
        <f>SUMIFS('Besi Balok'!$AA$23:$AA$7253,'Besi Balok'!$A$23:$A$7253,$A225,'Besi Balok'!$B$23:$B$7253,$B225,'Besi Balok'!$F$23:$F$7253,'REKAP Balok'!T$11)</f>
        <v>0</v>
      </c>
      <c r="U225" s="284">
        <f t="shared" si="57"/>
        <v>27.413116380000002</v>
      </c>
      <c r="V225" s="285">
        <f t="shared" si="58"/>
        <v>0.21190000000000001</v>
      </c>
      <c r="W225" s="282">
        <f t="shared" si="59"/>
        <v>3.7897500000000002</v>
      </c>
      <c r="X225" s="282"/>
      <c r="Y225" s="282"/>
      <c r="Z225" s="283"/>
      <c r="AC225" s="1784">
        <f t="shared" si="60"/>
        <v>0.53790000000000004</v>
      </c>
    </row>
    <row r="226" spans="1:29" hidden="1">
      <c r="A226" s="272" t="str">
        <f>'Data Panjang Balok'!A222</f>
        <v>Lantai Atap</v>
      </c>
      <c r="B226" s="273">
        <f>'Data Panjang Balok'!B222</f>
        <v>4</v>
      </c>
      <c r="C226" s="274" t="str">
        <f>'Data Panjang Balok'!D222</f>
        <v>B4-1</v>
      </c>
      <c r="D226" s="275">
        <f>IF(C226&gt;0,VLOOKUP(C226,'Detail Balok'!$C$11:$AU$140,2,FALSE),0)</f>
        <v>130</v>
      </c>
      <c r="E226" s="276" t="s">
        <v>125</v>
      </c>
      <c r="F226" s="277">
        <f>IF(C226&gt;0,VLOOKUP(C226,'Detail Balok'!$C$11:$AU$140,3,FALSE),0)</f>
        <v>400</v>
      </c>
      <c r="G226" s="278">
        <f>'Data Panjang Balok'!I222</f>
        <v>5160</v>
      </c>
      <c r="H226" s="278">
        <f>'Data Panjang Balok'!J222</f>
        <v>0</v>
      </c>
      <c r="I226" s="279">
        <v>0</v>
      </c>
      <c r="J226" s="279">
        <f t="shared" ref="J226:J257" si="61">I226-F226/1000</f>
        <v>-0.4</v>
      </c>
      <c r="K226" s="280">
        <f>'Data Panjang Balok'!E222</f>
        <v>1</v>
      </c>
      <c r="L226" s="281">
        <f>SUMIFS('Besi Balok'!$AA$23:$AA$7253,'Besi Balok'!$A$23:$A$7253,$A226,'Besi Balok'!$B$23:$B$7253,$B226,'Besi Balok'!$F$23:$F$7253,'REKAP Balok'!L$11)</f>
        <v>0</v>
      </c>
      <c r="M226" s="282">
        <f>SUMIFS('Besi Balok'!$AA$23:$AA$7253,'Besi Balok'!$A$23:$A$7253,$A226,'Besi Balok'!$B$23:$B$7253,$B226,'Besi Balok'!$F$23:$F$7253,'REKAP Balok'!M$11)</f>
        <v>11.588227200000002</v>
      </c>
      <c r="N226" s="282">
        <f>SUMIFS('Besi Balok'!$AA$23:$AA$7253,'Besi Balok'!$A$23:$A$7253,$A226,'Besi Balok'!$B$23:$B$7253,$B226,'Besi Balok'!$F$23:$F$7253,'REKAP Balok'!N$11)</f>
        <v>0</v>
      </c>
      <c r="O226" s="282">
        <f>SUMIFS('Besi Balok'!$AA$23:$AA$7253,'Besi Balok'!$A$23:$A$7253,$A226,'Besi Balok'!$B$23:$B$7253,$B226,'Besi Balok'!$F$23:$F$7253,'REKAP Balok'!O$11)</f>
        <v>22.804778879999997</v>
      </c>
      <c r="P226" s="282">
        <f>SUMIFS('Besi Balok'!$AA$23:$AA$7253,'Besi Balok'!$A$23:$A$7253,$A226,'Besi Balok'!$B$23:$B$7253,$B226,'Besi Balok'!$F$23:$F$7253,'REKAP Balok'!P$11)</f>
        <v>0</v>
      </c>
      <c r="Q226" s="282">
        <f>SUMIFS('Besi Balok'!$AA$23:$AA$7253,'Besi Balok'!$A$23:$A$7253,$A226,'Besi Balok'!$B$23:$B$7253,$B226,'Besi Balok'!$F$23:$F$7253,'REKAP Balok'!Q$11)</f>
        <v>0</v>
      </c>
      <c r="R226" s="282">
        <f>SUMIFS('Besi Balok'!$AA$23:$AA$7253,'Besi Balok'!$A$23:$A$7253,$A226,'Besi Balok'!$B$23:$B$7253,$B226,'Besi Balok'!$F$23:$F$7253,'REKAP Balok'!R$11)</f>
        <v>0</v>
      </c>
      <c r="S226" s="282">
        <f>SUMIFS('Besi Balok'!$AA$23:$AA$7253,'Besi Balok'!$A$23:$A$7253,$A226,'Besi Balok'!$B$23:$B$7253,$B226,'Besi Balok'!$F$23:$F$7253,'REKAP Balok'!S$11)</f>
        <v>0</v>
      </c>
      <c r="T226" s="283">
        <f>SUMIFS('Besi Balok'!$AA$23:$AA$7253,'Besi Balok'!$A$23:$A$7253,$A226,'Besi Balok'!$B$23:$B$7253,$B226,'Besi Balok'!$F$23:$F$7253,'REKAP Balok'!T$11)</f>
        <v>0</v>
      </c>
      <c r="U226" s="284">
        <f t="shared" ref="U226:U257" si="62">SUM(L226:T226)</f>
        <v>34.393006079999999</v>
      </c>
      <c r="V226" s="285">
        <f t="shared" ref="V226:V257" si="63">(D226*(F226-H226)*G226*K226)/1000000000</f>
        <v>0.26832</v>
      </c>
      <c r="W226" s="282">
        <f t="shared" ref="W226:W257" si="64">(((F226-H226)*2+IF(H226&gt;0,0,D226))*(G226)*K226)/1000000</f>
        <v>4.7988</v>
      </c>
      <c r="X226" s="282"/>
      <c r="Y226" s="282"/>
      <c r="Z226" s="283"/>
      <c r="AC226" s="1784">
        <f t="shared" ref="AC226:AC257" si="65">(D226+2*$F$5)*F226*G226/1000000000</f>
        <v>0.68111999999999995</v>
      </c>
    </row>
    <row r="227" spans="1:29" hidden="1">
      <c r="A227" s="272" t="str">
        <f>'Data Panjang Balok'!A223</f>
        <v>Lantai Atap</v>
      </c>
      <c r="B227" s="273">
        <f>'Data Panjang Balok'!B223</f>
        <v>5</v>
      </c>
      <c r="C227" s="274" t="str">
        <f>'Data Panjang Balok'!D223</f>
        <v>B5-1</v>
      </c>
      <c r="D227" s="275">
        <f>IF(C227&gt;0,VLOOKUP(C227,'Detail Balok'!$C$11:$AU$140,2,FALSE),0)</f>
        <v>130</v>
      </c>
      <c r="E227" s="276" t="s">
        <v>125</v>
      </c>
      <c r="F227" s="277">
        <f>IF(C227&gt;0,VLOOKUP(C227,'Detail Balok'!$C$11:$AU$140,3,FALSE),0)</f>
        <v>500</v>
      </c>
      <c r="G227" s="278">
        <f>'Data Panjang Balok'!I223</f>
        <v>6015</v>
      </c>
      <c r="H227" s="278">
        <f>'Data Panjang Balok'!J223</f>
        <v>0</v>
      </c>
      <c r="I227" s="279">
        <v>0</v>
      </c>
      <c r="J227" s="279">
        <f t="shared" si="61"/>
        <v>-0.5</v>
      </c>
      <c r="K227" s="280">
        <f>'Data Panjang Balok'!E223</f>
        <v>1</v>
      </c>
      <c r="L227" s="281">
        <f>SUMIFS('Besi Balok'!$AA$23:$AA$7253,'Besi Balok'!$A$23:$A$7253,$A227,'Besi Balok'!$B$23:$B$7253,$B227,'Besi Balok'!$F$23:$F$7253,'REKAP Balok'!L$11)</f>
        <v>0</v>
      </c>
      <c r="M227" s="282">
        <f>SUMIFS('Besi Balok'!$AA$23:$AA$7253,'Besi Balok'!$A$23:$A$7253,$A227,'Besi Balok'!$B$23:$B$7253,$B227,'Besi Balok'!$F$23:$F$7253,'REKAP Balok'!M$11)</f>
        <v>15.912604799999999</v>
      </c>
      <c r="N227" s="282">
        <f>SUMIFS('Besi Balok'!$AA$23:$AA$7253,'Besi Balok'!$A$23:$A$7253,$A227,'Besi Balok'!$B$23:$B$7253,$B227,'Besi Balok'!$F$23:$F$7253,'REKAP Balok'!N$11)</f>
        <v>7.7124150000000009</v>
      </c>
      <c r="O227" s="282">
        <f>SUMIFS('Besi Balok'!$AA$23:$AA$7253,'Besi Balok'!$A$23:$A$7253,$A227,'Besi Balok'!$B$23:$B$7253,$B227,'Besi Balok'!$F$23:$F$7253,'REKAP Balok'!O$11)</f>
        <v>39.552038369999991</v>
      </c>
      <c r="P227" s="282">
        <f>SUMIFS('Besi Balok'!$AA$23:$AA$7253,'Besi Balok'!$A$23:$A$7253,$A227,'Besi Balok'!$B$23:$B$7253,$B227,'Besi Balok'!$F$23:$F$7253,'REKAP Balok'!P$11)</f>
        <v>0</v>
      </c>
      <c r="Q227" s="282">
        <f>SUMIFS('Besi Balok'!$AA$23:$AA$7253,'Besi Balok'!$A$23:$A$7253,$A227,'Besi Balok'!$B$23:$B$7253,$B227,'Besi Balok'!$F$23:$F$7253,'REKAP Balok'!Q$11)</f>
        <v>0</v>
      </c>
      <c r="R227" s="282">
        <f>SUMIFS('Besi Balok'!$AA$23:$AA$7253,'Besi Balok'!$A$23:$A$7253,$A227,'Besi Balok'!$B$23:$B$7253,$B227,'Besi Balok'!$F$23:$F$7253,'REKAP Balok'!R$11)</f>
        <v>0</v>
      </c>
      <c r="S227" s="282">
        <f>SUMIFS('Besi Balok'!$AA$23:$AA$7253,'Besi Balok'!$A$23:$A$7253,$A227,'Besi Balok'!$B$23:$B$7253,$B227,'Besi Balok'!$F$23:$F$7253,'REKAP Balok'!S$11)</f>
        <v>0</v>
      </c>
      <c r="T227" s="283">
        <f>SUMIFS('Besi Balok'!$AA$23:$AA$7253,'Besi Balok'!$A$23:$A$7253,$A227,'Besi Balok'!$B$23:$B$7253,$B227,'Besi Balok'!$F$23:$F$7253,'REKAP Balok'!T$11)</f>
        <v>0</v>
      </c>
      <c r="U227" s="284">
        <f t="shared" si="62"/>
        <v>63.177058169999995</v>
      </c>
      <c r="V227" s="285">
        <f t="shared" si="63"/>
        <v>0.39097500000000002</v>
      </c>
      <c r="W227" s="282">
        <f t="shared" si="64"/>
        <v>6.7969499999999998</v>
      </c>
      <c r="X227" s="282"/>
      <c r="Y227" s="282"/>
      <c r="Z227" s="283"/>
      <c r="AC227" s="1784">
        <f t="shared" si="65"/>
        <v>0.992475</v>
      </c>
    </row>
    <row r="228" spans="1:29" hidden="1">
      <c r="A228" s="272" t="str">
        <f>'Data Panjang Balok'!A224</f>
        <v>Lantai Atap</v>
      </c>
      <c r="B228" s="273">
        <f>'Data Panjang Balok'!B224</f>
        <v>6</v>
      </c>
      <c r="C228" s="274" t="str">
        <f>'Data Panjang Balok'!D224</f>
        <v>B24-1</v>
      </c>
      <c r="D228" s="275">
        <f>IF(C228&gt;0,VLOOKUP(C228,'Detail Balok'!$C$11:$AU$140,2,FALSE),0)</f>
        <v>200</v>
      </c>
      <c r="E228" s="276" t="s">
        <v>125</v>
      </c>
      <c r="F228" s="277">
        <f>IF(C228&gt;0,VLOOKUP(C228,'Detail Balok'!$C$11:$AU$140,3,FALSE),0)</f>
        <v>400</v>
      </c>
      <c r="G228" s="278">
        <f>'Data Panjang Balok'!I224</f>
        <v>3925</v>
      </c>
      <c r="H228" s="278">
        <f>'Data Panjang Balok'!J224</f>
        <v>150</v>
      </c>
      <c r="I228" s="279">
        <v>0</v>
      </c>
      <c r="J228" s="279">
        <f t="shared" si="61"/>
        <v>-0.4</v>
      </c>
      <c r="K228" s="280">
        <f>'Data Panjang Balok'!E224</f>
        <v>1</v>
      </c>
      <c r="L228" s="281">
        <f>SUMIFS('Besi Balok'!$AA$23:$AA$7253,'Besi Balok'!$A$23:$A$7253,$A228,'Besi Balok'!$B$23:$B$7253,$B228,'Besi Balok'!$F$23:$F$7253,'REKAP Balok'!L$11)</f>
        <v>0</v>
      </c>
      <c r="M228" s="282">
        <f>SUMIFS('Besi Balok'!$AA$23:$AA$7253,'Besi Balok'!$A$23:$A$7253,$A228,'Besi Balok'!$B$23:$B$7253,$B228,'Besi Balok'!$F$23:$F$7253,'REKAP Balok'!M$11)</f>
        <v>0</v>
      </c>
      <c r="N228" s="282">
        <f>SUMIFS('Besi Balok'!$AA$23:$AA$7253,'Besi Balok'!$A$23:$A$7253,$A228,'Besi Balok'!$B$23:$B$7253,$B228,'Besi Balok'!$F$23:$F$7253,'REKAP Balok'!N$11)</f>
        <v>20.319840000000003</v>
      </c>
      <c r="O228" s="282">
        <f>SUMIFS('Besi Balok'!$AA$23:$AA$7253,'Besi Balok'!$A$23:$A$7253,$A228,'Besi Balok'!$B$23:$B$7253,$B228,'Besi Balok'!$F$23:$F$7253,'REKAP Balok'!O$11)</f>
        <v>26.486800469999999</v>
      </c>
      <c r="P228" s="282">
        <f>SUMIFS('Besi Balok'!$AA$23:$AA$7253,'Besi Balok'!$A$23:$A$7253,$A228,'Besi Balok'!$B$23:$B$7253,$B228,'Besi Balok'!$F$23:$F$7253,'REKAP Balok'!P$11)</f>
        <v>0</v>
      </c>
      <c r="Q228" s="282">
        <f>SUMIFS('Besi Balok'!$AA$23:$AA$7253,'Besi Balok'!$A$23:$A$7253,$A228,'Besi Balok'!$B$23:$B$7253,$B228,'Besi Balok'!$F$23:$F$7253,'REKAP Balok'!Q$11)</f>
        <v>0</v>
      </c>
      <c r="R228" s="282">
        <f>SUMIFS('Besi Balok'!$AA$23:$AA$7253,'Besi Balok'!$A$23:$A$7253,$A228,'Besi Balok'!$B$23:$B$7253,$B228,'Besi Balok'!$F$23:$F$7253,'REKAP Balok'!R$11)</f>
        <v>0</v>
      </c>
      <c r="S228" s="282">
        <f>SUMIFS('Besi Balok'!$AA$23:$AA$7253,'Besi Balok'!$A$23:$A$7253,$A228,'Besi Balok'!$B$23:$B$7253,$B228,'Besi Balok'!$F$23:$F$7253,'REKAP Balok'!S$11)</f>
        <v>0</v>
      </c>
      <c r="T228" s="283">
        <f>SUMIFS('Besi Balok'!$AA$23:$AA$7253,'Besi Balok'!$A$23:$A$7253,$A228,'Besi Balok'!$B$23:$B$7253,$B228,'Besi Balok'!$F$23:$F$7253,'REKAP Balok'!T$11)</f>
        <v>0</v>
      </c>
      <c r="U228" s="284">
        <f t="shared" si="62"/>
        <v>46.806640470000005</v>
      </c>
      <c r="V228" s="285">
        <f t="shared" si="63"/>
        <v>0.19625000000000001</v>
      </c>
      <c r="W228" s="282">
        <f t="shared" si="64"/>
        <v>1.9624999999999999</v>
      </c>
      <c r="X228" s="282"/>
      <c r="Y228" s="282"/>
      <c r="Z228" s="283"/>
      <c r="AC228" s="1784">
        <f t="shared" si="65"/>
        <v>0.628</v>
      </c>
    </row>
    <row r="229" spans="1:29" hidden="1">
      <c r="A229" s="272" t="str">
        <f>'Data Panjang Balok'!A225</f>
        <v>Lantai Atap</v>
      </c>
      <c r="B229" s="273">
        <f>'Data Panjang Balok'!B225</f>
        <v>7</v>
      </c>
      <c r="C229" s="274" t="str">
        <f>'Data Panjang Balok'!D225</f>
        <v>B2A4A-1</v>
      </c>
      <c r="D229" s="275">
        <f>IF(C229&gt;0,VLOOKUP(C229,'Detail Balok'!$C$11:$AU$140,2,FALSE),0)</f>
        <v>250</v>
      </c>
      <c r="E229" s="276" t="s">
        <v>125</v>
      </c>
      <c r="F229" s="277">
        <f>IF(C229&gt;0,VLOOKUP(C229,'Detail Balok'!$C$11:$AU$140,3,FALSE),0)</f>
        <v>450</v>
      </c>
      <c r="G229" s="278">
        <f>'Data Panjang Balok'!I225</f>
        <v>11150</v>
      </c>
      <c r="H229" s="278">
        <f>'Data Panjang Balok'!J225</f>
        <v>0</v>
      </c>
      <c r="I229" s="279">
        <v>0</v>
      </c>
      <c r="J229" s="279">
        <f t="shared" si="61"/>
        <v>-0.45</v>
      </c>
      <c r="K229" s="280">
        <f>'Data Panjang Balok'!E225</f>
        <v>1</v>
      </c>
      <c r="L229" s="281">
        <f>SUMIFS('Besi Balok'!$AA$23:$AA$7253,'Besi Balok'!$A$23:$A$7253,$A229,'Besi Balok'!$B$23:$B$7253,$B229,'Besi Balok'!$F$23:$F$7253,'REKAP Balok'!L$11)</f>
        <v>0</v>
      </c>
      <c r="M229" s="282">
        <f>SUMIFS('Besi Balok'!$AA$23:$AA$7253,'Besi Balok'!$A$23:$A$7253,$A229,'Besi Balok'!$B$23:$B$7253,$B229,'Besi Balok'!$F$23:$F$7253,'REKAP Balok'!M$11)</f>
        <v>0</v>
      </c>
      <c r="N229" s="282">
        <f>SUMIFS('Besi Balok'!$AA$23:$AA$7253,'Besi Balok'!$A$23:$A$7253,$A229,'Besi Balok'!$B$23:$B$7253,$B229,'Besi Balok'!$F$23:$F$7253,'REKAP Balok'!N$11)</f>
        <v>65.213369999999998</v>
      </c>
      <c r="O229" s="282">
        <f>SUMIFS('Besi Balok'!$AA$23:$AA$7253,'Besi Balok'!$A$23:$A$7253,$A229,'Besi Balok'!$B$23:$B$7253,$B229,'Besi Balok'!$F$23:$F$7253,'REKAP Balok'!O$11)</f>
        <v>71.652515219999998</v>
      </c>
      <c r="P229" s="282">
        <f>SUMIFS('Besi Balok'!$AA$23:$AA$7253,'Besi Balok'!$A$23:$A$7253,$A229,'Besi Balok'!$B$23:$B$7253,$B229,'Besi Balok'!$F$23:$F$7253,'REKAP Balok'!P$11)</f>
        <v>0</v>
      </c>
      <c r="Q229" s="282">
        <f>SUMIFS('Besi Balok'!$AA$23:$AA$7253,'Besi Balok'!$A$23:$A$7253,$A229,'Besi Balok'!$B$23:$B$7253,$B229,'Besi Balok'!$F$23:$F$7253,'REKAP Balok'!Q$11)</f>
        <v>0</v>
      </c>
      <c r="R229" s="282">
        <f>SUMIFS('Besi Balok'!$AA$23:$AA$7253,'Besi Balok'!$A$23:$A$7253,$A229,'Besi Balok'!$B$23:$B$7253,$B229,'Besi Balok'!$F$23:$F$7253,'REKAP Balok'!R$11)</f>
        <v>0</v>
      </c>
      <c r="S229" s="282">
        <f>SUMIFS('Besi Balok'!$AA$23:$AA$7253,'Besi Balok'!$A$23:$A$7253,$A229,'Besi Balok'!$B$23:$B$7253,$B229,'Besi Balok'!$F$23:$F$7253,'REKAP Balok'!S$11)</f>
        <v>0</v>
      </c>
      <c r="T229" s="283">
        <f>SUMIFS('Besi Balok'!$AA$23:$AA$7253,'Besi Balok'!$A$23:$A$7253,$A229,'Besi Balok'!$B$23:$B$7253,$B229,'Besi Balok'!$F$23:$F$7253,'REKAP Balok'!T$11)</f>
        <v>0</v>
      </c>
      <c r="U229" s="284">
        <f t="shared" si="62"/>
        <v>136.86588522</v>
      </c>
      <c r="V229" s="285">
        <f t="shared" si="63"/>
        <v>1.254375</v>
      </c>
      <c r="W229" s="282">
        <f t="shared" si="64"/>
        <v>12.8225</v>
      </c>
      <c r="X229" s="282"/>
      <c r="Y229" s="282"/>
      <c r="Z229" s="283"/>
      <c r="AC229" s="1784">
        <f t="shared" si="65"/>
        <v>2.2578749999999999</v>
      </c>
    </row>
    <row r="230" spans="1:29" hidden="1">
      <c r="A230" s="272" t="str">
        <f>'Data Panjang Balok'!A226</f>
        <v>Lantai Atap</v>
      </c>
      <c r="B230" s="273">
        <f>'Data Panjang Balok'!B226</f>
        <v>8</v>
      </c>
      <c r="C230" s="274" t="str">
        <f>'Data Panjang Balok'!D226</f>
        <v>B24-1</v>
      </c>
      <c r="D230" s="275">
        <f>IF(C230&gt;0,VLOOKUP(C230,'Detail Balok'!$C$11:$AU$140,2,FALSE),0)</f>
        <v>200</v>
      </c>
      <c r="E230" s="276" t="s">
        <v>125</v>
      </c>
      <c r="F230" s="277">
        <f>IF(C230&gt;0,VLOOKUP(C230,'Detail Balok'!$C$11:$AU$140,3,FALSE),0)</f>
        <v>400</v>
      </c>
      <c r="G230" s="278">
        <f>'Data Panjang Balok'!I226</f>
        <v>3925</v>
      </c>
      <c r="H230" s="278">
        <f>'Data Panjang Balok'!J226</f>
        <v>150</v>
      </c>
      <c r="I230" s="279">
        <v>0</v>
      </c>
      <c r="J230" s="279">
        <f t="shared" si="61"/>
        <v>-0.4</v>
      </c>
      <c r="K230" s="280">
        <f>'Data Panjang Balok'!E226</f>
        <v>1</v>
      </c>
      <c r="L230" s="281">
        <f>SUMIFS('Besi Balok'!$AA$23:$AA$7253,'Besi Balok'!$A$23:$A$7253,$A230,'Besi Balok'!$B$23:$B$7253,$B230,'Besi Balok'!$F$23:$F$7253,'REKAP Balok'!L$11)</f>
        <v>0</v>
      </c>
      <c r="M230" s="282">
        <f>SUMIFS('Besi Balok'!$AA$23:$AA$7253,'Besi Balok'!$A$23:$A$7253,$A230,'Besi Balok'!$B$23:$B$7253,$B230,'Besi Balok'!$F$23:$F$7253,'REKAP Balok'!M$11)</f>
        <v>0</v>
      </c>
      <c r="N230" s="282">
        <f>SUMIFS('Besi Balok'!$AA$23:$AA$7253,'Besi Balok'!$A$23:$A$7253,$A230,'Besi Balok'!$B$23:$B$7253,$B230,'Besi Balok'!$F$23:$F$7253,'REKAP Balok'!N$11)</f>
        <v>20.319840000000003</v>
      </c>
      <c r="O230" s="282">
        <f>SUMIFS('Besi Balok'!$AA$23:$AA$7253,'Besi Balok'!$A$23:$A$7253,$A230,'Besi Balok'!$B$23:$B$7253,$B230,'Besi Balok'!$F$23:$F$7253,'REKAP Balok'!O$11)</f>
        <v>26.486800469999999</v>
      </c>
      <c r="P230" s="282">
        <f>SUMIFS('Besi Balok'!$AA$23:$AA$7253,'Besi Balok'!$A$23:$A$7253,$A230,'Besi Balok'!$B$23:$B$7253,$B230,'Besi Balok'!$F$23:$F$7253,'REKAP Balok'!P$11)</f>
        <v>0</v>
      </c>
      <c r="Q230" s="282">
        <f>SUMIFS('Besi Balok'!$AA$23:$AA$7253,'Besi Balok'!$A$23:$A$7253,$A230,'Besi Balok'!$B$23:$B$7253,$B230,'Besi Balok'!$F$23:$F$7253,'REKAP Balok'!Q$11)</f>
        <v>0</v>
      </c>
      <c r="R230" s="282">
        <f>SUMIFS('Besi Balok'!$AA$23:$AA$7253,'Besi Balok'!$A$23:$A$7253,$A230,'Besi Balok'!$B$23:$B$7253,$B230,'Besi Balok'!$F$23:$F$7253,'REKAP Balok'!R$11)</f>
        <v>0</v>
      </c>
      <c r="S230" s="282">
        <f>SUMIFS('Besi Balok'!$AA$23:$AA$7253,'Besi Balok'!$A$23:$A$7253,$A230,'Besi Balok'!$B$23:$B$7253,$B230,'Besi Balok'!$F$23:$F$7253,'REKAP Balok'!S$11)</f>
        <v>0</v>
      </c>
      <c r="T230" s="283">
        <f>SUMIFS('Besi Balok'!$AA$23:$AA$7253,'Besi Balok'!$A$23:$A$7253,$A230,'Besi Balok'!$B$23:$B$7253,$B230,'Besi Balok'!$F$23:$F$7253,'REKAP Balok'!T$11)</f>
        <v>0</v>
      </c>
      <c r="U230" s="284">
        <f t="shared" si="62"/>
        <v>46.806640470000005</v>
      </c>
      <c r="V230" s="285">
        <f t="shared" si="63"/>
        <v>0.19625000000000001</v>
      </c>
      <c r="W230" s="282">
        <f t="shared" si="64"/>
        <v>1.9624999999999999</v>
      </c>
      <c r="X230" s="282"/>
      <c r="Y230" s="282"/>
      <c r="Z230" s="283"/>
      <c r="AC230" s="1784">
        <f t="shared" si="65"/>
        <v>0.628</v>
      </c>
    </row>
    <row r="231" spans="1:29" hidden="1">
      <c r="A231" s="272" t="str">
        <f>'Data Panjang Balok'!A227</f>
        <v>Lantai Atap</v>
      </c>
      <c r="B231" s="273">
        <f>'Data Panjang Balok'!B227</f>
        <v>9</v>
      </c>
      <c r="C231" s="274" t="str">
        <f>'Data Panjang Balok'!D227</f>
        <v>B2A4A-1</v>
      </c>
      <c r="D231" s="275">
        <f>IF(C231&gt;0,VLOOKUP(C231,'Detail Balok'!$C$11:$AU$140,2,FALSE),0)</f>
        <v>250</v>
      </c>
      <c r="E231" s="276" t="s">
        <v>125</v>
      </c>
      <c r="F231" s="277">
        <f>IF(C231&gt;0,VLOOKUP(C231,'Detail Balok'!$C$11:$AU$140,3,FALSE),0)</f>
        <v>450</v>
      </c>
      <c r="G231" s="278">
        <f>'Data Panjang Balok'!I227</f>
        <v>6000</v>
      </c>
      <c r="H231" s="278">
        <f>'Data Panjang Balok'!J227</f>
        <v>0</v>
      </c>
      <c r="I231" s="279">
        <v>0</v>
      </c>
      <c r="J231" s="279">
        <f t="shared" si="61"/>
        <v>-0.45</v>
      </c>
      <c r="K231" s="280">
        <f>'Data Panjang Balok'!E227</f>
        <v>1</v>
      </c>
      <c r="L231" s="281">
        <f>SUMIFS('Besi Balok'!$AA$23:$AA$7253,'Besi Balok'!$A$23:$A$7253,$A231,'Besi Balok'!$B$23:$B$7253,$B231,'Besi Balok'!$F$23:$F$7253,'REKAP Balok'!L$11)</f>
        <v>0</v>
      </c>
      <c r="M231" s="282">
        <f>SUMIFS('Besi Balok'!$AA$23:$AA$7253,'Besi Balok'!$A$23:$A$7253,$A231,'Besi Balok'!$B$23:$B$7253,$B231,'Besi Balok'!$F$23:$F$7253,'REKAP Balok'!M$11)</f>
        <v>0</v>
      </c>
      <c r="N231" s="282">
        <f>SUMIFS('Besi Balok'!$AA$23:$AA$7253,'Besi Balok'!$A$23:$A$7253,$A231,'Besi Balok'!$B$23:$B$7253,$B231,'Besi Balok'!$F$23:$F$7253,'REKAP Balok'!N$11)</f>
        <v>35.639865</v>
      </c>
      <c r="O231" s="282">
        <f>SUMIFS('Besi Balok'!$AA$23:$AA$7253,'Besi Balok'!$A$23:$A$7253,$A231,'Besi Balok'!$B$23:$B$7253,$B231,'Besi Balok'!$F$23:$F$7253,'REKAP Balok'!O$11)</f>
        <v>39.458268719999992</v>
      </c>
      <c r="P231" s="282">
        <f>SUMIFS('Besi Balok'!$AA$23:$AA$7253,'Besi Balok'!$A$23:$A$7253,$A231,'Besi Balok'!$B$23:$B$7253,$B231,'Besi Balok'!$F$23:$F$7253,'REKAP Balok'!P$11)</f>
        <v>0</v>
      </c>
      <c r="Q231" s="282">
        <f>SUMIFS('Besi Balok'!$AA$23:$AA$7253,'Besi Balok'!$A$23:$A$7253,$A231,'Besi Balok'!$B$23:$B$7253,$B231,'Besi Balok'!$F$23:$F$7253,'REKAP Balok'!Q$11)</f>
        <v>0</v>
      </c>
      <c r="R231" s="282">
        <f>SUMIFS('Besi Balok'!$AA$23:$AA$7253,'Besi Balok'!$A$23:$A$7253,$A231,'Besi Balok'!$B$23:$B$7253,$B231,'Besi Balok'!$F$23:$F$7253,'REKAP Balok'!R$11)</f>
        <v>0</v>
      </c>
      <c r="S231" s="282">
        <f>SUMIFS('Besi Balok'!$AA$23:$AA$7253,'Besi Balok'!$A$23:$A$7253,$A231,'Besi Balok'!$B$23:$B$7253,$B231,'Besi Balok'!$F$23:$F$7253,'REKAP Balok'!S$11)</f>
        <v>0</v>
      </c>
      <c r="T231" s="283">
        <f>SUMIFS('Besi Balok'!$AA$23:$AA$7253,'Besi Balok'!$A$23:$A$7253,$A231,'Besi Balok'!$B$23:$B$7253,$B231,'Besi Balok'!$F$23:$F$7253,'REKAP Balok'!T$11)</f>
        <v>0</v>
      </c>
      <c r="U231" s="284">
        <f t="shared" si="62"/>
        <v>75.098133719999993</v>
      </c>
      <c r="V231" s="285">
        <f t="shared" si="63"/>
        <v>0.67500000000000004</v>
      </c>
      <c r="W231" s="282">
        <f t="shared" si="64"/>
        <v>6.9</v>
      </c>
      <c r="X231" s="282"/>
      <c r="Y231" s="282"/>
      <c r="Z231" s="283"/>
      <c r="AC231" s="1784">
        <f t="shared" si="65"/>
        <v>1.2150000000000001</v>
      </c>
    </row>
    <row r="232" spans="1:29" hidden="1">
      <c r="A232" s="272" t="str">
        <f>'Data Panjang Balok'!A228</f>
        <v>Lantai Atap</v>
      </c>
      <c r="B232" s="273">
        <f>'Data Panjang Balok'!B228</f>
        <v>10</v>
      </c>
      <c r="C232" s="274" t="str">
        <f>'Data Panjang Balok'!D228</f>
        <v>B24-1</v>
      </c>
      <c r="D232" s="275">
        <f>IF(C232&gt;0,VLOOKUP(C232,'Detail Balok'!$C$11:$AU$140,2,FALSE),0)</f>
        <v>200</v>
      </c>
      <c r="E232" s="276" t="s">
        <v>125</v>
      </c>
      <c r="F232" s="277">
        <f>IF(C232&gt;0,VLOOKUP(C232,'Detail Balok'!$C$11:$AU$140,3,FALSE),0)</f>
        <v>400</v>
      </c>
      <c r="G232" s="278">
        <f>'Data Panjang Balok'!I228</f>
        <v>4075</v>
      </c>
      <c r="H232" s="278">
        <f>'Data Panjang Balok'!J228</f>
        <v>150</v>
      </c>
      <c r="I232" s="279">
        <v>0</v>
      </c>
      <c r="J232" s="279">
        <f t="shared" si="61"/>
        <v>-0.4</v>
      </c>
      <c r="K232" s="280">
        <f>'Data Panjang Balok'!E228</f>
        <v>1</v>
      </c>
      <c r="L232" s="281">
        <f>SUMIFS('Besi Balok'!$AA$23:$AA$7253,'Besi Balok'!$A$23:$A$7253,$A232,'Besi Balok'!$B$23:$B$7253,$B232,'Besi Balok'!$F$23:$F$7253,'REKAP Balok'!L$11)</f>
        <v>0</v>
      </c>
      <c r="M232" s="282">
        <f>SUMIFS('Besi Balok'!$AA$23:$AA$7253,'Besi Balok'!$A$23:$A$7253,$A232,'Besi Balok'!$B$23:$B$7253,$B232,'Besi Balok'!$F$23:$F$7253,'REKAP Balok'!M$11)</f>
        <v>0</v>
      </c>
      <c r="N232" s="282">
        <f>SUMIFS('Besi Balok'!$AA$23:$AA$7253,'Besi Balok'!$A$23:$A$7253,$A232,'Besi Balok'!$B$23:$B$7253,$B232,'Besi Balok'!$F$23:$F$7253,'REKAP Balok'!N$11)</f>
        <v>20.319840000000003</v>
      </c>
      <c r="O232" s="282">
        <f>SUMIFS('Besi Balok'!$AA$23:$AA$7253,'Besi Balok'!$A$23:$A$7253,$A232,'Besi Balok'!$B$23:$B$7253,$B232,'Besi Balok'!$F$23:$F$7253,'REKAP Balok'!O$11)</f>
        <v>27.42449697</v>
      </c>
      <c r="P232" s="282">
        <f>SUMIFS('Besi Balok'!$AA$23:$AA$7253,'Besi Balok'!$A$23:$A$7253,$A232,'Besi Balok'!$B$23:$B$7253,$B232,'Besi Balok'!$F$23:$F$7253,'REKAP Balok'!P$11)</f>
        <v>0</v>
      </c>
      <c r="Q232" s="282">
        <f>SUMIFS('Besi Balok'!$AA$23:$AA$7253,'Besi Balok'!$A$23:$A$7253,$A232,'Besi Balok'!$B$23:$B$7253,$B232,'Besi Balok'!$F$23:$F$7253,'REKAP Balok'!Q$11)</f>
        <v>0</v>
      </c>
      <c r="R232" s="282">
        <f>SUMIFS('Besi Balok'!$AA$23:$AA$7253,'Besi Balok'!$A$23:$A$7253,$A232,'Besi Balok'!$B$23:$B$7253,$B232,'Besi Balok'!$F$23:$F$7253,'REKAP Balok'!R$11)</f>
        <v>0</v>
      </c>
      <c r="S232" s="282">
        <f>SUMIFS('Besi Balok'!$AA$23:$AA$7253,'Besi Balok'!$A$23:$A$7253,$A232,'Besi Balok'!$B$23:$B$7253,$B232,'Besi Balok'!$F$23:$F$7253,'REKAP Balok'!S$11)</f>
        <v>0</v>
      </c>
      <c r="T232" s="283">
        <f>SUMIFS('Besi Balok'!$AA$23:$AA$7253,'Besi Balok'!$A$23:$A$7253,$A232,'Besi Balok'!$B$23:$B$7253,$B232,'Besi Balok'!$F$23:$F$7253,'REKAP Balok'!T$11)</f>
        <v>0</v>
      </c>
      <c r="U232" s="284">
        <f t="shared" si="62"/>
        <v>47.744336970000006</v>
      </c>
      <c r="V232" s="285">
        <f t="shared" si="63"/>
        <v>0.20374999999999999</v>
      </c>
      <c r="W232" s="282">
        <f t="shared" si="64"/>
        <v>2.0375000000000001</v>
      </c>
      <c r="X232" s="282"/>
      <c r="Y232" s="282"/>
      <c r="Z232" s="283"/>
      <c r="AC232" s="1784">
        <f t="shared" si="65"/>
        <v>0.65200000000000002</v>
      </c>
    </row>
    <row r="233" spans="1:29" hidden="1">
      <c r="A233" s="272" t="str">
        <f>'Data Panjang Balok'!A229</f>
        <v>Lantai Atap</v>
      </c>
      <c r="B233" s="273">
        <f>'Data Panjang Balok'!B229</f>
        <v>11</v>
      </c>
      <c r="C233" s="274" t="str">
        <f>'Data Panjang Balok'!D229</f>
        <v>B24-1</v>
      </c>
      <c r="D233" s="275">
        <f>IF(C233&gt;0,VLOOKUP(C233,'Detail Balok'!$C$11:$AU$140,2,FALSE),0)</f>
        <v>200</v>
      </c>
      <c r="E233" s="276" t="s">
        <v>125</v>
      </c>
      <c r="F233" s="277">
        <f>IF(C233&gt;0,VLOOKUP(C233,'Detail Balok'!$C$11:$AU$140,3,FALSE),0)</f>
        <v>400</v>
      </c>
      <c r="G233" s="278">
        <f>'Data Panjang Balok'!I229</f>
        <v>5150</v>
      </c>
      <c r="H233" s="278">
        <f>'Data Panjang Balok'!J229</f>
        <v>0</v>
      </c>
      <c r="I233" s="279">
        <v>0</v>
      </c>
      <c r="J233" s="279">
        <f t="shared" si="61"/>
        <v>-0.4</v>
      </c>
      <c r="K233" s="280">
        <f>'Data Panjang Balok'!E229</f>
        <v>1</v>
      </c>
      <c r="L233" s="281">
        <f>SUMIFS('Besi Balok'!$AA$23:$AA$7253,'Besi Balok'!$A$23:$A$7253,$A233,'Besi Balok'!$B$23:$B$7253,$B233,'Besi Balok'!$F$23:$F$7253,'REKAP Balok'!L$11)</f>
        <v>0</v>
      </c>
      <c r="M233" s="282">
        <f>SUMIFS('Besi Balok'!$AA$23:$AA$7253,'Besi Balok'!$A$23:$A$7253,$A233,'Besi Balok'!$B$23:$B$7253,$B233,'Besi Balok'!$F$23:$F$7253,'REKAP Balok'!M$11)</f>
        <v>0</v>
      </c>
      <c r="N233" s="282">
        <f>SUMIFS('Besi Balok'!$AA$23:$AA$7253,'Besi Balok'!$A$23:$A$7253,$A233,'Besi Balok'!$B$23:$B$7253,$B233,'Besi Balok'!$F$23:$F$7253,'REKAP Balok'!N$11)</f>
        <v>26.034795000000003</v>
      </c>
      <c r="O233" s="282">
        <f>SUMIFS('Besi Balok'!$AA$23:$AA$7253,'Besi Balok'!$A$23:$A$7253,$A233,'Besi Balok'!$B$23:$B$7253,$B233,'Besi Balok'!$F$23:$F$7253,'REKAP Balok'!O$11)</f>
        <v>34.144655220000004</v>
      </c>
      <c r="P233" s="282">
        <f>SUMIFS('Besi Balok'!$AA$23:$AA$7253,'Besi Balok'!$A$23:$A$7253,$A233,'Besi Balok'!$B$23:$B$7253,$B233,'Besi Balok'!$F$23:$F$7253,'REKAP Balok'!P$11)</f>
        <v>0</v>
      </c>
      <c r="Q233" s="282">
        <f>SUMIFS('Besi Balok'!$AA$23:$AA$7253,'Besi Balok'!$A$23:$A$7253,$A233,'Besi Balok'!$B$23:$B$7253,$B233,'Besi Balok'!$F$23:$F$7253,'REKAP Balok'!Q$11)</f>
        <v>0</v>
      </c>
      <c r="R233" s="282">
        <f>SUMIFS('Besi Balok'!$AA$23:$AA$7253,'Besi Balok'!$A$23:$A$7253,$A233,'Besi Balok'!$B$23:$B$7253,$B233,'Besi Balok'!$F$23:$F$7253,'REKAP Balok'!R$11)</f>
        <v>0</v>
      </c>
      <c r="S233" s="282">
        <f>SUMIFS('Besi Balok'!$AA$23:$AA$7253,'Besi Balok'!$A$23:$A$7253,$A233,'Besi Balok'!$B$23:$B$7253,$B233,'Besi Balok'!$F$23:$F$7253,'REKAP Balok'!S$11)</f>
        <v>0</v>
      </c>
      <c r="T233" s="283">
        <f>SUMIFS('Besi Balok'!$AA$23:$AA$7253,'Besi Balok'!$A$23:$A$7253,$A233,'Besi Balok'!$B$23:$B$7253,$B233,'Besi Balok'!$F$23:$F$7253,'REKAP Balok'!T$11)</f>
        <v>0</v>
      </c>
      <c r="U233" s="284">
        <f t="shared" si="62"/>
        <v>60.179450220000007</v>
      </c>
      <c r="V233" s="285">
        <f t="shared" si="63"/>
        <v>0.41199999999999998</v>
      </c>
      <c r="W233" s="282">
        <f t="shared" si="64"/>
        <v>5.15</v>
      </c>
      <c r="X233" s="282"/>
      <c r="Y233" s="282"/>
      <c r="Z233" s="283"/>
      <c r="AC233" s="1784">
        <f t="shared" si="65"/>
        <v>0.82399999999999995</v>
      </c>
    </row>
    <row r="234" spans="1:29" hidden="1">
      <c r="A234" s="272" t="str">
        <f>'Data Panjang Balok'!A230</f>
        <v>Lantai Atap</v>
      </c>
      <c r="B234" s="273">
        <f>'Data Panjang Balok'!B230</f>
        <v>12</v>
      </c>
      <c r="C234" s="274" t="str">
        <f>'Data Panjang Balok'!D230</f>
        <v>B2A4A-1</v>
      </c>
      <c r="D234" s="275">
        <f>IF(C234&gt;0,VLOOKUP(C234,'Detail Balok'!$C$11:$AU$140,2,FALSE),0)</f>
        <v>250</v>
      </c>
      <c r="E234" s="276" t="s">
        <v>125</v>
      </c>
      <c r="F234" s="277">
        <f>IF(C234&gt;0,VLOOKUP(C234,'Detail Balok'!$C$11:$AU$140,3,FALSE),0)</f>
        <v>450</v>
      </c>
      <c r="G234" s="278">
        <f>'Data Panjang Balok'!I230</f>
        <v>6015</v>
      </c>
      <c r="H234" s="278">
        <f>'Data Panjang Balok'!J230</f>
        <v>0</v>
      </c>
      <c r="I234" s="279">
        <v>0</v>
      </c>
      <c r="J234" s="279">
        <f t="shared" si="61"/>
        <v>-0.45</v>
      </c>
      <c r="K234" s="280">
        <f>'Data Panjang Balok'!E230</f>
        <v>1</v>
      </c>
      <c r="L234" s="281">
        <f>SUMIFS('Besi Balok'!$AA$23:$AA$7253,'Besi Balok'!$A$23:$A$7253,$A234,'Besi Balok'!$B$23:$B$7253,$B234,'Besi Balok'!$F$23:$F$7253,'REKAP Balok'!L$11)</f>
        <v>0</v>
      </c>
      <c r="M234" s="282">
        <f>SUMIFS('Besi Balok'!$AA$23:$AA$7253,'Besi Balok'!$A$23:$A$7253,$A234,'Besi Balok'!$B$23:$B$7253,$B234,'Besi Balok'!$F$23:$F$7253,'REKAP Balok'!M$11)</f>
        <v>0</v>
      </c>
      <c r="N234" s="282">
        <f>SUMIFS('Besi Balok'!$AA$23:$AA$7253,'Besi Balok'!$A$23:$A$7253,$A234,'Besi Balok'!$B$23:$B$7253,$B234,'Besi Balok'!$F$23:$F$7253,'REKAP Balok'!N$11)</f>
        <v>35.639865</v>
      </c>
      <c r="O234" s="282">
        <f>SUMIFS('Besi Balok'!$AA$23:$AA$7253,'Besi Balok'!$A$23:$A$7253,$A234,'Besi Balok'!$B$23:$B$7253,$B234,'Besi Balok'!$F$23:$F$7253,'REKAP Balok'!O$11)</f>
        <v>39.552038369999991</v>
      </c>
      <c r="P234" s="282">
        <f>SUMIFS('Besi Balok'!$AA$23:$AA$7253,'Besi Balok'!$A$23:$A$7253,$A234,'Besi Balok'!$B$23:$B$7253,$B234,'Besi Balok'!$F$23:$F$7253,'REKAP Balok'!P$11)</f>
        <v>0</v>
      </c>
      <c r="Q234" s="282">
        <f>SUMIFS('Besi Balok'!$AA$23:$AA$7253,'Besi Balok'!$A$23:$A$7253,$A234,'Besi Balok'!$B$23:$B$7253,$B234,'Besi Balok'!$F$23:$F$7253,'REKAP Balok'!Q$11)</f>
        <v>0</v>
      </c>
      <c r="R234" s="282">
        <f>SUMIFS('Besi Balok'!$AA$23:$AA$7253,'Besi Balok'!$A$23:$A$7253,$A234,'Besi Balok'!$B$23:$B$7253,$B234,'Besi Balok'!$F$23:$F$7253,'REKAP Balok'!R$11)</f>
        <v>0</v>
      </c>
      <c r="S234" s="282">
        <f>SUMIFS('Besi Balok'!$AA$23:$AA$7253,'Besi Balok'!$A$23:$A$7253,$A234,'Besi Balok'!$B$23:$B$7253,$B234,'Besi Balok'!$F$23:$F$7253,'REKAP Balok'!S$11)</f>
        <v>0</v>
      </c>
      <c r="T234" s="283">
        <f>SUMIFS('Besi Balok'!$AA$23:$AA$7253,'Besi Balok'!$A$23:$A$7253,$A234,'Besi Balok'!$B$23:$B$7253,$B234,'Besi Balok'!$F$23:$F$7253,'REKAP Balok'!T$11)</f>
        <v>0</v>
      </c>
      <c r="U234" s="284">
        <f t="shared" si="62"/>
        <v>75.191903369999991</v>
      </c>
      <c r="V234" s="285">
        <f t="shared" si="63"/>
        <v>0.6766875</v>
      </c>
      <c r="W234" s="282">
        <f t="shared" si="64"/>
        <v>6.9172500000000001</v>
      </c>
      <c r="X234" s="282"/>
      <c r="Y234" s="282"/>
      <c r="Z234" s="283"/>
      <c r="AC234" s="1784">
        <f t="shared" si="65"/>
        <v>1.2180375000000001</v>
      </c>
    </row>
    <row r="235" spans="1:29" hidden="1">
      <c r="A235" s="272" t="str">
        <f>'Data Panjang Balok'!A231</f>
        <v>Lantai Atap</v>
      </c>
      <c r="B235" s="273">
        <f>'Data Panjang Balok'!B231</f>
        <v>13</v>
      </c>
      <c r="C235" s="274" t="str">
        <f>'Data Panjang Balok'!D231</f>
        <v>B2A4A-1</v>
      </c>
      <c r="D235" s="275">
        <f>IF(C235&gt;0,VLOOKUP(C235,'Detail Balok'!$C$11:$AU$140,2,FALSE),0)</f>
        <v>250</v>
      </c>
      <c r="E235" s="276" t="s">
        <v>125</v>
      </c>
      <c r="F235" s="277">
        <f>IF(C235&gt;0,VLOOKUP(C235,'Detail Balok'!$C$11:$AU$140,3,FALSE),0)</f>
        <v>450</v>
      </c>
      <c r="G235" s="278">
        <f>'Data Panjang Balok'!I231</f>
        <v>9685</v>
      </c>
      <c r="H235" s="278">
        <f>'Data Panjang Balok'!J231</f>
        <v>0</v>
      </c>
      <c r="I235" s="279">
        <v>0</v>
      </c>
      <c r="J235" s="279">
        <f t="shared" si="61"/>
        <v>-0.45</v>
      </c>
      <c r="K235" s="280">
        <f>'Data Panjang Balok'!E231</f>
        <v>1</v>
      </c>
      <c r="L235" s="281">
        <f>SUMIFS('Besi Balok'!$AA$23:$AA$7253,'Besi Balok'!$A$23:$A$7253,$A235,'Besi Balok'!$B$23:$B$7253,$B235,'Besi Balok'!$F$23:$F$7253,'REKAP Balok'!L$11)</f>
        <v>0</v>
      </c>
      <c r="M235" s="282">
        <f>SUMIFS('Besi Balok'!$AA$23:$AA$7253,'Besi Balok'!$A$23:$A$7253,$A235,'Besi Balok'!$B$23:$B$7253,$B235,'Besi Balok'!$F$23:$F$7253,'REKAP Balok'!M$11)</f>
        <v>0</v>
      </c>
      <c r="N235" s="282">
        <f>SUMIFS('Besi Balok'!$AA$23:$AA$7253,'Besi Balok'!$A$23:$A$7253,$A235,'Besi Balok'!$B$23:$B$7253,$B235,'Besi Balok'!$F$23:$F$7253,'REKAP Balok'!N$11)</f>
        <v>56.113830000000007</v>
      </c>
      <c r="O235" s="282">
        <f>SUMIFS('Besi Balok'!$AA$23:$AA$7253,'Besi Balok'!$A$23:$A$7253,$A235,'Besi Balok'!$B$23:$B$7253,$B235,'Besi Balok'!$F$23:$F$7253,'REKAP Balok'!O$11)</f>
        <v>62.494346069999992</v>
      </c>
      <c r="P235" s="282">
        <f>SUMIFS('Besi Balok'!$AA$23:$AA$7253,'Besi Balok'!$A$23:$A$7253,$A235,'Besi Balok'!$B$23:$B$7253,$B235,'Besi Balok'!$F$23:$F$7253,'REKAP Balok'!P$11)</f>
        <v>0</v>
      </c>
      <c r="Q235" s="282">
        <f>SUMIFS('Besi Balok'!$AA$23:$AA$7253,'Besi Balok'!$A$23:$A$7253,$A235,'Besi Balok'!$B$23:$B$7253,$B235,'Besi Balok'!$F$23:$F$7253,'REKAP Balok'!Q$11)</f>
        <v>0</v>
      </c>
      <c r="R235" s="282">
        <f>SUMIFS('Besi Balok'!$AA$23:$AA$7253,'Besi Balok'!$A$23:$A$7253,$A235,'Besi Balok'!$B$23:$B$7253,$B235,'Besi Balok'!$F$23:$F$7253,'REKAP Balok'!R$11)</f>
        <v>0</v>
      </c>
      <c r="S235" s="282">
        <f>SUMIFS('Besi Balok'!$AA$23:$AA$7253,'Besi Balok'!$A$23:$A$7253,$A235,'Besi Balok'!$B$23:$B$7253,$B235,'Besi Balok'!$F$23:$F$7253,'REKAP Balok'!S$11)</f>
        <v>0</v>
      </c>
      <c r="T235" s="283">
        <f>SUMIFS('Besi Balok'!$AA$23:$AA$7253,'Besi Balok'!$A$23:$A$7253,$A235,'Besi Balok'!$B$23:$B$7253,$B235,'Besi Balok'!$F$23:$F$7253,'REKAP Balok'!T$11)</f>
        <v>0</v>
      </c>
      <c r="U235" s="284">
        <f t="shared" si="62"/>
        <v>118.60817607</v>
      </c>
      <c r="V235" s="285">
        <f t="shared" si="63"/>
        <v>1.0895625</v>
      </c>
      <c r="W235" s="282">
        <f t="shared" si="64"/>
        <v>11.13775</v>
      </c>
      <c r="X235" s="282"/>
      <c r="Y235" s="282"/>
      <c r="Z235" s="283"/>
      <c r="AC235" s="1784">
        <f t="shared" si="65"/>
        <v>1.9612125</v>
      </c>
    </row>
    <row r="236" spans="1:29" hidden="1">
      <c r="A236" s="272" t="str">
        <f>'Data Panjang Balok'!A232</f>
        <v>Lantai Atap</v>
      </c>
      <c r="B236" s="273" t="str">
        <f>'Data Panjang Balok'!B232</f>
        <v>13A</v>
      </c>
      <c r="C236" s="274" t="str">
        <f>'Data Panjang Balok'!D232</f>
        <v>B2A4A-1</v>
      </c>
      <c r="D236" s="275">
        <f>IF(C236&gt;0,VLOOKUP(C236,'Detail Balok'!$C$11:$AU$140,2,FALSE),0)</f>
        <v>250</v>
      </c>
      <c r="E236" s="276" t="s">
        <v>125</v>
      </c>
      <c r="F236" s="277">
        <f>IF(C236&gt;0,VLOOKUP(C236,'Detail Balok'!$C$11:$AU$140,3,FALSE),0)</f>
        <v>450</v>
      </c>
      <c r="G236" s="278">
        <f>'Data Panjang Balok'!I232</f>
        <v>1025</v>
      </c>
      <c r="H236" s="278">
        <f>'Data Panjang Balok'!J232</f>
        <v>0</v>
      </c>
      <c r="I236" s="279">
        <v>0</v>
      </c>
      <c r="J236" s="279">
        <f t="shared" ref="J236" si="66">I236-F236/1000</f>
        <v>-0.45</v>
      </c>
      <c r="K236" s="280">
        <f>'Data Panjang Balok'!E232</f>
        <v>1</v>
      </c>
      <c r="L236" s="281">
        <f>SUMIFS('Besi Balok'!$AA$23:$AA$7253,'Besi Balok'!$A$23:$A$7253,$A236,'Besi Balok'!$B$23:$B$7253,$B236,'Besi Balok'!$F$23:$F$7253,'REKAP Balok'!L$11)</f>
        <v>0</v>
      </c>
      <c r="M236" s="282">
        <f>SUMIFS('Besi Balok'!$AA$23:$AA$7253,'Besi Balok'!$A$23:$A$7253,$A236,'Besi Balok'!$B$23:$B$7253,$B236,'Besi Balok'!$F$23:$F$7253,'REKAP Balok'!M$11)</f>
        <v>0</v>
      </c>
      <c r="N236" s="282">
        <f>SUMIFS('Besi Balok'!$AA$23:$AA$7253,'Besi Balok'!$A$23:$A$7253,$A236,'Besi Balok'!$B$23:$B$7253,$B236,'Besi Balok'!$F$23:$F$7253,'REKAP Balok'!N$11)</f>
        <v>8.3412450000000007</v>
      </c>
      <c r="O236" s="282">
        <f>SUMIFS('Besi Balok'!$AA$23:$AA$7253,'Besi Balok'!$A$23:$A$7253,$A236,'Besi Balok'!$B$23:$B$7253,$B236,'Besi Balok'!$F$23:$F$7253,'REKAP Balok'!O$11)</f>
        <v>8.3580014699999996</v>
      </c>
      <c r="P236" s="282">
        <f>SUMIFS('Besi Balok'!$AA$23:$AA$7253,'Besi Balok'!$A$23:$A$7253,$A236,'Besi Balok'!$B$23:$B$7253,$B236,'Besi Balok'!$F$23:$F$7253,'REKAP Balok'!P$11)</f>
        <v>0</v>
      </c>
      <c r="Q236" s="282">
        <f>SUMIFS('Besi Balok'!$AA$23:$AA$7253,'Besi Balok'!$A$23:$A$7253,$A236,'Besi Balok'!$B$23:$B$7253,$B236,'Besi Balok'!$F$23:$F$7253,'REKAP Balok'!Q$11)</f>
        <v>0</v>
      </c>
      <c r="R236" s="282">
        <f>SUMIFS('Besi Balok'!$AA$23:$AA$7253,'Besi Balok'!$A$23:$A$7253,$A236,'Besi Balok'!$B$23:$B$7253,$B236,'Besi Balok'!$F$23:$F$7253,'REKAP Balok'!R$11)</f>
        <v>0</v>
      </c>
      <c r="S236" s="282">
        <f>SUMIFS('Besi Balok'!$AA$23:$AA$7253,'Besi Balok'!$A$23:$A$7253,$A236,'Besi Balok'!$B$23:$B$7253,$B236,'Besi Balok'!$F$23:$F$7253,'REKAP Balok'!S$11)</f>
        <v>0</v>
      </c>
      <c r="T236" s="283">
        <f>SUMIFS('Besi Balok'!$AA$23:$AA$7253,'Besi Balok'!$A$23:$A$7253,$A236,'Besi Balok'!$B$23:$B$7253,$B236,'Besi Balok'!$F$23:$F$7253,'REKAP Balok'!T$11)</f>
        <v>0</v>
      </c>
      <c r="U236" s="284">
        <f t="shared" ref="U236" si="67">SUM(L236:T236)</f>
        <v>16.699246469999999</v>
      </c>
      <c r="V236" s="285">
        <f t="shared" ref="V236" si="68">(D236*(F236-H236)*G236*K236)/1000000000</f>
        <v>0.1153125</v>
      </c>
      <c r="W236" s="282">
        <f t="shared" ref="W236" si="69">(((F236-H236)*2+IF(H236&gt;0,0,D236))*(G236)*K236)/1000000</f>
        <v>1.17875</v>
      </c>
      <c r="X236" s="282"/>
      <c r="Y236" s="282"/>
      <c r="Z236" s="283"/>
      <c r="AC236" s="1784">
        <f t="shared" ref="AC236" si="70">(D236+2*$F$5)*F236*G236/1000000000</f>
        <v>0.20756250000000001</v>
      </c>
    </row>
    <row r="237" spans="1:29" hidden="1">
      <c r="A237" s="272" t="str">
        <f>'Data Panjang Balok'!A233</f>
        <v>Lantai Atap</v>
      </c>
      <c r="B237" s="273">
        <f>'Data Panjang Balok'!B233</f>
        <v>14</v>
      </c>
      <c r="C237" s="274" t="str">
        <f>'Data Panjang Balok'!D233</f>
        <v>B24-1</v>
      </c>
      <c r="D237" s="275">
        <f>IF(C237&gt;0,VLOOKUP(C237,'Detail Balok'!$C$11:$AU$140,2,FALSE),0)</f>
        <v>200</v>
      </c>
      <c r="E237" s="276" t="s">
        <v>125</v>
      </c>
      <c r="F237" s="277">
        <f>IF(C237&gt;0,VLOOKUP(C237,'Detail Balok'!$C$11:$AU$140,3,FALSE),0)</f>
        <v>400</v>
      </c>
      <c r="G237" s="278">
        <f>'Data Panjang Balok'!I233</f>
        <v>5150</v>
      </c>
      <c r="H237" s="278">
        <f>'Data Panjang Balok'!J233</f>
        <v>0</v>
      </c>
      <c r="I237" s="279">
        <v>0</v>
      </c>
      <c r="J237" s="279">
        <f t="shared" si="61"/>
        <v>-0.4</v>
      </c>
      <c r="K237" s="280">
        <f>'Data Panjang Balok'!E233</f>
        <v>1</v>
      </c>
      <c r="L237" s="281">
        <f>SUMIFS('Besi Balok'!$AA$23:$AA$7253,'Besi Balok'!$A$23:$A$7253,$A237,'Besi Balok'!$B$23:$B$7253,$B237,'Besi Balok'!$F$23:$F$7253,'REKAP Balok'!L$11)</f>
        <v>0</v>
      </c>
      <c r="M237" s="282">
        <f>SUMIFS('Besi Balok'!$AA$23:$AA$7253,'Besi Balok'!$A$23:$A$7253,$A237,'Besi Balok'!$B$23:$B$7253,$B237,'Besi Balok'!$F$23:$F$7253,'REKAP Balok'!M$11)</f>
        <v>0</v>
      </c>
      <c r="N237" s="282">
        <f>SUMIFS('Besi Balok'!$AA$23:$AA$7253,'Besi Balok'!$A$23:$A$7253,$A237,'Besi Balok'!$B$23:$B$7253,$B237,'Besi Balok'!$F$23:$F$7253,'REKAP Balok'!N$11)</f>
        <v>26.034795000000003</v>
      </c>
      <c r="O237" s="282">
        <f>SUMIFS('Besi Balok'!$AA$23:$AA$7253,'Besi Balok'!$A$23:$A$7253,$A237,'Besi Balok'!$B$23:$B$7253,$B237,'Besi Balok'!$F$23:$F$7253,'REKAP Balok'!O$11)</f>
        <v>34.144655220000004</v>
      </c>
      <c r="P237" s="282">
        <f>SUMIFS('Besi Balok'!$AA$23:$AA$7253,'Besi Balok'!$A$23:$A$7253,$A237,'Besi Balok'!$B$23:$B$7253,$B237,'Besi Balok'!$F$23:$F$7253,'REKAP Balok'!P$11)</f>
        <v>0</v>
      </c>
      <c r="Q237" s="282">
        <f>SUMIFS('Besi Balok'!$AA$23:$AA$7253,'Besi Balok'!$A$23:$A$7253,$A237,'Besi Balok'!$B$23:$B$7253,$B237,'Besi Balok'!$F$23:$F$7253,'REKAP Balok'!Q$11)</f>
        <v>0</v>
      </c>
      <c r="R237" s="282">
        <f>SUMIFS('Besi Balok'!$AA$23:$AA$7253,'Besi Balok'!$A$23:$A$7253,$A237,'Besi Balok'!$B$23:$B$7253,$B237,'Besi Balok'!$F$23:$F$7253,'REKAP Balok'!R$11)</f>
        <v>0</v>
      </c>
      <c r="S237" s="282">
        <f>SUMIFS('Besi Balok'!$AA$23:$AA$7253,'Besi Balok'!$A$23:$A$7253,$A237,'Besi Balok'!$B$23:$B$7253,$B237,'Besi Balok'!$F$23:$F$7253,'REKAP Balok'!S$11)</f>
        <v>0</v>
      </c>
      <c r="T237" s="283">
        <f>SUMIFS('Besi Balok'!$AA$23:$AA$7253,'Besi Balok'!$A$23:$A$7253,$A237,'Besi Balok'!$B$23:$B$7253,$B237,'Besi Balok'!$F$23:$F$7253,'REKAP Balok'!T$11)</f>
        <v>0</v>
      </c>
      <c r="U237" s="284">
        <f t="shared" si="62"/>
        <v>60.179450220000007</v>
      </c>
      <c r="V237" s="285">
        <f t="shared" si="63"/>
        <v>0.41199999999999998</v>
      </c>
      <c r="W237" s="282">
        <f t="shared" si="64"/>
        <v>5.15</v>
      </c>
      <c r="X237" s="282"/>
      <c r="Y237" s="282"/>
      <c r="Z237" s="283"/>
      <c r="AC237" s="1784">
        <f t="shared" si="65"/>
        <v>0.82399999999999995</v>
      </c>
    </row>
    <row r="238" spans="1:29" hidden="1">
      <c r="A238" s="272" t="str">
        <f>'Data Panjang Balok'!A234</f>
        <v>Lantai Atap</v>
      </c>
      <c r="B238" s="273">
        <f>'Data Panjang Balok'!B234</f>
        <v>15</v>
      </c>
      <c r="C238" s="274" t="str">
        <f>'Data Panjang Balok'!D234</f>
        <v>B5-1</v>
      </c>
      <c r="D238" s="275">
        <f>IF(C238&gt;0,VLOOKUP(C238,'Detail Balok'!$C$11:$AU$140,2,FALSE),0)</f>
        <v>130</v>
      </c>
      <c r="E238" s="276" t="s">
        <v>125</v>
      </c>
      <c r="F238" s="277">
        <f>IF(C238&gt;0,VLOOKUP(C238,'Detail Balok'!$C$11:$AU$140,3,FALSE),0)</f>
        <v>500</v>
      </c>
      <c r="G238" s="278">
        <f>'Data Panjang Balok'!I234</f>
        <v>6150</v>
      </c>
      <c r="H238" s="278">
        <f>'Data Panjang Balok'!J234</f>
        <v>0</v>
      </c>
      <c r="I238" s="279">
        <v>0</v>
      </c>
      <c r="J238" s="279">
        <f t="shared" si="61"/>
        <v>-0.5</v>
      </c>
      <c r="K238" s="280">
        <f>'Data Panjang Balok'!E234</f>
        <v>1</v>
      </c>
      <c r="L238" s="281">
        <f>SUMIFS('Besi Balok'!$AA$23:$AA$7253,'Besi Balok'!$A$23:$A$7253,$A238,'Besi Balok'!$B$23:$B$7253,$B238,'Besi Balok'!$F$23:$F$7253,'REKAP Balok'!L$11)</f>
        <v>0</v>
      </c>
      <c r="M238" s="282">
        <f>SUMIFS('Besi Balok'!$AA$23:$AA$7253,'Besi Balok'!$A$23:$A$7253,$A238,'Besi Balok'!$B$23:$B$7253,$B238,'Besi Balok'!$F$23:$F$7253,'REKAP Balok'!M$11)</f>
        <v>15.912604799999999</v>
      </c>
      <c r="N238" s="282">
        <f>SUMIFS('Besi Balok'!$AA$23:$AA$7253,'Besi Balok'!$A$23:$A$7253,$A238,'Besi Balok'!$B$23:$B$7253,$B238,'Besi Balok'!$F$23:$F$7253,'REKAP Balok'!N$11)</f>
        <v>7.8788700000000009</v>
      </c>
      <c r="O238" s="282">
        <f>SUMIFS('Besi Balok'!$AA$23:$AA$7253,'Besi Balok'!$A$23:$A$7253,$A238,'Besi Balok'!$B$23:$B$7253,$B238,'Besi Balok'!$F$23:$F$7253,'REKAP Balok'!O$11)</f>
        <v>40.395965220000001</v>
      </c>
      <c r="P238" s="282">
        <f>SUMIFS('Besi Balok'!$AA$23:$AA$7253,'Besi Balok'!$A$23:$A$7253,$A238,'Besi Balok'!$B$23:$B$7253,$B238,'Besi Balok'!$F$23:$F$7253,'REKAP Balok'!P$11)</f>
        <v>0</v>
      </c>
      <c r="Q238" s="282">
        <f>SUMIFS('Besi Balok'!$AA$23:$AA$7253,'Besi Balok'!$A$23:$A$7253,$A238,'Besi Balok'!$B$23:$B$7253,$B238,'Besi Balok'!$F$23:$F$7253,'REKAP Balok'!Q$11)</f>
        <v>0</v>
      </c>
      <c r="R238" s="282">
        <f>SUMIFS('Besi Balok'!$AA$23:$AA$7253,'Besi Balok'!$A$23:$A$7253,$A238,'Besi Balok'!$B$23:$B$7253,$B238,'Besi Balok'!$F$23:$F$7253,'REKAP Balok'!R$11)</f>
        <v>0</v>
      </c>
      <c r="S238" s="282">
        <f>SUMIFS('Besi Balok'!$AA$23:$AA$7253,'Besi Balok'!$A$23:$A$7253,$A238,'Besi Balok'!$B$23:$B$7253,$B238,'Besi Balok'!$F$23:$F$7253,'REKAP Balok'!S$11)</f>
        <v>0</v>
      </c>
      <c r="T238" s="283">
        <f>SUMIFS('Besi Balok'!$AA$23:$AA$7253,'Besi Balok'!$A$23:$A$7253,$A238,'Besi Balok'!$B$23:$B$7253,$B238,'Besi Balok'!$F$23:$F$7253,'REKAP Balok'!T$11)</f>
        <v>0</v>
      </c>
      <c r="U238" s="284">
        <f t="shared" si="62"/>
        <v>64.187440019999997</v>
      </c>
      <c r="V238" s="285">
        <f t="shared" si="63"/>
        <v>0.39974999999999999</v>
      </c>
      <c r="W238" s="282">
        <f t="shared" si="64"/>
        <v>6.9494999999999996</v>
      </c>
      <c r="X238" s="282"/>
      <c r="Y238" s="282"/>
      <c r="Z238" s="283"/>
      <c r="AC238" s="1784">
        <f t="shared" si="65"/>
        <v>1.01475</v>
      </c>
    </row>
    <row r="239" spans="1:29" hidden="1">
      <c r="A239" s="272" t="str">
        <f>'Data Panjang Balok'!A235</f>
        <v>Lantai Atap</v>
      </c>
      <c r="B239" s="273">
        <f>'Data Panjang Balok'!B235</f>
        <v>16</v>
      </c>
      <c r="C239" s="274" t="str">
        <f>'Data Panjang Balok'!D235</f>
        <v>B4-1</v>
      </c>
      <c r="D239" s="275">
        <f>IF(C239&gt;0,VLOOKUP(C239,'Detail Balok'!$C$11:$AU$140,2,FALSE),0)</f>
        <v>130</v>
      </c>
      <c r="E239" s="276" t="s">
        <v>125</v>
      </c>
      <c r="F239" s="277">
        <f>IF(C239&gt;0,VLOOKUP(C239,'Detail Balok'!$C$11:$AU$140,3,FALSE),0)</f>
        <v>400</v>
      </c>
      <c r="G239" s="278">
        <f>'Data Panjang Balok'!I235</f>
        <v>2425</v>
      </c>
      <c r="H239" s="278">
        <f>'Data Panjang Balok'!J235</f>
        <v>0</v>
      </c>
      <c r="I239" s="279">
        <v>0</v>
      </c>
      <c r="J239" s="279">
        <f t="shared" si="61"/>
        <v>-0.4</v>
      </c>
      <c r="K239" s="280">
        <f>'Data Panjang Balok'!E235</f>
        <v>1</v>
      </c>
      <c r="L239" s="281">
        <f>SUMIFS('Besi Balok'!$AA$23:$AA$7253,'Besi Balok'!$A$23:$A$7253,$A239,'Besi Balok'!$B$23:$B$7253,$B239,'Besi Balok'!$F$23:$F$7253,'REKAP Balok'!L$11)</f>
        <v>0</v>
      </c>
      <c r="M239" s="282">
        <f>SUMIFS('Besi Balok'!$AA$23:$AA$7253,'Besi Balok'!$A$23:$A$7253,$A239,'Besi Balok'!$B$23:$B$7253,$B239,'Besi Balok'!$F$23:$F$7253,'REKAP Balok'!M$11)</f>
        <v>5.6185343999999997</v>
      </c>
      <c r="N239" s="282">
        <f>SUMIFS('Besi Balok'!$AA$23:$AA$7253,'Besi Balok'!$A$23:$A$7253,$A239,'Besi Balok'!$B$23:$B$7253,$B239,'Besi Balok'!$F$23:$F$7253,'REKAP Balok'!N$11)</f>
        <v>0</v>
      </c>
      <c r="O239" s="282">
        <f>SUMIFS('Besi Balok'!$AA$23:$AA$7253,'Besi Balok'!$A$23:$A$7253,$A239,'Besi Balok'!$B$23:$B$7253,$B239,'Besi Balok'!$F$23:$F$7253,'REKAP Balok'!O$11)</f>
        <v>11.406556979999998</v>
      </c>
      <c r="P239" s="282">
        <f>SUMIFS('Besi Balok'!$AA$23:$AA$7253,'Besi Balok'!$A$23:$A$7253,$A239,'Besi Balok'!$B$23:$B$7253,$B239,'Besi Balok'!$F$23:$F$7253,'REKAP Balok'!P$11)</f>
        <v>0</v>
      </c>
      <c r="Q239" s="282">
        <f>SUMIFS('Besi Balok'!$AA$23:$AA$7253,'Besi Balok'!$A$23:$A$7253,$A239,'Besi Balok'!$B$23:$B$7253,$B239,'Besi Balok'!$F$23:$F$7253,'REKAP Balok'!Q$11)</f>
        <v>0</v>
      </c>
      <c r="R239" s="282">
        <f>SUMIFS('Besi Balok'!$AA$23:$AA$7253,'Besi Balok'!$A$23:$A$7253,$A239,'Besi Balok'!$B$23:$B$7253,$B239,'Besi Balok'!$F$23:$F$7253,'REKAP Balok'!R$11)</f>
        <v>0</v>
      </c>
      <c r="S239" s="282">
        <f>SUMIFS('Besi Balok'!$AA$23:$AA$7253,'Besi Balok'!$A$23:$A$7253,$A239,'Besi Balok'!$B$23:$B$7253,$B239,'Besi Balok'!$F$23:$F$7253,'REKAP Balok'!S$11)</f>
        <v>0</v>
      </c>
      <c r="T239" s="283">
        <f>SUMIFS('Besi Balok'!$AA$23:$AA$7253,'Besi Balok'!$A$23:$A$7253,$A239,'Besi Balok'!$B$23:$B$7253,$B239,'Besi Balok'!$F$23:$F$7253,'REKAP Balok'!T$11)</f>
        <v>0</v>
      </c>
      <c r="U239" s="284">
        <f t="shared" si="62"/>
        <v>17.025091379999999</v>
      </c>
      <c r="V239" s="285">
        <f t="shared" si="63"/>
        <v>0.12609999999999999</v>
      </c>
      <c r="W239" s="282">
        <f t="shared" si="64"/>
        <v>2.2552500000000002</v>
      </c>
      <c r="X239" s="282"/>
      <c r="Y239" s="282"/>
      <c r="Z239" s="283"/>
      <c r="AC239" s="1784">
        <f t="shared" si="65"/>
        <v>0.3201</v>
      </c>
    </row>
    <row r="240" spans="1:29" hidden="1">
      <c r="A240" s="272" t="str">
        <f>'Data Panjang Balok'!A236</f>
        <v>Lantai Atap</v>
      </c>
      <c r="B240" s="273">
        <f>'Data Panjang Balok'!B236</f>
        <v>17</v>
      </c>
      <c r="C240" s="274" t="str">
        <f>'Data Panjang Balok'!D236</f>
        <v>B5-1</v>
      </c>
      <c r="D240" s="275">
        <f>IF(C240&gt;0,VLOOKUP(C240,'Detail Balok'!$C$11:$AU$140,2,FALSE),0)</f>
        <v>130</v>
      </c>
      <c r="E240" s="276" t="s">
        <v>125</v>
      </c>
      <c r="F240" s="277">
        <f>IF(C240&gt;0,VLOOKUP(C240,'Detail Balok'!$C$11:$AU$140,3,FALSE),0)</f>
        <v>500</v>
      </c>
      <c r="G240" s="278">
        <f>'Data Panjang Balok'!I236</f>
        <v>11525</v>
      </c>
      <c r="H240" s="278">
        <f>'Data Panjang Balok'!J236</f>
        <v>75</v>
      </c>
      <c r="I240" s="279">
        <v>0</v>
      </c>
      <c r="J240" s="279">
        <f t="shared" si="61"/>
        <v>-0.5</v>
      </c>
      <c r="K240" s="280">
        <f>'Data Panjang Balok'!E236</f>
        <v>1</v>
      </c>
      <c r="L240" s="281">
        <f>SUMIFS('Besi Balok'!$AA$23:$AA$7253,'Besi Balok'!$A$23:$A$7253,$A240,'Besi Balok'!$B$23:$B$7253,$B240,'Besi Balok'!$F$23:$F$7253,'REKAP Balok'!L$11)</f>
        <v>0</v>
      </c>
      <c r="M240" s="282">
        <f>SUMIFS('Besi Balok'!$AA$23:$AA$7253,'Besi Balok'!$A$23:$A$7253,$A240,'Besi Balok'!$B$23:$B$7253,$B240,'Besi Balok'!$F$23:$F$7253,'REKAP Balok'!M$11)</f>
        <v>29.674857599999996</v>
      </c>
      <c r="N240" s="282">
        <f>SUMIFS('Besi Balok'!$AA$23:$AA$7253,'Besi Balok'!$A$23:$A$7253,$A240,'Besi Balok'!$B$23:$B$7253,$B240,'Besi Balok'!$F$23:$F$7253,'REKAP Balok'!N$11)</f>
        <v>14.506245000000002</v>
      </c>
      <c r="O240" s="282">
        <f>SUMIFS('Besi Balok'!$AA$23:$AA$7253,'Besi Balok'!$A$23:$A$7253,$A240,'Besi Balok'!$B$23:$B$7253,$B240,'Besi Balok'!$F$23:$F$7253,'REKAP Balok'!O$11)</f>
        <v>73.996756469999994</v>
      </c>
      <c r="P240" s="282">
        <f>SUMIFS('Besi Balok'!$AA$23:$AA$7253,'Besi Balok'!$A$23:$A$7253,$A240,'Besi Balok'!$B$23:$B$7253,$B240,'Besi Balok'!$F$23:$F$7253,'REKAP Balok'!P$11)</f>
        <v>0</v>
      </c>
      <c r="Q240" s="282">
        <f>SUMIFS('Besi Balok'!$AA$23:$AA$7253,'Besi Balok'!$A$23:$A$7253,$A240,'Besi Balok'!$B$23:$B$7253,$B240,'Besi Balok'!$F$23:$F$7253,'REKAP Balok'!Q$11)</f>
        <v>0</v>
      </c>
      <c r="R240" s="282">
        <f>SUMIFS('Besi Balok'!$AA$23:$AA$7253,'Besi Balok'!$A$23:$A$7253,$A240,'Besi Balok'!$B$23:$B$7253,$B240,'Besi Balok'!$F$23:$F$7253,'REKAP Balok'!R$11)</f>
        <v>0</v>
      </c>
      <c r="S240" s="282">
        <f>SUMIFS('Besi Balok'!$AA$23:$AA$7253,'Besi Balok'!$A$23:$A$7253,$A240,'Besi Balok'!$B$23:$B$7253,$B240,'Besi Balok'!$F$23:$F$7253,'REKAP Balok'!S$11)</f>
        <v>0</v>
      </c>
      <c r="T240" s="283">
        <f>SUMIFS('Besi Balok'!$AA$23:$AA$7253,'Besi Balok'!$A$23:$A$7253,$A240,'Besi Balok'!$B$23:$B$7253,$B240,'Besi Balok'!$F$23:$F$7253,'REKAP Balok'!T$11)</f>
        <v>0</v>
      </c>
      <c r="U240" s="284">
        <f t="shared" si="62"/>
        <v>118.17785906999998</v>
      </c>
      <c r="V240" s="285">
        <f t="shared" si="63"/>
        <v>0.63675625000000002</v>
      </c>
      <c r="W240" s="282">
        <f t="shared" si="64"/>
        <v>9.7962500000000006</v>
      </c>
      <c r="X240" s="282"/>
      <c r="Y240" s="282"/>
      <c r="Z240" s="283"/>
      <c r="AC240" s="1784">
        <f t="shared" si="65"/>
        <v>1.9016249999999999</v>
      </c>
    </row>
    <row r="241" spans="1:29" hidden="1">
      <c r="A241" s="272" t="str">
        <f>'Data Panjang Balok'!A237</f>
        <v>Lantai Atap</v>
      </c>
      <c r="B241" s="273">
        <f>'Data Panjang Balok'!B237</f>
        <v>18</v>
      </c>
      <c r="C241" s="274" t="str">
        <f>'Data Panjang Balok'!D237</f>
        <v>B24-1</v>
      </c>
      <c r="D241" s="275">
        <f>IF(C241&gt;0,VLOOKUP(C241,'Detail Balok'!$C$11:$AU$140,2,FALSE),0)</f>
        <v>200</v>
      </c>
      <c r="E241" s="276" t="s">
        <v>125</v>
      </c>
      <c r="F241" s="277">
        <f>IF(C241&gt;0,VLOOKUP(C241,'Detail Balok'!$C$11:$AU$140,3,FALSE),0)</f>
        <v>400</v>
      </c>
      <c r="G241" s="278">
        <f>'Data Panjang Balok'!I237</f>
        <v>13650</v>
      </c>
      <c r="H241" s="278">
        <f>'Data Panjang Balok'!J237</f>
        <v>0</v>
      </c>
      <c r="I241" s="279">
        <v>0</v>
      </c>
      <c r="J241" s="279">
        <f t="shared" si="61"/>
        <v>-0.4</v>
      </c>
      <c r="K241" s="280">
        <f>'Data Panjang Balok'!E237</f>
        <v>1</v>
      </c>
      <c r="L241" s="281">
        <f>SUMIFS('Besi Balok'!$AA$23:$AA$7253,'Besi Balok'!$A$23:$A$7253,$A241,'Besi Balok'!$B$23:$B$7253,$B241,'Besi Balok'!$F$23:$F$7253,'REKAP Balok'!L$11)</f>
        <v>0</v>
      </c>
      <c r="M241" s="282">
        <f>SUMIFS('Besi Balok'!$AA$23:$AA$7253,'Besi Balok'!$A$23:$A$7253,$A241,'Besi Balok'!$B$23:$B$7253,$B241,'Besi Balok'!$F$23:$F$7253,'REKAP Balok'!M$11)</f>
        <v>0</v>
      </c>
      <c r="N241" s="282">
        <f>SUMIFS('Besi Balok'!$AA$23:$AA$7253,'Besi Balok'!$A$23:$A$7253,$A241,'Besi Balok'!$B$23:$B$7253,$B241,'Besi Balok'!$F$23:$F$7253,'REKAP Balok'!N$11)</f>
        <v>66.039479999999998</v>
      </c>
      <c r="O241" s="282">
        <f>SUMIFS('Besi Balok'!$AA$23:$AA$7253,'Besi Balok'!$A$23:$A$7253,$A241,'Besi Balok'!$B$23:$B$7253,$B241,'Besi Balok'!$F$23:$F$7253,'REKAP Balok'!O$11)</f>
        <v>87.284853571499994</v>
      </c>
      <c r="P241" s="282">
        <f>SUMIFS('Besi Balok'!$AA$23:$AA$7253,'Besi Balok'!$A$23:$A$7253,$A241,'Besi Balok'!$B$23:$B$7253,$B241,'Besi Balok'!$F$23:$F$7253,'REKAP Balok'!P$11)</f>
        <v>0</v>
      </c>
      <c r="Q241" s="282">
        <f>SUMIFS('Besi Balok'!$AA$23:$AA$7253,'Besi Balok'!$A$23:$A$7253,$A241,'Besi Balok'!$B$23:$B$7253,$B241,'Besi Balok'!$F$23:$F$7253,'REKAP Balok'!Q$11)</f>
        <v>0</v>
      </c>
      <c r="R241" s="282">
        <f>SUMIFS('Besi Balok'!$AA$23:$AA$7253,'Besi Balok'!$A$23:$A$7253,$A241,'Besi Balok'!$B$23:$B$7253,$B241,'Besi Balok'!$F$23:$F$7253,'REKAP Balok'!R$11)</f>
        <v>0</v>
      </c>
      <c r="S241" s="282">
        <f>SUMIFS('Besi Balok'!$AA$23:$AA$7253,'Besi Balok'!$A$23:$A$7253,$A241,'Besi Balok'!$B$23:$B$7253,$B241,'Besi Balok'!$F$23:$F$7253,'REKAP Balok'!S$11)</f>
        <v>0</v>
      </c>
      <c r="T241" s="283">
        <f>SUMIFS('Besi Balok'!$AA$23:$AA$7253,'Besi Balok'!$A$23:$A$7253,$A241,'Besi Balok'!$B$23:$B$7253,$B241,'Besi Balok'!$F$23:$F$7253,'REKAP Balok'!T$11)</f>
        <v>0</v>
      </c>
      <c r="U241" s="284">
        <f t="shared" si="62"/>
        <v>153.32433357150001</v>
      </c>
      <c r="V241" s="285">
        <f t="shared" si="63"/>
        <v>1.0920000000000001</v>
      </c>
      <c r="W241" s="282">
        <f t="shared" si="64"/>
        <v>13.65</v>
      </c>
      <c r="X241" s="282"/>
      <c r="Y241" s="282"/>
      <c r="Z241" s="283"/>
      <c r="AC241" s="1784">
        <f t="shared" si="65"/>
        <v>2.1840000000000002</v>
      </c>
    </row>
    <row r="242" spans="1:29" hidden="1">
      <c r="A242" s="272" t="str">
        <f>'Data Panjang Balok'!A238</f>
        <v>Lantai Atap</v>
      </c>
      <c r="B242" s="273">
        <f>'Data Panjang Balok'!B238</f>
        <v>19</v>
      </c>
      <c r="C242" s="274" t="str">
        <f>'Data Panjang Balok'!D238</f>
        <v>B2A4A-1</v>
      </c>
      <c r="D242" s="275">
        <f>IF(C242&gt;0,VLOOKUP(C242,'Detail Balok'!$C$11:$AU$140,2,FALSE),0)</f>
        <v>250</v>
      </c>
      <c r="E242" s="276" t="s">
        <v>125</v>
      </c>
      <c r="F242" s="277">
        <f>IF(C242&gt;0,VLOOKUP(C242,'Detail Balok'!$C$11:$AU$140,3,FALSE),0)</f>
        <v>450</v>
      </c>
      <c r="G242" s="278">
        <f>'Data Panjang Balok'!I238</f>
        <v>4685</v>
      </c>
      <c r="H242" s="278">
        <f>'Data Panjang Balok'!J238</f>
        <v>0</v>
      </c>
      <c r="I242" s="279">
        <v>0</v>
      </c>
      <c r="J242" s="279">
        <f t="shared" si="61"/>
        <v>-0.45</v>
      </c>
      <c r="K242" s="280">
        <f>'Data Panjang Balok'!E238</f>
        <v>1</v>
      </c>
      <c r="L242" s="281">
        <f>SUMIFS('Besi Balok'!$AA$23:$AA$7253,'Besi Balok'!$A$23:$A$7253,$A242,'Besi Balok'!$B$23:$B$7253,$B242,'Besi Balok'!$F$23:$F$7253,'REKAP Balok'!L$11)</f>
        <v>0</v>
      </c>
      <c r="M242" s="282">
        <f>SUMIFS('Besi Balok'!$AA$23:$AA$7253,'Besi Balok'!$A$23:$A$7253,$A242,'Besi Balok'!$B$23:$B$7253,$B242,'Besi Balok'!$F$23:$F$7253,'REKAP Balok'!M$11)</f>
        <v>0</v>
      </c>
      <c r="N242" s="282">
        <f>SUMIFS('Besi Balok'!$AA$23:$AA$7253,'Besi Balok'!$A$23:$A$7253,$A242,'Besi Balok'!$B$23:$B$7253,$B242,'Besi Balok'!$F$23:$F$7253,'REKAP Balok'!N$11)</f>
        <v>28.815210000000004</v>
      </c>
      <c r="O242" s="282">
        <f>SUMIFS('Besi Balok'!$AA$23:$AA$7253,'Besi Balok'!$A$23:$A$7253,$A242,'Besi Balok'!$B$23:$B$7253,$B242,'Besi Balok'!$F$23:$F$7253,'REKAP Balok'!O$11)</f>
        <v>31.237796069999998</v>
      </c>
      <c r="P242" s="282">
        <f>SUMIFS('Besi Balok'!$AA$23:$AA$7253,'Besi Balok'!$A$23:$A$7253,$A242,'Besi Balok'!$B$23:$B$7253,$B242,'Besi Balok'!$F$23:$F$7253,'REKAP Balok'!P$11)</f>
        <v>0</v>
      </c>
      <c r="Q242" s="282">
        <f>SUMIFS('Besi Balok'!$AA$23:$AA$7253,'Besi Balok'!$A$23:$A$7253,$A242,'Besi Balok'!$B$23:$B$7253,$B242,'Besi Balok'!$F$23:$F$7253,'REKAP Balok'!Q$11)</f>
        <v>0</v>
      </c>
      <c r="R242" s="282">
        <f>SUMIFS('Besi Balok'!$AA$23:$AA$7253,'Besi Balok'!$A$23:$A$7253,$A242,'Besi Balok'!$B$23:$B$7253,$B242,'Besi Balok'!$F$23:$F$7253,'REKAP Balok'!R$11)</f>
        <v>0</v>
      </c>
      <c r="S242" s="282">
        <f>SUMIFS('Besi Balok'!$AA$23:$AA$7253,'Besi Balok'!$A$23:$A$7253,$A242,'Besi Balok'!$B$23:$B$7253,$B242,'Besi Balok'!$F$23:$F$7253,'REKAP Balok'!S$11)</f>
        <v>0</v>
      </c>
      <c r="T242" s="283">
        <f>SUMIFS('Besi Balok'!$AA$23:$AA$7253,'Besi Balok'!$A$23:$A$7253,$A242,'Besi Balok'!$B$23:$B$7253,$B242,'Besi Balok'!$F$23:$F$7253,'REKAP Balok'!T$11)</f>
        <v>0</v>
      </c>
      <c r="U242" s="284">
        <f t="shared" si="62"/>
        <v>60.053006070000002</v>
      </c>
      <c r="V242" s="285">
        <f t="shared" si="63"/>
        <v>0.52706249999999999</v>
      </c>
      <c r="W242" s="282">
        <f t="shared" si="64"/>
        <v>5.3877499999999996</v>
      </c>
      <c r="X242" s="282"/>
      <c r="Y242" s="282"/>
      <c r="Z242" s="283"/>
      <c r="AC242" s="1784">
        <f t="shared" si="65"/>
        <v>0.94871249999999996</v>
      </c>
    </row>
    <row r="243" spans="1:29" hidden="1">
      <c r="A243" s="272" t="str">
        <f>'Data Panjang Balok'!A239</f>
        <v>Lantai Atap</v>
      </c>
      <c r="B243" s="273">
        <f>'Data Panjang Balok'!B239</f>
        <v>20</v>
      </c>
      <c r="C243" s="274" t="str">
        <f>'Data Panjang Balok'!D239</f>
        <v>B24-1</v>
      </c>
      <c r="D243" s="275">
        <f>IF(C243&gt;0,VLOOKUP(C243,'Detail Balok'!$C$11:$AU$140,2,FALSE),0)</f>
        <v>200</v>
      </c>
      <c r="E243" s="276" t="s">
        <v>125</v>
      </c>
      <c r="F243" s="277">
        <f>IF(C243&gt;0,VLOOKUP(C243,'Detail Balok'!$C$11:$AU$140,3,FALSE),0)</f>
        <v>400</v>
      </c>
      <c r="G243" s="278">
        <f>'Data Panjang Balok'!I239</f>
        <v>9610</v>
      </c>
      <c r="H243" s="278">
        <f>'Data Panjang Balok'!J239</f>
        <v>0</v>
      </c>
      <c r="I243" s="279">
        <v>0</v>
      </c>
      <c r="J243" s="279">
        <f t="shared" si="61"/>
        <v>-0.4</v>
      </c>
      <c r="K243" s="280">
        <f>'Data Panjang Balok'!E239</f>
        <v>1</v>
      </c>
      <c r="L243" s="281">
        <f>SUMIFS('Besi Balok'!$AA$23:$AA$7253,'Besi Balok'!$A$23:$A$7253,$A243,'Besi Balok'!$B$23:$B$7253,$B243,'Besi Balok'!$F$23:$F$7253,'REKAP Balok'!L$11)</f>
        <v>0</v>
      </c>
      <c r="M243" s="282">
        <f>SUMIFS('Besi Balok'!$AA$23:$AA$7253,'Besi Balok'!$A$23:$A$7253,$A243,'Besi Balok'!$B$23:$B$7253,$B243,'Besi Balok'!$F$23:$F$7253,'REKAP Balok'!M$11)</f>
        <v>0</v>
      </c>
      <c r="N243" s="282">
        <f>SUMIFS('Besi Balok'!$AA$23:$AA$7253,'Besi Balok'!$A$23:$A$7253,$A243,'Besi Balok'!$B$23:$B$7253,$B243,'Besi Balok'!$F$23:$F$7253,'REKAP Balok'!N$11)</f>
        <v>46.989630000000005</v>
      </c>
      <c r="O243" s="282">
        <f>SUMIFS('Besi Balok'!$AA$23:$AA$7253,'Besi Balok'!$A$23:$A$7253,$A243,'Besi Balok'!$B$23:$B$7253,$B243,'Besi Balok'!$F$23:$F$7253,'REKAP Balok'!O$11)</f>
        <v>62.025497819999998</v>
      </c>
      <c r="P243" s="282">
        <f>SUMIFS('Besi Balok'!$AA$23:$AA$7253,'Besi Balok'!$A$23:$A$7253,$A243,'Besi Balok'!$B$23:$B$7253,$B243,'Besi Balok'!$F$23:$F$7253,'REKAP Balok'!P$11)</f>
        <v>0</v>
      </c>
      <c r="Q243" s="282">
        <f>SUMIFS('Besi Balok'!$AA$23:$AA$7253,'Besi Balok'!$A$23:$A$7253,$A243,'Besi Balok'!$B$23:$B$7253,$B243,'Besi Balok'!$F$23:$F$7253,'REKAP Balok'!Q$11)</f>
        <v>0</v>
      </c>
      <c r="R243" s="282">
        <f>SUMIFS('Besi Balok'!$AA$23:$AA$7253,'Besi Balok'!$A$23:$A$7253,$A243,'Besi Balok'!$B$23:$B$7253,$B243,'Besi Balok'!$F$23:$F$7253,'REKAP Balok'!R$11)</f>
        <v>0</v>
      </c>
      <c r="S243" s="282">
        <f>SUMIFS('Besi Balok'!$AA$23:$AA$7253,'Besi Balok'!$A$23:$A$7253,$A243,'Besi Balok'!$B$23:$B$7253,$B243,'Besi Balok'!$F$23:$F$7253,'REKAP Balok'!S$11)</f>
        <v>0</v>
      </c>
      <c r="T243" s="283">
        <f>SUMIFS('Besi Balok'!$AA$23:$AA$7253,'Besi Balok'!$A$23:$A$7253,$A243,'Besi Balok'!$B$23:$B$7253,$B243,'Besi Balok'!$F$23:$F$7253,'REKAP Balok'!T$11)</f>
        <v>0</v>
      </c>
      <c r="U243" s="284">
        <f t="shared" si="62"/>
        <v>109.01512782</v>
      </c>
      <c r="V243" s="285">
        <f t="shared" si="63"/>
        <v>0.76880000000000004</v>
      </c>
      <c r="W243" s="282">
        <f t="shared" si="64"/>
        <v>9.61</v>
      </c>
      <c r="X243" s="282"/>
      <c r="Y243" s="282"/>
      <c r="Z243" s="283"/>
      <c r="AC243" s="1784">
        <f t="shared" si="65"/>
        <v>1.5376000000000001</v>
      </c>
    </row>
    <row r="244" spans="1:29" hidden="1">
      <c r="A244" s="272" t="str">
        <f>'Data Panjang Balok'!A240</f>
        <v>Lantai Atap</v>
      </c>
      <c r="B244" s="273">
        <f>'Data Panjang Balok'!B240</f>
        <v>21</v>
      </c>
      <c r="C244" s="274" t="str">
        <f>'Data Panjang Balok'!D240</f>
        <v>B2A4A-1</v>
      </c>
      <c r="D244" s="275">
        <f>IF(C244&gt;0,VLOOKUP(C244,'Detail Balok'!$C$11:$AU$140,2,FALSE),0)</f>
        <v>250</v>
      </c>
      <c r="E244" s="276" t="s">
        <v>125</v>
      </c>
      <c r="F244" s="277">
        <f>IF(C244&gt;0,VLOOKUP(C244,'Detail Balok'!$C$11:$AU$140,3,FALSE),0)</f>
        <v>450</v>
      </c>
      <c r="G244" s="278">
        <f>'Data Panjang Balok'!I240</f>
        <v>5140</v>
      </c>
      <c r="H244" s="278">
        <f>'Data Panjang Balok'!J240</f>
        <v>0</v>
      </c>
      <c r="I244" s="279">
        <v>0</v>
      </c>
      <c r="J244" s="279">
        <f t="shared" si="61"/>
        <v>-0.45</v>
      </c>
      <c r="K244" s="280">
        <f>'Data Panjang Balok'!E240</f>
        <v>1</v>
      </c>
      <c r="L244" s="281">
        <f>SUMIFS('Besi Balok'!$AA$23:$AA$7253,'Besi Balok'!$A$23:$A$7253,$A244,'Besi Balok'!$B$23:$B$7253,$B244,'Besi Balok'!$F$23:$F$7253,'REKAP Balok'!L$11)</f>
        <v>0</v>
      </c>
      <c r="M244" s="282">
        <f>SUMIFS('Besi Balok'!$AA$23:$AA$7253,'Besi Balok'!$A$23:$A$7253,$A244,'Besi Balok'!$B$23:$B$7253,$B244,'Besi Balok'!$F$23:$F$7253,'REKAP Balok'!M$11)</f>
        <v>0</v>
      </c>
      <c r="N244" s="282">
        <f>SUMIFS('Besi Balok'!$AA$23:$AA$7253,'Besi Balok'!$A$23:$A$7253,$A244,'Besi Balok'!$B$23:$B$7253,$B244,'Besi Balok'!$F$23:$F$7253,'REKAP Balok'!N$11)</f>
        <v>31.090094999999998</v>
      </c>
      <c r="O244" s="282">
        <f>SUMIFS('Besi Balok'!$AA$23:$AA$7253,'Besi Balok'!$A$23:$A$7253,$A244,'Besi Balok'!$B$23:$B$7253,$B244,'Besi Balok'!$F$23:$F$7253,'REKAP Balok'!O$11)</f>
        <v>34.082142119999993</v>
      </c>
      <c r="P244" s="282">
        <f>SUMIFS('Besi Balok'!$AA$23:$AA$7253,'Besi Balok'!$A$23:$A$7253,$A244,'Besi Balok'!$B$23:$B$7253,$B244,'Besi Balok'!$F$23:$F$7253,'REKAP Balok'!P$11)</f>
        <v>0</v>
      </c>
      <c r="Q244" s="282">
        <f>SUMIFS('Besi Balok'!$AA$23:$AA$7253,'Besi Balok'!$A$23:$A$7253,$A244,'Besi Balok'!$B$23:$B$7253,$B244,'Besi Balok'!$F$23:$F$7253,'REKAP Balok'!Q$11)</f>
        <v>0</v>
      </c>
      <c r="R244" s="282">
        <f>SUMIFS('Besi Balok'!$AA$23:$AA$7253,'Besi Balok'!$A$23:$A$7253,$A244,'Besi Balok'!$B$23:$B$7253,$B244,'Besi Balok'!$F$23:$F$7253,'REKAP Balok'!R$11)</f>
        <v>0</v>
      </c>
      <c r="S244" s="282">
        <f>SUMIFS('Besi Balok'!$AA$23:$AA$7253,'Besi Balok'!$A$23:$A$7253,$A244,'Besi Balok'!$B$23:$B$7253,$B244,'Besi Balok'!$F$23:$F$7253,'REKAP Balok'!S$11)</f>
        <v>0</v>
      </c>
      <c r="T244" s="283">
        <f>SUMIFS('Besi Balok'!$AA$23:$AA$7253,'Besi Balok'!$A$23:$A$7253,$A244,'Besi Balok'!$B$23:$B$7253,$B244,'Besi Balok'!$F$23:$F$7253,'REKAP Balok'!T$11)</f>
        <v>0</v>
      </c>
      <c r="U244" s="284">
        <f t="shared" si="62"/>
        <v>65.172237119999991</v>
      </c>
      <c r="V244" s="285">
        <f t="shared" si="63"/>
        <v>0.57825000000000004</v>
      </c>
      <c r="W244" s="282">
        <f t="shared" si="64"/>
        <v>5.9109999999999996</v>
      </c>
      <c r="X244" s="282"/>
      <c r="Y244" s="282"/>
      <c r="Z244" s="283"/>
      <c r="AC244" s="1784">
        <f t="shared" si="65"/>
        <v>1.0408500000000001</v>
      </c>
    </row>
    <row r="245" spans="1:29" hidden="1">
      <c r="A245" s="272" t="str">
        <f>'Data Panjang Balok'!A241</f>
        <v>Lantai Atap</v>
      </c>
      <c r="B245" s="273">
        <f>'Data Panjang Balok'!B241</f>
        <v>22</v>
      </c>
      <c r="C245" s="274" t="str">
        <f>'Data Panjang Balok'!D241</f>
        <v>B25-1</v>
      </c>
      <c r="D245" s="275">
        <f>IF(C245&gt;0,VLOOKUP(C245,'Detail Balok'!$C$11:$AU$140,2,FALSE),0)</f>
        <v>200</v>
      </c>
      <c r="E245" s="276" t="s">
        <v>125</v>
      </c>
      <c r="F245" s="277">
        <f>IF(C245&gt;0,VLOOKUP(C245,'Detail Balok'!$C$11:$AU$140,3,FALSE),0)</f>
        <v>500</v>
      </c>
      <c r="G245" s="278">
        <f>'Data Panjang Balok'!I241</f>
        <v>10650</v>
      </c>
      <c r="H245" s="278">
        <f>'Data Panjang Balok'!J241</f>
        <v>0</v>
      </c>
      <c r="I245" s="279">
        <v>0</v>
      </c>
      <c r="J245" s="279">
        <f t="shared" si="61"/>
        <v>-0.5</v>
      </c>
      <c r="K245" s="280">
        <f>'Data Panjang Balok'!E241</f>
        <v>1</v>
      </c>
      <c r="L245" s="281">
        <f>SUMIFS('Besi Balok'!$AA$23:$AA$7253,'Besi Balok'!$A$23:$A$7253,$A245,'Besi Balok'!$B$23:$B$7253,$B245,'Besi Balok'!$F$23:$F$7253,'REKAP Balok'!L$11)</f>
        <v>0</v>
      </c>
      <c r="M245" s="282">
        <f>SUMIFS('Besi Balok'!$AA$23:$AA$7253,'Besi Balok'!$A$23:$A$7253,$A245,'Besi Balok'!$B$23:$B$7253,$B245,'Besi Balok'!$F$23:$F$7253,'REKAP Balok'!M$11)</f>
        <v>0</v>
      </c>
      <c r="N245" s="282">
        <f>SUMIFS('Besi Balok'!$AA$23:$AA$7253,'Besi Balok'!$A$23:$A$7253,$A245,'Besi Balok'!$B$23:$B$7253,$B245,'Besi Balok'!$F$23:$F$7253,'REKAP Balok'!N$11)</f>
        <v>62.716544999999996</v>
      </c>
      <c r="O245" s="282">
        <f>SUMIFS('Besi Balok'!$AA$23:$AA$7253,'Besi Balok'!$A$23:$A$7253,$A245,'Besi Balok'!$B$23:$B$7253,$B245,'Besi Balok'!$F$23:$F$7253,'REKAP Balok'!O$11)</f>
        <v>0</v>
      </c>
      <c r="P245" s="282">
        <f>SUMIFS('Besi Balok'!$AA$23:$AA$7253,'Besi Balok'!$A$23:$A$7253,$A245,'Besi Balok'!$B$23:$B$7253,$B245,'Besi Balok'!$F$23:$F$7253,'REKAP Balok'!P$11)</f>
        <v>139.31440128000003</v>
      </c>
      <c r="Q245" s="282">
        <f>SUMIFS('Besi Balok'!$AA$23:$AA$7253,'Besi Balok'!$A$23:$A$7253,$A245,'Besi Balok'!$B$23:$B$7253,$B245,'Besi Balok'!$F$23:$F$7253,'REKAP Balok'!Q$11)</f>
        <v>0</v>
      </c>
      <c r="R245" s="282">
        <f>SUMIFS('Besi Balok'!$AA$23:$AA$7253,'Besi Balok'!$A$23:$A$7253,$A245,'Besi Balok'!$B$23:$B$7253,$B245,'Besi Balok'!$F$23:$F$7253,'REKAP Balok'!R$11)</f>
        <v>0</v>
      </c>
      <c r="S245" s="282">
        <f>SUMIFS('Besi Balok'!$AA$23:$AA$7253,'Besi Balok'!$A$23:$A$7253,$A245,'Besi Balok'!$B$23:$B$7253,$B245,'Besi Balok'!$F$23:$F$7253,'REKAP Balok'!S$11)</f>
        <v>0</v>
      </c>
      <c r="T245" s="283">
        <f>SUMIFS('Besi Balok'!$AA$23:$AA$7253,'Besi Balok'!$A$23:$A$7253,$A245,'Besi Balok'!$B$23:$B$7253,$B245,'Besi Balok'!$F$23:$F$7253,'REKAP Balok'!T$11)</f>
        <v>0</v>
      </c>
      <c r="U245" s="284">
        <f t="shared" si="62"/>
        <v>202.03094628000002</v>
      </c>
      <c r="V245" s="285">
        <f t="shared" si="63"/>
        <v>1.0649999999999999</v>
      </c>
      <c r="W245" s="282">
        <f t="shared" si="64"/>
        <v>12.78</v>
      </c>
      <c r="X245" s="282"/>
      <c r="Y245" s="282"/>
      <c r="Z245" s="283"/>
      <c r="AC245" s="1784">
        <f t="shared" si="65"/>
        <v>2.13</v>
      </c>
    </row>
    <row r="246" spans="1:29" hidden="1">
      <c r="A246" s="272" t="str">
        <f>'Data Panjang Balok'!A242</f>
        <v>Lantai Atap</v>
      </c>
      <c r="B246" s="273">
        <f>'Data Panjang Balok'!B242</f>
        <v>23</v>
      </c>
      <c r="C246" s="274" t="str">
        <f>'Data Panjang Balok'!D242</f>
        <v>B4-1</v>
      </c>
      <c r="D246" s="275">
        <f>IF(C246&gt;0,VLOOKUP(C246,'Detail Balok'!$C$11:$AU$140,2,FALSE),0)</f>
        <v>130</v>
      </c>
      <c r="E246" s="276" t="s">
        <v>125</v>
      </c>
      <c r="F246" s="277">
        <f>IF(C246&gt;0,VLOOKUP(C246,'Detail Balok'!$C$11:$AU$140,3,FALSE),0)</f>
        <v>400</v>
      </c>
      <c r="G246" s="278">
        <f>'Data Panjang Balok'!I242</f>
        <v>1950</v>
      </c>
      <c r="H246" s="278">
        <f>'Data Panjang Balok'!J242</f>
        <v>0</v>
      </c>
      <c r="I246" s="279">
        <v>0</v>
      </c>
      <c r="J246" s="279">
        <f t="shared" si="61"/>
        <v>-0.4</v>
      </c>
      <c r="K246" s="280">
        <f>'Data Panjang Balok'!E242</f>
        <v>1</v>
      </c>
      <c r="L246" s="281">
        <f>SUMIFS('Besi Balok'!$AA$23:$AA$7253,'Besi Balok'!$A$23:$A$7253,$A246,'Besi Balok'!$B$23:$B$7253,$B246,'Besi Balok'!$F$23:$F$7253,'REKAP Balok'!L$11)</f>
        <v>0</v>
      </c>
      <c r="M246" s="282">
        <f>SUMIFS('Besi Balok'!$AA$23:$AA$7253,'Besi Balok'!$A$23:$A$7253,$A246,'Besi Balok'!$B$23:$B$7253,$B246,'Besi Balok'!$F$23:$F$7253,'REKAP Balok'!M$11)</f>
        <v>4.9162176000000004</v>
      </c>
      <c r="N246" s="282">
        <f>SUMIFS('Besi Balok'!$AA$23:$AA$7253,'Besi Balok'!$A$23:$A$7253,$A246,'Besi Balok'!$B$23:$B$7253,$B246,'Besi Balok'!$F$23:$F$7253,'REKAP Balok'!N$11)</f>
        <v>0</v>
      </c>
      <c r="O246" s="282">
        <f>SUMIFS('Besi Balok'!$AA$23:$AA$7253,'Besi Balok'!$A$23:$A$7253,$A246,'Besi Balok'!$B$23:$B$7253,$B246,'Besi Balok'!$F$23:$F$7253,'REKAP Balok'!O$11)</f>
        <v>9.4269754799999994</v>
      </c>
      <c r="P246" s="282">
        <f>SUMIFS('Besi Balok'!$AA$23:$AA$7253,'Besi Balok'!$A$23:$A$7253,$A246,'Besi Balok'!$B$23:$B$7253,$B246,'Besi Balok'!$F$23:$F$7253,'REKAP Balok'!P$11)</f>
        <v>0</v>
      </c>
      <c r="Q246" s="282">
        <f>SUMIFS('Besi Balok'!$AA$23:$AA$7253,'Besi Balok'!$A$23:$A$7253,$A246,'Besi Balok'!$B$23:$B$7253,$B246,'Besi Balok'!$F$23:$F$7253,'REKAP Balok'!Q$11)</f>
        <v>0</v>
      </c>
      <c r="R246" s="282">
        <f>SUMIFS('Besi Balok'!$AA$23:$AA$7253,'Besi Balok'!$A$23:$A$7253,$A246,'Besi Balok'!$B$23:$B$7253,$B246,'Besi Balok'!$F$23:$F$7253,'REKAP Balok'!R$11)</f>
        <v>0</v>
      </c>
      <c r="S246" s="282">
        <f>SUMIFS('Besi Balok'!$AA$23:$AA$7253,'Besi Balok'!$A$23:$A$7253,$A246,'Besi Balok'!$B$23:$B$7253,$B246,'Besi Balok'!$F$23:$F$7253,'REKAP Balok'!S$11)</f>
        <v>0</v>
      </c>
      <c r="T246" s="283">
        <f>SUMIFS('Besi Balok'!$AA$23:$AA$7253,'Besi Balok'!$A$23:$A$7253,$A246,'Besi Balok'!$B$23:$B$7253,$B246,'Besi Balok'!$F$23:$F$7253,'REKAP Balok'!T$11)</f>
        <v>0</v>
      </c>
      <c r="U246" s="284">
        <f t="shared" si="62"/>
        <v>14.343193079999999</v>
      </c>
      <c r="V246" s="285">
        <f t="shared" si="63"/>
        <v>0.1014</v>
      </c>
      <c r="W246" s="282">
        <f t="shared" si="64"/>
        <v>1.8134999999999999</v>
      </c>
      <c r="X246" s="282"/>
      <c r="Y246" s="282"/>
      <c r="Z246" s="283"/>
      <c r="AC246" s="1784">
        <f t="shared" si="65"/>
        <v>0.25740000000000002</v>
      </c>
    </row>
    <row r="247" spans="1:29" hidden="1">
      <c r="A247" s="272" t="str">
        <f>'Data Panjang Balok'!A243</f>
        <v>Lantai Atap</v>
      </c>
      <c r="B247" s="273">
        <f>'Data Panjang Balok'!B243</f>
        <v>24</v>
      </c>
      <c r="C247" s="274" t="str">
        <f>'Data Panjang Balok'!D243</f>
        <v>B4-1</v>
      </c>
      <c r="D247" s="275">
        <f>IF(C247&gt;0,VLOOKUP(C247,'Detail Balok'!$C$11:$AU$140,2,FALSE),0)</f>
        <v>130</v>
      </c>
      <c r="E247" s="276" t="s">
        <v>125</v>
      </c>
      <c r="F247" s="277">
        <f>IF(C247&gt;0,VLOOKUP(C247,'Detail Balok'!$C$11:$AU$140,3,FALSE),0)</f>
        <v>400</v>
      </c>
      <c r="G247" s="278">
        <f>'Data Panjang Balok'!I243</f>
        <v>1950</v>
      </c>
      <c r="H247" s="278">
        <f>'Data Panjang Balok'!J243</f>
        <v>0</v>
      </c>
      <c r="I247" s="279">
        <v>0</v>
      </c>
      <c r="J247" s="279">
        <f t="shared" si="61"/>
        <v>-0.4</v>
      </c>
      <c r="K247" s="280">
        <f>'Data Panjang Balok'!E243</f>
        <v>1</v>
      </c>
      <c r="L247" s="281">
        <f>SUMIFS('Besi Balok'!$AA$23:$AA$7253,'Besi Balok'!$A$23:$A$7253,$A247,'Besi Balok'!$B$23:$B$7253,$B247,'Besi Balok'!$F$23:$F$7253,'REKAP Balok'!L$11)</f>
        <v>0</v>
      </c>
      <c r="M247" s="282">
        <f>SUMIFS('Besi Balok'!$AA$23:$AA$7253,'Besi Balok'!$A$23:$A$7253,$A247,'Besi Balok'!$B$23:$B$7253,$B247,'Besi Balok'!$F$23:$F$7253,'REKAP Balok'!M$11)</f>
        <v>4.9162176000000004</v>
      </c>
      <c r="N247" s="282">
        <f>SUMIFS('Besi Balok'!$AA$23:$AA$7253,'Besi Balok'!$A$23:$A$7253,$A247,'Besi Balok'!$B$23:$B$7253,$B247,'Besi Balok'!$F$23:$F$7253,'REKAP Balok'!N$11)</f>
        <v>0</v>
      </c>
      <c r="O247" s="282">
        <f>SUMIFS('Besi Balok'!$AA$23:$AA$7253,'Besi Balok'!$A$23:$A$7253,$A247,'Besi Balok'!$B$23:$B$7253,$B247,'Besi Balok'!$F$23:$F$7253,'REKAP Balok'!O$11)</f>
        <v>9.4269754799999994</v>
      </c>
      <c r="P247" s="282">
        <f>SUMIFS('Besi Balok'!$AA$23:$AA$7253,'Besi Balok'!$A$23:$A$7253,$A247,'Besi Balok'!$B$23:$B$7253,$B247,'Besi Balok'!$F$23:$F$7253,'REKAP Balok'!P$11)</f>
        <v>0</v>
      </c>
      <c r="Q247" s="282">
        <f>SUMIFS('Besi Balok'!$AA$23:$AA$7253,'Besi Balok'!$A$23:$A$7253,$A247,'Besi Balok'!$B$23:$B$7253,$B247,'Besi Balok'!$F$23:$F$7253,'REKAP Balok'!Q$11)</f>
        <v>0</v>
      </c>
      <c r="R247" s="282">
        <f>SUMIFS('Besi Balok'!$AA$23:$AA$7253,'Besi Balok'!$A$23:$A$7253,$A247,'Besi Balok'!$B$23:$B$7253,$B247,'Besi Balok'!$F$23:$F$7253,'REKAP Balok'!R$11)</f>
        <v>0</v>
      </c>
      <c r="S247" s="282">
        <f>SUMIFS('Besi Balok'!$AA$23:$AA$7253,'Besi Balok'!$A$23:$A$7253,$A247,'Besi Balok'!$B$23:$B$7253,$B247,'Besi Balok'!$F$23:$F$7253,'REKAP Balok'!S$11)</f>
        <v>0</v>
      </c>
      <c r="T247" s="283">
        <f>SUMIFS('Besi Balok'!$AA$23:$AA$7253,'Besi Balok'!$A$23:$A$7253,$A247,'Besi Balok'!$B$23:$B$7253,$B247,'Besi Balok'!$F$23:$F$7253,'REKAP Balok'!T$11)</f>
        <v>0</v>
      </c>
      <c r="U247" s="284">
        <f t="shared" si="62"/>
        <v>14.343193079999999</v>
      </c>
      <c r="V247" s="285">
        <f t="shared" si="63"/>
        <v>0.1014</v>
      </c>
      <c r="W247" s="282">
        <f t="shared" si="64"/>
        <v>1.8134999999999999</v>
      </c>
      <c r="X247" s="282"/>
      <c r="Y247" s="282"/>
      <c r="Z247" s="283"/>
      <c r="AC247" s="1784">
        <f t="shared" si="65"/>
        <v>0.25740000000000002</v>
      </c>
    </row>
    <row r="248" spans="1:29" hidden="1">
      <c r="A248" s="272" t="str">
        <f>'Data Panjang Balok'!A244</f>
        <v>Lantai Atap</v>
      </c>
      <c r="B248" s="273">
        <f>'Data Panjang Balok'!B244</f>
        <v>25</v>
      </c>
      <c r="C248" s="274" t="str">
        <f>'Data Panjang Balok'!D244</f>
        <v>B4-1</v>
      </c>
      <c r="D248" s="275">
        <f>IF(C248&gt;0,VLOOKUP(C248,'Detail Balok'!$C$11:$AU$140,2,FALSE),0)</f>
        <v>130</v>
      </c>
      <c r="E248" s="276" t="s">
        <v>125</v>
      </c>
      <c r="F248" s="277">
        <f>IF(C248&gt;0,VLOOKUP(C248,'Detail Balok'!$C$11:$AU$140,3,FALSE),0)</f>
        <v>400</v>
      </c>
      <c r="G248" s="278">
        <f>'Data Panjang Balok'!I244</f>
        <v>2600</v>
      </c>
      <c r="H248" s="278">
        <f>'Data Panjang Balok'!J244</f>
        <v>0</v>
      </c>
      <c r="I248" s="279">
        <v>0</v>
      </c>
      <c r="J248" s="279">
        <f t="shared" si="61"/>
        <v>-0.4</v>
      </c>
      <c r="K248" s="280">
        <f>'Data Panjang Balok'!E244</f>
        <v>1</v>
      </c>
      <c r="L248" s="281">
        <f>SUMIFS('Besi Balok'!$AA$23:$AA$7253,'Besi Balok'!$A$23:$A$7253,$A248,'Besi Balok'!$B$23:$B$7253,$B248,'Besi Balok'!$F$23:$F$7253,'REKAP Balok'!L$11)</f>
        <v>0</v>
      </c>
      <c r="M248" s="282">
        <f>SUMIFS('Besi Balok'!$AA$23:$AA$7253,'Besi Balok'!$A$23:$A$7253,$A248,'Besi Balok'!$B$23:$B$7253,$B248,'Besi Balok'!$F$23:$F$7253,'REKAP Balok'!M$11)</f>
        <v>5.9696928000000007</v>
      </c>
      <c r="N248" s="282">
        <f>SUMIFS('Besi Balok'!$AA$23:$AA$7253,'Besi Balok'!$A$23:$A$7253,$A248,'Besi Balok'!$B$23:$B$7253,$B248,'Besi Balok'!$F$23:$F$7253,'REKAP Balok'!N$11)</f>
        <v>0</v>
      </c>
      <c r="O248" s="282">
        <f>SUMIFS('Besi Balok'!$AA$23:$AA$7253,'Besi Balok'!$A$23:$A$7253,$A248,'Besi Balok'!$B$23:$B$7253,$B248,'Besi Balok'!$F$23:$F$7253,'REKAP Balok'!O$11)</f>
        <v>12.135876479999999</v>
      </c>
      <c r="P248" s="282">
        <f>SUMIFS('Besi Balok'!$AA$23:$AA$7253,'Besi Balok'!$A$23:$A$7253,$A248,'Besi Balok'!$B$23:$B$7253,$B248,'Besi Balok'!$F$23:$F$7253,'REKAP Balok'!P$11)</f>
        <v>0</v>
      </c>
      <c r="Q248" s="282">
        <f>SUMIFS('Besi Balok'!$AA$23:$AA$7253,'Besi Balok'!$A$23:$A$7253,$A248,'Besi Balok'!$B$23:$B$7253,$B248,'Besi Balok'!$F$23:$F$7253,'REKAP Balok'!Q$11)</f>
        <v>0</v>
      </c>
      <c r="R248" s="282">
        <f>SUMIFS('Besi Balok'!$AA$23:$AA$7253,'Besi Balok'!$A$23:$A$7253,$A248,'Besi Balok'!$B$23:$B$7253,$B248,'Besi Balok'!$F$23:$F$7253,'REKAP Balok'!R$11)</f>
        <v>0</v>
      </c>
      <c r="S248" s="282">
        <f>SUMIFS('Besi Balok'!$AA$23:$AA$7253,'Besi Balok'!$A$23:$A$7253,$A248,'Besi Balok'!$B$23:$B$7253,$B248,'Besi Balok'!$F$23:$F$7253,'REKAP Balok'!S$11)</f>
        <v>0</v>
      </c>
      <c r="T248" s="283">
        <f>SUMIFS('Besi Balok'!$AA$23:$AA$7253,'Besi Balok'!$A$23:$A$7253,$A248,'Besi Balok'!$B$23:$B$7253,$B248,'Besi Balok'!$F$23:$F$7253,'REKAP Balok'!T$11)</f>
        <v>0</v>
      </c>
      <c r="U248" s="284">
        <f t="shared" si="62"/>
        <v>18.105569279999997</v>
      </c>
      <c r="V248" s="285">
        <f t="shared" si="63"/>
        <v>0.13519999999999999</v>
      </c>
      <c r="W248" s="282">
        <f t="shared" si="64"/>
        <v>2.4180000000000001</v>
      </c>
      <c r="X248" s="282"/>
      <c r="Y248" s="282"/>
      <c r="Z248" s="283"/>
      <c r="AC248" s="1784">
        <f t="shared" si="65"/>
        <v>0.34320000000000001</v>
      </c>
    </row>
    <row r="249" spans="1:29" hidden="1">
      <c r="A249" s="272" t="str">
        <f>'Data Panjang Balok'!A245</f>
        <v>Lantai Atap</v>
      </c>
      <c r="B249" s="273">
        <f>'Data Panjang Balok'!B245</f>
        <v>26</v>
      </c>
      <c r="C249" s="274" t="str">
        <f>'Data Panjang Balok'!D245</f>
        <v>B4-1</v>
      </c>
      <c r="D249" s="275">
        <f>IF(C249&gt;0,VLOOKUP(C249,'Detail Balok'!$C$11:$AU$140,2,FALSE),0)</f>
        <v>130</v>
      </c>
      <c r="E249" s="276" t="s">
        <v>125</v>
      </c>
      <c r="F249" s="277">
        <f>IF(C249&gt;0,VLOOKUP(C249,'Detail Balok'!$C$11:$AU$140,3,FALSE),0)</f>
        <v>400</v>
      </c>
      <c r="G249" s="278">
        <f>'Data Panjang Balok'!I245</f>
        <v>2600</v>
      </c>
      <c r="H249" s="278">
        <f>'Data Panjang Balok'!J245</f>
        <v>0</v>
      </c>
      <c r="I249" s="279">
        <v>0</v>
      </c>
      <c r="J249" s="279">
        <f t="shared" si="61"/>
        <v>-0.4</v>
      </c>
      <c r="K249" s="280">
        <f>'Data Panjang Balok'!E245</f>
        <v>1</v>
      </c>
      <c r="L249" s="281">
        <f>SUMIFS('Besi Balok'!$AA$23:$AA$7253,'Besi Balok'!$A$23:$A$7253,$A249,'Besi Balok'!$B$23:$B$7253,$B249,'Besi Balok'!$F$23:$F$7253,'REKAP Balok'!L$11)</f>
        <v>0</v>
      </c>
      <c r="M249" s="282">
        <f>SUMIFS('Besi Balok'!$AA$23:$AA$7253,'Besi Balok'!$A$23:$A$7253,$A249,'Besi Balok'!$B$23:$B$7253,$B249,'Besi Balok'!$F$23:$F$7253,'REKAP Balok'!M$11)</f>
        <v>5.9696928000000007</v>
      </c>
      <c r="N249" s="282">
        <f>SUMIFS('Besi Balok'!$AA$23:$AA$7253,'Besi Balok'!$A$23:$A$7253,$A249,'Besi Balok'!$B$23:$B$7253,$B249,'Besi Balok'!$F$23:$F$7253,'REKAP Balok'!N$11)</f>
        <v>0</v>
      </c>
      <c r="O249" s="282">
        <f>SUMIFS('Besi Balok'!$AA$23:$AA$7253,'Besi Balok'!$A$23:$A$7253,$A249,'Besi Balok'!$B$23:$B$7253,$B249,'Besi Balok'!$F$23:$F$7253,'REKAP Balok'!O$11)</f>
        <v>12.135876479999999</v>
      </c>
      <c r="P249" s="282">
        <f>SUMIFS('Besi Balok'!$AA$23:$AA$7253,'Besi Balok'!$A$23:$A$7253,$A249,'Besi Balok'!$B$23:$B$7253,$B249,'Besi Balok'!$F$23:$F$7253,'REKAP Balok'!P$11)</f>
        <v>0</v>
      </c>
      <c r="Q249" s="282">
        <f>SUMIFS('Besi Balok'!$AA$23:$AA$7253,'Besi Balok'!$A$23:$A$7253,$A249,'Besi Balok'!$B$23:$B$7253,$B249,'Besi Balok'!$F$23:$F$7253,'REKAP Balok'!Q$11)</f>
        <v>0</v>
      </c>
      <c r="R249" s="282">
        <f>SUMIFS('Besi Balok'!$AA$23:$AA$7253,'Besi Balok'!$A$23:$A$7253,$A249,'Besi Balok'!$B$23:$B$7253,$B249,'Besi Balok'!$F$23:$F$7253,'REKAP Balok'!R$11)</f>
        <v>0</v>
      </c>
      <c r="S249" s="282">
        <f>SUMIFS('Besi Balok'!$AA$23:$AA$7253,'Besi Balok'!$A$23:$A$7253,$A249,'Besi Balok'!$B$23:$B$7253,$B249,'Besi Balok'!$F$23:$F$7253,'REKAP Balok'!S$11)</f>
        <v>0</v>
      </c>
      <c r="T249" s="283">
        <f>SUMIFS('Besi Balok'!$AA$23:$AA$7253,'Besi Balok'!$A$23:$A$7253,$A249,'Besi Balok'!$B$23:$B$7253,$B249,'Besi Balok'!$F$23:$F$7253,'REKAP Balok'!T$11)</f>
        <v>0</v>
      </c>
      <c r="U249" s="284">
        <f t="shared" si="62"/>
        <v>18.105569279999997</v>
      </c>
      <c r="V249" s="285">
        <f t="shared" si="63"/>
        <v>0.13519999999999999</v>
      </c>
      <c r="W249" s="282">
        <f t="shared" si="64"/>
        <v>2.4180000000000001</v>
      </c>
      <c r="X249" s="282"/>
      <c r="Y249" s="282"/>
      <c r="Z249" s="283"/>
      <c r="AC249" s="1784">
        <f t="shared" si="65"/>
        <v>0.34320000000000001</v>
      </c>
    </row>
    <row r="250" spans="1:29" hidden="1">
      <c r="A250" s="272" t="str">
        <f>'Data Panjang Balok'!A246</f>
        <v>Lantai Atap</v>
      </c>
      <c r="B250" s="273">
        <f>'Data Panjang Balok'!B246</f>
        <v>27</v>
      </c>
      <c r="C250" s="274" t="str">
        <f>'Data Panjang Balok'!D246</f>
        <v>B24-1</v>
      </c>
      <c r="D250" s="275">
        <f>IF(C250&gt;0,VLOOKUP(C250,'Detail Balok'!$C$11:$AU$140,2,FALSE),0)</f>
        <v>200</v>
      </c>
      <c r="E250" s="276" t="s">
        <v>125</v>
      </c>
      <c r="F250" s="277">
        <f>IF(C250&gt;0,VLOOKUP(C250,'Detail Balok'!$C$11:$AU$140,3,FALSE),0)</f>
        <v>400</v>
      </c>
      <c r="G250" s="278">
        <f>'Data Panjang Balok'!I246</f>
        <v>4555</v>
      </c>
      <c r="H250" s="278">
        <f>'Data Panjang Balok'!J246</f>
        <v>0</v>
      </c>
      <c r="I250" s="279">
        <v>0</v>
      </c>
      <c r="J250" s="279">
        <f t="shared" si="61"/>
        <v>-0.4</v>
      </c>
      <c r="K250" s="280">
        <f>'Data Panjang Balok'!E246</f>
        <v>1</v>
      </c>
      <c r="L250" s="281">
        <f>SUMIFS('Besi Balok'!$AA$23:$AA$7253,'Besi Balok'!$A$23:$A$7253,$A250,'Besi Balok'!$B$23:$B$7253,$B250,'Besi Balok'!$F$23:$F$7253,'REKAP Balok'!L$11)</f>
        <v>0</v>
      </c>
      <c r="M250" s="282">
        <f>SUMIFS('Besi Balok'!$AA$23:$AA$7253,'Besi Balok'!$A$23:$A$7253,$A250,'Besi Balok'!$B$23:$B$7253,$B250,'Besi Balok'!$F$23:$F$7253,'REKAP Balok'!M$11)</f>
        <v>0</v>
      </c>
      <c r="N250" s="282">
        <f>SUMIFS('Besi Balok'!$AA$23:$AA$7253,'Besi Balok'!$A$23:$A$7253,$A250,'Besi Balok'!$B$23:$B$7253,$B250,'Besi Balok'!$F$23:$F$7253,'REKAP Balok'!N$11)</f>
        <v>22.224825000000003</v>
      </c>
      <c r="O250" s="282">
        <f>SUMIFS('Besi Balok'!$AA$23:$AA$7253,'Besi Balok'!$A$23:$A$7253,$A250,'Besi Balok'!$B$23:$B$7253,$B250,'Besi Balok'!$F$23:$F$7253,'REKAP Balok'!O$11)</f>
        <v>30.42512576999999</v>
      </c>
      <c r="P250" s="282">
        <f>SUMIFS('Besi Balok'!$AA$23:$AA$7253,'Besi Balok'!$A$23:$A$7253,$A250,'Besi Balok'!$B$23:$B$7253,$B250,'Besi Balok'!$F$23:$F$7253,'REKAP Balok'!P$11)</f>
        <v>0</v>
      </c>
      <c r="Q250" s="282">
        <f>SUMIFS('Besi Balok'!$AA$23:$AA$7253,'Besi Balok'!$A$23:$A$7253,$A250,'Besi Balok'!$B$23:$B$7253,$B250,'Besi Balok'!$F$23:$F$7253,'REKAP Balok'!Q$11)</f>
        <v>0</v>
      </c>
      <c r="R250" s="282">
        <f>SUMIFS('Besi Balok'!$AA$23:$AA$7253,'Besi Balok'!$A$23:$A$7253,$A250,'Besi Balok'!$B$23:$B$7253,$B250,'Besi Balok'!$F$23:$F$7253,'REKAP Balok'!R$11)</f>
        <v>0</v>
      </c>
      <c r="S250" s="282">
        <f>SUMIFS('Besi Balok'!$AA$23:$AA$7253,'Besi Balok'!$A$23:$A$7253,$A250,'Besi Balok'!$B$23:$B$7253,$B250,'Besi Balok'!$F$23:$F$7253,'REKAP Balok'!S$11)</f>
        <v>0</v>
      </c>
      <c r="T250" s="283">
        <f>SUMIFS('Besi Balok'!$AA$23:$AA$7253,'Besi Balok'!$A$23:$A$7253,$A250,'Besi Balok'!$B$23:$B$7253,$B250,'Besi Balok'!$F$23:$F$7253,'REKAP Balok'!T$11)</f>
        <v>0</v>
      </c>
      <c r="U250" s="284">
        <f t="shared" si="62"/>
        <v>52.64995076999999</v>
      </c>
      <c r="V250" s="285">
        <f t="shared" si="63"/>
        <v>0.3644</v>
      </c>
      <c r="W250" s="282">
        <f t="shared" si="64"/>
        <v>4.5549999999999997</v>
      </c>
      <c r="X250" s="282"/>
      <c r="Y250" s="282"/>
      <c r="Z250" s="283"/>
      <c r="AC250" s="1784">
        <f t="shared" si="65"/>
        <v>0.7288</v>
      </c>
    </row>
    <row r="251" spans="1:29" hidden="1">
      <c r="A251" s="272" t="str">
        <f>'Data Panjang Balok'!A247</f>
        <v>Lantai Atap</v>
      </c>
      <c r="B251" s="273" t="str">
        <f>'Data Panjang Balok'!B247</f>
        <v>27A</v>
      </c>
      <c r="C251" s="274" t="str">
        <f>'Data Panjang Balok'!D247</f>
        <v>B24-1</v>
      </c>
      <c r="D251" s="275">
        <f>IF(C251&gt;0,VLOOKUP(C251,'Detail Balok'!$C$11:$AU$140,2,FALSE),0)</f>
        <v>200</v>
      </c>
      <c r="E251" s="276" t="s">
        <v>125</v>
      </c>
      <c r="F251" s="277">
        <f>IF(C251&gt;0,VLOOKUP(C251,'Detail Balok'!$C$11:$AU$140,3,FALSE),0)</f>
        <v>400</v>
      </c>
      <c r="G251" s="278">
        <f>'Data Panjang Balok'!I247</f>
        <v>705</v>
      </c>
      <c r="H251" s="278">
        <f>'Data Panjang Balok'!J247</f>
        <v>0</v>
      </c>
      <c r="I251" s="279">
        <v>0</v>
      </c>
      <c r="J251" s="279">
        <f t="shared" ref="J251" si="71">I251-F251/1000</f>
        <v>-0.4</v>
      </c>
      <c r="K251" s="280">
        <f>'Data Panjang Balok'!E247</f>
        <v>1</v>
      </c>
      <c r="L251" s="281">
        <f>SUMIFS('Besi Balok'!$AA$23:$AA$7253,'Besi Balok'!$A$23:$A$7253,$A251,'Besi Balok'!$B$23:$B$7253,$B251,'Besi Balok'!$F$23:$F$7253,'REKAP Balok'!L$11)</f>
        <v>0</v>
      </c>
      <c r="M251" s="282">
        <f>SUMIFS('Besi Balok'!$AA$23:$AA$7253,'Besi Balok'!$A$23:$A$7253,$A251,'Besi Balok'!$B$23:$B$7253,$B251,'Besi Balok'!$F$23:$F$7253,'REKAP Balok'!M$11)</f>
        <v>0</v>
      </c>
      <c r="N251" s="282">
        <f>SUMIFS('Besi Balok'!$AA$23:$AA$7253,'Besi Balok'!$A$23:$A$7253,$A251,'Besi Balok'!$B$23:$B$7253,$B251,'Besi Balok'!$F$23:$F$7253,'REKAP Balok'!N$11)</f>
        <v>5.0799600000000007</v>
      </c>
      <c r="O251" s="282">
        <f>SUMIFS('Besi Balok'!$AA$23:$AA$7253,'Besi Balok'!$A$23:$A$7253,$A251,'Besi Balok'!$B$23:$B$7253,$B251,'Besi Balok'!$F$23:$F$7253,'REKAP Balok'!O$11)</f>
        <v>6.3575822699999991</v>
      </c>
      <c r="P251" s="282">
        <f>SUMIFS('Besi Balok'!$AA$23:$AA$7253,'Besi Balok'!$A$23:$A$7253,$A251,'Besi Balok'!$B$23:$B$7253,$B251,'Besi Balok'!$F$23:$F$7253,'REKAP Balok'!P$11)</f>
        <v>0</v>
      </c>
      <c r="Q251" s="282">
        <f>SUMIFS('Besi Balok'!$AA$23:$AA$7253,'Besi Balok'!$A$23:$A$7253,$A251,'Besi Balok'!$B$23:$B$7253,$B251,'Besi Balok'!$F$23:$F$7253,'REKAP Balok'!Q$11)</f>
        <v>0</v>
      </c>
      <c r="R251" s="282">
        <f>SUMIFS('Besi Balok'!$AA$23:$AA$7253,'Besi Balok'!$A$23:$A$7253,$A251,'Besi Balok'!$B$23:$B$7253,$B251,'Besi Balok'!$F$23:$F$7253,'REKAP Balok'!R$11)</f>
        <v>0</v>
      </c>
      <c r="S251" s="282">
        <f>SUMIFS('Besi Balok'!$AA$23:$AA$7253,'Besi Balok'!$A$23:$A$7253,$A251,'Besi Balok'!$B$23:$B$7253,$B251,'Besi Balok'!$F$23:$F$7253,'REKAP Balok'!S$11)</f>
        <v>0</v>
      </c>
      <c r="T251" s="283">
        <f>SUMIFS('Besi Balok'!$AA$23:$AA$7253,'Besi Balok'!$A$23:$A$7253,$A251,'Besi Balok'!$B$23:$B$7253,$B251,'Besi Balok'!$F$23:$F$7253,'REKAP Balok'!T$11)</f>
        <v>0</v>
      </c>
      <c r="U251" s="284">
        <f t="shared" ref="U251" si="72">SUM(L251:T251)</f>
        <v>11.43754227</v>
      </c>
      <c r="V251" s="285">
        <f t="shared" ref="V251" si="73">(D251*(F251-H251)*G251*K251)/1000000000</f>
        <v>5.6399999999999999E-2</v>
      </c>
      <c r="W251" s="282">
        <f t="shared" ref="W251" si="74">(((F251-H251)*2+IF(H251&gt;0,0,D251))*(G251)*K251)/1000000</f>
        <v>0.70499999999999996</v>
      </c>
      <c r="X251" s="282"/>
      <c r="Y251" s="282"/>
      <c r="Z251" s="283"/>
      <c r="AC251" s="1784">
        <f t="shared" ref="AC251" si="75">(D251+2*$F$5)*F251*G251/1000000000</f>
        <v>0.1128</v>
      </c>
    </row>
    <row r="252" spans="1:29" hidden="1">
      <c r="A252" s="272" t="str">
        <f>'Data Panjang Balok'!A248</f>
        <v>Lantai Atap</v>
      </c>
      <c r="B252" s="273">
        <f>'Data Panjang Balok'!B248</f>
        <v>28</v>
      </c>
      <c r="C252" s="274" t="str">
        <f>'Data Panjang Balok'!D248</f>
        <v>B24-1</v>
      </c>
      <c r="D252" s="275">
        <f>IF(C252&gt;0,VLOOKUP(C252,'Detail Balok'!$C$11:$AU$140,2,FALSE),0)</f>
        <v>200</v>
      </c>
      <c r="E252" s="276" t="s">
        <v>125</v>
      </c>
      <c r="F252" s="277">
        <f>IF(C252&gt;0,VLOOKUP(C252,'Detail Balok'!$C$11:$AU$140,3,FALSE),0)</f>
        <v>400</v>
      </c>
      <c r="G252" s="278">
        <f>'Data Panjang Balok'!I248</f>
        <v>5905</v>
      </c>
      <c r="H252" s="278">
        <f>'Data Panjang Balok'!J248</f>
        <v>150</v>
      </c>
      <c r="I252" s="279">
        <v>0</v>
      </c>
      <c r="J252" s="279">
        <f t="shared" si="61"/>
        <v>-0.4</v>
      </c>
      <c r="K252" s="280">
        <f>'Data Panjang Balok'!E248</f>
        <v>1</v>
      </c>
      <c r="L252" s="281">
        <f>SUMIFS('Besi Balok'!$AA$23:$AA$7253,'Besi Balok'!$A$23:$A$7253,$A252,'Besi Balok'!$B$23:$B$7253,$B252,'Besi Balok'!$F$23:$F$7253,'REKAP Balok'!L$11)</f>
        <v>0</v>
      </c>
      <c r="M252" s="282">
        <f>SUMIFS('Besi Balok'!$AA$23:$AA$7253,'Besi Balok'!$A$23:$A$7253,$A252,'Besi Balok'!$B$23:$B$7253,$B252,'Besi Balok'!$F$23:$F$7253,'REKAP Balok'!M$11)</f>
        <v>0</v>
      </c>
      <c r="N252" s="282">
        <f>SUMIFS('Besi Balok'!$AA$23:$AA$7253,'Besi Balok'!$A$23:$A$7253,$A252,'Besi Balok'!$B$23:$B$7253,$B252,'Besi Balok'!$F$23:$F$7253,'REKAP Balok'!N$11)</f>
        <v>29.844765000000002</v>
      </c>
      <c r="O252" s="282">
        <f>SUMIFS('Besi Balok'!$AA$23:$AA$7253,'Besi Balok'!$A$23:$A$7253,$A252,'Besi Balok'!$B$23:$B$7253,$B252,'Besi Balok'!$F$23:$F$7253,'REKAP Balok'!O$11)</f>
        <v>38.864394269999998</v>
      </c>
      <c r="P252" s="282">
        <f>SUMIFS('Besi Balok'!$AA$23:$AA$7253,'Besi Balok'!$A$23:$A$7253,$A252,'Besi Balok'!$B$23:$B$7253,$B252,'Besi Balok'!$F$23:$F$7253,'REKAP Balok'!P$11)</f>
        <v>0</v>
      </c>
      <c r="Q252" s="282">
        <f>SUMIFS('Besi Balok'!$AA$23:$AA$7253,'Besi Balok'!$A$23:$A$7253,$A252,'Besi Balok'!$B$23:$B$7253,$B252,'Besi Balok'!$F$23:$F$7253,'REKAP Balok'!Q$11)</f>
        <v>0</v>
      </c>
      <c r="R252" s="282">
        <f>SUMIFS('Besi Balok'!$AA$23:$AA$7253,'Besi Balok'!$A$23:$A$7253,$A252,'Besi Balok'!$B$23:$B$7253,$B252,'Besi Balok'!$F$23:$F$7253,'REKAP Balok'!R$11)</f>
        <v>0</v>
      </c>
      <c r="S252" s="282">
        <f>SUMIFS('Besi Balok'!$AA$23:$AA$7253,'Besi Balok'!$A$23:$A$7253,$A252,'Besi Balok'!$B$23:$B$7253,$B252,'Besi Balok'!$F$23:$F$7253,'REKAP Balok'!S$11)</f>
        <v>0</v>
      </c>
      <c r="T252" s="283">
        <f>SUMIFS('Besi Balok'!$AA$23:$AA$7253,'Besi Balok'!$A$23:$A$7253,$A252,'Besi Balok'!$B$23:$B$7253,$B252,'Besi Balok'!$F$23:$F$7253,'REKAP Balok'!T$11)</f>
        <v>0</v>
      </c>
      <c r="U252" s="284">
        <f t="shared" si="62"/>
        <v>68.709159270000001</v>
      </c>
      <c r="V252" s="285">
        <f t="shared" si="63"/>
        <v>0.29525000000000001</v>
      </c>
      <c r="W252" s="282">
        <f t="shared" si="64"/>
        <v>2.9525000000000001</v>
      </c>
      <c r="X252" s="282"/>
      <c r="Y252" s="282"/>
      <c r="Z252" s="283"/>
      <c r="AC252" s="1784">
        <f t="shared" si="65"/>
        <v>0.94479999999999997</v>
      </c>
    </row>
    <row r="253" spans="1:29" hidden="1">
      <c r="A253" s="272" t="str">
        <f>'Data Panjang Balok'!A249</f>
        <v>Lantai Atap</v>
      </c>
      <c r="B253" s="273">
        <f>'Data Panjang Balok'!B249</f>
        <v>29</v>
      </c>
      <c r="C253" s="274" t="str">
        <f>'Data Panjang Balok'!D249</f>
        <v>B24-1</v>
      </c>
      <c r="D253" s="275">
        <f>IF(C253&gt;0,VLOOKUP(C253,'Detail Balok'!$C$11:$AU$140,2,FALSE),0)</f>
        <v>200</v>
      </c>
      <c r="E253" s="276" t="s">
        <v>125</v>
      </c>
      <c r="F253" s="277">
        <f>IF(C253&gt;0,VLOOKUP(C253,'Detail Balok'!$C$11:$AU$140,3,FALSE),0)</f>
        <v>400</v>
      </c>
      <c r="G253" s="278">
        <f>'Data Panjang Balok'!I249</f>
        <v>4635</v>
      </c>
      <c r="H253" s="278">
        <f>'Data Panjang Balok'!J249</f>
        <v>150</v>
      </c>
      <c r="I253" s="279">
        <v>0</v>
      </c>
      <c r="J253" s="279">
        <f t="shared" si="61"/>
        <v>-0.4</v>
      </c>
      <c r="K253" s="280">
        <f>'Data Panjang Balok'!E249</f>
        <v>1</v>
      </c>
      <c r="L253" s="281">
        <f>SUMIFS('Besi Balok'!$AA$23:$AA$7253,'Besi Balok'!$A$23:$A$7253,$A253,'Besi Balok'!$B$23:$B$7253,$B253,'Besi Balok'!$F$23:$F$7253,'REKAP Balok'!L$11)</f>
        <v>0</v>
      </c>
      <c r="M253" s="282">
        <f>SUMIFS('Besi Balok'!$AA$23:$AA$7253,'Besi Balok'!$A$23:$A$7253,$A253,'Besi Balok'!$B$23:$B$7253,$B253,'Besi Balok'!$F$23:$F$7253,'REKAP Balok'!M$11)</f>
        <v>0</v>
      </c>
      <c r="N253" s="282">
        <f>SUMIFS('Besi Balok'!$AA$23:$AA$7253,'Besi Balok'!$A$23:$A$7253,$A253,'Besi Balok'!$B$23:$B$7253,$B253,'Besi Balok'!$F$23:$F$7253,'REKAP Balok'!N$11)</f>
        <v>24.129810000000006</v>
      </c>
      <c r="O253" s="282">
        <f>SUMIFS('Besi Balok'!$AA$23:$AA$7253,'Besi Balok'!$A$23:$A$7253,$A253,'Besi Balok'!$B$23:$B$7253,$B253,'Besi Balok'!$F$23:$F$7253,'REKAP Balok'!O$11)</f>
        <v>30.92523057</v>
      </c>
      <c r="P253" s="282">
        <f>SUMIFS('Besi Balok'!$AA$23:$AA$7253,'Besi Balok'!$A$23:$A$7253,$A253,'Besi Balok'!$B$23:$B$7253,$B253,'Besi Balok'!$F$23:$F$7253,'REKAP Balok'!P$11)</f>
        <v>0</v>
      </c>
      <c r="Q253" s="282">
        <f>SUMIFS('Besi Balok'!$AA$23:$AA$7253,'Besi Balok'!$A$23:$A$7253,$A253,'Besi Balok'!$B$23:$B$7253,$B253,'Besi Balok'!$F$23:$F$7253,'REKAP Balok'!Q$11)</f>
        <v>0</v>
      </c>
      <c r="R253" s="282">
        <f>SUMIFS('Besi Balok'!$AA$23:$AA$7253,'Besi Balok'!$A$23:$A$7253,$A253,'Besi Balok'!$B$23:$B$7253,$B253,'Besi Balok'!$F$23:$F$7253,'REKAP Balok'!R$11)</f>
        <v>0</v>
      </c>
      <c r="S253" s="282">
        <f>SUMIFS('Besi Balok'!$AA$23:$AA$7253,'Besi Balok'!$A$23:$A$7253,$A253,'Besi Balok'!$B$23:$B$7253,$B253,'Besi Balok'!$F$23:$F$7253,'REKAP Balok'!S$11)</f>
        <v>0</v>
      </c>
      <c r="T253" s="283">
        <f>SUMIFS('Besi Balok'!$AA$23:$AA$7253,'Besi Balok'!$A$23:$A$7253,$A253,'Besi Balok'!$B$23:$B$7253,$B253,'Besi Balok'!$F$23:$F$7253,'REKAP Balok'!T$11)</f>
        <v>0</v>
      </c>
      <c r="U253" s="284">
        <f t="shared" si="62"/>
        <v>55.055040570000003</v>
      </c>
      <c r="V253" s="285">
        <f t="shared" si="63"/>
        <v>0.23175000000000001</v>
      </c>
      <c r="W253" s="282">
        <f t="shared" si="64"/>
        <v>2.3174999999999999</v>
      </c>
      <c r="X253" s="282"/>
      <c r="Y253" s="282"/>
      <c r="Z253" s="283"/>
      <c r="AC253" s="1784">
        <f t="shared" si="65"/>
        <v>0.74160000000000004</v>
      </c>
    </row>
    <row r="254" spans="1:29" hidden="1">
      <c r="A254" s="272" t="str">
        <f>'Data Panjang Balok'!A250</f>
        <v>Lantai Atap</v>
      </c>
      <c r="B254" s="273">
        <f>'Data Panjang Balok'!B250</f>
        <v>30</v>
      </c>
      <c r="C254" s="274" t="str">
        <f>'Data Panjang Balok'!D250</f>
        <v>B24-1</v>
      </c>
      <c r="D254" s="275">
        <f>IF(C254&gt;0,VLOOKUP(C254,'Detail Balok'!$C$11:$AU$140,2,FALSE),0)</f>
        <v>200</v>
      </c>
      <c r="E254" s="276" t="s">
        <v>125</v>
      </c>
      <c r="F254" s="277">
        <f>IF(C254&gt;0,VLOOKUP(C254,'Detail Balok'!$C$11:$AU$140,3,FALSE),0)</f>
        <v>400</v>
      </c>
      <c r="G254" s="278">
        <f>'Data Panjang Balok'!I250</f>
        <v>4635</v>
      </c>
      <c r="H254" s="278">
        <f>'Data Panjang Balok'!J250</f>
        <v>150</v>
      </c>
      <c r="I254" s="279">
        <v>0</v>
      </c>
      <c r="J254" s="279">
        <f t="shared" si="61"/>
        <v>-0.4</v>
      </c>
      <c r="K254" s="280">
        <f>'Data Panjang Balok'!E250</f>
        <v>1</v>
      </c>
      <c r="L254" s="281">
        <f>SUMIFS('Besi Balok'!$AA$23:$AA$7253,'Besi Balok'!$A$23:$A$7253,$A254,'Besi Balok'!$B$23:$B$7253,$B254,'Besi Balok'!$F$23:$F$7253,'REKAP Balok'!L$11)</f>
        <v>0</v>
      </c>
      <c r="M254" s="282">
        <f>SUMIFS('Besi Balok'!$AA$23:$AA$7253,'Besi Balok'!$A$23:$A$7253,$A254,'Besi Balok'!$B$23:$B$7253,$B254,'Besi Balok'!$F$23:$F$7253,'REKAP Balok'!M$11)</f>
        <v>0</v>
      </c>
      <c r="N254" s="282">
        <f>SUMIFS('Besi Balok'!$AA$23:$AA$7253,'Besi Balok'!$A$23:$A$7253,$A254,'Besi Balok'!$B$23:$B$7253,$B254,'Besi Balok'!$F$23:$F$7253,'REKAP Balok'!N$11)</f>
        <v>24.129810000000006</v>
      </c>
      <c r="O254" s="282">
        <f>SUMIFS('Besi Balok'!$AA$23:$AA$7253,'Besi Balok'!$A$23:$A$7253,$A254,'Besi Balok'!$B$23:$B$7253,$B254,'Besi Balok'!$F$23:$F$7253,'REKAP Balok'!O$11)</f>
        <v>30.92523057</v>
      </c>
      <c r="P254" s="282">
        <f>SUMIFS('Besi Balok'!$AA$23:$AA$7253,'Besi Balok'!$A$23:$A$7253,$A254,'Besi Balok'!$B$23:$B$7253,$B254,'Besi Balok'!$F$23:$F$7253,'REKAP Balok'!P$11)</f>
        <v>0</v>
      </c>
      <c r="Q254" s="282">
        <f>SUMIFS('Besi Balok'!$AA$23:$AA$7253,'Besi Balok'!$A$23:$A$7253,$A254,'Besi Balok'!$B$23:$B$7253,$B254,'Besi Balok'!$F$23:$F$7253,'REKAP Balok'!Q$11)</f>
        <v>0</v>
      </c>
      <c r="R254" s="282">
        <f>SUMIFS('Besi Balok'!$AA$23:$AA$7253,'Besi Balok'!$A$23:$A$7253,$A254,'Besi Balok'!$B$23:$B$7253,$B254,'Besi Balok'!$F$23:$F$7253,'REKAP Balok'!R$11)</f>
        <v>0</v>
      </c>
      <c r="S254" s="282">
        <f>SUMIFS('Besi Balok'!$AA$23:$AA$7253,'Besi Balok'!$A$23:$A$7253,$A254,'Besi Balok'!$B$23:$B$7253,$B254,'Besi Balok'!$F$23:$F$7253,'REKAP Balok'!S$11)</f>
        <v>0</v>
      </c>
      <c r="T254" s="283">
        <f>SUMIFS('Besi Balok'!$AA$23:$AA$7253,'Besi Balok'!$A$23:$A$7253,$A254,'Besi Balok'!$B$23:$B$7253,$B254,'Besi Balok'!$F$23:$F$7253,'REKAP Balok'!T$11)</f>
        <v>0</v>
      </c>
      <c r="U254" s="284">
        <f t="shared" si="62"/>
        <v>55.055040570000003</v>
      </c>
      <c r="V254" s="285">
        <f t="shared" si="63"/>
        <v>0.23175000000000001</v>
      </c>
      <c r="W254" s="282">
        <f t="shared" si="64"/>
        <v>2.3174999999999999</v>
      </c>
      <c r="X254" s="282"/>
      <c r="Y254" s="282"/>
      <c r="Z254" s="283"/>
      <c r="AC254" s="1784">
        <f t="shared" si="65"/>
        <v>0.74160000000000004</v>
      </c>
    </row>
    <row r="255" spans="1:29" hidden="1">
      <c r="A255" s="272" t="str">
        <f>'Data Panjang Balok'!A251</f>
        <v>Lantai Atap</v>
      </c>
      <c r="B255" s="273">
        <f>'Data Panjang Balok'!B251</f>
        <v>31</v>
      </c>
      <c r="C255" s="274" t="str">
        <f>'Data Panjang Balok'!D251</f>
        <v>B24-1</v>
      </c>
      <c r="D255" s="275">
        <f>IF(C255&gt;0,VLOOKUP(C255,'Detail Balok'!$C$11:$AU$140,2,FALSE),0)</f>
        <v>200</v>
      </c>
      <c r="E255" s="276" t="s">
        <v>125</v>
      </c>
      <c r="F255" s="277">
        <f>IF(C255&gt;0,VLOOKUP(C255,'Detail Balok'!$C$11:$AU$140,3,FALSE),0)</f>
        <v>400</v>
      </c>
      <c r="G255" s="278">
        <f>'Data Panjang Balok'!I251</f>
        <v>5905</v>
      </c>
      <c r="H255" s="278">
        <f>'Data Panjang Balok'!J251</f>
        <v>150</v>
      </c>
      <c r="I255" s="279">
        <v>0</v>
      </c>
      <c r="J255" s="279">
        <f t="shared" si="61"/>
        <v>-0.4</v>
      </c>
      <c r="K255" s="280">
        <f>'Data Panjang Balok'!E251</f>
        <v>1</v>
      </c>
      <c r="L255" s="281">
        <f>SUMIFS('Besi Balok'!$AA$23:$AA$7253,'Besi Balok'!$A$23:$A$7253,$A255,'Besi Balok'!$B$23:$B$7253,$B255,'Besi Balok'!$F$23:$F$7253,'REKAP Balok'!L$11)</f>
        <v>0</v>
      </c>
      <c r="M255" s="282">
        <f>SUMIFS('Besi Balok'!$AA$23:$AA$7253,'Besi Balok'!$A$23:$A$7253,$A255,'Besi Balok'!$B$23:$B$7253,$B255,'Besi Balok'!$F$23:$F$7253,'REKAP Balok'!M$11)</f>
        <v>0</v>
      </c>
      <c r="N255" s="282">
        <f>SUMIFS('Besi Balok'!$AA$23:$AA$7253,'Besi Balok'!$A$23:$A$7253,$A255,'Besi Balok'!$B$23:$B$7253,$B255,'Besi Balok'!$F$23:$F$7253,'REKAP Balok'!N$11)</f>
        <v>29.844765000000002</v>
      </c>
      <c r="O255" s="282">
        <f>SUMIFS('Besi Balok'!$AA$23:$AA$7253,'Besi Balok'!$A$23:$A$7253,$A255,'Besi Balok'!$B$23:$B$7253,$B255,'Besi Balok'!$F$23:$F$7253,'REKAP Balok'!O$11)</f>
        <v>38.864394269999998</v>
      </c>
      <c r="P255" s="282">
        <f>SUMIFS('Besi Balok'!$AA$23:$AA$7253,'Besi Balok'!$A$23:$A$7253,$A255,'Besi Balok'!$B$23:$B$7253,$B255,'Besi Balok'!$F$23:$F$7253,'REKAP Balok'!P$11)</f>
        <v>0</v>
      </c>
      <c r="Q255" s="282">
        <f>SUMIFS('Besi Balok'!$AA$23:$AA$7253,'Besi Balok'!$A$23:$A$7253,$A255,'Besi Balok'!$B$23:$B$7253,$B255,'Besi Balok'!$F$23:$F$7253,'REKAP Balok'!Q$11)</f>
        <v>0</v>
      </c>
      <c r="R255" s="282">
        <f>SUMIFS('Besi Balok'!$AA$23:$AA$7253,'Besi Balok'!$A$23:$A$7253,$A255,'Besi Balok'!$B$23:$B$7253,$B255,'Besi Balok'!$F$23:$F$7253,'REKAP Balok'!R$11)</f>
        <v>0</v>
      </c>
      <c r="S255" s="282">
        <f>SUMIFS('Besi Balok'!$AA$23:$AA$7253,'Besi Balok'!$A$23:$A$7253,$A255,'Besi Balok'!$B$23:$B$7253,$B255,'Besi Balok'!$F$23:$F$7253,'REKAP Balok'!S$11)</f>
        <v>0</v>
      </c>
      <c r="T255" s="283">
        <f>SUMIFS('Besi Balok'!$AA$23:$AA$7253,'Besi Balok'!$A$23:$A$7253,$A255,'Besi Balok'!$B$23:$B$7253,$B255,'Besi Balok'!$F$23:$F$7253,'REKAP Balok'!T$11)</f>
        <v>0</v>
      </c>
      <c r="U255" s="284">
        <f t="shared" si="62"/>
        <v>68.709159270000001</v>
      </c>
      <c r="V255" s="285">
        <f t="shared" si="63"/>
        <v>0.29525000000000001</v>
      </c>
      <c r="W255" s="282">
        <f t="shared" si="64"/>
        <v>2.9525000000000001</v>
      </c>
      <c r="X255" s="282"/>
      <c r="Y255" s="282"/>
      <c r="Z255" s="283"/>
      <c r="AC255" s="1784">
        <f t="shared" si="65"/>
        <v>0.94479999999999997</v>
      </c>
    </row>
    <row r="256" spans="1:29" hidden="1">
      <c r="A256" s="272" t="str">
        <f>'Data Panjang Balok'!A252</f>
        <v>Lantai Atap</v>
      </c>
      <c r="B256" s="273">
        <f>'Data Panjang Balok'!B252</f>
        <v>32</v>
      </c>
      <c r="C256" s="274" t="str">
        <f>'Data Panjang Balok'!D252</f>
        <v>B24-1</v>
      </c>
      <c r="D256" s="275">
        <f>IF(C256&gt;0,VLOOKUP(C256,'Detail Balok'!$C$11:$AU$140,2,FALSE),0)</f>
        <v>200</v>
      </c>
      <c r="E256" s="276" t="s">
        <v>125</v>
      </c>
      <c r="F256" s="277">
        <f>IF(C256&gt;0,VLOOKUP(C256,'Detail Balok'!$C$11:$AU$140,3,FALSE),0)</f>
        <v>400</v>
      </c>
      <c r="G256" s="278">
        <f>'Data Panjang Balok'!I252</f>
        <v>4635</v>
      </c>
      <c r="H256" s="278">
        <f>'Data Panjang Balok'!J252</f>
        <v>150</v>
      </c>
      <c r="I256" s="279">
        <v>0</v>
      </c>
      <c r="J256" s="279">
        <f t="shared" si="61"/>
        <v>-0.4</v>
      </c>
      <c r="K256" s="280">
        <f>'Data Panjang Balok'!E252</f>
        <v>1</v>
      </c>
      <c r="L256" s="281">
        <f>SUMIFS('Besi Balok'!$AA$23:$AA$7253,'Besi Balok'!$A$23:$A$7253,$A256,'Besi Balok'!$B$23:$B$7253,$B256,'Besi Balok'!$F$23:$F$7253,'REKAP Balok'!L$11)</f>
        <v>0</v>
      </c>
      <c r="M256" s="282">
        <f>SUMIFS('Besi Balok'!$AA$23:$AA$7253,'Besi Balok'!$A$23:$A$7253,$A256,'Besi Balok'!$B$23:$B$7253,$B256,'Besi Balok'!$F$23:$F$7253,'REKAP Balok'!M$11)</f>
        <v>0</v>
      </c>
      <c r="N256" s="282">
        <f>SUMIFS('Besi Balok'!$AA$23:$AA$7253,'Besi Balok'!$A$23:$A$7253,$A256,'Besi Balok'!$B$23:$B$7253,$B256,'Besi Balok'!$F$23:$F$7253,'REKAP Balok'!N$11)</f>
        <v>24.129810000000006</v>
      </c>
      <c r="O256" s="282">
        <f>SUMIFS('Besi Balok'!$AA$23:$AA$7253,'Besi Balok'!$A$23:$A$7253,$A256,'Besi Balok'!$B$23:$B$7253,$B256,'Besi Balok'!$F$23:$F$7253,'REKAP Balok'!O$11)</f>
        <v>30.92523057</v>
      </c>
      <c r="P256" s="282">
        <f>SUMIFS('Besi Balok'!$AA$23:$AA$7253,'Besi Balok'!$A$23:$A$7253,$A256,'Besi Balok'!$B$23:$B$7253,$B256,'Besi Balok'!$F$23:$F$7253,'REKAP Balok'!P$11)</f>
        <v>0</v>
      </c>
      <c r="Q256" s="282">
        <f>SUMIFS('Besi Balok'!$AA$23:$AA$7253,'Besi Balok'!$A$23:$A$7253,$A256,'Besi Balok'!$B$23:$B$7253,$B256,'Besi Balok'!$F$23:$F$7253,'REKAP Balok'!Q$11)</f>
        <v>0</v>
      </c>
      <c r="R256" s="282">
        <f>SUMIFS('Besi Balok'!$AA$23:$AA$7253,'Besi Balok'!$A$23:$A$7253,$A256,'Besi Balok'!$B$23:$B$7253,$B256,'Besi Balok'!$F$23:$F$7253,'REKAP Balok'!R$11)</f>
        <v>0</v>
      </c>
      <c r="S256" s="282">
        <f>SUMIFS('Besi Balok'!$AA$23:$AA$7253,'Besi Balok'!$A$23:$A$7253,$A256,'Besi Balok'!$B$23:$B$7253,$B256,'Besi Balok'!$F$23:$F$7253,'REKAP Balok'!S$11)</f>
        <v>0</v>
      </c>
      <c r="T256" s="283">
        <f>SUMIFS('Besi Balok'!$AA$23:$AA$7253,'Besi Balok'!$A$23:$A$7253,$A256,'Besi Balok'!$B$23:$B$7253,$B256,'Besi Balok'!$F$23:$F$7253,'REKAP Balok'!T$11)</f>
        <v>0</v>
      </c>
      <c r="U256" s="284">
        <f t="shared" si="62"/>
        <v>55.055040570000003</v>
      </c>
      <c r="V256" s="285">
        <f t="shared" si="63"/>
        <v>0.23175000000000001</v>
      </c>
      <c r="W256" s="282">
        <f t="shared" si="64"/>
        <v>2.3174999999999999</v>
      </c>
      <c r="X256" s="282"/>
      <c r="Y256" s="282"/>
      <c r="Z256" s="283"/>
      <c r="AC256" s="1784">
        <f t="shared" si="65"/>
        <v>0.74160000000000004</v>
      </c>
    </row>
    <row r="257" spans="1:29" hidden="1">
      <c r="A257" s="272" t="str">
        <f>'Data Panjang Balok'!A253</f>
        <v>Lantai Atap</v>
      </c>
      <c r="B257" s="273">
        <f>'Data Panjang Balok'!B253</f>
        <v>33</v>
      </c>
      <c r="C257" s="274" t="str">
        <f>'Data Panjang Balok'!D253</f>
        <v>B24-1</v>
      </c>
      <c r="D257" s="275">
        <f>IF(C257&gt;0,VLOOKUP(C257,'Detail Balok'!$C$11:$AU$140,2,FALSE),0)</f>
        <v>200</v>
      </c>
      <c r="E257" s="276" t="s">
        <v>125</v>
      </c>
      <c r="F257" s="277">
        <f>IF(C257&gt;0,VLOOKUP(C257,'Detail Balok'!$C$11:$AU$140,3,FALSE),0)</f>
        <v>400</v>
      </c>
      <c r="G257" s="278">
        <f>'Data Panjang Balok'!I253</f>
        <v>5905</v>
      </c>
      <c r="H257" s="278">
        <f>'Data Panjang Balok'!J253</f>
        <v>150</v>
      </c>
      <c r="I257" s="279">
        <v>0</v>
      </c>
      <c r="J257" s="279">
        <f t="shared" si="61"/>
        <v>-0.4</v>
      </c>
      <c r="K257" s="280">
        <f>'Data Panjang Balok'!E253</f>
        <v>1</v>
      </c>
      <c r="L257" s="281">
        <f>SUMIFS('Besi Balok'!$AA$23:$AA$7253,'Besi Balok'!$A$23:$A$7253,$A257,'Besi Balok'!$B$23:$B$7253,$B257,'Besi Balok'!$F$23:$F$7253,'REKAP Balok'!L$11)</f>
        <v>0</v>
      </c>
      <c r="M257" s="282">
        <f>SUMIFS('Besi Balok'!$AA$23:$AA$7253,'Besi Balok'!$A$23:$A$7253,$A257,'Besi Balok'!$B$23:$B$7253,$B257,'Besi Balok'!$F$23:$F$7253,'REKAP Balok'!M$11)</f>
        <v>0</v>
      </c>
      <c r="N257" s="282">
        <f>SUMIFS('Besi Balok'!$AA$23:$AA$7253,'Besi Balok'!$A$23:$A$7253,$A257,'Besi Balok'!$B$23:$B$7253,$B257,'Besi Balok'!$F$23:$F$7253,'REKAP Balok'!N$11)</f>
        <v>29.844765000000002</v>
      </c>
      <c r="O257" s="282">
        <f>SUMIFS('Besi Balok'!$AA$23:$AA$7253,'Besi Balok'!$A$23:$A$7253,$A257,'Besi Balok'!$B$23:$B$7253,$B257,'Besi Balok'!$F$23:$F$7253,'REKAP Balok'!O$11)</f>
        <v>38.864394269999998</v>
      </c>
      <c r="P257" s="282">
        <f>SUMIFS('Besi Balok'!$AA$23:$AA$7253,'Besi Balok'!$A$23:$A$7253,$A257,'Besi Balok'!$B$23:$B$7253,$B257,'Besi Balok'!$F$23:$F$7253,'REKAP Balok'!P$11)</f>
        <v>0</v>
      </c>
      <c r="Q257" s="282">
        <f>SUMIFS('Besi Balok'!$AA$23:$AA$7253,'Besi Balok'!$A$23:$A$7253,$A257,'Besi Balok'!$B$23:$B$7253,$B257,'Besi Balok'!$F$23:$F$7253,'REKAP Balok'!Q$11)</f>
        <v>0</v>
      </c>
      <c r="R257" s="282">
        <f>SUMIFS('Besi Balok'!$AA$23:$AA$7253,'Besi Balok'!$A$23:$A$7253,$A257,'Besi Balok'!$B$23:$B$7253,$B257,'Besi Balok'!$F$23:$F$7253,'REKAP Balok'!R$11)</f>
        <v>0</v>
      </c>
      <c r="S257" s="282">
        <f>SUMIFS('Besi Balok'!$AA$23:$AA$7253,'Besi Balok'!$A$23:$A$7253,$A257,'Besi Balok'!$B$23:$B$7253,$B257,'Besi Balok'!$F$23:$F$7253,'REKAP Balok'!S$11)</f>
        <v>0</v>
      </c>
      <c r="T257" s="283">
        <f>SUMIFS('Besi Balok'!$AA$23:$AA$7253,'Besi Balok'!$A$23:$A$7253,$A257,'Besi Balok'!$B$23:$B$7253,$B257,'Besi Balok'!$F$23:$F$7253,'REKAP Balok'!T$11)</f>
        <v>0</v>
      </c>
      <c r="U257" s="284">
        <f t="shared" si="62"/>
        <v>68.709159270000001</v>
      </c>
      <c r="V257" s="285">
        <f t="shared" si="63"/>
        <v>0.29525000000000001</v>
      </c>
      <c r="W257" s="282">
        <f t="shared" si="64"/>
        <v>2.9525000000000001</v>
      </c>
      <c r="X257" s="282"/>
      <c r="Y257" s="282"/>
      <c r="Z257" s="283"/>
      <c r="AC257" s="1784">
        <f t="shared" si="65"/>
        <v>0.94479999999999997</v>
      </c>
    </row>
    <row r="258" spans="1:29" ht="15.75" thickBot="1">
      <c r="A258" s="1837"/>
      <c r="B258" s="1838"/>
      <c r="C258" s="1839"/>
      <c r="D258" s="1840"/>
      <c r="E258" s="1841"/>
      <c r="F258" s="1842"/>
      <c r="G258" s="1843"/>
      <c r="H258" s="1843"/>
      <c r="I258" s="1844"/>
      <c r="J258" s="1844"/>
      <c r="K258" s="1845"/>
      <c r="L258" s="1846"/>
      <c r="M258" s="1847"/>
      <c r="N258" s="1848"/>
      <c r="O258" s="1848"/>
      <c r="P258" s="1848"/>
      <c r="Q258" s="1848"/>
      <c r="R258" s="1848"/>
      <c r="S258" s="1848"/>
      <c r="T258" s="1849"/>
      <c r="U258" s="1850"/>
      <c r="V258" s="1847"/>
      <c r="W258" s="1847"/>
      <c r="X258" s="1847"/>
      <c r="Y258" s="1847"/>
      <c r="Z258" s="1849"/>
    </row>
    <row r="259" spans="1:29">
      <c r="A259" s="1851"/>
      <c r="B259" s="1852"/>
      <c r="C259" s="1853"/>
      <c r="D259" s="1854"/>
      <c r="E259" s="1855"/>
      <c r="F259" s="1856"/>
      <c r="G259" s="1857"/>
      <c r="H259" s="1857"/>
      <c r="I259" s="1858"/>
      <c r="J259" s="1858"/>
      <c r="K259" s="1859"/>
      <c r="L259" s="1860">
        <f>SUM(L13:L257)</f>
        <v>0</v>
      </c>
      <c r="M259" s="1861">
        <f t="shared" ref="M259:T259" si="76">SUM(M13:M257)</f>
        <v>1310.6928095999999</v>
      </c>
      <c r="N259" s="1862">
        <f t="shared" si="76"/>
        <v>4878.0399743999997</v>
      </c>
      <c r="O259" s="1862">
        <f t="shared" si="76"/>
        <v>3040.9931961045013</v>
      </c>
      <c r="P259" s="1862">
        <f t="shared" si="76"/>
        <v>8688.9428720639989</v>
      </c>
      <c r="Q259" s="1862">
        <f t="shared" si="76"/>
        <v>0</v>
      </c>
      <c r="R259" s="1862">
        <f t="shared" si="76"/>
        <v>0</v>
      </c>
      <c r="S259" s="1862">
        <f t="shared" si="76"/>
        <v>0</v>
      </c>
      <c r="T259" s="1863">
        <f t="shared" si="76"/>
        <v>0</v>
      </c>
      <c r="U259" s="1864">
        <f>SUM(L259:T259)</f>
        <v>17918.668852168499</v>
      </c>
      <c r="V259" s="1861">
        <f>SUM(V12:V257)</f>
        <v>86.698306249999959</v>
      </c>
      <c r="W259" s="1861">
        <f>SUM(W12:W257)</f>
        <v>883.98545000000036</v>
      </c>
      <c r="X259" s="1861">
        <f>SUM(X12:X257)</f>
        <v>0</v>
      </c>
      <c r="Y259" s="1861">
        <f>SUM(Y12:Y257)</f>
        <v>9.113900000000001</v>
      </c>
      <c r="Z259" s="286">
        <f>SUM(Z12:Z257)</f>
        <v>92.430300000000003</v>
      </c>
    </row>
    <row r="260" spans="1:29" ht="15.75" thickBot="1">
      <c r="A260" s="1865"/>
      <c r="B260" s="1866"/>
      <c r="C260" s="1867"/>
      <c r="D260" s="1868"/>
      <c r="E260" s="1869"/>
      <c r="F260" s="1870"/>
      <c r="G260" s="1867"/>
      <c r="H260" s="1867"/>
      <c r="I260" s="1871"/>
      <c r="J260" s="1871"/>
      <c r="K260" s="1872" t="s">
        <v>54</v>
      </c>
      <c r="L260" s="1873">
        <f>L259-SUM('Besi Balok'!H7264:J7264)</f>
        <v>0</v>
      </c>
      <c r="M260" s="1874">
        <f>M259-SUM('Besi Balok'!H7265:J7265)</f>
        <v>0</v>
      </c>
      <c r="N260" s="1874">
        <f>N259-SUM('Besi Balok'!H7266:J7266)</f>
        <v>8.1854523159563541E-12</v>
      </c>
      <c r="O260" s="1874">
        <f>O259-SUM('Besi Balok'!H7268:J7268)</f>
        <v>0</v>
      </c>
      <c r="P260" s="1874">
        <f>P259-SUM('Besi Balok'!H7269:J7269)</f>
        <v>0</v>
      </c>
      <c r="Q260" s="1874">
        <f>Q259-SUM('Besi Balok'!H7270:J7270)</f>
        <v>0</v>
      </c>
      <c r="R260" s="1874">
        <f>R259-SUM('Besi Balok'!H7271:J7271)</f>
        <v>0</v>
      </c>
      <c r="S260" s="1874">
        <f>S259-SUM('Besi Balok'!H7272:J7272)</f>
        <v>0</v>
      </c>
      <c r="T260" s="1875">
        <f>T259-SUM('Besi Balok'!H7273:J7273)</f>
        <v>0</v>
      </c>
      <c r="U260" s="1876">
        <f>U259-SUM(U12:U257)</f>
        <v>0</v>
      </c>
      <c r="V260" s="1866"/>
      <c r="W260" s="1867"/>
      <c r="X260" s="1867"/>
      <c r="Y260" s="1867"/>
      <c r="Z260" s="1877"/>
    </row>
    <row r="261" spans="1:29">
      <c r="K261" s="248"/>
      <c r="N261" s="287"/>
      <c r="T261" s="288" t="s">
        <v>126</v>
      </c>
      <c r="U261" s="289">
        <f>U259/V259</f>
        <v>206.67841884360351</v>
      </c>
      <c r="V261" s="290">
        <f>U259-SUM('Besi Balok'!H7275:J7275)</f>
        <v>0</v>
      </c>
    </row>
    <row r="262" spans="1:29" ht="15.75" thickBot="1">
      <c r="C262" s="249" t="s">
        <v>127</v>
      </c>
      <c r="H262" s="248"/>
      <c r="I262" s="248"/>
      <c r="J262" s="248"/>
      <c r="K262" s="246"/>
      <c r="T262" s="249"/>
    </row>
    <row r="263" spans="1:29" ht="15" customHeight="1">
      <c r="C263" s="2471"/>
      <c r="D263" s="2472"/>
      <c r="E263" s="2472"/>
      <c r="F263" s="2473"/>
      <c r="G263" s="2507" t="s">
        <v>95</v>
      </c>
      <c r="H263" s="2509" t="s">
        <v>96</v>
      </c>
      <c r="I263" s="2509" t="s">
        <v>72</v>
      </c>
      <c r="J263" s="2509" t="s">
        <v>71</v>
      </c>
      <c r="K263" s="2509" t="s">
        <v>73</v>
      </c>
      <c r="L263" s="2502" t="s">
        <v>99</v>
      </c>
      <c r="M263" s="2503"/>
      <c r="N263" s="2503"/>
      <c r="O263" s="2503"/>
      <c r="P263" s="2503"/>
      <c r="Q263" s="2503"/>
      <c r="R263" s="2503"/>
      <c r="S263" s="2503"/>
      <c r="T263" s="2504"/>
      <c r="U263" s="2505" t="s">
        <v>124</v>
      </c>
      <c r="V263" s="249"/>
      <c r="W263" s="2488" t="s">
        <v>128</v>
      </c>
      <c r="X263" s="2489"/>
    </row>
    <row r="264" spans="1:29" ht="15.75" thickBot="1">
      <c r="C264" s="2474"/>
      <c r="D264" s="2475"/>
      <c r="E264" s="2475"/>
      <c r="F264" s="2476"/>
      <c r="G264" s="2508"/>
      <c r="H264" s="2510"/>
      <c r="I264" s="2510"/>
      <c r="J264" s="2510"/>
      <c r="K264" s="2510"/>
      <c r="L264" s="291">
        <v>6</v>
      </c>
      <c r="M264" s="291">
        <v>8</v>
      </c>
      <c r="N264" s="292">
        <v>10</v>
      </c>
      <c r="O264" s="292">
        <v>13</v>
      </c>
      <c r="P264" s="292">
        <v>16</v>
      </c>
      <c r="Q264" s="292">
        <v>19</v>
      </c>
      <c r="R264" s="292">
        <v>22</v>
      </c>
      <c r="S264" s="292">
        <v>25</v>
      </c>
      <c r="T264" s="293">
        <v>29</v>
      </c>
      <c r="U264" s="2506"/>
      <c r="V264" s="249"/>
      <c r="W264" s="294" t="s">
        <v>129</v>
      </c>
      <c r="X264" s="295" t="s">
        <v>130</v>
      </c>
    </row>
    <row r="265" spans="1:29" s="249" customFormat="1">
      <c r="A265" s="246"/>
      <c r="B265" s="246"/>
      <c r="C265" s="296"/>
      <c r="D265" s="306"/>
      <c r="E265" s="305"/>
      <c r="F265" s="305"/>
      <c r="G265" s="298"/>
      <c r="H265" s="298"/>
      <c r="I265" s="298"/>
      <c r="J265" s="298"/>
      <c r="K265" s="298"/>
      <c r="L265" s="299"/>
      <c r="M265" s="300"/>
      <c r="N265" s="300"/>
      <c r="O265" s="300"/>
      <c r="P265" s="300"/>
      <c r="Q265" s="300"/>
      <c r="R265" s="300"/>
      <c r="S265" s="300"/>
      <c r="T265" s="301"/>
      <c r="U265" s="302"/>
      <c r="W265" s="303"/>
      <c r="X265" s="304"/>
      <c r="Y265" s="246"/>
      <c r="Z265" s="246"/>
      <c r="AA265" s="246"/>
    </row>
    <row r="266" spans="1:29" s="249" customFormat="1">
      <c r="A266" s="246"/>
      <c r="B266" s="246"/>
      <c r="C266" s="296" t="s">
        <v>131</v>
      </c>
      <c r="D266" s="306" t="s">
        <v>2188</v>
      </c>
      <c r="E266" s="305"/>
      <c r="F266" s="305"/>
      <c r="G266" s="298">
        <f t="shared" ref="G266:G280" si="77">SUMIFS($V$12:$V$260,$A$12:$A$260,$C266,$C$12:$C$260,$D266)</f>
        <v>0.15</v>
      </c>
      <c r="H266" s="298">
        <f t="shared" ref="H266:H280" si="78">SUMIFS($W$12:$W$260,$A$12:$A$260,$C266,$C$12:$C$260,$D266)</f>
        <v>1.5</v>
      </c>
      <c r="I266" s="298">
        <f t="shared" ref="I266:I280" si="79">SUMIFS($X$12:$X$260,$A$12:$A$260,$C266,$C$12:$C$260,$D266)</f>
        <v>0</v>
      </c>
      <c r="J266" s="298">
        <f t="shared" ref="J266:J280" si="80">SUMIFS($Y$12:$Y$260,$A$12:$A$260,$C266,$C$12:$C$260,$D266)</f>
        <v>0.1</v>
      </c>
      <c r="K266" s="298">
        <f t="shared" ref="K266:K280" si="81">SUMIFS($Z$12:$Z$260,$A$12:$A$260,$C266,$C$12:$C$260,$D266)</f>
        <v>0.69999999999999951</v>
      </c>
      <c r="L266" s="299">
        <f t="shared" ref="L266:T280" si="82">SUMIFS(L$12:L$260,$A$12:$A$260,$C266,$C$12:$C$260,$D266)</f>
        <v>0</v>
      </c>
      <c r="M266" s="300">
        <f t="shared" si="82"/>
        <v>11.461968000000001</v>
      </c>
      <c r="N266" s="300">
        <f t="shared" si="82"/>
        <v>0</v>
      </c>
      <c r="O266" s="300">
        <f t="shared" si="82"/>
        <v>22.137972479999995</v>
      </c>
      <c r="P266" s="300">
        <f t="shared" si="82"/>
        <v>0</v>
      </c>
      <c r="Q266" s="300">
        <f t="shared" si="82"/>
        <v>0</v>
      </c>
      <c r="R266" s="300">
        <f t="shared" si="82"/>
        <v>0</v>
      </c>
      <c r="S266" s="300">
        <f t="shared" si="82"/>
        <v>0</v>
      </c>
      <c r="T266" s="301">
        <f t="shared" si="82"/>
        <v>0</v>
      </c>
      <c r="U266" s="302">
        <f>SUM(L266:T266)</f>
        <v>33.599940479999994</v>
      </c>
      <c r="W266" s="303">
        <f>IF(G266&gt;0,H266/G266,0)</f>
        <v>10</v>
      </c>
      <c r="X266" s="304">
        <f>IF(G266&gt;0,U266/G266,0)</f>
        <v>223.99960319999997</v>
      </c>
      <c r="Y266" s="246"/>
      <c r="Z266" s="246"/>
      <c r="AA266" s="246"/>
    </row>
    <row r="267" spans="1:29" s="249" customFormat="1">
      <c r="A267" s="246"/>
      <c r="B267" s="246"/>
      <c r="C267" s="296" t="str">
        <f>C266</f>
        <v>Lantai 1</v>
      </c>
      <c r="D267" s="306" t="s">
        <v>2189</v>
      </c>
      <c r="E267" s="305"/>
      <c r="F267" s="305"/>
      <c r="G267" s="298">
        <f t="shared" si="77"/>
        <v>10.213200000000001</v>
      </c>
      <c r="H267" s="298">
        <f t="shared" si="78"/>
        <v>102.13200000000001</v>
      </c>
      <c r="I267" s="298">
        <f t="shared" si="79"/>
        <v>0</v>
      </c>
      <c r="J267" s="298">
        <f t="shared" si="80"/>
        <v>3.1574999999999998</v>
      </c>
      <c r="K267" s="298">
        <f t="shared" si="81"/>
        <v>28.417499999999997</v>
      </c>
      <c r="L267" s="299">
        <f t="shared" si="82"/>
        <v>0</v>
      </c>
      <c r="M267" s="300">
        <f t="shared" si="82"/>
        <v>404.36481600000002</v>
      </c>
      <c r="N267" s="300">
        <f t="shared" si="82"/>
        <v>0</v>
      </c>
      <c r="O267" s="300">
        <f t="shared" si="82"/>
        <v>1057.1484068730001</v>
      </c>
      <c r="P267" s="300">
        <f t="shared" si="82"/>
        <v>0</v>
      </c>
      <c r="Q267" s="300">
        <f t="shared" si="82"/>
        <v>0</v>
      </c>
      <c r="R267" s="300">
        <f t="shared" si="82"/>
        <v>0</v>
      </c>
      <c r="S267" s="300">
        <f t="shared" si="82"/>
        <v>0</v>
      </c>
      <c r="T267" s="301">
        <f t="shared" si="82"/>
        <v>0</v>
      </c>
      <c r="U267" s="302">
        <f t="shared" ref="U267" si="83">SUM(L267:T267)</f>
        <v>1461.5132228730001</v>
      </c>
      <c r="W267" s="303">
        <f t="shared" ref="W267" si="84">IF(G267&gt;0,H267/G267,0)</f>
        <v>10</v>
      </c>
      <c r="X267" s="304">
        <f t="shared" ref="X267" si="85">IF(G267&gt;0,U267/G267,0)</f>
        <v>143.1004213050758</v>
      </c>
      <c r="Y267" s="246"/>
      <c r="Z267" s="246"/>
      <c r="AA267" s="246"/>
    </row>
    <row r="268" spans="1:29" s="249" customFormat="1">
      <c r="A268" s="246"/>
      <c r="B268" s="246"/>
      <c r="C268" s="296" t="str">
        <f t="shared" ref="C268:C280" si="86">C267</f>
        <v>Lantai 1</v>
      </c>
      <c r="D268" s="306" t="s">
        <v>2284</v>
      </c>
      <c r="E268" s="305"/>
      <c r="F268" s="305"/>
      <c r="G268" s="298">
        <f t="shared" si="77"/>
        <v>4.8085500000000003</v>
      </c>
      <c r="H268" s="298">
        <f t="shared" si="78"/>
        <v>48.085500000000003</v>
      </c>
      <c r="I268" s="298">
        <f t="shared" si="79"/>
        <v>0</v>
      </c>
      <c r="J268" s="298">
        <f t="shared" si="80"/>
        <v>1.6417999999999999</v>
      </c>
      <c r="K268" s="298">
        <f t="shared" si="81"/>
        <v>14.776199999999998</v>
      </c>
      <c r="L268" s="299">
        <f t="shared" si="82"/>
        <v>0</v>
      </c>
      <c r="M268" s="300">
        <f t="shared" si="82"/>
        <v>206.85597120000003</v>
      </c>
      <c r="N268" s="300">
        <f t="shared" si="82"/>
        <v>0</v>
      </c>
      <c r="O268" s="300">
        <f t="shared" si="82"/>
        <v>0</v>
      </c>
      <c r="P268" s="300">
        <f t="shared" si="82"/>
        <v>828.25403904000007</v>
      </c>
      <c r="Q268" s="300">
        <f t="shared" si="82"/>
        <v>0</v>
      </c>
      <c r="R268" s="300">
        <f t="shared" si="82"/>
        <v>0</v>
      </c>
      <c r="S268" s="300">
        <f t="shared" si="82"/>
        <v>0</v>
      </c>
      <c r="T268" s="301">
        <f t="shared" si="82"/>
        <v>0</v>
      </c>
      <c r="U268" s="302">
        <f t="shared" ref="U268:U280" si="87">SUM(L268:T268)</f>
        <v>1035.1100102400001</v>
      </c>
      <c r="W268" s="303">
        <f t="shared" ref="W268:W280" si="88">IF(G268&gt;0,H268/G268,0)</f>
        <v>10</v>
      </c>
      <c r="X268" s="304">
        <f t="shared" ref="X268:X280" si="89">IF(G268&gt;0,U268/G268,0)</f>
        <v>215.26447894687587</v>
      </c>
      <c r="Y268" s="246"/>
      <c r="Z268" s="246"/>
      <c r="AA268" s="246"/>
    </row>
    <row r="269" spans="1:29" s="249" customFormat="1">
      <c r="A269" s="246"/>
      <c r="B269" s="246"/>
      <c r="C269" s="296" t="str">
        <f t="shared" si="86"/>
        <v>Lantai 1</v>
      </c>
      <c r="D269" s="306" t="s">
        <v>2190</v>
      </c>
      <c r="E269" s="305"/>
      <c r="F269" s="305"/>
      <c r="G269" s="298">
        <f t="shared" si="77"/>
        <v>6.6012000000000013</v>
      </c>
      <c r="H269" s="298">
        <f t="shared" si="78"/>
        <v>66.012</v>
      </c>
      <c r="I269" s="298">
        <f t="shared" si="79"/>
        <v>0</v>
      </c>
      <c r="J269" s="298">
        <f t="shared" si="80"/>
        <v>1.8762000000000005</v>
      </c>
      <c r="K269" s="298">
        <f t="shared" si="81"/>
        <v>20.638200000000005</v>
      </c>
      <c r="L269" s="299">
        <f t="shared" si="82"/>
        <v>0</v>
      </c>
      <c r="M269" s="300">
        <f t="shared" si="82"/>
        <v>282.93503040000002</v>
      </c>
      <c r="N269" s="300">
        <f t="shared" si="82"/>
        <v>120.9950298</v>
      </c>
      <c r="O269" s="300">
        <f t="shared" si="82"/>
        <v>0</v>
      </c>
      <c r="P269" s="300">
        <f t="shared" si="82"/>
        <v>953.78851123200013</v>
      </c>
      <c r="Q269" s="300">
        <f t="shared" si="82"/>
        <v>0</v>
      </c>
      <c r="R269" s="300">
        <f t="shared" si="82"/>
        <v>0</v>
      </c>
      <c r="S269" s="300">
        <f t="shared" si="82"/>
        <v>0</v>
      </c>
      <c r="T269" s="301">
        <f t="shared" si="82"/>
        <v>0</v>
      </c>
      <c r="U269" s="302">
        <f t="shared" ref="U269:U270" si="90">SUM(L269:T269)</f>
        <v>1357.7185714320001</v>
      </c>
      <c r="W269" s="303">
        <f t="shared" ref="W269:W270" si="91">IF(G269&gt;0,H269/G269,0)</f>
        <v>9.9999999999999982</v>
      </c>
      <c r="X269" s="304">
        <f>IF(G269&gt;0,U269/G269,0)</f>
        <v>205.67753914924558</v>
      </c>
      <c r="Y269" s="246"/>
      <c r="Z269" s="246"/>
      <c r="AA269" s="246"/>
    </row>
    <row r="270" spans="1:29" s="249" customFormat="1">
      <c r="A270" s="246"/>
      <c r="B270" s="246"/>
      <c r="C270" s="296" t="str">
        <f t="shared" si="86"/>
        <v>Lantai 1</v>
      </c>
      <c r="D270" s="306" t="s">
        <v>2285</v>
      </c>
      <c r="E270" s="305"/>
      <c r="F270" s="305"/>
      <c r="G270" s="298">
        <f t="shared" si="77"/>
        <v>6.9390000000000009</v>
      </c>
      <c r="H270" s="298">
        <f t="shared" si="78"/>
        <v>46.260000000000005</v>
      </c>
      <c r="I270" s="298">
        <f t="shared" si="79"/>
        <v>0</v>
      </c>
      <c r="J270" s="298">
        <f t="shared" si="80"/>
        <v>1.2850000000000001</v>
      </c>
      <c r="K270" s="298">
        <f t="shared" si="81"/>
        <v>16.704999999999991</v>
      </c>
      <c r="L270" s="299">
        <f t="shared" si="82"/>
        <v>0</v>
      </c>
      <c r="M270" s="300">
        <f t="shared" si="82"/>
        <v>204.51623040000004</v>
      </c>
      <c r="N270" s="300">
        <f t="shared" si="82"/>
        <v>66.335400000000007</v>
      </c>
      <c r="O270" s="300">
        <f t="shared" si="82"/>
        <v>0</v>
      </c>
      <c r="P270" s="300">
        <f t="shared" si="82"/>
        <v>697.45582079999997</v>
      </c>
      <c r="Q270" s="300">
        <f t="shared" si="82"/>
        <v>0</v>
      </c>
      <c r="R270" s="300">
        <f t="shared" si="82"/>
        <v>0</v>
      </c>
      <c r="S270" s="300">
        <f t="shared" si="82"/>
        <v>0</v>
      </c>
      <c r="T270" s="301">
        <f t="shared" si="82"/>
        <v>0</v>
      </c>
      <c r="U270" s="302">
        <f t="shared" si="90"/>
        <v>968.30745120000006</v>
      </c>
      <c r="W270" s="303">
        <f t="shared" si="91"/>
        <v>6.6666666666666661</v>
      </c>
      <c r="X270" s="304">
        <f t="shared" ref="X270" si="92">IF(G270&gt;0,U270/G270,0)</f>
        <v>139.54567678339816</v>
      </c>
      <c r="Y270" s="246"/>
      <c r="Z270" s="246"/>
      <c r="AA270" s="246"/>
    </row>
    <row r="271" spans="1:29" s="249" customFormat="1">
      <c r="A271" s="246"/>
      <c r="B271" s="246"/>
      <c r="C271" s="296" t="str">
        <f t="shared" si="86"/>
        <v>Lantai 1</v>
      </c>
      <c r="D271" s="306" t="s">
        <v>2286</v>
      </c>
      <c r="E271" s="305"/>
      <c r="F271" s="305"/>
      <c r="G271" s="298">
        <f t="shared" si="77"/>
        <v>0</v>
      </c>
      <c r="H271" s="298">
        <f t="shared" si="78"/>
        <v>0</v>
      </c>
      <c r="I271" s="298">
        <f t="shared" si="79"/>
        <v>0</v>
      </c>
      <c r="J271" s="298">
        <f t="shared" si="80"/>
        <v>0</v>
      </c>
      <c r="K271" s="298">
        <f t="shared" si="81"/>
        <v>0</v>
      </c>
      <c r="L271" s="299">
        <f t="shared" si="82"/>
        <v>0</v>
      </c>
      <c r="M271" s="300">
        <f t="shared" si="82"/>
        <v>0</v>
      </c>
      <c r="N271" s="300">
        <f t="shared" si="82"/>
        <v>0</v>
      </c>
      <c r="O271" s="300">
        <f t="shared" si="82"/>
        <v>0</v>
      </c>
      <c r="P271" s="300">
        <f t="shared" si="82"/>
        <v>0</v>
      </c>
      <c r="Q271" s="300">
        <f t="shared" si="82"/>
        <v>0</v>
      </c>
      <c r="R271" s="300">
        <f t="shared" si="82"/>
        <v>0</v>
      </c>
      <c r="S271" s="300">
        <f t="shared" si="82"/>
        <v>0</v>
      </c>
      <c r="T271" s="301">
        <f t="shared" si="82"/>
        <v>0</v>
      </c>
      <c r="U271" s="302">
        <f t="shared" si="87"/>
        <v>0</v>
      </c>
      <c r="W271" s="303">
        <f t="shared" si="88"/>
        <v>0</v>
      </c>
      <c r="X271" s="304">
        <f t="shared" si="89"/>
        <v>0</v>
      </c>
      <c r="Y271" s="246"/>
      <c r="Z271" s="246"/>
      <c r="AA271" s="246"/>
    </row>
    <row r="272" spans="1:29" s="249" customFormat="1">
      <c r="A272" s="246"/>
      <c r="B272" s="246"/>
      <c r="C272" s="296" t="str">
        <f t="shared" si="86"/>
        <v>Lantai 1</v>
      </c>
      <c r="D272" s="306" t="s">
        <v>2287</v>
      </c>
      <c r="E272" s="305"/>
      <c r="F272" s="305"/>
      <c r="G272" s="298">
        <f t="shared" si="77"/>
        <v>0</v>
      </c>
      <c r="H272" s="298">
        <f t="shared" si="78"/>
        <v>0</v>
      </c>
      <c r="I272" s="298">
        <f t="shared" si="79"/>
        <v>0</v>
      </c>
      <c r="J272" s="298">
        <f t="shared" si="80"/>
        <v>0</v>
      </c>
      <c r="K272" s="298">
        <f t="shared" si="81"/>
        <v>0</v>
      </c>
      <c r="L272" s="299">
        <f t="shared" si="82"/>
        <v>0</v>
      </c>
      <c r="M272" s="300">
        <f t="shared" si="82"/>
        <v>0</v>
      </c>
      <c r="N272" s="300">
        <f t="shared" si="82"/>
        <v>0</v>
      </c>
      <c r="O272" s="300">
        <f t="shared" si="82"/>
        <v>0</v>
      </c>
      <c r="P272" s="300">
        <f t="shared" si="82"/>
        <v>0</v>
      </c>
      <c r="Q272" s="300">
        <f t="shared" si="82"/>
        <v>0</v>
      </c>
      <c r="R272" s="300">
        <f t="shared" si="82"/>
        <v>0</v>
      </c>
      <c r="S272" s="300">
        <f t="shared" si="82"/>
        <v>0</v>
      </c>
      <c r="T272" s="301">
        <f t="shared" si="82"/>
        <v>0</v>
      </c>
      <c r="U272" s="302">
        <f t="shared" si="87"/>
        <v>0</v>
      </c>
      <c r="W272" s="303">
        <f t="shared" si="88"/>
        <v>0</v>
      </c>
      <c r="X272" s="304">
        <f t="shared" si="89"/>
        <v>0</v>
      </c>
      <c r="Y272" s="246"/>
      <c r="Z272" s="246"/>
      <c r="AA272" s="246"/>
    </row>
    <row r="273" spans="1:27" s="249" customFormat="1">
      <c r="A273" s="246"/>
      <c r="B273" s="246"/>
      <c r="C273" s="296" t="str">
        <f t="shared" si="86"/>
        <v>Lantai 1</v>
      </c>
      <c r="D273" s="306" t="s">
        <v>2288</v>
      </c>
      <c r="E273" s="305"/>
      <c r="F273" s="305"/>
      <c r="G273" s="298">
        <f t="shared" si="77"/>
        <v>0</v>
      </c>
      <c r="H273" s="298">
        <f t="shared" si="78"/>
        <v>0</v>
      </c>
      <c r="I273" s="298">
        <f t="shared" si="79"/>
        <v>0</v>
      </c>
      <c r="J273" s="298">
        <f t="shared" si="80"/>
        <v>0</v>
      </c>
      <c r="K273" s="298">
        <f t="shared" si="81"/>
        <v>0</v>
      </c>
      <c r="L273" s="299">
        <f t="shared" si="82"/>
        <v>0</v>
      </c>
      <c r="M273" s="300">
        <f t="shared" si="82"/>
        <v>0</v>
      </c>
      <c r="N273" s="300">
        <f t="shared" si="82"/>
        <v>0</v>
      </c>
      <c r="O273" s="300">
        <f t="shared" si="82"/>
        <v>0</v>
      </c>
      <c r="P273" s="300">
        <f t="shared" si="82"/>
        <v>0</v>
      </c>
      <c r="Q273" s="300">
        <f t="shared" si="82"/>
        <v>0</v>
      </c>
      <c r="R273" s="300">
        <f t="shared" si="82"/>
        <v>0</v>
      </c>
      <c r="S273" s="300">
        <f t="shared" si="82"/>
        <v>0</v>
      </c>
      <c r="T273" s="301">
        <f t="shared" si="82"/>
        <v>0</v>
      </c>
      <c r="U273" s="302">
        <f t="shared" si="87"/>
        <v>0</v>
      </c>
      <c r="W273" s="303">
        <f t="shared" si="88"/>
        <v>0</v>
      </c>
      <c r="X273" s="304">
        <f t="shared" si="89"/>
        <v>0</v>
      </c>
      <c r="Y273" s="246"/>
      <c r="Z273" s="246"/>
      <c r="AA273" s="246"/>
    </row>
    <row r="274" spans="1:27" s="249" customFormat="1">
      <c r="A274" s="246"/>
      <c r="B274" s="246"/>
      <c r="C274" s="296" t="str">
        <f t="shared" si="86"/>
        <v>Lantai 1</v>
      </c>
      <c r="D274" s="306" t="s">
        <v>132</v>
      </c>
      <c r="E274" s="305"/>
      <c r="F274" s="305"/>
      <c r="G274" s="298">
        <f t="shared" si="77"/>
        <v>0.309</v>
      </c>
      <c r="H274" s="298">
        <f t="shared" si="78"/>
        <v>3.09</v>
      </c>
      <c r="I274" s="298">
        <f t="shared" si="79"/>
        <v>0</v>
      </c>
      <c r="J274" s="298">
        <f t="shared" si="80"/>
        <v>0.1236</v>
      </c>
      <c r="K274" s="298">
        <f t="shared" si="81"/>
        <v>1.1123999999999998</v>
      </c>
      <c r="L274" s="299">
        <f t="shared" si="82"/>
        <v>0</v>
      </c>
      <c r="M274" s="300">
        <f t="shared" si="82"/>
        <v>0</v>
      </c>
      <c r="N274" s="300">
        <f t="shared" si="82"/>
        <v>31.749750000000006</v>
      </c>
      <c r="O274" s="300">
        <f t="shared" si="82"/>
        <v>42.533913240000004</v>
      </c>
      <c r="P274" s="300">
        <f t="shared" si="82"/>
        <v>0</v>
      </c>
      <c r="Q274" s="300">
        <f t="shared" si="82"/>
        <v>0</v>
      </c>
      <c r="R274" s="300">
        <f t="shared" si="82"/>
        <v>0</v>
      </c>
      <c r="S274" s="300">
        <f t="shared" si="82"/>
        <v>0</v>
      </c>
      <c r="T274" s="301">
        <f t="shared" si="82"/>
        <v>0</v>
      </c>
      <c r="U274" s="302">
        <f t="shared" si="87"/>
        <v>74.28366324000001</v>
      </c>
      <c r="W274" s="303">
        <f t="shared" si="88"/>
        <v>10</v>
      </c>
      <c r="X274" s="304">
        <f t="shared" si="89"/>
        <v>240.40020466019422</v>
      </c>
      <c r="Y274" s="246"/>
      <c r="Z274" s="246"/>
      <c r="AA274" s="246"/>
    </row>
    <row r="275" spans="1:27" s="249" customFormat="1">
      <c r="A275" s="246"/>
      <c r="B275" s="246"/>
      <c r="C275" s="296" t="str">
        <f t="shared" si="86"/>
        <v>Lantai 1</v>
      </c>
      <c r="D275" s="306" t="s">
        <v>133</v>
      </c>
      <c r="E275" s="305"/>
      <c r="F275" s="305"/>
      <c r="G275" s="298">
        <f t="shared" si="77"/>
        <v>0.1835</v>
      </c>
      <c r="H275" s="298">
        <f t="shared" si="78"/>
        <v>1.835</v>
      </c>
      <c r="I275" s="298">
        <f t="shared" si="79"/>
        <v>0</v>
      </c>
      <c r="J275" s="298">
        <f t="shared" si="80"/>
        <v>7.3399999999999993E-2</v>
      </c>
      <c r="K275" s="298">
        <f t="shared" si="81"/>
        <v>0.66059999999999985</v>
      </c>
      <c r="L275" s="299">
        <f t="shared" si="82"/>
        <v>0</v>
      </c>
      <c r="M275" s="300">
        <f t="shared" si="82"/>
        <v>0</v>
      </c>
      <c r="N275" s="300">
        <f t="shared" si="82"/>
        <v>22.224825000000003</v>
      </c>
      <c r="O275" s="300">
        <f t="shared" si="82"/>
        <v>0</v>
      </c>
      <c r="P275" s="300">
        <f t="shared" si="82"/>
        <v>42.025374720000002</v>
      </c>
      <c r="Q275" s="300">
        <f t="shared" si="82"/>
        <v>0</v>
      </c>
      <c r="R275" s="300">
        <f t="shared" si="82"/>
        <v>0</v>
      </c>
      <c r="S275" s="300">
        <f t="shared" si="82"/>
        <v>0</v>
      </c>
      <c r="T275" s="301">
        <f t="shared" si="82"/>
        <v>0</v>
      </c>
      <c r="U275" s="302">
        <f t="shared" si="87"/>
        <v>64.250199720000012</v>
      </c>
      <c r="W275" s="303">
        <f t="shared" si="88"/>
        <v>10</v>
      </c>
      <c r="X275" s="304">
        <f t="shared" si="89"/>
        <v>350.13732817438699</v>
      </c>
      <c r="Y275" s="246"/>
      <c r="Z275" s="246"/>
      <c r="AA275" s="246"/>
    </row>
    <row r="276" spans="1:27" s="249" customFormat="1">
      <c r="A276" s="246"/>
      <c r="B276" s="246"/>
      <c r="C276" s="296" t="str">
        <f t="shared" si="86"/>
        <v>Lantai 1</v>
      </c>
      <c r="D276" s="306" t="s">
        <v>2289</v>
      </c>
      <c r="E276" s="305"/>
      <c r="F276" s="305"/>
      <c r="G276" s="298">
        <f t="shared" si="77"/>
        <v>0</v>
      </c>
      <c r="H276" s="298">
        <f t="shared" si="78"/>
        <v>0</v>
      </c>
      <c r="I276" s="298">
        <f t="shared" si="79"/>
        <v>0</v>
      </c>
      <c r="J276" s="298">
        <f t="shared" si="80"/>
        <v>0</v>
      </c>
      <c r="K276" s="298">
        <f t="shared" si="81"/>
        <v>0</v>
      </c>
      <c r="L276" s="299">
        <f t="shared" si="82"/>
        <v>0</v>
      </c>
      <c r="M276" s="300">
        <f t="shared" si="82"/>
        <v>0</v>
      </c>
      <c r="N276" s="300">
        <f t="shared" si="82"/>
        <v>0</v>
      </c>
      <c r="O276" s="300">
        <f t="shared" si="82"/>
        <v>0</v>
      </c>
      <c r="P276" s="300">
        <f t="shared" si="82"/>
        <v>0</v>
      </c>
      <c r="Q276" s="300">
        <f t="shared" si="82"/>
        <v>0</v>
      </c>
      <c r="R276" s="300">
        <f t="shared" si="82"/>
        <v>0</v>
      </c>
      <c r="S276" s="300">
        <f t="shared" si="82"/>
        <v>0</v>
      </c>
      <c r="T276" s="301">
        <f t="shared" si="82"/>
        <v>0</v>
      </c>
      <c r="U276" s="302">
        <f t="shared" si="87"/>
        <v>0</v>
      </c>
      <c r="W276" s="303">
        <f t="shared" si="88"/>
        <v>0</v>
      </c>
      <c r="X276" s="304">
        <f t="shared" si="89"/>
        <v>0</v>
      </c>
      <c r="Y276" s="246"/>
      <c r="Z276" s="246"/>
      <c r="AA276" s="246"/>
    </row>
    <row r="277" spans="1:27" s="249" customFormat="1">
      <c r="A277" s="246"/>
      <c r="B277" s="246"/>
      <c r="C277" s="296" t="str">
        <f t="shared" si="86"/>
        <v>Lantai 1</v>
      </c>
      <c r="D277" s="306" t="s">
        <v>134</v>
      </c>
      <c r="E277" s="305"/>
      <c r="F277" s="305"/>
      <c r="G277" s="298">
        <f t="shared" si="77"/>
        <v>3.1496500000000003</v>
      </c>
      <c r="H277" s="298">
        <f t="shared" si="78"/>
        <v>31.496499999999997</v>
      </c>
      <c r="I277" s="298">
        <f t="shared" si="79"/>
        <v>0</v>
      </c>
      <c r="J277" s="298">
        <f t="shared" si="80"/>
        <v>0.85639999999999983</v>
      </c>
      <c r="K277" s="298">
        <f t="shared" si="81"/>
        <v>9.4204000000000008</v>
      </c>
      <c r="L277" s="299">
        <f t="shared" si="82"/>
        <v>0</v>
      </c>
      <c r="M277" s="300">
        <f t="shared" si="82"/>
        <v>0</v>
      </c>
      <c r="N277" s="300">
        <f t="shared" si="82"/>
        <v>254.30008500000002</v>
      </c>
      <c r="O277" s="300">
        <f t="shared" si="82"/>
        <v>0</v>
      </c>
      <c r="P277" s="300">
        <f t="shared" si="82"/>
        <v>574.58036736000008</v>
      </c>
      <c r="Q277" s="300">
        <f t="shared" si="82"/>
        <v>0</v>
      </c>
      <c r="R277" s="300">
        <f t="shared" si="82"/>
        <v>0</v>
      </c>
      <c r="S277" s="300">
        <f t="shared" si="82"/>
        <v>0</v>
      </c>
      <c r="T277" s="301">
        <f t="shared" si="82"/>
        <v>0</v>
      </c>
      <c r="U277" s="302">
        <f t="shared" si="87"/>
        <v>828.88045236000016</v>
      </c>
      <c r="W277" s="303">
        <f t="shared" si="88"/>
        <v>9.9999999999999982</v>
      </c>
      <c r="X277" s="304">
        <f t="shared" si="89"/>
        <v>263.16589219754576</v>
      </c>
      <c r="Y277" s="246"/>
      <c r="Z277" s="246"/>
      <c r="AA277" s="246"/>
    </row>
    <row r="278" spans="1:27" s="249" customFormat="1">
      <c r="A278" s="246"/>
      <c r="B278" s="246"/>
      <c r="C278" s="296" t="str">
        <f t="shared" si="86"/>
        <v>Lantai 1</v>
      </c>
      <c r="D278" s="306" t="s">
        <v>135</v>
      </c>
      <c r="E278" s="305"/>
      <c r="F278" s="305"/>
      <c r="G278" s="298">
        <f t="shared" si="77"/>
        <v>0</v>
      </c>
      <c r="H278" s="298">
        <f t="shared" si="78"/>
        <v>0</v>
      </c>
      <c r="I278" s="298">
        <f t="shared" si="79"/>
        <v>0</v>
      </c>
      <c r="J278" s="298">
        <f t="shared" si="80"/>
        <v>0</v>
      </c>
      <c r="K278" s="298">
        <f t="shared" si="81"/>
        <v>0</v>
      </c>
      <c r="L278" s="299">
        <f t="shared" si="82"/>
        <v>0</v>
      </c>
      <c r="M278" s="300">
        <f t="shared" si="82"/>
        <v>0</v>
      </c>
      <c r="N278" s="300">
        <f t="shared" si="82"/>
        <v>0</v>
      </c>
      <c r="O278" s="300">
        <f t="shared" si="82"/>
        <v>0</v>
      </c>
      <c r="P278" s="300">
        <f t="shared" si="82"/>
        <v>0</v>
      </c>
      <c r="Q278" s="300">
        <f t="shared" si="82"/>
        <v>0</v>
      </c>
      <c r="R278" s="300">
        <f t="shared" si="82"/>
        <v>0</v>
      </c>
      <c r="S278" s="300">
        <f t="shared" si="82"/>
        <v>0</v>
      </c>
      <c r="T278" s="301">
        <f t="shared" si="82"/>
        <v>0</v>
      </c>
      <c r="U278" s="302">
        <f t="shared" si="87"/>
        <v>0</v>
      </c>
      <c r="W278" s="303">
        <f t="shared" si="88"/>
        <v>0</v>
      </c>
      <c r="X278" s="304">
        <f t="shared" si="89"/>
        <v>0</v>
      </c>
      <c r="Y278" s="246"/>
      <c r="Z278" s="246"/>
      <c r="AA278" s="246"/>
    </row>
    <row r="279" spans="1:27" s="249" customFormat="1">
      <c r="A279" s="246"/>
      <c r="B279" s="246"/>
      <c r="C279" s="296" t="str">
        <f t="shared" si="86"/>
        <v>Lantai 1</v>
      </c>
      <c r="D279" s="306" t="s">
        <v>2290</v>
      </c>
      <c r="E279" s="305"/>
      <c r="F279" s="305"/>
      <c r="G279" s="298">
        <f t="shared" si="77"/>
        <v>0</v>
      </c>
      <c r="H279" s="298">
        <f t="shared" si="78"/>
        <v>0</v>
      </c>
      <c r="I279" s="298">
        <f t="shared" si="79"/>
        <v>0</v>
      </c>
      <c r="J279" s="298">
        <f t="shared" si="80"/>
        <v>0</v>
      </c>
      <c r="K279" s="298">
        <f t="shared" si="81"/>
        <v>0</v>
      </c>
      <c r="L279" s="299">
        <f t="shared" si="82"/>
        <v>0</v>
      </c>
      <c r="M279" s="300">
        <f t="shared" si="82"/>
        <v>0</v>
      </c>
      <c r="N279" s="300">
        <f t="shared" si="82"/>
        <v>0</v>
      </c>
      <c r="O279" s="300">
        <f t="shared" si="82"/>
        <v>0</v>
      </c>
      <c r="P279" s="300">
        <f t="shared" si="82"/>
        <v>0</v>
      </c>
      <c r="Q279" s="300">
        <f t="shared" si="82"/>
        <v>0</v>
      </c>
      <c r="R279" s="300">
        <f t="shared" si="82"/>
        <v>0</v>
      </c>
      <c r="S279" s="300">
        <f t="shared" si="82"/>
        <v>0</v>
      </c>
      <c r="T279" s="301">
        <f t="shared" si="82"/>
        <v>0</v>
      </c>
      <c r="U279" s="302">
        <f t="shared" si="87"/>
        <v>0</v>
      </c>
      <c r="W279" s="303">
        <f t="shared" si="88"/>
        <v>0</v>
      </c>
      <c r="X279" s="304">
        <f t="shared" si="89"/>
        <v>0</v>
      </c>
      <c r="Y279" s="246"/>
      <c r="Z279" s="246"/>
      <c r="AA279" s="246"/>
    </row>
    <row r="280" spans="1:27" s="249" customFormat="1" ht="15.75" thickBot="1">
      <c r="A280" s="246"/>
      <c r="B280" s="246"/>
      <c r="C280" s="296" t="str">
        <f t="shared" si="86"/>
        <v>Lantai 1</v>
      </c>
      <c r="D280" s="306" t="s">
        <v>2291</v>
      </c>
      <c r="E280" s="305"/>
      <c r="F280" s="305"/>
      <c r="G280" s="298">
        <f t="shared" si="77"/>
        <v>0</v>
      </c>
      <c r="H280" s="298">
        <f t="shared" si="78"/>
        <v>0</v>
      </c>
      <c r="I280" s="298">
        <f t="shared" si="79"/>
        <v>0</v>
      </c>
      <c r="J280" s="298">
        <f t="shared" si="80"/>
        <v>0</v>
      </c>
      <c r="K280" s="298">
        <f t="shared" si="81"/>
        <v>0</v>
      </c>
      <c r="L280" s="299">
        <f t="shared" si="82"/>
        <v>0</v>
      </c>
      <c r="M280" s="300">
        <f t="shared" si="82"/>
        <v>0</v>
      </c>
      <c r="N280" s="300">
        <f t="shared" si="82"/>
        <v>0</v>
      </c>
      <c r="O280" s="300">
        <f t="shared" si="82"/>
        <v>0</v>
      </c>
      <c r="P280" s="300">
        <f t="shared" si="82"/>
        <v>0</v>
      </c>
      <c r="Q280" s="300">
        <f t="shared" si="82"/>
        <v>0</v>
      </c>
      <c r="R280" s="300">
        <f t="shared" si="82"/>
        <v>0</v>
      </c>
      <c r="S280" s="300">
        <f t="shared" si="82"/>
        <v>0</v>
      </c>
      <c r="T280" s="301">
        <f t="shared" si="82"/>
        <v>0</v>
      </c>
      <c r="U280" s="302">
        <f t="shared" si="87"/>
        <v>0</v>
      </c>
      <c r="W280" s="303">
        <f t="shared" si="88"/>
        <v>0</v>
      </c>
      <c r="X280" s="304">
        <f t="shared" si="89"/>
        <v>0</v>
      </c>
      <c r="Y280" s="246"/>
      <c r="Z280" s="246"/>
      <c r="AA280" s="246"/>
    </row>
    <row r="281" spans="1:27" s="249" customFormat="1" ht="15.75" thickBot="1">
      <c r="A281" s="246"/>
      <c r="B281" s="246"/>
      <c r="C281" s="2499" t="s">
        <v>2220</v>
      </c>
      <c r="D281" s="2500"/>
      <c r="E281" s="2500"/>
      <c r="F281" s="2501"/>
      <c r="G281" s="307">
        <f t="shared" ref="G281:U281" si="93">SUM(G265:G280)</f>
        <v>32.354100000000003</v>
      </c>
      <c r="H281" s="307">
        <f t="shared" si="93"/>
        <v>300.41099999999994</v>
      </c>
      <c r="I281" s="307">
        <f t="shared" si="93"/>
        <v>0</v>
      </c>
      <c r="J281" s="307">
        <f t="shared" si="93"/>
        <v>9.113900000000001</v>
      </c>
      <c r="K281" s="307">
        <f t="shared" si="93"/>
        <v>92.430299999999988</v>
      </c>
      <c r="L281" s="307">
        <f t="shared" si="93"/>
        <v>0</v>
      </c>
      <c r="M281" s="307">
        <f t="shared" si="93"/>
        <v>1110.1340160000002</v>
      </c>
      <c r="N281" s="307">
        <f t="shared" si="93"/>
        <v>495.60508980000003</v>
      </c>
      <c r="O281" s="307">
        <f t="shared" si="93"/>
        <v>1121.820292593</v>
      </c>
      <c r="P281" s="307">
        <f t="shared" si="93"/>
        <v>3096.1041131520005</v>
      </c>
      <c r="Q281" s="307">
        <f t="shared" si="93"/>
        <v>0</v>
      </c>
      <c r="R281" s="307">
        <f t="shared" si="93"/>
        <v>0</v>
      </c>
      <c r="S281" s="307">
        <f t="shared" si="93"/>
        <v>0</v>
      </c>
      <c r="T281" s="307">
        <f t="shared" si="93"/>
        <v>0</v>
      </c>
      <c r="U281" s="307">
        <f t="shared" si="93"/>
        <v>5823.6635115450008</v>
      </c>
      <c r="W281" s="303"/>
      <c r="X281" s="304"/>
      <c r="Y281" s="246"/>
      <c r="Z281" s="246"/>
      <c r="AA281" s="246"/>
    </row>
    <row r="282" spans="1:27" s="249" customFormat="1">
      <c r="A282" s="246"/>
      <c r="B282" s="246"/>
      <c r="C282" s="296"/>
      <c r="D282" s="306"/>
      <c r="E282" s="305"/>
      <c r="F282" s="305"/>
      <c r="G282" s="298"/>
      <c r="H282" s="298"/>
      <c r="I282" s="298"/>
      <c r="J282" s="298"/>
      <c r="K282" s="298"/>
      <c r="L282" s="299"/>
      <c r="M282" s="300"/>
      <c r="N282" s="300"/>
      <c r="O282" s="300"/>
      <c r="P282" s="300"/>
      <c r="Q282" s="300"/>
      <c r="R282" s="300"/>
      <c r="S282" s="300"/>
      <c r="T282" s="301"/>
      <c r="U282" s="302"/>
      <c r="W282" s="303"/>
      <c r="X282" s="304"/>
      <c r="Y282" s="246"/>
      <c r="Z282" s="246"/>
      <c r="AA282" s="246"/>
    </row>
    <row r="283" spans="1:27" s="249" customFormat="1">
      <c r="A283" s="246"/>
      <c r="B283" s="246"/>
      <c r="C283" s="296" t="s">
        <v>136</v>
      </c>
      <c r="D283" s="306" t="s">
        <v>2188</v>
      </c>
      <c r="E283" s="305"/>
      <c r="F283" s="305"/>
      <c r="G283" s="298">
        <f t="shared" ref="G283:G297" si="94">SUMIFS($V$12:$V$260,$A$12:$A$260,$C283,$C$12:$C$260,$D283)</f>
        <v>0</v>
      </c>
      <c r="H283" s="298">
        <f t="shared" ref="H283:H297" si="95">SUMIFS($W$12:$W$260,$A$12:$A$260,$C283,$C$12:$C$260,$D283)</f>
        <v>0</v>
      </c>
      <c r="I283" s="298">
        <f t="shared" ref="I283:I297" si="96">SUMIFS($X$12:$X$260,$A$12:$A$260,$C283,$C$12:$C$260,$D283)</f>
        <v>0</v>
      </c>
      <c r="J283" s="298">
        <f t="shared" ref="J283:J297" si="97">SUMIFS($Y$12:$Y$260,$A$12:$A$260,$C283,$C$12:$C$260,$D283)</f>
        <v>0</v>
      </c>
      <c r="K283" s="298">
        <f t="shared" ref="K283:K297" si="98">SUMIFS($Z$12:$Z$260,$A$12:$A$260,$C283,$C$12:$C$260,$D283)</f>
        <v>0</v>
      </c>
      <c r="L283" s="299">
        <f t="shared" ref="L283:T297" si="99">SUMIFS(L$12:L$260,$A$12:$A$260,$C283,$C$12:$C$260,$D283)</f>
        <v>0</v>
      </c>
      <c r="M283" s="300">
        <f t="shared" si="99"/>
        <v>0</v>
      </c>
      <c r="N283" s="300">
        <f t="shared" si="99"/>
        <v>0</v>
      </c>
      <c r="O283" s="300">
        <f t="shared" si="99"/>
        <v>0</v>
      </c>
      <c r="P283" s="300">
        <f t="shared" si="99"/>
        <v>0</v>
      </c>
      <c r="Q283" s="300">
        <f t="shared" si="99"/>
        <v>0</v>
      </c>
      <c r="R283" s="300">
        <f t="shared" si="99"/>
        <v>0</v>
      </c>
      <c r="S283" s="300">
        <f t="shared" si="99"/>
        <v>0</v>
      </c>
      <c r="T283" s="301">
        <f t="shared" si="99"/>
        <v>0</v>
      </c>
      <c r="U283" s="302">
        <f t="shared" ref="U283:U297" si="100">SUM(L283:T283)</f>
        <v>0</v>
      </c>
      <c r="W283" s="303">
        <f>IF(G283&gt;0,H283/G283,0)</f>
        <v>0</v>
      </c>
      <c r="X283" s="304">
        <f>IF(G283&gt;0,U283/G283,0)</f>
        <v>0</v>
      </c>
      <c r="Y283" s="246"/>
      <c r="Z283" s="246"/>
      <c r="AA283" s="246"/>
    </row>
    <row r="284" spans="1:27" s="249" customFormat="1">
      <c r="A284" s="246"/>
      <c r="B284" s="246"/>
      <c r="C284" s="296" t="str">
        <f>C283</f>
        <v>Lantai 2</v>
      </c>
      <c r="D284" s="306" t="s">
        <v>2189</v>
      </c>
      <c r="E284" s="305"/>
      <c r="F284" s="305"/>
      <c r="G284" s="298">
        <f t="shared" si="94"/>
        <v>0</v>
      </c>
      <c r="H284" s="298">
        <f t="shared" si="95"/>
        <v>0</v>
      </c>
      <c r="I284" s="298">
        <f t="shared" si="96"/>
        <v>0</v>
      </c>
      <c r="J284" s="298">
        <f t="shared" si="97"/>
        <v>0</v>
      </c>
      <c r="K284" s="298">
        <f t="shared" si="98"/>
        <v>0</v>
      </c>
      <c r="L284" s="299">
        <f t="shared" si="99"/>
        <v>0</v>
      </c>
      <c r="M284" s="300">
        <f t="shared" si="99"/>
        <v>0</v>
      </c>
      <c r="N284" s="300">
        <f t="shared" si="99"/>
        <v>0</v>
      </c>
      <c r="O284" s="300">
        <f t="shared" si="99"/>
        <v>0</v>
      </c>
      <c r="P284" s="300">
        <f t="shared" si="99"/>
        <v>0</v>
      </c>
      <c r="Q284" s="300">
        <f t="shared" si="99"/>
        <v>0</v>
      </c>
      <c r="R284" s="300">
        <f t="shared" si="99"/>
        <v>0</v>
      </c>
      <c r="S284" s="300">
        <f t="shared" si="99"/>
        <v>0</v>
      </c>
      <c r="T284" s="301">
        <f t="shared" si="99"/>
        <v>0</v>
      </c>
      <c r="U284" s="302">
        <f t="shared" si="100"/>
        <v>0</v>
      </c>
      <c r="W284" s="303">
        <f t="shared" ref="W284:W297" si="101">IF(G284&gt;0,H284/G284,0)</f>
        <v>0</v>
      </c>
      <c r="X284" s="304">
        <f t="shared" ref="X284:X297" si="102">IF(G284&gt;0,U284/G284,0)</f>
        <v>0</v>
      </c>
      <c r="Y284" s="246"/>
      <c r="Z284" s="246"/>
      <c r="AA284" s="246"/>
    </row>
    <row r="285" spans="1:27" s="249" customFormat="1">
      <c r="A285" s="246"/>
      <c r="B285" s="246"/>
      <c r="C285" s="296" t="str">
        <f t="shared" ref="C285:C297" si="103">C284</f>
        <v>Lantai 2</v>
      </c>
      <c r="D285" s="306" t="s">
        <v>2284</v>
      </c>
      <c r="E285" s="305"/>
      <c r="F285" s="305"/>
      <c r="G285" s="298">
        <f t="shared" si="94"/>
        <v>0</v>
      </c>
      <c r="H285" s="298">
        <f t="shared" si="95"/>
        <v>0</v>
      </c>
      <c r="I285" s="298">
        <f t="shared" si="96"/>
        <v>0</v>
      </c>
      <c r="J285" s="298">
        <f t="shared" si="97"/>
        <v>0</v>
      </c>
      <c r="K285" s="298">
        <f t="shared" si="98"/>
        <v>0</v>
      </c>
      <c r="L285" s="299">
        <f t="shared" si="99"/>
        <v>0</v>
      </c>
      <c r="M285" s="300">
        <f t="shared" si="99"/>
        <v>0</v>
      </c>
      <c r="N285" s="300">
        <f t="shared" si="99"/>
        <v>0</v>
      </c>
      <c r="O285" s="300">
        <f t="shared" si="99"/>
        <v>0</v>
      </c>
      <c r="P285" s="300">
        <f t="shared" si="99"/>
        <v>0</v>
      </c>
      <c r="Q285" s="300">
        <f t="shared" si="99"/>
        <v>0</v>
      </c>
      <c r="R285" s="300">
        <f t="shared" si="99"/>
        <v>0</v>
      </c>
      <c r="S285" s="300">
        <f t="shared" si="99"/>
        <v>0</v>
      </c>
      <c r="T285" s="301">
        <f t="shared" si="99"/>
        <v>0</v>
      </c>
      <c r="U285" s="302">
        <f t="shared" si="100"/>
        <v>0</v>
      </c>
      <c r="W285" s="303">
        <f t="shared" si="101"/>
        <v>0</v>
      </c>
      <c r="X285" s="304">
        <f t="shared" si="102"/>
        <v>0</v>
      </c>
      <c r="Y285" s="246"/>
      <c r="Z285" s="246"/>
      <c r="AA285" s="246"/>
    </row>
    <row r="286" spans="1:27" s="249" customFormat="1">
      <c r="A286" s="246"/>
      <c r="B286" s="246"/>
      <c r="C286" s="296" t="str">
        <f t="shared" si="103"/>
        <v>Lantai 2</v>
      </c>
      <c r="D286" s="306" t="s">
        <v>2190</v>
      </c>
      <c r="E286" s="305"/>
      <c r="F286" s="305"/>
      <c r="G286" s="298">
        <f t="shared" si="94"/>
        <v>0</v>
      </c>
      <c r="H286" s="298">
        <f t="shared" si="95"/>
        <v>0</v>
      </c>
      <c r="I286" s="298">
        <f t="shared" si="96"/>
        <v>0</v>
      </c>
      <c r="J286" s="298">
        <f t="shared" si="97"/>
        <v>0</v>
      </c>
      <c r="K286" s="298">
        <f t="shared" si="98"/>
        <v>0</v>
      </c>
      <c r="L286" s="299">
        <f t="shared" si="99"/>
        <v>0</v>
      </c>
      <c r="M286" s="300">
        <f t="shared" si="99"/>
        <v>0</v>
      </c>
      <c r="N286" s="300">
        <f t="shared" si="99"/>
        <v>0</v>
      </c>
      <c r="O286" s="300">
        <f t="shared" si="99"/>
        <v>0</v>
      </c>
      <c r="P286" s="300">
        <f t="shared" si="99"/>
        <v>0</v>
      </c>
      <c r="Q286" s="300">
        <f t="shared" si="99"/>
        <v>0</v>
      </c>
      <c r="R286" s="300">
        <f t="shared" si="99"/>
        <v>0</v>
      </c>
      <c r="S286" s="300">
        <f t="shared" si="99"/>
        <v>0</v>
      </c>
      <c r="T286" s="301">
        <f t="shared" si="99"/>
        <v>0</v>
      </c>
      <c r="U286" s="302">
        <f t="shared" ref="U286:U287" si="104">SUM(L286:T286)</f>
        <v>0</v>
      </c>
      <c r="W286" s="303">
        <f t="shared" ref="W286:W287" si="105">IF(G286&gt;0,H286/G286,0)</f>
        <v>0</v>
      </c>
      <c r="X286" s="304">
        <f t="shared" ref="X286:X287" si="106">IF(G286&gt;0,U286/G286,0)</f>
        <v>0</v>
      </c>
      <c r="Y286" s="246"/>
      <c r="Z286" s="246"/>
      <c r="AA286" s="246"/>
    </row>
    <row r="287" spans="1:27" s="249" customFormat="1">
      <c r="A287" s="246"/>
      <c r="B287" s="246"/>
      <c r="C287" s="296" t="str">
        <f t="shared" si="103"/>
        <v>Lantai 2</v>
      </c>
      <c r="D287" s="306" t="s">
        <v>2285</v>
      </c>
      <c r="E287" s="305"/>
      <c r="F287" s="305"/>
      <c r="G287" s="298">
        <f t="shared" si="94"/>
        <v>0</v>
      </c>
      <c r="H287" s="298">
        <f t="shared" si="95"/>
        <v>0</v>
      </c>
      <c r="I287" s="298">
        <f t="shared" si="96"/>
        <v>0</v>
      </c>
      <c r="J287" s="298">
        <f t="shared" si="97"/>
        <v>0</v>
      </c>
      <c r="K287" s="298">
        <f t="shared" si="98"/>
        <v>0</v>
      </c>
      <c r="L287" s="299">
        <f t="shared" si="99"/>
        <v>0</v>
      </c>
      <c r="M287" s="300">
        <f t="shared" si="99"/>
        <v>0</v>
      </c>
      <c r="N287" s="300">
        <f t="shared" si="99"/>
        <v>0</v>
      </c>
      <c r="O287" s="300">
        <f t="shared" si="99"/>
        <v>0</v>
      </c>
      <c r="P287" s="300">
        <f t="shared" si="99"/>
        <v>0</v>
      </c>
      <c r="Q287" s="300">
        <f t="shared" si="99"/>
        <v>0</v>
      </c>
      <c r="R287" s="300">
        <f t="shared" si="99"/>
        <v>0</v>
      </c>
      <c r="S287" s="300">
        <f t="shared" si="99"/>
        <v>0</v>
      </c>
      <c r="T287" s="301">
        <f t="shared" si="99"/>
        <v>0</v>
      </c>
      <c r="U287" s="302">
        <f t="shared" si="104"/>
        <v>0</v>
      </c>
      <c r="W287" s="303">
        <f t="shared" si="105"/>
        <v>0</v>
      </c>
      <c r="X287" s="304">
        <f t="shared" si="106"/>
        <v>0</v>
      </c>
      <c r="Y287" s="246"/>
      <c r="Z287" s="246"/>
      <c r="AA287" s="246"/>
    </row>
    <row r="288" spans="1:27" s="249" customFormat="1">
      <c r="A288" s="246"/>
      <c r="B288" s="246"/>
      <c r="C288" s="296" t="str">
        <f t="shared" si="103"/>
        <v>Lantai 2</v>
      </c>
      <c r="D288" s="306" t="s">
        <v>2286</v>
      </c>
      <c r="E288" s="305"/>
      <c r="F288" s="305"/>
      <c r="G288" s="298">
        <f t="shared" si="94"/>
        <v>0.57199999999999995</v>
      </c>
      <c r="H288" s="298">
        <f t="shared" si="95"/>
        <v>10.23</v>
      </c>
      <c r="I288" s="298">
        <f t="shared" si="96"/>
        <v>0</v>
      </c>
      <c r="J288" s="298">
        <f t="shared" si="97"/>
        <v>0</v>
      </c>
      <c r="K288" s="298">
        <f t="shared" si="98"/>
        <v>0</v>
      </c>
      <c r="L288" s="299">
        <f t="shared" si="99"/>
        <v>0</v>
      </c>
      <c r="M288" s="300">
        <f t="shared" si="99"/>
        <v>23.176454400000004</v>
      </c>
      <c r="N288" s="300">
        <f t="shared" si="99"/>
        <v>0</v>
      </c>
      <c r="O288" s="300">
        <f t="shared" si="99"/>
        <v>47.143212480000003</v>
      </c>
      <c r="P288" s="300">
        <f t="shared" si="99"/>
        <v>0</v>
      </c>
      <c r="Q288" s="300">
        <f t="shared" si="99"/>
        <v>0</v>
      </c>
      <c r="R288" s="300">
        <f t="shared" si="99"/>
        <v>0</v>
      </c>
      <c r="S288" s="300">
        <f t="shared" si="99"/>
        <v>0</v>
      </c>
      <c r="T288" s="301">
        <f t="shared" si="99"/>
        <v>0</v>
      </c>
      <c r="U288" s="302">
        <f t="shared" si="100"/>
        <v>70.31966688</v>
      </c>
      <c r="W288" s="303">
        <f t="shared" si="101"/>
        <v>17.884615384615387</v>
      </c>
      <c r="X288" s="304">
        <f t="shared" si="102"/>
        <v>122.93648055944057</v>
      </c>
      <c r="Y288" s="246"/>
      <c r="Z288" s="246"/>
      <c r="AA288" s="246"/>
    </row>
    <row r="289" spans="1:27" s="249" customFormat="1">
      <c r="A289" s="246"/>
      <c r="B289" s="246"/>
      <c r="C289" s="296" t="str">
        <f t="shared" si="103"/>
        <v>Lantai 2</v>
      </c>
      <c r="D289" s="306" t="s">
        <v>2287</v>
      </c>
      <c r="E289" s="305"/>
      <c r="F289" s="305"/>
      <c r="G289" s="298">
        <f t="shared" si="94"/>
        <v>0</v>
      </c>
      <c r="H289" s="298">
        <f t="shared" si="95"/>
        <v>0</v>
      </c>
      <c r="I289" s="298">
        <f t="shared" si="96"/>
        <v>0</v>
      </c>
      <c r="J289" s="298">
        <f t="shared" si="97"/>
        <v>0</v>
      </c>
      <c r="K289" s="298">
        <f t="shared" si="98"/>
        <v>0</v>
      </c>
      <c r="L289" s="299">
        <f t="shared" si="99"/>
        <v>0</v>
      </c>
      <c r="M289" s="300">
        <f t="shared" si="99"/>
        <v>0</v>
      </c>
      <c r="N289" s="300">
        <f t="shared" si="99"/>
        <v>0</v>
      </c>
      <c r="O289" s="300">
        <f t="shared" si="99"/>
        <v>0</v>
      </c>
      <c r="P289" s="300">
        <f t="shared" si="99"/>
        <v>0</v>
      </c>
      <c r="Q289" s="300">
        <f t="shared" si="99"/>
        <v>0</v>
      </c>
      <c r="R289" s="300">
        <f t="shared" si="99"/>
        <v>0</v>
      </c>
      <c r="S289" s="300">
        <f t="shared" si="99"/>
        <v>0</v>
      </c>
      <c r="T289" s="301">
        <f t="shared" si="99"/>
        <v>0</v>
      </c>
      <c r="U289" s="302">
        <f t="shared" si="100"/>
        <v>0</v>
      </c>
      <c r="W289" s="303">
        <f t="shared" si="101"/>
        <v>0</v>
      </c>
      <c r="X289" s="304">
        <f t="shared" si="102"/>
        <v>0</v>
      </c>
      <c r="Y289" s="246"/>
      <c r="Z289" s="246"/>
      <c r="AA289" s="246"/>
    </row>
    <row r="290" spans="1:27" s="249" customFormat="1">
      <c r="A290" s="246"/>
      <c r="B290" s="246"/>
      <c r="C290" s="296" t="str">
        <f t="shared" si="103"/>
        <v>Lantai 2</v>
      </c>
      <c r="D290" s="306" t="s">
        <v>2288</v>
      </c>
      <c r="E290" s="305"/>
      <c r="F290" s="305"/>
      <c r="G290" s="298">
        <f t="shared" si="94"/>
        <v>0.29520000000000002</v>
      </c>
      <c r="H290" s="298">
        <f t="shared" si="95"/>
        <v>2.952</v>
      </c>
      <c r="I290" s="298">
        <f t="shared" si="96"/>
        <v>0</v>
      </c>
      <c r="J290" s="298">
        <f t="shared" si="97"/>
        <v>0</v>
      </c>
      <c r="K290" s="298">
        <f t="shared" si="98"/>
        <v>0</v>
      </c>
      <c r="L290" s="299">
        <f t="shared" si="99"/>
        <v>0</v>
      </c>
      <c r="M290" s="300">
        <f t="shared" si="99"/>
        <v>0</v>
      </c>
      <c r="N290" s="300">
        <f t="shared" si="99"/>
        <v>43.494075000000009</v>
      </c>
      <c r="O290" s="300">
        <f t="shared" si="99"/>
        <v>69.314525279999998</v>
      </c>
      <c r="P290" s="300">
        <f t="shared" si="99"/>
        <v>0</v>
      </c>
      <c r="Q290" s="300">
        <f t="shared" si="99"/>
        <v>0</v>
      </c>
      <c r="R290" s="300">
        <f t="shared" si="99"/>
        <v>0</v>
      </c>
      <c r="S290" s="300">
        <f t="shared" si="99"/>
        <v>0</v>
      </c>
      <c r="T290" s="301">
        <f t="shared" si="99"/>
        <v>0</v>
      </c>
      <c r="U290" s="302">
        <f t="shared" si="100"/>
        <v>112.80860028000001</v>
      </c>
      <c r="W290" s="303">
        <f t="shared" si="101"/>
        <v>10</v>
      </c>
      <c r="X290" s="304">
        <f t="shared" si="102"/>
        <v>382.14295487804878</v>
      </c>
      <c r="Y290" s="246"/>
      <c r="Z290" s="246"/>
      <c r="AA290" s="246"/>
    </row>
    <row r="291" spans="1:27" s="249" customFormat="1">
      <c r="A291" s="246"/>
      <c r="B291" s="246"/>
      <c r="C291" s="296" t="str">
        <f t="shared" si="103"/>
        <v>Lantai 2</v>
      </c>
      <c r="D291" s="306" t="s">
        <v>132</v>
      </c>
      <c r="E291" s="305"/>
      <c r="F291" s="305"/>
      <c r="G291" s="298">
        <f t="shared" si="94"/>
        <v>2.7522000000000002</v>
      </c>
      <c r="H291" s="298">
        <f t="shared" si="95"/>
        <v>30.485000000000003</v>
      </c>
      <c r="I291" s="298">
        <f t="shared" si="96"/>
        <v>0</v>
      </c>
      <c r="J291" s="298">
        <f t="shared" si="97"/>
        <v>0</v>
      </c>
      <c r="K291" s="298">
        <f t="shared" si="98"/>
        <v>0</v>
      </c>
      <c r="L291" s="299">
        <f t="shared" si="99"/>
        <v>0</v>
      </c>
      <c r="M291" s="300">
        <f t="shared" si="99"/>
        <v>0</v>
      </c>
      <c r="N291" s="300">
        <f t="shared" si="99"/>
        <v>251.45802000000003</v>
      </c>
      <c r="O291" s="300">
        <f t="shared" si="99"/>
        <v>317.78534385</v>
      </c>
      <c r="P291" s="300">
        <f t="shared" si="99"/>
        <v>0</v>
      </c>
      <c r="Q291" s="300">
        <f t="shared" si="99"/>
        <v>0</v>
      </c>
      <c r="R291" s="300">
        <f t="shared" si="99"/>
        <v>0</v>
      </c>
      <c r="S291" s="300">
        <f t="shared" si="99"/>
        <v>0</v>
      </c>
      <c r="T291" s="301">
        <f t="shared" si="99"/>
        <v>0</v>
      </c>
      <c r="U291" s="302">
        <f t="shared" si="100"/>
        <v>569.24336385000004</v>
      </c>
      <c r="W291" s="303">
        <f t="shared" si="101"/>
        <v>11.076593270837876</v>
      </c>
      <c r="X291" s="304">
        <f t="shared" si="102"/>
        <v>206.83212115761935</v>
      </c>
      <c r="Y291" s="246"/>
      <c r="Z291" s="246"/>
      <c r="AA291" s="246"/>
    </row>
    <row r="292" spans="1:27" s="249" customFormat="1">
      <c r="A292" s="246"/>
      <c r="B292" s="246"/>
      <c r="C292" s="296" t="str">
        <f t="shared" si="103"/>
        <v>Lantai 2</v>
      </c>
      <c r="D292" s="306" t="s">
        <v>133</v>
      </c>
      <c r="E292" s="305"/>
      <c r="F292" s="305"/>
      <c r="G292" s="298">
        <f t="shared" si="94"/>
        <v>1.0412499999999998</v>
      </c>
      <c r="H292" s="298">
        <f t="shared" si="95"/>
        <v>10.412500000000001</v>
      </c>
      <c r="I292" s="298">
        <f t="shared" si="96"/>
        <v>0</v>
      </c>
      <c r="J292" s="298">
        <f t="shared" si="97"/>
        <v>0</v>
      </c>
      <c r="K292" s="298">
        <f t="shared" si="98"/>
        <v>0</v>
      </c>
      <c r="L292" s="299">
        <f t="shared" si="99"/>
        <v>0</v>
      </c>
      <c r="M292" s="300">
        <f t="shared" si="99"/>
        <v>0</v>
      </c>
      <c r="N292" s="300">
        <f t="shared" si="99"/>
        <v>104.77417500000001</v>
      </c>
      <c r="O292" s="300">
        <f t="shared" si="99"/>
        <v>0</v>
      </c>
      <c r="P292" s="300">
        <f t="shared" si="99"/>
        <v>211.74614784000002</v>
      </c>
      <c r="Q292" s="300">
        <f t="shared" si="99"/>
        <v>0</v>
      </c>
      <c r="R292" s="300">
        <f t="shared" si="99"/>
        <v>0</v>
      </c>
      <c r="S292" s="300">
        <f t="shared" si="99"/>
        <v>0</v>
      </c>
      <c r="T292" s="301">
        <f t="shared" si="99"/>
        <v>0</v>
      </c>
      <c r="U292" s="302">
        <f t="shared" si="100"/>
        <v>316.52032284000006</v>
      </c>
      <c r="W292" s="303">
        <f t="shared" si="101"/>
        <v>10.000000000000004</v>
      </c>
      <c r="X292" s="304">
        <f t="shared" si="102"/>
        <v>303.98110236734703</v>
      </c>
      <c r="Y292" s="246"/>
      <c r="Z292" s="246"/>
      <c r="AA292" s="246"/>
    </row>
    <row r="293" spans="1:27" s="249" customFormat="1">
      <c r="A293" s="246"/>
      <c r="B293" s="246"/>
      <c r="C293" s="296" t="str">
        <f t="shared" si="103"/>
        <v>Lantai 2</v>
      </c>
      <c r="D293" s="306" t="s">
        <v>2289</v>
      </c>
      <c r="E293" s="305"/>
      <c r="F293" s="305"/>
      <c r="G293" s="298">
        <f t="shared" si="94"/>
        <v>0.7932499999999999</v>
      </c>
      <c r="H293" s="298">
        <f t="shared" si="95"/>
        <v>7.9324999999999992</v>
      </c>
      <c r="I293" s="298">
        <f t="shared" si="96"/>
        <v>0</v>
      </c>
      <c r="J293" s="298">
        <f t="shared" si="97"/>
        <v>0</v>
      </c>
      <c r="K293" s="298">
        <f t="shared" si="98"/>
        <v>0</v>
      </c>
      <c r="L293" s="299">
        <f t="shared" si="99"/>
        <v>0</v>
      </c>
      <c r="M293" s="300">
        <f t="shared" si="99"/>
        <v>0</v>
      </c>
      <c r="N293" s="300">
        <f t="shared" si="99"/>
        <v>108.58414500000001</v>
      </c>
      <c r="O293" s="300">
        <f t="shared" si="99"/>
        <v>0</v>
      </c>
      <c r="P293" s="300">
        <f t="shared" si="99"/>
        <v>172.05025535999999</v>
      </c>
      <c r="Q293" s="300">
        <f t="shared" si="99"/>
        <v>0</v>
      </c>
      <c r="R293" s="300">
        <f t="shared" si="99"/>
        <v>0</v>
      </c>
      <c r="S293" s="300">
        <f t="shared" si="99"/>
        <v>0</v>
      </c>
      <c r="T293" s="301">
        <f t="shared" si="99"/>
        <v>0</v>
      </c>
      <c r="U293" s="302">
        <f t="shared" si="100"/>
        <v>280.63440035999997</v>
      </c>
      <c r="W293" s="303">
        <f t="shared" si="101"/>
        <v>10</v>
      </c>
      <c r="X293" s="304">
        <f t="shared" si="102"/>
        <v>353.77800234478411</v>
      </c>
      <c r="Y293" s="246"/>
      <c r="Z293" s="246"/>
      <c r="AA293" s="246"/>
    </row>
    <row r="294" spans="1:27" s="249" customFormat="1">
      <c r="A294" s="246"/>
      <c r="B294" s="246"/>
      <c r="C294" s="296" t="str">
        <f t="shared" si="103"/>
        <v>Lantai 2</v>
      </c>
      <c r="D294" s="306" t="s">
        <v>134</v>
      </c>
      <c r="E294" s="305"/>
      <c r="F294" s="305"/>
      <c r="G294" s="298">
        <f t="shared" si="94"/>
        <v>6.7695500000000015</v>
      </c>
      <c r="H294" s="298">
        <f t="shared" si="95"/>
        <v>69.760500000000008</v>
      </c>
      <c r="I294" s="298">
        <f t="shared" si="96"/>
        <v>0</v>
      </c>
      <c r="J294" s="298">
        <f t="shared" si="97"/>
        <v>0</v>
      </c>
      <c r="K294" s="298">
        <f t="shared" si="98"/>
        <v>0</v>
      </c>
      <c r="L294" s="299">
        <f t="shared" si="99"/>
        <v>0</v>
      </c>
      <c r="M294" s="300">
        <f t="shared" si="99"/>
        <v>0</v>
      </c>
      <c r="N294" s="300">
        <f t="shared" si="99"/>
        <v>531.11548979999998</v>
      </c>
      <c r="O294" s="300">
        <f t="shared" si="99"/>
        <v>0</v>
      </c>
      <c r="P294" s="300">
        <f t="shared" si="99"/>
        <v>1193.3615554560001</v>
      </c>
      <c r="Q294" s="300">
        <f t="shared" si="99"/>
        <v>0</v>
      </c>
      <c r="R294" s="300">
        <f t="shared" si="99"/>
        <v>0</v>
      </c>
      <c r="S294" s="300">
        <f t="shared" si="99"/>
        <v>0</v>
      </c>
      <c r="T294" s="301">
        <f t="shared" si="99"/>
        <v>0</v>
      </c>
      <c r="U294" s="302">
        <f t="shared" si="100"/>
        <v>1724.4770452560001</v>
      </c>
      <c r="W294" s="303">
        <f t="shared" si="101"/>
        <v>10.305042432658004</v>
      </c>
      <c r="X294" s="304">
        <f t="shared" si="102"/>
        <v>254.74027745655172</v>
      </c>
      <c r="Y294" s="246"/>
      <c r="Z294" s="246"/>
      <c r="AA294" s="246"/>
    </row>
    <row r="295" spans="1:27" s="249" customFormat="1">
      <c r="A295" s="246"/>
      <c r="B295" s="246"/>
      <c r="C295" s="296" t="str">
        <f t="shared" si="103"/>
        <v>Lantai 2</v>
      </c>
      <c r="D295" s="306" t="s">
        <v>135</v>
      </c>
      <c r="E295" s="305"/>
      <c r="F295" s="305"/>
      <c r="G295" s="298">
        <f t="shared" si="94"/>
        <v>2.7202500000000001</v>
      </c>
      <c r="H295" s="298">
        <f t="shared" si="95"/>
        <v>27.202499999999997</v>
      </c>
      <c r="I295" s="298">
        <f t="shared" si="96"/>
        <v>0</v>
      </c>
      <c r="J295" s="298">
        <f t="shared" si="97"/>
        <v>0</v>
      </c>
      <c r="K295" s="298">
        <f t="shared" si="98"/>
        <v>0</v>
      </c>
      <c r="L295" s="299">
        <f t="shared" si="99"/>
        <v>0</v>
      </c>
      <c r="M295" s="300">
        <f t="shared" si="99"/>
        <v>0</v>
      </c>
      <c r="N295" s="300">
        <f t="shared" si="99"/>
        <v>274.42881000000006</v>
      </c>
      <c r="O295" s="300">
        <f t="shared" si="99"/>
        <v>0</v>
      </c>
      <c r="P295" s="300">
        <f t="shared" si="99"/>
        <v>373.45577472000002</v>
      </c>
      <c r="Q295" s="300">
        <f t="shared" si="99"/>
        <v>0</v>
      </c>
      <c r="R295" s="300">
        <f t="shared" si="99"/>
        <v>0</v>
      </c>
      <c r="S295" s="300">
        <f t="shared" si="99"/>
        <v>0</v>
      </c>
      <c r="T295" s="301">
        <f t="shared" si="99"/>
        <v>0</v>
      </c>
      <c r="U295" s="302">
        <f t="shared" si="100"/>
        <v>647.88458472000002</v>
      </c>
      <c r="W295" s="303">
        <f t="shared" si="101"/>
        <v>9.9999999999999982</v>
      </c>
      <c r="X295" s="304">
        <f t="shared" si="102"/>
        <v>238.17097131513648</v>
      </c>
      <c r="Y295" s="246"/>
      <c r="Z295" s="246"/>
      <c r="AA295" s="246"/>
    </row>
    <row r="296" spans="1:27" s="249" customFormat="1">
      <c r="A296" s="246"/>
      <c r="B296" s="246"/>
      <c r="C296" s="296" t="str">
        <f t="shared" si="103"/>
        <v>Lantai 2</v>
      </c>
      <c r="D296" s="306" t="s">
        <v>2290</v>
      </c>
      <c r="E296" s="305"/>
      <c r="F296" s="305"/>
      <c r="G296" s="298">
        <f t="shared" si="94"/>
        <v>0</v>
      </c>
      <c r="H296" s="298">
        <f t="shared" si="95"/>
        <v>0</v>
      </c>
      <c r="I296" s="298">
        <f t="shared" si="96"/>
        <v>0</v>
      </c>
      <c r="J296" s="298">
        <f t="shared" si="97"/>
        <v>0</v>
      </c>
      <c r="K296" s="298">
        <f t="shared" si="98"/>
        <v>0</v>
      </c>
      <c r="L296" s="299">
        <f t="shared" si="99"/>
        <v>0</v>
      </c>
      <c r="M296" s="300">
        <f t="shared" si="99"/>
        <v>0</v>
      </c>
      <c r="N296" s="300">
        <f t="shared" si="99"/>
        <v>0</v>
      </c>
      <c r="O296" s="300">
        <f t="shared" si="99"/>
        <v>0</v>
      </c>
      <c r="P296" s="300">
        <f t="shared" si="99"/>
        <v>0</v>
      </c>
      <c r="Q296" s="300">
        <f t="shared" si="99"/>
        <v>0</v>
      </c>
      <c r="R296" s="300">
        <f t="shared" si="99"/>
        <v>0</v>
      </c>
      <c r="S296" s="300">
        <f t="shared" si="99"/>
        <v>0</v>
      </c>
      <c r="T296" s="301">
        <f t="shared" si="99"/>
        <v>0</v>
      </c>
      <c r="U296" s="302">
        <f t="shared" si="100"/>
        <v>0</v>
      </c>
      <c r="W296" s="303">
        <f t="shared" si="101"/>
        <v>0</v>
      </c>
      <c r="X296" s="304">
        <f t="shared" si="102"/>
        <v>0</v>
      </c>
      <c r="Y296" s="246"/>
      <c r="Z296" s="246"/>
      <c r="AA296" s="246"/>
    </row>
    <row r="297" spans="1:27" s="249" customFormat="1" ht="15.75" thickBot="1">
      <c r="A297" s="246"/>
      <c r="B297" s="246"/>
      <c r="C297" s="296" t="str">
        <f t="shared" si="103"/>
        <v>Lantai 2</v>
      </c>
      <c r="D297" s="306" t="s">
        <v>2291</v>
      </c>
      <c r="E297" s="305"/>
      <c r="F297" s="305"/>
      <c r="G297" s="298">
        <f t="shared" si="94"/>
        <v>4.3112250000000003</v>
      </c>
      <c r="H297" s="298">
        <f t="shared" si="95"/>
        <v>28.741500000000002</v>
      </c>
      <c r="I297" s="298">
        <f t="shared" si="96"/>
        <v>0</v>
      </c>
      <c r="J297" s="298">
        <f t="shared" si="97"/>
        <v>0</v>
      </c>
      <c r="K297" s="298">
        <f t="shared" si="98"/>
        <v>0</v>
      </c>
      <c r="L297" s="299">
        <f t="shared" si="99"/>
        <v>0</v>
      </c>
      <c r="M297" s="300">
        <f t="shared" si="99"/>
        <v>0</v>
      </c>
      <c r="N297" s="300">
        <f t="shared" si="99"/>
        <v>319.21137000000004</v>
      </c>
      <c r="O297" s="300">
        <f t="shared" si="99"/>
        <v>0</v>
      </c>
      <c r="P297" s="300">
        <f t="shared" si="99"/>
        <v>534.31315200000006</v>
      </c>
      <c r="Q297" s="300">
        <f t="shared" si="99"/>
        <v>0</v>
      </c>
      <c r="R297" s="300">
        <f t="shared" si="99"/>
        <v>0</v>
      </c>
      <c r="S297" s="300">
        <f t="shared" si="99"/>
        <v>0</v>
      </c>
      <c r="T297" s="301">
        <f t="shared" si="99"/>
        <v>0</v>
      </c>
      <c r="U297" s="302">
        <f t="shared" si="100"/>
        <v>853.52452200000016</v>
      </c>
      <c r="W297" s="303">
        <f t="shared" si="101"/>
        <v>6.666666666666667</v>
      </c>
      <c r="X297" s="304">
        <f t="shared" si="102"/>
        <v>197.97726214706958</v>
      </c>
      <c r="Y297" s="246"/>
      <c r="Z297" s="246"/>
      <c r="AA297" s="246"/>
    </row>
    <row r="298" spans="1:27" s="249" customFormat="1" ht="15.75" thickBot="1">
      <c r="A298" s="246"/>
      <c r="B298" s="246"/>
      <c r="C298" s="2499" t="s">
        <v>2219</v>
      </c>
      <c r="D298" s="2500"/>
      <c r="E298" s="2500"/>
      <c r="F298" s="2501"/>
      <c r="G298" s="307">
        <f t="shared" ref="G298:U298" si="107">SUM(G282:G297)</f>
        <v>19.254925</v>
      </c>
      <c r="H298" s="307">
        <f t="shared" si="107"/>
        <v>187.7165</v>
      </c>
      <c r="I298" s="307">
        <f t="shared" si="107"/>
        <v>0</v>
      </c>
      <c r="J298" s="307">
        <f t="shared" si="107"/>
        <v>0</v>
      </c>
      <c r="K298" s="307">
        <f t="shared" si="107"/>
        <v>0</v>
      </c>
      <c r="L298" s="307">
        <f t="shared" si="107"/>
        <v>0</v>
      </c>
      <c r="M298" s="307">
        <f t="shared" si="107"/>
        <v>23.176454400000004</v>
      </c>
      <c r="N298" s="307">
        <f t="shared" si="107"/>
        <v>1633.0660848</v>
      </c>
      <c r="O298" s="307">
        <f t="shared" si="107"/>
        <v>434.24308160999999</v>
      </c>
      <c r="P298" s="307">
        <f t="shared" si="107"/>
        <v>2484.9268853760004</v>
      </c>
      <c r="Q298" s="307">
        <f t="shared" si="107"/>
        <v>0</v>
      </c>
      <c r="R298" s="307">
        <f t="shared" si="107"/>
        <v>0</v>
      </c>
      <c r="S298" s="307">
        <f t="shared" si="107"/>
        <v>0</v>
      </c>
      <c r="T298" s="307">
        <f t="shared" si="107"/>
        <v>0</v>
      </c>
      <c r="U298" s="307">
        <f t="shared" si="107"/>
        <v>4575.4125061860004</v>
      </c>
      <c r="W298" s="303"/>
      <c r="X298" s="304"/>
      <c r="Y298" s="246"/>
      <c r="Z298" s="246"/>
      <c r="AA298" s="246"/>
    </row>
    <row r="299" spans="1:27" s="249" customFormat="1">
      <c r="A299" s="246"/>
      <c r="B299" s="246"/>
      <c r="C299" s="296"/>
      <c r="D299" s="306"/>
      <c r="E299" s="305"/>
      <c r="F299" s="305"/>
      <c r="G299" s="298"/>
      <c r="H299" s="298"/>
      <c r="I299" s="298"/>
      <c r="J299" s="298"/>
      <c r="K299" s="298"/>
      <c r="L299" s="299"/>
      <c r="M299" s="300"/>
      <c r="N299" s="300"/>
      <c r="O299" s="300"/>
      <c r="P299" s="300"/>
      <c r="Q299" s="300"/>
      <c r="R299" s="300"/>
      <c r="S299" s="300"/>
      <c r="T299" s="301"/>
      <c r="U299" s="302"/>
      <c r="W299" s="303"/>
      <c r="X299" s="304"/>
      <c r="Y299" s="246"/>
      <c r="Z299" s="246"/>
      <c r="AA299" s="246"/>
    </row>
    <row r="300" spans="1:27" s="249" customFormat="1">
      <c r="A300" s="246"/>
      <c r="B300" s="246"/>
      <c r="C300" s="296" t="s">
        <v>219</v>
      </c>
      <c r="D300" s="306" t="s">
        <v>2188</v>
      </c>
      <c r="E300" s="305"/>
      <c r="F300" s="305"/>
      <c r="G300" s="298">
        <f t="shared" ref="G300:G314" si="108">SUMIFS($V$12:$V$260,$A$12:$A$260,$C300,$C$12:$C$260,$D300)</f>
        <v>0</v>
      </c>
      <c r="H300" s="298">
        <f t="shared" ref="H300:H314" si="109">SUMIFS($W$12:$W$260,$A$12:$A$260,$C300,$C$12:$C$260,$D300)</f>
        <v>0</v>
      </c>
      <c r="I300" s="298">
        <f t="shared" ref="I300:I314" si="110">SUMIFS($X$12:$X$260,$A$12:$A$260,$C300,$C$12:$C$260,$D300)</f>
        <v>0</v>
      </c>
      <c r="J300" s="298">
        <f t="shared" ref="J300:J314" si="111">SUMIFS($Y$12:$Y$260,$A$12:$A$260,$C300,$C$12:$C$260,$D300)</f>
        <v>0</v>
      </c>
      <c r="K300" s="298">
        <f t="shared" ref="K300:K314" si="112">SUMIFS($Z$12:$Z$260,$A$12:$A$260,$C300,$C$12:$C$260,$D300)</f>
        <v>0</v>
      </c>
      <c r="L300" s="299">
        <f t="shared" ref="L300:T314" si="113">SUMIFS(L$12:L$260,$A$12:$A$260,$C300,$C$12:$C$260,$D300)</f>
        <v>0</v>
      </c>
      <c r="M300" s="300">
        <f t="shared" si="113"/>
        <v>0</v>
      </c>
      <c r="N300" s="300">
        <f t="shared" si="113"/>
        <v>0</v>
      </c>
      <c r="O300" s="300">
        <f t="shared" si="113"/>
        <v>0</v>
      </c>
      <c r="P300" s="300">
        <f t="shared" si="113"/>
        <v>0</v>
      </c>
      <c r="Q300" s="300">
        <f t="shared" si="113"/>
        <v>0</v>
      </c>
      <c r="R300" s="300">
        <f t="shared" si="113"/>
        <v>0</v>
      </c>
      <c r="S300" s="300">
        <f t="shared" si="113"/>
        <v>0</v>
      </c>
      <c r="T300" s="301">
        <f t="shared" si="113"/>
        <v>0</v>
      </c>
      <c r="U300" s="302">
        <f t="shared" ref="U300:U314" si="114">SUM(L300:T300)</f>
        <v>0</v>
      </c>
      <c r="W300" s="303">
        <f>IF(G300&gt;0,H300/G300,0)</f>
        <v>0</v>
      </c>
      <c r="X300" s="304">
        <f>IF(G300&gt;0,U300/G300,0)</f>
        <v>0</v>
      </c>
      <c r="Y300" s="246"/>
      <c r="Z300" s="246"/>
      <c r="AA300" s="246"/>
    </row>
    <row r="301" spans="1:27" s="249" customFormat="1">
      <c r="A301" s="246"/>
      <c r="B301" s="246"/>
      <c r="C301" s="296" t="str">
        <f>C300</f>
        <v>Lantai 3</v>
      </c>
      <c r="D301" s="306" t="s">
        <v>2189</v>
      </c>
      <c r="E301" s="305"/>
      <c r="F301" s="305"/>
      <c r="G301" s="298">
        <f t="shared" si="108"/>
        <v>0</v>
      </c>
      <c r="H301" s="298">
        <f t="shared" si="109"/>
        <v>0</v>
      </c>
      <c r="I301" s="298">
        <f t="shared" si="110"/>
        <v>0</v>
      </c>
      <c r="J301" s="298">
        <f t="shared" si="111"/>
        <v>0</v>
      </c>
      <c r="K301" s="298">
        <f t="shared" si="112"/>
        <v>0</v>
      </c>
      <c r="L301" s="299">
        <f t="shared" si="113"/>
        <v>0</v>
      </c>
      <c r="M301" s="300">
        <f t="shared" si="113"/>
        <v>0</v>
      </c>
      <c r="N301" s="300">
        <f t="shared" si="113"/>
        <v>0</v>
      </c>
      <c r="O301" s="300">
        <f t="shared" si="113"/>
        <v>0</v>
      </c>
      <c r="P301" s="300">
        <f t="shared" si="113"/>
        <v>0</v>
      </c>
      <c r="Q301" s="300">
        <f t="shared" si="113"/>
        <v>0</v>
      </c>
      <c r="R301" s="300">
        <f t="shared" si="113"/>
        <v>0</v>
      </c>
      <c r="S301" s="300">
        <f t="shared" si="113"/>
        <v>0</v>
      </c>
      <c r="T301" s="301">
        <f t="shared" si="113"/>
        <v>0</v>
      </c>
      <c r="U301" s="302">
        <f t="shared" si="114"/>
        <v>0</v>
      </c>
      <c r="W301" s="303">
        <f t="shared" ref="W301:W314" si="115">IF(G301&gt;0,H301/G301,0)</f>
        <v>0</v>
      </c>
      <c r="X301" s="304">
        <f t="shared" ref="X301:X314" si="116">IF(G301&gt;0,U301/G301,0)</f>
        <v>0</v>
      </c>
      <c r="Y301" s="246"/>
      <c r="Z301" s="246"/>
      <c r="AA301" s="246"/>
    </row>
    <row r="302" spans="1:27" s="249" customFormat="1">
      <c r="A302" s="246"/>
      <c r="B302" s="246"/>
      <c r="C302" s="296" t="str">
        <f t="shared" ref="C302:C314" si="117">C301</f>
        <v>Lantai 3</v>
      </c>
      <c r="D302" s="306" t="s">
        <v>2284</v>
      </c>
      <c r="E302" s="305"/>
      <c r="F302" s="305"/>
      <c r="G302" s="298">
        <f t="shared" si="108"/>
        <v>0</v>
      </c>
      <c r="H302" s="298">
        <f t="shared" si="109"/>
        <v>0</v>
      </c>
      <c r="I302" s="298">
        <f t="shared" si="110"/>
        <v>0</v>
      </c>
      <c r="J302" s="298">
        <f t="shared" si="111"/>
        <v>0</v>
      </c>
      <c r="K302" s="298">
        <f t="shared" si="112"/>
        <v>0</v>
      </c>
      <c r="L302" s="299">
        <f t="shared" si="113"/>
        <v>0</v>
      </c>
      <c r="M302" s="300">
        <f t="shared" si="113"/>
        <v>0</v>
      </c>
      <c r="N302" s="300">
        <f t="shared" si="113"/>
        <v>0</v>
      </c>
      <c r="O302" s="300">
        <f t="shared" si="113"/>
        <v>0</v>
      </c>
      <c r="P302" s="300">
        <f t="shared" si="113"/>
        <v>0</v>
      </c>
      <c r="Q302" s="300">
        <f t="shared" si="113"/>
        <v>0</v>
      </c>
      <c r="R302" s="300">
        <f t="shared" si="113"/>
        <v>0</v>
      </c>
      <c r="S302" s="300">
        <f t="shared" si="113"/>
        <v>0</v>
      </c>
      <c r="T302" s="301">
        <f t="shared" si="113"/>
        <v>0</v>
      </c>
      <c r="U302" s="302">
        <f t="shared" si="114"/>
        <v>0</v>
      </c>
      <c r="W302" s="303">
        <f t="shared" si="115"/>
        <v>0</v>
      </c>
      <c r="X302" s="304">
        <f t="shared" si="116"/>
        <v>0</v>
      </c>
      <c r="Y302" s="246"/>
      <c r="Z302" s="246"/>
      <c r="AA302" s="246"/>
    </row>
    <row r="303" spans="1:27" s="249" customFormat="1">
      <c r="A303" s="246"/>
      <c r="B303" s="246"/>
      <c r="C303" s="296" t="str">
        <f t="shared" si="117"/>
        <v>Lantai 3</v>
      </c>
      <c r="D303" s="306" t="s">
        <v>2190</v>
      </c>
      <c r="E303" s="305"/>
      <c r="F303" s="305"/>
      <c r="G303" s="298">
        <f t="shared" si="108"/>
        <v>0</v>
      </c>
      <c r="H303" s="298">
        <f t="shared" si="109"/>
        <v>0</v>
      </c>
      <c r="I303" s="298">
        <f t="shared" si="110"/>
        <v>0</v>
      </c>
      <c r="J303" s="298">
        <f t="shared" si="111"/>
        <v>0</v>
      </c>
      <c r="K303" s="298">
        <f t="shared" si="112"/>
        <v>0</v>
      </c>
      <c r="L303" s="299">
        <f t="shared" si="113"/>
        <v>0</v>
      </c>
      <c r="M303" s="300">
        <f t="shared" si="113"/>
        <v>0</v>
      </c>
      <c r="N303" s="300">
        <f t="shared" si="113"/>
        <v>0</v>
      </c>
      <c r="O303" s="300">
        <f t="shared" si="113"/>
        <v>0</v>
      </c>
      <c r="P303" s="300">
        <f t="shared" si="113"/>
        <v>0</v>
      </c>
      <c r="Q303" s="300">
        <f t="shared" si="113"/>
        <v>0</v>
      </c>
      <c r="R303" s="300">
        <f t="shared" si="113"/>
        <v>0</v>
      </c>
      <c r="S303" s="300">
        <f t="shared" si="113"/>
        <v>0</v>
      </c>
      <c r="T303" s="301">
        <f t="shared" si="113"/>
        <v>0</v>
      </c>
      <c r="U303" s="302">
        <f t="shared" si="114"/>
        <v>0</v>
      </c>
      <c r="W303" s="303">
        <f t="shared" si="115"/>
        <v>0</v>
      </c>
      <c r="X303" s="304">
        <f t="shared" si="116"/>
        <v>0</v>
      </c>
      <c r="Y303" s="246"/>
      <c r="Z303" s="246"/>
      <c r="AA303" s="246"/>
    </row>
    <row r="304" spans="1:27" s="249" customFormat="1">
      <c r="A304" s="246"/>
      <c r="B304" s="246"/>
      <c r="C304" s="296" t="str">
        <f t="shared" si="117"/>
        <v>Lantai 3</v>
      </c>
      <c r="D304" s="306" t="s">
        <v>2285</v>
      </c>
      <c r="E304" s="305"/>
      <c r="F304" s="305"/>
      <c r="G304" s="298">
        <f t="shared" si="108"/>
        <v>0</v>
      </c>
      <c r="H304" s="298">
        <f t="shared" si="109"/>
        <v>0</v>
      </c>
      <c r="I304" s="298">
        <f t="shared" si="110"/>
        <v>0</v>
      </c>
      <c r="J304" s="298">
        <f t="shared" si="111"/>
        <v>0</v>
      </c>
      <c r="K304" s="298">
        <f t="shared" si="112"/>
        <v>0</v>
      </c>
      <c r="L304" s="299">
        <f t="shared" si="113"/>
        <v>0</v>
      </c>
      <c r="M304" s="300">
        <f t="shared" si="113"/>
        <v>0</v>
      </c>
      <c r="N304" s="300">
        <f t="shared" si="113"/>
        <v>0</v>
      </c>
      <c r="O304" s="300">
        <f t="shared" si="113"/>
        <v>0</v>
      </c>
      <c r="P304" s="300">
        <f t="shared" si="113"/>
        <v>0</v>
      </c>
      <c r="Q304" s="300">
        <f t="shared" si="113"/>
        <v>0</v>
      </c>
      <c r="R304" s="300">
        <f t="shared" si="113"/>
        <v>0</v>
      </c>
      <c r="S304" s="300">
        <f t="shared" si="113"/>
        <v>0</v>
      </c>
      <c r="T304" s="301">
        <f t="shared" si="113"/>
        <v>0</v>
      </c>
      <c r="U304" s="302">
        <f t="shared" ref="U304:U305" si="118">SUM(L304:T304)</f>
        <v>0</v>
      </c>
      <c r="W304" s="303">
        <f t="shared" ref="W304" si="119">IF(G304&gt;0,H304/G304,0)</f>
        <v>0</v>
      </c>
      <c r="X304" s="304">
        <f t="shared" ref="X304" si="120">IF(G304&gt;0,U304/G304,0)</f>
        <v>0</v>
      </c>
      <c r="Y304" s="246"/>
      <c r="Z304" s="246"/>
      <c r="AA304" s="246"/>
    </row>
    <row r="305" spans="1:27" s="249" customFormat="1">
      <c r="A305" s="246"/>
      <c r="B305" s="246"/>
      <c r="C305" s="296" t="str">
        <f t="shared" si="117"/>
        <v>Lantai 3</v>
      </c>
      <c r="D305" s="306" t="s">
        <v>2286</v>
      </c>
      <c r="E305" s="305"/>
      <c r="F305" s="305"/>
      <c r="G305" s="298">
        <f t="shared" si="108"/>
        <v>0.90064000000000011</v>
      </c>
      <c r="H305" s="298">
        <f t="shared" si="109"/>
        <v>16.107600000000001</v>
      </c>
      <c r="I305" s="298">
        <f t="shared" si="110"/>
        <v>0</v>
      </c>
      <c r="J305" s="298">
        <f t="shared" si="111"/>
        <v>0</v>
      </c>
      <c r="K305" s="298">
        <f t="shared" si="112"/>
        <v>0</v>
      </c>
      <c r="L305" s="299">
        <f t="shared" si="113"/>
        <v>0</v>
      </c>
      <c r="M305" s="300">
        <f t="shared" si="113"/>
        <v>36.871632000000005</v>
      </c>
      <c r="N305" s="300">
        <f t="shared" si="113"/>
        <v>0</v>
      </c>
      <c r="O305" s="300">
        <f t="shared" si="113"/>
        <v>74.782337760000004</v>
      </c>
      <c r="P305" s="300">
        <f t="shared" si="113"/>
        <v>0</v>
      </c>
      <c r="Q305" s="300">
        <f t="shared" si="113"/>
        <v>0</v>
      </c>
      <c r="R305" s="300">
        <f t="shared" si="113"/>
        <v>0</v>
      </c>
      <c r="S305" s="300">
        <f t="shared" si="113"/>
        <v>0</v>
      </c>
      <c r="T305" s="301">
        <f t="shared" si="113"/>
        <v>0</v>
      </c>
      <c r="U305" s="302">
        <f t="shared" si="118"/>
        <v>111.65396976000001</v>
      </c>
      <c r="W305" s="303">
        <f>IF(G305&gt;0,H305/G305,0)</f>
        <v>17.884615384615383</v>
      </c>
      <c r="X305" s="304">
        <f>IF(G305&gt;0,U305/G305,0)</f>
        <v>123.97180866939065</v>
      </c>
      <c r="Y305" s="246"/>
      <c r="Z305" s="246"/>
      <c r="AA305" s="246"/>
    </row>
    <row r="306" spans="1:27" s="249" customFormat="1">
      <c r="A306" s="246"/>
      <c r="B306" s="246"/>
      <c r="C306" s="296" t="str">
        <f t="shared" si="117"/>
        <v>Lantai 3</v>
      </c>
      <c r="D306" s="306" t="s">
        <v>2287</v>
      </c>
      <c r="E306" s="305"/>
      <c r="F306" s="305"/>
      <c r="G306" s="298">
        <f t="shared" si="108"/>
        <v>0</v>
      </c>
      <c r="H306" s="298">
        <f t="shared" si="109"/>
        <v>0</v>
      </c>
      <c r="I306" s="298">
        <f t="shared" si="110"/>
        <v>0</v>
      </c>
      <c r="J306" s="298">
        <f t="shared" si="111"/>
        <v>0</v>
      </c>
      <c r="K306" s="298">
        <f t="shared" si="112"/>
        <v>0</v>
      </c>
      <c r="L306" s="299">
        <f t="shared" si="113"/>
        <v>0</v>
      </c>
      <c r="M306" s="300">
        <f t="shared" si="113"/>
        <v>0</v>
      </c>
      <c r="N306" s="300">
        <f t="shared" si="113"/>
        <v>0</v>
      </c>
      <c r="O306" s="300">
        <f t="shared" si="113"/>
        <v>0</v>
      </c>
      <c r="P306" s="300">
        <f t="shared" si="113"/>
        <v>0</v>
      </c>
      <c r="Q306" s="300">
        <f t="shared" si="113"/>
        <v>0</v>
      </c>
      <c r="R306" s="300">
        <f t="shared" si="113"/>
        <v>0</v>
      </c>
      <c r="S306" s="300">
        <f t="shared" si="113"/>
        <v>0</v>
      </c>
      <c r="T306" s="301">
        <f t="shared" si="113"/>
        <v>0</v>
      </c>
      <c r="U306" s="302">
        <f t="shared" si="114"/>
        <v>0</v>
      </c>
      <c r="W306" s="303">
        <f t="shared" si="115"/>
        <v>0</v>
      </c>
      <c r="X306" s="304">
        <f t="shared" si="116"/>
        <v>0</v>
      </c>
      <c r="Y306" s="246"/>
      <c r="Z306" s="246"/>
      <c r="AA306" s="246"/>
    </row>
    <row r="307" spans="1:27" s="249" customFormat="1">
      <c r="A307" s="246"/>
      <c r="B307" s="246"/>
      <c r="C307" s="296" t="str">
        <f t="shared" si="117"/>
        <v>Lantai 3</v>
      </c>
      <c r="D307" s="306" t="s">
        <v>2288</v>
      </c>
      <c r="E307" s="305"/>
      <c r="F307" s="305"/>
      <c r="G307" s="298">
        <f t="shared" si="108"/>
        <v>0.2505</v>
      </c>
      <c r="H307" s="298">
        <f t="shared" si="109"/>
        <v>2.5049999999999999</v>
      </c>
      <c r="I307" s="298">
        <f t="shared" si="110"/>
        <v>0</v>
      </c>
      <c r="J307" s="298">
        <f t="shared" si="111"/>
        <v>0</v>
      </c>
      <c r="K307" s="298">
        <f t="shared" si="112"/>
        <v>0</v>
      </c>
      <c r="L307" s="299">
        <f t="shared" si="113"/>
        <v>0</v>
      </c>
      <c r="M307" s="300">
        <f t="shared" si="113"/>
        <v>0</v>
      </c>
      <c r="N307" s="300">
        <f t="shared" si="113"/>
        <v>32.748480000000008</v>
      </c>
      <c r="O307" s="300">
        <f t="shared" si="113"/>
        <v>56.099255939999992</v>
      </c>
      <c r="P307" s="300">
        <f t="shared" si="113"/>
        <v>0</v>
      </c>
      <c r="Q307" s="300">
        <f t="shared" si="113"/>
        <v>0</v>
      </c>
      <c r="R307" s="300">
        <f t="shared" si="113"/>
        <v>0</v>
      </c>
      <c r="S307" s="300">
        <f t="shared" si="113"/>
        <v>0</v>
      </c>
      <c r="T307" s="301">
        <f t="shared" si="113"/>
        <v>0</v>
      </c>
      <c r="U307" s="302">
        <f t="shared" si="114"/>
        <v>88.847735940000007</v>
      </c>
      <c r="W307" s="303">
        <f t="shared" si="115"/>
        <v>10</v>
      </c>
      <c r="X307" s="304">
        <f t="shared" si="116"/>
        <v>354.68158059880244</v>
      </c>
      <c r="Y307" s="246"/>
      <c r="Z307" s="246"/>
      <c r="AA307" s="246"/>
    </row>
    <row r="308" spans="1:27" s="249" customFormat="1">
      <c r="A308" s="246"/>
      <c r="B308" s="246"/>
      <c r="C308" s="296" t="str">
        <f t="shared" si="117"/>
        <v>Lantai 3</v>
      </c>
      <c r="D308" s="306" t="s">
        <v>132</v>
      </c>
      <c r="E308" s="305"/>
      <c r="F308" s="305"/>
      <c r="G308" s="298">
        <f t="shared" si="108"/>
        <v>1.7806500000000003</v>
      </c>
      <c r="H308" s="298">
        <f t="shared" si="109"/>
        <v>19.3675</v>
      </c>
      <c r="I308" s="298">
        <f t="shared" si="110"/>
        <v>0</v>
      </c>
      <c r="J308" s="298">
        <f t="shared" si="111"/>
        <v>0</v>
      </c>
      <c r="K308" s="298">
        <f t="shared" si="112"/>
        <v>0</v>
      </c>
      <c r="L308" s="299">
        <f t="shared" si="113"/>
        <v>0</v>
      </c>
      <c r="M308" s="300">
        <f t="shared" si="113"/>
        <v>0</v>
      </c>
      <c r="N308" s="300">
        <f t="shared" si="113"/>
        <v>168.27367500000005</v>
      </c>
      <c r="O308" s="300">
        <f t="shared" si="113"/>
        <v>210.90669678000003</v>
      </c>
      <c r="P308" s="300">
        <f t="shared" si="113"/>
        <v>0</v>
      </c>
      <c r="Q308" s="300">
        <f t="shared" si="113"/>
        <v>0</v>
      </c>
      <c r="R308" s="300">
        <f t="shared" si="113"/>
        <v>0</v>
      </c>
      <c r="S308" s="300">
        <f t="shared" si="113"/>
        <v>0</v>
      </c>
      <c r="T308" s="301">
        <f t="shared" si="113"/>
        <v>0</v>
      </c>
      <c r="U308" s="302">
        <f t="shared" si="114"/>
        <v>379.18037178000009</v>
      </c>
      <c r="W308" s="303">
        <f t="shared" si="115"/>
        <v>10.876646168533961</v>
      </c>
      <c r="X308" s="304">
        <f t="shared" si="116"/>
        <v>212.94491998989133</v>
      </c>
      <c r="Y308" s="246"/>
      <c r="Z308" s="246"/>
      <c r="AA308" s="246"/>
    </row>
    <row r="309" spans="1:27" s="249" customFormat="1">
      <c r="A309" s="246"/>
      <c r="B309" s="246"/>
      <c r="C309" s="296" t="str">
        <f t="shared" si="117"/>
        <v>Lantai 3</v>
      </c>
      <c r="D309" s="306" t="s">
        <v>133</v>
      </c>
      <c r="E309" s="305"/>
      <c r="F309" s="305"/>
      <c r="G309" s="298">
        <f t="shared" si="108"/>
        <v>2.49125</v>
      </c>
      <c r="H309" s="298">
        <f t="shared" si="109"/>
        <v>24.912500000000001</v>
      </c>
      <c r="I309" s="298">
        <f t="shared" si="110"/>
        <v>0</v>
      </c>
      <c r="J309" s="298">
        <f t="shared" si="111"/>
        <v>0</v>
      </c>
      <c r="K309" s="298">
        <f t="shared" si="112"/>
        <v>0</v>
      </c>
      <c r="L309" s="299">
        <f t="shared" si="113"/>
        <v>0</v>
      </c>
      <c r="M309" s="300">
        <f t="shared" si="113"/>
        <v>0</v>
      </c>
      <c r="N309" s="300">
        <f t="shared" si="113"/>
        <v>247.64805000000004</v>
      </c>
      <c r="O309" s="300">
        <f t="shared" si="113"/>
        <v>0</v>
      </c>
      <c r="P309" s="300">
        <f t="shared" si="113"/>
        <v>493.647588864</v>
      </c>
      <c r="Q309" s="300">
        <f t="shared" si="113"/>
        <v>0</v>
      </c>
      <c r="R309" s="300">
        <f t="shared" si="113"/>
        <v>0</v>
      </c>
      <c r="S309" s="300">
        <f t="shared" si="113"/>
        <v>0</v>
      </c>
      <c r="T309" s="301">
        <f t="shared" si="113"/>
        <v>0</v>
      </c>
      <c r="U309" s="302">
        <f t="shared" si="114"/>
        <v>741.29563886400001</v>
      </c>
      <c r="W309" s="303">
        <f t="shared" si="115"/>
        <v>10</v>
      </c>
      <c r="X309" s="304">
        <f t="shared" si="116"/>
        <v>297.55971454651279</v>
      </c>
      <c r="Y309" s="246"/>
      <c r="Z309" s="246"/>
      <c r="AA309" s="246"/>
    </row>
    <row r="310" spans="1:27" s="249" customFormat="1">
      <c r="A310" s="246"/>
      <c r="B310" s="246"/>
      <c r="C310" s="296" t="str">
        <f t="shared" si="117"/>
        <v>Lantai 3</v>
      </c>
      <c r="D310" s="306" t="s">
        <v>2289</v>
      </c>
      <c r="E310" s="305"/>
      <c r="F310" s="305"/>
      <c r="G310" s="298">
        <f t="shared" si="108"/>
        <v>3.04175</v>
      </c>
      <c r="H310" s="298">
        <f t="shared" si="109"/>
        <v>30.787500000000001</v>
      </c>
      <c r="I310" s="298">
        <f t="shared" si="110"/>
        <v>0</v>
      </c>
      <c r="J310" s="298">
        <f t="shared" si="111"/>
        <v>0</v>
      </c>
      <c r="K310" s="298">
        <f t="shared" si="112"/>
        <v>0</v>
      </c>
      <c r="L310" s="299">
        <f t="shared" si="113"/>
        <v>0</v>
      </c>
      <c r="M310" s="300">
        <f t="shared" si="113"/>
        <v>0</v>
      </c>
      <c r="N310" s="300">
        <f t="shared" si="113"/>
        <v>400.68184499999995</v>
      </c>
      <c r="O310" s="300">
        <f t="shared" si="113"/>
        <v>0</v>
      </c>
      <c r="P310" s="300">
        <f t="shared" si="113"/>
        <v>645.56770867199987</v>
      </c>
      <c r="Q310" s="300">
        <f t="shared" si="113"/>
        <v>0</v>
      </c>
      <c r="R310" s="300">
        <f t="shared" si="113"/>
        <v>0</v>
      </c>
      <c r="S310" s="300">
        <f t="shared" si="113"/>
        <v>0</v>
      </c>
      <c r="T310" s="301">
        <f t="shared" si="113"/>
        <v>0</v>
      </c>
      <c r="U310" s="302">
        <f t="shared" si="114"/>
        <v>1046.2495536719998</v>
      </c>
      <c r="W310" s="303">
        <f t="shared" si="115"/>
        <v>10.121640502999918</v>
      </c>
      <c r="X310" s="304">
        <f t="shared" si="116"/>
        <v>343.96303235703124</v>
      </c>
      <c r="Y310" s="246"/>
      <c r="Z310" s="246"/>
      <c r="AA310" s="246"/>
    </row>
    <row r="311" spans="1:27" s="249" customFormat="1">
      <c r="A311" s="246"/>
      <c r="B311" s="246"/>
      <c r="C311" s="296" t="str">
        <f t="shared" si="117"/>
        <v>Lantai 3</v>
      </c>
      <c r="D311" s="306" t="s">
        <v>134</v>
      </c>
      <c r="E311" s="305"/>
      <c r="F311" s="305"/>
      <c r="G311" s="298">
        <f t="shared" si="108"/>
        <v>3.9059999999999997</v>
      </c>
      <c r="H311" s="298">
        <f t="shared" si="109"/>
        <v>39.06</v>
      </c>
      <c r="I311" s="298">
        <f t="shared" si="110"/>
        <v>0</v>
      </c>
      <c r="J311" s="298">
        <f t="shared" si="111"/>
        <v>0</v>
      </c>
      <c r="K311" s="298">
        <f t="shared" si="112"/>
        <v>0</v>
      </c>
      <c r="L311" s="299">
        <f t="shared" si="113"/>
        <v>0</v>
      </c>
      <c r="M311" s="300">
        <f t="shared" si="113"/>
        <v>0</v>
      </c>
      <c r="N311" s="300">
        <f t="shared" si="113"/>
        <v>333.07645500000007</v>
      </c>
      <c r="O311" s="300">
        <f t="shared" si="113"/>
        <v>0</v>
      </c>
      <c r="P311" s="300">
        <f t="shared" si="113"/>
        <v>748.16151552000008</v>
      </c>
      <c r="Q311" s="300">
        <f t="shared" si="113"/>
        <v>0</v>
      </c>
      <c r="R311" s="300">
        <f t="shared" si="113"/>
        <v>0</v>
      </c>
      <c r="S311" s="300">
        <f t="shared" si="113"/>
        <v>0</v>
      </c>
      <c r="T311" s="301">
        <f t="shared" si="113"/>
        <v>0</v>
      </c>
      <c r="U311" s="302">
        <f t="shared" si="114"/>
        <v>1081.2379705200001</v>
      </c>
      <c r="W311" s="303">
        <f t="shared" si="115"/>
        <v>10.000000000000002</v>
      </c>
      <c r="X311" s="304">
        <f t="shared" si="116"/>
        <v>276.81463658986178</v>
      </c>
      <c r="Y311" s="246"/>
      <c r="Z311" s="246"/>
      <c r="AA311" s="246"/>
    </row>
    <row r="312" spans="1:27" s="249" customFormat="1">
      <c r="A312" s="246"/>
      <c r="B312" s="246"/>
      <c r="C312" s="296" t="str">
        <f t="shared" si="117"/>
        <v>Lantai 3</v>
      </c>
      <c r="D312" s="306" t="s">
        <v>135</v>
      </c>
      <c r="E312" s="305"/>
      <c r="F312" s="305"/>
      <c r="G312" s="298">
        <f t="shared" si="108"/>
        <v>8.198850000000002</v>
      </c>
      <c r="H312" s="298">
        <f t="shared" si="109"/>
        <v>83.253500000000003</v>
      </c>
      <c r="I312" s="298">
        <f t="shared" si="110"/>
        <v>0</v>
      </c>
      <c r="J312" s="298">
        <f t="shared" si="111"/>
        <v>0</v>
      </c>
      <c r="K312" s="298">
        <f t="shared" si="112"/>
        <v>0</v>
      </c>
      <c r="L312" s="299">
        <f t="shared" si="113"/>
        <v>0</v>
      </c>
      <c r="M312" s="300">
        <f t="shared" si="113"/>
        <v>0</v>
      </c>
      <c r="N312" s="300">
        <f t="shared" si="113"/>
        <v>797.98600980000003</v>
      </c>
      <c r="O312" s="300">
        <f t="shared" si="113"/>
        <v>0</v>
      </c>
      <c r="P312" s="300">
        <f t="shared" si="113"/>
        <v>1081.2206592</v>
      </c>
      <c r="Q312" s="300">
        <f t="shared" si="113"/>
        <v>0</v>
      </c>
      <c r="R312" s="300">
        <f t="shared" si="113"/>
        <v>0</v>
      </c>
      <c r="S312" s="300">
        <f t="shared" si="113"/>
        <v>0</v>
      </c>
      <c r="T312" s="301">
        <f t="shared" si="113"/>
        <v>0</v>
      </c>
      <c r="U312" s="302">
        <f t="shared" si="114"/>
        <v>1879.2066690000001</v>
      </c>
      <c r="W312" s="303">
        <f t="shared" si="115"/>
        <v>10.154289930904941</v>
      </c>
      <c r="X312" s="304">
        <f t="shared" si="116"/>
        <v>229.20368941985762</v>
      </c>
      <c r="Y312" s="246"/>
      <c r="Z312" s="246"/>
      <c r="AA312" s="246"/>
    </row>
    <row r="313" spans="1:27" s="249" customFormat="1">
      <c r="A313" s="246"/>
      <c r="B313" s="246"/>
      <c r="C313" s="296" t="str">
        <f t="shared" si="117"/>
        <v>Lantai 3</v>
      </c>
      <c r="D313" s="306" t="s">
        <v>2290</v>
      </c>
      <c r="E313" s="305"/>
      <c r="F313" s="305"/>
      <c r="G313" s="298">
        <f t="shared" si="108"/>
        <v>0</v>
      </c>
      <c r="H313" s="298">
        <f t="shared" si="109"/>
        <v>0</v>
      </c>
      <c r="I313" s="298">
        <f t="shared" si="110"/>
        <v>0</v>
      </c>
      <c r="J313" s="298">
        <f t="shared" si="111"/>
        <v>0</v>
      </c>
      <c r="K313" s="298">
        <f t="shared" si="112"/>
        <v>0</v>
      </c>
      <c r="L313" s="299">
        <f t="shared" si="113"/>
        <v>0</v>
      </c>
      <c r="M313" s="300">
        <f t="shared" si="113"/>
        <v>0</v>
      </c>
      <c r="N313" s="300">
        <f t="shared" si="113"/>
        <v>0</v>
      </c>
      <c r="O313" s="300">
        <f t="shared" si="113"/>
        <v>0</v>
      </c>
      <c r="P313" s="300">
        <f t="shared" si="113"/>
        <v>0</v>
      </c>
      <c r="Q313" s="300">
        <f t="shared" si="113"/>
        <v>0</v>
      </c>
      <c r="R313" s="300">
        <f t="shared" si="113"/>
        <v>0</v>
      </c>
      <c r="S313" s="300">
        <f t="shared" si="113"/>
        <v>0</v>
      </c>
      <c r="T313" s="301">
        <f t="shared" si="113"/>
        <v>0</v>
      </c>
      <c r="U313" s="302">
        <f t="shared" si="114"/>
        <v>0</v>
      </c>
      <c r="W313" s="303">
        <f t="shared" si="115"/>
        <v>0</v>
      </c>
      <c r="X313" s="304">
        <f t="shared" si="116"/>
        <v>0</v>
      </c>
      <c r="Y313" s="246"/>
      <c r="Z313" s="246"/>
      <c r="AA313" s="246"/>
    </row>
    <row r="314" spans="1:27" s="249" customFormat="1" ht="15.75" thickBot="1">
      <c r="A314" s="246"/>
      <c r="B314" s="246"/>
      <c r="C314" s="296" t="str">
        <f t="shared" si="117"/>
        <v>Lantai 3</v>
      </c>
      <c r="D314" s="306" t="s">
        <v>2291</v>
      </c>
      <c r="E314" s="305"/>
      <c r="F314" s="305"/>
      <c r="G314" s="298">
        <f t="shared" si="108"/>
        <v>0</v>
      </c>
      <c r="H314" s="298">
        <f t="shared" si="109"/>
        <v>0</v>
      </c>
      <c r="I314" s="298">
        <f t="shared" si="110"/>
        <v>0</v>
      </c>
      <c r="J314" s="298">
        <f t="shared" si="111"/>
        <v>0</v>
      </c>
      <c r="K314" s="298">
        <f t="shared" si="112"/>
        <v>0</v>
      </c>
      <c r="L314" s="299">
        <f t="shared" si="113"/>
        <v>0</v>
      </c>
      <c r="M314" s="300">
        <f t="shared" si="113"/>
        <v>0</v>
      </c>
      <c r="N314" s="300">
        <f t="shared" si="113"/>
        <v>0</v>
      </c>
      <c r="O314" s="300">
        <f t="shared" si="113"/>
        <v>0</v>
      </c>
      <c r="P314" s="300">
        <f t="shared" si="113"/>
        <v>0</v>
      </c>
      <c r="Q314" s="300">
        <f t="shared" si="113"/>
        <v>0</v>
      </c>
      <c r="R314" s="300">
        <f t="shared" si="113"/>
        <v>0</v>
      </c>
      <c r="S314" s="300">
        <f t="shared" si="113"/>
        <v>0</v>
      </c>
      <c r="T314" s="301">
        <f t="shared" si="113"/>
        <v>0</v>
      </c>
      <c r="U314" s="302">
        <f t="shared" si="114"/>
        <v>0</v>
      </c>
      <c r="W314" s="303">
        <f t="shared" si="115"/>
        <v>0</v>
      </c>
      <c r="X314" s="304">
        <f t="shared" si="116"/>
        <v>0</v>
      </c>
      <c r="Y314" s="246"/>
      <c r="Z314" s="246"/>
      <c r="AA314" s="246"/>
    </row>
    <row r="315" spans="1:27" s="249" customFormat="1" ht="15.75" thickBot="1">
      <c r="A315" s="246"/>
      <c r="B315" s="246"/>
      <c r="C315" s="2499" t="s">
        <v>2218</v>
      </c>
      <c r="D315" s="2500"/>
      <c r="E315" s="2500"/>
      <c r="F315" s="2501"/>
      <c r="G315" s="307">
        <f t="shared" ref="G315:U315" si="121">SUM(G299:G314)</f>
        <v>20.56964</v>
      </c>
      <c r="H315" s="307">
        <f t="shared" si="121"/>
        <v>215.99360000000001</v>
      </c>
      <c r="I315" s="307">
        <f t="shared" si="121"/>
        <v>0</v>
      </c>
      <c r="J315" s="307">
        <f t="shared" si="121"/>
        <v>0</v>
      </c>
      <c r="K315" s="307">
        <f t="shared" si="121"/>
        <v>0</v>
      </c>
      <c r="L315" s="307">
        <f t="shared" si="121"/>
        <v>0</v>
      </c>
      <c r="M315" s="307">
        <f t="shared" si="121"/>
        <v>36.871632000000005</v>
      </c>
      <c r="N315" s="307">
        <f t="shared" si="121"/>
        <v>1980.4145148000002</v>
      </c>
      <c r="O315" s="307">
        <f t="shared" si="121"/>
        <v>341.78829048</v>
      </c>
      <c r="P315" s="307">
        <f t="shared" si="121"/>
        <v>2968.5974722560004</v>
      </c>
      <c r="Q315" s="307">
        <f t="shared" si="121"/>
        <v>0</v>
      </c>
      <c r="R315" s="307">
        <f t="shared" si="121"/>
        <v>0</v>
      </c>
      <c r="S315" s="307">
        <f t="shared" si="121"/>
        <v>0</v>
      </c>
      <c r="T315" s="307">
        <f t="shared" si="121"/>
        <v>0</v>
      </c>
      <c r="U315" s="307">
        <f t="shared" si="121"/>
        <v>5327.6719095360004</v>
      </c>
      <c r="W315" s="303"/>
      <c r="X315" s="304"/>
      <c r="Y315" s="246"/>
      <c r="Z315" s="246"/>
      <c r="AA315" s="246"/>
    </row>
    <row r="316" spans="1:27" s="249" customFormat="1">
      <c r="A316" s="246"/>
      <c r="B316" s="246"/>
      <c r="C316" s="296"/>
      <c r="D316" s="306"/>
      <c r="E316" s="305"/>
      <c r="F316" s="305"/>
      <c r="G316" s="298"/>
      <c r="H316" s="298"/>
      <c r="I316" s="298"/>
      <c r="J316" s="298"/>
      <c r="K316" s="298"/>
      <c r="L316" s="299"/>
      <c r="M316" s="300"/>
      <c r="N316" s="300"/>
      <c r="O316" s="300"/>
      <c r="P316" s="300"/>
      <c r="Q316" s="300"/>
      <c r="R316" s="300"/>
      <c r="S316" s="300"/>
      <c r="T316" s="301"/>
      <c r="U316" s="302"/>
      <c r="W316" s="303"/>
      <c r="X316" s="304"/>
      <c r="Y316" s="246"/>
      <c r="Z316" s="246"/>
      <c r="AA316" s="246"/>
    </row>
    <row r="317" spans="1:27" s="249" customFormat="1">
      <c r="A317" s="246"/>
      <c r="B317" s="246"/>
      <c r="C317" s="296" t="s">
        <v>137</v>
      </c>
      <c r="D317" s="306" t="s">
        <v>2188</v>
      </c>
      <c r="E317" s="305"/>
      <c r="F317" s="305"/>
      <c r="G317" s="298">
        <f t="shared" ref="G317:G331" si="122">SUMIFS($V$12:$V$260,$A$12:$A$260,$C317,$C$12:$C$260,$D317)</f>
        <v>0</v>
      </c>
      <c r="H317" s="298">
        <f t="shared" ref="H317:H331" si="123">SUMIFS($W$12:$W$260,$A$12:$A$260,$C317,$C$12:$C$260,$D317)</f>
        <v>0</v>
      </c>
      <c r="I317" s="298">
        <f t="shared" ref="I317:I331" si="124">SUMIFS($X$12:$X$260,$A$12:$A$260,$C317,$C$12:$C$260,$D317)</f>
        <v>0</v>
      </c>
      <c r="J317" s="298">
        <f t="shared" ref="J317:J331" si="125">SUMIFS($Y$12:$Y$260,$A$12:$A$260,$C317,$C$12:$C$260,$D317)</f>
        <v>0</v>
      </c>
      <c r="K317" s="298">
        <f t="shared" ref="K317:K331" si="126">SUMIFS($Z$12:$Z$260,$A$12:$A$260,$C317,$C$12:$C$260,$D317)</f>
        <v>0</v>
      </c>
      <c r="L317" s="299">
        <f t="shared" ref="L317:T331" si="127">SUMIFS(L$12:L$260,$A$12:$A$260,$C317,$C$12:$C$260,$D317)</f>
        <v>0</v>
      </c>
      <c r="M317" s="300">
        <f t="shared" si="127"/>
        <v>0</v>
      </c>
      <c r="N317" s="300">
        <f t="shared" si="127"/>
        <v>0</v>
      </c>
      <c r="O317" s="300">
        <f t="shared" si="127"/>
        <v>0</v>
      </c>
      <c r="P317" s="300">
        <f t="shared" si="127"/>
        <v>0</v>
      </c>
      <c r="Q317" s="300">
        <f t="shared" si="127"/>
        <v>0</v>
      </c>
      <c r="R317" s="300">
        <f t="shared" si="127"/>
        <v>0</v>
      </c>
      <c r="S317" s="300">
        <f t="shared" si="127"/>
        <v>0</v>
      </c>
      <c r="T317" s="301">
        <f t="shared" si="127"/>
        <v>0</v>
      </c>
      <c r="U317" s="302">
        <f t="shared" ref="U317:U331" si="128">SUM(L317:T317)</f>
        <v>0</v>
      </c>
      <c r="W317" s="303">
        <f>IF(G317&gt;0,H317/G317,0)</f>
        <v>0</v>
      </c>
      <c r="X317" s="304">
        <f>IF(G317&gt;0,U317/G317,0)</f>
        <v>0</v>
      </c>
      <c r="Y317" s="246"/>
      <c r="Z317" s="246"/>
      <c r="AA317" s="246"/>
    </row>
    <row r="318" spans="1:27" s="249" customFormat="1">
      <c r="A318" s="246"/>
      <c r="B318" s="246"/>
      <c r="C318" s="296" t="str">
        <f>C317</f>
        <v>Lantai Atap</v>
      </c>
      <c r="D318" s="306" t="s">
        <v>2189</v>
      </c>
      <c r="E318" s="305"/>
      <c r="F318" s="305"/>
      <c r="G318" s="298">
        <f t="shared" si="122"/>
        <v>0</v>
      </c>
      <c r="H318" s="298">
        <f t="shared" si="123"/>
        <v>0</v>
      </c>
      <c r="I318" s="298">
        <f t="shared" si="124"/>
        <v>0</v>
      </c>
      <c r="J318" s="298">
        <f t="shared" si="125"/>
        <v>0</v>
      </c>
      <c r="K318" s="298">
        <f t="shared" si="126"/>
        <v>0</v>
      </c>
      <c r="L318" s="299">
        <f t="shared" si="127"/>
        <v>0</v>
      </c>
      <c r="M318" s="300">
        <f t="shared" si="127"/>
        <v>0</v>
      </c>
      <c r="N318" s="300">
        <f t="shared" si="127"/>
        <v>0</v>
      </c>
      <c r="O318" s="300">
        <f t="shared" si="127"/>
        <v>0</v>
      </c>
      <c r="P318" s="300">
        <f t="shared" si="127"/>
        <v>0</v>
      </c>
      <c r="Q318" s="300">
        <f t="shared" si="127"/>
        <v>0</v>
      </c>
      <c r="R318" s="300">
        <f t="shared" si="127"/>
        <v>0</v>
      </c>
      <c r="S318" s="300">
        <f t="shared" si="127"/>
        <v>0</v>
      </c>
      <c r="T318" s="301">
        <f t="shared" si="127"/>
        <v>0</v>
      </c>
      <c r="U318" s="302">
        <f t="shared" si="128"/>
        <v>0</v>
      </c>
      <c r="W318" s="303">
        <f t="shared" ref="W318:W331" si="129">IF(G318&gt;0,H318/G318,0)</f>
        <v>0</v>
      </c>
      <c r="X318" s="304">
        <f t="shared" ref="X318:X331" si="130">IF(G318&gt;0,U318/G318,0)</f>
        <v>0</v>
      </c>
      <c r="Y318" s="246"/>
      <c r="Z318" s="246"/>
      <c r="AA318" s="246"/>
    </row>
    <row r="319" spans="1:27" s="249" customFormat="1">
      <c r="A319" s="246"/>
      <c r="B319" s="246"/>
      <c r="C319" s="296" t="str">
        <f t="shared" ref="C319:C331" si="131">C318</f>
        <v>Lantai Atap</v>
      </c>
      <c r="D319" s="306" t="s">
        <v>2284</v>
      </c>
      <c r="E319" s="305"/>
      <c r="F319" s="305"/>
      <c r="G319" s="298">
        <f t="shared" si="122"/>
        <v>0</v>
      </c>
      <c r="H319" s="298">
        <f t="shared" si="123"/>
        <v>0</v>
      </c>
      <c r="I319" s="298">
        <f t="shared" si="124"/>
        <v>0</v>
      </c>
      <c r="J319" s="298">
        <f t="shared" si="125"/>
        <v>0</v>
      </c>
      <c r="K319" s="298">
        <f t="shared" si="126"/>
        <v>0</v>
      </c>
      <c r="L319" s="299">
        <f t="shared" si="127"/>
        <v>0</v>
      </c>
      <c r="M319" s="300">
        <f t="shared" si="127"/>
        <v>0</v>
      </c>
      <c r="N319" s="300">
        <f t="shared" si="127"/>
        <v>0</v>
      </c>
      <c r="O319" s="300">
        <f t="shared" si="127"/>
        <v>0</v>
      </c>
      <c r="P319" s="300">
        <f t="shared" si="127"/>
        <v>0</v>
      </c>
      <c r="Q319" s="300">
        <f t="shared" si="127"/>
        <v>0</v>
      </c>
      <c r="R319" s="300">
        <f t="shared" si="127"/>
        <v>0</v>
      </c>
      <c r="S319" s="300">
        <f t="shared" si="127"/>
        <v>0</v>
      </c>
      <c r="T319" s="301">
        <f t="shared" si="127"/>
        <v>0</v>
      </c>
      <c r="U319" s="302">
        <f t="shared" ref="U319:U320" si="132">SUM(L319:T319)</f>
        <v>0</v>
      </c>
      <c r="W319" s="303">
        <f t="shared" ref="W319:W320" si="133">IF(G319&gt;0,H319/G319,0)</f>
        <v>0</v>
      </c>
      <c r="X319" s="304">
        <f t="shared" ref="X319:X320" si="134">IF(G319&gt;0,U319/G319,0)</f>
        <v>0</v>
      </c>
      <c r="Y319" s="246"/>
      <c r="Z319" s="246"/>
      <c r="AA319" s="246"/>
    </row>
    <row r="320" spans="1:27" s="249" customFormat="1">
      <c r="A320" s="246"/>
      <c r="B320" s="246"/>
      <c r="C320" s="296" t="str">
        <f t="shared" si="131"/>
        <v>Lantai Atap</v>
      </c>
      <c r="D320" s="306" t="s">
        <v>2190</v>
      </c>
      <c r="E320" s="305"/>
      <c r="F320" s="305"/>
      <c r="G320" s="298">
        <f t="shared" si="122"/>
        <v>0</v>
      </c>
      <c r="H320" s="298">
        <f t="shared" si="123"/>
        <v>0</v>
      </c>
      <c r="I320" s="298">
        <f t="shared" si="124"/>
        <v>0</v>
      </c>
      <c r="J320" s="298">
        <f t="shared" si="125"/>
        <v>0</v>
      </c>
      <c r="K320" s="298">
        <f t="shared" si="126"/>
        <v>0</v>
      </c>
      <c r="L320" s="299">
        <f t="shared" si="127"/>
        <v>0</v>
      </c>
      <c r="M320" s="300">
        <f t="shared" si="127"/>
        <v>0</v>
      </c>
      <c r="N320" s="300">
        <f t="shared" si="127"/>
        <v>0</v>
      </c>
      <c r="O320" s="300">
        <f t="shared" si="127"/>
        <v>0</v>
      </c>
      <c r="P320" s="300">
        <f t="shared" si="127"/>
        <v>0</v>
      </c>
      <c r="Q320" s="300">
        <f t="shared" si="127"/>
        <v>0</v>
      </c>
      <c r="R320" s="300">
        <f t="shared" si="127"/>
        <v>0</v>
      </c>
      <c r="S320" s="300">
        <f t="shared" si="127"/>
        <v>0</v>
      </c>
      <c r="T320" s="301">
        <f t="shared" si="127"/>
        <v>0</v>
      </c>
      <c r="U320" s="302">
        <f t="shared" si="132"/>
        <v>0</v>
      </c>
      <c r="W320" s="303">
        <f t="shared" si="133"/>
        <v>0</v>
      </c>
      <c r="X320" s="304">
        <f t="shared" si="134"/>
        <v>0</v>
      </c>
      <c r="Y320" s="246"/>
      <c r="Z320" s="246"/>
      <c r="AA320" s="246"/>
    </row>
    <row r="321" spans="1:27" s="249" customFormat="1">
      <c r="A321" s="246"/>
      <c r="B321" s="246"/>
      <c r="C321" s="296" t="str">
        <f t="shared" si="131"/>
        <v>Lantai Atap</v>
      </c>
      <c r="D321" s="306" t="s">
        <v>2285</v>
      </c>
      <c r="E321" s="305"/>
      <c r="F321" s="305"/>
      <c r="G321" s="298">
        <f t="shared" si="122"/>
        <v>0</v>
      </c>
      <c r="H321" s="298">
        <f t="shared" si="123"/>
        <v>0</v>
      </c>
      <c r="I321" s="298">
        <f t="shared" si="124"/>
        <v>0</v>
      </c>
      <c r="J321" s="298">
        <f t="shared" si="125"/>
        <v>0</v>
      </c>
      <c r="K321" s="298">
        <f t="shared" si="126"/>
        <v>0</v>
      </c>
      <c r="L321" s="299">
        <f t="shared" si="127"/>
        <v>0</v>
      </c>
      <c r="M321" s="300">
        <f t="shared" si="127"/>
        <v>0</v>
      </c>
      <c r="N321" s="300">
        <f t="shared" si="127"/>
        <v>0</v>
      </c>
      <c r="O321" s="300">
        <f t="shared" si="127"/>
        <v>0</v>
      </c>
      <c r="P321" s="300">
        <f t="shared" si="127"/>
        <v>0</v>
      </c>
      <c r="Q321" s="300">
        <f t="shared" si="127"/>
        <v>0</v>
      </c>
      <c r="R321" s="300">
        <f t="shared" si="127"/>
        <v>0</v>
      </c>
      <c r="S321" s="300">
        <f t="shared" si="127"/>
        <v>0</v>
      </c>
      <c r="T321" s="301">
        <f t="shared" si="127"/>
        <v>0</v>
      </c>
      <c r="U321" s="302">
        <f t="shared" si="128"/>
        <v>0</v>
      </c>
      <c r="W321" s="303">
        <f t="shared" si="129"/>
        <v>0</v>
      </c>
      <c r="X321" s="304">
        <f t="shared" si="130"/>
        <v>0</v>
      </c>
      <c r="Y321" s="246"/>
      <c r="Z321" s="246"/>
      <c r="AA321" s="246"/>
    </row>
    <row r="322" spans="1:27" s="249" customFormat="1">
      <c r="A322" s="246"/>
      <c r="B322" s="246"/>
      <c r="C322" s="296" t="str">
        <f t="shared" si="131"/>
        <v>Lantai Atap</v>
      </c>
      <c r="D322" s="306" t="s">
        <v>2286</v>
      </c>
      <c r="E322" s="305"/>
      <c r="F322" s="305"/>
      <c r="G322" s="298">
        <f t="shared" si="122"/>
        <v>1.8280599999999998</v>
      </c>
      <c r="H322" s="298">
        <f t="shared" si="123"/>
        <v>32.69415</v>
      </c>
      <c r="I322" s="298">
        <f t="shared" si="124"/>
        <v>0</v>
      </c>
      <c r="J322" s="298">
        <f t="shared" si="125"/>
        <v>0</v>
      </c>
      <c r="K322" s="298">
        <f t="shared" si="126"/>
        <v>0</v>
      </c>
      <c r="L322" s="299">
        <f t="shared" si="127"/>
        <v>0</v>
      </c>
      <c r="M322" s="300">
        <f t="shared" si="127"/>
        <v>79.010640000000024</v>
      </c>
      <c r="N322" s="300">
        <f t="shared" si="127"/>
        <v>0</v>
      </c>
      <c r="O322" s="300">
        <f t="shared" si="127"/>
        <v>158.21232102000002</v>
      </c>
      <c r="P322" s="300">
        <f t="shared" si="127"/>
        <v>0</v>
      </c>
      <c r="Q322" s="300">
        <f t="shared" si="127"/>
        <v>0</v>
      </c>
      <c r="R322" s="300">
        <f t="shared" si="127"/>
        <v>0</v>
      </c>
      <c r="S322" s="300">
        <f t="shared" si="127"/>
        <v>0</v>
      </c>
      <c r="T322" s="301">
        <f t="shared" si="127"/>
        <v>0</v>
      </c>
      <c r="U322" s="302">
        <f t="shared" si="128"/>
        <v>237.22296102000004</v>
      </c>
      <c r="W322" s="303">
        <f t="shared" si="129"/>
        <v>17.884615384615387</v>
      </c>
      <c r="X322" s="304">
        <f t="shared" si="130"/>
        <v>129.76760118376862</v>
      </c>
      <c r="Y322" s="246"/>
      <c r="Z322" s="246"/>
      <c r="AA322" s="246"/>
    </row>
    <row r="323" spans="1:27" s="249" customFormat="1">
      <c r="A323" s="246"/>
      <c r="B323" s="246"/>
      <c r="C323" s="296" t="str">
        <f t="shared" si="131"/>
        <v>Lantai Atap</v>
      </c>
      <c r="D323" s="306" t="s">
        <v>2287</v>
      </c>
      <c r="E323" s="305"/>
      <c r="F323" s="305"/>
      <c r="G323" s="298">
        <f t="shared" si="122"/>
        <v>1.42748125</v>
      </c>
      <c r="H323" s="298">
        <f t="shared" si="123"/>
        <v>23.5427</v>
      </c>
      <c r="I323" s="298">
        <f t="shared" si="124"/>
        <v>0</v>
      </c>
      <c r="J323" s="298">
        <f t="shared" si="125"/>
        <v>0</v>
      </c>
      <c r="K323" s="298">
        <f t="shared" si="126"/>
        <v>0</v>
      </c>
      <c r="L323" s="299">
        <f t="shared" si="127"/>
        <v>0</v>
      </c>
      <c r="M323" s="300">
        <f t="shared" si="127"/>
        <v>61.500067199999989</v>
      </c>
      <c r="N323" s="300">
        <f t="shared" si="127"/>
        <v>30.097530000000006</v>
      </c>
      <c r="O323" s="300">
        <f t="shared" si="127"/>
        <v>153.94476005999996</v>
      </c>
      <c r="P323" s="300">
        <f t="shared" si="127"/>
        <v>0</v>
      </c>
      <c r="Q323" s="300">
        <f t="shared" si="127"/>
        <v>0</v>
      </c>
      <c r="R323" s="300">
        <f t="shared" si="127"/>
        <v>0</v>
      </c>
      <c r="S323" s="300">
        <f t="shared" si="127"/>
        <v>0</v>
      </c>
      <c r="T323" s="301">
        <f t="shared" si="127"/>
        <v>0</v>
      </c>
      <c r="U323" s="302">
        <f t="shared" si="128"/>
        <v>245.54235725999996</v>
      </c>
      <c r="W323" s="303">
        <f t="shared" si="129"/>
        <v>16.492475820610604</v>
      </c>
      <c r="X323" s="304">
        <f t="shared" si="130"/>
        <v>172.01091591220546</v>
      </c>
      <c r="Y323" s="246"/>
      <c r="Z323" s="246"/>
      <c r="AA323" s="246"/>
    </row>
    <row r="324" spans="1:27" s="249" customFormat="1">
      <c r="A324" s="246"/>
      <c r="B324" s="246"/>
      <c r="C324" s="296" t="str">
        <f t="shared" si="131"/>
        <v>Lantai Atap</v>
      </c>
      <c r="D324" s="306" t="s">
        <v>2288</v>
      </c>
      <c r="E324" s="305"/>
      <c r="F324" s="305"/>
      <c r="G324" s="298">
        <f t="shared" si="122"/>
        <v>0</v>
      </c>
      <c r="H324" s="298">
        <f t="shared" si="123"/>
        <v>0</v>
      </c>
      <c r="I324" s="298">
        <f t="shared" si="124"/>
        <v>0</v>
      </c>
      <c r="J324" s="298">
        <f t="shared" si="125"/>
        <v>0</v>
      </c>
      <c r="K324" s="298">
        <f t="shared" si="126"/>
        <v>0</v>
      </c>
      <c r="L324" s="299">
        <f t="shared" si="127"/>
        <v>0</v>
      </c>
      <c r="M324" s="300">
        <f t="shared" si="127"/>
        <v>0</v>
      </c>
      <c r="N324" s="300">
        <f t="shared" si="127"/>
        <v>0</v>
      </c>
      <c r="O324" s="300">
        <f t="shared" si="127"/>
        <v>0</v>
      </c>
      <c r="P324" s="300">
        <f t="shared" si="127"/>
        <v>0</v>
      </c>
      <c r="Q324" s="300">
        <f t="shared" si="127"/>
        <v>0</v>
      </c>
      <c r="R324" s="300">
        <f t="shared" si="127"/>
        <v>0</v>
      </c>
      <c r="S324" s="300">
        <f t="shared" si="127"/>
        <v>0</v>
      </c>
      <c r="T324" s="301">
        <f t="shared" si="127"/>
        <v>0</v>
      </c>
      <c r="U324" s="302">
        <f t="shared" si="128"/>
        <v>0</v>
      </c>
      <c r="W324" s="303">
        <f t="shared" si="129"/>
        <v>0</v>
      </c>
      <c r="X324" s="304">
        <f t="shared" si="130"/>
        <v>0</v>
      </c>
      <c r="Y324" s="246"/>
      <c r="Z324" s="246"/>
      <c r="AA324" s="246"/>
    </row>
    <row r="325" spans="1:27" s="249" customFormat="1">
      <c r="A325" s="246"/>
      <c r="B325" s="246"/>
      <c r="C325" s="296" t="str">
        <f t="shared" si="131"/>
        <v>Lantai Atap</v>
      </c>
      <c r="D325" s="306" t="s">
        <v>132</v>
      </c>
      <c r="E325" s="305"/>
      <c r="F325" s="305"/>
      <c r="G325" s="298">
        <f t="shared" si="122"/>
        <v>5.2828499999999998</v>
      </c>
      <c r="H325" s="298">
        <f t="shared" si="123"/>
        <v>60.592500000000008</v>
      </c>
      <c r="I325" s="298">
        <f t="shared" si="124"/>
        <v>0</v>
      </c>
      <c r="J325" s="298">
        <f t="shared" si="125"/>
        <v>0</v>
      </c>
      <c r="K325" s="298">
        <f t="shared" si="126"/>
        <v>0</v>
      </c>
      <c r="L325" s="299">
        <f t="shared" si="127"/>
        <v>0</v>
      </c>
      <c r="M325" s="300">
        <f t="shared" si="127"/>
        <v>0</v>
      </c>
      <c r="N325" s="300">
        <f t="shared" si="127"/>
        <v>415.28673000000009</v>
      </c>
      <c r="O325" s="300">
        <f t="shared" si="127"/>
        <v>544.14934230149993</v>
      </c>
      <c r="P325" s="300">
        <f t="shared" si="127"/>
        <v>0</v>
      </c>
      <c r="Q325" s="300">
        <f t="shared" si="127"/>
        <v>0</v>
      </c>
      <c r="R325" s="300">
        <f t="shared" si="127"/>
        <v>0</v>
      </c>
      <c r="S325" s="300">
        <f t="shared" si="127"/>
        <v>0</v>
      </c>
      <c r="T325" s="301">
        <f t="shared" si="127"/>
        <v>0</v>
      </c>
      <c r="U325" s="302">
        <f t="shared" si="128"/>
        <v>959.43607230149996</v>
      </c>
      <c r="W325" s="303">
        <f t="shared" si="129"/>
        <v>11.469661262386781</v>
      </c>
      <c r="X325" s="304">
        <f t="shared" si="130"/>
        <v>181.6133473979954</v>
      </c>
      <c r="Y325" s="246"/>
      <c r="Z325" s="246"/>
      <c r="AA325" s="246"/>
    </row>
    <row r="326" spans="1:27" s="249" customFormat="1">
      <c r="A326" s="246"/>
      <c r="B326" s="246"/>
      <c r="C326" s="296" t="str">
        <f t="shared" si="131"/>
        <v>Lantai Atap</v>
      </c>
      <c r="D326" s="306" t="s">
        <v>133</v>
      </c>
      <c r="E326" s="305"/>
      <c r="F326" s="305"/>
      <c r="G326" s="298">
        <f t="shared" si="122"/>
        <v>0</v>
      </c>
      <c r="H326" s="298">
        <f t="shared" si="123"/>
        <v>0</v>
      </c>
      <c r="I326" s="298">
        <f t="shared" si="124"/>
        <v>0</v>
      </c>
      <c r="J326" s="298">
        <f t="shared" si="125"/>
        <v>0</v>
      </c>
      <c r="K326" s="298">
        <f t="shared" si="126"/>
        <v>0</v>
      </c>
      <c r="L326" s="299">
        <f t="shared" si="127"/>
        <v>0</v>
      </c>
      <c r="M326" s="300">
        <f t="shared" si="127"/>
        <v>0</v>
      </c>
      <c r="N326" s="300">
        <f t="shared" si="127"/>
        <v>0</v>
      </c>
      <c r="O326" s="300">
        <f t="shared" si="127"/>
        <v>0</v>
      </c>
      <c r="P326" s="300">
        <f t="shared" si="127"/>
        <v>0</v>
      </c>
      <c r="Q326" s="300">
        <f t="shared" si="127"/>
        <v>0</v>
      </c>
      <c r="R326" s="300">
        <f t="shared" si="127"/>
        <v>0</v>
      </c>
      <c r="S326" s="300">
        <f t="shared" si="127"/>
        <v>0</v>
      </c>
      <c r="T326" s="301">
        <f t="shared" si="127"/>
        <v>0</v>
      </c>
      <c r="U326" s="302">
        <f t="shared" si="128"/>
        <v>0</v>
      </c>
      <c r="W326" s="303">
        <f t="shared" si="129"/>
        <v>0</v>
      </c>
      <c r="X326" s="304">
        <f t="shared" si="130"/>
        <v>0</v>
      </c>
      <c r="Y326" s="246"/>
      <c r="Z326" s="246"/>
      <c r="AA326" s="246"/>
    </row>
    <row r="327" spans="1:27" s="249" customFormat="1">
      <c r="A327" s="246"/>
      <c r="B327" s="246"/>
      <c r="C327" s="296" t="str">
        <f t="shared" si="131"/>
        <v>Lantai Atap</v>
      </c>
      <c r="D327" s="306" t="s">
        <v>2289</v>
      </c>
      <c r="E327" s="305"/>
      <c r="F327" s="305"/>
      <c r="G327" s="298">
        <f t="shared" si="122"/>
        <v>0</v>
      </c>
      <c r="H327" s="298">
        <f t="shared" si="123"/>
        <v>0</v>
      </c>
      <c r="I327" s="298">
        <f t="shared" si="124"/>
        <v>0</v>
      </c>
      <c r="J327" s="298">
        <f t="shared" si="125"/>
        <v>0</v>
      </c>
      <c r="K327" s="298">
        <f t="shared" si="126"/>
        <v>0</v>
      </c>
      <c r="L327" s="299">
        <f t="shared" si="127"/>
        <v>0</v>
      </c>
      <c r="M327" s="300">
        <f t="shared" si="127"/>
        <v>0</v>
      </c>
      <c r="N327" s="300">
        <f t="shared" si="127"/>
        <v>0</v>
      </c>
      <c r="O327" s="300">
        <f t="shared" si="127"/>
        <v>0</v>
      </c>
      <c r="P327" s="300">
        <f t="shared" si="127"/>
        <v>0</v>
      </c>
      <c r="Q327" s="300">
        <f t="shared" si="127"/>
        <v>0</v>
      </c>
      <c r="R327" s="300">
        <f t="shared" si="127"/>
        <v>0</v>
      </c>
      <c r="S327" s="300">
        <f t="shared" si="127"/>
        <v>0</v>
      </c>
      <c r="T327" s="301">
        <f t="shared" si="127"/>
        <v>0</v>
      </c>
      <c r="U327" s="302">
        <f t="shared" si="128"/>
        <v>0</v>
      </c>
      <c r="W327" s="303">
        <f t="shared" si="129"/>
        <v>0</v>
      </c>
      <c r="X327" s="304">
        <f t="shared" si="130"/>
        <v>0</v>
      </c>
      <c r="Y327" s="246"/>
      <c r="Z327" s="246"/>
      <c r="AA327" s="246"/>
    </row>
    <row r="328" spans="1:27" s="249" customFormat="1">
      <c r="A328" s="246"/>
      <c r="B328" s="246"/>
      <c r="C328" s="296" t="str">
        <f t="shared" si="131"/>
        <v>Lantai Atap</v>
      </c>
      <c r="D328" s="306" t="s">
        <v>134</v>
      </c>
      <c r="E328" s="305"/>
      <c r="F328" s="305"/>
      <c r="G328" s="298">
        <f t="shared" si="122"/>
        <v>1.0649999999999999</v>
      </c>
      <c r="H328" s="298">
        <f t="shared" si="123"/>
        <v>12.78</v>
      </c>
      <c r="I328" s="298">
        <f t="shared" si="124"/>
        <v>0</v>
      </c>
      <c r="J328" s="298">
        <f t="shared" si="125"/>
        <v>0</v>
      </c>
      <c r="K328" s="298">
        <f t="shared" si="126"/>
        <v>0</v>
      </c>
      <c r="L328" s="299">
        <f t="shared" si="127"/>
        <v>0</v>
      </c>
      <c r="M328" s="300">
        <f t="shared" si="127"/>
        <v>0</v>
      </c>
      <c r="N328" s="300">
        <f t="shared" si="127"/>
        <v>62.716544999999996</v>
      </c>
      <c r="O328" s="300">
        <f t="shared" si="127"/>
        <v>0</v>
      </c>
      <c r="P328" s="300">
        <f t="shared" si="127"/>
        <v>139.31440128000003</v>
      </c>
      <c r="Q328" s="300">
        <f t="shared" si="127"/>
        <v>0</v>
      </c>
      <c r="R328" s="300">
        <f t="shared" si="127"/>
        <v>0</v>
      </c>
      <c r="S328" s="300">
        <f t="shared" si="127"/>
        <v>0</v>
      </c>
      <c r="T328" s="301">
        <f t="shared" si="127"/>
        <v>0</v>
      </c>
      <c r="U328" s="302">
        <f t="shared" si="128"/>
        <v>202.03094628000002</v>
      </c>
      <c r="W328" s="303">
        <f t="shared" si="129"/>
        <v>12</v>
      </c>
      <c r="X328" s="304">
        <f t="shared" si="130"/>
        <v>189.70041904225354</v>
      </c>
      <c r="Y328" s="246"/>
      <c r="Z328" s="246"/>
      <c r="AA328" s="246"/>
    </row>
    <row r="329" spans="1:27" s="249" customFormat="1">
      <c r="A329" s="246"/>
      <c r="B329" s="246"/>
      <c r="C329" s="296" t="str">
        <f t="shared" si="131"/>
        <v>Lantai Atap</v>
      </c>
      <c r="D329" s="306" t="s">
        <v>135</v>
      </c>
      <c r="E329" s="305"/>
      <c r="F329" s="305"/>
      <c r="G329" s="298">
        <f t="shared" si="122"/>
        <v>0</v>
      </c>
      <c r="H329" s="298">
        <f t="shared" si="123"/>
        <v>0</v>
      </c>
      <c r="I329" s="298">
        <f t="shared" si="124"/>
        <v>0</v>
      </c>
      <c r="J329" s="298">
        <f t="shared" si="125"/>
        <v>0</v>
      </c>
      <c r="K329" s="298">
        <f t="shared" si="126"/>
        <v>0</v>
      </c>
      <c r="L329" s="299">
        <f t="shared" si="127"/>
        <v>0</v>
      </c>
      <c r="M329" s="300">
        <f t="shared" si="127"/>
        <v>0</v>
      </c>
      <c r="N329" s="300">
        <f t="shared" si="127"/>
        <v>0</v>
      </c>
      <c r="O329" s="300">
        <f t="shared" si="127"/>
        <v>0</v>
      </c>
      <c r="P329" s="300">
        <f t="shared" si="127"/>
        <v>0</v>
      </c>
      <c r="Q329" s="300">
        <f t="shared" si="127"/>
        <v>0</v>
      </c>
      <c r="R329" s="300">
        <f t="shared" si="127"/>
        <v>0</v>
      </c>
      <c r="S329" s="300">
        <f t="shared" si="127"/>
        <v>0</v>
      </c>
      <c r="T329" s="301">
        <f t="shared" si="127"/>
        <v>0</v>
      </c>
      <c r="U329" s="302">
        <f t="shared" si="128"/>
        <v>0</v>
      </c>
      <c r="W329" s="303">
        <f t="shared" si="129"/>
        <v>0</v>
      </c>
      <c r="X329" s="304">
        <f t="shared" si="130"/>
        <v>0</v>
      </c>
      <c r="Y329" s="246"/>
      <c r="Z329" s="246"/>
      <c r="AA329" s="246"/>
    </row>
    <row r="330" spans="1:27" s="249" customFormat="1">
      <c r="A330" s="246"/>
      <c r="B330" s="246"/>
      <c r="C330" s="296" t="str">
        <f t="shared" si="131"/>
        <v>Lantai Atap</v>
      </c>
      <c r="D330" s="306" t="s">
        <v>2290</v>
      </c>
      <c r="E330" s="305"/>
      <c r="F330" s="305"/>
      <c r="G330" s="298">
        <f t="shared" si="122"/>
        <v>4.9162499999999998</v>
      </c>
      <c r="H330" s="298">
        <f t="shared" si="123"/>
        <v>50.255000000000003</v>
      </c>
      <c r="I330" s="298">
        <f t="shared" si="124"/>
        <v>0</v>
      </c>
      <c r="J330" s="298">
        <f t="shared" si="125"/>
        <v>0</v>
      </c>
      <c r="K330" s="298">
        <f t="shared" si="126"/>
        <v>0</v>
      </c>
      <c r="L330" s="299">
        <f t="shared" si="127"/>
        <v>0</v>
      </c>
      <c r="M330" s="300">
        <f t="shared" si="127"/>
        <v>0</v>
      </c>
      <c r="N330" s="300">
        <f t="shared" si="127"/>
        <v>260.85347999999999</v>
      </c>
      <c r="O330" s="300">
        <f t="shared" si="127"/>
        <v>286.83510803999997</v>
      </c>
      <c r="P330" s="300">
        <f t="shared" si="127"/>
        <v>0</v>
      </c>
      <c r="Q330" s="300">
        <f t="shared" si="127"/>
        <v>0</v>
      </c>
      <c r="R330" s="300">
        <f t="shared" si="127"/>
        <v>0</v>
      </c>
      <c r="S330" s="300">
        <f t="shared" si="127"/>
        <v>0</v>
      </c>
      <c r="T330" s="301">
        <f t="shared" si="127"/>
        <v>0</v>
      </c>
      <c r="U330" s="302">
        <f t="shared" si="128"/>
        <v>547.68858804000001</v>
      </c>
      <c r="W330" s="303">
        <f t="shared" si="129"/>
        <v>10.222222222222223</v>
      </c>
      <c r="X330" s="304">
        <f t="shared" si="130"/>
        <v>111.40373008695653</v>
      </c>
      <c r="Y330" s="246"/>
      <c r="Z330" s="246"/>
      <c r="AA330" s="246"/>
    </row>
    <row r="331" spans="1:27" s="249" customFormat="1" ht="15.75" thickBot="1">
      <c r="A331" s="246"/>
      <c r="B331" s="246"/>
      <c r="C331" s="296" t="str">
        <f t="shared" si="131"/>
        <v>Lantai Atap</v>
      </c>
      <c r="D331" s="306" t="s">
        <v>2291</v>
      </c>
      <c r="E331" s="305"/>
      <c r="F331" s="305"/>
      <c r="G331" s="298">
        <f t="shared" si="122"/>
        <v>0</v>
      </c>
      <c r="H331" s="298">
        <f t="shared" si="123"/>
        <v>0</v>
      </c>
      <c r="I331" s="298">
        <f t="shared" si="124"/>
        <v>0</v>
      </c>
      <c r="J331" s="298">
        <f t="shared" si="125"/>
        <v>0</v>
      </c>
      <c r="K331" s="298">
        <f t="shared" si="126"/>
        <v>0</v>
      </c>
      <c r="L331" s="299">
        <f t="shared" si="127"/>
        <v>0</v>
      </c>
      <c r="M331" s="300">
        <f t="shared" si="127"/>
        <v>0</v>
      </c>
      <c r="N331" s="300">
        <f t="shared" si="127"/>
        <v>0</v>
      </c>
      <c r="O331" s="300">
        <f t="shared" si="127"/>
        <v>0</v>
      </c>
      <c r="P331" s="300">
        <f t="shared" si="127"/>
        <v>0</v>
      </c>
      <c r="Q331" s="300">
        <f t="shared" si="127"/>
        <v>0</v>
      </c>
      <c r="R331" s="300">
        <f t="shared" si="127"/>
        <v>0</v>
      </c>
      <c r="S331" s="300">
        <f t="shared" si="127"/>
        <v>0</v>
      </c>
      <c r="T331" s="301">
        <f t="shared" si="127"/>
        <v>0</v>
      </c>
      <c r="U331" s="302">
        <f t="shared" si="128"/>
        <v>0</v>
      </c>
      <c r="W331" s="303">
        <f t="shared" si="129"/>
        <v>0</v>
      </c>
      <c r="X331" s="304">
        <f t="shared" si="130"/>
        <v>0</v>
      </c>
      <c r="Y331" s="246"/>
      <c r="Z331" s="246"/>
      <c r="AA331" s="246"/>
    </row>
    <row r="332" spans="1:27" s="249" customFormat="1" ht="15.75" thickBot="1">
      <c r="A332" s="246"/>
      <c r="B332" s="246"/>
      <c r="C332" s="2499" t="s">
        <v>2217</v>
      </c>
      <c r="D332" s="2500"/>
      <c r="E332" s="2500"/>
      <c r="F332" s="2501"/>
      <c r="G332" s="307">
        <f t="shared" ref="G332:U332" si="135">SUM(G316:G331)</f>
        <v>14.519641249999999</v>
      </c>
      <c r="H332" s="307">
        <f t="shared" si="135"/>
        <v>179.86435</v>
      </c>
      <c r="I332" s="307">
        <f t="shared" si="135"/>
        <v>0</v>
      </c>
      <c r="J332" s="307">
        <f t="shared" si="135"/>
        <v>0</v>
      </c>
      <c r="K332" s="307">
        <f t="shared" si="135"/>
        <v>0</v>
      </c>
      <c r="L332" s="307">
        <f t="shared" si="135"/>
        <v>0</v>
      </c>
      <c r="M332" s="307">
        <f t="shared" si="135"/>
        <v>140.51070720000001</v>
      </c>
      <c r="N332" s="307">
        <f t="shared" si="135"/>
        <v>768.95428500000003</v>
      </c>
      <c r="O332" s="307">
        <f t="shared" si="135"/>
        <v>1143.1415314214998</v>
      </c>
      <c r="P332" s="307">
        <f t="shared" si="135"/>
        <v>139.31440128000003</v>
      </c>
      <c r="Q332" s="307">
        <f t="shared" si="135"/>
        <v>0</v>
      </c>
      <c r="R332" s="307">
        <f t="shared" si="135"/>
        <v>0</v>
      </c>
      <c r="S332" s="307">
        <f t="shared" si="135"/>
        <v>0</v>
      </c>
      <c r="T332" s="307">
        <f t="shared" si="135"/>
        <v>0</v>
      </c>
      <c r="U332" s="307">
        <f t="shared" si="135"/>
        <v>2191.9209249015003</v>
      </c>
      <c r="W332" s="303"/>
      <c r="X332" s="304"/>
      <c r="Y332" s="246"/>
      <c r="Z332" s="246"/>
      <c r="AA332" s="246"/>
    </row>
    <row r="333" spans="1:27" s="249" customFormat="1" ht="15.75" thickBot="1">
      <c r="A333" s="246"/>
      <c r="B333" s="246"/>
      <c r="C333" s="308"/>
      <c r="D333" s="309"/>
      <c r="E333" s="305"/>
      <c r="F333" s="305"/>
      <c r="G333" s="310"/>
      <c r="H333" s="310"/>
      <c r="I333" s="310"/>
      <c r="J333" s="310"/>
      <c r="K333" s="310"/>
      <c r="L333" s="311"/>
      <c r="M333" s="311"/>
      <c r="N333" s="312"/>
      <c r="O333" s="312"/>
      <c r="P333" s="312"/>
      <c r="Q333" s="312"/>
      <c r="R333" s="312"/>
      <c r="S333" s="312"/>
      <c r="T333" s="313"/>
      <c r="U333" s="302"/>
      <c r="W333" s="246"/>
      <c r="X333" s="246"/>
      <c r="Y333" s="246"/>
    </row>
    <row r="334" spans="1:27" s="249" customFormat="1" ht="15.75" thickBot="1">
      <c r="A334" s="246"/>
      <c r="B334" s="246"/>
      <c r="C334" s="2496" t="s">
        <v>138</v>
      </c>
      <c r="D334" s="2497"/>
      <c r="E334" s="2497"/>
      <c r="F334" s="2498"/>
      <c r="G334" s="314">
        <f t="shared" ref="G334:U334" si="136">SUM(G265:G333)/2</f>
        <v>86.698306250000002</v>
      </c>
      <c r="H334" s="314">
        <f t="shared" si="136"/>
        <v>883.9854499999999</v>
      </c>
      <c r="I334" s="314">
        <f t="shared" si="136"/>
        <v>0</v>
      </c>
      <c r="J334" s="314">
        <f t="shared" si="136"/>
        <v>9.113900000000001</v>
      </c>
      <c r="K334" s="1783">
        <f t="shared" si="136"/>
        <v>92.430299999999988</v>
      </c>
      <c r="L334" s="315">
        <f t="shared" si="136"/>
        <v>0</v>
      </c>
      <c r="M334" s="316">
        <f t="shared" si="136"/>
        <v>1310.6928095999999</v>
      </c>
      <c r="N334" s="317">
        <f t="shared" si="136"/>
        <v>4878.0399743999997</v>
      </c>
      <c r="O334" s="317">
        <f t="shared" si="136"/>
        <v>3040.9931961044999</v>
      </c>
      <c r="P334" s="317">
        <f t="shared" si="136"/>
        <v>8688.9428720640026</v>
      </c>
      <c r="Q334" s="317">
        <f t="shared" si="136"/>
        <v>0</v>
      </c>
      <c r="R334" s="317">
        <f t="shared" si="136"/>
        <v>0</v>
      </c>
      <c r="S334" s="317">
        <f t="shared" si="136"/>
        <v>0</v>
      </c>
      <c r="T334" s="318">
        <f t="shared" si="136"/>
        <v>0</v>
      </c>
      <c r="U334" s="314">
        <f t="shared" si="136"/>
        <v>17918.668852168499</v>
      </c>
      <c r="V334" s="319"/>
      <c r="W334" s="246"/>
      <c r="X334" s="246"/>
      <c r="Y334" s="246"/>
      <c r="Z334" s="246"/>
      <c r="AA334" s="246"/>
    </row>
    <row r="335" spans="1:27" s="249" customFormat="1">
      <c r="A335" s="246"/>
      <c r="B335" s="246"/>
      <c r="C335" s="320"/>
      <c r="D335" s="321"/>
      <c r="E335" s="321"/>
      <c r="F335" s="321"/>
      <c r="G335" s="320"/>
      <c r="H335" s="321"/>
      <c r="I335" s="321"/>
      <c r="J335" s="321"/>
      <c r="K335" s="320"/>
      <c r="L335" s="320"/>
      <c r="M335" s="320"/>
      <c r="N335" s="320"/>
      <c r="O335" s="322" t="s">
        <v>54</v>
      </c>
      <c r="P335" s="322" t="str">
        <f>IF(AND(U334=SUM(U265:U333)/2,U334=U259),"OK","SALAH")</f>
        <v>OK</v>
      </c>
      <c r="V335" s="290"/>
      <c r="W335" s="246"/>
      <c r="X335" s="246"/>
      <c r="Y335" s="246"/>
      <c r="Z335" s="246"/>
    </row>
    <row r="337" spans="10:21">
      <c r="J337" s="288"/>
      <c r="K337" s="1785"/>
      <c r="U337" s="1782"/>
    </row>
  </sheetData>
  <autoFilter ref="A12:Z257">
    <filterColumn colId="2">
      <filters>
        <filter val="S25-1"/>
      </filters>
    </filterColumn>
  </autoFilter>
  <mergeCells count="31">
    <mergeCell ref="C334:F334"/>
    <mergeCell ref="C281:F281"/>
    <mergeCell ref="C332:F332"/>
    <mergeCell ref="L263:T263"/>
    <mergeCell ref="U263:U264"/>
    <mergeCell ref="G263:G264"/>
    <mergeCell ref="H263:H264"/>
    <mergeCell ref="I263:I264"/>
    <mergeCell ref="J263:J264"/>
    <mergeCell ref="K263:K264"/>
    <mergeCell ref="C298:F298"/>
    <mergeCell ref="C315:F315"/>
    <mergeCell ref="W263:X263"/>
    <mergeCell ref="L10:T10"/>
    <mergeCell ref="U10:U11"/>
    <mergeCell ref="V10:V11"/>
    <mergeCell ref="W10:W11"/>
    <mergeCell ref="X10:X11"/>
    <mergeCell ref="G9:Z9"/>
    <mergeCell ref="G10:G11"/>
    <mergeCell ref="H10:H11"/>
    <mergeCell ref="I10:I11"/>
    <mergeCell ref="J10:J11"/>
    <mergeCell ref="K10:K11"/>
    <mergeCell ref="Z10:Z11"/>
    <mergeCell ref="Y10:Y11"/>
    <mergeCell ref="A9:A11"/>
    <mergeCell ref="B9:B11"/>
    <mergeCell ref="C9:C11"/>
    <mergeCell ref="D9:F11"/>
    <mergeCell ref="C263:F264"/>
  </mergeCells>
  <phoneticPr fontId="76" type="noConversion"/>
  <pageMargins left="0.45" right="0.45" top="0.75" bottom="0.75" header="0.3" footer="0.3"/>
  <pageSetup paperSize="9" scale="25" fitToHeight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63"/>
  <sheetViews>
    <sheetView showGridLines="0" view="pageBreakPreview" zoomScale="70" zoomScaleNormal="70" zoomScaleSheetLayoutView="70" workbookViewId="0">
      <pane xSplit="2" ySplit="8" topLeftCell="C224" activePane="bottomRight" state="frozen"/>
      <selection activeCell="M4" sqref="M4"/>
      <selection pane="topRight" activeCell="M4" sqref="M4"/>
      <selection pane="bottomLeft" activeCell="M4" sqref="M4"/>
      <selection pane="bottomRight" activeCell="E272" sqref="E272"/>
    </sheetView>
  </sheetViews>
  <sheetFormatPr defaultColWidth="9.140625" defaultRowHeight="15"/>
  <cols>
    <col min="1" max="1" width="28.7109375" style="1935" customWidth="1"/>
    <col min="2" max="2" width="9.140625" style="1935"/>
    <col min="3" max="3" width="31" style="1935" bestFit="1" customWidth="1"/>
    <col min="4" max="4" width="20.42578125" style="1937" bestFit="1" customWidth="1"/>
    <col min="5" max="5" width="9.140625" style="1937"/>
    <col min="6" max="6" width="11.28515625" style="1937" customWidth="1"/>
    <col min="7" max="7" width="12.28515625" style="1937" bestFit="1" customWidth="1"/>
    <col min="8" max="8" width="9.140625" style="1937"/>
    <col min="9" max="9" width="10.28515625" style="1937" bestFit="1" customWidth="1"/>
    <col min="10" max="10" width="10.140625" style="1725" customWidth="1"/>
    <col min="11" max="13" width="11.42578125" style="1937" customWidth="1"/>
    <col min="14" max="14" width="17.85546875" style="1937" customWidth="1"/>
    <col min="15" max="16384" width="9.140625" style="1935"/>
  </cols>
  <sheetData>
    <row r="1" spans="1:17" s="1907" customFormat="1" ht="21.75" customHeight="1">
      <c r="A1" s="1905"/>
      <c r="B1" s="1905" t="s">
        <v>158</v>
      </c>
      <c r="C1" s="1905"/>
      <c r="D1" s="1906"/>
      <c r="E1" s="1905"/>
      <c r="F1" s="1905"/>
      <c r="G1" s="1906" t="s">
        <v>159</v>
      </c>
      <c r="H1" s="1719"/>
      <c r="I1" s="1906" t="s">
        <v>2028</v>
      </c>
      <c r="J1" s="1719"/>
      <c r="K1" s="1905" t="s">
        <v>2027</v>
      </c>
      <c r="L1" s="1905"/>
      <c r="M1" s="1905"/>
      <c r="N1" s="1905"/>
    </row>
    <row r="2" spans="1:17" s="1907" customFormat="1" ht="18">
      <c r="A2" s="1906"/>
      <c r="B2" s="1906"/>
      <c r="C2" s="1906"/>
      <c r="D2" s="1906"/>
      <c r="E2" s="1906"/>
      <c r="F2" s="1906"/>
      <c r="G2" s="1906" t="s">
        <v>161</v>
      </c>
      <c r="H2" s="1719"/>
      <c r="I2" s="1906" t="s">
        <v>160</v>
      </c>
      <c r="J2" s="1719"/>
      <c r="K2" s="1906"/>
      <c r="L2" s="1906"/>
      <c r="M2" s="1906"/>
      <c r="N2" s="1906"/>
    </row>
    <row r="3" spans="1:17" s="1907" customFormat="1" ht="18">
      <c r="A3" s="1908"/>
      <c r="B3" s="1908" t="s">
        <v>1</v>
      </c>
      <c r="C3" s="1908" t="s">
        <v>2216</v>
      </c>
      <c r="D3" s="1908"/>
      <c r="F3" s="1906"/>
      <c r="G3" s="1906" t="s">
        <v>218</v>
      </c>
      <c r="H3" s="1719"/>
      <c r="I3" s="1906" t="s">
        <v>2026</v>
      </c>
      <c r="J3" s="1719"/>
      <c r="K3" s="1906"/>
      <c r="L3" s="1906"/>
      <c r="M3" s="1906"/>
      <c r="N3" s="1906"/>
    </row>
    <row r="4" spans="1:17" s="1907" customFormat="1" ht="18">
      <c r="A4" s="1908"/>
      <c r="B4" s="1908" t="s">
        <v>162</v>
      </c>
      <c r="C4" s="247"/>
      <c r="D4" s="1908"/>
      <c r="F4" s="1906"/>
      <c r="G4" s="1906" t="s">
        <v>163</v>
      </c>
      <c r="H4" s="1719"/>
      <c r="I4" s="1906" t="s">
        <v>2029</v>
      </c>
      <c r="J4" s="1719"/>
      <c r="K4" s="1906"/>
      <c r="L4" s="1906"/>
      <c r="M4" s="1906"/>
      <c r="N4" s="1906"/>
    </row>
    <row r="5" spans="1:17" s="1907" customFormat="1" ht="15.75" thickBot="1">
      <c r="A5" s="1909"/>
      <c r="B5" s="1909"/>
      <c r="C5" s="1909"/>
      <c r="D5" s="1910"/>
      <c r="E5" s="1910"/>
      <c r="F5" s="1910"/>
      <c r="G5" s="1720"/>
      <c r="H5" s="1720"/>
      <c r="I5" s="1910"/>
      <c r="J5" s="1721"/>
      <c r="K5" s="1910"/>
      <c r="L5" s="1910"/>
      <c r="M5" s="1910"/>
      <c r="N5" s="1910"/>
    </row>
    <row r="6" spans="1:17" s="1910" customFormat="1" ht="15" customHeight="1">
      <c r="A6" s="2513" t="s">
        <v>115</v>
      </c>
      <c r="B6" s="2516" t="s">
        <v>116</v>
      </c>
      <c r="C6" s="2511" t="s">
        <v>164</v>
      </c>
      <c r="D6" s="2521" t="s">
        <v>165</v>
      </c>
      <c r="E6" s="2524" t="s">
        <v>48</v>
      </c>
      <c r="F6" s="2511" t="s">
        <v>166</v>
      </c>
      <c r="G6" s="2530" t="s">
        <v>167</v>
      </c>
      <c r="H6" s="2530" t="s">
        <v>168</v>
      </c>
      <c r="I6" s="2511" t="s">
        <v>169</v>
      </c>
      <c r="J6" s="2532" t="s">
        <v>121</v>
      </c>
      <c r="K6" s="2511" t="s">
        <v>170</v>
      </c>
      <c r="L6" s="2511" t="s">
        <v>171</v>
      </c>
      <c r="M6" s="2511" t="s">
        <v>122</v>
      </c>
      <c r="N6" s="2527" t="s">
        <v>172</v>
      </c>
      <c r="Q6" s="2521" t="s">
        <v>173</v>
      </c>
    </row>
    <row r="7" spans="1:17" s="1910" customFormat="1" ht="15" customHeight="1">
      <c r="A7" s="2514"/>
      <c r="B7" s="2517"/>
      <c r="C7" s="2519"/>
      <c r="D7" s="2522"/>
      <c r="E7" s="2525"/>
      <c r="F7" s="2512"/>
      <c r="G7" s="2531"/>
      <c r="H7" s="2531"/>
      <c r="I7" s="2512"/>
      <c r="J7" s="2533"/>
      <c r="K7" s="2512"/>
      <c r="L7" s="2512"/>
      <c r="M7" s="2519"/>
      <c r="N7" s="2528"/>
      <c r="Q7" s="2522"/>
    </row>
    <row r="8" spans="1:17" s="1910" customFormat="1" ht="15" customHeight="1" thickBot="1">
      <c r="A8" s="2515"/>
      <c r="B8" s="2518"/>
      <c r="C8" s="2520"/>
      <c r="D8" s="2523"/>
      <c r="E8" s="2526"/>
      <c r="F8" s="1911" t="s">
        <v>4</v>
      </c>
      <c r="G8" s="1722" t="s">
        <v>4</v>
      </c>
      <c r="H8" s="1722" t="s">
        <v>4</v>
      </c>
      <c r="I8" s="1911" t="s">
        <v>4</v>
      </c>
      <c r="J8" s="2534"/>
      <c r="K8" s="1912" t="s">
        <v>4</v>
      </c>
      <c r="L8" s="1912" t="s">
        <v>4</v>
      </c>
      <c r="M8" s="2520"/>
      <c r="N8" s="2529"/>
      <c r="Q8" s="2523"/>
    </row>
    <row r="9" spans="1:17" s="1919" customFormat="1" ht="15" customHeight="1">
      <c r="A9" s="1913"/>
      <c r="B9" s="1914"/>
      <c r="C9" s="1914"/>
      <c r="D9" s="1915"/>
      <c r="E9" s="1915"/>
      <c r="F9" s="1916"/>
      <c r="G9" s="1723"/>
      <c r="H9" s="1723"/>
      <c r="I9" s="1916"/>
      <c r="J9" s="1724"/>
      <c r="K9" s="1917"/>
      <c r="L9" s="1917"/>
      <c r="M9" s="1917"/>
      <c r="N9" s="1918"/>
      <c r="Q9" s="1920"/>
    </row>
    <row r="10" spans="1:17" s="1910" customFormat="1" ht="15" customHeight="1">
      <c r="A10" s="1921" t="s">
        <v>131</v>
      </c>
      <c r="B10" s="1922">
        <v>1</v>
      </c>
      <c r="C10" s="1923" t="str">
        <f t="shared" ref="C10" si="0">CONCATENATE(A10," no. ",B10)</f>
        <v>Lantai 1 no. 1</v>
      </c>
      <c r="D10" s="1924" t="s">
        <v>2285</v>
      </c>
      <c r="E10" s="1925">
        <v>1</v>
      </c>
      <c r="F10" s="636">
        <v>4825</v>
      </c>
      <c r="G10" s="635"/>
      <c r="H10" s="635"/>
      <c r="I10" s="636">
        <f t="shared" ref="I10" si="1">+F10-G10-H10</f>
        <v>4825</v>
      </c>
      <c r="J10" s="637">
        <v>150</v>
      </c>
      <c r="K10" s="1926"/>
      <c r="L10" s="1926"/>
      <c r="M10" s="1926"/>
      <c r="N10" s="1927"/>
      <c r="Q10" s="1925"/>
    </row>
    <row r="11" spans="1:17" s="1910" customFormat="1" ht="15" customHeight="1">
      <c r="A11" s="1921" t="str">
        <f t="shared" ref="A11:A76" si="2">A10</f>
        <v>Lantai 1</v>
      </c>
      <c r="B11" s="1922">
        <f t="shared" ref="B11:B76" si="3">B10+1</f>
        <v>2</v>
      </c>
      <c r="C11" s="1923" t="str">
        <f t="shared" ref="C11" si="4">CONCATENATE(A11," no. ",B11)</f>
        <v>Lantai 1 no. 2</v>
      </c>
      <c r="D11" s="1924" t="s">
        <v>2189</v>
      </c>
      <c r="E11" s="1925">
        <v>1</v>
      </c>
      <c r="F11" s="636">
        <v>4175</v>
      </c>
      <c r="G11" s="635"/>
      <c r="H11" s="635"/>
      <c r="I11" s="636">
        <f t="shared" ref="I11" si="5">+F11-G11-H11</f>
        <v>4175</v>
      </c>
      <c r="J11" s="637">
        <v>150</v>
      </c>
      <c r="K11" s="1926"/>
      <c r="L11" s="1926"/>
      <c r="M11" s="1926"/>
      <c r="N11" s="1927"/>
      <c r="Q11" s="1925"/>
    </row>
    <row r="12" spans="1:17" s="1910" customFormat="1" ht="15" customHeight="1">
      <c r="A12" s="1921" t="str">
        <f t="shared" si="2"/>
        <v>Lantai 1</v>
      </c>
      <c r="B12" s="1922">
        <f t="shared" si="3"/>
        <v>3</v>
      </c>
      <c r="C12" s="1923" t="str">
        <f t="shared" ref="C12:C70" si="6">CONCATENATE(A12," no. ",B12)</f>
        <v>Lantai 1 no. 3</v>
      </c>
      <c r="D12" s="1924" t="s">
        <v>2189</v>
      </c>
      <c r="E12" s="1925">
        <v>1</v>
      </c>
      <c r="F12" s="636">
        <v>3000</v>
      </c>
      <c r="G12" s="635"/>
      <c r="H12" s="635"/>
      <c r="I12" s="636">
        <f t="shared" ref="I12:I70" si="7">+F12-G12-H12</f>
        <v>3000</v>
      </c>
      <c r="J12" s="637">
        <v>150</v>
      </c>
      <c r="K12" s="1926"/>
      <c r="L12" s="1926"/>
      <c r="M12" s="1926"/>
      <c r="N12" s="1927"/>
      <c r="Q12" s="1925"/>
    </row>
    <row r="13" spans="1:17" s="1910" customFormat="1" ht="15" customHeight="1">
      <c r="A13" s="1921" t="str">
        <f t="shared" si="2"/>
        <v>Lantai 1</v>
      </c>
      <c r="B13" s="1922">
        <f t="shared" si="3"/>
        <v>4</v>
      </c>
      <c r="C13" s="1923" t="str">
        <f t="shared" si="6"/>
        <v>Lantai 1 no. 4</v>
      </c>
      <c r="D13" s="1924" t="s">
        <v>2189</v>
      </c>
      <c r="E13" s="1925">
        <v>1</v>
      </c>
      <c r="F13" s="636">
        <v>3000</v>
      </c>
      <c r="G13" s="635"/>
      <c r="H13" s="635"/>
      <c r="I13" s="636">
        <f t="shared" si="7"/>
        <v>3000</v>
      </c>
      <c r="J13" s="637"/>
      <c r="K13" s="1926"/>
      <c r="L13" s="1926"/>
      <c r="M13" s="1926"/>
      <c r="N13" s="1927"/>
      <c r="Q13" s="1925"/>
    </row>
    <row r="14" spans="1:17" s="1910" customFormat="1" ht="15" customHeight="1">
      <c r="A14" s="1921" t="str">
        <f t="shared" si="2"/>
        <v>Lantai 1</v>
      </c>
      <c r="B14" s="1922">
        <f t="shared" si="3"/>
        <v>5</v>
      </c>
      <c r="C14" s="1923" t="str">
        <f t="shared" si="6"/>
        <v>Lantai 1 no. 5</v>
      </c>
      <c r="D14" s="1924" t="s">
        <v>2189</v>
      </c>
      <c r="E14" s="1925">
        <v>1</v>
      </c>
      <c r="F14" s="636">
        <v>2590</v>
      </c>
      <c r="G14" s="635"/>
      <c r="H14" s="635"/>
      <c r="I14" s="636">
        <f t="shared" si="7"/>
        <v>2590</v>
      </c>
      <c r="J14" s="637"/>
      <c r="K14" s="1926"/>
      <c r="L14" s="1926"/>
      <c r="M14" s="1926"/>
      <c r="N14" s="1927"/>
      <c r="Q14" s="1925"/>
    </row>
    <row r="15" spans="1:17" s="1910" customFormat="1" ht="15" customHeight="1">
      <c r="A15" s="1921" t="str">
        <f t="shared" si="2"/>
        <v>Lantai 1</v>
      </c>
      <c r="B15" s="1922">
        <f t="shared" si="3"/>
        <v>6</v>
      </c>
      <c r="C15" s="1923" t="str">
        <f t="shared" si="6"/>
        <v>Lantai 1 no. 6</v>
      </c>
      <c r="D15" s="1924" t="s">
        <v>2189</v>
      </c>
      <c r="E15" s="1925">
        <v>1</v>
      </c>
      <c r="F15" s="636">
        <v>2415</v>
      </c>
      <c r="G15" s="635"/>
      <c r="H15" s="635"/>
      <c r="I15" s="636">
        <f t="shared" si="7"/>
        <v>2415</v>
      </c>
      <c r="J15" s="637"/>
      <c r="K15" s="1926"/>
      <c r="L15" s="1926"/>
      <c r="M15" s="1926"/>
      <c r="N15" s="1927"/>
      <c r="Q15" s="1925"/>
    </row>
    <row r="16" spans="1:17" s="1910" customFormat="1" ht="15" customHeight="1">
      <c r="A16" s="1921" t="str">
        <f t="shared" si="2"/>
        <v>Lantai 1</v>
      </c>
      <c r="B16" s="1922">
        <f t="shared" si="3"/>
        <v>7</v>
      </c>
      <c r="C16" s="1923" t="str">
        <f t="shared" si="6"/>
        <v>Lantai 1 no. 7</v>
      </c>
      <c r="D16" s="1924" t="s">
        <v>2284</v>
      </c>
      <c r="E16" s="1940">
        <v>2</v>
      </c>
      <c r="F16" s="636">
        <v>9445</v>
      </c>
      <c r="G16" s="635"/>
      <c r="H16" s="635"/>
      <c r="I16" s="636">
        <f t="shared" si="7"/>
        <v>9445</v>
      </c>
      <c r="J16" s="637">
        <v>100</v>
      </c>
      <c r="K16" s="1926"/>
      <c r="L16" s="1926"/>
      <c r="M16" s="1926"/>
      <c r="N16" s="1927"/>
      <c r="Q16" s="1925"/>
    </row>
    <row r="17" spans="1:17" s="1910" customFormat="1" ht="15" customHeight="1">
      <c r="A17" s="1921" t="str">
        <f t="shared" si="2"/>
        <v>Lantai 1</v>
      </c>
      <c r="B17" s="1922">
        <f t="shared" si="3"/>
        <v>8</v>
      </c>
      <c r="C17" s="1923" t="str">
        <f t="shared" si="6"/>
        <v>Lantai 1 no. 8</v>
      </c>
      <c r="D17" s="1924" t="s">
        <v>2189</v>
      </c>
      <c r="E17" s="1925">
        <v>1</v>
      </c>
      <c r="F17" s="636">
        <v>1720</v>
      </c>
      <c r="G17" s="635"/>
      <c r="H17" s="635"/>
      <c r="I17" s="636">
        <f t="shared" si="7"/>
        <v>1720</v>
      </c>
      <c r="J17" s="637"/>
      <c r="K17" s="1926"/>
      <c r="L17" s="1926"/>
      <c r="M17" s="1926"/>
      <c r="N17" s="1927"/>
      <c r="Q17" s="1925"/>
    </row>
    <row r="18" spans="1:17" s="1910" customFormat="1" ht="15" customHeight="1">
      <c r="A18" s="1921" t="str">
        <f t="shared" si="2"/>
        <v>Lantai 1</v>
      </c>
      <c r="B18" s="1922">
        <f t="shared" si="3"/>
        <v>9</v>
      </c>
      <c r="C18" s="1923" t="str">
        <f t="shared" si="6"/>
        <v>Lantai 1 no. 9</v>
      </c>
      <c r="D18" s="1924" t="s">
        <v>2188</v>
      </c>
      <c r="E18" s="1925">
        <v>1</v>
      </c>
      <c r="F18" s="636">
        <v>5000</v>
      </c>
      <c r="G18" s="635"/>
      <c r="H18" s="635"/>
      <c r="I18" s="636">
        <f t="shared" si="7"/>
        <v>5000</v>
      </c>
      <c r="J18" s="637">
        <v>150</v>
      </c>
      <c r="K18" s="1926"/>
      <c r="L18" s="1926"/>
      <c r="M18" s="1926"/>
      <c r="N18" s="1927"/>
      <c r="Q18" s="1925"/>
    </row>
    <row r="19" spans="1:17" s="1910" customFormat="1" ht="15" customHeight="1">
      <c r="A19" s="1921" t="str">
        <f t="shared" si="2"/>
        <v>Lantai 1</v>
      </c>
      <c r="B19" s="1922">
        <f t="shared" si="3"/>
        <v>10</v>
      </c>
      <c r="C19" s="1923" t="str">
        <f t="shared" si="6"/>
        <v>Lantai 1 no. 10</v>
      </c>
      <c r="D19" s="1924" t="s">
        <v>2285</v>
      </c>
      <c r="E19" s="1925">
        <v>1</v>
      </c>
      <c r="F19" s="636">
        <v>5000</v>
      </c>
      <c r="G19" s="635"/>
      <c r="H19" s="635"/>
      <c r="I19" s="636">
        <f t="shared" si="7"/>
        <v>5000</v>
      </c>
      <c r="J19" s="637">
        <v>150</v>
      </c>
      <c r="K19" s="1926"/>
      <c r="L19" s="1926"/>
      <c r="M19" s="1926"/>
      <c r="N19" s="1927"/>
      <c r="Q19" s="1925"/>
    </row>
    <row r="20" spans="1:17" s="1910" customFormat="1" ht="15" customHeight="1">
      <c r="A20" s="1921" t="str">
        <f t="shared" si="2"/>
        <v>Lantai 1</v>
      </c>
      <c r="B20" s="1922">
        <f t="shared" si="3"/>
        <v>11</v>
      </c>
      <c r="C20" s="1923" t="str">
        <f t="shared" si="6"/>
        <v>Lantai 1 no. 11</v>
      </c>
      <c r="D20" s="1924" t="s">
        <v>2189</v>
      </c>
      <c r="E20" s="1925">
        <v>1</v>
      </c>
      <c r="F20" s="636">
        <v>4020</v>
      </c>
      <c r="G20" s="635"/>
      <c r="H20" s="635"/>
      <c r="I20" s="636">
        <f t="shared" si="7"/>
        <v>4020</v>
      </c>
      <c r="J20" s="637">
        <v>150</v>
      </c>
      <c r="K20" s="1926"/>
      <c r="L20" s="1926"/>
      <c r="M20" s="1926"/>
      <c r="N20" s="1927"/>
      <c r="Q20" s="1925"/>
    </row>
    <row r="21" spans="1:17" s="1910" customFormat="1" ht="15" customHeight="1">
      <c r="A21" s="1921" t="str">
        <f t="shared" si="2"/>
        <v>Lantai 1</v>
      </c>
      <c r="B21" s="1922">
        <f t="shared" si="3"/>
        <v>12</v>
      </c>
      <c r="C21" s="1923" t="str">
        <f t="shared" si="6"/>
        <v>Lantai 1 no. 12</v>
      </c>
      <c r="D21" s="1924" t="s">
        <v>2285</v>
      </c>
      <c r="E21" s="1925">
        <v>1</v>
      </c>
      <c r="F21" s="636">
        <v>4000</v>
      </c>
      <c r="G21" s="635"/>
      <c r="H21" s="635"/>
      <c r="I21" s="636">
        <f t="shared" si="7"/>
        <v>4000</v>
      </c>
      <c r="J21" s="637">
        <v>150</v>
      </c>
      <c r="K21" s="1926"/>
      <c r="L21" s="1926"/>
      <c r="M21" s="1926"/>
      <c r="N21" s="1927"/>
      <c r="Q21" s="1925"/>
    </row>
    <row r="22" spans="1:17" s="1910" customFormat="1" ht="15" customHeight="1">
      <c r="A22" s="1921" t="str">
        <f t="shared" si="2"/>
        <v>Lantai 1</v>
      </c>
      <c r="B22" s="1922">
        <f t="shared" si="3"/>
        <v>13</v>
      </c>
      <c r="C22" s="1923" t="str">
        <f t="shared" si="6"/>
        <v>Lantai 1 no. 13</v>
      </c>
      <c r="D22" s="1924" t="s">
        <v>2284</v>
      </c>
      <c r="E22" s="1925">
        <v>1</v>
      </c>
      <c r="F22" s="636">
        <v>9515</v>
      </c>
      <c r="G22" s="635"/>
      <c r="H22" s="635"/>
      <c r="I22" s="636">
        <f t="shared" si="7"/>
        <v>9515</v>
      </c>
      <c r="J22" s="637">
        <v>200</v>
      </c>
      <c r="K22" s="1926"/>
      <c r="L22" s="1926"/>
      <c r="M22" s="1926"/>
      <c r="N22" s="1927"/>
      <c r="Q22" s="1925"/>
    </row>
    <row r="23" spans="1:17" s="1910" customFormat="1" ht="15" customHeight="1">
      <c r="A23" s="1921" t="str">
        <f>A21</f>
        <v>Lantai 1</v>
      </c>
      <c r="B23" s="1878" t="s">
        <v>2324</v>
      </c>
      <c r="C23" s="1923" t="str">
        <f t="shared" ref="C23" si="8">CONCATENATE(A23," no. ",B23)</f>
        <v>Lantai 1 no. 13A</v>
      </c>
      <c r="D23" s="1924" t="s">
        <v>2284</v>
      </c>
      <c r="E23" s="1925">
        <v>1</v>
      </c>
      <c r="F23" s="636">
        <v>7925</v>
      </c>
      <c r="G23" s="635"/>
      <c r="H23" s="635"/>
      <c r="I23" s="636">
        <f t="shared" ref="I23" si="9">+F23-G23-H23</f>
        <v>7925</v>
      </c>
      <c r="J23" s="637"/>
      <c r="K23" s="1926"/>
      <c r="L23" s="1926"/>
      <c r="M23" s="1926"/>
      <c r="N23" s="1927"/>
      <c r="Q23" s="1925"/>
    </row>
    <row r="24" spans="1:17" s="1910" customFormat="1" ht="15" customHeight="1">
      <c r="A24" s="1921" t="str">
        <f>A22</f>
        <v>Lantai 1</v>
      </c>
      <c r="B24" s="1922">
        <f>B22+1</f>
        <v>14</v>
      </c>
      <c r="C24" s="1923" t="str">
        <f t="shared" si="6"/>
        <v>Lantai 1 no. 14</v>
      </c>
      <c r="D24" s="1924" t="s">
        <v>2285</v>
      </c>
      <c r="E24" s="1925">
        <v>1</v>
      </c>
      <c r="F24" s="636">
        <v>6000</v>
      </c>
      <c r="G24" s="635"/>
      <c r="H24" s="635"/>
      <c r="I24" s="636">
        <f t="shared" si="7"/>
        <v>6000</v>
      </c>
      <c r="J24" s="637">
        <v>150</v>
      </c>
      <c r="K24" s="1926"/>
      <c r="L24" s="1926"/>
      <c r="M24" s="1926"/>
      <c r="N24" s="1927"/>
      <c r="Q24" s="1925"/>
    </row>
    <row r="25" spans="1:17" s="1910" customFormat="1" ht="15" customHeight="1">
      <c r="A25" s="1921" t="str">
        <f t="shared" si="2"/>
        <v>Lantai 1</v>
      </c>
      <c r="B25" s="1922">
        <f t="shared" si="3"/>
        <v>15</v>
      </c>
      <c r="C25" s="1923" t="str">
        <f t="shared" si="6"/>
        <v>Lantai 1 no. 15</v>
      </c>
      <c r="D25" s="1924" t="s">
        <v>2189</v>
      </c>
      <c r="E25" s="1925">
        <v>1</v>
      </c>
      <c r="F25" s="636">
        <v>2575</v>
      </c>
      <c r="G25" s="635"/>
      <c r="H25" s="635"/>
      <c r="I25" s="636">
        <f t="shared" si="7"/>
        <v>2575</v>
      </c>
      <c r="J25" s="637">
        <v>150</v>
      </c>
      <c r="K25" s="1926"/>
      <c r="L25" s="1926"/>
      <c r="M25" s="1926"/>
      <c r="N25" s="1927"/>
      <c r="Q25" s="1925"/>
    </row>
    <row r="26" spans="1:17" s="1910" customFormat="1" ht="15" customHeight="1">
      <c r="A26" s="1921" t="str">
        <f t="shared" si="2"/>
        <v>Lantai 1</v>
      </c>
      <c r="B26" s="1922">
        <f t="shared" si="3"/>
        <v>16</v>
      </c>
      <c r="C26" s="1923" t="str">
        <f t="shared" si="6"/>
        <v>Lantai 1 no. 16</v>
      </c>
      <c r="D26" s="1924" t="s">
        <v>2189</v>
      </c>
      <c r="E26" s="1925">
        <v>1</v>
      </c>
      <c r="F26" s="636">
        <v>2675</v>
      </c>
      <c r="G26" s="635"/>
      <c r="H26" s="635"/>
      <c r="I26" s="636">
        <f t="shared" si="7"/>
        <v>2675</v>
      </c>
      <c r="J26" s="637">
        <v>150</v>
      </c>
      <c r="K26" s="1926"/>
      <c r="L26" s="1926"/>
      <c r="M26" s="1926"/>
      <c r="N26" s="1927"/>
      <c r="Q26" s="1925"/>
    </row>
    <row r="27" spans="1:17" s="1910" customFormat="1" ht="15" customHeight="1">
      <c r="A27" s="1921" t="str">
        <f t="shared" si="2"/>
        <v>Lantai 1</v>
      </c>
      <c r="B27" s="1922">
        <f t="shared" si="3"/>
        <v>17</v>
      </c>
      <c r="C27" s="1923" t="str">
        <f t="shared" si="6"/>
        <v>Lantai 1 no. 17</v>
      </c>
      <c r="D27" s="1924" t="s">
        <v>2189</v>
      </c>
      <c r="E27" s="1925">
        <v>1</v>
      </c>
      <c r="F27" s="636">
        <v>3100</v>
      </c>
      <c r="G27" s="635"/>
      <c r="H27" s="635"/>
      <c r="I27" s="636">
        <f t="shared" si="7"/>
        <v>3100</v>
      </c>
      <c r="J27" s="637"/>
      <c r="K27" s="1926"/>
      <c r="L27" s="1926"/>
      <c r="M27" s="1926"/>
      <c r="N27" s="1927"/>
      <c r="Q27" s="1925"/>
    </row>
    <row r="28" spans="1:17" s="1910" customFormat="1" ht="15" customHeight="1">
      <c r="A28" s="1921" t="str">
        <f t="shared" si="2"/>
        <v>Lantai 1</v>
      </c>
      <c r="B28" s="1922">
        <f t="shared" si="3"/>
        <v>18</v>
      </c>
      <c r="C28" s="1923" t="str">
        <f t="shared" si="6"/>
        <v>Lantai 1 no. 18</v>
      </c>
      <c r="D28" s="1924" t="s">
        <v>2190</v>
      </c>
      <c r="E28" s="1925">
        <v>1</v>
      </c>
      <c r="F28" s="636">
        <v>13400</v>
      </c>
      <c r="G28" s="635"/>
      <c r="H28" s="635"/>
      <c r="I28" s="636">
        <f t="shared" si="7"/>
        <v>13400</v>
      </c>
      <c r="J28" s="637">
        <v>150</v>
      </c>
      <c r="K28" s="1926"/>
      <c r="L28" s="1926"/>
      <c r="M28" s="1926"/>
      <c r="N28" s="1927"/>
      <c r="Q28" s="1925"/>
    </row>
    <row r="29" spans="1:17" s="1910" customFormat="1" ht="15" customHeight="1">
      <c r="A29" s="1921" t="str">
        <f t="shared" si="2"/>
        <v>Lantai 1</v>
      </c>
      <c r="B29" s="1922">
        <f t="shared" si="3"/>
        <v>19</v>
      </c>
      <c r="C29" s="1923" t="str">
        <f t="shared" si="6"/>
        <v>Lantai 1 no. 19</v>
      </c>
      <c r="D29" s="1924" t="s">
        <v>2189</v>
      </c>
      <c r="E29" s="1925">
        <v>1</v>
      </c>
      <c r="F29" s="636">
        <v>4075</v>
      </c>
      <c r="G29" s="635"/>
      <c r="H29" s="635"/>
      <c r="I29" s="636">
        <f t="shared" si="7"/>
        <v>4075</v>
      </c>
      <c r="J29" s="637">
        <v>150</v>
      </c>
      <c r="K29" s="1926"/>
      <c r="L29" s="1926"/>
      <c r="M29" s="1926"/>
      <c r="N29" s="1927"/>
      <c r="Q29" s="1925"/>
    </row>
    <row r="30" spans="1:17" s="1910" customFormat="1" ht="15" customHeight="1">
      <c r="A30" s="1921" t="str">
        <f t="shared" si="2"/>
        <v>Lantai 1</v>
      </c>
      <c r="B30" s="1922">
        <f t="shared" si="3"/>
        <v>20</v>
      </c>
      <c r="C30" s="1923" t="str">
        <f t="shared" si="6"/>
        <v>Lantai 1 no. 20</v>
      </c>
      <c r="D30" s="1924" t="s">
        <v>2284</v>
      </c>
      <c r="E30" s="1925">
        <v>1</v>
      </c>
      <c r="F30" s="636">
        <v>4000</v>
      </c>
      <c r="G30" s="635"/>
      <c r="H30" s="635"/>
      <c r="I30" s="636">
        <f t="shared" si="7"/>
        <v>4000</v>
      </c>
      <c r="J30" s="637">
        <v>150</v>
      </c>
      <c r="K30" s="1926"/>
      <c r="L30" s="1926"/>
      <c r="M30" s="1926"/>
      <c r="N30" s="1927"/>
      <c r="Q30" s="1925"/>
    </row>
    <row r="31" spans="1:17" s="1910" customFormat="1" ht="15" customHeight="1">
      <c r="A31" s="1921" t="str">
        <f t="shared" si="2"/>
        <v>Lantai 1</v>
      </c>
      <c r="B31" s="1922">
        <f t="shared" si="3"/>
        <v>21</v>
      </c>
      <c r="C31" s="1923" t="str">
        <f t="shared" si="6"/>
        <v>Lantai 1 no. 21</v>
      </c>
      <c r="D31" s="1924" t="s">
        <v>2284</v>
      </c>
      <c r="E31" s="1925">
        <v>1</v>
      </c>
      <c r="F31" s="636">
        <v>4000</v>
      </c>
      <c r="G31" s="635"/>
      <c r="H31" s="635"/>
      <c r="I31" s="636">
        <f t="shared" si="7"/>
        <v>4000</v>
      </c>
      <c r="J31" s="637">
        <v>150</v>
      </c>
      <c r="K31" s="1926"/>
      <c r="L31" s="1926"/>
      <c r="M31" s="1926"/>
      <c r="N31" s="1927"/>
      <c r="Q31" s="1925"/>
    </row>
    <row r="32" spans="1:17" s="1910" customFormat="1" ht="15" customHeight="1">
      <c r="A32" s="1921" t="str">
        <f t="shared" si="2"/>
        <v>Lantai 1</v>
      </c>
      <c r="B32" s="1922">
        <f t="shared" si="3"/>
        <v>22</v>
      </c>
      <c r="C32" s="1923" t="str">
        <f t="shared" si="6"/>
        <v>Lantai 1 no. 22</v>
      </c>
      <c r="D32" s="1924" t="s">
        <v>2189</v>
      </c>
      <c r="E32" s="1925">
        <v>1</v>
      </c>
      <c r="F32" s="636">
        <v>1600</v>
      </c>
      <c r="G32" s="635"/>
      <c r="H32" s="635"/>
      <c r="I32" s="636">
        <f t="shared" si="7"/>
        <v>1600</v>
      </c>
      <c r="J32" s="637">
        <v>150</v>
      </c>
      <c r="K32" s="1926"/>
      <c r="L32" s="1926"/>
      <c r="M32" s="1926"/>
      <c r="N32" s="1927"/>
      <c r="Q32" s="1925"/>
    </row>
    <row r="33" spans="1:17" s="1910" customFormat="1" ht="15" customHeight="1">
      <c r="A33" s="1921" t="str">
        <f t="shared" si="2"/>
        <v>Lantai 1</v>
      </c>
      <c r="B33" s="1922">
        <f t="shared" si="3"/>
        <v>23</v>
      </c>
      <c r="C33" s="1923" t="str">
        <f t="shared" si="6"/>
        <v>Lantai 1 no. 23</v>
      </c>
      <c r="D33" s="1924" t="s">
        <v>2189</v>
      </c>
      <c r="E33" s="1925">
        <v>1</v>
      </c>
      <c r="F33" s="636">
        <v>2200</v>
      </c>
      <c r="G33" s="635"/>
      <c r="H33" s="635"/>
      <c r="I33" s="636">
        <f t="shared" si="7"/>
        <v>2200</v>
      </c>
      <c r="J33" s="637">
        <v>150</v>
      </c>
      <c r="K33" s="1926"/>
      <c r="L33" s="1926"/>
      <c r="M33" s="1926"/>
      <c r="N33" s="1927"/>
      <c r="Q33" s="1925"/>
    </row>
    <row r="34" spans="1:17" s="1910" customFormat="1" ht="15" customHeight="1">
      <c r="A34" s="1921" t="str">
        <f t="shared" si="2"/>
        <v>Lantai 1</v>
      </c>
      <c r="B34" s="1922">
        <f t="shared" si="3"/>
        <v>24</v>
      </c>
      <c r="C34" s="1923" t="str">
        <f t="shared" si="6"/>
        <v>Lantai 1 no. 24</v>
      </c>
      <c r="D34" s="1924" t="s">
        <v>2189</v>
      </c>
      <c r="E34" s="1925">
        <v>1</v>
      </c>
      <c r="F34" s="636">
        <v>1675</v>
      </c>
      <c r="G34" s="635"/>
      <c r="H34" s="635"/>
      <c r="I34" s="636">
        <f t="shared" si="7"/>
        <v>1675</v>
      </c>
      <c r="J34" s="637">
        <v>150</v>
      </c>
      <c r="K34" s="1926"/>
      <c r="L34" s="1926"/>
      <c r="M34" s="1926"/>
      <c r="N34" s="1927"/>
      <c r="Q34" s="1925"/>
    </row>
    <row r="35" spans="1:17" s="1910" customFormat="1" ht="15" customHeight="1">
      <c r="A35" s="1921" t="str">
        <f t="shared" si="2"/>
        <v>Lantai 1</v>
      </c>
      <c r="B35" s="1922">
        <f t="shared" si="3"/>
        <v>25</v>
      </c>
      <c r="C35" s="1923" t="str">
        <f t="shared" si="6"/>
        <v>Lantai 1 no. 25</v>
      </c>
      <c r="D35" s="1924" t="s">
        <v>2190</v>
      </c>
      <c r="E35" s="1925">
        <v>1</v>
      </c>
      <c r="F35" s="636">
        <v>11000</v>
      </c>
      <c r="G35" s="635"/>
      <c r="H35" s="635"/>
      <c r="I35" s="636">
        <f t="shared" si="7"/>
        <v>11000</v>
      </c>
      <c r="J35" s="637">
        <v>150</v>
      </c>
      <c r="K35" s="1926"/>
      <c r="L35" s="1926"/>
      <c r="M35" s="1926"/>
      <c r="N35" s="1927"/>
      <c r="Q35" s="1925"/>
    </row>
    <row r="36" spans="1:17" s="1910" customFormat="1" ht="15" customHeight="1">
      <c r="A36" s="1921" t="str">
        <f t="shared" si="2"/>
        <v>Lantai 1</v>
      </c>
      <c r="B36" s="1922">
        <f t="shared" si="3"/>
        <v>26</v>
      </c>
      <c r="C36" s="1923" t="str">
        <f t="shared" si="6"/>
        <v>Lantai 1 no. 26</v>
      </c>
      <c r="D36" s="1924" t="s">
        <v>2285</v>
      </c>
      <c r="E36" s="1925">
        <v>1</v>
      </c>
      <c r="F36" s="636">
        <v>6150</v>
      </c>
      <c r="G36" s="635"/>
      <c r="H36" s="635"/>
      <c r="I36" s="636">
        <f t="shared" si="7"/>
        <v>6150</v>
      </c>
      <c r="J36" s="637">
        <v>150</v>
      </c>
      <c r="K36" s="1926"/>
      <c r="L36" s="1926"/>
      <c r="M36" s="1926"/>
      <c r="N36" s="1927"/>
      <c r="Q36" s="1925"/>
    </row>
    <row r="37" spans="1:17" s="1910" customFormat="1" ht="15" customHeight="1">
      <c r="A37" s="1921" t="str">
        <f t="shared" si="2"/>
        <v>Lantai 1</v>
      </c>
      <c r="B37" s="1922">
        <f t="shared" si="3"/>
        <v>27</v>
      </c>
      <c r="C37" s="1923" t="str">
        <f t="shared" si="6"/>
        <v>Lantai 1 no. 27</v>
      </c>
      <c r="D37" s="1924" t="s">
        <v>2189</v>
      </c>
      <c r="E37" s="1925">
        <v>1</v>
      </c>
      <c r="F37" s="636">
        <v>2390</v>
      </c>
      <c r="G37" s="635"/>
      <c r="H37" s="635"/>
      <c r="I37" s="636">
        <f t="shared" si="7"/>
        <v>2390</v>
      </c>
      <c r="J37" s="637">
        <v>150</v>
      </c>
      <c r="K37" s="1926"/>
      <c r="L37" s="1926"/>
      <c r="M37" s="1926"/>
      <c r="N37" s="1927"/>
      <c r="Q37" s="1925"/>
    </row>
    <row r="38" spans="1:17" s="1910" customFormat="1" ht="15" customHeight="1">
      <c r="A38" s="1921" t="str">
        <f t="shared" si="2"/>
        <v>Lantai 1</v>
      </c>
      <c r="B38" s="1922">
        <f t="shared" si="3"/>
        <v>28</v>
      </c>
      <c r="C38" s="1923" t="str">
        <f t="shared" si="6"/>
        <v>Lantai 1 no. 28</v>
      </c>
      <c r="D38" s="1924" t="s">
        <v>2189</v>
      </c>
      <c r="E38" s="1925">
        <v>1</v>
      </c>
      <c r="F38" s="636">
        <v>2650</v>
      </c>
      <c r="G38" s="635"/>
      <c r="H38" s="635"/>
      <c r="I38" s="636">
        <f t="shared" si="7"/>
        <v>2650</v>
      </c>
      <c r="J38" s="637">
        <v>150</v>
      </c>
      <c r="K38" s="1926"/>
      <c r="L38" s="1926"/>
      <c r="M38" s="1926"/>
      <c r="N38" s="1927"/>
      <c r="Q38" s="1925"/>
    </row>
    <row r="39" spans="1:17" s="1910" customFormat="1" ht="15" customHeight="1">
      <c r="A39" s="1921" t="str">
        <f t="shared" si="2"/>
        <v>Lantai 1</v>
      </c>
      <c r="B39" s="1922">
        <f t="shared" si="3"/>
        <v>29</v>
      </c>
      <c r="C39" s="1923" t="str">
        <f t="shared" si="6"/>
        <v>Lantai 1 no. 29</v>
      </c>
      <c r="D39" s="1924" t="s">
        <v>2189</v>
      </c>
      <c r="E39" s="1925">
        <v>1</v>
      </c>
      <c r="F39" s="636">
        <v>2890</v>
      </c>
      <c r="G39" s="635"/>
      <c r="H39" s="635"/>
      <c r="I39" s="636">
        <f t="shared" si="7"/>
        <v>2890</v>
      </c>
      <c r="J39" s="637"/>
      <c r="K39" s="1926"/>
      <c r="L39" s="1926"/>
      <c r="M39" s="1926"/>
      <c r="N39" s="1927"/>
      <c r="Q39" s="1925"/>
    </row>
    <row r="40" spans="1:17" s="1910" customFormat="1" ht="15" customHeight="1">
      <c r="A40" s="1921" t="str">
        <f t="shared" si="2"/>
        <v>Lantai 1</v>
      </c>
      <c r="B40" s="1922">
        <f t="shared" si="3"/>
        <v>30</v>
      </c>
      <c r="C40" s="1923" t="str">
        <f t="shared" si="6"/>
        <v>Lantai 1 no. 30</v>
      </c>
      <c r="D40" s="1924" t="s">
        <v>2189</v>
      </c>
      <c r="E40" s="1925">
        <v>1</v>
      </c>
      <c r="F40" s="636">
        <v>2120</v>
      </c>
      <c r="G40" s="635"/>
      <c r="H40" s="635"/>
      <c r="I40" s="636">
        <f t="shared" si="7"/>
        <v>2120</v>
      </c>
      <c r="J40" s="637">
        <v>150</v>
      </c>
      <c r="K40" s="1926"/>
      <c r="L40" s="1926"/>
      <c r="M40" s="1926"/>
      <c r="N40" s="1927"/>
      <c r="Q40" s="1925"/>
    </row>
    <row r="41" spans="1:17" s="1910" customFormat="1" ht="15" customHeight="1">
      <c r="A41" s="1921" t="str">
        <f t="shared" si="2"/>
        <v>Lantai 1</v>
      </c>
      <c r="B41" s="1922">
        <f t="shared" si="3"/>
        <v>31</v>
      </c>
      <c r="C41" s="1923" t="str">
        <f t="shared" si="6"/>
        <v>Lantai 1 no. 31</v>
      </c>
      <c r="D41" s="1924" t="s">
        <v>2190</v>
      </c>
      <c r="E41" s="1925">
        <v>1</v>
      </c>
      <c r="F41" s="636">
        <v>6150</v>
      </c>
      <c r="G41" s="635"/>
      <c r="H41" s="635"/>
      <c r="I41" s="636">
        <f t="shared" si="7"/>
        <v>6150</v>
      </c>
      <c r="J41" s="637">
        <v>150</v>
      </c>
      <c r="K41" s="1926"/>
      <c r="L41" s="1926"/>
      <c r="M41" s="1926"/>
      <c r="N41" s="1927"/>
      <c r="Q41" s="1925"/>
    </row>
    <row r="42" spans="1:17" s="1910" customFormat="1" ht="15" customHeight="1">
      <c r="A42" s="1921" t="str">
        <f t="shared" si="2"/>
        <v>Lantai 1</v>
      </c>
      <c r="B42" s="1922">
        <f t="shared" si="3"/>
        <v>32</v>
      </c>
      <c r="C42" s="1923" t="str">
        <f t="shared" si="6"/>
        <v>Lantai 1 no. 32</v>
      </c>
      <c r="D42" s="1924" t="s">
        <v>2189</v>
      </c>
      <c r="E42" s="1925">
        <v>1</v>
      </c>
      <c r="F42" s="636">
        <v>5150</v>
      </c>
      <c r="G42" s="635"/>
      <c r="H42" s="635"/>
      <c r="I42" s="636">
        <f t="shared" si="7"/>
        <v>5150</v>
      </c>
      <c r="J42" s="637">
        <v>150</v>
      </c>
      <c r="K42" s="1926"/>
      <c r="L42" s="1926"/>
      <c r="M42" s="1926"/>
      <c r="N42" s="1927"/>
      <c r="Q42" s="1925"/>
    </row>
    <row r="43" spans="1:17" s="1910" customFormat="1" ht="15" customHeight="1">
      <c r="A43" s="1921" t="str">
        <f t="shared" si="2"/>
        <v>Lantai 1</v>
      </c>
      <c r="B43" s="1922">
        <f t="shared" si="3"/>
        <v>33</v>
      </c>
      <c r="C43" s="1923" t="str">
        <f t="shared" si="6"/>
        <v>Lantai 1 no. 33</v>
      </c>
      <c r="D43" s="1924" t="s">
        <v>2284</v>
      </c>
      <c r="E43" s="1925">
        <v>1</v>
      </c>
      <c r="F43" s="636">
        <v>4000</v>
      </c>
      <c r="G43" s="635"/>
      <c r="H43" s="635"/>
      <c r="I43" s="636">
        <f t="shared" si="7"/>
        <v>4000</v>
      </c>
      <c r="J43" s="637">
        <v>150</v>
      </c>
      <c r="K43" s="1926"/>
      <c r="L43" s="1926"/>
      <c r="M43" s="1926"/>
      <c r="N43" s="1927"/>
      <c r="Q43" s="1925"/>
    </row>
    <row r="44" spans="1:17" s="1910" customFormat="1" ht="15" customHeight="1">
      <c r="A44" s="1921" t="str">
        <f t="shared" si="2"/>
        <v>Lantai 1</v>
      </c>
      <c r="B44" s="1922">
        <f t="shared" si="3"/>
        <v>34</v>
      </c>
      <c r="C44" s="1923" t="str">
        <f t="shared" si="6"/>
        <v>Lantai 1 no. 34</v>
      </c>
      <c r="D44" s="1924" t="s">
        <v>2190</v>
      </c>
      <c r="E44" s="1925">
        <v>1</v>
      </c>
      <c r="F44" s="636">
        <v>5075</v>
      </c>
      <c r="G44" s="635"/>
      <c r="H44" s="635"/>
      <c r="I44" s="636">
        <f t="shared" si="7"/>
        <v>5075</v>
      </c>
      <c r="J44" s="637">
        <v>150</v>
      </c>
      <c r="K44" s="1926"/>
      <c r="L44" s="1926"/>
      <c r="M44" s="1926"/>
      <c r="N44" s="1927"/>
      <c r="Q44" s="1925"/>
    </row>
    <row r="45" spans="1:17" s="1910" customFormat="1" ht="15" customHeight="1">
      <c r="A45" s="1921" t="str">
        <f t="shared" si="2"/>
        <v>Lantai 1</v>
      </c>
      <c r="B45" s="1922">
        <f t="shared" si="3"/>
        <v>35</v>
      </c>
      <c r="C45" s="1923" t="str">
        <f t="shared" si="6"/>
        <v>Lantai 1 no. 35</v>
      </c>
      <c r="D45" s="1924" t="s">
        <v>2285</v>
      </c>
      <c r="E45" s="1925">
        <v>1</v>
      </c>
      <c r="F45" s="636">
        <v>6075</v>
      </c>
      <c r="G45" s="635"/>
      <c r="H45" s="635"/>
      <c r="I45" s="636">
        <f t="shared" si="7"/>
        <v>6075</v>
      </c>
      <c r="J45" s="637">
        <v>150</v>
      </c>
      <c r="K45" s="1926"/>
      <c r="L45" s="1926"/>
      <c r="M45" s="1926"/>
      <c r="N45" s="1927"/>
      <c r="Q45" s="1925"/>
    </row>
    <row r="46" spans="1:17" s="1910" customFormat="1" ht="15" customHeight="1">
      <c r="A46" s="1921" t="str">
        <f t="shared" si="2"/>
        <v>Lantai 1</v>
      </c>
      <c r="B46" s="1922">
        <f t="shared" si="3"/>
        <v>36</v>
      </c>
      <c r="C46" s="1923" t="str">
        <f t="shared" si="6"/>
        <v>Lantai 1 no. 36</v>
      </c>
      <c r="D46" s="1924" t="s">
        <v>2189</v>
      </c>
      <c r="E46" s="1925">
        <v>1</v>
      </c>
      <c r="F46" s="636">
        <v>5370</v>
      </c>
      <c r="G46" s="635"/>
      <c r="H46" s="635"/>
      <c r="I46" s="636">
        <f t="shared" si="7"/>
        <v>5370</v>
      </c>
      <c r="J46" s="637"/>
      <c r="K46" s="1926"/>
      <c r="L46" s="1926"/>
      <c r="M46" s="1926"/>
      <c r="N46" s="1927"/>
      <c r="Q46" s="1925"/>
    </row>
    <row r="47" spans="1:17" s="1910" customFormat="1" ht="15" customHeight="1">
      <c r="A47" s="1921" t="str">
        <f t="shared" si="2"/>
        <v>Lantai 1</v>
      </c>
      <c r="B47" s="1922">
        <f t="shared" si="3"/>
        <v>37</v>
      </c>
      <c r="C47" s="1923" t="str">
        <f t="shared" si="6"/>
        <v>Lantai 1 no. 37</v>
      </c>
      <c r="D47" s="1924" t="s">
        <v>2284</v>
      </c>
      <c r="E47" s="1925">
        <v>1</v>
      </c>
      <c r="F47" s="636">
        <v>5500</v>
      </c>
      <c r="G47" s="635"/>
      <c r="H47" s="635"/>
      <c r="I47" s="636">
        <f t="shared" si="7"/>
        <v>5500</v>
      </c>
      <c r="J47" s="637">
        <v>150</v>
      </c>
      <c r="K47" s="1926"/>
      <c r="L47" s="1926"/>
      <c r="M47" s="1926"/>
      <c r="N47" s="1927"/>
      <c r="Q47" s="1925"/>
    </row>
    <row r="48" spans="1:17" s="1910" customFormat="1" ht="15" customHeight="1">
      <c r="A48" s="1921" t="str">
        <f t="shared" si="2"/>
        <v>Lantai 1</v>
      </c>
      <c r="B48" s="1922">
        <f t="shared" si="3"/>
        <v>38</v>
      </c>
      <c r="C48" s="1923" t="str">
        <f t="shared" si="6"/>
        <v>Lantai 1 no. 38</v>
      </c>
      <c r="D48" s="1924" t="s">
        <v>2189</v>
      </c>
      <c r="E48" s="1925">
        <v>1</v>
      </c>
      <c r="F48" s="636">
        <v>8825</v>
      </c>
      <c r="G48" s="635"/>
      <c r="H48" s="635"/>
      <c r="I48" s="636">
        <f t="shared" si="7"/>
        <v>8825</v>
      </c>
      <c r="J48" s="637">
        <v>150</v>
      </c>
      <c r="K48" s="1926"/>
      <c r="L48" s="1926"/>
      <c r="M48" s="1926"/>
      <c r="N48" s="1927"/>
      <c r="Q48" s="1925"/>
    </row>
    <row r="49" spans="1:17" s="1910" customFormat="1" ht="15" customHeight="1">
      <c r="A49" s="1921" t="str">
        <f t="shared" si="2"/>
        <v>Lantai 1</v>
      </c>
      <c r="B49" s="1922">
        <f t="shared" si="3"/>
        <v>39</v>
      </c>
      <c r="C49" s="1923" t="str">
        <f t="shared" si="6"/>
        <v>Lantai 1 no. 39</v>
      </c>
      <c r="D49" s="1924" t="s">
        <v>2189</v>
      </c>
      <c r="E49" s="1925">
        <v>1</v>
      </c>
      <c r="F49" s="636">
        <v>8825</v>
      </c>
      <c r="G49" s="635"/>
      <c r="H49" s="635"/>
      <c r="I49" s="636">
        <f t="shared" si="7"/>
        <v>8825</v>
      </c>
      <c r="J49" s="637"/>
      <c r="K49" s="1926"/>
      <c r="L49" s="1926"/>
      <c r="M49" s="1926"/>
      <c r="N49" s="1927"/>
      <c r="Q49" s="1925"/>
    </row>
    <row r="50" spans="1:17" s="1910" customFormat="1" ht="15" customHeight="1">
      <c r="A50" s="1921" t="str">
        <f t="shared" si="2"/>
        <v>Lantai 1</v>
      </c>
      <c r="B50" s="1922">
        <f t="shared" si="3"/>
        <v>40</v>
      </c>
      <c r="C50" s="1923" t="str">
        <f t="shared" si="6"/>
        <v>Lantai 1 no. 40</v>
      </c>
      <c r="D50" s="1924" t="s">
        <v>2189</v>
      </c>
      <c r="E50" s="1925">
        <v>1</v>
      </c>
      <c r="F50" s="636">
        <v>16710</v>
      </c>
      <c r="G50" s="635"/>
      <c r="H50" s="635"/>
      <c r="I50" s="636">
        <f t="shared" si="7"/>
        <v>16710</v>
      </c>
      <c r="J50" s="637"/>
      <c r="K50" s="1926"/>
      <c r="L50" s="1926"/>
      <c r="M50" s="1926"/>
      <c r="N50" s="1927"/>
      <c r="Q50" s="1925"/>
    </row>
    <row r="51" spans="1:17" s="1910" customFormat="1" ht="15" customHeight="1">
      <c r="A51" s="1921" t="str">
        <f t="shared" si="2"/>
        <v>Lantai 1</v>
      </c>
      <c r="B51" s="1922">
        <f t="shared" si="3"/>
        <v>41</v>
      </c>
      <c r="C51" s="1923" t="str">
        <f t="shared" si="6"/>
        <v>Lantai 1 no. 41</v>
      </c>
      <c r="D51" s="1924" t="s">
        <v>2189</v>
      </c>
      <c r="E51" s="1925">
        <v>1</v>
      </c>
      <c r="F51" s="636">
        <v>7090</v>
      </c>
      <c r="G51" s="635"/>
      <c r="H51" s="635"/>
      <c r="I51" s="636">
        <f t="shared" si="7"/>
        <v>7090</v>
      </c>
      <c r="J51" s="637"/>
      <c r="K51" s="1926"/>
      <c r="L51" s="1926"/>
      <c r="M51" s="1926"/>
      <c r="N51" s="1927"/>
      <c r="Q51" s="1925"/>
    </row>
    <row r="52" spans="1:17" s="1910" customFormat="1" ht="15" customHeight="1">
      <c r="A52" s="1921" t="str">
        <f t="shared" si="2"/>
        <v>Lantai 1</v>
      </c>
      <c r="B52" s="1922">
        <f t="shared" si="3"/>
        <v>42</v>
      </c>
      <c r="C52" s="1923" t="str">
        <f t="shared" si="6"/>
        <v>Lantai 1 no. 42</v>
      </c>
      <c r="D52" s="1924" t="s">
        <v>2190</v>
      </c>
      <c r="E52" s="1925">
        <v>1</v>
      </c>
      <c r="F52" s="636">
        <v>5500</v>
      </c>
      <c r="G52" s="635"/>
      <c r="H52" s="635"/>
      <c r="I52" s="636">
        <f t="shared" si="7"/>
        <v>5500</v>
      </c>
      <c r="J52" s="637">
        <v>150</v>
      </c>
      <c r="K52" s="1926"/>
      <c r="L52" s="1926"/>
      <c r="M52" s="1926"/>
      <c r="N52" s="1927"/>
      <c r="Q52" s="1925"/>
    </row>
    <row r="53" spans="1:17" s="1910" customFormat="1" ht="15" customHeight="1">
      <c r="A53" s="1921" t="str">
        <f t="shared" si="2"/>
        <v>Lantai 1</v>
      </c>
      <c r="B53" s="1922">
        <f t="shared" si="3"/>
        <v>43</v>
      </c>
      <c r="C53" s="1923" t="str">
        <f t="shared" si="6"/>
        <v>Lantai 1 no. 43</v>
      </c>
      <c r="D53" s="1924" t="s">
        <v>2190</v>
      </c>
      <c r="E53" s="1925">
        <v>1</v>
      </c>
      <c r="F53" s="636">
        <v>5575</v>
      </c>
      <c r="G53" s="635"/>
      <c r="H53" s="635"/>
      <c r="I53" s="636">
        <f t="shared" si="7"/>
        <v>5575</v>
      </c>
      <c r="J53" s="637">
        <v>150</v>
      </c>
      <c r="K53" s="1926"/>
      <c r="L53" s="1926"/>
      <c r="M53" s="1926"/>
      <c r="N53" s="1927"/>
      <c r="Q53" s="1925"/>
    </row>
    <row r="54" spans="1:17" s="1910" customFormat="1" ht="15" customHeight="1">
      <c r="A54" s="1921" t="str">
        <f t="shared" si="2"/>
        <v>Lantai 1</v>
      </c>
      <c r="B54" s="1922">
        <f t="shared" si="3"/>
        <v>44</v>
      </c>
      <c r="C54" s="1923" t="str">
        <f t="shared" si="6"/>
        <v>Lantai 1 no. 44</v>
      </c>
      <c r="D54" s="1924" t="s">
        <v>2285</v>
      </c>
      <c r="E54" s="1925">
        <v>1</v>
      </c>
      <c r="F54" s="636">
        <v>5585</v>
      </c>
      <c r="G54" s="635"/>
      <c r="H54" s="635"/>
      <c r="I54" s="636">
        <f t="shared" si="7"/>
        <v>5585</v>
      </c>
      <c r="J54" s="637">
        <v>150</v>
      </c>
      <c r="K54" s="1926"/>
      <c r="L54" s="1926"/>
      <c r="M54" s="1926"/>
      <c r="N54" s="1927"/>
      <c r="Q54" s="1925"/>
    </row>
    <row r="55" spans="1:17" s="1910" customFormat="1" ht="15" customHeight="1">
      <c r="A55" s="1921" t="str">
        <f t="shared" si="2"/>
        <v>Lantai 1</v>
      </c>
      <c r="B55" s="1922">
        <f t="shared" si="3"/>
        <v>45</v>
      </c>
      <c r="C55" s="1923" t="str">
        <f t="shared" si="6"/>
        <v>Lantai 1 no. 45</v>
      </c>
      <c r="D55" s="1924" t="s">
        <v>2190</v>
      </c>
      <c r="E55" s="1925">
        <v>1</v>
      </c>
      <c r="F55" s="636">
        <v>5575</v>
      </c>
      <c r="G55" s="635"/>
      <c r="H55" s="635"/>
      <c r="I55" s="636">
        <f t="shared" si="7"/>
        <v>5575</v>
      </c>
      <c r="J55" s="637">
        <v>150</v>
      </c>
      <c r="K55" s="1926"/>
      <c r="L55" s="1926"/>
      <c r="M55" s="1926"/>
      <c r="N55" s="1927"/>
      <c r="Q55" s="1925"/>
    </row>
    <row r="56" spans="1:17" s="1910" customFormat="1" ht="15" customHeight="1">
      <c r="A56" s="1921" t="str">
        <f t="shared" si="2"/>
        <v>Lantai 1</v>
      </c>
      <c r="B56" s="1922">
        <f t="shared" si="3"/>
        <v>46</v>
      </c>
      <c r="C56" s="1923" t="str">
        <f t="shared" si="6"/>
        <v>Lantai 1 no. 46</v>
      </c>
      <c r="D56" s="1924" t="s">
        <v>2190</v>
      </c>
      <c r="E56" s="1940">
        <v>2</v>
      </c>
      <c r="F56" s="636">
        <v>5575</v>
      </c>
      <c r="G56" s="635"/>
      <c r="H56" s="635"/>
      <c r="I56" s="636">
        <f t="shared" si="7"/>
        <v>5575</v>
      </c>
      <c r="J56" s="637">
        <v>100</v>
      </c>
      <c r="K56" s="1926"/>
      <c r="L56" s="1926"/>
      <c r="M56" s="1926"/>
      <c r="N56" s="1927"/>
      <c r="Q56" s="1925"/>
    </row>
    <row r="57" spans="1:17" s="1910" customFormat="1" ht="15" customHeight="1">
      <c r="A57" s="1921" t="str">
        <f t="shared" si="2"/>
        <v>Lantai 1</v>
      </c>
      <c r="B57" s="1922">
        <f t="shared" si="3"/>
        <v>47</v>
      </c>
      <c r="C57" s="1923" t="str">
        <f t="shared" si="6"/>
        <v>Lantai 1 no. 47</v>
      </c>
      <c r="D57" s="1879" t="s">
        <v>2190</v>
      </c>
      <c r="E57" s="1925">
        <v>1</v>
      </c>
      <c r="F57" s="636">
        <v>3850</v>
      </c>
      <c r="G57" s="635"/>
      <c r="H57" s="635"/>
      <c r="I57" s="636">
        <f t="shared" si="7"/>
        <v>3850</v>
      </c>
      <c r="J57" s="637">
        <v>200</v>
      </c>
      <c r="K57" s="1926"/>
      <c r="L57" s="1926"/>
      <c r="M57" s="1926"/>
      <c r="N57" s="1927"/>
      <c r="Q57" s="1925"/>
    </row>
    <row r="58" spans="1:17" s="1910" customFormat="1" ht="15" customHeight="1">
      <c r="A58" s="1921" t="str">
        <f t="shared" si="2"/>
        <v>Lantai 1</v>
      </c>
      <c r="B58" s="1922">
        <f t="shared" si="3"/>
        <v>48</v>
      </c>
      <c r="C58" s="1923" t="str">
        <f t="shared" si="6"/>
        <v>Lantai 1 no. 48</v>
      </c>
      <c r="D58" s="1879" t="s">
        <v>2284</v>
      </c>
      <c r="E58" s="1925">
        <v>1</v>
      </c>
      <c r="F58" s="636">
        <v>3850</v>
      </c>
      <c r="G58" s="635"/>
      <c r="H58" s="635"/>
      <c r="I58" s="636">
        <f t="shared" si="7"/>
        <v>3850</v>
      </c>
      <c r="J58" s="637">
        <v>200</v>
      </c>
      <c r="K58" s="1926"/>
      <c r="L58" s="1926"/>
      <c r="M58" s="1926"/>
      <c r="N58" s="1927"/>
      <c r="Q58" s="1925"/>
    </row>
    <row r="59" spans="1:17" s="1910" customFormat="1" ht="15" customHeight="1">
      <c r="A59" s="1921" t="str">
        <f t="shared" si="2"/>
        <v>Lantai 1</v>
      </c>
      <c r="B59" s="1922">
        <f t="shared" si="3"/>
        <v>49</v>
      </c>
      <c r="C59" s="1923" t="str">
        <f t="shared" si="6"/>
        <v>Lantai 1 no. 49</v>
      </c>
      <c r="D59" s="1879" t="s">
        <v>2190</v>
      </c>
      <c r="E59" s="1925">
        <v>1</v>
      </c>
      <c r="F59" s="636">
        <v>3850</v>
      </c>
      <c r="G59" s="635"/>
      <c r="H59" s="635"/>
      <c r="I59" s="636">
        <f t="shared" si="7"/>
        <v>3850</v>
      </c>
      <c r="J59" s="637">
        <v>200</v>
      </c>
      <c r="K59" s="1926"/>
      <c r="L59" s="1926"/>
      <c r="M59" s="1926"/>
      <c r="N59" s="1927"/>
      <c r="Q59" s="1925"/>
    </row>
    <row r="60" spans="1:17" s="1910" customFormat="1" ht="15" customHeight="1">
      <c r="A60" s="1921" t="str">
        <f>A58</f>
        <v>Lantai 1</v>
      </c>
      <c r="B60" s="1878" t="s">
        <v>2338</v>
      </c>
      <c r="C60" s="1923" t="str">
        <f t="shared" ref="C60" si="10">CONCATENATE(A60," no. ",B60)</f>
        <v>Lantai 1 no. 49A</v>
      </c>
      <c r="D60" s="1924" t="s">
        <v>2284</v>
      </c>
      <c r="E60" s="1940">
        <v>2</v>
      </c>
      <c r="F60" s="636">
        <v>3100</v>
      </c>
      <c r="G60" s="635"/>
      <c r="H60" s="635"/>
      <c r="I60" s="636">
        <f t="shared" ref="I60" si="11">+F60-G60-H60</f>
        <v>3100</v>
      </c>
      <c r="J60" s="637">
        <v>100</v>
      </c>
      <c r="K60" s="1926"/>
      <c r="L60" s="1926"/>
      <c r="M60" s="1926"/>
      <c r="N60" s="1927"/>
      <c r="Q60" s="1925"/>
    </row>
    <row r="61" spans="1:17" s="1910" customFormat="1" ht="15" customHeight="1">
      <c r="A61" s="1921" t="str">
        <f>A59</f>
        <v>Lantai 1</v>
      </c>
      <c r="B61" s="1922">
        <f>B59+1</f>
        <v>50</v>
      </c>
      <c r="C61" s="1923" t="str">
        <f t="shared" si="6"/>
        <v>Lantai 1 no. 50</v>
      </c>
      <c r="D61" s="1924" t="s">
        <v>2189</v>
      </c>
      <c r="E61" s="1925">
        <v>1</v>
      </c>
      <c r="F61" s="636">
        <v>1975</v>
      </c>
      <c r="G61" s="635"/>
      <c r="H61" s="635"/>
      <c r="I61" s="636">
        <f t="shared" si="7"/>
        <v>1975</v>
      </c>
      <c r="J61" s="637">
        <v>150</v>
      </c>
      <c r="K61" s="1926"/>
      <c r="L61" s="1926"/>
      <c r="M61" s="1926"/>
      <c r="N61" s="1927"/>
      <c r="Q61" s="1925"/>
    </row>
    <row r="62" spans="1:17" s="1910" customFormat="1" ht="15" customHeight="1">
      <c r="A62" s="1921" t="str">
        <f t="shared" si="2"/>
        <v>Lantai 1</v>
      </c>
      <c r="B62" s="1922">
        <f t="shared" si="3"/>
        <v>51</v>
      </c>
      <c r="C62" s="1923" t="str">
        <f t="shared" si="6"/>
        <v>Lantai 1 no. 51</v>
      </c>
      <c r="D62" s="1924" t="s">
        <v>2190</v>
      </c>
      <c r="E62" s="1925">
        <v>1</v>
      </c>
      <c r="F62" s="636">
        <v>4000</v>
      </c>
      <c r="G62" s="635"/>
      <c r="H62" s="635"/>
      <c r="I62" s="636">
        <f t="shared" si="7"/>
        <v>4000</v>
      </c>
      <c r="J62" s="637">
        <v>150</v>
      </c>
      <c r="K62" s="1926"/>
      <c r="L62" s="1926"/>
      <c r="M62" s="1926"/>
      <c r="N62" s="1927"/>
      <c r="Q62" s="1925"/>
    </row>
    <row r="63" spans="1:17" s="1910" customFormat="1" ht="15" customHeight="1">
      <c r="A63" s="1921" t="str">
        <f t="shared" si="2"/>
        <v>Lantai 1</v>
      </c>
      <c r="B63" s="1922">
        <f t="shared" si="3"/>
        <v>52</v>
      </c>
      <c r="C63" s="1923" t="str">
        <f t="shared" si="6"/>
        <v>Lantai 1 no. 52</v>
      </c>
      <c r="D63" s="1924" t="s">
        <v>2190</v>
      </c>
      <c r="E63" s="1925">
        <v>1</v>
      </c>
      <c r="F63" s="636">
        <v>1300</v>
      </c>
      <c r="G63" s="635"/>
      <c r="H63" s="635"/>
      <c r="I63" s="636">
        <f t="shared" si="7"/>
        <v>1300</v>
      </c>
      <c r="J63" s="637">
        <v>150</v>
      </c>
      <c r="K63" s="1926"/>
      <c r="L63" s="1926"/>
      <c r="M63" s="1926"/>
      <c r="N63" s="1927"/>
      <c r="Q63" s="1925"/>
    </row>
    <row r="64" spans="1:17" s="1910" customFormat="1" ht="15" customHeight="1">
      <c r="A64" s="1921" t="str">
        <f t="shared" si="2"/>
        <v>Lantai 1</v>
      </c>
      <c r="B64" s="1922">
        <f t="shared" si="3"/>
        <v>53</v>
      </c>
      <c r="C64" s="1923" t="str">
        <f t="shared" si="6"/>
        <v>Lantai 1 no. 53</v>
      </c>
      <c r="D64" s="1924" t="s">
        <v>2189</v>
      </c>
      <c r="E64" s="1925">
        <v>1</v>
      </c>
      <c r="F64" s="636">
        <v>4150</v>
      </c>
      <c r="G64" s="635"/>
      <c r="H64" s="635"/>
      <c r="I64" s="636">
        <f t="shared" si="7"/>
        <v>4150</v>
      </c>
      <c r="J64" s="637">
        <v>150</v>
      </c>
      <c r="K64" s="1926"/>
      <c r="L64" s="1926"/>
      <c r="M64" s="1926"/>
      <c r="N64" s="1927"/>
      <c r="Q64" s="1925"/>
    </row>
    <row r="65" spans="1:17" s="1910" customFormat="1" ht="15" customHeight="1">
      <c r="A65" s="1921" t="str">
        <f t="shared" si="2"/>
        <v>Lantai 1</v>
      </c>
      <c r="B65" s="1922">
        <f t="shared" si="3"/>
        <v>54</v>
      </c>
      <c r="C65" s="1923" t="str">
        <f t="shared" si="6"/>
        <v>Lantai 1 no. 54</v>
      </c>
      <c r="D65" s="1924" t="s">
        <v>2285</v>
      </c>
      <c r="E65" s="1925">
        <v>1</v>
      </c>
      <c r="F65" s="636">
        <v>4075</v>
      </c>
      <c r="G65" s="635"/>
      <c r="H65" s="635"/>
      <c r="I65" s="636">
        <f t="shared" si="7"/>
        <v>4075</v>
      </c>
      <c r="J65" s="637">
        <v>150</v>
      </c>
      <c r="K65" s="1926"/>
      <c r="L65" s="1926"/>
      <c r="M65" s="1926"/>
      <c r="N65" s="1927"/>
      <c r="Q65" s="1925"/>
    </row>
    <row r="66" spans="1:17" s="1910" customFormat="1" ht="15" customHeight="1">
      <c r="A66" s="1921" t="str">
        <f t="shared" si="2"/>
        <v>Lantai 1</v>
      </c>
      <c r="B66" s="1922">
        <f t="shared" si="3"/>
        <v>55</v>
      </c>
      <c r="C66" s="1923" t="str">
        <f t="shared" si="6"/>
        <v>Lantai 1 no. 55</v>
      </c>
      <c r="D66" s="1924" t="s">
        <v>2189</v>
      </c>
      <c r="E66" s="1925">
        <v>1</v>
      </c>
      <c r="F66" s="636">
        <v>1780</v>
      </c>
      <c r="G66" s="635"/>
      <c r="H66" s="635"/>
      <c r="I66" s="636">
        <f t="shared" si="7"/>
        <v>1780</v>
      </c>
      <c r="J66" s="637">
        <v>150</v>
      </c>
      <c r="K66" s="1926"/>
      <c r="L66" s="1926"/>
      <c r="M66" s="1926"/>
      <c r="N66" s="1927"/>
      <c r="Q66" s="1925"/>
    </row>
    <row r="67" spans="1:17" s="1910" customFormat="1" ht="15" customHeight="1">
      <c r="A67" s="1921" t="str">
        <f t="shared" si="2"/>
        <v>Lantai 1</v>
      </c>
      <c r="B67" s="1922">
        <f t="shared" si="3"/>
        <v>56</v>
      </c>
      <c r="C67" s="1923" t="str">
        <f t="shared" si="6"/>
        <v>Lantai 1 no. 56</v>
      </c>
      <c r="D67" s="1924" t="s">
        <v>2285</v>
      </c>
      <c r="E67" s="1925">
        <v>1</v>
      </c>
      <c r="F67" s="636">
        <v>5690</v>
      </c>
      <c r="G67" s="635"/>
      <c r="H67" s="635"/>
      <c r="I67" s="636">
        <f t="shared" si="7"/>
        <v>5690</v>
      </c>
      <c r="J67" s="637">
        <v>150</v>
      </c>
      <c r="K67" s="1926"/>
      <c r="L67" s="1926"/>
      <c r="M67" s="1926"/>
      <c r="N67" s="1927"/>
      <c r="Q67" s="1925"/>
    </row>
    <row r="68" spans="1:17" s="1910" customFormat="1" ht="15" customHeight="1">
      <c r="A68" s="1921" t="str">
        <f t="shared" si="2"/>
        <v>Lantai 1</v>
      </c>
      <c r="B68" s="1922">
        <f t="shared" si="3"/>
        <v>57</v>
      </c>
      <c r="C68" s="1923" t="str">
        <f t="shared" si="6"/>
        <v>Lantai 1 no. 57</v>
      </c>
      <c r="D68" s="1924" t="s">
        <v>2285</v>
      </c>
      <c r="E68" s="1925">
        <v>1</v>
      </c>
      <c r="F68" s="636">
        <v>4000</v>
      </c>
      <c r="G68" s="635"/>
      <c r="H68" s="635"/>
      <c r="I68" s="636">
        <f t="shared" si="7"/>
        <v>4000</v>
      </c>
      <c r="J68" s="637">
        <v>150</v>
      </c>
      <c r="K68" s="1926"/>
      <c r="L68" s="1926"/>
      <c r="M68" s="1926"/>
      <c r="N68" s="1927"/>
      <c r="Q68" s="1925"/>
    </row>
    <row r="69" spans="1:17" s="1910" customFormat="1" ht="15" customHeight="1">
      <c r="A69" s="1921" t="str">
        <f t="shared" si="2"/>
        <v>Lantai 1</v>
      </c>
      <c r="B69" s="1922">
        <f t="shared" si="3"/>
        <v>58</v>
      </c>
      <c r="C69" s="1923" t="str">
        <f t="shared" si="6"/>
        <v>Lantai 1 no. 58</v>
      </c>
      <c r="D69" s="1924" t="s">
        <v>2190</v>
      </c>
      <c r="E69" s="1925">
        <v>1</v>
      </c>
      <c r="F69" s="636">
        <v>1600</v>
      </c>
      <c r="G69" s="635"/>
      <c r="H69" s="635"/>
      <c r="I69" s="636">
        <f t="shared" si="7"/>
        <v>1600</v>
      </c>
      <c r="J69" s="637">
        <v>150</v>
      </c>
      <c r="K69" s="1926"/>
      <c r="L69" s="1926"/>
      <c r="M69" s="1926"/>
      <c r="N69" s="1927"/>
      <c r="Q69" s="1925"/>
    </row>
    <row r="70" spans="1:17" s="1910" customFormat="1" ht="15" customHeight="1">
      <c r="A70" s="1921" t="str">
        <f t="shared" si="2"/>
        <v>Lantai 1</v>
      </c>
      <c r="B70" s="1922">
        <f t="shared" si="3"/>
        <v>59</v>
      </c>
      <c r="C70" s="1923" t="str">
        <f t="shared" si="6"/>
        <v>Lantai 1 no. 59</v>
      </c>
      <c r="D70" s="1924" t="s">
        <v>2189</v>
      </c>
      <c r="E70" s="1925">
        <v>1</v>
      </c>
      <c r="F70" s="636">
        <v>6975</v>
      </c>
      <c r="G70" s="635"/>
      <c r="H70" s="635"/>
      <c r="I70" s="636">
        <f t="shared" si="7"/>
        <v>6975</v>
      </c>
      <c r="J70" s="637">
        <v>150</v>
      </c>
      <c r="K70" s="1926"/>
      <c r="L70" s="1926"/>
      <c r="M70" s="1926"/>
      <c r="N70" s="1927"/>
      <c r="Q70" s="1925"/>
    </row>
    <row r="71" spans="1:17" s="1910" customFormat="1" ht="15" customHeight="1">
      <c r="A71" s="1921" t="str">
        <f t="shared" si="2"/>
        <v>Lantai 1</v>
      </c>
      <c r="B71" s="1922">
        <f t="shared" si="3"/>
        <v>60</v>
      </c>
      <c r="C71" s="1923" t="str">
        <f t="shared" ref="C71:C96" si="12">CONCATENATE(A71," no. ",B71)</f>
        <v>Lantai 1 no. 60</v>
      </c>
      <c r="D71" s="1924" t="s">
        <v>2189</v>
      </c>
      <c r="E71" s="1925">
        <v>1</v>
      </c>
      <c r="F71" s="636">
        <v>17030</v>
      </c>
      <c r="G71" s="635"/>
      <c r="H71" s="635"/>
      <c r="I71" s="636">
        <f t="shared" ref="I71:I96" si="13">+F71-G71-H71</f>
        <v>17030</v>
      </c>
      <c r="J71" s="637"/>
      <c r="K71" s="1926"/>
      <c r="L71" s="1926"/>
      <c r="M71" s="1926"/>
      <c r="N71" s="1927"/>
      <c r="Q71" s="1925"/>
    </row>
    <row r="72" spans="1:17" s="1910" customFormat="1" ht="15" customHeight="1">
      <c r="A72" s="1921" t="str">
        <f t="shared" si="2"/>
        <v>Lantai 1</v>
      </c>
      <c r="B72" s="1922">
        <f t="shared" si="3"/>
        <v>61</v>
      </c>
      <c r="C72" s="1923" t="str">
        <f t="shared" si="12"/>
        <v>Lantai 1 no. 61</v>
      </c>
      <c r="D72" s="1924" t="s">
        <v>2189</v>
      </c>
      <c r="E72" s="1925">
        <v>1</v>
      </c>
      <c r="F72" s="636">
        <v>5675</v>
      </c>
      <c r="G72" s="635"/>
      <c r="H72" s="635"/>
      <c r="I72" s="636">
        <f t="shared" si="13"/>
        <v>5675</v>
      </c>
      <c r="J72" s="637">
        <v>150</v>
      </c>
      <c r="K72" s="1926"/>
      <c r="L72" s="1926"/>
      <c r="M72" s="1926"/>
      <c r="N72" s="1927"/>
      <c r="Q72" s="1925"/>
    </row>
    <row r="73" spans="1:17" s="1910" customFormat="1" ht="15" customHeight="1">
      <c r="A73" s="1921" t="str">
        <f t="shared" si="2"/>
        <v>Lantai 1</v>
      </c>
      <c r="B73" s="1922">
        <f t="shared" si="3"/>
        <v>62</v>
      </c>
      <c r="C73" s="1923" t="str">
        <f t="shared" si="12"/>
        <v>Lantai 1 no. 62</v>
      </c>
      <c r="D73" s="1924" t="s">
        <v>2190</v>
      </c>
      <c r="E73" s="1925">
        <v>1</v>
      </c>
      <c r="F73" s="636">
        <v>4300</v>
      </c>
      <c r="G73" s="635"/>
      <c r="H73" s="635"/>
      <c r="I73" s="636">
        <f t="shared" si="13"/>
        <v>4300</v>
      </c>
      <c r="J73" s="637">
        <v>150</v>
      </c>
      <c r="K73" s="1926"/>
      <c r="L73" s="1926"/>
      <c r="M73" s="1926"/>
      <c r="N73" s="1927"/>
      <c r="Q73" s="1925"/>
    </row>
    <row r="74" spans="1:17" s="1910" customFormat="1" ht="15" customHeight="1">
      <c r="A74" s="1921" t="str">
        <f t="shared" si="2"/>
        <v>Lantai 1</v>
      </c>
      <c r="B74" s="1922">
        <f t="shared" si="3"/>
        <v>63</v>
      </c>
      <c r="C74" s="1923" t="str">
        <f t="shared" si="12"/>
        <v>Lantai 1 no. 63</v>
      </c>
      <c r="D74" s="1924" t="s">
        <v>2189</v>
      </c>
      <c r="E74" s="1925">
        <v>1</v>
      </c>
      <c r="F74" s="636">
        <v>2100</v>
      </c>
      <c r="G74" s="635"/>
      <c r="H74" s="635"/>
      <c r="I74" s="636">
        <f t="shared" si="13"/>
        <v>2100</v>
      </c>
      <c r="J74" s="637">
        <v>150</v>
      </c>
      <c r="K74" s="1926"/>
      <c r="L74" s="1926"/>
      <c r="M74" s="1926"/>
      <c r="N74" s="1927"/>
      <c r="Q74" s="1925"/>
    </row>
    <row r="75" spans="1:17" s="1910" customFormat="1" ht="15" customHeight="1">
      <c r="A75" s="1921" t="str">
        <f t="shared" si="2"/>
        <v>Lantai 1</v>
      </c>
      <c r="B75" s="1922">
        <f t="shared" si="3"/>
        <v>64</v>
      </c>
      <c r="C75" s="1923" t="str">
        <f t="shared" si="12"/>
        <v>Lantai 1 no. 64</v>
      </c>
      <c r="D75" s="1924" t="s">
        <v>2189</v>
      </c>
      <c r="E75" s="1925">
        <v>1</v>
      </c>
      <c r="F75" s="636">
        <v>925</v>
      </c>
      <c r="G75" s="635"/>
      <c r="H75" s="635"/>
      <c r="I75" s="636">
        <f t="shared" si="13"/>
        <v>925</v>
      </c>
      <c r="J75" s="637">
        <v>150</v>
      </c>
      <c r="K75" s="1926"/>
      <c r="L75" s="1926"/>
      <c r="M75" s="1926"/>
      <c r="N75" s="1927"/>
      <c r="Q75" s="1925"/>
    </row>
    <row r="76" spans="1:17" s="1910" customFormat="1" ht="15" customHeight="1">
      <c r="A76" s="1921" t="str">
        <f t="shared" si="2"/>
        <v>Lantai 1</v>
      </c>
      <c r="B76" s="1922">
        <f t="shared" si="3"/>
        <v>65</v>
      </c>
      <c r="C76" s="1923" t="str">
        <f t="shared" si="12"/>
        <v>Lantai 1 no. 65</v>
      </c>
      <c r="D76" s="1924" t="s">
        <v>2190</v>
      </c>
      <c r="E76" s="1925">
        <v>1</v>
      </c>
      <c r="F76" s="636">
        <v>1875</v>
      </c>
      <c r="G76" s="635"/>
      <c r="H76" s="635"/>
      <c r="I76" s="636">
        <f t="shared" si="13"/>
        <v>1875</v>
      </c>
      <c r="J76" s="637">
        <v>150</v>
      </c>
      <c r="K76" s="1926"/>
      <c r="L76" s="1926"/>
      <c r="M76" s="1926"/>
      <c r="N76" s="1927"/>
      <c r="Q76" s="1925"/>
    </row>
    <row r="77" spans="1:17" s="1910" customFormat="1" ht="15" customHeight="1">
      <c r="A77" s="1921" t="str">
        <f t="shared" ref="A77:A96" si="14">A76</f>
        <v>Lantai 1</v>
      </c>
      <c r="B77" s="1922">
        <f t="shared" ref="B77:B96" si="15">B76+1</f>
        <v>66</v>
      </c>
      <c r="C77" s="1923" t="str">
        <f t="shared" si="12"/>
        <v>Lantai 1 no. 66</v>
      </c>
      <c r="D77" s="1924" t="s">
        <v>2189</v>
      </c>
      <c r="E77" s="1925">
        <v>1</v>
      </c>
      <c r="F77" s="636">
        <v>2100</v>
      </c>
      <c r="G77" s="635"/>
      <c r="H77" s="635"/>
      <c r="I77" s="636">
        <f t="shared" si="13"/>
        <v>2100</v>
      </c>
      <c r="J77" s="637">
        <v>150</v>
      </c>
      <c r="K77" s="1926"/>
      <c r="L77" s="1926"/>
      <c r="M77" s="1926"/>
      <c r="N77" s="1927"/>
      <c r="Q77" s="1925"/>
    </row>
    <row r="78" spans="1:17" s="1910" customFormat="1" ht="15" customHeight="1">
      <c r="A78" s="1921" t="str">
        <f t="shared" si="14"/>
        <v>Lantai 1</v>
      </c>
      <c r="B78" s="1922">
        <f t="shared" si="15"/>
        <v>67</v>
      </c>
      <c r="C78" s="1923" t="str">
        <f t="shared" si="12"/>
        <v>Lantai 1 no. 67</v>
      </c>
      <c r="D78" s="1924" t="s">
        <v>2189</v>
      </c>
      <c r="E78" s="1925">
        <v>1</v>
      </c>
      <c r="F78" s="636">
        <v>925</v>
      </c>
      <c r="G78" s="635"/>
      <c r="H78" s="635"/>
      <c r="I78" s="636">
        <f t="shared" si="13"/>
        <v>925</v>
      </c>
      <c r="J78" s="637">
        <v>150</v>
      </c>
      <c r="K78" s="1926"/>
      <c r="L78" s="1926"/>
      <c r="M78" s="1926"/>
      <c r="N78" s="1927"/>
      <c r="Q78" s="1925"/>
    </row>
    <row r="79" spans="1:17" s="1910" customFormat="1" ht="15" customHeight="1">
      <c r="A79" s="1921" t="str">
        <f t="shared" si="14"/>
        <v>Lantai 1</v>
      </c>
      <c r="B79" s="1922">
        <f t="shared" si="15"/>
        <v>68</v>
      </c>
      <c r="C79" s="1923" t="str">
        <f t="shared" si="12"/>
        <v>Lantai 1 no. 68</v>
      </c>
      <c r="D79" s="1924" t="s">
        <v>2190</v>
      </c>
      <c r="E79" s="1925">
        <v>1</v>
      </c>
      <c r="F79" s="636">
        <v>4805</v>
      </c>
      <c r="G79" s="635"/>
      <c r="H79" s="635"/>
      <c r="I79" s="636">
        <f t="shared" si="13"/>
        <v>4805</v>
      </c>
      <c r="J79" s="637">
        <v>150</v>
      </c>
      <c r="K79" s="1926"/>
      <c r="L79" s="1926"/>
      <c r="M79" s="1926"/>
      <c r="N79" s="1927"/>
      <c r="Q79" s="1925"/>
    </row>
    <row r="80" spans="1:17" s="1910" customFormat="1" ht="15" customHeight="1">
      <c r="A80" s="1921" t="str">
        <f t="shared" si="14"/>
        <v>Lantai 1</v>
      </c>
      <c r="B80" s="1922">
        <f t="shared" si="15"/>
        <v>69</v>
      </c>
      <c r="C80" s="1923" t="str">
        <f t="shared" si="12"/>
        <v>Lantai 1 no. 69</v>
      </c>
      <c r="D80" s="1924" t="s">
        <v>2190</v>
      </c>
      <c r="E80" s="1925">
        <v>1</v>
      </c>
      <c r="F80" s="636">
        <v>4805</v>
      </c>
      <c r="G80" s="635"/>
      <c r="H80" s="635"/>
      <c r="I80" s="636">
        <f t="shared" si="13"/>
        <v>4805</v>
      </c>
      <c r="J80" s="637">
        <v>150</v>
      </c>
      <c r="K80" s="1926"/>
      <c r="L80" s="1926"/>
      <c r="M80" s="1926"/>
      <c r="N80" s="1927"/>
      <c r="Q80" s="1925"/>
    </row>
    <row r="81" spans="1:17" s="1910" customFormat="1" ht="15" customHeight="1">
      <c r="A81" s="1921" t="str">
        <f t="shared" si="14"/>
        <v>Lantai 1</v>
      </c>
      <c r="B81" s="1922">
        <f t="shared" si="15"/>
        <v>70</v>
      </c>
      <c r="C81" s="1923" t="str">
        <f t="shared" si="12"/>
        <v>Lantai 1 no. 70</v>
      </c>
      <c r="D81" s="1924" t="s">
        <v>2189</v>
      </c>
      <c r="E81" s="1925">
        <v>1</v>
      </c>
      <c r="F81" s="636">
        <v>6825</v>
      </c>
      <c r="G81" s="635"/>
      <c r="H81" s="635"/>
      <c r="I81" s="636">
        <f t="shared" si="13"/>
        <v>6825</v>
      </c>
      <c r="J81" s="637">
        <v>150</v>
      </c>
      <c r="K81" s="1926"/>
      <c r="L81" s="1926"/>
      <c r="M81" s="1926"/>
      <c r="N81" s="1927"/>
      <c r="Q81" s="1925"/>
    </row>
    <row r="82" spans="1:17" s="1910" customFormat="1" ht="15" customHeight="1">
      <c r="A82" s="1921" t="str">
        <f t="shared" si="14"/>
        <v>Lantai 1</v>
      </c>
      <c r="B82" s="1922">
        <f t="shared" si="15"/>
        <v>71</v>
      </c>
      <c r="C82" s="1923" t="str">
        <f t="shared" si="12"/>
        <v>Lantai 1 no. 71</v>
      </c>
      <c r="D82" s="1924" t="s">
        <v>2284</v>
      </c>
      <c r="E82" s="1925">
        <v>1</v>
      </c>
      <c r="F82" s="636">
        <v>6575</v>
      </c>
      <c r="G82" s="635"/>
      <c r="H82" s="635"/>
      <c r="I82" s="636">
        <f t="shared" si="13"/>
        <v>6575</v>
      </c>
      <c r="J82" s="637">
        <v>150</v>
      </c>
      <c r="K82" s="1926"/>
      <c r="L82" s="1926"/>
      <c r="M82" s="1926"/>
      <c r="N82" s="1927"/>
      <c r="Q82" s="1925"/>
    </row>
    <row r="83" spans="1:17" s="1910" customFormat="1" ht="15" customHeight="1">
      <c r="A83" s="1921" t="str">
        <f t="shared" si="14"/>
        <v>Lantai 1</v>
      </c>
      <c r="B83" s="1922">
        <f t="shared" si="15"/>
        <v>72</v>
      </c>
      <c r="C83" s="1923" t="str">
        <f t="shared" si="12"/>
        <v>Lantai 1 no. 72</v>
      </c>
      <c r="D83" s="1924" t="s">
        <v>2189</v>
      </c>
      <c r="E83" s="1925">
        <v>1</v>
      </c>
      <c r="F83" s="636">
        <v>6575</v>
      </c>
      <c r="G83" s="635"/>
      <c r="H83" s="635"/>
      <c r="I83" s="636">
        <f t="shared" si="13"/>
        <v>6575</v>
      </c>
      <c r="J83" s="637"/>
      <c r="K83" s="1926"/>
      <c r="L83" s="1926"/>
      <c r="M83" s="1926"/>
      <c r="N83" s="1927"/>
      <c r="Q83" s="1925"/>
    </row>
    <row r="84" spans="1:17" s="1910" customFormat="1" ht="15" customHeight="1">
      <c r="A84" s="1921" t="str">
        <f t="shared" si="14"/>
        <v>Lantai 1</v>
      </c>
      <c r="B84" s="1922">
        <f t="shared" si="15"/>
        <v>73</v>
      </c>
      <c r="C84" s="1923" t="str">
        <f t="shared" si="12"/>
        <v>Lantai 1 no. 73</v>
      </c>
      <c r="D84" s="1924" t="s">
        <v>2284</v>
      </c>
      <c r="E84" s="1925">
        <v>1</v>
      </c>
      <c r="F84" s="636">
        <v>6075</v>
      </c>
      <c r="G84" s="635"/>
      <c r="H84" s="635"/>
      <c r="I84" s="636">
        <f t="shared" si="13"/>
        <v>6075</v>
      </c>
      <c r="J84" s="637"/>
      <c r="K84" s="1926"/>
      <c r="L84" s="1926"/>
      <c r="M84" s="1926"/>
      <c r="N84" s="1927"/>
      <c r="Q84" s="1925"/>
    </row>
    <row r="85" spans="1:17" s="1910" customFormat="1" ht="15" customHeight="1">
      <c r="A85" s="1921" t="str">
        <f t="shared" si="14"/>
        <v>Lantai 1</v>
      </c>
      <c r="B85" s="1922">
        <f t="shared" si="15"/>
        <v>74</v>
      </c>
      <c r="C85" s="1923" t="str">
        <f t="shared" si="12"/>
        <v>Lantai 1 no. 74</v>
      </c>
      <c r="D85" s="1924" t="s">
        <v>2284</v>
      </c>
      <c r="E85" s="1925">
        <v>1</v>
      </c>
      <c r="F85" s="636">
        <v>5560</v>
      </c>
      <c r="G85" s="635"/>
      <c r="H85" s="635"/>
      <c r="I85" s="636">
        <f t="shared" si="13"/>
        <v>5560</v>
      </c>
      <c r="J85" s="637"/>
      <c r="K85" s="1926"/>
      <c r="L85" s="1926"/>
      <c r="M85" s="1926"/>
      <c r="N85" s="1927"/>
      <c r="Q85" s="1925"/>
    </row>
    <row r="86" spans="1:17" s="1945" customFormat="1" ht="15" customHeight="1">
      <c r="A86" s="1938" t="str">
        <f t="shared" si="14"/>
        <v>Lantai 1</v>
      </c>
      <c r="B86" s="1878">
        <f t="shared" si="15"/>
        <v>75</v>
      </c>
      <c r="C86" s="1939" t="str">
        <f t="shared" si="12"/>
        <v>Lantai 1 no. 75</v>
      </c>
      <c r="D86" s="1879" t="s">
        <v>134</v>
      </c>
      <c r="E86" s="1940">
        <v>1</v>
      </c>
      <c r="F86" s="1941">
        <v>4000</v>
      </c>
      <c r="G86" s="1942"/>
      <c r="H86" s="1942"/>
      <c r="I86" s="1941">
        <f t="shared" si="13"/>
        <v>4000</v>
      </c>
      <c r="J86" s="2015">
        <v>150</v>
      </c>
      <c r="K86" s="1943"/>
      <c r="L86" s="1943"/>
      <c r="M86" s="1943"/>
      <c r="N86" s="1944" t="s">
        <v>2215</v>
      </c>
      <c r="Q86" s="1940"/>
    </row>
    <row r="87" spans="1:17" s="1945" customFormat="1" ht="15" customHeight="1">
      <c r="A87" s="1938" t="str">
        <f t="shared" si="14"/>
        <v>Lantai 1</v>
      </c>
      <c r="B87" s="1878">
        <f t="shared" si="15"/>
        <v>76</v>
      </c>
      <c r="C87" s="1939" t="str">
        <f t="shared" si="12"/>
        <v>Lantai 1 no. 76</v>
      </c>
      <c r="D87" s="1879" t="s">
        <v>134</v>
      </c>
      <c r="E87" s="1940">
        <v>1</v>
      </c>
      <c r="F87" s="1941">
        <v>5075</v>
      </c>
      <c r="G87" s="1942"/>
      <c r="H87" s="1942"/>
      <c r="I87" s="1941">
        <f t="shared" si="13"/>
        <v>5075</v>
      </c>
      <c r="J87" s="2015"/>
      <c r="K87" s="1943"/>
      <c r="L87" s="1943"/>
      <c r="M87" s="1943"/>
      <c r="N87" s="1944" t="s">
        <v>2215</v>
      </c>
      <c r="Q87" s="1940"/>
    </row>
    <row r="88" spans="1:17" s="1945" customFormat="1" ht="15" customHeight="1">
      <c r="A88" s="1938" t="str">
        <f t="shared" si="14"/>
        <v>Lantai 1</v>
      </c>
      <c r="B88" s="1878">
        <f t="shared" si="15"/>
        <v>77</v>
      </c>
      <c r="C88" s="1939" t="str">
        <f t="shared" si="12"/>
        <v>Lantai 1 no. 77</v>
      </c>
      <c r="D88" s="1879" t="s">
        <v>133</v>
      </c>
      <c r="E88" s="1940">
        <v>1</v>
      </c>
      <c r="F88" s="1941">
        <v>2540</v>
      </c>
      <c r="G88" s="1942"/>
      <c r="H88" s="1942"/>
      <c r="I88" s="1941">
        <f t="shared" si="13"/>
        <v>2540</v>
      </c>
      <c r="J88" s="2015">
        <v>150</v>
      </c>
      <c r="K88" s="1943"/>
      <c r="L88" s="1943"/>
      <c r="M88" s="1943"/>
      <c r="N88" s="1944" t="s">
        <v>2215</v>
      </c>
      <c r="Q88" s="1940"/>
    </row>
    <row r="89" spans="1:17" s="1945" customFormat="1" ht="15" customHeight="1">
      <c r="A89" s="1938" t="str">
        <f t="shared" si="14"/>
        <v>Lantai 1</v>
      </c>
      <c r="B89" s="1878">
        <f t="shared" si="15"/>
        <v>78</v>
      </c>
      <c r="C89" s="1939" t="str">
        <f t="shared" si="12"/>
        <v>Lantai 1 no. 78</v>
      </c>
      <c r="D89" s="1879" t="s">
        <v>134</v>
      </c>
      <c r="E89" s="1940">
        <v>1</v>
      </c>
      <c r="F89" s="1941">
        <v>7075</v>
      </c>
      <c r="G89" s="1942"/>
      <c r="H89" s="1942"/>
      <c r="I89" s="1941">
        <f t="shared" si="13"/>
        <v>7075</v>
      </c>
      <c r="J89" s="2015">
        <v>150</v>
      </c>
      <c r="K89" s="1943"/>
      <c r="L89" s="1943"/>
      <c r="M89" s="1943"/>
      <c r="N89" s="1944" t="s">
        <v>2215</v>
      </c>
      <c r="Q89" s="1940"/>
    </row>
    <row r="90" spans="1:17" s="1945" customFormat="1" ht="15" customHeight="1">
      <c r="A90" s="1938" t="str">
        <f t="shared" si="14"/>
        <v>Lantai 1</v>
      </c>
      <c r="B90" s="1878">
        <f t="shared" si="15"/>
        <v>79</v>
      </c>
      <c r="C90" s="1939" t="str">
        <f t="shared" si="12"/>
        <v>Lantai 1 no. 79</v>
      </c>
      <c r="D90" s="1879" t="s">
        <v>133</v>
      </c>
      <c r="E90" s="1940">
        <v>1</v>
      </c>
      <c r="F90" s="1941">
        <v>1130</v>
      </c>
      <c r="G90" s="1942"/>
      <c r="H90" s="1942"/>
      <c r="I90" s="1941">
        <f t="shared" si="13"/>
        <v>1130</v>
      </c>
      <c r="J90" s="2015">
        <v>150</v>
      </c>
      <c r="K90" s="1943"/>
      <c r="L90" s="1943"/>
      <c r="M90" s="1943"/>
      <c r="N90" s="1944" t="s">
        <v>2215</v>
      </c>
      <c r="Q90" s="1940"/>
    </row>
    <row r="91" spans="1:17" s="1945" customFormat="1" ht="15" customHeight="1">
      <c r="A91" s="1938" t="str">
        <f t="shared" si="14"/>
        <v>Lantai 1</v>
      </c>
      <c r="B91" s="1878">
        <f t="shared" si="15"/>
        <v>80</v>
      </c>
      <c r="C91" s="1939" t="str">
        <f t="shared" si="12"/>
        <v>Lantai 1 no. 80</v>
      </c>
      <c r="D91" s="1879" t="s">
        <v>132</v>
      </c>
      <c r="E91" s="1940">
        <v>1</v>
      </c>
      <c r="F91" s="1941">
        <v>3090</v>
      </c>
      <c r="G91" s="1942"/>
      <c r="H91" s="1942"/>
      <c r="I91" s="1941">
        <f t="shared" si="13"/>
        <v>3090</v>
      </c>
      <c r="J91" s="2015">
        <v>150</v>
      </c>
      <c r="K91" s="1943"/>
      <c r="L91" s="1943"/>
      <c r="M91" s="1943"/>
      <c r="N91" s="1944" t="s">
        <v>2215</v>
      </c>
      <c r="Q91" s="1940"/>
    </row>
    <row r="92" spans="1:17" s="1945" customFormat="1" ht="15" customHeight="1">
      <c r="A92" s="1938" t="str">
        <f t="shared" si="14"/>
        <v>Lantai 1</v>
      </c>
      <c r="B92" s="1878">
        <f t="shared" si="15"/>
        <v>81</v>
      </c>
      <c r="C92" s="1939" t="str">
        <f t="shared" si="12"/>
        <v>Lantai 1 no. 81</v>
      </c>
      <c r="D92" s="1879" t="s">
        <v>134</v>
      </c>
      <c r="E92" s="1940">
        <v>1</v>
      </c>
      <c r="F92" s="1941">
        <v>6030</v>
      </c>
      <c r="G92" s="1942"/>
      <c r="H92" s="1942"/>
      <c r="I92" s="1941">
        <f t="shared" si="13"/>
        <v>6030</v>
      </c>
      <c r="J92" s="2015">
        <v>150</v>
      </c>
      <c r="K92" s="1943"/>
      <c r="L92" s="1943"/>
      <c r="M92" s="1943"/>
      <c r="N92" s="1944" t="s">
        <v>2215</v>
      </c>
      <c r="Q92" s="1940"/>
    </row>
    <row r="93" spans="1:17" s="1945" customFormat="1" ht="15" customHeight="1">
      <c r="A93" s="1938" t="str">
        <f t="shared" si="14"/>
        <v>Lantai 1</v>
      </c>
      <c r="B93" s="1878">
        <f t="shared" si="15"/>
        <v>82</v>
      </c>
      <c r="C93" s="1939" t="str">
        <f t="shared" si="12"/>
        <v>Lantai 1 no. 82</v>
      </c>
      <c r="D93" s="1879" t="s">
        <v>134</v>
      </c>
      <c r="E93" s="1940">
        <v>1</v>
      </c>
      <c r="F93" s="1941">
        <v>6035</v>
      </c>
      <c r="G93" s="1942"/>
      <c r="H93" s="1942"/>
      <c r="I93" s="1941">
        <f t="shared" si="13"/>
        <v>6035</v>
      </c>
      <c r="J93" s="2015">
        <v>150</v>
      </c>
      <c r="K93" s="1943"/>
      <c r="L93" s="1943"/>
      <c r="M93" s="1943"/>
      <c r="N93" s="1944" t="s">
        <v>2215</v>
      </c>
      <c r="Q93" s="1940"/>
    </row>
    <row r="94" spans="1:17" s="1945" customFormat="1" ht="15" customHeight="1">
      <c r="A94" s="1938" t="str">
        <f t="shared" si="14"/>
        <v>Lantai 1</v>
      </c>
      <c r="B94" s="1878">
        <f t="shared" si="15"/>
        <v>83</v>
      </c>
      <c r="C94" s="1939" t="str">
        <f t="shared" si="12"/>
        <v>Lantai 1 no. 83</v>
      </c>
      <c r="D94" s="1879" t="s">
        <v>132</v>
      </c>
      <c r="E94" s="1940">
        <v>1</v>
      </c>
      <c r="F94" s="1941">
        <v>3090</v>
      </c>
      <c r="G94" s="1942"/>
      <c r="H94" s="1942"/>
      <c r="I94" s="1941">
        <f t="shared" si="13"/>
        <v>3090</v>
      </c>
      <c r="J94" s="2015">
        <v>150</v>
      </c>
      <c r="K94" s="1943"/>
      <c r="L94" s="1943"/>
      <c r="M94" s="1943"/>
      <c r="N94" s="1944" t="s">
        <v>2215</v>
      </c>
      <c r="Q94" s="1940"/>
    </row>
    <row r="95" spans="1:17" s="1945" customFormat="1" ht="15" customHeight="1">
      <c r="A95" s="1938" t="str">
        <f t="shared" si="14"/>
        <v>Lantai 1</v>
      </c>
      <c r="B95" s="1878">
        <f t="shared" si="15"/>
        <v>84</v>
      </c>
      <c r="C95" s="1939" t="str">
        <f t="shared" si="12"/>
        <v>Lantai 1 no. 84</v>
      </c>
      <c r="D95" s="1879" t="s">
        <v>134</v>
      </c>
      <c r="E95" s="1940">
        <v>1</v>
      </c>
      <c r="F95" s="1941">
        <v>6170</v>
      </c>
      <c r="G95" s="1942"/>
      <c r="H95" s="1942"/>
      <c r="I95" s="1941">
        <f t="shared" si="13"/>
        <v>6170</v>
      </c>
      <c r="J95" s="2015">
        <v>150</v>
      </c>
      <c r="K95" s="1943"/>
      <c r="L95" s="1943"/>
      <c r="M95" s="1943"/>
      <c r="N95" s="1944" t="s">
        <v>2215</v>
      </c>
      <c r="Q95" s="1940"/>
    </row>
    <row r="96" spans="1:17" s="1945" customFormat="1" ht="15" customHeight="1">
      <c r="A96" s="1938" t="str">
        <f t="shared" si="14"/>
        <v>Lantai 1</v>
      </c>
      <c r="B96" s="1878">
        <f t="shared" si="15"/>
        <v>85</v>
      </c>
      <c r="C96" s="1939" t="str">
        <f t="shared" si="12"/>
        <v>Lantai 1 no. 85</v>
      </c>
      <c r="D96" s="1879" t="s">
        <v>134</v>
      </c>
      <c r="E96" s="1940">
        <v>1</v>
      </c>
      <c r="F96" s="1941">
        <v>8435</v>
      </c>
      <c r="G96" s="1942"/>
      <c r="H96" s="1942"/>
      <c r="I96" s="1941">
        <f t="shared" si="13"/>
        <v>8435</v>
      </c>
      <c r="J96" s="2015">
        <v>150</v>
      </c>
      <c r="K96" s="1943"/>
      <c r="L96" s="1943"/>
      <c r="M96" s="1943"/>
      <c r="N96" s="1944" t="s">
        <v>2215</v>
      </c>
      <c r="Q96" s="1940"/>
    </row>
    <row r="97" spans="1:17" s="1910" customFormat="1" ht="15" customHeight="1">
      <c r="A97" s="1921"/>
      <c r="B97" s="1922"/>
      <c r="C97" s="1923"/>
      <c r="D97" s="1924"/>
      <c r="E97" s="1925"/>
      <c r="F97" s="636"/>
      <c r="G97" s="635"/>
      <c r="H97" s="635"/>
      <c r="I97" s="636"/>
      <c r="J97" s="637"/>
      <c r="K97" s="1926"/>
      <c r="L97" s="1926"/>
      <c r="M97" s="1926"/>
      <c r="N97" s="1927"/>
      <c r="Q97" s="1925"/>
    </row>
    <row r="98" spans="1:17" s="1910" customFormat="1" ht="15" customHeight="1">
      <c r="A98" s="1921" t="s">
        <v>136</v>
      </c>
      <c r="B98" s="1922">
        <v>1</v>
      </c>
      <c r="C98" s="1923" t="str">
        <f t="shared" ref="C98:C152" si="16">CONCATENATE(A98," no. ",B98)</f>
        <v>Lantai 2 no. 1</v>
      </c>
      <c r="D98" s="1924" t="s">
        <v>135</v>
      </c>
      <c r="E98" s="1925">
        <v>1</v>
      </c>
      <c r="F98" s="636">
        <v>4825</v>
      </c>
      <c r="G98" s="635"/>
      <c r="H98" s="635"/>
      <c r="I98" s="636">
        <f t="shared" ref="I98:I152" si="17">+F98-G98-H98</f>
        <v>4825</v>
      </c>
      <c r="J98" s="637">
        <v>150</v>
      </c>
      <c r="K98" s="1926"/>
      <c r="L98" s="1926"/>
      <c r="M98" s="1926"/>
      <c r="N98" s="1927"/>
      <c r="Q98" s="1925"/>
    </row>
    <row r="99" spans="1:17" s="1910" customFormat="1" ht="15" customHeight="1">
      <c r="A99" s="1921" t="str">
        <f t="shared" ref="A99:A152" si="18">A98</f>
        <v>Lantai 2</v>
      </c>
      <c r="B99" s="1922">
        <f t="shared" ref="B99:B152" si="19">B98+1</f>
        <v>2</v>
      </c>
      <c r="C99" s="1923" t="str">
        <f t="shared" si="16"/>
        <v>Lantai 2 no. 2</v>
      </c>
      <c r="D99" s="1924" t="s">
        <v>135</v>
      </c>
      <c r="E99" s="1925">
        <v>1</v>
      </c>
      <c r="F99" s="636">
        <v>4175</v>
      </c>
      <c r="G99" s="635"/>
      <c r="H99" s="635"/>
      <c r="I99" s="636">
        <f t="shared" si="17"/>
        <v>4175</v>
      </c>
      <c r="J99" s="637">
        <v>150</v>
      </c>
      <c r="K99" s="1926"/>
      <c r="L99" s="1926"/>
      <c r="M99" s="1926"/>
      <c r="N99" s="1927"/>
      <c r="Q99" s="1925"/>
    </row>
    <row r="100" spans="1:17" s="1910" customFormat="1" ht="15" customHeight="1">
      <c r="A100" s="1921" t="str">
        <f t="shared" si="18"/>
        <v>Lantai 2</v>
      </c>
      <c r="B100" s="1922">
        <f t="shared" si="19"/>
        <v>3</v>
      </c>
      <c r="C100" s="1923" t="str">
        <f t="shared" si="16"/>
        <v>Lantai 2 no. 3</v>
      </c>
      <c r="D100" s="1924" t="s">
        <v>2286</v>
      </c>
      <c r="E100" s="1925">
        <v>1</v>
      </c>
      <c r="F100" s="636">
        <v>11000</v>
      </c>
      <c r="G100" s="635"/>
      <c r="H100" s="635"/>
      <c r="I100" s="636">
        <f t="shared" si="17"/>
        <v>11000</v>
      </c>
      <c r="J100" s="637"/>
      <c r="K100" s="1926"/>
      <c r="L100" s="1926"/>
      <c r="M100" s="1926"/>
      <c r="N100" s="1927"/>
      <c r="Q100" s="1925"/>
    </row>
    <row r="101" spans="1:17" s="1910" customFormat="1" ht="15" customHeight="1">
      <c r="A101" s="1921" t="str">
        <f t="shared" si="18"/>
        <v>Lantai 2</v>
      </c>
      <c r="B101" s="1922">
        <f t="shared" si="19"/>
        <v>4</v>
      </c>
      <c r="C101" s="1923" t="str">
        <f t="shared" si="16"/>
        <v>Lantai 2 no. 4</v>
      </c>
      <c r="D101" s="1924" t="s">
        <v>134</v>
      </c>
      <c r="E101" s="1925">
        <v>1</v>
      </c>
      <c r="F101" s="636">
        <v>9075</v>
      </c>
      <c r="G101" s="635"/>
      <c r="H101" s="635"/>
      <c r="I101" s="636">
        <f t="shared" si="17"/>
        <v>9075</v>
      </c>
      <c r="J101" s="637">
        <v>150</v>
      </c>
      <c r="K101" s="1926"/>
      <c r="L101" s="1926"/>
      <c r="M101" s="1926"/>
      <c r="N101" s="1927"/>
      <c r="Q101" s="1925"/>
    </row>
    <row r="102" spans="1:17" s="1910" customFormat="1" ht="15" customHeight="1">
      <c r="A102" s="1921" t="str">
        <f t="shared" si="18"/>
        <v>Lantai 2</v>
      </c>
      <c r="B102" s="1922">
        <f t="shared" si="19"/>
        <v>5</v>
      </c>
      <c r="C102" s="1923" t="str">
        <f t="shared" si="16"/>
        <v>Lantai 2 no. 5</v>
      </c>
      <c r="D102" s="1924" t="s">
        <v>2289</v>
      </c>
      <c r="E102" s="1925">
        <v>1</v>
      </c>
      <c r="F102" s="636">
        <v>2475</v>
      </c>
      <c r="G102" s="635"/>
      <c r="H102" s="635"/>
      <c r="I102" s="636">
        <f t="shared" si="17"/>
        <v>2475</v>
      </c>
      <c r="J102" s="637">
        <v>150</v>
      </c>
      <c r="K102" s="1926"/>
      <c r="L102" s="1926"/>
      <c r="M102" s="1926"/>
      <c r="N102" s="1927"/>
      <c r="Q102" s="1925"/>
    </row>
    <row r="103" spans="1:17" s="1910" customFormat="1" ht="15" customHeight="1">
      <c r="A103" s="1921" t="str">
        <f t="shared" si="18"/>
        <v>Lantai 2</v>
      </c>
      <c r="B103" s="1922">
        <f t="shared" si="19"/>
        <v>6</v>
      </c>
      <c r="C103" s="1923" t="str">
        <f t="shared" si="16"/>
        <v>Lantai 2 no. 6</v>
      </c>
      <c r="D103" s="1924" t="s">
        <v>2291</v>
      </c>
      <c r="E103" s="1925">
        <v>1</v>
      </c>
      <c r="F103" s="636">
        <v>9000</v>
      </c>
      <c r="G103" s="635"/>
      <c r="H103" s="635"/>
      <c r="I103" s="636">
        <f t="shared" si="17"/>
        <v>9000</v>
      </c>
      <c r="J103" s="637">
        <v>150</v>
      </c>
      <c r="K103" s="1926"/>
      <c r="L103" s="1926"/>
      <c r="M103" s="1926"/>
      <c r="N103" s="1927"/>
      <c r="Q103" s="1925"/>
    </row>
    <row r="104" spans="1:17" s="1910" customFormat="1" ht="15" customHeight="1">
      <c r="A104" s="1921" t="str">
        <f t="shared" si="18"/>
        <v>Lantai 2</v>
      </c>
      <c r="B104" s="1922">
        <f t="shared" si="19"/>
        <v>7</v>
      </c>
      <c r="C104" s="1923" t="str">
        <f t="shared" si="16"/>
        <v>Lantai 2 no. 7</v>
      </c>
      <c r="D104" s="1924" t="s">
        <v>133</v>
      </c>
      <c r="E104" s="1925">
        <v>1</v>
      </c>
      <c r="F104" s="636">
        <v>2475</v>
      </c>
      <c r="G104" s="635"/>
      <c r="H104" s="635"/>
      <c r="I104" s="636">
        <f t="shared" si="17"/>
        <v>2475</v>
      </c>
      <c r="J104" s="637">
        <v>150</v>
      </c>
      <c r="K104" s="1926"/>
      <c r="L104" s="1926"/>
      <c r="M104" s="1926"/>
      <c r="N104" s="1927"/>
      <c r="Q104" s="1925"/>
    </row>
    <row r="105" spans="1:17" s="1910" customFormat="1" ht="15" customHeight="1">
      <c r="A105" s="1921" t="str">
        <f t="shared" si="18"/>
        <v>Lantai 2</v>
      </c>
      <c r="B105" s="1922">
        <f t="shared" si="19"/>
        <v>8</v>
      </c>
      <c r="C105" s="1923" t="str">
        <f t="shared" si="16"/>
        <v>Lantai 2 no. 8</v>
      </c>
      <c r="D105" s="1924" t="s">
        <v>134</v>
      </c>
      <c r="E105" s="1925">
        <v>1</v>
      </c>
      <c r="F105" s="636">
        <v>6075</v>
      </c>
      <c r="G105" s="635"/>
      <c r="H105" s="635"/>
      <c r="I105" s="636">
        <f t="shared" si="17"/>
        <v>6075</v>
      </c>
      <c r="J105" s="637"/>
      <c r="K105" s="1926"/>
      <c r="L105" s="1926"/>
      <c r="M105" s="1926"/>
      <c r="N105" s="1927"/>
      <c r="Q105" s="1925"/>
    </row>
    <row r="106" spans="1:17" s="1910" customFormat="1" ht="15" customHeight="1">
      <c r="A106" s="1921" t="str">
        <f t="shared" si="18"/>
        <v>Lantai 2</v>
      </c>
      <c r="B106" s="1922">
        <f t="shared" si="19"/>
        <v>9</v>
      </c>
      <c r="C106" s="1923" t="str">
        <f t="shared" si="16"/>
        <v>Lantai 2 no. 9</v>
      </c>
      <c r="D106" s="1924" t="s">
        <v>132</v>
      </c>
      <c r="E106" s="1925">
        <v>1</v>
      </c>
      <c r="F106" s="636">
        <v>4075</v>
      </c>
      <c r="G106" s="635"/>
      <c r="H106" s="635"/>
      <c r="I106" s="636">
        <f t="shared" si="17"/>
        <v>4075</v>
      </c>
      <c r="J106" s="637">
        <v>150</v>
      </c>
      <c r="K106" s="1926"/>
      <c r="L106" s="1926"/>
      <c r="M106" s="1926"/>
      <c r="N106" s="1927"/>
      <c r="Q106" s="1925"/>
    </row>
    <row r="107" spans="1:17" s="1910" customFormat="1" ht="15" customHeight="1">
      <c r="A107" s="1921" t="str">
        <f t="shared" si="18"/>
        <v>Lantai 2</v>
      </c>
      <c r="B107" s="1922">
        <f t="shared" si="19"/>
        <v>10</v>
      </c>
      <c r="C107" s="1923" t="str">
        <f t="shared" si="16"/>
        <v>Lantai 2 no. 10</v>
      </c>
      <c r="D107" s="1924" t="s">
        <v>135</v>
      </c>
      <c r="E107" s="1925">
        <v>1</v>
      </c>
      <c r="F107" s="636">
        <v>4000</v>
      </c>
      <c r="G107" s="635"/>
      <c r="H107" s="635"/>
      <c r="I107" s="636">
        <f t="shared" si="17"/>
        <v>4000</v>
      </c>
      <c r="J107" s="637">
        <v>150</v>
      </c>
      <c r="K107" s="1926"/>
      <c r="L107" s="1926"/>
      <c r="M107" s="1926"/>
      <c r="N107" s="1927"/>
      <c r="Q107" s="1925"/>
    </row>
    <row r="108" spans="1:17" s="1910" customFormat="1" ht="15" customHeight="1">
      <c r="A108" s="1921" t="str">
        <f t="shared" si="18"/>
        <v>Lantai 2</v>
      </c>
      <c r="B108" s="1922">
        <f t="shared" si="19"/>
        <v>11</v>
      </c>
      <c r="C108" s="1923" t="str">
        <f t="shared" si="16"/>
        <v>Lantai 2 no. 11</v>
      </c>
      <c r="D108" s="1924" t="s">
        <v>135</v>
      </c>
      <c r="E108" s="1925">
        <v>1</v>
      </c>
      <c r="F108" s="636">
        <v>5175</v>
      </c>
      <c r="G108" s="635"/>
      <c r="H108" s="635"/>
      <c r="I108" s="636">
        <f t="shared" si="17"/>
        <v>5175</v>
      </c>
      <c r="J108" s="637">
        <v>150</v>
      </c>
      <c r="K108" s="1926"/>
      <c r="L108" s="1926"/>
      <c r="M108" s="1926"/>
      <c r="N108" s="1927"/>
      <c r="Q108" s="1925"/>
    </row>
    <row r="109" spans="1:17" s="1910" customFormat="1" ht="15" customHeight="1">
      <c r="A109" s="1921" t="str">
        <f t="shared" si="18"/>
        <v>Lantai 2</v>
      </c>
      <c r="B109" s="1922">
        <f t="shared" si="19"/>
        <v>12</v>
      </c>
      <c r="C109" s="1923" t="str">
        <f t="shared" si="16"/>
        <v>Lantai 2 no. 12</v>
      </c>
      <c r="D109" s="1924" t="s">
        <v>135</v>
      </c>
      <c r="E109" s="1925">
        <v>1</v>
      </c>
      <c r="F109" s="636">
        <v>5900</v>
      </c>
      <c r="G109" s="635"/>
      <c r="H109" s="635"/>
      <c r="I109" s="636">
        <f t="shared" si="17"/>
        <v>5900</v>
      </c>
      <c r="J109" s="637">
        <v>150</v>
      </c>
      <c r="K109" s="1926"/>
      <c r="L109" s="1926"/>
      <c r="M109" s="1926"/>
      <c r="N109" s="1927"/>
      <c r="Q109" s="1925"/>
    </row>
    <row r="110" spans="1:17" s="1910" customFormat="1" ht="15" customHeight="1">
      <c r="A110" s="1921" t="str">
        <f t="shared" si="18"/>
        <v>Lantai 2</v>
      </c>
      <c r="B110" s="1922">
        <f t="shared" si="19"/>
        <v>13</v>
      </c>
      <c r="C110" s="1923" t="str">
        <f t="shared" si="16"/>
        <v>Lantai 2 no. 13</v>
      </c>
      <c r="D110" s="1924" t="s">
        <v>2288</v>
      </c>
      <c r="E110" s="1925">
        <v>1</v>
      </c>
      <c r="F110" s="636">
        <v>2040</v>
      </c>
      <c r="G110" s="635"/>
      <c r="H110" s="635"/>
      <c r="I110" s="636">
        <f t="shared" si="17"/>
        <v>2040</v>
      </c>
      <c r="J110" s="637">
        <v>150</v>
      </c>
      <c r="K110" s="1926"/>
      <c r="L110" s="1926"/>
      <c r="M110" s="1926"/>
      <c r="N110" s="1927"/>
      <c r="Q110" s="1925"/>
    </row>
    <row r="111" spans="1:17" s="1910" customFormat="1" ht="15" customHeight="1">
      <c r="A111" s="1921" t="str">
        <f t="shared" si="18"/>
        <v>Lantai 2</v>
      </c>
      <c r="B111" s="1922">
        <f t="shared" si="19"/>
        <v>14</v>
      </c>
      <c r="C111" s="1923" t="str">
        <f t="shared" si="16"/>
        <v>Lantai 2 no. 14</v>
      </c>
      <c r="D111" s="1924" t="s">
        <v>134</v>
      </c>
      <c r="E111" s="1925">
        <v>1</v>
      </c>
      <c r="F111" s="636">
        <v>4000</v>
      </c>
      <c r="G111" s="635"/>
      <c r="H111" s="635"/>
      <c r="I111" s="636">
        <f t="shared" si="17"/>
        <v>4000</v>
      </c>
      <c r="J111" s="637">
        <v>150</v>
      </c>
      <c r="K111" s="1926"/>
      <c r="L111" s="1926"/>
      <c r="M111" s="1926"/>
      <c r="N111" s="1927"/>
      <c r="Q111" s="1925"/>
    </row>
    <row r="112" spans="1:17" s="1910" customFormat="1" ht="15" customHeight="1">
      <c r="A112" s="1921" t="str">
        <f t="shared" si="18"/>
        <v>Lantai 2</v>
      </c>
      <c r="B112" s="1922">
        <f t="shared" si="19"/>
        <v>15</v>
      </c>
      <c r="C112" s="1923" t="str">
        <f t="shared" si="16"/>
        <v>Lantai 2 no. 15</v>
      </c>
      <c r="D112" s="1924" t="s">
        <v>134</v>
      </c>
      <c r="E112" s="1925">
        <v>1</v>
      </c>
      <c r="F112" s="636">
        <v>5000</v>
      </c>
      <c r="G112" s="635"/>
      <c r="H112" s="635"/>
      <c r="I112" s="636">
        <f t="shared" si="17"/>
        <v>5000</v>
      </c>
      <c r="J112" s="637">
        <v>150</v>
      </c>
      <c r="K112" s="1926"/>
      <c r="L112" s="1926"/>
      <c r="M112" s="1926"/>
      <c r="N112" s="1927"/>
      <c r="Q112" s="1925"/>
    </row>
    <row r="113" spans="1:17" s="1910" customFormat="1" ht="15" customHeight="1">
      <c r="A113" s="1921" t="str">
        <f t="shared" si="18"/>
        <v>Lantai 2</v>
      </c>
      <c r="B113" s="1922">
        <f t="shared" si="19"/>
        <v>16</v>
      </c>
      <c r="C113" s="1923" t="str">
        <f t="shared" si="16"/>
        <v>Lantai 2 no. 16</v>
      </c>
      <c r="D113" s="1924" t="s">
        <v>2291</v>
      </c>
      <c r="E113" s="1925">
        <v>1</v>
      </c>
      <c r="F113" s="636">
        <v>6075</v>
      </c>
      <c r="G113" s="635"/>
      <c r="H113" s="635"/>
      <c r="I113" s="636">
        <f t="shared" si="17"/>
        <v>6075</v>
      </c>
      <c r="J113" s="637">
        <v>150</v>
      </c>
      <c r="K113" s="1926"/>
      <c r="L113" s="1926"/>
      <c r="M113" s="1926"/>
      <c r="N113" s="1927"/>
      <c r="Q113" s="1925"/>
    </row>
    <row r="114" spans="1:17" s="1910" customFormat="1" ht="15" customHeight="1">
      <c r="A114" s="1921" t="str">
        <f t="shared" si="18"/>
        <v>Lantai 2</v>
      </c>
      <c r="B114" s="1922">
        <f t="shared" si="19"/>
        <v>17</v>
      </c>
      <c r="C114" s="1923" t="str">
        <f t="shared" si="16"/>
        <v>Lantai 2 no. 17</v>
      </c>
      <c r="D114" s="1924" t="s">
        <v>133</v>
      </c>
      <c r="E114" s="1925">
        <v>1</v>
      </c>
      <c r="F114" s="636">
        <v>4065</v>
      </c>
      <c r="G114" s="635"/>
      <c r="H114" s="635"/>
      <c r="I114" s="636">
        <f t="shared" si="17"/>
        <v>4065</v>
      </c>
      <c r="J114" s="637">
        <v>150</v>
      </c>
      <c r="K114" s="1926"/>
      <c r="L114" s="1926"/>
      <c r="M114" s="1926"/>
      <c r="N114" s="1927"/>
      <c r="Q114" s="1925"/>
    </row>
    <row r="115" spans="1:17" s="1910" customFormat="1" ht="15" customHeight="1">
      <c r="A115" s="1921" t="str">
        <f t="shared" si="18"/>
        <v>Lantai 2</v>
      </c>
      <c r="B115" s="1922">
        <f t="shared" si="19"/>
        <v>18</v>
      </c>
      <c r="C115" s="1923" t="str">
        <f t="shared" si="16"/>
        <v>Lantai 2 no. 18</v>
      </c>
      <c r="D115" s="1924" t="s">
        <v>132</v>
      </c>
      <c r="E115" s="1925">
        <v>1</v>
      </c>
      <c r="F115" s="636">
        <v>1855</v>
      </c>
      <c r="G115" s="635"/>
      <c r="H115" s="635"/>
      <c r="I115" s="636">
        <f t="shared" si="17"/>
        <v>1855</v>
      </c>
      <c r="J115" s="637"/>
      <c r="K115" s="1926"/>
      <c r="L115" s="1926"/>
      <c r="M115" s="1926"/>
      <c r="N115" s="1927"/>
      <c r="Q115" s="1925"/>
    </row>
    <row r="116" spans="1:17" s="1910" customFormat="1" ht="15" customHeight="1">
      <c r="A116" s="1921" t="str">
        <f t="shared" si="18"/>
        <v>Lantai 2</v>
      </c>
      <c r="B116" s="1922">
        <f t="shared" si="19"/>
        <v>19</v>
      </c>
      <c r="C116" s="1923" t="str">
        <f t="shared" si="16"/>
        <v>Lantai 2 no. 19</v>
      </c>
      <c r="D116" s="1924" t="s">
        <v>2288</v>
      </c>
      <c r="E116" s="1925">
        <v>1</v>
      </c>
      <c r="F116" s="636">
        <v>2075</v>
      </c>
      <c r="G116" s="635"/>
      <c r="H116" s="635"/>
      <c r="I116" s="636">
        <f t="shared" si="17"/>
        <v>2075</v>
      </c>
      <c r="J116" s="637">
        <v>150</v>
      </c>
      <c r="K116" s="1926"/>
      <c r="L116" s="1926"/>
      <c r="M116" s="1926"/>
      <c r="N116" s="1927"/>
      <c r="Q116" s="1925"/>
    </row>
    <row r="117" spans="1:17" s="1910" customFormat="1" ht="15" customHeight="1">
      <c r="A117" s="1921" t="str">
        <f t="shared" si="18"/>
        <v>Lantai 2</v>
      </c>
      <c r="B117" s="1922">
        <f t="shared" si="19"/>
        <v>20</v>
      </c>
      <c r="C117" s="1923" t="str">
        <f t="shared" si="16"/>
        <v>Lantai 2 no. 20</v>
      </c>
      <c r="D117" s="1924" t="s">
        <v>133</v>
      </c>
      <c r="E117" s="1925">
        <v>1</v>
      </c>
      <c r="F117" s="636">
        <v>3010</v>
      </c>
      <c r="G117" s="635"/>
      <c r="H117" s="635"/>
      <c r="I117" s="636">
        <f t="shared" si="17"/>
        <v>3010</v>
      </c>
      <c r="J117" s="637">
        <v>150</v>
      </c>
      <c r="K117" s="1926"/>
      <c r="L117" s="1926"/>
      <c r="M117" s="1926"/>
      <c r="N117" s="1927"/>
      <c r="Q117" s="1925"/>
    </row>
    <row r="118" spans="1:17" s="1910" customFormat="1" ht="15" customHeight="1">
      <c r="A118" s="1921" t="str">
        <f t="shared" si="18"/>
        <v>Lantai 2</v>
      </c>
      <c r="B118" s="1922">
        <f t="shared" si="19"/>
        <v>21</v>
      </c>
      <c r="C118" s="1923" t="str">
        <f t="shared" si="16"/>
        <v>Lantai 2 no. 21</v>
      </c>
      <c r="D118" s="1924" t="s">
        <v>134</v>
      </c>
      <c r="E118" s="1925">
        <v>1</v>
      </c>
      <c r="F118" s="636">
        <v>4075</v>
      </c>
      <c r="G118" s="635"/>
      <c r="H118" s="635"/>
      <c r="I118" s="636">
        <f t="shared" si="17"/>
        <v>4075</v>
      </c>
      <c r="J118" s="637">
        <v>150</v>
      </c>
      <c r="K118" s="1926"/>
      <c r="L118" s="1926"/>
      <c r="M118" s="1926"/>
      <c r="N118" s="1927"/>
      <c r="Q118" s="1925"/>
    </row>
    <row r="119" spans="1:17" s="1910" customFormat="1" ht="15" customHeight="1">
      <c r="A119" s="1921" t="str">
        <f t="shared" si="18"/>
        <v>Lantai 2</v>
      </c>
      <c r="B119" s="1922">
        <f t="shared" si="19"/>
        <v>22</v>
      </c>
      <c r="C119" s="1923" t="str">
        <f t="shared" si="16"/>
        <v>Lantai 2 no. 22</v>
      </c>
      <c r="D119" s="1924" t="s">
        <v>132</v>
      </c>
      <c r="E119" s="1925">
        <v>1</v>
      </c>
      <c r="F119" s="636">
        <v>1760</v>
      </c>
      <c r="G119" s="635"/>
      <c r="H119" s="635"/>
      <c r="I119" s="636">
        <f t="shared" si="17"/>
        <v>1760</v>
      </c>
      <c r="J119" s="637"/>
      <c r="K119" s="1926"/>
      <c r="L119" s="1926"/>
      <c r="M119" s="1926"/>
      <c r="N119" s="1927"/>
      <c r="Q119" s="1925"/>
    </row>
    <row r="120" spans="1:17" s="1910" customFormat="1" ht="15" customHeight="1">
      <c r="A120" s="1921" t="str">
        <f t="shared" si="18"/>
        <v>Lantai 2</v>
      </c>
      <c r="B120" s="1922">
        <f t="shared" si="19"/>
        <v>23</v>
      </c>
      <c r="C120" s="1923" t="str">
        <f t="shared" si="16"/>
        <v>Lantai 2 no. 23</v>
      </c>
      <c r="D120" s="1924" t="s">
        <v>2289</v>
      </c>
      <c r="E120" s="1925">
        <v>1</v>
      </c>
      <c r="F120" s="636">
        <v>3010</v>
      </c>
      <c r="G120" s="635"/>
      <c r="H120" s="635"/>
      <c r="I120" s="636">
        <f t="shared" si="17"/>
        <v>3010</v>
      </c>
      <c r="J120" s="637">
        <v>150</v>
      </c>
      <c r="K120" s="1926"/>
      <c r="L120" s="1926"/>
      <c r="M120" s="1926"/>
      <c r="N120" s="1927"/>
      <c r="Q120" s="1925"/>
    </row>
    <row r="121" spans="1:17" s="1910" customFormat="1" ht="15" customHeight="1">
      <c r="A121" s="1921" t="str">
        <f t="shared" si="18"/>
        <v>Lantai 2</v>
      </c>
      <c r="B121" s="1922">
        <f t="shared" si="19"/>
        <v>24</v>
      </c>
      <c r="C121" s="1923" t="str">
        <f t="shared" si="16"/>
        <v>Lantai 2 no. 24</v>
      </c>
      <c r="D121" s="1924" t="s">
        <v>132</v>
      </c>
      <c r="E121" s="1925">
        <v>1</v>
      </c>
      <c r="F121" s="636">
        <v>2800</v>
      </c>
      <c r="G121" s="635"/>
      <c r="H121" s="635"/>
      <c r="I121" s="636">
        <f t="shared" si="17"/>
        <v>2800</v>
      </c>
      <c r="J121" s="637">
        <v>150</v>
      </c>
      <c r="K121" s="1926"/>
      <c r="L121" s="1926"/>
      <c r="M121" s="1926"/>
      <c r="N121" s="1927"/>
      <c r="Q121" s="1925"/>
    </row>
    <row r="122" spans="1:17" s="1910" customFormat="1" ht="15" customHeight="1">
      <c r="A122" s="1921" t="str">
        <f t="shared" si="18"/>
        <v>Lantai 2</v>
      </c>
      <c r="B122" s="1922">
        <f t="shared" si="19"/>
        <v>25</v>
      </c>
      <c r="C122" s="1923" t="str">
        <f t="shared" si="16"/>
        <v>Lantai 2 no. 25</v>
      </c>
      <c r="D122" s="1924" t="s">
        <v>132</v>
      </c>
      <c r="E122" s="1925">
        <v>1</v>
      </c>
      <c r="F122" s="636">
        <v>5150</v>
      </c>
      <c r="G122" s="635"/>
      <c r="H122" s="635"/>
      <c r="I122" s="636">
        <f t="shared" si="17"/>
        <v>5150</v>
      </c>
      <c r="J122" s="637"/>
      <c r="K122" s="1926"/>
      <c r="L122" s="1926"/>
      <c r="M122" s="1926"/>
      <c r="N122" s="1927"/>
      <c r="Q122" s="1925"/>
    </row>
    <row r="123" spans="1:17" s="1910" customFormat="1" ht="15" customHeight="1">
      <c r="A123" s="1921" t="str">
        <f t="shared" si="18"/>
        <v>Lantai 2</v>
      </c>
      <c r="B123" s="1922">
        <f t="shared" si="19"/>
        <v>26</v>
      </c>
      <c r="C123" s="1923" t="str">
        <f t="shared" si="16"/>
        <v>Lantai 2 no. 26</v>
      </c>
      <c r="D123" s="1924" t="s">
        <v>135</v>
      </c>
      <c r="E123" s="1925">
        <v>1</v>
      </c>
      <c r="F123" s="636">
        <v>6150</v>
      </c>
      <c r="G123" s="635"/>
      <c r="H123" s="635"/>
      <c r="I123" s="636">
        <f t="shared" si="17"/>
        <v>6150</v>
      </c>
      <c r="J123" s="637">
        <v>150</v>
      </c>
      <c r="K123" s="1926"/>
      <c r="L123" s="1926"/>
      <c r="M123" s="1926"/>
      <c r="N123" s="1927"/>
      <c r="Q123" s="1925"/>
    </row>
    <row r="124" spans="1:17" s="1910" customFormat="1" ht="15" customHeight="1">
      <c r="A124" s="1921" t="str">
        <f t="shared" si="18"/>
        <v>Lantai 2</v>
      </c>
      <c r="B124" s="1922">
        <f t="shared" si="19"/>
        <v>27</v>
      </c>
      <c r="C124" s="1923" t="str">
        <f t="shared" si="16"/>
        <v>Lantai 2 no. 27</v>
      </c>
      <c r="D124" s="1924" t="s">
        <v>132</v>
      </c>
      <c r="E124" s="1925">
        <v>1</v>
      </c>
      <c r="F124" s="636">
        <v>5050</v>
      </c>
      <c r="G124" s="635"/>
      <c r="H124" s="635"/>
      <c r="I124" s="636">
        <f t="shared" si="17"/>
        <v>5050</v>
      </c>
      <c r="J124" s="637">
        <v>150</v>
      </c>
      <c r="K124" s="1926"/>
      <c r="L124" s="1926"/>
      <c r="M124" s="1926"/>
      <c r="N124" s="1927"/>
      <c r="Q124" s="1925"/>
    </row>
    <row r="125" spans="1:17" s="1910" customFormat="1" ht="15" customHeight="1">
      <c r="A125" s="1921" t="str">
        <f t="shared" si="18"/>
        <v>Lantai 2</v>
      </c>
      <c r="B125" s="1922">
        <f t="shared" si="19"/>
        <v>28</v>
      </c>
      <c r="C125" s="1923" t="str">
        <f t="shared" si="16"/>
        <v>Lantai 2 no. 28</v>
      </c>
      <c r="D125" s="1924" t="s">
        <v>132</v>
      </c>
      <c r="E125" s="1925">
        <v>1</v>
      </c>
      <c r="F125" s="636">
        <v>5050</v>
      </c>
      <c r="G125" s="635"/>
      <c r="H125" s="635"/>
      <c r="I125" s="636">
        <f t="shared" si="17"/>
        <v>5050</v>
      </c>
      <c r="J125" s="637">
        <v>150</v>
      </c>
      <c r="K125" s="1926"/>
      <c r="L125" s="1926"/>
      <c r="M125" s="1926"/>
      <c r="N125" s="1927"/>
      <c r="Q125" s="1925"/>
    </row>
    <row r="126" spans="1:17" s="1910" customFormat="1" ht="15" customHeight="1">
      <c r="A126" s="1921" t="str">
        <f t="shared" si="18"/>
        <v>Lantai 2</v>
      </c>
      <c r="B126" s="1922">
        <f t="shared" si="19"/>
        <v>29</v>
      </c>
      <c r="C126" s="1923" t="str">
        <f t="shared" si="16"/>
        <v>Lantai 2 no. 29</v>
      </c>
      <c r="D126" s="1924" t="s">
        <v>2288</v>
      </c>
      <c r="E126" s="1925">
        <v>1</v>
      </c>
      <c r="F126" s="636">
        <v>3075</v>
      </c>
      <c r="G126" s="635"/>
      <c r="H126" s="635"/>
      <c r="I126" s="636">
        <f t="shared" si="17"/>
        <v>3075</v>
      </c>
      <c r="J126" s="637">
        <v>150</v>
      </c>
      <c r="K126" s="1926"/>
      <c r="L126" s="1926"/>
      <c r="M126" s="1926"/>
      <c r="N126" s="1927"/>
      <c r="Q126" s="1925"/>
    </row>
    <row r="127" spans="1:17" s="1910" customFormat="1" ht="15" customHeight="1">
      <c r="A127" s="1921" t="str">
        <f t="shared" si="18"/>
        <v>Lantai 2</v>
      </c>
      <c r="B127" s="1922">
        <f t="shared" si="19"/>
        <v>30</v>
      </c>
      <c r="C127" s="1923" t="str">
        <f t="shared" si="16"/>
        <v>Lantai 2 no. 30</v>
      </c>
      <c r="D127" s="1924" t="s">
        <v>2291</v>
      </c>
      <c r="E127" s="1925">
        <v>1</v>
      </c>
      <c r="F127" s="636">
        <v>5585</v>
      </c>
      <c r="G127" s="635"/>
      <c r="H127" s="635"/>
      <c r="I127" s="636">
        <f t="shared" si="17"/>
        <v>5585</v>
      </c>
      <c r="J127" s="637">
        <v>150</v>
      </c>
      <c r="K127" s="1926"/>
      <c r="L127" s="1926"/>
      <c r="M127" s="1926"/>
      <c r="N127" s="1927"/>
      <c r="Q127" s="1925"/>
    </row>
    <row r="128" spans="1:17" s="1910" customFormat="1" ht="15" customHeight="1">
      <c r="A128" s="1921" t="str">
        <f t="shared" si="18"/>
        <v>Lantai 2</v>
      </c>
      <c r="B128" s="1922">
        <f t="shared" si="19"/>
        <v>31</v>
      </c>
      <c r="C128" s="1923" t="str">
        <f t="shared" si="16"/>
        <v>Lantai 2 no. 31</v>
      </c>
      <c r="D128" s="1924" t="s">
        <v>2288</v>
      </c>
      <c r="E128" s="1925">
        <v>1</v>
      </c>
      <c r="F128" s="636">
        <v>2650</v>
      </c>
      <c r="G128" s="635"/>
      <c r="H128" s="635"/>
      <c r="I128" s="636">
        <f t="shared" si="17"/>
        <v>2650</v>
      </c>
      <c r="J128" s="637">
        <v>150</v>
      </c>
      <c r="K128" s="1926"/>
      <c r="L128" s="1926"/>
      <c r="M128" s="1926"/>
      <c r="N128" s="1927"/>
      <c r="Q128" s="1925"/>
    </row>
    <row r="129" spans="1:17" s="1910" customFormat="1" ht="15" customHeight="1">
      <c r="A129" s="1921" t="str">
        <f t="shared" si="18"/>
        <v>Lantai 2</v>
      </c>
      <c r="B129" s="1922">
        <f t="shared" si="19"/>
        <v>32</v>
      </c>
      <c r="C129" s="1923" t="str">
        <f t="shared" si="16"/>
        <v>Lantai 2 no. 32</v>
      </c>
      <c r="D129" s="1924" t="s">
        <v>2291</v>
      </c>
      <c r="E129" s="1925">
        <v>1</v>
      </c>
      <c r="F129" s="636">
        <v>5325</v>
      </c>
      <c r="G129" s="635"/>
      <c r="H129" s="635"/>
      <c r="I129" s="636">
        <f t="shared" si="17"/>
        <v>5325</v>
      </c>
      <c r="J129" s="637">
        <v>150</v>
      </c>
      <c r="K129" s="1926"/>
      <c r="L129" s="1926"/>
      <c r="M129" s="1926"/>
      <c r="N129" s="1927"/>
      <c r="Q129" s="1925"/>
    </row>
    <row r="130" spans="1:17" s="1910" customFormat="1" ht="15" customHeight="1">
      <c r="A130" s="1921" t="str">
        <f t="shared" si="18"/>
        <v>Lantai 2</v>
      </c>
      <c r="B130" s="1922">
        <f t="shared" si="19"/>
        <v>33</v>
      </c>
      <c r="C130" s="1923" t="str">
        <f t="shared" si="16"/>
        <v>Lantai 2 no. 33</v>
      </c>
      <c r="D130" s="1924" t="s">
        <v>132</v>
      </c>
      <c r="E130" s="1925">
        <v>1</v>
      </c>
      <c r="F130" s="636">
        <v>3645</v>
      </c>
      <c r="G130" s="635"/>
      <c r="H130" s="635"/>
      <c r="I130" s="636">
        <f t="shared" si="17"/>
        <v>3645</v>
      </c>
      <c r="J130" s="637">
        <v>150</v>
      </c>
      <c r="K130" s="1926"/>
      <c r="L130" s="1926"/>
      <c r="M130" s="1926"/>
      <c r="N130" s="1927"/>
      <c r="Q130" s="1925"/>
    </row>
    <row r="131" spans="1:17" s="1910" customFormat="1" ht="15" customHeight="1">
      <c r="A131" s="1921" t="str">
        <f t="shared" si="18"/>
        <v>Lantai 2</v>
      </c>
      <c r="B131" s="1922">
        <f t="shared" si="19"/>
        <v>34</v>
      </c>
      <c r="C131" s="1923" t="str">
        <f t="shared" si="16"/>
        <v>Lantai 2 no. 34</v>
      </c>
      <c r="D131" s="1924" t="s">
        <v>132</v>
      </c>
      <c r="E131" s="1925">
        <v>1</v>
      </c>
      <c r="F131" s="636">
        <v>3965</v>
      </c>
      <c r="G131" s="635"/>
      <c r="H131" s="635"/>
      <c r="I131" s="636">
        <f t="shared" si="17"/>
        <v>3965</v>
      </c>
      <c r="J131" s="637">
        <v>150</v>
      </c>
      <c r="K131" s="1926"/>
      <c r="L131" s="1926"/>
      <c r="M131" s="1926"/>
      <c r="N131" s="1927"/>
      <c r="Q131" s="1925"/>
    </row>
    <row r="132" spans="1:17" s="1910" customFormat="1" ht="15" customHeight="1">
      <c r="A132" s="1921" t="str">
        <f t="shared" si="18"/>
        <v>Lantai 2</v>
      </c>
      <c r="B132" s="1922">
        <f t="shared" si="19"/>
        <v>35</v>
      </c>
      <c r="C132" s="1923" t="str">
        <f t="shared" si="16"/>
        <v>Lantai 2 no. 35</v>
      </c>
      <c r="D132" s="1924" t="s">
        <v>134</v>
      </c>
      <c r="E132" s="1925">
        <v>1</v>
      </c>
      <c r="F132" s="636">
        <v>4075</v>
      </c>
      <c r="G132" s="635"/>
      <c r="H132" s="635"/>
      <c r="I132" s="636">
        <f t="shared" si="17"/>
        <v>4075</v>
      </c>
      <c r="J132" s="637">
        <v>150</v>
      </c>
      <c r="K132" s="1926"/>
      <c r="L132" s="1926"/>
      <c r="M132" s="1926"/>
      <c r="N132" s="1927"/>
      <c r="Q132" s="1925"/>
    </row>
    <row r="133" spans="1:17" s="1910" customFormat="1" ht="15" customHeight="1">
      <c r="A133" s="1921" t="str">
        <f t="shared" si="18"/>
        <v>Lantai 2</v>
      </c>
      <c r="B133" s="1922">
        <f t="shared" si="19"/>
        <v>36</v>
      </c>
      <c r="C133" s="1923" t="str">
        <f t="shared" si="16"/>
        <v>Lantai 2 no. 36</v>
      </c>
      <c r="D133" s="1924" t="s">
        <v>132</v>
      </c>
      <c r="E133" s="1925">
        <v>1</v>
      </c>
      <c r="F133" s="636">
        <v>4000</v>
      </c>
      <c r="G133" s="635"/>
      <c r="H133" s="635"/>
      <c r="I133" s="636">
        <f t="shared" si="17"/>
        <v>4000</v>
      </c>
      <c r="J133" s="637">
        <v>150</v>
      </c>
      <c r="K133" s="1926"/>
      <c r="L133" s="1926"/>
      <c r="M133" s="1926"/>
      <c r="N133" s="1927"/>
      <c r="Q133" s="1925"/>
    </row>
    <row r="134" spans="1:17" s="1910" customFormat="1" ht="15" customHeight="1">
      <c r="A134" s="1921" t="str">
        <f t="shared" si="18"/>
        <v>Lantai 2</v>
      </c>
      <c r="B134" s="1922">
        <f t="shared" si="19"/>
        <v>37</v>
      </c>
      <c r="C134" s="1923" t="str">
        <f t="shared" si="16"/>
        <v>Lantai 2 no. 37</v>
      </c>
      <c r="D134" s="1924" t="s">
        <v>133</v>
      </c>
      <c r="E134" s="1925">
        <v>1</v>
      </c>
      <c r="F134" s="636">
        <v>11275</v>
      </c>
      <c r="G134" s="635"/>
      <c r="H134" s="635"/>
      <c r="I134" s="636">
        <f t="shared" si="17"/>
        <v>11275</v>
      </c>
      <c r="J134" s="637">
        <v>150</v>
      </c>
      <c r="K134" s="1926"/>
      <c r="L134" s="1926"/>
      <c r="M134" s="1926"/>
      <c r="N134" s="1927"/>
      <c r="Q134" s="1925"/>
    </row>
    <row r="135" spans="1:17" s="1910" customFormat="1" ht="15" customHeight="1">
      <c r="A135" s="1921" t="str">
        <f t="shared" si="18"/>
        <v>Lantai 2</v>
      </c>
      <c r="B135" s="1922">
        <f t="shared" si="19"/>
        <v>38</v>
      </c>
      <c r="C135" s="1923" t="str">
        <f t="shared" si="16"/>
        <v>Lantai 2 no. 38</v>
      </c>
      <c r="D135" s="1924" t="s">
        <v>2291</v>
      </c>
      <c r="E135" s="1925">
        <v>1</v>
      </c>
      <c r="F135" s="636">
        <v>5950</v>
      </c>
      <c r="G135" s="635"/>
      <c r="H135" s="635"/>
      <c r="I135" s="636">
        <f t="shared" si="17"/>
        <v>5950</v>
      </c>
      <c r="J135" s="637">
        <v>150</v>
      </c>
      <c r="K135" s="1926"/>
      <c r="L135" s="1926"/>
      <c r="M135" s="1926"/>
      <c r="N135" s="1927"/>
      <c r="Q135" s="1925"/>
    </row>
    <row r="136" spans="1:17" s="1910" customFormat="1" ht="15" customHeight="1">
      <c r="A136" s="1921" t="str">
        <f t="shared" si="18"/>
        <v>Lantai 2</v>
      </c>
      <c r="B136" s="1922">
        <f t="shared" si="19"/>
        <v>39</v>
      </c>
      <c r="C136" s="1923" t="str">
        <f t="shared" si="16"/>
        <v>Lantai 2 no. 39</v>
      </c>
      <c r="D136" s="1924" t="s">
        <v>134</v>
      </c>
      <c r="E136" s="1925">
        <v>1</v>
      </c>
      <c r="F136" s="636">
        <v>4250</v>
      </c>
      <c r="G136" s="635"/>
      <c r="H136" s="635"/>
      <c r="I136" s="636">
        <f t="shared" si="17"/>
        <v>4250</v>
      </c>
      <c r="J136" s="637"/>
      <c r="K136" s="1926"/>
      <c r="L136" s="1926"/>
      <c r="M136" s="1926"/>
      <c r="N136" s="1927"/>
      <c r="Q136" s="1925"/>
    </row>
    <row r="137" spans="1:17" s="1910" customFormat="1" ht="15" customHeight="1">
      <c r="A137" s="1921" t="str">
        <f t="shared" si="18"/>
        <v>Lantai 2</v>
      </c>
      <c r="B137" s="1922">
        <f t="shared" si="19"/>
        <v>40</v>
      </c>
      <c r="C137" s="1923" t="str">
        <f t="shared" si="16"/>
        <v>Lantai 2 no. 40</v>
      </c>
      <c r="D137" s="1924" t="s">
        <v>134</v>
      </c>
      <c r="E137" s="1925">
        <v>1</v>
      </c>
      <c r="F137" s="636">
        <v>1600</v>
      </c>
      <c r="G137" s="635"/>
      <c r="H137" s="635"/>
      <c r="I137" s="636">
        <f t="shared" si="17"/>
        <v>1600</v>
      </c>
      <c r="J137" s="637">
        <v>150</v>
      </c>
      <c r="K137" s="1926"/>
      <c r="L137" s="1926"/>
      <c r="M137" s="1926"/>
      <c r="N137" s="1927"/>
      <c r="Q137" s="1925"/>
    </row>
    <row r="138" spans="1:17" s="1910" customFormat="1" ht="15" customHeight="1">
      <c r="A138" s="1921" t="str">
        <f t="shared" si="18"/>
        <v>Lantai 2</v>
      </c>
      <c r="B138" s="1922">
        <f t="shared" si="19"/>
        <v>41</v>
      </c>
      <c r="C138" s="1923" t="str">
        <f t="shared" si="16"/>
        <v>Lantai 2 no. 41</v>
      </c>
      <c r="D138" s="1924" t="s">
        <v>134</v>
      </c>
      <c r="E138" s="1925">
        <v>1</v>
      </c>
      <c r="F138" s="636">
        <v>22000</v>
      </c>
      <c r="G138" s="635"/>
      <c r="H138" s="635"/>
      <c r="I138" s="636">
        <f t="shared" si="17"/>
        <v>22000</v>
      </c>
      <c r="J138" s="637">
        <v>100</v>
      </c>
      <c r="K138" s="1926"/>
      <c r="L138" s="1926"/>
      <c r="M138" s="1926"/>
      <c r="N138" s="1927"/>
      <c r="Q138" s="1925"/>
    </row>
    <row r="139" spans="1:17" s="1910" customFormat="1" ht="15" customHeight="1">
      <c r="A139" s="1921" t="str">
        <f t="shared" si="18"/>
        <v>Lantai 2</v>
      </c>
      <c r="B139" s="1922">
        <f t="shared" si="19"/>
        <v>42</v>
      </c>
      <c r="C139" s="1923" t="str">
        <f t="shared" si="16"/>
        <v>Lantai 2 no. 42</v>
      </c>
      <c r="D139" s="1924" t="s">
        <v>2289</v>
      </c>
      <c r="E139" s="1925">
        <v>1</v>
      </c>
      <c r="F139" s="636">
        <v>3090</v>
      </c>
      <c r="G139" s="635"/>
      <c r="H139" s="635"/>
      <c r="I139" s="636">
        <f t="shared" si="17"/>
        <v>3090</v>
      </c>
      <c r="J139" s="637">
        <v>150</v>
      </c>
      <c r="K139" s="1926"/>
      <c r="L139" s="1926"/>
      <c r="M139" s="1926"/>
      <c r="N139" s="1927"/>
      <c r="Q139" s="1925"/>
    </row>
    <row r="140" spans="1:17" s="1910" customFormat="1" ht="15" customHeight="1">
      <c r="A140" s="1921" t="str">
        <f t="shared" si="18"/>
        <v>Lantai 2</v>
      </c>
      <c r="B140" s="1922">
        <f t="shared" si="19"/>
        <v>43</v>
      </c>
      <c r="C140" s="1923" t="str">
        <f t="shared" si="16"/>
        <v>Lantai 2 no. 43</v>
      </c>
      <c r="D140" s="1924" t="s">
        <v>2289</v>
      </c>
      <c r="E140" s="1925">
        <v>1</v>
      </c>
      <c r="F140" s="636">
        <v>3090</v>
      </c>
      <c r="G140" s="635"/>
      <c r="H140" s="635"/>
      <c r="I140" s="636">
        <f t="shared" si="17"/>
        <v>3090</v>
      </c>
      <c r="J140" s="637">
        <v>150</v>
      </c>
      <c r="K140" s="1926"/>
      <c r="L140" s="1926"/>
      <c r="M140" s="1926"/>
      <c r="N140" s="1927"/>
      <c r="Q140" s="1925"/>
    </row>
    <row r="141" spans="1:17" s="1910" customFormat="1" ht="15" customHeight="1">
      <c r="A141" s="1921" t="str">
        <f t="shared" si="18"/>
        <v>Lantai 2</v>
      </c>
      <c r="B141" s="1922">
        <f t="shared" si="19"/>
        <v>44</v>
      </c>
      <c r="C141" s="1923" t="str">
        <f t="shared" si="16"/>
        <v>Lantai 2 no. 44</v>
      </c>
      <c r="D141" s="1924" t="s">
        <v>134</v>
      </c>
      <c r="E141" s="1925">
        <v>1</v>
      </c>
      <c r="F141" s="636">
        <v>6080</v>
      </c>
      <c r="G141" s="635"/>
      <c r="H141" s="635"/>
      <c r="I141" s="636">
        <f t="shared" si="17"/>
        <v>6080</v>
      </c>
      <c r="J141" s="637">
        <v>150</v>
      </c>
      <c r="K141" s="1926"/>
      <c r="L141" s="1926"/>
      <c r="M141" s="1926"/>
      <c r="N141" s="1927"/>
      <c r="Q141" s="1925"/>
    </row>
    <row r="142" spans="1:17" s="1910" customFormat="1" ht="15" customHeight="1">
      <c r="A142" s="1921" t="str">
        <f t="shared" si="18"/>
        <v>Lantai 2</v>
      </c>
      <c r="B142" s="1922">
        <f t="shared" si="19"/>
        <v>45</v>
      </c>
      <c r="C142" s="1923" t="str">
        <f t="shared" si="16"/>
        <v>Lantai 2 no. 45</v>
      </c>
      <c r="D142" s="1924" t="s">
        <v>132</v>
      </c>
      <c r="E142" s="1925">
        <v>1</v>
      </c>
      <c r="F142" s="636">
        <v>2125</v>
      </c>
      <c r="G142" s="635"/>
      <c r="H142" s="635"/>
      <c r="I142" s="636">
        <f t="shared" si="17"/>
        <v>2125</v>
      </c>
      <c r="J142" s="637"/>
      <c r="K142" s="1926"/>
      <c r="L142" s="1926"/>
      <c r="M142" s="1926"/>
      <c r="N142" s="1927"/>
      <c r="Q142" s="1925"/>
    </row>
    <row r="143" spans="1:17" s="1910" customFormat="1" ht="15" customHeight="1">
      <c r="A143" s="1921" t="str">
        <f t="shared" si="18"/>
        <v>Lantai 2</v>
      </c>
      <c r="B143" s="1922">
        <f t="shared" si="19"/>
        <v>46</v>
      </c>
      <c r="C143" s="1923" t="str">
        <f t="shared" si="16"/>
        <v>Lantai 2 no. 46</v>
      </c>
      <c r="D143" s="1924" t="s">
        <v>132</v>
      </c>
      <c r="E143" s="1925">
        <v>1</v>
      </c>
      <c r="F143" s="636">
        <v>900</v>
      </c>
      <c r="G143" s="635"/>
      <c r="H143" s="635"/>
      <c r="I143" s="636">
        <f t="shared" si="17"/>
        <v>900</v>
      </c>
      <c r="J143" s="637"/>
      <c r="K143" s="1926"/>
      <c r="L143" s="1926"/>
      <c r="M143" s="1926"/>
      <c r="N143" s="1927"/>
      <c r="Q143" s="1925"/>
    </row>
    <row r="144" spans="1:17" s="1910" customFormat="1" ht="15" customHeight="1">
      <c r="A144" s="1921" t="str">
        <f t="shared" si="18"/>
        <v>Lantai 2</v>
      </c>
      <c r="B144" s="1922">
        <f t="shared" si="19"/>
        <v>47</v>
      </c>
      <c r="C144" s="1923" t="str">
        <f t="shared" si="16"/>
        <v>Lantai 2 no. 47</v>
      </c>
      <c r="D144" s="1924" t="s">
        <v>132</v>
      </c>
      <c r="E144" s="1925">
        <v>1</v>
      </c>
      <c r="F144" s="636">
        <v>2125</v>
      </c>
      <c r="G144" s="635"/>
      <c r="H144" s="635"/>
      <c r="I144" s="636">
        <f t="shared" si="17"/>
        <v>2125</v>
      </c>
      <c r="J144" s="637"/>
      <c r="K144" s="1926"/>
      <c r="L144" s="1926"/>
      <c r="M144" s="1926"/>
      <c r="N144" s="1927"/>
      <c r="Q144" s="1925"/>
    </row>
    <row r="145" spans="1:17" s="1910" customFormat="1" ht="15" customHeight="1">
      <c r="A145" s="1921" t="str">
        <f t="shared" si="18"/>
        <v>Lantai 2</v>
      </c>
      <c r="B145" s="1922">
        <f t="shared" si="19"/>
        <v>48</v>
      </c>
      <c r="C145" s="1923" t="str">
        <f t="shared" si="16"/>
        <v>Lantai 2 no. 48</v>
      </c>
      <c r="D145" s="1924" t="s">
        <v>132</v>
      </c>
      <c r="E145" s="1925">
        <v>1</v>
      </c>
      <c r="F145" s="636">
        <v>900</v>
      </c>
      <c r="G145" s="635"/>
      <c r="H145" s="635"/>
      <c r="I145" s="636">
        <f t="shared" si="17"/>
        <v>900</v>
      </c>
      <c r="J145" s="637"/>
      <c r="K145" s="1926"/>
      <c r="L145" s="1926"/>
      <c r="M145" s="1926"/>
      <c r="N145" s="1927"/>
      <c r="Q145" s="1925"/>
    </row>
    <row r="146" spans="1:17" s="1910" customFormat="1" ht="15" customHeight="1">
      <c r="A146" s="1921" t="str">
        <f t="shared" si="18"/>
        <v>Lantai 2</v>
      </c>
      <c r="B146" s="1922">
        <f t="shared" si="19"/>
        <v>49</v>
      </c>
      <c r="C146" s="1923" t="str">
        <f t="shared" si="16"/>
        <v>Lantai 2 no. 49</v>
      </c>
      <c r="D146" s="1924" t="s">
        <v>134</v>
      </c>
      <c r="E146" s="1925">
        <v>1</v>
      </c>
      <c r="F146" s="636">
        <v>4805</v>
      </c>
      <c r="G146" s="635"/>
      <c r="H146" s="635"/>
      <c r="I146" s="636">
        <f t="shared" si="17"/>
        <v>4805</v>
      </c>
      <c r="J146" s="637">
        <v>150</v>
      </c>
      <c r="K146" s="1926"/>
      <c r="L146" s="1926"/>
      <c r="M146" s="1926"/>
      <c r="N146" s="1927"/>
      <c r="Q146" s="1925"/>
    </row>
    <row r="147" spans="1:17" s="1910" customFormat="1" ht="15" customHeight="1">
      <c r="A147" s="1921" t="str">
        <f t="shared" si="18"/>
        <v>Lantai 2</v>
      </c>
      <c r="B147" s="1922">
        <f t="shared" si="19"/>
        <v>50</v>
      </c>
      <c r="C147" s="1923" t="str">
        <f t="shared" si="16"/>
        <v>Lantai 2 no. 50</v>
      </c>
      <c r="D147" s="1924" t="s">
        <v>134</v>
      </c>
      <c r="E147" s="1925">
        <v>1</v>
      </c>
      <c r="F147" s="636">
        <v>6650</v>
      </c>
      <c r="G147" s="635"/>
      <c r="H147" s="635"/>
      <c r="I147" s="636">
        <f t="shared" si="17"/>
        <v>6650</v>
      </c>
      <c r="J147" s="637">
        <v>150</v>
      </c>
      <c r="K147" s="1926"/>
      <c r="L147" s="1926"/>
      <c r="M147" s="1926"/>
      <c r="N147" s="1927"/>
      <c r="Q147" s="1925"/>
    </row>
    <row r="148" spans="1:17" s="1910" customFormat="1" ht="15" customHeight="1">
      <c r="A148" s="1921" t="str">
        <f t="shared" si="18"/>
        <v>Lantai 2</v>
      </c>
      <c r="B148" s="1922">
        <f t="shared" si="19"/>
        <v>51</v>
      </c>
      <c r="C148" s="1923" t="str">
        <f t="shared" si="16"/>
        <v>Lantai 2 no. 51</v>
      </c>
      <c r="D148" s="1924" t="s">
        <v>134</v>
      </c>
      <c r="E148" s="1925">
        <v>1</v>
      </c>
      <c r="F148" s="636">
        <v>6650</v>
      </c>
      <c r="G148" s="635"/>
      <c r="H148" s="635"/>
      <c r="I148" s="636">
        <f t="shared" si="17"/>
        <v>6650</v>
      </c>
      <c r="J148" s="637">
        <v>150</v>
      </c>
      <c r="K148" s="1926"/>
      <c r="L148" s="1926"/>
      <c r="M148" s="1926"/>
      <c r="N148" s="1927"/>
      <c r="Q148" s="1925"/>
    </row>
    <row r="149" spans="1:17" s="1910" customFormat="1" ht="15" customHeight="1">
      <c r="A149" s="1921" t="str">
        <f t="shared" si="18"/>
        <v>Lantai 2</v>
      </c>
      <c r="B149" s="1922">
        <f t="shared" si="19"/>
        <v>52</v>
      </c>
      <c r="C149" s="1923" t="str">
        <f t="shared" si="16"/>
        <v>Lantai 2 no. 52</v>
      </c>
      <c r="D149" s="1924" t="s">
        <v>134</v>
      </c>
      <c r="E149" s="1925">
        <v>1</v>
      </c>
      <c r="F149" s="636">
        <v>4805</v>
      </c>
      <c r="G149" s="635"/>
      <c r="H149" s="635"/>
      <c r="I149" s="636">
        <f t="shared" si="17"/>
        <v>4805</v>
      </c>
      <c r="J149" s="637">
        <v>150</v>
      </c>
      <c r="K149" s="1926"/>
      <c r="L149" s="1926"/>
      <c r="M149" s="1926"/>
      <c r="N149" s="1927"/>
      <c r="Q149" s="1925"/>
    </row>
    <row r="150" spans="1:17" s="1910" customFormat="1" ht="15" customHeight="1">
      <c r="A150" s="1921" t="str">
        <f t="shared" si="18"/>
        <v>Lantai 2</v>
      </c>
      <c r="B150" s="1922">
        <f t="shared" si="19"/>
        <v>53</v>
      </c>
      <c r="C150" s="1923" t="str">
        <f t="shared" si="16"/>
        <v>Lantai 2 no. 53</v>
      </c>
      <c r="D150" s="1924" t="s">
        <v>132</v>
      </c>
      <c r="E150" s="1925">
        <v>1</v>
      </c>
      <c r="F150" s="636">
        <v>2755</v>
      </c>
      <c r="G150" s="635"/>
      <c r="H150" s="635"/>
      <c r="I150" s="636">
        <f t="shared" si="17"/>
        <v>2755</v>
      </c>
      <c r="J150" s="637">
        <v>150</v>
      </c>
      <c r="K150" s="1926"/>
      <c r="L150" s="1926"/>
      <c r="M150" s="1926"/>
      <c r="N150" s="1927"/>
      <c r="Q150" s="1925"/>
    </row>
    <row r="151" spans="1:17" s="1910" customFormat="1" ht="15" customHeight="1">
      <c r="A151" s="1921" t="str">
        <f t="shared" si="18"/>
        <v>Lantai 2</v>
      </c>
      <c r="B151" s="1922">
        <f t="shared" si="19"/>
        <v>54</v>
      </c>
      <c r="C151" s="1923" t="str">
        <f t="shared" si="16"/>
        <v>Lantai 2 no. 54</v>
      </c>
      <c r="D151" s="1924" t="s">
        <v>2289</v>
      </c>
      <c r="E151" s="1925">
        <v>1</v>
      </c>
      <c r="F151" s="636">
        <v>2100</v>
      </c>
      <c r="G151" s="635"/>
      <c r="H151" s="635"/>
      <c r="I151" s="636">
        <f t="shared" si="17"/>
        <v>2100</v>
      </c>
      <c r="J151" s="637">
        <v>150</v>
      </c>
      <c r="K151" s="1926"/>
      <c r="L151" s="1926"/>
      <c r="M151" s="1926"/>
      <c r="N151" s="1927"/>
      <c r="Q151" s="1925"/>
    </row>
    <row r="152" spans="1:17" s="1910" customFormat="1" ht="15" customHeight="1">
      <c r="A152" s="1921" t="str">
        <f t="shared" si="18"/>
        <v>Lantai 2</v>
      </c>
      <c r="B152" s="1922">
        <f t="shared" si="19"/>
        <v>55</v>
      </c>
      <c r="C152" s="1923" t="str">
        <f t="shared" si="16"/>
        <v>Lantai 2 no. 55</v>
      </c>
      <c r="D152" s="1924" t="s">
        <v>2289</v>
      </c>
      <c r="E152" s="1925">
        <v>1</v>
      </c>
      <c r="F152" s="636">
        <v>2100</v>
      </c>
      <c r="G152" s="635"/>
      <c r="H152" s="635"/>
      <c r="I152" s="636">
        <f t="shared" si="17"/>
        <v>2100</v>
      </c>
      <c r="J152" s="637">
        <v>150</v>
      </c>
      <c r="K152" s="1926"/>
      <c r="L152" s="1926"/>
      <c r="M152" s="1926"/>
      <c r="N152" s="1927"/>
      <c r="Q152" s="1925"/>
    </row>
    <row r="153" spans="1:17" s="1910" customFormat="1" ht="15" customHeight="1">
      <c r="A153" s="1921"/>
      <c r="B153" s="1922"/>
      <c r="C153" s="1923"/>
      <c r="D153" s="1924"/>
      <c r="E153" s="1925"/>
      <c r="F153" s="636"/>
      <c r="G153" s="635"/>
      <c r="H153" s="635"/>
      <c r="I153" s="636"/>
      <c r="J153" s="637"/>
      <c r="K153" s="1926"/>
      <c r="L153" s="1926"/>
      <c r="M153" s="1926"/>
      <c r="N153" s="1927"/>
      <c r="Q153" s="1925"/>
    </row>
    <row r="154" spans="1:17" s="1910" customFormat="1" ht="15" customHeight="1">
      <c r="A154" s="1921" t="s">
        <v>219</v>
      </c>
      <c r="B154" s="1922">
        <v>1</v>
      </c>
      <c r="C154" s="1923" t="str">
        <f t="shared" ref="C154:C213" si="20">CONCATENATE(A154," no. ",B154)</f>
        <v>Lantai 3 no. 1</v>
      </c>
      <c r="D154" s="1924" t="s">
        <v>132</v>
      </c>
      <c r="E154" s="1925">
        <v>1</v>
      </c>
      <c r="F154" s="636">
        <v>9250</v>
      </c>
      <c r="G154" s="635"/>
      <c r="H154" s="635"/>
      <c r="I154" s="636">
        <f t="shared" ref="I154:I213" si="21">+F154-G154-H154</f>
        <v>9250</v>
      </c>
      <c r="J154" s="637">
        <v>150</v>
      </c>
      <c r="K154" s="1926"/>
      <c r="L154" s="1926"/>
      <c r="M154" s="1926"/>
      <c r="N154" s="1927"/>
      <c r="Q154" s="1925"/>
    </row>
    <row r="155" spans="1:17" s="1910" customFormat="1" ht="15" customHeight="1">
      <c r="A155" s="1921" t="str">
        <f t="shared" ref="A155:A217" si="22">A154</f>
        <v>Lantai 3</v>
      </c>
      <c r="B155" s="1922">
        <f t="shared" ref="B155:B217" si="23">B154+1</f>
        <v>2</v>
      </c>
      <c r="C155" s="1923" t="str">
        <f t="shared" si="20"/>
        <v>Lantai 3 no. 2</v>
      </c>
      <c r="D155" s="1924" t="s">
        <v>133</v>
      </c>
      <c r="E155" s="1925">
        <v>1</v>
      </c>
      <c r="F155" s="636">
        <v>9000</v>
      </c>
      <c r="G155" s="635"/>
      <c r="H155" s="635"/>
      <c r="I155" s="636">
        <f t="shared" si="21"/>
        <v>9000</v>
      </c>
      <c r="J155" s="637">
        <v>150</v>
      </c>
      <c r="K155" s="1926"/>
      <c r="L155" s="1926"/>
      <c r="M155" s="1926"/>
      <c r="N155" s="1927"/>
      <c r="Q155" s="1925"/>
    </row>
    <row r="156" spans="1:17" s="1910" customFormat="1" ht="15" customHeight="1">
      <c r="A156" s="1921" t="str">
        <f t="shared" si="22"/>
        <v>Lantai 3</v>
      </c>
      <c r="B156" s="1922">
        <f t="shared" si="23"/>
        <v>3</v>
      </c>
      <c r="C156" s="1923" t="str">
        <f t="shared" si="20"/>
        <v>Lantai 3 no. 3</v>
      </c>
      <c r="D156" s="1924" t="s">
        <v>2289</v>
      </c>
      <c r="E156" s="1925">
        <v>1</v>
      </c>
      <c r="F156" s="636">
        <v>1075</v>
      </c>
      <c r="G156" s="635"/>
      <c r="H156" s="635"/>
      <c r="I156" s="636">
        <f t="shared" si="21"/>
        <v>1075</v>
      </c>
      <c r="J156" s="637">
        <v>150</v>
      </c>
      <c r="K156" s="1926"/>
      <c r="L156" s="1926"/>
      <c r="M156" s="1926"/>
      <c r="N156" s="1927"/>
      <c r="Q156" s="1925"/>
    </row>
    <row r="157" spans="1:17" s="1910" customFormat="1" ht="15" customHeight="1">
      <c r="A157" s="1921" t="str">
        <f t="shared" si="22"/>
        <v>Lantai 3</v>
      </c>
      <c r="B157" s="1922">
        <f t="shared" si="23"/>
        <v>4</v>
      </c>
      <c r="C157" s="1923" t="str">
        <f t="shared" si="20"/>
        <v>Lantai 3 no. 4</v>
      </c>
      <c r="D157" s="1924" t="s">
        <v>2289</v>
      </c>
      <c r="E157" s="1925">
        <v>1</v>
      </c>
      <c r="F157" s="636">
        <v>1075</v>
      </c>
      <c r="G157" s="635"/>
      <c r="H157" s="635"/>
      <c r="I157" s="636">
        <f t="shared" si="21"/>
        <v>1075</v>
      </c>
      <c r="J157" s="637">
        <v>150</v>
      </c>
      <c r="K157" s="1926"/>
      <c r="L157" s="1926"/>
      <c r="M157" s="1926"/>
      <c r="N157" s="1927"/>
      <c r="Q157" s="1925"/>
    </row>
    <row r="158" spans="1:17" s="1910" customFormat="1" ht="15" customHeight="1">
      <c r="A158" s="1921" t="str">
        <f t="shared" si="22"/>
        <v>Lantai 3</v>
      </c>
      <c r="B158" s="1922">
        <f t="shared" si="23"/>
        <v>5</v>
      </c>
      <c r="C158" s="1923" t="str">
        <f t="shared" si="20"/>
        <v>Lantai 3 no. 5</v>
      </c>
      <c r="D158" s="1924" t="s">
        <v>133</v>
      </c>
      <c r="E158" s="1925">
        <v>1</v>
      </c>
      <c r="F158" s="636">
        <v>9075</v>
      </c>
      <c r="G158" s="635"/>
      <c r="H158" s="635"/>
      <c r="I158" s="636">
        <f t="shared" si="21"/>
        <v>9075</v>
      </c>
      <c r="J158" s="637">
        <v>150</v>
      </c>
      <c r="K158" s="1926"/>
      <c r="L158" s="1926"/>
      <c r="M158" s="1926"/>
      <c r="N158" s="1927"/>
      <c r="Q158" s="1925"/>
    </row>
    <row r="159" spans="1:17" s="1910" customFormat="1" ht="15" customHeight="1">
      <c r="A159" s="1921" t="str">
        <f t="shared" si="22"/>
        <v>Lantai 3</v>
      </c>
      <c r="B159" s="1922">
        <f t="shared" si="23"/>
        <v>6</v>
      </c>
      <c r="C159" s="1923" t="str">
        <f t="shared" si="20"/>
        <v>Lantai 3 no. 6</v>
      </c>
      <c r="D159" s="1924" t="s">
        <v>135</v>
      </c>
      <c r="E159" s="1925">
        <v>1</v>
      </c>
      <c r="F159" s="636">
        <v>9000</v>
      </c>
      <c r="G159" s="635"/>
      <c r="H159" s="635"/>
      <c r="I159" s="636">
        <f t="shared" si="21"/>
        <v>9000</v>
      </c>
      <c r="J159" s="637">
        <v>150</v>
      </c>
      <c r="K159" s="1926"/>
      <c r="L159" s="1926"/>
      <c r="M159" s="1926"/>
      <c r="N159" s="1927"/>
      <c r="Q159" s="1925"/>
    </row>
    <row r="160" spans="1:17" s="1910" customFormat="1" ht="15" customHeight="1">
      <c r="A160" s="1921" t="str">
        <f t="shared" si="22"/>
        <v>Lantai 3</v>
      </c>
      <c r="B160" s="1922">
        <f t="shared" si="23"/>
        <v>7</v>
      </c>
      <c r="C160" s="1923" t="str">
        <f t="shared" si="20"/>
        <v>Lantai 3 no. 7</v>
      </c>
      <c r="D160" s="1924" t="s">
        <v>2289</v>
      </c>
      <c r="E160" s="1925">
        <v>1</v>
      </c>
      <c r="F160" s="636">
        <v>7150</v>
      </c>
      <c r="G160" s="635"/>
      <c r="H160" s="635"/>
      <c r="I160" s="636">
        <f t="shared" si="21"/>
        <v>7150</v>
      </c>
      <c r="J160" s="637">
        <v>150</v>
      </c>
      <c r="K160" s="1926"/>
      <c r="L160" s="1926"/>
      <c r="M160" s="1926"/>
      <c r="N160" s="1927"/>
      <c r="Q160" s="1925"/>
    </row>
    <row r="161" spans="1:17" s="1910" customFormat="1" ht="15" customHeight="1">
      <c r="A161" s="1921" t="str">
        <f t="shared" si="22"/>
        <v>Lantai 3</v>
      </c>
      <c r="B161" s="1922">
        <f t="shared" si="23"/>
        <v>8</v>
      </c>
      <c r="C161" s="1923" t="str">
        <f t="shared" si="20"/>
        <v>Lantai 3 no. 8</v>
      </c>
      <c r="D161" s="1924" t="s">
        <v>135</v>
      </c>
      <c r="E161" s="1925">
        <v>1</v>
      </c>
      <c r="F161" s="636">
        <v>6075</v>
      </c>
      <c r="G161" s="635"/>
      <c r="H161" s="635"/>
      <c r="I161" s="636">
        <f t="shared" si="21"/>
        <v>6075</v>
      </c>
      <c r="J161" s="637">
        <v>150</v>
      </c>
      <c r="K161" s="1926"/>
      <c r="L161" s="1926"/>
      <c r="M161" s="1926"/>
      <c r="N161" s="1927"/>
      <c r="Q161" s="1925"/>
    </row>
    <row r="162" spans="1:17" s="1910" customFormat="1" ht="15" customHeight="1">
      <c r="A162" s="1921" t="str">
        <f t="shared" si="22"/>
        <v>Lantai 3</v>
      </c>
      <c r="B162" s="1922">
        <f t="shared" si="23"/>
        <v>9</v>
      </c>
      <c r="C162" s="1923" t="str">
        <f t="shared" si="20"/>
        <v>Lantai 3 no. 9</v>
      </c>
      <c r="D162" s="1924" t="s">
        <v>2289</v>
      </c>
      <c r="E162" s="1925">
        <v>1</v>
      </c>
      <c r="F162" s="636">
        <v>1000</v>
      </c>
      <c r="G162" s="635"/>
      <c r="H162" s="635"/>
      <c r="I162" s="636">
        <f t="shared" si="21"/>
        <v>1000</v>
      </c>
      <c r="J162" s="637">
        <v>150</v>
      </c>
      <c r="K162" s="1926"/>
      <c r="L162" s="1926"/>
      <c r="M162" s="1926"/>
      <c r="N162" s="1927"/>
      <c r="Q162" s="1925"/>
    </row>
    <row r="163" spans="1:17" s="1910" customFormat="1" ht="15" customHeight="1">
      <c r="A163" s="1921" t="str">
        <f t="shared" si="22"/>
        <v>Lantai 3</v>
      </c>
      <c r="B163" s="1922">
        <f t="shared" si="23"/>
        <v>10</v>
      </c>
      <c r="C163" s="1923" t="str">
        <f t="shared" si="20"/>
        <v>Lantai 3 no. 10</v>
      </c>
      <c r="D163" s="1924" t="s">
        <v>132</v>
      </c>
      <c r="E163" s="1925">
        <v>1</v>
      </c>
      <c r="F163" s="636">
        <v>3425</v>
      </c>
      <c r="G163" s="635"/>
      <c r="H163" s="635"/>
      <c r="I163" s="636">
        <f t="shared" si="21"/>
        <v>3425</v>
      </c>
      <c r="J163" s="637">
        <v>150</v>
      </c>
      <c r="K163" s="1926"/>
      <c r="L163" s="1926"/>
      <c r="M163" s="1926"/>
      <c r="N163" s="1927"/>
      <c r="Q163" s="1925"/>
    </row>
    <row r="164" spans="1:17" s="1910" customFormat="1" ht="15" customHeight="1">
      <c r="A164" s="1921" t="str">
        <f t="shared" si="22"/>
        <v>Lantai 3</v>
      </c>
      <c r="B164" s="1922">
        <f t="shared" si="23"/>
        <v>11</v>
      </c>
      <c r="C164" s="1923" t="str">
        <f t="shared" si="20"/>
        <v>Lantai 3 no. 11</v>
      </c>
      <c r="D164" s="1924" t="s">
        <v>134</v>
      </c>
      <c r="E164" s="1925">
        <v>1</v>
      </c>
      <c r="F164" s="636">
        <v>9075</v>
      </c>
      <c r="G164" s="635"/>
      <c r="H164" s="635"/>
      <c r="I164" s="636">
        <f t="shared" si="21"/>
        <v>9075</v>
      </c>
      <c r="J164" s="637">
        <v>150</v>
      </c>
      <c r="K164" s="1926"/>
      <c r="L164" s="1926"/>
      <c r="M164" s="1926"/>
      <c r="N164" s="1927"/>
      <c r="Q164" s="1925"/>
    </row>
    <row r="165" spans="1:17" s="1910" customFormat="1" ht="15" customHeight="1">
      <c r="A165" s="1921" t="str">
        <f t="shared" si="22"/>
        <v>Lantai 3</v>
      </c>
      <c r="B165" s="1922">
        <f t="shared" si="23"/>
        <v>12</v>
      </c>
      <c r="C165" s="1923" t="str">
        <f t="shared" si="20"/>
        <v>Lantai 3 no. 12</v>
      </c>
      <c r="D165" s="1924" t="s">
        <v>134</v>
      </c>
      <c r="E165" s="1925">
        <v>1</v>
      </c>
      <c r="F165" s="636">
        <v>5925</v>
      </c>
      <c r="G165" s="635"/>
      <c r="H165" s="635"/>
      <c r="I165" s="636">
        <f t="shared" si="21"/>
        <v>5925</v>
      </c>
      <c r="J165" s="637">
        <v>150</v>
      </c>
      <c r="K165" s="1926"/>
      <c r="L165" s="1926"/>
      <c r="M165" s="1926"/>
      <c r="N165" s="1927"/>
      <c r="Q165" s="1925"/>
    </row>
    <row r="166" spans="1:17" s="1910" customFormat="1" ht="15" customHeight="1">
      <c r="A166" s="1921" t="str">
        <f t="shared" si="22"/>
        <v>Lantai 3</v>
      </c>
      <c r="B166" s="1922">
        <f t="shared" si="23"/>
        <v>13</v>
      </c>
      <c r="C166" s="1923" t="str">
        <f t="shared" si="20"/>
        <v>Lantai 3 no. 13</v>
      </c>
      <c r="D166" s="1924" t="s">
        <v>2289</v>
      </c>
      <c r="E166" s="1925">
        <v>1</v>
      </c>
      <c r="F166" s="636">
        <v>1175</v>
      </c>
      <c r="G166" s="635"/>
      <c r="H166" s="635"/>
      <c r="I166" s="636">
        <f t="shared" si="21"/>
        <v>1175</v>
      </c>
      <c r="J166" s="637">
        <v>150</v>
      </c>
      <c r="K166" s="1926"/>
      <c r="L166" s="1926"/>
      <c r="M166" s="1926"/>
      <c r="N166" s="1927"/>
      <c r="Q166" s="1925"/>
    </row>
    <row r="167" spans="1:17" s="1910" customFormat="1" ht="15" customHeight="1">
      <c r="A167" s="1921" t="str">
        <f t="shared" si="22"/>
        <v>Lantai 3</v>
      </c>
      <c r="B167" s="1922">
        <f t="shared" si="23"/>
        <v>14</v>
      </c>
      <c r="C167" s="1923" t="str">
        <f t="shared" si="20"/>
        <v>Lantai 3 no. 14</v>
      </c>
      <c r="D167" s="1924" t="s">
        <v>135</v>
      </c>
      <c r="E167" s="1925">
        <v>1</v>
      </c>
      <c r="F167" s="636">
        <v>9175</v>
      </c>
      <c r="G167" s="635"/>
      <c r="H167" s="635"/>
      <c r="I167" s="636">
        <f t="shared" si="21"/>
        <v>9175</v>
      </c>
      <c r="J167" s="637">
        <v>150</v>
      </c>
      <c r="K167" s="1926"/>
      <c r="L167" s="1926"/>
      <c r="M167" s="1926"/>
      <c r="N167" s="1927"/>
      <c r="Q167" s="1925"/>
    </row>
    <row r="168" spans="1:17" s="1910" customFormat="1" ht="15" customHeight="1">
      <c r="A168" s="1921" t="str">
        <f t="shared" si="22"/>
        <v>Lantai 3</v>
      </c>
      <c r="B168" s="1922">
        <f t="shared" si="23"/>
        <v>15</v>
      </c>
      <c r="C168" s="1923" t="str">
        <f t="shared" si="20"/>
        <v>Lantai 3 no. 15</v>
      </c>
      <c r="D168" s="1924" t="s">
        <v>135</v>
      </c>
      <c r="E168" s="1925">
        <v>1</v>
      </c>
      <c r="F168" s="636">
        <v>5825</v>
      </c>
      <c r="G168" s="635"/>
      <c r="H168" s="635"/>
      <c r="I168" s="636">
        <f t="shared" si="21"/>
        <v>5825</v>
      </c>
      <c r="J168" s="637">
        <v>150</v>
      </c>
      <c r="K168" s="1926"/>
      <c r="L168" s="1926"/>
      <c r="M168" s="1926"/>
      <c r="N168" s="1927"/>
      <c r="Q168" s="1925"/>
    </row>
    <row r="169" spans="1:17" s="1910" customFormat="1" ht="15" customHeight="1">
      <c r="A169" s="1921" t="str">
        <f t="shared" si="22"/>
        <v>Lantai 3</v>
      </c>
      <c r="B169" s="1922">
        <f t="shared" si="23"/>
        <v>16</v>
      </c>
      <c r="C169" s="1923" t="str">
        <f t="shared" si="20"/>
        <v>Lantai 3 no. 16</v>
      </c>
      <c r="D169" s="1924" t="s">
        <v>2289</v>
      </c>
      <c r="E169" s="1925">
        <v>1</v>
      </c>
      <c r="F169" s="636">
        <v>1075</v>
      </c>
      <c r="G169" s="635"/>
      <c r="H169" s="635"/>
      <c r="I169" s="636">
        <f t="shared" si="21"/>
        <v>1075</v>
      </c>
      <c r="J169" s="637">
        <v>150</v>
      </c>
      <c r="K169" s="1926"/>
      <c r="L169" s="1926"/>
      <c r="M169" s="1926"/>
      <c r="N169" s="1927"/>
      <c r="Q169" s="1925"/>
    </row>
    <row r="170" spans="1:17" s="1910" customFormat="1" ht="15" customHeight="1">
      <c r="A170" s="1921" t="str">
        <f t="shared" si="22"/>
        <v>Lantai 3</v>
      </c>
      <c r="B170" s="1922">
        <f t="shared" si="23"/>
        <v>17</v>
      </c>
      <c r="C170" s="1923" t="str">
        <f t="shared" si="20"/>
        <v>Lantai 3 no. 17</v>
      </c>
      <c r="D170" s="1924" t="s">
        <v>134</v>
      </c>
      <c r="E170" s="1925">
        <v>1</v>
      </c>
      <c r="F170" s="636">
        <v>9075</v>
      </c>
      <c r="G170" s="635"/>
      <c r="H170" s="635"/>
      <c r="I170" s="636">
        <f t="shared" si="21"/>
        <v>9075</v>
      </c>
      <c r="J170" s="637">
        <v>150</v>
      </c>
      <c r="K170" s="1926"/>
      <c r="L170" s="1926"/>
      <c r="M170" s="1926"/>
      <c r="N170" s="1927"/>
      <c r="Q170" s="1925"/>
    </row>
    <row r="171" spans="1:17" s="1910" customFormat="1" ht="15" customHeight="1">
      <c r="A171" s="1921" t="str">
        <f t="shared" si="22"/>
        <v>Lantai 3</v>
      </c>
      <c r="B171" s="1922">
        <f t="shared" si="23"/>
        <v>18</v>
      </c>
      <c r="C171" s="1923" t="str">
        <f t="shared" si="20"/>
        <v>Lantai 3 no. 18</v>
      </c>
      <c r="D171" s="1924" t="s">
        <v>135</v>
      </c>
      <c r="E171" s="1925">
        <v>1</v>
      </c>
      <c r="F171" s="636">
        <v>5925</v>
      </c>
      <c r="G171" s="635"/>
      <c r="H171" s="635"/>
      <c r="I171" s="636">
        <f t="shared" si="21"/>
        <v>5925</v>
      </c>
      <c r="J171" s="637">
        <v>150</v>
      </c>
      <c r="K171" s="1926"/>
      <c r="L171" s="1926"/>
      <c r="M171" s="1926"/>
      <c r="N171" s="1927"/>
      <c r="Q171" s="1925"/>
    </row>
    <row r="172" spans="1:17" s="1910" customFormat="1" ht="15" customHeight="1">
      <c r="A172" s="1921" t="str">
        <f t="shared" si="22"/>
        <v>Lantai 3</v>
      </c>
      <c r="B172" s="1922">
        <f t="shared" si="23"/>
        <v>19</v>
      </c>
      <c r="C172" s="1923" t="str">
        <f t="shared" si="20"/>
        <v>Lantai 3 no. 19</v>
      </c>
      <c r="D172" s="1924" t="s">
        <v>2289</v>
      </c>
      <c r="E172" s="1925">
        <v>1</v>
      </c>
      <c r="F172" s="636">
        <v>1075</v>
      </c>
      <c r="G172" s="635"/>
      <c r="H172" s="635"/>
      <c r="I172" s="636">
        <f t="shared" si="21"/>
        <v>1075</v>
      </c>
      <c r="J172" s="637">
        <v>150</v>
      </c>
      <c r="K172" s="1926"/>
      <c r="L172" s="1926"/>
      <c r="M172" s="1926"/>
      <c r="N172" s="1927"/>
      <c r="Q172" s="1925"/>
    </row>
    <row r="173" spans="1:17" s="1910" customFormat="1" ht="15" customHeight="1">
      <c r="A173" s="1921" t="str">
        <f t="shared" si="22"/>
        <v>Lantai 3</v>
      </c>
      <c r="B173" s="1922">
        <f t="shared" si="23"/>
        <v>20</v>
      </c>
      <c r="C173" s="1923" t="str">
        <f t="shared" si="20"/>
        <v>Lantai 3 no. 20</v>
      </c>
      <c r="D173" s="1924" t="s">
        <v>132</v>
      </c>
      <c r="E173" s="1925">
        <v>1</v>
      </c>
      <c r="F173" s="636">
        <v>4075</v>
      </c>
      <c r="G173" s="635"/>
      <c r="H173" s="635"/>
      <c r="I173" s="636">
        <f t="shared" si="21"/>
        <v>4075</v>
      </c>
      <c r="J173" s="637">
        <v>150</v>
      </c>
      <c r="K173" s="1926"/>
      <c r="L173" s="1926"/>
      <c r="M173" s="1926"/>
      <c r="N173" s="1927"/>
      <c r="Q173" s="1925"/>
    </row>
    <row r="174" spans="1:17" s="1910" customFormat="1" ht="15" customHeight="1">
      <c r="A174" s="1921" t="str">
        <f t="shared" si="22"/>
        <v>Lantai 3</v>
      </c>
      <c r="B174" s="1922">
        <f t="shared" si="23"/>
        <v>21</v>
      </c>
      <c r="C174" s="1923" t="str">
        <f t="shared" si="20"/>
        <v>Lantai 3 no. 21</v>
      </c>
      <c r="D174" s="1924" t="s">
        <v>132</v>
      </c>
      <c r="E174" s="1925">
        <v>1</v>
      </c>
      <c r="F174" s="636">
        <v>2195</v>
      </c>
      <c r="G174" s="635"/>
      <c r="H174" s="635"/>
      <c r="I174" s="636">
        <f t="shared" si="21"/>
        <v>2195</v>
      </c>
      <c r="J174" s="637"/>
      <c r="K174" s="1926"/>
      <c r="L174" s="1926"/>
      <c r="M174" s="1926"/>
      <c r="N174" s="1927"/>
      <c r="Q174" s="1925"/>
    </row>
    <row r="175" spans="1:17" s="1910" customFormat="1" ht="15" customHeight="1">
      <c r="A175" s="1921" t="str">
        <f t="shared" si="22"/>
        <v>Lantai 3</v>
      </c>
      <c r="B175" s="1922">
        <f t="shared" si="23"/>
        <v>22</v>
      </c>
      <c r="C175" s="1923" t="str">
        <f t="shared" si="20"/>
        <v>Lantai 3 no. 22</v>
      </c>
      <c r="D175" s="1924" t="s">
        <v>132</v>
      </c>
      <c r="E175" s="1925">
        <v>1</v>
      </c>
      <c r="F175" s="636">
        <v>2200</v>
      </c>
      <c r="G175" s="635"/>
      <c r="H175" s="635"/>
      <c r="I175" s="636">
        <f t="shared" si="21"/>
        <v>2200</v>
      </c>
      <c r="J175" s="637"/>
      <c r="K175" s="1926"/>
      <c r="L175" s="1926"/>
      <c r="M175" s="1926"/>
      <c r="N175" s="1927"/>
      <c r="Q175" s="1925"/>
    </row>
    <row r="176" spans="1:17" s="1910" customFormat="1" ht="15" customHeight="1">
      <c r="A176" s="1921" t="str">
        <f t="shared" si="22"/>
        <v>Lantai 3</v>
      </c>
      <c r="B176" s="1922">
        <f t="shared" si="23"/>
        <v>23</v>
      </c>
      <c r="C176" s="1923" t="str">
        <f t="shared" si="20"/>
        <v>Lantai 3 no. 23</v>
      </c>
      <c r="D176" s="1924" t="s">
        <v>2289</v>
      </c>
      <c r="E176" s="1925">
        <v>1</v>
      </c>
      <c r="F176" s="636">
        <v>3425</v>
      </c>
      <c r="G176" s="635"/>
      <c r="H176" s="635"/>
      <c r="I176" s="636">
        <f t="shared" si="21"/>
        <v>3425</v>
      </c>
      <c r="J176" s="637">
        <v>150</v>
      </c>
      <c r="K176" s="1926"/>
      <c r="L176" s="1926"/>
      <c r="M176" s="1926"/>
      <c r="N176" s="1927"/>
      <c r="Q176" s="1925"/>
    </row>
    <row r="177" spans="1:17" s="1910" customFormat="1" ht="15" customHeight="1">
      <c r="A177" s="1921" t="str">
        <f t="shared" si="22"/>
        <v>Lantai 3</v>
      </c>
      <c r="B177" s="1922">
        <f t="shared" si="23"/>
        <v>24</v>
      </c>
      <c r="C177" s="1923" t="str">
        <f t="shared" si="20"/>
        <v>Lantai 3 no. 24</v>
      </c>
      <c r="D177" s="1924" t="s">
        <v>134</v>
      </c>
      <c r="E177" s="1925">
        <v>1</v>
      </c>
      <c r="F177" s="636">
        <v>4075</v>
      </c>
      <c r="G177" s="635"/>
      <c r="H177" s="635"/>
      <c r="I177" s="636">
        <f t="shared" si="21"/>
        <v>4075</v>
      </c>
      <c r="J177" s="637">
        <v>150</v>
      </c>
      <c r="K177" s="1926"/>
      <c r="L177" s="1926"/>
      <c r="M177" s="1926"/>
      <c r="N177" s="1927"/>
      <c r="Q177" s="1925"/>
    </row>
    <row r="178" spans="1:17" s="1910" customFormat="1" ht="15" customHeight="1">
      <c r="A178" s="1921" t="str">
        <f t="shared" si="22"/>
        <v>Lantai 3</v>
      </c>
      <c r="B178" s="1922">
        <f t="shared" si="23"/>
        <v>25</v>
      </c>
      <c r="C178" s="1923" t="str">
        <f t="shared" si="20"/>
        <v>Lantai 3 no. 25</v>
      </c>
      <c r="D178" s="1924" t="s">
        <v>2289</v>
      </c>
      <c r="E178" s="1925">
        <v>1</v>
      </c>
      <c r="F178" s="636">
        <v>1075</v>
      </c>
      <c r="G178" s="635"/>
      <c r="H178" s="635"/>
      <c r="I178" s="636">
        <f t="shared" si="21"/>
        <v>1075</v>
      </c>
      <c r="J178" s="637">
        <v>150</v>
      </c>
      <c r="K178" s="1926"/>
      <c r="L178" s="1926"/>
      <c r="M178" s="1926"/>
      <c r="N178" s="1927"/>
      <c r="Q178" s="1925"/>
    </row>
    <row r="179" spans="1:17" s="1910" customFormat="1" ht="15" customHeight="1">
      <c r="A179" s="1921" t="str">
        <f t="shared" si="22"/>
        <v>Lantai 3</v>
      </c>
      <c r="B179" s="1922">
        <f t="shared" si="23"/>
        <v>26</v>
      </c>
      <c r="C179" s="1923" t="str">
        <f t="shared" si="20"/>
        <v>Lantai 3 no. 26</v>
      </c>
      <c r="D179" s="1924" t="s">
        <v>134</v>
      </c>
      <c r="E179" s="1925">
        <v>1</v>
      </c>
      <c r="F179" s="636">
        <v>5075</v>
      </c>
      <c r="G179" s="635"/>
      <c r="H179" s="635"/>
      <c r="I179" s="636">
        <f t="shared" si="21"/>
        <v>5075</v>
      </c>
      <c r="J179" s="637">
        <v>150</v>
      </c>
      <c r="K179" s="1926"/>
      <c r="L179" s="1926"/>
      <c r="M179" s="1926"/>
      <c r="N179" s="1927"/>
      <c r="Q179" s="1925"/>
    </row>
    <row r="180" spans="1:17" s="1910" customFormat="1" ht="15" customHeight="1">
      <c r="A180" s="1921" t="str">
        <f t="shared" si="22"/>
        <v>Lantai 3</v>
      </c>
      <c r="B180" s="1922">
        <f t="shared" si="23"/>
        <v>27</v>
      </c>
      <c r="C180" s="1923" t="str">
        <f t="shared" si="20"/>
        <v>Lantai 3 no. 27</v>
      </c>
      <c r="D180" s="1924" t="s">
        <v>2289</v>
      </c>
      <c r="E180" s="1925">
        <v>1</v>
      </c>
      <c r="F180" s="636">
        <v>5000</v>
      </c>
      <c r="G180" s="635"/>
      <c r="H180" s="635"/>
      <c r="I180" s="636">
        <f t="shared" si="21"/>
        <v>5000</v>
      </c>
      <c r="J180" s="637">
        <v>150</v>
      </c>
      <c r="K180" s="1926"/>
      <c r="L180" s="1926"/>
      <c r="M180" s="1926"/>
      <c r="N180" s="1927"/>
      <c r="Q180" s="1925"/>
    </row>
    <row r="181" spans="1:17" s="1910" customFormat="1" ht="15" customHeight="1">
      <c r="A181" s="1921" t="str">
        <f t="shared" si="22"/>
        <v>Lantai 3</v>
      </c>
      <c r="B181" s="1922">
        <f t="shared" si="23"/>
        <v>28</v>
      </c>
      <c r="C181" s="1923" t="str">
        <f t="shared" si="20"/>
        <v>Lantai 3 no. 28</v>
      </c>
      <c r="D181" s="1924" t="s">
        <v>134</v>
      </c>
      <c r="E181" s="1925">
        <v>1</v>
      </c>
      <c r="F181" s="636">
        <v>7250</v>
      </c>
      <c r="G181" s="635"/>
      <c r="H181" s="635"/>
      <c r="I181" s="636">
        <f t="shared" si="21"/>
        <v>7250</v>
      </c>
      <c r="J181" s="637">
        <v>150</v>
      </c>
      <c r="K181" s="1926"/>
      <c r="L181" s="1926"/>
      <c r="M181" s="1926"/>
      <c r="N181" s="1927"/>
      <c r="Q181" s="1925"/>
    </row>
    <row r="182" spans="1:17" s="1910" customFormat="1" ht="15" customHeight="1">
      <c r="A182" s="1921" t="str">
        <f t="shared" si="22"/>
        <v>Lantai 3</v>
      </c>
      <c r="B182" s="1922">
        <f t="shared" si="23"/>
        <v>29</v>
      </c>
      <c r="C182" s="1923" t="str">
        <f t="shared" si="20"/>
        <v>Lantai 3 no. 29</v>
      </c>
      <c r="D182" s="1924" t="s">
        <v>135</v>
      </c>
      <c r="E182" s="1925">
        <v>1</v>
      </c>
      <c r="F182" s="636">
        <v>6075</v>
      </c>
      <c r="G182" s="635"/>
      <c r="H182" s="635"/>
      <c r="I182" s="636">
        <f t="shared" si="21"/>
        <v>6075</v>
      </c>
      <c r="J182" s="637">
        <v>150</v>
      </c>
      <c r="K182" s="1926"/>
      <c r="L182" s="1926"/>
      <c r="M182" s="1926"/>
      <c r="N182" s="1927"/>
      <c r="Q182" s="1925"/>
    </row>
    <row r="183" spans="1:17" s="1910" customFormat="1" ht="15" customHeight="1">
      <c r="A183" s="1921" t="str">
        <f t="shared" si="22"/>
        <v>Lantai 3</v>
      </c>
      <c r="B183" s="1922">
        <f t="shared" si="23"/>
        <v>30</v>
      </c>
      <c r="C183" s="1923" t="str">
        <f t="shared" si="20"/>
        <v>Lantai 3 no. 30</v>
      </c>
      <c r="D183" s="1924" t="s">
        <v>2289</v>
      </c>
      <c r="E183" s="1925">
        <v>1</v>
      </c>
      <c r="F183" s="636">
        <v>1075</v>
      </c>
      <c r="G183" s="635"/>
      <c r="H183" s="635"/>
      <c r="I183" s="636">
        <f t="shared" si="21"/>
        <v>1075</v>
      </c>
      <c r="J183" s="637">
        <v>150</v>
      </c>
      <c r="K183" s="1926"/>
      <c r="L183" s="1926"/>
      <c r="M183" s="1926"/>
      <c r="N183" s="1927"/>
      <c r="Q183" s="1925"/>
    </row>
    <row r="184" spans="1:17" s="1910" customFormat="1" ht="15" customHeight="1">
      <c r="A184" s="1921" t="str">
        <f t="shared" si="22"/>
        <v>Lantai 3</v>
      </c>
      <c r="B184" s="1922">
        <f t="shared" si="23"/>
        <v>31</v>
      </c>
      <c r="C184" s="1923" t="str">
        <f t="shared" si="20"/>
        <v>Lantai 3 no. 31</v>
      </c>
      <c r="D184" s="1924" t="s">
        <v>2289</v>
      </c>
      <c r="E184" s="1925">
        <v>1</v>
      </c>
      <c r="F184" s="636">
        <v>8150</v>
      </c>
      <c r="G184" s="635"/>
      <c r="H184" s="635"/>
      <c r="I184" s="636">
        <f t="shared" si="21"/>
        <v>8150</v>
      </c>
      <c r="J184" s="637">
        <v>150</v>
      </c>
      <c r="K184" s="1926"/>
      <c r="L184" s="1926"/>
      <c r="M184" s="1926"/>
      <c r="N184" s="1927"/>
      <c r="Q184" s="1925"/>
    </row>
    <row r="185" spans="1:17" s="1910" customFormat="1" ht="15" customHeight="1">
      <c r="A185" s="1921" t="str">
        <f t="shared" si="22"/>
        <v>Lantai 3</v>
      </c>
      <c r="B185" s="1922">
        <f t="shared" si="23"/>
        <v>32</v>
      </c>
      <c r="C185" s="1923" t="str">
        <f t="shared" si="20"/>
        <v>Lantai 3 no. 32</v>
      </c>
      <c r="D185" s="1924" t="s">
        <v>134</v>
      </c>
      <c r="E185" s="1925">
        <v>1</v>
      </c>
      <c r="F185" s="636">
        <v>5425</v>
      </c>
      <c r="G185" s="635"/>
      <c r="H185" s="635"/>
      <c r="I185" s="636">
        <f t="shared" si="21"/>
        <v>5425</v>
      </c>
      <c r="J185" s="637">
        <v>150</v>
      </c>
      <c r="K185" s="1926"/>
      <c r="L185" s="1926"/>
      <c r="M185" s="1926"/>
      <c r="N185" s="1927"/>
      <c r="Q185" s="1925"/>
    </row>
    <row r="186" spans="1:17" s="1910" customFormat="1" ht="15" customHeight="1">
      <c r="A186" s="1921" t="str">
        <f t="shared" si="22"/>
        <v>Lantai 3</v>
      </c>
      <c r="B186" s="1922">
        <f t="shared" si="23"/>
        <v>33</v>
      </c>
      <c r="C186" s="1923" t="str">
        <f t="shared" si="20"/>
        <v>Lantai 3 no. 33</v>
      </c>
      <c r="D186" s="1924" t="s">
        <v>135</v>
      </c>
      <c r="E186" s="1925">
        <v>1</v>
      </c>
      <c r="F186" s="636">
        <v>5585</v>
      </c>
      <c r="G186" s="635"/>
      <c r="H186" s="635"/>
      <c r="I186" s="636">
        <f t="shared" si="21"/>
        <v>5585</v>
      </c>
      <c r="J186" s="637">
        <v>150</v>
      </c>
      <c r="K186" s="1926"/>
      <c r="L186" s="1926"/>
      <c r="M186" s="1926"/>
      <c r="N186" s="1927"/>
      <c r="Q186" s="1925"/>
    </row>
    <row r="187" spans="1:17" s="1910" customFormat="1" ht="15" customHeight="1">
      <c r="A187" s="1921" t="str">
        <f t="shared" si="22"/>
        <v>Lantai 3</v>
      </c>
      <c r="B187" s="1922">
        <f t="shared" si="23"/>
        <v>34</v>
      </c>
      <c r="C187" s="1923" t="str">
        <f t="shared" si="20"/>
        <v>Lantai 3 no. 34</v>
      </c>
      <c r="D187" s="1924" t="s">
        <v>135</v>
      </c>
      <c r="E187" s="1925">
        <v>1</v>
      </c>
      <c r="F187" s="636">
        <v>5325</v>
      </c>
      <c r="G187" s="635"/>
      <c r="H187" s="635"/>
      <c r="I187" s="636">
        <f t="shared" si="21"/>
        <v>5325</v>
      </c>
      <c r="J187" s="637">
        <v>150</v>
      </c>
      <c r="K187" s="1926"/>
      <c r="L187" s="1926"/>
      <c r="M187" s="1926"/>
      <c r="N187" s="1927"/>
      <c r="Q187" s="1925"/>
    </row>
    <row r="188" spans="1:17" s="1910" customFormat="1" ht="15" customHeight="1">
      <c r="A188" s="1921" t="str">
        <f t="shared" si="22"/>
        <v>Lantai 3</v>
      </c>
      <c r="B188" s="1922">
        <f t="shared" si="23"/>
        <v>35</v>
      </c>
      <c r="C188" s="1923" t="str">
        <f t="shared" si="20"/>
        <v>Lantai 3 no. 35</v>
      </c>
      <c r="D188" s="1924" t="s">
        <v>132</v>
      </c>
      <c r="E188" s="1925">
        <v>1</v>
      </c>
      <c r="F188" s="636">
        <v>3500</v>
      </c>
      <c r="G188" s="635"/>
      <c r="H188" s="635"/>
      <c r="I188" s="636">
        <f t="shared" si="21"/>
        <v>3500</v>
      </c>
      <c r="J188" s="637">
        <v>150</v>
      </c>
      <c r="K188" s="1926"/>
      <c r="L188" s="1926"/>
      <c r="M188" s="1926"/>
      <c r="N188" s="1927"/>
      <c r="Q188" s="1925"/>
    </row>
    <row r="189" spans="1:17" s="1910" customFormat="1" ht="15" customHeight="1">
      <c r="A189" s="1921" t="str">
        <f t="shared" si="22"/>
        <v>Lantai 3</v>
      </c>
      <c r="B189" s="1922">
        <f t="shared" si="23"/>
        <v>36</v>
      </c>
      <c r="C189" s="1923" t="str">
        <f t="shared" si="20"/>
        <v>Lantai 3 no. 36</v>
      </c>
      <c r="D189" s="1924" t="s">
        <v>2289</v>
      </c>
      <c r="E189" s="1925">
        <v>1</v>
      </c>
      <c r="F189" s="636">
        <v>1250</v>
      </c>
      <c r="G189" s="635"/>
      <c r="H189" s="635"/>
      <c r="I189" s="636">
        <f t="shared" si="21"/>
        <v>1250</v>
      </c>
      <c r="J189" s="637">
        <v>150</v>
      </c>
      <c r="K189" s="1926"/>
      <c r="L189" s="1926"/>
      <c r="M189" s="1926"/>
      <c r="N189" s="1927"/>
      <c r="Q189" s="1925"/>
    </row>
    <row r="190" spans="1:17" s="1910" customFormat="1" ht="15" customHeight="1">
      <c r="A190" s="1921" t="str">
        <f t="shared" si="22"/>
        <v>Lantai 3</v>
      </c>
      <c r="B190" s="1922">
        <f t="shared" si="23"/>
        <v>37</v>
      </c>
      <c r="C190" s="1923" t="str">
        <f t="shared" si="20"/>
        <v>Lantai 3 no. 37</v>
      </c>
      <c r="D190" s="1924" t="s">
        <v>134</v>
      </c>
      <c r="E190" s="1925">
        <v>1</v>
      </c>
      <c r="F190" s="636">
        <v>4075</v>
      </c>
      <c r="G190" s="635"/>
      <c r="H190" s="635"/>
      <c r="I190" s="636">
        <f t="shared" si="21"/>
        <v>4075</v>
      </c>
      <c r="J190" s="637">
        <v>150</v>
      </c>
      <c r="K190" s="1926"/>
      <c r="L190" s="1926"/>
      <c r="M190" s="1926"/>
      <c r="N190" s="1927"/>
      <c r="Q190" s="1925"/>
    </row>
    <row r="191" spans="1:17" s="1910" customFormat="1" ht="15" customHeight="1">
      <c r="A191" s="1921" t="str">
        <f t="shared" si="22"/>
        <v>Lantai 3</v>
      </c>
      <c r="B191" s="1922">
        <f t="shared" si="23"/>
        <v>38</v>
      </c>
      <c r="C191" s="1923" t="str">
        <f t="shared" si="20"/>
        <v>Lantai 3 no. 38</v>
      </c>
      <c r="D191" s="1924" t="s">
        <v>132</v>
      </c>
      <c r="E191" s="1925">
        <v>1</v>
      </c>
      <c r="F191" s="636">
        <v>2875</v>
      </c>
      <c r="G191" s="635"/>
      <c r="H191" s="635"/>
      <c r="I191" s="636">
        <f t="shared" si="21"/>
        <v>2875</v>
      </c>
      <c r="J191" s="637">
        <v>150</v>
      </c>
      <c r="K191" s="1926"/>
      <c r="L191" s="1926"/>
      <c r="M191" s="1926"/>
      <c r="N191" s="1927"/>
      <c r="Q191" s="1925"/>
    </row>
    <row r="192" spans="1:17" s="1910" customFormat="1" ht="15" customHeight="1">
      <c r="A192" s="1921" t="str">
        <f t="shared" si="22"/>
        <v>Lantai 3</v>
      </c>
      <c r="B192" s="1922">
        <f t="shared" si="23"/>
        <v>39</v>
      </c>
      <c r="C192" s="1923" t="str">
        <f t="shared" si="20"/>
        <v>Lantai 3 no. 39</v>
      </c>
      <c r="D192" s="1924" t="s">
        <v>135</v>
      </c>
      <c r="E192" s="1925">
        <v>1</v>
      </c>
      <c r="F192" s="636">
        <v>4100</v>
      </c>
      <c r="G192" s="635"/>
      <c r="H192" s="635"/>
      <c r="I192" s="636">
        <f t="shared" si="21"/>
        <v>4100</v>
      </c>
      <c r="J192" s="637">
        <v>150</v>
      </c>
      <c r="K192" s="1926"/>
      <c r="L192" s="1926"/>
      <c r="M192" s="1926"/>
      <c r="N192" s="1927"/>
      <c r="Q192" s="1925"/>
    </row>
    <row r="193" spans="1:17" s="1910" customFormat="1" ht="15" customHeight="1">
      <c r="A193" s="1921" t="str">
        <f t="shared" si="22"/>
        <v>Lantai 3</v>
      </c>
      <c r="B193" s="1922">
        <f t="shared" si="23"/>
        <v>40</v>
      </c>
      <c r="C193" s="1923" t="str">
        <f t="shared" si="20"/>
        <v>Lantai 3 no. 40</v>
      </c>
      <c r="D193" s="1924" t="s">
        <v>135</v>
      </c>
      <c r="E193" s="1925">
        <v>1</v>
      </c>
      <c r="F193" s="636">
        <v>4000</v>
      </c>
      <c r="G193" s="635"/>
      <c r="H193" s="635"/>
      <c r="I193" s="636">
        <f t="shared" si="21"/>
        <v>4000</v>
      </c>
      <c r="J193" s="637">
        <v>150</v>
      </c>
      <c r="K193" s="1926"/>
      <c r="L193" s="1926"/>
      <c r="M193" s="1926"/>
      <c r="N193" s="1927"/>
      <c r="Q193" s="1925"/>
    </row>
    <row r="194" spans="1:17" s="1910" customFormat="1" ht="15" customHeight="1">
      <c r="A194" s="1921" t="str">
        <f t="shared" si="22"/>
        <v>Lantai 3</v>
      </c>
      <c r="B194" s="1922">
        <f t="shared" si="23"/>
        <v>41</v>
      </c>
      <c r="C194" s="1923" t="str">
        <f t="shared" si="20"/>
        <v>Lantai 3 no. 41</v>
      </c>
      <c r="D194" s="1924" t="s">
        <v>135</v>
      </c>
      <c r="E194" s="1925">
        <v>1</v>
      </c>
      <c r="F194" s="636">
        <v>15425</v>
      </c>
      <c r="G194" s="635"/>
      <c r="H194" s="635"/>
      <c r="I194" s="636">
        <f t="shared" si="21"/>
        <v>15425</v>
      </c>
      <c r="J194" s="637">
        <v>150</v>
      </c>
      <c r="K194" s="1926"/>
      <c r="L194" s="1926"/>
      <c r="M194" s="1926"/>
      <c r="N194" s="1927"/>
      <c r="Q194" s="1925"/>
    </row>
    <row r="195" spans="1:17" s="1910" customFormat="1" ht="15" customHeight="1">
      <c r="A195" s="1921" t="str">
        <f t="shared" si="22"/>
        <v>Lantai 3</v>
      </c>
      <c r="B195" s="1922">
        <f t="shared" si="23"/>
        <v>42</v>
      </c>
      <c r="C195" s="1923" t="str">
        <f t="shared" si="20"/>
        <v>Lantai 3 no. 42</v>
      </c>
      <c r="D195" s="1924" t="s">
        <v>133</v>
      </c>
      <c r="E195" s="1925">
        <v>1</v>
      </c>
      <c r="F195" s="636">
        <v>3125</v>
      </c>
      <c r="G195" s="635"/>
      <c r="H195" s="635"/>
      <c r="I195" s="636">
        <f t="shared" si="21"/>
        <v>3125</v>
      </c>
      <c r="J195" s="637">
        <v>150</v>
      </c>
      <c r="K195" s="1926"/>
      <c r="L195" s="1926"/>
      <c r="M195" s="1926"/>
      <c r="N195" s="1927"/>
      <c r="Q195" s="1925"/>
    </row>
    <row r="196" spans="1:17" s="1910" customFormat="1" ht="15" customHeight="1">
      <c r="A196" s="1921" t="str">
        <f t="shared" si="22"/>
        <v>Lantai 3</v>
      </c>
      <c r="B196" s="1922">
        <f t="shared" si="23"/>
        <v>43</v>
      </c>
      <c r="C196" s="1923" t="str">
        <f t="shared" si="20"/>
        <v>Lantai 3 no. 43</v>
      </c>
      <c r="D196" s="1924" t="s">
        <v>133</v>
      </c>
      <c r="E196" s="1925">
        <v>1</v>
      </c>
      <c r="F196" s="636">
        <v>3125</v>
      </c>
      <c r="G196" s="635"/>
      <c r="H196" s="635"/>
      <c r="I196" s="636">
        <f t="shared" si="21"/>
        <v>3125</v>
      </c>
      <c r="J196" s="637">
        <v>150</v>
      </c>
      <c r="K196" s="1926"/>
      <c r="L196" s="1926"/>
      <c r="M196" s="1926"/>
      <c r="N196" s="1927"/>
      <c r="Q196" s="1925"/>
    </row>
    <row r="197" spans="1:17" s="1910" customFormat="1" ht="15" customHeight="1">
      <c r="A197" s="1921" t="str">
        <f t="shared" si="22"/>
        <v>Lantai 3</v>
      </c>
      <c r="B197" s="1922">
        <f t="shared" si="23"/>
        <v>44</v>
      </c>
      <c r="C197" s="1923" t="str">
        <f t="shared" si="20"/>
        <v>Lantai 3 no. 44</v>
      </c>
      <c r="D197" s="1924" t="s">
        <v>133</v>
      </c>
      <c r="E197" s="1925">
        <v>1</v>
      </c>
      <c r="F197" s="636">
        <v>12750</v>
      </c>
      <c r="G197" s="635"/>
      <c r="H197" s="635"/>
      <c r="I197" s="636">
        <f t="shared" si="21"/>
        <v>12750</v>
      </c>
      <c r="J197" s="637">
        <v>150</v>
      </c>
      <c r="K197" s="1926"/>
      <c r="L197" s="1926"/>
      <c r="M197" s="1926"/>
      <c r="N197" s="1927"/>
      <c r="Q197" s="1925"/>
    </row>
    <row r="198" spans="1:17" s="1910" customFormat="1" ht="15" customHeight="1">
      <c r="A198" s="1921" t="str">
        <f t="shared" si="22"/>
        <v>Lantai 3</v>
      </c>
      <c r="B198" s="1922">
        <f t="shared" si="23"/>
        <v>45</v>
      </c>
      <c r="C198" s="1923" t="str">
        <f t="shared" si="20"/>
        <v>Lantai 3 no. 45</v>
      </c>
      <c r="D198" s="1924" t="s">
        <v>133</v>
      </c>
      <c r="E198" s="1925">
        <v>1</v>
      </c>
      <c r="F198" s="636">
        <v>12750</v>
      </c>
      <c r="G198" s="635"/>
      <c r="H198" s="635"/>
      <c r="I198" s="636">
        <f t="shared" si="21"/>
        <v>12750</v>
      </c>
      <c r="J198" s="637">
        <v>150</v>
      </c>
      <c r="K198" s="1926"/>
      <c r="L198" s="1926"/>
      <c r="M198" s="1926"/>
      <c r="N198" s="1927"/>
      <c r="Q198" s="1925"/>
    </row>
    <row r="199" spans="1:17" s="1910" customFormat="1" ht="15" customHeight="1">
      <c r="A199" s="1921" t="str">
        <f t="shared" si="22"/>
        <v>Lantai 3</v>
      </c>
      <c r="B199" s="1922">
        <f t="shared" si="23"/>
        <v>46</v>
      </c>
      <c r="C199" s="1923" t="str">
        <f t="shared" si="20"/>
        <v>Lantai 3 no. 46</v>
      </c>
      <c r="D199" s="1924" t="s">
        <v>135</v>
      </c>
      <c r="E199" s="1925">
        <v>1</v>
      </c>
      <c r="F199" s="636">
        <v>1600</v>
      </c>
      <c r="G199" s="635"/>
      <c r="H199" s="635"/>
      <c r="I199" s="636">
        <f t="shared" si="21"/>
        <v>1600</v>
      </c>
      <c r="J199" s="637">
        <v>150</v>
      </c>
      <c r="K199" s="1926"/>
      <c r="L199" s="1926"/>
      <c r="M199" s="1926"/>
      <c r="N199" s="1927"/>
      <c r="Q199" s="1925"/>
    </row>
    <row r="200" spans="1:17" s="1910" customFormat="1" ht="15" customHeight="1">
      <c r="A200" s="1921" t="str">
        <f t="shared" si="22"/>
        <v>Lantai 3</v>
      </c>
      <c r="B200" s="1922">
        <f t="shared" si="23"/>
        <v>47</v>
      </c>
      <c r="C200" s="1923" t="str">
        <f t="shared" si="20"/>
        <v>Lantai 3 no. 47</v>
      </c>
      <c r="D200" s="1924" t="s">
        <v>2289</v>
      </c>
      <c r="E200" s="1925">
        <v>1</v>
      </c>
      <c r="F200" s="636">
        <v>12650</v>
      </c>
      <c r="G200" s="635"/>
      <c r="H200" s="635"/>
      <c r="I200" s="636">
        <f t="shared" si="21"/>
        <v>12650</v>
      </c>
      <c r="J200" s="637">
        <v>150</v>
      </c>
      <c r="K200" s="1926"/>
      <c r="L200" s="1926"/>
      <c r="M200" s="1926"/>
      <c r="N200" s="1927"/>
      <c r="Q200" s="1925"/>
    </row>
    <row r="201" spans="1:17" s="1910" customFormat="1" ht="15" customHeight="1">
      <c r="A201" s="1921" t="str">
        <f t="shared" si="22"/>
        <v>Lantai 3</v>
      </c>
      <c r="B201" s="1922">
        <f t="shared" si="23"/>
        <v>48</v>
      </c>
      <c r="C201" s="1923" t="str">
        <f t="shared" si="20"/>
        <v>Lantai 3 no. 48</v>
      </c>
      <c r="D201" s="1924" t="s">
        <v>134</v>
      </c>
      <c r="E201" s="1925">
        <v>1</v>
      </c>
      <c r="F201" s="636">
        <v>5825</v>
      </c>
      <c r="G201" s="635"/>
      <c r="H201" s="635"/>
      <c r="I201" s="636">
        <f t="shared" si="21"/>
        <v>5825</v>
      </c>
      <c r="J201" s="637">
        <v>150</v>
      </c>
      <c r="K201" s="1926"/>
      <c r="L201" s="1926"/>
      <c r="M201" s="1926"/>
      <c r="N201" s="1927"/>
      <c r="Q201" s="1925"/>
    </row>
    <row r="202" spans="1:17" s="1910" customFormat="1" ht="15" customHeight="1">
      <c r="A202" s="1921" t="str">
        <f t="shared" si="22"/>
        <v>Lantai 3</v>
      </c>
      <c r="B202" s="1922">
        <f t="shared" si="23"/>
        <v>49</v>
      </c>
      <c r="C202" s="1923" t="str">
        <f t="shared" si="20"/>
        <v>Lantai 3 no. 49</v>
      </c>
      <c r="D202" s="1924" t="s">
        <v>132</v>
      </c>
      <c r="E202" s="1925">
        <v>1</v>
      </c>
      <c r="F202" s="636">
        <v>1705</v>
      </c>
      <c r="G202" s="635"/>
      <c r="H202" s="635"/>
      <c r="I202" s="636">
        <f t="shared" si="21"/>
        <v>1705</v>
      </c>
      <c r="J202" s="637"/>
      <c r="K202" s="1926"/>
      <c r="L202" s="1926"/>
      <c r="M202" s="1926"/>
      <c r="N202" s="1927"/>
      <c r="Q202" s="1925"/>
    </row>
    <row r="203" spans="1:17" s="1910" customFormat="1" ht="15" customHeight="1">
      <c r="A203" s="1921" t="str">
        <f t="shared" si="22"/>
        <v>Lantai 3</v>
      </c>
      <c r="B203" s="1922">
        <f t="shared" si="23"/>
        <v>50</v>
      </c>
      <c r="C203" s="1923" t="str">
        <f t="shared" si="20"/>
        <v>Lantai 3 no. 50</v>
      </c>
      <c r="D203" s="1924" t="s">
        <v>132</v>
      </c>
      <c r="E203" s="1925">
        <v>1</v>
      </c>
      <c r="F203" s="636">
        <v>1705</v>
      </c>
      <c r="G203" s="635"/>
      <c r="H203" s="635"/>
      <c r="I203" s="636">
        <f t="shared" si="21"/>
        <v>1705</v>
      </c>
      <c r="J203" s="637"/>
      <c r="K203" s="1926"/>
      <c r="L203" s="1926"/>
      <c r="M203" s="1926"/>
      <c r="N203" s="1927"/>
      <c r="Q203" s="1925"/>
    </row>
    <row r="204" spans="1:17" s="1910" customFormat="1" ht="15" customHeight="1">
      <c r="A204" s="1921" t="str">
        <f t="shared" si="22"/>
        <v>Lantai 3</v>
      </c>
      <c r="B204" s="1922">
        <f t="shared" si="23"/>
        <v>51</v>
      </c>
      <c r="C204" s="1923" t="str">
        <f t="shared" si="20"/>
        <v>Lantai 3 no. 51</v>
      </c>
      <c r="D204" s="1924" t="s">
        <v>2289</v>
      </c>
      <c r="E204" s="1925">
        <v>1</v>
      </c>
      <c r="F204" s="636">
        <v>925</v>
      </c>
      <c r="G204" s="635"/>
      <c r="H204" s="635"/>
      <c r="I204" s="636">
        <f t="shared" si="21"/>
        <v>925</v>
      </c>
      <c r="J204" s="637"/>
      <c r="K204" s="1926"/>
      <c r="L204" s="1926"/>
      <c r="M204" s="1926"/>
      <c r="N204" s="1927"/>
      <c r="Q204" s="1925"/>
    </row>
    <row r="205" spans="1:17" s="1910" customFormat="1" ht="15" customHeight="1">
      <c r="A205" s="1921" t="str">
        <f t="shared" si="22"/>
        <v>Lantai 3</v>
      </c>
      <c r="B205" s="1922">
        <f t="shared" si="23"/>
        <v>52</v>
      </c>
      <c r="C205" s="1923" t="str">
        <f t="shared" si="20"/>
        <v>Lantai 3 no. 52</v>
      </c>
      <c r="D205" s="1924" t="s">
        <v>2289</v>
      </c>
      <c r="E205" s="1925">
        <v>1</v>
      </c>
      <c r="F205" s="636">
        <v>925</v>
      </c>
      <c r="G205" s="635"/>
      <c r="H205" s="635"/>
      <c r="I205" s="636">
        <f t="shared" si="21"/>
        <v>925</v>
      </c>
      <c r="J205" s="637"/>
      <c r="K205" s="1926"/>
      <c r="L205" s="1926"/>
      <c r="M205" s="1926"/>
      <c r="N205" s="1927"/>
      <c r="Q205" s="1925"/>
    </row>
    <row r="206" spans="1:17" s="1910" customFormat="1" ht="15" customHeight="1">
      <c r="A206" s="1921" t="str">
        <f t="shared" si="22"/>
        <v>Lantai 3</v>
      </c>
      <c r="B206" s="1922">
        <f t="shared" si="23"/>
        <v>53</v>
      </c>
      <c r="C206" s="1923" t="str">
        <f t="shared" si="20"/>
        <v>Lantai 3 no. 53</v>
      </c>
      <c r="D206" s="1924" t="s">
        <v>135</v>
      </c>
      <c r="E206" s="1925">
        <v>1</v>
      </c>
      <c r="F206" s="636">
        <v>6325</v>
      </c>
      <c r="G206" s="635"/>
      <c r="H206" s="635"/>
      <c r="I206" s="636">
        <f t="shared" si="21"/>
        <v>6325</v>
      </c>
      <c r="J206" s="637"/>
      <c r="K206" s="1926"/>
      <c r="L206" s="1926"/>
      <c r="M206" s="1926"/>
      <c r="N206" s="1927"/>
      <c r="Q206" s="1925"/>
    </row>
    <row r="207" spans="1:17" s="1910" customFormat="1" ht="15" customHeight="1">
      <c r="A207" s="1921" t="str">
        <f t="shared" si="22"/>
        <v>Lantai 3</v>
      </c>
      <c r="B207" s="1922">
        <f t="shared" si="23"/>
        <v>54</v>
      </c>
      <c r="C207" s="1923" t="str">
        <f t="shared" si="20"/>
        <v>Lantai 3 no. 54</v>
      </c>
      <c r="D207" s="1924" t="s">
        <v>135</v>
      </c>
      <c r="E207" s="1925">
        <v>1</v>
      </c>
      <c r="F207" s="636">
        <v>4555</v>
      </c>
      <c r="G207" s="635"/>
      <c r="H207" s="635"/>
      <c r="I207" s="636">
        <f t="shared" si="21"/>
        <v>4555</v>
      </c>
      <c r="J207" s="637">
        <v>150</v>
      </c>
      <c r="K207" s="1926"/>
      <c r="L207" s="1926"/>
      <c r="M207" s="1926"/>
      <c r="N207" s="1927"/>
      <c r="Q207" s="1925"/>
    </row>
    <row r="208" spans="1:17" s="1910" customFormat="1" ht="15" customHeight="1">
      <c r="A208" s="1921" t="str">
        <f t="shared" si="22"/>
        <v>Lantai 3</v>
      </c>
      <c r="B208" s="1922">
        <f t="shared" si="23"/>
        <v>55</v>
      </c>
      <c r="C208" s="1923" t="str">
        <f t="shared" si="20"/>
        <v>Lantai 3 no. 55</v>
      </c>
      <c r="D208" s="1924" t="s">
        <v>2289</v>
      </c>
      <c r="E208" s="1925">
        <v>1</v>
      </c>
      <c r="F208" s="636">
        <v>5300</v>
      </c>
      <c r="G208" s="635"/>
      <c r="H208" s="635"/>
      <c r="I208" s="636">
        <f t="shared" si="21"/>
        <v>5300</v>
      </c>
      <c r="J208" s="637">
        <v>150</v>
      </c>
      <c r="K208" s="1926"/>
      <c r="L208" s="1926"/>
      <c r="M208" s="1926"/>
      <c r="N208" s="1927"/>
      <c r="Q208" s="1925"/>
    </row>
    <row r="209" spans="1:17" s="1910" customFormat="1" ht="15" customHeight="1">
      <c r="A209" s="1921" t="str">
        <f t="shared" si="22"/>
        <v>Lantai 3</v>
      </c>
      <c r="B209" s="1922">
        <f t="shared" si="23"/>
        <v>56</v>
      </c>
      <c r="C209" s="1923" t="str">
        <f t="shared" si="20"/>
        <v>Lantai 3 no. 56</v>
      </c>
      <c r="D209" s="1924" t="s">
        <v>2289</v>
      </c>
      <c r="E209" s="1925">
        <v>1</v>
      </c>
      <c r="F209" s="636">
        <v>1250</v>
      </c>
      <c r="G209" s="635"/>
      <c r="H209" s="635"/>
      <c r="I209" s="636">
        <f t="shared" si="21"/>
        <v>1250</v>
      </c>
      <c r="J209" s="637">
        <v>150</v>
      </c>
      <c r="K209" s="1926"/>
      <c r="L209" s="1926"/>
      <c r="M209" s="1926"/>
      <c r="N209" s="1927"/>
      <c r="Q209" s="1925"/>
    </row>
    <row r="210" spans="1:17" s="1910" customFormat="1" ht="15" customHeight="1">
      <c r="A210" s="1921" t="str">
        <f t="shared" si="22"/>
        <v>Lantai 3</v>
      </c>
      <c r="B210" s="1922">
        <f t="shared" si="23"/>
        <v>57</v>
      </c>
      <c r="C210" s="1923" t="str">
        <f t="shared" si="20"/>
        <v>Lantai 3 no. 57</v>
      </c>
      <c r="D210" s="1924" t="s">
        <v>2289</v>
      </c>
      <c r="E210" s="1925">
        <v>1</v>
      </c>
      <c r="F210" s="636">
        <v>1250</v>
      </c>
      <c r="G210" s="635"/>
      <c r="H210" s="635"/>
      <c r="I210" s="636">
        <f t="shared" si="21"/>
        <v>1250</v>
      </c>
      <c r="J210" s="637">
        <v>150</v>
      </c>
      <c r="K210" s="1926"/>
      <c r="L210" s="1926"/>
      <c r="M210" s="1926"/>
      <c r="N210" s="1927"/>
      <c r="Q210" s="1925"/>
    </row>
    <row r="211" spans="1:17" s="1910" customFormat="1" ht="15" customHeight="1">
      <c r="A211" s="1921" t="str">
        <f t="shared" si="22"/>
        <v>Lantai 3</v>
      </c>
      <c r="B211" s="1922">
        <f t="shared" si="23"/>
        <v>58</v>
      </c>
      <c r="C211" s="1923" t="str">
        <f t="shared" si="20"/>
        <v>Lantai 3 no. 58</v>
      </c>
      <c r="D211" s="1924" t="s">
        <v>2289</v>
      </c>
      <c r="E211" s="1925">
        <v>1</v>
      </c>
      <c r="F211" s="636">
        <v>1250</v>
      </c>
      <c r="G211" s="635"/>
      <c r="H211" s="635"/>
      <c r="I211" s="636">
        <f t="shared" si="21"/>
        <v>1250</v>
      </c>
      <c r="J211" s="637">
        <v>150</v>
      </c>
      <c r="K211" s="1926"/>
      <c r="L211" s="1926"/>
      <c r="M211" s="1926"/>
      <c r="N211" s="1927"/>
      <c r="Q211" s="1925"/>
    </row>
    <row r="212" spans="1:17" s="1910" customFormat="1" ht="15" customHeight="1">
      <c r="A212" s="1921" t="str">
        <f t="shared" si="22"/>
        <v>Lantai 3</v>
      </c>
      <c r="B212" s="1922">
        <f t="shared" si="23"/>
        <v>59</v>
      </c>
      <c r="C212" s="1923" t="str">
        <f t="shared" si="20"/>
        <v>Lantai 3 no. 59</v>
      </c>
      <c r="D212" s="1924" t="s">
        <v>2289</v>
      </c>
      <c r="E212" s="1925">
        <v>1</v>
      </c>
      <c r="F212" s="636">
        <v>1325</v>
      </c>
      <c r="G212" s="635"/>
      <c r="H212" s="635"/>
      <c r="I212" s="636">
        <f t="shared" si="21"/>
        <v>1325</v>
      </c>
      <c r="J212" s="637">
        <v>150</v>
      </c>
      <c r="K212" s="1926"/>
      <c r="L212" s="1926"/>
      <c r="M212" s="1926"/>
      <c r="N212" s="1927"/>
      <c r="Q212" s="1925"/>
    </row>
    <row r="213" spans="1:17" s="1910" customFormat="1" ht="15" customHeight="1">
      <c r="A213" s="1921" t="str">
        <f t="shared" si="22"/>
        <v>Lantai 3</v>
      </c>
      <c r="B213" s="1922">
        <f t="shared" si="23"/>
        <v>60</v>
      </c>
      <c r="C213" s="1923" t="str">
        <f t="shared" si="20"/>
        <v>Lantai 3 no. 60</v>
      </c>
      <c r="D213" s="1924" t="s">
        <v>2289</v>
      </c>
      <c r="E213" s="1925">
        <v>1</v>
      </c>
      <c r="F213" s="636">
        <v>1250</v>
      </c>
      <c r="G213" s="635"/>
      <c r="H213" s="635"/>
      <c r="I213" s="636">
        <f t="shared" si="21"/>
        <v>1250</v>
      </c>
      <c r="J213" s="637">
        <v>150</v>
      </c>
      <c r="K213" s="1926"/>
      <c r="L213" s="1926"/>
      <c r="M213" s="1926"/>
      <c r="N213" s="1927"/>
      <c r="Q213" s="1925"/>
    </row>
    <row r="214" spans="1:17" s="1910" customFormat="1" ht="15" customHeight="1">
      <c r="A214" s="1921" t="str">
        <f t="shared" si="22"/>
        <v>Lantai 3</v>
      </c>
      <c r="B214" s="1922">
        <f t="shared" si="23"/>
        <v>61</v>
      </c>
      <c r="C214" s="1923" t="str">
        <f t="shared" ref="C214" si="24">CONCATENATE(A214," no. ",B214)</f>
        <v>Lantai 3 no. 61</v>
      </c>
      <c r="D214" s="1924" t="s">
        <v>2286</v>
      </c>
      <c r="E214" s="1925">
        <v>1</v>
      </c>
      <c r="F214" s="636">
        <v>10750</v>
      </c>
      <c r="G214" s="635"/>
      <c r="H214" s="635"/>
      <c r="I214" s="636">
        <f t="shared" ref="I214" si="25">+F214-G214-H214</f>
        <v>10750</v>
      </c>
      <c r="J214" s="637"/>
      <c r="K214" s="1926"/>
      <c r="L214" s="1926"/>
      <c r="M214" s="1926"/>
      <c r="N214" s="1927"/>
      <c r="Q214" s="1925"/>
    </row>
    <row r="215" spans="1:17" s="1910" customFormat="1" ht="15" customHeight="1">
      <c r="A215" s="1921" t="str">
        <f t="shared" si="22"/>
        <v>Lantai 3</v>
      </c>
      <c r="B215" s="1922">
        <f t="shared" si="23"/>
        <v>62</v>
      </c>
      <c r="C215" s="1923" t="str">
        <f t="shared" ref="C215" si="26">CONCATENATE(A215," no. ",B215)</f>
        <v>Lantai 3 no. 62</v>
      </c>
      <c r="D215" s="1924" t="s">
        <v>2288</v>
      </c>
      <c r="E215" s="1925">
        <v>1</v>
      </c>
      <c r="F215" s="636">
        <v>4175</v>
      </c>
      <c r="G215" s="635"/>
      <c r="H215" s="635"/>
      <c r="I215" s="636">
        <f t="shared" ref="I215" si="27">+F215-G215-H215</f>
        <v>4175</v>
      </c>
      <c r="J215" s="637">
        <v>150</v>
      </c>
      <c r="K215" s="1926"/>
      <c r="L215" s="1926"/>
      <c r="M215" s="1926"/>
      <c r="N215" s="1927"/>
      <c r="Q215" s="1925"/>
    </row>
    <row r="216" spans="1:17" s="1910" customFormat="1" ht="15" customHeight="1">
      <c r="A216" s="1921" t="str">
        <f t="shared" si="22"/>
        <v>Lantai 3</v>
      </c>
      <c r="B216" s="1922">
        <f t="shared" si="23"/>
        <v>63</v>
      </c>
      <c r="C216" s="1923" t="str">
        <f t="shared" ref="C216" si="28">CONCATENATE(A216," no. ",B216)</f>
        <v>Lantai 3 no. 63</v>
      </c>
      <c r="D216" s="1924" t="s">
        <v>2288</v>
      </c>
      <c r="E216" s="1925">
        <v>1</v>
      </c>
      <c r="F216" s="636">
        <v>4175</v>
      </c>
      <c r="G216" s="635"/>
      <c r="H216" s="635"/>
      <c r="I216" s="636">
        <f t="shared" ref="I216" si="29">+F216-G216-H216</f>
        <v>4175</v>
      </c>
      <c r="J216" s="637">
        <v>150</v>
      </c>
      <c r="K216" s="1926"/>
      <c r="L216" s="1926"/>
      <c r="M216" s="1926"/>
      <c r="N216" s="1927"/>
      <c r="Q216" s="1925"/>
    </row>
    <row r="217" spans="1:17" s="1910" customFormat="1" ht="15" customHeight="1">
      <c r="A217" s="1921" t="str">
        <f t="shared" si="22"/>
        <v>Lantai 3</v>
      </c>
      <c r="B217" s="1922">
        <f t="shared" si="23"/>
        <v>64</v>
      </c>
      <c r="C217" s="1923" t="str">
        <f t="shared" ref="C217" si="30">CONCATENATE(A217," no. ",B217)</f>
        <v>Lantai 3 no. 64</v>
      </c>
      <c r="D217" s="1924" t="s">
        <v>2286</v>
      </c>
      <c r="E217" s="1925">
        <v>1</v>
      </c>
      <c r="F217" s="636">
        <v>6570</v>
      </c>
      <c r="G217" s="635"/>
      <c r="H217" s="635"/>
      <c r="I217" s="636">
        <f t="shared" ref="I217" si="31">+F217-G217-H217</f>
        <v>6570</v>
      </c>
      <c r="J217" s="637"/>
      <c r="K217" s="1926"/>
      <c r="L217" s="1926"/>
      <c r="M217" s="1926"/>
      <c r="N217" s="1927"/>
      <c r="Q217" s="1925"/>
    </row>
    <row r="218" spans="1:17" s="1910" customFormat="1" ht="15" customHeight="1">
      <c r="A218" s="1921"/>
      <c r="B218" s="1922"/>
      <c r="C218" s="1923"/>
      <c r="D218" s="1924"/>
      <c r="E218" s="1925"/>
      <c r="F218" s="636"/>
      <c r="G218" s="635"/>
      <c r="H218" s="635"/>
      <c r="I218" s="636"/>
      <c r="J218" s="637"/>
      <c r="K218" s="1926"/>
      <c r="L218" s="1926"/>
      <c r="M218" s="1926"/>
      <c r="N218" s="1927"/>
      <c r="Q218" s="1925"/>
    </row>
    <row r="219" spans="1:17" s="1910" customFormat="1" ht="15" customHeight="1">
      <c r="A219" s="1921" t="s">
        <v>137</v>
      </c>
      <c r="B219" s="1922">
        <v>1</v>
      </c>
      <c r="C219" s="1923" t="str">
        <f t="shared" ref="C219:C220" si="32">CONCATENATE(A219," no. ",B219)</f>
        <v>Lantai Atap no. 1</v>
      </c>
      <c r="D219" s="1924" t="s">
        <v>2286</v>
      </c>
      <c r="E219" s="1925">
        <v>1</v>
      </c>
      <c r="F219" s="636">
        <v>9250</v>
      </c>
      <c r="G219" s="635"/>
      <c r="H219" s="635"/>
      <c r="I219" s="636">
        <f t="shared" ref="I219:I220" si="33">+F219-G219-H219</f>
        <v>9250</v>
      </c>
      <c r="J219" s="637"/>
      <c r="K219" s="1926"/>
      <c r="L219" s="1926"/>
      <c r="M219" s="1926"/>
      <c r="N219" s="1927"/>
      <c r="Q219" s="1925"/>
    </row>
    <row r="220" spans="1:17" s="1910" customFormat="1" ht="15" customHeight="1">
      <c r="A220" s="1921" t="str">
        <f t="shared" ref="A220:A253" si="34">A219</f>
        <v>Lantai Atap</v>
      </c>
      <c r="B220" s="1922">
        <f>B219+1</f>
        <v>2</v>
      </c>
      <c r="C220" s="1923" t="str">
        <f t="shared" si="32"/>
        <v>Lantai Atap no. 2</v>
      </c>
      <c r="D220" s="1924" t="s">
        <v>2286</v>
      </c>
      <c r="E220" s="1925">
        <v>1</v>
      </c>
      <c r="F220" s="636">
        <v>5145</v>
      </c>
      <c r="G220" s="635"/>
      <c r="H220" s="635"/>
      <c r="I220" s="636">
        <f t="shared" si="33"/>
        <v>5145</v>
      </c>
      <c r="J220" s="637"/>
      <c r="K220" s="1926"/>
      <c r="L220" s="1926"/>
      <c r="M220" s="1926"/>
      <c r="N220" s="1927"/>
      <c r="Q220" s="1925"/>
    </row>
    <row r="221" spans="1:17" s="1910" customFormat="1" ht="15" customHeight="1">
      <c r="A221" s="1921" t="str">
        <f t="shared" si="34"/>
        <v>Lantai Atap</v>
      </c>
      <c r="B221" s="1922">
        <f t="shared" ref="B221:B253" si="35">B220+1</f>
        <v>3</v>
      </c>
      <c r="C221" s="1923" t="str">
        <f t="shared" ref="C221:C253" si="36">CONCATENATE(A221," no. ",B221)</f>
        <v>Lantai Atap no. 3</v>
      </c>
      <c r="D221" s="1924" t="s">
        <v>2286</v>
      </c>
      <c r="E221" s="1925">
        <v>1</v>
      </c>
      <c r="F221" s="636">
        <v>4075</v>
      </c>
      <c r="G221" s="635"/>
      <c r="H221" s="635"/>
      <c r="I221" s="636">
        <f t="shared" ref="I221:I253" si="37">+F221-G221-H221</f>
        <v>4075</v>
      </c>
      <c r="J221" s="637"/>
      <c r="K221" s="1926"/>
      <c r="L221" s="1926"/>
      <c r="M221" s="1926"/>
      <c r="N221" s="1927"/>
      <c r="Q221" s="1925"/>
    </row>
    <row r="222" spans="1:17" s="1910" customFormat="1" ht="15" customHeight="1">
      <c r="A222" s="1921" t="str">
        <f t="shared" si="34"/>
        <v>Lantai Atap</v>
      </c>
      <c r="B222" s="1922">
        <f t="shared" si="35"/>
        <v>4</v>
      </c>
      <c r="C222" s="1923" t="str">
        <f t="shared" si="36"/>
        <v>Lantai Atap no. 4</v>
      </c>
      <c r="D222" s="1924" t="s">
        <v>2286</v>
      </c>
      <c r="E222" s="1925">
        <v>1</v>
      </c>
      <c r="F222" s="636">
        <v>5160</v>
      </c>
      <c r="G222" s="635"/>
      <c r="H222" s="635"/>
      <c r="I222" s="636">
        <f t="shared" si="37"/>
        <v>5160</v>
      </c>
      <c r="J222" s="637"/>
      <c r="K222" s="1926"/>
      <c r="L222" s="1926"/>
      <c r="M222" s="1926"/>
      <c r="N222" s="1927"/>
      <c r="Q222" s="1925"/>
    </row>
    <row r="223" spans="1:17" s="1910" customFormat="1" ht="15" customHeight="1">
      <c r="A223" s="1921" t="str">
        <f t="shared" si="34"/>
        <v>Lantai Atap</v>
      </c>
      <c r="B223" s="1922">
        <f t="shared" si="35"/>
        <v>5</v>
      </c>
      <c r="C223" s="1923" t="str">
        <f t="shared" si="36"/>
        <v>Lantai Atap no. 5</v>
      </c>
      <c r="D223" s="1924" t="s">
        <v>2287</v>
      </c>
      <c r="E223" s="1925">
        <v>1</v>
      </c>
      <c r="F223" s="636">
        <v>6015</v>
      </c>
      <c r="G223" s="635"/>
      <c r="H223" s="635"/>
      <c r="I223" s="636">
        <f t="shared" si="37"/>
        <v>6015</v>
      </c>
      <c r="J223" s="637"/>
      <c r="K223" s="1926"/>
      <c r="L223" s="1926"/>
      <c r="M223" s="1926"/>
      <c r="N223" s="1927"/>
      <c r="Q223" s="1925"/>
    </row>
    <row r="224" spans="1:17" s="1910" customFormat="1" ht="15" customHeight="1">
      <c r="A224" s="1921" t="str">
        <f t="shared" si="34"/>
        <v>Lantai Atap</v>
      </c>
      <c r="B224" s="1922">
        <f t="shared" si="35"/>
        <v>6</v>
      </c>
      <c r="C224" s="1923" t="str">
        <f t="shared" si="36"/>
        <v>Lantai Atap no. 6</v>
      </c>
      <c r="D224" s="1924" t="s">
        <v>132</v>
      </c>
      <c r="E224" s="1925">
        <v>1</v>
      </c>
      <c r="F224" s="636">
        <v>3925</v>
      </c>
      <c r="G224" s="635"/>
      <c r="H224" s="635"/>
      <c r="I224" s="636">
        <f t="shared" si="37"/>
        <v>3925</v>
      </c>
      <c r="J224" s="637">
        <v>150</v>
      </c>
      <c r="K224" s="1926"/>
      <c r="L224" s="1926"/>
      <c r="M224" s="1926"/>
      <c r="N224" s="1927"/>
      <c r="Q224" s="1925"/>
    </row>
    <row r="225" spans="1:17" s="1910" customFormat="1" ht="15" customHeight="1">
      <c r="A225" s="1921" t="str">
        <f t="shared" si="34"/>
        <v>Lantai Atap</v>
      </c>
      <c r="B225" s="1922">
        <f t="shared" si="35"/>
        <v>7</v>
      </c>
      <c r="C225" s="1923" t="str">
        <f t="shared" si="36"/>
        <v>Lantai Atap no. 7</v>
      </c>
      <c r="D225" s="1924" t="s">
        <v>2290</v>
      </c>
      <c r="E225" s="1925">
        <v>1</v>
      </c>
      <c r="F225" s="636">
        <v>11150</v>
      </c>
      <c r="G225" s="635"/>
      <c r="H225" s="635"/>
      <c r="I225" s="636">
        <f t="shared" si="37"/>
        <v>11150</v>
      </c>
      <c r="J225" s="637"/>
      <c r="K225" s="1926"/>
      <c r="L225" s="1926"/>
      <c r="M225" s="1926"/>
      <c r="N225" s="1927"/>
      <c r="Q225" s="1925"/>
    </row>
    <row r="226" spans="1:17" s="1910" customFormat="1" ht="15" customHeight="1">
      <c r="A226" s="1921" t="str">
        <f t="shared" si="34"/>
        <v>Lantai Atap</v>
      </c>
      <c r="B226" s="1922">
        <f t="shared" si="35"/>
        <v>8</v>
      </c>
      <c r="C226" s="1923" t="str">
        <f t="shared" si="36"/>
        <v>Lantai Atap no. 8</v>
      </c>
      <c r="D226" s="1924" t="s">
        <v>132</v>
      </c>
      <c r="E226" s="1925">
        <v>1</v>
      </c>
      <c r="F226" s="636">
        <v>3925</v>
      </c>
      <c r="G226" s="635"/>
      <c r="H226" s="635"/>
      <c r="I226" s="636">
        <f t="shared" si="37"/>
        <v>3925</v>
      </c>
      <c r="J226" s="637">
        <v>150</v>
      </c>
      <c r="K226" s="1926"/>
      <c r="L226" s="1926"/>
      <c r="M226" s="1926"/>
      <c r="N226" s="1927"/>
      <c r="Q226" s="1925"/>
    </row>
    <row r="227" spans="1:17" s="1910" customFormat="1" ht="15" customHeight="1">
      <c r="A227" s="1921" t="str">
        <f t="shared" si="34"/>
        <v>Lantai Atap</v>
      </c>
      <c r="B227" s="1922">
        <f t="shared" si="35"/>
        <v>9</v>
      </c>
      <c r="C227" s="1923" t="str">
        <f t="shared" si="36"/>
        <v>Lantai Atap no. 9</v>
      </c>
      <c r="D227" s="1924" t="s">
        <v>2290</v>
      </c>
      <c r="E227" s="1925">
        <v>1</v>
      </c>
      <c r="F227" s="636">
        <v>6000</v>
      </c>
      <c r="G227" s="635"/>
      <c r="H227" s="635"/>
      <c r="I227" s="636">
        <f t="shared" si="37"/>
        <v>6000</v>
      </c>
      <c r="J227" s="637"/>
      <c r="K227" s="1926"/>
      <c r="L227" s="1926"/>
      <c r="M227" s="1926"/>
      <c r="N227" s="1927"/>
      <c r="Q227" s="1925"/>
    </row>
    <row r="228" spans="1:17" s="1910" customFormat="1" ht="15" customHeight="1">
      <c r="A228" s="1921" t="str">
        <f t="shared" si="34"/>
        <v>Lantai Atap</v>
      </c>
      <c r="B228" s="1922">
        <f t="shared" si="35"/>
        <v>10</v>
      </c>
      <c r="C228" s="1923" t="str">
        <f t="shared" si="36"/>
        <v>Lantai Atap no. 10</v>
      </c>
      <c r="D228" s="1924" t="s">
        <v>132</v>
      </c>
      <c r="E228" s="1925">
        <v>1</v>
      </c>
      <c r="F228" s="636">
        <v>4075</v>
      </c>
      <c r="G228" s="635"/>
      <c r="H228" s="635"/>
      <c r="I228" s="636">
        <f t="shared" si="37"/>
        <v>4075</v>
      </c>
      <c r="J228" s="637">
        <v>150</v>
      </c>
      <c r="K228" s="1926"/>
      <c r="L228" s="1926"/>
      <c r="M228" s="1926"/>
      <c r="N228" s="1927"/>
      <c r="Q228" s="1925"/>
    </row>
    <row r="229" spans="1:17" s="1910" customFormat="1" ht="15" customHeight="1">
      <c r="A229" s="1921" t="str">
        <f t="shared" si="34"/>
        <v>Lantai Atap</v>
      </c>
      <c r="B229" s="1922">
        <f t="shared" si="35"/>
        <v>11</v>
      </c>
      <c r="C229" s="1923" t="str">
        <f t="shared" si="36"/>
        <v>Lantai Atap no. 11</v>
      </c>
      <c r="D229" s="1924" t="s">
        <v>132</v>
      </c>
      <c r="E229" s="1925">
        <v>1</v>
      </c>
      <c r="F229" s="636">
        <v>5150</v>
      </c>
      <c r="G229" s="635"/>
      <c r="H229" s="635"/>
      <c r="I229" s="636">
        <f t="shared" si="37"/>
        <v>5150</v>
      </c>
      <c r="J229" s="637"/>
      <c r="K229" s="1926"/>
      <c r="L229" s="1926"/>
      <c r="M229" s="1926"/>
      <c r="N229" s="1927"/>
      <c r="Q229" s="1925"/>
    </row>
    <row r="230" spans="1:17" s="1910" customFormat="1" ht="15" customHeight="1">
      <c r="A230" s="1921" t="str">
        <f>A229</f>
        <v>Lantai Atap</v>
      </c>
      <c r="B230" s="1922">
        <f>B229+1</f>
        <v>12</v>
      </c>
      <c r="C230" s="1923" t="str">
        <f t="shared" si="36"/>
        <v>Lantai Atap no. 12</v>
      </c>
      <c r="D230" s="1924" t="s">
        <v>2290</v>
      </c>
      <c r="E230" s="1925">
        <v>1</v>
      </c>
      <c r="F230" s="636">
        <v>6015</v>
      </c>
      <c r="G230" s="635"/>
      <c r="H230" s="635"/>
      <c r="I230" s="636">
        <f t="shared" si="37"/>
        <v>6015</v>
      </c>
      <c r="J230" s="637"/>
      <c r="K230" s="1926"/>
      <c r="L230" s="1926"/>
      <c r="M230" s="1926"/>
      <c r="N230" s="1927"/>
      <c r="Q230" s="1925"/>
    </row>
    <row r="231" spans="1:17" s="1910" customFormat="1" ht="15" customHeight="1">
      <c r="A231" s="1921" t="str">
        <f t="shared" si="34"/>
        <v>Lantai Atap</v>
      </c>
      <c r="B231" s="1922">
        <f t="shared" si="35"/>
        <v>13</v>
      </c>
      <c r="C231" s="1923" t="str">
        <f t="shared" si="36"/>
        <v>Lantai Atap no. 13</v>
      </c>
      <c r="D231" s="1924" t="s">
        <v>2290</v>
      </c>
      <c r="E231" s="1925">
        <v>1</v>
      </c>
      <c r="F231" s="636">
        <v>9685</v>
      </c>
      <c r="G231" s="635"/>
      <c r="H231" s="635"/>
      <c r="I231" s="636">
        <f t="shared" si="37"/>
        <v>9685</v>
      </c>
      <c r="J231" s="637"/>
      <c r="K231" s="1926"/>
      <c r="L231" s="1926"/>
      <c r="M231" s="1926"/>
      <c r="N231" s="1927"/>
      <c r="Q231" s="1925"/>
    </row>
    <row r="232" spans="1:17" s="1910" customFormat="1" ht="15" customHeight="1">
      <c r="A232" s="1921" t="str">
        <f t="shared" si="34"/>
        <v>Lantai Atap</v>
      </c>
      <c r="B232" s="1922" t="s">
        <v>2324</v>
      </c>
      <c r="C232" s="1923" t="str">
        <f t="shared" ref="C232" si="38">CONCATENATE(A232," no. ",B232)</f>
        <v>Lantai Atap no. 13A</v>
      </c>
      <c r="D232" s="1924" t="s">
        <v>2290</v>
      </c>
      <c r="E232" s="1925">
        <v>1</v>
      </c>
      <c r="F232" s="636">
        <v>1025</v>
      </c>
      <c r="G232" s="635"/>
      <c r="H232" s="635"/>
      <c r="I232" s="636">
        <f t="shared" ref="I232" si="39">+F232-G232-H232</f>
        <v>1025</v>
      </c>
      <c r="J232" s="637"/>
      <c r="K232" s="1926"/>
      <c r="L232" s="1926"/>
      <c r="M232" s="1926"/>
      <c r="N232" s="1927"/>
      <c r="Q232" s="1925"/>
    </row>
    <row r="233" spans="1:17" s="1910" customFormat="1" ht="15" customHeight="1">
      <c r="A233" s="1921" t="str">
        <f>A231</f>
        <v>Lantai Atap</v>
      </c>
      <c r="B233" s="1922">
        <f>B231+1</f>
        <v>14</v>
      </c>
      <c r="C233" s="1923" t="str">
        <f t="shared" si="36"/>
        <v>Lantai Atap no. 14</v>
      </c>
      <c r="D233" s="1924" t="s">
        <v>132</v>
      </c>
      <c r="E233" s="1925">
        <v>1</v>
      </c>
      <c r="F233" s="636">
        <v>5150</v>
      </c>
      <c r="G233" s="635"/>
      <c r="H233" s="635"/>
      <c r="I233" s="636">
        <f t="shared" si="37"/>
        <v>5150</v>
      </c>
      <c r="J233" s="637"/>
      <c r="K233" s="1926"/>
      <c r="L233" s="1926"/>
      <c r="M233" s="1926"/>
      <c r="N233" s="1927"/>
      <c r="Q233" s="1925"/>
    </row>
    <row r="234" spans="1:17" s="1910" customFormat="1" ht="15" customHeight="1">
      <c r="A234" s="1921" t="str">
        <f t="shared" si="34"/>
        <v>Lantai Atap</v>
      </c>
      <c r="B234" s="1922">
        <f t="shared" si="35"/>
        <v>15</v>
      </c>
      <c r="C234" s="1923" t="str">
        <f t="shared" si="36"/>
        <v>Lantai Atap no. 15</v>
      </c>
      <c r="D234" s="1924" t="s">
        <v>2287</v>
      </c>
      <c r="E234" s="1925">
        <v>1</v>
      </c>
      <c r="F234" s="636">
        <v>6150</v>
      </c>
      <c r="G234" s="635"/>
      <c r="H234" s="635"/>
      <c r="I234" s="636">
        <f t="shared" si="37"/>
        <v>6150</v>
      </c>
      <c r="J234" s="637"/>
      <c r="K234" s="1926"/>
      <c r="L234" s="1926"/>
      <c r="M234" s="1926"/>
      <c r="N234" s="1927"/>
      <c r="Q234" s="1925"/>
    </row>
    <row r="235" spans="1:17" s="1910" customFormat="1" ht="15" customHeight="1">
      <c r="A235" s="1921" t="str">
        <f t="shared" si="34"/>
        <v>Lantai Atap</v>
      </c>
      <c r="B235" s="1922">
        <f t="shared" si="35"/>
        <v>16</v>
      </c>
      <c r="C235" s="1923" t="str">
        <f t="shared" si="36"/>
        <v>Lantai Atap no. 16</v>
      </c>
      <c r="D235" s="1924" t="s">
        <v>2286</v>
      </c>
      <c r="E235" s="1925">
        <v>1</v>
      </c>
      <c r="F235" s="636">
        <v>2425</v>
      </c>
      <c r="G235" s="635"/>
      <c r="H235" s="635"/>
      <c r="I235" s="636">
        <f t="shared" si="37"/>
        <v>2425</v>
      </c>
      <c r="J235" s="637"/>
      <c r="K235" s="1926"/>
      <c r="L235" s="1926"/>
      <c r="M235" s="1926"/>
      <c r="N235" s="1927"/>
      <c r="Q235" s="1925"/>
    </row>
    <row r="236" spans="1:17" s="1910" customFormat="1" ht="15" customHeight="1">
      <c r="A236" s="1921" t="str">
        <f t="shared" si="34"/>
        <v>Lantai Atap</v>
      </c>
      <c r="B236" s="1922">
        <f t="shared" si="35"/>
        <v>17</v>
      </c>
      <c r="C236" s="1923" t="str">
        <f t="shared" si="36"/>
        <v>Lantai Atap no. 17</v>
      </c>
      <c r="D236" s="1924" t="s">
        <v>2287</v>
      </c>
      <c r="E236" s="1925">
        <v>1</v>
      </c>
      <c r="F236" s="636">
        <v>11525</v>
      </c>
      <c r="G236" s="635"/>
      <c r="H236" s="635"/>
      <c r="I236" s="636">
        <f t="shared" si="37"/>
        <v>11525</v>
      </c>
      <c r="J236" s="637">
        <v>75</v>
      </c>
      <c r="K236" s="1926"/>
      <c r="L236" s="1926"/>
      <c r="M236" s="1926"/>
      <c r="N236" s="1927"/>
      <c r="Q236" s="1925"/>
    </row>
    <row r="237" spans="1:17" s="1910" customFormat="1" ht="15" customHeight="1">
      <c r="A237" s="1921" t="str">
        <f t="shared" si="34"/>
        <v>Lantai Atap</v>
      </c>
      <c r="B237" s="1922">
        <f t="shared" si="35"/>
        <v>18</v>
      </c>
      <c r="C237" s="1923" t="str">
        <f t="shared" si="36"/>
        <v>Lantai Atap no. 18</v>
      </c>
      <c r="D237" s="1924" t="s">
        <v>132</v>
      </c>
      <c r="E237" s="1925">
        <v>1</v>
      </c>
      <c r="F237" s="636">
        <v>13650</v>
      </c>
      <c r="G237" s="635"/>
      <c r="H237" s="635"/>
      <c r="I237" s="636">
        <f t="shared" si="37"/>
        <v>13650</v>
      </c>
      <c r="J237" s="637"/>
      <c r="K237" s="1926"/>
      <c r="L237" s="1926"/>
      <c r="M237" s="1926"/>
      <c r="N237" s="1927"/>
      <c r="Q237" s="1925"/>
    </row>
    <row r="238" spans="1:17" s="1910" customFormat="1" ht="15" customHeight="1">
      <c r="A238" s="1921" t="str">
        <f t="shared" si="34"/>
        <v>Lantai Atap</v>
      </c>
      <c r="B238" s="1922">
        <f t="shared" si="35"/>
        <v>19</v>
      </c>
      <c r="C238" s="1923" t="str">
        <f t="shared" si="36"/>
        <v>Lantai Atap no. 19</v>
      </c>
      <c r="D238" s="1924" t="s">
        <v>2290</v>
      </c>
      <c r="E238" s="1925">
        <v>1</v>
      </c>
      <c r="F238" s="636">
        <v>4685</v>
      </c>
      <c r="G238" s="635"/>
      <c r="H238" s="635"/>
      <c r="I238" s="636">
        <f t="shared" si="37"/>
        <v>4685</v>
      </c>
      <c r="J238" s="637"/>
      <c r="K238" s="1926"/>
      <c r="L238" s="1926"/>
      <c r="M238" s="1926"/>
      <c r="N238" s="1927"/>
      <c r="Q238" s="1925"/>
    </row>
    <row r="239" spans="1:17" s="1910" customFormat="1" ht="15" customHeight="1">
      <c r="A239" s="1921" t="str">
        <f t="shared" si="34"/>
        <v>Lantai Atap</v>
      </c>
      <c r="B239" s="1922">
        <f t="shared" si="35"/>
        <v>20</v>
      </c>
      <c r="C239" s="1923" t="str">
        <f t="shared" si="36"/>
        <v>Lantai Atap no. 20</v>
      </c>
      <c r="D239" s="1924" t="s">
        <v>132</v>
      </c>
      <c r="E239" s="1925">
        <v>1</v>
      </c>
      <c r="F239" s="636">
        <v>9610</v>
      </c>
      <c r="G239" s="635"/>
      <c r="H239" s="635"/>
      <c r="I239" s="636">
        <f t="shared" si="37"/>
        <v>9610</v>
      </c>
      <c r="J239" s="637"/>
      <c r="K239" s="1926"/>
      <c r="L239" s="1926"/>
      <c r="M239" s="1926"/>
      <c r="N239" s="1927"/>
      <c r="Q239" s="1925"/>
    </row>
    <row r="240" spans="1:17" s="1910" customFormat="1" ht="15" customHeight="1">
      <c r="A240" s="1921" t="str">
        <f t="shared" si="34"/>
        <v>Lantai Atap</v>
      </c>
      <c r="B240" s="1922">
        <f t="shared" si="35"/>
        <v>21</v>
      </c>
      <c r="C240" s="1923" t="str">
        <f t="shared" si="36"/>
        <v>Lantai Atap no. 21</v>
      </c>
      <c r="D240" s="1924" t="s">
        <v>2290</v>
      </c>
      <c r="E240" s="1925">
        <v>1</v>
      </c>
      <c r="F240" s="636">
        <v>5140</v>
      </c>
      <c r="G240" s="635"/>
      <c r="H240" s="635"/>
      <c r="I240" s="636">
        <f t="shared" si="37"/>
        <v>5140</v>
      </c>
      <c r="J240" s="637"/>
      <c r="K240" s="1926"/>
      <c r="L240" s="1926"/>
      <c r="M240" s="1926"/>
      <c r="N240" s="1927"/>
      <c r="Q240" s="1925"/>
    </row>
    <row r="241" spans="1:17" s="1910" customFormat="1" ht="15" customHeight="1">
      <c r="A241" s="1921" t="str">
        <f t="shared" si="34"/>
        <v>Lantai Atap</v>
      </c>
      <c r="B241" s="1922">
        <f t="shared" si="35"/>
        <v>22</v>
      </c>
      <c r="C241" s="1923" t="str">
        <f t="shared" si="36"/>
        <v>Lantai Atap no. 22</v>
      </c>
      <c r="D241" s="1924" t="s">
        <v>134</v>
      </c>
      <c r="E241" s="1925">
        <v>1</v>
      </c>
      <c r="F241" s="636">
        <v>10650</v>
      </c>
      <c r="G241" s="635"/>
      <c r="H241" s="635"/>
      <c r="I241" s="636">
        <f t="shared" si="37"/>
        <v>10650</v>
      </c>
      <c r="J241" s="637"/>
      <c r="K241" s="1926"/>
      <c r="L241" s="1926"/>
      <c r="M241" s="1926"/>
      <c r="N241" s="1927"/>
      <c r="Q241" s="1925"/>
    </row>
    <row r="242" spans="1:17" s="1910" customFormat="1" ht="15" customHeight="1">
      <c r="A242" s="1921" t="str">
        <f t="shared" si="34"/>
        <v>Lantai Atap</v>
      </c>
      <c r="B242" s="1922">
        <f t="shared" si="35"/>
        <v>23</v>
      </c>
      <c r="C242" s="1923" t="str">
        <f t="shared" si="36"/>
        <v>Lantai Atap no. 23</v>
      </c>
      <c r="D242" s="1924" t="s">
        <v>2286</v>
      </c>
      <c r="E242" s="1925">
        <v>1</v>
      </c>
      <c r="F242" s="636">
        <v>1950</v>
      </c>
      <c r="G242" s="635"/>
      <c r="H242" s="635"/>
      <c r="I242" s="636">
        <f t="shared" si="37"/>
        <v>1950</v>
      </c>
      <c r="J242" s="637"/>
      <c r="K242" s="1926"/>
      <c r="L242" s="1926"/>
      <c r="M242" s="1926"/>
      <c r="N242" s="1927"/>
      <c r="Q242" s="1925"/>
    </row>
    <row r="243" spans="1:17" s="1910" customFormat="1" ht="15" customHeight="1">
      <c r="A243" s="1921" t="str">
        <f t="shared" si="34"/>
        <v>Lantai Atap</v>
      </c>
      <c r="B243" s="1922">
        <f t="shared" si="35"/>
        <v>24</v>
      </c>
      <c r="C243" s="1923" t="str">
        <f t="shared" si="36"/>
        <v>Lantai Atap no. 24</v>
      </c>
      <c r="D243" s="1924" t="s">
        <v>2286</v>
      </c>
      <c r="E243" s="1925">
        <v>1</v>
      </c>
      <c r="F243" s="636">
        <v>1950</v>
      </c>
      <c r="G243" s="635"/>
      <c r="H243" s="635"/>
      <c r="I243" s="636">
        <f t="shared" si="37"/>
        <v>1950</v>
      </c>
      <c r="J243" s="637"/>
      <c r="K243" s="1926"/>
      <c r="L243" s="1926"/>
      <c r="M243" s="1926"/>
      <c r="N243" s="1927"/>
      <c r="Q243" s="1925"/>
    </row>
    <row r="244" spans="1:17" s="1910" customFormat="1" ht="15" customHeight="1">
      <c r="A244" s="1921" t="str">
        <f t="shared" si="34"/>
        <v>Lantai Atap</v>
      </c>
      <c r="B244" s="1922">
        <f t="shared" si="35"/>
        <v>25</v>
      </c>
      <c r="C244" s="1923" t="str">
        <f t="shared" si="36"/>
        <v>Lantai Atap no. 25</v>
      </c>
      <c r="D244" s="1924" t="s">
        <v>2286</v>
      </c>
      <c r="E244" s="1925">
        <v>1</v>
      </c>
      <c r="F244" s="636">
        <v>2600</v>
      </c>
      <c r="G244" s="635"/>
      <c r="H244" s="635"/>
      <c r="I244" s="636">
        <f t="shared" si="37"/>
        <v>2600</v>
      </c>
      <c r="J244" s="637"/>
      <c r="K244" s="1926"/>
      <c r="L244" s="1926"/>
      <c r="M244" s="1926"/>
      <c r="N244" s="1927"/>
      <c r="Q244" s="1925"/>
    </row>
    <row r="245" spans="1:17" s="1910" customFormat="1" ht="15" customHeight="1">
      <c r="A245" s="1921" t="str">
        <f t="shared" si="34"/>
        <v>Lantai Atap</v>
      </c>
      <c r="B245" s="1922">
        <f t="shared" si="35"/>
        <v>26</v>
      </c>
      <c r="C245" s="1923" t="str">
        <f t="shared" si="36"/>
        <v>Lantai Atap no. 26</v>
      </c>
      <c r="D245" s="1924" t="s">
        <v>2286</v>
      </c>
      <c r="E245" s="1925">
        <v>1</v>
      </c>
      <c r="F245" s="636">
        <v>2600</v>
      </c>
      <c r="G245" s="635"/>
      <c r="H245" s="635"/>
      <c r="I245" s="636">
        <f t="shared" si="37"/>
        <v>2600</v>
      </c>
      <c r="J245" s="637"/>
      <c r="K245" s="1926"/>
      <c r="L245" s="1926"/>
      <c r="M245" s="1926"/>
      <c r="N245" s="1927"/>
      <c r="Q245" s="1925"/>
    </row>
    <row r="246" spans="1:17" s="1910" customFormat="1" ht="15" customHeight="1">
      <c r="A246" s="1921" t="str">
        <f t="shared" si="34"/>
        <v>Lantai Atap</v>
      </c>
      <c r="B246" s="1922">
        <f t="shared" si="35"/>
        <v>27</v>
      </c>
      <c r="C246" s="1923" t="str">
        <f t="shared" si="36"/>
        <v>Lantai Atap no. 27</v>
      </c>
      <c r="D246" s="1924" t="s">
        <v>132</v>
      </c>
      <c r="E246" s="1925">
        <v>1</v>
      </c>
      <c r="F246" s="636">
        <v>4555</v>
      </c>
      <c r="G246" s="635"/>
      <c r="H246" s="635"/>
      <c r="I246" s="636">
        <f t="shared" si="37"/>
        <v>4555</v>
      </c>
      <c r="J246" s="637"/>
      <c r="K246" s="1926"/>
      <c r="L246" s="1926"/>
      <c r="M246" s="1926"/>
      <c r="N246" s="1927"/>
      <c r="Q246" s="1925"/>
    </row>
    <row r="247" spans="1:17" s="1910" customFormat="1" ht="15" customHeight="1">
      <c r="A247" s="1921" t="str">
        <f t="shared" si="34"/>
        <v>Lantai Atap</v>
      </c>
      <c r="B247" s="1922" t="s">
        <v>2325</v>
      </c>
      <c r="C247" s="1923" t="str">
        <f t="shared" ref="C247" si="40">CONCATENATE(A247," no. ",B247)</f>
        <v>Lantai Atap no. 27A</v>
      </c>
      <c r="D247" s="1924" t="s">
        <v>132</v>
      </c>
      <c r="E247" s="1925">
        <v>1</v>
      </c>
      <c r="F247" s="636">
        <v>705</v>
      </c>
      <c r="G247" s="635"/>
      <c r="H247" s="635"/>
      <c r="I247" s="636">
        <f t="shared" ref="I247" si="41">+F247-G247-H247</f>
        <v>705</v>
      </c>
      <c r="J247" s="637"/>
      <c r="K247" s="1926"/>
      <c r="L247" s="1926"/>
      <c r="M247" s="1926"/>
      <c r="N247" s="1927"/>
      <c r="Q247" s="1925"/>
    </row>
    <row r="248" spans="1:17" s="1945" customFormat="1" ht="15" customHeight="1">
      <c r="A248" s="1938" t="str">
        <f>A246</f>
        <v>Lantai Atap</v>
      </c>
      <c r="B248" s="1878">
        <f>B246+1</f>
        <v>28</v>
      </c>
      <c r="C248" s="1939" t="str">
        <f t="shared" si="36"/>
        <v>Lantai Atap no. 28</v>
      </c>
      <c r="D248" s="1879" t="s">
        <v>132</v>
      </c>
      <c r="E248" s="1940">
        <v>1</v>
      </c>
      <c r="F248" s="1941">
        <v>5905</v>
      </c>
      <c r="G248" s="1942"/>
      <c r="H248" s="1942"/>
      <c r="I248" s="1941">
        <f t="shared" si="37"/>
        <v>5905</v>
      </c>
      <c r="J248" s="2015">
        <v>150</v>
      </c>
      <c r="K248" s="1943"/>
      <c r="L248" s="1943"/>
      <c r="M248" s="1943"/>
      <c r="N248" s="1944" t="s">
        <v>2214</v>
      </c>
      <c r="Q248" s="1940"/>
    </row>
    <row r="249" spans="1:17" s="1945" customFormat="1" ht="15" customHeight="1">
      <c r="A249" s="1938" t="str">
        <f t="shared" si="34"/>
        <v>Lantai Atap</v>
      </c>
      <c r="B249" s="1878">
        <f t="shared" si="35"/>
        <v>29</v>
      </c>
      <c r="C249" s="1939" t="str">
        <f t="shared" si="36"/>
        <v>Lantai Atap no. 29</v>
      </c>
      <c r="D249" s="1879" t="s">
        <v>132</v>
      </c>
      <c r="E249" s="1940">
        <v>1</v>
      </c>
      <c r="F249" s="1941">
        <v>4635</v>
      </c>
      <c r="G249" s="1942"/>
      <c r="H249" s="1942"/>
      <c r="I249" s="1941">
        <f t="shared" si="37"/>
        <v>4635</v>
      </c>
      <c r="J249" s="2015">
        <v>150</v>
      </c>
      <c r="K249" s="1943"/>
      <c r="L249" s="1943"/>
      <c r="M249" s="1943"/>
      <c r="N249" s="1944" t="s">
        <v>2214</v>
      </c>
      <c r="Q249" s="1940"/>
    </row>
    <row r="250" spans="1:17" s="1945" customFormat="1" ht="15" customHeight="1">
      <c r="A250" s="1938" t="str">
        <f t="shared" si="34"/>
        <v>Lantai Atap</v>
      </c>
      <c r="B250" s="1878">
        <f t="shared" si="35"/>
        <v>30</v>
      </c>
      <c r="C250" s="1939" t="str">
        <f t="shared" si="36"/>
        <v>Lantai Atap no. 30</v>
      </c>
      <c r="D250" s="1879" t="s">
        <v>132</v>
      </c>
      <c r="E250" s="1940">
        <v>1</v>
      </c>
      <c r="F250" s="1941">
        <v>4635</v>
      </c>
      <c r="G250" s="1942"/>
      <c r="H250" s="1942"/>
      <c r="I250" s="1941">
        <f t="shared" si="37"/>
        <v>4635</v>
      </c>
      <c r="J250" s="2015">
        <v>150</v>
      </c>
      <c r="K250" s="1943"/>
      <c r="L250" s="1943"/>
      <c r="M250" s="1943"/>
      <c r="N250" s="1944" t="s">
        <v>2214</v>
      </c>
      <c r="Q250" s="1940"/>
    </row>
    <row r="251" spans="1:17" s="1945" customFormat="1" ht="15" customHeight="1">
      <c r="A251" s="1938" t="str">
        <f t="shared" si="34"/>
        <v>Lantai Atap</v>
      </c>
      <c r="B251" s="1878">
        <f t="shared" si="35"/>
        <v>31</v>
      </c>
      <c r="C251" s="1939" t="str">
        <f t="shared" si="36"/>
        <v>Lantai Atap no. 31</v>
      </c>
      <c r="D251" s="1879" t="s">
        <v>132</v>
      </c>
      <c r="E251" s="1940">
        <v>1</v>
      </c>
      <c r="F251" s="1941">
        <v>5905</v>
      </c>
      <c r="G251" s="1942"/>
      <c r="H251" s="1942"/>
      <c r="I251" s="1941">
        <f t="shared" si="37"/>
        <v>5905</v>
      </c>
      <c r="J251" s="2015">
        <v>150</v>
      </c>
      <c r="K251" s="1943"/>
      <c r="L251" s="1943"/>
      <c r="M251" s="1943"/>
      <c r="N251" s="1944" t="s">
        <v>2214</v>
      </c>
      <c r="Q251" s="1940"/>
    </row>
    <row r="252" spans="1:17" s="1945" customFormat="1" ht="15" customHeight="1">
      <c r="A252" s="1938" t="str">
        <f t="shared" si="34"/>
        <v>Lantai Atap</v>
      </c>
      <c r="B252" s="1878">
        <f t="shared" si="35"/>
        <v>32</v>
      </c>
      <c r="C252" s="1939" t="str">
        <f t="shared" si="36"/>
        <v>Lantai Atap no. 32</v>
      </c>
      <c r="D252" s="1879" t="s">
        <v>132</v>
      </c>
      <c r="E252" s="1940">
        <v>1</v>
      </c>
      <c r="F252" s="1941">
        <v>4635</v>
      </c>
      <c r="G252" s="1942"/>
      <c r="H252" s="1942"/>
      <c r="I252" s="1941">
        <f t="shared" si="37"/>
        <v>4635</v>
      </c>
      <c r="J252" s="2015">
        <v>150</v>
      </c>
      <c r="K252" s="1943"/>
      <c r="L252" s="1943"/>
      <c r="M252" s="1943"/>
      <c r="N252" s="1944" t="s">
        <v>2214</v>
      </c>
      <c r="Q252" s="1940"/>
    </row>
    <row r="253" spans="1:17" s="1945" customFormat="1" ht="15" customHeight="1">
      <c r="A253" s="1938" t="str">
        <f t="shared" si="34"/>
        <v>Lantai Atap</v>
      </c>
      <c r="B253" s="1878">
        <f t="shared" si="35"/>
        <v>33</v>
      </c>
      <c r="C253" s="1939" t="str">
        <f t="shared" si="36"/>
        <v>Lantai Atap no. 33</v>
      </c>
      <c r="D253" s="1879" t="s">
        <v>132</v>
      </c>
      <c r="E253" s="1940">
        <v>1</v>
      </c>
      <c r="F253" s="1941">
        <v>5905</v>
      </c>
      <c r="G253" s="1942"/>
      <c r="H253" s="1942"/>
      <c r="I253" s="1941">
        <f t="shared" si="37"/>
        <v>5905</v>
      </c>
      <c r="J253" s="2015">
        <v>150</v>
      </c>
      <c r="K253" s="1943"/>
      <c r="L253" s="1943"/>
      <c r="M253" s="1943"/>
      <c r="N253" s="1944" t="s">
        <v>2214</v>
      </c>
      <c r="Q253" s="1940"/>
    </row>
    <row r="254" spans="1:17" s="1910" customFormat="1" ht="15" customHeight="1">
      <c r="A254" s="1928"/>
      <c r="B254" s="1929"/>
      <c r="C254" s="1930"/>
      <c r="D254" s="1931"/>
      <c r="E254" s="1920"/>
      <c r="F254" s="363"/>
      <c r="G254" s="362"/>
      <c r="H254" s="362"/>
      <c r="I254" s="363"/>
      <c r="J254" s="637"/>
      <c r="K254" s="1932"/>
      <c r="L254" s="1932"/>
      <c r="M254" s="1933"/>
      <c r="N254" s="1934"/>
      <c r="Q254" s="1920"/>
    </row>
    <row r="255" spans="1:17" ht="15" customHeight="1">
      <c r="D255" s="1936"/>
    </row>
    <row r="256" spans="1:17" ht="15" customHeight="1">
      <c r="D256" s="1936"/>
    </row>
    <row r="257" spans="4:4" ht="15" customHeight="1">
      <c r="D257" s="1936"/>
    </row>
    <row r="258" spans="4:4" ht="15" customHeight="1">
      <c r="D258" s="1936"/>
    </row>
    <row r="259" spans="4:4" ht="15" customHeight="1">
      <c r="D259" s="1936"/>
    </row>
    <row r="260" spans="4:4" ht="15" customHeight="1">
      <c r="D260" s="1936"/>
    </row>
    <row r="261" spans="4:4" ht="15" customHeight="1">
      <c r="D261" s="1936"/>
    </row>
    <row r="262" spans="4:4" ht="15" customHeight="1">
      <c r="D262" s="1936"/>
    </row>
    <row r="263" spans="4:4" ht="15" customHeight="1">
      <c r="D263" s="1936"/>
    </row>
  </sheetData>
  <autoFilter ref="A9:Q254"/>
  <mergeCells count="15">
    <mergeCell ref="M6:M8"/>
    <mergeCell ref="N6:N8"/>
    <mergeCell ref="Q6:Q8"/>
    <mergeCell ref="G6:G7"/>
    <mergeCell ref="H6:H7"/>
    <mergeCell ref="I6:I7"/>
    <mergeCell ref="J6:J8"/>
    <mergeCell ref="K6:K7"/>
    <mergeCell ref="L6:L7"/>
    <mergeCell ref="F6:F7"/>
    <mergeCell ref="A6:A8"/>
    <mergeCell ref="B6:B8"/>
    <mergeCell ref="C6:C8"/>
    <mergeCell ref="D6:D8"/>
    <mergeCell ref="E6:E8"/>
  </mergeCells>
  <phoneticPr fontId="76" type="noConversion"/>
  <pageMargins left="0.70866141732283505" right="0.70866141732283505" top="0.74803149606299202" bottom="0.74803149606299202" header="0.31496062992126" footer="0.31496062992126"/>
  <pageSetup paperSize="9" scale="41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J140"/>
  <sheetViews>
    <sheetView showGridLines="0" zoomScale="115" zoomScaleNormal="115" zoomScaleSheetLayoutView="100" workbookViewId="0">
      <pane xSplit="5" ySplit="9" topLeftCell="F10" activePane="bottomRight" state="frozen"/>
      <selection activeCell="M4" sqref="M4"/>
      <selection pane="topRight" activeCell="M4" sqref="M4"/>
      <selection pane="bottomLeft" activeCell="M4" sqref="M4"/>
      <selection pane="bottomRight" activeCell="G17" sqref="G17"/>
    </sheetView>
  </sheetViews>
  <sheetFormatPr defaultColWidth="9.140625" defaultRowHeight="14.25"/>
  <cols>
    <col min="1" max="1" width="3.28515625" style="326" customWidth="1"/>
    <col min="2" max="2" width="3.85546875" style="326" customWidth="1"/>
    <col min="3" max="3" width="14.85546875" style="326" customWidth="1"/>
    <col min="4" max="4" width="6.140625" style="326" bestFit="1" customWidth="1"/>
    <col min="5" max="5" width="5.140625" style="326" bestFit="1" customWidth="1"/>
    <col min="6" max="17" width="4.140625" style="326" customWidth="1"/>
    <col min="18" max="21" width="4.140625" style="326" hidden="1" customWidth="1"/>
    <col min="22" max="22" width="5" style="326" hidden="1" customWidth="1"/>
    <col min="23" max="23" width="4.140625" style="326" hidden="1" customWidth="1"/>
    <col min="24" max="32" width="4.140625" style="326" customWidth="1"/>
    <col min="33" max="34" width="3.42578125" style="326" bestFit="1" customWidth="1"/>
    <col min="35" max="35" width="4.140625" style="326" bestFit="1" customWidth="1"/>
    <col min="36" max="36" width="3.42578125" style="326" bestFit="1" customWidth="1"/>
    <col min="37" max="37" width="5.140625" style="326" bestFit="1" customWidth="1"/>
    <col min="38" max="38" width="4.140625" style="326" bestFit="1" customWidth="1"/>
    <col min="39" max="39" width="3.42578125" style="326" bestFit="1" customWidth="1"/>
    <col min="40" max="40" width="4" style="326" bestFit="1" customWidth="1"/>
    <col min="41" max="41" width="3.42578125" style="326" bestFit="1" customWidth="1"/>
    <col min="42" max="42" width="5" style="326" bestFit="1" customWidth="1"/>
    <col min="43" max="43" width="4" style="326" customWidth="1"/>
    <col min="44" max="44" width="3.42578125" style="326" customWidth="1"/>
    <col min="45" max="45" width="4.140625" style="326" customWidth="1"/>
    <col min="46" max="46" width="3.42578125" style="326" customWidth="1"/>
    <col min="47" max="47" width="5.140625" style="326" customWidth="1"/>
    <col min="48" max="51" width="3.42578125" style="326" customWidth="1"/>
    <col min="52" max="52" width="4.140625" style="326" customWidth="1"/>
    <col min="53" max="56" width="3.42578125" style="326" customWidth="1"/>
    <col min="57" max="57" width="4.140625" style="326" customWidth="1"/>
    <col min="58" max="61" width="3.42578125" style="326" customWidth="1"/>
    <col min="62" max="62" width="4" style="326" customWidth="1"/>
    <col min="63" max="63" width="9.140625" style="326" customWidth="1"/>
    <col min="64" max="16384" width="9.140625" style="326"/>
  </cols>
  <sheetData>
    <row r="1" spans="2:62" ht="10.9" customHeight="1">
      <c r="B1" s="324" t="s">
        <v>139</v>
      </c>
      <c r="C1" s="325"/>
      <c r="F1" s="327"/>
      <c r="H1" s="328"/>
      <c r="I1" s="328"/>
      <c r="J1" s="328"/>
      <c r="K1" s="328"/>
      <c r="L1" s="329"/>
      <c r="M1" s="326" t="s">
        <v>140</v>
      </c>
      <c r="N1" s="328"/>
      <c r="O1" s="327"/>
      <c r="Q1" s="328"/>
      <c r="R1" s="328"/>
      <c r="S1" s="328"/>
      <c r="T1" s="328"/>
      <c r="U1" s="327"/>
      <c r="W1" s="328"/>
      <c r="X1" s="327"/>
      <c r="Z1" s="328"/>
      <c r="AA1" s="328"/>
      <c r="AB1" s="328"/>
      <c r="AC1" s="328"/>
      <c r="AD1" s="327"/>
      <c r="AF1" s="328"/>
      <c r="AG1" s="327"/>
      <c r="AQ1" s="327"/>
      <c r="AV1" s="327"/>
      <c r="BF1" s="327"/>
    </row>
    <row r="2" spans="2:62" ht="15.75">
      <c r="B2" s="324" t="s">
        <v>2105</v>
      </c>
      <c r="C2" s="325"/>
      <c r="F2" s="327"/>
      <c r="H2" s="328"/>
      <c r="I2" s="328"/>
      <c r="J2" s="328"/>
      <c r="K2" s="328"/>
      <c r="L2" s="330"/>
      <c r="M2" s="326" t="s">
        <v>141</v>
      </c>
      <c r="N2" s="328"/>
      <c r="O2" s="327"/>
      <c r="Q2" s="328"/>
      <c r="R2" s="328"/>
      <c r="S2" s="328"/>
      <c r="T2" s="328"/>
      <c r="U2" s="327"/>
      <c r="W2" s="328"/>
      <c r="X2" s="327"/>
      <c r="Z2" s="328"/>
      <c r="AA2" s="328"/>
      <c r="AB2" s="328"/>
      <c r="AC2" s="328"/>
      <c r="AD2" s="327"/>
      <c r="AF2" s="328"/>
      <c r="AG2" s="327"/>
      <c r="AQ2" s="327"/>
      <c r="AV2" s="327"/>
      <c r="BF2" s="327"/>
    </row>
    <row r="3" spans="2:62" ht="15.75">
      <c r="B3" s="324"/>
      <c r="C3" s="325"/>
      <c r="F3" s="327"/>
      <c r="H3" s="328"/>
      <c r="I3" s="328"/>
      <c r="J3" s="328"/>
      <c r="K3" s="328"/>
      <c r="L3" s="327"/>
      <c r="N3" s="328"/>
      <c r="O3" s="327"/>
      <c r="Q3" s="328"/>
      <c r="R3" s="328"/>
      <c r="S3" s="328"/>
      <c r="T3" s="328"/>
      <c r="U3" s="327"/>
      <c r="W3" s="328"/>
      <c r="X3" s="327"/>
      <c r="Z3" s="328"/>
      <c r="AA3" s="328"/>
      <c r="AB3" s="328"/>
      <c r="AC3" s="328"/>
      <c r="AD3" s="327"/>
      <c r="AF3" s="328"/>
      <c r="AG3" s="327"/>
      <c r="AQ3" s="327"/>
      <c r="AV3" s="327"/>
      <c r="BF3" s="327"/>
    </row>
    <row r="4" spans="2:62">
      <c r="B4" s="331"/>
      <c r="F4" s="327"/>
      <c r="H4" s="328"/>
      <c r="I4" s="328"/>
      <c r="J4" s="328"/>
      <c r="K4" s="328"/>
      <c r="L4" s="327"/>
      <c r="N4" s="328"/>
      <c r="O4" s="327"/>
      <c r="Q4" s="328"/>
      <c r="R4" s="328"/>
      <c r="S4" s="328"/>
      <c r="T4" s="328"/>
      <c r="U4" s="327"/>
      <c r="W4" s="328"/>
      <c r="X4" s="327"/>
      <c r="Z4" s="328"/>
      <c r="AA4" s="328"/>
      <c r="AB4" s="328"/>
      <c r="AC4" s="328"/>
      <c r="AD4" s="327"/>
      <c r="AF4" s="328"/>
      <c r="AG4" s="327"/>
      <c r="AQ4" s="327"/>
      <c r="AV4" s="327"/>
      <c r="BF4" s="327"/>
    </row>
    <row r="5" spans="2:62" ht="15.75">
      <c r="B5" s="324" t="s">
        <v>142</v>
      </c>
      <c r="C5" s="325"/>
      <c r="F5" s="327"/>
      <c r="H5" s="328"/>
      <c r="I5" s="328"/>
      <c r="J5" s="328"/>
      <c r="K5" s="328"/>
      <c r="L5" s="327"/>
      <c r="N5" s="328"/>
      <c r="O5" s="327"/>
      <c r="Q5" s="328"/>
      <c r="R5" s="328"/>
      <c r="S5" s="328"/>
      <c r="T5" s="328"/>
      <c r="U5" s="327"/>
      <c r="W5" s="328"/>
      <c r="X5" s="327"/>
      <c r="Z5" s="328"/>
      <c r="AA5" s="328"/>
      <c r="AB5" s="328"/>
      <c r="AC5" s="328"/>
      <c r="AD5" s="327"/>
      <c r="AF5" s="328"/>
      <c r="AG5" s="327"/>
      <c r="AQ5" s="327"/>
      <c r="AV5" s="327"/>
      <c r="BF5" s="327"/>
    </row>
    <row r="6" spans="2:62" ht="15" thickBot="1">
      <c r="B6" s="331"/>
      <c r="F6" s="327"/>
      <c r="H6" s="328"/>
      <c r="I6" s="328"/>
      <c r="J6" s="328"/>
      <c r="K6" s="328"/>
      <c r="L6" s="327"/>
      <c r="N6" s="328"/>
      <c r="O6" s="327"/>
      <c r="Q6" s="328"/>
      <c r="R6" s="328"/>
      <c r="S6" s="328"/>
      <c r="T6" s="328"/>
      <c r="U6" s="327"/>
      <c r="W6" s="328"/>
      <c r="X6" s="332">
        <f>16^2/19^2*7</f>
        <v>4.9639889196675897</v>
      </c>
      <c r="Z6" s="328"/>
      <c r="AA6" s="328"/>
      <c r="AB6" s="328"/>
      <c r="AC6" s="328"/>
      <c r="AD6" s="327"/>
      <c r="AF6" s="328"/>
      <c r="AG6" s="327"/>
      <c r="AQ6" s="327"/>
      <c r="AV6" s="327"/>
      <c r="BF6" s="327"/>
    </row>
    <row r="7" spans="2:62" s="333" customFormat="1" ht="14.25" customHeight="1">
      <c r="B7" s="2537" t="s">
        <v>143</v>
      </c>
      <c r="C7" s="2539" t="s">
        <v>144</v>
      </c>
      <c r="D7" s="2541" t="s">
        <v>145</v>
      </c>
      <c r="E7" s="2542"/>
      <c r="F7" s="2543" t="s">
        <v>146</v>
      </c>
      <c r="G7" s="2544"/>
      <c r="H7" s="2544"/>
      <c r="I7" s="2544"/>
      <c r="J7" s="2544"/>
      <c r="K7" s="2544"/>
      <c r="L7" s="2544"/>
      <c r="M7" s="2544"/>
      <c r="N7" s="2545"/>
      <c r="O7" s="2543" t="s">
        <v>147</v>
      </c>
      <c r="P7" s="2544"/>
      <c r="Q7" s="2544"/>
      <c r="R7" s="2544"/>
      <c r="S7" s="2544"/>
      <c r="T7" s="2544"/>
      <c r="U7" s="2544"/>
      <c r="V7" s="2544"/>
      <c r="W7" s="2545"/>
      <c r="X7" s="2551" t="s">
        <v>148</v>
      </c>
      <c r="Y7" s="2552"/>
      <c r="Z7" s="2552"/>
      <c r="AA7" s="2552"/>
      <c r="AB7" s="2552"/>
      <c r="AC7" s="2552"/>
      <c r="AD7" s="2552"/>
      <c r="AE7" s="2552"/>
      <c r="AF7" s="2553"/>
      <c r="AG7" s="2543" t="s">
        <v>149</v>
      </c>
      <c r="AH7" s="2544"/>
      <c r="AI7" s="2544"/>
      <c r="AJ7" s="2544"/>
      <c r="AK7" s="2544"/>
      <c r="AL7" s="2544"/>
      <c r="AM7" s="2544"/>
      <c r="AN7" s="2544"/>
      <c r="AO7" s="2544"/>
      <c r="AP7" s="2544"/>
      <c r="AQ7" s="2544"/>
      <c r="AR7" s="2544"/>
      <c r="AS7" s="2544"/>
      <c r="AT7" s="2544"/>
      <c r="AU7" s="2545"/>
      <c r="AV7" s="2543" t="s">
        <v>150</v>
      </c>
      <c r="AW7" s="2544"/>
      <c r="AX7" s="2544"/>
      <c r="AY7" s="2544"/>
      <c r="AZ7" s="2544"/>
      <c r="BA7" s="2544"/>
      <c r="BB7" s="2544"/>
      <c r="BC7" s="2544"/>
      <c r="BD7" s="2544"/>
      <c r="BE7" s="2544"/>
      <c r="BF7" s="2544"/>
      <c r="BG7" s="2544"/>
      <c r="BH7" s="2544"/>
      <c r="BI7" s="2544"/>
      <c r="BJ7" s="2545"/>
    </row>
    <row r="8" spans="2:62" s="337" customFormat="1" ht="19.5" customHeight="1" thickBot="1">
      <c r="B8" s="2538"/>
      <c r="C8" s="2540"/>
      <c r="D8" s="334" t="s">
        <v>151</v>
      </c>
      <c r="E8" s="335" t="s">
        <v>152</v>
      </c>
      <c r="F8" s="2548" t="s">
        <v>153</v>
      </c>
      <c r="G8" s="2549"/>
      <c r="H8" s="2549"/>
      <c r="I8" s="2550" t="s">
        <v>154</v>
      </c>
      <c r="J8" s="2546"/>
      <c r="K8" s="2546"/>
      <c r="L8" s="2536" t="s">
        <v>153</v>
      </c>
      <c r="M8" s="2536"/>
      <c r="N8" s="2536"/>
      <c r="O8" s="2548" t="s">
        <v>155</v>
      </c>
      <c r="P8" s="2549"/>
      <c r="Q8" s="2549"/>
      <c r="R8" s="2550" t="s">
        <v>156</v>
      </c>
      <c r="S8" s="2546"/>
      <c r="T8" s="2546"/>
      <c r="U8" s="2546"/>
      <c r="V8" s="2546"/>
      <c r="W8" s="336"/>
      <c r="X8" s="2548" t="s">
        <v>153</v>
      </c>
      <c r="Y8" s="2549"/>
      <c r="Z8" s="2549"/>
      <c r="AA8" s="2550" t="s">
        <v>154</v>
      </c>
      <c r="AB8" s="2546"/>
      <c r="AC8" s="2546"/>
      <c r="AD8" s="2536" t="s">
        <v>153</v>
      </c>
      <c r="AE8" s="2536"/>
      <c r="AF8" s="2547"/>
      <c r="AG8" s="2535" t="s">
        <v>153</v>
      </c>
      <c r="AH8" s="2536"/>
      <c r="AI8" s="2536"/>
      <c r="AJ8" s="2536"/>
      <c r="AK8" s="2536"/>
      <c r="AL8" s="2546" t="s">
        <v>154</v>
      </c>
      <c r="AM8" s="2546"/>
      <c r="AN8" s="2546"/>
      <c r="AO8" s="2546"/>
      <c r="AP8" s="2546"/>
      <c r="AQ8" s="2536" t="s">
        <v>153</v>
      </c>
      <c r="AR8" s="2536"/>
      <c r="AS8" s="2536"/>
      <c r="AT8" s="2536"/>
      <c r="AU8" s="2547"/>
      <c r="AV8" s="2535" t="s">
        <v>153</v>
      </c>
      <c r="AW8" s="2536"/>
      <c r="AX8" s="2536"/>
      <c r="AY8" s="2536"/>
      <c r="AZ8" s="2536"/>
      <c r="BA8" s="2546" t="s">
        <v>154</v>
      </c>
      <c r="BB8" s="2546"/>
      <c r="BC8" s="2546"/>
      <c r="BD8" s="2546"/>
      <c r="BE8" s="2546"/>
      <c r="BF8" s="2536" t="s">
        <v>153</v>
      </c>
      <c r="BG8" s="2536"/>
      <c r="BH8" s="2536"/>
      <c r="BI8" s="2536"/>
      <c r="BJ8" s="2547"/>
    </row>
    <row r="9" spans="2:62" s="337" customFormat="1" ht="12" customHeight="1">
      <c r="B9" s="338"/>
      <c r="C9" s="339">
        <f t="shared" ref="C9:N9" si="0">+B9+1</f>
        <v>1</v>
      </c>
      <c r="D9" s="340">
        <f t="shared" si="0"/>
        <v>2</v>
      </c>
      <c r="E9" s="340">
        <f t="shared" si="0"/>
        <v>3</v>
      </c>
      <c r="F9" s="341">
        <f t="shared" si="0"/>
        <v>4</v>
      </c>
      <c r="G9" s="340">
        <f t="shared" si="0"/>
        <v>5</v>
      </c>
      <c r="H9" s="342">
        <f t="shared" si="0"/>
        <v>6</v>
      </c>
      <c r="I9" s="340">
        <f t="shared" si="0"/>
        <v>7</v>
      </c>
      <c r="J9" s="340">
        <f t="shared" si="0"/>
        <v>8</v>
      </c>
      <c r="K9" s="340">
        <f t="shared" si="0"/>
        <v>9</v>
      </c>
      <c r="L9" s="343">
        <f t="shared" si="0"/>
        <v>10</v>
      </c>
      <c r="M9" s="340">
        <f t="shared" si="0"/>
        <v>11</v>
      </c>
      <c r="N9" s="344">
        <f t="shared" si="0"/>
        <v>12</v>
      </c>
      <c r="O9" s="340">
        <f>1+N9</f>
        <v>13</v>
      </c>
      <c r="P9" s="340">
        <f>+O9+1</f>
        <v>14</v>
      </c>
      <c r="Q9" s="342">
        <f>+P9+1</f>
        <v>15</v>
      </c>
      <c r="R9" s="343">
        <f>+Q9+1</f>
        <v>16</v>
      </c>
      <c r="S9" s="340">
        <f>+R9+1</f>
        <v>17</v>
      </c>
      <c r="T9" s="340">
        <f>+S9+1</f>
        <v>18</v>
      </c>
      <c r="U9" s="340">
        <f>1+T9</f>
        <v>19</v>
      </c>
      <c r="V9" s="340">
        <f>+U9+1</f>
        <v>20</v>
      </c>
      <c r="W9" s="344">
        <f>+V9+1</f>
        <v>21</v>
      </c>
      <c r="X9" s="341">
        <f>1+W9</f>
        <v>22</v>
      </c>
      <c r="Y9" s="340">
        <f>+X9+1</f>
        <v>23</v>
      </c>
      <c r="Z9" s="342">
        <f>+Y9+1</f>
        <v>24</v>
      </c>
      <c r="AA9" s="340">
        <f>+Z9+1</f>
        <v>25</v>
      </c>
      <c r="AB9" s="340">
        <f>+AA9+1</f>
        <v>26</v>
      </c>
      <c r="AC9" s="340">
        <f>+AB9+1</f>
        <v>27</v>
      </c>
      <c r="AD9" s="343">
        <f>1+AC9</f>
        <v>28</v>
      </c>
      <c r="AE9" s="340">
        <f>+AD9+1</f>
        <v>29</v>
      </c>
      <c r="AF9" s="344">
        <f>+AE9+1</f>
        <v>30</v>
      </c>
      <c r="AG9" s="341">
        <f>1+AF9</f>
        <v>31</v>
      </c>
      <c r="AH9" s="340">
        <f t="shared" ref="AH9:AP9" si="1">+AG9+1</f>
        <v>32</v>
      </c>
      <c r="AI9" s="340">
        <f t="shared" si="1"/>
        <v>33</v>
      </c>
      <c r="AJ9" s="340">
        <f t="shared" si="1"/>
        <v>34</v>
      </c>
      <c r="AK9" s="342">
        <f t="shared" si="1"/>
        <v>35</v>
      </c>
      <c r="AL9" s="340">
        <f t="shared" si="1"/>
        <v>36</v>
      </c>
      <c r="AM9" s="340">
        <f t="shared" si="1"/>
        <v>37</v>
      </c>
      <c r="AN9" s="340">
        <f t="shared" si="1"/>
        <v>38</v>
      </c>
      <c r="AO9" s="340">
        <f t="shared" si="1"/>
        <v>39</v>
      </c>
      <c r="AP9" s="340">
        <f t="shared" si="1"/>
        <v>40</v>
      </c>
      <c r="AQ9" s="343">
        <f>1+AP9</f>
        <v>41</v>
      </c>
      <c r="AR9" s="340">
        <f>+AQ9+1</f>
        <v>42</v>
      </c>
      <c r="AS9" s="340">
        <f>+AR9+1</f>
        <v>43</v>
      </c>
      <c r="AT9" s="340">
        <f>+AS9+1</f>
        <v>44</v>
      </c>
      <c r="AU9" s="344">
        <f>+AT9+1</f>
        <v>45</v>
      </c>
      <c r="AV9" s="341">
        <f>1+AU9</f>
        <v>46</v>
      </c>
      <c r="AW9" s="340">
        <f t="shared" ref="AW9:BE9" si="2">+AV9+1</f>
        <v>47</v>
      </c>
      <c r="AX9" s="340">
        <f t="shared" si="2"/>
        <v>48</v>
      </c>
      <c r="AY9" s="340">
        <f t="shared" si="2"/>
        <v>49</v>
      </c>
      <c r="AZ9" s="342">
        <f t="shared" si="2"/>
        <v>50</v>
      </c>
      <c r="BA9" s="340">
        <f t="shared" si="2"/>
        <v>51</v>
      </c>
      <c r="BB9" s="340">
        <f t="shared" si="2"/>
        <v>52</v>
      </c>
      <c r="BC9" s="340">
        <f t="shared" si="2"/>
        <v>53</v>
      </c>
      <c r="BD9" s="340">
        <f t="shared" si="2"/>
        <v>54</v>
      </c>
      <c r="BE9" s="340">
        <f t="shared" si="2"/>
        <v>55</v>
      </c>
      <c r="BF9" s="343">
        <f>1+BE9</f>
        <v>56</v>
      </c>
      <c r="BG9" s="340">
        <f>+BF9+1</f>
        <v>57</v>
      </c>
      <c r="BH9" s="340">
        <f>+BG9+1</f>
        <v>58</v>
      </c>
      <c r="BI9" s="340">
        <f>+BH9+1</f>
        <v>59</v>
      </c>
      <c r="BJ9" s="344">
        <f>+BI9+1</f>
        <v>60</v>
      </c>
    </row>
    <row r="10" spans="2:62" s="250" customFormat="1" ht="15">
      <c r="B10" s="445"/>
      <c r="C10" s="446"/>
      <c r="D10" s="447"/>
      <c r="E10" s="447"/>
      <c r="F10" s="448"/>
      <c r="G10" s="447"/>
      <c r="H10" s="449"/>
      <c r="I10" s="450"/>
      <c r="J10" s="447"/>
      <c r="K10" s="451"/>
      <c r="L10" s="452"/>
      <c r="M10" s="447"/>
      <c r="N10" s="449"/>
      <c r="O10" s="453"/>
      <c r="P10" s="454"/>
      <c r="Q10" s="455"/>
      <c r="R10" s="452"/>
      <c r="S10" s="447"/>
      <c r="T10" s="451"/>
      <c r="U10" s="456"/>
      <c r="V10" s="454"/>
      <c r="W10" s="457"/>
      <c r="X10" s="448"/>
      <c r="Y10" s="447"/>
      <c r="Z10" s="449"/>
      <c r="AA10" s="450"/>
      <c r="AB10" s="447"/>
      <c r="AC10" s="451"/>
      <c r="AD10" s="452"/>
      <c r="AE10" s="447"/>
      <c r="AF10" s="458"/>
      <c r="AG10" s="448"/>
      <c r="AH10" s="447"/>
      <c r="AI10" s="447"/>
      <c r="AJ10" s="447"/>
      <c r="AK10" s="459"/>
      <c r="AL10" s="450"/>
      <c r="AM10" s="447"/>
      <c r="AN10" s="447"/>
      <c r="AO10" s="447"/>
      <c r="AP10" s="447"/>
      <c r="AQ10" s="452"/>
      <c r="AR10" s="447"/>
      <c r="AS10" s="447"/>
      <c r="AT10" s="447"/>
      <c r="AU10" s="460"/>
      <c r="AV10" s="448"/>
      <c r="AW10" s="447"/>
      <c r="AX10" s="447"/>
      <c r="AY10" s="447"/>
      <c r="AZ10" s="459"/>
      <c r="BA10" s="450"/>
      <c r="BB10" s="447"/>
      <c r="BC10" s="447"/>
      <c r="BD10" s="447"/>
      <c r="BE10" s="447"/>
      <c r="BF10" s="452"/>
      <c r="BG10" s="447"/>
      <c r="BH10" s="447"/>
      <c r="BI10" s="447"/>
      <c r="BJ10" s="460"/>
    </row>
    <row r="11" spans="2:62" s="474" customFormat="1">
      <c r="B11" s="461"/>
      <c r="C11" s="297"/>
      <c r="D11" s="462"/>
      <c r="E11" s="462"/>
      <c r="F11" s="463"/>
      <c r="G11" s="462"/>
      <c r="H11" s="464"/>
      <c r="I11" s="465"/>
      <c r="J11" s="462"/>
      <c r="K11" s="466"/>
      <c r="L11" s="345"/>
      <c r="M11" s="462"/>
      <c r="N11" s="464"/>
      <c r="O11" s="463"/>
      <c r="P11" s="462"/>
      <c r="Q11" s="464"/>
      <c r="R11" s="345"/>
      <c r="S11" s="462"/>
      <c r="T11" s="466"/>
      <c r="U11" s="462"/>
      <c r="V11" s="462"/>
      <c r="W11" s="467"/>
      <c r="X11" s="463"/>
      <c r="Y11" s="462"/>
      <c r="Z11" s="464"/>
      <c r="AA11" s="465"/>
      <c r="AB11" s="462"/>
      <c r="AC11" s="466"/>
      <c r="AD11" s="463"/>
      <c r="AE11" s="462"/>
      <c r="AF11" s="464"/>
      <c r="AG11" s="468"/>
      <c r="AH11" s="462"/>
      <c r="AI11" s="469"/>
      <c r="AJ11" s="469"/>
      <c r="AK11" s="470"/>
      <c r="AL11" s="471"/>
      <c r="AM11" s="462"/>
      <c r="AN11" s="469"/>
      <c r="AO11" s="469"/>
      <c r="AP11" s="470"/>
      <c r="AQ11" s="468"/>
      <c r="AR11" s="462"/>
      <c r="AS11" s="469"/>
      <c r="AT11" s="469"/>
      <c r="AU11" s="470"/>
      <c r="AV11" s="468"/>
      <c r="AW11" s="462"/>
      <c r="AX11" s="469"/>
      <c r="AY11" s="469"/>
      <c r="AZ11" s="472"/>
      <c r="BA11" s="471"/>
      <c r="BB11" s="462"/>
      <c r="BC11" s="462"/>
      <c r="BD11" s="469"/>
      <c r="BE11" s="472"/>
      <c r="BF11" s="471"/>
      <c r="BG11" s="462"/>
      <c r="BH11" s="462"/>
      <c r="BI11" s="469"/>
      <c r="BJ11" s="473"/>
    </row>
    <row r="12" spans="2:62" s="474" customFormat="1">
      <c r="B12" s="461"/>
      <c r="C12" s="297" t="s">
        <v>2188</v>
      </c>
      <c r="D12" s="462">
        <v>200</v>
      </c>
      <c r="E12" s="462">
        <v>300</v>
      </c>
      <c r="F12" s="463">
        <v>2</v>
      </c>
      <c r="G12" s="462" t="s">
        <v>16</v>
      </c>
      <c r="H12" s="464">
        <v>13</v>
      </c>
      <c r="I12" s="465">
        <v>2</v>
      </c>
      <c r="J12" s="462" t="s">
        <v>16</v>
      </c>
      <c r="K12" s="466">
        <v>13</v>
      </c>
      <c r="L12" s="345">
        <v>2</v>
      </c>
      <c r="M12" s="462" t="s">
        <v>16</v>
      </c>
      <c r="N12" s="464">
        <v>13</v>
      </c>
      <c r="O12" s="463">
        <v>0</v>
      </c>
      <c r="P12" s="462" t="s">
        <v>16</v>
      </c>
      <c r="Q12" s="464">
        <v>8</v>
      </c>
      <c r="R12" s="345"/>
      <c r="S12" s="462" t="s">
        <v>16</v>
      </c>
      <c r="T12" s="466">
        <v>10</v>
      </c>
      <c r="U12" s="462" t="s">
        <v>157</v>
      </c>
      <c r="V12" s="462">
        <v>1000</v>
      </c>
      <c r="W12" s="467"/>
      <c r="X12" s="463">
        <v>2</v>
      </c>
      <c r="Y12" s="462" t="s">
        <v>16</v>
      </c>
      <c r="Z12" s="464">
        <v>13</v>
      </c>
      <c r="AA12" s="465">
        <v>2</v>
      </c>
      <c r="AB12" s="462" t="s">
        <v>16</v>
      </c>
      <c r="AC12" s="466">
        <v>13</v>
      </c>
      <c r="AD12" s="463">
        <v>2</v>
      </c>
      <c r="AE12" s="462" t="s">
        <v>16</v>
      </c>
      <c r="AF12" s="464">
        <v>13</v>
      </c>
      <c r="AG12" s="468"/>
      <c r="AH12" s="462" t="s">
        <v>16</v>
      </c>
      <c r="AI12" s="469">
        <v>8</v>
      </c>
      <c r="AJ12" s="469" t="s">
        <v>157</v>
      </c>
      <c r="AK12" s="470">
        <v>150</v>
      </c>
      <c r="AL12" s="471"/>
      <c r="AM12" s="462" t="s">
        <v>16</v>
      </c>
      <c r="AN12" s="469">
        <v>8</v>
      </c>
      <c r="AO12" s="469" t="s">
        <v>157</v>
      </c>
      <c r="AP12" s="470">
        <v>150</v>
      </c>
      <c r="AQ12" s="468"/>
      <c r="AR12" s="462" t="s">
        <v>16</v>
      </c>
      <c r="AS12" s="469">
        <v>8</v>
      </c>
      <c r="AT12" s="469" t="s">
        <v>157</v>
      </c>
      <c r="AU12" s="470">
        <v>150</v>
      </c>
      <c r="AV12" s="468"/>
      <c r="AW12" s="462"/>
      <c r="AX12" s="469"/>
      <c r="AY12" s="469"/>
      <c r="AZ12" s="472">
        <v>100</v>
      </c>
      <c r="BA12" s="471"/>
      <c r="BB12" s="462"/>
      <c r="BC12" s="462"/>
      <c r="BD12" s="469"/>
      <c r="BE12" s="472">
        <v>100</v>
      </c>
      <c r="BF12" s="471"/>
      <c r="BG12" s="462"/>
      <c r="BH12" s="462"/>
      <c r="BI12" s="469"/>
      <c r="BJ12" s="473">
        <v>100</v>
      </c>
    </row>
    <row r="13" spans="2:62" s="474" customFormat="1">
      <c r="B13" s="461"/>
      <c r="C13" s="297" t="s">
        <v>2189</v>
      </c>
      <c r="D13" s="462">
        <v>200</v>
      </c>
      <c r="E13" s="462">
        <v>400</v>
      </c>
      <c r="F13" s="463">
        <v>3</v>
      </c>
      <c r="G13" s="462" t="s">
        <v>16</v>
      </c>
      <c r="H13" s="464">
        <v>13</v>
      </c>
      <c r="I13" s="465">
        <v>3</v>
      </c>
      <c r="J13" s="462" t="s">
        <v>16</v>
      </c>
      <c r="K13" s="466">
        <v>13</v>
      </c>
      <c r="L13" s="345">
        <v>3</v>
      </c>
      <c r="M13" s="462" t="s">
        <v>16</v>
      </c>
      <c r="N13" s="464">
        <v>13</v>
      </c>
      <c r="O13" s="463">
        <v>0</v>
      </c>
      <c r="P13" s="462" t="s">
        <v>16</v>
      </c>
      <c r="Q13" s="464">
        <v>8</v>
      </c>
      <c r="R13" s="345"/>
      <c r="S13" s="462" t="s">
        <v>16</v>
      </c>
      <c r="T13" s="466">
        <v>10</v>
      </c>
      <c r="U13" s="462" t="s">
        <v>157</v>
      </c>
      <c r="V13" s="462">
        <v>1000</v>
      </c>
      <c r="W13" s="467"/>
      <c r="X13" s="463">
        <v>3</v>
      </c>
      <c r="Y13" s="462" t="s">
        <v>16</v>
      </c>
      <c r="Z13" s="464">
        <v>13</v>
      </c>
      <c r="AA13" s="465">
        <v>3</v>
      </c>
      <c r="AB13" s="462" t="s">
        <v>16</v>
      </c>
      <c r="AC13" s="466">
        <v>13</v>
      </c>
      <c r="AD13" s="463">
        <v>3</v>
      </c>
      <c r="AE13" s="462" t="s">
        <v>16</v>
      </c>
      <c r="AF13" s="464">
        <v>13</v>
      </c>
      <c r="AG13" s="468"/>
      <c r="AH13" s="462" t="s">
        <v>16</v>
      </c>
      <c r="AI13" s="469">
        <v>8</v>
      </c>
      <c r="AJ13" s="469" t="s">
        <v>157</v>
      </c>
      <c r="AK13" s="470">
        <v>150</v>
      </c>
      <c r="AL13" s="471"/>
      <c r="AM13" s="462" t="s">
        <v>16</v>
      </c>
      <c r="AN13" s="469">
        <v>8</v>
      </c>
      <c r="AO13" s="469" t="s">
        <v>157</v>
      </c>
      <c r="AP13" s="470">
        <v>200</v>
      </c>
      <c r="AQ13" s="468"/>
      <c r="AR13" s="462" t="s">
        <v>16</v>
      </c>
      <c r="AS13" s="469">
        <v>8</v>
      </c>
      <c r="AT13" s="469" t="s">
        <v>157</v>
      </c>
      <c r="AU13" s="470">
        <v>150</v>
      </c>
      <c r="AV13" s="468"/>
      <c r="AW13" s="462"/>
      <c r="AX13" s="469"/>
      <c r="AY13" s="469"/>
      <c r="AZ13" s="472">
        <v>100</v>
      </c>
      <c r="BA13" s="471"/>
      <c r="BB13" s="462"/>
      <c r="BC13" s="462"/>
      <c r="BD13" s="469"/>
      <c r="BE13" s="472">
        <v>100</v>
      </c>
      <c r="BF13" s="471"/>
      <c r="BG13" s="462"/>
      <c r="BH13" s="462"/>
      <c r="BI13" s="469"/>
      <c r="BJ13" s="473">
        <v>100</v>
      </c>
    </row>
    <row r="14" spans="2:62" s="474" customFormat="1">
      <c r="B14" s="461"/>
      <c r="C14" s="297" t="s">
        <v>2284</v>
      </c>
      <c r="D14" s="462">
        <v>200</v>
      </c>
      <c r="E14" s="462">
        <v>400</v>
      </c>
      <c r="F14" s="463">
        <v>3</v>
      </c>
      <c r="G14" s="462" t="s">
        <v>16</v>
      </c>
      <c r="H14" s="464">
        <v>16</v>
      </c>
      <c r="I14" s="465">
        <v>3</v>
      </c>
      <c r="J14" s="462" t="s">
        <v>16</v>
      </c>
      <c r="K14" s="466">
        <v>16</v>
      </c>
      <c r="L14" s="345">
        <v>3</v>
      </c>
      <c r="M14" s="462" t="s">
        <v>16</v>
      </c>
      <c r="N14" s="464">
        <v>16</v>
      </c>
      <c r="O14" s="463">
        <v>0</v>
      </c>
      <c r="P14" s="462" t="s">
        <v>16</v>
      </c>
      <c r="Q14" s="464">
        <v>8</v>
      </c>
      <c r="R14" s="345"/>
      <c r="S14" s="462" t="s">
        <v>16</v>
      </c>
      <c r="T14" s="466">
        <v>10</v>
      </c>
      <c r="U14" s="462" t="s">
        <v>157</v>
      </c>
      <c r="V14" s="462">
        <v>1000</v>
      </c>
      <c r="W14" s="467"/>
      <c r="X14" s="463">
        <v>3</v>
      </c>
      <c r="Y14" s="462" t="s">
        <v>16</v>
      </c>
      <c r="Z14" s="464">
        <v>16</v>
      </c>
      <c r="AA14" s="465">
        <v>3</v>
      </c>
      <c r="AB14" s="462" t="s">
        <v>16</v>
      </c>
      <c r="AC14" s="466">
        <v>16</v>
      </c>
      <c r="AD14" s="463">
        <v>3</v>
      </c>
      <c r="AE14" s="462" t="s">
        <v>16</v>
      </c>
      <c r="AF14" s="464">
        <v>16</v>
      </c>
      <c r="AG14" s="468"/>
      <c r="AH14" s="462" t="s">
        <v>16</v>
      </c>
      <c r="AI14" s="469">
        <v>8</v>
      </c>
      <c r="AJ14" s="469" t="s">
        <v>157</v>
      </c>
      <c r="AK14" s="470">
        <v>150</v>
      </c>
      <c r="AL14" s="471"/>
      <c r="AM14" s="462" t="s">
        <v>16</v>
      </c>
      <c r="AN14" s="469">
        <v>8</v>
      </c>
      <c r="AO14" s="469" t="s">
        <v>157</v>
      </c>
      <c r="AP14" s="470">
        <v>200</v>
      </c>
      <c r="AQ14" s="468"/>
      <c r="AR14" s="462" t="s">
        <v>16</v>
      </c>
      <c r="AS14" s="469">
        <v>8</v>
      </c>
      <c r="AT14" s="469" t="s">
        <v>157</v>
      </c>
      <c r="AU14" s="470">
        <v>150</v>
      </c>
      <c r="AV14" s="468"/>
      <c r="AW14" s="462"/>
      <c r="AX14" s="469"/>
      <c r="AY14" s="469"/>
      <c r="AZ14" s="472">
        <v>100</v>
      </c>
      <c r="BA14" s="471"/>
      <c r="BB14" s="462"/>
      <c r="BC14" s="462"/>
      <c r="BD14" s="469"/>
      <c r="BE14" s="472">
        <v>100</v>
      </c>
      <c r="BF14" s="471"/>
      <c r="BG14" s="462"/>
      <c r="BH14" s="462"/>
      <c r="BI14" s="469"/>
      <c r="BJ14" s="473">
        <v>100</v>
      </c>
    </row>
    <row r="15" spans="2:62" s="474" customFormat="1">
      <c r="B15" s="461"/>
      <c r="C15" s="297" t="s">
        <v>2190</v>
      </c>
      <c r="D15" s="462">
        <v>200</v>
      </c>
      <c r="E15" s="462">
        <v>500</v>
      </c>
      <c r="F15" s="463">
        <v>3</v>
      </c>
      <c r="G15" s="462" t="s">
        <v>16</v>
      </c>
      <c r="H15" s="464">
        <v>16</v>
      </c>
      <c r="I15" s="465">
        <v>3</v>
      </c>
      <c r="J15" s="462" t="s">
        <v>16</v>
      </c>
      <c r="K15" s="466">
        <v>16</v>
      </c>
      <c r="L15" s="345">
        <v>3</v>
      </c>
      <c r="M15" s="462" t="s">
        <v>16</v>
      </c>
      <c r="N15" s="464">
        <v>16</v>
      </c>
      <c r="O15" s="463">
        <v>2</v>
      </c>
      <c r="P15" s="462" t="s">
        <v>16</v>
      </c>
      <c r="Q15" s="464">
        <v>10</v>
      </c>
      <c r="R15" s="345"/>
      <c r="S15" s="462" t="s">
        <v>16</v>
      </c>
      <c r="T15" s="466">
        <v>10</v>
      </c>
      <c r="U15" s="462" t="s">
        <v>157</v>
      </c>
      <c r="V15" s="462">
        <v>1000</v>
      </c>
      <c r="W15" s="467"/>
      <c r="X15" s="463">
        <v>3</v>
      </c>
      <c r="Y15" s="462" t="s">
        <v>16</v>
      </c>
      <c r="Z15" s="464">
        <v>16</v>
      </c>
      <c r="AA15" s="465">
        <v>3</v>
      </c>
      <c r="AB15" s="462" t="s">
        <v>16</v>
      </c>
      <c r="AC15" s="466">
        <v>16</v>
      </c>
      <c r="AD15" s="463">
        <v>3</v>
      </c>
      <c r="AE15" s="462" t="s">
        <v>16</v>
      </c>
      <c r="AF15" s="464">
        <v>16</v>
      </c>
      <c r="AG15" s="468"/>
      <c r="AH15" s="462" t="s">
        <v>16</v>
      </c>
      <c r="AI15" s="469">
        <v>8</v>
      </c>
      <c r="AJ15" s="469" t="s">
        <v>157</v>
      </c>
      <c r="AK15" s="470">
        <v>150</v>
      </c>
      <c r="AL15" s="471"/>
      <c r="AM15" s="462" t="s">
        <v>16</v>
      </c>
      <c r="AN15" s="469">
        <v>8</v>
      </c>
      <c r="AO15" s="469" t="s">
        <v>157</v>
      </c>
      <c r="AP15" s="470">
        <v>200</v>
      </c>
      <c r="AQ15" s="468"/>
      <c r="AR15" s="462" t="s">
        <v>16</v>
      </c>
      <c r="AS15" s="469">
        <v>8</v>
      </c>
      <c r="AT15" s="469" t="s">
        <v>157</v>
      </c>
      <c r="AU15" s="470">
        <v>150</v>
      </c>
      <c r="AV15" s="468"/>
      <c r="AW15" s="462"/>
      <c r="AX15" s="469"/>
      <c r="AY15" s="469"/>
      <c r="AZ15" s="472">
        <v>100</v>
      </c>
      <c r="BA15" s="471"/>
      <c r="BB15" s="462"/>
      <c r="BC15" s="462"/>
      <c r="BD15" s="469"/>
      <c r="BE15" s="472">
        <v>100</v>
      </c>
      <c r="BF15" s="471"/>
      <c r="BG15" s="462"/>
      <c r="BH15" s="462"/>
      <c r="BI15" s="469"/>
      <c r="BJ15" s="473">
        <v>100</v>
      </c>
    </row>
    <row r="16" spans="2:62" s="474" customFormat="1">
      <c r="B16" s="461"/>
      <c r="C16" s="297" t="s">
        <v>2285</v>
      </c>
      <c r="D16" s="462">
        <v>300</v>
      </c>
      <c r="E16" s="462">
        <v>600</v>
      </c>
      <c r="F16" s="349">
        <v>4</v>
      </c>
      <c r="G16" s="462" t="s">
        <v>16</v>
      </c>
      <c r="H16" s="464">
        <v>16</v>
      </c>
      <c r="I16" s="351">
        <v>4</v>
      </c>
      <c r="J16" s="462" t="s">
        <v>16</v>
      </c>
      <c r="K16" s="466">
        <v>16</v>
      </c>
      <c r="L16" s="353">
        <v>4</v>
      </c>
      <c r="M16" s="462" t="s">
        <v>16</v>
      </c>
      <c r="N16" s="464">
        <v>16</v>
      </c>
      <c r="O16" s="463">
        <v>2</v>
      </c>
      <c r="P16" s="462" t="s">
        <v>16</v>
      </c>
      <c r="Q16" s="464">
        <v>10</v>
      </c>
      <c r="R16" s="345"/>
      <c r="S16" s="462" t="s">
        <v>16</v>
      </c>
      <c r="T16" s="466">
        <v>10</v>
      </c>
      <c r="U16" s="462" t="s">
        <v>157</v>
      </c>
      <c r="V16" s="462">
        <v>1000</v>
      </c>
      <c r="W16" s="467"/>
      <c r="X16" s="349">
        <v>4</v>
      </c>
      <c r="Y16" s="462" t="s">
        <v>16</v>
      </c>
      <c r="Z16" s="464">
        <v>16</v>
      </c>
      <c r="AA16" s="351">
        <v>4</v>
      </c>
      <c r="AB16" s="462" t="s">
        <v>16</v>
      </c>
      <c r="AC16" s="466">
        <v>16</v>
      </c>
      <c r="AD16" s="349">
        <v>4</v>
      </c>
      <c r="AE16" s="462" t="s">
        <v>16</v>
      </c>
      <c r="AF16" s="464">
        <v>16</v>
      </c>
      <c r="AG16" s="468"/>
      <c r="AH16" s="462" t="s">
        <v>16</v>
      </c>
      <c r="AI16" s="469">
        <v>8</v>
      </c>
      <c r="AJ16" s="469" t="s">
        <v>157</v>
      </c>
      <c r="AK16" s="470">
        <v>150</v>
      </c>
      <c r="AL16" s="471"/>
      <c r="AM16" s="462" t="s">
        <v>16</v>
      </c>
      <c r="AN16" s="469">
        <v>8</v>
      </c>
      <c r="AO16" s="469" t="s">
        <v>157</v>
      </c>
      <c r="AP16" s="470">
        <v>200</v>
      </c>
      <c r="AQ16" s="468"/>
      <c r="AR16" s="462" t="s">
        <v>16</v>
      </c>
      <c r="AS16" s="469">
        <v>8</v>
      </c>
      <c r="AT16" s="469" t="s">
        <v>157</v>
      </c>
      <c r="AU16" s="470">
        <v>150</v>
      </c>
      <c r="AV16" s="468"/>
      <c r="AW16" s="462"/>
      <c r="AX16" s="469"/>
      <c r="AY16" s="469"/>
      <c r="AZ16" s="472">
        <v>100</v>
      </c>
      <c r="BA16" s="471"/>
      <c r="BB16" s="462"/>
      <c r="BC16" s="462"/>
      <c r="BD16" s="469"/>
      <c r="BE16" s="472">
        <v>100</v>
      </c>
      <c r="BF16" s="471"/>
      <c r="BG16" s="462"/>
      <c r="BH16" s="462"/>
      <c r="BI16" s="469"/>
      <c r="BJ16" s="473">
        <v>100</v>
      </c>
    </row>
    <row r="17" spans="2:62" s="361" customFormat="1">
      <c r="B17" s="346"/>
      <c r="C17" s="347"/>
      <c r="D17" s="348"/>
      <c r="E17" s="348"/>
      <c r="F17" s="349"/>
      <c r="G17" s="348"/>
      <c r="H17" s="350"/>
      <c r="I17" s="351"/>
      <c r="J17" s="348"/>
      <c r="K17" s="352"/>
      <c r="L17" s="353"/>
      <c r="M17" s="348"/>
      <c r="N17" s="350"/>
      <c r="O17" s="348"/>
      <c r="P17" s="348"/>
      <c r="Q17" s="350"/>
      <c r="R17" s="353"/>
      <c r="S17" s="348"/>
      <c r="T17" s="352"/>
      <c r="U17" s="348"/>
      <c r="V17" s="348"/>
      <c r="W17" s="354"/>
      <c r="X17" s="349"/>
      <c r="Y17" s="348"/>
      <c r="Z17" s="350"/>
      <c r="AA17" s="351"/>
      <c r="AB17" s="348"/>
      <c r="AC17" s="352"/>
      <c r="AD17" s="349"/>
      <c r="AE17" s="348"/>
      <c r="AF17" s="350"/>
      <c r="AG17" s="355"/>
      <c r="AH17" s="348"/>
      <c r="AI17" s="356"/>
      <c r="AJ17" s="356"/>
      <c r="AK17" s="357"/>
      <c r="AL17" s="358"/>
      <c r="AM17" s="348"/>
      <c r="AN17" s="356"/>
      <c r="AO17" s="356"/>
      <c r="AP17" s="357"/>
      <c r="AQ17" s="355"/>
      <c r="AR17" s="348"/>
      <c r="AS17" s="356"/>
      <c r="AT17" s="356"/>
      <c r="AU17" s="357"/>
      <c r="AV17" s="355"/>
      <c r="AW17" s="348"/>
      <c r="AX17" s="356"/>
      <c r="AY17" s="356"/>
      <c r="AZ17" s="359"/>
      <c r="BA17" s="358"/>
      <c r="BB17" s="348"/>
      <c r="BC17" s="348"/>
      <c r="BD17" s="356"/>
      <c r="BE17" s="359"/>
      <c r="BF17" s="358"/>
      <c r="BG17" s="348"/>
      <c r="BH17" s="348"/>
      <c r="BI17" s="356"/>
      <c r="BJ17" s="360"/>
    </row>
    <row r="18" spans="2:62" s="474" customFormat="1">
      <c r="B18" s="461"/>
      <c r="C18" s="297" t="s">
        <v>2286</v>
      </c>
      <c r="D18" s="1897">
        <v>130</v>
      </c>
      <c r="E18" s="1897">
        <v>400</v>
      </c>
      <c r="F18" s="349">
        <v>2</v>
      </c>
      <c r="G18" s="1897" t="s">
        <v>16</v>
      </c>
      <c r="H18" s="1898">
        <v>13</v>
      </c>
      <c r="I18" s="2031">
        <v>2</v>
      </c>
      <c r="J18" s="1897" t="s">
        <v>16</v>
      </c>
      <c r="K18" s="1900">
        <v>13</v>
      </c>
      <c r="L18" s="2142">
        <v>2</v>
      </c>
      <c r="M18" s="1897" t="s">
        <v>16</v>
      </c>
      <c r="N18" s="1898">
        <v>13</v>
      </c>
      <c r="O18" s="1901">
        <v>0</v>
      </c>
      <c r="P18" s="1897" t="s">
        <v>16</v>
      </c>
      <c r="Q18" s="1898">
        <v>8</v>
      </c>
      <c r="R18" s="1726"/>
      <c r="S18" s="1897" t="s">
        <v>16</v>
      </c>
      <c r="T18" s="1900">
        <v>10</v>
      </c>
      <c r="U18" s="1897" t="s">
        <v>157</v>
      </c>
      <c r="V18" s="1897">
        <v>1000</v>
      </c>
      <c r="W18" s="1902"/>
      <c r="X18" s="2032">
        <v>2</v>
      </c>
      <c r="Y18" s="1897" t="s">
        <v>16</v>
      </c>
      <c r="Z18" s="1898">
        <v>13</v>
      </c>
      <c r="AA18" s="2031">
        <v>2</v>
      </c>
      <c r="AB18" s="1897" t="s">
        <v>16</v>
      </c>
      <c r="AC18" s="1900">
        <v>13</v>
      </c>
      <c r="AD18" s="349">
        <v>2</v>
      </c>
      <c r="AE18" s="1897" t="s">
        <v>16</v>
      </c>
      <c r="AF18" s="1898">
        <v>13</v>
      </c>
      <c r="AG18" s="468"/>
      <c r="AH18" s="1897" t="s">
        <v>16</v>
      </c>
      <c r="AI18" s="356">
        <v>8</v>
      </c>
      <c r="AJ18" s="469" t="s">
        <v>157</v>
      </c>
      <c r="AK18" s="357">
        <v>150</v>
      </c>
      <c r="AL18" s="471"/>
      <c r="AM18" s="1897" t="s">
        <v>16</v>
      </c>
      <c r="AN18" s="356">
        <v>8</v>
      </c>
      <c r="AO18" s="469" t="s">
        <v>157</v>
      </c>
      <c r="AP18" s="470">
        <v>200</v>
      </c>
      <c r="AQ18" s="468"/>
      <c r="AR18" s="1897" t="s">
        <v>16</v>
      </c>
      <c r="AS18" s="356">
        <v>8</v>
      </c>
      <c r="AT18" s="469" t="s">
        <v>157</v>
      </c>
      <c r="AU18" s="357">
        <v>150</v>
      </c>
      <c r="AV18" s="463"/>
      <c r="AW18" s="1897"/>
      <c r="AX18" s="1897"/>
      <c r="AY18" s="469"/>
      <c r="AZ18" s="1903">
        <v>100</v>
      </c>
      <c r="BA18" s="1899"/>
      <c r="BB18" s="1897"/>
      <c r="BC18" s="1897"/>
      <c r="BD18" s="469"/>
      <c r="BE18" s="1903">
        <v>100</v>
      </c>
      <c r="BF18" s="1904"/>
      <c r="BG18" s="1897"/>
      <c r="BH18" s="1897"/>
      <c r="BI18" s="469"/>
      <c r="BJ18" s="473">
        <v>100</v>
      </c>
    </row>
    <row r="19" spans="2:62" s="474" customFormat="1">
      <c r="B19" s="461"/>
      <c r="C19" s="297" t="s">
        <v>2287</v>
      </c>
      <c r="D19" s="1897">
        <v>130</v>
      </c>
      <c r="E19" s="1897">
        <v>500</v>
      </c>
      <c r="F19" s="463">
        <v>3</v>
      </c>
      <c r="G19" s="1897" t="s">
        <v>16</v>
      </c>
      <c r="H19" s="1898">
        <v>13</v>
      </c>
      <c r="I19" s="1899">
        <v>3</v>
      </c>
      <c r="J19" s="1897" t="s">
        <v>16</v>
      </c>
      <c r="K19" s="1900">
        <v>13</v>
      </c>
      <c r="L19" s="1726">
        <v>3</v>
      </c>
      <c r="M19" s="1897" t="s">
        <v>16</v>
      </c>
      <c r="N19" s="1898">
        <v>13</v>
      </c>
      <c r="O19" s="1901">
        <v>2</v>
      </c>
      <c r="P19" s="1897" t="s">
        <v>16</v>
      </c>
      <c r="Q19" s="1898">
        <v>10</v>
      </c>
      <c r="R19" s="1726"/>
      <c r="S19" s="1897" t="s">
        <v>16</v>
      </c>
      <c r="T19" s="1900">
        <v>10</v>
      </c>
      <c r="U19" s="1897" t="s">
        <v>157</v>
      </c>
      <c r="V19" s="1897">
        <v>1000</v>
      </c>
      <c r="W19" s="1902"/>
      <c r="X19" s="1901">
        <v>3</v>
      </c>
      <c r="Y19" s="1897" t="s">
        <v>16</v>
      </c>
      <c r="Z19" s="1898">
        <v>13</v>
      </c>
      <c r="AA19" s="1899">
        <v>3</v>
      </c>
      <c r="AB19" s="1897" t="s">
        <v>16</v>
      </c>
      <c r="AC19" s="1900">
        <v>13</v>
      </c>
      <c r="AD19" s="463">
        <v>3</v>
      </c>
      <c r="AE19" s="1897" t="s">
        <v>16</v>
      </c>
      <c r="AF19" s="1898">
        <v>13</v>
      </c>
      <c r="AG19" s="468"/>
      <c r="AH19" s="1897" t="s">
        <v>16</v>
      </c>
      <c r="AI19" s="356">
        <v>8</v>
      </c>
      <c r="AJ19" s="469" t="s">
        <v>157</v>
      </c>
      <c r="AK19" s="470">
        <v>150</v>
      </c>
      <c r="AL19" s="471"/>
      <c r="AM19" s="1897" t="s">
        <v>16</v>
      </c>
      <c r="AN19" s="356">
        <v>8</v>
      </c>
      <c r="AO19" s="469" t="s">
        <v>157</v>
      </c>
      <c r="AP19" s="470">
        <v>200</v>
      </c>
      <c r="AQ19" s="468"/>
      <c r="AR19" s="1897" t="s">
        <v>16</v>
      </c>
      <c r="AS19" s="356">
        <v>8</v>
      </c>
      <c r="AT19" s="469" t="s">
        <v>157</v>
      </c>
      <c r="AU19" s="470">
        <v>150</v>
      </c>
      <c r="AV19" s="463"/>
      <c r="AW19" s="1897"/>
      <c r="AX19" s="1897"/>
      <c r="AY19" s="469"/>
      <c r="AZ19" s="1903">
        <v>100</v>
      </c>
      <c r="BA19" s="1899"/>
      <c r="BB19" s="1897"/>
      <c r="BC19" s="1897"/>
      <c r="BD19" s="469"/>
      <c r="BE19" s="1903">
        <v>100</v>
      </c>
      <c r="BF19" s="1904"/>
      <c r="BG19" s="1897"/>
      <c r="BH19" s="1897"/>
      <c r="BI19" s="469"/>
      <c r="BJ19" s="473">
        <v>100</v>
      </c>
    </row>
    <row r="20" spans="2:62" s="474" customFormat="1">
      <c r="B20" s="461"/>
      <c r="C20" s="297" t="s">
        <v>2288</v>
      </c>
      <c r="D20" s="462">
        <v>200</v>
      </c>
      <c r="E20" s="462">
        <v>300</v>
      </c>
      <c r="F20" s="463">
        <v>3</v>
      </c>
      <c r="G20" s="462" t="s">
        <v>16</v>
      </c>
      <c r="H20" s="464">
        <v>13</v>
      </c>
      <c r="I20" s="1899">
        <v>3</v>
      </c>
      <c r="J20" s="462" t="s">
        <v>16</v>
      </c>
      <c r="K20" s="466">
        <v>13</v>
      </c>
      <c r="L20" s="345">
        <v>3</v>
      </c>
      <c r="M20" s="462" t="s">
        <v>16</v>
      </c>
      <c r="N20" s="464">
        <v>13</v>
      </c>
      <c r="O20" s="1901">
        <v>0</v>
      </c>
      <c r="P20" s="462" t="s">
        <v>16</v>
      </c>
      <c r="Q20" s="1898">
        <v>8</v>
      </c>
      <c r="R20" s="345"/>
      <c r="S20" s="462" t="s">
        <v>16</v>
      </c>
      <c r="T20" s="466">
        <v>10</v>
      </c>
      <c r="U20" s="462" t="s">
        <v>157</v>
      </c>
      <c r="V20" s="462">
        <v>1000</v>
      </c>
      <c r="W20" s="467"/>
      <c r="X20" s="463">
        <v>3</v>
      </c>
      <c r="Y20" s="462" t="s">
        <v>16</v>
      </c>
      <c r="Z20" s="464">
        <v>13</v>
      </c>
      <c r="AA20" s="465">
        <v>3</v>
      </c>
      <c r="AB20" s="462" t="s">
        <v>16</v>
      </c>
      <c r="AC20" s="466">
        <v>13</v>
      </c>
      <c r="AD20" s="463">
        <v>3</v>
      </c>
      <c r="AE20" s="462" t="s">
        <v>16</v>
      </c>
      <c r="AF20" s="464">
        <v>13</v>
      </c>
      <c r="AG20" s="468"/>
      <c r="AH20" s="462" t="s">
        <v>16</v>
      </c>
      <c r="AI20" s="469">
        <v>10</v>
      </c>
      <c r="AJ20" s="469" t="s">
        <v>157</v>
      </c>
      <c r="AK20" s="470">
        <v>100</v>
      </c>
      <c r="AL20" s="471"/>
      <c r="AM20" s="462" t="s">
        <v>16</v>
      </c>
      <c r="AN20" s="469">
        <v>10</v>
      </c>
      <c r="AO20" s="469" t="s">
        <v>157</v>
      </c>
      <c r="AP20" s="470">
        <v>200</v>
      </c>
      <c r="AQ20" s="468"/>
      <c r="AR20" s="462" t="s">
        <v>16</v>
      </c>
      <c r="AS20" s="469">
        <v>10</v>
      </c>
      <c r="AT20" s="469" t="s">
        <v>157</v>
      </c>
      <c r="AU20" s="470">
        <v>100</v>
      </c>
      <c r="AV20" s="468"/>
      <c r="AW20" s="462"/>
      <c r="AX20" s="469"/>
      <c r="AY20" s="469"/>
      <c r="AZ20" s="472">
        <v>100</v>
      </c>
      <c r="BA20" s="471"/>
      <c r="BB20" s="462"/>
      <c r="BC20" s="462"/>
      <c r="BD20" s="469"/>
      <c r="BE20" s="472">
        <v>100</v>
      </c>
      <c r="BF20" s="471"/>
      <c r="BG20" s="462"/>
      <c r="BH20" s="462"/>
      <c r="BI20" s="469"/>
      <c r="BJ20" s="473">
        <v>100</v>
      </c>
    </row>
    <row r="21" spans="2:62" s="474" customFormat="1">
      <c r="B21" s="461"/>
      <c r="C21" s="297" t="s">
        <v>132</v>
      </c>
      <c r="D21" s="462">
        <v>200</v>
      </c>
      <c r="E21" s="462">
        <v>400</v>
      </c>
      <c r="F21" s="463">
        <v>3</v>
      </c>
      <c r="G21" s="462" t="s">
        <v>16</v>
      </c>
      <c r="H21" s="464">
        <v>13</v>
      </c>
      <c r="I21" s="1899">
        <v>3</v>
      </c>
      <c r="J21" s="462" t="s">
        <v>16</v>
      </c>
      <c r="K21" s="466">
        <v>13</v>
      </c>
      <c r="L21" s="345">
        <v>3</v>
      </c>
      <c r="M21" s="462" t="s">
        <v>16</v>
      </c>
      <c r="N21" s="464">
        <v>13</v>
      </c>
      <c r="O21" s="1901">
        <v>0</v>
      </c>
      <c r="P21" s="462" t="s">
        <v>16</v>
      </c>
      <c r="Q21" s="1898">
        <v>8</v>
      </c>
      <c r="R21" s="345"/>
      <c r="S21" s="462" t="s">
        <v>16</v>
      </c>
      <c r="T21" s="466">
        <v>10</v>
      </c>
      <c r="U21" s="462" t="s">
        <v>157</v>
      </c>
      <c r="V21" s="462">
        <v>1000</v>
      </c>
      <c r="W21" s="467"/>
      <c r="X21" s="463">
        <v>3</v>
      </c>
      <c r="Y21" s="462" t="s">
        <v>16</v>
      </c>
      <c r="Z21" s="464">
        <v>13</v>
      </c>
      <c r="AA21" s="465">
        <v>3</v>
      </c>
      <c r="AB21" s="462" t="s">
        <v>16</v>
      </c>
      <c r="AC21" s="466">
        <v>13</v>
      </c>
      <c r="AD21" s="463">
        <v>3</v>
      </c>
      <c r="AE21" s="462" t="s">
        <v>16</v>
      </c>
      <c r="AF21" s="464">
        <v>13</v>
      </c>
      <c r="AG21" s="468"/>
      <c r="AH21" s="462" t="s">
        <v>16</v>
      </c>
      <c r="AI21" s="469">
        <v>10</v>
      </c>
      <c r="AJ21" s="469" t="s">
        <v>157</v>
      </c>
      <c r="AK21" s="470">
        <v>100</v>
      </c>
      <c r="AL21" s="471"/>
      <c r="AM21" s="462" t="s">
        <v>16</v>
      </c>
      <c r="AN21" s="469">
        <v>10</v>
      </c>
      <c r="AO21" s="469" t="s">
        <v>157</v>
      </c>
      <c r="AP21" s="470">
        <v>200</v>
      </c>
      <c r="AQ21" s="468"/>
      <c r="AR21" s="462" t="s">
        <v>16</v>
      </c>
      <c r="AS21" s="469">
        <v>10</v>
      </c>
      <c r="AT21" s="469" t="s">
        <v>157</v>
      </c>
      <c r="AU21" s="470">
        <v>100</v>
      </c>
      <c r="AV21" s="468"/>
      <c r="AW21" s="462"/>
      <c r="AX21" s="469"/>
      <c r="AY21" s="469"/>
      <c r="AZ21" s="472">
        <v>100</v>
      </c>
      <c r="BA21" s="471"/>
      <c r="BB21" s="462"/>
      <c r="BC21" s="462"/>
      <c r="BD21" s="469"/>
      <c r="BE21" s="472">
        <v>100</v>
      </c>
      <c r="BF21" s="471"/>
      <c r="BG21" s="462"/>
      <c r="BH21" s="462"/>
      <c r="BI21" s="469"/>
      <c r="BJ21" s="473">
        <v>100</v>
      </c>
    </row>
    <row r="22" spans="2:62" s="474" customFormat="1">
      <c r="B22" s="461"/>
      <c r="C22" s="297" t="s">
        <v>133</v>
      </c>
      <c r="D22" s="462">
        <v>200</v>
      </c>
      <c r="E22" s="462">
        <v>400</v>
      </c>
      <c r="F22" s="463">
        <v>3</v>
      </c>
      <c r="G22" s="462" t="s">
        <v>16</v>
      </c>
      <c r="H22" s="464">
        <v>16</v>
      </c>
      <c r="I22" s="1899">
        <v>3</v>
      </c>
      <c r="J22" s="462" t="s">
        <v>16</v>
      </c>
      <c r="K22" s="466">
        <v>16</v>
      </c>
      <c r="L22" s="345">
        <v>3</v>
      </c>
      <c r="M22" s="462" t="s">
        <v>16</v>
      </c>
      <c r="N22" s="464">
        <v>16</v>
      </c>
      <c r="O22" s="1901">
        <v>0</v>
      </c>
      <c r="P22" s="462" t="s">
        <v>16</v>
      </c>
      <c r="Q22" s="1898">
        <v>8</v>
      </c>
      <c r="R22" s="345"/>
      <c r="S22" s="462" t="s">
        <v>16</v>
      </c>
      <c r="T22" s="466">
        <v>10</v>
      </c>
      <c r="U22" s="462" t="s">
        <v>157</v>
      </c>
      <c r="V22" s="462">
        <v>1000</v>
      </c>
      <c r="W22" s="467"/>
      <c r="X22" s="463">
        <v>3</v>
      </c>
      <c r="Y22" s="462" t="s">
        <v>16</v>
      </c>
      <c r="Z22" s="464">
        <v>16</v>
      </c>
      <c r="AA22" s="465">
        <v>3</v>
      </c>
      <c r="AB22" s="462" t="s">
        <v>16</v>
      </c>
      <c r="AC22" s="466">
        <v>16</v>
      </c>
      <c r="AD22" s="463">
        <v>3</v>
      </c>
      <c r="AE22" s="462" t="s">
        <v>16</v>
      </c>
      <c r="AF22" s="464">
        <v>16</v>
      </c>
      <c r="AG22" s="468"/>
      <c r="AH22" s="462" t="s">
        <v>16</v>
      </c>
      <c r="AI22" s="469">
        <v>10</v>
      </c>
      <c r="AJ22" s="469" t="s">
        <v>157</v>
      </c>
      <c r="AK22" s="470">
        <v>100</v>
      </c>
      <c r="AL22" s="471"/>
      <c r="AM22" s="462" t="s">
        <v>16</v>
      </c>
      <c r="AN22" s="469">
        <v>10</v>
      </c>
      <c r="AO22" s="469" t="s">
        <v>157</v>
      </c>
      <c r="AP22" s="470">
        <v>200</v>
      </c>
      <c r="AQ22" s="468"/>
      <c r="AR22" s="462" t="s">
        <v>16</v>
      </c>
      <c r="AS22" s="469">
        <v>10</v>
      </c>
      <c r="AT22" s="469" t="s">
        <v>157</v>
      </c>
      <c r="AU22" s="470">
        <v>100</v>
      </c>
      <c r="AV22" s="468"/>
      <c r="AW22" s="462"/>
      <c r="AX22" s="469"/>
      <c r="AY22" s="469"/>
      <c r="AZ22" s="472">
        <v>100</v>
      </c>
      <c r="BA22" s="471"/>
      <c r="BB22" s="462"/>
      <c r="BC22" s="462"/>
      <c r="BD22" s="469"/>
      <c r="BE22" s="472">
        <v>100</v>
      </c>
      <c r="BF22" s="471"/>
      <c r="BG22" s="462"/>
      <c r="BH22" s="462"/>
      <c r="BI22" s="469"/>
      <c r="BJ22" s="473">
        <v>100</v>
      </c>
    </row>
    <row r="23" spans="2:62" s="474" customFormat="1">
      <c r="B23" s="461"/>
      <c r="C23" s="297" t="s">
        <v>2289</v>
      </c>
      <c r="D23" s="462">
        <v>200</v>
      </c>
      <c r="E23" s="462">
        <v>400</v>
      </c>
      <c r="F23" s="463">
        <v>3</v>
      </c>
      <c r="G23" s="462" t="s">
        <v>16</v>
      </c>
      <c r="H23" s="464">
        <v>16</v>
      </c>
      <c r="I23" s="1899">
        <v>3</v>
      </c>
      <c r="J23" s="462" t="s">
        <v>16</v>
      </c>
      <c r="K23" s="466">
        <v>16</v>
      </c>
      <c r="L23" s="345">
        <v>3</v>
      </c>
      <c r="M23" s="462" t="s">
        <v>16</v>
      </c>
      <c r="N23" s="464">
        <v>16</v>
      </c>
      <c r="O23" s="1901">
        <v>0</v>
      </c>
      <c r="P23" s="462" t="s">
        <v>16</v>
      </c>
      <c r="Q23" s="1898">
        <v>8</v>
      </c>
      <c r="R23" s="345"/>
      <c r="S23" s="462" t="s">
        <v>16</v>
      </c>
      <c r="T23" s="466">
        <v>10</v>
      </c>
      <c r="U23" s="462" t="s">
        <v>157</v>
      </c>
      <c r="V23" s="462">
        <v>1000</v>
      </c>
      <c r="W23" s="467"/>
      <c r="X23" s="463">
        <v>3</v>
      </c>
      <c r="Y23" s="462" t="s">
        <v>16</v>
      </c>
      <c r="Z23" s="464">
        <v>16</v>
      </c>
      <c r="AA23" s="465">
        <v>3</v>
      </c>
      <c r="AB23" s="462" t="s">
        <v>16</v>
      </c>
      <c r="AC23" s="466">
        <v>16</v>
      </c>
      <c r="AD23" s="463">
        <v>3</v>
      </c>
      <c r="AE23" s="462" t="s">
        <v>16</v>
      </c>
      <c r="AF23" s="464">
        <v>16</v>
      </c>
      <c r="AG23" s="468"/>
      <c r="AH23" s="462" t="s">
        <v>16</v>
      </c>
      <c r="AI23" s="469">
        <v>10</v>
      </c>
      <c r="AJ23" s="469" t="s">
        <v>157</v>
      </c>
      <c r="AK23" s="470">
        <v>100</v>
      </c>
      <c r="AL23" s="471"/>
      <c r="AM23" s="462" t="s">
        <v>16</v>
      </c>
      <c r="AN23" s="469">
        <v>10</v>
      </c>
      <c r="AO23" s="469" t="s">
        <v>157</v>
      </c>
      <c r="AP23" s="470">
        <v>100</v>
      </c>
      <c r="AQ23" s="468"/>
      <c r="AR23" s="462" t="s">
        <v>16</v>
      </c>
      <c r="AS23" s="469">
        <v>10</v>
      </c>
      <c r="AT23" s="469" t="s">
        <v>157</v>
      </c>
      <c r="AU23" s="470">
        <v>100</v>
      </c>
      <c r="AV23" s="468"/>
      <c r="AW23" s="462"/>
      <c r="AX23" s="469"/>
      <c r="AY23" s="469"/>
      <c r="AZ23" s="472">
        <v>100</v>
      </c>
      <c r="BA23" s="471"/>
      <c r="BB23" s="462"/>
      <c r="BC23" s="462"/>
      <c r="BD23" s="469"/>
      <c r="BE23" s="472">
        <v>100</v>
      </c>
      <c r="BF23" s="471"/>
      <c r="BG23" s="462"/>
      <c r="BH23" s="462"/>
      <c r="BI23" s="469"/>
      <c r="BJ23" s="473">
        <v>100</v>
      </c>
    </row>
    <row r="24" spans="2:62" s="474" customFormat="1">
      <c r="B24" s="461"/>
      <c r="C24" s="297" t="s">
        <v>134</v>
      </c>
      <c r="D24" s="462">
        <v>200</v>
      </c>
      <c r="E24" s="462">
        <v>500</v>
      </c>
      <c r="F24" s="463">
        <v>4</v>
      </c>
      <c r="G24" s="462" t="s">
        <v>16</v>
      </c>
      <c r="H24" s="464">
        <v>16</v>
      </c>
      <c r="I24" s="2031">
        <v>4</v>
      </c>
      <c r="J24" s="462" t="s">
        <v>16</v>
      </c>
      <c r="K24" s="466">
        <v>16</v>
      </c>
      <c r="L24" s="345">
        <v>4</v>
      </c>
      <c r="M24" s="462" t="s">
        <v>16</v>
      </c>
      <c r="N24" s="464">
        <v>16</v>
      </c>
      <c r="O24" s="1901">
        <v>2</v>
      </c>
      <c r="P24" s="462" t="s">
        <v>16</v>
      </c>
      <c r="Q24" s="1898">
        <v>10</v>
      </c>
      <c r="R24" s="345"/>
      <c r="S24" s="462" t="s">
        <v>16</v>
      </c>
      <c r="T24" s="466">
        <v>10</v>
      </c>
      <c r="U24" s="462" t="s">
        <v>157</v>
      </c>
      <c r="V24" s="462">
        <v>1000</v>
      </c>
      <c r="W24" s="467"/>
      <c r="X24" s="349">
        <v>4</v>
      </c>
      <c r="Y24" s="462" t="s">
        <v>16</v>
      </c>
      <c r="Z24" s="464">
        <v>16</v>
      </c>
      <c r="AA24" s="465">
        <v>4</v>
      </c>
      <c r="AB24" s="462" t="s">
        <v>16</v>
      </c>
      <c r="AC24" s="466">
        <v>16</v>
      </c>
      <c r="AD24" s="349">
        <v>4</v>
      </c>
      <c r="AE24" s="462" t="s">
        <v>16</v>
      </c>
      <c r="AF24" s="464">
        <v>16</v>
      </c>
      <c r="AG24" s="468"/>
      <c r="AH24" s="462" t="s">
        <v>16</v>
      </c>
      <c r="AI24" s="469">
        <v>10</v>
      </c>
      <c r="AJ24" s="469" t="s">
        <v>157</v>
      </c>
      <c r="AK24" s="470">
        <v>150</v>
      </c>
      <c r="AL24" s="471"/>
      <c r="AM24" s="462" t="s">
        <v>16</v>
      </c>
      <c r="AN24" s="469">
        <v>10</v>
      </c>
      <c r="AO24" s="469" t="s">
        <v>157</v>
      </c>
      <c r="AP24" s="470">
        <v>200</v>
      </c>
      <c r="AQ24" s="468"/>
      <c r="AR24" s="462" t="s">
        <v>16</v>
      </c>
      <c r="AS24" s="469">
        <v>10</v>
      </c>
      <c r="AT24" s="469" t="s">
        <v>157</v>
      </c>
      <c r="AU24" s="470">
        <v>150</v>
      </c>
      <c r="AV24" s="468"/>
      <c r="AW24" s="462"/>
      <c r="AX24" s="469"/>
      <c r="AY24" s="469"/>
      <c r="AZ24" s="472">
        <v>100</v>
      </c>
      <c r="BA24" s="471"/>
      <c r="BB24" s="462"/>
      <c r="BC24" s="462"/>
      <c r="BD24" s="469"/>
      <c r="BE24" s="472">
        <v>100</v>
      </c>
      <c r="BF24" s="471"/>
      <c r="BG24" s="462"/>
      <c r="BH24" s="462"/>
      <c r="BI24" s="469"/>
      <c r="BJ24" s="473">
        <v>100</v>
      </c>
    </row>
    <row r="25" spans="2:62" s="474" customFormat="1">
      <c r="B25" s="461"/>
      <c r="C25" s="297" t="s">
        <v>135</v>
      </c>
      <c r="D25" s="462">
        <v>200</v>
      </c>
      <c r="E25" s="462">
        <v>600</v>
      </c>
      <c r="F25" s="349">
        <v>4</v>
      </c>
      <c r="G25" s="462" t="s">
        <v>16</v>
      </c>
      <c r="H25" s="464">
        <v>16</v>
      </c>
      <c r="I25" s="1899">
        <v>3</v>
      </c>
      <c r="J25" s="462" t="s">
        <v>16</v>
      </c>
      <c r="K25" s="466">
        <v>16</v>
      </c>
      <c r="L25" s="353">
        <v>4</v>
      </c>
      <c r="M25" s="462" t="s">
        <v>16</v>
      </c>
      <c r="N25" s="464">
        <v>16</v>
      </c>
      <c r="O25" s="1901">
        <v>2</v>
      </c>
      <c r="P25" s="462" t="s">
        <v>16</v>
      </c>
      <c r="Q25" s="1898">
        <v>10</v>
      </c>
      <c r="R25" s="345"/>
      <c r="S25" s="462" t="s">
        <v>16</v>
      </c>
      <c r="T25" s="466">
        <v>10</v>
      </c>
      <c r="U25" s="462" t="s">
        <v>157</v>
      </c>
      <c r="V25" s="462">
        <v>1000</v>
      </c>
      <c r="W25" s="467"/>
      <c r="X25" s="463">
        <v>3</v>
      </c>
      <c r="Y25" s="462" t="s">
        <v>16</v>
      </c>
      <c r="Z25" s="464">
        <v>16</v>
      </c>
      <c r="AA25" s="351">
        <v>4</v>
      </c>
      <c r="AB25" s="462" t="s">
        <v>16</v>
      </c>
      <c r="AC25" s="466">
        <v>16</v>
      </c>
      <c r="AD25" s="463">
        <v>3</v>
      </c>
      <c r="AE25" s="462" t="s">
        <v>16</v>
      </c>
      <c r="AF25" s="464">
        <v>16</v>
      </c>
      <c r="AG25" s="468"/>
      <c r="AH25" s="462" t="s">
        <v>16</v>
      </c>
      <c r="AI25" s="469">
        <v>10</v>
      </c>
      <c r="AJ25" s="469" t="s">
        <v>157</v>
      </c>
      <c r="AK25" s="470">
        <v>100</v>
      </c>
      <c r="AL25" s="471"/>
      <c r="AM25" s="462" t="s">
        <v>16</v>
      </c>
      <c r="AN25" s="469">
        <v>10</v>
      </c>
      <c r="AO25" s="469" t="s">
        <v>157</v>
      </c>
      <c r="AP25" s="470">
        <v>150</v>
      </c>
      <c r="AQ25" s="468"/>
      <c r="AR25" s="462" t="s">
        <v>16</v>
      </c>
      <c r="AS25" s="469">
        <v>10</v>
      </c>
      <c r="AT25" s="469" t="s">
        <v>157</v>
      </c>
      <c r="AU25" s="470">
        <v>100</v>
      </c>
      <c r="AV25" s="468"/>
      <c r="AW25" s="462"/>
      <c r="AX25" s="469"/>
      <c r="AY25" s="469"/>
      <c r="AZ25" s="472">
        <v>100</v>
      </c>
      <c r="BA25" s="471"/>
      <c r="BB25" s="462"/>
      <c r="BC25" s="462"/>
      <c r="BD25" s="469"/>
      <c r="BE25" s="472">
        <v>100</v>
      </c>
      <c r="BF25" s="471"/>
      <c r="BG25" s="462"/>
      <c r="BH25" s="462"/>
      <c r="BI25" s="469"/>
      <c r="BJ25" s="473">
        <v>100</v>
      </c>
    </row>
    <row r="26" spans="2:62" s="474" customFormat="1">
      <c r="B26" s="461"/>
      <c r="C26" s="297" t="s">
        <v>2290</v>
      </c>
      <c r="D26" s="462">
        <v>250</v>
      </c>
      <c r="E26" s="462">
        <v>450</v>
      </c>
      <c r="F26" s="463">
        <v>3</v>
      </c>
      <c r="G26" s="462" t="s">
        <v>16</v>
      </c>
      <c r="H26" s="350">
        <v>13</v>
      </c>
      <c r="I26" s="1899">
        <v>3</v>
      </c>
      <c r="J26" s="462" t="s">
        <v>16</v>
      </c>
      <c r="K26" s="352">
        <v>13</v>
      </c>
      <c r="L26" s="345">
        <v>3</v>
      </c>
      <c r="M26" s="462" t="s">
        <v>16</v>
      </c>
      <c r="N26" s="350">
        <v>13</v>
      </c>
      <c r="O26" s="1901">
        <v>0</v>
      </c>
      <c r="P26" s="462" t="s">
        <v>16</v>
      </c>
      <c r="Q26" s="1898">
        <v>8</v>
      </c>
      <c r="R26" s="345"/>
      <c r="S26" s="462" t="s">
        <v>16</v>
      </c>
      <c r="T26" s="466">
        <v>10</v>
      </c>
      <c r="U26" s="462" t="s">
        <v>157</v>
      </c>
      <c r="V26" s="462">
        <v>1000</v>
      </c>
      <c r="W26" s="467"/>
      <c r="X26" s="463">
        <v>3</v>
      </c>
      <c r="Y26" s="462" t="s">
        <v>16</v>
      </c>
      <c r="Z26" s="350">
        <v>13</v>
      </c>
      <c r="AA26" s="465">
        <v>3</v>
      </c>
      <c r="AB26" s="462" t="s">
        <v>16</v>
      </c>
      <c r="AC26" s="352">
        <v>13</v>
      </c>
      <c r="AD26" s="463">
        <v>3</v>
      </c>
      <c r="AE26" s="462" t="s">
        <v>16</v>
      </c>
      <c r="AF26" s="350">
        <v>13</v>
      </c>
      <c r="AG26" s="468"/>
      <c r="AH26" s="462" t="s">
        <v>16</v>
      </c>
      <c r="AI26" s="469">
        <v>10</v>
      </c>
      <c r="AJ26" s="469" t="s">
        <v>157</v>
      </c>
      <c r="AK26" s="470">
        <v>100</v>
      </c>
      <c r="AL26" s="471"/>
      <c r="AM26" s="462" t="s">
        <v>16</v>
      </c>
      <c r="AN26" s="469">
        <v>10</v>
      </c>
      <c r="AO26" s="469" t="s">
        <v>157</v>
      </c>
      <c r="AP26" s="470">
        <v>200</v>
      </c>
      <c r="AQ26" s="468"/>
      <c r="AR26" s="462" t="s">
        <v>16</v>
      </c>
      <c r="AS26" s="469">
        <v>10</v>
      </c>
      <c r="AT26" s="469" t="s">
        <v>157</v>
      </c>
      <c r="AU26" s="470">
        <v>100</v>
      </c>
      <c r="AV26" s="468"/>
      <c r="AW26" s="462"/>
      <c r="AX26" s="469"/>
      <c r="AY26" s="469"/>
      <c r="AZ26" s="472">
        <v>100</v>
      </c>
      <c r="BA26" s="471"/>
      <c r="BB26" s="462"/>
      <c r="BC26" s="462"/>
      <c r="BD26" s="469"/>
      <c r="BE26" s="472">
        <v>100</v>
      </c>
      <c r="BF26" s="471"/>
      <c r="BG26" s="462"/>
      <c r="BH26" s="462"/>
      <c r="BI26" s="469"/>
      <c r="BJ26" s="473">
        <v>100</v>
      </c>
    </row>
    <row r="27" spans="2:62" s="474" customFormat="1">
      <c r="B27" s="461"/>
      <c r="C27" s="297" t="s">
        <v>2291</v>
      </c>
      <c r="D27" s="462">
        <v>300</v>
      </c>
      <c r="E27" s="462">
        <v>600</v>
      </c>
      <c r="F27" s="463">
        <v>5</v>
      </c>
      <c r="G27" s="462" t="s">
        <v>16</v>
      </c>
      <c r="H27" s="464">
        <v>16</v>
      </c>
      <c r="I27" s="1899">
        <v>5</v>
      </c>
      <c r="J27" s="462" t="s">
        <v>16</v>
      </c>
      <c r="K27" s="466">
        <v>16</v>
      </c>
      <c r="L27" s="345">
        <v>5</v>
      </c>
      <c r="M27" s="462" t="s">
        <v>16</v>
      </c>
      <c r="N27" s="464">
        <v>16</v>
      </c>
      <c r="O27" s="1901">
        <v>2</v>
      </c>
      <c r="P27" s="462" t="s">
        <v>16</v>
      </c>
      <c r="Q27" s="1898">
        <v>10</v>
      </c>
      <c r="R27" s="345"/>
      <c r="S27" s="462" t="s">
        <v>16</v>
      </c>
      <c r="T27" s="466">
        <v>10</v>
      </c>
      <c r="U27" s="462" t="s">
        <v>157</v>
      </c>
      <c r="V27" s="462">
        <v>1000</v>
      </c>
      <c r="W27" s="467"/>
      <c r="X27" s="463">
        <v>5</v>
      </c>
      <c r="Y27" s="462" t="s">
        <v>16</v>
      </c>
      <c r="Z27" s="464">
        <v>16</v>
      </c>
      <c r="AA27" s="465">
        <v>5</v>
      </c>
      <c r="AB27" s="462" t="s">
        <v>16</v>
      </c>
      <c r="AC27" s="466">
        <v>16</v>
      </c>
      <c r="AD27" s="463">
        <v>5</v>
      </c>
      <c r="AE27" s="462" t="s">
        <v>16</v>
      </c>
      <c r="AF27" s="464">
        <v>16</v>
      </c>
      <c r="AG27" s="468"/>
      <c r="AH27" s="462" t="s">
        <v>16</v>
      </c>
      <c r="AI27" s="469">
        <v>10</v>
      </c>
      <c r="AJ27" s="469" t="s">
        <v>157</v>
      </c>
      <c r="AK27" s="470">
        <v>100</v>
      </c>
      <c r="AL27" s="471"/>
      <c r="AM27" s="462" t="s">
        <v>16</v>
      </c>
      <c r="AN27" s="469">
        <v>10</v>
      </c>
      <c r="AO27" s="469" t="s">
        <v>157</v>
      </c>
      <c r="AP27" s="470">
        <v>150</v>
      </c>
      <c r="AQ27" s="468"/>
      <c r="AR27" s="462" t="s">
        <v>16</v>
      </c>
      <c r="AS27" s="469">
        <v>10</v>
      </c>
      <c r="AT27" s="469" t="s">
        <v>157</v>
      </c>
      <c r="AU27" s="470">
        <v>100</v>
      </c>
      <c r="AV27" s="468"/>
      <c r="AW27" s="462"/>
      <c r="AX27" s="469"/>
      <c r="AY27" s="469"/>
      <c r="AZ27" s="472">
        <v>100</v>
      </c>
      <c r="BA27" s="471"/>
      <c r="BB27" s="462"/>
      <c r="BC27" s="462"/>
      <c r="BD27" s="469"/>
      <c r="BE27" s="472">
        <v>100</v>
      </c>
      <c r="BF27" s="471"/>
      <c r="BG27" s="462"/>
      <c r="BH27" s="462"/>
      <c r="BI27" s="469"/>
      <c r="BJ27" s="473">
        <v>100</v>
      </c>
    </row>
    <row r="28" spans="2:62" s="474" customFormat="1">
      <c r="B28" s="461"/>
      <c r="C28" s="297"/>
      <c r="D28" s="462"/>
      <c r="E28" s="462"/>
      <c r="F28" s="463"/>
      <c r="G28" s="462" t="s">
        <v>16</v>
      </c>
      <c r="H28" s="464"/>
      <c r="I28" s="1899"/>
      <c r="J28" s="462" t="s">
        <v>16</v>
      </c>
      <c r="K28" s="466"/>
      <c r="L28" s="345"/>
      <c r="M28" s="462" t="s">
        <v>16</v>
      </c>
      <c r="N28" s="464"/>
      <c r="O28" s="1901">
        <v>0</v>
      </c>
      <c r="P28" s="462" t="s">
        <v>16</v>
      </c>
      <c r="Q28" s="1898">
        <v>8</v>
      </c>
      <c r="R28" s="345"/>
      <c r="S28" s="462" t="s">
        <v>16</v>
      </c>
      <c r="T28" s="466">
        <v>10</v>
      </c>
      <c r="U28" s="462" t="s">
        <v>157</v>
      </c>
      <c r="V28" s="462">
        <v>1000</v>
      </c>
      <c r="W28" s="467"/>
      <c r="X28" s="463"/>
      <c r="Y28" s="462" t="s">
        <v>16</v>
      </c>
      <c r="Z28" s="464"/>
      <c r="AA28" s="465"/>
      <c r="AB28" s="462" t="s">
        <v>16</v>
      </c>
      <c r="AC28" s="466"/>
      <c r="AD28" s="463"/>
      <c r="AE28" s="462" t="s">
        <v>16</v>
      </c>
      <c r="AF28" s="464"/>
      <c r="AG28" s="468"/>
      <c r="AH28" s="462" t="s">
        <v>16</v>
      </c>
      <c r="AI28" s="469"/>
      <c r="AJ28" s="469" t="s">
        <v>157</v>
      </c>
      <c r="AK28" s="470"/>
      <c r="AL28" s="471"/>
      <c r="AM28" s="462" t="s">
        <v>16</v>
      </c>
      <c r="AN28" s="469"/>
      <c r="AO28" s="469" t="s">
        <v>157</v>
      </c>
      <c r="AP28" s="470"/>
      <c r="AQ28" s="468"/>
      <c r="AR28" s="462" t="s">
        <v>16</v>
      </c>
      <c r="AS28" s="469"/>
      <c r="AT28" s="469" t="s">
        <v>157</v>
      </c>
      <c r="AU28" s="470"/>
      <c r="AV28" s="468"/>
      <c r="AW28" s="462"/>
      <c r="AX28" s="469"/>
      <c r="AY28" s="469"/>
      <c r="AZ28" s="472">
        <v>100</v>
      </c>
      <c r="BA28" s="471"/>
      <c r="BB28" s="462"/>
      <c r="BC28" s="462"/>
      <c r="BD28" s="469"/>
      <c r="BE28" s="472">
        <v>100</v>
      </c>
      <c r="BF28" s="471"/>
      <c r="BG28" s="462"/>
      <c r="BH28" s="462"/>
      <c r="BI28" s="469"/>
      <c r="BJ28" s="473">
        <v>100</v>
      </c>
    </row>
    <row r="29" spans="2:62" s="474" customFormat="1">
      <c r="B29" s="461"/>
      <c r="C29" s="297"/>
      <c r="D29" s="462"/>
      <c r="E29" s="462"/>
      <c r="F29" s="463"/>
      <c r="G29" s="462" t="s">
        <v>16</v>
      </c>
      <c r="H29" s="464"/>
      <c r="I29" s="1899"/>
      <c r="J29" s="462" t="s">
        <v>16</v>
      </c>
      <c r="K29" s="466"/>
      <c r="L29" s="345"/>
      <c r="M29" s="462" t="s">
        <v>16</v>
      </c>
      <c r="N29" s="464"/>
      <c r="O29" s="1901">
        <v>0</v>
      </c>
      <c r="P29" s="462" t="s">
        <v>16</v>
      </c>
      <c r="Q29" s="1898">
        <v>8</v>
      </c>
      <c r="R29" s="345"/>
      <c r="S29" s="462" t="s">
        <v>16</v>
      </c>
      <c r="T29" s="466">
        <v>10</v>
      </c>
      <c r="U29" s="462" t="s">
        <v>157</v>
      </c>
      <c r="V29" s="462">
        <v>1000</v>
      </c>
      <c r="W29" s="467"/>
      <c r="X29" s="463"/>
      <c r="Y29" s="462" t="s">
        <v>16</v>
      </c>
      <c r="Z29" s="464"/>
      <c r="AA29" s="465"/>
      <c r="AB29" s="462" t="s">
        <v>16</v>
      </c>
      <c r="AC29" s="466"/>
      <c r="AD29" s="463"/>
      <c r="AE29" s="462" t="s">
        <v>16</v>
      </c>
      <c r="AF29" s="464"/>
      <c r="AG29" s="468"/>
      <c r="AH29" s="462" t="s">
        <v>16</v>
      </c>
      <c r="AI29" s="469"/>
      <c r="AJ29" s="469" t="s">
        <v>157</v>
      </c>
      <c r="AK29" s="470"/>
      <c r="AL29" s="471"/>
      <c r="AM29" s="462" t="s">
        <v>16</v>
      </c>
      <c r="AN29" s="469"/>
      <c r="AO29" s="469" t="s">
        <v>157</v>
      </c>
      <c r="AP29" s="470"/>
      <c r="AQ29" s="468"/>
      <c r="AR29" s="462" t="s">
        <v>16</v>
      </c>
      <c r="AS29" s="469"/>
      <c r="AT29" s="469" t="s">
        <v>157</v>
      </c>
      <c r="AU29" s="470"/>
      <c r="AV29" s="468"/>
      <c r="AW29" s="462"/>
      <c r="AX29" s="469"/>
      <c r="AY29" s="469"/>
      <c r="AZ29" s="472">
        <v>100</v>
      </c>
      <c r="BA29" s="471"/>
      <c r="BB29" s="462"/>
      <c r="BC29" s="462"/>
      <c r="BD29" s="469"/>
      <c r="BE29" s="472">
        <v>100</v>
      </c>
      <c r="BF29" s="471"/>
      <c r="BG29" s="462"/>
      <c r="BH29" s="462"/>
      <c r="BI29" s="469"/>
      <c r="BJ29" s="473">
        <v>100</v>
      </c>
    </row>
    <row r="30" spans="2:62" s="474" customFormat="1">
      <c r="B30" s="461"/>
      <c r="C30" s="297"/>
      <c r="D30" s="462"/>
      <c r="E30" s="462"/>
      <c r="F30" s="463"/>
      <c r="G30" s="462" t="s">
        <v>16</v>
      </c>
      <c r="H30" s="464"/>
      <c r="I30" s="1899"/>
      <c r="J30" s="462" t="s">
        <v>16</v>
      </c>
      <c r="K30" s="466"/>
      <c r="L30" s="345"/>
      <c r="M30" s="462" t="s">
        <v>16</v>
      </c>
      <c r="N30" s="464"/>
      <c r="O30" s="1901">
        <v>0</v>
      </c>
      <c r="P30" s="462" t="s">
        <v>16</v>
      </c>
      <c r="Q30" s="1898">
        <v>8</v>
      </c>
      <c r="R30" s="345"/>
      <c r="S30" s="462" t="s">
        <v>16</v>
      </c>
      <c r="T30" s="466">
        <v>10</v>
      </c>
      <c r="U30" s="462" t="s">
        <v>157</v>
      </c>
      <c r="V30" s="462">
        <v>1000</v>
      </c>
      <c r="W30" s="467"/>
      <c r="X30" s="463"/>
      <c r="Y30" s="462" t="s">
        <v>16</v>
      </c>
      <c r="Z30" s="464"/>
      <c r="AA30" s="465"/>
      <c r="AB30" s="462" t="s">
        <v>16</v>
      </c>
      <c r="AC30" s="466"/>
      <c r="AD30" s="463"/>
      <c r="AE30" s="462" t="s">
        <v>16</v>
      </c>
      <c r="AF30" s="464"/>
      <c r="AG30" s="468"/>
      <c r="AH30" s="462" t="s">
        <v>16</v>
      </c>
      <c r="AI30" s="469"/>
      <c r="AJ30" s="469" t="s">
        <v>157</v>
      </c>
      <c r="AK30" s="470"/>
      <c r="AL30" s="471"/>
      <c r="AM30" s="462" t="s">
        <v>16</v>
      </c>
      <c r="AN30" s="469"/>
      <c r="AO30" s="469" t="s">
        <v>157</v>
      </c>
      <c r="AP30" s="470"/>
      <c r="AQ30" s="468"/>
      <c r="AR30" s="462" t="s">
        <v>16</v>
      </c>
      <c r="AS30" s="469"/>
      <c r="AT30" s="469" t="s">
        <v>157</v>
      </c>
      <c r="AU30" s="470"/>
      <c r="AV30" s="468"/>
      <c r="AW30" s="462"/>
      <c r="AX30" s="469"/>
      <c r="AY30" s="469"/>
      <c r="AZ30" s="472">
        <v>100</v>
      </c>
      <c r="BA30" s="471"/>
      <c r="BB30" s="462"/>
      <c r="BC30" s="462"/>
      <c r="BD30" s="469"/>
      <c r="BE30" s="472">
        <v>100</v>
      </c>
      <c r="BF30" s="471"/>
      <c r="BG30" s="462"/>
      <c r="BH30" s="462"/>
      <c r="BI30" s="469"/>
      <c r="BJ30" s="473">
        <v>100</v>
      </c>
    </row>
    <row r="31" spans="2:62" s="474" customFormat="1">
      <c r="B31" s="461"/>
      <c r="C31" s="297"/>
      <c r="D31" s="462"/>
      <c r="E31" s="462"/>
      <c r="F31" s="463"/>
      <c r="G31" s="462" t="s">
        <v>16</v>
      </c>
      <c r="H31" s="464"/>
      <c r="I31" s="1899"/>
      <c r="J31" s="462" t="s">
        <v>16</v>
      </c>
      <c r="K31" s="466"/>
      <c r="L31" s="345"/>
      <c r="M31" s="462" t="s">
        <v>16</v>
      </c>
      <c r="N31" s="464"/>
      <c r="O31" s="1901">
        <v>0</v>
      </c>
      <c r="P31" s="462" t="s">
        <v>16</v>
      </c>
      <c r="Q31" s="1898">
        <v>8</v>
      </c>
      <c r="R31" s="345"/>
      <c r="S31" s="462" t="s">
        <v>16</v>
      </c>
      <c r="T31" s="466">
        <v>10</v>
      </c>
      <c r="U31" s="462" t="s">
        <v>157</v>
      </c>
      <c r="V31" s="462">
        <v>1000</v>
      </c>
      <c r="W31" s="467"/>
      <c r="X31" s="463"/>
      <c r="Y31" s="462" t="s">
        <v>16</v>
      </c>
      <c r="Z31" s="464"/>
      <c r="AA31" s="465"/>
      <c r="AB31" s="462" t="s">
        <v>16</v>
      </c>
      <c r="AC31" s="466"/>
      <c r="AD31" s="463"/>
      <c r="AE31" s="462" t="s">
        <v>16</v>
      </c>
      <c r="AF31" s="464"/>
      <c r="AG31" s="468"/>
      <c r="AH31" s="462" t="s">
        <v>16</v>
      </c>
      <c r="AI31" s="469"/>
      <c r="AJ31" s="469" t="s">
        <v>157</v>
      </c>
      <c r="AK31" s="470"/>
      <c r="AL31" s="471"/>
      <c r="AM31" s="462" t="s">
        <v>16</v>
      </c>
      <c r="AN31" s="469"/>
      <c r="AO31" s="469" t="s">
        <v>157</v>
      </c>
      <c r="AP31" s="470"/>
      <c r="AQ31" s="468"/>
      <c r="AR31" s="462" t="s">
        <v>16</v>
      </c>
      <c r="AS31" s="469"/>
      <c r="AT31" s="469" t="s">
        <v>157</v>
      </c>
      <c r="AU31" s="470"/>
      <c r="AV31" s="468"/>
      <c r="AW31" s="462"/>
      <c r="AX31" s="469"/>
      <c r="AY31" s="469"/>
      <c r="AZ31" s="472">
        <v>100</v>
      </c>
      <c r="BA31" s="471"/>
      <c r="BB31" s="462"/>
      <c r="BC31" s="462"/>
      <c r="BD31" s="469"/>
      <c r="BE31" s="472">
        <v>100</v>
      </c>
      <c r="BF31" s="471"/>
      <c r="BG31" s="462"/>
      <c r="BH31" s="462"/>
      <c r="BI31" s="469"/>
      <c r="BJ31" s="473">
        <v>100</v>
      </c>
    </row>
    <row r="32" spans="2:62" s="474" customFormat="1">
      <c r="B32" s="461"/>
      <c r="C32" s="297"/>
      <c r="D32" s="462"/>
      <c r="E32" s="462"/>
      <c r="F32" s="463"/>
      <c r="G32" s="462" t="s">
        <v>16</v>
      </c>
      <c r="H32" s="464"/>
      <c r="I32" s="465"/>
      <c r="J32" s="462" t="s">
        <v>16</v>
      </c>
      <c r="K32" s="466"/>
      <c r="L32" s="345"/>
      <c r="M32" s="462" t="s">
        <v>16</v>
      </c>
      <c r="N32" s="464"/>
      <c r="O32" s="1901">
        <v>0</v>
      </c>
      <c r="P32" s="462" t="s">
        <v>16</v>
      </c>
      <c r="Q32" s="1898">
        <v>8</v>
      </c>
      <c r="R32" s="345"/>
      <c r="S32" s="462" t="s">
        <v>16</v>
      </c>
      <c r="T32" s="466">
        <v>10</v>
      </c>
      <c r="U32" s="462" t="s">
        <v>157</v>
      </c>
      <c r="V32" s="462">
        <v>1000</v>
      </c>
      <c r="W32" s="467"/>
      <c r="X32" s="463"/>
      <c r="Y32" s="462" t="s">
        <v>16</v>
      </c>
      <c r="Z32" s="464"/>
      <c r="AA32" s="465"/>
      <c r="AB32" s="462" t="s">
        <v>16</v>
      </c>
      <c r="AC32" s="466"/>
      <c r="AD32" s="463"/>
      <c r="AE32" s="462" t="s">
        <v>16</v>
      </c>
      <c r="AF32" s="464"/>
      <c r="AG32" s="468"/>
      <c r="AH32" s="462" t="s">
        <v>16</v>
      </c>
      <c r="AI32" s="469"/>
      <c r="AJ32" s="469" t="s">
        <v>157</v>
      </c>
      <c r="AK32" s="470"/>
      <c r="AL32" s="471"/>
      <c r="AM32" s="462" t="s">
        <v>16</v>
      </c>
      <c r="AN32" s="469"/>
      <c r="AO32" s="469" t="s">
        <v>157</v>
      </c>
      <c r="AP32" s="470"/>
      <c r="AQ32" s="468"/>
      <c r="AR32" s="462" t="s">
        <v>16</v>
      </c>
      <c r="AS32" s="469"/>
      <c r="AT32" s="469" t="s">
        <v>157</v>
      </c>
      <c r="AU32" s="470"/>
      <c r="AV32" s="468"/>
      <c r="AW32" s="462"/>
      <c r="AX32" s="469"/>
      <c r="AY32" s="469"/>
      <c r="AZ32" s="472">
        <v>100</v>
      </c>
      <c r="BA32" s="471"/>
      <c r="BB32" s="462"/>
      <c r="BC32" s="462"/>
      <c r="BD32" s="469"/>
      <c r="BE32" s="472">
        <v>100</v>
      </c>
      <c r="BF32" s="471"/>
      <c r="BG32" s="462"/>
      <c r="BH32" s="462"/>
      <c r="BI32" s="469"/>
      <c r="BJ32" s="473">
        <v>100</v>
      </c>
    </row>
    <row r="33" spans="2:62" s="474" customFormat="1">
      <c r="B33" s="461"/>
      <c r="C33" s="297"/>
      <c r="D33" s="462"/>
      <c r="E33" s="462"/>
      <c r="F33" s="463"/>
      <c r="G33" s="462" t="s">
        <v>16</v>
      </c>
      <c r="H33" s="464"/>
      <c r="I33" s="465"/>
      <c r="J33" s="462" t="s">
        <v>16</v>
      </c>
      <c r="K33" s="466"/>
      <c r="L33" s="345"/>
      <c r="M33" s="462" t="s">
        <v>16</v>
      </c>
      <c r="N33" s="464"/>
      <c r="O33" s="1901">
        <v>0</v>
      </c>
      <c r="P33" s="462" t="s">
        <v>16</v>
      </c>
      <c r="Q33" s="1898">
        <v>8</v>
      </c>
      <c r="R33" s="345"/>
      <c r="S33" s="462" t="s">
        <v>16</v>
      </c>
      <c r="T33" s="466">
        <v>10</v>
      </c>
      <c r="U33" s="462" t="s">
        <v>157</v>
      </c>
      <c r="V33" s="462">
        <v>1000</v>
      </c>
      <c r="W33" s="467"/>
      <c r="X33" s="463"/>
      <c r="Y33" s="462" t="s">
        <v>16</v>
      </c>
      <c r="Z33" s="464"/>
      <c r="AA33" s="465"/>
      <c r="AB33" s="462" t="s">
        <v>16</v>
      </c>
      <c r="AC33" s="466"/>
      <c r="AD33" s="463"/>
      <c r="AE33" s="462" t="s">
        <v>16</v>
      </c>
      <c r="AF33" s="464"/>
      <c r="AG33" s="468"/>
      <c r="AH33" s="462" t="s">
        <v>16</v>
      </c>
      <c r="AI33" s="469"/>
      <c r="AJ33" s="469" t="s">
        <v>157</v>
      </c>
      <c r="AK33" s="470"/>
      <c r="AL33" s="471"/>
      <c r="AM33" s="462" t="s">
        <v>16</v>
      </c>
      <c r="AN33" s="469"/>
      <c r="AO33" s="469" t="s">
        <v>157</v>
      </c>
      <c r="AP33" s="470"/>
      <c r="AQ33" s="468"/>
      <c r="AR33" s="462" t="s">
        <v>16</v>
      </c>
      <c r="AS33" s="469"/>
      <c r="AT33" s="469" t="s">
        <v>157</v>
      </c>
      <c r="AU33" s="470"/>
      <c r="AV33" s="468"/>
      <c r="AW33" s="462"/>
      <c r="AX33" s="469"/>
      <c r="AY33" s="469"/>
      <c r="AZ33" s="472">
        <v>100</v>
      </c>
      <c r="BA33" s="471"/>
      <c r="BB33" s="462"/>
      <c r="BC33" s="462"/>
      <c r="BD33" s="469"/>
      <c r="BE33" s="472">
        <v>100</v>
      </c>
      <c r="BF33" s="471"/>
      <c r="BG33" s="462"/>
      <c r="BH33" s="462"/>
      <c r="BI33" s="469"/>
      <c r="BJ33" s="473">
        <v>100</v>
      </c>
    </row>
    <row r="34" spans="2:62" s="474" customFormat="1">
      <c r="B34" s="461"/>
      <c r="C34" s="297"/>
      <c r="D34" s="462"/>
      <c r="E34" s="462"/>
      <c r="F34" s="463"/>
      <c r="G34" s="462" t="s">
        <v>16</v>
      </c>
      <c r="H34" s="464"/>
      <c r="I34" s="465"/>
      <c r="J34" s="462" t="s">
        <v>16</v>
      </c>
      <c r="K34" s="466"/>
      <c r="L34" s="345"/>
      <c r="M34" s="462" t="s">
        <v>16</v>
      </c>
      <c r="N34" s="464"/>
      <c r="O34" s="1901">
        <v>0</v>
      </c>
      <c r="P34" s="462" t="s">
        <v>16</v>
      </c>
      <c r="Q34" s="1898">
        <v>8</v>
      </c>
      <c r="R34" s="345"/>
      <c r="S34" s="462" t="s">
        <v>16</v>
      </c>
      <c r="T34" s="466">
        <v>10</v>
      </c>
      <c r="U34" s="462" t="s">
        <v>157</v>
      </c>
      <c r="V34" s="462">
        <v>1000</v>
      </c>
      <c r="W34" s="467"/>
      <c r="X34" s="463"/>
      <c r="Y34" s="462" t="s">
        <v>16</v>
      </c>
      <c r="Z34" s="464"/>
      <c r="AA34" s="465"/>
      <c r="AB34" s="462" t="s">
        <v>16</v>
      </c>
      <c r="AC34" s="466"/>
      <c r="AD34" s="463"/>
      <c r="AE34" s="462" t="s">
        <v>16</v>
      </c>
      <c r="AF34" s="464"/>
      <c r="AG34" s="468"/>
      <c r="AH34" s="462" t="s">
        <v>16</v>
      </c>
      <c r="AI34" s="469"/>
      <c r="AJ34" s="469" t="s">
        <v>157</v>
      </c>
      <c r="AK34" s="470"/>
      <c r="AL34" s="471"/>
      <c r="AM34" s="462" t="s">
        <v>16</v>
      </c>
      <c r="AN34" s="469"/>
      <c r="AO34" s="469" t="s">
        <v>157</v>
      </c>
      <c r="AP34" s="470"/>
      <c r="AQ34" s="468"/>
      <c r="AR34" s="462" t="s">
        <v>16</v>
      </c>
      <c r="AS34" s="469"/>
      <c r="AT34" s="469" t="s">
        <v>157</v>
      </c>
      <c r="AU34" s="470"/>
      <c r="AV34" s="468"/>
      <c r="AW34" s="462"/>
      <c r="AX34" s="469"/>
      <c r="AY34" s="469"/>
      <c r="AZ34" s="472">
        <v>100</v>
      </c>
      <c r="BA34" s="471"/>
      <c r="BB34" s="462"/>
      <c r="BC34" s="462"/>
      <c r="BD34" s="469"/>
      <c r="BE34" s="472">
        <v>100</v>
      </c>
      <c r="BF34" s="471"/>
      <c r="BG34" s="462"/>
      <c r="BH34" s="462"/>
      <c r="BI34" s="469"/>
      <c r="BJ34" s="473">
        <v>100</v>
      </c>
    </row>
    <row r="35" spans="2:62" s="474" customFormat="1">
      <c r="B35" s="461"/>
      <c r="C35" s="297"/>
      <c r="D35" s="462"/>
      <c r="E35" s="462"/>
      <c r="F35" s="463"/>
      <c r="G35" s="462" t="s">
        <v>16</v>
      </c>
      <c r="H35" s="464"/>
      <c r="I35" s="465"/>
      <c r="J35" s="462" t="s">
        <v>16</v>
      </c>
      <c r="K35" s="466"/>
      <c r="L35" s="345"/>
      <c r="M35" s="462" t="s">
        <v>16</v>
      </c>
      <c r="N35" s="464"/>
      <c r="O35" s="1901">
        <v>0</v>
      </c>
      <c r="P35" s="462" t="s">
        <v>16</v>
      </c>
      <c r="Q35" s="1898">
        <v>8</v>
      </c>
      <c r="R35" s="345"/>
      <c r="S35" s="462" t="s">
        <v>16</v>
      </c>
      <c r="T35" s="466">
        <v>10</v>
      </c>
      <c r="U35" s="462" t="s">
        <v>157</v>
      </c>
      <c r="V35" s="462">
        <v>1000</v>
      </c>
      <c r="W35" s="467"/>
      <c r="X35" s="463"/>
      <c r="Y35" s="462" t="s">
        <v>16</v>
      </c>
      <c r="Z35" s="464"/>
      <c r="AA35" s="465"/>
      <c r="AB35" s="462" t="s">
        <v>16</v>
      </c>
      <c r="AC35" s="466"/>
      <c r="AD35" s="463"/>
      <c r="AE35" s="462" t="s">
        <v>16</v>
      </c>
      <c r="AF35" s="464"/>
      <c r="AG35" s="468"/>
      <c r="AH35" s="462" t="s">
        <v>16</v>
      </c>
      <c r="AI35" s="469"/>
      <c r="AJ35" s="469" t="s">
        <v>157</v>
      </c>
      <c r="AK35" s="470"/>
      <c r="AL35" s="471"/>
      <c r="AM35" s="462" t="s">
        <v>16</v>
      </c>
      <c r="AN35" s="469"/>
      <c r="AO35" s="469" t="s">
        <v>157</v>
      </c>
      <c r="AP35" s="470"/>
      <c r="AQ35" s="468"/>
      <c r="AR35" s="462" t="s">
        <v>16</v>
      </c>
      <c r="AS35" s="469"/>
      <c r="AT35" s="469" t="s">
        <v>157</v>
      </c>
      <c r="AU35" s="470"/>
      <c r="AV35" s="468"/>
      <c r="AW35" s="462"/>
      <c r="AX35" s="469"/>
      <c r="AY35" s="469"/>
      <c r="AZ35" s="472">
        <v>100</v>
      </c>
      <c r="BA35" s="471"/>
      <c r="BB35" s="462"/>
      <c r="BC35" s="462"/>
      <c r="BD35" s="469"/>
      <c r="BE35" s="472">
        <v>100</v>
      </c>
      <c r="BF35" s="471"/>
      <c r="BG35" s="462"/>
      <c r="BH35" s="462"/>
      <c r="BI35" s="469"/>
      <c r="BJ35" s="473">
        <v>100</v>
      </c>
    </row>
    <row r="36" spans="2:62" s="474" customFormat="1">
      <c r="B36" s="461"/>
      <c r="C36" s="297"/>
      <c r="D36" s="462"/>
      <c r="E36" s="462"/>
      <c r="F36" s="463"/>
      <c r="G36" s="462" t="s">
        <v>16</v>
      </c>
      <c r="H36" s="464"/>
      <c r="I36" s="465"/>
      <c r="J36" s="462" t="s">
        <v>16</v>
      </c>
      <c r="K36" s="466"/>
      <c r="L36" s="345"/>
      <c r="M36" s="462" t="s">
        <v>16</v>
      </c>
      <c r="N36" s="464"/>
      <c r="O36" s="1901">
        <v>0</v>
      </c>
      <c r="P36" s="462" t="s">
        <v>16</v>
      </c>
      <c r="Q36" s="1898">
        <v>8</v>
      </c>
      <c r="R36" s="345"/>
      <c r="S36" s="462" t="s">
        <v>16</v>
      </c>
      <c r="T36" s="466">
        <v>10</v>
      </c>
      <c r="U36" s="462" t="s">
        <v>157</v>
      </c>
      <c r="V36" s="462">
        <v>1000</v>
      </c>
      <c r="W36" s="467"/>
      <c r="X36" s="463"/>
      <c r="Y36" s="462" t="s">
        <v>16</v>
      </c>
      <c r="Z36" s="464"/>
      <c r="AA36" s="465"/>
      <c r="AB36" s="462" t="s">
        <v>16</v>
      </c>
      <c r="AC36" s="466"/>
      <c r="AD36" s="463"/>
      <c r="AE36" s="462" t="s">
        <v>16</v>
      </c>
      <c r="AF36" s="464"/>
      <c r="AG36" s="468"/>
      <c r="AH36" s="462" t="s">
        <v>16</v>
      </c>
      <c r="AI36" s="469"/>
      <c r="AJ36" s="469" t="s">
        <v>157</v>
      </c>
      <c r="AK36" s="470"/>
      <c r="AL36" s="471"/>
      <c r="AM36" s="462" t="s">
        <v>16</v>
      </c>
      <c r="AN36" s="469"/>
      <c r="AO36" s="469" t="s">
        <v>157</v>
      </c>
      <c r="AP36" s="470"/>
      <c r="AQ36" s="468"/>
      <c r="AR36" s="462" t="s">
        <v>16</v>
      </c>
      <c r="AS36" s="469"/>
      <c r="AT36" s="469" t="s">
        <v>157</v>
      </c>
      <c r="AU36" s="470"/>
      <c r="AV36" s="468"/>
      <c r="AW36" s="462"/>
      <c r="AX36" s="469"/>
      <c r="AY36" s="469"/>
      <c r="AZ36" s="472">
        <v>100</v>
      </c>
      <c r="BA36" s="471"/>
      <c r="BB36" s="462"/>
      <c r="BC36" s="462"/>
      <c r="BD36" s="469"/>
      <c r="BE36" s="472">
        <v>100</v>
      </c>
      <c r="BF36" s="471"/>
      <c r="BG36" s="462"/>
      <c r="BH36" s="462"/>
      <c r="BI36" s="469"/>
      <c r="BJ36" s="473">
        <v>100</v>
      </c>
    </row>
    <row r="37" spans="2:62" s="474" customFormat="1">
      <c r="B37" s="461"/>
      <c r="C37" s="297"/>
      <c r="D37" s="462"/>
      <c r="E37" s="462"/>
      <c r="F37" s="463"/>
      <c r="G37" s="462" t="s">
        <v>16</v>
      </c>
      <c r="H37" s="464"/>
      <c r="I37" s="465"/>
      <c r="J37" s="462" t="s">
        <v>16</v>
      </c>
      <c r="K37" s="466"/>
      <c r="L37" s="345"/>
      <c r="M37" s="462" t="s">
        <v>16</v>
      </c>
      <c r="N37" s="464"/>
      <c r="O37" s="1901">
        <v>0</v>
      </c>
      <c r="P37" s="462" t="s">
        <v>16</v>
      </c>
      <c r="Q37" s="1898">
        <v>8</v>
      </c>
      <c r="R37" s="345"/>
      <c r="S37" s="462" t="s">
        <v>16</v>
      </c>
      <c r="T37" s="466">
        <v>10</v>
      </c>
      <c r="U37" s="462" t="s">
        <v>157</v>
      </c>
      <c r="V37" s="462">
        <v>1000</v>
      </c>
      <c r="W37" s="467"/>
      <c r="X37" s="463"/>
      <c r="Y37" s="462" t="s">
        <v>16</v>
      </c>
      <c r="Z37" s="464"/>
      <c r="AA37" s="465"/>
      <c r="AB37" s="462" t="s">
        <v>16</v>
      </c>
      <c r="AC37" s="466"/>
      <c r="AD37" s="463"/>
      <c r="AE37" s="462" t="s">
        <v>16</v>
      </c>
      <c r="AF37" s="464"/>
      <c r="AG37" s="468"/>
      <c r="AH37" s="462" t="s">
        <v>16</v>
      </c>
      <c r="AI37" s="469"/>
      <c r="AJ37" s="469" t="s">
        <v>157</v>
      </c>
      <c r="AK37" s="470"/>
      <c r="AL37" s="471"/>
      <c r="AM37" s="462" t="s">
        <v>16</v>
      </c>
      <c r="AN37" s="469"/>
      <c r="AO37" s="469" t="s">
        <v>157</v>
      </c>
      <c r="AP37" s="470"/>
      <c r="AQ37" s="468"/>
      <c r="AR37" s="462" t="s">
        <v>16</v>
      </c>
      <c r="AS37" s="469"/>
      <c r="AT37" s="469" t="s">
        <v>157</v>
      </c>
      <c r="AU37" s="470"/>
      <c r="AV37" s="468"/>
      <c r="AW37" s="462"/>
      <c r="AX37" s="469"/>
      <c r="AY37" s="469"/>
      <c r="AZ37" s="472">
        <v>100</v>
      </c>
      <c r="BA37" s="471"/>
      <c r="BB37" s="462"/>
      <c r="BC37" s="462"/>
      <c r="BD37" s="469"/>
      <c r="BE37" s="472">
        <v>100</v>
      </c>
      <c r="BF37" s="471"/>
      <c r="BG37" s="462"/>
      <c r="BH37" s="462"/>
      <c r="BI37" s="469"/>
      <c r="BJ37" s="473">
        <v>100</v>
      </c>
    </row>
    <row r="38" spans="2:62" s="474" customFormat="1">
      <c r="B38" s="461"/>
      <c r="C38" s="297"/>
      <c r="D38" s="462"/>
      <c r="E38" s="462"/>
      <c r="F38" s="463"/>
      <c r="G38" s="462" t="s">
        <v>16</v>
      </c>
      <c r="H38" s="464"/>
      <c r="I38" s="465"/>
      <c r="J38" s="462" t="s">
        <v>16</v>
      </c>
      <c r="K38" s="466"/>
      <c r="L38" s="345"/>
      <c r="M38" s="462" t="s">
        <v>16</v>
      </c>
      <c r="N38" s="464"/>
      <c r="O38" s="1901">
        <v>0</v>
      </c>
      <c r="P38" s="462" t="s">
        <v>16</v>
      </c>
      <c r="Q38" s="1898">
        <v>8</v>
      </c>
      <c r="R38" s="345"/>
      <c r="S38" s="462" t="s">
        <v>16</v>
      </c>
      <c r="T38" s="466">
        <v>10</v>
      </c>
      <c r="U38" s="462" t="s">
        <v>157</v>
      </c>
      <c r="V38" s="462">
        <v>1000</v>
      </c>
      <c r="W38" s="467"/>
      <c r="X38" s="463"/>
      <c r="Y38" s="462" t="s">
        <v>16</v>
      </c>
      <c r="Z38" s="464"/>
      <c r="AA38" s="465"/>
      <c r="AB38" s="462" t="s">
        <v>16</v>
      </c>
      <c r="AC38" s="466"/>
      <c r="AD38" s="463"/>
      <c r="AE38" s="462" t="s">
        <v>16</v>
      </c>
      <c r="AF38" s="464"/>
      <c r="AG38" s="468"/>
      <c r="AH38" s="462" t="s">
        <v>16</v>
      </c>
      <c r="AI38" s="469"/>
      <c r="AJ38" s="469" t="s">
        <v>157</v>
      </c>
      <c r="AK38" s="470"/>
      <c r="AL38" s="471"/>
      <c r="AM38" s="462" t="s">
        <v>16</v>
      </c>
      <c r="AN38" s="469"/>
      <c r="AO38" s="469" t="s">
        <v>157</v>
      </c>
      <c r="AP38" s="470"/>
      <c r="AQ38" s="468"/>
      <c r="AR38" s="462" t="s">
        <v>16</v>
      </c>
      <c r="AS38" s="469"/>
      <c r="AT38" s="469" t="s">
        <v>157</v>
      </c>
      <c r="AU38" s="470"/>
      <c r="AV38" s="468"/>
      <c r="AW38" s="462"/>
      <c r="AX38" s="469"/>
      <c r="AY38" s="469"/>
      <c r="AZ38" s="472">
        <v>100</v>
      </c>
      <c r="BA38" s="471"/>
      <c r="BB38" s="462"/>
      <c r="BC38" s="462"/>
      <c r="BD38" s="469"/>
      <c r="BE38" s="472">
        <v>100</v>
      </c>
      <c r="BF38" s="471"/>
      <c r="BG38" s="462"/>
      <c r="BH38" s="462"/>
      <c r="BI38" s="469"/>
      <c r="BJ38" s="473">
        <v>100</v>
      </c>
    </row>
    <row r="39" spans="2:62" s="474" customFormat="1">
      <c r="B39" s="461"/>
      <c r="C39" s="297"/>
      <c r="D39" s="462"/>
      <c r="E39" s="462"/>
      <c r="F39" s="463"/>
      <c r="G39" s="462" t="s">
        <v>16</v>
      </c>
      <c r="H39" s="464"/>
      <c r="I39" s="465"/>
      <c r="J39" s="462" t="s">
        <v>16</v>
      </c>
      <c r="K39" s="466"/>
      <c r="L39" s="345"/>
      <c r="M39" s="462" t="s">
        <v>16</v>
      </c>
      <c r="N39" s="464"/>
      <c r="O39" s="1901">
        <v>0</v>
      </c>
      <c r="P39" s="462" t="s">
        <v>16</v>
      </c>
      <c r="Q39" s="1898">
        <v>8</v>
      </c>
      <c r="R39" s="345"/>
      <c r="S39" s="462" t="s">
        <v>16</v>
      </c>
      <c r="T39" s="466">
        <v>10</v>
      </c>
      <c r="U39" s="462" t="s">
        <v>157</v>
      </c>
      <c r="V39" s="462">
        <v>1000</v>
      </c>
      <c r="W39" s="467"/>
      <c r="X39" s="463"/>
      <c r="Y39" s="462" t="s">
        <v>16</v>
      </c>
      <c r="Z39" s="464"/>
      <c r="AA39" s="465"/>
      <c r="AB39" s="462" t="s">
        <v>16</v>
      </c>
      <c r="AC39" s="466"/>
      <c r="AD39" s="463"/>
      <c r="AE39" s="462" t="s">
        <v>16</v>
      </c>
      <c r="AF39" s="464"/>
      <c r="AG39" s="468"/>
      <c r="AH39" s="462" t="s">
        <v>16</v>
      </c>
      <c r="AI39" s="469"/>
      <c r="AJ39" s="469" t="s">
        <v>157</v>
      </c>
      <c r="AK39" s="470"/>
      <c r="AL39" s="471"/>
      <c r="AM39" s="462" t="s">
        <v>16</v>
      </c>
      <c r="AN39" s="469"/>
      <c r="AO39" s="469" t="s">
        <v>157</v>
      </c>
      <c r="AP39" s="470"/>
      <c r="AQ39" s="468"/>
      <c r="AR39" s="462" t="s">
        <v>16</v>
      </c>
      <c r="AS39" s="469"/>
      <c r="AT39" s="469" t="s">
        <v>157</v>
      </c>
      <c r="AU39" s="470"/>
      <c r="AV39" s="468"/>
      <c r="AW39" s="462"/>
      <c r="AX39" s="469"/>
      <c r="AY39" s="469"/>
      <c r="AZ39" s="472">
        <v>100</v>
      </c>
      <c r="BA39" s="471"/>
      <c r="BB39" s="462"/>
      <c r="BC39" s="462"/>
      <c r="BD39" s="469"/>
      <c r="BE39" s="472">
        <v>100</v>
      </c>
      <c r="BF39" s="471"/>
      <c r="BG39" s="462"/>
      <c r="BH39" s="462"/>
      <c r="BI39" s="469"/>
      <c r="BJ39" s="473">
        <v>100</v>
      </c>
    </row>
    <row r="40" spans="2:62" s="474" customFormat="1">
      <c r="B40" s="461"/>
      <c r="C40" s="297"/>
      <c r="D40" s="462"/>
      <c r="E40" s="462"/>
      <c r="F40" s="463"/>
      <c r="G40" s="462" t="s">
        <v>16</v>
      </c>
      <c r="H40" s="464"/>
      <c r="I40" s="465"/>
      <c r="J40" s="462" t="s">
        <v>16</v>
      </c>
      <c r="K40" s="466"/>
      <c r="L40" s="345"/>
      <c r="M40" s="462" t="s">
        <v>16</v>
      </c>
      <c r="N40" s="464"/>
      <c r="O40" s="1901">
        <v>0</v>
      </c>
      <c r="P40" s="462" t="s">
        <v>16</v>
      </c>
      <c r="Q40" s="1898">
        <v>8</v>
      </c>
      <c r="R40" s="345"/>
      <c r="S40" s="462" t="s">
        <v>16</v>
      </c>
      <c r="T40" s="466">
        <v>10</v>
      </c>
      <c r="U40" s="462" t="s">
        <v>157</v>
      </c>
      <c r="V40" s="462">
        <v>1000</v>
      </c>
      <c r="W40" s="467"/>
      <c r="X40" s="463"/>
      <c r="Y40" s="462" t="s">
        <v>16</v>
      </c>
      <c r="Z40" s="464"/>
      <c r="AA40" s="465"/>
      <c r="AB40" s="462" t="s">
        <v>16</v>
      </c>
      <c r="AC40" s="466"/>
      <c r="AD40" s="463"/>
      <c r="AE40" s="462" t="s">
        <v>16</v>
      </c>
      <c r="AF40" s="464"/>
      <c r="AG40" s="468"/>
      <c r="AH40" s="462" t="s">
        <v>16</v>
      </c>
      <c r="AI40" s="469"/>
      <c r="AJ40" s="469" t="s">
        <v>157</v>
      </c>
      <c r="AK40" s="470"/>
      <c r="AL40" s="471"/>
      <c r="AM40" s="462" t="s">
        <v>16</v>
      </c>
      <c r="AN40" s="469"/>
      <c r="AO40" s="469" t="s">
        <v>157</v>
      </c>
      <c r="AP40" s="470"/>
      <c r="AQ40" s="468"/>
      <c r="AR40" s="462" t="s">
        <v>16</v>
      </c>
      <c r="AS40" s="469"/>
      <c r="AT40" s="469" t="s">
        <v>157</v>
      </c>
      <c r="AU40" s="470"/>
      <c r="AV40" s="468"/>
      <c r="AW40" s="462"/>
      <c r="AX40" s="469"/>
      <c r="AY40" s="469"/>
      <c r="AZ40" s="472">
        <v>100</v>
      </c>
      <c r="BA40" s="471"/>
      <c r="BB40" s="462"/>
      <c r="BC40" s="462"/>
      <c r="BD40" s="469"/>
      <c r="BE40" s="472">
        <v>100</v>
      </c>
      <c r="BF40" s="471"/>
      <c r="BG40" s="462"/>
      <c r="BH40" s="462"/>
      <c r="BI40" s="469"/>
      <c r="BJ40" s="473">
        <v>100</v>
      </c>
    </row>
    <row r="41" spans="2:62" s="474" customFormat="1">
      <c r="B41" s="461"/>
      <c r="C41" s="297"/>
      <c r="D41" s="462"/>
      <c r="E41" s="462"/>
      <c r="F41" s="463"/>
      <c r="G41" s="462" t="s">
        <v>16</v>
      </c>
      <c r="H41" s="464"/>
      <c r="I41" s="465"/>
      <c r="J41" s="462" t="s">
        <v>16</v>
      </c>
      <c r="K41" s="466"/>
      <c r="L41" s="345"/>
      <c r="M41" s="462" t="s">
        <v>16</v>
      </c>
      <c r="N41" s="464"/>
      <c r="O41" s="1901">
        <v>0</v>
      </c>
      <c r="P41" s="462" t="s">
        <v>16</v>
      </c>
      <c r="Q41" s="1898">
        <v>8</v>
      </c>
      <c r="R41" s="345"/>
      <c r="S41" s="462" t="s">
        <v>16</v>
      </c>
      <c r="T41" s="466">
        <v>10</v>
      </c>
      <c r="U41" s="462" t="s">
        <v>157</v>
      </c>
      <c r="V41" s="462">
        <v>1000</v>
      </c>
      <c r="W41" s="467"/>
      <c r="X41" s="463"/>
      <c r="Y41" s="462" t="s">
        <v>16</v>
      </c>
      <c r="Z41" s="464"/>
      <c r="AA41" s="465"/>
      <c r="AB41" s="462" t="s">
        <v>16</v>
      </c>
      <c r="AC41" s="466"/>
      <c r="AD41" s="463"/>
      <c r="AE41" s="462" t="s">
        <v>16</v>
      </c>
      <c r="AF41" s="464"/>
      <c r="AG41" s="468"/>
      <c r="AH41" s="462" t="s">
        <v>16</v>
      </c>
      <c r="AI41" s="469"/>
      <c r="AJ41" s="469" t="s">
        <v>157</v>
      </c>
      <c r="AK41" s="470"/>
      <c r="AL41" s="471"/>
      <c r="AM41" s="462" t="s">
        <v>16</v>
      </c>
      <c r="AN41" s="469"/>
      <c r="AO41" s="469" t="s">
        <v>157</v>
      </c>
      <c r="AP41" s="470"/>
      <c r="AQ41" s="468"/>
      <c r="AR41" s="462" t="s">
        <v>16</v>
      </c>
      <c r="AS41" s="469"/>
      <c r="AT41" s="469" t="s">
        <v>157</v>
      </c>
      <c r="AU41" s="470"/>
      <c r="AV41" s="468"/>
      <c r="AW41" s="462"/>
      <c r="AX41" s="469"/>
      <c r="AY41" s="469"/>
      <c r="AZ41" s="472">
        <v>100</v>
      </c>
      <c r="BA41" s="471"/>
      <c r="BB41" s="462"/>
      <c r="BC41" s="462"/>
      <c r="BD41" s="469"/>
      <c r="BE41" s="472">
        <v>100</v>
      </c>
      <c r="BF41" s="471"/>
      <c r="BG41" s="462"/>
      <c r="BH41" s="462"/>
      <c r="BI41" s="469"/>
      <c r="BJ41" s="473">
        <v>100</v>
      </c>
    </row>
    <row r="42" spans="2:62" s="474" customFormat="1">
      <c r="B42" s="461"/>
      <c r="C42" s="297"/>
      <c r="D42" s="462"/>
      <c r="E42" s="462"/>
      <c r="F42" s="463"/>
      <c r="G42" s="462" t="s">
        <v>16</v>
      </c>
      <c r="H42" s="464"/>
      <c r="I42" s="465"/>
      <c r="J42" s="462" t="s">
        <v>16</v>
      </c>
      <c r="K42" s="466"/>
      <c r="L42" s="345"/>
      <c r="M42" s="462" t="s">
        <v>16</v>
      </c>
      <c r="N42" s="464"/>
      <c r="O42" s="1901">
        <v>0</v>
      </c>
      <c r="P42" s="462" t="s">
        <v>16</v>
      </c>
      <c r="Q42" s="1898">
        <v>8</v>
      </c>
      <c r="R42" s="345"/>
      <c r="S42" s="462" t="s">
        <v>16</v>
      </c>
      <c r="T42" s="466">
        <v>10</v>
      </c>
      <c r="U42" s="462" t="s">
        <v>157</v>
      </c>
      <c r="V42" s="462">
        <v>1000</v>
      </c>
      <c r="W42" s="467"/>
      <c r="X42" s="463"/>
      <c r="Y42" s="462" t="s">
        <v>16</v>
      </c>
      <c r="Z42" s="464"/>
      <c r="AA42" s="465"/>
      <c r="AB42" s="462" t="s">
        <v>16</v>
      </c>
      <c r="AC42" s="466"/>
      <c r="AD42" s="463"/>
      <c r="AE42" s="462" t="s">
        <v>16</v>
      </c>
      <c r="AF42" s="464"/>
      <c r="AG42" s="468"/>
      <c r="AH42" s="462" t="s">
        <v>16</v>
      </c>
      <c r="AI42" s="469"/>
      <c r="AJ42" s="469" t="s">
        <v>157</v>
      </c>
      <c r="AK42" s="470"/>
      <c r="AL42" s="471"/>
      <c r="AM42" s="462" t="s">
        <v>16</v>
      </c>
      <c r="AN42" s="469"/>
      <c r="AO42" s="469" t="s">
        <v>157</v>
      </c>
      <c r="AP42" s="470"/>
      <c r="AQ42" s="468"/>
      <c r="AR42" s="462" t="s">
        <v>16</v>
      </c>
      <c r="AS42" s="469"/>
      <c r="AT42" s="469" t="s">
        <v>157</v>
      </c>
      <c r="AU42" s="470"/>
      <c r="AV42" s="468"/>
      <c r="AW42" s="462"/>
      <c r="AX42" s="469"/>
      <c r="AY42" s="469"/>
      <c r="AZ42" s="472">
        <v>100</v>
      </c>
      <c r="BA42" s="471"/>
      <c r="BB42" s="462"/>
      <c r="BC42" s="462"/>
      <c r="BD42" s="469"/>
      <c r="BE42" s="472">
        <v>100</v>
      </c>
      <c r="BF42" s="471"/>
      <c r="BG42" s="462"/>
      <c r="BH42" s="462"/>
      <c r="BI42" s="469"/>
      <c r="BJ42" s="473">
        <v>100</v>
      </c>
    </row>
    <row r="43" spans="2:62" s="474" customFormat="1">
      <c r="B43" s="461"/>
      <c r="C43" s="297"/>
      <c r="D43" s="462"/>
      <c r="E43" s="462"/>
      <c r="F43" s="463"/>
      <c r="G43" s="462" t="s">
        <v>16</v>
      </c>
      <c r="H43" s="464"/>
      <c r="I43" s="465"/>
      <c r="J43" s="462" t="s">
        <v>16</v>
      </c>
      <c r="K43" s="466"/>
      <c r="L43" s="345"/>
      <c r="M43" s="462" t="s">
        <v>16</v>
      </c>
      <c r="N43" s="464"/>
      <c r="O43" s="1901">
        <v>0</v>
      </c>
      <c r="P43" s="462" t="s">
        <v>16</v>
      </c>
      <c r="Q43" s="1898">
        <v>8</v>
      </c>
      <c r="R43" s="345"/>
      <c r="S43" s="462" t="s">
        <v>16</v>
      </c>
      <c r="T43" s="466">
        <v>10</v>
      </c>
      <c r="U43" s="462" t="s">
        <v>157</v>
      </c>
      <c r="V43" s="462">
        <v>1000</v>
      </c>
      <c r="W43" s="467"/>
      <c r="X43" s="463"/>
      <c r="Y43" s="462" t="s">
        <v>16</v>
      </c>
      <c r="Z43" s="464"/>
      <c r="AA43" s="465"/>
      <c r="AB43" s="462" t="s">
        <v>16</v>
      </c>
      <c r="AC43" s="466"/>
      <c r="AD43" s="463"/>
      <c r="AE43" s="462" t="s">
        <v>16</v>
      </c>
      <c r="AF43" s="464"/>
      <c r="AG43" s="468"/>
      <c r="AH43" s="462" t="s">
        <v>16</v>
      </c>
      <c r="AI43" s="469"/>
      <c r="AJ43" s="469" t="s">
        <v>157</v>
      </c>
      <c r="AK43" s="470"/>
      <c r="AL43" s="471"/>
      <c r="AM43" s="462" t="s">
        <v>16</v>
      </c>
      <c r="AN43" s="469"/>
      <c r="AO43" s="469" t="s">
        <v>157</v>
      </c>
      <c r="AP43" s="470"/>
      <c r="AQ43" s="468"/>
      <c r="AR43" s="462" t="s">
        <v>16</v>
      </c>
      <c r="AS43" s="469"/>
      <c r="AT43" s="469" t="s">
        <v>157</v>
      </c>
      <c r="AU43" s="470"/>
      <c r="AV43" s="468"/>
      <c r="AW43" s="462"/>
      <c r="AX43" s="469"/>
      <c r="AY43" s="469"/>
      <c r="AZ43" s="472">
        <v>100</v>
      </c>
      <c r="BA43" s="471"/>
      <c r="BB43" s="462"/>
      <c r="BC43" s="462"/>
      <c r="BD43" s="469"/>
      <c r="BE43" s="472">
        <v>100</v>
      </c>
      <c r="BF43" s="471"/>
      <c r="BG43" s="462"/>
      <c r="BH43" s="462"/>
      <c r="BI43" s="469"/>
      <c r="BJ43" s="473">
        <v>100</v>
      </c>
    </row>
    <row r="44" spans="2:62" s="474" customFormat="1">
      <c r="B44" s="461"/>
      <c r="C44" s="297"/>
      <c r="D44" s="462"/>
      <c r="E44" s="462"/>
      <c r="F44" s="463"/>
      <c r="G44" s="462" t="s">
        <v>16</v>
      </c>
      <c r="H44" s="464"/>
      <c r="I44" s="465"/>
      <c r="J44" s="462" t="s">
        <v>16</v>
      </c>
      <c r="K44" s="466"/>
      <c r="L44" s="345"/>
      <c r="M44" s="462" t="s">
        <v>16</v>
      </c>
      <c r="N44" s="464"/>
      <c r="O44" s="1901">
        <v>0</v>
      </c>
      <c r="P44" s="462" t="s">
        <v>16</v>
      </c>
      <c r="Q44" s="1898">
        <v>8</v>
      </c>
      <c r="R44" s="345"/>
      <c r="S44" s="462" t="s">
        <v>16</v>
      </c>
      <c r="T44" s="466">
        <v>10</v>
      </c>
      <c r="U44" s="462" t="s">
        <v>157</v>
      </c>
      <c r="V44" s="462">
        <v>1000</v>
      </c>
      <c r="W44" s="467"/>
      <c r="X44" s="463"/>
      <c r="Y44" s="462" t="s">
        <v>16</v>
      </c>
      <c r="Z44" s="464"/>
      <c r="AA44" s="465"/>
      <c r="AB44" s="462" t="s">
        <v>16</v>
      </c>
      <c r="AC44" s="466"/>
      <c r="AD44" s="463"/>
      <c r="AE44" s="462" t="s">
        <v>16</v>
      </c>
      <c r="AF44" s="464"/>
      <c r="AG44" s="468"/>
      <c r="AH44" s="462" t="s">
        <v>16</v>
      </c>
      <c r="AI44" s="469"/>
      <c r="AJ44" s="469" t="s">
        <v>157</v>
      </c>
      <c r="AK44" s="470"/>
      <c r="AL44" s="471"/>
      <c r="AM44" s="462" t="s">
        <v>16</v>
      </c>
      <c r="AN44" s="469"/>
      <c r="AO44" s="469" t="s">
        <v>157</v>
      </c>
      <c r="AP44" s="470"/>
      <c r="AQ44" s="468"/>
      <c r="AR44" s="462" t="s">
        <v>16</v>
      </c>
      <c r="AS44" s="469"/>
      <c r="AT44" s="469" t="s">
        <v>157</v>
      </c>
      <c r="AU44" s="470"/>
      <c r="AV44" s="468"/>
      <c r="AW44" s="462"/>
      <c r="AX44" s="469"/>
      <c r="AY44" s="469"/>
      <c r="AZ44" s="472">
        <v>100</v>
      </c>
      <c r="BA44" s="471"/>
      <c r="BB44" s="462"/>
      <c r="BC44" s="462"/>
      <c r="BD44" s="469"/>
      <c r="BE44" s="472">
        <v>100</v>
      </c>
      <c r="BF44" s="471"/>
      <c r="BG44" s="462"/>
      <c r="BH44" s="462"/>
      <c r="BI44" s="469"/>
      <c r="BJ44" s="473">
        <v>100</v>
      </c>
    </row>
    <row r="45" spans="2:62" s="474" customFormat="1">
      <c r="B45" s="461"/>
      <c r="C45" s="297"/>
      <c r="D45" s="462"/>
      <c r="E45" s="462"/>
      <c r="F45" s="463"/>
      <c r="G45" s="462" t="s">
        <v>16</v>
      </c>
      <c r="H45" s="464"/>
      <c r="I45" s="465"/>
      <c r="J45" s="462" t="s">
        <v>16</v>
      </c>
      <c r="K45" s="466"/>
      <c r="L45" s="345"/>
      <c r="M45" s="462" t="s">
        <v>16</v>
      </c>
      <c r="N45" s="464"/>
      <c r="O45" s="1901">
        <v>0</v>
      </c>
      <c r="P45" s="462" t="s">
        <v>16</v>
      </c>
      <c r="Q45" s="1898">
        <v>8</v>
      </c>
      <c r="R45" s="345"/>
      <c r="S45" s="462" t="s">
        <v>16</v>
      </c>
      <c r="T45" s="466">
        <v>10</v>
      </c>
      <c r="U45" s="462" t="s">
        <v>157</v>
      </c>
      <c r="V45" s="462">
        <v>1000</v>
      </c>
      <c r="W45" s="467"/>
      <c r="X45" s="463"/>
      <c r="Y45" s="462" t="s">
        <v>16</v>
      </c>
      <c r="Z45" s="464"/>
      <c r="AA45" s="465"/>
      <c r="AB45" s="462" t="s">
        <v>16</v>
      </c>
      <c r="AC45" s="466"/>
      <c r="AD45" s="463"/>
      <c r="AE45" s="462" t="s">
        <v>16</v>
      </c>
      <c r="AF45" s="464"/>
      <c r="AG45" s="468"/>
      <c r="AH45" s="462" t="s">
        <v>16</v>
      </c>
      <c r="AI45" s="469"/>
      <c r="AJ45" s="469" t="s">
        <v>157</v>
      </c>
      <c r="AK45" s="470"/>
      <c r="AL45" s="471"/>
      <c r="AM45" s="462" t="s">
        <v>16</v>
      </c>
      <c r="AN45" s="469"/>
      <c r="AO45" s="469" t="s">
        <v>157</v>
      </c>
      <c r="AP45" s="470"/>
      <c r="AQ45" s="468"/>
      <c r="AR45" s="462" t="s">
        <v>16</v>
      </c>
      <c r="AS45" s="469"/>
      <c r="AT45" s="469" t="s">
        <v>157</v>
      </c>
      <c r="AU45" s="470"/>
      <c r="AV45" s="468"/>
      <c r="AW45" s="462"/>
      <c r="AX45" s="469"/>
      <c r="AY45" s="469"/>
      <c r="AZ45" s="472">
        <v>100</v>
      </c>
      <c r="BA45" s="471"/>
      <c r="BB45" s="462"/>
      <c r="BC45" s="462"/>
      <c r="BD45" s="469"/>
      <c r="BE45" s="472">
        <v>100</v>
      </c>
      <c r="BF45" s="471"/>
      <c r="BG45" s="462"/>
      <c r="BH45" s="462"/>
      <c r="BI45" s="469"/>
      <c r="BJ45" s="473">
        <v>100</v>
      </c>
    </row>
    <row r="46" spans="2:62" s="474" customFormat="1">
      <c r="B46" s="461"/>
      <c r="C46" s="297"/>
      <c r="D46" s="462"/>
      <c r="E46" s="462"/>
      <c r="F46" s="463"/>
      <c r="G46" s="462" t="s">
        <v>16</v>
      </c>
      <c r="H46" s="464"/>
      <c r="I46" s="465"/>
      <c r="J46" s="462" t="s">
        <v>16</v>
      </c>
      <c r="K46" s="466"/>
      <c r="L46" s="345"/>
      <c r="M46" s="462" t="s">
        <v>16</v>
      </c>
      <c r="N46" s="464"/>
      <c r="O46" s="1901">
        <v>0</v>
      </c>
      <c r="P46" s="462" t="s">
        <v>16</v>
      </c>
      <c r="Q46" s="1898">
        <v>8</v>
      </c>
      <c r="R46" s="345"/>
      <c r="S46" s="462" t="s">
        <v>16</v>
      </c>
      <c r="T46" s="466">
        <v>10</v>
      </c>
      <c r="U46" s="462" t="s">
        <v>157</v>
      </c>
      <c r="V46" s="462">
        <v>1000</v>
      </c>
      <c r="W46" s="467"/>
      <c r="X46" s="463"/>
      <c r="Y46" s="462" t="s">
        <v>16</v>
      </c>
      <c r="Z46" s="464"/>
      <c r="AA46" s="465"/>
      <c r="AB46" s="462" t="s">
        <v>16</v>
      </c>
      <c r="AC46" s="466"/>
      <c r="AD46" s="463"/>
      <c r="AE46" s="462" t="s">
        <v>16</v>
      </c>
      <c r="AF46" s="464"/>
      <c r="AG46" s="468"/>
      <c r="AH46" s="462" t="s">
        <v>16</v>
      </c>
      <c r="AI46" s="469"/>
      <c r="AJ46" s="469" t="s">
        <v>157</v>
      </c>
      <c r="AK46" s="470"/>
      <c r="AL46" s="471"/>
      <c r="AM46" s="462" t="s">
        <v>16</v>
      </c>
      <c r="AN46" s="469"/>
      <c r="AO46" s="469" t="s">
        <v>157</v>
      </c>
      <c r="AP46" s="470"/>
      <c r="AQ46" s="468"/>
      <c r="AR46" s="462" t="s">
        <v>16</v>
      </c>
      <c r="AS46" s="469"/>
      <c r="AT46" s="469" t="s">
        <v>157</v>
      </c>
      <c r="AU46" s="470"/>
      <c r="AV46" s="468"/>
      <c r="AW46" s="462"/>
      <c r="AX46" s="469"/>
      <c r="AY46" s="469"/>
      <c r="AZ46" s="472">
        <v>100</v>
      </c>
      <c r="BA46" s="471"/>
      <c r="BB46" s="462"/>
      <c r="BC46" s="462"/>
      <c r="BD46" s="469"/>
      <c r="BE46" s="472">
        <v>100</v>
      </c>
      <c r="BF46" s="471"/>
      <c r="BG46" s="462"/>
      <c r="BH46" s="462"/>
      <c r="BI46" s="469"/>
      <c r="BJ46" s="473">
        <v>100</v>
      </c>
    </row>
    <row r="47" spans="2:62" s="474" customFormat="1">
      <c r="B47" s="461"/>
      <c r="C47" s="297"/>
      <c r="D47" s="462"/>
      <c r="E47" s="462"/>
      <c r="F47" s="463"/>
      <c r="G47" s="462" t="s">
        <v>16</v>
      </c>
      <c r="H47" s="464"/>
      <c r="I47" s="465"/>
      <c r="J47" s="462" t="s">
        <v>16</v>
      </c>
      <c r="K47" s="466"/>
      <c r="L47" s="345"/>
      <c r="M47" s="462" t="s">
        <v>16</v>
      </c>
      <c r="N47" s="464"/>
      <c r="O47" s="1901">
        <v>0</v>
      </c>
      <c r="P47" s="462" t="s">
        <v>16</v>
      </c>
      <c r="Q47" s="1898">
        <v>8</v>
      </c>
      <c r="R47" s="345"/>
      <c r="S47" s="462" t="s">
        <v>16</v>
      </c>
      <c r="T47" s="466">
        <v>10</v>
      </c>
      <c r="U47" s="462" t="s">
        <v>157</v>
      </c>
      <c r="V47" s="462">
        <v>1000</v>
      </c>
      <c r="W47" s="467"/>
      <c r="X47" s="463"/>
      <c r="Y47" s="462" t="s">
        <v>16</v>
      </c>
      <c r="Z47" s="464"/>
      <c r="AA47" s="465"/>
      <c r="AB47" s="462" t="s">
        <v>16</v>
      </c>
      <c r="AC47" s="466"/>
      <c r="AD47" s="463"/>
      <c r="AE47" s="462" t="s">
        <v>16</v>
      </c>
      <c r="AF47" s="464"/>
      <c r="AG47" s="468"/>
      <c r="AH47" s="462" t="s">
        <v>16</v>
      </c>
      <c r="AI47" s="469"/>
      <c r="AJ47" s="469" t="s">
        <v>157</v>
      </c>
      <c r="AK47" s="470"/>
      <c r="AL47" s="471"/>
      <c r="AM47" s="462" t="s">
        <v>16</v>
      </c>
      <c r="AN47" s="469"/>
      <c r="AO47" s="469" t="s">
        <v>157</v>
      </c>
      <c r="AP47" s="470"/>
      <c r="AQ47" s="468"/>
      <c r="AR47" s="462" t="s">
        <v>16</v>
      </c>
      <c r="AS47" s="469"/>
      <c r="AT47" s="469" t="s">
        <v>157</v>
      </c>
      <c r="AU47" s="470"/>
      <c r="AV47" s="468"/>
      <c r="AW47" s="462"/>
      <c r="AX47" s="469"/>
      <c r="AY47" s="469"/>
      <c r="AZ47" s="472">
        <v>100</v>
      </c>
      <c r="BA47" s="471"/>
      <c r="BB47" s="462"/>
      <c r="BC47" s="462"/>
      <c r="BD47" s="469"/>
      <c r="BE47" s="472">
        <v>100</v>
      </c>
      <c r="BF47" s="471"/>
      <c r="BG47" s="462"/>
      <c r="BH47" s="462"/>
      <c r="BI47" s="469"/>
      <c r="BJ47" s="473">
        <v>100</v>
      </c>
    </row>
    <row r="48" spans="2:62" s="474" customFormat="1">
      <c r="B48" s="461"/>
      <c r="C48" s="297"/>
      <c r="D48" s="462"/>
      <c r="E48" s="462"/>
      <c r="F48" s="463"/>
      <c r="G48" s="462" t="s">
        <v>16</v>
      </c>
      <c r="H48" s="464"/>
      <c r="I48" s="465"/>
      <c r="J48" s="462" t="s">
        <v>16</v>
      </c>
      <c r="K48" s="466"/>
      <c r="L48" s="345"/>
      <c r="M48" s="462" t="s">
        <v>16</v>
      </c>
      <c r="N48" s="464"/>
      <c r="O48" s="1901">
        <v>0</v>
      </c>
      <c r="P48" s="462" t="s">
        <v>16</v>
      </c>
      <c r="Q48" s="1898">
        <v>8</v>
      </c>
      <c r="R48" s="345"/>
      <c r="S48" s="462" t="s">
        <v>16</v>
      </c>
      <c r="T48" s="466">
        <v>10</v>
      </c>
      <c r="U48" s="462" t="s">
        <v>157</v>
      </c>
      <c r="V48" s="462">
        <v>1000</v>
      </c>
      <c r="W48" s="467"/>
      <c r="X48" s="463"/>
      <c r="Y48" s="462" t="s">
        <v>16</v>
      </c>
      <c r="Z48" s="464"/>
      <c r="AA48" s="465"/>
      <c r="AB48" s="462" t="s">
        <v>16</v>
      </c>
      <c r="AC48" s="466"/>
      <c r="AD48" s="463"/>
      <c r="AE48" s="462" t="s">
        <v>16</v>
      </c>
      <c r="AF48" s="464"/>
      <c r="AG48" s="468"/>
      <c r="AH48" s="462" t="s">
        <v>16</v>
      </c>
      <c r="AI48" s="469"/>
      <c r="AJ48" s="469" t="s">
        <v>157</v>
      </c>
      <c r="AK48" s="470"/>
      <c r="AL48" s="471"/>
      <c r="AM48" s="462" t="s">
        <v>16</v>
      </c>
      <c r="AN48" s="469"/>
      <c r="AO48" s="469" t="s">
        <v>157</v>
      </c>
      <c r="AP48" s="470"/>
      <c r="AQ48" s="468"/>
      <c r="AR48" s="462" t="s">
        <v>16</v>
      </c>
      <c r="AS48" s="469"/>
      <c r="AT48" s="469" t="s">
        <v>157</v>
      </c>
      <c r="AU48" s="470"/>
      <c r="AV48" s="468"/>
      <c r="AW48" s="462"/>
      <c r="AX48" s="469"/>
      <c r="AY48" s="469"/>
      <c r="AZ48" s="472">
        <v>100</v>
      </c>
      <c r="BA48" s="471"/>
      <c r="BB48" s="462"/>
      <c r="BC48" s="462"/>
      <c r="BD48" s="469"/>
      <c r="BE48" s="472">
        <v>100</v>
      </c>
      <c r="BF48" s="471"/>
      <c r="BG48" s="462"/>
      <c r="BH48" s="462"/>
      <c r="BI48" s="469"/>
      <c r="BJ48" s="473">
        <v>100</v>
      </c>
    </row>
    <row r="49" spans="2:62" s="474" customFormat="1">
      <c r="B49" s="461"/>
      <c r="C49" s="297"/>
      <c r="D49" s="462"/>
      <c r="E49" s="462"/>
      <c r="F49" s="463"/>
      <c r="G49" s="462" t="s">
        <v>16</v>
      </c>
      <c r="H49" s="464"/>
      <c r="I49" s="465"/>
      <c r="J49" s="462" t="s">
        <v>16</v>
      </c>
      <c r="K49" s="466"/>
      <c r="L49" s="345"/>
      <c r="M49" s="462" t="s">
        <v>16</v>
      </c>
      <c r="N49" s="464"/>
      <c r="O49" s="1901">
        <v>0</v>
      </c>
      <c r="P49" s="462" t="s">
        <v>16</v>
      </c>
      <c r="Q49" s="1898">
        <v>8</v>
      </c>
      <c r="R49" s="345"/>
      <c r="S49" s="462" t="s">
        <v>16</v>
      </c>
      <c r="T49" s="466">
        <v>10</v>
      </c>
      <c r="U49" s="462" t="s">
        <v>157</v>
      </c>
      <c r="V49" s="462">
        <v>1000</v>
      </c>
      <c r="W49" s="467"/>
      <c r="X49" s="463"/>
      <c r="Y49" s="462" t="s">
        <v>16</v>
      </c>
      <c r="Z49" s="464"/>
      <c r="AA49" s="465"/>
      <c r="AB49" s="462" t="s">
        <v>16</v>
      </c>
      <c r="AC49" s="466"/>
      <c r="AD49" s="463"/>
      <c r="AE49" s="462" t="s">
        <v>16</v>
      </c>
      <c r="AF49" s="464"/>
      <c r="AG49" s="468"/>
      <c r="AH49" s="462" t="s">
        <v>16</v>
      </c>
      <c r="AI49" s="469"/>
      <c r="AJ49" s="469" t="s">
        <v>157</v>
      </c>
      <c r="AK49" s="470"/>
      <c r="AL49" s="471"/>
      <c r="AM49" s="462" t="s">
        <v>16</v>
      </c>
      <c r="AN49" s="469"/>
      <c r="AO49" s="469" t="s">
        <v>157</v>
      </c>
      <c r="AP49" s="470"/>
      <c r="AQ49" s="468"/>
      <c r="AR49" s="462" t="s">
        <v>16</v>
      </c>
      <c r="AS49" s="469"/>
      <c r="AT49" s="469" t="s">
        <v>157</v>
      </c>
      <c r="AU49" s="470"/>
      <c r="AV49" s="468"/>
      <c r="AW49" s="462"/>
      <c r="AX49" s="469"/>
      <c r="AY49" s="469"/>
      <c r="AZ49" s="472">
        <v>100</v>
      </c>
      <c r="BA49" s="471"/>
      <c r="BB49" s="462"/>
      <c r="BC49" s="462"/>
      <c r="BD49" s="469"/>
      <c r="BE49" s="472">
        <v>100</v>
      </c>
      <c r="BF49" s="471"/>
      <c r="BG49" s="462"/>
      <c r="BH49" s="462"/>
      <c r="BI49" s="469"/>
      <c r="BJ49" s="473">
        <v>100</v>
      </c>
    </row>
    <row r="50" spans="2:62" s="474" customFormat="1">
      <c r="B50" s="461"/>
      <c r="C50" s="297"/>
      <c r="D50" s="462"/>
      <c r="E50" s="462"/>
      <c r="F50" s="463"/>
      <c r="G50" s="462" t="s">
        <v>16</v>
      </c>
      <c r="H50" s="464"/>
      <c r="I50" s="465"/>
      <c r="J50" s="462" t="s">
        <v>16</v>
      </c>
      <c r="K50" s="466"/>
      <c r="L50" s="345"/>
      <c r="M50" s="462" t="s">
        <v>16</v>
      </c>
      <c r="N50" s="464"/>
      <c r="O50" s="1901">
        <v>0</v>
      </c>
      <c r="P50" s="462" t="s">
        <v>16</v>
      </c>
      <c r="Q50" s="1898">
        <v>8</v>
      </c>
      <c r="R50" s="345"/>
      <c r="S50" s="462" t="s">
        <v>16</v>
      </c>
      <c r="T50" s="466">
        <v>10</v>
      </c>
      <c r="U50" s="462" t="s">
        <v>157</v>
      </c>
      <c r="V50" s="462">
        <v>1000</v>
      </c>
      <c r="W50" s="467"/>
      <c r="X50" s="463"/>
      <c r="Y50" s="462" t="s">
        <v>16</v>
      </c>
      <c r="Z50" s="464"/>
      <c r="AA50" s="465"/>
      <c r="AB50" s="462" t="s">
        <v>16</v>
      </c>
      <c r="AC50" s="466"/>
      <c r="AD50" s="463"/>
      <c r="AE50" s="462" t="s">
        <v>16</v>
      </c>
      <c r="AF50" s="464"/>
      <c r="AG50" s="468"/>
      <c r="AH50" s="462" t="s">
        <v>16</v>
      </c>
      <c r="AI50" s="469"/>
      <c r="AJ50" s="469" t="s">
        <v>157</v>
      </c>
      <c r="AK50" s="470"/>
      <c r="AL50" s="471"/>
      <c r="AM50" s="462" t="s">
        <v>16</v>
      </c>
      <c r="AN50" s="469"/>
      <c r="AO50" s="469" t="s">
        <v>157</v>
      </c>
      <c r="AP50" s="470"/>
      <c r="AQ50" s="468"/>
      <c r="AR50" s="462" t="s">
        <v>16</v>
      </c>
      <c r="AS50" s="469"/>
      <c r="AT50" s="469" t="s">
        <v>157</v>
      </c>
      <c r="AU50" s="470"/>
      <c r="AV50" s="468"/>
      <c r="AW50" s="462"/>
      <c r="AX50" s="469"/>
      <c r="AY50" s="469"/>
      <c r="AZ50" s="472">
        <v>100</v>
      </c>
      <c r="BA50" s="471"/>
      <c r="BB50" s="462"/>
      <c r="BC50" s="462"/>
      <c r="BD50" s="469"/>
      <c r="BE50" s="472">
        <v>100</v>
      </c>
      <c r="BF50" s="471"/>
      <c r="BG50" s="462"/>
      <c r="BH50" s="462"/>
      <c r="BI50" s="469"/>
      <c r="BJ50" s="473">
        <v>100</v>
      </c>
    </row>
    <row r="51" spans="2:62" s="474" customFormat="1">
      <c r="B51" s="461"/>
      <c r="C51" s="297"/>
      <c r="D51" s="462"/>
      <c r="E51" s="462"/>
      <c r="F51" s="463"/>
      <c r="G51" s="462" t="s">
        <v>16</v>
      </c>
      <c r="H51" s="464"/>
      <c r="I51" s="465"/>
      <c r="J51" s="462" t="s">
        <v>16</v>
      </c>
      <c r="K51" s="466"/>
      <c r="L51" s="345"/>
      <c r="M51" s="462" t="s">
        <v>16</v>
      </c>
      <c r="N51" s="464"/>
      <c r="O51" s="1901">
        <v>0</v>
      </c>
      <c r="P51" s="462" t="s">
        <v>16</v>
      </c>
      <c r="Q51" s="1898">
        <v>8</v>
      </c>
      <c r="R51" s="345"/>
      <c r="S51" s="462" t="s">
        <v>16</v>
      </c>
      <c r="T51" s="466">
        <v>10</v>
      </c>
      <c r="U51" s="462" t="s">
        <v>157</v>
      </c>
      <c r="V51" s="462">
        <v>1000</v>
      </c>
      <c r="W51" s="467"/>
      <c r="X51" s="463"/>
      <c r="Y51" s="462" t="s">
        <v>16</v>
      </c>
      <c r="Z51" s="464"/>
      <c r="AA51" s="465"/>
      <c r="AB51" s="462" t="s">
        <v>16</v>
      </c>
      <c r="AC51" s="466"/>
      <c r="AD51" s="463"/>
      <c r="AE51" s="462" t="s">
        <v>16</v>
      </c>
      <c r="AF51" s="464"/>
      <c r="AG51" s="468"/>
      <c r="AH51" s="462" t="s">
        <v>16</v>
      </c>
      <c r="AI51" s="469"/>
      <c r="AJ51" s="469" t="s">
        <v>157</v>
      </c>
      <c r="AK51" s="470"/>
      <c r="AL51" s="471"/>
      <c r="AM51" s="462" t="s">
        <v>16</v>
      </c>
      <c r="AN51" s="469"/>
      <c r="AO51" s="469" t="s">
        <v>157</v>
      </c>
      <c r="AP51" s="470"/>
      <c r="AQ51" s="468"/>
      <c r="AR51" s="462" t="s">
        <v>16</v>
      </c>
      <c r="AS51" s="469"/>
      <c r="AT51" s="469" t="s">
        <v>157</v>
      </c>
      <c r="AU51" s="470"/>
      <c r="AV51" s="463"/>
      <c r="AW51" s="462"/>
      <c r="AX51" s="462"/>
      <c r="AY51" s="469"/>
      <c r="AZ51" s="472">
        <v>100</v>
      </c>
      <c r="BA51" s="465"/>
      <c r="BB51" s="462"/>
      <c r="BC51" s="462"/>
      <c r="BD51" s="469"/>
      <c r="BE51" s="472">
        <v>100</v>
      </c>
      <c r="BF51" s="475"/>
      <c r="BG51" s="462"/>
      <c r="BH51" s="462"/>
      <c r="BI51" s="469"/>
      <c r="BJ51" s="473">
        <v>100</v>
      </c>
    </row>
    <row r="52" spans="2:62" s="474" customFormat="1">
      <c r="B52" s="461"/>
      <c r="C52" s="297"/>
      <c r="D52" s="462"/>
      <c r="E52" s="462"/>
      <c r="F52" s="463"/>
      <c r="G52" s="462" t="s">
        <v>16</v>
      </c>
      <c r="H52" s="464"/>
      <c r="I52" s="465"/>
      <c r="J52" s="462" t="s">
        <v>16</v>
      </c>
      <c r="K52" s="466"/>
      <c r="L52" s="345"/>
      <c r="M52" s="462" t="s">
        <v>16</v>
      </c>
      <c r="N52" s="464"/>
      <c r="O52" s="1901">
        <v>0</v>
      </c>
      <c r="P52" s="462" t="s">
        <v>16</v>
      </c>
      <c r="Q52" s="1898">
        <v>8</v>
      </c>
      <c r="R52" s="345"/>
      <c r="S52" s="462" t="s">
        <v>16</v>
      </c>
      <c r="T52" s="466">
        <v>10</v>
      </c>
      <c r="U52" s="462" t="s">
        <v>157</v>
      </c>
      <c r="V52" s="462">
        <v>1000</v>
      </c>
      <c r="W52" s="467"/>
      <c r="X52" s="463"/>
      <c r="Y52" s="462" t="s">
        <v>16</v>
      </c>
      <c r="Z52" s="464"/>
      <c r="AA52" s="465"/>
      <c r="AB52" s="462" t="s">
        <v>16</v>
      </c>
      <c r="AC52" s="466"/>
      <c r="AD52" s="463"/>
      <c r="AE52" s="462" t="s">
        <v>16</v>
      </c>
      <c r="AF52" s="464"/>
      <c r="AG52" s="468"/>
      <c r="AH52" s="462" t="s">
        <v>16</v>
      </c>
      <c r="AI52" s="469"/>
      <c r="AJ52" s="469" t="s">
        <v>157</v>
      </c>
      <c r="AK52" s="470"/>
      <c r="AL52" s="471"/>
      <c r="AM52" s="462" t="s">
        <v>16</v>
      </c>
      <c r="AN52" s="469"/>
      <c r="AO52" s="469" t="s">
        <v>157</v>
      </c>
      <c r="AP52" s="470"/>
      <c r="AQ52" s="468"/>
      <c r="AR52" s="462" t="s">
        <v>16</v>
      </c>
      <c r="AS52" s="469"/>
      <c r="AT52" s="469" t="s">
        <v>157</v>
      </c>
      <c r="AU52" s="470"/>
      <c r="AV52" s="463"/>
      <c r="AW52" s="462"/>
      <c r="AX52" s="462"/>
      <c r="AY52" s="469"/>
      <c r="AZ52" s="472">
        <v>100</v>
      </c>
      <c r="BA52" s="465"/>
      <c r="BB52" s="462"/>
      <c r="BC52" s="462"/>
      <c r="BD52" s="469"/>
      <c r="BE52" s="472">
        <v>100</v>
      </c>
      <c r="BF52" s="475"/>
      <c r="BG52" s="462"/>
      <c r="BH52" s="462"/>
      <c r="BI52" s="469"/>
      <c r="BJ52" s="473">
        <v>100</v>
      </c>
    </row>
    <row r="53" spans="2:62" s="474" customFormat="1">
      <c r="B53" s="461"/>
      <c r="C53" s="297"/>
      <c r="D53" s="462"/>
      <c r="E53" s="462"/>
      <c r="F53" s="463"/>
      <c r="G53" s="462" t="s">
        <v>16</v>
      </c>
      <c r="H53" s="464"/>
      <c r="I53" s="465"/>
      <c r="J53" s="462" t="s">
        <v>16</v>
      </c>
      <c r="K53" s="466"/>
      <c r="L53" s="345"/>
      <c r="M53" s="462" t="s">
        <v>16</v>
      </c>
      <c r="N53" s="464"/>
      <c r="O53" s="1901">
        <v>0</v>
      </c>
      <c r="P53" s="462" t="s">
        <v>16</v>
      </c>
      <c r="Q53" s="1898">
        <v>8</v>
      </c>
      <c r="R53" s="345"/>
      <c r="S53" s="462" t="s">
        <v>16</v>
      </c>
      <c r="T53" s="466">
        <v>10</v>
      </c>
      <c r="U53" s="462" t="s">
        <v>157</v>
      </c>
      <c r="V53" s="462">
        <v>1000</v>
      </c>
      <c r="W53" s="467"/>
      <c r="X53" s="463"/>
      <c r="Y53" s="462" t="s">
        <v>16</v>
      </c>
      <c r="Z53" s="464"/>
      <c r="AA53" s="465"/>
      <c r="AB53" s="462" t="s">
        <v>16</v>
      </c>
      <c r="AC53" s="466"/>
      <c r="AD53" s="463"/>
      <c r="AE53" s="462" t="s">
        <v>16</v>
      </c>
      <c r="AF53" s="464"/>
      <c r="AG53" s="468"/>
      <c r="AH53" s="462" t="s">
        <v>16</v>
      </c>
      <c r="AI53" s="469"/>
      <c r="AJ53" s="469" t="s">
        <v>157</v>
      </c>
      <c r="AK53" s="470"/>
      <c r="AL53" s="471"/>
      <c r="AM53" s="462" t="s">
        <v>16</v>
      </c>
      <c r="AN53" s="469"/>
      <c r="AO53" s="469" t="s">
        <v>157</v>
      </c>
      <c r="AP53" s="470"/>
      <c r="AQ53" s="468"/>
      <c r="AR53" s="462" t="s">
        <v>16</v>
      </c>
      <c r="AS53" s="469"/>
      <c r="AT53" s="469" t="s">
        <v>157</v>
      </c>
      <c r="AU53" s="470"/>
      <c r="AV53" s="463"/>
      <c r="AW53" s="462"/>
      <c r="AX53" s="462"/>
      <c r="AY53" s="469"/>
      <c r="AZ53" s="472">
        <v>100</v>
      </c>
      <c r="BA53" s="465"/>
      <c r="BB53" s="462"/>
      <c r="BC53" s="462"/>
      <c r="BD53" s="469"/>
      <c r="BE53" s="472">
        <v>100</v>
      </c>
      <c r="BF53" s="475"/>
      <c r="BG53" s="462"/>
      <c r="BH53" s="462"/>
      <c r="BI53" s="469"/>
      <c r="BJ53" s="473">
        <v>100</v>
      </c>
    </row>
    <row r="54" spans="2:62" s="474" customFormat="1">
      <c r="B54" s="461"/>
      <c r="C54" s="297"/>
      <c r="D54" s="462"/>
      <c r="E54" s="462"/>
      <c r="F54" s="463"/>
      <c r="G54" s="462" t="s">
        <v>16</v>
      </c>
      <c r="H54" s="464"/>
      <c r="I54" s="465"/>
      <c r="J54" s="462" t="s">
        <v>16</v>
      </c>
      <c r="K54" s="466"/>
      <c r="L54" s="345"/>
      <c r="M54" s="462" t="s">
        <v>16</v>
      </c>
      <c r="N54" s="464"/>
      <c r="O54" s="1901">
        <v>0</v>
      </c>
      <c r="P54" s="462" t="s">
        <v>16</v>
      </c>
      <c r="Q54" s="1898">
        <v>8</v>
      </c>
      <c r="R54" s="345"/>
      <c r="S54" s="462" t="s">
        <v>16</v>
      </c>
      <c r="T54" s="466">
        <v>10</v>
      </c>
      <c r="U54" s="462" t="s">
        <v>157</v>
      </c>
      <c r="V54" s="462">
        <v>1000</v>
      </c>
      <c r="W54" s="467"/>
      <c r="X54" s="463"/>
      <c r="Y54" s="462" t="s">
        <v>16</v>
      </c>
      <c r="Z54" s="464"/>
      <c r="AA54" s="465"/>
      <c r="AB54" s="462" t="s">
        <v>16</v>
      </c>
      <c r="AC54" s="466"/>
      <c r="AD54" s="463"/>
      <c r="AE54" s="462" t="s">
        <v>16</v>
      </c>
      <c r="AF54" s="464"/>
      <c r="AG54" s="468"/>
      <c r="AH54" s="462" t="s">
        <v>16</v>
      </c>
      <c r="AI54" s="469"/>
      <c r="AJ54" s="469" t="s">
        <v>157</v>
      </c>
      <c r="AK54" s="470"/>
      <c r="AL54" s="471"/>
      <c r="AM54" s="462" t="s">
        <v>16</v>
      </c>
      <c r="AN54" s="469"/>
      <c r="AO54" s="469" t="s">
        <v>157</v>
      </c>
      <c r="AP54" s="470"/>
      <c r="AQ54" s="468"/>
      <c r="AR54" s="462" t="s">
        <v>16</v>
      </c>
      <c r="AS54" s="469"/>
      <c r="AT54" s="469" t="s">
        <v>157</v>
      </c>
      <c r="AU54" s="470"/>
      <c r="AV54" s="463"/>
      <c r="AW54" s="462"/>
      <c r="AX54" s="462"/>
      <c r="AY54" s="469"/>
      <c r="AZ54" s="472">
        <v>100</v>
      </c>
      <c r="BA54" s="465"/>
      <c r="BB54" s="462"/>
      <c r="BC54" s="462"/>
      <c r="BD54" s="469"/>
      <c r="BE54" s="472">
        <v>100</v>
      </c>
      <c r="BF54" s="475"/>
      <c r="BG54" s="462"/>
      <c r="BH54" s="462"/>
      <c r="BI54" s="469"/>
      <c r="BJ54" s="473">
        <v>100</v>
      </c>
    </row>
    <row r="55" spans="2:62" s="474" customFormat="1" ht="13.5" customHeight="1">
      <c r="B55" s="461"/>
      <c r="C55" s="297"/>
      <c r="D55" s="462"/>
      <c r="E55" s="462"/>
      <c r="F55" s="463"/>
      <c r="G55" s="462" t="s">
        <v>16</v>
      </c>
      <c r="H55" s="464"/>
      <c r="I55" s="465"/>
      <c r="J55" s="462" t="s">
        <v>16</v>
      </c>
      <c r="K55" s="466"/>
      <c r="L55" s="345"/>
      <c r="M55" s="462" t="s">
        <v>16</v>
      </c>
      <c r="N55" s="464"/>
      <c r="O55" s="1901">
        <v>0</v>
      </c>
      <c r="P55" s="462" t="s">
        <v>16</v>
      </c>
      <c r="Q55" s="1898">
        <v>8</v>
      </c>
      <c r="R55" s="345"/>
      <c r="S55" s="462" t="s">
        <v>16</v>
      </c>
      <c r="T55" s="466">
        <v>10</v>
      </c>
      <c r="U55" s="462" t="s">
        <v>157</v>
      </c>
      <c r="V55" s="462">
        <v>1000</v>
      </c>
      <c r="W55" s="467"/>
      <c r="X55" s="463"/>
      <c r="Y55" s="462" t="s">
        <v>16</v>
      </c>
      <c r="Z55" s="464"/>
      <c r="AA55" s="465"/>
      <c r="AB55" s="462" t="s">
        <v>16</v>
      </c>
      <c r="AC55" s="466"/>
      <c r="AD55" s="463"/>
      <c r="AE55" s="462" t="s">
        <v>16</v>
      </c>
      <c r="AF55" s="464"/>
      <c r="AG55" s="468"/>
      <c r="AH55" s="462" t="s">
        <v>16</v>
      </c>
      <c r="AI55" s="469"/>
      <c r="AJ55" s="469" t="s">
        <v>157</v>
      </c>
      <c r="AK55" s="470"/>
      <c r="AL55" s="471"/>
      <c r="AM55" s="462" t="s">
        <v>16</v>
      </c>
      <c r="AN55" s="469"/>
      <c r="AO55" s="469" t="s">
        <v>157</v>
      </c>
      <c r="AP55" s="470"/>
      <c r="AQ55" s="468"/>
      <c r="AR55" s="462" t="s">
        <v>16</v>
      </c>
      <c r="AS55" s="469"/>
      <c r="AT55" s="469" t="s">
        <v>157</v>
      </c>
      <c r="AU55" s="470"/>
      <c r="AV55" s="463"/>
      <c r="AW55" s="462"/>
      <c r="AX55" s="462"/>
      <c r="AY55" s="469"/>
      <c r="AZ55" s="472">
        <v>100</v>
      </c>
      <c r="BA55" s="465"/>
      <c r="BB55" s="462"/>
      <c r="BC55" s="462"/>
      <c r="BD55" s="469"/>
      <c r="BE55" s="472">
        <v>100</v>
      </c>
      <c r="BF55" s="475"/>
      <c r="BG55" s="462"/>
      <c r="BH55" s="462"/>
      <c r="BI55" s="469"/>
      <c r="BJ55" s="473">
        <v>100</v>
      </c>
    </row>
    <row r="56" spans="2:62" s="474" customFormat="1">
      <c r="B56" s="461"/>
      <c r="C56" s="297"/>
      <c r="D56" s="462"/>
      <c r="E56" s="462"/>
      <c r="F56" s="463"/>
      <c r="G56" s="462" t="s">
        <v>16</v>
      </c>
      <c r="H56" s="464"/>
      <c r="I56" s="465"/>
      <c r="J56" s="462" t="s">
        <v>16</v>
      </c>
      <c r="K56" s="466"/>
      <c r="L56" s="345"/>
      <c r="M56" s="462" t="s">
        <v>16</v>
      </c>
      <c r="N56" s="464"/>
      <c r="O56" s="1901">
        <v>0</v>
      </c>
      <c r="P56" s="462" t="s">
        <v>16</v>
      </c>
      <c r="Q56" s="1898">
        <v>8</v>
      </c>
      <c r="R56" s="345"/>
      <c r="S56" s="462" t="s">
        <v>16</v>
      </c>
      <c r="T56" s="466">
        <v>10</v>
      </c>
      <c r="U56" s="462" t="s">
        <v>157</v>
      </c>
      <c r="V56" s="462">
        <v>1000</v>
      </c>
      <c r="W56" s="467"/>
      <c r="X56" s="463"/>
      <c r="Y56" s="462" t="s">
        <v>16</v>
      </c>
      <c r="Z56" s="464"/>
      <c r="AA56" s="465"/>
      <c r="AB56" s="462" t="s">
        <v>16</v>
      </c>
      <c r="AC56" s="466"/>
      <c r="AD56" s="463"/>
      <c r="AE56" s="462" t="s">
        <v>16</v>
      </c>
      <c r="AF56" s="464"/>
      <c r="AG56" s="468"/>
      <c r="AH56" s="462" t="s">
        <v>16</v>
      </c>
      <c r="AI56" s="469"/>
      <c r="AJ56" s="469" t="s">
        <v>157</v>
      </c>
      <c r="AK56" s="470"/>
      <c r="AL56" s="471"/>
      <c r="AM56" s="462" t="s">
        <v>16</v>
      </c>
      <c r="AN56" s="469"/>
      <c r="AO56" s="469" t="s">
        <v>157</v>
      </c>
      <c r="AP56" s="470"/>
      <c r="AQ56" s="468"/>
      <c r="AR56" s="462" t="s">
        <v>16</v>
      </c>
      <c r="AS56" s="469"/>
      <c r="AT56" s="469" t="s">
        <v>157</v>
      </c>
      <c r="AU56" s="470"/>
      <c r="AV56" s="463"/>
      <c r="AW56" s="462"/>
      <c r="AX56" s="462"/>
      <c r="AY56" s="469"/>
      <c r="AZ56" s="472">
        <v>100</v>
      </c>
      <c r="BA56" s="465"/>
      <c r="BB56" s="462"/>
      <c r="BC56" s="462"/>
      <c r="BD56" s="469"/>
      <c r="BE56" s="472">
        <v>100</v>
      </c>
      <c r="BF56" s="475"/>
      <c r="BG56" s="462"/>
      <c r="BH56" s="462"/>
      <c r="BI56" s="469"/>
      <c r="BJ56" s="473">
        <v>100</v>
      </c>
    </row>
    <row r="57" spans="2:62" s="474" customFormat="1">
      <c r="B57" s="461"/>
      <c r="C57" s="297"/>
      <c r="D57" s="462"/>
      <c r="E57" s="462"/>
      <c r="F57" s="463"/>
      <c r="G57" s="462" t="s">
        <v>16</v>
      </c>
      <c r="H57" s="464"/>
      <c r="I57" s="465"/>
      <c r="J57" s="462" t="s">
        <v>16</v>
      </c>
      <c r="K57" s="466"/>
      <c r="L57" s="345"/>
      <c r="M57" s="462" t="s">
        <v>16</v>
      </c>
      <c r="N57" s="464"/>
      <c r="O57" s="1901">
        <v>0</v>
      </c>
      <c r="P57" s="462" t="s">
        <v>16</v>
      </c>
      <c r="Q57" s="1898">
        <v>8</v>
      </c>
      <c r="R57" s="345"/>
      <c r="S57" s="462" t="s">
        <v>16</v>
      </c>
      <c r="T57" s="466">
        <v>10</v>
      </c>
      <c r="U57" s="462" t="s">
        <v>157</v>
      </c>
      <c r="V57" s="462">
        <v>1000</v>
      </c>
      <c r="W57" s="467"/>
      <c r="X57" s="463"/>
      <c r="Y57" s="462" t="s">
        <v>16</v>
      </c>
      <c r="Z57" s="464"/>
      <c r="AA57" s="465"/>
      <c r="AB57" s="462" t="s">
        <v>16</v>
      </c>
      <c r="AC57" s="466"/>
      <c r="AD57" s="463"/>
      <c r="AE57" s="462" t="s">
        <v>16</v>
      </c>
      <c r="AF57" s="464"/>
      <c r="AG57" s="468"/>
      <c r="AH57" s="462" t="s">
        <v>16</v>
      </c>
      <c r="AI57" s="469"/>
      <c r="AJ57" s="469" t="s">
        <v>157</v>
      </c>
      <c r="AK57" s="470"/>
      <c r="AL57" s="471"/>
      <c r="AM57" s="462" t="s">
        <v>16</v>
      </c>
      <c r="AN57" s="469"/>
      <c r="AO57" s="469" t="s">
        <v>157</v>
      </c>
      <c r="AP57" s="470"/>
      <c r="AQ57" s="468"/>
      <c r="AR57" s="462" t="s">
        <v>16</v>
      </c>
      <c r="AS57" s="469"/>
      <c r="AT57" s="469" t="s">
        <v>157</v>
      </c>
      <c r="AU57" s="470"/>
      <c r="AV57" s="463"/>
      <c r="AW57" s="462"/>
      <c r="AX57" s="462"/>
      <c r="AY57" s="469"/>
      <c r="AZ57" s="472">
        <v>100</v>
      </c>
      <c r="BA57" s="465"/>
      <c r="BB57" s="462"/>
      <c r="BC57" s="462"/>
      <c r="BD57" s="469"/>
      <c r="BE57" s="472">
        <v>100</v>
      </c>
      <c r="BF57" s="475"/>
      <c r="BG57" s="462"/>
      <c r="BH57" s="462"/>
      <c r="BI57" s="469"/>
      <c r="BJ57" s="473">
        <v>100</v>
      </c>
    </row>
    <row r="58" spans="2:62" s="474" customFormat="1">
      <c r="B58" s="461"/>
      <c r="C58" s="297"/>
      <c r="D58" s="462"/>
      <c r="E58" s="462"/>
      <c r="F58" s="463"/>
      <c r="G58" s="462" t="s">
        <v>16</v>
      </c>
      <c r="H58" s="464"/>
      <c r="I58" s="465"/>
      <c r="J58" s="462" t="s">
        <v>16</v>
      </c>
      <c r="K58" s="466"/>
      <c r="L58" s="345"/>
      <c r="M58" s="462" t="s">
        <v>16</v>
      </c>
      <c r="N58" s="464"/>
      <c r="O58" s="1901">
        <v>0</v>
      </c>
      <c r="P58" s="462" t="s">
        <v>16</v>
      </c>
      <c r="Q58" s="1898">
        <v>8</v>
      </c>
      <c r="R58" s="345"/>
      <c r="S58" s="462" t="s">
        <v>16</v>
      </c>
      <c r="T58" s="466">
        <v>10</v>
      </c>
      <c r="U58" s="462" t="s">
        <v>157</v>
      </c>
      <c r="V58" s="462">
        <v>1000</v>
      </c>
      <c r="W58" s="467"/>
      <c r="X58" s="463"/>
      <c r="Y58" s="462" t="s">
        <v>16</v>
      </c>
      <c r="Z58" s="464"/>
      <c r="AA58" s="465"/>
      <c r="AB58" s="462" t="s">
        <v>16</v>
      </c>
      <c r="AC58" s="466"/>
      <c r="AD58" s="463"/>
      <c r="AE58" s="462" t="s">
        <v>16</v>
      </c>
      <c r="AF58" s="464"/>
      <c r="AG58" s="468"/>
      <c r="AH58" s="462" t="s">
        <v>16</v>
      </c>
      <c r="AI58" s="469"/>
      <c r="AJ58" s="469" t="s">
        <v>157</v>
      </c>
      <c r="AK58" s="470"/>
      <c r="AL58" s="471"/>
      <c r="AM58" s="462" t="s">
        <v>16</v>
      </c>
      <c r="AN58" s="469"/>
      <c r="AO58" s="469" t="s">
        <v>157</v>
      </c>
      <c r="AP58" s="470"/>
      <c r="AQ58" s="468"/>
      <c r="AR58" s="462" t="s">
        <v>16</v>
      </c>
      <c r="AS58" s="469"/>
      <c r="AT58" s="469" t="s">
        <v>157</v>
      </c>
      <c r="AU58" s="470"/>
      <c r="AV58" s="463"/>
      <c r="AW58" s="462"/>
      <c r="AX58" s="462"/>
      <c r="AY58" s="469"/>
      <c r="AZ58" s="472">
        <v>100</v>
      </c>
      <c r="BA58" s="465"/>
      <c r="BB58" s="462"/>
      <c r="BC58" s="462"/>
      <c r="BD58" s="469"/>
      <c r="BE58" s="472">
        <v>100</v>
      </c>
      <c r="BF58" s="475"/>
      <c r="BG58" s="462"/>
      <c r="BH58" s="462"/>
      <c r="BI58" s="469"/>
      <c r="BJ58" s="473">
        <v>100</v>
      </c>
    </row>
    <row r="59" spans="2:62" s="474" customFormat="1" ht="13.5" customHeight="1">
      <c r="B59" s="461"/>
      <c r="C59" s="297"/>
      <c r="D59" s="462"/>
      <c r="E59" s="462"/>
      <c r="F59" s="463"/>
      <c r="G59" s="462" t="s">
        <v>16</v>
      </c>
      <c r="H59" s="464"/>
      <c r="I59" s="465"/>
      <c r="J59" s="462" t="s">
        <v>16</v>
      </c>
      <c r="K59" s="466"/>
      <c r="L59" s="345"/>
      <c r="M59" s="462" t="s">
        <v>16</v>
      </c>
      <c r="N59" s="464"/>
      <c r="O59" s="1901">
        <v>0</v>
      </c>
      <c r="P59" s="462" t="s">
        <v>16</v>
      </c>
      <c r="Q59" s="1898">
        <v>8</v>
      </c>
      <c r="R59" s="345"/>
      <c r="S59" s="462" t="s">
        <v>16</v>
      </c>
      <c r="T59" s="466">
        <v>10</v>
      </c>
      <c r="U59" s="462" t="s">
        <v>157</v>
      </c>
      <c r="V59" s="462">
        <v>1000</v>
      </c>
      <c r="W59" s="467"/>
      <c r="X59" s="463"/>
      <c r="Y59" s="462" t="s">
        <v>16</v>
      </c>
      <c r="Z59" s="464"/>
      <c r="AA59" s="465"/>
      <c r="AB59" s="462" t="s">
        <v>16</v>
      </c>
      <c r="AC59" s="466"/>
      <c r="AD59" s="463"/>
      <c r="AE59" s="462" t="s">
        <v>16</v>
      </c>
      <c r="AF59" s="464"/>
      <c r="AG59" s="468"/>
      <c r="AH59" s="462" t="s">
        <v>16</v>
      </c>
      <c r="AI59" s="469"/>
      <c r="AJ59" s="469" t="s">
        <v>157</v>
      </c>
      <c r="AK59" s="470"/>
      <c r="AL59" s="471"/>
      <c r="AM59" s="462" t="s">
        <v>16</v>
      </c>
      <c r="AN59" s="469"/>
      <c r="AO59" s="469" t="s">
        <v>157</v>
      </c>
      <c r="AP59" s="470"/>
      <c r="AQ59" s="468"/>
      <c r="AR59" s="462" t="s">
        <v>16</v>
      </c>
      <c r="AS59" s="469"/>
      <c r="AT59" s="469" t="s">
        <v>157</v>
      </c>
      <c r="AU59" s="470"/>
      <c r="AV59" s="463"/>
      <c r="AW59" s="462"/>
      <c r="AX59" s="462"/>
      <c r="AY59" s="469"/>
      <c r="AZ59" s="472">
        <v>100</v>
      </c>
      <c r="BA59" s="465"/>
      <c r="BB59" s="462"/>
      <c r="BC59" s="462"/>
      <c r="BD59" s="469"/>
      <c r="BE59" s="472">
        <v>100</v>
      </c>
      <c r="BF59" s="475"/>
      <c r="BG59" s="462"/>
      <c r="BH59" s="462"/>
      <c r="BI59" s="469"/>
      <c r="BJ59" s="473">
        <v>100</v>
      </c>
    </row>
    <row r="60" spans="2:62" s="474" customFormat="1">
      <c r="B60" s="461"/>
      <c r="C60" s="297"/>
      <c r="D60" s="462"/>
      <c r="E60" s="462"/>
      <c r="F60" s="463"/>
      <c r="G60" s="462" t="s">
        <v>16</v>
      </c>
      <c r="H60" s="464"/>
      <c r="I60" s="465"/>
      <c r="J60" s="462" t="s">
        <v>16</v>
      </c>
      <c r="K60" s="466"/>
      <c r="L60" s="345"/>
      <c r="M60" s="462" t="s">
        <v>16</v>
      </c>
      <c r="N60" s="464"/>
      <c r="O60" s="1901">
        <v>0</v>
      </c>
      <c r="P60" s="462" t="s">
        <v>16</v>
      </c>
      <c r="Q60" s="1898">
        <v>8</v>
      </c>
      <c r="R60" s="345"/>
      <c r="S60" s="462" t="s">
        <v>16</v>
      </c>
      <c r="T60" s="466">
        <v>10</v>
      </c>
      <c r="U60" s="462" t="s">
        <v>157</v>
      </c>
      <c r="V60" s="462">
        <v>1000</v>
      </c>
      <c r="W60" s="467"/>
      <c r="X60" s="463"/>
      <c r="Y60" s="462" t="s">
        <v>16</v>
      </c>
      <c r="Z60" s="464"/>
      <c r="AA60" s="465"/>
      <c r="AB60" s="462" t="s">
        <v>16</v>
      </c>
      <c r="AC60" s="466"/>
      <c r="AD60" s="463"/>
      <c r="AE60" s="462" t="s">
        <v>16</v>
      </c>
      <c r="AF60" s="464"/>
      <c r="AG60" s="468"/>
      <c r="AH60" s="462" t="s">
        <v>16</v>
      </c>
      <c r="AI60" s="469"/>
      <c r="AJ60" s="469" t="s">
        <v>157</v>
      </c>
      <c r="AK60" s="470"/>
      <c r="AL60" s="471"/>
      <c r="AM60" s="462" t="s">
        <v>16</v>
      </c>
      <c r="AN60" s="469"/>
      <c r="AO60" s="469" t="s">
        <v>157</v>
      </c>
      <c r="AP60" s="470"/>
      <c r="AQ60" s="468"/>
      <c r="AR60" s="462" t="s">
        <v>16</v>
      </c>
      <c r="AS60" s="469"/>
      <c r="AT60" s="469" t="s">
        <v>157</v>
      </c>
      <c r="AU60" s="470"/>
      <c r="AV60" s="463"/>
      <c r="AW60" s="462"/>
      <c r="AX60" s="462"/>
      <c r="AY60" s="469"/>
      <c r="AZ60" s="472">
        <v>100</v>
      </c>
      <c r="BA60" s="465"/>
      <c r="BB60" s="462"/>
      <c r="BC60" s="462"/>
      <c r="BD60" s="469"/>
      <c r="BE60" s="472">
        <v>100</v>
      </c>
      <c r="BF60" s="475"/>
      <c r="BG60" s="462"/>
      <c r="BH60" s="462"/>
      <c r="BI60" s="469"/>
      <c r="BJ60" s="473">
        <v>100</v>
      </c>
    </row>
    <row r="61" spans="2:62" s="474" customFormat="1">
      <c r="B61" s="461"/>
      <c r="C61" s="297"/>
      <c r="D61" s="462"/>
      <c r="E61" s="462"/>
      <c r="F61" s="463"/>
      <c r="G61" s="462" t="s">
        <v>16</v>
      </c>
      <c r="H61" s="464"/>
      <c r="I61" s="465"/>
      <c r="J61" s="462" t="s">
        <v>16</v>
      </c>
      <c r="K61" s="466"/>
      <c r="L61" s="345"/>
      <c r="M61" s="462" t="s">
        <v>16</v>
      </c>
      <c r="N61" s="464"/>
      <c r="O61" s="1901">
        <v>0</v>
      </c>
      <c r="P61" s="462" t="s">
        <v>16</v>
      </c>
      <c r="Q61" s="1898">
        <v>8</v>
      </c>
      <c r="R61" s="345"/>
      <c r="S61" s="462" t="s">
        <v>16</v>
      </c>
      <c r="T61" s="466">
        <v>10</v>
      </c>
      <c r="U61" s="462" t="s">
        <v>157</v>
      </c>
      <c r="V61" s="462">
        <v>1000</v>
      </c>
      <c r="W61" s="467"/>
      <c r="X61" s="463"/>
      <c r="Y61" s="462" t="s">
        <v>16</v>
      </c>
      <c r="Z61" s="464"/>
      <c r="AA61" s="465"/>
      <c r="AB61" s="462" t="s">
        <v>16</v>
      </c>
      <c r="AC61" s="466"/>
      <c r="AD61" s="463"/>
      <c r="AE61" s="462" t="s">
        <v>16</v>
      </c>
      <c r="AF61" s="464"/>
      <c r="AG61" s="468"/>
      <c r="AH61" s="462" t="s">
        <v>16</v>
      </c>
      <c r="AI61" s="469"/>
      <c r="AJ61" s="469" t="s">
        <v>157</v>
      </c>
      <c r="AK61" s="470"/>
      <c r="AL61" s="471"/>
      <c r="AM61" s="462" t="s">
        <v>16</v>
      </c>
      <c r="AN61" s="469"/>
      <c r="AO61" s="469" t="s">
        <v>157</v>
      </c>
      <c r="AP61" s="470"/>
      <c r="AQ61" s="468"/>
      <c r="AR61" s="462" t="s">
        <v>16</v>
      </c>
      <c r="AS61" s="469"/>
      <c r="AT61" s="469" t="s">
        <v>157</v>
      </c>
      <c r="AU61" s="470"/>
      <c r="AV61" s="463"/>
      <c r="AW61" s="462"/>
      <c r="AX61" s="462"/>
      <c r="AY61" s="469"/>
      <c r="AZ61" s="472">
        <v>100</v>
      </c>
      <c r="BA61" s="465"/>
      <c r="BB61" s="462"/>
      <c r="BC61" s="462"/>
      <c r="BD61" s="469"/>
      <c r="BE61" s="472">
        <v>100</v>
      </c>
      <c r="BF61" s="475"/>
      <c r="BG61" s="462"/>
      <c r="BH61" s="462"/>
      <c r="BI61" s="469"/>
      <c r="BJ61" s="473">
        <v>100</v>
      </c>
    </row>
    <row r="62" spans="2:62" s="474" customFormat="1">
      <c r="B62" s="461"/>
      <c r="C62" s="297"/>
      <c r="D62" s="462"/>
      <c r="E62" s="462"/>
      <c r="F62" s="463"/>
      <c r="G62" s="462" t="s">
        <v>16</v>
      </c>
      <c r="H62" s="464"/>
      <c r="I62" s="465"/>
      <c r="J62" s="462" t="s">
        <v>16</v>
      </c>
      <c r="K62" s="466"/>
      <c r="L62" s="345"/>
      <c r="M62" s="462" t="s">
        <v>16</v>
      </c>
      <c r="N62" s="464"/>
      <c r="O62" s="1901">
        <v>0</v>
      </c>
      <c r="P62" s="462" t="s">
        <v>16</v>
      </c>
      <c r="Q62" s="1898">
        <v>8</v>
      </c>
      <c r="R62" s="345"/>
      <c r="S62" s="462" t="s">
        <v>16</v>
      </c>
      <c r="T62" s="466">
        <v>10</v>
      </c>
      <c r="U62" s="462" t="s">
        <v>157</v>
      </c>
      <c r="V62" s="462">
        <v>1000</v>
      </c>
      <c r="W62" s="467"/>
      <c r="X62" s="463"/>
      <c r="Y62" s="462" t="s">
        <v>16</v>
      </c>
      <c r="Z62" s="464"/>
      <c r="AA62" s="465"/>
      <c r="AB62" s="462" t="s">
        <v>16</v>
      </c>
      <c r="AC62" s="466"/>
      <c r="AD62" s="463"/>
      <c r="AE62" s="462" t="s">
        <v>16</v>
      </c>
      <c r="AF62" s="464"/>
      <c r="AG62" s="468"/>
      <c r="AH62" s="462" t="s">
        <v>16</v>
      </c>
      <c r="AI62" s="469"/>
      <c r="AJ62" s="469" t="s">
        <v>157</v>
      </c>
      <c r="AK62" s="470"/>
      <c r="AL62" s="471"/>
      <c r="AM62" s="462" t="s">
        <v>16</v>
      </c>
      <c r="AN62" s="469"/>
      <c r="AO62" s="469" t="s">
        <v>157</v>
      </c>
      <c r="AP62" s="470"/>
      <c r="AQ62" s="468"/>
      <c r="AR62" s="462" t="s">
        <v>16</v>
      </c>
      <c r="AS62" s="469"/>
      <c r="AT62" s="469" t="s">
        <v>157</v>
      </c>
      <c r="AU62" s="470"/>
      <c r="AV62" s="463"/>
      <c r="AW62" s="462"/>
      <c r="AX62" s="462"/>
      <c r="AY62" s="469"/>
      <c r="AZ62" s="472">
        <v>100</v>
      </c>
      <c r="BA62" s="465"/>
      <c r="BB62" s="462"/>
      <c r="BC62" s="462"/>
      <c r="BD62" s="469"/>
      <c r="BE62" s="472">
        <v>100</v>
      </c>
      <c r="BF62" s="475"/>
      <c r="BG62" s="462"/>
      <c r="BH62" s="462"/>
      <c r="BI62" s="469"/>
      <c r="BJ62" s="473">
        <v>100</v>
      </c>
    </row>
    <row r="63" spans="2:62" s="474" customFormat="1" ht="13.5" customHeight="1">
      <c r="B63" s="461"/>
      <c r="C63" s="297"/>
      <c r="D63" s="462"/>
      <c r="E63" s="462"/>
      <c r="F63" s="463"/>
      <c r="G63" s="462" t="s">
        <v>16</v>
      </c>
      <c r="H63" s="464"/>
      <c r="I63" s="465"/>
      <c r="J63" s="462" t="s">
        <v>16</v>
      </c>
      <c r="K63" s="466"/>
      <c r="L63" s="345"/>
      <c r="M63" s="462" t="s">
        <v>16</v>
      </c>
      <c r="N63" s="464"/>
      <c r="O63" s="1901">
        <v>0</v>
      </c>
      <c r="P63" s="462" t="s">
        <v>16</v>
      </c>
      <c r="Q63" s="1898">
        <v>8</v>
      </c>
      <c r="R63" s="345"/>
      <c r="S63" s="462" t="s">
        <v>16</v>
      </c>
      <c r="T63" s="466">
        <v>10</v>
      </c>
      <c r="U63" s="462" t="s">
        <v>157</v>
      </c>
      <c r="V63" s="462">
        <v>1000</v>
      </c>
      <c r="W63" s="467"/>
      <c r="X63" s="463"/>
      <c r="Y63" s="462" t="s">
        <v>16</v>
      </c>
      <c r="Z63" s="464"/>
      <c r="AA63" s="465"/>
      <c r="AB63" s="462" t="s">
        <v>16</v>
      </c>
      <c r="AC63" s="466"/>
      <c r="AD63" s="463"/>
      <c r="AE63" s="462" t="s">
        <v>16</v>
      </c>
      <c r="AF63" s="464"/>
      <c r="AG63" s="468"/>
      <c r="AH63" s="462" t="s">
        <v>16</v>
      </c>
      <c r="AI63" s="469"/>
      <c r="AJ63" s="469" t="s">
        <v>157</v>
      </c>
      <c r="AK63" s="470"/>
      <c r="AL63" s="471"/>
      <c r="AM63" s="462" t="s">
        <v>16</v>
      </c>
      <c r="AN63" s="469"/>
      <c r="AO63" s="469" t="s">
        <v>157</v>
      </c>
      <c r="AP63" s="470"/>
      <c r="AQ63" s="468"/>
      <c r="AR63" s="462" t="s">
        <v>16</v>
      </c>
      <c r="AS63" s="469"/>
      <c r="AT63" s="469" t="s">
        <v>157</v>
      </c>
      <c r="AU63" s="470"/>
      <c r="AV63" s="463"/>
      <c r="AW63" s="462"/>
      <c r="AX63" s="462"/>
      <c r="AY63" s="469"/>
      <c r="AZ63" s="472">
        <v>100</v>
      </c>
      <c r="BA63" s="465"/>
      <c r="BB63" s="462"/>
      <c r="BC63" s="462"/>
      <c r="BD63" s="469"/>
      <c r="BE63" s="472">
        <v>100</v>
      </c>
      <c r="BF63" s="475"/>
      <c r="BG63" s="462"/>
      <c r="BH63" s="462"/>
      <c r="BI63" s="469"/>
      <c r="BJ63" s="473">
        <v>100</v>
      </c>
    </row>
    <row r="64" spans="2:62" s="474" customFormat="1">
      <c r="B64" s="461"/>
      <c r="C64" s="297"/>
      <c r="D64" s="462"/>
      <c r="E64" s="462"/>
      <c r="F64" s="463"/>
      <c r="G64" s="462" t="s">
        <v>16</v>
      </c>
      <c r="H64" s="464"/>
      <c r="I64" s="465"/>
      <c r="J64" s="462" t="s">
        <v>16</v>
      </c>
      <c r="K64" s="466"/>
      <c r="L64" s="345"/>
      <c r="M64" s="462" t="s">
        <v>16</v>
      </c>
      <c r="N64" s="464"/>
      <c r="O64" s="1901">
        <v>0</v>
      </c>
      <c r="P64" s="462" t="s">
        <v>16</v>
      </c>
      <c r="Q64" s="1898">
        <v>8</v>
      </c>
      <c r="R64" s="345"/>
      <c r="S64" s="462" t="s">
        <v>16</v>
      </c>
      <c r="T64" s="466">
        <v>10</v>
      </c>
      <c r="U64" s="462" t="s">
        <v>157</v>
      </c>
      <c r="V64" s="462">
        <v>1000</v>
      </c>
      <c r="W64" s="467"/>
      <c r="X64" s="463"/>
      <c r="Y64" s="462" t="s">
        <v>16</v>
      </c>
      <c r="Z64" s="464"/>
      <c r="AA64" s="465"/>
      <c r="AB64" s="462" t="s">
        <v>16</v>
      </c>
      <c r="AC64" s="466"/>
      <c r="AD64" s="463"/>
      <c r="AE64" s="462" t="s">
        <v>16</v>
      </c>
      <c r="AF64" s="464"/>
      <c r="AG64" s="468"/>
      <c r="AH64" s="462" t="s">
        <v>16</v>
      </c>
      <c r="AI64" s="469"/>
      <c r="AJ64" s="469" t="s">
        <v>157</v>
      </c>
      <c r="AK64" s="470"/>
      <c r="AL64" s="471"/>
      <c r="AM64" s="462" t="s">
        <v>16</v>
      </c>
      <c r="AN64" s="469"/>
      <c r="AO64" s="469" t="s">
        <v>157</v>
      </c>
      <c r="AP64" s="470"/>
      <c r="AQ64" s="468"/>
      <c r="AR64" s="462" t="s">
        <v>16</v>
      </c>
      <c r="AS64" s="469"/>
      <c r="AT64" s="469" t="s">
        <v>157</v>
      </c>
      <c r="AU64" s="470"/>
      <c r="AV64" s="463"/>
      <c r="AW64" s="462"/>
      <c r="AX64" s="462"/>
      <c r="AY64" s="469"/>
      <c r="AZ64" s="472">
        <v>100</v>
      </c>
      <c r="BA64" s="465"/>
      <c r="BB64" s="462"/>
      <c r="BC64" s="462"/>
      <c r="BD64" s="469"/>
      <c r="BE64" s="472">
        <v>100</v>
      </c>
      <c r="BF64" s="475"/>
      <c r="BG64" s="462"/>
      <c r="BH64" s="462"/>
      <c r="BI64" s="469"/>
      <c r="BJ64" s="473">
        <v>100</v>
      </c>
    </row>
    <row r="65" spans="2:62" s="474" customFormat="1">
      <c r="B65" s="461"/>
      <c r="C65" s="297"/>
      <c r="D65" s="462"/>
      <c r="E65" s="462"/>
      <c r="F65" s="463"/>
      <c r="G65" s="462" t="s">
        <v>16</v>
      </c>
      <c r="H65" s="464"/>
      <c r="I65" s="465"/>
      <c r="J65" s="462" t="s">
        <v>16</v>
      </c>
      <c r="K65" s="466"/>
      <c r="L65" s="345"/>
      <c r="M65" s="462" t="s">
        <v>16</v>
      </c>
      <c r="N65" s="464"/>
      <c r="O65" s="1901">
        <v>0</v>
      </c>
      <c r="P65" s="462" t="s">
        <v>16</v>
      </c>
      <c r="Q65" s="1898">
        <v>8</v>
      </c>
      <c r="R65" s="345"/>
      <c r="S65" s="462" t="s">
        <v>16</v>
      </c>
      <c r="T65" s="466">
        <v>10</v>
      </c>
      <c r="U65" s="462" t="s">
        <v>157</v>
      </c>
      <c r="V65" s="462">
        <v>1000</v>
      </c>
      <c r="W65" s="467"/>
      <c r="X65" s="463"/>
      <c r="Y65" s="462" t="s">
        <v>16</v>
      </c>
      <c r="Z65" s="464"/>
      <c r="AA65" s="465"/>
      <c r="AB65" s="462" t="s">
        <v>16</v>
      </c>
      <c r="AC65" s="466"/>
      <c r="AD65" s="463"/>
      <c r="AE65" s="462" t="s">
        <v>16</v>
      </c>
      <c r="AF65" s="464"/>
      <c r="AG65" s="468"/>
      <c r="AH65" s="462" t="s">
        <v>16</v>
      </c>
      <c r="AI65" s="469"/>
      <c r="AJ65" s="469" t="s">
        <v>157</v>
      </c>
      <c r="AK65" s="470"/>
      <c r="AL65" s="471"/>
      <c r="AM65" s="462" t="s">
        <v>16</v>
      </c>
      <c r="AN65" s="469"/>
      <c r="AO65" s="469" t="s">
        <v>157</v>
      </c>
      <c r="AP65" s="470"/>
      <c r="AQ65" s="468"/>
      <c r="AR65" s="462" t="s">
        <v>16</v>
      </c>
      <c r="AS65" s="469"/>
      <c r="AT65" s="469" t="s">
        <v>157</v>
      </c>
      <c r="AU65" s="470"/>
      <c r="AV65" s="463"/>
      <c r="AW65" s="462"/>
      <c r="AX65" s="462"/>
      <c r="AY65" s="469"/>
      <c r="AZ65" s="472">
        <v>100</v>
      </c>
      <c r="BA65" s="465"/>
      <c r="BB65" s="462"/>
      <c r="BC65" s="462"/>
      <c r="BD65" s="469"/>
      <c r="BE65" s="472">
        <v>100</v>
      </c>
      <c r="BF65" s="475"/>
      <c r="BG65" s="462"/>
      <c r="BH65" s="462"/>
      <c r="BI65" s="469"/>
      <c r="BJ65" s="473">
        <v>100</v>
      </c>
    </row>
    <row r="66" spans="2:62" s="474" customFormat="1">
      <c r="B66" s="461"/>
      <c r="C66" s="297"/>
      <c r="D66" s="462"/>
      <c r="E66" s="462"/>
      <c r="F66" s="463"/>
      <c r="G66" s="462" t="s">
        <v>16</v>
      </c>
      <c r="H66" s="464"/>
      <c r="I66" s="465"/>
      <c r="J66" s="462" t="s">
        <v>16</v>
      </c>
      <c r="K66" s="466"/>
      <c r="L66" s="345"/>
      <c r="M66" s="462" t="s">
        <v>16</v>
      </c>
      <c r="N66" s="464"/>
      <c r="O66" s="1901">
        <v>0</v>
      </c>
      <c r="P66" s="462" t="s">
        <v>16</v>
      </c>
      <c r="Q66" s="1898">
        <v>8</v>
      </c>
      <c r="R66" s="345"/>
      <c r="S66" s="462" t="s">
        <v>16</v>
      </c>
      <c r="T66" s="466">
        <v>10</v>
      </c>
      <c r="U66" s="462" t="s">
        <v>157</v>
      </c>
      <c r="V66" s="462">
        <v>1000</v>
      </c>
      <c r="W66" s="467"/>
      <c r="X66" s="463"/>
      <c r="Y66" s="462" t="s">
        <v>16</v>
      </c>
      <c r="Z66" s="464"/>
      <c r="AA66" s="465"/>
      <c r="AB66" s="462" t="s">
        <v>16</v>
      </c>
      <c r="AC66" s="466"/>
      <c r="AD66" s="463"/>
      <c r="AE66" s="462" t="s">
        <v>16</v>
      </c>
      <c r="AF66" s="464"/>
      <c r="AG66" s="468"/>
      <c r="AH66" s="462" t="s">
        <v>16</v>
      </c>
      <c r="AI66" s="469"/>
      <c r="AJ66" s="469" t="s">
        <v>157</v>
      </c>
      <c r="AK66" s="470"/>
      <c r="AL66" s="471"/>
      <c r="AM66" s="462" t="s">
        <v>16</v>
      </c>
      <c r="AN66" s="469"/>
      <c r="AO66" s="469" t="s">
        <v>157</v>
      </c>
      <c r="AP66" s="470"/>
      <c r="AQ66" s="468"/>
      <c r="AR66" s="462" t="s">
        <v>16</v>
      </c>
      <c r="AS66" s="469"/>
      <c r="AT66" s="469" t="s">
        <v>157</v>
      </c>
      <c r="AU66" s="470"/>
      <c r="AV66" s="463"/>
      <c r="AW66" s="462"/>
      <c r="AX66" s="462"/>
      <c r="AY66" s="469"/>
      <c r="AZ66" s="472">
        <v>100</v>
      </c>
      <c r="BA66" s="465"/>
      <c r="BB66" s="462"/>
      <c r="BC66" s="462"/>
      <c r="BD66" s="469"/>
      <c r="BE66" s="472">
        <v>100</v>
      </c>
      <c r="BF66" s="475"/>
      <c r="BG66" s="462"/>
      <c r="BH66" s="462"/>
      <c r="BI66" s="469"/>
      <c r="BJ66" s="473">
        <v>100</v>
      </c>
    </row>
    <row r="67" spans="2:62" s="474" customFormat="1" ht="13.5" customHeight="1">
      <c r="B67" s="461"/>
      <c r="C67" s="297"/>
      <c r="D67" s="462"/>
      <c r="E67" s="462"/>
      <c r="F67" s="463"/>
      <c r="G67" s="462" t="s">
        <v>16</v>
      </c>
      <c r="H67" s="464"/>
      <c r="I67" s="465"/>
      <c r="J67" s="462" t="s">
        <v>16</v>
      </c>
      <c r="K67" s="466"/>
      <c r="L67" s="345"/>
      <c r="M67" s="462" t="s">
        <v>16</v>
      </c>
      <c r="N67" s="464"/>
      <c r="O67" s="1901">
        <v>0</v>
      </c>
      <c r="P67" s="462" t="s">
        <v>16</v>
      </c>
      <c r="Q67" s="1898">
        <v>8</v>
      </c>
      <c r="R67" s="345"/>
      <c r="S67" s="462" t="s">
        <v>16</v>
      </c>
      <c r="T67" s="466">
        <v>10</v>
      </c>
      <c r="U67" s="462" t="s">
        <v>157</v>
      </c>
      <c r="V67" s="462">
        <v>1000</v>
      </c>
      <c r="W67" s="467"/>
      <c r="X67" s="463"/>
      <c r="Y67" s="462" t="s">
        <v>16</v>
      </c>
      <c r="Z67" s="464"/>
      <c r="AA67" s="465"/>
      <c r="AB67" s="462" t="s">
        <v>16</v>
      </c>
      <c r="AC67" s="466"/>
      <c r="AD67" s="463"/>
      <c r="AE67" s="462" t="s">
        <v>16</v>
      </c>
      <c r="AF67" s="464"/>
      <c r="AG67" s="468"/>
      <c r="AH67" s="462" t="s">
        <v>16</v>
      </c>
      <c r="AI67" s="469"/>
      <c r="AJ67" s="469" t="s">
        <v>157</v>
      </c>
      <c r="AK67" s="470"/>
      <c r="AL67" s="471"/>
      <c r="AM67" s="462" t="s">
        <v>16</v>
      </c>
      <c r="AN67" s="469"/>
      <c r="AO67" s="469" t="s">
        <v>157</v>
      </c>
      <c r="AP67" s="470"/>
      <c r="AQ67" s="468"/>
      <c r="AR67" s="462" t="s">
        <v>16</v>
      </c>
      <c r="AS67" s="469"/>
      <c r="AT67" s="469" t="s">
        <v>157</v>
      </c>
      <c r="AU67" s="470"/>
      <c r="AV67" s="463"/>
      <c r="AW67" s="462"/>
      <c r="AX67" s="462"/>
      <c r="AY67" s="469"/>
      <c r="AZ67" s="472">
        <v>100</v>
      </c>
      <c r="BA67" s="465"/>
      <c r="BB67" s="462"/>
      <c r="BC67" s="462"/>
      <c r="BD67" s="469"/>
      <c r="BE67" s="472">
        <v>100</v>
      </c>
      <c r="BF67" s="475"/>
      <c r="BG67" s="462"/>
      <c r="BH67" s="462"/>
      <c r="BI67" s="469"/>
      <c r="BJ67" s="473">
        <v>100</v>
      </c>
    </row>
    <row r="68" spans="2:62" s="474" customFormat="1">
      <c r="B68" s="461"/>
      <c r="C68" s="297"/>
      <c r="D68" s="462"/>
      <c r="E68" s="462"/>
      <c r="F68" s="463"/>
      <c r="G68" s="462" t="s">
        <v>16</v>
      </c>
      <c r="H68" s="464"/>
      <c r="I68" s="465"/>
      <c r="J68" s="462" t="s">
        <v>16</v>
      </c>
      <c r="K68" s="466"/>
      <c r="L68" s="345"/>
      <c r="M68" s="462" t="s">
        <v>16</v>
      </c>
      <c r="N68" s="464"/>
      <c r="O68" s="1901">
        <v>0</v>
      </c>
      <c r="P68" s="462" t="s">
        <v>16</v>
      </c>
      <c r="Q68" s="1898">
        <v>8</v>
      </c>
      <c r="R68" s="345"/>
      <c r="S68" s="462" t="s">
        <v>16</v>
      </c>
      <c r="T68" s="466">
        <v>10</v>
      </c>
      <c r="U68" s="462" t="s">
        <v>157</v>
      </c>
      <c r="V68" s="462">
        <v>1000</v>
      </c>
      <c r="W68" s="467"/>
      <c r="X68" s="463"/>
      <c r="Y68" s="462" t="s">
        <v>16</v>
      </c>
      <c r="Z68" s="464"/>
      <c r="AA68" s="465"/>
      <c r="AB68" s="462" t="s">
        <v>16</v>
      </c>
      <c r="AC68" s="466"/>
      <c r="AD68" s="463"/>
      <c r="AE68" s="462" t="s">
        <v>16</v>
      </c>
      <c r="AF68" s="464"/>
      <c r="AG68" s="468"/>
      <c r="AH68" s="462" t="s">
        <v>16</v>
      </c>
      <c r="AI68" s="469"/>
      <c r="AJ68" s="469" t="s">
        <v>157</v>
      </c>
      <c r="AK68" s="470"/>
      <c r="AL68" s="471"/>
      <c r="AM68" s="462" t="s">
        <v>16</v>
      </c>
      <c r="AN68" s="469"/>
      <c r="AO68" s="469" t="s">
        <v>157</v>
      </c>
      <c r="AP68" s="470"/>
      <c r="AQ68" s="468"/>
      <c r="AR68" s="462" t="s">
        <v>16</v>
      </c>
      <c r="AS68" s="469"/>
      <c r="AT68" s="469" t="s">
        <v>157</v>
      </c>
      <c r="AU68" s="470"/>
      <c r="AV68" s="463"/>
      <c r="AW68" s="462"/>
      <c r="AX68" s="462"/>
      <c r="AY68" s="469"/>
      <c r="AZ68" s="472">
        <v>100</v>
      </c>
      <c r="BA68" s="465"/>
      <c r="BB68" s="462"/>
      <c r="BC68" s="462"/>
      <c r="BD68" s="469"/>
      <c r="BE68" s="472">
        <v>100</v>
      </c>
      <c r="BF68" s="475"/>
      <c r="BG68" s="462"/>
      <c r="BH68" s="462"/>
      <c r="BI68" s="469"/>
      <c r="BJ68" s="473">
        <v>100</v>
      </c>
    </row>
    <row r="69" spans="2:62" s="474" customFormat="1">
      <c r="B69" s="461"/>
      <c r="C69" s="297"/>
      <c r="D69" s="462"/>
      <c r="E69" s="462"/>
      <c r="F69" s="463"/>
      <c r="G69" s="462" t="s">
        <v>16</v>
      </c>
      <c r="H69" s="464"/>
      <c r="I69" s="465"/>
      <c r="J69" s="462" t="s">
        <v>16</v>
      </c>
      <c r="K69" s="466"/>
      <c r="L69" s="345"/>
      <c r="M69" s="462" t="s">
        <v>16</v>
      </c>
      <c r="N69" s="464"/>
      <c r="O69" s="1901">
        <v>0</v>
      </c>
      <c r="P69" s="462" t="s">
        <v>16</v>
      </c>
      <c r="Q69" s="1898">
        <v>8</v>
      </c>
      <c r="R69" s="345"/>
      <c r="S69" s="462" t="s">
        <v>16</v>
      </c>
      <c r="T69" s="466">
        <v>10</v>
      </c>
      <c r="U69" s="462" t="s">
        <v>157</v>
      </c>
      <c r="V69" s="462">
        <v>1000</v>
      </c>
      <c r="W69" s="467"/>
      <c r="X69" s="463"/>
      <c r="Y69" s="462" t="s">
        <v>16</v>
      </c>
      <c r="Z69" s="464"/>
      <c r="AA69" s="465"/>
      <c r="AB69" s="462" t="s">
        <v>16</v>
      </c>
      <c r="AC69" s="466"/>
      <c r="AD69" s="463"/>
      <c r="AE69" s="462" t="s">
        <v>16</v>
      </c>
      <c r="AF69" s="464"/>
      <c r="AG69" s="468"/>
      <c r="AH69" s="462" t="s">
        <v>16</v>
      </c>
      <c r="AI69" s="469"/>
      <c r="AJ69" s="469" t="s">
        <v>157</v>
      </c>
      <c r="AK69" s="470"/>
      <c r="AL69" s="471"/>
      <c r="AM69" s="462" t="s">
        <v>16</v>
      </c>
      <c r="AN69" s="469"/>
      <c r="AO69" s="469" t="s">
        <v>157</v>
      </c>
      <c r="AP69" s="470"/>
      <c r="AQ69" s="468"/>
      <c r="AR69" s="462" t="s">
        <v>16</v>
      </c>
      <c r="AS69" s="469"/>
      <c r="AT69" s="469" t="s">
        <v>157</v>
      </c>
      <c r="AU69" s="470"/>
      <c r="AV69" s="463"/>
      <c r="AW69" s="462"/>
      <c r="AX69" s="462"/>
      <c r="AY69" s="469"/>
      <c r="AZ69" s="472">
        <v>100</v>
      </c>
      <c r="BA69" s="465"/>
      <c r="BB69" s="462"/>
      <c r="BC69" s="462"/>
      <c r="BD69" s="469"/>
      <c r="BE69" s="472">
        <v>100</v>
      </c>
      <c r="BF69" s="475"/>
      <c r="BG69" s="462"/>
      <c r="BH69" s="462"/>
      <c r="BI69" s="469"/>
      <c r="BJ69" s="473">
        <v>100</v>
      </c>
    </row>
    <row r="70" spans="2:62" s="474" customFormat="1">
      <c r="B70" s="461"/>
      <c r="C70" s="297"/>
      <c r="D70" s="462"/>
      <c r="E70" s="462"/>
      <c r="F70" s="463"/>
      <c r="G70" s="462" t="s">
        <v>16</v>
      </c>
      <c r="H70" s="464"/>
      <c r="I70" s="465"/>
      <c r="J70" s="462" t="s">
        <v>16</v>
      </c>
      <c r="K70" s="466"/>
      <c r="L70" s="345"/>
      <c r="M70" s="462" t="s">
        <v>16</v>
      </c>
      <c r="N70" s="464"/>
      <c r="O70" s="1901">
        <v>0</v>
      </c>
      <c r="P70" s="462" t="s">
        <v>16</v>
      </c>
      <c r="Q70" s="1898">
        <v>8</v>
      </c>
      <c r="R70" s="345"/>
      <c r="S70" s="462" t="s">
        <v>16</v>
      </c>
      <c r="T70" s="466">
        <v>10</v>
      </c>
      <c r="U70" s="462" t="s">
        <v>157</v>
      </c>
      <c r="V70" s="462">
        <v>1000</v>
      </c>
      <c r="W70" s="467"/>
      <c r="X70" s="463"/>
      <c r="Y70" s="462" t="s">
        <v>16</v>
      </c>
      <c r="Z70" s="464"/>
      <c r="AA70" s="465"/>
      <c r="AB70" s="462" t="s">
        <v>16</v>
      </c>
      <c r="AC70" s="466"/>
      <c r="AD70" s="463"/>
      <c r="AE70" s="462" t="s">
        <v>16</v>
      </c>
      <c r="AF70" s="464"/>
      <c r="AG70" s="468"/>
      <c r="AH70" s="462" t="s">
        <v>16</v>
      </c>
      <c r="AI70" s="469"/>
      <c r="AJ70" s="469" t="s">
        <v>157</v>
      </c>
      <c r="AK70" s="470"/>
      <c r="AL70" s="471"/>
      <c r="AM70" s="462" t="s">
        <v>16</v>
      </c>
      <c r="AN70" s="469"/>
      <c r="AO70" s="469" t="s">
        <v>157</v>
      </c>
      <c r="AP70" s="470"/>
      <c r="AQ70" s="468"/>
      <c r="AR70" s="462" t="s">
        <v>16</v>
      </c>
      <c r="AS70" s="469"/>
      <c r="AT70" s="469" t="s">
        <v>157</v>
      </c>
      <c r="AU70" s="470"/>
      <c r="AV70" s="463"/>
      <c r="AW70" s="462"/>
      <c r="AX70" s="462"/>
      <c r="AY70" s="469"/>
      <c r="AZ70" s="472">
        <v>100</v>
      </c>
      <c r="BA70" s="465"/>
      <c r="BB70" s="462"/>
      <c r="BC70" s="462"/>
      <c r="BD70" s="469"/>
      <c r="BE70" s="472">
        <v>100</v>
      </c>
      <c r="BF70" s="475"/>
      <c r="BG70" s="462"/>
      <c r="BH70" s="462"/>
      <c r="BI70" s="469"/>
      <c r="BJ70" s="473">
        <v>100</v>
      </c>
    </row>
    <row r="71" spans="2:62" s="474" customFormat="1">
      <c r="B71" s="461"/>
      <c r="C71" s="297"/>
      <c r="D71" s="462"/>
      <c r="E71" s="462"/>
      <c r="F71" s="463"/>
      <c r="G71" s="462" t="s">
        <v>16</v>
      </c>
      <c r="H71" s="464"/>
      <c r="I71" s="465"/>
      <c r="J71" s="462" t="s">
        <v>16</v>
      </c>
      <c r="K71" s="466"/>
      <c r="L71" s="345"/>
      <c r="M71" s="462" t="s">
        <v>16</v>
      </c>
      <c r="N71" s="464"/>
      <c r="O71" s="1901">
        <v>0</v>
      </c>
      <c r="P71" s="462" t="s">
        <v>16</v>
      </c>
      <c r="Q71" s="1898">
        <v>8</v>
      </c>
      <c r="R71" s="345"/>
      <c r="S71" s="462" t="s">
        <v>16</v>
      </c>
      <c r="T71" s="466">
        <v>10</v>
      </c>
      <c r="U71" s="462" t="s">
        <v>157</v>
      </c>
      <c r="V71" s="462">
        <v>1000</v>
      </c>
      <c r="W71" s="467"/>
      <c r="X71" s="463"/>
      <c r="Y71" s="462" t="s">
        <v>16</v>
      </c>
      <c r="Z71" s="464"/>
      <c r="AA71" s="465"/>
      <c r="AB71" s="462" t="s">
        <v>16</v>
      </c>
      <c r="AC71" s="466"/>
      <c r="AD71" s="463"/>
      <c r="AE71" s="462" t="s">
        <v>16</v>
      </c>
      <c r="AF71" s="464"/>
      <c r="AG71" s="468"/>
      <c r="AH71" s="462" t="s">
        <v>16</v>
      </c>
      <c r="AI71" s="469"/>
      <c r="AJ71" s="469" t="s">
        <v>157</v>
      </c>
      <c r="AK71" s="470"/>
      <c r="AL71" s="471"/>
      <c r="AM71" s="462" t="s">
        <v>16</v>
      </c>
      <c r="AN71" s="469"/>
      <c r="AO71" s="469" t="s">
        <v>157</v>
      </c>
      <c r="AP71" s="470"/>
      <c r="AQ71" s="468"/>
      <c r="AR71" s="462" t="s">
        <v>16</v>
      </c>
      <c r="AS71" s="469"/>
      <c r="AT71" s="469" t="s">
        <v>157</v>
      </c>
      <c r="AU71" s="470"/>
      <c r="AV71" s="463"/>
      <c r="AW71" s="462"/>
      <c r="AX71" s="462"/>
      <c r="AY71" s="469"/>
      <c r="AZ71" s="472">
        <v>100</v>
      </c>
      <c r="BA71" s="465"/>
      <c r="BB71" s="462"/>
      <c r="BC71" s="462"/>
      <c r="BD71" s="469"/>
      <c r="BE71" s="472">
        <v>100</v>
      </c>
      <c r="BF71" s="475"/>
      <c r="BG71" s="462"/>
      <c r="BH71" s="462"/>
      <c r="BI71" s="469"/>
      <c r="BJ71" s="473">
        <v>100</v>
      </c>
    </row>
    <row r="72" spans="2:62" s="474" customFormat="1">
      <c r="B72" s="461"/>
      <c r="C72" s="297"/>
      <c r="D72" s="462"/>
      <c r="E72" s="462"/>
      <c r="F72" s="463"/>
      <c r="G72" s="462" t="s">
        <v>16</v>
      </c>
      <c r="H72" s="464"/>
      <c r="I72" s="465"/>
      <c r="J72" s="462" t="s">
        <v>16</v>
      </c>
      <c r="K72" s="466"/>
      <c r="L72" s="345"/>
      <c r="M72" s="462" t="s">
        <v>16</v>
      </c>
      <c r="N72" s="464"/>
      <c r="O72" s="1901">
        <v>0</v>
      </c>
      <c r="P72" s="462" t="s">
        <v>16</v>
      </c>
      <c r="Q72" s="1898">
        <v>8</v>
      </c>
      <c r="R72" s="345"/>
      <c r="S72" s="462" t="s">
        <v>16</v>
      </c>
      <c r="T72" s="466">
        <v>10</v>
      </c>
      <c r="U72" s="462" t="s">
        <v>157</v>
      </c>
      <c r="V72" s="462">
        <v>1000</v>
      </c>
      <c r="W72" s="467"/>
      <c r="X72" s="463"/>
      <c r="Y72" s="462" t="s">
        <v>16</v>
      </c>
      <c r="Z72" s="464"/>
      <c r="AA72" s="465"/>
      <c r="AB72" s="462" t="s">
        <v>16</v>
      </c>
      <c r="AC72" s="466"/>
      <c r="AD72" s="463"/>
      <c r="AE72" s="462" t="s">
        <v>16</v>
      </c>
      <c r="AF72" s="464"/>
      <c r="AG72" s="468"/>
      <c r="AH72" s="462" t="s">
        <v>16</v>
      </c>
      <c r="AI72" s="469"/>
      <c r="AJ72" s="469" t="s">
        <v>157</v>
      </c>
      <c r="AK72" s="470"/>
      <c r="AL72" s="471"/>
      <c r="AM72" s="462" t="s">
        <v>16</v>
      </c>
      <c r="AN72" s="469"/>
      <c r="AO72" s="469" t="s">
        <v>157</v>
      </c>
      <c r="AP72" s="470"/>
      <c r="AQ72" s="468"/>
      <c r="AR72" s="462" t="s">
        <v>16</v>
      </c>
      <c r="AS72" s="469"/>
      <c r="AT72" s="469" t="s">
        <v>157</v>
      </c>
      <c r="AU72" s="470"/>
      <c r="AV72" s="463"/>
      <c r="AW72" s="462"/>
      <c r="AX72" s="462"/>
      <c r="AY72" s="469"/>
      <c r="AZ72" s="472">
        <v>100</v>
      </c>
      <c r="BA72" s="465"/>
      <c r="BB72" s="462"/>
      <c r="BC72" s="462"/>
      <c r="BD72" s="469"/>
      <c r="BE72" s="472">
        <v>100</v>
      </c>
      <c r="BF72" s="475"/>
      <c r="BG72" s="462"/>
      <c r="BH72" s="462"/>
      <c r="BI72" s="469"/>
      <c r="BJ72" s="473">
        <v>100</v>
      </c>
    </row>
    <row r="73" spans="2:62" s="474" customFormat="1">
      <c r="B73" s="461"/>
      <c r="C73" s="297"/>
      <c r="D73" s="462"/>
      <c r="E73" s="462"/>
      <c r="F73" s="463"/>
      <c r="G73" s="462" t="s">
        <v>16</v>
      </c>
      <c r="H73" s="464"/>
      <c r="I73" s="465"/>
      <c r="J73" s="462" t="s">
        <v>16</v>
      </c>
      <c r="K73" s="466"/>
      <c r="L73" s="345"/>
      <c r="M73" s="462" t="s">
        <v>16</v>
      </c>
      <c r="N73" s="464"/>
      <c r="O73" s="1901">
        <v>0</v>
      </c>
      <c r="P73" s="462" t="s">
        <v>16</v>
      </c>
      <c r="Q73" s="1898">
        <v>8</v>
      </c>
      <c r="R73" s="345"/>
      <c r="S73" s="462" t="s">
        <v>16</v>
      </c>
      <c r="T73" s="466">
        <v>10</v>
      </c>
      <c r="U73" s="462" t="s">
        <v>157</v>
      </c>
      <c r="V73" s="462">
        <v>1000</v>
      </c>
      <c r="W73" s="467"/>
      <c r="X73" s="463"/>
      <c r="Y73" s="462" t="s">
        <v>16</v>
      </c>
      <c r="Z73" s="464"/>
      <c r="AA73" s="465"/>
      <c r="AB73" s="462" t="s">
        <v>16</v>
      </c>
      <c r="AC73" s="466"/>
      <c r="AD73" s="463"/>
      <c r="AE73" s="462" t="s">
        <v>16</v>
      </c>
      <c r="AF73" s="464"/>
      <c r="AG73" s="468"/>
      <c r="AH73" s="462" t="s">
        <v>16</v>
      </c>
      <c r="AI73" s="469"/>
      <c r="AJ73" s="469" t="s">
        <v>157</v>
      </c>
      <c r="AK73" s="470"/>
      <c r="AL73" s="471"/>
      <c r="AM73" s="462" t="s">
        <v>16</v>
      </c>
      <c r="AN73" s="469"/>
      <c r="AO73" s="469" t="s">
        <v>157</v>
      </c>
      <c r="AP73" s="470"/>
      <c r="AQ73" s="468"/>
      <c r="AR73" s="462" t="s">
        <v>16</v>
      </c>
      <c r="AS73" s="469"/>
      <c r="AT73" s="469" t="s">
        <v>157</v>
      </c>
      <c r="AU73" s="470"/>
      <c r="AV73" s="463"/>
      <c r="AW73" s="462"/>
      <c r="AX73" s="462"/>
      <c r="AY73" s="469"/>
      <c r="AZ73" s="472">
        <v>100</v>
      </c>
      <c r="BA73" s="465"/>
      <c r="BB73" s="462"/>
      <c r="BC73" s="462"/>
      <c r="BD73" s="469"/>
      <c r="BE73" s="472">
        <v>100</v>
      </c>
      <c r="BF73" s="475"/>
      <c r="BG73" s="462"/>
      <c r="BH73" s="462"/>
      <c r="BI73" s="469"/>
      <c r="BJ73" s="473">
        <v>100</v>
      </c>
    </row>
    <row r="74" spans="2:62" s="474" customFormat="1">
      <c r="B74" s="461"/>
      <c r="C74" s="297"/>
      <c r="D74" s="462"/>
      <c r="E74" s="462"/>
      <c r="F74" s="463"/>
      <c r="G74" s="462" t="s">
        <v>16</v>
      </c>
      <c r="H74" s="464"/>
      <c r="I74" s="465"/>
      <c r="J74" s="462" t="s">
        <v>16</v>
      </c>
      <c r="K74" s="466"/>
      <c r="L74" s="345"/>
      <c r="M74" s="462" t="s">
        <v>16</v>
      </c>
      <c r="N74" s="464"/>
      <c r="O74" s="1901">
        <v>0</v>
      </c>
      <c r="P74" s="462" t="s">
        <v>16</v>
      </c>
      <c r="Q74" s="1898">
        <v>8</v>
      </c>
      <c r="R74" s="345"/>
      <c r="S74" s="462" t="s">
        <v>16</v>
      </c>
      <c r="T74" s="466">
        <v>10</v>
      </c>
      <c r="U74" s="462" t="s">
        <v>157</v>
      </c>
      <c r="V74" s="462">
        <v>1000</v>
      </c>
      <c r="W74" s="467"/>
      <c r="X74" s="463"/>
      <c r="Y74" s="462" t="s">
        <v>16</v>
      </c>
      <c r="Z74" s="464"/>
      <c r="AA74" s="465"/>
      <c r="AB74" s="462" t="s">
        <v>16</v>
      </c>
      <c r="AC74" s="466"/>
      <c r="AD74" s="463"/>
      <c r="AE74" s="462" t="s">
        <v>16</v>
      </c>
      <c r="AF74" s="464"/>
      <c r="AG74" s="468"/>
      <c r="AH74" s="462" t="s">
        <v>16</v>
      </c>
      <c r="AI74" s="469"/>
      <c r="AJ74" s="469" t="s">
        <v>157</v>
      </c>
      <c r="AK74" s="470"/>
      <c r="AL74" s="471"/>
      <c r="AM74" s="462" t="s">
        <v>16</v>
      </c>
      <c r="AN74" s="469"/>
      <c r="AO74" s="469" t="s">
        <v>157</v>
      </c>
      <c r="AP74" s="470"/>
      <c r="AQ74" s="468"/>
      <c r="AR74" s="462" t="s">
        <v>16</v>
      </c>
      <c r="AS74" s="469"/>
      <c r="AT74" s="469" t="s">
        <v>157</v>
      </c>
      <c r="AU74" s="470"/>
      <c r="AV74" s="463"/>
      <c r="AW74" s="462"/>
      <c r="AX74" s="462"/>
      <c r="AY74" s="469"/>
      <c r="AZ74" s="472">
        <v>100</v>
      </c>
      <c r="BA74" s="465"/>
      <c r="BB74" s="462"/>
      <c r="BC74" s="462"/>
      <c r="BD74" s="469"/>
      <c r="BE74" s="472">
        <v>100</v>
      </c>
      <c r="BF74" s="475"/>
      <c r="BG74" s="462"/>
      <c r="BH74" s="462"/>
      <c r="BI74" s="469"/>
      <c r="BJ74" s="473">
        <v>100</v>
      </c>
    </row>
    <row r="75" spans="2:62" s="474" customFormat="1" ht="13.5" customHeight="1">
      <c r="B75" s="461"/>
      <c r="C75" s="297"/>
      <c r="D75" s="462"/>
      <c r="E75" s="462"/>
      <c r="F75" s="463"/>
      <c r="G75" s="462" t="s">
        <v>16</v>
      </c>
      <c r="H75" s="464"/>
      <c r="I75" s="465"/>
      <c r="J75" s="462" t="s">
        <v>16</v>
      </c>
      <c r="K75" s="466"/>
      <c r="L75" s="345"/>
      <c r="M75" s="462" t="s">
        <v>16</v>
      </c>
      <c r="N75" s="464"/>
      <c r="O75" s="1901">
        <v>0</v>
      </c>
      <c r="P75" s="462" t="s">
        <v>16</v>
      </c>
      <c r="Q75" s="1898">
        <v>8</v>
      </c>
      <c r="R75" s="345"/>
      <c r="S75" s="462" t="s">
        <v>16</v>
      </c>
      <c r="T75" s="466">
        <v>10</v>
      </c>
      <c r="U75" s="462" t="s">
        <v>157</v>
      </c>
      <c r="V75" s="462">
        <v>1000</v>
      </c>
      <c r="W75" s="467"/>
      <c r="X75" s="463"/>
      <c r="Y75" s="462" t="s">
        <v>16</v>
      </c>
      <c r="Z75" s="464"/>
      <c r="AA75" s="465"/>
      <c r="AB75" s="462" t="s">
        <v>16</v>
      </c>
      <c r="AC75" s="466"/>
      <c r="AD75" s="463"/>
      <c r="AE75" s="462" t="s">
        <v>16</v>
      </c>
      <c r="AF75" s="464"/>
      <c r="AG75" s="468"/>
      <c r="AH75" s="462" t="s">
        <v>16</v>
      </c>
      <c r="AI75" s="469"/>
      <c r="AJ75" s="469" t="s">
        <v>157</v>
      </c>
      <c r="AK75" s="470"/>
      <c r="AL75" s="471"/>
      <c r="AM75" s="462" t="s">
        <v>16</v>
      </c>
      <c r="AN75" s="469"/>
      <c r="AO75" s="469" t="s">
        <v>157</v>
      </c>
      <c r="AP75" s="470"/>
      <c r="AQ75" s="468"/>
      <c r="AR75" s="462" t="s">
        <v>16</v>
      </c>
      <c r="AS75" s="469"/>
      <c r="AT75" s="469" t="s">
        <v>157</v>
      </c>
      <c r="AU75" s="470"/>
      <c r="AV75" s="463"/>
      <c r="AW75" s="462"/>
      <c r="AX75" s="462"/>
      <c r="AY75" s="469"/>
      <c r="AZ75" s="472">
        <v>100</v>
      </c>
      <c r="BA75" s="465"/>
      <c r="BB75" s="462"/>
      <c r="BC75" s="462"/>
      <c r="BD75" s="469"/>
      <c r="BE75" s="472">
        <v>100</v>
      </c>
      <c r="BF75" s="475"/>
      <c r="BG75" s="462"/>
      <c r="BH75" s="462"/>
      <c r="BI75" s="469"/>
      <c r="BJ75" s="473">
        <v>100</v>
      </c>
    </row>
    <row r="76" spans="2:62" s="474" customFormat="1">
      <c r="B76" s="461"/>
      <c r="C76" s="297"/>
      <c r="D76" s="462"/>
      <c r="E76" s="462"/>
      <c r="F76" s="463"/>
      <c r="G76" s="462" t="s">
        <v>16</v>
      </c>
      <c r="H76" s="464"/>
      <c r="I76" s="465"/>
      <c r="J76" s="462" t="s">
        <v>16</v>
      </c>
      <c r="K76" s="466"/>
      <c r="L76" s="345"/>
      <c r="M76" s="462" t="s">
        <v>16</v>
      </c>
      <c r="N76" s="464"/>
      <c r="O76" s="1901">
        <v>0</v>
      </c>
      <c r="P76" s="462" t="s">
        <v>16</v>
      </c>
      <c r="Q76" s="1898">
        <v>8</v>
      </c>
      <c r="R76" s="345"/>
      <c r="S76" s="462" t="s">
        <v>16</v>
      </c>
      <c r="T76" s="466">
        <v>10</v>
      </c>
      <c r="U76" s="462" t="s">
        <v>157</v>
      </c>
      <c r="V76" s="462">
        <v>1000</v>
      </c>
      <c r="W76" s="467"/>
      <c r="X76" s="463"/>
      <c r="Y76" s="462" t="s">
        <v>16</v>
      </c>
      <c r="Z76" s="464"/>
      <c r="AA76" s="465"/>
      <c r="AB76" s="462" t="s">
        <v>16</v>
      </c>
      <c r="AC76" s="466"/>
      <c r="AD76" s="463"/>
      <c r="AE76" s="462" t="s">
        <v>16</v>
      </c>
      <c r="AF76" s="464"/>
      <c r="AG76" s="468"/>
      <c r="AH76" s="462" t="s">
        <v>16</v>
      </c>
      <c r="AI76" s="469"/>
      <c r="AJ76" s="469" t="s">
        <v>157</v>
      </c>
      <c r="AK76" s="470"/>
      <c r="AL76" s="471"/>
      <c r="AM76" s="462" t="s">
        <v>16</v>
      </c>
      <c r="AN76" s="469"/>
      <c r="AO76" s="469" t="s">
        <v>157</v>
      </c>
      <c r="AP76" s="470"/>
      <c r="AQ76" s="468"/>
      <c r="AR76" s="462" t="s">
        <v>16</v>
      </c>
      <c r="AS76" s="469"/>
      <c r="AT76" s="469" t="s">
        <v>157</v>
      </c>
      <c r="AU76" s="470"/>
      <c r="AV76" s="463"/>
      <c r="AW76" s="462"/>
      <c r="AX76" s="462"/>
      <c r="AY76" s="469"/>
      <c r="AZ76" s="472">
        <v>100</v>
      </c>
      <c r="BA76" s="465"/>
      <c r="BB76" s="462"/>
      <c r="BC76" s="462"/>
      <c r="BD76" s="469"/>
      <c r="BE76" s="472">
        <v>100</v>
      </c>
      <c r="BF76" s="475"/>
      <c r="BG76" s="462"/>
      <c r="BH76" s="462"/>
      <c r="BI76" s="469"/>
      <c r="BJ76" s="473">
        <v>100</v>
      </c>
    </row>
    <row r="77" spans="2:62" s="474" customFormat="1">
      <c r="B77" s="461"/>
      <c r="C77" s="297"/>
      <c r="D77" s="462"/>
      <c r="E77" s="462"/>
      <c r="F77" s="463"/>
      <c r="G77" s="462" t="s">
        <v>16</v>
      </c>
      <c r="H77" s="464"/>
      <c r="I77" s="465"/>
      <c r="J77" s="462" t="s">
        <v>16</v>
      </c>
      <c r="K77" s="466"/>
      <c r="L77" s="345"/>
      <c r="M77" s="462" t="s">
        <v>16</v>
      </c>
      <c r="N77" s="464"/>
      <c r="O77" s="1901">
        <v>0</v>
      </c>
      <c r="P77" s="462" t="s">
        <v>16</v>
      </c>
      <c r="Q77" s="1898">
        <v>8</v>
      </c>
      <c r="R77" s="345"/>
      <c r="S77" s="462" t="s">
        <v>16</v>
      </c>
      <c r="T77" s="466">
        <v>10</v>
      </c>
      <c r="U77" s="462" t="s">
        <v>157</v>
      </c>
      <c r="V77" s="462">
        <v>1000</v>
      </c>
      <c r="W77" s="467"/>
      <c r="X77" s="463"/>
      <c r="Y77" s="462" t="s">
        <v>16</v>
      </c>
      <c r="Z77" s="464"/>
      <c r="AA77" s="465"/>
      <c r="AB77" s="462" t="s">
        <v>16</v>
      </c>
      <c r="AC77" s="466"/>
      <c r="AD77" s="463"/>
      <c r="AE77" s="462" t="s">
        <v>16</v>
      </c>
      <c r="AF77" s="464"/>
      <c r="AG77" s="468"/>
      <c r="AH77" s="462" t="s">
        <v>16</v>
      </c>
      <c r="AI77" s="469"/>
      <c r="AJ77" s="469" t="s">
        <v>157</v>
      </c>
      <c r="AK77" s="470"/>
      <c r="AL77" s="471"/>
      <c r="AM77" s="462" t="s">
        <v>16</v>
      </c>
      <c r="AN77" s="469"/>
      <c r="AO77" s="469" t="s">
        <v>157</v>
      </c>
      <c r="AP77" s="470"/>
      <c r="AQ77" s="468"/>
      <c r="AR77" s="462" t="s">
        <v>16</v>
      </c>
      <c r="AS77" s="469"/>
      <c r="AT77" s="469" t="s">
        <v>157</v>
      </c>
      <c r="AU77" s="470"/>
      <c r="AV77" s="463"/>
      <c r="AW77" s="462"/>
      <c r="AX77" s="462"/>
      <c r="AY77" s="469"/>
      <c r="AZ77" s="472">
        <v>100</v>
      </c>
      <c r="BA77" s="465"/>
      <c r="BB77" s="462"/>
      <c r="BC77" s="462"/>
      <c r="BD77" s="469"/>
      <c r="BE77" s="472">
        <v>100</v>
      </c>
      <c r="BF77" s="475"/>
      <c r="BG77" s="462"/>
      <c r="BH77" s="462"/>
      <c r="BI77" s="469"/>
      <c r="BJ77" s="473">
        <v>100</v>
      </c>
    </row>
    <row r="78" spans="2:62" s="474" customFormat="1">
      <c r="B78" s="461"/>
      <c r="C78" s="297"/>
      <c r="D78" s="462"/>
      <c r="E78" s="462"/>
      <c r="F78" s="463"/>
      <c r="G78" s="462" t="s">
        <v>16</v>
      </c>
      <c r="H78" s="464"/>
      <c r="I78" s="465"/>
      <c r="J78" s="462" t="s">
        <v>16</v>
      </c>
      <c r="K78" s="466"/>
      <c r="L78" s="345"/>
      <c r="M78" s="462" t="s">
        <v>16</v>
      </c>
      <c r="N78" s="464"/>
      <c r="O78" s="1901">
        <v>0</v>
      </c>
      <c r="P78" s="462" t="s">
        <v>16</v>
      </c>
      <c r="Q78" s="1898">
        <v>8</v>
      </c>
      <c r="R78" s="345"/>
      <c r="S78" s="462" t="s">
        <v>16</v>
      </c>
      <c r="T78" s="466">
        <v>10</v>
      </c>
      <c r="U78" s="462" t="s">
        <v>157</v>
      </c>
      <c r="V78" s="462">
        <v>1000</v>
      </c>
      <c r="W78" s="467"/>
      <c r="X78" s="463"/>
      <c r="Y78" s="462" t="s">
        <v>16</v>
      </c>
      <c r="Z78" s="464"/>
      <c r="AA78" s="465"/>
      <c r="AB78" s="462" t="s">
        <v>16</v>
      </c>
      <c r="AC78" s="466"/>
      <c r="AD78" s="463"/>
      <c r="AE78" s="462" t="s">
        <v>16</v>
      </c>
      <c r="AF78" s="464"/>
      <c r="AG78" s="468"/>
      <c r="AH78" s="462" t="s">
        <v>16</v>
      </c>
      <c r="AI78" s="469"/>
      <c r="AJ78" s="469" t="s">
        <v>157</v>
      </c>
      <c r="AK78" s="470"/>
      <c r="AL78" s="471"/>
      <c r="AM78" s="462" t="s">
        <v>16</v>
      </c>
      <c r="AN78" s="469"/>
      <c r="AO78" s="469" t="s">
        <v>157</v>
      </c>
      <c r="AP78" s="470"/>
      <c r="AQ78" s="468"/>
      <c r="AR78" s="462" t="s">
        <v>16</v>
      </c>
      <c r="AS78" s="469"/>
      <c r="AT78" s="469" t="s">
        <v>157</v>
      </c>
      <c r="AU78" s="470"/>
      <c r="AV78" s="463"/>
      <c r="AW78" s="462"/>
      <c r="AX78" s="462"/>
      <c r="AY78" s="469"/>
      <c r="AZ78" s="472">
        <v>100</v>
      </c>
      <c r="BA78" s="465"/>
      <c r="BB78" s="462"/>
      <c r="BC78" s="462"/>
      <c r="BD78" s="469"/>
      <c r="BE78" s="472">
        <v>100</v>
      </c>
      <c r="BF78" s="475"/>
      <c r="BG78" s="462"/>
      <c r="BH78" s="462"/>
      <c r="BI78" s="469"/>
      <c r="BJ78" s="473">
        <v>100</v>
      </c>
    </row>
    <row r="79" spans="2:62" s="474" customFormat="1" ht="13.5" customHeight="1">
      <c r="B79" s="461"/>
      <c r="C79" s="297"/>
      <c r="D79" s="462"/>
      <c r="E79" s="462"/>
      <c r="F79" s="463"/>
      <c r="G79" s="462" t="s">
        <v>16</v>
      </c>
      <c r="H79" s="464"/>
      <c r="I79" s="465"/>
      <c r="J79" s="462" t="s">
        <v>16</v>
      </c>
      <c r="K79" s="466"/>
      <c r="L79" s="345"/>
      <c r="M79" s="462" t="s">
        <v>16</v>
      </c>
      <c r="N79" s="464"/>
      <c r="O79" s="1901">
        <v>0</v>
      </c>
      <c r="P79" s="462" t="s">
        <v>16</v>
      </c>
      <c r="Q79" s="1898">
        <v>8</v>
      </c>
      <c r="R79" s="345"/>
      <c r="S79" s="462" t="s">
        <v>16</v>
      </c>
      <c r="T79" s="466">
        <v>10</v>
      </c>
      <c r="U79" s="462" t="s">
        <v>157</v>
      </c>
      <c r="V79" s="462">
        <v>1000</v>
      </c>
      <c r="W79" s="467"/>
      <c r="X79" s="463"/>
      <c r="Y79" s="462" t="s">
        <v>16</v>
      </c>
      <c r="Z79" s="464"/>
      <c r="AA79" s="465"/>
      <c r="AB79" s="462" t="s">
        <v>16</v>
      </c>
      <c r="AC79" s="466"/>
      <c r="AD79" s="463"/>
      <c r="AE79" s="462" t="s">
        <v>16</v>
      </c>
      <c r="AF79" s="464"/>
      <c r="AG79" s="468"/>
      <c r="AH79" s="462" t="s">
        <v>16</v>
      </c>
      <c r="AI79" s="469"/>
      <c r="AJ79" s="469" t="s">
        <v>157</v>
      </c>
      <c r="AK79" s="470"/>
      <c r="AL79" s="471"/>
      <c r="AM79" s="462" t="s">
        <v>16</v>
      </c>
      <c r="AN79" s="469"/>
      <c r="AO79" s="469" t="s">
        <v>157</v>
      </c>
      <c r="AP79" s="470"/>
      <c r="AQ79" s="468"/>
      <c r="AR79" s="462" t="s">
        <v>16</v>
      </c>
      <c r="AS79" s="469"/>
      <c r="AT79" s="469" t="s">
        <v>157</v>
      </c>
      <c r="AU79" s="470"/>
      <c r="AV79" s="463"/>
      <c r="AW79" s="462"/>
      <c r="AX79" s="462"/>
      <c r="AY79" s="469"/>
      <c r="AZ79" s="472">
        <v>100</v>
      </c>
      <c r="BA79" s="465"/>
      <c r="BB79" s="462"/>
      <c r="BC79" s="462"/>
      <c r="BD79" s="469"/>
      <c r="BE79" s="472">
        <v>100</v>
      </c>
      <c r="BF79" s="475"/>
      <c r="BG79" s="462"/>
      <c r="BH79" s="462"/>
      <c r="BI79" s="469"/>
      <c r="BJ79" s="473">
        <v>100</v>
      </c>
    </row>
    <row r="80" spans="2:62" s="474" customFormat="1">
      <c r="B80" s="461"/>
      <c r="C80" s="297"/>
      <c r="D80" s="462"/>
      <c r="E80" s="462"/>
      <c r="F80" s="463"/>
      <c r="G80" s="462" t="s">
        <v>16</v>
      </c>
      <c r="H80" s="464"/>
      <c r="I80" s="465"/>
      <c r="J80" s="462" t="s">
        <v>16</v>
      </c>
      <c r="K80" s="466"/>
      <c r="L80" s="345"/>
      <c r="M80" s="462" t="s">
        <v>16</v>
      </c>
      <c r="N80" s="464"/>
      <c r="O80" s="1901">
        <v>0</v>
      </c>
      <c r="P80" s="462" t="s">
        <v>16</v>
      </c>
      <c r="Q80" s="1898">
        <v>8</v>
      </c>
      <c r="R80" s="345"/>
      <c r="S80" s="462" t="s">
        <v>16</v>
      </c>
      <c r="T80" s="466">
        <v>10</v>
      </c>
      <c r="U80" s="462" t="s">
        <v>157</v>
      </c>
      <c r="V80" s="462">
        <v>1000</v>
      </c>
      <c r="W80" s="467"/>
      <c r="X80" s="463"/>
      <c r="Y80" s="462" t="s">
        <v>16</v>
      </c>
      <c r="Z80" s="464"/>
      <c r="AA80" s="465"/>
      <c r="AB80" s="462" t="s">
        <v>16</v>
      </c>
      <c r="AC80" s="466"/>
      <c r="AD80" s="463"/>
      <c r="AE80" s="462" t="s">
        <v>16</v>
      </c>
      <c r="AF80" s="464"/>
      <c r="AG80" s="468"/>
      <c r="AH80" s="462" t="s">
        <v>16</v>
      </c>
      <c r="AI80" s="469"/>
      <c r="AJ80" s="469" t="s">
        <v>157</v>
      </c>
      <c r="AK80" s="470"/>
      <c r="AL80" s="471"/>
      <c r="AM80" s="462" t="s">
        <v>16</v>
      </c>
      <c r="AN80" s="469"/>
      <c r="AO80" s="469" t="s">
        <v>157</v>
      </c>
      <c r="AP80" s="470"/>
      <c r="AQ80" s="468"/>
      <c r="AR80" s="462" t="s">
        <v>16</v>
      </c>
      <c r="AS80" s="469"/>
      <c r="AT80" s="469" t="s">
        <v>157</v>
      </c>
      <c r="AU80" s="470"/>
      <c r="AV80" s="463"/>
      <c r="AW80" s="462"/>
      <c r="AX80" s="462"/>
      <c r="AY80" s="469"/>
      <c r="AZ80" s="472">
        <v>100</v>
      </c>
      <c r="BA80" s="465"/>
      <c r="BB80" s="462"/>
      <c r="BC80" s="462"/>
      <c r="BD80" s="469"/>
      <c r="BE80" s="472">
        <v>100</v>
      </c>
      <c r="BF80" s="475"/>
      <c r="BG80" s="462"/>
      <c r="BH80" s="462"/>
      <c r="BI80" s="469"/>
      <c r="BJ80" s="473">
        <v>100</v>
      </c>
    </row>
    <row r="81" spans="2:62" s="474" customFormat="1">
      <c r="B81" s="461"/>
      <c r="C81" s="297"/>
      <c r="D81" s="462"/>
      <c r="E81" s="462"/>
      <c r="F81" s="463"/>
      <c r="G81" s="462" t="s">
        <v>16</v>
      </c>
      <c r="H81" s="464"/>
      <c r="I81" s="465"/>
      <c r="J81" s="462" t="s">
        <v>16</v>
      </c>
      <c r="K81" s="466"/>
      <c r="L81" s="345"/>
      <c r="M81" s="462" t="s">
        <v>16</v>
      </c>
      <c r="N81" s="464"/>
      <c r="O81" s="1901">
        <v>0</v>
      </c>
      <c r="P81" s="462" t="s">
        <v>16</v>
      </c>
      <c r="Q81" s="1898">
        <v>8</v>
      </c>
      <c r="R81" s="345"/>
      <c r="S81" s="462" t="s">
        <v>16</v>
      </c>
      <c r="T81" s="466">
        <v>10</v>
      </c>
      <c r="U81" s="462" t="s">
        <v>157</v>
      </c>
      <c r="V81" s="462">
        <v>1000</v>
      </c>
      <c r="W81" s="467"/>
      <c r="X81" s="463"/>
      <c r="Y81" s="462" t="s">
        <v>16</v>
      </c>
      <c r="Z81" s="464"/>
      <c r="AA81" s="465"/>
      <c r="AB81" s="462" t="s">
        <v>16</v>
      </c>
      <c r="AC81" s="466"/>
      <c r="AD81" s="463"/>
      <c r="AE81" s="462" t="s">
        <v>16</v>
      </c>
      <c r="AF81" s="464"/>
      <c r="AG81" s="468"/>
      <c r="AH81" s="462" t="s">
        <v>16</v>
      </c>
      <c r="AI81" s="469"/>
      <c r="AJ81" s="469" t="s">
        <v>157</v>
      </c>
      <c r="AK81" s="470"/>
      <c r="AL81" s="471"/>
      <c r="AM81" s="462" t="s">
        <v>16</v>
      </c>
      <c r="AN81" s="469"/>
      <c r="AO81" s="469" t="s">
        <v>157</v>
      </c>
      <c r="AP81" s="470"/>
      <c r="AQ81" s="468"/>
      <c r="AR81" s="462" t="s">
        <v>16</v>
      </c>
      <c r="AS81" s="469"/>
      <c r="AT81" s="469" t="s">
        <v>157</v>
      </c>
      <c r="AU81" s="470"/>
      <c r="AV81" s="463"/>
      <c r="AW81" s="462"/>
      <c r="AX81" s="462"/>
      <c r="AY81" s="469"/>
      <c r="AZ81" s="472">
        <v>100</v>
      </c>
      <c r="BA81" s="465"/>
      <c r="BB81" s="462"/>
      <c r="BC81" s="462"/>
      <c r="BD81" s="469"/>
      <c r="BE81" s="472">
        <v>100</v>
      </c>
      <c r="BF81" s="475"/>
      <c r="BG81" s="462"/>
      <c r="BH81" s="462"/>
      <c r="BI81" s="469"/>
      <c r="BJ81" s="473">
        <v>100</v>
      </c>
    </row>
    <row r="82" spans="2:62" s="474" customFormat="1">
      <c r="B82" s="461"/>
      <c r="C82" s="297"/>
      <c r="D82" s="462"/>
      <c r="E82" s="462"/>
      <c r="F82" s="463"/>
      <c r="G82" s="462" t="s">
        <v>16</v>
      </c>
      <c r="H82" s="464"/>
      <c r="I82" s="465"/>
      <c r="J82" s="462" t="s">
        <v>16</v>
      </c>
      <c r="K82" s="466"/>
      <c r="L82" s="345"/>
      <c r="M82" s="462" t="s">
        <v>16</v>
      </c>
      <c r="N82" s="464"/>
      <c r="O82" s="1901">
        <v>0</v>
      </c>
      <c r="P82" s="462" t="s">
        <v>16</v>
      </c>
      <c r="Q82" s="1898">
        <v>8</v>
      </c>
      <c r="R82" s="345"/>
      <c r="S82" s="462" t="s">
        <v>16</v>
      </c>
      <c r="T82" s="466">
        <v>10</v>
      </c>
      <c r="U82" s="462" t="s">
        <v>157</v>
      </c>
      <c r="V82" s="462">
        <v>1000</v>
      </c>
      <c r="W82" s="467"/>
      <c r="X82" s="463"/>
      <c r="Y82" s="462" t="s">
        <v>16</v>
      </c>
      <c r="Z82" s="464"/>
      <c r="AA82" s="465"/>
      <c r="AB82" s="462" t="s">
        <v>16</v>
      </c>
      <c r="AC82" s="466"/>
      <c r="AD82" s="463"/>
      <c r="AE82" s="462" t="s">
        <v>16</v>
      </c>
      <c r="AF82" s="464"/>
      <c r="AG82" s="468"/>
      <c r="AH82" s="462" t="s">
        <v>16</v>
      </c>
      <c r="AI82" s="469"/>
      <c r="AJ82" s="469" t="s">
        <v>157</v>
      </c>
      <c r="AK82" s="470"/>
      <c r="AL82" s="471"/>
      <c r="AM82" s="462" t="s">
        <v>16</v>
      </c>
      <c r="AN82" s="469"/>
      <c r="AO82" s="469" t="s">
        <v>157</v>
      </c>
      <c r="AP82" s="470"/>
      <c r="AQ82" s="468"/>
      <c r="AR82" s="462" t="s">
        <v>16</v>
      </c>
      <c r="AS82" s="469"/>
      <c r="AT82" s="469" t="s">
        <v>157</v>
      </c>
      <c r="AU82" s="470"/>
      <c r="AV82" s="463"/>
      <c r="AW82" s="462"/>
      <c r="AX82" s="462"/>
      <c r="AY82" s="469"/>
      <c r="AZ82" s="472">
        <v>100</v>
      </c>
      <c r="BA82" s="465"/>
      <c r="BB82" s="462"/>
      <c r="BC82" s="462"/>
      <c r="BD82" s="469"/>
      <c r="BE82" s="472">
        <v>100</v>
      </c>
      <c r="BF82" s="475"/>
      <c r="BG82" s="462"/>
      <c r="BH82" s="462"/>
      <c r="BI82" s="469"/>
      <c r="BJ82" s="473">
        <v>100</v>
      </c>
    </row>
    <row r="83" spans="2:62" s="474" customFormat="1">
      <c r="B83" s="461"/>
      <c r="C83" s="297"/>
      <c r="D83" s="462"/>
      <c r="E83" s="462"/>
      <c r="F83" s="463"/>
      <c r="G83" s="462" t="s">
        <v>16</v>
      </c>
      <c r="H83" s="464"/>
      <c r="I83" s="465"/>
      <c r="J83" s="462" t="s">
        <v>16</v>
      </c>
      <c r="K83" s="466"/>
      <c r="L83" s="345"/>
      <c r="M83" s="462" t="s">
        <v>16</v>
      </c>
      <c r="N83" s="464"/>
      <c r="O83" s="1901">
        <v>0</v>
      </c>
      <c r="P83" s="462" t="s">
        <v>16</v>
      </c>
      <c r="Q83" s="1898">
        <v>8</v>
      </c>
      <c r="R83" s="345"/>
      <c r="S83" s="462" t="s">
        <v>16</v>
      </c>
      <c r="T83" s="466">
        <v>10</v>
      </c>
      <c r="U83" s="462" t="s">
        <v>157</v>
      </c>
      <c r="V83" s="462">
        <v>1000</v>
      </c>
      <c r="W83" s="467"/>
      <c r="X83" s="463"/>
      <c r="Y83" s="462" t="s">
        <v>16</v>
      </c>
      <c r="Z83" s="464"/>
      <c r="AA83" s="465"/>
      <c r="AB83" s="462" t="s">
        <v>16</v>
      </c>
      <c r="AC83" s="466"/>
      <c r="AD83" s="463"/>
      <c r="AE83" s="462" t="s">
        <v>16</v>
      </c>
      <c r="AF83" s="464"/>
      <c r="AG83" s="468"/>
      <c r="AH83" s="462" t="s">
        <v>16</v>
      </c>
      <c r="AI83" s="469"/>
      <c r="AJ83" s="469" t="s">
        <v>157</v>
      </c>
      <c r="AK83" s="470"/>
      <c r="AL83" s="471"/>
      <c r="AM83" s="462" t="s">
        <v>16</v>
      </c>
      <c r="AN83" s="469"/>
      <c r="AO83" s="469" t="s">
        <v>157</v>
      </c>
      <c r="AP83" s="470"/>
      <c r="AQ83" s="468"/>
      <c r="AR83" s="462" t="s">
        <v>16</v>
      </c>
      <c r="AS83" s="469"/>
      <c r="AT83" s="469" t="s">
        <v>157</v>
      </c>
      <c r="AU83" s="470"/>
      <c r="AV83" s="463"/>
      <c r="AW83" s="462"/>
      <c r="AX83" s="462"/>
      <c r="AY83" s="469"/>
      <c r="AZ83" s="472">
        <v>100</v>
      </c>
      <c r="BA83" s="465"/>
      <c r="BB83" s="462"/>
      <c r="BC83" s="462"/>
      <c r="BD83" s="469"/>
      <c r="BE83" s="472">
        <v>100</v>
      </c>
      <c r="BF83" s="475"/>
      <c r="BG83" s="462"/>
      <c r="BH83" s="462"/>
      <c r="BI83" s="469"/>
      <c r="BJ83" s="473">
        <v>100</v>
      </c>
    </row>
    <row r="84" spans="2:62" s="474" customFormat="1">
      <c r="B84" s="461"/>
      <c r="C84" s="297"/>
      <c r="D84" s="462"/>
      <c r="E84" s="462"/>
      <c r="F84" s="463"/>
      <c r="G84" s="462" t="s">
        <v>16</v>
      </c>
      <c r="H84" s="464"/>
      <c r="I84" s="465"/>
      <c r="J84" s="462" t="s">
        <v>16</v>
      </c>
      <c r="K84" s="466"/>
      <c r="L84" s="345"/>
      <c r="M84" s="462" t="s">
        <v>16</v>
      </c>
      <c r="N84" s="464"/>
      <c r="O84" s="1901">
        <v>0</v>
      </c>
      <c r="P84" s="462" t="s">
        <v>16</v>
      </c>
      <c r="Q84" s="1898">
        <v>8</v>
      </c>
      <c r="R84" s="345"/>
      <c r="S84" s="462" t="s">
        <v>16</v>
      </c>
      <c r="T84" s="466">
        <v>10</v>
      </c>
      <c r="U84" s="462" t="s">
        <v>157</v>
      </c>
      <c r="V84" s="462">
        <v>1000</v>
      </c>
      <c r="W84" s="467"/>
      <c r="X84" s="463"/>
      <c r="Y84" s="462" t="s">
        <v>16</v>
      </c>
      <c r="Z84" s="464"/>
      <c r="AA84" s="465"/>
      <c r="AB84" s="462" t="s">
        <v>16</v>
      </c>
      <c r="AC84" s="466"/>
      <c r="AD84" s="463"/>
      <c r="AE84" s="462" t="s">
        <v>16</v>
      </c>
      <c r="AF84" s="464"/>
      <c r="AG84" s="468"/>
      <c r="AH84" s="462" t="s">
        <v>16</v>
      </c>
      <c r="AI84" s="469"/>
      <c r="AJ84" s="469" t="s">
        <v>157</v>
      </c>
      <c r="AK84" s="470"/>
      <c r="AL84" s="471"/>
      <c r="AM84" s="462" t="s">
        <v>16</v>
      </c>
      <c r="AN84" s="469"/>
      <c r="AO84" s="469" t="s">
        <v>157</v>
      </c>
      <c r="AP84" s="470"/>
      <c r="AQ84" s="468"/>
      <c r="AR84" s="462" t="s">
        <v>16</v>
      </c>
      <c r="AS84" s="469"/>
      <c r="AT84" s="469" t="s">
        <v>157</v>
      </c>
      <c r="AU84" s="470"/>
      <c r="AV84" s="463"/>
      <c r="AW84" s="462"/>
      <c r="AX84" s="462"/>
      <c r="AY84" s="469"/>
      <c r="AZ84" s="472">
        <v>100</v>
      </c>
      <c r="BA84" s="465"/>
      <c r="BB84" s="462"/>
      <c r="BC84" s="462"/>
      <c r="BD84" s="469"/>
      <c r="BE84" s="472">
        <v>100</v>
      </c>
      <c r="BF84" s="475"/>
      <c r="BG84" s="462"/>
      <c r="BH84" s="462"/>
      <c r="BI84" s="469"/>
      <c r="BJ84" s="473">
        <v>100</v>
      </c>
    </row>
    <row r="85" spans="2:62" s="474" customFormat="1">
      <c r="B85" s="461"/>
      <c r="C85" s="297"/>
      <c r="D85" s="462"/>
      <c r="E85" s="462"/>
      <c r="F85" s="463"/>
      <c r="G85" s="462" t="s">
        <v>16</v>
      </c>
      <c r="H85" s="464"/>
      <c r="I85" s="465"/>
      <c r="J85" s="462" t="s">
        <v>16</v>
      </c>
      <c r="K85" s="466"/>
      <c r="L85" s="345"/>
      <c r="M85" s="462" t="s">
        <v>16</v>
      </c>
      <c r="N85" s="464"/>
      <c r="O85" s="1901">
        <v>0</v>
      </c>
      <c r="P85" s="462" t="s">
        <v>16</v>
      </c>
      <c r="Q85" s="1898">
        <v>8</v>
      </c>
      <c r="R85" s="345"/>
      <c r="S85" s="462" t="s">
        <v>16</v>
      </c>
      <c r="T85" s="466">
        <v>10</v>
      </c>
      <c r="U85" s="462" t="s">
        <v>157</v>
      </c>
      <c r="V85" s="462">
        <v>1000</v>
      </c>
      <c r="W85" s="467"/>
      <c r="X85" s="463"/>
      <c r="Y85" s="462" t="s">
        <v>16</v>
      </c>
      <c r="Z85" s="464"/>
      <c r="AA85" s="465"/>
      <c r="AB85" s="462" t="s">
        <v>16</v>
      </c>
      <c r="AC85" s="466"/>
      <c r="AD85" s="463"/>
      <c r="AE85" s="462" t="s">
        <v>16</v>
      </c>
      <c r="AF85" s="464"/>
      <c r="AG85" s="468"/>
      <c r="AH85" s="462" t="s">
        <v>16</v>
      </c>
      <c r="AI85" s="469"/>
      <c r="AJ85" s="469" t="s">
        <v>157</v>
      </c>
      <c r="AK85" s="470"/>
      <c r="AL85" s="471"/>
      <c r="AM85" s="462" t="s">
        <v>16</v>
      </c>
      <c r="AN85" s="469"/>
      <c r="AO85" s="469" t="s">
        <v>157</v>
      </c>
      <c r="AP85" s="470"/>
      <c r="AQ85" s="468"/>
      <c r="AR85" s="462" t="s">
        <v>16</v>
      </c>
      <c r="AS85" s="469"/>
      <c r="AT85" s="469" t="s">
        <v>157</v>
      </c>
      <c r="AU85" s="470"/>
      <c r="AV85" s="463"/>
      <c r="AW85" s="462"/>
      <c r="AX85" s="462"/>
      <c r="AY85" s="469"/>
      <c r="AZ85" s="472">
        <v>100</v>
      </c>
      <c r="BA85" s="465"/>
      <c r="BB85" s="462"/>
      <c r="BC85" s="462"/>
      <c r="BD85" s="469"/>
      <c r="BE85" s="472">
        <v>100</v>
      </c>
      <c r="BF85" s="475"/>
      <c r="BG85" s="462"/>
      <c r="BH85" s="462"/>
      <c r="BI85" s="469"/>
      <c r="BJ85" s="473">
        <v>100</v>
      </c>
    </row>
    <row r="86" spans="2:62" s="474" customFormat="1">
      <c r="B86" s="461"/>
      <c r="C86" s="297"/>
      <c r="D86" s="462"/>
      <c r="E86" s="462"/>
      <c r="F86" s="463"/>
      <c r="G86" s="462" t="s">
        <v>16</v>
      </c>
      <c r="H86" s="464"/>
      <c r="I86" s="465"/>
      <c r="J86" s="462" t="s">
        <v>16</v>
      </c>
      <c r="K86" s="466"/>
      <c r="L86" s="345"/>
      <c r="M86" s="462" t="s">
        <v>16</v>
      </c>
      <c r="N86" s="464"/>
      <c r="O86" s="1901">
        <v>0</v>
      </c>
      <c r="P86" s="462" t="s">
        <v>16</v>
      </c>
      <c r="Q86" s="1898">
        <v>8</v>
      </c>
      <c r="R86" s="345"/>
      <c r="S86" s="462" t="s">
        <v>16</v>
      </c>
      <c r="T86" s="466">
        <v>10</v>
      </c>
      <c r="U86" s="462" t="s">
        <v>157</v>
      </c>
      <c r="V86" s="462">
        <v>1000</v>
      </c>
      <c r="W86" s="467"/>
      <c r="X86" s="463"/>
      <c r="Y86" s="462" t="s">
        <v>16</v>
      </c>
      <c r="Z86" s="464"/>
      <c r="AA86" s="465"/>
      <c r="AB86" s="462" t="s">
        <v>16</v>
      </c>
      <c r="AC86" s="466"/>
      <c r="AD86" s="463"/>
      <c r="AE86" s="462" t="s">
        <v>16</v>
      </c>
      <c r="AF86" s="464"/>
      <c r="AG86" s="468"/>
      <c r="AH86" s="462" t="s">
        <v>16</v>
      </c>
      <c r="AI86" s="469"/>
      <c r="AJ86" s="469" t="s">
        <v>157</v>
      </c>
      <c r="AK86" s="470"/>
      <c r="AL86" s="471"/>
      <c r="AM86" s="462" t="s">
        <v>16</v>
      </c>
      <c r="AN86" s="469"/>
      <c r="AO86" s="469" t="s">
        <v>157</v>
      </c>
      <c r="AP86" s="470"/>
      <c r="AQ86" s="468"/>
      <c r="AR86" s="462" t="s">
        <v>16</v>
      </c>
      <c r="AS86" s="469"/>
      <c r="AT86" s="469" t="s">
        <v>157</v>
      </c>
      <c r="AU86" s="470"/>
      <c r="AV86" s="463"/>
      <c r="AW86" s="462"/>
      <c r="AX86" s="462"/>
      <c r="AY86" s="469"/>
      <c r="AZ86" s="472">
        <v>100</v>
      </c>
      <c r="BA86" s="465"/>
      <c r="BB86" s="462"/>
      <c r="BC86" s="462"/>
      <c r="BD86" s="469"/>
      <c r="BE86" s="472">
        <v>100</v>
      </c>
      <c r="BF86" s="475"/>
      <c r="BG86" s="462"/>
      <c r="BH86" s="462"/>
      <c r="BI86" s="469"/>
      <c r="BJ86" s="473">
        <v>100</v>
      </c>
    </row>
    <row r="87" spans="2:62" s="474" customFormat="1">
      <c r="B87" s="461"/>
      <c r="C87" s="297"/>
      <c r="D87" s="462"/>
      <c r="E87" s="462"/>
      <c r="F87" s="463"/>
      <c r="G87" s="462" t="s">
        <v>16</v>
      </c>
      <c r="H87" s="464"/>
      <c r="I87" s="465"/>
      <c r="J87" s="462" t="s">
        <v>16</v>
      </c>
      <c r="K87" s="466"/>
      <c r="L87" s="345"/>
      <c r="M87" s="462" t="s">
        <v>16</v>
      </c>
      <c r="N87" s="464"/>
      <c r="O87" s="1901">
        <v>0</v>
      </c>
      <c r="P87" s="462" t="s">
        <v>16</v>
      </c>
      <c r="Q87" s="1898">
        <v>8</v>
      </c>
      <c r="R87" s="345"/>
      <c r="S87" s="462" t="s">
        <v>16</v>
      </c>
      <c r="T87" s="466">
        <v>10</v>
      </c>
      <c r="U87" s="462" t="s">
        <v>157</v>
      </c>
      <c r="V87" s="462">
        <v>1000</v>
      </c>
      <c r="W87" s="467"/>
      <c r="X87" s="463"/>
      <c r="Y87" s="462" t="s">
        <v>16</v>
      </c>
      <c r="Z87" s="464"/>
      <c r="AA87" s="465"/>
      <c r="AB87" s="462" t="s">
        <v>16</v>
      </c>
      <c r="AC87" s="466"/>
      <c r="AD87" s="463"/>
      <c r="AE87" s="462" t="s">
        <v>16</v>
      </c>
      <c r="AF87" s="464"/>
      <c r="AG87" s="468"/>
      <c r="AH87" s="462" t="s">
        <v>16</v>
      </c>
      <c r="AI87" s="469"/>
      <c r="AJ87" s="469" t="s">
        <v>157</v>
      </c>
      <c r="AK87" s="470"/>
      <c r="AL87" s="471"/>
      <c r="AM87" s="462" t="s">
        <v>16</v>
      </c>
      <c r="AN87" s="469"/>
      <c r="AO87" s="469" t="s">
        <v>157</v>
      </c>
      <c r="AP87" s="470"/>
      <c r="AQ87" s="468"/>
      <c r="AR87" s="462" t="s">
        <v>16</v>
      </c>
      <c r="AS87" s="469"/>
      <c r="AT87" s="469" t="s">
        <v>157</v>
      </c>
      <c r="AU87" s="470"/>
      <c r="AV87" s="463"/>
      <c r="AW87" s="462"/>
      <c r="AX87" s="462"/>
      <c r="AY87" s="469"/>
      <c r="AZ87" s="472">
        <v>100</v>
      </c>
      <c r="BA87" s="465"/>
      <c r="BB87" s="462"/>
      <c r="BC87" s="462"/>
      <c r="BD87" s="469"/>
      <c r="BE87" s="472">
        <v>100</v>
      </c>
      <c r="BF87" s="475"/>
      <c r="BG87" s="462"/>
      <c r="BH87" s="462"/>
      <c r="BI87" s="469"/>
      <c r="BJ87" s="473">
        <v>100</v>
      </c>
    </row>
    <row r="88" spans="2:62" s="474" customFormat="1">
      <c r="B88" s="461"/>
      <c r="C88" s="297"/>
      <c r="D88" s="462"/>
      <c r="E88" s="462"/>
      <c r="F88" s="463"/>
      <c r="G88" s="462" t="s">
        <v>16</v>
      </c>
      <c r="H88" s="464"/>
      <c r="I88" s="465"/>
      <c r="J88" s="462" t="s">
        <v>16</v>
      </c>
      <c r="K88" s="466"/>
      <c r="L88" s="345"/>
      <c r="M88" s="462" t="s">
        <v>16</v>
      </c>
      <c r="N88" s="464"/>
      <c r="O88" s="1901">
        <v>0</v>
      </c>
      <c r="P88" s="462" t="s">
        <v>16</v>
      </c>
      <c r="Q88" s="1898">
        <v>8</v>
      </c>
      <c r="R88" s="345"/>
      <c r="S88" s="462" t="s">
        <v>16</v>
      </c>
      <c r="T88" s="466">
        <v>10</v>
      </c>
      <c r="U88" s="462" t="s">
        <v>157</v>
      </c>
      <c r="V88" s="462">
        <v>1000</v>
      </c>
      <c r="W88" s="467"/>
      <c r="X88" s="463"/>
      <c r="Y88" s="462" t="s">
        <v>16</v>
      </c>
      <c r="Z88" s="464"/>
      <c r="AA88" s="465"/>
      <c r="AB88" s="462" t="s">
        <v>16</v>
      </c>
      <c r="AC88" s="466"/>
      <c r="AD88" s="463"/>
      <c r="AE88" s="462" t="s">
        <v>16</v>
      </c>
      <c r="AF88" s="464"/>
      <c r="AG88" s="468"/>
      <c r="AH88" s="462" t="s">
        <v>16</v>
      </c>
      <c r="AI88" s="469"/>
      <c r="AJ88" s="469" t="s">
        <v>157</v>
      </c>
      <c r="AK88" s="470"/>
      <c r="AL88" s="471"/>
      <c r="AM88" s="462" t="s">
        <v>16</v>
      </c>
      <c r="AN88" s="469"/>
      <c r="AO88" s="469" t="s">
        <v>157</v>
      </c>
      <c r="AP88" s="470"/>
      <c r="AQ88" s="468"/>
      <c r="AR88" s="462" t="s">
        <v>16</v>
      </c>
      <c r="AS88" s="469"/>
      <c r="AT88" s="469" t="s">
        <v>157</v>
      </c>
      <c r="AU88" s="470"/>
      <c r="AV88" s="463"/>
      <c r="AW88" s="462"/>
      <c r="AX88" s="462"/>
      <c r="AY88" s="469"/>
      <c r="AZ88" s="472">
        <v>100</v>
      </c>
      <c r="BA88" s="465"/>
      <c r="BB88" s="462"/>
      <c r="BC88" s="462"/>
      <c r="BD88" s="469"/>
      <c r="BE88" s="472">
        <v>100</v>
      </c>
      <c r="BF88" s="475"/>
      <c r="BG88" s="462"/>
      <c r="BH88" s="462"/>
      <c r="BI88" s="469"/>
      <c r="BJ88" s="473">
        <v>100</v>
      </c>
    </row>
    <row r="89" spans="2:62" s="474" customFormat="1">
      <c r="B89" s="461"/>
      <c r="C89" s="297"/>
      <c r="D89" s="462"/>
      <c r="E89" s="462"/>
      <c r="F89" s="463"/>
      <c r="G89" s="462" t="s">
        <v>16</v>
      </c>
      <c r="H89" s="464"/>
      <c r="I89" s="465"/>
      <c r="J89" s="462" t="s">
        <v>16</v>
      </c>
      <c r="K89" s="466"/>
      <c r="L89" s="345"/>
      <c r="M89" s="462" t="s">
        <v>16</v>
      </c>
      <c r="N89" s="464"/>
      <c r="O89" s="1901">
        <v>0</v>
      </c>
      <c r="P89" s="462" t="s">
        <v>16</v>
      </c>
      <c r="Q89" s="1898">
        <v>8</v>
      </c>
      <c r="R89" s="345"/>
      <c r="S89" s="462" t="s">
        <v>16</v>
      </c>
      <c r="T89" s="466">
        <v>10</v>
      </c>
      <c r="U89" s="462" t="s">
        <v>157</v>
      </c>
      <c r="V89" s="462">
        <v>1000</v>
      </c>
      <c r="W89" s="467"/>
      <c r="X89" s="463"/>
      <c r="Y89" s="462" t="s">
        <v>16</v>
      </c>
      <c r="Z89" s="464"/>
      <c r="AA89" s="465"/>
      <c r="AB89" s="462" t="s">
        <v>16</v>
      </c>
      <c r="AC89" s="466"/>
      <c r="AD89" s="463"/>
      <c r="AE89" s="462" t="s">
        <v>16</v>
      </c>
      <c r="AF89" s="464"/>
      <c r="AG89" s="468"/>
      <c r="AH89" s="462" t="s">
        <v>16</v>
      </c>
      <c r="AI89" s="469"/>
      <c r="AJ89" s="469" t="s">
        <v>157</v>
      </c>
      <c r="AK89" s="470"/>
      <c r="AL89" s="471"/>
      <c r="AM89" s="462" t="s">
        <v>16</v>
      </c>
      <c r="AN89" s="469"/>
      <c r="AO89" s="469" t="s">
        <v>157</v>
      </c>
      <c r="AP89" s="470"/>
      <c r="AQ89" s="468"/>
      <c r="AR89" s="462" t="s">
        <v>16</v>
      </c>
      <c r="AS89" s="469"/>
      <c r="AT89" s="469" t="s">
        <v>157</v>
      </c>
      <c r="AU89" s="470"/>
      <c r="AV89" s="463"/>
      <c r="AW89" s="462"/>
      <c r="AX89" s="462"/>
      <c r="AY89" s="469"/>
      <c r="AZ89" s="472">
        <v>100</v>
      </c>
      <c r="BA89" s="465"/>
      <c r="BB89" s="462"/>
      <c r="BC89" s="462"/>
      <c r="BD89" s="469"/>
      <c r="BE89" s="472">
        <v>100</v>
      </c>
      <c r="BF89" s="475"/>
      <c r="BG89" s="462"/>
      <c r="BH89" s="462"/>
      <c r="BI89" s="469"/>
      <c r="BJ89" s="473">
        <v>100</v>
      </c>
    </row>
    <row r="90" spans="2:62" s="474" customFormat="1">
      <c r="B90" s="461"/>
      <c r="C90" s="297"/>
      <c r="D90" s="462"/>
      <c r="E90" s="462"/>
      <c r="F90" s="463"/>
      <c r="G90" s="462" t="s">
        <v>16</v>
      </c>
      <c r="H90" s="464"/>
      <c r="I90" s="465"/>
      <c r="J90" s="462" t="s">
        <v>16</v>
      </c>
      <c r="K90" s="466"/>
      <c r="L90" s="345"/>
      <c r="M90" s="462" t="s">
        <v>16</v>
      </c>
      <c r="N90" s="464"/>
      <c r="O90" s="1901">
        <v>0</v>
      </c>
      <c r="P90" s="462" t="s">
        <v>16</v>
      </c>
      <c r="Q90" s="1898">
        <v>8</v>
      </c>
      <c r="R90" s="345"/>
      <c r="S90" s="462" t="s">
        <v>16</v>
      </c>
      <c r="T90" s="466">
        <v>10</v>
      </c>
      <c r="U90" s="462" t="s">
        <v>157</v>
      </c>
      <c r="V90" s="462">
        <v>1000</v>
      </c>
      <c r="W90" s="467"/>
      <c r="X90" s="463"/>
      <c r="Y90" s="462" t="s">
        <v>16</v>
      </c>
      <c r="Z90" s="464"/>
      <c r="AA90" s="465"/>
      <c r="AB90" s="462" t="s">
        <v>16</v>
      </c>
      <c r="AC90" s="466"/>
      <c r="AD90" s="463"/>
      <c r="AE90" s="462" t="s">
        <v>16</v>
      </c>
      <c r="AF90" s="464"/>
      <c r="AG90" s="468"/>
      <c r="AH90" s="462" t="s">
        <v>16</v>
      </c>
      <c r="AI90" s="469"/>
      <c r="AJ90" s="469" t="s">
        <v>157</v>
      </c>
      <c r="AK90" s="470"/>
      <c r="AL90" s="471"/>
      <c r="AM90" s="462" t="s">
        <v>16</v>
      </c>
      <c r="AN90" s="469"/>
      <c r="AO90" s="469" t="s">
        <v>157</v>
      </c>
      <c r="AP90" s="470"/>
      <c r="AQ90" s="468"/>
      <c r="AR90" s="462" t="s">
        <v>16</v>
      </c>
      <c r="AS90" s="469"/>
      <c r="AT90" s="469" t="s">
        <v>157</v>
      </c>
      <c r="AU90" s="470"/>
      <c r="AV90" s="463"/>
      <c r="AW90" s="462"/>
      <c r="AX90" s="462"/>
      <c r="AY90" s="469"/>
      <c r="AZ90" s="472"/>
      <c r="BA90" s="465"/>
      <c r="BB90" s="462"/>
      <c r="BC90" s="462"/>
      <c r="BD90" s="469"/>
      <c r="BE90" s="472"/>
      <c r="BF90" s="475"/>
      <c r="BG90" s="462"/>
      <c r="BH90" s="462"/>
      <c r="BI90" s="469"/>
      <c r="BJ90" s="473"/>
    </row>
    <row r="91" spans="2:62" s="474" customFormat="1">
      <c r="B91" s="461"/>
      <c r="C91" s="297"/>
      <c r="D91" s="462"/>
      <c r="E91" s="462"/>
      <c r="F91" s="463"/>
      <c r="G91" s="462" t="s">
        <v>16</v>
      </c>
      <c r="H91" s="464"/>
      <c r="I91" s="465"/>
      <c r="J91" s="462" t="s">
        <v>16</v>
      </c>
      <c r="K91" s="466"/>
      <c r="L91" s="345"/>
      <c r="M91" s="462" t="s">
        <v>16</v>
      </c>
      <c r="N91" s="464"/>
      <c r="O91" s="1901">
        <v>0</v>
      </c>
      <c r="P91" s="462" t="s">
        <v>16</v>
      </c>
      <c r="Q91" s="1898">
        <v>8</v>
      </c>
      <c r="R91" s="345"/>
      <c r="S91" s="462" t="s">
        <v>16</v>
      </c>
      <c r="T91" s="466">
        <v>10</v>
      </c>
      <c r="U91" s="462" t="s">
        <v>157</v>
      </c>
      <c r="V91" s="462">
        <v>1000</v>
      </c>
      <c r="W91" s="467"/>
      <c r="X91" s="463"/>
      <c r="Y91" s="462" t="s">
        <v>16</v>
      </c>
      <c r="Z91" s="464"/>
      <c r="AA91" s="465"/>
      <c r="AB91" s="462" t="s">
        <v>16</v>
      </c>
      <c r="AC91" s="466"/>
      <c r="AD91" s="463"/>
      <c r="AE91" s="462" t="s">
        <v>16</v>
      </c>
      <c r="AF91" s="464"/>
      <c r="AG91" s="468"/>
      <c r="AH91" s="462" t="s">
        <v>16</v>
      </c>
      <c r="AI91" s="469"/>
      <c r="AJ91" s="469" t="s">
        <v>157</v>
      </c>
      <c r="AK91" s="470"/>
      <c r="AL91" s="471"/>
      <c r="AM91" s="462" t="s">
        <v>16</v>
      </c>
      <c r="AN91" s="469"/>
      <c r="AO91" s="469" t="s">
        <v>157</v>
      </c>
      <c r="AP91" s="470"/>
      <c r="AQ91" s="468"/>
      <c r="AR91" s="462" t="s">
        <v>16</v>
      </c>
      <c r="AS91" s="469"/>
      <c r="AT91" s="469" t="s">
        <v>157</v>
      </c>
      <c r="AU91" s="470"/>
      <c r="AV91" s="463"/>
      <c r="AW91" s="462"/>
      <c r="AX91" s="462"/>
      <c r="AY91" s="469"/>
      <c r="AZ91" s="472">
        <v>100</v>
      </c>
      <c r="BA91" s="465"/>
      <c r="BB91" s="462"/>
      <c r="BC91" s="462"/>
      <c r="BD91" s="469"/>
      <c r="BE91" s="472">
        <v>100</v>
      </c>
      <c r="BF91" s="475"/>
      <c r="BG91" s="462"/>
      <c r="BH91" s="462"/>
      <c r="BI91" s="469"/>
      <c r="BJ91" s="473">
        <v>100</v>
      </c>
    </row>
    <row r="92" spans="2:62" s="474" customFormat="1">
      <c r="B92" s="461"/>
      <c r="C92" s="297"/>
      <c r="D92" s="462"/>
      <c r="E92" s="462"/>
      <c r="F92" s="463"/>
      <c r="G92" s="462" t="s">
        <v>16</v>
      </c>
      <c r="H92" s="464"/>
      <c r="I92" s="465"/>
      <c r="J92" s="462" t="s">
        <v>16</v>
      </c>
      <c r="K92" s="466"/>
      <c r="L92" s="345"/>
      <c r="M92" s="462" t="s">
        <v>16</v>
      </c>
      <c r="N92" s="464"/>
      <c r="O92" s="1901">
        <v>0</v>
      </c>
      <c r="P92" s="462" t="s">
        <v>16</v>
      </c>
      <c r="Q92" s="1898">
        <v>8</v>
      </c>
      <c r="R92" s="345"/>
      <c r="S92" s="462" t="s">
        <v>16</v>
      </c>
      <c r="T92" s="466">
        <v>10</v>
      </c>
      <c r="U92" s="462" t="s">
        <v>157</v>
      </c>
      <c r="V92" s="462">
        <v>1000</v>
      </c>
      <c r="W92" s="467"/>
      <c r="X92" s="463"/>
      <c r="Y92" s="462" t="s">
        <v>16</v>
      </c>
      <c r="Z92" s="464"/>
      <c r="AA92" s="465"/>
      <c r="AB92" s="462" t="s">
        <v>16</v>
      </c>
      <c r="AC92" s="466"/>
      <c r="AD92" s="463"/>
      <c r="AE92" s="462" t="s">
        <v>16</v>
      </c>
      <c r="AF92" s="464"/>
      <c r="AG92" s="468"/>
      <c r="AH92" s="462" t="s">
        <v>16</v>
      </c>
      <c r="AI92" s="469"/>
      <c r="AJ92" s="469" t="s">
        <v>157</v>
      </c>
      <c r="AK92" s="470"/>
      <c r="AL92" s="471"/>
      <c r="AM92" s="462" t="s">
        <v>16</v>
      </c>
      <c r="AN92" s="469"/>
      <c r="AO92" s="469" t="s">
        <v>157</v>
      </c>
      <c r="AP92" s="470"/>
      <c r="AQ92" s="468"/>
      <c r="AR92" s="462" t="s">
        <v>16</v>
      </c>
      <c r="AS92" s="469"/>
      <c r="AT92" s="469" t="s">
        <v>157</v>
      </c>
      <c r="AU92" s="470"/>
      <c r="AV92" s="463"/>
      <c r="AW92" s="462"/>
      <c r="AX92" s="462"/>
      <c r="AY92" s="469"/>
      <c r="AZ92" s="472">
        <v>100</v>
      </c>
      <c r="BA92" s="465"/>
      <c r="BB92" s="462"/>
      <c r="BC92" s="462"/>
      <c r="BD92" s="469"/>
      <c r="BE92" s="472">
        <v>100</v>
      </c>
      <c r="BF92" s="475"/>
      <c r="BG92" s="462"/>
      <c r="BH92" s="462"/>
      <c r="BI92" s="469"/>
      <c r="BJ92" s="473">
        <v>100</v>
      </c>
    </row>
    <row r="93" spans="2:62" s="474" customFormat="1">
      <c r="B93" s="461"/>
      <c r="C93" s="297"/>
      <c r="D93" s="462"/>
      <c r="E93" s="462"/>
      <c r="F93" s="463"/>
      <c r="G93" s="462" t="s">
        <v>16</v>
      </c>
      <c r="H93" s="464"/>
      <c r="I93" s="465"/>
      <c r="J93" s="462" t="s">
        <v>16</v>
      </c>
      <c r="K93" s="466"/>
      <c r="L93" s="345"/>
      <c r="M93" s="462" t="s">
        <v>16</v>
      </c>
      <c r="N93" s="464"/>
      <c r="O93" s="1901">
        <v>0</v>
      </c>
      <c r="P93" s="462" t="s">
        <v>16</v>
      </c>
      <c r="Q93" s="1898">
        <v>8</v>
      </c>
      <c r="R93" s="345"/>
      <c r="S93" s="462" t="s">
        <v>16</v>
      </c>
      <c r="T93" s="466">
        <v>10</v>
      </c>
      <c r="U93" s="462" t="s">
        <v>157</v>
      </c>
      <c r="V93" s="462">
        <v>1000</v>
      </c>
      <c r="W93" s="467"/>
      <c r="X93" s="463"/>
      <c r="Y93" s="462" t="s">
        <v>16</v>
      </c>
      <c r="Z93" s="464"/>
      <c r="AA93" s="465"/>
      <c r="AB93" s="462" t="s">
        <v>16</v>
      </c>
      <c r="AC93" s="466"/>
      <c r="AD93" s="463"/>
      <c r="AE93" s="462" t="s">
        <v>16</v>
      </c>
      <c r="AF93" s="464"/>
      <c r="AG93" s="468"/>
      <c r="AH93" s="462" t="s">
        <v>16</v>
      </c>
      <c r="AI93" s="469"/>
      <c r="AJ93" s="469" t="s">
        <v>157</v>
      </c>
      <c r="AK93" s="470"/>
      <c r="AL93" s="471"/>
      <c r="AM93" s="462" t="s">
        <v>16</v>
      </c>
      <c r="AN93" s="469"/>
      <c r="AO93" s="469" t="s">
        <v>157</v>
      </c>
      <c r="AP93" s="470"/>
      <c r="AQ93" s="468"/>
      <c r="AR93" s="462" t="s">
        <v>16</v>
      </c>
      <c r="AS93" s="469"/>
      <c r="AT93" s="469" t="s">
        <v>157</v>
      </c>
      <c r="AU93" s="470"/>
      <c r="AV93" s="463"/>
      <c r="AW93" s="462"/>
      <c r="AX93" s="462"/>
      <c r="AY93" s="469"/>
      <c r="AZ93" s="472">
        <v>100</v>
      </c>
      <c r="BA93" s="465"/>
      <c r="BB93" s="462"/>
      <c r="BC93" s="462"/>
      <c r="BD93" s="469"/>
      <c r="BE93" s="472">
        <v>100</v>
      </c>
      <c r="BF93" s="475"/>
      <c r="BG93" s="462"/>
      <c r="BH93" s="462"/>
      <c r="BI93" s="469"/>
      <c r="BJ93" s="473">
        <v>100</v>
      </c>
    </row>
    <row r="94" spans="2:62" s="474" customFormat="1">
      <c r="B94" s="461"/>
      <c r="C94" s="297"/>
      <c r="D94" s="462"/>
      <c r="E94" s="462"/>
      <c r="F94" s="463"/>
      <c r="G94" s="462" t="s">
        <v>16</v>
      </c>
      <c r="H94" s="464"/>
      <c r="I94" s="465"/>
      <c r="J94" s="462" t="s">
        <v>16</v>
      </c>
      <c r="K94" s="466"/>
      <c r="L94" s="345"/>
      <c r="M94" s="462" t="s">
        <v>16</v>
      </c>
      <c r="N94" s="464"/>
      <c r="O94" s="1901">
        <v>0</v>
      </c>
      <c r="P94" s="462" t="s">
        <v>16</v>
      </c>
      <c r="Q94" s="1898">
        <v>8</v>
      </c>
      <c r="R94" s="345"/>
      <c r="S94" s="462" t="s">
        <v>16</v>
      </c>
      <c r="T94" s="466">
        <v>10</v>
      </c>
      <c r="U94" s="462" t="s">
        <v>157</v>
      </c>
      <c r="V94" s="462">
        <v>1000</v>
      </c>
      <c r="W94" s="467"/>
      <c r="X94" s="463"/>
      <c r="Y94" s="462" t="s">
        <v>16</v>
      </c>
      <c r="Z94" s="464"/>
      <c r="AA94" s="465"/>
      <c r="AB94" s="462" t="s">
        <v>16</v>
      </c>
      <c r="AC94" s="466"/>
      <c r="AD94" s="463"/>
      <c r="AE94" s="462" t="s">
        <v>16</v>
      </c>
      <c r="AF94" s="464"/>
      <c r="AG94" s="468"/>
      <c r="AH94" s="462" t="s">
        <v>16</v>
      </c>
      <c r="AI94" s="469"/>
      <c r="AJ94" s="469" t="s">
        <v>157</v>
      </c>
      <c r="AK94" s="470"/>
      <c r="AL94" s="471"/>
      <c r="AM94" s="462" t="s">
        <v>16</v>
      </c>
      <c r="AN94" s="469"/>
      <c r="AO94" s="469" t="s">
        <v>157</v>
      </c>
      <c r="AP94" s="470"/>
      <c r="AQ94" s="468"/>
      <c r="AR94" s="462" t="s">
        <v>16</v>
      </c>
      <c r="AS94" s="469"/>
      <c r="AT94" s="469" t="s">
        <v>157</v>
      </c>
      <c r="AU94" s="470"/>
      <c r="AV94" s="463"/>
      <c r="AW94" s="462"/>
      <c r="AX94" s="462"/>
      <c r="AY94" s="469"/>
      <c r="AZ94" s="472">
        <v>100</v>
      </c>
      <c r="BA94" s="465"/>
      <c r="BB94" s="462"/>
      <c r="BC94" s="462"/>
      <c r="BD94" s="469"/>
      <c r="BE94" s="472">
        <v>100</v>
      </c>
      <c r="BF94" s="475"/>
      <c r="BG94" s="462"/>
      <c r="BH94" s="462"/>
      <c r="BI94" s="469"/>
      <c r="BJ94" s="473">
        <v>100</v>
      </c>
    </row>
    <row r="95" spans="2:62" s="474" customFormat="1">
      <c r="B95" s="461"/>
      <c r="C95" s="297"/>
      <c r="D95" s="462"/>
      <c r="E95" s="462"/>
      <c r="F95" s="463"/>
      <c r="G95" s="462" t="s">
        <v>16</v>
      </c>
      <c r="H95" s="464"/>
      <c r="I95" s="465"/>
      <c r="J95" s="462" t="s">
        <v>16</v>
      </c>
      <c r="K95" s="466"/>
      <c r="L95" s="345"/>
      <c r="M95" s="462" t="s">
        <v>16</v>
      </c>
      <c r="N95" s="464"/>
      <c r="O95" s="1901">
        <v>0</v>
      </c>
      <c r="P95" s="462" t="s">
        <v>16</v>
      </c>
      <c r="Q95" s="1898">
        <v>8</v>
      </c>
      <c r="R95" s="345"/>
      <c r="S95" s="462" t="s">
        <v>16</v>
      </c>
      <c r="T95" s="466">
        <v>10</v>
      </c>
      <c r="U95" s="462" t="s">
        <v>157</v>
      </c>
      <c r="V95" s="462">
        <v>1000</v>
      </c>
      <c r="W95" s="467"/>
      <c r="X95" s="463"/>
      <c r="Y95" s="462" t="s">
        <v>16</v>
      </c>
      <c r="Z95" s="464"/>
      <c r="AA95" s="465"/>
      <c r="AB95" s="462" t="s">
        <v>16</v>
      </c>
      <c r="AC95" s="466"/>
      <c r="AD95" s="463"/>
      <c r="AE95" s="462" t="s">
        <v>16</v>
      </c>
      <c r="AF95" s="464"/>
      <c r="AG95" s="468"/>
      <c r="AH95" s="462" t="s">
        <v>16</v>
      </c>
      <c r="AI95" s="469"/>
      <c r="AJ95" s="469" t="s">
        <v>157</v>
      </c>
      <c r="AK95" s="470"/>
      <c r="AL95" s="471"/>
      <c r="AM95" s="462" t="s">
        <v>16</v>
      </c>
      <c r="AN95" s="469"/>
      <c r="AO95" s="469" t="s">
        <v>157</v>
      </c>
      <c r="AP95" s="470"/>
      <c r="AQ95" s="468"/>
      <c r="AR95" s="462" t="s">
        <v>16</v>
      </c>
      <c r="AS95" s="469"/>
      <c r="AT95" s="469" t="s">
        <v>157</v>
      </c>
      <c r="AU95" s="470"/>
      <c r="AV95" s="463"/>
      <c r="AW95" s="462"/>
      <c r="AX95" s="462"/>
      <c r="AY95" s="469"/>
      <c r="AZ95" s="472">
        <v>100</v>
      </c>
      <c r="BA95" s="465"/>
      <c r="BB95" s="462"/>
      <c r="BC95" s="462"/>
      <c r="BD95" s="469"/>
      <c r="BE95" s="472">
        <v>100</v>
      </c>
      <c r="BF95" s="475"/>
      <c r="BG95" s="462"/>
      <c r="BH95" s="462"/>
      <c r="BI95" s="469"/>
      <c r="BJ95" s="473">
        <v>100</v>
      </c>
    </row>
    <row r="96" spans="2:62" s="474" customFormat="1">
      <c r="B96" s="461"/>
      <c r="C96" s="297"/>
      <c r="D96" s="462"/>
      <c r="E96" s="462"/>
      <c r="F96" s="463"/>
      <c r="G96" s="462" t="s">
        <v>16</v>
      </c>
      <c r="H96" s="464"/>
      <c r="I96" s="465"/>
      <c r="J96" s="462" t="s">
        <v>16</v>
      </c>
      <c r="K96" s="466"/>
      <c r="L96" s="345"/>
      <c r="M96" s="462" t="s">
        <v>16</v>
      </c>
      <c r="N96" s="464"/>
      <c r="O96" s="1901">
        <v>0</v>
      </c>
      <c r="P96" s="462" t="s">
        <v>16</v>
      </c>
      <c r="Q96" s="1898">
        <v>8</v>
      </c>
      <c r="R96" s="345"/>
      <c r="S96" s="462" t="s">
        <v>16</v>
      </c>
      <c r="T96" s="466">
        <v>10</v>
      </c>
      <c r="U96" s="462" t="s">
        <v>157</v>
      </c>
      <c r="V96" s="462">
        <v>1000</v>
      </c>
      <c r="W96" s="467"/>
      <c r="X96" s="463"/>
      <c r="Y96" s="462" t="s">
        <v>16</v>
      </c>
      <c r="Z96" s="464"/>
      <c r="AA96" s="465"/>
      <c r="AB96" s="462" t="s">
        <v>16</v>
      </c>
      <c r="AC96" s="466"/>
      <c r="AD96" s="463"/>
      <c r="AE96" s="462" t="s">
        <v>16</v>
      </c>
      <c r="AF96" s="464"/>
      <c r="AG96" s="468"/>
      <c r="AH96" s="462" t="s">
        <v>16</v>
      </c>
      <c r="AI96" s="469"/>
      <c r="AJ96" s="469" t="s">
        <v>157</v>
      </c>
      <c r="AK96" s="470"/>
      <c r="AL96" s="471"/>
      <c r="AM96" s="462" t="s">
        <v>16</v>
      </c>
      <c r="AN96" s="469"/>
      <c r="AO96" s="469" t="s">
        <v>157</v>
      </c>
      <c r="AP96" s="470"/>
      <c r="AQ96" s="468"/>
      <c r="AR96" s="462" t="s">
        <v>16</v>
      </c>
      <c r="AS96" s="469"/>
      <c r="AT96" s="469" t="s">
        <v>157</v>
      </c>
      <c r="AU96" s="470"/>
      <c r="AV96" s="463"/>
      <c r="AW96" s="462"/>
      <c r="AX96" s="462"/>
      <c r="AY96" s="469"/>
      <c r="AZ96" s="472">
        <v>100</v>
      </c>
      <c r="BA96" s="465"/>
      <c r="BB96" s="462"/>
      <c r="BC96" s="462"/>
      <c r="BD96" s="469"/>
      <c r="BE96" s="472">
        <v>100</v>
      </c>
      <c r="BF96" s="475"/>
      <c r="BG96" s="462"/>
      <c r="BH96" s="462"/>
      <c r="BI96" s="469"/>
      <c r="BJ96" s="473">
        <v>100</v>
      </c>
    </row>
    <row r="97" spans="2:62" s="474" customFormat="1">
      <c r="B97" s="461"/>
      <c r="C97" s="297"/>
      <c r="D97" s="462"/>
      <c r="E97" s="462"/>
      <c r="F97" s="463"/>
      <c r="G97" s="462" t="s">
        <v>16</v>
      </c>
      <c r="H97" s="464"/>
      <c r="I97" s="465"/>
      <c r="J97" s="462" t="s">
        <v>16</v>
      </c>
      <c r="K97" s="466"/>
      <c r="L97" s="345"/>
      <c r="M97" s="462" t="s">
        <v>16</v>
      </c>
      <c r="N97" s="464"/>
      <c r="O97" s="1901">
        <v>0</v>
      </c>
      <c r="P97" s="462" t="s">
        <v>16</v>
      </c>
      <c r="Q97" s="1898">
        <v>8</v>
      </c>
      <c r="R97" s="345"/>
      <c r="S97" s="462" t="s">
        <v>16</v>
      </c>
      <c r="T97" s="466">
        <v>10</v>
      </c>
      <c r="U97" s="462" t="s">
        <v>157</v>
      </c>
      <c r="V97" s="462">
        <v>1000</v>
      </c>
      <c r="W97" s="467"/>
      <c r="X97" s="463"/>
      <c r="Y97" s="462" t="s">
        <v>16</v>
      </c>
      <c r="Z97" s="464"/>
      <c r="AA97" s="465"/>
      <c r="AB97" s="462" t="s">
        <v>16</v>
      </c>
      <c r="AC97" s="466"/>
      <c r="AD97" s="463"/>
      <c r="AE97" s="462" t="s">
        <v>16</v>
      </c>
      <c r="AF97" s="464"/>
      <c r="AG97" s="468"/>
      <c r="AH97" s="462" t="s">
        <v>16</v>
      </c>
      <c r="AI97" s="469"/>
      <c r="AJ97" s="469" t="s">
        <v>157</v>
      </c>
      <c r="AK97" s="470"/>
      <c r="AL97" s="471"/>
      <c r="AM97" s="462" t="s">
        <v>16</v>
      </c>
      <c r="AN97" s="469"/>
      <c r="AO97" s="469" t="s">
        <v>157</v>
      </c>
      <c r="AP97" s="470"/>
      <c r="AQ97" s="468"/>
      <c r="AR97" s="462" t="s">
        <v>16</v>
      </c>
      <c r="AS97" s="469"/>
      <c r="AT97" s="469" t="s">
        <v>157</v>
      </c>
      <c r="AU97" s="470"/>
      <c r="AV97" s="463"/>
      <c r="AW97" s="462"/>
      <c r="AX97" s="462"/>
      <c r="AY97" s="469"/>
      <c r="AZ97" s="472">
        <v>100</v>
      </c>
      <c r="BA97" s="465"/>
      <c r="BB97" s="462"/>
      <c r="BC97" s="462"/>
      <c r="BD97" s="469"/>
      <c r="BE97" s="472">
        <v>100</v>
      </c>
      <c r="BF97" s="475"/>
      <c r="BG97" s="462"/>
      <c r="BH97" s="462"/>
      <c r="BI97" s="469"/>
      <c r="BJ97" s="473">
        <v>100</v>
      </c>
    </row>
    <row r="98" spans="2:62" s="474" customFormat="1">
      <c r="B98" s="461"/>
      <c r="C98" s="297"/>
      <c r="D98" s="462"/>
      <c r="E98" s="462"/>
      <c r="F98" s="463"/>
      <c r="G98" s="462" t="s">
        <v>16</v>
      </c>
      <c r="H98" s="464"/>
      <c r="I98" s="465"/>
      <c r="J98" s="462" t="s">
        <v>16</v>
      </c>
      <c r="K98" s="466"/>
      <c r="L98" s="345"/>
      <c r="M98" s="462" t="s">
        <v>16</v>
      </c>
      <c r="N98" s="464"/>
      <c r="O98" s="1901">
        <v>0</v>
      </c>
      <c r="P98" s="462" t="s">
        <v>16</v>
      </c>
      <c r="Q98" s="1898">
        <v>8</v>
      </c>
      <c r="R98" s="345"/>
      <c r="S98" s="462" t="s">
        <v>16</v>
      </c>
      <c r="T98" s="466">
        <v>10</v>
      </c>
      <c r="U98" s="462" t="s">
        <v>157</v>
      </c>
      <c r="V98" s="462">
        <v>1000</v>
      </c>
      <c r="W98" s="467"/>
      <c r="X98" s="463"/>
      <c r="Y98" s="462" t="s">
        <v>16</v>
      </c>
      <c r="Z98" s="464"/>
      <c r="AA98" s="465"/>
      <c r="AB98" s="462" t="s">
        <v>16</v>
      </c>
      <c r="AC98" s="466"/>
      <c r="AD98" s="463"/>
      <c r="AE98" s="462" t="s">
        <v>16</v>
      </c>
      <c r="AF98" s="464"/>
      <c r="AG98" s="468"/>
      <c r="AH98" s="462" t="s">
        <v>16</v>
      </c>
      <c r="AI98" s="469"/>
      <c r="AJ98" s="469" t="s">
        <v>157</v>
      </c>
      <c r="AK98" s="470"/>
      <c r="AL98" s="471"/>
      <c r="AM98" s="462" t="s">
        <v>16</v>
      </c>
      <c r="AN98" s="469"/>
      <c r="AO98" s="469" t="s">
        <v>157</v>
      </c>
      <c r="AP98" s="470"/>
      <c r="AQ98" s="468"/>
      <c r="AR98" s="462" t="s">
        <v>16</v>
      </c>
      <c r="AS98" s="469"/>
      <c r="AT98" s="469" t="s">
        <v>157</v>
      </c>
      <c r="AU98" s="470"/>
      <c r="AV98" s="463"/>
      <c r="AW98" s="462"/>
      <c r="AX98" s="462"/>
      <c r="AY98" s="469"/>
      <c r="AZ98" s="472">
        <v>100</v>
      </c>
      <c r="BA98" s="465"/>
      <c r="BB98" s="462"/>
      <c r="BC98" s="462"/>
      <c r="BD98" s="469"/>
      <c r="BE98" s="472">
        <v>100</v>
      </c>
      <c r="BF98" s="475"/>
      <c r="BG98" s="462"/>
      <c r="BH98" s="462"/>
      <c r="BI98" s="469"/>
      <c r="BJ98" s="473">
        <v>100</v>
      </c>
    </row>
    <row r="99" spans="2:62" s="474" customFormat="1">
      <c r="B99" s="461"/>
      <c r="C99" s="297"/>
      <c r="D99" s="462"/>
      <c r="E99" s="462"/>
      <c r="F99" s="463"/>
      <c r="G99" s="462" t="s">
        <v>16</v>
      </c>
      <c r="H99" s="464"/>
      <c r="I99" s="465"/>
      <c r="J99" s="462" t="s">
        <v>16</v>
      </c>
      <c r="K99" s="466"/>
      <c r="L99" s="345"/>
      <c r="M99" s="462" t="s">
        <v>16</v>
      </c>
      <c r="N99" s="464"/>
      <c r="O99" s="1901">
        <v>0</v>
      </c>
      <c r="P99" s="462" t="s">
        <v>16</v>
      </c>
      <c r="Q99" s="1898">
        <v>8</v>
      </c>
      <c r="R99" s="345"/>
      <c r="S99" s="462" t="s">
        <v>16</v>
      </c>
      <c r="T99" s="466">
        <v>10</v>
      </c>
      <c r="U99" s="462" t="s">
        <v>157</v>
      </c>
      <c r="V99" s="462">
        <v>1000</v>
      </c>
      <c r="W99" s="467"/>
      <c r="X99" s="463"/>
      <c r="Y99" s="462" t="s">
        <v>16</v>
      </c>
      <c r="Z99" s="464"/>
      <c r="AA99" s="465"/>
      <c r="AB99" s="462" t="s">
        <v>16</v>
      </c>
      <c r="AC99" s="466"/>
      <c r="AD99" s="463"/>
      <c r="AE99" s="462" t="s">
        <v>16</v>
      </c>
      <c r="AF99" s="464"/>
      <c r="AG99" s="468"/>
      <c r="AH99" s="462" t="s">
        <v>16</v>
      </c>
      <c r="AI99" s="469"/>
      <c r="AJ99" s="469" t="s">
        <v>157</v>
      </c>
      <c r="AK99" s="470"/>
      <c r="AL99" s="471"/>
      <c r="AM99" s="462" t="s">
        <v>16</v>
      </c>
      <c r="AN99" s="469"/>
      <c r="AO99" s="469" t="s">
        <v>157</v>
      </c>
      <c r="AP99" s="470"/>
      <c r="AQ99" s="468"/>
      <c r="AR99" s="462" t="s">
        <v>16</v>
      </c>
      <c r="AS99" s="469"/>
      <c r="AT99" s="469" t="s">
        <v>157</v>
      </c>
      <c r="AU99" s="470"/>
      <c r="AV99" s="463"/>
      <c r="AW99" s="462"/>
      <c r="AX99" s="462"/>
      <c r="AY99" s="469"/>
      <c r="AZ99" s="472">
        <v>100</v>
      </c>
      <c r="BA99" s="465"/>
      <c r="BB99" s="462"/>
      <c r="BC99" s="462"/>
      <c r="BD99" s="469"/>
      <c r="BE99" s="472">
        <v>100</v>
      </c>
      <c r="BF99" s="475"/>
      <c r="BG99" s="462"/>
      <c r="BH99" s="462"/>
      <c r="BI99" s="469"/>
      <c r="BJ99" s="473">
        <v>100</v>
      </c>
    </row>
    <row r="100" spans="2:62" s="474" customFormat="1">
      <c r="B100" s="461"/>
      <c r="C100" s="297"/>
      <c r="D100" s="462"/>
      <c r="E100" s="462"/>
      <c r="F100" s="463"/>
      <c r="G100" s="462" t="s">
        <v>16</v>
      </c>
      <c r="H100" s="464"/>
      <c r="I100" s="465"/>
      <c r="J100" s="462" t="s">
        <v>16</v>
      </c>
      <c r="K100" s="466"/>
      <c r="L100" s="345"/>
      <c r="M100" s="462" t="s">
        <v>16</v>
      </c>
      <c r="N100" s="464"/>
      <c r="O100" s="1901">
        <v>0</v>
      </c>
      <c r="P100" s="462" t="s">
        <v>16</v>
      </c>
      <c r="Q100" s="1898">
        <v>8</v>
      </c>
      <c r="R100" s="345"/>
      <c r="S100" s="462" t="s">
        <v>16</v>
      </c>
      <c r="T100" s="466">
        <v>10</v>
      </c>
      <c r="U100" s="462" t="s">
        <v>157</v>
      </c>
      <c r="V100" s="462">
        <v>1000</v>
      </c>
      <c r="W100" s="467"/>
      <c r="X100" s="463"/>
      <c r="Y100" s="462" t="s">
        <v>16</v>
      </c>
      <c r="Z100" s="464"/>
      <c r="AA100" s="465"/>
      <c r="AB100" s="462" t="s">
        <v>16</v>
      </c>
      <c r="AC100" s="466"/>
      <c r="AD100" s="463"/>
      <c r="AE100" s="462" t="s">
        <v>16</v>
      </c>
      <c r="AF100" s="464"/>
      <c r="AG100" s="468"/>
      <c r="AH100" s="462" t="s">
        <v>16</v>
      </c>
      <c r="AI100" s="469"/>
      <c r="AJ100" s="469" t="s">
        <v>157</v>
      </c>
      <c r="AK100" s="470"/>
      <c r="AL100" s="471"/>
      <c r="AM100" s="462" t="s">
        <v>16</v>
      </c>
      <c r="AN100" s="469"/>
      <c r="AO100" s="469" t="s">
        <v>157</v>
      </c>
      <c r="AP100" s="470"/>
      <c r="AQ100" s="468"/>
      <c r="AR100" s="462" t="s">
        <v>16</v>
      </c>
      <c r="AS100" s="469"/>
      <c r="AT100" s="469" t="s">
        <v>157</v>
      </c>
      <c r="AU100" s="470"/>
      <c r="AV100" s="463"/>
      <c r="AW100" s="462"/>
      <c r="AX100" s="462"/>
      <c r="AY100" s="469"/>
      <c r="AZ100" s="472">
        <v>100</v>
      </c>
      <c r="BA100" s="465"/>
      <c r="BB100" s="462"/>
      <c r="BC100" s="462"/>
      <c r="BD100" s="469"/>
      <c r="BE100" s="472">
        <v>100</v>
      </c>
      <c r="BF100" s="475"/>
      <c r="BG100" s="462"/>
      <c r="BH100" s="462"/>
      <c r="BI100" s="469"/>
      <c r="BJ100" s="473">
        <v>100</v>
      </c>
    </row>
    <row r="101" spans="2:62" s="474" customFormat="1">
      <c r="B101" s="461"/>
      <c r="C101" s="297"/>
      <c r="D101" s="462"/>
      <c r="E101" s="462"/>
      <c r="F101" s="463"/>
      <c r="G101" s="462" t="s">
        <v>16</v>
      </c>
      <c r="H101" s="464"/>
      <c r="I101" s="465"/>
      <c r="J101" s="462" t="s">
        <v>16</v>
      </c>
      <c r="K101" s="466"/>
      <c r="L101" s="345"/>
      <c r="M101" s="462" t="s">
        <v>16</v>
      </c>
      <c r="N101" s="464"/>
      <c r="O101" s="1901">
        <v>0</v>
      </c>
      <c r="P101" s="462" t="s">
        <v>16</v>
      </c>
      <c r="Q101" s="1898">
        <v>8</v>
      </c>
      <c r="R101" s="345"/>
      <c r="S101" s="462" t="s">
        <v>16</v>
      </c>
      <c r="T101" s="466">
        <v>10</v>
      </c>
      <c r="U101" s="462" t="s">
        <v>157</v>
      </c>
      <c r="V101" s="462">
        <v>1000</v>
      </c>
      <c r="W101" s="467"/>
      <c r="X101" s="463"/>
      <c r="Y101" s="462" t="s">
        <v>16</v>
      </c>
      <c r="Z101" s="464"/>
      <c r="AA101" s="465"/>
      <c r="AB101" s="462" t="s">
        <v>16</v>
      </c>
      <c r="AC101" s="466"/>
      <c r="AD101" s="463"/>
      <c r="AE101" s="462" t="s">
        <v>16</v>
      </c>
      <c r="AF101" s="464"/>
      <c r="AG101" s="468"/>
      <c r="AH101" s="462" t="s">
        <v>16</v>
      </c>
      <c r="AI101" s="469"/>
      <c r="AJ101" s="469" t="s">
        <v>157</v>
      </c>
      <c r="AK101" s="470"/>
      <c r="AL101" s="471"/>
      <c r="AM101" s="462" t="s">
        <v>16</v>
      </c>
      <c r="AN101" s="469"/>
      <c r="AO101" s="469" t="s">
        <v>157</v>
      </c>
      <c r="AP101" s="470"/>
      <c r="AQ101" s="468"/>
      <c r="AR101" s="462" t="s">
        <v>16</v>
      </c>
      <c r="AS101" s="469"/>
      <c r="AT101" s="469" t="s">
        <v>157</v>
      </c>
      <c r="AU101" s="470"/>
      <c r="AV101" s="463"/>
      <c r="AW101" s="462"/>
      <c r="AX101" s="462"/>
      <c r="AY101" s="469"/>
      <c r="AZ101" s="472">
        <v>100</v>
      </c>
      <c r="BA101" s="465"/>
      <c r="BB101" s="462"/>
      <c r="BC101" s="462"/>
      <c r="BD101" s="469"/>
      <c r="BE101" s="472">
        <v>100</v>
      </c>
      <c r="BF101" s="475"/>
      <c r="BG101" s="462"/>
      <c r="BH101" s="462"/>
      <c r="BI101" s="469"/>
      <c r="BJ101" s="473">
        <v>100</v>
      </c>
    </row>
    <row r="102" spans="2:62" s="474" customFormat="1">
      <c r="B102" s="461"/>
      <c r="C102" s="297"/>
      <c r="D102" s="462"/>
      <c r="E102" s="462"/>
      <c r="F102" s="463"/>
      <c r="G102" s="462" t="s">
        <v>16</v>
      </c>
      <c r="H102" s="464"/>
      <c r="I102" s="465"/>
      <c r="J102" s="462" t="s">
        <v>16</v>
      </c>
      <c r="K102" s="466"/>
      <c r="L102" s="345"/>
      <c r="M102" s="462" t="s">
        <v>16</v>
      </c>
      <c r="N102" s="464"/>
      <c r="O102" s="1901">
        <v>0</v>
      </c>
      <c r="P102" s="462" t="s">
        <v>16</v>
      </c>
      <c r="Q102" s="1898">
        <v>8</v>
      </c>
      <c r="R102" s="345"/>
      <c r="S102" s="462" t="s">
        <v>16</v>
      </c>
      <c r="T102" s="466">
        <v>10</v>
      </c>
      <c r="U102" s="462" t="s">
        <v>157</v>
      </c>
      <c r="V102" s="462">
        <v>1000</v>
      </c>
      <c r="W102" s="467"/>
      <c r="X102" s="463"/>
      <c r="Y102" s="462" t="s">
        <v>16</v>
      </c>
      <c r="Z102" s="464"/>
      <c r="AA102" s="465"/>
      <c r="AB102" s="462" t="s">
        <v>16</v>
      </c>
      <c r="AC102" s="466"/>
      <c r="AD102" s="463"/>
      <c r="AE102" s="462" t="s">
        <v>16</v>
      </c>
      <c r="AF102" s="464"/>
      <c r="AG102" s="468"/>
      <c r="AH102" s="462" t="s">
        <v>16</v>
      </c>
      <c r="AI102" s="469"/>
      <c r="AJ102" s="469" t="s">
        <v>157</v>
      </c>
      <c r="AK102" s="470"/>
      <c r="AL102" s="471"/>
      <c r="AM102" s="462" t="s">
        <v>16</v>
      </c>
      <c r="AN102" s="469"/>
      <c r="AO102" s="469" t="s">
        <v>157</v>
      </c>
      <c r="AP102" s="470"/>
      <c r="AQ102" s="468"/>
      <c r="AR102" s="462" t="s">
        <v>16</v>
      </c>
      <c r="AS102" s="469"/>
      <c r="AT102" s="469" t="s">
        <v>157</v>
      </c>
      <c r="AU102" s="470"/>
      <c r="AV102" s="463"/>
      <c r="AW102" s="462"/>
      <c r="AX102" s="462"/>
      <c r="AY102" s="469"/>
      <c r="AZ102" s="472">
        <v>100</v>
      </c>
      <c r="BA102" s="465"/>
      <c r="BB102" s="462"/>
      <c r="BC102" s="462"/>
      <c r="BD102" s="469"/>
      <c r="BE102" s="472">
        <v>100</v>
      </c>
      <c r="BF102" s="475"/>
      <c r="BG102" s="462"/>
      <c r="BH102" s="462"/>
      <c r="BI102" s="469"/>
      <c r="BJ102" s="473">
        <v>100</v>
      </c>
    </row>
    <row r="103" spans="2:62" s="474" customFormat="1">
      <c r="B103" s="461"/>
      <c r="C103" s="297"/>
      <c r="D103" s="462"/>
      <c r="E103" s="462"/>
      <c r="F103" s="463"/>
      <c r="G103" s="462" t="s">
        <v>16</v>
      </c>
      <c r="H103" s="464"/>
      <c r="I103" s="465"/>
      <c r="J103" s="462" t="s">
        <v>16</v>
      </c>
      <c r="K103" s="466"/>
      <c r="L103" s="345"/>
      <c r="M103" s="462" t="s">
        <v>16</v>
      </c>
      <c r="N103" s="464"/>
      <c r="O103" s="1901">
        <v>0</v>
      </c>
      <c r="P103" s="462" t="s">
        <v>16</v>
      </c>
      <c r="Q103" s="1898">
        <v>8</v>
      </c>
      <c r="R103" s="345"/>
      <c r="S103" s="462" t="s">
        <v>16</v>
      </c>
      <c r="T103" s="466">
        <v>10</v>
      </c>
      <c r="U103" s="462" t="s">
        <v>157</v>
      </c>
      <c r="V103" s="462">
        <v>1000</v>
      </c>
      <c r="W103" s="467"/>
      <c r="X103" s="463"/>
      <c r="Y103" s="462" t="s">
        <v>16</v>
      </c>
      <c r="Z103" s="464"/>
      <c r="AA103" s="465"/>
      <c r="AB103" s="462" t="s">
        <v>16</v>
      </c>
      <c r="AC103" s="466"/>
      <c r="AD103" s="463"/>
      <c r="AE103" s="462" t="s">
        <v>16</v>
      </c>
      <c r="AF103" s="464"/>
      <c r="AG103" s="468"/>
      <c r="AH103" s="462" t="s">
        <v>16</v>
      </c>
      <c r="AI103" s="469"/>
      <c r="AJ103" s="469" t="s">
        <v>157</v>
      </c>
      <c r="AK103" s="470"/>
      <c r="AL103" s="471"/>
      <c r="AM103" s="462" t="s">
        <v>16</v>
      </c>
      <c r="AN103" s="469"/>
      <c r="AO103" s="469" t="s">
        <v>157</v>
      </c>
      <c r="AP103" s="470"/>
      <c r="AQ103" s="468"/>
      <c r="AR103" s="462" t="s">
        <v>16</v>
      </c>
      <c r="AS103" s="469"/>
      <c r="AT103" s="469" t="s">
        <v>157</v>
      </c>
      <c r="AU103" s="470"/>
      <c r="AV103" s="463"/>
      <c r="AW103" s="462"/>
      <c r="AX103" s="462"/>
      <c r="AY103" s="469"/>
      <c r="AZ103" s="472">
        <v>100</v>
      </c>
      <c r="BA103" s="465"/>
      <c r="BB103" s="462"/>
      <c r="BC103" s="462"/>
      <c r="BD103" s="469"/>
      <c r="BE103" s="472">
        <v>100</v>
      </c>
      <c r="BF103" s="475"/>
      <c r="BG103" s="462"/>
      <c r="BH103" s="462"/>
      <c r="BI103" s="469"/>
      <c r="BJ103" s="473">
        <v>100</v>
      </c>
    </row>
    <row r="104" spans="2:62" s="474" customFormat="1">
      <c r="B104" s="461"/>
      <c r="C104" s="297"/>
      <c r="D104" s="462"/>
      <c r="E104" s="462"/>
      <c r="F104" s="463"/>
      <c r="G104" s="462" t="s">
        <v>16</v>
      </c>
      <c r="H104" s="464"/>
      <c r="I104" s="465"/>
      <c r="J104" s="462" t="s">
        <v>16</v>
      </c>
      <c r="K104" s="466"/>
      <c r="L104" s="345"/>
      <c r="M104" s="462" t="s">
        <v>16</v>
      </c>
      <c r="N104" s="464"/>
      <c r="O104" s="1901">
        <v>0</v>
      </c>
      <c r="P104" s="462" t="s">
        <v>16</v>
      </c>
      <c r="Q104" s="1898">
        <v>8</v>
      </c>
      <c r="R104" s="345"/>
      <c r="S104" s="462" t="s">
        <v>16</v>
      </c>
      <c r="T104" s="466">
        <v>10</v>
      </c>
      <c r="U104" s="462" t="s">
        <v>157</v>
      </c>
      <c r="V104" s="462">
        <v>1000</v>
      </c>
      <c r="W104" s="467"/>
      <c r="X104" s="463"/>
      <c r="Y104" s="462" t="s">
        <v>16</v>
      </c>
      <c r="Z104" s="464"/>
      <c r="AA104" s="465"/>
      <c r="AB104" s="462" t="s">
        <v>16</v>
      </c>
      <c r="AC104" s="466"/>
      <c r="AD104" s="463"/>
      <c r="AE104" s="462" t="s">
        <v>16</v>
      </c>
      <c r="AF104" s="464"/>
      <c r="AG104" s="468"/>
      <c r="AH104" s="462" t="s">
        <v>16</v>
      </c>
      <c r="AI104" s="469"/>
      <c r="AJ104" s="469" t="s">
        <v>157</v>
      </c>
      <c r="AK104" s="470"/>
      <c r="AL104" s="471"/>
      <c r="AM104" s="462" t="s">
        <v>16</v>
      </c>
      <c r="AN104" s="469"/>
      <c r="AO104" s="469" t="s">
        <v>157</v>
      </c>
      <c r="AP104" s="470"/>
      <c r="AQ104" s="468"/>
      <c r="AR104" s="462" t="s">
        <v>16</v>
      </c>
      <c r="AS104" s="469"/>
      <c r="AT104" s="469" t="s">
        <v>157</v>
      </c>
      <c r="AU104" s="470"/>
      <c r="AV104" s="463"/>
      <c r="AW104" s="462"/>
      <c r="AX104" s="462"/>
      <c r="AY104" s="469"/>
      <c r="AZ104" s="472">
        <v>100</v>
      </c>
      <c r="BA104" s="465"/>
      <c r="BB104" s="462"/>
      <c r="BC104" s="462"/>
      <c r="BD104" s="469"/>
      <c r="BE104" s="472">
        <v>100</v>
      </c>
      <c r="BF104" s="475"/>
      <c r="BG104" s="462"/>
      <c r="BH104" s="462"/>
      <c r="BI104" s="469"/>
      <c r="BJ104" s="473">
        <v>100</v>
      </c>
    </row>
    <row r="105" spans="2:62" s="474" customFormat="1">
      <c r="B105" s="461"/>
      <c r="C105" s="297"/>
      <c r="D105" s="462"/>
      <c r="E105" s="462"/>
      <c r="F105" s="463"/>
      <c r="G105" s="462" t="s">
        <v>16</v>
      </c>
      <c r="H105" s="464"/>
      <c r="I105" s="465"/>
      <c r="J105" s="462" t="s">
        <v>16</v>
      </c>
      <c r="K105" s="466"/>
      <c r="L105" s="345"/>
      <c r="M105" s="462" t="s">
        <v>16</v>
      </c>
      <c r="N105" s="464"/>
      <c r="O105" s="1901">
        <v>0</v>
      </c>
      <c r="P105" s="462" t="s">
        <v>16</v>
      </c>
      <c r="Q105" s="1898">
        <v>8</v>
      </c>
      <c r="R105" s="345"/>
      <c r="S105" s="462" t="s">
        <v>16</v>
      </c>
      <c r="T105" s="466">
        <v>10</v>
      </c>
      <c r="U105" s="462" t="s">
        <v>157</v>
      </c>
      <c r="V105" s="462">
        <v>1000</v>
      </c>
      <c r="W105" s="467"/>
      <c r="X105" s="463"/>
      <c r="Y105" s="462" t="s">
        <v>16</v>
      </c>
      <c r="Z105" s="464"/>
      <c r="AA105" s="465"/>
      <c r="AB105" s="462" t="s">
        <v>16</v>
      </c>
      <c r="AC105" s="466"/>
      <c r="AD105" s="463"/>
      <c r="AE105" s="462" t="s">
        <v>16</v>
      </c>
      <c r="AF105" s="464"/>
      <c r="AG105" s="468"/>
      <c r="AH105" s="462" t="s">
        <v>16</v>
      </c>
      <c r="AI105" s="469"/>
      <c r="AJ105" s="469" t="s">
        <v>157</v>
      </c>
      <c r="AK105" s="470"/>
      <c r="AL105" s="471"/>
      <c r="AM105" s="462" t="s">
        <v>16</v>
      </c>
      <c r="AN105" s="469"/>
      <c r="AO105" s="469" t="s">
        <v>157</v>
      </c>
      <c r="AP105" s="470"/>
      <c r="AQ105" s="468"/>
      <c r="AR105" s="462" t="s">
        <v>16</v>
      </c>
      <c r="AS105" s="469"/>
      <c r="AT105" s="469" t="s">
        <v>157</v>
      </c>
      <c r="AU105" s="470"/>
      <c r="AV105" s="463"/>
      <c r="AW105" s="462"/>
      <c r="AX105" s="462"/>
      <c r="AY105" s="469"/>
      <c r="AZ105" s="472">
        <v>100</v>
      </c>
      <c r="BA105" s="465"/>
      <c r="BB105" s="462"/>
      <c r="BC105" s="462"/>
      <c r="BD105" s="469"/>
      <c r="BE105" s="472">
        <v>100</v>
      </c>
      <c r="BF105" s="475"/>
      <c r="BG105" s="462"/>
      <c r="BH105" s="462"/>
      <c r="BI105" s="469"/>
      <c r="BJ105" s="473">
        <v>100</v>
      </c>
    </row>
    <row r="106" spans="2:62" s="474" customFormat="1">
      <c r="B106" s="461"/>
      <c r="C106" s="297"/>
      <c r="D106" s="462"/>
      <c r="E106" s="462"/>
      <c r="F106" s="463"/>
      <c r="G106" s="462" t="s">
        <v>16</v>
      </c>
      <c r="H106" s="464"/>
      <c r="I106" s="465"/>
      <c r="J106" s="462" t="s">
        <v>16</v>
      </c>
      <c r="K106" s="466"/>
      <c r="L106" s="345"/>
      <c r="M106" s="462" t="s">
        <v>16</v>
      </c>
      <c r="N106" s="464"/>
      <c r="O106" s="1901">
        <v>0</v>
      </c>
      <c r="P106" s="462" t="s">
        <v>16</v>
      </c>
      <c r="Q106" s="1898">
        <v>8</v>
      </c>
      <c r="R106" s="345"/>
      <c r="S106" s="462" t="s">
        <v>16</v>
      </c>
      <c r="T106" s="466">
        <v>10</v>
      </c>
      <c r="U106" s="462" t="s">
        <v>157</v>
      </c>
      <c r="V106" s="462">
        <v>1000</v>
      </c>
      <c r="W106" s="467"/>
      <c r="X106" s="463"/>
      <c r="Y106" s="462" t="s">
        <v>16</v>
      </c>
      <c r="Z106" s="464"/>
      <c r="AA106" s="465"/>
      <c r="AB106" s="462" t="s">
        <v>16</v>
      </c>
      <c r="AC106" s="466"/>
      <c r="AD106" s="463"/>
      <c r="AE106" s="462" t="s">
        <v>16</v>
      </c>
      <c r="AF106" s="464"/>
      <c r="AG106" s="468"/>
      <c r="AH106" s="462" t="s">
        <v>16</v>
      </c>
      <c r="AI106" s="469"/>
      <c r="AJ106" s="469" t="s">
        <v>157</v>
      </c>
      <c r="AK106" s="470"/>
      <c r="AL106" s="471"/>
      <c r="AM106" s="462" t="s">
        <v>16</v>
      </c>
      <c r="AN106" s="469"/>
      <c r="AO106" s="469" t="s">
        <v>157</v>
      </c>
      <c r="AP106" s="470"/>
      <c r="AQ106" s="468"/>
      <c r="AR106" s="462" t="s">
        <v>16</v>
      </c>
      <c r="AS106" s="469"/>
      <c r="AT106" s="469" t="s">
        <v>157</v>
      </c>
      <c r="AU106" s="470"/>
      <c r="AV106" s="463"/>
      <c r="AW106" s="462"/>
      <c r="AX106" s="462"/>
      <c r="AY106" s="469"/>
      <c r="AZ106" s="472">
        <v>100</v>
      </c>
      <c r="BA106" s="465"/>
      <c r="BB106" s="462"/>
      <c r="BC106" s="462"/>
      <c r="BD106" s="469"/>
      <c r="BE106" s="472">
        <v>100</v>
      </c>
      <c r="BF106" s="475"/>
      <c r="BG106" s="462"/>
      <c r="BH106" s="462"/>
      <c r="BI106" s="469"/>
      <c r="BJ106" s="473">
        <v>100</v>
      </c>
    </row>
    <row r="107" spans="2:62" s="474" customFormat="1">
      <c r="B107" s="461"/>
      <c r="C107" s="297"/>
      <c r="D107" s="462"/>
      <c r="E107" s="462"/>
      <c r="F107" s="463"/>
      <c r="G107" s="462" t="s">
        <v>16</v>
      </c>
      <c r="H107" s="464"/>
      <c r="I107" s="465"/>
      <c r="J107" s="462" t="s">
        <v>16</v>
      </c>
      <c r="K107" s="466"/>
      <c r="L107" s="345"/>
      <c r="M107" s="462" t="s">
        <v>16</v>
      </c>
      <c r="N107" s="464"/>
      <c r="O107" s="1901">
        <v>0</v>
      </c>
      <c r="P107" s="462" t="s">
        <v>16</v>
      </c>
      <c r="Q107" s="1898">
        <v>8</v>
      </c>
      <c r="R107" s="345"/>
      <c r="S107" s="462" t="s">
        <v>16</v>
      </c>
      <c r="T107" s="466">
        <v>10</v>
      </c>
      <c r="U107" s="462" t="s">
        <v>157</v>
      </c>
      <c r="V107" s="462">
        <v>1000</v>
      </c>
      <c r="W107" s="467"/>
      <c r="X107" s="463"/>
      <c r="Y107" s="462" t="s">
        <v>16</v>
      </c>
      <c r="Z107" s="464"/>
      <c r="AA107" s="465"/>
      <c r="AB107" s="462" t="s">
        <v>16</v>
      </c>
      <c r="AC107" s="466"/>
      <c r="AD107" s="463"/>
      <c r="AE107" s="462" t="s">
        <v>16</v>
      </c>
      <c r="AF107" s="464"/>
      <c r="AG107" s="468"/>
      <c r="AH107" s="462" t="s">
        <v>16</v>
      </c>
      <c r="AI107" s="469"/>
      <c r="AJ107" s="469" t="s">
        <v>157</v>
      </c>
      <c r="AK107" s="470"/>
      <c r="AL107" s="471"/>
      <c r="AM107" s="462" t="s">
        <v>16</v>
      </c>
      <c r="AN107" s="469"/>
      <c r="AO107" s="469" t="s">
        <v>157</v>
      </c>
      <c r="AP107" s="470"/>
      <c r="AQ107" s="468"/>
      <c r="AR107" s="462" t="s">
        <v>16</v>
      </c>
      <c r="AS107" s="469"/>
      <c r="AT107" s="469" t="s">
        <v>157</v>
      </c>
      <c r="AU107" s="470"/>
      <c r="AV107" s="463"/>
      <c r="AW107" s="462"/>
      <c r="AX107" s="462"/>
      <c r="AY107" s="469"/>
      <c r="AZ107" s="472">
        <v>100</v>
      </c>
      <c r="BA107" s="465"/>
      <c r="BB107" s="462"/>
      <c r="BC107" s="462"/>
      <c r="BD107" s="469"/>
      <c r="BE107" s="472">
        <v>100</v>
      </c>
      <c r="BF107" s="475"/>
      <c r="BG107" s="462"/>
      <c r="BH107" s="462"/>
      <c r="BI107" s="469"/>
      <c r="BJ107" s="473">
        <v>100</v>
      </c>
    </row>
    <row r="108" spans="2:62" s="474" customFormat="1">
      <c r="B108" s="461"/>
      <c r="C108" s="297"/>
      <c r="D108" s="462"/>
      <c r="E108" s="462"/>
      <c r="F108" s="463"/>
      <c r="G108" s="462" t="s">
        <v>16</v>
      </c>
      <c r="H108" s="464"/>
      <c r="I108" s="465"/>
      <c r="J108" s="462" t="s">
        <v>16</v>
      </c>
      <c r="K108" s="466"/>
      <c r="L108" s="345"/>
      <c r="M108" s="462" t="s">
        <v>16</v>
      </c>
      <c r="N108" s="464"/>
      <c r="O108" s="1901">
        <v>0</v>
      </c>
      <c r="P108" s="462" t="s">
        <v>16</v>
      </c>
      <c r="Q108" s="1898">
        <v>8</v>
      </c>
      <c r="R108" s="345"/>
      <c r="S108" s="462" t="s">
        <v>16</v>
      </c>
      <c r="T108" s="466">
        <v>10</v>
      </c>
      <c r="U108" s="462" t="s">
        <v>157</v>
      </c>
      <c r="V108" s="462">
        <v>1000</v>
      </c>
      <c r="W108" s="467"/>
      <c r="X108" s="463"/>
      <c r="Y108" s="462" t="s">
        <v>16</v>
      </c>
      <c r="Z108" s="464"/>
      <c r="AA108" s="465"/>
      <c r="AB108" s="462" t="s">
        <v>16</v>
      </c>
      <c r="AC108" s="466"/>
      <c r="AD108" s="463"/>
      <c r="AE108" s="462" t="s">
        <v>16</v>
      </c>
      <c r="AF108" s="464"/>
      <c r="AG108" s="468"/>
      <c r="AH108" s="462" t="s">
        <v>16</v>
      </c>
      <c r="AI108" s="469"/>
      <c r="AJ108" s="469" t="s">
        <v>157</v>
      </c>
      <c r="AK108" s="470"/>
      <c r="AL108" s="471"/>
      <c r="AM108" s="462" t="s">
        <v>16</v>
      </c>
      <c r="AN108" s="469"/>
      <c r="AO108" s="469" t="s">
        <v>157</v>
      </c>
      <c r="AP108" s="470"/>
      <c r="AQ108" s="468"/>
      <c r="AR108" s="462" t="s">
        <v>16</v>
      </c>
      <c r="AS108" s="469"/>
      <c r="AT108" s="469" t="s">
        <v>157</v>
      </c>
      <c r="AU108" s="470"/>
      <c r="AV108" s="463"/>
      <c r="AW108" s="462"/>
      <c r="AX108" s="462"/>
      <c r="AY108" s="469"/>
      <c r="AZ108" s="472">
        <v>100</v>
      </c>
      <c r="BA108" s="465"/>
      <c r="BB108" s="462"/>
      <c r="BC108" s="462"/>
      <c r="BD108" s="469"/>
      <c r="BE108" s="472">
        <v>100</v>
      </c>
      <c r="BF108" s="475"/>
      <c r="BG108" s="462"/>
      <c r="BH108" s="462"/>
      <c r="BI108" s="469"/>
      <c r="BJ108" s="473">
        <v>100</v>
      </c>
    </row>
    <row r="109" spans="2:62" s="474" customFormat="1">
      <c r="B109" s="461"/>
      <c r="C109" s="297"/>
      <c r="D109" s="462"/>
      <c r="E109" s="462"/>
      <c r="F109" s="463"/>
      <c r="G109" s="462" t="s">
        <v>16</v>
      </c>
      <c r="H109" s="464"/>
      <c r="I109" s="465"/>
      <c r="J109" s="462" t="s">
        <v>16</v>
      </c>
      <c r="K109" s="466"/>
      <c r="L109" s="345"/>
      <c r="M109" s="462" t="s">
        <v>16</v>
      </c>
      <c r="N109" s="464"/>
      <c r="O109" s="1901">
        <v>0</v>
      </c>
      <c r="P109" s="462" t="s">
        <v>16</v>
      </c>
      <c r="Q109" s="1898">
        <v>8</v>
      </c>
      <c r="R109" s="345"/>
      <c r="S109" s="462" t="s">
        <v>16</v>
      </c>
      <c r="T109" s="466">
        <v>10</v>
      </c>
      <c r="U109" s="462" t="s">
        <v>157</v>
      </c>
      <c r="V109" s="462">
        <v>1000</v>
      </c>
      <c r="W109" s="467"/>
      <c r="X109" s="463"/>
      <c r="Y109" s="462" t="s">
        <v>16</v>
      </c>
      <c r="Z109" s="464"/>
      <c r="AA109" s="465"/>
      <c r="AB109" s="462" t="s">
        <v>16</v>
      </c>
      <c r="AC109" s="466"/>
      <c r="AD109" s="463"/>
      <c r="AE109" s="462" t="s">
        <v>16</v>
      </c>
      <c r="AF109" s="464"/>
      <c r="AG109" s="468"/>
      <c r="AH109" s="462" t="s">
        <v>16</v>
      </c>
      <c r="AI109" s="469"/>
      <c r="AJ109" s="469" t="s">
        <v>157</v>
      </c>
      <c r="AK109" s="470"/>
      <c r="AL109" s="471"/>
      <c r="AM109" s="462" t="s">
        <v>16</v>
      </c>
      <c r="AN109" s="469"/>
      <c r="AO109" s="469" t="s">
        <v>157</v>
      </c>
      <c r="AP109" s="470"/>
      <c r="AQ109" s="468"/>
      <c r="AR109" s="462" t="s">
        <v>16</v>
      </c>
      <c r="AS109" s="469"/>
      <c r="AT109" s="469" t="s">
        <v>157</v>
      </c>
      <c r="AU109" s="470"/>
      <c r="AV109" s="463"/>
      <c r="AW109" s="462"/>
      <c r="AX109" s="462"/>
      <c r="AY109" s="469"/>
      <c r="AZ109" s="472">
        <v>100</v>
      </c>
      <c r="BA109" s="465"/>
      <c r="BB109" s="462"/>
      <c r="BC109" s="462"/>
      <c r="BD109" s="469"/>
      <c r="BE109" s="472">
        <v>100</v>
      </c>
      <c r="BF109" s="475"/>
      <c r="BG109" s="462"/>
      <c r="BH109" s="462"/>
      <c r="BI109" s="469"/>
      <c r="BJ109" s="473">
        <v>100</v>
      </c>
    </row>
    <row r="110" spans="2:62" s="474" customFormat="1">
      <c r="B110" s="461"/>
      <c r="C110" s="297"/>
      <c r="D110" s="462"/>
      <c r="E110" s="462"/>
      <c r="F110" s="463"/>
      <c r="G110" s="462" t="s">
        <v>16</v>
      </c>
      <c r="H110" s="464"/>
      <c r="I110" s="465"/>
      <c r="J110" s="462" t="s">
        <v>16</v>
      </c>
      <c r="K110" s="466"/>
      <c r="L110" s="345"/>
      <c r="M110" s="462" t="s">
        <v>16</v>
      </c>
      <c r="N110" s="464"/>
      <c r="O110" s="1901">
        <v>0</v>
      </c>
      <c r="P110" s="462" t="s">
        <v>16</v>
      </c>
      <c r="Q110" s="1898">
        <v>8</v>
      </c>
      <c r="R110" s="345"/>
      <c r="S110" s="462" t="s">
        <v>16</v>
      </c>
      <c r="T110" s="466">
        <v>10</v>
      </c>
      <c r="U110" s="462" t="s">
        <v>157</v>
      </c>
      <c r="V110" s="462">
        <v>1000</v>
      </c>
      <c r="W110" s="467"/>
      <c r="X110" s="463"/>
      <c r="Y110" s="462" t="s">
        <v>16</v>
      </c>
      <c r="Z110" s="464"/>
      <c r="AA110" s="465"/>
      <c r="AB110" s="462" t="s">
        <v>16</v>
      </c>
      <c r="AC110" s="466"/>
      <c r="AD110" s="463"/>
      <c r="AE110" s="462" t="s">
        <v>16</v>
      </c>
      <c r="AF110" s="464"/>
      <c r="AG110" s="468"/>
      <c r="AH110" s="462" t="s">
        <v>16</v>
      </c>
      <c r="AI110" s="469"/>
      <c r="AJ110" s="469" t="s">
        <v>157</v>
      </c>
      <c r="AK110" s="470"/>
      <c r="AL110" s="471"/>
      <c r="AM110" s="462" t="s">
        <v>16</v>
      </c>
      <c r="AN110" s="469"/>
      <c r="AO110" s="469" t="s">
        <v>157</v>
      </c>
      <c r="AP110" s="470"/>
      <c r="AQ110" s="468"/>
      <c r="AR110" s="462" t="s">
        <v>16</v>
      </c>
      <c r="AS110" s="469"/>
      <c r="AT110" s="469" t="s">
        <v>157</v>
      </c>
      <c r="AU110" s="470"/>
      <c r="AV110" s="463"/>
      <c r="AW110" s="462"/>
      <c r="AX110" s="462"/>
      <c r="AY110" s="469"/>
      <c r="AZ110" s="472">
        <v>100</v>
      </c>
      <c r="BA110" s="465"/>
      <c r="BB110" s="462"/>
      <c r="BC110" s="462"/>
      <c r="BD110" s="469"/>
      <c r="BE110" s="472">
        <v>100</v>
      </c>
      <c r="BF110" s="475"/>
      <c r="BG110" s="462"/>
      <c r="BH110" s="462"/>
      <c r="BI110" s="469"/>
      <c r="BJ110" s="473">
        <v>100</v>
      </c>
    </row>
    <row r="111" spans="2:62" s="474" customFormat="1">
      <c r="B111" s="461"/>
      <c r="C111" s="297"/>
      <c r="D111" s="462"/>
      <c r="E111" s="462"/>
      <c r="F111" s="463"/>
      <c r="G111" s="462" t="s">
        <v>16</v>
      </c>
      <c r="H111" s="464"/>
      <c r="I111" s="465"/>
      <c r="J111" s="462" t="s">
        <v>16</v>
      </c>
      <c r="K111" s="466"/>
      <c r="L111" s="345"/>
      <c r="M111" s="462" t="s">
        <v>16</v>
      </c>
      <c r="N111" s="464"/>
      <c r="O111" s="1901">
        <v>0</v>
      </c>
      <c r="P111" s="462" t="s">
        <v>16</v>
      </c>
      <c r="Q111" s="1898">
        <v>8</v>
      </c>
      <c r="R111" s="345"/>
      <c r="S111" s="462" t="s">
        <v>16</v>
      </c>
      <c r="T111" s="466">
        <v>10</v>
      </c>
      <c r="U111" s="462" t="s">
        <v>157</v>
      </c>
      <c r="V111" s="462">
        <v>1000</v>
      </c>
      <c r="W111" s="467"/>
      <c r="X111" s="463"/>
      <c r="Y111" s="462" t="s">
        <v>16</v>
      </c>
      <c r="Z111" s="464"/>
      <c r="AA111" s="465"/>
      <c r="AB111" s="462" t="s">
        <v>16</v>
      </c>
      <c r="AC111" s="466"/>
      <c r="AD111" s="463"/>
      <c r="AE111" s="462" t="s">
        <v>16</v>
      </c>
      <c r="AF111" s="464"/>
      <c r="AG111" s="468"/>
      <c r="AH111" s="462" t="s">
        <v>16</v>
      </c>
      <c r="AI111" s="469"/>
      <c r="AJ111" s="469" t="s">
        <v>157</v>
      </c>
      <c r="AK111" s="470"/>
      <c r="AL111" s="471"/>
      <c r="AM111" s="462" t="s">
        <v>16</v>
      </c>
      <c r="AN111" s="469"/>
      <c r="AO111" s="469" t="s">
        <v>157</v>
      </c>
      <c r="AP111" s="470"/>
      <c r="AQ111" s="468"/>
      <c r="AR111" s="462" t="s">
        <v>16</v>
      </c>
      <c r="AS111" s="469"/>
      <c r="AT111" s="469" t="s">
        <v>157</v>
      </c>
      <c r="AU111" s="470"/>
      <c r="AV111" s="463"/>
      <c r="AW111" s="462"/>
      <c r="AX111" s="462"/>
      <c r="AY111" s="469"/>
      <c r="AZ111" s="472">
        <v>100</v>
      </c>
      <c r="BA111" s="465"/>
      <c r="BB111" s="462"/>
      <c r="BC111" s="462"/>
      <c r="BD111" s="469"/>
      <c r="BE111" s="472">
        <v>100</v>
      </c>
      <c r="BF111" s="475"/>
      <c r="BG111" s="462"/>
      <c r="BH111" s="462"/>
      <c r="BI111" s="469"/>
      <c r="BJ111" s="473">
        <v>100</v>
      </c>
    </row>
    <row r="112" spans="2:62" s="474" customFormat="1">
      <c r="B112" s="461"/>
      <c r="C112" s="297"/>
      <c r="D112" s="462"/>
      <c r="E112" s="462"/>
      <c r="F112" s="463"/>
      <c r="G112" s="462" t="s">
        <v>16</v>
      </c>
      <c r="H112" s="464"/>
      <c r="I112" s="465"/>
      <c r="J112" s="462" t="s">
        <v>16</v>
      </c>
      <c r="K112" s="466"/>
      <c r="L112" s="345"/>
      <c r="M112" s="462" t="s">
        <v>16</v>
      </c>
      <c r="N112" s="464"/>
      <c r="O112" s="1901">
        <v>0</v>
      </c>
      <c r="P112" s="462" t="s">
        <v>16</v>
      </c>
      <c r="Q112" s="1898">
        <v>8</v>
      </c>
      <c r="R112" s="345"/>
      <c r="S112" s="462" t="s">
        <v>16</v>
      </c>
      <c r="T112" s="466">
        <v>10</v>
      </c>
      <c r="U112" s="462" t="s">
        <v>157</v>
      </c>
      <c r="V112" s="462">
        <v>1000</v>
      </c>
      <c r="W112" s="467"/>
      <c r="X112" s="463"/>
      <c r="Y112" s="462" t="s">
        <v>16</v>
      </c>
      <c r="Z112" s="464"/>
      <c r="AA112" s="465"/>
      <c r="AB112" s="462" t="s">
        <v>16</v>
      </c>
      <c r="AC112" s="466"/>
      <c r="AD112" s="463"/>
      <c r="AE112" s="462" t="s">
        <v>16</v>
      </c>
      <c r="AF112" s="464"/>
      <c r="AG112" s="468"/>
      <c r="AH112" s="462" t="s">
        <v>16</v>
      </c>
      <c r="AI112" s="469"/>
      <c r="AJ112" s="469" t="s">
        <v>157</v>
      </c>
      <c r="AK112" s="470"/>
      <c r="AL112" s="471"/>
      <c r="AM112" s="462" t="s">
        <v>16</v>
      </c>
      <c r="AN112" s="469"/>
      <c r="AO112" s="469" t="s">
        <v>157</v>
      </c>
      <c r="AP112" s="470"/>
      <c r="AQ112" s="468"/>
      <c r="AR112" s="462" t="s">
        <v>16</v>
      </c>
      <c r="AS112" s="469"/>
      <c r="AT112" s="469" t="s">
        <v>157</v>
      </c>
      <c r="AU112" s="470"/>
      <c r="AV112" s="463"/>
      <c r="AW112" s="462"/>
      <c r="AX112" s="462"/>
      <c r="AY112" s="469"/>
      <c r="AZ112" s="472">
        <v>100</v>
      </c>
      <c r="BA112" s="465"/>
      <c r="BB112" s="462"/>
      <c r="BC112" s="462"/>
      <c r="BD112" s="469"/>
      <c r="BE112" s="472">
        <v>100</v>
      </c>
      <c r="BF112" s="475"/>
      <c r="BG112" s="462"/>
      <c r="BH112" s="462"/>
      <c r="BI112" s="469"/>
      <c r="BJ112" s="473">
        <v>100</v>
      </c>
    </row>
    <row r="113" spans="2:62" s="474" customFormat="1">
      <c r="B113" s="461"/>
      <c r="C113" s="297"/>
      <c r="D113" s="462"/>
      <c r="E113" s="462"/>
      <c r="F113" s="463"/>
      <c r="G113" s="462" t="s">
        <v>16</v>
      </c>
      <c r="H113" s="464"/>
      <c r="I113" s="465"/>
      <c r="J113" s="462" t="s">
        <v>16</v>
      </c>
      <c r="K113" s="466"/>
      <c r="L113" s="345"/>
      <c r="M113" s="462" t="s">
        <v>16</v>
      </c>
      <c r="N113" s="464"/>
      <c r="O113" s="1901">
        <v>0</v>
      </c>
      <c r="P113" s="462" t="s">
        <v>16</v>
      </c>
      <c r="Q113" s="1898">
        <v>8</v>
      </c>
      <c r="R113" s="345"/>
      <c r="S113" s="462" t="s">
        <v>16</v>
      </c>
      <c r="T113" s="466">
        <v>10</v>
      </c>
      <c r="U113" s="462" t="s">
        <v>157</v>
      </c>
      <c r="V113" s="462">
        <v>1000</v>
      </c>
      <c r="W113" s="467"/>
      <c r="X113" s="463"/>
      <c r="Y113" s="462" t="s">
        <v>16</v>
      </c>
      <c r="Z113" s="464"/>
      <c r="AA113" s="465"/>
      <c r="AB113" s="462" t="s">
        <v>16</v>
      </c>
      <c r="AC113" s="466"/>
      <c r="AD113" s="463"/>
      <c r="AE113" s="462" t="s">
        <v>16</v>
      </c>
      <c r="AF113" s="464"/>
      <c r="AG113" s="468"/>
      <c r="AH113" s="462" t="s">
        <v>16</v>
      </c>
      <c r="AI113" s="469"/>
      <c r="AJ113" s="469" t="s">
        <v>157</v>
      </c>
      <c r="AK113" s="470"/>
      <c r="AL113" s="471"/>
      <c r="AM113" s="462" t="s">
        <v>16</v>
      </c>
      <c r="AN113" s="469"/>
      <c r="AO113" s="469" t="s">
        <v>157</v>
      </c>
      <c r="AP113" s="470"/>
      <c r="AQ113" s="468"/>
      <c r="AR113" s="462" t="s">
        <v>16</v>
      </c>
      <c r="AS113" s="469"/>
      <c r="AT113" s="469" t="s">
        <v>157</v>
      </c>
      <c r="AU113" s="470"/>
      <c r="AV113" s="463"/>
      <c r="AW113" s="462"/>
      <c r="AX113" s="462"/>
      <c r="AY113" s="469"/>
      <c r="AZ113" s="472">
        <v>100</v>
      </c>
      <c r="BA113" s="465"/>
      <c r="BB113" s="462"/>
      <c r="BC113" s="462"/>
      <c r="BD113" s="469"/>
      <c r="BE113" s="472">
        <v>100</v>
      </c>
      <c r="BF113" s="475"/>
      <c r="BG113" s="462"/>
      <c r="BH113" s="462"/>
      <c r="BI113" s="469"/>
      <c r="BJ113" s="473">
        <v>100</v>
      </c>
    </row>
    <row r="114" spans="2:62" s="474" customFormat="1">
      <c r="B114" s="461"/>
      <c r="C114" s="297"/>
      <c r="D114" s="462"/>
      <c r="E114" s="462"/>
      <c r="F114" s="463"/>
      <c r="G114" s="462" t="s">
        <v>16</v>
      </c>
      <c r="H114" s="464"/>
      <c r="I114" s="465"/>
      <c r="J114" s="462" t="s">
        <v>16</v>
      </c>
      <c r="K114" s="466"/>
      <c r="L114" s="345"/>
      <c r="M114" s="462" t="s">
        <v>16</v>
      </c>
      <c r="N114" s="464"/>
      <c r="O114" s="1901">
        <v>0</v>
      </c>
      <c r="P114" s="462" t="s">
        <v>16</v>
      </c>
      <c r="Q114" s="1898">
        <v>8</v>
      </c>
      <c r="R114" s="345"/>
      <c r="S114" s="462" t="s">
        <v>16</v>
      </c>
      <c r="T114" s="466">
        <v>10</v>
      </c>
      <c r="U114" s="462" t="s">
        <v>157</v>
      </c>
      <c r="V114" s="462">
        <v>1000</v>
      </c>
      <c r="W114" s="467"/>
      <c r="X114" s="463"/>
      <c r="Y114" s="462" t="s">
        <v>16</v>
      </c>
      <c r="Z114" s="464"/>
      <c r="AA114" s="465"/>
      <c r="AB114" s="462" t="s">
        <v>16</v>
      </c>
      <c r="AC114" s="466"/>
      <c r="AD114" s="463"/>
      <c r="AE114" s="462" t="s">
        <v>16</v>
      </c>
      <c r="AF114" s="464"/>
      <c r="AG114" s="468"/>
      <c r="AH114" s="462" t="s">
        <v>16</v>
      </c>
      <c r="AI114" s="469"/>
      <c r="AJ114" s="469" t="s">
        <v>157</v>
      </c>
      <c r="AK114" s="470"/>
      <c r="AL114" s="471"/>
      <c r="AM114" s="462" t="s">
        <v>16</v>
      </c>
      <c r="AN114" s="469"/>
      <c r="AO114" s="469" t="s">
        <v>157</v>
      </c>
      <c r="AP114" s="470"/>
      <c r="AQ114" s="468"/>
      <c r="AR114" s="462" t="s">
        <v>16</v>
      </c>
      <c r="AS114" s="469"/>
      <c r="AT114" s="469" t="s">
        <v>157</v>
      </c>
      <c r="AU114" s="470"/>
      <c r="AV114" s="463"/>
      <c r="AW114" s="462"/>
      <c r="AX114" s="462"/>
      <c r="AY114" s="469"/>
      <c r="AZ114" s="472">
        <v>100</v>
      </c>
      <c r="BA114" s="465"/>
      <c r="BB114" s="462"/>
      <c r="BC114" s="462"/>
      <c r="BD114" s="469"/>
      <c r="BE114" s="472">
        <v>100</v>
      </c>
      <c r="BF114" s="475"/>
      <c r="BG114" s="462"/>
      <c r="BH114" s="462"/>
      <c r="BI114" s="469"/>
      <c r="BJ114" s="473">
        <v>100</v>
      </c>
    </row>
    <row r="115" spans="2:62" s="474" customFormat="1">
      <c r="B115" s="461"/>
      <c r="C115" s="297"/>
      <c r="D115" s="462"/>
      <c r="E115" s="462"/>
      <c r="F115" s="463"/>
      <c r="G115" s="462" t="s">
        <v>16</v>
      </c>
      <c r="H115" s="464"/>
      <c r="I115" s="465"/>
      <c r="J115" s="462" t="s">
        <v>16</v>
      </c>
      <c r="K115" s="466"/>
      <c r="L115" s="345"/>
      <c r="M115" s="462" t="s">
        <v>16</v>
      </c>
      <c r="N115" s="464"/>
      <c r="O115" s="1901">
        <v>0</v>
      </c>
      <c r="P115" s="462" t="s">
        <v>16</v>
      </c>
      <c r="Q115" s="1898">
        <v>8</v>
      </c>
      <c r="R115" s="345"/>
      <c r="S115" s="462" t="s">
        <v>16</v>
      </c>
      <c r="T115" s="466">
        <v>10</v>
      </c>
      <c r="U115" s="462" t="s">
        <v>157</v>
      </c>
      <c r="V115" s="462">
        <v>1000</v>
      </c>
      <c r="W115" s="467"/>
      <c r="X115" s="463"/>
      <c r="Y115" s="462" t="s">
        <v>16</v>
      </c>
      <c r="Z115" s="464"/>
      <c r="AA115" s="465"/>
      <c r="AB115" s="462" t="s">
        <v>16</v>
      </c>
      <c r="AC115" s="466"/>
      <c r="AD115" s="463"/>
      <c r="AE115" s="462" t="s">
        <v>16</v>
      </c>
      <c r="AF115" s="464"/>
      <c r="AG115" s="468"/>
      <c r="AH115" s="462" t="s">
        <v>16</v>
      </c>
      <c r="AI115" s="469"/>
      <c r="AJ115" s="469" t="s">
        <v>157</v>
      </c>
      <c r="AK115" s="470"/>
      <c r="AL115" s="471"/>
      <c r="AM115" s="462" t="s">
        <v>16</v>
      </c>
      <c r="AN115" s="469"/>
      <c r="AO115" s="469" t="s">
        <v>157</v>
      </c>
      <c r="AP115" s="470"/>
      <c r="AQ115" s="468"/>
      <c r="AR115" s="462" t="s">
        <v>16</v>
      </c>
      <c r="AS115" s="469"/>
      <c r="AT115" s="469" t="s">
        <v>157</v>
      </c>
      <c r="AU115" s="470"/>
      <c r="AV115" s="468"/>
      <c r="AW115" s="462"/>
      <c r="AX115" s="469"/>
      <c r="AY115" s="469"/>
      <c r="AZ115" s="472">
        <v>100</v>
      </c>
      <c r="BA115" s="471"/>
      <c r="BB115" s="462"/>
      <c r="BC115" s="462"/>
      <c r="BD115" s="469"/>
      <c r="BE115" s="472">
        <v>100</v>
      </c>
      <c r="BF115" s="471"/>
      <c r="BG115" s="462"/>
      <c r="BH115" s="462"/>
      <c r="BI115" s="469"/>
      <c r="BJ115" s="473">
        <v>100</v>
      </c>
    </row>
    <row r="116" spans="2:62" s="474" customFormat="1">
      <c r="B116" s="461"/>
      <c r="C116" s="297"/>
      <c r="D116" s="462"/>
      <c r="E116" s="462"/>
      <c r="F116" s="463"/>
      <c r="G116" s="462" t="s">
        <v>16</v>
      </c>
      <c r="H116" s="464"/>
      <c r="I116" s="465"/>
      <c r="J116" s="462" t="s">
        <v>16</v>
      </c>
      <c r="K116" s="466"/>
      <c r="L116" s="345"/>
      <c r="M116" s="462" t="s">
        <v>16</v>
      </c>
      <c r="N116" s="464"/>
      <c r="O116" s="1901">
        <v>0</v>
      </c>
      <c r="P116" s="462" t="s">
        <v>16</v>
      </c>
      <c r="Q116" s="1898">
        <v>8</v>
      </c>
      <c r="R116" s="345"/>
      <c r="S116" s="462" t="s">
        <v>16</v>
      </c>
      <c r="T116" s="466">
        <v>10</v>
      </c>
      <c r="U116" s="462" t="s">
        <v>157</v>
      </c>
      <c r="V116" s="462">
        <v>1000</v>
      </c>
      <c r="W116" s="467"/>
      <c r="X116" s="463"/>
      <c r="Y116" s="462" t="s">
        <v>16</v>
      </c>
      <c r="Z116" s="464"/>
      <c r="AA116" s="465"/>
      <c r="AB116" s="462" t="s">
        <v>16</v>
      </c>
      <c r="AC116" s="466"/>
      <c r="AD116" s="463"/>
      <c r="AE116" s="462" t="s">
        <v>16</v>
      </c>
      <c r="AF116" s="464"/>
      <c r="AG116" s="468"/>
      <c r="AH116" s="462" t="s">
        <v>16</v>
      </c>
      <c r="AI116" s="469"/>
      <c r="AJ116" s="469" t="s">
        <v>157</v>
      </c>
      <c r="AK116" s="470"/>
      <c r="AL116" s="471"/>
      <c r="AM116" s="462" t="s">
        <v>16</v>
      </c>
      <c r="AN116" s="469"/>
      <c r="AO116" s="469" t="s">
        <v>157</v>
      </c>
      <c r="AP116" s="470"/>
      <c r="AQ116" s="468"/>
      <c r="AR116" s="462" t="s">
        <v>16</v>
      </c>
      <c r="AS116" s="469"/>
      <c r="AT116" s="469" t="s">
        <v>157</v>
      </c>
      <c r="AU116" s="470"/>
      <c r="AV116" s="463"/>
      <c r="AW116" s="462"/>
      <c r="AX116" s="462"/>
      <c r="AY116" s="469"/>
      <c r="AZ116" s="472">
        <v>100</v>
      </c>
      <c r="BA116" s="465"/>
      <c r="BB116" s="462"/>
      <c r="BC116" s="462"/>
      <c r="BD116" s="469"/>
      <c r="BE116" s="472">
        <v>100</v>
      </c>
      <c r="BF116" s="475"/>
      <c r="BG116" s="462"/>
      <c r="BH116" s="462"/>
      <c r="BI116" s="469"/>
      <c r="BJ116" s="473">
        <v>100</v>
      </c>
    </row>
    <row r="117" spans="2:62" s="474" customFormat="1">
      <c r="B117" s="461"/>
      <c r="C117" s="297"/>
      <c r="D117" s="462"/>
      <c r="E117" s="462"/>
      <c r="F117" s="463"/>
      <c r="G117" s="462" t="s">
        <v>16</v>
      </c>
      <c r="H117" s="464"/>
      <c r="I117" s="465"/>
      <c r="J117" s="462" t="s">
        <v>16</v>
      </c>
      <c r="K117" s="466"/>
      <c r="L117" s="345"/>
      <c r="M117" s="462" t="s">
        <v>16</v>
      </c>
      <c r="N117" s="464"/>
      <c r="O117" s="1901">
        <v>0</v>
      </c>
      <c r="P117" s="462" t="s">
        <v>16</v>
      </c>
      <c r="Q117" s="1898">
        <v>8</v>
      </c>
      <c r="R117" s="345"/>
      <c r="S117" s="462" t="s">
        <v>16</v>
      </c>
      <c r="T117" s="466">
        <v>10</v>
      </c>
      <c r="U117" s="462" t="s">
        <v>157</v>
      </c>
      <c r="V117" s="462">
        <v>1000</v>
      </c>
      <c r="W117" s="467"/>
      <c r="X117" s="463"/>
      <c r="Y117" s="462" t="s">
        <v>16</v>
      </c>
      <c r="Z117" s="464"/>
      <c r="AA117" s="465"/>
      <c r="AB117" s="462" t="s">
        <v>16</v>
      </c>
      <c r="AC117" s="466"/>
      <c r="AD117" s="463"/>
      <c r="AE117" s="462" t="s">
        <v>16</v>
      </c>
      <c r="AF117" s="464"/>
      <c r="AG117" s="468"/>
      <c r="AH117" s="462" t="s">
        <v>16</v>
      </c>
      <c r="AI117" s="469"/>
      <c r="AJ117" s="469" t="s">
        <v>157</v>
      </c>
      <c r="AK117" s="470"/>
      <c r="AL117" s="471"/>
      <c r="AM117" s="462" t="s">
        <v>16</v>
      </c>
      <c r="AN117" s="469"/>
      <c r="AO117" s="469" t="s">
        <v>157</v>
      </c>
      <c r="AP117" s="470"/>
      <c r="AQ117" s="468"/>
      <c r="AR117" s="462" t="s">
        <v>16</v>
      </c>
      <c r="AS117" s="469"/>
      <c r="AT117" s="469" t="s">
        <v>157</v>
      </c>
      <c r="AU117" s="470"/>
      <c r="AV117" s="463"/>
      <c r="AW117" s="462"/>
      <c r="AX117" s="462"/>
      <c r="AY117" s="469"/>
      <c r="AZ117" s="472">
        <v>100</v>
      </c>
      <c r="BA117" s="465"/>
      <c r="BB117" s="462"/>
      <c r="BC117" s="462"/>
      <c r="BD117" s="469"/>
      <c r="BE117" s="472">
        <v>100</v>
      </c>
      <c r="BF117" s="475"/>
      <c r="BG117" s="462"/>
      <c r="BH117" s="462"/>
      <c r="BI117" s="469"/>
      <c r="BJ117" s="473">
        <v>100</v>
      </c>
    </row>
    <row r="118" spans="2:62" s="474" customFormat="1">
      <c r="B118" s="461"/>
      <c r="C118" s="297"/>
      <c r="D118" s="462"/>
      <c r="E118" s="462"/>
      <c r="F118" s="463"/>
      <c r="G118" s="462" t="s">
        <v>16</v>
      </c>
      <c r="H118" s="464"/>
      <c r="I118" s="465"/>
      <c r="J118" s="462" t="s">
        <v>16</v>
      </c>
      <c r="K118" s="466"/>
      <c r="L118" s="345"/>
      <c r="M118" s="462" t="s">
        <v>16</v>
      </c>
      <c r="N118" s="464"/>
      <c r="O118" s="1901">
        <v>0</v>
      </c>
      <c r="P118" s="462" t="s">
        <v>16</v>
      </c>
      <c r="Q118" s="1898">
        <v>8</v>
      </c>
      <c r="R118" s="345"/>
      <c r="S118" s="462" t="s">
        <v>16</v>
      </c>
      <c r="T118" s="466">
        <v>10</v>
      </c>
      <c r="U118" s="462" t="s">
        <v>157</v>
      </c>
      <c r="V118" s="462">
        <v>1000</v>
      </c>
      <c r="W118" s="467"/>
      <c r="X118" s="463"/>
      <c r="Y118" s="462" t="s">
        <v>16</v>
      </c>
      <c r="Z118" s="464"/>
      <c r="AA118" s="465"/>
      <c r="AB118" s="462" t="s">
        <v>16</v>
      </c>
      <c r="AC118" s="466"/>
      <c r="AD118" s="463"/>
      <c r="AE118" s="462" t="s">
        <v>16</v>
      </c>
      <c r="AF118" s="464"/>
      <c r="AG118" s="468"/>
      <c r="AH118" s="462" t="s">
        <v>16</v>
      </c>
      <c r="AI118" s="469"/>
      <c r="AJ118" s="469" t="s">
        <v>157</v>
      </c>
      <c r="AK118" s="470"/>
      <c r="AL118" s="471"/>
      <c r="AM118" s="462" t="s">
        <v>16</v>
      </c>
      <c r="AN118" s="469"/>
      <c r="AO118" s="469" t="s">
        <v>157</v>
      </c>
      <c r="AP118" s="470"/>
      <c r="AQ118" s="468"/>
      <c r="AR118" s="462" t="s">
        <v>16</v>
      </c>
      <c r="AS118" s="469"/>
      <c r="AT118" s="469" t="s">
        <v>157</v>
      </c>
      <c r="AU118" s="470"/>
      <c r="AV118" s="463"/>
      <c r="AW118" s="462"/>
      <c r="AX118" s="462"/>
      <c r="AY118" s="469"/>
      <c r="AZ118" s="472">
        <v>100</v>
      </c>
      <c r="BA118" s="465"/>
      <c r="BB118" s="462"/>
      <c r="BC118" s="462"/>
      <c r="BD118" s="469"/>
      <c r="BE118" s="472">
        <v>100</v>
      </c>
      <c r="BF118" s="475"/>
      <c r="BG118" s="462"/>
      <c r="BH118" s="462"/>
      <c r="BI118" s="469"/>
      <c r="BJ118" s="473">
        <v>100</v>
      </c>
    </row>
    <row r="119" spans="2:62" s="474" customFormat="1">
      <c r="B119" s="461"/>
      <c r="C119" s="297"/>
      <c r="D119" s="462"/>
      <c r="E119" s="462"/>
      <c r="F119" s="463"/>
      <c r="G119" s="462" t="s">
        <v>16</v>
      </c>
      <c r="H119" s="464"/>
      <c r="I119" s="465"/>
      <c r="J119" s="462" t="s">
        <v>16</v>
      </c>
      <c r="K119" s="466"/>
      <c r="L119" s="345"/>
      <c r="M119" s="462" t="s">
        <v>16</v>
      </c>
      <c r="N119" s="464"/>
      <c r="O119" s="1901">
        <v>0</v>
      </c>
      <c r="P119" s="462" t="s">
        <v>16</v>
      </c>
      <c r="Q119" s="1898">
        <v>8</v>
      </c>
      <c r="R119" s="345"/>
      <c r="S119" s="462" t="s">
        <v>16</v>
      </c>
      <c r="T119" s="466">
        <v>10</v>
      </c>
      <c r="U119" s="462" t="s">
        <v>157</v>
      </c>
      <c r="V119" s="462">
        <v>1000</v>
      </c>
      <c r="W119" s="467"/>
      <c r="X119" s="463"/>
      <c r="Y119" s="462" t="s">
        <v>16</v>
      </c>
      <c r="Z119" s="464"/>
      <c r="AA119" s="465"/>
      <c r="AB119" s="462" t="s">
        <v>16</v>
      </c>
      <c r="AC119" s="466"/>
      <c r="AD119" s="463"/>
      <c r="AE119" s="462" t="s">
        <v>16</v>
      </c>
      <c r="AF119" s="464"/>
      <c r="AG119" s="468"/>
      <c r="AH119" s="462" t="s">
        <v>16</v>
      </c>
      <c r="AI119" s="469"/>
      <c r="AJ119" s="469" t="s">
        <v>157</v>
      </c>
      <c r="AK119" s="470"/>
      <c r="AL119" s="471"/>
      <c r="AM119" s="462" t="s">
        <v>16</v>
      </c>
      <c r="AN119" s="469"/>
      <c r="AO119" s="469" t="s">
        <v>157</v>
      </c>
      <c r="AP119" s="470"/>
      <c r="AQ119" s="468"/>
      <c r="AR119" s="462" t="s">
        <v>16</v>
      </c>
      <c r="AS119" s="469"/>
      <c r="AT119" s="469" t="s">
        <v>157</v>
      </c>
      <c r="AU119" s="470"/>
      <c r="AV119" s="463"/>
      <c r="AW119" s="462"/>
      <c r="AX119" s="462"/>
      <c r="AY119" s="469"/>
      <c r="AZ119" s="472">
        <v>100</v>
      </c>
      <c r="BA119" s="465"/>
      <c r="BB119" s="462"/>
      <c r="BC119" s="462"/>
      <c r="BD119" s="469"/>
      <c r="BE119" s="472">
        <v>100</v>
      </c>
      <c r="BF119" s="475"/>
      <c r="BG119" s="462"/>
      <c r="BH119" s="462"/>
      <c r="BI119" s="469"/>
      <c r="BJ119" s="473">
        <v>100</v>
      </c>
    </row>
    <row r="120" spans="2:62" s="474" customFormat="1">
      <c r="B120" s="461"/>
      <c r="C120" s="297"/>
      <c r="D120" s="462"/>
      <c r="E120" s="462"/>
      <c r="F120" s="463"/>
      <c r="G120" s="462" t="s">
        <v>16</v>
      </c>
      <c r="H120" s="464"/>
      <c r="I120" s="465"/>
      <c r="J120" s="462" t="s">
        <v>16</v>
      </c>
      <c r="K120" s="466"/>
      <c r="L120" s="345"/>
      <c r="M120" s="462" t="s">
        <v>16</v>
      </c>
      <c r="N120" s="464"/>
      <c r="O120" s="1901">
        <v>0</v>
      </c>
      <c r="P120" s="462" t="s">
        <v>16</v>
      </c>
      <c r="Q120" s="1898">
        <v>8</v>
      </c>
      <c r="R120" s="345"/>
      <c r="S120" s="462" t="s">
        <v>16</v>
      </c>
      <c r="T120" s="466">
        <v>10</v>
      </c>
      <c r="U120" s="462" t="s">
        <v>157</v>
      </c>
      <c r="V120" s="462">
        <v>1000</v>
      </c>
      <c r="W120" s="467"/>
      <c r="X120" s="463"/>
      <c r="Y120" s="462" t="s">
        <v>16</v>
      </c>
      <c r="Z120" s="464"/>
      <c r="AA120" s="465"/>
      <c r="AB120" s="462" t="s">
        <v>16</v>
      </c>
      <c r="AC120" s="466"/>
      <c r="AD120" s="463"/>
      <c r="AE120" s="462" t="s">
        <v>16</v>
      </c>
      <c r="AF120" s="464"/>
      <c r="AG120" s="468"/>
      <c r="AH120" s="462" t="s">
        <v>16</v>
      </c>
      <c r="AI120" s="469"/>
      <c r="AJ120" s="469" t="s">
        <v>157</v>
      </c>
      <c r="AK120" s="470"/>
      <c r="AL120" s="471"/>
      <c r="AM120" s="462" t="s">
        <v>16</v>
      </c>
      <c r="AN120" s="469"/>
      <c r="AO120" s="469" t="s">
        <v>157</v>
      </c>
      <c r="AP120" s="470"/>
      <c r="AQ120" s="468"/>
      <c r="AR120" s="462" t="s">
        <v>16</v>
      </c>
      <c r="AS120" s="469"/>
      <c r="AT120" s="469" t="s">
        <v>157</v>
      </c>
      <c r="AU120" s="470"/>
      <c r="AV120" s="463"/>
      <c r="AW120" s="462"/>
      <c r="AX120" s="462"/>
      <c r="AY120" s="469"/>
      <c r="AZ120" s="472">
        <v>100</v>
      </c>
      <c r="BA120" s="465"/>
      <c r="BB120" s="462"/>
      <c r="BC120" s="462"/>
      <c r="BD120" s="469"/>
      <c r="BE120" s="472">
        <v>100</v>
      </c>
      <c r="BF120" s="475"/>
      <c r="BG120" s="462"/>
      <c r="BH120" s="462"/>
      <c r="BI120" s="469"/>
      <c r="BJ120" s="473">
        <v>100</v>
      </c>
    </row>
    <row r="121" spans="2:62" s="474" customFormat="1">
      <c r="B121" s="461"/>
      <c r="C121" s="297"/>
      <c r="D121" s="462"/>
      <c r="E121" s="462"/>
      <c r="F121" s="463"/>
      <c r="G121" s="462" t="s">
        <v>16</v>
      </c>
      <c r="H121" s="464"/>
      <c r="I121" s="465"/>
      <c r="J121" s="462" t="s">
        <v>16</v>
      </c>
      <c r="K121" s="466"/>
      <c r="L121" s="345"/>
      <c r="M121" s="462" t="s">
        <v>16</v>
      </c>
      <c r="N121" s="464"/>
      <c r="O121" s="1901">
        <v>0</v>
      </c>
      <c r="P121" s="462" t="s">
        <v>16</v>
      </c>
      <c r="Q121" s="1898">
        <v>8</v>
      </c>
      <c r="R121" s="345"/>
      <c r="S121" s="462" t="s">
        <v>16</v>
      </c>
      <c r="T121" s="466">
        <v>10</v>
      </c>
      <c r="U121" s="462" t="s">
        <v>157</v>
      </c>
      <c r="V121" s="462">
        <v>1000</v>
      </c>
      <c r="W121" s="467"/>
      <c r="X121" s="463"/>
      <c r="Y121" s="462" t="s">
        <v>16</v>
      </c>
      <c r="Z121" s="464"/>
      <c r="AA121" s="465"/>
      <c r="AB121" s="462" t="s">
        <v>16</v>
      </c>
      <c r="AC121" s="466"/>
      <c r="AD121" s="463"/>
      <c r="AE121" s="462" t="s">
        <v>16</v>
      </c>
      <c r="AF121" s="464"/>
      <c r="AG121" s="468"/>
      <c r="AH121" s="462" t="s">
        <v>16</v>
      </c>
      <c r="AI121" s="469"/>
      <c r="AJ121" s="469" t="s">
        <v>157</v>
      </c>
      <c r="AK121" s="470"/>
      <c r="AL121" s="471"/>
      <c r="AM121" s="462" t="s">
        <v>16</v>
      </c>
      <c r="AN121" s="469"/>
      <c r="AO121" s="469" t="s">
        <v>157</v>
      </c>
      <c r="AP121" s="470"/>
      <c r="AQ121" s="468"/>
      <c r="AR121" s="462" t="s">
        <v>16</v>
      </c>
      <c r="AS121" s="469"/>
      <c r="AT121" s="469" t="s">
        <v>157</v>
      </c>
      <c r="AU121" s="470"/>
      <c r="AV121" s="463"/>
      <c r="AW121" s="462"/>
      <c r="AX121" s="462"/>
      <c r="AY121" s="469"/>
      <c r="AZ121" s="472">
        <v>100</v>
      </c>
      <c r="BA121" s="465"/>
      <c r="BB121" s="462"/>
      <c r="BC121" s="462"/>
      <c r="BD121" s="469"/>
      <c r="BE121" s="472">
        <v>100</v>
      </c>
      <c r="BF121" s="475"/>
      <c r="BG121" s="462"/>
      <c r="BH121" s="462"/>
      <c r="BI121" s="469"/>
      <c r="BJ121" s="473">
        <v>100</v>
      </c>
    </row>
    <row r="122" spans="2:62" s="474" customFormat="1">
      <c r="B122" s="461"/>
      <c r="C122" s="297"/>
      <c r="D122" s="462"/>
      <c r="E122" s="462"/>
      <c r="F122" s="463"/>
      <c r="G122" s="462" t="s">
        <v>16</v>
      </c>
      <c r="H122" s="464"/>
      <c r="I122" s="465"/>
      <c r="J122" s="462" t="s">
        <v>16</v>
      </c>
      <c r="K122" s="466"/>
      <c r="L122" s="345"/>
      <c r="M122" s="462" t="s">
        <v>16</v>
      </c>
      <c r="N122" s="464"/>
      <c r="O122" s="1901">
        <v>0</v>
      </c>
      <c r="P122" s="462" t="s">
        <v>16</v>
      </c>
      <c r="Q122" s="1898">
        <v>8</v>
      </c>
      <c r="R122" s="345"/>
      <c r="S122" s="462" t="s">
        <v>16</v>
      </c>
      <c r="T122" s="466">
        <v>10</v>
      </c>
      <c r="U122" s="462" t="s">
        <v>157</v>
      </c>
      <c r="V122" s="462">
        <v>1000</v>
      </c>
      <c r="W122" s="467"/>
      <c r="X122" s="463"/>
      <c r="Y122" s="462" t="s">
        <v>16</v>
      </c>
      <c r="Z122" s="464"/>
      <c r="AA122" s="465"/>
      <c r="AB122" s="462" t="s">
        <v>16</v>
      </c>
      <c r="AC122" s="466"/>
      <c r="AD122" s="463"/>
      <c r="AE122" s="462" t="s">
        <v>16</v>
      </c>
      <c r="AF122" s="464"/>
      <c r="AG122" s="468"/>
      <c r="AH122" s="462" t="s">
        <v>16</v>
      </c>
      <c r="AI122" s="469"/>
      <c r="AJ122" s="469" t="s">
        <v>157</v>
      </c>
      <c r="AK122" s="470"/>
      <c r="AL122" s="471"/>
      <c r="AM122" s="462" t="s">
        <v>16</v>
      </c>
      <c r="AN122" s="469"/>
      <c r="AO122" s="469" t="s">
        <v>157</v>
      </c>
      <c r="AP122" s="470"/>
      <c r="AQ122" s="468"/>
      <c r="AR122" s="462" t="s">
        <v>16</v>
      </c>
      <c r="AS122" s="469"/>
      <c r="AT122" s="469" t="s">
        <v>157</v>
      </c>
      <c r="AU122" s="470"/>
      <c r="AV122" s="463"/>
      <c r="AW122" s="462"/>
      <c r="AX122" s="462"/>
      <c r="AY122" s="469"/>
      <c r="AZ122" s="472">
        <v>100</v>
      </c>
      <c r="BA122" s="465"/>
      <c r="BB122" s="462"/>
      <c r="BC122" s="462"/>
      <c r="BD122" s="469"/>
      <c r="BE122" s="472">
        <v>100</v>
      </c>
      <c r="BF122" s="475"/>
      <c r="BG122" s="462"/>
      <c r="BH122" s="462"/>
      <c r="BI122" s="469"/>
      <c r="BJ122" s="473">
        <v>100</v>
      </c>
    </row>
    <row r="123" spans="2:62" s="474" customFormat="1">
      <c r="B123" s="461"/>
      <c r="C123" s="297"/>
      <c r="D123" s="462"/>
      <c r="E123" s="462"/>
      <c r="F123" s="463"/>
      <c r="G123" s="462" t="s">
        <v>16</v>
      </c>
      <c r="H123" s="464"/>
      <c r="I123" s="465"/>
      <c r="J123" s="462" t="s">
        <v>16</v>
      </c>
      <c r="K123" s="466"/>
      <c r="L123" s="345"/>
      <c r="M123" s="462" t="s">
        <v>16</v>
      </c>
      <c r="N123" s="464"/>
      <c r="O123" s="1901">
        <v>0</v>
      </c>
      <c r="P123" s="462" t="s">
        <v>16</v>
      </c>
      <c r="Q123" s="1898">
        <v>8</v>
      </c>
      <c r="R123" s="345"/>
      <c r="S123" s="462" t="s">
        <v>16</v>
      </c>
      <c r="T123" s="466">
        <v>10</v>
      </c>
      <c r="U123" s="462" t="s">
        <v>157</v>
      </c>
      <c r="V123" s="462">
        <v>1000</v>
      </c>
      <c r="W123" s="467"/>
      <c r="X123" s="463"/>
      <c r="Y123" s="462" t="s">
        <v>16</v>
      </c>
      <c r="Z123" s="464"/>
      <c r="AA123" s="465"/>
      <c r="AB123" s="462" t="s">
        <v>16</v>
      </c>
      <c r="AC123" s="466"/>
      <c r="AD123" s="463"/>
      <c r="AE123" s="462" t="s">
        <v>16</v>
      </c>
      <c r="AF123" s="464"/>
      <c r="AG123" s="468"/>
      <c r="AH123" s="462" t="s">
        <v>16</v>
      </c>
      <c r="AI123" s="469"/>
      <c r="AJ123" s="469" t="s">
        <v>157</v>
      </c>
      <c r="AK123" s="470"/>
      <c r="AL123" s="471"/>
      <c r="AM123" s="462" t="s">
        <v>16</v>
      </c>
      <c r="AN123" s="469"/>
      <c r="AO123" s="469" t="s">
        <v>157</v>
      </c>
      <c r="AP123" s="470"/>
      <c r="AQ123" s="468"/>
      <c r="AR123" s="462" t="s">
        <v>16</v>
      </c>
      <c r="AS123" s="469"/>
      <c r="AT123" s="469" t="s">
        <v>157</v>
      </c>
      <c r="AU123" s="470"/>
      <c r="AV123" s="463"/>
      <c r="AW123" s="462"/>
      <c r="AX123" s="462"/>
      <c r="AY123" s="469"/>
      <c r="AZ123" s="472">
        <v>100</v>
      </c>
      <c r="BA123" s="465"/>
      <c r="BB123" s="462"/>
      <c r="BC123" s="462"/>
      <c r="BD123" s="469"/>
      <c r="BE123" s="472">
        <v>100</v>
      </c>
      <c r="BF123" s="475"/>
      <c r="BG123" s="462"/>
      <c r="BH123" s="462"/>
      <c r="BI123" s="469"/>
      <c r="BJ123" s="473">
        <v>100</v>
      </c>
    </row>
    <row r="124" spans="2:62" s="474" customFormat="1">
      <c r="B124" s="461"/>
      <c r="C124" s="297"/>
      <c r="D124" s="462"/>
      <c r="E124" s="462"/>
      <c r="F124" s="463"/>
      <c r="G124" s="462" t="s">
        <v>16</v>
      </c>
      <c r="H124" s="464"/>
      <c r="I124" s="465"/>
      <c r="J124" s="462" t="s">
        <v>16</v>
      </c>
      <c r="K124" s="466"/>
      <c r="L124" s="345"/>
      <c r="M124" s="462" t="s">
        <v>16</v>
      </c>
      <c r="N124" s="464"/>
      <c r="O124" s="1901">
        <v>0</v>
      </c>
      <c r="P124" s="462" t="s">
        <v>16</v>
      </c>
      <c r="Q124" s="1898">
        <v>8</v>
      </c>
      <c r="R124" s="345"/>
      <c r="S124" s="462" t="s">
        <v>16</v>
      </c>
      <c r="T124" s="466">
        <v>10</v>
      </c>
      <c r="U124" s="462" t="s">
        <v>157</v>
      </c>
      <c r="V124" s="462">
        <v>1000</v>
      </c>
      <c r="W124" s="467"/>
      <c r="X124" s="463"/>
      <c r="Y124" s="462" t="s">
        <v>16</v>
      </c>
      <c r="Z124" s="464"/>
      <c r="AA124" s="465"/>
      <c r="AB124" s="462" t="s">
        <v>16</v>
      </c>
      <c r="AC124" s="466"/>
      <c r="AD124" s="463"/>
      <c r="AE124" s="462" t="s">
        <v>16</v>
      </c>
      <c r="AF124" s="464"/>
      <c r="AG124" s="468"/>
      <c r="AH124" s="462" t="s">
        <v>16</v>
      </c>
      <c r="AI124" s="469"/>
      <c r="AJ124" s="469" t="s">
        <v>157</v>
      </c>
      <c r="AK124" s="470"/>
      <c r="AL124" s="471"/>
      <c r="AM124" s="462" t="s">
        <v>16</v>
      </c>
      <c r="AN124" s="469"/>
      <c r="AO124" s="469" t="s">
        <v>157</v>
      </c>
      <c r="AP124" s="470"/>
      <c r="AQ124" s="468"/>
      <c r="AR124" s="462" t="s">
        <v>16</v>
      </c>
      <c r="AS124" s="469"/>
      <c r="AT124" s="469" t="s">
        <v>157</v>
      </c>
      <c r="AU124" s="470"/>
      <c r="AV124" s="463"/>
      <c r="AW124" s="462"/>
      <c r="AX124" s="462"/>
      <c r="AY124" s="469"/>
      <c r="AZ124" s="472">
        <v>100</v>
      </c>
      <c r="BA124" s="465"/>
      <c r="BB124" s="462"/>
      <c r="BC124" s="462"/>
      <c r="BD124" s="469"/>
      <c r="BE124" s="472">
        <v>100</v>
      </c>
      <c r="BF124" s="475"/>
      <c r="BG124" s="462"/>
      <c r="BH124" s="462"/>
      <c r="BI124" s="469"/>
      <c r="BJ124" s="473">
        <v>100</v>
      </c>
    </row>
    <row r="125" spans="2:62" s="474" customFormat="1">
      <c r="B125" s="461"/>
      <c r="C125" s="297"/>
      <c r="D125" s="462"/>
      <c r="E125" s="462"/>
      <c r="F125" s="463"/>
      <c r="G125" s="462" t="s">
        <v>16</v>
      </c>
      <c r="H125" s="464"/>
      <c r="I125" s="465"/>
      <c r="J125" s="462" t="s">
        <v>16</v>
      </c>
      <c r="K125" s="466"/>
      <c r="L125" s="345"/>
      <c r="M125" s="462" t="s">
        <v>16</v>
      </c>
      <c r="N125" s="464"/>
      <c r="O125" s="1901">
        <v>0</v>
      </c>
      <c r="P125" s="462" t="s">
        <v>16</v>
      </c>
      <c r="Q125" s="1898">
        <v>8</v>
      </c>
      <c r="R125" s="345"/>
      <c r="S125" s="462" t="s">
        <v>16</v>
      </c>
      <c r="T125" s="466">
        <v>10</v>
      </c>
      <c r="U125" s="462" t="s">
        <v>157</v>
      </c>
      <c r="V125" s="462">
        <v>1000</v>
      </c>
      <c r="W125" s="467"/>
      <c r="X125" s="463"/>
      <c r="Y125" s="462" t="s">
        <v>16</v>
      </c>
      <c r="Z125" s="464"/>
      <c r="AA125" s="465"/>
      <c r="AB125" s="462" t="s">
        <v>16</v>
      </c>
      <c r="AC125" s="466"/>
      <c r="AD125" s="463"/>
      <c r="AE125" s="462" t="s">
        <v>16</v>
      </c>
      <c r="AF125" s="464"/>
      <c r="AG125" s="468"/>
      <c r="AH125" s="462" t="s">
        <v>16</v>
      </c>
      <c r="AI125" s="469"/>
      <c r="AJ125" s="469" t="s">
        <v>157</v>
      </c>
      <c r="AK125" s="470"/>
      <c r="AL125" s="471"/>
      <c r="AM125" s="462" t="s">
        <v>16</v>
      </c>
      <c r="AN125" s="469"/>
      <c r="AO125" s="469" t="s">
        <v>157</v>
      </c>
      <c r="AP125" s="470"/>
      <c r="AQ125" s="468"/>
      <c r="AR125" s="462" t="s">
        <v>16</v>
      </c>
      <c r="AS125" s="469"/>
      <c r="AT125" s="469" t="s">
        <v>157</v>
      </c>
      <c r="AU125" s="470"/>
      <c r="AV125" s="463"/>
      <c r="AW125" s="462"/>
      <c r="AX125" s="462"/>
      <c r="AY125" s="469"/>
      <c r="AZ125" s="472">
        <v>100</v>
      </c>
      <c r="BA125" s="465"/>
      <c r="BB125" s="462"/>
      <c r="BC125" s="462"/>
      <c r="BD125" s="469"/>
      <c r="BE125" s="472">
        <v>100</v>
      </c>
      <c r="BF125" s="475"/>
      <c r="BG125" s="462"/>
      <c r="BH125" s="462"/>
      <c r="BI125" s="469"/>
      <c r="BJ125" s="473">
        <v>100</v>
      </c>
    </row>
    <row r="126" spans="2:62" s="474" customFormat="1">
      <c r="B126" s="461"/>
      <c r="C126" s="297"/>
      <c r="D126" s="462"/>
      <c r="E126" s="462"/>
      <c r="F126" s="463"/>
      <c r="G126" s="462" t="s">
        <v>16</v>
      </c>
      <c r="H126" s="464"/>
      <c r="I126" s="465"/>
      <c r="J126" s="462" t="s">
        <v>16</v>
      </c>
      <c r="K126" s="466"/>
      <c r="L126" s="345"/>
      <c r="M126" s="462" t="s">
        <v>16</v>
      </c>
      <c r="N126" s="464"/>
      <c r="O126" s="1901">
        <v>0</v>
      </c>
      <c r="P126" s="462" t="s">
        <v>16</v>
      </c>
      <c r="Q126" s="1898">
        <v>8</v>
      </c>
      <c r="R126" s="345"/>
      <c r="S126" s="462" t="s">
        <v>16</v>
      </c>
      <c r="T126" s="466">
        <v>10</v>
      </c>
      <c r="U126" s="462" t="s">
        <v>157</v>
      </c>
      <c r="V126" s="462">
        <v>1000</v>
      </c>
      <c r="W126" s="467"/>
      <c r="X126" s="463"/>
      <c r="Y126" s="462" t="s">
        <v>16</v>
      </c>
      <c r="Z126" s="464"/>
      <c r="AA126" s="465"/>
      <c r="AB126" s="462" t="s">
        <v>16</v>
      </c>
      <c r="AC126" s="466"/>
      <c r="AD126" s="463"/>
      <c r="AE126" s="462" t="s">
        <v>16</v>
      </c>
      <c r="AF126" s="464"/>
      <c r="AG126" s="468"/>
      <c r="AH126" s="462" t="s">
        <v>16</v>
      </c>
      <c r="AI126" s="469"/>
      <c r="AJ126" s="469" t="s">
        <v>157</v>
      </c>
      <c r="AK126" s="470"/>
      <c r="AL126" s="471"/>
      <c r="AM126" s="462" t="s">
        <v>16</v>
      </c>
      <c r="AN126" s="469"/>
      <c r="AO126" s="469" t="s">
        <v>157</v>
      </c>
      <c r="AP126" s="470"/>
      <c r="AQ126" s="468"/>
      <c r="AR126" s="462" t="s">
        <v>16</v>
      </c>
      <c r="AS126" s="469"/>
      <c r="AT126" s="469" t="s">
        <v>157</v>
      </c>
      <c r="AU126" s="470"/>
      <c r="AV126" s="463"/>
      <c r="AW126" s="462"/>
      <c r="AX126" s="462"/>
      <c r="AY126" s="469"/>
      <c r="AZ126" s="472">
        <v>100</v>
      </c>
      <c r="BA126" s="465"/>
      <c r="BB126" s="462"/>
      <c r="BC126" s="462"/>
      <c r="BD126" s="469"/>
      <c r="BE126" s="472">
        <v>100</v>
      </c>
      <c r="BF126" s="475"/>
      <c r="BG126" s="462"/>
      <c r="BH126" s="462"/>
      <c r="BI126" s="469"/>
      <c r="BJ126" s="473">
        <v>100</v>
      </c>
    </row>
    <row r="127" spans="2:62" s="474" customFormat="1">
      <c r="B127" s="461"/>
      <c r="C127" s="297"/>
      <c r="D127" s="462"/>
      <c r="E127" s="462"/>
      <c r="F127" s="463"/>
      <c r="G127" s="462" t="s">
        <v>16</v>
      </c>
      <c r="H127" s="464"/>
      <c r="I127" s="465"/>
      <c r="J127" s="462" t="s">
        <v>16</v>
      </c>
      <c r="K127" s="466"/>
      <c r="L127" s="345"/>
      <c r="M127" s="462" t="s">
        <v>16</v>
      </c>
      <c r="N127" s="464"/>
      <c r="O127" s="1901">
        <v>0</v>
      </c>
      <c r="P127" s="462" t="s">
        <v>16</v>
      </c>
      <c r="Q127" s="1898">
        <v>8</v>
      </c>
      <c r="R127" s="345"/>
      <c r="S127" s="462" t="s">
        <v>16</v>
      </c>
      <c r="T127" s="466">
        <v>10</v>
      </c>
      <c r="U127" s="462" t="s">
        <v>157</v>
      </c>
      <c r="V127" s="462">
        <v>1000</v>
      </c>
      <c r="W127" s="467"/>
      <c r="X127" s="463"/>
      <c r="Y127" s="462" t="s">
        <v>16</v>
      </c>
      <c r="Z127" s="464"/>
      <c r="AA127" s="465"/>
      <c r="AB127" s="462" t="s">
        <v>16</v>
      </c>
      <c r="AC127" s="466"/>
      <c r="AD127" s="463"/>
      <c r="AE127" s="462" t="s">
        <v>16</v>
      </c>
      <c r="AF127" s="464"/>
      <c r="AG127" s="468"/>
      <c r="AH127" s="462" t="s">
        <v>16</v>
      </c>
      <c r="AI127" s="469"/>
      <c r="AJ127" s="469" t="s">
        <v>157</v>
      </c>
      <c r="AK127" s="470"/>
      <c r="AL127" s="471"/>
      <c r="AM127" s="462" t="s">
        <v>16</v>
      </c>
      <c r="AN127" s="469"/>
      <c r="AO127" s="469" t="s">
        <v>157</v>
      </c>
      <c r="AP127" s="470"/>
      <c r="AQ127" s="468"/>
      <c r="AR127" s="462" t="s">
        <v>16</v>
      </c>
      <c r="AS127" s="469"/>
      <c r="AT127" s="469" t="s">
        <v>157</v>
      </c>
      <c r="AU127" s="470"/>
      <c r="AV127" s="463"/>
      <c r="AW127" s="462"/>
      <c r="AX127" s="462"/>
      <c r="AY127" s="469"/>
      <c r="AZ127" s="472">
        <v>100</v>
      </c>
      <c r="BA127" s="465"/>
      <c r="BB127" s="462"/>
      <c r="BC127" s="462"/>
      <c r="BD127" s="469"/>
      <c r="BE127" s="472">
        <v>100</v>
      </c>
      <c r="BF127" s="475"/>
      <c r="BG127" s="462"/>
      <c r="BH127" s="462"/>
      <c r="BI127" s="469"/>
      <c r="BJ127" s="473">
        <v>100</v>
      </c>
    </row>
    <row r="128" spans="2:62" s="474" customFormat="1">
      <c r="B128" s="461"/>
      <c r="C128" s="297"/>
      <c r="D128" s="462"/>
      <c r="E128" s="462"/>
      <c r="F128" s="463"/>
      <c r="G128" s="462" t="s">
        <v>16</v>
      </c>
      <c r="H128" s="464"/>
      <c r="I128" s="465"/>
      <c r="J128" s="462" t="s">
        <v>16</v>
      </c>
      <c r="K128" s="466"/>
      <c r="L128" s="345"/>
      <c r="M128" s="462" t="s">
        <v>16</v>
      </c>
      <c r="N128" s="464"/>
      <c r="O128" s="1901">
        <v>0</v>
      </c>
      <c r="P128" s="462" t="s">
        <v>16</v>
      </c>
      <c r="Q128" s="1898">
        <v>8</v>
      </c>
      <c r="R128" s="345"/>
      <c r="S128" s="462" t="s">
        <v>16</v>
      </c>
      <c r="T128" s="466">
        <v>10</v>
      </c>
      <c r="U128" s="462" t="s">
        <v>157</v>
      </c>
      <c r="V128" s="462">
        <v>1000</v>
      </c>
      <c r="W128" s="467"/>
      <c r="X128" s="463"/>
      <c r="Y128" s="462" t="s">
        <v>16</v>
      </c>
      <c r="Z128" s="464"/>
      <c r="AA128" s="465"/>
      <c r="AB128" s="462" t="s">
        <v>16</v>
      </c>
      <c r="AC128" s="466"/>
      <c r="AD128" s="463"/>
      <c r="AE128" s="462" t="s">
        <v>16</v>
      </c>
      <c r="AF128" s="464"/>
      <c r="AG128" s="468"/>
      <c r="AH128" s="462" t="s">
        <v>16</v>
      </c>
      <c r="AI128" s="469"/>
      <c r="AJ128" s="469" t="s">
        <v>157</v>
      </c>
      <c r="AK128" s="470"/>
      <c r="AL128" s="471"/>
      <c r="AM128" s="462" t="s">
        <v>16</v>
      </c>
      <c r="AN128" s="469"/>
      <c r="AO128" s="469" t="s">
        <v>157</v>
      </c>
      <c r="AP128" s="470"/>
      <c r="AQ128" s="468"/>
      <c r="AR128" s="462" t="s">
        <v>16</v>
      </c>
      <c r="AS128" s="469"/>
      <c r="AT128" s="469" t="s">
        <v>157</v>
      </c>
      <c r="AU128" s="470"/>
      <c r="AV128" s="463"/>
      <c r="AW128" s="462"/>
      <c r="AX128" s="462"/>
      <c r="AY128" s="469"/>
      <c r="AZ128" s="472">
        <v>100</v>
      </c>
      <c r="BA128" s="465"/>
      <c r="BB128" s="462"/>
      <c r="BC128" s="462"/>
      <c r="BD128" s="469"/>
      <c r="BE128" s="472">
        <v>100</v>
      </c>
      <c r="BF128" s="475"/>
      <c r="BG128" s="462"/>
      <c r="BH128" s="462"/>
      <c r="BI128" s="469"/>
      <c r="BJ128" s="473">
        <v>100</v>
      </c>
    </row>
    <row r="129" spans="2:62" s="474" customFormat="1">
      <c r="B129" s="461"/>
      <c r="C129" s="297"/>
      <c r="D129" s="462"/>
      <c r="E129" s="462"/>
      <c r="F129" s="463"/>
      <c r="G129" s="462" t="s">
        <v>16</v>
      </c>
      <c r="H129" s="464"/>
      <c r="I129" s="465"/>
      <c r="J129" s="462" t="s">
        <v>16</v>
      </c>
      <c r="K129" s="466"/>
      <c r="L129" s="345"/>
      <c r="M129" s="462" t="s">
        <v>16</v>
      </c>
      <c r="N129" s="464"/>
      <c r="O129" s="1901">
        <v>0</v>
      </c>
      <c r="P129" s="462" t="s">
        <v>16</v>
      </c>
      <c r="Q129" s="1898">
        <v>8</v>
      </c>
      <c r="R129" s="345"/>
      <c r="S129" s="462" t="s">
        <v>16</v>
      </c>
      <c r="T129" s="466">
        <v>10</v>
      </c>
      <c r="U129" s="462" t="s">
        <v>157</v>
      </c>
      <c r="V129" s="462">
        <v>1000</v>
      </c>
      <c r="W129" s="467"/>
      <c r="X129" s="463"/>
      <c r="Y129" s="462" t="s">
        <v>16</v>
      </c>
      <c r="Z129" s="464"/>
      <c r="AA129" s="465"/>
      <c r="AB129" s="462" t="s">
        <v>16</v>
      </c>
      <c r="AC129" s="466"/>
      <c r="AD129" s="463"/>
      <c r="AE129" s="462" t="s">
        <v>16</v>
      </c>
      <c r="AF129" s="464"/>
      <c r="AG129" s="468"/>
      <c r="AH129" s="462" t="s">
        <v>16</v>
      </c>
      <c r="AI129" s="469"/>
      <c r="AJ129" s="469" t="s">
        <v>157</v>
      </c>
      <c r="AK129" s="470"/>
      <c r="AL129" s="471"/>
      <c r="AM129" s="462" t="s">
        <v>16</v>
      </c>
      <c r="AN129" s="469"/>
      <c r="AO129" s="469" t="s">
        <v>157</v>
      </c>
      <c r="AP129" s="470"/>
      <c r="AQ129" s="468"/>
      <c r="AR129" s="462" t="s">
        <v>16</v>
      </c>
      <c r="AS129" s="469"/>
      <c r="AT129" s="469" t="s">
        <v>157</v>
      </c>
      <c r="AU129" s="470"/>
      <c r="AV129" s="463"/>
      <c r="AW129" s="462"/>
      <c r="AX129" s="462"/>
      <c r="AY129" s="469"/>
      <c r="AZ129" s="472">
        <v>100</v>
      </c>
      <c r="BA129" s="465"/>
      <c r="BB129" s="462"/>
      <c r="BC129" s="462"/>
      <c r="BD129" s="469"/>
      <c r="BE129" s="472">
        <v>100</v>
      </c>
      <c r="BF129" s="475"/>
      <c r="BG129" s="462"/>
      <c r="BH129" s="462"/>
      <c r="BI129" s="469"/>
      <c r="BJ129" s="473">
        <v>100</v>
      </c>
    </row>
    <row r="130" spans="2:62" s="474" customFormat="1">
      <c r="B130" s="461"/>
      <c r="C130" s="297"/>
      <c r="D130" s="462"/>
      <c r="E130" s="462"/>
      <c r="F130" s="463"/>
      <c r="G130" s="462" t="s">
        <v>16</v>
      </c>
      <c r="H130" s="464"/>
      <c r="I130" s="465"/>
      <c r="J130" s="462" t="s">
        <v>16</v>
      </c>
      <c r="K130" s="466"/>
      <c r="L130" s="345"/>
      <c r="M130" s="462" t="s">
        <v>16</v>
      </c>
      <c r="N130" s="464"/>
      <c r="O130" s="1901">
        <v>0</v>
      </c>
      <c r="P130" s="462" t="s">
        <v>16</v>
      </c>
      <c r="Q130" s="1898">
        <v>8</v>
      </c>
      <c r="R130" s="345"/>
      <c r="S130" s="462" t="s">
        <v>16</v>
      </c>
      <c r="T130" s="466">
        <v>10</v>
      </c>
      <c r="U130" s="462" t="s">
        <v>157</v>
      </c>
      <c r="V130" s="462">
        <v>1000</v>
      </c>
      <c r="W130" s="467"/>
      <c r="X130" s="463"/>
      <c r="Y130" s="462" t="s">
        <v>16</v>
      </c>
      <c r="Z130" s="464"/>
      <c r="AA130" s="465"/>
      <c r="AB130" s="462" t="s">
        <v>16</v>
      </c>
      <c r="AC130" s="466"/>
      <c r="AD130" s="463"/>
      <c r="AE130" s="462" t="s">
        <v>16</v>
      </c>
      <c r="AF130" s="464"/>
      <c r="AG130" s="468"/>
      <c r="AH130" s="462" t="s">
        <v>16</v>
      </c>
      <c r="AI130" s="469"/>
      <c r="AJ130" s="469" t="s">
        <v>157</v>
      </c>
      <c r="AK130" s="470"/>
      <c r="AL130" s="471"/>
      <c r="AM130" s="462" t="s">
        <v>16</v>
      </c>
      <c r="AN130" s="469"/>
      <c r="AO130" s="469" t="s">
        <v>157</v>
      </c>
      <c r="AP130" s="470"/>
      <c r="AQ130" s="468"/>
      <c r="AR130" s="462" t="s">
        <v>16</v>
      </c>
      <c r="AS130" s="469"/>
      <c r="AT130" s="469" t="s">
        <v>157</v>
      </c>
      <c r="AU130" s="470"/>
      <c r="AV130" s="463"/>
      <c r="AW130" s="462"/>
      <c r="AX130" s="462"/>
      <c r="AY130" s="469"/>
      <c r="AZ130" s="472">
        <v>100</v>
      </c>
      <c r="BA130" s="465"/>
      <c r="BB130" s="462"/>
      <c r="BC130" s="462"/>
      <c r="BD130" s="469"/>
      <c r="BE130" s="472">
        <v>100</v>
      </c>
      <c r="BF130" s="475"/>
      <c r="BG130" s="462"/>
      <c r="BH130" s="462"/>
      <c r="BI130" s="469"/>
      <c r="BJ130" s="473">
        <v>100</v>
      </c>
    </row>
    <row r="131" spans="2:62" s="474" customFormat="1">
      <c r="B131" s="461"/>
      <c r="C131" s="297"/>
      <c r="D131" s="462"/>
      <c r="E131" s="462"/>
      <c r="F131" s="463"/>
      <c r="G131" s="462" t="s">
        <v>16</v>
      </c>
      <c r="H131" s="464"/>
      <c r="I131" s="465"/>
      <c r="J131" s="462" t="s">
        <v>16</v>
      </c>
      <c r="K131" s="466"/>
      <c r="L131" s="345"/>
      <c r="M131" s="462" t="s">
        <v>16</v>
      </c>
      <c r="N131" s="464"/>
      <c r="O131" s="1901">
        <v>0</v>
      </c>
      <c r="P131" s="462" t="s">
        <v>16</v>
      </c>
      <c r="Q131" s="1898">
        <v>8</v>
      </c>
      <c r="R131" s="345"/>
      <c r="S131" s="462" t="s">
        <v>16</v>
      </c>
      <c r="T131" s="466">
        <v>10</v>
      </c>
      <c r="U131" s="462" t="s">
        <v>157</v>
      </c>
      <c r="V131" s="462">
        <v>1000</v>
      </c>
      <c r="W131" s="467"/>
      <c r="X131" s="463"/>
      <c r="Y131" s="462" t="s">
        <v>16</v>
      </c>
      <c r="Z131" s="464"/>
      <c r="AA131" s="465"/>
      <c r="AB131" s="462" t="s">
        <v>16</v>
      </c>
      <c r="AC131" s="466"/>
      <c r="AD131" s="463"/>
      <c r="AE131" s="462" t="s">
        <v>16</v>
      </c>
      <c r="AF131" s="464"/>
      <c r="AG131" s="468"/>
      <c r="AH131" s="462" t="s">
        <v>16</v>
      </c>
      <c r="AI131" s="469"/>
      <c r="AJ131" s="469" t="s">
        <v>157</v>
      </c>
      <c r="AK131" s="470"/>
      <c r="AL131" s="471"/>
      <c r="AM131" s="462" t="s">
        <v>16</v>
      </c>
      <c r="AN131" s="469"/>
      <c r="AO131" s="469" t="s">
        <v>157</v>
      </c>
      <c r="AP131" s="470"/>
      <c r="AQ131" s="468"/>
      <c r="AR131" s="462" t="s">
        <v>16</v>
      </c>
      <c r="AS131" s="469"/>
      <c r="AT131" s="469" t="s">
        <v>157</v>
      </c>
      <c r="AU131" s="470"/>
      <c r="AV131" s="463"/>
      <c r="AW131" s="462"/>
      <c r="AX131" s="462"/>
      <c r="AY131" s="469"/>
      <c r="AZ131" s="472">
        <v>100</v>
      </c>
      <c r="BA131" s="465"/>
      <c r="BB131" s="462"/>
      <c r="BC131" s="462"/>
      <c r="BD131" s="469"/>
      <c r="BE131" s="472">
        <v>100</v>
      </c>
      <c r="BF131" s="475"/>
      <c r="BG131" s="462"/>
      <c r="BH131" s="462"/>
      <c r="BI131" s="469"/>
      <c r="BJ131" s="473">
        <v>100</v>
      </c>
    </row>
    <row r="132" spans="2:62" s="474" customFormat="1">
      <c r="B132" s="461"/>
      <c r="C132" s="297"/>
      <c r="D132" s="462"/>
      <c r="E132" s="462"/>
      <c r="F132" s="463"/>
      <c r="G132" s="462" t="s">
        <v>16</v>
      </c>
      <c r="H132" s="464"/>
      <c r="I132" s="465"/>
      <c r="J132" s="462" t="s">
        <v>16</v>
      </c>
      <c r="K132" s="466"/>
      <c r="L132" s="345"/>
      <c r="M132" s="462" t="s">
        <v>16</v>
      </c>
      <c r="N132" s="464"/>
      <c r="O132" s="1901">
        <v>0</v>
      </c>
      <c r="P132" s="462" t="s">
        <v>16</v>
      </c>
      <c r="Q132" s="1898">
        <v>8</v>
      </c>
      <c r="R132" s="345"/>
      <c r="S132" s="462" t="s">
        <v>16</v>
      </c>
      <c r="T132" s="466">
        <v>10</v>
      </c>
      <c r="U132" s="462" t="s">
        <v>157</v>
      </c>
      <c r="V132" s="462">
        <v>1000</v>
      </c>
      <c r="W132" s="467"/>
      <c r="X132" s="463"/>
      <c r="Y132" s="462" t="s">
        <v>16</v>
      </c>
      <c r="Z132" s="464"/>
      <c r="AA132" s="465"/>
      <c r="AB132" s="462" t="s">
        <v>16</v>
      </c>
      <c r="AC132" s="466"/>
      <c r="AD132" s="463"/>
      <c r="AE132" s="462" t="s">
        <v>16</v>
      </c>
      <c r="AF132" s="464"/>
      <c r="AG132" s="468"/>
      <c r="AH132" s="462" t="s">
        <v>16</v>
      </c>
      <c r="AI132" s="469"/>
      <c r="AJ132" s="469" t="s">
        <v>157</v>
      </c>
      <c r="AK132" s="470"/>
      <c r="AL132" s="471"/>
      <c r="AM132" s="462" t="s">
        <v>16</v>
      </c>
      <c r="AN132" s="469"/>
      <c r="AO132" s="469" t="s">
        <v>157</v>
      </c>
      <c r="AP132" s="470"/>
      <c r="AQ132" s="468"/>
      <c r="AR132" s="462" t="s">
        <v>16</v>
      </c>
      <c r="AS132" s="469"/>
      <c r="AT132" s="469" t="s">
        <v>157</v>
      </c>
      <c r="AU132" s="470"/>
      <c r="AV132" s="463"/>
      <c r="AW132" s="462"/>
      <c r="AX132" s="462"/>
      <c r="AY132" s="469"/>
      <c r="AZ132" s="472">
        <v>100</v>
      </c>
      <c r="BA132" s="465"/>
      <c r="BB132" s="462"/>
      <c r="BC132" s="462"/>
      <c r="BD132" s="469"/>
      <c r="BE132" s="472">
        <v>100</v>
      </c>
      <c r="BF132" s="475"/>
      <c r="BG132" s="462"/>
      <c r="BH132" s="462"/>
      <c r="BI132" s="469"/>
      <c r="BJ132" s="473">
        <v>100</v>
      </c>
    </row>
    <row r="133" spans="2:62" s="474" customFormat="1" ht="13.5" customHeight="1">
      <c r="B133" s="461"/>
      <c r="C133" s="297"/>
      <c r="D133" s="462"/>
      <c r="E133" s="462"/>
      <c r="F133" s="463"/>
      <c r="G133" s="462" t="s">
        <v>16</v>
      </c>
      <c r="H133" s="464"/>
      <c r="I133" s="465"/>
      <c r="J133" s="462" t="s">
        <v>16</v>
      </c>
      <c r="K133" s="466"/>
      <c r="L133" s="345"/>
      <c r="M133" s="462" t="s">
        <v>16</v>
      </c>
      <c r="N133" s="464"/>
      <c r="O133" s="1901">
        <v>0</v>
      </c>
      <c r="P133" s="462" t="s">
        <v>16</v>
      </c>
      <c r="Q133" s="1898">
        <v>8</v>
      </c>
      <c r="R133" s="345"/>
      <c r="S133" s="462" t="s">
        <v>16</v>
      </c>
      <c r="T133" s="466">
        <v>10</v>
      </c>
      <c r="U133" s="462" t="s">
        <v>157</v>
      </c>
      <c r="V133" s="462">
        <v>1000</v>
      </c>
      <c r="W133" s="467"/>
      <c r="X133" s="463"/>
      <c r="Y133" s="462" t="s">
        <v>16</v>
      </c>
      <c r="Z133" s="464"/>
      <c r="AA133" s="465"/>
      <c r="AB133" s="462" t="s">
        <v>16</v>
      </c>
      <c r="AC133" s="466"/>
      <c r="AD133" s="463"/>
      <c r="AE133" s="462" t="s">
        <v>16</v>
      </c>
      <c r="AF133" s="464"/>
      <c r="AG133" s="468"/>
      <c r="AH133" s="462" t="s">
        <v>16</v>
      </c>
      <c r="AI133" s="469"/>
      <c r="AJ133" s="469" t="s">
        <v>157</v>
      </c>
      <c r="AK133" s="470"/>
      <c r="AL133" s="471"/>
      <c r="AM133" s="462" t="s">
        <v>16</v>
      </c>
      <c r="AN133" s="469"/>
      <c r="AO133" s="469" t="s">
        <v>157</v>
      </c>
      <c r="AP133" s="470"/>
      <c r="AQ133" s="468"/>
      <c r="AR133" s="462" t="s">
        <v>16</v>
      </c>
      <c r="AS133" s="469"/>
      <c r="AT133" s="469" t="s">
        <v>157</v>
      </c>
      <c r="AU133" s="470"/>
      <c r="AV133" s="463"/>
      <c r="AW133" s="462"/>
      <c r="AX133" s="462"/>
      <c r="AY133" s="469"/>
      <c r="AZ133" s="472">
        <v>100</v>
      </c>
      <c r="BA133" s="465"/>
      <c r="BB133" s="462"/>
      <c r="BC133" s="462"/>
      <c r="BD133" s="469"/>
      <c r="BE133" s="472">
        <v>100</v>
      </c>
      <c r="BF133" s="475"/>
      <c r="BG133" s="462"/>
      <c r="BH133" s="462"/>
      <c r="BI133" s="469"/>
      <c r="BJ133" s="473">
        <v>100</v>
      </c>
    </row>
    <row r="134" spans="2:62" s="474" customFormat="1" ht="13.5" customHeight="1">
      <c r="B134" s="461"/>
      <c r="C134" s="297"/>
      <c r="D134" s="462"/>
      <c r="E134" s="462"/>
      <c r="F134" s="463"/>
      <c r="G134" s="462" t="s">
        <v>16</v>
      </c>
      <c r="H134" s="464"/>
      <c r="I134" s="465"/>
      <c r="J134" s="462" t="s">
        <v>16</v>
      </c>
      <c r="K134" s="466"/>
      <c r="L134" s="345"/>
      <c r="M134" s="462" t="s">
        <v>16</v>
      </c>
      <c r="N134" s="464"/>
      <c r="O134" s="1901">
        <v>0</v>
      </c>
      <c r="P134" s="462" t="s">
        <v>16</v>
      </c>
      <c r="Q134" s="1898">
        <v>8</v>
      </c>
      <c r="R134" s="345"/>
      <c r="S134" s="462" t="s">
        <v>16</v>
      </c>
      <c r="T134" s="466">
        <v>10</v>
      </c>
      <c r="U134" s="462" t="s">
        <v>157</v>
      </c>
      <c r="V134" s="462">
        <v>1000</v>
      </c>
      <c r="W134" s="467"/>
      <c r="X134" s="463"/>
      <c r="Y134" s="462" t="s">
        <v>16</v>
      </c>
      <c r="Z134" s="464"/>
      <c r="AA134" s="465"/>
      <c r="AB134" s="462" t="s">
        <v>16</v>
      </c>
      <c r="AC134" s="466"/>
      <c r="AD134" s="463"/>
      <c r="AE134" s="462" t="s">
        <v>16</v>
      </c>
      <c r="AF134" s="464"/>
      <c r="AG134" s="468"/>
      <c r="AH134" s="462" t="s">
        <v>16</v>
      </c>
      <c r="AI134" s="469"/>
      <c r="AJ134" s="469" t="s">
        <v>157</v>
      </c>
      <c r="AK134" s="470"/>
      <c r="AL134" s="471"/>
      <c r="AM134" s="462" t="s">
        <v>16</v>
      </c>
      <c r="AN134" s="469"/>
      <c r="AO134" s="469" t="s">
        <v>157</v>
      </c>
      <c r="AP134" s="470"/>
      <c r="AQ134" s="468"/>
      <c r="AR134" s="462" t="s">
        <v>16</v>
      </c>
      <c r="AS134" s="469"/>
      <c r="AT134" s="469" t="s">
        <v>157</v>
      </c>
      <c r="AU134" s="470"/>
      <c r="AV134" s="463"/>
      <c r="AW134" s="462"/>
      <c r="AX134" s="462"/>
      <c r="AY134" s="469"/>
      <c r="AZ134" s="472">
        <v>100</v>
      </c>
      <c r="BA134" s="465"/>
      <c r="BB134" s="462"/>
      <c r="BC134" s="462"/>
      <c r="BD134" s="469"/>
      <c r="BE134" s="472">
        <v>100</v>
      </c>
      <c r="BF134" s="475"/>
      <c r="BG134" s="462"/>
      <c r="BH134" s="462"/>
      <c r="BI134" s="469"/>
      <c r="BJ134" s="473">
        <v>100</v>
      </c>
    </row>
    <row r="135" spans="2:62" s="474" customFormat="1" ht="13.5" customHeight="1">
      <c r="B135" s="461"/>
      <c r="C135" s="297"/>
      <c r="D135" s="462"/>
      <c r="E135" s="462"/>
      <c r="F135" s="463"/>
      <c r="G135" s="462" t="s">
        <v>16</v>
      </c>
      <c r="H135" s="464"/>
      <c r="I135" s="465"/>
      <c r="J135" s="462" t="s">
        <v>16</v>
      </c>
      <c r="K135" s="466"/>
      <c r="L135" s="345"/>
      <c r="M135" s="462" t="s">
        <v>16</v>
      </c>
      <c r="N135" s="464"/>
      <c r="O135" s="1901">
        <v>0</v>
      </c>
      <c r="P135" s="462" t="s">
        <v>16</v>
      </c>
      <c r="Q135" s="1898">
        <v>8</v>
      </c>
      <c r="R135" s="345"/>
      <c r="S135" s="462" t="s">
        <v>16</v>
      </c>
      <c r="T135" s="466">
        <v>10</v>
      </c>
      <c r="U135" s="462" t="s">
        <v>157</v>
      </c>
      <c r="V135" s="462">
        <v>1000</v>
      </c>
      <c r="W135" s="467"/>
      <c r="X135" s="463"/>
      <c r="Y135" s="462" t="s">
        <v>16</v>
      </c>
      <c r="Z135" s="464"/>
      <c r="AA135" s="465"/>
      <c r="AB135" s="462" t="s">
        <v>16</v>
      </c>
      <c r="AC135" s="466"/>
      <c r="AD135" s="463"/>
      <c r="AE135" s="462" t="s">
        <v>16</v>
      </c>
      <c r="AF135" s="464"/>
      <c r="AG135" s="468"/>
      <c r="AH135" s="462" t="s">
        <v>16</v>
      </c>
      <c r="AI135" s="469"/>
      <c r="AJ135" s="469" t="s">
        <v>157</v>
      </c>
      <c r="AK135" s="470"/>
      <c r="AL135" s="471"/>
      <c r="AM135" s="462" t="s">
        <v>16</v>
      </c>
      <c r="AN135" s="469"/>
      <c r="AO135" s="469" t="s">
        <v>157</v>
      </c>
      <c r="AP135" s="470"/>
      <c r="AQ135" s="468"/>
      <c r="AR135" s="462" t="s">
        <v>16</v>
      </c>
      <c r="AS135" s="469"/>
      <c r="AT135" s="469" t="s">
        <v>157</v>
      </c>
      <c r="AU135" s="470"/>
      <c r="AV135" s="463"/>
      <c r="AW135" s="462"/>
      <c r="AX135" s="462"/>
      <c r="AY135" s="469"/>
      <c r="AZ135" s="472">
        <v>100</v>
      </c>
      <c r="BA135" s="465"/>
      <c r="BB135" s="462"/>
      <c r="BC135" s="462"/>
      <c r="BD135" s="469"/>
      <c r="BE135" s="472">
        <v>100</v>
      </c>
      <c r="BF135" s="475"/>
      <c r="BG135" s="462"/>
      <c r="BH135" s="462"/>
      <c r="BI135" s="469"/>
      <c r="BJ135" s="473">
        <v>100</v>
      </c>
    </row>
    <row r="136" spans="2:62" s="474" customFormat="1" ht="13.5" customHeight="1">
      <c r="B136" s="461"/>
      <c r="C136" s="297"/>
      <c r="D136" s="462"/>
      <c r="E136" s="462"/>
      <c r="F136" s="463"/>
      <c r="G136" s="462" t="s">
        <v>16</v>
      </c>
      <c r="H136" s="464"/>
      <c r="I136" s="465"/>
      <c r="J136" s="462" t="s">
        <v>16</v>
      </c>
      <c r="K136" s="466"/>
      <c r="L136" s="345"/>
      <c r="M136" s="462" t="s">
        <v>16</v>
      </c>
      <c r="N136" s="464"/>
      <c r="O136" s="1901">
        <v>0</v>
      </c>
      <c r="P136" s="462" t="s">
        <v>16</v>
      </c>
      <c r="Q136" s="1898">
        <v>8</v>
      </c>
      <c r="R136" s="345"/>
      <c r="S136" s="462" t="s">
        <v>16</v>
      </c>
      <c r="T136" s="466">
        <v>10</v>
      </c>
      <c r="U136" s="462" t="s">
        <v>157</v>
      </c>
      <c r="V136" s="462">
        <v>1000</v>
      </c>
      <c r="W136" s="467"/>
      <c r="X136" s="463"/>
      <c r="Y136" s="462" t="s">
        <v>16</v>
      </c>
      <c r="Z136" s="464"/>
      <c r="AA136" s="465"/>
      <c r="AB136" s="462" t="s">
        <v>16</v>
      </c>
      <c r="AC136" s="466"/>
      <c r="AD136" s="463"/>
      <c r="AE136" s="462" t="s">
        <v>16</v>
      </c>
      <c r="AF136" s="464"/>
      <c r="AG136" s="468"/>
      <c r="AH136" s="462" t="s">
        <v>16</v>
      </c>
      <c r="AI136" s="469"/>
      <c r="AJ136" s="469" t="s">
        <v>157</v>
      </c>
      <c r="AK136" s="470"/>
      <c r="AL136" s="471"/>
      <c r="AM136" s="462" t="s">
        <v>16</v>
      </c>
      <c r="AN136" s="469"/>
      <c r="AO136" s="469" t="s">
        <v>157</v>
      </c>
      <c r="AP136" s="470"/>
      <c r="AQ136" s="468"/>
      <c r="AR136" s="462" t="s">
        <v>16</v>
      </c>
      <c r="AS136" s="469"/>
      <c r="AT136" s="469" t="s">
        <v>157</v>
      </c>
      <c r="AU136" s="470"/>
      <c r="AV136" s="463"/>
      <c r="AW136" s="462"/>
      <c r="AX136" s="462"/>
      <c r="AY136" s="469"/>
      <c r="AZ136" s="472">
        <v>100</v>
      </c>
      <c r="BA136" s="465"/>
      <c r="BB136" s="462"/>
      <c r="BC136" s="462"/>
      <c r="BD136" s="469"/>
      <c r="BE136" s="472">
        <v>100</v>
      </c>
      <c r="BF136" s="475"/>
      <c r="BG136" s="462"/>
      <c r="BH136" s="462"/>
      <c r="BI136" s="469"/>
      <c r="BJ136" s="473">
        <v>100</v>
      </c>
    </row>
    <row r="137" spans="2:62" s="474" customFormat="1" ht="13.5" customHeight="1">
      <c r="B137" s="461"/>
      <c r="C137" s="297"/>
      <c r="D137" s="462"/>
      <c r="E137" s="462"/>
      <c r="F137" s="463"/>
      <c r="G137" s="462" t="s">
        <v>16</v>
      </c>
      <c r="H137" s="464"/>
      <c r="I137" s="465"/>
      <c r="J137" s="462" t="s">
        <v>16</v>
      </c>
      <c r="K137" s="466"/>
      <c r="L137" s="345"/>
      <c r="M137" s="462" t="s">
        <v>16</v>
      </c>
      <c r="N137" s="464"/>
      <c r="O137" s="1901">
        <v>0</v>
      </c>
      <c r="P137" s="462" t="s">
        <v>16</v>
      </c>
      <c r="Q137" s="1898">
        <v>8</v>
      </c>
      <c r="R137" s="345"/>
      <c r="S137" s="462" t="s">
        <v>16</v>
      </c>
      <c r="T137" s="466">
        <v>10</v>
      </c>
      <c r="U137" s="462" t="s">
        <v>157</v>
      </c>
      <c r="V137" s="462">
        <v>1000</v>
      </c>
      <c r="W137" s="467"/>
      <c r="X137" s="463"/>
      <c r="Y137" s="462" t="s">
        <v>16</v>
      </c>
      <c r="Z137" s="464"/>
      <c r="AA137" s="465"/>
      <c r="AB137" s="462" t="s">
        <v>16</v>
      </c>
      <c r="AC137" s="466"/>
      <c r="AD137" s="463"/>
      <c r="AE137" s="462" t="s">
        <v>16</v>
      </c>
      <c r="AF137" s="464"/>
      <c r="AG137" s="468"/>
      <c r="AH137" s="462" t="s">
        <v>16</v>
      </c>
      <c r="AI137" s="469"/>
      <c r="AJ137" s="469" t="s">
        <v>157</v>
      </c>
      <c r="AK137" s="470"/>
      <c r="AL137" s="471"/>
      <c r="AM137" s="462" t="s">
        <v>16</v>
      </c>
      <c r="AN137" s="469"/>
      <c r="AO137" s="469" t="s">
        <v>157</v>
      </c>
      <c r="AP137" s="470"/>
      <c r="AQ137" s="468"/>
      <c r="AR137" s="462" t="s">
        <v>16</v>
      </c>
      <c r="AS137" s="469"/>
      <c r="AT137" s="469" t="s">
        <v>157</v>
      </c>
      <c r="AU137" s="470"/>
      <c r="AV137" s="463"/>
      <c r="AW137" s="462"/>
      <c r="AX137" s="462"/>
      <c r="AY137" s="469"/>
      <c r="AZ137" s="472">
        <v>100</v>
      </c>
      <c r="BA137" s="465"/>
      <c r="BB137" s="462"/>
      <c r="BC137" s="462"/>
      <c r="BD137" s="469"/>
      <c r="BE137" s="472">
        <v>100</v>
      </c>
      <c r="BF137" s="475"/>
      <c r="BG137" s="462"/>
      <c r="BH137" s="462"/>
      <c r="BI137" s="469"/>
      <c r="BJ137" s="473">
        <v>100</v>
      </c>
    </row>
    <row r="138" spans="2:62" s="474" customFormat="1" ht="13.5" customHeight="1">
      <c r="B138" s="461"/>
      <c r="C138" s="297"/>
      <c r="D138" s="462"/>
      <c r="E138" s="462"/>
      <c r="F138" s="463"/>
      <c r="G138" s="462" t="s">
        <v>16</v>
      </c>
      <c r="H138" s="464"/>
      <c r="I138" s="465"/>
      <c r="J138" s="462" t="s">
        <v>16</v>
      </c>
      <c r="K138" s="466"/>
      <c r="L138" s="345"/>
      <c r="M138" s="462" t="s">
        <v>16</v>
      </c>
      <c r="N138" s="464"/>
      <c r="O138" s="1901">
        <v>0</v>
      </c>
      <c r="P138" s="462" t="s">
        <v>16</v>
      </c>
      <c r="Q138" s="1898">
        <v>8</v>
      </c>
      <c r="R138" s="345"/>
      <c r="S138" s="462" t="s">
        <v>16</v>
      </c>
      <c r="T138" s="466">
        <v>10</v>
      </c>
      <c r="U138" s="462" t="s">
        <v>157</v>
      </c>
      <c r="V138" s="462">
        <v>1000</v>
      </c>
      <c r="W138" s="467"/>
      <c r="X138" s="463"/>
      <c r="Y138" s="462" t="s">
        <v>16</v>
      </c>
      <c r="Z138" s="464"/>
      <c r="AA138" s="465"/>
      <c r="AB138" s="462" t="s">
        <v>16</v>
      </c>
      <c r="AC138" s="466"/>
      <c r="AD138" s="463"/>
      <c r="AE138" s="462" t="s">
        <v>16</v>
      </c>
      <c r="AF138" s="464"/>
      <c r="AG138" s="468"/>
      <c r="AH138" s="462" t="s">
        <v>16</v>
      </c>
      <c r="AI138" s="469"/>
      <c r="AJ138" s="469" t="s">
        <v>157</v>
      </c>
      <c r="AK138" s="470"/>
      <c r="AL138" s="471"/>
      <c r="AM138" s="462" t="s">
        <v>16</v>
      </c>
      <c r="AN138" s="469"/>
      <c r="AO138" s="469" t="s">
        <v>157</v>
      </c>
      <c r="AP138" s="470"/>
      <c r="AQ138" s="468"/>
      <c r="AR138" s="462" t="s">
        <v>16</v>
      </c>
      <c r="AS138" s="469"/>
      <c r="AT138" s="469" t="s">
        <v>157</v>
      </c>
      <c r="AU138" s="470"/>
      <c r="AV138" s="463"/>
      <c r="AW138" s="462"/>
      <c r="AX138" s="462"/>
      <c r="AY138" s="469"/>
      <c r="AZ138" s="472">
        <v>100</v>
      </c>
      <c r="BA138" s="465"/>
      <c r="BB138" s="462"/>
      <c r="BC138" s="462"/>
      <c r="BD138" s="469"/>
      <c r="BE138" s="472">
        <v>100</v>
      </c>
      <c r="BF138" s="475"/>
      <c r="BG138" s="462"/>
      <c r="BH138" s="462"/>
      <c r="BI138" s="469"/>
      <c r="BJ138" s="473">
        <v>100</v>
      </c>
    </row>
    <row r="139" spans="2:62" s="474" customFormat="1" ht="13.5" customHeight="1">
      <c r="B139" s="461"/>
      <c r="C139" s="297"/>
      <c r="D139" s="462"/>
      <c r="E139" s="462"/>
      <c r="F139" s="463"/>
      <c r="G139" s="462" t="s">
        <v>16</v>
      </c>
      <c r="H139" s="464"/>
      <c r="I139" s="465"/>
      <c r="J139" s="462" t="s">
        <v>16</v>
      </c>
      <c r="K139" s="466"/>
      <c r="L139" s="345"/>
      <c r="M139" s="462" t="s">
        <v>16</v>
      </c>
      <c r="N139" s="464"/>
      <c r="O139" s="1901">
        <v>0</v>
      </c>
      <c r="P139" s="462" t="s">
        <v>16</v>
      </c>
      <c r="Q139" s="1898">
        <v>8</v>
      </c>
      <c r="R139" s="345"/>
      <c r="S139" s="462" t="s">
        <v>16</v>
      </c>
      <c r="T139" s="466">
        <v>10</v>
      </c>
      <c r="U139" s="462" t="s">
        <v>157</v>
      </c>
      <c r="V139" s="462">
        <v>1000</v>
      </c>
      <c r="W139" s="467"/>
      <c r="X139" s="463"/>
      <c r="Y139" s="462" t="s">
        <v>16</v>
      </c>
      <c r="Z139" s="464"/>
      <c r="AA139" s="465"/>
      <c r="AB139" s="462" t="s">
        <v>16</v>
      </c>
      <c r="AC139" s="466"/>
      <c r="AD139" s="463"/>
      <c r="AE139" s="462" t="s">
        <v>16</v>
      </c>
      <c r="AF139" s="464"/>
      <c r="AG139" s="468"/>
      <c r="AH139" s="462" t="s">
        <v>16</v>
      </c>
      <c r="AI139" s="469"/>
      <c r="AJ139" s="469" t="s">
        <v>157</v>
      </c>
      <c r="AK139" s="470"/>
      <c r="AL139" s="471"/>
      <c r="AM139" s="462" t="s">
        <v>16</v>
      </c>
      <c r="AN139" s="469"/>
      <c r="AO139" s="469" t="s">
        <v>157</v>
      </c>
      <c r="AP139" s="470"/>
      <c r="AQ139" s="468"/>
      <c r="AR139" s="462" t="s">
        <v>16</v>
      </c>
      <c r="AS139" s="469"/>
      <c r="AT139" s="469" t="s">
        <v>157</v>
      </c>
      <c r="AU139" s="470"/>
      <c r="AV139" s="463"/>
      <c r="AW139" s="462"/>
      <c r="AX139" s="462"/>
      <c r="AY139" s="469"/>
      <c r="AZ139" s="472"/>
      <c r="BA139" s="465"/>
      <c r="BB139" s="462"/>
      <c r="BC139" s="462"/>
      <c r="BD139" s="469"/>
      <c r="BE139" s="472"/>
      <c r="BF139" s="475"/>
      <c r="BG139" s="462"/>
      <c r="BH139" s="462"/>
      <c r="BI139" s="469"/>
      <c r="BJ139" s="473"/>
    </row>
    <row r="140" spans="2:62" ht="13.5" customHeight="1" thickBot="1">
      <c r="B140" s="476"/>
      <c r="C140" s="477"/>
      <c r="D140" s="462"/>
      <c r="E140" s="462"/>
      <c r="F140" s="463"/>
      <c r="G140" s="462" t="s">
        <v>16</v>
      </c>
      <c r="H140" s="464"/>
      <c r="I140" s="465"/>
      <c r="J140" s="462" t="s">
        <v>16</v>
      </c>
      <c r="K140" s="466"/>
      <c r="L140" s="345"/>
      <c r="M140" s="462" t="s">
        <v>16</v>
      </c>
      <c r="N140" s="464"/>
      <c r="O140" s="1901">
        <v>0</v>
      </c>
      <c r="P140" s="462" t="s">
        <v>16</v>
      </c>
      <c r="Q140" s="1898">
        <v>8</v>
      </c>
      <c r="R140" s="345"/>
      <c r="S140" s="462" t="s">
        <v>16</v>
      </c>
      <c r="T140" s="466">
        <v>10</v>
      </c>
      <c r="U140" s="462" t="s">
        <v>157</v>
      </c>
      <c r="V140" s="462">
        <v>1000</v>
      </c>
      <c r="W140" s="467"/>
      <c r="X140" s="463"/>
      <c r="Y140" s="462" t="s">
        <v>16</v>
      </c>
      <c r="Z140" s="464"/>
      <c r="AA140" s="465"/>
      <c r="AB140" s="462" t="s">
        <v>16</v>
      </c>
      <c r="AC140" s="466"/>
      <c r="AD140" s="463"/>
      <c r="AE140" s="462" t="s">
        <v>16</v>
      </c>
      <c r="AF140" s="464"/>
      <c r="AG140" s="468"/>
      <c r="AH140" s="462" t="s">
        <v>16</v>
      </c>
      <c r="AI140" s="469"/>
      <c r="AJ140" s="469" t="s">
        <v>157</v>
      </c>
      <c r="AK140" s="470"/>
      <c r="AL140" s="471"/>
      <c r="AM140" s="462" t="s">
        <v>16</v>
      </c>
      <c r="AN140" s="469"/>
      <c r="AO140" s="469" t="s">
        <v>157</v>
      </c>
      <c r="AP140" s="470"/>
      <c r="AQ140" s="468"/>
      <c r="AR140" s="462" t="s">
        <v>16</v>
      </c>
      <c r="AS140" s="469"/>
      <c r="AT140" s="469" t="s">
        <v>157</v>
      </c>
      <c r="AU140" s="470"/>
      <c r="AV140" s="463"/>
      <c r="AW140" s="462"/>
      <c r="AX140" s="462"/>
      <c r="AY140" s="469"/>
      <c r="AZ140" s="472"/>
      <c r="BA140" s="465"/>
      <c r="BB140" s="462"/>
      <c r="BC140" s="462"/>
      <c r="BD140" s="469"/>
      <c r="BE140" s="472"/>
      <c r="BF140" s="475"/>
      <c r="BG140" s="462"/>
      <c r="BH140" s="462"/>
      <c r="BI140" s="469"/>
      <c r="BJ140" s="473"/>
    </row>
  </sheetData>
  <autoFilter ref="B10:BH140"/>
  <mergeCells count="22">
    <mergeCell ref="BA8:BE8"/>
    <mergeCell ref="BF8:BJ8"/>
    <mergeCell ref="AG7:AU7"/>
    <mergeCell ref="AV7:BJ7"/>
    <mergeCell ref="F8:H8"/>
    <mergeCell ref="I8:K8"/>
    <mergeCell ref="L8:N8"/>
    <mergeCell ref="O8:Q8"/>
    <mergeCell ref="R8:V8"/>
    <mergeCell ref="X8:Z8"/>
    <mergeCell ref="AA8:AC8"/>
    <mergeCell ref="AD8:AF8"/>
    <mergeCell ref="X7:AF7"/>
    <mergeCell ref="AG8:AK8"/>
    <mergeCell ref="AL8:AP8"/>
    <mergeCell ref="AQ8:AU8"/>
    <mergeCell ref="AV8:AZ8"/>
    <mergeCell ref="B7:B8"/>
    <mergeCell ref="C7:C8"/>
    <mergeCell ref="D7:E7"/>
    <mergeCell ref="F7:N7"/>
    <mergeCell ref="O7:W7"/>
  </mergeCells>
  <phoneticPr fontId="76" type="noConversion"/>
  <pageMargins left="0.7" right="0.7" top="0.75" bottom="0.75" header="0.3" footer="0.3"/>
  <pageSetup paperSize="9" scale="52" fitToHeight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7276"/>
  <sheetViews>
    <sheetView showGridLines="0" view="pageBreakPreview" topLeftCell="A1516" zoomScale="70" zoomScaleNormal="55" zoomScaleSheetLayoutView="70" workbookViewId="0">
      <selection activeCell="A1524" activeCellId="1" sqref="A414:XFD443 A1524:XFD1553"/>
    </sheetView>
  </sheetViews>
  <sheetFormatPr defaultColWidth="9.140625" defaultRowHeight="15"/>
  <cols>
    <col min="1" max="1" width="15.28515625" style="415" customWidth="1"/>
    <col min="2" max="2" width="15.42578125" style="415" customWidth="1"/>
    <col min="3" max="3" width="41.7109375" style="415" bestFit="1" customWidth="1"/>
    <col min="4" max="4" width="6.85546875" style="415" bestFit="1" customWidth="1"/>
    <col min="5" max="6" width="5.85546875" style="415" customWidth="1"/>
    <col min="7" max="7" width="3.5703125" style="415" customWidth="1"/>
    <col min="8" max="8" width="6.5703125" style="415" customWidth="1"/>
    <col min="9" max="9" width="3" style="415" customWidth="1"/>
    <col min="10" max="10" width="9.5703125" style="415" customWidth="1"/>
    <col min="11" max="11" width="3.7109375" style="415" bestFit="1" customWidth="1"/>
    <col min="12" max="12" width="10.28515625" style="415" bestFit="1" customWidth="1"/>
    <col min="13" max="13" width="4" style="415" customWidth="1"/>
    <col min="14" max="14" width="9.7109375" style="415" customWidth="1"/>
    <col min="15" max="15" width="4.85546875" style="415" customWidth="1"/>
    <col min="16" max="16" width="5.85546875" style="415" customWidth="1"/>
    <col min="17" max="17" width="3.42578125" style="415" bestFit="1" customWidth="1"/>
    <col min="18" max="18" width="8.85546875" style="415" bestFit="1" customWidth="1"/>
    <col min="19" max="19" width="3.140625" style="415" bestFit="1" customWidth="1"/>
    <col min="20" max="20" width="3.42578125" style="415" bestFit="1" customWidth="1"/>
    <col min="21" max="21" width="10.28515625" style="415" bestFit="1" customWidth="1"/>
    <col min="22" max="22" width="3.42578125" style="415" bestFit="1" customWidth="1"/>
    <col min="23" max="23" width="11.140625" style="415" bestFit="1" customWidth="1"/>
    <col min="24" max="24" width="3.42578125" style="415" bestFit="1" customWidth="1"/>
    <col min="25" max="25" width="4.140625" style="444" bestFit="1" customWidth="1"/>
    <col min="26" max="26" width="3.85546875" style="415" bestFit="1" customWidth="1"/>
    <col min="27" max="27" width="10.28515625" style="415" bestFit="1" customWidth="1"/>
    <col min="28" max="28" width="4.140625" style="415" customWidth="1"/>
    <col min="29" max="16384" width="9.140625" style="414"/>
  </cols>
  <sheetData>
    <row r="1" spans="1:28" s="368" customFormat="1" ht="20.25">
      <c r="A1" s="364"/>
      <c r="B1" s="245" t="s">
        <v>109</v>
      </c>
      <c r="C1" s="365"/>
      <c r="D1" s="366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7"/>
      <c r="Z1" s="364"/>
      <c r="AA1" s="364"/>
      <c r="AB1" s="364"/>
    </row>
    <row r="2" spans="1:28" s="368" customFormat="1" ht="18">
      <c r="A2" s="364"/>
      <c r="B2" s="369"/>
      <c r="C2" s="369" t="s">
        <v>174</v>
      </c>
      <c r="D2" s="370" t="s">
        <v>110</v>
      </c>
      <c r="E2" s="371" t="s">
        <v>2105</v>
      </c>
      <c r="F2" s="364"/>
      <c r="G2" s="364"/>
      <c r="H2" s="364"/>
      <c r="I2" s="364"/>
      <c r="J2" s="364"/>
      <c r="K2" s="372"/>
      <c r="L2" s="364"/>
      <c r="M2" s="364"/>
      <c r="N2" s="364"/>
      <c r="O2" s="364"/>
      <c r="P2" s="364"/>
      <c r="Q2" s="364"/>
      <c r="R2" s="364"/>
      <c r="S2" s="364"/>
      <c r="T2" s="364"/>
      <c r="U2" s="370"/>
      <c r="V2" s="370"/>
      <c r="W2" s="372"/>
      <c r="X2" s="364"/>
      <c r="Y2" s="367"/>
      <c r="Z2" s="364"/>
      <c r="AA2" s="364"/>
      <c r="AB2" s="364"/>
    </row>
    <row r="3" spans="1:28" s="368" customFormat="1" ht="18">
      <c r="A3" s="364"/>
      <c r="B3" s="369"/>
      <c r="C3" s="369" t="s">
        <v>162</v>
      </c>
      <c r="D3" s="370" t="s">
        <v>110</v>
      </c>
      <c r="E3" s="371"/>
      <c r="F3" s="364"/>
      <c r="G3" s="364"/>
      <c r="H3" s="364"/>
      <c r="I3" s="364"/>
      <c r="J3" s="364"/>
      <c r="K3" s="372"/>
      <c r="L3" s="364"/>
      <c r="M3" s="364"/>
      <c r="N3" s="364"/>
      <c r="O3" s="364"/>
      <c r="P3" s="364"/>
      <c r="Q3" s="364"/>
      <c r="R3" s="364"/>
      <c r="S3" s="364"/>
      <c r="T3" s="364"/>
      <c r="U3" s="370"/>
      <c r="V3" s="370"/>
      <c r="W3" s="372"/>
      <c r="X3" s="364"/>
      <c r="Y3" s="367"/>
      <c r="Z3" s="364"/>
      <c r="AA3" s="364"/>
      <c r="AB3" s="364"/>
    </row>
    <row r="4" spans="1:28" s="368" customFormat="1">
      <c r="A4" s="364"/>
      <c r="B4" s="373"/>
      <c r="C4" s="373"/>
      <c r="D4" s="364"/>
      <c r="E4" s="372"/>
      <c r="F4" s="364"/>
      <c r="G4" s="364"/>
      <c r="H4" s="364"/>
      <c r="I4" s="364"/>
      <c r="J4" s="364"/>
      <c r="K4" s="372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7"/>
      <c r="Z4" s="364"/>
      <c r="AA4" s="364"/>
      <c r="AB4" s="364"/>
    </row>
    <row r="5" spans="1:28" s="368" customFormat="1" ht="15" customHeight="1">
      <c r="A5" s="364"/>
      <c r="B5" s="373"/>
      <c r="C5" s="373" t="s">
        <v>175</v>
      </c>
      <c r="D5" s="374"/>
      <c r="E5" s="372" t="s">
        <v>176</v>
      </c>
      <c r="F5" s="372">
        <v>40</v>
      </c>
      <c r="G5" s="364" t="s">
        <v>4</v>
      </c>
      <c r="H5" s="364"/>
      <c r="I5" s="364"/>
      <c r="J5" s="375"/>
      <c r="K5" s="372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72"/>
      <c r="W5" s="364"/>
      <c r="X5" s="372"/>
      <c r="Y5" s="367"/>
      <c r="Z5" s="364"/>
      <c r="AA5" s="364"/>
      <c r="AB5" s="372"/>
    </row>
    <row r="6" spans="1:28" s="368" customFormat="1" ht="15" customHeight="1">
      <c r="A6" s="364"/>
      <c r="B6" s="373"/>
      <c r="C6" s="373" t="s">
        <v>177</v>
      </c>
      <c r="D6" s="364">
        <v>6</v>
      </c>
      <c r="E6" s="372" t="s">
        <v>176</v>
      </c>
      <c r="F6" s="364">
        <f t="shared" ref="F6:F14" si="0">50*D6</f>
        <v>300</v>
      </c>
      <c r="G6" s="364" t="s">
        <v>4</v>
      </c>
      <c r="H6" s="364"/>
      <c r="I6" s="364"/>
      <c r="J6" s="375"/>
      <c r="K6" s="375"/>
      <c r="L6" s="375"/>
      <c r="M6" s="375" t="s">
        <v>178</v>
      </c>
      <c r="N6" s="364">
        <v>6</v>
      </c>
      <c r="O6" s="372" t="s">
        <v>176</v>
      </c>
      <c r="P6" s="364">
        <v>0</v>
      </c>
      <c r="Q6" s="364" t="s">
        <v>4</v>
      </c>
      <c r="S6" s="364"/>
      <c r="T6" s="368" t="s">
        <v>179</v>
      </c>
      <c r="U6" s="364">
        <v>6</v>
      </c>
      <c r="V6" s="372" t="s">
        <v>176</v>
      </c>
      <c r="W6" s="368">
        <f t="shared" ref="W6:W14" si="1">40*U6</f>
        <v>240</v>
      </c>
      <c r="X6" s="368" t="s">
        <v>4</v>
      </c>
      <c r="Y6" s="367"/>
      <c r="Z6" s="364"/>
      <c r="AA6" s="364"/>
      <c r="AB6" s="372"/>
    </row>
    <row r="7" spans="1:28" s="368" customFormat="1" ht="15" customHeight="1">
      <c r="A7" s="364"/>
      <c r="B7" s="373"/>
      <c r="C7" s="373"/>
      <c r="D7" s="364">
        <v>8</v>
      </c>
      <c r="E7" s="372" t="s">
        <v>176</v>
      </c>
      <c r="F7" s="364">
        <f t="shared" si="0"/>
        <v>400</v>
      </c>
      <c r="G7" s="364" t="s">
        <v>4</v>
      </c>
      <c r="H7" s="364"/>
      <c r="I7" s="364"/>
      <c r="J7" s="375"/>
      <c r="K7" s="375"/>
      <c r="L7" s="375"/>
      <c r="M7" s="375"/>
      <c r="N7" s="364">
        <v>8</v>
      </c>
      <c r="O7" s="372" t="s">
        <v>176</v>
      </c>
      <c r="P7" s="364">
        <v>0</v>
      </c>
      <c r="Q7" s="364" t="s">
        <v>4</v>
      </c>
      <c r="S7" s="364"/>
      <c r="U7" s="364">
        <v>8</v>
      </c>
      <c r="V7" s="372" t="s">
        <v>176</v>
      </c>
      <c r="W7" s="368">
        <f t="shared" si="1"/>
        <v>320</v>
      </c>
      <c r="X7" s="368" t="s">
        <v>4</v>
      </c>
      <c r="Y7" s="367"/>
      <c r="Z7" s="364"/>
      <c r="AA7" s="364"/>
      <c r="AB7" s="372"/>
    </row>
    <row r="8" spans="1:28" s="368" customFormat="1" ht="15" customHeight="1">
      <c r="A8" s="364"/>
      <c r="B8" s="373"/>
      <c r="C8" s="373"/>
      <c r="D8" s="364">
        <v>10</v>
      </c>
      <c r="E8" s="372" t="s">
        <v>176</v>
      </c>
      <c r="F8" s="364">
        <f t="shared" si="0"/>
        <v>500</v>
      </c>
      <c r="G8" s="364" t="s">
        <v>4</v>
      </c>
      <c r="H8" s="364"/>
      <c r="I8" s="364"/>
      <c r="J8" s="375"/>
      <c r="K8" s="375"/>
      <c r="L8" s="375"/>
      <c r="M8" s="375"/>
      <c r="N8" s="364">
        <v>10</v>
      </c>
      <c r="O8" s="372" t="s">
        <v>176</v>
      </c>
      <c r="P8" s="364">
        <v>0</v>
      </c>
      <c r="Q8" s="364" t="s">
        <v>4</v>
      </c>
      <c r="S8" s="364"/>
      <c r="U8" s="364">
        <v>10</v>
      </c>
      <c r="V8" s="372" t="s">
        <v>176</v>
      </c>
      <c r="W8" s="368">
        <f t="shared" si="1"/>
        <v>400</v>
      </c>
      <c r="X8" s="368" t="s">
        <v>4</v>
      </c>
      <c r="Y8" s="367"/>
      <c r="Z8" s="364"/>
      <c r="AA8" s="364"/>
      <c r="AB8" s="372"/>
    </row>
    <row r="9" spans="1:28" s="368" customFormat="1" ht="15" customHeight="1">
      <c r="A9" s="364"/>
      <c r="B9" s="373"/>
      <c r="C9" s="373"/>
      <c r="D9" s="364">
        <v>13</v>
      </c>
      <c r="E9" s="372" t="s">
        <v>176</v>
      </c>
      <c r="F9" s="364">
        <f t="shared" si="0"/>
        <v>650</v>
      </c>
      <c r="G9" s="364" t="s">
        <v>4</v>
      </c>
      <c r="H9" s="364"/>
      <c r="I9" s="364"/>
      <c r="J9" s="364"/>
      <c r="K9" s="364"/>
      <c r="L9" s="364"/>
      <c r="M9" s="364"/>
      <c r="N9" s="364">
        <v>13</v>
      </c>
      <c r="O9" s="372" t="s">
        <v>176</v>
      </c>
      <c r="P9" s="364">
        <v>0</v>
      </c>
      <c r="Q9" s="364" t="s">
        <v>4</v>
      </c>
      <c r="S9" s="364"/>
      <c r="U9" s="364">
        <v>13</v>
      </c>
      <c r="V9" s="372" t="s">
        <v>176</v>
      </c>
      <c r="W9" s="368">
        <f t="shared" si="1"/>
        <v>520</v>
      </c>
      <c r="X9" s="368" t="s">
        <v>4</v>
      </c>
      <c r="Y9" s="367"/>
      <c r="Z9" s="364"/>
      <c r="AA9" s="364"/>
      <c r="AB9" s="372"/>
    </row>
    <row r="10" spans="1:28" s="368" customFormat="1" ht="15" customHeight="1">
      <c r="A10" s="364"/>
      <c r="B10" s="373"/>
      <c r="C10" s="373"/>
      <c r="D10" s="364">
        <v>16</v>
      </c>
      <c r="E10" s="372" t="s">
        <v>176</v>
      </c>
      <c r="F10" s="364">
        <f t="shared" si="0"/>
        <v>800</v>
      </c>
      <c r="G10" s="364" t="s">
        <v>4</v>
      </c>
      <c r="H10" s="364"/>
      <c r="I10" s="364"/>
      <c r="J10" s="364"/>
      <c r="K10" s="364"/>
      <c r="L10" s="364"/>
      <c r="M10" s="364"/>
      <c r="N10" s="364">
        <v>16</v>
      </c>
      <c r="O10" s="372" t="s">
        <v>176</v>
      </c>
      <c r="P10" s="364">
        <v>0</v>
      </c>
      <c r="Q10" s="364" t="s">
        <v>4</v>
      </c>
      <c r="S10" s="364"/>
      <c r="U10" s="364">
        <v>16</v>
      </c>
      <c r="V10" s="372" t="s">
        <v>176</v>
      </c>
      <c r="W10" s="368">
        <f t="shared" si="1"/>
        <v>640</v>
      </c>
      <c r="X10" s="368" t="s">
        <v>4</v>
      </c>
      <c r="Y10" s="367"/>
      <c r="Z10" s="364"/>
      <c r="AA10" s="364"/>
      <c r="AB10" s="372"/>
    </row>
    <row r="11" spans="1:28" s="368" customFormat="1">
      <c r="A11" s="364"/>
      <c r="B11" s="373"/>
      <c r="C11" s="373"/>
      <c r="D11" s="364">
        <v>19</v>
      </c>
      <c r="E11" s="372" t="s">
        <v>176</v>
      </c>
      <c r="F11" s="364">
        <f t="shared" si="0"/>
        <v>950</v>
      </c>
      <c r="G11" s="364" t="s">
        <v>4</v>
      </c>
      <c r="H11" s="364"/>
      <c r="I11" s="364"/>
      <c r="J11" s="364"/>
      <c r="K11" s="364"/>
      <c r="L11" s="364"/>
      <c r="M11" s="364"/>
      <c r="N11" s="364">
        <v>19</v>
      </c>
      <c r="O11" s="372" t="s">
        <v>176</v>
      </c>
      <c r="P11" s="364">
        <v>0</v>
      </c>
      <c r="Q11" s="364" t="s">
        <v>4</v>
      </c>
      <c r="S11" s="364"/>
      <c r="U11" s="364">
        <v>19</v>
      </c>
      <c r="V11" s="372" t="s">
        <v>176</v>
      </c>
      <c r="W11" s="368">
        <f t="shared" si="1"/>
        <v>760</v>
      </c>
      <c r="X11" s="368" t="s">
        <v>4</v>
      </c>
      <c r="Y11" s="367"/>
      <c r="Z11" s="364"/>
      <c r="AA11" s="364"/>
      <c r="AB11" s="372"/>
    </row>
    <row r="12" spans="1:28" s="368" customFormat="1">
      <c r="A12" s="364"/>
      <c r="B12" s="373"/>
      <c r="C12" s="373"/>
      <c r="D12" s="364">
        <v>22</v>
      </c>
      <c r="E12" s="372" t="s">
        <v>176</v>
      </c>
      <c r="F12" s="364">
        <f t="shared" si="0"/>
        <v>1100</v>
      </c>
      <c r="G12" s="364" t="s">
        <v>4</v>
      </c>
      <c r="H12" s="364"/>
      <c r="I12" s="364"/>
      <c r="J12" s="364"/>
      <c r="K12" s="364"/>
      <c r="L12" s="364"/>
      <c r="M12" s="364"/>
      <c r="N12" s="364">
        <v>22</v>
      </c>
      <c r="O12" s="372" t="s">
        <v>176</v>
      </c>
      <c r="P12" s="364">
        <v>0</v>
      </c>
      <c r="Q12" s="364" t="s">
        <v>4</v>
      </c>
      <c r="S12" s="364"/>
      <c r="U12" s="364">
        <v>22</v>
      </c>
      <c r="V12" s="372" t="s">
        <v>176</v>
      </c>
      <c r="W12" s="368">
        <f t="shared" si="1"/>
        <v>880</v>
      </c>
      <c r="X12" s="368" t="s">
        <v>4</v>
      </c>
      <c r="Y12" s="367"/>
      <c r="Z12" s="364"/>
      <c r="AA12" s="364"/>
      <c r="AB12" s="372"/>
    </row>
    <row r="13" spans="1:28" s="368" customFormat="1">
      <c r="A13" s="364"/>
      <c r="B13" s="373"/>
      <c r="C13" s="373"/>
      <c r="D13" s="364">
        <v>25</v>
      </c>
      <c r="E13" s="372" t="s">
        <v>176</v>
      </c>
      <c r="F13" s="364">
        <f t="shared" si="0"/>
        <v>1250</v>
      </c>
      <c r="G13" s="364" t="s">
        <v>4</v>
      </c>
      <c r="H13" s="364"/>
      <c r="I13" s="364"/>
      <c r="J13" s="364"/>
      <c r="K13" s="364"/>
      <c r="L13" s="364"/>
      <c r="M13" s="364"/>
      <c r="N13" s="364">
        <v>25</v>
      </c>
      <c r="O13" s="372" t="s">
        <v>176</v>
      </c>
      <c r="P13" s="364">
        <v>0</v>
      </c>
      <c r="Q13" s="364" t="s">
        <v>4</v>
      </c>
      <c r="S13" s="364"/>
      <c r="U13" s="364">
        <v>25</v>
      </c>
      <c r="V13" s="372" t="s">
        <v>176</v>
      </c>
      <c r="W13" s="368">
        <f t="shared" si="1"/>
        <v>1000</v>
      </c>
      <c r="X13" s="368" t="s">
        <v>4</v>
      </c>
      <c r="Y13" s="367"/>
      <c r="Z13" s="364"/>
      <c r="AA13" s="364"/>
      <c r="AB13" s="372"/>
    </row>
    <row r="14" spans="1:28" s="368" customFormat="1">
      <c r="A14" s="364"/>
      <c r="B14" s="373"/>
      <c r="C14" s="373"/>
      <c r="D14" s="364">
        <v>29</v>
      </c>
      <c r="E14" s="372" t="s">
        <v>176</v>
      </c>
      <c r="F14" s="364">
        <f t="shared" si="0"/>
        <v>1450</v>
      </c>
      <c r="G14" s="364" t="s">
        <v>4</v>
      </c>
      <c r="H14" s="364"/>
      <c r="I14" s="364"/>
      <c r="J14" s="364"/>
      <c r="K14" s="364"/>
      <c r="L14" s="364"/>
      <c r="M14" s="364"/>
      <c r="N14" s="364">
        <v>29</v>
      </c>
      <c r="O14" s="372" t="s">
        <v>176</v>
      </c>
      <c r="P14" s="364">
        <v>0</v>
      </c>
      <c r="Q14" s="364" t="s">
        <v>4</v>
      </c>
      <c r="S14" s="364"/>
      <c r="U14" s="364">
        <v>29</v>
      </c>
      <c r="V14" s="372" t="s">
        <v>176</v>
      </c>
      <c r="W14" s="368">
        <f t="shared" si="1"/>
        <v>1160</v>
      </c>
      <c r="X14" s="368" t="s">
        <v>4</v>
      </c>
      <c r="Y14" s="367"/>
      <c r="Z14" s="364"/>
      <c r="AA14" s="364"/>
      <c r="AB14" s="372"/>
    </row>
    <row r="15" spans="1:28" s="368" customFormat="1">
      <c r="A15" s="364"/>
      <c r="B15" s="373"/>
      <c r="C15" s="373"/>
      <c r="D15" s="364"/>
      <c r="E15" s="372"/>
      <c r="F15" s="364"/>
      <c r="G15" s="364"/>
      <c r="H15" s="364"/>
      <c r="I15" s="364"/>
      <c r="J15" s="364"/>
      <c r="K15" s="364"/>
      <c r="L15" s="364"/>
      <c r="M15" s="364"/>
      <c r="N15" s="364"/>
      <c r="O15" s="372"/>
      <c r="P15" s="364"/>
      <c r="Q15" s="364"/>
      <c r="Y15" s="367"/>
      <c r="Z15" s="364"/>
      <c r="AA15" s="364"/>
      <c r="AB15" s="372"/>
    </row>
    <row r="16" spans="1:28" s="368" customFormat="1">
      <c r="A16" s="364"/>
      <c r="B16" s="373"/>
      <c r="C16" s="373" t="s">
        <v>180</v>
      </c>
      <c r="D16" s="364"/>
      <c r="E16" s="372" t="s">
        <v>176</v>
      </c>
      <c r="F16" s="372">
        <v>12</v>
      </c>
      <c r="G16" s="375" t="s">
        <v>16</v>
      </c>
      <c r="H16" s="364"/>
      <c r="I16" s="364"/>
      <c r="J16" s="364"/>
      <c r="K16" s="372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72"/>
      <c r="Y16" s="367"/>
      <c r="Z16" s="364"/>
      <c r="AA16" s="364"/>
      <c r="AB16" s="372"/>
    </row>
    <row r="17" spans="1:28" s="368" customFormat="1">
      <c r="A17" s="364"/>
      <c r="B17" s="373"/>
      <c r="C17" s="373" t="s">
        <v>181</v>
      </c>
      <c r="D17" s="364"/>
      <c r="E17" s="372" t="s">
        <v>176</v>
      </c>
      <c r="F17" s="372">
        <v>6</v>
      </c>
      <c r="G17" s="375" t="s">
        <v>16</v>
      </c>
      <c r="H17" s="364"/>
      <c r="I17" s="364"/>
      <c r="J17" s="364"/>
      <c r="K17" s="372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72"/>
      <c r="Y17" s="367"/>
      <c r="Z17" s="364"/>
      <c r="AA17" s="364"/>
      <c r="AB17" s="372"/>
    </row>
    <row r="18" spans="1:28" s="368" customFormat="1">
      <c r="A18" s="364"/>
      <c r="B18" s="373"/>
      <c r="C18" s="368" t="s">
        <v>182</v>
      </c>
      <c r="E18" s="376" t="s">
        <v>176</v>
      </c>
      <c r="F18" s="376">
        <v>15</v>
      </c>
      <c r="G18" s="368" t="s">
        <v>16</v>
      </c>
      <c r="H18" s="364"/>
      <c r="I18" s="364"/>
      <c r="J18" s="364"/>
      <c r="K18" s="372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72"/>
      <c r="Y18" s="367"/>
      <c r="Z18" s="364"/>
      <c r="AA18" s="364"/>
      <c r="AB18" s="372"/>
    </row>
    <row r="19" spans="1:28" s="368" customFormat="1" ht="15.75" thickBot="1">
      <c r="A19" s="364"/>
      <c r="B19" s="373"/>
      <c r="C19" s="373" t="s">
        <v>183</v>
      </c>
      <c r="D19" s="364"/>
      <c r="E19" s="364" t="s">
        <v>176</v>
      </c>
      <c r="F19" s="364">
        <v>0.2</v>
      </c>
      <c r="G19" s="364" t="s">
        <v>184</v>
      </c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7"/>
      <c r="Z19" s="364"/>
      <c r="AA19" s="364"/>
      <c r="AB19" s="364"/>
    </row>
    <row r="20" spans="1:28" s="368" customFormat="1" ht="15" customHeight="1">
      <c r="A20" s="2581" t="s">
        <v>115</v>
      </c>
      <c r="B20" s="2584" t="s">
        <v>185</v>
      </c>
      <c r="C20" s="2584" t="s">
        <v>172</v>
      </c>
      <c r="D20" s="2586" t="s">
        <v>186</v>
      </c>
      <c r="E20" s="2587"/>
      <c r="F20" s="2587"/>
      <c r="G20" s="2587"/>
      <c r="H20" s="2587"/>
      <c r="I20" s="2587"/>
      <c r="J20" s="2587"/>
      <c r="K20" s="2587"/>
      <c r="L20" s="2587"/>
      <c r="M20" s="2587"/>
      <c r="N20" s="2587"/>
      <c r="O20" s="2587"/>
      <c r="P20" s="2587"/>
      <c r="Q20" s="2587"/>
      <c r="R20" s="2587"/>
      <c r="S20" s="2587"/>
      <c r="T20" s="2587"/>
      <c r="U20" s="2587"/>
      <c r="V20" s="2587"/>
      <c r="W20" s="2587"/>
      <c r="X20" s="2587"/>
      <c r="Y20" s="2587"/>
      <c r="Z20" s="2587"/>
      <c r="AA20" s="2587"/>
      <c r="AB20" s="2588"/>
    </row>
    <row r="21" spans="1:28" s="368" customFormat="1" ht="29.25" customHeight="1">
      <c r="A21" s="2582"/>
      <c r="B21" s="2585"/>
      <c r="C21" s="2585"/>
      <c r="D21" s="2568" t="s">
        <v>187</v>
      </c>
      <c r="E21" s="2589"/>
      <c r="F21" s="2589"/>
      <c r="G21" s="2589"/>
      <c r="H21" s="2590"/>
      <c r="I21" s="2568" t="s">
        <v>44</v>
      </c>
      <c r="J21" s="2589"/>
      <c r="K21" s="2590"/>
      <c r="L21" s="2568" t="s">
        <v>188</v>
      </c>
      <c r="M21" s="2592"/>
      <c r="N21" s="2568" t="s">
        <v>189</v>
      </c>
      <c r="O21" s="2592"/>
      <c r="P21" s="2568" t="s">
        <v>190</v>
      </c>
      <c r="Q21" s="2589"/>
      <c r="R21" s="2589"/>
      <c r="S21" s="2589"/>
      <c r="T21" s="2590"/>
      <c r="U21" s="2565" t="s">
        <v>46</v>
      </c>
      <c r="V21" s="2565"/>
      <c r="W21" s="2565" t="s">
        <v>191</v>
      </c>
      <c r="X21" s="2565"/>
      <c r="Y21" s="2566" t="s">
        <v>192</v>
      </c>
      <c r="Z21" s="2566"/>
      <c r="AA21" s="2568" t="s">
        <v>193</v>
      </c>
      <c r="AB21" s="2569"/>
    </row>
    <row r="22" spans="1:28" s="368" customFormat="1" ht="15.75" thickBot="1">
      <c r="A22" s="2583"/>
      <c r="B22" s="2570"/>
      <c r="C22" s="2570"/>
      <c r="D22" s="2591"/>
      <c r="E22" s="2573"/>
      <c r="F22" s="2573"/>
      <c r="G22" s="2573"/>
      <c r="H22" s="2574"/>
      <c r="I22" s="2571" t="s">
        <v>194</v>
      </c>
      <c r="J22" s="2573"/>
      <c r="K22" s="2574"/>
      <c r="L22" s="2571" t="s">
        <v>194</v>
      </c>
      <c r="M22" s="2575"/>
      <c r="N22" s="2571" t="s">
        <v>194</v>
      </c>
      <c r="O22" s="2575"/>
      <c r="P22" s="2571" t="s">
        <v>194</v>
      </c>
      <c r="Q22" s="2573"/>
      <c r="R22" s="2573"/>
      <c r="S22" s="2573"/>
      <c r="T22" s="2574"/>
      <c r="U22" s="2570" t="s">
        <v>195</v>
      </c>
      <c r="V22" s="2570"/>
      <c r="W22" s="2570" t="s">
        <v>196</v>
      </c>
      <c r="X22" s="2570"/>
      <c r="Y22" s="2567"/>
      <c r="Z22" s="2567"/>
      <c r="AA22" s="2571" t="s">
        <v>197</v>
      </c>
      <c r="AB22" s="2572"/>
    </row>
    <row r="23" spans="1:28" s="368" customFormat="1" ht="15.75" thickBot="1">
      <c r="A23" s="377"/>
      <c r="B23" s="378"/>
      <c r="C23" s="378"/>
      <c r="D23" s="379"/>
      <c r="E23" s="380"/>
      <c r="F23" s="380"/>
      <c r="G23" s="380"/>
      <c r="H23" s="381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2"/>
      <c r="Z23" s="380"/>
      <c r="AA23" s="380"/>
      <c r="AB23" s="383"/>
    </row>
    <row r="24" spans="1:28">
      <c r="A24" s="377"/>
      <c r="B24" s="378"/>
      <c r="C24" s="378"/>
      <c r="D24" s="379"/>
      <c r="E24" s="380"/>
      <c r="F24" s="380"/>
      <c r="G24" s="380"/>
      <c r="H24" s="381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2"/>
      <c r="Z24" s="380"/>
      <c r="AA24" s="380"/>
      <c r="AB24" s="383"/>
    </row>
    <row r="25" spans="1:28">
      <c r="A25" s="384" t="s">
        <v>131</v>
      </c>
      <c r="B25" s="385">
        <v>1</v>
      </c>
      <c r="C25" s="386" t="str">
        <f t="shared" ref="C25" si="2">CONCATENATE(A25," no. ",B25)</f>
        <v>Lantai 1 no. 1</v>
      </c>
      <c r="D25" s="2562" t="str">
        <f>VLOOKUP(C25,'Data Panjang Balok'!$C$9:$N$254,2,FALSE)</f>
        <v>S36-1</v>
      </c>
      <c r="E25" s="2576"/>
      <c r="F25" s="2576"/>
      <c r="G25" s="2576"/>
      <c r="H25" s="2577"/>
      <c r="I25" s="387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9"/>
      <c r="Z25" s="388"/>
      <c r="AA25" s="388"/>
      <c r="AB25" s="390"/>
    </row>
    <row r="26" spans="1:28">
      <c r="A26" s="391"/>
      <c r="B26" s="392"/>
      <c r="C26" s="393" t="s">
        <v>118</v>
      </c>
      <c r="D26" s="2578">
        <f>VLOOKUP(D25,'Detail Balok'!$C$10:$AU$140,2,FALSE)</f>
        <v>300</v>
      </c>
      <c r="E26" s="2579"/>
      <c r="F26" s="388" t="s">
        <v>125</v>
      </c>
      <c r="G26" s="2579">
        <f>VLOOKUP(D25,'Detail Balok'!$C$10:$AU$140,3,FALSE)</f>
        <v>600</v>
      </c>
      <c r="H26" s="2580"/>
      <c r="I26" s="388"/>
      <c r="J26" s="396"/>
      <c r="K26" s="396"/>
      <c r="L26" s="396"/>
      <c r="M26" s="396"/>
      <c r="N26" s="396"/>
      <c r="O26" s="396"/>
      <c r="P26" s="396"/>
      <c r="Q26" s="396"/>
      <c r="R26" s="396"/>
      <c r="S26" s="396"/>
      <c r="T26" s="396"/>
      <c r="U26" s="388"/>
      <c r="V26" s="396"/>
      <c r="W26" s="388"/>
      <c r="X26" s="396"/>
      <c r="Y26" s="389"/>
      <c r="Z26" s="396"/>
      <c r="AA26" s="388"/>
      <c r="AB26" s="390"/>
    </row>
    <row r="27" spans="1:28">
      <c r="A27" s="391"/>
      <c r="B27" s="392"/>
      <c r="C27" s="393" t="s">
        <v>198</v>
      </c>
      <c r="D27" s="2562">
        <f>VLOOKUP(C25,'Data Panjang Balok'!$C$9:$N$254,4,FALSE)</f>
        <v>4825</v>
      </c>
      <c r="E27" s="2563"/>
      <c r="F27" s="2563"/>
      <c r="G27" s="2563"/>
      <c r="H27" s="2564"/>
      <c r="I27" s="397"/>
      <c r="J27" s="396"/>
      <c r="K27" s="396"/>
      <c r="L27" s="396"/>
      <c r="M27" s="396"/>
      <c r="N27" s="396"/>
      <c r="O27" s="396"/>
      <c r="P27" s="396"/>
      <c r="Q27" s="396"/>
      <c r="R27" s="396"/>
      <c r="S27" s="396"/>
      <c r="T27" s="396"/>
      <c r="U27" s="388"/>
      <c r="V27" s="396"/>
      <c r="W27" s="388"/>
      <c r="X27" s="396"/>
      <c r="Y27" s="389"/>
      <c r="Z27" s="396"/>
      <c r="AA27" s="388"/>
      <c r="AB27" s="390"/>
    </row>
    <row r="28" spans="1:28">
      <c r="A28" s="391"/>
      <c r="B28" s="392"/>
      <c r="C28" s="393" t="s">
        <v>199</v>
      </c>
      <c r="D28" s="2562">
        <f>VLOOKUP(C25,'Data Panjang Balok'!$C$9:$N$254,7,FALSE)</f>
        <v>4825</v>
      </c>
      <c r="E28" s="2563"/>
      <c r="F28" s="2563"/>
      <c r="G28" s="2563"/>
      <c r="H28" s="2564"/>
      <c r="I28" s="397"/>
      <c r="J28" s="396"/>
      <c r="K28" s="396"/>
      <c r="L28" s="396"/>
      <c r="M28" s="396"/>
      <c r="N28" s="396"/>
      <c r="O28" s="396"/>
      <c r="P28" s="396"/>
      <c r="Q28" s="396"/>
      <c r="R28" s="396"/>
      <c r="S28" s="396"/>
      <c r="T28" s="396"/>
      <c r="U28" s="388"/>
      <c r="V28" s="396"/>
      <c r="W28" s="388"/>
      <c r="X28" s="396"/>
      <c r="Y28" s="389"/>
      <c r="Z28" s="396"/>
      <c r="AA28" s="388"/>
      <c r="AB28" s="390"/>
    </row>
    <row r="29" spans="1:28">
      <c r="A29" s="391"/>
      <c r="B29" s="392"/>
      <c r="C29" s="393" t="s">
        <v>200</v>
      </c>
      <c r="D29" s="2562">
        <f>VLOOKUP(C25,'Data Panjang Balok'!$C$9:$N$254,9,FALSE)</f>
        <v>0</v>
      </c>
      <c r="E29" s="2563"/>
      <c r="F29" s="2563"/>
      <c r="G29" s="2563"/>
      <c r="H29" s="2564"/>
      <c r="I29" s="397"/>
      <c r="J29" s="396"/>
      <c r="K29" s="396"/>
      <c r="L29" s="396"/>
      <c r="M29" s="396"/>
      <c r="N29" s="396"/>
      <c r="O29" s="396"/>
      <c r="P29" s="396"/>
      <c r="Q29" s="396"/>
      <c r="R29" s="396"/>
      <c r="S29" s="396"/>
      <c r="T29" s="396"/>
      <c r="U29" s="388"/>
      <c r="V29" s="396"/>
      <c r="W29" s="388"/>
      <c r="X29" s="396"/>
      <c r="Y29" s="389"/>
      <c r="Z29" s="396"/>
      <c r="AA29" s="388"/>
      <c r="AB29" s="390"/>
    </row>
    <row r="30" spans="1:28">
      <c r="A30" s="391"/>
      <c r="B30" s="392"/>
      <c r="C30" s="393" t="s">
        <v>201</v>
      </c>
      <c r="D30" s="2562">
        <f>VLOOKUP(C25,'Data Panjang Balok'!$C$9:$N$254,10,FALSE)</f>
        <v>0</v>
      </c>
      <c r="E30" s="2563"/>
      <c r="F30" s="2563"/>
      <c r="G30" s="2563"/>
      <c r="H30" s="2564"/>
      <c r="I30" s="397"/>
      <c r="J30" s="396"/>
      <c r="K30" s="396"/>
      <c r="L30" s="396"/>
      <c r="M30" s="396"/>
      <c r="N30" s="396"/>
      <c r="O30" s="396"/>
      <c r="P30" s="396"/>
      <c r="Q30" s="396"/>
      <c r="R30" s="396"/>
      <c r="S30" s="396"/>
      <c r="T30" s="396"/>
      <c r="U30" s="388"/>
      <c r="V30" s="396"/>
      <c r="W30" s="388"/>
      <c r="X30" s="396"/>
      <c r="Y30" s="389"/>
      <c r="Z30" s="396"/>
      <c r="AA30" s="388"/>
      <c r="AB30" s="390"/>
    </row>
    <row r="31" spans="1:28">
      <c r="A31" s="391"/>
      <c r="B31" s="392"/>
      <c r="C31" s="393" t="s">
        <v>48</v>
      </c>
      <c r="D31" s="2562">
        <f>VLOOKUP(C25,'Data Panjang Balok'!$C$9:$N$254,3,FALSE)</f>
        <v>1</v>
      </c>
      <c r="E31" s="2563"/>
      <c r="F31" s="2563"/>
      <c r="G31" s="2563"/>
      <c r="H31" s="2564"/>
      <c r="I31" s="397"/>
      <c r="J31" s="396"/>
      <c r="K31" s="396"/>
      <c r="L31" s="396"/>
      <c r="M31" s="396"/>
      <c r="N31" s="396"/>
      <c r="O31" s="396"/>
      <c r="P31" s="396"/>
      <c r="Q31" s="396"/>
      <c r="R31" s="396"/>
      <c r="S31" s="396"/>
      <c r="T31" s="396"/>
      <c r="U31" s="388"/>
      <c r="V31" s="396"/>
      <c r="W31" s="388"/>
      <c r="X31" s="396"/>
      <c r="Y31" s="389"/>
      <c r="Z31" s="396"/>
      <c r="AA31" s="388"/>
      <c r="AB31" s="390"/>
    </row>
    <row r="32" spans="1:28">
      <c r="A32" s="384" t="str">
        <f t="shared" ref="A32:B32" si="3">A25</f>
        <v>Lantai 1</v>
      </c>
      <c r="B32" s="385">
        <f t="shared" si="3"/>
        <v>1</v>
      </c>
      <c r="C32" s="393" t="s">
        <v>202</v>
      </c>
      <c r="D32" s="398">
        <f>VLOOKUP(D25,'Detail Balok'!$C$10:$AU$140,4,FALSE)</f>
        <v>4</v>
      </c>
      <c r="E32" s="388" t="s">
        <v>16</v>
      </c>
      <c r="F32" s="388">
        <f>VLOOKUP(D25,'Detail Balok'!$C$10:$AU$140,6,FALSE)</f>
        <v>16</v>
      </c>
      <c r="G32" s="388"/>
      <c r="H32" s="395"/>
      <c r="I32" s="388" t="s">
        <v>203</v>
      </c>
      <c r="J32" s="399">
        <f t="shared" ref="J32" si="4">+D27/4/1000</f>
        <v>1.20625</v>
      </c>
      <c r="K32" s="400" t="s">
        <v>204</v>
      </c>
      <c r="L32" s="399">
        <f t="shared" ref="L32" si="5">MAX(VLOOKUP(F32,N$6:P$15,3,FALSE)/1000,2/3*D29/1000)+F$16*F32/1000</f>
        <v>0.192</v>
      </c>
      <c r="M32" s="399" t="s">
        <v>176</v>
      </c>
      <c r="N32" s="399">
        <f t="shared" ref="N32:N34" si="6">J32+L32</f>
        <v>1.39825</v>
      </c>
      <c r="O32" s="399" t="s">
        <v>204</v>
      </c>
      <c r="P32" s="389">
        <f t="shared" ref="P32" si="7">D32-D33</f>
        <v>0</v>
      </c>
      <c r="Q32" s="399" t="s">
        <v>125</v>
      </c>
      <c r="R32" s="399">
        <f t="shared" ref="R32" si="8">IF(P32&gt;0,$F$18*F32/1000,0)</f>
        <v>0</v>
      </c>
      <c r="S32" s="399" t="s">
        <v>205</v>
      </c>
      <c r="T32" s="399" t="s">
        <v>125</v>
      </c>
      <c r="U32" s="401">
        <f t="shared" ref="U32:U34" si="9">0.006165*F32^2</f>
        <v>1.5782400000000001</v>
      </c>
      <c r="V32" s="399"/>
      <c r="W32" s="399"/>
      <c r="X32" s="399" t="s">
        <v>125</v>
      </c>
      <c r="Y32" s="389">
        <f t="shared" ref="Y32" si="10">D31</f>
        <v>1</v>
      </c>
      <c r="Z32" s="400" t="s">
        <v>176</v>
      </c>
      <c r="AA32" s="402">
        <f t="shared" ref="AA32" si="11">IF(AA35=0,(D32*N32+P32*R32)*U32*Y32,0)</f>
        <v>0</v>
      </c>
      <c r="AB32" s="403"/>
    </row>
    <row r="33" spans="1:28">
      <c r="A33" s="384" t="str">
        <f t="shared" ref="A33:B33" si="12">A25</f>
        <v>Lantai 1</v>
      </c>
      <c r="B33" s="385">
        <f t="shared" si="12"/>
        <v>1</v>
      </c>
      <c r="C33" s="393" t="s">
        <v>206</v>
      </c>
      <c r="D33" s="398">
        <f>VLOOKUP(D25,'Detail Balok'!$C$10:$AU$140,7,FALSE)</f>
        <v>4</v>
      </c>
      <c r="E33" s="388" t="s">
        <v>16</v>
      </c>
      <c r="F33" s="388">
        <f>VLOOKUP(D25,'Detail Balok'!$C$10:$AU$140,9,FALSE)</f>
        <v>16</v>
      </c>
      <c r="G33" s="388"/>
      <c r="H33" s="395"/>
      <c r="I33" s="388" t="s">
        <v>203</v>
      </c>
      <c r="J33" s="399">
        <f t="shared" ref="J33" si="13">+D27/2/1000</f>
        <v>2.4125000000000001</v>
      </c>
      <c r="K33" s="400" t="s">
        <v>204</v>
      </c>
      <c r="L33" s="399"/>
      <c r="M33" s="399" t="s">
        <v>176</v>
      </c>
      <c r="N33" s="399">
        <f t="shared" si="6"/>
        <v>2.4125000000000001</v>
      </c>
      <c r="O33" s="399" t="s">
        <v>204</v>
      </c>
      <c r="P33" s="389">
        <f t="shared" ref="P33" si="14">MAX(D33-D32,D33-D34)</f>
        <v>0</v>
      </c>
      <c r="Q33" s="399" t="s">
        <v>125</v>
      </c>
      <c r="R33" s="399">
        <f t="shared" ref="R33" si="15">IF(P33&gt;0,2*(1-2*$F$19-1/2)*D28/1000,0)</f>
        <v>0</v>
      </c>
      <c r="S33" s="399" t="s">
        <v>205</v>
      </c>
      <c r="T33" s="399" t="s">
        <v>125</v>
      </c>
      <c r="U33" s="401">
        <f t="shared" si="9"/>
        <v>1.5782400000000001</v>
      </c>
      <c r="V33" s="399"/>
      <c r="W33" s="399"/>
      <c r="X33" s="399" t="s">
        <v>125</v>
      </c>
      <c r="Y33" s="389">
        <f t="shared" ref="Y33" si="16">D31</f>
        <v>1</v>
      </c>
      <c r="Z33" s="400" t="s">
        <v>176</v>
      </c>
      <c r="AA33" s="402">
        <f t="shared" ref="AA33" si="17">IF(AA35=0,(D33*N33+P33*R33)*U33*Y33,0)</f>
        <v>0</v>
      </c>
      <c r="AB33" s="403"/>
    </row>
    <row r="34" spans="1:28">
      <c r="A34" s="384" t="str">
        <f t="shared" ref="A34:B34" si="18">A25</f>
        <v>Lantai 1</v>
      </c>
      <c r="B34" s="385">
        <f t="shared" si="18"/>
        <v>1</v>
      </c>
      <c r="C34" s="393" t="s">
        <v>202</v>
      </c>
      <c r="D34" s="398">
        <f>VLOOKUP(D25,'Detail Balok'!$C$10:$AU$140,10,FALSE)</f>
        <v>4</v>
      </c>
      <c r="E34" s="388" t="s">
        <v>16</v>
      </c>
      <c r="F34" s="388">
        <f>VLOOKUP(D25,'Detail Balok'!$C$10:$AU$140,12,FALSE)</f>
        <v>16</v>
      </c>
      <c r="G34" s="388"/>
      <c r="H34" s="395"/>
      <c r="I34" s="388" t="s">
        <v>203</v>
      </c>
      <c r="J34" s="399">
        <f t="shared" ref="J34" si="19">+D27/4/1000</f>
        <v>1.20625</v>
      </c>
      <c r="K34" s="400" t="s">
        <v>204</v>
      </c>
      <c r="L34" s="399">
        <f t="shared" ref="L34" si="20">MAX(VLOOKUP(F34,N$6:P$15,3,FALSE)/1000,2/3*D29/1000)+F$16*F34/1000</f>
        <v>0.192</v>
      </c>
      <c r="M34" s="399" t="s">
        <v>176</v>
      </c>
      <c r="N34" s="399">
        <f t="shared" si="6"/>
        <v>1.39825</v>
      </c>
      <c r="O34" s="399" t="s">
        <v>204</v>
      </c>
      <c r="P34" s="389">
        <f t="shared" ref="P34" si="21">D34-D33</f>
        <v>0</v>
      </c>
      <c r="Q34" s="399" t="s">
        <v>125</v>
      </c>
      <c r="R34" s="399">
        <f t="shared" ref="R34" si="22">IF(P34&gt;0,$F$18*F34/1000,0)</f>
        <v>0</v>
      </c>
      <c r="S34" s="399" t="s">
        <v>205</v>
      </c>
      <c r="T34" s="399" t="s">
        <v>125</v>
      </c>
      <c r="U34" s="401">
        <f t="shared" si="9"/>
        <v>1.5782400000000001</v>
      </c>
      <c r="V34" s="399"/>
      <c r="W34" s="399"/>
      <c r="X34" s="399" t="s">
        <v>125</v>
      </c>
      <c r="Y34" s="389">
        <f t="shared" ref="Y34" si="23">D31</f>
        <v>1</v>
      </c>
      <c r="Z34" s="400" t="s">
        <v>176</v>
      </c>
      <c r="AA34" s="402">
        <f t="shared" ref="AA34" si="24">IF(AA35=0,(D34*N34+P34*R34)*U34*Y34,0)</f>
        <v>0</v>
      </c>
      <c r="AB34" s="403"/>
    </row>
    <row r="35" spans="1:28">
      <c r="A35" s="384" t="str">
        <f t="shared" ref="A35:B35" si="25">A25</f>
        <v>Lantai 1</v>
      </c>
      <c r="B35" s="385">
        <f t="shared" si="25"/>
        <v>1</v>
      </c>
      <c r="C35" s="393"/>
      <c r="D35" s="398">
        <f t="shared" ref="D35:D95" si="26">IF(AND(D32=D33,D33=D34,D32=D34),D32,0)</f>
        <v>4</v>
      </c>
      <c r="E35" s="388" t="s">
        <v>16</v>
      </c>
      <c r="F35" s="388">
        <f t="shared" ref="F35:F95" si="27">IF(AND(F32=F33,F32=F34,F33=F34),F32,0)</f>
        <v>16</v>
      </c>
      <c r="G35" s="388"/>
      <c r="H35" s="395"/>
      <c r="I35" s="388"/>
      <c r="J35" s="396"/>
      <c r="K35" s="396"/>
      <c r="L35" s="404" t="s">
        <v>207</v>
      </c>
      <c r="M35" s="399" t="s">
        <v>176</v>
      </c>
      <c r="N35" s="399">
        <f t="shared" ref="N35" si="28">IF(AND(D32=D33,D32=D34,D33=D34,F32=F33,F32=F34,F33=F34),SUM(N32:N34),0)</f>
        <v>5.2089999999999996</v>
      </c>
      <c r="O35" s="399" t="s">
        <v>204</v>
      </c>
      <c r="P35" s="389">
        <f t="shared" ref="P35" si="29">IF(N35&gt;12,ROUNDDOWN(N35/12,0),0)</f>
        <v>0</v>
      </c>
      <c r="Q35" s="399" t="s">
        <v>125</v>
      </c>
      <c r="R35" s="399">
        <f t="shared" ref="R35" si="30">IF(P35&gt;0,MAX(VLOOKUP(F35,$D$6:$G$15,3,FALSE),600),0)/1000</f>
        <v>0</v>
      </c>
      <c r="S35" s="396"/>
      <c r="T35" s="396" t="s">
        <v>125</v>
      </c>
      <c r="U35" s="401">
        <f t="shared" ref="U35:U95" si="31">U34</f>
        <v>1.5782400000000001</v>
      </c>
      <c r="V35" s="396" t="s">
        <v>125</v>
      </c>
      <c r="W35" s="399">
        <f t="shared" ref="W35" si="32">D35</f>
        <v>4</v>
      </c>
      <c r="X35" s="399" t="s">
        <v>125</v>
      </c>
      <c r="Y35" s="389">
        <f t="shared" ref="Y35:Y95" si="33">Y34</f>
        <v>1</v>
      </c>
      <c r="Z35" s="400" t="s">
        <v>176</v>
      </c>
      <c r="AA35" s="402">
        <f t="shared" ref="AA35" si="34">(N35+P35*R35/1000)*U35*W35*Y35</f>
        <v>32.884208639999997</v>
      </c>
      <c r="AB35" s="390"/>
    </row>
    <row r="36" spans="1:28">
      <c r="A36" s="384"/>
      <c r="B36" s="385"/>
      <c r="C36" s="393"/>
      <c r="D36" s="398"/>
      <c r="E36" s="388"/>
      <c r="F36" s="388"/>
      <c r="G36" s="388"/>
      <c r="H36" s="395"/>
      <c r="I36" s="388"/>
      <c r="J36" s="396"/>
      <c r="K36" s="396"/>
      <c r="L36" s="404"/>
      <c r="M36" s="399"/>
      <c r="N36" s="399"/>
      <c r="O36" s="396"/>
      <c r="P36" s="389"/>
      <c r="Q36" s="396"/>
      <c r="R36" s="396"/>
      <c r="S36" s="396"/>
      <c r="T36" s="396"/>
      <c r="U36" s="401"/>
      <c r="V36" s="396"/>
      <c r="W36" s="399"/>
      <c r="X36" s="396"/>
      <c r="Y36" s="389"/>
      <c r="Z36" s="396"/>
      <c r="AA36" s="388"/>
      <c r="AB36" s="390"/>
    </row>
    <row r="37" spans="1:28">
      <c r="A37" s="384" t="str">
        <f t="shared" ref="A37:B37" si="35">A25</f>
        <v>Lantai 1</v>
      </c>
      <c r="B37" s="385">
        <f t="shared" si="35"/>
        <v>1</v>
      </c>
      <c r="C37" s="393" t="s">
        <v>208</v>
      </c>
      <c r="D37" s="398">
        <f>VLOOKUP(D25,'Detail Balok'!$C$10:$AU$140,13,FALSE)</f>
        <v>2</v>
      </c>
      <c r="E37" s="388" t="s">
        <v>16</v>
      </c>
      <c r="F37" s="388">
        <f>VLOOKUP(D25,'Detail Balok'!$C$10:$AU$140,15,FALSE)</f>
        <v>10</v>
      </c>
      <c r="G37" s="388"/>
      <c r="H37" s="395"/>
      <c r="I37" s="388"/>
      <c r="J37" s="399">
        <f t="shared" ref="J37" si="36">+D27/1000</f>
        <v>4.8250000000000002</v>
      </c>
      <c r="K37" s="400" t="s">
        <v>204</v>
      </c>
      <c r="L37" s="399">
        <f t="shared" ref="L37" si="37">2*$F$16*F37/1000</f>
        <v>0.24</v>
      </c>
      <c r="M37" s="399" t="s">
        <v>176</v>
      </c>
      <c r="N37" s="399">
        <f t="shared" ref="N37" si="38">J37+L37</f>
        <v>5.0650000000000004</v>
      </c>
      <c r="O37" s="399" t="s">
        <v>204</v>
      </c>
      <c r="P37" s="389">
        <f t="shared" ref="P37" si="39">IF(N37&gt;12,ROUNDDOWN(N37/12,0),0)</f>
        <v>0</v>
      </c>
      <c r="Q37" s="399" t="s">
        <v>125</v>
      </c>
      <c r="R37" s="399">
        <f t="shared" ref="R37" si="40">IF(P37&gt;0,MAX(VLOOKUP(F37,$D$6:$G$15,3,FALSE),600),0)/1000</f>
        <v>0</v>
      </c>
      <c r="S37" s="399"/>
      <c r="T37" s="399" t="s">
        <v>125</v>
      </c>
      <c r="U37" s="401">
        <f t="shared" ref="U37" si="41">0.006165*F37^2</f>
        <v>0.61650000000000005</v>
      </c>
      <c r="V37" s="399" t="s">
        <v>125</v>
      </c>
      <c r="W37" s="399">
        <f t="shared" ref="W37" si="42">+D37</f>
        <v>2</v>
      </c>
      <c r="X37" s="399" t="s">
        <v>125</v>
      </c>
      <c r="Y37" s="389">
        <f t="shared" ref="Y37" si="43">D31</f>
        <v>1</v>
      </c>
      <c r="Z37" s="400" t="s">
        <v>176</v>
      </c>
      <c r="AA37" s="402">
        <f t="shared" ref="AA37" si="44">(N37+P37*R37/1000)*U37*W37*Y37</f>
        <v>6.2451450000000008</v>
      </c>
      <c r="AB37" s="403"/>
    </row>
    <row r="38" spans="1:28">
      <c r="A38" s="384"/>
      <c r="B38" s="385"/>
      <c r="C38" s="393"/>
      <c r="D38" s="398"/>
      <c r="E38" s="388"/>
      <c r="F38" s="388"/>
      <c r="G38" s="388"/>
      <c r="H38" s="395"/>
      <c r="I38" s="388"/>
      <c r="J38" s="399"/>
      <c r="K38" s="400"/>
      <c r="L38" s="399"/>
      <c r="M38" s="399"/>
      <c r="N38" s="399"/>
      <c r="O38" s="399"/>
      <c r="P38" s="389"/>
      <c r="Q38" s="399"/>
      <c r="R38" s="399"/>
      <c r="S38" s="399"/>
      <c r="T38" s="399"/>
      <c r="U38" s="401"/>
      <c r="V38" s="399"/>
      <c r="W38" s="399"/>
      <c r="X38" s="399"/>
      <c r="Y38" s="389"/>
      <c r="Z38" s="400"/>
      <c r="AA38" s="402"/>
      <c r="AB38" s="403"/>
    </row>
    <row r="39" spans="1:28">
      <c r="A39" s="384"/>
      <c r="B39" s="385"/>
      <c r="C39" s="393"/>
      <c r="D39" s="398"/>
      <c r="E39" s="388"/>
      <c r="F39" s="388"/>
      <c r="G39" s="388"/>
      <c r="H39" s="395"/>
      <c r="I39" s="388"/>
      <c r="J39" s="396"/>
      <c r="K39" s="396"/>
      <c r="L39" s="396"/>
      <c r="M39" s="396"/>
      <c r="N39" s="396"/>
      <c r="O39" s="396"/>
      <c r="P39" s="389"/>
      <c r="Q39" s="396"/>
      <c r="R39" s="396"/>
      <c r="S39" s="396"/>
      <c r="T39" s="396"/>
      <c r="U39" s="401"/>
      <c r="V39" s="396"/>
      <c r="W39" s="399"/>
      <c r="X39" s="396"/>
      <c r="Y39" s="389"/>
      <c r="Z39" s="396"/>
      <c r="AA39" s="388"/>
      <c r="AB39" s="390"/>
    </row>
    <row r="40" spans="1:28">
      <c r="A40" s="384" t="str">
        <f t="shared" ref="A40:B40" si="45">A25</f>
        <v>Lantai 1</v>
      </c>
      <c r="B40" s="385">
        <f t="shared" si="45"/>
        <v>1</v>
      </c>
      <c r="C40" s="393" t="s">
        <v>209</v>
      </c>
      <c r="D40" s="398">
        <f>VLOOKUP(D25,'Detail Balok'!$C$10:$AU$140,22,FALSE)</f>
        <v>4</v>
      </c>
      <c r="E40" s="388" t="s">
        <v>16</v>
      </c>
      <c r="F40" s="388">
        <f>VLOOKUP(D25,'Detail Balok'!$C$10:$AU$140,24,FALSE)</f>
        <v>16</v>
      </c>
      <c r="G40" s="388"/>
      <c r="H40" s="395"/>
      <c r="I40" s="388" t="s">
        <v>203</v>
      </c>
      <c r="J40" s="399">
        <f t="shared" ref="J40:J102" si="46">+J32</f>
        <v>1.20625</v>
      </c>
      <c r="K40" s="400" t="s">
        <v>204</v>
      </c>
      <c r="L40" s="399">
        <f t="shared" ref="L40" si="47">MAX(VLOOKUP(F40,N$6:P$15,3,FALSE)/1000,2/3*D30/1000)+F$16*F40/1000</f>
        <v>0.192</v>
      </c>
      <c r="M40" s="399" t="s">
        <v>176</v>
      </c>
      <c r="N40" s="399">
        <f t="shared" ref="N40:N42" si="48">J40+L40</f>
        <v>1.39825</v>
      </c>
      <c r="O40" s="399" t="s">
        <v>204</v>
      </c>
      <c r="P40" s="389">
        <f t="shared" ref="P40" si="49">D40-D41</f>
        <v>0</v>
      </c>
      <c r="Q40" s="399" t="s">
        <v>125</v>
      </c>
      <c r="R40" s="399">
        <f t="shared" ref="R40" si="50">IF(P40&gt;0,$F$18*F40/1000,0)</f>
        <v>0</v>
      </c>
      <c r="S40" s="399" t="s">
        <v>205</v>
      </c>
      <c r="T40" s="399" t="s">
        <v>125</v>
      </c>
      <c r="U40" s="401">
        <f t="shared" ref="U40:U42" si="51">0.006165*F40^2</f>
        <v>1.5782400000000001</v>
      </c>
      <c r="V40" s="399"/>
      <c r="W40" s="399"/>
      <c r="X40" s="399" t="s">
        <v>125</v>
      </c>
      <c r="Y40" s="389">
        <f t="shared" ref="Y40" si="52">D31</f>
        <v>1</v>
      </c>
      <c r="Z40" s="400" t="s">
        <v>176</v>
      </c>
      <c r="AA40" s="402">
        <f t="shared" ref="AA40" si="53">IF(AA43=0,(D40*N40+P40*R40)*U40*Y40,0)</f>
        <v>0</v>
      </c>
      <c r="AB40" s="403"/>
    </row>
    <row r="41" spans="1:28">
      <c r="A41" s="384" t="str">
        <f t="shared" ref="A41:B41" si="54">A25</f>
        <v>Lantai 1</v>
      </c>
      <c r="B41" s="385">
        <f t="shared" si="54"/>
        <v>1</v>
      </c>
      <c r="C41" s="393" t="s">
        <v>210</v>
      </c>
      <c r="D41" s="398">
        <f>VLOOKUP(D25,'Detail Balok'!$C$10:$AU$140,25,FALSE)</f>
        <v>4</v>
      </c>
      <c r="E41" s="388" t="s">
        <v>16</v>
      </c>
      <c r="F41" s="388">
        <f>VLOOKUP(D25,'Detail Balok'!$C$10:$AU$140,27,FALSE)</f>
        <v>16</v>
      </c>
      <c r="G41" s="388"/>
      <c r="H41" s="395"/>
      <c r="I41" s="388" t="s">
        <v>203</v>
      </c>
      <c r="J41" s="399">
        <f t="shared" si="46"/>
        <v>2.4125000000000001</v>
      </c>
      <c r="K41" s="400" t="s">
        <v>204</v>
      </c>
      <c r="L41" s="399"/>
      <c r="M41" s="399" t="s">
        <v>176</v>
      </c>
      <c r="N41" s="399">
        <f t="shared" si="48"/>
        <v>2.4125000000000001</v>
      </c>
      <c r="O41" s="399" t="s">
        <v>204</v>
      </c>
      <c r="P41" s="389">
        <f t="shared" ref="P41" si="55">MAX(D41-D40,D41-D42)</f>
        <v>0</v>
      </c>
      <c r="Q41" s="399" t="s">
        <v>125</v>
      </c>
      <c r="R41" s="399">
        <f t="shared" ref="R41" si="56">IF(P41&gt;0,2*(1-2*$F$19-1/2)*D28/1000,0)</f>
        <v>0</v>
      </c>
      <c r="S41" s="399" t="s">
        <v>205</v>
      </c>
      <c r="T41" s="399" t="s">
        <v>125</v>
      </c>
      <c r="U41" s="401">
        <f t="shared" si="51"/>
        <v>1.5782400000000001</v>
      </c>
      <c r="V41" s="399"/>
      <c r="W41" s="399"/>
      <c r="X41" s="399" t="s">
        <v>125</v>
      </c>
      <c r="Y41" s="389">
        <f t="shared" ref="Y41" si="57">D31</f>
        <v>1</v>
      </c>
      <c r="Z41" s="400" t="s">
        <v>176</v>
      </c>
      <c r="AA41" s="402">
        <f t="shared" ref="AA41" si="58">IF(AA43=0,(D41*N41+P41*R41)*U41*Y41,0)</f>
        <v>0</v>
      </c>
      <c r="AB41" s="403"/>
    </row>
    <row r="42" spans="1:28">
      <c r="A42" s="384" t="str">
        <f t="shared" ref="A42:B42" si="59">A25</f>
        <v>Lantai 1</v>
      </c>
      <c r="B42" s="385">
        <f t="shared" si="59"/>
        <v>1</v>
      </c>
      <c r="C42" s="393" t="s">
        <v>209</v>
      </c>
      <c r="D42" s="398">
        <f>VLOOKUP(D25,'Detail Balok'!$C$10:$AU$140,28,FALSE)</f>
        <v>4</v>
      </c>
      <c r="E42" s="388" t="s">
        <v>16</v>
      </c>
      <c r="F42" s="388">
        <f>VLOOKUP(D25,'Detail Balok'!$C$10:$AU$140,30,FALSE)</f>
        <v>16</v>
      </c>
      <c r="G42" s="388"/>
      <c r="H42" s="395"/>
      <c r="I42" s="388" t="s">
        <v>203</v>
      </c>
      <c r="J42" s="399">
        <f t="shared" si="46"/>
        <v>1.20625</v>
      </c>
      <c r="K42" s="400" t="s">
        <v>204</v>
      </c>
      <c r="L42" s="399">
        <f t="shared" ref="L42" si="60">MAX(VLOOKUP(F42,N$6:P$15,3,FALSE)/1000,2/3*D30/1000)+F$16*F42/1000</f>
        <v>0.192</v>
      </c>
      <c r="M42" s="399" t="s">
        <v>176</v>
      </c>
      <c r="N42" s="399">
        <f t="shared" si="48"/>
        <v>1.39825</v>
      </c>
      <c r="O42" s="399" t="s">
        <v>204</v>
      </c>
      <c r="P42" s="389">
        <f t="shared" ref="P42" si="61">D42-D41</f>
        <v>0</v>
      </c>
      <c r="Q42" s="399" t="s">
        <v>125</v>
      </c>
      <c r="R42" s="399">
        <f t="shared" ref="R42" si="62">IF(P42&gt;0,$F$18*F42/1000,0)</f>
        <v>0</v>
      </c>
      <c r="S42" s="399" t="s">
        <v>205</v>
      </c>
      <c r="T42" s="399" t="s">
        <v>125</v>
      </c>
      <c r="U42" s="401">
        <f t="shared" si="51"/>
        <v>1.5782400000000001</v>
      </c>
      <c r="V42" s="399"/>
      <c r="W42" s="399"/>
      <c r="X42" s="399" t="s">
        <v>125</v>
      </c>
      <c r="Y42" s="389">
        <f t="shared" ref="Y42" si="63">D31</f>
        <v>1</v>
      </c>
      <c r="Z42" s="400" t="s">
        <v>176</v>
      </c>
      <c r="AA42" s="402">
        <f t="shared" ref="AA42" si="64">IF(AA43=0,(D42*N42+P42*R42)*U42*Y42,0)</f>
        <v>0</v>
      </c>
      <c r="AB42" s="403"/>
    </row>
    <row r="43" spans="1:28">
      <c r="A43" s="384" t="str">
        <f t="shared" ref="A43:B43" si="65">A25</f>
        <v>Lantai 1</v>
      </c>
      <c r="B43" s="385">
        <f t="shared" si="65"/>
        <v>1</v>
      </c>
      <c r="C43" s="393"/>
      <c r="D43" s="398">
        <f t="shared" ref="D43:D103" si="66">IF(AND(D40=D41,D41=D42,D40=D42),D40,0)</f>
        <v>4</v>
      </c>
      <c r="E43" s="388" t="s">
        <v>16</v>
      </c>
      <c r="F43" s="388">
        <f t="shared" ref="F43:F103" si="67">IF(AND(F40=F41,F40=F42,F41=F42),F40,0)</f>
        <v>16</v>
      </c>
      <c r="G43" s="388"/>
      <c r="H43" s="395"/>
      <c r="I43" s="388"/>
      <c r="J43" s="396"/>
      <c r="K43" s="396"/>
      <c r="L43" s="404" t="s">
        <v>207</v>
      </c>
      <c r="M43" s="399" t="s">
        <v>176</v>
      </c>
      <c r="N43" s="399">
        <f t="shared" ref="N43" si="68">IF(AND(D40=D41,D40=D42,D41=D42,F40=F41,F40=F42,F41=F42),SUM(N40:N42),0)</f>
        <v>5.2089999999999996</v>
      </c>
      <c r="O43" s="399" t="s">
        <v>204</v>
      </c>
      <c r="P43" s="389">
        <f t="shared" ref="P43" si="69">IF(N43&gt;12,ROUNDDOWN(N43/12,0),0)</f>
        <v>0</v>
      </c>
      <c r="Q43" s="399" t="s">
        <v>125</v>
      </c>
      <c r="R43" s="399">
        <f t="shared" ref="R43" si="70">IF(P43&gt;0,MAX(VLOOKUP(F43,$D$6:$G$15,3,FALSE),600),0)/1000</f>
        <v>0</v>
      </c>
      <c r="S43" s="396"/>
      <c r="T43" s="396" t="s">
        <v>125</v>
      </c>
      <c r="U43" s="401">
        <f t="shared" ref="U43:U103" si="71">U42</f>
        <v>1.5782400000000001</v>
      </c>
      <c r="V43" s="396" t="s">
        <v>125</v>
      </c>
      <c r="W43" s="399">
        <f t="shared" ref="W43" si="72">D43</f>
        <v>4</v>
      </c>
      <c r="X43" s="399" t="s">
        <v>125</v>
      </c>
      <c r="Y43" s="389">
        <f t="shared" ref="Y43:Y103" si="73">Y42</f>
        <v>1</v>
      </c>
      <c r="Z43" s="400" t="s">
        <v>176</v>
      </c>
      <c r="AA43" s="402">
        <f t="shared" ref="AA43" si="74">(N43+P43*R43/1000)*U43*W43*Y43</f>
        <v>32.884208639999997</v>
      </c>
      <c r="AB43" s="403"/>
    </row>
    <row r="44" spans="1:28">
      <c r="A44" s="384"/>
      <c r="B44" s="385"/>
      <c r="C44" s="393"/>
      <c r="D44" s="394"/>
      <c r="E44" s="388"/>
      <c r="F44" s="388"/>
      <c r="G44" s="388"/>
      <c r="H44" s="395"/>
      <c r="I44" s="388"/>
      <c r="J44" s="399"/>
      <c r="K44" s="396"/>
      <c r="L44" s="396"/>
      <c r="M44" s="396"/>
      <c r="N44" s="396"/>
      <c r="O44" s="396"/>
      <c r="P44" s="389"/>
      <c r="Q44" s="396"/>
      <c r="R44" s="396"/>
      <c r="S44" s="396"/>
      <c r="T44" s="396"/>
      <c r="U44" s="401"/>
      <c r="V44" s="396"/>
      <c r="W44" s="388"/>
      <c r="X44" s="396"/>
      <c r="Y44" s="389"/>
      <c r="Z44" s="396"/>
      <c r="AA44" s="388"/>
      <c r="AB44" s="390"/>
    </row>
    <row r="45" spans="1:28">
      <c r="A45" s="384" t="str">
        <f t="shared" ref="A45:B45" si="75">A25</f>
        <v>Lantai 1</v>
      </c>
      <c r="B45" s="385">
        <f t="shared" si="75"/>
        <v>1</v>
      </c>
      <c r="C45" s="393" t="s">
        <v>211</v>
      </c>
      <c r="D45" s="398">
        <f>VLOOKUP(D25,'Detail Balok'!$C$10:$AU$140,31,FALSE)</f>
        <v>0</v>
      </c>
      <c r="E45" s="388" t="s">
        <v>16</v>
      </c>
      <c r="F45" s="388">
        <f>VLOOKUP(D25,'Detail Balok'!$C$10:$AU$140,33,FALSE)</f>
        <v>8</v>
      </c>
      <c r="G45" s="405" t="s">
        <v>157</v>
      </c>
      <c r="H45" s="395">
        <f>VLOOKUP(D25,'Detail Balok'!$C$10:$AU$140,35,FALSE)</f>
        <v>150</v>
      </c>
      <c r="I45" s="388"/>
      <c r="J45" s="400">
        <f t="shared" ref="J45" si="76">(IF(D45=0,(2*(D26+G26))-(F$5*8),IF(D45=3,(2*(D26+G26))-(F$5*8)+(G26-2*F$5),IF(D45=4,(2*(D26+G26))-(F$5*8)+2*(G26-2*F$5)))))/1000</f>
        <v>1.48</v>
      </c>
      <c r="K45" s="400" t="s">
        <v>204</v>
      </c>
      <c r="L45" s="399">
        <f t="shared" ref="L45:L47" si="77">IF(D45=0,2*MAX(6*F45,75),(D45-1)*2*MAX(6*F45,75))/1000</f>
        <v>0.15</v>
      </c>
      <c r="M45" s="399" t="s">
        <v>176</v>
      </c>
      <c r="N45" s="399">
        <f t="shared" ref="N45:N47" si="78">J45+L45</f>
        <v>1.63</v>
      </c>
      <c r="O45" s="399"/>
      <c r="P45" s="389"/>
      <c r="Q45" s="399"/>
      <c r="R45" s="399"/>
      <c r="S45" s="399"/>
      <c r="T45" s="399" t="s">
        <v>125</v>
      </c>
      <c r="U45" s="401">
        <f t="shared" ref="U45:U47" si="79">0.006165*F45^2</f>
        <v>0.39456000000000002</v>
      </c>
      <c r="V45" s="399" t="s">
        <v>125</v>
      </c>
      <c r="W45" s="399">
        <f t="shared" ref="W45" si="80">IF(D28&gt;4*G26,ROUND(MAX(D28/4,2*G26)/H45,0)+1,ROUND(D28/H45,0)+1)</f>
        <v>9</v>
      </c>
      <c r="X45" s="399" t="s">
        <v>125</v>
      </c>
      <c r="Y45" s="389">
        <f t="shared" ref="Y45" si="81">D31</f>
        <v>1</v>
      </c>
      <c r="Z45" s="400" t="s">
        <v>176</v>
      </c>
      <c r="AA45" s="402">
        <f t="shared" ref="AA45:AA47" si="82">N45*U45*W45*Y45</f>
        <v>5.7881951999999997</v>
      </c>
      <c r="AB45" s="403"/>
    </row>
    <row r="46" spans="1:28">
      <c r="A46" s="384" t="str">
        <f t="shared" ref="A46:B46" si="83">A25</f>
        <v>Lantai 1</v>
      </c>
      <c r="B46" s="385">
        <f t="shared" si="83"/>
        <v>1</v>
      </c>
      <c r="C46" s="393" t="s">
        <v>212</v>
      </c>
      <c r="D46" s="398">
        <f>VLOOKUP(D25,'Detail Balok'!$C$10:$AU$140,36,FALSE)</f>
        <v>0</v>
      </c>
      <c r="E46" s="388" t="s">
        <v>16</v>
      </c>
      <c r="F46" s="388">
        <f>VLOOKUP(D25,'Detail Balok'!$C$10:$AU$140,38,FALSE)</f>
        <v>8</v>
      </c>
      <c r="G46" s="405" t="s">
        <v>157</v>
      </c>
      <c r="H46" s="395">
        <f>VLOOKUP(D25,'Detail Balok'!$C$10:$AU$140,40,FALSE)</f>
        <v>200</v>
      </c>
      <c r="I46" s="388"/>
      <c r="J46" s="400">
        <f t="shared" ref="J46" si="84">(IF(D46=0,(2*(D26+G26))-(F$5*8),IF(D46=3,(2*(D26+G26))-(F$5*8)+(G26-2*F$5),IF(D46=4,(2*(D26+G26))-(F$5*8)+2*(G26-2*F$5)))))/1000</f>
        <v>1.48</v>
      </c>
      <c r="K46" s="400" t="s">
        <v>204</v>
      </c>
      <c r="L46" s="399">
        <f t="shared" si="77"/>
        <v>0.15</v>
      </c>
      <c r="M46" s="399" t="s">
        <v>176</v>
      </c>
      <c r="N46" s="399">
        <f t="shared" si="78"/>
        <v>1.63</v>
      </c>
      <c r="O46" s="399"/>
      <c r="P46" s="389"/>
      <c r="Q46" s="399"/>
      <c r="R46" s="399"/>
      <c r="S46" s="399"/>
      <c r="T46" s="399" t="s">
        <v>125</v>
      </c>
      <c r="U46" s="401">
        <f t="shared" si="79"/>
        <v>0.39456000000000002</v>
      </c>
      <c r="V46" s="399" t="s">
        <v>125</v>
      </c>
      <c r="W46" s="399">
        <f t="shared" ref="W46" si="85">IF(D28-MAX(D28/4,2*G26)*2&gt;0,ROUND((D28-MAX(D28/4,2*G26)*2)/H46,0),0)</f>
        <v>12</v>
      </c>
      <c r="X46" s="399" t="s">
        <v>125</v>
      </c>
      <c r="Y46" s="389">
        <f t="shared" ref="Y46" si="86">D31</f>
        <v>1</v>
      </c>
      <c r="Z46" s="400" t="s">
        <v>176</v>
      </c>
      <c r="AA46" s="402">
        <f t="shared" si="82"/>
        <v>7.7175935999999989</v>
      </c>
      <c r="AB46" s="403"/>
    </row>
    <row r="47" spans="1:28">
      <c r="A47" s="384" t="str">
        <f t="shared" ref="A47:B47" si="87">A25</f>
        <v>Lantai 1</v>
      </c>
      <c r="B47" s="385">
        <f t="shared" si="87"/>
        <v>1</v>
      </c>
      <c r="C47" s="393" t="s">
        <v>211</v>
      </c>
      <c r="D47" s="398">
        <f>VLOOKUP(D25,'Detail Balok'!$C$10:$AU$140,41,FALSE)</f>
        <v>0</v>
      </c>
      <c r="E47" s="388" t="s">
        <v>16</v>
      </c>
      <c r="F47" s="388">
        <f>VLOOKUP(D25,'Detail Balok'!$C$10:$AU$140,43,FALSE)</f>
        <v>8</v>
      </c>
      <c r="G47" s="405" t="s">
        <v>157</v>
      </c>
      <c r="H47" s="395">
        <f>VLOOKUP(D25,'Detail Balok'!$C$10:$AU$140,45,FALSE)</f>
        <v>150</v>
      </c>
      <c r="I47" s="388"/>
      <c r="J47" s="400">
        <f t="shared" ref="J47" si="88">(IF(D47=0,(2*(D26+G26))-(F$5*8),IF(D47=3,(2*(D26+G26))-(F$5*8)+(G26-2*F$5),IF(D47=4,(2*(D26+G26))-(F$5*8)+2*(G26-2*F$5)))))/1000</f>
        <v>1.48</v>
      </c>
      <c r="K47" s="400" t="s">
        <v>204</v>
      </c>
      <c r="L47" s="399">
        <f t="shared" si="77"/>
        <v>0.15</v>
      </c>
      <c r="M47" s="399" t="s">
        <v>176</v>
      </c>
      <c r="N47" s="399">
        <f t="shared" si="78"/>
        <v>1.63</v>
      </c>
      <c r="O47" s="399"/>
      <c r="P47" s="389"/>
      <c r="Q47" s="399"/>
      <c r="R47" s="399"/>
      <c r="S47" s="399"/>
      <c r="T47" s="399" t="s">
        <v>125</v>
      </c>
      <c r="U47" s="401">
        <f t="shared" si="79"/>
        <v>0.39456000000000002</v>
      </c>
      <c r="V47" s="399" t="s">
        <v>125</v>
      </c>
      <c r="W47" s="399">
        <f t="shared" ref="W47" si="89">IF(D28&gt;4*G26,ROUND(MAX(D28/4,2*G26)/H47,0)+1,0)</f>
        <v>9</v>
      </c>
      <c r="X47" s="399" t="s">
        <v>125</v>
      </c>
      <c r="Y47" s="389">
        <f t="shared" ref="Y47" si="90">D31</f>
        <v>1</v>
      </c>
      <c r="Z47" s="400" t="s">
        <v>176</v>
      </c>
      <c r="AA47" s="402">
        <f t="shared" si="82"/>
        <v>5.7881951999999997</v>
      </c>
      <c r="AB47" s="403"/>
    </row>
    <row r="48" spans="1:28">
      <c r="A48" s="384"/>
      <c r="B48" s="385"/>
      <c r="C48" s="393"/>
      <c r="D48" s="394"/>
      <c r="E48" s="388"/>
      <c r="F48" s="388"/>
      <c r="G48" s="388"/>
      <c r="H48" s="395"/>
      <c r="I48" s="388"/>
      <c r="J48" s="399"/>
      <c r="K48" s="396"/>
      <c r="L48" s="396"/>
      <c r="M48" s="396"/>
      <c r="N48" s="396"/>
      <c r="O48" s="396"/>
      <c r="P48" s="389"/>
      <c r="Q48" s="396"/>
      <c r="R48" s="396"/>
      <c r="S48" s="396"/>
      <c r="T48" s="396"/>
      <c r="U48" s="401"/>
      <c r="V48" s="396"/>
      <c r="W48" s="388"/>
      <c r="X48" s="396"/>
      <c r="Y48" s="389"/>
      <c r="Z48" s="396"/>
      <c r="AA48" s="388"/>
      <c r="AB48" s="390"/>
    </row>
    <row r="49" spans="1:28">
      <c r="A49" s="384" t="str">
        <f t="shared" ref="A49:B49" si="91">A25</f>
        <v>Lantai 1</v>
      </c>
      <c r="B49" s="385">
        <f t="shared" si="91"/>
        <v>1</v>
      </c>
      <c r="C49" s="393" t="s">
        <v>213</v>
      </c>
      <c r="D49" s="398">
        <f>VLOOKUP(D25,'Detail Balok'!$C$10:$BJ$140,46,FALSE)</f>
        <v>0</v>
      </c>
      <c r="E49" s="388" t="s">
        <v>16</v>
      </c>
      <c r="F49" s="388">
        <f>VLOOKUP(D25,'Detail Balok'!$C$10:$BJ$140,48,FALSE)</f>
        <v>0</v>
      </c>
      <c r="G49" s="405" t="s">
        <v>157</v>
      </c>
      <c r="H49" s="395">
        <f>VLOOKUP(D25,'Detail Balok'!$C$10:$BJ$140,50,FALSE)</f>
        <v>100</v>
      </c>
      <c r="I49" s="388"/>
      <c r="J49" s="399">
        <f t="shared" ref="J49" si="92">(D26-2*F$5)/1000</f>
        <v>0.22</v>
      </c>
      <c r="K49" s="400" t="s">
        <v>204</v>
      </c>
      <c r="L49" s="399">
        <f t="shared" ref="L49:L51" si="93">IF(D49=0,2*MAX(6*F49,75),(D49-1)*2*MAX(6*F49,75))/1000</f>
        <v>0.15</v>
      </c>
      <c r="M49" s="399" t="s">
        <v>176</v>
      </c>
      <c r="N49" s="399">
        <f t="shared" ref="N49:N51" si="94">J49+L49</f>
        <v>0.37</v>
      </c>
      <c r="O49" s="399"/>
      <c r="P49" s="399"/>
      <c r="Q49" s="399"/>
      <c r="R49" s="399"/>
      <c r="S49" s="399"/>
      <c r="T49" s="399" t="s">
        <v>125</v>
      </c>
      <c r="U49" s="401">
        <f t="shared" ref="U49:U51" si="95">0.006165*F49^2</f>
        <v>0</v>
      </c>
      <c r="V49" s="399" t="s">
        <v>125</v>
      </c>
      <c r="W49" s="399">
        <f t="shared" ref="W49:W111" si="96">W45</f>
        <v>9</v>
      </c>
      <c r="X49" s="399" t="s">
        <v>125</v>
      </c>
      <c r="Y49" s="389">
        <f t="shared" ref="Y49" si="97">D35</f>
        <v>4</v>
      </c>
      <c r="Z49" s="400" t="s">
        <v>176</v>
      </c>
      <c r="AA49" s="402">
        <f t="shared" ref="AA49:AA51" si="98">N49*U49*W49*Y49</f>
        <v>0</v>
      </c>
      <c r="AB49" s="403"/>
    </row>
    <row r="50" spans="1:28">
      <c r="A50" s="384" t="str">
        <f t="shared" ref="A50:B50" si="99">A25</f>
        <v>Lantai 1</v>
      </c>
      <c r="B50" s="385">
        <f t="shared" si="99"/>
        <v>1</v>
      </c>
      <c r="C50" s="393" t="s">
        <v>214</v>
      </c>
      <c r="D50" s="398">
        <f>VLOOKUP(D25,'Detail Balok'!$C$10:$BJ$140,51,FALSE)</f>
        <v>0</v>
      </c>
      <c r="E50" s="388" t="s">
        <v>16</v>
      </c>
      <c r="F50" s="388">
        <f>VLOOKUP(D25,'Detail Balok'!$C$10:$BJ$140,53,FALSE)</f>
        <v>0</v>
      </c>
      <c r="G50" s="405" t="s">
        <v>157</v>
      </c>
      <c r="H50" s="395">
        <f>VLOOKUP(D25,'Detail Balok'!$C$10:$BJ$140,55,FALSE)</f>
        <v>100</v>
      </c>
      <c r="I50" s="388"/>
      <c r="J50" s="399">
        <f t="shared" ref="J50" si="100">(D26-2*F$5)/1000</f>
        <v>0.22</v>
      </c>
      <c r="K50" s="400" t="s">
        <v>204</v>
      </c>
      <c r="L50" s="399">
        <f t="shared" si="93"/>
        <v>0.15</v>
      </c>
      <c r="M50" s="399" t="s">
        <v>176</v>
      </c>
      <c r="N50" s="399">
        <f t="shared" si="94"/>
        <v>0.37</v>
      </c>
      <c r="O50" s="399"/>
      <c r="P50" s="399"/>
      <c r="Q50" s="399"/>
      <c r="R50" s="399"/>
      <c r="S50" s="399"/>
      <c r="T50" s="399" t="s">
        <v>125</v>
      </c>
      <c r="U50" s="401">
        <f t="shared" si="95"/>
        <v>0</v>
      </c>
      <c r="V50" s="399" t="s">
        <v>125</v>
      </c>
      <c r="W50" s="399">
        <f t="shared" si="96"/>
        <v>12</v>
      </c>
      <c r="X50" s="399" t="s">
        <v>125</v>
      </c>
      <c r="Y50" s="389">
        <f t="shared" ref="Y50" si="101">D35</f>
        <v>4</v>
      </c>
      <c r="Z50" s="400" t="s">
        <v>176</v>
      </c>
      <c r="AA50" s="402">
        <f t="shared" si="98"/>
        <v>0</v>
      </c>
      <c r="AB50" s="403"/>
    </row>
    <row r="51" spans="1:28">
      <c r="A51" s="384" t="str">
        <f t="shared" ref="A51:B51" si="102">A25</f>
        <v>Lantai 1</v>
      </c>
      <c r="B51" s="385">
        <f t="shared" si="102"/>
        <v>1</v>
      </c>
      <c r="C51" s="393" t="s">
        <v>213</v>
      </c>
      <c r="D51" s="398">
        <f>VLOOKUP(D25,'Detail Balok'!$C$10:$BJ$140,56,FALSE)</f>
        <v>0</v>
      </c>
      <c r="E51" s="388" t="s">
        <v>16</v>
      </c>
      <c r="F51" s="388">
        <f>VLOOKUP(D25,'Detail Balok'!$C$10:$BJ$140,58,FALSE)</f>
        <v>0</v>
      </c>
      <c r="G51" s="405" t="s">
        <v>157</v>
      </c>
      <c r="H51" s="395">
        <f>VLOOKUP(D25,'Detail Balok'!$C$10:$BJ$140,60,FALSE)</f>
        <v>100</v>
      </c>
      <c r="I51" s="388"/>
      <c r="J51" s="399">
        <f t="shared" ref="J51" si="103">(D26-2*F$5)/1000</f>
        <v>0.22</v>
      </c>
      <c r="K51" s="400" t="s">
        <v>204</v>
      </c>
      <c r="L51" s="399">
        <f t="shared" si="93"/>
        <v>0.15</v>
      </c>
      <c r="M51" s="399" t="s">
        <v>176</v>
      </c>
      <c r="N51" s="399">
        <f t="shared" si="94"/>
        <v>0.37</v>
      </c>
      <c r="O51" s="399"/>
      <c r="P51" s="399"/>
      <c r="Q51" s="399"/>
      <c r="R51" s="399"/>
      <c r="S51" s="399"/>
      <c r="T51" s="399" t="s">
        <v>125</v>
      </c>
      <c r="U51" s="401">
        <f t="shared" si="95"/>
        <v>0</v>
      </c>
      <c r="V51" s="399" t="s">
        <v>125</v>
      </c>
      <c r="W51" s="399">
        <f t="shared" si="96"/>
        <v>9</v>
      </c>
      <c r="X51" s="399" t="s">
        <v>125</v>
      </c>
      <c r="Y51" s="389">
        <f t="shared" ref="Y51" si="104">D35</f>
        <v>4</v>
      </c>
      <c r="Z51" s="400" t="s">
        <v>176</v>
      </c>
      <c r="AA51" s="402">
        <f t="shared" si="98"/>
        <v>0</v>
      </c>
      <c r="AB51" s="403"/>
    </row>
    <row r="52" spans="1:28">
      <c r="A52" s="391"/>
      <c r="B52" s="392"/>
      <c r="C52" s="392"/>
      <c r="D52" s="394"/>
      <c r="E52" s="388"/>
      <c r="F52" s="388"/>
      <c r="G52" s="388"/>
      <c r="H52" s="395"/>
      <c r="I52" s="388"/>
      <c r="J52" s="402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9"/>
      <c r="Z52" s="388"/>
      <c r="AA52" s="402"/>
      <c r="AB52" s="403"/>
    </row>
    <row r="53" spans="1:28" ht="15.75" thickBot="1">
      <c r="A53" s="406"/>
      <c r="B53" s="407"/>
      <c r="C53" s="407"/>
      <c r="D53" s="408"/>
      <c r="E53" s="409"/>
      <c r="F53" s="409"/>
      <c r="G53" s="409"/>
      <c r="H53" s="410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  <c r="Y53" s="411"/>
      <c r="Z53" s="409"/>
      <c r="AA53" s="412"/>
      <c r="AB53" s="413"/>
    </row>
    <row r="54" spans="1:28">
      <c r="A54" s="377"/>
      <c r="B54" s="378"/>
      <c r="C54" s="378"/>
      <c r="D54" s="379"/>
      <c r="E54" s="380"/>
      <c r="F54" s="380"/>
      <c r="G54" s="380"/>
      <c r="H54" s="381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2"/>
      <c r="Z54" s="380"/>
      <c r="AA54" s="380"/>
      <c r="AB54" s="383"/>
    </row>
    <row r="55" spans="1:28">
      <c r="A55" s="384" t="str">
        <f t="shared" ref="A55:A115" si="105">A25</f>
        <v>Lantai 1</v>
      </c>
      <c r="B55" s="385">
        <f t="shared" ref="B55:B115" si="106">B25+1</f>
        <v>2</v>
      </c>
      <c r="C55" s="386" t="str">
        <f t="shared" ref="C55" si="107">CONCATENATE(A55," no. ",B55)</f>
        <v>Lantai 1 no. 2</v>
      </c>
      <c r="D55" s="2562" t="str">
        <f>VLOOKUP(C55,'Data Panjang Balok'!$C$9:$N$254,2,FALSE)</f>
        <v>S24-1</v>
      </c>
      <c r="E55" s="2576"/>
      <c r="F55" s="2576"/>
      <c r="G55" s="2576"/>
      <c r="H55" s="2577"/>
      <c r="I55" s="387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9"/>
      <c r="Z55" s="388"/>
      <c r="AA55" s="388"/>
      <c r="AB55" s="390"/>
    </row>
    <row r="56" spans="1:28">
      <c r="A56" s="391"/>
      <c r="B56" s="392"/>
      <c r="C56" s="393" t="s">
        <v>118</v>
      </c>
      <c r="D56" s="2578">
        <f>VLOOKUP(D55,'Detail Balok'!$C$10:$AU$140,2,FALSE)</f>
        <v>200</v>
      </c>
      <c r="E56" s="2579"/>
      <c r="F56" s="388" t="s">
        <v>125</v>
      </c>
      <c r="G56" s="2579">
        <f>VLOOKUP(D55,'Detail Balok'!$C$10:$AU$140,3,FALSE)</f>
        <v>400</v>
      </c>
      <c r="H56" s="2580"/>
      <c r="I56" s="388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88"/>
      <c r="V56" s="396"/>
      <c r="W56" s="388"/>
      <c r="X56" s="396"/>
      <c r="Y56" s="389"/>
      <c r="Z56" s="396"/>
      <c r="AA56" s="388"/>
      <c r="AB56" s="390"/>
    </row>
    <row r="57" spans="1:28">
      <c r="A57" s="391"/>
      <c r="B57" s="392"/>
      <c r="C57" s="393" t="s">
        <v>198</v>
      </c>
      <c r="D57" s="2562">
        <f>VLOOKUP(C55,'Data Panjang Balok'!$C$9:$N$254,4,FALSE)</f>
        <v>4175</v>
      </c>
      <c r="E57" s="2563"/>
      <c r="F57" s="2563"/>
      <c r="G57" s="2563"/>
      <c r="H57" s="2564"/>
      <c r="I57" s="397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88"/>
      <c r="V57" s="396"/>
      <c r="W57" s="388"/>
      <c r="X57" s="396"/>
      <c r="Y57" s="389"/>
      <c r="Z57" s="396"/>
      <c r="AA57" s="388"/>
      <c r="AB57" s="390"/>
    </row>
    <row r="58" spans="1:28">
      <c r="A58" s="391"/>
      <c r="B58" s="392"/>
      <c r="C58" s="393" t="s">
        <v>199</v>
      </c>
      <c r="D58" s="2562">
        <f>VLOOKUP(C55,'Data Panjang Balok'!$C$9:$N$254,7,FALSE)</f>
        <v>4175</v>
      </c>
      <c r="E58" s="2563"/>
      <c r="F58" s="2563"/>
      <c r="G58" s="2563"/>
      <c r="H58" s="2564"/>
      <c r="I58" s="397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88"/>
      <c r="V58" s="396"/>
      <c r="W58" s="388"/>
      <c r="X58" s="396"/>
      <c r="Y58" s="389"/>
      <c r="Z58" s="396"/>
      <c r="AA58" s="388"/>
      <c r="AB58" s="390"/>
    </row>
    <row r="59" spans="1:28">
      <c r="A59" s="391"/>
      <c r="B59" s="392"/>
      <c r="C59" s="393" t="s">
        <v>200</v>
      </c>
      <c r="D59" s="2562">
        <f>VLOOKUP(C55,'Data Panjang Balok'!$C$9:$N$254,9,FALSE)</f>
        <v>0</v>
      </c>
      <c r="E59" s="2563"/>
      <c r="F59" s="2563"/>
      <c r="G59" s="2563"/>
      <c r="H59" s="2564"/>
      <c r="I59" s="397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88"/>
      <c r="V59" s="396"/>
      <c r="W59" s="388"/>
      <c r="X59" s="396"/>
      <c r="Y59" s="389"/>
      <c r="Z59" s="396"/>
      <c r="AA59" s="388"/>
      <c r="AB59" s="390"/>
    </row>
    <row r="60" spans="1:28">
      <c r="A60" s="391"/>
      <c r="B60" s="392"/>
      <c r="C60" s="393" t="s">
        <v>201</v>
      </c>
      <c r="D60" s="2562">
        <f>VLOOKUP(C55,'Data Panjang Balok'!$C$9:$N$254,10,FALSE)</f>
        <v>0</v>
      </c>
      <c r="E60" s="2563"/>
      <c r="F60" s="2563"/>
      <c r="G60" s="2563"/>
      <c r="H60" s="2564"/>
      <c r="I60" s="397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88"/>
      <c r="V60" s="396"/>
      <c r="W60" s="388"/>
      <c r="X60" s="396"/>
      <c r="Y60" s="389"/>
      <c r="Z60" s="396"/>
      <c r="AA60" s="388"/>
      <c r="AB60" s="390"/>
    </row>
    <row r="61" spans="1:28">
      <c r="A61" s="391"/>
      <c r="B61" s="392"/>
      <c r="C61" s="393" t="s">
        <v>48</v>
      </c>
      <c r="D61" s="2562">
        <f>VLOOKUP(C55,'Data Panjang Balok'!$C$9:$N$254,3,FALSE)</f>
        <v>1</v>
      </c>
      <c r="E61" s="2563"/>
      <c r="F61" s="2563"/>
      <c r="G61" s="2563"/>
      <c r="H61" s="2564"/>
      <c r="I61" s="397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88"/>
      <c r="V61" s="396"/>
      <c r="W61" s="388"/>
      <c r="X61" s="396"/>
      <c r="Y61" s="389"/>
      <c r="Z61" s="396"/>
      <c r="AA61" s="388"/>
      <c r="AB61" s="390"/>
    </row>
    <row r="62" spans="1:28">
      <c r="A62" s="384" t="str">
        <f t="shared" ref="A62:B62" si="108">A55</f>
        <v>Lantai 1</v>
      </c>
      <c r="B62" s="385">
        <f t="shared" si="108"/>
        <v>2</v>
      </c>
      <c r="C62" s="393" t="s">
        <v>202</v>
      </c>
      <c r="D62" s="398">
        <f>VLOOKUP(D55,'Detail Balok'!$C$10:$AU$140,4,FALSE)</f>
        <v>3</v>
      </c>
      <c r="E62" s="388" t="s">
        <v>16</v>
      </c>
      <c r="F62" s="388">
        <f>VLOOKUP(D55,'Detail Balok'!$C$10:$AU$140,6,FALSE)</f>
        <v>13</v>
      </c>
      <c r="G62" s="388"/>
      <c r="H62" s="395"/>
      <c r="I62" s="388" t="s">
        <v>203</v>
      </c>
      <c r="J62" s="399">
        <f t="shared" ref="J62" si="109">+D57/4/1000</f>
        <v>1.04375</v>
      </c>
      <c r="K62" s="400" t="s">
        <v>204</v>
      </c>
      <c r="L62" s="399">
        <f t="shared" ref="L62" si="110">MAX(VLOOKUP(F62,N$6:P$15,3,FALSE)/1000,2/3*D59/1000)+F$16*F62/1000</f>
        <v>0.156</v>
      </c>
      <c r="M62" s="399" t="s">
        <v>176</v>
      </c>
      <c r="N62" s="399">
        <f t="shared" ref="N62:N64" si="111">J62+L62</f>
        <v>1.1997499999999999</v>
      </c>
      <c r="O62" s="399" t="s">
        <v>204</v>
      </c>
      <c r="P62" s="389">
        <f t="shared" ref="P62" si="112">D62-D63</f>
        <v>0</v>
      </c>
      <c r="Q62" s="399" t="s">
        <v>125</v>
      </c>
      <c r="R62" s="399">
        <f t="shared" ref="R62" si="113">IF(P62&gt;0,$F$18*F62/1000,0)</f>
        <v>0</v>
      </c>
      <c r="S62" s="399" t="s">
        <v>205</v>
      </c>
      <c r="T62" s="399" t="s">
        <v>125</v>
      </c>
      <c r="U62" s="401">
        <f t="shared" ref="U62:U64" si="114">0.006165*F62^2</f>
        <v>1.041885</v>
      </c>
      <c r="V62" s="399"/>
      <c r="W62" s="399"/>
      <c r="X62" s="399" t="s">
        <v>125</v>
      </c>
      <c r="Y62" s="389">
        <f t="shared" ref="Y62" si="115">D61</f>
        <v>1</v>
      </c>
      <c r="Z62" s="400" t="s">
        <v>176</v>
      </c>
      <c r="AA62" s="402">
        <f t="shared" ref="AA62" si="116">IF(AA65=0,(D62*N62+P62*R62)*U62*Y62,0)</f>
        <v>0</v>
      </c>
      <c r="AB62" s="403"/>
    </row>
    <row r="63" spans="1:28">
      <c r="A63" s="384" t="str">
        <f t="shared" ref="A63:B63" si="117">A55</f>
        <v>Lantai 1</v>
      </c>
      <c r="B63" s="385">
        <f t="shared" si="117"/>
        <v>2</v>
      </c>
      <c r="C63" s="393" t="s">
        <v>206</v>
      </c>
      <c r="D63" s="398">
        <f>VLOOKUP(D55,'Detail Balok'!$C$10:$AU$140,7,FALSE)</f>
        <v>3</v>
      </c>
      <c r="E63" s="388" t="s">
        <v>16</v>
      </c>
      <c r="F63" s="388">
        <f>VLOOKUP(D55,'Detail Balok'!$C$10:$AU$140,9,FALSE)</f>
        <v>13</v>
      </c>
      <c r="G63" s="388"/>
      <c r="H63" s="395"/>
      <c r="I63" s="388" t="s">
        <v>203</v>
      </c>
      <c r="J63" s="399">
        <f t="shared" ref="J63" si="118">+D57/2/1000</f>
        <v>2.0874999999999999</v>
      </c>
      <c r="K63" s="400" t="s">
        <v>204</v>
      </c>
      <c r="L63" s="399"/>
      <c r="M63" s="399" t="s">
        <v>176</v>
      </c>
      <c r="N63" s="399">
        <f t="shared" si="111"/>
        <v>2.0874999999999999</v>
      </c>
      <c r="O63" s="399" t="s">
        <v>204</v>
      </c>
      <c r="P63" s="389">
        <f t="shared" ref="P63" si="119">MAX(D63-D62,D63-D64)</f>
        <v>0</v>
      </c>
      <c r="Q63" s="399" t="s">
        <v>125</v>
      </c>
      <c r="R63" s="399">
        <f t="shared" ref="R63" si="120">IF(P63&gt;0,2*(1-2*$F$19-1/2)*D58/1000,0)</f>
        <v>0</v>
      </c>
      <c r="S63" s="399" t="s">
        <v>205</v>
      </c>
      <c r="T63" s="399" t="s">
        <v>125</v>
      </c>
      <c r="U63" s="401">
        <f t="shared" si="114"/>
        <v>1.041885</v>
      </c>
      <c r="V63" s="399"/>
      <c r="W63" s="399"/>
      <c r="X63" s="399" t="s">
        <v>125</v>
      </c>
      <c r="Y63" s="389">
        <f t="shared" ref="Y63" si="121">D61</f>
        <v>1</v>
      </c>
      <c r="Z63" s="400" t="s">
        <v>176</v>
      </c>
      <c r="AA63" s="402">
        <f t="shared" ref="AA63" si="122">IF(AA65=0,(D63*N63+P63*R63)*U63*Y63,0)</f>
        <v>0</v>
      </c>
      <c r="AB63" s="403"/>
    </row>
    <row r="64" spans="1:28">
      <c r="A64" s="384" t="str">
        <f t="shared" ref="A64:B64" si="123">A55</f>
        <v>Lantai 1</v>
      </c>
      <c r="B64" s="385">
        <f t="shared" si="123"/>
        <v>2</v>
      </c>
      <c r="C64" s="393" t="s">
        <v>202</v>
      </c>
      <c r="D64" s="398">
        <f>VLOOKUP(D55,'Detail Balok'!$C$10:$AU$140,10,FALSE)</f>
        <v>3</v>
      </c>
      <c r="E64" s="388" t="s">
        <v>16</v>
      </c>
      <c r="F64" s="388">
        <f>VLOOKUP(D55,'Detail Balok'!$C$10:$AU$140,12,FALSE)</f>
        <v>13</v>
      </c>
      <c r="G64" s="388"/>
      <c r="H64" s="395"/>
      <c r="I64" s="388" t="s">
        <v>203</v>
      </c>
      <c r="J64" s="399">
        <f t="shared" ref="J64" si="124">+D57/4/1000</f>
        <v>1.04375</v>
      </c>
      <c r="K64" s="400" t="s">
        <v>204</v>
      </c>
      <c r="L64" s="399">
        <f t="shared" ref="L64" si="125">MAX(VLOOKUP(F64,N$6:P$15,3,FALSE)/1000,2/3*D59/1000)+F$16*F64/1000</f>
        <v>0.156</v>
      </c>
      <c r="M64" s="399" t="s">
        <v>176</v>
      </c>
      <c r="N64" s="399">
        <f t="shared" si="111"/>
        <v>1.1997499999999999</v>
      </c>
      <c r="O64" s="399" t="s">
        <v>204</v>
      </c>
      <c r="P64" s="389">
        <f t="shared" ref="P64" si="126">D64-D63</f>
        <v>0</v>
      </c>
      <c r="Q64" s="399" t="s">
        <v>125</v>
      </c>
      <c r="R64" s="399">
        <f t="shared" ref="R64" si="127">IF(P64&gt;0,$F$18*F64/1000,0)</f>
        <v>0</v>
      </c>
      <c r="S64" s="399" t="s">
        <v>205</v>
      </c>
      <c r="T64" s="399" t="s">
        <v>125</v>
      </c>
      <c r="U64" s="401">
        <f t="shared" si="114"/>
        <v>1.041885</v>
      </c>
      <c r="V64" s="399"/>
      <c r="W64" s="399"/>
      <c r="X64" s="399" t="s">
        <v>125</v>
      </c>
      <c r="Y64" s="389">
        <f t="shared" ref="Y64" si="128">D61</f>
        <v>1</v>
      </c>
      <c r="Z64" s="400" t="s">
        <v>176</v>
      </c>
      <c r="AA64" s="402">
        <f t="shared" ref="AA64" si="129">IF(AA65=0,(D64*N64+P64*R64)*U64*Y64,0)</f>
        <v>0</v>
      </c>
      <c r="AB64" s="403"/>
    </row>
    <row r="65" spans="1:28">
      <c r="A65" s="384" t="str">
        <f t="shared" ref="A65:B65" si="130">A55</f>
        <v>Lantai 1</v>
      </c>
      <c r="B65" s="385">
        <f t="shared" si="130"/>
        <v>2</v>
      </c>
      <c r="C65" s="393"/>
      <c r="D65" s="398">
        <f t="shared" si="26"/>
        <v>3</v>
      </c>
      <c r="E65" s="388" t="s">
        <v>16</v>
      </c>
      <c r="F65" s="388">
        <f t="shared" si="27"/>
        <v>13</v>
      </c>
      <c r="G65" s="388"/>
      <c r="H65" s="395"/>
      <c r="I65" s="388"/>
      <c r="J65" s="396"/>
      <c r="K65" s="396"/>
      <c r="L65" s="404" t="s">
        <v>207</v>
      </c>
      <c r="M65" s="399" t="s">
        <v>176</v>
      </c>
      <c r="N65" s="399">
        <f t="shared" ref="N65" si="131">IF(AND(D62=D63,D62=D64,D63=D64,F62=F63,F62=F64,F63=F64),SUM(N62:N64),0)</f>
        <v>4.4870000000000001</v>
      </c>
      <c r="O65" s="399" t="s">
        <v>204</v>
      </c>
      <c r="P65" s="389">
        <f t="shared" ref="P65" si="132">IF(N65&gt;12,ROUNDDOWN(N65/12,0),0)</f>
        <v>0</v>
      </c>
      <c r="Q65" s="399" t="s">
        <v>125</v>
      </c>
      <c r="R65" s="399">
        <f t="shared" ref="R65" si="133">IF(P65&gt;0,MAX(VLOOKUP(F65,$D$6:$G$15,3,FALSE),600),0)/1000</f>
        <v>0</v>
      </c>
      <c r="S65" s="396"/>
      <c r="T65" s="396" t="s">
        <v>125</v>
      </c>
      <c r="U65" s="401">
        <f t="shared" si="31"/>
        <v>1.041885</v>
      </c>
      <c r="V65" s="396" t="s">
        <v>125</v>
      </c>
      <c r="W65" s="399">
        <f t="shared" ref="W65" si="134">D65</f>
        <v>3</v>
      </c>
      <c r="X65" s="399" t="s">
        <v>125</v>
      </c>
      <c r="Y65" s="389">
        <f t="shared" si="33"/>
        <v>1</v>
      </c>
      <c r="Z65" s="400" t="s">
        <v>176</v>
      </c>
      <c r="AA65" s="402">
        <f t="shared" ref="AA65" si="135">(N65+P65*R65/1000)*U65*W65*Y65</f>
        <v>14.024813984999998</v>
      </c>
      <c r="AB65" s="390"/>
    </row>
    <row r="66" spans="1:28">
      <c r="A66" s="384"/>
      <c r="B66" s="385"/>
      <c r="C66" s="393"/>
      <c r="D66" s="398"/>
      <c r="E66" s="388"/>
      <c r="F66" s="388"/>
      <c r="G66" s="388"/>
      <c r="H66" s="395"/>
      <c r="I66" s="388"/>
      <c r="J66" s="396"/>
      <c r="K66" s="396"/>
      <c r="L66" s="404"/>
      <c r="M66" s="399"/>
      <c r="N66" s="399"/>
      <c r="O66" s="396"/>
      <c r="P66" s="389"/>
      <c r="Q66" s="396"/>
      <c r="R66" s="396"/>
      <c r="S66" s="396"/>
      <c r="T66" s="396"/>
      <c r="U66" s="401"/>
      <c r="V66" s="396"/>
      <c r="W66" s="399"/>
      <c r="X66" s="396"/>
      <c r="Y66" s="389"/>
      <c r="Z66" s="396"/>
      <c r="AA66" s="388"/>
      <c r="AB66" s="390"/>
    </row>
    <row r="67" spans="1:28">
      <c r="A67" s="384" t="str">
        <f t="shared" ref="A67:B67" si="136">A55</f>
        <v>Lantai 1</v>
      </c>
      <c r="B67" s="385">
        <f t="shared" si="136"/>
        <v>2</v>
      </c>
      <c r="C67" s="393" t="s">
        <v>208</v>
      </c>
      <c r="D67" s="398">
        <f>VLOOKUP(D55,'Detail Balok'!$C$10:$AU$140,13,FALSE)</f>
        <v>0</v>
      </c>
      <c r="E67" s="388" t="s">
        <v>16</v>
      </c>
      <c r="F67" s="388">
        <f>VLOOKUP(D55,'Detail Balok'!$C$10:$AU$140,15,FALSE)</f>
        <v>8</v>
      </c>
      <c r="G67" s="388"/>
      <c r="H67" s="395"/>
      <c r="I67" s="388"/>
      <c r="J67" s="399">
        <f t="shared" ref="J67" si="137">+D57/1000</f>
        <v>4.1749999999999998</v>
      </c>
      <c r="K67" s="400" t="s">
        <v>204</v>
      </c>
      <c r="L67" s="399">
        <f t="shared" ref="L67" si="138">2*$F$16*F67/1000</f>
        <v>0.192</v>
      </c>
      <c r="M67" s="399" t="s">
        <v>176</v>
      </c>
      <c r="N67" s="399">
        <f t="shared" ref="N67" si="139">J67+L67</f>
        <v>4.367</v>
      </c>
      <c r="O67" s="399" t="s">
        <v>204</v>
      </c>
      <c r="P67" s="389">
        <f t="shared" ref="P67" si="140">IF(N67&gt;12,ROUNDDOWN(N67/12,0),0)</f>
        <v>0</v>
      </c>
      <c r="Q67" s="399" t="s">
        <v>125</v>
      </c>
      <c r="R67" s="399">
        <f t="shared" ref="R67" si="141">IF(P67&gt;0,MAX(VLOOKUP(F67,$D$6:$G$15,3,FALSE),600),0)/1000</f>
        <v>0</v>
      </c>
      <c r="S67" s="399"/>
      <c r="T67" s="399" t="s">
        <v>125</v>
      </c>
      <c r="U67" s="401">
        <f t="shared" ref="U67" si="142">0.006165*F67^2</f>
        <v>0.39456000000000002</v>
      </c>
      <c r="V67" s="399" t="s">
        <v>125</v>
      </c>
      <c r="W67" s="399">
        <f t="shared" ref="W67" si="143">+D67</f>
        <v>0</v>
      </c>
      <c r="X67" s="399" t="s">
        <v>125</v>
      </c>
      <c r="Y67" s="389">
        <f t="shared" ref="Y67" si="144">D61</f>
        <v>1</v>
      </c>
      <c r="Z67" s="400" t="s">
        <v>176</v>
      </c>
      <c r="AA67" s="402">
        <f t="shared" ref="AA67" si="145">(N67+P67*R67/1000)*U67*W67*Y67</f>
        <v>0</v>
      </c>
      <c r="AB67" s="403"/>
    </row>
    <row r="68" spans="1:28">
      <c r="A68" s="384"/>
      <c r="B68" s="385"/>
      <c r="C68" s="393"/>
      <c r="D68" s="398"/>
      <c r="E68" s="388"/>
      <c r="F68" s="388"/>
      <c r="G68" s="388"/>
      <c r="H68" s="395"/>
      <c r="I68" s="388"/>
      <c r="J68" s="399"/>
      <c r="K68" s="400"/>
      <c r="L68" s="399"/>
      <c r="M68" s="399"/>
      <c r="N68" s="399"/>
      <c r="O68" s="399"/>
      <c r="P68" s="389"/>
      <c r="Q68" s="399"/>
      <c r="R68" s="399"/>
      <c r="S68" s="399"/>
      <c r="T68" s="399"/>
      <c r="U68" s="401"/>
      <c r="V68" s="399"/>
      <c r="W68" s="399"/>
      <c r="X68" s="399"/>
      <c r="Y68" s="389"/>
      <c r="Z68" s="400"/>
      <c r="AA68" s="402"/>
      <c r="AB68" s="403"/>
    </row>
    <row r="69" spans="1:28">
      <c r="A69" s="384"/>
      <c r="B69" s="385"/>
      <c r="C69" s="393"/>
      <c r="D69" s="398"/>
      <c r="E69" s="388"/>
      <c r="F69" s="388"/>
      <c r="G69" s="388"/>
      <c r="H69" s="395"/>
      <c r="I69" s="388"/>
      <c r="J69" s="396"/>
      <c r="K69" s="396"/>
      <c r="L69" s="396"/>
      <c r="M69" s="396"/>
      <c r="N69" s="396"/>
      <c r="O69" s="396"/>
      <c r="P69" s="389"/>
      <c r="Q69" s="396"/>
      <c r="R69" s="396"/>
      <c r="S69" s="396"/>
      <c r="T69" s="396"/>
      <c r="U69" s="401"/>
      <c r="V69" s="396"/>
      <c r="W69" s="399"/>
      <c r="X69" s="396"/>
      <c r="Y69" s="389"/>
      <c r="Z69" s="396"/>
      <c r="AA69" s="388"/>
      <c r="AB69" s="390"/>
    </row>
    <row r="70" spans="1:28">
      <c r="A70" s="384" t="str">
        <f t="shared" ref="A70:B70" si="146">A55</f>
        <v>Lantai 1</v>
      </c>
      <c r="B70" s="385">
        <f t="shared" si="146"/>
        <v>2</v>
      </c>
      <c r="C70" s="393" t="s">
        <v>209</v>
      </c>
      <c r="D70" s="398">
        <f>VLOOKUP(D55,'Detail Balok'!$C$10:$AU$140,22,FALSE)</f>
        <v>3</v>
      </c>
      <c r="E70" s="388" t="s">
        <v>16</v>
      </c>
      <c r="F70" s="388">
        <f>VLOOKUP(D55,'Detail Balok'!$C$10:$AU$140,24,FALSE)</f>
        <v>13</v>
      </c>
      <c r="G70" s="388"/>
      <c r="H70" s="395"/>
      <c r="I70" s="388" t="s">
        <v>203</v>
      </c>
      <c r="J70" s="399">
        <f t="shared" si="46"/>
        <v>1.04375</v>
      </c>
      <c r="K70" s="400" t="s">
        <v>204</v>
      </c>
      <c r="L70" s="399">
        <f t="shared" ref="L70" si="147">MAX(VLOOKUP(F70,N$6:P$15,3,FALSE)/1000,2/3*D60/1000)+F$16*F70/1000</f>
        <v>0.156</v>
      </c>
      <c r="M70" s="399" t="s">
        <v>176</v>
      </c>
      <c r="N70" s="399">
        <f t="shared" ref="N70:N72" si="148">J70+L70</f>
        <v>1.1997499999999999</v>
      </c>
      <c r="O70" s="399" t="s">
        <v>204</v>
      </c>
      <c r="P70" s="389">
        <f t="shared" ref="P70" si="149">D70-D71</f>
        <v>0</v>
      </c>
      <c r="Q70" s="399" t="s">
        <v>125</v>
      </c>
      <c r="R70" s="399">
        <f t="shared" ref="R70" si="150">IF(P70&gt;0,$F$18*F70/1000,0)</f>
        <v>0</v>
      </c>
      <c r="S70" s="399" t="s">
        <v>205</v>
      </c>
      <c r="T70" s="399" t="s">
        <v>125</v>
      </c>
      <c r="U70" s="401">
        <f t="shared" ref="U70:U72" si="151">0.006165*F70^2</f>
        <v>1.041885</v>
      </c>
      <c r="V70" s="399"/>
      <c r="W70" s="399"/>
      <c r="X70" s="399" t="s">
        <v>125</v>
      </c>
      <c r="Y70" s="389">
        <f t="shared" ref="Y70" si="152">D61</f>
        <v>1</v>
      </c>
      <c r="Z70" s="400" t="s">
        <v>176</v>
      </c>
      <c r="AA70" s="402">
        <f t="shared" ref="AA70" si="153">IF(AA73=0,(D70*N70+P70*R70)*U70*Y70,0)</f>
        <v>0</v>
      </c>
      <c r="AB70" s="403"/>
    </row>
    <row r="71" spans="1:28">
      <c r="A71" s="384" t="str">
        <f t="shared" ref="A71:B71" si="154">A55</f>
        <v>Lantai 1</v>
      </c>
      <c r="B71" s="385">
        <f t="shared" si="154"/>
        <v>2</v>
      </c>
      <c r="C71" s="393" t="s">
        <v>210</v>
      </c>
      <c r="D71" s="398">
        <f>VLOOKUP(D55,'Detail Balok'!$C$10:$AU$140,25,FALSE)</f>
        <v>3</v>
      </c>
      <c r="E71" s="388" t="s">
        <v>16</v>
      </c>
      <c r="F71" s="388">
        <f>VLOOKUP(D55,'Detail Balok'!$C$10:$AU$140,27,FALSE)</f>
        <v>13</v>
      </c>
      <c r="G71" s="388"/>
      <c r="H71" s="395"/>
      <c r="I71" s="388" t="s">
        <v>203</v>
      </c>
      <c r="J71" s="399">
        <f t="shared" si="46"/>
        <v>2.0874999999999999</v>
      </c>
      <c r="K71" s="400" t="s">
        <v>204</v>
      </c>
      <c r="L71" s="399"/>
      <c r="M71" s="399" t="s">
        <v>176</v>
      </c>
      <c r="N71" s="399">
        <f t="shared" si="148"/>
        <v>2.0874999999999999</v>
      </c>
      <c r="O71" s="399" t="s">
        <v>204</v>
      </c>
      <c r="P71" s="389">
        <f t="shared" ref="P71" si="155">MAX(D71-D70,D71-D72)</f>
        <v>0</v>
      </c>
      <c r="Q71" s="399" t="s">
        <v>125</v>
      </c>
      <c r="R71" s="399">
        <f t="shared" ref="R71" si="156">IF(P71&gt;0,2*(1-2*$F$19-1/2)*D58/1000,0)</f>
        <v>0</v>
      </c>
      <c r="S71" s="399" t="s">
        <v>205</v>
      </c>
      <c r="T71" s="399" t="s">
        <v>125</v>
      </c>
      <c r="U71" s="401">
        <f t="shared" si="151"/>
        <v>1.041885</v>
      </c>
      <c r="V71" s="399"/>
      <c r="W71" s="399"/>
      <c r="X71" s="399" t="s">
        <v>125</v>
      </c>
      <c r="Y71" s="389">
        <f t="shared" ref="Y71" si="157">D61</f>
        <v>1</v>
      </c>
      <c r="Z71" s="400" t="s">
        <v>176</v>
      </c>
      <c r="AA71" s="402">
        <f t="shared" ref="AA71" si="158">IF(AA73=0,(D71*N71+P71*R71)*U71*Y71,0)</f>
        <v>0</v>
      </c>
      <c r="AB71" s="403"/>
    </row>
    <row r="72" spans="1:28">
      <c r="A72" s="384" t="str">
        <f t="shared" ref="A72:B72" si="159">A55</f>
        <v>Lantai 1</v>
      </c>
      <c r="B72" s="385">
        <f t="shared" si="159"/>
        <v>2</v>
      </c>
      <c r="C72" s="393" t="s">
        <v>209</v>
      </c>
      <c r="D72" s="398">
        <f>VLOOKUP(D55,'Detail Balok'!$C$10:$AU$140,28,FALSE)</f>
        <v>3</v>
      </c>
      <c r="E72" s="388" t="s">
        <v>16</v>
      </c>
      <c r="F72" s="388">
        <f>VLOOKUP(D55,'Detail Balok'!$C$10:$AU$140,30,FALSE)</f>
        <v>13</v>
      </c>
      <c r="G72" s="388"/>
      <c r="H72" s="395"/>
      <c r="I72" s="388" t="s">
        <v>203</v>
      </c>
      <c r="J72" s="399">
        <f t="shared" si="46"/>
        <v>1.04375</v>
      </c>
      <c r="K72" s="400" t="s">
        <v>204</v>
      </c>
      <c r="L72" s="399">
        <f t="shared" ref="L72" si="160">MAX(VLOOKUP(F72,N$6:P$15,3,FALSE)/1000,2/3*D60/1000)+F$16*F72/1000</f>
        <v>0.156</v>
      </c>
      <c r="M72" s="399" t="s">
        <v>176</v>
      </c>
      <c r="N72" s="399">
        <f t="shared" si="148"/>
        <v>1.1997499999999999</v>
      </c>
      <c r="O72" s="399" t="s">
        <v>204</v>
      </c>
      <c r="P72" s="389">
        <f t="shared" ref="P72" si="161">D72-D71</f>
        <v>0</v>
      </c>
      <c r="Q72" s="399" t="s">
        <v>125</v>
      </c>
      <c r="R72" s="399">
        <f t="shared" ref="R72" si="162">IF(P72&gt;0,$F$18*F72/1000,0)</f>
        <v>0</v>
      </c>
      <c r="S72" s="399" t="s">
        <v>205</v>
      </c>
      <c r="T72" s="399" t="s">
        <v>125</v>
      </c>
      <c r="U72" s="401">
        <f t="shared" si="151"/>
        <v>1.041885</v>
      </c>
      <c r="V72" s="399"/>
      <c r="W72" s="399"/>
      <c r="X72" s="399" t="s">
        <v>125</v>
      </c>
      <c r="Y72" s="389">
        <f t="shared" ref="Y72" si="163">D61</f>
        <v>1</v>
      </c>
      <c r="Z72" s="400" t="s">
        <v>176</v>
      </c>
      <c r="AA72" s="402">
        <f t="shared" ref="AA72" si="164">IF(AA73=0,(D72*N72+P72*R72)*U72*Y72,0)</f>
        <v>0</v>
      </c>
      <c r="AB72" s="403"/>
    </row>
    <row r="73" spans="1:28">
      <c r="A73" s="384" t="str">
        <f t="shared" ref="A73:B73" si="165">A55</f>
        <v>Lantai 1</v>
      </c>
      <c r="B73" s="385">
        <f t="shared" si="165"/>
        <v>2</v>
      </c>
      <c r="C73" s="393"/>
      <c r="D73" s="398">
        <f t="shared" si="66"/>
        <v>3</v>
      </c>
      <c r="E73" s="388" t="s">
        <v>16</v>
      </c>
      <c r="F73" s="388">
        <f t="shared" si="67"/>
        <v>13</v>
      </c>
      <c r="G73" s="388"/>
      <c r="H73" s="395"/>
      <c r="I73" s="388"/>
      <c r="J73" s="396"/>
      <c r="K73" s="396"/>
      <c r="L73" s="404" t="s">
        <v>207</v>
      </c>
      <c r="M73" s="399" t="s">
        <v>176</v>
      </c>
      <c r="N73" s="399">
        <f t="shared" ref="N73" si="166">IF(AND(D70=D71,D70=D72,D71=D72,F70=F71,F70=F72,F71=F72),SUM(N70:N72),0)</f>
        <v>4.4870000000000001</v>
      </c>
      <c r="O73" s="399" t="s">
        <v>204</v>
      </c>
      <c r="P73" s="389">
        <f t="shared" ref="P73" si="167">IF(N73&gt;12,ROUNDDOWN(N73/12,0),0)</f>
        <v>0</v>
      </c>
      <c r="Q73" s="399" t="s">
        <v>125</v>
      </c>
      <c r="R73" s="399">
        <f t="shared" ref="R73" si="168">IF(P73&gt;0,MAX(VLOOKUP(F73,$D$6:$G$15,3,FALSE),600),0)/1000</f>
        <v>0</v>
      </c>
      <c r="S73" s="396"/>
      <c r="T73" s="396" t="s">
        <v>125</v>
      </c>
      <c r="U73" s="401">
        <f t="shared" si="71"/>
        <v>1.041885</v>
      </c>
      <c r="V73" s="396" t="s">
        <v>125</v>
      </c>
      <c r="W73" s="399">
        <f t="shared" ref="W73" si="169">D73</f>
        <v>3</v>
      </c>
      <c r="X73" s="399" t="s">
        <v>125</v>
      </c>
      <c r="Y73" s="389">
        <f t="shared" si="73"/>
        <v>1</v>
      </c>
      <c r="Z73" s="400" t="s">
        <v>176</v>
      </c>
      <c r="AA73" s="402">
        <f t="shared" ref="AA73" si="170">(N73+P73*R73/1000)*U73*W73*Y73</f>
        <v>14.024813984999998</v>
      </c>
      <c r="AB73" s="403"/>
    </row>
    <row r="74" spans="1:28">
      <c r="A74" s="384"/>
      <c r="B74" s="385"/>
      <c r="C74" s="393"/>
      <c r="D74" s="394"/>
      <c r="E74" s="388"/>
      <c r="F74" s="388"/>
      <c r="G74" s="388"/>
      <c r="H74" s="395"/>
      <c r="I74" s="388"/>
      <c r="J74" s="399"/>
      <c r="K74" s="396"/>
      <c r="L74" s="396"/>
      <c r="M74" s="396"/>
      <c r="N74" s="396"/>
      <c r="O74" s="396"/>
      <c r="P74" s="389"/>
      <c r="Q74" s="396"/>
      <c r="R74" s="396"/>
      <c r="S74" s="396"/>
      <c r="T74" s="396"/>
      <c r="U74" s="401"/>
      <c r="V74" s="396"/>
      <c r="W74" s="388"/>
      <c r="X74" s="396"/>
      <c r="Y74" s="389"/>
      <c r="Z74" s="396"/>
      <c r="AA74" s="388"/>
      <c r="AB74" s="390"/>
    </row>
    <row r="75" spans="1:28">
      <c r="A75" s="384" t="str">
        <f t="shared" ref="A75:B75" si="171">A55</f>
        <v>Lantai 1</v>
      </c>
      <c r="B75" s="385">
        <f t="shared" si="171"/>
        <v>2</v>
      </c>
      <c r="C75" s="393" t="s">
        <v>211</v>
      </c>
      <c r="D75" s="398">
        <f>VLOOKUP(D55,'Detail Balok'!$C$10:$AU$140,31,FALSE)</f>
        <v>0</v>
      </c>
      <c r="E75" s="388" t="s">
        <v>16</v>
      </c>
      <c r="F75" s="388">
        <f>VLOOKUP(D55,'Detail Balok'!$C$10:$AU$140,33,FALSE)</f>
        <v>8</v>
      </c>
      <c r="G75" s="405" t="s">
        <v>157</v>
      </c>
      <c r="H75" s="395">
        <f>VLOOKUP(D55,'Detail Balok'!$C$10:$AU$140,35,FALSE)</f>
        <v>150</v>
      </c>
      <c r="I75" s="388"/>
      <c r="J75" s="400">
        <f t="shared" ref="J75" si="172">(IF(D75=0,(2*(D56+G56))-(F$5*8),IF(D75=3,(2*(D56+G56))-(F$5*8)+(G56-2*F$5),IF(D75=4,(2*(D56+G56))-(F$5*8)+2*(G56-2*F$5)))))/1000</f>
        <v>0.88</v>
      </c>
      <c r="K75" s="400" t="s">
        <v>204</v>
      </c>
      <c r="L75" s="399">
        <f t="shared" ref="L75:L77" si="173">IF(D75=0,2*MAX(6*F75,75),(D75-1)*2*MAX(6*F75,75))/1000</f>
        <v>0.15</v>
      </c>
      <c r="M75" s="399" t="s">
        <v>176</v>
      </c>
      <c r="N75" s="399">
        <f t="shared" ref="N75:N77" si="174">J75+L75</f>
        <v>1.03</v>
      </c>
      <c r="O75" s="399"/>
      <c r="P75" s="389"/>
      <c r="Q75" s="399"/>
      <c r="R75" s="399"/>
      <c r="S75" s="399"/>
      <c r="T75" s="399" t="s">
        <v>125</v>
      </c>
      <c r="U75" s="401">
        <f t="shared" ref="U75:U77" si="175">0.006165*F75^2</f>
        <v>0.39456000000000002</v>
      </c>
      <c r="V75" s="399" t="s">
        <v>125</v>
      </c>
      <c r="W75" s="399">
        <f t="shared" ref="W75" si="176">IF(D58&gt;4*G56,ROUND(MAX(D58/4,2*G56)/H75,0)+1,ROUND(D58/H75,0)+1)</f>
        <v>8</v>
      </c>
      <c r="X75" s="399" t="s">
        <v>125</v>
      </c>
      <c r="Y75" s="389">
        <f t="shared" ref="Y75" si="177">D61</f>
        <v>1</v>
      </c>
      <c r="Z75" s="400" t="s">
        <v>176</v>
      </c>
      <c r="AA75" s="402">
        <f t="shared" ref="AA75:AA77" si="178">N75*U75*W75*Y75</f>
        <v>3.2511744000000005</v>
      </c>
      <c r="AB75" s="403"/>
    </row>
    <row r="76" spans="1:28">
      <c r="A76" s="384" t="str">
        <f t="shared" ref="A76:B76" si="179">A55</f>
        <v>Lantai 1</v>
      </c>
      <c r="B76" s="385">
        <f t="shared" si="179"/>
        <v>2</v>
      </c>
      <c r="C76" s="393" t="s">
        <v>212</v>
      </c>
      <c r="D76" s="398">
        <f>VLOOKUP(D55,'Detail Balok'!$C$10:$AU$140,36,FALSE)</f>
        <v>0</v>
      </c>
      <c r="E76" s="388" t="s">
        <v>16</v>
      </c>
      <c r="F76" s="388">
        <f>VLOOKUP(D55,'Detail Balok'!$C$10:$AU$140,38,FALSE)</f>
        <v>8</v>
      </c>
      <c r="G76" s="405" t="s">
        <v>157</v>
      </c>
      <c r="H76" s="395">
        <f>VLOOKUP(D55,'Detail Balok'!$C$10:$AU$140,40,FALSE)</f>
        <v>200</v>
      </c>
      <c r="I76" s="388"/>
      <c r="J76" s="400">
        <f t="shared" ref="J76" si="180">(IF(D76=0,(2*(D56+G56))-(F$5*8),IF(D76=3,(2*(D56+G56))-(F$5*8)+(G56-2*F$5),IF(D76=4,(2*(D56+G56))-(F$5*8)+2*(G56-2*F$5)))))/1000</f>
        <v>0.88</v>
      </c>
      <c r="K76" s="400" t="s">
        <v>204</v>
      </c>
      <c r="L76" s="399">
        <f t="shared" si="173"/>
        <v>0.15</v>
      </c>
      <c r="M76" s="399" t="s">
        <v>176</v>
      </c>
      <c r="N76" s="399">
        <f t="shared" si="174"/>
        <v>1.03</v>
      </c>
      <c r="O76" s="399"/>
      <c r="P76" s="389"/>
      <c r="Q76" s="399"/>
      <c r="R76" s="399"/>
      <c r="S76" s="399"/>
      <c r="T76" s="399" t="s">
        <v>125</v>
      </c>
      <c r="U76" s="401">
        <f t="shared" si="175"/>
        <v>0.39456000000000002</v>
      </c>
      <c r="V76" s="399" t="s">
        <v>125</v>
      </c>
      <c r="W76" s="399">
        <f t="shared" ref="W76" si="181">IF(D58-MAX(D58/4,2*G56)*2&gt;0,ROUND((D58-MAX(D58/4,2*G56)*2)/H76,0),0)</f>
        <v>10</v>
      </c>
      <c r="X76" s="399" t="s">
        <v>125</v>
      </c>
      <c r="Y76" s="389">
        <f t="shared" ref="Y76" si="182">D61</f>
        <v>1</v>
      </c>
      <c r="Z76" s="400" t="s">
        <v>176</v>
      </c>
      <c r="AA76" s="402">
        <f t="shared" si="178"/>
        <v>4.0639680000000009</v>
      </c>
      <c r="AB76" s="403"/>
    </row>
    <row r="77" spans="1:28">
      <c r="A77" s="384" t="str">
        <f t="shared" ref="A77:B77" si="183">A55</f>
        <v>Lantai 1</v>
      </c>
      <c r="B77" s="385">
        <f t="shared" si="183"/>
        <v>2</v>
      </c>
      <c r="C77" s="393" t="s">
        <v>211</v>
      </c>
      <c r="D77" s="398">
        <f>VLOOKUP(D55,'Detail Balok'!$C$10:$AU$140,41,FALSE)</f>
        <v>0</v>
      </c>
      <c r="E77" s="388" t="s">
        <v>16</v>
      </c>
      <c r="F77" s="388">
        <f>VLOOKUP(D55,'Detail Balok'!$C$10:$AU$140,43,FALSE)</f>
        <v>8</v>
      </c>
      <c r="G77" s="405" t="s">
        <v>157</v>
      </c>
      <c r="H77" s="395">
        <f>VLOOKUP(D55,'Detail Balok'!$C$10:$AU$140,45,FALSE)</f>
        <v>150</v>
      </c>
      <c r="I77" s="388"/>
      <c r="J77" s="400">
        <f t="shared" ref="J77" si="184">(IF(D77=0,(2*(D56+G56))-(F$5*8),IF(D77=3,(2*(D56+G56))-(F$5*8)+(G56-2*F$5),IF(D77=4,(2*(D56+G56))-(F$5*8)+2*(G56-2*F$5)))))/1000</f>
        <v>0.88</v>
      </c>
      <c r="K77" s="400" t="s">
        <v>204</v>
      </c>
      <c r="L77" s="399">
        <f t="shared" si="173"/>
        <v>0.15</v>
      </c>
      <c r="M77" s="399" t="s">
        <v>176</v>
      </c>
      <c r="N77" s="399">
        <f t="shared" si="174"/>
        <v>1.03</v>
      </c>
      <c r="O77" s="399"/>
      <c r="P77" s="389"/>
      <c r="Q77" s="399"/>
      <c r="R77" s="399"/>
      <c r="S77" s="399"/>
      <c r="T77" s="399" t="s">
        <v>125</v>
      </c>
      <c r="U77" s="401">
        <f t="shared" si="175"/>
        <v>0.39456000000000002</v>
      </c>
      <c r="V77" s="399" t="s">
        <v>125</v>
      </c>
      <c r="W77" s="399">
        <f t="shared" ref="W77" si="185">IF(D58&gt;4*G56,ROUND(MAX(D58/4,2*G56)/H77,0)+1,0)</f>
        <v>8</v>
      </c>
      <c r="X77" s="399" t="s">
        <v>125</v>
      </c>
      <c r="Y77" s="389">
        <f t="shared" ref="Y77" si="186">D61</f>
        <v>1</v>
      </c>
      <c r="Z77" s="400" t="s">
        <v>176</v>
      </c>
      <c r="AA77" s="402">
        <f t="shared" si="178"/>
        <v>3.2511744000000005</v>
      </c>
      <c r="AB77" s="403"/>
    </row>
    <row r="78" spans="1:28">
      <c r="A78" s="384"/>
      <c r="B78" s="385"/>
      <c r="C78" s="393"/>
      <c r="D78" s="394"/>
      <c r="E78" s="388"/>
      <c r="F78" s="388"/>
      <c r="G78" s="388"/>
      <c r="H78" s="395"/>
      <c r="I78" s="388"/>
      <c r="J78" s="399"/>
      <c r="K78" s="396"/>
      <c r="L78" s="396"/>
      <c r="M78" s="396"/>
      <c r="N78" s="396"/>
      <c r="O78" s="396"/>
      <c r="P78" s="389"/>
      <c r="Q78" s="396"/>
      <c r="R78" s="396"/>
      <c r="S78" s="396"/>
      <c r="T78" s="396"/>
      <c r="U78" s="401"/>
      <c r="V78" s="396"/>
      <c r="W78" s="388"/>
      <c r="X78" s="396"/>
      <c r="Y78" s="389"/>
      <c r="Z78" s="396"/>
      <c r="AA78" s="388"/>
      <c r="AB78" s="390"/>
    </row>
    <row r="79" spans="1:28">
      <c r="A79" s="384" t="str">
        <f t="shared" ref="A79:B79" si="187">A55</f>
        <v>Lantai 1</v>
      </c>
      <c r="B79" s="385">
        <f t="shared" si="187"/>
        <v>2</v>
      </c>
      <c r="C79" s="393" t="s">
        <v>213</v>
      </c>
      <c r="D79" s="398">
        <f>VLOOKUP(D55,'Detail Balok'!$C$10:$BJ$140,46,FALSE)</f>
        <v>0</v>
      </c>
      <c r="E79" s="388" t="s">
        <v>16</v>
      </c>
      <c r="F79" s="388">
        <f>VLOOKUP(D55,'Detail Balok'!$C$10:$BJ$140,48,FALSE)</f>
        <v>0</v>
      </c>
      <c r="G79" s="405" t="s">
        <v>157</v>
      </c>
      <c r="H79" s="395">
        <f>VLOOKUP(D55,'Detail Balok'!$C$10:$BJ$140,50,FALSE)</f>
        <v>100</v>
      </c>
      <c r="I79" s="388"/>
      <c r="J79" s="399">
        <f t="shared" ref="J79" si="188">(D56-2*F$5)/1000</f>
        <v>0.12</v>
      </c>
      <c r="K79" s="400" t="s">
        <v>204</v>
      </c>
      <c r="L79" s="399">
        <f t="shared" ref="L79:L81" si="189">IF(D79=0,2*MAX(6*F79,75),(D79-1)*2*MAX(6*F79,75))/1000</f>
        <v>0.15</v>
      </c>
      <c r="M79" s="399" t="s">
        <v>176</v>
      </c>
      <c r="N79" s="399">
        <f t="shared" ref="N79:N81" si="190">J79+L79</f>
        <v>0.27</v>
      </c>
      <c r="O79" s="399"/>
      <c r="P79" s="399"/>
      <c r="Q79" s="399"/>
      <c r="R79" s="399"/>
      <c r="S79" s="399"/>
      <c r="T79" s="399" t="s">
        <v>125</v>
      </c>
      <c r="U79" s="401">
        <f t="shared" ref="U79:U81" si="191">0.006165*F79^2</f>
        <v>0</v>
      </c>
      <c r="V79" s="399" t="s">
        <v>125</v>
      </c>
      <c r="W79" s="399">
        <f t="shared" si="96"/>
        <v>8</v>
      </c>
      <c r="X79" s="399" t="s">
        <v>125</v>
      </c>
      <c r="Y79" s="389">
        <f t="shared" ref="Y79" si="192">D65</f>
        <v>3</v>
      </c>
      <c r="Z79" s="400" t="s">
        <v>176</v>
      </c>
      <c r="AA79" s="402">
        <f t="shared" ref="AA79:AA81" si="193">N79*U79*W79*Y79</f>
        <v>0</v>
      </c>
      <c r="AB79" s="403"/>
    </row>
    <row r="80" spans="1:28">
      <c r="A80" s="384" t="str">
        <f t="shared" ref="A80:B80" si="194">A55</f>
        <v>Lantai 1</v>
      </c>
      <c r="B80" s="385">
        <f t="shared" si="194"/>
        <v>2</v>
      </c>
      <c r="C80" s="393" t="s">
        <v>214</v>
      </c>
      <c r="D80" s="398">
        <f>VLOOKUP(D55,'Detail Balok'!$C$10:$BJ$140,51,FALSE)</f>
        <v>0</v>
      </c>
      <c r="E80" s="388" t="s">
        <v>16</v>
      </c>
      <c r="F80" s="388">
        <f>VLOOKUP(D55,'Detail Balok'!$C$10:$BJ$140,53,FALSE)</f>
        <v>0</v>
      </c>
      <c r="G80" s="405" t="s">
        <v>157</v>
      </c>
      <c r="H80" s="395">
        <f>VLOOKUP(D55,'Detail Balok'!$C$10:$BJ$140,55,FALSE)</f>
        <v>100</v>
      </c>
      <c r="I80" s="388"/>
      <c r="J80" s="399">
        <f t="shared" ref="J80" si="195">(D56-2*F$5)/1000</f>
        <v>0.12</v>
      </c>
      <c r="K80" s="400" t="s">
        <v>204</v>
      </c>
      <c r="L80" s="399">
        <f t="shared" si="189"/>
        <v>0.15</v>
      </c>
      <c r="M80" s="399" t="s">
        <v>176</v>
      </c>
      <c r="N80" s="399">
        <f t="shared" si="190"/>
        <v>0.27</v>
      </c>
      <c r="O80" s="399"/>
      <c r="P80" s="399"/>
      <c r="Q80" s="399"/>
      <c r="R80" s="399"/>
      <c r="S80" s="399"/>
      <c r="T80" s="399" t="s">
        <v>125</v>
      </c>
      <c r="U80" s="401">
        <f t="shared" si="191"/>
        <v>0</v>
      </c>
      <c r="V80" s="399" t="s">
        <v>125</v>
      </c>
      <c r="W80" s="399">
        <f t="shared" si="96"/>
        <v>10</v>
      </c>
      <c r="X80" s="399" t="s">
        <v>125</v>
      </c>
      <c r="Y80" s="389">
        <f t="shared" ref="Y80" si="196">D65</f>
        <v>3</v>
      </c>
      <c r="Z80" s="400" t="s">
        <v>176</v>
      </c>
      <c r="AA80" s="402">
        <f t="shared" si="193"/>
        <v>0</v>
      </c>
      <c r="AB80" s="403"/>
    </row>
    <row r="81" spans="1:28">
      <c r="A81" s="384" t="str">
        <f t="shared" ref="A81:B81" si="197">A55</f>
        <v>Lantai 1</v>
      </c>
      <c r="B81" s="385">
        <f t="shared" si="197"/>
        <v>2</v>
      </c>
      <c r="C81" s="393" t="s">
        <v>213</v>
      </c>
      <c r="D81" s="398">
        <f>VLOOKUP(D55,'Detail Balok'!$C$10:$BJ$140,56,FALSE)</f>
        <v>0</v>
      </c>
      <c r="E81" s="388" t="s">
        <v>16</v>
      </c>
      <c r="F81" s="388">
        <f>VLOOKUP(D55,'Detail Balok'!$C$10:$BJ$140,58,FALSE)</f>
        <v>0</v>
      </c>
      <c r="G81" s="405" t="s">
        <v>157</v>
      </c>
      <c r="H81" s="395">
        <f>VLOOKUP(D55,'Detail Balok'!$C$10:$BJ$140,60,FALSE)</f>
        <v>100</v>
      </c>
      <c r="I81" s="388"/>
      <c r="J81" s="399">
        <f t="shared" ref="J81" si="198">(D56-2*F$5)/1000</f>
        <v>0.12</v>
      </c>
      <c r="K81" s="400" t="s">
        <v>204</v>
      </c>
      <c r="L81" s="399">
        <f t="shared" si="189"/>
        <v>0.15</v>
      </c>
      <c r="M81" s="399" t="s">
        <v>176</v>
      </c>
      <c r="N81" s="399">
        <f t="shared" si="190"/>
        <v>0.27</v>
      </c>
      <c r="O81" s="399"/>
      <c r="P81" s="399"/>
      <c r="Q81" s="399"/>
      <c r="R81" s="399"/>
      <c r="S81" s="399"/>
      <c r="T81" s="399" t="s">
        <v>125</v>
      </c>
      <c r="U81" s="401">
        <f t="shared" si="191"/>
        <v>0</v>
      </c>
      <c r="V81" s="399" t="s">
        <v>125</v>
      </c>
      <c r="W81" s="399">
        <f t="shared" si="96"/>
        <v>8</v>
      </c>
      <c r="X81" s="399" t="s">
        <v>125</v>
      </c>
      <c r="Y81" s="389">
        <f t="shared" ref="Y81" si="199">D65</f>
        <v>3</v>
      </c>
      <c r="Z81" s="400" t="s">
        <v>176</v>
      </c>
      <c r="AA81" s="402">
        <f t="shared" si="193"/>
        <v>0</v>
      </c>
      <c r="AB81" s="403"/>
    </row>
    <row r="82" spans="1:28">
      <c r="A82" s="391"/>
      <c r="B82" s="392"/>
      <c r="C82" s="392"/>
      <c r="D82" s="394"/>
      <c r="E82" s="388"/>
      <c r="F82" s="388"/>
      <c r="G82" s="388"/>
      <c r="H82" s="395"/>
      <c r="I82" s="388"/>
      <c r="J82" s="402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9"/>
      <c r="Z82" s="388"/>
      <c r="AA82" s="402"/>
      <c r="AB82" s="403"/>
    </row>
    <row r="83" spans="1:28" ht="15.75" thickBot="1">
      <c r="A83" s="406"/>
      <c r="B83" s="407"/>
      <c r="C83" s="407"/>
      <c r="D83" s="408"/>
      <c r="E83" s="409"/>
      <c r="F83" s="409"/>
      <c r="G83" s="409"/>
      <c r="H83" s="410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  <c r="X83" s="409"/>
      <c r="Y83" s="411"/>
      <c r="Z83" s="409"/>
      <c r="AA83" s="412"/>
      <c r="AB83" s="413"/>
    </row>
    <row r="84" spans="1:28">
      <c r="A84" s="377"/>
      <c r="B84" s="378"/>
      <c r="C84" s="378"/>
      <c r="D84" s="379"/>
      <c r="E84" s="380"/>
      <c r="F84" s="380"/>
      <c r="G84" s="380"/>
      <c r="H84" s="381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2"/>
      <c r="Z84" s="380"/>
      <c r="AA84" s="380"/>
      <c r="AB84" s="383"/>
    </row>
    <row r="85" spans="1:28">
      <c r="A85" s="384" t="str">
        <f t="shared" si="105"/>
        <v>Lantai 1</v>
      </c>
      <c r="B85" s="385">
        <f t="shared" si="106"/>
        <v>3</v>
      </c>
      <c r="C85" s="386" t="str">
        <f t="shared" ref="C85" si="200">CONCATENATE(A85," no. ",B85)</f>
        <v>Lantai 1 no. 3</v>
      </c>
      <c r="D85" s="2562" t="str">
        <f>VLOOKUP(C85,'Data Panjang Balok'!$C$9:$N$254,2,FALSE)</f>
        <v>S24-1</v>
      </c>
      <c r="E85" s="2576"/>
      <c r="F85" s="2576"/>
      <c r="G85" s="2576"/>
      <c r="H85" s="2577"/>
      <c r="I85" s="387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9"/>
      <c r="Z85" s="388"/>
      <c r="AA85" s="388"/>
      <c r="AB85" s="390"/>
    </row>
    <row r="86" spans="1:28">
      <c r="A86" s="391"/>
      <c r="B86" s="392"/>
      <c r="C86" s="393" t="s">
        <v>118</v>
      </c>
      <c r="D86" s="2578">
        <f>VLOOKUP(D85,'Detail Balok'!$C$10:$AU$140,2,FALSE)</f>
        <v>200</v>
      </c>
      <c r="E86" s="2579"/>
      <c r="F86" s="388" t="s">
        <v>125</v>
      </c>
      <c r="G86" s="2579">
        <f>VLOOKUP(D85,'Detail Balok'!$C$10:$AU$140,3,FALSE)</f>
        <v>400</v>
      </c>
      <c r="H86" s="2580"/>
      <c r="I86" s="388"/>
      <c r="J86" s="396"/>
      <c r="K86" s="396"/>
      <c r="L86" s="396"/>
      <c r="M86" s="396"/>
      <c r="N86" s="396"/>
      <c r="O86" s="396"/>
      <c r="P86" s="396"/>
      <c r="Q86" s="396"/>
      <c r="R86" s="396"/>
      <c r="S86" s="396"/>
      <c r="T86" s="396"/>
      <c r="U86" s="388"/>
      <c r="V86" s="396"/>
      <c r="W86" s="388"/>
      <c r="X86" s="396"/>
      <c r="Y86" s="389"/>
      <c r="Z86" s="396"/>
      <c r="AA86" s="388"/>
      <c r="AB86" s="390"/>
    </row>
    <row r="87" spans="1:28">
      <c r="A87" s="391"/>
      <c r="B87" s="392"/>
      <c r="C87" s="393" t="s">
        <v>198</v>
      </c>
      <c r="D87" s="2562">
        <f>VLOOKUP(C85,'Data Panjang Balok'!$C$9:$N$254,4,FALSE)</f>
        <v>3000</v>
      </c>
      <c r="E87" s="2563"/>
      <c r="F87" s="2563"/>
      <c r="G87" s="2563"/>
      <c r="H87" s="2564"/>
      <c r="I87" s="397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88"/>
      <c r="V87" s="396"/>
      <c r="W87" s="388"/>
      <c r="X87" s="396"/>
      <c r="Y87" s="389"/>
      <c r="Z87" s="396"/>
      <c r="AA87" s="388"/>
      <c r="AB87" s="390"/>
    </row>
    <row r="88" spans="1:28">
      <c r="A88" s="391"/>
      <c r="B88" s="392"/>
      <c r="C88" s="393" t="s">
        <v>199</v>
      </c>
      <c r="D88" s="2562">
        <f>VLOOKUP(C85,'Data Panjang Balok'!$C$9:$N$254,7,FALSE)</f>
        <v>3000</v>
      </c>
      <c r="E88" s="2563"/>
      <c r="F88" s="2563"/>
      <c r="G88" s="2563"/>
      <c r="H88" s="2564"/>
      <c r="I88" s="397"/>
      <c r="J88" s="396"/>
      <c r="K88" s="396"/>
      <c r="L88" s="396"/>
      <c r="M88" s="396"/>
      <c r="N88" s="396"/>
      <c r="O88" s="396"/>
      <c r="P88" s="396"/>
      <c r="Q88" s="396"/>
      <c r="R88" s="396"/>
      <c r="S88" s="396"/>
      <c r="T88" s="396"/>
      <c r="U88" s="388"/>
      <c r="V88" s="396"/>
      <c r="W88" s="388"/>
      <c r="X88" s="396"/>
      <c r="Y88" s="389"/>
      <c r="Z88" s="396"/>
      <c r="AA88" s="388"/>
      <c r="AB88" s="390"/>
    </row>
    <row r="89" spans="1:28">
      <c r="A89" s="391"/>
      <c r="B89" s="392"/>
      <c r="C89" s="393" t="s">
        <v>200</v>
      </c>
      <c r="D89" s="2562">
        <f>VLOOKUP(C85,'Data Panjang Balok'!$C$9:$N$254,9,FALSE)</f>
        <v>0</v>
      </c>
      <c r="E89" s="2563"/>
      <c r="F89" s="2563"/>
      <c r="G89" s="2563"/>
      <c r="H89" s="2564"/>
      <c r="I89" s="397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88"/>
      <c r="V89" s="396"/>
      <c r="W89" s="388"/>
      <c r="X89" s="396"/>
      <c r="Y89" s="389"/>
      <c r="Z89" s="396"/>
      <c r="AA89" s="388"/>
      <c r="AB89" s="390"/>
    </row>
    <row r="90" spans="1:28">
      <c r="A90" s="391"/>
      <c r="B90" s="392"/>
      <c r="C90" s="393" t="s">
        <v>201</v>
      </c>
      <c r="D90" s="2562">
        <f>VLOOKUP(C85,'Data Panjang Balok'!$C$9:$N$254,10,FALSE)</f>
        <v>0</v>
      </c>
      <c r="E90" s="2563"/>
      <c r="F90" s="2563"/>
      <c r="G90" s="2563"/>
      <c r="H90" s="2564"/>
      <c r="I90" s="397"/>
      <c r="J90" s="396"/>
      <c r="K90" s="396"/>
      <c r="L90" s="396"/>
      <c r="M90" s="396"/>
      <c r="N90" s="396"/>
      <c r="O90" s="396"/>
      <c r="P90" s="396"/>
      <c r="Q90" s="396"/>
      <c r="R90" s="396"/>
      <c r="S90" s="396"/>
      <c r="T90" s="396"/>
      <c r="U90" s="388"/>
      <c r="V90" s="396"/>
      <c r="W90" s="388"/>
      <c r="X90" s="396"/>
      <c r="Y90" s="389"/>
      <c r="Z90" s="396"/>
      <c r="AA90" s="388"/>
      <c r="AB90" s="390"/>
    </row>
    <row r="91" spans="1:28">
      <c r="A91" s="391"/>
      <c r="B91" s="392"/>
      <c r="C91" s="393" t="s">
        <v>48</v>
      </c>
      <c r="D91" s="2562">
        <f>VLOOKUP(C85,'Data Panjang Balok'!$C$9:$N$254,3,FALSE)</f>
        <v>1</v>
      </c>
      <c r="E91" s="2563"/>
      <c r="F91" s="2563"/>
      <c r="G91" s="2563"/>
      <c r="H91" s="2564"/>
      <c r="I91" s="397"/>
      <c r="J91" s="396"/>
      <c r="K91" s="396"/>
      <c r="L91" s="396"/>
      <c r="M91" s="396"/>
      <c r="N91" s="396"/>
      <c r="O91" s="396"/>
      <c r="P91" s="396"/>
      <c r="Q91" s="396"/>
      <c r="R91" s="396"/>
      <c r="S91" s="396"/>
      <c r="T91" s="396"/>
      <c r="U91" s="388"/>
      <c r="V91" s="396"/>
      <c r="W91" s="388"/>
      <c r="X91" s="396"/>
      <c r="Y91" s="389"/>
      <c r="Z91" s="396"/>
      <c r="AA91" s="388"/>
      <c r="AB91" s="390"/>
    </row>
    <row r="92" spans="1:28">
      <c r="A92" s="384" t="str">
        <f t="shared" ref="A92:B92" si="201">A85</f>
        <v>Lantai 1</v>
      </c>
      <c r="B92" s="385">
        <f t="shared" si="201"/>
        <v>3</v>
      </c>
      <c r="C92" s="393" t="s">
        <v>202</v>
      </c>
      <c r="D92" s="398">
        <f>VLOOKUP(D85,'Detail Balok'!$C$10:$AU$140,4,FALSE)</f>
        <v>3</v>
      </c>
      <c r="E92" s="388" t="s">
        <v>16</v>
      </c>
      <c r="F92" s="388">
        <f>VLOOKUP(D85,'Detail Balok'!$C$10:$AU$140,6,FALSE)</f>
        <v>13</v>
      </c>
      <c r="G92" s="388"/>
      <c r="H92" s="395"/>
      <c r="I92" s="388" t="s">
        <v>203</v>
      </c>
      <c r="J92" s="399">
        <f t="shared" ref="J92" si="202">+D87/4/1000</f>
        <v>0.75</v>
      </c>
      <c r="K92" s="400" t="s">
        <v>204</v>
      </c>
      <c r="L92" s="399">
        <f t="shared" ref="L92" si="203">MAX(VLOOKUP(F92,N$6:P$15,3,FALSE)/1000,2/3*D89/1000)+F$16*F92/1000</f>
        <v>0.156</v>
      </c>
      <c r="M92" s="399" t="s">
        <v>176</v>
      </c>
      <c r="N92" s="399">
        <f t="shared" ref="N92:N94" si="204">J92+L92</f>
        <v>0.90600000000000003</v>
      </c>
      <c r="O92" s="399" t="s">
        <v>204</v>
      </c>
      <c r="P92" s="389">
        <f t="shared" ref="P92" si="205">D92-D93</f>
        <v>0</v>
      </c>
      <c r="Q92" s="399" t="s">
        <v>125</v>
      </c>
      <c r="R92" s="399">
        <f t="shared" ref="R92" si="206">IF(P92&gt;0,$F$18*F92/1000,0)</f>
        <v>0</v>
      </c>
      <c r="S92" s="399" t="s">
        <v>205</v>
      </c>
      <c r="T92" s="399" t="s">
        <v>125</v>
      </c>
      <c r="U92" s="401">
        <f t="shared" ref="U92:U94" si="207">0.006165*F92^2</f>
        <v>1.041885</v>
      </c>
      <c r="V92" s="399"/>
      <c r="W92" s="399"/>
      <c r="X92" s="399" t="s">
        <v>125</v>
      </c>
      <c r="Y92" s="389">
        <f t="shared" ref="Y92" si="208">D91</f>
        <v>1</v>
      </c>
      <c r="Z92" s="400" t="s">
        <v>176</v>
      </c>
      <c r="AA92" s="402">
        <f t="shared" ref="AA92" si="209">IF(AA95=0,(D92*N92+P92*R92)*U92*Y92,0)</f>
        <v>0</v>
      </c>
      <c r="AB92" s="403"/>
    </row>
    <row r="93" spans="1:28">
      <c r="A93" s="384" t="str">
        <f t="shared" ref="A93:B93" si="210">A85</f>
        <v>Lantai 1</v>
      </c>
      <c r="B93" s="385">
        <f t="shared" si="210"/>
        <v>3</v>
      </c>
      <c r="C93" s="393" t="s">
        <v>206</v>
      </c>
      <c r="D93" s="398">
        <f>VLOOKUP(D85,'Detail Balok'!$C$10:$AU$140,7,FALSE)</f>
        <v>3</v>
      </c>
      <c r="E93" s="388" t="s">
        <v>16</v>
      </c>
      <c r="F93" s="388">
        <f>VLOOKUP(D85,'Detail Balok'!$C$10:$AU$140,9,FALSE)</f>
        <v>13</v>
      </c>
      <c r="G93" s="388"/>
      <c r="H93" s="395"/>
      <c r="I93" s="388" t="s">
        <v>203</v>
      </c>
      <c r="J93" s="399">
        <f t="shared" ref="J93" si="211">+D87/2/1000</f>
        <v>1.5</v>
      </c>
      <c r="K93" s="400" t="s">
        <v>204</v>
      </c>
      <c r="L93" s="399"/>
      <c r="M93" s="399" t="s">
        <v>176</v>
      </c>
      <c r="N93" s="399">
        <f t="shared" si="204"/>
        <v>1.5</v>
      </c>
      <c r="O93" s="399" t="s">
        <v>204</v>
      </c>
      <c r="P93" s="389">
        <f t="shared" ref="P93" si="212">MAX(D93-D92,D93-D94)</f>
        <v>0</v>
      </c>
      <c r="Q93" s="399" t="s">
        <v>125</v>
      </c>
      <c r="R93" s="399">
        <f t="shared" ref="R93" si="213">IF(P93&gt;0,2*(1-2*$F$19-1/2)*D88/1000,0)</f>
        <v>0</v>
      </c>
      <c r="S93" s="399" t="s">
        <v>205</v>
      </c>
      <c r="T93" s="399" t="s">
        <v>125</v>
      </c>
      <c r="U93" s="401">
        <f t="shared" si="207"/>
        <v>1.041885</v>
      </c>
      <c r="V93" s="399"/>
      <c r="W93" s="399"/>
      <c r="X93" s="399" t="s">
        <v>125</v>
      </c>
      <c r="Y93" s="389">
        <f t="shared" ref="Y93" si="214">D91</f>
        <v>1</v>
      </c>
      <c r="Z93" s="400" t="s">
        <v>176</v>
      </c>
      <c r="AA93" s="402">
        <f t="shared" ref="AA93" si="215">IF(AA95=0,(D93*N93+P93*R93)*U93*Y93,0)</f>
        <v>0</v>
      </c>
      <c r="AB93" s="403"/>
    </row>
    <row r="94" spans="1:28">
      <c r="A94" s="384" t="str">
        <f t="shared" ref="A94:B94" si="216">A85</f>
        <v>Lantai 1</v>
      </c>
      <c r="B94" s="385">
        <f t="shared" si="216"/>
        <v>3</v>
      </c>
      <c r="C94" s="393" t="s">
        <v>202</v>
      </c>
      <c r="D94" s="398">
        <f>VLOOKUP(D85,'Detail Balok'!$C$10:$AU$140,10,FALSE)</f>
        <v>3</v>
      </c>
      <c r="E94" s="388" t="s">
        <v>16</v>
      </c>
      <c r="F94" s="388">
        <f>VLOOKUP(D85,'Detail Balok'!$C$10:$AU$140,12,FALSE)</f>
        <v>13</v>
      </c>
      <c r="G94" s="388"/>
      <c r="H94" s="395"/>
      <c r="I94" s="388" t="s">
        <v>203</v>
      </c>
      <c r="J94" s="399">
        <f t="shared" ref="J94" si="217">+D87/4/1000</f>
        <v>0.75</v>
      </c>
      <c r="K94" s="400" t="s">
        <v>204</v>
      </c>
      <c r="L94" s="399">
        <f t="shared" ref="L94" si="218">MAX(VLOOKUP(F94,N$6:P$15,3,FALSE)/1000,2/3*D89/1000)+F$16*F94/1000</f>
        <v>0.156</v>
      </c>
      <c r="M94" s="399" t="s">
        <v>176</v>
      </c>
      <c r="N94" s="399">
        <f t="shared" si="204"/>
        <v>0.90600000000000003</v>
      </c>
      <c r="O94" s="399" t="s">
        <v>204</v>
      </c>
      <c r="P94" s="389">
        <f t="shared" ref="P94" si="219">D94-D93</f>
        <v>0</v>
      </c>
      <c r="Q94" s="399" t="s">
        <v>125</v>
      </c>
      <c r="R94" s="399">
        <f t="shared" ref="R94" si="220">IF(P94&gt;0,$F$18*F94/1000,0)</f>
        <v>0</v>
      </c>
      <c r="S94" s="399" t="s">
        <v>205</v>
      </c>
      <c r="T94" s="399" t="s">
        <v>125</v>
      </c>
      <c r="U94" s="401">
        <f t="shared" si="207"/>
        <v>1.041885</v>
      </c>
      <c r="V94" s="399"/>
      <c r="W94" s="399"/>
      <c r="X94" s="399" t="s">
        <v>125</v>
      </c>
      <c r="Y94" s="389">
        <f t="shared" ref="Y94" si="221">D91</f>
        <v>1</v>
      </c>
      <c r="Z94" s="400" t="s">
        <v>176</v>
      </c>
      <c r="AA94" s="402">
        <f t="shared" ref="AA94" si="222">IF(AA95=0,(D94*N94+P94*R94)*U94*Y94,0)</f>
        <v>0</v>
      </c>
      <c r="AB94" s="403"/>
    </row>
    <row r="95" spans="1:28">
      <c r="A95" s="384" t="str">
        <f t="shared" ref="A95:B95" si="223">A85</f>
        <v>Lantai 1</v>
      </c>
      <c r="B95" s="385">
        <f t="shared" si="223"/>
        <v>3</v>
      </c>
      <c r="C95" s="393"/>
      <c r="D95" s="398">
        <f t="shared" si="26"/>
        <v>3</v>
      </c>
      <c r="E95" s="388" t="s">
        <v>16</v>
      </c>
      <c r="F95" s="388">
        <f t="shared" si="27"/>
        <v>13</v>
      </c>
      <c r="G95" s="388"/>
      <c r="H95" s="395"/>
      <c r="I95" s="388"/>
      <c r="J95" s="396"/>
      <c r="K95" s="396"/>
      <c r="L95" s="404" t="s">
        <v>207</v>
      </c>
      <c r="M95" s="399" t="s">
        <v>176</v>
      </c>
      <c r="N95" s="399">
        <f t="shared" ref="N95" si="224">IF(AND(D92=D93,D92=D94,D93=D94,F92=F93,F92=F94,F93=F94),SUM(N92:N94),0)</f>
        <v>3.3120000000000003</v>
      </c>
      <c r="O95" s="399" t="s">
        <v>204</v>
      </c>
      <c r="P95" s="389">
        <f t="shared" ref="P95" si="225">IF(N95&gt;12,ROUNDDOWN(N95/12,0),0)</f>
        <v>0</v>
      </c>
      <c r="Q95" s="399" t="s">
        <v>125</v>
      </c>
      <c r="R95" s="399">
        <f t="shared" ref="R95" si="226">IF(P95&gt;0,MAX(VLOOKUP(F95,$D$6:$G$15,3,FALSE),600),0)/1000</f>
        <v>0</v>
      </c>
      <c r="S95" s="396"/>
      <c r="T95" s="396" t="s">
        <v>125</v>
      </c>
      <c r="U95" s="401">
        <f t="shared" si="31"/>
        <v>1.041885</v>
      </c>
      <c r="V95" s="396" t="s">
        <v>125</v>
      </c>
      <c r="W95" s="399">
        <f t="shared" ref="W95" si="227">D95</f>
        <v>3</v>
      </c>
      <c r="X95" s="399" t="s">
        <v>125</v>
      </c>
      <c r="Y95" s="389">
        <f t="shared" si="33"/>
        <v>1</v>
      </c>
      <c r="Z95" s="400" t="s">
        <v>176</v>
      </c>
      <c r="AA95" s="402">
        <f t="shared" ref="AA95" si="228">(N95+P95*R95/1000)*U95*W95*Y95</f>
        <v>10.352169360000001</v>
      </c>
      <c r="AB95" s="390"/>
    </row>
    <row r="96" spans="1:28">
      <c r="A96" s="384"/>
      <c r="B96" s="385"/>
      <c r="C96" s="393"/>
      <c r="D96" s="398"/>
      <c r="E96" s="388"/>
      <c r="F96" s="388"/>
      <c r="G96" s="388"/>
      <c r="H96" s="395"/>
      <c r="I96" s="388"/>
      <c r="J96" s="396"/>
      <c r="K96" s="396"/>
      <c r="L96" s="404"/>
      <c r="M96" s="399"/>
      <c r="N96" s="399"/>
      <c r="O96" s="396"/>
      <c r="P96" s="389"/>
      <c r="Q96" s="396"/>
      <c r="R96" s="396"/>
      <c r="S96" s="396"/>
      <c r="T96" s="396"/>
      <c r="U96" s="401"/>
      <c r="V96" s="396"/>
      <c r="W96" s="399"/>
      <c r="X96" s="396"/>
      <c r="Y96" s="389"/>
      <c r="Z96" s="396"/>
      <c r="AA96" s="388"/>
      <c r="AB96" s="390"/>
    </row>
    <row r="97" spans="1:28">
      <c r="A97" s="384" t="str">
        <f t="shared" ref="A97:B97" si="229">A85</f>
        <v>Lantai 1</v>
      </c>
      <c r="B97" s="385">
        <f t="shared" si="229"/>
        <v>3</v>
      </c>
      <c r="C97" s="393" t="s">
        <v>208</v>
      </c>
      <c r="D97" s="398">
        <f>VLOOKUP(D85,'Detail Balok'!$C$10:$AU$140,13,FALSE)</f>
        <v>0</v>
      </c>
      <c r="E97" s="388" t="s">
        <v>16</v>
      </c>
      <c r="F97" s="388">
        <f>VLOOKUP(D85,'Detail Balok'!$C$10:$AU$140,15,FALSE)</f>
        <v>8</v>
      </c>
      <c r="G97" s="388"/>
      <c r="H97" s="395"/>
      <c r="I97" s="388"/>
      <c r="J97" s="399">
        <f t="shared" ref="J97" si="230">+D87/1000</f>
        <v>3</v>
      </c>
      <c r="K97" s="400" t="s">
        <v>204</v>
      </c>
      <c r="L97" s="399">
        <f t="shared" ref="L97" si="231">2*$F$16*F97/1000</f>
        <v>0.192</v>
      </c>
      <c r="M97" s="399" t="s">
        <v>176</v>
      </c>
      <c r="N97" s="399">
        <f t="shared" ref="N97" si="232">J97+L97</f>
        <v>3.1920000000000002</v>
      </c>
      <c r="O97" s="399" t="s">
        <v>204</v>
      </c>
      <c r="P97" s="389">
        <f t="shared" ref="P97" si="233">IF(N97&gt;12,ROUNDDOWN(N97/12,0),0)</f>
        <v>0</v>
      </c>
      <c r="Q97" s="399" t="s">
        <v>125</v>
      </c>
      <c r="R97" s="399">
        <f t="shared" ref="R97" si="234">IF(P97&gt;0,MAX(VLOOKUP(F97,$D$6:$G$15,3,FALSE),600),0)/1000</f>
        <v>0</v>
      </c>
      <c r="S97" s="399"/>
      <c r="T97" s="399" t="s">
        <v>125</v>
      </c>
      <c r="U97" s="401">
        <f t="shared" ref="U97" si="235">0.006165*F97^2</f>
        <v>0.39456000000000002</v>
      </c>
      <c r="V97" s="399" t="s">
        <v>125</v>
      </c>
      <c r="W97" s="399">
        <f t="shared" ref="W97" si="236">+D97</f>
        <v>0</v>
      </c>
      <c r="X97" s="399" t="s">
        <v>125</v>
      </c>
      <c r="Y97" s="389">
        <f t="shared" ref="Y97" si="237">D91</f>
        <v>1</v>
      </c>
      <c r="Z97" s="400" t="s">
        <v>176</v>
      </c>
      <c r="AA97" s="402">
        <f t="shared" ref="AA97" si="238">(N97+P97*R97/1000)*U97*W97*Y97</f>
        <v>0</v>
      </c>
      <c r="AB97" s="403"/>
    </row>
    <row r="98" spans="1:28">
      <c r="A98" s="384"/>
      <c r="B98" s="385"/>
      <c r="C98" s="393"/>
      <c r="D98" s="398"/>
      <c r="E98" s="388"/>
      <c r="F98" s="388"/>
      <c r="G98" s="388"/>
      <c r="H98" s="395"/>
      <c r="I98" s="388"/>
      <c r="J98" s="399"/>
      <c r="K98" s="400"/>
      <c r="L98" s="399"/>
      <c r="M98" s="399"/>
      <c r="N98" s="399"/>
      <c r="O98" s="399"/>
      <c r="P98" s="389"/>
      <c r="Q98" s="399"/>
      <c r="R98" s="399"/>
      <c r="S98" s="399"/>
      <c r="T98" s="399"/>
      <c r="U98" s="401"/>
      <c r="V98" s="399"/>
      <c r="W98" s="399"/>
      <c r="X98" s="399"/>
      <c r="Y98" s="389"/>
      <c r="Z98" s="400"/>
      <c r="AA98" s="402"/>
      <c r="AB98" s="403"/>
    </row>
    <row r="99" spans="1:28">
      <c r="A99" s="384"/>
      <c r="B99" s="385"/>
      <c r="C99" s="393"/>
      <c r="D99" s="398"/>
      <c r="E99" s="388"/>
      <c r="F99" s="388"/>
      <c r="G99" s="388"/>
      <c r="H99" s="395"/>
      <c r="I99" s="388"/>
      <c r="J99" s="396"/>
      <c r="K99" s="396"/>
      <c r="L99" s="396"/>
      <c r="M99" s="396"/>
      <c r="N99" s="396"/>
      <c r="O99" s="396"/>
      <c r="P99" s="389"/>
      <c r="Q99" s="396"/>
      <c r="R99" s="396"/>
      <c r="S99" s="396"/>
      <c r="T99" s="396"/>
      <c r="U99" s="401"/>
      <c r="V99" s="396"/>
      <c r="W99" s="399"/>
      <c r="X99" s="396"/>
      <c r="Y99" s="389"/>
      <c r="Z99" s="396"/>
      <c r="AA99" s="388"/>
      <c r="AB99" s="390"/>
    </row>
    <row r="100" spans="1:28">
      <c r="A100" s="384" t="str">
        <f t="shared" ref="A100:B100" si="239">A85</f>
        <v>Lantai 1</v>
      </c>
      <c r="B100" s="385">
        <f t="shared" si="239"/>
        <v>3</v>
      </c>
      <c r="C100" s="393" t="s">
        <v>209</v>
      </c>
      <c r="D100" s="398">
        <f>VLOOKUP(D85,'Detail Balok'!$C$10:$AU$140,22,FALSE)</f>
        <v>3</v>
      </c>
      <c r="E100" s="388" t="s">
        <v>16</v>
      </c>
      <c r="F100" s="388">
        <f>VLOOKUP(D85,'Detail Balok'!$C$10:$AU$140,24,FALSE)</f>
        <v>13</v>
      </c>
      <c r="G100" s="388"/>
      <c r="H100" s="395"/>
      <c r="I100" s="388" t="s">
        <v>203</v>
      </c>
      <c r="J100" s="399">
        <f t="shared" si="46"/>
        <v>0.75</v>
      </c>
      <c r="K100" s="400" t="s">
        <v>204</v>
      </c>
      <c r="L100" s="399">
        <f t="shared" ref="L100" si="240">MAX(VLOOKUP(F100,N$6:P$15,3,FALSE)/1000,2/3*D90/1000)+F$16*F100/1000</f>
        <v>0.156</v>
      </c>
      <c r="M100" s="399" t="s">
        <v>176</v>
      </c>
      <c r="N100" s="399">
        <f t="shared" ref="N100:N102" si="241">J100+L100</f>
        <v>0.90600000000000003</v>
      </c>
      <c r="O100" s="399" t="s">
        <v>204</v>
      </c>
      <c r="P100" s="389">
        <f t="shared" ref="P100" si="242">D100-D101</f>
        <v>0</v>
      </c>
      <c r="Q100" s="399" t="s">
        <v>125</v>
      </c>
      <c r="R100" s="399">
        <f t="shared" ref="R100" si="243">IF(P100&gt;0,$F$18*F100/1000,0)</f>
        <v>0</v>
      </c>
      <c r="S100" s="399" t="s">
        <v>205</v>
      </c>
      <c r="T100" s="399" t="s">
        <v>125</v>
      </c>
      <c r="U100" s="401">
        <f t="shared" ref="U100:U102" si="244">0.006165*F100^2</f>
        <v>1.041885</v>
      </c>
      <c r="V100" s="399"/>
      <c r="W100" s="399"/>
      <c r="X100" s="399" t="s">
        <v>125</v>
      </c>
      <c r="Y100" s="389">
        <f t="shared" ref="Y100" si="245">D91</f>
        <v>1</v>
      </c>
      <c r="Z100" s="400" t="s">
        <v>176</v>
      </c>
      <c r="AA100" s="402">
        <f t="shared" ref="AA100" si="246">IF(AA103=0,(D100*N100+P100*R100)*U100*Y100,0)</f>
        <v>0</v>
      </c>
      <c r="AB100" s="403"/>
    </row>
    <row r="101" spans="1:28">
      <c r="A101" s="384" t="str">
        <f t="shared" ref="A101:B101" si="247">A85</f>
        <v>Lantai 1</v>
      </c>
      <c r="B101" s="385">
        <f t="shared" si="247"/>
        <v>3</v>
      </c>
      <c r="C101" s="393" t="s">
        <v>210</v>
      </c>
      <c r="D101" s="398">
        <f>VLOOKUP(D85,'Detail Balok'!$C$10:$AU$140,25,FALSE)</f>
        <v>3</v>
      </c>
      <c r="E101" s="388" t="s">
        <v>16</v>
      </c>
      <c r="F101" s="388">
        <f>VLOOKUP(D85,'Detail Balok'!$C$10:$AU$140,27,FALSE)</f>
        <v>13</v>
      </c>
      <c r="G101" s="388"/>
      <c r="H101" s="395"/>
      <c r="I101" s="388" t="s">
        <v>203</v>
      </c>
      <c r="J101" s="399">
        <f t="shared" si="46"/>
        <v>1.5</v>
      </c>
      <c r="K101" s="400" t="s">
        <v>204</v>
      </c>
      <c r="L101" s="399"/>
      <c r="M101" s="399" t="s">
        <v>176</v>
      </c>
      <c r="N101" s="399">
        <f t="shared" si="241"/>
        <v>1.5</v>
      </c>
      <c r="O101" s="399" t="s">
        <v>204</v>
      </c>
      <c r="P101" s="389">
        <f t="shared" ref="P101" si="248">MAX(D101-D100,D101-D102)</f>
        <v>0</v>
      </c>
      <c r="Q101" s="399" t="s">
        <v>125</v>
      </c>
      <c r="R101" s="399">
        <f t="shared" ref="R101" si="249">IF(P101&gt;0,2*(1-2*$F$19-1/2)*D88/1000,0)</f>
        <v>0</v>
      </c>
      <c r="S101" s="399" t="s">
        <v>205</v>
      </c>
      <c r="T101" s="399" t="s">
        <v>125</v>
      </c>
      <c r="U101" s="401">
        <f t="shared" si="244"/>
        <v>1.041885</v>
      </c>
      <c r="V101" s="399"/>
      <c r="W101" s="399"/>
      <c r="X101" s="399" t="s">
        <v>125</v>
      </c>
      <c r="Y101" s="389">
        <f t="shared" ref="Y101" si="250">D91</f>
        <v>1</v>
      </c>
      <c r="Z101" s="400" t="s">
        <v>176</v>
      </c>
      <c r="AA101" s="402">
        <f t="shared" ref="AA101" si="251">IF(AA103=0,(D101*N101+P101*R101)*U101*Y101,0)</f>
        <v>0</v>
      </c>
      <c r="AB101" s="403"/>
    </row>
    <row r="102" spans="1:28">
      <c r="A102" s="384" t="str">
        <f t="shared" ref="A102:B102" si="252">A85</f>
        <v>Lantai 1</v>
      </c>
      <c r="B102" s="385">
        <f t="shared" si="252"/>
        <v>3</v>
      </c>
      <c r="C102" s="393" t="s">
        <v>209</v>
      </c>
      <c r="D102" s="398">
        <f>VLOOKUP(D85,'Detail Balok'!$C$10:$AU$140,28,FALSE)</f>
        <v>3</v>
      </c>
      <c r="E102" s="388" t="s">
        <v>16</v>
      </c>
      <c r="F102" s="388">
        <f>VLOOKUP(D85,'Detail Balok'!$C$10:$AU$140,30,FALSE)</f>
        <v>13</v>
      </c>
      <c r="G102" s="388"/>
      <c r="H102" s="395"/>
      <c r="I102" s="388" t="s">
        <v>203</v>
      </c>
      <c r="J102" s="399">
        <f t="shared" si="46"/>
        <v>0.75</v>
      </c>
      <c r="K102" s="400" t="s">
        <v>204</v>
      </c>
      <c r="L102" s="399">
        <f t="shared" ref="L102" si="253">MAX(VLOOKUP(F102,N$6:P$15,3,FALSE)/1000,2/3*D90/1000)+F$16*F102/1000</f>
        <v>0.156</v>
      </c>
      <c r="M102" s="399" t="s">
        <v>176</v>
      </c>
      <c r="N102" s="399">
        <f t="shared" si="241"/>
        <v>0.90600000000000003</v>
      </c>
      <c r="O102" s="399" t="s">
        <v>204</v>
      </c>
      <c r="P102" s="389">
        <f t="shared" ref="P102" si="254">D102-D101</f>
        <v>0</v>
      </c>
      <c r="Q102" s="399" t="s">
        <v>125</v>
      </c>
      <c r="R102" s="399">
        <f t="shared" ref="R102" si="255">IF(P102&gt;0,$F$18*F102/1000,0)</f>
        <v>0</v>
      </c>
      <c r="S102" s="399" t="s">
        <v>205</v>
      </c>
      <c r="T102" s="399" t="s">
        <v>125</v>
      </c>
      <c r="U102" s="401">
        <f t="shared" si="244"/>
        <v>1.041885</v>
      </c>
      <c r="V102" s="399"/>
      <c r="W102" s="399"/>
      <c r="X102" s="399" t="s">
        <v>125</v>
      </c>
      <c r="Y102" s="389">
        <f t="shared" ref="Y102" si="256">D91</f>
        <v>1</v>
      </c>
      <c r="Z102" s="400" t="s">
        <v>176</v>
      </c>
      <c r="AA102" s="402">
        <f t="shared" ref="AA102" si="257">IF(AA103=0,(D102*N102+P102*R102)*U102*Y102,0)</f>
        <v>0</v>
      </c>
      <c r="AB102" s="403"/>
    </row>
    <row r="103" spans="1:28">
      <c r="A103" s="384" t="str">
        <f t="shared" ref="A103:B103" si="258">A85</f>
        <v>Lantai 1</v>
      </c>
      <c r="B103" s="385">
        <f t="shared" si="258"/>
        <v>3</v>
      </c>
      <c r="C103" s="393"/>
      <c r="D103" s="398">
        <f t="shared" si="66"/>
        <v>3</v>
      </c>
      <c r="E103" s="388" t="s">
        <v>16</v>
      </c>
      <c r="F103" s="388">
        <f t="shared" si="67"/>
        <v>13</v>
      </c>
      <c r="G103" s="388"/>
      <c r="H103" s="395"/>
      <c r="I103" s="388"/>
      <c r="J103" s="396"/>
      <c r="K103" s="396"/>
      <c r="L103" s="404" t="s">
        <v>207</v>
      </c>
      <c r="M103" s="399" t="s">
        <v>176</v>
      </c>
      <c r="N103" s="399">
        <f t="shared" ref="N103" si="259">IF(AND(D100=D101,D100=D102,D101=D102,F100=F101,F100=F102,F101=F102),SUM(N100:N102),0)</f>
        <v>3.3120000000000003</v>
      </c>
      <c r="O103" s="399" t="s">
        <v>204</v>
      </c>
      <c r="P103" s="389">
        <f t="shared" ref="P103" si="260">IF(N103&gt;12,ROUNDDOWN(N103/12,0),0)</f>
        <v>0</v>
      </c>
      <c r="Q103" s="399" t="s">
        <v>125</v>
      </c>
      <c r="R103" s="399">
        <f t="shared" ref="R103" si="261">IF(P103&gt;0,MAX(VLOOKUP(F103,$D$6:$G$15,3,FALSE),600),0)/1000</f>
        <v>0</v>
      </c>
      <c r="S103" s="396"/>
      <c r="T103" s="396" t="s">
        <v>125</v>
      </c>
      <c r="U103" s="401">
        <f t="shared" si="71"/>
        <v>1.041885</v>
      </c>
      <c r="V103" s="396" t="s">
        <v>125</v>
      </c>
      <c r="W103" s="399">
        <f t="shared" ref="W103" si="262">D103</f>
        <v>3</v>
      </c>
      <c r="X103" s="399" t="s">
        <v>125</v>
      </c>
      <c r="Y103" s="389">
        <f t="shared" si="73"/>
        <v>1</v>
      </c>
      <c r="Z103" s="400" t="s">
        <v>176</v>
      </c>
      <c r="AA103" s="402">
        <f t="shared" ref="AA103" si="263">(N103+P103*R103/1000)*U103*W103*Y103</f>
        <v>10.352169360000001</v>
      </c>
      <c r="AB103" s="403"/>
    </row>
    <row r="104" spans="1:28">
      <c r="A104" s="384"/>
      <c r="B104" s="385"/>
      <c r="C104" s="393"/>
      <c r="D104" s="394"/>
      <c r="E104" s="388"/>
      <c r="F104" s="388"/>
      <c r="G104" s="388"/>
      <c r="H104" s="395"/>
      <c r="I104" s="388"/>
      <c r="J104" s="399"/>
      <c r="K104" s="396"/>
      <c r="L104" s="396"/>
      <c r="M104" s="396"/>
      <c r="N104" s="396"/>
      <c r="O104" s="396"/>
      <c r="P104" s="389"/>
      <c r="Q104" s="396"/>
      <c r="R104" s="396"/>
      <c r="S104" s="396"/>
      <c r="T104" s="396"/>
      <c r="U104" s="401"/>
      <c r="V104" s="396"/>
      <c r="W104" s="388"/>
      <c r="X104" s="396"/>
      <c r="Y104" s="389"/>
      <c r="Z104" s="396"/>
      <c r="AA104" s="388"/>
      <c r="AB104" s="390"/>
    </row>
    <row r="105" spans="1:28">
      <c r="A105" s="384" t="str">
        <f t="shared" ref="A105:B105" si="264">A85</f>
        <v>Lantai 1</v>
      </c>
      <c r="B105" s="385">
        <f t="shared" si="264"/>
        <v>3</v>
      </c>
      <c r="C105" s="393" t="s">
        <v>211</v>
      </c>
      <c r="D105" s="398">
        <f>VLOOKUP(D85,'Detail Balok'!$C$10:$AU$140,31,FALSE)</f>
        <v>0</v>
      </c>
      <c r="E105" s="388" t="s">
        <v>16</v>
      </c>
      <c r="F105" s="388">
        <f>VLOOKUP(D85,'Detail Balok'!$C$10:$AU$140,33,FALSE)</f>
        <v>8</v>
      </c>
      <c r="G105" s="405" t="s">
        <v>157</v>
      </c>
      <c r="H105" s="395">
        <f>VLOOKUP(D85,'Detail Balok'!$C$10:$AU$140,35,FALSE)</f>
        <v>150</v>
      </c>
      <c r="I105" s="388"/>
      <c r="J105" s="400">
        <f t="shared" ref="J105" si="265">(IF(D105=0,(2*(D86+G86))-(F$5*8),IF(D105=3,(2*(D86+G86))-(F$5*8)+(G86-2*F$5),IF(D105=4,(2*(D86+G86))-(F$5*8)+2*(G86-2*F$5)))))/1000</f>
        <v>0.88</v>
      </c>
      <c r="K105" s="400" t="s">
        <v>204</v>
      </c>
      <c r="L105" s="399">
        <f t="shared" ref="L105:L107" si="266">IF(D105=0,2*MAX(6*F105,75),(D105-1)*2*MAX(6*F105,75))/1000</f>
        <v>0.15</v>
      </c>
      <c r="M105" s="399" t="s">
        <v>176</v>
      </c>
      <c r="N105" s="399">
        <f t="shared" ref="N105:N107" si="267">J105+L105</f>
        <v>1.03</v>
      </c>
      <c r="O105" s="399"/>
      <c r="P105" s="389"/>
      <c r="Q105" s="399"/>
      <c r="R105" s="399"/>
      <c r="S105" s="399"/>
      <c r="T105" s="399" t="s">
        <v>125</v>
      </c>
      <c r="U105" s="401">
        <f t="shared" ref="U105:U107" si="268">0.006165*F105^2</f>
        <v>0.39456000000000002</v>
      </c>
      <c r="V105" s="399" t="s">
        <v>125</v>
      </c>
      <c r="W105" s="399">
        <f t="shared" ref="W105" si="269">IF(D88&gt;4*G86,ROUND(MAX(D88/4,2*G86)/H105,0)+1,ROUND(D88/H105,0)+1)</f>
        <v>6</v>
      </c>
      <c r="X105" s="399" t="s">
        <v>125</v>
      </c>
      <c r="Y105" s="389">
        <f t="shared" ref="Y105" si="270">D91</f>
        <v>1</v>
      </c>
      <c r="Z105" s="400" t="s">
        <v>176</v>
      </c>
      <c r="AA105" s="402">
        <f t="shared" ref="AA105:AA107" si="271">N105*U105*W105*Y105</f>
        <v>2.4383808000000005</v>
      </c>
      <c r="AB105" s="403"/>
    </row>
    <row r="106" spans="1:28">
      <c r="A106" s="384" t="str">
        <f t="shared" ref="A106:B106" si="272">A85</f>
        <v>Lantai 1</v>
      </c>
      <c r="B106" s="385">
        <f t="shared" si="272"/>
        <v>3</v>
      </c>
      <c r="C106" s="393" t="s">
        <v>212</v>
      </c>
      <c r="D106" s="398">
        <f>VLOOKUP(D85,'Detail Balok'!$C$10:$AU$140,36,FALSE)</f>
        <v>0</v>
      </c>
      <c r="E106" s="388" t="s">
        <v>16</v>
      </c>
      <c r="F106" s="388">
        <f>VLOOKUP(D85,'Detail Balok'!$C$10:$AU$140,38,FALSE)</f>
        <v>8</v>
      </c>
      <c r="G106" s="405" t="s">
        <v>157</v>
      </c>
      <c r="H106" s="395">
        <f>VLOOKUP(D85,'Detail Balok'!$C$10:$AU$140,40,FALSE)</f>
        <v>200</v>
      </c>
      <c r="I106" s="388"/>
      <c r="J106" s="400">
        <f t="shared" ref="J106" si="273">(IF(D106=0,(2*(D86+G86))-(F$5*8),IF(D106=3,(2*(D86+G86))-(F$5*8)+(G86-2*F$5),IF(D106=4,(2*(D86+G86))-(F$5*8)+2*(G86-2*F$5)))))/1000</f>
        <v>0.88</v>
      </c>
      <c r="K106" s="400" t="s">
        <v>204</v>
      </c>
      <c r="L106" s="399">
        <f t="shared" si="266"/>
        <v>0.15</v>
      </c>
      <c r="M106" s="399" t="s">
        <v>176</v>
      </c>
      <c r="N106" s="399">
        <f t="shared" si="267"/>
        <v>1.03</v>
      </c>
      <c r="O106" s="399"/>
      <c r="P106" s="389"/>
      <c r="Q106" s="399"/>
      <c r="R106" s="399"/>
      <c r="S106" s="399"/>
      <c r="T106" s="399" t="s">
        <v>125</v>
      </c>
      <c r="U106" s="401">
        <f t="shared" si="268"/>
        <v>0.39456000000000002</v>
      </c>
      <c r="V106" s="399" t="s">
        <v>125</v>
      </c>
      <c r="W106" s="399">
        <f t="shared" ref="W106" si="274">IF(D88-MAX(D88/4,2*G86)*2&gt;0,ROUND((D88-MAX(D88/4,2*G86)*2)/H106,0),0)</f>
        <v>7</v>
      </c>
      <c r="X106" s="399" t="s">
        <v>125</v>
      </c>
      <c r="Y106" s="389">
        <f t="shared" ref="Y106" si="275">D91</f>
        <v>1</v>
      </c>
      <c r="Z106" s="400" t="s">
        <v>176</v>
      </c>
      <c r="AA106" s="402">
        <f t="shared" si="271"/>
        <v>2.8447776000000005</v>
      </c>
      <c r="AB106" s="403"/>
    </row>
    <row r="107" spans="1:28">
      <c r="A107" s="384" t="str">
        <f t="shared" ref="A107:B107" si="276">A85</f>
        <v>Lantai 1</v>
      </c>
      <c r="B107" s="385">
        <f t="shared" si="276"/>
        <v>3</v>
      </c>
      <c r="C107" s="393" t="s">
        <v>211</v>
      </c>
      <c r="D107" s="398">
        <f>VLOOKUP(D85,'Detail Balok'!$C$10:$AU$140,41,FALSE)</f>
        <v>0</v>
      </c>
      <c r="E107" s="388" t="s">
        <v>16</v>
      </c>
      <c r="F107" s="388">
        <f>VLOOKUP(D85,'Detail Balok'!$C$10:$AU$140,43,FALSE)</f>
        <v>8</v>
      </c>
      <c r="G107" s="405" t="s">
        <v>157</v>
      </c>
      <c r="H107" s="395">
        <f>VLOOKUP(D85,'Detail Balok'!$C$10:$AU$140,45,FALSE)</f>
        <v>150</v>
      </c>
      <c r="I107" s="388"/>
      <c r="J107" s="400">
        <f t="shared" ref="J107" si="277">(IF(D107=0,(2*(D86+G86))-(F$5*8),IF(D107=3,(2*(D86+G86))-(F$5*8)+(G86-2*F$5),IF(D107=4,(2*(D86+G86))-(F$5*8)+2*(G86-2*F$5)))))/1000</f>
        <v>0.88</v>
      </c>
      <c r="K107" s="400" t="s">
        <v>204</v>
      </c>
      <c r="L107" s="399">
        <f t="shared" si="266"/>
        <v>0.15</v>
      </c>
      <c r="M107" s="399" t="s">
        <v>176</v>
      </c>
      <c r="N107" s="399">
        <f t="shared" si="267"/>
        <v>1.03</v>
      </c>
      <c r="O107" s="399"/>
      <c r="P107" s="389"/>
      <c r="Q107" s="399"/>
      <c r="R107" s="399"/>
      <c r="S107" s="399"/>
      <c r="T107" s="399" t="s">
        <v>125</v>
      </c>
      <c r="U107" s="401">
        <f t="shared" si="268"/>
        <v>0.39456000000000002</v>
      </c>
      <c r="V107" s="399" t="s">
        <v>125</v>
      </c>
      <c r="W107" s="399">
        <f t="shared" ref="W107" si="278">IF(D88&gt;4*G86,ROUND(MAX(D88/4,2*G86)/H107,0)+1,0)</f>
        <v>6</v>
      </c>
      <c r="X107" s="399" t="s">
        <v>125</v>
      </c>
      <c r="Y107" s="389">
        <f t="shared" ref="Y107" si="279">D91</f>
        <v>1</v>
      </c>
      <c r="Z107" s="400" t="s">
        <v>176</v>
      </c>
      <c r="AA107" s="402">
        <f t="shared" si="271"/>
        <v>2.4383808000000005</v>
      </c>
      <c r="AB107" s="403"/>
    </row>
    <row r="108" spans="1:28">
      <c r="A108" s="384"/>
      <c r="B108" s="385"/>
      <c r="C108" s="393"/>
      <c r="D108" s="394"/>
      <c r="E108" s="388"/>
      <c r="F108" s="388"/>
      <c r="G108" s="388"/>
      <c r="H108" s="395"/>
      <c r="I108" s="388"/>
      <c r="J108" s="399"/>
      <c r="K108" s="396"/>
      <c r="L108" s="396"/>
      <c r="M108" s="396"/>
      <c r="N108" s="396"/>
      <c r="O108" s="396"/>
      <c r="P108" s="389"/>
      <c r="Q108" s="396"/>
      <c r="R108" s="396"/>
      <c r="S108" s="396"/>
      <c r="T108" s="396"/>
      <c r="U108" s="401"/>
      <c r="V108" s="396"/>
      <c r="W108" s="388"/>
      <c r="X108" s="396"/>
      <c r="Y108" s="389"/>
      <c r="Z108" s="396"/>
      <c r="AA108" s="388"/>
      <c r="AB108" s="390"/>
    </row>
    <row r="109" spans="1:28">
      <c r="A109" s="384" t="str">
        <f t="shared" ref="A109:B109" si="280">A85</f>
        <v>Lantai 1</v>
      </c>
      <c r="B109" s="385">
        <f t="shared" si="280"/>
        <v>3</v>
      </c>
      <c r="C109" s="393" t="s">
        <v>213</v>
      </c>
      <c r="D109" s="398">
        <f>VLOOKUP(D85,'Detail Balok'!$C$10:$BJ$140,46,FALSE)</f>
        <v>0</v>
      </c>
      <c r="E109" s="388" t="s">
        <v>16</v>
      </c>
      <c r="F109" s="388">
        <f>VLOOKUP(D85,'Detail Balok'!$C$10:$BJ$140,48,FALSE)</f>
        <v>0</v>
      </c>
      <c r="G109" s="405" t="s">
        <v>157</v>
      </c>
      <c r="H109" s="395">
        <f>VLOOKUP(D85,'Detail Balok'!$C$10:$BJ$140,50,FALSE)</f>
        <v>100</v>
      </c>
      <c r="I109" s="388"/>
      <c r="J109" s="399">
        <f t="shared" ref="J109" si="281">(D86-2*F$5)/1000</f>
        <v>0.12</v>
      </c>
      <c r="K109" s="400" t="s">
        <v>204</v>
      </c>
      <c r="L109" s="399">
        <f t="shared" ref="L109:L111" si="282">IF(D109=0,2*MAX(6*F109,75),(D109-1)*2*MAX(6*F109,75))/1000</f>
        <v>0.15</v>
      </c>
      <c r="M109" s="399" t="s">
        <v>176</v>
      </c>
      <c r="N109" s="399">
        <f t="shared" ref="N109:N111" si="283">J109+L109</f>
        <v>0.27</v>
      </c>
      <c r="O109" s="399"/>
      <c r="P109" s="399"/>
      <c r="Q109" s="399"/>
      <c r="R109" s="399"/>
      <c r="S109" s="399"/>
      <c r="T109" s="399" t="s">
        <v>125</v>
      </c>
      <c r="U109" s="401">
        <f t="shared" ref="U109:U111" si="284">0.006165*F109^2</f>
        <v>0</v>
      </c>
      <c r="V109" s="399" t="s">
        <v>125</v>
      </c>
      <c r="W109" s="399">
        <f t="shared" si="96"/>
        <v>6</v>
      </c>
      <c r="X109" s="399" t="s">
        <v>125</v>
      </c>
      <c r="Y109" s="389">
        <f t="shared" ref="Y109" si="285">D95</f>
        <v>3</v>
      </c>
      <c r="Z109" s="400" t="s">
        <v>176</v>
      </c>
      <c r="AA109" s="402">
        <f t="shared" ref="AA109:AA111" si="286">N109*U109*W109*Y109</f>
        <v>0</v>
      </c>
      <c r="AB109" s="403"/>
    </row>
    <row r="110" spans="1:28">
      <c r="A110" s="384" t="str">
        <f t="shared" ref="A110:B110" si="287">A85</f>
        <v>Lantai 1</v>
      </c>
      <c r="B110" s="385">
        <f t="shared" si="287"/>
        <v>3</v>
      </c>
      <c r="C110" s="393" t="s">
        <v>214</v>
      </c>
      <c r="D110" s="398">
        <f>VLOOKUP(D85,'Detail Balok'!$C$10:$BJ$140,51,FALSE)</f>
        <v>0</v>
      </c>
      <c r="E110" s="388" t="s">
        <v>16</v>
      </c>
      <c r="F110" s="388">
        <f>VLOOKUP(D85,'Detail Balok'!$C$10:$BJ$140,53,FALSE)</f>
        <v>0</v>
      </c>
      <c r="G110" s="405" t="s">
        <v>157</v>
      </c>
      <c r="H110" s="395">
        <f>VLOOKUP(D85,'Detail Balok'!$C$10:$BJ$140,55,FALSE)</f>
        <v>100</v>
      </c>
      <c r="I110" s="388"/>
      <c r="J110" s="399">
        <f t="shared" ref="J110" si="288">(D86-2*F$5)/1000</f>
        <v>0.12</v>
      </c>
      <c r="K110" s="400" t="s">
        <v>204</v>
      </c>
      <c r="L110" s="399">
        <f t="shared" si="282"/>
        <v>0.15</v>
      </c>
      <c r="M110" s="399" t="s">
        <v>176</v>
      </c>
      <c r="N110" s="399">
        <f t="shared" si="283"/>
        <v>0.27</v>
      </c>
      <c r="O110" s="399"/>
      <c r="P110" s="399"/>
      <c r="Q110" s="399"/>
      <c r="R110" s="399"/>
      <c r="S110" s="399"/>
      <c r="T110" s="399" t="s">
        <v>125</v>
      </c>
      <c r="U110" s="401">
        <f t="shared" si="284"/>
        <v>0</v>
      </c>
      <c r="V110" s="399" t="s">
        <v>125</v>
      </c>
      <c r="W110" s="399">
        <f t="shared" si="96"/>
        <v>7</v>
      </c>
      <c r="X110" s="399" t="s">
        <v>125</v>
      </c>
      <c r="Y110" s="389">
        <f t="shared" ref="Y110" si="289">D95</f>
        <v>3</v>
      </c>
      <c r="Z110" s="400" t="s">
        <v>176</v>
      </c>
      <c r="AA110" s="402">
        <f t="shared" si="286"/>
        <v>0</v>
      </c>
      <c r="AB110" s="403"/>
    </row>
    <row r="111" spans="1:28">
      <c r="A111" s="384" t="str">
        <f t="shared" ref="A111:B111" si="290">A85</f>
        <v>Lantai 1</v>
      </c>
      <c r="B111" s="385">
        <f t="shared" si="290"/>
        <v>3</v>
      </c>
      <c r="C111" s="393" t="s">
        <v>213</v>
      </c>
      <c r="D111" s="398">
        <f>VLOOKUP(D85,'Detail Balok'!$C$10:$BJ$140,56,FALSE)</f>
        <v>0</v>
      </c>
      <c r="E111" s="388" t="s">
        <v>16</v>
      </c>
      <c r="F111" s="388">
        <f>VLOOKUP(D85,'Detail Balok'!$C$10:$BJ$140,58,FALSE)</f>
        <v>0</v>
      </c>
      <c r="G111" s="405" t="s">
        <v>157</v>
      </c>
      <c r="H111" s="395">
        <f>VLOOKUP(D85,'Detail Balok'!$C$10:$BJ$140,60,FALSE)</f>
        <v>100</v>
      </c>
      <c r="I111" s="388"/>
      <c r="J111" s="399">
        <f t="shared" ref="J111" si="291">(D86-2*F$5)/1000</f>
        <v>0.12</v>
      </c>
      <c r="K111" s="400" t="s">
        <v>204</v>
      </c>
      <c r="L111" s="399">
        <f t="shared" si="282"/>
        <v>0.15</v>
      </c>
      <c r="M111" s="399" t="s">
        <v>176</v>
      </c>
      <c r="N111" s="399">
        <f t="shared" si="283"/>
        <v>0.27</v>
      </c>
      <c r="O111" s="399"/>
      <c r="P111" s="399"/>
      <c r="Q111" s="399"/>
      <c r="R111" s="399"/>
      <c r="S111" s="399"/>
      <c r="T111" s="399" t="s">
        <v>125</v>
      </c>
      <c r="U111" s="401">
        <f t="shared" si="284"/>
        <v>0</v>
      </c>
      <c r="V111" s="399" t="s">
        <v>125</v>
      </c>
      <c r="W111" s="399">
        <f t="shared" si="96"/>
        <v>6</v>
      </c>
      <c r="X111" s="399" t="s">
        <v>125</v>
      </c>
      <c r="Y111" s="389">
        <f t="shared" ref="Y111" si="292">D95</f>
        <v>3</v>
      </c>
      <c r="Z111" s="400" t="s">
        <v>176</v>
      </c>
      <c r="AA111" s="402">
        <f t="shared" si="286"/>
        <v>0</v>
      </c>
      <c r="AB111" s="403"/>
    </row>
    <row r="112" spans="1:28">
      <c r="A112" s="391"/>
      <c r="B112" s="392"/>
      <c r="C112" s="392"/>
      <c r="D112" s="394"/>
      <c r="E112" s="388"/>
      <c r="F112" s="388"/>
      <c r="G112" s="388"/>
      <c r="H112" s="395"/>
      <c r="I112" s="388"/>
      <c r="J112" s="402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9"/>
      <c r="Z112" s="388"/>
      <c r="AA112" s="402"/>
      <c r="AB112" s="403"/>
    </row>
    <row r="113" spans="1:28" ht="15.75" thickBot="1">
      <c r="A113" s="406"/>
      <c r="B113" s="407"/>
      <c r="C113" s="407"/>
      <c r="D113" s="408"/>
      <c r="E113" s="409"/>
      <c r="F113" s="409"/>
      <c r="G113" s="409"/>
      <c r="H113" s="410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  <c r="X113" s="409"/>
      <c r="Y113" s="411"/>
      <c r="Z113" s="409"/>
      <c r="AA113" s="412"/>
      <c r="AB113" s="413"/>
    </row>
    <row r="114" spans="1:28">
      <c r="A114" s="377"/>
      <c r="B114" s="378"/>
      <c r="C114" s="378"/>
      <c r="D114" s="379"/>
      <c r="E114" s="380"/>
      <c r="F114" s="380"/>
      <c r="G114" s="380"/>
      <c r="H114" s="381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2"/>
      <c r="Z114" s="380"/>
      <c r="AA114" s="380"/>
      <c r="AB114" s="383"/>
    </row>
    <row r="115" spans="1:28">
      <c r="A115" s="384" t="str">
        <f t="shared" si="105"/>
        <v>Lantai 1</v>
      </c>
      <c r="B115" s="385">
        <f t="shared" si="106"/>
        <v>4</v>
      </c>
      <c r="C115" s="386" t="str">
        <f t="shared" ref="C115" si="293">CONCATENATE(A115," no. ",B115)</f>
        <v>Lantai 1 no. 4</v>
      </c>
      <c r="D115" s="2562" t="str">
        <f>VLOOKUP(C115,'Data Panjang Balok'!$C$9:$N$254,2,FALSE)</f>
        <v>S24-1</v>
      </c>
      <c r="E115" s="2576"/>
      <c r="F115" s="2576"/>
      <c r="G115" s="2576"/>
      <c r="H115" s="2577"/>
      <c r="I115" s="387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9"/>
      <c r="Z115" s="388"/>
      <c r="AA115" s="388"/>
      <c r="AB115" s="390"/>
    </row>
    <row r="116" spans="1:28">
      <c r="A116" s="391"/>
      <c r="B116" s="392"/>
      <c r="C116" s="393" t="s">
        <v>118</v>
      </c>
      <c r="D116" s="2578">
        <f>VLOOKUP(D115,'Detail Balok'!$C$10:$AU$140,2,FALSE)</f>
        <v>200</v>
      </c>
      <c r="E116" s="2579"/>
      <c r="F116" s="388" t="s">
        <v>125</v>
      </c>
      <c r="G116" s="2579">
        <f>VLOOKUP(D115,'Detail Balok'!$C$10:$AU$140,3,FALSE)</f>
        <v>400</v>
      </c>
      <c r="H116" s="2580"/>
      <c r="I116" s="388"/>
      <c r="J116" s="396"/>
      <c r="K116" s="396"/>
      <c r="L116" s="396"/>
      <c r="M116" s="396"/>
      <c r="N116" s="396"/>
      <c r="O116" s="396"/>
      <c r="P116" s="396"/>
      <c r="Q116" s="396"/>
      <c r="R116" s="396"/>
      <c r="S116" s="396"/>
      <c r="T116" s="396"/>
      <c r="U116" s="388"/>
      <c r="V116" s="396"/>
      <c r="W116" s="388"/>
      <c r="X116" s="396"/>
      <c r="Y116" s="389"/>
      <c r="Z116" s="396"/>
      <c r="AA116" s="388"/>
      <c r="AB116" s="390"/>
    </row>
    <row r="117" spans="1:28">
      <c r="A117" s="391"/>
      <c r="B117" s="392"/>
      <c r="C117" s="393" t="s">
        <v>198</v>
      </c>
      <c r="D117" s="2562">
        <f>VLOOKUP(C115,'Data Panjang Balok'!$C$9:$N$254,4,FALSE)</f>
        <v>3000</v>
      </c>
      <c r="E117" s="2563"/>
      <c r="F117" s="2563"/>
      <c r="G117" s="2563"/>
      <c r="H117" s="2564"/>
      <c r="I117" s="397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88"/>
      <c r="V117" s="396"/>
      <c r="W117" s="388"/>
      <c r="X117" s="396"/>
      <c r="Y117" s="389"/>
      <c r="Z117" s="396"/>
      <c r="AA117" s="388"/>
      <c r="AB117" s="390"/>
    </row>
    <row r="118" spans="1:28">
      <c r="A118" s="391"/>
      <c r="B118" s="392"/>
      <c r="C118" s="393" t="s">
        <v>199</v>
      </c>
      <c r="D118" s="2562">
        <f>VLOOKUP(C115,'Data Panjang Balok'!$C$9:$N$254,7,FALSE)</f>
        <v>3000</v>
      </c>
      <c r="E118" s="2563"/>
      <c r="F118" s="2563"/>
      <c r="G118" s="2563"/>
      <c r="H118" s="2564"/>
      <c r="I118" s="397"/>
      <c r="J118" s="396"/>
      <c r="K118" s="396"/>
      <c r="L118" s="396"/>
      <c r="M118" s="396"/>
      <c r="N118" s="396"/>
      <c r="O118" s="396"/>
      <c r="P118" s="396"/>
      <c r="Q118" s="396"/>
      <c r="R118" s="396"/>
      <c r="S118" s="396"/>
      <c r="T118" s="396"/>
      <c r="U118" s="388"/>
      <c r="V118" s="396"/>
      <c r="W118" s="388"/>
      <c r="X118" s="396"/>
      <c r="Y118" s="389"/>
      <c r="Z118" s="396"/>
      <c r="AA118" s="388"/>
      <c r="AB118" s="390"/>
    </row>
    <row r="119" spans="1:28">
      <c r="A119" s="391"/>
      <c r="B119" s="392"/>
      <c r="C119" s="393" t="s">
        <v>200</v>
      </c>
      <c r="D119" s="2562">
        <f>VLOOKUP(C115,'Data Panjang Balok'!$C$9:$N$254,9,FALSE)</f>
        <v>0</v>
      </c>
      <c r="E119" s="2563"/>
      <c r="F119" s="2563"/>
      <c r="G119" s="2563"/>
      <c r="H119" s="2564"/>
      <c r="I119" s="397"/>
      <c r="J119" s="396"/>
      <c r="K119" s="396"/>
      <c r="L119" s="396"/>
      <c r="M119" s="396"/>
      <c r="N119" s="396"/>
      <c r="O119" s="396"/>
      <c r="P119" s="396"/>
      <c r="Q119" s="396"/>
      <c r="R119" s="396"/>
      <c r="S119" s="396"/>
      <c r="T119" s="396"/>
      <c r="U119" s="388"/>
      <c r="V119" s="396"/>
      <c r="W119" s="388"/>
      <c r="X119" s="396"/>
      <c r="Y119" s="389"/>
      <c r="Z119" s="396"/>
      <c r="AA119" s="388"/>
      <c r="AB119" s="390"/>
    </row>
    <row r="120" spans="1:28">
      <c r="A120" s="391"/>
      <c r="B120" s="392"/>
      <c r="C120" s="393" t="s">
        <v>201</v>
      </c>
      <c r="D120" s="2562">
        <f>VLOOKUP(C115,'Data Panjang Balok'!$C$9:$N$254,10,FALSE)</f>
        <v>0</v>
      </c>
      <c r="E120" s="2563"/>
      <c r="F120" s="2563"/>
      <c r="G120" s="2563"/>
      <c r="H120" s="2564"/>
      <c r="I120" s="397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88"/>
      <c r="V120" s="396"/>
      <c r="W120" s="388"/>
      <c r="X120" s="396"/>
      <c r="Y120" s="389"/>
      <c r="Z120" s="396"/>
      <c r="AA120" s="388"/>
      <c r="AB120" s="390"/>
    </row>
    <row r="121" spans="1:28">
      <c r="A121" s="391"/>
      <c r="B121" s="392"/>
      <c r="C121" s="393" t="s">
        <v>48</v>
      </c>
      <c r="D121" s="2562">
        <f>VLOOKUP(C115,'Data Panjang Balok'!$C$9:$N$254,3,FALSE)</f>
        <v>1</v>
      </c>
      <c r="E121" s="2563"/>
      <c r="F121" s="2563"/>
      <c r="G121" s="2563"/>
      <c r="H121" s="2564"/>
      <c r="I121" s="397"/>
      <c r="J121" s="396"/>
      <c r="K121" s="396"/>
      <c r="L121" s="396"/>
      <c r="M121" s="396"/>
      <c r="N121" s="396"/>
      <c r="O121" s="396"/>
      <c r="P121" s="396"/>
      <c r="Q121" s="396"/>
      <c r="R121" s="396"/>
      <c r="S121" s="396"/>
      <c r="T121" s="396"/>
      <c r="U121" s="388"/>
      <c r="V121" s="396"/>
      <c r="W121" s="388"/>
      <c r="X121" s="396"/>
      <c r="Y121" s="389"/>
      <c r="Z121" s="396"/>
      <c r="AA121" s="388"/>
      <c r="AB121" s="390"/>
    </row>
    <row r="122" spans="1:28">
      <c r="A122" s="384" t="str">
        <f t="shared" ref="A122:B122" si="294">A115</f>
        <v>Lantai 1</v>
      </c>
      <c r="B122" s="385">
        <f t="shared" si="294"/>
        <v>4</v>
      </c>
      <c r="C122" s="393" t="s">
        <v>202</v>
      </c>
      <c r="D122" s="398">
        <f>VLOOKUP(D115,'Detail Balok'!$C$10:$AU$140,4,FALSE)</f>
        <v>3</v>
      </c>
      <c r="E122" s="388" t="s">
        <v>16</v>
      </c>
      <c r="F122" s="388">
        <f>VLOOKUP(D115,'Detail Balok'!$C$10:$AU$140,6,FALSE)</f>
        <v>13</v>
      </c>
      <c r="G122" s="388"/>
      <c r="H122" s="395"/>
      <c r="I122" s="388" t="s">
        <v>203</v>
      </c>
      <c r="J122" s="399">
        <f t="shared" ref="J122" si="295">+D117/4/1000</f>
        <v>0.75</v>
      </c>
      <c r="K122" s="400" t="s">
        <v>204</v>
      </c>
      <c r="L122" s="399">
        <f t="shared" ref="L122" si="296">MAX(VLOOKUP(F122,N$6:P$15,3,FALSE)/1000,2/3*D119/1000)+F$16*F122/1000</f>
        <v>0.156</v>
      </c>
      <c r="M122" s="399" t="s">
        <v>176</v>
      </c>
      <c r="N122" s="399">
        <f t="shared" ref="N122:N124" si="297">J122+L122</f>
        <v>0.90600000000000003</v>
      </c>
      <c r="O122" s="399" t="s">
        <v>204</v>
      </c>
      <c r="P122" s="389">
        <f t="shared" ref="P122" si="298">D122-D123</f>
        <v>0</v>
      </c>
      <c r="Q122" s="399" t="s">
        <v>125</v>
      </c>
      <c r="R122" s="399">
        <f t="shared" ref="R122" si="299">IF(P122&gt;0,$F$18*F122/1000,0)</f>
        <v>0</v>
      </c>
      <c r="S122" s="399" t="s">
        <v>205</v>
      </c>
      <c r="T122" s="399" t="s">
        <v>125</v>
      </c>
      <c r="U122" s="401">
        <f t="shared" ref="U122:U124" si="300">0.006165*F122^2</f>
        <v>1.041885</v>
      </c>
      <c r="V122" s="399"/>
      <c r="W122" s="399"/>
      <c r="X122" s="399" t="s">
        <v>125</v>
      </c>
      <c r="Y122" s="389">
        <f t="shared" ref="Y122" si="301">D121</f>
        <v>1</v>
      </c>
      <c r="Z122" s="400" t="s">
        <v>176</v>
      </c>
      <c r="AA122" s="402">
        <f t="shared" ref="AA122" si="302">IF(AA125=0,(D122*N122+P122*R122)*U122*Y122,0)</f>
        <v>0</v>
      </c>
      <c r="AB122" s="403"/>
    </row>
    <row r="123" spans="1:28">
      <c r="A123" s="384" t="str">
        <f t="shared" ref="A123:B123" si="303">A115</f>
        <v>Lantai 1</v>
      </c>
      <c r="B123" s="385">
        <f t="shared" si="303"/>
        <v>4</v>
      </c>
      <c r="C123" s="393" t="s">
        <v>206</v>
      </c>
      <c r="D123" s="398">
        <f>VLOOKUP(D115,'Detail Balok'!$C$10:$AU$140,7,FALSE)</f>
        <v>3</v>
      </c>
      <c r="E123" s="388" t="s">
        <v>16</v>
      </c>
      <c r="F123" s="388">
        <f>VLOOKUP(D115,'Detail Balok'!$C$10:$AU$140,9,FALSE)</f>
        <v>13</v>
      </c>
      <c r="G123" s="388"/>
      <c r="H123" s="395"/>
      <c r="I123" s="388" t="s">
        <v>203</v>
      </c>
      <c r="J123" s="399">
        <f t="shared" ref="J123" si="304">+D117/2/1000</f>
        <v>1.5</v>
      </c>
      <c r="K123" s="400" t="s">
        <v>204</v>
      </c>
      <c r="L123" s="399"/>
      <c r="M123" s="399" t="s">
        <v>176</v>
      </c>
      <c r="N123" s="399">
        <f t="shared" si="297"/>
        <v>1.5</v>
      </c>
      <c r="O123" s="399" t="s">
        <v>204</v>
      </c>
      <c r="P123" s="389">
        <f t="shared" ref="P123" si="305">MAX(D123-D122,D123-D124)</f>
        <v>0</v>
      </c>
      <c r="Q123" s="399" t="s">
        <v>125</v>
      </c>
      <c r="R123" s="399">
        <f t="shared" ref="R123" si="306">IF(P123&gt;0,2*(1-2*$F$19-1/2)*D118/1000,0)</f>
        <v>0</v>
      </c>
      <c r="S123" s="399" t="s">
        <v>205</v>
      </c>
      <c r="T123" s="399" t="s">
        <v>125</v>
      </c>
      <c r="U123" s="401">
        <f t="shared" si="300"/>
        <v>1.041885</v>
      </c>
      <c r="V123" s="399"/>
      <c r="W123" s="399"/>
      <c r="X123" s="399" t="s">
        <v>125</v>
      </c>
      <c r="Y123" s="389">
        <f t="shared" ref="Y123" si="307">D121</f>
        <v>1</v>
      </c>
      <c r="Z123" s="400" t="s">
        <v>176</v>
      </c>
      <c r="AA123" s="402">
        <f t="shared" ref="AA123" si="308">IF(AA125=0,(D123*N123+P123*R123)*U123*Y123,0)</f>
        <v>0</v>
      </c>
      <c r="AB123" s="403"/>
    </row>
    <row r="124" spans="1:28">
      <c r="A124" s="384" t="str">
        <f t="shared" ref="A124:B124" si="309">A115</f>
        <v>Lantai 1</v>
      </c>
      <c r="B124" s="385">
        <f t="shared" si="309"/>
        <v>4</v>
      </c>
      <c r="C124" s="393" t="s">
        <v>202</v>
      </c>
      <c r="D124" s="398">
        <f>VLOOKUP(D115,'Detail Balok'!$C$10:$AU$140,10,FALSE)</f>
        <v>3</v>
      </c>
      <c r="E124" s="388" t="s">
        <v>16</v>
      </c>
      <c r="F124" s="388">
        <f>VLOOKUP(D115,'Detail Balok'!$C$10:$AU$140,12,FALSE)</f>
        <v>13</v>
      </c>
      <c r="G124" s="388"/>
      <c r="H124" s="395"/>
      <c r="I124" s="388" t="s">
        <v>203</v>
      </c>
      <c r="J124" s="399">
        <f t="shared" ref="J124" si="310">+D117/4/1000</f>
        <v>0.75</v>
      </c>
      <c r="K124" s="400" t="s">
        <v>204</v>
      </c>
      <c r="L124" s="399">
        <f t="shared" ref="L124" si="311">MAX(VLOOKUP(F124,N$6:P$15,3,FALSE)/1000,2/3*D119/1000)+F$16*F124/1000</f>
        <v>0.156</v>
      </c>
      <c r="M124" s="399" t="s">
        <v>176</v>
      </c>
      <c r="N124" s="399">
        <f t="shared" si="297"/>
        <v>0.90600000000000003</v>
      </c>
      <c r="O124" s="399" t="s">
        <v>204</v>
      </c>
      <c r="P124" s="389">
        <f t="shared" ref="P124" si="312">D124-D123</f>
        <v>0</v>
      </c>
      <c r="Q124" s="399" t="s">
        <v>125</v>
      </c>
      <c r="R124" s="399">
        <f t="shared" ref="R124" si="313">IF(P124&gt;0,$F$18*F124/1000,0)</f>
        <v>0</v>
      </c>
      <c r="S124" s="399" t="s">
        <v>205</v>
      </c>
      <c r="T124" s="399" t="s">
        <v>125</v>
      </c>
      <c r="U124" s="401">
        <f t="shared" si="300"/>
        <v>1.041885</v>
      </c>
      <c r="V124" s="399"/>
      <c r="W124" s="399"/>
      <c r="X124" s="399" t="s">
        <v>125</v>
      </c>
      <c r="Y124" s="389">
        <f t="shared" ref="Y124" si="314">D121</f>
        <v>1</v>
      </c>
      <c r="Z124" s="400" t="s">
        <v>176</v>
      </c>
      <c r="AA124" s="402">
        <f t="shared" ref="AA124" si="315">IF(AA125=0,(D124*N124+P124*R124)*U124*Y124,0)</f>
        <v>0</v>
      </c>
      <c r="AB124" s="403"/>
    </row>
    <row r="125" spans="1:28">
      <c r="A125" s="384" t="str">
        <f t="shared" ref="A125:B125" si="316">A115</f>
        <v>Lantai 1</v>
      </c>
      <c r="B125" s="385">
        <f t="shared" si="316"/>
        <v>4</v>
      </c>
      <c r="C125" s="393"/>
      <c r="D125" s="398">
        <f t="shared" ref="D125:D185" si="317">IF(AND(D122=D123,D123=D124,D122=D124),D122,0)</f>
        <v>3</v>
      </c>
      <c r="E125" s="388" t="s">
        <v>16</v>
      </c>
      <c r="F125" s="388">
        <f t="shared" ref="F125:F185" si="318">IF(AND(F122=F123,F122=F124,F123=F124),F122,0)</f>
        <v>13</v>
      </c>
      <c r="G125" s="388"/>
      <c r="H125" s="395"/>
      <c r="I125" s="388"/>
      <c r="J125" s="396"/>
      <c r="K125" s="396"/>
      <c r="L125" s="404" t="s">
        <v>207</v>
      </c>
      <c r="M125" s="399" t="s">
        <v>176</v>
      </c>
      <c r="N125" s="399">
        <f t="shared" ref="N125" si="319">IF(AND(D122=D123,D122=D124,D123=D124,F122=F123,F122=F124,F123=F124),SUM(N122:N124),0)</f>
        <v>3.3120000000000003</v>
      </c>
      <c r="O125" s="399" t="s">
        <v>204</v>
      </c>
      <c r="P125" s="389">
        <f t="shared" ref="P125" si="320">IF(N125&gt;12,ROUNDDOWN(N125/12,0),0)</f>
        <v>0</v>
      </c>
      <c r="Q125" s="399" t="s">
        <v>125</v>
      </c>
      <c r="R125" s="399">
        <f t="shared" ref="R125" si="321">IF(P125&gt;0,MAX(VLOOKUP(F125,$D$6:$G$15,3,FALSE),600),0)/1000</f>
        <v>0</v>
      </c>
      <c r="S125" s="396"/>
      <c r="T125" s="396" t="s">
        <v>125</v>
      </c>
      <c r="U125" s="401">
        <f t="shared" ref="U125:U185" si="322">U124</f>
        <v>1.041885</v>
      </c>
      <c r="V125" s="396" t="s">
        <v>125</v>
      </c>
      <c r="W125" s="399">
        <f t="shared" ref="W125" si="323">D125</f>
        <v>3</v>
      </c>
      <c r="X125" s="399" t="s">
        <v>125</v>
      </c>
      <c r="Y125" s="389">
        <f t="shared" ref="Y125:Y185" si="324">Y124</f>
        <v>1</v>
      </c>
      <c r="Z125" s="400" t="s">
        <v>176</v>
      </c>
      <c r="AA125" s="402">
        <f t="shared" ref="AA125" si="325">(N125+P125*R125/1000)*U125*W125*Y125</f>
        <v>10.352169360000001</v>
      </c>
      <c r="AB125" s="390"/>
    </row>
    <row r="126" spans="1:28">
      <c r="A126" s="384"/>
      <c r="B126" s="385"/>
      <c r="C126" s="393"/>
      <c r="D126" s="398"/>
      <c r="E126" s="388"/>
      <c r="F126" s="388"/>
      <c r="G126" s="388"/>
      <c r="H126" s="395"/>
      <c r="I126" s="388"/>
      <c r="J126" s="396"/>
      <c r="K126" s="396"/>
      <c r="L126" s="404"/>
      <c r="M126" s="399"/>
      <c r="N126" s="399"/>
      <c r="O126" s="396"/>
      <c r="P126" s="389"/>
      <c r="Q126" s="396"/>
      <c r="R126" s="396"/>
      <c r="S126" s="396"/>
      <c r="T126" s="396"/>
      <c r="U126" s="401"/>
      <c r="V126" s="396"/>
      <c r="W126" s="399"/>
      <c r="X126" s="396"/>
      <c r="Y126" s="389"/>
      <c r="Z126" s="396"/>
      <c r="AA126" s="388"/>
      <c r="AB126" s="390"/>
    </row>
    <row r="127" spans="1:28">
      <c r="A127" s="384" t="str">
        <f t="shared" ref="A127:B127" si="326">A115</f>
        <v>Lantai 1</v>
      </c>
      <c r="B127" s="385">
        <f t="shared" si="326"/>
        <v>4</v>
      </c>
      <c r="C127" s="393" t="s">
        <v>208</v>
      </c>
      <c r="D127" s="398">
        <f>VLOOKUP(D115,'Detail Balok'!$C$10:$AU$140,13,FALSE)</f>
        <v>0</v>
      </c>
      <c r="E127" s="388" t="s">
        <v>16</v>
      </c>
      <c r="F127" s="388">
        <f>VLOOKUP(D115,'Detail Balok'!$C$10:$AU$140,15,FALSE)</f>
        <v>8</v>
      </c>
      <c r="G127" s="388"/>
      <c r="H127" s="395"/>
      <c r="I127" s="388"/>
      <c r="J127" s="399">
        <f t="shared" ref="J127" si="327">+D117/1000</f>
        <v>3</v>
      </c>
      <c r="K127" s="400" t="s">
        <v>204</v>
      </c>
      <c r="L127" s="399">
        <f t="shared" ref="L127" si="328">2*$F$16*F127/1000</f>
        <v>0.192</v>
      </c>
      <c r="M127" s="399" t="s">
        <v>176</v>
      </c>
      <c r="N127" s="399">
        <f t="shared" ref="N127" si="329">J127+L127</f>
        <v>3.1920000000000002</v>
      </c>
      <c r="O127" s="399" t="s">
        <v>204</v>
      </c>
      <c r="P127" s="389">
        <f t="shared" ref="P127" si="330">IF(N127&gt;12,ROUNDDOWN(N127/12,0),0)</f>
        <v>0</v>
      </c>
      <c r="Q127" s="399" t="s">
        <v>125</v>
      </c>
      <c r="R127" s="399">
        <f t="shared" ref="R127" si="331">IF(P127&gt;0,MAX(VLOOKUP(F127,$D$6:$G$15,3,FALSE),600),0)/1000</f>
        <v>0</v>
      </c>
      <c r="S127" s="399"/>
      <c r="T127" s="399" t="s">
        <v>125</v>
      </c>
      <c r="U127" s="401">
        <f t="shared" ref="U127" si="332">0.006165*F127^2</f>
        <v>0.39456000000000002</v>
      </c>
      <c r="V127" s="399" t="s">
        <v>125</v>
      </c>
      <c r="W127" s="399">
        <f t="shared" ref="W127" si="333">+D127</f>
        <v>0</v>
      </c>
      <c r="X127" s="399" t="s">
        <v>125</v>
      </c>
      <c r="Y127" s="389">
        <f t="shared" ref="Y127" si="334">D121</f>
        <v>1</v>
      </c>
      <c r="Z127" s="400" t="s">
        <v>176</v>
      </c>
      <c r="AA127" s="402">
        <f t="shared" ref="AA127" si="335">(N127+P127*R127/1000)*U127*W127*Y127</f>
        <v>0</v>
      </c>
      <c r="AB127" s="403"/>
    </row>
    <row r="128" spans="1:28">
      <c r="A128" s="384"/>
      <c r="B128" s="385"/>
      <c r="C128" s="393"/>
      <c r="D128" s="398"/>
      <c r="E128" s="388"/>
      <c r="F128" s="388"/>
      <c r="G128" s="388"/>
      <c r="H128" s="395"/>
      <c r="I128" s="388"/>
      <c r="J128" s="399"/>
      <c r="K128" s="400"/>
      <c r="L128" s="399"/>
      <c r="M128" s="399"/>
      <c r="N128" s="399"/>
      <c r="O128" s="399"/>
      <c r="P128" s="389"/>
      <c r="Q128" s="399"/>
      <c r="R128" s="399"/>
      <c r="S128" s="399"/>
      <c r="T128" s="399"/>
      <c r="U128" s="401"/>
      <c r="V128" s="399"/>
      <c r="W128" s="399"/>
      <c r="X128" s="399"/>
      <c r="Y128" s="389"/>
      <c r="Z128" s="400"/>
      <c r="AA128" s="402"/>
      <c r="AB128" s="403"/>
    </row>
    <row r="129" spans="1:28">
      <c r="A129" s="384"/>
      <c r="B129" s="385"/>
      <c r="C129" s="393"/>
      <c r="D129" s="398"/>
      <c r="E129" s="388"/>
      <c r="F129" s="388"/>
      <c r="G129" s="388"/>
      <c r="H129" s="395"/>
      <c r="I129" s="388"/>
      <c r="J129" s="396"/>
      <c r="K129" s="396"/>
      <c r="L129" s="396"/>
      <c r="M129" s="396"/>
      <c r="N129" s="396"/>
      <c r="O129" s="396"/>
      <c r="P129" s="389"/>
      <c r="Q129" s="396"/>
      <c r="R129" s="396"/>
      <c r="S129" s="396"/>
      <c r="T129" s="396"/>
      <c r="U129" s="401"/>
      <c r="V129" s="396"/>
      <c r="W129" s="399"/>
      <c r="X129" s="396"/>
      <c r="Y129" s="389"/>
      <c r="Z129" s="396"/>
      <c r="AA129" s="388"/>
      <c r="AB129" s="390"/>
    </row>
    <row r="130" spans="1:28">
      <c r="A130" s="384" t="str">
        <f t="shared" ref="A130:B130" si="336">A115</f>
        <v>Lantai 1</v>
      </c>
      <c r="B130" s="385">
        <f t="shared" si="336"/>
        <v>4</v>
      </c>
      <c r="C130" s="393" t="s">
        <v>209</v>
      </c>
      <c r="D130" s="398">
        <f>VLOOKUP(D115,'Detail Balok'!$C$10:$AU$140,22,FALSE)</f>
        <v>3</v>
      </c>
      <c r="E130" s="388" t="s">
        <v>16</v>
      </c>
      <c r="F130" s="388">
        <f>VLOOKUP(D115,'Detail Balok'!$C$10:$AU$140,24,FALSE)</f>
        <v>13</v>
      </c>
      <c r="G130" s="388"/>
      <c r="H130" s="395"/>
      <c r="I130" s="388" t="s">
        <v>203</v>
      </c>
      <c r="J130" s="399">
        <f t="shared" ref="J130:J192" si="337">+J122</f>
        <v>0.75</v>
      </c>
      <c r="K130" s="400" t="s">
        <v>204</v>
      </c>
      <c r="L130" s="399">
        <f t="shared" ref="L130" si="338">MAX(VLOOKUP(F130,N$6:P$15,3,FALSE)/1000,2/3*D120/1000)+F$16*F130/1000</f>
        <v>0.156</v>
      </c>
      <c r="M130" s="399" t="s">
        <v>176</v>
      </c>
      <c r="N130" s="399">
        <f t="shared" ref="N130:N132" si="339">J130+L130</f>
        <v>0.90600000000000003</v>
      </c>
      <c r="O130" s="399" t="s">
        <v>204</v>
      </c>
      <c r="P130" s="389">
        <f t="shared" ref="P130" si="340">D130-D131</f>
        <v>0</v>
      </c>
      <c r="Q130" s="399" t="s">
        <v>125</v>
      </c>
      <c r="R130" s="399">
        <f t="shared" ref="R130" si="341">IF(P130&gt;0,$F$18*F130/1000,0)</f>
        <v>0</v>
      </c>
      <c r="S130" s="399" t="s">
        <v>205</v>
      </c>
      <c r="T130" s="399" t="s">
        <v>125</v>
      </c>
      <c r="U130" s="401">
        <f t="shared" ref="U130:U132" si="342">0.006165*F130^2</f>
        <v>1.041885</v>
      </c>
      <c r="V130" s="399"/>
      <c r="W130" s="399"/>
      <c r="X130" s="399" t="s">
        <v>125</v>
      </c>
      <c r="Y130" s="389">
        <f t="shared" ref="Y130" si="343">D121</f>
        <v>1</v>
      </c>
      <c r="Z130" s="400" t="s">
        <v>176</v>
      </c>
      <c r="AA130" s="402">
        <f t="shared" ref="AA130" si="344">IF(AA133=0,(D130*N130+P130*R130)*U130*Y130,0)</f>
        <v>0</v>
      </c>
      <c r="AB130" s="403"/>
    </row>
    <row r="131" spans="1:28">
      <c r="A131" s="384" t="str">
        <f t="shared" ref="A131:B131" si="345">A115</f>
        <v>Lantai 1</v>
      </c>
      <c r="B131" s="385">
        <f t="shared" si="345"/>
        <v>4</v>
      </c>
      <c r="C131" s="393" t="s">
        <v>210</v>
      </c>
      <c r="D131" s="398">
        <f>VLOOKUP(D115,'Detail Balok'!$C$10:$AU$140,25,FALSE)</f>
        <v>3</v>
      </c>
      <c r="E131" s="388" t="s">
        <v>16</v>
      </c>
      <c r="F131" s="388">
        <f>VLOOKUP(D115,'Detail Balok'!$C$10:$AU$140,27,FALSE)</f>
        <v>13</v>
      </c>
      <c r="G131" s="388"/>
      <c r="H131" s="395"/>
      <c r="I131" s="388" t="s">
        <v>203</v>
      </c>
      <c r="J131" s="399">
        <f t="shared" si="337"/>
        <v>1.5</v>
      </c>
      <c r="K131" s="400" t="s">
        <v>204</v>
      </c>
      <c r="L131" s="399"/>
      <c r="M131" s="399" t="s">
        <v>176</v>
      </c>
      <c r="N131" s="399">
        <f t="shared" si="339"/>
        <v>1.5</v>
      </c>
      <c r="O131" s="399" t="s">
        <v>204</v>
      </c>
      <c r="P131" s="389">
        <f t="shared" ref="P131" si="346">MAX(D131-D130,D131-D132)</f>
        <v>0</v>
      </c>
      <c r="Q131" s="399" t="s">
        <v>125</v>
      </c>
      <c r="R131" s="399">
        <f t="shared" ref="R131" si="347">IF(P131&gt;0,2*(1-2*$F$19-1/2)*D118/1000,0)</f>
        <v>0</v>
      </c>
      <c r="S131" s="399" t="s">
        <v>205</v>
      </c>
      <c r="T131" s="399" t="s">
        <v>125</v>
      </c>
      <c r="U131" s="401">
        <f t="shared" si="342"/>
        <v>1.041885</v>
      </c>
      <c r="V131" s="399"/>
      <c r="W131" s="399"/>
      <c r="X131" s="399" t="s">
        <v>125</v>
      </c>
      <c r="Y131" s="389">
        <f t="shared" ref="Y131" si="348">D121</f>
        <v>1</v>
      </c>
      <c r="Z131" s="400" t="s">
        <v>176</v>
      </c>
      <c r="AA131" s="402">
        <f t="shared" ref="AA131" si="349">IF(AA133=0,(D131*N131+P131*R131)*U131*Y131,0)</f>
        <v>0</v>
      </c>
      <c r="AB131" s="403"/>
    </row>
    <row r="132" spans="1:28">
      <c r="A132" s="384" t="str">
        <f t="shared" ref="A132:B132" si="350">A115</f>
        <v>Lantai 1</v>
      </c>
      <c r="B132" s="385">
        <f t="shared" si="350"/>
        <v>4</v>
      </c>
      <c r="C132" s="393" t="s">
        <v>209</v>
      </c>
      <c r="D132" s="398">
        <f>VLOOKUP(D115,'Detail Balok'!$C$10:$AU$140,28,FALSE)</f>
        <v>3</v>
      </c>
      <c r="E132" s="388" t="s">
        <v>16</v>
      </c>
      <c r="F132" s="388">
        <f>VLOOKUP(D115,'Detail Balok'!$C$10:$AU$140,30,FALSE)</f>
        <v>13</v>
      </c>
      <c r="G132" s="388"/>
      <c r="H132" s="395"/>
      <c r="I132" s="388" t="s">
        <v>203</v>
      </c>
      <c r="J132" s="399">
        <f t="shared" si="337"/>
        <v>0.75</v>
      </c>
      <c r="K132" s="400" t="s">
        <v>204</v>
      </c>
      <c r="L132" s="399">
        <f t="shared" ref="L132" si="351">MAX(VLOOKUP(F132,N$6:P$15,3,FALSE)/1000,2/3*D120/1000)+F$16*F132/1000</f>
        <v>0.156</v>
      </c>
      <c r="M132" s="399" t="s">
        <v>176</v>
      </c>
      <c r="N132" s="399">
        <f t="shared" si="339"/>
        <v>0.90600000000000003</v>
      </c>
      <c r="O132" s="399" t="s">
        <v>204</v>
      </c>
      <c r="P132" s="389">
        <f t="shared" ref="P132" si="352">D132-D131</f>
        <v>0</v>
      </c>
      <c r="Q132" s="399" t="s">
        <v>125</v>
      </c>
      <c r="R132" s="399">
        <f t="shared" ref="R132" si="353">IF(P132&gt;0,$F$18*F132/1000,0)</f>
        <v>0</v>
      </c>
      <c r="S132" s="399" t="s">
        <v>205</v>
      </c>
      <c r="T132" s="399" t="s">
        <v>125</v>
      </c>
      <c r="U132" s="401">
        <f t="shared" si="342"/>
        <v>1.041885</v>
      </c>
      <c r="V132" s="399"/>
      <c r="W132" s="399"/>
      <c r="X132" s="399" t="s">
        <v>125</v>
      </c>
      <c r="Y132" s="389">
        <f t="shared" ref="Y132" si="354">D121</f>
        <v>1</v>
      </c>
      <c r="Z132" s="400" t="s">
        <v>176</v>
      </c>
      <c r="AA132" s="402">
        <f t="shared" ref="AA132" si="355">IF(AA133=0,(D132*N132+P132*R132)*U132*Y132,0)</f>
        <v>0</v>
      </c>
      <c r="AB132" s="403"/>
    </row>
    <row r="133" spans="1:28">
      <c r="A133" s="384" t="str">
        <f t="shared" ref="A133:B133" si="356">A115</f>
        <v>Lantai 1</v>
      </c>
      <c r="B133" s="385">
        <f t="shared" si="356"/>
        <v>4</v>
      </c>
      <c r="C133" s="393"/>
      <c r="D133" s="398">
        <f t="shared" ref="D133:D193" si="357">IF(AND(D130=D131,D131=D132,D130=D132),D130,0)</f>
        <v>3</v>
      </c>
      <c r="E133" s="388" t="s">
        <v>16</v>
      </c>
      <c r="F133" s="388">
        <f t="shared" ref="F133:F193" si="358">IF(AND(F130=F131,F130=F132,F131=F132),F130,0)</f>
        <v>13</v>
      </c>
      <c r="G133" s="388"/>
      <c r="H133" s="395"/>
      <c r="I133" s="388"/>
      <c r="J133" s="396"/>
      <c r="K133" s="396"/>
      <c r="L133" s="404" t="s">
        <v>207</v>
      </c>
      <c r="M133" s="399" t="s">
        <v>176</v>
      </c>
      <c r="N133" s="399">
        <f t="shared" ref="N133" si="359">IF(AND(D130=D131,D130=D132,D131=D132,F130=F131,F130=F132,F131=F132),SUM(N130:N132),0)</f>
        <v>3.3120000000000003</v>
      </c>
      <c r="O133" s="399" t="s">
        <v>204</v>
      </c>
      <c r="P133" s="389">
        <f t="shared" ref="P133" si="360">IF(N133&gt;12,ROUNDDOWN(N133/12,0),0)</f>
        <v>0</v>
      </c>
      <c r="Q133" s="399" t="s">
        <v>125</v>
      </c>
      <c r="R133" s="399">
        <f t="shared" ref="R133" si="361">IF(P133&gt;0,MAX(VLOOKUP(F133,$D$6:$G$15,3,FALSE),600),0)/1000</f>
        <v>0</v>
      </c>
      <c r="S133" s="396"/>
      <c r="T133" s="396" t="s">
        <v>125</v>
      </c>
      <c r="U133" s="401">
        <f t="shared" ref="U133:U193" si="362">U132</f>
        <v>1.041885</v>
      </c>
      <c r="V133" s="396" t="s">
        <v>125</v>
      </c>
      <c r="W133" s="399">
        <f t="shared" ref="W133" si="363">D133</f>
        <v>3</v>
      </c>
      <c r="X133" s="399" t="s">
        <v>125</v>
      </c>
      <c r="Y133" s="389">
        <f t="shared" ref="Y133:Y193" si="364">Y132</f>
        <v>1</v>
      </c>
      <c r="Z133" s="400" t="s">
        <v>176</v>
      </c>
      <c r="AA133" s="402">
        <f t="shared" ref="AA133" si="365">(N133+P133*R133/1000)*U133*W133*Y133</f>
        <v>10.352169360000001</v>
      </c>
      <c r="AB133" s="403"/>
    </row>
    <row r="134" spans="1:28">
      <c r="A134" s="384"/>
      <c r="B134" s="385"/>
      <c r="C134" s="393"/>
      <c r="D134" s="394"/>
      <c r="E134" s="388"/>
      <c r="F134" s="388"/>
      <c r="G134" s="388"/>
      <c r="H134" s="395"/>
      <c r="I134" s="388"/>
      <c r="J134" s="399"/>
      <c r="K134" s="396"/>
      <c r="L134" s="396"/>
      <c r="M134" s="396"/>
      <c r="N134" s="396"/>
      <c r="O134" s="396"/>
      <c r="P134" s="389"/>
      <c r="Q134" s="396"/>
      <c r="R134" s="396"/>
      <c r="S134" s="396"/>
      <c r="T134" s="396"/>
      <c r="U134" s="401"/>
      <c r="V134" s="396"/>
      <c r="W134" s="388"/>
      <c r="X134" s="396"/>
      <c r="Y134" s="389"/>
      <c r="Z134" s="396"/>
      <c r="AA134" s="388"/>
      <c r="AB134" s="390"/>
    </row>
    <row r="135" spans="1:28">
      <c r="A135" s="384" t="str">
        <f t="shared" ref="A135:B135" si="366">A115</f>
        <v>Lantai 1</v>
      </c>
      <c r="B135" s="385">
        <f t="shared" si="366"/>
        <v>4</v>
      </c>
      <c r="C135" s="393" t="s">
        <v>211</v>
      </c>
      <c r="D135" s="398">
        <f>VLOOKUP(D115,'Detail Balok'!$C$10:$AU$140,31,FALSE)</f>
        <v>0</v>
      </c>
      <c r="E135" s="388" t="s">
        <v>16</v>
      </c>
      <c r="F135" s="388">
        <f>VLOOKUP(D115,'Detail Balok'!$C$10:$AU$140,33,FALSE)</f>
        <v>8</v>
      </c>
      <c r="G135" s="405" t="s">
        <v>157</v>
      </c>
      <c r="H135" s="395">
        <f>VLOOKUP(D115,'Detail Balok'!$C$10:$AU$140,35,FALSE)</f>
        <v>150</v>
      </c>
      <c r="I135" s="388"/>
      <c r="J135" s="400">
        <f t="shared" ref="J135" si="367">(IF(D135=0,(2*(D116+G116))-(F$5*8),IF(D135=3,(2*(D116+G116))-(F$5*8)+(G116-2*F$5),IF(D135=4,(2*(D116+G116))-(F$5*8)+2*(G116-2*F$5)))))/1000</f>
        <v>0.88</v>
      </c>
      <c r="K135" s="400" t="s">
        <v>204</v>
      </c>
      <c r="L135" s="399">
        <f t="shared" ref="L135:L137" si="368">IF(D135=0,2*MAX(6*F135,75),(D135-1)*2*MAX(6*F135,75))/1000</f>
        <v>0.15</v>
      </c>
      <c r="M135" s="399" t="s">
        <v>176</v>
      </c>
      <c r="N135" s="399">
        <f t="shared" ref="N135:N137" si="369">J135+L135</f>
        <v>1.03</v>
      </c>
      <c r="O135" s="399"/>
      <c r="P135" s="389"/>
      <c r="Q135" s="399"/>
      <c r="R135" s="399"/>
      <c r="S135" s="399"/>
      <c r="T135" s="399" t="s">
        <v>125</v>
      </c>
      <c r="U135" s="401">
        <f t="shared" ref="U135:U137" si="370">0.006165*F135^2</f>
        <v>0.39456000000000002</v>
      </c>
      <c r="V135" s="399" t="s">
        <v>125</v>
      </c>
      <c r="W135" s="399">
        <f t="shared" ref="W135" si="371">IF(D118&gt;4*G116,ROUND(MAX(D118/4,2*G116)/H135,0)+1,ROUND(D118/H135,0)+1)</f>
        <v>6</v>
      </c>
      <c r="X135" s="399" t="s">
        <v>125</v>
      </c>
      <c r="Y135" s="389">
        <f t="shared" ref="Y135" si="372">D121</f>
        <v>1</v>
      </c>
      <c r="Z135" s="400" t="s">
        <v>176</v>
      </c>
      <c r="AA135" s="402">
        <f t="shared" ref="AA135:AA137" si="373">N135*U135*W135*Y135</f>
        <v>2.4383808000000005</v>
      </c>
      <c r="AB135" s="403"/>
    </row>
    <row r="136" spans="1:28">
      <c r="A136" s="384" t="str">
        <f t="shared" ref="A136:B136" si="374">A115</f>
        <v>Lantai 1</v>
      </c>
      <c r="B136" s="385">
        <f t="shared" si="374"/>
        <v>4</v>
      </c>
      <c r="C136" s="393" t="s">
        <v>212</v>
      </c>
      <c r="D136" s="398">
        <f>VLOOKUP(D115,'Detail Balok'!$C$10:$AU$140,36,FALSE)</f>
        <v>0</v>
      </c>
      <c r="E136" s="388" t="s">
        <v>16</v>
      </c>
      <c r="F136" s="388">
        <f>VLOOKUP(D115,'Detail Balok'!$C$10:$AU$140,38,FALSE)</f>
        <v>8</v>
      </c>
      <c r="G136" s="405" t="s">
        <v>157</v>
      </c>
      <c r="H136" s="395">
        <f>VLOOKUP(D115,'Detail Balok'!$C$10:$AU$140,40,FALSE)</f>
        <v>200</v>
      </c>
      <c r="I136" s="388"/>
      <c r="J136" s="400">
        <f t="shared" ref="J136" si="375">(IF(D136=0,(2*(D116+G116))-(F$5*8),IF(D136=3,(2*(D116+G116))-(F$5*8)+(G116-2*F$5),IF(D136=4,(2*(D116+G116))-(F$5*8)+2*(G116-2*F$5)))))/1000</f>
        <v>0.88</v>
      </c>
      <c r="K136" s="400" t="s">
        <v>204</v>
      </c>
      <c r="L136" s="399">
        <f t="shared" si="368"/>
        <v>0.15</v>
      </c>
      <c r="M136" s="399" t="s">
        <v>176</v>
      </c>
      <c r="N136" s="399">
        <f t="shared" si="369"/>
        <v>1.03</v>
      </c>
      <c r="O136" s="399"/>
      <c r="P136" s="389"/>
      <c r="Q136" s="399"/>
      <c r="R136" s="399"/>
      <c r="S136" s="399"/>
      <c r="T136" s="399" t="s">
        <v>125</v>
      </c>
      <c r="U136" s="401">
        <f t="shared" si="370"/>
        <v>0.39456000000000002</v>
      </c>
      <c r="V136" s="399" t="s">
        <v>125</v>
      </c>
      <c r="W136" s="399">
        <f t="shared" ref="W136" si="376">IF(D118-MAX(D118/4,2*G116)*2&gt;0,ROUND((D118-MAX(D118/4,2*G116)*2)/H136,0),0)</f>
        <v>7</v>
      </c>
      <c r="X136" s="399" t="s">
        <v>125</v>
      </c>
      <c r="Y136" s="389">
        <f t="shared" ref="Y136" si="377">D121</f>
        <v>1</v>
      </c>
      <c r="Z136" s="400" t="s">
        <v>176</v>
      </c>
      <c r="AA136" s="402">
        <f t="shared" si="373"/>
        <v>2.8447776000000005</v>
      </c>
      <c r="AB136" s="403"/>
    </row>
    <row r="137" spans="1:28">
      <c r="A137" s="384" t="str">
        <f t="shared" ref="A137:B137" si="378">A115</f>
        <v>Lantai 1</v>
      </c>
      <c r="B137" s="385">
        <f t="shared" si="378"/>
        <v>4</v>
      </c>
      <c r="C137" s="393" t="s">
        <v>211</v>
      </c>
      <c r="D137" s="398">
        <f>VLOOKUP(D115,'Detail Balok'!$C$10:$AU$140,41,FALSE)</f>
        <v>0</v>
      </c>
      <c r="E137" s="388" t="s">
        <v>16</v>
      </c>
      <c r="F137" s="388">
        <f>VLOOKUP(D115,'Detail Balok'!$C$10:$AU$140,43,FALSE)</f>
        <v>8</v>
      </c>
      <c r="G137" s="405" t="s">
        <v>157</v>
      </c>
      <c r="H137" s="395">
        <f>VLOOKUP(D115,'Detail Balok'!$C$10:$AU$140,45,FALSE)</f>
        <v>150</v>
      </c>
      <c r="I137" s="388"/>
      <c r="J137" s="400">
        <f t="shared" ref="J137" si="379">(IF(D137=0,(2*(D116+G116))-(F$5*8),IF(D137=3,(2*(D116+G116))-(F$5*8)+(G116-2*F$5),IF(D137=4,(2*(D116+G116))-(F$5*8)+2*(G116-2*F$5)))))/1000</f>
        <v>0.88</v>
      </c>
      <c r="K137" s="400" t="s">
        <v>204</v>
      </c>
      <c r="L137" s="399">
        <f t="shared" si="368"/>
        <v>0.15</v>
      </c>
      <c r="M137" s="399" t="s">
        <v>176</v>
      </c>
      <c r="N137" s="399">
        <f t="shared" si="369"/>
        <v>1.03</v>
      </c>
      <c r="O137" s="399"/>
      <c r="P137" s="389"/>
      <c r="Q137" s="399"/>
      <c r="R137" s="399"/>
      <c r="S137" s="399"/>
      <c r="T137" s="399" t="s">
        <v>125</v>
      </c>
      <c r="U137" s="401">
        <f t="shared" si="370"/>
        <v>0.39456000000000002</v>
      </c>
      <c r="V137" s="399" t="s">
        <v>125</v>
      </c>
      <c r="W137" s="399">
        <f t="shared" ref="W137" si="380">IF(D118&gt;4*G116,ROUND(MAX(D118/4,2*G116)/H137,0)+1,0)</f>
        <v>6</v>
      </c>
      <c r="X137" s="399" t="s">
        <v>125</v>
      </c>
      <c r="Y137" s="389">
        <f t="shared" ref="Y137" si="381">D121</f>
        <v>1</v>
      </c>
      <c r="Z137" s="400" t="s">
        <v>176</v>
      </c>
      <c r="AA137" s="402">
        <f t="shared" si="373"/>
        <v>2.4383808000000005</v>
      </c>
      <c r="AB137" s="403"/>
    </row>
    <row r="138" spans="1:28">
      <c r="A138" s="384"/>
      <c r="B138" s="385"/>
      <c r="C138" s="393"/>
      <c r="D138" s="394"/>
      <c r="E138" s="388"/>
      <c r="F138" s="388"/>
      <c r="G138" s="388"/>
      <c r="H138" s="395"/>
      <c r="I138" s="388"/>
      <c r="J138" s="399"/>
      <c r="K138" s="396"/>
      <c r="L138" s="396"/>
      <c r="M138" s="396"/>
      <c r="N138" s="396"/>
      <c r="O138" s="396"/>
      <c r="P138" s="389"/>
      <c r="Q138" s="396"/>
      <c r="R138" s="396"/>
      <c r="S138" s="396"/>
      <c r="T138" s="396"/>
      <c r="U138" s="401"/>
      <c r="V138" s="396"/>
      <c r="W138" s="388"/>
      <c r="X138" s="396"/>
      <c r="Y138" s="389"/>
      <c r="Z138" s="396"/>
      <c r="AA138" s="388"/>
      <c r="AB138" s="390"/>
    </row>
    <row r="139" spans="1:28">
      <c r="A139" s="384" t="str">
        <f t="shared" ref="A139:B139" si="382">A115</f>
        <v>Lantai 1</v>
      </c>
      <c r="B139" s="385">
        <f t="shared" si="382"/>
        <v>4</v>
      </c>
      <c r="C139" s="393" t="s">
        <v>213</v>
      </c>
      <c r="D139" s="398">
        <f>VLOOKUP(D115,'Detail Balok'!$C$10:$BJ$140,46,FALSE)</f>
        <v>0</v>
      </c>
      <c r="E139" s="388" t="s">
        <v>16</v>
      </c>
      <c r="F139" s="388">
        <f>VLOOKUP(D115,'Detail Balok'!$C$10:$BJ$140,48,FALSE)</f>
        <v>0</v>
      </c>
      <c r="G139" s="405" t="s">
        <v>157</v>
      </c>
      <c r="H139" s="395">
        <f>VLOOKUP(D115,'Detail Balok'!$C$10:$BJ$140,50,FALSE)</f>
        <v>100</v>
      </c>
      <c r="I139" s="388"/>
      <c r="J139" s="399">
        <f t="shared" ref="J139" si="383">(D116-2*F$5)/1000</f>
        <v>0.12</v>
      </c>
      <c r="K139" s="400" t="s">
        <v>204</v>
      </c>
      <c r="L139" s="399">
        <f t="shared" ref="L139:L141" si="384">IF(D139=0,2*MAX(6*F139,75),(D139-1)*2*MAX(6*F139,75))/1000</f>
        <v>0.15</v>
      </c>
      <c r="M139" s="399" t="s">
        <v>176</v>
      </c>
      <c r="N139" s="399">
        <f t="shared" ref="N139:N141" si="385">J139+L139</f>
        <v>0.27</v>
      </c>
      <c r="O139" s="399"/>
      <c r="P139" s="399"/>
      <c r="Q139" s="399"/>
      <c r="R139" s="399"/>
      <c r="S139" s="399"/>
      <c r="T139" s="399" t="s">
        <v>125</v>
      </c>
      <c r="U139" s="401">
        <f t="shared" ref="U139:U141" si="386">0.006165*F139^2</f>
        <v>0</v>
      </c>
      <c r="V139" s="399" t="s">
        <v>125</v>
      </c>
      <c r="W139" s="399">
        <f t="shared" ref="W139:W201" si="387">W135</f>
        <v>6</v>
      </c>
      <c r="X139" s="399" t="s">
        <v>125</v>
      </c>
      <c r="Y139" s="389">
        <f t="shared" ref="Y139" si="388">D125</f>
        <v>3</v>
      </c>
      <c r="Z139" s="400" t="s">
        <v>176</v>
      </c>
      <c r="AA139" s="402">
        <f t="shared" ref="AA139:AA141" si="389">N139*U139*W139*Y139</f>
        <v>0</v>
      </c>
      <c r="AB139" s="403"/>
    </row>
    <row r="140" spans="1:28">
      <c r="A140" s="384" t="str">
        <f t="shared" ref="A140:B140" si="390">A115</f>
        <v>Lantai 1</v>
      </c>
      <c r="B140" s="385">
        <f t="shared" si="390"/>
        <v>4</v>
      </c>
      <c r="C140" s="393" t="s">
        <v>214</v>
      </c>
      <c r="D140" s="398">
        <f>VLOOKUP(D115,'Detail Balok'!$C$10:$BJ$140,51,FALSE)</f>
        <v>0</v>
      </c>
      <c r="E140" s="388" t="s">
        <v>16</v>
      </c>
      <c r="F140" s="388">
        <f>VLOOKUP(D115,'Detail Balok'!$C$10:$BJ$140,53,FALSE)</f>
        <v>0</v>
      </c>
      <c r="G140" s="405" t="s">
        <v>157</v>
      </c>
      <c r="H140" s="395">
        <f>VLOOKUP(D115,'Detail Balok'!$C$10:$BJ$140,55,FALSE)</f>
        <v>100</v>
      </c>
      <c r="I140" s="388"/>
      <c r="J140" s="399">
        <f t="shared" ref="J140" si="391">(D116-2*F$5)/1000</f>
        <v>0.12</v>
      </c>
      <c r="K140" s="400" t="s">
        <v>204</v>
      </c>
      <c r="L140" s="399">
        <f t="shared" si="384"/>
        <v>0.15</v>
      </c>
      <c r="M140" s="399" t="s">
        <v>176</v>
      </c>
      <c r="N140" s="399">
        <f t="shared" si="385"/>
        <v>0.27</v>
      </c>
      <c r="O140" s="399"/>
      <c r="P140" s="399"/>
      <c r="Q140" s="399"/>
      <c r="R140" s="399"/>
      <c r="S140" s="399"/>
      <c r="T140" s="399" t="s">
        <v>125</v>
      </c>
      <c r="U140" s="401">
        <f t="shared" si="386"/>
        <v>0</v>
      </c>
      <c r="V140" s="399" t="s">
        <v>125</v>
      </c>
      <c r="W140" s="399">
        <f t="shared" si="387"/>
        <v>7</v>
      </c>
      <c r="X140" s="399" t="s">
        <v>125</v>
      </c>
      <c r="Y140" s="389">
        <f t="shared" ref="Y140" si="392">D125</f>
        <v>3</v>
      </c>
      <c r="Z140" s="400" t="s">
        <v>176</v>
      </c>
      <c r="AA140" s="402">
        <f t="shared" si="389"/>
        <v>0</v>
      </c>
      <c r="AB140" s="403"/>
    </row>
    <row r="141" spans="1:28">
      <c r="A141" s="384" t="str">
        <f t="shared" ref="A141:B141" si="393">A115</f>
        <v>Lantai 1</v>
      </c>
      <c r="B141" s="385">
        <f t="shared" si="393"/>
        <v>4</v>
      </c>
      <c r="C141" s="393" t="s">
        <v>213</v>
      </c>
      <c r="D141" s="398">
        <f>VLOOKUP(D115,'Detail Balok'!$C$10:$BJ$140,56,FALSE)</f>
        <v>0</v>
      </c>
      <c r="E141" s="388" t="s">
        <v>16</v>
      </c>
      <c r="F141" s="388">
        <f>VLOOKUP(D115,'Detail Balok'!$C$10:$BJ$140,58,FALSE)</f>
        <v>0</v>
      </c>
      <c r="G141" s="405" t="s">
        <v>157</v>
      </c>
      <c r="H141" s="395">
        <f>VLOOKUP(D115,'Detail Balok'!$C$10:$BJ$140,60,FALSE)</f>
        <v>100</v>
      </c>
      <c r="I141" s="388"/>
      <c r="J141" s="399">
        <f t="shared" ref="J141" si="394">(D116-2*F$5)/1000</f>
        <v>0.12</v>
      </c>
      <c r="K141" s="400" t="s">
        <v>204</v>
      </c>
      <c r="L141" s="399">
        <f t="shared" si="384"/>
        <v>0.15</v>
      </c>
      <c r="M141" s="399" t="s">
        <v>176</v>
      </c>
      <c r="N141" s="399">
        <f t="shared" si="385"/>
        <v>0.27</v>
      </c>
      <c r="O141" s="399"/>
      <c r="P141" s="399"/>
      <c r="Q141" s="399"/>
      <c r="R141" s="399"/>
      <c r="S141" s="399"/>
      <c r="T141" s="399" t="s">
        <v>125</v>
      </c>
      <c r="U141" s="401">
        <f t="shared" si="386"/>
        <v>0</v>
      </c>
      <c r="V141" s="399" t="s">
        <v>125</v>
      </c>
      <c r="W141" s="399">
        <f t="shared" si="387"/>
        <v>6</v>
      </c>
      <c r="X141" s="399" t="s">
        <v>125</v>
      </c>
      <c r="Y141" s="389">
        <f t="shared" ref="Y141" si="395">D125</f>
        <v>3</v>
      </c>
      <c r="Z141" s="400" t="s">
        <v>176</v>
      </c>
      <c r="AA141" s="402">
        <f t="shared" si="389"/>
        <v>0</v>
      </c>
      <c r="AB141" s="403"/>
    </row>
    <row r="142" spans="1:28">
      <c r="A142" s="391"/>
      <c r="B142" s="392"/>
      <c r="C142" s="392"/>
      <c r="D142" s="394"/>
      <c r="E142" s="388"/>
      <c r="F142" s="388"/>
      <c r="G142" s="388"/>
      <c r="H142" s="395"/>
      <c r="I142" s="388"/>
      <c r="J142" s="402"/>
      <c r="K142" s="388"/>
      <c r="L142" s="388"/>
      <c r="M142" s="388"/>
      <c r="N142" s="388"/>
      <c r="O142" s="388"/>
      <c r="P142" s="388"/>
      <c r="Q142" s="388"/>
      <c r="R142" s="388"/>
      <c r="S142" s="388"/>
      <c r="T142" s="388"/>
      <c r="U142" s="388"/>
      <c r="V142" s="388"/>
      <c r="W142" s="388"/>
      <c r="X142" s="388"/>
      <c r="Y142" s="389"/>
      <c r="Z142" s="388"/>
      <c r="AA142" s="402"/>
      <c r="AB142" s="403"/>
    </row>
    <row r="143" spans="1:28" ht="15.75" thickBot="1">
      <c r="A143" s="406"/>
      <c r="B143" s="407"/>
      <c r="C143" s="407"/>
      <c r="D143" s="408"/>
      <c r="E143" s="409"/>
      <c r="F143" s="409"/>
      <c r="G143" s="409"/>
      <c r="H143" s="410"/>
      <c r="I143" s="409"/>
      <c r="J143" s="409"/>
      <c r="K143" s="409"/>
      <c r="L143" s="409"/>
      <c r="M143" s="409"/>
      <c r="N143" s="409"/>
      <c r="O143" s="409"/>
      <c r="P143" s="409"/>
      <c r="Q143" s="409"/>
      <c r="R143" s="409"/>
      <c r="S143" s="409"/>
      <c r="T143" s="409"/>
      <c r="U143" s="409"/>
      <c r="V143" s="409"/>
      <c r="W143" s="409"/>
      <c r="X143" s="409"/>
      <c r="Y143" s="411"/>
      <c r="Z143" s="409"/>
      <c r="AA143" s="412"/>
      <c r="AB143" s="413"/>
    </row>
    <row r="144" spans="1:28">
      <c r="A144" s="377"/>
      <c r="B144" s="378"/>
      <c r="C144" s="378"/>
      <c r="D144" s="379"/>
      <c r="E144" s="380"/>
      <c r="F144" s="380"/>
      <c r="G144" s="380"/>
      <c r="H144" s="381"/>
      <c r="I144" s="380"/>
      <c r="J144" s="380"/>
      <c r="K144" s="380"/>
      <c r="L144" s="380"/>
      <c r="M144" s="380"/>
      <c r="N144" s="380"/>
      <c r="O144" s="380"/>
      <c r="P144" s="380"/>
      <c r="Q144" s="380"/>
      <c r="R144" s="380"/>
      <c r="S144" s="380"/>
      <c r="T144" s="380"/>
      <c r="U144" s="380"/>
      <c r="V144" s="380"/>
      <c r="W144" s="380"/>
      <c r="X144" s="380"/>
      <c r="Y144" s="382"/>
      <c r="Z144" s="380"/>
      <c r="AA144" s="380"/>
      <c r="AB144" s="383"/>
    </row>
    <row r="145" spans="1:28">
      <c r="A145" s="384" t="str">
        <f t="shared" ref="A145:A205" si="396">A115</f>
        <v>Lantai 1</v>
      </c>
      <c r="B145" s="385">
        <f t="shared" ref="B145:B205" si="397">B115+1</f>
        <v>5</v>
      </c>
      <c r="C145" s="386" t="str">
        <f t="shared" ref="C145" si="398">CONCATENATE(A145," no. ",B145)</f>
        <v>Lantai 1 no. 5</v>
      </c>
      <c r="D145" s="2562" t="str">
        <f>VLOOKUP(C145,'Data Panjang Balok'!$C$9:$N$254,2,FALSE)</f>
        <v>S24-1</v>
      </c>
      <c r="E145" s="2576"/>
      <c r="F145" s="2576"/>
      <c r="G145" s="2576"/>
      <c r="H145" s="2577"/>
      <c r="I145" s="387"/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  <c r="V145" s="388"/>
      <c r="W145" s="388"/>
      <c r="X145" s="388"/>
      <c r="Y145" s="389"/>
      <c r="Z145" s="388"/>
      <c r="AA145" s="388"/>
      <c r="AB145" s="390"/>
    </row>
    <row r="146" spans="1:28">
      <c r="A146" s="391"/>
      <c r="B146" s="392"/>
      <c r="C146" s="393" t="s">
        <v>118</v>
      </c>
      <c r="D146" s="2578">
        <f>VLOOKUP(D145,'Detail Balok'!$C$10:$AU$140,2,FALSE)</f>
        <v>200</v>
      </c>
      <c r="E146" s="2579"/>
      <c r="F146" s="388" t="s">
        <v>125</v>
      </c>
      <c r="G146" s="2579">
        <f>VLOOKUP(D145,'Detail Balok'!$C$10:$AU$140,3,FALSE)</f>
        <v>400</v>
      </c>
      <c r="H146" s="2580"/>
      <c r="I146" s="388"/>
      <c r="J146" s="396"/>
      <c r="K146" s="396"/>
      <c r="L146" s="396"/>
      <c r="M146" s="396"/>
      <c r="N146" s="396"/>
      <c r="O146" s="396"/>
      <c r="P146" s="396"/>
      <c r="Q146" s="396"/>
      <c r="R146" s="396"/>
      <c r="S146" s="396"/>
      <c r="T146" s="396"/>
      <c r="U146" s="388"/>
      <c r="V146" s="396"/>
      <c r="W146" s="388"/>
      <c r="X146" s="396"/>
      <c r="Y146" s="389"/>
      <c r="Z146" s="396"/>
      <c r="AA146" s="388"/>
      <c r="AB146" s="390"/>
    </row>
    <row r="147" spans="1:28">
      <c r="A147" s="391"/>
      <c r="B147" s="392"/>
      <c r="C147" s="393" t="s">
        <v>198</v>
      </c>
      <c r="D147" s="2562">
        <f>VLOOKUP(C145,'Data Panjang Balok'!$C$9:$N$254,4,FALSE)</f>
        <v>2590</v>
      </c>
      <c r="E147" s="2563"/>
      <c r="F147" s="2563"/>
      <c r="G147" s="2563"/>
      <c r="H147" s="2564"/>
      <c r="I147" s="397"/>
      <c r="J147" s="396"/>
      <c r="K147" s="396"/>
      <c r="L147" s="396"/>
      <c r="M147" s="396"/>
      <c r="N147" s="396"/>
      <c r="O147" s="396"/>
      <c r="P147" s="396"/>
      <c r="Q147" s="396"/>
      <c r="R147" s="396"/>
      <c r="S147" s="396"/>
      <c r="T147" s="396"/>
      <c r="U147" s="388"/>
      <c r="V147" s="396"/>
      <c r="W147" s="388"/>
      <c r="X147" s="396"/>
      <c r="Y147" s="389"/>
      <c r="Z147" s="396"/>
      <c r="AA147" s="388"/>
      <c r="AB147" s="390"/>
    </row>
    <row r="148" spans="1:28">
      <c r="A148" s="391"/>
      <c r="B148" s="392"/>
      <c r="C148" s="393" t="s">
        <v>199</v>
      </c>
      <c r="D148" s="2562">
        <f>VLOOKUP(C145,'Data Panjang Balok'!$C$9:$N$254,7,FALSE)</f>
        <v>2590</v>
      </c>
      <c r="E148" s="2563"/>
      <c r="F148" s="2563"/>
      <c r="G148" s="2563"/>
      <c r="H148" s="2564"/>
      <c r="I148" s="397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88"/>
      <c r="V148" s="396"/>
      <c r="W148" s="388"/>
      <c r="X148" s="396"/>
      <c r="Y148" s="389"/>
      <c r="Z148" s="396"/>
      <c r="AA148" s="388"/>
      <c r="AB148" s="390"/>
    </row>
    <row r="149" spans="1:28">
      <c r="A149" s="391"/>
      <c r="B149" s="392"/>
      <c r="C149" s="393" t="s">
        <v>200</v>
      </c>
      <c r="D149" s="2562">
        <f>VLOOKUP(C145,'Data Panjang Balok'!$C$9:$N$254,9,FALSE)</f>
        <v>0</v>
      </c>
      <c r="E149" s="2563"/>
      <c r="F149" s="2563"/>
      <c r="G149" s="2563"/>
      <c r="H149" s="2564"/>
      <c r="I149" s="397"/>
      <c r="J149" s="396"/>
      <c r="K149" s="396"/>
      <c r="L149" s="396"/>
      <c r="M149" s="396"/>
      <c r="N149" s="396"/>
      <c r="O149" s="396"/>
      <c r="P149" s="396"/>
      <c r="Q149" s="396"/>
      <c r="R149" s="396"/>
      <c r="S149" s="396"/>
      <c r="T149" s="396"/>
      <c r="U149" s="388"/>
      <c r="V149" s="396"/>
      <c r="W149" s="388"/>
      <c r="X149" s="396"/>
      <c r="Y149" s="389"/>
      <c r="Z149" s="396"/>
      <c r="AA149" s="388"/>
      <c r="AB149" s="390"/>
    </row>
    <row r="150" spans="1:28">
      <c r="A150" s="391"/>
      <c r="B150" s="392"/>
      <c r="C150" s="393" t="s">
        <v>201</v>
      </c>
      <c r="D150" s="2562">
        <f>VLOOKUP(C145,'Data Panjang Balok'!$C$9:$N$254,10,FALSE)</f>
        <v>0</v>
      </c>
      <c r="E150" s="2563"/>
      <c r="F150" s="2563"/>
      <c r="G150" s="2563"/>
      <c r="H150" s="2564"/>
      <c r="I150" s="397"/>
      <c r="J150" s="396"/>
      <c r="K150" s="396"/>
      <c r="L150" s="396"/>
      <c r="M150" s="396"/>
      <c r="N150" s="396"/>
      <c r="O150" s="396"/>
      <c r="P150" s="396"/>
      <c r="Q150" s="396"/>
      <c r="R150" s="396"/>
      <c r="S150" s="396"/>
      <c r="T150" s="396"/>
      <c r="U150" s="388"/>
      <c r="V150" s="396"/>
      <c r="W150" s="388"/>
      <c r="X150" s="396"/>
      <c r="Y150" s="389"/>
      <c r="Z150" s="396"/>
      <c r="AA150" s="388"/>
      <c r="AB150" s="390"/>
    </row>
    <row r="151" spans="1:28">
      <c r="A151" s="391"/>
      <c r="B151" s="392"/>
      <c r="C151" s="393" t="s">
        <v>48</v>
      </c>
      <c r="D151" s="2562">
        <f>VLOOKUP(C145,'Data Panjang Balok'!$C$9:$N$254,3,FALSE)</f>
        <v>1</v>
      </c>
      <c r="E151" s="2563"/>
      <c r="F151" s="2563"/>
      <c r="G151" s="2563"/>
      <c r="H151" s="2564"/>
      <c r="I151" s="397"/>
      <c r="J151" s="396"/>
      <c r="K151" s="396"/>
      <c r="L151" s="396"/>
      <c r="M151" s="396"/>
      <c r="N151" s="396"/>
      <c r="O151" s="396"/>
      <c r="P151" s="396"/>
      <c r="Q151" s="396"/>
      <c r="R151" s="396"/>
      <c r="S151" s="396"/>
      <c r="T151" s="396"/>
      <c r="U151" s="388"/>
      <c r="V151" s="396"/>
      <c r="W151" s="388"/>
      <c r="X151" s="396"/>
      <c r="Y151" s="389"/>
      <c r="Z151" s="396"/>
      <c r="AA151" s="388"/>
      <c r="AB151" s="390"/>
    </row>
    <row r="152" spans="1:28">
      <c r="A152" s="384" t="str">
        <f t="shared" ref="A152:B152" si="399">A145</f>
        <v>Lantai 1</v>
      </c>
      <c r="B152" s="385">
        <f t="shared" si="399"/>
        <v>5</v>
      </c>
      <c r="C152" s="393" t="s">
        <v>202</v>
      </c>
      <c r="D152" s="398">
        <f>VLOOKUP(D145,'Detail Balok'!$C$10:$AU$140,4,FALSE)</f>
        <v>3</v>
      </c>
      <c r="E152" s="388" t="s">
        <v>16</v>
      </c>
      <c r="F152" s="388">
        <f>VLOOKUP(D145,'Detail Balok'!$C$10:$AU$140,6,FALSE)</f>
        <v>13</v>
      </c>
      <c r="G152" s="388"/>
      <c r="H152" s="395"/>
      <c r="I152" s="388" t="s">
        <v>203</v>
      </c>
      <c r="J152" s="399">
        <f t="shared" ref="J152" si="400">+D147/4/1000</f>
        <v>0.64749999999999996</v>
      </c>
      <c r="K152" s="400" t="s">
        <v>204</v>
      </c>
      <c r="L152" s="399">
        <f t="shared" ref="L152" si="401">MAX(VLOOKUP(F152,N$6:P$15,3,FALSE)/1000,2/3*D149/1000)+F$16*F152/1000</f>
        <v>0.156</v>
      </c>
      <c r="M152" s="399" t="s">
        <v>176</v>
      </c>
      <c r="N152" s="399">
        <f t="shared" ref="N152:N154" si="402">J152+L152</f>
        <v>0.80349999999999999</v>
      </c>
      <c r="O152" s="399" t="s">
        <v>204</v>
      </c>
      <c r="P152" s="389">
        <f t="shared" ref="P152" si="403">D152-D153</f>
        <v>0</v>
      </c>
      <c r="Q152" s="399" t="s">
        <v>125</v>
      </c>
      <c r="R152" s="399">
        <f t="shared" ref="R152" si="404">IF(P152&gt;0,$F$18*F152/1000,0)</f>
        <v>0</v>
      </c>
      <c r="S152" s="399" t="s">
        <v>205</v>
      </c>
      <c r="T152" s="399" t="s">
        <v>125</v>
      </c>
      <c r="U152" s="401">
        <f t="shared" ref="U152:U154" si="405">0.006165*F152^2</f>
        <v>1.041885</v>
      </c>
      <c r="V152" s="399"/>
      <c r="W152" s="399"/>
      <c r="X152" s="399" t="s">
        <v>125</v>
      </c>
      <c r="Y152" s="389">
        <f t="shared" ref="Y152" si="406">D151</f>
        <v>1</v>
      </c>
      <c r="Z152" s="400" t="s">
        <v>176</v>
      </c>
      <c r="AA152" s="402">
        <f t="shared" ref="AA152" si="407">IF(AA155=0,(D152*N152+P152*R152)*U152*Y152,0)</f>
        <v>0</v>
      </c>
      <c r="AB152" s="403"/>
    </row>
    <row r="153" spans="1:28">
      <c r="A153" s="384" t="str">
        <f t="shared" ref="A153:B153" si="408">A145</f>
        <v>Lantai 1</v>
      </c>
      <c r="B153" s="385">
        <f t="shared" si="408"/>
        <v>5</v>
      </c>
      <c r="C153" s="393" t="s">
        <v>206</v>
      </c>
      <c r="D153" s="398">
        <f>VLOOKUP(D145,'Detail Balok'!$C$10:$AU$140,7,FALSE)</f>
        <v>3</v>
      </c>
      <c r="E153" s="388" t="s">
        <v>16</v>
      </c>
      <c r="F153" s="388">
        <f>VLOOKUP(D145,'Detail Balok'!$C$10:$AU$140,9,FALSE)</f>
        <v>13</v>
      </c>
      <c r="G153" s="388"/>
      <c r="H153" s="395"/>
      <c r="I153" s="388" t="s">
        <v>203</v>
      </c>
      <c r="J153" s="399">
        <f t="shared" ref="J153" si="409">+D147/2/1000</f>
        <v>1.2949999999999999</v>
      </c>
      <c r="K153" s="400" t="s">
        <v>204</v>
      </c>
      <c r="L153" s="399"/>
      <c r="M153" s="399" t="s">
        <v>176</v>
      </c>
      <c r="N153" s="399">
        <f t="shared" si="402"/>
        <v>1.2949999999999999</v>
      </c>
      <c r="O153" s="399" t="s">
        <v>204</v>
      </c>
      <c r="P153" s="389">
        <f t="shared" ref="P153" si="410">MAX(D153-D152,D153-D154)</f>
        <v>0</v>
      </c>
      <c r="Q153" s="399" t="s">
        <v>125</v>
      </c>
      <c r="R153" s="399">
        <f t="shared" ref="R153" si="411">IF(P153&gt;0,2*(1-2*$F$19-1/2)*D148/1000,0)</f>
        <v>0</v>
      </c>
      <c r="S153" s="399" t="s">
        <v>205</v>
      </c>
      <c r="T153" s="399" t="s">
        <v>125</v>
      </c>
      <c r="U153" s="401">
        <f t="shared" si="405"/>
        <v>1.041885</v>
      </c>
      <c r="V153" s="399"/>
      <c r="W153" s="399"/>
      <c r="X153" s="399" t="s">
        <v>125</v>
      </c>
      <c r="Y153" s="389">
        <f t="shared" ref="Y153" si="412">D151</f>
        <v>1</v>
      </c>
      <c r="Z153" s="400" t="s">
        <v>176</v>
      </c>
      <c r="AA153" s="402">
        <f t="shared" ref="AA153" si="413">IF(AA155=0,(D153*N153+P153*R153)*U153*Y153,0)</f>
        <v>0</v>
      </c>
      <c r="AB153" s="403"/>
    </row>
    <row r="154" spans="1:28">
      <c r="A154" s="384" t="str">
        <f t="shared" ref="A154:B154" si="414">A145</f>
        <v>Lantai 1</v>
      </c>
      <c r="B154" s="385">
        <f t="shared" si="414"/>
        <v>5</v>
      </c>
      <c r="C154" s="393" t="s">
        <v>202</v>
      </c>
      <c r="D154" s="398">
        <f>VLOOKUP(D145,'Detail Balok'!$C$10:$AU$140,10,FALSE)</f>
        <v>3</v>
      </c>
      <c r="E154" s="388" t="s">
        <v>16</v>
      </c>
      <c r="F154" s="388">
        <f>VLOOKUP(D145,'Detail Balok'!$C$10:$AU$140,12,FALSE)</f>
        <v>13</v>
      </c>
      <c r="G154" s="388"/>
      <c r="H154" s="395"/>
      <c r="I154" s="388" t="s">
        <v>203</v>
      </c>
      <c r="J154" s="399">
        <f t="shared" ref="J154" si="415">+D147/4/1000</f>
        <v>0.64749999999999996</v>
      </c>
      <c r="K154" s="400" t="s">
        <v>204</v>
      </c>
      <c r="L154" s="399">
        <f t="shared" ref="L154" si="416">MAX(VLOOKUP(F154,N$6:P$15,3,FALSE)/1000,2/3*D149/1000)+F$16*F154/1000</f>
        <v>0.156</v>
      </c>
      <c r="M154" s="399" t="s">
        <v>176</v>
      </c>
      <c r="N154" s="399">
        <f t="shared" si="402"/>
        <v>0.80349999999999999</v>
      </c>
      <c r="O154" s="399" t="s">
        <v>204</v>
      </c>
      <c r="P154" s="389">
        <f t="shared" ref="P154" si="417">D154-D153</f>
        <v>0</v>
      </c>
      <c r="Q154" s="399" t="s">
        <v>125</v>
      </c>
      <c r="R154" s="399">
        <f t="shared" ref="R154" si="418">IF(P154&gt;0,$F$18*F154/1000,0)</f>
        <v>0</v>
      </c>
      <c r="S154" s="399" t="s">
        <v>205</v>
      </c>
      <c r="T154" s="399" t="s">
        <v>125</v>
      </c>
      <c r="U154" s="401">
        <f t="shared" si="405"/>
        <v>1.041885</v>
      </c>
      <c r="V154" s="399"/>
      <c r="W154" s="399"/>
      <c r="X154" s="399" t="s">
        <v>125</v>
      </c>
      <c r="Y154" s="389">
        <f t="shared" ref="Y154" si="419">D151</f>
        <v>1</v>
      </c>
      <c r="Z154" s="400" t="s">
        <v>176</v>
      </c>
      <c r="AA154" s="402">
        <f t="shared" ref="AA154" si="420">IF(AA155=0,(D154*N154+P154*R154)*U154*Y154,0)</f>
        <v>0</v>
      </c>
      <c r="AB154" s="403"/>
    </row>
    <row r="155" spans="1:28">
      <c r="A155" s="384" t="str">
        <f t="shared" ref="A155:B155" si="421">A145</f>
        <v>Lantai 1</v>
      </c>
      <c r="B155" s="385">
        <f t="shared" si="421"/>
        <v>5</v>
      </c>
      <c r="C155" s="393"/>
      <c r="D155" s="398">
        <f t="shared" si="317"/>
        <v>3</v>
      </c>
      <c r="E155" s="388" t="s">
        <v>16</v>
      </c>
      <c r="F155" s="388">
        <f t="shared" si="318"/>
        <v>13</v>
      </c>
      <c r="G155" s="388"/>
      <c r="H155" s="395"/>
      <c r="I155" s="388"/>
      <c r="J155" s="396"/>
      <c r="K155" s="396"/>
      <c r="L155" s="404" t="s">
        <v>207</v>
      </c>
      <c r="M155" s="399" t="s">
        <v>176</v>
      </c>
      <c r="N155" s="399">
        <f t="shared" ref="N155" si="422">IF(AND(D152=D153,D152=D154,D153=D154,F152=F153,F152=F154,F153=F154),SUM(N152:N154),0)</f>
        <v>2.9020000000000001</v>
      </c>
      <c r="O155" s="399" t="s">
        <v>204</v>
      </c>
      <c r="P155" s="389">
        <f t="shared" ref="P155" si="423">IF(N155&gt;12,ROUNDDOWN(N155/12,0),0)</f>
        <v>0</v>
      </c>
      <c r="Q155" s="399" t="s">
        <v>125</v>
      </c>
      <c r="R155" s="399">
        <f t="shared" ref="R155" si="424">IF(P155&gt;0,MAX(VLOOKUP(F155,$D$6:$G$15,3,FALSE),600),0)/1000</f>
        <v>0</v>
      </c>
      <c r="S155" s="396"/>
      <c r="T155" s="396" t="s">
        <v>125</v>
      </c>
      <c r="U155" s="401">
        <f t="shared" si="322"/>
        <v>1.041885</v>
      </c>
      <c r="V155" s="396" t="s">
        <v>125</v>
      </c>
      <c r="W155" s="399">
        <f t="shared" ref="W155" si="425">D155</f>
        <v>3</v>
      </c>
      <c r="X155" s="399" t="s">
        <v>125</v>
      </c>
      <c r="Y155" s="389">
        <f t="shared" si="324"/>
        <v>1</v>
      </c>
      <c r="Z155" s="400" t="s">
        <v>176</v>
      </c>
      <c r="AA155" s="402">
        <f t="shared" ref="AA155" si="426">(N155+P155*R155/1000)*U155*W155*Y155</f>
        <v>9.0706508100000001</v>
      </c>
      <c r="AB155" s="390"/>
    </row>
    <row r="156" spans="1:28">
      <c r="A156" s="384"/>
      <c r="B156" s="385"/>
      <c r="C156" s="393"/>
      <c r="D156" s="398"/>
      <c r="E156" s="388"/>
      <c r="F156" s="388"/>
      <c r="G156" s="388"/>
      <c r="H156" s="395"/>
      <c r="I156" s="388"/>
      <c r="J156" s="396"/>
      <c r="K156" s="396"/>
      <c r="L156" s="404"/>
      <c r="M156" s="399"/>
      <c r="N156" s="399"/>
      <c r="O156" s="396"/>
      <c r="P156" s="389"/>
      <c r="Q156" s="396"/>
      <c r="R156" s="396"/>
      <c r="S156" s="396"/>
      <c r="T156" s="396"/>
      <c r="U156" s="401"/>
      <c r="V156" s="396"/>
      <c r="W156" s="399"/>
      <c r="X156" s="396"/>
      <c r="Y156" s="389"/>
      <c r="Z156" s="396"/>
      <c r="AA156" s="388"/>
      <c r="AB156" s="390"/>
    </row>
    <row r="157" spans="1:28">
      <c r="A157" s="384" t="str">
        <f t="shared" ref="A157:B157" si="427">A145</f>
        <v>Lantai 1</v>
      </c>
      <c r="B157" s="385">
        <f t="shared" si="427"/>
        <v>5</v>
      </c>
      <c r="C157" s="393" t="s">
        <v>208</v>
      </c>
      <c r="D157" s="398">
        <f>VLOOKUP(D145,'Detail Balok'!$C$10:$AU$140,13,FALSE)</f>
        <v>0</v>
      </c>
      <c r="E157" s="388" t="s">
        <v>16</v>
      </c>
      <c r="F157" s="388">
        <f>VLOOKUP(D145,'Detail Balok'!$C$10:$AU$140,15,FALSE)</f>
        <v>8</v>
      </c>
      <c r="G157" s="388"/>
      <c r="H157" s="395"/>
      <c r="I157" s="388"/>
      <c r="J157" s="399">
        <f t="shared" ref="J157" si="428">+D147/1000</f>
        <v>2.59</v>
      </c>
      <c r="K157" s="400" t="s">
        <v>204</v>
      </c>
      <c r="L157" s="399">
        <f t="shared" ref="L157" si="429">2*$F$16*F157/1000</f>
        <v>0.192</v>
      </c>
      <c r="M157" s="399" t="s">
        <v>176</v>
      </c>
      <c r="N157" s="399">
        <f t="shared" ref="N157" si="430">J157+L157</f>
        <v>2.782</v>
      </c>
      <c r="O157" s="399" t="s">
        <v>204</v>
      </c>
      <c r="P157" s="389">
        <f t="shared" ref="P157" si="431">IF(N157&gt;12,ROUNDDOWN(N157/12,0),0)</f>
        <v>0</v>
      </c>
      <c r="Q157" s="399" t="s">
        <v>125</v>
      </c>
      <c r="R157" s="399">
        <f t="shared" ref="R157" si="432">IF(P157&gt;0,MAX(VLOOKUP(F157,$D$6:$G$15,3,FALSE),600),0)/1000</f>
        <v>0</v>
      </c>
      <c r="S157" s="399"/>
      <c r="T157" s="399" t="s">
        <v>125</v>
      </c>
      <c r="U157" s="401">
        <f t="shared" ref="U157" si="433">0.006165*F157^2</f>
        <v>0.39456000000000002</v>
      </c>
      <c r="V157" s="399" t="s">
        <v>125</v>
      </c>
      <c r="W157" s="399">
        <f t="shared" ref="W157" si="434">+D157</f>
        <v>0</v>
      </c>
      <c r="X157" s="399" t="s">
        <v>125</v>
      </c>
      <c r="Y157" s="389">
        <f t="shared" ref="Y157" si="435">D151</f>
        <v>1</v>
      </c>
      <c r="Z157" s="400" t="s">
        <v>176</v>
      </c>
      <c r="AA157" s="402">
        <f t="shared" ref="AA157" si="436">(N157+P157*R157/1000)*U157*W157*Y157</f>
        <v>0</v>
      </c>
      <c r="AB157" s="403"/>
    </row>
    <row r="158" spans="1:28">
      <c r="A158" s="384"/>
      <c r="B158" s="385"/>
      <c r="C158" s="393"/>
      <c r="D158" s="398"/>
      <c r="E158" s="388"/>
      <c r="F158" s="388"/>
      <c r="G158" s="388"/>
      <c r="H158" s="395"/>
      <c r="I158" s="388"/>
      <c r="J158" s="399"/>
      <c r="K158" s="400"/>
      <c r="L158" s="399"/>
      <c r="M158" s="399"/>
      <c r="N158" s="399"/>
      <c r="O158" s="399"/>
      <c r="P158" s="389"/>
      <c r="Q158" s="399"/>
      <c r="R158" s="399"/>
      <c r="S158" s="399"/>
      <c r="T158" s="399"/>
      <c r="U158" s="401"/>
      <c r="V158" s="399"/>
      <c r="W158" s="399"/>
      <c r="X158" s="399"/>
      <c r="Y158" s="389"/>
      <c r="Z158" s="400"/>
      <c r="AA158" s="402"/>
      <c r="AB158" s="403"/>
    </row>
    <row r="159" spans="1:28">
      <c r="A159" s="384"/>
      <c r="B159" s="385"/>
      <c r="C159" s="393"/>
      <c r="D159" s="398"/>
      <c r="E159" s="388"/>
      <c r="F159" s="388"/>
      <c r="G159" s="388"/>
      <c r="H159" s="395"/>
      <c r="I159" s="388"/>
      <c r="J159" s="396"/>
      <c r="K159" s="396"/>
      <c r="L159" s="396"/>
      <c r="M159" s="396"/>
      <c r="N159" s="396"/>
      <c r="O159" s="396"/>
      <c r="P159" s="389"/>
      <c r="Q159" s="396"/>
      <c r="R159" s="396"/>
      <c r="S159" s="396"/>
      <c r="T159" s="396"/>
      <c r="U159" s="401"/>
      <c r="V159" s="396"/>
      <c r="W159" s="399"/>
      <c r="X159" s="396"/>
      <c r="Y159" s="389"/>
      <c r="Z159" s="396"/>
      <c r="AA159" s="388"/>
      <c r="AB159" s="390"/>
    </row>
    <row r="160" spans="1:28">
      <c r="A160" s="384" t="str">
        <f t="shared" ref="A160:B160" si="437">A145</f>
        <v>Lantai 1</v>
      </c>
      <c r="B160" s="385">
        <f t="shared" si="437"/>
        <v>5</v>
      </c>
      <c r="C160" s="393" t="s">
        <v>209</v>
      </c>
      <c r="D160" s="398">
        <f>VLOOKUP(D145,'Detail Balok'!$C$10:$AU$140,22,FALSE)</f>
        <v>3</v>
      </c>
      <c r="E160" s="388" t="s">
        <v>16</v>
      </c>
      <c r="F160" s="388">
        <f>VLOOKUP(D145,'Detail Balok'!$C$10:$AU$140,24,FALSE)</f>
        <v>13</v>
      </c>
      <c r="G160" s="388"/>
      <c r="H160" s="395"/>
      <c r="I160" s="388" t="s">
        <v>203</v>
      </c>
      <c r="J160" s="399">
        <f t="shared" si="337"/>
        <v>0.64749999999999996</v>
      </c>
      <c r="K160" s="400" t="s">
        <v>204</v>
      </c>
      <c r="L160" s="399">
        <f t="shared" ref="L160" si="438">MAX(VLOOKUP(F160,N$6:P$15,3,FALSE)/1000,2/3*D150/1000)+F$16*F160/1000</f>
        <v>0.156</v>
      </c>
      <c r="M160" s="399" t="s">
        <v>176</v>
      </c>
      <c r="N160" s="399">
        <f t="shared" ref="N160:N162" si="439">J160+L160</f>
        <v>0.80349999999999999</v>
      </c>
      <c r="O160" s="399" t="s">
        <v>204</v>
      </c>
      <c r="P160" s="389">
        <f t="shared" ref="P160" si="440">D160-D161</f>
        <v>0</v>
      </c>
      <c r="Q160" s="399" t="s">
        <v>125</v>
      </c>
      <c r="R160" s="399">
        <f t="shared" ref="R160" si="441">IF(P160&gt;0,$F$18*F160/1000,0)</f>
        <v>0</v>
      </c>
      <c r="S160" s="399" t="s">
        <v>205</v>
      </c>
      <c r="T160" s="399" t="s">
        <v>125</v>
      </c>
      <c r="U160" s="401">
        <f t="shared" ref="U160:U162" si="442">0.006165*F160^2</f>
        <v>1.041885</v>
      </c>
      <c r="V160" s="399"/>
      <c r="W160" s="399"/>
      <c r="X160" s="399" t="s">
        <v>125</v>
      </c>
      <c r="Y160" s="389">
        <f t="shared" ref="Y160" si="443">D151</f>
        <v>1</v>
      </c>
      <c r="Z160" s="400" t="s">
        <v>176</v>
      </c>
      <c r="AA160" s="402">
        <f t="shared" ref="AA160" si="444">IF(AA163=0,(D160*N160+P160*R160)*U160*Y160,0)</f>
        <v>0</v>
      </c>
      <c r="AB160" s="403"/>
    </row>
    <row r="161" spans="1:28">
      <c r="A161" s="384" t="str">
        <f t="shared" ref="A161:B161" si="445">A145</f>
        <v>Lantai 1</v>
      </c>
      <c r="B161" s="385">
        <f t="shared" si="445"/>
        <v>5</v>
      </c>
      <c r="C161" s="393" t="s">
        <v>210</v>
      </c>
      <c r="D161" s="398">
        <f>VLOOKUP(D145,'Detail Balok'!$C$10:$AU$140,25,FALSE)</f>
        <v>3</v>
      </c>
      <c r="E161" s="388" t="s">
        <v>16</v>
      </c>
      <c r="F161" s="388">
        <f>VLOOKUP(D145,'Detail Balok'!$C$10:$AU$140,27,FALSE)</f>
        <v>13</v>
      </c>
      <c r="G161" s="388"/>
      <c r="H161" s="395"/>
      <c r="I161" s="388" t="s">
        <v>203</v>
      </c>
      <c r="J161" s="399">
        <f t="shared" si="337"/>
        <v>1.2949999999999999</v>
      </c>
      <c r="K161" s="400" t="s">
        <v>204</v>
      </c>
      <c r="L161" s="399"/>
      <c r="M161" s="399" t="s">
        <v>176</v>
      </c>
      <c r="N161" s="399">
        <f t="shared" si="439"/>
        <v>1.2949999999999999</v>
      </c>
      <c r="O161" s="399" t="s">
        <v>204</v>
      </c>
      <c r="P161" s="389">
        <f t="shared" ref="P161" si="446">MAX(D161-D160,D161-D162)</f>
        <v>0</v>
      </c>
      <c r="Q161" s="399" t="s">
        <v>125</v>
      </c>
      <c r="R161" s="399">
        <f t="shared" ref="R161" si="447">IF(P161&gt;0,2*(1-2*$F$19-1/2)*D148/1000,0)</f>
        <v>0</v>
      </c>
      <c r="S161" s="399" t="s">
        <v>205</v>
      </c>
      <c r="T161" s="399" t="s">
        <v>125</v>
      </c>
      <c r="U161" s="401">
        <f t="shared" si="442"/>
        <v>1.041885</v>
      </c>
      <c r="V161" s="399"/>
      <c r="W161" s="399"/>
      <c r="X161" s="399" t="s">
        <v>125</v>
      </c>
      <c r="Y161" s="389">
        <f t="shared" ref="Y161" si="448">D151</f>
        <v>1</v>
      </c>
      <c r="Z161" s="400" t="s">
        <v>176</v>
      </c>
      <c r="AA161" s="402">
        <f t="shared" ref="AA161" si="449">IF(AA163=0,(D161*N161+P161*R161)*U161*Y161,0)</f>
        <v>0</v>
      </c>
      <c r="AB161" s="403"/>
    </row>
    <row r="162" spans="1:28">
      <c r="A162" s="384" t="str">
        <f t="shared" ref="A162:B162" si="450">A145</f>
        <v>Lantai 1</v>
      </c>
      <c r="B162" s="385">
        <f t="shared" si="450"/>
        <v>5</v>
      </c>
      <c r="C162" s="393" t="s">
        <v>209</v>
      </c>
      <c r="D162" s="398">
        <f>VLOOKUP(D145,'Detail Balok'!$C$10:$AU$140,28,FALSE)</f>
        <v>3</v>
      </c>
      <c r="E162" s="388" t="s">
        <v>16</v>
      </c>
      <c r="F162" s="388">
        <f>VLOOKUP(D145,'Detail Balok'!$C$10:$AU$140,30,FALSE)</f>
        <v>13</v>
      </c>
      <c r="G162" s="388"/>
      <c r="H162" s="395"/>
      <c r="I162" s="388" t="s">
        <v>203</v>
      </c>
      <c r="J162" s="399">
        <f t="shared" si="337"/>
        <v>0.64749999999999996</v>
      </c>
      <c r="K162" s="400" t="s">
        <v>204</v>
      </c>
      <c r="L162" s="399">
        <f t="shared" ref="L162" si="451">MAX(VLOOKUP(F162,N$6:P$15,3,FALSE)/1000,2/3*D150/1000)+F$16*F162/1000</f>
        <v>0.156</v>
      </c>
      <c r="M162" s="399" t="s">
        <v>176</v>
      </c>
      <c r="N162" s="399">
        <f t="shared" si="439"/>
        <v>0.80349999999999999</v>
      </c>
      <c r="O162" s="399" t="s">
        <v>204</v>
      </c>
      <c r="P162" s="389">
        <f t="shared" ref="P162" si="452">D162-D161</f>
        <v>0</v>
      </c>
      <c r="Q162" s="399" t="s">
        <v>125</v>
      </c>
      <c r="R162" s="399">
        <f t="shared" ref="R162" si="453">IF(P162&gt;0,$F$18*F162/1000,0)</f>
        <v>0</v>
      </c>
      <c r="S162" s="399" t="s">
        <v>205</v>
      </c>
      <c r="T162" s="399" t="s">
        <v>125</v>
      </c>
      <c r="U162" s="401">
        <f t="shared" si="442"/>
        <v>1.041885</v>
      </c>
      <c r="V162" s="399"/>
      <c r="W162" s="399"/>
      <c r="X162" s="399" t="s">
        <v>125</v>
      </c>
      <c r="Y162" s="389">
        <f t="shared" ref="Y162" si="454">D151</f>
        <v>1</v>
      </c>
      <c r="Z162" s="400" t="s">
        <v>176</v>
      </c>
      <c r="AA162" s="402">
        <f t="shared" ref="AA162" si="455">IF(AA163=0,(D162*N162+P162*R162)*U162*Y162,0)</f>
        <v>0</v>
      </c>
      <c r="AB162" s="403"/>
    </row>
    <row r="163" spans="1:28">
      <c r="A163" s="384" t="str">
        <f t="shared" ref="A163:B163" si="456">A145</f>
        <v>Lantai 1</v>
      </c>
      <c r="B163" s="385">
        <f t="shared" si="456"/>
        <v>5</v>
      </c>
      <c r="C163" s="393"/>
      <c r="D163" s="398">
        <f t="shared" si="357"/>
        <v>3</v>
      </c>
      <c r="E163" s="388" t="s">
        <v>16</v>
      </c>
      <c r="F163" s="388">
        <f t="shared" si="358"/>
        <v>13</v>
      </c>
      <c r="G163" s="388"/>
      <c r="H163" s="395"/>
      <c r="I163" s="388"/>
      <c r="J163" s="396"/>
      <c r="K163" s="396"/>
      <c r="L163" s="404" t="s">
        <v>207</v>
      </c>
      <c r="M163" s="399" t="s">
        <v>176</v>
      </c>
      <c r="N163" s="399">
        <f t="shared" ref="N163" si="457">IF(AND(D160=D161,D160=D162,D161=D162,F160=F161,F160=F162,F161=F162),SUM(N160:N162),0)</f>
        <v>2.9020000000000001</v>
      </c>
      <c r="O163" s="399" t="s">
        <v>204</v>
      </c>
      <c r="P163" s="389">
        <f t="shared" ref="P163" si="458">IF(N163&gt;12,ROUNDDOWN(N163/12,0),0)</f>
        <v>0</v>
      </c>
      <c r="Q163" s="399" t="s">
        <v>125</v>
      </c>
      <c r="R163" s="399">
        <f t="shared" ref="R163" si="459">IF(P163&gt;0,MAX(VLOOKUP(F163,$D$6:$G$15,3,FALSE),600),0)/1000</f>
        <v>0</v>
      </c>
      <c r="S163" s="396"/>
      <c r="T163" s="396" t="s">
        <v>125</v>
      </c>
      <c r="U163" s="401">
        <f t="shared" si="362"/>
        <v>1.041885</v>
      </c>
      <c r="V163" s="396" t="s">
        <v>125</v>
      </c>
      <c r="W163" s="399">
        <f t="shared" ref="W163" si="460">D163</f>
        <v>3</v>
      </c>
      <c r="X163" s="399" t="s">
        <v>125</v>
      </c>
      <c r="Y163" s="389">
        <f t="shared" si="364"/>
        <v>1</v>
      </c>
      <c r="Z163" s="400" t="s">
        <v>176</v>
      </c>
      <c r="AA163" s="402">
        <f t="shared" ref="AA163" si="461">(N163+P163*R163/1000)*U163*W163*Y163</f>
        <v>9.0706508100000001</v>
      </c>
      <c r="AB163" s="403"/>
    </row>
    <row r="164" spans="1:28">
      <c r="A164" s="384"/>
      <c r="B164" s="385"/>
      <c r="C164" s="393"/>
      <c r="D164" s="394"/>
      <c r="E164" s="388"/>
      <c r="F164" s="388"/>
      <c r="G164" s="388"/>
      <c r="H164" s="395"/>
      <c r="I164" s="388"/>
      <c r="J164" s="399"/>
      <c r="K164" s="396"/>
      <c r="L164" s="396"/>
      <c r="M164" s="396"/>
      <c r="N164" s="396"/>
      <c r="O164" s="396"/>
      <c r="P164" s="389"/>
      <c r="Q164" s="396"/>
      <c r="R164" s="396"/>
      <c r="S164" s="396"/>
      <c r="T164" s="396"/>
      <c r="U164" s="401"/>
      <c r="V164" s="396"/>
      <c r="W164" s="388"/>
      <c r="X164" s="396"/>
      <c r="Y164" s="389"/>
      <c r="Z164" s="396"/>
      <c r="AA164" s="388"/>
      <c r="AB164" s="390"/>
    </row>
    <row r="165" spans="1:28">
      <c r="A165" s="384" t="str">
        <f t="shared" ref="A165:B165" si="462">A145</f>
        <v>Lantai 1</v>
      </c>
      <c r="B165" s="385">
        <f t="shared" si="462"/>
        <v>5</v>
      </c>
      <c r="C165" s="393" t="s">
        <v>211</v>
      </c>
      <c r="D165" s="398">
        <f>VLOOKUP(D145,'Detail Balok'!$C$10:$AU$140,31,FALSE)</f>
        <v>0</v>
      </c>
      <c r="E165" s="388" t="s">
        <v>16</v>
      </c>
      <c r="F165" s="388">
        <f>VLOOKUP(D145,'Detail Balok'!$C$10:$AU$140,33,FALSE)</f>
        <v>8</v>
      </c>
      <c r="G165" s="405" t="s">
        <v>157</v>
      </c>
      <c r="H165" s="395">
        <f>VLOOKUP(D145,'Detail Balok'!$C$10:$AU$140,35,FALSE)</f>
        <v>150</v>
      </c>
      <c r="I165" s="388"/>
      <c r="J165" s="400">
        <f t="shared" ref="J165" si="463">(IF(D165=0,(2*(D146+G146))-(F$5*8),IF(D165=3,(2*(D146+G146))-(F$5*8)+(G146-2*F$5),IF(D165=4,(2*(D146+G146))-(F$5*8)+2*(G146-2*F$5)))))/1000</f>
        <v>0.88</v>
      </c>
      <c r="K165" s="400" t="s">
        <v>204</v>
      </c>
      <c r="L165" s="399">
        <f t="shared" ref="L165:L167" si="464">IF(D165=0,2*MAX(6*F165,75),(D165-1)*2*MAX(6*F165,75))/1000</f>
        <v>0.15</v>
      </c>
      <c r="M165" s="399" t="s">
        <v>176</v>
      </c>
      <c r="N165" s="399">
        <f t="shared" ref="N165:N167" si="465">J165+L165</f>
        <v>1.03</v>
      </c>
      <c r="O165" s="399"/>
      <c r="P165" s="389"/>
      <c r="Q165" s="399"/>
      <c r="R165" s="399"/>
      <c r="S165" s="399"/>
      <c r="T165" s="399" t="s">
        <v>125</v>
      </c>
      <c r="U165" s="401">
        <f t="shared" ref="U165:U167" si="466">0.006165*F165^2</f>
        <v>0.39456000000000002</v>
      </c>
      <c r="V165" s="399" t="s">
        <v>125</v>
      </c>
      <c r="W165" s="399">
        <f t="shared" ref="W165" si="467">IF(D148&gt;4*G146,ROUND(MAX(D148/4,2*G146)/H165,0)+1,ROUND(D148/H165,0)+1)</f>
        <v>6</v>
      </c>
      <c r="X165" s="399" t="s">
        <v>125</v>
      </c>
      <c r="Y165" s="389">
        <f t="shared" ref="Y165" si="468">D151</f>
        <v>1</v>
      </c>
      <c r="Z165" s="400" t="s">
        <v>176</v>
      </c>
      <c r="AA165" s="402">
        <f t="shared" ref="AA165:AA167" si="469">N165*U165*W165*Y165</f>
        <v>2.4383808000000005</v>
      </c>
      <c r="AB165" s="403"/>
    </row>
    <row r="166" spans="1:28">
      <c r="A166" s="384" t="str">
        <f t="shared" ref="A166:B166" si="470">A145</f>
        <v>Lantai 1</v>
      </c>
      <c r="B166" s="385">
        <f t="shared" si="470"/>
        <v>5</v>
      </c>
      <c r="C166" s="393" t="s">
        <v>212</v>
      </c>
      <c r="D166" s="398">
        <f>VLOOKUP(D145,'Detail Balok'!$C$10:$AU$140,36,FALSE)</f>
        <v>0</v>
      </c>
      <c r="E166" s="388" t="s">
        <v>16</v>
      </c>
      <c r="F166" s="388">
        <f>VLOOKUP(D145,'Detail Balok'!$C$10:$AU$140,38,FALSE)</f>
        <v>8</v>
      </c>
      <c r="G166" s="405" t="s">
        <v>157</v>
      </c>
      <c r="H166" s="395">
        <f>VLOOKUP(D145,'Detail Balok'!$C$10:$AU$140,40,FALSE)</f>
        <v>200</v>
      </c>
      <c r="I166" s="388"/>
      <c r="J166" s="400">
        <f t="shared" ref="J166" si="471">(IF(D166=0,(2*(D146+G146))-(F$5*8),IF(D166=3,(2*(D146+G146))-(F$5*8)+(G146-2*F$5),IF(D166=4,(2*(D146+G146))-(F$5*8)+2*(G146-2*F$5)))))/1000</f>
        <v>0.88</v>
      </c>
      <c r="K166" s="400" t="s">
        <v>204</v>
      </c>
      <c r="L166" s="399">
        <f t="shared" si="464"/>
        <v>0.15</v>
      </c>
      <c r="M166" s="399" t="s">
        <v>176</v>
      </c>
      <c r="N166" s="399">
        <f t="shared" si="465"/>
        <v>1.03</v>
      </c>
      <c r="O166" s="399"/>
      <c r="P166" s="389"/>
      <c r="Q166" s="399"/>
      <c r="R166" s="399"/>
      <c r="S166" s="399"/>
      <c r="T166" s="399" t="s">
        <v>125</v>
      </c>
      <c r="U166" s="401">
        <f t="shared" si="466"/>
        <v>0.39456000000000002</v>
      </c>
      <c r="V166" s="399" t="s">
        <v>125</v>
      </c>
      <c r="W166" s="399">
        <f t="shared" ref="W166" si="472">IF(D148-MAX(D148/4,2*G146)*2&gt;0,ROUND((D148-MAX(D148/4,2*G146)*2)/H166,0),0)</f>
        <v>5</v>
      </c>
      <c r="X166" s="399" t="s">
        <v>125</v>
      </c>
      <c r="Y166" s="389">
        <f t="shared" ref="Y166" si="473">D151</f>
        <v>1</v>
      </c>
      <c r="Z166" s="400" t="s">
        <v>176</v>
      </c>
      <c r="AA166" s="402">
        <f t="shared" si="469"/>
        <v>2.0319840000000005</v>
      </c>
      <c r="AB166" s="403"/>
    </row>
    <row r="167" spans="1:28">
      <c r="A167" s="384" t="str">
        <f t="shared" ref="A167:B167" si="474">A145</f>
        <v>Lantai 1</v>
      </c>
      <c r="B167" s="385">
        <f t="shared" si="474"/>
        <v>5</v>
      </c>
      <c r="C167" s="393" t="s">
        <v>211</v>
      </c>
      <c r="D167" s="398">
        <f>VLOOKUP(D145,'Detail Balok'!$C$10:$AU$140,41,FALSE)</f>
        <v>0</v>
      </c>
      <c r="E167" s="388" t="s">
        <v>16</v>
      </c>
      <c r="F167" s="388">
        <f>VLOOKUP(D145,'Detail Balok'!$C$10:$AU$140,43,FALSE)</f>
        <v>8</v>
      </c>
      <c r="G167" s="405" t="s">
        <v>157</v>
      </c>
      <c r="H167" s="395">
        <f>VLOOKUP(D145,'Detail Balok'!$C$10:$AU$140,45,FALSE)</f>
        <v>150</v>
      </c>
      <c r="I167" s="388"/>
      <c r="J167" s="400">
        <f t="shared" ref="J167" si="475">(IF(D167=0,(2*(D146+G146))-(F$5*8),IF(D167=3,(2*(D146+G146))-(F$5*8)+(G146-2*F$5),IF(D167=4,(2*(D146+G146))-(F$5*8)+2*(G146-2*F$5)))))/1000</f>
        <v>0.88</v>
      </c>
      <c r="K167" s="400" t="s">
        <v>204</v>
      </c>
      <c r="L167" s="399">
        <f t="shared" si="464"/>
        <v>0.15</v>
      </c>
      <c r="M167" s="399" t="s">
        <v>176</v>
      </c>
      <c r="N167" s="399">
        <f t="shared" si="465"/>
        <v>1.03</v>
      </c>
      <c r="O167" s="399"/>
      <c r="P167" s="389"/>
      <c r="Q167" s="399"/>
      <c r="R167" s="399"/>
      <c r="S167" s="399"/>
      <c r="T167" s="399" t="s">
        <v>125</v>
      </c>
      <c r="U167" s="401">
        <f t="shared" si="466"/>
        <v>0.39456000000000002</v>
      </c>
      <c r="V167" s="399" t="s">
        <v>125</v>
      </c>
      <c r="W167" s="399">
        <f t="shared" ref="W167" si="476">IF(D148&gt;4*G146,ROUND(MAX(D148/4,2*G146)/H167,0)+1,0)</f>
        <v>6</v>
      </c>
      <c r="X167" s="399" t="s">
        <v>125</v>
      </c>
      <c r="Y167" s="389">
        <f t="shared" ref="Y167" si="477">D151</f>
        <v>1</v>
      </c>
      <c r="Z167" s="400" t="s">
        <v>176</v>
      </c>
      <c r="AA167" s="402">
        <f t="shared" si="469"/>
        <v>2.4383808000000005</v>
      </c>
      <c r="AB167" s="403"/>
    </row>
    <row r="168" spans="1:28">
      <c r="A168" s="384"/>
      <c r="B168" s="385"/>
      <c r="C168" s="393"/>
      <c r="D168" s="394"/>
      <c r="E168" s="388"/>
      <c r="F168" s="388"/>
      <c r="G168" s="388"/>
      <c r="H168" s="395"/>
      <c r="I168" s="388"/>
      <c r="J168" s="399"/>
      <c r="K168" s="396"/>
      <c r="L168" s="396"/>
      <c r="M168" s="396"/>
      <c r="N168" s="396"/>
      <c r="O168" s="396"/>
      <c r="P168" s="389"/>
      <c r="Q168" s="396"/>
      <c r="R168" s="396"/>
      <c r="S168" s="396"/>
      <c r="T168" s="396"/>
      <c r="U168" s="401"/>
      <c r="V168" s="396"/>
      <c r="W168" s="388"/>
      <c r="X168" s="396"/>
      <c r="Y168" s="389"/>
      <c r="Z168" s="396"/>
      <c r="AA168" s="388"/>
      <c r="AB168" s="390"/>
    </row>
    <row r="169" spans="1:28">
      <c r="A169" s="384" t="str">
        <f t="shared" ref="A169:B169" si="478">A145</f>
        <v>Lantai 1</v>
      </c>
      <c r="B169" s="385">
        <f t="shared" si="478"/>
        <v>5</v>
      </c>
      <c r="C169" s="393" t="s">
        <v>213</v>
      </c>
      <c r="D169" s="398">
        <f>VLOOKUP(D145,'Detail Balok'!$C$10:$BJ$140,46,FALSE)</f>
        <v>0</v>
      </c>
      <c r="E169" s="388" t="s">
        <v>16</v>
      </c>
      <c r="F169" s="388">
        <f>VLOOKUP(D145,'Detail Balok'!$C$10:$BJ$140,48,FALSE)</f>
        <v>0</v>
      </c>
      <c r="G169" s="405" t="s">
        <v>157</v>
      </c>
      <c r="H169" s="395">
        <f>VLOOKUP(D145,'Detail Balok'!$C$10:$BJ$140,50,FALSE)</f>
        <v>100</v>
      </c>
      <c r="I169" s="388"/>
      <c r="J169" s="399">
        <f t="shared" ref="J169" si="479">(D146-2*F$5)/1000</f>
        <v>0.12</v>
      </c>
      <c r="K169" s="400" t="s">
        <v>204</v>
      </c>
      <c r="L169" s="399">
        <f t="shared" ref="L169:L171" si="480">IF(D169=0,2*MAX(6*F169,75),(D169-1)*2*MAX(6*F169,75))/1000</f>
        <v>0.15</v>
      </c>
      <c r="M169" s="399" t="s">
        <v>176</v>
      </c>
      <c r="N169" s="399">
        <f t="shared" ref="N169:N171" si="481">J169+L169</f>
        <v>0.27</v>
      </c>
      <c r="O169" s="399"/>
      <c r="P169" s="399"/>
      <c r="Q169" s="399"/>
      <c r="R169" s="399"/>
      <c r="S169" s="399"/>
      <c r="T169" s="399" t="s">
        <v>125</v>
      </c>
      <c r="U169" s="401">
        <f t="shared" ref="U169:U171" si="482">0.006165*F169^2</f>
        <v>0</v>
      </c>
      <c r="V169" s="399" t="s">
        <v>125</v>
      </c>
      <c r="W169" s="399">
        <f t="shared" si="387"/>
        <v>6</v>
      </c>
      <c r="X169" s="399" t="s">
        <v>125</v>
      </c>
      <c r="Y169" s="389">
        <f t="shared" ref="Y169" si="483">D155</f>
        <v>3</v>
      </c>
      <c r="Z169" s="400" t="s">
        <v>176</v>
      </c>
      <c r="AA169" s="402">
        <f t="shared" ref="AA169:AA171" si="484">N169*U169*W169*Y169</f>
        <v>0</v>
      </c>
      <c r="AB169" s="403"/>
    </row>
    <row r="170" spans="1:28">
      <c r="A170" s="384" t="str">
        <f t="shared" ref="A170:B170" si="485">A145</f>
        <v>Lantai 1</v>
      </c>
      <c r="B170" s="385">
        <f t="shared" si="485"/>
        <v>5</v>
      </c>
      <c r="C170" s="393" t="s">
        <v>214</v>
      </c>
      <c r="D170" s="398">
        <f>VLOOKUP(D145,'Detail Balok'!$C$10:$BJ$140,51,FALSE)</f>
        <v>0</v>
      </c>
      <c r="E170" s="388" t="s">
        <v>16</v>
      </c>
      <c r="F170" s="388">
        <f>VLOOKUP(D145,'Detail Balok'!$C$10:$BJ$140,53,FALSE)</f>
        <v>0</v>
      </c>
      <c r="G170" s="405" t="s">
        <v>157</v>
      </c>
      <c r="H170" s="395">
        <f>VLOOKUP(D145,'Detail Balok'!$C$10:$BJ$140,55,FALSE)</f>
        <v>100</v>
      </c>
      <c r="I170" s="388"/>
      <c r="J170" s="399">
        <f t="shared" ref="J170" si="486">(D146-2*F$5)/1000</f>
        <v>0.12</v>
      </c>
      <c r="K170" s="400" t="s">
        <v>204</v>
      </c>
      <c r="L170" s="399">
        <f t="shared" si="480"/>
        <v>0.15</v>
      </c>
      <c r="M170" s="399" t="s">
        <v>176</v>
      </c>
      <c r="N170" s="399">
        <f t="shared" si="481"/>
        <v>0.27</v>
      </c>
      <c r="O170" s="399"/>
      <c r="P170" s="399"/>
      <c r="Q170" s="399"/>
      <c r="R170" s="399"/>
      <c r="S170" s="399"/>
      <c r="T170" s="399" t="s">
        <v>125</v>
      </c>
      <c r="U170" s="401">
        <f t="shared" si="482"/>
        <v>0</v>
      </c>
      <c r="V170" s="399" t="s">
        <v>125</v>
      </c>
      <c r="W170" s="399">
        <f t="shared" si="387"/>
        <v>5</v>
      </c>
      <c r="X170" s="399" t="s">
        <v>125</v>
      </c>
      <c r="Y170" s="389">
        <f t="shared" ref="Y170" si="487">D155</f>
        <v>3</v>
      </c>
      <c r="Z170" s="400" t="s">
        <v>176</v>
      </c>
      <c r="AA170" s="402">
        <f t="shared" si="484"/>
        <v>0</v>
      </c>
      <c r="AB170" s="403"/>
    </row>
    <row r="171" spans="1:28">
      <c r="A171" s="384" t="str">
        <f t="shared" ref="A171:B171" si="488">A145</f>
        <v>Lantai 1</v>
      </c>
      <c r="B171" s="385">
        <f t="shared" si="488"/>
        <v>5</v>
      </c>
      <c r="C171" s="393" t="s">
        <v>213</v>
      </c>
      <c r="D171" s="398">
        <f>VLOOKUP(D145,'Detail Balok'!$C$10:$BJ$140,56,FALSE)</f>
        <v>0</v>
      </c>
      <c r="E171" s="388" t="s">
        <v>16</v>
      </c>
      <c r="F171" s="388">
        <f>VLOOKUP(D145,'Detail Balok'!$C$10:$BJ$140,58,FALSE)</f>
        <v>0</v>
      </c>
      <c r="G171" s="405" t="s">
        <v>157</v>
      </c>
      <c r="H171" s="395">
        <f>VLOOKUP(D145,'Detail Balok'!$C$10:$BJ$140,60,FALSE)</f>
        <v>100</v>
      </c>
      <c r="I171" s="388"/>
      <c r="J171" s="399">
        <f t="shared" ref="J171" si="489">(D146-2*F$5)/1000</f>
        <v>0.12</v>
      </c>
      <c r="K171" s="400" t="s">
        <v>204</v>
      </c>
      <c r="L171" s="399">
        <f t="shared" si="480"/>
        <v>0.15</v>
      </c>
      <c r="M171" s="399" t="s">
        <v>176</v>
      </c>
      <c r="N171" s="399">
        <f t="shared" si="481"/>
        <v>0.27</v>
      </c>
      <c r="O171" s="399"/>
      <c r="P171" s="399"/>
      <c r="Q171" s="399"/>
      <c r="R171" s="399"/>
      <c r="S171" s="399"/>
      <c r="T171" s="399" t="s">
        <v>125</v>
      </c>
      <c r="U171" s="401">
        <f t="shared" si="482"/>
        <v>0</v>
      </c>
      <c r="V171" s="399" t="s">
        <v>125</v>
      </c>
      <c r="W171" s="399">
        <f t="shared" si="387"/>
        <v>6</v>
      </c>
      <c r="X171" s="399" t="s">
        <v>125</v>
      </c>
      <c r="Y171" s="389">
        <f t="shared" ref="Y171" si="490">D155</f>
        <v>3</v>
      </c>
      <c r="Z171" s="400" t="s">
        <v>176</v>
      </c>
      <c r="AA171" s="402">
        <f t="shared" si="484"/>
        <v>0</v>
      </c>
      <c r="AB171" s="403"/>
    </row>
    <row r="172" spans="1:28">
      <c r="A172" s="391"/>
      <c r="B172" s="392"/>
      <c r="C172" s="392"/>
      <c r="D172" s="394"/>
      <c r="E172" s="388"/>
      <c r="F172" s="388"/>
      <c r="G172" s="388"/>
      <c r="H172" s="395"/>
      <c r="I172" s="388"/>
      <c r="J172" s="402"/>
      <c r="K172" s="388"/>
      <c r="L172" s="388"/>
      <c r="M172" s="388"/>
      <c r="N172" s="388"/>
      <c r="O172" s="388"/>
      <c r="P172" s="388"/>
      <c r="Q172" s="388"/>
      <c r="R172" s="388"/>
      <c r="S172" s="388"/>
      <c r="T172" s="388"/>
      <c r="U172" s="388"/>
      <c r="V172" s="388"/>
      <c r="W172" s="388"/>
      <c r="X172" s="388"/>
      <c r="Y172" s="389"/>
      <c r="Z172" s="388"/>
      <c r="AA172" s="402"/>
      <c r="AB172" s="403"/>
    </row>
    <row r="173" spans="1:28" ht="15.75" thickBot="1">
      <c r="A173" s="406"/>
      <c r="B173" s="407"/>
      <c r="C173" s="407"/>
      <c r="D173" s="408"/>
      <c r="E173" s="409"/>
      <c r="F173" s="409"/>
      <c r="G173" s="409"/>
      <c r="H173" s="410"/>
      <c r="I173" s="409"/>
      <c r="J173" s="409"/>
      <c r="K173" s="409"/>
      <c r="L173" s="409"/>
      <c r="M173" s="409"/>
      <c r="N173" s="409"/>
      <c r="O173" s="409"/>
      <c r="P173" s="409"/>
      <c r="Q173" s="409"/>
      <c r="R173" s="409"/>
      <c r="S173" s="409"/>
      <c r="T173" s="409"/>
      <c r="U173" s="409"/>
      <c r="V173" s="409"/>
      <c r="W173" s="409"/>
      <c r="X173" s="409"/>
      <c r="Y173" s="411"/>
      <c r="Z173" s="409"/>
      <c r="AA173" s="412"/>
      <c r="AB173" s="413"/>
    </row>
    <row r="174" spans="1:28">
      <c r="A174" s="377"/>
      <c r="B174" s="378"/>
      <c r="C174" s="378"/>
      <c r="D174" s="379"/>
      <c r="E174" s="380"/>
      <c r="F174" s="380"/>
      <c r="G174" s="380"/>
      <c r="H174" s="381"/>
      <c r="I174" s="380"/>
      <c r="J174" s="380"/>
      <c r="K174" s="380"/>
      <c r="L174" s="380"/>
      <c r="M174" s="380"/>
      <c r="N174" s="380"/>
      <c r="O174" s="380"/>
      <c r="P174" s="380"/>
      <c r="Q174" s="380"/>
      <c r="R174" s="380"/>
      <c r="S174" s="380"/>
      <c r="T174" s="380"/>
      <c r="U174" s="380"/>
      <c r="V174" s="380"/>
      <c r="W174" s="380"/>
      <c r="X174" s="380"/>
      <c r="Y174" s="382"/>
      <c r="Z174" s="380"/>
      <c r="AA174" s="380"/>
      <c r="AB174" s="383"/>
    </row>
    <row r="175" spans="1:28">
      <c r="A175" s="384" t="str">
        <f t="shared" si="396"/>
        <v>Lantai 1</v>
      </c>
      <c r="B175" s="385">
        <f t="shared" si="397"/>
        <v>6</v>
      </c>
      <c r="C175" s="386" t="str">
        <f t="shared" ref="C175" si="491">CONCATENATE(A175," no. ",B175)</f>
        <v>Lantai 1 no. 6</v>
      </c>
      <c r="D175" s="2562" t="str">
        <f>VLOOKUP(C175,'Data Panjang Balok'!$C$9:$N$254,2,FALSE)</f>
        <v>S24-1</v>
      </c>
      <c r="E175" s="2576"/>
      <c r="F175" s="2576"/>
      <c r="G175" s="2576"/>
      <c r="H175" s="2577"/>
      <c r="I175" s="387"/>
      <c r="J175" s="388"/>
      <c r="K175" s="388"/>
      <c r="L175" s="388"/>
      <c r="M175" s="388"/>
      <c r="N175" s="388"/>
      <c r="O175" s="388"/>
      <c r="P175" s="388"/>
      <c r="Q175" s="388"/>
      <c r="R175" s="388"/>
      <c r="S175" s="388"/>
      <c r="T175" s="388"/>
      <c r="U175" s="388"/>
      <c r="V175" s="388"/>
      <c r="W175" s="388"/>
      <c r="X175" s="388"/>
      <c r="Y175" s="389"/>
      <c r="Z175" s="388"/>
      <c r="AA175" s="388"/>
      <c r="AB175" s="390"/>
    </row>
    <row r="176" spans="1:28">
      <c r="A176" s="391"/>
      <c r="B176" s="392"/>
      <c r="C176" s="393" t="s">
        <v>118</v>
      </c>
      <c r="D176" s="2578">
        <f>VLOOKUP(D175,'Detail Balok'!$C$10:$AU$140,2,FALSE)</f>
        <v>200</v>
      </c>
      <c r="E176" s="2579"/>
      <c r="F176" s="388" t="s">
        <v>125</v>
      </c>
      <c r="G176" s="2579">
        <f>VLOOKUP(D175,'Detail Balok'!$C$10:$AU$140,3,FALSE)</f>
        <v>400</v>
      </c>
      <c r="H176" s="2580"/>
      <c r="I176" s="388"/>
      <c r="J176" s="396"/>
      <c r="K176" s="396"/>
      <c r="L176" s="396"/>
      <c r="M176" s="396"/>
      <c r="N176" s="396"/>
      <c r="O176" s="396"/>
      <c r="P176" s="396"/>
      <c r="Q176" s="396"/>
      <c r="R176" s="396"/>
      <c r="S176" s="396"/>
      <c r="T176" s="396"/>
      <c r="U176" s="388"/>
      <c r="V176" s="396"/>
      <c r="W176" s="388"/>
      <c r="X176" s="396"/>
      <c r="Y176" s="389"/>
      <c r="Z176" s="396"/>
      <c r="AA176" s="388"/>
      <c r="AB176" s="390"/>
    </row>
    <row r="177" spans="1:28">
      <c r="A177" s="391"/>
      <c r="B177" s="392"/>
      <c r="C177" s="393" t="s">
        <v>198</v>
      </c>
      <c r="D177" s="2562">
        <f>VLOOKUP(C175,'Data Panjang Balok'!$C$9:$N$254,4,FALSE)</f>
        <v>2415</v>
      </c>
      <c r="E177" s="2563"/>
      <c r="F177" s="2563"/>
      <c r="G177" s="2563"/>
      <c r="H177" s="2564"/>
      <c r="I177" s="397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88"/>
      <c r="V177" s="396"/>
      <c r="W177" s="388"/>
      <c r="X177" s="396"/>
      <c r="Y177" s="389"/>
      <c r="Z177" s="396"/>
      <c r="AA177" s="388"/>
      <c r="AB177" s="390"/>
    </row>
    <row r="178" spans="1:28">
      <c r="A178" s="391"/>
      <c r="B178" s="392"/>
      <c r="C178" s="393" t="s">
        <v>199</v>
      </c>
      <c r="D178" s="2562">
        <f>VLOOKUP(C175,'Data Panjang Balok'!$C$9:$N$254,7,FALSE)</f>
        <v>2415</v>
      </c>
      <c r="E178" s="2563"/>
      <c r="F178" s="2563"/>
      <c r="G178" s="2563"/>
      <c r="H178" s="2564"/>
      <c r="I178" s="397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88"/>
      <c r="V178" s="396"/>
      <c r="W178" s="388"/>
      <c r="X178" s="396"/>
      <c r="Y178" s="389"/>
      <c r="Z178" s="396"/>
      <c r="AA178" s="388"/>
      <c r="AB178" s="390"/>
    </row>
    <row r="179" spans="1:28">
      <c r="A179" s="391"/>
      <c r="B179" s="392"/>
      <c r="C179" s="393" t="s">
        <v>200</v>
      </c>
      <c r="D179" s="2562">
        <f>VLOOKUP(C175,'Data Panjang Balok'!$C$9:$N$254,9,FALSE)</f>
        <v>0</v>
      </c>
      <c r="E179" s="2563"/>
      <c r="F179" s="2563"/>
      <c r="G179" s="2563"/>
      <c r="H179" s="2564"/>
      <c r="I179" s="397"/>
      <c r="J179" s="396"/>
      <c r="K179" s="396"/>
      <c r="L179" s="396"/>
      <c r="M179" s="396"/>
      <c r="N179" s="396"/>
      <c r="O179" s="396"/>
      <c r="P179" s="396"/>
      <c r="Q179" s="396"/>
      <c r="R179" s="396"/>
      <c r="S179" s="396"/>
      <c r="T179" s="396"/>
      <c r="U179" s="388"/>
      <c r="V179" s="396"/>
      <c r="W179" s="388"/>
      <c r="X179" s="396"/>
      <c r="Y179" s="389"/>
      <c r="Z179" s="396"/>
      <c r="AA179" s="388"/>
      <c r="AB179" s="390"/>
    </row>
    <row r="180" spans="1:28">
      <c r="A180" s="391"/>
      <c r="B180" s="392"/>
      <c r="C180" s="393" t="s">
        <v>201</v>
      </c>
      <c r="D180" s="2562">
        <f>VLOOKUP(C175,'Data Panjang Balok'!$C$9:$N$254,10,FALSE)</f>
        <v>0</v>
      </c>
      <c r="E180" s="2563"/>
      <c r="F180" s="2563"/>
      <c r="G180" s="2563"/>
      <c r="H180" s="2564"/>
      <c r="I180" s="397"/>
      <c r="J180" s="396"/>
      <c r="K180" s="396"/>
      <c r="L180" s="396"/>
      <c r="M180" s="396"/>
      <c r="N180" s="396"/>
      <c r="O180" s="396"/>
      <c r="P180" s="396"/>
      <c r="Q180" s="396"/>
      <c r="R180" s="396"/>
      <c r="S180" s="396"/>
      <c r="T180" s="396"/>
      <c r="U180" s="388"/>
      <c r="V180" s="396"/>
      <c r="W180" s="388"/>
      <c r="X180" s="396"/>
      <c r="Y180" s="389"/>
      <c r="Z180" s="396"/>
      <c r="AA180" s="388"/>
      <c r="AB180" s="390"/>
    </row>
    <row r="181" spans="1:28">
      <c r="A181" s="391"/>
      <c r="B181" s="392"/>
      <c r="C181" s="393" t="s">
        <v>48</v>
      </c>
      <c r="D181" s="2562">
        <f>VLOOKUP(C175,'Data Panjang Balok'!$C$9:$N$254,3,FALSE)</f>
        <v>1</v>
      </c>
      <c r="E181" s="2563"/>
      <c r="F181" s="2563"/>
      <c r="G181" s="2563"/>
      <c r="H181" s="2564"/>
      <c r="I181" s="397"/>
      <c r="J181" s="396"/>
      <c r="K181" s="396"/>
      <c r="L181" s="396"/>
      <c r="M181" s="396"/>
      <c r="N181" s="396"/>
      <c r="O181" s="396"/>
      <c r="P181" s="396"/>
      <c r="Q181" s="396"/>
      <c r="R181" s="396"/>
      <c r="S181" s="396"/>
      <c r="T181" s="396"/>
      <c r="U181" s="388"/>
      <c r="V181" s="396"/>
      <c r="W181" s="388"/>
      <c r="X181" s="396"/>
      <c r="Y181" s="389"/>
      <c r="Z181" s="396"/>
      <c r="AA181" s="388"/>
      <c r="AB181" s="390"/>
    </row>
    <row r="182" spans="1:28">
      <c r="A182" s="384" t="str">
        <f t="shared" ref="A182:B182" si="492">A175</f>
        <v>Lantai 1</v>
      </c>
      <c r="B182" s="385">
        <f t="shared" si="492"/>
        <v>6</v>
      </c>
      <c r="C182" s="393" t="s">
        <v>202</v>
      </c>
      <c r="D182" s="398">
        <f>VLOOKUP(D175,'Detail Balok'!$C$10:$AU$140,4,FALSE)</f>
        <v>3</v>
      </c>
      <c r="E182" s="388" t="s">
        <v>16</v>
      </c>
      <c r="F182" s="388">
        <f>VLOOKUP(D175,'Detail Balok'!$C$10:$AU$140,6,FALSE)</f>
        <v>13</v>
      </c>
      <c r="G182" s="388"/>
      <c r="H182" s="395"/>
      <c r="I182" s="388" t="s">
        <v>203</v>
      </c>
      <c r="J182" s="399">
        <f t="shared" ref="J182" si="493">+D177/4/1000</f>
        <v>0.60375000000000001</v>
      </c>
      <c r="K182" s="400" t="s">
        <v>204</v>
      </c>
      <c r="L182" s="399">
        <f t="shared" ref="L182" si="494">MAX(VLOOKUP(F182,N$6:P$15,3,FALSE)/1000,2/3*D179/1000)+F$16*F182/1000</f>
        <v>0.156</v>
      </c>
      <c r="M182" s="399" t="s">
        <v>176</v>
      </c>
      <c r="N182" s="399">
        <f t="shared" ref="N182:N184" si="495">J182+L182</f>
        <v>0.75975000000000004</v>
      </c>
      <c r="O182" s="399" t="s">
        <v>204</v>
      </c>
      <c r="P182" s="389">
        <f t="shared" ref="P182" si="496">D182-D183</f>
        <v>0</v>
      </c>
      <c r="Q182" s="399" t="s">
        <v>125</v>
      </c>
      <c r="R182" s="399">
        <f t="shared" ref="R182" si="497">IF(P182&gt;0,$F$18*F182/1000,0)</f>
        <v>0</v>
      </c>
      <c r="S182" s="399" t="s">
        <v>205</v>
      </c>
      <c r="T182" s="399" t="s">
        <v>125</v>
      </c>
      <c r="U182" s="401">
        <f t="shared" ref="U182:U184" si="498">0.006165*F182^2</f>
        <v>1.041885</v>
      </c>
      <c r="V182" s="399"/>
      <c r="W182" s="399"/>
      <c r="X182" s="399" t="s">
        <v>125</v>
      </c>
      <c r="Y182" s="389">
        <f t="shared" ref="Y182" si="499">D181</f>
        <v>1</v>
      </c>
      <c r="Z182" s="400" t="s">
        <v>176</v>
      </c>
      <c r="AA182" s="402">
        <f t="shared" ref="AA182" si="500">IF(AA185=0,(D182*N182+P182*R182)*U182*Y182,0)</f>
        <v>0</v>
      </c>
      <c r="AB182" s="403"/>
    </row>
    <row r="183" spans="1:28">
      <c r="A183" s="384" t="str">
        <f t="shared" ref="A183:B183" si="501">A175</f>
        <v>Lantai 1</v>
      </c>
      <c r="B183" s="385">
        <f t="shared" si="501"/>
        <v>6</v>
      </c>
      <c r="C183" s="393" t="s">
        <v>206</v>
      </c>
      <c r="D183" s="398">
        <f>VLOOKUP(D175,'Detail Balok'!$C$10:$AU$140,7,FALSE)</f>
        <v>3</v>
      </c>
      <c r="E183" s="388" t="s">
        <v>16</v>
      </c>
      <c r="F183" s="388">
        <f>VLOOKUP(D175,'Detail Balok'!$C$10:$AU$140,9,FALSE)</f>
        <v>13</v>
      </c>
      <c r="G183" s="388"/>
      <c r="H183" s="395"/>
      <c r="I183" s="388" t="s">
        <v>203</v>
      </c>
      <c r="J183" s="399">
        <f t="shared" ref="J183" si="502">+D177/2/1000</f>
        <v>1.2075</v>
      </c>
      <c r="K183" s="400" t="s">
        <v>204</v>
      </c>
      <c r="L183" s="399"/>
      <c r="M183" s="399" t="s">
        <v>176</v>
      </c>
      <c r="N183" s="399">
        <f t="shared" si="495"/>
        <v>1.2075</v>
      </c>
      <c r="O183" s="399" t="s">
        <v>204</v>
      </c>
      <c r="P183" s="389">
        <f t="shared" ref="P183" si="503">MAX(D183-D182,D183-D184)</f>
        <v>0</v>
      </c>
      <c r="Q183" s="399" t="s">
        <v>125</v>
      </c>
      <c r="R183" s="399">
        <f t="shared" ref="R183" si="504">IF(P183&gt;0,2*(1-2*$F$19-1/2)*D178/1000,0)</f>
        <v>0</v>
      </c>
      <c r="S183" s="399" t="s">
        <v>205</v>
      </c>
      <c r="T183" s="399" t="s">
        <v>125</v>
      </c>
      <c r="U183" s="401">
        <f t="shared" si="498"/>
        <v>1.041885</v>
      </c>
      <c r="V183" s="399"/>
      <c r="W183" s="399"/>
      <c r="X183" s="399" t="s">
        <v>125</v>
      </c>
      <c r="Y183" s="389">
        <f t="shared" ref="Y183" si="505">D181</f>
        <v>1</v>
      </c>
      <c r="Z183" s="400" t="s">
        <v>176</v>
      </c>
      <c r="AA183" s="402">
        <f t="shared" ref="AA183" si="506">IF(AA185=0,(D183*N183+P183*R183)*U183*Y183,0)</f>
        <v>0</v>
      </c>
      <c r="AB183" s="403"/>
    </row>
    <row r="184" spans="1:28">
      <c r="A184" s="384" t="str">
        <f t="shared" ref="A184:B184" si="507">A175</f>
        <v>Lantai 1</v>
      </c>
      <c r="B184" s="385">
        <f t="shared" si="507"/>
        <v>6</v>
      </c>
      <c r="C184" s="393" t="s">
        <v>202</v>
      </c>
      <c r="D184" s="398">
        <f>VLOOKUP(D175,'Detail Balok'!$C$10:$AU$140,10,FALSE)</f>
        <v>3</v>
      </c>
      <c r="E184" s="388" t="s">
        <v>16</v>
      </c>
      <c r="F184" s="388">
        <f>VLOOKUP(D175,'Detail Balok'!$C$10:$AU$140,12,FALSE)</f>
        <v>13</v>
      </c>
      <c r="G184" s="388"/>
      <c r="H184" s="395"/>
      <c r="I184" s="388" t="s">
        <v>203</v>
      </c>
      <c r="J184" s="399">
        <f t="shared" ref="J184" si="508">+D177/4/1000</f>
        <v>0.60375000000000001</v>
      </c>
      <c r="K184" s="400" t="s">
        <v>204</v>
      </c>
      <c r="L184" s="399">
        <f t="shared" ref="L184" si="509">MAX(VLOOKUP(F184,N$6:P$15,3,FALSE)/1000,2/3*D179/1000)+F$16*F184/1000</f>
        <v>0.156</v>
      </c>
      <c r="M184" s="399" t="s">
        <v>176</v>
      </c>
      <c r="N184" s="399">
        <f t="shared" si="495"/>
        <v>0.75975000000000004</v>
      </c>
      <c r="O184" s="399" t="s">
        <v>204</v>
      </c>
      <c r="P184" s="389">
        <f t="shared" ref="P184" si="510">D184-D183</f>
        <v>0</v>
      </c>
      <c r="Q184" s="399" t="s">
        <v>125</v>
      </c>
      <c r="R184" s="399">
        <f t="shared" ref="R184" si="511">IF(P184&gt;0,$F$18*F184/1000,0)</f>
        <v>0</v>
      </c>
      <c r="S184" s="399" t="s">
        <v>205</v>
      </c>
      <c r="T184" s="399" t="s">
        <v>125</v>
      </c>
      <c r="U184" s="401">
        <f t="shared" si="498"/>
        <v>1.041885</v>
      </c>
      <c r="V184" s="399"/>
      <c r="W184" s="399"/>
      <c r="X184" s="399" t="s">
        <v>125</v>
      </c>
      <c r="Y184" s="389">
        <f t="shared" ref="Y184" si="512">D181</f>
        <v>1</v>
      </c>
      <c r="Z184" s="400" t="s">
        <v>176</v>
      </c>
      <c r="AA184" s="402">
        <f t="shared" ref="AA184" si="513">IF(AA185=0,(D184*N184+P184*R184)*U184*Y184,0)</f>
        <v>0</v>
      </c>
      <c r="AB184" s="403"/>
    </row>
    <row r="185" spans="1:28">
      <c r="A185" s="384" t="str">
        <f t="shared" ref="A185:B185" si="514">A175</f>
        <v>Lantai 1</v>
      </c>
      <c r="B185" s="385">
        <f t="shared" si="514"/>
        <v>6</v>
      </c>
      <c r="C185" s="393"/>
      <c r="D185" s="398">
        <f t="shared" si="317"/>
        <v>3</v>
      </c>
      <c r="E185" s="388" t="s">
        <v>16</v>
      </c>
      <c r="F185" s="388">
        <f t="shared" si="318"/>
        <v>13</v>
      </c>
      <c r="G185" s="388"/>
      <c r="H185" s="395"/>
      <c r="I185" s="388"/>
      <c r="J185" s="396"/>
      <c r="K185" s="396"/>
      <c r="L185" s="404" t="s">
        <v>207</v>
      </c>
      <c r="M185" s="399" t="s">
        <v>176</v>
      </c>
      <c r="N185" s="399">
        <f t="shared" ref="N185" si="515">IF(AND(D182=D183,D182=D184,D183=D184,F182=F183,F182=F184,F183=F184),SUM(N182:N184),0)</f>
        <v>2.7269999999999999</v>
      </c>
      <c r="O185" s="399" t="s">
        <v>204</v>
      </c>
      <c r="P185" s="389">
        <f t="shared" ref="P185" si="516">IF(N185&gt;12,ROUNDDOWN(N185/12,0),0)</f>
        <v>0</v>
      </c>
      <c r="Q185" s="399" t="s">
        <v>125</v>
      </c>
      <c r="R185" s="399">
        <f t="shared" ref="R185" si="517">IF(P185&gt;0,MAX(VLOOKUP(F185,$D$6:$G$15,3,FALSE),600),0)/1000</f>
        <v>0</v>
      </c>
      <c r="S185" s="396"/>
      <c r="T185" s="396" t="s">
        <v>125</v>
      </c>
      <c r="U185" s="401">
        <f t="shared" si="322"/>
        <v>1.041885</v>
      </c>
      <c r="V185" s="396" t="s">
        <v>125</v>
      </c>
      <c r="W185" s="399">
        <f t="shared" ref="W185" si="518">D185</f>
        <v>3</v>
      </c>
      <c r="X185" s="399" t="s">
        <v>125</v>
      </c>
      <c r="Y185" s="389">
        <f t="shared" si="324"/>
        <v>1</v>
      </c>
      <c r="Z185" s="400" t="s">
        <v>176</v>
      </c>
      <c r="AA185" s="402">
        <f t="shared" ref="AA185" si="519">(N185+P185*R185/1000)*U185*W185*Y185</f>
        <v>8.5236611849999981</v>
      </c>
      <c r="AB185" s="390"/>
    </row>
    <row r="186" spans="1:28">
      <c r="A186" s="384"/>
      <c r="B186" s="385"/>
      <c r="C186" s="393"/>
      <c r="D186" s="398"/>
      <c r="E186" s="388"/>
      <c r="F186" s="388"/>
      <c r="G186" s="388"/>
      <c r="H186" s="395"/>
      <c r="I186" s="388"/>
      <c r="J186" s="396"/>
      <c r="K186" s="396"/>
      <c r="L186" s="404"/>
      <c r="M186" s="399"/>
      <c r="N186" s="399"/>
      <c r="O186" s="396"/>
      <c r="P186" s="389"/>
      <c r="Q186" s="396"/>
      <c r="R186" s="396"/>
      <c r="S186" s="396"/>
      <c r="T186" s="396"/>
      <c r="U186" s="401"/>
      <c r="V186" s="396"/>
      <c r="W186" s="399"/>
      <c r="X186" s="396"/>
      <c r="Y186" s="389"/>
      <c r="Z186" s="396"/>
      <c r="AA186" s="388"/>
      <c r="AB186" s="390"/>
    </row>
    <row r="187" spans="1:28">
      <c r="A187" s="384" t="str">
        <f t="shared" ref="A187:B187" si="520">A175</f>
        <v>Lantai 1</v>
      </c>
      <c r="B187" s="385">
        <f t="shared" si="520"/>
        <v>6</v>
      </c>
      <c r="C187" s="393" t="s">
        <v>208</v>
      </c>
      <c r="D187" s="398">
        <f>VLOOKUP(D175,'Detail Balok'!$C$10:$AU$140,13,FALSE)</f>
        <v>0</v>
      </c>
      <c r="E187" s="388" t="s">
        <v>16</v>
      </c>
      <c r="F187" s="388">
        <f>VLOOKUP(D175,'Detail Balok'!$C$10:$AU$140,15,FALSE)</f>
        <v>8</v>
      </c>
      <c r="G187" s="388"/>
      <c r="H187" s="395"/>
      <c r="I187" s="388"/>
      <c r="J187" s="399">
        <f t="shared" ref="J187" si="521">+D177/1000</f>
        <v>2.415</v>
      </c>
      <c r="K187" s="400" t="s">
        <v>204</v>
      </c>
      <c r="L187" s="399">
        <f t="shared" ref="L187" si="522">2*$F$16*F187/1000</f>
        <v>0.192</v>
      </c>
      <c r="M187" s="399" t="s">
        <v>176</v>
      </c>
      <c r="N187" s="399">
        <f t="shared" ref="N187" si="523">J187+L187</f>
        <v>2.6070000000000002</v>
      </c>
      <c r="O187" s="399" t="s">
        <v>204</v>
      </c>
      <c r="P187" s="389">
        <f t="shared" ref="P187" si="524">IF(N187&gt;12,ROUNDDOWN(N187/12,0),0)</f>
        <v>0</v>
      </c>
      <c r="Q187" s="399" t="s">
        <v>125</v>
      </c>
      <c r="R187" s="399">
        <f t="shared" ref="R187" si="525">IF(P187&gt;0,MAX(VLOOKUP(F187,$D$6:$G$15,3,FALSE),600),0)/1000</f>
        <v>0</v>
      </c>
      <c r="S187" s="399"/>
      <c r="T187" s="399" t="s">
        <v>125</v>
      </c>
      <c r="U187" s="401">
        <f t="shared" ref="U187" si="526">0.006165*F187^2</f>
        <v>0.39456000000000002</v>
      </c>
      <c r="V187" s="399" t="s">
        <v>125</v>
      </c>
      <c r="W187" s="399">
        <f t="shared" ref="W187" si="527">+D187</f>
        <v>0</v>
      </c>
      <c r="X187" s="399" t="s">
        <v>125</v>
      </c>
      <c r="Y187" s="389">
        <f t="shared" ref="Y187" si="528">D181</f>
        <v>1</v>
      </c>
      <c r="Z187" s="400" t="s">
        <v>176</v>
      </c>
      <c r="AA187" s="402">
        <f t="shared" ref="AA187" si="529">(N187+P187*R187/1000)*U187*W187*Y187</f>
        <v>0</v>
      </c>
      <c r="AB187" s="403"/>
    </row>
    <row r="188" spans="1:28">
      <c r="A188" s="384"/>
      <c r="B188" s="385"/>
      <c r="C188" s="393"/>
      <c r="D188" s="398"/>
      <c r="E188" s="388"/>
      <c r="F188" s="388"/>
      <c r="G188" s="388"/>
      <c r="H188" s="395"/>
      <c r="I188" s="388"/>
      <c r="J188" s="399"/>
      <c r="K188" s="400"/>
      <c r="L188" s="399"/>
      <c r="M188" s="399"/>
      <c r="N188" s="399"/>
      <c r="O188" s="399"/>
      <c r="P188" s="389"/>
      <c r="Q188" s="399"/>
      <c r="R188" s="399"/>
      <c r="S188" s="399"/>
      <c r="T188" s="399"/>
      <c r="U188" s="401"/>
      <c r="V188" s="399"/>
      <c r="W188" s="399"/>
      <c r="X188" s="399"/>
      <c r="Y188" s="389"/>
      <c r="Z188" s="400"/>
      <c r="AA188" s="402"/>
      <c r="AB188" s="403"/>
    </row>
    <row r="189" spans="1:28">
      <c r="A189" s="384"/>
      <c r="B189" s="385"/>
      <c r="C189" s="393"/>
      <c r="D189" s="398"/>
      <c r="E189" s="388"/>
      <c r="F189" s="388"/>
      <c r="G189" s="388"/>
      <c r="H189" s="395"/>
      <c r="I189" s="388"/>
      <c r="J189" s="396"/>
      <c r="K189" s="396"/>
      <c r="L189" s="396"/>
      <c r="M189" s="396"/>
      <c r="N189" s="396"/>
      <c r="O189" s="396"/>
      <c r="P189" s="389"/>
      <c r="Q189" s="396"/>
      <c r="R189" s="396"/>
      <c r="S189" s="396"/>
      <c r="T189" s="396"/>
      <c r="U189" s="401"/>
      <c r="V189" s="396"/>
      <c r="W189" s="399"/>
      <c r="X189" s="396"/>
      <c r="Y189" s="389"/>
      <c r="Z189" s="396"/>
      <c r="AA189" s="388"/>
      <c r="AB189" s="390"/>
    </row>
    <row r="190" spans="1:28">
      <c r="A190" s="384" t="str">
        <f t="shared" ref="A190:B190" si="530">A175</f>
        <v>Lantai 1</v>
      </c>
      <c r="B190" s="385">
        <f t="shared" si="530"/>
        <v>6</v>
      </c>
      <c r="C190" s="393" t="s">
        <v>209</v>
      </c>
      <c r="D190" s="398">
        <f>VLOOKUP(D175,'Detail Balok'!$C$10:$AU$140,22,FALSE)</f>
        <v>3</v>
      </c>
      <c r="E190" s="388" t="s">
        <v>16</v>
      </c>
      <c r="F190" s="388">
        <f>VLOOKUP(D175,'Detail Balok'!$C$10:$AU$140,24,FALSE)</f>
        <v>13</v>
      </c>
      <c r="G190" s="388"/>
      <c r="H190" s="395"/>
      <c r="I190" s="388" t="s">
        <v>203</v>
      </c>
      <c r="J190" s="399">
        <f t="shared" si="337"/>
        <v>0.60375000000000001</v>
      </c>
      <c r="K190" s="400" t="s">
        <v>204</v>
      </c>
      <c r="L190" s="399">
        <f t="shared" ref="L190" si="531">MAX(VLOOKUP(F190,N$6:P$15,3,FALSE)/1000,2/3*D180/1000)+F$16*F190/1000</f>
        <v>0.156</v>
      </c>
      <c r="M190" s="399" t="s">
        <v>176</v>
      </c>
      <c r="N190" s="399">
        <f t="shared" ref="N190:N192" si="532">J190+L190</f>
        <v>0.75975000000000004</v>
      </c>
      <c r="O190" s="399" t="s">
        <v>204</v>
      </c>
      <c r="P190" s="389">
        <f t="shared" ref="P190" si="533">D190-D191</f>
        <v>0</v>
      </c>
      <c r="Q190" s="399" t="s">
        <v>125</v>
      </c>
      <c r="R190" s="399">
        <f t="shared" ref="R190" si="534">IF(P190&gt;0,$F$18*F190/1000,0)</f>
        <v>0</v>
      </c>
      <c r="S190" s="399" t="s">
        <v>205</v>
      </c>
      <c r="T190" s="399" t="s">
        <v>125</v>
      </c>
      <c r="U190" s="401">
        <f t="shared" ref="U190:U192" si="535">0.006165*F190^2</f>
        <v>1.041885</v>
      </c>
      <c r="V190" s="399"/>
      <c r="W190" s="399"/>
      <c r="X190" s="399" t="s">
        <v>125</v>
      </c>
      <c r="Y190" s="389">
        <f t="shared" ref="Y190" si="536">D181</f>
        <v>1</v>
      </c>
      <c r="Z190" s="400" t="s">
        <v>176</v>
      </c>
      <c r="AA190" s="402">
        <f t="shared" ref="AA190" si="537">IF(AA193=0,(D190*N190+P190*R190)*U190*Y190,0)</f>
        <v>0</v>
      </c>
      <c r="AB190" s="403"/>
    </row>
    <row r="191" spans="1:28">
      <c r="A191" s="384" t="str">
        <f t="shared" ref="A191:B191" si="538">A175</f>
        <v>Lantai 1</v>
      </c>
      <c r="B191" s="385">
        <f t="shared" si="538"/>
        <v>6</v>
      </c>
      <c r="C191" s="393" t="s">
        <v>210</v>
      </c>
      <c r="D191" s="398">
        <f>VLOOKUP(D175,'Detail Balok'!$C$10:$AU$140,25,FALSE)</f>
        <v>3</v>
      </c>
      <c r="E191" s="388" t="s">
        <v>16</v>
      </c>
      <c r="F191" s="388">
        <f>VLOOKUP(D175,'Detail Balok'!$C$10:$AU$140,27,FALSE)</f>
        <v>13</v>
      </c>
      <c r="G191" s="388"/>
      <c r="H191" s="395"/>
      <c r="I191" s="388" t="s">
        <v>203</v>
      </c>
      <c r="J191" s="399">
        <f t="shared" si="337"/>
        <v>1.2075</v>
      </c>
      <c r="K191" s="400" t="s">
        <v>204</v>
      </c>
      <c r="L191" s="399"/>
      <c r="M191" s="399" t="s">
        <v>176</v>
      </c>
      <c r="N191" s="399">
        <f t="shared" si="532"/>
        <v>1.2075</v>
      </c>
      <c r="O191" s="399" t="s">
        <v>204</v>
      </c>
      <c r="P191" s="389">
        <f t="shared" ref="P191" si="539">MAX(D191-D190,D191-D192)</f>
        <v>0</v>
      </c>
      <c r="Q191" s="399" t="s">
        <v>125</v>
      </c>
      <c r="R191" s="399">
        <f t="shared" ref="R191" si="540">IF(P191&gt;0,2*(1-2*$F$19-1/2)*D178/1000,0)</f>
        <v>0</v>
      </c>
      <c r="S191" s="399" t="s">
        <v>205</v>
      </c>
      <c r="T191" s="399" t="s">
        <v>125</v>
      </c>
      <c r="U191" s="401">
        <f t="shared" si="535"/>
        <v>1.041885</v>
      </c>
      <c r="V191" s="399"/>
      <c r="W191" s="399"/>
      <c r="X191" s="399" t="s">
        <v>125</v>
      </c>
      <c r="Y191" s="389">
        <f t="shared" ref="Y191" si="541">D181</f>
        <v>1</v>
      </c>
      <c r="Z191" s="400" t="s">
        <v>176</v>
      </c>
      <c r="AA191" s="402">
        <f t="shared" ref="AA191" si="542">IF(AA193=0,(D191*N191+P191*R191)*U191*Y191,0)</f>
        <v>0</v>
      </c>
      <c r="AB191" s="403"/>
    </row>
    <row r="192" spans="1:28">
      <c r="A192" s="384" t="str">
        <f t="shared" ref="A192:B192" si="543">A175</f>
        <v>Lantai 1</v>
      </c>
      <c r="B192" s="385">
        <f t="shared" si="543"/>
        <v>6</v>
      </c>
      <c r="C192" s="393" t="s">
        <v>209</v>
      </c>
      <c r="D192" s="398">
        <f>VLOOKUP(D175,'Detail Balok'!$C$10:$AU$140,28,FALSE)</f>
        <v>3</v>
      </c>
      <c r="E192" s="388" t="s">
        <v>16</v>
      </c>
      <c r="F192" s="388">
        <f>VLOOKUP(D175,'Detail Balok'!$C$10:$AU$140,30,FALSE)</f>
        <v>13</v>
      </c>
      <c r="G192" s="388"/>
      <c r="H192" s="395"/>
      <c r="I192" s="388" t="s">
        <v>203</v>
      </c>
      <c r="J192" s="399">
        <f t="shared" si="337"/>
        <v>0.60375000000000001</v>
      </c>
      <c r="K192" s="400" t="s">
        <v>204</v>
      </c>
      <c r="L192" s="399">
        <f t="shared" ref="L192" si="544">MAX(VLOOKUP(F192,N$6:P$15,3,FALSE)/1000,2/3*D180/1000)+F$16*F192/1000</f>
        <v>0.156</v>
      </c>
      <c r="M192" s="399" t="s">
        <v>176</v>
      </c>
      <c r="N192" s="399">
        <f t="shared" si="532"/>
        <v>0.75975000000000004</v>
      </c>
      <c r="O192" s="399" t="s">
        <v>204</v>
      </c>
      <c r="P192" s="389">
        <f t="shared" ref="P192" si="545">D192-D191</f>
        <v>0</v>
      </c>
      <c r="Q192" s="399" t="s">
        <v>125</v>
      </c>
      <c r="R192" s="399">
        <f t="shared" ref="R192" si="546">IF(P192&gt;0,$F$18*F192/1000,0)</f>
        <v>0</v>
      </c>
      <c r="S192" s="399" t="s">
        <v>205</v>
      </c>
      <c r="T192" s="399" t="s">
        <v>125</v>
      </c>
      <c r="U192" s="401">
        <f t="shared" si="535"/>
        <v>1.041885</v>
      </c>
      <c r="V192" s="399"/>
      <c r="W192" s="399"/>
      <c r="X192" s="399" t="s">
        <v>125</v>
      </c>
      <c r="Y192" s="389">
        <f t="shared" ref="Y192" si="547">D181</f>
        <v>1</v>
      </c>
      <c r="Z192" s="400" t="s">
        <v>176</v>
      </c>
      <c r="AA192" s="402">
        <f t="shared" ref="AA192" si="548">IF(AA193=0,(D192*N192+P192*R192)*U192*Y192,0)</f>
        <v>0</v>
      </c>
      <c r="AB192" s="403"/>
    </row>
    <row r="193" spans="1:28">
      <c r="A193" s="384" t="str">
        <f t="shared" ref="A193:B193" si="549">A175</f>
        <v>Lantai 1</v>
      </c>
      <c r="B193" s="385">
        <f t="shared" si="549"/>
        <v>6</v>
      </c>
      <c r="C193" s="393"/>
      <c r="D193" s="398">
        <f t="shared" si="357"/>
        <v>3</v>
      </c>
      <c r="E193" s="388" t="s">
        <v>16</v>
      </c>
      <c r="F193" s="388">
        <f t="shared" si="358"/>
        <v>13</v>
      </c>
      <c r="G193" s="388"/>
      <c r="H193" s="395"/>
      <c r="I193" s="388"/>
      <c r="J193" s="396"/>
      <c r="K193" s="396"/>
      <c r="L193" s="404" t="s">
        <v>207</v>
      </c>
      <c r="M193" s="399" t="s">
        <v>176</v>
      </c>
      <c r="N193" s="399">
        <f t="shared" ref="N193" si="550">IF(AND(D190=D191,D190=D192,D191=D192,F190=F191,F190=F192,F191=F192),SUM(N190:N192),0)</f>
        <v>2.7269999999999999</v>
      </c>
      <c r="O193" s="399" t="s">
        <v>204</v>
      </c>
      <c r="P193" s="389">
        <f t="shared" ref="P193" si="551">IF(N193&gt;12,ROUNDDOWN(N193/12,0),0)</f>
        <v>0</v>
      </c>
      <c r="Q193" s="399" t="s">
        <v>125</v>
      </c>
      <c r="R193" s="399">
        <f t="shared" ref="R193" si="552">IF(P193&gt;0,MAX(VLOOKUP(F193,$D$6:$G$15,3,FALSE),600),0)/1000</f>
        <v>0</v>
      </c>
      <c r="S193" s="396"/>
      <c r="T193" s="396" t="s">
        <v>125</v>
      </c>
      <c r="U193" s="401">
        <f t="shared" si="362"/>
        <v>1.041885</v>
      </c>
      <c r="V193" s="396" t="s">
        <v>125</v>
      </c>
      <c r="W193" s="399">
        <f t="shared" ref="W193" si="553">D193</f>
        <v>3</v>
      </c>
      <c r="X193" s="399" t="s">
        <v>125</v>
      </c>
      <c r="Y193" s="389">
        <f t="shared" si="364"/>
        <v>1</v>
      </c>
      <c r="Z193" s="400" t="s">
        <v>176</v>
      </c>
      <c r="AA193" s="402">
        <f t="shared" ref="AA193" si="554">(N193+P193*R193/1000)*U193*W193*Y193</f>
        <v>8.5236611849999981</v>
      </c>
      <c r="AB193" s="403"/>
    </row>
    <row r="194" spans="1:28">
      <c r="A194" s="384"/>
      <c r="B194" s="385"/>
      <c r="C194" s="393"/>
      <c r="D194" s="394"/>
      <c r="E194" s="388"/>
      <c r="F194" s="388"/>
      <c r="G194" s="388"/>
      <c r="H194" s="395"/>
      <c r="I194" s="388"/>
      <c r="J194" s="399"/>
      <c r="K194" s="396"/>
      <c r="L194" s="396"/>
      <c r="M194" s="396"/>
      <c r="N194" s="396"/>
      <c r="O194" s="396"/>
      <c r="P194" s="389"/>
      <c r="Q194" s="396"/>
      <c r="R194" s="396"/>
      <c r="S194" s="396"/>
      <c r="T194" s="396"/>
      <c r="U194" s="401"/>
      <c r="V194" s="396"/>
      <c r="W194" s="388"/>
      <c r="X194" s="396"/>
      <c r="Y194" s="389"/>
      <c r="Z194" s="396"/>
      <c r="AA194" s="388"/>
      <c r="AB194" s="390"/>
    </row>
    <row r="195" spans="1:28">
      <c r="A195" s="384" t="str">
        <f t="shared" ref="A195:B195" si="555">A175</f>
        <v>Lantai 1</v>
      </c>
      <c r="B195" s="385">
        <f t="shared" si="555"/>
        <v>6</v>
      </c>
      <c r="C195" s="393" t="s">
        <v>211</v>
      </c>
      <c r="D195" s="398">
        <f>VLOOKUP(D175,'Detail Balok'!$C$10:$AU$140,31,FALSE)</f>
        <v>0</v>
      </c>
      <c r="E195" s="388" t="s">
        <v>16</v>
      </c>
      <c r="F195" s="388">
        <f>VLOOKUP(D175,'Detail Balok'!$C$10:$AU$140,33,FALSE)</f>
        <v>8</v>
      </c>
      <c r="G195" s="405" t="s">
        <v>157</v>
      </c>
      <c r="H195" s="395">
        <f>VLOOKUP(D175,'Detail Balok'!$C$10:$AU$140,35,FALSE)</f>
        <v>150</v>
      </c>
      <c r="I195" s="388"/>
      <c r="J195" s="400">
        <f t="shared" ref="J195" si="556">(IF(D195=0,(2*(D176+G176))-(F$5*8),IF(D195=3,(2*(D176+G176))-(F$5*8)+(G176-2*F$5),IF(D195=4,(2*(D176+G176))-(F$5*8)+2*(G176-2*F$5)))))/1000</f>
        <v>0.88</v>
      </c>
      <c r="K195" s="400" t="s">
        <v>204</v>
      </c>
      <c r="L195" s="399">
        <f t="shared" ref="L195:L197" si="557">IF(D195=0,2*MAX(6*F195,75),(D195-1)*2*MAX(6*F195,75))/1000</f>
        <v>0.15</v>
      </c>
      <c r="M195" s="399" t="s">
        <v>176</v>
      </c>
      <c r="N195" s="399">
        <f t="shared" ref="N195:N197" si="558">J195+L195</f>
        <v>1.03</v>
      </c>
      <c r="O195" s="399"/>
      <c r="P195" s="389"/>
      <c r="Q195" s="399"/>
      <c r="R195" s="399"/>
      <c r="S195" s="399"/>
      <c r="T195" s="399" t="s">
        <v>125</v>
      </c>
      <c r="U195" s="401">
        <f t="shared" ref="U195:U197" si="559">0.006165*F195^2</f>
        <v>0.39456000000000002</v>
      </c>
      <c r="V195" s="399" t="s">
        <v>125</v>
      </c>
      <c r="W195" s="399">
        <f t="shared" ref="W195" si="560">IF(D178&gt;4*G176,ROUND(MAX(D178/4,2*G176)/H195,0)+1,ROUND(D178/H195,0)+1)</f>
        <v>6</v>
      </c>
      <c r="X195" s="399" t="s">
        <v>125</v>
      </c>
      <c r="Y195" s="389">
        <f t="shared" ref="Y195" si="561">D181</f>
        <v>1</v>
      </c>
      <c r="Z195" s="400" t="s">
        <v>176</v>
      </c>
      <c r="AA195" s="402">
        <f t="shared" ref="AA195:AA197" si="562">N195*U195*W195*Y195</f>
        <v>2.4383808000000005</v>
      </c>
      <c r="AB195" s="403"/>
    </row>
    <row r="196" spans="1:28">
      <c r="A196" s="384" t="str">
        <f t="shared" ref="A196:B196" si="563">A175</f>
        <v>Lantai 1</v>
      </c>
      <c r="B196" s="385">
        <f t="shared" si="563"/>
        <v>6</v>
      </c>
      <c r="C196" s="393" t="s">
        <v>212</v>
      </c>
      <c r="D196" s="398">
        <f>VLOOKUP(D175,'Detail Balok'!$C$10:$AU$140,36,FALSE)</f>
        <v>0</v>
      </c>
      <c r="E196" s="388" t="s">
        <v>16</v>
      </c>
      <c r="F196" s="388">
        <f>VLOOKUP(D175,'Detail Balok'!$C$10:$AU$140,38,FALSE)</f>
        <v>8</v>
      </c>
      <c r="G196" s="405" t="s">
        <v>157</v>
      </c>
      <c r="H196" s="395">
        <f>VLOOKUP(D175,'Detail Balok'!$C$10:$AU$140,40,FALSE)</f>
        <v>200</v>
      </c>
      <c r="I196" s="388"/>
      <c r="J196" s="400">
        <f t="shared" ref="J196" si="564">(IF(D196=0,(2*(D176+G176))-(F$5*8),IF(D196=3,(2*(D176+G176))-(F$5*8)+(G176-2*F$5),IF(D196=4,(2*(D176+G176))-(F$5*8)+2*(G176-2*F$5)))))/1000</f>
        <v>0.88</v>
      </c>
      <c r="K196" s="400" t="s">
        <v>204</v>
      </c>
      <c r="L196" s="399">
        <f t="shared" si="557"/>
        <v>0.15</v>
      </c>
      <c r="M196" s="399" t="s">
        <v>176</v>
      </c>
      <c r="N196" s="399">
        <f t="shared" si="558"/>
        <v>1.03</v>
      </c>
      <c r="O196" s="399"/>
      <c r="P196" s="389"/>
      <c r="Q196" s="399"/>
      <c r="R196" s="399"/>
      <c r="S196" s="399"/>
      <c r="T196" s="399" t="s">
        <v>125</v>
      </c>
      <c r="U196" s="401">
        <f t="shared" si="559"/>
        <v>0.39456000000000002</v>
      </c>
      <c r="V196" s="399" t="s">
        <v>125</v>
      </c>
      <c r="W196" s="399">
        <f t="shared" ref="W196" si="565">IF(D178-MAX(D178/4,2*G176)*2&gt;0,ROUND((D178-MAX(D178/4,2*G176)*2)/H196,0),0)</f>
        <v>4</v>
      </c>
      <c r="X196" s="399" t="s">
        <v>125</v>
      </c>
      <c r="Y196" s="389">
        <f t="shared" ref="Y196" si="566">D181</f>
        <v>1</v>
      </c>
      <c r="Z196" s="400" t="s">
        <v>176</v>
      </c>
      <c r="AA196" s="402">
        <f t="shared" si="562"/>
        <v>1.6255872000000002</v>
      </c>
      <c r="AB196" s="403"/>
    </row>
    <row r="197" spans="1:28">
      <c r="A197" s="384" t="str">
        <f t="shared" ref="A197:B197" si="567">A175</f>
        <v>Lantai 1</v>
      </c>
      <c r="B197" s="385">
        <f t="shared" si="567"/>
        <v>6</v>
      </c>
      <c r="C197" s="393" t="s">
        <v>211</v>
      </c>
      <c r="D197" s="398">
        <f>VLOOKUP(D175,'Detail Balok'!$C$10:$AU$140,41,FALSE)</f>
        <v>0</v>
      </c>
      <c r="E197" s="388" t="s">
        <v>16</v>
      </c>
      <c r="F197" s="388">
        <f>VLOOKUP(D175,'Detail Balok'!$C$10:$AU$140,43,FALSE)</f>
        <v>8</v>
      </c>
      <c r="G197" s="405" t="s">
        <v>157</v>
      </c>
      <c r="H197" s="395">
        <f>VLOOKUP(D175,'Detail Balok'!$C$10:$AU$140,45,FALSE)</f>
        <v>150</v>
      </c>
      <c r="I197" s="388"/>
      <c r="J197" s="400">
        <f t="shared" ref="J197" si="568">(IF(D197=0,(2*(D176+G176))-(F$5*8),IF(D197=3,(2*(D176+G176))-(F$5*8)+(G176-2*F$5),IF(D197=4,(2*(D176+G176))-(F$5*8)+2*(G176-2*F$5)))))/1000</f>
        <v>0.88</v>
      </c>
      <c r="K197" s="400" t="s">
        <v>204</v>
      </c>
      <c r="L197" s="399">
        <f t="shared" si="557"/>
        <v>0.15</v>
      </c>
      <c r="M197" s="399" t="s">
        <v>176</v>
      </c>
      <c r="N197" s="399">
        <f t="shared" si="558"/>
        <v>1.03</v>
      </c>
      <c r="O197" s="399"/>
      <c r="P197" s="389"/>
      <c r="Q197" s="399"/>
      <c r="R197" s="399"/>
      <c r="S197" s="399"/>
      <c r="T197" s="399" t="s">
        <v>125</v>
      </c>
      <c r="U197" s="401">
        <f t="shared" si="559"/>
        <v>0.39456000000000002</v>
      </c>
      <c r="V197" s="399" t="s">
        <v>125</v>
      </c>
      <c r="W197" s="399">
        <f t="shared" ref="W197" si="569">IF(D178&gt;4*G176,ROUND(MAX(D178/4,2*G176)/H197,0)+1,0)</f>
        <v>6</v>
      </c>
      <c r="X197" s="399" t="s">
        <v>125</v>
      </c>
      <c r="Y197" s="389">
        <f t="shared" ref="Y197" si="570">D181</f>
        <v>1</v>
      </c>
      <c r="Z197" s="400" t="s">
        <v>176</v>
      </c>
      <c r="AA197" s="402">
        <f t="shared" si="562"/>
        <v>2.4383808000000005</v>
      </c>
      <c r="AB197" s="403"/>
    </row>
    <row r="198" spans="1:28">
      <c r="A198" s="384"/>
      <c r="B198" s="385"/>
      <c r="C198" s="393"/>
      <c r="D198" s="394"/>
      <c r="E198" s="388"/>
      <c r="F198" s="388"/>
      <c r="G198" s="388"/>
      <c r="H198" s="395"/>
      <c r="I198" s="388"/>
      <c r="J198" s="399"/>
      <c r="K198" s="396"/>
      <c r="L198" s="396"/>
      <c r="M198" s="396"/>
      <c r="N198" s="396"/>
      <c r="O198" s="396"/>
      <c r="P198" s="389"/>
      <c r="Q198" s="396"/>
      <c r="R198" s="396"/>
      <c r="S198" s="396"/>
      <c r="T198" s="396"/>
      <c r="U198" s="401"/>
      <c r="V198" s="396"/>
      <c r="W198" s="388"/>
      <c r="X198" s="396"/>
      <c r="Y198" s="389"/>
      <c r="Z198" s="396"/>
      <c r="AA198" s="388"/>
      <c r="AB198" s="390"/>
    </row>
    <row r="199" spans="1:28">
      <c r="A199" s="384" t="str">
        <f t="shared" ref="A199:B199" si="571">A175</f>
        <v>Lantai 1</v>
      </c>
      <c r="B199" s="385">
        <f t="shared" si="571"/>
        <v>6</v>
      </c>
      <c r="C199" s="393" t="s">
        <v>213</v>
      </c>
      <c r="D199" s="398">
        <f>VLOOKUP(D175,'Detail Balok'!$C$10:$BJ$140,46,FALSE)</f>
        <v>0</v>
      </c>
      <c r="E199" s="388" t="s">
        <v>16</v>
      </c>
      <c r="F199" s="388">
        <f>VLOOKUP(D175,'Detail Balok'!$C$10:$BJ$140,48,FALSE)</f>
        <v>0</v>
      </c>
      <c r="G199" s="405" t="s">
        <v>157</v>
      </c>
      <c r="H199" s="395">
        <f>VLOOKUP(D175,'Detail Balok'!$C$10:$BJ$140,50,FALSE)</f>
        <v>100</v>
      </c>
      <c r="I199" s="388"/>
      <c r="J199" s="399">
        <f t="shared" ref="J199" si="572">(D176-2*F$5)/1000</f>
        <v>0.12</v>
      </c>
      <c r="K199" s="400" t="s">
        <v>204</v>
      </c>
      <c r="L199" s="399">
        <f t="shared" ref="L199:L201" si="573">IF(D199=0,2*MAX(6*F199,75),(D199-1)*2*MAX(6*F199,75))/1000</f>
        <v>0.15</v>
      </c>
      <c r="M199" s="399" t="s">
        <v>176</v>
      </c>
      <c r="N199" s="399">
        <f t="shared" ref="N199:N201" si="574">J199+L199</f>
        <v>0.27</v>
      </c>
      <c r="O199" s="399"/>
      <c r="P199" s="399"/>
      <c r="Q199" s="399"/>
      <c r="R199" s="399"/>
      <c r="S199" s="399"/>
      <c r="T199" s="399" t="s">
        <v>125</v>
      </c>
      <c r="U199" s="401">
        <f t="shared" ref="U199:U201" si="575">0.006165*F199^2</f>
        <v>0</v>
      </c>
      <c r="V199" s="399" t="s">
        <v>125</v>
      </c>
      <c r="W199" s="399">
        <f t="shared" si="387"/>
        <v>6</v>
      </c>
      <c r="X199" s="399" t="s">
        <v>125</v>
      </c>
      <c r="Y199" s="389">
        <f t="shared" ref="Y199" si="576">D185</f>
        <v>3</v>
      </c>
      <c r="Z199" s="400" t="s">
        <v>176</v>
      </c>
      <c r="AA199" s="402">
        <f t="shared" ref="AA199:AA201" si="577">N199*U199*W199*Y199</f>
        <v>0</v>
      </c>
      <c r="AB199" s="403"/>
    </row>
    <row r="200" spans="1:28">
      <c r="A200" s="384" t="str">
        <f t="shared" ref="A200:B200" si="578">A175</f>
        <v>Lantai 1</v>
      </c>
      <c r="B200" s="385">
        <f t="shared" si="578"/>
        <v>6</v>
      </c>
      <c r="C200" s="393" t="s">
        <v>214</v>
      </c>
      <c r="D200" s="398">
        <f>VLOOKUP(D175,'Detail Balok'!$C$10:$BJ$140,51,FALSE)</f>
        <v>0</v>
      </c>
      <c r="E200" s="388" t="s">
        <v>16</v>
      </c>
      <c r="F200" s="388">
        <f>VLOOKUP(D175,'Detail Balok'!$C$10:$BJ$140,53,FALSE)</f>
        <v>0</v>
      </c>
      <c r="G200" s="405" t="s">
        <v>157</v>
      </c>
      <c r="H200" s="395">
        <f>VLOOKUP(D175,'Detail Balok'!$C$10:$BJ$140,55,FALSE)</f>
        <v>100</v>
      </c>
      <c r="I200" s="388"/>
      <c r="J200" s="399">
        <f t="shared" ref="J200" si="579">(D176-2*F$5)/1000</f>
        <v>0.12</v>
      </c>
      <c r="K200" s="400" t="s">
        <v>204</v>
      </c>
      <c r="L200" s="399">
        <f t="shared" si="573"/>
        <v>0.15</v>
      </c>
      <c r="M200" s="399" t="s">
        <v>176</v>
      </c>
      <c r="N200" s="399">
        <f t="shared" si="574"/>
        <v>0.27</v>
      </c>
      <c r="O200" s="399"/>
      <c r="P200" s="399"/>
      <c r="Q200" s="399"/>
      <c r="R200" s="399"/>
      <c r="S200" s="399"/>
      <c r="T200" s="399" t="s">
        <v>125</v>
      </c>
      <c r="U200" s="401">
        <f t="shared" si="575"/>
        <v>0</v>
      </c>
      <c r="V200" s="399" t="s">
        <v>125</v>
      </c>
      <c r="W200" s="399">
        <f t="shared" si="387"/>
        <v>4</v>
      </c>
      <c r="X200" s="399" t="s">
        <v>125</v>
      </c>
      <c r="Y200" s="389">
        <f t="shared" ref="Y200" si="580">D185</f>
        <v>3</v>
      </c>
      <c r="Z200" s="400" t="s">
        <v>176</v>
      </c>
      <c r="AA200" s="402">
        <f t="shared" si="577"/>
        <v>0</v>
      </c>
      <c r="AB200" s="403"/>
    </row>
    <row r="201" spans="1:28">
      <c r="A201" s="384" t="str">
        <f t="shared" ref="A201:B201" si="581">A175</f>
        <v>Lantai 1</v>
      </c>
      <c r="B201" s="385">
        <f t="shared" si="581"/>
        <v>6</v>
      </c>
      <c r="C201" s="393" t="s">
        <v>213</v>
      </c>
      <c r="D201" s="398">
        <f>VLOOKUP(D175,'Detail Balok'!$C$10:$BJ$140,56,FALSE)</f>
        <v>0</v>
      </c>
      <c r="E201" s="388" t="s">
        <v>16</v>
      </c>
      <c r="F201" s="388">
        <f>VLOOKUP(D175,'Detail Balok'!$C$10:$BJ$140,58,FALSE)</f>
        <v>0</v>
      </c>
      <c r="G201" s="405" t="s">
        <v>157</v>
      </c>
      <c r="H201" s="395">
        <f>VLOOKUP(D175,'Detail Balok'!$C$10:$BJ$140,60,FALSE)</f>
        <v>100</v>
      </c>
      <c r="I201" s="388"/>
      <c r="J201" s="399">
        <f t="shared" ref="J201" si="582">(D176-2*F$5)/1000</f>
        <v>0.12</v>
      </c>
      <c r="K201" s="400" t="s">
        <v>204</v>
      </c>
      <c r="L201" s="399">
        <f t="shared" si="573"/>
        <v>0.15</v>
      </c>
      <c r="M201" s="399" t="s">
        <v>176</v>
      </c>
      <c r="N201" s="399">
        <f t="shared" si="574"/>
        <v>0.27</v>
      </c>
      <c r="O201" s="399"/>
      <c r="P201" s="399"/>
      <c r="Q201" s="399"/>
      <c r="R201" s="399"/>
      <c r="S201" s="399"/>
      <c r="T201" s="399" t="s">
        <v>125</v>
      </c>
      <c r="U201" s="401">
        <f t="shared" si="575"/>
        <v>0</v>
      </c>
      <c r="V201" s="399" t="s">
        <v>125</v>
      </c>
      <c r="W201" s="399">
        <f t="shared" si="387"/>
        <v>6</v>
      </c>
      <c r="X201" s="399" t="s">
        <v>125</v>
      </c>
      <c r="Y201" s="389">
        <f t="shared" ref="Y201" si="583">D185</f>
        <v>3</v>
      </c>
      <c r="Z201" s="400" t="s">
        <v>176</v>
      </c>
      <c r="AA201" s="402">
        <f t="shared" si="577"/>
        <v>0</v>
      </c>
      <c r="AB201" s="403"/>
    </row>
    <row r="202" spans="1:28">
      <c r="A202" s="391"/>
      <c r="B202" s="392"/>
      <c r="C202" s="392"/>
      <c r="D202" s="394"/>
      <c r="E202" s="388"/>
      <c r="F202" s="388"/>
      <c r="G202" s="388"/>
      <c r="H202" s="395"/>
      <c r="I202" s="388"/>
      <c r="J202" s="402"/>
      <c r="K202" s="388"/>
      <c r="L202" s="388"/>
      <c r="M202" s="388"/>
      <c r="N202" s="388"/>
      <c r="O202" s="388"/>
      <c r="P202" s="388"/>
      <c r="Q202" s="388"/>
      <c r="R202" s="388"/>
      <c r="S202" s="388"/>
      <c r="T202" s="388"/>
      <c r="U202" s="388"/>
      <c r="V202" s="388"/>
      <c r="W202" s="388"/>
      <c r="X202" s="388"/>
      <c r="Y202" s="389"/>
      <c r="Z202" s="388"/>
      <c r="AA202" s="402"/>
      <c r="AB202" s="403"/>
    </row>
    <row r="203" spans="1:28" ht="15.75" thickBot="1">
      <c r="A203" s="406"/>
      <c r="B203" s="407"/>
      <c r="C203" s="407"/>
      <c r="D203" s="408"/>
      <c r="E203" s="409"/>
      <c r="F203" s="409"/>
      <c r="G203" s="409"/>
      <c r="H203" s="410"/>
      <c r="I203" s="409"/>
      <c r="J203" s="409"/>
      <c r="K203" s="409"/>
      <c r="L203" s="409"/>
      <c r="M203" s="409"/>
      <c r="N203" s="409"/>
      <c r="O203" s="409"/>
      <c r="P203" s="409"/>
      <c r="Q203" s="409"/>
      <c r="R203" s="409"/>
      <c r="S203" s="409"/>
      <c r="T203" s="409"/>
      <c r="U203" s="409"/>
      <c r="V203" s="409"/>
      <c r="W203" s="409"/>
      <c r="X203" s="409"/>
      <c r="Y203" s="411"/>
      <c r="Z203" s="409"/>
      <c r="AA203" s="412"/>
      <c r="AB203" s="413"/>
    </row>
    <row r="204" spans="1:28">
      <c r="A204" s="377"/>
      <c r="B204" s="378"/>
      <c r="C204" s="378"/>
      <c r="D204" s="379"/>
      <c r="E204" s="380"/>
      <c r="F204" s="380"/>
      <c r="G204" s="380"/>
      <c r="H204" s="381"/>
      <c r="I204" s="380"/>
      <c r="J204" s="380"/>
      <c r="K204" s="380"/>
      <c r="L204" s="380"/>
      <c r="M204" s="380"/>
      <c r="N204" s="380"/>
      <c r="O204" s="380"/>
      <c r="P204" s="380"/>
      <c r="Q204" s="380"/>
      <c r="R204" s="380"/>
      <c r="S204" s="380"/>
      <c r="T204" s="380"/>
      <c r="U204" s="380"/>
      <c r="V204" s="380"/>
      <c r="W204" s="380"/>
      <c r="X204" s="380"/>
      <c r="Y204" s="382"/>
      <c r="Z204" s="380"/>
      <c r="AA204" s="380"/>
      <c r="AB204" s="383"/>
    </row>
    <row r="205" spans="1:28">
      <c r="A205" s="384" t="str">
        <f t="shared" si="396"/>
        <v>Lantai 1</v>
      </c>
      <c r="B205" s="385">
        <f t="shared" si="397"/>
        <v>7</v>
      </c>
      <c r="C205" s="386" t="str">
        <f t="shared" ref="C205" si="584">CONCATENATE(A205," no. ",B205)</f>
        <v>Lantai 1 no. 7</v>
      </c>
      <c r="D205" s="2562" t="str">
        <f>VLOOKUP(C205,'Data Panjang Balok'!$C$9:$N$254,2,FALSE)</f>
        <v>S24-2</v>
      </c>
      <c r="E205" s="2576"/>
      <c r="F205" s="2576"/>
      <c r="G205" s="2576"/>
      <c r="H205" s="2577"/>
      <c r="I205" s="387"/>
      <c r="J205" s="388"/>
      <c r="K205" s="388"/>
      <c r="L205" s="388"/>
      <c r="M205" s="388"/>
      <c r="N205" s="388"/>
      <c r="O205" s="388"/>
      <c r="P205" s="388"/>
      <c r="Q205" s="388"/>
      <c r="R205" s="388"/>
      <c r="S205" s="388"/>
      <c r="T205" s="388"/>
      <c r="U205" s="388"/>
      <c r="V205" s="388"/>
      <c r="W205" s="388"/>
      <c r="X205" s="388"/>
      <c r="Y205" s="389"/>
      <c r="Z205" s="388"/>
      <c r="AA205" s="388"/>
      <c r="AB205" s="390"/>
    </row>
    <row r="206" spans="1:28">
      <c r="A206" s="391"/>
      <c r="B206" s="392"/>
      <c r="C206" s="393" t="s">
        <v>118</v>
      </c>
      <c r="D206" s="2578">
        <f>VLOOKUP(D205,'Detail Balok'!$C$10:$AU$140,2,FALSE)</f>
        <v>200</v>
      </c>
      <c r="E206" s="2579"/>
      <c r="F206" s="388" t="s">
        <v>125</v>
      </c>
      <c r="G206" s="2579">
        <f>VLOOKUP(D205,'Detail Balok'!$C$10:$AU$140,3,FALSE)</f>
        <v>400</v>
      </c>
      <c r="H206" s="2580"/>
      <c r="I206" s="388"/>
      <c r="J206" s="396"/>
      <c r="K206" s="396"/>
      <c r="L206" s="396"/>
      <c r="M206" s="396"/>
      <c r="N206" s="396"/>
      <c r="O206" s="396"/>
      <c r="P206" s="396"/>
      <c r="Q206" s="396"/>
      <c r="R206" s="396"/>
      <c r="S206" s="396"/>
      <c r="T206" s="396"/>
      <c r="U206" s="388"/>
      <c r="V206" s="396"/>
      <c r="W206" s="388"/>
      <c r="X206" s="396"/>
      <c r="Y206" s="389"/>
      <c r="Z206" s="396"/>
      <c r="AA206" s="388"/>
      <c r="AB206" s="390"/>
    </row>
    <row r="207" spans="1:28">
      <c r="A207" s="391"/>
      <c r="B207" s="392"/>
      <c r="C207" s="393" t="s">
        <v>198</v>
      </c>
      <c r="D207" s="2562">
        <f>VLOOKUP(C205,'Data Panjang Balok'!$C$9:$N$254,4,FALSE)</f>
        <v>9445</v>
      </c>
      <c r="E207" s="2563"/>
      <c r="F207" s="2563"/>
      <c r="G207" s="2563"/>
      <c r="H207" s="2564"/>
      <c r="I207" s="397"/>
      <c r="J207" s="396"/>
      <c r="K207" s="396"/>
      <c r="L207" s="396"/>
      <c r="M207" s="396"/>
      <c r="N207" s="396"/>
      <c r="O207" s="396"/>
      <c r="P207" s="396"/>
      <c r="Q207" s="396"/>
      <c r="R207" s="396"/>
      <c r="S207" s="396"/>
      <c r="T207" s="396"/>
      <c r="U207" s="388"/>
      <c r="V207" s="396"/>
      <c r="W207" s="388"/>
      <c r="X207" s="396"/>
      <c r="Y207" s="389"/>
      <c r="Z207" s="396"/>
      <c r="AA207" s="388"/>
      <c r="AB207" s="390"/>
    </row>
    <row r="208" spans="1:28">
      <c r="A208" s="391"/>
      <c r="B208" s="392"/>
      <c r="C208" s="393" t="s">
        <v>199</v>
      </c>
      <c r="D208" s="2562">
        <f>VLOOKUP(C205,'Data Panjang Balok'!$C$9:$N$254,7,FALSE)</f>
        <v>9445</v>
      </c>
      <c r="E208" s="2563"/>
      <c r="F208" s="2563"/>
      <c r="G208" s="2563"/>
      <c r="H208" s="2564"/>
      <c r="I208" s="397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88"/>
      <c r="V208" s="396"/>
      <c r="W208" s="388"/>
      <c r="X208" s="396"/>
      <c r="Y208" s="389"/>
      <c r="Z208" s="396"/>
      <c r="AA208" s="388"/>
      <c r="AB208" s="390"/>
    </row>
    <row r="209" spans="1:28">
      <c r="A209" s="391"/>
      <c r="B209" s="392"/>
      <c r="C209" s="393" t="s">
        <v>200</v>
      </c>
      <c r="D209" s="2562">
        <f>VLOOKUP(C205,'Data Panjang Balok'!$C$9:$N$254,9,FALSE)</f>
        <v>0</v>
      </c>
      <c r="E209" s="2563"/>
      <c r="F209" s="2563"/>
      <c r="G209" s="2563"/>
      <c r="H209" s="2564"/>
      <c r="I209" s="397"/>
      <c r="J209" s="396"/>
      <c r="K209" s="396"/>
      <c r="L209" s="396"/>
      <c r="M209" s="396"/>
      <c r="N209" s="396"/>
      <c r="O209" s="396"/>
      <c r="P209" s="396"/>
      <c r="Q209" s="396"/>
      <c r="R209" s="396"/>
      <c r="S209" s="396"/>
      <c r="T209" s="396"/>
      <c r="U209" s="388"/>
      <c r="V209" s="396"/>
      <c r="W209" s="388"/>
      <c r="X209" s="396"/>
      <c r="Y209" s="389"/>
      <c r="Z209" s="396"/>
      <c r="AA209" s="388"/>
      <c r="AB209" s="390"/>
    </row>
    <row r="210" spans="1:28">
      <c r="A210" s="391"/>
      <c r="B210" s="392"/>
      <c r="C210" s="393" t="s">
        <v>201</v>
      </c>
      <c r="D210" s="2562">
        <f>VLOOKUP(C205,'Data Panjang Balok'!$C$9:$N$254,10,FALSE)</f>
        <v>0</v>
      </c>
      <c r="E210" s="2563"/>
      <c r="F210" s="2563"/>
      <c r="G210" s="2563"/>
      <c r="H210" s="2564"/>
      <c r="I210" s="397"/>
      <c r="J210" s="396"/>
      <c r="K210" s="396"/>
      <c r="L210" s="396"/>
      <c r="M210" s="396"/>
      <c r="N210" s="396"/>
      <c r="O210" s="396"/>
      <c r="P210" s="396"/>
      <c r="Q210" s="396"/>
      <c r="R210" s="396"/>
      <c r="S210" s="396"/>
      <c r="T210" s="396"/>
      <c r="U210" s="388"/>
      <c r="V210" s="396"/>
      <c r="W210" s="388"/>
      <c r="X210" s="396"/>
      <c r="Y210" s="389"/>
      <c r="Z210" s="396"/>
      <c r="AA210" s="388"/>
      <c r="AB210" s="390"/>
    </row>
    <row r="211" spans="1:28">
      <c r="A211" s="391"/>
      <c r="B211" s="392"/>
      <c r="C211" s="393" t="s">
        <v>48</v>
      </c>
      <c r="D211" s="2562">
        <f>VLOOKUP(C205,'Data Panjang Balok'!$C$9:$N$254,3,FALSE)</f>
        <v>2</v>
      </c>
      <c r="E211" s="2563"/>
      <c r="F211" s="2563"/>
      <c r="G211" s="2563"/>
      <c r="H211" s="2564"/>
      <c r="I211" s="397"/>
      <c r="J211" s="396"/>
      <c r="K211" s="396"/>
      <c r="L211" s="396"/>
      <c r="M211" s="396"/>
      <c r="N211" s="396"/>
      <c r="O211" s="396"/>
      <c r="P211" s="396"/>
      <c r="Q211" s="396"/>
      <c r="R211" s="396"/>
      <c r="S211" s="396"/>
      <c r="T211" s="396"/>
      <c r="U211" s="388"/>
      <c r="V211" s="396"/>
      <c r="W211" s="388"/>
      <c r="X211" s="396"/>
      <c r="Y211" s="389"/>
      <c r="Z211" s="396"/>
      <c r="AA211" s="388"/>
      <c r="AB211" s="390"/>
    </row>
    <row r="212" spans="1:28">
      <c r="A212" s="384" t="str">
        <f t="shared" ref="A212:B212" si="585">A205</f>
        <v>Lantai 1</v>
      </c>
      <c r="B212" s="385">
        <f t="shared" si="585"/>
        <v>7</v>
      </c>
      <c r="C212" s="393" t="s">
        <v>202</v>
      </c>
      <c r="D212" s="398">
        <f>VLOOKUP(D205,'Detail Balok'!$C$10:$AU$140,4,FALSE)</f>
        <v>3</v>
      </c>
      <c r="E212" s="388" t="s">
        <v>16</v>
      </c>
      <c r="F212" s="388">
        <f>VLOOKUP(D205,'Detail Balok'!$C$10:$AU$140,6,FALSE)</f>
        <v>16</v>
      </c>
      <c r="G212" s="388"/>
      <c r="H212" s="395"/>
      <c r="I212" s="388" t="s">
        <v>203</v>
      </c>
      <c r="J212" s="399">
        <f t="shared" ref="J212" si="586">+D207/4/1000</f>
        <v>2.3612500000000001</v>
      </c>
      <c r="K212" s="400" t="s">
        <v>204</v>
      </c>
      <c r="L212" s="399">
        <f t="shared" ref="L212" si="587">MAX(VLOOKUP(F212,N$6:P$15,3,FALSE)/1000,2/3*D209/1000)+F$16*F212/1000</f>
        <v>0.192</v>
      </c>
      <c r="M212" s="399" t="s">
        <v>176</v>
      </c>
      <c r="N212" s="399">
        <f t="shared" ref="N212:N214" si="588">J212+L212</f>
        <v>2.5532500000000002</v>
      </c>
      <c r="O212" s="399" t="s">
        <v>204</v>
      </c>
      <c r="P212" s="389">
        <f t="shared" ref="P212" si="589">D212-D213</f>
        <v>0</v>
      </c>
      <c r="Q212" s="399" t="s">
        <v>125</v>
      </c>
      <c r="R212" s="399">
        <f t="shared" ref="R212" si="590">IF(P212&gt;0,$F$18*F212/1000,0)</f>
        <v>0</v>
      </c>
      <c r="S212" s="399" t="s">
        <v>205</v>
      </c>
      <c r="T212" s="399" t="s">
        <v>125</v>
      </c>
      <c r="U212" s="401">
        <f t="shared" ref="U212:U214" si="591">0.006165*F212^2</f>
        <v>1.5782400000000001</v>
      </c>
      <c r="V212" s="399"/>
      <c r="W212" s="399"/>
      <c r="X212" s="399" t="s">
        <v>125</v>
      </c>
      <c r="Y212" s="389">
        <f t="shared" ref="Y212" si="592">D211</f>
        <v>2</v>
      </c>
      <c r="Z212" s="400" t="s">
        <v>176</v>
      </c>
      <c r="AA212" s="402">
        <f t="shared" ref="AA212" si="593">IF(AA215=0,(D212*N212+P212*R212)*U212*Y212,0)</f>
        <v>0</v>
      </c>
      <c r="AB212" s="403"/>
    </row>
    <row r="213" spans="1:28">
      <c r="A213" s="384" t="str">
        <f t="shared" ref="A213:B213" si="594">A205</f>
        <v>Lantai 1</v>
      </c>
      <c r="B213" s="385">
        <f t="shared" si="594"/>
        <v>7</v>
      </c>
      <c r="C213" s="393" t="s">
        <v>206</v>
      </c>
      <c r="D213" s="398">
        <f>VLOOKUP(D205,'Detail Balok'!$C$10:$AU$140,7,FALSE)</f>
        <v>3</v>
      </c>
      <c r="E213" s="388" t="s">
        <v>16</v>
      </c>
      <c r="F213" s="388">
        <f>VLOOKUP(D205,'Detail Balok'!$C$10:$AU$140,9,FALSE)</f>
        <v>16</v>
      </c>
      <c r="G213" s="388"/>
      <c r="H213" s="395"/>
      <c r="I213" s="388" t="s">
        <v>203</v>
      </c>
      <c r="J213" s="399">
        <f t="shared" ref="J213" si="595">+D207/2/1000</f>
        <v>4.7225000000000001</v>
      </c>
      <c r="K213" s="400" t="s">
        <v>204</v>
      </c>
      <c r="L213" s="399"/>
      <c r="M213" s="399" t="s">
        <v>176</v>
      </c>
      <c r="N213" s="399">
        <f t="shared" si="588"/>
        <v>4.7225000000000001</v>
      </c>
      <c r="O213" s="399" t="s">
        <v>204</v>
      </c>
      <c r="P213" s="389">
        <f t="shared" ref="P213" si="596">MAX(D213-D212,D213-D214)</f>
        <v>0</v>
      </c>
      <c r="Q213" s="399" t="s">
        <v>125</v>
      </c>
      <c r="R213" s="399">
        <f t="shared" ref="R213" si="597">IF(P213&gt;0,2*(1-2*$F$19-1/2)*D208/1000,0)</f>
        <v>0</v>
      </c>
      <c r="S213" s="399" t="s">
        <v>205</v>
      </c>
      <c r="T213" s="399" t="s">
        <v>125</v>
      </c>
      <c r="U213" s="401">
        <f t="shared" si="591"/>
        <v>1.5782400000000001</v>
      </c>
      <c r="V213" s="399"/>
      <c r="W213" s="399"/>
      <c r="X213" s="399" t="s">
        <v>125</v>
      </c>
      <c r="Y213" s="389">
        <f t="shared" ref="Y213" si="598">D211</f>
        <v>2</v>
      </c>
      <c r="Z213" s="400" t="s">
        <v>176</v>
      </c>
      <c r="AA213" s="402">
        <f t="shared" ref="AA213" si="599">IF(AA215=0,(D213*N213+P213*R213)*U213*Y213,0)</f>
        <v>0</v>
      </c>
      <c r="AB213" s="403"/>
    </row>
    <row r="214" spans="1:28">
      <c r="A214" s="384" t="str">
        <f t="shared" ref="A214:B214" si="600">A205</f>
        <v>Lantai 1</v>
      </c>
      <c r="B214" s="385">
        <f t="shared" si="600"/>
        <v>7</v>
      </c>
      <c r="C214" s="393" t="s">
        <v>202</v>
      </c>
      <c r="D214" s="398">
        <f>VLOOKUP(D205,'Detail Balok'!$C$10:$AU$140,10,FALSE)</f>
        <v>3</v>
      </c>
      <c r="E214" s="388" t="s">
        <v>16</v>
      </c>
      <c r="F214" s="388">
        <f>VLOOKUP(D205,'Detail Balok'!$C$10:$AU$140,12,FALSE)</f>
        <v>16</v>
      </c>
      <c r="G214" s="388"/>
      <c r="H214" s="395"/>
      <c r="I214" s="388" t="s">
        <v>203</v>
      </c>
      <c r="J214" s="399">
        <f t="shared" ref="J214" si="601">+D207/4/1000</f>
        <v>2.3612500000000001</v>
      </c>
      <c r="K214" s="400" t="s">
        <v>204</v>
      </c>
      <c r="L214" s="399">
        <f t="shared" ref="L214" si="602">MAX(VLOOKUP(F214,N$6:P$15,3,FALSE)/1000,2/3*D209/1000)+F$16*F214/1000</f>
        <v>0.192</v>
      </c>
      <c r="M214" s="399" t="s">
        <v>176</v>
      </c>
      <c r="N214" s="399">
        <f t="shared" si="588"/>
        <v>2.5532500000000002</v>
      </c>
      <c r="O214" s="399" t="s">
        <v>204</v>
      </c>
      <c r="P214" s="389">
        <f t="shared" ref="P214" si="603">D214-D213</f>
        <v>0</v>
      </c>
      <c r="Q214" s="399" t="s">
        <v>125</v>
      </c>
      <c r="R214" s="399">
        <f t="shared" ref="R214" si="604">IF(P214&gt;0,$F$18*F214/1000,0)</f>
        <v>0</v>
      </c>
      <c r="S214" s="399" t="s">
        <v>205</v>
      </c>
      <c r="T214" s="399" t="s">
        <v>125</v>
      </c>
      <c r="U214" s="401">
        <f t="shared" si="591"/>
        <v>1.5782400000000001</v>
      </c>
      <c r="V214" s="399"/>
      <c r="W214" s="399"/>
      <c r="X214" s="399" t="s">
        <v>125</v>
      </c>
      <c r="Y214" s="389">
        <f t="shared" ref="Y214" si="605">D211</f>
        <v>2</v>
      </c>
      <c r="Z214" s="400" t="s">
        <v>176</v>
      </c>
      <c r="AA214" s="402">
        <f t="shared" ref="AA214" si="606">IF(AA215=0,(D214*N214+P214*R214)*U214*Y214,0)</f>
        <v>0</v>
      </c>
      <c r="AB214" s="403"/>
    </row>
    <row r="215" spans="1:28">
      <c r="A215" s="384" t="str">
        <f t="shared" ref="A215:B215" si="607">A205</f>
        <v>Lantai 1</v>
      </c>
      <c r="B215" s="385">
        <f t="shared" si="607"/>
        <v>7</v>
      </c>
      <c r="C215" s="393"/>
      <c r="D215" s="398">
        <f t="shared" ref="D215:D275" si="608">IF(AND(D212=D213,D213=D214,D212=D214),D212,0)</f>
        <v>3</v>
      </c>
      <c r="E215" s="388" t="s">
        <v>16</v>
      </c>
      <c r="F215" s="388">
        <f t="shared" ref="F215:F275" si="609">IF(AND(F212=F213,F212=F214,F213=F214),F212,0)</f>
        <v>16</v>
      </c>
      <c r="G215" s="388"/>
      <c r="H215" s="395"/>
      <c r="I215" s="388"/>
      <c r="J215" s="396"/>
      <c r="K215" s="396"/>
      <c r="L215" s="404" t="s">
        <v>207</v>
      </c>
      <c r="M215" s="399" t="s">
        <v>176</v>
      </c>
      <c r="N215" s="399">
        <f t="shared" ref="N215" si="610">IF(AND(D212=D213,D212=D214,D213=D214,F212=F213,F212=F214,F213=F214),SUM(N212:N214),0)</f>
        <v>9.8290000000000006</v>
      </c>
      <c r="O215" s="399" t="s">
        <v>204</v>
      </c>
      <c r="P215" s="389">
        <f t="shared" ref="P215" si="611">IF(N215&gt;12,ROUNDDOWN(N215/12,0),0)</f>
        <v>0</v>
      </c>
      <c r="Q215" s="399" t="s">
        <v>125</v>
      </c>
      <c r="R215" s="399">
        <f t="shared" ref="R215" si="612">IF(P215&gt;0,MAX(VLOOKUP(F215,$D$6:$G$15,3,FALSE),600),0)/1000</f>
        <v>0</v>
      </c>
      <c r="S215" s="396"/>
      <c r="T215" s="396" t="s">
        <v>125</v>
      </c>
      <c r="U215" s="401">
        <f t="shared" ref="U215:U275" si="613">U214</f>
        <v>1.5782400000000001</v>
      </c>
      <c r="V215" s="396" t="s">
        <v>125</v>
      </c>
      <c r="W215" s="399">
        <f t="shared" ref="W215" si="614">D215</f>
        <v>3</v>
      </c>
      <c r="X215" s="399" t="s">
        <v>125</v>
      </c>
      <c r="Y215" s="389">
        <f t="shared" ref="Y215:Y275" si="615">Y214</f>
        <v>2</v>
      </c>
      <c r="Z215" s="400" t="s">
        <v>176</v>
      </c>
      <c r="AA215" s="402">
        <f t="shared" ref="AA215" si="616">(N215+P215*R215/1000)*U215*W215*Y215</f>
        <v>93.075125760000006</v>
      </c>
      <c r="AB215" s="390"/>
    </row>
    <row r="216" spans="1:28">
      <c r="A216" s="384"/>
      <c r="B216" s="385"/>
      <c r="C216" s="393"/>
      <c r="D216" s="398"/>
      <c r="E216" s="388"/>
      <c r="F216" s="388"/>
      <c r="G216" s="388"/>
      <c r="H216" s="395"/>
      <c r="I216" s="388"/>
      <c r="J216" s="396"/>
      <c r="K216" s="396"/>
      <c r="L216" s="404"/>
      <c r="M216" s="399"/>
      <c r="N216" s="399"/>
      <c r="O216" s="396"/>
      <c r="P216" s="389"/>
      <c r="Q216" s="396"/>
      <c r="R216" s="396"/>
      <c r="S216" s="396"/>
      <c r="T216" s="396"/>
      <c r="U216" s="401"/>
      <c r="V216" s="396"/>
      <c r="W216" s="399"/>
      <c r="X216" s="396"/>
      <c r="Y216" s="389"/>
      <c r="Z216" s="396"/>
      <c r="AA216" s="388"/>
      <c r="AB216" s="390"/>
    </row>
    <row r="217" spans="1:28">
      <c r="A217" s="384" t="str">
        <f t="shared" ref="A217:B217" si="617">A205</f>
        <v>Lantai 1</v>
      </c>
      <c r="B217" s="385">
        <f t="shared" si="617"/>
        <v>7</v>
      </c>
      <c r="C217" s="393" t="s">
        <v>208</v>
      </c>
      <c r="D217" s="398">
        <f>VLOOKUP(D205,'Detail Balok'!$C$10:$AU$140,13,FALSE)</f>
        <v>0</v>
      </c>
      <c r="E217" s="388" t="s">
        <v>16</v>
      </c>
      <c r="F217" s="388">
        <f>VLOOKUP(D205,'Detail Balok'!$C$10:$AU$140,15,FALSE)</f>
        <v>8</v>
      </c>
      <c r="G217" s="388"/>
      <c r="H217" s="395"/>
      <c r="I217" s="388"/>
      <c r="J217" s="399">
        <f t="shared" ref="J217" si="618">+D207/1000</f>
        <v>9.4450000000000003</v>
      </c>
      <c r="K217" s="400" t="s">
        <v>204</v>
      </c>
      <c r="L217" s="399">
        <f t="shared" ref="L217" si="619">2*$F$16*F217/1000</f>
        <v>0.192</v>
      </c>
      <c r="M217" s="399" t="s">
        <v>176</v>
      </c>
      <c r="N217" s="399">
        <f t="shared" ref="N217" si="620">J217+L217</f>
        <v>9.6370000000000005</v>
      </c>
      <c r="O217" s="399" t="s">
        <v>204</v>
      </c>
      <c r="P217" s="389">
        <f t="shared" ref="P217" si="621">IF(N217&gt;12,ROUNDDOWN(N217/12,0),0)</f>
        <v>0</v>
      </c>
      <c r="Q217" s="399" t="s">
        <v>125</v>
      </c>
      <c r="R217" s="399">
        <f t="shared" ref="R217" si="622">IF(P217&gt;0,MAX(VLOOKUP(F217,$D$6:$G$15,3,FALSE),600),0)/1000</f>
        <v>0</v>
      </c>
      <c r="S217" s="399"/>
      <c r="T217" s="399" t="s">
        <v>125</v>
      </c>
      <c r="U217" s="401">
        <f t="shared" ref="U217" si="623">0.006165*F217^2</f>
        <v>0.39456000000000002</v>
      </c>
      <c r="V217" s="399" t="s">
        <v>125</v>
      </c>
      <c r="W217" s="399">
        <f t="shared" ref="W217" si="624">+D217</f>
        <v>0</v>
      </c>
      <c r="X217" s="399" t="s">
        <v>125</v>
      </c>
      <c r="Y217" s="389">
        <f t="shared" ref="Y217" si="625">D211</f>
        <v>2</v>
      </c>
      <c r="Z217" s="400" t="s">
        <v>176</v>
      </c>
      <c r="AA217" s="402">
        <f t="shared" ref="AA217" si="626">(N217+P217*R217/1000)*U217*W217*Y217</f>
        <v>0</v>
      </c>
      <c r="AB217" s="403"/>
    </row>
    <row r="218" spans="1:28">
      <c r="A218" s="384"/>
      <c r="B218" s="385"/>
      <c r="C218" s="393"/>
      <c r="D218" s="398"/>
      <c r="E218" s="388"/>
      <c r="F218" s="388"/>
      <c r="G218" s="388"/>
      <c r="H218" s="395"/>
      <c r="I218" s="388"/>
      <c r="J218" s="399"/>
      <c r="K218" s="400"/>
      <c r="L218" s="399"/>
      <c r="M218" s="399"/>
      <c r="N218" s="399"/>
      <c r="O218" s="399"/>
      <c r="P218" s="389"/>
      <c r="Q218" s="399"/>
      <c r="R218" s="399"/>
      <c r="S218" s="399"/>
      <c r="T218" s="399"/>
      <c r="U218" s="401"/>
      <c r="V218" s="399"/>
      <c r="W218" s="399"/>
      <c r="X218" s="399"/>
      <c r="Y218" s="389"/>
      <c r="Z218" s="400"/>
      <c r="AA218" s="402"/>
      <c r="AB218" s="403"/>
    </row>
    <row r="219" spans="1:28">
      <c r="A219" s="384"/>
      <c r="B219" s="385"/>
      <c r="C219" s="393"/>
      <c r="D219" s="398"/>
      <c r="E219" s="388"/>
      <c r="F219" s="388"/>
      <c r="G219" s="388"/>
      <c r="H219" s="395"/>
      <c r="I219" s="388"/>
      <c r="J219" s="396"/>
      <c r="K219" s="396"/>
      <c r="L219" s="396"/>
      <c r="M219" s="396"/>
      <c r="N219" s="396"/>
      <c r="O219" s="396"/>
      <c r="P219" s="389"/>
      <c r="Q219" s="396"/>
      <c r="R219" s="396"/>
      <c r="S219" s="396"/>
      <c r="T219" s="396"/>
      <c r="U219" s="401"/>
      <c r="V219" s="396"/>
      <c r="W219" s="399"/>
      <c r="X219" s="396"/>
      <c r="Y219" s="389"/>
      <c r="Z219" s="396"/>
      <c r="AA219" s="388"/>
      <c r="AB219" s="390"/>
    </row>
    <row r="220" spans="1:28">
      <c r="A220" s="384" t="str">
        <f t="shared" ref="A220:B220" si="627">A205</f>
        <v>Lantai 1</v>
      </c>
      <c r="B220" s="385">
        <f t="shared" si="627"/>
        <v>7</v>
      </c>
      <c r="C220" s="393" t="s">
        <v>209</v>
      </c>
      <c r="D220" s="398">
        <f>VLOOKUP(D205,'Detail Balok'!$C$10:$AU$140,22,FALSE)</f>
        <v>3</v>
      </c>
      <c r="E220" s="388" t="s">
        <v>16</v>
      </c>
      <c r="F220" s="388">
        <f>VLOOKUP(D205,'Detail Balok'!$C$10:$AU$140,24,FALSE)</f>
        <v>16</v>
      </c>
      <c r="G220" s="388"/>
      <c r="H220" s="395"/>
      <c r="I220" s="388" t="s">
        <v>203</v>
      </c>
      <c r="J220" s="399">
        <f t="shared" ref="J220:J282" si="628">+J212</f>
        <v>2.3612500000000001</v>
      </c>
      <c r="K220" s="400" t="s">
        <v>204</v>
      </c>
      <c r="L220" s="399">
        <f t="shared" ref="L220" si="629">MAX(VLOOKUP(F220,N$6:P$15,3,FALSE)/1000,2/3*D210/1000)+F$16*F220/1000</f>
        <v>0.192</v>
      </c>
      <c r="M220" s="399" t="s">
        <v>176</v>
      </c>
      <c r="N220" s="399">
        <f t="shared" ref="N220:N222" si="630">J220+L220</f>
        <v>2.5532500000000002</v>
      </c>
      <c r="O220" s="399" t="s">
        <v>204</v>
      </c>
      <c r="P220" s="389">
        <f t="shared" ref="P220" si="631">D220-D221</f>
        <v>0</v>
      </c>
      <c r="Q220" s="399" t="s">
        <v>125</v>
      </c>
      <c r="R220" s="399">
        <f t="shared" ref="R220" si="632">IF(P220&gt;0,$F$18*F220/1000,0)</f>
        <v>0</v>
      </c>
      <c r="S220" s="399" t="s">
        <v>205</v>
      </c>
      <c r="T220" s="399" t="s">
        <v>125</v>
      </c>
      <c r="U220" s="401">
        <f t="shared" ref="U220:U222" si="633">0.006165*F220^2</f>
        <v>1.5782400000000001</v>
      </c>
      <c r="V220" s="399"/>
      <c r="W220" s="399"/>
      <c r="X220" s="399" t="s">
        <v>125</v>
      </c>
      <c r="Y220" s="389">
        <f t="shared" ref="Y220" si="634">D211</f>
        <v>2</v>
      </c>
      <c r="Z220" s="400" t="s">
        <v>176</v>
      </c>
      <c r="AA220" s="402">
        <f t="shared" ref="AA220" si="635">IF(AA223=0,(D220*N220+P220*R220)*U220*Y220,0)</f>
        <v>0</v>
      </c>
      <c r="AB220" s="403"/>
    </row>
    <row r="221" spans="1:28">
      <c r="A221" s="384" t="str">
        <f t="shared" ref="A221:B221" si="636">A205</f>
        <v>Lantai 1</v>
      </c>
      <c r="B221" s="385">
        <f t="shared" si="636"/>
        <v>7</v>
      </c>
      <c r="C221" s="393" t="s">
        <v>210</v>
      </c>
      <c r="D221" s="398">
        <f>VLOOKUP(D205,'Detail Balok'!$C$10:$AU$140,25,FALSE)</f>
        <v>3</v>
      </c>
      <c r="E221" s="388" t="s">
        <v>16</v>
      </c>
      <c r="F221" s="388">
        <f>VLOOKUP(D205,'Detail Balok'!$C$10:$AU$140,27,FALSE)</f>
        <v>16</v>
      </c>
      <c r="G221" s="388"/>
      <c r="H221" s="395"/>
      <c r="I221" s="388" t="s">
        <v>203</v>
      </c>
      <c r="J221" s="399">
        <f t="shared" si="628"/>
        <v>4.7225000000000001</v>
      </c>
      <c r="K221" s="400" t="s">
        <v>204</v>
      </c>
      <c r="L221" s="399"/>
      <c r="M221" s="399" t="s">
        <v>176</v>
      </c>
      <c r="N221" s="399">
        <f t="shared" si="630"/>
        <v>4.7225000000000001</v>
      </c>
      <c r="O221" s="399" t="s">
        <v>204</v>
      </c>
      <c r="P221" s="389">
        <f t="shared" ref="P221" si="637">MAX(D221-D220,D221-D222)</f>
        <v>0</v>
      </c>
      <c r="Q221" s="399" t="s">
        <v>125</v>
      </c>
      <c r="R221" s="399">
        <f t="shared" ref="R221" si="638">IF(P221&gt;0,2*(1-2*$F$19-1/2)*D208/1000,0)</f>
        <v>0</v>
      </c>
      <c r="S221" s="399" t="s">
        <v>205</v>
      </c>
      <c r="T221" s="399" t="s">
        <v>125</v>
      </c>
      <c r="U221" s="401">
        <f t="shared" si="633"/>
        <v>1.5782400000000001</v>
      </c>
      <c r="V221" s="399"/>
      <c r="W221" s="399"/>
      <c r="X221" s="399" t="s">
        <v>125</v>
      </c>
      <c r="Y221" s="389">
        <f t="shared" ref="Y221" si="639">D211</f>
        <v>2</v>
      </c>
      <c r="Z221" s="400" t="s">
        <v>176</v>
      </c>
      <c r="AA221" s="402">
        <f t="shared" ref="AA221" si="640">IF(AA223=0,(D221*N221+P221*R221)*U221*Y221,0)</f>
        <v>0</v>
      </c>
      <c r="AB221" s="403"/>
    </row>
    <row r="222" spans="1:28">
      <c r="A222" s="384" t="str">
        <f t="shared" ref="A222:B222" si="641">A205</f>
        <v>Lantai 1</v>
      </c>
      <c r="B222" s="385">
        <f t="shared" si="641"/>
        <v>7</v>
      </c>
      <c r="C222" s="393" t="s">
        <v>209</v>
      </c>
      <c r="D222" s="398">
        <f>VLOOKUP(D205,'Detail Balok'!$C$10:$AU$140,28,FALSE)</f>
        <v>3</v>
      </c>
      <c r="E222" s="388" t="s">
        <v>16</v>
      </c>
      <c r="F222" s="388">
        <f>VLOOKUP(D205,'Detail Balok'!$C$10:$AU$140,30,FALSE)</f>
        <v>16</v>
      </c>
      <c r="G222" s="388"/>
      <c r="H222" s="395"/>
      <c r="I222" s="388" t="s">
        <v>203</v>
      </c>
      <c r="J222" s="399">
        <f t="shared" si="628"/>
        <v>2.3612500000000001</v>
      </c>
      <c r="K222" s="400" t="s">
        <v>204</v>
      </c>
      <c r="L222" s="399">
        <f t="shared" ref="L222" si="642">MAX(VLOOKUP(F222,N$6:P$15,3,FALSE)/1000,2/3*D210/1000)+F$16*F222/1000</f>
        <v>0.192</v>
      </c>
      <c r="M222" s="399" t="s">
        <v>176</v>
      </c>
      <c r="N222" s="399">
        <f t="shared" si="630"/>
        <v>2.5532500000000002</v>
      </c>
      <c r="O222" s="399" t="s">
        <v>204</v>
      </c>
      <c r="P222" s="389">
        <f t="shared" ref="P222" si="643">D222-D221</f>
        <v>0</v>
      </c>
      <c r="Q222" s="399" t="s">
        <v>125</v>
      </c>
      <c r="R222" s="399">
        <f t="shared" ref="R222" si="644">IF(P222&gt;0,$F$18*F222/1000,0)</f>
        <v>0</v>
      </c>
      <c r="S222" s="399" t="s">
        <v>205</v>
      </c>
      <c r="T222" s="399" t="s">
        <v>125</v>
      </c>
      <c r="U222" s="401">
        <f t="shared" si="633"/>
        <v>1.5782400000000001</v>
      </c>
      <c r="V222" s="399"/>
      <c r="W222" s="399"/>
      <c r="X222" s="399" t="s">
        <v>125</v>
      </c>
      <c r="Y222" s="389">
        <f t="shared" ref="Y222" si="645">D211</f>
        <v>2</v>
      </c>
      <c r="Z222" s="400" t="s">
        <v>176</v>
      </c>
      <c r="AA222" s="402">
        <f t="shared" ref="AA222" si="646">IF(AA223=0,(D222*N222+P222*R222)*U222*Y222,0)</f>
        <v>0</v>
      </c>
      <c r="AB222" s="403"/>
    </row>
    <row r="223" spans="1:28">
      <c r="A223" s="384" t="str">
        <f t="shared" ref="A223:B223" si="647">A205</f>
        <v>Lantai 1</v>
      </c>
      <c r="B223" s="385">
        <f t="shared" si="647"/>
        <v>7</v>
      </c>
      <c r="C223" s="393"/>
      <c r="D223" s="398">
        <f t="shared" ref="D223:D283" si="648">IF(AND(D220=D221,D221=D222,D220=D222),D220,0)</f>
        <v>3</v>
      </c>
      <c r="E223" s="388" t="s">
        <v>16</v>
      </c>
      <c r="F223" s="388">
        <f t="shared" ref="F223:F283" si="649">IF(AND(F220=F221,F220=F222,F221=F222),F220,0)</f>
        <v>16</v>
      </c>
      <c r="G223" s="388"/>
      <c r="H223" s="395"/>
      <c r="I223" s="388"/>
      <c r="J223" s="396"/>
      <c r="K223" s="396"/>
      <c r="L223" s="404" t="s">
        <v>207</v>
      </c>
      <c r="M223" s="399" t="s">
        <v>176</v>
      </c>
      <c r="N223" s="399">
        <f t="shared" ref="N223" si="650">IF(AND(D220=D221,D220=D222,D221=D222,F220=F221,F220=F222,F221=F222),SUM(N220:N222),0)</f>
        <v>9.8290000000000006</v>
      </c>
      <c r="O223" s="399" t="s">
        <v>204</v>
      </c>
      <c r="P223" s="389">
        <f t="shared" ref="P223" si="651">IF(N223&gt;12,ROUNDDOWN(N223/12,0),0)</f>
        <v>0</v>
      </c>
      <c r="Q223" s="399" t="s">
        <v>125</v>
      </c>
      <c r="R223" s="399">
        <f t="shared" ref="R223" si="652">IF(P223&gt;0,MAX(VLOOKUP(F223,$D$6:$G$15,3,FALSE),600),0)/1000</f>
        <v>0</v>
      </c>
      <c r="S223" s="396"/>
      <c r="T223" s="396" t="s">
        <v>125</v>
      </c>
      <c r="U223" s="401">
        <f t="shared" ref="U223:U283" si="653">U222</f>
        <v>1.5782400000000001</v>
      </c>
      <c r="V223" s="396" t="s">
        <v>125</v>
      </c>
      <c r="W223" s="399">
        <f t="shared" ref="W223" si="654">D223</f>
        <v>3</v>
      </c>
      <c r="X223" s="399" t="s">
        <v>125</v>
      </c>
      <c r="Y223" s="389">
        <f t="shared" ref="Y223:Y283" si="655">Y222</f>
        <v>2</v>
      </c>
      <c r="Z223" s="400" t="s">
        <v>176</v>
      </c>
      <c r="AA223" s="402">
        <f t="shared" ref="AA223" si="656">(N223+P223*R223/1000)*U223*W223*Y223</f>
        <v>93.075125760000006</v>
      </c>
      <c r="AB223" s="403"/>
    </row>
    <row r="224" spans="1:28">
      <c r="A224" s="384"/>
      <c r="B224" s="385"/>
      <c r="C224" s="393"/>
      <c r="D224" s="394"/>
      <c r="E224" s="388"/>
      <c r="F224" s="388"/>
      <c r="G224" s="388"/>
      <c r="H224" s="395"/>
      <c r="I224" s="388"/>
      <c r="J224" s="399"/>
      <c r="K224" s="396"/>
      <c r="L224" s="396"/>
      <c r="M224" s="396"/>
      <c r="N224" s="396"/>
      <c r="O224" s="396"/>
      <c r="P224" s="389"/>
      <c r="Q224" s="396"/>
      <c r="R224" s="396"/>
      <c r="S224" s="396"/>
      <c r="T224" s="396"/>
      <c r="U224" s="401"/>
      <c r="V224" s="396"/>
      <c r="W224" s="388"/>
      <c r="X224" s="396"/>
      <c r="Y224" s="389"/>
      <c r="Z224" s="396"/>
      <c r="AA224" s="388"/>
      <c r="AB224" s="390"/>
    </row>
    <row r="225" spans="1:28">
      <c r="A225" s="384" t="str">
        <f t="shared" ref="A225:B225" si="657">A205</f>
        <v>Lantai 1</v>
      </c>
      <c r="B225" s="385">
        <f t="shared" si="657"/>
        <v>7</v>
      </c>
      <c r="C225" s="393" t="s">
        <v>211</v>
      </c>
      <c r="D225" s="398">
        <f>VLOOKUP(D205,'Detail Balok'!$C$10:$AU$140,31,FALSE)</f>
        <v>0</v>
      </c>
      <c r="E225" s="388" t="s">
        <v>16</v>
      </c>
      <c r="F225" s="388">
        <f>VLOOKUP(D205,'Detail Balok'!$C$10:$AU$140,33,FALSE)</f>
        <v>8</v>
      </c>
      <c r="G225" s="405" t="s">
        <v>157</v>
      </c>
      <c r="H225" s="395">
        <f>VLOOKUP(D205,'Detail Balok'!$C$10:$AU$140,35,FALSE)</f>
        <v>150</v>
      </c>
      <c r="I225" s="388"/>
      <c r="J225" s="400">
        <f t="shared" ref="J225" si="658">(IF(D225=0,(2*(D206+G206))-(F$5*8),IF(D225=3,(2*(D206+G206))-(F$5*8)+(G206-2*F$5),IF(D225=4,(2*(D206+G206))-(F$5*8)+2*(G206-2*F$5)))))/1000</f>
        <v>0.88</v>
      </c>
      <c r="K225" s="400" t="s">
        <v>204</v>
      </c>
      <c r="L225" s="399">
        <f t="shared" ref="L225:L227" si="659">IF(D225=0,2*MAX(6*F225,75),(D225-1)*2*MAX(6*F225,75))/1000</f>
        <v>0.15</v>
      </c>
      <c r="M225" s="399" t="s">
        <v>176</v>
      </c>
      <c r="N225" s="399">
        <f t="shared" ref="N225:N227" si="660">J225+L225</f>
        <v>1.03</v>
      </c>
      <c r="O225" s="399"/>
      <c r="P225" s="389"/>
      <c r="Q225" s="399"/>
      <c r="R225" s="399"/>
      <c r="S225" s="399"/>
      <c r="T225" s="399" t="s">
        <v>125</v>
      </c>
      <c r="U225" s="401">
        <f t="shared" ref="U225:U227" si="661">0.006165*F225^2</f>
        <v>0.39456000000000002</v>
      </c>
      <c r="V225" s="399" t="s">
        <v>125</v>
      </c>
      <c r="W225" s="399">
        <f t="shared" ref="W225" si="662">IF(D208&gt;4*G206,ROUND(MAX(D208/4,2*G206)/H225,0)+1,ROUND(D208/H225,0)+1)</f>
        <v>17</v>
      </c>
      <c r="X225" s="399" t="s">
        <v>125</v>
      </c>
      <c r="Y225" s="389">
        <f t="shared" ref="Y225" si="663">D211</f>
        <v>2</v>
      </c>
      <c r="Z225" s="400" t="s">
        <v>176</v>
      </c>
      <c r="AA225" s="402">
        <f t="shared" ref="AA225:AA227" si="664">N225*U225*W225*Y225</f>
        <v>13.817491200000003</v>
      </c>
      <c r="AB225" s="403"/>
    </row>
    <row r="226" spans="1:28">
      <c r="A226" s="384" t="str">
        <f t="shared" ref="A226:B226" si="665">A205</f>
        <v>Lantai 1</v>
      </c>
      <c r="B226" s="385">
        <f t="shared" si="665"/>
        <v>7</v>
      </c>
      <c r="C226" s="393" t="s">
        <v>212</v>
      </c>
      <c r="D226" s="398">
        <f>VLOOKUP(D205,'Detail Balok'!$C$10:$AU$140,36,FALSE)</f>
        <v>0</v>
      </c>
      <c r="E226" s="388" t="s">
        <v>16</v>
      </c>
      <c r="F226" s="388">
        <f>VLOOKUP(D205,'Detail Balok'!$C$10:$AU$140,38,FALSE)</f>
        <v>8</v>
      </c>
      <c r="G226" s="405" t="s">
        <v>157</v>
      </c>
      <c r="H226" s="395">
        <f>VLOOKUP(D205,'Detail Balok'!$C$10:$AU$140,40,FALSE)</f>
        <v>200</v>
      </c>
      <c r="I226" s="388"/>
      <c r="J226" s="400">
        <f t="shared" ref="J226" si="666">(IF(D226=0,(2*(D206+G206))-(F$5*8),IF(D226=3,(2*(D206+G206))-(F$5*8)+(G206-2*F$5),IF(D226=4,(2*(D206+G206))-(F$5*8)+2*(G206-2*F$5)))))/1000</f>
        <v>0.88</v>
      </c>
      <c r="K226" s="400" t="s">
        <v>204</v>
      </c>
      <c r="L226" s="399">
        <f t="shared" si="659"/>
        <v>0.15</v>
      </c>
      <c r="M226" s="399" t="s">
        <v>176</v>
      </c>
      <c r="N226" s="399">
        <f t="shared" si="660"/>
        <v>1.03</v>
      </c>
      <c r="O226" s="399"/>
      <c r="P226" s="389"/>
      <c r="Q226" s="399"/>
      <c r="R226" s="399"/>
      <c r="S226" s="399"/>
      <c r="T226" s="399" t="s">
        <v>125</v>
      </c>
      <c r="U226" s="401">
        <f t="shared" si="661"/>
        <v>0.39456000000000002</v>
      </c>
      <c r="V226" s="399" t="s">
        <v>125</v>
      </c>
      <c r="W226" s="399">
        <f t="shared" ref="W226" si="667">IF(D208-MAX(D208/4,2*G206)*2&gt;0,ROUND((D208-MAX(D208/4,2*G206)*2)/H226,0),0)</f>
        <v>24</v>
      </c>
      <c r="X226" s="399" t="s">
        <v>125</v>
      </c>
      <c r="Y226" s="389">
        <f t="shared" ref="Y226" si="668">D211</f>
        <v>2</v>
      </c>
      <c r="Z226" s="400" t="s">
        <v>176</v>
      </c>
      <c r="AA226" s="402">
        <f t="shared" si="664"/>
        <v>19.507046400000004</v>
      </c>
      <c r="AB226" s="403"/>
    </row>
    <row r="227" spans="1:28">
      <c r="A227" s="384" t="str">
        <f t="shared" ref="A227:B227" si="669">A205</f>
        <v>Lantai 1</v>
      </c>
      <c r="B227" s="385">
        <f t="shared" si="669"/>
        <v>7</v>
      </c>
      <c r="C227" s="393" t="s">
        <v>211</v>
      </c>
      <c r="D227" s="398">
        <f>VLOOKUP(D205,'Detail Balok'!$C$10:$AU$140,41,FALSE)</f>
        <v>0</v>
      </c>
      <c r="E227" s="388" t="s">
        <v>16</v>
      </c>
      <c r="F227" s="388">
        <f>VLOOKUP(D205,'Detail Balok'!$C$10:$AU$140,43,FALSE)</f>
        <v>8</v>
      </c>
      <c r="G227" s="405" t="s">
        <v>157</v>
      </c>
      <c r="H227" s="395">
        <f>VLOOKUP(D205,'Detail Balok'!$C$10:$AU$140,45,FALSE)</f>
        <v>150</v>
      </c>
      <c r="I227" s="388"/>
      <c r="J227" s="400">
        <f t="shared" ref="J227" si="670">(IF(D227=0,(2*(D206+G206))-(F$5*8),IF(D227=3,(2*(D206+G206))-(F$5*8)+(G206-2*F$5),IF(D227=4,(2*(D206+G206))-(F$5*8)+2*(G206-2*F$5)))))/1000</f>
        <v>0.88</v>
      </c>
      <c r="K227" s="400" t="s">
        <v>204</v>
      </c>
      <c r="L227" s="399">
        <f t="shared" si="659"/>
        <v>0.15</v>
      </c>
      <c r="M227" s="399" t="s">
        <v>176</v>
      </c>
      <c r="N227" s="399">
        <f t="shared" si="660"/>
        <v>1.03</v>
      </c>
      <c r="O227" s="399"/>
      <c r="P227" s="389"/>
      <c r="Q227" s="399"/>
      <c r="R227" s="399"/>
      <c r="S227" s="399"/>
      <c r="T227" s="399" t="s">
        <v>125</v>
      </c>
      <c r="U227" s="401">
        <f t="shared" si="661"/>
        <v>0.39456000000000002</v>
      </c>
      <c r="V227" s="399" t="s">
        <v>125</v>
      </c>
      <c r="W227" s="399">
        <f t="shared" ref="W227" si="671">IF(D208&gt;4*G206,ROUND(MAX(D208/4,2*G206)/H227,0)+1,0)</f>
        <v>17</v>
      </c>
      <c r="X227" s="399" t="s">
        <v>125</v>
      </c>
      <c r="Y227" s="389">
        <f t="shared" ref="Y227" si="672">D211</f>
        <v>2</v>
      </c>
      <c r="Z227" s="400" t="s">
        <v>176</v>
      </c>
      <c r="AA227" s="402">
        <f t="shared" si="664"/>
        <v>13.817491200000003</v>
      </c>
      <c r="AB227" s="403"/>
    </row>
    <row r="228" spans="1:28">
      <c r="A228" s="384"/>
      <c r="B228" s="385"/>
      <c r="C228" s="393"/>
      <c r="D228" s="394"/>
      <c r="E228" s="388"/>
      <c r="F228" s="388"/>
      <c r="G228" s="388"/>
      <c r="H228" s="395"/>
      <c r="I228" s="388"/>
      <c r="J228" s="399"/>
      <c r="K228" s="396"/>
      <c r="L228" s="396"/>
      <c r="M228" s="396"/>
      <c r="N228" s="396"/>
      <c r="O228" s="396"/>
      <c r="P228" s="389"/>
      <c r="Q228" s="396"/>
      <c r="R228" s="396"/>
      <c r="S228" s="396"/>
      <c r="T228" s="396"/>
      <c r="U228" s="401"/>
      <c r="V228" s="396"/>
      <c r="W228" s="388"/>
      <c r="X228" s="396"/>
      <c r="Y228" s="389"/>
      <c r="Z228" s="396"/>
      <c r="AA228" s="388"/>
      <c r="AB228" s="390"/>
    </row>
    <row r="229" spans="1:28">
      <c r="A229" s="384" t="str">
        <f t="shared" ref="A229:B229" si="673">A205</f>
        <v>Lantai 1</v>
      </c>
      <c r="B229" s="385">
        <f t="shared" si="673"/>
        <v>7</v>
      </c>
      <c r="C229" s="393" t="s">
        <v>213</v>
      </c>
      <c r="D229" s="398">
        <f>VLOOKUP(D205,'Detail Balok'!$C$10:$BJ$140,46,FALSE)</f>
        <v>0</v>
      </c>
      <c r="E229" s="388" t="s">
        <v>16</v>
      </c>
      <c r="F229" s="388">
        <f>VLOOKUP(D205,'Detail Balok'!$C$10:$BJ$140,48,FALSE)</f>
        <v>0</v>
      </c>
      <c r="G229" s="405" t="s">
        <v>157</v>
      </c>
      <c r="H229" s="395">
        <f>VLOOKUP(D205,'Detail Balok'!$C$10:$BJ$140,50,FALSE)</f>
        <v>100</v>
      </c>
      <c r="I229" s="388"/>
      <c r="J229" s="399">
        <f t="shared" ref="J229" si="674">(D206-2*F$5)/1000</f>
        <v>0.12</v>
      </c>
      <c r="K229" s="400" t="s">
        <v>204</v>
      </c>
      <c r="L229" s="399">
        <f t="shared" ref="L229:L231" si="675">IF(D229=0,2*MAX(6*F229,75),(D229-1)*2*MAX(6*F229,75))/1000</f>
        <v>0.15</v>
      </c>
      <c r="M229" s="399" t="s">
        <v>176</v>
      </c>
      <c r="N229" s="399">
        <f t="shared" ref="N229:N231" si="676">J229+L229</f>
        <v>0.27</v>
      </c>
      <c r="O229" s="399"/>
      <c r="P229" s="399"/>
      <c r="Q229" s="399"/>
      <c r="R229" s="399"/>
      <c r="S229" s="399"/>
      <c r="T229" s="399" t="s">
        <v>125</v>
      </c>
      <c r="U229" s="401">
        <f t="shared" ref="U229:U231" si="677">0.006165*F229^2</f>
        <v>0</v>
      </c>
      <c r="V229" s="399" t="s">
        <v>125</v>
      </c>
      <c r="W229" s="399">
        <f t="shared" ref="W229:W291" si="678">W225</f>
        <v>17</v>
      </c>
      <c r="X229" s="399" t="s">
        <v>125</v>
      </c>
      <c r="Y229" s="389">
        <f t="shared" ref="Y229" si="679">D215</f>
        <v>3</v>
      </c>
      <c r="Z229" s="400" t="s">
        <v>176</v>
      </c>
      <c r="AA229" s="402">
        <f t="shared" ref="AA229:AA231" si="680">N229*U229*W229*Y229</f>
        <v>0</v>
      </c>
      <c r="AB229" s="403"/>
    </row>
    <row r="230" spans="1:28">
      <c r="A230" s="384" t="str">
        <f t="shared" ref="A230:B230" si="681">A205</f>
        <v>Lantai 1</v>
      </c>
      <c r="B230" s="385">
        <f t="shared" si="681"/>
        <v>7</v>
      </c>
      <c r="C230" s="393" t="s">
        <v>214</v>
      </c>
      <c r="D230" s="398">
        <f>VLOOKUP(D205,'Detail Balok'!$C$10:$BJ$140,51,FALSE)</f>
        <v>0</v>
      </c>
      <c r="E230" s="388" t="s">
        <v>16</v>
      </c>
      <c r="F230" s="388">
        <f>VLOOKUP(D205,'Detail Balok'!$C$10:$BJ$140,53,FALSE)</f>
        <v>0</v>
      </c>
      <c r="G230" s="405" t="s">
        <v>157</v>
      </c>
      <c r="H230" s="395">
        <f>VLOOKUP(D205,'Detail Balok'!$C$10:$BJ$140,55,FALSE)</f>
        <v>100</v>
      </c>
      <c r="I230" s="388"/>
      <c r="J230" s="399">
        <f t="shared" ref="J230" si="682">(D206-2*F$5)/1000</f>
        <v>0.12</v>
      </c>
      <c r="K230" s="400" t="s">
        <v>204</v>
      </c>
      <c r="L230" s="399">
        <f t="shared" si="675"/>
        <v>0.15</v>
      </c>
      <c r="M230" s="399" t="s">
        <v>176</v>
      </c>
      <c r="N230" s="399">
        <f t="shared" si="676"/>
        <v>0.27</v>
      </c>
      <c r="O230" s="399"/>
      <c r="P230" s="399"/>
      <c r="Q230" s="399"/>
      <c r="R230" s="399"/>
      <c r="S230" s="399"/>
      <c r="T230" s="399" t="s">
        <v>125</v>
      </c>
      <c r="U230" s="401">
        <f t="shared" si="677"/>
        <v>0</v>
      </c>
      <c r="V230" s="399" t="s">
        <v>125</v>
      </c>
      <c r="W230" s="399">
        <f t="shared" si="678"/>
        <v>24</v>
      </c>
      <c r="X230" s="399" t="s">
        <v>125</v>
      </c>
      <c r="Y230" s="389">
        <f t="shared" ref="Y230" si="683">D215</f>
        <v>3</v>
      </c>
      <c r="Z230" s="400" t="s">
        <v>176</v>
      </c>
      <c r="AA230" s="402">
        <f t="shared" si="680"/>
        <v>0</v>
      </c>
      <c r="AB230" s="403"/>
    </row>
    <row r="231" spans="1:28">
      <c r="A231" s="384" t="str">
        <f t="shared" ref="A231:B231" si="684">A205</f>
        <v>Lantai 1</v>
      </c>
      <c r="B231" s="385">
        <f t="shared" si="684"/>
        <v>7</v>
      </c>
      <c r="C231" s="393" t="s">
        <v>213</v>
      </c>
      <c r="D231" s="398">
        <f>VLOOKUP(D205,'Detail Balok'!$C$10:$BJ$140,56,FALSE)</f>
        <v>0</v>
      </c>
      <c r="E231" s="388" t="s">
        <v>16</v>
      </c>
      <c r="F231" s="388">
        <f>VLOOKUP(D205,'Detail Balok'!$C$10:$BJ$140,58,FALSE)</f>
        <v>0</v>
      </c>
      <c r="G231" s="405" t="s">
        <v>157</v>
      </c>
      <c r="H231" s="395">
        <f>VLOOKUP(D205,'Detail Balok'!$C$10:$BJ$140,60,FALSE)</f>
        <v>100</v>
      </c>
      <c r="I231" s="388"/>
      <c r="J231" s="399">
        <f t="shared" ref="J231" si="685">(D206-2*F$5)/1000</f>
        <v>0.12</v>
      </c>
      <c r="K231" s="400" t="s">
        <v>204</v>
      </c>
      <c r="L231" s="399">
        <f t="shared" si="675"/>
        <v>0.15</v>
      </c>
      <c r="M231" s="399" t="s">
        <v>176</v>
      </c>
      <c r="N231" s="399">
        <f t="shared" si="676"/>
        <v>0.27</v>
      </c>
      <c r="O231" s="399"/>
      <c r="P231" s="399"/>
      <c r="Q231" s="399"/>
      <c r="R231" s="399"/>
      <c r="S231" s="399"/>
      <c r="T231" s="399" t="s">
        <v>125</v>
      </c>
      <c r="U231" s="401">
        <f t="shared" si="677"/>
        <v>0</v>
      </c>
      <c r="V231" s="399" t="s">
        <v>125</v>
      </c>
      <c r="W231" s="399">
        <f t="shared" si="678"/>
        <v>17</v>
      </c>
      <c r="X231" s="399" t="s">
        <v>125</v>
      </c>
      <c r="Y231" s="389">
        <f t="shared" ref="Y231" si="686">D215</f>
        <v>3</v>
      </c>
      <c r="Z231" s="400" t="s">
        <v>176</v>
      </c>
      <c r="AA231" s="402">
        <f t="shared" si="680"/>
        <v>0</v>
      </c>
      <c r="AB231" s="403"/>
    </row>
    <row r="232" spans="1:28">
      <c r="A232" s="391"/>
      <c r="B232" s="392"/>
      <c r="C232" s="392"/>
      <c r="D232" s="394"/>
      <c r="E232" s="388"/>
      <c r="F232" s="388"/>
      <c r="G232" s="388"/>
      <c r="H232" s="395"/>
      <c r="I232" s="388"/>
      <c r="J232" s="402"/>
      <c r="K232" s="388"/>
      <c r="L232" s="388"/>
      <c r="M232" s="388"/>
      <c r="N232" s="388"/>
      <c r="O232" s="388"/>
      <c r="P232" s="388"/>
      <c r="Q232" s="388"/>
      <c r="R232" s="388"/>
      <c r="S232" s="388"/>
      <c r="T232" s="388"/>
      <c r="U232" s="388"/>
      <c r="V232" s="388"/>
      <c r="W232" s="388"/>
      <c r="X232" s="388"/>
      <c r="Y232" s="389"/>
      <c r="Z232" s="388"/>
      <c r="AA232" s="402"/>
      <c r="AB232" s="403"/>
    </row>
    <row r="233" spans="1:28" ht="15.75" thickBot="1">
      <c r="A233" s="406"/>
      <c r="B233" s="407"/>
      <c r="C233" s="407"/>
      <c r="D233" s="408"/>
      <c r="E233" s="409"/>
      <c r="F233" s="409"/>
      <c r="G233" s="409"/>
      <c r="H233" s="410"/>
      <c r="I233" s="409"/>
      <c r="J233" s="409"/>
      <c r="K233" s="409"/>
      <c r="L233" s="409"/>
      <c r="M233" s="409"/>
      <c r="N233" s="409"/>
      <c r="O233" s="409"/>
      <c r="P233" s="409"/>
      <c r="Q233" s="409"/>
      <c r="R233" s="409"/>
      <c r="S233" s="409"/>
      <c r="T233" s="409"/>
      <c r="U233" s="409"/>
      <c r="V233" s="409"/>
      <c r="W233" s="409"/>
      <c r="X233" s="409"/>
      <c r="Y233" s="411"/>
      <c r="Z233" s="409"/>
      <c r="AA233" s="412"/>
      <c r="AB233" s="413"/>
    </row>
    <row r="234" spans="1:28">
      <c r="A234" s="377"/>
      <c r="B234" s="378"/>
      <c r="C234" s="378"/>
      <c r="D234" s="379"/>
      <c r="E234" s="380"/>
      <c r="F234" s="380"/>
      <c r="G234" s="380"/>
      <c r="H234" s="381"/>
      <c r="I234" s="380"/>
      <c r="J234" s="380"/>
      <c r="K234" s="380"/>
      <c r="L234" s="380"/>
      <c r="M234" s="380"/>
      <c r="N234" s="380"/>
      <c r="O234" s="380"/>
      <c r="P234" s="380"/>
      <c r="Q234" s="380"/>
      <c r="R234" s="380"/>
      <c r="S234" s="380"/>
      <c r="T234" s="380"/>
      <c r="U234" s="380"/>
      <c r="V234" s="380"/>
      <c r="W234" s="380"/>
      <c r="X234" s="380"/>
      <c r="Y234" s="382"/>
      <c r="Z234" s="380"/>
      <c r="AA234" s="380"/>
      <c r="AB234" s="383"/>
    </row>
    <row r="235" spans="1:28">
      <c r="A235" s="384" t="str">
        <f t="shared" ref="A235:A295" si="687">A205</f>
        <v>Lantai 1</v>
      </c>
      <c r="B235" s="385">
        <f t="shared" ref="B235:B295" si="688">B205+1</f>
        <v>8</v>
      </c>
      <c r="C235" s="386" t="str">
        <f t="shared" ref="C235" si="689">CONCATENATE(A235," no. ",B235)</f>
        <v>Lantai 1 no. 8</v>
      </c>
      <c r="D235" s="2562" t="str">
        <f>VLOOKUP(C235,'Data Panjang Balok'!$C$9:$N$254,2,FALSE)</f>
        <v>S24-1</v>
      </c>
      <c r="E235" s="2576"/>
      <c r="F235" s="2576"/>
      <c r="G235" s="2576"/>
      <c r="H235" s="2577"/>
      <c r="I235" s="387"/>
      <c r="J235" s="388"/>
      <c r="K235" s="388"/>
      <c r="L235" s="388"/>
      <c r="M235" s="388"/>
      <c r="N235" s="388"/>
      <c r="O235" s="388"/>
      <c r="P235" s="388"/>
      <c r="Q235" s="388"/>
      <c r="R235" s="388"/>
      <c r="S235" s="388"/>
      <c r="T235" s="388"/>
      <c r="U235" s="388"/>
      <c r="V235" s="388"/>
      <c r="W235" s="388"/>
      <c r="X235" s="388"/>
      <c r="Y235" s="389"/>
      <c r="Z235" s="388"/>
      <c r="AA235" s="388"/>
      <c r="AB235" s="390"/>
    </row>
    <row r="236" spans="1:28">
      <c r="A236" s="391"/>
      <c r="B236" s="392"/>
      <c r="C236" s="393" t="s">
        <v>118</v>
      </c>
      <c r="D236" s="2578">
        <f>VLOOKUP(D235,'Detail Balok'!$C$10:$AU$140,2,FALSE)</f>
        <v>200</v>
      </c>
      <c r="E236" s="2579"/>
      <c r="F236" s="388" t="s">
        <v>125</v>
      </c>
      <c r="G236" s="2579">
        <f>VLOOKUP(D235,'Detail Balok'!$C$10:$AU$140,3,FALSE)</f>
        <v>400</v>
      </c>
      <c r="H236" s="2580"/>
      <c r="I236" s="388"/>
      <c r="J236" s="396"/>
      <c r="K236" s="396"/>
      <c r="L236" s="396"/>
      <c r="M236" s="396"/>
      <c r="N236" s="396"/>
      <c r="O236" s="396"/>
      <c r="P236" s="396"/>
      <c r="Q236" s="396"/>
      <c r="R236" s="396"/>
      <c r="S236" s="396"/>
      <c r="T236" s="396"/>
      <c r="U236" s="388"/>
      <c r="V236" s="396"/>
      <c r="W236" s="388"/>
      <c r="X236" s="396"/>
      <c r="Y236" s="389"/>
      <c r="Z236" s="396"/>
      <c r="AA236" s="388"/>
      <c r="AB236" s="390"/>
    </row>
    <row r="237" spans="1:28">
      <c r="A237" s="391"/>
      <c r="B237" s="392"/>
      <c r="C237" s="393" t="s">
        <v>198</v>
      </c>
      <c r="D237" s="2562">
        <f>VLOOKUP(C235,'Data Panjang Balok'!$C$9:$N$254,4,FALSE)</f>
        <v>1720</v>
      </c>
      <c r="E237" s="2563"/>
      <c r="F237" s="2563"/>
      <c r="G237" s="2563"/>
      <c r="H237" s="2564"/>
      <c r="I237" s="397"/>
      <c r="J237" s="396"/>
      <c r="K237" s="396"/>
      <c r="L237" s="396"/>
      <c r="M237" s="396"/>
      <c r="N237" s="396"/>
      <c r="O237" s="396"/>
      <c r="P237" s="396"/>
      <c r="Q237" s="396"/>
      <c r="R237" s="396"/>
      <c r="S237" s="396"/>
      <c r="T237" s="396"/>
      <c r="U237" s="388"/>
      <c r="V237" s="396"/>
      <c r="W237" s="388"/>
      <c r="X237" s="396"/>
      <c r="Y237" s="389"/>
      <c r="Z237" s="396"/>
      <c r="AA237" s="388"/>
      <c r="AB237" s="390"/>
    </row>
    <row r="238" spans="1:28">
      <c r="A238" s="391"/>
      <c r="B238" s="392"/>
      <c r="C238" s="393" t="s">
        <v>199</v>
      </c>
      <c r="D238" s="2562">
        <f>VLOOKUP(C235,'Data Panjang Balok'!$C$9:$N$254,7,FALSE)</f>
        <v>1720</v>
      </c>
      <c r="E238" s="2563"/>
      <c r="F238" s="2563"/>
      <c r="G238" s="2563"/>
      <c r="H238" s="2564"/>
      <c r="I238" s="397"/>
      <c r="J238" s="396"/>
      <c r="K238" s="396"/>
      <c r="L238" s="396"/>
      <c r="M238" s="396"/>
      <c r="N238" s="396"/>
      <c r="O238" s="396"/>
      <c r="P238" s="396"/>
      <c r="Q238" s="396"/>
      <c r="R238" s="396"/>
      <c r="S238" s="396"/>
      <c r="T238" s="396"/>
      <c r="U238" s="388"/>
      <c r="V238" s="396"/>
      <c r="W238" s="388"/>
      <c r="X238" s="396"/>
      <c r="Y238" s="389"/>
      <c r="Z238" s="396"/>
      <c r="AA238" s="388"/>
      <c r="AB238" s="390"/>
    </row>
    <row r="239" spans="1:28">
      <c r="A239" s="391"/>
      <c r="B239" s="392"/>
      <c r="C239" s="393" t="s">
        <v>200</v>
      </c>
      <c r="D239" s="2562">
        <f>VLOOKUP(C235,'Data Panjang Balok'!$C$9:$N$254,9,FALSE)</f>
        <v>0</v>
      </c>
      <c r="E239" s="2563"/>
      <c r="F239" s="2563"/>
      <c r="G239" s="2563"/>
      <c r="H239" s="2564"/>
      <c r="I239" s="397"/>
      <c r="J239" s="396"/>
      <c r="K239" s="396"/>
      <c r="L239" s="396"/>
      <c r="M239" s="396"/>
      <c r="N239" s="396"/>
      <c r="O239" s="396"/>
      <c r="P239" s="396"/>
      <c r="Q239" s="396"/>
      <c r="R239" s="396"/>
      <c r="S239" s="396"/>
      <c r="T239" s="396"/>
      <c r="U239" s="388"/>
      <c r="V239" s="396"/>
      <c r="W239" s="388"/>
      <c r="X239" s="396"/>
      <c r="Y239" s="389"/>
      <c r="Z239" s="396"/>
      <c r="AA239" s="388"/>
      <c r="AB239" s="390"/>
    </row>
    <row r="240" spans="1:28">
      <c r="A240" s="391"/>
      <c r="B240" s="392"/>
      <c r="C240" s="393" t="s">
        <v>201</v>
      </c>
      <c r="D240" s="2562">
        <f>VLOOKUP(C235,'Data Panjang Balok'!$C$9:$N$254,10,FALSE)</f>
        <v>0</v>
      </c>
      <c r="E240" s="2563"/>
      <c r="F240" s="2563"/>
      <c r="G240" s="2563"/>
      <c r="H240" s="2564"/>
      <c r="I240" s="397"/>
      <c r="J240" s="396"/>
      <c r="K240" s="396"/>
      <c r="L240" s="396"/>
      <c r="M240" s="396"/>
      <c r="N240" s="396"/>
      <c r="O240" s="396"/>
      <c r="P240" s="396"/>
      <c r="Q240" s="396"/>
      <c r="R240" s="396"/>
      <c r="S240" s="396"/>
      <c r="T240" s="396"/>
      <c r="U240" s="388"/>
      <c r="V240" s="396"/>
      <c r="W240" s="388"/>
      <c r="X240" s="396"/>
      <c r="Y240" s="389"/>
      <c r="Z240" s="396"/>
      <c r="AA240" s="388"/>
      <c r="AB240" s="390"/>
    </row>
    <row r="241" spans="1:28">
      <c r="A241" s="391"/>
      <c r="B241" s="392"/>
      <c r="C241" s="393" t="s">
        <v>48</v>
      </c>
      <c r="D241" s="2562">
        <f>VLOOKUP(C235,'Data Panjang Balok'!$C$9:$N$254,3,FALSE)</f>
        <v>1</v>
      </c>
      <c r="E241" s="2563"/>
      <c r="F241" s="2563"/>
      <c r="G241" s="2563"/>
      <c r="H241" s="2564"/>
      <c r="I241" s="397"/>
      <c r="J241" s="396"/>
      <c r="K241" s="396"/>
      <c r="L241" s="396"/>
      <c r="M241" s="396"/>
      <c r="N241" s="396"/>
      <c r="O241" s="396"/>
      <c r="P241" s="396"/>
      <c r="Q241" s="396"/>
      <c r="R241" s="396"/>
      <c r="S241" s="396"/>
      <c r="T241" s="396"/>
      <c r="U241" s="388"/>
      <c r="V241" s="396"/>
      <c r="W241" s="388"/>
      <c r="X241" s="396"/>
      <c r="Y241" s="389"/>
      <c r="Z241" s="396"/>
      <c r="AA241" s="388"/>
      <c r="AB241" s="390"/>
    </row>
    <row r="242" spans="1:28">
      <c r="A242" s="384" t="str">
        <f t="shared" ref="A242:B242" si="690">A235</f>
        <v>Lantai 1</v>
      </c>
      <c r="B242" s="385">
        <f t="shared" si="690"/>
        <v>8</v>
      </c>
      <c r="C242" s="393" t="s">
        <v>202</v>
      </c>
      <c r="D242" s="398">
        <f>VLOOKUP(D235,'Detail Balok'!$C$10:$AU$140,4,FALSE)</f>
        <v>3</v>
      </c>
      <c r="E242" s="388" t="s">
        <v>16</v>
      </c>
      <c r="F242" s="388">
        <f>VLOOKUP(D235,'Detail Balok'!$C$10:$AU$140,6,FALSE)</f>
        <v>13</v>
      </c>
      <c r="G242" s="388"/>
      <c r="H242" s="395"/>
      <c r="I242" s="388" t="s">
        <v>203</v>
      </c>
      <c r="J242" s="399">
        <f t="shared" ref="J242" si="691">+D237/4/1000</f>
        <v>0.43</v>
      </c>
      <c r="K242" s="400" t="s">
        <v>204</v>
      </c>
      <c r="L242" s="399">
        <f t="shared" ref="L242" si="692">MAX(VLOOKUP(F242,N$6:P$15,3,FALSE)/1000,2/3*D239/1000)+F$16*F242/1000</f>
        <v>0.156</v>
      </c>
      <c r="M242" s="399" t="s">
        <v>176</v>
      </c>
      <c r="N242" s="399">
        <f t="shared" ref="N242:N244" si="693">J242+L242</f>
        <v>0.58599999999999997</v>
      </c>
      <c r="O242" s="399" t="s">
        <v>204</v>
      </c>
      <c r="P242" s="389">
        <f t="shared" ref="P242" si="694">D242-D243</f>
        <v>0</v>
      </c>
      <c r="Q242" s="399" t="s">
        <v>125</v>
      </c>
      <c r="R242" s="399">
        <f t="shared" ref="R242" si="695">IF(P242&gt;0,$F$18*F242/1000,0)</f>
        <v>0</v>
      </c>
      <c r="S242" s="399" t="s">
        <v>205</v>
      </c>
      <c r="T242" s="399" t="s">
        <v>125</v>
      </c>
      <c r="U242" s="401">
        <f t="shared" ref="U242:U244" si="696">0.006165*F242^2</f>
        <v>1.041885</v>
      </c>
      <c r="V242" s="399"/>
      <c r="W242" s="399"/>
      <c r="X242" s="399" t="s">
        <v>125</v>
      </c>
      <c r="Y242" s="389">
        <f t="shared" ref="Y242" si="697">D241</f>
        <v>1</v>
      </c>
      <c r="Z242" s="400" t="s">
        <v>176</v>
      </c>
      <c r="AA242" s="402">
        <f t="shared" ref="AA242" si="698">IF(AA245=0,(D242*N242+P242*R242)*U242*Y242,0)</f>
        <v>0</v>
      </c>
      <c r="AB242" s="403"/>
    </row>
    <row r="243" spans="1:28">
      <c r="A243" s="384" t="str">
        <f t="shared" ref="A243:B243" si="699">A235</f>
        <v>Lantai 1</v>
      </c>
      <c r="B243" s="385">
        <f t="shared" si="699"/>
        <v>8</v>
      </c>
      <c r="C243" s="393" t="s">
        <v>206</v>
      </c>
      <c r="D243" s="398">
        <f>VLOOKUP(D235,'Detail Balok'!$C$10:$AU$140,7,FALSE)</f>
        <v>3</v>
      </c>
      <c r="E243" s="388" t="s">
        <v>16</v>
      </c>
      <c r="F243" s="388">
        <f>VLOOKUP(D235,'Detail Balok'!$C$10:$AU$140,9,FALSE)</f>
        <v>13</v>
      </c>
      <c r="G243" s="388"/>
      <c r="H243" s="395"/>
      <c r="I243" s="388" t="s">
        <v>203</v>
      </c>
      <c r="J243" s="399">
        <f t="shared" ref="J243" si="700">+D237/2/1000</f>
        <v>0.86</v>
      </c>
      <c r="K243" s="400" t="s">
        <v>204</v>
      </c>
      <c r="L243" s="399"/>
      <c r="M243" s="399" t="s">
        <v>176</v>
      </c>
      <c r="N243" s="399">
        <f t="shared" si="693"/>
        <v>0.86</v>
      </c>
      <c r="O243" s="399" t="s">
        <v>204</v>
      </c>
      <c r="P243" s="389">
        <f t="shared" ref="P243" si="701">MAX(D243-D242,D243-D244)</f>
        <v>0</v>
      </c>
      <c r="Q243" s="399" t="s">
        <v>125</v>
      </c>
      <c r="R243" s="399">
        <f t="shared" ref="R243" si="702">IF(P243&gt;0,2*(1-2*$F$19-1/2)*D238/1000,0)</f>
        <v>0</v>
      </c>
      <c r="S243" s="399" t="s">
        <v>205</v>
      </c>
      <c r="T243" s="399" t="s">
        <v>125</v>
      </c>
      <c r="U243" s="401">
        <f t="shared" si="696"/>
        <v>1.041885</v>
      </c>
      <c r="V243" s="399"/>
      <c r="W243" s="399"/>
      <c r="X243" s="399" t="s">
        <v>125</v>
      </c>
      <c r="Y243" s="389">
        <f t="shared" ref="Y243" si="703">D241</f>
        <v>1</v>
      </c>
      <c r="Z243" s="400" t="s">
        <v>176</v>
      </c>
      <c r="AA243" s="402">
        <f t="shared" ref="AA243" si="704">IF(AA245=0,(D243*N243+P243*R243)*U243*Y243,0)</f>
        <v>0</v>
      </c>
      <c r="AB243" s="403"/>
    </row>
    <row r="244" spans="1:28">
      <c r="A244" s="384" t="str">
        <f t="shared" ref="A244:B244" si="705">A235</f>
        <v>Lantai 1</v>
      </c>
      <c r="B244" s="385">
        <f t="shared" si="705"/>
        <v>8</v>
      </c>
      <c r="C244" s="393" t="s">
        <v>202</v>
      </c>
      <c r="D244" s="398">
        <f>VLOOKUP(D235,'Detail Balok'!$C$10:$AU$140,10,FALSE)</f>
        <v>3</v>
      </c>
      <c r="E244" s="388" t="s">
        <v>16</v>
      </c>
      <c r="F244" s="388">
        <f>VLOOKUP(D235,'Detail Balok'!$C$10:$AU$140,12,FALSE)</f>
        <v>13</v>
      </c>
      <c r="G244" s="388"/>
      <c r="H244" s="395"/>
      <c r="I244" s="388" t="s">
        <v>203</v>
      </c>
      <c r="J244" s="399">
        <f t="shared" ref="J244" si="706">+D237/4/1000</f>
        <v>0.43</v>
      </c>
      <c r="K244" s="400" t="s">
        <v>204</v>
      </c>
      <c r="L244" s="399">
        <f t="shared" ref="L244" si="707">MAX(VLOOKUP(F244,N$6:P$15,3,FALSE)/1000,2/3*D239/1000)+F$16*F244/1000</f>
        <v>0.156</v>
      </c>
      <c r="M244" s="399" t="s">
        <v>176</v>
      </c>
      <c r="N244" s="399">
        <f t="shared" si="693"/>
        <v>0.58599999999999997</v>
      </c>
      <c r="O244" s="399" t="s">
        <v>204</v>
      </c>
      <c r="P244" s="389">
        <f t="shared" ref="P244" si="708">D244-D243</f>
        <v>0</v>
      </c>
      <c r="Q244" s="399" t="s">
        <v>125</v>
      </c>
      <c r="R244" s="399">
        <f t="shared" ref="R244" si="709">IF(P244&gt;0,$F$18*F244/1000,0)</f>
        <v>0</v>
      </c>
      <c r="S244" s="399" t="s">
        <v>205</v>
      </c>
      <c r="T244" s="399" t="s">
        <v>125</v>
      </c>
      <c r="U244" s="401">
        <f t="shared" si="696"/>
        <v>1.041885</v>
      </c>
      <c r="V244" s="399"/>
      <c r="W244" s="399"/>
      <c r="X244" s="399" t="s">
        <v>125</v>
      </c>
      <c r="Y244" s="389">
        <f t="shared" ref="Y244" si="710">D241</f>
        <v>1</v>
      </c>
      <c r="Z244" s="400" t="s">
        <v>176</v>
      </c>
      <c r="AA244" s="402">
        <f t="shared" ref="AA244" si="711">IF(AA245=0,(D244*N244+P244*R244)*U244*Y244,0)</f>
        <v>0</v>
      </c>
      <c r="AB244" s="403"/>
    </row>
    <row r="245" spans="1:28">
      <c r="A245" s="384" t="str">
        <f t="shared" ref="A245:B245" si="712">A235</f>
        <v>Lantai 1</v>
      </c>
      <c r="B245" s="385">
        <f t="shared" si="712"/>
        <v>8</v>
      </c>
      <c r="C245" s="393"/>
      <c r="D245" s="398">
        <f t="shared" si="608"/>
        <v>3</v>
      </c>
      <c r="E245" s="388" t="s">
        <v>16</v>
      </c>
      <c r="F245" s="388">
        <f t="shared" si="609"/>
        <v>13</v>
      </c>
      <c r="G245" s="388"/>
      <c r="H245" s="395"/>
      <c r="I245" s="388"/>
      <c r="J245" s="396"/>
      <c r="K245" s="396"/>
      <c r="L245" s="404" t="s">
        <v>207</v>
      </c>
      <c r="M245" s="399" t="s">
        <v>176</v>
      </c>
      <c r="N245" s="399">
        <f t="shared" ref="N245" si="713">IF(AND(D242=D243,D242=D244,D243=D244,F242=F243,F242=F244,F243=F244),SUM(N242:N244),0)</f>
        <v>2.032</v>
      </c>
      <c r="O245" s="399" t="s">
        <v>204</v>
      </c>
      <c r="P245" s="389">
        <f t="shared" ref="P245" si="714">IF(N245&gt;12,ROUNDDOWN(N245/12,0),0)</f>
        <v>0</v>
      </c>
      <c r="Q245" s="399" t="s">
        <v>125</v>
      </c>
      <c r="R245" s="399">
        <f t="shared" ref="R245" si="715">IF(P245&gt;0,MAX(VLOOKUP(F245,$D$6:$G$15,3,FALSE),600),0)/1000</f>
        <v>0</v>
      </c>
      <c r="S245" s="396"/>
      <c r="T245" s="396" t="s">
        <v>125</v>
      </c>
      <c r="U245" s="401">
        <f t="shared" si="613"/>
        <v>1.041885</v>
      </c>
      <c r="V245" s="396" t="s">
        <v>125</v>
      </c>
      <c r="W245" s="399">
        <f t="shared" ref="W245" si="716">D245</f>
        <v>3</v>
      </c>
      <c r="X245" s="399" t="s">
        <v>125</v>
      </c>
      <c r="Y245" s="389">
        <f t="shared" si="615"/>
        <v>1</v>
      </c>
      <c r="Z245" s="400" t="s">
        <v>176</v>
      </c>
      <c r="AA245" s="402">
        <f t="shared" ref="AA245" si="717">(N245+P245*R245/1000)*U245*W245*Y245</f>
        <v>6.3513309600000003</v>
      </c>
      <c r="AB245" s="390"/>
    </row>
    <row r="246" spans="1:28">
      <c r="A246" s="384"/>
      <c r="B246" s="385"/>
      <c r="C246" s="393"/>
      <c r="D246" s="398"/>
      <c r="E246" s="388"/>
      <c r="F246" s="388"/>
      <c r="G246" s="388"/>
      <c r="H246" s="395"/>
      <c r="I246" s="388"/>
      <c r="J246" s="396"/>
      <c r="K246" s="396"/>
      <c r="L246" s="404"/>
      <c r="M246" s="399"/>
      <c r="N246" s="399"/>
      <c r="O246" s="396"/>
      <c r="P246" s="389"/>
      <c r="Q246" s="396"/>
      <c r="R246" s="396"/>
      <c r="S246" s="396"/>
      <c r="T246" s="396"/>
      <c r="U246" s="401"/>
      <c r="V246" s="396"/>
      <c r="W246" s="399"/>
      <c r="X246" s="396"/>
      <c r="Y246" s="389"/>
      <c r="Z246" s="396"/>
      <c r="AA246" s="388"/>
      <c r="AB246" s="390"/>
    </row>
    <row r="247" spans="1:28">
      <c r="A247" s="384" t="str">
        <f t="shared" ref="A247:B247" si="718">A235</f>
        <v>Lantai 1</v>
      </c>
      <c r="B247" s="385">
        <f t="shared" si="718"/>
        <v>8</v>
      </c>
      <c r="C247" s="393" t="s">
        <v>208</v>
      </c>
      <c r="D247" s="398">
        <f>VLOOKUP(D235,'Detail Balok'!$C$10:$AU$140,13,FALSE)</f>
        <v>0</v>
      </c>
      <c r="E247" s="388" t="s">
        <v>16</v>
      </c>
      <c r="F247" s="388">
        <f>VLOOKUP(D235,'Detail Balok'!$C$10:$AU$140,15,FALSE)</f>
        <v>8</v>
      </c>
      <c r="G247" s="388"/>
      <c r="H247" s="395"/>
      <c r="I247" s="388"/>
      <c r="J247" s="399">
        <f t="shared" ref="J247" si="719">+D237/1000</f>
        <v>1.72</v>
      </c>
      <c r="K247" s="400" t="s">
        <v>204</v>
      </c>
      <c r="L247" s="399">
        <f t="shared" ref="L247" si="720">2*$F$16*F247/1000</f>
        <v>0.192</v>
      </c>
      <c r="M247" s="399" t="s">
        <v>176</v>
      </c>
      <c r="N247" s="399">
        <f t="shared" ref="N247" si="721">J247+L247</f>
        <v>1.9119999999999999</v>
      </c>
      <c r="O247" s="399" t="s">
        <v>204</v>
      </c>
      <c r="P247" s="389">
        <f t="shared" ref="P247" si="722">IF(N247&gt;12,ROUNDDOWN(N247/12,0),0)</f>
        <v>0</v>
      </c>
      <c r="Q247" s="399" t="s">
        <v>125</v>
      </c>
      <c r="R247" s="399">
        <f t="shared" ref="R247" si="723">IF(P247&gt;0,MAX(VLOOKUP(F247,$D$6:$G$15,3,FALSE),600),0)/1000</f>
        <v>0</v>
      </c>
      <c r="S247" s="399"/>
      <c r="T247" s="399" t="s">
        <v>125</v>
      </c>
      <c r="U247" s="401">
        <f t="shared" ref="U247" si="724">0.006165*F247^2</f>
        <v>0.39456000000000002</v>
      </c>
      <c r="V247" s="399" t="s">
        <v>125</v>
      </c>
      <c r="W247" s="399">
        <f t="shared" ref="W247" si="725">+D247</f>
        <v>0</v>
      </c>
      <c r="X247" s="399" t="s">
        <v>125</v>
      </c>
      <c r="Y247" s="389">
        <f t="shared" ref="Y247" si="726">D241</f>
        <v>1</v>
      </c>
      <c r="Z247" s="400" t="s">
        <v>176</v>
      </c>
      <c r="AA247" s="402">
        <f t="shared" ref="AA247" si="727">(N247+P247*R247/1000)*U247*W247*Y247</f>
        <v>0</v>
      </c>
      <c r="AB247" s="403"/>
    </row>
    <row r="248" spans="1:28">
      <c r="A248" s="384"/>
      <c r="B248" s="385"/>
      <c r="C248" s="393"/>
      <c r="D248" s="398"/>
      <c r="E248" s="388"/>
      <c r="F248" s="388"/>
      <c r="G248" s="388"/>
      <c r="H248" s="395"/>
      <c r="I248" s="388"/>
      <c r="J248" s="399"/>
      <c r="K248" s="400"/>
      <c r="L248" s="399"/>
      <c r="M248" s="399"/>
      <c r="N248" s="399"/>
      <c r="O248" s="399"/>
      <c r="P248" s="389"/>
      <c r="Q248" s="399"/>
      <c r="R248" s="399"/>
      <c r="S248" s="399"/>
      <c r="T248" s="399"/>
      <c r="U248" s="401"/>
      <c r="V248" s="399"/>
      <c r="W248" s="399"/>
      <c r="X248" s="399"/>
      <c r="Y248" s="389"/>
      <c r="Z248" s="400"/>
      <c r="AA248" s="402"/>
      <c r="AB248" s="403"/>
    </row>
    <row r="249" spans="1:28">
      <c r="A249" s="384"/>
      <c r="B249" s="385"/>
      <c r="C249" s="393"/>
      <c r="D249" s="398"/>
      <c r="E249" s="388"/>
      <c r="F249" s="388"/>
      <c r="G249" s="388"/>
      <c r="H249" s="395"/>
      <c r="I249" s="388"/>
      <c r="J249" s="396"/>
      <c r="K249" s="396"/>
      <c r="L249" s="396"/>
      <c r="M249" s="396"/>
      <c r="N249" s="396"/>
      <c r="O249" s="396"/>
      <c r="P249" s="389"/>
      <c r="Q249" s="396"/>
      <c r="R249" s="396"/>
      <c r="S249" s="396"/>
      <c r="T249" s="396"/>
      <c r="U249" s="401"/>
      <c r="V249" s="396"/>
      <c r="W249" s="399"/>
      <c r="X249" s="396"/>
      <c r="Y249" s="389"/>
      <c r="Z249" s="396"/>
      <c r="AA249" s="388"/>
      <c r="AB249" s="390"/>
    </row>
    <row r="250" spans="1:28">
      <c r="A250" s="384" t="str">
        <f t="shared" ref="A250:B250" si="728">A235</f>
        <v>Lantai 1</v>
      </c>
      <c r="B250" s="385">
        <f t="shared" si="728"/>
        <v>8</v>
      </c>
      <c r="C250" s="393" t="s">
        <v>209</v>
      </c>
      <c r="D250" s="398">
        <f>VLOOKUP(D235,'Detail Balok'!$C$10:$AU$140,22,FALSE)</f>
        <v>3</v>
      </c>
      <c r="E250" s="388" t="s">
        <v>16</v>
      </c>
      <c r="F250" s="388">
        <f>VLOOKUP(D235,'Detail Balok'!$C$10:$AU$140,24,FALSE)</f>
        <v>13</v>
      </c>
      <c r="G250" s="388"/>
      <c r="H250" s="395"/>
      <c r="I250" s="388" t="s">
        <v>203</v>
      </c>
      <c r="J250" s="399">
        <f t="shared" si="628"/>
        <v>0.43</v>
      </c>
      <c r="K250" s="400" t="s">
        <v>204</v>
      </c>
      <c r="L250" s="399">
        <f t="shared" ref="L250" si="729">MAX(VLOOKUP(F250,N$6:P$15,3,FALSE)/1000,2/3*D240/1000)+F$16*F250/1000</f>
        <v>0.156</v>
      </c>
      <c r="M250" s="399" t="s">
        <v>176</v>
      </c>
      <c r="N250" s="399">
        <f t="shared" ref="N250:N252" si="730">J250+L250</f>
        <v>0.58599999999999997</v>
      </c>
      <c r="O250" s="399" t="s">
        <v>204</v>
      </c>
      <c r="P250" s="389">
        <f t="shared" ref="P250" si="731">D250-D251</f>
        <v>0</v>
      </c>
      <c r="Q250" s="399" t="s">
        <v>125</v>
      </c>
      <c r="R250" s="399">
        <f t="shared" ref="R250" si="732">IF(P250&gt;0,$F$18*F250/1000,0)</f>
        <v>0</v>
      </c>
      <c r="S250" s="399" t="s">
        <v>205</v>
      </c>
      <c r="T250" s="399" t="s">
        <v>125</v>
      </c>
      <c r="U250" s="401">
        <f t="shared" ref="U250:U252" si="733">0.006165*F250^2</f>
        <v>1.041885</v>
      </c>
      <c r="V250" s="399"/>
      <c r="W250" s="399"/>
      <c r="X250" s="399" t="s">
        <v>125</v>
      </c>
      <c r="Y250" s="389">
        <f t="shared" ref="Y250" si="734">D241</f>
        <v>1</v>
      </c>
      <c r="Z250" s="400" t="s">
        <v>176</v>
      </c>
      <c r="AA250" s="402">
        <f t="shared" ref="AA250" si="735">IF(AA253=0,(D250*N250+P250*R250)*U250*Y250,0)</f>
        <v>0</v>
      </c>
      <c r="AB250" s="403"/>
    </row>
    <row r="251" spans="1:28">
      <c r="A251" s="384" t="str">
        <f t="shared" ref="A251:B251" si="736">A235</f>
        <v>Lantai 1</v>
      </c>
      <c r="B251" s="385">
        <f t="shared" si="736"/>
        <v>8</v>
      </c>
      <c r="C251" s="393" t="s">
        <v>210</v>
      </c>
      <c r="D251" s="398">
        <f>VLOOKUP(D235,'Detail Balok'!$C$10:$AU$140,25,FALSE)</f>
        <v>3</v>
      </c>
      <c r="E251" s="388" t="s">
        <v>16</v>
      </c>
      <c r="F251" s="388">
        <f>VLOOKUP(D235,'Detail Balok'!$C$10:$AU$140,27,FALSE)</f>
        <v>13</v>
      </c>
      <c r="G251" s="388"/>
      <c r="H251" s="395"/>
      <c r="I251" s="388" t="s">
        <v>203</v>
      </c>
      <c r="J251" s="399">
        <f t="shared" si="628"/>
        <v>0.86</v>
      </c>
      <c r="K251" s="400" t="s">
        <v>204</v>
      </c>
      <c r="L251" s="399"/>
      <c r="M251" s="399" t="s">
        <v>176</v>
      </c>
      <c r="N251" s="399">
        <f t="shared" si="730"/>
        <v>0.86</v>
      </c>
      <c r="O251" s="399" t="s">
        <v>204</v>
      </c>
      <c r="P251" s="389">
        <f t="shared" ref="P251" si="737">MAX(D251-D250,D251-D252)</f>
        <v>0</v>
      </c>
      <c r="Q251" s="399" t="s">
        <v>125</v>
      </c>
      <c r="R251" s="399">
        <f t="shared" ref="R251" si="738">IF(P251&gt;0,2*(1-2*$F$19-1/2)*D238/1000,0)</f>
        <v>0</v>
      </c>
      <c r="S251" s="399" t="s">
        <v>205</v>
      </c>
      <c r="T251" s="399" t="s">
        <v>125</v>
      </c>
      <c r="U251" s="401">
        <f t="shared" si="733"/>
        <v>1.041885</v>
      </c>
      <c r="V251" s="399"/>
      <c r="W251" s="399"/>
      <c r="X251" s="399" t="s">
        <v>125</v>
      </c>
      <c r="Y251" s="389">
        <f t="shared" ref="Y251" si="739">D241</f>
        <v>1</v>
      </c>
      <c r="Z251" s="400" t="s">
        <v>176</v>
      </c>
      <c r="AA251" s="402">
        <f t="shared" ref="AA251" si="740">IF(AA253=0,(D251*N251+P251*R251)*U251*Y251,0)</f>
        <v>0</v>
      </c>
      <c r="AB251" s="403"/>
    </row>
    <row r="252" spans="1:28">
      <c r="A252" s="384" t="str">
        <f t="shared" ref="A252:B252" si="741">A235</f>
        <v>Lantai 1</v>
      </c>
      <c r="B252" s="385">
        <f t="shared" si="741"/>
        <v>8</v>
      </c>
      <c r="C252" s="393" t="s">
        <v>209</v>
      </c>
      <c r="D252" s="398">
        <f>VLOOKUP(D235,'Detail Balok'!$C$10:$AU$140,28,FALSE)</f>
        <v>3</v>
      </c>
      <c r="E252" s="388" t="s">
        <v>16</v>
      </c>
      <c r="F252" s="388">
        <f>VLOOKUP(D235,'Detail Balok'!$C$10:$AU$140,30,FALSE)</f>
        <v>13</v>
      </c>
      <c r="G252" s="388"/>
      <c r="H252" s="395"/>
      <c r="I252" s="388" t="s">
        <v>203</v>
      </c>
      <c r="J252" s="399">
        <f t="shared" si="628"/>
        <v>0.43</v>
      </c>
      <c r="K252" s="400" t="s">
        <v>204</v>
      </c>
      <c r="L252" s="399">
        <f t="shared" ref="L252" si="742">MAX(VLOOKUP(F252,N$6:P$15,3,FALSE)/1000,2/3*D240/1000)+F$16*F252/1000</f>
        <v>0.156</v>
      </c>
      <c r="M252" s="399" t="s">
        <v>176</v>
      </c>
      <c r="N252" s="399">
        <f t="shared" si="730"/>
        <v>0.58599999999999997</v>
      </c>
      <c r="O252" s="399" t="s">
        <v>204</v>
      </c>
      <c r="P252" s="389">
        <f t="shared" ref="P252" si="743">D252-D251</f>
        <v>0</v>
      </c>
      <c r="Q252" s="399" t="s">
        <v>125</v>
      </c>
      <c r="R252" s="399">
        <f t="shared" ref="R252" si="744">IF(P252&gt;0,$F$18*F252/1000,0)</f>
        <v>0</v>
      </c>
      <c r="S252" s="399" t="s">
        <v>205</v>
      </c>
      <c r="T252" s="399" t="s">
        <v>125</v>
      </c>
      <c r="U252" s="401">
        <f t="shared" si="733"/>
        <v>1.041885</v>
      </c>
      <c r="V252" s="399"/>
      <c r="W252" s="399"/>
      <c r="X252" s="399" t="s">
        <v>125</v>
      </c>
      <c r="Y252" s="389">
        <f t="shared" ref="Y252" si="745">D241</f>
        <v>1</v>
      </c>
      <c r="Z252" s="400" t="s">
        <v>176</v>
      </c>
      <c r="AA252" s="402">
        <f t="shared" ref="AA252" si="746">IF(AA253=0,(D252*N252+P252*R252)*U252*Y252,0)</f>
        <v>0</v>
      </c>
      <c r="AB252" s="403"/>
    </row>
    <row r="253" spans="1:28">
      <c r="A253" s="384" t="str">
        <f t="shared" ref="A253:B253" si="747">A235</f>
        <v>Lantai 1</v>
      </c>
      <c r="B253" s="385">
        <f t="shared" si="747"/>
        <v>8</v>
      </c>
      <c r="C253" s="393"/>
      <c r="D253" s="398">
        <f t="shared" si="648"/>
        <v>3</v>
      </c>
      <c r="E253" s="388" t="s">
        <v>16</v>
      </c>
      <c r="F253" s="388">
        <f t="shared" si="649"/>
        <v>13</v>
      </c>
      <c r="G253" s="388"/>
      <c r="H253" s="395"/>
      <c r="I253" s="388"/>
      <c r="J253" s="396"/>
      <c r="K253" s="396"/>
      <c r="L253" s="404" t="s">
        <v>207</v>
      </c>
      <c r="M253" s="399" t="s">
        <v>176</v>
      </c>
      <c r="N253" s="399">
        <f t="shared" ref="N253" si="748">IF(AND(D250=D251,D250=D252,D251=D252,F250=F251,F250=F252,F251=F252),SUM(N250:N252),0)</f>
        <v>2.032</v>
      </c>
      <c r="O253" s="399" t="s">
        <v>204</v>
      </c>
      <c r="P253" s="389">
        <f t="shared" ref="P253" si="749">IF(N253&gt;12,ROUNDDOWN(N253/12,0),0)</f>
        <v>0</v>
      </c>
      <c r="Q253" s="399" t="s">
        <v>125</v>
      </c>
      <c r="R253" s="399">
        <f t="shared" ref="R253" si="750">IF(P253&gt;0,MAX(VLOOKUP(F253,$D$6:$G$15,3,FALSE),600),0)/1000</f>
        <v>0</v>
      </c>
      <c r="S253" s="396"/>
      <c r="T253" s="396" t="s">
        <v>125</v>
      </c>
      <c r="U253" s="401">
        <f t="shared" si="653"/>
        <v>1.041885</v>
      </c>
      <c r="V253" s="396" t="s">
        <v>125</v>
      </c>
      <c r="W253" s="399">
        <f t="shared" ref="W253" si="751">D253</f>
        <v>3</v>
      </c>
      <c r="X253" s="399" t="s">
        <v>125</v>
      </c>
      <c r="Y253" s="389">
        <f t="shared" si="655"/>
        <v>1</v>
      </c>
      <c r="Z253" s="400" t="s">
        <v>176</v>
      </c>
      <c r="AA253" s="402">
        <f t="shared" ref="AA253" si="752">(N253+P253*R253/1000)*U253*W253*Y253</f>
        <v>6.3513309600000003</v>
      </c>
      <c r="AB253" s="403"/>
    </row>
    <row r="254" spans="1:28">
      <c r="A254" s="384"/>
      <c r="B254" s="385"/>
      <c r="C254" s="393"/>
      <c r="D254" s="394"/>
      <c r="E254" s="388"/>
      <c r="F254" s="388"/>
      <c r="G254" s="388"/>
      <c r="H254" s="395"/>
      <c r="I254" s="388"/>
      <c r="J254" s="399"/>
      <c r="K254" s="396"/>
      <c r="L254" s="396"/>
      <c r="M254" s="396"/>
      <c r="N254" s="396"/>
      <c r="O254" s="396"/>
      <c r="P254" s="389"/>
      <c r="Q254" s="396"/>
      <c r="R254" s="396"/>
      <c r="S254" s="396"/>
      <c r="T254" s="396"/>
      <c r="U254" s="401"/>
      <c r="V254" s="396"/>
      <c r="W254" s="388"/>
      <c r="X254" s="396"/>
      <c r="Y254" s="389"/>
      <c r="Z254" s="396"/>
      <c r="AA254" s="388"/>
      <c r="AB254" s="390"/>
    </row>
    <row r="255" spans="1:28">
      <c r="A255" s="384" t="str">
        <f t="shared" ref="A255:B255" si="753">A235</f>
        <v>Lantai 1</v>
      </c>
      <c r="B255" s="385">
        <f t="shared" si="753"/>
        <v>8</v>
      </c>
      <c r="C255" s="393" t="s">
        <v>211</v>
      </c>
      <c r="D255" s="398">
        <f>VLOOKUP(D235,'Detail Balok'!$C$10:$AU$140,31,FALSE)</f>
        <v>0</v>
      </c>
      <c r="E255" s="388" t="s">
        <v>16</v>
      </c>
      <c r="F255" s="388">
        <f>VLOOKUP(D235,'Detail Balok'!$C$10:$AU$140,33,FALSE)</f>
        <v>8</v>
      </c>
      <c r="G255" s="405" t="s">
        <v>157</v>
      </c>
      <c r="H255" s="395">
        <f>VLOOKUP(D235,'Detail Balok'!$C$10:$AU$140,35,FALSE)</f>
        <v>150</v>
      </c>
      <c r="I255" s="388"/>
      <c r="J255" s="400">
        <f t="shared" ref="J255" si="754">(IF(D255=0,(2*(D236+G236))-(F$5*8),IF(D255=3,(2*(D236+G236))-(F$5*8)+(G236-2*F$5),IF(D255=4,(2*(D236+G236))-(F$5*8)+2*(G236-2*F$5)))))/1000</f>
        <v>0.88</v>
      </c>
      <c r="K255" s="400" t="s">
        <v>204</v>
      </c>
      <c r="L255" s="399">
        <f t="shared" ref="L255:L257" si="755">IF(D255=0,2*MAX(6*F255,75),(D255-1)*2*MAX(6*F255,75))/1000</f>
        <v>0.15</v>
      </c>
      <c r="M255" s="399" t="s">
        <v>176</v>
      </c>
      <c r="N255" s="399">
        <f t="shared" ref="N255:N257" si="756">J255+L255</f>
        <v>1.03</v>
      </c>
      <c r="O255" s="399"/>
      <c r="P255" s="389"/>
      <c r="Q255" s="399"/>
      <c r="R255" s="399"/>
      <c r="S255" s="399"/>
      <c r="T255" s="399" t="s">
        <v>125</v>
      </c>
      <c r="U255" s="401">
        <f t="shared" ref="U255:U257" si="757">0.006165*F255^2</f>
        <v>0.39456000000000002</v>
      </c>
      <c r="V255" s="399" t="s">
        <v>125</v>
      </c>
      <c r="W255" s="399">
        <f t="shared" ref="W255" si="758">IF(D238&gt;4*G236,ROUND(MAX(D238/4,2*G236)/H255,0)+1,ROUND(D238/H255,0)+1)</f>
        <v>6</v>
      </c>
      <c r="X255" s="399" t="s">
        <v>125</v>
      </c>
      <c r="Y255" s="389">
        <f t="shared" ref="Y255" si="759">D241</f>
        <v>1</v>
      </c>
      <c r="Z255" s="400" t="s">
        <v>176</v>
      </c>
      <c r="AA255" s="402">
        <f t="shared" ref="AA255:AA257" si="760">N255*U255*W255*Y255</f>
        <v>2.4383808000000005</v>
      </c>
      <c r="AB255" s="403"/>
    </row>
    <row r="256" spans="1:28">
      <c r="A256" s="384" t="str">
        <f t="shared" ref="A256:B256" si="761">A235</f>
        <v>Lantai 1</v>
      </c>
      <c r="B256" s="385">
        <f t="shared" si="761"/>
        <v>8</v>
      </c>
      <c r="C256" s="393" t="s">
        <v>212</v>
      </c>
      <c r="D256" s="398">
        <f>VLOOKUP(D235,'Detail Balok'!$C$10:$AU$140,36,FALSE)</f>
        <v>0</v>
      </c>
      <c r="E256" s="388" t="s">
        <v>16</v>
      </c>
      <c r="F256" s="388">
        <f>VLOOKUP(D235,'Detail Balok'!$C$10:$AU$140,38,FALSE)</f>
        <v>8</v>
      </c>
      <c r="G256" s="405" t="s">
        <v>157</v>
      </c>
      <c r="H256" s="395">
        <f>VLOOKUP(D235,'Detail Balok'!$C$10:$AU$140,40,FALSE)</f>
        <v>200</v>
      </c>
      <c r="I256" s="388"/>
      <c r="J256" s="400">
        <f t="shared" ref="J256" si="762">(IF(D256=0,(2*(D236+G236))-(F$5*8),IF(D256=3,(2*(D236+G236))-(F$5*8)+(G236-2*F$5),IF(D256=4,(2*(D236+G236))-(F$5*8)+2*(G236-2*F$5)))))/1000</f>
        <v>0.88</v>
      </c>
      <c r="K256" s="400" t="s">
        <v>204</v>
      </c>
      <c r="L256" s="399">
        <f t="shared" si="755"/>
        <v>0.15</v>
      </c>
      <c r="M256" s="399" t="s">
        <v>176</v>
      </c>
      <c r="N256" s="399">
        <f t="shared" si="756"/>
        <v>1.03</v>
      </c>
      <c r="O256" s="399"/>
      <c r="P256" s="389"/>
      <c r="Q256" s="399"/>
      <c r="R256" s="399"/>
      <c r="S256" s="399"/>
      <c r="T256" s="399" t="s">
        <v>125</v>
      </c>
      <c r="U256" s="401">
        <f t="shared" si="757"/>
        <v>0.39456000000000002</v>
      </c>
      <c r="V256" s="399" t="s">
        <v>125</v>
      </c>
      <c r="W256" s="399">
        <f t="shared" ref="W256" si="763">IF(D238-MAX(D238/4,2*G236)*2&gt;0,ROUND((D238-MAX(D238/4,2*G236)*2)/H256,0),0)</f>
        <v>1</v>
      </c>
      <c r="X256" s="399" t="s">
        <v>125</v>
      </c>
      <c r="Y256" s="389">
        <f t="shared" ref="Y256" si="764">D241</f>
        <v>1</v>
      </c>
      <c r="Z256" s="400" t="s">
        <v>176</v>
      </c>
      <c r="AA256" s="402">
        <f t="shared" si="760"/>
        <v>0.40639680000000006</v>
      </c>
      <c r="AB256" s="403"/>
    </row>
    <row r="257" spans="1:28">
      <c r="A257" s="384" t="str">
        <f t="shared" ref="A257:B257" si="765">A235</f>
        <v>Lantai 1</v>
      </c>
      <c r="B257" s="385">
        <f t="shared" si="765"/>
        <v>8</v>
      </c>
      <c r="C257" s="393" t="s">
        <v>211</v>
      </c>
      <c r="D257" s="398">
        <f>VLOOKUP(D235,'Detail Balok'!$C$10:$AU$140,41,FALSE)</f>
        <v>0</v>
      </c>
      <c r="E257" s="388" t="s">
        <v>16</v>
      </c>
      <c r="F257" s="388">
        <f>VLOOKUP(D235,'Detail Balok'!$C$10:$AU$140,43,FALSE)</f>
        <v>8</v>
      </c>
      <c r="G257" s="405" t="s">
        <v>157</v>
      </c>
      <c r="H257" s="395">
        <f>VLOOKUP(D235,'Detail Balok'!$C$10:$AU$140,45,FALSE)</f>
        <v>150</v>
      </c>
      <c r="I257" s="388"/>
      <c r="J257" s="400">
        <f t="shared" ref="J257" si="766">(IF(D257=0,(2*(D236+G236))-(F$5*8),IF(D257=3,(2*(D236+G236))-(F$5*8)+(G236-2*F$5),IF(D257=4,(2*(D236+G236))-(F$5*8)+2*(G236-2*F$5)))))/1000</f>
        <v>0.88</v>
      </c>
      <c r="K257" s="400" t="s">
        <v>204</v>
      </c>
      <c r="L257" s="399">
        <f t="shared" si="755"/>
        <v>0.15</v>
      </c>
      <c r="M257" s="399" t="s">
        <v>176</v>
      </c>
      <c r="N257" s="399">
        <f t="shared" si="756"/>
        <v>1.03</v>
      </c>
      <c r="O257" s="399"/>
      <c r="P257" s="389"/>
      <c r="Q257" s="399"/>
      <c r="R257" s="399"/>
      <c r="S257" s="399"/>
      <c r="T257" s="399" t="s">
        <v>125</v>
      </c>
      <c r="U257" s="401">
        <f t="shared" si="757"/>
        <v>0.39456000000000002</v>
      </c>
      <c r="V257" s="399" t="s">
        <v>125</v>
      </c>
      <c r="W257" s="399">
        <f t="shared" ref="W257" si="767">IF(D238&gt;4*G236,ROUND(MAX(D238/4,2*G236)/H257,0)+1,0)</f>
        <v>6</v>
      </c>
      <c r="X257" s="399" t="s">
        <v>125</v>
      </c>
      <c r="Y257" s="389">
        <f t="shared" ref="Y257" si="768">D241</f>
        <v>1</v>
      </c>
      <c r="Z257" s="400" t="s">
        <v>176</v>
      </c>
      <c r="AA257" s="402">
        <f t="shared" si="760"/>
        <v>2.4383808000000005</v>
      </c>
      <c r="AB257" s="403"/>
    </row>
    <row r="258" spans="1:28">
      <c r="A258" s="384"/>
      <c r="B258" s="385"/>
      <c r="C258" s="393"/>
      <c r="D258" s="394"/>
      <c r="E258" s="388"/>
      <c r="F258" s="388"/>
      <c r="G258" s="388"/>
      <c r="H258" s="395"/>
      <c r="I258" s="388"/>
      <c r="J258" s="399"/>
      <c r="K258" s="396"/>
      <c r="L258" s="396"/>
      <c r="M258" s="396"/>
      <c r="N258" s="396"/>
      <c r="O258" s="396"/>
      <c r="P258" s="389"/>
      <c r="Q258" s="396"/>
      <c r="R258" s="396"/>
      <c r="S258" s="396"/>
      <c r="T258" s="396"/>
      <c r="U258" s="401"/>
      <c r="V258" s="396"/>
      <c r="W258" s="388"/>
      <c r="X258" s="396"/>
      <c r="Y258" s="389"/>
      <c r="Z258" s="396"/>
      <c r="AA258" s="388"/>
      <c r="AB258" s="390"/>
    </row>
    <row r="259" spans="1:28">
      <c r="A259" s="384" t="str">
        <f t="shared" ref="A259:B259" si="769">A235</f>
        <v>Lantai 1</v>
      </c>
      <c r="B259" s="385">
        <f t="shared" si="769"/>
        <v>8</v>
      </c>
      <c r="C259" s="393" t="s">
        <v>213</v>
      </c>
      <c r="D259" s="398">
        <f>VLOOKUP(D235,'Detail Balok'!$C$10:$BJ$140,46,FALSE)</f>
        <v>0</v>
      </c>
      <c r="E259" s="388" t="s">
        <v>16</v>
      </c>
      <c r="F259" s="388">
        <f>VLOOKUP(D235,'Detail Balok'!$C$10:$BJ$140,48,FALSE)</f>
        <v>0</v>
      </c>
      <c r="G259" s="405" t="s">
        <v>157</v>
      </c>
      <c r="H259" s="395">
        <f>VLOOKUP(D235,'Detail Balok'!$C$10:$BJ$140,50,FALSE)</f>
        <v>100</v>
      </c>
      <c r="I259" s="388"/>
      <c r="J259" s="399">
        <f t="shared" ref="J259" si="770">(D236-2*F$5)/1000</f>
        <v>0.12</v>
      </c>
      <c r="K259" s="400" t="s">
        <v>204</v>
      </c>
      <c r="L259" s="399">
        <f t="shared" ref="L259:L261" si="771">IF(D259=0,2*MAX(6*F259,75),(D259-1)*2*MAX(6*F259,75))/1000</f>
        <v>0.15</v>
      </c>
      <c r="M259" s="399" t="s">
        <v>176</v>
      </c>
      <c r="N259" s="399">
        <f t="shared" ref="N259:N261" si="772">J259+L259</f>
        <v>0.27</v>
      </c>
      <c r="O259" s="399"/>
      <c r="P259" s="399"/>
      <c r="Q259" s="399"/>
      <c r="R259" s="399"/>
      <c r="S259" s="399"/>
      <c r="T259" s="399" t="s">
        <v>125</v>
      </c>
      <c r="U259" s="401">
        <f t="shared" ref="U259:U261" si="773">0.006165*F259^2</f>
        <v>0</v>
      </c>
      <c r="V259" s="399" t="s">
        <v>125</v>
      </c>
      <c r="W259" s="399">
        <f t="shared" si="678"/>
        <v>6</v>
      </c>
      <c r="X259" s="399" t="s">
        <v>125</v>
      </c>
      <c r="Y259" s="389">
        <f t="shared" ref="Y259" si="774">D245</f>
        <v>3</v>
      </c>
      <c r="Z259" s="400" t="s">
        <v>176</v>
      </c>
      <c r="AA259" s="402">
        <f t="shared" ref="AA259:AA261" si="775">N259*U259*W259*Y259</f>
        <v>0</v>
      </c>
      <c r="AB259" s="403"/>
    </row>
    <row r="260" spans="1:28">
      <c r="A260" s="384" t="str">
        <f t="shared" ref="A260:B260" si="776">A235</f>
        <v>Lantai 1</v>
      </c>
      <c r="B260" s="385">
        <f t="shared" si="776"/>
        <v>8</v>
      </c>
      <c r="C260" s="393" t="s">
        <v>214</v>
      </c>
      <c r="D260" s="398">
        <f>VLOOKUP(D235,'Detail Balok'!$C$10:$BJ$140,51,FALSE)</f>
        <v>0</v>
      </c>
      <c r="E260" s="388" t="s">
        <v>16</v>
      </c>
      <c r="F260" s="388">
        <f>VLOOKUP(D235,'Detail Balok'!$C$10:$BJ$140,53,FALSE)</f>
        <v>0</v>
      </c>
      <c r="G260" s="405" t="s">
        <v>157</v>
      </c>
      <c r="H260" s="395">
        <f>VLOOKUP(D235,'Detail Balok'!$C$10:$BJ$140,55,FALSE)</f>
        <v>100</v>
      </c>
      <c r="I260" s="388"/>
      <c r="J260" s="399">
        <f t="shared" ref="J260" si="777">(D236-2*F$5)/1000</f>
        <v>0.12</v>
      </c>
      <c r="K260" s="400" t="s">
        <v>204</v>
      </c>
      <c r="L260" s="399">
        <f t="shared" si="771"/>
        <v>0.15</v>
      </c>
      <c r="M260" s="399" t="s">
        <v>176</v>
      </c>
      <c r="N260" s="399">
        <f t="shared" si="772"/>
        <v>0.27</v>
      </c>
      <c r="O260" s="399"/>
      <c r="P260" s="399"/>
      <c r="Q260" s="399"/>
      <c r="R260" s="399"/>
      <c r="S260" s="399"/>
      <c r="T260" s="399" t="s">
        <v>125</v>
      </c>
      <c r="U260" s="401">
        <f t="shared" si="773"/>
        <v>0</v>
      </c>
      <c r="V260" s="399" t="s">
        <v>125</v>
      </c>
      <c r="W260" s="399">
        <f t="shared" si="678"/>
        <v>1</v>
      </c>
      <c r="X260" s="399" t="s">
        <v>125</v>
      </c>
      <c r="Y260" s="389">
        <f t="shared" ref="Y260" si="778">D245</f>
        <v>3</v>
      </c>
      <c r="Z260" s="400" t="s">
        <v>176</v>
      </c>
      <c r="AA260" s="402">
        <f t="shared" si="775"/>
        <v>0</v>
      </c>
      <c r="AB260" s="403"/>
    </row>
    <row r="261" spans="1:28">
      <c r="A261" s="384" t="str">
        <f t="shared" ref="A261:B261" si="779">A235</f>
        <v>Lantai 1</v>
      </c>
      <c r="B261" s="385">
        <f t="shared" si="779"/>
        <v>8</v>
      </c>
      <c r="C261" s="393" t="s">
        <v>213</v>
      </c>
      <c r="D261" s="398">
        <f>VLOOKUP(D235,'Detail Balok'!$C$10:$BJ$140,56,FALSE)</f>
        <v>0</v>
      </c>
      <c r="E261" s="388" t="s">
        <v>16</v>
      </c>
      <c r="F261" s="388">
        <f>VLOOKUP(D235,'Detail Balok'!$C$10:$BJ$140,58,FALSE)</f>
        <v>0</v>
      </c>
      <c r="G261" s="405" t="s">
        <v>157</v>
      </c>
      <c r="H261" s="395">
        <f>VLOOKUP(D235,'Detail Balok'!$C$10:$BJ$140,60,FALSE)</f>
        <v>100</v>
      </c>
      <c r="I261" s="388"/>
      <c r="J261" s="399">
        <f t="shared" ref="J261" si="780">(D236-2*F$5)/1000</f>
        <v>0.12</v>
      </c>
      <c r="K261" s="400" t="s">
        <v>204</v>
      </c>
      <c r="L261" s="399">
        <f t="shared" si="771"/>
        <v>0.15</v>
      </c>
      <c r="M261" s="399" t="s">
        <v>176</v>
      </c>
      <c r="N261" s="399">
        <f t="shared" si="772"/>
        <v>0.27</v>
      </c>
      <c r="O261" s="399"/>
      <c r="P261" s="399"/>
      <c r="Q261" s="399"/>
      <c r="R261" s="399"/>
      <c r="S261" s="399"/>
      <c r="T261" s="399" t="s">
        <v>125</v>
      </c>
      <c r="U261" s="401">
        <f t="shared" si="773"/>
        <v>0</v>
      </c>
      <c r="V261" s="399" t="s">
        <v>125</v>
      </c>
      <c r="W261" s="399">
        <f t="shared" si="678"/>
        <v>6</v>
      </c>
      <c r="X261" s="399" t="s">
        <v>125</v>
      </c>
      <c r="Y261" s="389">
        <f t="shared" ref="Y261" si="781">D245</f>
        <v>3</v>
      </c>
      <c r="Z261" s="400" t="s">
        <v>176</v>
      </c>
      <c r="AA261" s="402">
        <f t="shared" si="775"/>
        <v>0</v>
      </c>
      <c r="AB261" s="403"/>
    </row>
    <row r="262" spans="1:28">
      <c r="A262" s="391"/>
      <c r="B262" s="392"/>
      <c r="C262" s="392"/>
      <c r="D262" s="394"/>
      <c r="E262" s="388"/>
      <c r="F262" s="388"/>
      <c r="G262" s="388"/>
      <c r="H262" s="395"/>
      <c r="I262" s="388"/>
      <c r="J262" s="402"/>
      <c r="K262" s="388"/>
      <c r="L262" s="388"/>
      <c r="M262" s="388"/>
      <c r="N262" s="388"/>
      <c r="O262" s="388"/>
      <c r="P262" s="388"/>
      <c r="Q262" s="388"/>
      <c r="R262" s="388"/>
      <c r="S262" s="388"/>
      <c r="T262" s="388"/>
      <c r="U262" s="388"/>
      <c r="V262" s="388"/>
      <c r="W262" s="388"/>
      <c r="X262" s="388"/>
      <c r="Y262" s="389"/>
      <c r="Z262" s="388"/>
      <c r="AA262" s="402"/>
      <c r="AB262" s="403"/>
    </row>
    <row r="263" spans="1:28" ht="15.75" thickBot="1">
      <c r="A263" s="406"/>
      <c r="B263" s="407"/>
      <c r="C263" s="407"/>
      <c r="D263" s="408"/>
      <c r="E263" s="409"/>
      <c r="F263" s="409"/>
      <c r="G263" s="409"/>
      <c r="H263" s="410"/>
      <c r="I263" s="409"/>
      <c r="J263" s="409"/>
      <c r="K263" s="409"/>
      <c r="L263" s="409"/>
      <c r="M263" s="409"/>
      <c r="N263" s="409"/>
      <c r="O263" s="409"/>
      <c r="P263" s="409"/>
      <c r="Q263" s="409"/>
      <c r="R263" s="409"/>
      <c r="S263" s="409"/>
      <c r="T263" s="409"/>
      <c r="U263" s="409"/>
      <c r="V263" s="409"/>
      <c r="W263" s="409"/>
      <c r="X263" s="409"/>
      <c r="Y263" s="411"/>
      <c r="Z263" s="409"/>
      <c r="AA263" s="412"/>
      <c r="AB263" s="413"/>
    </row>
    <row r="264" spans="1:28">
      <c r="A264" s="377"/>
      <c r="B264" s="378"/>
      <c r="C264" s="378"/>
      <c r="D264" s="379"/>
      <c r="E264" s="380"/>
      <c r="F264" s="380"/>
      <c r="G264" s="380"/>
      <c r="H264" s="381"/>
      <c r="I264" s="380"/>
      <c r="J264" s="380"/>
      <c r="K264" s="380"/>
      <c r="L264" s="380"/>
      <c r="M264" s="380"/>
      <c r="N264" s="380"/>
      <c r="O264" s="380"/>
      <c r="P264" s="380"/>
      <c r="Q264" s="380"/>
      <c r="R264" s="380"/>
      <c r="S264" s="380"/>
      <c r="T264" s="380"/>
      <c r="U264" s="380"/>
      <c r="V264" s="380"/>
      <c r="W264" s="380"/>
      <c r="X264" s="380"/>
      <c r="Y264" s="382"/>
      <c r="Z264" s="380"/>
      <c r="AA264" s="380"/>
      <c r="AB264" s="383"/>
    </row>
    <row r="265" spans="1:28">
      <c r="A265" s="384" t="str">
        <f t="shared" si="687"/>
        <v>Lantai 1</v>
      </c>
      <c r="B265" s="385">
        <f t="shared" si="688"/>
        <v>9</v>
      </c>
      <c r="C265" s="386" t="str">
        <f t="shared" ref="C265" si="782">CONCATENATE(A265," no. ",B265)</f>
        <v>Lantai 1 no. 9</v>
      </c>
      <c r="D265" s="2562" t="str">
        <f>VLOOKUP(C265,'Data Panjang Balok'!$C$9:$N$254,2,FALSE)</f>
        <v>S23-1</v>
      </c>
      <c r="E265" s="2576"/>
      <c r="F265" s="2576"/>
      <c r="G265" s="2576"/>
      <c r="H265" s="2577"/>
      <c r="I265" s="387"/>
      <c r="J265" s="388"/>
      <c r="K265" s="388"/>
      <c r="L265" s="388"/>
      <c r="M265" s="388"/>
      <c r="N265" s="388"/>
      <c r="O265" s="388"/>
      <c r="P265" s="388"/>
      <c r="Q265" s="388"/>
      <c r="R265" s="388"/>
      <c r="S265" s="388"/>
      <c r="T265" s="388"/>
      <c r="U265" s="388"/>
      <c r="V265" s="388"/>
      <c r="W265" s="388"/>
      <c r="X265" s="388"/>
      <c r="Y265" s="389"/>
      <c r="Z265" s="388"/>
      <c r="AA265" s="388"/>
      <c r="AB265" s="390"/>
    </row>
    <row r="266" spans="1:28">
      <c r="A266" s="391"/>
      <c r="B266" s="392"/>
      <c r="C266" s="393" t="s">
        <v>118</v>
      </c>
      <c r="D266" s="2578">
        <f>VLOOKUP(D265,'Detail Balok'!$C$10:$AU$140,2,FALSE)</f>
        <v>200</v>
      </c>
      <c r="E266" s="2579"/>
      <c r="F266" s="388" t="s">
        <v>125</v>
      </c>
      <c r="G266" s="2579">
        <f>VLOOKUP(D265,'Detail Balok'!$C$10:$AU$140,3,FALSE)</f>
        <v>300</v>
      </c>
      <c r="H266" s="2580"/>
      <c r="I266" s="388"/>
      <c r="J266" s="396"/>
      <c r="K266" s="396"/>
      <c r="L266" s="396"/>
      <c r="M266" s="396"/>
      <c r="N266" s="396"/>
      <c r="O266" s="396"/>
      <c r="P266" s="396"/>
      <c r="Q266" s="396"/>
      <c r="R266" s="396"/>
      <c r="S266" s="396"/>
      <c r="T266" s="396"/>
      <c r="U266" s="388"/>
      <c r="V266" s="396"/>
      <c r="W266" s="388"/>
      <c r="X266" s="396"/>
      <c r="Y266" s="389"/>
      <c r="Z266" s="396"/>
      <c r="AA266" s="388"/>
      <c r="AB266" s="390"/>
    </row>
    <row r="267" spans="1:28">
      <c r="A267" s="391"/>
      <c r="B267" s="392"/>
      <c r="C267" s="393" t="s">
        <v>198</v>
      </c>
      <c r="D267" s="2562">
        <f>VLOOKUP(C265,'Data Panjang Balok'!$C$9:$N$254,4,FALSE)</f>
        <v>5000</v>
      </c>
      <c r="E267" s="2563"/>
      <c r="F267" s="2563"/>
      <c r="G267" s="2563"/>
      <c r="H267" s="2564"/>
      <c r="I267" s="397"/>
      <c r="J267" s="396"/>
      <c r="K267" s="396"/>
      <c r="L267" s="396"/>
      <c r="M267" s="396"/>
      <c r="N267" s="396"/>
      <c r="O267" s="396"/>
      <c r="P267" s="396"/>
      <c r="Q267" s="396"/>
      <c r="R267" s="396"/>
      <c r="S267" s="396"/>
      <c r="T267" s="396"/>
      <c r="U267" s="388"/>
      <c r="V267" s="396"/>
      <c r="W267" s="388"/>
      <c r="X267" s="396"/>
      <c r="Y267" s="389"/>
      <c r="Z267" s="396"/>
      <c r="AA267" s="388"/>
      <c r="AB267" s="390"/>
    </row>
    <row r="268" spans="1:28">
      <c r="A268" s="391"/>
      <c r="B268" s="392"/>
      <c r="C268" s="393" t="s">
        <v>199</v>
      </c>
      <c r="D268" s="2562">
        <f>VLOOKUP(C265,'Data Panjang Balok'!$C$9:$N$254,7,FALSE)</f>
        <v>5000</v>
      </c>
      <c r="E268" s="2563"/>
      <c r="F268" s="2563"/>
      <c r="G268" s="2563"/>
      <c r="H268" s="2564"/>
      <c r="I268" s="397"/>
      <c r="J268" s="396"/>
      <c r="K268" s="396"/>
      <c r="L268" s="396"/>
      <c r="M268" s="396"/>
      <c r="N268" s="396"/>
      <c r="O268" s="396"/>
      <c r="P268" s="396"/>
      <c r="Q268" s="396"/>
      <c r="R268" s="396"/>
      <c r="S268" s="396"/>
      <c r="T268" s="396"/>
      <c r="U268" s="388"/>
      <c r="V268" s="396"/>
      <c r="W268" s="388"/>
      <c r="X268" s="396"/>
      <c r="Y268" s="389"/>
      <c r="Z268" s="396"/>
      <c r="AA268" s="388"/>
      <c r="AB268" s="390"/>
    </row>
    <row r="269" spans="1:28">
      <c r="A269" s="391"/>
      <c r="B269" s="392"/>
      <c r="C269" s="393" t="s">
        <v>200</v>
      </c>
      <c r="D269" s="2562">
        <f>VLOOKUP(C265,'Data Panjang Balok'!$C$9:$N$254,9,FALSE)</f>
        <v>0</v>
      </c>
      <c r="E269" s="2563"/>
      <c r="F269" s="2563"/>
      <c r="G269" s="2563"/>
      <c r="H269" s="2564"/>
      <c r="I269" s="397"/>
      <c r="J269" s="396"/>
      <c r="K269" s="396"/>
      <c r="L269" s="396"/>
      <c r="M269" s="396"/>
      <c r="N269" s="396"/>
      <c r="O269" s="396"/>
      <c r="P269" s="396"/>
      <c r="Q269" s="396"/>
      <c r="R269" s="396"/>
      <c r="S269" s="396"/>
      <c r="T269" s="396"/>
      <c r="U269" s="388"/>
      <c r="V269" s="396"/>
      <c r="W269" s="388"/>
      <c r="X269" s="396"/>
      <c r="Y269" s="389"/>
      <c r="Z269" s="396"/>
      <c r="AA269" s="388"/>
      <c r="AB269" s="390"/>
    </row>
    <row r="270" spans="1:28">
      <c r="A270" s="391"/>
      <c r="B270" s="392"/>
      <c r="C270" s="393" t="s">
        <v>201</v>
      </c>
      <c r="D270" s="2562">
        <f>VLOOKUP(C265,'Data Panjang Balok'!$C$9:$N$254,10,FALSE)</f>
        <v>0</v>
      </c>
      <c r="E270" s="2563"/>
      <c r="F270" s="2563"/>
      <c r="G270" s="2563"/>
      <c r="H270" s="2564"/>
      <c r="I270" s="397"/>
      <c r="J270" s="396"/>
      <c r="K270" s="396"/>
      <c r="L270" s="396"/>
      <c r="M270" s="396"/>
      <c r="N270" s="396"/>
      <c r="O270" s="396"/>
      <c r="P270" s="396"/>
      <c r="Q270" s="396"/>
      <c r="R270" s="396"/>
      <c r="S270" s="396"/>
      <c r="T270" s="396"/>
      <c r="U270" s="388"/>
      <c r="V270" s="396"/>
      <c r="W270" s="388"/>
      <c r="X270" s="396"/>
      <c r="Y270" s="389"/>
      <c r="Z270" s="396"/>
      <c r="AA270" s="388"/>
      <c r="AB270" s="390"/>
    </row>
    <row r="271" spans="1:28">
      <c r="A271" s="391"/>
      <c r="B271" s="392"/>
      <c r="C271" s="393" t="s">
        <v>48</v>
      </c>
      <c r="D271" s="2562">
        <f>VLOOKUP(C265,'Data Panjang Balok'!$C$9:$N$254,3,FALSE)</f>
        <v>1</v>
      </c>
      <c r="E271" s="2563"/>
      <c r="F271" s="2563"/>
      <c r="G271" s="2563"/>
      <c r="H271" s="2564"/>
      <c r="I271" s="397"/>
      <c r="J271" s="396"/>
      <c r="K271" s="396"/>
      <c r="L271" s="396"/>
      <c r="M271" s="396"/>
      <c r="N271" s="396"/>
      <c r="O271" s="396"/>
      <c r="P271" s="396"/>
      <c r="Q271" s="396"/>
      <c r="R271" s="396"/>
      <c r="S271" s="396"/>
      <c r="T271" s="396"/>
      <c r="U271" s="388"/>
      <c r="V271" s="396"/>
      <c r="W271" s="388"/>
      <c r="X271" s="396"/>
      <c r="Y271" s="389"/>
      <c r="Z271" s="396"/>
      <c r="AA271" s="388"/>
      <c r="AB271" s="390"/>
    </row>
    <row r="272" spans="1:28">
      <c r="A272" s="384" t="str">
        <f t="shared" ref="A272:B272" si="783">A265</f>
        <v>Lantai 1</v>
      </c>
      <c r="B272" s="385">
        <f t="shared" si="783"/>
        <v>9</v>
      </c>
      <c r="C272" s="393" t="s">
        <v>202</v>
      </c>
      <c r="D272" s="398">
        <f>VLOOKUP(D265,'Detail Balok'!$C$10:$AU$140,4,FALSE)</f>
        <v>2</v>
      </c>
      <c r="E272" s="388" t="s">
        <v>16</v>
      </c>
      <c r="F272" s="388">
        <f>VLOOKUP(D265,'Detail Balok'!$C$10:$AU$140,6,FALSE)</f>
        <v>13</v>
      </c>
      <c r="G272" s="388"/>
      <c r="H272" s="395"/>
      <c r="I272" s="388" t="s">
        <v>203</v>
      </c>
      <c r="J272" s="399">
        <f t="shared" ref="J272" si="784">+D267/4/1000</f>
        <v>1.25</v>
      </c>
      <c r="K272" s="400" t="s">
        <v>204</v>
      </c>
      <c r="L272" s="399">
        <f t="shared" ref="L272" si="785">MAX(VLOOKUP(F272,N$6:P$15,3,FALSE)/1000,2/3*D269/1000)+F$16*F272/1000</f>
        <v>0.156</v>
      </c>
      <c r="M272" s="399" t="s">
        <v>176</v>
      </c>
      <c r="N272" s="399">
        <f t="shared" ref="N272:N274" si="786">J272+L272</f>
        <v>1.4059999999999999</v>
      </c>
      <c r="O272" s="399" t="s">
        <v>204</v>
      </c>
      <c r="P272" s="389">
        <f t="shared" ref="P272" si="787">D272-D273</f>
        <v>0</v>
      </c>
      <c r="Q272" s="399" t="s">
        <v>125</v>
      </c>
      <c r="R272" s="399">
        <f t="shared" ref="R272" si="788">IF(P272&gt;0,$F$18*F272/1000,0)</f>
        <v>0</v>
      </c>
      <c r="S272" s="399" t="s">
        <v>205</v>
      </c>
      <c r="T272" s="399" t="s">
        <v>125</v>
      </c>
      <c r="U272" s="401">
        <f t="shared" ref="U272:U274" si="789">0.006165*F272^2</f>
        <v>1.041885</v>
      </c>
      <c r="V272" s="399"/>
      <c r="W272" s="399"/>
      <c r="X272" s="399" t="s">
        <v>125</v>
      </c>
      <c r="Y272" s="389">
        <f t="shared" ref="Y272" si="790">D271</f>
        <v>1</v>
      </c>
      <c r="Z272" s="400" t="s">
        <v>176</v>
      </c>
      <c r="AA272" s="402">
        <f t="shared" ref="AA272" si="791">IF(AA275=0,(D272*N272+P272*R272)*U272*Y272,0)</f>
        <v>0</v>
      </c>
      <c r="AB272" s="403"/>
    </row>
    <row r="273" spans="1:28">
      <c r="A273" s="384" t="str">
        <f t="shared" ref="A273:B273" si="792">A265</f>
        <v>Lantai 1</v>
      </c>
      <c r="B273" s="385">
        <f t="shared" si="792"/>
        <v>9</v>
      </c>
      <c r="C273" s="393" t="s">
        <v>206</v>
      </c>
      <c r="D273" s="398">
        <f>VLOOKUP(D265,'Detail Balok'!$C$10:$AU$140,7,FALSE)</f>
        <v>2</v>
      </c>
      <c r="E273" s="388" t="s">
        <v>16</v>
      </c>
      <c r="F273" s="388">
        <f>VLOOKUP(D265,'Detail Balok'!$C$10:$AU$140,9,FALSE)</f>
        <v>13</v>
      </c>
      <c r="G273" s="388"/>
      <c r="H273" s="395"/>
      <c r="I273" s="388" t="s">
        <v>203</v>
      </c>
      <c r="J273" s="399">
        <f t="shared" ref="J273" si="793">+D267/2/1000</f>
        <v>2.5</v>
      </c>
      <c r="K273" s="400" t="s">
        <v>204</v>
      </c>
      <c r="L273" s="399"/>
      <c r="M273" s="399" t="s">
        <v>176</v>
      </c>
      <c r="N273" s="399">
        <f t="shared" si="786"/>
        <v>2.5</v>
      </c>
      <c r="O273" s="399" t="s">
        <v>204</v>
      </c>
      <c r="P273" s="389">
        <f t="shared" ref="P273" si="794">MAX(D273-D272,D273-D274)</f>
        <v>0</v>
      </c>
      <c r="Q273" s="399" t="s">
        <v>125</v>
      </c>
      <c r="R273" s="399">
        <f t="shared" ref="R273" si="795">IF(P273&gt;0,2*(1-2*$F$19-1/2)*D268/1000,0)</f>
        <v>0</v>
      </c>
      <c r="S273" s="399" t="s">
        <v>205</v>
      </c>
      <c r="T273" s="399" t="s">
        <v>125</v>
      </c>
      <c r="U273" s="401">
        <f t="shared" si="789"/>
        <v>1.041885</v>
      </c>
      <c r="V273" s="399"/>
      <c r="W273" s="399"/>
      <c r="X273" s="399" t="s">
        <v>125</v>
      </c>
      <c r="Y273" s="389">
        <f t="shared" ref="Y273" si="796">D271</f>
        <v>1</v>
      </c>
      <c r="Z273" s="400" t="s">
        <v>176</v>
      </c>
      <c r="AA273" s="402">
        <f t="shared" ref="AA273" si="797">IF(AA275=0,(D273*N273+P273*R273)*U273*Y273,0)</f>
        <v>0</v>
      </c>
      <c r="AB273" s="403"/>
    </row>
    <row r="274" spans="1:28">
      <c r="A274" s="384" t="str">
        <f t="shared" ref="A274:B274" si="798">A265</f>
        <v>Lantai 1</v>
      </c>
      <c r="B274" s="385">
        <f t="shared" si="798"/>
        <v>9</v>
      </c>
      <c r="C274" s="393" t="s">
        <v>202</v>
      </c>
      <c r="D274" s="398">
        <f>VLOOKUP(D265,'Detail Balok'!$C$10:$AU$140,10,FALSE)</f>
        <v>2</v>
      </c>
      <c r="E274" s="388" t="s">
        <v>16</v>
      </c>
      <c r="F274" s="388">
        <f>VLOOKUP(D265,'Detail Balok'!$C$10:$AU$140,12,FALSE)</f>
        <v>13</v>
      </c>
      <c r="G274" s="388"/>
      <c r="H274" s="395"/>
      <c r="I274" s="388" t="s">
        <v>203</v>
      </c>
      <c r="J274" s="399">
        <f t="shared" ref="J274" si="799">+D267/4/1000</f>
        <v>1.25</v>
      </c>
      <c r="K274" s="400" t="s">
        <v>204</v>
      </c>
      <c r="L274" s="399">
        <f t="shared" ref="L274" si="800">MAX(VLOOKUP(F274,N$6:P$15,3,FALSE)/1000,2/3*D269/1000)+F$16*F274/1000</f>
        <v>0.156</v>
      </c>
      <c r="M274" s="399" t="s">
        <v>176</v>
      </c>
      <c r="N274" s="399">
        <f t="shared" si="786"/>
        <v>1.4059999999999999</v>
      </c>
      <c r="O274" s="399" t="s">
        <v>204</v>
      </c>
      <c r="P274" s="389">
        <f t="shared" ref="P274" si="801">D274-D273</f>
        <v>0</v>
      </c>
      <c r="Q274" s="399" t="s">
        <v>125</v>
      </c>
      <c r="R274" s="399">
        <f t="shared" ref="R274" si="802">IF(P274&gt;0,$F$18*F274/1000,0)</f>
        <v>0</v>
      </c>
      <c r="S274" s="399" t="s">
        <v>205</v>
      </c>
      <c r="T274" s="399" t="s">
        <v>125</v>
      </c>
      <c r="U274" s="401">
        <f t="shared" si="789"/>
        <v>1.041885</v>
      </c>
      <c r="V274" s="399"/>
      <c r="W274" s="399"/>
      <c r="X274" s="399" t="s">
        <v>125</v>
      </c>
      <c r="Y274" s="389">
        <f t="shared" ref="Y274" si="803">D271</f>
        <v>1</v>
      </c>
      <c r="Z274" s="400" t="s">
        <v>176</v>
      </c>
      <c r="AA274" s="402">
        <f t="shared" ref="AA274" si="804">IF(AA275=0,(D274*N274+P274*R274)*U274*Y274,0)</f>
        <v>0</v>
      </c>
      <c r="AB274" s="403"/>
    </row>
    <row r="275" spans="1:28">
      <c r="A275" s="384" t="str">
        <f t="shared" ref="A275:B275" si="805">A265</f>
        <v>Lantai 1</v>
      </c>
      <c r="B275" s="385">
        <f t="shared" si="805"/>
        <v>9</v>
      </c>
      <c r="C275" s="393"/>
      <c r="D275" s="398">
        <f t="shared" si="608"/>
        <v>2</v>
      </c>
      <c r="E275" s="388" t="s">
        <v>16</v>
      </c>
      <c r="F275" s="388">
        <f t="shared" si="609"/>
        <v>13</v>
      </c>
      <c r="G275" s="388"/>
      <c r="H275" s="395"/>
      <c r="I275" s="388"/>
      <c r="J275" s="396"/>
      <c r="K275" s="396"/>
      <c r="L275" s="404" t="s">
        <v>207</v>
      </c>
      <c r="M275" s="399" t="s">
        <v>176</v>
      </c>
      <c r="N275" s="399">
        <f t="shared" ref="N275" si="806">IF(AND(D272=D273,D272=D274,D273=D274,F272=F273,F272=F274,F273=F274),SUM(N272:N274),0)</f>
        <v>5.3119999999999994</v>
      </c>
      <c r="O275" s="399" t="s">
        <v>204</v>
      </c>
      <c r="P275" s="389">
        <f t="shared" ref="P275" si="807">IF(N275&gt;12,ROUNDDOWN(N275/12,0),0)</f>
        <v>0</v>
      </c>
      <c r="Q275" s="399" t="s">
        <v>125</v>
      </c>
      <c r="R275" s="399">
        <f t="shared" ref="R275" si="808">IF(P275&gt;0,MAX(VLOOKUP(F275,$D$6:$G$15,3,FALSE),600),0)/1000</f>
        <v>0</v>
      </c>
      <c r="S275" s="396"/>
      <c r="T275" s="396" t="s">
        <v>125</v>
      </c>
      <c r="U275" s="401">
        <f t="shared" si="613"/>
        <v>1.041885</v>
      </c>
      <c r="V275" s="396" t="s">
        <v>125</v>
      </c>
      <c r="W275" s="399">
        <f t="shared" ref="W275" si="809">D275</f>
        <v>2</v>
      </c>
      <c r="X275" s="399" t="s">
        <v>125</v>
      </c>
      <c r="Y275" s="389">
        <f t="shared" si="615"/>
        <v>1</v>
      </c>
      <c r="Z275" s="400" t="s">
        <v>176</v>
      </c>
      <c r="AA275" s="402">
        <f t="shared" ref="AA275" si="810">(N275+P275*R275/1000)*U275*W275*Y275</f>
        <v>11.068986239999997</v>
      </c>
      <c r="AB275" s="390"/>
    </row>
    <row r="276" spans="1:28">
      <c r="A276" s="384"/>
      <c r="B276" s="385"/>
      <c r="C276" s="393"/>
      <c r="D276" s="398"/>
      <c r="E276" s="388"/>
      <c r="F276" s="388"/>
      <c r="G276" s="388"/>
      <c r="H276" s="395"/>
      <c r="I276" s="388"/>
      <c r="J276" s="396"/>
      <c r="K276" s="396"/>
      <c r="L276" s="404"/>
      <c r="M276" s="399"/>
      <c r="N276" s="399"/>
      <c r="O276" s="396"/>
      <c r="P276" s="389"/>
      <c r="Q276" s="396"/>
      <c r="R276" s="396"/>
      <c r="S276" s="396"/>
      <c r="T276" s="396"/>
      <c r="U276" s="401"/>
      <c r="V276" s="396"/>
      <c r="W276" s="399"/>
      <c r="X276" s="396"/>
      <c r="Y276" s="389"/>
      <c r="Z276" s="396"/>
      <c r="AA276" s="388"/>
      <c r="AB276" s="390"/>
    </row>
    <row r="277" spans="1:28">
      <c r="A277" s="384" t="str">
        <f t="shared" ref="A277:B277" si="811">A265</f>
        <v>Lantai 1</v>
      </c>
      <c r="B277" s="385">
        <f t="shared" si="811"/>
        <v>9</v>
      </c>
      <c r="C277" s="393" t="s">
        <v>208</v>
      </c>
      <c r="D277" s="398">
        <f>VLOOKUP(D265,'Detail Balok'!$C$10:$AU$140,13,FALSE)</f>
        <v>0</v>
      </c>
      <c r="E277" s="388" t="s">
        <v>16</v>
      </c>
      <c r="F277" s="388">
        <f>VLOOKUP(D265,'Detail Balok'!$C$10:$AU$140,15,FALSE)</f>
        <v>8</v>
      </c>
      <c r="G277" s="388"/>
      <c r="H277" s="395"/>
      <c r="I277" s="388"/>
      <c r="J277" s="399">
        <f t="shared" ref="J277" si="812">+D267/1000</f>
        <v>5</v>
      </c>
      <c r="K277" s="400" t="s">
        <v>204</v>
      </c>
      <c r="L277" s="399">
        <f t="shared" ref="L277" si="813">2*$F$16*F277/1000</f>
        <v>0.192</v>
      </c>
      <c r="M277" s="399" t="s">
        <v>176</v>
      </c>
      <c r="N277" s="399">
        <f t="shared" ref="N277" si="814">J277+L277</f>
        <v>5.1920000000000002</v>
      </c>
      <c r="O277" s="399" t="s">
        <v>204</v>
      </c>
      <c r="P277" s="389">
        <f t="shared" ref="P277" si="815">IF(N277&gt;12,ROUNDDOWN(N277/12,0),0)</f>
        <v>0</v>
      </c>
      <c r="Q277" s="399" t="s">
        <v>125</v>
      </c>
      <c r="R277" s="399">
        <f t="shared" ref="R277" si="816">IF(P277&gt;0,MAX(VLOOKUP(F277,$D$6:$G$15,3,FALSE),600),0)/1000</f>
        <v>0</v>
      </c>
      <c r="S277" s="399"/>
      <c r="T277" s="399" t="s">
        <v>125</v>
      </c>
      <c r="U277" s="401">
        <f t="shared" ref="U277" si="817">0.006165*F277^2</f>
        <v>0.39456000000000002</v>
      </c>
      <c r="V277" s="399" t="s">
        <v>125</v>
      </c>
      <c r="W277" s="399">
        <f t="shared" ref="W277" si="818">+D277</f>
        <v>0</v>
      </c>
      <c r="X277" s="399" t="s">
        <v>125</v>
      </c>
      <c r="Y277" s="389">
        <f t="shared" ref="Y277" si="819">D271</f>
        <v>1</v>
      </c>
      <c r="Z277" s="400" t="s">
        <v>176</v>
      </c>
      <c r="AA277" s="402">
        <f t="shared" ref="AA277" si="820">(N277+P277*R277/1000)*U277*W277*Y277</f>
        <v>0</v>
      </c>
      <c r="AB277" s="403"/>
    </row>
    <row r="278" spans="1:28">
      <c r="A278" s="384"/>
      <c r="B278" s="385"/>
      <c r="C278" s="393"/>
      <c r="D278" s="398"/>
      <c r="E278" s="388"/>
      <c r="F278" s="388"/>
      <c r="G278" s="388"/>
      <c r="H278" s="395"/>
      <c r="I278" s="388"/>
      <c r="J278" s="399"/>
      <c r="K278" s="400"/>
      <c r="L278" s="399"/>
      <c r="M278" s="399"/>
      <c r="N278" s="399"/>
      <c r="O278" s="399"/>
      <c r="P278" s="389"/>
      <c r="Q278" s="399"/>
      <c r="R278" s="399"/>
      <c r="S278" s="399"/>
      <c r="T278" s="399"/>
      <c r="U278" s="401"/>
      <c r="V278" s="399"/>
      <c r="W278" s="399"/>
      <c r="X278" s="399"/>
      <c r="Y278" s="389"/>
      <c r="Z278" s="400"/>
      <c r="AA278" s="402"/>
      <c r="AB278" s="403"/>
    </row>
    <row r="279" spans="1:28">
      <c r="A279" s="384"/>
      <c r="B279" s="385"/>
      <c r="C279" s="393"/>
      <c r="D279" s="398"/>
      <c r="E279" s="388"/>
      <c r="F279" s="388"/>
      <c r="G279" s="388"/>
      <c r="H279" s="395"/>
      <c r="I279" s="388"/>
      <c r="J279" s="396"/>
      <c r="K279" s="396"/>
      <c r="L279" s="396"/>
      <c r="M279" s="396"/>
      <c r="N279" s="396"/>
      <c r="O279" s="396"/>
      <c r="P279" s="389"/>
      <c r="Q279" s="396"/>
      <c r="R279" s="396"/>
      <c r="S279" s="396"/>
      <c r="T279" s="396"/>
      <c r="U279" s="401"/>
      <c r="V279" s="396"/>
      <c r="W279" s="399"/>
      <c r="X279" s="396"/>
      <c r="Y279" s="389"/>
      <c r="Z279" s="396"/>
      <c r="AA279" s="388"/>
      <c r="AB279" s="390"/>
    </row>
    <row r="280" spans="1:28">
      <c r="A280" s="384" t="str">
        <f t="shared" ref="A280:B280" si="821">A265</f>
        <v>Lantai 1</v>
      </c>
      <c r="B280" s="385">
        <f t="shared" si="821"/>
        <v>9</v>
      </c>
      <c r="C280" s="393" t="s">
        <v>209</v>
      </c>
      <c r="D280" s="398">
        <f>VLOOKUP(D265,'Detail Balok'!$C$10:$AU$140,22,FALSE)</f>
        <v>2</v>
      </c>
      <c r="E280" s="388" t="s">
        <v>16</v>
      </c>
      <c r="F280" s="388">
        <f>VLOOKUP(D265,'Detail Balok'!$C$10:$AU$140,24,FALSE)</f>
        <v>13</v>
      </c>
      <c r="G280" s="388"/>
      <c r="H280" s="395"/>
      <c r="I280" s="388" t="s">
        <v>203</v>
      </c>
      <c r="J280" s="399">
        <f t="shared" si="628"/>
        <v>1.25</v>
      </c>
      <c r="K280" s="400" t="s">
        <v>204</v>
      </c>
      <c r="L280" s="399">
        <f t="shared" ref="L280" si="822">MAX(VLOOKUP(F280,N$6:P$15,3,FALSE)/1000,2/3*D270/1000)+F$16*F280/1000</f>
        <v>0.156</v>
      </c>
      <c r="M280" s="399" t="s">
        <v>176</v>
      </c>
      <c r="N280" s="399">
        <f t="shared" ref="N280:N282" si="823">J280+L280</f>
        <v>1.4059999999999999</v>
      </c>
      <c r="O280" s="399" t="s">
        <v>204</v>
      </c>
      <c r="P280" s="389">
        <f t="shared" ref="P280" si="824">D280-D281</f>
        <v>0</v>
      </c>
      <c r="Q280" s="399" t="s">
        <v>125</v>
      </c>
      <c r="R280" s="399">
        <f t="shared" ref="R280" si="825">IF(P280&gt;0,$F$18*F280/1000,0)</f>
        <v>0</v>
      </c>
      <c r="S280" s="399" t="s">
        <v>205</v>
      </c>
      <c r="T280" s="399" t="s">
        <v>125</v>
      </c>
      <c r="U280" s="401">
        <f t="shared" ref="U280:U282" si="826">0.006165*F280^2</f>
        <v>1.041885</v>
      </c>
      <c r="V280" s="399"/>
      <c r="W280" s="399"/>
      <c r="X280" s="399" t="s">
        <v>125</v>
      </c>
      <c r="Y280" s="389">
        <f t="shared" ref="Y280" si="827">D271</f>
        <v>1</v>
      </c>
      <c r="Z280" s="400" t="s">
        <v>176</v>
      </c>
      <c r="AA280" s="402">
        <f t="shared" ref="AA280" si="828">IF(AA283=0,(D280*N280+P280*R280)*U280*Y280,0)</f>
        <v>0</v>
      </c>
      <c r="AB280" s="403"/>
    </row>
    <row r="281" spans="1:28">
      <c r="A281" s="384" t="str">
        <f t="shared" ref="A281:B281" si="829">A265</f>
        <v>Lantai 1</v>
      </c>
      <c r="B281" s="385">
        <f t="shared" si="829"/>
        <v>9</v>
      </c>
      <c r="C281" s="393" t="s">
        <v>210</v>
      </c>
      <c r="D281" s="398">
        <f>VLOOKUP(D265,'Detail Balok'!$C$10:$AU$140,25,FALSE)</f>
        <v>2</v>
      </c>
      <c r="E281" s="388" t="s">
        <v>16</v>
      </c>
      <c r="F281" s="388">
        <f>VLOOKUP(D265,'Detail Balok'!$C$10:$AU$140,27,FALSE)</f>
        <v>13</v>
      </c>
      <c r="G281" s="388"/>
      <c r="H281" s="395"/>
      <c r="I281" s="388" t="s">
        <v>203</v>
      </c>
      <c r="J281" s="399">
        <f t="shared" si="628"/>
        <v>2.5</v>
      </c>
      <c r="K281" s="400" t="s">
        <v>204</v>
      </c>
      <c r="L281" s="399"/>
      <c r="M281" s="399" t="s">
        <v>176</v>
      </c>
      <c r="N281" s="399">
        <f t="shared" si="823"/>
        <v>2.5</v>
      </c>
      <c r="O281" s="399" t="s">
        <v>204</v>
      </c>
      <c r="P281" s="389">
        <f t="shared" ref="P281" si="830">MAX(D281-D280,D281-D282)</f>
        <v>0</v>
      </c>
      <c r="Q281" s="399" t="s">
        <v>125</v>
      </c>
      <c r="R281" s="399">
        <f t="shared" ref="R281" si="831">IF(P281&gt;0,2*(1-2*$F$19-1/2)*D268/1000,0)</f>
        <v>0</v>
      </c>
      <c r="S281" s="399" t="s">
        <v>205</v>
      </c>
      <c r="T281" s="399" t="s">
        <v>125</v>
      </c>
      <c r="U281" s="401">
        <f t="shared" si="826"/>
        <v>1.041885</v>
      </c>
      <c r="V281" s="399"/>
      <c r="W281" s="399"/>
      <c r="X281" s="399" t="s">
        <v>125</v>
      </c>
      <c r="Y281" s="389">
        <f t="shared" ref="Y281" si="832">D271</f>
        <v>1</v>
      </c>
      <c r="Z281" s="400" t="s">
        <v>176</v>
      </c>
      <c r="AA281" s="402">
        <f t="shared" ref="AA281" si="833">IF(AA283=0,(D281*N281+P281*R281)*U281*Y281,0)</f>
        <v>0</v>
      </c>
      <c r="AB281" s="403"/>
    </row>
    <row r="282" spans="1:28">
      <c r="A282" s="384" t="str">
        <f t="shared" ref="A282:B282" si="834">A265</f>
        <v>Lantai 1</v>
      </c>
      <c r="B282" s="385">
        <f t="shared" si="834"/>
        <v>9</v>
      </c>
      <c r="C282" s="393" t="s">
        <v>209</v>
      </c>
      <c r="D282" s="398">
        <f>VLOOKUP(D265,'Detail Balok'!$C$10:$AU$140,28,FALSE)</f>
        <v>2</v>
      </c>
      <c r="E282" s="388" t="s">
        <v>16</v>
      </c>
      <c r="F282" s="388">
        <f>VLOOKUP(D265,'Detail Balok'!$C$10:$AU$140,30,FALSE)</f>
        <v>13</v>
      </c>
      <c r="G282" s="388"/>
      <c r="H282" s="395"/>
      <c r="I282" s="388" t="s">
        <v>203</v>
      </c>
      <c r="J282" s="399">
        <f t="shared" si="628"/>
        <v>1.25</v>
      </c>
      <c r="K282" s="400" t="s">
        <v>204</v>
      </c>
      <c r="L282" s="399">
        <f t="shared" ref="L282" si="835">MAX(VLOOKUP(F282,N$6:P$15,3,FALSE)/1000,2/3*D270/1000)+F$16*F282/1000</f>
        <v>0.156</v>
      </c>
      <c r="M282" s="399" t="s">
        <v>176</v>
      </c>
      <c r="N282" s="399">
        <f t="shared" si="823"/>
        <v>1.4059999999999999</v>
      </c>
      <c r="O282" s="399" t="s">
        <v>204</v>
      </c>
      <c r="P282" s="389">
        <f t="shared" ref="P282" si="836">D282-D281</f>
        <v>0</v>
      </c>
      <c r="Q282" s="399" t="s">
        <v>125</v>
      </c>
      <c r="R282" s="399">
        <f t="shared" ref="R282" si="837">IF(P282&gt;0,$F$18*F282/1000,0)</f>
        <v>0</v>
      </c>
      <c r="S282" s="399" t="s">
        <v>205</v>
      </c>
      <c r="T282" s="399" t="s">
        <v>125</v>
      </c>
      <c r="U282" s="401">
        <f t="shared" si="826"/>
        <v>1.041885</v>
      </c>
      <c r="V282" s="399"/>
      <c r="W282" s="399"/>
      <c r="X282" s="399" t="s">
        <v>125</v>
      </c>
      <c r="Y282" s="389">
        <f t="shared" ref="Y282" si="838">D271</f>
        <v>1</v>
      </c>
      <c r="Z282" s="400" t="s">
        <v>176</v>
      </c>
      <c r="AA282" s="402">
        <f t="shared" ref="AA282" si="839">IF(AA283=0,(D282*N282+P282*R282)*U282*Y282,0)</f>
        <v>0</v>
      </c>
      <c r="AB282" s="403"/>
    </row>
    <row r="283" spans="1:28">
      <c r="A283" s="384" t="str">
        <f t="shared" ref="A283:B283" si="840">A265</f>
        <v>Lantai 1</v>
      </c>
      <c r="B283" s="385">
        <f t="shared" si="840"/>
        <v>9</v>
      </c>
      <c r="C283" s="393"/>
      <c r="D283" s="398">
        <f t="shared" si="648"/>
        <v>2</v>
      </c>
      <c r="E283" s="388" t="s">
        <v>16</v>
      </c>
      <c r="F283" s="388">
        <f t="shared" si="649"/>
        <v>13</v>
      </c>
      <c r="G283" s="388"/>
      <c r="H283" s="395"/>
      <c r="I283" s="388"/>
      <c r="J283" s="396"/>
      <c r="K283" s="396"/>
      <c r="L283" s="404" t="s">
        <v>207</v>
      </c>
      <c r="M283" s="399" t="s">
        <v>176</v>
      </c>
      <c r="N283" s="399">
        <f t="shared" ref="N283" si="841">IF(AND(D280=D281,D280=D282,D281=D282,F280=F281,F280=F282,F281=F282),SUM(N280:N282),0)</f>
        <v>5.3119999999999994</v>
      </c>
      <c r="O283" s="399" t="s">
        <v>204</v>
      </c>
      <c r="P283" s="389">
        <f t="shared" ref="P283" si="842">IF(N283&gt;12,ROUNDDOWN(N283/12,0),0)</f>
        <v>0</v>
      </c>
      <c r="Q283" s="399" t="s">
        <v>125</v>
      </c>
      <c r="R283" s="399">
        <f t="shared" ref="R283" si="843">IF(P283&gt;0,MAX(VLOOKUP(F283,$D$6:$G$15,3,FALSE),600),0)/1000</f>
        <v>0</v>
      </c>
      <c r="S283" s="396"/>
      <c r="T283" s="396" t="s">
        <v>125</v>
      </c>
      <c r="U283" s="401">
        <f t="shared" si="653"/>
        <v>1.041885</v>
      </c>
      <c r="V283" s="396" t="s">
        <v>125</v>
      </c>
      <c r="W283" s="399">
        <f t="shared" ref="W283" si="844">D283</f>
        <v>2</v>
      </c>
      <c r="X283" s="399" t="s">
        <v>125</v>
      </c>
      <c r="Y283" s="389">
        <f t="shared" si="655"/>
        <v>1</v>
      </c>
      <c r="Z283" s="400" t="s">
        <v>176</v>
      </c>
      <c r="AA283" s="402">
        <f t="shared" ref="AA283" si="845">(N283+P283*R283/1000)*U283*W283*Y283</f>
        <v>11.068986239999997</v>
      </c>
      <c r="AB283" s="403"/>
    </row>
    <row r="284" spans="1:28">
      <c r="A284" s="384"/>
      <c r="B284" s="385"/>
      <c r="C284" s="393"/>
      <c r="D284" s="394"/>
      <c r="E284" s="388"/>
      <c r="F284" s="388"/>
      <c r="G284" s="388"/>
      <c r="H284" s="395"/>
      <c r="I284" s="388"/>
      <c r="J284" s="399"/>
      <c r="K284" s="396"/>
      <c r="L284" s="396"/>
      <c r="M284" s="396"/>
      <c r="N284" s="396"/>
      <c r="O284" s="396"/>
      <c r="P284" s="389"/>
      <c r="Q284" s="396"/>
      <c r="R284" s="396"/>
      <c r="S284" s="396"/>
      <c r="T284" s="396"/>
      <c r="U284" s="401"/>
      <c r="V284" s="396"/>
      <c r="W284" s="388"/>
      <c r="X284" s="396"/>
      <c r="Y284" s="389"/>
      <c r="Z284" s="396"/>
      <c r="AA284" s="388"/>
      <c r="AB284" s="390"/>
    </row>
    <row r="285" spans="1:28">
      <c r="A285" s="384" t="str">
        <f t="shared" ref="A285:B285" si="846">A265</f>
        <v>Lantai 1</v>
      </c>
      <c r="B285" s="385">
        <f t="shared" si="846"/>
        <v>9</v>
      </c>
      <c r="C285" s="393" t="s">
        <v>211</v>
      </c>
      <c r="D285" s="398">
        <f>VLOOKUP(D265,'Detail Balok'!$C$10:$AU$140,31,FALSE)</f>
        <v>0</v>
      </c>
      <c r="E285" s="388" t="s">
        <v>16</v>
      </c>
      <c r="F285" s="388">
        <f>VLOOKUP(D265,'Detail Balok'!$C$10:$AU$140,33,FALSE)</f>
        <v>8</v>
      </c>
      <c r="G285" s="405" t="s">
        <v>157</v>
      </c>
      <c r="H285" s="395">
        <f>VLOOKUP(D265,'Detail Balok'!$C$10:$AU$140,35,FALSE)</f>
        <v>150</v>
      </c>
      <c r="I285" s="388"/>
      <c r="J285" s="400">
        <f t="shared" ref="J285" si="847">(IF(D285=0,(2*(D266+G266))-(F$5*8),IF(D285=3,(2*(D266+G266))-(F$5*8)+(G266-2*F$5),IF(D285=4,(2*(D266+G266))-(F$5*8)+2*(G266-2*F$5)))))/1000</f>
        <v>0.68</v>
      </c>
      <c r="K285" s="400" t="s">
        <v>204</v>
      </c>
      <c r="L285" s="399">
        <f t="shared" ref="L285:L287" si="848">IF(D285=0,2*MAX(6*F285,75),(D285-1)*2*MAX(6*F285,75))/1000</f>
        <v>0.15</v>
      </c>
      <c r="M285" s="399" t="s">
        <v>176</v>
      </c>
      <c r="N285" s="399">
        <f t="shared" ref="N285:N287" si="849">J285+L285</f>
        <v>0.83000000000000007</v>
      </c>
      <c r="O285" s="399"/>
      <c r="P285" s="389"/>
      <c r="Q285" s="399"/>
      <c r="R285" s="399"/>
      <c r="S285" s="399"/>
      <c r="T285" s="399" t="s">
        <v>125</v>
      </c>
      <c r="U285" s="401">
        <f t="shared" ref="U285:U287" si="850">0.006165*F285^2</f>
        <v>0.39456000000000002</v>
      </c>
      <c r="V285" s="399" t="s">
        <v>125</v>
      </c>
      <c r="W285" s="399">
        <f t="shared" ref="W285" si="851">IF(D268&gt;4*G266,ROUND(MAX(D268/4,2*G266)/H285,0)+1,ROUND(D268/H285,0)+1)</f>
        <v>9</v>
      </c>
      <c r="X285" s="399" t="s">
        <v>125</v>
      </c>
      <c r="Y285" s="389">
        <f t="shared" ref="Y285" si="852">D271</f>
        <v>1</v>
      </c>
      <c r="Z285" s="400" t="s">
        <v>176</v>
      </c>
      <c r="AA285" s="402">
        <f t="shared" ref="AA285:AA287" si="853">N285*U285*W285*Y285</f>
        <v>2.9473632000000003</v>
      </c>
      <c r="AB285" s="403"/>
    </row>
    <row r="286" spans="1:28">
      <c r="A286" s="384" t="str">
        <f t="shared" ref="A286:B286" si="854">A265</f>
        <v>Lantai 1</v>
      </c>
      <c r="B286" s="385">
        <f t="shared" si="854"/>
        <v>9</v>
      </c>
      <c r="C286" s="393" t="s">
        <v>212</v>
      </c>
      <c r="D286" s="398">
        <f>VLOOKUP(D265,'Detail Balok'!$C$10:$AU$140,36,FALSE)</f>
        <v>0</v>
      </c>
      <c r="E286" s="388" t="s">
        <v>16</v>
      </c>
      <c r="F286" s="388">
        <f>VLOOKUP(D265,'Detail Balok'!$C$10:$AU$140,38,FALSE)</f>
        <v>8</v>
      </c>
      <c r="G286" s="405" t="s">
        <v>157</v>
      </c>
      <c r="H286" s="395">
        <f>VLOOKUP(D265,'Detail Balok'!$C$10:$AU$140,40,FALSE)</f>
        <v>150</v>
      </c>
      <c r="I286" s="388"/>
      <c r="J286" s="400">
        <f t="shared" ref="J286" si="855">(IF(D286=0,(2*(D266+G266))-(F$5*8),IF(D286=3,(2*(D266+G266))-(F$5*8)+(G266-2*F$5),IF(D286=4,(2*(D266+G266))-(F$5*8)+2*(G266-2*F$5)))))/1000</f>
        <v>0.68</v>
      </c>
      <c r="K286" s="400" t="s">
        <v>204</v>
      </c>
      <c r="L286" s="399">
        <f t="shared" si="848"/>
        <v>0.15</v>
      </c>
      <c r="M286" s="399" t="s">
        <v>176</v>
      </c>
      <c r="N286" s="399">
        <f t="shared" si="849"/>
        <v>0.83000000000000007</v>
      </c>
      <c r="O286" s="399"/>
      <c r="P286" s="389"/>
      <c r="Q286" s="399"/>
      <c r="R286" s="399"/>
      <c r="S286" s="399"/>
      <c r="T286" s="399" t="s">
        <v>125</v>
      </c>
      <c r="U286" s="401">
        <f t="shared" si="850"/>
        <v>0.39456000000000002</v>
      </c>
      <c r="V286" s="399" t="s">
        <v>125</v>
      </c>
      <c r="W286" s="399">
        <f t="shared" ref="W286" si="856">IF(D268-MAX(D268/4,2*G266)*2&gt;0,ROUND((D268-MAX(D268/4,2*G266)*2)/H286,0),0)</f>
        <v>17</v>
      </c>
      <c r="X286" s="399" t="s">
        <v>125</v>
      </c>
      <c r="Y286" s="389">
        <f t="shared" ref="Y286" si="857">D271</f>
        <v>1</v>
      </c>
      <c r="Z286" s="400" t="s">
        <v>176</v>
      </c>
      <c r="AA286" s="402">
        <f t="shared" si="853"/>
        <v>5.5672416</v>
      </c>
      <c r="AB286" s="403"/>
    </row>
    <row r="287" spans="1:28">
      <c r="A287" s="384" t="str">
        <f t="shared" ref="A287:B287" si="858">A265</f>
        <v>Lantai 1</v>
      </c>
      <c r="B287" s="385">
        <f t="shared" si="858"/>
        <v>9</v>
      </c>
      <c r="C287" s="393" t="s">
        <v>211</v>
      </c>
      <c r="D287" s="398">
        <f>VLOOKUP(D265,'Detail Balok'!$C$10:$AU$140,41,FALSE)</f>
        <v>0</v>
      </c>
      <c r="E287" s="388" t="s">
        <v>16</v>
      </c>
      <c r="F287" s="388">
        <f>VLOOKUP(D265,'Detail Balok'!$C$10:$AU$140,43,FALSE)</f>
        <v>8</v>
      </c>
      <c r="G287" s="405" t="s">
        <v>157</v>
      </c>
      <c r="H287" s="395">
        <f>VLOOKUP(D265,'Detail Balok'!$C$10:$AU$140,45,FALSE)</f>
        <v>150</v>
      </c>
      <c r="I287" s="388"/>
      <c r="J287" s="400">
        <f t="shared" ref="J287" si="859">(IF(D287=0,(2*(D266+G266))-(F$5*8),IF(D287=3,(2*(D266+G266))-(F$5*8)+(G266-2*F$5),IF(D287=4,(2*(D266+G266))-(F$5*8)+2*(G266-2*F$5)))))/1000</f>
        <v>0.68</v>
      </c>
      <c r="K287" s="400" t="s">
        <v>204</v>
      </c>
      <c r="L287" s="399">
        <f t="shared" si="848"/>
        <v>0.15</v>
      </c>
      <c r="M287" s="399" t="s">
        <v>176</v>
      </c>
      <c r="N287" s="399">
        <f t="shared" si="849"/>
        <v>0.83000000000000007</v>
      </c>
      <c r="O287" s="399"/>
      <c r="P287" s="389"/>
      <c r="Q287" s="399"/>
      <c r="R287" s="399"/>
      <c r="S287" s="399"/>
      <c r="T287" s="399" t="s">
        <v>125</v>
      </c>
      <c r="U287" s="401">
        <f t="shared" si="850"/>
        <v>0.39456000000000002</v>
      </c>
      <c r="V287" s="399" t="s">
        <v>125</v>
      </c>
      <c r="W287" s="399">
        <f t="shared" ref="W287" si="860">IF(D268&gt;4*G266,ROUND(MAX(D268/4,2*G266)/H287,0)+1,0)</f>
        <v>9</v>
      </c>
      <c r="X287" s="399" t="s">
        <v>125</v>
      </c>
      <c r="Y287" s="389">
        <f t="shared" ref="Y287" si="861">D271</f>
        <v>1</v>
      </c>
      <c r="Z287" s="400" t="s">
        <v>176</v>
      </c>
      <c r="AA287" s="402">
        <f t="shared" si="853"/>
        <v>2.9473632000000003</v>
      </c>
      <c r="AB287" s="403"/>
    </row>
    <row r="288" spans="1:28">
      <c r="A288" s="384"/>
      <c r="B288" s="385"/>
      <c r="C288" s="393"/>
      <c r="D288" s="394"/>
      <c r="E288" s="388"/>
      <c r="F288" s="388"/>
      <c r="G288" s="388"/>
      <c r="H288" s="395"/>
      <c r="I288" s="388"/>
      <c r="J288" s="399"/>
      <c r="K288" s="396"/>
      <c r="L288" s="396"/>
      <c r="M288" s="396"/>
      <c r="N288" s="396"/>
      <c r="O288" s="396"/>
      <c r="P288" s="389"/>
      <c r="Q288" s="396"/>
      <c r="R288" s="396"/>
      <c r="S288" s="396"/>
      <c r="T288" s="396"/>
      <c r="U288" s="401"/>
      <c r="V288" s="396"/>
      <c r="W288" s="388"/>
      <c r="X288" s="396"/>
      <c r="Y288" s="389"/>
      <c r="Z288" s="396"/>
      <c r="AA288" s="388"/>
      <c r="AB288" s="390"/>
    </row>
    <row r="289" spans="1:28">
      <c r="A289" s="384" t="str">
        <f t="shared" ref="A289:B289" si="862">A265</f>
        <v>Lantai 1</v>
      </c>
      <c r="B289" s="385">
        <f t="shared" si="862"/>
        <v>9</v>
      </c>
      <c r="C289" s="393" t="s">
        <v>213</v>
      </c>
      <c r="D289" s="398">
        <f>VLOOKUP(D265,'Detail Balok'!$C$10:$BJ$140,46,FALSE)</f>
        <v>0</v>
      </c>
      <c r="E289" s="388" t="s">
        <v>16</v>
      </c>
      <c r="F289" s="388">
        <f>VLOOKUP(D265,'Detail Balok'!$C$10:$BJ$140,48,FALSE)</f>
        <v>0</v>
      </c>
      <c r="G289" s="405" t="s">
        <v>157</v>
      </c>
      <c r="H289" s="395">
        <f>VLOOKUP(D265,'Detail Balok'!$C$10:$BJ$140,50,FALSE)</f>
        <v>100</v>
      </c>
      <c r="I289" s="388"/>
      <c r="J289" s="399">
        <f t="shared" ref="J289" si="863">(D266-2*F$5)/1000</f>
        <v>0.12</v>
      </c>
      <c r="K289" s="400" t="s">
        <v>204</v>
      </c>
      <c r="L289" s="399">
        <f t="shared" ref="L289:L291" si="864">IF(D289=0,2*MAX(6*F289,75),(D289-1)*2*MAX(6*F289,75))/1000</f>
        <v>0.15</v>
      </c>
      <c r="M289" s="399" t="s">
        <v>176</v>
      </c>
      <c r="N289" s="399">
        <f t="shared" ref="N289:N291" si="865">J289+L289</f>
        <v>0.27</v>
      </c>
      <c r="O289" s="399"/>
      <c r="P289" s="399"/>
      <c r="Q289" s="399"/>
      <c r="R289" s="399"/>
      <c r="S289" s="399"/>
      <c r="T289" s="399" t="s">
        <v>125</v>
      </c>
      <c r="U289" s="401">
        <f t="shared" ref="U289:U291" si="866">0.006165*F289^2</f>
        <v>0</v>
      </c>
      <c r="V289" s="399" t="s">
        <v>125</v>
      </c>
      <c r="W289" s="399">
        <f t="shared" si="678"/>
        <v>9</v>
      </c>
      <c r="X289" s="399" t="s">
        <v>125</v>
      </c>
      <c r="Y289" s="389">
        <f t="shared" ref="Y289" si="867">D275</f>
        <v>2</v>
      </c>
      <c r="Z289" s="400" t="s">
        <v>176</v>
      </c>
      <c r="AA289" s="402">
        <f t="shared" ref="AA289:AA291" si="868">N289*U289*W289*Y289</f>
        <v>0</v>
      </c>
      <c r="AB289" s="403"/>
    </row>
    <row r="290" spans="1:28">
      <c r="A290" s="384" t="str">
        <f t="shared" ref="A290:B290" si="869">A265</f>
        <v>Lantai 1</v>
      </c>
      <c r="B290" s="385">
        <f t="shared" si="869"/>
        <v>9</v>
      </c>
      <c r="C290" s="393" t="s">
        <v>214</v>
      </c>
      <c r="D290" s="398">
        <f>VLOOKUP(D265,'Detail Balok'!$C$10:$BJ$140,51,FALSE)</f>
        <v>0</v>
      </c>
      <c r="E290" s="388" t="s">
        <v>16</v>
      </c>
      <c r="F290" s="388">
        <f>VLOOKUP(D265,'Detail Balok'!$C$10:$BJ$140,53,FALSE)</f>
        <v>0</v>
      </c>
      <c r="G290" s="405" t="s">
        <v>157</v>
      </c>
      <c r="H290" s="395">
        <f>VLOOKUP(D265,'Detail Balok'!$C$10:$BJ$140,55,FALSE)</f>
        <v>100</v>
      </c>
      <c r="I290" s="388"/>
      <c r="J290" s="399">
        <f t="shared" ref="J290" si="870">(D266-2*F$5)/1000</f>
        <v>0.12</v>
      </c>
      <c r="K290" s="400" t="s">
        <v>204</v>
      </c>
      <c r="L290" s="399">
        <f t="shared" si="864"/>
        <v>0.15</v>
      </c>
      <c r="M290" s="399" t="s">
        <v>176</v>
      </c>
      <c r="N290" s="399">
        <f t="shared" si="865"/>
        <v>0.27</v>
      </c>
      <c r="O290" s="399"/>
      <c r="P290" s="399"/>
      <c r="Q290" s="399"/>
      <c r="R290" s="399"/>
      <c r="S290" s="399"/>
      <c r="T290" s="399" t="s">
        <v>125</v>
      </c>
      <c r="U290" s="401">
        <f t="shared" si="866"/>
        <v>0</v>
      </c>
      <c r="V290" s="399" t="s">
        <v>125</v>
      </c>
      <c r="W290" s="399">
        <f t="shared" si="678"/>
        <v>17</v>
      </c>
      <c r="X290" s="399" t="s">
        <v>125</v>
      </c>
      <c r="Y290" s="389">
        <f t="shared" ref="Y290" si="871">D275</f>
        <v>2</v>
      </c>
      <c r="Z290" s="400" t="s">
        <v>176</v>
      </c>
      <c r="AA290" s="402">
        <f t="shared" si="868"/>
        <v>0</v>
      </c>
      <c r="AB290" s="403"/>
    </row>
    <row r="291" spans="1:28">
      <c r="A291" s="384" t="str">
        <f t="shared" ref="A291:B291" si="872">A265</f>
        <v>Lantai 1</v>
      </c>
      <c r="B291" s="385">
        <f t="shared" si="872"/>
        <v>9</v>
      </c>
      <c r="C291" s="393" t="s">
        <v>213</v>
      </c>
      <c r="D291" s="398">
        <f>VLOOKUP(D265,'Detail Balok'!$C$10:$BJ$140,56,FALSE)</f>
        <v>0</v>
      </c>
      <c r="E291" s="388" t="s">
        <v>16</v>
      </c>
      <c r="F291" s="388">
        <f>VLOOKUP(D265,'Detail Balok'!$C$10:$BJ$140,58,FALSE)</f>
        <v>0</v>
      </c>
      <c r="G291" s="405" t="s">
        <v>157</v>
      </c>
      <c r="H291" s="395">
        <f>VLOOKUP(D265,'Detail Balok'!$C$10:$BJ$140,60,FALSE)</f>
        <v>100</v>
      </c>
      <c r="I291" s="388"/>
      <c r="J291" s="399">
        <f t="shared" ref="J291" si="873">(D266-2*F$5)/1000</f>
        <v>0.12</v>
      </c>
      <c r="K291" s="400" t="s">
        <v>204</v>
      </c>
      <c r="L291" s="399">
        <f t="shared" si="864"/>
        <v>0.15</v>
      </c>
      <c r="M291" s="399" t="s">
        <v>176</v>
      </c>
      <c r="N291" s="399">
        <f t="shared" si="865"/>
        <v>0.27</v>
      </c>
      <c r="O291" s="399"/>
      <c r="P291" s="399"/>
      <c r="Q291" s="399"/>
      <c r="R291" s="399"/>
      <c r="S291" s="399"/>
      <c r="T291" s="399" t="s">
        <v>125</v>
      </c>
      <c r="U291" s="401">
        <f t="shared" si="866"/>
        <v>0</v>
      </c>
      <c r="V291" s="399" t="s">
        <v>125</v>
      </c>
      <c r="W291" s="399">
        <f t="shared" si="678"/>
        <v>9</v>
      </c>
      <c r="X291" s="399" t="s">
        <v>125</v>
      </c>
      <c r="Y291" s="389">
        <f t="shared" ref="Y291" si="874">D275</f>
        <v>2</v>
      </c>
      <c r="Z291" s="400" t="s">
        <v>176</v>
      </c>
      <c r="AA291" s="402">
        <f t="shared" si="868"/>
        <v>0</v>
      </c>
      <c r="AB291" s="403"/>
    </row>
    <row r="292" spans="1:28">
      <c r="A292" s="391"/>
      <c r="B292" s="392"/>
      <c r="C292" s="392"/>
      <c r="D292" s="394"/>
      <c r="E292" s="388"/>
      <c r="F292" s="388"/>
      <c r="G292" s="388"/>
      <c r="H292" s="395"/>
      <c r="I292" s="388"/>
      <c r="J292" s="402"/>
      <c r="K292" s="388"/>
      <c r="L292" s="388"/>
      <c r="M292" s="388"/>
      <c r="N292" s="388"/>
      <c r="O292" s="388"/>
      <c r="P292" s="388"/>
      <c r="Q292" s="388"/>
      <c r="R292" s="388"/>
      <c r="S292" s="388"/>
      <c r="T292" s="388"/>
      <c r="U292" s="388"/>
      <c r="V292" s="388"/>
      <c r="W292" s="388"/>
      <c r="X292" s="388"/>
      <c r="Y292" s="389"/>
      <c r="Z292" s="388"/>
      <c r="AA292" s="402"/>
      <c r="AB292" s="403"/>
    </row>
    <row r="293" spans="1:28" ht="15.75" thickBot="1">
      <c r="A293" s="406"/>
      <c r="B293" s="407"/>
      <c r="C293" s="407"/>
      <c r="D293" s="408"/>
      <c r="E293" s="409"/>
      <c r="F293" s="409"/>
      <c r="G293" s="409"/>
      <c r="H293" s="410"/>
      <c r="I293" s="409"/>
      <c r="J293" s="409"/>
      <c r="K293" s="409"/>
      <c r="L293" s="409"/>
      <c r="M293" s="409"/>
      <c r="N293" s="409"/>
      <c r="O293" s="409"/>
      <c r="P293" s="409"/>
      <c r="Q293" s="409"/>
      <c r="R293" s="409"/>
      <c r="S293" s="409"/>
      <c r="T293" s="409"/>
      <c r="U293" s="409"/>
      <c r="V293" s="409"/>
      <c r="W293" s="409"/>
      <c r="X293" s="409"/>
      <c r="Y293" s="411"/>
      <c r="Z293" s="409"/>
      <c r="AA293" s="412"/>
      <c r="AB293" s="413"/>
    </row>
    <row r="294" spans="1:28">
      <c r="A294" s="377"/>
      <c r="B294" s="378"/>
      <c r="C294" s="378"/>
      <c r="D294" s="379"/>
      <c r="E294" s="380"/>
      <c r="F294" s="380"/>
      <c r="G294" s="380"/>
      <c r="H294" s="381"/>
      <c r="I294" s="380"/>
      <c r="J294" s="380"/>
      <c r="K294" s="380"/>
      <c r="L294" s="380"/>
      <c r="M294" s="380"/>
      <c r="N294" s="380"/>
      <c r="O294" s="380"/>
      <c r="P294" s="380"/>
      <c r="Q294" s="380"/>
      <c r="R294" s="380"/>
      <c r="S294" s="380"/>
      <c r="T294" s="380"/>
      <c r="U294" s="380"/>
      <c r="V294" s="380"/>
      <c r="W294" s="380"/>
      <c r="X294" s="380"/>
      <c r="Y294" s="382"/>
      <c r="Z294" s="380"/>
      <c r="AA294" s="380"/>
      <c r="AB294" s="383"/>
    </row>
    <row r="295" spans="1:28">
      <c r="A295" s="384" t="str">
        <f t="shared" si="687"/>
        <v>Lantai 1</v>
      </c>
      <c r="B295" s="385">
        <f t="shared" si="688"/>
        <v>10</v>
      </c>
      <c r="C295" s="386" t="str">
        <f t="shared" ref="C295" si="875">CONCATENATE(A295," no. ",B295)</f>
        <v>Lantai 1 no. 10</v>
      </c>
      <c r="D295" s="2562" t="str">
        <f>VLOOKUP(C295,'Data Panjang Balok'!$C$9:$N$254,2,FALSE)</f>
        <v>S36-1</v>
      </c>
      <c r="E295" s="2576"/>
      <c r="F295" s="2576"/>
      <c r="G295" s="2576"/>
      <c r="H295" s="2577"/>
      <c r="I295" s="387"/>
      <c r="J295" s="388"/>
      <c r="K295" s="388"/>
      <c r="L295" s="388"/>
      <c r="M295" s="388"/>
      <c r="N295" s="388"/>
      <c r="O295" s="388"/>
      <c r="P295" s="388"/>
      <c r="Q295" s="388"/>
      <c r="R295" s="388"/>
      <c r="S295" s="388"/>
      <c r="T295" s="388"/>
      <c r="U295" s="388"/>
      <c r="V295" s="388"/>
      <c r="W295" s="388"/>
      <c r="X295" s="388"/>
      <c r="Y295" s="389"/>
      <c r="Z295" s="388"/>
      <c r="AA295" s="388"/>
      <c r="AB295" s="390"/>
    </row>
    <row r="296" spans="1:28">
      <c r="A296" s="391"/>
      <c r="B296" s="392"/>
      <c r="C296" s="393" t="s">
        <v>118</v>
      </c>
      <c r="D296" s="2578">
        <f>VLOOKUP(D295,'Detail Balok'!$C$10:$AU$140,2,FALSE)</f>
        <v>300</v>
      </c>
      <c r="E296" s="2579"/>
      <c r="F296" s="388" t="s">
        <v>125</v>
      </c>
      <c r="G296" s="2579">
        <f>VLOOKUP(D295,'Detail Balok'!$C$10:$AU$140,3,FALSE)</f>
        <v>600</v>
      </c>
      <c r="H296" s="2580"/>
      <c r="I296" s="388"/>
      <c r="J296" s="396"/>
      <c r="K296" s="396"/>
      <c r="L296" s="396"/>
      <c r="M296" s="396"/>
      <c r="N296" s="396"/>
      <c r="O296" s="396"/>
      <c r="P296" s="396"/>
      <c r="Q296" s="396"/>
      <c r="R296" s="396"/>
      <c r="S296" s="396"/>
      <c r="T296" s="396"/>
      <c r="U296" s="388"/>
      <c r="V296" s="396"/>
      <c r="W296" s="388"/>
      <c r="X296" s="396"/>
      <c r="Y296" s="389"/>
      <c r="Z296" s="396"/>
      <c r="AA296" s="388"/>
      <c r="AB296" s="390"/>
    </row>
    <row r="297" spans="1:28">
      <c r="A297" s="391"/>
      <c r="B297" s="392"/>
      <c r="C297" s="393" t="s">
        <v>198</v>
      </c>
      <c r="D297" s="2562">
        <f>VLOOKUP(C295,'Data Panjang Balok'!$C$9:$N$254,4,FALSE)</f>
        <v>5000</v>
      </c>
      <c r="E297" s="2563"/>
      <c r="F297" s="2563"/>
      <c r="G297" s="2563"/>
      <c r="H297" s="2564"/>
      <c r="I297" s="397"/>
      <c r="J297" s="396"/>
      <c r="K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88"/>
      <c r="V297" s="396"/>
      <c r="W297" s="388"/>
      <c r="X297" s="396"/>
      <c r="Y297" s="389"/>
      <c r="Z297" s="396"/>
      <c r="AA297" s="388"/>
      <c r="AB297" s="390"/>
    </row>
    <row r="298" spans="1:28">
      <c r="A298" s="391"/>
      <c r="B298" s="392"/>
      <c r="C298" s="393" t="s">
        <v>199</v>
      </c>
      <c r="D298" s="2562">
        <f>VLOOKUP(C295,'Data Panjang Balok'!$C$9:$N$254,7,FALSE)</f>
        <v>5000</v>
      </c>
      <c r="E298" s="2563"/>
      <c r="F298" s="2563"/>
      <c r="G298" s="2563"/>
      <c r="H298" s="2564"/>
      <c r="I298" s="397"/>
      <c r="J298" s="396"/>
      <c r="K298" s="396"/>
      <c r="L298" s="396"/>
      <c r="M298" s="396"/>
      <c r="N298" s="396"/>
      <c r="O298" s="396"/>
      <c r="P298" s="396"/>
      <c r="Q298" s="396"/>
      <c r="R298" s="396"/>
      <c r="S298" s="396"/>
      <c r="T298" s="396"/>
      <c r="U298" s="388"/>
      <c r="V298" s="396"/>
      <c r="W298" s="388"/>
      <c r="X298" s="396"/>
      <c r="Y298" s="389"/>
      <c r="Z298" s="396"/>
      <c r="AA298" s="388"/>
      <c r="AB298" s="390"/>
    </row>
    <row r="299" spans="1:28">
      <c r="A299" s="391"/>
      <c r="B299" s="392"/>
      <c r="C299" s="393" t="s">
        <v>200</v>
      </c>
      <c r="D299" s="2562">
        <f>VLOOKUP(C295,'Data Panjang Balok'!$C$9:$N$254,9,FALSE)</f>
        <v>0</v>
      </c>
      <c r="E299" s="2563"/>
      <c r="F299" s="2563"/>
      <c r="G299" s="2563"/>
      <c r="H299" s="2564"/>
      <c r="I299" s="397"/>
      <c r="J299" s="396"/>
      <c r="K299" s="396"/>
      <c r="L299" s="396"/>
      <c r="M299" s="396"/>
      <c r="N299" s="396"/>
      <c r="O299" s="396"/>
      <c r="P299" s="396"/>
      <c r="Q299" s="396"/>
      <c r="R299" s="396"/>
      <c r="S299" s="396"/>
      <c r="T299" s="396"/>
      <c r="U299" s="388"/>
      <c r="V299" s="396"/>
      <c r="W299" s="388"/>
      <c r="X299" s="396"/>
      <c r="Y299" s="389"/>
      <c r="Z299" s="396"/>
      <c r="AA299" s="388"/>
      <c r="AB299" s="390"/>
    </row>
    <row r="300" spans="1:28">
      <c r="A300" s="391"/>
      <c r="B300" s="392"/>
      <c r="C300" s="393" t="s">
        <v>201</v>
      </c>
      <c r="D300" s="2562">
        <f>VLOOKUP(C295,'Data Panjang Balok'!$C$9:$N$254,10,FALSE)</f>
        <v>0</v>
      </c>
      <c r="E300" s="2563"/>
      <c r="F300" s="2563"/>
      <c r="G300" s="2563"/>
      <c r="H300" s="2564"/>
      <c r="I300" s="397"/>
      <c r="J300" s="396"/>
      <c r="K300" s="396"/>
      <c r="L300" s="396"/>
      <c r="M300" s="396"/>
      <c r="N300" s="396"/>
      <c r="O300" s="396"/>
      <c r="P300" s="396"/>
      <c r="Q300" s="396"/>
      <c r="R300" s="396"/>
      <c r="S300" s="396"/>
      <c r="T300" s="396"/>
      <c r="U300" s="388"/>
      <c r="V300" s="396"/>
      <c r="W300" s="388"/>
      <c r="X300" s="396"/>
      <c r="Y300" s="389"/>
      <c r="Z300" s="396"/>
      <c r="AA300" s="388"/>
      <c r="AB300" s="390"/>
    </row>
    <row r="301" spans="1:28">
      <c r="A301" s="391"/>
      <c r="B301" s="392"/>
      <c r="C301" s="393" t="s">
        <v>48</v>
      </c>
      <c r="D301" s="2562">
        <f>VLOOKUP(C295,'Data Panjang Balok'!$C$9:$N$254,3,FALSE)</f>
        <v>1</v>
      </c>
      <c r="E301" s="2563"/>
      <c r="F301" s="2563"/>
      <c r="G301" s="2563"/>
      <c r="H301" s="2564"/>
      <c r="I301" s="397"/>
      <c r="J301" s="396"/>
      <c r="K301" s="396"/>
      <c r="L301" s="396"/>
      <c r="M301" s="396"/>
      <c r="N301" s="396"/>
      <c r="O301" s="396"/>
      <c r="P301" s="396"/>
      <c r="Q301" s="396"/>
      <c r="R301" s="396"/>
      <c r="S301" s="396"/>
      <c r="T301" s="396"/>
      <c r="U301" s="388"/>
      <c r="V301" s="396"/>
      <c r="W301" s="388"/>
      <c r="X301" s="396"/>
      <c r="Y301" s="389"/>
      <c r="Z301" s="396"/>
      <c r="AA301" s="388"/>
      <c r="AB301" s="390"/>
    </row>
    <row r="302" spans="1:28">
      <c r="A302" s="384" t="str">
        <f t="shared" ref="A302:B302" si="876">A295</f>
        <v>Lantai 1</v>
      </c>
      <c r="B302" s="385">
        <f t="shared" si="876"/>
        <v>10</v>
      </c>
      <c r="C302" s="393" t="s">
        <v>202</v>
      </c>
      <c r="D302" s="398">
        <f>VLOOKUP(D295,'Detail Balok'!$C$10:$AU$140,4,FALSE)</f>
        <v>4</v>
      </c>
      <c r="E302" s="388" t="s">
        <v>16</v>
      </c>
      <c r="F302" s="388">
        <f>VLOOKUP(D295,'Detail Balok'!$C$10:$AU$140,6,FALSE)</f>
        <v>16</v>
      </c>
      <c r="G302" s="388"/>
      <c r="H302" s="395"/>
      <c r="I302" s="388" t="s">
        <v>203</v>
      </c>
      <c r="J302" s="399">
        <f t="shared" ref="J302" si="877">+D297/4/1000</f>
        <v>1.25</v>
      </c>
      <c r="K302" s="400" t="s">
        <v>204</v>
      </c>
      <c r="L302" s="399">
        <f t="shared" ref="L302" si="878">MAX(VLOOKUP(F302,N$6:P$15,3,FALSE)/1000,2/3*D299/1000)+F$16*F302/1000</f>
        <v>0.192</v>
      </c>
      <c r="M302" s="399" t="s">
        <v>176</v>
      </c>
      <c r="N302" s="399">
        <f t="shared" ref="N302:N304" si="879">J302+L302</f>
        <v>1.4419999999999999</v>
      </c>
      <c r="O302" s="399" t="s">
        <v>204</v>
      </c>
      <c r="P302" s="389">
        <f t="shared" ref="P302" si="880">D302-D303</f>
        <v>0</v>
      </c>
      <c r="Q302" s="399" t="s">
        <v>125</v>
      </c>
      <c r="R302" s="399">
        <f t="shared" ref="R302" si="881">IF(P302&gt;0,$F$18*F302/1000,0)</f>
        <v>0</v>
      </c>
      <c r="S302" s="399" t="s">
        <v>205</v>
      </c>
      <c r="T302" s="399" t="s">
        <v>125</v>
      </c>
      <c r="U302" s="401">
        <f t="shared" ref="U302:U304" si="882">0.006165*F302^2</f>
        <v>1.5782400000000001</v>
      </c>
      <c r="V302" s="399"/>
      <c r="W302" s="399"/>
      <c r="X302" s="399" t="s">
        <v>125</v>
      </c>
      <c r="Y302" s="389">
        <f t="shared" ref="Y302" si="883">D301</f>
        <v>1</v>
      </c>
      <c r="Z302" s="400" t="s">
        <v>176</v>
      </c>
      <c r="AA302" s="402">
        <f t="shared" ref="AA302" si="884">IF(AA305=0,(D302*N302+P302*R302)*U302*Y302,0)</f>
        <v>0</v>
      </c>
      <c r="AB302" s="403"/>
    </row>
    <row r="303" spans="1:28">
      <c r="A303" s="384" t="str">
        <f t="shared" ref="A303:B303" si="885">A295</f>
        <v>Lantai 1</v>
      </c>
      <c r="B303" s="385">
        <f t="shared" si="885"/>
        <v>10</v>
      </c>
      <c r="C303" s="393" t="s">
        <v>206</v>
      </c>
      <c r="D303" s="398">
        <f>VLOOKUP(D295,'Detail Balok'!$C$10:$AU$140,7,FALSE)</f>
        <v>4</v>
      </c>
      <c r="E303" s="388" t="s">
        <v>16</v>
      </c>
      <c r="F303" s="388">
        <f>VLOOKUP(D295,'Detail Balok'!$C$10:$AU$140,9,FALSE)</f>
        <v>16</v>
      </c>
      <c r="G303" s="388"/>
      <c r="H303" s="395"/>
      <c r="I303" s="388" t="s">
        <v>203</v>
      </c>
      <c r="J303" s="399">
        <f t="shared" ref="J303" si="886">+D297/2/1000</f>
        <v>2.5</v>
      </c>
      <c r="K303" s="400" t="s">
        <v>204</v>
      </c>
      <c r="L303" s="399"/>
      <c r="M303" s="399" t="s">
        <v>176</v>
      </c>
      <c r="N303" s="399">
        <f t="shared" si="879"/>
        <v>2.5</v>
      </c>
      <c r="O303" s="399" t="s">
        <v>204</v>
      </c>
      <c r="P303" s="389">
        <f t="shared" ref="P303" si="887">MAX(D303-D302,D303-D304)</f>
        <v>0</v>
      </c>
      <c r="Q303" s="399" t="s">
        <v>125</v>
      </c>
      <c r="R303" s="399">
        <f t="shared" ref="R303" si="888">IF(P303&gt;0,2*(1-2*$F$19-1/2)*D298/1000,0)</f>
        <v>0</v>
      </c>
      <c r="S303" s="399" t="s">
        <v>205</v>
      </c>
      <c r="T303" s="399" t="s">
        <v>125</v>
      </c>
      <c r="U303" s="401">
        <f t="shared" si="882"/>
        <v>1.5782400000000001</v>
      </c>
      <c r="V303" s="399"/>
      <c r="W303" s="399"/>
      <c r="X303" s="399" t="s">
        <v>125</v>
      </c>
      <c r="Y303" s="389">
        <f t="shared" ref="Y303" si="889">D301</f>
        <v>1</v>
      </c>
      <c r="Z303" s="400" t="s">
        <v>176</v>
      </c>
      <c r="AA303" s="402">
        <f t="shared" ref="AA303" si="890">IF(AA305=0,(D303*N303+P303*R303)*U303*Y303,0)</f>
        <v>0</v>
      </c>
      <c r="AB303" s="403"/>
    </row>
    <row r="304" spans="1:28">
      <c r="A304" s="384" t="str">
        <f t="shared" ref="A304:B304" si="891">A295</f>
        <v>Lantai 1</v>
      </c>
      <c r="B304" s="385">
        <f t="shared" si="891"/>
        <v>10</v>
      </c>
      <c r="C304" s="393" t="s">
        <v>202</v>
      </c>
      <c r="D304" s="398">
        <f>VLOOKUP(D295,'Detail Balok'!$C$10:$AU$140,10,FALSE)</f>
        <v>4</v>
      </c>
      <c r="E304" s="388" t="s">
        <v>16</v>
      </c>
      <c r="F304" s="388">
        <f>VLOOKUP(D295,'Detail Balok'!$C$10:$AU$140,12,FALSE)</f>
        <v>16</v>
      </c>
      <c r="G304" s="388"/>
      <c r="H304" s="395"/>
      <c r="I304" s="388" t="s">
        <v>203</v>
      </c>
      <c r="J304" s="399">
        <f t="shared" ref="J304" si="892">+D297/4/1000</f>
        <v>1.25</v>
      </c>
      <c r="K304" s="400" t="s">
        <v>204</v>
      </c>
      <c r="L304" s="399">
        <f t="shared" ref="L304" si="893">MAX(VLOOKUP(F304,N$6:P$15,3,FALSE)/1000,2/3*D299/1000)+F$16*F304/1000</f>
        <v>0.192</v>
      </c>
      <c r="M304" s="399" t="s">
        <v>176</v>
      </c>
      <c r="N304" s="399">
        <f t="shared" si="879"/>
        <v>1.4419999999999999</v>
      </c>
      <c r="O304" s="399" t="s">
        <v>204</v>
      </c>
      <c r="P304" s="389">
        <f t="shared" ref="P304" si="894">D304-D303</f>
        <v>0</v>
      </c>
      <c r="Q304" s="399" t="s">
        <v>125</v>
      </c>
      <c r="R304" s="399">
        <f t="shared" ref="R304" si="895">IF(P304&gt;0,$F$18*F304/1000,0)</f>
        <v>0</v>
      </c>
      <c r="S304" s="399" t="s">
        <v>205</v>
      </c>
      <c r="T304" s="399" t="s">
        <v>125</v>
      </c>
      <c r="U304" s="401">
        <f t="shared" si="882"/>
        <v>1.5782400000000001</v>
      </c>
      <c r="V304" s="399"/>
      <c r="W304" s="399"/>
      <c r="X304" s="399" t="s">
        <v>125</v>
      </c>
      <c r="Y304" s="389">
        <f t="shared" ref="Y304" si="896">D301</f>
        <v>1</v>
      </c>
      <c r="Z304" s="400" t="s">
        <v>176</v>
      </c>
      <c r="AA304" s="402">
        <f t="shared" ref="AA304" si="897">IF(AA305=0,(D304*N304+P304*R304)*U304*Y304,0)</f>
        <v>0</v>
      </c>
      <c r="AB304" s="403"/>
    </row>
    <row r="305" spans="1:28">
      <c r="A305" s="384" t="str">
        <f t="shared" ref="A305:B305" si="898">A295</f>
        <v>Lantai 1</v>
      </c>
      <c r="B305" s="385">
        <f t="shared" si="898"/>
        <v>10</v>
      </c>
      <c r="C305" s="393"/>
      <c r="D305" s="398">
        <f t="shared" ref="D305:D365" si="899">IF(AND(D302=D303,D303=D304,D302=D304),D302,0)</f>
        <v>4</v>
      </c>
      <c r="E305" s="388" t="s">
        <v>16</v>
      </c>
      <c r="F305" s="388">
        <f t="shared" ref="F305:F365" si="900">IF(AND(F302=F303,F302=F304,F303=F304),F302,0)</f>
        <v>16</v>
      </c>
      <c r="G305" s="388"/>
      <c r="H305" s="395"/>
      <c r="I305" s="388"/>
      <c r="J305" s="396"/>
      <c r="K305" s="396"/>
      <c r="L305" s="404" t="s">
        <v>207</v>
      </c>
      <c r="M305" s="399" t="s">
        <v>176</v>
      </c>
      <c r="N305" s="399">
        <f t="shared" ref="N305" si="901">IF(AND(D302=D303,D302=D304,D303=D304,F302=F303,F302=F304,F303=F304),SUM(N302:N304),0)</f>
        <v>5.3840000000000003</v>
      </c>
      <c r="O305" s="399" t="s">
        <v>204</v>
      </c>
      <c r="P305" s="389">
        <f t="shared" ref="P305" si="902">IF(N305&gt;12,ROUNDDOWN(N305/12,0),0)</f>
        <v>0</v>
      </c>
      <c r="Q305" s="399" t="s">
        <v>125</v>
      </c>
      <c r="R305" s="399">
        <f t="shared" ref="R305" si="903">IF(P305&gt;0,MAX(VLOOKUP(F305,$D$6:$G$15,3,FALSE),600),0)/1000</f>
        <v>0</v>
      </c>
      <c r="S305" s="396"/>
      <c r="T305" s="396" t="s">
        <v>125</v>
      </c>
      <c r="U305" s="401">
        <f t="shared" ref="U305:U365" si="904">U304</f>
        <v>1.5782400000000001</v>
      </c>
      <c r="V305" s="396" t="s">
        <v>125</v>
      </c>
      <c r="W305" s="399">
        <f t="shared" ref="W305" si="905">D305</f>
        <v>4</v>
      </c>
      <c r="X305" s="399" t="s">
        <v>125</v>
      </c>
      <c r="Y305" s="389">
        <f t="shared" ref="Y305:Y365" si="906">Y304</f>
        <v>1</v>
      </c>
      <c r="Z305" s="400" t="s">
        <v>176</v>
      </c>
      <c r="AA305" s="402">
        <f t="shared" ref="AA305" si="907">(N305+P305*R305/1000)*U305*W305*Y305</f>
        <v>33.988976640000004</v>
      </c>
      <c r="AB305" s="390"/>
    </row>
    <row r="306" spans="1:28">
      <c r="A306" s="384"/>
      <c r="B306" s="385"/>
      <c r="C306" s="393"/>
      <c r="D306" s="398"/>
      <c r="E306" s="388"/>
      <c r="F306" s="388"/>
      <c r="G306" s="388"/>
      <c r="H306" s="395"/>
      <c r="I306" s="388"/>
      <c r="J306" s="396"/>
      <c r="K306" s="396"/>
      <c r="L306" s="404"/>
      <c r="M306" s="399"/>
      <c r="N306" s="399"/>
      <c r="O306" s="396"/>
      <c r="P306" s="389"/>
      <c r="Q306" s="396"/>
      <c r="R306" s="396"/>
      <c r="S306" s="396"/>
      <c r="T306" s="396"/>
      <c r="U306" s="401"/>
      <c r="V306" s="396"/>
      <c r="W306" s="399"/>
      <c r="X306" s="396"/>
      <c r="Y306" s="389"/>
      <c r="Z306" s="396"/>
      <c r="AA306" s="388"/>
      <c r="AB306" s="390"/>
    </row>
    <row r="307" spans="1:28">
      <c r="A307" s="384" t="str">
        <f t="shared" ref="A307:B307" si="908">A295</f>
        <v>Lantai 1</v>
      </c>
      <c r="B307" s="385">
        <f t="shared" si="908"/>
        <v>10</v>
      </c>
      <c r="C307" s="393" t="s">
        <v>208</v>
      </c>
      <c r="D307" s="398">
        <f>VLOOKUP(D295,'Detail Balok'!$C$10:$AU$140,13,FALSE)</f>
        <v>2</v>
      </c>
      <c r="E307" s="388" t="s">
        <v>16</v>
      </c>
      <c r="F307" s="388">
        <f>VLOOKUP(D295,'Detail Balok'!$C$10:$AU$140,15,FALSE)</f>
        <v>10</v>
      </c>
      <c r="G307" s="388"/>
      <c r="H307" s="395"/>
      <c r="I307" s="388"/>
      <c r="J307" s="399">
        <f t="shared" ref="J307" si="909">+D297/1000</f>
        <v>5</v>
      </c>
      <c r="K307" s="400" t="s">
        <v>204</v>
      </c>
      <c r="L307" s="399">
        <f t="shared" ref="L307" si="910">2*$F$16*F307/1000</f>
        <v>0.24</v>
      </c>
      <c r="M307" s="399" t="s">
        <v>176</v>
      </c>
      <c r="N307" s="399">
        <f t="shared" ref="N307" si="911">J307+L307</f>
        <v>5.24</v>
      </c>
      <c r="O307" s="399" t="s">
        <v>204</v>
      </c>
      <c r="P307" s="389">
        <f t="shared" ref="P307" si="912">IF(N307&gt;12,ROUNDDOWN(N307/12,0),0)</f>
        <v>0</v>
      </c>
      <c r="Q307" s="399" t="s">
        <v>125</v>
      </c>
      <c r="R307" s="399">
        <f t="shared" ref="R307" si="913">IF(P307&gt;0,MAX(VLOOKUP(F307,$D$6:$G$15,3,FALSE),600),0)/1000</f>
        <v>0</v>
      </c>
      <c r="S307" s="399"/>
      <c r="T307" s="399" t="s">
        <v>125</v>
      </c>
      <c r="U307" s="401">
        <f t="shared" ref="U307" si="914">0.006165*F307^2</f>
        <v>0.61650000000000005</v>
      </c>
      <c r="V307" s="399" t="s">
        <v>125</v>
      </c>
      <c r="W307" s="399">
        <f t="shared" ref="W307" si="915">+D307</f>
        <v>2</v>
      </c>
      <c r="X307" s="399" t="s">
        <v>125</v>
      </c>
      <c r="Y307" s="389">
        <f t="shared" ref="Y307" si="916">D301</f>
        <v>1</v>
      </c>
      <c r="Z307" s="400" t="s">
        <v>176</v>
      </c>
      <c r="AA307" s="402">
        <f t="shared" ref="AA307" si="917">(N307+P307*R307/1000)*U307*W307*Y307</f>
        <v>6.4609200000000007</v>
      </c>
      <c r="AB307" s="403"/>
    </row>
    <row r="308" spans="1:28">
      <c r="A308" s="384"/>
      <c r="B308" s="385"/>
      <c r="C308" s="393"/>
      <c r="D308" s="398"/>
      <c r="E308" s="388"/>
      <c r="F308" s="388"/>
      <c r="G308" s="388"/>
      <c r="H308" s="395"/>
      <c r="I308" s="388"/>
      <c r="J308" s="399"/>
      <c r="K308" s="400"/>
      <c r="L308" s="399"/>
      <c r="M308" s="399"/>
      <c r="N308" s="399"/>
      <c r="O308" s="399"/>
      <c r="P308" s="389"/>
      <c r="Q308" s="399"/>
      <c r="R308" s="399"/>
      <c r="S308" s="399"/>
      <c r="T308" s="399"/>
      <c r="U308" s="401"/>
      <c r="V308" s="399"/>
      <c r="W308" s="399"/>
      <c r="X308" s="399"/>
      <c r="Y308" s="389"/>
      <c r="Z308" s="400"/>
      <c r="AA308" s="402"/>
      <c r="AB308" s="403"/>
    </row>
    <row r="309" spans="1:28">
      <c r="A309" s="384"/>
      <c r="B309" s="385"/>
      <c r="C309" s="393"/>
      <c r="D309" s="398"/>
      <c r="E309" s="388"/>
      <c r="F309" s="388"/>
      <c r="G309" s="388"/>
      <c r="H309" s="395"/>
      <c r="I309" s="388"/>
      <c r="J309" s="396"/>
      <c r="K309" s="396"/>
      <c r="L309" s="396"/>
      <c r="M309" s="396"/>
      <c r="N309" s="396"/>
      <c r="O309" s="396"/>
      <c r="P309" s="389"/>
      <c r="Q309" s="396"/>
      <c r="R309" s="396"/>
      <c r="S309" s="396"/>
      <c r="T309" s="396"/>
      <c r="U309" s="401"/>
      <c r="V309" s="396"/>
      <c r="W309" s="399"/>
      <c r="X309" s="396"/>
      <c r="Y309" s="389"/>
      <c r="Z309" s="396"/>
      <c r="AA309" s="388"/>
      <c r="AB309" s="390"/>
    </row>
    <row r="310" spans="1:28">
      <c r="A310" s="384" t="str">
        <f t="shared" ref="A310:B310" si="918">A295</f>
        <v>Lantai 1</v>
      </c>
      <c r="B310" s="385">
        <f t="shared" si="918"/>
        <v>10</v>
      </c>
      <c r="C310" s="393" t="s">
        <v>209</v>
      </c>
      <c r="D310" s="398">
        <f>VLOOKUP(D295,'Detail Balok'!$C$10:$AU$140,22,FALSE)</f>
        <v>4</v>
      </c>
      <c r="E310" s="388" t="s">
        <v>16</v>
      </c>
      <c r="F310" s="388">
        <f>VLOOKUP(D295,'Detail Balok'!$C$10:$AU$140,24,FALSE)</f>
        <v>16</v>
      </c>
      <c r="G310" s="388"/>
      <c r="H310" s="395"/>
      <c r="I310" s="388" t="s">
        <v>203</v>
      </c>
      <c r="J310" s="399">
        <f t="shared" ref="J310:J372" si="919">+J302</f>
        <v>1.25</v>
      </c>
      <c r="K310" s="400" t="s">
        <v>204</v>
      </c>
      <c r="L310" s="399">
        <f t="shared" ref="L310" si="920">MAX(VLOOKUP(F310,N$6:P$15,3,FALSE)/1000,2/3*D300/1000)+F$16*F310/1000</f>
        <v>0.192</v>
      </c>
      <c r="M310" s="399" t="s">
        <v>176</v>
      </c>
      <c r="N310" s="399">
        <f t="shared" ref="N310:N312" si="921">J310+L310</f>
        <v>1.4419999999999999</v>
      </c>
      <c r="O310" s="399" t="s">
        <v>204</v>
      </c>
      <c r="P310" s="389">
        <f t="shared" ref="P310" si="922">D310-D311</f>
        <v>0</v>
      </c>
      <c r="Q310" s="399" t="s">
        <v>125</v>
      </c>
      <c r="R310" s="399">
        <f t="shared" ref="R310" si="923">IF(P310&gt;0,$F$18*F310/1000,0)</f>
        <v>0</v>
      </c>
      <c r="S310" s="399" t="s">
        <v>205</v>
      </c>
      <c r="T310" s="399" t="s">
        <v>125</v>
      </c>
      <c r="U310" s="401">
        <f t="shared" ref="U310:U312" si="924">0.006165*F310^2</f>
        <v>1.5782400000000001</v>
      </c>
      <c r="V310" s="399"/>
      <c r="W310" s="399"/>
      <c r="X310" s="399" t="s">
        <v>125</v>
      </c>
      <c r="Y310" s="389">
        <f t="shared" ref="Y310" si="925">D301</f>
        <v>1</v>
      </c>
      <c r="Z310" s="400" t="s">
        <v>176</v>
      </c>
      <c r="AA310" s="402">
        <f t="shared" ref="AA310" si="926">IF(AA313=0,(D310*N310+P310*R310)*U310*Y310,0)</f>
        <v>0</v>
      </c>
      <c r="AB310" s="403"/>
    </row>
    <row r="311" spans="1:28">
      <c r="A311" s="384" t="str">
        <f t="shared" ref="A311:B311" si="927">A295</f>
        <v>Lantai 1</v>
      </c>
      <c r="B311" s="385">
        <f t="shared" si="927"/>
        <v>10</v>
      </c>
      <c r="C311" s="393" t="s">
        <v>210</v>
      </c>
      <c r="D311" s="398">
        <f>VLOOKUP(D295,'Detail Balok'!$C$10:$AU$140,25,FALSE)</f>
        <v>4</v>
      </c>
      <c r="E311" s="388" t="s">
        <v>16</v>
      </c>
      <c r="F311" s="388">
        <f>VLOOKUP(D295,'Detail Balok'!$C$10:$AU$140,27,FALSE)</f>
        <v>16</v>
      </c>
      <c r="G311" s="388"/>
      <c r="H311" s="395"/>
      <c r="I311" s="388" t="s">
        <v>203</v>
      </c>
      <c r="J311" s="399">
        <f t="shared" si="919"/>
        <v>2.5</v>
      </c>
      <c r="K311" s="400" t="s">
        <v>204</v>
      </c>
      <c r="L311" s="399"/>
      <c r="M311" s="399" t="s">
        <v>176</v>
      </c>
      <c r="N311" s="399">
        <f t="shared" si="921"/>
        <v>2.5</v>
      </c>
      <c r="O311" s="399" t="s">
        <v>204</v>
      </c>
      <c r="P311" s="389">
        <f t="shared" ref="P311" si="928">MAX(D311-D310,D311-D312)</f>
        <v>0</v>
      </c>
      <c r="Q311" s="399" t="s">
        <v>125</v>
      </c>
      <c r="R311" s="399">
        <f t="shared" ref="R311" si="929">IF(P311&gt;0,2*(1-2*$F$19-1/2)*D298/1000,0)</f>
        <v>0</v>
      </c>
      <c r="S311" s="399" t="s">
        <v>205</v>
      </c>
      <c r="T311" s="399" t="s">
        <v>125</v>
      </c>
      <c r="U311" s="401">
        <f t="shared" si="924"/>
        <v>1.5782400000000001</v>
      </c>
      <c r="V311" s="399"/>
      <c r="W311" s="399"/>
      <c r="X311" s="399" t="s">
        <v>125</v>
      </c>
      <c r="Y311" s="389">
        <f t="shared" ref="Y311" si="930">D301</f>
        <v>1</v>
      </c>
      <c r="Z311" s="400" t="s">
        <v>176</v>
      </c>
      <c r="AA311" s="402">
        <f t="shared" ref="AA311" si="931">IF(AA313=0,(D311*N311+P311*R311)*U311*Y311,0)</f>
        <v>0</v>
      </c>
      <c r="AB311" s="403"/>
    </row>
    <row r="312" spans="1:28">
      <c r="A312" s="384" t="str">
        <f t="shared" ref="A312:B312" si="932">A295</f>
        <v>Lantai 1</v>
      </c>
      <c r="B312" s="385">
        <f t="shared" si="932"/>
        <v>10</v>
      </c>
      <c r="C312" s="393" t="s">
        <v>209</v>
      </c>
      <c r="D312" s="398">
        <f>VLOOKUP(D295,'Detail Balok'!$C$10:$AU$140,28,FALSE)</f>
        <v>4</v>
      </c>
      <c r="E312" s="388" t="s">
        <v>16</v>
      </c>
      <c r="F312" s="388">
        <f>VLOOKUP(D295,'Detail Balok'!$C$10:$AU$140,30,FALSE)</f>
        <v>16</v>
      </c>
      <c r="G312" s="388"/>
      <c r="H312" s="395"/>
      <c r="I312" s="388" t="s">
        <v>203</v>
      </c>
      <c r="J312" s="399">
        <f t="shared" si="919"/>
        <v>1.25</v>
      </c>
      <c r="K312" s="400" t="s">
        <v>204</v>
      </c>
      <c r="L312" s="399">
        <f t="shared" ref="L312" si="933">MAX(VLOOKUP(F312,N$6:P$15,3,FALSE)/1000,2/3*D300/1000)+F$16*F312/1000</f>
        <v>0.192</v>
      </c>
      <c r="M312" s="399" t="s">
        <v>176</v>
      </c>
      <c r="N312" s="399">
        <f t="shared" si="921"/>
        <v>1.4419999999999999</v>
      </c>
      <c r="O312" s="399" t="s">
        <v>204</v>
      </c>
      <c r="P312" s="389">
        <f t="shared" ref="P312" si="934">D312-D311</f>
        <v>0</v>
      </c>
      <c r="Q312" s="399" t="s">
        <v>125</v>
      </c>
      <c r="R312" s="399">
        <f t="shared" ref="R312" si="935">IF(P312&gt;0,$F$18*F312/1000,0)</f>
        <v>0</v>
      </c>
      <c r="S312" s="399" t="s">
        <v>205</v>
      </c>
      <c r="T312" s="399" t="s">
        <v>125</v>
      </c>
      <c r="U312" s="401">
        <f t="shared" si="924"/>
        <v>1.5782400000000001</v>
      </c>
      <c r="V312" s="399"/>
      <c r="W312" s="399"/>
      <c r="X312" s="399" t="s">
        <v>125</v>
      </c>
      <c r="Y312" s="389">
        <f t="shared" ref="Y312" si="936">D301</f>
        <v>1</v>
      </c>
      <c r="Z312" s="400" t="s">
        <v>176</v>
      </c>
      <c r="AA312" s="402">
        <f t="shared" ref="AA312" si="937">IF(AA313=0,(D312*N312+P312*R312)*U312*Y312,0)</f>
        <v>0</v>
      </c>
      <c r="AB312" s="403"/>
    </row>
    <row r="313" spans="1:28">
      <c r="A313" s="384" t="str">
        <f t="shared" ref="A313:B313" si="938">A295</f>
        <v>Lantai 1</v>
      </c>
      <c r="B313" s="385">
        <f t="shared" si="938"/>
        <v>10</v>
      </c>
      <c r="C313" s="393"/>
      <c r="D313" s="398">
        <f t="shared" ref="D313:D373" si="939">IF(AND(D310=D311,D311=D312,D310=D312),D310,0)</f>
        <v>4</v>
      </c>
      <c r="E313" s="388" t="s">
        <v>16</v>
      </c>
      <c r="F313" s="388">
        <f t="shared" ref="F313:F373" si="940">IF(AND(F310=F311,F310=F312,F311=F312),F310,0)</f>
        <v>16</v>
      </c>
      <c r="G313" s="388"/>
      <c r="H313" s="395"/>
      <c r="I313" s="388"/>
      <c r="J313" s="396"/>
      <c r="K313" s="396"/>
      <c r="L313" s="404" t="s">
        <v>207</v>
      </c>
      <c r="M313" s="399" t="s">
        <v>176</v>
      </c>
      <c r="N313" s="399">
        <f t="shared" ref="N313" si="941">IF(AND(D310=D311,D310=D312,D311=D312,F310=F311,F310=F312,F311=F312),SUM(N310:N312),0)</f>
        <v>5.3840000000000003</v>
      </c>
      <c r="O313" s="399" t="s">
        <v>204</v>
      </c>
      <c r="P313" s="389">
        <f t="shared" ref="P313" si="942">IF(N313&gt;12,ROUNDDOWN(N313/12,0),0)</f>
        <v>0</v>
      </c>
      <c r="Q313" s="399" t="s">
        <v>125</v>
      </c>
      <c r="R313" s="399">
        <f t="shared" ref="R313" si="943">IF(P313&gt;0,MAX(VLOOKUP(F313,$D$6:$G$15,3,FALSE),600),0)/1000</f>
        <v>0</v>
      </c>
      <c r="S313" s="396"/>
      <c r="T313" s="396" t="s">
        <v>125</v>
      </c>
      <c r="U313" s="401">
        <f t="shared" ref="U313:U373" si="944">U312</f>
        <v>1.5782400000000001</v>
      </c>
      <c r="V313" s="396" t="s">
        <v>125</v>
      </c>
      <c r="W313" s="399">
        <f t="shared" ref="W313" si="945">D313</f>
        <v>4</v>
      </c>
      <c r="X313" s="399" t="s">
        <v>125</v>
      </c>
      <c r="Y313" s="389">
        <f t="shared" ref="Y313:Y373" si="946">Y312</f>
        <v>1</v>
      </c>
      <c r="Z313" s="400" t="s">
        <v>176</v>
      </c>
      <c r="AA313" s="402">
        <f t="shared" ref="AA313" si="947">(N313+P313*R313/1000)*U313*W313*Y313</f>
        <v>33.988976640000004</v>
      </c>
      <c r="AB313" s="403"/>
    </row>
    <row r="314" spans="1:28">
      <c r="A314" s="384"/>
      <c r="B314" s="385"/>
      <c r="C314" s="393"/>
      <c r="D314" s="394"/>
      <c r="E314" s="388"/>
      <c r="F314" s="388"/>
      <c r="G314" s="388"/>
      <c r="H314" s="395"/>
      <c r="I314" s="388"/>
      <c r="J314" s="399"/>
      <c r="K314" s="396"/>
      <c r="L314" s="396"/>
      <c r="M314" s="396"/>
      <c r="N314" s="396"/>
      <c r="O314" s="396"/>
      <c r="P314" s="389"/>
      <c r="Q314" s="396"/>
      <c r="R314" s="396"/>
      <c r="S314" s="396"/>
      <c r="T314" s="396"/>
      <c r="U314" s="401"/>
      <c r="V314" s="396"/>
      <c r="W314" s="388"/>
      <c r="X314" s="396"/>
      <c r="Y314" s="389"/>
      <c r="Z314" s="396"/>
      <c r="AA314" s="388"/>
      <c r="AB314" s="390"/>
    </row>
    <row r="315" spans="1:28">
      <c r="A315" s="384" t="str">
        <f t="shared" ref="A315:B315" si="948">A295</f>
        <v>Lantai 1</v>
      </c>
      <c r="B315" s="385">
        <f t="shared" si="948"/>
        <v>10</v>
      </c>
      <c r="C315" s="393" t="s">
        <v>211</v>
      </c>
      <c r="D315" s="398">
        <f>VLOOKUP(D295,'Detail Balok'!$C$10:$AU$140,31,FALSE)</f>
        <v>0</v>
      </c>
      <c r="E315" s="388" t="s">
        <v>16</v>
      </c>
      <c r="F315" s="388">
        <f>VLOOKUP(D295,'Detail Balok'!$C$10:$AU$140,33,FALSE)</f>
        <v>8</v>
      </c>
      <c r="G315" s="405" t="s">
        <v>157</v>
      </c>
      <c r="H315" s="395">
        <f>VLOOKUP(D295,'Detail Balok'!$C$10:$AU$140,35,FALSE)</f>
        <v>150</v>
      </c>
      <c r="I315" s="388"/>
      <c r="J315" s="400">
        <f t="shared" ref="J315" si="949">(IF(D315=0,(2*(D296+G296))-(F$5*8),IF(D315=3,(2*(D296+G296))-(F$5*8)+(G296-2*F$5),IF(D315=4,(2*(D296+G296))-(F$5*8)+2*(G296-2*F$5)))))/1000</f>
        <v>1.48</v>
      </c>
      <c r="K315" s="400" t="s">
        <v>204</v>
      </c>
      <c r="L315" s="399">
        <f t="shared" ref="L315:L317" si="950">IF(D315=0,2*MAX(6*F315,75),(D315-1)*2*MAX(6*F315,75))/1000</f>
        <v>0.15</v>
      </c>
      <c r="M315" s="399" t="s">
        <v>176</v>
      </c>
      <c r="N315" s="399">
        <f t="shared" ref="N315:N317" si="951">J315+L315</f>
        <v>1.63</v>
      </c>
      <c r="O315" s="399"/>
      <c r="P315" s="389"/>
      <c r="Q315" s="399"/>
      <c r="R315" s="399"/>
      <c r="S315" s="399"/>
      <c r="T315" s="399" t="s">
        <v>125</v>
      </c>
      <c r="U315" s="401">
        <f t="shared" ref="U315:U317" si="952">0.006165*F315^2</f>
        <v>0.39456000000000002</v>
      </c>
      <c r="V315" s="399" t="s">
        <v>125</v>
      </c>
      <c r="W315" s="399">
        <f t="shared" ref="W315" si="953">IF(D298&gt;4*G296,ROUND(MAX(D298/4,2*G296)/H315,0)+1,ROUND(D298/H315,0)+1)</f>
        <v>9</v>
      </c>
      <c r="X315" s="399" t="s">
        <v>125</v>
      </c>
      <c r="Y315" s="389">
        <f t="shared" ref="Y315" si="954">D301</f>
        <v>1</v>
      </c>
      <c r="Z315" s="400" t="s">
        <v>176</v>
      </c>
      <c r="AA315" s="402">
        <f t="shared" ref="AA315:AA317" si="955">N315*U315*W315*Y315</f>
        <v>5.7881951999999997</v>
      </c>
      <c r="AB315" s="403"/>
    </row>
    <row r="316" spans="1:28">
      <c r="A316" s="384" t="str">
        <f t="shared" ref="A316:B316" si="956">A295</f>
        <v>Lantai 1</v>
      </c>
      <c r="B316" s="385">
        <f t="shared" si="956"/>
        <v>10</v>
      </c>
      <c r="C316" s="393" t="s">
        <v>212</v>
      </c>
      <c r="D316" s="398">
        <f>VLOOKUP(D295,'Detail Balok'!$C$10:$AU$140,36,FALSE)</f>
        <v>0</v>
      </c>
      <c r="E316" s="388" t="s">
        <v>16</v>
      </c>
      <c r="F316" s="388">
        <f>VLOOKUP(D295,'Detail Balok'!$C$10:$AU$140,38,FALSE)</f>
        <v>8</v>
      </c>
      <c r="G316" s="405" t="s">
        <v>157</v>
      </c>
      <c r="H316" s="395">
        <f>VLOOKUP(D295,'Detail Balok'!$C$10:$AU$140,40,FALSE)</f>
        <v>200</v>
      </c>
      <c r="I316" s="388"/>
      <c r="J316" s="400">
        <f t="shared" ref="J316" si="957">(IF(D316=0,(2*(D296+G296))-(F$5*8),IF(D316=3,(2*(D296+G296))-(F$5*8)+(G296-2*F$5),IF(D316=4,(2*(D296+G296))-(F$5*8)+2*(G296-2*F$5)))))/1000</f>
        <v>1.48</v>
      </c>
      <c r="K316" s="400" t="s">
        <v>204</v>
      </c>
      <c r="L316" s="399">
        <f t="shared" si="950"/>
        <v>0.15</v>
      </c>
      <c r="M316" s="399" t="s">
        <v>176</v>
      </c>
      <c r="N316" s="399">
        <f t="shared" si="951"/>
        <v>1.63</v>
      </c>
      <c r="O316" s="399"/>
      <c r="P316" s="389"/>
      <c r="Q316" s="399"/>
      <c r="R316" s="399"/>
      <c r="S316" s="399"/>
      <c r="T316" s="399" t="s">
        <v>125</v>
      </c>
      <c r="U316" s="401">
        <f t="shared" si="952"/>
        <v>0.39456000000000002</v>
      </c>
      <c r="V316" s="399" t="s">
        <v>125</v>
      </c>
      <c r="W316" s="399">
        <f t="shared" ref="W316" si="958">IF(D298-MAX(D298/4,2*G296)*2&gt;0,ROUND((D298-MAX(D298/4,2*G296)*2)/H316,0),0)</f>
        <v>13</v>
      </c>
      <c r="X316" s="399" t="s">
        <v>125</v>
      </c>
      <c r="Y316" s="389">
        <f t="shared" ref="Y316" si="959">D301</f>
        <v>1</v>
      </c>
      <c r="Z316" s="400" t="s">
        <v>176</v>
      </c>
      <c r="AA316" s="402">
        <f t="shared" si="955"/>
        <v>8.360726399999999</v>
      </c>
      <c r="AB316" s="403"/>
    </row>
    <row r="317" spans="1:28">
      <c r="A317" s="384" t="str">
        <f t="shared" ref="A317:B317" si="960">A295</f>
        <v>Lantai 1</v>
      </c>
      <c r="B317" s="385">
        <f t="shared" si="960"/>
        <v>10</v>
      </c>
      <c r="C317" s="393" t="s">
        <v>211</v>
      </c>
      <c r="D317" s="398">
        <f>VLOOKUP(D295,'Detail Balok'!$C$10:$AU$140,41,FALSE)</f>
        <v>0</v>
      </c>
      <c r="E317" s="388" t="s">
        <v>16</v>
      </c>
      <c r="F317" s="388">
        <f>VLOOKUP(D295,'Detail Balok'!$C$10:$AU$140,43,FALSE)</f>
        <v>8</v>
      </c>
      <c r="G317" s="405" t="s">
        <v>157</v>
      </c>
      <c r="H317" s="395">
        <f>VLOOKUP(D295,'Detail Balok'!$C$10:$AU$140,45,FALSE)</f>
        <v>150</v>
      </c>
      <c r="I317" s="388"/>
      <c r="J317" s="400">
        <f t="shared" ref="J317" si="961">(IF(D317=0,(2*(D296+G296))-(F$5*8),IF(D317=3,(2*(D296+G296))-(F$5*8)+(G296-2*F$5),IF(D317=4,(2*(D296+G296))-(F$5*8)+2*(G296-2*F$5)))))/1000</f>
        <v>1.48</v>
      </c>
      <c r="K317" s="400" t="s">
        <v>204</v>
      </c>
      <c r="L317" s="399">
        <f t="shared" si="950"/>
        <v>0.15</v>
      </c>
      <c r="M317" s="399" t="s">
        <v>176</v>
      </c>
      <c r="N317" s="399">
        <f t="shared" si="951"/>
        <v>1.63</v>
      </c>
      <c r="O317" s="399"/>
      <c r="P317" s="389"/>
      <c r="Q317" s="399"/>
      <c r="R317" s="399"/>
      <c r="S317" s="399"/>
      <c r="T317" s="399" t="s">
        <v>125</v>
      </c>
      <c r="U317" s="401">
        <f t="shared" si="952"/>
        <v>0.39456000000000002</v>
      </c>
      <c r="V317" s="399" t="s">
        <v>125</v>
      </c>
      <c r="W317" s="399">
        <f t="shared" ref="W317" si="962">IF(D298&gt;4*G296,ROUND(MAX(D298/4,2*G296)/H317,0)+1,0)</f>
        <v>9</v>
      </c>
      <c r="X317" s="399" t="s">
        <v>125</v>
      </c>
      <c r="Y317" s="389">
        <f t="shared" ref="Y317" si="963">D301</f>
        <v>1</v>
      </c>
      <c r="Z317" s="400" t="s">
        <v>176</v>
      </c>
      <c r="AA317" s="402">
        <f t="shared" si="955"/>
        <v>5.7881951999999997</v>
      </c>
      <c r="AB317" s="403"/>
    </row>
    <row r="318" spans="1:28">
      <c r="A318" s="384"/>
      <c r="B318" s="385"/>
      <c r="C318" s="393"/>
      <c r="D318" s="394"/>
      <c r="E318" s="388"/>
      <c r="F318" s="388"/>
      <c r="G318" s="388"/>
      <c r="H318" s="395"/>
      <c r="I318" s="388"/>
      <c r="J318" s="399"/>
      <c r="K318" s="396"/>
      <c r="L318" s="396"/>
      <c r="M318" s="396"/>
      <c r="N318" s="396"/>
      <c r="O318" s="396"/>
      <c r="P318" s="389"/>
      <c r="Q318" s="396"/>
      <c r="R318" s="396"/>
      <c r="S318" s="396"/>
      <c r="T318" s="396"/>
      <c r="U318" s="401"/>
      <c r="V318" s="396"/>
      <c r="W318" s="388"/>
      <c r="X318" s="396"/>
      <c r="Y318" s="389"/>
      <c r="Z318" s="396"/>
      <c r="AA318" s="388"/>
      <c r="AB318" s="390"/>
    </row>
    <row r="319" spans="1:28">
      <c r="A319" s="384" t="str">
        <f t="shared" ref="A319:B319" si="964">A295</f>
        <v>Lantai 1</v>
      </c>
      <c r="B319" s="385">
        <f t="shared" si="964"/>
        <v>10</v>
      </c>
      <c r="C319" s="393" t="s">
        <v>213</v>
      </c>
      <c r="D319" s="398">
        <f>VLOOKUP(D295,'Detail Balok'!$C$10:$BJ$140,46,FALSE)</f>
        <v>0</v>
      </c>
      <c r="E319" s="388" t="s">
        <v>16</v>
      </c>
      <c r="F319" s="388">
        <f>VLOOKUP(D295,'Detail Balok'!$C$10:$BJ$140,48,FALSE)</f>
        <v>0</v>
      </c>
      <c r="G319" s="405" t="s">
        <v>157</v>
      </c>
      <c r="H319" s="395">
        <f>VLOOKUP(D295,'Detail Balok'!$C$10:$BJ$140,50,FALSE)</f>
        <v>100</v>
      </c>
      <c r="I319" s="388"/>
      <c r="J319" s="399">
        <f t="shared" ref="J319" si="965">(D296-2*F$5)/1000</f>
        <v>0.22</v>
      </c>
      <c r="K319" s="400" t="s">
        <v>204</v>
      </c>
      <c r="L319" s="399">
        <f t="shared" ref="L319:L321" si="966">IF(D319=0,2*MAX(6*F319,75),(D319-1)*2*MAX(6*F319,75))/1000</f>
        <v>0.15</v>
      </c>
      <c r="M319" s="399" t="s">
        <v>176</v>
      </c>
      <c r="N319" s="399">
        <f t="shared" ref="N319:N321" si="967">J319+L319</f>
        <v>0.37</v>
      </c>
      <c r="O319" s="399"/>
      <c r="P319" s="399"/>
      <c r="Q319" s="399"/>
      <c r="R319" s="399"/>
      <c r="S319" s="399"/>
      <c r="T319" s="399" t="s">
        <v>125</v>
      </c>
      <c r="U319" s="401">
        <f t="shared" ref="U319:U321" si="968">0.006165*F319^2</f>
        <v>0</v>
      </c>
      <c r="V319" s="399" t="s">
        <v>125</v>
      </c>
      <c r="W319" s="399">
        <f t="shared" ref="W319:W381" si="969">W315</f>
        <v>9</v>
      </c>
      <c r="X319" s="399" t="s">
        <v>125</v>
      </c>
      <c r="Y319" s="389">
        <f t="shared" ref="Y319" si="970">D305</f>
        <v>4</v>
      </c>
      <c r="Z319" s="400" t="s">
        <v>176</v>
      </c>
      <c r="AA319" s="402">
        <f t="shared" ref="AA319:AA321" si="971">N319*U319*W319*Y319</f>
        <v>0</v>
      </c>
      <c r="AB319" s="403"/>
    </row>
    <row r="320" spans="1:28">
      <c r="A320" s="384" t="str">
        <f t="shared" ref="A320:B320" si="972">A295</f>
        <v>Lantai 1</v>
      </c>
      <c r="B320" s="385">
        <f t="shared" si="972"/>
        <v>10</v>
      </c>
      <c r="C320" s="393" t="s">
        <v>214</v>
      </c>
      <c r="D320" s="398">
        <f>VLOOKUP(D295,'Detail Balok'!$C$10:$BJ$140,51,FALSE)</f>
        <v>0</v>
      </c>
      <c r="E320" s="388" t="s">
        <v>16</v>
      </c>
      <c r="F320" s="388">
        <f>VLOOKUP(D295,'Detail Balok'!$C$10:$BJ$140,53,FALSE)</f>
        <v>0</v>
      </c>
      <c r="G320" s="405" t="s">
        <v>157</v>
      </c>
      <c r="H320" s="395">
        <f>VLOOKUP(D295,'Detail Balok'!$C$10:$BJ$140,55,FALSE)</f>
        <v>100</v>
      </c>
      <c r="I320" s="388"/>
      <c r="J320" s="399">
        <f t="shared" ref="J320" si="973">(D296-2*F$5)/1000</f>
        <v>0.22</v>
      </c>
      <c r="K320" s="400" t="s">
        <v>204</v>
      </c>
      <c r="L320" s="399">
        <f t="shared" si="966"/>
        <v>0.15</v>
      </c>
      <c r="M320" s="399" t="s">
        <v>176</v>
      </c>
      <c r="N320" s="399">
        <f t="shared" si="967"/>
        <v>0.37</v>
      </c>
      <c r="O320" s="399"/>
      <c r="P320" s="399"/>
      <c r="Q320" s="399"/>
      <c r="R320" s="399"/>
      <c r="S320" s="399"/>
      <c r="T320" s="399" t="s">
        <v>125</v>
      </c>
      <c r="U320" s="401">
        <f t="shared" si="968"/>
        <v>0</v>
      </c>
      <c r="V320" s="399" t="s">
        <v>125</v>
      </c>
      <c r="W320" s="399">
        <f t="shared" si="969"/>
        <v>13</v>
      </c>
      <c r="X320" s="399" t="s">
        <v>125</v>
      </c>
      <c r="Y320" s="389">
        <f t="shared" ref="Y320" si="974">D305</f>
        <v>4</v>
      </c>
      <c r="Z320" s="400" t="s">
        <v>176</v>
      </c>
      <c r="AA320" s="402">
        <f t="shared" si="971"/>
        <v>0</v>
      </c>
      <c r="AB320" s="403"/>
    </row>
    <row r="321" spans="1:28">
      <c r="A321" s="384" t="str">
        <f t="shared" ref="A321:B321" si="975">A295</f>
        <v>Lantai 1</v>
      </c>
      <c r="B321" s="385">
        <f t="shared" si="975"/>
        <v>10</v>
      </c>
      <c r="C321" s="393" t="s">
        <v>213</v>
      </c>
      <c r="D321" s="398">
        <f>VLOOKUP(D295,'Detail Balok'!$C$10:$BJ$140,56,FALSE)</f>
        <v>0</v>
      </c>
      <c r="E321" s="388" t="s">
        <v>16</v>
      </c>
      <c r="F321" s="388">
        <f>VLOOKUP(D295,'Detail Balok'!$C$10:$BJ$140,58,FALSE)</f>
        <v>0</v>
      </c>
      <c r="G321" s="405" t="s">
        <v>157</v>
      </c>
      <c r="H321" s="395">
        <f>VLOOKUP(D295,'Detail Balok'!$C$10:$BJ$140,60,FALSE)</f>
        <v>100</v>
      </c>
      <c r="I321" s="388"/>
      <c r="J321" s="399">
        <f t="shared" ref="J321" si="976">(D296-2*F$5)/1000</f>
        <v>0.22</v>
      </c>
      <c r="K321" s="400" t="s">
        <v>204</v>
      </c>
      <c r="L321" s="399">
        <f t="shared" si="966"/>
        <v>0.15</v>
      </c>
      <c r="M321" s="399" t="s">
        <v>176</v>
      </c>
      <c r="N321" s="399">
        <f t="shared" si="967"/>
        <v>0.37</v>
      </c>
      <c r="O321" s="399"/>
      <c r="P321" s="399"/>
      <c r="Q321" s="399"/>
      <c r="R321" s="399"/>
      <c r="S321" s="399"/>
      <c r="T321" s="399" t="s">
        <v>125</v>
      </c>
      <c r="U321" s="401">
        <f t="shared" si="968"/>
        <v>0</v>
      </c>
      <c r="V321" s="399" t="s">
        <v>125</v>
      </c>
      <c r="W321" s="399">
        <f t="shared" si="969"/>
        <v>9</v>
      </c>
      <c r="X321" s="399" t="s">
        <v>125</v>
      </c>
      <c r="Y321" s="389">
        <f t="shared" ref="Y321" si="977">D305</f>
        <v>4</v>
      </c>
      <c r="Z321" s="400" t="s">
        <v>176</v>
      </c>
      <c r="AA321" s="402">
        <f t="shared" si="971"/>
        <v>0</v>
      </c>
      <c r="AB321" s="403"/>
    </row>
    <row r="322" spans="1:28">
      <c r="A322" s="391"/>
      <c r="B322" s="392"/>
      <c r="C322" s="392"/>
      <c r="D322" s="394"/>
      <c r="E322" s="388"/>
      <c r="F322" s="388"/>
      <c r="G322" s="388"/>
      <c r="H322" s="395"/>
      <c r="I322" s="388"/>
      <c r="J322" s="402"/>
      <c r="K322" s="388"/>
      <c r="L322" s="388"/>
      <c r="M322" s="388"/>
      <c r="N322" s="388"/>
      <c r="O322" s="388"/>
      <c r="P322" s="388"/>
      <c r="Q322" s="388"/>
      <c r="R322" s="388"/>
      <c r="S322" s="388"/>
      <c r="T322" s="388"/>
      <c r="U322" s="388"/>
      <c r="V322" s="388"/>
      <c r="W322" s="388"/>
      <c r="X322" s="388"/>
      <c r="Y322" s="389"/>
      <c r="Z322" s="388"/>
      <c r="AA322" s="402"/>
      <c r="AB322" s="403"/>
    </row>
    <row r="323" spans="1:28" ht="15.75" thickBot="1">
      <c r="A323" s="406"/>
      <c r="B323" s="407"/>
      <c r="C323" s="407"/>
      <c r="D323" s="408"/>
      <c r="E323" s="409"/>
      <c r="F323" s="409"/>
      <c r="G323" s="409"/>
      <c r="H323" s="410"/>
      <c r="I323" s="409"/>
      <c r="J323" s="409"/>
      <c r="K323" s="409"/>
      <c r="L323" s="409"/>
      <c r="M323" s="409"/>
      <c r="N323" s="409"/>
      <c r="O323" s="409"/>
      <c r="P323" s="409"/>
      <c r="Q323" s="409"/>
      <c r="R323" s="409"/>
      <c r="S323" s="409"/>
      <c r="T323" s="409"/>
      <c r="U323" s="409"/>
      <c r="V323" s="409"/>
      <c r="W323" s="409"/>
      <c r="X323" s="409"/>
      <c r="Y323" s="411"/>
      <c r="Z323" s="409"/>
      <c r="AA323" s="412"/>
      <c r="AB323" s="413"/>
    </row>
    <row r="324" spans="1:28">
      <c r="A324" s="377"/>
      <c r="B324" s="378"/>
      <c r="C324" s="378"/>
      <c r="D324" s="379"/>
      <c r="E324" s="380"/>
      <c r="F324" s="380"/>
      <c r="G324" s="380"/>
      <c r="H324" s="381"/>
      <c r="I324" s="380"/>
      <c r="J324" s="380"/>
      <c r="K324" s="380"/>
      <c r="L324" s="380"/>
      <c r="M324" s="380"/>
      <c r="N324" s="380"/>
      <c r="O324" s="380"/>
      <c r="P324" s="380"/>
      <c r="Q324" s="380"/>
      <c r="R324" s="380"/>
      <c r="S324" s="380"/>
      <c r="T324" s="380"/>
      <c r="U324" s="380"/>
      <c r="V324" s="380"/>
      <c r="W324" s="380"/>
      <c r="X324" s="380"/>
      <c r="Y324" s="382"/>
      <c r="Z324" s="380"/>
      <c r="AA324" s="380"/>
      <c r="AB324" s="383"/>
    </row>
    <row r="325" spans="1:28">
      <c r="A325" s="384" t="str">
        <f t="shared" ref="A325:A385" si="978">A295</f>
        <v>Lantai 1</v>
      </c>
      <c r="B325" s="385">
        <f t="shared" ref="B325:B385" si="979">B295+1</f>
        <v>11</v>
      </c>
      <c r="C325" s="386" t="str">
        <f t="shared" ref="C325" si="980">CONCATENATE(A325," no. ",B325)</f>
        <v>Lantai 1 no. 11</v>
      </c>
      <c r="D325" s="2562" t="str">
        <f>VLOOKUP(C325,'Data Panjang Balok'!$C$9:$N$254,2,FALSE)</f>
        <v>S24-1</v>
      </c>
      <c r="E325" s="2576"/>
      <c r="F325" s="2576"/>
      <c r="G325" s="2576"/>
      <c r="H325" s="2577"/>
      <c r="I325" s="387"/>
      <c r="J325" s="388"/>
      <c r="K325" s="388"/>
      <c r="L325" s="388"/>
      <c r="M325" s="388"/>
      <c r="N325" s="388"/>
      <c r="O325" s="388"/>
      <c r="P325" s="388"/>
      <c r="Q325" s="388"/>
      <c r="R325" s="388"/>
      <c r="S325" s="388"/>
      <c r="T325" s="388"/>
      <c r="U325" s="388"/>
      <c r="V325" s="388"/>
      <c r="W325" s="388"/>
      <c r="X325" s="388"/>
      <c r="Y325" s="389"/>
      <c r="Z325" s="388"/>
      <c r="AA325" s="388"/>
      <c r="AB325" s="390"/>
    </row>
    <row r="326" spans="1:28">
      <c r="A326" s="391"/>
      <c r="B326" s="392"/>
      <c r="C326" s="393" t="s">
        <v>118</v>
      </c>
      <c r="D326" s="2578">
        <f>VLOOKUP(D325,'Detail Balok'!$C$10:$AU$140,2,FALSE)</f>
        <v>200</v>
      </c>
      <c r="E326" s="2579"/>
      <c r="F326" s="388" t="s">
        <v>125</v>
      </c>
      <c r="G326" s="2579">
        <f>VLOOKUP(D325,'Detail Balok'!$C$10:$AU$140,3,FALSE)</f>
        <v>400</v>
      </c>
      <c r="H326" s="2580"/>
      <c r="I326" s="388"/>
      <c r="J326" s="396"/>
      <c r="K326" s="396"/>
      <c r="L326" s="396"/>
      <c r="M326" s="396"/>
      <c r="N326" s="396"/>
      <c r="O326" s="396"/>
      <c r="P326" s="396"/>
      <c r="Q326" s="396"/>
      <c r="R326" s="396"/>
      <c r="S326" s="396"/>
      <c r="T326" s="396"/>
      <c r="U326" s="388"/>
      <c r="V326" s="396"/>
      <c r="W326" s="388"/>
      <c r="X326" s="396"/>
      <c r="Y326" s="389"/>
      <c r="Z326" s="396"/>
      <c r="AA326" s="388"/>
      <c r="AB326" s="390"/>
    </row>
    <row r="327" spans="1:28">
      <c r="A327" s="391"/>
      <c r="B327" s="392"/>
      <c r="C327" s="393" t="s">
        <v>198</v>
      </c>
      <c r="D327" s="2562">
        <f>VLOOKUP(C325,'Data Panjang Balok'!$C$9:$N$254,4,FALSE)</f>
        <v>4020</v>
      </c>
      <c r="E327" s="2563"/>
      <c r="F327" s="2563"/>
      <c r="G327" s="2563"/>
      <c r="H327" s="2564"/>
      <c r="I327" s="397"/>
      <c r="J327" s="396"/>
      <c r="K327" s="396"/>
      <c r="L327" s="396"/>
      <c r="M327" s="396"/>
      <c r="N327" s="396"/>
      <c r="O327" s="396"/>
      <c r="P327" s="396"/>
      <c r="Q327" s="396"/>
      <c r="R327" s="396"/>
      <c r="S327" s="396"/>
      <c r="T327" s="396"/>
      <c r="U327" s="388"/>
      <c r="V327" s="396"/>
      <c r="W327" s="388"/>
      <c r="X327" s="396"/>
      <c r="Y327" s="389"/>
      <c r="Z327" s="396"/>
      <c r="AA327" s="388"/>
      <c r="AB327" s="390"/>
    </row>
    <row r="328" spans="1:28">
      <c r="A328" s="391"/>
      <c r="B328" s="392"/>
      <c r="C328" s="393" t="s">
        <v>199</v>
      </c>
      <c r="D328" s="2562">
        <f>VLOOKUP(C325,'Data Panjang Balok'!$C$9:$N$254,7,FALSE)</f>
        <v>4020</v>
      </c>
      <c r="E328" s="2563"/>
      <c r="F328" s="2563"/>
      <c r="G328" s="2563"/>
      <c r="H328" s="2564"/>
      <c r="I328" s="397"/>
      <c r="J328" s="396"/>
      <c r="K328" s="396"/>
      <c r="L328" s="396"/>
      <c r="M328" s="396"/>
      <c r="N328" s="396"/>
      <c r="O328" s="396"/>
      <c r="P328" s="396"/>
      <c r="Q328" s="396"/>
      <c r="R328" s="396"/>
      <c r="S328" s="396"/>
      <c r="T328" s="396"/>
      <c r="U328" s="388"/>
      <c r="V328" s="396"/>
      <c r="W328" s="388"/>
      <c r="X328" s="396"/>
      <c r="Y328" s="389"/>
      <c r="Z328" s="396"/>
      <c r="AA328" s="388"/>
      <c r="AB328" s="390"/>
    </row>
    <row r="329" spans="1:28">
      <c r="A329" s="391"/>
      <c r="B329" s="392"/>
      <c r="C329" s="393" t="s">
        <v>200</v>
      </c>
      <c r="D329" s="2562">
        <f>VLOOKUP(C325,'Data Panjang Balok'!$C$9:$N$254,9,FALSE)</f>
        <v>0</v>
      </c>
      <c r="E329" s="2563"/>
      <c r="F329" s="2563"/>
      <c r="G329" s="2563"/>
      <c r="H329" s="2564"/>
      <c r="I329" s="397"/>
      <c r="J329" s="396"/>
      <c r="K329" s="396"/>
      <c r="L329" s="396"/>
      <c r="M329" s="396"/>
      <c r="N329" s="396"/>
      <c r="O329" s="396"/>
      <c r="P329" s="396"/>
      <c r="Q329" s="396"/>
      <c r="R329" s="396"/>
      <c r="S329" s="396"/>
      <c r="T329" s="396"/>
      <c r="U329" s="388"/>
      <c r="V329" s="396"/>
      <c r="W329" s="388"/>
      <c r="X329" s="396"/>
      <c r="Y329" s="389"/>
      <c r="Z329" s="396"/>
      <c r="AA329" s="388"/>
      <c r="AB329" s="390"/>
    </row>
    <row r="330" spans="1:28">
      <c r="A330" s="391"/>
      <c r="B330" s="392"/>
      <c r="C330" s="393" t="s">
        <v>201</v>
      </c>
      <c r="D330" s="2562">
        <f>VLOOKUP(C325,'Data Panjang Balok'!$C$9:$N$254,10,FALSE)</f>
        <v>0</v>
      </c>
      <c r="E330" s="2563"/>
      <c r="F330" s="2563"/>
      <c r="G330" s="2563"/>
      <c r="H330" s="2564"/>
      <c r="I330" s="397"/>
      <c r="J330" s="396"/>
      <c r="K330" s="396"/>
      <c r="L330" s="396"/>
      <c r="M330" s="396"/>
      <c r="N330" s="396"/>
      <c r="O330" s="396"/>
      <c r="P330" s="396"/>
      <c r="Q330" s="396"/>
      <c r="R330" s="396"/>
      <c r="S330" s="396"/>
      <c r="T330" s="396"/>
      <c r="U330" s="388"/>
      <c r="V330" s="396"/>
      <c r="W330" s="388"/>
      <c r="X330" s="396"/>
      <c r="Y330" s="389"/>
      <c r="Z330" s="396"/>
      <c r="AA330" s="388"/>
      <c r="AB330" s="390"/>
    </row>
    <row r="331" spans="1:28">
      <c r="A331" s="391"/>
      <c r="B331" s="392"/>
      <c r="C331" s="393" t="s">
        <v>48</v>
      </c>
      <c r="D331" s="2562">
        <f>VLOOKUP(C325,'Data Panjang Balok'!$C$9:$N$254,3,FALSE)</f>
        <v>1</v>
      </c>
      <c r="E331" s="2563"/>
      <c r="F331" s="2563"/>
      <c r="G331" s="2563"/>
      <c r="H331" s="2564"/>
      <c r="I331" s="397"/>
      <c r="J331" s="396"/>
      <c r="K331" s="396"/>
      <c r="L331" s="396"/>
      <c r="M331" s="396"/>
      <c r="N331" s="396"/>
      <c r="O331" s="396"/>
      <c r="P331" s="396"/>
      <c r="Q331" s="396"/>
      <c r="R331" s="396"/>
      <c r="S331" s="396"/>
      <c r="T331" s="396"/>
      <c r="U331" s="388"/>
      <c r="V331" s="396"/>
      <c r="W331" s="388"/>
      <c r="X331" s="396"/>
      <c r="Y331" s="389"/>
      <c r="Z331" s="396"/>
      <c r="AA331" s="388"/>
      <c r="AB331" s="390"/>
    </row>
    <row r="332" spans="1:28">
      <c r="A332" s="384" t="str">
        <f t="shared" ref="A332:B332" si="981">A325</f>
        <v>Lantai 1</v>
      </c>
      <c r="B332" s="385">
        <f t="shared" si="981"/>
        <v>11</v>
      </c>
      <c r="C332" s="393" t="s">
        <v>202</v>
      </c>
      <c r="D332" s="398">
        <f>VLOOKUP(D325,'Detail Balok'!$C$10:$AU$140,4,FALSE)</f>
        <v>3</v>
      </c>
      <c r="E332" s="388" t="s">
        <v>16</v>
      </c>
      <c r="F332" s="388">
        <f>VLOOKUP(D325,'Detail Balok'!$C$10:$AU$140,6,FALSE)</f>
        <v>13</v>
      </c>
      <c r="G332" s="388"/>
      <c r="H332" s="395"/>
      <c r="I332" s="388" t="s">
        <v>203</v>
      </c>
      <c r="J332" s="399">
        <f t="shared" ref="J332" si="982">+D327/4/1000</f>
        <v>1.0049999999999999</v>
      </c>
      <c r="K332" s="400" t="s">
        <v>204</v>
      </c>
      <c r="L332" s="399">
        <f t="shared" ref="L332" si="983">MAX(VLOOKUP(F332,N$6:P$15,3,FALSE)/1000,2/3*D329/1000)+F$16*F332/1000</f>
        <v>0.156</v>
      </c>
      <c r="M332" s="399" t="s">
        <v>176</v>
      </c>
      <c r="N332" s="399">
        <f t="shared" ref="N332:N334" si="984">J332+L332</f>
        <v>1.1609999999999998</v>
      </c>
      <c r="O332" s="399" t="s">
        <v>204</v>
      </c>
      <c r="P332" s="389">
        <f t="shared" ref="P332" si="985">D332-D333</f>
        <v>0</v>
      </c>
      <c r="Q332" s="399" t="s">
        <v>125</v>
      </c>
      <c r="R332" s="399">
        <f t="shared" ref="R332" si="986">IF(P332&gt;0,$F$18*F332/1000,0)</f>
        <v>0</v>
      </c>
      <c r="S332" s="399" t="s">
        <v>205</v>
      </c>
      <c r="T332" s="399" t="s">
        <v>125</v>
      </c>
      <c r="U332" s="401">
        <f t="shared" ref="U332:U334" si="987">0.006165*F332^2</f>
        <v>1.041885</v>
      </c>
      <c r="V332" s="399"/>
      <c r="W332" s="399"/>
      <c r="X332" s="399" t="s">
        <v>125</v>
      </c>
      <c r="Y332" s="389">
        <f t="shared" ref="Y332" si="988">D331</f>
        <v>1</v>
      </c>
      <c r="Z332" s="400" t="s">
        <v>176</v>
      </c>
      <c r="AA332" s="402">
        <f t="shared" ref="AA332" si="989">IF(AA335=0,(D332*N332+P332*R332)*U332*Y332,0)</f>
        <v>0</v>
      </c>
      <c r="AB332" s="403"/>
    </row>
    <row r="333" spans="1:28">
      <c r="A333" s="384" t="str">
        <f t="shared" ref="A333:B333" si="990">A325</f>
        <v>Lantai 1</v>
      </c>
      <c r="B333" s="385">
        <f t="shared" si="990"/>
        <v>11</v>
      </c>
      <c r="C333" s="393" t="s">
        <v>206</v>
      </c>
      <c r="D333" s="398">
        <f>VLOOKUP(D325,'Detail Balok'!$C$10:$AU$140,7,FALSE)</f>
        <v>3</v>
      </c>
      <c r="E333" s="388" t="s">
        <v>16</v>
      </c>
      <c r="F333" s="388">
        <f>VLOOKUP(D325,'Detail Balok'!$C$10:$AU$140,9,FALSE)</f>
        <v>13</v>
      </c>
      <c r="G333" s="388"/>
      <c r="H333" s="395"/>
      <c r="I333" s="388" t="s">
        <v>203</v>
      </c>
      <c r="J333" s="399">
        <f t="shared" ref="J333" si="991">+D327/2/1000</f>
        <v>2.0099999999999998</v>
      </c>
      <c r="K333" s="400" t="s">
        <v>204</v>
      </c>
      <c r="L333" s="399"/>
      <c r="M333" s="399" t="s">
        <v>176</v>
      </c>
      <c r="N333" s="399">
        <f t="shared" si="984"/>
        <v>2.0099999999999998</v>
      </c>
      <c r="O333" s="399" t="s">
        <v>204</v>
      </c>
      <c r="P333" s="389">
        <f t="shared" ref="P333" si="992">MAX(D333-D332,D333-D334)</f>
        <v>0</v>
      </c>
      <c r="Q333" s="399" t="s">
        <v>125</v>
      </c>
      <c r="R333" s="399">
        <f t="shared" ref="R333" si="993">IF(P333&gt;0,2*(1-2*$F$19-1/2)*D328/1000,0)</f>
        <v>0</v>
      </c>
      <c r="S333" s="399" t="s">
        <v>205</v>
      </c>
      <c r="T333" s="399" t="s">
        <v>125</v>
      </c>
      <c r="U333" s="401">
        <f t="shared" si="987"/>
        <v>1.041885</v>
      </c>
      <c r="V333" s="399"/>
      <c r="W333" s="399"/>
      <c r="X333" s="399" t="s">
        <v>125</v>
      </c>
      <c r="Y333" s="389">
        <f t="shared" ref="Y333" si="994">D331</f>
        <v>1</v>
      </c>
      <c r="Z333" s="400" t="s">
        <v>176</v>
      </c>
      <c r="AA333" s="402">
        <f t="shared" ref="AA333" si="995">IF(AA335=0,(D333*N333+P333*R333)*U333*Y333,0)</f>
        <v>0</v>
      </c>
      <c r="AB333" s="403"/>
    </row>
    <row r="334" spans="1:28">
      <c r="A334" s="384" t="str">
        <f t="shared" ref="A334:B334" si="996">A325</f>
        <v>Lantai 1</v>
      </c>
      <c r="B334" s="385">
        <f t="shared" si="996"/>
        <v>11</v>
      </c>
      <c r="C334" s="393" t="s">
        <v>202</v>
      </c>
      <c r="D334" s="398">
        <f>VLOOKUP(D325,'Detail Balok'!$C$10:$AU$140,10,FALSE)</f>
        <v>3</v>
      </c>
      <c r="E334" s="388" t="s">
        <v>16</v>
      </c>
      <c r="F334" s="388">
        <f>VLOOKUP(D325,'Detail Balok'!$C$10:$AU$140,12,FALSE)</f>
        <v>13</v>
      </c>
      <c r="G334" s="388"/>
      <c r="H334" s="395"/>
      <c r="I334" s="388" t="s">
        <v>203</v>
      </c>
      <c r="J334" s="399">
        <f t="shared" ref="J334" si="997">+D327/4/1000</f>
        <v>1.0049999999999999</v>
      </c>
      <c r="K334" s="400" t="s">
        <v>204</v>
      </c>
      <c r="L334" s="399">
        <f t="shared" ref="L334" si="998">MAX(VLOOKUP(F334,N$6:P$15,3,FALSE)/1000,2/3*D329/1000)+F$16*F334/1000</f>
        <v>0.156</v>
      </c>
      <c r="M334" s="399" t="s">
        <v>176</v>
      </c>
      <c r="N334" s="399">
        <f t="shared" si="984"/>
        <v>1.1609999999999998</v>
      </c>
      <c r="O334" s="399" t="s">
        <v>204</v>
      </c>
      <c r="P334" s="389">
        <f t="shared" ref="P334" si="999">D334-D333</f>
        <v>0</v>
      </c>
      <c r="Q334" s="399" t="s">
        <v>125</v>
      </c>
      <c r="R334" s="399">
        <f t="shared" ref="R334" si="1000">IF(P334&gt;0,$F$18*F334/1000,0)</f>
        <v>0</v>
      </c>
      <c r="S334" s="399" t="s">
        <v>205</v>
      </c>
      <c r="T334" s="399" t="s">
        <v>125</v>
      </c>
      <c r="U334" s="401">
        <f t="shared" si="987"/>
        <v>1.041885</v>
      </c>
      <c r="V334" s="399"/>
      <c r="W334" s="399"/>
      <c r="X334" s="399" t="s">
        <v>125</v>
      </c>
      <c r="Y334" s="389">
        <f t="shared" ref="Y334" si="1001">D331</f>
        <v>1</v>
      </c>
      <c r="Z334" s="400" t="s">
        <v>176</v>
      </c>
      <c r="AA334" s="402">
        <f t="shared" ref="AA334" si="1002">IF(AA335=0,(D334*N334+P334*R334)*U334*Y334,0)</f>
        <v>0</v>
      </c>
      <c r="AB334" s="403"/>
    </row>
    <row r="335" spans="1:28">
      <c r="A335" s="384" t="str">
        <f t="shared" ref="A335:B335" si="1003">A325</f>
        <v>Lantai 1</v>
      </c>
      <c r="B335" s="385">
        <f t="shared" si="1003"/>
        <v>11</v>
      </c>
      <c r="C335" s="393"/>
      <c r="D335" s="398">
        <f t="shared" si="899"/>
        <v>3</v>
      </c>
      <c r="E335" s="388" t="s">
        <v>16</v>
      </c>
      <c r="F335" s="388">
        <f t="shared" si="900"/>
        <v>13</v>
      </c>
      <c r="G335" s="388"/>
      <c r="H335" s="395"/>
      <c r="I335" s="388"/>
      <c r="J335" s="396"/>
      <c r="K335" s="396"/>
      <c r="L335" s="404" t="s">
        <v>207</v>
      </c>
      <c r="M335" s="399" t="s">
        <v>176</v>
      </c>
      <c r="N335" s="399">
        <f t="shared" ref="N335" si="1004">IF(AND(D332=D333,D332=D334,D333=D334,F332=F333,F332=F334,F333=F334),SUM(N332:N334),0)</f>
        <v>4.331999999999999</v>
      </c>
      <c r="O335" s="399" t="s">
        <v>204</v>
      </c>
      <c r="P335" s="389">
        <f t="shared" ref="P335" si="1005">IF(N335&gt;12,ROUNDDOWN(N335/12,0),0)</f>
        <v>0</v>
      </c>
      <c r="Q335" s="399" t="s">
        <v>125</v>
      </c>
      <c r="R335" s="399">
        <f t="shared" ref="R335" si="1006">IF(P335&gt;0,MAX(VLOOKUP(F335,$D$6:$G$15,3,FALSE),600),0)/1000</f>
        <v>0</v>
      </c>
      <c r="S335" s="396"/>
      <c r="T335" s="396" t="s">
        <v>125</v>
      </c>
      <c r="U335" s="401">
        <f t="shared" si="904"/>
        <v>1.041885</v>
      </c>
      <c r="V335" s="396" t="s">
        <v>125</v>
      </c>
      <c r="W335" s="399">
        <f t="shared" ref="W335" si="1007">D335</f>
        <v>3</v>
      </c>
      <c r="X335" s="399" t="s">
        <v>125</v>
      </c>
      <c r="Y335" s="389">
        <f t="shared" si="906"/>
        <v>1</v>
      </c>
      <c r="Z335" s="400" t="s">
        <v>176</v>
      </c>
      <c r="AA335" s="402">
        <f t="shared" ref="AA335" si="1008">(N335+P335*R335/1000)*U335*W335*Y335</f>
        <v>13.540337459999996</v>
      </c>
      <c r="AB335" s="390"/>
    </row>
    <row r="336" spans="1:28">
      <c r="A336" s="384"/>
      <c r="B336" s="385"/>
      <c r="C336" s="393"/>
      <c r="D336" s="398"/>
      <c r="E336" s="388"/>
      <c r="F336" s="388"/>
      <c r="G336" s="388"/>
      <c r="H336" s="395"/>
      <c r="I336" s="388"/>
      <c r="J336" s="396"/>
      <c r="K336" s="396"/>
      <c r="L336" s="404"/>
      <c r="M336" s="399"/>
      <c r="N336" s="399"/>
      <c r="O336" s="396"/>
      <c r="P336" s="389"/>
      <c r="Q336" s="396"/>
      <c r="R336" s="396"/>
      <c r="S336" s="396"/>
      <c r="T336" s="396"/>
      <c r="U336" s="401"/>
      <c r="V336" s="396"/>
      <c r="W336" s="399"/>
      <c r="X336" s="396"/>
      <c r="Y336" s="389"/>
      <c r="Z336" s="396"/>
      <c r="AA336" s="388"/>
      <c r="AB336" s="390"/>
    </row>
    <row r="337" spans="1:28">
      <c r="A337" s="384" t="str">
        <f t="shared" ref="A337:B337" si="1009">A325</f>
        <v>Lantai 1</v>
      </c>
      <c r="B337" s="385">
        <f t="shared" si="1009"/>
        <v>11</v>
      </c>
      <c r="C337" s="393" t="s">
        <v>208</v>
      </c>
      <c r="D337" s="398">
        <f>VLOOKUP(D325,'Detail Balok'!$C$10:$AU$140,13,FALSE)</f>
        <v>0</v>
      </c>
      <c r="E337" s="388" t="s">
        <v>16</v>
      </c>
      <c r="F337" s="388">
        <f>VLOOKUP(D325,'Detail Balok'!$C$10:$AU$140,15,FALSE)</f>
        <v>8</v>
      </c>
      <c r="G337" s="388"/>
      <c r="H337" s="395"/>
      <c r="I337" s="388"/>
      <c r="J337" s="399">
        <f t="shared" ref="J337" si="1010">+D327/1000</f>
        <v>4.0199999999999996</v>
      </c>
      <c r="K337" s="400" t="s">
        <v>204</v>
      </c>
      <c r="L337" s="399">
        <f t="shared" ref="L337" si="1011">2*$F$16*F337/1000</f>
        <v>0.192</v>
      </c>
      <c r="M337" s="399" t="s">
        <v>176</v>
      </c>
      <c r="N337" s="399">
        <f t="shared" ref="N337" si="1012">J337+L337</f>
        <v>4.2119999999999997</v>
      </c>
      <c r="O337" s="399" t="s">
        <v>204</v>
      </c>
      <c r="P337" s="389">
        <f t="shared" ref="P337" si="1013">IF(N337&gt;12,ROUNDDOWN(N337/12,0),0)</f>
        <v>0</v>
      </c>
      <c r="Q337" s="399" t="s">
        <v>125</v>
      </c>
      <c r="R337" s="399">
        <f t="shared" ref="R337" si="1014">IF(P337&gt;0,MAX(VLOOKUP(F337,$D$6:$G$15,3,FALSE),600),0)/1000</f>
        <v>0</v>
      </c>
      <c r="S337" s="399"/>
      <c r="T337" s="399" t="s">
        <v>125</v>
      </c>
      <c r="U337" s="401">
        <f t="shared" ref="U337" si="1015">0.006165*F337^2</f>
        <v>0.39456000000000002</v>
      </c>
      <c r="V337" s="399" t="s">
        <v>125</v>
      </c>
      <c r="W337" s="399">
        <f t="shared" ref="W337" si="1016">+D337</f>
        <v>0</v>
      </c>
      <c r="X337" s="399" t="s">
        <v>125</v>
      </c>
      <c r="Y337" s="389">
        <f t="shared" ref="Y337" si="1017">D331</f>
        <v>1</v>
      </c>
      <c r="Z337" s="400" t="s">
        <v>176</v>
      </c>
      <c r="AA337" s="402">
        <f t="shared" ref="AA337" si="1018">(N337+P337*R337/1000)*U337*W337*Y337</f>
        <v>0</v>
      </c>
      <c r="AB337" s="403"/>
    </row>
    <row r="338" spans="1:28">
      <c r="A338" s="384"/>
      <c r="B338" s="385"/>
      <c r="C338" s="393"/>
      <c r="D338" s="398"/>
      <c r="E338" s="388"/>
      <c r="F338" s="388"/>
      <c r="G338" s="388"/>
      <c r="H338" s="395"/>
      <c r="I338" s="388"/>
      <c r="J338" s="399"/>
      <c r="K338" s="400"/>
      <c r="L338" s="399"/>
      <c r="M338" s="399"/>
      <c r="N338" s="399"/>
      <c r="O338" s="399"/>
      <c r="P338" s="389"/>
      <c r="Q338" s="399"/>
      <c r="R338" s="399"/>
      <c r="S338" s="399"/>
      <c r="T338" s="399"/>
      <c r="U338" s="401"/>
      <c r="V338" s="399"/>
      <c r="W338" s="399"/>
      <c r="X338" s="399"/>
      <c r="Y338" s="389"/>
      <c r="Z338" s="400"/>
      <c r="AA338" s="402"/>
      <c r="AB338" s="403"/>
    </row>
    <row r="339" spans="1:28">
      <c r="A339" s="384"/>
      <c r="B339" s="385"/>
      <c r="C339" s="393"/>
      <c r="D339" s="398"/>
      <c r="E339" s="388"/>
      <c r="F339" s="388"/>
      <c r="G339" s="388"/>
      <c r="H339" s="395"/>
      <c r="I339" s="388"/>
      <c r="J339" s="396"/>
      <c r="K339" s="396"/>
      <c r="L339" s="396"/>
      <c r="M339" s="396"/>
      <c r="N339" s="396"/>
      <c r="O339" s="396"/>
      <c r="P339" s="389"/>
      <c r="Q339" s="396"/>
      <c r="R339" s="396"/>
      <c r="S339" s="396"/>
      <c r="T339" s="396"/>
      <c r="U339" s="401"/>
      <c r="V339" s="396"/>
      <c r="W339" s="399"/>
      <c r="X339" s="396"/>
      <c r="Y339" s="389"/>
      <c r="Z339" s="396"/>
      <c r="AA339" s="388"/>
      <c r="AB339" s="390"/>
    </row>
    <row r="340" spans="1:28">
      <c r="A340" s="384" t="str">
        <f t="shared" ref="A340:B340" si="1019">A325</f>
        <v>Lantai 1</v>
      </c>
      <c r="B340" s="385">
        <f t="shared" si="1019"/>
        <v>11</v>
      </c>
      <c r="C340" s="393" t="s">
        <v>209</v>
      </c>
      <c r="D340" s="398">
        <f>VLOOKUP(D325,'Detail Balok'!$C$10:$AU$140,22,FALSE)</f>
        <v>3</v>
      </c>
      <c r="E340" s="388" t="s">
        <v>16</v>
      </c>
      <c r="F340" s="388">
        <f>VLOOKUP(D325,'Detail Balok'!$C$10:$AU$140,24,FALSE)</f>
        <v>13</v>
      </c>
      <c r="G340" s="388"/>
      <c r="H340" s="395"/>
      <c r="I340" s="388" t="s">
        <v>203</v>
      </c>
      <c r="J340" s="399">
        <f t="shared" si="919"/>
        <v>1.0049999999999999</v>
      </c>
      <c r="K340" s="400" t="s">
        <v>204</v>
      </c>
      <c r="L340" s="399">
        <f t="shared" ref="L340" si="1020">MAX(VLOOKUP(F340,N$6:P$15,3,FALSE)/1000,2/3*D330/1000)+F$16*F340/1000</f>
        <v>0.156</v>
      </c>
      <c r="M340" s="399" t="s">
        <v>176</v>
      </c>
      <c r="N340" s="399">
        <f t="shared" ref="N340:N342" si="1021">J340+L340</f>
        <v>1.1609999999999998</v>
      </c>
      <c r="O340" s="399" t="s">
        <v>204</v>
      </c>
      <c r="P340" s="389">
        <f t="shared" ref="P340" si="1022">D340-D341</f>
        <v>0</v>
      </c>
      <c r="Q340" s="399" t="s">
        <v>125</v>
      </c>
      <c r="R340" s="399">
        <f t="shared" ref="R340" si="1023">IF(P340&gt;0,$F$18*F340/1000,0)</f>
        <v>0</v>
      </c>
      <c r="S340" s="399" t="s">
        <v>205</v>
      </c>
      <c r="T340" s="399" t="s">
        <v>125</v>
      </c>
      <c r="U340" s="401">
        <f t="shared" ref="U340:U342" si="1024">0.006165*F340^2</f>
        <v>1.041885</v>
      </c>
      <c r="V340" s="399"/>
      <c r="W340" s="399"/>
      <c r="X340" s="399" t="s">
        <v>125</v>
      </c>
      <c r="Y340" s="389">
        <f t="shared" ref="Y340" si="1025">D331</f>
        <v>1</v>
      </c>
      <c r="Z340" s="400" t="s">
        <v>176</v>
      </c>
      <c r="AA340" s="402">
        <f t="shared" ref="AA340" si="1026">IF(AA343=0,(D340*N340+P340*R340)*U340*Y340,0)</f>
        <v>0</v>
      </c>
      <c r="AB340" s="403"/>
    </row>
    <row r="341" spans="1:28">
      <c r="A341" s="384" t="str">
        <f t="shared" ref="A341:B341" si="1027">A325</f>
        <v>Lantai 1</v>
      </c>
      <c r="B341" s="385">
        <f t="shared" si="1027"/>
        <v>11</v>
      </c>
      <c r="C341" s="393" t="s">
        <v>210</v>
      </c>
      <c r="D341" s="398">
        <f>VLOOKUP(D325,'Detail Balok'!$C$10:$AU$140,25,FALSE)</f>
        <v>3</v>
      </c>
      <c r="E341" s="388" t="s">
        <v>16</v>
      </c>
      <c r="F341" s="388">
        <f>VLOOKUP(D325,'Detail Balok'!$C$10:$AU$140,27,FALSE)</f>
        <v>13</v>
      </c>
      <c r="G341" s="388"/>
      <c r="H341" s="395"/>
      <c r="I341" s="388" t="s">
        <v>203</v>
      </c>
      <c r="J341" s="399">
        <f t="shared" si="919"/>
        <v>2.0099999999999998</v>
      </c>
      <c r="K341" s="400" t="s">
        <v>204</v>
      </c>
      <c r="L341" s="399"/>
      <c r="M341" s="399" t="s">
        <v>176</v>
      </c>
      <c r="N341" s="399">
        <f t="shared" si="1021"/>
        <v>2.0099999999999998</v>
      </c>
      <c r="O341" s="399" t="s">
        <v>204</v>
      </c>
      <c r="P341" s="389">
        <f t="shared" ref="P341" si="1028">MAX(D341-D340,D341-D342)</f>
        <v>0</v>
      </c>
      <c r="Q341" s="399" t="s">
        <v>125</v>
      </c>
      <c r="R341" s="399">
        <f t="shared" ref="R341" si="1029">IF(P341&gt;0,2*(1-2*$F$19-1/2)*D328/1000,0)</f>
        <v>0</v>
      </c>
      <c r="S341" s="399" t="s">
        <v>205</v>
      </c>
      <c r="T341" s="399" t="s">
        <v>125</v>
      </c>
      <c r="U341" s="401">
        <f t="shared" si="1024"/>
        <v>1.041885</v>
      </c>
      <c r="V341" s="399"/>
      <c r="W341" s="399"/>
      <c r="X341" s="399" t="s">
        <v>125</v>
      </c>
      <c r="Y341" s="389">
        <f t="shared" ref="Y341" si="1030">D331</f>
        <v>1</v>
      </c>
      <c r="Z341" s="400" t="s">
        <v>176</v>
      </c>
      <c r="AA341" s="402">
        <f t="shared" ref="AA341" si="1031">IF(AA343=0,(D341*N341+P341*R341)*U341*Y341,0)</f>
        <v>0</v>
      </c>
      <c r="AB341" s="403"/>
    </row>
    <row r="342" spans="1:28">
      <c r="A342" s="384" t="str">
        <f t="shared" ref="A342:B342" si="1032">A325</f>
        <v>Lantai 1</v>
      </c>
      <c r="B342" s="385">
        <f t="shared" si="1032"/>
        <v>11</v>
      </c>
      <c r="C342" s="393" t="s">
        <v>209</v>
      </c>
      <c r="D342" s="398">
        <f>VLOOKUP(D325,'Detail Balok'!$C$10:$AU$140,28,FALSE)</f>
        <v>3</v>
      </c>
      <c r="E342" s="388" t="s">
        <v>16</v>
      </c>
      <c r="F342" s="388">
        <f>VLOOKUP(D325,'Detail Balok'!$C$10:$AU$140,30,FALSE)</f>
        <v>13</v>
      </c>
      <c r="G342" s="388"/>
      <c r="H342" s="395"/>
      <c r="I342" s="388" t="s">
        <v>203</v>
      </c>
      <c r="J342" s="399">
        <f t="shared" si="919"/>
        <v>1.0049999999999999</v>
      </c>
      <c r="K342" s="400" t="s">
        <v>204</v>
      </c>
      <c r="L342" s="399">
        <f t="shared" ref="L342" si="1033">MAX(VLOOKUP(F342,N$6:P$15,3,FALSE)/1000,2/3*D330/1000)+F$16*F342/1000</f>
        <v>0.156</v>
      </c>
      <c r="M342" s="399" t="s">
        <v>176</v>
      </c>
      <c r="N342" s="399">
        <f t="shared" si="1021"/>
        <v>1.1609999999999998</v>
      </c>
      <c r="O342" s="399" t="s">
        <v>204</v>
      </c>
      <c r="P342" s="389">
        <f t="shared" ref="P342" si="1034">D342-D341</f>
        <v>0</v>
      </c>
      <c r="Q342" s="399" t="s">
        <v>125</v>
      </c>
      <c r="R342" s="399">
        <f t="shared" ref="R342" si="1035">IF(P342&gt;0,$F$18*F342/1000,0)</f>
        <v>0</v>
      </c>
      <c r="S342" s="399" t="s">
        <v>205</v>
      </c>
      <c r="T342" s="399" t="s">
        <v>125</v>
      </c>
      <c r="U342" s="401">
        <f t="shared" si="1024"/>
        <v>1.041885</v>
      </c>
      <c r="V342" s="399"/>
      <c r="W342" s="399"/>
      <c r="X342" s="399" t="s">
        <v>125</v>
      </c>
      <c r="Y342" s="389">
        <f t="shared" ref="Y342" si="1036">D331</f>
        <v>1</v>
      </c>
      <c r="Z342" s="400" t="s">
        <v>176</v>
      </c>
      <c r="AA342" s="402">
        <f t="shared" ref="AA342" si="1037">IF(AA343=0,(D342*N342+P342*R342)*U342*Y342,0)</f>
        <v>0</v>
      </c>
      <c r="AB342" s="403"/>
    </row>
    <row r="343" spans="1:28">
      <c r="A343" s="384" t="str">
        <f t="shared" ref="A343:B343" si="1038">A325</f>
        <v>Lantai 1</v>
      </c>
      <c r="B343" s="385">
        <f t="shared" si="1038"/>
        <v>11</v>
      </c>
      <c r="C343" s="393"/>
      <c r="D343" s="398">
        <f t="shared" si="939"/>
        <v>3</v>
      </c>
      <c r="E343" s="388" t="s">
        <v>16</v>
      </c>
      <c r="F343" s="388">
        <f t="shared" si="940"/>
        <v>13</v>
      </c>
      <c r="G343" s="388"/>
      <c r="H343" s="395"/>
      <c r="I343" s="388"/>
      <c r="J343" s="396"/>
      <c r="K343" s="396"/>
      <c r="L343" s="404" t="s">
        <v>207</v>
      </c>
      <c r="M343" s="399" t="s">
        <v>176</v>
      </c>
      <c r="N343" s="399">
        <f t="shared" ref="N343" si="1039">IF(AND(D340=D341,D340=D342,D341=D342,F340=F341,F340=F342,F341=F342),SUM(N340:N342),0)</f>
        <v>4.331999999999999</v>
      </c>
      <c r="O343" s="399" t="s">
        <v>204</v>
      </c>
      <c r="P343" s="389">
        <f t="shared" ref="P343" si="1040">IF(N343&gt;12,ROUNDDOWN(N343/12,0),0)</f>
        <v>0</v>
      </c>
      <c r="Q343" s="399" t="s">
        <v>125</v>
      </c>
      <c r="R343" s="399">
        <f t="shared" ref="R343" si="1041">IF(P343&gt;0,MAX(VLOOKUP(F343,$D$6:$G$15,3,FALSE),600),0)/1000</f>
        <v>0</v>
      </c>
      <c r="S343" s="396"/>
      <c r="T343" s="396" t="s">
        <v>125</v>
      </c>
      <c r="U343" s="401">
        <f t="shared" si="944"/>
        <v>1.041885</v>
      </c>
      <c r="V343" s="396" t="s">
        <v>125</v>
      </c>
      <c r="W343" s="399">
        <f t="shared" ref="W343" si="1042">D343</f>
        <v>3</v>
      </c>
      <c r="X343" s="399" t="s">
        <v>125</v>
      </c>
      <c r="Y343" s="389">
        <f t="shared" si="946"/>
        <v>1</v>
      </c>
      <c r="Z343" s="400" t="s">
        <v>176</v>
      </c>
      <c r="AA343" s="402">
        <f t="shared" ref="AA343" si="1043">(N343+P343*R343/1000)*U343*W343*Y343</f>
        <v>13.540337459999996</v>
      </c>
      <c r="AB343" s="403"/>
    </row>
    <row r="344" spans="1:28">
      <c r="A344" s="384"/>
      <c r="B344" s="385"/>
      <c r="C344" s="393"/>
      <c r="D344" s="394"/>
      <c r="E344" s="388"/>
      <c r="F344" s="388"/>
      <c r="G344" s="388"/>
      <c r="H344" s="395"/>
      <c r="I344" s="388"/>
      <c r="J344" s="399"/>
      <c r="K344" s="396"/>
      <c r="L344" s="396"/>
      <c r="M344" s="396"/>
      <c r="N344" s="396"/>
      <c r="O344" s="396"/>
      <c r="P344" s="389"/>
      <c r="Q344" s="396"/>
      <c r="R344" s="396"/>
      <c r="S344" s="396"/>
      <c r="T344" s="396"/>
      <c r="U344" s="401"/>
      <c r="V344" s="396"/>
      <c r="W344" s="388"/>
      <c r="X344" s="396"/>
      <c r="Y344" s="389"/>
      <c r="Z344" s="396"/>
      <c r="AA344" s="388"/>
      <c r="AB344" s="390"/>
    </row>
    <row r="345" spans="1:28">
      <c r="A345" s="384" t="str">
        <f t="shared" ref="A345:B345" si="1044">A325</f>
        <v>Lantai 1</v>
      </c>
      <c r="B345" s="385">
        <f t="shared" si="1044"/>
        <v>11</v>
      </c>
      <c r="C345" s="393" t="s">
        <v>211</v>
      </c>
      <c r="D345" s="398">
        <f>VLOOKUP(D325,'Detail Balok'!$C$10:$AU$140,31,FALSE)</f>
        <v>0</v>
      </c>
      <c r="E345" s="388" t="s">
        <v>16</v>
      </c>
      <c r="F345" s="388">
        <f>VLOOKUP(D325,'Detail Balok'!$C$10:$AU$140,33,FALSE)</f>
        <v>8</v>
      </c>
      <c r="G345" s="405" t="s">
        <v>157</v>
      </c>
      <c r="H345" s="395">
        <f>VLOOKUP(D325,'Detail Balok'!$C$10:$AU$140,35,FALSE)</f>
        <v>150</v>
      </c>
      <c r="I345" s="388"/>
      <c r="J345" s="400">
        <f t="shared" ref="J345" si="1045">(IF(D345=0,(2*(D326+G326))-(F$5*8),IF(D345=3,(2*(D326+G326))-(F$5*8)+(G326-2*F$5),IF(D345=4,(2*(D326+G326))-(F$5*8)+2*(G326-2*F$5)))))/1000</f>
        <v>0.88</v>
      </c>
      <c r="K345" s="400" t="s">
        <v>204</v>
      </c>
      <c r="L345" s="399">
        <f t="shared" ref="L345:L347" si="1046">IF(D345=0,2*MAX(6*F345,75),(D345-1)*2*MAX(6*F345,75))/1000</f>
        <v>0.15</v>
      </c>
      <c r="M345" s="399" t="s">
        <v>176</v>
      </c>
      <c r="N345" s="399">
        <f t="shared" ref="N345:N347" si="1047">J345+L345</f>
        <v>1.03</v>
      </c>
      <c r="O345" s="399"/>
      <c r="P345" s="389"/>
      <c r="Q345" s="399"/>
      <c r="R345" s="399"/>
      <c r="S345" s="399"/>
      <c r="T345" s="399" t="s">
        <v>125</v>
      </c>
      <c r="U345" s="401">
        <f t="shared" ref="U345:U347" si="1048">0.006165*F345^2</f>
        <v>0.39456000000000002</v>
      </c>
      <c r="V345" s="399" t="s">
        <v>125</v>
      </c>
      <c r="W345" s="399">
        <f t="shared" ref="W345" si="1049">IF(D328&gt;4*G326,ROUND(MAX(D328/4,2*G326)/H345,0)+1,ROUND(D328/H345,0)+1)</f>
        <v>8</v>
      </c>
      <c r="X345" s="399" t="s">
        <v>125</v>
      </c>
      <c r="Y345" s="389">
        <f t="shared" ref="Y345" si="1050">D331</f>
        <v>1</v>
      </c>
      <c r="Z345" s="400" t="s">
        <v>176</v>
      </c>
      <c r="AA345" s="402">
        <f t="shared" ref="AA345:AA347" si="1051">N345*U345*W345*Y345</f>
        <v>3.2511744000000005</v>
      </c>
      <c r="AB345" s="403"/>
    </row>
    <row r="346" spans="1:28">
      <c r="A346" s="384" t="str">
        <f t="shared" ref="A346:B346" si="1052">A325</f>
        <v>Lantai 1</v>
      </c>
      <c r="B346" s="385">
        <f t="shared" si="1052"/>
        <v>11</v>
      </c>
      <c r="C346" s="393" t="s">
        <v>212</v>
      </c>
      <c r="D346" s="398">
        <f>VLOOKUP(D325,'Detail Balok'!$C$10:$AU$140,36,FALSE)</f>
        <v>0</v>
      </c>
      <c r="E346" s="388" t="s">
        <v>16</v>
      </c>
      <c r="F346" s="388">
        <f>VLOOKUP(D325,'Detail Balok'!$C$10:$AU$140,38,FALSE)</f>
        <v>8</v>
      </c>
      <c r="G346" s="405" t="s">
        <v>157</v>
      </c>
      <c r="H346" s="395">
        <f>VLOOKUP(D325,'Detail Balok'!$C$10:$AU$140,40,FALSE)</f>
        <v>200</v>
      </c>
      <c r="I346" s="388"/>
      <c r="J346" s="400">
        <f t="shared" ref="J346" si="1053">(IF(D346=0,(2*(D326+G326))-(F$5*8),IF(D346=3,(2*(D326+G326))-(F$5*8)+(G326-2*F$5),IF(D346=4,(2*(D326+G326))-(F$5*8)+2*(G326-2*F$5)))))/1000</f>
        <v>0.88</v>
      </c>
      <c r="K346" s="400" t="s">
        <v>204</v>
      </c>
      <c r="L346" s="399">
        <f t="shared" si="1046"/>
        <v>0.15</v>
      </c>
      <c r="M346" s="399" t="s">
        <v>176</v>
      </c>
      <c r="N346" s="399">
        <f t="shared" si="1047"/>
        <v>1.03</v>
      </c>
      <c r="O346" s="399"/>
      <c r="P346" s="389"/>
      <c r="Q346" s="399"/>
      <c r="R346" s="399"/>
      <c r="S346" s="399"/>
      <c r="T346" s="399" t="s">
        <v>125</v>
      </c>
      <c r="U346" s="401">
        <f t="shared" si="1048"/>
        <v>0.39456000000000002</v>
      </c>
      <c r="V346" s="399" t="s">
        <v>125</v>
      </c>
      <c r="W346" s="399">
        <f t="shared" ref="W346" si="1054">IF(D328-MAX(D328/4,2*G326)*2&gt;0,ROUND((D328-MAX(D328/4,2*G326)*2)/H346,0),0)</f>
        <v>10</v>
      </c>
      <c r="X346" s="399" t="s">
        <v>125</v>
      </c>
      <c r="Y346" s="389">
        <f t="shared" ref="Y346" si="1055">D331</f>
        <v>1</v>
      </c>
      <c r="Z346" s="400" t="s">
        <v>176</v>
      </c>
      <c r="AA346" s="402">
        <f t="shared" si="1051"/>
        <v>4.0639680000000009</v>
      </c>
      <c r="AB346" s="403"/>
    </row>
    <row r="347" spans="1:28">
      <c r="A347" s="384" t="str">
        <f t="shared" ref="A347:B347" si="1056">A325</f>
        <v>Lantai 1</v>
      </c>
      <c r="B347" s="385">
        <f t="shared" si="1056"/>
        <v>11</v>
      </c>
      <c r="C347" s="393" t="s">
        <v>211</v>
      </c>
      <c r="D347" s="398">
        <f>VLOOKUP(D325,'Detail Balok'!$C$10:$AU$140,41,FALSE)</f>
        <v>0</v>
      </c>
      <c r="E347" s="388" t="s">
        <v>16</v>
      </c>
      <c r="F347" s="388">
        <f>VLOOKUP(D325,'Detail Balok'!$C$10:$AU$140,43,FALSE)</f>
        <v>8</v>
      </c>
      <c r="G347" s="405" t="s">
        <v>157</v>
      </c>
      <c r="H347" s="395">
        <f>VLOOKUP(D325,'Detail Balok'!$C$10:$AU$140,45,FALSE)</f>
        <v>150</v>
      </c>
      <c r="I347" s="388"/>
      <c r="J347" s="400">
        <f t="shared" ref="J347" si="1057">(IF(D347=0,(2*(D326+G326))-(F$5*8),IF(D347=3,(2*(D326+G326))-(F$5*8)+(G326-2*F$5),IF(D347=4,(2*(D326+G326))-(F$5*8)+2*(G326-2*F$5)))))/1000</f>
        <v>0.88</v>
      </c>
      <c r="K347" s="400" t="s">
        <v>204</v>
      </c>
      <c r="L347" s="399">
        <f t="shared" si="1046"/>
        <v>0.15</v>
      </c>
      <c r="M347" s="399" t="s">
        <v>176</v>
      </c>
      <c r="N347" s="399">
        <f t="shared" si="1047"/>
        <v>1.03</v>
      </c>
      <c r="O347" s="399"/>
      <c r="P347" s="389"/>
      <c r="Q347" s="399"/>
      <c r="R347" s="399"/>
      <c r="S347" s="399"/>
      <c r="T347" s="399" t="s">
        <v>125</v>
      </c>
      <c r="U347" s="401">
        <f t="shared" si="1048"/>
        <v>0.39456000000000002</v>
      </c>
      <c r="V347" s="399" t="s">
        <v>125</v>
      </c>
      <c r="W347" s="399">
        <f t="shared" ref="W347" si="1058">IF(D328&gt;4*G326,ROUND(MAX(D328/4,2*G326)/H347,0)+1,0)</f>
        <v>8</v>
      </c>
      <c r="X347" s="399" t="s">
        <v>125</v>
      </c>
      <c r="Y347" s="389">
        <f t="shared" ref="Y347" si="1059">D331</f>
        <v>1</v>
      </c>
      <c r="Z347" s="400" t="s">
        <v>176</v>
      </c>
      <c r="AA347" s="402">
        <f t="shared" si="1051"/>
        <v>3.2511744000000005</v>
      </c>
      <c r="AB347" s="403"/>
    </row>
    <row r="348" spans="1:28">
      <c r="A348" s="384"/>
      <c r="B348" s="385"/>
      <c r="C348" s="393"/>
      <c r="D348" s="394"/>
      <c r="E348" s="388"/>
      <c r="F348" s="388"/>
      <c r="G348" s="388"/>
      <c r="H348" s="395"/>
      <c r="I348" s="388"/>
      <c r="J348" s="399"/>
      <c r="K348" s="396"/>
      <c r="L348" s="396"/>
      <c r="M348" s="396"/>
      <c r="N348" s="396"/>
      <c r="O348" s="396"/>
      <c r="P348" s="389"/>
      <c r="Q348" s="396"/>
      <c r="R348" s="396"/>
      <c r="S348" s="396"/>
      <c r="T348" s="396"/>
      <c r="U348" s="401"/>
      <c r="V348" s="396"/>
      <c r="W348" s="388"/>
      <c r="X348" s="396"/>
      <c r="Y348" s="389"/>
      <c r="Z348" s="396"/>
      <c r="AA348" s="388"/>
      <c r="AB348" s="390"/>
    </row>
    <row r="349" spans="1:28">
      <c r="A349" s="384" t="str">
        <f t="shared" ref="A349:B349" si="1060">A325</f>
        <v>Lantai 1</v>
      </c>
      <c r="B349" s="385">
        <f t="shared" si="1060"/>
        <v>11</v>
      </c>
      <c r="C349" s="393" t="s">
        <v>213</v>
      </c>
      <c r="D349" s="398">
        <f>VLOOKUP(D325,'Detail Balok'!$C$10:$BJ$140,46,FALSE)</f>
        <v>0</v>
      </c>
      <c r="E349" s="388" t="s">
        <v>16</v>
      </c>
      <c r="F349" s="388">
        <f>VLOOKUP(D325,'Detail Balok'!$C$10:$BJ$140,48,FALSE)</f>
        <v>0</v>
      </c>
      <c r="G349" s="405" t="s">
        <v>157</v>
      </c>
      <c r="H349" s="395">
        <f>VLOOKUP(D325,'Detail Balok'!$C$10:$BJ$140,50,FALSE)</f>
        <v>100</v>
      </c>
      <c r="I349" s="388"/>
      <c r="J349" s="399">
        <f t="shared" ref="J349" si="1061">(D326-2*F$5)/1000</f>
        <v>0.12</v>
      </c>
      <c r="K349" s="400" t="s">
        <v>204</v>
      </c>
      <c r="L349" s="399">
        <f t="shared" ref="L349:L351" si="1062">IF(D349=0,2*MAX(6*F349,75),(D349-1)*2*MAX(6*F349,75))/1000</f>
        <v>0.15</v>
      </c>
      <c r="M349" s="399" t="s">
        <v>176</v>
      </c>
      <c r="N349" s="399">
        <f t="shared" ref="N349:N351" si="1063">J349+L349</f>
        <v>0.27</v>
      </c>
      <c r="O349" s="399"/>
      <c r="P349" s="399"/>
      <c r="Q349" s="399"/>
      <c r="R349" s="399"/>
      <c r="S349" s="399"/>
      <c r="T349" s="399" t="s">
        <v>125</v>
      </c>
      <c r="U349" s="401">
        <f t="shared" ref="U349:U351" si="1064">0.006165*F349^2</f>
        <v>0</v>
      </c>
      <c r="V349" s="399" t="s">
        <v>125</v>
      </c>
      <c r="W349" s="399">
        <f t="shared" si="969"/>
        <v>8</v>
      </c>
      <c r="X349" s="399" t="s">
        <v>125</v>
      </c>
      <c r="Y349" s="389">
        <f t="shared" ref="Y349" si="1065">D335</f>
        <v>3</v>
      </c>
      <c r="Z349" s="400" t="s">
        <v>176</v>
      </c>
      <c r="AA349" s="402">
        <f t="shared" ref="AA349:AA351" si="1066">N349*U349*W349*Y349</f>
        <v>0</v>
      </c>
      <c r="AB349" s="403"/>
    </row>
    <row r="350" spans="1:28">
      <c r="A350" s="384" t="str">
        <f t="shared" ref="A350:B350" si="1067">A325</f>
        <v>Lantai 1</v>
      </c>
      <c r="B350" s="385">
        <f t="shared" si="1067"/>
        <v>11</v>
      </c>
      <c r="C350" s="393" t="s">
        <v>214</v>
      </c>
      <c r="D350" s="398">
        <f>VLOOKUP(D325,'Detail Balok'!$C$10:$BJ$140,51,FALSE)</f>
        <v>0</v>
      </c>
      <c r="E350" s="388" t="s">
        <v>16</v>
      </c>
      <c r="F350" s="388">
        <f>VLOOKUP(D325,'Detail Balok'!$C$10:$BJ$140,53,FALSE)</f>
        <v>0</v>
      </c>
      <c r="G350" s="405" t="s">
        <v>157</v>
      </c>
      <c r="H350" s="395">
        <f>VLOOKUP(D325,'Detail Balok'!$C$10:$BJ$140,55,FALSE)</f>
        <v>100</v>
      </c>
      <c r="I350" s="388"/>
      <c r="J350" s="399">
        <f t="shared" ref="J350" si="1068">(D326-2*F$5)/1000</f>
        <v>0.12</v>
      </c>
      <c r="K350" s="400" t="s">
        <v>204</v>
      </c>
      <c r="L350" s="399">
        <f t="shared" si="1062"/>
        <v>0.15</v>
      </c>
      <c r="M350" s="399" t="s">
        <v>176</v>
      </c>
      <c r="N350" s="399">
        <f t="shared" si="1063"/>
        <v>0.27</v>
      </c>
      <c r="O350" s="399"/>
      <c r="P350" s="399"/>
      <c r="Q350" s="399"/>
      <c r="R350" s="399"/>
      <c r="S350" s="399"/>
      <c r="T350" s="399" t="s">
        <v>125</v>
      </c>
      <c r="U350" s="401">
        <f t="shared" si="1064"/>
        <v>0</v>
      </c>
      <c r="V350" s="399" t="s">
        <v>125</v>
      </c>
      <c r="W350" s="399">
        <f t="shared" si="969"/>
        <v>10</v>
      </c>
      <c r="X350" s="399" t="s">
        <v>125</v>
      </c>
      <c r="Y350" s="389">
        <f t="shared" ref="Y350" si="1069">D335</f>
        <v>3</v>
      </c>
      <c r="Z350" s="400" t="s">
        <v>176</v>
      </c>
      <c r="AA350" s="402">
        <f t="shared" si="1066"/>
        <v>0</v>
      </c>
      <c r="AB350" s="403"/>
    </row>
    <row r="351" spans="1:28">
      <c r="A351" s="384" t="str">
        <f t="shared" ref="A351:B351" si="1070">A325</f>
        <v>Lantai 1</v>
      </c>
      <c r="B351" s="385">
        <f t="shared" si="1070"/>
        <v>11</v>
      </c>
      <c r="C351" s="393" t="s">
        <v>213</v>
      </c>
      <c r="D351" s="398">
        <f>VLOOKUP(D325,'Detail Balok'!$C$10:$BJ$140,56,FALSE)</f>
        <v>0</v>
      </c>
      <c r="E351" s="388" t="s">
        <v>16</v>
      </c>
      <c r="F351" s="388">
        <f>VLOOKUP(D325,'Detail Balok'!$C$10:$BJ$140,58,FALSE)</f>
        <v>0</v>
      </c>
      <c r="G351" s="405" t="s">
        <v>157</v>
      </c>
      <c r="H351" s="395">
        <f>VLOOKUP(D325,'Detail Balok'!$C$10:$BJ$140,60,FALSE)</f>
        <v>100</v>
      </c>
      <c r="I351" s="388"/>
      <c r="J351" s="399">
        <f t="shared" ref="J351" si="1071">(D326-2*F$5)/1000</f>
        <v>0.12</v>
      </c>
      <c r="K351" s="400" t="s">
        <v>204</v>
      </c>
      <c r="L351" s="399">
        <f t="shared" si="1062"/>
        <v>0.15</v>
      </c>
      <c r="M351" s="399" t="s">
        <v>176</v>
      </c>
      <c r="N351" s="399">
        <f t="shared" si="1063"/>
        <v>0.27</v>
      </c>
      <c r="O351" s="399"/>
      <c r="P351" s="399"/>
      <c r="Q351" s="399"/>
      <c r="R351" s="399"/>
      <c r="S351" s="399"/>
      <c r="T351" s="399" t="s">
        <v>125</v>
      </c>
      <c r="U351" s="401">
        <f t="shared" si="1064"/>
        <v>0</v>
      </c>
      <c r="V351" s="399" t="s">
        <v>125</v>
      </c>
      <c r="W351" s="399">
        <f t="shared" si="969"/>
        <v>8</v>
      </c>
      <c r="X351" s="399" t="s">
        <v>125</v>
      </c>
      <c r="Y351" s="389">
        <f t="shared" ref="Y351" si="1072">D335</f>
        <v>3</v>
      </c>
      <c r="Z351" s="400" t="s">
        <v>176</v>
      </c>
      <c r="AA351" s="402">
        <f t="shared" si="1066"/>
        <v>0</v>
      </c>
      <c r="AB351" s="403"/>
    </row>
    <row r="352" spans="1:28">
      <c r="A352" s="391"/>
      <c r="B352" s="392"/>
      <c r="C352" s="392"/>
      <c r="D352" s="394"/>
      <c r="E352" s="388"/>
      <c r="F352" s="388"/>
      <c r="G352" s="388"/>
      <c r="H352" s="395"/>
      <c r="I352" s="388"/>
      <c r="J352" s="402"/>
      <c r="K352" s="388"/>
      <c r="L352" s="388"/>
      <c r="M352" s="388"/>
      <c r="N352" s="388"/>
      <c r="O352" s="388"/>
      <c r="P352" s="388"/>
      <c r="Q352" s="388"/>
      <c r="R352" s="388"/>
      <c r="S352" s="388"/>
      <c r="T352" s="388"/>
      <c r="U352" s="388"/>
      <c r="V352" s="388"/>
      <c r="W352" s="388"/>
      <c r="X352" s="388"/>
      <c r="Y352" s="389"/>
      <c r="Z352" s="388"/>
      <c r="AA352" s="402"/>
      <c r="AB352" s="403"/>
    </row>
    <row r="353" spans="1:28" ht="15.75" thickBot="1">
      <c r="A353" s="406"/>
      <c r="B353" s="407"/>
      <c r="C353" s="407"/>
      <c r="D353" s="408"/>
      <c r="E353" s="409"/>
      <c r="F353" s="409"/>
      <c r="G353" s="409"/>
      <c r="H353" s="410"/>
      <c r="I353" s="409"/>
      <c r="J353" s="409"/>
      <c r="K353" s="409"/>
      <c r="L353" s="409"/>
      <c r="M353" s="409"/>
      <c r="N353" s="409"/>
      <c r="O353" s="409"/>
      <c r="P353" s="409"/>
      <c r="Q353" s="409"/>
      <c r="R353" s="409"/>
      <c r="S353" s="409"/>
      <c r="T353" s="409"/>
      <c r="U353" s="409"/>
      <c r="V353" s="409"/>
      <c r="W353" s="409"/>
      <c r="X353" s="409"/>
      <c r="Y353" s="411"/>
      <c r="Z353" s="409"/>
      <c r="AA353" s="412"/>
      <c r="AB353" s="413"/>
    </row>
    <row r="354" spans="1:28">
      <c r="A354" s="377"/>
      <c r="B354" s="378"/>
      <c r="C354" s="378"/>
      <c r="D354" s="379"/>
      <c r="E354" s="380"/>
      <c r="F354" s="380"/>
      <c r="G354" s="380"/>
      <c r="H354" s="381"/>
      <c r="I354" s="380"/>
      <c r="J354" s="380"/>
      <c r="K354" s="380"/>
      <c r="L354" s="380"/>
      <c r="M354" s="380"/>
      <c r="N354" s="380"/>
      <c r="O354" s="380"/>
      <c r="P354" s="380"/>
      <c r="Q354" s="380"/>
      <c r="R354" s="380"/>
      <c r="S354" s="380"/>
      <c r="T354" s="380"/>
      <c r="U354" s="380"/>
      <c r="V354" s="380"/>
      <c r="W354" s="380"/>
      <c r="X354" s="380"/>
      <c r="Y354" s="382"/>
      <c r="Z354" s="380"/>
      <c r="AA354" s="380"/>
      <c r="AB354" s="383"/>
    </row>
    <row r="355" spans="1:28">
      <c r="A355" s="384" t="str">
        <f t="shared" si="978"/>
        <v>Lantai 1</v>
      </c>
      <c r="B355" s="385">
        <f t="shared" si="979"/>
        <v>12</v>
      </c>
      <c r="C355" s="386" t="str">
        <f t="shared" ref="C355" si="1073">CONCATENATE(A355," no. ",B355)</f>
        <v>Lantai 1 no. 12</v>
      </c>
      <c r="D355" s="2562" t="str">
        <f>VLOOKUP(C355,'Data Panjang Balok'!$C$9:$N$254,2,FALSE)</f>
        <v>S36-1</v>
      </c>
      <c r="E355" s="2576"/>
      <c r="F355" s="2576"/>
      <c r="G355" s="2576"/>
      <c r="H355" s="2577"/>
      <c r="I355" s="387"/>
      <c r="J355" s="388"/>
      <c r="K355" s="388"/>
      <c r="L355" s="388"/>
      <c r="M355" s="388"/>
      <c r="N355" s="388"/>
      <c r="O355" s="388"/>
      <c r="P355" s="388"/>
      <c r="Q355" s="388"/>
      <c r="R355" s="388"/>
      <c r="S355" s="388"/>
      <c r="T355" s="388"/>
      <c r="U355" s="388"/>
      <c r="V355" s="388"/>
      <c r="W355" s="388"/>
      <c r="X355" s="388"/>
      <c r="Y355" s="389"/>
      <c r="Z355" s="388"/>
      <c r="AA355" s="388"/>
      <c r="AB355" s="390"/>
    </row>
    <row r="356" spans="1:28">
      <c r="A356" s="391"/>
      <c r="B356" s="392"/>
      <c r="C356" s="393" t="s">
        <v>118</v>
      </c>
      <c r="D356" s="2578">
        <f>VLOOKUP(D355,'Detail Balok'!$C$10:$AU$140,2,FALSE)</f>
        <v>300</v>
      </c>
      <c r="E356" s="2579"/>
      <c r="F356" s="388" t="s">
        <v>125</v>
      </c>
      <c r="G356" s="2579">
        <f>VLOOKUP(D355,'Detail Balok'!$C$10:$AU$140,3,FALSE)</f>
        <v>600</v>
      </c>
      <c r="H356" s="2580"/>
      <c r="I356" s="388"/>
      <c r="J356" s="396"/>
      <c r="K356" s="396"/>
      <c r="L356" s="396"/>
      <c r="M356" s="396"/>
      <c r="N356" s="396"/>
      <c r="O356" s="396"/>
      <c r="P356" s="396"/>
      <c r="Q356" s="396"/>
      <c r="R356" s="396"/>
      <c r="S356" s="396"/>
      <c r="T356" s="396"/>
      <c r="U356" s="388"/>
      <c r="V356" s="396"/>
      <c r="W356" s="388"/>
      <c r="X356" s="396"/>
      <c r="Y356" s="389"/>
      <c r="Z356" s="396"/>
      <c r="AA356" s="388"/>
      <c r="AB356" s="390"/>
    </row>
    <row r="357" spans="1:28">
      <c r="A357" s="391"/>
      <c r="B357" s="392"/>
      <c r="C357" s="393" t="s">
        <v>198</v>
      </c>
      <c r="D357" s="2562">
        <f>VLOOKUP(C355,'Data Panjang Balok'!$C$9:$N$254,4,FALSE)</f>
        <v>4000</v>
      </c>
      <c r="E357" s="2563"/>
      <c r="F357" s="2563"/>
      <c r="G357" s="2563"/>
      <c r="H357" s="2564"/>
      <c r="I357" s="397"/>
      <c r="J357" s="396"/>
      <c r="K357" s="396"/>
      <c r="L357" s="396"/>
      <c r="M357" s="396"/>
      <c r="N357" s="396"/>
      <c r="O357" s="396"/>
      <c r="P357" s="396"/>
      <c r="Q357" s="396"/>
      <c r="R357" s="396"/>
      <c r="S357" s="396"/>
      <c r="T357" s="396"/>
      <c r="U357" s="388"/>
      <c r="V357" s="396"/>
      <c r="W357" s="388"/>
      <c r="X357" s="396"/>
      <c r="Y357" s="389"/>
      <c r="Z357" s="396"/>
      <c r="AA357" s="388"/>
      <c r="AB357" s="390"/>
    </row>
    <row r="358" spans="1:28">
      <c r="A358" s="391"/>
      <c r="B358" s="392"/>
      <c r="C358" s="393" t="s">
        <v>199</v>
      </c>
      <c r="D358" s="2562">
        <f>VLOOKUP(C355,'Data Panjang Balok'!$C$9:$N$254,7,FALSE)</f>
        <v>4000</v>
      </c>
      <c r="E358" s="2563"/>
      <c r="F358" s="2563"/>
      <c r="G358" s="2563"/>
      <c r="H358" s="2564"/>
      <c r="I358" s="397"/>
      <c r="J358" s="396"/>
      <c r="K358" s="396"/>
      <c r="L358" s="396"/>
      <c r="M358" s="396"/>
      <c r="N358" s="396"/>
      <c r="O358" s="396"/>
      <c r="P358" s="396"/>
      <c r="Q358" s="396"/>
      <c r="R358" s="396"/>
      <c r="S358" s="396"/>
      <c r="T358" s="396"/>
      <c r="U358" s="388"/>
      <c r="V358" s="396"/>
      <c r="W358" s="388"/>
      <c r="X358" s="396"/>
      <c r="Y358" s="389"/>
      <c r="Z358" s="396"/>
      <c r="AA358" s="388"/>
      <c r="AB358" s="390"/>
    </row>
    <row r="359" spans="1:28">
      <c r="A359" s="391"/>
      <c r="B359" s="392"/>
      <c r="C359" s="393" t="s">
        <v>200</v>
      </c>
      <c r="D359" s="2562">
        <f>VLOOKUP(C355,'Data Panjang Balok'!$C$9:$N$254,9,FALSE)</f>
        <v>0</v>
      </c>
      <c r="E359" s="2563"/>
      <c r="F359" s="2563"/>
      <c r="G359" s="2563"/>
      <c r="H359" s="2564"/>
      <c r="I359" s="397"/>
      <c r="J359" s="396"/>
      <c r="K359" s="396"/>
      <c r="L359" s="396"/>
      <c r="M359" s="396"/>
      <c r="N359" s="396"/>
      <c r="O359" s="396"/>
      <c r="P359" s="396"/>
      <c r="Q359" s="396"/>
      <c r="R359" s="396"/>
      <c r="S359" s="396"/>
      <c r="T359" s="396"/>
      <c r="U359" s="388"/>
      <c r="V359" s="396"/>
      <c r="W359" s="388"/>
      <c r="X359" s="396"/>
      <c r="Y359" s="389"/>
      <c r="Z359" s="396"/>
      <c r="AA359" s="388"/>
      <c r="AB359" s="390"/>
    </row>
    <row r="360" spans="1:28">
      <c r="A360" s="391"/>
      <c r="B360" s="392"/>
      <c r="C360" s="393" t="s">
        <v>201</v>
      </c>
      <c r="D360" s="2562">
        <f>VLOOKUP(C355,'Data Panjang Balok'!$C$9:$N$254,10,FALSE)</f>
        <v>0</v>
      </c>
      <c r="E360" s="2563"/>
      <c r="F360" s="2563"/>
      <c r="G360" s="2563"/>
      <c r="H360" s="2564"/>
      <c r="I360" s="397"/>
      <c r="J360" s="396"/>
      <c r="K360" s="396"/>
      <c r="L360" s="396"/>
      <c r="M360" s="396"/>
      <c r="N360" s="396"/>
      <c r="O360" s="396"/>
      <c r="P360" s="396"/>
      <c r="Q360" s="396"/>
      <c r="R360" s="396"/>
      <c r="S360" s="396"/>
      <c r="T360" s="396"/>
      <c r="U360" s="388"/>
      <c r="V360" s="396"/>
      <c r="W360" s="388"/>
      <c r="X360" s="396"/>
      <c r="Y360" s="389"/>
      <c r="Z360" s="396"/>
      <c r="AA360" s="388"/>
      <c r="AB360" s="390"/>
    </row>
    <row r="361" spans="1:28">
      <c r="A361" s="391"/>
      <c r="B361" s="392"/>
      <c r="C361" s="393" t="s">
        <v>48</v>
      </c>
      <c r="D361" s="2562">
        <f>VLOOKUP(C355,'Data Panjang Balok'!$C$9:$N$254,3,FALSE)</f>
        <v>1</v>
      </c>
      <c r="E361" s="2563"/>
      <c r="F361" s="2563"/>
      <c r="G361" s="2563"/>
      <c r="H361" s="2564"/>
      <c r="I361" s="397"/>
      <c r="J361" s="396"/>
      <c r="K361" s="396"/>
      <c r="L361" s="396"/>
      <c r="M361" s="396"/>
      <c r="N361" s="396"/>
      <c r="O361" s="396"/>
      <c r="P361" s="396"/>
      <c r="Q361" s="396"/>
      <c r="R361" s="396"/>
      <c r="S361" s="396"/>
      <c r="T361" s="396"/>
      <c r="U361" s="388"/>
      <c r="V361" s="396"/>
      <c r="W361" s="388"/>
      <c r="X361" s="396"/>
      <c r="Y361" s="389"/>
      <c r="Z361" s="396"/>
      <c r="AA361" s="388"/>
      <c r="AB361" s="390"/>
    </row>
    <row r="362" spans="1:28">
      <c r="A362" s="384" t="str">
        <f t="shared" ref="A362:B362" si="1074">A355</f>
        <v>Lantai 1</v>
      </c>
      <c r="B362" s="385">
        <f t="shared" si="1074"/>
        <v>12</v>
      </c>
      <c r="C362" s="393" t="s">
        <v>202</v>
      </c>
      <c r="D362" s="398">
        <f>VLOOKUP(D355,'Detail Balok'!$C$10:$AU$140,4,FALSE)</f>
        <v>4</v>
      </c>
      <c r="E362" s="388" t="s">
        <v>16</v>
      </c>
      <c r="F362" s="388">
        <f>VLOOKUP(D355,'Detail Balok'!$C$10:$AU$140,6,FALSE)</f>
        <v>16</v>
      </c>
      <c r="G362" s="388"/>
      <c r="H362" s="395"/>
      <c r="I362" s="388" t="s">
        <v>203</v>
      </c>
      <c r="J362" s="399">
        <f t="shared" ref="J362" si="1075">+D357/4/1000</f>
        <v>1</v>
      </c>
      <c r="K362" s="400" t="s">
        <v>204</v>
      </c>
      <c r="L362" s="399">
        <f t="shared" ref="L362" si="1076">MAX(VLOOKUP(F362,N$6:P$15,3,FALSE)/1000,2/3*D359/1000)+F$16*F362/1000</f>
        <v>0.192</v>
      </c>
      <c r="M362" s="399" t="s">
        <v>176</v>
      </c>
      <c r="N362" s="399">
        <f t="shared" ref="N362:N364" si="1077">J362+L362</f>
        <v>1.1919999999999999</v>
      </c>
      <c r="O362" s="399" t="s">
        <v>204</v>
      </c>
      <c r="P362" s="389">
        <f t="shared" ref="P362" si="1078">D362-D363</f>
        <v>0</v>
      </c>
      <c r="Q362" s="399" t="s">
        <v>125</v>
      </c>
      <c r="R362" s="399">
        <f t="shared" ref="R362" si="1079">IF(P362&gt;0,$F$18*F362/1000,0)</f>
        <v>0</v>
      </c>
      <c r="S362" s="399" t="s">
        <v>205</v>
      </c>
      <c r="T362" s="399" t="s">
        <v>125</v>
      </c>
      <c r="U362" s="401">
        <f t="shared" ref="U362:U364" si="1080">0.006165*F362^2</f>
        <v>1.5782400000000001</v>
      </c>
      <c r="V362" s="399"/>
      <c r="W362" s="399"/>
      <c r="X362" s="399" t="s">
        <v>125</v>
      </c>
      <c r="Y362" s="389">
        <f t="shared" ref="Y362" si="1081">D361</f>
        <v>1</v>
      </c>
      <c r="Z362" s="400" t="s">
        <v>176</v>
      </c>
      <c r="AA362" s="402">
        <f t="shared" ref="AA362" si="1082">IF(AA365=0,(D362*N362+P362*R362)*U362*Y362,0)</f>
        <v>0</v>
      </c>
      <c r="AB362" s="403"/>
    </row>
    <row r="363" spans="1:28">
      <c r="A363" s="384" t="str">
        <f t="shared" ref="A363:B363" si="1083">A355</f>
        <v>Lantai 1</v>
      </c>
      <c r="B363" s="385">
        <f t="shared" si="1083"/>
        <v>12</v>
      </c>
      <c r="C363" s="393" t="s">
        <v>206</v>
      </c>
      <c r="D363" s="398">
        <f>VLOOKUP(D355,'Detail Balok'!$C$10:$AU$140,7,FALSE)</f>
        <v>4</v>
      </c>
      <c r="E363" s="388" t="s">
        <v>16</v>
      </c>
      <c r="F363" s="388">
        <f>VLOOKUP(D355,'Detail Balok'!$C$10:$AU$140,9,FALSE)</f>
        <v>16</v>
      </c>
      <c r="G363" s="388"/>
      <c r="H363" s="395"/>
      <c r="I363" s="388" t="s">
        <v>203</v>
      </c>
      <c r="J363" s="399">
        <f t="shared" ref="J363" si="1084">+D357/2/1000</f>
        <v>2</v>
      </c>
      <c r="K363" s="400" t="s">
        <v>204</v>
      </c>
      <c r="L363" s="399"/>
      <c r="M363" s="399" t="s">
        <v>176</v>
      </c>
      <c r="N363" s="399">
        <f t="shared" si="1077"/>
        <v>2</v>
      </c>
      <c r="O363" s="399" t="s">
        <v>204</v>
      </c>
      <c r="P363" s="389">
        <f t="shared" ref="P363" si="1085">MAX(D363-D362,D363-D364)</f>
        <v>0</v>
      </c>
      <c r="Q363" s="399" t="s">
        <v>125</v>
      </c>
      <c r="R363" s="399">
        <f t="shared" ref="R363" si="1086">IF(P363&gt;0,2*(1-2*$F$19-1/2)*D358/1000,0)</f>
        <v>0</v>
      </c>
      <c r="S363" s="399" t="s">
        <v>205</v>
      </c>
      <c r="T363" s="399" t="s">
        <v>125</v>
      </c>
      <c r="U363" s="401">
        <f t="shared" si="1080"/>
        <v>1.5782400000000001</v>
      </c>
      <c r="V363" s="399"/>
      <c r="W363" s="399"/>
      <c r="X363" s="399" t="s">
        <v>125</v>
      </c>
      <c r="Y363" s="389">
        <f t="shared" ref="Y363" si="1087">D361</f>
        <v>1</v>
      </c>
      <c r="Z363" s="400" t="s">
        <v>176</v>
      </c>
      <c r="AA363" s="402">
        <f t="shared" ref="AA363" si="1088">IF(AA365=0,(D363*N363+P363*R363)*U363*Y363,0)</f>
        <v>0</v>
      </c>
      <c r="AB363" s="403"/>
    </row>
    <row r="364" spans="1:28">
      <c r="A364" s="384" t="str">
        <f t="shared" ref="A364:B364" si="1089">A355</f>
        <v>Lantai 1</v>
      </c>
      <c r="B364" s="385">
        <f t="shared" si="1089"/>
        <v>12</v>
      </c>
      <c r="C364" s="393" t="s">
        <v>202</v>
      </c>
      <c r="D364" s="398">
        <f>VLOOKUP(D355,'Detail Balok'!$C$10:$AU$140,10,FALSE)</f>
        <v>4</v>
      </c>
      <c r="E364" s="388" t="s">
        <v>16</v>
      </c>
      <c r="F364" s="388">
        <f>VLOOKUP(D355,'Detail Balok'!$C$10:$AU$140,12,FALSE)</f>
        <v>16</v>
      </c>
      <c r="G364" s="388"/>
      <c r="H364" s="395"/>
      <c r="I364" s="388" t="s">
        <v>203</v>
      </c>
      <c r="J364" s="399">
        <f t="shared" ref="J364" si="1090">+D357/4/1000</f>
        <v>1</v>
      </c>
      <c r="K364" s="400" t="s">
        <v>204</v>
      </c>
      <c r="L364" s="399">
        <f t="shared" ref="L364" si="1091">MAX(VLOOKUP(F364,N$6:P$15,3,FALSE)/1000,2/3*D359/1000)+F$16*F364/1000</f>
        <v>0.192</v>
      </c>
      <c r="M364" s="399" t="s">
        <v>176</v>
      </c>
      <c r="N364" s="399">
        <f t="shared" si="1077"/>
        <v>1.1919999999999999</v>
      </c>
      <c r="O364" s="399" t="s">
        <v>204</v>
      </c>
      <c r="P364" s="389">
        <f t="shared" ref="P364" si="1092">D364-D363</f>
        <v>0</v>
      </c>
      <c r="Q364" s="399" t="s">
        <v>125</v>
      </c>
      <c r="R364" s="399">
        <f t="shared" ref="R364" si="1093">IF(P364&gt;0,$F$18*F364/1000,0)</f>
        <v>0</v>
      </c>
      <c r="S364" s="399" t="s">
        <v>205</v>
      </c>
      <c r="T364" s="399" t="s">
        <v>125</v>
      </c>
      <c r="U364" s="401">
        <f t="shared" si="1080"/>
        <v>1.5782400000000001</v>
      </c>
      <c r="V364" s="399"/>
      <c r="W364" s="399"/>
      <c r="X364" s="399" t="s">
        <v>125</v>
      </c>
      <c r="Y364" s="389">
        <f t="shared" ref="Y364" si="1094">D361</f>
        <v>1</v>
      </c>
      <c r="Z364" s="400" t="s">
        <v>176</v>
      </c>
      <c r="AA364" s="402">
        <f t="shared" ref="AA364" si="1095">IF(AA365=0,(D364*N364+P364*R364)*U364*Y364,0)</f>
        <v>0</v>
      </c>
      <c r="AB364" s="403"/>
    </row>
    <row r="365" spans="1:28">
      <c r="A365" s="384" t="str">
        <f t="shared" ref="A365:B365" si="1096">A355</f>
        <v>Lantai 1</v>
      </c>
      <c r="B365" s="385">
        <f t="shared" si="1096"/>
        <v>12</v>
      </c>
      <c r="C365" s="393"/>
      <c r="D365" s="398">
        <f t="shared" si="899"/>
        <v>4</v>
      </c>
      <c r="E365" s="388" t="s">
        <v>16</v>
      </c>
      <c r="F365" s="388">
        <f t="shared" si="900"/>
        <v>16</v>
      </c>
      <c r="G365" s="388"/>
      <c r="H365" s="395"/>
      <c r="I365" s="388"/>
      <c r="J365" s="396"/>
      <c r="K365" s="396"/>
      <c r="L365" s="404" t="s">
        <v>207</v>
      </c>
      <c r="M365" s="399" t="s">
        <v>176</v>
      </c>
      <c r="N365" s="399">
        <f t="shared" ref="N365" si="1097">IF(AND(D362=D363,D362=D364,D363=D364,F362=F363,F362=F364,F363=F364),SUM(N362:N364),0)</f>
        <v>4.3840000000000003</v>
      </c>
      <c r="O365" s="399" t="s">
        <v>204</v>
      </c>
      <c r="P365" s="389">
        <f t="shared" ref="P365" si="1098">IF(N365&gt;12,ROUNDDOWN(N365/12,0),0)</f>
        <v>0</v>
      </c>
      <c r="Q365" s="399" t="s">
        <v>125</v>
      </c>
      <c r="R365" s="399">
        <f t="shared" ref="R365" si="1099">IF(P365&gt;0,MAX(VLOOKUP(F365,$D$6:$G$15,3,FALSE),600),0)/1000</f>
        <v>0</v>
      </c>
      <c r="S365" s="396"/>
      <c r="T365" s="396" t="s">
        <v>125</v>
      </c>
      <c r="U365" s="401">
        <f t="shared" si="904"/>
        <v>1.5782400000000001</v>
      </c>
      <c r="V365" s="396" t="s">
        <v>125</v>
      </c>
      <c r="W365" s="399">
        <f t="shared" ref="W365" si="1100">D365</f>
        <v>4</v>
      </c>
      <c r="X365" s="399" t="s">
        <v>125</v>
      </c>
      <c r="Y365" s="389">
        <f t="shared" si="906"/>
        <v>1</v>
      </c>
      <c r="Z365" s="400" t="s">
        <v>176</v>
      </c>
      <c r="AA365" s="402">
        <f t="shared" ref="AA365" si="1101">(N365+P365*R365/1000)*U365*W365*Y365</f>
        <v>27.676016640000004</v>
      </c>
      <c r="AB365" s="390"/>
    </row>
    <row r="366" spans="1:28">
      <c r="A366" s="384"/>
      <c r="B366" s="385"/>
      <c r="C366" s="393"/>
      <c r="D366" s="398"/>
      <c r="E366" s="388"/>
      <c r="F366" s="388"/>
      <c r="G366" s="388"/>
      <c r="H366" s="395"/>
      <c r="I366" s="388"/>
      <c r="J366" s="396"/>
      <c r="K366" s="396"/>
      <c r="L366" s="404"/>
      <c r="M366" s="399"/>
      <c r="N366" s="399"/>
      <c r="O366" s="396"/>
      <c r="P366" s="389"/>
      <c r="Q366" s="396"/>
      <c r="R366" s="396"/>
      <c r="S366" s="396"/>
      <c r="T366" s="396"/>
      <c r="U366" s="401"/>
      <c r="V366" s="396"/>
      <c r="W366" s="399"/>
      <c r="X366" s="396"/>
      <c r="Y366" s="389"/>
      <c r="Z366" s="396"/>
      <c r="AA366" s="388"/>
      <c r="AB366" s="390"/>
    </row>
    <row r="367" spans="1:28">
      <c r="A367" s="384" t="str">
        <f t="shared" ref="A367:B367" si="1102">A355</f>
        <v>Lantai 1</v>
      </c>
      <c r="B367" s="385">
        <f t="shared" si="1102"/>
        <v>12</v>
      </c>
      <c r="C367" s="393" t="s">
        <v>208</v>
      </c>
      <c r="D367" s="398">
        <f>VLOOKUP(D355,'Detail Balok'!$C$10:$AU$140,13,FALSE)</f>
        <v>2</v>
      </c>
      <c r="E367" s="388" t="s">
        <v>16</v>
      </c>
      <c r="F367" s="388">
        <f>VLOOKUP(D355,'Detail Balok'!$C$10:$AU$140,15,FALSE)</f>
        <v>10</v>
      </c>
      <c r="G367" s="388"/>
      <c r="H367" s="395"/>
      <c r="I367" s="388"/>
      <c r="J367" s="399">
        <f t="shared" ref="J367" si="1103">+D357/1000</f>
        <v>4</v>
      </c>
      <c r="K367" s="400" t="s">
        <v>204</v>
      </c>
      <c r="L367" s="399">
        <f t="shared" ref="L367" si="1104">2*$F$16*F367/1000</f>
        <v>0.24</v>
      </c>
      <c r="M367" s="399" t="s">
        <v>176</v>
      </c>
      <c r="N367" s="399">
        <f t="shared" ref="N367" si="1105">J367+L367</f>
        <v>4.24</v>
      </c>
      <c r="O367" s="399" t="s">
        <v>204</v>
      </c>
      <c r="P367" s="389">
        <f t="shared" ref="P367" si="1106">IF(N367&gt;12,ROUNDDOWN(N367/12,0),0)</f>
        <v>0</v>
      </c>
      <c r="Q367" s="399" t="s">
        <v>125</v>
      </c>
      <c r="R367" s="399">
        <f t="shared" ref="R367" si="1107">IF(P367&gt;0,MAX(VLOOKUP(F367,$D$6:$G$15,3,FALSE),600),0)/1000</f>
        <v>0</v>
      </c>
      <c r="S367" s="399"/>
      <c r="T367" s="399" t="s">
        <v>125</v>
      </c>
      <c r="U367" s="401">
        <f t="shared" ref="U367" si="1108">0.006165*F367^2</f>
        <v>0.61650000000000005</v>
      </c>
      <c r="V367" s="399" t="s">
        <v>125</v>
      </c>
      <c r="W367" s="399">
        <f t="shared" ref="W367" si="1109">+D367</f>
        <v>2</v>
      </c>
      <c r="X367" s="399" t="s">
        <v>125</v>
      </c>
      <c r="Y367" s="389">
        <f t="shared" ref="Y367" si="1110">D361</f>
        <v>1</v>
      </c>
      <c r="Z367" s="400" t="s">
        <v>176</v>
      </c>
      <c r="AA367" s="402">
        <f t="shared" ref="AA367" si="1111">(N367+P367*R367/1000)*U367*W367*Y367</f>
        <v>5.227920000000001</v>
      </c>
      <c r="AB367" s="403"/>
    </row>
    <row r="368" spans="1:28">
      <c r="A368" s="384"/>
      <c r="B368" s="385"/>
      <c r="C368" s="393"/>
      <c r="D368" s="398"/>
      <c r="E368" s="388"/>
      <c r="F368" s="388"/>
      <c r="G368" s="388"/>
      <c r="H368" s="395"/>
      <c r="I368" s="388"/>
      <c r="J368" s="399"/>
      <c r="K368" s="400"/>
      <c r="L368" s="399"/>
      <c r="M368" s="399"/>
      <c r="N368" s="399"/>
      <c r="O368" s="399"/>
      <c r="P368" s="389"/>
      <c r="Q368" s="399"/>
      <c r="R368" s="399"/>
      <c r="S368" s="399"/>
      <c r="T368" s="399"/>
      <c r="U368" s="401"/>
      <c r="V368" s="399"/>
      <c r="W368" s="399"/>
      <c r="X368" s="399"/>
      <c r="Y368" s="389"/>
      <c r="Z368" s="400"/>
      <c r="AA368" s="402"/>
      <c r="AB368" s="403"/>
    </row>
    <row r="369" spans="1:28">
      <c r="A369" s="384"/>
      <c r="B369" s="385"/>
      <c r="C369" s="393"/>
      <c r="D369" s="398"/>
      <c r="E369" s="388"/>
      <c r="F369" s="388"/>
      <c r="G369" s="388"/>
      <c r="H369" s="395"/>
      <c r="I369" s="388"/>
      <c r="J369" s="396"/>
      <c r="K369" s="396"/>
      <c r="L369" s="396"/>
      <c r="M369" s="396"/>
      <c r="N369" s="396"/>
      <c r="O369" s="396"/>
      <c r="P369" s="389"/>
      <c r="Q369" s="396"/>
      <c r="R369" s="396"/>
      <c r="S369" s="396"/>
      <c r="T369" s="396"/>
      <c r="U369" s="401"/>
      <c r="V369" s="396"/>
      <c r="W369" s="399"/>
      <c r="X369" s="396"/>
      <c r="Y369" s="389"/>
      <c r="Z369" s="396"/>
      <c r="AA369" s="388"/>
      <c r="AB369" s="390"/>
    </row>
    <row r="370" spans="1:28">
      <c r="A370" s="384" t="str">
        <f t="shared" ref="A370:B370" si="1112">A355</f>
        <v>Lantai 1</v>
      </c>
      <c r="B370" s="385">
        <f t="shared" si="1112"/>
        <v>12</v>
      </c>
      <c r="C370" s="393" t="s">
        <v>209</v>
      </c>
      <c r="D370" s="398">
        <f>VLOOKUP(D355,'Detail Balok'!$C$10:$AU$140,22,FALSE)</f>
        <v>4</v>
      </c>
      <c r="E370" s="388" t="s">
        <v>16</v>
      </c>
      <c r="F370" s="388">
        <f>VLOOKUP(D355,'Detail Balok'!$C$10:$AU$140,24,FALSE)</f>
        <v>16</v>
      </c>
      <c r="G370" s="388"/>
      <c r="H370" s="395"/>
      <c r="I370" s="388" t="s">
        <v>203</v>
      </c>
      <c r="J370" s="399">
        <f t="shared" si="919"/>
        <v>1</v>
      </c>
      <c r="K370" s="400" t="s">
        <v>204</v>
      </c>
      <c r="L370" s="399">
        <f t="shared" ref="L370" si="1113">MAX(VLOOKUP(F370,N$6:P$15,3,FALSE)/1000,2/3*D360/1000)+F$16*F370/1000</f>
        <v>0.192</v>
      </c>
      <c r="M370" s="399" t="s">
        <v>176</v>
      </c>
      <c r="N370" s="399">
        <f t="shared" ref="N370:N372" si="1114">J370+L370</f>
        <v>1.1919999999999999</v>
      </c>
      <c r="O370" s="399" t="s">
        <v>204</v>
      </c>
      <c r="P370" s="389">
        <f t="shared" ref="P370" si="1115">D370-D371</f>
        <v>0</v>
      </c>
      <c r="Q370" s="399" t="s">
        <v>125</v>
      </c>
      <c r="R370" s="399">
        <f t="shared" ref="R370" si="1116">IF(P370&gt;0,$F$18*F370/1000,0)</f>
        <v>0</v>
      </c>
      <c r="S370" s="399" t="s">
        <v>205</v>
      </c>
      <c r="T370" s="399" t="s">
        <v>125</v>
      </c>
      <c r="U370" s="401">
        <f t="shared" ref="U370:U372" si="1117">0.006165*F370^2</f>
        <v>1.5782400000000001</v>
      </c>
      <c r="V370" s="399"/>
      <c r="W370" s="399"/>
      <c r="X370" s="399" t="s">
        <v>125</v>
      </c>
      <c r="Y370" s="389">
        <f t="shared" ref="Y370" si="1118">D361</f>
        <v>1</v>
      </c>
      <c r="Z370" s="400" t="s">
        <v>176</v>
      </c>
      <c r="AA370" s="402">
        <f t="shared" ref="AA370" si="1119">IF(AA373=0,(D370*N370+P370*R370)*U370*Y370,0)</f>
        <v>0</v>
      </c>
      <c r="AB370" s="403"/>
    </row>
    <row r="371" spans="1:28">
      <c r="A371" s="384" t="str">
        <f t="shared" ref="A371:B371" si="1120">A355</f>
        <v>Lantai 1</v>
      </c>
      <c r="B371" s="385">
        <f t="shared" si="1120"/>
        <v>12</v>
      </c>
      <c r="C371" s="393" t="s">
        <v>210</v>
      </c>
      <c r="D371" s="398">
        <f>VLOOKUP(D355,'Detail Balok'!$C$10:$AU$140,25,FALSE)</f>
        <v>4</v>
      </c>
      <c r="E371" s="388" t="s">
        <v>16</v>
      </c>
      <c r="F371" s="388">
        <f>VLOOKUP(D355,'Detail Balok'!$C$10:$AU$140,27,FALSE)</f>
        <v>16</v>
      </c>
      <c r="G371" s="388"/>
      <c r="H371" s="395"/>
      <c r="I371" s="388" t="s">
        <v>203</v>
      </c>
      <c r="J371" s="399">
        <f t="shared" si="919"/>
        <v>2</v>
      </c>
      <c r="K371" s="400" t="s">
        <v>204</v>
      </c>
      <c r="L371" s="399"/>
      <c r="M371" s="399" t="s">
        <v>176</v>
      </c>
      <c r="N371" s="399">
        <f t="shared" si="1114"/>
        <v>2</v>
      </c>
      <c r="O371" s="399" t="s">
        <v>204</v>
      </c>
      <c r="P371" s="389">
        <f t="shared" ref="P371" si="1121">MAX(D371-D370,D371-D372)</f>
        <v>0</v>
      </c>
      <c r="Q371" s="399" t="s">
        <v>125</v>
      </c>
      <c r="R371" s="399">
        <f t="shared" ref="R371" si="1122">IF(P371&gt;0,2*(1-2*$F$19-1/2)*D358/1000,0)</f>
        <v>0</v>
      </c>
      <c r="S371" s="399" t="s">
        <v>205</v>
      </c>
      <c r="T371" s="399" t="s">
        <v>125</v>
      </c>
      <c r="U371" s="401">
        <f t="shared" si="1117"/>
        <v>1.5782400000000001</v>
      </c>
      <c r="V371" s="399"/>
      <c r="W371" s="399"/>
      <c r="X371" s="399" t="s">
        <v>125</v>
      </c>
      <c r="Y371" s="389">
        <f t="shared" ref="Y371" si="1123">D361</f>
        <v>1</v>
      </c>
      <c r="Z371" s="400" t="s">
        <v>176</v>
      </c>
      <c r="AA371" s="402">
        <f t="shared" ref="AA371" si="1124">IF(AA373=0,(D371*N371+P371*R371)*U371*Y371,0)</f>
        <v>0</v>
      </c>
      <c r="AB371" s="403"/>
    </row>
    <row r="372" spans="1:28">
      <c r="A372" s="384" t="str">
        <f t="shared" ref="A372:B372" si="1125">A355</f>
        <v>Lantai 1</v>
      </c>
      <c r="B372" s="385">
        <f t="shared" si="1125"/>
        <v>12</v>
      </c>
      <c r="C372" s="393" t="s">
        <v>209</v>
      </c>
      <c r="D372" s="398">
        <f>VLOOKUP(D355,'Detail Balok'!$C$10:$AU$140,28,FALSE)</f>
        <v>4</v>
      </c>
      <c r="E372" s="388" t="s">
        <v>16</v>
      </c>
      <c r="F372" s="388">
        <f>VLOOKUP(D355,'Detail Balok'!$C$10:$AU$140,30,FALSE)</f>
        <v>16</v>
      </c>
      <c r="G372" s="388"/>
      <c r="H372" s="395"/>
      <c r="I372" s="388" t="s">
        <v>203</v>
      </c>
      <c r="J372" s="399">
        <f t="shared" si="919"/>
        <v>1</v>
      </c>
      <c r="K372" s="400" t="s">
        <v>204</v>
      </c>
      <c r="L372" s="399">
        <f t="shared" ref="L372" si="1126">MAX(VLOOKUP(F372,N$6:P$15,3,FALSE)/1000,2/3*D360/1000)+F$16*F372/1000</f>
        <v>0.192</v>
      </c>
      <c r="M372" s="399" t="s">
        <v>176</v>
      </c>
      <c r="N372" s="399">
        <f t="shared" si="1114"/>
        <v>1.1919999999999999</v>
      </c>
      <c r="O372" s="399" t="s">
        <v>204</v>
      </c>
      <c r="P372" s="389">
        <f t="shared" ref="P372" si="1127">D372-D371</f>
        <v>0</v>
      </c>
      <c r="Q372" s="399" t="s">
        <v>125</v>
      </c>
      <c r="R372" s="399">
        <f t="shared" ref="R372" si="1128">IF(P372&gt;0,$F$18*F372/1000,0)</f>
        <v>0</v>
      </c>
      <c r="S372" s="399" t="s">
        <v>205</v>
      </c>
      <c r="T372" s="399" t="s">
        <v>125</v>
      </c>
      <c r="U372" s="401">
        <f t="shared" si="1117"/>
        <v>1.5782400000000001</v>
      </c>
      <c r="V372" s="399"/>
      <c r="W372" s="399"/>
      <c r="X372" s="399" t="s">
        <v>125</v>
      </c>
      <c r="Y372" s="389">
        <f t="shared" ref="Y372" si="1129">D361</f>
        <v>1</v>
      </c>
      <c r="Z372" s="400" t="s">
        <v>176</v>
      </c>
      <c r="AA372" s="402">
        <f t="shared" ref="AA372" si="1130">IF(AA373=0,(D372*N372+P372*R372)*U372*Y372,0)</f>
        <v>0</v>
      </c>
      <c r="AB372" s="403"/>
    </row>
    <row r="373" spans="1:28">
      <c r="A373" s="384" t="str">
        <f t="shared" ref="A373:B373" si="1131">A355</f>
        <v>Lantai 1</v>
      </c>
      <c r="B373" s="385">
        <f t="shared" si="1131"/>
        <v>12</v>
      </c>
      <c r="C373" s="393"/>
      <c r="D373" s="398">
        <f t="shared" si="939"/>
        <v>4</v>
      </c>
      <c r="E373" s="388" t="s">
        <v>16</v>
      </c>
      <c r="F373" s="388">
        <f t="shared" si="940"/>
        <v>16</v>
      </c>
      <c r="G373" s="388"/>
      <c r="H373" s="395"/>
      <c r="I373" s="388"/>
      <c r="J373" s="396"/>
      <c r="K373" s="396"/>
      <c r="L373" s="404" t="s">
        <v>207</v>
      </c>
      <c r="M373" s="399" t="s">
        <v>176</v>
      </c>
      <c r="N373" s="399">
        <f t="shared" ref="N373" si="1132">IF(AND(D370=D371,D370=D372,D371=D372,F370=F371,F370=F372,F371=F372),SUM(N370:N372),0)</f>
        <v>4.3840000000000003</v>
      </c>
      <c r="O373" s="399" t="s">
        <v>204</v>
      </c>
      <c r="P373" s="389">
        <f t="shared" ref="P373" si="1133">IF(N373&gt;12,ROUNDDOWN(N373/12,0),0)</f>
        <v>0</v>
      </c>
      <c r="Q373" s="399" t="s">
        <v>125</v>
      </c>
      <c r="R373" s="399">
        <f t="shared" ref="R373" si="1134">IF(P373&gt;0,MAX(VLOOKUP(F373,$D$6:$G$15,3,FALSE),600),0)/1000</f>
        <v>0</v>
      </c>
      <c r="S373" s="396"/>
      <c r="T373" s="396" t="s">
        <v>125</v>
      </c>
      <c r="U373" s="401">
        <f t="shared" si="944"/>
        <v>1.5782400000000001</v>
      </c>
      <c r="V373" s="396" t="s">
        <v>125</v>
      </c>
      <c r="W373" s="399">
        <f t="shared" ref="W373" si="1135">D373</f>
        <v>4</v>
      </c>
      <c r="X373" s="399" t="s">
        <v>125</v>
      </c>
      <c r="Y373" s="389">
        <f t="shared" si="946"/>
        <v>1</v>
      </c>
      <c r="Z373" s="400" t="s">
        <v>176</v>
      </c>
      <c r="AA373" s="402">
        <f t="shared" ref="AA373" si="1136">(N373+P373*R373/1000)*U373*W373*Y373</f>
        <v>27.676016640000004</v>
      </c>
      <c r="AB373" s="403"/>
    </row>
    <row r="374" spans="1:28">
      <c r="A374" s="384"/>
      <c r="B374" s="385"/>
      <c r="C374" s="393"/>
      <c r="D374" s="394"/>
      <c r="E374" s="388"/>
      <c r="F374" s="388"/>
      <c r="G374" s="388"/>
      <c r="H374" s="395"/>
      <c r="I374" s="388"/>
      <c r="J374" s="399"/>
      <c r="K374" s="396"/>
      <c r="L374" s="396"/>
      <c r="M374" s="396"/>
      <c r="N374" s="396"/>
      <c r="O374" s="396"/>
      <c r="P374" s="389"/>
      <c r="Q374" s="396"/>
      <c r="R374" s="396"/>
      <c r="S374" s="396"/>
      <c r="T374" s="396"/>
      <c r="U374" s="401"/>
      <c r="V374" s="396"/>
      <c r="W374" s="388"/>
      <c r="X374" s="396"/>
      <c r="Y374" s="389"/>
      <c r="Z374" s="396"/>
      <c r="AA374" s="388"/>
      <c r="AB374" s="390"/>
    </row>
    <row r="375" spans="1:28">
      <c r="A375" s="384" t="str">
        <f t="shared" ref="A375:B375" si="1137">A355</f>
        <v>Lantai 1</v>
      </c>
      <c r="B375" s="385">
        <f t="shared" si="1137"/>
        <v>12</v>
      </c>
      <c r="C375" s="393" t="s">
        <v>211</v>
      </c>
      <c r="D375" s="398">
        <f>VLOOKUP(D355,'Detail Balok'!$C$10:$AU$140,31,FALSE)</f>
        <v>0</v>
      </c>
      <c r="E375" s="388" t="s">
        <v>16</v>
      </c>
      <c r="F375" s="388">
        <f>VLOOKUP(D355,'Detail Balok'!$C$10:$AU$140,33,FALSE)</f>
        <v>8</v>
      </c>
      <c r="G375" s="405" t="s">
        <v>157</v>
      </c>
      <c r="H375" s="395">
        <f>VLOOKUP(D355,'Detail Balok'!$C$10:$AU$140,35,FALSE)</f>
        <v>150</v>
      </c>
      <c r="I375" s="388"/>
      <c r="J375" s="400">
        <f t="shared" ref="J375" si="1138">(IF(D375=0,(2*(D356+G356))-(F$5*8),IF(D375=3,(2*(D356+G356))-(F$5*8)+(G356-2*F$5),IF(D375=4,(2*(D356+G356))-(F$5*8)+2*(G356-2*F$5)))))/1000</f>
        <v>1.48</v>
      </c>
      <c r="K375" s="400" t="s">
        <v>204</v>
      </c>
      <c r="L375" s="399">
        <f t="shared" ref="L375:L377" si="1139">IF(D375=0,2*MAX(6*F375,75),(D375-1)*2*MAX(6*F375,75))/1000</f>
        <v>0.15</v>
      </c>
      <c r="M375" s="399" t="s">
        <v>176</v>
      </c>
      <c r="N375" s="399">
        <f t="shared" ref="N375:N377" si="1140">J375+L375</f>
        <v>1.63</v>
      </c>
      <c r="O375" s="399"/>
      <c r="P375" s="389"/>
      <c r="Q375" s="399"/>
      <c r="R375" s="399"/>
      <c r="S375" s="399"/>
      <c r="T375" s="399" t="s">
        <v>125</v>
      </c>
      <c r="U375" s="401">
        <f t="shared" ref="U375:U377" si="1141">0.006165*F375^2</f>
        <v>0.39456000000000002</v>
      </c>
      <c r="V375" s="399" t="s">
        <v>125</v>
      </c>
      <c r="W375" s="399">
        <f t="shared" ref="W375" si="1142">IF(D358&gt;4*G356,ROUND(MAX(D358/4,2*G356)/H375,0)+1,ROUND(D358/H375,0)+1)</f>
        <v>9</v>
      </c>
      <c r="X375" s="399" t="s">
        <v>125</v>
      </c>
      <c r="Y375" s="389">
        <f t="shared" ref="Y375" si="1143">D361</f>
        <v>1</v>
      </c>
      <c r="Z375" s="400" t="s">
        <v>176</v>
      </c>
      <c r="AA375" s="402">
        <f t="shared" ref="AA375:AA377" si="1144">N375*U375*W375*Y375</f>
        <v>5.7881951999999997</v>
      </c>
      <c r="AB375" s="403"/>
    </row>
    <row r="376" spans="1:28">
      <c r="A376" s="384" t="str">
        <f t="shared" ref="A376:B376" si="1145">A355</f>
        <v>Lantai 1</v>
      </c>
      <c r="B376" s="385">
        <f t="shared" si="1145"/>
        <v>12</v>
      </c>
      <c r="C376" s="393" t="s">
        <v>212</v>
      </c>
      <c r="D376" s="398">
        <f>VLOOKUP(D355,'Detail Balok'!$C$10:$AU$140,36,FALSE)</f>
        <v>0</v>
      </c>
      <c r="E376" s="388" t="s">
        <v>16</v>
      </c>
      <c r="F376" s="388">
        <f>VLOOKUP(D355,'Detail Balok'!$C$10:$AU$140,38,FALSE)</f>
        <v>8</v>
      </c>
      <c r="G376" s="405" t="s">
        <v>157</v>
      </c>
      <c r="H376" s="395">
        <f>VLOOKUP(D355,'Detail Balok'!$C$10:$AU$140,40,FALSE)</f>
        <v>200</v>
      </c>
      <c r="I376" s="388"/>
      <c r="J376" s="400">
        <f t="shared" ref="J376" si="1146">(IF(D376=0,(2*(D356+G356))-(F$5*8),IF(D376=3,(2*(D356+G356))-(F$5*8)+(G356-2*F$5),IF(D376=4,(2*(D356+G356))-(F$5*8)+2*(G356-2*F$5)))))/1000</f>
        <v>1.48</v>
      </c>
      <c r="K376" s="400" t="s">
        <v>204</v>
      </c>
      <c r="L376" s="399">
        <f t="shared" si="1139"/>
        <v>0.15</v>
      </c>
      <c r="M376" s="399" t="s">
        <v>176</v>
      </c>
      <c r="N376" s="399">
        <f t="shared" si="1140"/>
        <v>1.63</v>
      </c>
      <c r="O376" s="399"/>
      <c r="P376" s="389"/>
      <c r="Q376" s="399"/>
      <c r="R376" s="399"/>
      <c r="S376" s="399"/>
      <c r="T376" s="399" t="s">
        <v>125</v>
      </c>
      <c r="U376" s="401">
        <f t="shared" si="1141"/>
        <v>0.39456000000000002</v>
      </c>
      <c r="V376" s="399" t="s">
        <v>125</v>
      </c>
      <c r="W376" s="399">
        <f t="shared" ref="W376" si="1147">IF(D358-MAX(D358/4,2*G356)*2&gt;0,ROUND((D358-MAX(D358/4,2*G356)*2)/H376,0),0)</f>
        <v>8</v>
      </c>
      <c r="X376" s="399" t="s">
        <v>125</v>
      </c>
      <c r="Y376" s="389">
        <f t="shared" ref="Y376" si="1148">D361</f>
        <v>1</v>
      </c>
      <c r="Z376" s="400" t="s">
        <v>176</v>
      </c>
      <c r="AA376" s="402">
        <f t="shared" si="1144"/>
        <v>5.1450623999999996</v>
      </c>
      <c r="AB376" s="403"/>
    </row>
    <row r="377" spans="1:28">
      <c r="A377" s="384" t="str">
        <f t="shared" ref="A377:B377" si="1149">A355</f>
        <v>Lantai 1</v>
      </c>
      <c r="B377" s="385">
        <f t="shared" si="1149"/>
        <v>12</v>
      </c>
      <c r="C377" s="393" t="s">
        <v>211</v>
      </c>
      <c r="D377" s="398">
        <f>VLOOKUP(D355,'Detail Balok'!$C$10:$AU$140,41,FALSE)</f>
        <v>0</v>
      </c>
      <c r="E377" s="388" t="s">
        <v>16</v>
      </c>
      <c r="F377" s="388">
        <f>VLOOKUP(D355,'Detail Balok'!$C$10:$AU$140,43,FALSE)</f>
        <v>8</v>
      </c>
      <c r="G377" s="405" t="s">
        <v>157</v>
      </c>
      <c r="H377" s="395">
        <f>VLOOKUP(D355,'Detail Balok'!$C$10:$AU$140,45,FALSE)</f>
        <v>150</v>
      </c>
      <c r="I377" s="388"/>
      <c r="J377" s="400">
        <f t="shared" ref="J377" si="1150">(IF(D377=0,(2*(D356+G356))-(F$5*8),IF(D377=3,(2*(D356+G356))-(F$5*8)+(G356-2*F$5),IF(D377=4,(2*(D356+G356))-(F$5*8)+2*(G356-2*F$5)))))/1000</f>
        <v>1.48</v>
      </c>
      <c r="K377" s="400" t="s">
        <v>204</v>
      </c>
      <c r="L377" s="399">
        <f t="shared" si="1139"/>
        <v>0.15</v>
      </c>
      <c r="M377" s="399" t="s">
        <v>176</v>
      </c>
      <c r="N377" s="399">
        <f t="shared" si="1140"/>
        <v>1.63</v>
      </c>
      <c r="O377" s="399"/>
      <c r="P377" s="389"/>
      <c r="Q377" s="399"/>
      <c r="R377" s="399"/>
      <c r="S377" s="399"/>
      <c r="T377" s="399" t="s">
        <v>125</v>
      </c>
      <c r="U377" s="401">
        <f t="shared" si="1141"/>
        <v>0.39456000000000002</v>
      </c>
      <c r="V377" s="399" t="s">
        <v>125</v>
      </c>
      <c r="W377" s="399">
        <f t="shared" ref="W377" si="1151">IF(D358&gt;4*G356,ROUND(MAX(D358/4,2*G356)/H377,0)+1,0)</f>
        <v>9</v>
      </c>
      <c r="X377" s="399" t="s">
        <v>125</v>
      </c>
      <c r="Y377" s="389">
        <f t="shared" ref="Y377" si="1152">D361</f>
        <v>1</v>
      </c>
      <c r="Z377" s="400" t="s">
        <v>176</v>
      </c>
      <c r="AA377" s="402">
        <f t="shared" si="1144"/>
        <v>5.7881951999999997</v>
      </c>
      <c r="AB377" s="403"/>
    </row>
    <row r="378" spans="1:28">
      <c r="A378" s="384"/>
      <c r="B378" s="385"/>
      <c r="C378" s="393"/>
      <c r="D378" s="394"/>
      <c r="E378" s="388"/>
      <c r="F378" s="388"/>
      <c r="G378" s="388"/>
      <c r="H378" s="395"/>
      <c r="I378" s="388"/>
      <c r="J378" s="399"/>
      <c r="K378" s="396"/>
      <c r="L378" s="396"/>
      <c r="M378" s="396"/>
      <c r="N378" s="396"/>
      <c r="O378" s="396"/>
      <c r="P378" s="389"/>
      <c r="Q378" s="396"/>
      <c r="R378" s="396"/>
      <c r="S378" s="396"/>
      <c r="T378" s="396"/>
      <c r="U378" s="401"/>
      <c r="V378" s="396"/>
      <c r="W378" s="388"/>
      <c r="X378" s="396"/>
      <c r="Y378" s="389"/>
      <c r="Z378" s="396"/>
      <c r="AA378" s="388"/>
      <c r="AB378" s="390"/>
    </row>
    <row r="379" spans="1:28">
      <c r="A379" s="384" t="str">
        <f t="shared" ref="A379:B379" si="1153">A355</f>
        <v>Lantai 1</v>
      </c>
      <c r="B379" s="385">
        <f t="shared" si="1153"/>
        <v>12</v>
      </c>
      <c r="C379" s="393" t="s">
        <v>213</v>
      </c>
      <c r="D379" s="398">
        <f>VLOOKUP(D355,'Detail Balok'!$C$10:$BJ$140,46,FALSE)</f>
        <v>0</v>
      </c>
      <c r="E379" s="388" t="s">
        <v>16</v>
      </c>
      <c r="F379" s="388">
        <f>VLOOKUP(D355,'Detail Balok'!$C$10:$BJ$140,48,FALSE)</f>
        <v>0</v>
      </c>
      <c r="G379" s="405" t="s">
        <v>157</v>
      </c>
      <c r="H379" s="395">
        <f>VLOOKUP(D355,'Detail Balok'!$C$10:$BJ$140,50,FALSE)</f>
        <v>100</v>
      </c>
      <c r="I379" s="388"/>
      <c r="J379" s="399">
        <f t="shared" ref="J379" si="1154">(D356-2*F$5)/1000</f>
        <v>0.22</v>
      </c>
      <c r="K379" s="400" t="s">
        <v>204</v>
      </c>
      <c r="L379" s="399">
        <f t="shared" ref="L379:L381" si="1155">IF(D379=0,2*MAX(6*F379,75),(D379-1)*2*MAX(6*F379,75))/1000</f>
        <v>0.15</v>
      </c>
      <c r="M379" s="399" t="s">
        <v>176</v>
      </c>
      <c r="N379" s="399">
        <f t="shared" ref="N379:N381" si="1156">J379+L379</f>
        <v>0.37</v>
      </c>
      <c r="O379" s="399"/>
      <c r="P379" s="399"/>
      <c r="Q379" s="399"/>
      <c r="R379" s="399"/>
      <c r="S379" s="399"/>
      <c r="T379" s="399" t="s">
        <v>125</v>
      </c>
      <c r="U379" s="401">
        <f t="shared" ref="U379:U381" si="1157">0.006165*F379^2</f>
        <v>0</v>
      </c>
      <c r="V379" s="399" t="s">
        <v>125</v>
      </c>
      <c r="W379" s="399">
        <f t="shared" si="969"/>
        <v>9</v>
      </c>
      <c r="X379" s="399" t="s">
        <v>125</v>
      </c>
      <c r="Y379" s="389">
        <f t="shared" ref="Y379" si="1158">D365</f>
        <v>4</v>
      </c>
      <c r="Z379" s="400" t="s">
        <v>176</v>
      </c>
      <c r="AA379" s="402">
        <f t="shared" ref="AA379:AA381" si="1159">N379*U379*W379*Y379</f>
        <v>0</v>
      </c>
      <c r="AB379" s="403"/>
    </row>
    <row r="380" spans="1:28">
      <c r="A380" s="384" t="str">
        <f t="shared" ref="A380:B380" si="1160">A355</f>
        <v>Lantai 1</v>
      </c>
      <c r="B380" s="385">
        <f t="shared" si="1160"/>
        <v>12</v>
      </c>
      <c r="C380" s="393" t="s">
        <v>214</v>
      </c>
      <c r="D380" s="398">
        <f>VLOOKUP(D355,'Detail Balok'!$C$10:$BJ$140,51,FALSE)</f>
        <v>0</v>
      </c>
      <c r="E380" s="388" t="s">
        <v>16</v>
      </c>
      <c r="F380" s="388">
        <f>VLOOKUP(D355,'Detail Balok'!$C$10:$BJ$140,53,FALSE)</f>
        <v>0</v>
      </c>
      <c r="G380" s="405" t="s">
        <v>157</v>
      </c>
      <c r="H380" s="395">
        <f>VLOOKUP(D355,'Detail Balok'!$C$10:$BJ$140,55,FALSE)</f>
        <v>100</v>
      </c>
      <c r="I380" s="388"/>
      <c r="J380" s="399">
        <f t="shared" ref="J380" si="1161">(D356-2*F$5)/1000</f>
        <v>0.22</v>
      </c>
      <c r="K380" s="400" t="s">
        <v>204</v>
      </c>
      <c r="L380" s="399">
        <f t="shared" si="1155"/>
        <v>0.15</v>
      </c>
      <c r="M380" s="399" t="s">
        <v>176</v>
      </c>
      <c r="N380" s="399">
        <f t="shared" si="1156"/>
        <v>0.37</v>
      </c>
      <c r="O380" s="399"/>
      <c r="P380" s="399"/>
      <c r="Q380" s="399"/>
      <c r="R380" s="399"/>
      <c r="S380" s="399"/>
      <c r="T380" s="399" t="s">
        <v>125</v>
      </c>
      <c r="U380" s="401">
        <f t="shared" si="1157"/>
        <v>0</v>
      </c>
      <c r="V380" s="399" t="s">
        <v>125</v>
      </c>
      <c r="W380" s="399">
        <f t="shared" si="969"/>
        <v>8</v>
      </c>
      <c r="X380" s="399" t="s">
        <v>125</v>
      </c>
      <c r="Y380" s="389">
        <f t="shared" ref="Y380" si="1162">D365</f>
        <v>4</v>
      </c>
      <c r="Z380" s="400" t="s">
        <v>176</v>
      </c>
      <c r="AA380" s="402">
        <f t="shared" si="1159"/>
        <v>0</v>
      </c>
      <c r="AB380" s="403"/>
    </row>
    <row r="381" spans="1:28">
      <c r="A381" s="384" t="str">
        <f t="shared" ref="A381:B381" si="1163">A355</f>
        <v>Lantai 1</v>
      </c>
      <c r="B381" s="385">
        <f t="shared" si="1163"/>
        <v>12</v>
      </c>
      <c r="C381" s="393" t="s">
        <v>213</v>
      </c>
      <c r="D381" s="398">
        <f>VLOOKUP(D355,'Detail Balok'!$C$10:$BJ$140,56,FALSE)</f>
        <v>0</v>
      </c>
      <c r="E381" s="388" t="s">
        <v>16</v>
      </c>
      <c r="F381" s="388">
        <f>VLOOKUP(D355,'Detail Balok'!$C$10:$BJ$140,58,FALSE)</f>
        <v>0</v>
      </c>
      <c r="G381" s="405" t="s">
        <v>157</v>
      </c>
      <c r="H381" s="395">
        <f>VLOOKUP(D355,'Detail Balok'!$C$10:$BJ$140,60,FALSE)</f>
        <v>100</v>
      </c>
      <c r="I381" s="388"/>
      <c r="J381" s="399">
        <f t="shared" ref="J381" si="1164">(D356-2*F$5)/1000</f>
        <v>0.22</v>
      </c>
      <c r="K381" s="400" t="s">
        <v>204</v>
      </c>
      <c r="L381" s="399">
        <f t="shared" si="1155"/>
        <v>0.15</v>
      </c>
      <c r="M381" s="399" t="s">
        <v>176</v>
      </c>
      <c r="N381" s="399">
        <f t="shared" si="1156"/>
        <v>0.37</v>
      </c>
      <c r="O381" s="399"/>
      <c r="P381" s="399"/>
      <c r="Q381" s="399"/>
      <c r="R381" s="399"/>
      <c r="S381" s="399"/>
      <c r="T381" s="399" t="s">
        <v>125</v>
      </c>
      <c r="U381" s="401">
        <f t="shared" si="1157"/>
        <v>0</v>
      </c>
      <c r="V381" s="399" t="s">
        <v>125</v>
      </c>
      <c r="W381" s="399">
        <f t="shared" si="969"/>
        <v>9</v>
      </c>
      <c r="X381" s="399" t="s">
        <v>125</v>
      </c>
      <c r="Y381" s="389">
        <f t="shared" ref="Y381" si="1165">D365</f>
        <v>4</v>
      </c>
      <c r="Z381" s="400" t="s">
        <v>176</v>
      </c>
      <c r="AA381" s="402">
        <f t="shared" si="1159"/>
        <v>0</v>
      </c>
      <c r="AB381" s="403"/>
    </row>
    <row r="382" spans="1:28">
      <c r="A382" s="391"/>
      <c r="B382" s="392"/>
      <c r="C382" s="392"/>
      <c r="D382" s="394"/>
      <c r="E382" s="388"/>
      <c r="F382" s="388"/>
      <c r="G382" s="388"/>
      <c r="H382" s="395"/>
      <c r="I382" s="388"/>
      <c r="J382" s="402"/>
      <c r="K382" s="388"/>
      <c r="L382" s="388"/>
      <c r="M382" s="388"/>
      <c r="N382" s="388"/>
      <c r="O382" s="388"/>
      <c r="P382" s="388"/>
      <c r="Q382" s="388"/>
      <c r="R382" s="388"/>
      <c r="S382" s="388"/>
      <c r="T382" s="388"/>
      <c r="U382" s="388"/>
      <c r="V382" s="388"/>
      <c r="W382" s="388"/>
      <c r="X382" s="388"/>
      <c r="Y382" s="389"/>
      <c r="Z382" s="388"/>
      <c r="AA382" s="402"/>
      <c r="AB382" s="403"/>
    </row>
    <row r="383" spans="1:28" ht="15.75" thickBot="1">
      <c r="A383" s="406"/>
      <c r="B383" s="407"/>
      <c r="C383" s="407"/>
      <c r="D383" s="408"/>
      <c r="E383" s="409"/>
      <c r="F383" s="409"/>
      <c r="G383" s="409"/>
      <c r="H383" s="410"/>
      <c r="I383" s="409"/>
      <c r="J383" s="409"/>
      <c r="K383" s="409"/>
      <c r="L383" s="409"/>
      <c r="M383" s="409"/>
      <c r="N383" s="409"/>
      <c r="O383" s="409"/>
      <c r="P383" s="409"/>
      <c r="Q383" s="409"/>
      <c r="R383" s="409"/>
      <c r="S383" s="409"/>
      <c r="T383" s="409"/>
      <c r="U383" s="409"/>
      <c r="V383" s="409"/>
      <c r="W383" s="409"/>
      <c r="X383" s="409"/>
      <c r="Y383" s="411"/>
      <c r="Z383" s="409"/>
      <c r="AA383" s="412"/>
      <c r="AB383" s="413"/>
    </row>
    <row r="384" spans="1:28">
      <c r="A384" s="377"/>
      <c r="B384" s="378"/>
      <c r="C384" s="378"/>
      <c r="D384" s="379"/>
      <c r="E384" s="380"/>
      <c r="F384" s="380"/>
      <c r="G384" s="380"/>
      <c r="H384" s="381"/>
      <c r="I384" s="380"/>
      <c r="J384" s="380"/>
      <c r="K384" s="380"/>
      <c r="L384" s="380"/>
      <c r="M384" s="380"/>
      <c r="N384" s="380"/>
      <c r="O384" s="380"/>
      <c r="P384" s="380"/>
      <c r="Q384" s="380"/>
      <c r="R384" s="380"/>
      <c r="S384" s="380"/>
      <c r="T384" s="380"/>
      <c r="U384" s="380"/>
      <c r="V384" s="380"/>
      <c r="W384" s="380"/>
      <c r="X384" s="380"/>
      <c r="Y384" s="382"/>
      <c r="Z384" s="380"/>
      <c r="AA384" s="380"/>
      <c r="AB384" s="383"/>
    </row>
    <row r="385" spans="1:28">
      <c r="A385" s="384" t="str">
        <f t="shared" si="978"/>
        <v>Lantai 1</v>
      </c>
      <c r="B385" s="385">
        <f t="shared" si="979"/>
        <v>13</v>
      </c>
      <c r="C385" s="386" t="str">
        <f t="shared" ref="C385" si="1166">CONCATENATE(A385," no. ",B385)</f>
        <v>Lantai 1 no. 13</v>
      </c>
      <c r="D385" s="2562" t="str">
        <f>VLOOKUP(C385,'Data Panjang Balok'!$C$9:$N$254,2,FALSE)</f>
        <v>S24-2</v>
      </c>
      <c r="E385" s="2576"/>
      <c r="F385" s="2576"/>
      <c r="G385" s="2576"/>
      <c r="H385" s="2577"/>
      <c r="I385" s="387"/>
      <c r="J385" s="388"/>
      <c r="K385" s="388"/>
      <c r="L385" s="388"/>
      <c r="M385" s="388"/>
      <c r="N385" s="388"/>
      <c r="O385" s="388"/>
      <c r="P385" s="388"/>
      <c r="Q385" s="388"/>
      <c r="R385" s="388"/>
      <c r="S385" s="388"/>
      <c r="T385" s="388"/>
      <c r="U385" s="388"/>
      <c r="V385" s="388"/>
      <c r="W385" s="388"/>
      <c r="X385" s="388"/>
      <c r="Y385" s="389"/>
      <c r="Z385" s="388"/>
      <c r="AA385" s="388"/>
      <c r="AB385" s="390"/>
    </row>
    <row r="386" spans="1:28">
      <c r="A386" s="391"/>
      <c r="B386" s="392"/>
      <c r="C386" s="393" t="s">
        <v>118</v>
      </c>
      <c r="D386" s="2578">
        <f>VLOOKUP(D385,'Detail Balok'!$C$10:$AU$140,2,FALSE)</f>
        <v>200</v>
      </c>
      <c r="E386" s="2579"/>
      <c r="F386" s="388" t="s">
        <v>125</v>
      </c>
      <c r="G386" s="2579">
        <f>VLOOKUP(D385,'Detail Balok'!$C$10:$AU$140,3,FALSE)</f>
        <v>400</v>
      </c>
      <c r="H386" s="2580"/>
      <c r="I386" s="388"/>
      <c r="J386" s="396"/>
      <c r="K386" s="396"/>
      <c r="L386" s="396"/>
      <c r="M386" s="396"/>
      <c r="N386" s="396"/>
      <c r="O386" s="396"/>
      <c r="P386" s="396"/>
      <c r="Q386" s="396"/>
      <c r="R386" s="396"/>
      <c r="S386" s="396"/>
      <c r="T386" s="396"/>
      <c r="U386" s="388"/>
      <c r="V386" s="396"/>
      <c r="W386" s="388"/>
      <c r="X386" s="396"/>
      <c r="Y386" s="389"/>
      <c r="Z386" s="396"/>
      <c r="AA386" s="388"/>
      <c r="AB386" s="390"/>
    </row>
    <row r="387" spans="1:28">
      <c r="A387" s="391"/>
      <c r="B387" s="392"/>
      <c r="C387" s="393" t="s">
        <v>198</v>
      </c>
      <c r="D387" s="2562">
        <f>VLOOKUP(C385,'Data Panjang Balok'!$C$9:$N$254,4,FALSE)</f>
        <v>9515</v>
      </c>
      <c r="E387" s="2563"/>
      <c r="F387" s="2563"/>
      <c r="G387" s="2563"/>
      <c r="H387" s="2564"/>
      <c r="I387" s="397"/>
      <c r="J387" s="396"/>
      <c r="K387" s="396"/>
      <c r="L387" s="396"/>
      <c r="M387" s="396"/>
      <c r="N387" s="396"/>
      <c r="O387" s="396"/>
      <c r="P387" s="396"/>
      <c r="Q387" s="396"/>
      <c r="R387" s="396"/>
      <c r="S387" s="396"/>
      <c r="T387" s="396"/>
      <c r="U387" s="388"/>
      <c r="V387" s="396"/>
      <c r="W387" s="388"/>
      <c r="X387" s="396"/>
      <c r="Y387" s="389"/>
      <c r="Z387" s="396"/>
      <c r="AA387" s="388"/>
      <c r="AB387" s="390"/>
    </row>
    <row r="388" spans="1:28">
      <c r="A388" s="391"/>
      <c r="B388" s="392"/>
      <c r="C388" s="393" t="s">
        <v>199</v>
      </c>
      <c r="D388" s="2562">
        <f>VLOOKUP(C385,'Data Panjang Balok'!$C$9:$N$254,7,FALSE)</f>
        <v>9515</v>
      </c>
      <c r="E388" s="2563"/>
      <c r="F388" s="2563"/>
      <c r="G388" s="2563"/>
      <c r="H388" s="2564"/>
      <c r="I388" s="397"/>
      <c r="J388" s="396"/>
      <c r="K388" s="396"/>
      <c r="L388" s="396"/>
      <c r="M388" s="396"/>
      <c r="N388" s="396"/>
      <c r="O388" s="396"/>
      <c r="P388" s="396"/>
      <c r="Q388" s="396"/>
      <c r="R388" s="396"/>
      <c r="S388" s="396"/>
      <c r="T388" s="396"/>
      <c r="U388" s="388"/>
      <c r="V388" s="396"/>
      <c r="W388" s="388"/>
      <c r="X388" s="396"/>
      <c r="Y388" s="389"/>
      <c r="Z388" s="396"/>
      <c r="AA388" s="388"/>
      <c r="AB388" s="390"/>
    </row>
    <row r="389" spans="1:28">
      <c r="A389" s="391"/>
      <c r="B389" s="392"/>
      <c r="C389" s="393" t="s">
        <v>200</v>
      </c>
      <c r="D389" s="2562">
        <f>VLOOKUP(C385,'Data Panjang Balok'!$C$9:$N$254,9,FALSE)</f>
        <v>0</v>
      </c>
      <c r="E389" s="2563"/>
      <c r="F389" s="2563"/>
      <c r="G389" s="2563"/>
      <c r="H389" s="2564"/>
      <c r="I389" s="397"/>
      <c r="J389" s="396"/>
      <c r="K389" s="396"/>
      <c r="L389" s="396"/>
      <c r="M389" s="396"/>
      <c r="N389" s="396"/>
      <c r="O389" s="396"/>
      <c r="P389" s="396"/>
      <c r="Q389" s="396"/>
      <c r="R389" s="396"/>
      <c r="S389" s="396"/>
      <c r="T389" s="396"/>
      <c r="U389" s="388"/>
      <c r="V389" s="396"/>
      <c r="W389" s="388"/>
      <c r="X389" s="396"/>
      <c r="Y389" s="389"/>
      <c r="Z389" s="396"/>
      <c r="AA389" s="388"/>
      <c r="AB389" s="390"/>
    </row>
    <row r="390" spans="1:28">
      <c r="A390" s="391"/>
      <c r="B390" s="392"/>
      <c r="C390" s="393" t="s">
        <v>201</v>
      </c>
      <c r="D390" s="2562">
        <f>VLOOKUP(C385,'Data Panjang Balok'!$C$9:$N$254,10,FALSE)</f>
        <v>0</v>
      </c>
      <c r="E390" s="2563"/>
      <c r="F390" s="2563"/>
      <c r="G390" s="2563"/>
      <c r="H390" s="2564"/>
      <c r="I390" s="397"/>
      <c r="J390" s="396"/>
      <c r="K390" s="396"/>
      <c r="L390" s="396"/>
      <c r="M390" s="396"/>
      <c r="N390" s="396"/>
      <c r="O390" s="396"/>
      <c r="P390" s="396"/>
      <c r="Q390" s="396"/>
      <c r="R390" s="396"/>
      <c r="S390" s="396"/>
      <c r="T390" s="396"/>
      <c r="U390" s="388"/>
      <c r="V390" s="396"/>
      <c r="W390" s="388"/>
      <c r="X390" s="396"/>
      <c r="Y390" s="389"/>
      <c r="Z390" s="396"/>
      <c r="AA390" s="388"/>
      <c r="AB390" s="390"/>
    </row>
    <row r="391" spans="1:28">
      <c r="A391" s="391"/>
      <c r="B391" s="392"/>
      <c r="C391" s="393" t="s">
        <v>48</v>
      </c>
      <c r="D391" s="2562">
        <f>VLOOKUP(C385,'Data Panjang Balok'!$C$9:$N$254,3,FALSE)</f>
        <v>1</v>
      </c>
      <c r="E391" s="2563"/>
      <c r="F391" s="2563"/>
      <c r="G391" s="2563"/>
      <c r="H391" s="2564"/>
      <c r="I391" s="397"/>
      <c r="J391" s="396"/>
      <c r="K391" s="396"/>
      <c r="L391" s="396"/>
      <c r="M391" s="396"/>
      <c r="N391" s="396"/>
      <c r="O391" s="396"/>
      <c r="P391" s="396"/>
      <c r="Q391" s="396"/>
      <c r="R391" s="396"/>
      <c r="S391" s="396"/>
      <c r="T391" s="396"/>
      <c r="U391" s="388"/>
      <c r="V391" s="396"/>
      <c r="W391" s="388"/>
      <c r="X391" s="396"/>
      <c r="Y391" s="389"/>
      <c r="Z391" s="396"/>
      <c r="AA391" s="388"/>
      <c r="AB391" s="390"/>
    </row>
    <row r="392" spans="1:28">
      <c r="A392" s="384" t="str">
        <f t="shared" ref="A392:B392" si="1167">A385</f>
        <v>Lantai 1</v>
      </c>
      <c r="B392" s="385">
        <f t="shared" si="1167"/>
        <v>13</v>
      </c>
      <c r="C392" s="393" t="s">
        <v>202</v>
      </c>
      <c r="D392" s="398">
        <f>VLOOKUP(D385,'Detail Balok'!$C$10:$AU$140,4,FALSE)</f>
        <v>3</v>
      </c>
      <c r="E392" s="388" t="s">
        <v>16</v>
      </c>
      <c r="F392" s="388">
        <f>VLOOKUP(D385,'Detail Balok'!$C$10:$AU$140,6,FALSE)</f>
        <v>16</v>
      </c>
      <c r="G392" s="388"/>
      <c r="H392" s="395"/>
      <c r="I392" s="388" t="s">
        <v>203</v>
      </c>
      <c r="J392" s="399">
        <f t="shared" ref="J392" si="1168">+D387/4/1000</f>
        <v>2.3787500000000001</v>
      </c>
      <c r="K392" s="400" t="s">
        <v>204</v>
      </c>
      <c r="L392" s="399">
        <f t="shared" ref="L392" si="1169">MAX(VLOOKUP(F392,N$6:P$15,3,FALSE)/1000,2/3*D389/1000)+F$16*F392/1000</f>
        <v>0.192</v>
      </c>
      <c r="M392" s="399" t="s">
        <v>176</v>
      </c>
      <c r="N392" s="399">
        <f t="shared" ref="N392:N394" si="1170">J392+L392</f>
        <v>2.5707500000000003</v>
      </c>
      <c r="O392" s="399" t="s">
        <v>204</v>
      </c>
      <c r="P392" s="389">
        <f t="shared" ref="P392" si="1171">D392-D393</f>
        <v>0</v>
      </c>
      <c r="Q392" s="399" t="s">
        <v>125</v>
      </c>
      <c r="R392" s="399">
        <f t="shared" ref="R392" si="1172">IF(P392&gt;0,$F$18*F392/1000,0)</f>
        <v>0</v>
      </c>
      <c r="S392" s="399" t="s">
        <v>205</v>
      </c>
      <c r="T392" s="399" t="s">
        <v>125</v>
      </c>
      <c r="U392" s="401">
        <f t="shared" ref="U392:U394" si="1173">0.006165*F392^2</f>
        <v>1.5782400000000001</v>
      </c>
      <c r="V392" s="399"/>
      <c r="W392" s="399"/>
      <c r="X392" s="399" t="s">
        <v>125</v>
      </c>
      <c r="Y392" s="389">
        <f t="shared" ref="Y392" si="1174">D391</f>
        <v>1</v>
      </c>
      <c r="Z392" s="400" t="s">
        <v>176</v>
      </c>
      <c r="AA392" s="402">
        <f t="shared" ref="AA392" si="1175">IF(AA395=0,(D392*N392+P392*R392)*U392*Y392,0)</f>
        <v>0</v>
      </c>
      <c r="AB392" s="403"/>
    </row>
    <row r="393" spans="1:28">
      <c r="A393" s="384" t="str">
        <f t="shared" ref="A393:B393" si="1176">A385</f>
        <v>Lantai 1</v>
      </c>
      <c r="B393" s="385">
        <f t="shared" si="1176"/>
        <v>13</v>
      </c>
      <c r="C393" s="393" t="s">
        <v>206</v>
      </c>
      <c r="D393" s="398">
        <f>VLOOKUP(D385,'Detail Balok'!$C$10:$AU$140,7,FALSE)</f>
        <v>3</v>
      </c>
      <c r="E393" s="388" t="s">
        <v>16</v>
      </c>
      <c r="F393" s="388">
        <f>VLOOKUP(D385,'Detail Balok'!$C$10:$AU$140,9,FALSE)</f>
        <v>16</v>
      </c>
      <c r="G393" s="388"/>
      <c r="H393" s="395"/>
      <c r="I393" s="388" t="s">
        <v>203</v>
      </c>
      <c r="J393" s="399">
        <f t="shared" ref="J393" si="1177">+D387/2/1000</f>
        <v>4.7575000000000003</v>
      </c>
      <c r="K393" s="400" t="s">
        <v>204</v>
      </c>
      <c r="L393" s="399"/>
      <c r="M393" s="399" t="s">
        <v>176</v>
      </c>
      <c r="N393" s="399">
        <f t="shared" si="1170"/>
        <v>4.7575000000000003</v>
      </c>
      <c r="O393" s="399" t="s">
        <v>204</v>
      </c>
      <c r="P393" s="389">
        <f t="shared" ref="P393" si="1178">MAX(D393-D392,D393-D394)</f>
        <v>0</v>
      </c>
      <c r="Q393" s="399" t="s">
        <v>125</v>
      </c>
      <c r="R393" s="399">
        <f t="shared" ref="R393" si="1179">IF(P393&gt;0,2*(1-2*$F$19-1/2)*D388/1000,0)</f>
        <v>0</v>
      </c>
      <c r="S393" s="399" t="s">
        <v>205</v>
      </c>
      <c r="T393" s="399" t="s">
        <v>125</v>
      </c>
      <c r="U393" s="401">
        <f t="shared" si="1173"/>
        <v>1.5782400000000001</v>
      </c>
      <c r="V393" s="399"/>
      <c r="W393" s="399"/>
      <c r="X393" s="399" t="s">
        <v>125</v>
      </c>
      <c r="Y393" s="389">
        <f t="shared" ref="Y393" si="1180">D391</f>
        <v>1</v>
      </c>
      <c r="Z393" s="400" t="s">
        <v>176</v>
      </c>
      <c r="AA393" s="402">
        <f t="shared" ref="AA393" si="1181">IF(AA395=0,(D393*N393+P393*R393)*U393*Y393,0)</f>
        <v>0</v>
      </c>
      <c r="AB393" s="403"/>
    </row>
    <row r="394" spans="1:28">
      <c r="A394" s="384" t="str">
        <f t="shared" ref="A394:B394" si="1182">A385</f>
        <v>Lantai 1</v>
      </c>
      <c r="B394" s="385">
        <f t="shared" si="1182"/>
        <v>13</v>
      </c>
      <c r="C394" s="393" t="s">
        <v>202</v>
      </c>
      <c r="D394" s="398">
        <f>VLOOKUP(D385,'Detail Balok'!$C$10:$AU$140,10,FALSE)</f>
        <v>3</v>
      </c>
      <c r="E394" s="388" t="s">
        <v>16</v>
      </c>
      <c r="F394" s="388">
        <f>VLOOKUP(D385,'Detail Balok'!$C$10:$AU$140,12,FALSE)</f>
        <v>16</v>
      </c>
      <c r="G394" s="388"/>
      <c r="H394" s="395"/>
      <c r="I394" s="388" t="s">
        <v>203</v>
      </c>
      <c r="J394" s="399">
        <f t="shared" ref="J394" si="1183">+D387/4/1000</f>
        <v>2.3787500000000001</v>
      </c>
      <c r="K394" s="400" t="s">
        <v>204</v>
      </c>
      <c r="L394" s="399">
        <f t="shared" ref="L394" si="1184">MAX(VLOOKUP(F394,N$6:P$15,3,FALSE)/1000,2/3*D389/1000)+F$16*F394/1000</f>
        <v>0.192</v>
      </c>
      <c r="M394" s="399" t="s">
        <v>176</v>
      </c>
      <c r="N394" s="399">
        <f t="shared" si="1170"/>
        <v>2.5707500000000003</v>
      </c>
      <c r="O394" s="399" t="s">
        <v>204</v>
      </c>
      <c r="P394" s="389">
        <f t="shared" ref="P394" si="1185">D394-D393</f>
        <v>0</v>
      </c>
      <c r="Q394" s="399" t="s">
        <v>125</v>
      </c>
      <c r="R394" s="399">
        <f t="shared" ref="R394" si="1186">IF(P394&gt;0,$F$18*F394/1000,0)</f>
        <v>0</v>
      </c>
      <c r="S394" s="399" t="s">
        <v>205</v>
      </c>
      <c r="T394" s="399" t="s">
        <v>125</v>
      </c>
      <c r="U394" s="401">
        <f t="shared" si="1173"/>
        <v>1.5782400000000001</v>
      </c>
      <c r="V394" s="399"/>
      <c r="W394" s="399"/>
      <c r="X394" s="399" t="s">
        <v>125</v>
      </c>
      <c r="Y394" s="389">
        <f t="shared" ref="Y394" si="1187">D391</f>
        <v>1</v>
      </c>
      <c r="Z394" s="400" t="s">
        <v>176</v>
      </c>
      <c r="AA394" s="402">
        <f t="shared" ref="AA394" si="1188">IF(AA395=0,(D394*N394+P394*R394)*U394*Y394,0)</f>
        <v>0</v>
      </c>
      <c r="AB394" s="403"/>
    </row>
    <row r="395" spans="1:28">
      <c r="A395" s="384" t="str">
        <f t="shared" ref="A395:B395" si="1189">A385</f>
        <v>Lantai 1</v>
      </c>
      <c r="B395" s="385">
        <f t="shared" si="1189"/>
        <v>13</v>
      </c>
      <c r="C395" s="393"/>
      <c r="D395" s="398">
        <f t="shared" ref="D395:D485" si="1190">IF(AND(D392=D393,D393=D394,D392=D394),D392,0)</f>
        <v>3</v>
      </c>
      <c r="E395" s="388" t="s">
        <v>16</v>
      </c>
      <c r="F395" s="388">
        <f t="shared" ref="F395:F485" si="1191">IF(AND(F392=F393,F392=F394,F393=F394),F392,0)</f>
        <v>16</v>
      </c>
      <c r="G395" s="388"/>
      <c r="H395" s="395"/>
      <c r="I395" s="388"/>
      <c r="J395" s="396"/>
      <c r="K395" s="396"/>
      <c r="L395" s="404" t="s">
        <v>207</v>
      </c>
      <c r="M395" s="399" t="s">
        <v>176</v>
      </c>
      <c r="N395" s="399">
        <f t="shared" ref="N395" si="1192">IF(AND(D392=D393,D392=D394,D393=D394,F392=F393,F392=F394,F393=F394),SUM(N392:N394),0)</f>
        <v>9.8990000000000009</v>
      </c>
      <c r="O395" s="399" t="s">
        <v>204</v>
      </c>
      <c r="P395" s="389">
        <f t="shared" ref="P395" si="1193">IF(N395&gt;12,ROUNDDOWN(N395/12,0),0)</f>
        <v>0</v>
      </c>
      <c r="Q395" s="399" t="s">
        <v>125</v>
      </c>
      <c r="R395" s="399">
        <f t="shared" ref="R395" si="1194">IF(P395&gt;0,MAX(VLOOKUP(F395,$D$6:$G$15,3,FALSE),600),0)/1000</f>
        <v>0</v>
      </c>
      <c r="S395" s="396"/>
      <c r="T395" s="396" t="s">
        <v>125</v>
      </c>
      <c r="U395" s="401">
        <f t="shared" ref="U395:U485" si="1195">U394</f>
        <v>1.5782400000000001</v>
      </c>
      <c r="V395" s="396" t="s">
        <v>125</v>
      </c>
      <c r="W395" s="399">
        <f t="shared" ref="W395" si="1196">D395</f>
        <v>3</v>
      </c>
      <c r="X395" s="399" t="s">
        <v>125</v>
      </c>
      <c r="Y395" s="389">
        <f t="shared" ref="Y395:Y485" si="1197">Y394</f>
        <v>1</v>
      </c>
      <c r="Z395" s="400" t="s">
        <v>176</v>
      </c>
      <c r="AA395" s="402">
        <f t="shared" ref="AA395" si="1198">(N395+P395*R395/1000)*U395*W395*Y395</f>
        <v>46.868993280000005</v>
      </c>
      <c r="AB395" s="390"/>
    </row>
    <row r="396" spans="1:28">
      <c r="A396" s="384"/>
      <c r="B396" s="385"/>
      <c r="C396" s="393"/>
      <c r="D396" s="398"/>
      <c r="E396" s="388"/>
      <c r="F396" s="388"/>
      <c r="G396" s="388"/>
      <c r="H396" s="395"/>
      <c r="I396" s="388"/>
      <c r="J396" s="396"/>
      <c r="K396" s="396"/>
      <c r="L396" s="404"/>
      <c r="M396" s="399"/>
      <c r="N396" s="399"/>
      <c r="O396" s="396"/>
      <c r="P396" s="389"/>
      <c r="Q396" s="396"/>
      <c r="R396" s="396"/>
      <c r="S396" s="396"/>
      <c r="T396" s="396"/>
      <c r="U396" s="401"/>
      <c r="V396" s="396"/>
      <c r="W396" s="399"/>
      <c r="X396" s="396"/>
      <c r="Y396" s="389"/>
      <c r="Z396" s="396"/>
      <c r="AA396" s="388"/>
      <c r="AB396" s="390"/>
    </row>
    <row r="397" spans="1:28">
      <c r="A397" s="384" t="str">
        <f t="shared" ref="A397:B397" si="1199">A385</f>
        <v>Lantai 1</v>
      </c>
      <c r="B397" s="385">
        <f t="shared" si="1199"/>
        <v>13</v>
      </c>
      <c r="C397" s="393" t="s">
        <v>208</v>
      </c>
      <c r="D397" s="398">
        <f>VLOOKUP(D385,'Detail Balok'!$C$10:$AU$140,13,FALSE)</f>
        <v>0</v>
      </c>
      <c r="E397" s="388" t="s">
        <v>16</v>
      </c>
      <c r="F397" s="388">
        <f>VLOOKUP(D385,'Detail Balok'!$C$10:$AU$140,15,FALSE)</f>
        <v>8</v>
      </c>
      <c r="G397" s="388"/>
      <c r="H397" s="395"/>
      <c r="I397" s="388"/>
      <c r="J397" s="399">
        <f t="shared" ref="J397" si="1200">+D387/1000</f>
        <v>9.5150000000000006</v>
      </c>
      <c r="K397" s="400" t="s">
        <v>204</v>
      </c>
      <c r="L397" s="399">
        <f t="shared" ref="L397" si="1201">2*$F$16*F397/1000</f>
        <v>0.192</v>
      </c>
      <c r="M397" s="399" t="s">
        <v>176</v>
      </c>
      <c r="N397" s="399">
        <f t="shared" ref="N397" si="1202">J397+L397</f>
        <v>9.7070000000000007</v>
      </c>
      <c r="O397" s="399" t="s">
        <v>204</v>
      </c>
      <c r="P397" s="389">
        <f t="shared" ref="P397" si="1203">IF(N397&gt;12,ROUNDDOWN(N397/12,0),0)</f>
        <v>0</v>
      </c>
      <c r="Q397" s="399" t="s">
        <v>125</v>
      </c>
      <c r="R397" s="399">
        <f t="shared" ref="R397" si="1204">IF(P397&gt;0,MAX(VLOOKUP(F397,$D$6:$G$15,3,FALSE),600),0)/1000</f>
        <v>0</v>
      </c>
      <c r="S397" s="399"/>
      <c r="T397" s="399" t="s">
        <v>125</v>
      </c>
      <c r="U397" s="401">
        <f t="shared" ref="U397" si="1205">0.006165*F397^2</f>
        <v>0.39456000000000002</v>
      </c>
      <c r="V397" s="399" t="s">
        <v>125</v>
      </c>
      <c r="W397" s="399">
        <f t="shared" ref="W397" si="1206">+D397</f>
        <v>0</v>
      </c>
      <c r="X397" s="399" t="s">
        <v>125</v>
      </c>
      <c r="Y397" s="389">
        <f t="shared" ref="Y397" si="1207">D391</f>
        <v>1</v>
      </c>
      <c r="Z397" s="400" t="s">
        <v>176</v>
      </c>
      <c r="AA397" s="402">
        <f t="shared" ref="AA397" si="1208">(N397+P397*R397/1000)*U397*W397*Y397</f>
        <v>0</v>
      </c>
      <c r="AB397" s="403"/>
    </row>
    <row r="398" spans="1:28">
      <c r="A398" s="384"/>
      <c r="B398" s="385"/>
      <c r="C398" s="393"/>
      <c r="D398" s="398"/>
      <c r="E398" s="388"/>
      <c r="F398" s="388"/>
      <c r="G398" s="388"/>
      <c r="H398" s="395"/>
      <c r="I398" s="388"/>
      <c r="J398" s="399"/>
      <c r="K398" s="400"/>
      <c r="L398" s="399"/>
      <c r="M398" s="399"/>
      <c r="N398" s="399"/>
      <c r="O398" s="399"/>
      <c r="P398" s="389"/>
      <c r="Q398" s="399"/>
      <c r="R398" s="399"/>
      <c r="S398" s="399"/>
      <c r="T398" s="399"/>
      <c r="U398" s="401"/>
      <c r="V398" s="399"/>
      <c r="W398" s="399"/>
      <c r="X398" s="399"/>
      <c r="Y398" s="389"/>
      <c r="Z398" s="400"/>
      <c r="AA398" s="402"/>
      <c r="AB398" s="403"/>
    </row>
    <row r="399" spans="1:28">
      <c r="A399" s="384"/>
      <c r="B399" s="385"/>
      <c r="C399" s="393"/>
      <c r="D399" s="398"/>
      <c r="E399" s="388"/>
      <c r="F399" s="388"/>
      <c r="G399" s="388"/>
      <c r="H399" s="395"/>
      <c r="I399" s="388"/>
      <c r="J399" s="396"/>
      <c r="K399" s="396"/>
      <c r="L399" s="396"/>
      <c r="M399" s="396"/>
      <c r="N399" s="396"/>
      <c r="O399" s="396"/>
      <c r="P399" s="389"/>
      <c r="Q399" s="396"/>
      <c r="R399" s="396"/>
      <c r="S399" s="396"/>
      <c r="T399" s="396"/>
      <c r="U399" s="401"/>
      <c r="V399" s="396"/>
      <c r="W399" s="399"/>
      <c r="X399" s="396"/>
      <c r="Y399" s="389"/>
      <c r="Z399" s="396"/>
      <c r="AA399" s="388"/>
      <c r="AB399" s="390"/>
    </row>
    <row r="400" spans="1:28">
      <c r="A400" s="384" t="str">
        <f t="shared" ref="A400:B400" si="1209">A385</f>
        <v>Lantai 1</v>
      </c>
      <c r="B400" s="385">
        <f t="shared" si="1209"/>
        <v>13</v>
      </c>
      <c r="C400" s="393" t="s">
        <v>209</v>
      </c>
      <c r="D400" s="398">
        <f>VLOOKUP(D385,'Detail Balok'!$C$10:$AU$140,22,FALSE)</f>
        <v>3</v>
      </c>
      <c r="E400" s="388" t="s">
        <v>16</v>
      </c>
      <c r="F400" s="388">
        <f>VLOOKUP(D385,'Detail Balok'!$C$10:$AU$140,24,FALSE)</f>
        <v>16</v>
      </c>
      <c r="G400" s="388"/>
      <c r="H400" s="395"/>
      <c r="I400" s="388" t="s">
        <v>203</v>
      </c>
      <c r="J400" s="399">
        <f t="shared" ref="J400:J492" si="1210">+J392</f>
        <v>2.3787500000000001</v>
      </c>
      <c r="K400" s="400" t="s">
        <v>204</v>
      </c>
      <c r="L400" s="399">
        <f t="shared" ref="L400" si="1211">MAX(VLOOKUP(F400,N$6:P$15,3,FALSE)/1000,2/3*D390/1000)+F$16*F400/1000</f>
        <v>0.192</v>
      </c>
      <c r="M400" s="399" t="s">
        <v>176</v>
      </c>
      <c r="N400" s="399">
        <f t="shared" ref="N400:N402" si="1212">J400+L400</f>
        <v>2.5707500000000003</v>
      </c>
      <c r="O400" s="399" t="s">
        <v>204</v>
      </c>
      <c r="P400" s="389">
        <f t="shared" ref="P400" si="1213">D400-D401</f>
        <v>0</v>
      </c>
      <c r="Q400" s="399" t="s">
        <v>125</v>
      </c>
      <c r="R400" s="399">
        <f t="shared" ref="R400" si="1214">IF(P400&gt;0,$F$18*F400/1000,0)</f>
        <v>0</v>
      </c>
      <c r="S400" s="399" t="s">
        <v>205</v>
      </c>
      <c r="T400" s="399" t="s">
        <v>125</v>
      </c>
      <c r="U400" s="401">
        <f t="shared" ref="U400:U402" si="1215">0.006165*F400^2</f>
        <v>1.5782400000000001</v>
      </c>
      <c r="V400" s="399"/>
      <c r="W400" s="399"/>
      <c r="X400" s="399" t="s">
        <v>125</v>
      </c>
      <c r="Y400" s="389">
        <f t="shared" ref="Y400" si="1216">D391</f>
        <v>1</v>
      </c>
      <c r="Z400" s="400" t="s">
        <v>176</v>
      </c>
      <c r="AA400" s="402">
        <f t="shared" ref="AA400" si="1217">IF(AA403=0,(D400*N400+P400*R400)*U400*Y400,0)</f>
        <v>0</v>
      </c>
      <c r="AB400" s="403"/>
    </row>
    <row r="401" spans="1:28">
      <c r="A401" s="384" t="str">
        <f t="shared" ref="A401:B401" si="1218">A385</f>
        <v>Lantai 1</v>
      </c>
      <c r="B401" s="385">
        <f t="shared" si="1218"/>
        <v>13</v>
      </c>
      <c r="C401" s="393" t="s">
        <v>210</v>
      </c>
      <c r="D401" s="398">
        <f>VLOOKUP(D385,'Detail Balok'!$C$10:$AU$140,25,FALSE)</f>
        <v>3</v>
      </c>
      <c r="E401" s="388" t="s">
        <v>16</v>
      </c>
      <c r="F401" s="388">
        <f>VLOOKUP(D385,'Detail Balok'!$C$10:$AU$140,27,FALSE)</f>
        <v>16</v>
      </c>
      <c r="G401" s="388"/>
      <c r="H401" s="395"/>
      <c r="I401" s="388" t="s">
        <v>203</v>
      </c>
      <c r="J401" s="399">
        <f t="shared" si="1210"/>
        <v>4.7575000000000003</v>
      </c>
      <c r="K401" s="400" t="s">
        <v>204</v>
      </c>
      <c r="L401" s="399"/>
      <c r="M401" s="399" t="s">
        <v>176</v>
      </c>
      <c r="N401" s="399">
        <f t="shared" si="1212"/>
        <v>4.7575000000000003</v>
      </c>
      <c r="O401" s="399" t="s">
        <v>204</v>
      </c>
      <c r="P401" s="389">
        <f t="shared" ref="P401" si="1219">MAX(D401-D400,D401-D402)</f>
        <v>0</v>
      </c>
      <c r="Q401" s="399" t="s">
        <v>125</v>
      </c>
      <c r="R401" s="399">
        <f t="shared" ref="R401" si="1220">IF(P401&gt;0,2*(1-2*$F$19-1/2)*D388/1000,0)</f>
        <v>0</v>
      </c>
      <c r="S401" s="399" t="s">
        <v>205</v>
      </c>
      <c r="T401" s="399" t="s">
        <v>125</v>
      </c>
      <c r="U401" s="401">
        <f t="shared" si="1215"/>
        <v>1.5782400000000001</v>
      </c>
      <c r="V401" s="399"/>
      <c r="W401" s="399"/>
      <c r="X401" s="399" t="s">
        <v>125</v>
      </c>
      <c r="Y401" s="389">
        <f t="shared" ref="Y401" si="1221">D391</f>
        <v>1</v>
      </c>
      <c r="Z401" s="400" t="s">
        <v>176</v>
      </c>
      <c r="AA401" s="402">
        <f t="shared" ref="AA401" si="1222">IF(AA403=0,(D401*N401+P401*R401)*U401*Y401,0)</f>
        <v>0</v>
      </c>
      <c r="AB401" s="403"/>
    </row>
    <row r="402" spans="1:28">
      <c r="A402" s="384" t="str">
        <f t="shared" ref="A402:B402" si="1223">A385</f>
        <v>Lantai 1</v>
      </c>
      <c r="B402" s="385">
        <f t="shared" si="1223"/>
        <v>13</v>
      </c>
      <c r="C402" s="393" t="s">
        <v>209</v>
      </c>
      <c r="D402" s="398">
        <f>VLOOKUP(D385,'Detail Balok'!$C$10:$AU$140,28,FALSE)</f>
        <v>3</v>
      </c>
      <c r="E402" s="388" t="s">
        <v>16</v>
      </c>
      <c r="F402" s="388">
        <f>VLOOKUP(D385,'Detail Balok'!$C$10:$AU$140,30,FALSE)</f>
        <v>16</v>
      </c>
      <c r="G402" s="388"/>
      <c r="H402" s="395"/>
      <c r="I402" s="388" t="s">
        <v>203</v>
      </c>
      <c r="J402" s="399">
        <f t="shared" si="1210"/>
        <v>2.3787500000000001</v>
      </c>
      <c r="K402" s="400" t="s">
        <v>204</v>
      </c>
      <c r="L402" s="399">
        <f t="shared" ref="L402" si="1224">MAX(VLOOKUP(F402,N$6:P$15,3,FALSE)/1000,2/3*D390/1000)+F$16*F402/1000</f>
        <v>0.192</v>
      </c>
      <c r="M402" s="399" t="s">
        <v>176</v>
      </c>
      <c r="N402" s="399">
        <f t="shared" si="1212"/>
        <v>2.5707500000000003</v>
      </c>
      <c r="O402" s="399" t="s">
        <v>204</v>
      </c>
      <c r="P402" s="389">
        <f t="shared" ref="P402" si="1225">D402-D401</f>
        <v>0</v>
      </c>
      <c r="Q402" s="399" t="s">
        <v>125</v>
      </c>
      <c r="R402" s="399">
        <f t="shared" ref="R402" si="1226">IF(P402&gt;0,$F$18*F402/1000,0)</f>
        <v>0</v>
      </c>
      <c r="S402" s="399" t="s">
        <v>205</v>
      </c>
      <c r="T402" s="399" t="s">
        <v>125</v>
      </c>
      <c r="U402" s="401">
        <f t="shared" si="1215"/>
        <v>1.5782400000000001</v>
      </c>
      <c r="V402" s="399"/>
      <c r="W402" s="399"/>
      <c r="X402" s="399" t="s">
        <v>125</v>
      </c>
      <c r="Y402" s="389">
        <f t="shared" ref="Y402" si="1227">D391</f>
        <v>1</v>
      </c>
      <c r="Z402" s="400" t="s">
        <v>176</v>
      </c>
      <c r="AA402" s="402">
        <f t="shared" ref="AA402" si="1228">IF(AA403=0,(D402*N402+P402*R402)*U402*Y402,0)</f>
        <v>0</v>
      </c>
      <c r="AB402" s="403"/>
    </row>
    <row r="403" spans="1:28">
      <c r="A403" s="384" t="str">
        <f t="shared" ref="A403:B403" si="1229">A385</f>
        <v>Lantai 1</v>
      </c>
      <c r="B403" s="385">
        <f t="shared" si="1229"/>
        <v>13</v>
      </c>
      <c r="C403" s="393"/>
      <c r="D403" s="398">
        <f t="shared" ref="D403:D493" si="1230">IF(AND(D400=D401,D401=D402,D400=D402),D400,0)</f>
        <v>3</v>
      </c>
      <c r="E403" s="388" t="s">
        <v>16</v>
      </c>
      <c r="F403" s="388">
        <f t="shared" ref="F403:F493" si="1231">IF(AND(F400=F401,F400=F402,F401=F402),F400,0)</f>
        <v>16</v>
      </c>
      <c r="G403" s="388"/>
      <c r="H403" s="395"/>
      <c r="I403" s="388"/>
      <c r="J403" s="396"/>
      <c r="K403" s="396"/>
      <c r="L403" s="404" t="s">
        <v>207</v>
      </c>
      <c r="M403" s="399" t="s">
        <v>176</v>
      </c>
      <c r="N403" s="399">
        <f t="shared" ref="N403" si="1232">IF(AND(D400=D401,D400=D402,D401=D402,F400=F401,F400=F402,F401=F402),SUM(N400:N402),0)</f>
        <v>9.8990000000000009</v>
      </c>
      <c r="O403" s="399" t="s">
        <v>204</v>
      </c>
      <c r="P403" s="389">
        <f t="shared" ref="P403" si="1233">IF(N403&gt;12,ROUNDDOWN(N403/12,0),0)</f>
        <v>0</v>
      </c>
      <c r="Q403" s="399" t="s">
        <v>125</v>
      </c>
      <c r="R403" s="399">
        <f t="shared" ref="R403" si="1234">IF(P403&gt;0,MAX(VLOOKUP(F403,$D$6:$G$15,3,FALSE),600),0)/1000</f>
        <v>0</v>
      </c>
      <c r="S403" s="396"/>
      <c r="T403" s="396" t="s">
        <v>125</v>
      </c>
      <c r="U403" s="401">
        <f t="shared" ref="U403:U493" si="1235">U402</f>
        <v>1.5782400000000001</v>
      </c>
      <c r="V403" s="396" t="s">
        <v>125</v>
      </c>
      <c r="W403" s="399">
        <f t="shared" ref="W403" si="1236">D403</f>
        <v>3</v>
      </c>
      <c r="X403" s="399" t="s">
        <v>125</v>
      </c>
      <c r="Y403" s="389">
        <f t="shared" ref="Y403:Y493" si="1237">Y402</f>
        <v>1</v>
      </c>
      <c r="Z403" s="400" t="s">
        <v>176</v>
      </c>
      <c r="AA403" s="402">
        <f t="shared" ref="AA403" si="1238">(N403+P403*R403/1000)*U403*W403*Y403</f>
        <v>46.868993280000005</v>
      </c>
      <c r="AB403" s="403"/>
    </row>
    <row r="404" spans="1:28">
      <c r="A404" s="384"/>
      <c r="B404" s="385"/>
      <c r="C404" s="393"/>
      <c r="D404" s="394"/>
      <c r="E404" s="388"/>
      <c r="F404" s="388"/>
      <c r="G404" s="388"/>
      <c r="H404" s="395"/>
      <c r="I404" s="388"/>
      <c r="J404" s="399"/>
      <c r="K404" s="396"/>
      <c r="L404" s="396"/>
      <c r="M404" s="396"/>
      <c r="N404" s="396"/>
      <c r="O404" s="396"/>
      <c r="P404" s="389"/>
      <c r="Q404" s="396"/>
      <c r="R404" s="396"/>
      <c r="S404" s="396"/>
      <c r="T404" s="396"/>
      <c r="U404" s="401"/>
      <c r="V404" s="396"/>
      <c r="W404" s="388"/>
      <c r="X404" s="396"/>
      <c r="Y404" s="389"/>
      <c r="Z404" s="396"/>
      <c r="AA404" s="388"/>
      <c r="AB404" s="390"/>
    </row>
    <row r="405" spans="1:28">
      <c r="A405" s="384" t="str">
        <f t="shared" ref="A405:B405" si="1239">A385</f>
        <v>Lantai 1</v>
      </c>
      <c r="B405" s="385">
        <f t="shared" si="1239"/>
        <v>13</v>
      </c>
      <c r="C405" s="393" t="s">
        <v>211</v>
      </c>
      <c r="D405" s="398">
        <f>VLOOKUP(D385,'Detail Balok'!$C$10:$AU$140,31,FALSE)</f>
        <v>0</v>
      </c>
      <c r="E405" s="388" t="s">
        <v>16</v>
      </c>
      <c r="F405" s="388">
        <f>VLOOKUP(D385,'Detail Balok'!$C$10:$AU$140,33,FALSE)</f>
        <v>8</v>
      </c>
      <c r="G405" s="405" t="s">
        <v>157</v>
      </c>
      <c r="H405" s="395">
        <f>VLOOKUP(D385,'Detail Balok'!$C$10:$AU$140,35,FALSE)</f>
        <v>150</v>
      </c>
      <c r="I405" s="388"/>
      <c r="J405" s="400">
        <f t="shared" ref="J405" si="1240">(IF(D405=0,(2*(D386+G386))-(F$5*8),IF(D405=3,(2*(D386+G386))-(F$5*8)+(G386-2*F$5),IF(D405=4,(2*(D386+G386))-(F$5*8)+2*(G386-2*F$5)))))/1000</f>
        <v>0.88</v>
      </c>
      <c r="K405" s="400" t="s">
        <v>204</v>
      </c>
      <c r="L405" s="399">
        <f t="shared" ref="L405:L407" si="1241">IF(D405=0,2*MAX(6*F405,75),(D405-1)*2*MAX(6*F405,75))/1000</f>
        <v>0.15</v>
      </c>
      <c r="M405" s="399" t="s">
        <v>176</v>
      </c>
      <c r="N405" s="399">
        <f t="shared" ref="N405:N407" si="1242">J405+L405</f>
        <v>1.03</v>
      </c>
      <c r="O405" s="399"/>
      <c r="P405" s="389"/>
      <c r="Q405" s="399"/>
      <c r="R405" s="399"/>
      <c r="S405" s="399"/>
      <c r="T405" s="399" t="s">
        <v>125</v>
      </c>
      <c r="U405" s="401">
        <f t="shared" ref="U405:U407" si="1243">0.006165*F405^2</f>
        <v>0.39456000000000002</v>
      </c>
      <c r="V405" s="399" t="s">
        <v>125</v>
      </c>
      <c r="W405" s="399">
        <f t="shared" ref="W405" si="1244">IF(D388&gt;4*G386,ROUND(MAX(D388/4,2*G386)/H405,0)+1,ROUND(D388/H405,0)+1)</f>
        <v>17</v>
      </c>
      <c r="X405" s="399" t="s">
        <v>125</v>
      </c>
      <c r="Y405" s="389">
        <f t="shared" ref="Y405" si="1245">D391</f>
        <v>1</v>
      </c>
      <c r="Z405" s="400" t="s">
        <v>176</v>
      </c>
      <c r="AA405" s="402">
        <f t="shared" ref="AA405:AA407" si="1246">N405*U405*W405*Y405</f>
        <v>6.9087456000000014</v>
      </c>
      <c r="AB405" s="403"/>
    </row>
    <row r="406" spans="1:28">
      <c r="A406" s="384" t="str">
        <f t="shared" ref="A406:B406" si="1247">A385</f>
        <v>Lantai 1</v>
      </c>
      <c r="B406" s="385">
        <f t="shared" si="1247"/>
        <v>13</v>
      </c>
      <c r="C406" s="393" t="s">
        <v>212</v>
      </c>
      <c r="D406" s="398">
        <f>VLOOKUP(D385,'Detail Balok'!$C$10:$AU$140,36,FALSE)</f>
        <v>0</v>
      </c>
      <c r="E406" s="388" t="s">
        <v>16</v>
      </c>
      <c r="F406" s="388">
        <f>VLOOKUP(D385,'Detail Balok'!$C$10:$AU$140,38,FALSE)</f>
        <v>8</v>
      </c>
      <c r="G406" s="405" t="s">
        <v>157</v>
      </c>
      <c r="H406" s="395">
        <f>VLOOKUP(D385,'Detail Balok'!$C$10:$AU$140,40,FALSE)</f>
        <v>200</v>
      </c>
      <c r="I406" s="388"/>
      <c r="J406" s="400">
        <f t="shared" ref="J406" si="1248">(IF(D406=0,(2*(D386+G386))-(F$5*8),IF(D406=3,(2*(D386+G386))-(F$5*8)+(G386-2*F$5),IF(D406=4,(2*(D386+G386))-(F$5*8)+2*(G386-2*F$5)))))/1000</f>
        <v>0.88</v>
      </c>
      <c r="K406" s="400" t="s">
        <v>204</v>
      </c>
      <c r="L406" s="399">
        <f t="shared" si="1241"/>
        <v>0.15</v>
      </c>
      <c r="M406" s="399" t="s">
        <v>176</v>
      </c>
      <c r="N406" s="399">
        <f t="shared" si="1242"/>
        <v>1.03</v>
      </c>
      <c r="O406" s="399"/>
      <c r="P406" s="389"/>
      <c r="Q406" s="399"/>
      <c r="R406" s="399"/>
      <c r="S406" s="399"/>
      <c r="T406" s="399" t="s">
        <v>125</v>
      </c>
      <c r="U406" s="401">
        <f t="shared" si="1243"/>
        <v>0.39456000000000002</v>
      </c>
      <c r="V406" s="399" t="s">
        <v>125</v>
      </c>
      <c r="W406" s="399">
        <f t="shared" ref="W406" si="1249">IF(D388-MAX(D388/4,2*G386)*2&gt;0,ROUND((D388-MAX(D388/4,2*G386)*2)/H406,0),0)</f>
        <v>24</v>
      </c>
      <c r="X406" s="399" t="s">
        <v>125</v>
      </c>
      <c r="Y406" s="389">
        <f t="shared" ref="Y406" si="1250">D391</f>
        <v>1</v>
      </c>
      <c r="Z406" s="400" t="s">
        <v>176</v>
      </c>
      <c r="AA406" s="402">
        <f t="shared" si="1246"/>
        <v>9.7535232000000018</v>
      </c>
      <c r="AB406" s="403"/>
    </row>
    <row r="407" spans="1:28">
      <c r="A407" s="384" t="str">
        <f t="shared" ref="A407:B407" si="1251">A385</f>
        <v>Lantai 1</v>
      </c>
      <c r="B407" s="385">
        <f t="shared" si="1251"/>
        <v>13</v>
      </c>
      <c r="C407" s="393" t="s">
        <v>211</v>
      </c>
      <c r="D407" s="398">
        <f>VLOOKUP(D385,'Detail Balok'!$C$10:$AU$140,41,FALSE)</f>
        <v>0</v>
      </c>
      <c r="E407" s="388" t="s">
        <v>16</v>
      </c>
      <c r="F407" s="388">
        <f>VLOOKUP(D385,'Detail Balok'!$C$10:$AU$140,43,FALSE)</f>
        <v>8</v>
      </c>
      <c r="G407" s="405" t="s">
        <v>157</v>
      </c>
      <c r="H407" s="395">
        <f>VLOOKUP(D385,'Detail Balok'!$C$10:$AU$140,45,FALSE)</f>
        <v>150</v>
      </c>
      <c r="I407" s="388"/>
      <c r="J407" s="400">
        <f t="shared" ref="J407" si="1252">(IF(D407=0,(2*(D386+G386))-(F$5*8),IF(D407=3,(2*(D386+G386))-(F$5*8)+(G386-2*F$5),IF(D407=4,(2*(D386+G386))-(F$5*8)+2*(G386-2*F$5)))))/1000</f>
        <v>0.88</v>
      </c>
      <c r="K407" s="400" t="s">
        <v>204</v>
      </c>
      <c r="L407" s="399">
        <f t="shared" si="1241"/>
        <v>0.15</v>
      </c>
      <c r="M407" s="399" t="s">
        <v>176</v>
      </c>
      <c r="N407" s="399">
        <f t="shared" si="1242"/>
        <v>1.03</v>
      </c>
      <c r="O407" s="399"/>
      <c r="P407" s="389"/>
      <c r="Q407" s="399"/>
      <c r="R407" s="399"/>
      <c r="S407" s="399"/>
      <c r="T407" s="399" t="s">
        <v>125</v>
      </c>
      <c r="U407" s="401">
        <f t="shared" si="1243"/>
        <v>0.39456000000000002</v>
      </c>
      <c r="V407" s="399" t="s">
        <v>125</v>
      </c>
      <c r="W407" s="399">
        <f t="shared" ref="W407" si="1253">IF(D388&gt;4*G386,ROUND(MAX(D388/4,2*G386)/H407,0)+1,0)</f>
        <v>17</v>
      </c>
      <c r="X407" s="399" t="s">
        <v>125</v>
      </c>
      <c r="Y407" s="389">
        <f t="shared" ref="Y407" si="1254">D391</f>
        <v>1</v>
      </c>
      <c r="Z407" s="400" t="s">
        <v>176</v>
      </c>
      <c r="AA407" s="402">
        <f t="shared" si="1246"/>
        <v>6.9087456000000014</v>
      </c>
      <c r="AB407" s="403"/>
    </row>
    <row r="408" spans="1:28">
      <c r="A408" s="384"/>
      <c r="B408" s="385"/>
      <c r="C408" s="393"/>
      <c r="D408" s="394"/>
      <c r="E408" s="388"/>
      <c r="F408" s="388"/>
      <c r="G408" s="388"/>
      <c r="H408" s="395"/>
      <c r="I408" s="388"/>
      <c r="J408" s="399"/>
      <c r="K408" s="396"/>
      <c r="L408" s="396"/>
      <c r="M408" s="396"/>
      <c r="N408" s="396"/>
      <c r="O408" s="396"/>
      <c r="P408" s="389"/>
      <c r="Q408" s="396"/>
      <c r="R408" s="396"/>
      <c r="S408" s="396"/>
      <c r="T408" s="396"/>
      <c r="U408" s="401"/>
      <c r="V408" s="396"/>
      <c r="W408" s="388"/>
      <c r="X408" s="396"/>
      <c r="Y408" s="389"/>
      <c r="Z408" s="396"/>
      <c r="AA408" s="388"/>
      <c r="AB408" s="390"/>
    </row>
    <row r="409" spans="1:28">
      <c r="A409" s="384" t="str">
        <f t="shared" ref="A409:B409" si="1255">A385</f>
        <v>Lantai 1</v>
      </c>
      <c r="B409" s="385">
        <f t="shared" si="1255"/>
        <v>13</v>
      </c>
      <c r="C409" s="393" t="s">
        <v>213</v>
      </c>
      <c r="D409" s="398">
        <f>VLOOKUP(D385,'Detail Balok'!$C$10:$BJ$140,46,FALSE)</f>
        <v>0</v>
      </c>
      <c r="E409" s="388" t="s">
        <v>16</v>
      </c>
      <c r="F409" s="388">
        <f>VLOOKUP(D385,'Detail Balok'!$C$10:$BJ$140,48,FALSE)</f>
        <v>0</v>
      </c>
      <c r="G409" s="405" t="s">
        <v>157</v>
      </c>
      <c r="H409" s="395">
        <f>VLOOKUP(D385,'Detail Balok'!$C$10:$BJ$140,50,FALSE)</f>
        <v>100</v>
      </c>
      <c r="I409" s="388"/>
      <c r="J409" s="399">
        <f t="shared" ref="J409" si="1256">(D386-2*F$5)/1000</f>
        <v>0.12</v>
      </c>
      <c r="K409" s="400" t="s">
        <v>204</v>
      </c>
      <c r="L409" s="399">
        <f t="shared" ref="L409:L411" si="1257">IF(D409=0,2*MAX(6*F409,75),(D409-1)*2*MAX(6*F409,75))/1000</f>
        <v>0.15</v>
      </c>
      <c r="M409" s="399" t="s">
        <v>176</v>
      </c>
      <c r="N409" s="399">
        <f t="shared" ref="N409:N411" si="1258">J409+L409</f>
        <v>0.27</v>
      </c>
      <c r="O409" s="399"/>
      <c r="P409" s="399"/>
      <c r="Q409" s="399"/>
      <c r="R409" s="399"/>
      <c r="S409" s="399"/>
      <c r="T409" s="399" t="s">
        <v>125</v>
      </c>
      <c r="U409" s="401">
        <f t="shared" ref="U409:U411" si="1259">0.006165*F409^2</f>
        <v>0</v>
      </c>
      <c r="V409" s="399" t="s">
        <v>125</v>
      </c>
      <c r="W409" s="399">
        <f t="shared" ref="W409:W501" si="1260">W405</f>
        <v>17</v>
      </c>
      <c r="X409" s="399" t="s">
        <v>125</v>
      </c>
      <c r="Y409" s="389">
        <f t="shared" ref="Y409" si="1261">D395</f>
        <v>3</v>
      </c>
      <c r="Z409" s="400" t="s">
        <v>176</v>
      </c>
      <c r="AA409" s="402">
        <f t="shared" ref="AA409:AA411" si="1262">N409*U409*W409*Y409</f>
        <v>0</v>
      </c>
      <c r="AB409" s="403"/>
    </row>
    <row r="410" spans="1:28">
      <c r="A410" s="384" t="str">
        <f t="shared" ref="A410:B410" si="1263">A385</f>
        <v>Lantai 1</v>
      </c>
      <c r="B410" s="385">
        <f t="shared" si="1263"/>
        <v>13</v>
      </c>
      <c r="C410" s="393" t="s">
        <v>214</v>
      </c>
      <c r="D410" s="398">
        <f>VLOOKUP(D385,'Detail Balok'!$C$10:$BJ$140,51,FALSE)</f>
        <v>0</v>
      </c>
      <c r="E410" s="388" t="s">
        <v>16</v>
      </c>
      <c r="F410" s="388">
        <f>VLOOKUP(D385,'Detail Balok'!$C$10:$BJ$140,53,FALSE)</f>
        <v>0</v>
      </c>
      <c r="G410" s="405" t="s">
        <v>157</v>
      </c>
      <c r="H410" s="395">
        <f>VLOOKUP(D385,'Detail Balok'!$C$10:$BJ$140,55,FALSE)</f>
        <v>100</v>
      </c>
      <c r="I410" s="388"/>
      <c r="J410" s="399">
        <f t="shared" ref="J410" si="1264">(D386-2*F$5)/1000</f>
        <v>0.12</v>
      </c>
      <c r="K410" s="400" t="s">
        <v>204</v>
      </c>
      <c r="L410" s="399">
        <f t="shared" si="1257"/>
        <v>0.15</v>
      </c>
      <c r="M410" s="399" t="s">
        <v>176</v>
      </c>
      <c r="N410" s="399">
        <f t="shared" si="1258"/>
        <v>0.27</v>
      </c>
      <c r="O410" s="399"/>
      <c r="P410" s="399"/>
      <c r="Q410" s="399"/>
      <c r="R410" s="399"/>
      <c r="S410" s="399"/>
      <c r="T410" s="399" t="s">
        <v>125</v>
      </c>
      <c r="U410" s="401">
        <f t="shared" si="1259"/>
        <v>0</v>
      </c>
      <c r="V410" s="399" t="s">
        <v>125</v>
      </c>
      <c r="W410" s="399">
        <f t="shared" si="1260"/>
        <v>24</v>
      </c>
      <c r="X410" s="399" t="s">
        <v>125</v>
      </c>
      <c r="Y410" s="389">
        <f t="shared" ref="Y410" si="1265">D395</f>
        <v>3</v>
      </c>
      <c r="Z410" s="400" t="s">
        <v>176</v>
      </c>
      <c r="AA410" s="402">
        <f t="shared" si="1262"/>
        <v>0</v>
      </c>
      <c r="AB410" s="403"/>
    </row>
    <row r="411" spans="1:28">
      <c r="A411" s="384" t="str">
        <f t="shared" ref="A411:B411" si="1266">A385</f>
        <v>Lantai 1</v>
      </c>
      <c r="B411" s="385">
        <f t="shared" si="1266"/>
        <v>13</v>
      </c>
      <c r="C411" s="393" t="s">
        <v>213</v>
      </c>
      <c r="D411" s="398">
        <f>VLOOKUP(D385,'Detail Balok'!$C$10:$BJ$140,56,FALSE)</f>
        <v>0</v>
      </c>
      <c r="E411" s="388" t="s">
        <v>16</v>
      </c>
      <c r="F411" s="388">
        <f>VLOOKUP(D385,'Detail Balok'!$C$10:$BJ$140,58,FALSE)</f>
        <v>0</v>
      </c>
      <c r="G411" s="405" t="s">
        <v>157</v>
      </c>
      <c r="H411" s="395">
        <f>VLOOKUP(D385,'Detail Balok'!$C$10:$BJ$140,60,FALSE)</f>
        <v>100</v>
      </c>
      <c r="I411" s="388"/>
      <c r="J411" s="399">
        <f t="shared" ref="J411" si="1267">(D386-2*F$5)/1000</f>
        <v>0.12</v>
      </c>
      <c r="K411" s="400" t="s">
        <v>204</v>
      </c>
      <c r="L411" s="399">
        <f t="shared" si="1257"/>
        <v>0.15</v>
      </c>
      <c r="M411" s="399" t="s">
        <v>176</v>
      </c>
      <c r="N411" s="399">
        <f t="shared" si="1258"/>
        <v>0.27</v>
      </c>
      <c r="O411" s="399"/>
      <c r="P411" s="399"/>
      <c r="Q411" s="399"/>
      <c r="R411" s="399"/>
      <c r="S411" s="399"/>
      <c r="T411" s="399" t="s">
        <v>125</v>
      </c>
      <c r="U411" s="401">
        <f t="shared" si="1259"/>
        <v>0</v>
      </c>
      <c r="V411" s="399" t="s">
        <v>125</v>
      </c>
      <c r="W411" s="399">
        <f t="shared" si="1260"/>
        <v>17</v>
      </c>
      <c r="X411" s="399" t="s">
        <v>125</v>
      </c>
      <c r="Y411" s="389">
        <f t="shared" ref="Y411" si="1268">D395</f>
        <v>3</v>
      </c>
      <c r="Z411" s="400" t="s">
        <v>176</v>
      </c>
      <c r="AA411" s="402">
        <f t="shared" si="1262"/>
        <v>0</v>
      </c>
      <c r="AB411" s="403"/>
    </row>
    <row r="412" spans="1:28">
      <c r="A412" s="391"/>
      <c r="B412" s="392"/>
      <c r="C412" s="392"/>
      <c r="D412" s="394"/>
      <c r="E412" s="388"/>
      <c r="F412" s="388"/>
      <c r="G412" s="388"/>
      <c r="H412" s="395"/>
      <c r="I412" s="388"/>
      <c r="J412" s="402"/>
      <c r="K412" s="388"/>
      <c r="L412" s="388"/>
      <c r="M412" s="388"/>
      <c r="N412" s="388"/>
      <c r="O412" s="388"/>
      <c r="P412" s="388"/>
      <c r="Q412" s="388"/>
      <c r="R412" s="388"/>
      <c r="S412" s="388"/>
      <c r="T412" s="388"/>
      <c r="U412" s="388"/>
      <c r="V412" s="388"/>
      <c r="W412" s="388"/>
      <c r="X412" s="388"/>
      <c r="Y412" s="389"/>
      <c r="Z412" s="388"/>
      <c r="AA412" s="402"/>
      <c r="AB412" s="403"/>
    </row>
    <row r="413" spans="1:28" ht="15.75" thickBot="1">
      <c r="A413" s="406"/>
      <c r="B413" s="407"/>
      <c r="C413" s="407"/>
      <c r="D413" s="408"/>
      <c r="E413" s="409"/>
      <c r="F413" s="409"/>
      <c r="G413" s="409"/>
      <c r="H413" s="410"/>
      <c r="I413" s="409"/>
      <c r="J413" s="409"/>
      <c r="K413" s="409"/>
      <c r="L413" s="409"/>
      <c r="M413" s="409"/>
      <c r="N413" s="409"/>
      <c r="O413" s="409"/>
      <c r="P413" s="409"/>
      <c r="Q413" s="409"/>
      <c r="R413" s="409"/>
      <c r="S413" s="409"/>
      <c r="T413" s="409"/>
      <c r="U413" s="409"/>
      <c r="V413" s="409"/>
      <c r="W413" s="409"/>
      <c r="X413" s="409"/>
      <c r="Y413" s="411"/>
      <c r="Z413" s="409"/>
      <c r="AA413" s="412"/>
      <c r="AB413" s="413"/>
    </row>
    <row r="414" spans="1:28" s="2092" customFormat="1">
      <c r="A414" s="2085"/>
      <c r="B414" s="2086"/>
      <c r="C414" s="2086"/>
      <c r="D414" s="2087"/>
      <c r="E414" s="2088"/>
      <c r="F414" s="2088"/>
      <c r="G414" s="2088"/>
      <c r="H414" s="2089"/>
      <c r="I414" s="2088"/>
      <c r="J414" s="2088"/>
      <c r="K414" s="2088"/>
      <c r="L414" s="2088"/>
      <c r="M414" s="2088"/>
      <c r="N414" s="2088"/>
      <c r="O414" s="2088"/>
      <c r="P414" s="2088"/>
      <c r="Q414" s="2088"/>
      <c r="R414" s="2088"/>
      <c r="S414" s="2088"/>
      <c r="T414" s="2088"/>
      <c r="U414" s="2088"/>
      <c r="V414" s="2088"/>
      <c r="W414" s="2088"/>
      <c r="X414" s="2088"/>
      <c r="Y414" s="2090"/>
      <c r="Z414" s="2088"/>
      <c r="AA414" s="2088"/>
      <c r="AB414" s="2091"/>
    </row>
    <row r="415" spans="1:28" s="2092" customFormat="1">
      <c r="A415" s="2093" t="str">
        <f t="shared" ref="A415" si="1269">A385</f>
        <v>Lantai 1</v>
      </c>
      <c r="B415" s="2094" t="s">
        <v>2324</v>
      </c>
      <c r="C415" s="2095" t="str">
        <f t="shared" ref="C415" si="1270">CONCATENATE(A415," no. ",B415)</f>
        <v>Lantai 1 no. 13A</v>
      </c>
      <c r="D415" s="2554" t="str">
        <f>VLOOKUP(C415,'Data Panjang Balok'!$C$9:$N$254,2,FALSE)</f>
        <v>S24-2</v>
      </c>
      <c r="E415" s="2557"/>
      <c r="F415" s="2557"/>
      <c r="G415" s="2557"/>
      <c r="H415" s="2558"/>
      <c r="I415" s="2096"/>
      <c r="J415" s="2097"/>
      <c r="K415" s="2097"/>
      <c r="L415" s="2097"/>
      <c r="M415" s="2097"/>
      <c r="N415" s="2097"/>
      <c r="O415" s="2097"/>
      <c r="P415" s="2097"/>
      <c r="Q415" s="2097"/>
      <c r="R415" s="2097"/>
      <c r="S415" s="2097"/>
      <c r="T415" s="2097"/>
      <c r="U415" s="2097"/>
      <c r="V415" s="2097"/>
      <c r="W415" s="2097"/>
      <c r="X415" s="2097"/>
      <c r="Y415" s="2098"/>
      <c r="Z415" s="2097"/>
      <c r="AA415" s="2097"/>
      <c r="AB415" s="2099"/>
    </row>
    <row r="416" spans="1:28" s="2092" customFormat="1">
      <c r="A416" s="2100"/>
      <c r="B416" s="2101"/>
      <c r="C416" s="2102" t="s">
        <v>118</v>
      </c>
      <c r="D416" s="2559">
        <f>VLOOKUP(D415,'Detail Balok'!$C$10:$AU$140,2,FALSE)</f>
        <v>200</v>
      </c>
      <c r="E416" s="2560"/>
      <c r="F416" s="2097" t="s">
        <v>125</v>
      </c>
      <c r="G416" s="2560">
        <f>VLOOKUP(D415,'Detail Balok'!$C$10:$AU$140,3,FALSE)</f>
        <v>400</v>
      </c>
      <c r="H416" s="2561"/>
      <c r="I416" s="2097"/>
      <c r="J416" s="2105"/>
      <c r="K416" s="2105"/>
      <c r="L416" s="2105"/>
      <c r="M416" s="2105"/>
      <c r="N416" s="2105"/>
      <c r="O416" s="2105"/>
      <c r="P416" s="2105"/>
      <c r="Q416" s="2105"/>
      <c r="R416" s="2105"/>
      <c r="S416" s="2105"/>
      <c r="T416" s="2105"/>
      <c r="U416" s="2097"/>
      <c r="V416" s="2105"/>
      <c r="W416" s="2097"/>
      <c r="X416" s="2105"/>
      <c r="Y416" s="2098"/>
      <c r="Z416" s="2105"/>
      <c r="AA416" s="2097"/>
      <c r="AB416" s="2099"/>
    </row>
    <row r="417" spans="1:28" s="2092" customFormat="1">
      <c r="A417" s="2100"/>
      <c r="B417" s="2101"/>
      <c r="C417" s="2102" t="s">
        <v>198</v>
      </c>
      <c r="D417" s="2554">
        <f>VLOOKUP(C415,'Data Panjang Balok'!$C$9:$N$254,4,FALSE)</f>
        <v>7925</v>
      </c>
      <c r="E417" s="2555"/>
      <c r="F417" s="2555"/>
      <c r="G417" s="2555"/>
      <c r="H417" s="2556"/>
      <c r="I417" s="2106"/>
      <c r="J417" s="2105"/>
      <c r="K417" s="2105"/>
      <c r="L417" s="2105"/>
      <c r="M417" s="2105"/>
      <c r="N417" s="2105"/>
      <c r="O417" s="2105"/>
      <c r="P417" s="2105"/>
      <c r="Q417" s="2105"/>
      <c r="R417" s="2105"/>
      <c r="S417" s="2105"/>
      <c r="T417" s="2105"/>
      <c r="U417" s="2097"/>
      <c r="V417" s="2105"/>
      <c r="W417" s="2097"/>
      <c r="X417" s="2105"/>
      <c r="Y417" s="2098"/>
      <c r="Z417" s="2105"/>
      <c r="AA417" s="2097"/>
      <c r="AB417" s="2099"/>
    </row>
    <row r="418" spans="1:28" s="2092" customFormat="1">
      <c r="A418" s="2100"/>
      <c r="B418" s="2101"/>
      <c r="C418" s="2102" t="s">
        <v>199</v>
      </c>
      <c r="D418" s="2554">
        <f>VLOOKUP(C415,'Data Panjang Balok'!$C$9:$N$254,7,FALSE)</f>
        <v>7925</v>
      </c>
      <c r="E418" s="2555"/>
      <c r="F418" s="2555"/>
      <c r="G418" s="2555"/>
      <c r="H418" s="2556"/>
      <c r="I418" s="2106"/>
      <c r="J418" s="2105"/>
      <c r="K418" s="2105"/>
      <c r="L418" s="2105"/>
      <c r="M418" s="2105"/>
      <c r="N418" s="2105"/>
      <c r="O418" s="2105"/>
      <c r="P418" s="2105"/>
      <c r="Q418" s="2105"/>
      <c r="R418" s="2105"/>
      <c r="S418" s="2105"/>
      <c r="T418" s="2105"/>
      <c r="U418" s="2097"/>
      <c r="V418" s="2105"/>
      <c r="W418" s="2097"/>
      <c r="X418" s="2105"/>
      <c r="Y418" s="2098"/>
      <c r="Z418" s="2105"/>
      <c r="AA418" s="2097"/>
      <c r="AB418" s="2099"/>
    </row>
    <row r="419" spans="1:28" s="2092" customFormat="1">
      <c r="A419" s="2100"/>
      <c r="B419" s="2101"/>
      <c r="C419" s="2102" t="s">
        <v>200</v>
      </c>
      <c r="D419" s="2554">
        <f>VLOOKUP(C415,'Data Panjang Balok'!$C$9:$N$254,9,FALSE)</f>
        <v>0</v>
      </c>
      <c r="E419" s="2555"/>
      <c r="F419" s="2555"/>
      <c r="G419" s="2555"/>
      <c r="H419" s="2556"/>
      <c r="I419" s="2106"/>
      <c r="J419" s="2105"/>
      <c r="K419" s="2105"/>
      <c r="L419" s="2105"/>
      <c r="M419" s="2105"/>
      <c r="N419" s="2105"/>
      <c r="O419" s="2105"/>
      <c r="P419" s="2105"/>
      <c r="Q419" s="2105"/>
      <c r="R419" s="2105"/>
      <c r="S419" s="2105"/>
      <c r="T419" s="2105"/>
      <c r="U419" s="2097"/>
      <c r="V419" s="2105"/>
      <c r="W419" s="2097"/>
      <c r="X419" s="2105"/>
      <c r="Y419" s="2098"/>
      <c r="Z419" s="2105"/>
      <c r="AA419" s="2097"/>
      <c r="AB419" s="2099"/>
    </row>
    <row r="420" spans="1:28" s="2092" customFormat="1">
      <c r="A420" s="2100"/>
      <c r="B420" s="2101"/>
      <c r="C420" s="2102" t="s">
        <v>201</v>
      </c>
      <c r="D420" s="2554">
        <f>VLOOKUP(C415,'Data Panjang Balok'!$C$9:$N$254,10,FALSE)</f>
        <v>0</v>
      </c>
      <c r="E420" s="2555"/>
      <c r="F420" s="2555"/>
      <c r="G420" s="2555"/>
      <c r="H420" s="2556"/>
      <c r="I420" s="2106"/>
      <c r="J420" s="2105"/>
      <c r="K420" s="2105"/>
      <c r="L420" s="2105"/>
      <c r="M420" s="2105"/>
      <c r="N420" s="2105"/>
      <c r="O420" s="2105"/>
      <c r="P420" s="2105"/>
      <c r="Q420" s="2105"/>
      <c r="R420" s="2105"/>
      <c r="S420" s="2105"/>
      <c r="T420" s="2105"/>
      <c r="U420" s="2097"/>
      <c r="V420" s="2105"/>
      <c r="W420" s="2097"/>
      <c r="X420" s="2105"/>
      <c r="Y420" s="2098"/>
      <c r="Z420" s="2105"/>
      <c r="AA420" s="2097"/>
      <c r="AB420" s="2099"/>
    </row>
    <row r="421" spans="1:28" s="2092" customFormat="1">
      <c r="A421" s="2100"/>
      <c r="B421" s="2101"/>
      <c r="C421" s="2102" t="s">
        <v>48</v>
      </c>
      <c r="D421" s="2554">
        <f>VLOOKUP(C415,'Data Panjang Balok'!$C$9:$N$254,3,FALSE)</f>
        <v>1</v>
      </c>
      <c r="E421" s="2555"/>
      <c r="F421" s="2555"/>
      <c r="G421" s="2555"/>
      <c r="H421" s="2556"/>
      <c r="I421" s="2106"/>
      <c r="J421" s="2105"/>
      <c r="K421" s="2105"/>
      <c r="L421" s="2105"/>
      <c r="M421" s="2105"/>
      <c r="N421" s="2105"/>
      <c r="O421" s="2105"/>
      <c r="P421" s="2105"/>
      <c r="Q421" s="2105"/>
      <c r="R421" s="2105"/>
      <c r="S421" s="2105"/>
      <c r="T421" s="2105"/>
      <c r="U421" s="2097"/>
      <c r="V421" s="2105"/>
      <c r="W421" s="2097"/>
      <c r="X421" s="2105"/>
      <c r="Y421" s="2098"/>
      <c r="Z421" s="2105"/>
      <c r="AA421" s="2097"/>
      <c r="AB421" s="2099"/>
    </row>
    <row r="422" spans="1:28" s="2092" customFormat="1">
      <c r="A422" s="2093" t="str">
        <f t="shared" ref="A422:B422" si="1271">A415</f>
        <v>Lantai 1</v>
      </c>
      <c r="B422" s="2094" t="str">
        <f t="shared" si="1271"/>
        <v>13A</v>
      </c>
      <c r="C422" s="2102" t="s">
        <v>202</v>
      </c>
      <c r="D422" s="2107">
        <f>VLOOKUP(D415,'Detail Balok'!$C$10:$AU$140,4,FALSE)</f>
        <v>3</v>
      </c>
      <c r="E422" s="2097" t="s">
        <v>16</v>
      </c>
      <c r="F422" s="2097">
        <f>VLOOKUP(D415,'Detail Balok'!$C$10:$AU$140,6,FALSE)</f>
        <v>16</v>
      </c>
      <c r="G422" s="2097"/>
      <c r="H422" s="2104"/>
      <c r="I422" s="2097" t="s">
        <v>203</v>
      </c>
      <c r="J422" s="2108">
        <f t="shared" ref="J422" si="1272">+D417/4/1000</f>
        <v>1.98125</v>
      </c>
      <c r="K422" s="2109" t="s">
        <v>204</v>
      </c>
      <c r="L422" s="2108">
        <f t="shared" ref="L422" si="1273">MAX(VLOOKUP(F422,N$6:P$15,3,FALSE)/1000,2/3*D419/1000)+F$16*F422/1000</f>
        <v>0.192</v>
      </c>
      <c r="M422" s="2108" t="s">
        <v>176</v>
      </c>
      <c r="N422" s="2108">
        <f t="shared" ref="N422:N424" si="1274">J422+L422</f>
        <v>2.1732499999999999</v>
      </c>
      <c r="O422" s="2108" t="s">
        <v>204</v>
      </c>
      <c r="P422" s="2098">
        <f t="shared" ref="P422" si="1275">D422-D423</f>
        <v>0</v>
      </c>
      <c r="Q422" s="2108" t="s">
        <v>125</v>
      </c>
      <c r="R422" s="2108">
        <f t="shared" ref="R422" si="1276">IF(P422&gt;0,$F$18*F422/1000,0)</f>
        <v>0</v>
      </c>
      <c r="S422" s="2108" t="s">
        <v>205</v>
      </c>
      <c r="T422" s="2108" t="s">
        <v>125</v>
      </c>
      <c r="U422" s="2110">
        <f t="shared" ref="U422:U424" si="1277">0.006165*F422^2</f>
        <v>1.5782400000000001</v>
      </c>
      <c r="V422" s="2108"/>
      <c r="W422" s="2108"/>
      <c r="X422" s="2108" t="s">
        <v>125</v>
      </c>
      <c r="Y422" s="2098">
        <f t="shared" ref="Y422" si="1278">D421</f>
        <v>1</v>
      </c>
      <c r="Z422" s="2109" t="s">
        <v>176</v>
      </c>
      <c r="AA422" s="2111">
        <f t="shared" ref="AA422" si="1279">IF(AA425=0,(D422*N422+P422*R422)*U422*Y422,0)</f>
        <v>0</v>
      </c>
      <c r="AB422" s="2112"/>
    </row>
    <row r="423" spans="1:28" s="2092" customFormat="1">
      <c r="A423" s="2093" t="str">
        <f t="shared" ref="A423:B423" si="1280">A415</f>
        <v>Lantai 1</v>
      </c>
      <c r="B423" s="2094" t="str">
        <f t="shared" si="1280"/>
        <v>13A</v>
      </c>
      <c r="C423" s="2102" t="s">
        <v>206</v>
      </c>
      <c r="D423" s="2107">
        <f>VLOOKUP(D415,'Detail Balok'!$C$10:$AU$140,7,FALSE)</f>
        <v>3</v>
      </c>
      <c r="E423" s="2097" t="s">
        <v>16</v>
      </c>
      <c r="F423" s="2097">
        <f>VLOOKUP(D415,'Detail Balok'!$C$10:$AU$140,9,FALSE)</f>
        <v>16</v>
      </c>
      <c r="G423" s="2097"/>
      <c r="H423" s="2104"/>
      <c r="I423" s="2097" t="s">
        <v>203</v>
      </c>
      <c r="J423" s="2108">
        <f t="shared" ref="J423" si="1281">+D417/2/1000</f>
        <v>3.9624999999999999</v>
      </c>
      <c r="K423" s="2109" t="s">
        <v>204</v>
      </c>
      <c r="L423" s="2108"/>
      <c r="M423" s="2108" t="s">
        <v>176</v>
      </c>
      <c r="N423" s="2108">
        <f t="shared" si="1274"/>
        <v>3.9624999999999999</v>
      </c>
      <c r="O423" s="2108" t="s">
        <v>204</v>
      </c>
      <c r="P423" s="2098">
        <f t="shared" ref="P423" si="1282">MAX(D423-D422,D423-D424)</f>
        <v>0</v>
      </c>
      <c r="Q423" s="2108" t="s">
        <v>125</v>
      </c>
      <c r="R423" s="2108">
        <f t="shared" ref="R423" si="1283">IF(P423&gt;0,2*(1-2*$F$19-1/2)*D418/1000,0)</f>
        <v>0</v>
      </c>
      <c r="S423" s="2108" t="s">
        <v>205</v>
      </c>
      <c r="T423" s="2108" t="s">
        <v>125</v>
      </c>
      <c r="U423" s="2110">
        <f t="shared" si="1277"/>
        <v>1.5782400000000001</v>
      </c>
      <c r="V423" s="2108"/>
      <c r="W423" s="2108"/>
      <c r="X423" s="2108" t="s">
        <v>125</v>
      </c>
      <c r="Y423" s="2098">
        <f t="shared" ref="Y423" si="1284">D421</f>
        <v>1</v>
      </c>
      <c r="Z423" s="2109" t="s">
        <v>176</v>
      </c>
      <c r="AA423" s="2111">
        <f t="shared" ref="AA423" si="1285">IF(AA425=0,(D423*N423+P423*R423)*U423*Y423,0)</f>
        <v>0</v>
      </c>
      <c r="AB423" s="2112"/>
    </row>
    <row r="424" spans="1:28" s="2092" customFormat="1">
      <c r="A424" s="2093" t="str">
        <f t="shared" ref="A424:B424" si="1286">A415</f>
        <v>Lantai 1</v>
      </c>
      <c r="B424" s="2094" t="str">
        <f t="shared" si="1286"/>
        <v>13A</v>
      </c>
      <c r="C424" s="2102" t="s">
        <v>202</v>
      </c>
      <c r="D424" s="2107">
        <f>VLOOKUP(D415,'Detail Balok'!$C$10:$AU$140,10,FALSE)</f>
        <v>3</v>
      </c>
      <c r="E424" s="2097" t="s">
        <v>16</v>
      </c>
      <c r="F424" s="2097">
        <f>VLOOKUP(D415,'Detail Balok'!$C$10:$AU$140,12,FALSE)</f>
        <v>16</v>
      </c>
      <c r="G424" s="2097"/>
      <c r="H424" s="2104"/>
      <c r="I424" s="2097" t="s">
        <v>203</v>
      </c>
      <c r="J424" s="2108">
        <f t="shared" ref="J424" si="1287">+D417/4/1000</f>
        <v>1.98125</v>
      </c>
      <c r="K424" s="2109" t="s">
        <v>204</v>
      </c>
      <c r="L424" s="2108">
        <f t="shared" ref="L424" si="1288">MAX(VLOOKUP(F424,N$6:P$15,3,FALSE)/1000,2/3*D419/1000)+F$16*F424/1000</f>
        <v>0.192</v>
      </c>
      <c r="M424" s="2108" t="s">
        <v>176</v>
      </c>
      <c r="N424" s="2108">
        <f t="shared" si="1274"/>
        <v>2.1732499999999999</v>
      </c>
      <c r="O424" s="2108" t="s">
        <v>204</v>
      </c>
      <c r="P424" s="2098">
        <f t="shared" ref="P424" si="1289">D424-D423</f>
        <v>0</v>
      </c>
      <c r="Q424" s="2108" t="s">
        <v>125</v>
      </c>
      <c r="R424" s="2108">
        <f t="shared" ref="R424" si="1290">IF(P424&gt;0,$F$18*F424/1000,0)</f>
        <v>0</v>
      </c>
      <c r="S424" s="2108" t="s">
        <v>205</v>
      </c>
      <c r="T424" s="2108" t="s">
        <v>125</v>
      </c>
      <c r="U424" s="2110">
        <f t="shared" si="1277"/>
        <v>1.5782400000000001</v>
      </c>
      <c r="V424" s="2108"/>
      <c r="W424" s="2108"/>
      <c r="X424" s="2108" t="s">
        <v>125</v>
      </c>
      <c r="Y424" s="2098">
        <f t="shared" ref="Y424" si="1291">D421</f>
        <v>1</v>
      </c>
      <c r="Z424" s="2109" t="s">
        <v>176</v>
      </c>
      <c r="AA424" s="2111">
        <f t="shared" ref="AA424" si="1292">IF(AA425=0,(D424*N424+P424*R424)*U424*Y424,0)</f>
        <v>0</v>
      </c>
      <c r="AB424" s="2112"/>
    </row>
    <row r="425" spans="1:28" s="2092" customFormat="1">
      <c r="A425" s="2093" t="str">
        <f t="shared" ref="A425:B425" si="1293">A415</f>
        <v>Lantai 1</v>
      </c>
      <c r="B425" s="2094" t="str">
        <f t="shared" si="1293"/>
        <v>13A</v>
      </c>
      <c r="C425" s="2102"/>
      <c r="D425" s="2107">
        <f t="shared" si="1190"/>
        <v>3</v>
      </c>
      <c r="E425" s="2097" t="s">
        <v>16</v>
      </c>
      <c r="F425" s="2097">
        <f t="shared" si="1191"/>
        <v>16</v>
      </c>
      <c r="G425" s="2097"/>
      <c r="H425" s="2104"/>
      <c r="I425" s="2097"/>
      <c r="J425" s="2105"/>
      <c r="K425" s="2105"/>
      <c r="L425" s="2113" t="s">
        <v>207</v>
      </c>
      <c r="M425" s="2108" t="s">
        <v>176</v>
      </c>
      <c r="N425" s="2108">
        <f t="shared" ref="N425" si="1294">IF(AND(D422=D423,D422=D424,D423=D424,F422=F423,F422=F424,F423=F424),SUM(N422:N424),0)</f>
        <v>8.3089999999999993</v>
      </c>
      <c r="O425" s="2108" t="s">
        <v>204</v>
      </c>
      <c r="P425" s="2098">
        <f t="shared" ref="P425" si="1295">IF(N425&gt;12,ROUNDDOWN(N425/12,0),0)</f>
        <v>0</v>
      </c>
      <c r="Q425" s="2108" t="s">
        <v>125</v>
      </c>
      <c r="R425" s="2108">
        <f t="shared" ref="R425" si="1296">IF(P425&gt;0,MAX(VLOOKUP(F425,$D$6:$G$15,3,FALSE),600),0)/1000</f>
        <v>0</v>
      </c>
      <c r="S425" s="2105"/>
      <c r="T425" s="2105" t="s">
        <v>125</v>
      </c>
      <c r="U425" s="2110">
        <f t="shared" si="1195"/>
        <v>1.5782400000000001</v>
      </c>
      <c r="V425" s="2105" t="s">
        <v>125</v>
      </c>
      <c r="W425" s="2108">
        <f t="shared" ref="W425" si="1297">D425</f>
        <v>3</v>
      </c>
      <c r="X425" s="2108" t="s">
        <v>125</v>
      </c>
      <c r="Y425" s="2098">
        <f t="shared" si="1197"/>
        <v>1</v>
      </c>
      <c r="Z425" s="2109" t="s">
        <v>176</v>
      </c>
      <c r="AA425" s="2111">
        <f t="shared" ref="AA425" si="1298">(N425+P425*R425/1000)*U425*W425*Y425</f>
        <v>39.340788480000001</v>
      </c>
      <c r="AB425" s="2099"/>
    </row>
    <row r="426" spans="1:28" s="2092" customFormat="1">
      <c r="A426" s="2093"/>
      <c r="B426" s="2094"/>
      <c r="C426" s="2102"/>
      <c r="D426" s="2107"/>
      <c r="E426" s="2097"/>
      <c r="F426" s="2097"/>
      <c r="G426" s="2097"/>
      <c r="H426" s="2104"/>
      <c r="I426" s="2097"/>
      <c r="J426" s="2105"/>
      <c r="K426" s="2105"/>
      <c r="L426" s="2113"/>
      <c r="M426" s="2108"/>
      <c r="N426" s="2108"/>
      <c r="O426" s="2105"/>
      <c r="P426" s="2098"/>
      <c r="Q426" s="2105"/>
      <c r="R426" s="2105"/>
      <c r="S426" s="2105"/>
      <c r="T426" s="2105"/>
      <c r="U426" s="2110"/>
      <c r="V426" s="2105"/>
      <c r="W426" s="2108"/>
      <c r="X426" s="2105"/>
      <c r="Y426" s="2098"/>
      <c r="Z426" s="2105"/>
      <c r="AA426" s="2097"/>
      <c r="AB426" s="2099"/>
    </row>
    <row r="427" spans="1:28" s="2092" customFormat="1">
      <c r="A427" s="2093" t="str">
        <f t="shared" ref="A427:B427" si="1299">A415</f>
        <v>Lantai 1</v>
      </c>
      <c r="B427" s="2094" t="str">
        <f t="shared" si="1299"/>
        <v>13A</v>
      </c>
      <c r="C427" s="2102" t="s">
        <v>208</v>
      </c>
      <c r="D427" s="2107">
        <f>VLOOKUP(D415,'Detail Balok'!$C$10:$AU$140,13,FALSE)</f>
        <v>0</v>
      </c>
      <c r="E427" s="2097" t="s">
        <v>16</v>
      </c>
      <c r="F427" s="2097">
        <f>VLOOKUP(D415,'Detail Balok'!$C$10:$AU$140,15,FALSE)</f>
        <v>8</v>
      </c>
      <c r="G427" s="2097"/>
      <c r="H427" s="2104"/>
      <c r="I427" s="2097"/>
      <c r="J427" s="2108">
        <f t="shared" ref="J427" si="1300">+D417/1000</f>
        <v>7.9249999999999998</v>
      </c>
      <c r="K427" s="2109" t="s">
        <v>204</v>
      </c>
      <c r="L427" s="2108">
        <f t="shared" ref="L427" si="1301">2*$F$16*F427/1000</f>
        <v>0.192</v>
      </c>
      <c r="M427" s="2108" t="s">
        <v>176</v>
      </c>
      <c r="N427" s="2108">
        <f t="shared" ref="N427" si="1302">J427+L427</f>
        <v>8.1169999999999991</v>
      </c>
      <c r="O427" s="2108" t="s">
        <v>204</v>
      </c>
      <c r="P427" s="2098">
        <f t="shared" ref="P427" si="1303">IF(N427&gt;12,ROUNDDOWN(N427/12,0),0)</f>
        <v>0</v>
      </c>
      <c r="Q427" s="2108" t="s">
        <v>125</v>
      </c>
      <c r="R427" s="2108">
        <f t="shared" ref="R427" si="1304">IF(P427&gt;0,MAX(VLOOKUP(F427,$D$6:$G$15,3,FALSE),600),0)/1000</f>
        <v>0</v>
      </c>
      <c r="S427" s="2108"/>
      <c r="T427" s="2108" t="s">
        <v>125</v>
      </c>
      <c r="U427" s="2110">
        <f t="shared" ref="U427" si="1305">0.006165*F427^2</f>
        <v>0.39456000000000002</v>
      </c>
      <c r="V427" s="2108" t="s">
        <v>125</v>
      </c>
      <c r="W427" s="2108">
        <f t="shared" ref="W427" si="1306">+D427</f>
        <v>0</v>
      </c>
      <c r="X427" s="2108" t="s">
        <v>125</v>
      </c>
      <c r="Y427" s="2098">
        <f t="shared" ref="Y427" si="1307">D421</f>
        <v>1</v>
      </c>
      <c r="Z427" s="2109" t="s">
        <v>176</v>
      </c>
      <c r="AA427" s="2111">
        <f t="shared" ref="AA427" si="1308">(N427+P427*R427/1000)*U427*W427*Y427</f>
        <v>0</v>
      </c>
      <c r="AB427" s="2112"/>
    </row>
    <row r="428" spans="1:28" s="2092" customFormat="1">
      <c r="A428" s="2093"/>
      <c r="B428" s="2094"/>
      <c r="C428" s="2102"/>
      <c r="D428" s="2107"/>
      <c r="E428" s="2097"/>
      <c r="F428" s="2097"/>
      <c r="G428" s="2097"/>
      <c r="H428" s="2104"/>
      <c r="I428" s="2097"/>
      <c r="J428" s="2108"/>
      <c r="K428" s="2109"/>
      <c r="L428" s="2108"/>
      <c r="M428" s="2108"/>
      <c r="N428" s="2108"/>
      <c r="O428" s="2108"/>
      <c r="P428" s="2098"/>
      <c r="Q428" s="2108"/>
      <c r="R428" s="2108"/>
      <c r="S428" s="2108"/>
      <c r="T428" s="2108"/>
      <c r="U428" s="2110"/>
      <c r="V428" s="2108"/>
      <c r="W428" s="2108"/>
      <c r="X428" s="2108"/>
      <c r="Y428" s="2098"/>
      <c r="Z428" s="2109"/>
      <c r="AA428" s="2111"/>
      <c r="AB428" s="2112"/>
    </row>
    <row r="429" spans="1:28" s="2092" customFormat="1">
      <c r="A429" s="2093"/>
      <c r="B429" s="2094"/>
      <c r="C429" s="2102"/>
      <c r="D429" s="2107"/>
      <c r="E429" s="2097"/>
      <c r="F429" s="2097"/>
      <c r="G429" s="2097"/>
      <c r="H429" s="2104"/>
      <c r="I429" s="2097"/>
      <c r="J429" s="2105"/>
      <c r="K429" s="2105"/>
      <c r="L429" s="2105"/>
      <c r="M429" s="2105"/>
      <c r="N429" s="2105"/>
      <c r="O429" s="2105"/>
      <c r="P429" s="2098"/>
      <c r="Q429" s="2105"/>
      <c r="R429" s="2105"/>
      <c r="S429" s="2105"/>
      <c r="T429" s="2105"/>
      <c r="U429" s="2110"/>
      <c r="V429" s="2105"/>
      <c r="W429" s="2108"/>
      <c r="X429" s="2105"/>
      <c r="Y429" s="2098"/>
      <c r="Z429" s="2105"/>
      <c r="AA429" s="2097"/>
      <c r="AB429" s="2099"/>
    </row>
    <row r="430" spans="1:28" s="2092" customFormat="1">
      <c r="A430" s="2093" t="str">
        <f t="shared" ref="A430:B430" si="1309">A415</f>
        <v>Lantai 1</v>
      </c>
      <c r="B430" s="2094" t="str">
        <f t="shared" si="1309"/>
        <v>13A</v>
      </c>
      <c r="C430" s="2102" t="s">
        <v>209</v>
      </c>
      <c r="D430" s="2107">
        <f>VLOOKUP(D415,'Detail Balok'!$C$10:$AU$140,22,FALSE)</f>
        <v>3</v>
      </c>
      <c r="E430" s="2097" t="s">
        <v>16</v>
      </c>
      <c r="F430" s="2097">
        <f>VLOOKUP(D415,'Detail Balok'!$C$10:$AU$140,24,FALSE)</f>
        <v>16</v>
      </c>
      <c r="G430" s="2097"/>
      <c r="H430" s="2104"/>
      <c r="I430" s="2097" t="s">
        <v>203</v>
      </c>
      <c r="J430" s="2108">
        <f t="shared" si="1210"/>
        <v>1.98125</v>
      </c>
      <c r="K430" s="2109" t="s">
        <v>204</v>
      </c>
      <c r="L430" s="2108">
        <f t="shared" ref="L430" si="1310">MAX(VLOOKUP(F430,N$6:P$15,3,FALSE)/1000,2/3*D420/1000)+F$16*F430/1000</f>
        <v>0.192</v>
      </c>
      <c r="M430" s="2108" t="s">
        <v>176</v>
      </c>
      <c r="N430" s="2108">
        <f t="shared" ref="N430:N432" si="1311">J430+L430</f>
        <v>2.1732499999999999</v>
      </c>
      <c r="O430" s="2108" t="s">
        <v>204</v>
      </c>
      <c r="P430" s="2098">
        <f t="shared" ref="P430" si="1312">D430-D431</f>
        <v>0</v>
      </c>
      <c r="Q430" s="2108" t="s">
        <v>125</v>
      </c>
      <c r="R430" s="2108">
        <f t="shared" ref="R430" si="1313">IF(P430&gt;0,$F$18*F430/1000,0)</f>
        <v>0</v>
      </c>
      <c r="S430" s="2108" t="s">
        <v>205</v>
      </c>
      <c r="T430" s="2108" t="s">
        <v>125</v>
      </c>
      <c r="U430" s="2110">
        <f t="shared" ref="U430:U432" si="1314">0.006165*F430^2</f>
        <v>1.5782400000000001</v>
      </c>
      <c r="V430" s="2108"/>
      <c r="W430" s="2108"/>
      <c r="X430" s="2108" t="s">
        <v>125</v>
      </c>
      <c r="Y430" s="2098">
        <f t="shared" ref="Y430" si="1315">D421</f>
        <v>1</v>
      </c>
      <c r="Z430" s="2109" t="s">
        <v>176</v>
      </c>
      <c r="AA430" s="2111">
        <f t="shared" ref="AA430" si="1316">IF(AA433=0,(D430*N430+P430*R430)*U430*Y430,0)</f>
        <v>0</v>
      </c>
      <c r="AB430" s="2112"/>
    </row>
    <row r="431" spans="1:28" s="2092" customFormat="1">
      <c r="A431" s="2093" t="str">
        <f t="shared" ref="A431:B431" si="1317">A415</f>
        <v>Lantai 1</v>
      </c>
      <c r="B431" s="2094" t="str">
        <f t="shared" si="1317"/>
        <v>13A</v>
      </c>
      <c r="C431" s="2102" t="s">
        <v>210</v>
      </c>
      <c r="D431" s="2107">
        <f>VLOOKUP(D415,'Detail Balok'!$C$10:$AU$140,25,FALSE)</f>
        <v>3</v>
      </c>
      <c r="E431" s="2097" t="s">
        <v>16</v>
      </c>
      <c r="F431" s="2097">
        <f>VLOOKUP(D415,'Detail Balok'!$C$10:$AU$140,27,FALSE)</f>
        <v>16</v>
      </c>
      <c r="G431" s="2097"/>
      <c r="H431" s="2104"/>
      <c r="I431" s="2097" t="s">
        <v>203</v>
      </c>
      <c r="J431" s="2108">
        <f t="shared" si="1210"/>
        <v>3.9624999999999999</v>
      </c>
      <c r="K431" s="2109" t="s">
        <v>204</v>
      </c>
      <c r="L431" s="2108"/>
      <c r="M431" s="2108" t="s">
        <v>176</v>
      </c>
      <c r="N431" s="2108">
        <f t="shared" si="1311"/>
        <v>3.9624999999999999</v>
      </c>
      <c r="O431" s="2108" t="s">
        <v>204</v>
      </c>
      <c r="P431" s="2098">
        <f t="shared" ref="P431" si="1318">MAX(D431-D430,D431-D432)</f>
        <v>0</v>
      </c>
      <c r="Q431" s="2108" t="s">
        <v>125</v>
      </c>
      <c r="R431" s="2108">
        <f t="shared" ref="R431" si="1319">IF(P431&gt;0,2*(1-2*$F$19-1/2)*D418/1000,0)</f>
        <v>0</v>
      </c>
      <c r="S431" s="2108" t="s">
        <v>205</v>
      </c>
      <c r="T431" s="2108" t="s">
        <v>125</v>
      </c>
      <c r="U431" s="2110">
        <f t="shared" si="1314"/>
        <v>1.5782400000000001</v>
      </c>
      <c r="V431" s="2108"/>
      <c r="W431" s="2108"/>
      <c r="X431" s="2108" t="s">
        <v>125</v>
      </c>
      <c r="Y431" s="2098">
        <f t="shared" ref="Y431" si="1320">D421</f>
        <v>1</v>
      </c>
      <c r="Z431" s="2109" t="s">
        <v>176</v>
      </c>
      <c r="AA431" s="2111">
        <f t="shared" ref="AA431" si="1321">IF(AA433=0,(D431*N431+P431*R431)*U431*Y431,0)</f>
        <v>0</v>
      </c>
      <c r="AB431" s="2112"/>
    </row>
    <row r="432" spans="1:28" s="2092" customFormat="1">
      <c r="A432" s="2093" t="str">
        <f t="shared" ref="A432:B432" si="1322">A415</f>
        <v>Lantai 1</v>
      </c>
      <c r="B432" s="2094" t="str">
        <f t="shared" si="1322"/>
        <v>13A</v>
      </c>
      <c r="C432" s="2102" t="s">
        <v>209</v>
      </c>
      <c r="D432" s="2107">
        <f>VLOOKUP(D415,'Detail Balok'!$C$10:$AU$140,28,FALSE)</f>
        <v>3</v>
      </c>
      <c r="E432" s="2097" t="s">
        <v>16</v>
      </c>
      <c r="F432" s="2097">
        <f>VLOOKUP(D415,'Detail Balok'!$C$10:$AU$140,30,FALSE)</f>
        <v>16</v>
      </c>
      <c r="G432" s="2097"/>
      <c r="H432" s="2104"/>
      <c r="I432" s="2097" t="s">
        <v>203</v>
      </c>
      <c r="J432" s="2108">
        <f t="shared" si="1210"/>
        <v>1.98125</v>
      </c>
      <c r="K432" s="2109" t="s">
        <v>204</v>
      </c>
      <c r="L432" s="2108">
        <f t="shared" ref="L432" si="1323">MAX(VLOOKUP(F432,N$6:P$15,3,FALSE)/1000,2/3*D420/1000)+F$16*F432/1000</f>
        <v>0.192</v>
      </c>
      <c r="M432" s="2108" t="s">
        <v>176</v>
      </c>
      <c r="N432" s="2108">
        <f t="shared" si="1311"/>
        <v>2.1732499999999999</v>
      </c>
      <c r="O432" s="2108" t="s">
        <v>204</v>
      </c>
      <c r="P432" s="2098">
        <f t="shared" ref="P432" si="1324">D432-D431</f>
        <v>0</v>
      </c>
      <c r="Q432" s="2108" t="s">
        <v>125</v>
      </c>
      <c r="R432" s="2108">
        <f t="shared" ref="R432" si="1325">IF(P432&gt;0,$F$18*F432/1000,0)</f>
        <v>0</v>
      </c>
      <c r="S432" s="2108" t="s">
        <v>205</v>
      </c>
      <c r="T432" s="2108" t="s">
        <v>125</v>
      </c>
      <c r="U432" s="2110">
        <f t="shared" si="1314"/>
        <v>1.5782400000000001</v>
      </c>
      <c r="V432" s="2108"/>
      <c r="W432" s="2108"/>
      <c r="X432" s="2108" t="s">
        <v>125</v>
      </c>
      <c r="Y432" s="2098">
        <f t="shared" ref="Y432" si="1326">D421</f>
        <v>1</v>
      </c>
      <c r="Z432" s="2109" t="s">
        <v>176</v>
      </c>
      <c r="AA432" s="2111">
        <f t="shared" ref="AA432" si="1327">IF(AA433=0,(D432*N432+P432*R432)*U432*Y432,0)</f>
        <v>0</v>
      </c>
      <c r="AB432" s="2112"/>
    </row>
    <row r="433" spans="1:28" s="2092" customFormat="1">
      <c r="A433" s="2093" t="str">
        <f t="shared" ref="A433:B433" si="1328">A415</f>
        <v>Lantai 1</v>
      </c>
      <c r="B433" s="2094" t="str">
        <f t="shared" si="1328"/>
        <v>13A</v>
      </c>
      <c r="C433" s="2102"/>
      <c r="D433" s="2107">
        <f t="shared" si="1230"/>
        <v>3</v>
      </c>
      <c r="E433" s="2097" t="s">
        <v>16</v>
      </c>
      <c r="F433" s="2097">
        <f t="shared" si="1231"/>
        <v>16</v>
      </c>
      <c r="G433" s="2097"/>
      <c r="H433" s="2104"/>
      <c r="I433" s="2097"/>
      <c r="J433" s="2105"/>
      <c r="K433" s="2105"/>
      <c r="L433" s="2113" t="s">
        <v>207</v>
      </c>
      <c r="M433" s="2108" t="s">
        <v>176</v>
      </c>
      <c r="N433" s="2108">
        <f t="shared" ref="N433" si="1329">IF(AND(D430=D431,D430=D432,D431=D432,F430=F431,F430=F432,F431=F432),SUM(N430:N432),0)</f>
        <v>8.3089999999999993</v>
      </c>
      <c r="O433" s="2108" t="s">
        <v>204</v>
      </c>
      <c r="P433" s="2098">
        <f t="shared" ref="P433" si="1330">IF(N433&gt;12,ROUNDDOWN(N433/12,0),0)</f>
        <v>0</v>
      </c>
      <c r="Q433" s="2108" t="s">
        <v>125</v>
      </c>
      <c r="R433" s="2108">
        <f t="shared" ref="R433" si="1331">IF(P433&gt;0,MAX(VLOOKUP(F433,$D$6:$G$15,3,FALSE),600),0)/1000</f>
        <v>0</v>
      </c>
      <c r="S433" s="2105"/>
      <c r="T433" s="2105" t="s">
        <v>125</v>
      </c>
      <c r="U433" s="2110">
        <f t="shared" si="1235"/>
        <v>1.5782400000000001</v>
      </c>
      <c r="V433" s="2105" t="s">
        <v>125</v>
      </c>
      <c r="W433" s="2108">
        <f t="shared" ref="W433" si="1332">D433</f>
        <v>3</v>
      </c>
      <c r="X433" s="2108" t="s">
        <v>125</v>
      </c>
      <c r="Y433" s="2098">
        <f t="shared" si="1237"/>
        <v>1</v>
      </c>
      <c r="Z433" s="2109" t="s">
        <v>176</v>
      </c>
      <c r="AA433" s="2111">
        <f t="shared" ref="AA433" si="1333">(N433+P433*R433/1000)*U433*W433*Y433</f>
        <v>39.340788480000001</v>
      </c>
      <c r="AB433" s="2112"/>
    </row>
    <row r="434" spans="1:28" s="2092" customFormat="1">
      <c r="A434" s="2093"/>
      <c r="B434" s="2094"/>
      <c r="C434" s="2102"/>
      <c r="D434" s="2103"/>
      <c r="E434" s="2097"/>
      <c r="F434" s="2097"/>
      <c r="G434" s="2097"/>
      <c r="H434" s="2104"/>
      <c r="I434" s="2097"/>
      <c r="J434" s="2108"/>
      <c r="K434" s="2105"/>
      <c r="L434" s="2105"/>
      <c r="M434" s="2105"/>
      <c r="N434" s="2105"/>
      <c r="O434" s="2105"/>
      <c r="P434" s="2098"/>
      <c r="Q434" s="2105"/>
      <c r="R434" s="2105"/>
      <c r="S434" s="2105"/>
      <c r="T434" s="2105"/>
      <c r="U434" s="2110"/>
      <c r="V434" s="2105"/>
      <c r="W434" s="2097"/>
      <c r="X434" s="2105"/>
      <c r="Y434" s="2098"/>
      <c r="Z434" s="2105"/>
      <c r="AA434" s="2097"/>
      <c r="AB434" s="2099"/>
    </row>
    <row r="435" spans="1:28" s="2092" customFormat="1">
      <c r="A435" s="2093" t="str">
        <f t="shared" ref="A435:B435" si="1334">A415</f>
        <v>Lantai 1</v>
      </c>
      <c r="B435" s="2094" t="str">
        <f t="shared" si="1334"/>
        <v>13A</v>
      </c>
      <c r="C435" s="2102" t="s">
        <v>211</v>
      </c>
      <c r="D435" s="2107">
        <f>VLOOKUP(D415,'Detail Balok'!$C$10:$AU$140,31,FALSE)</f>
        <v>0</v>
      </c>
      <c r="E435" s="2097" t="s">
        <v>16</v>
      </c>
      <c r="F435" s="2097">
        <f>VLOOKUP(D415,'Detail Balok'!$C$10:$AU$140,33,FALSE)</f>
        <v>8</v>
      </c>
      <c r="G435" s="2114" t="s">
        <v>157</v>
      </c>
      <c r="H435" s="2104">
        <f>VLOOKUP(D415,'Detail Balok'!$C$10:$AU$140,35,FALSE)</f>
        <v>150</v>
      </c>
      <c r="I435" s="2097"/>
      <c r="J435" s="2109">
        <f t="shared" ref="J435" si="1335">(IF(D435=0,(2*(D416+G416))-(F$5*8),IF(D435=3,(2*(D416+G416))-(F$5*8)+(G416-2*F$5),IF(D435=4,(2*(D416+G416))-(F$5*8)+2*(G416-2*F$5)))))/1000</f>
        <v>0.88</v>
      </c>
      <c r="K435" s="2109" t="s">
        <v>204</v>
      </c>
      <c r="L435" s="2108">
        <f t="shared" ref="L435:L437" si="1336">IF(D435=0,2*MAX(6*F435,75),(D435-1)*2*MAX(6*F435,75))/1000</f>
        <v>0.15</v>
      </c>
      <c r="M435" s="2108" t="s">
        <v>176</v>
      </c>
      <c r="N435" s="2108">
        <f t="shared" ref="N435:N437" si="1337">J435+L435</f>
        <v>1.03</v>
      </c>
      <c r="O435" s="2108"/>
      <c r="P435" s="2098"/>
      <c r="Q435" s="2108"/>
      <c r="R435" s="2108"/>
      <c r="S435" s="2108"/>
      <c r="T435" s="2108" t="s">
        <v>125</v>
      </c>
      <c r="U435" s="2110">
        <f t="shared" ref="U435:U437" si="1338">0.006165*F435^2</f>
        <v>0.39456000000000002</v>
      </c>
      <c r="V435" s="2108" t="s">
        <v>125</v>
      </c>
      <c r="W435" s="2108">
        <f t="shared" ref="W435" si="1339">IF(D418&gt;4*G416,ROUND(MAX(D418/4,2*G416)/H435,0)+1,ROUND(D418/H435,0)+1)</f>
        <v>14</v>
      </c>
      <c r="X435" s="2108" t="s">
        <v>125</v>
      </c>
      <c r="Y435" s="2098">
        <f t="shared" ref="Y435" si="1340">D421</f>
        <v>1</v>
      </c>
      <c r="Z435" s="2109" t="s">
        <v>176</v>
      </c>
      <c r="AA435" s="2111">
        <f t="shared" ref="AA435:AA437" si="1341">N435*U435*W435*Y435</f>
        <v>5.6895552000000009</v>
      </c>
      <c r="AB435" s="2112"/>
    </row>
    <row r="436" spans="1:28" s="2092" customFormat="1">
      <c r="A436" s="2093" t="str">
        <f t="shared" ref="A436:B436" si="1342">A415</f>
        <v>Lantai 1</v>
      </c>
      <c r="B436" s="2094" t="str">
        <f t="shared" si="1342"/>
        <v>13A</v>
      </c>
      <c r="C436" s="2102" t="s">
        <v>212</v>
      </c>
      <c r="D436" s="2107">
        <f>VLOOKUP(D415,'Detail Balok'!$C$10:$AU$140,36,FALSE)</f>
        <v>0</v>
      </c>
      <c r="E436" s="2097" t="s">
        <v>16</v>
      </c>
      <c r="F436" s="2097">
        <f>VLOOKUP(D415,'Detail Balok'!$C$10:$AU$140,38,FALSE)</f>
        <v>8</v>
      </c>
      <c r="G436" s="2114" t="s">
        <v>157</v>
      </c>
      <c r="H436" s="2104">
        <f>VLOOKUP(D415,'Detail Balok'!$C$10:$AU$140,40,FALSE)</f>
        <v>200</v>
      </c>
      <c r="I436" s="2097"/>
      <c r="J436" s="2109">
        <f t="shared" ref="J436" si="1343">(IF(D436=0,(2*(D416+G416))-(F$5*8),IF(D436=3,(2*(D416+G416))-(F$5*8)+(G416-2*F$5),IF(D436=4,(2*(D416+G416))-(F$5*8)+2*(G416-2*F$5)))))/1000</f>
        <v>0.88</v>
      </c>
      <c r="K436" s="2109" t="s">
        <v>204</v>
      </c>
      <c r="L436" s="2108">
        <f t="shared" si="1336"/>
        <v>0.15</v>
      </c>
      <c r="M436" s="2108" t="s">
        <v>176</v>
      </c>
      <c r="N436" s="2108">
        <f t="shared" si="1337"/>
        <v>1.03</v>
      </c>
      <c r="O436" s="2108"/>
      <c r="P436" s="2098"/>
      <c r="Q436" s="2108"/>
      <c r="R436" s="2108"/>
      <c r="S436" s="2108"/>
      <c r="T436" s="2108" t="s">
        <v>125</v>
      </c>
      <c r="U436" s="2110">
        <f t="shared" si="1338"/>
        <v>0.39456000000000002</v>
      </c>
      <c r="V436" s="2108" t="s">
        <v>125</v>
      </c>
      <c r="W436" s="2108">
        <f t="shared" ref="W436" si="1344">IF(D418-MAX(D418/4,2*G416)*2&gt;0,ROUND((D418-MAX(D418/4,2*G416)*2)/H436,0),0)</f>
        <v>20</v>
      </c>
      <c r="X436" s="2108" t="s">
        <v>125</v>
      </c>
      <c r="Y436" s="2098">
        <f t="shared" ref="Y436" si="1345">D421</f>
        <v>1</v>
      </c>
      <c r="Z436" s="2109" t="s">
        <v>176</v>
      </c>
      <c r="AA436" s="2111">
        <f t="shared" si="1341"/>
        <v>8.1279360000000018</v>
      </c>
      <c r="AB436" s="2112"/>
    </row>
    <row r="437" spans="1:28" s="2092" customFormat="1">
      <c r="A437" s="2093" t="str">
        <f t="shared" ref="A437:B437" si="1346">A415</f>
        <v>Lantai 1</v>
      </c>
      <c r="B437" s="2094" t="str">
        <f t="shared" si="1346"/>
        <v>13A</v>
      </c>
      <c r="C437" s="2102" t="s">
        <v>211</v>
      </c>
      <c r="D437" s="2107">
        <f>VLOOKUP(D415,'Detail Balok'!$C$10:$AU$140,41,FALSE)</f>
        <v>0</v>
      </c>
      <c r="E437" s="2097" t="s">
        <v>16</v>
      </c>
      <c r="F437" s="2097">
        <f>VLOOKUP(D415,'Detail Balok'!$C$10:$AU$140,43,FALSE)</f>
        <v>8</v>
      </c>
      <c r="G437" s="2114" t="s">
        <v>157</v>
      </c>
      <c r="H437" s="2104">
        <f>VLOOKUP(D415,'Detail Balok'!$C$10:$AU$140,45,FALSE)</f>
        <v>150</v>
      </c>
      <c r="I437" s="2097"/>
      <c r="J437" s="2109">
        <f t="shared" ref="J437" si="1347">(IF(D437=0,(2*(D416+G416))-(F$5*8),IF(D437=3,(2*(D416+G416))-(F$5*8)+(G416-2*F$5),IF(D437=4,(2*(D416+G416))-(F$5*8)+2*(G416-2*F$5)))))/1000</f>
        <v>0.88</v>
      </c>
      <c r="K437" s="2109" t="s">
        <v>204</v>
      </c>
      <c r="L437" s="2108">
        <f t="shared" si="1336"/>
        <v>0.15</v>
      </c>
      <c r="M437" s="2108" t="s">
        <v>176</v>
      </c>
      <c r="N437" s="2108">
        <f t="shared" si="1337"/>
        <v>1.03</v>
      </c>
      <c r="O437" s="2108"/>
      <c r="P437" s="2098"/>
      <c r="Q437" s="2108"/>
      <c r="R437" s="2108"/>
      <c r="S437" s="2108"/>
      <c r="T437" s="2108" t="s">
        <v>125</v>
      </c>
      <c r="U437" s="2110">
        <f t="shared" si="1338"/>
        <v>0.39456000000000002</v>
      </c>
      <c r="V437" s="2108" t="s">
        <v>125</v>
      </c>
      <c r="W437" s="2108">
        <f t="shared" ref="W437" si="1348">IF(D418&gt;4*G416,ROUND(MAX(D418/4,2*G416)/H437,0)+1,0)</f>
        <v>14</v>
      </c>
      <c r="X437" s="2108" t="s">
        <v>125</v>
      </c>
      <c r="Y437" s="2098">
        <f t="shared" ref="Y437" si="1349">D421</f>
        <v>1</v>
      </c>
      <c r="Z437" s="2109" t="s">
        <v>176</v>
      </c>
      <c r="AA437" s="2111">
        <f t="shared" si="1341"/>
        <v>5.6895552000000009</v>
      </c>
      <c r="AB437" s="2112"/>
    </row>
    <row r="438" spans="1:28" s="2092" customFormat="1">
      <c r="A438" s="2093"/>
      <c r="B438" s="2094"/>
      <c r="C438" s="2102"/>
      <c r="D438" s="2103"/>
      <c r="E438" s="2097"/>
      <c r="F438" s="2097"/>
      <c r="G438" s="2097"/>
      <c r="H438" s="2104"/>
      <c r="I438" s="2097"/>
      <c r="J438" s="2108"/>
      <c r="K438" s="2105"/>
      <c r="L438" s="2105"/>
      <c r="M438" s="2105"/>
      <c r="N438" s="2105"/>
      <c r="O438" s="2105"/>
      <c r="P438" s="2098"/>
      <c r="Q438" s="2105"/>
      <c r="R438" s="2105"/>
      <c r="S438" s="2105"/>
      <c r="T438" s="2105"/>
      <c r="U438" s="2110"/>
      <c r="V438" s="2105"/>
      <c r="W438" s="2097"/>
      <c r="X438" s="2105"/>
      <c r="Y438" s="2098"/>
      <c r="Z438" s="2105"/>
      <c r="AA438" s="2097"/>
      <c r="AB438" s="2099"/>
    </row>
    <row r="439" spans="1:28" s="2092" customFormat="1">
      <c r="A439" s="2093" t="str">
        <f t="shared" ref="A439:B439" si="1350">A415</f>
        <v>Lantai 1</v>
      </c>
      <c r="B439" s="2094" t="str">
        <f t="shared" si="1350"/>
        <v>13A</v>
      </c>
      <c r="C439" s="2102" t="s">
        <v>213</v>
      </c>
      <c r="D439" s="2107">
        <f>VLOOKUP(D415,'Detail Balok'!$C$10:$BJ$140,46,FALSE)</f>
        <v>0</v>
      </c>
      <c r="E439" s="2097" t="s">
        <v>16</v>
      </c>
      <c r="F439" s="2097">
        <f>VLOOKUP(D415,'Detail Balok'!$C$10:$BJ$140,48,FALSE)</f>
        <v>0</v>
      </c>
      <c r="G439" s="2114" t="s">
        <v>157</v>
      </c>
      <c r="H439" s="2104">
        <f>VLOOKUP(D415,'Detail Balok'!$C$10:$BJ$140,50,FALSE)</f>
        <v>100</v>
      </c>
      <c r="I439" s="2097"/>
      <c r="J439" s="2108">
        <f t="shared" ref="J439" si="1351">(D416-2*F$5)/1000</f>
        <v>0.12</v>
      </c>
      <c r="K439" s="2109" t="s">
        <v>204</v>
      </c>
      <c r="L439" s="2108">
        <f t="shared" ref="L439:L441" si="1352">IF(D439=0,2*MAX(6*F439,75),(D439-1)*2*MAX(6*F439,75))/1000</f>
        <v>0.15</v>
      </c>
      <c r="M439" s="2108" t="s">
        <v>176</v>
      </c>
      <c r="N439" s="2108">
        <f t="shared" ref="N439:N441" si="1353">J439+L439</f>
        <v>0.27</v>
      </c>
      <c r="O439" s="2108"/>
      <c r="P439" s="2108"/>
      <c r="Q439" s="2108"/>
      <c r="R439" s="2108"/>
      <c r="S439" s="2108"/>
      <c r="T439" s="2108" t="s">
        <v>125</v>
      </c>
      <c r="U439" s="2110">
        <f t="shared" ref="U439:U441" si="1354">0.006165*F439^2</f>
        <v>0</v>
      </c>
      <c r="V439" s="2108" t="s">
        <v>125</v>
      </c>
      <c r="W439" s="2108">
        <f t="shared" si="1260"/>
        <v>14</v>
      </c>
      <c r="X439" s="2108" t="s">
        <v>125</v>
      </c>
      <c r="Y439" s="2098">
        <f t="shared" ref="Y439" si="1355">D425</f>
        <v>3</v>
      </c>
      <c r="Z439" s="2109" t="s">
        <v>176</v>
      </c>
      <c r="AA439" s="2111">
        <f t="shared" ref="AA439:AA441" si="1356">N439*U439*W439*Y439</f>
        <v>0</v>
      </c>
      <c r="AB439" s="2112"/>
    </row>
    <row r="440" spans="1:28" s="2092" customFormat="1">
      <c r="A440" s="2093" t="str">
        <f t="shared" ref="A440:B440" si="1357">A415</f>
        <v>Lantai 1</v>
      </c>
      <c r="B440" s="2094" t="str">
        <f t="shared" si="1357"/>
        <v>13A</v>
      </c>
      <c r="C440" s="2102" t="s">
        <v>214</v>
      </c>
      <c r="D440" s="2107">
        <f>VLOOKUP(D415,'Detail Balok'!$C$10:$BJ$140,51,FALSE)</f>
        <v>0</v>
      </c>
      <c r="E440" s="2097" t="s">
        <v>16</v>
      </c>
      <c r="F440" s="2097">
        <f>VLOOKUP(D415,'Detail Balok'!$C$10:$BJ$140,53,FALSE)</f>
        <v>0</v>
      </c>
      <c r="G440" s="2114" t="s">
        <v>157</v>
      </c>
      <c r="H440" s="2104">
        <f>VLOOKUP(D415,'Detail Balok'!$C$10:$BJ$140,55,FALSE)</f>
        <v>100</v>
      </c>
      <c r="I440" s="2097"/>
      <c r="J440" s="2108">
        <f t="shared" ref="J440" si="1358">(D416-2*F$5)/1000</f>
        <v>0.12</v>
      </c>
      <c r="K440" s="2109" t="s">
        <v>204</v>
      </c>
      <c r="L440" s="2108">
        <f t="shared" si="1352"/>
        <v>0.15</v>
      </c>
      <c r="M440" s="2108" t="s">
        <v>176</v>
      </c>
      <c r="N440" s="2108">
        <f t="shared" si="1353"/>
        <v>0.27</v>
      </c>
      <c r="O440" s="2108"/>
      <c r="P440" s="2108"/>
      <c r="Q440" s="2108"/>
      <c r="R440" s="2108"/>
      <c r="S440" s="2108"/>
      <c r="T440" s="2108" t="s">
        <v>125</v>
      </c>
      <c r="U440" s="2110">
        <f t="shared" si="1354"/>
        <v>0</v>
      </c>
      <c r="V440" s="2108" t="s">
        <v>125</v>
      </c>
      <c r="W440" s="2108">
        <f t="shared" si="1260"/>
        <v>20</v>
      </c>
      <c r="X440" s="2108" t="s">
        <v>125</v>
      </c>
      <c r="Y440" s="2098">
        <f t="shared" ref="Y440" si="1359">D425</f>
        <v>3</v>
      </c>
      <c r="Z440" s="2109" t="s">
        <v>176</v>
      </c>
      <c r="AA440" s="2111">
        <f t="shared" si="1356"/>
        <v>0</v>
      </c>
      <c r="AB440" s="2112"/>
    </row>
    <row r="441" spans="1:28" s="2092" customFormat="1">
      <c r="A441" s="2093" t="str">
        <f t="shared" ref="A441:B441" si="1360">A415</f>
        <v>Lantai 1</v>
      </c>
      <c r="B441" s="2094" t="str">
        <f t="shared" si="1360"/>
        <v>13A</v>
      </c>
      <c r="C441" s="2102" t="s">
        <v>213</v>
      </c>
      <c r="D441" s="2107">
        <f>VLOOKUP(D415,'Detail Balok'!$C$10:$BJ$140,56,FALSE)</f>
        <v>0</v>
      </c>
      <c r="E441" s="2097" t="s">
        <v>16</v>
      </c>
      <c r="F441" s="2097">
        <f>VLOOKUP(D415,'Detail Balok'!$C$10:$BJ$140,58,FALSE)</f>
        <v>0</v>
      </c>
      <c r="G441" s="2114" t="s">
        <v>157</v>
      </c>
      <c r="H441" s="2104">
        <f>VLOOKUP(D415,'Detail Balok'!$C$10:$BJ$140,60,FALSE)</f>
        <v>100</v>
      </c>
      <c r="I441" s="2097"/>
      <c r="J441" s="2108">
        <f t="shared" ref="J441" si="1361">(D416-2*F$5)/1000</f>
        <v>0.12</v>
      </c>
      <c r="K441" s="2109" t="s">
        <v>204</v>
      </c>
      <c r="L441" s="2108">
        <f t="shared" si="1352"/>
        <v>0.15</v>
      </c>
      <c r="M441" s="2108" t="s">
        <v>176</v>
      </c>
      <c r="N441" s="2108">
        <f t="shared" si="1353"/>
        <v>0.27</v>
      </c>
      <c r="O441" s="2108"/>
      <c r="P441" s="2108"/>
      <c r="Q441" s="2108"/>
      <c r="R441" s="2108"/>
      <c r="S441" s="2108"/>
      <c r="T441" s="2108" t="s">
        <v>125</v>
      </c>
      <c r="U441" s="2110">
        <f t="shared" si="1354"/>
        <v>0</v>
      </c>
      <c r="V441" s="2108" t="s">
        <v>125</v>
      </c>
      <c r="W441" s="2108">
        <f t="shared" si="1260"/>
        <v>14</v>
      </c>
      <c r="X441" s="2108" t="s">
        <v>125</v>
      </c>
      <c r="Y441" s="2098">
        <f t="shared" ref="Y441" si="1362">D425</f>
        <v>3</v>
      </c>
      <c r="Z441" s="2109" t="s">
        <v>176</v>
      </c>
      <c r="AA441" s="2111">
        <f t="shared" si="1356"/>
        <v>0</v>
      </c>
      <c r="AB441" s="2112"/>
    </row>
    <row r="442" spans="1:28" s="2092" customFormat="1">
      <c r="A442" s="2100"/>
      <c r="B442" s="2101"/>
      <c r="C442" s="2101"/>
      <c r="D442" s="2103"/>
      <c r="E442" s="2097"/>
      <c r="F442" s="2097"/>
      <c r="G442" s="2097"/>
      <c r="H442" s="2104"/>
      <c r="I442" s="2097"/>
      <c r="J442" s="2111"/>
      <c r="K442" s="2097"/>
      <c r="L442" s="2097"/>
      <c r="M442" s="2097"/>
      <c r="N442" s="2097"/>
      <c r="O442" s="2097"/>
      <c r="P442" s="2097"/>
      <c r="Q442" s="2097"/>
      <c r="R442" s="2097"/>
      <c r="S442" s="2097"/>
      <c r="T442" s="2097"/>
      <c r="U442" s="2097"/>
      <c r="V442" s="2097"/>
      <c r="W442" s="2097"/>
      <c r="X442" s="2097"/>
      <c r="Y442" s="2098"/>
      <c r="Z442" s="2097"/>
      <c r="AA442" s="2111"/>
      <c r="AB442" s="2112"/>
    </row>
    <row r="443" spans="1:28" s="2092" customFormat="1" ht="15.75" thickBot="1">
      <c r="A443" s="2115"/>
      <c r="B443" s="2116"/>
      <c r="C443" s="2116"/>
      <c r="D443" s="2117"/>
      <c r="E443" s="2118"/>
      <c r="F443" s="2118"/>
      <c r="G443" s="2118"/>
      <c r="H443" s="2119"/>
      <c r="I443" s="2118"/>
      <c r="J443" s="2118"/>
      <c r="K443" s="2118"/>
      <c r="L443" s="2118"/>
      <c r="M443" s="2118"/>
      <c r="N443" s="2118"/>
      <c r="O443" s="2118"/>
      <c r="P443" s="2118"/>
      <c r="Q443" s="2118"/>
      <c r="R443" s="2118"/>
      <c r="S443" s="2118"/>
      <c r="T443" s="2118"/>
      <c r="U443" s="2118"/>
      <c r="V443" s="2118"/>
      <c r="W443" s="2118"/>
      <c r="X443" s="2118"/>
      <c r="Y443" s="2120"/>
      <c r="Z443" s="2118"/>
      <c r="AA443" s="2121"/>
      <c r="AB443" s="2122"/>
    </row>
    <row r="444" spans="1:28">
      <c r="A444" s="377"/>
      <c r="B444" s="378"/>
      <c r="C444" s="378"/>
      <c r="D444" s="379"/>
      <c r="E444" s="380"/>
      <c r="F444" s="380"/>
      <c r="G444" s="380"/>
      <c r="H444" s="381"/>
      <c r="I444" s="380"/>
      <c r="J444" s="380"/>
      <c r="K444" s="380"/>
      <c r="L444" s="380"/>
      <c r="M444" s="380"/>
      <c r="N444" s="380"/>
      <c r="O444" s="380"/>
      <c r="P444" s="380"/>
      <c r="Q444" s="380"/>
      <c r="R444" s="380"/>
      <c r="S444" s="380"/>
      <c r="T444" s="380"/>
      <c r="U444" s="380"/>
      <c r="V444" s="380"/>
      <c r="W444" s="380"/>
      <c r="X444" s="380"/>
      <c r="Y444" s="382"/>
      <c r="Z444" s="380"/>
      <c r="AA444" s="380"/>
      <c r="AB444" s="383"/>
    </row>
    <row r="445" spans="1:28">
      <c r="A445" s="384" t="str">
        <f>A385</f>
        <v>Lantai 1</v>
      </c>
      <c r="B445" s="385">
        <f>B385+1</f>
        <v>14</v>
      </c>
      <c r="C445" s="386" t="str">
        <f t="shared" ref="C445" si="1363">CONCATENATE(A445," no. ",B445)</f>
        <v>Lantai 1 no. 14</v>
      </c>
      <c r="D445" s="2562" t="str">
        <f>VLOOKUP(C445,'Data Panjang Balok'!$C$9:$N$254,2,FALSE)</f>
        <v>S36-1</v>
      </c>
      <c r="E445" s="2576"/>
      <c r="F445" s="2576"/>
      <c r="G445" s="2576"/>
      <c r="H445" s="2577"/>
      <c r="I445" s="387"/>
      <c r="J445" s="388"/>
      <c r="K445" s="388"/>
      <c r="L445" s="388"/>
      <c r="M445" s="388"/>
      <c r="N445" s="388"/>
      <c r="O445" s="388"/>
      <c r="P445" s="388"/>
      <c r="Q445" s="388"/>
      <c r="R445" s="388"/>
      <c r="S445" s="388"/>
      <c r="T445" s="388"/>
      <c r="U445" s="388"/>
      <c r="V445" s="388"/>
      <c r="W445" s="388"/>
      <c r="X445" s="388"/>
      <c r="Y445" s="389"/>
      <c r="Z445" s="388"/>
      <c r="AA445" s="388"/>
      <c r="AB445" s="390"/>
    </row>
    <row r="446" spans="1:28">
      <c r="A446" s="391"/>
      <c r="B446" s="392"/>
      <c r="C446" s="393" t="s">
        <v>118</v>
      </c>
      <c r="D446" s="2578">
        <f>VLOOKUP(D445,'Detail Balok'!$C$10:$AU$140,2,FALSE)</f>
        <v>300</v>
      </c>
      <c r="E446" s="2579"/>
      <c r="F446" s="388" t="s">
        <v>125</v>
      </c>
      <c r="G446" s="2579">
        <f>VLOOKUP(D445,'Detail Balok'!$C$10:$AU$140,3,FALSE)</f>
        <v>600</v>
      </c>
      <c r="H446" s="2580"/>
      <c r="I446" s="388"/>
      <c r="J446" s="396"/>
      <c r="K446" s="396"/>
      <c r="L446" s="396"/>
      <c r="M446" s="396"/>
      <c r="N446" s="396"/>
      <c r="O446" s="396"/>
      <c r="P446" s="396"/>
      <c r="Q446" s="396"/>
      <c r="R446" s="396"/>
      <c r="S446" s="396"/>
      <c r="T446" s="396"/>
      <c r="U446" s="388"/>
      <c r="V446" s="396"/>
      <c r="W446" s="388"/>
      <c r="X446" s="396"/>
      <c r="Y446" s="389"/>
      <c r="Z446" s="396"/>
      <c r="AA446" s="388"/>
      <c r="AB446" s="390"/>
    </row>
    <row r="447" spans="1:28">
      <c r="A447" s="391"/>
      <c r="B447" s="392"/>
      <c r="C447" s="393" t="s">
        <v>198</v>
      </c>
      <c r="D447" s="2562">
        <f>VLOOKUP(C445,'Data Panjang Balok'!$C$9:$N$254,4,FALSE)</f>
        <v>6000</v>
      </c>
      <c r="E447" s="2563"/>
      <c r="F447" s="2563"/>
      <c r="G447" s="2563"/>
      <c r="H447" s="2564"/>
      <c r="I447" s="397"/>
      <c r="J447" s="396"/>
      <c r="K447" s="396"/>
      <c r="L447" s="396"/>
      <c r="M447" s="396"/>
      <c r="N447" s="396"/>
      <c r="O447" s="396"/>
      <c r="P447" s="396"/>
      <c r="Q447" s="396"/>
      <c r="R447" s="396"/>
      <c r="S447" s="396"/>
      <c r="T447" s="396"/>
      <c r="U447" s="388"/>
      <c r="V447" s="396"/>
      <c r="W447" s="388"/>
      <c r="X447" s="396"/>
      <c r="Y447" s="389"/>
      <c r="Z447" s="396"/>
      <c r="AA447" s="388"/>
      <c r="AB447" s="390"/>
    </row>
    <row r="448" spans="1:28">
      <c r="A448" s="391"/>
      <c r="B448" s="392"/>
      <c r="C448" s="393" t="s">
        <v>199</v>
      </c>
      <c r="D448" s="2562">
        <f>VLOOKUP(C445,'Data Panjang Balok'!$C$9:$N$254,7,FALSE)</f>
        <v>6000</v>
      </c>
      <c r="E448" s="2563"/>
      <c r="F448" s="2563"/>
      <c r="G448" s="2563"/>
      <c r="H448" s="2564"/>
      <c r="I448" s="397"/>
      <c r="J448" s="396"/>
      <c r="K448" s="396"/>
      <c r="L448" s="396"/>
      <c r="M448" s="396"/>
      <c r="N448" s="396"/>
      <c r="O448" s="396"/>
      <c r="P448" s="396"/>
      <c r="Q448" s="396"/>
      <c r="R448" s="396"/>
      <c r="S448" s="396"/>
      <c r="T448" s="396"/>
      <c r="U448" s="388"/>
      <c r="V448" s="396"/>
      <c r="W448" s="388"/>
      <c r="X448" s="396"/>
      <c r="Y448" s="389"/>
      <c r="Z448" s="396"/>
      <c r="AA448" s="388"/>
      <c r="AB448" s="390"/>
    </row>
    <row r="449" spans="1:28">
      <c r="A449" s="391"/>
      <c r="B449" s="392"/>
      <c r="C449" s="393" t="s">
        <v>200</v>
      </c>
      <c r="D449" s="2562">
        <f>VLOOKUP(C445,'Data Panjang Balok'!$C$9:$N$254,9,FALSE)</f>
        <v>0</v>
      </c>
      <c r="E449" s="2563"/>
      <c r="F449" s="2563"/>
      <c r="G449" s="2563"/>
      <c r="H449" s="2564"/>
      <c r="I449" s="397"/>
      <c r="J449" s="396"/>
      <c r="K449" s="396"/>
      <c r="L449" s="396"/>
      <c r="M449" s="396"/>
      <c r="N449" s="396"/>
      <c r="O449" s="396"/>
      <c r="P449" s="396"/>
      <c r="Q449" s="396"/>
      <c r="R449" s="396"/>
      <c r="S449" s="396"/>
      <c r="T449" s="396"/>
      <c r="U449" s="388"/>
      <c r="V449" s="396"/>
      <c r="W449" s="388"/>
      <c r="X449" s="396"/>
      <c r="Y449" s="389"/>
      <c r="Z449" s="396"/>
      <c r="AA449" s="388"/>
      <c r="AB449" s="390"/>
    </row>
    <row r="450" spans="1:28">
      <c r="A450" s="391"/>
      <c r="B450" s="392"/>
      <c r="C450" s="393" t="s">
        <v>201</v>
      </c>
      <c r="D450" s="2562">
        <f>VLOOKUP(C445,'Data Panjang Balok'!$C$9:$N$254,10,FALSE)</f>
        <v>0</v>
      </c>
      <c r="E450" s="2563"/>
      <c r="F450" s="2563"/>
      <c r="G450" s="2563"/>
      <c r="H450" s="2564"/>
      <c r="I450" s="397"/>
      <c r="J450" s="396"/>
      <c r="K450" s="396"/>
      <c r="L450" s="396"/>
      <c r="M450" s="396"/>
      <c r="N450" s="396"/>
      <c r="O450" s="396"/>
      <c r="P450" s="396"/>
      <c r="Q450" s="396"/>
      <c r="R450" s="396"/>
      <c r="S450" s="396"/>
      <c r="T450" s="396"/>
      <c r="U450" s="388"/>
      <c r="V450" s="396"/>
      <c r="W450" s="388"/>
      <c r="X450" s="396"/>
      <c r="Y450" s="389"/>
      <c r="Z450" s="396"/>
      <c r="AA450" s="388"/>
      <c r="AB450" s="390"/>
    </row>
    <row r="451" spans="1:28">
      <c r="A451" s="391"/>
      <c r="B451" s="392"/>
      <c r="C451" s="393" t="s">
        <v>48</v>
      </c>
      <c r="D451" s="2562">
        <f>VLOOKUP(C445,'Data Panjang Balok'!$C$9:$N$254,3,FALSE)</f>
        <v>1</v>
      </c>
      <c r="E451" s="2563"/>
      <c r="F451" s="2563"/>
      <c r="G451" s="2563"/>
      <c r="H451" s="2564"/>
      <c r="I451" s="397"/>
      <c r="J451" s="396"/>
      <c r="K451" s="396"/>
      <c r="L451" s="396"/>
      <c r="M451" s="396"/>
      <c r="N451" s="396"/>
      <c r="O451" s="396"/>
      <c r="P451" s="396"/>
      <c r="Q451" s="396"/>
      <c r="R451" s="396"/>
      <c r="S451" s="396"/>
      <c r="T451" s="396"/>
      <c r="U451" s="388"/>
      <c r="V451" s="396"/>
      <c r="W451" s="388"/>
      <c r="X451" s="396"/>
      <c r="Y451" s="389"/>
      <c r="Z451" s="396"/>
      <c r="AA451" s="388"/>
      <c r="AB451" s="390"/>
    </row>
    <row r="452" spans="1:28">
      <c r="A452" s="384" t="str">
        <f t="shared" ref="A452:B452" si="1364">A445</f>
        <v>Lantai 1</v>
      </c>
      <c r="B452" s="385">
        <f t="shared" si="1364"/>
        <v>14</v>
      </c>
      <c r="C452" s="393" t="s">
        <v>202</v>
      </c>
      <c r="D452" s="398">
        <f>VLOOKUP(D445,'Detail Balok'!$C$10:$AU$140,4,FALSE)</f>
        <v>4</v>
      </c>
      <c r="E452" s="388" t="s">
        <v>16</v>
      </c>
      <c r="F452" s="388">
        <f>VLOOKUP(D445,'Detail Balok'!$C$10:$AU$140,6,FALSE)</f>
        <v>16</v>
      </c>
      <c r="G452" s="388"/>
      <c r="H452" s="395"/>
      <c r="I452" s="388" t="s">
        <v>203</v>
      </c>
      <c r="J452" s="399">
        <f t="shared" ref="J452" si="1365">+D447/4/1000</f>
        <v>1.5</v>
      </c>
      <c r="K452" s="400" t="s">
        <v>204</v>
      </c>
      <c r="L452" s="399">
        <f t="shared" ref="L452" si="1366">MAX(VLOOKUP(F452,N$6:P$15,3,FALSE)/1000,2/3*D449/1000)+F$16*F452/1000</f>
        <v>0.192</v>
      </c>
      <c r="M452" s="399" t="s">
        <v>176</v>
      </c>
      <c r="N452" s="399">
        <f t="shared" ref="N452:N454" si="1367">J452+L452</f>
        <v>1.6919999999999999</v>
      </c>
      <c r="O452" s="399" t="s">
        <v>204</v>
      </c>
      <c r="P452" s="389">
        <f t="shared" ref="P452" si="1368">D452-D453</f>
        <v>0</v>
      </c>
      <c r="Q452" s="399" t="s">
        <v>125</v>
      </c>
      <c r="R452" s="399">
        <f t="shared" ref="R452" si="1369">IF(P452&gt;0,$F$18*F452/1000,0)</f>
        <v>0</v>
      </c>
      <c r="S452" s="399" t="s">
        <v>205</v>
      </c>
      <c r="T452" s="399" t="s">
        <v>125</v>
      </c>
      <c r="U452" s="401">
        <f t="shared" ref="U452:U454" si="1370">0.006165*F452^2</f>
        <v>1.5782400000000001</v>
      </c>
      <c r="V452" s="399"/>
      <c r="W452" s="399"/>
      <c r="X452" s="399" t="s">
        <v>125</v>
      </c>
      <c r="Y452" s="389">
        <f t="shared" ref="Y452" si="1371">D451</f>
        <v>1</v>
      </c>
      <c r="Z452" s="400" t="s">
        <v>176</v>
      </c>
      <c r="AA452" s="402">
        <f t="shared" ref="AA452" si="1372">IF(AA455=0,(D452*N452+P452*R452)*U452*Y452,0)</f>
        <v>0</v>
      </c>
      <c r="AB452" s="403"/>
    </row>
    <row r="453" spans="1:28">
      <c r="A453" s="384" t="str">
        <f t="shared" ref="A453:B453" si="1373">A445</f>
        <v>Lantai 1</v>
      </c>
      <c r="B453" s="385">
        <f t="shared" si="1373"/>
        <v>14</v>
      </c>
      <c r="C453" s="393" t="s">
        <v>206</v>
      </c>
      <c r="D453" s="398">
        <f>VLOOKUP(D445,'Detail Balok'!$C$10:$AU$140,7,FALSE)</f>
        <v>4</v>
      </c>
      <c r="E453" s="388" t="s">
        <v>16</v>
      </c>
      <c r="F453" s="388">
        <f>VLOOKUP(D445,'Detail Balok'!$C$10:$AU$140,9,FALSE)</f>
        <v>16</v>
      </c>
      <c r="G453" s="388"/>
      <c r="H453" s="395"/>
      <c r="I453" s="388" t="s">
        <v>203</v>
      </c>
      <c r="J453" s="399">
        <f t="shared" ref="J453" si="1374">+D447/2/1000</f>
        <v>3</v>
      </c>
      <c r="K453" s="400" t="s">
        <v>204</v>
      </c>
      <c r="L453" s="399"/>
      <c r="M453" s="399" t="s">
        <v>176</v>
      </c>
      <c r="N453" s="399">
        <f t="shared" si="1367"/>
        <v>3</v>
      </c>
      <c r="O453" s="399" t="s">
        <v>204</v>
      </c>
      <c r="P453" s="389">
        <f t="shared" ref="P453" si="1375">MAX(D453-D452,D453-D454)</f>
        <v>0</v>
      </c>
      <c r="Q453" s="399" t="s">
        <v>125</v>
      </c>
      <c r="R453" s="399">
        <f t="shared" ref="R453" si="1376">IF(P453&gt;0,2*(1-2*$F$19-1/2)*D448/1000,0)</f>
        <v>0</v>
      </c>
      <c r="S453" s="399" t="s">
        <v>205</v>
      </c>
      <c r="T453" s="399" t="s">
        <v>125</v>
      </c>
      <c r="U453" s="401">
        <f t="shared" si="1370"/>
        <v>1.5782400000000001</v>
      </c>
      <c r="V453" s="399"/>
      <c r="W453" s="399"/>
      <c r="X453" s="399" t="s">
        <v>125</v>
      </c>
      <c r="Y453" s="389">
        <f t="shared" ref="Y453" si="1377">D451</f>
        <v>1</v>
      </c>
      <c r="Z453" s="400" t="s">
        <v>176</v>
      </c>
      <c r="AA453" s="402">
        <f t="shared" ref="AA453" si="1378">IF(AA455=0,(D453*N453+P453*R453)*U453*Y453,0)</f>
        <v>0</v>
      </c>
      <c r="AB453" s="403"/>
    </row>
    <row r="454" spans="1:28">
      <c r="A454" s="384" t="str">
        <f t="shared" ref="A454:B454" si="1379">A445</f>
        <v>Lantai 1</v>
      </c>
      <c r="B454" s="385">
        <f t="shared" si="1379"/>
        <v>14</v>
      </c>
      <c r="C454" s="393" t="s">
        <v>202</v>
      </c>
      <c r="D454" s="398">
        <f>VLOOKUP(D445,'Detail Balok'!$C$10:$AU$140,10,FALSE)</f>
        <v>4</v>
      </c>
      <c r="E454" s="388" t="s">
        <v>16</v>
      </c>
      <c r="F454" s="388">
        <f>VLOOKUP(D445,'Detail Balok'!$C$10:$AU$140,12,FALSE)</f>
        <v>16</v>
      </c>
      <c r="G454" s="388"/>
      <c r="H454" s="395"/>
      <c r="I454" s="388" t="s">
        <v>203</v>
      </c>
      <c r="J454" s="399">
        <f t="shared" ref="J454" si="1380">+D447/4/1000</f>
        <v>1.5</v>
      </c>
      <c r="K454" s="400" t="s">
        <v>204</v>
      </c>
      <c r="L454" s="399">
        <f t="shared" ref="L454" si="1381">MAX(VLOOKUP(F454,N$6:P$15,3,FALSE)/1000,2/3*D449/1000)+F$16*F454/1000</f>
        <v>0.192</v>
      </c>
      <c r="M454" s="399" t="s">
        <v>176</v>
      </c>
      <c r="N454" s="399">
        <f t="shared" si="1367"/>
        <v>1.6919999999999999</v>
      </c>
      <c r="O454" s="399" t="s">
        <v>204</v>
      </c>
      <c r="P454" s="389">
        <f t="shared" ref="P454" si="1382">D454-D453</f>
        <v>0</v>
      </c>
      <c r="Q454" s="399" t="s">
        <v>125</v>
      </c>
      <c r="R454" s="399">
        <f t="shared" ref="R454" si="1383">IF(P454&gt;0,$F$18*F454/1000,0)</f>
        <v>0</v>
      </c>
      <c r="S454" s="399" t="s">
        <v>205</v>
      </c>
      <c r="T454" s="399" t="s">
        <v>125</v>
      </c>
      <c r="U454" s="401">
        <f t="shared" si="1370"/>
        <v>1.5782400000000001</v>
      </c>
      <c r="V454" s="399"/>
      <c r="W454" s="399"/>
      <c r="X454" s="399" t="s">
        <v>125</v>
      </c>
      <c r="Y454" s="389">
        <f t="shared" ref="Y454" si="1384">D451</f>
        <v>1</v>
      </c>
      <c r="Z454" s="400" t="s">
        <v>176</v>
      </c>
      <c r="AA454" s="402">
        <f t="shared" ref="AA454" si="1385">IF(AA455=0,(D454*N454+P454*R454)*U454*Y454,0)</f>
        <v>0</v>
      </c>
      <c r="AB454" s="403"/>
    </row>
    <row r="455" spans="1:28">
      <c r="A455" s="384" t="str">
        <f t="shared" ref="A455:B455" si="1386">A445</f>
        <v>Lantai 1</v>
      </c>
      <c r="B455" s="385">
        <f t="shared" si="1386"/>
        <v>14</v>
      </c>
      <c r="C455" s="393"/>
      <c r="D455" s="398">
        <f t="shared" si="1190"/>
        <v>4</v>
      </c>
      <c r="E455" s="388" t="s">
        <v>16</v>
      </c>
      <c r="F455" s="388">
        <f t="shared" si="1191"/>
        <v>16</v>
      </c>
      <c r="G455" s="388"/>
      <c r="H455" s="395"/>
      <c r="I455" s="388"/>
      <c r="J455" s="396"/>
      <c r="K455" s="396"/>
      <c r="L455" s="404" t="s">
        <v>207</v>
      </c>
      <c r="M455" s="399" t="s">
        <v>176</v>
      </c>
      <c r="N455" s="399">
        <f t="shared" ref="N455" si="1387">IF(AND(D452=D453,D452=D454,D453=D454,F452=F453,F452=F454,F453=F454),SUM(N452:N454),0)</f>
        <v>6.3840000000000003</v>
      </c>
      <c r="O455" s="399" t="s">
        <v>204</v>
      </c>
      <c r="P455" s="389">
        <f t="shared" ref="P455" si="1388">IF(N455&gt;12,ROUNDDOWN(N455/12,0),0)</f>
        <v>0</v>
      </c>
      <c r="Q455" s="399" t="s">
        <v>125</v>
      </c>
      <c r="R455" s="399">
        <f t="shared" ref="R455" si="1389">IF(P455&gt;0,MAX(VLOOKUP(F455,$D$6:$G$15,3,FALSE),600),0)/1000</f>
        <v>0</v>
      </c>
      <c r="S455" s="396"/>
      <c r="T455" s="396" t="s">
        <v>125</v>
      </c>
      <c r="U455" s="401">
        <f t="shared" si="1195"/>
        <v>1.5782400000000001</v>
      </c>
      <c r="V455" s="396" t="s">
        <v>125</v>
      </c>
      <c r="W455" s="399">
        <f t="shared" ref="W455" si="1390">D455</f>
        <v>4</v>
      </c>
      <c r="X455" s="399" t="s">
        <v>125</v>
      </c>
      <c r="Y455" s="389">
        <f t="shared" si="1197"/>
        <v>1</v>
      </c>
      <c r="Z455" s="400" t="s">
        <v>176</v>
      </c>
      <c r="AA455" s="402">
        <f t="shared" ref="AA455" si="1391">(N455+P455*R455/1000)*U455*W455*Y455</f>
        <v>40.301936640000001</v>
      </c>
      <c r="AB455" s="390"/>
    </row>
    <row r="456" spans="1:28">
      <c r="A456" s="384"/>
      <c r="B456" s="385"/>
      <c r="C456" s="393"/>
      <c r="D456" s="398"/>
      <c r="E456" s="388"/>
      <c r="F456" s="388"/>
      <c r="G456" s="388"/>
      <c r="H456" s="395"/>
      <c r="I456" s="388"/>
      <c r="J456" s="396"/>
      <c r="K456" s="396"/>
      <c r="L456" s="404"/>
      <c r="M456" s="399"/>
      <c r="N456" s="399"/>
      <c r="O456" s="396"/>
      <c r="P456" s="389"/>
      <c r="Q456" s="396"/>
      <c r="R456" s="396"/>
      <c r="S456" s="396"/>
      <c r="T456" s="396"/>
      <c r="U456" s="401"/>
      <c r="V456" s="396"/>
      <c r="W456" s="399"/>
      <c r="X456" s="396"/>
      <c r="Y456" s="389"/>
      <c r="Z456" s="396"/>
      <c r="AA456" s="388"/>
      <c r="AB456" s="390"/>
    </row>
    <row r="457" spans="1:28">
      <c r="A457" s="384" t="str">
        <f t="shared" ref="A457:B457" si="1392">A445</f>
        <v>Lantai 1</v>
      </c>
      <c r="B457" s="385">
        <f t="shared" si="1392"/>
        <v>14</v>
      </c>
      <c r="C457" s="393" t="s">
        <v>208</v>
      </c>
      <c r="D457" s="398">
        <f>VLOOKUP(D445,'Detail Balok'!$C$10:$AU$140,13,FALSE)</f>
        <v>2</v>
      </c>
      <c r="E457" s="388" t="s">
        <v>16</v>
      </c>
      <c r="F457" s="388">
        <f>VLOOKUP(D445,'Detail Balok'!$C$10:$AU$140,15,FALSE)</f>
        <v>10</v>
      </c>
      <c r="G457" s="388"/>
      <c r="H457" s="395"/>
      <c r="I457" s="388"/>
      <c r="J457" s="399">
        <f t="shared" ref="J457" si="1393">+D447/1000</f>
        <v>6</v>
      </c>
      <c r="K457" s="400" t="s">
        <v>204</v>
      </c>
      <c r="L457" s="399">
        <f t="shared" ref="L457" si="1394">2*$F$16*F457/1000</f>
        <v>0.24</v>
      </c>
      <c r="M457" s="399" t="s">
        <v>176</v>
      </c>
      <c r="N457" s="399">
        <f t="shared" ref="N457" si="1395">J457+L457</f>
        <v>6.24</v>
      </c>
      <c r="O457" s="399" t="s">
        <v>204</v>
      </c>
      <c r="P457" s="389">
        <f t="shared" ref="P457" si="1396">IF(N457&gt;12,ROUNDDOWN(N457/12,0),0)</f>
        <v>0</v>
      </c>
      <c r="Q457" s="399" t="s">
        <v>125</v>
      </c>
      <c r="R457" s="399">
        <f t="shared" ref="R457" si="1397">IF(P457&gt;0,MAX(VLOOKUP(F457,$D$6:$G$15,3,FALSE),600),0)/1000</f>
        <v>0</v>
      </c>
      <c r="S457" s="399"/>
      <c r="T457" s="399" t="s">
        <v>125</v>
      </c>
      <c r="U457" s="401">
        <f t="shared" ref="U457" si="1398">0.006165*F457^2</f>
        <v>0.61650000000000005</v>
      </c>
      <c r="V457" s="399" t="s">
        <v>125</v>
      </c>
      <c r="W457" s="399">
        <f t="shared" ref="W457" si="1399">+D457</f>
        <v>2</v>
      </c>
      <c r="X457" s="399" t="s">
        <v>125</v>
      </c>
      <c r="Y457" s="389">
        <f t="shared" ref="Y457" si="1400">D451</f>
        <v>1</v>
      </c>
      <c r="Z457" s="400" t="s">
        <v>176</v>
      </c>
      <c r="AA457" s="402">
        <f t="shared" ref="AA457" si="1401">(N457+P457*R457/1000)*U457*W457*Y457</f>
        <v>7.6939200000000012</v>
      </c>
      <c r="AB457" s="403"/>
    </row>
    <row r="458" spans="1:28">
      <c r="A458" s="384"/>
      <c r="B458" s="385"/>
      <c r="C458" s="393"/>
      <c r="D458" s="398"/>
      <c r="E458" s="388"/>
      <c r="F458" s="388"/>
      <c r="G458" s="388"/>
      <c r="H458" s="395"/>
      <c r="I458" s="388"/>
      <c r="J458" s="399"/>
      <c r="K458" s="400"/>
      <c r="L458" s="399"/>
      <c r="M458" s="399"/>
      <c r="N458" s="399"/>
      <c r="O458" s="399"/>
      <c r="P458" s="389"/>
      <c r="Q458" s="399"/>
      <c r="R458" s="399"/>
      <c r="S458" s="399"/>
      <c r="T458" s="399"/>
      <c r="U458" s="401"/>
      <c r="V458" s="399"/>
      <c r="W458" s="399"/>
      <c r="X458" s="399"/>
      <c r="Y458" s="389"/>
      <c r="Z458" s="400"/>
      <c r="AA458" s="402"/>
      <c r="AB458" s="403"/>
    </row>
    <row r="459" spans="1:28">
      <c r="A459" s="384"/>
      <c r="B459" s="385"/>
      <c r="C459" s="393"/>
      <c r="D459" s="398"/>
      <c r="E459" s="388"/>
      <c r="F459" s="388"/>
      <c r="G459" s="388"/>
      <c r="H459" s="395"/>
      <c r="I459" s="388"/>
      <c r="J459" s="396"/>
      <c r="K459" s="396"/>
      <c r="L459" s="396"/>
      <c r="M459" s="396"/>
      <c r="N459" s="396"/>
      <c r="O459" s="396"/>
      <c r="P459" s="389"/>
      <c r="Q459" s="396"/>
      <c r="R459" s="396"/>
      <c r="S459" s="396"/>
      <c r="T459" s="396"/>
      <c r="U459" s="401"/>
      <c r="V459" s="396"/>
      <c r="W459" s="399"/>
      <c r="X459" s="396"/>
      <c r="Y459" s="389"/>
      <c r="Z459" s="396"/>
      <c r="AA459" s="388"/>
      <c r="AB459" s="390"/>
    </row>
    <row r="460" spans="1:28">
      <c r="A460" s="384" t="str">
        <f t="shared" ref="A460:B460" si="1402">A445</f>
        <v>Lantai 1</v>
      </c>
      <c r="B460" s="385">
        <f t="shared" si="1402"/>
        <v>14</v>
      </c>
      <c r="C460" s="393" t="s">
        <v>209</v>
      </c>
      <c r="D460" s="398">
        <f>VLOOKUP(D445,'Detail Balok'!$C$10:$AU$140,22,FALSE)</f>
        <v>4</v>
      </c>
      <c r="E460" s="388" t="s">
        <v>16</v>
      </c>
      <c r="F460" s="388">
        <f>VLOOKUP(D445,'Detail Balok'!$C$10:$AU$140,24,FALSE)</f>
        <v>16</v>
      </c>
      <c r="G460" s="388"/>
      <c r="H460" s="395"/>
      <c r="I460" s="388" t="s">
        <v>203</v>
      </c>
      <c r="J460" s="399">
        <f t="shared" si="1210"/>
        <v>1.5</v>
      </c>
      <c r="K460" s="400" t="s">
        <v>204</v>
      </c>
      <c r="L460" s="399">
        <f t="shared" ref="L460" si="1403">MAX(VLOOKUP(F460,N$6:P$15,3,FALSE)/1000,2/3*D450/1000)+F$16*F460/1000</f>
        <v>0.192</v>
      </c>
      <c r="M460" s="399" t="s">
        <v>176</v>
      </c>
      <c r="N460" s="399">
        <f t="shared" ref="N460:N462" si="1404">J460+L460</f>
        <v>1.6919999999999999</v>
      </c>
      <c r="O460" s="399" t="s">
        <v>204</v>
      </c>
      <c r="P460" s="389">
        <f t="shared" ref="P460" si="1405">D460-D461</f>
        <v>0</v>
      </c>
      <c r="Q460" s="399" t="s">
        <v>125</v>
      </c>
      <c r="R460" s="399">
        <f t="shared" ref="R460" si="1406">IF(P460&gt;0,$F$18*F460/1000,0)</f>
        <v>0</v>
      </c>
      <c r="S460" s="399" t="s">
        <v>205</v>
      </c>
      <c r="T460" s="399" t="s">
        <v>125</v>
      </c>
      <c r="U460" s="401">
        <f t="shared" ref="U460:U462" si="1407">0.006165*F460^2</f>
        <v>1.5782400000000001</v>
      </c>
      <c r="V460" s="399"/>
      <c r="W460" s="399"/>
      <c r="X460" s="399" t="s">
        <v>125</v>
      </c>
      <c r="Y460" s="389">
        <f t="shared" ref="Y460" si="1408">D451</f>
        <v>1</v>
      </c>
      <c r="Z460" s="400" t="s">
        <v>176</v>
      </c>
      <c r="AA460" s="402">
        <f t="shared" ref="AA460" si="1409">IF(AA463=0,(D460*N460+P460*R460)*U460*Y460,0)</f>
        <v>0</v>
      </c>
      <c r="AB460" s="403"/>
    </row>
    <row r="461" spans="1:28">
      <c r="A461" s="384" t="str">
        <f t="shared" ref="A461:B461" si="1410">A445</f>
        <v>Lantai 1</v>
      </c>
      <c r="B461" s="385">
        <f t="shared" si="1410"/>
        <v>14</v>
      </c>
      <c r="C461" s="393" t="s">
        <v>210</v>
      </c>
      <c r="D461" s="398">
        <f>VLOOKUP(D445,'Detail Balok'!$C$10:$AU$140,25,FALSE)</f>
        <v>4</v>
      </c>
      <c r="E461" s="388" t="s">
        <v>16</v>
      </c>
      <c r="F461" s="388">
        <f>VLOOKUP(D445,'Detail Balok'!$C$10:$AU$140,27,FALSE)</f>
        <v>16</v>
      </c>
      <c r="G461" s="388"/>
      <c r="H461" s="395"/>
      <c r="I461" s="388" t="s">
        <v>203</v>
      </c>
      <c r="J461" s="399">
        <f t="shared" si="1210"/>
        <v>3</v>
      </c>
      <c r="K461" s="400" t="s">
        <v>204</v>
      </c>
      <c r="L461" s="399"/>
      <c r="M461" s="399" t="s">
        <v>176</v>
      </c>
      <c r="N461" s="399">
        <f t="shared" si="1404"/>
        <v>3</v>
      </c>
      <c r="O461" s="399" t="s">
        <v>204</v>
      </c>
      <c r="P461" s="389">
        <f t="shared" ref="P461" si="1411">MAX(D461-D460,D461-D462)</f>
        <v>0</v>
      </c>
      <c r="Q461" s="399" t="s">
        <v>125</v>
      </c>
      <c r="R461" s="399">
        <f t="shared" ref="R461" si="1412">IF(P461&gt;0,2*(1-2*$F$19-1/2)*D448/1000,0)</f>
        <v>0</v>
      </c>
      <c r="S461" s="399" t="s">
        <v>205</v>
      </c>
      <c r="T461" s="399" t="s">
        <v>125</v>
      </c>
      <c r="U461" s="401">
        <f t="shared" si="1407"/>
        <v>1.5782400000000001</v>
      </c>
      <c r="V461" s="399"/>
      <c r="W461" s="399"/>
      <c r="X461" s="399" t="s">
        <v>125</v>
      </c>
      <c r="Y461" s="389">
        <f t="shared" ref="Y461" si="1413">D451</f>
        <v>1</v>
      </c>
      <c r="Z461" s="400" t="s">
        <v>176</v>
      </c>
      <c r="AA461" s="402">
        <f t="shared" ref="AA461" si="1414">IF(AA463=0,(D461*N461+P461*R461)*U461*Y461,0)</f>
        <v>0</v>
      </c>
      <c r="AB461" s="403"/>
    </row>
    <row r="462" spans="1:28">
      <c r="A462" s="384" t="str">
        <f t="shared" ref="A462:B462" si="1415">A445</f>
        <v>Lantai 1</v>
      </c>
      <c r="B462" s="385">
        <f t="shared" si="1415"/>
        <v>14</v>
      </c>
      <c r="C462" s="393" t="s">
        <v>209</v>
      </c>
      <c r="D462" s="398">
        <f>VLOOKUP(D445,'Detail Balok'!$C$10:$AU$140,28,FALSE)</f>
        <v>4</v>
      </c>
      <c r="E462" s="388" t="s">
        <v>16</v>
      </c>
      <c r="F462" s="388">
        <f>VLOOKUP(D445,'Detail Balok'!$C$10:$AU$140,30,FALSE)</f>
        <v>16</v>
      </c>
      <c r="G462" s="388"/>
      <c r="H462" s="395"/>
      <c r="I462" s="388" t="s">
        <v>203</v>
      </c>
      <c r="J462" s="399">
        <f t="shared" si="1210"/>
        <v>1.5</v>
      </c>
      <c r="K462" s="400" t="s">
        <v>204</v>
      </c>
      <c r="L462" s="399">
        <f t="shared" ref="L462" si="1416">MAX(VLOOKUP(F462,N$6:P$15,3,FALSE)/1000,2/3*D450/1000)+F$16*F462/1000</f>
        <v>0.192</v>
      </c>
      <c r="M462" s="399" t="s">
        <v>176</v>
      </c>
      <c r="N462" s="399">
        <f t="shared" si="1404"/>
        <v>1.6919999999999999</v>
      </c>
      <c r="O462" s="399" t="s">
        <v>204</v>
      </c>
      <c r="P462" s="389">
        <f t="shared" ref="P462" si="1417">D462-D461</f>
        <v>0</v>
      </c>
      <c r="Q462" s="399" t="s">
        <v>125</v>
      </c>
      <c r="R462" s="399">
        <f t="shared" ref="R462" si="1418">IF(P462&gt;0,$F$18*F462/1000,0)</f>
        <v>0</v>
      </c>
      <c r="S462" s="399" t="s">
        <v>205</v>
      </c>
      <c r="T462" s="399" t="s">
        <v>125</v>
      </c>
      <c r="U462" s="401">
        <f t="shared" si="1407"/>
        <v>1.5782400000000001</v>
      </c>
      <c r="V462" s="399"/>
      <c r="W462" s="399"/>
      <c r="X462" s="399" t="s">
        <v>125</v>
      </c>
      <c r="Y462" s="389">
        <f t="shared" ref="Y462" si="1419">D451</f>
        <v>1</v>
      </c>
      <c r="Z462" s="400" t="s">
        <v>176</v>
      </c>
      <c r="AA462" s="402">
        <f t="shared" ref="AA462" si="1420">IF(AA463=0,(D462*N462+P462*R462)*U462*Y462,0)</f>
        <v>0</v>
      </c>
      <c r="AB462" s="403"/>
    </row>
    <row r="463" spans="1:28">
      <c r="A463" s="384" t="str">
        <f t="shared" ref="A463:B463" si="1421">A445</f>
        <v>Lantai 1</v>
      </c>
      <c r="B463" s="385">
        <f t="shared" si="1421"/>
        <v>14</v>
      </c>
      <c r="C463" s="393"/>
      <c r="D463" s="398">
        <f t="shared" si="1230"/>
        <v>4</v>
      </c>
      <c r="E463" s="388" t="s">
        <v>16</v>
      </c>
      <c r="F463" s="388">
        <f t="shared" si="1231"/>
        <v>16</v>
      </c>
      <c r="G463" s="388"/>
      <c r="H463" s="395"/>
      <c r="I463" s="388"/>
      <c r="J463" s="396"/>
      <c r="K463" s="396"/>
      <c r="L463" s="404" t="s">
        <v>207</v>
      </c>
      <c r="M463" s="399" t="s">
        <v>176</v>
      </c>
      <c r="N463" s="399">
        <f t="shared" ref="N463" si="1422">IF(AND(D460=D461,D460=D462,D461=D462,F460=F461,F460=F462,F461=F462),SUM(N460:N462),0)</f>
        <v>6.3840000000000003</v>
      </c>
      <c r="O463" s="399" t="s">
        <v>204</v>
      </c>
      <c r="P463" s="389">
        <f t="shared" ref="P463" si="1423">IF(N463&gt;12,ROUNDDOWN(N463/12,0),0)</f>
        <v>0</v>
      </c>
      <c r="Q463" s="399" t="s">
        <v>125</v>
      </c>
      <c r="R463" s="399">
        <f t="shared" ref="R463" si="1424">IF(P463&gt;0,MAX(VLOOKUP(F463,$D$6:$G$15,3,FALSE),600),0)/1000</f>
        <v>0</v>
      </c>
      <c r="S463" s="396"/>
      <c r="T463" s="396" t="s">
        <v>125</v>
      </c>
      <c r="U463" s="401">
        <f t="shared" si="1235"/>
        <v>1.5782400000000001</v>
      </c>
      <c r="V463" s="396" t="s">
        <v>125</v>
      </c>
      <c r="W463" s="399">
        <f t="shared" ref="W463" si="1425">D463</f>
        <v>4</v>
      </c>
      <c r="X463" s="399" t="s">
        <v>125</v>
      </c>
      <c r="Y463" s="389">
        <f t="shared" si="1237"/>
        <v>1</v>
      </c>
      <c r="Z463" s="400" t="s">
        <v>176</v>
      </c>
      <c r="AA463" s="402">
        <f t="shared" ref="AA463" si="1426">(N463+P463*R463/1000)*U463*W463*Y463</f>
        <v>40.301936640000001</v>
      </c>
      <c r="AB463" s="403"/>
    </row>
    <row r="464" spans="1:28">
      <c r="A464" s="384"/>
      <c r="B464" s="385"/>
      <c r="C464" s="393"/>
      <c r="D464" s="394"/>
      <c r="E464" s="388"/>
      <c r="F464" s="388"/>
      <c r="G464" s="388"/>
      <c r="H464" s="395"/>
      <c r="I464" s="388"/>
      <c r="J464" s="399"/>
      <c r="K464" s="396"/>
      <c r="L464" s="396"/>
      <c r="M464" s="396"/>
      <c r="N464" s="396"/>
      <c r="O464" s="396"/>
      <c r="P464" s="389"/>
      <c r="Q464" s="396"/>
      <c r="R464" s="396"/>
      <c r="S464" s="396"/>
      <c r="T464" s="396"/>
      <c r="U464" s="401"/>
      <c r="V464" s="396"/>
      <c r="W464" s="388"/>
      <c r="X464" s="396"/>
      <c r="Y464" s="389"/>
      <c r="Z464" s="396"/>
      <c r="AA464" s="388"/>
      <c r="AB464" s="390"/>
    </row>
    <row r="465" spans="1:28">
      <c r="A465" s="384" t="str">
        <f t="shared" ref="A465:B465" si="1427">A445</f>
        <v>Lantai 1</v>
      </c>
      <c r="B465" s="385">
        <f t="shared" si="1427"/>
        <v>14</v>
      </c>
      <c r="C465" s="393" t="s">
        <v>211</v>
      </c>
      <c r="D465" s="398">
        <f>VLOOKUP(D445,'Detail Balok'!$C$10:$AU$140,31,FALSE)</f>
        <v>0</v>
      </c>
      <c r="E465" s="388" t="s">
        <v>16</v>
      </c>
      <c r="F465" s="388">
        <f>VLOOKUP(D445,'Detail Balok'!$C$10:$AU$140,33,FALSE)</f>
        <v>8</v>
      </c>
      <c r="G465" s="405" t="s">
        <v>157</v>
      </c>
      <c r="H465" s="395">
        <f>VLOOKUP(D445,'Detail Balok'!$C$10:$AU$140,35,FALSE)</f>
        <v>150</v>
      </c>
      <c r="I465" s="388"/>
      <c r="J465" s="400">
        <f t="shared" ref="J465" si="1428">(IF(D465=0,(2*(D446+G446))-(F$5*8),IF(D465=3,(2*(D446+G446))-(F$5*8)+(G446-2*F$5),IF(D465=4,(2*(D446+G446))-(F$5*8)+2*(G446-2*F$5)))))/1000</f>
        <v>1.48</v>
      </c>
      <c r="K465" s="400" t="s">
        <v>204</v>
      </c>
      <c r="L465" s="399">
        <f t="shared" ref="L465:L467" si="1429">IF(D465=0,2*MAX(6*F465,75),(D465-1)*2*MAX(6*F465,75))/1000</f>
        <v>0.15</v>
      </c>
      <c r="M465" s="399" t="s">
        <v>176</v>
      </c>
      <c r="N465" s="399">
        <f t="shared" ref="N465:N467" si="1430">J465+L465</f>
        <v>1.63</v>
      </c>
      <c r="O465" s="399"/>
      <c r="P465" s="389"/>
      <c r="Q465" s="399"/>
      <c r="R465" s="399"/>
      <c r="S465" s="399"/>
      <c r="T465" s="399" t="s">
        <v>125</v>
      </c>
      <c r="U465" s="401">
        <f t="shared" ref="U465:U467" si="1431">0.006165*F465^2</f>
        <v>0.39456000000000002</v>
      </c>
      <c r="V465" s="399" t="s">
        <v>125</v>
      </c>
      <c r="W465" s="399">
        <f t="shared" ref="W465" si="1432">IF(D448&gt;4*G446,ROUND(MAX(D448/4,2*G446)/H465,0)+1,ROUND(D448/H465,0)+1)</f>
        <v>11</v>
      </c>
      <c r="X465" s="399" t="s">
        <v>125</v>
      </c>
      <c r="Y465" s="389">
        <f t="shared" ref="Y465" si="1433">D451</f>
        <v>1</v>
      </c>
      <c r="Z465" s="400" t="s">
        <v>176</v>
      </c>
      <c r="AA465" s="402">
        <f t="shared" ref="AA465:AA467" si="1434">N465*U465*W465*Y465</f>
        <v>7.0744607999999998</v>
      </c>
      <c r="AB465" s="403"/>
    </row>
    <row r="466" spans="1:28">
      <c r="A466" s="384" t="str">
        <f t="shared" ref="A466:B466" si="1435">A445</f>
        <v>Lantai 1</v>
      </c>
      <c r="B466" s="385">
        <f t="shared" si="1435"/>
        <v>14</v>
      </c>
      <c r="C466" s="393" t="s">
        <v>212</v>
      </c>
      <c r="D466" s="398">
        <f>VLOOKUP(D445,'Detail Balok'!$C$10:$AU$140,36,FALSE)</f>
        <v>0</v>
      </c>
      <c r="E466" s="388" t="s">
        <v>16</v>
      </c>
      <c r="F466" s="388">
        <f>VLOOKUP(D445,'Detail Balok'!$C$10:$AU$140,38,FALSE)</f>
        <v>8</v>
      </c>
      <c r="G466" s="405" t="s">
        <v>157</v>
      </c>
      <c r="H466" s="395">
        <f>VLOOKUP(D445,'Detail Balok'!$C$10:$AU$140,40,FALSE)</f>
        <v>200</v>
      </c>
      <c r="I466" s="388"/>
      <c r="J466" s="400">
        <f t="shared" ref="J466" si="1436">(IF(D466=0,(2*(D446+G446))-(F$5*8),IF(D466=3,(2*(D446+G446))-(F$5*8)+(G446-2*F$5),IF(D466=4,(2*(D446+G446))-(F$5*8)+2*(G446-2*F$5)))))/1000</f>
        <v>1.48</v>
      </c>
      <c r="K466" s="400" t="s">
        <v>204</v>
      </c>
      <c r="L466" s="399">
        <f t="shared" si="1429"/>
        <v>0.15</v>
      </c>
      <c r="M466" s="399" t="s">
        <v>176</v>
      </c>
      <c r="N466" s="399">
        <f t="shared" si="1430"/>
        <v>1.63</v>
      </c>
      <c r="O466" s="399"/>
      <c r="P466" s="389"/>
      <c r="Q466" s="399"/>
      <c r="R466" s="399"/>
      <c r="S466" s="399"/>
      <c r="T466" s="399" t="s">
        <v>125</v>
      </c>
      <c r="U466" s="401">
        <f t="shared" si="1431"/>
        <v>0.39456000000000002</v>
      </c>
      <c r="V466" s="399" t="s">
        <v>125</v>
      </c>
      <c r="W466" s="399">
        <f t="shared" ref="W466" si="1437">IF(D448-MAX(D448/4,2*G446)*2&gt;0,ROUND((D448-MAX(D448/4,2*G446)*2)/H466,0),0)</f>
        <v>15</v>
      </c>
      <c r="X466" s="399" t="s">
        <v>125</v>
      </c>
      <c r="Y466" s="389">
        <f t="shared" ref="Y466" si="1438">D451</f>
        <v>1</v>
      </c>
      <c r="Z466" s="400" t="s">
        <v>176</v>
      </c>
      <c r="AA466" s="402">
        <f t="shared" si="1434"/>
        <v>9.6469919999999991</v>
      </c>
      <c r="AB466" s="403"/>
    </row>
    <row r="467" spans="1:28">
      <c r="A467" s="384" t="str">
        <f t="shared" ref="A467:B467" si="1439">A445</f>
        <v>Lantai 1</v>
      </c>
      <c r="B467" s="385">
        <f t="shared" si="1439"/>
        <v>14</v>
      </c>
      <c r="C467" s="393" t="s">
        <v>211</v>
      </c>
      <c r="D467" s="398">
        <f>VLOOKUP(D445,'Detail Balok'!$C$10:$AU$140,41,FALSE)</f>
        <v>0</v>
      </c>
      <c r="E467" s="388" t="s">
        <v>16</v>
      </c>
      <c r="F467" s="388">
        <f>VLOOKUP(D445,'Detail Balok'!$C$10:$AU$140,43,FALSE)</f>
        <v>8</v>
      </c>
      <c r="G467" s="405" t="s">
        <v>157</v>
      </c>
      <c r="H467" s="395">
        <f>VLOOKUP(D445,'Detail Balok'!$C$10:$AU$140,45,FALSE)</f>
        <v>150</v>
      </c>
      <c r="I467" s="388"/>
      <c r="J467" s="400">
        <f t="shared" ref="J467" si="1440">(IF(D467=0,(2*(D446+G446))-(F$5*8),IF(D467=3,(2*(D446+G446))-(F$5*8)+(G446-2*F$5),IF(D467=4,(2*(D446+G446))-(F$5*8)+2*(G446-2*F$5)))))/1000</f>
        <v>1.48</v>
      </c>
      <c r="K467" s="400" t="s">
        <v>204</v>
      </c>
      <c r="L467" s="399">
        <f t="shared" si="1429"/>
        <v>0.15</v>
      </c>
      <c r="M467" s="399" t="s">
        <v>176</v>
      </c>
      <c r="N467" s="399">
        <f t="shared" si="1430"/>
        <v>1.63</v>
      </c>
      <c r="O467" s="399"/>
      <c r="P467" s="389"/>
      <c r="Q467" s="399"/>
      <c r="R467" s="399"/>
      <c r="S467" s="399"/>
      <c r="T467" s="399" t="s">
        <v>125</v>
      </c>
      <c r="U467" s="401">
        <f t="shared" si="1431"/>
        <v>0.39456000000000002</v>
      </c>
      <c r="V467" s="399" t="s">
        <v>125</v>
      </c>
      <c r="W467" s="399">
        <f t="shared" ref="W467" si="1441">IF(D448&gt;4*G446,ROUND(MAX(D448/4,2*G446)/H467,0)+1,0)</f>
        <v>11</v>
      </c>
      <c r="X467" s="399" t="s">
        <v>125</v>
      </c>
      <c r="Y467" s="389">
        <f t="shared" ref="Y467" si="1442">D451</f>
        <v>1</v>
      </c>
      <c r="Z467" s="400" t="s">
        <v>176</v>
      </c>
      <c r="AA467" s="402">
        <f t="shared" si="1434"/>
        <v>7.0744607999999998</v>
      </c>
      <c r="AB467" s="403"/>
    </row>
    <row r="468" spans="1:28">
      <c r="A468" s="384"/>
      <c r="B468" s="385"/>
      <c r="C468" s="393"/>
      <c r="D468" s="394"/>
      <c r="E468" s="388"/>
      <c r="F468" s="388"/>
      <c r="G468" s="388"/>
      <c r="H468" s="395"/>
      <c r="I468" s="388"/>
      <c r="J468" s="399"/>
      <c r="K468" s="396"/>
      <c r="L468" s="396"/>
      <c r="M468" s="396"/>
      <c r="N468" s="396"/>
      <c r="O468" s="396"/>
      <c r="P468" s="389"/>
      <c r="Q468" s="396"/>
      <c r="R468" s="396"/>
      <c r="S468" s="396"/>
      <c r="T468" s="396"/>
      <c r="U468" s="401"/>
      <c r="V468" s="396"/>
      <c r="W468" s="388"/>
      <c r="X468" s="396"/>
      <c r="Y468" s="389"/>
      <c r="Z468" s="396"/>
      <c r="AA468" s="388"/>
      <c r="AB468" s="390"/>
    </row>
    <row r="469" spans="1:28">
      <c r="A469" s="384" t="str">
        <f t="shared" ref="A469:B469" si="1443">A445</f>
        <v>Lantai 1</v>
      </c>
      <c r="B469" s="385">
        <f t="shared" si="1443"/>
        <v>14</v>
      </c>
      <c r="C469" s="393" t="s">
        <v>213</v>
      </c>
      <c r="D469" s="398">
        <f>VLOOKUP(D445,'Detail Balok'!$C$10:$BJ$140,46,FALSE)</f>
        <v>0</v>
      </c>
      <c r="E469" s="388" t="s">
        <v>16</v>
      </c>
      <c r="F469" s="388">
        <f>VLOOKUP(D445,'Detail Balok'!$C$10:$BJ$140,48,FALSE)</f>
        <v>0</v>
      </c>
      <c r="G469" s="405" t="s">
        <v>157</v>
      </c>
      <c r="H469" s="395">
        <f>VLOOKUP(D445,'Detail Balok'!$C$10:$BJ$140,50,FALSE)</f>
        <v>100</v>
      </c>
      <c r="I469" s="388"/>
      <c r="J469" s="399">
        <f t="shared" ref="J469" si="1444">(D446-2*F$5)/1000</f>
        <v>0.22</v>
      </c>
      <c r="K469" s="400" t="s">
        <v>204</v>
      </c>
      <c r="L469" s="399">
        <f t="shared" ref="L469:L471" si="1445">IF(D469=0,2*MAX(6*F469,75),(D469-1)*2*MAX(6*F469,75))/1000</f>
        <v>0.15</v>
      </c>
      <c r="M469" s="399" t="s">
        <v>176</v>
      </c>
      <c r="N469" s="399">
        <f t="shared" ref="N469:N471" si="1446">J469+L469</f>
        <v>0.37</v>
      </c>
      <c r="O469" s="399"/>
      <c r="P469" s="399"/>
      <c r="Q469" s="399"/>
      <c r="R469" s="399"/>
      <c r="S469" s="399"/>
      <c r="T469" s="399" t="s">
        <v>125</v>
      </c>
      <c r="U469" s="401">
        <f t="shared" ref="U469:U471" si="1447">0.006165*F469^2</f>
        <v>0</v>
      </c>
      <c r="V469" s="399" t="s">
        <v>125</v>
      </c>
      <c r="W469" s="399">
        <f t="shared" si="1260"/>
        <v>11</v>
      </c>
      <c r="X469" s="399" t="s">
        <v>125</v>
      </c>
      <c r="Y469" s="389">
        <f t="shared" ref="Y469" si="1448">D455</f>
        <v>4</v>
      </c>
      <c r="Z469" s="400" t="s">
        <v>176</v>
      </c>
      <c r="AA469" s="402">
        <f t="shared" ref="AA469:AA471" si="1449">N469*U469*W469*Y469</f>
        <v>0</v>
      </c>
      <c r="AB469" s="403"/>
    </row>
    <row r="470" spans="1:28">
      <c r="A470" s="384" t="str">
        <f t="shared" ref="A470:B470" si="1450">A445</f>
        <v>Lantai 1</v>
      </c>
      <c r="B470" s="385">
        <f t="shared" si="1450"/>
        <v>14</v>
      </c>
      <c r="C470" s="393" t="s">
        <v>214</v>
      </c>
      <c r="D470" s="398">
        <f>VLOOKUP(D445,'Detail Balok'!$C$10:$BJ$140,51,FALSE)</f>
        <v>0</v>
      </c>
      <c r="E470" s="388" t="s">
        <v>16</v>
      </c>
      <c r="F470" s="388">
        <f>VLOOKUP(D445,'Detail Balok'!$C$10:$BJ$140,53,FALSE)</f>
        <v>0</v>
      </c>
      <c r="G470" s="405" t="s">
        <v>157</v>
      </c>
      <c r="H470" s="395">
        <f>VLOOKUP(D445,'Detail Balok'!$C$10:$BJ$140,55,FALSE)</f>
        <v>100</v>
      </c>
      <c r="I470" s="388"/>
      <c r="J470" s="399">
        <f t="shared" ref="J470" si="1451">(D446-2*F$5)/1000</f>
        <v>0.22</v>
      </c>
      <c r="K470" s="400" t="s">
        <v>204</v>
      </c>
      <c r="L470" s="399">
        <f t="shared" si="1445"/>
        <v>0.15</v>
      </c>
      <c r="M470" s="399" t="s">
        <v>176</v>
      </c>
      <c r="N470" s="399">
        <f t="shared" si="1446"/>
        <v>0.37</v>
      </c>
      <c r="O470" s="399"/>
      <c r="P470" s="399"/>
      <c r="Q470" s="399"/>
      <c r="R470" s="399"/>
      <c r="S470" s="399"/>
      <c r="T470" s="399" t="s">
        <v>125</v>
      </c>
      <c r="U470" s="401">
        <f t="shared" si="1447"/>
        <v>0</v>
      </c>
      <c r="V470" s="399" t="s">
        <v>125</v>
      </c>
      <c r="W470" s="399">
        <f t="shared" si="1260"/>
        <v>15</v>
      </c>
      <c r="X470" s="399" t="s">
        <v>125</v>
      </c>
      <c r="Y470" s="389">
        <f t="shared" ref="Y470" si="1452">D455</f>
        <v>4</v>
      </c>
      <c r="Z470" s="400" t="s">
        <v>176</v>
      </c>
      <c r="AA470" s="402">
        <f t="shared" si="1449"/>
        <v>0</v>
      </c>
      <c r="AB470" s="403"/>
    </row>
    <row r="471" spans="1:28">
      <c r="A471" s="384" t="str">
        <f t="shared" ref="A471:B471" si="1453">A445</f>
        <v>Lantai 1</v>
      </c>
      <c r="B471" s="385">
        <f t="shared" si="1453"/>
        <v>14</v>
      </c>
      <c r="C471" s="393" t="s">
        <v>213</v>
      </c>
      <c r="D471" s="398">
        <f>VLOOKUP(D445,'Detail Balok'!$C$10:$BJ$140,56,FALSE)</f>
        <v>0</v>
      </c>
      <c r="E471" s="388" t="s">
        <v>16</v>
      </c>
      <c r="F471" s="388">
        <f>VLOOKUP(D445,'Detail Balok'!$C$10:$BJ$140,58,FALSE)</f>
        <v>0</v>
      </c>
      <c r="G471" s="405" t="s">
        <v>157</v>
      </c>
      <c r="H471" s="395">
        <f>VLOOKUP(D445,'Detail Balok'!$C$10:$BJ$140,60,FALSE)</f>
        <v>100</v>
      </c>
      <c r="I471" s="388"/>
      <c r="J471" s="399">
        <f t="shared" ref="J471" si="1454">(D446-2*F$5)/1000</f>
        <v>0.22</v>
      </c>
      <c r="K471" s="400" t="s">
        <v>204</v>
      </c>
      <c r="L471" s="399">
        <f t="shared" si="1445"/>
        <v>0.15</v>
      </c>
      <c r="M471" s="399" t="s">
        <v>176</v>
      </c>
      <c r="N471" s="399">
        <f t="shared" si="1446"/>
        <v>0.37</v>
      </c>
      <c r="O471" s="399"/>
      <c r="P471" s="399"/>
      <c r="Q471" s="399"/>
      <c r="R471" s="399"/>
      <c r="S471" s="399"/>
      <c r="T471" s="399" t="s">
        <v>125</v>
      </c>
      <c r="U471" s="401">
        <f t="shared" si="1447"/>
        <v>0</v>
      </c>
      <c r="V471" s="399" t="s">
        <v>125</v>
      </c>
      <c r="W471" s="399">
        <f t="shared" si="1260"/>
        <v>11</v>
      </c>
      <c r="X471" s="399" t="s">
        <v>125</v>
      </c>
      <c r="Y471" s="389">
        <f t="shared" ref="Y471" si="1455">D455</f>
        <v>4</v>
      </c>
      <c r="Z471" s="400" t="s">
        <v>176</v>
      </c>
      <c r="AA471" s="402">
        <f t="shared" si="1449"/>
        <v>0</v>
      </c>
      <c r="AB471" s="403"/>
    </row>
    <row r="472" spans="1:28">
      <c r="A472" s="391"/>
      <c r="B472" s="392"/>
      <c r="C472" s="392"/>
      <c r="D472" s="394"/>
      <c r="E472" s="388"/>
      <c r="F472" s="388"/>
      <c r="G472" s="388"/>
      <c r="H472" s="395"/>
      <c r="I472" s="388"/>
      <c r="J472" s="402"/>
      <c r="K472" s="388"/>
      <c r="L472" s="388"/>
      <c r="M472" s="388"/>
      <c r="N472" s="388"/>
      <c r="O472" s="388"/>
      <c r="P472" s="388"/>
      <c r="Q472" s="388"/>
      <c r="R472" s="388"/>
      <c r="S472" s="388"/>
      <c r="T472" s="388"/>
      <c r="U472" s="388"/>
      <c r="V472" s="388"/>
      <c r="W472" s="388"/>
      <c r="X472" s="388"/>
      <c r="Y472" s="389"/>
      <c r="Z472" s="388"/>
      <c r="AA472" s="402"/>
      <c r="AB472" s="403"/>
    </row>
    <row r="473" spans="1:28" ht="15.75" thickBot="1">
      <c r="A473" s="406"/>
      <c r="B473" s="407"/>
      <c r="C473" s="407"/>
      <c r="D473" s="408"/>
      <c r="E473" s="409"/>
      <c r="F473" s="409"/>
      <c r="G473" s="409"/>
      <c r="H473" s="410"/>
      <c r="I473" s="409"/>
      <c r="J473" s="409"/>
      <c r="K473" s="409"/>
      <c r="L473" s="409"/>
      <c r="M473" s="409"/>
      <c r="N473" s="409"/>
      <c r="O473" s="409"/>
      <c r="P473" s="409"/>
      <c r="Q473" s="409"/>
      <c r="R473" s="409"/>
      <c r="S473" s="409"/>
      <c r="T473" s="409"/>
      <c r="U473" s="409"/>
      <c r="V473" s="409"/>
      <c r="W473" s="409"/>
      <c r="X473" s="409"/>
      <c r="Y473" s="411"/>
      <c r="Z473" s="409"/>
      <c r="AA473" s="412"/>
      <c r="AB473" s="413"/>
    </row>
    <row r="474" spans="1:28">
      <c r="A474" s="377"/>
      <c r="B474" s="378"/>
      <c r="C474" s="378"/>
      <c r="D474" s="379"/>
      <c r="E474" s="380"/>
      <c r="F474" s="380"/>
      <c r="G474" s="380"/>
      <c r="H474" s="381"/>
      <c r="I474" s="380"/>
      <c r="J474" s="380"/>
      <c r="K474" s="380"/>
      <c r="L474" s="380"/>
      <c r="M474" s="380"/>
      <c r="N474" s="380"/>
      <c r="O474" s="380"/>
      <c r="P474" s="380"/>
      <c r="Q474" s="380"/>
      <c r="R474" s="380"/>
      <c r="S474" s="380"/>
      <c r="T474" s="380"/>
      <c r="U474" s="380"/>
      <c r="V474" s="380"/>
      <c r="W474" s="380"/>
      <c r="X474" s="380"/>
      <c r="Y474" s="382"/>
      <c r="Z474" s="380"/>
      <c r="AA474" s="380"/>
      <c r="AB474" s="383"/>
    </row>
    <row r="475" spans="1:28">
      <c r="A475" s="384" t="str">
        <f t="shared" ref="A475:A505" si="1456">A445</f>
        <v>Lantai 1</v>
      </c>
      <c r="B475" s="385">
        <f t="shared" ref="B475:B505" si="1457">B445+1</f>
        <v>15</v>
      </c>
      <c r="C475" s="386" t="str">
        <f t="shared" ref="C475" si="1458">CONCATENATE(A475," no. ",B475)</f>
        <v>Lantai 1 no. 15</v>
      </c>
      <c r="D475" s="2562" t="str">
        <f>VLOOKUP(C475,'Data Panjang Balok'!$C$9:$N$254,2,FALSE)</f>
        <v>S24-1</v>
      </c>
      <c r="E475" s="2576"/>
      <c r="F475" s="2576"/>
      <c r="G475" s="2576"/>
      <c r="H475" s="2577"/>
      <c r="I475" s="387"/>
      <c r="J475" s="388"/>
      <c r="K475" s="388"/>
      <c r="L475" s="388"/>
      <c r="M475" s="388"/>
      <c r="N475" s="388"/>
      <c r="O475" s="388"/>
      <c r="P475" s="388"/>
      <c r="Q475" s="388"/>
      <c r="R475" s="388"/>
      <c r="S475" s="388"/>
      <c r="T475" s="388"/>
      <c r="U475" s="388"/>
      <c r="V475" s="388"/>
      <c r="W475" s="388"/>
      <c r="X475" s="388"/>
      <c r="Y475" s="389"/>
      <c r="Z475" s="388"/>
      <c r="AA475" s="388"/>
      <c r="AB475" s="390"/>
    </row>
    <row r="476" spans="1:28">
      <c r="A476" s="391"/>
      <c r="B476" s="392"/>
      <c r="C476" s="393" t="s">
        <v>118</v>
      </c>
      <c r="D476" s="2578">
        <f>VLOOKUP(D475,'Detail Balok'!$C$10:$AU$140,2,FALSE)</f>
        <v>200</v>
      </c>
      <c r="E476" s="2579"/>
      <c r="F476" s="388" t="s">
        <v>125</v>
      </c>
      <c r="G476" s="2579">
        <f>VLOOKUP(D475,'Detail Balok'!$C$10:$AU$140,3,FALSE)</f>
        <v>400</v>
      </c>
      <c r="H476" s="2580"/>
      <c r="I476" s="388"/>
      <c r="J476" s="396"/>
      <c r="K476" s="396"/>
      <c r="L476" s="396"/>
      <c r="M476" s="396"/>
      <c r="N476" s="396"/>
      <c r="O476" s="396"/>
      <c r="P476" s="396"/>
      <c r="Q476" s="396"/>
      <c r="R476" s="396"/>
      <c r="S476" s="396"/>
      <c r="T476" s="396"/>
      <c r="U476" s="388"/>
      <c r="V476" s="396"/>
      <c r="W476" s="388"/>
      <c r="X476" s="396"/>
      <c r="Y476" s="389"/>
      <c r="Z476" s="396"/>
      <c r="AA476" s="388"/>
      <c r="AB476" s="390"/>
    </row>
    <row r="477" spans="1:28">
      <c r="A477" s="391"/>
      <c r="B477" s="392"/>
      <c r="C477" s="393" t="s">
        <v>198</v>
      </c>
      <c r="D477" s="2562">
        <f>VLOOKUP(C475,'Data Panjang Balok'!$C$9:$N$254,4,FALSE)</f>
        <v>2575</v>
      </c>
      <c r="E477" s="2563"/>
      <c r="F477" s="2563"/>
      <c r="G477" s="2563"/>
      <c r="H477" s="2564"/>
      <c r="I477" s="397"/>
      <c r="J477" s="396"/>
      <c r="K477" s="396"/>
      <c r="L477" s="396"/>
      <c r="M477" s="396"/>
      <c r="N477" s="396"/>
      <c r="O477" s="396"/>
      <c r="P477" s="396"/>
      <c r="Q477" s="396"/>
      <c r="R477" s="396"/>
      <c r="S477" s="396"/>
      <c r="T477" s="396"/>
      <c r="U477" s="388"/>
      <c r="V477" s="396"/>
      <c r="W477" s="388"/>
      <c r="X477" s="396"/>
      <c r="Y477" s="389"/>
      <c r="Z477" s="396"/>
      <c r="AA477" s="388"/>
      <c r="AB477" s="390"/>
    </row>
    <row r="478" spans="1:28">
      <c r="A478" s="391"/>
      <c r="B478" s="392"/>
      <c r="C478" s="393" t="s">
        <v>199</v>
      </c>
      <c r="D478" s="2562">
        <f>VLOOKUP(C475,'Data Panjang Balok'!$C$9:$N$254,7,FALSE)</f>
        <v>2575</v>
      </c>
      <c r="E478" s="2563"/>
      <c r="F478" s="2563"/>
      <c r="G478" s="2563"/>
      <c r="H478" s="2564"/>
      <c r="I478" s="397"/>
      <c r="J478" s="396"/>
      <c r="K478" s="396"/>
      <c r="L478" s="396"/>
      <c r="M478" s="396"/>
      <c r="N478" s="396"/>
      <c r="O478" s="396"/>
      <c r="P478" s="396"/>
      <c r="Q478" s="396"/>
      <c r="R478" s="396"/>
      <c r="S478" s="396"/>
      <c r="T478" s="396"/>
      <c r="U478" s="388"/>
      <c r="V478" s="396"/>
      <c r="W478" s="388"/>
      <c r="X478" s="396"/>
      <c r="Y478" s="389"/>
      <c r="Z478" s="396"/>
      <c r="AA478" s="388"/>
      <c r="AB478" s="390"/>
    </row>
    <row r="479" spans="1:28">
      <c r="A479" s="391"/>
      <c r="B479" s="392"/>
      <c r="C479" s="393" t="s">
        <v>200</v>
      </c>
      <c r="D479" s="2562">
        <f>VLOOKUP(C475,'Data Panjang Balok'!$C$9:$N$254,9,FALSE)</f>
        <v>0</v>
      </c>
      <c r="E479" s="2563"/>
      <c r="F479" s="2563"/>
      <c r="G479" s="2563"/>
      <c r="H479" s="2564"/>
      <c r="I479" s="397"/>
      <c r="J479" s="396"/>
      <c r="K479" s="396"/>
      <c r="L479" s="396"/>
      <c r="M479" s="396"/>
      <c r="N479" s="396"/>
      <c r="O479" s="396"/>
      <c r="P479" s="396"/>
      <c r="Q479" s="396"/>
      <c r="R479" s="396"/>
      <c r="S479" s="396"/>
      <c r="T479" s="396"/>
      <c r="U479" s="388"/>
      <c r="V479" s="396"/>
      <c r="W479" s="388"/>
      <c r="X479" s="396"/>
      <c r="Y479" s="389"/>
      <c r="Z479" s="396"/>
      <c r="AA479" s="388"/>
      <c r="AB479" s="390"/>
    </row>
    <row r="480" spans="1:28">
      <c r="A480" s="391"/>
      <c r="B480" s="392"/>
      <c r="C480" s="393" t="s">
        <v>201</v>
      </c>
      <c r="D480" s="2562">
        <f>VLOOKUP(C475,'Data Panjang Balok'!$C$9:$N$254,10,FALSE)</f>
        <v>0</v>
      </c>
      <c r="E480" s="2563"/>
      <c r="F480" s="2563"/>
      <c r="G480" s="2563"/>
      <c r="H480" s="2564"/>
      <c r="I480" s="397"/>
      <c r="J480" s="396"/>
      <c r="K480" s="396"/>
      <c r="L480" s="396"/>
      <c r="M480" s="396"/>
      <c r="N480" s="396"/>
      <c r="O480" s="396"/>
      <c r="P480" s="396"/>
      <c r="Q480" s="396"/>
      <c r="R480" s="396"/>
      <c r="S480" s="396"/>
      <c r="T480" s="396"/>
      <c r="U480" s="388"/>
      <c r="V480" s="396"/>
      <c r="W480" s="388"/>
      <c r="X480" s="396"/>
      <c r="Y480" s="389"/>
      <c r="Z480" s="396"/>
      <c r="AA480" s="388"/>
      <c r="AB480" s="390"/>
    </row>
    <row r="481" spans="1:28">
      <c r="A481" s="391"/>
      <c r="B481" s="392"/>
      <c r="C481" s="393" t="s">
        <v>48</v>
      </c>
      <c r="D481" s="2562">
        <f>VLOOKUP(C475,'Data Panjang Balok'!$C$9:$N$254,3,FALSE)</f>
        <v>1</v>
      </c>
      <c r="E481" s="2563"/>
      <c r="F481" s="2563"/>
      <c r="G481" s="2563"/>
      <c r="H481" s="2564"/>
      <c r="I481" s="397"/>
      <c r="J481" s="396"/>
      <c r="K481" s="396"/>
      <c r="L481" s="396"/>
      <c r="M481" s="396"/>
      <c r="N481" s="396"/>
      <c r="O481" s="396"/>
      <c r="P481" s="396"/>
      <c r="Q481" s="396"/>
      <c r="R481" s="396"/>
      <c r="S481" s="396"/>
      <c r="T481" s="396"/>
      <c r="U481" s="388"/>
      <c r="V481" s="396"/>
      <c r="W481" s="388"/>
      <c r="X481" s="396"/>
      <c r="Y481" s="389"/>
      <c r="Z481" s="396"/>
      <c r="AA481" s="388"/>
      <c r="AB481" s="390"/>
    </row>
    <row r="482" spans="1:28">
      <c r="A482" s="384" t="str">
        <f t="shared" ref="A482:B482" si="1459">A475</f>
        <v>Lantai 1</v>
      </c>
      <c r="B482" s="385">
        <f t="shared" si="1459"/>
        <v>15</v>
      </c>
      <c r="C482" s="393" t="s">
        <v>202</v>
      </c>
      <c r="D482" s="398">
        <f>VLOOKUP(D475,'Detail Balok'!$C$10:$AU$140,4,FALSE)</f>
        <v>3</v>
      </c>
      <c r="E482" s="388" t="s">
        <v>16</v>
      </c>
      <c r="F482" s="388">
        <f>VLOOKUP(D475,'Detail Balok'!$C$10:$AU$140,6,FALSE)</f>
        <v>13</v>
      </c>
      <c r="G482" s="388"/>
      <c r="H482" s="395"/>
      <c r="I482" s="388" t="s">
        <v>203</v>
      </c>
      <c r="J482" s="399">
        <f t="shared" ref="J482" si="1460">+D477/4/1000</f>
        <v>0.64375000000000004</v>
      </c>
      <c r="K482" s="400" t="s">
        <v>204</v>
      </c>
      <c r="L482" s="399">
        <f t="shared" ref="L482" si="1461">MAX(VLOOKUP(F482,N$6:P$15,3,FALSE)/1000,2/3*D479/1000)+F$16*F482/1000</f>
        <v>0.156</v>
      </c>
      <c r="M482" s="399" t="s">
        <v>176</v>
      </c>
      <c r="N482" s="399">
        <f t="shared" ref="N482:N484" si="1462">J482+L482</f>
        <v>0.79975000000000007</v>
      </c>
      <c r="O482" s="399" t="s">
        <v>204</v>
      </c>
      <c r="P482" s="389">
        <f t="shared" ref="P482" si="1463">D482-D483</f>
        <v>0</v>
      </c>
      <c r="Q482" s="399" t="s">
        <v>125</v>
      </c>
      <c r="R482" s="399">
        <f t="shared" ref="R482" si="1464">IF(P482&gt;0,$F$18*F482/1000,0)</f>
        <v>0</v>
      </c>
      <c r="S482" s="399" t="s">
        <v>205</v>
      </c>
      <c r="T482" s="399" t="s">
        <v>125</v>
      </c>
      <c r="U482" s="401">
        <f t="shared" ref="U482:U484" si="1465">0.006165*F482^2</f>
        <v>1.041885</v>
      </c>
      <c r="V482" s="399"/>
      <c r="W482" s="399"/>
      <c r="X482" s="399" t="s">
        <v>125</v>
      </c>
      <c r="Y482" s="389">
        <f t="shared" ref="Y482" si="1466">D481</f>
        <v>1</v>
      </c>
      <c r="Z482" s="400" t="s">
        <v>176</v>
      </c>
      <c r="AA482" s="402">
        <f t="shared" ref="AA482" si="1467">IF(AA485=0,(D482*N482+P482*R482)*U482*Y482,0)</f>
        <v>0</v>
      </c>
      <c r="AB482" s="403"/>
    </row>
    <row r="483" spans="1:28">
      <c r="A483" s="384" t="str">
        <f t="shared" ref="A483:B483" si="1468">A475</f>
        <v>Lantai 1</v>
      </c>
      <c r="B483" s="385">
        <f t="shared" si="1468"/>
        <v>15</v>
      </c>
      <c r="C483" s="393" t="s">
        <v>206</v>
      </c>
      <c r="D483" s="398">
        <f>VLOOKUP(D475,'Detail Balok'!$C$10:$AU$140,7,FALSE)</f>
        <v>3</v>
      </c>
      <c r="E483" s="388" t="s">
        <v>16</v>
      </c>
      <c r="F483" s="388">
        <f>VLOOKUP(D475,'Detail Balok'!$C$10:$AU$140,9,FALSE)</f>
        <v>13</v>
      </c>
      <c r="G483" s="388"/>
      <c r="H483" s="395"/>
      <c r="I483" s="388" t="s">
        <v>203</v>
      </c>
      <c r="J483" s="399">
        <f t="shared" ref="J483" si="1469">+D477/2/1000</f>
        <v>1.2875000000000001</v>
      </c>
      <c r="K483" s="400" t="s">
        <v>204</v>
      </c>
      <c r="L483" s="399"/>
      <c r="M483" s="399" t="s">
        <v>176</v>
      </c>
      <c r="N483" s="399">
        <f t="shared" si="1462"/>
        <v>1.2875000000000001</v>
      </c>
      <c r="O483" s="399" t="s">
        <v>204</v>
      </c>
      <c r="P483" s="389">
        <f t="shared" ref="P483" si="1470">MAX(D483-D482,D483-D484)</f>
        <v>0</v>
      </c>
      <c r="Q483" s="399" t="s">
        <v>125</v>
      </c>
      <c r="R483" s="399">
        <f t="shared" ref="R483" si="1471">IF(P483&gt;0,2*(1-2*$F$19-1/2)*D478/1000,0)</f>
        <v>0</v>
      </c>
      <c r="S483" s="399" t="s">
        <v>205</v>
      </c>
      <c r="T483" s="399" t="s">
        <v>125</v>
      </c>
      <c r="U483" s="401">
        <f t="shared" si="1465"/>
        <v>1.041885</v>
      </c>
      <c r="V483" s="399"/>
      <c r="W483" s="399"/>
      <c r="X483" s="399" t="s">
        <v>125</v>
      </c>
      <c r="Y483" s="389">
        <f t="shared" ref="Y483" si="1472">D481</f>
        <v>1</v>
      </c>
      <c r="Z483" s="400" t="s">
        <v>176</v>
      </c>
      <c r="AA483" s="402">
        <f t="shared" ref="AA483" si="1473">IF(AA485=0,(D483*N483+P483*R483)*U483*Y483,0)</f>
        <v>0</v>
      </c>
      <c r="AB483" s="403"/>
    </row>
    <row r="484" spans="1:28">
      <c r="A484" s="384" t="str">
        <f t="shared" ref="A484:B484" si="1474">A475</f>
        <v>Lantai 1</v>
      </c>
      <c r="B484" s="385">
        <f t="shared" si="1474"/>
        <v>15</v>
      </c>
      <c r="C484" s="393" t="s">
        <v>202</v>
      </c>
      <c r="D484" s="398">
        <f>VLOOKUP(D475,'Detail Balok'!$C$10:$AU$140,10,FALSE)</f>
        <v>3</v>
      </c>
      <c r="E484" s="388" t="s">
        <v>16</v>
      </c>
      <c r="F484" s="388">
        <f>VLOOKUP(D475,'Detail Balok'!$C$10:$AU$140,12,FALSE)</f>
        <v>13</v>
      </c>
      <c r="G484" s="388"/>
      <c r="H484" s="395"/>
      <c r="I484" s="388" t="s">
        <v>203</v>
      </c>
      <c r="J484" s="399">
        <f t="shared" ref="J484" si="1475">+D477/4/1000</f>
        <v>0.64375000000000004</v>
      </c>
      <c r="K484" s="400" t="s">
        <v>204</v>
      </c>
      <c r="L484" s="399">
        <f t="shared" ref="L484" si="1476">MAX(VLOOKUP(F484,N$6:P$15,3,FALSE)/1000,2/3*D479/1000)+F$16*F484/1000</f>
        <v>0.156</v>
      </c>
      <c r="M484" s="399" t="s">
        <v>176</v>
      </c>
      <c r="N484" s="399">
        <f t="shared" si="1462"/>
        <v>0.79975000000000007</v>
      </c>
      <c r="O484" s="399" t="s">
        <v>204</v>
      </c>
      <c r="P484" s="389">
        <f t="shared" ref="P484" si="1477">D484-D483</f>
        <v>0</v>
      </c>
      <c r="Q484" s="399" t="s">
        <v>125</v>
      </c>
      <c r="R484" s="399">
        <f t="shared" ref="R484" si="1478">IF(P484&gt;0,$F$18*F484/1000,0)</f>
        <v>0</v>
      </c>
      <c r="S484" s="399" t="s">
        <v>205</v>
      </c>
      <c r="T484" s="399" t="s">
        <v>125</v>
      </c>
      <c r="U484" s="401">
        <f t="shared" si="1465"/>
        <v>1.041885</v>
      </c>
      <c r="V484" s="399"/>
      <c r="W484" s="399"/>
      <c r="X484" s="399" t="s">
        <v>125</v>
      </c>
      <c r="Y484" s="389">
        <f t="shared" ref="Y484" si="1479">D481</f>
        <v>1</v>
      </c>
      <c r="Z484" s="400" t="s">
        <v>176</v>
      </c>
      <c r="AA484" s="402">
        <f t="shared" ref="AA484" si="1480">IF(AA485=0,(D484*N484+P484*R484)*U484*Y484,0)</f>
        <v>0</v>
      </c>
      <c r="AB484" s="403"/>
    </row>
    <row r="485" spans="1:28">
      <c r="A485" s="384" t="str">
        <f t="shared" ref="A485:B485" si="1481">A475</f>
        <v>Lantai 1</v>
      </c>
      <c r="B485" s="385">
        <f t="shared" si="1481"/>
        <v>15</v>
      </c>
      <c r="C485" s="393"/>
      <c r="D485" s="398">
        <f t="shared" si="1190"/>
        <v>3</v>
      </c>
      <c r="E485" s="388" t="s">
        <v>16</v>
      </c>
      <c r="F485" s="388">
        <f t="shared" si="1191"/>
        <v>13</v>
      </c>
      <c r="G485" s="388"/>
      <c r="H485" s="395"/>
      <c r="I485" s="388"/>
      <c r="J485" s="396"/>
      <c r="K485" s="396"/>
      <c r="L485" s="404" t="s">
        <v>207</v>
      </c>
      <c r="M485" s="399" t="s">
        <v>176</v>
      </c>
      <c r="N485" s="399">
        <f t="shared" ref="N485" si="1482">IF(AND(D482=D483,D482=D484,D483=D484,F482=F483,F482=F484,F483=F484),SUM(N482:N484),0)</f>
        <v>2.887</v>
      </c>
      <c r="O485" s="399" t="s">
        <v>204</v>
      </c>
      <c r="P485" s="389">
        <f t="shared" ref="P485" si="1483">IF(N485&gt;12,ROUNDDOWN(N485/12,0),0)</f>
        <v>0</v>
      </c>
      <c r="Q485" s="399" t="s">
        <v>125</v>
      </c>
      <c r="R485" s="399">
        <f t="shared" ref="R485" si="1484">IF(P485&gt;0,MAX(VLOOKUP(F485,$D$6:$G$15,3,FALSE),600),0)/1000</f>
        <v>0</v>
      </c>
      <c r="S485" s="396"/>
      <c r="T485" s="396" t="s">
        <v>125</v>
      </c>
      <c r="U485" s="401">
        <f t="shared" si="1195"/>
        <v>1.041885</v>
      </c>
      <c r="V485" s="396" t="s">
        <v>125</v>
      </c>
      <c r="W485" s="399">
        <f t="shared" ref="W485" si="1485">D485</f>
        <v>3</v>
      </c>
      <c r="X485" s="399" t="s">
        <v>125</v>
      </c>
      <c r="Y485" s="389">
        <f t="shared" si="1197"/>
        <v>1</v>
      </c>
      <c r="Z485" s="400" t="s">
        <v>176</v>
      </c>
      <c r="AA485" s="402">
        <f t="shared" ref="AA485" si="1486">(N485+P485*R485/1000)*U485*W485*Y485</f>
        <v>9.0237659849999989</v>
      </c>
      <c r="AB485" s="390"/>
    </row>
    <row r="486" spans="1:28">
      <c r="A486" s="384"/>
      <c r="B486" s="385"/>
      <c r="C486" s="393"/>
      <c r="D486" s="398"/>
      <c r="E486" s="388"/>
      <c r="F486" s="388"/>
      <c r="G486" s="388"/>
      <c r="H486" s="395"/>
      <c r="I486" s="388"/>
      <c r="J486" s="396"/>
      <c r="K486" s="396"/>
      <c r="L486" s="404"/>
      <c r="M486" s="399"/>
      <c r="N486" s="399"/>
      <c r="O486" s="396"/>
      <c r="P486" s="389"/>
      <c r="Q486" s="396"/>
      <c r="R486" s="396"/>
      <c r="S486" s="396"/>
      <c r="T486" s="396"/>
      <c r="U486" s="401"/>
      <c r="V486" s="396"/>
      <c r="W486" s="399"/>
      <c r="X486" s="396"/>
      <c r="Y486" s="389"/>
      <c r="Z486" s="396"/>
      <c r="AA486" s="388"/>
      <c r="AB486" s="390"/>
    </row>
    <row r="487" spans="1:28">
      <c r="A487" s="384" t="str">
        <f t="shared" ref="A487:B487" si="1487">A475</f>
        <v>Lantai 1</v>
      </c>
      <c r="B487" s="385">
        <f t="shared" si="1487"/>
        <v>15</v>
      </c>
      <c r="C487" s="393" t="s">
        <v>208</v>
      </c>
      <c r="D487" s="398">
        <f>VLOOKUP(D475,'Detail Balok'!$C$10:$AU$140,13,FALSE)</f>
        <v>0</v>
      </c>
      <c r="E487" s="388" t="s">
        <v>16</v>
      </c>
      <c r="F487" s="388">
        <f>VLOOKUP(D475,'Detail Balok'!$C$10:$AU$140,15,FALSE)</f>
        <v>8</v>
      </c>
      <c r="G487" s="388"/>
      <c r="H487" s="395"/>
      <c r="I487" s="388"/>
      <c r="J487" s="399">
        <f t="shared" ref="J487" si="1488">+D477/1000</f>
        <v>2.5750000000000002</v>
      </c>
      <c r="K487" s="400" t="s">
        <v>204</v>
      </c>
      <c r="L487" s="399">
        <f t="shared" ref="L487" si="1489">2*$F$16*F487/1000</f>
        <v>0.192</v>
      </c>
      <c r="M487" s="399" t="s">
        <v>176</v>
      </c>
      <c r="N487" s="399">
        <f t="shared" ref="N487" si="1490">J487+L487</f>
        <v>2.7670000000000003</v>
      </c>
      <c r="O487" s="399" t="s">
        <v>204</v>
      </c>
      <c r="P487" s="389">
        <f t="shared" ref="P487" si="1491">IF(N487&gt;12,ROUNDDOWN(N487/12,0),0)</f>
        <v>0</v>
      </c>
      <c r="Q487" s="399" t="s">
        <v>125</v>
      </c>
      <c r="R487" s="399">
        <f t="shared" ref="R487" si="1492">IF(P487&gt;0,MAX(VLOOKUP(F487,$D$6:$G$15,3,FALSE),600),0)/1000</f>
        <v>0</v>
      </c>
      <c r="S487" s="399"/>
      <c r="T487" s="399" t="s">
        <v>125</v>
      </c>
      <c r="U487" s="401">
        <f t="shared" ref="U487" si="1493">0.006165*F487^2</f>
        <v>0.39456000000000002</v>
      </c>
      <c r="V487" s="399" t="s">
        <v>125</v>
      </c>
      <c r="W487" s="399">
        <f t="shared" ref="W487" si="1494">+D487</f>
        <v>0</v>
      </c>
      <c r="X487" s="399" t="s">
        <v>125</v>
      </c>
      <c r="Y487" s="389">
        <f t="shared" ref="Y487" si="1495">D481</f>
        <v>1</v>
      </c>
      <c r="Z487" s="400" t="s">
        <v>176</v>
      </c>
      <c r="AA487" s="402">
        <f t="shared" ref="AA487" si="1496">(N487+P487*R487/1000)*U487*W487*Y487</f>
        <v>0</v>
      </c>
      <c r="AB487" s="403"/>
    </row>
    <row r="488" spans="1:28">
      <c r="A488" s="384"/>
      <c r="B488" s="385"/>
      <c r="C488" s="393"/>
      <c r="D488" s="398"/>
      <c r="E488" s="388"/>
      <c r="F488" s="388"/>
      <c r="G488" s="388"/>
      <c r="H488" s="395"/>
      <c r="I488" s="388"/>
      <c r="J488" s="399"/>
      <c r="K488" s="400"/>
      <c r="L488" s="399"/>
      <c r="M488" s="399"/>
      <c r="N488" s="399"/>
      <c r="O488" s="399"/>
      <c r="P488" s="389"/>
      <c r="Q488" s="399"/>
      <c r="R488" s="399"/>
      <c r="S488" s="399"/>
      <c r="T488" s="399"/>
      <c r="U488" s="401"/>
      <c r="V488" s="399"/>
      <c r="W488" s="399"/>
      <c r="X488" s="399"/>
      <c r="Y488" s="389"/>
      <c r="Z488" s="400"/>
      <c r="AA488" s="402"/>
      <c r="AB488" s="403"/>
    </row>
    <row r="489" spans="1:28">
      <c r="A489" s="384"/>
      <c r="B489" s="385"/>
      <c r="C489" s="393"/>
      <c r="D489" s="398"/>
      <c r="E489" s="388"/>
      <c r="F489" s="388"/>
      <c r="G489" s="388"/>
      <c r="H489" s="395"/>
      <c r="I489" s="388"/>
      <c r="J489" s="396"/>
      <c r="K489" s="396"/>
      <c r="L489" s="396"/>
      <c r="M489" s="396"/>
      <c r="N489" s="396"/>
      <c r="O489" s="396"/>
      <c r="P489" s="389"/>
      <c r="Q489" s="396"/>
      <c r="R489" s="396"/>
      <c r="S489" s="396"/>
      <c r="T489" s="396"/>
      <c r="U489" s="401"/>
      <c r="V489" s="396"/>
      <c r="W489" s="399"/>
      <c r="X489" s="396"/>
      <c r="Y489" s="389"/>
      <c r="Z489" s="396"/>
      <c r="AA489" s="388"/>
      <c r="AB489" s="390"/>
    </row>
    <row r="490" spans="1:28">
      <c r="A490" s="384" t="str">
        <f t="shared" ref="A490:B490" si="1497">A475</f>
        <v>Lantai 1</v>
      </c>
      <c r="B490" s="385">
        <f t="shared" si="1497"/>
        <v>15</v>
      </c>
      <c r="C490" s="393" t="s">
        <v>209</v>
      </c>
      <c r="D490" s="398">
        <f>VLOOKUP(D475,'Detail Balok'!$C$10:$AU$140,22,FALSE)</f>
        <v>3</v>
      </c>
      <c r="E490" s="388" t="s">
        <v>16</v>
      </c>
      <c r="F490" s="388">
        <f>VLOOKUP(D475,'Detail Balok'!$C$10:$AU$140,24,FALSE)</f>
        <v>13</v>
      </c>
      <c r="G490" s="388"/>
      <c r="H490" s="395"/>
      <c r="I490" s="388" t="s">
        <v>203</v>
      </c>
      <c r="J490" s="399">
        <f t="shared" si="1210"/>
        <v>0.64375000000000004</v>
      </c>
      <c r="K490" s="400" t="s">
        <v>204</v>
      </c>
      <c r="L490" s="399">
        <f t="shared" ref="L490" si="1498">MAX(VLOOKUP(F490,N$6:P$15,3,FALSE)/1000,2/3*D480/1000)+F$16*F490/1000</f>
        <v>0.156</v>
      </c>
      <c r="M490" s="399" t="s">
        <v>176</v>
      </c>
      <c r="N490" s="399">
        <f t="shared" ref="N490:N492" si="1499">J490+L490</f>
        <v>0.79975000000000007</v>
      </c>
      <c r="O490" s="399" t="s">
        <v>204</v>
      </c>
      <c r="P490" s="389">
        <f t="shared" ref="P490" si="1500">D490-D491</f>
        <v>0</v>
      </c>
      <c r="Q490" s="399" t="s">
        <v>125</v>
      </c>
      <c r="R490" s="399">
        <f t="shared" ref="R490" si="1501">IF(P490&gt;0,$F$18*F490/1000,0)</f>
        <v>0</v>
      </c>
      <c r="S490" s="399" t="s">
        <v>205</v>
      </c>
      <c r="T490" s="399" t="s">
        <v>125</v>
      </c>
      <c r="U490" s="401">
        <f t="shared" ref="U490:U492" si="1502">0.006165*F490^2</f>
        <v>1.041885</v>
      </c>
      <c r="V490" s="399"/>
      <c r="W490" s="399"/>
      <c r="X490" s="399" t="s">
        <v>125</v>
      </c>
      <c r="Y490" s="389">
        <f t="shared" ref="Y490" si="1503">D481</f>
        <v>1</v>
      </c>
      <c r="Z490" s="400" t="s">
        <v>176</v>
      </c>
      <c r="AA490" s="402">
        <f t="shared" ref="AA490" si="1504">IF(AA493=0,(D490*N490+P490*R490)*U490*Y490,0)</f>
        <v>0</v>
      </c>
      <c r="AB490" s="403"/>
    </row>
    <row r="491" spans="1:28">
      <c r="A491" s="384" t="str">
        <f t="shared" ref="A491:B491" si="1505">A475</f>
        <v>Lantai 1</v>
      </c>
      <c r="B491" s="385">
        <f t="shared" si="1505"/>
        <v>15</v>
      </c>
      <c r="C491" s="393" t="s">
        <v>210</v>
      </c>
      <c r="D491" s="398">
        <f>VLOOKUP(D475,'Detail Balok'!$C$10:$AU$140,25,FALSE)</f>
        <v>3</v>
      </c>
      <c r="E491" s="388" t="s">
        <v>16</v>
      </c>
      <c r="F491" s="388">
        <f>VLOOKUP(D475,'Detail Balok'!$C$10:$AU$140,27,FALSE)</f>
        <v>13</v>
      </c>
      <c r="G491" s="388"/>
      <c r="H491" s="395"/>
      <c r="I491" s="388" t="s">
        <v>203</v>
      </c>
      <c r="J491" s="399">
        <f t="shared" si="1210"/>
        <v>1.2875000000000001</v>
      </c>
      <c r="K491" s="400" t="s">
        <v>204</v>
      </c>
      <c r="L491" s="399"/>
      <c r="M491" s="399" t="s">
        <v>176</v>
      </c>
      <c r="N491" s="399">
        <f t="shared" si="1499"/>
        <v>1.2875000000000001</v>
      </c>
      <c r="O491" s="399" t="s">
        <v>204</v>
      </c>
      <c r="P491" s="389">
        <f t="shared" ref="P491" si="1506">MAX(D491-D490,D491-D492)</f>
        <v>0</v>
      </c>
      <c r="Q491" s="399" t="s">
        <v>125</v>
      </c>
      <c r="R491" s="399">
        <f t="shared" ref="R491" si="1507">IF(P491&gt;0,2*(1-2*$F$19-1/2)*D478/1000,0)</f>
        <v>0</v>
      </c>
      <c r="S491" s="399" t="s">
        <v>205</v>
      </c>
      <c r="T491" s="399" t="s">
        <v>125</v>
      </c>
      <c r="U491" s="401">
        <f t="shared" si="1502"/>
        <v>1.041885</v>
      </c>
      <c r="V491" s="399"/>
      <c r="W491" s="399"/>
      <c r="X491" s="399" t="s">
        <v>125</v>
      </c>
      <c r="Y491" s="389">
        <f t="shared" ref="Y491" si="1508">D481</f>
        <v>1</v>
      </c>
      <c r="Z491" s="400" t="s">
        <v>176</v>
      </c>
      <c r="AA491" s="402">
        <f t="shared" ref="AA491" si="1509">IF(AA493=0,(D491*N491+P491*R491)*U491*Y491,0)</f>
        <v>0</v>
      </c>
      <c r="AB491" s="403"/>
    </row>
    <row r="492" spans="1:28">
      <c r="A492" s="384" t="str">
        <f t="shared" ref="A492:B492" si="1510">A475</f>
        <v>Lantai 1</v>
      </c>
      <c r="B492" s="385">
        <f t="shared" si="1510"/>
        <v>15</v>
      </c>
      <c r="C492" s="393" t="s">
        <v>209</v>
      </c>
      <c r="D492" s="398">
        <f>VLOOKUP(D475,'Detail Balok'!$C$10:$AU$140,28,FALSE)</f>
        <v>3</v>
      </c>
      <c r="E492" s="388" t="s">
        <v>16</v>
      </c>
      <c r="F492" s="388">
        <f>VLOOKUP(D475,'Detail Balok'!$C$10:$AU$140,30,FALSE)</f>
        <v>13</v>
      </c>
      <c r="G492" s="388"/>
      <c r="H492" s="395"/>
      <c r="I492" s="388" t="s">
        <v>203</v>
      </c>
      <c r="J492" s="399">
        <f t="shared" si="1210"/>
        <v>0.64375000000000004</v>
      </c>
      <c r="K492" s="400" t="s">
        <v>204</v>
      </c>
      <c r="L492" s="399">
        <f t="shared" ref="L492" si="1511">MAX(VLOOKUP(F492,N$6:P$15,3,FALSE)/1000,2/3*D480/1000)+F$16*F492/1000</f>
        <v>0.156</v>
      </c>
      <c r="M492" s="399" t="s">
        <v>176</v>
      </c>
      <c r="N492" s="399">
        <f t="shared" si="1499"/>
        <v>0.79975000000000007</v>
      </c>
      <c r="O492" s="399" t="s">
        <v>204</v>
      </c>
      <c r="P492" s="389">
        <f t="shared" ref="P492" si="1512">D492-D491</f>
        <v>0</v>
      </c>
      <c r="Q492" s="399" t="s">
        <v>125</v>
      </c>
      <c r="R492" s="399">
        <f t="shared" ref="R492" si="1513">IF(P492&gt;0,$F$18*F492/1000,0)</f>
        <v>0</v>
      </c>
      <c r="S492" s="399" t="s">
        <v>205</v>
      </c>
      <c r="T492" s="399" t="s">
        <v>125</v>
      </c>
      <c r="U492" s="401">
        <f t="shared" si="1502"/>
        <v>1.041885</v>
      </c>
      <c r="V492" s="399"/>
      <c r="W492" s="399"/>
      <c r="X492" s="399" t="s">
        <v>125</v>
      </c>
      <c r="Y492" s="389">
        <f t="shared" ref="Y492" si="1514">D481</f>
        <v>1</v>
      </c>
      <c r="Z492" s="400" t="s">
        <v>176</v>
      </c>
      <c r="AA492" s="402">
        <f t="shared" ref="AA492" si="1515">IF(AA493=0,(D492*N492+P492*R492)*U492*Y492,0)</f>
        <v>0</v>
      </c>
      <c r="AB492" s="403"/>
    </row>
    <row r="493" spans="1:28">
      <c r="A493" s="384" t="str">
        <f t="shared" ref="A493:B493" si="1516">A475</f>
        <v>Lantai 1</v>
      </c>
      <c r="B493" s="385">
        <f t="shared" si="1516"/>
        <v>15</v>
      </c>
      <c r="C493" s="393"/>
      <c r="D493" s="398">
        <f t="shared" si="1230"/>
        <v>3</v>
      </c>
      <c r="E493" s="388" t="s">
        <v>16</v>
      </c>
      <c r="F493" s="388">
        <f t="shared" si="1231"/>
        <v>13</v>
      </c>
      <c r="G493" s="388"/>
      <c r="H493" s="395"/>
      <c r="I493" s="388"/>
      <c r="J493" s="396"/>
      <c r="K493" s="396"/>
      <c r="L493" s="404" t="s">
        <v>207</v>
      </c>
      <c r="M493" s="399" t="s">
        <v>176</v>
      </c>
      <c r="N493" s="399">
        <f t="shared" ref="N493" si="1517">IF(AND(D490=D491,D490=D492,D491=D492,F490=F491,F490=F492,F491=F492),SUM(N490:N492),0)</f>
        <v>2.887</v>
      </c>
      <c r="O493" s="399" t="s">
        <v>204</v>
      </c>
      <c r="P493" s="389">
        <f t="shared" ref="P493" si="1518">IF(N493&gt;12,ROUNDDOWN(N493/12,0),0)</f>
        <v>0</v>
      </c>
      <c r="Q493" s="399" t="s">
        <v>125</v>
      </c>
      <c r="R493" s="399">
        <f t="shared" ref="R493" si="1519">IF(P493&gt;0,MAX(VLOOKUP(F493,$D$6:$G$15,3,FALSE),600),0)/1000</f>
        <v>0</v>
      </c>
      <c r="S493" s="396"/>
      <c r="T493" s="396" t="s">
        <v>125</v>
      </c>
      <c r="U493" s="401">
        <f t="shared" si="1235"/>
        <v>1.041885</v>
      </c>
      <c r="V493" s="396" t="s">
        <v>125</v>
      </c>
      <c r="W493" s="399">
        <f t="shared" ref="W493" si="1520">D493</f>
        <v>3</v>
      </c>
      <c r="X493" s="399" t="s">
        <v>125</v>
      </c>
      <c r="Y493" s="389">
        <f t="shared" si="1237"/>
        <v>1</v>
      </c>
      <c r="Z493" s="400" t="s">
        <v>176</v>
      </c>
      <c r="AA493" s="402">
        <f t="shared" ref="AA493" si="1521">(N493+P493*R493/1000)*U493*W493*Y493</f>
        <v>9.0237659849999989</v>
      </c>
      <c r="AB493" s="403"/>
    </row>
    <row r="494" spans="1:28">
      <c r="A494" s="384"/>
      <c r="B494" s="385"/>
      <c r="C494" s="393"/>
      <c r="D494" s="394"/>
      <c r="E494" s="388"/>
      <c r="F494" s="388"/>
      <c r="G494" s="388"/>
      <c r="H494" s="395"/>
      <c r="I494" s="388"/>
      <c r="J494" s="399"/>
      <c r="K494" s="396"/>
      <c r="L494" s="396"/>
      <c r="M494" s="396"/>
      <c r="N494" s="396"/>
      <c r="O494" s="396"/>
      <c r="P494" s="389"/>
      <c r="Q494" s="396"/>
      <c r="R494" s="396"/>
      <c r="S494" s="396"/>
      <c r="T494" s="396"/>
      <c r="U494" s="401"/>
      <c r="V494" s="396"/>
      <c r="W494" s="388"/>
      <c r="X494" s="396"/>
      <c r="Y494" s="389"/>
      <c r="Z494" s="396"/>
      <c r="AA494" s="388"/>
      <c r="AB494" s="390"/>
    </row>
    <row r="495" spans="1:28">
      <c r="A495" s="384" t="str">
        <f t="shared" ref="A495:B495" si="1522">A475</f>
        <v>Lantai 1</v>
      </c>
      <c r="B495" s="385">
        <f t="shared" si="1522"/>
        <v>15</v>
      </c>
      <c r="C495" s="393" t="s">
        <v>211</v>
      </c>
      <c r="D495" s="398">
        <f>VLOOKUP(D475,'Detail Balok'!$C$10:$AU$140,31,FALSE)</f>
        <v>0</v>
      </c>
      <c r="E495" s="388" t="s">
        <v>16</v>
      </c>
      <c r="F495" s="388">
        <f>VLOOKUP(D475,'Detail Balok'!$C$10:$AU$140,33,FALSE)</f>
        <v>8</v>
      </c>
      <c r="G495" s="405" t="s">
        <v>157</v>
      </c>
      <c r="H495" s="395">
        <f>VLOOKUP(D475,'Detail Balok'!$C$10:$AU$140,35,FALSE)</f>
        <v>150</v>
      </c>
      <c r="I495" s="388"/>
      <c r="J495" s="400">
        <f t="shared" ref="J495" si="1523">(IF(D495=0,(2*(D476+G476))-(F$5*8),IF(D495=3,(2*(D476+G476))-(F$5*8)+(G476-2*F$5),IF(D495=4,(2*(D476+G476))-(F$5*8)+2*(G476-2*F$5)))))/1000</f>
        <v>0.88</v>
      </c>
      <c r="K495" s="400" t="s">
        <v>204</v>
      </c>
      <c r="L495" s="399">
        <f t="shared" ref="L495:L497" si="1524">IF(D495=0,2*MAX(6*F495,75),(D495-1)*2*MAX(6*F495,75))/1000</f>
        <v>0.15</v>
      </c>
      <c r="M495" s="399" t="s">
        <v>176</v>
      </c>
      <c r="N495" s="399">
        <f t="shared" ref="N495:N497" si="1525">J495+L495</f>
        <v>1.03</v>
      </c>
      <c r="O495" s="399"/>
      <c r="P495" s="389"/>
      <c r="Q495" s="399"/>
      <c r="R495" s="399"/>
      <c r="S495" s="399"/>
      <c r="T495" s="399" t="s">
        <v>125</v>
      </c>
      <c r="U495" s="401">
        <f t="shared" ref="U495:U497" si="1526">0.006165*F495^2</f>
        <v>0.39456000000000002</v>
      </c>
      <c r="V495" s="399" t="s">
        <v>125</v>
      </c>
      <c r="W495" s="399">
        <f t="shared" ref="W495" si="1527">IF(D478&gt;4*G476,ROUND(MAX(D478/4,2*G476)/H495,0)+1,ROUND(D478/H495,0)+1)</f>
        <v>6</v>
      </c>
      <c r="X495" s="399" t="s">
        <v>125</v>
      </c>
      <c r="Y495" s="389">
        <f t="shared" ref="Y495" si="1528">D481</f>
        <v>1</v>
      </c>
      <c r="Z495" s="400" t="s">
        <v>176</v>
      </c>
      <c r="AA495" s="402">
        <f t="shared" ref="AA495:AA497" si="1529">N495*U495*W495*Y495</f>
        <v>2.4383808000000005</v>
      </c>
      <c r="AB495" s="403"/>
    </row>
    <row r="496" spans="1:28">
      <c r="A496" s="384" t="str">
        <f t="shared" ref="A496:B496" si="1530">A475</f>
        <v>Lantai 1</v>
      </c>
      <c r="B496" s="385">
        <f t="shared" si="1530"/>
        <v>15</v>
      </c>
      <c r="C496" s="393" t="s">
        <v>212</v>
      </c>
      <c r="D496" s="398">
        <f>VLOOKUP(D475,'Detail Balok'!$C$10:$AU$140,36,FALSE)</f>
        <v>0</v>
      </c>
      <c r="E496" s="388" t="s">
        <v>16</v>
      </c>
      <c r="F496" s="388">
        <f>VLOOKUP(D475,'Detail Balok'!$C$10:$AU$140,38,FALSE)</f>
        <v>8</v>
      </c>
      <c r="G496" s="405" t="s">
        <v>157</v>
      </c>
      <c r="H496" s="395">
        <f>VLOOKUP(D475,'Detail Balok'!$C$10:$AU$140,40,FALSE)</f>
        <v>200</v>
      </c>
      <c r="I496" s="388"/>
      <c r="J496" s="400">
        <f t="shared" ref="J496" si="1531">(IF(D496=0,(2*(D476+G476))-(F$5*8),IF(D496=3,(2*(D476+G476))-(F$5*8)+(G476-2*F$5),IF(D496=4,(2*(D476+G476))-(F$5*8)+2*(G476-2*F$5)))))/1000</f>
        <v>0.88</v>
      </c>
      <c r="K496" s="400" t="s">
        <v>204</v>
      </c>
      <c r="L496" s="399">
        <f t="shared" si="1524"/>
        <v>0.15</v>
      </c>
      <c r="M496" s="399" t="s">
        <v>176</v>
      </c>
      <c r="N496" s="399">
        <f t="shared" si="1525"/>
        <v>1.03</v>
      </c>
      <c r="O496" s="399"/>
      <c r="P496" s="389"/>
      <c r="Q496" s="399"/>
      <c r="R496" s="399"/>
      <c r="S496" s="399"/>
      <c r="T496" s="399" t="s">
        <v>125</v>
      </c>
      <c r="U496" s="401">
        <f t="shared" si="1526"/>
        <v>0.39456000000000002</v>
      </c>
      <c r="V496" s="399" t="s">
        <v>125</v>
      </c>
      <c r="W496" s="399">
        <f t="shared" ref="W496" si="1532">IF(D478-MAX(D478/4,2*G476)*2&gt;0,ROUND((D478-MAX(D478/4,2*G476)*2)/H496,0),0)</f>
        <v>5</v>
      </c>
      <c r="X496" s="399" t="s">
        <v>125</v>
      </c>
      <c r="Y496" s="389">
        <f t="shared" ref="Y496" si="1533">D481</f>
        <v>1</v>
      </c>
      <c r="Z496" s="400" t="s">
        <v>176</v>
      </c>
      <c r="AA496" s="402">
        <f t="shared" si="1529"/>
        <v>2.0319840000000005</v>
      </c>
      <c r="AB496" s="403"/>
    </row>
    <row r="497" spans="1:28">
      <c r="A497" s="384" t="str">
        <f t="shared" ref="A497:B497" si="1534">A475</f>
        <v>Lantai 1</v>
      </c>
      <c r="B497" s="385">
        <f t="shared" si="1534"/>
        <v>15</v>
      </c>
      <c r="C497" s="393" t="s">
        <v>211</v>
      </c>
      <c r="D497" s="398">
        <f>VLOOKUP(D475,'Detail Balok'!$C$10:$AU$140,41,FALSE)</f>
        <v>0</v>
      </c>
      <c r="E497" s="388" t="s">
        <v>16</v>
      </c>
      <c r="F497" s="388">
        <f>VLOOKUP(D475,'Detail Balok'!$C$10:$AU$140,43,FALSE)</f>
        <v>8</v>
      </c>
      <c r="G497" s="405" t="s">
        <v>157</v>
      </c>
      <c r="H497" s="395">
        <f>VLOOKUP(D475,'Detail Balok'!$C$10:$AU$140,45,FALSE)</f>
        <v>150</v>
      </c>
      <c r="I497" s="388"/>
      <c r="J497" s="400">
        <f t="shared" ref="J497" si="1535">(IF(D497=0,(2*(D476+G476))-(F$5*8),IF(D497=3,(2*(D476+G476))-(F$5*8)+(G476-2*F$5),IF(D497=4,(2*(D476+G476))-(F$5*8)+2*(G476-2*F$5)))))/1000</f>
        <v>0.88</v>
      </c>
      <c r="K497" s="400" t="s">
        <v>204</v>
      </c>
      <c r="L497" s="399">
        <f t="shared" si="1524"/>
        <v>0.15</v>
      </c>
      <c r="M497" s="399" t="s">
        <v>176</v>
      </c>
      <c r="N497" s="399">
        <f t="shared" si="1525"/>
        <v>1.03</v>
      </c>
      <c r="O497" s="399"/>
      <c r="P497" s="389"/>
      <c r="Q497" s="399"/>
      <c r="R497" s="399"/>
      <c r="S497" s="399"/>
      <c r="T497" s="399" t="s">
        <v>125</v>
      </c>
      <c r="U497" s="401">
        <f t="shared" si="1526"/>
        <v>0.39456000000000002</v>
      </c>
      <c r="V497" s="399" t="s">
        <v>125</v>
      </c>
      <c r="W497" s="399">
        <f t="shared" ref="W497" si="1536">IF(D478&gt;4*G476,ROUND(MAX(D478/4,2*G476)/H497,0)+1,0)</f>
        <v>6</v>
      </c>
      <c r="X497" s="399" t="s">
        <v>125</v>
      </c>
      <c r="Y497" s="389">
        <f t="shared" ref="Y497" si="1537">D481</f>
        <v>1</v>
      </c>
      <c r="Z497" s="400" t="s">
        <v>176</v>
      </c>
      <c r="AA497" s="402">
        <f t="shared" si="1529"/>
        <v>2.4383808000000005</v>
      </c>
      <c r="AB497" s="403"/>
    </row>
    <row r="498" spans="1:28">
      <c r="A498" s="384"/>
      <c r="B498" s="385"/>
      <c r="C498" s="393"/>
      <c r="D498" s="394"/>
      <c r="E498" s="388"/>
      <c r="F498" s="388"/>
      <c r="G498" s="388"/>
      <c r="H498" s="395"/>
      <c r="I498" s="388"/>
      <c r="J498" s="399"/>
      <c r="K498" s="396"/>
      <c r="L498" s="396"/>
      <c r="M498" s="396"/>
      <c r="N498" s="396"/>
      <c r="O498" s="396"/>
      <c r="P498" s="389"/>
      <c r="Q498" s="396"/>
      <c r="R498" s="396"/>
      <c r="S498" s="396"/>
      <c r="T498" s="396"/>
      <c r="U498" s="401"/>
      <c r="V498" s="396"/>
      <c r="W498" s="388"/>
      <c r="X498" s="396"/>
      <c r="Y498" s="389"/>
      <c r="Z498" s="396"/>
      <c r="AA498" s="388"/>
      <c r="AB498" s="390"/>
    </row>
    <row r="499" spans="1:28">
      <c r="A499" s="384" t="str">
        <f t="shared" ref="A499:B499" si="1538">A475</f>
        <v>Lantai 1</v>
      </c>
      <c r="B499" s="385">
        <f t="shared" si="1538"/>
        <v>15</v>
      </c>
      <c r="C499" s="393" t="s">
        <v>213</v>
      </c>
      <c r="D499" s="398">
        <f>VLOOKUP(D475,'Detail Balok'!$C$10:$BJ$140,46,FALSE)</f>
        <v>0</v>
      </c>
      <c r="E499" s="388" t="s">
        <v>16</v>
      </c>
      <c r="F499" s="388">
        <f>VLOOKUP(D475,'Detail Balok'!$C$10:$BJ$140,48,FALSE)</f>
        <v>0</v>
      </c>
      <c r="G499" s="405" t="s">
        <v>157</v>
      </c>
      <c r="H499" s="395">
        <f>VLOOKUP(D475,'Detail Balok'!$C$10:$BJ$140,50,FALSE)</f>
        <v>100</v>
      </c>
      <c r="I499" s="388"/>
      <c r="J499" s="399">
        <f t="shared" ref="J499" si="1539">(D476-2*F$5)/1000</f>
        <v>0.12</v>
      </c>
      <c r="K499" s="400" t="s">
        <v>204</v>
      </c>
      <c r="L499" s="399">
        <f t="shared" ref="L499:L501" si="1540">IF(D499=0,2*MAX(6*F499,75),(D499-1)*2*MAX(6*F499,75))/1000</f>
        <v>0.15</v>
      </c>
      <c r="M499" s="399" t="s">
        <v>176</v>
      </c>
      <c r="N499" s="399">
        <f t="shared" ref="N499:N501" si="1541">J499+L499</f>
        <v>0.27</v>
      </c>
      <c r="O499" s="399"/>
      <c r="P499" s="399"/>
      <c r="Q499" s="399"/>
      <c r="R499" s="399"/>
      <c r="S499" s="399"/>
      <c r="T499" s="399" t="s">
        <v>125</v>
      </c>
      <c r="U499" s="401">
        <f t="shared" ref="U499:U501" si="1542">0.006165*F499^2</f>
        <v>0</v>
      </c>
      <c r="V499" s="399" t="s">
        <v>125</v>
      </c>
      <c r="W499" s="399">
        <f t="shared" si="1260"/>
        <v>6</v>
      </c>
      <c r="X499" s="399" t="s">
        <v>125</v>
      </c>
      <c r="Y499" s="389">
        <f t="shared" ref="Y499" si="1543">D485</f>
        <v>3</v>
      </c>
      <c r="Z499" s="400" t="s">
        <v>176</v>
      </c>
      <c r="AA499" s="402">
        <f t="shared" ref="AA499:AA501" si="1544">N499*U499*W499*Y499</f>
        <v>0</v>
      </c>
      <c r="AB499" s="403"/>
    </row>
    <row r="500" spans="1:28">
      <c r="A500" s="384" t="str">
        <f t="shared" ref="A500:B500" si="1545">A475</f>
        <v>Lantai 1</v>
      </c>
      <c r="B500" s="385">
        <f t="shared" si="1545"/>
        <v>15</v>
      </c>
      <c r="C500" s="393" t="s">
        <v>214</v>
      </c>
      <c r="D500" s="398">
        <f>VLOOKUP(D475,'Detail Balok'!$C$10:$BJ$140,51,FALSE)</f>
        <v>0</v>
      </c>
      <c r="E500" s="388" t="s">
        <v>16</v>
      </c>
      <c r="F500" s="388">
        <f>VLOOKUP(D475,'Detail Balok'!$C$10:$BJ$140,53,FALSE)</f>
        <v>0</v>
      </c>
      <c r="G500" s="405" t="s">
        <v>157</v>
      </c>
      <c r="H500" s="395">
        <f>VLOOKUP(D475,'Detail Balok'!$C$10:$BJ$140,55,FALSE)</f>
        <v>100</v>
      </c>
      <c r="I500" s="388"/>
      <c r="J500" s="399">
        <f t="shared" ref="J500" si="1546">(D476-2*F$5)/1000</f>
        <v>0.12</v>
      </c>
      <c r="K500" s="400" t="s">
        <v>204</v>
      </c>
      <c r="L500" s="399">
        <f t="shared" si="1540"/>
        <v>0.15</v>
      </c>
      <c r="M500" s="399" t="s">
        <v>176</v>
      </c>
      <c r="N500" s="399">
        <f t="shared" si="1541"/>
        <v>0.27</v>
      </c>
      <c r="O500" s="399"/>
      <c r="P500" s="399"/>
      <c r="Q500" s="399"/>
      <c r="R500" s="399"/>
      <c r="S500" s="399"/>
      <c r="T500" s="399" t="s">
        <v>125</v>
      </c>
      <c r="U500" s="401">
        <f t="shared" si="1542"/>
        <v>0</v>
      </c>
      <c r="V500" s="399" t="s">
        <v>125</v>
      </c>
      <c r="W500" s="399">
        <f t="shared" si="1260"/>
        <v>5</v>
      </c>
      <c r="X500" s="399" t="s">
        <v>125</v>
      </c>
      <c r="Y500" s="389">
        <f t="shared" ref="Y500" si="1547">D485</f>
        <v>3</v>
      </c>
      <c r="Z500" s="400" t="s">
        <v>176</v>
      </c>
      <c r="AA500" s="402">
        <f t="shared" si="1544"/>
        <v>0</v>
      </c>
      <c r="AB500" s="403"/>
    </row>
    <row r="501" spans="1:28">
      <c r="A501" s="384" t="str">
        <f t="shared" ref="A501:B501" si="1548">A475</f>
        <v>Lantai 1</v>
      </c>
      <c r="B501" s="385">
        <f t="shared" si="1548"/>
        <v>15</v>
      </c>
      <c r="C501" s="393" t="s">
        <v>213</v>
      </c>
      <c r="D501" s="398">
        <f>VLOOKUP(D475,'Detail Balok'!$C$10:$BJ$140,56,FALSE)</f>
        <v>0</v>
      </c>
      <c r="E501" s="388" t="s">
        <v>16</v>
      </c>
      <c r="F501" s="388">
        <f>VLOOKUP(D475,'Detail Balok'!$C$10:$BJ$140,58,FALSE)</f>
        <v>0</v>
      </c>
      <c r="G501" s="405" t="s">
        <v>157</v>
      </c>
      <c r="H501" s="395">
        <f>VLOOKUP(D475,'Detail Balok'!$C$10:$BJ$140,60,FALSE)</f>
        <v>100</v>
      </c>
      <c r="I501" s="388"/>
      <c r="J501" s="399">
        <f t="shared" ref="J501" si="1549">(D476-2*F$5)/1000</f>
        <v>0.12</v>
      </c>
      <c r="K501" s="400" t="s">
        <v>204</v>
      </c>
      <c r="L501" s="399">
        <f t="shared" si="1540"/>
        <v>0.15</v>
      </c>
      <c r="M501" s="399" t="s">
        <v>176</v>
      </c>
      <c r="N501" s="399">
        <f t="shared" si="1541"/>
        <v>0.27</v>
      </c>
      <c r="O501" s="399"/>
      <c r="P501" s="399"/>
      <c r="Q501" s="399"/>
      <c r="R501" s="399"/>
      <c r="S501" s="399"/>
      <c r="T501" s="399" t="s">
        <v>125</v>
      </c>
      <c r="U501" s="401">
        <f t="shared" si="1542"/>
        <v>0</v>
      </c>
      <c r="V501" s="399" t="s">
        <v>125</v>
      </c>
      <c r="W501" s="399">
        <f t="shared" si="1260"/>
        <v>6</v>
      </c>
      <c r="X501" s="399" t="s">
        <v>125</v>
      </c>
      <c r="Y501" s="389">
        <f t="shared" ref="Y501" si="1550">D485</f>
        <v>3</v>
      </c>
      <c r="Z501" s="400" t="s">
        <v>176</v>
      </c>
      <c r="AA501" s="402">
        <f t="shared" si="1544"/>
        <v>0</v>
      </c>
      <c r="AB501" s="403"/>
    </row>
    <row r="502" spans="1:28">
      <c r="A502" s="391"/>
      <c r="B502" s="392"/>
      <c r="C502" s="392"/>
      <c r="D502" s="394"/>
      <c r="E502" s="388"/>
      <c r="F502" s="388"/>
      <c r="G502" s="388"/>
      <c r="H502" s="395"/>
      <c r="I502" s="388"/>
      <c r="J502" s="402"/>
      <c r="K502" s="388"/>
      <c r="L502" s="388"/>
      <c r="M502" s="388"/>
      <c r="N502" s="388"/>
      <c r="O502" s="388"/>
      <c r="P502" s="388"/>
      <c r="Q502" s="388"/>
      <c r="R502" s="388"/>
      <c r="S502" s="388"/>
      <c r="T502" s="388"/>
      <c r="U502" s="388"/>
      <c r="V502" s="388"/>
      <c r="W502" s="388"/>
      <c r="X502" s="388"/>
      <c r="Y502" s="389"/>
      <c r="Z502" s="388"/>
      <c r="AA502" s="402"/>
      <c r="AB502" s="403"/>
    </row>
    <row r="503" spans="1:28" ht="15.75" thickBot="1">
      <c r="A503" s="406"/>
      <c r="B503" s="407"/>
      <c r="C503" s="407"/>
      <c r="D503" s="408"/>
      <c r="E503" s="409"/>
      <c r="F503" s="409"/>
      <c r="G503" s="409"/>
      <c r="H503" s="410"/>
      <c r="I503" s="409"/>
      <c r="J503" s="409"/>
      <c r="K503" s="409"/>
      <c r="L503" s="409"/>
      <c r="M503" s="409"/>
      <c r="N503" s="409"/>
      <c r="O503" s="409"/>
      <c r="P503" s="409"/>
      <c r="Q503" s="409"/>
      <c r="R503" s="409"/>
      <c r="S503" s="409"/>
      <c r="T503" s="409"/>
      <c r="U503" s="409"/>
      <c r="V503" s="409"/>
      <c r="W503" s="409"/>
      <c r="X503" s="409"/>
      <c r="Y503" s="411"/>
      <c r="Z503" s="409"/>
      <c r="AA503" s="412"/>
      <c r="AB503" s="413"/>
    </row>
    <row r="504" spans="1:28">
      <c r="A504" s="377"/>
      <c r="B504" s="378"/>
      <c r="C504" s="378"/>
      <c r="D504" s="379"/>
      <c r="E504" s="380"/>
      <c r="F504" s="380"/>
      <c r="G504" s="380"/>
      <c r="H504" s="381"/>
      <c r="I504" s="380"/>
      <c r="J504" s="380"/>
      <c r="K504" s="380"/>
      <c r="L504" s="380"/>
      <c r="M504" s="380"/>
      <c r="N504" s="380"/>
      <c r="O504" s="380"/>
      <c r="P504" s="380"/>
      <c r="Q504" s="380"/>
      <c r="R504" s="380"/>
      <c r="S504" s="380"/>
      <c r="T504" s="380"/>
      <c r="U504" s="380"/>
      <c r="V504" s="380"/>
      <c r="W504" s="380"/>
      <c r="X504" s="380"/>
      <c r="Y504" s="382"/>
      <c r="Z504" s="380"/>
      <c r="AA504" s="380"/>
      <c r="AB504" s="383"/>
    </row>
    <row r="505" spans="1:28">
      <c r="A505" s="384" t="str">
        <f t="shared" si="1456"/>
        <v>Lantai 1</v>
      </c>
      <c r="B505" s="385">
        <f t="shared" si="1457"/>
        <v>16</v>
      </c>
      <c r="C505" s="386" t="str">
        <f t="shared" ref="C505" si="1551">CONCATENATE(A505," no. ",B505)</f>
        <v>Lantai 1 no. 16</v>
      </c>
      <c r="D505" s="2562" t="str">
        <f>VLOOKUP(C505,'Data Panjang Balok'!$C$9:$N$254,2,FALSE)</f>
        <v>S24-1</v>
      </c>
      <c r="E505" s="2576"/>
      <c r="F505" s="2576"/>
      <c r="G505" s="2576"/>
      <c r="H505" s="2577"/>
      <c r="I505" s="387"/>
      <c r="J505" s="388"/>
      <c r="K505" s="388"/>
      <c r="L505" s="388"/>
      <c r="M505" s="388"/>
      <c r="N505" s="388"/>
      <c r="O505" s="388"/>
      <c r="P505" s="388"/>
      <c r="Q505" s="388"/>
      <c r="R505" s="388"/>
      <c r="S505" s="388"/>
      <c r="T505" s="388"/>
      <c r="U505" s="388"/>
      <c r="V505" s="388"/>
      <c r="W505" s="388"/>
      <c r="X505" s="388"/>
      <c r="Y505" s="389"/>
      <c r="Z505" s="388"/>
      <c r="AA505" s="388"/>
      <c r="AB505" s="390"/>
    </row>
    <row r="506" spans="1:28">
      <c r="A506" s="391"/>
      <c r="B506" s="392"/>
      <c r="C506" s="393" t="s">
        <v>118</v>
      </c>
      <c r="D506" s="2578">
        <f>VLOOKUP(D505,'Detail Balok'!$C$10:$AU$140,2,FALSE)</f>
        <v>200</v>
      </c>
      <c r="E506" s="2579"/>
      <c r="F506" s="388" t="s">
        <v>125</v>
      </c>
      <c r="G506" s="2579">
        <f>VLOOKUP(D505,'Detail Balok'!$C$10:$AU$140,3,FALSE)</f>
        <v>400</v>
      </c>
      <c r="H506" s="2580"/>
      <c r="I506" s="388"/>
      <c r="J506" s="396"/>
      <c r="K506" s="396"/>
      <c r="L506" s="396"/>
      <c r="M506" s="396"/>
      <c r="N506" s="396"/>
      <c r="O506" s="396"/>
      <c r="P506" s="396"/>
      <c r="Q506" s="396"/>
      <c r="R506" s="396"/>
      <c r="S506" s="396"/>
      <c r="T506" s="396"/>
      <c r="U506" s="388"/>
      <c r="V506" s="396"/>
      <c r="W506" s="388"/>
      <c r="X506" s="396"/>
      <c r="Y506" s="389"/>
      <c r="Z506" s="396"/>
      <c r="AA506" s="388"/>
      <c r="AB506" s="390"/>
    </row>
    <row r="507" spans="1:28">
      <c r="A507" s="391"/>
      <c r="B507" s="392"/>
      <c r="C507" s="393" t="s">
        <v>198</v>
      </c>
      <c r="D507" s="2562">
        <f>VLOOKUP(C505,'Data Panjang Balok'!$C$9:$N$254,4,FALSE)</f>
        <v>2675</v>
      </c>
      <c r="E507" s="2563"/>
      <c r="F507" s="2563"/>
      <c r="G507" s="2563"/>
      <c r="H507" s="2564"/>
      <c r="I507" s="397"/>
      <c r="J507" s="396"/>
      <c r="K507" s="396"/>
      <c r="L507" s="396"/>
      <c r="M507" s="396"/>
      <c r="N507" s="396"/>
      <c r="O507" s="396"/>
      <c r="P507" s="396"/>
      <c r="Q507" s="396"/>
      <c r="R507" s="396"/>
      <c r="S507" s="396"/>
      <c r="T507" s="396"/>
      <c r="U507" s="388"/>
      <c r="V507" s="396"/>
      <c r="W507" s="388"/>
      <c r="X507" s="396"/>
      <c r="Y507" s="389"/>
      <c r="Z507" s="396"/>
      <c r="AA507" s="388"/>
      <c r="AB507" s="390"/>
    </row>
    <row r="508" spans="1:28">
      <c r="A508" s="391"/>
      <c r="B508" s="392"/>
      <c r="C508" s="393" t="s">
        <v>199</v>
      </c>
      <c r="D508" s="2562">
        <f>VLOOKUP(C505,'Data Panjang Balok'!$C$9:$N$254,7,FALSE)</f>
        <v>2675</v>
      </c>
      <c r="E508" s="2563"/>
      <c r="F508" s="2563"/>
      <c r="G508" s="2563"/>
      <c r="H508" s="2564"/>
      <c r="I508" s="397"/>
      <c r="J508" s="396"/>
      <c r="K508" s="396"/>
      <c r="L508" s="396"/>
      <c r="M508" s="396"/>
      <c r="N508" s="396"/>
      <c r="O508" s="396"/>
      <c r="P508" s="396"/>
      <c r="Q508" s="396"/>
      <c r="R508" s="396"/>
      <c r="S508" s="396"/>
      <c r="T508" s="396"/>
      <c r="U508" s="388"/>
      <c r="V508" s="396"/>
      <c r="W508" s="388"/>
      <c r="X508" s="396"/>
      <c r="Y508" s="389"/>
      <c r="Z508" s="396"/>
      <c r="AA508" s="388"/>
      <c r="AB508" s="390"/>
    </row>
    <row r="509" spans="1:28">
      <c r="A509" s="391"/>
      <c r="B509" s="392"/>
      <c r="C509" s="393" t="s">
        <v>200</v>
      </c>
      <c r="D509" s="2562">
        <f>VLOOKUP(C505,'Data Panjang Balok'!$C$9:$N$254,9,FALSE)</f>
        <v>0</v>
      </c>
      <c r="E509" s="2563"/>
      <c r="F509" s="2563"/>
      <c r="G509" s="2563"/>
      <c r="H509" s="2564"/>
      <c r="I509" s="397"/>
      <c r="J509" s="396"/>
      <c r="K509" s="396"/>
      <c r="L509" s="396"/>
      <c r="M509" s="396"/>
      <c r="N509" s="396"/>
      <c r="O509" s="396"/>
      <c r="P509" s="396"/>
      <c r="Q509" s="396"/>
      <c r="R509" s="396"/>
      <c r="S509" s="396"/>
      <c r="T509" s="396"/>
      <c r="U509" s="388"/>
      <c r="V509" s="396"/>
      <c r="W509" s="388"/>
      <c r="X509" s="396"/>
      <c r="Y509" s="389"/>
      <c r="Z509" s="396"/>
      <c r="AA509" s="388"/>
      <c r="AB509" s="390"/>
    </row>
    <row r="510" spans="1:28">
      <c r="A510" s="391"/>
      <c r="B510" s="392"/>
      <c r="C510" s="393" t="s">
        <v>201</v>
      </c>
      <c r="D510" s="2562">
        <f>VLOOKUP(C505,'Data Panjang Balok'!$C$9:$N$254,10,FALSE)</f>
        <v>0</v>
      </c>
      <c r="E510" s="2563"/>
      <c r="F510" s="2563"/>
      <c r="G510" s="2563"/>
      <c r="H510" s="2564"/>
      <c r="I510" s="397"/>
      <c r="J510" s="396"/>
      <c r="K510" s="396"/>
      <c r="L510" s="396"/>
      <c r="M510" s="396"/>
      <c r="N510" s="396"/>
      <c r="O510" s="396"/>
      <c r="P510" s="396"/>
      <c r="Q510" s="396"/>
      <c r="R510" s="396"/>
      <c r="S510" s="396"/>
      <c r="T510" s="396"/>
      <c r="U510" s="388"/>
      <c r="V510" s="396"/>
      <c r="W510" s="388"/>
      <c r="X510" s="396"/>
      <c r="Y510" s="389"/>
      <c r="Z510" s="396"/>
      <c r="AA510" s="388"/>
      <c r="AB510" s="390"/>
    </row>
    <row r="511" spans="1:28">
      <c r="A511" s="391"/>
      <c r="B511" s="392"/>
      <c r="C511" s="393" t="s">
        <v>48</v>
      </c>
      <c r="D511" s="2562">
        <f>VLOOKUP(C505,'Data Panjang Balok'!$C$9:$N$254,3,FALSE)</f>
        <v>1</v>
      </c>
      <c r="E511" s="2563"/>
      <c r="F511" s="2563"/>
      <c r="G511" s="2563"/>
      <c r="H511" s="2564"/>
      <c r="I511" s="397"/>
      <c r="J511" s="396"/>
      <c r="K511" s="396"/>
      <c r="L511" s="396"/>
      <c r="M511" s="396"/>
      <c r="N511" s="396"/>
      <c r="O511" s="396"/>
      <c r="P511" s="396"/>
      <c r="Q511" s="396"/>
      <c r="R511" s="396"/>
      <c r="S511" s="396"/>
      <c r="T511" s="396"/>
      <c r="U511" s="388"/>
      <c r="V511" s="396"/>
      <c r="W511" s="388"/>
      <c r="X511" s="396"/>
      <c r="Y511" s="389"/>
      <c r="Z511" s="396"/>
      <c r="AA511" s="388"/>
      <c r="AB511" s="390"/>
    </row>
    <row r="512" spans="1:28">
      <c r="A512" s="384" t="str">
        <f t="shared" ref="A512:B512" si="1552">A505</f>
        <v>Lantai 1</v>
      </c>
      <c r="B512" s="385">
        <f t="shared" si="1552"/>
        <v>16</v>
      </c>
      <c r="C512" s="393" t="s">
        <v>202</v>
      </c>
      <c r="D512" s="398">
        <f>VLOOKUP(D505,'Detail Balok'!$C$10:$AU$140,4,FALSE)</f>
        <v>3</v>
      </c>
      <c r="E512" s="388" t="s">
        <v>16</v>
      </c>
      <c r="F512" s="388">
        <f>VLOOKUP(D505,'Detail Balok'!$C$10:$AU$140,6,FALSE)</f>
        <v>13</v>
      </c>
      <c r="G512" s="388"/>
      <c r="H512" s="395"/>
      <c r="I512" s="388" t="s">
        <v>203</v>
      </c>
      <c r="J512" s="399">
        <f t="shared" ref="J512" si="1553">+D507/4/1000</f>
        <v>0.66874999999999996</v>
      </c>
      <c r="K512" s="400" t="s">
        <v>204</v>
      </c>
      <c r="L512" s="399">
        <f t="shared" ref="L512" si="1554">MAX(VLOOKUP(F512,N$6:P$15,3,FALSE)/1000,2/3*D509/1000)+F$16*F512/1000</f>
        <v>0.156</v>
      </c>
      <c r="M512" s="399" t="s">
        <v>176</v>
      </c>
      <c r="N512" s="399">
        <f t="shared" ref="N512:N514" si="1555">J512+L512</f>
        <v>0.82474999999999998</v>
      </c>
      <c r="O512" s="399" t="s">
        <v>204</v>
      </c>
      <c r="P512" s="389">
        <f t="shared" ref="P512" si="1556">D512-D513</f>
        <v>0</v>
      </c>
      <c r="Q512" s="399" t="s">
        <v>125</v>
      </c>
      <c r="R512" s="399">
        <f t="shared" ref="R512" si="1557">IF(P512&gt;0,$F$18*F512/1000,0)</f>
        <v>0</v>
      </c>
      <c r="S512" s="399" t="s">
        <v>205</v>
      </c>
      <c r="T512" s="399" t="s">
        <v>125</v>
      </c>
      <c r="U512" s="401">
        <f t="shared" ref="U512:U514" si="1558">0.006165*F512^2</f>
        <v>1.041885</v>
      </c>
      <c r="V512" s="399"/>
      <c r="W512" s="399"/>
      <c r="X512" s="399" t="s">
        <v>125</v>
      </c>
      <c r="Y512" s="389">
        <f t="shared" ref="Y512" si="1559">D511</f>
        <v>1</v>
      </c>
      <c r="Z512" s="400" t="s">
        <v>176</v>
      </c>
      <c r="AA512" s="402">
        <f t="shared" ref="AA512" si="1560">IF(AA515=0,(D512*N512+P512*R512)*U512*Y512,0)</f>
        <v>0</v>
      </c>
      <c r="AB512" s="403"/>
    </row>
    <row r="513" spans="1:28">
      <c r="A513" s="384" t="str">
        <f t="shared" ref="A513:B513" si="1561">A505</f>
        <v>Lantai 1</v>
      </c>
      <c r="B513" s="385">
        <f t="shared" si="1561"/>
        <v>16</v>
      </c>
      <c r="C513" s="393" t="s">
        <v>206</v>
      </c>
      <c r="D513" s="398">
        <f>VLOOKUP(D505,'Detail Balok'!$C$10:$AU$140,7,FALSE)</f>
        <v>3</v>
      </c>
      <c r="E513" s="388" t="s">
        <v>16</v>
      </c>
      <c r="F513" s="388">
        <f>VLOOKUP(D505,'Detail Balok'!$C$10:$AU$140,9,FALSE)</f>
        <v>13</v>
      </c>
      <c r="G513" s="388"/>
      <c r="H513" s="395"/>
      <c r="I513" s="388" t="s">
        <v>203</v>
      </c>
      <c r="J513" s="399">
        <f t="shared" ref="J513" si="1562">+D507/2/1000</f>
        <v>1.3374999999999999</v>
      </c>
      <c r="K513" s="400" t="s">
        <v>204</v>
      </c>
      <c r="L513" s="399"/>
      <c r="M513" s="399" t="s">
        <v>176</v>
      </c>
      <c r="N513" s="399">
        <f t="shared" si="1555"/>
        <v>1.3374999999999999</v>
      </c>
      <c r="O513" s="399" t="s">
        <v>204</v>
      </c>
      <c r="P513" s="389">
        <f t="shared" ref="P513" si="1563">MAX(D513-D512,D513-D514)</f>
        <v>0</v>
      </c>
      <c r="Q513" s="399" t="s">
        <v>125</v>
      </c>
      <c r="R513" s="399">
        <f t="shared" ref="R513" si="1564">IF(P513&gt;0,2*(1-2*$F$19-1/2)*D508/1000,0)</f>
        <v>0</v>
      </c>
      <c r="S513" s="399" t="s">
        <v>205</v>
      </c>
      <c r="T513" s="399" t="s">
        <v>125</v>
      </c>
      <c r="U513" s="401">
        <f t="shared" si="1558"/>
        <v>1.041885</v>
      </c>
      <c r="V513" s="399"/>
      <c r="W513" s="399"/>
      <c r="X513" s="399" t="s">
        <v>125</v>
      </c>
      <c r="Y513" s="389">
        <f t="shared" ref="Y513" si="1565">D511</f>
        <v>1</v>
      </c>
      <c r="Z513" s="400" t="s">
        <v>176</v>
      </c>
      <c r="AA513" s="402">
        <f t="shared" ref="AA513" si="1566">IF(AA515=0,(D513*N513+P513*R513)*U513*Y513,0)</f>
        <v>0</v>
      </c>
      <c r="AB513" s="403"/>
    </row>
    <row r="514" spans="1:28">
      <c r="A514" s="384" t="str">
        <f t="shared" ref="A514:B514" si="1567">A505</f>
        <v>Lantai 1</v>
      </c>
      <c r="B514" s="385">
        <f t="shared" si="1567"/>
        <v>16</v>
      </c>
      <c r="C514" s="393" t="s">
        <v>202</v>
      </c>
      <c r="D514" s="398">
        <f>VLOOKUP(D505,'Detail Balok'!$C$10:$AU$140,10,FALSE)</f>
        <v>3</v>
      </c>
      <c r="E514" s="388" t="s">
        <v>16</v>
      </c>
      <c r="F514" s="388">
        <f>VLOOKUP(D505,'Detail Balok'!$C$10:$AU$140,12,FALSE)</f>
        <v>13</v>
      </c>
      <c r="G514" s="388"/>
      <c r="H514" s="395"/>
      <c r="I514" s="388" t="s">
        <v>203</v>
      </c>
      <c r="J514" s="399">
        <f t="shared" ref="J514" si="1568">+D507/4/1000</f>
        <v>0.66874999999999996</v>
      </c>
      <c r="K514" s="400" t="s">
        <v>204</v>
      </c>
      <c r="L514" s="399">
        <f t="shared" ref="L514" si="1569">MAX(VLOOKUP(F514,N$6:P$15,3,FALSE)/1000,2/3*D509/1000)+F$16*F514/1000</f>
        <v>0.156</v>
      </c>
      <c r="M514" s="399" t="s">
        <v>176</v>
      </c>
      <c r="N514" s="399">
        <f t="shared" si="1555"/>
        <v>0.82474999999999998</v>
      </c>
      <c r="O514" s="399" t="s">
        <v>204</v>
      </c>
      <c r="P514" s="389">
        <f t="shared" ref="P514" si="1570">D514-D513</f>
        <v>0</v>
      </c>
      <c r="Q514" s="399" t="s">
        <v>125</v>
      </c>
      <c r="R514" s="399">
        <f t="shared" ref="R514" si="1571">IF(P514&gt;0,$F$18*F514/1000,0)</f>
        <v>0</v>
      </c>
      <c r="S514" s="399" t="s">
        <v>205</v>
      </c>
      <c r="T514" s="399" t="s">
        <v>125</v>
      </c>
      <c r="U514" s="401">
        <f t="shared" si="1558"/>
        <v>1.041885</v>
      </c>
      <c r="V514" s="399"/>
      <c r="W514" s="399"/>
      <c r="X514" s="399" t="s">
        <v>125</v>
      </c>
      <c r="Y514" s="389">
        <f t="shared" ref="Y514" si="1572">D511</f>
        <v>1</v>
      </c>
      <c r="Z514" s="400" t="s">
        <v>176</v>
      </c>
      <c r="AA514" s="402">
        <f t="shared" ref="AA514" si="1573">IF(AA515=0,(D514*N514+P514*R514)*U514*Y514,0)</f>
        <v>0</v>
      </c>
      <c r="AB514" s="403"/>
    </row>
    <row r="515" spans="1:28">
      <c r="A515" s="384" t="str">
        <f t="shared" ref="A515:B515" si="1574">A505</f>
        <v>Lantai 1</v>
      </c>
      <c r="B515" s="385">
        <f t="shared" si="1574"/>
        <v>16</v>
      </c>
      <c r="C515" s="393"/>
      <c r="D515" s="398">
        <f t="shared" ref="D515:D575" si="1575">IF(AND(D512=D513,D513=D514,D512=D514),D512,0)</f>
        <v>3</v>
      </c>
      <c r="E515" s="388" t="s">
        <v>16</v>
      </c>
      <c r="F515" s="388">
        <f t="shared" ref="F515:F575" si="1576">IF(AND(F512=F513,F512=F514,F513=F514),F512,0)</f>
        <v>13</v>
      </c>
      <c r="G515" s="388"/>
      <c r="H515" s="395"/>
      <c r="I515" s="388"/>
      <c r="J515" s="396"/>
      <c r="K515" s="396"/>
      <c r="L515" s="404" t="s">
        <v>207</v>
      </c>
      <c r="M515" s="399" t="s">
        <v>176</v>
      </c>
      <c r="N515" s="399">
        <f t="shared" ref="N515" si="1577">IF(AND(D512=D513,D512=D514,D513=D514,F512=F513,F512=F514,F513=F514),SUM(N512:N514),0)</f>
        <v>2.9869999999999997</v>
      </c>
      <c r="O515" s="399" t="s">
        <v>204</v>
      </c>
      <c r="P515" s="389">
        <f t="shared" ref="P515" si="1578">IF(N515&gt;12,ROUNDDOWN(N515/12,0),0)</f>
        <v>0</v>
      </c>
      <c r="Q515" s="399" t="s">
        <v>125</v>
      </c>
      <c r="R515" s="399">
        <f t="shared" ref="R515" si="1579">IF(P515&gt;0,MAX(VLOOKUP(F515,$D$6:$G$15,3,FALSE),600),0)/1000</f>
        <v>0</v>
      </c>
      <c r="S515" s="396"/>
      <c r="T515" s="396" t="s">
        <v>125</v>
      </c>
      <c r="U515" s="401">
        <f t="shared" ref="U515:U575" si="1580">U514</f>
        <v>1.041885</v>
      </c>
      <c r="V515" s="396" t="s">
        <v>125</v>
      </c>
      <c r="W515" s="399">
        <f t="shared" ref="W515" si="1581">D515</f>
        <v>3</v>
      </c>
      <c r="X515" s="399" t="s">
        <v>125</v>
      </c>
      <c r="Y515" s="389">
        <f t="shared" ref="Y515:Y575" si="1582">Y514</f>
        <v>1</v>
      </c>
      <c r="Z515" s="400" t="s">
        <v>176</v>
      </c>
      <c r="AA515" s="402">
        <f t="shared" ref="AA515" si="1583">(N515+P515*R515/1000)*U515*W515*Y515</f>
        <v>9.3363314849999988</v>
      </c>
      <c r="AB515" s="390"/>
    </row>
    <row r="516" spans="1:28">
      <c r="A516" s="384"/>
      <c r="B516" s="385"/>
      <c r="C516" s="393"/>
      <c r="D516" s="398"/>
      <c r="E516" s="388"/>
      <c r="F516" s="388"/>
      <c r="G516" s="388"/>
      <c r="H516" s="395"/>
      <c r="I516" s="388"/>
      <c r="J516" s="396"/>
      <c r="K516" s="396"/>
      <c r="L516" s="404"/>
      <c r="M516" s="399"/>
      <c r="N516" s="399"/>
      <c r="O516" s="396"/>
      <c r="P516" s="389"/>
      <c r="Q516" s="396"/>
      <c r="R516" s="396"/>
      <c r="S516" s="396"/>
      <c r="T516" s="396"/>
      <c r="U516" s="401"/>
      <c r="V516" s="396"/>
      <c r="W516" s="399"/>
      <c r="X516" s="396"/>
      <c r="Y516" s="389"/>
      <c r="Z516" s="396"/>
      <c r="AA516" s="388"/>
      <c r="AB516" s="390"/>
    </row>
    <row r="517" spans="1:28">
      <c r="A517" s="384" t="str">
        <f t="shared" ref="A517:B517" si="1584">A505</f>
        <v>Lantai 1</v>
      </c>
      <c r="B517" s="385">
        <f t="shared" si="1584"/>
        <v>16</v>
      </c>
      <c r="C517" s="393" t="s">
        <v>208</v>
      </c>
      <c r="D517" s="398">
        <f>VLOOKUP(D505,'Detail Balok'!$C$10:$AU$140,13,FALSE)</f>
        <v>0</v>
      </c>
      <c r="E517" s="388" t="s">
        <v>16</v>
      </c>
      <c r="F517" s="388">
        <f>VLOOKUP(D505,'Detail Balok'!$C$10:$AU$140,15,FALSE)</f>
        <v>8</v>
      </c>
      <c r="G517" s="388"/>
      <c r="H517" s="395"/>
      <c r="I517" s="388"/>
      <c r="J517" s="399">
        <f t="shared" ref="J517" si="1585">+D507/1000</f>
        <v>2.6749999999999998</v>
      </c>
      <c r="K517" s="400" t="s">
        <v>204</v>
      </c>
      <c r="L517" s="399">
        <f t="shared" ref="L517" si="1586">2*$F$16*F517/1000</f>
        <v>0.192</v>
      </c>
      <c r="M517" s="399" t="s">
        <v>176</v>
      </c>
      <c r="N517" s="399">
        <f t="shared" ref="N517" si="1587">J517+L517</f>
        <v>2.867</v>
      </c>
      <c r="O517" s="399" t="s">
        <v>204</v>
      </c>
      <c r="P517" s="389">
        <f t="shared" ref="P517" si="1588">IF(N517&gt;12,ROUNDDOWN(N517/12,0),0)</f>
        <v>0</v>
      </c>
      <c r="Q517" s="399" t="s">
        <v>125</v>
      </c>
      <c r="R517" s="399">
        <f t="shared" ref="R517" si="1589">IF(P517&gt;0,MAX(VLOOKUP(F517,$D$6:$G$15,3,FALSE),600),0)/1000</f>
        <v>0</v>
      </c>
      <c r="S517" s="399"/>
      <c r="T517" s="399" t="s">
        <v>125</v>
      </c>
      <c r="U517" s="401">
        <f t="shared" ref="U517" si="1590">0.006165*F517^2</f>
        <v>0.39456000000000002</v>
      </c>
      <c r="V517" s="399" t="s">
        <v>125</v>
      </c>
      <c r="W517" s="399">
        <f t="shared" ref="W517" si="1591">+D517</f>
        <v>0</v>
      </c>
      <c r="X517" s="399" t="s">
        <v>125</v>
      </c>
      <c r="Y517" s="389">
        <f t="shared" ref="Y517" si="1592">D511</f>
        <v>1</v>
      </c>
      <c r="Z517" s="400" t="s">
        <v>176</v>
      </c>
      <c r="AA517" s="402">
        <f t="shared" ref="AA517" si="1593">(N517+P517*R517/1000)*U517*W517*Y517</f>
        <v>0</v>
      </c>
      <c r="AB517" s="403"/>
    </row>
    <row r="518" spans="1:28">
      <c r="A518" s="384"/>
      <c r="B518" s="385"/>
      <c r="C518" s="393"/>
      <c r="D518" s="398"/>
      <c r="E518" s="388"/>
      <c r="F518" s="388"/>
      <c r="G518" s="388"/>
      <c r="H518" s="395"/>
      <c r="I518" s="388"/>
      <c r="J518" s="399"/>
      <c r="K518" s="400"/>
      <c r="L518" s="399"/>
      <c r="M518" s="399"/>
      <c r="N518" s="399"/>
      <c r="O518" s="399"/>
      <c r="P518" s="389"/>
      <c r="Q518" s="399"/>
      <c r="R518" s="399"/>
      <c r="S518" s="399"/>
      <c r="T518" s="399"/>
      <c r="U518" s="401"/>
      <c r="V518" s="399"/>
      <c r="W518" s="399"/>
      <c r="X518" s="399"/>
      <c r="Y518" s="389"/>
      <c r="Z518" s="400"/>
      <c r="AA518" s="402"/>
      <c r="AB518" s="403"/>
    </row>
    <row r="519" spans="1:28">
      <c r="A519" s="384"/>
      <c r="B519" s="385"/>
      <c r="C519" s="393"/>
      <c r="D519" s="398"/>
      <c r="E519" s="388"/>
      <c r="F519" s="388"/>
      <c r="G519" s="388"/>
      <c r="H519" s="395"/>
      <c r="I519" s="388"/>
      <c r="J519" s="396"/>
      <c r="K519" s="396"/>
      <c r="L519" s="396"/>
      <c r="M519" s="396"/>
      <c r="N519" s="396"/>
      <c r="O519" s="396"/>
      <c r="P519" s="389"/>
      <c r="Q519" s="396"/>
      <c r="R519" s="396"/>
      <c r="S519" s="396"/>
      <c r="T519" s="396"/>
      <c r="U519" s="401"/>
      <c r="V519" s="396"/>
      <c r="W519" s="399"/>
      <c r="X519" s="396"/>
      <c r="Y519" s="389"/>
      <c r="Z519" s="396"/>
      <c r="AA519" s="388"/>
      <c r="AB519" s="390"/>
    </row>
    <row r="520" spans="1:28">
      <c r="A520" s="384" t="str">
        <f t="shared" ref="A520:B520" si="1594">A505</f>
        <v>Lantai 1</v>
      </c>
      <c r="B520" s="385">
        <f t="shared" si="1594"/>
        <v>16</v>
      </c>
      <c r="C520" s="393" t="s">
        <v>209</v>
      </c>
      <c r="D520" s="398">
        <f>VLOOKUP(D505,'Detail Balok'!$C$10:$AU$140,22,FALSE)</f>
        <v>3</v>
      </c>
      <c r="E520" s="388" t="s">
        <v>16</v>
      </c>
      <c r="F520" s="388">
        <f>VLOOKUP(D505,'Detail Balok'!$C$10:$AU$140,24,FALSE)</f>
        <v>13</v>
      </c>
      <c r="G520" s="388"/>
      <c r="H520" s="395"/>
      <c r="I520" s="388" t="s">
        <v>203</v>
      </c>
      <c r="J520" s="399">
        <f t="shared" ref="J520:J582" si="1595">+J512</f>
        <v>0.66874999999999996</v>
      </c>
      <c r="K520" s="400" t="s">
        <v>204</v>
      </c>
      <c r="L520" s="399">
        <f t="shared" ref="L520" si="1596">MAX(VLOOKUP(F520,N$6:P$15,3,FALSE)/1000,2/3*D510/1000)+F$16*F520/1000</f>
        <v>0.156</v>
      </c>
      <c r="M520" s="399" t="s">
        <v>176</v>
      </c>
      <c r="N520" s="399">
        <f t="shared" ref="N520:N522" si="1597">J520+L520</f>
        <v>0.82474999999999998</v>
      </c>
      <c r="O520" s="399" t="s">
        <v>204</v>
      </c>
      <c r="P520" s="389">
        <f t="shared" ref="P520" si="1598">D520-D521</f>
        <v>0</v>
      </c>
      <c r="Q520" s="399" t="s">
        <v>125</v>
      </c>
      <c r="R520" s="399">
        <f t="shared" ref="R520" si="1599">IF(P520&gt;0,$F$18*F520/1000,0)</f>
        <v>0</v>
      </c>
      <c r="S520" s="399" t="s">
        <v>205</v>
      </c>
      <c r="T520" s="399" t="s">
        <v>125</v>
      </c>
      <c r="U520" s="401">
        <f t="shared" ref="U520:U522" si="1600">0.006165*F520^2</f>
        <v>1.041885</v>
      </c>
      <c r="V520" s="399"/>
      <c r="W520" s="399"/>
      <c r="X520" s="399" t="s">
        <v>125</v>
      </c>
      <c r="Y520" s="389">
        <f t="shared" ref="Y520" si="1601">D511</f>
        <v>1</v>
      </c>
      <c r="Z520" s="400" t="s">
        <v>176</v>
      </c>
      <c r="AA520" s="402">
        <f t="shared" ref="AA520" si="1602">IF(AA523=0,(D520*N520+P520*R520)*U520*Y520,0)</f>
        <v>0</v>
      </c>
      <c r="AB520" s="403"/>
    </row>
    <row r="521" spans="1:28">
      <c r="A521" s="384" t="str">
        <f t="shared" ref="A521:B521" si="1603">A505</f>
        <v>Lantai 1</v>
      </c>
      <c r="B521" s="385">
        <f t="shared" si="1603"/>
        <v>16</v>
      </c>
      <c r="C521" s="393" t="s">
        <v>210</v>
      </c>
      <c r="D521" s="398">
        <f>VLOOKUP(D505,'Detail Balok'!$C$10:$AU$140,25,FALSE)</f>
        <v>3</v>
      </c>
      <c r="E521" s="388" t="s">
        <v>16</v>
      </c>
      <c r="F521" s="388">
        <f>VLOOKUP(D505,'Detail Balok'!$C$10:$AU$140,27,FALSE)</f>
        <v>13</v>
      </c>
      <c r="G521" s="388"/>
      <c r="H521" s="395"/>
      <c r="I521" s="388" t="s">
        <v>203</v>
      </c>
      <c r="J521" s="399">
        <f t="shared" si="1595"/>
        <v>1.3374999999999999</v>
      </c>
      <c r="K521" s="400" t="s">
        <v>204</v>
      </c>
      <c r="L521" s="399"/>
      <c r="M521" s="399" t="s">
        <v>176</v>
      </c>
      <c r="N521" s="399">
        <f t="shared" si="1597"/>
        <v>1.3374999999999999</v>
      </c>
      <c r="O521" s="399" t="s">
        <v>204</v>
      </c>
      <c r="P521" s="389">
        <f t="shared" ref="P521" si="1604">MAX(D521-D520,D521-D522)</f>
        <v>0</v>
      </c>
      <c r="Q521" s="399" t="s">
        <v>125</v>
      </c>
      <c r="R521" s="399">
        <f t="shared" ref="R521" si="1605">IF(P521&gt;0,2*(1-2*$F$19-1/2)*D508/1000,0)</f>
        <v>0</v>
      </c>
      <c r="S521" s="399" t="s">
        <v>205</v>
      </c>
      <c r="T521" s="399" t="s">
        <v>125</v>
      </c>
      <c r="U521" s="401">
        <f t="shared" si="1600"/>
        <v>1.041885</v>
      </c>
      <c r="V521" s="399"/>
      <c r="W521" s="399"/>
      <c r="X521" s="399" t="s">
        <v>125</v>
      </c>
      <c r="Y521" s="389">
        <f t="shared" ref="Y521" si="1606">D511</f>
        <v>1</v>
      </c>
      <c r="Z521" s="400" t="s">
        <v>176</v>
      </c>
      <c r="AA521" s="402">
        <f t="shared" ref="AA521" si="1607">IF(AA523=0,(D521*N521+P521*R521)*U521*Y521,0)</f>
        <v>0</v>
      </c>
      <c r="AB521" s="403"/>
    </row>
    <row r="522" spans="1:28">
      <c r="A522" s="384" t="str">
        <f t="shared" ref="A522:B522" si="1608">A505</f>
        <v>Lantai 1</v>
      </c>
      <c r="B522" s="385">
        <f t="shared" si="1608"/>
        <v>16</v>
      </c>
      <c r="C522" s="393" t="s">
        <v>209</v>
      </c>
      <c r="D522" s="398">
        <f>VLOOKUP(D505,'Detail Balok'!$C$10:$AU$140,28,FALSE)</f>
        <v>3</v>
      </c>
      <c r="E522" s="388" t="s">
        <v>16</v>
      </c>
      <c r="F522" s="388">
        <f>VLOOKUP(D505,'Detail Balok'!$C$10:$AU$140,30,FALSE)</f>
        <v>13</v>
      </c>
      <c r="G522" s="388"/>
      <c r="H522" s="395"/>
      <c r="I522" s="388" t="s">
        <v>203</v>
      </c>
      <c r="J522" s="399">
        <f t="shared" si="1595"/>
        <v>0.66874999999999996</v>
      </c>
      <c r="K522" s="400" t="s">
        <v>204</v>
      </c>
      <c r="L522" s="399">
        <f t="shared" ref="L522" si="1609">MAX(VLOOKUP(F522,N$6:P$15,3,FALSE)/1000,2/3*D510/1000)+F$16*F522/1000</f>
        <v>0.156</v>
      </c>
      <c r="M522" s="399" t="s">
        <v>176</v>
      </c>
      <c r="N522" s="399">
        <f t="shared" si="1597"/>
        <v>0.82474999999999998</v>
      </c>
      <c r="O522" s="399" t="s">
        <v>204</v>
      </c>
      <c r="P522" s="389">
        <f t="shared" ref="P522" si="1610">D522-D521</f>
        <v>0</v>
      </c>
      <c r="Q522" s="399" t="s">
        <v>125</v>
      </c>
      <c r="R522" s="399">
        <f t="shared" ref="R522" si="1611">IF(P522&gt;0,$F$18*F522/1000,0)</f>
        <v>0</v>
      </c>
      <c r="S522" s="399" t="s">
        <v>205</v>
      </c>
      <c r="T522" s="399" t="s">
        <v>125</v>
      </c>
      <c r="U522" s="401">
        <f t="shared" si="1600"/>
        <v>1.041885</v>
      </c>
      <c r="V522" s="399"/>
      <c r="W522" s="399"/>
      <c r="X522" s="399" t="s">
        <v>125</v>
      </c>
      <c r="Y522" s="389">
        <f t="shared" ref="Y522" si="1612">D511</f>
        <v>1</v>
      </c>
      <c r="Z522" s="400" t="s">
        <v>176</v>
      </c>
      <c r="AA522" s="402">
        <f t="shared" ref="AA522" si="1613">IF(AA523=0,(D522*N522+P522*R522)*U522*Y522,0)</f>
        <v>0</v>
      </c>
      <c r="AB522" s="403"/>
    </row>
    <row r="523" spans="1:28">
      <c r="A523" s="384" t="str">
        <f t="shared" ref="A523:B523" si="1614">A505</f>
        <v>Lantai 1</v>
      </c>
      <c r="B523" s="385">
        <f t="shared" si="1614"/>
        <v>16</v>
      </c>
      <c r="C523" s="393"/>
      <c r="D523" s="398">
        <f t="shared" ref="D523:D583" si="1615">IF(AND(D520=D521,D521=D522,D520=D522),D520,0)</f>
        <v>3</v>
      </c>
      <c r="E523" s="388" t="s">
        <v>16</v>
      </c>
      <c r="F523" s="388">
        <f t="shared" ref="F523:F583" si="1616">IF(AND(F520=F521,F520=F522,F521=F522),F520,0)</f>
        <v>13</v>
      </c>
      <c r="G523" s="388"/>
      <c r="H523" s="395"/>
      <c r="I523" s="388"/>
      <c r="J523" s="396"/>
      <c r="K523" s="396"/>
      <c r="L523" s="404" t="s">
        <v>207</v>
      </c>
      <c r="M523" s="399" t="s">
        <v>176</v>
      </c>
      <c r="N523" s="399">
        <f t="shared" ref="N523" si="1617">IF(AND(D520=D521,D520=D522,D521=D522,F520=F521,F520=F522,F521=F522),SUM(N520:N522),0)</f>
        <v>2.9869999999999997</v>
      </c>
      <c r="O523" s="399" t="s">
        <v>204</v>
      </c>
      <c r="P523" s="389">
        <f t="shared" ref="P523" si="1618">IF(N523&gt;12,ROUNDDOWN(N523/12,0),0)</f>
        <v>0</v>
      </c>
      <c r="Q523" s="399" t="s">
        <v>125</v>
      </c>
      <c r="R523" s="399">
        <f t="shared" ref="R523" si="1619">IF(P523&gt;0,MAX(VLOOKUP(F523,$D$6:$G$15,3,FALSE),600),0)/1000</f>
        <v>0</v>
      </c>
      <c r="S523" s="396"/>
      <c r="T523" s="396" t="s">
        <v>125</v>
      </c>
      <c r="U523" s="401">
        <f t="shared" ref="U523:U583" si="1620">U522</f>
        <v>1.041885</v>
      </c>
      <c r="V523" s="396" t="s">
        <v>125</v>
      </c>
      <c r="W523" s="399">
        <f t="shared" ref="W523" si="1621">D523</f>
        <v>3</v>
      </c>
      <c r="X523" s="399" t="s">
        <v>125</v>
      </c>
      <c r="Y523" s="389">
        <f t="shared" ref="Y523:Y583" si="1622">Y522</f>
        <v>1</v>
      </c>
      <c r="Z523" s="400" t="s">
        <v>176</v>
      </c>
      <c r="AA523" s="402">
        <f t="shared" ref="AA523" si="1623">(N523+P523*R523/1000)*U523*W523*Y523</f>
        <v>9.3363314849999988</v>
      </c>
      <c r="AB523" s="403"/>
    </row>
    <row r="524" spans="1:28">
      <c r="A524" s="384"/>
      <c r="B524" s="385"/>
      <c r="C524" s="393"/>
      <c r="D524" s="394"/>
      <c r="E524" s="388"/>
      <c r="F524" s="388"/>
      <c r="G524" s="388"/>
      <c r="H524" s="395"/>
      <c r="I524" s="388"/>
      <c r="J524" s="399"/>
      <c r="K524" s="396"/>
      <c r="L524" s="396"/>
      <c r="M524" s="396"/>
      <c r="N524" s="396"/>
      <c r="O524" s="396"/>
      <c r="P524" s="389"/>
      <c r="Q524" s="396"/>
      <c r="R524" s="396"/>
      <c r="S524" s="396"/>
      <c r="T524" s="396"/>
      <c r="U524" s="401"/>
      <c r="V524" s="396"/>
      <c r="W524" s="388"/>
      <c r="X524" s="396"/>
      <c r="Y524" s="389"/>
      <c r="Z524" s="396"/>
      <c r="AA524" s="388"/>
      <c r="AB524" s="390"/>
    </row>
    <row r="525" spans="1:28">
      <c r="A525" s="384" t="str">
        <f t="shared" ref="A525:B525" si="1624">A505</f>
        <v>Lantai 1</v>
      </c>
      <c r="B525" s="385">
        <f t="shared" si="1624"/>
        <v>16</v>
      </c>
      <c r="C525" s="393" t="s">
        <v>211</v>
      </c>
      <c r="D525" s="398">
        <f>VLOOKUP(D505,'Detail Balok'!$C$10:$AU$140,31,FALSE)</f>
        <v>0</v>
      </c>
      <c r="E525" s="388" t="s">
        <v>16</v>
      </c>
      <c r="F525" s="388">
        <f>VLOOKUP(D505,'Detail Balok'!$C$10:$AU$140,33,FALSE)</f>
        <v>8</v>
      </c>
      <c r="G525" s="405" t="s">
        <v>157</v>
      </c>
      <c r="H525" s="395">
        <f>VLOOKUP(D505,'Detail Balok'!$C$10:$AU$140,35,FALSE)</f>
        <v>150</v>
      </c>
      <c r="I525" s="388"/>
      <c r="J525" s="400">
        <f t="shared" ref="J525" si="1625">(IF(D525=0,(2*(D506+G506))-(F$5*8),IF(D525=3,(2*(D506+G506))-(F$5*8)+(G506-2*F$5),IF(D525=4,(2*(D506+G506))-(F$5*8)+2*(G506-2*F$5)))))/1000</f>
        <v>0.88</v>
      </c>
      <c r="K525" s="400" t="s">
        <v>204</v>
      </c>
      <c r="L525" s="399">
        <f t="shared" ref="L525:L527" si="1626">IF(D525=0,2*MAX(6*F525,75),(D525-1)*2*MAX(6*F525,75))/1000</f>
        <v>0.15</v>
      </c>
      <c r="M525" s="399" t="s">
        <v>176</v>
      </c>
      <c r="N525" s="399">
        <f t="shared" ref="N525:N527" si="1627">J525+L525</f>
        <v>1.03</v>
      </c>
      <c r="O525" s="399"/>
      <c r="P525" s="389"/>
      <c r="Q525" s="399"/>
      <c r="R525" s="399"/>
      <c r="S525" s="399"/>
      <c r="T525" s="399" t="s">
        <v>125</v>
      </c>
      <c r="U525" s="401">
        <f t="shared" ref="U525:U527" si="1628">0.006165*F525^2</f>
        <v>0.39456000000000002</v>
      </c>
      <c r="V525" s="399" t="s">
        <v>125</v>
      </c>
      <c r="W525" s="399">
        <f t="shared" ref="W525" si="1629">IF(D508&gt;4*G506,ROUND(MAX(D508/4,2*G506)/H525,0)+1,ROUND(D508/H525,0)+1)</f>
        <v>6</v>
      </c>
      <c r="X525" s="399" t="s">
        <v>125</v>
      </c>
      <c r="Y525" s="389">
        <f t="shared" ref="Y525" si="1630">D511</f>
        <v>1</v>
      </c>
      <c r="Z525" s="400" t="s">
        <v>176</v>
      </c>
      <c r="AA525" s="402">
        <f t="shared" ref="AA525:AA527" si="1631">N525*U525*W525*Y525</f>
        <v>2.4383808000000005</v>
      </c>
      <c r="AB525" s="403"/>
    </row>
    <row r="526" spans="1:28">
      <c r="A526" s="384" t="str">
        <f t="shared" ref="A526:B526" si="1632">A505</f>
        <v>Lantai 1</v>
      </c>
      <c r="B526" s="385">
        <f t="shared" si="1632"/>
        <v>16</v>
      </c>
      <c r="C526" s="393" t="s">
        <v>212</v>
      </c>
      <c r="D526" s="398">
        <f>VLOOKUP(D505,'Detail Balok'!$C$10:$AU$140,36,FALSE)</f>
        <v>0</v>
      </c>
      <c r="E526" s="388" t="s">
        <v>16</v>
      </c>
      <c r="F526" s="388">
        <f>VLOOKUP(D505,'Detail Balok'!$C$10:$AU$140,38,FALSE)</f>
        <v>8</v>
      </c>
      <c r="G526" s="405" t="s">
        <v>157</v>
      </c>
      <c r="H526" s="395">
        <f>VLOOKUP(D505,'Detail Balok'!$C$10:$AU$140,40,FALSE)</f>
        <v>200</v>
      </c>
      <c r="I526" s="388"/>
      <c r="J526" s="400">
        <f t="shared" ref="J526" si="1633">(IF(D526=0,(2*(D506+G506))-(F$5*8),IF(D526=3,(2*(D506+G506))-(F$5*8)+(G506-2*F$5),IF(D526=4,(2*(D506+G506))-(F$5*8)+2*(G506-2*F$5)))))/1000</f>
        <v>0.88</v>
      </c>
      <c r="K526" s="400" t="s">
        <v>204</v>
      </c>
      <c r="L526" s="399">
        <f t="shared" si="1626"/>
        <v>0.15</v>
      </c>
      <c r="M526" s="399" t="s">
        <v>176</v>
      </c>
      <c r="N526" s="399">
        <f t="shared" si="1627"/>
        <v>1.03</v>
      </c>
      <c r="O526" s="399"/>
      <c r="P526" s="389"/>
      <c r="Q526" s="399"/>
      <c r="R526" s="399"/>
      <c r="S526" s="399"/>
      <c r="T526" s="399" t="s">
        <v>125</v>
      </c>
      <c r="U526" s="401">
        <f t="shared" si="1628"/>
        <v>0.39456000000000002</v>
      </c>
      <c r="V526" s="399" t="s">
        <v>125</v>
      </c>
      <c r="W526" s="399">
        <f t="shared" ref="W526" si="1634">IF(D508-MAX(D508/4,2*G506)*2&gt;0,ROUND((D508-MAX(D508/4,2*G506)*2)/H526,0),0)</f>
        <v>5</v>
      </c>
      <c r="X526" s="399" t="s">
        <v>125</v>
      </c>
      <c r="Y526" s="389">
        <f t="shared" ref="Y526" si="1635">D511</f>
        <v>1</v>
      </c>
      <c r="Z526" s="400" t="s">
        <v>176</v>
      </c>
      <c r="AA526" s="402">
        <f t="shared" si="1631"/>
        <v>2.0319840000000005</v>
      </c>
      <c r="AB526" s="403"/>
    </row>
    <row r="527" spans="1:28">
      <c r="A527" s="384" t="str">
        <f t="shared" ref="A527:B527" si="1636">A505</f>
        <v>Lantai 1</v>
      </c>
      <c r="B527" s="385">
        <f t="shared" si="1636"/>
        <v>16</v>
      </c>
      <c r="C527" s="393" t="s">
        <v>211</v>
      </c>
      <c r="D527" s="398">
        <f>VLOOKUP(D505,'Detail Balok'!$C$10:$AU$140,41,FALSE)</f>
        <v>0</v>
      </c>
      <c r="E527" s="388" t="s">
        <v>16</v>
      </c>
      <c r="F527" s="388">
        <f>VLOOKUP(D505,'Detail Balok'!$C$10:$AU$140,43,FALSE)</f>
        <v>8</v>
      </c>
      <c r="G527" s="405" t="s">
        <v>157</v>
      </c>
      <c r="H527" s="395">
        <f>VLOOKUP(D505,'Detail Balok'!$C$10:$AU$140,45,FALSE)</f>
        <v>150</v>
      </c>
      <c r="I527" s="388"/>
      <c r="J527" s="400">
        <f t="shared" ref="J527" si="1637">(IF(D527=0,(2*(D506+G506))-(F$5*8),IF(D527=3,(2*(D506+G506))-(F$5*8)+(G506-2*F$5),IF(D527=4,(2*(D506+G506))-(F$5*8)+2*(G506-2*F$5)))))/1000</f>
        <v>0.88</v>
      </c>
      <c r="K527" s="400" t="s">
        <v>204</v>
      </c>
      <c r="L527" s="399">
        <f t="shared" si="1626"/>
        <v>0.15</v>
      </c>
      <c r="M527" s="399" t="s">
        <v>176</v>
      </c>
      <c r="N527" s="399">
        <f t="shared" si="1627"/>
        <v>1.03</v>
      </c>
      <c r="O527" s="399"/>
      <c r="P527" s="389"/>
      <c r="Q527" s="399"/>
      <c r="R527" s="399"/>
      <c r="S527" s="399"/>
      <c r="T527" s="399" t="s">
        <v>125</v>
      </c>
      <c r="U527" s="401">
        <f t="shared" si="1628"/>
        <v>0.39456000000000002</v>
      </c>
      <c r="V527" s="399" t="s">
        <v>125</v>
      </c>
      <c r="W527" s="399">
        <f t="shared" ref="W527" si="1638">IF(D508&gt;4*G506,ROUND(MAX(D508/4,2*G506)/H527,0)+1,0)</f>
        <v>6</v>
      </c>
      <c r="X527" s="399" t="s">
        <v>125</v>
      </c>
      <c r="Y527" s="389">
        <f t="shared" ref="Y527" si="1639">D511</f>
        <v>1</v>
      </c>
      <c r="Z527" s="400" t="s">
        <v>176</v>
      </c>
      <c r="AA527" s="402">
        <f t="shared" si="1631"/>
        <v>2.4383808000000005</v>
      </c>
      <c r="AB527" s="403"/>
    </row>
    <row r="528" spans="1:28">
      <c r="A528" s="384"/>
      <c r="B528" s="385"/>
      <c r="C528" s="393"/>
      <c r="D528" s="394"/>
      <c r="E528" s="388"/>
      <c r="F528" s="388"/>
      <c r="G528" s="388"/>
      <c r="H528" s="395"/>
      <c r="I528" s="388"/>
      <c r="J528" s="399"/>
      <c r="K528" s="396"/>
      <c r="L528" s="396"/>
      <c r="M528" s="396"/>
      <c r="N528" s="396"/>
      <c r="O528" s="396"/>
      <c r="P528" s="389"/>
      <c r="Q528" s="396"/>
      <c r="R528" s="396"/>
      <c r="S528" s="396"/>
      <c r="T528" s="396"/>
      <c r="U528" s="401"/>
      <c r="V528" s="396"/>
      <c r="W528" s="388"/>
      <c r="X528" s="396"/>
      <c r="Y528" s="389"/>
      <c r="Z528" s="396"/>
      <c r="AA528" s="388"/>
      <c r="AB528" s="390"/>
    </row>
    <row r="529" spans="1:28">
      <c r="A529" s="384" t="str">
        <f t="shared" ref="A529:B529" si="1640">A505</f>
        <v>Lantai 1</v>
      </c>
      <c r="B529" s="385">
        <f t="shared" si="1640"/>
        <v>16</v>
      </c>
      <c r="C529" s="393" t="s">
        <v>213</v>
      </c>
      <c r="D529" s="398">
        <f>VLOOKUP(D505,'Detail Balok'!$C$10:$BJ$140,46,FALSE)</f>
        <v>0</v>
      </c>
      <c r="E529" s="388" t="s">
        <v>16</v>
      </c>
      <c r="F529" s="388">
        <f>VLOOKUP(D505,'Detail Balok'!$C$10:$BJ$140,48,FALSE)</f>
        <v>0</v>
      </c>
      <c r="G529" s="405" t="s">
        <v>157</v>
      </c>
      <c r="H529" s="395">
        <f>VLOOKUP(D505,'Detail Balok'!$C$10:$BJ$140,50,FALSE)</f>
        <v>100</v>
      </c>
      <c r="I529" s="388"/>
      <c r="J529" s="399">
        <f t="shared" ref="J529" si="1641">(D506-2*F$5)/1000</f>
        <v>0.12</v>
      </c>
      <c r="K529" s="400" t="s">
        <v>204</v>
      </c>
      <c r="L529" s="399">
        <f t="shared" ref="L529:L531" si="1642">IF(D529=0,2*MAX(6*F529,75),(D529-1)*2*MAX(6*F529,75))/1000</f>
        <v>0.15</v>
      </c>
      <c r="M529" s="399" t="s">
        <v>176</v>
      </c>
      <c r="N529" s="399">
        <f t="shared" ref="N529:N531" si="1643">J529+L529</f>
        <v>0.27</v>
      </c>
      <c r="O529" s="399"/>
      <c r="P529" s="399"/>
      <c r="Q529" s="399"/>
      <c r="R529" s="399"/>
      <c r="S529" s="399"/>
      <c r="T529" s="399" t="s">
        <v>125</v>
      </c>
      <c r="U529" s="401">
        <f t="shared" ref="U529:U531" si="1644">0.006165*F529^2</f>
        <v>0</v>
      </c>
      <c r="V529" s="399" t="s">
        <v>125</v>
      </c>
      <c r="W529" s="399">
        <f t="shared" ref="W529:W591" si="1645">W525</f>
        <v>6</v>
      </c>
      <c r="X529" s="399" t="s">
        <v>125</v>
      </c>
      <c r="Y529" s="389">
        <f t="shared" ref="Y529" si="1646">D515</f>
        <v>3</v>
      </c>
      <c r="Z529" s="400" t="s">
        <v>176</v>
      </c>
      <c r="AA529" s="402">
        <f t="shared" ref="AA529:AA531" si="1647">N529*U529*W529*Y529</f>
        <v>0</v>
      </c>
      <c r="AB529" s="403"/>
    </row>
    <row r="530" spans="1:28">
      <c r="A530" s="384" t="str">
        <f t="shared" ref="A530:B530" si="1648">A505</f>
        <v>Lantai 1</v>
      </c>
      <c r="B530" s="385">
        <f t="shared" si="1648"/>
        <v>16</v>
      </c>
      <c r="C530" s="393" t="s">
        <v>214</v>
      </c>
      <c r="D530" s="398">
        <f>VLOOKUP(D505,'Detail Balok'!$C$10:$BJ$140,51,FALSE)</f>
        <v>0</v>
      </c>
      <c r="E530" s="388" t="s">
        <v>16</v>
      </c>
      <c r="F530" s="388">
        <f>VLOOKUP(D505,'Detail Balok'!$C$10:$BJ$140,53,FALSE)</f>
        <v>0</v>
      </c>
      <c r="G530" s="405" t="s">
        <v>157</v>
      </c>
      <c r="H530" s="395">
        <f>VLOOKUP(D505,'Detail Balok'!$C$10:$BJ$140,55,FALSE)</f>
        <v>100</v>
      </c>
      <c r="I530" s="388"/>
      <c r="J530" s="399">
        <f t="shared" ref="J530" si="1649">(D506-2*F$5)/1000</f>
        <v>0.12</v>
      </c>
      <c r="K530" s="400" t="s">
        <v>204</v>
      </c>
      <c r="L530" s="399">
        <f t="shared" si="1642"/>
        <v>0.15</v>
      </c>
      <c r="M530" s="399" t="s">
        <v>176</v>
      </c>
      <c r="N530" s="399">
        <f t="shared" si="1643"/>
        <v>0.27</v>
      </c>
      <c r="O530" s="399"/>
      <c r="P530" s="399"/>
      <c r="Q530" s="399"/>
      <c r="R530" s="399"/>
      <c r="S530" s="399"/>
      <c r="T530" s="399" t="s">
        <v>125</v>
      </c>
      <c r="U530" s="401">
        <f t="shared" si="1644"/>
        <v>0</v>
      </c>
      <c r="V530" s="399" t="s">
        <v>125</v>
      </c>
      <c r="W530" s="399">
        <f t="shared" si="1645"/>
        <v>5</v>
      </c>
      <c r="X530" s="399" t="s">
        <v>125</v>
      </c>
      <c r="Y530" s="389">
        <f t="shared" ref="Y530" si="1650">D515</f>
        <v>3</v>
      </c>
      <c r="Z530" s="400" t="s">
        <v>176</v>
      </c>
      <c r="AA530" s="402">
        <f t="shared" si="1647"/>
        <v>0</v>
      </c>
      <c r="AB530" s="403"/>
    </row>
    <row r="531" spans="1:28">
      <c r="A531" s="384" t="str">
        <f t="shared" ref="A531:B531" si="1651">A505</f>
        <v>Lantai 1</v>
      </c>
      <c r="B531" s="385">
        <f t="shared" si="1651"/>
        <v>16</v>
      </c>
      <c r="C531" s="393" t="s">
        <v>213</v>
      </c>
      <c r="D531" s="398">
        <f>VLOOKUP(D505,'Detail Balok'!$C$10:$BJ$140,56,FALSE)</f>
        <v>0</v>
      </c>
      <c r="E531" s="388" t="s">
        <v>16</v>
      </c>
      <c r="F531" s="388">
        <f>VLOOKUP(D505,'Detail Balok'!$C$10:$BJ$140,58,FALSE)</f>
        <v>0</v>
      </c>
      <c r="G531" s="405" t="s">
        <v>157</v>
      </c>
      <c r="H531" s="395">
        <f>VLOOKUP(D505,'Detail Balok'!$C$10:$BJ$140,60,FALSE)</f>
        <v>100</v>
      </c>
      <c r="I531" s="388"/>
      <c r="J531" s="399">
        <f t="shared" ref="J531" si="1652">(D506-2*F$5)/1000</f>
        <v>0.12</v>
      </c>
      <c r="K531" s="400" t="s">
        <v>204</v>
      </c>
      <c r="L531" s="399">
        <f t="shared" si="1642"/>
        <v>0.15</v>
      </c>
      <c r="M531" s="399" t="s">
        <v>176</v>
      </c>
      <c r="N531" s="399">
        <f t="shared" si="1643"/>
        <v>0.27</v>
      </c>
      <c r="O531" s="399"/>
      <c r="P531" s="399"/>
      <c r="Q531" s="399"/>
      <c r="R531" s="399"/>
      <c r="S531" s="399"/>
      <c r="T531" s="399" t="s">
        <v>125</v>
      </c>
      <c r="U531" s="401">
        <f t="shared" si="1644"/>
        <v>0</v>
      </c>
      <c r="V531" s="399" t="s">
        <v>125</v>
      </c>
      <c r="W531" s="399">
        <f t="shared" si="1645"/>
        <v>6</v>
      </c>
      <c r="X531" s="399" t="s">
        <v>125</v>
      </c>
      <c r="Y531" s="389">
        <f t="shared" ref="Y531" si="1653">D515</f>
        <v>3</v>
      </c>
      <c r="Z531" s="400" t="s">
        <v>176</v>
      </c>
      <c r="AA531" s="402">
        <f t="shared" si="1647"/>
        <v>0</v>
      </c>
      <c r="AB531" s="403"/>
    </row>
    <row r="532" spans="1:28">
      <c r="A532" s="391"/>
      <c r="B532" s="392"/>
      <c r="C532" s="392"/>
      <c r="D532" s="394"/>
      <c r="E532" s="388"/>
      <c r="F532" s="388"/>
      <c r="G532" s="388"/>
      <c r="H532" s="395"/>
      <c r="I532" s="388"/>
      <c r="J532" s="402"/>
      <c r="K532" s="388"/>
      <c r="L532" s="388"/>
      <c r="M532" s="388"/>
      <c r="N532" s="388"/>
      <c r="O532" s="388"/>
      <c r="P532" s="388"/>
      <c r="Q532" s="388"/>
      <c r="R532" s="388"/>
      <c r="S532" s="388"/>
      <c r="T532" s="388"/>
      <c r="U532" s="388"/>
      <c r="V532" s="388"/>
      <c r="W532" s="388"/>
      <c r="X532" s="388"/>
      <c r="Y532" s="389"/>
      <c r="Z532" s="388"/>
      <c r="AA532" s="402"/>
      <c r="AB532" s="403"/>
    </row>
    <row r="533" spans="1:28" ht="15.75" thickBot="1">
      <c r="A533" s="406"/>
      <c r="B533" s="407"/>
      <c r="C533" s="407"/>
      <c r="D533" s="408"/>
      <c r="E533" s="409"/>
      <c r="F533" s="409"/>
      <c r="G533" s="409"/>
      <c r="H533" s="410"/>
      <c r="I533" s="409"/>
      <c r="J533" s="409"/>
      <c r="K533" s="409"/>
      <c r="L533" s="409"/>
      <c r="M533" s="409"/>
      <c r="N533" s="409"/>
      <c r="O533" s="409"/>
      <c r="P533" s="409"/>
      <c r="Q533" s="409"/>
      <c r="R533" s="409"/>
      <c r="S533" s="409"/>
      <c r="T533" s="409"/>
      <c r="U533" s="409"/>
      <c r="V533" s="409"/>
      <c r="W533" s="409"/>
      <c r="X533" s="409"/>
      <c r="Y533" s="411"/>
      <c r="Z533" s="409"/>
      <c r="AA533" s="412"/>
      <c r="AB533" s="413"/>
    </row>
    <row r="534" spans="1:28">
      <c r="A534" s="377"/>
      <c r="B534" s="378"/>
      <c r="C534" s="378"/>
      <c r="D534" s="379"/>
      <c r="E534" s="380"/>
      <c r="F534" s="380"/>
      <c r="G534" s="380"/>
      <c r="H534" s="381"/>
      <c r="I534" s="380"/>
      <c r="J534" s="380"/>
      <c r="K534" s="380"/>
      <c r="L534" s="380"/>
      <c r="M534" s="380"/>
      <c r="N534" s="380"/>
      <c r="O534" s="380"/>
      <c r="P534" s="380"/>
      <c r="Q534" s="380"/>
      <c r="R534" s="380"/>
      <c r="S534" s="380"/>
      <c r="T534" s="380"/>
      <c r="U534" s="380"/>
      <c r="V534" s="380"/>
      <c r="W534" s="380"/>
      <c r="X534" s="380"/>
      <c r="Y534" s="382"/>
      <c r="Z534" s="380"/>
      <c r="AA534" s="380"/>
      <c r="AB534" s="383"/>
    </row>
    <row r="535" spans="1:28">
      <c r="A535" s="384" t="str">
        <f t="shared" ref="A535:A595" si="1654">A505</f>
        <v>Lantai 1</v>
      </c>
      <c r="B535" s="385">
        <f t="shared" ref="B535:B595" si="1655">B505+1</f>
        <v>17</v>
      </c>
      <c r="C535" s="386" t="str">
        <f t="shared" ref="C535" si="1656">CONCATENATE(A535," no. ",B535)</f>
        <v>Lantai 1 no. 17</v>
      </c>
      <c r="D535" s="2562" t="str">
        <f>VLOOKUP(C535,'Data Panjang Balok'!$C$9:$N$254,2,FALSE)</f>
        <v>S24-1</v>
      </c>
      <c r="E535" s="2576"/>
      <c r="F535" s="2576"/>
      <c r="G535" s="2576"/>
      <c r="H535" s="2577"/>
      <c r="I535" s="387"/>
      <c r="J535" s="388"/>
      <c r="K535" s="388"/>
      <c r="L535" s="388"/>
      <c r="M535" s="388"/>
      <c r="N535" s="388"/>
      <c r="O535" s="388"/>
      <c r="P535" s="388"/>
      <c r="Q535" s="388"/>
      <c r="R535" s="388"/>
      <c r="S535" s="388"/>
      <c r="T535" s="388"/>
      <c r="U535" s="388"/>
      <c r="V535" s="388"/>
      <c r="W535" s="388"/>
      <c r="X535" s="388"/>
      <c r="Y535" s="389"/>
      <c r="Z535" s="388"/>
      <c r="AA535" s="388"/>
      <c r="AB535" s="390"/>
    </row>
    <row r="536" spans="1:28">
      <c r="A536" s="391"/>
      <c r="B536" s="392"/>
      <c r="C536" s="393" t="s">
        <v>118</v>
      </c>
      <c r="D536" s="2578">
        <f>VLOOKUP(D535,'Detail Balok'!$C$10:$AU$140,2,FALSE)</f>
        <v>200</v>
      </c>
      <c r="E536" s="2579"/>
      <c r="F536" s="388" t="s">
        <v>125</v>
      </c>
      <c r="G536" s="2579">
        <f>VLOOKUP(D535,'Detail Balok'!$C$10:$AU$140,3,FALSE)</f>
        <v>400</v>
      </c>
      <c r="H536" s="2580"/>
      <c r="I536" s="388"/>
      <c r="J536" s="396"/>
      <c r="K536" s="396"/>
      <c r="L536" s="396"/>
      <c r="M536" s="396"/>
      <c r="N536" s="396"/>
      <c r="O536" s="396"/>
      <c r="P536" s="396"/>
      <c r="Q536" s="396"/>
      <c r="R536" s="396"/>
      <c r="S536" s="396"/>
      <c r="T536" s="396"/>
      <c r="U536" s="388"/>
      <c r="V536" s="396"/>
      <c r="W536" s="388"/>
      <c r="X536" s="396"/>
      <c r="Y536" s="389"/>
      <c r="Z536" s="396"/>
      <c r="AA536" s="388"/>
      <c r="AB536" s="390"/>
    </row>
    <row r="537" spans="1:28">
      <c r="A537" s="391"/>
      <c r="B537" s="392"/>
      <c r="C537" s="393" t="s">
        <v>198</v>
      </c>
      <c r="D537" s="2562">
        <f>VLOOKUP(C535,'Data Panjang Balok'!$C$9:$N$254,4,FALSE)</f>
        <v>3100</v>
      </c>
      <c r="E537" s="2563"/>
      <c r="F537" s="2563"/>
      <c r="G537" s="2563"/>
      <c r="H537" s="2564"/>
      <c r="I537" s="397"/>
      <c r="J537" s="396"/>
      <c r="K537" s="396"/>
      <c r="L537" s="396"/>
      <c r="M537" s="396"/>
      <c r="N537" s="396"/>
      <c r="O537" s="396"/>
      <c r="P537" s="396"/>
      <c r="Q537" s="396"/>
      <c r="R537" s="396"/>
      <c r="S537" s="396"/>
      <c r="T537" s="396"/>
      <c r="U537" s="388"/>
      <c r="V537" s="396"/>
      <c r="W537" s="388"/>
      <c r="X537" s="396"/>
      <c r="Y537" s="389"/>
      <c r="Z537" s="396"/>
      <c r="AA537" s="388"/>
      <c r="AB537" s="390"/>
    </row>
    <row r="538" spans="1:28">
      <c r="A538" s="391"/>
      <c r="B538" s="392"/>
      <c r="C538" s="393" t="s">
        <v>199</v>
      </c>
      <c r="D538" s="2562">
        <f>VLOOKUP(C535,'Data Panjang Balok'!$C$9:$N$254,7,FALSE)</f>
        <v>3100</v>
      </c>
      <c r="E538" s="2563"/>
      <c r="F538" s="2563"/>
      <c r="G538" s="2563"/>
      <c r="H538" s="2564"/>
      <c r="I538" s="397"/>
      <c r="J538" s="396"/>
      <c r="K538" s="396"/>
      <c r="L538" s="396"/>
      <c r="M538" s="396"/>
      <c r="N538" s="396"/>
      <c r="O538" s="396"/>
      <c r="P538" s="396"/>
      <c r="Q538" s="396"/>
      <c r="R538" s="396"/>
      <c r="S538" s="396"/>
      <c r="T538" s="396"/>
      <c r="U538" s="388"/>
      <c r="V538" s="396"/>
      <c r="W538" s="388"/>
      <c r="X538" s="396"/>
      <c r="Y538" s="389"/>
      <c r="Z538" s="396"/>
      <c r="AA538" s="388"/>
      <c r="AB538" s="390"/>
    </row>
    <row r="539" spans="1:28">
      <c r="A539" s="391"/>
      <c r="B539" s="392"/>
      <c r="C539" s="393" t="s">
        <v>200</v>
      </c>
      <c r="D539" s="2562">
        <f>VLOOKUP(C535,'Data Panjang Balok'!$C$9:$N$254,9,FALSE)</f>
        <v>0</v>
      </c>
      <c r="E539" s="2563"/>
      <c r="F539" s="2563"/>
      <c r="G539" s="2563"/>
      <c r="H539" s="2564"/>
      <c r="I539" s="397"/>
      <c r="J539" s="396"/>
      <c r="K539" s="396"/>
      <c r="L539" s="396"/>
      <c r="M539" s="396"/>
      <c r="N539" s="396"/>
      <c r="O539" s="396"/>
      <c r="P539" s="396"/>
      <c r="Q539" s="396"/>
      <c r="R539" s="396"/>
      <c r="S539" s="396"/>
      <c r="T539" s="396"/>
      <c r="U539" s="388"/>
      <c r="V539" s="396"/>
      <c r="W539" s="388"/>
      <c r="X539" s="396"/>
      <c r="Y539" s="389"/>
      <c r="Z539" s="396"/>
      <c r="AA539" s="388"/>
      <c r="AB539" s="390"/>
    </row>
    <row r="540" spans="1:28">
      <c r="A540" s="391"/>
      <c r="B540" s="392"/>
      <c r="C540" s="393" t="s">
        <v>201</v>
      </c>
      <c r="D540" s="2562">
        <f>VLOOKUP(C535,'Data Panjang Balok'!$C$9:$N$254,10,FALSE)</f>
        <v>0</v>
      </c>
      <c r="E540" s="2563"/>
      <c r="F540" s="2563"/>
      <c r="G540" s="2563"/>
      <c r="H540" s="2564"/>
      <c r="I540" s="397"/>
      <c r="J540" s="396"/>
      <c r="K540" s="396"/>
      <c r="L540" s="396"/>
      <c r="M540" s="396"/>
      <c r="N540" s="396"/>
      <c r="O540" s="396"/>
      <c r="P540" s="396"/>
      <c r="Q540" s="396"/>
      <c r="R540" s="396"/>
      <c r="S540" s="396"/>
      <c r="T540" s="396"/>
      <c r="U540" s="388"/>
      <c r="V540" s="396"/>
      <c r="W540" s="388"/>
      <c r="X540" s="396"/>
      <c r="Y540" s="389"/>
      <c r="Z540" s="396"/>
      <c r="AA540" s="388"/>
      <c r="AB540" s="390"/>
    </row>
    <row r="541" spans="1:28">
      <c r="A541" s="391"/>
      <c r="B541" s="392"/>
      <c r="C541" s="393" t="s">
        <v>48</v>
      </c>
      <c r="D541" s="2562">
        <f>VLOOKUP(C535,'Data Panjang Balok'!$C$9:$N$254,3,FALSE)</f>
        <v>1</v>
      </c>
      <c r="E541" s="2563"/>
      <c r="F541" s="2563"/>
      <c r="G541" s="2563"/>
      <c r="H541" s="2564"/>
      <c r="I541" s="397"/>
      <c r="J541" s="396"/>
      <c r="K541" s="396"/>
      <c r="L541" s="396"/>
      <c r="M541" s="396"/>
      <c r="N541" s="396"/>
      <c r="O541" s="396"/>
      <c r="P541" s="396"/>
      <c r="Q541" s="396"/>
      <c r="R541" s="396"/>
      <c r="S541" s="396"/>
      <c r="T541" s="396"/>
      <c r="U541" s="388"/>
      <c r="V541" s="396"/>
      <c r="W541" s="388"/>
      <c r="X541" s="396"/>
      <c r="Y541" s="389"/>
      <c r="Z541" s="396"/>
      <c r="AA541" s="388"/>
      <c r="AB541" s="390"/>
    </row>
    <row r="542" spans="1:28">
      <c r="A542" s="384" t="str">
        <f t="shared" ref="A542:B542" si="1657">A535</f>
        <v>Lantai 1</v>
      </c>
      <c r="B542" s="385">
        <f t="shared" si="1657"/>
        <v>17</v>
      </c>
      <c r="C542" s="393" t="s">
        <v>202</v>
      </c>
      <c r="D542" s="398">
        <f>VLOOKUP(D535,'Detail Balok'!$C$10:$AU$140,4,FALSE)</f>
        <v>3</v>
      </c>
      <c r="E542" s="388" t="s">
        <v>16</v>
      </c>
      <c r="F542" s="388">
        <f>VLOOKUP(D535,'Detail Balok'!$C$10:$AU$140,6,FALSE)</f>
        <v>13</v>
      </c>
      <c r="G542" s="388"/>
      <c r="H542" s="395"/>
      <c r="I542" s="388" t="s">
        <v>203</v>
      </c>
      <c r="J542" s="399">
        <f t="shared" ref="J542" si="1658">+D537/4/1000</f>
        <v>0.77500000000000002</v>
      </c>
      <c r="K542" s="400" t="s">
        <v>204</v>
      </c>
      <c r="L542" s="399">
        <f t="shared" ref="L542" si="1659">MAX(VLOOKUP(F542,N$6:P$15,3,FALSE)/1000,2/3*D539/1000)+F$16*F542/1000</f>
        <v>0.156</v>
      </c>
      <c r="M542" s="399" t="s">
        <v>176</v>
      </c>
      <c r="N542" s="399">
        <f t="shared" ref="N542:N544" si="1660">J542+L542</f>
        <v>0.93100000000000005</v>
      </c>
      <c r="O542" s="399" t="s">
        <v>204</v>
      </c>
      <c r="P542" s="389">
        <f t="shared" ref="P542" si="1661">D542-D543</f>
        <v>0</v>
      </c>
      <c r="Q542" s="399" t="s">
        <v>125</v>
      </c>
      <c r="R542" s="399">
        <f t="shared" ref="R542" si="1662">IF(P542&gt;0,$F$18*F542/1000,0)</f>
        <v>0</v>
      </c>
      <c r="S542" s="399" t="s">
        <v>205</v>
      </c>
      <c r="T542" s="399" t="s">
        <v>125</v>
      </c>
      <c r="U542" s="401">
        <f t="shared" ref="U542:U544" si="1663">0.006165*F542^2</f>
        <v>1.041885</v>
      </c>
      <c r="V542" s="399"/>
      <c r="W542" s="399"/>
      <c r="X542" s="399" t="s">
        <v>125</v>
      </c>
      <c r="Y542" s="389">
        <f t="shared" ref="Y542" si="1664">D541</f>
        <v>1</v>
      </c>
      <c r="Z542" s="400" t="s">
        <v>176</v>
      </c>
      <c r="AA542" s="402">
        <f t="shared" ref="AA542" si="1665">IF(AA545=0,(D542*N542+P542*R542)*U542*Y542,0)</f>
        <v>0</v>
      </c>
      <c r="AB542" s="403"/>
    </row>
    <row r="543" spans="1:28">
      <c r="A543" s="384" t="str">
        <f t="shared" ref="A543:B543" si="1666">A535</f>
        <v>Lantai 1</v>
      </c>
      <c r="B543" s="385">
        <f t="shared" si="1666"/>
        <v>17</v>
      </c>
      <c r="C543" s="393" t="s">
        <v>206</v>
      </c>
      <c r="D543" s="398">
        <f>VLOOKUP(D535,'Detail Balok'!$C$10:$AU$140,7,FALSE)</f>
        <v>3</v>
      </c>
      <c r="E543" s="388" t="s">
        <v>16</v>
      </c>
      <c r="F543" s="388">
        <f>VLOOKUP(D535,'Detail Balok'!$C$10:$AU$140,9,FALSE)</f>
        <v>13</v>
      </c>
      <c r="G543" s="388"/>
      <c r="H543" s="395"/>
      <c r="I543" s="388" t="s">
        <v>203</v>
      </c>
      <c r="J543" s="399">
        <f t="shared" ref="J543" si="1667">+D537/2/1000</f>
        <v>1.55</v>
      </c>
      <c r="K543" s="400" t="s">
        <v>204</v>
      </c>
      <c r="L543" s="399"/>
      <c r="M543" s="399" t="s">
        <v>176</v>
      </c>
      <c r="N543" s="399">
        <f t="shared" si="1660"/>
        <v>1.55</v>
      </c>
      <c r="O543" s="399" t="s">
        <v>204</v>
      </c>
      <c r="P543" s="389">
        <f t="shared" ref="P543" si="1668">MAX(D543-D542,D543-D544)</f>
        <v>0</v>
      </c>
      <c r="Q543" s="399" t="s">
        <v>125</v>
      </c>
      <c r="R543" s="399">
        <f t="shared" ref="R543" si="1669">IF(P543&gt;0,2*(1-2*$F$19-1/2)*D538/1000,0)</f>
        <v>0</v>
      </c>
      <c r="S543" s="399" t="s">
        <v>205</v>
      </c>
      <c r="T543" s="399" t="s">
        <v>125</v>
      </c>
      <c r="U543" s="401">
        <f t="shared" si="1663"/>
        <v>1.041885</v>
      </c>
      <c r="V543" s="399"/>
      <c r="W543" s="399"/>
      <c r="X543" s="399" t="s">
        <v>125</v>
      </c>
      <c r="Y543" s="389">
        <f t="shared" ref="Y543" si="1670">D541</f>
        <v>1</v>
      </c>
      <c r="Z543" s="400" t="s">
        <v>176</v>
      </c>
      <c r="AA543" s="402">
        <f t="shared" ref="AA543" si="1671">IF(AA545=0,(D543*N543+P543*R543)*U543*Y543,0)</f>
        <v>0</v>
      </c>
      <c r="AB543" s="403"/>
    </row>
    <row r="544" spans="1:28">
      <c r="A544" s="384" t="str">
        <f t="shared" ref="A544:B544" si="1672">A535</f>
        <v>Lantai 1</v>
      </c>
      <c r="B544" s="385">
        <f t="shared" si="1672"/>
        <v>17</v>
      </c>
      <c r="C544" s="393" t="s">
        <v>202</v>
      </c>
      <c r="D544" s="398">
        <f>VLOOKUP(D535,'Detail Balok'!$C$10:$AU$140,10,FALSE)</f>
        <v>3</v>
      </c>
      <c r="E544" s="388" t="s">
        <v>16</v>
      </c>
      <c r="F544" s="388">
        <f>VLOOKUP(D535,'Detail Balok'!$C$10:$AU$140,12,FALSE)</f>
        <v>13</v>
      </c>
      <c r="G544" s="388"/>
      <c r="H544" s="395"/>
      <c r="I544" s="388" t="s">
        <v>203</v>
      </c>
      <c r="J544" s="399">
        <f t="shared" ref="J544" si="1673">+D537/4/1000</f>
        <v>0.77500000000000002</v>
      </c>
      <c r="K544" s="400" t="s">
        <v>204</v>
      </c>
      <c r="L544" s="399">
        <f t="shared" ref="L544" si="1674">MAX(VLOOKUP(F544,N$6:P$15,3,FALSE)/1000,2/3*D539/1000)+F$16*F544/1000</f>
        <v>0.156</v>
      </c>
      <c r="M544" s="399" t="s">
        <v>176</v>
      </c>
      <c r="N544" s="399">
        <f t="shared" si="1660"/>
        <v>0.93100000000000005</v>
      </c>
      <c r="O544" s="399" t="s">
        <v>204</v>
      </c>
      <c r="P544" s="389">
        <f t="shared" ref="P544" si="1675">D544-D543</f>
        <v>0</v>
      </c>
      <c r="Q544" s="399" t="s">
        <v>125</v>
      </c>
      <c r="R544" s="399">
        <f t="shared" ref="R544" si="1676">IF(P544&gt;0,$F$18*F544/1000,0)</f>
        <v>0</v>
      </c>
      <c r="S544" s="399" t="s">
        <v>205</v>
      </c>
      <c r="T544" s="399" t="s">
        <v>125</v>
      </c>
      <c r="U544" s="401">
        <f t="shared" si="1663"/>
        <v>1.041885</v>
      </c>
      <c r="V544" s="399"/>
      <c r="W544" s="399"/>
      <c r="X544" s="399" t="s">
        <v>125</v>
      </c>
      <c r="Y544" s="389">
        <f t="shared" ref="Y544" si="1677">D541</f>
        <v>1</v>
      </c>
      <c r="Z544" s="400" t="s">
        <v>176</v>
      </c>
      <c r="AA544" s="402">
        <f t="shared" ref="AA544" si="1678">IF(AA545=0,(D544*N544+P544*R544)*U544*Y544,0)</f>
        <v>0</v>
      </c>
      <c r="AB544" s="403"/>
    </row>
    <row r="545" spans="1:28">
      <c r="A545" s="384" t="str">
        <f t="shared" ref="A545:B545" si="1679">A535</f>
        <v>Lantai 1</v>
      </c>
      <c r="B545" s="385">
        <f t="shared" si="1679"/>
        <v>17</v>
      </c>
      <c r="C545" s="393"/>
      <c r="D545" s="398">
        <f t="shared" si="1575"/>
        <v>3</v>
      </c>
      <c r="E545" s="388" t="s">
        <v>16</v>
      </c>
      <c r="F545" s="388">
        <f t="shared" si="1576"/>
        <v>13</v>
      </c>
      <c r="G545" s="388"/>
      <c r="H545" s="395"/>
      <c r="I545" s="388"/>
      <c r="J545" s="396"/>
      <c r="K545" s="396"/>
      <c r="L545" s="404" t="s">
        <v>207</v>
      </c>
      <c r="M545" s="399" t="s">
        <v>176</v>
      </c>
      <c r="N545" s="399">
        <f t="shared" ref="N545" si="1680">IF(AND(D542=D543,D542=D544,D543=D544,F542=F543,F542=F544,F543=F544),SUM(N542:N544),0)</f>
        <v>3.4119999999999999</v>
      </c>
      <c r="O545" s="399" t="s">
        <v>204</v>
      </c>
      <c r="P545" s="389">
        <f t="shared" ref="P545" si="1681">IF(N545&gt;12,ROUNDDOWN(N545/12,0),0)</f>
        <v>0</v>
      </c>
      <c r="Q545" s="399" t="s">
        <v>125</v>
      </c>
      <c r="R545" s="399">
        <f t="shared" ref="R545" si="1682">IF(P545&gt;0,MAX(VLOOKUP(F545,$D$6:$G$15,3,FALSE),600),0)/1000</f>
        <v>0</v>
      </c>
      <c r="S545" s="396"/>
      <c r="T545" s="396" t="s">
        <v>125</v>
      </c>
      <c r="U545" s="401">
        <f t="shared" si="1580"/>
        <v>1.041885</v>
      </c>
      <c r="V545" s="396" t="s">
        <v>125</v>
      </c>
      <c r="W545" s="399">
        <f t="shared" ref="W545" si="1683">D545</f>
        <v>3</v>
      </c>
      <c r="X545" s="399" t="s">
        <v>125</v>
      </c>
      <c r="Y545" s="389">
        <f t="shared" si="1582"/>
        <v>1</v>
      </c>
      <c r="Z545" s="400" t="s">
        <v>176</v>
      </c>
      <c r="AA545" s="402">
        <f t="shared" ref="AA545" si="1684">(N545+P545*R545/1000)*U545*W545*Y545</f>
        <v>10.664734859999999</v>
      </c>
      <c r="AB545" s="390"/>
    </row>
    <row r="546" spans="1:28">
      <c r="A546" s="384"/>
      <c r="B546" s="385"/>
      <c r="C546" s="393"/>
      <c r="D546" s="398"/>
      <c r="E546" s="388"/>
      <c r="F546" s="388"/>
      <c r="G546" s="388"/>
      <c r="H546" s="395"/>
      <c r="I546" s="388"/>
      <c r="J546" s="396"/>
      <c r="K546" s="396"/>
      <c r="L546" s="404"/>
      <c r="M546" s="399"/>
      <c r="N546" s="399"/>
      <c r="O546" s="396"/>
      <c r="P546" s="389"/>
      <c r="Q546" s="396"/>
      <c r="R546" s="396"/>
      <c r="S546" s="396"/>
      <c r="T546" s="396"/>
      <c r="U546" s="401"/>
      <c r="V546" s="396"/>
      <c r="W546" s="399"/>
      <c r="X546" s="396"/>
      <c r="Y546" s="389"/>
      <c r="Z546" s="396"/>
      <c r="AA546" s="388"/>
      <c r="AB546" s="390"/>
    </row>
    <row r="547" spans="1:28">
      <c r="A547" s="384" t="str">
        <f t="shared" ref="A547:B547" si="1685">A535</f>
        <v>Lantai 1</v>
      </c>
      <c r="B547" s="385">
        <f t="shared" si="1685"/>
        <v>17</v>
      </c>
      <c r="C547" s="393" t="s">
        <v>208</v>
      </c>
      <c r="D547" s="398">
        <f>VLOOKUP(D535,'Detail Balok'!$C$10:$AU$140,13,FALSE)</f>
        <v>0</v>
      </c>
      <c r="E547" s="388" t="s">
        <v>16</v>
      </c>
      <c r="F547" s="388">
        <f>VLOOKUP(D535,'Detail Balok'!$C$10:$AU$140,15,FALSE)</f>
        <v>8</v>
      </c>
      <c r="G547" s="388"/>
      <c r="H547" s="395"/>
      <c r="I547" s="388"/>
      <c r="J547" s="399">
        <f t="shared" ref="J547" si="1686">+D537/1000</f>
        <v>3.1</v>
      </c>
      <c r="K547" s="400" t="s">
        <v>204</v>
      </c>
      <c r="L547" s="399">
        <f t="shared" ref="L547" si="1687">2*$F$16*F547/1000</f>
        <v>0.192</v>
      </c>
      <c r="M547" s="399" t="s">
        <v>176</v>
      </c>
      <c r="N547" s="399">
        <f t="shared" ref="N547" si="1688">J547+L547</f>
        <v>3.2920000000000003</v>
      </c>
      <c r="O547" s="399" t="s">
        <v>204</v>
      </c>
      <c r="P547" s="389">
        <f t="shared" ref="P547" si="1689">IF(N547&gt;12,ROUNDDOWN(N547/12,0),0)</f>
        <v>0</v>
      </c>
      <c r="Q547" s="399" t="s">
        <v>125</v>
      </c>
      <c r="R547" s="399">
        <f t="shared" ref="R547" si="1690">IF(P547&gt;0,MAX(VLOOKUP(F547,$D$6:$G$15,3,FALSE),600),0)/1000</f>
        <v>0</v>
      </c>
      <c r="S547" s="399"/>
      <c r="T547" s="399" t="s">
        <v>125</v>
      </c>
      <c r="U547" s="401">
        <f t="shared" ref="U547" si="1691">0.006165*F547^2</f>
        <v>0.39456000000000002</v>
      </c>
      <c r="V547" s="399" t="s">
        <v>125</v>
      </c>
      <c r="W547" s="399">
        <f t="shared" ref="W547" si="1692">+D547</f>
        <v>0</v>
      </c>
      <c r="X547" s="399" t="s">
        <v>125</v>
      </c>
      <c r="Y547" s="389">
        <f t="shared" ref="Y547" si="1693">D541</f>
        <v>1</v>
      </c>
      <c r="Z547" s="400" t="s">
        <v>176</v>
      </c>
      <c r="AA547" s="402">
        <f t="shared" ref="AA547" si="1694">(N547+P547*R547/1000)*U547*W547*Y547</f>
        <v>0</v>
      </c>
      <c r="AB547" s="403"/>
    </row>
    <row r="548" spans="1:28">
      <c r="A548" s="384"/>
      <c r="B548" s="385"/>
      <c r="C548" s="393"/>
      <c r="D548" s="398"/>
      <c r="E548" s="388"/>
      <c r="F548" s="388"/>
      <c r="G548" s="388"/>
      <c r="H548" s="395"/>
      <c r="I548" s="388"/>
      <c r="J548" s="399"/>
      <c r="K548" s="400"/>
      <c r="L548" s="399"/>
      <c r="M548" s="399"/>
      <c r="N548" s="399"/>
      <c r="O548" s="399"/>
      <c r="P548" s="389"/>
      <c r="Q548" s="399"/>
      <c r="R548" s="399"/>
      <c r="S548" s="399"/>
      <c r="T548" s="399"/>
      <c r="U548" s="401"/>
      <c r="V548" s="399"/>
      <c r="W548" s="399"/>
      <c r="X548" s="399"/>
      <c r="Y548" s="389"/>
      <c r="Z548" s="400"/>
      <c r="AA548" s="402"/>
      <c r="AB548" s="403"/>
    </row>
    <row r="549" spans="1:28">
      <c r="A549" s="384"/>
      <c r="B549" s="385"/>
      <c r="C549" s="393"/>
      <c r="D549" s="398"/>
      <c r="E549" s="388"/>
      <c r="F549" s="388"/>
      <c r="G549" s="388"/>
      <c r="H549" s="395"/>
      <c r="I549" s="388"/>
      <c r="J549" s="396"/>
      <c r="K549" s="396"/>
      <c r="L549" s="396"/>
      <c r="M549" s="396"/>
      <c r="N549" s="396"/>
      <c r="O549" s="396"/>
      <c r="P549" s="389"/>
      <c r="Q549" s="396"/>
      <c r="R549" s="396"/>
      <c r="S549" s="396"/>
      <c r="T549" s="396"/>
      <c r="U549" s="401"/>
      <c r="V549" s="396"/>
      <c r="W549" s="399"/>
      <c r="X549" s="396"/>
      <c r="Y549" s="389"/>
      <c r="Z549" s="396"/>
      <c r="AA549" s="388"/>
      <c r="AB549" s="390"/>
    </row>
    <row r="550" spans="1:28">
      <c r="A550" s="384" t="str">
        <f t="shared" ref="A550:B550" si="1695">A535</f>
        <v>Lantai 1</v>
      </c>
      <c r="B550" s="385">
        <f t="shared" si="1695"/>
        <v>17</v>
      </c>
      <c r="C550" s="393" t="s">
        <v>209</v>
      </c>
      <c r="D550" s="398">
        <f>VLOOKUP(D535,'Detail Balok'!$C$10:$AU$140,22,FALSE)</f>
        <v>3</v>
      </c>
      <c r="E550" s="388" t="s">
        <v>16</v>
      </c>
      <c r="F550" s="388">
        <f>VLOOKUP(D535,'Detail Balok'!$C$10:$AU$140,24,FALSE)</f>
        <v>13</v>
      </c>
      <c r="G550" s="388"/>
      <c r="H550" s="395"/>
      <c r="I550" s="388" t="s">
        <v>203</v>
      </c>
      <c r="J550" s="399">
        <f t="shared" si="1595"/>
        <v>0.77500000000000002</v>
      </c>
      <c r="K550" s="400" t="s">
        <v>204</v>
      </c>
      <c r="L550" s="399">
        <f t="shared" ref="L550" si="1696">MAX(VLOOKUP(F550,N$6:P$15,3,FALSE)/1000,2/3*D540/1000)+F$16*F550/1000</f>
        <v>0.156</v>
      </c>
      <c r="M550" s="399" t="s">
        <v>176</v>
      </c>
      <c r="N550" s="399">
        <f t="shared" ref="N550:N552" si="1697">J550+L550</f>
        <v>0.93100000000000005</v>
      </c>
      <c r="O550" s="399" t="s">
        <v>204</v>
      </c>
      <c r="P550" s="389">
        <f t="shared" ref="P550" si="1698">D550-D551</f>
        <v>0</v>
      </c>
      <c r="Q550" s="399" t="s">
        <v>125</v>
      </c>
      <c r="R550" s="399">
        <f t="shared" ref="R550" si="1699">IF(P550&gt;0,$F$18*F550/1000,0)</f>
        <v>0</v>
      </c>
      <c r="S550" s="399" t="s">
        <v>205</v>
      </c>
      <c r="T550" s="399" t="s">
        <v>125</v>
      </c>
      <c r="U550" s="401">
        <f t="shared" ref="U550:U552" si="1700">0.006165*F550^2</f>
        <v>1.041885</v>
      </c>
      <c r="V550" s="399"/>
      <c r="W550" s="399"/>
      <c r="X550" s="399" t="s">
        <v>125</v>
      </c>
      <c r="Y550" s="389">
        <f t="shared" ref="Y550" si="1701">D541</f>
        <v>1</v>
      </c>
      <c r="Z550" s="400" t="s">
        <v>176</v>
      </c>
      <c r="AA550" s="402">
        <f t="shared" ref="AA550" si="1702">IF(AA553=0,(D550*N550+P550*R550)*U550*Y550,0)</f>
        <v>0</v>
      </c>
      <c r="AB550" s="403"/>
    </row>
    <row r="551" spans="1:28">
      <c r="A551" s="384" t="str">
        <f t="shared" ref="A551:B551" si="1703">A535</f>
        <v>Lantai 1</v>
      </c>
      <c r="B551" s="385">
        <f t="shared" si="1703"/>
        <v>17</v>
      </c>
      <c r="C551" s="393" t="s">
        <v>210</v>
      </c>
      <c r="D551" s="398">
        <f>VLOOKUP(D535,'Detail Balok'!$C$10:$AU$140,25,FALSE)</f>
        <v>3</v>
      </c>
      <c r="E551" s="388" t="s">
        <v>16</v>
      </c>
      <c r="F551" s="388">
        <f>VLOOKUP(D535,'Detail Balok'!$C$10:$AU$140,27,FALSE)</f>
        <v>13</v>
      </c>
      <c r="G551" s="388"/>
      <c r="H551" s="395"/>
      <c r="I551" s="388" t="s">
        <v>203</v>
      </c>
      <c r="J551" s="399">
        <f t="shared" si="1595"/>
        <v>1.55</v>
      </c>
      <c r="K551" s="400" t="s">
        <v>204</v>
      </c>
      <c r="L551" s="399"/>
      <c r="M551" s="399" t="s">
        <v>176</v>
      </c>
      <c r="N551" s="399">
        <f t="shared" si="1697"/>
        <v>1.55</v>
      </c>
      <c r="O551" s="399" t="s">
        <v>204</v>
      </c>
      <c r="P551" s="389">
        <f t="shared" ref="P551" si="1704">MAX(D551-D550,D551-D552)</f>
        <v>0</v>
      </c>
      <c r="Q551" s="399" t="s">
        <v>125</v>
      </c>
      <c r="R551" s="399">
        <f t="shared" ref="R551" si="1705">IF(P551&gt;0,2*(1-2*$F$19-1/2)*D538/1000,0)</f>
        <v>0</v>
      </c>
      <c r="S551" s="399" t="s">
        <v>205</v>
      </c>
      <c r="T551" s="399" t="s">
        <v>125</v>
      </c>
      <c r="U551" s="401">
        <f t="shared" si="1700"/>
        <v>1.041885</v>
      </c>
      <c r="V551" s="399"/>
      <c r="W551" s="399"/>
      <c r="X551" s="399" t="s">
        <v>125</v>
      </c>
      <c r="Y551" s="389">
        <f t="shared" ref="Y551" si="1706">D541</f>
        <v>1</v>
      </c>
      <c r="Z551" s="400" t="s">
        <v>176</v>
      </c>
      <c r="AA551" s="402">
        <f t="shared" ref="AA551" si="1707">IF(AA553=0,(D551*N551+P551*R551)*U551*Y551,0)</f>
        <v>0</v>
      </c>
      <c r="AB551" s="403"/>
    </row>
    <row r="552" spans="1:28">
      <c r="A552" s="384" t="str">
        <f t="shared" ref="A552:B552" si="1708">A535</f>
        <v>Lantai 1</v>
      </c>
      <c r="B552" s="385">
        <f t="shared" si="1708"/>
        <v>17</v>
      </c>
      <c r="C552" s="393" t="s">
        <v>209</v>
      </c>
      <c r="D552" s="398">
        <f>VLOOKUP(D535,'Detail Balok'!$C$10:$AU$140,28,FALSE)</f>
        <v>3</v>
      </c>
      <c r="E552" s="388" t="s">
        <v>16</v>
      </c>
      <c r="F552" s="388">
        <f>VLOOKUP(D535,'Detail Balok'!$C$10:$AU$140,30,FALSE)</f>
        <v>13</v>
      </c>
      <c r="G552" s="388"/>
      <c r="H552" s="395"/>
      <c r="I552" s="388" t="s">
        <v>203</v>
      </c>
      <c r="J552" s="399">
        <f t="shared" si="1595"/>
        <v>0.77500000000000002</v>
      </c>
      <c r="K552" s="400" t="s">
        <v>204</v>
      </c>
      <c r="L552" s="399">
        <f t="shared" ref="L552" si="1709">MAX(VLOOKUP(F552,N$6:P$15,3,FALSE)/1000,2/3*D540/1000)+F$16*F552/1000</f>
        <v>0.156</v>
      </c>
      <c r="M552" s="399" t="s">
        <v>176</v>
      </c>
      <c r="N552" s="399">
        <f t="shared" si="1697"/>
        <v>0.93100000000000005</v>
      </c>
      <c r="O552" s="399" t="s">
        <v>204</v>
      </c>
      <c r="P552" s="389">
        <f t="shared" ref="P552" si="1710">D552-D551</f>
        <v>0</v>
      </c>
      <c r="Q552" s="399" t="s">
        <v>125</v>
      </c>
      <c r="R552" s="399">
        <f t="shared" ref="R552" si="1711">IF(P552&gt;0,$F$18*F552/1000,0)</f>
        <v>0</v>
      </c>
      <c r="S552" s="399" t="s">
        <v>205</v>
      </c>
      <c r="T552" s="399" t="s">
        <v>125</v>
      </c>
      <c r="U552" s="401">
        <f t="shared" si="1700"/>
        <v>1.041885</v>
      </c>
      <c r="V552" s="399"/>
      <c r="W552" s="399"/>
      <c r="X552" s="399" t="s">
        <v>125</v>
      </c>
      <c r="Y552" s="389">
        <f t="shared" ref="Y552" si="1712">D541</f>
        <v>1</v>
      </c>
      <c r="Z552" s="400" t="s">
        <v>176</v>
      </c>
      <c r="AA552" s="402">
        <f t="shared" ref="AA552" si="1713">IF(AA553=0,(D552*N552+P552*R552)*U552*Y552,0)</f>
        <v>0</v>
      </c>
      <c r="AB552" s="403"/>
    </row>
    <row r="553" spans="1:28">
      <c r="A553" s="384" t="str">
        <f t="shared" ref="A553:B553" si="1714">A535</f>
        <v>Lantai 1</v>
      </c>
      <c r="B553" s="385">
        <f t="shared" si="1714"/>
        <v>17</v>
      </c>
      <c r="C553" s="393"/>
      <c r="D553" s="398">
        <f t="shared" si="1615"/>
        <v>3</v>
      </c>
      <c r="E553" s="388" t="s">
        <v>16</v>
      </c>
      <c r="F553" s="388">
        <f t="shared" si="1616"/>
        <v>13</v>
      </c>
      <c r="G553" s="388"/>
      <c r="H553" s="395"/>
      <c r="I553" s="388"/>
      <c r="J553" s="396"/>
      <c r="K553" s="396"/>
      <c r="L553" s="404" t="s">
        <v>207</v>
      </c>
      <c r="M553" s="399" t="s">
        <v>176</v>
      </c>
      <c r="N553" s="399">
        <f t="shared" ref="N553" si="1715">IF(AND(D550=D551,D550=D552,D551=D552,F550=F551,F550=F552,F551=F552),SUM(N550:N552),0)</f>
        <v>3.4119999999999999</v>
      </c>
      <c r="O553" s="399" t="s">
        <v>204</v>
      </c>
      <c r="P553" s="389">
        <f t="shared" ref="P553" si="1716">IF(N553&gt;12,ROUNDDOWN(N553/12,0),0)</f>
        <v>0</v>
      </c>
      <c r="Q553" s="399" t="s">
        <v>125</v>
      </c>
      <c r="R553" s="399">
        <f t="shared" ref="R553" si="1717">IF(P553&gt;0,MAX(VLOOKUP(F553,$D$6:$G$15,3,FALSE),600),0)/1000</f>
        <v>0</v>
      </c>
      <c r="S553" s="396"/>
      <c r="T553" s="396" t="s">
        <v>125</v>
      </c>
      <c r="U553" s="401">
        <f t="shared" si="1620"/>
        <v>1.041885</v>
      </c>
      <c r="V553" s="396" t="s">
        <v>125</v>
      </c>
      <c r="W553" s="399">
        <f t="shared" ref="W553" si="1718">D553</f>
        <v>3</v>
      </c>
      <c r="X553" s="399" t="s">
        <v>125</v>
      </c>
      <c r="Y553" s="389">
        <f t="shared" si="1622"/>
        <v>1</v>
      </c>
      <c r="Z553" s="400" t="s">
        <v>176</v>
      </c>
      <c r="AA553" s="402">
        <f t="shared" ref="AA553" si="1719">(N553+P553*R553/1000)*U553*W553*Y553</f>
        <v>10.664734859999999</v>
      </c>
      <c r="AB553" s="403"/>
    </row>
    <row r="554" spans="1:28">
      <c r="A554" s="384"/>
      <c r="B554" s="385"/>
      <c r="C554" s="393"/>
      <c r="D554" s="394"/>
      <c r="E554" s="388"/>
      <c r="F554" s="388"/>
      <c r="G554" s="388"/>
      <c r="H554" s="395"/>
      <c r="I554" s="388"/>
      <c r="J554" s="399"/>
      <c r="K554" s="396"/>
      <c r="L554" s="396"/>
      <c r="M554" s="396"/>
      <c r="N554" s="396"/>
      <c r="O554" s="396"/>
      <c r="P554" s="389"/>
      <c r="Q554" s="396"/>
      <c r="R554" s="396"/>
      <c r="S554" s="396"/>
      <c r="T554" s="396"/>
      <c r="U554" s="401"/>
      <c r="V554" s="396"/>
      <c r="W554" s="388"/>
      <c r="X554" s="396"/>
      <c r="Y554" s="389"/>
      <c r="Z554" s="396"/>
      <c r="AA554" s="388"/>
      <c r="AB554" s="390"/>
    </row>
    <row r="555" spans="1:28">
      <c r="A555" s="384" t="str">
        <f t="shared" ref="A555:B555" si="1720">A535</f>
        <v>Lantai 1</v>
      </c>
      <c r="B555" s="385">
        <f t="shared" si="1720"/>
        <v>17</v>
      </c>
      <c r="C555" s="393" t="s">
        <v>211</v>
      </c>
      <c r="D555" s="398">
        <f>VLOOKUP(D535,'Detail Balok'!$C$10:$AU$140,31,FALSE)</f>
        <v>0</v>
      </c>
      <c r="E555" s="388" t="s">
        <v>16</v>
      </c>
      <c r="F555" s="388">
        <f>VLOOKUP(D535,'Detail Balok'!$C$10:$AU$140,33,FALSE)</f>
        <v>8</v>
      </c>
      <c r="G555" s="405" t="s">
        <v>157</v>
      </c>
      <c r="H555" s="395">
        <f>VLOOKUP(D535,'Detail Balok'!$C$10:$AU$140,35,FALSE)</f>
        <v>150</v>
      </c>
      <c r="I555" s="388"/>
      <c r="J555" s="400">
        <f t="shared" ref="J555" si="1721">(IF(D555=0,(2*(D536+G536))-(F$5*8),IF(D555=3,(2*(D536+G536))-(F$5*8)+(G536-2*F$5),IF(D555=4,(2*(D536+G536))-(F$5*8)+2*(G536-2*F$5)))))/1000</f>
        <v>0.88</v>
      </c>
      <c r="K555" s="400" t="s">
        <v>204</v>
      </c>
      <c r="L555" s="399">
        <f t="shared" ref="L555:L557" si="1722">IF(D555=0,2*MAX(6*F555,75),(D555-1)*2*MAX(6*F555,75))/1000</f>
        <v>0.15</v>
      </c>
      <c r="M555" s="399" t="s">
        <v>176</v>
      </c>
      <c r="N555" s="399">
        <f t="shared" ref="N555:N557" si="1723">J555+L555</f>
        <v>1.03</v>
      </c>
      <c r="O555" s="399"/>
      <c r="P555" s="389"/>
      <c r="Q555" s="399"/>
      <c r="R555" s="399"/>
      <c r="S555" s="399"/>
      <c r="T555" s="399" t="s">
        <v>125</v>
      </c>
      <c r="U555" s="401">
        <f t="shared" ref="U555:U557" si="1724">0.006165*F555^2</f>
        <v>0.39456000000000002</v>
      </c>
      <c r="V555" s="399" t="s">
        <v>125</v>
      </c>
      <c r="W555" s="399">
        <f t="shared" ref="W555" si="1725">IF(D538&gt;4*G536,ROUND(MAX(D538/4,2*G536)/H555,0)+1,ROUND(D538/H555,0)+1)</f>
        <v>6</v>
      </c>
      <c r="X555" s="399" t="s">
        <v>125</v>
      </c>
      <c r="Y555" s="389">
        <f t="shared" ref="Y555" si="1726">D541</f>
        <v>1</v>
      </c>
      <c r="Z555" s="400" t="s">
        <v>176</v>
      </c>
      <c r="AA555" s="402">
        <f t="shared" ref="AA555:AA557" si="1727">N555*U555*W555*Y555</f>
        <v>2.4383808000000005</v>
      </c>
      <c r="AB555" s="403"/>
    </row>
    <row r="556" spans="1:28">
      <c r="A556" s="384" t="str">
        <f t="shared" ref="A556:B556" si="1728">A535</f>
        <v>Lantai 1</v>
      </c>
      <c r="B556" s="385">
        <f t="shared" si="1728"/>
        <v>17</v>
      </c>
      <c r="C556" s="393" t="s">
        <v>212</v>
      </c>
      <c r="D556" s="398">
        <f>VLOOKUP(D535,'Detail Balok'!$C$10:$AU$140,36,FALSE)</f>
        <v>0</v>
      </c>
      <c r="E556" s="388" t="s">
        <v>16</v>
      </c>
      <c r="F556" s="388">
        <f>VLOOKUP(D535,'Detail Balok'!$C$10:$AU$140,38,FALSE)</f>
        <v>8</v>
      </c>
      <c r="G556" s="405" t="s">
        <v>157</v>
      </c>
      <c r="H556" s="395">
        <f>VLOOKUP(D535,'Detail Balok'!$C$10:$AU$140,40,FALSE)</f>
        <v>200</v>
      </c>
      <c r="I556" s="388"/>
      <c r="J556" s="400">
        <f t="shared" ref="J556" si="1729">(IF(D556=0,(2*(D536+G536))-(F$5*8),IF(D556=3,(2*(D536+G536))-(F$5*8)+(G536-2*F$5),IF(D556=4,(2*(D536+G536))-(F$5*8)+2*(G536-2*F$5)))))/1000</f>
        <v>0.88</v>
      </c>
      <c r="K556" s="400" t="s">
        <v>204</v>
      </c>
      <c r="L556" s="399">
        <f t="shared" si="1722"/>
        <v>0.15</v>
      </c>
      <c r="M556" s="399" t="s">
        <v>176</v>
      </c>
      <c r="N556" s="399">
        <f t="shared" si="1723"/>
        <v>1.03</v>
      </c>
      <c r="O556" s="399"/>
      <c r="P556" s="389"/>
      <c r="Q556" s="399"/>
      <c r="R556" s="399"/>
      <c r="S556" s="399"/>
      <c r="T556" s="399" t="s">
        <v>125</v>
      </c>
      <c r="U556" s="401">
        <f t="shared" si="1724"/>
        <v>0.39456000000000002</v>
      </c>
      <c r="V556" s="399" t="s">
        <v>125</v>
      </c>
      <c r="W556" s="399">
        <f t="shared" ref="W556" si="1730">IF(D538-MAX(D538/4,2*G536)*2&gt;0,ROUND((D538-MAX(D538/4,2*G536)*2)/H556,0),0)</f>
        <v>8</v>
      </c>
      <c r="X556" s="399" t="s">
        <v>125</v>
      </c>
      <c r="Y556" s="389">
        <f t="shared" ref="Y556" si="1731">D541</f>
        <v>1</v>
      </c>
      <c r="Z556" s="400" t="s">
        <v>176</v>
      </c>
      <c r="AA556" s="402">
        <f t="shared" si="1727"/>
        <v>3.2511744000000005</v>
      </c>
      <c r="AB556" s="403"/>
    </row>
    <row r="557" spans="1:28">
      <c r="A557" s="384" t="str">
        <f t="shared" ref="A557:B557" si="1732">A535</f>
        <v>Lantai 1</v>
      </c>
      <c r="B557" s="385">
        <f t="shared" si="1732"/>
        <v>17</v>
      </c>
      <c r="C557" s="393" t="s">
        <v>211</v>
      </c>
      <c r="D557" s="398">
        <f>VLOOKUP(D535,'Detail Balok'!$C$10:$AU$140,41,FALSE)</f>
        <v>0</v>
      </c>
      <c r="E557" s="388" t="s">
        <v>16</v>
      </c>
      <c r="F557" s="388">
        <f>VLOOKUP(D535,'Detail Balok'!$C$10:$AU$140,43,FALSE)</f>
        <v>8</v>
      </c>
      <c r="G557" s="405" t="s">
        <v>157</v>
      </c>
      <c r="H557" s="395">
        <f>VLOOKUP(D535,'Detail Balok'!$C$10:$AU$140,45,FALSE)</f>
        <v>150</v>
      </c>
      <c r="I557" s="388"/>
      <c r="J557" s="400">
        <f t="shared" ref="J557" si="1733">(IF(D557=0,(2*(D536+G536))-(F$5*8),IF(D557=3,(2*(D536+G536))-(F$5*8)+(G536-2*F$5),IF(D557=4,(2*(D536+G536))-(F$5*8)+2*(G536-2*F$5)))))/1000</f>
        <v>0.88</v>
      </c>
      <c r="K557" s="400" t="s">
        <v>204</v>
      </c>
      <c r="L557" s="399">
        <f t="shared" si="1722"/>
        <v>0.15</v>
      </c>
      <c r="M557" s="399" t="s">
        <v>176</v>
      </c>
      <c r="N557" s="399">
        <f t="shared" si="1723"/>
        <v>1.03</v>
      </c>
      <c r="O557" s="399"/>
      <c r="P557" s="389"/>
      <c r="Q557" s="399"/>
      <c r="R557" s="399"/>
      <c r="S557" s="399"/>
      <c r="T557" s="399" t="s">
        <v>125</v>
      </c>
      <c r="U557" s="401">
        <f t="shared" si="1724"/>
        <v>0.39456000000000002</v>
      </c>
      <c r="V557" s="399" t="s">
        <v>125</v>
      </c>
      <c r="W557" s="399">
        <f t="shared" ref="W557" si="1734">IF(D538&gt;4*G536,ROUND(MAX(D538/4,2*G536)/H557,0)+1,0)</f>
        <v>6</v>
      </c>
      <c r="X557" s="399" t="s">
        <v>125</v>
      </c>
      <c r="Y557" s="389">
        <f t="shared" ref="Y557" si="1735">D541</f>
        <v>1</v>
      </c>
      <c r="Z557" s="400" t="s">
        <v>176</v>
      </c>
      <c r="AA557" s="402">
        <f t="shared" si="1727"/>
        <v>2.4383808000000005</v>
      </c>
      <c r="AB557" s="403"/>
    </row>
    <row r="558" spans="1:28">
      <c r="A558" s="384"/>
      <c r="B558" s="385"/>
      <c r="C558" s="393"/>
      <c r="D558" s="394"/>
      <c r="E558" s="388"/>
      <c r="F558" s="388"/>
      <c r="G558" s="388"/>
      <c r="H558" s="395"/>
      <c r="I558" s="388"/>
      <c r="J558" s="399"/>
      <c r="K558" s="396"/>
      <c r="L558" s="396"/>
      <c r="M558" s="396"/>
      <c r="N558" s="396"/>
      <c r="O558" s="396"/>
      <c r="P558" s="389"/>
      <c r="Q558" s="396"/>
      <c r="R558" s="396"/>
      <c r="S558" s="396"/>
      <c r="T558" s="396"/>
      <c r="U558" s="401"/>
      <c r="V558" s="396"/>
      <c r="W558" s="388"/>
      <c r="X558" s="396"/>
      <c r="Y558" s="389"/>
      <c r="Z558" s="396"/>
      <c r="AA558" s="388"/>
      <c r="AB558" s="390"/>
    </row>
    <row r="559" spans="1:28">
      <c r="A559" s="384" t="str">
        <f t="shared" ref="A559:B559" si="1736">A535</f>
        <v>Lantai 1</v>
      </c>
      <c r="B559" s="385">
        <f t="shared" si="1736"/>
        <v>17</v>
      </c>
      <c r="C559" s="393" t="s">
        <v>213</v>
      </c>
      <c r="D559" s="398">
        <f>VLOOKUP(D535,'Detail Balok'!$C$10:$BJ$140,46,FALSE)</f>
        <v>0</v>
      </c>
      <c r="E559" s="388" t="s">
        <v>16</v>
      </c>
      <c r="F559" s="388">
        <f>VLOOKUP(D535,'Detail Balok'!$C$10:$BJ$140,48,FALSE)</f>
        <v>0</v>
      </c>
      <c r="G559" s="405" t="s">
        <v>157</v>
      </c>
      <c r="H559" s="395">
        <f>VLOOKUP(D535,'Detail Balok'!$C$10:$BJ$140,50,FALSE)</f>
        <v>100</v>
      </c>
      <c r="I559" s="388"/>
      <c r="J559" s="399">
        <f t="shared" ref="J559" si="1737">(D536-2*F$5)/1000</f>
        <v>0.12</v>
      </c>
      <c r="K559" s="400" t="s">
        <v>204</v>
      </c>
      <c r="L559" s="399">
        <f t="shared" ref="L559:L561" si="1738">IF(D559=0,2*MAX(6*F559,75),(D559-1)*2*MAX(6*F559,75))/1000</f>
        <v>0.15</v>
      </c>
      <c r="M559" s="399" t="s">
        <v>176</v>
      </c>
      <c r="N559" s="399">
        <f t="shared" ref="N559:N561" si="1739">J559+L559</f>
        <v>0.27</v>
      </c>
      <c r="O559" s="399"/>
      <c r="P559" s="399"/>
      <c r="Q559" s="399"/>
      <c r="R559" s="399"/>
      <c r="S559" s="399"/>
      <c r="T559" s="399" t="s">
        <v>125</v>
      </c>
      <c r="U559" s="401">
        <f t="shared" ref="U559:U561" si="1740">0.006165*F559^2</f>
        <v>0</v>
      </c>
      <c r="V559" s="399" t="s">
        <v>125</v>
      </c>
      <c r="W559" s="399">
        <f t="shared" si="1645"/>
        <v>6</v>
      </c>
      <c r="X559" s="399" t="s">
        <v>125</v>
      </c>
      <c r="Y559" s="389">
        <f t="shared" ref="Y559" si="1741">D545</f>
        <v>3</v>
      </c>
      <c r="Z559" s="400" t="s">
        <v>176</v>
      </c>
      <c r="AA559" s="402">
        <f t="shared" ref="AA559:AA561" si="1742">N559*U559*W559*Y559</f>
        <v>0</v>
      </c>
      <c r="AB559" s="403"/>
    </row>
    <row r="560" spans="1:28">
      <c r="A560" s="384" t="str">
        <f t="shared" ref="A560:B560" si="1743">A535</f>
        <v>Lantai 1</v>
      </c>
      <c r="B560" s="385">
        <f t="shared" si="1743"/>
        <v>17</v>
      </c>
      <c r="C560" s="393" t="s">
        <v>214</v>
      </c>
      <c r="D560" s="398">
        <f>VLOOKUP(D535,'Detail Balok'!$C$10:$BJ$140,51,FALSE)</f>
        <v>0</v>
      </c>
      <c r="E560" s="388" t="s">
        <v>16</v>
      </c>
      <c r="F560" s="388">
        <f>VLOOKUP(D535,'Detail Balok'!$C$10:$BJ$140,53,FALSE)</f>
        <v>0</v>
      </c>
      <c r="G560" s="405" t="s">
        <v>157</v>
      </c>
      <c r="H560" s="395">
        <f>VLOOKUP(D535,'Detail Balok'!$C$10:$BJ$140,55,FALSE)</f>
        <v>100</v>
      </c>
      <c r="I560" s="388"/>
      <c r="J560" s="399">
        <f t="shared" ref="J560" si="1744">(D536-2*F$5)/1000</f>
        <v>0.12</v>
      </c>
      <c r="K560" s="400" t="s">
        <v>204</v>
      </c>
      <c r="L560" s="399">
        <f t="shared" si="1738"/>
        <v>0.15</v>
      </c>
      <c r="M560" s="399" t="s">
        <v>176</v>
      </c>
      <c r="N560" s="399">
        <f t="shared" si="1739"/>
        <v>0.27</v>
      </c>
      <c r="O560" s="399"/>
      <c r="P560" s="399"/>
      <c r="Q560" s="399"/>
      <c r="R560" s="399"/>
      <c r="S560" s="399"/>
      <c r="T560" s="399" t="s">
        <v>125</v>
      </c>
      <c r="U560" s="401">
        <f t="shared" si="1740"/>
        <v>0</v>
      </c>
      <c r="V560" s="399" t="s">
        <v>125</v>
      </c>
      <c r="W560" s="399">
        <f t="shared" si="1645"/>
        <v>8</v>
      </c>
      <c r="X560" s="399" t="s">
        <v>125</v>
      </c>
      <c r="Y560" s="389">
        <f t="shared" ref="Y560" si="1745">D545</f>
        <v>3</v>
      </c>
      <c r="Z560" s="400" t="s">
        <v>176</v>
      </c>
      <c r="AA560" s="402">
        <f t="shared" si="1742"/>
        <v>0</v>
      </c>
      <c r="AB560" s="403"/>
    </row>
    <row r="561" spans="1:28">
      <c r="A561" s="384" t="str">
        <f t="shared" ref="A561:B561" si="1746">A535</f>
        <v>Lantai 1</v>
      </c>
      <c r="B561" s="385">
        <f t="shared" si="1746"/>
        <v>17</v>
      </c>
      <c r="C561" s="393" t="s">
        <v>213</v>
      </c>
      <c r="D561" s="398">
        <f>VLOOKUP(D535,'Detail Balok'!$C$10:$BJ$140,56,FALSE)</f>
        <v>0</v>
      </c>
      <c r="E561" s="388" t="s">
        <v>16</v>
      </c>
      <c r="F561" s="388">
        <f>VLOOKUP(D535,'Detail Balok'!$C$10:$BJ$140,58,FALSE)</f>
        <v>0</v>
      </c>
      <c r="G561" s="405" t="s">
        <v>157</v>
      </c>
      <c r="H561" s="395">
        <f>VLOOKUP(D535,'Detail Balok'!$C$10:$BJ$140,60,FALSE)</f>
        <v>100</v>
      </c>
      <c r="I561" s="388"/>
      <c r="J561" s="399">
        <f t="shared" ref="J561" si="1747">(D536-2*F$5)/1000</f>
        <v>0.12</v>
      </c>
      <c r="K561" s="400" t="s">
        <v>204</v>
      </c>
      <c r="L561" s="399">
        <f t="shared" si="1738"/>
        <v>0.15</v>
      </c>
      <c r="M561" s="399" t="s">
        <v>176</v>
      </c>
      <c r="N561" s="399">
        <f t="shared" si="1739"/>
        <v>0.27</v>
      </c>
      <c r="O561" s="399"/>
      <c r="P561" s="399"/>
      <c r="Q561" s="399"/>
      <c r="R561" s="399"/>
      <c r="S561" s="399"/>
      <c r="T561" s="399" t="s">
        <v>125</v>
      </c>
      <c r="U561" s="401">
        <f t="shared" si="1740"/>
        <v>0</v>
      </c>
      <c r="V561" s="399" t="s">
        <v>125</v>
      </c>
      <c r="W561" s="399">
        <f t="shared" si="1645"/>
        <v>6</v>
      </c>
      <c r="X561" s="399" t="s">
        <v>125</v>
      </c>
      <c r="Y561" s="389">
        <f t="shared" ref="Y561" si="1748">D545</f>
        <v>3</v>
      </c>
      <c r="Z561" s="400" t="s">
        <v>176</v>
      </c>
      <c r="AA561" s="402">
        <f t="shared" si="1742"/>
        <v>0</v>
      </c>
      <c r="AB561" s="403"/>
    </row>
    <row r="562" spans="1:28">
      <c r="A562" s="391"/>
      <c r="B562" s="392"/>
      <c r="C562" s="392"/>
      <c r="D562" s="394"/>
      <c r="E562" s="388"/>
      <c r="F562" s="388"/>
      <c r="G562" s="388"/>
      <c r="H562" s="395"/>
      <c r="I562" s="388"/>
      <c r="J562" s="402"/>
      <c r="K562" s="388"/>
      <c r="L562" s="388"/>
      <c r="M562" s="388"/>
      <c r="N562" s="388"/>
      <c r="O562" s="388"/>
      <c r="P562" s="388"/>
      <c r="Q562" s="388"/>
      <c r="R562" s="388"/>
      <c r="S562" s="388"/>
      <c r="T562" s="388"/>
      <c r="U562" s="388"/>
      <c r="V562" s="388"/>
      <c r="W562" s="388"/>
      <c r="X562" s="388"/>
      <c r="Y562" s="389"/>
      <c r="Z562" s="388"/>
      <c r="AA562" s="402"/>
      <c r="AB562" s="403"/>
    </row>
    <row r="563" spans="1:28" ht="15.75" thickBot="1">
      <c r="A563" s="406"/>
      <c r="B563" s="407"/>
      <c r="C563" s="407"/>
      <c r="D563" s="408"/>
      <c r="E563" s="409"/>
      <c r="F563" s="409"/>
      <c r="G563" s="409"/>
      <c r="H563" s="410"/>
      <c r="I563" s="409"/>
      <c r="J563" s="409"/>
      <c r="K563" s="409"/>
      <c r="L563" s="409"/>
      <c r="M563" s="409"/>
      <c r="N563" s="409"/>
      <c r="O563" s="409"/>
      <c r="P563" s="409"/>
      <c r="Q563" s="409"/>
      <c r="R563" s="409"/>
      <c r="S563" s="409"/>
      <c r="T563" s="409"/>
      <c r="U563" s="409"/>
      <c r="V563" s="409"/>
      <c r="W563" s="409"/>
      <c r="X563" s="409"/>
      <c r="Y563" s="411"/>
      <c r="Z563" s="409"/>
      <c r="AA563" s="412"/>
      <c r="AB563" s="413"/>
    </row>
    <row r="564" spans="1:28">
      <c r="A564" s="377"/>
      <c r="B564" s="378"/>
      <c r="C564" s="378"/>
      <c r="D564" s="379"/>
      <c r="E564" s="380"/>
      <c r="F564" s="380"/>
      <c r="G564" s="380"/>
      <c r="H564" s="381"/>
      <c r="I564" s="380"/>
      <c r="J564" s="380"/>
      <c r="K564" s="380"/>
      <c r="L564" s="380"/>
      <c r="M564" s="380"/>
      <c r="N564" s="380"/>
      <c r="O564" s="380"/>
      <c r="P564" s="380"/>
      <c r="Q564" s="380"/>
      <c r="R564" s="380"/>
      <c r="S564" s="380"/>
      <c r="T564" s="380"/>
      <c r="U564" s="380"/>
      <c r="V564" s="380"/>
      <c r="W564" s="380"/>
      <c r="X564" s="380"/>
      <c r="Y564" s="382"/>
      <c r="Z564" s="380"/>
      <c r="AA564" s="380"/>
      <c r="AB564" s="383"/>
    </row>
    <row r="565" spans="1:28">
      <c r="A565" s="384" t="str">
        <f t="shared" si="1654"/>
        <v>Lantai 1</v>
      </c>
      <c r="B565" s="385">
        <f t="shared" si="1655"/>
        <v>18</v>
      </c>
      <c r="C565" s="386" t="str">
        <f t="shared" ref="C565" si="1749">CONCATENATE(A565," no. ",B565)</f>
        <v>Lantai 1 no. 18</v>
      </c>
      <c r="D565" s="2562" t="str">
        <f>VLOOKUP(C565,'Data Panjang Balok'!$C$9:$N$254,2,FALSE)</f>
        <v>S25-1</v>
      </c>
      <c r="E565" s="2576"/>
      <c r="F565" s="2576"/>
      <c r="G565" s="2576"/>
      <c r="H565" s="2577"/>
      <c r="I565" s="387"/>
      <c r="J565" s="388"/>
      <c r="K565" s="388"/>
      <c r="L565" s="388"/>
      <c r="M565" s="388"/>
      <c r="N565" s="388"/>
      <c r="O565" s="388"/>
      <c r="P565" s="388"/>
      <c r="Q565" s="388"/>
      <c r="R565" s="388"/>
      <c r="S565" s="388"/>
      <c r="T565" s="388"/>
      <c r="U565" s="388"/>
      <c r="V565" s="388"/>
      <c r="W565" s="388"/>
      <c r="X565" s="388"/>
      <c r="Y565" s="389"/>
      <c r="Z565" s="388"/>
      <c r="AA565" s="388"/>
      <c r="AB565" s="390"/>
    </row>
    <row r="566" spans="1:28">
      <c r="A566" s="391"/>
      <c r="B566" s="392"/>
      <c r="C566" s="393" t="s">
        <v>118</v>
      </c>
      <c r="D566" s="2578">
        <f>VLOOKUP(D565,'Detail Balok'!$C$10:$AU$140,2,FALSE)</f>
        <v>200</v>
      </c>
      <c r="E566" s="2579"/>
      <c r="F566" s="388" t="s">
        <v>125</v>
      </c>
      <c r="G566" s="2579">
        <f>VLOOKUP(D565,'Detail Balok'!$C$10:$AU$140,3,FALSE)</f>
        <v>500</v>
      </c>
      <c r="H566" s="2580"/>
      <c r="I566" s="388"/>
      <c r="J566" s="396"/>
      <c r="K566" s="396"/>
      <c r="L566" s="396"/>
      <c r="M566" s="396"/>
      <c r="N566" s="396"/>
      <c r="O566" s="396"/>
      <c r="P566" s="396"/>
      <c r="Q566" s="396"/>
      <c r="R566" s="396"/>
      <c r="S566" s="396"/>
      <c r="T566" s="396"/>
      <c r="U566" s="388"/>
      <c r="V566" s="396"/>
      <c r="W566" s="388"/>
      <c r="X566" s="396"/>
      <c r="Y566" s="389"/>
      <c r="Z566" s="396"/>
      <c r="AA566" s="388"/>
      <c r="AB566" s="390"/>
    </row>
    <row r="567" spans="1:28">
      <c r="A567" s="391"/>
      <c r="B567" s="392"/>
      <c r="C567" s="393" t="s">
        <v>198</v>
      </c>
      <c r="D567" s="2562">
        <f>VLOOKUP(C565,'Data Panjang Balok'!$C$9:$N$254,4,FALSE)</f>
        <v>13400</v>
      </c>
      <c r="E567" s="2563"/>
      <c r="F567" s="2563"/>
      <c r="G567" s="2563"/>
      <c r="H567" s="2564"/>
      <c r="I567" s="397"/>
      <c r="J567" s="396"/>
      <c r="K567" s="396"/>
      <c r="L567" s="396"/>
      <c r="M567" s="396"/>
      <c r="N567" s="396"/>
      <c r="O567" s="396"/>
      <c r="P567" s="396"/>
      <c r="Q567" s="396"/>
      <c r="R567" s="396"/>
      <c r="S567" s="396"/>
      <c r="T567" s="396"/>
      <c r="U567" s="388"/>
      <c r="V567" s="396"/>
      <c r="W567" s="388"/>
      <c r="X567" s="396"/>
      <c r="Y567" s="389"/>
      <c r="Z567" s="396"/>
      <c r="AA567" s="388"/>
      <c r="AB567" s="390"/>
    </row>
    <row r="568" spans="1:28">
      <c r="A568" s="391"/>
      <c r="B568" s="392"/>
      <c r="C568" s="393" t="s">
        <v>199</v>
      </c>
      <c r="D568" s="2562">
        <f>VLOOKUP(C565,'Data Panjang Balok'!$C$9:$N$254,7,FALSE)</f>
        <v>13400</v>
      </c>
      <c r="E568" s="2563"/>
      <c r="F568" s="2563"/>
      <c r="G568" s="2563"/>
      <c r="H568" s="2564"/>
      <c r="I568" s="397"/>
      <c r="J568" s="396"/>
      <c r="K568" s="396"/>
      <c r="L568" s="396"/>
      <c r="M568" s="396"/>
      <c r="N568" s="396"/>
      <c r="O568" s="396"/>
      <c r="P568" s="396"/>
      <c r="Q568" s="396"/>
      <c r="R568" s="396"/>
      <c r="S568" s="396"/>
      <c r="T568" s="396"/>
      <c r="U568" s="388"/>
      <c r="V568" s="396"/>
      <c r="W568" s="388"/>
      <c r="X568" s="396"/>
      <c r="Y568" s="389"/>
      <c r="Z568" s="396"/>
      <c r="AA568" s="388"/>
      <c r="AB568" s="390"/>
    </row>
    <row r="569" spans="1:28">
      <c r="A569" s="391"/>
      <c r="B569" s="392"/>
      <c r="C569" s="393" t="s">
        <v>200</v>
      </c>
      <c r="D569" s="2562">
        <f>VLOOKUP(C565,'Data Panjang Balok'!$C$9:$N$254,9,FALSE)</f>
        <v>0</v>
      </c>
      <c r="E569" s="2563"/>
      <c r="F569" s="2563"/>
      <c r="G569" s="2563"/>
      <c r="H569" s="2564"/>
      <c r="I569" s="397"/>
      <c r="J569" s="396"/>
      <c r="K569" s="396"/>
      <c r="L569" s="396"/>
      <c r="M569" s="396"/>
      <c r="N569" s="396"/>
      <c r="O569" s="396"/>
      <c r="P569" s="396"/>
      <c r="Q569" s="396"/>
      <c r="R569" s="396"/>
      <c r="S569" s="396"/>
      <c r="T569" s="396"/>
      <c r="U569" s="388"/>
      <c r="V569" s="396"/>
      <c r="W569" s="388"/>
      <c r="X569" s="396"/>
      <c r="Y569" s="389"/>
      <c r="Z569" s="396"/>
      <c r="AA569" s="388"/>
      <c r="AB569" s="390"/>
    </row>
    <row r="570" spans="1:28">
      <c r="A570" s="391"/>
      <c r="B570" s="392"/>
      <c r="C570" s="393" t="s">
        <v>201</v>
      </c>
      <c r="D570" s="2562">
        <f>VLOOKUP(C565,'Data Panjang Balok'!$C$9:$N$254,10,FALSE)</f>
        <v>0</v>
      </c>
      <c r="E570" s="2563"/>
      <c r="F570" s="2563"/>
      <c r="G570" s="2563"/>
      <c r="H570" s="2564"/>
      <c r="I570" s="397"/>
      <c r="J570" s="396"/>
      <c r="K570" s="396"/>
      <c r="L570" s="396"/>
      <c r="M570" s="396"/>
      <c r="N570" s="396"/>
      <c r="O570" s="396"/>
      <c r="P570" s="396"/>
      <c r="Q570" s="396"/>
      <c r="R570" s="396"/>
      <c r="S570" s="396"/>
      <c r="T570" s="396"/>
      <c r="U570" s="388"/>
      <c r="V570" s="396"/>
      <c r="W570" s="388"/>
      <c r="X570" s="396"/>
      <c r="Y570" s="389"/>
      <c r="Z570" s="396"/>
      <c r="AA570" s="388"/>
      <c r="AB570" s="390"/>
    </row>
    <row r="571" spans="1:28">
      <c r="A571" s="391"/>
      <c r="B571" s="392"/>
      <c r="C571" s="393" t="s">
        <v>48</v>
      </c>
      <c r="D571" s="2562">
        <f>VLOOKUP(C565,'Data Panjang Balok'!$C$9:$N$254,3,FALSE)</f>
        <v>1</v>
      </c>
      <c r="E571" s="2563"/>
      <c r="F571" s="2563"/>
      <c r="G571" s="2563"/>
      <c r="H571" s="2564"/>
      <c r="I571" s="397"/>
      <c r="J571" s="396"/>
      <c r="K571" s="396"/>
      <c r="L571" s="396"/>
      <c r="M571" s="396"/>
      <c r="N571" s="396"/>
      <c r="O571" s="396"/>
      <c r="P571" s="396"/>
      <c r="Q571" s="396"/>
      <c r="R571" s="396"/>
      <c r="S571" s="396"/>
      <c r="T571" s="396"/>
      <c r="U571" s="388"/>
      <c r="V571" s="396"/>
      <c r="W571" s="388"/>
      <c r="X571" s="396"/>
      <c r="Y571" s="389"/>
      <c r="Z571" s="396"/>
      <c r="AA571" s="388"/>
      <c r="AB571" s="390"/>
    </row>
    <row r="572" spans="1:28">
      <c r="A572" s="384" t="str">
        <f t="shared" ref="A572:B572" si="1750">A565</f>
        <v>Lantai 1</v>
      </c>
      <c r="B572" s="385">
        <f t="shared" si="1750"/>
        <v>18</v>
      </c>
      <c r="C572" s="393" t="s">
        <v>202</v>
      </c>
      <c r="D572" s="398">
        <f>VLOOKUP(D565,'Detail Balok'!$C$10:$AU$140,4,FALSE)</f>
        <v>3</v>
      </c>
      <c r="E572" s="388" t="s">
        <v>16</v>
      </c>
      <c r="F572" s="388">
        <f>VLOOKUP(D565,'Detail Balok'!$C$10:$AU$140,6,FALSE)</f>
        <v>16</v>
      </c>
      <c r="G572" s="388"/>
      <c r="H572" s="395"/>
      <c r="I572" s="388" t="s">
        <v>203</v>
      </c>
      <c r="J572" s="399">
        <f t="shared" ref="J572" si="1751">+D567/4/1000</f>
        <v>3.35</v>
      </c>
      <c r="K572" s="400" t="s">
        <v>204</v>
      </c>
      <c r="L572" s="399">
        <f t="shared" ref="L572" si="1752">MAX(VLOOKUP(F572,N$6:P$15,3,FALSE)/1000,2/3*D569/1000)+F$16*F572/1000</f>
        <v>0.192</v>
      </c>
      <c r="M572" s="399" t="s">
        <v>176</v>
      </c>
      <c r="N572" s="399">
        <f t="shared" ref="N572:N574" si="1753">J572+L572</f>
        <v>3.5420000000000003</v>
      </c>
      <c r="O572" s="399" t="s">
        <v>204</v>
      </c>
      <c r="P572" s="389">
        <f t="shared" ref="P572" si="1754">D572-D573</f>
        <v>0</v>
      </c>
      <c r="Q572" s="399" t="s">
        <v>125</v>
      </c>
      <c r="R572" s="399">
        <f t="shared" ref="R572" si="1755">IF(P572&gt;0,$F$18*F572/1000,0)</f>
        <v>0</v>
      </c>
      <c r="S572" s="399" t="s">
        <v>205</v>
      </c>
      <c r="T572" s="399" t="s">
        <v>125</v>
      </c>
      <c r="U572" s="401">
        <f t="shared" ref="U572:U574" si="1756">0.006165*F572^2</f>
        <v>1.5782400000000001</v>
      </c>
      <c r="V572" s="399"/>
      <c r="W572" s="399"/>
      <c r="X572" s="399" t="s">
        <v>125</v>
      </c>
      <c r="Y572" s="389">
        <f t="shared" ref="Y572" si="1757">D571</f>
        <v>1</v>
      </c>
      <c r="Z572" s="400" t="s">
        <v>176</v>
      </c>
      <c r="AA572" s="402">
        <f t="shared" ref="AA572" si="1758">IF(AA575=0,(D572*N572+P572*R572)*U572*Y572,0)</f>
        <v>0</v>
      </c>
      <c r="AB572" s="403"/>
    </row>
    <row r="573" spans="1:28">
      <c r="A573" s="384" t="str">
        <f t="shared" ref="A573:B573" si="1759">A565</f>
        <v>Lantai 1</v>
      </c>
      <c r="B573" s="385">
        <f t="shared" si="1759"/>
        <v>18</v>
      </c>
      <c r="C573" s="393" t="s">
        <v>206</v>
      </c>
      <c r="D573" s="398">
        <f>VLOOKUP(D565,'Detail Balok'!$C$10:$AU$140,7,FALSE)</f>
        <v>3</v>
      </c>
      <c r="E573" s="388" t="s">
        <v>16</v>
      </c>
      <c r="F573" s="388">
        <f>VLOOKUP(D565,'Detail Balok'!$C$10:$AU$140,9,FALSE)</f>
        <v>16</v>
      </c>
      <c r="G573" s="388"/>
      <c r="H573" s="395"/>
      <c r="I573" s="388" t="s">
        <v>203</v>
      </c>
      <c r="J573" s="399">
        <f t="shared" ref="J573" si="1760">+D567/2/1000</f>
        <v>6.7</v>
      </c>
      <c r="K573" s="400" t="s">
        <v>204</v>
      </c>
      <c r="L573" s="399"/>
      <c r="M573" s="399" t="s">
        <v>176</v>
      </c>
      <c r="N573" s="399">
        <f t="shared" si="1753"/>
        <v>6.7</v>
      </c>
      <c r="O573" s="399" t="s">
        <v>204</v>
      </c>
      <c r="P573" s="389">
        <f t="shared" ref="P573" si="1761">MAX(D573-D572,D573-D574)</f>
        <v>0</v>
      </c>
      <c r="Q573" s="399" t="s">
        <v>125</v>
      </c>
      <c r="R573" s="399">
        <f t="shared" ref="R573" si="1762">IF(P573&gt;0,2*(1-2*$F$19-1/2)*D568/1000,0)</f>
        <v>0</v>
      </c>
      <c r="S573" s="399" t="s">
        <v>205</v>
      </c>
      <c r="T573" s="399" t="s">
        <v>125</v>
      </c>
      <c r="U573" s="401">
        <f t="shared" si="1756"/>
        <v>1.5782400000000001</v>
      </c>
      <c r="V573" s="399"/>
      <c r="W573" s="399"/>
      <c r="X573" s="399" t="s">
        <v>125</v>
      </c>
      <c r="Y573" s="389">
        <f t="shared" ref="Y573" si="1763">D571</f>
        <v>1</v>
      </c>
      <c r="Z573" s="400" t="s">
        <v>176</v>
      </c>
      <c r="AA573" s="402">
        <f t="shared" ref="AA573" si="1764">IF(AA575=0,(D573*N573+P573*R573)*U573*Y573,0)</f>
        <v>0</v>
      </c>
      <c r="AB573" s="403"/>
    </row>
    <row r="574" spans="1:28">
      <c r="A574" s="384" t="str">
        <f t="shared" ref="A574:B574" si="1765">A565</f>
        <v>Lantai 1</v>
      </c>
      <c r="B574" s="385">
        <f t="shared" si="1765"/>
        <v>18</v>
      </c>
      <c r="C574" s="393" t="s">
        <v>202</v>
      </c>
      <c r="D574" s="398">
        <f>VLOOKUP(D565,'Detail Balok'!$C$10:$AU$140,10,FALSE)</f>
        <v>3</v>
      </c>
      <c r="E574" s="388" t="s">
        <v>16</v>
      </c>
      <c r="F574" s="388">
        <f>VLOOKUP(D565,'Detail Balok'!$C$10:$AU$140,12,FALSE)</f>
        <v>16</v>
      </c>
      <c r="G574" s="388"/>
      <c r="H574" s="395"/>
      <c r="I574" s="388" t="s">
        <v>203</v>
      </c>
      <c r="J574" s="399">
        <f t="shared" ref="J574" si="1766">+D567/4/1000</f>
        <v>3.35</v>
      </c>
      <c r="K574" s="400" t="s">
        <v>204</v>
      </c>
      <c r="L574" s="399">
        <f t="shared" ref="L574" si="1767">MAX(VLOOKUP(F574,N$6:P$15,3,FALSE)/1000,2/3*D569/1000)+F$16*F574/1000</f>
        <v>0.192</v>
      </c>
      <c r="M574" s="399" t="s">
        <v>176</v>
      </c>
      <c r="N574" s="399">
        <f t="shared" si="1753"/>
        <v>3.5420000000000003</v>
      </c>
      <c r="O574" s="399" t="s">
        <v>204</v>
      </c>
      <c r="P574" s="389">
        <f t="shared" ref="P574" si="1768">D574-D573</f>
        <v>0</v>
      </c>
      <c r="Q574" s="399" t="s">
        <v>125</v>
      </c>
      <c r="R574" s="399">
        <f t="shared" ref="R574" si="1769">IF(P574&gt;0,$F$18*F574/1000,0)</f>
        <v>0</v>
      </c>
      <c r="S574" s="399" t="s">
        <v>205</v>
      </c>
      <c r="T574" s="399" t="s">
        <v>125</v>
      </c>
      <c r="U574" s="401">
        <f t="shared" si="1756"/>
        <v>1.5782400000000001</v>
      </c>
      <c r="V574" s="399"/>
      <c r="W574" s="399"/>
      <c r="X574" s="399" t="s">
        <v>125</v>
      </c>
      <c r="Y574" s="389">
        <f t="shared" ref="Y574" si="1770">D571</f>
        <v>1</v>
      </c>
      <c r="Z574" s="400" t="s">
        <v>176</v>
      </c>
      <c r="AA574" s="402">
        <f t="shared" ref="AA574" si="1771">IF(AA575=0,(D574*N574+P574*R574)*U574*Y574,0)</f>
        <v>0</v>
      </c>
      <c r="AB574" s="403"/>
    </row>
    <row r="575" spans="1:28">
      <c r="A575" s="384" t="str">
        <f t="shared" ref="A575:B575" si="1772">A565</f>
        <v>Lantai 1</v>
      </c>
      <c r="B575" s="385">
        <f t="shared" si="1772"/>
        <v>18</v>
      </c>
      <c r="C575" s="393"/>
      <c r="D575" s="398">
        <f t="shared" si="1575"/>
        <v>3</v>
      </c>
      <c r="E575" s="388" t="s">
        <v>16</v>
      </c>
      <c r="F575" s="388">
        <f t="shared" si="1576"/>
        <v>16</v>
      </c>
      <c r="G575" s="388"/>
      <c r="H575" s="395"/>
      <c r="I575" s="388"/>
      <c r="J575" s="396"/>
      <c r="K575" s="396"/>
      <c r="L575" s="404" t="s">
        <v>207</v>
      </c>
      <c r="M575" s="399" t="s">
        <v>176</v>
      </c>
      <c r="N575" s="399">
        <f t="shared" ref="N575" si="1773">IF(AND(D572=D573,D572=D574,D573=D574,F572=F573,F572=F574,F573=F574),SUM(N572:N574),0)</f>
        <v>13.784000000000001</v>
      </c>
      <c r="O575" s="399" t="s">
        <v>204</v>
      </c>
      <c r="P575" s="389">
        <f t="shared" ref="P575" si="1774">IF(N575&gt;12,ROUNDDOWN(N575/12,0),0)</f>
        <v>1</v>
      </c>
      <c r="Q575" s="399" t="s">
        <v>125</v>
      </c>
      <c r="R575" s="399">
        <f t="shared" ref="R575" si="1775">IF(P575&gt;0,MAX(VLOOKUP(F575,$D$6:$G$15,3,FALSE),600),0)/1000</f>
        <v>0.8</v>
      </c>
      <c r="S575" s="396"/>
      <c r="T575" s="396" t="s">
        <v>125</v>
      </c>
      <c r="U575" s="401">
        <f t="shared" si="1580"/>
        <v>1.5782400000000001</v>
      </c>
      <c r="V575" s="396" t="s">
        <v>125</v>
      </c>
      <c r="W575" s="399">
        <f t="shared" ref="W575" si="1776">D575</f>
        <v>3</v>
      </c>
      <c r="X575" s="399" t="s">
        <v>125</v>
      </c>
      <c r="Y575" s="389">
        <f t="shared" si="1582"/>
        <v>1</v>
      </c>
      <c r="Z575" s="400" t="s">
        <v>176</v>
      </c>
      <c r="AA575" s="402">
        <f t="shared" ref="AA575" si="1777">(N575+P575*R575/1000)*U575*W575*Y575</f>
        <v>65.267168256000005</v>
      </c>
      <c r="AB575" s="390"/>
    </row>
    <row r="576" spans="1:28">
      <c r="A576" s="384"/>
      <c r="B576" s="385"/>
      <c r="C576" s="393"/>
      <c r="D576" s="398"/>
      <c r="E576" s="388"/>
      <c r="F576" s="388"/>
      <c r="G576" s="388"/>
      <c r="H576" s="395"/>
      <c r="I576" s="388"/>
      <c r="J576" s="396"/>
      <c r="K576" s="396"/>
      <c r="L576" s="404"/>
      <c r="M576" s="399"/>
      <c r="N576" s="399"/>
      <c r="O576" s="396"/>
      <c r="P576" s="389"/>
      <c r="Q576" s="396"/>
      <c r="R576" s="396"/>
      <c r="S576" s="396"/>
      <c r="T576" s="396"/>
      <c r="U576" s="401"/>
      <c r="V576" s="396"/>
      <c r="W576" s="399"/>
      <c r="X576" s="396"/>
      <c r="Y576" s="389"/>
      <c r="Z576" s="396"/>
      <c r="AA576" s="388"/>
      <c r="AB576" s="390"/>
    </row>
    <row r="577" spans="1:28">
      <c r="A577" s="384" t="str">
        <f t="shared" ref="A577:B577" si="1778">A565</f>
        <v>Lantai 1</v>
      </c>
      <c r="B577" s="385">
        <f t="shared" si="1778"/>
        <v>18</v>
      </c>
      <c r="C577" s="393" t="s">
        <v>208</v>
      </c>
      <c r="D577" s="398">
        <f>VLOOKUP(D565,'Detail Balok'!$C$10:$AU$140,13,FALSE)</f>
        <v>2</v>
      </c>
      <c r="E577" s="388" t="s">
        <v>16</v>
      </c>
      <c r="F577" s="388">
        <f>VLOOKUP(D565,'Detail Balok'!$C$10:$AU$140,15,FALSE)</f>
        <v>10</v>
      </c>
      <c r="G577" s="388"/>
      <c r="H577" s="395"/>
      <c r="I577" s="388"/>
      <c r="J577" s="399">
        <f t="shared" ref="J577" si="1779">+D567/1000</f>
        <v>13.4</v>
      </c>
      <c r="K577" s="400" t="s">
        <v>204</v>
      </c>
      <c r="L577" s="399">
        <f t="shared" ref="L577" si="1780">2*$F$16*F577/1000</f>
        <v>0.24</v>
      </c>
      <c r="M577" s="399" t="s">
        <v>176</v>
      </c>
      <c r="N577" s="399">
        <f t="shared" ref="N577" si="1781">J577+L577</f>
        <v>13.64</v>
      </c>
      <c r="O577" s="399" t="s">
        <v>204</v>
      </c>
      <c r="P577" s="389">
        <f t="shared" ref="P577" si="1782">IF(N577&gt;12,ROUNDDOWN(N577/12,0),0)</f>
        <v>1</v>
      </c>
      <c r="Q577" s="399" t="s">
        <v>125</v>
      </c>
      <c r="R577" s="399">
        <f t="shared" ref="R577" si="1783">IF(P577&gt;0,MAX(VLOOKUP(F577,$D$6:$G$15,3,FALSE),600),0)/1000</f>
        <v>0.6</v>
      </c>
      <c r="S577" s="399"/>
      <c r="T577" s="399" t="s">
        <v>125</v>
      </c>
      <c r="U577" s="401">
        <f t="shared" ref="U577" si="1784">0.006165*F577^2</f>
        <v>0.61650000000000005</v>
      </c>
      <c r="V577" s="399" t="s">
        <v>125</v>
      </c>
      <c r="W577" s="399">
        <f t="shared" ref="W577" si="1785">+D577</f>
        <v>2</v>
      </c>
      <c r="X577" s="399" t="s">
        <v>125</v>
      </c>
      <c r="Y577" s="389">
        <f t="shared" ref="Y577" si="1786">D571</f>
        <v>1</v>
      </c>
      <c r="Z577" s="400" t="s">
        <v>176</v>
      </c>
      <c r="AA577" s="402">
        <f t="shared" ref="AA577" si="1787">(N577+P577*R577/1000)*U577*W577*Y577</f>
        <v>16.818859800000002</v>
      </c>
      <c r="AB577" s="403"/>
    </row>
    <row r="578" spans="1:28">
      <c r="A578" s="384"/>
      <c r="B578" s="385"/>
      <c r="C578" s="393"/>
      <c r="D578" s="398"/>
      <c r="E578" s="388"/>
      <c r="F578" s="388"/>
      <c r="G578" s="388"/>
      <c r="H578" s="395"/>
      <c r="I578" s="388"/>
      <c r="J578" s="399"/>
      <c r="K578" s="400"/>
      <c r="L578" s="399"/>
      <c r="M578" s="399"/>
      <c r="N578" s="399"/>
      <c r="O578" s="399"/>
      <c r="P578" s="389"/>
      <c r="Q578" s="399"/>
      <c r="R578" s="399"/>
      <c r="S578" s="399"/>
      <c r="T578" s="399"/>
      <c r="U578" s="401"/>
      <c r="V578" s="399"/>
      <c r="W578" s="399"/>
      <c r="X578" s="399"/>
      <c r="Y578" s="389"/>
      <c r="Z578" s="400"/>
      <c r="AA578" s="402"/>
      <c r="AB578" s="403"/>
    </row>
    <row r="579" spans="1:28">
      <c r="A579" s="384"/>
      <c r="B579" s="385"/>
      <c r="C579" s="393"/>
      <c r="D579" s="398"/>
      <c r="E579" s="388"/>
      <c r="F579" s="388"/>
      <c r="G579" s="388"/>
      <c r="H579" s="395"/>
      <c r="I579" s="388"/>
      <c r="J579" s="396"/>
      <c r="K579" s="396"/>
      <c r="L579" s="396"/>
      <c r="M579" s="396"/>
      <c r="N579" s="396"/>
      <c r="O579" s="396"/>
      <c r="P579" s="389"/>
      <c r="Q579" s="396"/>
      <c r="R579" s="396"/>
      <c r="S579" s="396"/>
      <c r="T579" s="396"/>
      <c r="U579" s="401"/>
      <c r="V579" s="396"/>
      <c r="W579" s="399"/>
      <c r="X579" s="396"/>
      <c r="Y579" s="389"/>
      <c r="Z579" s="396"/>
      <c r="AA579" s="388"/>
      <c r="AB579" s="390"/>
    </row>
    <row r="580" spans="1:28">
      <c r="A580" s="384" t="str">
        <f t="shared" ref="A580:B580" si="1788">A565</f>
        <v>Lantai 1</v>
      </c>
      <c r="B580" s="385">
        <f t="shared" si="1788"/>
        <v>18</v>
      </c>
      <c r="C580" s="393" t="s">
        <v>209</v>
      </c>
      <c r="D580" s="398">
        <f>VLOOKUP(D565,'Detail Balok'!$C$10:$AU$140,22,FALSE)</f>
        <v>3</v>
      </c>
      <c r="E580" s="388" t="s">
        <v>16</v>
      </c>
      <c r="F580" s="388">
        <f>VLOOKUP(D565,'Detail Balok'!$C$10:$AU$140,24,FALSE)</f>
        <v>16</v>
      </c>
      <c r="G580" s="388"/>
      <c r="H580" s="395"/>
      <c r="I580" s="388" t="s">
        <v>203</v>
      </c>
      <c r="J580" s="399">
        <f t="shared" si="1595"/>
        <v>3.35</v>
      </c>
      <c r="K580" s="400" t="s">
        <v>204</v>
      </c>
      <c r="L580" s="399">
        <f t="shared" ref="L580" si="1789">MAX(VLOOKUP(F580,N$6:P$15,3,FALSE)/1000,2/3*D570/1000)+F$16*F580/1000</f>
        <v>0.192</v>
      </c>
      <c r="M580" s="399" t="s">
        <v>176</v>
      </c>
      <c r="N580" s="399">
        <f t="shared" ref="N580:N582" si="1790">J580+L580</f>
        <v>3.5420000000000003</v>
      </c>
      <c r="O580" s="399" t="s">
        <v>204</v>
      </c>
      <c r="P580" s="389">
        <f t="shared" ref="P580" si="1791">D580-D581</f>
        <v>0</v>
      </c>
      <c r="Q580" s="399" t="s">
        <v>125</v>
      </c>
      <c r="R580" s="399">
        <f t="shared" ref="R580" si="1792">IF(P580&gt;0,$F$18*F580/1000,0)</f>
        <v>0</v>
      </c>
      <c r="S580" s="399" t="s">
        <v>205</v>
      </c>
      <c r="T580" s="399" t="s">
        <v>125</v>
      </c>
      <c r="U580" s="401">
        <f t="shared" ref="U580:U582" si="1793">0.006165*F580^2</f>
        <v>1.5782400000000001</v>
      </c>
      <c r="V580" s="399"/>
      <c r="W580" s="399"/>
      <c r="X580" s="399" t="s">
        <v>125</v>
      </c>
      <c r="Y580" s="389">
        <f t="shared" ref="Y580" si="1794">D571</f>
        <v>1</v>
      </c>
      <c r="Z580" s="400" t="s">
        <v>176</v>
      </c>
      <c r="AA580" s="402">
        <f t="shared" ref="AA580" si="1795">IF(AA583=0,(D580*N580+P580*R580)*U580*Y580,0)</f>
        <v>0</v>
      </c>
      <c r="AB580" s="403"/>
    </row>
    <row r="581" spans="1:28">
      <c r="A581" s="384" t="str">
        <f t="shared" ref="A581:B581" si="1796">A565</f>
        <v>Lantai 1</v>
      </c>
      <c r="B581" s="385">
        <f t="shared" si="1796"/>
        <v>18</v>
      </c>
      <c r="C581" s="393" t="s">
        <v>210</v>
      </c>
      <c r="D581" s="398">
        <f>VLOOKUP(D565,'Detail Balok'!$C$10:$AU$140,25,FALSE)</f>
        <v>3</v>
      </c>
      <c r="E581" s="388" t="s">
        <v>16</v>
      </c>
      <c r="F581" s="388">
        <f>VLOOKUP(D565,'Detail Balok'!$C$10:$AU$140,27,FALSE)</f>
        <v>16</v>
      </c>
      <c r="G581" s="388"/>
      <c r="H581" s="395"/>
      <c r="I581" s="388" t="s">
        <v>203</v>
      </c>
      <c r="J581" s="399">
        <f t="shared" si="1595"/>
        <v>6.7</v>
      </c>
      <c r="K581" s="400" t="s">
        <v>204</v>
      </c>
      <c r="L581" s="399"/>
      <c r="M581" s="399" t="s">
        <v>176</v>
      </c>
      <c r="N581" s="399">
        <f t="shared" si="1790"/>
        <v>6.7</v>
      </c>
      <c r="O581" s="399" t="s">
        <v>204</v>
      </c>
      <c r="P581" s="389">
        <f t="shared" ref="P581" si="1797">MAX(D581-D580,D581-D582)</f>
        <v>0</v>
      </c>
      <c r="Q581" s="399" t="s">
        <v>125</v>
      </c>
      <c r="R581" s="399">
        <f t="shared" ref="R581" si="1798">IF(P581&gt;0,2*(1-2*$F$19-1/2)*D568/1000,0)</f>
        <v>0</v>
      </c>
      <c r="S581" s="399" t="s">
        <v>205</v>
      </c>
      <c r="T581" s="399" t="s">
        <v>125</v>
      </c>
      <c r="U581" s="401">
        <f t="shared" si="1793"/>
        <v>1.5782400000000001</v>
      </c>
      <c r="V581" s="399"/>
      <c r="W581" s="399"/>
      <c r="X581" s="399" t="s">
        <v>125</v>
      </c>
      <c r="Y581" s="389">
        <f t="shared" ref="Y581" si="1799">D571</f>
        <v>1</v>
      </c>
      <c r="Z581" s="400" t="s">
        <v>176</v>
      </c>
      <c r="AA581" s="402">
        <f t="shared" ref="AA581" si="1800">IF(AA583=0,(D581*N581+P581*R581)*U581*Y581,0)</f>
        <v>0</v>
      </c>
      <c r="AB581" s="403"/>
    </row>
    <row r="582" spans="1:28">
      <c r="A582" s="384" t="str">
        <f t="shared" ref="A582:B582" si="1801">A565</f>
        <v>Lantai 1</v>
      </c>
      <c r="B582" s="385">
        <f t="shared" si="1801"/>
        <v>18</v>
      </c>
      <c r="C582" s="393" t="s">
        <v>209</v>
      </c>
      <c r="D582" s="398">
        <f>VLOOKUP(D565,'Detail Balok'!$C$10:$AU$140,28,FALSE)</f>
        <v>3</v>
      </c>
      <c r="E582" s="388" t="s">
        <v>16</v>
      </c>
      <c r="F582" s="388">
        <f>VLOOKUP(D565,'Detail Balok'!$C$10:$AU$140,30,FALSE)</f>
        <v>16</v>
      </c>
      <c r="G582" s="388"/>
      <c r="H582" s="395"/>
      <c r="I582" s="388" t="s">
        <v>203</v>
      </c>
      <c r="J582" s="399">
        <f t="shared" si="1595"/>
        <v>3.35</v>
      </c>
      <c r="K582" s="400" t="s">
        <v>204</v>
      </c>
      <c r="L582" s="399">
        <f t="shared" ref="L582" si="1802">MAX(VLOOKUP(F582,N$6:P$15,3,FALSE)/1000,2/3*D570/1000)+F$16*F582/1000</f>
        <v>0.192</v>
      </c>
      <c r="M582" s="399" t="s">
        <v>176</v>
      </c>
      <c r="N582" s="399">
        <f t="shared" si="1790"/>
        <v>3.5420000000000003</v>
      </c>
      <c r="O582" s="399" t="s">
        <v>204</v>
      </c>
      <c r="P582" s="389">
        <f t="shared" ref="P582" si="1803">D582-D581</f>
        <v>0</v>
      </c>
      <c r="Q582" s="399" t="s">
        <v>125</v>
      </c>
      <c r="R582" s="399">
        <f t="shared" ref="R582" si="1804">IF(P582&gt;0,$F$18*F582/1000,0)</f>
        <v>0</v>
      </c>
      <c r="S582" s="399" t="s">
        <v>205</v>
      </c>
      <c r="T582" s="399" t="s">
        <v>125</v>
      </c>
      <c r="U582" s="401">
        <f t="shared" si="1793"/>
        <v>1.5782400000000001</v>
      </c>
      <c r="V582" s="399"/>
      <c r="W582" s="399"/>
      <c r="X582" s="399" t="s">
        <v>125</v>
      </c>
      <c r="Y582" s="389">
        <f t="shared" ref="Y582" si="1805">D571</f>
        <v>1</v>
      </c>
      <c r="Z582" s="400" t="s">
        <v>176</v>
      </c>
      <c r="AA582" s="402">
        <f t="shared" ref="AA582" si="1806">IF(AA583=0,(D582*N582+P582*R582)*U582*Y582,0)</f>
        <v>0</v>
      </c>
      <c r="AB582" s="403"/>
    </row>
    <row r="583" spans="1:28">
      <c r="A583" s="384" t="str">
        <f t="shared" ref="A583:B583" si="1807">A565</f>
        <v>Lantai 1</v>
      </c>
      <c r="B583" s="385">
        <f t="shared" si="1807"/>
        <v>18</v>
      </c>
      <c r="C583" s="393"/>
      <c r="D583" s="398">
        <f t="shared" si="1615"/>
        <v>3</v>
      </c>
      <c r="E583" s="388" t="s">
        <v>16</v>
      </c>
      <c r="F583" s="388">
        <f t="shared" si="1616"/>
        <v>16</v>
      </c>
      <c r="G583" s="388"/>
      <c r="H583" s="395"/>
      <c r="I583" s="388"/>
      <c r="J583" s="396"/>
      <c r="K583" s="396"/>
      <c r="L583" s="404" t="s">
        <v>207</v>
      </c>
      <c r="M583" s="399" t="s">
        <v>176</v>
      </c>
      <c r="N583" s="399">
        <f t="shared" ref="N583" si="1808">IF(AND(D580=D581,D580=D582,D581=D582,F580=F581,F580=F582,F581=F582),SUM(N580:N582),0)</f>
        <v>13.784000000000001</v>
      </c>
      <c r="O583" s="399" t="s">
        <v>204</v>
      </c>
      <c r="P583" s="389">
        <f t="shared" ref="P583" si="1809">IF(N583&gt;12,ROUNDDOWN(N583/12,0),0)</f>
        <v>1</v>
      </c>
      <c r="Q583" s="399" t="s">
        <v>125</v>
      </c>
      <c r="R583" s="399">
        <f t="shared" ref="R583" si="1810">IF(P583&gt;0,MAX(VLOOKUP(F583,$D$6:$G$15,3,FALSE),600),0)/1000</f>
        <v>0.8</v>
      </c>
      <c r="S583" s="396"/>
      <c r="T583" s="396" t="s">
        <v>125</v>
      </c>
      <c r="U583" s="401">
        <f t="shared" si="1620"/>
        <v>1.5782400000000001</v>
      </c>
      <c r="V583" s="396" t="s">
        <v>125</v>
      </c>
      <c r="W583" s="399">
        <f t="shared" ref="W583" si="1811">D583</f>
        <v>3</v>
      </c>
      <c r="X583" s="399" t="s">
        <v>125</v>
      </c>
      <c r="Y583" s="389">
        <f t="shared" si="1622"/>
        <v>1</v>
      </c>
      <c r="Z583" s="400" t="s">
        <v>176</v>
      </c>
      <c r="AA583" s="402">
        <f t="shared" ref="AA583" si="1812">(N583+P583*R583/1000)*U583*W583*Y583</f>
        <v>65.267168256000005</v>
      </c>
      <c r="AB583" s="403"/>
    </row>
    <row r="584" spans="1:28">
      <c r="A584" s="384"/>
      <c r="B584" s="385"/>
      <c r="C584" s="393"/>
      <c r="D584" s="394"/>
      <c r="E584" s="388"/>
      <c r="F584" s="388"/>
      <c r="G584" s="388"/>
      <c r="H584" s="395"/>
      <c r="I584" s="388"/>
      <c r="J584" s="399"/>
      <c r="K584" s="396"/>
      <c r="L584" s="396"/>
      <c r="M584" s="396"/>
      <c r="N584" s="396"/>
      <c r="O584" s="396"/>
      <c r="P584" s="389"/>
      <c r="Q584" s="396"/>
      <c r="R584" s="396"/>
      <c r="S584" s="396"/>
      <c r="T584" s="396"/>
      <c r="U584" s="401"/>
      <c r="V584" s="396"/>
      <c r="W584" s="388"/>
      <c r="X584" s="396"/>
      <c r="Y584" s="389"/>
      <c r="Z584" s="396"/>
      <c r="AA584" s="388"/>
      <c r="AB584" s="390"/>
    </row>
    <row r="585" spans="1:28">
      <c r="A585" s="384" t="str">
        <f t="shared" ref="A585:B585" si="1813">A565</f>
        <v>Lantai 1</v>
      </c>
      <c r="B585" s="385">
        <f t="shared" si="1813"/>
        <v>18</v>
      </c>
      <c r="C585" s="393" t="s">
        <v>211</v>
      </c>
      <c r="D585" s="398">
        <f>VLOOKUP(D565,'Detail Balok'!$C$10:$AU$140,31,FALSE)</f>
        <v>0</v>
      </c>
      <c r="E585" s="388" t="s">
        <v>16</v>
      </c>
      <c r="F585" s="388">
        <f>VLOOKUP(D565,'Detail Balok'!$C$10:$AU$140,33,FALSE)</f>
        <v>8</v>
      </c>
      <c r="G585" s="405" t="s">
        <v>157</v>
      </c>
      <c r="H585" s="395">
        <f>VLOOKUP(D565,'Detail Balok'!$C$10:$AU$140,35,FALSE)</f>
        <v>150</v>
      </c>
      <c r="I585" s="388"/>
      <c r="J585" s="400">
        <f t="shared" ref="J585" si="1814">(IF(D585=0,(2*(D566+G566))-(F$5*8),IF(D585=3,(2*(D566+G566))-(F$5*8)+(G566-2*F$5),IF(D585=4,(2*(D566+G566))-(F$5*8)+2*(G566-2*F$5)))))/1000</f>
        <v>1.08</v>
      </c>
      <c r="K585" s="400" t="s">
        <v>204</v>
      </c>
      <c r="L585" s="399">
        <f t="shared" ref="L585:L587" si="1815">IF(D585=0,2*MAX(6*F585,75),(D585-1)*2*MAX(6*F585,75))/1000</f>
        <v>0.15</v>
      </c>
      <c r="M585" s="399" t="s">
        <v>176</v>
      </c>
      <c r="N585" s="399">
        <f t="shared" ref="N585:N587" si="1816">J585+L585</f>
        <v>1.23</v>
      </c>
      <c r="O585" s="399"/>
      <c r="P585" s="389"/>
      <c r="Q585" s="399"/>
      <c r="R585" s="399"/>
      <c r="S585" s="399"/>
      <c r="T585" s="399" t="s">
        <v>125</v>
      </c>
      <c r="U585" s="401">
        <f t="shared" ref="U585:U587" si="1817">0.006165*F585^2</f>
        <v>0.39456000000000002</v>
      </c>
      <c r="V585" s="399" t="s">
        <v>125</v>
      </c>
      <c r="W585" s="399">
        <f t="shared" ref="W585" si="1818">IF(D568&gt;4*G566,ROUND(MAX(D568/4,2*G566)/H585,0)+1,ROUND(D568/H585,0)+1)</f>
        <v>23</v>
      </c>
      <c r="X585" s="399" t="s">
        <v>125</v>
      </c>
      <c r="Y585" s="389">
        <f t="shared" ref="Y585" si="1819">D571</f>
        <v>1</v>
      </c>
      <c r="Z585" s="400" t="s">
        <v>176</v>
      </c>
      <c r="AA585" s="402">
        <f t="shared" ref="AA585:AA587" si="1820">N585*U585*W585*Y585</f>
        <v>11.1621024</v>
      </c>
      <c r="AB585" s="403"/>
    </row>
    <row r="586" spans="1:28">
      <c r="A586" s="384" t="str">
        <f t="shared" ref="A586:B586" si="1821">A565</f>
        <v>Lantai 1</v>
      </c>
      <c r="B586" s="385">
        <f t="shared" si="1821"/>
        <v>18</v>
      </c>
      <c r="C586" s="393" t="s">
        <v>212</v>
      </c>
      <c r="D586" s="398">
        <f>VLOOKUP(D565,'Detail Balok'!$C$10:$AU$140,36,FALSE)</f>
        <v>0</v>
      </c>
      <c r="E586" s="388" t="s">
        <v>16</v>
      </c>
      <c r="F586" s="388">
        <f>VLOOKUP(D565,'Detail Balok'!$C$10:$AU$140,38,FALSE)</f>
        <v>8</v>
      </c>
      <c r="G586" s="405" t="s">
        <v>157</v>
      </c>
      <c r="H586" s="395">
        <f>VLOOKUP(D565,'Detail Balok'!$C$10:$AU$140,40,FALSE)</f>
        <v>200</v>
      </c>
      <c r="I586" s="388"/>
      <c r="J586" s="400">
        <f t="shared" ref="J586" si="1822">(IF(D586=0,(2*(D566+G566))-(F$5*8),IF(D586=3,(2*(D566+G566))-(F$5*8)+(G566-2*F$5),IF(D586=4,(2*(D566+G566))-(F$5*8)+2*(G566-2*F$5)))))/1000</f>
        <v>1.08</v>
      </c>
      <c r="K586" s="400" t="s">
        <v>204</v>
      </c>
      <c r="L586" s="399">
        <f t="shared" si="1815"/>
        <v>0.15</v>
      </c>
      <c r="M586" s="399" t="s">
        <v>176</v>
      </c>
      <c r="N586" s="399">
        <f t="shared" si="1816"/>
        <v>1.23</v>
      </c>
      <c r="O586" s="399"/>
      <c r="P586" s="389"/>
      <c r="Q586" s="399"/>
      <c r="R586" s="399"/>
      <c r="S586" s="399"/>
      <c r="T586" s="399" t="s">
        <v>125</v>
      </c>
      <c r="U586" s="401">
        <f t="shared" si="1817"/>
        <v>0.39456000000000002</v>
      </c>
      <c r="V586" s="399" t="s">
        <v>125</v>
      </c>
      <c r="W586" s="399">
        <f t="shared" ref="W586" si="1823">IF(D568-MAX(D568/4,2*G566)*2&gt;0,ROUND((D568-MAX(D568/4,2*G566)*2)/H586,0),0)</f>
        <v>34</v>
      </c>
      <c r="X586" s="399" t="s">
        <v>125</v>
      </c>
      <c r="Y586" s="389">
        <f t="shared" ref="Y586" si="1824">D571</f>
        <v>1</v>
      </c>
      <c r="Z586" s="400" t="s">
        <v>176</v>
      </c>
      <c r="AA586" s="402">
        <f t="shared" si="1820"/>
        <v>16.5004992</v>
      </c>
      <c r="AB586" s="403"/>
    </row>
    <row r="587" spans="1:28">
      <c r="A587" s="384" t="str">
        <f t="shared" ref="A587:B587" si="1825">A565</f>
        <v>Lantai 1</v>
      </c>
      <c r="B587" s="385">
        <f t="shared" si="1825"/>
        <v>18</v>
      </c>
      <c r="C587" s="393" t="s">
        <v>211</v>
      </c>
      <c r="D587" s="398">
        <f>VLOOKUP(D565,'Detail Balok'!$C$10:$AU$140,41,FALSE)</f>
        <v>0</v>
      </c>
      <c r="E587" s="388" t="s">
        <v>16</v>
      </c>
      <c r="F587" s="388">
        <f>VLOOKUP(D565,'Detail Balok'!$C$10:$AU$140,43,FALSE)</f>
        <v>8</v>
      </c>
      <c r="G587" s="405" t="s">
        <v>157</v>
      </c>
      <c r="H587" s="395">
        <f>VLOOKUP(D565,'Detail Balok'!$C$10:$AU$140,45,FALSE)</f>
        <v>150</v>
      </c>
      <c r="I587" s="388"/>
      <c r="J587" s="400">
        <f t="shared" ref="J587" si="1826">(IF(D587=0,(2*(D566+G566))-(F$5*8),IF(D587=3,(2*(D566+G566))-(F$5*8)+(G566-2*F$5),IF(D587=4,(2*(D566+G566))-(F$5*8)+2*(G566-2*F$5)))))/1000</f>
        <v>1.08</v>
      </c>
      <c r="K587" s="400" t="s">
        <v>204</v>
      </c>
      <c r="L587" s="399">
        <f t="shared" si="1815"/>
        <v>0.15</v>
      </c>
      <c r="M587" s="399" t="s">
        <v>176</v>
      </c>
      <c r="N587" s="399">
        <f t="shared" si="1816"/>
        <v>1.23</v>
      </c>
      <c r="O587" s="399"/>
      <c r="P587" s="389"/>
      <c r="Q587" s="399"/>
      <c r="R587" s="399"/>
      <c r="S587" s="399"/>
      <c r="T587" s="399" t="s">
        <v>125</v>
      </c>
      <c r="U587" s="401">
        <f t="shared" si="1817"/>
        <v>0.39456000000000002</v>
      </c>
      <c r="V587" s="399" t="s">
        <v>125</v>
      </c>
      <c r="W587" s="399">
        <f t="shared" ref="W587" si="1827">IF(D568&gt;4*G566,ROUND(MAX(D568/4,2*G566)/H587,0)+1,0)</f>
        <v>23</v>
      </c>
      <c r="X587" s="399" t="s">
        <v>125</v>
      </c>
      <c r="Y587" s="389">
        <f t="shared" ref="Y587" si="1828">D571</f>
        <v>1</v>
      </c>
      <c r="Z587" s="400" t="s">
        <v>176</v>
      </c>
      <c r="AA587" s="402">
        <f t="shared" si="1820"/>
        <v>11.1621024</v>
      </c>
      <c r="AB587" s="403"/>
    </row>
    <row r="588" spans="1:28">
      <c r="A588" s="384"/>
      <c r="B588" s="385"/>
      <c r="C588" s="393"/>
      <c r="D588" s="394"/>
      <c r="E588" s="388"/>
      <c r="F588" s="388"/>
      <c r="G588" s="388"/>
      <c r="H588" s="395"/>
      <c r="I588" s="388"/>
      <c r="J588" s="399"/>
      <c r="K588" s="396"/>
      <c r="L588" s="396"/>
      <c r="M588" s="396"/>
      <c r="N588" s="396"/>
      <c r="O588" s="396"/>
      <c r="P588" s="389"/>
      <c r="Q588" s="396"/>
      <c r="R588" s="396"/>
      <c r="S588" s="396"/>
      <c r="T588" s="396"/>
      <c r="U588" s="401"/>
      <c r="V588" s="396"/>
      <c r="W588" s="388"/>
      <c r="X588" s="396"/>
      <c r="Y588" s="389"/>
      <c r="Z588" s="396"/>
      <c r="AA588" s="388"/>
      <c r="AB588" s="390"/>
    </row>
    <row r="589" spans="1:28">
      <c r="A589" s="384" t="str">
        <f t="shared" ref="A589:B589" si="1829">A565</f>
        <v>Lantai 1</v>
      </c>
      <c r="B589" s="385">
        <f t="shared" si="1829"/>
        <v>18</v>
      </c>
      <c r="C589" s="393" t="s">
        <v>213</v>
      </c>
      <c r="D589" s="398">
        <f>VLOOKUP(D565,'Detail Balok'!$C$10:$BJ$140,46,FALSE)</f>
        <v>0</v>
      </c>
      <c r="E589" s="388" t="s">
        <v>16</v>
      </c>
      <c r="F589" s="388">
        <f>VLOOKUP(D565,'Detail Balok'!$C$10:$BJ$140,48,FALSE)</f>
        <v>0</v>
      </c>
      <c r="G589" s="405" t="s">
        <v>157</v>
      </c>
      <c r="H589" s="395">
        <f>VLOOKUP(D565,'Detail Balok'!$C$10:$BJ$140,50,FALSE)</f>
        <v>100</v>
      </c>
      <c r="I589" s="388"/>
      <c r="J589" s="399">
        <f t="shared" ref="J589" si="1830">(D566-2*F$5)/1000</f>
        <v>0.12</v>
      </c>
      <c r="K589" s="400" t="s">
        <v>204</v>
      </c>
      <c r="L589" s="399">
        <f t="shared" ref="L589:L591" si="1831">IF(D589=0,2*MAX(6*F589,75),(D589-1)*2*MAX(6*F589,75))/1000</f>
        <v>0.15</v>
      </c>
      <c r="M589" s="399" t="s">
        <v>176</v>
      </c>
      <c r="N589" s="399">
        <f t="shared" ref="N589:N591" si="1832">J589+L589</f>
        <v>0.27</v>
      </c>
      <c r="O589" s="399"/>
      <c r="P589" s="399"/>
      <c r="Q589" s="399"/>
      <c r="R589" s="399"/>
      <c r="S589" s="399"/>
      <c r="T589" s="399" t="s">
        <v>125</v>
      </c>
      <c r="U589" s="401">
        <f t="shared" ref="U589:U591" si="1833">0.006165*F589^2</f>
        <v>0</v>
      </c>
      <c r="V589" s="399" t="s">
        <v>125</v>
      </c>
      <c r="W589" s="399">
        <f t="shared" si="1645"/>
        <v>23</v>
      </c>
      <c r="X589" s="399" t="s">
        <v>125</v>
      </c>
      <c r="Y589" s="389">
        <f t="shared" ref="Y589" si="1834">D575</f>
        <v>3</v>
      </c>
      <c r="Z589" s="400" t="s">
        <v>176</v>
      </c>
      <c r="AA589" s="402">
        <f t="shared" ref="AA589:AA591" si="1835">N589*U589*W589*Y589</f>
        <v>0</v>
      </c>
      <c r="AB589" s="403"/>
    </row>
    <row r="590" spans="1:28">
      <c r="A590" s="384" t="str">
        <f t="shared" ref="A590:B590" si="1836">A565</f>
        <v>Lantai 1</v>
      </c>
      <c r="B590" s="385">
        <f t="shared" si="1836"/>
        <v>18</v>
      </c>
      <c r="C590" s="393" t="s">
        <v>214</v>
      </c>
      <c r="D590" s="398">
        <f>VLOOKUP(D565,'Detail Balok'!$C$10:$BJ$140,51,FALSE)</f>
        <v>0</v>
      </c>
      <c r="E590" s="388" t="s">
        <v>16</v>
      </c>
      <c r="F590" s="388">
        <f>VLOOKUP(D565,'Detail Balok'!$C$10:$BJ$140,53,FALSE)</f>
        <v>0</v>
      </c>
      <c r="G590" s="405" t="s">
        <v>157</v>
      </c>
      <c r="H590" s="395">
        <f>VLOOKUP(D565,'Detail Balok'!$C$10:$BJ$140,55,FALSE)</f>
        <v>100</v>
      </c>
      <c r="I590" s="388"/>
      <c r="J590" s="399">
        <f t="shared" ref="J590" si="1837">(D566-2*F$5)/1000</f>
        <v>0.12</v>
      </c>
      <c r="K590" s="400" t="s">
        <v>204</v>
      </c>
      <c r="L590" s="399">
        <f t="shared" si="1831"/>
        <v>0.15</v>
      </c>
      <c r="M590" s="399" t="s">
        <v>176</v>
      </c>
      <c r="N590" s="399">
        <f t="shared" si="1832"/>
        <v>0.27</v>
      </c>
      <c r="O590" s="399"/>
      <c r="P590" s="399"/>
      <c r="Q590" s="399"/>
      <c r="R590" s="399"/>
      <c r="S590" s="399"/>
      <c r="T590" s="399" t="s">
        <v>125</v>
      </c>
      <c r="U590" s="401">
        <f t="shared" si="1833"/>
        <v>0</v>
      </c>
      <c r="V590" s="399" t="s">
        <v>125</v>
      </c>
      <c r="W590" s="399">
        <f t="shared" si="1645"/>
        <v>34</v>
      </c>
      <c r="X590" s="399" t="s">
        <v>125</v>
      </c>
      <c r="Y590" s="389">
        <f t="shared" ref="Y590" si="1838">D575</f>
        <v>3</v>
      </c>
      <c r="Z590" s="400" t="s">
        <v>176</v>
      </c>
      <c r="AA590" s="402">
        <f t="shared" si="1835"/>
        <v>0</v>
      </c>
      <c r="AB590" s="403"/>
    </row>
    <row r="591" spans="1:28">
      <c r="A591" s="384" t="str">
        <f t="shared" ref="A591:B591" si="1839">A565</f>
        <v>Lantai 1</v>
      </c>
      <c r="B591" s="385">
        <f t="shared" si="1839"/>
        <v>18</v>
      </c>
      <c r="C591" s="393" t="s">
        <v>213</v>
      </c>
      <c r="D591" s="398">
        <f>VLOOKUP(D565,'Detail Balok'!$C$10:$BJ$140,56,FALSE)</f>
        <v>0</v>
      </c>
      <c r="E591" s="388" t="s">
        <v>16</v>
      </c>
      <c r="F591" s="388">
        <f>VLOOKUP(D565,'Detail Balok'!$C$10:$BJ$140,58,FALSE)</f>
        <v>0</v>
      </c>
      <c r="G591" s="405" t="s">
        <v>157</v>
      </c>
      <c r="H591" s="395">
        <f>VLOOKUP(D565,'Detail Balok'!$C$10:$BJ$140,60,FALSE)</f>
        <v>100</v>
      </c>
      <c r="I591" s="388"/>
      <c r="J591" s="399">
        <f t="shared" ref="J591" si="1840">(D566-2*F$5)/1000</f>
        <v>0.12</v>
      </c>
      <c r="K591" s="400" t="s">
        <v>204</v>
      </c>
      <c r="L591" s="399">
        <f t="shared" si="1831"/>
        <v>0.15</v>
      </c>
      <c r="M591" s="399" t="s">
        <v>176</v>
      </c>
      <c r="N591" s="399">
        <f t="shared" si="1832"/>
        <v>0.27</v>
      </c>
      <c r="O591" s="399"/>
      <c r="P591" s="399"/>
      <c r="Q591" s="399"/>
      <c r="R591" s="399"/>
      <c r="S591" s="399"/>
      <c r="T591" s="399" t="s">
        <v>125</v>
      </c>
      <c r="U591" s="401">
        <f t="shared" si="1833"/>
        <v>0</v>
      </c>
      <c r="V591" s="399" t="s">
        <v>125</v>
      </c>
      <c r="W591" s="399">
        <f t="shared" si="1645"/>
        <v>23</v>
      </c>
      <c r="X591" s="399" t="s">
        <v>125</v>
      </c>
      <c r="Y591" s="389">
        <f t="shared" ref="Y591" si="1841">D575</f>
        <v>3</v>
      </c>
      <c r="Z591" s="400" t="s">
        <v>176</v>
      </c>
      <c r="AA591" s="402">
        <f t="shared" si="1835"/>
        <v>0</v>
      </c>
      <c r="AB591" s="403"/>
    </row>
    <row r="592" spans="1:28">
      <c r="A592" s="391"/>
      <c r="B592" s="392"/>
      <c r="C592" s="392"/>
      <c r="D592" s="394"/>
      <c r="E592" s="388"/>
      <c r="F592" s="388"/>
      <c r="G592" s="388"/>
      <c r="H592" s="395"/>
      <c r="I592" s="388"/>
      <c r="J592" s="402"/>
      <c r="K592" s="388"/>
      <c r="L592" s="388"/>
      <c r="M592" s="388"/>
      <c r="N592" s="388"/>
      <c r="O592" s="388"/>
      <c r="P592" s="388"/>
      <c r="Q592" s="388"/>
      <c r="R592" s="388"/>
      <c r="S592" s="388"/>
      <c r="T592" s="388"/>
      <c r="U592" s="388"/>
      <c r="V592" s="388"/>
      <c r="W592" s="388"/>
      <c r="X592" s="388"/>
      <c r="Y592" s="389"/>
      <c r="Z592" s="388"/>
      <c r="AA592" s="402"/>
      <c r="AB592" s="403"/>
    </row>
    <row r="593" spans="1:28" ht="15.75" thickBot="1">
      <c r="A593" s="406"/>
      <c r="B593" s="407"/>
      <c r="C593" s="407"/>
      <c r="D593" s="408"/>
      <c r="E593" s="409"/>
      <c r="F593" s="409"/>
      <c r="G593" s="409"/>
      <c r="H593" s="410"/>
      <c r="I593" s="409"/>
      <c r="J593" s="409"/>
      <c r="K593" s="409"/>
      <c r="L593" s="409"/>
      <c r="M593" s="409"/>
      <c r="N593" s="409"/>
      <c r="O593" s="409"/>
      <c r="P593" s="409"/>
      <c r="Q593" s="409"/>
      <c r="R593" s="409"/>
      <c r="S593" s="409"/>
      <c r="T593" s="409"/>
      <c r="U593" s="409"/>
      <c r="V593" s="409"/>
      <c r="W593" s="409"/>
      <c r="X593" s="409"/>
      <c r="Y593" s="411"/>
      <c r="Z593" s="409"/>
      <c r="AA593" s="412"/>
      <c r="AB593" s="413"/>
    </row>
    <row r="594" spans="1:28">
      <c r="A594" s="377"/>
      <c r="B594" s="378"/>
      <c r="C594" s="378"/>
      <c r="D594" s="379"/>
      <c r="E594" s="380"/>
      <c r="F594" s="380"/>
      <c r="G594" s="380"/>
      <c r="H594" s="381"/>
      <c r="I594" s="380"/>
      <c r="J594" s="380"/>
      <c r="K594" s="380"/>
      <c r="L594" s="380"/>
      <c r="M594" s="380"/>
      <c r="N594" s="380"/>
      <c r="O594" s="380"/>
      <c r="P594" s="380"/>
      <c r="Q594" s="380"/>
      <c r="R594" s="380"/>
      <c r="S594" s="380"/>
      <c r="T594" s="380"/>
      <c r="U594" s="380"/>
      <c r="V594" s="380"/>
      <c r="W594" s="380"/>
      <c r="X594" s="380"/>
      <c r="Y594" s="382"/>
      <c r="Z594" s="380"/>
      <c r="AA594" s="380"/>
      <c r="AB594" s="383"/>
    </row>
    <row r="595" spans="1:28">
      <c r="A595" s="384" t="str">
        <f t="shared" si="1654"/>
        <v>Lantai 1</v>
      </c>
      <c r="B595" s="385">
        <f t="shared" si="1655"/>
        <v>19</v>
      </c>
      <c r="C595" s="386" t="str">
        <f t="shared" ref="C595" si="1842">CONCATENATE(A595," no. ",B595)</f>
        <v>Lantai 1 no. 19</v>
      </c>
      <c r="D595" s="2562" t="str">
        <f>VLOOKUP(C595,'Data Panjang Balok'!$C$9:$N$254,2,FALSE)</f>
        <v>S24-1</v>
      </c>
      <c r="E595" s="2576"/>
      <c r="F595" s="2576"/>
      <c r="G595" s="2576"/>
      <c r="H595" s="2577"/>
      <c r="I595" s="387"/>
      <c r="J595" s="388"/>
      <c r="K595" s="388"/>
      <c r="L595" s="388"/>
      <c r="M595" s="388"/>
      <c r="N595" s="388"/>
      <c r="O595" s="388"/>
      <c r="P595" s="388"/>
      <c r="Q595" s="388"/>
      <c r="R595" s="388"/>
      <c r="S595" s="388"/>
      <c r="T595" s="388"/>
      <c r="U595" s="388"/>
      <c r="V595" s="388"/>
      <c r="W595" s="388"/>
      <c r="X595" s="388"/>
      <c r="Y595" s="389"/>
      <c r="Z595" s="388"/>
      <c r="AA595" s="388"/>
      <c r="AB595" s="390"/>
    </row>
    <row r="596" spans="1:28">
      <c r="A596" s="391"/>
      <c r="B596" s="392"/>
      <c r="C596" s="393" t="s">
        <v>118</v>
      </c>
      <c r="D596" s="2578">
        <f>VLOOKUP(D595,'Detail Balok'!$C$10:$AU$140,2,FALSE)</f>
        <v>200</v>
      </c>
      <c r="E596" s="2579"/>
      <c r="F596" s="388" t="s">
        <v>125</v>
      </c>
      <c r="G596" s="2579">
        <f>VLOOKUP(D595,'Detail Balok'!$C$10:$AU$140,3,FALSE)</f>
        <v>400</v>
      </c>
      <c r="H596" s="2580"/>
      <c r="I596" s="388"/>
      <c r="J596" s="396"/>
      <c r="K596" s="396"/>
      <c r="L596" s="396"/>
      <c r="M596" s="396"/>
      <c r="N596" s="396"/>
      <c r="O596" s="396"/>
      <c r="P596" s="396"/>
      <c r="Q596" s="396"/>
      <c r="R596" s="396"/>
      <c r="S596" s="396"/>
      <c r="T596" s="396"/>
      <c r="U596" s="388"/>
      <c r="V596" s="396"/>
      <c r="W596" s="388"/>
      <c r="X596" s="396"/>
      <c r="Y596" s="389"/>
      <c r="Z596" s="396"/>
      <c r="AA596" s="388"/>
      <c r="AB596" s="390"/>
    </row>
    <row r="597" spans="1:28">
      <c r="A597" s="391"/>
      <c r="B597" s="392"/>
      <c r="C597" s="393" t="s">
        <v>198</v>
      </c>
      <c r="D597" s="2562">
        <f>VLOOKUP(C595,'Data Panjang Balok'!$C$9:$N$254,4,FALSE)</f>
        <v>4075</v>
      </c>
      <c r="E597" s="2563"/>
      <c r="F597" s="2563"/>
      <c r="G597" s="2563"/>
      <c r="H597" s="2564"/>
      <c r="I597" s="397"/>
      <c r="J597" s="396"/>
      <c r="K597" s="396"/>
      <c r="L597" s="396"/>
      <c r="M597" s="396"/>
      <c r="N597" s="396"/>
      <c r="O597" s="396"/>
      <c r="P597" s="396"/>
      <c r="Q597" s="396"/>
      <c r="R597" s="396"/>
      <c r="S597" s="396"/>
      <c r="T597" s="396"/>
      <c r="U597" s="388"/>
      <c r="V597" s="396"/>
      <c r="W597" s="388"/>
      <c r="X597" s="396"/>
      <c r="Y597" s="389"/>
      <c r="Z597" s="396"/>
      <c r="AA597" s="388"/>
      <c r="AB597" s="390"/>
    </row>
    <row r="598" spans="1:28">
      <c r="A598" s="391"/>
      <c r="B598" s="392"/>
      <c r="C598" s="393" t="s">
        <v>199</v>
      </c>
      <c r="D598" s="2562">
        <f>VLOOKUP(C595,'Data Panjang Balok'!$C$9:$N$254,7,FALSE)</f>
        <v>4075</v>
      </c>
      <c r="E598" s="2563"/>
      <c r="F598" s="2563"/>
      <c r="G598" s="2563"/>
      <c r="H598" s="2564"/>
      <c r="I598" s="397"/>
      <c r="J598" s="396"/>
      <c r="K598" s="396"/>
      <c r="L598" s="396"/>
      <c r="M598" s="396"/>
      <c r="N598" s="396"/>
      <c r="O598" s="396"/>
      <c r="P598" s="396"/>
      <c r="Q598" s="396"/>
      <c r="R598" s="396"/>
      <c r="S598" s="396"/>
      <c r="T598" s="396"/>
      <c r="U598" s="388"/>
      <c r="V598" s="396"/>
      <c r="W598" s="388"/>
      <c r="X598" s="396"/>
      <c r="Y598" s="389"/>
      <c r="Z598" s="396"/>
      <c r="AA598" s="388"/>
      <c r="AB598" s="390"/>
    </row>
    <row r="599" spans="1:28">
      <c r="A599" s="391"/>
      <c r="B599" s="392"/>
      <c r="C599" s="393" t="s">
        <v>200</v>
      </c>
      <c r="D599" s="2562">
        <f>VLOOKUP(C595,'Data Panjang Balok'!$C$9:$N$254,9,FALSE)</f>
        <v>0</v>
      </c>
      <c r="E599" s="2563"/>
      <c r="F599" s="2563"/>
      <c r="G599" s="2563"/>
      <c r="H599" s="2564"/>
      <c r="I599" s="397"/>
      <c r="J599" s="396"/>
      <c r="K599" s="396"/>
      <c r="L599" s="396"/>
      <c r="M599" s="396"/>
      <c r="N599" s="396"/>
      <c r="O599" s="396"/>
      <c r="P599" s="396"/>
      <c r="Q599" s="396"/>
      <c r="R599" s="396"/>
      <c r="S599" s="396"/>
      <c r="T599" s="396"/>
      <c r="U599" s="388"/>
      <c r="V599" s="396"/>
      <c r="W599" s="388"/>
      <c r="X599" s="396"/>
      <c r="Y599" s="389"/>
      <c r="Z599" s="396"/>
      <c r="AA599" s="388"/>
      <c r="AB599" s="390"/>
    </row>
    <row r="600" spans="1:28">
      <c r="A600" s="391"/>
      <c r="B600" s="392"/>
      <c r="C600" s="393" t="s">
        <v>201</v>
      </c>
      <c r="D600" s="2562">
        <f>VLOOKUP(C595,'Data Panjang Balok'!$C$9:$N$254,10,FALSE)</f>
        <v>0</v>
      </c>
      <c r="E600" s="2563"/>
      <c r="F600" s="2563"/>
      <c r="G600" s="2563"/>
      <c r="H600" s="2564"/>
      <c r="I600" s="397"/>
      <c r="J600" s="396"/>
      <c r="K600" s="396"/>
      <c r="L600" s="396"/>
      <c r="M600" s="396"/>
      <c r="N600" s="396"/>
      <c r="O600" s="396"/>
      <c r="P600" s="396"/>
      <c r="Q600" s="396"/>
      <c r="R600" s="396"/>
      <c r="S600" s="396"/>
      <c r="T600" s="396"/>
      <c r="U600" s="388"/>
      <c r="V600" s="396"/>
      <c r="W600" s="388"/>
      <c r="X600" s="396"/>
      <c r="Y600" s="389"/>
      <c r="Z600" s="396"/>
      <c r="AA600" s="388"/>
      <c r="AB600" s="390"/>
    </row>
    <row r="601" spans="1:28">
      <c r="A601" s="391"/>
      <c r="B601" s="392"/>
      <c r="C601" s="393" t="s">
        <v>48</v>
      </c>
      <c r="D601" s="2562">
        <f>VLOOKUP(C595,'Data Panjang Balok'!$C$9:$N$254,3,FALSE)</f>
        <v>1</v>
      </c>
      <c r="E601" s="2563"/>
      <c r="F601" s="2563"/>
      <c r="G601" s="2563"/>
      <c r="H601" s="2564"/>
      <c r="I601" s="397"/>
      <c r="J601" s="396"/>
      <c r="K601" s="396"/>
      <c r="L601" s="396"/>
      <c r="M601" s="396"/>
      <c r="N601" s="396"/>
      <c r="O601" s="396"/>
      <c r="P601" s="396"/>
      <c r="Q601" s="396"/>
      <c r="R601" s="396"/>
      <c r="S601" s="396"/>
      <c r="T601" s="396"/>
      <c r="U601" s="388"/>
      <c r="V601" s="396"/>
      <c r="W601" s="388"/>
      <c r="X601" s="396"/>
      <c r="Y601" s="389"/>
      <c r="Z601" s="396"/>
      <c r="AA601" s="388"/>
      <c r="AB601" s="390"/>
    </row>
    <row r="602" spans="1:28">
      <c r="A602" s="384" t="str">
        <f t="shared" ref="A602:B602" si="1843">A595</f>
        <v>Lantai 1</v>
      </c>
      <c r="B602" s="385">
        <f t="shared" si="1843"/>
        <v>19</v>
      </c>
      <c r="C602" s="393" t="s">
        <v>202</v>
      </c>
      <c r="D602" s="398">
        <f>VLOOKUP(D595,'Detail Balok'!$C$10:$AU$140,4,FALSE)</f>
        <v>3</v>
      </c>
      <c r="E602" s="388" t="s">
        <v>16</v>
      </c>
      <c r="F602" s="388">
        <f>VLOOKUP(D595,'Detail Balok'!$C$10:$AU$140,6,FALSE)</f>
        <v>13</v>
      </c>
      <c r="G602" s="388"/>
      <c r="H602" s="395"/>
      <c r="I602" s="388" t="s">
        <v>203</v>
      </c>
      <c r="J602" s="399">
        <f t="shared" ref="J602" si="1844">+D597/4/1000</f>
        <v>1.01875</v>
      </c>
      <c r="K602" s="400" t="s">
        <v>204</v>
      </c>
      <c r="L602" s="399">
        <f t="shared" ref="L602" si="1845">MAX(VLOOKUP(F602,N$6:P$15,3,FALSE)/1000,2/3*D599/1000)+F$16*F602/1000</f>
        <v>0.156</v>
      </c>
      <c r="M602" s="399" t="s">
        <v>176</v>
      </c>
      <c r="N602" s="399">
        <f t="shared" ref="N602:N604" si="1846">J602+L602</f>
        <v>1.17475</v>
      </c>
      <c r="O602" s="399" t="s">
        <v>204</v>
      </c>
      <c r="P602" s="389">
        <f t="shared" ref="P602" si="1847">D602-D603</f>
        <v>0</v>
      </c>
      <c r="Q602" s="399" t="s">
        <v>125</v>
      </c>
      <c r="R602" s="399">
        <f t="shared" ref="R602" si="1848">IF(P602&gt;0,$F$18*F602/1000,0)</f>
        <v>0</v>
      </c>
      <c r="S602" s="399" t="s">
        <v>205</v>
      </c>
      <c r="T602" s="399" t="s">
        <v>125</v>
      </c>
      <c r="U602" s="401">
        <f t="shared" ref="U602:U604" si="1849">0.006165*F602^2</f>
        <v>1.041885</v>
      </c>
      <c r="V602" s="399"/>
      <c r="W602" s="399"/>
      <c r="X602" s="399" t="s">
        <v>125</v>
      </c>
      <c r="Y602" s="389">
        <f t="shared" ref="Y602" si="1850">D601</f>
        <v>1</v>
      </c>
      <c r="Z602" s="400" t="s">
        <v>176</v>
      </c>
      <c r="AA602" s="402">
        <f t="shared" ref="AA602" si="1851">IF(AA605=0,(D602*N602+P602*R602)*U602*Y602,0)</f>
        <v>0</v>
      </c>
      <c r="AB602" s="403"/>
    </row>
    <row r="603" spans="1:28">
      <c r="A603" s="384" t="str">
        <f t="shared" ref="A603:B603" si="1852">A595</f>
        <v>Lantai 1</v>
      </c>
      <c r="B603" s="385">
        <f t="shared" si="1852"/>
        <v>19</v>
      </c>
      <c r="C603" s="393" t="s">
        <v>206</v>
      </c>
      <c r="D603" s="398">
        <f>VLOOKUP(D595,'Detail Balok'!$C$10:$AU$140,7,FALSE)</f>
        <v>3</v>
      </c>
      <c r="E603" s="388" t="s">
        <v>16</v>
      </c>
      <c r="F603" s="388">
        <f>VLOOKUP(D595,'Detail Balok'!$C$10:$AU$140,9,FALSE)</f>
        <v>13</v>
      </c>
      <c r="G603" s="388"/>
      <c r="H603" s="395"/>
      <c r="I603" s="388" t="s">
        <v>203</v>
      </c>
      <c r="J603" s="399">
        <f t="shared" ref="J603" si="1853">+D597/2/1000</f>
        <v>2.0375000000000001</v>
      </c>
      <c r="K603" s="400" t="s">
        <v>204</v>
      </c>
      <c r="L603" s="399"/>
      <c r="M603" s="399" t="s">
        <v>176</v>
      </c>
      <c r="N603" s="399">
        <f t="shared" si="1846"/>
        <v>2.0375000000000001</v>
      </c>
      <c r="O603" s="399" t="s">
        <v>204</v>
      </c>
      <c r="P603" s="389">
        <f t="shared" ref="P603" si="1854">MAX(D603-D602,D603-D604)</f>
        <v>0</v>
      </c>
      <c r="Q603" s="399" t="s">
        <v>125</v>
      </c>
      <c r="R603" s="399">
        <f t="shared" ref="R603" si="1855">IF(P603&gt;0,2*(1-2*$F$19-1/2)*D598/1000,0)</f>
        <v>0</v>
      </c>
      <c r="S603" s="399" t="s">
        <v>205</v>
      </c>
      <c r="T603" s="399" t="s">
        <v>125</v>
      </c>
      <c r="U603" s="401">
        <f t="shared" si="1849"/>
        <v>1.041885</v>
      </c>
      <c r="V603" s="399"/>
      <c r="W603" s="399"/>
      <c r="X603" s="399" t="s">
        <v>125</v>
      </c>
      <c r="Y603" s="389">
        <f t="shared" ref="Y603" si="1856">D601</f>
        <v>1</v>
      </c>
      <c r="Z603" s="400" t="s">
        <v>176</v>
      </c>
      <c r="AA603" s="402">
        <f t="shared" ref="AA603" si="1857">IF(AA605=0,(D603*N603+P603*R603)*U603*Y603,0)</f>
        <v>0</v>
      </c>
      <c r="AB603" s="403"/>
    </row>
    <row r="604" spans="1:28">
      <c r="A604" s="384" t="str">
        <f t="shared" ref="A604:B604" si="1858">A595</f>
        <v>Lantai 1</v>
      </c>
      <c r="B604" s="385">
        <f t="shared" si="1858"/>
        <v>19</v>
      </c>
      <c r="C604" s="393" t="s">
        <v>202</v>
      </c>
      <c r="D604" s="398">
        <f>VLOOKUP(D595,'Detail Balok'!$C$10:$AU$140,10,FALSE)</f>
        <v>3</v>
      </c>
      <c r="E604" s="388" t="s">
        <v>16</v>
      </c>
      <c r="F604" s="388">
        <f>VLOOKUP(D595,'Detail Balok'!$C$10:$AU$140,12,FALSE)</f>
        <v>13</v>
      </c>
      <c r="G604" s="388"/>
      <c r="H604" s="395"/>
      <c r="I604" s="388" t="s">
        <v>203</v>
      </c>
      <c r="J604" s="399">
        <f t="shared" ref="J604" si="1859">+D597/4/1000</f>
        <v>1.01875</v>
      </c>
      <c r="K604" s="400" t="s">
        <v>204</v>
      </c>
      <c r="L604" s="399">
        <f t="shared" ref="L604" si="1860">MAX(VLOOKUP(F604,N$6:P$15,3,FALSE)/1000,2/3*D599/1000)+F$16*F604/1000</f>
        <v>0.156</v>
      </c>
      <c r="M604" s="399" t="s">
        <v>176</v>
      </c>
      <c r="N604" s="399">
        <f t="shared" si="1846"/>
        <v>1.17475</v>
      </c>
      <c r="O604" s="399" t="s">
        <v>204</v>
      </c>
      <c r="P604" s="389">
        <f t="shared" ref="P604" si="1861">D604-D603</f>
        <v>0</v>
      </c>
      <c r="Q604" s="399" t="s">
        <v>125</v>
      </c>
      <c r="R604" s="399">
        <f t="shared" ref="R604" si="1862">IF(P604&gt;0,$F$18*F604/1000,0)</f>
        <v>0</v>
      </c>
      <c r="S604" s="399" t="s">
        <v>205</v>
      </c>
      <c r="T604" s="399" t="s">
        <v>125</v>
      </c>
      <c r="U604" s="401">
        <f t="shared" si="1849"/>
        <v>1.041885</v>
      </c>
      <c r="V604" s="399"/>
      <c r="W604" s="399"/>
      <c r="X604" s="399" t="s">
        <v>125</v>
      </c>
      <c r="Y604" s="389">
        <f t="shared" ref="Y604" si="1863">D601</f>
        <v>1</v>
      </c>
      <c r="Z604" s="400" t="s">
        <v>176</v>
      </c>
      <c r="AA604" s="402">
        <f t="shared" ref="AA604" si="1864">IF(AA605=0,(D604*N604+P604*R604)*U604*Y604,0)</f>
        <v>0</v>
      </c>
      <c r="AB604" s="403"/>
    </row>
    <row r="605" spans="1:28">
      <c r="A605" s="384" t="str">
        <f t="shared" ref="A605:B605" si="1865">A595</f>
        <v>Lantai 1</v>
      </c>
      <c r="B605" s="385">
        <f t="shared" si="1865"/>
        <v>19</v>
      </c>
      <c r="C605" s="393"/>
      <c r="D605" s="398">
        <f t="shared" ref="D605:D665" si="1866">IF(AND(D602=D603,D603=D604,D602=D604),D602,0)</f>
        <v>3</v>
      </c>
      <c r="E605" s="388" t="s">
        <v>16</v>
      </c>
      <c r="F605" s="388">
        <f t="shared" ref="F605:F665" si="1867">IF(AND(F602=F603,F602=F604,F603=F604),F602,0)</f>
        <v>13</v>
      </c>
      <c r="G605" s="388"/>
      <c r="H605" s="395"/>
      <c r="I605" s="388"/>
      <c r="J605" s="396"/>
      <c r="K605" s="396"/>
      <c r="L605" s="404" t="s">
        <v>207</v>
      </c>
      <c r="M605" s="399" t="s">
        <v>176</v>
      </c>
      <c r="N605" s="399">
        <f t="shared" ref="N605" si="1868">IF(AND(D602=D603,D602=D604,D603=D604,F602=F603,F602=F604,F603=F604),SUM(N602:N604),0)</f>
        <v>4.3870000000000005</v>
      </c>
      <c r="O605" s="399" t="s">
        <v>204</v>
      </c>
      <c r="P605" s="389">
        <f t="shared" ref="P605" si="1869">IF(N605&gt;12,ROUNDDOWN(N605/12,0),0)</f>
        <v>0</v>
      </c>
      <c r="Q605" s="399" t="s">
        <v>125</v>
      </c>
      <c r="R605" s="399">
        <f t="shared" ref="R605" si="1870">IF(P605&gt;0,MAX(VLOOKUP(F605,$D$6:$G$15,3,FALSE),600),0)/1000</f>
        <v>0</v>
      </c>
      <c r="S605" s="396"/>
      <c r="T605" s="396" t="s">
        <v>125</v>
      </c>
      <c r="U605" s="401">
        <f t="shared" ref="U605:U665" si="1871">U604</f>
        <v>1.041885</v>
      </c>
      <c r="V605" s="396" t="s">
        <v>125</v>
      </c>
      <c r="W605" s="399">
        <f t="shared" ref="W605" si="1872">D605</f>
        <v>3</v>
      </c>
      <c r="X605" s="399" t="s">
        <v>125</v>
      </c>
      <c r="Y605" s="389">
        <f t="shared" ref="Y605:Y665" si="1873">Y604</f>
        <v>1</v>
      </c>
      <c r="Z605" s="400" t="s">
        <v>176</v>
      </c>
      <c r="AA605" s="402">
        <f t="shared" ref="AA605" si="1874">(N605+P605*R605/1000)*U605*W605*Y605</f>
        <v>13.712248485</v>
      </c>
      <c r="AB605" s="390"/>
    </row>
    <row r="606" spans="1:28">
      <c r="A606" s="384"/>
      <c r="B606" s="385"/>
      <c r="C606" s="393"/>
      <c r="D606" s="398"/>
      <c r="E606" s="388"/>
      <c r="F606" s="388"/>
      <c r="G606" s="388"/>
      <c r="H606" s="395"/>
      <c r="I606" s="388"/>
      <c r="J606" s="396"/>
      <c r="K606" s="396"/>
      <c r="L606" s="404"/>
      <c r="M606" s="399"/>
      <c r="N606" s="399"/>
      <c r="O606" s="396"/>
      <c r="P606" s="389"/>
      <c r="Q606" s="396"/>
      <c r="R606" s="396"/>
      <c r="S606" s="396"/>
      <c r="T606" s="396"/>
      <c r="U606" s="401"/>
      <c r="V606" s="396"/>
      <c r="W606" s="399"/>
      <c r="X606" s="396"/>
      <c r="Y606" s="389"/>
      <c r="Z606" s="396"/>
      <c r="AA606" s="388"/>
      <c r="AB606" s="390"/>
    </row>
    <row r="607" spans="1:28">
      <c r="A607" s="384" t="str">
        <f t="shared" ref="A607:B607" si="1875">A595</f>
        <v>Lantai 1</v>
      </c>
      <c r="B607" s="385">
        <f t="shared" si="1875"/>
        <v>19</v>
      </c>
      <c r="C607" s="393" t="s">
        <v>208</v>
      </c>
      <c r="D607" s="398">
        <f>VLOOKUP(D595,'Detail Balok'!$C$10:$AU$140,13,FALSE)</f>
        <v>0</v>
      </c>
      <c r="E607" s="388" t="s">
        <v>16</v>
      </c>
      <c r="F607" s="388">
        <f>VLOOKUP(D595,'Detail Balok'!$C$10:$AU$140,15,FALSE)</f>
        <v>8</v>
      </c>
      <c r="G607" s="388"/>
      <c r="H607" s="395"/>
      <c r="I607" s="388"/>
      <c r="J607" s="399">
        <f t="shared" ref="J607" si="1876">+D597/1000</f>
        <v>4.0750000000000002</v>
      </c>
      <c r="K607" s="400" t="s">
        <v>204</v>
      </c>
      <c r="L607" s="399">
        <f t="shared" ref="L607" si="1877">2*$F$16*F607/1000</f>
        <v>0.192</v>
      </c>
      <c r="M607" s="399" t="s">
        <v>176</v>
      </c>
      <c r="N607" s="399">
        <f t="shared" ref="N607" si="1878">J607+L607</f>
        <v>4.2670000000000003</v>
      </c>
      <c r="O607" s="399" t="s">
        <v>204</v>
      </c>
      <c r="P607" s="389">
        <f t="shared" ref="P607" si="1879">IF(N607&gt;12,ROUNDDOWN(N607/12,0),0)</f>
        <v>0</v>
      </c>
      <c r="Q607" s="399" t="s">
        <v>125</v>
      </c>
      <c r="R607" s="399">
        <f t="shared" ref="R607" si="1880">IF(P607&gt;0,MAX(VLOOKUP(F607,$D$6:$G$15,3,FALSE),600),0)/1000</f>
        <v>0</v>
      </c>
      <c r="S607" s="399"/>
      <c r="T607" s="399" t="s">
        <v>125</v>
      </c>
      <c r="U607" s="401">
        <f t="shared" ref="U607" si="1881">0.006165*F607^2</f>
        <v>0.39456000000000002</v>
      </c>
      <c r="V607" s="399" t="s">
        <v>125</v>
      </c>
      <c r="W607" s="399">
        <f t="shared" ref="W607" si="1882">+D607</f>
        <v>0</v>
      </c>
      <c r="X607" s="399" t="s">
        <v>125</v>
      </c>
      <c r="Y607" s="389">
        <f t="shared" ref="Y607" si="1883">D601</f>
        <v>1</v>
      </c>
      <c r="Z607" s="400" t="s">
        <v>176</v>
      </c>
      <c r="AA607" s="402">
        <f t="shared" ref="AA607" si="1884">(N607+P607*R607/1000)*U607*W607*Y607</f>
        <v>0</v>
      </c>
      <c r="AB607" s="403"/>
    </row>
    <row r="608" spans="1:28">
      <c r="A608" s="384"/>
      <c r="B608" s="385"/>
      <c r="C608" s="393"/>
      <c r="D608" s="398"/>
      <c r="E608" s="388"/>
      <c r="F608" s="388"/>
      <c r="G608" s="388"/>
      <c r="H608" s="395"/>
      <c r="I608" s="388"/>
      <c r="J608" s="399"/>
      <c r="K608" s="400"/>
      <c r="L608" s="399"/>
      <c r="M608" s="399"/>
      <c r="N608" s="399"/>
      <c r="O608" s="399"/>
      <c r="P608" s="389"/>
      <c r="Q608" s="399"/>
      <c r="R608" s="399"/>
      <c r="S608" s="399"/>
      <c r="T608" s="399"/>
      <c r="U608" s="401"/>
      <c r="V608" s="399"/>
      <c r="W608" s="399"/>
      <c r="X608" s="399"/>
      <c r="Y608" s="389"/>
      <c r="Z608" s="400"/>
      <c r="AA608" s="402"/>
      <c r="AB608" s="403"/>
    </row>
    <row r="609" spans="1:28">
      <c r="A609" s="384"/>
      <c r="B609" s="385"/>
      <c r="C609" s="393"/>
      <c r="D609" s="398"/>
      <c r="E609" s="388"/>
      <c r="F609" s="388"/>
      <c r="G609" s="388"/>
      <c r="H609" s="395"/>
      <c r="I609" s="388"/>
      <c r="J609" s="396"/>
      <c r="K609" s="396"/>
      <c r="L609" s="396"/>
      <c r="M609" s="396"/>
      <c r="N609" s="396"/>
      <c r="O609" s="396"/>
      <c r="P609" s="389"/>
      <c r="Q609" s="396"/>
      <c r="R609" s="396"/>
      <c r="S609" s="396"/>
      <c r="T609" s="396"/>
      <c r="U609" s="401"/>
      <c r="V609" s="396"/>
      <c r="W609" s="399"/>
      <c r="X609" s="396"/>
      <c r="Y609" s="389"/>
      <c r="Z609" s="396"/>
      <c r="AA609" s="388"/>
      <c r="AB609" s="390"/>
    </row>
    <row r="610" spans="1:28">
      <c r="A610" s="384" t="str">
        <f t="shared" ref="A610:B610" si="1885">A595</f>
        <v>Lantai 1</v>
      </c>
      <c r="B610" s="385">
        <f t="shared" si="1885"/>
        <v>19</v>
      </c>
      <c r="C610" s="393" t="s">
        <v>209</v>
      </c>
      <c r="D610" s="398">
        <f>VLOOKUP(D595,'Detail Balok'!$C$10:$AU$140,22,FALSE)</f>
        <v>3</v>
      </c>
      <c r="E610" s="388" t="s">
        <v>16</v>
      </c>
      <c r="F610" s="388">
        <f>VLOOKUP(D595,'Detail Balok'!$C$10:$AU$140,24,FALSE)</f>
        <v>13</v>
      </c>
      <c r="G610" s="388"/>
      <c r="H610" s="395"/>
      <c r="I610" s="388" t="s">
        <v>203</v>
      </c>
      <c r="J610" s="399">
        <f t="shared" ref="J610:J672" si="1886">+J602</f>
        <v>1.01875</v>
      </c>
      <c r="K610" s="400" t="s">
        <v>204</v>
      </c>
      <c r="L610" s="399">
        <f t="shared" ref="L610" si="1887">MAX(VLOOKUP(F610,N$6:P$15,3,FALSE)/1000,2/3*D600/1000)+F$16*F610/1000</f>
        <v>0.156</v>
      </c>
      <c r="M610" s="399" t="s">
        <v>176</v>
      </c>
      <c r="N610" s="399">
        <f t="shared" ref="N610:N612" si="1888">J610+L610</f>
        <v>1.17475</v>
      </c>
      <c r="O610" s="399" t="s">
        <v>204</v>
      </c>
      <c r="P610" s="389">
        <f t="shared" ref="P610" si="1889">D610-D611</f>
        <v>0</v>
      </c>
      <c r="Q610" s="399" t="s">
        <v>125</v>
      </c>
      <c r="R610" s="399">
        <f t="shared" ref="R610" si="1890">IF(P610&gt;0,$F$18*F610/1000,0)</f>
        <v>0</v>
      </c>
      <c r="S610" s="399" t="s">
        <v>205</v>
      </c>
      <c r="T610" s="399" t="s">
        <v>125</v>
      </c>
      <c r="U610" s="401">
        <f t="shared" ref="U610:U612" si="1891">0.006165*F610^2</f>
        <v>1.041885</v>
      </c>
      <c r="V610" s="399"/>
      <c r="W610" s="399"/>
      <c r="X610" s="399" t="s">
        <v>125</v>
      </c>
      <c r="Y610" s="389">
        <f t="shared" ref="Y610" si="1892">D601</f>
        <v>1</v>
      </c>
      <c r="Z610" s="400" t="s">
        <v>176</v>
      </c>
      <c r="AA610" s="402">
        <f t="shared" ref="AA610" si="1893">IF(AA613=0,(D610*N610+P610*R610)*U610*Y610,0)</f>
        <v>0</v>
      </c>
      <c r="AB610" s="403"/>
    </row>
    <row r="611" spans="1:28">
      <c r="A611" s="384" t="str">
        <f t="shared" ref="A611:B611" si="1894">A595</f>
        <v>Lantai 1</v>
      </c>
      <c r="B611" s="385">
        <f t="shared" si="1894"/>
        <v>19</v>
      </c>
      <c r="C611" s="393" t="s">
        <v>210</v>
      </c>
      <c r="D611" s="398">
        <f>VLOOKUP(D595,'Detail Balok'!$C$10:$AU$140,25,FALSE)</f>
        <v>3</v>
      </c>
      <c r="E611" s="388" t="s">
        <v>16</v>
      </c>
      <c r="F611" s="388">
        <f>VLOOKUP(D595,'Detail Balok'!$C$10:$AU$140,27,FALSE)</f>
        <v>13</v>
      </c>
      <c r="G611" s="388"/>
      <c r="H611" s="395"/>
      <c r="I611" s="388" t="s">
        <v>203</v>
      </c>
      <c r="J611" s="399">
        <f t="shared" si="1886"/>
        <v>2.0375000000000001</v>
      </c>
      <c r="K611" s="400" t="s">
        <v>204</v>
      </c>
      <c r="L611" s="399"/>
      <c r="M611" s="399" t="s">
        <v>176</v>
      </c>
      <c r="N611" s="399">
        <f t="shared" si="1888"/>
        <v>2.0375000000000001</v>
      </c>
      <c r="O611" s="399" t="s">
        <v>204</v>
      </c>
      <c r="P611" s="389">
        <f t="shared" ref="P611" si="1895">MAX(D611-D610,D611-D612)</f>
        <v>0</v>
      </c>
      <c r="Q611" s="399" t="s">
        <v>125</v>
      </c>
      <c r="R611" s="399">
        <f t="shared" ref="R611" si="1896">IF(P611&gt;0,2*(1-2*$F$19-1/2)*D598/1000,0)</f>
        <v>0</v>
      </c>
      <c r="S611" s="399" t="s">
        <v>205</v>
      </c>
      <c r="T611" s="399" t="s">
        <v>125</v>
      </c>
      <c r="U611" s="401">
        <f t="shared" si="1891"/>
        <v>1.041885</v>
      </c>
      <c r="V611" s="399"/>
      <c r="W611" s="399"/>
      <c r="X611" s="399" t="s">
        <v>125</v>
      </c>
      <c r="Y611" s="389">
        <f t="shared" ref="Y611" si="1897">D601</f>
        <v>1</v>
      </c>
      <c r="Z611" s="400" t="s">
        <v>176</v>
      </c>
      <c r="AA611" s="402">
        <f t="shared" ref="AA611" si="1898">IF(AA613=0,(D611*N611+P611*R611)*U611*Y611,0)</f>
        <v>0</v>
      </c>
      <c r="AB611" s="403"/>
    </row>
    <row r="612" spans="1:28">
      <c r="A612" s="384" t="str">
        <f t="shared" ref="A612:B612" si="1899">A595</f>
        <v>Lantai 1</v>
      </c>
      <c r="B612" s="385">
        <f t="shared" si="1899"/>
        <v>19</v>
      </c>
      <c r="C612" s="393" t="s">
        <v>209</v>
      </c>
      <c r="D612" s="398">
        <f>VLOOKUP(D595,'Detail Balok'!$C$10:$AU$140,28,FALSE)</f>
        <v>3</v>
      </c>
      <c r="E612" s="388" t="s">
        <v>16</v>
      </c>
      <c r="F612" s="388">
        <f>VLOOKUP(D595,'Detail Balok'!$C$10:$AU$140,30,FALSE)</f>
        <v>13</v>
      </c>
      <c r="G612" s="388"/>
      <c r="H612" s="395"/>
      <c r="I612" s="388" t="s">
        <v>203</v>
      </c>
      <c r="J612" s="399">
        <f t="shared" si="1886"/>
        <v>1.01875</v>
      </c>
      <c r="K612" s="400" t="s">
        <v>204</v>
      </c>
      <c r="L612" s="399">
        <f t="shared" ref="L612" si="1900">MAX(VLOOKUP(F612,N$6:P$15,3,FALSE)/1000,2/3*D600/1000)+F$16*F612/1000</f>
        <v>0.156</v>
      </c>
      <c r="M612" s="399" t="s">
        <v>176</v>
      </c>
      <c r="N612" s="399">
        <f t="shared" si="1888"/>
        <v>1.17475</v>
      </c>
      <c r="O612" s="399" t="s">
        <v>204</v>
      </c>
      <c r="P612" s="389">
        <f t="shared" ref="P612" si="1901">D612-D611</f>
        <v>0</v>
      </c>
      <c r="Q612" s="399" t="s">
        <v>125</v>
      </c>
      <c r="R612" s="399">
        <f t="shared" ref="R612" si="1902">IF(P612&gt;0,$F$18*F612/1000,0)</f>
        <v>0</v>
      </c>
      <c r="S612" s="399" t="s">
        <v>205</v>
      </c>
      <c r="T612" s="399" t="s">
        <v>125</v>
      </c>
      <c r="U612" s="401">
        <f t="shared" si="1891"/>
        <v>1.041885</v>
      </c>
      <c r="V612" s="399"/>
      <c r="W612" s="399"/>
      <c r="X612" s="399" t="s">
        <v>125</v>
      </c>
      <c r="Y612" s="389">
        <f t="shared" ref="Y612" si="1903">D601</f>
        <v>1</v>
      </c>
      <c r="Z612" s="400" t="s">
        <v>176</v>
      </c>
      <c r="AA612" s="402">
        <f t="shared" ref="AA612" si="1904">IF(AA613=0,(D612*N612+P612*R612)*U612*Y612,0)</f>
        <v>0</v>
      </c>
      <c r="AB612" s="403"/>
    </row>
    <row r="613" spans="1:28">
      <c r="A613" s="384" t="str">
        <f t="shared" ref="A613:B613" si="1905">A595</f>
        <v>Lantai 1</v>
      </c>
      <c r="B613" s="385">
        <f t="shared" si="1905"/>
        <v>19</v>
      </c>
      <c r="C613" s="393"/>
      <c r="D613" s="398">
        <f t="shared" ref="D613:D673" si="1906">IF(AND(D610=D611,D611=D612,D610=D612),D610,0)</f>
        <v>3</v>
      </c>
      <c r="E613" s="388" t="s">
        <v>16</v>
      </c>
      <c r="F613" s="388">
        <f t="shared" ref="F613:F673" si="1907">IF(AND(F610=F611,F610=F612,F611=F612),F610,0)</f>
        <v>13</v>
      </c>
      <c r="G613" s="388"/>
      <c r="H613" s="395"/>
      <c r="I613" s="388"/>
      <c r="J613" s="396"/>
      <c r="K613" s="396"/>
      <c r="L613" s="404" t="s">
        <v>207</v>
      </c>
      <c r="M613" s="399" t="s">
        <v>176</v>
      </c>
      <c r="N613" s="399">
        <f t="shared" ref="N613" si="1908">IF(AND(D610=D611,D610=D612,D611=D612,F610=F611,F610=F612,F611=F612),SUM(N610:N612),0)</f>
        <v>4.3870000000000005</v>
      </c>
      <c r="O613" s="399" t="s">
        <v>204</v>
      </c>
      <c r="P613" s="389">
        <f t="shared" ref="P613" si="1909">IF(N613&gt;12,ROUNDDOWN(N613/12,0),0)</f>
        <v>0</v>
      </c>
      <c r="Q613" s="399" t="s">
        <v>125</v>
      </c>
      <c r="R613" s="399">
        <f t="shared" ref="R613" si="1910">IF(P613&gt;0,MAX(VLOOKUP(F613,$D$6:$G$15,3,FALSE),600),0)/1000</f>
        <v>0</v>
      </c>
      <c r="S613" s="396"/>
      <c r="T613" s="396" t="s">
        <v>125</v>
      </c>
      <c r="U613" s="401">
        <f t="shared" ref="U613:U673" si="1911">U612</f>
        <v>1.041885</v>
      </c>
      <c r="V613" s="396" t="s">
        <v>125</v>
      </c>
      <c r="W613" s="399">
        <f t="shared" ref="W613" si="1912">D613</f>
        <v>3</v>
      </c>
      <c r="X613" s="399" t="s">
        <v>125</v>
      </c>
      <c r="Y613" s="389">
        <f t="shared" ref="Y613:Y673" si="1913">Y612</f>
        <v>1</v>
      </c>
      <c r="Z613" s="400" t="s">
        <v>176</v>
      </c>
      <c r="AA613" s="402">
        <f t="shared" ref="AA613" si="1914">(N613+P613*R613/1000)*U613*W613*Y613</f>
        <v>13.712248485</v>
      </c>
      <c r="AB613" s="403"/>
    </row>
    <row r="614" spans="1:28">
      <c r="A614" s="384"/>
      <c r="B614" s="385"/>
      <c r="C614" s="393"/>
      <c r="D614" s="394"/>
      <c r="E614" s="388"/>
      <c r="F614" s="388"/>
      <c r="G614" s="388"/>
      <c r="H614" s="395"/>
      <c r="I614" s="388"/>
      <c r="J614" s="399"/>
      <c r="K614" s="396"/>
      <c r="L614" s="396"/>
      <c r="M614" s="396"/>
      <c r="N614" s="396"/>
      <c r="O614" s="396"/>
      <c r="P614" s="389"/>
      <c r="Q614" s="396"/>
      <c r="R614" s="396"/>
      <c r="S614" s="396"/>
      <c r="T614" s="396"/>
      <c r="U614" s="401"/>
      <c r="V614" s="396"/>
      <c r="W614" s="388"/>
      <c r="X614" s="396"/>
      <c r="Y614" s="389"/>
      <c r="Z614" s="396"/>
      <c r="AA614" s="388"/>
      <c r="AB614" s="390"/>
    </row>
    <row r="615" spans="1:28">
      <c r="A615" s="384" t="str">
        <f t="shared" ref="A615:B615" si="1915">A595</f>
        <v>Lantai 1</v>
      </c>
      <c r="B615" s="385">
        <f t="shared" si="1915"/>
        <v>19</v>
      </c>
      <c r="C615" s="393" t="s">
        <v>211</v>
      </c>
      <c r="D615" s="398">
        <f>VLOOKUP(D595,'Detail Balok'!$C$10:$AU$140,31,FALSE)</f>
        <v>0</v>
      </c>
      <c r="E615" s="388" t="s">
        <v>16</v>
      </c>
      <c r="F615" s="388">
        <f>VLOOKUP(D595,'Detail Balok'!$C$10:$AU$140,33,FALSE)</f>
        <v>8</v>
      </c>
      <c r="G615" s="405" t="s">
        <v>157</v>
      </c>
      <c r="H615" s="395">
        <f>VLOOKUP(D595,'Detail Balok'!$C$10:$AU$140,35,FALSE)</f>
        <v>150</v>
      </c>
      <c r="I615" s="388"/>
      <c r="J615" s="400">
        <f t="shared" ref="J615" si="1916">(IF(D615=0,(2*(D596+G596))-(F$5*8),IF(D615=3,(2*(D596+G596))-(F$5*8)+(G596-2*F$5),IF(D615=4,(2*(D596+G596))-(F$5*8)+2*(G596-2*F$5)))))/1000</f>
        <v>0.88</v>
      </c>
      <c r="K615" s="400" t="s">
        <v>204</v>
      </c>
      <c r="L615" s="399">
        <f t="shared" ref="L615:L617" si="1917">IF(D615=0,2*MAX(6*F615,75),(D615-1)*2*MAX(6*F615,75))/1000</f>
        <v>0.15</v>
      </c>
      <c r="M615" s="399" t="s">
        <v>176</v>
      </c>
      <c r="N615" s="399">
        <f t="shared" ref="N615:N617" si="1918">J615+L615</f>
        <v>1.03</v>
      </c>
      <c r="O615" s="399"/>
      <c r="P615" s="389"/>
      <c r="Q615" s="399"/>
      <c r="R615" s="399"/>
      <c r="S615" s="399"/>
      <c r="T615" s="399" t="s">
        <v>125</v>
      </c>
      <c r="U615" s="401">
        <f t="shared" ref="U615:U617" si="1919">0.006165*F615^2</f>
        <v>0.39456000000000002</v>
      </c>
      <c r="V615" s="399" t="s">
        <v>125</v>
      </c>
      <c r="W615" s="399">
        <f t="shared" ref="W615" si="1920">IF(D598&gt;4*G596,ROUND(MAX(D598/4,2*G596)/H615,0)+1,ROUND(D598/H615,0)+1)</f>
        <v>8</v>
      </c>
      <c r="X615" s="399" t="s">
        <v>125</v>
      </c>
      <c r="Y615" s="389">
        <f t="shared" ref="Y615" si="1921">D601</f>
        <v>1</v>
      </c>
      <c r="Z615" s="400" t="s">
        <v>176</v>
      </c>
      <c r="AA615" s="402">
        <f t="shared" ref="AA615:AA617" si="1922">N615*U615*W615*Y615</f>
        <v>3.2511744000000005</v>
      </c>
      <c r="AB615" s="403"/>
    </row>
    <row r="616" spans="1:28">
      <c r="A616" s="384" t="str">
        <f t="shared" ref="A616:B616" si="1923">A595</f>
        <v>Lantai 1</v>
      </c>
      <c r="B616" s="385">
        <f t="shared" si="1923"/>
        <v>19</v>
      </c>
      <c r="C616" s="393" t="s">
        <v>212</v>
      </c>
      <c r="D616" s="398">
        <f>VLOOKUP(D595,'Detail Balok'!$C$10:$AU$140,36,FALSE)</f>
        <v>0</v>
      </c>
      <c r="E616" s="388" t="s">
        <v>16</v>
      </c>
      <c r="F616" s="388">
        <f>VLOOKUP(D595,'Detail Balok'!$C$10:$AU$140,38,FALSE)</f>
        <v>8</v>
      </c>
      <c r="G616" s="405" t="s">
        <v>157</v>
      </c>
      <c r="H616" s="395">
        <f>VLOOKUP(D595,'Detail Balok'!$C$10:$AU$140,40,FALSE)</f>
        <v>200</v>
      </c>
      <c r="I616" s="388"/>
      <c r="J616" s="400">
        <f t="shared" ref="J616" si="1924">(IF(D616=0,(2*(D596+G596))-(F$5*8),IF(D616=3,(2*(D596+G596))-(F$5*8)+(G596-2*F$5),IF(D616=4,(2*(D596+G596))-(F$5*8)+2*(G596-2*F$5)))))/1000</f>
        <v>0.88</v>
      </c>
      <c r="K616" s="400" t="s">
        <v>204</v>
      </c>
      <c r="L616" s="399">
        <f t="shared" si="1917"/>
        <v>0.15</v>
      </c>
      <c r="M616" s="399" t="s">
        <v>176</v>
      </c>
      <c r="N616" s="399">
        <f t="shared" si="1918"/>
        <v>1.03</v>
      </c>
      <c r="O616" s="399"/>
      <c r="P616" s="389"/>
      <c r="Q616" s="399"/>
      <c r="R616" s="399"/>
      <c r="S616" s="399"/>
      <c r="T616" s="399" t="s">
        <v>125</v>
      </c>
      <c r="U616" s="401">
        <f t="shared" si="1919"/>
        <v>0.39456000000000002</v>
      </c>
      <c r="V616" s="399" t="s">
        <v>125</v>
      </c>
      <c r="W616" s="399">
        <f t="shared" ref="W616" si="1925">IF(D598-MAX(D598/4,2*G596)*2&gt;0,ROUND((D598-MAX(D598/4,2*G596)*2)/H616,0),0)</f>
        <v>10</v>
      </c>
      <c r="X616" s="399" t="s">
        <v>125</v>
      </c>
      <c r="Y616" s="389">
        <f t="shared" ref="Y616" si="1926">D601</f>
        <v>1</v>
      </c>
      <c r="Z616" s="400" t="s">
        <v>176</v>
      </c>
      <c r="AA616" s="402">
        <f t="shared" si="1922"/>
        <v>4.0639680000000009</v>
      </c>
      <c r="AB616" s="403"/>
    </row>
    <row r="617" spans="1:28">
      <c r="A617" s="384" t="str">
        <f t="shared" ref="A617:B617" si="1927">A595</f>
        <v>Lantai 1</v>
      </c>
      <c r="B617" s="385">
        <f t="shared" si="1927"/>
        <v>19</v>
      </c>
      <c r="C617" s="393" t="s">
        <v>211</v>
      </c>
      <c r="D617" s="398">
        <f>VLOOKUP(D595,'Detail Balok'!$C$10:$AU$140,41,FALSE)</f>
        <v>0</v>
      </c>
      <c r="E617" s="388" t="s">
        <v>16</v>
      </c>
      <c r="F617" s="388">
        <f>VLOOKUP(D595,'Detail Balok'!$C$10:$AU$140,43,FALSE)</f>
        <v>8</v>
      </c>
      <c r="G617" s="405" t="s">
        <v>157</v>
      </c>
      <c r="H617" s="395">
        <f>VLOOKUP(D595,'Detail Balok'!$C$10:$AU$140,45,FALSE)</f>
        <v>150</v>
      </c>
      <c r="I617" s="388"/>
      <c r="J617" s="400">
        <f t="shared" ref="J617" si="1928">(IF(D617=0,(2*(D596+G596))-(F$5*8),IF(D617=3,(2*(D596+G596))-(F$5*8)+(G596-2*F$5),IF(D617=4,(2*(D596+G596))-(F$5*8)+2*(G596-2*F$5)))))/1000</f>
        <v>0.88</v>
      </c>
      <c r="K617" s="400" t="s">
        <v>204</v>
      </c>
      <c r="L617" s="399">
        <f t="shared" si="1917"/>
        <v>0.15</v>
      </c>
      <c r="M617" s="399" t="s">
        <v>176</v>
      </c>
      <c r="N617" s="399">
        <f t="shared" si="1918"/>
        <v>1.03</v>
      </c>
      <c r="O617" s="399"/>
      <c r="P617" s="389"/>
      <c r="Q617" s="399"/>
      <c r="R617" s="399"/>
      <c r="S617" s="399"/>
      <c r="T617" s="399" t="s">
        <v>125</v>
      </c>
      <c r="U617" s="401">
        <f t="shared" si="1919"/>
        <v>0.39456000000000002</v>
      </c>
      <c r="V617" s="399" t="s">
        <v>125</v>
      </c>
      <c r="W617" s="399">
        <f t="shared" ref="W617" si="1929">IF(D598&gt;4*G596,ROUND(MAX(D598/4,2*G596)/H617,0)+1,0)</f>
        <v>8</v>
      </c>
      <c r="X617" s="399" t="s">
        <v>125</v>
      </c>
      <c r="Y617" s="389">
        <f t="shared" ref="Y617" si="1930">D601</f>
        <v>1</v>
      </c>
      <c r="Z617" s="400" t="s">
        <v>176</v>
      </c>
      <c r="AA617" s="402">
        <f t="shared" si="1922"/>
        <v>3.2511744000000005</v>
      </c>
      <c r="AB617" s="403"/>
    </row>
    <row r="618" spans="1:28">
      <c r="A618" s="384"/>
      <c r="B618" s="385"/>
      <c r="C618" s="393"/>
      <c r="D618" s="394"/>
      <c r="E618" s="388"/>
      <c r="F618" s="388"/>
      <c r="G618" s="388"/>
      <c r="H618" s="395"/>
      <c r="I618" s="388"/>
      <c r="J618" s="399"/>
      <c r="K618" s="396"/>
      <c r="L618" s="396"/>
      <c r="M618" s="396"/>
      <c r="N618" s="396"/>
      <c r="O618" s="396"/>
      <c r="P618" s="389"/>
      <c r="Q618" s="396"/>
      <c r="R618" s="396"/>
      <c r="S618" s="396"/>
      <c r="T618" s="396"/>
      <c r="U618" s="401"/>
      <c r="V618" s="396"/>
      <c r="W618" s="388"/>
      <c r="X618" s="396"/>
      <c r="Y618" s="389"/>
      <c r="Z618" s="396"/>
      <c r="AA618" s="388"/>
      <c r="AB618" s="390"/>
    </row>
    <row r="619" spans="1:28">
      <c r="A619" s="384" t="str">
        <f t="shared" ref="A619:B619" si="1931">A595</f>
        <v>Lantai 1</v>
      </c>
      <c r="B619" s="385">
        <f t="shared" si="1931"/>
        <v>19</v>
      </c>
      <c r="C619" s="393" t="s">
        <v>213</v>
      </c>
      <c r="D619" s="398">
        <f>VLOOKUP(D595,'Detail Balok'!$C$10:$BJ$140,46,FALSE)</f>
        <v>0</v>
      </c>
      <c r="E619" s="388" t="s">
        <v>16</v>
      </c>
      <c r="F619" s="388">
        <f>VLOOKUP(D595,'Detail Balok'!$C$10:$BJ$140,48,FALSE)</f>
        <v>0</v>
      </c>
      <c r="G619" s="405" t="s">
        <v>157</v>
      </c>
      <c r="H619" s="395">
        <f>VLOOKUP(D595,'Detail Balok'!$C$10:$BJ$140,50,FALSE)</f>
        <v>100</v>
      </c>
      <c r="I619" s="388"/>
      <c r="J619" s="399">
        <f t="shared" ref="J619" si="1932">(D596-2*F$5)/1000</f>
        <v>0.12</v>
      </c>
      <c r="K619" s="400" t="s">
        <v>204</v>
      </c>
      <c r="L619" s="399">
        <f t="shared" ref="L619:L621" si="1933">IF(D619=0,2*MAX(6*F619,75),(D619-1)*2*MAX(6*F619,75))/1000</f>
        <v>0.15</v>
      </c>
      <c r="M619" s="399" t="s">
        <v>176</v>
      </c>
      <c r="N619" s="399">
        <f t="shared" ref="N619:N621" si="1934">J619+L619</f>
        <v>0.27</v>
      </c>
      <c r="O619" s="399"/>
      <c r="P619" s="399"/>
      <c r="Q619" s="399"/>
      <c r="R619" s="399"/>
      <c r="S619" s="399"/>
      <c r="T619" s="399" t="s">
        <v>125</v>
      </c>
      <c r="U619" s="401">
        <f t="shared" ref="U619:U621" si="1935">0.006165*F619^2</f>
        <v>0</v>
      </c>
      <c r="V619" s="399" t="s">
        <v>125</v>
      </c>
      <c r="W619" s="399">
        <f t="shared" ref="W619:W681" si="1936">W615</f>
        <v>8</v>
      </c>
      <c r="X619" s="399" t="s">
        <v>125</v>
      </c>
      <c r="Y619" s="389">
        <f t="shared" ref="Y619" si="1937">D605</f>
        <v>3</v>
      </c>
      <c r="Z619" s="400" t="s">
        <v>176</v>
      </c>
      <c r="AA619" s="402">
        <f t="shared" ref="AA619:AA621" si="1938">N619*U619*W619*Y619</f>
        <v>0</v>
      </c>
      <c r="AB619" s="403"/>
    </row>
    <row r="620" spans="1:28">
      <c r="A620" s="384" t="str">
        <f t="shared" ref="A620:B620" si="1939">A595</f>
        <v>Lantai 1</v>
      </c>
      <c r="B620" s="385">
        <f t="shared" si="1939"/>
        <v>19</v>
      </c>
      <c r="C620" s="393" t="s">
        <v>214</v>
      </c>
      <c r="D620" s="398">
        <f>VLOOKUP(D595,'Detail Balok'!$C$10:$BJ$140,51,FALSE)</f>
        <v>0</v>
      </c>
      <c r="E620" s="388" t="s">
        <v>16</v>
      </c>
      <c r="F620" s="388">
        <f>VLOOKUP(D595,'Detail Balok'!$C$10:$BJ$140,53,FALSE)</f>
        <v>0</v>
      </c>
      <c r="G620" s="405" t="s">
        <v>157</v>
      </c>
      <c r="H620" s="395">
        <f>VLOOKUP(D595,'Detail Balok'!$C$10:$BJ$140,55,FALSE)</f>
        <v>100</v>
      </c>
      <c r="I620" s="388"/>
      <c r="J620" s="399">
        <f t="shared" ref="J620" si="1940">(D596-2*F$5)/1000</f>
        <v>0.12</v>
      </c>
      <c r="K620" s="400" t="s">
        <v>204</v>
      </c>
      <c r="L620" s="399">
        <f t="shared" si="1933"/>
        <v>0.15</v>
      </c>
      <c r="M620" s="399" t="s">
        <v>176</v>
      </c>
      <c r="N620" s="399">
        <f t="shared" si="1934"/>
        <v>0.27</v>
      </c>
      <c r="O620" s="399"/>
      <c r="P620" s="399"/>
      <c r="Q620" s="399"/>
      <c r="R620" s="399"/>
      <c r="S620" s="399"/>
      <c r="T620" s="399" t="s">
        <v>125</v>
      </c>
      <c r="U620" s="401">
        <f t="shared" si="1935"/>
        <v>0</v>
      </c>
      <c r="V620" s="399" t="s">
        <v>125</v>
      </c>
      <c r="W620" s="399">
        <f t="shared" si="1936"/>
        <v>10</v>
      </c>
      <c r="X620" s="399" t="s">
        <v>125</v>
      </c>
      <c r="Y620" s="389">
        <f t="shared" ref="Y620" si="1941">D605</f>
        <v>3</v>
      </c>
      <c r="Z620" s="400" t="s">
        <v>176</v>
      </c>
      <c r="AA620" s="402">
        <f t="shared" si="1938"/>
        <v>0</v>
      </c>
      <c r="AB620" s="403"/>
    </row>
    <row r="621" spans="1:28">
      <c r="A621" s="384" t="str">
        <f t="shared" ref="A621:B621" si="1942">A595</f>
        <v>Lantai 1</v>
      </c>
      <c r="B621" s="385">
        <f t="shared" si="1942"/>
        <v>19</v>
      </c>
      <c r="C621" s="393" t="s">
        <v>213</v>
      </c>
      <c r="D621" s="398">
        <f>VLOOKUP(D595,'Detail Balok'!$C$10:$BJ$140,56,FALSE)</f>
        <v>0</v>
      </c>
      <c r="E621" s="388" t="s">
        <v>16</v>
      </c>
      <c r="F621" s="388">
        <f>VLOOKUP(D595,'Detail Balok'!$C$10:$BJ$140,58,FALSE)</f>
        <v>0</v>
      </c>
      <c r="G621" s="405" t="s">
        <v>157</v>
      </c>
      <c r="H621" s="395">
        <f>VLOOKUP(D595,'Detail Balok'!$C$10:$BJ$140,60,FALSE)</f>
        <v>100</v>
      </c>
      <c r="I621" s="388"/>
      <c r="J621" s="399">
        <f t="shared" ref="J621" si="1943">(D596-2*F$5)/1000</f>
        <v>0.12</v>
      </c>
      <c r="K621" s="400" t="s">
        <v>204</v>
      </c>
      <c r="L621" s="399">
        <f t="shared" si="1933"/>
        <v>0.15</v>
      </c>
      <c r="M621" s="399" t="s">
        <v>176</v>
      </c>
      <c r="N621" s="399">
        <f t="shared" si="1934"/>
        <v>0.27</v>
      </c>
      <c r="O621" s="399"/>
      <c r="P621" s="399"/>
      <c r="Q621" s="399"/>
      <c r="R621" s="399"/>
      <c r="S621" s="399"/>
      <c r="T621" s="399" t="s">
        <v>125</v>
      </c>
      <c r="U621" s="401">
        <f t="shared" si="1935"/>
        <v>0</v>
      </c>
      <c r="V621" s="399" t="s">
        <v>125</v>
      </c>
      <c r="W621" s="399">
        <f t="shared" si="1936"/>
        <v>8</v>
      </c>
      <c r="X621" s="399" t="s">
        <v>125</v>
      </c>
      <c r="Y621" s="389">
        <f t="shared" ref="Y621" si="1944">D605</f>
        <v>3</v>
      </c>
      <c r="Z621" s="400" t="s">
        <v>176</v>
      </c>
      <c r="AA621" s="402">
        <f t="shared" si="1938"/>
        <v>0</v>
      </c>
      <c r="AB621" s="403"/>
    </row>
    <row r="622" spans="1:28">
      <c r="A622" s="391"/>
      <c r="B622" s="392"/>
      <c r="C622" s="392"/>
      <c r="D622" s="394"/>
      <c r="E622" s="388"/>
      <c r="F622" s="388"/>
      <c r="G622" s="388"/>
      <c r="H622" s="395"/>
      <c r="I622" s="388"/>
      <c r="J622" s="402"/>
      <c r="K622" s="388"/>
      <c r="L622" s="388"/>
      <c r="M622" s="388"/>
      <c r="N622" s="388"/>
      <c r="O622" s="388"/>
      <c r="P622" s="388"/>
      <c r="Q622" s="388"/>
      <c r="R622" s="388"/>
      <c r="S622" s="388"/>
      <c r="T622" s="388"/>
      <c r="U622" s="388"/>
      <c r="V622" s="388"/>
      <c r="W622" s="388"/>
      <c r="X622" s="388"/>
      <c r="Y622" s="389"/>
      <c r="Z622" s="388"/>
      <c r="AA622" s="402"/>
      <c r="AB622" s="403"/>
    </row>
    <row r="623" spans="1:28" ht="15.75" thickBot="1">
      <c r="A623" s="406"/>
      <c r="B623" s="407"/>
      <c r="C623" s="407"/>
      <c r="D623" s="408"/>
      <c r="E623" s="409"/>
      <c r="F623" s="409"/>
      <c r="G623" s="409"/>
      <c r="H623" s="410"/>
      <c r="I623" s="409"/>
      <c r="J623" s="409"/>
      <c r="K623" s="409"/>
      <c r="L623" s="409"/>
      <c r="M623" s="409"/>
      <c r="N623" s="409"/>
      <c r="O623" s="409"/>
      <c r="P623" s="409"/>
      <c r="Q623" s="409"/>
      <c r="R623" s="409"/>
      <c r="S623" s="409"/>
      <c r="T623" s="409"/>
      <c r="U623" s="409"/>
      <c r="V623" s="409"/>
      <c r="W623" s="409"/>
      <c r="X623" s="409"/>
      <c r="Y623" s="411"/>
      <c r="Z623" s="409"/>
      <c r="AA623" s="412"/>
      <c r="AB623" s="413"/>
    </row>
    <row r="624" spans="1:28">
      <c r="A624" s="377"/>
      <c r="B624" s="378"/>
      <c r="C624" s="378"/>
      <c r="D624" s="379"/>
      <c r="E624" s="380"/>
      <c r="F624" s="380"/>
      <c r="G624" s="380"/>
      <c r="H624" s="381"/>
      <c r="I624" s="380"/>
      <c r="J624" s="380"/>
      <c r="K624" s="380"/>
      <c r="L624" s="380"/>
      <c r="M624" s="380"/>
      <c r="N624" s="380"/>
      <c r="O624" s="380"/>
      <c r="P624" s="380"/>
      <c r="Q624" s="380"/>
      <c r="R624" s="380"/>
      <c r="S624" s="380"/>
      <c r="T624" s="380"/>
      <c r="U624" s="380"/>
      <c r="V624" s="380"/>
      <c r="W624" s="380"/>
      <c r="X624" s="380"/>
      <c r="Y624" s="382"/>
      <c r="Z624" s="380"/>
      <c r="AA624" s="380"/>
      <c r="AB624" s="383"/>
    </row>
    <row r="625" spans="1:28">
      <c r="A625" s="384" t="str">
        <f t="shared" ref="A625:A685" si="1945">A595</f>
        <v>Lantai 1</v>
      </c>
      <c r="B625" s="385">
        <f t="shared" ref="B625:B685" si="1946">B595+1</f>
        <v>20</v>
      </c>
      <c r="C625" s="386" t="str">
        <f t="shared" ref="C625" si="1947">CONCATENATE(A625," no. ",B625)</f>
        <v>Lantai 1 no. 20</v>
      </c>
      <c r="D625" s="2562" t="str">
        <f>VLOOKUP(C625,'Data Panjang Balok'!$C$9:$N$254,2,FALSE)</f>
        <v>S24-2</v>
      </c>
      <c r="E625" s="2576"/>
      <c r="F625" s="2576"/>
      <c r="G625" s="2576"/>
      <c r="H625" s="2577"/>
      <c r="I625" s="387"/>
      <c r="J625" s="388"/>
      <c r="K625" s="388"/>
      <c r="L625" s="388"/>
      <c r="M625" s="388"/>
      <c r="N625" s="388"/>
      <c r="O625" s="388"/>
      <c r="P625" s="388"/>
      <c r="Q625" s="388"/>
      <c r="R625" s="388"/>
      <c r="S625" s="388"/>
      <c r="T625" s="388"/>
      <c r="U625" s="388"/>
      <c r="V625" s="388"/>
      <c r="W625" s="388"/>
      <c r="X625" s="388"/>
      <c r="Y625" s="389"/>
      <c r="Z625" s="388"/>
      <c r="AA625" s="388"/>
      <c r="AB625" s="390"/>
    </row>
    <row r="626" spans="1:28">
      <c r="A626" s="391"/>
      <c r="B626" s="392"/>
      <c r="C626" s="393" t="s">
        <v>118</v>
      </c>
      <c r="D626" s="2578">
        <f>VLOOKUP(D625,'Detail Balok'!$C$10:$AU$140,2,FALSE)</f>
        <v>200</v>
      </c>
      <c r="E626" s="2579"/>
      <c r="F626" s="388" t="s">
        <v>125</v>
      </c>
      <c r="G626" s="2579">
        <f>VLOOKUP(D625,'Detail Balok'!$C$10:$AU$140,3,FALSE)</f>
        <v>400</v>
      </c>
      <c r="H626" s="2580"/>
      <c r="I626" s="388"/>
      <c r="J626" s="396"/>
      <c r="K626" s="396"/>
      <c r="L626" s="396"/>
      <c r="M626" s="396"/>
      <c r="N626" s="396"/>
      <c r="O626" s="396"/>
      <c r="P626" s="396"/>
      <c r="Q626" s="396"/>
      <c r="R626" s="396"/>
      <c r="S626" s="396"/>
      <c r="T626" s="396"/>
      <c r="U626" s="388"/>
      <c r="V626" s="396"/>
      <c r="W626" s="388"/>
      <c r="X626" s="396"/>
      <c r="Y626" s="389"/>
      <c r="Z626" s="396"/>
      <c r="AA626" s="388"/>
      <c r="AB626" s="390"/>
    </row>
    <row r="627" spans="1:28">
      <c r="A627" s="391"/>
      <c r="B627" s="392"/>
      <c r="C627" s="393" t="s">
        <v>198</v>
      </c>
      <c r="D627" s="2562">
        <f>VLOOKUP(C625,'Data Panjang Balok'!$C$9:$N$254,4,FALSE)</f>
        <v>4000</v>
      </c>
      <c r="E627" s="2563"/>
      <c r="F627" s="2563"/>
      <c r="G627" s="2563"/>
      <c r="H627" s="2564"/>
      <c r="I627" s="397"/>
      <c r="J627" s="396"/>
      <c r="K627" s="396"/>
      <c r="L627" s="396"/>
      <c r="M627" s="396"/>
      <c r="N627" s="396"/>
      <c r="O627" s="396"/>
      <c r="P627" s="396"/>
      <c r="Q627" s="396"/>
      <c r="R627" s="396"/>
      <c r="S627" s="396"/>
      <c r="T627" s="396"/>
      <c r="U627" s="388"/>
      <c r="V627" s="396"/>
      <c r="W627" s="388"/>
      <c r="X627" s="396"/>
      <c r="Y627" s="389"/>
      <c r="Z627" s="396"/>
      <c r="AA627" s="388"/>
      <c r="AB627" s="390"/>
    </row>
    <row r="628" spans="1:28">
      <c r="A628" s="391"/>
      <c r="B628" s="392"/>
      <c r="C628" s="393" t="s">
        <v>199</v>
      </c>
      <c r="D628" s="2562">
        <f>VLOOKUP(C625,'Data Panjang Balok'!$C$9:$N$254,7,FALSE)</f>
        <v>4000</v>
      </c>
      <c r="E628" s="2563"/>
      <c r="F628" s="2563"/>
      <c r="G628" s="2563"/>
      <c r="H628" s="2564"/>
      <c r="I628" s="397"/>
      <c r="J628" s="396"/>
      <c r="K628" s="396"/>
      <c r="L628" s="396"/>
      <c r="M628" s="396"/>
      <c r="N628" s="396"/>
      <c r="O628" s="396"/>
      <c r="P628" s="396"/>
      <c r="Q628" s="396"/>
      <c r="R628" s="396"/>
      <c r="S628" s="396"/>
      <c r="T628" s="396"/>
      <c r="U628" s="388"/>
      <c r="V628" s="396"/>
      <c r="W628" s="388"/>
      <c r="X628" s="396"/>
      <c r="Y628" s="389"/>
      <c r="Z628" s="396"/>
      <c r="AA628" s="388"/>
      <c r="AB628" s="390"/>
    </row>
    <row r="629" spans="1:28">
      <c r="A629" s="391"/>
      <c r="B629" s="392"/>
      <c r="C629" s="393" t="s">
        <v>200</v>
      </c>
      <c r="D629" s="2562">
        <f>VLOOKUP(C625,'Data Panjang Balok'!$C$9:$N$254,9,FALSE)</f>
        <v>0</v>
      </c>
      <c r="E629" s="2563"/>
      <c r="F629" s="2563"/>
      <c r="G629" s="2563"/>
      <c r="H629" s="2564"/>
      <c r="I629" s="397"/>
      <c r="J629" s="396"/>
      <c r="K629" s="396"/>
      <c r="L629" s="396"/>
      <c r="M629" s="396"/>
      <c r="N629" s="396"/>
      <c r="O629" s="396"/>
      <c r="P629" s="396"/>
      <c r="Q629" s="396"/>
      <c r="R629" s="396"/>
      <c r="S629" s="396"/>
      <c r="T629" s="396"/>
      <c r="U629" s="388"/>
      <c r="V629" s="396"/>
      <c r="W629" s="388"/>
      <c r="X629" s="396"/>
      <c r="Y629" s="389"/>
      <c r="Z629" s="396"/>
      <c r="AA629" s="388"/>
      <c r="AB629" s="390"/>
    </row>
    <row r="630" spans="1:28">
      <c r="A630" s="391"/>
      <c r="B630" s="392"/>
      <c r="C630" s="393" t="s">
        <v>201</v>
      </c>
      <c r="D630" s="2562">
        <f>VLOOKUP(C625,'Data Panjang Balok'!$C$9:$N$254,10,FALSE)</f>
        <v>0</v>
      </c>
      <c r="E630" s="2563"/>
      <c r="F630" s="2563"/>
      <c r="G630" s="2563"/>
      <c r="H630" s="2564"/>
      <c r="I630" s="397"/>
      <c r="J630" s="396"/>
      <c r="K630" s="396"/>
      <c r="L630" s="396"/>
      <c r="M630" s="396"/>
      <c r="N630" s="396"/>
      <c r="O630" s="396"/>
      <c r="P630" s="396"/>
      <c r="Q630" s="396"/>
      <c r="R630" s="396"/>
      <c r="S630" s="396"/>
      <c r="T630" s="396"/>
      <c r="U630" s="388"/>
      <c r="V630" s="396"/>
      <c r="W630" s="388"/>
      <c r="X630" s="396"/>
      <c r="Y630" s="389"/>
      <c r="Z630" s="396"/>
      <c r="AA630" s="388"/>
      <c r="AB630" s="390"/>
    </row>
    <row r="631" spans="1:28">
      <c r="A631" s="391"/>
      <c r="B631" s="392"/>
      <c r="C631" s="393" t="s">
        <v>48</v>
      </c>
      <c r="D631" s="2562">
        <f>VLOOKUP(C625,'Data Panjang Balok'!$C$9:$N$254,3,FALSE)</f>
        <v>1</v>
      </c>
      <c r="E631" s="2563"/>
      <c r="F631" s="2563"/>
      <c r="G631" s="2563"/>
      <c r="H631" s="2564"/>
      <c r="I631" s="397"/>
      <c r="J631" s="396"/>
      <c r="K631" s="396"/>
      <c r="L631" s="396"/>
      <c r="M631" s="396"/>
      <c r="N631" s="396"/>
      <c r="O631" s="396"/>
      <c r="P631" s="396"/>
      <c r="Q631" s="396"/>
      <c r="R631" s="396"/>
      <c r="S631" s="396"/>
      <c r="T631" s="396"/>
      <c r="U631" s="388"/>
      <c r="V631" s="396"/>
      <c r="W631" s="388"/>
      <c r="X631" s="396"/>
      <c r="Y631" s="389"/>
      <c r="Z631" s="396"/>
      <c r="AA631" s="388"/>
      <c r="AB631" s="390"/>
    </row>
    <row r="632" spans="1:28">
      <c r="A632" s="384" t="str">
        <f t="shared" ref="A632:B632" si="1948">A625</f>
        <v>Lantai 1</v>
      </c>
      <c r="B632" s="385">
        <f t="shared" si="1948"/>
        <v>20</v>
      </c>
      <c r="C632" s="393" t="s">
        <v>202</v>
      </c>
      <c r="D632" s="398">
        <f>VLOOKUP(D625,'Detail Balok'!$C$10:$AU$140,4,FALSE)</f>
        <v>3</v>
      </c>
      <c r="E632" s="388" t="s">
        <v>16</v>
      </c>
      <c r="F632" s="388">
        <f>VLOOKUP(D625,'Detail Balok'!$C$10:$AU$140,6,FALSE)</f>
        <v>16</v>
      </c>
      <c r="G632" s="388"/>
      <c r="H632" s="395"/>
      <c r="I632" s="388" t="s">
        <v>203</v>
      </c>
      <c r="J632" s="399">
        <f t="shared" ref="J632" si="1949">+D627/4/1000</f>
        <v>1</v>
      </c>
      <c r="K632" s="400" t="s">
        <v>204</v>
      </c>
      <c r="L632" s="399">
        <f t="shared" ref="L632" si="1950">MAX(VLOOKUP(F632,N$6:P$15,3,FALSE)/1000,2/3*D629/1000)+F$16*F632/1000</f>
        <v>0.192</v>
      </c>
      <c r="M632" s="399" t="s">
        <v>176</v>
      </c>
      <c r="N632" s="399">
        <f t="shared" ref="N632:N634" si="1951">J632+L632</f>
        <v>1.1919999999999999</v>
      </c>
      <c r="O632" s="399" t="s">
        <v>204</v>
      </c>
      <c r="P632" s="389">
        <f t="shared" ref="P632" si="1952">D632-D633</f>
        <v>0</v>
      </c>
      <c r="Q632" s="399" t="s">
        <v>125</v>
      </c>
      <c r="R632" s="399">
        <f t="shared" ref="R632" si="1953">IF(P632&gt;0,$F$18*F632/1000,0)</f>
        <v>0</v>
      </c>
      <c r="S632" s="399" t="s">
        <v>205</v>
      </c>
      <c r="T632" s="399" t="s">
        <v>125</v>
      </c>
      <c r="U632" s="401">
        <f t="shared" ref="U632:U634" si="1954">0.006165*F632^2</f>
        <v>1.5782400000000001</v>
      </c>
      <c r="V632" s="399"/>
      <c r="W632" s="399"/>
      <c r="X632" s="399" t="s">
        <v>125</v>
      </c>
      <c r="Y632" s="389">
        <f t="shared" ref="Y632" si="1955">D631</f>
        <v>1</v>
      </c>
      <c r="Z632" s="400" t="s">
        <v>176</v>
      </c>
      <c r="AA632" s="402">
        <f t="shared" ref="AA632" si="1956">IF(AA635=0,(D632*N632+P632*R632)*U632*Y632,0)</f>
        <v>0</v>
      </c>
      <c r="AB632" s="403"/>
    </row>
    <row r="633" spans="1:28">
      <c r="A633" s="384" t="str">
        <f t="shared" ref="A633:B633" si="1957">A625</f>
        <v>Lantai 1</v>
      </c>
      <c r="B633" s="385">
        <f t="shared" si="1957"/>
        <v>20</v>
      </c>
      <c r="C633" s="393" t="s">
        <v>206</v>
      </c>
      <c r="D633" s="398">
        <f>VLOOKUP(D625,'Detail Balok'!$C$10:$AU$140,7,FALSE)</f>
        <v>3</v>
      </c>
      <c r="E633" s="388" t="s">
        <v>16</v>
      </c>
      <c r="F633" s="388">
        <f>VLOOKUP(D625,'Detail Balok'!$C$10:$AU$140,9,FALSE)</f>
        <v>16</v>
      </c>
      <c r="G633" s="388"/>
      <c r="H633" s="395"/>
      <c r="I633" s="388" t="s">
        <v>203</v>
      </c>
      <c r="J633" s="399">
        <f t="shared" ref="J633" si="1958">+D627/2/1000</f>
        <v>2</v>
      </c>
      <c r="K633" s="400" t="s">
        <v>204</v>
      </c>
      <c r="L633" s="399"/>
      <c r="M633" s="399" t="s">
        <v>176</v>
      </c>
      <c r="N633" s="399">
        <f t="shared" si="1951"/>
        <v>2</v>
      </c>
      <c r="O633" s="399" t="s">
        <v>204</v>
      </c>
      <c r="P633" s="389">
        <f t="shared" ref="P633" si="1959">MAX(D633-D632,D633-D634)</f>
        <v>0</v>
      </c>
      <c r="Q633" s="399" t="s">
        <v>125</v>
      </c>
      <c r="R633" s="399">
        <f t="shared" ref="R633" si="1960">IF(P633&gt;0,2*(1-2*$F$19-1/2)*D628/1000,0)</f>
        <v>0</v>
      </c>
      <c r="S633" s="399" t="s">
        <v>205</v>
      </c>
      <c r="T633" s="399" t="s">
        <v>125</v>
      </c>
      <c r="U633" s="401">
        <f t="shared" si="1954"/>
        <v>1.5782400000000001</v>
      </c>
      <c r="V633" s="399"/>
      <c r="W633" s="399"/>
      <c r="X633" s="399" t="s">
        <v>125</v>
      </c>
      <c r="Y633" s="389">
        <f t="shared" ref="Y633" si="1961">D631</f>
        <v>1</v>
      </c>
      <c r="Z633" s="400" t="s">
        <v>176</v>
      </c>
      <c r="AA633" s="402">
        <f t="shared" ref="AA633" si="1962">IF(AA635=0,(D633*N633+P633*R633)*U633*Y633,0)</f>
        <v>0</v>
      </c>
      <c r="AB633" s="403"/>
    </row>
    <row r="634" spans="1:28">
      <c r="A634" s="384" t="str">
        <f t="shared" ref="A634:B634" si="1963">A625</f>
        <v>Lantai 1</v>
      </c>
      <c r="B634" s="385">
        <f t="shared" si="1963"/>
        <v>20</v>
      </c>
      <c r="C634" s="393" t="s">
        <v>202</v>
      </c>
      <c r="D634" s="398">
        <f>VLOOKUP(D625,'Detail Balok'!$C$10:$AU$140,10,FALSE)</f>
        <v>3</v>
      </c>
      <c r="E634" s="388" t="s">
        <v>16</v>
      </c>
      <c r="F634" s="388">
        <f>VLOOKUP(D625,'Detail Balok'!$C$10:$AU$140,12,FALSE)</f>
        <v>16</v>
      </c>
      <c r="G634" s="388"/>
      <c r="H634" s="395"/>
      <c r="I634" s="388" t="s">
        <v>203</v>
      </c>
      <c r="J634" s="399">
        <f t="shared" ref="J634" si="1964">+D627/4/1000</f>
        <v>1</v>
      </c>
      <c r="K634" s="400" t="s">
        <v>204</v>
      </c>
      <c r="L634" s="399">
        <f t="shared" ref="L634" si="1965">MAX(VLOOKUP(F634,N$6:P$15,3,FALSE)/1000,2/3*D629/1000)+F$16*F634/1000</f>
        <v>0.192</v>
      </c>
      <c r="M634" s="399" t="s">
        <v>176</v>
      </c>
      <c r="N634" s="399">
        <f t="shared" si="1951"/>
        <v>1.1919999999999999</v>
      </c>
      <c r="O634" s="399" t="s">
        <v>204</v>
      </c>
      <c r="P634" s="389">
        <f t="shared" ref="P634" si="1966">D634-D633</f>
        <v>0</v>
      </c>
      <c r="Q634" s="399" t="s">
        <v>125</v>
      </c>
      <c r="R634" s="399">
        <f t="shared" ref="R634" si="1967">IF(P634&gt;0,$F$18*F634/1000,0)</f>
        <v>0</v>
      </c>
      <c r="S634" s="399" t="s">
        <v>205</v>
      </c>
      <c r="T634" s="399" t="s">
        <v>125</v>
      </c>
      <c r="U634" s="401">
        <f t="shared" si="1954"/>
        <v>1.5782400000000001</v>
      </c>
      <c r="V634" s="399"/>
      <c r="W634" s="399"/>
      <c r="X634" s="399" t="s">
        <v>125</v>
      </c>
      <c r="Y634" s="389">
        <f t="shared" ref="Y634" si="1968">D631</f>
        <v>1</v>
      </c>
      <c r="Z634" s="400" t="s">
        <v>176</v>
      </c>
      <c r="AA634" s="402">
        <f t="shared" ref="AA634" si="1969">IF(AA635=0,(D634*N634+P634*R634)*U634*Y634,0)</f>
        <v>0</v>
      </c>
      <c r="AB634" s="403"/>
    </row>
    <row r="635" spans="1:28">
      <c r="A635" s="384" t="str">
        <f t="shared" ref="A635:B635" si="1970">A625</f>
        <v>Lantai 1</v>
      </c>
      <c r="B635" s="385">
        <f t="shared" si="1970"/>
        <v>20</v>
      </c>
      <c r="C635" s="393"/>
      <c r="D635" s="398">
        <f t="shared" si="1866"/>
        <v>3</v>
      </c>
      <c r="E635" s="388" t="s">
        <v>16</v>
      </c>
      <c r="F635" s="388">
        <f t="shared" si="1867"/>
        <v>16</v>
      </c>
      <c r="G635" s="388"/>
      <c r="H635" s="395"/>
      <c r="I635" s="388"/>
      <c r="J635" s="396"/>
      <c r="K635" s="396"/>
      <c r="L635" s="404" t="s">
        <v>207</v>
      </c>
      <c r="M635" s="399" t="s">
        <v>176</v>
      </c>
      <c r="N635" s="399">
        <f t="shared" ref="N635" si="1971">IF(AND(D632=D633,D632=D634,D633=D634,F632=F633,F632=F634,F633=F634),SUM(N632:N634),0)</f>
        <v>4.3840000000000003</v>
      </c>
      <c r="O635" s="399" t="s">
        <v>204</v>
      </c>
      <c r="P635" s="389">
        <f t="shared" ref="P635" si="1972">IF(N635&gt;12,ROUNDDOWN(N635/12,0),0)</f>
        <v>0</v>
      </c>
      <c r="Q635" s="399" t="s">
        <v>125</v>
      </c>
      <c r="R635" s="399">
        <f t="shared" ref="R635" si="1973">IF(P635&gt;0,MAX(VLOOKUP(F635,$D$6:$G$15,3,FALSE),600),0)/1000</f>
        <v>0</v>
      </c>
      <c r="S635" s="396"/>
      <c r="T635" s="396" t="s">
        <v>125</v>
      </c>
      <c r="U635" s="401">
        <f t="shared" si="1871"/>
        <v>1.5782400000000001</v>
      </c>
      <c r="V635" s="396" t="s">
        <v>125</v>
      </c>
      <c r="W635" s="399">
        <f t="shared" ref="W635" si="1974">D635</f>
        <v>3</v>
      </c>
      <c r="X635" s="399" t="s">
        <v>125</v>
      </c>
      <c r="Y635" s="389">
        <f t="shared" si="1873"/>
        <v>1</v>
      </c>
      <c r="Z635" s="400" t="s">
        <v>176</v>
      </c>
      <c r="AA635" s="402">
        <f t="shared" ref="AA635" si="1975">(N635+P635*R635/1000)*U635*W635*Y635</f>
        <v>20.757012480000004</v>
      </c>
      <c r="AB635" s="390"/>
    </row>
    <row r="636" spans="1:28">
      <c r="A636" s="384"/>
      <c r="B636" s="385"/>
      <c r="C636" s="393"/>
      <c r="D636" s="398"/>
      <c r="E636" s="388"/>
      <c r="F636" s="388"/>
      <c r="G636" s="388"/>
      <c r="H636" s="395"/>
      <c r="I636" s="388"/>
      <c r="J636" s="396"/>
      <c r="K636" s="396"/>
      <c r="L636" s="404"/>
      <c r="M636" s="399"/>
      <c r="N636" s="399"/>
      <c r="O636" s="396"/>
      <c r="P636" s="389"/>
      <c r="Q636" s="396"/>
      <c r="R636" s="396"/>
      <c r="S636" s="396"/>
      <c r="T636" s="396"/>
      <c r="U636" s="401"/>
      <c r="V636" s="396"/>
      <c r="W636" s="399"/>
      <c r="X636" s="396"/>
      <c r="Y636" s="389"/>
      <c r="Z636" s="396"/>
      <c r="AA636" s="388"/>
      <c r="AB636" s="390"/>
    </row>
    <row r="637" spans="1:28">
      <c r="A637" s="384" t="str">
        <f t="shared" ref="A637:B637" si="1976">A625</f>
        <v>Lantai 1</v>
      </c>
      <c r="B637" s="385">
        <f t="shared" si="1976"/>
        <v>20</v>
      </c>
      <c r="C637" s="393" t="s">
        <v>208</v>
      </c>
      <c r="D637" s="398">
        <f>VLOOKUP(D625,'Detail Balok'!$C$10:$AU$140,13,FALSE)</f>
        <v>0</v>
      </c>
      <c r="E637" s="388" t="s">
        <v>16</v>
      </c>
      <c r="F637" s="388">
        <f>VLOOKUP(D625,'Detail Balok'!$C$10:$AU$140,15,FALSE)</f>
        <v>8</v>
      </c>
      <c r="G637" s="388"/>
      <c r="H637" s="395"/>
      <c r="I637" s="388"/>
      <c r="J637" s="399">
        <f t="shared" ref="J637" si="1977">+D627/1000</f>
        <v>4</v>
      </c>
      <c r="K637" s="400" t="s">
        <v>204</v>
      </c>
      <c r="L637" s="399">
        <f t="shared" ref="L637" si="1978">2*$F$16*F637/1000</f>
        <v>0.192</v>
      </c>
      <c r="M637" s="399" t="s">
        <v>176</v>
      </c>
      <c r="N637" s="399">
        <f t="shared" ref="N637" si="1979">J637+L637</f>
        <v>4.1920000000000002</v>
      </c>
      <c r="O637" s="399" t="s">
        <v>204</v>
      </c>
      <c r="P637" s="389">
        <f t="shared" ref="P637" si="1980">IF(N637&gt;12,ROUNDDOWN(N637/12,0),0)</f>
        <v>0</v>
      </c>
      <c r="Q637" s="399" t="s">
        <v>125</v>
      </c>
      <c r="R637" s="399">
        <f t="shared" ref="R637" si="1981">IF(P637&gt;0,MAX(VLOOKUP(F637,$D$6:$G$15,3,FALSE),600),0)/1000</f>
        <v>0</v>
      </c>
      <c r="S637" s="399"/>
      <c r="T637" s="399" t="s">
        <v>125</v>
      </c>
      <c r="U637" s="401">
        <f t="shared" ref="U637" si="1982">0.006165*F637^2</f>
        <v>0.39456000000000002</v>
      </c>
      <c r="V637" s="399" t="s">
        <v>125</v>
      </c>
      <c r="W637" s="399">
        <f t="shared" ref="W637" si="1983">+D637</f>
        <v>0</v>
      </c>
      <c r="X637" s="399" t="s">
        <v>125</v>
      </c>
      <c r="Y637" s="389">
        <f t="shared" ref="Y637" si="1984">D631</f>
        <v>1</v>
      </c>
      <c r="Z637" s="400" t="s">
        <v>176</v>
      </c>
      <c r="AA637" s="402">
        <f t="shared" ref="AA637" si="1985">(N637+P637*R637/1000)*U637*W637*Y637</f>
        <v>0</v>
      </c>
      <c r="AB637" s="403"/>
    </row>
    <row r="638" spans="1:28">
      <c r="A638" s="384"/>
      <c r="B638" s="385"/>
      <c r="C638" s="393"/>
      <c r="D638" s="398"/>
      <c r="E638" s="388"/>
      <c r="F638" s="388"/>
      <c r="G638" s="388"/>
      <c r="H638" s="395"/>
      <c r="I638" s="388"/>
      <c r="J638" s="399"/>
      <c r="K638" s="400"/>
      <c r="L638" s="399"/>
      <c r="M638" s="399"/>
      <c r="N638" s="399"/>
      <c r="O638" s="399"/>
      <c r="P638" s="389"/>
      <c r="Q638" s="399"/>
      <c r="R638" s="399"/>
      <c r="S638" s="399"/>
      <c r="T638" s="399"/>
      <c r="U638" s="401"/>
      <c r="V638" s="399"/>
      <c r="W638" s="399"/>
      <c r="X638" s="399"/>
      <c r="Y638" s="389"/>
      <c r="Z638" s="400"/>
      <c r="AA638" s="402"/>
      <c r="AB638" s="403"/>
    </row>
    <row r="639" spans="1:28">
      <c r="A639" s="384"/>
      <c r="B639" s="385"/>
      <c r="C639" s="393"/>
      <c r="D639" s="398"/>
      <c r="E639" s="388"/>
      <c r="F639" s="388"/>
      <c r="G639" s="388"/>
      <c r="H639" s="395"/>
      <c r="I639" s="388"/>
      <c r="J639" s="396"/>
      <c r="K639" s="396"/>
      <c r="L639" s="396"/>
      <c r="M639" s="396"/>
      <c r="N639" s="396"/>
      <c r="O639" s="396"/>
      <c r="P639" s="389"/>
      <c r="Q639" s="396"/>
      <c r="R639" s="396"/>
      <c r="S639" s="396"/>
      <c r="T639" s="396"/>
      <c r="U639" s="401"/>
      <c r="V639" s="396"/>
      <c r="W639" s="399"/>
      <c r="X639" s="396"/>
      <c r="Y639" s="389"/>
      <c r="Z639" s="396"/>
      <c r="AA639" s="388"/>
      <c r="AB639" s="390"/>
    </row>
    <row r="640" spans="1:28">
      <c r="A640" s="384" t="str">
        <f t="shared" ref="A640:B640" si="1986">A625</f>
        <v>Lantai 1</v>
      </c>
      <c r="B640" s="385">
        <f t="shared" si="1986"/>
        <v>20</v>
      </c>
      <c r="C640" s="393" t="s">
        <v>209</v>
      </c>
      <c r="D640" s="398">
        <f>VLOOKUP(D625,'Detail Balok'!$C$10:$AU$140,22,FALSE)</f>
        <v>3</v>
      </c>
      <c r="E640" s="388" t="s">
        <v>16</v>
      </c>
      <c r="F640" s="388">
        <f>VLOOKUP(D625,'Detail Balok'!$C$10:$AU$140,24,FALSE)</f>
        <v>16</v>
      </c>
      <c r="G640" s="388"/>
      <c r="H640" s="395"/>
      <c r="I640" s="388" t="s">
        <v>203</v>
      </c>
      <c r="J640" s="399">
        <f t="shared" si="1886"/>
        <v>1</v>
      </c>
      <c r="K640" s="400" t="s">
        <v>204</v>
      </c>
      <c r="L640" s="399">
        <f t="shared" ref="L640" si="1987">MAX(VLOOKUP(F640,N$6:P$15,3,FALSE)/1000,2/3*D630/1000)+F$16*F640/1000</f>
        <v>0.192</v>
      </c>
      <c r="M640" s="399" t="s">
        <v>176</v>
      </c>
      <c r="N640" s="399">
        <f t="shared" ref="N640:N642" si="1988">J640+L640</f>
        <v>1.1919999999999999</v>
      </c>
      <c r="O640" s="399" t="s">
        <v>204</v>
      </c>
      <c r="P640" s="389">
        <f t="shared" ref="P640" si="1989">D640-D641</f>
        <v>0</v>
      </c>
      <c r="Q640" s="399" t="s">
        <v>125</v>
      </c>
      <c r="R640" s="399">
        <f t="shared" ref="R640" si="1990">IF(P640&gt;0,$F$18*F640/1000,0)</f>
        <v>0</v>
      </c>
      <c r="S640" s="399" t="s">
        <v>205</v>
      </c>
      <c r="T640" s="399" t="s">
        <v>125</v>
      </c>
      <c r="U640" s="401">
        <f t="shared" ref="U640:U642" si="1991">0.006165*F640^2</f>
        <v>1.5782400000000001</v>
      </c>
      <c r="V640" s="399"/>
      <c r="W640" s="399"/>
      <c r="X640" s="399" t="s">
        <v>125</v>
      </c>
      <c r="Y640" s="389">
        <f t="shared" ref="Y640" si="1992">D631</f>
        <v>1</v>
      </c>
      <c r="Z640" s="400" t="s">
        <v>176</v>
      </c>
      <c r="AA640" s="402">
        <f t="shared" ref="AA640" si="1993">IF(AA643=0,(D640*N640+P640*R640)*U640*Y640,0)</f>
        <v>0</v>
      </c>
      <c r="AB640" s="403"/>
    </row>
    <row r="641" spans="1:28">
      <c r="A641" s="384" t="str">
        <f t="shared" ref="A641:B641" si="1994">A625</f>
        <v>Lantai 1</v>
      </c>
      <c r="B641" s="385">
        <f t="shared" si="1994"/>
        <v>20</v>
      </c>
      <c r="C641" s="393" t="s">
        <v>210</v>
      </c>
      <c r="D641" s="398">
        <f>VLOOKUP(D625,'Detail Balok'!$C$10:$AU$140,25,FALSE)</f>
        <v>3</v>
      </c>
      <c r="E641" s="388" t="s">
        <v>16</v>
      </c>
      <c r="F641" s="388">
        <f>VLOOKUP(D625,'Detail Balok'!$C$10:$AU$140,27,FALSE)</f>
        <v>16</v>
      </c>
      <c r="G641" s="388"/>
      <c r="H641" s="395"/>
      <c r="I641" s="388" t="s">
        <v>203</v>
      </c>
      <c r="J641" s="399">
        <f t="shared" si="1886"/>
        <v>2</v>
      </c>
      <c r="K641" s="400" t="s">
        <v>204</v>
      </c>
      <c r="L641" s="399"/>
      <c r="M641" s="399" t="s">
        <v>176</v>
      </c>
      <c r="N641" s="399">
        <f t="shared" si="1988"/>
        <v>2</v>
      </c>
      <c r="O641" s="399" t="s">
        <v>204</v>
      </c>
      <c r="P641" s="389">
        <f t="shared" ref="P641" si="1995">MAX(D641-D640,D641-D642)</f>
        <v>0</v>
      </c>
      <c r="Q641" s="399" t="s">
        <v>125</v>
      </c>
      <c r="R641" s="399">
        <f t="shared" ref="R641" si="1996">IF(P641&gt;0,2*(1-2*$F$19-1/2)*D628/1000,0)</f>
        <v>0</v>
      </c>
      <c r="S641" s="399" t="s">
        <v>205</v>
      </c>
      <c r="T641" s="399" t="s">
        <v>125</v>
      </c>
      <c r="U641" s="401">
        <f t="shared" si="1991"/>
        <v>1.5782400000000001</v>
      </c>
      <c r="V641" s="399"/>
      <c r="W641" s="399"/>
      <c r="X641" s="399" t="s">
        <v>125</v>
      </c>
      <c r="Y641" s="389">
        <f t="shared" ref="Y641" si="1997">D631</f>
        <v>1</v>
      </c>
      <c r="Z641" s="400" t="s">
        <v>176</v>
      </c>
      <c r="AA641" s="402">
        <f t="shared" ref="AA641" si="1998">IF(AA643=0,(D641*N641+P641*R641)*U641*Y641,0)</f>
        <v>0</v>
      </c>
      <c r="AB641" s="403"/>
    </row>
    <row r="642" spans="1:28">
      <c r="A642" s="384" t="str">
        <f t="shared" ref="A642:B642" si="1999">A625</f>
        <v>Lantai 1</v>
      </c>
      <c r="B642" s="385">
        <f t="shared" si="1999"/>
        <v>20</v>
      </c>
      <c r="C642" s="393" t="s">
        <v>209</v>
      </c>
      <c r="D642" s="398">
        <f>VLOOKUP(D625,'Detail Balok'!$C$10:$AU$140,28,FALSE)</f>
        <v>3</v>
      </c>
      <c r="E642" s="388" t="s">
        <v>16</v>
      </c>
      <c r="F642" s="388">
        <f>VLOOKUP(D625,'Detail Balok'!$C$10:$AU$140,30,FALSE)</f>
        <v>16</v>
      </c>
      <c r="G642" s="388"/>
      <c r="H642" s="395"/>
      <c r="I642" s="388" t="s">
        <v>203</v>
      </c>
      <c r="J642" s="399">
        <f t="shared" si="1886"/>
        <v>1</v>
      </c>
      <c r="K642" s="400" t="s">
        <v>204</v>
      </c>
      <c r="L642" s="399">
        <f t="shared" ref="L642" si="2000">MAX(VLOOKUP(F642,N$6:P$15,3,FALSE)/1000,2/3*D630/1000)+F$16*F642/1000</f>
        <v>0.192</v>
      </c>
      <c r="M642" s="399" t="s">
        <v>176</v>
      </c>
      <c r="N642" s="399">
        <f t="shared" si="1988"/>
        <v>1.1919999999999999</v>
      </c>
      <c r="O642" s="399" t="s">
        <v>204</v>
      </c>
      <c r="P642" s="389">
        <f t="shared" ref="P642" si="2001">D642-D641</f>
        <v>0</v>
      </c>
      <c r="Q642" s="399" t="s">
        <v>125</v>
      </c>
      <c r="R642" s="399">
        <f t="shared" ref="R642" si="2002">IF(P642&gt;0,$F$18*F642/1000,0)</f>
        <v>0</v>
      </c>
      <c r="S642" s="399" t="s">
        <v>205</v>
      </c>
      <c r="T642" s="399" t="s">
        <v>125</v>
      </c>
      <c r="U642" s="401">
        <f t="shared" si="1991"/>
        <v>1.5782400000000001</v>
      </c>
      <c r="V642" s="399"/>
      <c r="W642" s="399"/>
      <c r="X642" s="399" t="s">
        <v>125</v>
      </c>
      <c r="Y642" s="389">
        <f t="shared" ref="Y642" si="2003">D631</f>
        <v>1</v>
      </c>
      <c r="Z642" s="400" t="s">
        <v>176</v>
      </c>
      <c r="AA642" s="402">
        <f t="shared" ref="AA642" si="2004">IF(AA643=0,(D642*N642+P642*R642)*U642*Y642,0)</f>
        <v>0</v>
      </c>
      <c r="AB642" s="403"/>
    </row>
    <row r="643" spans="1:28">
      <c r="A643" s="384" t="str">
        <f t="shared" ref="A643:B643" si="2005">A625</f>
        <v>Lantai 1</v>
      </c>
      <c r="B643" s="385">
        <f t="shared" si="2005"/>
        <v>20</v>
      </c>
      <c r="C643" s="393"/>
      <c r="D643" s="398">
        <f t="shared" si="1906"/>
        <v>3</v>
      </c>
      <c r="E643" s="388" t="s">
        <v>16</v>
      </c>
      <c r="F643" s="388">
        <f t="shared" si="1907"/>
        <v>16</v>
      </c>
      <c r="G643" s="388"/>
      <c r="H643" s="395"/>
      <c r="I643" s="388"/>
      <c r="J643" s="396"/>
      <c r="K643" s="396"/>
      <c r="L643" s="404" t="s">
        <v>207</v>
      </c>
      <c r="M643" s="399" t="s">
        <v>176</v>
      </c>
      <c r="N643" s="399">
        <f t="shared" ref="N643" si="2006">IF(AND(D640=D641,D640=D642,D641=D642,F640=F641,F640=F642,F641=F642),SUM(N640:N642),0)</f>
        <v>4.3840000000000003</v>
      </c>
      <c r="O643" s="399" t="s">
        <v>204</v>
      </c>
      <c r="P643" s="389">
        <f t="shared" ref="P643" si="2007">IF(N643&gt;12,ROUNDDOWN(N643/12,0),0)</f>
        <v>0</v>
      </c>
      <c r="Q643" s="399" t="s">
        <v>125</v>
      </c>
      <c r="R643" s="399">
        <f t="shared" ref="R643" si="2008">IF(P643&gt;0,MAX(VLOOKUP(F643,$D$6:$G$15,3,FALSE),600),0)/1000</f>
        <v>0</v>
      </c>
      <c r="S643" s="396"/>
      <c r="T643" s="396" t="s">
        <v>125</v>
      </c>
      <c r="U643" s="401">
        <f t="shared" si="1911"/>
        <v>1.5782400000000001</v>
      </c>
      <c r="V643" s="396" t="s">
        <v>125</v>
      </c>
      <c r="W643" s="399">
        <f t="shared" ref="W643" si="2009">D643</f>
        <v>3</v>
      </c>
      <c r="X643" s="399" t="s">
        <v>125</v>
      </c>
      <c r="Y643" s="389">
        <f t="shared" si="1913"/>
        <v>1</v>
      </c>
      <c r="Z643" s="400" t="s">
        <v>176</v>
      </c>
      <c r="AA643" s="402">
        <f t="shared" ref="AA643" si="2010">(N643+P643*R643/1000)*U643*W643*Y643</f>
        <v>20.757012480000004</v>
      </c>
      <c r="AB643" s="403"/>
    </row>
    <row r="644" spans="1:28">
      <c r="A644" s="384"/>
      <c r="B644" s="385"/>
      <c r="C644" s="393"/>
      <c r="D644" s="394"/>
      <c r="E644" s="388"/>
      <c r="F644" s="388"/>
      <c r="G644" s="388"/>
      <c r="H644" s="395"/>
      <c r="I644" s="388"/>
      <c r="J644" s="399"/>
      <c r="K644" s="396"/>
      <c r="L644" s="396"/>
      <c r="M644" s="396"/>
      <c r="N644" s="396"/>
      <c r="O644" s="396"/>
      <c r="P644" s="389"/>
      <c r="Q644" s="396"/>
      <c r="R644" s="396"/>
      <c r="S644" s="396"/>
      <c r="T644" s="396"/>
      <c r="U644" s="401"/>
      <c r="V644" s="396"/>
      <c r="W644" s="388"/>
      <c r="X644" s="396"/>
      <c r="Y644" s="389"/>
      <c r="Z644" s="396"/>
      <c r="AA644" s="388"/>
      <c r="AB644" s="390"/>
    </row>
    <row r="645" spans="1:28">
      <c r="A645" s="384" t="str">
        <f t="shared" ref="A645:B645" si="2011">A625</f>
        <v>Lantai 1</v>
      </c>
      <c r="B645" s="385">
        <f t="shared" si="2011"/>
        <v>20</v>
      </c>
      <c r="C645" s="393" t="s">
        <v>211</v>
      </c>
      <c r="D645" s="398">
        <f>VLOOKUP(D625,'Detail Balok'!$C$10:$AU$140,31,FALSE)</f>
        <v>0</v>
      </c>
      <c r="E645" s="388" t="s">
        <v>16</v>
      </c>
      <c r="F645" s="388">
        <f>VLOOKUP(D625,'Detail Balok'!$C$10:$AU$140,33,FALSE)</f>
        <v>8</v>
      </c>
      <c r="G645" s="405" t="s">
        <v>157</v>
      </c>
      <c r="H645" s="395">
        <f>VLOOKUP(D625,'Detail Balok'!$C$10:$AU$140,35,FALSE)</f>
        <v>150</v>
      </c>
      <c r="I645" s="388"/>
      <c r="J645" s="400">
        <f t="shared" ref="J645" si="2012">(IF(D645=0,(2*(D626+G626))-(F$5*8),IF(D645=3,(2*(D626+G626))-(F$5*8)+(G626-2*F$5),IF(D645=4,(2*(D626+G626))-(F$5*8)+2*(G626-2*F$5)))))/1000</f>
        <v>0.88</v>
      </c>
      <c r="K645" s="400" t="s">
        <v>204</v>
      </c>
      <c r="L645" s="399">
        <f t="shared" ref="L645:L647" si="2013">IF(D645=0,2*MAX(6*F645,75),(D645-1)*2*MAX(6*F645,75))/1000</f>
        <v>0.15</v>
      </c>
      <c r="M645" s="399" t="s">
        <v>176</v>
      </c>
      <c r="N645" s="399">
        <f t="shared" ref="N645:N647" si="2014">J645+L645</f>
        <v>1.03</v>
      </c>
      <c r="O645" s="399"/>
      <c r="P645" s="389"/>
      <c r="Q645" s="399"/>
      <c r="R645" s="399"/>
      <c r="S645" s="399"/>
      <c r="T645" s="399" t="s">
        <v>125</v>
      </c>
      <c r="U645" s="401">
        <f t="shared" ref="U645:U647" si="2015">0.006165*F645^2</f>
        <v>0.39456000000000002</v>
      </c>
      <c r="V645" s="399" t="s">
        <v>125</v>
      </c>
      <c r="W645" s="399">
        <f t="shared" ref="W645" si="2016">IF(D628&gt;4*G626,ROUND(MAX(D628/4,2*G626)/H645,0)+1,ROUND(D628/H645,0)+1)</f>
        <v>8</v>
      </c>
      <c r="X645" s="399" t="s">
        <v>125</v>
      </c>
      <c r="Y645" s="389">
        <f t="shared" ref="Y645" si="2017">D631</f>
        <v>1</v>
      </c>
      <c r="Z645" s="400" t="s">
        <v>176</v>
      </c>
      <c r="AA645" s="402">
        <f t="shared" ref="AA645:AA647" si="2018">N645*U645*W645*Y645</f>
        <v>3.2511744000000005</v>
      </c>
      <c r="AB645" s="403"/>
    </row>
    <row r="646" spans="1:28">
      <c r="A646" s="384" t="str">
        <f t="shared" ref="A646:B646" si="2019">A625</f>
        <v>Lantai 1</v>
      </c>
      <c r="B646" s="385">
        <f t="shared" si="2019"/>
        <v>20</v>
      </c>
      <c r="C646" s="393" t="s">
        <v>212</v>
      </c>
      <c r="D646" s="398">
        <f>VLOOKUP(D625,'Detail Balok'!$C$10:$AU$140,36,FALSE)</f>
        <v>0</v>
      </c>
      <c r="E646" s="388" t="s">
        <v>16</v>
      </c>
      <c r="F646" s="388">
        <f>VLOOKUP(D625,'Detail Balok'!$C$10:$AU$140,38,FALSE)</f>
        <v>8</v>
      </c>
      <c r="G646" s="405" t="s">
        <v>157</v>
      </c>
      <c r="H646" s="395">
        <f>VLOOKUP(D625,'Detail Balok'!$C$10:$AU$140,40,FALSE)</f>
        <v>200</v>
      </c>
      <c r="I646" s="388"/>
      <c r="J646" s="400">
        <f t="shared" ref="J646" si="2020">(IF(D646=0,(2*(D626+G626))-(F$5*8),IF(D646=3,(2*(D626+G626))-(F$5*8)+(G626-2*F$5),IF(D646=4,(2*(D626+G626))-(F$5*8)+2*(G626-2*F$5)))))/1000</f>
        <v>0.88</v>
      </c>
      <c r="K646" s="400" t="s">
        <v>204</v>
      </c>
      <c r="L646" s="399">
        <f t="shared" si="2013"/>
        <v>0.15</v>
      </c>
      <c r="M646" s="399" t="s">
        <v>176</v>
      </c>
      <c r="N646" s="399">
        <f t="shared" si="2014"/>
        <v>1.03</v>
      </c>
      <c r="O646" s="399"/>
      <c r="P646" s="389"/>
      <c r="Q646" s="399"/>
      <c r="R646" s="399"/>
      <c r="S646" s="399"/>
      <c r="T646" s="399" t="s">
        <v>125</v>
      </c>
      <c r="U646" s="401">
        <f t="shared" si="2015"/>
        <v>0.39456000000000002</v>
      </c>
      <c r="V646" s="399" t="s">
        <v>125</v>
      </c>
      <c r="W646" s="399">
        <f t="shared" ref="W646" si="2021">IF(D628-MAX(D628/4,2*G626)*2&gt;0,ROUND((D628-MAX(D628/4,2*G626)*2)/H646,0),0)</f>
        <v>10</v>
      </c>
      <c r="X646" s="399" t="s">
        <v>125</v>
      </c>
      <c r="Y646" s="389">
        <f t="shared" ref="Y646" si="2022">D631</f>
        <v>1</v>
      </c>
      <c r="Z646" s="400" t="s">
        <v>176</v>
      </c>
      <c r="AA646" s="402">
        <f t="shared" si="2018"/>
        <v>4.0639680000000009</v>
      </c>
      <c r="AB646" s="403"/>
    </row>
    <row r="647" spans="1:28">
      <c r="A647" s="384" t="str">
        <f t="shared" ref="A647:B647" si="2023">A625</f>
        <v>Lantai 1</v>
      </c>
      <c r="B647" s="385">
        <f t="shared" si="2023"/>
        <v>20</v>
      </c>
      <c r="C647" s="393" t="s">
        <v>211</v>
      </c>
      <c r="D647" s="398">
        <f>VLOOKUP(D625,'Detail Balok'!$C$10:$AU$140,41,FALSE)</f>
        <v>0</v>
      </c>
      <c r="E647" s="388" t="s">
        <v>16</v>
      </c>
      <c r="F647" s="388">
        <f>VLOOKUP(D625,'Detail Balok'!$C$10:$AU$140,43,FALSE)</f>
        <v>8</v>
      </c>
      <c r="G647" s="405" t="s">
        <v>157</v>
      </c>
      <c r="H647" s="395">
        <f>VLOOKUP(D625,'Detail Balok'!$C$10:$AU$140,45,FALSE)</f>
        <v>150</v>
      </c>
      <c r="I647" s="388"/>
      <c r="J647" s="400">
        <f t="shared" ref="J647" si="2024">(IF(D647=0,(2*(D626+G626))-(F$5*8),IF(D647=3,(2*(D626+G626))-(F$5*8)+(G626-2*F$5),IF(D647=4,(2*(D626+G626))-(F$5*8)+2*(G626-2*F$5)))))/1000</f>
        <v>0.88</v>
      </c>
      <c r="K647" s="400" t="s">
        <v>204</v>
      </c>
      <c r="L647" s="399">
        <f t="shared" si="2013"/>
        <v>0.15</v>
      </c>
      <c r="M647" s="399" t="s">
        <v>176</v>
      </c>
      <c r="N647" s="399">
        <f t="shared" si="2014"/>
        <v>1.03</v>
      </c>
      <c r="O647" s="399"/>
      <c r="P647" s="389"/>
      <c r="Q647" s="399"/>
      <c r="R647" s="399"/>
      <c r="S647" s="399"/>
      <c r="T647" s="399" t="s">
        <v>125</v>
      </c>
      <c r="U647" s="401">
        <f t="shared" si="2015"/>
        <v>0.39456000000000002</v>
      </c>
      <c r="V647" s="399" t="s">
        <v>125</v>
      </c>
      <c r="W647" s="399">
        <f t="shared" ref="W647" si="2025">IF(D628&gt;4*G626,ROUND(MAX(D628/4,2*G626)/H647,0)+1,0)</f>
        <v>8</v>
      </c>
      <c r="X647" s="399" t="s">
        <v>125</v>
      </c>
      <c r="Y647" s="389">
        <f t="shared" ref="Y647" si="2026">D631</f>
        <v>1</v>
      </c>
      <c r="Z647" s="400" t="s">
        <v>176</v>
      </c>
      <c r="AA647" s="402">
        <f t="shared" si="2018"/>
        <v>3.2511744000000005</v>
      </c>
      <c r="AB647" s="403"/>
    </row>
    <row r="648" spans="1:28">
      <c r="A648" s="384"/>
      <c r="B648" s="385"/>
      <c r="C648" s="393"/>
      <c r="D648" s="394"/>
      <c r="E648" s="388"/>
      <c r="F648" s="388"/>
      <c r="G648" s="388"/>
      <c r="H648" s="395"/>
      <c r="I648" s="388"/>
      <c r="J648" s="399"/>
      <c r="K648" s="396"/>
      <c r="L648" s="396"/>
      <c r="M648" s="396"/>
      <c r="N648" s="396"/>
      <c r="O648" s="396"/>
      <c r="P648" s="389"/>
      <c r="Q648" s="396"/>
      <c r="R648" s="396"/>
      <c r="S648" s="396"/>
      <c r="T648" s="396"/>
      <c r="U648" s="401"/>
      <c r="V648" s="396"/>
      <c r="W648" s="388"/>
      <c r="X648" s="396"/>
      <c r="Y648" s="389"/>
      <c r="Z648" s="396"/>
      <c r="AA648" s="388"/>
      <c r="AB648" s="390"/>
    </row>
    <row r="649" spans="1:28">
      <c r="A649" s="384" t="str">
        <f t="shared" ref="A649:B649" si="2027">A625</f>
        <v>Lantai 1</v>
      </c>
      <c r="B649" s="385">
        <f t="shared" si="2027"/>
        <v>20</v>
      </c>
      <c r="C649" s="393" t="s">
        <v>213</v>
      </c>
      <c r="D649" s="398">
        <f>VLOOKUP(D625,'Detail Balok'!$C$10:$BJ$140,46,FALSE)</f>
        <v>0</v>
      </c>
      <c r="E649" s="388" t="s">
        <v>16</v>
      </c>
      <c r="F649" s="388">
        <f>VLOOKUP(D625,'Detail Balok'!$C$10:$BJ$140,48,FALSE)</f>
        <v>0</v>
      </c>
      <c r="G649" s="405" t="s">
        <v>157</v>
      </c>
      <c r="H649" s="395">
        <f>VLOOKUP(D625,'Detail Balok'!$C$10:$BJ$140,50,FALSE)</f>
        <v>100</v>
      </c>
      <c r="I649" s="388"/>
      <c r="J649" s="399">
        <f t="shared" ref="J649" si="2028">(D626-2*F$5)/1000</f>
        <v>0.12</v>
      </c>
      <c r="K649" s="400" t="s">
        <v>204</v>
      </c>
      <c r="L649" s="399">
        <f t="shared" ref="L649:L651" si="2029">IF(D649=0,2*MAX(6*F649,75),(D649-1)*2*MAX(6*F649,75))/1000</f>
        <v>0.15</v>
      </c>
      <c r="M649" s="399" t="s">
        <v>176</v>
      </c>
      <c r="N649" s="399">
        <f t="shared" ref="N649:N651" si="2030">J649+L649</f>
        <v>0.27</v>
      </c>
      <c r="O649" s="399"/>
      <c r="P649" s="399"/>
      <c r="Q649" s="399"/>
      <c r="R649" s="399"/>
      <c r="S649" s="399"/>
      <c r="T649" s="399" t="s">
        <v>125</v>
      </c>
      <c r="U649" s="401">
        <f t="shared" ref="U649:U651" si="2031">0.006165*F649^2</f>
        <v>0</v>
      </c>
      <c r="V649" s="399" t="s">
        <v>125</v>
      </c>
      <c r="W649" s="399">
        <f t="shared" si="1936"/>
        <v>8</v>
      </c>
      <c r="X649" s="399" t="s">
        <v>125</v>
      </c>
      <c r="Y649" s="389">
        <f t="shared" ref="Y649" si="2032">D635</f>
        <v>3</v>
      </c>
      <c r="Z649" s="400" t="s">
        <v>176</v>
      </c>
      <c r="AA649" s="402">
        <f t="shared" ref="AA649:AA651" si="2033">N649*U649*W649*Y649</f>
        <v>0</v>
      </c>
      <c r="AB649" s="403"/>
    </row>
    <row r="650" spans="1:28">
      <c r="A650" s="384" t="str">
        <f t="shared" ref="A650:B650" si="2034">A625</f>
        <v>Lantai 1</v>
      </c>
      <c r="B650" s="385">
        <f t="shared" si="2034"/>
        <v>20</v>
      </c>
      <c r="C650" s="393" t="s">
        <v>214</v>
      </c>
      <c r="D650" s="398">
        <f>VLOOKUP(D625,'Detail Balok'!$C$10:$BJ$140,51,FALSE)</f>
        <v>0</v>
      </c>
      <c r="E650" s="388" t="s">
        <v>16</v>
      </c>
      <c r="F650" s="388">
        <f>VLOOKUP(D625,'Detail Balok'!$C$10:$BJ$140,53,FALSE)</f>
        <v>0</v>
      </c>
      <c r="G650" s="405" t="s">
        <v>157</v>
      </c>
      <c r="H650" s="395">
        <f>VLOOKUP(D625,'Detail Balok'!$C$10:$BJ$140,55,FALSE)</f>
        <v>100</v>
      </c>
      <c r="I650" s="388"/>
      <c r="J650" s="399">
        <f t="shared" ref="J650" si="2035">(D626-2*F$5)/1000</f>
        <v>0.12</v>
      </c>
      <c r="K650" s="400" t="s">
        <v>204</v>
      </c>
      <c r="L650" s="399">
        <f t="shared" si="2029"/>
        <v>0.15</v>
      </c>
      <c r="M650" s="399" t="s">
        <v>176</v>
      </c>
      <c r="N650" s="399">
        <f t="shared" si="2030"/>
        <v>0.27</v>
      </c>
      <c r="O650" s="399"/>
      <c r="P650" s="399"/>
      <c r="Q650" s="399"/>
      <c r="R650" s="399"/>
      <c r="S650" s="399"/>
      <c r="T650" s="399" t="s">
        <v>125</v>
      </c>
      <c r="U650" s="401">
        <f t="shared" si="2031"/>
        <v>0</v>
      </c>
      <c r="V650" s="399" t="s">
        <v>125</v>
      </c>
      <c r="W650" s="399">
        <f t="shared" si="1936"/>
        <v>10</v>
      </c>
      <c r="X650" s="399" t="s">
        <v>125</v>
      </c>
      <c r="Y650" s="389">
        <f t="shared" ref="Y650" si="2036">D635</f>
        <v>3</v>
      </c>
      <c r="Z650" s="400" t="s">
        <v>176</v>
      </c>
      <c r="AA650" s="402">
        <f t="shared" si="2033"/>
        <v>0</v>
      </c>
      <c r="AB650" s="403"/>
    </row>
    <row r="651" spans="1:28">
      <c r="A651" s="384" t="str">
        <f t="shared" ref="A651:B651" si="2037">A625</f>
        <v>Lantai 1</v>
      </c>
      <c r="B651" s="385">
        <f t="shared" si="2037"/>
        <v>20</v>
      </c>
      <c r="C651" s="393" t="s">
        <v>213</v>
      </c>
      <c r="D651" s="398">
        <f>VLOOKUP(D625,'Detail Balok'!$C$10:$BJ$140,56,FALSE)</f>
        <v>0</v>
      </c>
      <c r="E651" s="388" t="s">
        <v>16</v>
      </c>
      <c r="F651" s="388">
        <f>VLOOKUP(D625,'Detail Balok'!$C$10:$BJ$140,58,FALSE)</f>
        <v>0</v>
      </c>
      <c r="G651" s="405" t="s">
        <v>157</v>
      </c>
      <c r="H651" s="395">
        <f>VLOOKUP(D625,'Detail Balok'!$C$10:$BJ$140,60,FALSE)</f>
        <v>100</v>
      </c>
      <c r="I651" s="388"/>
      <c r="J651" s="399">
        <f t="shared" ref="J651" si="2038">(D626-2*F$5)/1000</f>
        <v>0.12</v>
      </c>
      <c r="K651" s="400" t="s">
        <v>204</v>
      </c>
      <c r="L651" s="399">
        <f t="shared" si="2029"/>
        <v>0.15</v>
      </c>
      <c r="M651" s="399" t="s">
        <v>176</v>
      </c>
      <c r="N651" s="399">
        <f t="shared" si="2030"/>
        <v>0.27</v>
      </c>
      <c r="O651" s="399"/>
      <c r="P651" s="399"/>
      <c r="Q651" s="399"/>
      <c r="R651" s="399"/>
      <c r="S651" s="399"/>
      <c r="T651" s="399" t="s">
        <v>125</v>
      </c>
      <c r="U651" s="401">
        <f t="shared" si="2031"/>
        <v>0</v>
      </c>
      <c r="V651" s="399" t="s">
        <v>125</v>
      </c>
      <c r="W651" s="399">
        <f t="shared" si="1936"/>
        <v>8</v>
      </c>
      <c r="X651" s="399" t="s">
        <v>125</v>
      </c>
      <c r="Y651" s="389">
        <f t="shared" ref="Y651" si="2039">D635</f>
        <v>3</v>
      </c>
      <c r="Z651" s="400" t="s">
        <v>176</v>
      </c>
      <c r="AA651" s="402">
        <f t="shared" si="2033"/>
        <v>0</v>
      </c>
      <c r="AB651" s="403"/>
    </row>
    <row r="652" spans="1:28">
      <c r="A652" s="391"/>
      <c r="B652" s="392"/>
      <c r="C652" s="392"/>
      <c r="D652" s="394"/>
      <c r="E652" s="388"/>
      <c r="F652" s="388"/>
      <c r="G652" s="388"/>
      <c r="H652" s="395"/>
      <c r="I652" s="388"/>
      <c r="J652" s="402"/>
      <c r="K652" s="388"/>
      <c r="L652" s="388"/>
      <c r="M652" s="388"/>
      <c r="N652" s="388"/>
      <c r="O652" s="388"/>
      <c r="P652" s="388"/>
      <c r="Q652" s="388"/>
      <c r="R652" s="388"/>
      <c r="S652" s="388"/>
      <c r="T652" s="388"/>
      <c r="U652" s="388"/>
      <c r="V652" s="388"/>
      <c r="W652" s="388"/>
      <c r="X652" s="388"/>
      <c r="Y652" s="389"/>
      <c r="Z652" s="388"/>
      <c r="AA652" s="402"/>
      <c r="AB652" s="403"/>
    </row>
    <row r="653" spans="1:28" ht="15.75" thickBot="1">
      <c r="A653" s="406"/>
      <c r="B653" s="407"/>
      <c r="C653" s="407"/>
      <c r="D653" s="408"/>
      <c r="E653" s="409"/>
      <c r="F653" s="409"/>
      <c r="G653" s="409"/>
      <c r="H653" s="410"/>
      <c r="I653" s="409"/>
      <c r="J653" s="409"/>
      <c r="K653" s="409"/>
      <c r="L653" s="409"/>
      <c r="M653" s="409"/>
      <c r="N653" s="409"/>
      <c r="O653" s="409"/>
      <c r="P653" s="409"/>
      <c r="Q653" s="409"/>
      <c r="R653" s="409"/>
      <c r="S653" s="409"/>
      <c r="T653" s="409"/>
      <c r="U653" s="409"/>
      <c r="V653" s="409"/>
      <c r="W653" s="409"/>
      <c r="X653" s="409"/>
      <c r="Y653" s="411"/>
      <c r="Z653" s="409"/>
      <c r="AA653" s="412"/>
      <c r="AB653" s="413"/>
    </row>
    <row r="654" spans="1:28">
      <c r="A654" s="377"/>
      <c r="B654" s="378"/>
      <c r="C654" s="378"/>
      <c r="D654" s="379"/>
      <c r="E654" s="380"/>
      <c r="F654" s="380"/>
      <c r="G654" s="380"/>
      <c r="H654" s="381"/>
      <c r="I654" s="380"/>
      <c r="J654" s="380"/>
      <c r="K654" s="380"/>
      <c r="L654" s="380"/>
      <c r="M654" s="380"/>
      <c r="N654" s="380"/>
      <c r="O654" s="380"/>
      <c r="P654" s="380"/>
      <c r="Q654" s="380"/>
      <c r="R654" s="380"/>
      <c r="S654" s="380"/>
      <c r="T654" s="380"/>
      <c r="U654" s="380"/>
      <c r="V654" s="380"/>
      <c r="W654" s="380"/>
      <c r="X654" s="380"/>
      <c r="Y654" s="382"/>
      <c r="Z654" s="380"/>
      <c r="AA654" s="380"/>
      <c r="AB654" s="383"/>
    </row>
    <row r="655" spans="1:28">
      <c r="A655" s="384" t="str">
        <f t="shared" si="1945"/>
        <v>Lantai 1</v>
      </c>
      <c r="B655" s="385">
        <f t="shared" si="1946"/>
        <v>21</v>
      </c>
      <c r="C655" s="386" t="str">
        <f t="shared" ref="C655" si="2040">CONCATENATE(A655," no. ",B655)</f>
        <v>Lantai 1 no. 21</v>
      </c>
      <c r="D655" s="2562" t="str">
        <f>VLOOKUP(C655,'Data Panjang Balok'!$C$9:$N$254,2,FALSE)</f>
        <v>S24-2</v>
      </c>
      <c r="E655" s="2576"/>
      <c r="F655" s="2576"/>
      <c r="G655" s="2576"/>
      <c r="H655" s="2577"/>
      <c r="I655" s="387"/>
      <c r="J655" s="388"/>
      <c r="K655" s="388"/>
      <c r="L655" s="388"/>
      <c r="M655" s="388"/>
      <c r="N655" s="388"/>
      <c r="O655" s="388"/>
      <c r="P655" s="388"/>
      <c r="Q655" s="388"/>
      <c r="R655" s="388"/>
      <c r="S655" s="388"/>
      <c r="T655" s="388"/>
      <c r="U655" s="388"/>
      <c r="V655" s="388"/>
      <c r="W655" s="388"/>
      <c r="X655" s="388"/>
      <c r="Y655" s="389"/>
      <c r="Z655" s="388"/>
      <c r="AA655" s="388"/>
      <c r="AB655" s="390"/>
    </row>
    <row r="656" spans="1:28">
      <c r="A656" s="391"/>
      <c r="B656" s="392"/>
      <c r="C656" s="393" t="s">
        <v>118</v>
      </c>
      <c r="D656" s="2578">
        <f>VLOOKUP(D655,'Detail Balok'!$C$10:$AU$140,2,FALSE)</f>
        <v>200</v>
      </c>
      <c r="E656" s="2579"/>
      <c r="F656" s="388" t="s">
        <v>125</v>
      </c>
      <c r="G656" s="2579">
        <f>VLOOKUP(D655,'Detail Balok'!$C$10:$AU$140,3,FALSE)</f>
        <v>400</v>
      </c>
      <c r="H656" s="2580"/>
      <c r="I656" s="388"/>
      <c r="J656" s="396"/>
      <c r="K656" s="396"/>
      <c r="L656" s="396"/>
      <c r="M656" s="396"/>
      <c r="N656" s="396"/>
      <c r="O656" s="396"/>
      <c r="P656" s="396"/>
      <c r="Q656" s="396"/>
      <c r="R656" s="396"/>
      <c r="S656" s="396"/>
      <c r="T656" s="396"/>
      <c r="U656" s="388"/>
      <c r="V656" s="396"/>
      <c r="W656" s="388"/>
      <c r="X656" s="396"/>
      <c r="Y656" s="389"/>
      <c r="Z656" s="396"/>
      <c r="AA656" s="388"/>
      <c r="AB656" s="390"/>
    </row>
    <row r="657" spans="1:28">
      <c r="A657" s="391"/>
      <c r="B657" s="392"/>
      <c r="C657" s="393" t="s">
        <v>198</v>
      </c>
      <c r="D657" s="2562">
        <f>VLOOKUP(C655,'Data Panjang Balok'!$C$9:$N$254,4,FALSE)</f>
        <v>4000</v>
      </c>
      <c r="E657" s="2563"/>
      <c r="F657" s="2563"/>
      <c r="G657" s="2563"/>
      <c r="H657" s="2564"/>
      <c r="I657" s="397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96"/>
      <c r="U657" s="388"/>
      <c r="V657" s="396"/>
      <c r="W657" s="388"/>
      <c r="X657" s="396"/>
      <c r="Y657" s="389"/>
      <c r="Z657" s="396"/>
      <c r="AA657" s="388"/>
      <c r="AB657" s="390"/>
    </row>
    <row r="658" spans="1:28">
      <c r="A658" s="391"/>
      <c r="B658" s="392"/>
      <c r="C658" s="393" t="s">
        <v>199</v>
      </c>
      <c r="D658" s="2562">
        <f>VLOOKUP(C655,'Data Panjang Balok'!$C$9:$N$254,7,FALSE)</f>
        <v>4000</v>
      </c>
      <c r="E658" s="2563"/>
      <c r="F658" s="2563"/>
      <c r="G658" s="2563"/>
      <c r="H658" s="2564"/>
      <c r="I658" s="397"/>
      <c r="J658" s="396"/>
      <c r="K658" s="396"/>
      <c r="L658" s="396"/>
      <c r="M658" s="396"/>
      <c r="N658" s="396"/>
      <c r="O658" s="396"/>
      <c r="P658" s="396"/>
      <c r="Q658" s="396"/>
      <c r="R658" s="396"/>
      <c r="S658" s="396"/>
      <c r="T658" s="396"/>
      <c r="U658" s="388"/>
      <c r="V658" s="396"/>
      <c r="W658" s="388"/>
      <c r="X658" s="396"/>
      <c r="Y658" s="389"/>
      <c r="Z658" s="396"/>
      <c r="AA658" s="388"/>
      <c r="AB658" s="390"/>
    </row>
    <row r="659" spans="1:28">
      <c r="A659" s="391"/>
      <c r="B659" s="392"/>
      <c r="C659" s="393" t="s">
        <v>200</v>
      </c>
      <c r="D659" s="2562">
        <f>VLOOKUP(C655,'Data Panjang Balok'!$C$9:$N$254,9,FALSE)</f>
        <v>0</v>
      </c>
      <c r="E659" s="2563"/>
      <c r="F659" s="2563"/>
      <c r="G659" s="2563"/>
      <c r="H659" s="2564"/>
      <c r="I659" s="397"/>
      <c r="J659" s="396"/>
      <c r="K659" s="396"/>
      <c r="L659" s="396"/>
      <c r="M659" s="396"/>
      <c r="N659" s="396"/>
      <c r="O659" s="396"/>
      <c r="P659" s="396"/>
      <c r="Q659" s="396"/>
      <c r="R659" s="396"/>
      <c r="S659" s="396"/>
      <c r="T659" s="396"/>
      <c r="U659" s="388"/>
      <c r="V659" s="396"/>
      <c r="W659" s="388"/>
      <c r="X659" s="396"/>
      <c r="Y659" s="389"/>
      <c r="Z659" s="396"/>
      <c r="AA659" s="388"/>
      <c r="AB659" s="390"/>
    </row>
    <row r="660" spans="1:28">
      <c r="A660" s="391"/>
      <c r="B660" s="392"/>
      <c r="C660" s="393" t="s">
        <v>201</v>
      </c>
      <c r="D660" s="2562">
        <f>VLOOKUP(C655,'Data Panjang Balok'!$C$9:$N$254,10,FALSE)</f>
        <v>0</v>
      </c>
      <c r="E660" s="2563"/>
      <c r="F660" s="2563"/>
      <c r="G660" s="2563"/>
      <c r="H660" s="2564"/>
      <c r="I660" s="397"/>
      <c r="J660" s="396"/>
      <c r="K660" s="396"/>
      <c r="L660" s="396"/>
      <c r="M660" s="396"/>
      <c r="N660" s="396"/>
      <c r="O660" s="396"/>
      <c r="P660" s="396"/>
      <c r="Q660" s="396"/>
      <c r="R660" s="396"/>
      <c r="S660" s="396"/>
      <c r="T660" s="396"/>
      <c r="U660" s="388"/>
      <c r="V660" s="396"/>
      <c r="W660" s="388"/>
      <c r="X660" s="396"/>
      <c r="Y660" s="389"/>
      <c r="Z660" s="396"/>
      <c r="AA660" s="388"/>
      <c r="AB660" s="390"/>
    </row>
    <row r="661" spans="1:28">
      <c r="A661" s="391"/>
      <c r="B661" s="392"/>
      <c r="C661" s="393" t="s">
        <v>48</v>
      </c>
      <c r="D661" s="2562">
        <f>VLOOKUP(C655,'Data Panjang Balok'!$C$9:$N$254,3,FALSE)</f>
        <v>1</v>
      </c>
      <c r="E661" s="2563"/>
      <c r="F661" s="2563"/>
      <c r="G661" s="2563"/>
      <c r="H661" s="2564"/>
      <c r="I661" s="397"/>
      <c r="J661" s="396"/>
      <c r="K661" s="396"/>
      <c r="L661" s="396"/>
      <c r="M661" s="396"/>
      <c r="N661" s="396"/>
      <c r="O661" s="396"/>
      <c r="P661" s="396"/>
      <c r="Q661" s="396"/>
      <c r="R661" s="396"/>
      <c r="S661" s="396"/>
      <c r="T661" s="396"/>
      <c r="U661" s="388"/>
      <c r="V661" s="396"/>
      <c r="W661" s="388"/>
      <c r="X661" s="396"/>
      <c r="Y661" s="389"/>
      <c r="Z661" s="396"/>
      <c r="AA661" s="388"/>
      <c r="AB661" s="390"/>
    </row>
    <row r="662" spans="1:28">
      <c r="A662" s="384" t="str">
        <f t="shared" ref="A662:B662" si="2041">A655</f>
        <v>Lantai 1</v>
      </c>
      <c r="B662" s="385">
        <f t="shared" si="2041"/>
        <v>21</v>
      </c>
      <c r="C662" s="393" t="s">
        <v>202</v>
      </c>
      <c r="D662" s="398">
        <f>VLOOKUP(D655,'Detail Balok'!$C$10:$AU$140,4,FALSE)</f>
        <v>3</v>
      </c>
      <c r="E662" s="388" t="s">
        <v>16</v>
      </c>
      <c r="F662" s="388">
        <f>VLOOKUP(D655,'Detail Balok'!$C$10:$AU$140,6,FALSE)</f>
        <v>16</v>
      </c>
      <c r="G662" s="388"/>
      <c r="H662" s="395"/>
      <c r="I662" s="388" t="s">
        <v>203</v>
      </c>
      <c r="J662" s="399">
        <f t="shared" ref="J662" si="2042">+D657/4/1000</f>
        <v>1</v>
      </c>
      <c r="K662" s="400" t="s">
        <v>204</v>
      </c>
      <c r="L662" s="399">
        <f t="shared" ref="L662" si="2043">MAX(VLOOKUP(F662,N$6:P$15,3,FALSE)/1000,2/3*D659/1000)+F$16*F662/1000</f>
        <v>0.192</v>
      </c>
      <c r="M662" s="399" t="s">
        <v>176</v>
      </c>
      <c r="N662" s="399">
        <f t="shared" ref="N662:N664" si="2044">J662+L662</f>
        <v>1.1919999999999999</v>
      </c>
      <c r="O662" s="399" t="s">
        <v>204</v>
      </c>
      <c r="P662" s="389">
        <f t="shared" ref="P662" si="2045">D662-D663</f>
        <v>0</v>
      </c>
      <c r="Q662" s="399" t="s">
        <v>125</v>
      </c>
      <c r="R662" s="399">
        <f t="shared" ref="R662" si="2046">IF(P662&gt;0,$F$18*F662/1000,0)</f>
        <v>0</v>
      </c>
      <c r="S662" s="399" t="s">
        <v>205</v>
      </c>
      <c r="T662" s="399" t="s">
        <v>125</v>
      </c>
      <c r="U662" s="401">
        <f t="shared" ref="U662:U664" si="2047">0.006165*F662^2</f>
        <v>1.5782400000000001</v>
      </c>
      <c r="V662" s="399"/>
      <c r="W662" s="399"/>
      <c r="X662" s="399" t="s">
        <v>125</v>
      </c>
      <c r="Y662" s="389">
        <f t="shared" ref="Y662" si="2048">D661</f>
        <v>1</v>
      </c>
      <c r="Z662" s="400" t="s">
        <v>176</v>
      </c>
      <c r="AA662" s="402">
        <f t="shared" ref="AA662" si="2049">IF(AA665=0,(D662*N662+P662*R662)*U662*Y662,0)</f>
        <v>0</v>
      </c>
      <c r="AB662" s="403"/>
    </row>
    <row r="663" spans="1:28">
      <c r="A663" s="384" t="str">
        <f t="shared" ref="A663:B663" si="2050">A655</f>
        <v>Lantai 1</v>
      </c>
      <c r="B663" s="385">
        <f t="shared" si="2050"/>
        <v>21</v>
      </c>
      <c r="C663" s="393" t="s">
        <v>206</v>
      </c>
      <c r="D663" s="398">
        <f>VLOOKUP(D655,'Detail Balok'!$C$10:$AU$140,7,FALSE)</f>
        <v>3</v>
      </c>
      <c r="E663" s="388" t="s">
        <v>16</v>
      </c>
      <c r="F663" s="388">
        <f>VLOOKUP(D655,'Detail Balok'!$C$10:$AU$140,9,FALSE)</f>
        <v>16</v>
      </c>
      <c r="G663" s="388"/>
      <c r="H663" s="395"/>
      <c r="I663" s="388" t="s">
        <v>203</v>
      </c>
      <c r="J663" s="399">
        <f t="shared" ref="J663" si="2051">+D657/2/1000</f>
        <v>2</v>
      </c>
      <c r="K663" s="400" t="s">
        <v>204</v>
      </c>
      <c r="L663" s="399"/>
      <c r="M663" s="399" t="s">
        <v>176</v>
      </c>
      <c r="N663" s="399">
        <f t="shared" si="2044"/>
        <v>2</v>
      </c>
      <c r="O663" s="399" t="s">
        <v>204</v>
      </c>
      <c r="P663" s="389">
        <f t="shared" ref="P663" si="2052">MAX(D663-D662,D663-D664)</f>
        <v>0</v>
      </c>
      <c r="Q663" s="399" t="s">
        <v>125</v>
      </c>
      <c r="R663" s="399">
        <f t="shared" ref="R663" si="2053">IF(P663&gt;0,2*(1-2*$F$19-1/2)*D658/1000,0)</f>
        <v>0</v>
      </c>
      <c r="S663" s="399" t="s">
        <v>205</v>
      </c>
      <c r="T663" s="399" t="s">
        <v>125</v>
      </c>
      <c r="U663" s="401">
        <f t="shared" si="2047"/>
        <v>1.5782400000000001</v>
      </c>
      <c r="V663" s="399"/>
      <c r="W663" s="399"/>
      <c r="X663" s="399" t="s">
        <v>125</v>
      </c>
      <c r="Y663" s="389">
        <f t="shared" ref="Y663" si="2054">D661</f>
        <v>1</v>
      </c>
      <c r="Z663" s="400" t="s">
        <v>176</v>
      </c>
      <c r="AA663" s="402">
        <f t="shared" ref="AA663" si="2055">IF(AA665=0,(D663*N663+P663*R663)*U663*Y663,0)</f>
        <v>0</v>
      </c>
      <c r="AB663" s="403"/>
    </row>
    <row r="664" spans="1:28">
      <c r="A664" s="384" t="str">
        <f t="shared" ref="A664:B664" si="2056">A655</f>
        <v>Lantai 1</v>
      </c>
      <c r="B664" s="385">
        <f t="shared" si="2056"/>
        <v>21</v>
      </c>
      <c r="C664" s="393" t="s">
        <v>202</v>
      </c>
      <c r="D664" s="398">
        <f>VLOOKUP(D655,'Detail Balok'!$C$10:$AU$140,10,FALSE)</f>
        <v>3</v>
      </c>
      <c r="E664" s="388" t="s">
        <v>16</v>
      </c>
      <c r="F664" s="388">
        <f>VLOOKUP(D655,'Detail Balok'!$C$10:$AU$140,12,FALSE)</f>
        <v>16</v>
      </c>
      <c r="G664" s="388"/>
      <c r="H664" s="395"/>
      <c r="I664" s="388" t="s">
        <v>203</v>
      </c>
      <c r="J664" s="399">
        <f t="shared" ref="J664" si="2057">+D657/4/1000</f>
        <v>1</v>
      </c>
      <c r="K664" s="400" t="s">
        <v>204</v>
      </c>
      <c r="L664" s="399">
        <f t="shared" ref="L664" si="2058">MAX(VLOOKUP(F664,N$6:P$15,3,FALSE)/1000,2/3*D659/1000)+F$16*F664/1000</f>
        <v>0.192</v>
      </c>
      <c r="M664" s="399" t="s">
        <v>176</v>
      </c>
      <c r="N664" s="399">
        <f t="shared" si="2044"/>
        <v>1.1919999999999999</v>
      </c>
      <c r="O664" s="399" t="s">
        <v>204</v>
      </c>
      <c r="P664" s="389">
        <f t="shared" ref="P664" si="2059">D664-D663</f>
        <v>0</v>
      </c>
      <c r="Q664" s="399" t="s">
        <v>125</v>
      </c>
      <c r="R664" s="399">
        <f t="shared" ref="R664" si="2060">IF(P664&gt;0,$F$18*F664/1000,0)</f>
        <v>0</v>
      </c>
      <c r="S664" s="399" t="s">
        <v>205</v>
      </c>
      <c r="T664" s="399" t="s">
        <v>125</v>
      </c>
      <c r="U664" s="401">
        <f t="shared" si="2047"/>
        <v>1.5782400000000001</v>
      </c>
      <c r="V664" s="399"/>
      <c r="W664" s="399"/>
      <c r="X664" s="399" t="s">
        <v>125</v>
      </c>
      <c r="Y664" s="389">
        <f t="shared" ref="Y664" si="2061">D661</f>
        <v>1</v>
      </c>
      <c r="Z664" s="400" t="s">
        <v>176</v>
      </c>
      <c r="AA664" s="402">
        <f t="shared" ref="AA664" si="2062">IF(AA665=0,(D664*N664+P664*R664)*U664*Y664,0)</f>
        <v>0</v>
      </c>
      <c r="AB664" s="403"/>
    </row>
    <row r="665" spans="1:28">
      <c r="A665" s="384" t="str">
        <f t="shared" ref="A665:B665" si="2063">A655</f>
        <v>Lantai 1</v>
      </c>
      <c r="B665" s="385">
        <f t="shared" si="2063"/>
        <v>21</v>
      </c>
      <c r="C665" s="393"/>
      <c r="D665" s="398">
        <f t="shared" si="1866"/>
        <v>3</v>
      </c>
      <c r="E665" s="388" t="s">
        <v>16</v>
      </c>
      <c r="F665" s="388">
        <f t="shared" si="1867"/>
        <v>16</v>
      </c>
      <c r="G665" s="388"/>
      <c r="H665" s="395"/>
      <c r="I665" s="388"/>
      <c r="J665" s="396"/>
      <c r="K665" s="396"/>
      <c r="L665" s="404" t="s">
        <v>207</v>
      </c>
      <c r="M665" s="399" t="s">
        <v>176</v>
      </c>
      <c r="N665" s="399">
        <f t="shared" ref="N665" si="2064">IF(AND(D662=D663,D662=D664,D663=D664,F662=F663,F662=F664,F663=F664),SUM(N662:N664),0)</f>
        <v>4.3840000000000003</v>
      </c>
      <c r="O665" s="399" t="s">
        <v>204</v>
      </c>
      <c r="P665" s="389">
        <f t="shared" ref="P665" si="2065">IF(N665&gt;12,ROUNDDOWN(N665/12,0),0)</f>
        <v>0</v>
      </c>
      <c r="Q665" s="399" t="s">
        <v>125</v>
      </c>
      <c r="R665" s="399">
        <f t="shared" ref="R665" si="2066">IF(P665&gt;0,MAX(VLOOKUP(F665,$D$6:$G$15,3,FALSE),600),0)/1000</f>
        <v>0</v>
      </c>
      <c r="S665" s="396"/>
      <c r="T665" s="396" t="s">
        <v>125</v>
      </c>
      <c r="U665" s="401">
        <f t="shared" si="1871"/>
        <v>1.5782400000000001</v>
      </c>
      <c r="V665" s="396" t="s">
        <v>125</v>
      </c>
      <c r="W665" s="399">
        <f t="shared" ref="W665" si="2067">D665</f>
        <v>3</v>
      </c>
      <c r="X665" s="399" t="s">
        <v>125</v>
      </c>
      <c r="Y665" s="389">
        <f t="shared" si="1873"/>
        <v>1</v>
      </c>
      <c r="Z665" s="400" t="s">
        <v>176</v>
      </c>
      <c r="AA665" s="402">
        <f t="shared" ref="AA665" si="2068">(N665+P665*R665/1000)*U665*W665*Y665</f>
        <v>20.757012480000004</v>
      </c>
      <c r="AB665" s="390"/>
    </row>
    <row r="666" spans="1:28">
      <c r="A666" s="384"/>
      <c r="B666" s="385"/>
      <c r="C666" s="393"/>
      <c r="D666" s="398"/>
      <c r="E666" s="388"/>
      <c r="F666" s="388"/>
      <c r="G666" s="388"/>
      <c r="H666" s="395"/>
      <c r="I666" s="388"/>
      <c r="J666" s="396"/>
      <c r="K666" s="396"/>
      <c r="L666" s="404"/>
      <c r="M666" s="399"/>
      <c r="N666" s="399"/>
      <c r="O666" s="396"/>
      <c r="P666" s="389"/>
      <c r="Q666" s="396"/>
      <c r="R666" s="396"/>
      <c r="S666" s="396"/>
      <c r="T666" s="396"/>
      <c r="U666" s="401"/>
      <c r="V666" s="396"/>
      <c r="W666" s="399"/>
      <c r="X666" s="396"/>
      <c r="Y666" s="389"/>
      <c r="Z666" s="396"/>
      <c r="AA666" s="388"/>
      <c r="AB666" s="390"/>
    </row>
    <row r="667" spans="1:28">
      <c r="A667" s="384" t="str">
        <f t="shared" ref="A667:B667" si="2069">A655</f>
        <v>Lantai 1</v>
      </c>
      <c r="B667" s="385">
        <f t="shared" si="2069"/>
        <v>21</v>
      </c>
      <c r="C667" s="393" t="s">
        <v>208</v>
      </c>
      <c r="D667" s="398">
        <f>VLOOKUP(D655,'Detail Balok'!$C$10:$AU$140,13,FALSE)</f>
        <v>0</v>
      </c>
      <c r="E667" s="388" t="s">
        <v>16</v>
      </c>
      <c r="F667" s="388">
        <f>VLOOKUP(D655,'Detail Balok'!$C$10:$AU$140,15,FALSE)</f>
        <v>8</v>
      </c>
      <c r="G667" s="388"/>
      <c r="H667" s="395"/>
      <c r="I667" s="388"/>
      <c r="J667" s="399">
        <f t="shared" ref="J667" si="2070">+D657/1000</f>
        <v>4</v>
      </c>
      <c r="K667" s="400" t="s">
        <v>204</v>
      </c>
      <c r="L667" s="399">
        <f t="shared" ref="L667" si="2071">2*$F$16*F667/1000</f>
        <v>0.192</v>
      </c>
      <c r="M667" s="399" t="s">
        <v>176</v>
      </c>
      <c r="N667" s="399">
        <f t="shared" ref="N667" si="2072">J667+L667</f>
        <v>4.1920000000000002</v>
      </c>
      <c r="O667" s="399" t="s">
        <v>204</v>
      </c>
      <c r="P667" s="389">
        <f t="shared" ref="P667" si="2073">IF(N667&gt;12,ROUNDDOWN(N667/12,0),0)</f>
        <v>0</v>
      </c>
      <c r="Q667" s="399" t="s">
        <v>125</v>
      </c>
      <c r="R667" s="399">
        <f t="shared" ref="R667" si="2074">IF(P667&gt;0,MAX(VLOOKUP(F667,$D$6:$G$15,3,FALSE),600),0)/1000</f>
        <v>0</v>
      </c>
      <c r="S667" s="399"/>
      <c r="T667" s="399" t="s">
        <v>125</v>
      </c>
      <c r="U667" s="401">
        <f t="shared" ref="U667" si="2075">0.006165*F667^2</f>
        <v>0.39456000000000002</v>
      </c>
      <c r="V667" s="399" t="s">
        <v>125</v>
      </c>
      <c r="W667" s="399">
        <f t="shared" ref="W667" si="2076">+D667</f>
        <v>0</v>
      </c>
      <c r="X667" s="399" t="s">
        <v>125</v>
      </c>
      <c r="Y667" s="389">
        <f t="shared" ref="Y667" si="2077">D661</f>
        <v>1</v>
      </c>
      <c r="Z667" s="400" t="s">
        <v>176</v>
      </c>
      <c r="AA667" s="402">
        <f t="shared" ref="AA667" si="2078">(N667+P667*R667/1000)*U667*W667*Y667</f>
        <v>0</v>
      </c>
      <c r="AB667" s="403"/>
    </row>
    <row r="668" spans="1:28">
      <c r="A668" s="384"/>
      <c r="B668" s="385"/>
      <c r="C668" s="393"/>
      <c r="D668" s="398"/>
      <c r="E668" s="388"/>
      <c r="F668" s="388"/>
      <c r="G668" s="388"/>
      <c r="H668" s="395"/>
      <c r="I668" s="388"/>
      <c r="J668" s="399"/>
      <c r="K668" s="400"/>
      <c r="L668" s="399"/>
      <c r="M668" s="399"/>
      <c r="N668" s="399"/>
      <c r="O668" s="399"/>
      <c r="P668" s="389"/>
      <c r="Q668" s="399"/>
      <c r="R668" s="399"/>
      <c r="S668" s="399"/>
      <c r="T668" s="399"/>
      <c r="U668" s="401"/>
      <c r="V668" s="399"/>
      <c r="W668" s="399"/>
      <c r="X668" s="399"/>
      <c r="Y668" s="389"/>
      <c r="Z668" s="400"/>
      <c r="AA668" s="402"/>
      <c r="AB668" s="403"/>
    </row>
    <row r="669" spans="1:28">
      <c r="A669" s="384"/>
      <c r="B669" s="385"/>
      <c r="C669" s="393"/>
      <c r="D669" s="398"/>
      <c r="E669" s="388"/>
      <c r="F669" s="388"/>
      <c r="G669" s="388"/>
      <c r="H669" s="395"/>
      <c r="I669" s="388"/>
      <c r="J669" s="396"/>
      <c r="K669" s="396"/>
      <c r="L669" s="396"/>
      <c r="M669" s="396"/>
      <c r="N669" s="396"/>
      <c r="O669" s="396"/>
      <c r="P669" s="389"/>
      <c r="Q669" s="396"/>
      <c r="R669" s="396"/>
      <c r="S669" s="396"/>
      <c r="T669" s="396"/>
      <c r="U669" s="401"/>
      <c r="V669" s="396"/>
      <c r="W669" s="399"/>
      <c r="X669" s="396"/>
      <c r="Y669" s="389"/>
      <c r="Z669" s="396"/>
      <c r="AA669" s="388"/>
      <c r="AB669" s="390"/>
    </row>
    <row r="670" spans="1:28">
      <c r="A670" s="384" t="str">
        <f t="shared" ref="A670:B670" si="2079">A655</f>
        <v>Lantai 1</v>
      </c>
      <c r="B670" s="385">
        <f t="shared" si="2079"/>
        <v>21</v>
      </c>
      <c r="C670" s="393" t="s">
        <v>209</v>
      </c>
      <c r="D670" s="398">
        <f>VLOOKUP(D655,'Detail Balok'!$C$10:$AU$140,22,FALSE)</f>
        <v>3</v>
      </c>
      <c r="E670" s="388" t="s">
        <v>16</v>
      </c>
      <c r="F670" s="388">
        <f>VLOOKUP(D655,'Detail Balok'!$C$10:$AU$140,24,FALSE)</f>
        <v>16</v>
      </c>
      <c r="G670" s="388"/>
      <c r="H670" s="395"/>
      <c r="I670" s="388" t="s">
        <v>203</v>
      </c>
      <c r="J670" s="399">
        <f t="shared" si="1886"/>
        <v>1</v>
      </c>
      <c r="K670" s="400" t="s">
        <v>204</v>
      </c>
      <c r="L670" s="399">
        <f t="shared" ref="L670" si="2080">MAX(VLOOKUP(F670,N$6:P$15,3,FALSE)/1000,2/3*D660/1000)+F$16*F670/1000</f>
        <v>0.192</v>
      </c>
      <c r="M670" s="399" t="s">
        <v>176</v>
      </c>
      <c r="N670" s="399">
        <f t="shared" ref="N670:N672" si="2081">J670+L670</f>
        <v>1.1919999999999999</v>
      </c>
      <c r="O670" s="399" t="s">
        <v>204</v>
      </c>
      <c r="P670" s="389">
        <f t="shared" ref="P670" si="2082">D670-D671</f>
        <v>0</v>
      </c>
      <c r="Q670" s="399" t="s">
        <v>125</v>
      </c>
      <c r="R670" s="399">
        <f t="shared" ref="R670" si="2083">IF(P670&gt;0,$F$18*F670/1000,0)</f>
        <v>0</v>
      </c>
      <c r="S670" s="399" t="s">
        <v>205</v>
      </c>
      <c r="T670" s="399" t="s">
        <v>125</v>
      </c>
      <c r="U670" s="401">
        <f t="shared" ref="U670:U672" si="2084">0.006165*F670^2</f>
        <v>1.5782400000000001</v>
      </c>
      <c r="V670" s="399"/>
      <c r="W670" s="399"/>
      <c r="X670" s="399" t="s">
        <v>125</v>
      </c>
      <c r="Y670" s="389">
        <f t="shared" ref="Y670" si="2085">D661</f>
        <v>1</v>
      </c>
      <c r="Z670" s="400" t="s">
        <v>176</v>
      </c>
      <c r="AA670" s="402">
        <f t="shared" ref="AA670" si="2086">IF(AA673=0,(D670*N670+P670*R670)*U670*Y670,0)</f>
        <v>0</v>
      </c>
      <c r="AB670" s="403"/>
    </row>
    <row r="671" spans="1:28">
      <c r="A671" s="384" t="str">
        <f t="shared" ref="A671:B671" si="2087">A655</f>
        <v>Lantai 1</v>
      </c>
      <c r="B671" s="385">
        <f t="shared" si="2087"/>
        <v>21</v>
      </c>
      <c r="C671" s="393" t="s">
        <v>210</v>
      </c>
      <c r="D671" s="398">
        <f>VLOOKUP(D655,'Detail Balok'!$C$10:$AU$140,25,FALSE)</f>
        <v>3</v>
      </c>
      <c r="E671" s="388" t="s">
        <v>16</v>
      </c>
      <c r="F671" s="388">
        <f>VLOOKUP(D655,'Detail Balok'!$C$10:$AU$140,27,FALSE)</f>
        <v>16</v>
      </c>
      <c r="G671" s="388"/>
      <c r="H671" s="395"/>
      <c r="I671" s="388" t="s">
        <v>203</v>
      </c>
      <c r="J671" s="399">
        <f t="shared" si="1886"/>
        <v>2</v>
      </c>
      <c r="K671" s="400" t="s">
        <v>204</v>
      </c>
      <c r="L671" s="399"/>
      <c r="M671" s="399" t="s">
        <v>176</v>
      </c>
      <c r="N671" s="399">
        <f t="shared" si="2081"/>
        <v>2</v>
      </c>
      <c r="O671" s="399" t="s">
        <v>204</v>
      </c>
      <c r="P671" s="389">
        <f t="shared" ref="P671" si="2088">MAX(D671-D670,D671-D672)</f>
        <v>0</v>
      </c>
      <c r="Q671" s="399" t="s">
        <v>125</v>
      </c>
      <c r="R671" s="399">
        <f t="shared" ref="R671" si="2089">IF(P671&gt;0,2*(1-2*$F$19-1/2)*D658/1000,0)</f>
        <v>0</v>
      </c>
      <c r="S671" s="399" t="s">
        <v>205</v>
      </c>
      <c r="T671" s="399" t="s">
        <v>125</v>
      </c>
      <c r="U671" s="401">
        <f t="shared" si="2084"/>
        <v>1.5782400000000001</v>
      </c>
      <c r="V671" s="399"/>
      <c r="W671" s="399"/>
      <c r="X671" s="399" t="s">
        <v>125</v>
      </c>
      <c r="Y671" s="389">
        <f t="shared" ref="Y671" si="2090">D661</f>
        <v>1</v>
      </c>
      <c r="Z671" s="400" t="s">
        <v>176</v>
      </c>
      <c r="AA671" s="402">
        <f t="shared" ref="AA671" si="2091">IF(AA673=0,(D671*N671+P671*R671)*U671*Y671,0)</f>
        <v>0</v>
      </c>
      <c r="AB671" s="403"/>
    </row>
    <row r="672" spans="1:28">
      <c r="A672" s="384" t="str">
        <f t="shared" ref="A672:B672" si="2092">A655</f>
        <v>Lantai 1</v>
      </c>
      <c r="B672" s="385">
        <f t="shared" si="2092"/>
        <v>21</v>
      </c>
      <c r="C672" s="393" t="s">
        <v>209</v>
      </c>
      <c r="D672" s="398">
        <f>VLOOKUP(D655,'Detail Balok'!$C$10:$AU$140,28,FALSE)</f>
        <v>3</v>
      </c>
      <c r="E672" s="388" t="s">
        <v>16</v>
      </c>
      <c r="F672" s="388">
        <f>VLOOKUP(D655,'Detail Balok'!$C$10:$AU$140,30,FALSE)</f>
        <v>16</v>
      </c>
      <c r="G672" s="388"/>
      <c r="H672" s="395"/>
      <c r="I672" s="388" t="s">
        <v>203</v>
      </c>
      <c r="J672" s="399">
        <f t="shared" si="1886"/>
        <v>1</v>
      </c>
      <c r="K672" s="400" t="s">
        <v>204</v>
      </c>
      <c r="L672" s="399">
        <f t="shared" ref="L672" si="2093">MAX(VLOOKUP(F672,N$6:P$15,3,FALSE)/1000,2/3*D660/1000)+F$16*F672/1000</f>
        <v>0.192</v>
      </c>
      <c r="M672" s="399" t="s">
        <v>176</v>
      </c>
      <c r="N672" s="399">
        <f t="shared" si="2081"/>
        <v>1.1919999999999999</v>
      </c>
      <c r="O672" s="399" t="s">
        <v>204</v>
      </c>
      <c r="P672" s="389">
        <f t="shared" ref="P672" si="2094">D672-D671</f>
        <v>0</v>
      </c>
      <c r="Q672" s="399" t="s">
        <v>125</v>
      </c>
      <c r="R672" s="399">
        <f t="shared" ref="R672" si="2095">IF(P672&gt;0,$F$18*F672/1000,0)</f>
        <v>0</v>
      </c>
      <c r="S672" s="399" t="s">
        <v>205</v>
      </c>
      <c r="T672" s="399" t="s">
        <v>125</v>
      </c>
      <c r="U672" s="401">
        <f t="shared" si="2084"/>
        <v>1.5782400000000001</v>
      </c>
      <c r="V672" s="399"/>
      <c r="W672" s="399"/>
      <c r="X672" s="399" t="s">
        <v>125</v>
      </c>
      <c r="Y672" s="389">
        <f t="shared" ref="Y672" si="2096">D661</f>
        <v>1</v>
      </c>
      <c r="Z672" s="400" t="s">
        <v>176</v>
      </c>
      <c r="AA672" s="402">
        <f t="shared" ref="AA672" si="2097">IF(AA673=0,(D672*N672+P672*R672)*U672*Y672,0)</f>
        <v>0</v>
      </c>
      <c r="AB672" s="403"/>
    </row>
    <row r="673" spans="1:28">
      <c r="A673" s="384" t="str">
        <f t="shared" ref="A673:B673" si="2098">A655</f>
        <v>Lantai 1</v>
      </c>
      <c r="B673" s="385">
        <f t="shared" si="2098"/>
        <v>21</v>
      </c>
      <c r="C673" s="393"/>
      <c r="D673" s="398">
        <f t="shared" si="1906"/>
        <v>3</v>
      </c>
      <c r="E673" s="388" t="s">
        <v>16</v>
      </c>
      <c r="F673" s="388">
        <f t="shared" si="1907"/>
        <v>16</v>
      </c>
      <c r="G673" s="388"/>
      <c r="H673" s="395"/>
      <c r="I673" s="388"/>
      <c r="J673" s="396"/>
      <c r="K673" s="396"/>
      <c r="L673" s="404" t="s">
        <v>207</v>
      </c>
      <c r="M673" s="399" t="s">
        <v>176</v>
      </c>
      <c r="N673" s="399">
        <f t="shared" ref="N673" si="2099">IF(AND(D670=D671,D670=D672,D671=D672,F670=F671,F670=F672,F671=F672),SUM(N670:N672),0)</f>
        <v>4.3840000000000003</v>
      </c>
      <c r="O673" s="399" t="s">
        <v>204</v>
      </c>
      <c r="P673" s="389">
        <f t="shared" ref="P673" si="2100">IF(N673&gt;12,ROUNDDOWN(N673/12,0),0)</f>
        <v>0</v>
      </c>
      <c r="Q673" s="399" t="s">
        <v>125</v>
      </c>
      <c r="R673" s="399">
        <f t="shared" ref="R673" si="2101">IF(P673&gt;0,MAX(VLOOKUP(F673,$D$6:$G$15,3,FALSE),600),0)/1000</f>
        <v>0</v>
      </c>
      <c r="S673" s="396"/>
      <c r="T673" s="396" t="s">
        <v>125</v>
      </c>
      <c r="U673" s="401">
        <f t="shared" si="1911"/>
        <v>1.5782400000000001</v>
      </c>
      <c r="V673" s="396" t="s">
        <v>125</v>
      </c>
      <c r="W673" s="399">
        <f t="shared" ref="W673" si="2102">D673</f>
        <v>3</v>
      </c>
      <c r="X673" s="399" t="s">
        <v>125</v>
      </c>
      <c r="Y673" s="389">
        <f t="shared" si="1913"/>
        <v>1</v>
      </c>
      <c r="Z673" s="400" t="s">
        <v>176</v>
      </c>
      <c r="AA673" s="402">
        <f t="shared" ref="AA673" si="2103">(N673+P673*R673/1000)*U673*W673*Y673</f>
        <v>20.757012480000004</v>
      </c>
      <c r="AB673" s="403"/>
    </row>
    <row r="674" spans="1:28">
      <c r="A674" s="384"/>
      <c r="B674" s="385"/>
      <c r="C674" s="393"/>
      <c r="D674" s="394"/>
      <c r="E674" s="388"/>
      <c r="F674" s="388"/>
      <c r="G674" s="388"/>
      <c r="H674" s="395"/>
      <c r="I674" s="388"/>
      <c r="J674" s="399"/>
      <c r="K674" s="396"/>
      <c r="L674" s="396"/>
      <c r="M674" s="396"/>
      <c r="N674" s="396"/>
      <c r="O674" s="396"/>
      <c r="P674" s="389"/>
      <c r="Q674" s="396"/>
      <c r="R674" s="396"/>
      <c r="S674" s="396"/>
      <c r="T674" s="396"/>
      <c r="U674" s="401"/>
      <c r="V674" s="396"/>
      <c r="W674" s="388"/>
      <c r="X674" s="396"/>
      <c r="Y674" s="389"/>
      <c r="Z674" s="396"/>
      <c r="AA674" s="388"/>
      <c r="AB674" s="390"/>
    </row>
    <row r="675" spans="1:28">
      <c r="A675" s="384" t="str">
        <f t="shared" ref="A675:B675" si="2104">A655</f>
        <v>Lantai 1</v>
      </c>
      <c r="B675" s="385">
        <f t="shared" si="2104"/>
        <v>21</v>
      </c>
      <c r="C675" s="393" t="s">
        <v>211</v>
      </c>
      <c r="D675" s="398">
        <f>VLOOKUP(D655,'Detail Balok'!$C$10:$AU$140,31,FALSE)</f>
        <v>0</v>
      </c>
      <c r="E675" s="388" t="s">
        <v>16</v>
      </c>
      <c r="F675" s="388">
        <f>VLOOKUP(D655,'Detail Balok'!$C$10:$AU$140,33,FALSE)</f>
        <v>8</v>
      </c>
      <c r="G675" s="405" t="s">
        <v>157</v>
      </c>
      <c r="H675" s="395">
        <f>VLOOKUP(D655,'Detail Balok'!$C$10:$AU$140,35,FALSE)</f>
        <v>150</v>
      </c>
      <c r="I675" s="388"/>
      <c r="J675" s="400">
        <f t="shared" ref="J675" si="2105">(IF(D675=0,(2*(D656+G656))-(F$5*8),IF(D675=3,(2*(D656+G656))-(F$5*8)+(G656-2*F$5),IF(D675=4,(2*(D656+G656))-(F$5*8)+2*(G656-2*F$5)))))/1000</f>
        <v>0.88</v>
      </c>
      <c r="K675" s="400" t="s">
        <v>204</v>
      </c>
      <c r="L675" s="399">
        <f t="shared" ref="L675:L677" si="2106">IF(D675=0,2*MAX(6*F675,75),(D675-1)*2*MAX(6*F675,75))/1000</f>
        <v>0.15</v>
      </c>
      <c r="M675" s="399" t="s">
        <v>176</v>
      </c>
      <c r="N675" s="399">
        <f t="shared" ref="N675:N677" si="2107">J675+L675</f>
        <v>1.03</v>
      </c>
      <c r="O675" s="399"/>
      <c r="P675" s="389"/>
      <c r="Q675" s="399"/>
      <c r="R675" s="399"/>
      <c r="S675" s="399"/>
      <c r="T675" s="399" t="s">
        <v>125</v>
      </c>
      <c r="U675" s="401">
        <f t="shared" ref="U675:U677" si="2108">0.006165*F675^2</f>
        <v>0.39456000000000002</v>
      </c>
      <c r="V675" s="399" t="s">
        <v>125</v>
      </c>
      <c r="W675" s="399">
        <f t="shared" ref="W675" si="2109">IF(D658&gt;4*G656,ROUND(MAX(D658/4,2*G656)/H675,0)+1,ROUND(D658/H675,0)+1)</f>
        <v>8</v>
      </c>
      <c r="X675" s="399" t="s">
        <v>125</v>
      </c>
      <c r="Y675" s="389">
        <f t="shared" ref="Y675" si="2110">D661</f>
        <v>1</v>
      </c>
      <c r="Z675" s="400" t="s">
        <v>176</v>
      </c>
      <c r="AA675" s="402">
        <f t="shared" ref="AA675:AA677" si="2111">N675*U675*W675*Y675</f>
        <v>3.2511744000000005</v>
      </c>
      <c r="AB675" s="403"/>
    </row>
    <row r="676" spans="1:28">
      <c r="A676" s="384" t="str">
        <f t="shared" ref="A676:B676" si="2112">A655</f>
        <v>Lantai 1</v>
      </c>
      <c r="B676" s="385">
        <f t="shared" si="2112"/>
        <v>21</v>
      </c>
      <c r="C676" s="393" t="s">
        <v>212</v>
      </c>
      <c r="D676" s="398">
        <f>VLOOKUP(D655,'Detail Balok'!$C$10:$AU$140,36,FALSE)</f>
        <v>0</v>
      </c>
      <c r="E676" s="388" t="s">
        <v>16</v>
      </c>
      <c r="F676" s="388">
        <f>VLOOKUP(D655,'Detail Balok'!$C$10:$AU$140,38,FALSE)</f>
        <v>8</v>
      </c>
      <c r="G676" s="405" t="s">
        <v>157</v>
      </c>
      <c r="H676" s="395">
        <f>VLOOKUP(D655,'Detail Balok'!$C$10:$AU$140,40,FALSE)</f>
        <v>200</v>
      </c>
      <c r="I676" s="388"/>
      <c r="J676" s="400">
        <f t="shared" ref="J676" si="2113">(IF(D676=0,(2*(D656+G656))-(F$5*8),IF(D676=3,(2*(D656+G656))-(F$5*8)+(G656-2*F$5),IF(D676=4,(2*(D656+G656))-(F$5*8)+2*(G656-2*F$5)))))/1000</f>
        <v>0.88</v>
      </c>
      <c r="K676" s="400" t="s">
        <v>204</v>
      </c>
      <c r="L676" s="399">
        <f t="shared" si="2106"/>
        <v>0.15</v>
      </c>
      <c r="M676" s="399" t="s">
        <v>176</v>
      </c>
      <c r="N676" s="399">
        <f t="shared" si="2107"/>
        <v>1.03</v>
      </c>
      <c r="O676" s="399"/>
      <c r="P676" s="389"/>
      <c r="Q676" s="399"/>
      <c r="R676" s="399"/>
      <c r="S676" s="399"/>
      <c r="T676" s="399" t="s">
        <v>125</v>
      </c>
      <c r="U676" s="401">
        <f t="shared" si="2108"/>
        <v>0.39456000000000002</v>
      </c>
      <c r="V676" s="399" t="s">
        <v>125</v>
      </c>
      <c r="W676" s="399">
        <f t="shared" ref="W676" si="2114">IF(D658-MAX(D658/4,2*G656)*2&gt;0,ROUND((D658-MAX(D658/4,2*G656)*2)/H676,0),0)</f>
        <v>10</v>
      </c>
      <c r="X676" s="399" t="s">
        <v>125</v>
      </c>
      <c r="Y676" s="389">
        <f t="shared" ref="Y676" si="2115">D661</f>
        <v>1</v>
      </c>
      <c r="Z676" s="400" t="s">
        <v>176</v>
      </c>
      <c r="AA676" s="402">
        <f t="shared" si="2111"/>
        <v>4.0639680000000009</v>
      </c>
      <c r="AB676" s="403"/>
    </row>
    <row r="677" spans="1:28">
      <c r="A677" s="384" t="str">
        <f t="shared" ref="A677:B677" si="2116">A655</f>
        <v>Lantai 1</v>
      </c>
      <c r="B677" s="385">
        <f t="shared" si="2116"/>
        <v>21</v>
      </c>
      <c r="C677" s="393" t="s">
        <v>211</v>
      </c>
      <c r="D677" s="398">
        <f>VLOOKUP(D655,'Detail Balok'!$C$10:$AU$140,41,FALSE)</f>
        <v>0</v>
      </c>
      <c r="E677" s="388" t="s">
        <v>16</v>
      </c>
      <c r="F677" s="388">
        <f>VLOOKUP(D655,'Detail Balok'!$C$10:$AU$140,43,FALSE)</f>
        <v>8</v>
      </c>
      <c r="G677" s="405" t="s">
        <v>157</v>
      </c>
      <c r="H677" s="395">
        <f>VLOOKUP(D655,'Detail Balok'!$C$10:$AU$140,45,FALSE)</f>
        <v>150</v>
      </c>
      <c r="I677" s="388"/>
      <c r="J677" s="400">
        <f t="shared" ref="J677" si="2117">(IF(D677=0,(2*(D656+G656))-(F$5*8),IF(D677=3,(2*(D656+G656))-(F$5*8)+(G656-2*F$5),IF(D677=4,(2*(D656+G656))-(F$5*8)+2*(G656-2*F$5)))))/1000</f>
        <v>0.88</v>
      </c>
      <c r="K677" s="400" t="s">
        <v>204</v>
      </c>
      <c r="L677" s="399">
        <f t="shared" si="2106"/>
        <v>0.15</v>
      </c>
      <c r="M677" s="399" t="s">
        <v>176</v>
      </c>
      <c r="N677" s="399">
        <f t="shared" si="2107"/>
        <v>1.03</v>
      </c>
      <c r="O677" s="399"/>
      <c r="P677" s="389"/>
      <c r="Q677" s="399"/>
      <c r="R677" s="399"/>
      <c r="S677" s="399"/>
      <c r="T677" s="399" t="s">
        <v>125</v>
      </c>
      <c r="U677" s="401">
        <f t="shared" si="2108"/>
        <v>0.39456000000000002</v>
      </c>
      <c r="V677" s="399" t="s">
        <v>125</v>
      </c>
      <c r="W677" s="399">
        <f t="shared" ref="W677" si="2118">IF(D658&gt;4*G656,ROUND(MAX(D658/4,2*G656)/H677,0)+1,0)</f>
        <v>8</v>
      </c>
      <c r="X677" s="399" t="s">
        <v>125</v>
      </c>
      <c r="Y677" s="389">
        <f t="shared" ref="Y677" si="2119">D661</f>
        <v>1</v>
      </c>
      <c r="Z677" s="400" t="s">
        <v>176</v>
      </c>
      <c r="AA677" s="402">
        <f t="shared" si="2111"/>
        <v>3.2511744000000005</v>
      </c>
      <c r="AB677" s="403"/>
    </row>
    <row r="678" spans="1:28">
      <c r="A678" s="384"/>
      <c r="B678" s="385"/>
      <c r="C678" s="393"/>
      <c r="D678" s="394"/>
      <c r="E678" s="388"/>
      <c r="F678" s="388"/>
      <c r="G678" s="388"/>
      <c r="H678" s="395"/>
      <c r="I678" s="388"/>
      <c r="J678" s="399"/>
      <c r="K678" s="396"/>
      <c r="L678" s="396"/>
      <c r="M678" s="396"/>
      <c r="N678" s="396"/>
      <c r="O678" s="396"/>
      <c r="P678" s="389"/>
      <c r="Q678" s="396"/>
      <c r="R678" s="396"/>
      <c r="S678" s="396"/>
      <c r="T678" s="396"/>
      <c r="U678" s="401"/>
      <c r="V678" s="396"/>
      <c r="W678" s="388"/>
      <c r="X678" s="396"/>
      <c r="Y678" s="389"/>
      <c r="Z678" s="396"/>
      <c r="AA678" s="388"/>
      <c r="AB678" s="390"/>
    </row>
    <row r="679" spans="1:28">
      <c r="A679" s="384" t="str">
        <f t="shared" ref="A679:B679" si="2120">A655</f>
        <v>Lantai 1</v>
      </c>
      <c r="B679" s="385">
        <f t="shared" si="2120"/>
        <v>21</v>
      </c>
      <c r="C679" s="393" t="s">
        <v>213</v>
      </c>
      <c r="D679" s="398">
        <f>VLOOKUP(D655,'Detail Balok'!$C$10:$BJ$140,46,FALSE)</f>
        <v>0</v>
      </c>
      <c r="E679" s="388" t="s">
        <v>16</v>
      </c>
      <c r="F679" s="388">
        <f>VLOOKUP(D655,'Detail Balok'!$C$10:$BJ$140,48,FALSE)</f>
        <v>0</v>
      </c>
      <c r="G679" s="405" t="s">
        <v>157</v>
      </c>
      <c r="H679" s="395">
        <f>VLOOKUP(D655,'Detail Balok'!$C$10:$BJ$140,50,FALSE)</f>
        <v>100</v>
      </c>
      <c r="I679" s="388"/>
      <c r="J679" s="399">
        <f t="shared" ref="J679" si="2121">(D656-2*F$5)/1000</f>
        <v>0.12</v>
      </c>
      <c r="K679" s="400" t="s">
        <v>204</v>
      </c>
      <c r="L679" s="399">
        <f t="shared" ref="L679:L681" si="2122">IF(D679=0,2*MAX(6*F679,75),(D679-1)*2*MAX(6*F679,75))/1000</f>
        <v>0.15</v>
      </c>
      <c r="M679" s="399" t="s">
        <v>176</v>
      </c>
      <c r="N679" s="399">
        <f t="shared" ref="N679:N681" si="2123">J679+L679</f>
        <v>0.27</v>
      </c>
      <c r="O679" s="399"/>
      <c r="P679" s="399"/>
      <c r="Q679" s="399"/>
      <c r="R679" s="399"/>
      <c r="S679" s="399"/>
      <c r="T679" s="399" t="s">
        <v>125</v>
      </c>
      <c r="U679" s="401">
        <f t="shared" ref="U679:U681" si="2124">0.006165*F679^2</f>
        <v>0</v>
      </c>
      <c r="V679" s="399" t="s">
        <v>125</v>
      </c>
      <c r="W679" s="399">
        <f t="shared" si="1936"/>
        <v>8</v>
      </c>
      <c r="X679" s="399" t="s">
        <v>125</v>
      </c>
      <c r="Y679" s="389">
        <f t="shared" ref="Y679" si="2125">D665</f>
        <v>3</v>
      </c>
      <c r="Z679" s="400" t="s">
        <v>176</v>
      </c>
      <c r="AA679" s="402">
        <f t="shared" ref="AA679:AA681" si="2126">N679*U679*W679*Y679</f>
        <v>0</v>
      </c>
      <c r="AB679" s="403"/>
    </row>
    <row r="680" spans="1:28">
      <c r="A680" s="384" t="str">
        <f t="shared" ref="A680:B680" si="2127">A655</f>
        <v>Lantai 1</v>
      </c>
      <c r="B680" s="385">
        <f t="shared" si="2127"/>
        <v>21</v>
      </c>
      <c r="C680" s="393" t="s">
        <v>214</v>
      </c>
      <c r="D680" s="398">
        <f>VLOOKUP(D655,'Detail Balok'!$C$10:$BJ$140,51,FALSE)</f>
        <v>0</v>
      </c>
      <c r="E680" s="388" t="s">
        <v>16</v>
      </c>
      <c r="F680" s="388">
        <f>VLOOKUP(D655,'Detail Balok'!$C$10:$BJ$140,53,FALSE)</f>
        <v>0</v>
      </c>
      <c r="G680" s="405" t="s">
        <v>157</v>
      </c>
      <c r="H680" s="395">
        <f>VLOOKUP(D655,'Detail Balok'!$C$10:$BJ$140,55,FALSE)</f>
        <v>100</v>
      </c>
      <c r="I680" s="388"/>
      <c r="J680" s="399">
        <f t="shared" ref="J680" si="2128">(D656-2*F$5)/1000</f>
        <v>0.12</v>
      </c>
      <c r="K680" s="400" t="s">
        <v>204</v>
      </c>
      <c r="L680" s="399">
        <f t="shared" si="2122"/>
        <v>0.15</v>
      </c>
      <c r="M680" s="399" t="s">
        <v>176</v>
      </c>
      <c r="N680" s="399">
        <f t="shared" si="2123"/>
        <v>0.27</v>
      </c>
      <c r="O680" s="399"/>
      <c r="P680" s="399"/>
      <c r="Q680" s="399"/>
      <c r="R680" s="399"/>
      <c r="S680" s="399"/>
      <c r="T680" s="399" t="s">
        <v>125</v>
      </c>
      <c r="U680" s="401">
        <f t="shared" si="2124"/>
        <v>0</v>
      </c>
      <c r="V680" s="399" t="s">
        <v>125</v>
      </c>
      <c r="W680" s="399">
        <f t="shared" si="1936"/>
        <v>10</v>
      </c>
      <c r="X680" s="399" t="s">
        <v>125</v>
      </c>
      <c r="Y680" s="389">
        <f t="shared" ref="Y680" si="2129">D665</f>
        <v>3</v>
      </c>
      <c r="Z680" s="400" t="s">
        <v>176</v>
      </c>
      <c r="AA680" s="402">
        <f t="shared" si="2126"/>
        <v>0</v>
      </c>
      <c r="AB680" s="403"/>
    </row>
    <row r="681" spans="1:28">
      <c r="A681" s="384" t="str">
        <f t="shared" ref="A681:B681" si="2130">A655</f>
        <v>Lantai 1</v>
      </c>
      <c r="B681" s="385">
        <f t="shared" si="2130"/>
        <v>21</v>
      </c>
      <c r="C681" s="393" t="s">
        <v>213</v>
      </c>
      <c r="D681" s="398">
        <f>VLOOKUP(D655,'Detail Balok'!$C$10:$BJ$140,56,FALSE)</f>
        <v>0</v>
      </c>
      <c r="E681" s="388" t="s">
        <v>16</v>
      </c>
      <c r="F681" s="388">
        <f>VLOOKUP(D655,'Detail Balok'!$C$10:$BJ$140,58,FALSE)</f>
        <v>0</v>
      </c>
      <c r="G681" s="405" t="s">
        <v>157</v>
      </c>
      <c r="H681" s="395">
        <f>VLOOKUP(D655,'Detail Balok'!$C$10:$BJ$140,60,FALSE)</f>
        <v>100</v>
      </c>
      <c r="I681" s="388"/>
      <c r="J681" s="399">
        <f t="shared" ref="J681" si="2131">(D656-2*F$5)/1000</f>
        <v>0.12</v>
      </c>
      <c r="K681" s="400" t="s">
        <v>204</v>
      </c>
      <c r="L681" s="399">
        <f t="shared" si="2122"/>
        <v>0.15</v>
      </c>
      <c r="M681" s="399" t="s">
        <v>176</v>
      </c>
      <c r="N681" s="399">
        <f t="shared" si="2123"/>
        <v>0.27</v>
      </c>
      <c r="O681" s="399"/>
      <c r="P681" s="399"/>
      <c r="Q681" s="399"/>
      <c r="R681" s="399"/>
      <c r="S681" s="399"/>
      <c r="T681" s="399" t="s">
        <v>125</v>
      </c>
      <c r="U681" s="401">
        <f t="shared" si="2124"/>
        <v>0</v>
      </c>
      <c r="V681" s="399" t="s">
        <v>125</v>
      </c>
      <c r="W681" s="399">
        <f t="shared" si="1936"/>
        <v>8</v>
      </c>
      <c r="X681" s="399" t="s">
        <v>125</v>
      </c>
      <c r="Y681" s="389">
        <f t="shared" ref="Y681" si="2132">D665</f>
        <v>3</v>
      </c>
      <c r="Z681" s="400" t="s">
        <v>176</v>
      </c>
      <c r="AA681" s="402">
        <f t="shared" si="2126"/>
        <v>0</v>
      </c>
      <c r="AB681" s="403"/>
    </row>
    <row r="682" spans="1:28">
      <c r="A682" s="391"/>
      <c r="B682" s="392"/>
      <c r="C682" s="392"/>
      <c r="D682" s="394"/>
      <c r="E682" s="388"/>
      <c r="F682" s="388"/>
      <c r="G682" s="388"/>
      <c r="H682" s="395"/>
      <c r="I682" s="388"/>
      <c r="J682" s="402"/>
      <c r="K682" s="388"/>
      <c r="L682" s="388"/>
      <c r="M682" s="388"/>
      <c r="N682" s="388"/>
      <c r="O682" s="388"/>
      <c r="P682" s="388"/>
      <c r="Q682" s="388"/>
      <c r="R682" s="388"/>
      <c r="S682" s="388"/>
      <c r="T682" s="388"/>
      <c r="U682" s="388"/>
      <c r="V682" s="388"/>
      <c r="W682" s="388"/>
      <c r="X682" s="388"/>
      <c r="Y682" s="389"/>
      <c r="Z682" s="388"/>
      <c r="AA682" s="402"/>
      <c r="AB682" s="403"/>
    </row>
    <row r="683" spans="1:28" ht="15.75" thickBot="1">
      <c r="A683" s="406"/>
      <c r="B683" s="407"/>
      <c r="C683" s="407"/>
      <c r="D683" s="408"/>
      <c r="E683" s="409"/>
      <c r="F683" s="409"/>
      <c r="G683" s="409"/>
      <c r="H683" s="410"/>
      <c r="I683" s="409"/>
      <c r="J683" s="409"/>
      <c r="K683" s="409"/>
      <c r="L683" s="409"/>
      <c r="M683" s="409"/>
      <c r="N683" s="409"/>
      <c r="O683" s="409"/>
      <c r="P683" s="409"/>
      <c r="Q683" s="409"/>
      <c r="R683" s="409"/>
      <c r="S683" s="409"/>
      <c r="T683" s="409"/>
      <c r="U683" s="409"/>
      <c r="V683" s="409"/>
      <c r="W683" s="409"/>
      <c r="X683" s="409"/>
      <c r="Y683" s="411"/>
      <c r="Z683" s="409"/>
      <c r="AA683" s="412"/>
      <c r="AB683" s="413"/>
    </row>
    <row r="684" spans="1:28">
      <c r="A684" s="377"/>
      <c r="B684" s="378"/>
      <c r="C684" s="378"/>
      <c r="D684" s="379"/>
      <c r="E684" s="380"/>
      <c r="F684" s="380"/>
      <c r="G684" s="380"/>
      <c r="H684" s="381"/>
      <c r="I684" s="380"/>
      <c r="J684" s="380"/>
      <c r="K684" s="380"/>
      <c r="L684" s="380"/>
      <c r="M684" s="380"/>
      <c r="N684" s="380"/>
      <c r="O684" s="380"/>
      <c r="P684" s="380"/>
      <c r="Q684" s="380"/>
      <c r="R684" s="380"/>
      <c r="S684" s="380"/>
      <c r="T684" s="380"/>
      <c r="U684" s="380"/>
      <c r="V684" s="380"/>
      <c r="W684" s="380"/>
      <c r="X684" s="380"/>
      <c r="Y684" s="382"/>
      <c r="Z684" s="380"/>
      <c r="AA684" s="380"/>
      <c r="AB684" s="383"/>
    </row>
    <row r="685" spans="1:28">
      <c r="A685" s="384" t="str">
        <f t="shared" si="1945"/>
        <v>Lantai 1</v>
      </c>
      <c r="B685" s="385">
        <f t="shared" si="1946"/>
        <v>22</v>
      </c>
      <c r="C685" s="386" t="str">
        <f t="shared" ref="C685" si="2133">CONCATENATE(A685," no. ",B685)</f>
        <v>Lantai 1 no. 22</v>
      </c>
      <c r="D685" s="2562" t="str">
        <f>VLOOKUP(C685,'Data Panjang Balok'!$C$9:$N$254,2,FALSE)</f>
        <v>S24-1</v>
      </c>
      <c r="E685" s="2576"/>
      <c r="F685" s="2576"/>
      <c r="G685" s="2576"/>
      <c r="H685" s="2577"/>
      <c r="I685" s="387"/>
      <c r="J685" s="388"/>
      <c r="K685" s="388"/>
      <c r="L685" s="388"/>
      <c r="M685" s="388"/>
      <c r="N685" s="388"/>
      <c r="O685" s="388"/>
      <c r="P685" s="388"/>
      <c r="Q685" s="388"/>
      <c r="R685" s="388"/>
      <c r="S685" s="388"/>
      <c r="T685" s="388"/>
      <c r="U685" s="388"/>
      <c r="V685" s="388"/>
      <c r="W685" s="388"/>
      <c r="X685" s="388"/>
      <c r="Y685" s="389"/>
      <c r="Z685" s="388"/>
      <c r="AA685" s="388"/>
      <c r="AB685" s="390"/>
    </row>
    <row r="686" spans="1:28">
      <c r="A686" s="391"/>
      <c r="B686" s="392"/>
      <c r="C686" s="393" t="s">
        <v>118</v>
      </c>
      <c r="D686" s="2578">
        <f>VLOOKUP(D685,'Detail Balok'!$C$10:$AU$140,2,FALSE)</f>
        <v>200</v>
      </c>
      <c r="E686" s="2579"/>
      <c r="F686" s="388" t="s">
        <v>125</v>
      </c>
      <c r="G686" s="2579">
        <f>VLOOKUP(D685,'Detail Balok'!$C$10:$AU$140,3,FALSE)</f>
        <v>400</v>
      </c>
      <c r="H686" s="2580"/>
      <c r="I686" s="388"/>
      <c r="J686" s="396"/>
      <c r="K686" s="396"/>
      <c r="L686" s="396"/>
      <c r="M686" s="396"/>
      <c r="N686" s="396"/>
      <c r="O686" s="396"/>
      <c r="P686" s="396"/>
      <c r="Q686" s="396"/>
      <c r="R686" s="396"/>
      <c r="S686" s="396"/>
      <c r="T686" s="396"/>
      <c r="U686" s="388"/>
      <c r="V686" s="396"/>
      <c r="W686" s="388"/>
      <c r="X686" s="396"/>
      <c r="Y686" s="389"/>
      <c r="Z686" s="396"/>
      <c r="AA686" s="388"/>
      <c r="AB686" s="390"/>
    </row>
    <row r="687" spans="1:28">
      <c r="A687" s="391"/>
      <c r="B687" s="392"/>
      <c r="C687" s="393" t="s">
        <v>198</v>
      </c>
      <c r="D687" s="2562">
        <f>VLOOKUP(C685,'Data Panjang Balok'!$C$9:$N$254,4,FALSE)</f>
        <v>1600</v>
      </c>
      <c r="E687" s="2563"/>
      <c r="F687" s="2563"/>
      <c r="G687" s="2563"/>
      <c r="H687" s="2564"/>
      <c r="I687" s="397"/>
      <c r="J687" s="396"/>
      <c r="K687" s="396"/>
      <c r="L687" s="396"/>
      <c r="M687" s="396"/>
      <c r="N687" s="396"/>
      <c r="O687" s="396"/>
      <c r="P687" s="396"/>
      <c r="Q687" s="396"/>
      <c r="R687" s="396"/>
      <c r="S687" s="396"/>
      <c r="T687" s="396"/>
      <c r="U687" s="388"/>
      <c r="V687" s="396"/>
      <c r="W687" s="388"/>
      <c r="X687" s="396"/>
      <c r="Y687" s="389"/>
      <c r="Z687" s="396"/>
      <c r="AA687" s="388"/>
      <c r="AB687" s="390"/>
    </row>
    <row r="688" spans="1:28">
      <c r="A688" s="391"/>
      <c r="B688" s="392"/>
      <c r="C688" s="393" t="s">
        <v>199</v>
      </c>
      <c r="D688" s="2562">
        <f>VLOOKUP(C685,'Data Panjang Balok'!$C$9:$N$254,7,FALSE)</f>
        <v>1600</v>
      </c>
      <c r="E688" s="2563"/>
      <c r="F688" s="2563"/>
      <c r="G688" s="2563"/>
      <c r="H688" s="2564"/>
      <c r="I688" s="397"/>
      <c r="J688" s="396"/>
      <c r="K688" s="396"/>
      <c r="L688" s="396"/>
      <c r="M688" s="396"/>
      <c r="N688" s="396"/>
      <c r="O688" s="396"/>
      <c r="P688" s="396"/>
      <c r="Q688" s="396"/>
      <c r="R688" s="396"/>
      <c r="S688" s="396"/>
      <c r="T688" s="396"/>
      <c r="U688" s="388"/>
      <c r="V688" s="396"/>
      <c r="W688" s="388"/>
      <c r="X688" s="396"/>
      <c r="Y688" s="389"/>
      <c r="Z688" s="396"/>
      <c r="AA688" s="388"/>
      <c r="AB688" s="390"/>
    </row>
    <row r="689" spans="1:28">
      <c r="A689" s="391"/>
      <c r="B689" s="392"/>
      <c r="C689" s="393" t="s">
        <v>200</v>
      </c>
      <c r="D689" s="2562">
        <f>VLOOKUP(C685,'Data Panjang Balok'!$C$9:$N$254,9,FALSE)</f>
        <v>0</v>
      </c>
      <c r="E689" s="2563"/>
      <c r="F689" s="2563"/>
      <c r="G689" s="2563"/>
      <c r="H689" s="2564"/>
      <c r="I689" s="397"/>
      <c r="J689" s="396"/>
      <c r="K689" s="396"/>
      <c r="L689" s="396"/>
      <c r="M689" s="396"/>
      <c r="N689" s="396"/>
      <c r="O689" s="396"/>
      <c r="P689" s="396"/>
      <c r="Q689" s="396"/>
      <c r="R689" s="396"/>
      <c r="S689" s="396"/>
      <c r="T689" s="396"/>
      <c r="U689" s="388"/>
      <c r="V689" s="396"/>
      <c r="W689" s="388"/>
      <c r="X689" s="396"/>
      <c r="Y689" s="389"/>
      <c r="Z689" s="396"/>
      <c r="AA689" s="388"/>
      <c r="AB689" s="390"/>
    </row>
    <row r="690" spans="1:28">
      <c r="A690" s="391"/>
      <c r="B690" s="392"/>
      <c r="C690" s="393" t="s">
        <v>201</v>
      </c>
      <c r="D690" s="2562">
        <f>VLOOKUP(C685,'Data Panjang Balok'!$C$9:$N$254,10,FALSE)</f>
        <v>0</v>
      </c>
      <c r="E690" s="2563"/>
      <c r="F690" s="2563"/>
      <c r="G690" s="2563"/>
      <c r="H690" s="2564"/>
      <c r="I690" s="397"/>
      <c r="J690" s="396"/>
      <c r="K690" s="396"/>
      <c r="L690" s="396"/>
      <c r="M690" s="396"/>
      <c r="N690" s="396"/>
      <c r="O690" s="396"/>
      <c r="P690" s="396"/>
      <c r="Q690" s="396"/>
      <c r="R690" s="396"/>
      <c r="S690" s="396"/>
      <c r="T690" s="396"/>
      <c r="U690" s="388"/>
      <c r="V690" s="396"/>
      <c r="W690" s="388"/>
      <c r="X690" s="396"/>
      <c r="Y690" s="389"/>
      <c r="Z690" s="396"/>
      <c r="AA690" s="388"/>
      <c r="AB690" s="390"/>
    </row>
    <row r="691" spans="1:28">
      <c r="A691" s="391"/>
      <c r="B691" s="392"/>
      <c r="C691" s="393" t="s">
        <v>48</v>
      </c>
      <c r="D691" s="2562">
        <f>VLOOKUP(C685,'Data Panjang Balok'!$C$9:$N$254,3,FALSE)</f>
        <v>1</v>
      </c>
      <c r="E691" s="2563"/>
      <c r="F691" s="2563"/>
      <c r="G691" s="2563"/>
      <c r="H691" s="2564"/>
      <c r="I691" s="397"/>
      <c r="J691" s="396"/>
      <c r="K691" s="396"/>
      <c r="L691" s="396"/>
      <c r="M691" s="396"/>
      <c r="N691" s="396"/>
      <c r="O691" s="396"/>
      <c r="P691" s="396"/>
      <c r="Q691" s="396"/>
      <c r="R691" s="396"/>
      <c r="S691" s="396"/>
      <c r="T691" s="396"/>
      <c r="U691" s="388"/>
      <c r="V691" s="396"/>
      <c r="W691" s="388"/>
      <c r="X691" s="396"/>
      <c r="Y691" s="389"/>
      <c r="Z691" s="396"/>
      <c r="AA691" s="388"/>
      <c r="AB691" s="390"/>
    </row>
    <row r="692" spans="1:28">
      <c r="A692" s="384" t="str">
        <f t="shared" ref="A692:B692" si="2134">A685</f>
        <v>Lantai 1</v>
      </c>
      <c r="B692" s="385">
        <f t="shared" si="2134"/>
        <v>22</v>
      </c>
      <c r="C692" s="393" t="s">
        <v>202</v>
      </c>
      <c r="D692" s="398">
        <f>VLOOKUP(D685,'Detail Balok'!$C$10:$AU$140,4,FALSE)</f>
        <v>3</v>
      </c>
      <c r="E692" s="388" t="s">
        <v>16</v>
      </c>
      <c r="F692" s="388">
        <f>VLOOKUP(D685,'Detail Balok'!$C$10:$AU$140,6,FALSE)</f>
        <v>13</v>
      </c>
      <c r="G692" s="388"/>
      <c r="H692" s="395"/>
      <c r="I692" s="388" t="s">
        <v>203</v>
      </c>
      <c r="J692" s="399">
        <f t="shared" ref="J692" si="2135">+D687/4/1000</f>
        <v>0.4</v>
      </c>
      <c r="K692" s="400" t="s">
        <v>204</v>
      </c>
      <c r="L692" s="399">
        <f t="shared" ref="L692" si="2136">MAX(VLOOKUP(F692,N$6:P$15,3,FALSE)/1000,2/3*D689/1000)+F$16*F692/1000</f>
        <v>0.156</v>
      </c>
      <c r="M692" s="399" t="s">
        <v>176</v>
      </c>
      <c r="N692" s="399">
        <f t="shared" ref="N692:N694" si="2137">J692+L692</f>
        <v>0.55600000000000005</v>
      </c>
      <c r="O692" s="399" t="s">
        <v>204</v>
      </c>
      <c r="P692" s="389">
        <f t="shared" ref="P692" si="2138">D692-D693</f>
        <v>0</v>
      </c>
      <c r="Q692" s="399" t="s">
        <v>125</v>
      </c>
      <c r="R692" s="399">
        <f t="shared" ref="R692" si="2139">IF(P692&gt;0,$F$18*F692/1000,0)</f>
        <v>0</v>
      </c>
      <c r="S692" s="399" t="s">
        <v>205</v>
      </c>
      <c r="T692" s="399" t="s">
        <v>125</v>
      </c>
      <c r="U692" s="401">
        <f t="shared" ref="U692:U694" si="2140">0.006165*F692^2</f>
        <v>1.041885</v>
      </c>
      <c r="V692" s="399"/>
      <c r="W692" s="399"/>
      <c r="X692" s="399" t="s">
        <v>125</v>
      </c>
      <c r="Y692" s="389">
        <f t="shared" ref="Y692" si="2141">D691</f>
        <v>1</v>
      </c>
      <c r="Z692" s="400" t="s">
        <v>176</v>
      </c>
      <c r="AA692" s="402">
        <f t="shared" ref="AA692" si="2142">IF(AA695=0,(D692*N692+P692*R692)*U692*Y692,0)</f>
        <v>0</v>
      </c>
      <c r="AB692" s="403"/>
    </row>
    <row r="693" spans="1:28">
      <c r="A693" s="384" t="str">
        <f t="shared" ref="A693:B693" si="2143">A685</f>
        <v>Lantai 1</v>
      </c>
      <c r="B693" s="385">
        <f t="shared" si="2143"/>
        <v>22</v>
      </c>
      <c r="C693" s="393" t="s">
        <v>206</v>
      </c>
      <c r="D693" s="398">
        <f>VLOOKUP(D685,'Detail Balok'!$C$10:$AU$140,7,FALSE)</f>
        <v>3</v>
      </c>
      <c r="E693" s="388" t="s">
        <v>16</v>
      </c>
      <c r="F693" s="388">
        <f>VLOOKUP(D685,'Detail Balok'!$C$10:$AU$140,9,FALSE)</f>
        <v>13</v>
      </c>
      <c r="G693" s="388"/>
      <c r="H693" s="395"/>
      <c r="I693" s="388" t="s">
        <v>203</v>
      </c>
      <c r="J693" s="399">
        <f t="shared" ref="J693" si="2144">+D687/2/1000</f>
        <v>0.8</v>
      </c>
      <c r="K693" s="400" t="s">
        <v>204</v>
      </c>
      <c r="L693" s="399"/>
      <c r="M693" s="399" t="s">
        <v>176</v>
      </c>
      <c r="N693" s="399">
        <f t="shared" si="2137"/>
        <v>0.8</v>
      </c>
      <c r="O693" s="399" t="s">
        <v>204</v>
      </c>
      <c r="P693" s="389">
        <f t="shared" ref="P693" si="2145">MAX(D693-D692,D693-D694)</f>
        <v>0</v>
      </c>
      <c r="Q693" s="399" t="s">
        <v>125</v>
      </c>
      <c r="R693" s="399">
        <f t="shared" ref="R693" si="2146">IF(P693&gt;0,2*(1-2*$F$19-1/2)*D688/1000,0)</f>
        <v>0</v>
      </c>
      <c r="S693" s="399" t="s">
        <v>205</v>
      </c>
      <c r="T693" s="399" t="s">
        <v>125</v>
      </c>
      <c r="U693" s="401">
        <f t="shared" si="2140"/>
        <v>1.041885</v>
      </c>
      <c r="V693" s="399"/>
      <c r="W693" s="399"/>
      <c r="X693" s="399" t="s">
        <v>125</v>
      </c>
      <c r="Y693" s="389">
        <f t="shared" ref="Y693" si="2147">D691</f>
        <v>1</v>
      </c>
      <c r="Z693" s="400" t="s">
        <v>176</v>
      </c>
      <c r="AA693" s="402">
        <f t="shared" ref="AA693" si="2148">IF(AA695=0,(D693*N693+P693*R693)*U693*Y693,0)</f>
        <v>0</v>
      </c>
      <c r="AB693" s="403"/>
    </row>
    <row r="694" spans="1:28">
      <c r="A694" s="384" t="str">
        <f t="shared" ref="A694:B694" si="2149">A685</f>
        <v>Lantai 1</v>
      </c>
      <c r="B694" s="385">
        <f t="shared" si="2149"/>
        <v>22</v>
      </c>
      <c r="C694" s="393" t="s">
        <v>202</v>
      </c>
      <c r="D694" s="398">
        <f>VLOOKUP(D685,'Detail Balok'!$C$10:$AU$140,10,FALSE)</f>
        <v>3</v>
      </c>
      <c r="E694" s="388" t="s">
        <v>16</v>
      </c>
      <c r="F694" s="388">
        <f>VLOOKUP(D685,'Detail Balok'!$C$10:$AU$140,12,FALSE)</f>
        <v>13</v>
      </c>
      <c r="G694" s="388"/>
      <c r="H694" s="395"/>
      <c r="I694" s="388" t="s">
        <v>203</v>
      </c>
      <c r="J694" s="399">
        <f t="shared" ref="J694" si="2150">+D687/4/1000</f>
        <v>0.4</v>
      </c>
      <c r="K694" s="400" t="s">
        <v>204</v>
      </c>
      <c r="L694" s="399">
        <f t="shared" ref="L694" si="2151">MAX(VLOOKUP(F694,N$6:P$15,3,FALSE)/1000,2/3*D689/1000)+F$16*F694/1000</f>
        <v>0.156</v>
      </c>
      <c r="M694" s="399" t="s">
        <v>176</v>
      </c>
      <c r="N694" s="399">
        <f t="shared" si="2137"/>
        <v>0.55600000000000005</v>
      </c>
      <c r="O694" s="399" t="s">
        <v>204</v>
      </c>
      <c r="P694" s="389">
        <f t="shared" ref="P694" si="2152">D694-D693</f>
        <v>0</v>
      </c>
      <c r="Q694" s="399" t="s">
        <v>125</v>
      </c>
      <c r="R694" s="399">
        <f t="shared" ref="R694" si="2153">IF(P694&gt;0,$F$18*F694/1000,0)</f>
        <v>0</v>
      </c>
      <c r="S694" s="399" t="s">
        <v>205</v>
      </c>
      <c r="T694" s="399" t="s">
        <v>125</v>
      </c>
      <c r="U694" s="401">
        <f t="shared" si="2140"/>
        <v>1.041885</v>
      </c>
      <c r="V694" s="399"/>
      <c r="W694" s="399"/>
      <c r="X694" s="399" t="s">
        <v>125</v>
      </c>
      <c r="Y694" s="389">
        <f t="shared" ref="Y694" si="2154">D691</f>
        <v>1</v>
      </c>
      <c r="Z694" s="400" t="s">
        <v>176</v>
      </c>
      <c r="AA694" s="402">
        <f t="shared" ref="AA694" si="2155">IF(AA695=0,(D694*N694+P694*R694)*U694*Y694,0)</f>
        <v>0</v>
      </c>
      <c r="AB694" s="403"/>
    </row>
    <row r="695" spans="1:28">
      <c r="A695" s="384" t="str">
        <f t="shared" ref="A695:B695" si="2156">A685</f>
        <v>Lantai 1</v>
      </c>
      <c r="B695" s="385">
        <f t="shared" si="2156"/>
        <v>22</v>
      </c>
      <c r="C695" s="393"/>
      <c r="D695" s="398">
        <f t="shared" ref="D695:D755" si="2157">IF(AND(D692=D693,D693=D694,D692=D694),D692,0)</f>
        <v>3</v>
      </c>
      <c r="E695" s="388" t="s">
        <v>16</v>
      </c>
      <c r="F695" s="388">
        <f t="shared" ref="F695:F755" si="2158">IF(AND(F692=F693,F692=F694,F693=F694),F692,0)</f>
        <v>13</v>
      </c>
      <c r="G695" s="388"/>
      <c r="H695" s="395"/>
      <c r="I695" s="388"/>
      <c r="J695" s="396"/>
      <c r="K695" s="396"/>
      <c r="L695" s="404" t="s">
        <v>207</v>
      </c>
      <c r="M695" s="399" t="s">
        <v>176</v>
      </c>
      <c r="N695" s="399">
        <f t="shared" ref="N695" si="2159">IF(AND(D692=D693,D692=D694,D693=D694,F692=F693,F692=F694,F693=F694),SUM(N692:N694),0)</f>
        <v>1.9120000000000001</v>
      </c>
      <c r="O695" s="399" t="s">
        <v>204</v>
      </c>
      <c r="P695" s="389">
        <f t="shared" ref="P695" si="2160">IF(N695&gt;12,ROUNDDOWN(N695/12,0),0)</f>
        <v>0</v>
      </c>
      <c r="Q695" s="399" t="s">
        <v>125</v>
      </c>
      <c r="R695" s="399">
        <f t="shared" ref="R695" si="2161">IF(P695&gt;0,MAX(VLOOKUP(F695,$D$6:$G$15,3,FALSE),600),0)/1000</f>
        <v>0</v>
      </c>
      <c r="S695" s="396"/>
      <c r="T695" s="396" t="s">
        <v>125</v>
      </c>
      <c r="U695" s="401">
        <f t="shared" ref="U695:U755" si="2162">U694</f>
        <v>1.041885</v>
      </c>
      <c r="V695" s="396" t="s">
        <v>125</v>
      </c>
      <c r="W695" s="399">
        <f t="shared" ref="W695" si="2163">D695</f>
        <v>3</v>
      </c>
      <c r="X695" s="399" t="s">
        <v>125</v>
      </c>
      <c r="Y695" s="389">
        <f t="shared" ref="Y695:Y755" si="2164">Y694</f>
        <v>1</v>
      </c>
      <c r="Z695" s="400" t="s">
        <v>176</v>
      </c>
      <c r="AA695" s="402">
        <f t="shared" ref="AA695" si="2165">(N695+P695*R695/1000)*U695*W695*Y695</f>
        <v>5.9762523600000002</v>
      </c>
      <c r="AB695" s="390"/>
    </row>
    <row r="696" spans="1:28">
      <c r="A696" s="384"/>
      <c r="B696" s="385"/>
      <c r="C696" s="393"/>
      <c r="D696" s="398"/>
      <c r="E696" s="388"/>
      <c r="F696" s="388"/>
      <c r="G696" s="388"/>
      <c r="H696" s="395"/>
      <c r="I696" s="388"/>
      <c r="J696" s="396"/>
      <c r="K696" s="396"/>
      <c r="L696" s="404"/>
      <c r="M696" s="399"/>
      <c r="N696" s="399"/>
      <c r="O696" s="396"/>
      <c r="P696" s="389"/>
      <c r="Q696" s="396"/>
      <c r="R696" s="396"/>
      <c r="S696" s="396"/>
      <c r="T696" s="396"/>
      <c r="U696" s="401"/>
      <c r="V696" s="396"/>
      <c r="W696" s="399"/>
      <c r="X696" s="396"/>
      <c r="Y696" s="389"/>
      <c r="Z696" s="396"/>
      <c r="AA696" s="388"/>
      <c r="AB696" s="390"/>
    </row>
    <row r="697" spans="1:28">
      <c r="A697" s="384" t="str">
        <f t="shared" ref="A697:B697" si="2166">A685</f>
        <v>Lantai 1</v>
      </c>
      <c r="B697" s="385">
        <f t="shared" si="2166"/>
        <v>22</v>
      </c>
      <c r="C697" s="393" t="s">
        <v>208</v>
      </c>
      <c r="D697" s="398">
        <f>VLOOKUP(D685,'Detail Balok'!$C$10:$AU$140,13,FALSE)</f>
        <v>0</v>
      </c>
      <c r="E697" s="388" t="s">
        <v>16</v>
      </c>
      <c r="F697" s="388">
        <f>VLOOKUP(D685,'Detail Balok'!$C$10:$AU$140,15,FALSE)</f>
        <v>8</v>
      </c>
      <c r="G697" s="388"/>
      <c r="H697" s="395"/>
      <c r="I697" s="388"/>
      <c r="J697" s="399">
        <f t="shared" ref="J697" si="2167">+D687/1000</f>
        <v>1.6</v>
      </c>
      <c r="K697" s="400" t="s">
        <v>204</v>
      </c>
      <c r="L697" s="399">
        <f t="shared" ref="L697" si="2168">2*$F$16*F697/1000</f>
        <v>0.192</v>
      </c>
      <c r="M697" s="399" t="s">
        <v>176</v>
      </c>
      <c r="N697" s="399">
        <f t="shared" ref="N697" si="2169">J697+L697</f>
        <v>1.792</v>
      </c>
      <c r="O697" s="399" t="s">
        <v>204</v>
      </c>
      <c r="P697" s="389">
        <f t="shared" ref="P697" si="2170">IF(N697&gt;12,ROUNDDOWN(N697/12,0),0)</f>
        <v>0</v>
      </c>
      <c r="Q697" s="399" t="s">
        <v>125</v>
      </c>
      <c r="R697" s="399">
        <f t="shared" ref="R697" si="2171">IF(P697&gt;0,MAX(VLOOKUP(F697,$D$6:$G$15,3,FALSE),600),0)/1000</f>
        <v>0</v>
      </c>
      <c r="S697" s="399"/>
      <c r="T697" s="399" t="s">
        <v>125</v>
      </c>
      <c r="U697" s="401">
        <f t="shared" ref="U697" si="2172">0.006165*F697^2</f>
        <v>0.39456000000000002</v>
      </c>
      <c r="V697" s="399" t="s">
        <v>125</v>
      </c>
      <c r="W697" s="399">
        <f t="shared" ref="W697" si="2173">+D697</f>
        <v>0</v>
      </c>
      <c r="X697" s="399" t="s">
        <v>125</v>
      </c>
      <c r="Y697" s="389">
        <f t="shared" ref="Y697" si="2174">D691</f>
        <v>1</v>
      </c>
      <c r="Z697" s="400" t="s">
        <v>176</v>
      </c>
      <c r="AA697" s="402">
        <f t="shared" ref="AA697" si="2175">(N697+P697*R697/1000)*U697*W697*Y697</f>
        <v>0</v>
      </c>
      <c r="AB697" s="403"/>
    </row>
    <row r="698" spans="1:28">
      <c r="A698" s="384"/>
      <c r="B698" s="385"/>
      <c r="C698" s="393"/>
      <c r="D698" s="398"/>
      <c r="E698" s="388"/>
      <c r="F698" s="388"/>
      <c r="G698" s="388"/>
      <c r="H698" s="395"/>
      <c r="I698" s="388"/>
      <c r="J698" s="399"/>
      <c r="K698" s="400"/>
      <c r="L698" s="399"/>
      <c r="M698" s="399"/>
      <c r="N698" s="399"/>
      <c r="O698" s="399"/>
      <c r="P698" s="389"/>
      <c r="Q698" s="399"/>
      <c r="R698" s="399"/>
      <c r="S698" s="399"/>
      <c r="T698" s="399"/>
      <c r="U698" s="401"/>
      <c r="V698" s="399"/>
      <c r="W698" s="399"/>
      <c r="X698" s="399"/>
      <c r="Y698" s="389"/>
      <c r="Z698" s="400"/>
      <c r="AA698" s="402"/>
      <c r="AB698" s="403"/>
    </row>
    <row r="699" spans="1:28">
      <c r="A699" s="384"/>
      <c r="B699" s="385"/>
      <c r="C699" s="393"/>
      <c r="D699" s="398"/>
      <c r="E699" s="388"/>
      <c r="F699" s="388"/>
      <c r="G699" s="388"/>
      <c r="H699" s="395"/>
      <c r="I699" s="388"/>
      <c r="J699" s="396"/>
      <c r="K699" s="396"/>
      <c r="L699" s="396"/>
      <c r="M699" s="396"/>
      <c r="N699" s="396"/>
      <c r="O699" s="396"/>
      <c r="P699" s="389"/>
      <c r="Q699" s="396"/>
      <c r="R699" s="396"/>
      <c r="S699" s="396"/>
      <c r="T699" s="396"/>
      <c r="U699" s="401"/>
      <c r="V699" s="396"/>
      <c r="W699" s="399"/>
      <c r="X699" s="396"/>
      <c r="Y699" s="389"/>
      <c r="Z699" s="396"/>
      <c r="AA699" s="388"/>
      <c r="AB699" s="390"/>
    </row>
    <row r="700" spans="1:28">
      <c r="A700" s="384" t="str">
        <f t="shared" ref="A700:B700" si="2176">A685</f>
        <v>Lantai 1</v>
      </c>
      <c r="B700" s="385">
        <f t="shared" si="2176"/>
        <v>22</v>
      </c>
      <c r="C700" s="393" t="s">
        <v>209</v>
      </c>
      <c r="D700" s="398">
        <f>VLOOKUP(D685,'Detail Balok'!$C$10:$AU$140,22,FALSE)</f>
        <v>3</v>
      </c>
      <c r="E700" s="388" t="s">
        <v>16</v>
      </c>
      <c r="F700" s="388">
        <f>VLOOKUP(D685,'Detail Balok'!$C$10:$AU$140,24,FALSE)</f>
        <v>13</v>
      </c>
      <c r="G700" s="388"/>
      <c r="H700" s="395"/>
      <c r="I700" s="388" t="s">
        <v>203</v>
      </c>
      <c r="J700" s="399">
        <f t="shared" ref="J700:J762" si="2177">+J692</f>
        <v>0.4</v>
      </c>
      <c r="K700" s="400" t="s">
        <v>204</v>
      </c>
      <c r="L700" s="399">
        <f t="shared" ref="L700" si="2178">MAX(VLOOKUP(F700,N$6:P$15,3,FALSE)/1000,2/3*D690/1000)+F$16*F700/1000</f>
        <v>0.156</v>
      </c>
      <c r="M700" s="399" t="s">
        <v>176</v>
      </c>
      <c r="N700" s="399">
        <f t="shared" ref="N700:N702" si="2179">J700+L700</f>
        <v>0.55600000000000005</v>
      </c>
      <c r="O700" s="399" t="s">
        <v>204</v>
      </c>
      <c r="P700" s="389">
        <f t="shared" ref="P700" si="2180">D700-D701</f>
        <v>0</v>
      </c>
      <c r="Q700" s="399" t="s">
        <v>125</v>
      </c>
      <c r="R700" s="399">
        <f t="shared" ref="R700" si="2181">IF(P700&gt;0,$F$18*F700/1000,0)</f>
        <v>0</v>
      </c>
      <c r="S700" s="399" t="s">
        <v>205</v>
      </c>
      <c r="T700" s="399" t="s">
        <v>125</v>
      </c>
      <c r="U700" s="401">
        <f t="shared" ref="U700:U702" si="2182">0.006165*F700^2</f>
        <v>1.041885</v>
      </c>
      <c r="V700" s="399"/>
      <c r="W700" s="399"/>
      <c r="X700" s="399" t="s">
        <v>125</v>
      </c>
      <c r="Y700" s="389">
        <f t="shared" ref="Y700" si="2183">D691</f>
        <v>1</v>
      </c>
      <c r="Z700" s="400" t="s">
        <v>176</v>
      </c>
      <c r="AA700" s="402">
        <f t="shared" ref="AA700" si="2184">IF(AA703=0,(D700*N700+P700*R700)*U700*Y700,0)</f>
        <v>0</v>
      </c>
      <c r="AB700" s="403"/>
    </row>
    <row r="701" spans="1:28">
      <c r="A701" s="384" t="str">
        <f t="shared" ref="A701:B701" si="2185">A685</f>
        <v>Lantai 1</v>
      </c>
      <c r="B701" s="385">
        <f t="shared" si="2185"/>
        <v>22</v>
      </c>
      <c r="C701" s="393" t="s">
        <v>210</v>
      </c>
      <c r="D701" s="398">
        <f>VLOOKUP(D685,'Detail Balok'!$C$10:$AU$140,25,FALSE)</f>
        <v>3</v>
      </c>
      <c r="E701" s="388" t="s">
        <v>16</v>
      </c>
      <c r="F701" s="388">
        <f>VLOOKUP(D685,'Detail Balok'!$C$10:$AU$140,27,FALSE)</f>
        <v>13</v>
      </c>
      <c r="G701" s="388"/>
      <c r="H701" s="395"/>
      <c r="I701" s="388" t="s">
        <v>203</v>
      </c>
      <c r="J701" s="399">
        <f t="shared" si="2177"/>
        <v>0.8</v>
      </c>
      <c r="K701" s="400" t="s">
        <v>204</v>
      </c>
      <c r="L701" s="399"/>
      <c r="M701" s="399" t="s">
        <v>176</v>
      </c>
      <c r="N701" s="399">
        <f t="shared" si="2179"/>
        <v>0.8</v>
      </c>
      <c r="O701" s="399" t="s">
        <v>204</v>
      </c>
      <c r="P701" s="389">
        <f t="shared" ref="P701" si="2186">MAX(D701-D700,D701-D702)</f>
        <v>0</v>
      </c>
      <c r="Q701" s="399" t="s">
        <v>125</v>
      </c>
      <c r="R701" s="399">
        <f t="shared" ref="R701" si="2187">IF(P701&gt;0,2*(1-2*$F$19-1/2)*D688/1000,0)</f>
        <v>0</v>
      </c>
      <c r="S701" s="399" t="s">
        <v>205</v>
      </c>
      <c r="T701" s="399" t="s">
        <v>125</v>
      </c>
      <c r="U701" s="401">
        <f t="shared" si="2182"/>
        <v>1.041885</v>
      </c>
      <c r="V701" s="399"/>
      <c r="W701" s="399"/>
      <c r="X701" s="399" t="s">
        <v>125</v>
      </c>
      <c r="Y701" s="389">
        <f t="shared" ref="Y701" si="2188">D691</f>
        <v>1</v>
      </c>
      <c r="Z701" s="400" t="s">
        <v>176</v>
      </c>
      <c r="AA701" s="402">
        <f t="shared" ref="AA701" si="2189">IF(AA703=0,(D701*N701+P701*R701)*U701*Y701,0)</f>
        <v>0</v>
      </c>
      <c r="AB701" s="403"/>
    </row>
    <row r="702" spans="1:28">
      <c r="A702" s="384" t="str">
        <f t="shared" ref="A702:B702" si="2190">A685</f>
        <v>Lantai 1</v>
      </c>
      <c r="B702" s="385">
        <f t="shared" si="2190"/>
        <v>22</v>
      </c>
      <c r="C702" s="393" t="s">
        <v>209</v>
      </c>
      <c r="D702" s="398">
        <f>VLOOKUP(D685,'Detail Balok'!$C$10:$AU$140,28,FALSE)</f>
        <v>3</v>
      </c>
      <c r="E702" s="388" t="s">
        <v>16</v>
      </c>
      <c r="F702" s="388">
        <f>VLOOKUP(D685,'Detail Balok'!$C$10:$AU$140,30,FALSE)</f>
        <v>13</v>
      </c>
      <c r="G702" s="388"/>
      <c r="H702" s="395"/>
      <c r="I702" s="388" t="s">
        <v>203</v>
      </c>
      <c r="J702" s="399">
        <f t="shared" si="2177"/>
        <v>0.4</v>
      </c>
      <c r="K702" s="400" t="s">
        <v>204</v>
      </c>
      <c r="L702" s="399">
        <f t="shared" ref="L702" si="2191">MAX(VLOOKUP(F702,N$6:P$15,3,FALSE)/1000,2/3*D690/1000)+F$16*F702/1000</f>
        <v>0.156</v>
      </c>
      <c r="M702" s="399" t="s">
        <v>176</v>
      </c>
      <c r="N702" s="399">
        <f t="shared" si="2179"/>
        <v>0.55600000000000005</v>
      </c>
      <c r="O702" s="399" t="s">
        <v>204</v>
      </c>
      <c r="P702" s="389">
        <f t="shared" ref="P702" si="2192">D702-D701</f>
        <v>0</v>
      </c>
      <c r="Q702" s="399" t="s">
        <v>125</v>
      </c>
      <c r="R702" s="399">
        <f t="shared" ref="R702" si="2193">IF(P702&gt;0,$F$18*F702/1000,0)</f>
        <v>0</v>
      </c>
      <c r="S702" s="399" t="s">
        <v>205</v>
      </c>
      <c r="T702" s="399" t="s">
        <v>125</v>
      </c>
      <c r="U702" s="401">
        <f t="shared" si="2182"/>
        <v>1.041885</v>
      </c>
      <c r="V702" s="399"/>
      <c r="W702" s="399"/>
      <c r="X702" s="399" t="s">
        <v>125</v>
      </c>
      <c r="Y702" s="389">
        <f t="shared" ref="Y702" si="2194">D691</f>
        <v>1</v>
      </c>
      <c r="Z702" s="400" t="s">
        <v>176</v>
      </c>
      <c r="AA702" s="402">
        <f t="shared" ref="AA702" si="2195">IF(AA703=0,(D702*N702+P702*R702)*U702*Y702,0)</f>
        <v>0</v>
      </c>
      <c r="AB702" s="403"/>
    </row>
    <row r="703" spans="1:28">
      <c r="A703" s="384" t="str">
        <f t="shared" ref="A703:B703" si="2196">A685</f>
        <v>Lantai 1</v>
      </c>
      <c r="B703" s="385">
        <f t="shared" si="2196"/>
        <v>22</v>
      </c>
      <c r="C703" s="393"/>
      <c r="D703" s="398">
        <f t="shared" ref="D703:D763" si="2197">IF(AND(D700=D701,D701=D702,D700=D702),D700,0)</f>
        <v>3</v>
      </c>
      <c r="E703" s="388" t="s">
        <v>16</v>
      </c>
      <c r="F703" s="388">
        <f t="shared" ref="F703:F763" si="2198">IF(AND(F700=F701,F700=F702,F701=F702),F700,0)</f>
        <v>13</v>
      </c>
      <c r="G703" s="388"/>
      <c r="H703" s="395"/>
      <c r="I703" s="388"/>
      <c r="J703" s="396"/>
      <c r="K703" s="396"/>
      <c r="L703" s="404" t="s">
        <v>207</v>
      </c>
      <c r="M703" s="399" t="s">
        <v>176</v>
      </c>
      <c r="N703" s="399">
        <f t="shared" ref="N703" si="2199">IF(AND(D700=D701,D700=D702,D701=D702,F700=F701,F700=F702,F701=F702),SUM(N700:N702),0)</f>
        <v>1.9120000000000001</v>
      </c>
      <c r="O703" s="399" t="s">
        <v>204</v>
      </c>
      <c r="P703" s="389">
        <f t="shared" ref="P703" si="2200">IF(N703&gt;12,ROUNDDOWN(N703/12,0),0)</f>
        <v>0</v>
      </c>
      <c r="Q703" s="399" t="s">
        <v>125</v>
      </c>
      <c r="R703" s="399">
        <f t="shared" ref="R703" si="2201">IF(P703&gt;0,MAX(VLOOKUP(F703,$D$6:$G$15,3,FALSE),600),0)/1000</f>
        <v>0</v>
      </c>
      <c r="S703" s="396"/>
      <c r="T703" s="396" t="s">
        <v>125</v>
      </c>
      <c r="U703" s="401">
        <f t="shared" ref="U703:U763" si="2202">U702</f>
        <v>1.041885</v>
      </c>
      <c r="V703" s="396" t="s">
        <v>125</v>
      </c>
      <c r="W703" s="399">
        <f t="shared" ref="W703" si="2203">D703</f>
        <v>3</v>
      </c>
      <c r="X703" s="399" t="s">
        <v>125</v>
      </c>
      <c r="Y703" s="389">
        <f t="shared" ref="Y703:Y763" si="2204">Y702</f>
        <v>1</v>
      </c>
      <c r="Z703" s="400" t="s">
        <v>176</v>
      </c>
      <c r="AA703" s="402">
        <f t="shared" ref="AA703" si="2205">(N703+P703*R703/1000)*U703*W703*Y703</f>
        <v>5.9762523600000002</v>
      </c>
      <c r="AB703" s="403"/>
    </row>
    <row r="704" spans="1:28">
      <c r="A704" s="384"/>
      <c r="B704" s="385"/>
      <c r="C704" s="393"/>
      <c r="D704" s="394"/>
      <c r="E704" s="388"/>
      <c r="F704" s="388"/>
      <c r="G704" s="388"/>
      <c r="H704" s="395"/>
      <c r="I704" s="388"/>
      <c r="J704" s="399"/>
      <c r="K704" s="396"/>
      <c r="L704" s="396"/>
      <c r="M704" s="396"/>
      <c r="N704" s="396"/>
      <c r="O704" s="396"/>
      <c r="P704" s="389"/>
      <c r="Q704" s="396"/>
      <c r="R704" s="396"/>
      <c r="S704" s="396"/>
      <c r="T704" s="396"/>
      <c r="U704" s="401"/>
      <c r="V704" s="396"/>
      <c r="W704" s="388"/>
      <c r="X704" s="396"/>
      <c r="Y704" s="389"/>
      <c r="Z704" s="396"/>
      <c r="AA704" s="388"/>
      <c r="AB704" s="390"/>
    </row>
    <row r="705" spans="1:28">
      <c r="A705" s="384" t="str">
        <f t="shared" ref="A705:B705" si="2206">A685</f>
        <v>Lantai 1</v>
      </c>
      <c r="B705" s="385">
        <f t="shared" si="2206"/>
        <v>22</v>
      </c>
      <c r="C705" s="393" t="s">
        <v>211</v>
      </c>
      <c r="D705" s="398">
        <f>VLOOKUP(D685,'Detail Balok'!$C$10:$AU$140,31,FALSE)</f>
        <v>0</v>
      </c>
      <c r="E705" s="388" t="s">
        <v>16</v>
      </c>
      <c r="F705" s="388">
        <f>VLOOKUP(D685,'Detail Balok'!$C$10:$AU$140,33,FALSE)</f>
        <v>8</v>
      </c>
      <c r="G705" s="405" t="s">
        <v>157</v>
      </c>
      <c r="H705" s="395">
        <f>VLOOKUP(D685,'Detail Balok'!$C$10:$AU$140,35,FALSE)</f>
        <v>150</v>
      </c>
      <c r="I705" s="388"/>
      <c r="J705" s="400">
        <f t="shared" ref="J705" si="2207">(IF(D705=0,(2*(D686+G686))-(F$5*8),IF(D705=3,(2*(D686+G686))-(F$5*8)+(G686-2*F$5),IF(D705=4,(2*(D686+G686))-(F$5*8)+2*(G686-2*F$5)))))/1000</f>
        <v>0.88</v>
      </c>
      <c r="K705" s="400" t="s">
        <v>204</v>
      </c>
      <c r="L705" s="399">
        <f t="shared" ref="L705:L707" si="2208">IF(D705=0,2*MAX(6*F705,75),(D705-1)*2*MAX(6*F705,75))/1000</f>
        <v>0.15</v>
      </c>
      <c r="M705" s="399" t="s">
        <v>176</v>
      </c>
      <c r="N705" s="399">
        <f t="shared" ref="N705:N707" si="2209">J705+L705</f>
        <v>1.03</v>
      </c>
      <c r="O705" s="399"/>
      <c r="P705" s="389"/>
      <c r="Q705" s="399"/>
      <c r="R705" s="399"/>
      <c r="S705" s="399"/>
      <c r="T705" s="399" t="s">
        <v>125</v>
      </c>
      <c r="U705" s="401">
        <f t="shared" ref="U705:U707" si="2210">0.006165*F705^2</f>
        <v>0.39456000000000002</v>
      </c>
      <c r="V705" s="399" t="s">
        <v>125</v>
      </c>
      <c r="W705" s="399">
        <f t="shared" ref="W705" si="2211">IF(D688&gt;4*G686,ROUND(MAX(D688/4,2*G686)/H705,0)+1,ROUND(D688/H705,0)+1)</f>
        <v>12</v>
      </c>
      <c r="X705" s="399" t="s">
        <v>125</v>
      </c>
      <c r="Y705" s="389">
        <f t="shared" ref="Y705" si="2212">D691</f>
        <v>1</v>
      </c>
      <c r="Z705" s="400" t="s">
        <v>176</v>
      </c>
      <c r="AA705" s="402">
        <f t="shared" ref="AA705:AA707" si="2213">N705*U705*W705*Y705</f>
        <v>4.8767616000000009</v>
      </c>
      <c r="AB705" s="403"/>
    </row>
    <row r="706" spans="1:28">
      <c r="A706" s="384" t="str">
        <f t="shared" ref="A706:B706" si="2214">A685</f>
        <v>Lantai 1</v>
      </c>
      <c r="B706" s="385">
        <f t="shared" si="2214"/>
        <v>22</v>
      </c>
      <c r="C706" s="393" t="s">
        <v>212</v>
      </c>
      <c r="D706" s="398">
        <f>VLOOKUP(D685,'Detail Balok'!$C$10:$AU$140,36,FALSE)</f>
        <v>0</v>
      </c>
      <c r="E706" s="388" t="s">
        <v>16</v>
      </c>
      <c r="F706" s="388">
        <f>VLOOKUP(D685,'Detail Balok'!$C$10:$AU$140,38,FALSE)</f>
        <v>8</v>
      </c>
      <c r="G706" s="405" t="s">
        <v>157</v>
      </c>
      <c r="H706" s="395">
        <f>VLOOKUP(D685,'Detail Balok'!$C$10:$AU$140,40,FALSE)</f>
        <v>200</v>
      </c>
      <c r="I706" s="388"/>
      <c r="J706" s="400">
        <f t="shared" ref="J706" si="2215">(IF(D706=0,(2*(D686+G686))-(F$5*8),IF(D706=3,(2*(D686+G686))-(F$5*8)+(G686-2*F$5),IF(D706=4,(2*(D686+G686))-(F$5*8)+2*(G686-2*F$5)))))/1000</f>
        <v>0.88</v>
      </c>
      <c r="K706" s="400" t="s">
        <v>204</v>
      </c>
      <c r="L706" s="399">
        <f t="shared" si="2208"/>
        <v>0.15</v>
      </c>
      <c r="M706" s="399" t="s">
        <v>176</v>
      </c>
      <c r="N706" s="399">
        <f t="shared" si="2209"/>
        <v>1.03</v>
      </c>
      <c r="O706" s="399"/>
      <c r="P706" s="389"/>
      <c r="Q706" s="399"/>
      <c r="R706" s="399"/>
      <c r="S706" s="399"/>
      <c r="T706" s="399" t="s">
        <v>125</v>
      </c>
      <c r="U706" s="401">
        <f t="shared" si="2210"/>
        <v>0.39456000000000002</v>
      </c>
      <c r="V706" s="399" t="s">
        <v>125</v>
      </c>
      <c r="W706" s="399">
        <f t="shared" ref="W706" si="2216">IF(D688-MAX(D688/4,2*G686)*2&gt;0,ROUND((D688-MAX(D688/4,2*G686)*2)/H706,0),0)</f>
        <v>0</v>
      </c>
      <c r="X706" s="399" t="s">
        <v>125</v>
      </c>
      <c r="Y706" s="389">
        <f t="shared" ref="Y706" si="2217">D691</f>
        <v>1</v>
      </c>
      <c r="Z706" s="400" t="s">
        <v>176</v>
      </c>
      <c r="AA706" s="402">
        <f t="shared" si="2213"/>
        <v>0</v>
      </c>
      <c r="AB706" s="403"/>
    </row>
    <row r="707" spans="1:28">
      <c r="A707" s="384" t="str">
        <f t="shared" ref="A707:B707" si="2218">A685</f>
        <v>Lantai 1</v>
      </c>
      <c r="B707" s="385">
        <f t="shared" si="2218"/>
        <v>22</v>
      </c>
      <c r="C707" s="393" t="s">
        <v>211</v>
      </c>
      <c r="D707" s="398">
        <f>VLOOKUP(D685,'Detail Balok'!$C$10:$AU$140,41,FALSE)</f>
        <v>0</v>
      </c>
      <c r="E707" s="388" t="s">
        <v>16</v>
      </c>
      <c r="F707" s="388">
        <f>VLOOKUP(D685,'Detail Balok'!$C$10:$AU$140,43,FALSE)</f>
        <v>8</v>
      </c>
      <c r="G707" s="405" t="s">
        <v>157</v>
      </c>
      <c r="H707" s="395">
        <f>VLOOKUP(D685,'Detail Balok'!$C$10:$AU$140,45,FALSE)</f>
        <v>150</v>
      </c>
      <c r="I707" s="388"/>
      <c r="J707" s="400">
        <f t="shared" ref="J707" si="2219">(IF(D707=0,(2*(D686+G686))-(F$5*8),IF(D707=3,(2*(D686+G686))-(F$5*8)+(G686-2*F$5),IF(D707=4,(2*(D686+G686))-(F$5*8)+2*(G686-2*F$5)))))/1000</f>
        <v>0.88</v>
      </c>
      <c r="K707" s="400" t="s">
        <v>204</v>
      </c>
      <c r="L707" s="399">
        <f t="shared" si="2208"/>
        <v>0.15</v>
      </c>
      <c r="M707" s="399" t="s">
        <v>176</v>
      </c>
      <c r="N707" s="399">
        <f t="shared" si="2209"/>
        <v>1.03</v>
      </c>
      <c r="O707" s="399"/>
      <c r="P707" s="389"/>
      <c r="Q707" s="399"/>
      <c r="R707" s="399"/>
      <c r="S707" s="399"/>
      <c r="T707" s="399" t="s">
        <v>125</v>
      </c>
      <c r="U707" s="401">
        <f t="shared" si="2210"/>
        <v>0.39456000000000002</v>
      </c>
      <c r="V707" s="399" t="s">
        <v>125</v>
      </c>
      <c r="W707" s="399">
        <f t="shared" ref="W707" si="2220">IF(D688&gt;4*G686,ROUND(MAX(D688/4,2*G686)/H707,0)+1,0)</f>
        <v>0</v>
      </c>
      <c r="X707" s="399" t="s">
        <v>125</v>
      </c>
      <c r="Y707" s="389">
        <f t="shared" ref="Y707" si="2221">D691</f>
        <v>1</v>
      </c>
      <c r="Z707" s="400" t="s">
        <v>176</v>
      </c>
      <c r="AA707" s="402">
        <f t="shared" si="2213"/>
        <v>0</v>
      </c>
      <c r="AB707" s="403"/>
    </row>
    <row r="708" spans="1:28">
      <c r="A708" s="384"/>
      <c r="B708" s="385"/>
      <c r="C708" s="393"/>
      <c r="D708" s="394"/>
      <c r="E708" s="388"/>
      <c r="F708" s="388"/>
      <c r="G708" s="388"/>
      <c r="H708" s="395"/>
      <c r="I708" s="388"/>
      <c r="J708" s="399"/>
      <c r="K708" s="396"/>
      <c r="L708" s="396"/>
      <c r="M708" s="396"/>
      <c r="N708" s="396"/>
      <c r="O708" s="396"/>
      <c r="P708" s="389"/>
      <c r="Q708" s="396"/>
      <c r="R708" s="396"/>
      <c r="S708" s="396"/>
      <c r="T708" s="396"/>
      <c r="U708" s="401"/>
      <c r="V708" s="396"/>
      <c r="W708" s="388"/>
      <c r="X708" s="396"/>
      <c r="Y708" s="389"/>
      <c r="Z708" s="396"/>
      <c r="AA708" s="388"/>
      <c r="AB708" s="390"/>
    </row>
    <row r="709" spans="1:28">
      <c r="A709" s="384" t="str">
        <f t="shared" ref="A709:B709" si="2222">A685</f>
        <v>Lantai 1</v>
      </c>
      <c r="B709" s="385">
        <f t="shared" si="2222"/>
        <v>22</v>
      </c>
      <c r="C709" s="393" t="s">
        <v>213</v>
      </c>
      <c r="D709" s="398">
        <f>VLOOKUP(D685,'Detail Balok'!$C$10:$BJ$140,46,FALSE)</f>
        <v>0</v>
      </c>
      <c r="E709" s="388" t="s">
        <v>16</v>
      </c>
      <c r="F709" s="388">
        <f>VLOOKUP(D685,'Detail Balok'!$C$10:$BJ$140,48,FALSE)</f>
        <v>0</v>
      </c>
      <c r="G709" s="405" t="s">
        <v>157</v>
      </c>
      <c r="H709" s="395">
        <f>VLOOKUP(D685,'Detail Balok'!$C$10:$BJ$140,50,FALSE)</f>
        <v>100</v>
      </c>
      <c r="I709" s="388"/>
      <c r="J709" s="399">
        <f t="shared" ref="J709" si="2223">(D686-2*F$5)/1000</f>
        <v>0.12</v>
      </c>
      <c r="K709" s="400" t="s">
        <v>204</v>
      </c>
      <c r="L709" s="399">
        <f t="shared" ref="L709:L711" si="2224">IF(D709=0,2*MAX(6*F709,75),(D709-1)*2*MAX(6*F709,75))/1000</f>
        <v>0.15</v>
      </c>
      <c r="M709" s="399" t="s">
        <v>176</v>
      </c>
      <c r="N709" s="399">
        <f t="shared" ref="N709:N711" si="2225">J709+L709</f>
        <v>0.27</v>
      </c>
      <c r="O709" s="399"/>
      <c r="P709" s="399"/>
      <c r="Q709" s="399"/>
      <c r="R709" s="399"/>
      <c r="S709" s="399"/>
      <c r="T709" s="399" t="s">
        <v>125</v>
      </c>
      <c r="U709" s="401">
        <f t="shared" ref="U709:U711" si="2226">0.006165*F709^2</f>
        <v>0</v>
      </c>
      <c r="V709" s="399" t="s">
        <v>125</v>
      </c>
      <c r="W709" s="399">
        <f t="shared" ref="W709:W771" si="2227">W705</f>
        <v>12</v>
      </c>
      <c r="X709" s="399" t="s">
        <v>125</v>
      </c>
      <c r="Y709" s="389">
        <f t="shared" ref="Y709" si="2228">D695</f>
        <v>3</v>
      </c>
      <c r="Z709" s="400" t="s">
        <v>176</v>
      </c>
      <c r="AA709" s="402">
        <f t="shared" ref="AA709:AA711" si="2229">N709*U709*W709*Y709</f>
        <v>0</v>
      </c>
      <c r="AB709" s="403"/>
    </row>
    <row r="710" spans="1:28">
      <c r="A710" s="384" t="str">
        <f t="shared" ref="A710:B710" si="2230">A685</f>
        <v>Lantai 1</v>
      </c>
      <c r="B710" s="385">
        <f t="shared" si="2230"/>
        <v>22</v>
      </c>
      <c r="C710" s="393" t="s">
        <v>214</v>
      </c>
      <c r="D710" s="398">
        <f>VLOOKUP(D685,'Detail Balok'!$C$10:$BJ$140,51,FALSE)</f>
        <v>0</v>
      </c>
      <c r="E710" s="388" t="s">
        <v>16</v>
      </c>
      <c r="F710" s="388">
        <f>VLOOKUP(D685,'Detail Balok'!$C$10:$BJ$140,53,FALSE)</f>
        <v>0</v>
      </c>
      <c r="G710" s="405" t="s">
        <v>157</v>
      </c>
      <c r="H710" s="395">
        <f>VLOOKUP(D685,'Detail Balok'!$C$10:$BJ$140,55,FALSE)</f>
        <v>100</v>
      </c>
      <c r="I710" s="388"/>
      <c r="J710" s="399">
        <f t="shared" ref="J710" si="2231">(D686-2*F$5)/1000</f>
        <v>0.12</v>
      </c>
      <c r="K710" s="400" t="s">
        <v>204</v>
      </c>
      <c r="L710" s="399">
        <f t="shared" si="2224"/>
        <v>0.15</v>
      </c>
      <c r="M710" s="399" t="s">
        <v>176</v>
      </c>
      <c r="N710" s="399">
        <f t="shared" si="2225"/>
        <v>0.27</v>
      </c>
      <c r="O710" s="399"/>
      <c r="P710" s="399"/>
      <c r="Q710" s="399"/>
      <c r="R710" s="399"/>
      <c r="S710" s="399"/>
      <c r="T710" s="399" t="s">
        <v>125</v>
      </c>
      <c r="U710" s="401">
        <f t="shared" si="2226"/>
        <v>0</v>
      </c>
      <c r="V710" s="399" t="s">
        <v>125</v>
      </c>
      <c r="W710" s="399">
        <f t="shared" si="2227"/>
        <v>0</v>
      </c>
      <c r="X710" s="399" t="s">
        <v>125</v>
      </c>
      <c r="Y710" s="389">
        <f t="shared" ref="Y710" si="2232">D695</f>
        <v>3</v>
      </c>
      <c r="Z710" s="400" t="s">
        <v>176</v>
      </c>
      <c r="AA710" s="402">
        <f t="shared" si="2229"/>
        <v>0</v>
      </c>
      <c r="AB710" s="403"/>
    </row>
    <row r="711" spans="1:28">
      <c r="A711" s="384" t="str">
        <f t="shared" ref="A711:B711" si="2233">A685</f>
        <v>Lantai 1</v>
      </c>
      <c r="B711" s="385">
        <f t="shared" si="2233"/>
        <v>22</v>
      </c>
      <c r="C711" s="393" t="s">
        <v>213</v>
      </c>
      <c r="D711" s="398">
        <f>VLOOKUP(D685,'Detail Balok'!$C$10:$BJ$140,56,FALSE)</f>
        <v>0</v>
      </c>
      <c r="E711" s="388" t="s">
        <v>16</v>
      </c>
      <c r="F711" s="388">
        <f>VLOOKUP(D685,'Detail Balok'!$C$10:$BJ$140,58,FALSE)</f>
        <v>0</v>
      </c>
      <c r="G711" s="405" t="s">
        <v>157</v>
      </c>
      <c r="H711" s="395">
        <f>VLOOKUP(D685,'Detail Balok'!$C$10:$BJ$140,60,FALSE)</f>
        <v>100</v>
      </c>
      <c r="I711" s="388"/>
      <c r="J711" s="399">
        <f t="shared" ref="J711" si="2234">(D686-2*F$5)/1000</f>
        <v>0.12</v>
      </c>
      <c r="K711" s="400" t="s">
        <v>204</v>
      </c>
      <c r="L711" s="399">
        <f t="shared" si="2224"/>
        <v>0.15</v>
      </c>
      <c r="M711" s="399" t="s">
        <v>176</v>
      </c>
      <c r="N711" s="399">
        <f t="shared" si="2225"/>
        <v>0.27</v>
      </c>
      <c r="O711" s="399"/>
      <c r="P711" s="399"/>
      <c r="Q711" s="399"/>
      <c r="R711" s="399"/>
      <c r="S711" s="399"/>
      <c r="T711" s="399" t="s">
        <v>125</v>
      </c>
      <c r="U711" s="401">
        <f t="shared" si="2226"/>
        <v>0</v>
      </c>
      <c r="V711" s="399" t="s">
        <v>125</v>
      </c>
      <c r="W711" s="399">
        <f t="shared" si="2227"/>
        <v>0</v>
      </c>
      <c r="X711" s="399" t="s">
        <v>125</v>
      </c>
      <c r="Y711" s="389">
        <f t="shared" ref="Y711" si="2235">D695</f>
        <v>3</v>
      </c>
      <c r="Z711" s="400" t="s">
        <v>176</v>
      </c>
      <c r="AA711" s="402">
        <f t="shared" si="2229"/>
        <v>0</v>
      </c>
      <c r="AB711" s="403"/>
    </row>
    <row r="712" spans="1:28">
      <c r="A712" s="391"/>
      <c r="B712" s="392"/>
      <c r="C712" s="392"/>
      <c r="D712" s="394"/>
      <c r="E712" s="388"/>
      <c r="F712" s="388"/>
      <c r="G712" s="388"/>
      <c r="H712" s="395"/>
      <c r="I712" s="388"/>
      <c r="J712" s="402"/>
      <c r="K712" s="388"/>
      <c r="L712" s="388"/>
      <c r="M712" s="388"/>
      <c r="N712" s="388"/>
      <c r="O712" s="388"/>
      <c r="P712" s="388"/>
      <c r="Q712" s="388"/>
      <c r="R712" s="388"/>
      <c r="S712" s="388"/>
      <c r="T712" s="388"/>
      <c r="U712" s="388"/>
      <c r="V712" s="388"/>
      <c r="W712" s="388"/>
      <c r="X712" s="388"/>
      <c r="Y712" s="389"/>
      <c r="Z712" s="388"/>
      <c r="AA712" s="402"/>
      <c r="AB712" s="403"/>
    </row>
    <row r="713" spans="1:28" ht="15.75" thickBot="1">
      <c r="A713" s="406"/>
      <c r="B713" s="407"/>
      <c r="C713" s="407"/>
      <c r="D713" s="408"/>
      <c r="E713" s="409"/>
      <c r="F713" s="409"/>
      <c r="G713" s="409"/>
      <c r="H713" s="410"/>
      <c r="I713" s="409"/>
      <c r="J713" s="409"/>
      <c r="K713" s="409"/>
      <c r="L713" s="409"/>
      <c r="M713" s="409"/>
      <c r="N713" s="409"/>
      <c r="O713" s="409"/>
      <c r="P713" s="409"/>
      <c r="Q713" s="409"/>
      <c r="R713" s="409"/>
      <c r="S713" s="409"/>
      <c r="T713" s="409"/>
      <c r="U713" s="409"/>
      <c r="V713" s="409"/>
      <c r="W713" s="409"/>
      <c r="X713" s="409"/>
      <c r="Y713" s="411"/>
      <c r="Z713" s="409"/>
      <c r="AA713" s="412"/>
      <c r="AB713" s="413"/>
    </row>
    <row r="714" spans="1:28">
      <c r="A714" s="377"/>
      <c r="B714" s="378"/>
      <c r="C714" s="378"/>
      <c r="D714" s="379"/>
      <c r="E714" s="380"/>
      <c r="F714" s="380"/>
      <c r="G714" s="380"/>
      <c r="H714" s="381"/>
      <c r="I714" s="380"/>
      <c r="J714" s="380"/>
      <c r="K714" s="380"/>
      <c r="L714" s="380"/>
      <c r="M714" s="380"/>
      <c r="N714" s="380"/>
      <c r="O714" s="380"/>
      <c r="P714" s="380"/>
      <c r="Q714" s="380"/>
      <c r="R714" s="380"/>
      <c r="S714" s="380"/>
      <c r="T714" s="380"/>
      <c r="U714" s="380"/>
      <c r="V714" s="380"/>
      <c r="W714" s="380"/>
      <c r="X714" s="380"/>
      <c r="Y714" s="382"/>
      <c r="Z714" s="380"/>
      <c r="AA714" s="380"/>
      <c r="AB714" s="383"/>
    </row>
    <row r="715" spans="1:28">
      <c r="A715" s="384" t="str">
        <f t="shared" ref="A715:A775" si="2236">A685</f>
        <v>Lantai 1</v>
      </c>
      <c r="B715" s="385">
        <f t="shared" ref="B715:B775" si="2237">B685+1</f>
        <v>23</v>
      </c>
      <c r="C715" s="386" t="str">
        <f t="shared" ref="C715" si="2238">CONCATENATE(A715," no. ",B715)</f>
        <v>Lantai 1 no. 23</v>
      </c>
      <c r="D715" s="2562" t="str">
        <f>VLOOKUP(C715,'Data Panjang Balok'!$C$9:$N$254,2,FALSE)</f>
        <v>S24-1</v>
      </c>
      <c r="E715" s="2576"/>
      <c r="F715" s="2576"/>
      <c r="G715" s="2576"/>
      <c r="H715" s="2577"/>
      <c r="I715" s="387"/>
      <c r="J715" s="388"/>
      <c r="K715" s="388"/>
      <c r="L715" s="388"/>
      <c r="M715" s="388"/>
      <c r="N715" s="388"/>
      <c r="O715" s="388"/>
      <c r="P715" s="388"/>
      <c r="Q715" s="388"/>
      <c r="R715" s="388"/>
      <c r="S715" s="388"/>
      <c r="T715" s="388"/>
      <c r="U715" s="388"/>
      <c r="V715" s="388"/>
      <c r="W715" s="388"/>
      <c r="X715" s="388"/>
      <c r="Y715" s="389"/>
      <c r="Z715" s="388"/>
      <c r="AA715" s="388"/>
      <c r="AB715" s="390"/>
    </row>
    <row r="716" spans="1:28">
      <c r="A716" s="391"/>
      <c r="B716" s="392"/>
      <c r="C716" s="393" t="s">
        <v>118</v>
      </c>
      <c r="D716" s="2578">
        <f>VLOOKUP(D715,'Detail Balok'!$C$10:$AU$140,2,FALSE)</f>
        <v>200</v>
      </c>
      <c r="E716" s="2579"/>
      <c r="F716" s="388" t="s">
        <v>125</v>
      </c>
      <c r="G716" s="2579">
        <f>VLOOKUP(D715,'Detail Balok'!$C$10:$AU$140,3,FALSE)</f>
        <v>400</v>
      </c>
      <c r="H716" s="2580"/>
      <c r="I716" s="388"/>
      <c r="J716" s="396"/>
      <c r="K716" s="396"/>
      <c r="L716" s="396"/>
      <c r="M716" s="396"/>
      <c r="N716" s="396"/>
      <c r="O716" s="396"/>
      <c r="P716" s="396"/>
      <c r="Q716" s="396"/>
      <c r="R716" s="396"/>
      <c r="S716" s="396"/>
      <c r="T716" s="396"/>
      <c r="U716" s="388"/>
      <c r="V716" s="396"/>
      <c r="W716" s="388"/>
      <c r="X716" s="396"/>
      <c r="Y716" s="389"/>
      <c r="Z716" s="396"/>
      <c r="AA716" s="388"/>
      <c r="AB716" s="390"/>
    </row>
    <row r="717" spans="1:28">
      <c r="A717" s="391"/>
      <c r="B717" s="392"/>
      <c r="C717" s="393" t="s">
        <v>198</v>
      </c>
      <c r="D717" s="2562">
        <f>VLOOKUP(C715,'Data Panjang Balok'!$C$9:$N$254,4,FALSE)</f>
        <v>2200</v>
      </c>
      <c r="E717" s="2563"/>
      <c r="F717" s="2563"/>
      <c r="G717" s="2563"/>
      <c r="H717" s="2564"/>
      <c r="I717" s="397"/>
      <c r="J717" s="396"/>
      <c r="K717" s="396"/>
      <c r="L717" s="396"/>
      <c r="M717" s="396"/>
      <c r="N717" s="396"/>
      <c r="O717" s="396"/>
      <c r="P717" s="396"/>
      <c r="Q717" s="396"/>
      <c r="R717" s="396"/>
      <c r="S717" s="396"/>
      <c r="T717" s="396"/>
      <c r="U717" s="388"/>
      <c r="V717" s="396"/>
      <c r="W717" s="388"/>
      <c r="X717" s="396"/>
      <c r="Y717" s="389"/>
      <c r="Z717" s="396"/>
      <c r="AA717" s="388"/>
      <c r="AB717" s="390"/>
    </row>
    <row r="718" spans="1:28">
      <c r="A718" s="391"/>
      <c r="B718" s="392"/>
      <c r="C718" s="393" t="s">
        <v>199</v>
      </c>
      <c r="D718" s="2562">
        <f>VLOOKUP(C715,'Data Panjang Balok'!$C$9:$N$254,7,FALSE)</f>
        <v>2200</v>
      </c>
      <c r="E718" s="2563"/>
      <c r="F718" s="2563"/>
      <c r="G718" s="2563"/>
      <c r="H718" s="2564"/>
      <c r="I718" s="397"/>
      <c r="J718" s="396"/>
      <c r="K718" s="396"/>
      <c r="L718" s="396"/>
      <c r="M718" s="396"/>
      <c r="N718" s="396"/>
      <c r="O718" s="396"/>
      <c r="P718" s="396"/>
      <c r="Q718" s="396"/>
      <c r="R718" s="396"/>
      <c r="S718" s="396"/>
      <c r="T718" s="396"/>
      <c r="U718" s="388"/>
      <c r="V718" s="396"/>
      <c r="W718" s="388"/>
      <c r="X718" s="396"/>
      <c r="Y718" s="389"/>
      <c r="Z718" s="396"/>
      <c r="AA718" s="388"/>
      <c r="AB718" s="390"/>
    </row>
    <row r="719" spans="1:28">
      <c r="A719" s="391"/>
      <c r="B719" s="392"/>
      <c r="C719" s="393" t="s">
        <v>200</v>
      </c>
      <c r="D719" s="2562">
        <f>VLOOKUP(C715,'Data Panjang Balok'!$C$9:$N$254,9,FALSE)</f>
        <v>0</v>
      </c>
      <c r="E719" s="2563"/>
      <c r="F719" s="2563"/>
      <c r="G719" s="2563"/>
      <c r="H719" s="2564"/>
      <c r="I719" s="397"/>
      <c r="J719" s="396"/>
      <c r="K719" s="396"/>
      <c r="L719" s="396"/>
      <c r="M719" s="396"/>
      <c r="N719" s="396"/>
      <c r="O719" s="396"/>
      <c r="P719" s="396"/>
      <c r="Q719" s="396"/>
      <c r="R719" s="396"/>
      <c r="S719" s="396"/>
      <c r="T719" s="396"/>
      <c r="U719" s="388"/>
      <c r="V719" s="396"/>
      <c r="W719" s="388"/>
      <c r="X719" s="396"/>
      <c r="Y719" s="389"/>
      <c r="Z719" s="396"/>
      <c r="AA719" s="388"/>
      <c r="AB719" s="390"/>
    </row>
    <row r="720" spans="1:28">
      <c r="A720" s="391"/>
      <c r="B720" s="392"/>
      <c r="C720" s="393" t="s">
        <v>201</v>
      </c>
      <c r="D720" s="2562">
        <f>VLOOKUP(C715,'Data Panjang Balok'!$C$9:$N$254,10,FALSE)</f>
        <v>0</v>
      </c>
      <c r="E720" s="2563"/>
      <c r="F720" s="2563"/>
      <c r="G720" s="2563"/>
      <c r="H720" s="2564"/>
      <c r="I720" s="397"/>
      <c r="J720" s="396"/>
      <c r="K720" s="396"/>
      <c r="L720" s="396"/>
      <c r="M720" s="396"/>
      <c r="N720" s="396"/>
      <c r="O720" s="396"/>
      <c r="P720" s="396"/>
      <c r="Q720" s="396"/>
      <c r="R720" s="396"/>
      <c r="S720" s="396"/>
      <c r="T720" s="396"/>
      <c r="U720" s="388"/>
      <c r="V720" s="396"/>
      <c r="W720" s="388"/>
      <c r="X720" s="396"/>
      <c r="Y720" s="389"/>
      <c r="Z720" s="396"/>
      <c r="AA720" s="388"/>
      <c r="AB720" s="390"/>
    </row>
    <row r="721" spans="1:28">
      <c r="A721" s="391"/>
      <c r="B721" s="392"/>
      <c r="C721" s="393" t="s">
        <v>48</v>
      </c>
      <c r="D721" s="2562">
        <f>VLOOKUP(C715,'Data Panjang Balok'!$C$9:$N$254,3,FALSE)</f>
        <v>1</v>
      </c>
      <c r="E721" s="2563"/>
      <c r="F721" s="2563"/>
      <c r="G721" s="2563"/>
      <c r="H721" s="2564"/>
      <c r="I721" s="397"/>
      <c r="J721" s="396"/>
      <c r="K721" s="396"/>
      <c r="L721" s="396"/>
      <c r="M721" s="396"/>
      <c r="N721" s="396"/>
      <c r="O721" s="396"/>
      <c r="P721" s="396"/>
      <c r="Q721" s="396"/>
      <c r="R721" s="396"/>
      <c r="S721" s="396"/>
      <c r="T721" s="396"/>
      <c r="U721" s="388"/>
      <c r="V721" s="396"/>
      <c r="W721" s="388"/>
      <c r="X721" s="396"/>
      <c r="Y721" s="389"/>
      <c r="Z721" s="396"/>
      <c r="AA721" s="388"/>
      <c r="AB721" s="390"/>
    </row>
    <row r="722" spans="1:28">
      <c r="A722" s="384" t="str">
        <f t="shared" ref="A722:B722" si="2239">A715</f>
        <v>Lantai 1</v>
      </c>
      <c r="B722" s="385">
        <f t="shared" si="2239"/>
        <v>23</v>
      </c>
      <c r="C722" s="393" t="s">
        <v>202</v>
      </c>
      <c r="D722" s="398">
        <f>VLOOKUP(D715,'Detail Balok'!$C$10:$AU$140,4,FALSE)</f>
        <v>3</v>
      </c>
      <c r="E722" s="388" t="s">
        <v>16</v>
      </c>
      <c r="F722" s="388">
        <f>VLOOKUP(D715,'Detail Balok'!$C$10:$AU$140,6,FALSE)</f>
        <v>13</v>
      </c>
      <c r="G722" s="388"/>
      <c r="H722" s="395"/>
      <c r="I722" s="388" t="s">
        <v>203</v>
      </c>
      <c r="J722" s="399">
        <f t="shared" ref="J722" si="2240">+D717/4/1000</f>
        <v>0.55000000000000004</v>
      </c>
      <c r="K722" s="400" t="s">
        <v>204</v>
      </c>
      <c r="L722" s="399">
        <f t="shared" ref="L722" si="2241">MAX(VLOOKUP(F722,N$6:P$15,3,FALSE)/1000,2/3*D719/1000)+F$16*F722/1000</f>
        <v>0.156</v>
      </c>
      <c r="M722" s="399" t="s">
        <v>176</v>
      </c>
      <c r="N722" s="399">
        <f t="shared" ref="N722:N724" si="2242">J722+L722</f>
        <v>0.70600000000000007</v>
      </c>
      <c r="O722" s="399" t="s">
        <v>204</v>
      </c>
      <c r="P722" s="389">
        <f t="shared" ref="P722" si="2243">D722-D723</f>
        <v>0</v>
      </c>
      <c r="Q722" s="399" t="s">
        <v>125</v>
      </c>
      <c r="R722" s="399">
        <f t="shared" ref="R722" si="2244">IF(P722&gt;0,$F$18*F722/1000,0)</f>
        <v>0</v>
      </c>
      <c r="S722" s="399" t="s">
        <v>205</v>
      </c>
      <c r="T722" s="399" t="s">
        <v>125</v>
      </c>
      <c r="U722" s="401">
        <f t="shared" ref="U722:U724" si="2245">0.006165*F722^2</f>
        <v>1.041885</v>
      </c>
      <c r="V722" s="399"/>
      <c r="W722" s="399"/>
      <c r="X722" s="399" t="s">
        <v>125</v>
      </c>
      <c r="Y722" s="389">
        <f t="shared" ref="Y722" si="2246">D721</f>
        <v>1</v>
      </c>
      <c r="Z722" s="400" t="s">
        <v>176</v>
      </c>
      <c r="AA722" s="402">
        <f t="shared" ref="AA722" si="2247">IF(AA725=0,(D722*N722+P722*R722)*U722*Y722,0)</f>
        <v>0</v>
      </c>
      <c r="AB722" s="403"/>
    </row>
    <row r="723" spans="1:28">
      <c r="A723" s="384" t="str">
        <f t="shared" ref="A723:B723" si="2248">A715</f>
        <v>Lantai 1</v>
      </c>
      <c r="B723" s="385">
        <f t="shared" si="2248"/>
        <v>23</v>
      </c>
      <c r="C723" s="393" t="s">
        <v>206</v>
      </c>
      <c r="D723" s="398">
        <f>VLOOKUP(D715,'Detail Balok'!$C$10:$AU$140,7,FALSE)</f>
        <v>3</v>
      </c>
      <c r="E723" s="388" t="s">
        <v>16</v>
      </c>
      <c r="F723" s="388">
        <f>VLOOKUP(D715,'Detail Balok'!$C$10:$AU$140,9,FALSE)</f>
        <v>13</v>
      </c>
      <c r="G723" s="388"/>
      <c r="H723" s="395"/>
      <c r="I723" s="388" t="s">
        <v>203</v>
      </c>
      <c r="J723" s="399">
        <f t="shared" ref="J723" si="2249">+D717/2/1000</f>
        <v>1.1000000000000001</v>
      </c>
      <c r="K723" s="400" t="s">
        <v>204</v>
      </c>
      <c r="L723" s="399"/>
      <c r="M723" s="399" t="s">
        <v>176</v>
      </c>
      <c r="N723" s="399">
        <f t="shared" si="2242"/>
        <v>1.1000000000000001</v>
      </c>
      <c r="O723" s="399" t="s">
        <v>204</v>
      </c>
      <c r="P723" s="389">
        <f t="shared" ref="P723" si="2250">MAX(D723-D722,D723-D724)</f>
        <v>0</v>
      </c>
      <c r="Q723" s="399" t="s">
        <v>125</v>
      </c>
      <c r="R723" s="399">
        <f t="shared" ref="R723" si="2251">IF(P723&gt;0,2*(1-2*$F$19-1/2)*D718/1000,0)</f>
        <v>0</v>
      </c>
      <c r="S723" s="399" t="s">
        <v>205</v>
      </c>
      <c r="T723" s="399" t="s">
        <v>125</v>
      </c>
      <c r="U723" s="401">
        <f t="shared" si="2245"/>
        <v>1.041885</v>
      </c>
      <c r="V723" s="399"/>
      <c r="W723" s="399"/>
      <c r="X723" s="399" t="s">
        <v>125</v>
      </c>
      <c r="Y723" s="389">
        <f t="shared" ref="Y723" si="2252">D721</f>
        <v>1</v>
      </c>
      <c r="Z723" s="400" t="s">
        <v>176</v>
      </c>
      <c r="AA723" s="402">
        <f t="shared" ref="AA723" si="2253">IF(AA725=0,(D723*N723+P723*R723)*U723*Y723,0)</f>
        <v>0</v>
      </c>
      <c r="AB723" s="403"/>
    </row>
    <row r="724" spans="1:28">
      <c r="A724" s="384" t="str">
        <f t="shared" ref="A724:B724" si="2254">A715</f>
        <v>Lantai 1</v>
      </c>
      <c r="B724" s="385">
        <f t="shared" si="2254"/>
        <v>23</v>
      </c>
      <c r="C724" s="393" t="s">
        <v>202</v>
      </c>
      <c r="D724" s="398">
        <f>VLOOKUP(D715,'Detail Balok'!$C$10:$AU$140,10,FALSE)</f>
        <v>3</v>
      </c>
      <c r="E724" s="388" t="s">
        <v>16</v>
      </c>
      <c r="F724" s="388">
        <f>VLOOKUP(D715,'Detail Balok'!$C$10:$AU$140,12,FALSE)</f>
        <v>13</v>
      </c>
      <c r="G724" s="388"/>
      <c r="H724" s="395"/>
      <c r="I724" s="388" t="s">
        <v>203</v>
      </c>
      <c r="J724" s="399">
        <f t="shared" ref="J724" si="2255">+D717/4/1000</f>
        <v>0.55000000000000004</v>
      </c>
      <c r="K724" s="400" t="s">
        <v>204</v>
      </c>
      <c r="L724" s="399">
        <f t="shared" ref="L724" si="2256">MAX(VLOOKUP(F724,N$6:P$15,3,FALSE)/1000,2/3*D719/1000)+F$16*F724/1000</f>
        <v>0.156</v>
      </c>
      <c r="M724" s="399" t="s">
        <v>176</v>
      </c>
      <c r="N724" s="399">
        <f t="shared" si="2242"/>
        <v>0.70600000000000007</v>
      </c>
      <c r="O724" s="399" t="s">
        <v>204</v>
      </c>
      <c r="P724" s="389">
        <f t="shared" ref="P724" si="2257">D724-D723</f>
        <v>0</v>
      </c>
      <c r="Q724" s="399" t="s">
        <v>125</v>
      </c>
      <c r="R724" s="399">
        <f t="shared" ref="R724" si="2258">IF(P724&gt;0,$F$18*F724/1000,0)</f>
        <v>0</v>
      </c>
      <c r="S724" s="399" t="s">
        <v>205</v>
      </c>
      <c r="T724" s="399" t="s">
        <v>125</v>
      </c>
      <c r="U724" s="401">
        <f t="shared" si="2245"/>
        <v>1.041885</v>
      </c>
      <c r="V724" s="399"/>
      <c r="W724" s="399"/>
      <c r="X724" s="399" t="s">
        <v>125</v>
      </c>
      <c r="Y724" s="389">
        <f t="shared" ref="Y724" si="2259">D721</f>
        <v>1</v>
      </c>
      <c r="Z724" s="400" t="s">
        <v>176</v>
      </c>
      <c r="AA724" s="402">
        <f t="shared" ref="AA724" si="2260">IF(AA725=0,(D724*N724+P724*R724)*U724*Y724,0)</f>
        <v>0</v>
      </c>
      <c r="AB724" s="403"/>
    </row>
    <row r="725" spans="1:28">
      <c r="A725" s="384" t="str">
        <f t="shared" ref="A725:B725" si="2261">A715</f>
        <v>Lantai 1</v>
      </c>
      <c r="B725" s="385">
        <f t="shared" si="2261"/>
        <v>23</v>
      </c>
      <c r="C725" s="393"/>
      <c r="D725" s="398">
        <f t="shared" si="2157"/>
        <v>3</v>
      </c>
      <c r="E725" s="388" t="s">
        <v>16</v>
      </c>
      <c r="F725" s="388">
        <f t="shared" si="2158"/>
        <v>13</v>
      </c>
      <c r="G725" s="388"/>
      <c r="H725" s="395"/>
      <c r="I725" s="388"/>
      <c r="J725" s="396"/>
      <c r="K725" s="396"/>
      <c r="L725" s="404" t="s">
        <v>207</v>
      </c>
      <c r="M725" s="399" t="s">
        <v>176</v>
      </c>
      <c r="N725" s="399">
        <f t="shared" ref="N725" si="2262">IF(AND(D722=D723,D722=D724,D723=D724,F722=F723,F722=F724,F723=F724),SUM(N722:N724),0)</f>
        <v>2.512</v>
      </c>
      <c r="O725" s="399" t="s">
        <v>204</v>
      </c>
      <c r="P725" s="389">
        <f t="shared" ref="P725" si="2263">IF(N725&gt;12,ROUNDDOWN(N725/12,0),0)</f>
        <v>0</v>
      </c>
      <c r="Q725" s="399" t="s">
        <v>125</v>
      </c>
      <c r="R725" s="399">
        <f t="shared" ref="R725" si="2264">IF(P725&gt;0,MAX(VLOOKUP(F725,$D$6:$G$15,3,FALSE),600),0)/1000</f>
        <v>0</v>
      </c>
      <c r="S725" s="396"/>
      <c r="T725" s="396" t="s">
        <v>125</v>
      </c>
      <c r="U725" s="401">
        <f t="shared" si="2162"/>
        <v>1.041885</v>
      </c>
      <c r="V725" s="396" t="s">
        <v>125</v>
      </c>
      <c r="W725" s="399">
        <f t="shared" ref="W725" si="2265">D725</f>
        <v>3</v>
      </c>
      <c r="X725" s="399" t="s">
        <v>125</v>
      </c>
      <c r="Y725" s="389">
        <f t="shared" si="2164"/>
        <v>1</v>
      </c>
      <c r="Z725" s="400" t="s">
        <v>176</v>
      </c>
      <c r="AA725" s="402">
        <f t="shared" ref="AA725" si="2266">(N725+P725*R725/1000)*U725*W725*Y725</f>
        <v>7.85164536</v>
      </c>
      <c r="AB725" s="390"/>
    </row>
    <row r="726" spans="1:28">
      <c r="A726" s="384"/>
      <c r="B726" s="385"/>
      <c r="C726" s="393"/>
      <c r="D726" s="398"/>
      <c r="E726" s="388"/>
      <c r="F726" s="388"/>
      <c r="G726" s="388"/>
      <c r="H726" s="395"/>
      <c r="I726" s="388"/>
      <c r="J726" s="396"/>
      <c r="K726" s="396"/>
      <c r="L726" s="404"/>
      <c r="M726" s="399"/>
      <c r="N726" s="399"/>
      <c r="O726" s="396"/>
      <c r="P726" s="389"/>
      <c r="Q726" s="396"/>
      <c r="R726" s="396"/>
      <c r="S726" s="396"/>
      <c r="T726" s="396"/>
      <c r="U726" s="401"/>
      <c r="V726" s="396"/>
      <c r="W726" s="399"/>
      <c r="X726" s="396"/>
      <c r="Y726" s="389"/>
      <c r="Z726" s="396"/>
      <c r="AA726" s="388"/>
      <c r="AB726" s="390"/>
    </row>
    <row r="727" spans="1:28">
      <c r="A727" s="384" t="str">
        <f t="shared" ref="A727:B727" si="2267">A715</f>
        <v>Lantai 1</v>
      </c>
      <c r="B727" s="385">
        <f t="shared" si="2267"/>
        <v>23</v>
      </c>
      <c r="C727" s="393" t="s">
        <v>208</v>
      </c>
      <c r="D727" s="398">
        <f>VLOOKUP(D715,'Detail Balok'!$C$10:$AU$140,13,FALSE)</f>
        <v>0</v>
      </c>
      <c r="E727" s="388" t="s">
        <v>16</v>
      </c>
      <c r="F727" s="388">
        <f>VLOOKUP(D715,'Detail Balok'!$C$10:$AU$140,15,FALSE)</f>
        <v>8</v>
      </c>
      <c r="G727" s="388"/>
      <c r="H727" s="395"/>
      <c r="I727" s="388"/>
      <c r="J727" s="399">
        <f t="shared" ref="J727" si="2268">+D717/1000</f>
        <v>2.2000000000000002</v>
      </c>
      <c r="K727" s="400" t="s">
        <v>204</v>
      </c>
      <c r="L727" s="399">
        <f t="shared" ref="L727" si="2269">2*$F$16*F727/1000</f>
        <v>0.192</v>
      </c>
      <c r="M727" s="399" t="s">
        <v>176</v>
      </c>
      <c r="N727" s="399">
        <f t="shared" ref="N727" si="2270">J727+L727</f>
        <v>2.3920000000000003</v>
      </c>
      <c r="O727" s="399" t="s">
        <v>204</v>
      </c>
      <c r="P727" s="389">
        <f t="shared" ref="P727" si="2271">IF(N727&gt;12,ROUNDDOWN(N727/12,0),0)</f>
        <v>0</v>
      </c>
      <c r="Q727" s="399" t="s">
        <v>125</v>
      </c>
      <c r="R727" s="399">
        <f t="shared" ref="R727" si="2272">IF(P727&gt;0,MAX(VLOOKUP(F727,$D$6:$G$15,3,FALSE),600),0)/1000</f>
        <v>0</v>
      </c>
      <c r="S727" s="399"/>
      <c r="T727" s="399" t="s">
        <v>125</v>
      </c>
      <c r="U727" s="401">
        <f t="shared" ref="U727" si="2273">0.006165*F727^2</f>
        <v>0.39456000000000002</v>
      </c>
      <c r="V727" s="399" t="s">
        <v>125</v>
      </c>
      <c r="W727" s="399">
        <f t="shared" ref="W727" si="2274">+D727</f>
        <v>0</v>
      </c>
      <c r="X727" s="399" t="s">
        <v>125</v>
      </c>
      <c r="Y727" s="389">
        <f t="shared" ref="Y727" si="2275">D721</f>
        <v>1</v>
      </c>
      <c r="Z727" s="400" t="s">
        <v>176</v>
      </c>
      <c r="AA727" s="402">
        <f t="shared" ref="AA727" si="2276">(N727+P727*R727/1000)*U727*W727*Y727</f>
        <v>0</v>
      </c>
      <c r="AB727" s="403"/>
    </row>
    <row r="728" spans="1:28">
      <c r="A728" s="384"/>
      <c r="B728" s="385"/>
      <c r="C728" s="393"/>
      <c r="D728" s="398"/>
      <c r="E728" s="388"/>
      <c r="F728" s="388"/>
      <c r="G728" s="388"/>
      <c r="H728" s="395"/>
      <c r="I728" s="388"/>
      <c r="J728" s="399"/>
      <c r="K728" s="400"/>
      <c r="L728" s="399"/>
      <c r="M728" s="399"/>
      <c r="N728" s="399"/>
      <c r="O728" s="399"/>
      <c r="P728" s="389"/>
      <c r="Q728" s="399"/>
      <c r="R728" s="399"/>
      <c r="S728" s="399"/>
      <c r="T728" s="399"/>
      <c r="U728" s="401"/>
      <c r="V728" s="399"/>
      <c r="W728" s="399"/>
      <c r="X728" s="399"/>
      <c r="Y728" s="389"/>
      <c r="Z728" s="400"/>
      <c r="AA728" s="402"/>
      <c r="AB728" s="403"/>
    </row>
    <row r="729" spans="1:28">
      <c r="A729" s="384"/>
      <c r="B729" s="385"/>
      <c r="C729" s="393"/>
      <c r="D729" s="398"/>
      <c r="E729" s="388"/>
      <c r="F729" s="388"/>
      <c r="G729" s="388"/>
      <c r="H729" s="395"/>
      <c r="I729" s="388"/>
      <c r="J729" s="396"/>
      <c r="K729" s="396"/>
      <c r="L729" s="396"/>
      <c r="M729" s="396"/>
      <c r="N729" s="396"/>
      <c r="O729" s="396"/>
      <c r="P729" s="389"/>
      <c r="Q729" s="396"/>
      <c r="R729" s="396"/>
      <c r="S729" s="396"/>
      <c r="T729" s="396"/>
      <c r="U729" s="401"/>
      <c r="V729" s="396"/>
      <c r="W729" s="399"/>
      <c r="X729" s="396"/>
      <c r="Y729" s="389"/>
      <c r="Z729" s="396"/>
      <c r="AA729" s="388"/>
      <c r="AB729" s="390"/>
    </row>
    <row r="730" spans="1:28">
      <c r="A730" s="384" t="str">
        <f t="shared" ref="A730:B730" si="2277">A715</f>
        <v>Lantai 1</v>
      </c>
      <c r="B730" s="385">
        <f t="shared" si="2277"/>
        <v>23</v>
      </c>
      <c r="C730" s="393" t="s">
        <v>209</v>
      </c>
      <c r="D730" s="398">
        <f>VLOOKUP(D715,'Detail Balok'!$C$10:$AU$140,22,FALSE)</f>
        <v>3</v>
      </c>
      <c r="E730" s="388" t="s">
        <v>16</v>
      </c>
      <c r="F730" s="388">
        <f>VLOOKUP(D715,'Detail Balok'!$C$10:$AU$140,24,FALSE)</f>
        <v>13</v>
      </c>
      <c r="G730" s="388"/>
      <c r="H730" s="395"/>
      <c r="I730" s="388" t="s">
        <v>203</v>
      </c>
      <c r="J730" s="399">
        <f t="shared" si="2177"/>
        <v>0.55000000000000004</v>
      </c>
      <c r="K730" s="400" t="s">
        <v>204</v>
      </c>
      <c r="L730" s="399">
        <f t="shared" ref="L730" si="2278">MAX(VLOOKUP(F730,N$6:P$15,3,FALSE)/1000,2/3*D720/1000)+F$16*F730/1000</f>
        <v>0.156</v>
      </c>
      <c r="M730" s="399" t="s">
        <v>176</v>
      </c>
      <c r="N730" s="399">
        <f t="shared" ref="N730:N732" si="2279">J730+L730</f>
        <v>0.70600000000000007</v>
      </c>
      <c r="O730" s="399" t="s">
        <v>204</v>
      </c>
      <c r="P730" s="389">
        <f t="shared" ref="P730" si="2280">D730-D731</f>
        <v>0</v>
      </c>
      <c r="Q730" s="399" t="s">
        <v>125</v>
      </c>
      <c r="R730" s="399">
        <f t="shared" ref="R730" si="2281">IF(P730&gt;0,$F$18*F730/1000,0)</f>
        <v>0</v>
      </c>
      <c r="S730" s="399" t="s">
        <v>205</v>
      </c>
      <c r="T730" s="399" t="s">
        <v>125</v>
      </c>
      <c r="U730" s="401">
        <f t="shared" ref="U730:U732" si="2282">0.006165*F730^2</f>
        <v>1.041885</v>
      </c>
      <c r="V730" s="399"/>
      <c r="W730" s="399"/>
      <c r="X730" s="399" t="s">
        <v>125</v>
      </c>
      <c r="Y730" s="389">
        <f t="shared" ref="Y730" si="2283">D721</f>
        <v>1</v>
      </c>
      <c r="Z730" s="400" t="s">
        <v>176</v>
      </c>
      <c r="AA730" s="402">
        <f t="shared" ref="AA730" si="2284">IF(AA733=0,(D730*N730+P730*R730)*U730*Y730,0)</f>
        <v>0</v>
      </c>
      <c r="AB730" s="403"/>
    </row>
    <row r="731" spans="1:28">
      <c r="A731" s="384" t="str">
        <f t="shared" ref="A731:B731" si="2285">A715</f>
        <v>Lantai 1</v>
      </c>
      <c r="B731" s="385">
        <f t="shared" si="2285"/>
        <v>23</v>
      </c>
      <c r="C731" s="393" t="s">
        <v>210</v>
      </c>
      <c r="D731" s="398">
        <f>VLOOKUP(D715,'Detail Balok'!$C$10:$AU$140,25,FALSE)</f>
        <v>3</v>
      </c>
      <c r="E731" s="388" t="s">
        <v>16</v>
      </c>
      <c r="F731" s="388">
        <f>VLOOKUP(D715,'Detail Balok'!$C$10:$AU$140,27,FALSE)</f>
        <v>13</v>
      </c>
      <c r="G731" s="388"/>
      <c r="H731" s="395"/>
      <c r="I731" s="388" t="s">
        <v>203</v>
      </c>
      <c r="J731" s="399">
        <f t="shared" si="2177"/>
        <v>1.1000000000000001</v>
      </c>
      <c r="K731" s="400" t="s">
        <v>204</v>
      </c>
      <c r="L731" s="399"/>
      <c r="M731" s="399" t="s">
        <v>176</v>
      </c>
      <c r="N731" s="399">
        <f t="shared" si="2279"/>
        <v>1.1000000000000001</v>
      </c>
      <c r="O731" s="399" t="s">
        <v>204</v>
      </c>
      <c r="P731" s="389">
        <f t="shared" ref="P731" si="2286">MAX(D731-D730,D731-D732)</f>
        <v>0</v>
      </c>
      <c r="Q731" s="399" t="s">
        <v>125</v>
      </c>
      <c r="R731" s="399">
        <f t="shared" ref="R731" si="2287">IF(P731&gt;0,2*(1-2*$F$19-1/2)*D718/1000,0)</f>
        <v>0</v>
      </c>
      <c r="S731" s="399" t="s">
        <v>205</v>
      </c>
      <c r="T731" s="399" t="s">
        <v>125</v>
      </c>
      <c r="U731" s="401">
        <f t="shared" si="2282"/>
        <v>1.041885</v>
      </c>
      <c r="V731" s="399"/>
      <c r="W731" s="399"/>
      <c r="X731" s="399" t="s">
        <v>125</v>
      </c>
      <c r="Y731" s="389">
        <f t="shared" ref="Y731" si="2288">D721</f>
        <v>1</v>
      </c>
      <c r="Z731" s="400" t="s">
        <v>176</v>
      </c>
      <c r="AA731" s="402">
        <f t="shared" ref="AA731" si="2289">IF(AA733=0,(D731*N731+P731*R731)*U731*Y731,0)</f>
        <v>0</v>
      </c>
      <c r="AB731" s="403"/>
    </row>
    <row r="732" spans="1:28">
      <c r="A732" s="384" t="str">
        <f t="shared" ref="A732:B732" si="2290">A715</f>
        <v>Lantai 1</v>
      </c>
      <c r="B732" s="385">
        <f t="shared" si="2290"/>
        <v>23</v>
      </c>
      <c r="C732" s="393" t="s">
        <v>209</v>
      </c>
      <c r="D732" s="398">
        <f>VLOOKUP(D715,'Detail Balok'!$C$10:$AU$140,28,FALSE)</f>
        <v>3</v>
      </c>
      <c r="E732" s="388" t="s">
        <v>16</v>
      </c>
      <c r="F732" s="388">
        <f>VLOOKUP(D715,'Detail Balok'!$C$10:$AU$140,30,FALSE)</f>
        <v>13</v>
      </c>
      <c r="G732" s="388"/>
      <c r="H732" s="395"/>
      <c r="I732" s="388" t="s">
        <v>203</v>
      </c>
      <c r="J732" s="399">
        <f t="shared" si="2177"/>
        <v>0.55000000000000004</v>
      </c>
      <c r="K732" s="400" t="s">
        <v>204</v>
      </c>
      <c r="L732" s="399">
        <f t="shared" ref="L732" si="2291">MAX(VLOOKUP(F732,N$6:P$15,3,FALSE)/1000,2/3*D720/1000)+F$16*F732/1000</f>
        <v>0.156</v>
      </c>
      <c r="M732" s="399" t="s">
        <v>176</v>
      </c>
      <c r="N732" s="399">
        <f t="shared" si="2279"/>
        <v>0.70600000000000007</v>
      </c>
      <c r="O732" s="399" t="s">
        <v>204</v>
      </c>
      <c r="P732" s="389">
        <f t="shared" ref="P732" si="2292">D732-D731</f>
        <v>0</v>
      </c>
      <c r="Q732" s="399" t="s">
        <v>125</v>
      </c>
      <c r="R732" s="399">
        <f t="shared" ref="R732" si="2293">IF(P732&gt;0,$F$18*F732/1000,0)</f>
        <v>0</v>
      </c>
      <c r="S732" s="399" t="s">
        <v>205</v>
      </c>
      <c r="T732" s="399" t="s">
        <v>125</v>
      </c>
      <c r="U732" s="401">
        <f t="shared" si="2282"/>
        <v>1.041885</v>
      </c>
      <c r="V732" s="399"/>
      <c r="W732" s="399"/>
      <c r="X732" s="399" t="s">
        <v>125</v>
      </c>
      <c r="Y732" s="389">
        <f t="shared" ref="Y732" si="2294">D721</f>
        <v>1</v>
      </c>
      <c r="Z732" s="400" t="s">
        <v>176</v>
      </c>
      <c r="AA732" s="402">
        <f t="shared" ref="AA732" si="2295">IF(AA733=0,(D732*N732+P732*R732)*U732*Y732,0)</f>
        <v>0</v>
      </c>
      <c r="AB732" s="403"/>
    </row>
    <row r="733" spans="1:28">
      <c r="A733" s="384" t="str">
        <f t="shared" ref="A733:B733" si="2296">A715</f>
        <v>Lantai 1</v>
      </c>
      <c r="B733" s="385">
        <f t="shared" si="2296"/>
        <v>23</v>
      </c>
      <c r="C733" s="393"/>
      <c r="D733" s="398">
        <f t="shared" si="2197"/>
        <v>3</v>
      </c>
      <c r="E733" s="388" t="s">
        <v>16</v>
      </c>
      <c r="F733" s="388">
        <f t="shared" si="2198"/>
        <v>13</v>
      </c>
      <c r="G733" s="388"/>
      <c r="H733" s="395"/>
      <c r="I733" s="388"/>
      <c r="J733" s="396"/>
      <c r="K733" s="396"/>
      <c r="L733" s="404" t="s">
        <v>207</v>
      </c>
      <c r="M733" s="399" t="s">
        <v>176</v>
      </c>
      <c r="N733" s="399">
        <f t="shared" ref="N733" si="2297">IF(AND(D730=D731,D730=D732,D731=D732,F730=F731,F730=F732,F731=F732),SUM(N730:N732),0)</f>
        <v>2.512</v>
      </c>
      <c r="O733" s="399" t="s">
        <v>204</v>
      </c>
      <c r="P733" s="389">
        <f t="shared" ref="P733" si="2298">IF(N733&gt;12,ROUNDDOWN(N733/12,0),0)</f>
        <v>0</v>
      </c>
      <c r="Q733" s="399" t="s">
        <v>125</v>
      </c>
      <c r="R733" s="399">
        <f t="shared" ref="R733" si="2299">IF(P733&gt;0,MAX(VLOOKUP(F733,$D$6:$G$15,3,FALSE),600),0)/1000</f>
        <v>0</v>
      </c>
      <c r="S733" s="396"/>
      <c r="T733" s="396" t="s">
        <v>125</v>
      </c>
      <c r="U733" s="401">
        <f t="shared" si="2202"/>
        <v>1.041885</v>
      </c>
      <c r="V733" s="396" t="s">
        <v>125</v>
      </c>
      <c r="W733" s="399">
        <f t="shared" ref="W733" si="2300">D733</f>
        <v>3</v>
      </c>
      <c r="X733" s="399" t="s">
        <v>125</v>
      </c>
      <c r="Y733" s="389">
        <f t="shared" si="2204"/>
        <v>1</v>
      </c>
      <c r="Z733" s="400" t="s">
        <v>176</v>
      </c>
      <c r="AA733" s="402">
        <f t="shared" ref="AA733" si="2301">(N733+P733*R733/1000)*U733*W733*Y733</f>
        <v>7.85164536</v>
      </c>
      <c r="AB733" s="403"/>
    </row>
    <row r="734" spans="1:28">
      <c r="A734" s="384"/>
      <c r="B734" s="385"/>
      <c r="C734" s="393"/>
      <c r="D734" s="394"/>
      <c r="E734" s="388"/>
      <c r="F734" s="388"/>
      <c r="G734" s="388"/>
      <c r="H734" s="395"/>
      <c r="I734" s="388"/>
      <c r="J734" s="399"/>
      <c r="K734" s="396"/>
      <c r="L734" s="396"/>
      <c r="M734" s="396"/>
      <c r="N734" s="396"/>
      <c r="O734" s="396"/>
      <c r="P734" s="389"/>
      <c r="Q734" s="396"/>
      <c r="R734" s="396"/>
      <c r="S734" s="396"/>
      <c r="T734" s="396"/>
      <c r="U734" s="401"/>
      <c r="V734" s="396"/>
      <c r="W734" s="388"/>
      <c r="X734" s="396"/>
      <c r="Y734" s="389"/>
      <c r="Z734" s="396"/>
      <c r="AA734" s="388"/>
      <c r="AB734" s="390"/>
    </row>
    <row r="735" spans="1:28">
      <c r="A735" s="384" t="str">
        <f t="shared" ref="A735:B735" si="2302">A715</f>
        <v>Lantai 1</v>
      </c>
      <c r="B735" s="385">
        <f t="shared" si="2302"/>
        <v>23</v>
      </c>
      <c r="C735" s="393" t="s">
        <v>211</v>
      </c>
      <c r="D735" s="398">
        <f>VLOOKUP(D715,'Detail Balok'!$C$10:$AU$140,31,FALSE)</f>
        <v>0</v>
      </c>
      <c r="E735" s="388" t="s">
        <v>16</v>
      </c>
      <c r="F735" s="388">
        <f>VLOOKUP(D715,'Detail Balok'!$C$10:$AU$140,33,FALSE)</f>
        <v>8</v>
      </c>
      <c r="G735" s="405" t="s">
        <v>157</v>
      </c>
      <c r="H735" s="395">
        <f>VLOOKUP(D715,'Detail Balok'!$C$10:$AU$140,35,FALSE)</f>
        <v>150</v>
      </c>
      <c r="I735" s="388"/>
      <c r="J735" s="400">
        <f t="shared" ref="J735" si="2303">(IF(D735=0,(2*(D716+G716))-(F$5*8),IF(D735=3,(2*(D716+G716))-(F$5*8)+(G716-2*F$5),IF(D735=4,(2*(D716+G716))-(F$5*8)+2*(G716-2*F$5)))))/1000</f>
        <v>0.88</v>
      </c>
      <c r="K735" s="400" t="s">
        <v>204</v>
      </c>
      <c r="L735" s="399">
        <f t="shared" ref="L735:L737" si="2304">IF(D735=0,2*MAX(6*F735,75),(D735-1)*2*MAX(6*F735,75))/1000</f>
        <v>0.15</v>
      </c>
      <c r="M735" s="399" t="s">
        <v>176</v>
      </c>
      <c r="N735" s="399">
        <f t="shared" ref="N735:N737" si="2305">J735+L735</f>
        <v>1.03</v>
      </c>
      <c r="O735" s="399"/>
      <c r="P735" s="389"/>
      <c r="Q735" s="399"/>
      <c r="R735" s="399"/>
      <c r="S735" s="399"/>
      <c r="T735" s="399" t="s">
        <v>125</v>
      </c>
      <c r="U735" s="401">
        <f t="shared" ref="U735:U737" si="2306">0.006165*F735^2</f>
        <v>0.39456000000000002</v>
      </c>
      <c r="V735" s="399" t="s">
        <v>125</v>
      </c>
      <c r="W735" s="399">
        <f t="shared" ref="W735" si="2307">IF(D718&gt;4*G716,ROUND(MAX(D718/4,2*G716)/H735,0)+1,ROUND(D718/H735,0)+1)</f>
        <v>6</v>
      </c>
      <c r="X735" s="399" t="s">
        <v>125</v>
      </c>
      <c r="Y735" s="389">
        <f t="shared" ref="Y735" si="2308">D721</f>
        <v>1</v>
      </c>
      <c r="Z735" s="400" t="s">
        <v>176</v>
      </c>
      <c r="AA735" s="402">
        <f t="shared" ref="AA735:AA737" si="2309">N735*U735*W735*Y735</f>
        <v>2.4383808000000005</v>
      </c>
      <c r="AB735" s="403"/>
    </row>
    <row r="736" spans="1:28">
      <c r="A736" s="384" t="str">
        <f t="shared" ref="A736:B736" si="2310">A715</f>
        <v>Lantai 1</v>
      </c>
      <c r="B736" s="385">
        <f t="shared" si="2310"/>
        <v>23</v>
      </c>
      <c r="C736" s="393" t="s">
        <v>212</v>
      </c>
      <c r="D736" s="398">
        <f>VLOOKUP(D715,'Detail Balok'!$C$10:$AU$140,36,FALSE)</f>
        <v>0</v>
      </c>
      <c r="E736" s="388" t="s">
        <v>16</v>
      </c>
      <c r="F736" s="388">
        <f>VLOOKUP(D715,'Detail Balok'!$C$10:$AU$140,38,FALSE)</f>
        <v>8</v>
      </c>
      <c r="G736" s="405" t="s">
        <v>157</v>
      </c>
      <c r="H736" s="395">
        <f>VLOOKUP(D715,'Detail Balok'!$C$10:$AU$140,40,FALSE)</f>
        <v>200</v>
      </c>
      <c r="I736" s="388"/>
      <c r="J736" s="400">
        <f t="shared" ref="J736" si="2311">(IF(D736=0,(2*(D716+G716))-(F$5*8),IF(D736=3,(2*(D716+G716))-(F$5*8)+(G716-2*F$5),IF(D736=4,(2*(D716+G716))-(F$5*8)+2*(G716-2*F$5)))))/1000</f>
        <v>0.88</v>
      </c>
      <c r="K736" s="400" t="s">
        <v>204</v>
      </c>
      <c r="L736" s="399">
        <f t="shared" si="2304"/>
        <v>0.15</v>
      </c>
      <c r="M736" s="399" t="s">
        <v>176</v>
      </c>
      <c r="N736" s="399">
        <f t="shared" si="2305"/>
        <v>1.03</v>
      </c>
      <c r="O736" s="399"/>
      <c r="P736" s="389"/>
      <c r="Q736" s="399"/>
      <c r="R736" s="399"/>
      <c r="S736" s="399"/>
      <c r="T736" s="399" t="s">
        <v>125</v>
      </c>
      <c r="U736" s="401">
        <f t="shared" si="2306"/>
        <v>0.39456000000000002</v>
      </c>
      <c r="V736" s="399" t="s">
        <v>125</v>
      </c>
      <c r="W736" s="399">
        <f t="shared" ref="W736" si="2312">IF(D718-MAX(D718/4,2*G716)*2&gt;0,ROUND((D718-MAX(D718/4,2*G716)*2)/H736,0),0)</f>
        <v>3</v>
      </c>
      <c r="X736" s="399" t="s">
        <v>125</v>
      </c>
      <c r="Y736" s="389">
        <f t="shared" ref="Y736" si="2313">D721</f>
        <v>1</v>
      </c>
      <c r="Z736" s="400" t="s">
        <v>176</v>
      </c>
      <c r="AA736" s="402">
        <f t="shared" si="2309"/>
        <v>1.2191904000000002</v>
      </c>
      <c r="AB736" s="403"/>
    </row>
    <row r="737" spans="1:28">
      <c r="A737" s="384" t="str">
        <f t="shared" ref="A737:B737" si="2314">A715</f>
        <v>Lantai 1</v>
      </c>
      <c r="B737" s="385">
        <f t="shared" si="2314"/>
        <v>23</v>
      </c>
      <c r="C737" s="393" t="s">
        <v>211</v>
      </c>
      <c r="D737" s="398">
        <f>VLOOKUP(D715,'Detail Balok'!$C$10:$AU$140,41,FALSE)</f>
        <v>0</v>
      </c>
      <c r="E737" s="388" t="s">
        <v>16</v>
      </c>
      <c r="F737" s="388">
        <f>VLOOKUP(D715,'Detail Balok'!$C$10:$AU$140,43,FALSE)</f>
        <v>8</v>
      </c>
      <c r="G737" s="405" t="s">
        <v>157</v>
      </c>
      <c r="H737" s="395">
        <f>VLOOKUP(D715,'Detail Balok'!$C$10:$AU$140,45,FALSE)</f>
        <v>150</v>
      </c>
      <c r="I737" s="388"/>
      <c r="J737" s="400">
        <f t="shared" ref="J737" si="2315">(IF(D737=0,(2*(D716+G716))-(F$5*8),IF(D737=3,(2*(D716+G716))-(F$5*8)+(G716-2*F$5),IF(D737=4,(2*(D716+G716))-(F$5*8)+2*(G716-2*F$5)))))/1000</f>
        <v>0.88</v>
      </c>
      <c r="K737" s="400" t="s">
        <v>204</v>
      </c>
      <c r="L737" s="399">
        <f t="shared" si="2304"/>
        <v>0.15</v>
      </c>
      <c r="M737" s="399" t="s">
        <v>176</v>
      </c>
      <c r="N737" s="399">
        <f t="shared" si="2305"/>
        <v>1.03</v>
      </c>
      <c r="O737" s="399"/>
      <c r="P737" s="389"/>
      <c r="Q737" s="399"/>
      <c r="R737" s="399"/>
      <c r="S737" s="399"/>
      <c r="T737" s="399" t="s">
        <v>125</v>
      </c>
      <c r="U737" s="401">
        <f t="shared" si="2306"/>
        <v>0.39456000000000002</v>
      </c>
      <c r="V737" s="399" t="s">
        <v>125</v>
      </c>
      <c r="W737" s="399">
        <f t="shared" ref="W737" si="2316">IF(D718&gt;4*G716,ROUND(MAX(D718/4,2*G716)/H737,0)+1,0)</f>
        <v>6</v>
      </c>
      <c r="X737" s="399" t="s">
        <v>125</v>
      </c>
      <c r="Y737" s="389">
        <f t="shared" ref="Y737" si="2317">D721</f>
        <v>1</v>
      </c>
      <c r="Z737" s="400" t="s">
        <v>176</v>
      </c>
      <c r="AA737" s="402">
        <f t="shared" si="2309"/>
        <v>2.4383808000000005</v>
      </c>
      <c r="AB737" s="403"/>
    </row>
    <row r="738" spans="1:28">
      <c r="A738" s="384"/>
      <c r="B738" s="385"/>
      <c r="C738" s="393"/>
      <c r="D738" s="394"/>
      <c r="E738" s="388"/>
      <c r="F738" s="388"/>
      <c r="G738" s="388"/>
      <c r="H738" s="395"/>
      <c r="I738" s="388"/>
      <c r="J738" s="399"/>
      <c r="K738" s="396"/>
      <c r="L738" s="396"/>
      <c r="M738" s="396"/>
      <c r="N738" s="396"/>
      <c r="O738" s="396"/>
      <c r="P738" s="389"/>
      <c r="Q738" s="396"/>
      <c r="R738" s="396"/>
      <c r="S738" s="396"/>
      <c r="T738" s="396"/>
      <c r="U738" s="401"/>
      <c r="V738" s="396"/>
      <c r="W738" s="388"/>
      <c r="X738" s="396"/>
      <c r="Y738" s="389"/>
      <c r="Z738" s="396"/>
      <c r="AA738" s="388"/>
      <c r="AB738" s="390"/>
    </row>
    <row r="739" spans="1:28">
      <c r="A739" s="384" t="str">
        <f t="shared" ref="A739:B739" si="2318">A715</f>
        <v>Lantai 1</v>
      </c>
      <c r="B739" s="385">
        <f t="shared" si="2318"/>
        <v>23</v>
      </c>
      <c r="C739" s="393" t="s">
        <v>213</v>
      </c>
      <c r="D739" s="398">
        <f>VLOOKUP(D715,'Detail Balok'!$C$10:$BJ$140,46,FALSE)</f>
        <v>0</v>
      </c>
      <c r="E739" s="388" t="s">
        <v>16</v>
      </c>
      <c r="F739" s="388">
        <f>VLOOKUP(D715,'Detail Balok'!$C$10:$BJ$140,48,FALSE)</f>
        <v>0</v>
      </c>
      <c r="G739" s="405" t="s">
        <v>157</v>
      </c>
      <c r="H739" s="395">
        <f>VLOOKUP(D715,'Detail Balok'!$C$10:$BJ$140,50,FALSE)</f>
        <v>100</v>
      </c>
      <c r="I739" s="388"/>
      <c r="J739" s="399">
        <f t="shared" ref="J739" si="2319">(D716-2*F$5)/1000</f>
        <v>0.12</v>
      </c>
      <c r="K739" s="400" t="s">
        <v>204</v>
      </c>
      <c r="L739" s="399">
        <f t="shared" ref="L739:L741" si="2320">IF(D739=0,2*MAX(6*F739,75),(D739-1)*2*MAX(6*F739,75))/1000</f>
        <v>0.15</v>
      </c>
      <c r="M739" s="399" t="s">
        <v>176</v>
      </c>
      <c r="N739" s="399">
        <f t="shared" ref="N739:N741" si="2321">J739+L739</f>
        <v>0.27</v>
      </c>
      <c r="O739" s="399"/>
      <c r="P739" s="399"/>
      <c r="Q739" s="399"/>
      <c r="R739" s="399"/>
      <c r="S739" s="399"/>
      <c r="T739" s="399" t="s">
        <v>125</v>
      </c>
      <c r="U739" s="401">
        <f t="shared" ref="U739:U741" si="2322">0.006165*F739^2</f>
        <v>0</v>
      </c>
      <c r="V739" s="399" t="s">
        <v>125</v>
      </c>
      <c r="W739" s="399">
        <f t="shared" si="2227"/>
        <v>6</v>
      </c>
      <c r="X739" s="399" t="s">
        <v>125</v>
      </c>
      <c r="Y739" s="389">
        <f t="shared" ref="Y739" si="2323">D725</f>
        <v>3</v>
      </c>
      <c r="Z739" s="400" t="s">
        <v>176</v>
      </c>
      <c r="AA739" s="402">
        <f t="shared" ref="AA739:AA741" si="2324">N739*U739*W739*Y739</f>
        <v>0</v>
      </c>
      <c r="AB739" s="403"/>
    </row>
    <row r="740" spans="1:28">
      <c r="A740" s="384" t="str">
        <f t="shared" ref="A740:B740" si="2325">A715</f>
        <v>Lantai 1</v>
      </c>
      <c r="B740" s="385">
        <f t="shared" si="2325"/>
        <v>23</v>
      </c>
      <c r="C740" s="393" t="s">
        <v>214</v>
      </c>
      <c r="D740" s="398">
        <f>VLOOKUP(D715,'Detail Balok'!$C$10:$BJ$140,51,FALSE)</f>
        <v>0</v>
      </c>
      <c r="E740" s="388" t="s">
        <v>16</v>
      </c>
      <c r="F740" s="388">
        <f>VLOOKUP(D715,'Detail Balok'!$C$10:$BJ$140,53,FALSE)</f>
        <v>0</v>
      </c>
      <c r="G740" s="405" t="s">
        <v>157</v>
      </c>
      <c r="H740" s="395">
        <f>VLOOKUP(D715,'Detail Balok'!$C$10:$BJ$140,55,FALSE)</f>
        <v>100</v>
      </c>
      <c r="I740" s="388"/>
      <c r="J740" s="399">
        <f t="shared" ref="J740" si="2326">(D716-2*F$5)/1000</f>
        <v>0.12</v>
      </c>
      <c r="K740" s="400" t="s">
        <v>204</v>
      </c>
      <c r="L740" s="399">
        <f t="shared" si="2320"/>
        <v>0.15</v>
      </c>
      <c r="M740" s="399" t="s">
        <v>176</v>
      </c>
      <c r="N740" s="399">
        <f t="shared" si="2321"/>
        <v>0.27</v>
      </c>
      <c r="O740" s="399"/>
      <c r="P740" s="399"/>
      <c r="Q740" s="399"/>
      <c r="R740" s="399"/>
      <c r="S740" s="399"/>
      <c r="T740" s="399" t="s">
        <v>125</v>
      </c>
      <c r="U740" s="401">
        <f t="shared" si="2322"/>
        <v>0</v>
      </c>
      <c r="V740" s="399" t="s">
        <v>125</v>
      </c>
      <c r="W740" s="399">
        <f t="shared" si="2227"/>
        <v>3</v>
      </c>
      <c r="X740" s="399" t="s">
        <v>125</v>
      </c>
      <c r="Y740" s="389">
        <f t="shared" ref="Y740" si="2327">D725</f>
        <v>3</v>
      </c>
      <c r="Z740" s="400" t="s">
        <v>176</v>
      </c>
      <c r="AA740" s="402">
        <f t="shared" si="2324"/>
        <v>0</v>
      </c>
      <c r="AB740" s="403"/>
    </row>
    <row r="741" spans="1:28">
      <c r="A741" s="384" t="str">
        <f t="shared" ref="A741:B741" si="2328">A715</f>
        <v>Lantai 1</v>
      </c>
      <c r="B741" s="385">
        <f t="shared" si="2328"/>
        <v>23</v>
      </c>
      <c r="C741" s="393" t="s">
        <v>213</v>
      </c>
      <c r="D741" s="398">
        <f>VLOOKUP(D715,'Detail Balok'!$C$10:$BJ$140,56,FALSE)</f>
        <v>0</v>
      </c>
      <c r="E741" s="388" t="s">
        <v>16</v>
      </c>
      <c r="F741" s="388">
        <f>VLOOKUP(D715,'Detail Balok'!$C$10:$BJ$140,58,FALSE)</f>
        <v>0</v>
      </c>
      <c r="G741" s="405" t="s">
        <v>157</v>
      </c>
      <c r="H741" s="395">
        <f>VLOOKUP(D715,'Detail Balok'!$C$10:$BJ$140,60,FALSE)</f>
        <v>100</v>
      </c>
      <c r="I741" s="388"/>
      <c r="J741" s="399">
        <f t="shared" ref="J741" si="2329">(D716-2*F$5)/1000</f>
        <v>0.12</v>
      </c>
      <c r="K741" s="400" t="s">
        <v>204</v>
      </c>
      <c r="L741" s="399">
        <f t="shared" si="2320"/>
        <v>0.15</v>
      </c>
      <c r="M741" s="399" t="s">
        <v>176</v>
      </c>
      <c r="N741" s="399">
        <f t="shared" si="2321"/>
        <v>0.27</v>
      </c>
      <c r="O741" s="399"/>
      <c r="P741" s="399"/>
      <c r="Q741" s="399"/>
      <c r="R741" s="399"/>
      <c r="S741" s="399"/>
      <c r="T741" s="399" t="s">
        <v>125</v>
      </c>
      <c r="U741" s="401">
        <f t="shared" si="2322"/>
        <v>0</v>
      </c>
      <c r="V741" s="399" t="s">
        <v>125</v>
      </c>
      <c r="W741" s="399">
        <f t="shared" si="2227"/>
        <v>6</v>
      </c>
      <c r="X741" s="399" t="s">
        <v>125</v>
      </c>
      <c r="Y741" s="389">
        <f t="shared" ref="Y741" si="2330">D725</f>
        <v>3</v>
      </c>
      <c r="Z741" s="400" t="s">
        <v>176</v>
      </c>
      <c r="AA741" s="402">
        <f t="shared" si="2324"/>
        <v>0</v>
      </c>
      <c r="AB741" s="403"/>
    </row>
    <row r="742" spans="1:28">
      <c r="A742" s="391"/>
      <c r="B742" s="392"/>
      <c r="C742" s="392"/>
      <c r="D742" s="394"/>
      <c r="E742" s="388"/>
      <c r="F742" s="388"/>
      <c r="G742" s="388"/>
      <c r="H742" s="395"/>
      <c r="I742" s="388"/>
      <c r="J742" s="402"/>
      <c r="K742" s="388"/>
      <c r="L742" s="388"/>
      <c r="M742" s="388"/>
      <c r="N742" s="388"/>
      <c r="O742" s="388"/>
      <c r="P742" s="388"/>
      <c r="Q742" s="388"/>
      <c r="R742" s="388"/>
      <c r="S742" s="388"/>
      <c r="T742" s="388"/>
      <c r="U742" s="388"/>
      <c r="V742" s="388"/>
      <c r="W742" s="388"/>
      <c r="X742" s="388"/>
      <c r="Y742" s="389"/>
      <c r="Z742" s="388"/>
      <c r="AA742" s="402"/>
      <c r="AB742" s="403"/>
    </row>
    <row r="743" spans="1:28" ht="15.75" thickBot="1">
      <c r="A743" s="406"/>
      <c r="B743" s="407"/>
      <c r="C743" s="407"/>
      <c r="D743" s="408"/>
      <c r="E743" s="409"/>
      <c r="F743" s="409"/>
      <c r="G743" s="409"/>
      <c r="H743" s="410"/>
      <c r="I743" s="409"/>
      <c r="J743" s="409"/>
      <c r="K743" s="409"/>
      <c r="L743" s="409"/>
      <c r="M743" s="409"/>
      <c r="N743" s="409"/>
      <c r="O743" s="409"/>
      <c r="P743" s="409"/>
      <c r="Q743" s="409"/>
      <c r="R743" s="409"/>
      <c r="S743" s="409"/>
      <c r="T743" s="409"/>
      <c r="U743" s="409"/>
      <c r="V743" s="409"/>
      <c r="W743" s="409"/>
      <c r="X743" s="409"/>
      <c r="Y743" s="411"/>
      <c r="Z743" s="409"/>
      <c r="AA743" s="412"/>
      <c r="AB743" s="413"/>
    </row>
    <row r="744" spans="1:28">
      <c r="A744" s="377"/>
      <c r="B744" s="378"/>
      <c r="C744" s="378"/>
      <c r="D744" s="379"/>
      <c r="E744" s="380"/>
      <c r="F744" s="380"/>
      <c r="G744" s="380"/>
      <c r="H744" s="381"/>
      <c r="I744" s="380"/>
      <c r="J744" s="380"/>
      <c r="K744" s="380"/>
      <c r="L744" s="380"/>
      <c r="M744" s="380"/>
      <c r="N744" s="380"/>
      <c r="O744" s="380"/>
      <c r="P744" s="380"/>
      <c r="Q744" s="380"/>
      <c r="R744" s="380"/>
      <c r="S744" s="380"/>
      <c r="T744" s="380"/>
      <c r="U744" s="380"/>
      <c r="V744" s="380"/>
      <c r="W744" s="380"/>
      <c r="X744" s="380"/>
      <c r="Y744" s="382"/>
      <c r="Z744" s="380"/>
      <c r="AA744" s="380"/>
      <c r="AB744" s="383"/>
    </row>
    <row r="745" spans="1:28">
      <c r="A745" s="384" t="str">
        <f t="shared" si="2236"/>
        <v>Lantai 1</v>
      </c>
      <c r="B745" s="385">
        <f t="shared" si="2237"/>
        <v>24</v>
      </c>
      <c r="C745" s="386" t="str">
        <f t="shared" ref="C745" si="2331">CONCATENATE(A745," no. ",B745)</f>
        <v>Lantai 1 no. 24</v>
      </c>
      <c r="D745" s="2562" t="str">
        <f>VLOOKUP(C745,'Data Panjang Balok'!$C$9:$N$254,2,FALSE)</f>
        <v>S24-1</v>
      </c>
      <c r="E745" s="2576"/>
      <c r="F745" s="2576"/>
      <c r="G745" s="2576"/>
      <c r="H745" s="2577"/>
      <c r="I745" s="387"/>
      <c r="J745" s="388"/>
      <c r="K745" s="388"/>
      <c r="L745" s="388"/>
      <c r="M745" s="388"/>
      <c r="N745" s="388"/>
      <c r="O745" s="388"/>
      <c r="P745" s="388"/>
      <c r="Q745" s="388"/>
      <c r="R745" s="388"/>
      <c r="S745" s="388"/>
      <c r="T745" s="388"/>
      <c r="U745" s="388"/>
      <c r="V745" s="388"/>
      <c r="W745" s="388"/>
      <c r="X745" s="388"/>
      <c r="Y745" s="389"/>
      <c r="Z745" s="388"/>
      <c r="AA745" s="388"/>
      <c r="AB745" s="390"/>
    </row>
    <row r="746" spans="1:28">
      <c r="A746" s="391"/>
      <c r="B746" s="392"/>
      <c r="C746" s="393" t="s">
        <v>118</v>
      </c>
      <c r="D746" s="2578">
        <f>VLOOKUP(D745,'Detail Balok'!$C$10:$AU$140,2,FALSE)</f>
        <v>200</v>
      </c>
      <c r="E746" s="2579"/>
      <c r="F746" s="388" t="s">
        <v>125</v>
      </c>
      <c r="G746" s="2579">
        <f>VLOOKUP(D745,'Detail Balok'!$C$10:$AU$140,3,FALSE)</f>
        <v>400</v>
      </c>
      <c r="H746" s="2580"/>
      <c r="I746" s="388"/>
      <c r="J746" s="396"/>
      <c r="K746" s="396"/>
      <c r="L746" s="396"/>
      <c r="M746" s="396"/>
      <c r="N746" s="396"/>
      <c r="O746" s="396"/>
      <c r="P746" s="396"/>
      <c r="Q746" s="396"/>
      <c r="R746" s="396"/>
      <c r="S746" s="396"/>
      <c r="T746" s="396"/>
      <c r="U746" s="388"/>
      <c r="V746" s="396"/>
      <c r="W746" s="388"/>
      <c r="X746" s="396"/>
      <c r="Y746" s="389"/>
      <c r="Z746" s="396"/>
      <c r="AA746" s="388"/>
      <c r="AB746" s="390"/>
    </row>
    <row r="747" spans="1:28">
      <c r="A747" s="391"/>
      <c r="B747" s="392"/>
      <c r="C747" s="393" t="s">
        <v>198</v>
      </c>
      <c r="D747" s="2562">
        <f>VLOOKUP(C745,'Data Panjang Balok'!$C$9:$N$254,4,FALSE)</f>
        <v>1675</v>
      </c>
      <c r="E747" s="2563"/>
      <c r="F747" s="2563"/>
      <c r="G747" s="2563"/>
      <c r="H747" s="2564"/>
      <c r="I747" s="397"/>
      <c r="J747" s="396"/>
      <c r="K747" s="396"/>
      <c r="L747" s="396"/>
      <c r="M747" s="396"/>
      <c r="N747" s="396"/>
      <c r="O747" s="396"/>
      <c r="P747" s="396"/>
      <c r="Q747" s="396"/>
      <c r="R747" s="396"/>
      <c r="S747" s="396"/>
      <c r="T747" s="396"/>
      <c r="U747" s="388"/>
      <c r="V747" s="396"/>
      <c r="W747" s="388"/>
      <c r="X747" s="396"/>
      <c r="Y747" s="389"/>
      <c r="Z747" s="396"/>
      <c r="AA747" s="388"/>
      <c r="AB747" s="390"/>
    </row>
    <row r="748" spans="1:28">
      <c r="A748" s="391"/>
      <c r="B748" s="392"/>
      <c r="C748" s="393" t="s">
        <v>199</v>
      </c>
      <c r="D748" s="2562">
        <f>VLOOKUP(C745,'Data Panjang Balok'!$C$9:$N$254,7,FALSE)</f>
        <v>1675</v>
      </c>
      <c r="E748" s="2563"/>
      <c r="F748" s="2563"/>
      <c r="G748" s="2563"/>
      <c r="H748" s="2564"/>
      <c r="I748" s="397"/>
      <c r="J748" s="396"/>
      <c r="K748" s="396"/>
      <c r="L748" s="396"/>
      <c r="M748" s="396"/>
      <c r="N748" s="396"/>
      <c r="O748" s="396"/>
      <c r="P748" s="396"/>
      <c r="Q748" s="396"/>
      <c r="R748" s="396"/>
      <c r="S748" s="396"/>
      <c r="T748" s="396"/>
      <c r="U748" s="388"/>
      <c r="V748" s="396"/>
      <c r="W748" s="388"/>
      <c r="X748" s="396"/>
      <c r="Y748" s="389"/>
      <c r="Z748" s="396"/>
      <c r="AA748" s="388"/>
      <c r="AB748" s="390"/>
    </row>
    <row r="749" spans="1:28">
      <c r="A749" s="391"/>
      <c r="B749" s="392"/>
      <c r="C749" s="393" t="s">
        <v>200</v>
      </c>
      <c r="D749" s="2562">
        <f>VLOOKUP(C745,'Data Panjang Balok'!$C$9:$N$254,9,FALSE)</f>
        <v>0</v>
      </c>
      <c r="E749" s="2563"/>
      <c r="F749" s="2563"/>
      <c r="G749" s="2563"/>
      <c r="H749" s="2564"/>
      <c r="I749" s="397"/>
      <c r="J749" s="396"/>
      <c r="K749" s="396"/>
      <c r="L749" s="396"/>
      <c r="M749" s="396"/>
      <c r="N749" s="396"/>
      <c r="O749" s="396"/>
      <c r="P749" s="396"/>
      <c r="Q749" s="396"/>
      <c r="R749" s="396"/>
      <c r="S749" s="396"/>
      <c r="T749" s="396"/>
      <c r="U749" s="388"/>
      <c r="V749" s="396"/>
      <c r="W749" s="388"/>
      <c r="X749" s="396"/>
      <c r="Y749" s="389"/>
      <c r="Z749" s="396"/>
      <c r="AA749" s="388"/>
      <c r="AB749" s="390"/>
    </row>
    <row r="750" spans="1:28">
      <c r="A750" s="391"/>
      <c r="B750" s="392"/>
      <c r="C750" s="393" t="s">
        <v>201</v>
      </c>
      <c r="D750" s="2562">
        <f>VLOOKUP(C745,'Data Panjang Balok'!$C$9:$N$254,10,FALSE)</f>
        <v>0</v>
      </c>
      <c r="E750" s="2563"/>
      <c r="F750" s="2563"/>
      <c r="G750" s="2563"/>
      <c r="H750" s="2564"/>
      <c r="I750" s="397"/>
      <c r="J750" s="396"/>
      <c r="K750" s="396"/>
      <c r="L750" s="396"/>
      <c r="M750" s="396"/>
      <c r="N750" s="396"/>
      <c r="O750" s="396"/>
      <c r="P750" s="396"/>
      <c r="Q750" s="396"/>
      <c r="R750" s="396"/>
      <c r="S750" s="396"/>
      <c r="T750" s="396"/>
      <c r="U750" s="388"/>
      <c r="V750" s="396"/>
      <c r="W750" s="388"/>
      <c r="X750" s="396"/>
      <c r="Y750" s="389"/>
      <c r="Z750" s="396"/>
      <c r="AA750" s="388"/>
      <c r="AB750" s="390"/>
    </row>
    <row r="751" spans="1:28">
      <c r="A751" s="391"/>
      <c r="B751" s="392"/>
      <c r="C751" s="393" t="s">
        <v>48</v>
      </c>
      <c r="D751" s="2562">
        <f>VLOOKUP(C745,'Data Panjang Balok'!$C$9:$N$254,3,FALSE)</f>
        <v>1</v>
      </c>
      <c r="E751" s="2563"/>
      <c r="F751" s="2563"/>
      <c r="G751" s="2563"/>
      <c r="H751" s="2564"/>
      <c r="I751" s="397"/>
      <c r="J751" s="396"/>
      <c r="K751" s="396"/>
      <c r="L751" s="396"/>
      <c r="M751" s="396"/>
      <c r="N751" s="396"/>
      <c r="O751" s="396"/>
      <c r="P751" s="396"/>
      <c r="Q751" s="396"/>
      <c r="R751" s="396"/>
      <c r="S751" s="396"/>
      <c r="T751" s="396"/>
      <c r="U751" s="388"/>
      <c r="V751" s="396"/>
      <c r="W751" s="388"/>
      <c r="X751" s="396"/>
      <c r="Y751" s="389"/>
      <c r="Z751" s="396"/>
      <c r="AA751" s="388"/>
      <c r="AB751" s="390"/>
    </row>
    <row r="752" spans="1:28">
      <c r="A752" s="384" t="str">
        <f t="shared" ref="A752:B752" si="2332">A745</f>
        <v>Lantai 1</v>
      </c>
      <c r="B752" s="385">
        <f t="shared" si="2332"/>
        <v>24</v>
      </c>
      <c r="C752" s="393" t="s">
        <v>202</v>
      </c>
      <c r="D752" s="398">
        <f>VLOOKUP(D745,'Detail Balok'!$C$10:$AU$140,4,FALSE)</f>
        <v>3</v>
      </c>
      <c r="E752" s="388" t="s">
        <v>16</v>
      </c>
      <c r="F752" s="388">
        <f>VLOOKUP(D745,'Detail Balok'!$C$10:$AU$140,6,FALSE)</f>
        <v>13</v>
      </c>
      <c r="G752" s="388"/>
      <c r="H752" s="395"/>
      <c r="I752" s="388" t="s">
        <v>203</v>
      </c>
      <c r="J752" s="399">
        <f t="shared" ref="J752" si="2333">+D747/4/1000</f>
        <v>0.41875000000000001</v>
      </c>
      <c r="K752" s="400" t="s">
        <v>204</v>
      </c>
      <c r="L752" s="399">
        <f t="shared" ref="L752" si="2334">MAX(VLOOKUP(F752,N$6:P$15,3,FALSE)/1000,2/3*D749/1000)+F$16*F752/1000</f>
        <v>0.156</v>
      </c>
      <c r="M752" s="399" t="s">
        <v>176</v>
      </c>
      <c r="N752" s="399">
        <f t="shared" ref="N752:N754" si="2335">J752+L752</f>
        <v>0.57474999999999998</v>
      </c>
      <c r="O752" s="399" t="s">
        <v>204</v>
      </c>
      <c r="P752" s="389">
        <f t="shared" ref="P752" si="2336">D752-D753</f>
        <v>0</v>
      </c>
      <c r="Q752" s="399" t="s">
        <v>125</v>
      </c>
      <c r="R752" s="399">
        <f t="shared" ref="R752" si="2337">IF(P752&gt;0,$F$18*F752/1000,0)</f>
        <v>0</v>
      </c>
      <c r="S752" s="399" t="s">
        <v>205</v>
      </c>
      <c r="T752" s="399" t="s">
        <v>125</v>
      </c>
      <c r="U752" s="401">
        <f t="shared" ref="U752:U754" si="2338">0.006165*F752^2</f>
        <v>1.041885</v>
      </c>
      <c r="V752" s="399"/>
      <c r="W752" s="399"/>
      <c r="X752" s="399" t="s">
        <v>125</v>
      </c>
      <c r="Y752" s="389">
        <f t="shared" ref="Y752" si="2339">D751</f>
        <v>1</v>
      </c>
      <c r="Z752" s="400" t="s">
        <v>176</v>
      </c>
      <c r="AA752" s="402">
        <f t="shared" ref="AA752" si="2340">IF(AA755=0,(D752*N752+P752*R752)*U752*Y752,0)</f>
        <v>0</v>
      </c>
      <c r="AB752" s="403"/>
    </row>
    <row r="753" spans="1:28">
      <c r="A753" s="384" t="str">
        <f t="shared" ref="A753:B753" si="2341">A745</f>
        <v>Lantai 1</v>
      </c>
      <c r="B753" s="385">
        <f t="shared" si="2341"/>
        <v>24</v>
      </c>
      <c r="C753" s="393" t="s">
        <v>206</v>
      </c>
      <c r="D753" s="398">
        <f>VLOOKUP(D745,'Detail Balok'!$C$10:$AU$140,7,FALSE)</f>
        <v>3</v>
      </c>
      <c r="E753" s="388" t="s">
        <v>16</v>
      </c>
      <c r="F753" s="388">
        <f>VLOOKUP(D745,'Detail Balok'!$C$10:$AU$140,9,FALSE)</f>
        <v>13</v>
      </c>
      <c r="G753" s="388"/>
      <c r="H753" s="395"/>
      <c r="I753" s="388" t="s">
        <v>203</v>
      </c>
      <c r="J753" s="399">
        <f t="shared" ref="J753" si="2342">+D747/2/1000</f>
        <v>0.83750000000000002</v>
      </c>
      <c r="K753" s="400" t="s">
        <v>204</v>
      </c>
      <c r="L753" s="399"/>
      <c r="M753" s="399" t="s">
        <v>176</v>
      </c>
      <c r="N753" s="399">
        <f t="shared" si="2335"/>
        <v>0.83750000000000002</v>
      </c>
      <c r="O753" s="399" t="s">
        <v>204</v>
      </c>
      <c r="P753" s="389">
        <f t="shared" ref="P753" si="2343">MAX(D753-D752,D753-D754)</f>
        <v>0</v>
      </c>
      <c r="Q753" s="399" t="s">
        <v>125</v>
      </c>
      <c r="R753" s="399">
        <f t="shared" ref="R753" si="2344">IF(P753&gt;0,2*(1-2*$F$19-1/2)*D748/1000,0)</f>
        <v>0</v>
      </c>
      <c r="S753" s="399" t="s">
        <v>205</v>
      </c>
      <c r="T753" s="399" t="s">
        <v>125</v>
      </c>
      <c r="U753" s="401">
        <f t="shared" si="2338"/>
        <v>1.041885</v>
      </c>
      <c r="V753" s="399"/>
      <c r="W753" s="399"/>
      <c r="X753" s="399" t="s">
        <v>125</v>
      </c>
      <c r="Y753" s="389">
        <f t="shared" ref="Y753" si="2345">D751</f>
        <v>1</v>
      </c>
      <c r="Z753" s="400" t="s">
        <v>176</v>
      </c>
      <c r="AA753" s="402">
        <f t="shared" ref="AA753" si="2346">IF(AA755=0,(D753*N753+P753*R753)*U753*Y753,0)</f>
        <v>0</v>
      </c>
      <c r="AB753" s="403"/>
    </row>
    <row r="754" spans="1:28">
      <c r="A754" s="384" t="str">
        <f t="shared" ref="A754:B754" si="2347">A745</f>
        <v>Lantai 1</v>
      </c>
      <c r="B754" s="385">
        <f t="shared" si="2347"/>
        <v>24</v>
      </c>
      <c r="C754" s="393" t="s">
        <v>202</v>
      </c>
      <c r="D754" s="398">
        <f>VLOOKUP(D745,'Detail Balok'!$C$10:$AU$140,10,FALSE)</f>
        <v>3</v>
      </c>
      <c r="E754" s="388" t="s">
        <v>16</v>
      </c>
      <c r="F754" s="388">
        <f>VLOOKUP(D745,'Detail Balok'!$C$10:$AU$140,12,FALSE)</f>
        <v>13</v>
      </c>
      <c r="G754" s="388"/>
      <c r="H754" s="395"/>
      <c r="I754" s="388" t="s">
        <v>203</v>
      </c>
      <c r="J754" s="399">
        <f t="shared" ref="J754" si="2348">+D747/4/1000</f>
        <v>0.41875000000000001</v>
      </c>
      <c r="K754" s="400" t="s">
        <v>204</v>
      </c>
      <c r="L754" s="399">
        <f t="shared" ref="L754" si="2349">MAX(VLOOKUP(F754,N$6:P$15,3,FALSE)/1000,2/3*D749/1000)+F$16*F754/1000</f>
        <v>0.156</v>
      </c>
      <c r="M754" s="399" t="s">
        <v>176</v>
      </c>
      <c r="N754" s="399">
        <f t="shared" si="2335"/>
        <v>0.57474999999999998</v>
      </c>
      <c r="O754" s="399" t="s">
        <v>204</v>
      </c>
      <c r="P754" s="389">
        <f t="shared" ref="P754" si="2350">D754-D753</f>
        <v>0</v>
      </c>
      <c r="Q754" s="399" t="s">
        <v>125</v>
      </c>
      <c r="R754" s="399">
        <f t="shared" ref="R754" si="2351">IF(P754&gt;0,$F$18*F754/1000,0)</f>
        <v>0</v>
      </c>
      <c r="S754" s="399" t="s">
        <v>205</v>
      </c>
      <c r="T754" s="399" t="s">
        <v>125</v>
      </c>
      <c r="U754" s="401">
        <f t="shared" si="2338"/>
        <v>1.041885</v>
      </c>
      <c r="V754" s="399"/>
      <c r="W754" s="399"/>
      <c r="X754" s="399" t="s">
        <v>125</v>
      </c>
      <c r="Y754" s="389">
        <f t="shared" ref="Y754" si="2352">D751</f>
        <v>1</v>
      </c>
      <c r="Z754" s="400" t="s">
        <v>176</v>
      </c>
      <c r="AA754" s="402">
        <f t="shared" ref="AA754" si="2353">IF(AA755=0,(D754*N754+P754*R754)*U754*Y754,0)</f>
        <v>0</v>
      </c>
      <c r="AB754" s="403"/>
    </row>
    <row r="755" spans="1:28">
      <c r="A755" s="384" t="str">
        <f t="shared" ref="A755:B755" si="2354">A745</f>
        <v>Lantai 1</v>
      </c>
      <c r="B755" s="385">
        <f t="shared" si="2354"/>
        <v>24</v>
      </c>
      <c r="C755" s="393"/>
      <c r="D755" s="398">
        <f t="shared" si="2157"/>
        <v>3</v>
      </c>
      <c r="E755" s="388" t="s">
        <v>16</v>
      </c>
      <c r="F755" s="388">
        <f t="shared" si="2158"/>
        <v>13</v>
      </c>
      <c r="G755" s="388"/>
      <c r="H755" s="395"/>
      <c r="I755" s="388"/>
      <c r="J755" s="396"/>
      <c r="K755" s="396"/>
      <c r="L755" s="404" t="s">
        <v>207</v>
      </c>
      <c r="M755" s="399" t="s">
        <v>176</v>
      </c>
      <c r="N755" s="399">
        <f t="shared" ref="N755" si="2355">IF(AND(D752=D753,D752=D754,D753=D754,F752=F753,F752=F754,F753=F754),SUM(N752:N754),0)</f>
        <v>1.9870000000000001</v>
      </c>
      <c r="O755" s="399" t="s">
        <v>204</v>
      </c>
      <c r="P755" s="389">
        <f t="shared" ref="P755" si="2356">IF(N755&gt;12,ROUNDDOWN(N755/12,0),0)</f>
        <v>0</v>
      </c>
      <c r="Q755" s="399" t="s">
        <v>125</v>
      </c>
      <c r="R755" s="399">
        <f t="shared" ref="R755" si="2357">IF(P755&gt;0,MAX(VLOOKUP(F755,$D$6:$G$15,3,FALSE),600),0)/1000</f>
        <v>0</v>
      </c>
      <c r="S755" s="396"/>
      <c r="T755" s="396" t="s">
        <v>125</v>
      </c>
      <c r="U755" s="401">
        <f t="shared" si="2162"/>
        <v>1.041885</v>
      </c>
      <c r="V755" s="396" t="s">
        <v>125</v>
      </c>
      <c r="W755" s="399">
        <f t="shared" ref="W755" si="2358">D755</f>
        <v>3</v>
      </c>
      <c r="X755" s="399" t="s">
        <v>125</v>
      </c>
      <c r="Y755" s="389">
        <f t="shared" si="2164"/>
        <v>1</v>
      </c>
      <c r="Z755" s="400" t="s">
        <v>176</v>
      </c>
      <c r="AA755" s="402">
        <f t="shared" ref="AA755" si="2359">(N755+P755*R755/1000)*U755*W755*Y755</f>
        <v>6.2106764849999996</v>
      </c>
      <c r="AB755" s="390"/>
    </row>
    <row r="756" spans="1:28">
      <c r="A756" s="384"/>
      <c r="B756" s="385"/>
      <c r="C756" s="393"/>
      <c r="D756" s="398"/>
      <c r="E756" s="388"/>
      <c r="F756" s="388"/>
      <c r="G756" s="388"/>
      <c r="H756" s="395"/>
      <c r="I756" s="388"/>
      <c r="J756" s="396"/>
      <c r="K756" s="396"/>
      <c r="L756" s="404"/>
      <c r="M756" s="399"/>
      <c r="N756" s="399"/>
      <c r="O756" s="396"/>
      <c r="P756" s="389"/>
      <c r="Q756" s="396"/>
      <c r="R756" s="396"/>
      <c r="S756" s="396"/>
      <c r="T756" s="396"/>
      <c r="U756" s="401"/>
      <c r="V756" s="396"/>
      <c r="W756" s="399"/>
      <c r="X756" s="396"/>
      <c r="Y756" s="389"/>
      <c r="Z756" s="396"/>
      <c r="AA756" s="388"/>
      <c r="AB756" s="390"/>
    </row>
    <row r="757" spans="1:28">
      <c r="A757" s="384" t="str">
        <f t="shared" ref="A757:B757" si="2360">A745</f>
        <v>Lantai 1</v>
      </c>
      <c r="B757" s="385">
        <f t="shared" si="2360"/>
        <v>24</v>
      </c>
      <c r="C757" s="393" t="s">
        <v>208</v>
      </c>
      <c r="D757" s="398">
        <f>VLOOKUP(D745,'Detail Balok'!$C$10:$AU$140,13,FALSE)</f>
        <v>0</v>
      </c>
      <c r="E757" s="388" t="s">
        <v>16</v>
      </c>
      <c r="F757" s="388">
        <f>VLOOKUP(D745,'Detail Balok'!$C$10:$AU$140,15,FALSE)</f>
        <v>8</v>
      </c>
      <c r="G757" s="388"/>
      <c r="H757" s="395"/>
      <c r="I757" s="388"/>
      <c r="J757" s="399">
        <f t="shared" ref="J757" si="2361">+D747/1000</f>
        <v>1.675</v>
      </c>
      <c r="K757" s="400" t="s">
        <v>204</v>
      </c>
      <c r="L757" s="399">
        <f t="shared" ref="L757" si="2362">2*$F$16*F757/1000</f>
        <v>0.192</v>
      </c>
      <c r="M757" s="399" t="s">
        <v>176</v>
      </c>
      <c r="N757" s="399">
        <f t="shared" ref="N757" si="2363">J757+L757</f>
        <v>1.867</v>
      </c>
      <c r="O757" s="399" t="s">
        <v>204</v>
      </c>
      <c r="P757" s="389">
        <f t="shared" ref="P757" si="2364">IF(N757&gt;12,ROUNDDOWN(N757/12,0),0)</f>
        <v>0</v>
      </c>
      <c r="Q757" s="399" t="s">
        <v>125</v>
      </c>
      <c r="R757" s="399">
        <f t="shared" ref="R757" si="2365">IF(P757&gt;0,MAX(VLOOKUP(F757,$D$6:$G$15,3,FALSE),600),0)/1000</f>
        <v>0</v>
      </c>
      <c r="S757" s="399"/>
      <c r="T757" s="399" t="s">
        <v>125</v>
      </c>
      <c r="U757" s="401">
        <f t="shared" ref="U757" si="2366">0.006165*F757^2</f>
        <v>0.39456000000000002</v>
      </c>
      <c r="V757" s="399" t="s">
        <v>125</v>
      </c>
      <c r="W757" s="399">
        <f t="shared" ref="W757" si="2367">+D757</f>
        <v>0</v>
      </c>
      <c r="X757" s="399" t="s">
        <v>125</v>
      </c>
      <c r="Y757" s="389">
        <f t="shared" ref="Y757" si="2368">D751</f>
        <v>1</v>
      </c>
      <c r="Z757" s="400" t="s">
        <v>176</v>
      </c>
      <c r="AA757" s="402">
        <f t="shared" ref="AA757" si="2369">(N757+P757*R757/1000)*U757*W757*Y757</f>
        <v>0</v>
      </c>
      <c r="AB757" s="403"/>
    </row>
    <row r="758" spans="1:28">
      <c r="A758" s="384"/>
      <c r="B758" s="385"/>
      <c r="C758" s="393"/>
      <c r="D758" s="398"/>
      <c r="E758" s="388"/>
      <c r="F758" s="388"/>
      <c r="G758" s="388"/>
      <c r="H758" s="395"/>
      <c r="I758" s="388"/>
      <c r="J758" s="399"/>
      <c r="K758" s="400"/>
      <c r="L758" s="399"/>
      <c r="M758" s="399"/>
      <c r="N758" s="399"/>
      <c r="O758" s="399"/>
      <c r="P758" s="389"/>
      <c r="Q758" s="399"/>
      <c r="R758" s="399"/>
      <c r="S758" s="399"/>
      <c r="T758" s="399"/>
      <c r="U758" s="401"/>
      <c r="V758" s="399"/>
      <c r="W758" s="399"/>
      <c r="X758" s="399"/>
      <c r="Y758" s="389"/>
      <c r="Z758" s="400"/>
      <c r="AA758" s="402"/>
      <c r="AB758" s="403"/>
    </row>
    <row r="759" spans="1:28">
      <c r="A759" s="384"/>
      <c r="B759" s="385"/>
      <c r="C759" s="393"/>
      <c r="D759" s="398"/>
      <c r="E759" s="388"/>
      <c r="F759" s="388"/>
      <c r="G759" s="388"/>
      <c r="H759" s="395"/>
      <c r="I759" s="388"/>
      <c r="J759" s="396"/>
      <c r="K759" s="396"/>
      <c r="L759" s="396"/>
      <c r="M759" s="396"/>
      <c r="N759" s="396"/>
      <c r="O759" s="396"/>
      <c r="P759" s="389"/>
      <c r="Q759" s="396"/>
      <c r="R759" s="396"/>
      <c r="S759" s="396"/>
      <c r="T759" s="396"/>
      <c r="U759" s="401"/>
      <c r="V759" s="396"/>
      <c r="W759" s="399"/>
      <c r="X759" s="396"/>
      <c r="Y759" s="389"/>
      <c r="Z759" s="396"/>
      <c r="AA759" s="388"/>
      <c r="AB759" s="390"/>
    </row>
    <row r="760" spans="1:28">
      <c r="A760" s="384" t="str">
        <f t="shared" ref="A760:B760" si="2370">A745</f>
        <v>Lantai 1</v>
      </c>
      <c r="B760" s="385">
        <f t="shared" si="2370"/>
        <v>24</v>
      </c>
      <c r="C760" s="393" t="s">
        <v>209</v>
      </c>
      <c r="D760" s="398">
        <f>VLOOKUP(D745,'Detail Balok'!$C$10:$AU$140,22,FALSE)</f>
        <v>3</v>
      </c>
      <c r="E760" s="388" t="s">
        <v>16</v>
      </c>
      <c r="F760" s="388">
        <f>VLOOKUP(D745,'Detail Balok'!$C$10:$AU$140,24,FALSE)</f>
        <v>13</v>
      </c>
      <c r="G760" s="388"/>
      <c r="H760" s="395"/>
      <c r="I760" s="388" t="s">
        <v>203</v>
      </c>
      <c r="J760" s="399">
        <f t="shared" si="2177"/>
        <v>0.41875000000000001</v>
      </c>
      <c r="K760" s="400" t="s">
        <v>204</v>
      </c>
      <c r="L760" s="399">
        <f t="shared" ref="L760" si="2371">MAX(VLOOKUP(F760,N$6:P$15,3,FALSE)/1000,2/3*D750/1000)+F$16*F760/1000</f>
        <v>0.156</v>
      </c>
      <c r="M760" s="399" t="s">
        <v>176</v>
      </c>
      <c r="N760" s="399">
        <f t="shared" ref="N760:N762" si="2372">J760+L760</f>
        <v>0.57474999999999998</v>
      </c>
      <c r="O760" s="399" t="s">
        <v>204</v>
      </c>
      <c r="P760" s="389">
        <f t="shared" ref="P760" si="2373">D760-D761</f>
        <v>0</v>
      </c>
      <c r="Q760" s="399" t="s">
        <v>125</v>
      </c>
      <c r="R760" s="399">
        <f t="shared" ref="R760" si="2374">IF(P760&gt;0,$F$18*F760/1000,0)</f>
        <v>0</v>
      </c>
      <c r="S760" s="399" t="s">
        <v>205</v>
      </c>
      <c r="T760" s="399" t="s">
        <v>125</v>
      </c>
      <c r="U760" s="401">
        <f t="shared" ref="U760:U762" si="2375">0.006165*F760^2</f>
        <v>1.041885</v>
      </c>
      <c r="V760" s="399"/>
      <c r="W760" s="399"/>
      <c r="X760" s="399" t="s">
        <v>125</v>
      </c>
      <c r="Y760" s="389">
        <f t="shared" ref="Y760" si="2376">D751</f>
        <v>1</v>
      </c>
      <c r="Z760" s="400" t="s">
        <v>176</v>
      </c>
      <c r="AA760" s="402">
        <f t="shared" ref="AA760" si="2377">IF(AA763=0,(D760*N760+P760*R760)*U760*Y760,0)</f>
        <v>0</v>
      </c>
      <c r="AB760" s="403"/>
    </row>
    <row r="761" spans="1:28">
      <c r="A761" s="384" t="str">
        <f t="shared" ref="A761:B761" si="2378">A745</f>
        <v>Lantai 1</v>
      </c>
      <c r="B761" s="385">
        <f t="shared" si="2378"/>
        <v>24</v>
      </c>
      <c r="C761" s="393" t="s">
        <v>210</v>
      </c>
      <c r="D761" s="398">
        <f>VLOOKUP(D745,'Detail Balok'!$C$10:$AU$140,25,FALSE)</f>
        <v>3</v>
      </c>
      <c r="E761" s="388" t="s">
        <v>16</v>
      </c>
      <c r="F761" s="388">
        <f>VLOOKUP(D745,'Detail Balok'!$C$10:$AU$140,27,FALSE)</f>
        <v>13</v>
      </c>
      <c r="G761" s="388"/>
      <c r="H761" s="395"/>
      <c r="I761" s="388" t="s">
        <v>203</v>
      </c>
      <c r="J761" s="399">
        <f t="shared" si="2177"/>
        <v>0.83750000000000002</v>
      </c>
      <c r="K761" s="400" t="s">
        <v>204</v>
      </c>
      <c r="L761" s="399"/>
      <c r="M761" s="399" t="s">
        <v>176</v>
      </c>
      <c r="N761" s="399">
        <f t="shared" si="2372"/>
        <v>0.83750000000000002</v>
      </c>
      <c r="O761" s="399" t="s">
        <v>204</v>
      </c>
      <c r="P761" s="389">
        <f t="shared" ref="P761" si="2379">MAX(D761-D760,D761-D762)</f>
        <v>0</v>
      </c>
      <c r="Q761" s="399" t="s">
        <v>125</v>
      </c>
      <c r="R761" s="399">
        <f t="shared" ref="R761" si="2380">IF(P761&gt;0,2*(1-2*$F$19-1/2)*D748/1000,0)</f>
        <v>0</v>
      </c>
      <c r="S761" s="399" t="s">
        <v>205</v>
      </c>
      <c r="T761" s="399" t="s">
        <v>125</v>
      </c>
      <c r="U761" s="401">
        <f t="shared" si="2375"/>
        <v>1.041885</v>
      </c>
      <c r="V761" s="399"/>
      <c r="W761" s="399"/>
      <c r="X761" s="399" t="s">
        <v>125</v>
      </c>
      <c r="Y761" s="389">
        <f t="shared" ref="Y761" si="2381">D751</f>
        <v>1</v>
      </c>
      <c r="Z761" s="400" t="s">
        <v>176</v>
      </c>
      <c r="AA761" s="402">
        <f t="shared" ref="AA761" si="2382">IF(AA763=0,(D761*N761+P761*R761)*U761*Y761,0)</f>
        <v>0</v>
      </c>
      <c r="AB761" s="403"/>
    </row>
    <row r="762" spans="1:28">
      <c r="A762" s="384" t="str">
        <f t="shared" ref="A762:B762" si="2383">A745</f>
        <v>Lantai 1</v>
      </c>
      <c r="B762" s="385">
        <f t="shared" si="2383"/>
        <v>24</v>
      </c>
      <c r="C762" s="393" t="s">
        <v>209</v>
      </c>
      <c r="D762" s="398">
        <f>VLOOKUP(D745,'Detail Balok'!$C$10:$AU$140,28,FALSE)</f>
        <v>3</v>
      </c>
      <c r="E762" s="388" t="s">
        <v>16</v>
      </c>
      <c r="F762" s="388">
        <f>VLOOKUP(D745,'Detail Balok'!$C$10:$AU$140,30,FALSE)</f>
        <v>13</v>
      </c>
      <c r="G762" s="388"/>
      <c r="H762" s="395"/>
      <c r="I762" s="388" t="s">
        <v>203</v>
      </c>
      <c r="J762" s="399">
        <f t="shared" si="2177"/>
        <v>0.41875000000000001</v>
      </c>
      <c r="K762" s="400" t="s">
        <v>204</v>
      </c>
      <c r="L762" s="399">
        <f t="shared" ref="L762" si="2384">MAX(VLOOKUP(F762,N$6:P$15,3,FALSE)/1000,2/3*D750/1000)+F$16*F762/1000</f>
        <v>0.156</v>
      </c>
      <c r="M762" s="399" t="s">
        <v>176</v>
      </c>
      <c r="N762" s="399">
        <f t="shared" si="2372"/>
        <v>0.57474999999999998</v>
      </c>
      <c r="O762" s="399" t="s">
        <v>204</v>
      </c>
      <c r="P762" s="389">
        <f t="shared" ref="P762" si="2385">D762-D761</f>
        <v>0</v>
      </c>
      <c r="Q762" s="399" t="s">
        <v>125</v>
      </c>
      <c r="R762" s="399">
        <f t="shared" ref="R762" si="2386">IF(P762&gt;0,$F$18*F762/1000,0)</f>
        <v>0</v>
      </c>
      <c r="S762" s="399" t="s">
        <v>205</v>
      </c>
      <c r="T762" s="399" t="s">
        <v>125</v>
      </c>
      <c r="U762" s="401">
        <f t="shared" si="2375"/>
        <v>1.041885</v>
      </c>
      <c r="V762" s="399"/>
      <c r="W762" s="399"/>
      <c r="X762" s="399" t="s">
        <v>125</v>
      </c>
      <c r="Y762" s="389">
        <f t="shared" ref="Y762" si="2387">D751</f>
        <v>1</v>
      </c>
      <c r="Z762" s="400" t="s">
        <v>176</v>
      </c>
      <c r="AA762" s="402">
        <f t="shared" ref="AA762" si="2388">IF(AA763=0,(D762*N762+P762*R762)*U762*Y762,0)</f>
        <v>0</v>
      </c>
      <c r="AB762" s="403"/>
    </row>
    <row r="763" spans="1:28">
      <c r="A763" s="384" t="str">
        <f t="shared" ref="A763:B763" si="2389">A745</f>
        <v>Lantai 1</v>
      </c>
      <c r="B763" s="385">
        <f t="shared" si="2389"/>
        <v>24</v>
      </c>
      <c r="C763" s="393"/>
      <c r="D763" s="398">
        <f t="shared" si="2197"/>
        <v>3</v>
      </c>
      <c r="E763" s="388" t="s">
        <v>16</v>
      </c>
      <c r="F763" s="388">
        <f t="shared" si="2198"/>
        <v>13</v>
      </c>
      <c r="G763" s="388"/>
      <c r="H763" s="395"/>
      <c r="I763" s="388"/>
      <c r="J763" s="396"/>
      <c r="K763" s="396"/>
      <c r="L763" s="404" t="s">
        <v>207</v>
      </c>
      <c r="M763" s="399" t="s">
        <v>176</v>
      </c>
      <c r="N763" s="399">
        <f t="shared" ref="N763" si="2390">IF(AND(D760=D761,D760=D762,D761=D762,F760=F761,F760=F762,F761=F762),SUM(N760:N762),0)</f>
        <v>1.9870000000000001</v>
      </c>
      <c r="O763" s="399" t="s">
        <v>204</v>
      </c>
      <c r="P763" s="389">
        <f t="shared" ref="P763" si="2391">IF(N763&gt;12,ROUNDDOWN(N763/12,0),0)</f>
        <v>0</v>
      </c>
      <c r="Q763" s="399" t="s">
        <v>125</v>
      </c>
      <c r="R763" s="399">
        <f t="shared" ref="R763" si="2392">IF(P763&gt;0,MAX(VLOOKUP(F763,$D$6:$G$15,3,FALSE),600),0)/1000</f>
        <v>0</v>
      </c>
      <c r="S763" s="396"/>
      <c r="T763" s="396" t="s">
        <v>125</v>
      </c>
      <c r="U763" s="401">
        <f t="shared" si="2202"/>
        <v>1.041885</v>
      </c>
      <c r="V763" s="396" t="s">
        <v>125</v>
      </c>
      <c r="W763" s="399">
        <f t="shared" ref="W763" si="2393">D763</f>
        <v>3</v>
      </c>
      <c r="X763" s="399" t="s">
        <v>125</v>
      </c>
      <c r="Y763" s="389">
        <f t="shared" si="2204"/>
        <v>1</v>
      </c>
      <c r="Z763" s="400" t="s">
        <v>176</v>
      </c>
      <c r="AA763" s="402">
        <f t="shared" ref="AA763" si="2394">(N763+P763*R763/1000)*U763*W763*Y763</f>
        <v>6.2106764849999996</v>
      </c>
      <c r="AB763" s="403"/>
    </row>
    <row r="764" spans="1:28">
      <c r="A764" s="384"/>
      <c r="B764" s="385"/>
      <c r="C764" s="393"/>
      <c r="D764" s="394"/>
      <c r="E764" s="388"/>
      <c r="F764" s="388"/>
      <c r="G764" s="388"/>
      <c r="H764" s="395"/>
      <c r="I764" s="388"/>
      <c r="J764" s="399"/>
      <c r="K764" s="396"/>
      <c r="L764" s="396"/>
      <c r="M764" s="396"/>
      <c r="N764" s="396"/>
      <c r="O764" s="396"/>
      <c r="P764" s="389"/>
      <c r="Q764" s="396"/>
      <c r="R764" s="396"/>
      <c r="S764" s="396"/>
      <c r="T764" s="396"/>
      <c r="U764" s="401"/>
      <c r="V764" s="396"/>
      <c r="W764" s="388"/>
      <c r="X764" s="396"/>
      <c r="Y764" s="389"/>
      <c r="Z764" s="396"/>
      <c r="AA764" s="388"/>
      <c r="AB764" s="390"/>
    </row>
    <row r="765" spans="1:28">
      <c r="A765" s="384" t="str">
        <f t="shared" ref="A765:B765" si="2395">A745</f>
        <v>Lantai 1</v>
      </c>
      <c r="B765" s="385">
        <f t="shared" si="2395"/>
        <v>24</v>
      </c>
      <c r="C765" s="393" t="s">
        <v>211</v>
      </c>
      <c r="D765" s="398">
        <f>VLOOKUP(D745,'Detail Balok'!$C$10:$AU$140,31,FALSE)</f>
        <v>0</v>
      </c>
      <c r="E765" s="388" t="s">
        <v>16</v>
      </c>
      <c r="F765" s="388">
        <f>VLOOKUP(D745,'Detail Balok'!$C$10:$AU$140,33,FALSE)</f>
        <v>8</v>
      </c>
      <c r="G765" s="405" t="s">
        <v>157</v>
      </c>
      <c r="H765" s="395">
        <f>VLOOKUP(D745,'Detail Balok'!$C$10:$AU$140,35,FALSE)</f>
        <v>150</v>
      </c>
      <c r="I765" s="388"/>
      <c r="J765" s="400">
        <f t="shared" ref="J765" si="2396">(IF(D765=0,(2*(D746+G746))-(F$5*8),IF(D765=3,(2*(D746+G746))-(F$5*8)+(G746-2*F$5),IF(D765=4,(2*(D746+G746))-(F$5*8)+2*(G746-2*F$5)))))/1000</f>
        <v>0.88</v>
      </c>
      <c r="K765" s="400" t="s">
        <v>204</v>
      </c>
      <c r="L765" s="399">
        <f t="shared" ref="L765:L767" si="2397">IF(D765=0,2*MAX(6*F765,75),(D765-1)*2*MAX(6*F765,75))/1000</f>
        <v>0.15</v>
      </c>
      <c r="M765" s="399" t="s">
        <v>176</v>
      </c>
      <c r="N765" s="399">
        <f t="shared" ref="N765:N767" si="2398">J765+L765</f>
        <v>1.03</v>
      </c>
      <c r="O765" s="399"/>
      <c r="P765" s="389"/>
      <c r="Q765" s="399"/>
      <c r="R765" s="399"/>
      <c r="S765" s="399"/>
      <c r="T765" s="399" t="s">
        <v>125</v>
      </c>
      <c r="U765" s="401">
        <f t="shared" ref="U765:U767" si="2399">0.006165*F765^2</f>
        <v>0.39456000000000002</v>
      </c>
      <c r="V765" s="399" t="s">
        <v>125</v>
      </c>
      <c r="W765" s="399">
        <f t="shared" ref="W765" si="2400">IF(D748&gt;4*G746,ROUND(MAX(D748/4,2*G746)/H765,0)+1,ROUND(D748/H765,0)+1)</f>
        <v>6</v>
      </c>
      <c r="X765" s="399" t="s">
        <v>125</v>
      </c>
      <c r="Y765" s="389">
        <f t="shared" ref="Y765" si="2401">D751</f>
        <v>1</v>
      </c>
      <c r="Z765" s="400" t="s">
        <v>176</v>
      </c>
      <c r="AA765" s="402">
        <f t="shared" ref="AA765:AA767" si="2402">N765*U765*W765*Y765</f>
        <v>2.4383808000000005</v>
      </c>
      <c r="AB765" s="403"/>
    </row>
    <row r="766" spans="1:28">
      <c r="A766" s="384" t="str">
        <f t="shared" ref="A766:B766" si="2403">A745</f>
        <v>Lantai 1</v>
      </c>
      <c r="B766" s="385">
        <f t="shared" si="2403"/>
        <v>24</v>
      </c>
      <c r="C766" s="393" t="s">
        <v>212</v>
      </c>
      <c r="D766" s="398">
        <f>VLOOKUP(D745,'Detail Balok'!$C$10:$AU$140,36,FALSE)</f>
        <v>0</v>
      </c>
      <c r="E766" s="388" t="s">
        <v>16</v>
      </c>
      <c r="F766" s="388">
        <f>VLOOKUP(D745,'Detail Balok'!$C$10:$AU$140,38,FALSE)</f>
        <v>8</v>
      </c>
      <c r="G766" s="405" t="s">
        <v>157</v>
      </c>
      <c r="H766" s="395">
        <f>VLOOKUP(D745,'Detail Balok'!$C$10:$AU$140,40,FALSE)</f>
        <v>200</v>
      </c>
      <c r="I766" s="388"/>
      <c r="J766" s="400">
        <f t="shared" ref="J766" si="2404">(IF(D766=0,(2*(D746+G746))-(F$5*8),IF(D766=3,(2*(D746+G746))-(F$5*8)+(G746-2*F$5),IF(D766=4,(2*(D746+G746))-(F$5*8)+2*(G746-2*F$5)))))/1000</f>
        <v>0.88</v>
      </c>
      <c r="K766" s="400" t="s">
        <v>204</v>
      </c>
      <c r="L766" s="399">
        <f t="shared" si="2397"/>
        <v>0.15</v>
      </c>
      <c r="M766" s="399" t="s">
        <v>176</v>
      </c>
      <c r="N766" s="399">
        <f t="shared" si="2398"/>
        <v>1.03</v>
      </c>
      <c r="O766" s="399"/>
      <c r="P766" s="389"/>
      <c r="Q766" s="399"/>
      <c r="R766" s="399"/>
      <c r="S766" s="399"/>
      <c r="T766" s="399" t="s">
        <v>125</v>
      </c>
      <c r="U766" s="401">
        <f t="shared" si="2399"/>
        <v>0.39456000000000002</v>
      </c>
      <c r="V766" s="399" t="s">
        <v>125</v>
      </c>
      <c r="W766" s="399">
        <f t="shared" ref="W766" si="2405">IF(D748-MAX(D748/4,2*G746)*2&gt;0,ROUND((D748-MAX(D748/4,2*G746)*2)/H766,0),0)</f>
        <v>0</v>
      </c>
      <c r="X766" s="399" t="s">
        <v>125</v>
      </c>
      <c r="Y766" s="389">
        <f t="shared" ref="Y766" si="2406">D751</f>
        <v>1</v>
      </c>
      <c r="Z766" s="400" t="s">
        <v>176</v>
      </c>
      <c r="AA766" s="402">
        <f t="shared" si="2402"/>
        <v>0</v>
      </c>
      <c r="AB766" s="403"/>
    </row>
    <row r="767" spans="1:28">
      <c r="A767" s="384" t="str">
        <f t="shared" ref="A767:B767" si="2407">A745</f>
        <v>Lantai 1</v>
      </c>
      <c r="B767" s="385">
        <f t="shared" si="2407"/>
        <v>24</v>
      </c>
      <c r="C767" s="393" t="s">
        <v>211</v>
      </c>
      <c r="D767" s="398">
        <f>VLOOKUP(D745,'Detail Balok'!$C$10:$AU$140,41,FALSE)</f>
        <v>0</v>
      </c>
      <c r="E767" s="388" t="s">
        <v>16</v>
      </c>
      <c r="F767" s="388">
        <f>VLOOKUP(D745,'Detail Balok'!$C$10:$AU$140,43,FALSE)</f>
        <v>8</v>
      </c>
      <c r="G767" s="405" t="s">
        <v>157</v>
      </c>
      <c r="H767" s="395">
        <f>VLOOKUP(D745,'Detail Balok'!$C$10:$AU$140,45,FALSE)</f>
        <v>150</v>
      </c>
      <c r="I767" s="388"/>
      <c r="J767" s="400">
        <f t="shared" ref="J767" si="2408">(IF(D767=0,(2*(D746+G746))-(F$5*8),IF(D767=3,(2*(D746+G746))-(F$5*8)+(G746-2*F$5),IF(D767=4,(2*(D746+G746))-(F$5*8)+2*(G746-2*F$5)))))/1000</f>
        <v>0.88</v>
      </c>
      <c r="K767" s="400" t="s">
        <v>204</v>
      </c>
      <c r="L767" s="399">
        <f t="shared" si="2397"/>
        <v>0.15</v>
      </c>
      <c r="M767" s="399" t="s">
        <v>176</v>
      </c>
      <c r="N767" s="399">
        <f t="shared" si="2398"/>
        <v>1.03</v>
      </c>
      <c r="O767" s="399"/>
      <c r="P767" s="389"/>
      <c r="Q767" s="399"/>
      <c r="R767" s="399"/>
      <c r="S767" s="399"/>
      <c r="T767" s="399" t="s">
        <v>125</v>
      </c>
      <c r="U767" s="401">
        <f t="shared" si="2399"/>
        <v>0.39456000000000002</v>
      </c>
      <c r="V767" s="399" t="s">
        <v>125</v>
      </c>
      <c r="W767" s="399">
        <f t="shared" ref="W767" si="2409">IF(D748&gt;4*G746,ROUND(MAX(D748/4,2*G746)/H767,0)+1,0)</f>
        <v>6</v>
      </c>
      <c r="X767" s="399" t="s">
        <v>125</v>
      </c>
      <c r="Y767" s="389">
        <f t="shared" ref="Y767" si="2410">D751</f>
        <v>1</v>
      </c>
      <c r="Z767" s="400" t="s">
        <v>176</v>
      </c>
      <c r="AA767" s="402">
        <f t="shared" si="2402"/>
        <v>2.4383808000000005</v>
      </c>
      <c r="AB767" s="403"/>
    </row>
    <row r="768" spans="1:28">
      <c r="A768" s="384"/>
      <c r="B768" s="385"/>
      <c r="C768" s="393"/>
      <c r="D768" s="394"/>
      <c r="E768" s="388"/>
      <c r="F768" s="388"/>
      <c r="G768" s="388"/>
      <c r="H768" s="395"/>
      <c r="I768" s="388"/>
      <c r="J768" s="399"/>
      <c r="K768" s="396"/>
      <c r="L768" s="396"/>
      <c r="M768" s="396"/>
      <c r="N768" s="396"/>
      <c r="O768" s="396"/>
      <c r="P768" s="389"/>
      <c r="Q768" s="396"/>
      <c r="R768" s="396"/>
      <c r="S768" s="396"/>
      <c r="T768" s="396"/>
      <c r="U768" s="401"/>
      <c r="V768" s="396"/>
      <c r="W768" s="388"/>
      <c r="X768" s="396"/>
      <c r="Y768" s="389"/>
      <c r="Z768" s="396"/>
      <c r="AA768" s="388"/>
      <c r="AB768" s="390"/>
    </row>
    <row r="769" spans="1:28">
      <c r="A769" s="384" t="str">
        <f t="shared" ref="A769:B769" si="2411">A745</f>
        <v>Lantai 1</v>
      </c>
      <c r="B769" s="385">
        <f t="shared" si="2411"/>
        <v>24</v>
      </c>
      <c r="C769" s="393" t="s">
        <v>213</v>
      </c>
      <c r="D769" s="398">
        <f>VLOOKUP(D745,'Detail Balok'!$C$10:$BJ$140,46,FALSE)</f>
        <v>0</v>
      </c>
      <c r="E769" s="388" t="s">
        <v>16</v>
      </c>
      <c r="F769" s="388">
        <f>VLOOKUP(D745,'Detail Balok'!$C$10:$BJ$140,48,FALSE)</f>
        <v>0</v>
      </c>
      <c r="G769" s="405" t="s">
        <v>157</v>
      </c>
      <c r="H769" s="395">
        <f>VLOOKUP(D745,'Detail Balok'!$C$10:$BJ$140,50,FALSE)</f>
        <v>100</v>
      </c>
      <c r="I769" s="388"/>
      <c r="J769" s="399">
        <f t="shared" ref="J769" si="2412">(D746-2*F$5)/1000</f>
        <v>0.12</v>
      </c>
      <c r="K769" s="400" t="s">
        <v>204</v>
      </c>
      <c r="L769" s="399">
        <f t="shared" ref="L769:L771" si="2413">IF(D769=0,2*MAX(6*F769,75),(D769-1)*2*MAX(6*F769,75))/1000</f>
        <v>0.15</v>
      </c>
      <c r="M769" s="399" t="s">
        <v>176</v>
      </c>
      <c r="N769" s="399">
        <f t="shared" ref="N769:N771" si="2414">J769+L769</f>
        <v>0.27</v>
      </c>
      <c r="O769" s="399"/>
      <c r="P769" s="399"/>
      <c r="Q769" s="399"/>
      <c r="R769" s="399"/>
      <c r="S769" s="399"/>
      <c r="T769" s="399" t="s">
        <v>125</v>
      </c>
      <c r="U769" s="401">
        <f t="shared" ref="U769:U771" si="2415">0.006165*F769^2</f>
        <v>0</v>
      </c>
      <c r="V769" s="399" t="s">
        <v>125</v>
      </c>
      <c r="W769" s="399">
        <f t="shared" si="2227"/>
        <v>6</v>
      </c>
      <c r="X769" s="399" t="s">
        <v>125</v>
      </c>
      <c r="Y769" s="389">
        <f t="shared" ref="Y769" si="2416">D755</f>
        <v>3</v>
      </c>
      <c r="Z769" s="400" t="s">
        <v>176</v>
      </c>
      <c r="AA769" s="402">
        <f t="shared" ref="AA769:AA771" si="2417">N769*U769*W769*Y769</f>
        <v>0</v>
      </c>
      <c r="AB769" s="403"/>
    </row>
    <row r="770" spans="1:28">
      <c r="A770" s="384" t="str">
        <f t="shared" ref="A770:B770" si="2418">A745</f>
        <v>Lantai 1</v>
      </c>
      <c r="B770" s="385">
        <f t="shared" si="2418"/>
        <v>24</v>
      </c>
      <c r="C770" s="393" t="s">
        <v>214</v>
      </c>
      <c r="D770" s="398">
        <f>VLOOKUP(D745,'Detail Balok'!$C$10:$BJ$140,51,FALSE)</f>
        <v>0</v>
      </c>
      <c r="E770" s="388" t="s">
        <v>16</v>
      </c>
      <c r="F770" s="388">
        <f>VLOOKUP(D745,'Detail Balok'!$C$10:$BJ$140,53,FALSE)</f>
        <v>0</v>
      </c>
      <c r="G770" s="405" t="s">
        <v>157</v>
      </c>
      <c r="H770" s="395">
        <f>VLOOKUP(D745,'Detail Balok'!$C$10:$BJ$140,55,FALSE)</f>
        <v>100</v>
      </c>
      <c r="I770" s="388"/>
      <c r="J770" s="399">
        <f t="shared" ref="J770" si="2419">(D746-2*F$5)/1000</f>
        <v>0.12</v>
      </c>
      <c r="K770" s="400" t="s">
        <v>204</v>
      </c>
      <c r="L770" s="399">
        <f t="shared" si="2413"/>
        <v>0.15</v>
      </c>
      <c r="M770" s="399" t="s">
        <v>176</v>
      </c>
      <c r="N770" s="399">
        <f t="shared" si="2414"/>
        <v>0.27</v>
      </c>
      <c r="O770" s="399"/>
      <c r="P770" s="399"/>
      <c r="Q770" s="399"/>
      <c r="R770" s="399"/>
      <c r="S770" s="399"/>
      <c r="T770" s="399" t="s">
        <v>125</v>
      </c>
      <c r="U770" s="401">
        <f t="shared" si="2415"/>
        <v>0</v>
      </c>
      <c r="V770" s="399" t="s">
        <v>125</v>
      </c>
      <c r="W770" s="399">
        <f t="shared" si="2227"/>
        <v>0</v>
      </c>
      <c r="X770" s="399" t="s">
        <v>125</v>
      </c>
      <c r="Y770" s="389">
        <f t="shared" ref="Y770" si="2420">D755</f>
        <v>3</v>
      </c>
      <c r="Z770" s="400" t="s">
        <v>176</v>
      </c>
      <c r="AA770" s="402">
        <f t="shared" si="2417"/>
        <v>0</v>
      </c>
      <c r="AB770" s="403"/>
    </row>
    <row r="771" spans="1:28">
      <c r="A771" s="384" t="str">
        <f t="shared" ref="A771:B771" si="2421">A745</f>
        <v>Lantai 1</v>
      </c>
      <c r="B771" s="385">
        <f t="shared" si="2421"/>
        <v>24</v>
      </c>
      <c r="C771" s="393" t="s">
        <v>213</v>
      </c>
      <c r="D771" s="398">
        <f>VLOOKUP(D745,'Detail Balok'!$C$10:$BJ$140,56,FALSE)</f>
        <v>0</v>
      </c>
      <c r="E771" s="388" t="s">
        <v>16</v>
      </c>
      <c r="F771" s="388">
        <f>VLOOKUP(D745,'Detail Balok'!$C$10:$BJ$140,58,FALSE)</f>
        <v>0</v>
      </c>
      <c r="G771" s="405" t="s">
        <v>157</v>
      </c>
      <c r="H771" s="395">
        <f>VLOOKUP(D745,'Detail Balok'!$C$10:$BJ$140,60,FALSE)</f>
        <v>100</v>
      </c>
      <c r="I771" s="388"/>
      <c r="J771" s="399">
        <f t="shared" ref="J771" si="2422">(D746-2*F$5)/1000</f>
        <v>0.12</v>
      </c>
      <c r="K771" s="400" t="s">
        <v>204</v>
      </c>
      <c r="L771" s="399">
        <f t="shared" si="2413"/>
        <v>0.15</v>
      </c>
      <c r="M771" s="399" t="s">
        <v>176</v>
      </c>
      <c r="N771" s="399">
        <f t="shared" si="2414"/>
        <v>0.27</v>
      </c>
      <c r="O771" s="399"/>
      <c r="P771" s="399"/>
      <c r="Q771" s="399"/>
      <c r="R771" s="399"/>
      <c r="S771" s="399"/>
      <c r="T771" s="399" t="s">
        <v>125</v>
      </c>
      <c r="U771" s="401">
        <f t="shared" si="2415"/>
        <v>0</v>
      </c>
      <c r="V771" s="399" t="s">
        <v>125</v>
      </c>
      <c r="W771" s="399">
        <f t="shared" si="2227"/>
        <v>6</v>
      </c>
      <c r="X771" s="399" t="s">
        <v>125</v>
      </c>
      <c r="Y771" s="389">
        <f t="shared" ref="Y771" si="2423">D755</f>
        <v>3</v>
      </c>
      <c r="Z771" s="400" t="s">
        <v>176</v>
      </c>
      <c r="AA771" s="402">
        <f t="shared" si="2417"/>
        <v>0</v>
      </c>
      <c r="AB771" s="403"/>
    </row>
    <row r="772" spans="1:28">
      <c r="A772" s="391"/>
      <c r="B772" s="392"/>
      <c r="C772" s="392"/>
      <c r="D772" s="394"/>
      <c r="E772" s="388"/>
      <c r="F772" s="388"/>
      <c r="G772" s="388"/>
      <c r="H772" s="395"/>
      <c r="I772" s="388"/>
      <c r="J772" s="402"/>
      <c r="K772" s="388"/>
      <c r="L772" s="388"/>
      <c r="M772" s="388"/>
      <c r="N772" s="388"/>
      <c r="O772" s="388"/>
      <c r="P772" s="388"/>
      <c r="Q772" s="388"/>
      <c r="R772" s="388"/>
      <c r="S772" s="388"/>
      <c r="T772" s="388"/>
      <c r="U772" s="388"/>
      <c r="V772" s="388"/>
      <c r="W772" s="388"/>
      <c r="X772" s="388"/>
      <c r="Y772" s="389"/>
      <c r="Z772" s="388"/>
      <c r="AA772" s="402"/>
      <c r="AB772" s="403"/>
    </row>
    <row r="773" spans="1:28" ht="15.75" thickBot="1">
      <c r="A773" s="406"/>
      <c r="B773" s="407"/>
      <c r="C773" s="407"/>
      <c r="D773" s="408"/>
      <c r="E773" s="409"/>
      <c r="F773" s="409"/>
      <c r="G773" s="409"/>
      <c r="H773" s="410"/>
      <c r="I773" s="409"/>
      <c r="J773" s="409"/>
      <c r="K773" s="409"/>
      <c r="L773" s="409"/>
      <c r="M773" s="409"/>
      <c r="N773" s="409"/>
      <c r="O773" s="409"/>
      <c r="P773" s="409"/>
      <c r="Q773" s="409"/>
      <c r="R773" s="409"/>
      <c r="S773" s="409"/>
      <c r="T773" s="409"/>
      <c r="U773" s="409"/>
      <c r="V773" s="409"/>
      <c r="W773" s="409"/>
      <c r="X773" s="409"/>
      <c r="Y773" s="411"/>
      <c r="Z773" s="409"/>
      <c r="AA773" s="412"/>
      <c r="AB773" s="413"/>
    </row>
    <row r="774" spans="1:28">
      <c r="A774" s="377"/>
      <c r="B774" s="378"/>
      <c r="C774" s="378"/>
      <c r="D774" s="379"/>
      <c r="E774" s="380"/>
      <c r="F774" s="380"/>
      <c r="G774" s="380"/>
      <c r="H774" s="381"/>
      <c r="I774" s="380"/>
      <c r="J774" s="380"/>
      <c r="K774" s="380"/>
      <c r="L774" s="380"/>
      <c r="M774" s="380"/>
      <c r="N774" s="380"/>
      <c r="O774" s="380"/>
      <c r="P774" s="380"/>
      <c r="Q774" s="380"/>
      <c r="R774" s="380"/>
      <c r="S774" s="380"/>
      <c r="T774" s="380"/>
      <c r="U774" s="380"/>
      <c r="V774" s="380"/>
      <c r="W774" s="380"/>
      <c r="X774" s="380"/>
      <c r="Y774" s="382"/>
      <c r="Z774" s="380"/>
      <c r="AA774" s="380"/>
      <c r="AB774" s="383"/>
    </row>
    <row r="775" spans="1:28">
      <c r="A775" s="384" t="str">
        <f t="shared" si="2236"/>
        <v>Lantai 1</v>
      </c>
      <c r="B775" s="385">
        <f t="shared" si="2237"/>
        <v>25</v>
      </c>
      <c r="C775" s="386" t="str">
        <f t="shared" ref="C775" si="2424">CONCATENATE(A775," no. ",B775)</f>
        <v>Lantai 1 no. 25</v>
      </c>
      <c r="D775" s="2562" t="str">
        <f>VLOOKUP(C775,'Data Panjang Balok'!$C$9:$N$254,2,FALSE)</f>
        <v>S25-1</v>
      </c>
      <c r="E775" s="2576"/>
      <c r="F775" s="2576"/>
      <c r="G775" s="2576"/>
      <c r="H775" s="2577"/>
      <c r="I775" s="387"/>
      <c r="J775" s="388"/>
      <c r="K775" s="388"/>
      <c r="L775" s="388"/>
      <c r="M775" s="388"/>
      <c r="N775" s="388"/>
      <c r="O775" s="388"/>
      <c r="P775" s="388"/>
      <c r="Q775" s="388"/>
      <c r="R775" s="388"/>
      <c r="S775" s="388"/>
      <c r="T775" s="388"/>
      <c r="U775" s="388"/>
      <c r="V775" s="388"/>
      <c r="W775" s="388"/>
      <c r="X775" s="388"/>
      <c r="Y775" s="389"/>
      <c r="Z775" s="388"/>
      <c r="AA775" s="388"/>
      <c r="AB775" s="390"/>
    </row>
    <row r="776" spans="1:28">
      <c r="A776" s="391"/>
      <c r="B776" s="392"/>
      <c r="C776" s="393" t="s">
        <v>118</v>
      </c>
      <c r="D776" s="2578">
        <f>VLOOKUP(D775,'Detail Balok'!$C$10:$AU$140,2,FALSE)</f>
        <v>200</v>
      </c>
      <c r="E776" s="2579"/>
      <c r="F776" s="388" t="s">
        <v>125</v>
      </c>
      <c r="G776" s="2579">
        <f>VLOOKUP(D775,'Detail Balok'!$C$10:$AU$140,3,FALSE)</f>
        <v>500</v>
      </c>
      <c r="H776" s="2580"/>
      <c r="I776" s="388"/>
      <c r="J776" s="396"/>
      <c r="K776" s="396"/>
      <c r="L776" s="396"/>
      <c r="M776" s="396"/>
      <c r="N776" s="396"/>
      <c r="O776" s="396"/>
      <c r="P776" s="396"/>
      <c r="Q776" s="396"/>
      <c r="R776" s="396"/>
      <c r="S776" s="396"/>
      <c r="T776" s="396"/>
      <c r="U776" s="388"/>
      <c r="V776" s="396"/>
      <c r="W776" s="388"/>
      <c r="X776" s="396"/>
      <c r="Y776" s="389"/>
      <c r="Z776" s="396"/>
      <c r="AA776" s="388"/>
      <c r="AB776" s="390"/>
    </row>
    <row r="777" spans="1:28">
      <c r="A777" s="391"/>
      <c r="B777" s="392"/>
      <c r="C777" s="393" t="s">
        <v>198</v>
      </c>
      <c r="D777" s="2562">
        <f>VLOOKUP(C775,'Data Panjang Balok'!$C$9:$N$254,4,FALSE)</f>
        <v>11000</v>
      </c>
      <c r="E777" s="2563"/>
      <c r="F777" s="2563"/>
      <c r="G777" s="2563"/>
      <c r="H777" s="2564"/>
      <c r="I777" s="397"/>
      <c r="J777" s="396"/>
      <c r="K777" s="396"/>
      <c r="L777" s="396"/>
      <c r="M777" s="396"/>
      <c r="N777" s="396"/>
      <c r="O777" s="396"/>
      <c r="P777" s="396"/>
      <c r="Q777" s="396"/>
      <c r="R777" s="396"/>
      <c r="S777" s="396"/>
      <c r="T777" s="396"/>
      <c r="U777" s="388"/>
      <c r="V777" s="396"/>
      <c r="W777" s="388"/>
      <c r="X777" s="396"/>
      <c r="Y777" s="389"/>
      <c r="Z777" s="396"/>
      <c r="AA777" s="388"/>
      <c r="AB777" s="390"/>
    </row>
    <row r="778" spans="1:28">
      <c r="A778" s="391"/>
      <c r="B778" s="392"/>
      <c r="C778" s="393" t="s">
        <v>199</v>
      </c>
      <c r="D778" s="2562">
        <f>VLOOKUP(C775,'Data Panjang Balok'!$C$9:$N$254,7,FALSE)</f>
        <v>11000</v>
      </c>
      <c r="E778" s="2563"/>
      <c r="F778" s="2563"/>
      <c r="G778" s="2563"/>
      <c r="H778" s="2564"/>
      <c r="I778" s="397"/>
      <c r="J778" s="396"/>
      <c r="K778" s="396"/>
      <c r="L778" s="396"/>
      <c r="M778" s="396"/>
      <c r="N778" s="396"/>
      <c r="O778" s="396"/>
      <c r="P778" s="396"/>
      <c r="Q778" s="396"/>
      <c r="R778" s="396"/>
      <c r="S778" s="396"/>
      <c r="T778" s="396"/>
      <c r="U778" s="388"/>
      <c r="V778" s="396"/>
      <c r="W778" s="388"/>
      <c r="X778" s="396"/>
      <c r="Y778" s="389"/>
      <c r="Z778" s="396"/>
      <c r="AA778" s="388"/>
      <c r="AB778" s="390"/>
    </row>
    <row r="779" spans="1:28">
      <c r="A779" s="391"/>
      <c r="B779" s="392"/>
      <c r="C779" s="393" t="s">
        <v>200</v>
      </c>
      <c r="D779" s="2562">
        <f>VLOOKUP(C775,'Data Panjang Balok'!$C$9:$N$254,9,FALSE)</f>
        <v>0</v>
      </c>
      <c r="E779" s="2563"/>
      <c r="F779" s="2563"/>
      <c r="G779" s="2563"/>
      <c r="H779" s="2564"/>
      <c r="I779" s="397"/>
      <c r="J779" s="396"/>
      <c r="K779" s="396"/>
      <c r="L779" s="396"/>
      <c r="M779" s="396"/>
      <c r="N779" s="396"/>
      <c r="O779" s="396"/>
      <c r="P779" s="396"/>
      <c r="Q779" s="396"/>
      <c r="R779" s="396"/>
      <c r="S779" s="396"/>
      <c r="T779" s="396"/>
      <c r="U779" s="388"/>
      <c r="V779" s="396"/>
      <c r="W779" s="388"/>
      <c r="X779" s="396"/>
      <c r="Y779" s="389"/>
      <c r="Z779" s="396"/>
      <c r="AA779" s="388"/>
      <c r="AB779" s="390"/>
    </row>
    <row r="780" spans="1:28">
      <c r="A780" s="391"/>
      <c r="B780" s="392"/>
      <c r="C780" s="393" t="s">
        <v>201</v>
      </c>
      <c r="D780" s="2562">
        <f>VLOOKUP(C775,'Data Panjang Balok'!$C$9:$N$254,10,FALSE)</f>
        <v>0</v>
      </c>
      <c r="E780" s="2563"/>
      <c r="F780" s="2563"/>
      <c r="G780" s="2563"/>
      <c r="H780" s="2564"/>
      <c r="I780" s="397"/>
      <c r="J780" s="396"/>
      <c r="K780" s="396"/>
      <c r="L780" s="396"/>
      <c r="M780" s="396"/>
      <c r="N780" s="396"/>
      <c r="O780" s="396"/>
      <c r="P780" s="396"/>
      <c r="Q780" s="396"/>
      <c r="R780" s="396"/>
      <c r="S780" s="396"/>
      <c r="T780" s="396"/>
      <c r="U780" s="388"/>
      <c r="V780" s="396"/>
      <c r="W780" s="388"/>
      <c r="X780" s="396"/>
      <c r="Y780" s="389"/>
      <c r="Z780" s="396"/>
      <c r="AA780" s="388"/>
      <c r="AB780" s="390"/>
    </row>
    <row r="781" spans="1:28">
      <c r="A781" s="391"/>
      <c r="B781" s="392"/>
      <c r="C781" s="393" t="s">
        <v>48</v>
      </c>
      <c r="D781" s="2562">
        <f>VLOOKUP(C775,'Data Panjang Balok'!$C$9:$N$254,3,FALSE)</f>
        <v>1</v>
      </c>
      <c r="E781" s="2563"/>
      <c r="F781" s="2563"/>
      <c r="G781" s="2563"/>
      <c r="H781" s="2564"/>
      <c r="I781" s="397"/>
      <c r="J781" s="396"/>
      <c r="K781" s="396"/>
      <c r="L781" s="396"/>
      <c r="M781" s="396"/>
      <c r="N781" s="396"/>
      <c r="O781" s="396"/>
      <c r="P781" s="396"/>
      <c r="Q781" s="396"/>
      <c r="R781" s="396"/>
      <c r="S781" s="396"/>
      <c r="T781" s="396"/>
      <c r="U781" s="388"/>
      <c r="V781" s="396"/>
      <c r="W781" s="388"/>
      <c r="X781" s="396"/>
      <c r="Y781" s="389"/>
      <c r="Z781" s="396"/>
      <c r="AA781" s="388"/>
      <c r="AB781" s="390"/>
    </row>
    <row r="782" spans="1:28">
      <c r="A782" s="384" t="str">
        <f t="shared" ref="A782:B782" si="2425">A775</f>
        <v>Lantai 1</v>
      </c>
      <c r="B782" s="385">
        <f t="shared" si="2425"/>
        <v>25</v>
      </c>
      <c r="C782" s="393" t="s">
        <v>202</v>
      </c>
      <c r="D782" s="398">
        <f>VLOOKUP(D775,'Detail Balok'!$C$10:$AU$140,4,FALSE)</f>
        <v>3</v>
      </c>
      <c r="E782" s="388" t="s">
        <v>16</v>
      </c>
      <c r="F782" s="388">
        <f>VLOOKUP(D775,'Detail Balok'!$C$10:$AU$140,6,FALSE)</f>
        <v>16</v>
      </c>
      <c r="G782" s="388"/>
      <c r="H782" s="395"/>
      <c r="I782" s="388" t="s">
        <v>203</v>
      </c>
      <c r="J782" s="399">
        <f t="shared" ref="J782" si="2426">+D777/4/1000</f>
        <v>2.75</v>
      </c>
      <c r="K782" s="400" t="s">
        <v>204</v>
      </c>
      <c r="L782" s="399">
        <f t="shared" ref="L782" si="2427">MAX(VLOOKUP(F782,N$6:P$15,3,FALSE)/1000,2/3*D779/1000)+F$16*F782/1000</f>
        <v>0.192</v>
      </c>
      <c r="M782" s="399" t="s">
        <v>176</v>
      </c>
      <c r="N782" s="399">
        <f t="shared" ref="N782:N784" si="2428">J782+L782</f>
        <v>2.9420000000000002</v>
      </c>
      <c r="O782" s="399" t="s">
        <v>204</v>
      </c>
      <c r="P782" s="389">
        <f t="shared" ref="P782" si="2429">D782-D783</f>
        <v>0</v>
      </c>
      <c r="Q782" s="399" t="s">
        <v>125</v>
      </c>
      <c r="R782" s="399">
        <f t="shared" ref="R782" si="2430">IF(P782&gt;0,$F$18*F782/1000,0)</f>
        <v>0</v>
      </c>
      <c r="S782" s="399" t="s">
        <v>205</v>
      </c>
      <c r="T782" s="399" t="s">
        <v>125</v>
      </c>
      <c r="U782" s="401">
        <f t="shared" ref="U782:U784" si="2431">0.006165*F782^2</f>
        <v>1.5782400000000001</v>
      </c>
      <c r="V782" s="399"/>
      <c r="W782" s="399"/>
      <c r="X782" s="399" t="s">
        <v>125</v>
      </c>
      <c r="Y782" s="389">
        <f t="shared" ref="Y782" si="2432">D781</f>
        <v>1</v>
      </c>
      <c r="Z782" s="400" t="s">
        <v>176</v>
      </c>
      <c r="AA782" s="402">
        <f t="shared" ref="AA782" si="2433">IF(AA785=0,(D782*N782+P782*R782)*U782*Y782,0)</f>
        <v>0</v>
      </c>
      <c r="AB782" s="403"/>
    </row>
    <row r="783" spans="1:28">
      <c r="A783" s="384" t="str">
        <f t="shared" ref="A783:B783" si="2434">A775</f>
        <v>Lantai 1</v>
      </c>
      <c r="B783" s="385">
        <f t="shared" si="2434"/>
        <v>25</v>
      </c>
      <c r="C783" s="393" t="s">
        <v>206</v>
      </c>
      <c r="D783" s="398">
        <f>VLOOKUP(D775,'Detail Balok'!$C$10:$AU$140,7,FALSE)</f>
        <v>3</v>
      </c>
      <c r="E783" s="388" t="s">
        <v>16</v>
      </c>
      <c r="F783" s="388">
        <f>VLOOKUP(D775,'Detail Balok'!$C$10:$AU$140,9,FALSE)</f>
        <v>16</v>
      </c>
      <c r="G783" s="388"/>
      <c r="H783" s="395"/>
      <c r="I783" s="388" t="s">
        <v>203</v>
      </c>
      <c r="J783" s="399">
        <f t="shared" ref="J783" si="2435">+D777/2/1000</f>
        <v>5.5</v>
      </c>
      <c r="K783" s="400" t="s">
        <v>204</v>
      </c>
      <c r="L783" s="399"/>
      <c r="M783" s="399" t="s">
        <v>176</v>
      </c>
      <c r="N783" s="399">
        <f t="shared" si="2428"/>
        <v>5.5</v>
      </c>
      <c r="O783" s="399" t="s">
        <v>204</v>
      </c>
      <c r="P783" s="389">
        <f t="shared" ref="P783" si="2436">MAX(D783-D782,D783-D784)</f>
        <v>0</v>
      </c>
      <c r="Q783" s="399" t="s">
        <v>125</v>
      </c>
      <c r="R783" s="399">
        <f t="shared" ref="R783" si="2437">IF(P783&gt;0,2*(1-2*$F$19-1/2)*D778/1000,0)</f>
        <v>0</v>
      </c>
      <c r="S783" s="399" t="s">
        <v>205</v>
      </c>
      <c r="T783" s="399" t="s">
        <v>125</v>
      </c>
      <c r="U783" s="401">
        <f t="shared" si="2431"/>
        <v>1.5782400000000001</v>
      </c>
      <c r="V783" s="399"/>
      <c r="W783" s="399"/>
      <c r="X783" s="399" t="s">
        <v>125</v>
      </c>
      <c r="Y783" s="389">
        <f t="shared" ref="Y783" si="2438">D781</f>
        <v>1</v>
      </c>
      <c r="Z783" s="400" t="s">
        <v>176</v>
      </c>
      <c r="AA783" s="402">
        <f t="shared" ref="AA783" si="2439">IF(AA785=0,(D783*N783+P783*R783)*U783*Y783,0)</f>
        <v>0</v>
      </c>
      <c r="AB783" s="403"/>
    </row>
    <row r="784" spans="1:28">
      <c r="A784" s="384" t="str">
        <f t="shared" ref="A784:B784" si="2440">A775</f>
        <v>Lantai 1</v>
      </c>
      <c r="B784" s="385">
        <f t="shared" si="2440"/>
        <v>25</v>
      </c>
      <c r="C784" s="393" t="s">
        <v>202</v>
      </c>
      <c r="D784" s="398">
        <f>VLOOKUP(D775,'Detail Balok'!$C$10:$AU$140,10,FALSE)</f>
        <v>3</v>
      </c>
      <c r="E784" s="388" t="s">
        <v>16</v>
      </c>
      <c r="F784" s="388">
        <f>VLOOKUP(D775,'Detail Balok'!$C$10:$AU$140,12,FALSE)</f>
        <v>16</v>
      </c>
      <c r="G784" s="388"/>
      <c r="H784" s="395"/>
      <c r="I784" s="388" t="s">
        <v>203</v>
      </c>
      <c r="J784" s="399">
        <f t="shared" ref="J784" si="2441">+D777/4/1000</f>
        <v>2.75</v>
      </c>
      <c r="K784" s="400" t="s">
        <v>204</v>
      </c>
      <c r="L784" s="399">
        <f t="shared" ref="L784" si="2442">MAX(VLOOKUP(F784,N$6:P$15,3,FALSE)/1000,2/3*D779/1000)+F$16*F784/1000</f>
        <v>0.192</v>
      </c>
      <c r="M784" s="399" t="s">
        <v>176</v>
      </c>
      <c r="N784" s="399">
        <f t="shared" si="2428"/>
        <v>2.9420000000000002</v>
      </c>
      <c r="O784" s="399" t="s">
        <v>204</v>
      </c>
      <c r="P784" s="389">
        <f t="shared" ref="P784" si="2443">D784-D783</f>
        <v>0</v>
      </c>
      <c r="Q784" s="399" t="s">
        <v>125</v>
      </c>
      <c r="R784" s="399">
        <f t="shared" ref="R784" si="2444">IF(P784&gt;0,$F$18*F784/1000,0)</f>
        <v>0</v>
      </c>
      <c r="S784" s="399" t="s">
        <v>205</v>
      </c>
      <c r="T784" s="399" t="s">
        <v>125</v>
      </c>
      <c r="U784" s="401">
        <f t="shared" si="2431"/>
        <v>1.5782400000000001</v>
      </c>
      <c r="V784" s="399"/>
      <c r="W784" s="399"/>
      <c r="X784" s="399" t="s">
        <v>125</v>
      </c>
      <c r="Y784" s="389">
        <f t="shared" ref="Y784" si="2445">D781</f>
        <v>1</v>
      </c>
      <c r="Z784" s="400" t="s">
        <v>176</v>
      </c>
      <c r="AA784" s="402">
        <f t="shared" ref="AA784" si="2446">IF(AA785=0,(D784*N784+P784*R784)*U784*Y784,0)</f>
        <v>0</v>
      </c>
      <c r="AB784" s="403"/>
    </row>
    <row r="785" spans="1:28">
      <c r="A785" s="384" t="str">
        <f t="shared" ref="A785:B785" si="2447">A775</f>
        <v>Lantai 1</v>
      </c>
      <c r="B785" s="385">
        <f t="shared" si="2447"/>
        <v>25</v>
      </c>
      <c r="C785" s="393"/>
      <c r="D785" s="398">
        <f t="shared" ref="D785:D845" si="2448">IF(AND(D782=D783,D783=D784,D782=D784),D782,0)</f>
        <v>3</v>
      </c>
      <c r="E785" s="388" t="s">
        <v>16</v>
      </c>
      <c r="F785" s="388">
        <f t="shared" ref="F785:F845" si="2449">IF(AND(F782=F783,F782=F784,F783=F784),F782,0)</f>
        <v>16</v>
      </c>
      <c r="G785" s="388"/>
      <c r="H785" s="395"/>
      <c r="I785" s="388"/>
      <c r="J785" s="396"/>
      <c r="K785" s="396"/>
      <c r="L785" s="404" t="s">
        <v>207</v>
      </c>
      <c r="M785" s="399" t="s">
        <v>176</v>
      </c>
      <c r="N785" s="399">
        <f t="shared" ref="N785" si="2450">IF(AND(D782=D783,D782=D784,D783=D784,F782=F783,F782=F784,F783=F784),SUM(N782:N784),0)</f>
        <v>11.384</v>
      </c>
      <c r="O785" s="399" t="s">
        <v>204</v>
      </c>
      <c r="P785" s="389">
        <f t="shared" ref="P785" si="2451">IF(N785&gt;12,ROUNDDOWN(N785/12,0),0)</f>
        <v>0</v>
      </c>
      <c r="Q785" s="399" t="s">
        <v>125</v>
      </c>
      <c r="R785" s="399">
        <f t="shared" ref="R785" si="2452">IF(P785&gt;0,MAX(VLOOKUP(F785,$D$6:$G$15,3,FALSE),600),0)/1000</f>
        <v>0</v>
      </c>
      <c r="S785" s="396"/>
      <c r="T785" s="396" t="s">
        <v>125</v>
      </c>
      <c r="U785" s="401">
        <f t="shared" ref="U785:U845" si="2453">U784</f>
        <v>1.5782400000000001</v>
      </c>
      <c r="V785" s="396" t="s">
        <v>125</v>
      </c>
      <c r="W785" s="399">
        <f t="shared" ref="W785" si="2454">D785</f>
        <v>3</v>
      </c>
      <c r="X785" s="399" t="s">
        <v>125</v>
      </c>
      <c r="Y785" s="389">
        <f t="shared" ref="Y785:Y845" si="2455">Y784</f>
        <v>1</v>
      </c>
      <c r="Z785" s="400" t="s">
        <v>176</v>
      </c>
      <c r="AA785" s="402">
        <f t="shared" ref="AA785" si="2456">(N785+P785*R785/1000)*U785*W785*Y785</f>
        <v>53.900052479999999</v>
      </c>
      <c r="AB785" s="390"/>
    </row>
    <row r="786" spans="1:28">
      <c r="A786" s="384"/>
      <c r="B786" s="385"/>
      <c r="C786" s="393"/>
      <c r="D786" s="398"/>
      <c r="E786" s="388"/>
      <c r="F786" s="388"/>
      <c r="G786" s="388"/>
      <c r="H786" s="395"/>
      <c r="I786" s="388"/>
      <c r="J786" s="396"/>
      <c r="K786" s="396"/>
      <c r="L786" s="404"/>
      <c r="M786" s="399"/>
      <c r="N786" s="399"/>
      <c r="O786" s="396"/>
      <c r="P786" s="389"/>
      <c r="Q786" s="396"/>
      <c r="R786" s="396"/>
      <c r="S786" s="396"/>
      <c r="T786" s="396"/>
      <c r="U786" s="401"/>
      <c r="V786" s="396"/>
      <c r="W786" s="399"/>
      <c r="X786" s="396"/>
      <c r="Y786" s="389"/>
      <c r="Z786" s="396"/>
      <c r="AA786" s="388"/>
      <c r="AB786" s="390"/>
    </row>
    <row r="787" spans="1:28">
      <c r="A787" s="384" t="str">
        <f t="shared" ref="A787:B787" si="2457">A775</f>
        <v>Lantai 1</v>
      </c>
      <c r="B787" s="385">
        <f t="shared" si="2457"/>
        <v>25</v>
      </c>
      <c r="C787" s="393" t="s">
        <v>208</v>
      </c>
      <c r="D787" s="398">
        <f>VLOOKUP(D775,'Detail Balok'!$C$10:$AU$140,13,FALSE)</f>
        <v>2</v>
      </c>
      <c r="E787" s="388" t="s">
        <v>16</v>
      </c>
      <c r="F787" s="388">
        <f>VLOOKUP(D775,'Detail Balok'!$C$10:$AU$140,15,FALSE)</f>
        <v>10</v>
      </c>
      <c r="G787" s="388"/>
      <c r="H787" s="395"/>
      <c r="I787" s="388"/>
      <c r="J787" s="399">
        <f t="shared" ref="J787" si="2458">+D777/1000</f>
        <v>11</v>
      </c>
      <c r="K787" s="400" t="s">
        <v>204</v>
      </c>
      <c r="L787" s="399">
        <f t="shared" ref="L787" si="2459">2*$F$16*F787/1000</f>
        <v>0.24</v>
      </c>
      <c r="M787" s="399" t="s">
        <v>176</v>
      </c>
      <c r="N787" s="399">
        <f t="shared" ref="N787" si="2460">J787+L787</f>
        <v>11.24</v>
      </c>
      <c r="O787" s="399" t="s">
        <v>204</v>
      </c>
      <c r="P787" s="389">
        <f t="shared" ref="P787" si="2461">IF(N787&gt;12,ROUNDDOWN(N787/12,0),0)</f>
        <v>0</v>
      </c>
      <c r="Q787" s="399" t="s">
        <v>125</v>
      </c>
      <c r="R787" s="399">
        <f t="shared" ref="R787" si="2462">IF(P787&gt;0,MAX(VLOOKUP(F787,$D$6:$G$15,3,FALSE),600),0)/1000</f>
        <v>0</v>
      </c>
      <c r="S787" s="399"/>
      <c r="T787" s="399" t="s">
        <v>125</v>
      </c>
      <c r="U787" s="401">
        <f t="shared" ref="U787" si="2463">0.006165*F787^2</f>
        <v>0.61650000000000005</v>
      </c>
      <c r="V787" s="399" t="s">
        <v>125</v>
      </c>
      <c r="W787" s="399">
        <f t="shared" ref="W787" si="2464">+D787</f>
        <v>2</v>
      </c>
      <c r="X787" s="399" t="s">
        <v>125</v>
      </c>
      <c r="Y787" s="389">
        <f t="shared" ref="Y787" si="2465">D781</f>
        <v>1</v>
      </c>
      <c r="Z787" s="400" t="s">
        <v>176</v>
      </c>
      <c r="AA787" s="402">
        <f t="shared" ref="AA787" si="2466">(N787+P787*R787/1000)*U787*W787*Y787</f>
        <v>13.858920000000001</v>
      </c>
      <c r="AB787" s="403"/>
    </row>
    <row r="788" spans="1:28">
      <c r="A788" s="384"/>
      <c r="B788" s="385"/>
      <c r="C788" s="393"/>
      <c r="D788" s="398"/>
      <c r="E788" s="388"/>
      <c r="F788" s="388"/>
      <c r="G788" s="388"/>
      <c r="H788" s="395"/>
      <c r="I788" s="388"/>
      <c r="J788" s="399"/>
      <c r="K788" s="400"/>
      <c r="L788" s="399"/>
      <c r="M788" s="399"/>
      <c r="N788" s="399"/>
      <c r="O788" s="399"/>
      <c r="P788" s="389"/>
      <c r="Q788" s="399"/>
      <c r="R788" s="399"/>
      <c r="S788" s="399"/>
      <c r="T788" s="399"/>
      <c r="U788" s="401"/>
      <c r="V788" s="399"/>
      <c r="W788" s="399"/>
      <c r="X788" s="399"/>
      <c r="Y788" s="389"/>
      <c r="Z788" s="400"/>
      <c r="AA788" s="402"/>
      <c r="AB788" s="403"/>
    </row>
    <row r="789" spans="1:28">
      <c r="A789" s="384"/>
      <c r="B789" s="385"/>
      <c r="C789" s="393"/>
      <c r="D789" s="398"/>
      <c r="E789" s="388"/>
      <c r="F789" s="388"/>
      <c r="G789" s="388"/>
      <c r="H789" s="395"/>
      <c r="I789" s="388"/>
      <c r="J789" s="396"/>
      <c r="K789" s="396"/>
      <c r="L789" s="396"/>
      <c r="M789" s="396"/>
      <c r="N789" s="396"/>
      <c r="O789" s="396"/>
      <c r="P789" s="389"/>
      <c r="Q789" s="396"/>
      <c r="R789" s="396"/>
      <c r="S789" s="396"/>
      <c r="T789" s="396"/>
      <c r="U789" s="401"/>
      <c r="V789" s="396"/>
      <c r="W789" s="399"/>
      <c r="X789" s="396"/>
      <c r="Y789" s="389"/>
      <c r="Z789" s="396"/>
      <c r="AA789" s="388"/>
      <c r="AB789" s="390"/>
    </row>
    <row r="790" spans="1:28">
      <c r="A790" s="384" t="str">
        <f t="shared" ref="A790:B790" si="2467">A775</f>
        <v>Lantai 1</v>
      </c>
      <c r="B790" s="385">
        <f t="shared" si="2467"/>
        <v>25</v>
      </c>
      <c r="C790" s="393" t="s">
        <v>209</v>
      </c>
      <c r="D790" s="398">
        <f>VLOOKUP(D775,'Detail Balok'!$C$10:$AU$140,22,FALSE)</f>
        <v>3</v>
      </c>
      <c r="E790" s="388" t="s">
        <v>16</v>
      </c>
      <c r="F790" s="388">
        <f>VLOOKUP(D775,'Detail Balok'!$C$10:$AU$140,24,FALSE)</f>
        <v>16</v>
      </c>
      <c r="G790" s="388"/>
      <c r="H790" s="395"/>
      <c r="I790" s="388" t="s">
        <v>203</v>
      </c>
      <c r="J790" s="399">
        <f t="shared" ref="J790:J852" si="2468">+J782</f>
        <v>2.75</v>
      </c>
      <c r="K790" s="400" t="s">
        <v>204</v>
      </c>
      <c r="L790" s="399">
        <f t="shared" ref="L790" si="2469">MAX(VLOOKUP(F790,N$6:P$15,3,FALSE)/1000,2/3*D780/1000)+F$16*F790/1000</f>
        <v>0.192</v>
      </c>
      <c r="M790" s="399" t="s">
        <v>176</v>
      </c>
      <c r="N790" s="399">
        <f t="shared" ref="N790:N792" si="2470">J790+L790</f>
        <v>2.9420000000000002</v>
      </c>
      <c r="O790" s="399" t="s">
        <v>204</v>
      </c>
      <c r="P790" s="389">
        <f t="shared" ref="P790" si="2471">D790-D791</f>
        <v>0</v>
      </c>
      <c r="Q790" s="399" t="s">
        <v>125</v>
      </c>
      <c r="R790" s="399">
        <f t="shared" ref="R790" si="2472">IF(P790&gt;0,$F$18*F790/1000,0)</f>
        <v>0</v>
      </c>
      <c r="S790" s="399" t="s">
        <v>205</v>
      </c>
      <c r="T790" s="399" t="s">
        <v>125</v>
      </c>
      <c r="U790" s="401">
        <f t="shared" ref="U790:U792" si="2473">0.006165*F790^2</f>
        <v>1.5782400000000001</v>
      </c>
      <c r="V790" s="399"/>
      <c r="W790" s="399"/>
      <c r="X790" s="399" t="s">
        <v>125</v>
      </c>
      <c r="Y790" s="389">
        <f t="shared" ref="Y790" si="2474">D781</f>
        <v>1</v>
      </c>
      <c r="Z790" s="400" t="s">
        <v>176</v>
      </c>
      <c r="AA790" s="402">
        <f t="shared" ref="AA790" si="2475">IF(AA793=0,(D790*N790+P790*R790)*U790*Y790,0)</f>
        <v>0</v>
      </c>
      <c r="AB790" s="403"/>
    </row>
    <row r="791" spans="1:28">
      <c r="A791" s="384" t="str">
        <f t="shared" ref="A791:B791" si="2476">A775</f>
        <v>Lantai 1</v>
      </c>
      <c r="B791" s="385">
        <f t="shared" si="2476"/>
        <v>25</v>
      </c>
      <c r="C791" s="393" t="s">
        <v>210</v>
      </c>
      <c r="D791" s="398">
        <f>VLOOKUP(D775,'Detail Balok'!$C$10:$AU$140,25,FALSE)</f>
        <v>3</v>
      </c>
      <c r="E791" s="388" t="s">
        <v>16</v>
      </c>
      <c r="F791" s="388">
        <f>VLOOKUP(D775,'Detail Balok'!$C$10:$AU$140,27,FALSE)</f>
        <v>16</v>
      </c>
      <c r="G791" s="388"/>
      <c r="H791" s="395"/>
      <c r="I791" s="388" t="s">
        <v>203</v>
      </c>
      <c r="J791" s="399">
        <f t="shared" si="2468"/>
        <v>5.5</v>
      </c>
      <c r="K791" s="400" t="s">
        <v>204</v>
      </c>
      <c r="L791" s="399"/>
      <c r="M791" s="399" t="s">
        <v>176</v>
      </c>
      <c r="N791" s="399">
        <f t="shared" si="2470"/>
        <v>5.5</v>
      </c>
      <c r="O791" s="399" t="s">
        <v>204</v>
      </c>
      <c r="P791" s="389">
        <f t="shared" ref="P791" si="2477">MAX(D791-D790,D791-D792)</f>
        <v>0</v>
      </c>
      <c r="Q791" s="399" t="s">
        <v>125</v>
      </c>
      <c r="R791" s="399">
        <f t="shared" ref="R791" si="2478">IF(P791&gt;0,2*(1-2*$F$19-1/2)*D778/1000,0)</f>
        <v>0</v>
      </c>
      <c r="S791" s="399" t="s">
        <v>205</v>
      </c>
      <c r="T791" s="399" t="s">
        <v>125</v>
      </c>
      <c r="U791" s="401">
        <f t="shared" si="2473"/>
        <v>1.5782400000000001</v>
      </c>
      <c r="V791" s="399"/>
      <c r="W791" s="399"/>
      <c r="X791" s="399" t="s">
        <v>125</v>
      </c>
      <c r="Y791" s="389">
        <f t="shared" ref="Y791" si="2479">D781</f>
        <v>1</v>
      </c>
      <c r="Z791" s="400" t="s">
        <v>176</v>
      </c>
      <c r="AA791" s="402">
        <f t="shared" ref="AA791" si="2480">IF(AA793=0,(D791*N791+P791*R791)*U791*Y791,0)</f>
        <v>0</v>
      </c>
      <c r="AB791" s="403"/>
    </row>
    <row r="792" spans="1:28">
      <c r="A792" s="384" t="str">
        <f t="shared" ref="A792:B792" si="2481">A775</f>
        <v>Lantai 1</v>
      </c>
      <c r="B792" s="385">
        <f t="shared" si="2481"/>
        <v>25</v>
      </c>
      <c r="C792" s="393" t="s">
        <v>209</v>
      </c>
      <c r="D792" s="398">
        <f>VLOOKUP(D775,'Detail Balok'!$C$10:$AU$140,28,FALSE)</f>
        <v>3</v>
      </c>
      <c r="E792" s="388" t="s">
        <v>16</v>
      </c>
      <c r="F792" s="388">
        <f>VLOOKUP(D775,'Detail Balok'!$C$10:$AU$140,30,FALSE)</f>
        <v>16</v>
      </c>
      <c r="G792" s="388"/>
      <c r="H792" s="395"/>
      <c r="I792" s="388" t="s">
        <v>203</v>
      </c>
      <c r="J792" s="399">
        <f t="shared" si="2468"/>
        <v>2.75</v>
      </c>
      <c r="K792" s="400" t="s">
        <v>204</v>
      </c>
      <c r="L792" s="399">
        <f t="shared" ref="L792" si="2482">MAX(VLOOKUP(F792,N$6:P$15,3,FALSE)/1000,2/3*D780/1000)+F$16*F792/1000</f>
        <v>0.192</v>
      </c>
      <c r="M792" s="399" t="s">
        <v>176</v>
      </c>
      <c r="N792" s="399">
        <f t="shared" si="2470"/>
        <v>2.9420000000000002</v>
      </c>
      <c r="O792" s="399" t="s">
        <v>204</v>
      </c>
      <c r="P792" s="389">
        <f t="shared" ref="P792" si="2483">D792-D791</f>
        <v>0</v>
      </c>
      <c r="Q792" s="399" t="s">
        <v>125</v>
      </c>
      <c r="R792" s="399">
        <f t="shared" ref="R792" si="2484">IF(P792&gt;0,$F$18*F792/1000,0)</f>
        <v>0</v>
      </c>
      <c r="S792" s="399" t="s">
        <v>205</v>
      </c>
      <c r="T792" s="399" t="s">
        <v>125</v>
      </c>
      <c r="U792" s="401">
        <f t="shared" si="2473"/>
        <v>1.5782400000000001</v>
      </c>
      <c r="V792" s="399"/>
      <c r="W792" s="399"/>
      <c r="X792" s="399" t="s">
        <v>125</v>
      </c>
      <c r="Y792" s="389">
        <f t="shared" ref="Y792" si="2485">D781</f>
        <v>1</v>
      </c>
      <c r="Z792" s="400" t="s">
        <v>176</v>
      </c>
      <c r="AA792" s="402">
        <f t="shared" ref="AA792" si="2486">IF(AA793=0,(D792*N792+P792*R792)*U792*Y792,0)</f>
        <v>0</v>
      </c>
      <c r="AB792" s="403"/>
    </row>
    <row r="793" spans="1:28">
      <c r="A793" s="384" t="str">
        <f t="shared" ref="A793:B793" si="2487">A775</f>
        <v>Lantai 1</v>
      </c>
      <c r="B793" s="385">
        <f t="shared" si="2487"/>
        <v>25</v>
      </c>
      <c r="C793" s="393"/>
      <c r="D793" s="398">
        <f t="shared" ref="D793:D853" si="2488">IF(AND(D790=D791,D791=D792,D790=D792),D790,0)</f>
        <v>3</v>
      </c>
      <c r="E793" s="388" t="s">
        <v>16</v>
      </c>
      <c r="F793" s="388">
        <f t="shared" ref="F793:F853" si="2489">IF(AND(F790=F791,F790=F792,F791=F792),F790,0)</f>
        <v>16</v>
      </c>
      <c r="G793" s="388"/>
      <c r="H793" s="395"/>
      <c r="I793" s="388"/>
      <c r="J793" s="396"/>
      <c r="K793" s="396"/>
      <c r="L793" s="404" t="s">
        <v>207</v>
      </c>
      <c r="M793" s="399" t="s">
        <v>176</v>
      </c>
      <c r="N793" s="399">
        <f t="shared" ref="N793" si="2490">IF(AND(D790=D791,D790=D792,D791=D792,F790=F791,F790=F792,F791=F792),SUM(N790:N792),0)</f>
        <v>11.384</v>
      </c>
      <c r="O793" s="399" t="s">
        <v>204</v>
      </c>
      <c r="P793" s="389">
        <f t="shared" ref="P793" si="2491">IF(N793&gt;12,ROUNDDOWN(N793/12,0),0)</f>
        <v>0</v>
      </c>
      <c r="Q793" s="399" t="s">
        <v>125</v>
      </c>
      <c r="R793" s="399">
        <f t="shared" ref="R793" si="2492">IF(P793&gt;0,MAX(VLOOKUP(F793,$D$6:$G$15,3,FALSE),600),0)/1000</f>
        <v>0</v>
      </c>
      <c r="S793" s="396"/>
      <c r="T793" s="396" t="s">
        <v>125</v>
      </c>
      <c r="U793" s="401">
        <f t="shared" ref="U793:U853" si="2493">U792</f>
        <v>1.5782400000000001</v>
      </c>
      <c r="V793" s="396" t="s">
        <v>125</v>
      </c>
      <c r="W793" s="399">
        <f t="shared" ref="W793" si="2494">D793</f>
        <v>3</v>
      </c>
      <c r="X793" s="399" t="s">
        <v>125</v>
      </c>
      <c r="Y793" s="389">
        <f t="shared" ref="Y793:Y853" si="2495">Y792</f>
        <v>1</v>
      </c>
      <c r="Z793" s="400" t="s">
        <v>176</v>
      </c>
      <c r="AA793" s="402">
        <f t="shared" ref="AA793" si="2496">(N793+P793*R793/1000)*U793*W793*Y793</f>
        <v>53.900052479999999</v>
      </c>
      <c r="AB793" s="403"/>
    </row>
    <row r="794" spans="1:28">
      <c r="A794" s="384"/>
      <c r="B794" s="385"/>
      <c r="C794" s="393"/>
      <c r="D794" s="394"/>
      <c r="E794" s="388"/>
      <c r="F794" s="388"/>
      <c r="G794" s="388"/>
      <c r="H794" s="395"/>
      <c r="I794" s="388"/>
      <c r="J794" s="399"/>
      <c r="K794" s="396"/>
      <c r="L794" s="396"/>
      <c r="M794" s="396"/>
      <c r="N794" s="396"/>
      <c r="O794" s="396"/>
      <c r="P794" s="389"/>
      <c r="Q794" s="396"/>
      <c r="R794" s="396"/>
      <c r="S794" s="396"/>
      <c r="T794" s="396"/>
      <c r="U794" s="401"/>
      <c r="V794" s="396"/>
      <c r="W794" s="388"/>
      <c r="X794" s="396"/>
      <c r="Y794" s="389"/>
      <c r="Z794" s="396"/>
      <c r="AA794" s="388"/>
      <c r="AB794" s="390"/>
    </row>
    <row r="795" spans="1:28">
      <c r="A795" s="384" t="str">
        <f t="shared" ref="A795:B795" si="2497">A775</f>
        <v>Lantai 1</v>
      </c>
      <c r="B795" s="385">
        <f t="shared" si="2497"/>
        <v>25</v>
      </c>
      <c r="C795" s="393" t="s">
        <v>211</v>
      </c>
      <c r="D795" s="398">
        <f>VLOOKUP(D775,'Detail Balok'!$C$10:$AU$140,31,FALSE)</f>
        <v>0</v>
      </c>
      <c r="E795" s="388" t="s">
        <v>16</v>
      </c>
      <c r="F795" s="388">
        <f>VLOOKUP(D775,'Detail Balok'!$C$10:$AU$140,33,FALSE)</f>
        <v>8</v>
      </c>
      <c r="G795" s="405" t="s">
        <v>157</v>
      </c>
      <c r="H795" s="395">
        <f>VLOOKUP(D775,'Detail Balok'!$C$10:$AU$140,35,FALSE)</f>
        <v>150</v>
      </c>
      <c r="I795" s="388"/>
      <c r="J795" s="400">
        <f t="shared" ref="J795" si="2498">(IF(D795=0,(2*(D776+G776))-(F$5*8),IF(D795=3,(2*(D776+G776))-(F$5*8)+(G776-2*F$5),IF(D795=4,(2*(D776+G776))-(F$5*8)+2*(G776-2*F$5)))))/1000</f>
        <v>1.08</v>
      </c>
      <c r="K795" s="400" t="s">
        <v>204</v>
      </c>
      <c r="L795" s="399">
        <f t="shared" ref="L795:L797" si="2499">IF(D795=0,2*MAX(6*F795,75),(D795-1)*2*MAX(6*F795,75))/1000</f>
        <v>0.15</v>
      </c>
      <c r="M795" s="399" t="s">
        <v>176</v>
      </c>
      <c r="N795" s="399">
        <f t="shared" ref="N795:N797" si="2500">J795+L795</f>
        <v>1.23</v>
      </c>
      <c r="O795" s="399"/>
      <c r="P795" s="389"/>
      <c r="Q795" s="399"/>
      <c r="R795" s="399"/>
      <c r="S795" s="399"/>
      <c r="T795" s="399" t="s">
        <v>125</v>
      </c>
      <c r="U795" s="401">
        <f t="shared" ref="U795:U797" si="2501">0.006165*F795^2</f>
        <v>0.39456000000000002</v>
      </c>
      <c r="V795" s="399" t="s">
        <v>125</v>
      </c>
      <c r="W795" s="399">
        <f t="shared" ref="W795" si="2502">IF(D778&gt;4*G776,ROUND(MAX(D778/4,2*G776)/H795,0)+1,ROUND(D778/H795,0)+1)</f>
        <v>19</v>
      </c>
      <c r="X795" s="399" t="s">
        <v>125</v>
      </c>
      <c r="Y795" s="389">
        <f t="shared" ref="Y795" si="2503">D781</f>
        <v>1</v>
      </c>
      <c r="Z795" s="400" t="s">
        <v>176</v>
      </c>
      <c r="AA795" s="402">
        <f t="shared" ref="AA795:AA797" si="2504">N795*U795*W795*Y795</f>
        <v>9.2208672000000007</v>
      </c>
      <c r="AB795" s="403"/>
    </row>
    <row r="796" spans="1:28">
      <c r="A796" s="384" t="str">
        <f t="shared" ref="A796:B796" si="2505">A775</f>
        <v>Lantai 1</v>
      </c>
      <c r="B796" s="385">
        <f t="shared" si="2505"/>
        <v>25</v>
      </c>
      <c r="C796" s="393" t="s">
        <v>212</v>
      </c>
      <c r="D796" s="398">
        <f>VLOOKUP(D775,'Detail Balok'!$C$10:$AU$140,36,FALSE)</f>
        <v>0</v>
      </c>
      <c r="E796" s="388" t="s">
        <v>16</v>
      </c>
      <c r="F796" s="388">
        <f>VLOOKUP(D775,'Detail Balok'!$C$10:$AU$140,38,FALSE)</f>
        <v>8</v>
      </c>
      <c r="G796" s="405" t="s">
        <v>157</v>
      </c>
      <c r="H796" s="395">
        <f>VLOOKUP(D775,'Detail Balok'!$C$10:$AU$140,40,FALSE)</f>
        <v>200</v>
      </c>
      <c r="I796" s="388"/>
      <c r="J796" s="400">
        <f t="shared" ref="J796" si="2506">(IF(D796=0,(2*(D776+G776))-(F$5*8),IF(D796=3,(2*(D776+G776))-(F$5*8)+(G776-2*F$5),IF(D796=4,(2*(D776+G776))-(F$5*8)+2*(G776-2*F$5)))))/1000</f>
        <v>1.08</v>
      </c>
      <c r="K796" s="400" t="s">
        <v>204</v>
      </c>
      <c r="L796" s="399">
        <f t="shared" si="2499"/>
        <v>0.15</v>
      </c>
      <c r="M796" s="399" t="s">
        <v>176</v>
      </c>
      <c r="N796" s="399">
        <f t="shared" si="2500"/>
        <v>1.23</v>
      </c>
      <c r="O796" s="399"/>
      <c r="P796" s="389"/>
      <c r="Q796" s="399"/>
      <c r="R796" s="399"/>
      <c r="S796" s="399"/>
      <c r="T796" s="399" t="s">
        <v>125</v>
      </c>
      <c r="U796" s="401">
        <f t="shared" si="2501"/>
        <v>0.39456000000000002</v>
      </c>
      <c r="V796" s="399" t="s">
        <v>125</v>
      </c>
      <c r="W796" s="399">
        <f t="shared" ref="W796" si="2507">IF(D778-MAX(D778/4,2*G776)*2&gt;0,ROUND((D778-MAX(D778/4,2*G776)*2)/H796,0),0)</f>
        <v>28</v>
      </c>
      <c r="X796" s="399" t="s">
        <v>125</v>
      </c>
      <c r="Y796" s="389">
        <f t="shared" ref="Y796" si="2508">D781</f>
        <v>1</v>
      </c>
      <c r="Z796" s="400" t="s">
        <v>176</v>
      </c>
      <c r="AA796" s="402">
        <f t="shared" si="2504"/>
        <v>13.588646400000002</v>
      </c>
      <c r="AB796" s="403"/>
    </row>
    <row r="797" spans="1:28">
      <c r="A797" s="384" t="str">
        <f t="shared" ref="A797:B797" si="2509">A775</f>
        <v>Lantai 1</v>
      </c>
      <c r="B797" s="385">
        <f t="shared" si="2509"/>
        <v>25</v>
      </c>
      <c r="C797" s="393" t="s">
        <v>211</v>
      </c>
      <c r="D797" s="398">
        <f>VLOOKUP(D775,'Detail Balok'!$C$10:$AU$140,41,FALSE)</f>
        <v>0</v>
      </c>
      <c r="E797" s="388" t="s">
        <v>16</v>
      </c>
      <c r="F797" s="388">
        <f>VLOOKUP(D775,'Detail Balok'!$C$10:$AU$140,43,FALSE)</f>
        <v>8</v>
      </c>
      <c r="G797" s="405" t="s">
        <v>157</v>
      </c>
      <c r="H797" s="395">
        <f>VLOOKUP(D775,'Detail Balok'!$C$10:$AU$140,45,FALSE)</f>
        <v>150</v>
      </c>
      <c r="I797" s="388"/>
      <c r="J797" s="400">
        <f t="shared" ref="J797" si="2510">(IF(D797=0,(2*(D776+G776))-(F$5*8),IF(D797=3,(2*(D776+G776))-(F$5*8)+(G776-2*F$5),IF(D797=4,(2*(D776+G776))-(F$5*8)+2*(G776-2*F$5)))))/1000</f>
        <v>1.08</v>
      </c>
      <c r="K797" s="400" t="s">
        <v>204</v>
      </c>
      <c r="L797" s="399">
        <f t="shared" si="2499"/>
        <v>0.15</v>
      </c>
      <c r="M797" s="399" t="s">
        <v>176</v>
      </c>
      <c r="N797" s="399">
        <f t="shared" si="2500"/>
        <v>1.23</v>
      </c>
      <c r="O797" s="399"/>
      <c r="P797" s="389"/>
      <c r="Q797" s="399"/>
      <c r="R797" s="399"/>
      <c r="S797" s="399"/>
      <c r="T797" s="399" t="s">
        <v>125</v>
      </c>
      <c r="U797" s="401">
        <f t="shared" si="2501"/>
        <v>0.39456000000000002</v>
      </c>
      <c r="V797" s="399" t="s">
        <v>125</v>
      </c>
      <c r="W797" s="399">
        <f t="shared" ref="W797" si="2511">IF(D778&gt;4*G776,ROUND(MAX(D778/4,2*G776)/H797,0)+1,0)</f>
        <v>19</v>
      </c>
      <c r="X797" s="399" t="s">
        <v>125</v>
      </c>
      <c r="Y797" s="389">
        <f t="shared" ref="Y797" si="2512">D781</f>
        <v>1</v>
      </c>
      <c r="Z797" s="400" t="s">
        <v>176</v>
      </c>
      <c r="AA797" s="402">
        <f t="shared" si="2504"/>
        <v>9.2208672000000007</v>
      </c>
      <c r="AB797" s="403"/>
    </row>
    <row r="798" spans="1:28">
      <c r="A798" s="384"/>
      <c r="B798" s="385"/>
      <c r="C798" s="393"/>
      <c r="D798" s="394"/>
      <c r="E798" s="388"/>
      <c r="F798" s="388"/>
      <c r="G798" s="388"/>
      <c r="H798" s="395"/>
      <c r="I798" s="388"/>
      <c r="J798" s="399"/>
      <c r="K798" s="396"/>
      <c r="L798" s="396"/>
      <c r="M798" s="396"/>
      <c r="N798" s="396"/>
      <c r="O798" s="396"/>
      <c r="P798" s="389"/>
      <c r="Q798" s="396"/>
      <c r="R798" s="396"/>
      <c r="S798" s="396"/>
      <c r="T798" s="396"/>
      <c r="U798" s="401"/>
      <c r="V798" s="396"/>
      <c r="W798" s="388"/>
      <c r="X798" s="396"/>
      <c r="Y798" s="389"/>
      <c r="Z798" s="396"/>
      <c r="AA798" s="388"/>
      <c r="AB798" s="390"/>
    </row>
    <row r="799" spans="1:28">
      <c r="A799" s="384" t="str">
        <f t="shared" ref="A799:B799" si="2513">A775</f>
        <v>Lantai 1</v>
      </c>
      <c r="B799" s="385">
        <f t="shared" si="2513"/>
        <v>25</v>
      </c>
      <c r="C799" s="393" t="s">
        <v>213</v>
      </c>
      <c r="D799" s="398">
        <f>VLOOKUP(D775,'Detail Balok'!$C$10:$BJ$140,46,FALSE)</f>
        <v>0</v>
      </c>
      <c r="E799" s="388" t="s">
        <v>16</v>
      </c>
      <c r="F799" s="388">
        <f>VLOOKUP(D775,'Detail Balok'!$C$10:$BJ$140,48,FALSE)</f>
        <v>0</v>
      </c>
      <c r="G799" s="405" t="s">
        <v>157</v>
      </c>
      <c r="H799" s="395">
        <f>VLOOKUP(D775,'Detail Balok'!$C$10:$BJ$140,50,FALSE)</f>
        <v>100</v>
      </c>
      <c r="I799" s="388"/>
      <c r="J799" s="399">
        <f t="shared" ref="J799" si="2514">(D776-2*F$5)/1000</f>
        <v>0.12</v>
      </c>
      <c r="K799" s="400" t="s">
        <v>204</v>
      </c>
      <c r="L799" s="399">
        <f t="shared" ref="L799:L801" si="2515">IF(D799=0,2*MAX(6*F799,75),(D799-1)*2*MAX(6*F799,75))/1000</f>
        <v>0.15</v>
      </c>
      <c r="M799" s="399" t="s">
        <v>176</v>
      </c>
      <c r="N799" s="399">
        <f t="shared" ref="N799:N801" si="2516">J799+L799</f>
        <v>0.27</v>
      </c>
      <c r="O799" s="399"/>
      <c r="P799" s="399"/>
      <c r="Q799" s="399"/>
      <c r="R799" s="399"/>
      <c r="S799" s="399"/>
      <c r="T799" s="399" t="s">
        <v>125</v>
      </c>
      <c r="U799" s="401">
        <f t="shared" ref="U799:U801" si="2517">0.006165*F799^2</f>
        <v>0</v>
      </c>
      <c r="V799" s="399" t="s">
        <v>125</v>
      </c>
      <c r="W799" s="399">
        <f t="shared" ref="W799:W861" si="2518">W795</f>
        <v>19</v>
      </c>
      <c r="X799" s="399" t="s">
        <v>125</v>
      </c>
      <c r="Y799" s="389">
        <f t="shared" ref="Y799" si="2519">D785</f>
        <v>3</v>
      </c>
      <c r="Z799" s="400" t="s">
        <v>176</v>
      </c>
      <c r="AA799" s="402">
        <f t="shared" ref="AA799:AA801" si="2520">N799*U799*W799*Y799</f>
        <v>0</v>
      </c>
      <c r="AB799" s="403"/>
    </row>
    <row r="800" spans="1:28">
      <c r="A800" s="384" t="str">
        <f t="shared" ref="A800:B800" si="2521">A775</f>
        <v>Lantai 1</v>
      </c>
      <c r="B800" s="385">
        <f t="shared" si="2521"/>
        <v>25</v>
      </c>
      <c r="C800" s="393" t="s">
        <v>214</v>
      </c>
      <c r="D800" s="398">
        <f>VLOOKUP(D775,'Detail Balok'!$C$10:$BJ$140,51,FALSE)</f>
        <v>0</v>
      </c>
      <c r="E800" s="388" t="s">
        <v>16</v>
      </c>
      <c r="F800" s="388">
        <f>VLOOKUP(D775,'Detail Balok'!$C$10:$BJ$140,53,FALSE)</f>
        <v>0</v>
      </c>
      <c r="G800" s="405" t="s">
        <v>157</v>
      </c>
      <c r="H800" s="395">
        <f>VLOOKUP(D775,'Detail Balok'!$C$10:$BJ$140,55,FALSE)</f>
        <v>100</v>
      </c>
      <c r="I800" s="388"/>
      <c r="J800" s="399">
        <f t="shared" ref="J800" si="2522">(D776-2*F$5)/1000</f>
        <v>0.12</v>
      </c>
      <c r="K800" s="400" t="s">
        <v>204</v>
      </c>
      <c r="L800" s="399">
        <f t="shared" si="2515"/>
        <v>0.15</v>
      </c>
      <c r="M800" s="399" t="s">
        <v>176</v>
      </c>
      <c r="N800" s="399">
        <f t="shared" si="2516"/>
        <v>0.27</v>
      </c>
      <c r="O800" s="399"/>
      <c r="P800" s="399"/>
      <c r="Q800" s="399"/>
      <c r="R800" s="399"/>
      <c r="S800" s="399"/>
      <c r="T800" s="399" t="s">
        <v>125</v>
      </c>
      <c r="U800" s="401">
        <f t="shared" si="2517"/>
        <v>0</v>
      </c>
      <c r="V800" s="399" t="s">
        <v>125</v>
      </c>
      <c r="W800" s="399">
        <f t="shared" si="2518"/>
        <v>28</v>
      </c>
      <c r="X800" s="399" t="s">
        <v>125</v>
      </c>
      <c r="Y800" s="389">
        <f t="shared" ref="Y800" si="2523">D785</f>
        <v>3</v>
      </c>
      <c r="Z800" s="400" t="s">
        <v>176</v>
      </c>
      <c r="AA800" s="402">
        <f t="shared" si="2520"/>
        <v>0</v>
      </c>
      <c r="AB800" s="403"/>
    </row>
    <row r="801" spans="1:28">
      <c r="A801" s="384" t="str">
        <f t="shared" ref="A801:B801" si="2524">A775</f>
        <v>Lantai 1</v>
      </c>
      <c r="B801" s="385">
        <f t="shared" si="2524"/>
        <v>25</v>
      </c>
      <c r="C801" s="393" t="s">
        <v>213</v>
      </c>
      <c r="D801" s="398">
        <f>VLOOKUP(D775,'Detail Balok'!$C$10:$BJ$140,56,FALSE)</f>
        <v>0</v>
      </c>
      <c r="E801" s="388" t="s">
        <v>16</v>
      </c>
      <c r="F801" s="388">
        <f>VLOOKUP(D775,'Detail Balok'!$C$10:$BJ$140,58,FALSE)</f>
        <v>0</v>
      </c>
      <c r="G801" s="405" t="s">
        <v>157</v>
      </c>
      <c r="H801" s="395">
        <f>VLOOKUP(D775,'Detail Balok'!$C$10:$BJ$140,60,FALSE)</f>
        <v>100</v>
      </c>
      <c r="I801" s="388"/>
      <c r="J801" s="399">
        <f t="shared" ref="J801" si="2525">(D776-2*F$5)/1000</f>
        <v>0.12</v>
      </c>
      <c r="K801" s="400" t="s">
        <v>204</v>
      </c>
      <c r="L801" s="399">
        <f t="shared" si="2515"/>
        <v>0.15</v>
      </c>
      <c r="M801" s="399" t="s">
        <v>176</v>
      </c>
      <c r="N801" s="399">
        <f t="shared" si="2516"/>
        <v>0.27</v>
      </c>
      <c r="O801" s="399"/>
      <c r="P801" s="399"/>
      <c r="Q801" s="399"/>
      <c r="R801" s="399"/>
      <c r="S801" s="399"/>
      <c r="T801" s="399" t="s">
        <v>125</v>
      </c>
      <c r="U801" s="401">
        <f t="shared" si="2517"/>
        <v>0</v>
      </c>
      <c r="V801" s="399" t="s">
        <v>125</v>
      </c>
      <c r="W801" s="399">
        <f t="shared" si="2518"/>
        <v>19</v>
      </c>
      <c r="X801" s="399" t="s">
        <v>125</v>
      </c>
      <c r="Y801" s="389">
        <f t="shared" ref="Y801" si="2526">D785</f>
        <v>3</v>
      </c>
      <c r="Z801" s="400" t="s">
        <v>176</v>
      </c>
      <c r="AA801" s="402">
        <f t="shared" si="2520"/>
        <v>0</v>
      </c>
      <c r="AB801" s="403"/>
    </row>
    <row r="802" spans="1:28">
      <c r="A802" s="391"/>
      <c r="B802" s="392"/>
      <c r="C802" s="392"/>
      <c r="D802" s="394"/>
      <c r="E802" s="388"/>
      <c r="F802" s="388"/>
      <c r="G802" s="388"/>
      <c r="H802" s="395"/>
      <c r="I802" s="388"/>
      <c r="J802" s="402"/>
      <c r="K802" s="388"/>
      <c r="L802" s="388"/>
      <c r="M802" s="388"/>
      <c r="N802" s="388"/>
      <c r="O802" s="388"/>
      <c r="P802" s="388"/>
      <c r="Q802" s="388"/>
      <c r="R802" s="388"/>
      <c r="S802" s="388"/>
      <c r="T802" s="388"/>
      <c r="U802" s="388"/>
      <c r="V802" s="388"/>
      <c r="W802" s="388"/>
      <c r="X802" s="388"/>
      <c r="Y802" s="389"/>
      <c r="Z802" s="388"/>
      <c r="AA802" s="402"/>
      <c r="AB802" s="403"/>
    </row>
    <row r="803" spans="1:28" ht="15.75" thickBot="1">
      <c r="A803" s="406"/>
      <c r="B803" s="407"/>
      <c r="C803" s="407"/>
      <c r="D803" s="408"/>
      <c r="E803" s="409"/>
      <c r="F803" s="409"/>
      <c r="G803" s="409"/>
      <c r="H803" s="410"/>
      <c r="I803" s="409"/>
      <c r="J803" s="409"/>
      <c r="K803" s="409"/>
      <c r="L803" s="409"/>
      <c r="M803" s="409"/>
      <c r="N803" s="409"/>
      <c r="O803" s="409"/>
      <c r="P803" s="409"/>
      <c r="Q803" s="409"/>
      <c r="R803" s="409"/>
      <c r="S803" s="409"/>
      <c r="T803" s="409"/>
      <c r="U803" s="409"/>
      <c r="V803" s="409"/>
      <c r="W803" s="409"/>
      <c r="X803" s="409"/>
      <c r="Y803" s="411"/>
      <c r="Z803" s="409"/>
      <c r="AA803" s="412"/>
      <c r="AB803" s="413"/>
    </row>
    <row r="804" spans="1:28">
      <c r="A804" s="377"/>
      <c r="B804" s="378"/>
      <c r="C804" s="378"/>
      <c r="D804" s="379"/>
      <c r="E804" s="380"/>
      <c r="F804" s="380"/>
      <c r="G804" s="380"/>
      <c r="H804" s="381"/>
      <c r="I804" s="380"/>
      <c r="J804" s="380"/>
      <c r="K804" s="380"/>
      <c r="L804" s="380"/>
      <c r="M804" s="380"/>
      <c r="N804" s="380"/>
      <c r="O804" s="380"/>
      <c r="P804" s="380"/>
      <c r="Q804" s="380"/>
      <c r="R804" s="380"/>
      <c r="S804" s="380"/>
      <c r="T804" s="380"/>
      <c r="U804" s="380"/>
      <c r="V804" s="380"/>
      <c r="W804" s="380"/>
      <c r="X804" s="380"/>
      <c r="Y804" s="382"/>
      <c r="Z804" s="380"/>
      <c r="AA804" s="380"/>
      <c r="AB804" s="383"/>
    </row>
    <row r="805" spans="1:28">
      <c r="A805" s="384" t="str">
        <f t="shared" ref="A805:A865" si="2527">A775</f>
        <v>Lantai 1</v>
      </c>
      <c r="B805" s="385">
        <f t="shared" ref="B805:B865" si="2528">B775+1</f>
        <v>26</v>
      </c>
      <c r="C805" s="386" t="str">
        <f t="shared" ref="C805" si="2529">CONCATENATE(A805," no. ",B805)</f>
        <v>Lantai 1 no. 26</v>
      </c>
      <c r="D805" s="2562" t="str">
        <f>VLOOKUP(C805,'Data Panjang Balok'!$C$9:$N$254,2,FALSE)</f>
        <v>S36-1</v>
      </c>
      <c r="E805" s="2576"/>
      <c r="F805" s="2576"/>
      <c r="G805" s="2576"/>
      <c r="H805" s="2577"/>
      <c r="I805" s="387"/>
      <c r="J805" s="388"/>
      <c r="K805" s="388"/>
      <c r="L805" s="388"/>
      <c r="M805" s="388"/>
      <c r="N805" s="388"/>
      <c r="O805" s="388"/>
      <c r="P805" s="388"/>
      <c r="Q805" s="388"/>
      <c r="R805" s="388"/>
      <c r="S805" s="388"/>
      <c r="T805" s="388"/>
      <c r="U805" s="388"/>
      <c r="V805" s="388"/>
      <c r="W805" s="388"/>
      <c r="X805" s="388"/>
      <c r="Y805" s="389"/>
      <c r="Z805" s="388"/>
      <c r="AA805" s="388"/>
      <c r="AB805" s="390"/>
    </row>
    <row r="806" spans="1:28">
      <c r="A806" s="391"/>
      <c r="B806" s="392"/>
      <c r="C806" s="393" t="s">
        <v>118</v>
      </c>
      <c r="D806" s="2578">
        <f>VLOOKUP(D805,'Detail Balok'!$C$10:$AU$140,2,FALSE)</f>
        <v>300</v>
      </c>
      <c r="E806" s="2579"/>
      <c r="F806" s="388" t="s">
        <v>125</v>
      </c>
      <c r="G806" s="2579">
        <f>VLOOKUP(D805,'Detail Balok'!$C$10:$AU$140,3,FALSE)</f>
        <v>600</v>
      </c>
      <c r="H806" s="2580"/>
      <c r="I806" s="388"/>
      <c r="J806" s="396"/>
      <c r="K806" s="396"/>
      <c r="L806" s="396"/>
      <c r="M806" s="396"/>
      <c r="N806" s="396"/>
      <c r="O806" s="396"/>
      <c r="P806" s="396"/>
      <c r="Q806" s="396"/>
      <c r="R806" s="396"/>
      <c r="S806" s="396"/>
      <c r="T806" s="396"/>
      <c r="U806" s="388"/>
      <c r="V806" s="396"/>
      <c r="W806" s="388"/>
      <c r="X806" s="396"/>
      <c r="Y806" s="389"/>
      <c r="Z806" s="396"/>
      <c r="AA806" s="388"/>
      <c r="AB806" s="390"/>
    </row>
    <row r="807" spans="1:28">
      <c r="A807" s="391"/>
      <c r="B807" s="392"/>
      <c r="C807" s="393" t="s">
        <v>198</v>
      </c>
      <c r="D807" s="2562">
        <f>VLOOKUP(C805,'Data Panjang Balok'!$C$9:$N$254,4,FALSE)</f>
        <v>6150</v>
      </c>
      <c r="E807" s="2563"/>
      <c r="F807" s="2563"/>
      <c r="G807" s="2563"/>
      <c r="H807" s="2564"/>
      <c r="I807" s="397"/>
      <c r="J807" s="396"/>
      <c r="K807" s="396"/>
      <c r="L807" s="396"/>
      <c r="M807" s="396"/>
      <c r="N807" s="396"/>
      <c r="O807" s="396"/>
      <c r="P807" s="396"/>
      <c r="Q807" s="396"/>
      <c r="R807" s="396"/>
      <c r="S807" s="396"/>
      <c r="T807" s="396"/>
      <c r="U807" s="388"/>
      <c r="V807" s="396"/>
      <c r="W807" s="388"/>
      <c r="X807" s="396"/>
      <c r="Y807" s="389"/>
      <c r="Z807" s="396"/>
      <c r="AA807" s="388"/>
      <c r="AB807" s="390"/>
    </row>
    <row r="808" spans="1:28">
      <c r="A808" s="391"/>
      <c r="B808" s="392"/>
      <c r="C808" s="393" t="s">
        <v>199</v>
      </c>
      <c r="D808" s="2562">
        <f>VLOOKUP(C805,'Data Panjang Balok'!$C$9:$N$254,7,FALSE)</f>
        <v>6150</v>
      </c>
      <c r="E808" s="2563"/>
      <c r="F808" s="2563"/>
      <c r="G808" s="2563"/>
      <c r="H808" s="2564"/>
      <c r="I808" s="397"/>
      <c r="J808" s="396"/>
      <c r="K808" s="396"/>
      <c r="L808" s="396"/>
      <c r="M808" s="396"/>
      <c r="N808" s="396"/>
      <c r="O808" s="396"/>
      <c r="P808" s="396"/>
      <c r="Q808" s="396"/>
      <c r="R808" s="396"/>
      <c r="S808" s="396"/>
      <c r="T808" s="396"/>
      <c r="U808" s="388"/>
      <c r="V808" s="396"/>
      <c r="W808" s="388"/>
      <c r="X808" s="396"/>
      <c r="Y808" s="389"/>
      <c r="Z808" s="396"/>
      <c r="AA808" s="388"/>
      <c r="AB808" s="390"/>
    </row>
    <row r="809" spans="1:28">
      <c r="A809" s="391"/>
      <c r="B809" s="392"/>
      <c r="C809" s="393" t="s">
        <v>200</v>
      </c>
      <c r="D809" s="2562">
        <f>VLOOKUP(C805,'Data Panjang Balok'!$C$9:$N$254,9,FALSE)</f>
        <v>0</v>
      </c>
      <c r="E809" s="2563"/>
      <c r="F809" s="2563"/>
      <c r="G809" s="2563"/>
      <c r="H809" s="2564"/>
      <c r="I809" s="397"/>
      <c r="J809" s="396"/>
      <c r="K809" s="396"/>
      <c r="L809" s="396"/>
      <c r="M809" s="396"/>
      <c r="N809" s="396"/>
      <c r="O809" s="396"/>
      <c r="P809" s="396"/>
      <c r="Q809" s="396"/>
      <c r="R809" s="396"/>
      <c r="S809" s="396"/>
      <c r="T809" s="396"/>
      <c r="U809" s="388"/>
      <c r="V809" s="396"/>
      <c r="W809" s="388"/>
      <c r="X809" s="396"/>
      <c r="Y809" s="389"/>
      <c r="Z809" s="396"/>
      <c r="AA809" s="388"/>
      <c r="AB809" s="390"/>
    </row>
    <row r="810" spans="1:28">
      <c r="A810" s="391"/>
      <c r="B810" s="392"/>
      <c r="C810" s="393" t="s">
        <v>201</v>
      </c>
      <c r="D810" s="2562">
        <f>VLOOKUP(C805,'Data Panjang Balok'!$C$9:$N$254,10,FALSE)</f>
        <v>0</v>
      </c>
      <c r="E810" s="2563"/>
      <c r="F810" s="2563"/>
      <c r="G810" s="2563"/>
      <c r="H810" s="2564"/>
      <c r="I810" s="397"/>
      <c r="J810" s="396"/>
      <c r="K810" s="396"/>
      <c r="L810" s="396"/>
      <c r="M810" s="396"/>
      <c r="N810" s="396"/>
      <c r="O810" s="396"/>
      <c r="P810" s="396"/>
      <c r="Q810" s="396"/>
      <c r="R810" s="396"/>
      <c r="S810" s="396"/>
      <c r="T810" s="396"/>
      <c r="U810" s="388"/>
      <c r="V810" s="396"/>
      <c r="W810" s="388"/>
      <c r="X810" s="396"/>
      <c r="Y810" s="389"/>
      <c r="Z810" s="396"/>
      <c r="AA810" s="388"/>
      <c r="AB810" s="390"/>
    </row>
    <row r="811" spans="1:28">
      <c r="A811" s="391"/>
      <c r="B811" s="392"/>
      <c r="C811" s="393" t="s">
        <v>48</v>
      </c>
      <c r="D811" s="2562">
        <f>VLOOKUP(C805,'Data Panjang Balok'!$C$9:$N$254,3,FALSE)</f>
        <v>1</v>
      </c>
      <c r="E811" s="2563"/>
      <c r="F811" s="2563"/>
      <c r="G811" s="2563"/>
      <c r="H811" s="2564"/>
      <c r="I811" s="397"/>
      <c r="J811" s="396"/>
      <c r="K811" s="396"/>
      <c r="L811" s="396"/>
      <c r="M811" s="396"/>
      <c r="N811" s="396"/>
      <c r="O811" s="396"/>
      <c r="P811" s="396"/>
      <c r="Q811" s="396"/>
      <c r="R811" s="396"/>
      <c r="S811" s="396"/>
      <c r="T811" s="396"/>
      <c r="U811" s="388"/>
      <c r="V811" s="396"/>
      <c r="W811" s="388"/>
      <c r="X811" s="396"/>
      <c r="Y811" s="389"/>
      <c r="Z811" s="396"/>
      <c r="AA811" s="388"/>
      <c r="AB811" s="390"/>
    </row>
    <row r="812" spans="1:28">
      <c r="A812" s="384" t="str">
        <f t="shared" ref="A812:B812" si="2530">A805</f>
        <v>Lantai 1</v>
      </c>
      <c r="B812" s="385">
        <f t="shared" si="2530"/>
        <v>26</v>
      </c>
      <c r="C812" s="393" t="s">
        <v>202</v>
      </c>
      <c r="D812" s="398">
        <f>VLOOKUP(D805,'Detail Balok'!$C$10:$AU$140,4,FALSE)</f>
        <v>4</v>
      </c>
      <c r="E812" s="388" t="s">
        <v>16</v>
      </c>
      <c r="F812" s="388">
        <f>VLOOKUP(D805,'Detail Balok'!$C$10:$AU$140,6,FALSE)</f>
        <v>16</v>
      </c>
      <c r="G812" s="388"/>
      <c r="H812" s="395"/>
      <c r="I812" s="388" t="s">
        <v>203</v>
      </c>
      <c r="J812" s="399">
        <f t="shared" ref="J812" si="2531">+D807/4/1000</f>
        <v>1.5375000000000001</v>
      </c>
      <c r="K812" s="400" t="s">
        <v>204</v>
      </c>
      <c r="L812" s="399">
        <f t="shared" ref="L812" si="2532">MAX(VLOOKUP(F812,N$6:P$15,3,FALSE)/1000,2/3*D809/1000)+F$16*F812/1000</f>
        <v>0.192</v>
      </c>
      <c r="M812" s="399" t="s">
        <v>176</v>
      </c>
      <c r="N812" s="399">
        <f t="shared" ref="N812:N814" si="2533">J812+L812</f>
        <v>1.7295</v>
      </c>
      <c r="O812" s="399" t="s">
        <v>204</v>
      </c>
      <c r="P812" s="389">
        <f t="shared" ref="P812" si="2534">D812-D813</f>
        <v>0</v>
      </c>
      <c r="Q812" s="399" t="s">
        <v>125</v>
      </c>
      <c r="R812" s="399">
        <f t="shared" ref="R812" si="2535">IF(P812&gt;0,$F$18*F812/1000,0)</f>
        <v>0</v>
      </c>
      <c r="S812" s="399" t="s">
        <v>205</v>
      </c>
      <c r="T812" s="399" t="s">
        <v>125</v>
      </c>
      <c r="U812" s="401">
        <f t="shared" ref="U812:U814" si="2536">0.006165*F812^2</f>
        <v>1.5782400000000001</v>
      </c>
      <c r="V812" s="399"/>
      <c r="W812" s="399"/>
      <c r="X812" s="399" t="s">
        <v>125</v>
      </c>
      <c r="Y812" s="389">
        <f t="shared" ref="Y812" si="2537">D811</f>
        <v>1</v>
      </c>
      <c r="Z812" s="400" t="s">
        <v>176</v>
      </c>
      <c r="AA812" s="402">
        <f t="shared" ref="AA812" si="2538">IF(AA815=0,(D812*N812+P812*R812)*U812*Y812,0)</f>
        <v>0</v>
      </c>
      <c r="AB812" s="403"/>
    </row>
    <row r="813" spans="1:28">
      <c r="A813" s="384" t="str">
        <f t="shared" ref="A813:B813" si="2539">A805</f>
        <v>Lantai 1</v>
      </c>
      <c r="B813" s="385">
        <f t="shared" si="2539"/>
        <v>26</v>
      </c>
      <c r="C813" s="393" t="s">
        <v>206</v>
      </c>
      <c r="D813" s="398">
        <f>VLOOKUP(D805,'Detail Balok'!$C$10:$AU$140,7,FALSE)</f>
        <v>4</v>
      </c>
      <c r="E813" s="388" t="s">
        <v>16</v>
      </c>
      <c r="F813" s="388">
        <f>VLOOKUP(D805,'Detail Balok'!$C$10:$AU$140,9,FALSE)</f>
        <v>16</v>
      </c>
      <c r="G813" s="388"/>
      <c r="H813" s="395"/>
      <c r="I813" s="388" t="s">
        <v>203</v>
      </c>
      <c r="J813" s="399">
        <f t="shared" ref="J813" si="2540">+D807/2/1000</f>
        <v>3.0750000000000002</v>
      </c>
      <c r="K813" s="400" t="s">
        <v>204</v>
      </c>
      <c r="L813" s="399"/>
      <c r="M813" s="399" t="s">
        <v>176</v>
      </c>
      <c r="N813" s="399">
        <f t="shared" si="2533"/>
        <v>3.0750000000000002</v>
      </c>
      <c r="O813" s="399" t="s">
        <v>204</v>
      </c>
      <c r="P813" s="389">
        <f t="shared" ref="P813" si="2541">MAX(D813-D812,D813-D814)</f>
        <v>0</v>
      </c>
      <c r="Q813" s="399" t="s">
        <v>125</v>
      </c>
      <c r="R813" s="399">
        <f t="shared" ref="R813" si="2542">IF(P813&gt;0,2*(1-2*$F$19-1/2)*D808/1000,0)</f>
        <v>0</v>
      </c>
      <c r="S813" s="399" t="s">
        <v>205</v>
      </c>
      <c r="T813" s="399" t="s">
        <v>125</v>
      </c>
      <c r="U813" s="401">
        <f t="shared" si="2536"/>
        <v>1.5782400000000001</v>
      </c>
      <c r="V813" s="399"/>
      <c r="W813" s="399"/>
      <c r="X813" s="399" t="s">
        <v>125</v>
      </c>
      <c r="Y813" s="389">
        <f t="shared" ref="Y813" si="2543">D811</f>
        <v>1</v>
      </c>
      <c r="Z813" s="400" t="s">
        <v>176</v>
      </c>
      <c r="AA813" s="402">
        <f t="shared" ref="AA813" si="2544">IF(AA815=0,(D813*N813+P813*R813)*U813*Y813,0)</f>
        <v>0</v>
      </c>
      <c r="AB813" s="403"/>
    </row>
    <row r="814" spans="1:28">
      <c r="A814" s="384" t="str">
        <f t="shared" ref="A814:B814" si="2545">A805</f>
        <v>Lantai 1</v>
      </c>
      <c r="B814" s="385">
        <f t="shared" si="2545"/>
        <v>26</v>
      </c>
      <c r="C814" s="393" t="s">
        <v>202</v>
      </c>
      <c r="D814" s="398">
        <f>VLOOKUP(D805,'Detail Balok'!$C$10:$AU$140,10,FALSE)</f>
        <v>4</v>
      </c>
      <c r="E814" s="388" t="s">
        <v>16</v>
      </c>
      <c r="F814" s="388">
        <f>VLOOKUP(D805,'Detail Balok'!$C$10:$AU$140,12,FALSE)</f>
        <v>16</v>
      </c>
      <c r="G814" s="388"/>
      <c r="H814" s="395"/>
      <c r="I814" s="388" t="s">
        <v>203</v>
      </c>
      <c r="J814" s="399">
        <f t="shared" ref="J814" si="2546">+D807/4/1000</f>
        <v>1.5375000000000001</v>
      </c>
      <c r="K814" s="400" t="s">
        <v>204</v>
      </c>
      <c r="L814" s="399">
        <f t="shared" ref="L814" si="2547">MAX(VLOOKUP(F814,N$6:P$15,3,FALSE)/1000,2/3*D809/1000)+F$16*F814/1000</f>
        <v>0.192</v>
      </c>
      <c r="M814" s="399" t="s">
        <v>176</v>
      </c>
      <c r="N814" s="399">
        <f t="shared" si="2533"/>
        <v>1.7295</v>
      </c>
      <c r="O814" s="399" t="s">
        <v>204</v>
      </c>
      <c r="P814" s="389">
        <f t="shared" ref="P814" si="2548">D814-D813</f>
        <v>0</v>
      </c>
      <c r="Q814" s="399" t="s">
        <v>125</v>
      </c>
      <c r="R814" s="399">
        <f t="shared" ref="R814" si="2549">IF(P814&gt;0,$F$18*F814/1000,0)</f>
        <v>0</v>
      </c>
      <c r="S814" s="399" t="s">
        <v>205</v>
      </c>
      <c r="T814" s="399" t="s">
        <v>125</v>
      </c>
      <c r="U814" s="401">
        <f t="shared" si="2536"/>
        <v>1.5782400000000001</v>
      </c>
      <c r="V814" s="399"/>
      <c r="W814" s="399"/>
      <c r="X814" s="399" t="s">
        <v>125</v>
      </c>
      <c r="Y814" s="389">
        <f t="shared" ref="Y814" si="2550">D811</f>
        <v>1</v>
      </c>
      <c r="Z814" s="400" t="s">
        <v>176</v>
      </c>
      <c r="AA814" s="402">
        <f t="shared" ref="AA814" si="2551">IF(AA815=0,(D814*N814+P814*R814)*U814*Y814,0)</f>
        <v>0</v>
      </c>
      <c r="AB814" s="403"/>
    </row>
    <row r="815" spans="1:28">
      <c r="A815" s="384" t="str">
        <f t="shared" ref="A815:B815" si="2552">A805</f>
        <v>Lantai 1</v>
      </c>
      <c r="B815" s="385">
        <f t="shared" si="2552"/>
        <v>26</v>
      </c>
      <c r="C815" s="393"/>
      <c r="D815" s="398">
        <f t="shared" si="2448"/>
        <v>4</v>
      </c>
      <c r="E815" s="388" t="s">
        <v>16</v>
      </c>
      <c r="F815" s="388">
        <f t="shared" si="2449"/>
        <v>16</v>
      </c>
      <c r="G815" s="388"/>
      <c r="H815" s="395"/>
      <c r="I815" s="388"/>
      <c r="J815" s="396"/>
      <c r="K815" s="396"/>
      <c r="L815" s="404" t="s">
        <v>207</v>
      </c>
      <c r="M815" s="399" t="s">
        <v>176</v>
      </c>
      <c r="N815" s="399">
        <f t="shared" ref="N815" si="2553">IF(AND(D812=D813,D812=D814,D813=D814,F812=F813,F812=F814,F813=F814),SUM(N812:N814),0)</f>
        <v>6.5339999999999998</v>
      </c>
      <c r="O815" s="399" t="s">
        <v>204</v>
      </c>
      <c r="P815" s="389">
        <f t="shared" ref="P815" si="2554">IF(N815&gt;12,ROUNDDOWN(N815/12,0),0)</f>
        <v>0</v>
      </c>
      <c r="Q815" s="399" t="s">
        <v>125</v>
      </c>
      <c r="R815" s="399">
        <f t="shared" ref="R815" si="2555">IF(P815&gt;0,MAX(VLOOKUP(F815,$D$6:$G$15,3,FALSE),600),0)/1000</f>
        <v>0</v>
      </c>
      <c r="S815" s="396"/>
      <c r="T815" s="396" t="s">
        <v>125</v>
      </c>
      <c r="U815" s="401">
        <f t="shared" si="2453"/>
        <v>1.5782400000000001</v>
      </c>
      <c r="V815" s="396" t="s">
        <v>125</v>
      </c>
      <c r="W815" s="399">
        <f t="shared" ref="W815" si="2556">D815</f>
        <v>4</v>
      </c>
      <c r="X815" s="399" t="s">
        <v>125</v>
      </c>
      <c r="Y815" s="389">
        <f t="shared" si="2455"/>
        <v>1</v>
      </c>
      <c r="Z815" s="400" t="s">
        <v>176</v>
      </c>
      <c r="AA815" s="402">
        <f t="shared" ref="AA815" si="2557">(N815+P815*R815/1000)*U815*W815*Y815</f>
        <v>41.248880640000003</v>
      </c>
      <c r="AB815" s="390"/>
    </row>
    <row r="816" spans="1:28">
      <c r="A816" s="384"/>
      <c r="B816" s="385"/>
      <c r="C816" s="393"/>
      <c r="D816" s="398"/>
      <c r="E816" s="388"/>
      <c r="F816" s="388"/>
      <c r="G816" s="388"/>
      <c r="H816" s="395"/>
      <c r="I816" s="388"/>
      <c r="J816" s="396"/>
      <c r="K816" s="396"/>
      <c r="L816" s="404"/>
      <c r="M816" s="399"/>
      <c r="N816" s="399"/>
      <c r="O816" s="396"/>
      <c r="P816" s="389"/>
      <c r="Q816" s="396"/>
      <c r="R816" s="396"/>
      <c r="S816" s="396"/>
      <c r="T816" s="396"/>
      <c r="U816" s="401"/>
      <c r="V816" s="396"/>
      <c r="W816" s="399"/>
      <c r="X816" s="396"/>
      <c r="Y816" s="389"/>
      <c r="Z816" s="396"/>
      <c r="AA816" s="388"/>
      <c r="AB816" s="390"/>
    </row>
    <row r="817" spans="1:28">
      <c r="A817" s="384" t="str">
        <f t="shared" ref="A817:B817" si="2558">A805</f>
        <v>Lantai 1</v>
      </c>
      <c r="B817" s="385">
        <f t="shared" si="2558"/>
        <v>26</v>
      </c>
      <c r="C817" s="393" t="s">
        <v>208</v>
      </c>
      <c r="D817" s="398">
        <f>VLOOKUP(D805,'Detail Balok'!$C$10:$AU$140,13,FALSE)</f>
        <v>2</v>
      </c>
      <c r="E817" s="388" t="s">
        <v>16</v>
      </c>
      <c r="F817" s="388">
        <f>VLOOKUP(D805,'Detail Balok'!$C$10:$AU$140,15,FALSE)</f>
        <v>10</v>
      </c>
      <c r="G817" s="388"/>
      <c r="H817" s="395"/>
      <c r="I817" s="388"/>
      <c r="J817" s="399">
        <f t="shared" ref="J817" si="2559">+D807/1000</f>
        <v>6.15</v>
      </c>
      <c r="K817" s="400" t="s">
        <v>204</v>
      </c>
      <c r="L817" s="399">
        <f t="shared" ref="L817" si="2560">2*$F$16*F817/1000</f>
        <v>0.24</v>
      </c>
      <c r="M817" s="399" t="s">
        <v>176</v>
      </c>
      <c r="N817" s="399">
        <f t="shared" ref="N817" si="2561">J817+L817</f>
        <v>6.3900000000000006</v>
      </c>
      <c r="O817" s="399" t="s">
        <v>204</v>
      </c>
      <c r="P817" s="389">
        <f t="shared" ref="P817" si="2562">IF(N817&gt;12,ROUNDDOWN(N817/12,0),0)</f>
        <v>0</v>
      </c>
      <c r="Q817" s="399" t="s">
        <v>125</v>
      </c>
      <c r="R817" s="399">
        <f t="shared" ref="R817" si="2563">IF(P817&gt;0,MAX(VLOOKUP(F817,$D$6:$G$15,3,FALSE),600),0)/1000</f>
        <v>0</v>
      </c>
      <c r="S817" s="399"/>
      <c r="T817" s="399" t="s">
        <v>125</v>
      </c>
      <c r="U817" s="401">
        <f t="shared" ref="U817" si="2564">0.006165*F817^2</f>
        <v>0.61650000000000005</v>
      </c>
      <c r="V817" s="399" t="s">
        <v>125</v>
      </c>
      <c r="W817" s="399">
        <f t="shared" ref="W817" si="2565">+D817</f>
        <v>2</v>
      </c>
      <c r="X817" s="399" t="s">
        <v>125</v>
      </c>
      <c r="Y817" s="389">
        <f t="shared" ref="Y817" si="2566">D811</f>
        <v>1</v>
      </c>
      <c r="Z817" s="400" t="s">
        <v>176</v>
      </c>
      <c r="AA817" s="402">
        <f t="shared" ref="AA817" si="2567">(N817+P817*R817/1000)*U817*W817*Y817</f>
        <v>7.8788700000000009</v>
      </c>
      <c r="AB817" s="403"/>
    </row>
    <row r="818" spans="1:28">
      <c r="A818" s="384"/>
      <c r="B818" s="385"/>
      <c r="C818" s="393"/>
      <c r="D818" s="398"/>
      <c r="E818" s="388"/>
      <c r="F818" s="388"/>
      <c r="G818" s="388"/>
      <c r="H818" s="395"/>
      <c r="I818" s="388"/>
      <c r="J818" s="399"/>
      <c r="K818" s="400"/>
      <c r="L818" s="399"/>
      <c r="M818" s="399"/>
      <c r="N818" s="399"/>
      <c r="O818" s="399"/>
      <c r="P818" s="389"/>
      <c r="Q818" s="399"/>
      <c r="R818" s="399"/>
      <c r="S818" s="399"/>
      <c r="T818" s="399"/>
      <c r="U818" s="401"/>
      <c r="V818" s="399"/>
      <c r="W818" s="399"/>
      <c r="X818" s="399"/>
      <c r="Y818" s="389"/>
      <c r="Z818" s="400"/>
      <c r="AA818" s="402"/>
      <c r="AB818" s="403"/>
    </row>
    <row r="819" spans="1:28">
      <c r="A819" s="384"/>
      <c r="B819" s="385"/>
      <c r="C819" s="393"/>
      <c r="D819" s="398"/>
      <c r="E819" s="388"/>
      <c r="F819" s="388"/>
      <c r="G819" s="388"/>
      <c r="H819" s="395"/>
      <c r="I819" s="388"/>
      <c r="J819" s="396"/>
      <c r="K819" s="396"/>
      <c r="L819" s="396"/>
      <c r="M819" s="396"/>
      <c r="N819" s="396"/>
      <c r="O819" s="396"/>
      <c r="P819" s="389"/>
      <c r="Q819" s="396"/>
      <c r="R819" s="396"/>
      <c r="S819" s="396"/>
      <c r="T819" s="396"/>
      <c r="U819" s="401"/>
      <c r="V819" s="396"/>
      <c r="W819" s="399"/>
      <c r="X819" s="396"/>
      <c r="Y819" s="389"/>
      <c r="Z819" s="396"/>
      <c r="AA819" s="388"/>
      <c r="AB819" s="390"/>
    </row>
    <row r="820" spans="1:28">
      <c r="A820" s="384" t="str">
        <f t="shared" ref="A820:B820" si="2568">A805</f>
        <v>Lantai 1</v>
      </c>
      <c r="B820" s="385">
        <f t="shared" si="2568"/>
        <v>26</v>
      </c>
      <c r="C820" s="393" t="s">
        <v>209</v>
      </c>
      <c r="D820" s="398">
        <f>VLOOKUP(D805,'Detail Balok'!$C$10:$AU$140,22,FALSE)</f>
        <v>4</v>
      </c>
      <c r="E820" s="388" t="s">
        <v>16</v>
      </c>
      <c r="F820" s="388">
        <f>VLOOKUP(D805,'Detail Balok'!$C$10:$AU$140,24,FALSE)</f>
        <v>16</v>
      </c>
      <c r="G820" s="388"/>
      <c r="H820" s="395"/>
      <c r="I820" s="388" t="s">
        <v>203</v>
      </c>
      <c r="J820" s="399">
        <f t="shared" si="2468"/>
        <v>1.5375000000000001</v>
      </c>
      <c r="K820" s="400" t="s">
        <v>204</v>
      </c>
      <c r="L820" s="399">
        <f t="shared" ref="L820" si="2569">MAX(VLOOKUP(F820,N$6:P$15,3,FALSE)/1000,2/3*D810/1000)+F$16*F820/1000</f>
        <v>0.192</v>
      </c>
      <c r="M820" s="399" t="s">
        <v>176</v>
      </c>
      <c r="N820" s="399">
        <f t="shared" ref="N820:N822" si="2570">J820+L820</f>
        <v>1.7295</v>
      </c>
      <c r="O820" s="399" t="s">
        <v>204</v>
      </c>
      <c r="P820" s="389">
        <f t="shared" ref="P820" si="2571">D820-D821</f>
        <v>0</v>
      </c>
      <c r="Q820" s="399" t="s">
        <v>125</v>
      </c>
      <c r="R820" s="399">
        <f t="shared" ref="R820" si="2572">IF(P820&gt;0,$F$18*F820/1000,0)</f>
        <v>0</v>
      </c>
      <c r="S820" s="399" t="s">
        <v>205</v>
      </c>
      <c r="T820" s="399" t="s">
        <v>125</v>
      </c>
      <c r="U820" s="401">
        <f t="shared" ref="U820:U822" si="2573">0.006165*F820^2</f>
        <v>1.5782400000000001</v>
      </c>
      <c r="V820" s="399"/>
      <c r="W820" s="399"/>
      <c r="X820" s="399" t="s">
        <v>125</v>
      </c>
      <c r="Y820" s="389">
        <f t="shared" ref="Y820" si="2574">D811</f>
        <v>1</v>
      </c>
      <c r="Z820" s="400" t="s">
        <v>176</v>
      </c>
      <c r="AA820" s="402">
        <f t="shared" ref="AA820" si="2575">IF(AA823=0,(D820*N820+P820*R820)*U820*Y820,0)</f>
        <v>0</v>
      </c>
      <c r="AB820" s="403"/>
    </row>
    <row r="821" spans="1:28">
      <c r="A821" s="384" t="str">
        <f t="shared" ref="A821:B821" si="2576">A805</f>
        <v>Lantai 1</v>
      </c>
      <c r="B821" s="385">
        <f t="shared" si="2576"/>
        <v>26</v>
      </c>
      <c r="C821" s="393" t="s">
        <v>210</v>
      </c>
      <c r="D821" s="398">
        <f>VLOOKUP(D805,'Detail Balok'!$C$10:$AU$140,25,FALSE)</f>
        <v>4</v>
      </c>
      <c r="E821" s="388" t="s">
        <v>16</v>
      </c>
      <c r="F821" s="388">
        <f>VLOOKUP(D805,'Detail Balok'!$C$10:$AU$140,27,FALSE)</f>
        <v>16</v>
      </c>
      <c r="G821" s="388"/>
      <c r="H821" s="395"/>
      <c r="I821" s="388" t="s">
        <v>203</v>
      </c>
      <c r="J821" s="399">
        <f t="shared" si="2468"/>
        <v>3.0750000000000002</v>
      </c>
      <c r="K821" s="400" t="s">
        <v>204</v>
      </c>
      <c r="L821" s="399"/>
      <c r="M821" s="399" t="s">
        <v>176</v>
      </c>
      <c r="N821" s="399">
        <f t="shared" si="2570"/>
        <v>3.0750000000000002</v>
      </c>
      <c r="O821" s="399" t="s">
        <v>204</v>
      </c>
      <c r="P821" s="389">
        <f t="shared" ref="P821" si="2577">MAX(D821-D820,D821-D822)</f>
        <v>0</v>
      </c>
      <c r="Q821" s="399" t="s">
        <v>125</v>
      </c>
      <c r="R821" s="399">
        <f t="shared" ref="R821" si="2578">IF(P821&gt;0,2*(1-2*$F$19-1/2)*D808/1000,0)</f>
        <v>0</v>
      </c>
      <c r="S821" s="399" t="s">
        <v>205</v>
      </c>
      <c r="T821" s="399" t="s">
        <v>125</v>
      </c>
      <c r="U821" s="401">
        <f t="shared" si="2573"/>
        <v>1.5782400000000001</v>
      </c>
      <c r="V821" s="399"/>
      <c r="W821" s="399"/>
      <c r="X821" s="399" t="s">
        <v>125</v>
      </c>
      <c r="Y821" s="389">
        <f t="shared" ref="Y821" si="2579">D811</f>
        <v>1</v>
      </c>
      <c r="Z821" s="400" t="s">
        <v>176</v>
      </c>
      <c r="AA821" s="402">
        <f t="shared" ref="AA821" si="2580">IF(AA823=0,(D821*N821+P821*R821)*U821*Y821,0)</f>
        <v>0</v>
      </c>
      <c r="AB821" s="403"/>
    </row>
    <row r="822" spans="1:28">
      <c r="A822" s="384" t="str">
        <f t="shared" ref="A822:B822" si="2581">A805</f>
        <v>Lantai 1</v>
      </c>
      <c r="B822" s="385">
        <f t="shared" si="2581"/>
        <v>26</v>
      </c>
      <c r="C822" s="393" t="s">
        <v>209</v>
      </c>
      <c r="D822" s="398">
        <f>VLOOKUP(D805,'Detail Balok'!$C$10:$AU$140,28,FALSE)</f>
        <v>4</v>
      </c>
      <c r="E822" s="388" t="s">
        <v>16</v>
      </c>
      <c r="F822" s="388">
        <f>VLOOKUP(D805,'Detail Balok'!$C$10:$AU$140,30,FALSE)</f>
        <v>16</v>
      </c>
      <c r="G822" s="388"/>
      <c r="H822" s="395"/>
      <c r="I822" s="388" t="s">
        <v>203</v>
      </c>
      <c r="J822" s="399">
        <f t="shared" si="2468"/>
        <v>1.5375000000000001</v>
      </c>
      <c r="K822" s="400" t="s">
        <v>204</v>
      </c>
      <c r="L822" s="399">
        <f t="shared" ref="L822" si="2582">MAX(VLOOKUP(F822,N$6:P$15,3,FALSE)/1000,2/3*D810/1000)+F$16*F822/1000</f>
        <v>0.192</v>
      </c>
      <c r="M822" s="399" t="s">
        <v>176</v>
      </c>
      <c r="N822" s="399">
        <f t="shared" si="2570"/>
        <v>1.7295</v>
      </c>
      <c r="O822" s="399" t="s">
        <v>204</v>
      </c>
      <c r="P822" s="389">
        <f t="shared" ref="P822" si="2583">D822-D821</f>
        <v>0</v>
      </c>
      <c r="Q822" s="399" t="s">
        <v>125</v>
      </c>
      <c r="R822" s="399">
        <f t="shared" ref="R822" si="2584">IF(P822&gt;0,$F$18*F822/1000,0)</f>
        <v>0</v>
      </c>
      <c r="S822" s="399" t="s">
        <v>205</v>
      </c>
      <c r="T822" s="399" t="s">
        <v>125</v>
      </c>
      <c r="U822" s="401">
        <f t="shared" si="2573"/>
        <v>1.5782400000000001</v>
      </c>
      <c r="V822" s="399"/>
      <c r="W822" s="399"/>
      <c r="X822" s="399" t="s">
        <v>125</v>
      </c>
      <c r="Y822" s="389">
        <f t="shared" ref="Y822" si="2585">D811</f>
        <v>1</v>
      </c>
      <c r="Z822" s="400" t="s">
        <v>176</v>
      </c>
      <c r="AA822" s="402">
        <f t="shared" ref="AA822" si="2586">IF(AA823=0,(D822*N822+P822*R822)*U822*Y822,0)</f>
        <v>0</v>
      </c>
      <c r="AB822" s="403"/>
    </row>
    <row r="823" spans="1:28">
      <c r="A823" s="384" t="str">
        <f t="shared" ref="A823:B823" si="2587">A805</f>
        <v>Lantai 1</v>
      </c>
      <c r="B823" s="385">
        <f t="shared" si="2587"/>
        <v>26</v>
      </c>
      <c r="C823" s="393"/>
      <c r="D823" s="398">
        <f t="shared" si="2488"/>
        <v>4</v>
      </c>
      <c r="E823" s="388" t="s">
        <v>16</v>
      </c>
      <c r="F823" s="388">
        <f t="shared" si="2489"/>
        <v>16</v>
      </c>
      <c r="G823" s="388"/>
      <c r="H823" s="395"/>
      <c r="I823" s="388"/>
      <c r="J823" s="396"/>
      <c r="K823" s="396"/>
      <c r="L823" s="404" t="s">
        <v>207</v>
      </c>
      <c r="M823" s="399" t="s">
        <v>176</v>
      </c>
      <c r="N823" s="399">
        <f t="shared" ref="N823" si="2588">IF(AND(D820=D821,D820=D822,D821=D822,F820=F821,F820=F822,F821=F822),SUM(N820:N822),0)</f>
        <v>6.5339999999999998</v>
      </c>
      <c r="O823" s="399" t="s">
        <v>204</v>
      </c>
      <c r="P823" s="389">
        <f t="shared" ref="P823" si="2589">IF(N823&gt;12,ROUNDDOWN(N823/12,0),0)</f>
        <v>0</v>
      </c>
      <c r="Q823" s="399" t="s">
        <v>125</v>
      </c>
      <c r="R823" s="399">
        <f t="shared" ref="R823" si="2590">IF(P823&gt;0,MAX(VLOOKUP(F823,$D$6:$G$15,3,FALSE),600),0)/1000</f>
        <v>0</v>
      </c>
      <c r="S823" s="396"/>
      <c r="T823" s="396" t="s">
        <v>125</v>
      </c>
      <c r="U823" s="401">
        <f t="shared" si="2493"/>
        <v>1.5782400000000001</v>
      </c>
      <c r="V823" s="396" t="s">
        <v>125</v>
      </c>
      <c r="W823" s="399">
        <f t="shared" ref="W823" si="2591">D823</f>
        <v>4</v>
      </c>
      <c r="X823" s="399" t="s">
        <v>125</v>
      </c>
      <c r="Y823" s="389">
        <f t="shared" si="2495"/>
        <v>1</v>
      </c>
      <c r="Z823" s="400" t="s">
        <v>176</v>
      </c>
      <c r="AA823" s="402">
        <f t="shared" ref="AA823" si="2592">(N823+P823*R823/1000)*U823*W823*Y823</f>
        <v>41.248880640000003</v>
      </c>
      <c r="AB823" s="403"/>
    </row>
    <row r="824" spans="1:28">
      <c r="A824" s="384"/>
      <c r="B824" s="385"/>
      <c r="C824" s="393"/>
      <c r="D824" s="394"/>
      <c r="E824" s="388"/>
      <c r="F824" s="388"/>
      <c r="G824" s="388"/>
      <c r="H824" s="395"/>
      <c r="I824" s="388"/>
      <c r="J824" s="399"/>
      <c r="K824" s="396"/>
      <c r="L824" s="396"/>
      <c r="M824" s="396"/>
      <c r="N824" s="396"/>
      <c r="O824" s="396"/>
      <c r="P824" s="389"/>
      <c r="Q824" s="396"/>
      <c r="R824" s="396"/>
      <c r="S824" s="396"/>
      <c r="T824" s="396"/>
      <c r="U824" s="401"/>
      <c r="V824" s="396"/>
      <c r="W824" s="388"/>
      <c r="X824" s="396"/>
      <c r="Y824" s="389"/>
      <c r="Z824" s="396"/>
      <c r="AA824" s="388"/>
      <c r="AB824" s="390"/>
    </row>
    <row r="825" spans="1:28">
      <c r="A825" s="384" t="str">
        <f t="shared" ref="A825:B825" si="2593">A805</f>
        <v>Lantai 1</v>
      </c>
      <c r="B825" s="385">
        <f t="shared" si="2593"/>
        <v>26</v>
      </c>
      <c r="C825" s="393" t="s">
        <v>211</v>
      </c>
      <c r="D825" s="398">
        <f>VLOOKUP(D805,'Detail Balok'!$C$10:$AU$140,31,FALSE)</f>
        <v>0</v>
      </c>
      <c r="E825" s="388" t="s">
        <v>16</v>
      </c>
      <c r="F825" s="388">
        <f>VLOOKUP(D805,'Detail Balok'!$C$10:$AU$140,33,FALSE)</f>
        <v>8</v>
      </c>
      <c r="G825" s="405" t="s">
        <v>157</v>
      </c>
      <c r="H825" s="395">
        <f>VLOOKUP(D805,'Detail Balok'!$C$10:$AU$140,35,FALSE)</f>
        <v>150</v>
      </c>
      <c r="I825" s="388"/>
      <c r="J825" s="400">
        <f t="shared" ref="J825" si="2594">(IF(D825=0,(2*(D806+G806))-(F$5*8),IF(D825=3,(2*(D806+G806))-(F$5*8)+(G806-2*F$5),IF(D825=4,(2*(D806+G806))-(F$5*8)+2*(G806-2*F$5)))))/1000</f>
        <v>1.48</v>
      </c>
      <c r="K825" s="400" t="s">
        <v>204</v>
      </c>
      <c r="L825" s="399">
        <f t="shared" ref="L825:L827" si="2595">IF(D825=0,2*MAX(6*F825,75),(D825-1)*2*MAX(6*F825,75))/1000</f>
        <v>0.15</v>
      </c>
      <c r="M825" s="399" t="s">
        <v>176</v>
      </c>
      <c r="N825" s="399">
        <f t="shared" ref="N825:N827" si="2596">J825+L825</f>
        <v>1.63</v>
      </c>
      <c r="O825" s="399"/>
      <c r="P825" s="389"/>
      <c r="Q825" s="399"/>
      <c r="R825" s="399"/>
      <c r="S825" s="399"/>
      <c r="T825" s="399" t="s">
        <v>125</v>
      </c>
      <c r="U825" s="401">
        <f t="shared" ref="U825:U827" si="2597">0.006165*F825^2</f>
        <v>0.39456000000000002</v>
      </c>
      <c r="V825" s="399" t="s">
        <v>125</v>
      </c>
      <c r="W825" s="399">
        <f t="shared" ref="W825" si="2598">IF(D808&gt;4*G806,ROUND(MAX(D808/4,2*G806)/H825,0)+1,ROUND(D808/H825,0)+1)</f>
        <v>11</v>
      </c>
      <c r="X825" s="399" t="s">
        <v>125</v>
      </c>
      <c r="Y825" s="389">
        <f t="shared" ref="Y825" si="2599">D811</f>
        <v>1</v>
      </c>
      <c r="Z825" s="400" t="s">
        <v>176</v>
      </c>
      <c r="AA825" s="402">
        <f t="shared" ref="AA825:AA827" si="2600">N825*U825*W825*Y825</f>
        <v>7.0744607999999998</v>
      </c>
      <c r="AB825" s="403"/>
    </row>
    <row r="826" spans="1:28">
      <c r="A826" s="384" t="str">
        <f t="shared" ref="A826:B826" si="2601">A805</f>
        <v>Lantai 1</v>
      </c>
      <c r="B826" s="385">
        <f t="shared" si="2601"/>
        <v>26</v>
      </c>
      <c r="C826" s="393" t="s">
        <v>212</v>
      </c>
      <c r="D826" s="398">
        <f>VLOOKUP(D805,'Detail Balok'!$C$10:$AU$140,36,FALSE)</f>
        <v>0</v>
      </c>
      <c r="E826" s="388" t="s">
        <v>16</v>
      </c>
      <c r="F826" s="388">
        <f>VLOOKUP(D805,'Detail Balok'!$C$10:$AU$140,38,FALSE)</f>
        <v>8</v>
      </c>
      <c r="G826" s="405" t="s">
        <v>157</v>
      </c>
      <c r="H826" s="395">
        <f>VLOOKUP(D805,'Detail Balok'!$C$10:$AU$140,40,FALSE)</f>
        <v>200</v>
      </c>
      <c r="I826" s="388"/>
      <c r="J826" s="400">
        <f t="shared" ref="J826" si="2602">(IF(D826=0,(2*(D806+G806))-(F$5*8),IF(D826=3,(2*(D806+G806))-(F$5*8)+(G806-2*F$5),IF(D826=4,(2*(D806+G806))-(F$5*8)+2*(G806-2*F$5)))))/1000</f>
        <v>1.48</v>
      </c>
      <c r="K826" s="400" t="s">
        <v>204</v>
      </c>
      <c r="L826" s="399">
        <f t="shared" si="2595"/>
        <v>0.15</v>
      </c>
      <c r="M826" s="399" t="s">
        <v>176</v>
      </c>
      <c r="N826" s="399">
        <f t="shared" si="2596"/>
        <v>1.63</v>
      </c>
      <c r="O826" s="399"/>
      <c r="P826" s="389"/>
      <c r="Q826" s="399"/>
      <c r="R826" s="399"/>
      <c r="S826" s="399"/>
      <c r="T826" s="399" t="s">
        <v>125</v>
      </c>
      <c r="U826" s="401">
        <f t="shared" si="2597"/>
        <v>0.39456000000000002</v>
      </c>
      <c r="V826" s="399" t="s">
        <v>125</v>
      </c>
      <c r="W826" s="399">
        <f t="shared" ref="W826" si="2603">IF(D808-MAX(D808/4,2*G806)*2&gt;0,ROUND((D808-MAX(D808/4,2*G806)*2)/H826,0),0)</f>
        <v>15</v>
      </c>
      <c r="X826" s="399" t="s">
        <v>125</v>
      </c>
      <c r="Y826" s="389">
        <f t="shared" ref="Y826" si="2604">D811</f>
        <v>1</v>
      </c>
      <c r="Z826" s="400" t="s">
        <v>176</v>
      </c>
      <c r="AA826" s="402">
        <f t="shared" si="2600"/>
        <v>9.6469919999999991</v>
      </c>
      <c r="AB826" s="403"/>
    </row>
    <row r="827" spans="1:28">
      <c r="A827" s="384" t="str">
        <f t="shared" ref="A827:B827" si="2605">A805</f>
        <v>Lantai 1</v>
      </c>
      <c r="B827" s="385">
        <f t="shared" si="2605"/>
        <v>26</v>
      </c>
      <c r="C827" s="393" t="s">
        <v>211</v>
      </c>
      <c r="D827" s="398">
        <f>VLOOKUP(D805,'Detail Balok'!$C$10:$AU$140,41,FALSE)</f>
        <v>0</v>
      </c>
      <c r="E827" s="388" t="s">
        <v>16</v>
      </c>
      <c r="F827" s="388">
        <f>VLOOKUP(D805,'Detail Balok'!$C$10:$AU$140,43,FALSE)</f>
        <v>8</v>
      </c>
      <c r="G827" s="405" t="s">
        <v>157</v>
      </c>
      <c r="H827" s="395">
        <f>VLOOKUP(D805,'Detail Balok'!$C$10:$AU$140,45,FALSE)</f>
        <v>150</v>
      </c>
      <c r="I827" s="388"/>
      <c r="J827" s="400">
        <f t="shared" ref="J827" si="2606">(IF(D827=0,(2*(D806+G806))-(F$5*8),IF(D827=3,(2*(D806+G806))-(F$5*8)+(G806-2*F$5),IF(D827=4,(2*(D806+G806))-(F$5*8)+2*(G806-2*F$5)))))/1000</f>
        <v>1.48</v>
      </c>
      <c r="K827" s="400" t="s">
        <v>204</v>
      </c>
      <c r="L827" s="399">
        <f t="shared" si="2595"/>
        <v>0.15</v>
      </c>
      <c r="M827" s="399" t="s">
        <v>176</v>
      </c>
      <c r="N827" s="399">
        <f t="shared" si="2596"/>
        <v>1.63</v>
      </c>
      <c r="O827" s="399"/>
      <c r="P827" s="389"/>
      <c r="Q827" s="399"/>
      <c r="R827" s="399"/>
      <c r="S827" s="399"/>
      <c r="T827" s="399" t="s">
        <v>125</v>
      </c>
      <c r="U827" s="401">
        <f t="shared" si="2597"/>
        <v>0.39456000000000002</v>
      </c>
      <c r="V827" s="399" t="s">
        <v>125</v>
      </c>
      <c r="W827" s="399">
        <f t="shared" ref="W827" si="2607">IF(D808&gt;4*G806,ROUND(MAX(D808/4,2*G806)/H827,0)+1,0)</f>
        <v>11</v>
      </c>
      <c r="X827" s="399" t="s">
        <v>125</v>
      </c>
      <c r="Y827" s="389">
        <f t="shared" ref="Y827" si="2608">D811</f>
        <v>1</v>
      </c>
      <c r="Z827" s="400" t="s">
        <v>176</v>
      </c>
      <c r="AA827" s="402">
        <f t="shared" si="2600"/>
        <v>7.0744607999999998</v>
      </c>
      <c r="AB827" s="403"/>
    </row>
    <row r="828" spans="1:28">
      <c r="A828" s="384"/>
      <c r="B828" s="385"/>
      <c r="C828" s="393"/>
      <c r="D828" s="394"/>
      <c r="E828" s="388"/>
      <c r="F828" s="388"/>
      <c r="G828" s="388"/>
      <c r="H828" s="395"/>
      <c r="I828" s="388"/>
      <c r="J828" s="399"/>
      <c r="K828" s="396"/>
      <c r="L828" s="396"/>
      <c r="M828" s="396"/>
      <c r="N828" s="396"/>
      <c r="O828" s="396"/>
      <c r="P828" s="389"/>
      <c r="Q828" s="396"/>
      <c r="R828" s="396"/>
      <c r="S828" s="396"/>
      <c r="T828" s="396"/>
      <c r="U828" s="401"/>
      <c r="V828" s="396"/>
      <c r="W828" s="388"/>
      <c r="X828" s="396"/>
      <c r="Y828" s="389"/>
      <c r="Z828" s="396"/>
      <c r="AA828" s="388"/>
      <c r="AB828" s="390"/>
    </row>
    <row r="829" spans="1:28">
      <c r="A829" s="384" t="str">
        <f t="shared" ref="A829:B829" si="2609">A805</f>
        <v>Lantai 1</v>
      </c>
      <c r="B829" s="385">
        <f t="shared" si="2609"/>
        <v>26</v>
      </c>
      <c r="C829" s="393" t="s">
        <v>213</v>
      </c>
      <c r="D829" s="398">
        <f>VLOOKUP(D805,'Detail Balok'!$C$10:$BJ$140,46,FALSE)</f>
        <v>0</v>
      </c>
      <c r="E829" s="388" t="s">
        <v>16</v>
      </c>
      <c r="F829" s="388">
        <f>VLOOKUP(D805,'Detail Balok'!$C$10:$BJ$140,48,FALSE)</f>
        <v>0</v>
      </c>
      <c r="G829" s="405" t="s">
        <v>157</v>
      </c>
      <c r="H829" s="395">
        <f>VLOOKUP(D805,'Detail Balok'!$C$10:$BJ$140,50,FALSE)</f>
        <v>100</v>
      </c>
      <c r="I829" s="388"/>
      <c r="J829" s="399">
        <f t="shared" ref="J829" si="2610">(D806-2*F$5)/1000</f>
        <v>0.22</v>
      </c>
      <c r="K829" s="400" t="s">
        <v>204</v>
      </c>
      <c r="L829" s="399">
        <f t="shared" ref="L829:L831" si="2611">IF(D829=0,2*MAX(6*F829,75),(D829-1)*2*MAX(6*F829,75))/1000</f>
        <v>0.15</v>
      </c>
      <c r="M829" s="399" t="s">
        <v>176</v>
      </c>
      <c r="N829" s="399">
        <f t="shared" ref="N829:N831" si="2612">J829+L829</f>
        <v>0.37</v>
      </c>
      <c r="O829" s="399"/>
      <c r="P829" s="399"/>
      <c r="Q829" s="399"/>
      <c r="R829" s="399"/>
      <c r="S829" s="399"/>
      <c r="T829" s="399" t="s">
        <v>125</v>
      </c>
      <c r="U829" s="401">
        <f t="shared" ref="U829:U831" si="2613">0.006165*F829^2</f>
        <v>0</v>
      </c>
      <c r="V829" s="399" t="s">
        <v>125</v>
      </c>
      <c r="W829" s="399">
        <f t="shared" si="2518"/>
        <v>11</v>
      </c>
      <c r="X829" s="399" t="s">
        <v>125</v>
      </c>
      <c r="Y829" s="389">
        <f t="shared" ref="Y829" si="2614">D815</f>
        <v>4</v>
      </c>
      <c r="Z829" s="400" t="s">
        <v>176</v>
      </c>
      <c r="AA829" s="402">
        <f t="shared" ref="AA829:AA831" si="2615">N829*U829*W829*Y829</f>
        <v>0</v>
      </c>
      <c r="AB829" s="403"/>
    </row>
    <row r="830" spans="1:28">
      <c r="A830" s="384" t="str">
        <f t="shared" ref="A830:B830" si="2616">A805</f>
        <v>Lantai 1</v>
      </c>
      <c r="B830" s="385">
        <f t="shared" si="2616"/>
        <v>26</v>
      </c>
      <c r="C830" s="393" t="s">
        <v>214</v>
      </c>
      <c r="D830" s="398">
        <f>VLOOKUP(D805,'Detail Balok'!$C$10:$BJ$140,51,FALSE)</f>
        <v>0</v>
      </c>
      <c r="E830" s="388" t="s">
        <v>16</v>
      </c>
      <c r="F830" s="388">
        <f>VLOOKUP(D805,'Detail Balok'!$C$10:$BJ$140,53,FALSE)</f>
        <v>0</v>
      </c>
      <c r="G830" s="405" t="s">
        <v>157</v>
      </c>
      <c r="H830" s="395">
        <f>VLOOKUP(D805,'Detail Balok'!$C$10:$BJ$140,55,FALSE)</f>
        <v>100</v>
      </c>
      <c r="I830" s="388"/>
      <c r="J830" s="399">
        <f t="shared" ref="J830" si="2617">(D806-2*F$5)/1000</f>
        <v>0.22</v>
      </c>
      <c r="K830" s="400" t="s">
        <v>204</v>
      </c>
      <c r="L830" s="399">
        <f t="shared" si="2611"/>
        <v>0.15</v>
      </c>
      <c r="M830" s="399" t="s">
        <v>176</v>
      </c>
      <c r="N830" s="399">
        <f t="shared" si="2612"/>
        <v>0.37</v>
      </c>
      <c r="O830" s="399"/>
      <c r="P830" s="399"/>
      <c r="Q830" s="399"/>
      <c r="R830" s="399"/>
      <c r="S830" s="399"/>
      <c r="T830" s="399" t="s">
        <v>125</v>
      </c>
      <c r="U830" s="401">
        <f t="shared" si="2613"/>
        <v>0</v>
      </c>
      <c r="V830" s="399" t="s">
        <v>125</v>
      </c>
      <c r="W830" s="399">
        <f t="shared" si="2518"/>
        <v>15</v>
      </c>
      <c r="X830" s="399" t="s">
        <v>125</v>
      </c>
      <c r="Y830" s="389">
        <f t="shared" ref="Y830" si="2618">D815</f>
        <v>4</v>
      </c>
      <c r="Z830" s="400" t="s">
        <v>176</v>
      </c>
      <c r="AA830" s="402">
        <f t="shared" si="2615"/>
        <v>0</v>
      </c>
      <c r="AB830" s="403"/>
    </row>
    <row r="831" spans="1:28">
      <c r="A831" s="384" t="str">
        <f t="shared" ref="A831:B831" si="2619">A805</f>
        <v>Lantai 1</v>
      </c>
      <c r="B831" s="385">
        <f t="shared" si="2619"/>
        <v>26</v>
      </c>
      <c r="C831" s="393" t="s">
        <v>213</v>
      </c>
      <c r="D831" s="398">
        <f>VLOOKUP(D805,'Detail Balok'!$C$10:$BJ$140,56,FALSE)</f>
        <v>0</v>
      </c>
      <c r="E831" s="388" t="s">
        <v>16</v>
      </c>
      <c r="F831" s="388">
        <f>VLOOKUP(D805,'Detail Balok'!$C$10:$BJ$140,58,FALSE)</f>
        <v>0</v>
      </c>
      <c r="G831" s="405" t="s">
        <v>157</v>
      </c>
      <c r="H831" s="395">
        <f>VLOOKUP(D805,'Detail Balok'!$C$10:$BJ$140,60,FALSE)</f>
        <v>100</v>
      </c>
      <c r="I831" s="388"/>
      <c r="J831" s="399">
        <f t="shared" ref="J831" si="2620">(D806-2*F$5)/1000</f>
        <v>0.22</v>
      </c>
      <c r="K831" s="400" t="s">
        <v>204</v>
      </c>
      <c r="L831" s="399">
        <f t="shared" si="2611"/>
        <v>0.15</v>
      </c>
      <c r="M831" s="399" t="s">
        <v>176</v>
      </c>
      <c r="N831" s="399">
        <f t="shared" si="2612"/>
        <v>0.37</v>
      </c>
      <c r="O831" s="399"/>
      <c r="P831" s="399"/>
      <c r="Q831" s="399"/>
      <c r="R831" s="399"/>
      <c r="S831" s="399"/>
      <c r="T831" s="399" t="s">
        <v>125</v>
      </c>
      <c r="U831" s="401">
        <f t="shared" si="2613"/>
        <v>0</v>
      </c>
      <c r="V831" s="399" t="s">
        <v>125</v>
      </c>
      <c r="W831" s="399">
        <f t="shared" si="2518"/>
        <v>11</v>
      </c>
      <c r="X831" s="399" t="s">
        <v>125</v>
      </c>
      <c r="Y831" s="389">
        <f t="shared" ref="Y831" si="2621">D815</f>
        <v>4</v>
      </c>
      <c r="Z831" s="400" t="s">
        <v>176</v>
      </c>
      <c r="AA831" s="402">
        <f t="shared" si="2615"/>
        <v>0</v>
      </c>
      <c r="AB831" s="403"/>
    </row>
    <row r="832" spans="1:28">
      <c r="A832" s="391"/>
      <c r="B832" s="392"/>
      <c r="C832" s="392"/>
      <c r="D832" s="394"/>
      <c r="E832" s="388"/>
      <c r="F832" s="388"/>
      <c r="G832" s="388"/>
      <c r="H832" s="395"/>
      <c r="I832" s="388"/>
      <c r="J832" s="402"/>
      <c r="K832" s="388"/>
      <c r="L832" s="388"/>
      <c r="M832" s="388"/>
      <c r="N832" s="388"/>
      <c r="O832" s="388"/>
      <c r="P832" s="388"/>
      <c r="Q832" s="388"/>
      <c r="R832" s="388"/>
      <c r="S832" s="388"/>
      <c r="T832" s="388"/>
      <c r="U832" s="388"/>
      <c r="V832" s="388"/>
      <c r="W832" s="388"/>
      <c r="X832" s="388"/>
      <c r="Y832" s="389"/>
      <c r="Z832" s="388"/>
      <c r="AA832" s="402"/>
      <c r="AB832" s="403"/>
    </row>
    <row r="833" spans="1:28" ht="15.75" thickBot="1">
      <c r="A833" s="406"/>
      <c r="B833" s="407"/>
      <c r="C833" s="407"/>
      <c r="D833" s="408"/>
      <c r="E833" s="409"/>
      <c r="F833" s="409"/>
      <c r="G833" s="409"/>
      <c r="H833" s="410"/>
      <c r="I833" s="409"/>
      <c r="J833" s="409"/>
      <c r="K833" s="409"/>
      <c r="L833" s="409"/>
      <c r="M833" s="409"/>
      <c r="N833" s="409"/>
      <c r="O833" s="409"/>
      <c r="P833" s="409"/>
      <c r="Q833" s="409"/>
      <c r="R833" s="409"/>
      <c r="S833" s="409"/>
      <c r="T833" s="409"/>
      <c r="U833" s="409"/>
      <c r="V833" s="409"/>
      <c r="W833" s="409"/>
      <c r="X833" s="409"/>
      <c r="Y833" s="411"/>
      <c r="Z833" s="409"/>
      <c r="AA833" s="412"/>
      <c r="AB833" s="413"/>
    </row>
    <row r="834" spans="1:28">
      <c r="A834" s="377"/>
      <c r="B834" s="378"/>
      <c r="C834" s="378"/>
      <c r="D834" s="379"/>
      <c r="E834" s="380"/>
      <c r="F834" s="380"/>
      <c r="G834" s="380"/>
      <c r="H834" s="381"/>
      <c r="I834" s="380"/>
      <c r="J834" s="380"/>
      <c r="K834" s="380"/>
      <c r="L834" s="380"/>
      <c r="M834" s="380"/>
      <c r="N834" s="380"/>
      <c r="O834" s="380"/>
      <c r="P834" s="380"/>
      <c r="Q834" s="380"/>
      <c r="R834" s="380"/>
      <c r="S834" s="380"/>
      <c r="T834" s="380"/>
      <c r="U834" s="380"/>
      <c r="V834" s="380"/>
      <c r="W834" s="380"/>
      <c r="X834" s="380"/>
      <c r="Y834" s="382"/>
      <c r="Z834" s="380"/>
      <c r="AA834" s="380"/>
      <c r="AB834" s="383"/>
    </row>
    <row r="835" spans="1:28">
      <c r="A835" s="384" t="str">
        <f t="shared" si="2527"/>
        <v>Lantai 1</v>
      </c>
      <c r="B835" s="385">
        <f t="shared" si="2528"/>
        <v>27</v>
      </c>
      <c r="C835" s="386" t="str">
        <f t="shared" ref="C835" si="2622">CONCATENATE(A835," no. ",B835)</f>
        <v>Lantai 1 no. 27</v>
      </c>
      <c r="D835" s="2562" t="str">
        <f>VLOOKUP(C835,'Data Panjang Balok'!$C$9:$N$254,2,FALSE)</f>
        <v>S24-1</v>
      </c>
      <c r="E835" s="2576"/>
      <c r="F835" s="2576"/>
      <c r="G835" s="2576"/>
      <c r="H835" s="2577"/>
      <c r="I835" s="387"/>
      <c r="J835" s="388"/>
      <c r="K835" s="388"/>
      <c r="L835" s="388"/>
      <c r="M835" s="388"/>
      <c r="N835" s="388"/>
      <c r="O835" s="388"/>
      <c r="P835" s="388"/>
      <c r="Q835" s="388"/>
      <c r="R835" s="388"/>
      <c r="S835" s="388"/>
      <c r="T835" s="388"/>
      <c r="U835" s="388"/>
      <c r="V835" s="388"/>
      <c r="W835" s="388"/>
      <c r="X835" s="388"/>
      <c r="Y835" s="389"/>
      <c r="Z835" s="388"/>
      <c r="AA835" s="388"/>
      <c r="AB835" s="390"/>
    </row>
    <row r="836" spans="1:28">
      <c r="A836" s="391"/>
      <c r="B836" s="392"/>
      <c r="C836" s="393" t="s">
        <v>118</v>
      </c>
      <c r="D836" s="2578">
        <f>VLOOKUP(D835,'Detail Balok'!$C$10:$AU$140,2,FALSE)</f>
        <v>200</v>
      </c>
      <c r="E836" s="2579"/>
      <c r="F836" s="388" t="s">
        <v>125</v>
      </c>
      <c r="G836" s="2579">
        <f>VLOOKUP(D835,'Detail Balok'!$C$10:$AU$140,3,FALSE)</f>
        <v>400</v>
      </c>
      <c r="H836" s="2580"/>
      <c r="I836" s="388"/>
      <c r="J836" s="396"/>
      <c r="K836" s="396"/>
      <c r="L836" s="396"/>
      <c r="M836" s="396"/>
      <c r="N836" s="396"/>
      <c r="O836" s="396"/>
      <c r="P836" s="396"/>
      <c r="Q836" s="396"/>
      <c r="R836" s="396"/>
      <c r="S836" s="396"/>
      <c r="T836" s="396"/>
      <c r="U836" s="388"/>
      <c r="V836" s="396"/>
      <c r="W836" s="388"/>
      <c r="X836" s="396"/>
      <c r="Y836" s="389"/>
      <c r="Z836" s="396"/>
      <c r="AA836" s="388"/>
      <c r="AB836" s="390"/>
    </row>
    <row r="837" spans="1:28">
      <c r="A837" s="391"/>
      <c r="B837" s="392"/>
      <c r="C837" s="393" t="s">
        <v>198</v>
      </c>
      <c r="D837" s="2562">
        <f>VLOOKUP(C835,'Data Panjang Balok'!$C$9:$N$254,4,FALSE)</f>
        <v>2390</v>
      </c>
      <c r="E837" s="2563"/>
      <c r="F837" s="2563"/>
      <c r="G837" s="2563"/>
      <c r="H837" s="2564"/>
      <c r="I837" s="397"/>
      <c r="J837" s="396"/>
      <c r="K837" s="396"/>
      <c r="L837" s="396"/>
      <c r="M837" s="396"/>
      <c r="N837" s="396"/>
      <c r="O837" s="396"/>
      <c r="P837" s="396"/>
      <c r="Q837" s="396"/>
      <c r="R837" s="396"/>
      <c r="S837" s="396"/>
      <c r="T837" s="396"/>
      <c r="U837" s="388"/>
      <c r="V837" s="396"/>
      <c r="W837" s="388"/>
      <c r="X837" s="396"/>
      <c r="Y837" s="389"/>
      <c r="Z837" s="396"/>
      <c r="AA837" s="388"/>
      <c r="AB837" s="390"/>
    </row>
    <row r="838" spans="1:28">
      <c r="A838" s="391"/>
      <c r="B838" s="392"/>
      <c r="C838" s="393" t="s">
        <v>199</v>
      </c>
      <c r="D838" s="2562">
        <f>VLOOKUP(C835,'Data Panjang Balok'!$C$9:$N$254,7,FALSE)</f>
        <v>2390</v>
      </c>
      <c r="E838" s="2563"/>
      <c r="F838" s="2563"/>
      <c r="G838" s="2563"/>
      <c r="H838" s="2564"/>
      <c r="I838" s="397"/>
      <c r="J838" s="396"/>
      <c r="K838" s="396"/>
      <c r="L838" s="396"/>
      <c r="M838" s="396"/>
      <c r="N838" s="396"/>
      <c r="O838" s="396"/>
      <c r="P838" s="396"/>
      <c r="Q838" s="396"/>
      <c r="R838" s="396"/>
      <c r="S838" s="396"/>
      <c r="T838" s="396"/>
      <c r="U838" s="388"/>
      <c r="V838" s="396"/>
      <c r="W838" s="388"/>
      <c r="X838" s="396"/>
      <c r="Y838" s="389"/>
      <c r="Z838" s="396"/>
      <c r="AA838" s="388"/>
      <c r="AB838" s="390"/>
    </row>
    <row r="839" spans="1:28">
      <c r="A839" s="391"/>
      <c r="B839" s="392"/>
      <c r="C839" s="393" t="s">
        <v>200</v>
      </c>
      <c r="D839" s="2562">
        <f>VLOOKUP(C835,'Data Panjang Balok'!$C$9:$N$254,9,FALSE)</f>
        <v>0</v>
      </c>
      <c r="E839" s="2563"/>
      <c r="F839" s="2563"/>
      <c r="G839" s="2563"/>
      <c r="H839" s="2564"/>
      <c r="I839" s="397"/>
      <c r="J839" s="396"/>
      <c r="K839" s="396"/>
      <c r="L839" s="396"/>
      <c r="M839" s="396"/>
      <c r="N839" s="396"/>
      <c r="O839" s="396"/>
      <c r="P839" s="396"/>
      <c r="Q839" s="396"/>
      <c r="R839" s="396"/>
      <c r="S839" s="396"/>
      <c r="T839" s="396"/>
      <c r="U839" s="388"/>
      <c r="V839" s="396"/>
      <c r="W839" s="388"/>
      <c r="X839" s="396"/>
      <c r="Y839" s="389"/>
      <c r="Z839" s="396"/>
      <c r="AA839" s="388"/>
      <c r="AB839" s="390"/>
    </row>
    <row r="840" spans="1:28">
      <c r="A840" s="391"/>
      <c r="B840" s="392"/>
      <c r="C840" s="393" t="s">
        <v>201</v>
      </c>
      <c r="D840" s="2562">
        <f>VLOOKUP(C835,'Data Panjang Balok'!$C$9:$N$254,10,FALSE)</f>
        <v>0</v>
      </c>
      <c r="E840" s="2563"/>
      <c r="F840" s="2563"/>
      <c r="G840" s="2563"/>
      <c r="H840" s="2564"/>
      <c r="I840" s="397"/>
      <c r="J840" s="396"/>
      <c r="K840" s="396"/>
      <c r="L840" s="396"/>
      <c r="M840" s="396"/>
      <c r="N840" s="396"/>
      <c r="O840" s="396"/>
      <c r="P840" s="396"/>
      <c r="Q840" s="396"/>
      <c r="R840" s="396"/>
      <c r="S840" s="396"/>
      <c r="T840" s="396"/>
      <c r="U840" s="388"/>
      <c r="V840" s="396"/>
      <c r="W840" s="388"/>
      <c r="X840" s="396"/>
      <c r="Y840" s="389"/>
      <c r="Z840" s="396"/>
      <c r="AA840" s="388"/>
      <c r="AB840" s="390"/>
    </row>
    <row r="841" spans="1:28">
      <c r="A841" s="391"/>
      <c r="B841" s="392"/>
      <c r="C841" s="393" t="s">
        <v>48</v>
      </c>
      <c r="D841" s="2562">
        <f>VLOOKUP(C835,'Data Panjang Balok'!$C$9:$N$254,3,FALSE)</f>
        <v>1</v>
      </c>
      <c r="E841" s="2563"/>
      <c r="F841" s="2563"/>
      <c r="G841" s="2563"/>
      <c r="H841" s="2564"/>
      <c r="I841" s="397"/>
      <c r="J841" s="396"/>
      <c r="K841" s="396"/>
      <c r="L841" s="396"/>
      <c r="M841" s="396"/>
      <c r="N841" s="396"/>
      <c r="O841" s="396"/>
      <c r="P841" s="396"/>
      <c r="Q841" s="396"/>
      <c r="R841" s="396"/>
      <c r="S841" s="396"/>
      <c r="T841" s="396"/>
      <c r="U841" s="388"/>
      <c r="V841" s="396"/>
      <c r="W841" s="388"/>
      <c r="X841" s="396"/>
      <c r="Y841" s="389"/>
      <c r="Z841" s="396"/>
      <c r="AA841" s="388"/>
      <c r="AB841" s="390"/>
    </row>
    <row r="842" spans="1:28">
      <c r="A842" s="384" t="str">
        <f t="shared" ref="A842:B842" si="2623">A835</f>
        <v>Lantai 1</v>
      </c>
      <c r="B842" s="385">
        <f t="shared" si="2623"/>
        <v>27</v>
      </c>
      <c r="C842" s="393" t="s">
        <v>202</v>
      </c>
      <c r="D842" s="398">
        <f>VLOOKUP(D835,'Detail Balok'!$C$10:$AU$140,4,FALSE)</f>
        <v>3</v>
      </c>
      <c r="E842" s="388" t="s">
        <v>16</v>
      </c>
      <c r="F842" s="388">
        <f>VLOOKUP(D835,'Detail Balok'!$C$10:$AU$140,6,FALSE)</f>
        <v>13</v>
      </c>
      <c r="G842" s="388"/>
      <c r="H842" s="395"/>
      <c r="I842" s="388" t="s">
        <v>203</v>
      </c>
      <c r="J842" s="399">
        <f t="shared" ref="J842" si="2624">+D837/4/1000</f>
        <v>0.59750000000000003</v>
      </c>
      <c r="K842" s="400" t="s">
        <v>204</v>
      </c>
      <c r="L842" s="399">
        <f t="shared" ref="L842" si="2625">MAX(VLOOKUP(F842,N$6:P$15,3,FALSE)/1000,2/3*D839/1000)+F$16*F842/1000</f>
        <v>0.156</v>
      </c>
      <c r="M842" s="399" t="s">
        <v>176</v>
      </c>
      <c r="N842" s="399">
        <f t="shared" ref="N842:N844" si="2626">J842+L842</f>
        <v>0.75350000000000006</v>
      </c>
      <c r="O842" s="399" t="s">
        <v>204</v>
      </c>
      <c r="P842" s="389">
        <f t="shared" ref="P842" si="2627">D842-D843</f>
        <v>0</v>
      </c>
      <c r="Q842" s="399" t="s">
        <v>125</v>
      </c>
      <c r="R842" s="399">
        <f t="shared" ref="R842" si="2628">IF(P842&gt;0,$F$18*F842/1000,0)</f>
        <v>0</v>
      </c>
      <c r="S842" s="399" t="s">
        <v>205</v>
      </c>
      <c r="T842" s="399" t="s">
        <v>125</v>
      </c>
      <c r="U842" s="401">
        <f t="shared" ref="U842:U844" si="2629">0.006165*F842^2</f>
        <v>1.041885</v>
      </c>
      <c r="V842" s="399"/>
      <c r="W842" s="399"/>
      <c r="X842" s="399" t="s">
        <v>125</v>
      </c>
      <c r="Y842" s="389">
        <f t="shared" ref="Y842" si="2630">D841</f>
        <v>1</v>
      </c>
      <c r="Z842" s="400" t="s">
        <v>176</v>
      </c>
      <c r="AA842" s="402">
        <f t="shared" ref="AA842" si="2631">IF(AA845=0,(D842*N842+P842*R842)*U842*Y842,0)</f>
        <v>0</v>
      </c>
      <c r="AB842" s="403"/>
    </row>
    <row r="843" spans="1:28">
      <c r="A843" s="384" t="str">
        <f t="shared" ref="A843:B843" si="2632">A835</f>
        <v>Lantai 1</v>
      </c>
      <c r="B843" s="385">
        <f t="shared" si="2632"/>
        <v>27</v>
      </c>
      <c r="C843" s="393" t="s">
        <v>206</v>
      </c>
      <c r="D843" s="398">
        <f>VLOOKUP(D835,'Detail Balok'!$C$10:$AU$140,7,FALSE)</f>
        <v>3</v>
      </c>
      <c r="E843" s="388" t="s">
        <v>16</v>
      </c>
      <c r="F843" s="388">
        <f>VLOOKUP(D835,'Detail Balok'!$C$10:$AU$140,9,FALSE)</f>
        <v>13</v>
      </c>
      <c r="G843" s="388"/>
      <c r="H843" s="395"/>
      <c r="I843" s="388" t="s">
        <v>203</v>
      </c>
      <c r="J843" s="399">
        <f t="shared" ref="J843" si="2633">+D837/2/1000</f>
        <v>1.1950000000000001</v>
      </c>
      <c r="K843" s="400" t="s">
        <v>204</v>
      </c>
      <c r="L843" s="399"/>
      <c r="M843" s="399" t="s">
        <v>176</v>
      </c>
      <c r="N843" s="399">
        <f t="shared" si="2626"/>
        <v>1.1950000000000001</v>
      </c>
      <c r="O843" s="399" t="s">
        <v>204</v>
      </c>
      <c r="P843" s="389">
        <f t="shared" ref="P843" si="2634">MAX(D843-D842,D843-D844)</f>
        <v>0</v>
      </c>
      <c r="Q843" s="399" t="s">
        <v>125</v>
      </c>
      <c r="R843" s="399">
        <f t="shared" ref="R843" si="2635">IF(P843&gt;0,2*(1-2*$F$19-1/2)*D838/1000,0)</f>
        <v>0</v>
      </c>
      <c r="S843" s="399" t="s">
        <v>205</v>
      </c>
      <c r="T843" s="399" t="s">
        <v>125</v>
      </c>
      <c r="U843" s="401">
        <f t="shared" si="2629"/>
        <v>1.041885</v>
      </c>
      <c r="V843" s="399"/>
      <c r="W843" s="399"/>
      <c r="X843" s="399" t="s">
        <v>125</v>
      </c>
      <c r="Y843" s="389">
        <f t="shared" ref="Y843" si="2636">D841</f>
        <v>1</v>
      </c>
      <c r="Z843" s="400" t="s">
        <v>176</v>
      </c>
      <c r="AA843" s="402">
        <f t="shared" ref="AA843" si="2637">IF(AA845=0,(D843*N843+P843*R843)*U843*Y843,0)</f>
        <v>0</v>
      </c>
      <c r="AB843" s="403"/>
    </row>
    <row r="844" spans="1:28">
      <c r="A844" s="384" t="str">
        <f t="shared" ref="A844:B844" si="2638">A835</f>
        <v>Lantai 1</v>
      </c>
      <c r="B844" s="385">
        <f t="shared" si="2638"/>
        <v>27</v>
      </c>
      <c r="C844" s="393" t="s">
        <v>202</v>
      </c>
      <c r="D844" s="398">
        <f>VLOOKUP(D835,'Detail Balok'!$C$10:$AU$140,10,FALSE)</f>
        <v>3</v>
      </c>
      <c r="E844" s="388" t="s">
        <v>16</v>
      </c>
      <c r="F844" s="388">
        <f>VLOOKUP(D835,'Detail Balok'!$C$10:$AU$140,12,FALSE)</f>
        <v>13</v>
      </c>
      <c r="G844" s="388"/>
      <c r="H844" s="395"/>
      <c r="I844" s="388" t="s">
        <v>203</v>
      </c>
      <c r="J844" s="399">
        <f t="shared" ref="J844" si="2639">+D837/4/1000</f>
        <v>0.59750000000000003</v>
      </c>
      <c r="K844" s="400" t="s">
        <v>204</v>
      </c>
      <c r="L844" s="399">
        <f t="shared" ref="L844" si="2640">MAX(VLOOKUP(F844,N$6:P$15,3,FALSE)/1000,2/3*D839/1000)+F$16*F844/1000</f>
        <v>0.156</v>
      </c>
      <c r="M844" s="399" t="s">
        <v>176</v>
      </c>
      <c r="N844" s="399">
        <f t="shared" si="2626"/>
        <v>0.75350000000000006</v>
      </c>
      <c r="O844" s="399" t="s">
        <v>204</v>
      </c>
      <c r="P844" s="389">
        <f t="shared" ref="P844" si="2641">D844-D843</f>
        <v>0</v>
      </c>
      <c r="Q844" s="399" t="s">
        <v>125</v>
      </c>
      <c r="R844" s="399">
        <f t="shared" ref="R844" si="2642">IF(P844&gt;0,$F$18*F844/1000,0)</f>
        <v>0</v>
      </c>
      <c r="S844" s="399" t="s">
        <v>205</v>
      </c>
      <c r="T844" s="399" t="s">
        <v>125</v>
      </c>
      <c r="U844" s="401">
        <f t="shared" si="2629"/>
        <v>1.041885</v>
      </c>
      <c r="V844" s="399"/>
      <c r="W844" s="399"/>
      <c r="X844" s="399" t="s">
        <v>125</v>
      </c>
      <c r="Y844" s="389">
        <f t="shared" ref="Y844" si="2643">D841</f>
        <v>1</v>
      </c>
      <c r="Z844" s="400" t="s">
        <v>176</v>
      </c>
      <c r="AA844" s="402">
        <f t="shared" ref="AA844" si="2644">IF(AA845=0,(D844*N844+P844*R844)*U844*Y844,0)</f>
        <v>0</v>
      </c>
      <c r="AB844" s="403"/>
    </row>
    <row r="845" spans="1:28">
      <c r="A845" s="384" t="str">
        <f t="shared" ref="A845:B845" si="2645">A835</f>
        <v>Lantai 1</v>
      </c>
      <c r="B845" s="385">
        <f t="shared" si="2645"/>
        <v>27</v>
      </c>
      <c r="C845" s="393"/>
      <c r="D845" s="398">
        <f t="shared" si="2448"/>
        <v>3</v>
      </c>
      <c r="E845" s="388" t="s">
        <v>16</v>
      </c>
      <c r="F845" s="388">
        <f t="shared" si="2449"/>
        <v>13</v>
      </c>
      <c r="G845" s="388"/>
      <c r="H845" s="395"/>
      <c r="I845" s="388"/>
      <c r="J845" s="396"/>
      <c r="K845" s="396"/>
      <c r="L845" s="404" t="s">
        <v>207</v>
      </c>
      <c r="M845" s="399" t="s">
        <v>176</v>
      </c>
      <c r="N845" s="399">
        <f t="shared" ref="N845" si="2646">IF(AND(D842=D843,D842=D844,D843=D844,F842=F843,F842=F844,F843=F844),SUM(N842:N844),0)</f>
        <v>2.702</v>
      </c>
      <c r="O845" s="399" t="s">
        <v>204</v>
      </c>
      <c r="P845" s="389">
        <f t="shared" ref="P845" si="2647">IF(N845&gt;12,ROUNDDOWN(N845/12,0),0)</f>
        <v>0</v>
      </c>
      <c r="Q845" s="399" t="s">
        <v>125</v>
      </c>
      <c r="R845" s="399">
        <f t="shared" ref="R845" si="2648">IF(P845&gt;0,MAX(VLOOKUP(F845,$D$6:$G$15,3,FALSE),600),0)/1000</f>
        <v>0</v>
      </c>
      <c r="S845" s="396"/>
      <c r="T845" s="396" t="s">
        <v>125</v>
      </c>
      <c r="U845" s="401">
        <f t="shared" si="2453"/>
        <v>1.041885</v>
      </c>
      <c r="V845" s="396" t="s">
        <v>125</v>
      </c>
      <c r="W845" s="399">
        <f t="shared" ref="W845" si="2649">D845</f>
        <v>3</v>
      </c>
      <c r="X845" s="399" t="s">
        <v>125</v>
      </c>
      <c r="Y845" s="389">
        <f t="shared" si="2455"/>
        <v>1</v>
      </c>
      <c r="Z845" s="400" t="s">
        <v>176</v>
      </c>
      <c r="AA845" s="402">
        <f t="shared" ref="AA845" si="2650">(N845+P845*R845/1000)*U845*W845*Y845</f>
        <v>8.4455198100000004</v>
      </c>
      <c r="AB845" s="390"/>
    </row>
    <row r="846" spans="1:28">
      <c r="A846" s="384"/>
      <c r="B846" s="385"/>
      <c r="C846" s="393"/>
      <c r="D846" s="398"/>
      <c r="E846" s="388"/>
      <c r="F846" s="388"/>
      <c r="G846" s="388"/>
      <c r="H846" s="395"/>
      <c r="I846" s="388"/>
      <c r="J846" s="396"/>
      <c r="K846" s="396"/>
      <c r="L846" s="404"/>
      <c r="M846" s="399"/>
      <c r="N846" s="399"/>
      <c r="O846" s="396"/>
      <c r="P846" s="389"/>
      <c r="Q846" s="396"/>
      <c r="R846" s="396"/>
      <c r="S846" s="396"/>
      <c r="T846" s="396"/>
      <c r="U846" s="401"/>
      <c r="V846" s="396"/>
      <c r="W846" s="399"/>
      <c r="X846" s="396"/>
      <c r="Y846" s="389"/>
      <c r="Z846" s="396"/>
      <c r="AA846" s="388"/>
      <c r="AB846" s="390"/>
    </row>
    <row r="847" spans="1:28">
      <c r="A847" s="384" t="str">
        <f t="shared" ref="A847:B847" si="2651">A835</f>
        <v>Lantai 1</v>
      </c>
      <c r="B847" s="385">
        <f t="shared" si="2651"/>
        <v>27</v>
      </c>
      <c r="C847" s="393" t="s">
        <v>208</v>
      </c>
      <c r="D847" s="398">
        <f>VLOOKUP(D835,'Detail Balok'!$C$10:$AU$140,13,FALSE)</f>
        <v>0</v>
      </c>
      <c r="E847" s="388" t="s">
        <v>16</v>
      </c>
      <c r="F847" s="388">
        <f>VLOOKUP(D835,'Detail Balok'!$C$10:$AU$140,15,FALSE)</f>
        <v>8</v>
      </c>
      <c r="G847" s="388"/>
      <c r="H847" s="395"/>
      <c r="I847" s="388"/>
      <c r="J847" s="399">
        <f t="shared" ref="J847" si="2652">+D837/1000</f>
        <v>2.39</v>
      </c>
      <c r="K847" s="400" t="s">
        <v>204</v>
      </c>
      <c r="L847" s="399">
        <f t="shared" ref="L847" si="2653">2*$F$16*F847/1000</f>
        <v>0.192</v>
      </c>
      <c r="M847" s="399" t="s">
        <v>176</v>
      </c>
      <c r="N847" s="399">
        <f t="shared" ref="N847" si="2654">J847+L847</f>
        <v>2.5820000000000003</v>
      </c>
      <c r="O847" s="399" t="s">
        <v>204</v>
      </c>
      <c r="P847" s="389">
        <f t="shared" ref="P847" si="2655">IF(N847&gt;12,ROUNDDOWN(N847/12,0),0)</f>
        <v>0</v>
      </c>
      <c r="Q847" s="399" t="s">
        <v>125</v>
      </c>
      <c r="R847" s="399">
        <f t="shared" ref="R847" si="2656">IF(P847&gt;0,MAX(VLOOKUP(F847,$D$6:$G$15,3,FALSE),600),0)/1000</f>
        <v>0</v>
      </c>
      <c r="S847" s="399"/>
      <c r="T847" s="399" t="s">
        <v>125</v>
      </c>
      <c r="U847" s="401">
        <f t="shared" ref="U847" si="2657">0.006165*F847^2</f>
        <v>0.39456000000000002</v>
      </c>
      <c r="V847" s="399" t="s">
        <v>125</v>
      </c>
      <c r="W847" s="399">
        <f t="shared" ref="W847" si="2658">+D847</f>
        <v>0</v>
      </c>
      <c r="X847" s="399" t="s">
        <v>125</v>
      </c>
      <c r="Y847" s="389">
        <f t="shared" ref="Y847" si="2659">D841</f>
        <v>1</v>
      </c>
      <c r="Z847" s="400" t="s">
        <v>176</v>
      </c>
      <c r="AA847" s="402">
        <f t="shared" ref="AA847" si="2660">(N847+P847*R847/1000)*U847*W847*Y847</f>
        <v>0</v>
      </c>
      <c r="AB847" s="403"/>
    </row>
    <row r="848" spans="1:28">
      <c r="A848" s="384"/>
      <c r="B848" s="385"/>
      <c r="C848" s="393"/>
      <c r="D848" s="398"/>
      <c r="E848" s="388"/>
      <c r="F848" s="388"/>
      <c r="G848" s="388"/>
      <c r="H848" s="395"/>
      <c r="I848" s="388"/>
      <c r="J848" s="399"/>
      <c r="K848" s="400"/>
      <c r="L848" s="399"/>
      <c r="M848" s="399"/>
      <c r="N848" s="399"/>
      <c r="O848" s="399"/>
      <c r="P848" s="389"/>
      <c r="Q848" s="399"/>
      <c r="R848" s="399"/>
      <c r="S848" s="399"/>
      <c r="T848" s="399"/>
      <c r="U848" s="401"/>
      <c r="V848" s="399"/>
      <c r="W848" s="399"/>
      <c r="X848" s="399"/>
      <c r="Y848" s="389"/>
      <c r="Z848" s="400"/>
      <c r="AA848" s="402"/>
      <c r="AB848" s="403"/>
    </row>
    <row r="849" spans="1:28">
      <c r="A849" s="384"/>
      <c r="B849" s="385"/>
      <c r="C849" s="393"/>
      <c r="D849" s="398"/>
      <c r="E849" s="388"/>
      <c r="F849" s="388"/>
      <c r="G849" s="388"/>
      <c r="H849" s="395"/>
      <c r="I849" s="388"/>
      <c r="J849" s="396"/>
      <c r="K849" s="396"/>
      <c r="L849" s="396"/>
      <c r="M849" s="396"/>
      <c r="N849" s="396"/>
      <c r="O849" s="396"/>
      <c r="P849" s="389"/>
      <c r="Q849" s="396"/>
      <c r="R849" s="396"/>
      <c r="S849" s="396"/>
      <c r="T849" s="396"/>
      <c r="U849" s="401"/>
      <c r="V849" s="396"/>
      <c r="W849" s="399"/>
      <c r="X849" s="396"/>
      <c r="Y849" s="389"/>
      <c r="Z849" s="396"/>
      <c r="AA849" s="388"/>
      <c r="AB849" s="390"/>
    </row>
    <row r="850" spans="1:28">
      <c r="A850" s="384" t="str">
        <f t="shared" ref="A850:B850" si="2661">A835</f>
        <v>Lantai 1</v>
      </c>
      <c r="B850" s="385">
        <f t="shared" si="2661"/>
        <v>27</v>
      </c>
      <c r="C850" s="393" t="s">
        <v>209</v>
      </c>
      <c r="D850" s="398">
        <f>VLOOKUP(D835,'Detail Balok'!$C$10:$AU$140,22,FALSE)</f>
        <v>3</v>
      </c>
      <c r="E850" s="388" t="s">
        <v>16</v>
      </c>
      <c r="F850" s="388">
        <f>VLOOKUP(D835,'Detail Balok'!$C$10:$AU$140,24,FALSE)</f>
        <v>13</v>
      </c>
      <c r="G850" s="388"/>
      <c r="H850" s="395"/>
      <c r="I850" s="388" t="s">
        <v>203</v>
      </c>
      <c r="J850" s="399">
        <f t="shared" si="2468"/>
        <v>0.59750000000000003</v>
      </c>
      <c r="K850" s="400" t="s">
        <v>204</v>
      </c>
      <c r="L850" s="399">
        <f t="shared" ref="L850" si="2662">MAX(VLOOKUP(F850,N$6:P$15,3,FALSE)/1000,2/3*D840/1000)+F$16*F850/1000</f>
        <v>0.156</v>
      </c>
      <c r="M850" s="399" t="s">
        <v>176</v>
      </c>
      <c r="N850" s="399">
        <f t="shared" ref="N850:N852" si="2663">J850+L850</f>
        <v>0.75350000000000006</v>
      </c>
      <c r="O850" s="399" t="s">
        <v>204</v>
      </c>
      <c r="P850" s="389">
        <f t="shared" ref="P850" si="2664">D850-D851</f>
        <v>0</v>
      </c>
      <c r="Q850" s="399" t="s">
        <v>125</v>
      </c>
      <c r="R850" s="399">
        <f t="shared" ref="R850" si="2665">IF(P850&gt;0,$F$18*F850/1000,0)</f>
        <v>0</v>
      </c>
      <c r="S850" s="399" t="s">
        <v>205</v>
      </c>
      <c r="T850" s="399" t="s">
        <v>125</v>
      </c>
      <c r="U850" s="401">
        <f t="shared" ref="U850:U852" si="2666">0.006165*F850^2</f>
        <v>1.041885</v>
      </c>
      <c r="V850" s="399"/>
      <c r="W850" s="399"/>
      <c r="X850" s="399" t="s">
        <v>125</v>
      </c>
      <c r="Y850" s="389">
        <f t="shared" ref="Y850" si="2667">D841</f>
        <v>1</v>
      </c>
      <c r="Z850" s="400" t="s">
        <v>176</v>
      </c>
      <c r="AA850" s="402">
        <f t="shared" ref="AA850" si="2668">IF(AA853=0,(D850*N850+P850*R850)*U850*Y850,0)</f>
        <v>0</v>
      </c>
      <c r="AB850" s="403"/>
    </row>
    <row r="851" spans="1:28">
      <c r="A851" s="384" t="str">
        <f t="shared" ref="A851:B851" si="2669">A835</f>
        <v>Lantai 1</v>
      </c>
      <c r="B851" s="385">
        <f t="shared" si="2669"/>
        <v>27</v>
      </c>
      <c r="C851" s="393" t="s">
        <v>210</v>
      </c>
      <c r="D851" s="398">
        <f>VLOOKUP(D835,'Detail Balok'!$C$10:$AU$140,25,FALSE)</f>
        <v>3</v>
      </c>
      <c r="E851" s="388" t="s">
        <v>16</v>
      </c>
      <c r="F851" s="388">
        <f>VLOOKUP(D835,'Detail Balok'!$C$10:$AU$140,27,FALSE)</f>
        <v>13</v>
      </c>
      <c r="G851" s="388"/>
      <c r="H851" s="395"/>
      <c r="I851" s="388" t="s">
        <v>203</v>
      </c>
      <c r="J851" s="399">
        <f t="shared" si="2468"/>
        <v>1.1950000000000001</v>
      </c>
      <c r="K851" s="400" t="s">
        <v>204</v>
      </c>
      <c r="L851" s="399"/>
      <c r="M851" s="399" t="s">
        <v>176</v>
      </c>
      <c r="N851" s="399">
        <f t="shared" si="2663"/>
        <v>1.1950000000000001</v>
      </c>
      <c r="O851" s="399" t="s">
        <v>204</v>
      </c>
      <c r="P851" s="389">
        <f t="shared" ref="P851" si="2670">MAX(D851-D850,D851-D852)</f>
        <v>0</v>
      </c>
      <c r="Q851" s="399" t="s">
        <v>125</v>
      </c>
      <c r="R851" s="399">
        <f t="shared" ref="R851" si="2671">IF(P851&gt;0,2*(1-2*$F$19-1/2)*D838/1000,0)</f>
        <v>0</v>
      </c>
      <c r="S851" s="399" t="s">
        <v>205</v>
      </c>
      <c r="T851" s="399" t="s">
        <v>125</v>
      </c>
      <c r="U851" s="401">
        <f t="shared" si="2666"/>
        <v>1.041885</v>
      </c>
      <c r="V851" s="399"/>
      <c r="W851" s="399"/>
      <c r="X851" s="399" t="s">
        <v>125</v>
      </c>
      <c r="Y851" s="389">
        <f t="shared" ref="Y851" si="2672">D841</f>
        <v>1</v>
      </c>
      <c r="Z851" s="400" t="s">
        <v>176</v>
      </c>
      <c r="AA851" s="402">
        <f t="shared" ref="AA851" si="2673">IF(AA853=0,(D851*N851+P851*R851)*U851*Y851,0)</f>
        <v>0</v>
      </c>
      <c r="AB851" s="403"/>
    </row>
    <row r="852" spans="1:28">
      <c r="A852" s="384" t="str">
        <f t="shared" ref="A852:B852" si="2674">A835</f>
        <v>Lantai 1</v>
      </c>
      <c r="B852" s="385">
        <f t="shared" si="2674"/>
        <v>27</v>
      </c>
      <c r="C852" s="393" t="s">
        <v>209</v>
      </c>
      <c r="D852" s="398">
        <f>VLOOKUP(D835,'Detail Balok'!$C$10:$AU$140,28,FALSE)</f>
        <v>3</v>
      </c>
      <c r="E852" s="388" t="s">
        <v>16</v>
      </c>
      <c r="F852" s="388">
        <f>VLOOKUP(D835,'Detail Balok'!$C$10:$AU$140,30,FALSE)</f>
        <v>13</v>
      </c>
      <c r="G852" s="388"/>
      <c r="H852" s="395"/>
      <c r="I852" s="388" t="s">
        <v>203</v>
      </c>
      <c r="J852" s="399">
        <f t="shared" si="2468"/>
        <v>0.59750000000000003</v>
      </c>
      <c r="K852" s="400" t="s">
        <v>204</v>
      </c>
      <c r="L852" s="399">
        <f t="shared" ref="L852" si="2675">MAX(VLOOKUP(F852,N$6:P$15,3,FALSE)/1000,2/3*D840/1000)+F$16*F852/1000</f>
        <v>0.156</v>
      </c>
      <c r="M852" s="399" t="s">
        <v>176</v>
      </c>
      <c r="N852" s="399">
        <f t="shared" si="2663"/>
        <v>0.75350000000000006</v>
      </c>
      <c r="O852" s="399" t="s">
        <v>204</v>
      </c>
      <c r="P852" s="389">
        <f t="shared" ref="P852" si="2676">D852-D851</f>
        <v>0</v>
      </c>
      <c r="Q852" s="399" t="s">
        <v>125</v>
      </c>
      <c r="R852" s="399">
        <f t="shared" ref="R852" si="2677">IF(P852&gt;0,$F$18*F852/1000,0)</f>
        <v>0</v>
      </c>
      <c r="S852" s="399" t="s">
        <v>205</v>
      </c>
      <c r="T852" s="399" t="s">
        <v>125</v>
      </c>
      <c r="U852" s="401">
        <f t="shared" si="2666"/>
        <v>1.041885</v>
      </c>
      <c r="V852" s="399"/>
      <c r="W852" s="399"/>
      <c r="X852" s="399" t="s">
        <v>125</v>
      </c>
      <c r="Y852" s="389">
        <f t="shared" ref="Y852" si="2678">D841</f>
        <v>1</v>
      </c>
      <c r="Z852" s="400" t="s">
        <v>176</v>
      </c>
      <c r="AA852" s="402">
        <f t="shared" ref="AA852" si="2679">IF(AA853=0,(D852*N852+P852*R852)*U852*Y852,0)</f>
        <v>0</v>
      </c>
      <c r="AB852" s="403"/>
    </row>
    <row r="853" spans="1:28">
      <c r="A853" s="384" t="str">
        <f t="shared" ref="A853:B853" si="2680">A835</f>
        <v>Lantai 1</v>
      </c>
      <c r="B853" s="385">
        <f t="shared" si="2680"/>
        <v>27</v>
      </c>
      <c r="C853" s="393"/>
      <c r="D853" s="398">
        <f t="shared" si="2488"/>
        <v>3</v>
      </c>
      <c r="E853" s="388" t="s">
        <v>16</v>
      </c>
      <c r="F853" s="388">
        <f t="shared" si="2489"/>
        <v>13</v>
      </c>
      <c r="G853" s="388"/>
      <c r="H853" s="395"/>
      <c r="I853" s="388"/>
      <c r="J853" s="396"/>
      <c r="K853" s="396"/>
      <c r="L853" s="404" t="s">
        <v>207</v>
      </c>
      <c r="M853" s="399" t="s">
        <v>176</v>
      </c>
      <c r="N853" s="399">
        <f t="shared" ref="N853" si="2681">IF(AND(D850=D851,D850=D852,D851=D852,F850=F851,F850=F852,F851=F852),SUM(N850:N852),0)</f>
        <v>2.702</v>
      </c>
      <c r="O853" s="399" t="s">
        <v>204</v>
      </c>
      <c r="P853" s="389">
        <f t="shared" ref="P853" si="2682">IF(N853&gt;12,ROUNDDOWN(N853/12,0),0)</f>
        <v>0</v>
      </c>
      <c r="Q853" s="399" t="s">
        <v>125</v>
      </c>
      <c r="R853" s="399">
        <f t="shared" ref="R853" si="2683">IF(P853&gt;0,MAX(VLOOKUP(F853,$D$6:$G$15,3,FALSE),600),0)/1000</f>
        <v>0</v>
      </c>
      <c r="S853" s="396"/>
      <c r="T853" s="396" t="s">
        <v>125</v>
      </c>
      <c r="U853" s="401">
        <f t="shared" si="2493"/>
        <v>1.041885</v>
      </c>
      <c r="V853" s="396" t="s">
        <v>125</v>
      </c>
      <c r="W853" s="399">
        <f t="shared" ref="W853" si="2684">D853</f>
        <v>3</v>
      </c>
      <c r="X853" s="399" t="s">
        <v>125</v>
      </c>
      <c r="Y853" s="389">
        <f t="shared" si="2495"/>
        <v>1</v>
      </c>
      <c r="Z853" s="400" t="s">
        <v>176</v>
      </c>
      <c r="AA853" s="402">
        <f t="shared" ref="AA853" si="2685">(N853+P853*R853/1000)*U853*W853*Y853</f>
        <v>8.4455198100000004</v>
      </c>
      <c r="AB853" s="403"/>
    </row>
    <row r="854" spans="1:28">
      <c r="A854" s="384"/>
      <c r="B854" s="385"/>
      <c r="C854" s="393"/>
      <c r="D854" s="394"/>
      <c r="E854" s="388"/>
      <c r="F854" s="388"/>
      <c r="G854" s="388"/>
      <c r="H854" s="395"/>
      <c r="I854" s="388"/>
      <c r="J854" s="399"/>
      <c r="K854" s="396"/>
      <c r="L854" s="396"/>
      <c r="M854" s="396"/>
      <c r="N854" s="396"/>
      <c r="O854" s="396"/>
      <c r="P854" s="389"/>
      <c r="Q854" s="396"/>
      <c r="R854" s="396"/>
      <c r="S854" s="396"/>
      <c r="T854" s="396"/>
      <c r="U854" s="401"/>
      <c r="V854" s="396"/>
      <c r="W854" s="388"/>
      <c r="X854" s="396"/>
      <c r="Y854" s="389"/>
      <c r="Z854" s="396"/>
      <c r="AA854" s="388"/>
      <c r="AB854" s="390"/>
    </row>
    <row r="855" spans="1:28">
      <c r="A855" s="384" t="str">
        <f t="shared" ref="A855:B855" si="2686">A835</f>
        <v>Lantai 1</v>
      </c>
      <c r="B855" s="385">
        <f t="shared" si="2686"/>
        <v>27</v>
      </c>
      <c r="C855" s="393" t="s">
        <v>211</v>
      </c>
      <c r="D855" s="398">
        <f>VLOOKUP(D835,'Detail Balok'!$C$10:$AU$140,31,FALSE)</f>
        <v>0</v>
      </c>
      <c r="E855" s="388" t="s">
        <v>16</v>
      </c>
      <c r="F855" s="388">
        <f>VLOOKUP(D835,'Detail Balok'!$C$10:$AU$140,33,FALSE)</f>
        <v>8</v>
      </c>
      <c r="G855" s="405" t="s">
        <v>157</v>
      </c>
      <c r="H855" s="395">
        <f>VLOOKUP(D835,'Detail Balok'!$C$10:$AU$140,35,FALSE)</f>
        <v>150</v>
      </c>
      <c r="I855" s="388"/>
      <c r="J855" s="400">
        <f t="shared" ref="J855" si="2687">(IF(D855=0,(2*(D836+G836))-(F$5*8),IF(D855=3,(2*(D836+G836))-(F$5*8)+(G836-2*F$5),IF(D855=4,(2*(D836+G836))-(F$5*8)+2*(G836-2*F$5)))))/1000</f>
        <v>0.88</v>
      </c>
      <c r="K855" s="400" t="s">
        <v>204</v>
      </c>
      <c r="L855" s="399">
        <f t="shared" ref="L855:L857" si="2688">IF(D855=0,2*MAX(6*F855,75),(D855-1)*2*MAX(6*F855,75))/1000</f>
        <v>0.15</v>
      </c>
      <c r="M855" s="399" t="s">
        <v>176</v>
      </c>
      <c r="N855" s="399">
        <f t="shared" ref="N855:N857" si="2689">J855+L855</f>
        <v>1.03</v>
      </c>
      <c r="O855" s="399"/>
      <c r="P855" s="389"/>
      <c r="Q855" s="399"/>
      <c r="R855" s="399"/>
      <c r="S855" s="399"/>
      <c r="T855" s="399" t="s">
        <v>125</v>
      </c>
      <c r="U855" s="401">
        <f t="shared" ref="U855:U857" si="2690">0.006165*F855^2</f>
        <v>0.39456000000000002</v>
      </c>
      <c r="V855" s="399" t="s">
        <v>125</v>
      </c>
      <c r="W855" s="399">
        <f t="shared" ref="W855" si="2691">IF(D838&gt;4*G836,ROUND(MAX(D838/4,2*G836)/H855,0)+1,ROUND(D838/H855,0)+1)</f>
        <v>6</v>
      </c>
      <c r="X855" s="399" t="s">
        <v>125</v>
      </c>
      <c r="Y855" s="389">
        <f t="shared" ref="Y855" si="2692">D841</f>
        <v>1</v>
      </c>
      <c r="Z855" s="400" t="s">
        <v>176</v>
      </c>
      <c r="AA855" s="402">
        <f t="shared" ref="AA855:AA857" si="2693">N855*U855*W855*Y855</f>
        <v>2.4383808000000005</v>
      </c>
      <c r="AB855" s="403"/>
    </row>
    <row r="856" spans="1:28">
      <c r="A856" s="384" t="str">
        <f t="shared" ref="A856:B856" si="2694">A835</f>
        <v>Lantai 1</v>
      </c>
      <c r="B856" s="385">
        <f t="shared" si="2694"/>
        <v>27</v>
      </c>
      <c r="C856" s="393" t="s">
        <v>212</v>
      </c>
      <c r="D856" s="398">
        <f>VLOOKUP(D835,'Detail Balok'!$C$10:$AU$140,36,FALSE)</f>
        <v>0</v>
      </c>
      <c r="E856" s="388" t="s">
        <v>16</v>
      </c>
      <c r="F856" s="388">
        <f>VLOOKUP(D835,'Detail Balok'!$C$10:$AU$140,38,FALSE)</f>
        <v>8</v>
      </c>
      <c r="G856" s="405" t="s">
        <v>157</v>
      </c>
      <c r="H856" s="395">
        <f>VLOOKUP(D835,'Detail Balok'!$C$10:$AU$140,40,FALSE)</f>
        <v>200</v>
      </c>
      <c r="I856" s="388"/>
      <c r="J856" s="400">
        <f t="shared" ref="J856" si="2695">(IF(D856=0,(2*(D836+G836))-(F$5*8),IF(D856=3,(2*(D836+G836))-(F$5*8)+(G836-2*F$5),IF(D856=4,(2*(D836+G836))-(F$5*8)+2*(G836-2*F$5)))))/1000</f>
        <v>0.88</v>
      </c>
      <c r="K856" s="400" t="s">
        <v>204</v>
      </c>
      <c r="L856" s="399">
        <f t="shared" si="2688"/>
        <v>0.15</v>
      </c>
      <c r="M856" s="399" t="s">
        <v>176</v>
      </c>
      <c r="N856" s="399">
        <f t="shared" si="2689"/>
        <v>1.03</v>
      </c>
      <c r="O856" s="399"/>
      <c r="P856" s="389"/>
      <c r="Q856" s="399"/>
      <c r="R856" s="399"/>
      <c r="S856" s="399"/>
      <c r="T856" s="399" t="s">
        <v>125</v>
      </c>
      <c r="U856" s="401">
        <f t="shared" si="2690"/>
        <v>0.39456000000000002</v>
      </c>
      <c r="V856" s="399" t="s">
        <v>125</v>
      </c>
      <c r="W856" s="399">
        <f t="shared" ref="W856" si="2696">IF(D838-MAX(D838/4,2*G836)*2&gt;0,ROUND((D838-MAX(D838/4,2*G836)*2)/H856,0),0)</f>
        <v>4</v>
      </c>
      <c r="X856" s="399" t="s">
        <v>125</v>
      </c>
      <c r="Y856" s="389">
        <f t="shared" ref="Y856" si="2697">D841</f>
        <v>1</v>
      </c>
      <c r="Z856" s="400" t="s">
        <v>176</v>
      </c>
      <c r="AA856" s="402">
        <f t="shared" si="2693"/>
        <v>1.6255872000000002</v>
      </c>
      <c r="AB856" s="403"/>
    </row>
    <row r="857" spans="1:28">
      <c r="A857" s="384" t="str">
        <f t="shared" ref="A857:B857" si="2698">A835</f>
        <v>Lantai 1</v>
      </c>
      <c r="B857" s="385">
        <f t="shared" si="2698"/>
        <v>27</v>
      </c>
      <c r="C857" s="393" t="s">
        <v>211</v>
      </c>
      <c r="D857" s="398">
        <f>VLOOKUP(D835,'Detail Balok'!$C$10:$AU$140,41,FALSE)</f>
        <v>0</v>
      </c>
      <c r="E857" s="388" t="s">
        <v>16</v>
      </c>
      <c r="F857" s="388">
        <f>VLOOKUP(D835,'Detail Balok'!$C$10:$AU$140,43,FALSE)</f>
        <v>8</v>
      </c>
      <c r="G857" s="405" t="s">
        <v>157</v>
      </c>
      <c r="H857" s="395">
        <f>VLOOKUP(D835,'Detail Balok'!$C$10:$AU$140,45,FALSE)</f>
        <v>150</v>
      </c>
      <c r="I857" s="388"/>
      <c r="J857" s="400">
        <f t="shared" ref="J857" si="2699">(IF(D857=0,(2*(D836+G836))-(F$5*8),IF(D857=3,(2*(D836+G836))-(F$5*8)+(G836-2*F$5),IF(D857=4,(2*(D836+G836))-(F$5*8)+2*(G836-2*F$5)))))/1000</f>
        <v>0.88</v>
      </c>
      <c r="K857" s="400" t="s">
        <v>204</v>
      </c>
      <c r="L857" s="399">
        <f t="shared" si="2688"/>
        <v>0.15</v>
      </c>
      <c r="M857" s="399" t="s">
        <v>176</v>
      </c>
      <c r="N857" s="399">
        <f t="shared" si="2689"/>
        <v>1.03</v>
      </c>
      <c r="O857" s="399"/>
      <c r="P857" s="389"/>
      <c r="Q857" s="399"/>
      <c r="R857" s="399"/>
      <c r="S857" s="399"/>
      <c r="T857" s="399" t="s">
        <v>125</v>
      </c>
      <c r="U857" s="401">
        <f t="shared" si="2690"/>
        <v>0.39456000000000002</v>
      </c>
      <c r="V857" s="399" t="s">
        <v>125</v>
      </c>
      <c r="W857" s="399">
        <f t="shared" ref="W857" si="2700">IF(D838&gt;4*G836,ROUND(MAX(D838/4,2*G836)/H857,0)+1,0)</f>
        <v>6</v>
      </c>
      <c r="X857" s="399" t="s">
        <v>125</v>
      </c>
      <c r="Y857" s="389">
        <f t="shared" ref="Y857" si="2701">D841</f>
        <v>1</v>
      </c>
      <c r="Z857" s="400" t="s">
        <v>176</v>
      </c>
      <c r="AA857" s="402">
        <f t="shared" si="2693"/>
        <v>2.4383808000000005</v>
      </c>
      <c r="AB857" s="403"/>
    </row>
    <row r="858" spans="1:28">
      <c r="A858" s="384"/>
      <c r="B858" s="385"/>
      <c r="C858" s="393"/>
      <c r="D858" s="394"/>
      <c r="E858" s="388"/>
      <c r="F858" s="388"/>
      <c r="G858" s="388"/>
      <c r="H858" s="395"/>
      <c r="I858" s="388"/>
      <c r="J858" s="399"/>
      <c r="K858" s="396"/>
      <c r="L858" s="396"/>
      <c r="M858" s="396"/>
      <c r="N858" s="396"/>
      <c r="O858" s="396"/>
      <c r="P858" s="389"/>
      <c r="Q858" s="396"/>
      <c r="R858" s="396"/>
      <c r="S858" s="396"/>
      <c r="T858" s="396"/>
      <c r="U858" s="401"/>
      <c r="V858" s="396"/>
      <c r="W858" s="388"/>
      <c r="X858" s="396"/>
      <c r="Y858" s="389"/>
      <c r="Z858" s="396"/>
      <c r="AA858" s="388"/>
      <c r="AB858" s="390"/>
    </row>
    <row r="859" spans="1:28">
      <c r="A859" s="384" t="str">
        <f t="shared" ref="A859:B859" si="2702">A835</f>
        <v>Lantai 1</v>
      </c>
      <c r="B859" s="385">
        <f t="shared" si="2702"/>
        <v>27</v>
      </c>
      <c r="C859" s="393" t="s">
        <v>213</v>
      </c>
      <c r="D859" s="398">
        <f>VLOOKUP(D835,'Detail Balok'!$C$10:$BJ$140,46,FALSE)</f>
        <v>0</v>
      </c>
      <c r="E859" s="388" t="s">
        <v>16</v>
      </c>
      <c r="F859" s="388">
        <f>VLOOKUP(D835,'Detail Balok'!$C$10:$BJ$140,48,FALSE)</f>
        <v>0</v>
      </c>
      <c r="G859" s="405" t="s">
        <v>157</v>
      </c>
      <c r="H859" s="395">
        <f>VLOOKUP(D835,'Detail Balok'!$C$10:$BJ$140,50,FALSE)</f>
        <v>100</v>
      </c>
      <c r="I859" s="388"/>
      <c r="J859" s="399">
        <f t="shared" ref="J859" si="2703">(D836-2*F$5)/1000</f>
        <v>0.12</v>
      </c>
      <c r="K859" s="400" t="s">
        <v>204</v>
      </c>
      <c r="L859" s="399">
        <f t="shared" ref="L859:L861" si="2704">IF(D859=0,2*MAX(6*F859,75),(D859-1)*2*MAX(6*F859,75))/1000</f>
        <v>0.15</v>
      </c>
      <c r="M859" s="399" t="s">
        <v>176</v>
      </c>
      <c r="N859" s="399">
        <f t="shared" ref="N859:N861" si="2705">J859+L859</f>
        <v>0.27</v>
      </c>
      <c r="O859" s="399"/>
      <c r="P859" s="399"/>
      <c r="Q859" s="399"/>
      <c r="R859" s="399"/>
      <c r="S859" s="399"/>
      <c r="T859" s="399" t="s">
        <v>125</v>
      </c>
      <c r="U859" s="401">
        <f t="shared" ref="U859:U861" si="2706">0.006165*F859^2</f>
        <v>0</v>
      </c>
      <c r="V859" s="399" t="s">
        <v>125</v>
      </c>
      <c r="W859" s="399">
        <f t="shared" si="2518"/>
        <v>6</v>
      </c>
      <c r="X859" s="399" t="s">
        <v>125</v>
      </c>
      <c r="Y859" s="389">
        <f t="shared" ref="Y859" si="2707">D845</f>
        <v>3</v>
      </c>
      <c r="Z859" s="400" t="s">
        <v>176</v>
      </c>
      <c r="AA859" s="402">
        <f t="shared" ref="AA859:AA861" si="2708">N859*U859*W859*Y859</f>
        <v>0</v>
      </c>
      <c r="AB859" s="403"/>
    </row>
    <row r="860" spans="1:28">
      <c r="A860" s="384" t="str">
        <f t="shared" ref="A860:B860" si="2709">A835</f>
        <v>Lantai 1</v>
      </c>
      <c r="B860" s="385">
        <f t="shared" si="2709"/>
        <v>27</v>
      </c>
      <c r="C860" s="393" t="s">
        <v>214</v>
      </c>
      <c r="D860" s="398">
        <f>VLOOKUP(D835,'Detail Balok'!$C$10:$BJ$140,51,FALSE)</f>
        <v>0</v>
      </c>
      <c r="E860" s="388" t="s">
        <v>16</v>
      </c>
      <c r="F860" s="388">
        <f>VLOOKUP(D835,'Detail Balok'!$C$10:$BJ$140,53,FALSE)</f>
        <v>0</v>
      </c>
      <c r="G860" s="405" t="s">
        <v>157</v>
      </c>
      <c r="H860" s="395">
        <f>VLOOKUP(D835,'Detail Balok'!$C$10:$BJ$140,55,FALSE)</f>
        <v>100</v>
      </c>
      <c r="I860" s="388"/>
      <c r="J860" s="399">
        <f t="shared" ref="J860" si="2710">(D836-2*F$5)/1000</f>
        <v>0.12</v>
      </c>
      <c r="K860" s="400" t="s">
        <v>204</v>
      </c>
      <c r="L860" s="399">
        <f t="shared" si="2704"/>
        <v>0.15</v>
      </c>
      <c r="M860" s="399" t="s">
        <v>176</v>
      </c>
      <c r="N860" s="399">
        <f t="shared" si="2705"/>
        <v>0.27</v>
      </c>
      <c r="O860" s="399"/>
      <c r="P860" s="399"/>
      <c r="Q860" s="399"/>
      <c r="R860" s="399"/>
      <c r="S860" s="399"/>
      <c r="T860" s="399" t="s">
        <v>125</v>
      </c>
      <c r="U860" s="401">
        <f t="shared" si="2706"/>
        <v>0</v>
      </c>
      <c r="V860" s="399" t="s">
        <v>125</v>
      </c>
      <c r="W860" s="399">
        <f t="shared" si="2518"/>
        <v>4</v>
      </c>
      <c r="X860" s="399" t="s">
        <v>125</v>
      </c>
      <c r="Y860" s="389">
        <f t="shared" ref="Y860" si="2711">D845</f>
        <v>3</v>
      </c>
      <c r="Z860" s="400" t="s">
        <v>176</v>
      </c>
      <c r="AA860" s="402">
        <f t="shared" si="2708"/>
        <v>0</v>
      </c>
      <c r="AB860" s="403"/>
    </row>
    <row r="861" spans="1:28">
      <c r="A861" s="384" t="str">
        <f t="shared" ref="A861:B861" si="2712">A835</f>
        <v>Lantai 1</v>
      </c>
      <c r="B861" s="385">
        <f t="shared" si="2712"/>
        <v>27</v>
      </c>
      <c r="C861" s="393" t="s">
        <v>213</v>
      </c>
      <c r="D861" s="398">
        <f>VLOOKUP(D835,'Detail Balok'!$C$10:$BJ$140,56,FALSE)</f>
        <v>0</v>
      </c>
      <c r="E861" s="388" t="s">
        <v>16</v>
      </c>
      <c r="F861" s="388">
        <f>VLOOKUP(D835,'Detail Balok'!$C$10:$BJ$140,58,FALSE)</f>
        <v>0</v>
      </c>
      <c r="G861" s="405" t="s">
        <v>157</v>
      </c>
      <c r="H861" s="395">
        <f>VLOOKUP(D835,'Detail Balok'!$C$10:$BJ$140,60,FALSE)</f>
        <v>100</v>
      </c>
      <c r="I861" s="388"/>
      <c r="J861" s="399">
        <f t="shared" ref="J861" si="2713">(D836-2*F$5)/1000</f>
        <v>0.12</v>
      </c>
      <c r="K861" s="400" t="s">
        <v>204</v>
      </c>
      <c r="L861" s="399">
        <f t="shared" si="2704"/>
        <v>0.15</v>
      </c>
      <c r="M861" s="399" t="s">
        <v>176</v>
      </c>
      <c r="N861" s="399">
        <f t="shared" si="2705"/>
        <v>0.27</v>
      </c>
      <c r="O861" s="399"/>
      <c r="P861" s="399"/>
      <c r="Q861" s="399"/>
      <c r="R861" s="399"/>
      <c r="S861" s="399"/>
      <c r="T861" s="399" t="s">
        <v>125</v>
      </c>
      <c r="U861" s="401">
        <f t="shared" si="2706"/>
        <v>0</v>
      </c>
      <c r="V861" s="399" t="s">
        <v>125</v>
      </c>
      <c r="W861" s="399">
        <f t="shared" si="2518"/>
        <v>6</v>
      </c>
      <c r="X861" s="399" t="s">
        <v>125</v>
      </c>
      <c r="Y861" s="389">
        <f t="shared" ref="Y861" si="2714">D845</f>
        <v>3</v>
      </c>
      <c r="Z861" s="400" t="s">
        <v>176</v>
      </c>
      <c r="AA861" s="402">
        <f t="shared" si="2708"/>
        <v>0</v>
      </c>
      <c r="AB861" s="403"/>
    </row>
    <row r="862" spans="1:28">
      <c r="A862" s="391"/>
      <c r="B862" s="392"/>
      <c r="C862" s="392"/>
      <c r="D862" s="394"/>
      <c r="E862" s="388"/>
      <c r="F862" s="388"/>
      <c r="G862" s="388"/>
      <c r="H862" s="395"/>
      <c r="I862" s="388"/>
      <c r="J862" s="402"/>
      <c r="K862" s="388"/>
      <c r="L862" s="388"/>
      <c r="M862" s="388"/>
      <c r="N862" s="388"/>
      <c r="O862" s="388"/>
      <c r="P862" s="388"/>
      <c r="Q862" s="388"/>
      <c r="R862" s="388"/>
      <c r="S862" s="388"/>
      <c r="T862" s="388"/>
      <c r="U862" s="388"/>
      <c r="V862" s="388"/>
      <c r="W862" s="388"/>
      <c r="X862" s="388"/>
      <c r="Y862" s="389"/>
      <c r="Z862" s="388"/>
      <c r="AA862" s="402"/>
      <c r="AB862" s="403"/>
    </row>
    <row r="863" spans="1:28" ht="15.75" thickBot="1">
      <c r="A863" s="406"/>
      <c r="B863" s="407"/>
      <c r="C863" s="407"/>
      <c r="D863" s="408"/>
      <c r="E863" s="409"/>
      <c r="F863" s="409"/>
      <c r="G863" s="409"/>
      <c r="H863" s="410"/>
      <c r="I863" s="409"/>
      <c r="J863" s="409"/>
      <c r="K863" s="409"/>
      <c r="L863" s="409"/>
      <c r="M863" s="409"/>
      <c r="N863" s="409"/>
      <c r="O863" s="409"/>
      <c r="P863" s="409"/>
      <c r="Q863" s="409"/>
      <c r="R863" s="409"/>
      <c r="S863" s="409"/>
      <c r="T863" s="409"/>
      <c r="U863" s="409"/>
      <c r="V863" s="409"/>
      <c r="W863" s="409"/>
      <c r="X863" s="409"/>
      <c r="Y863" s="411"/>
      <c r="Z863" s="409"/>
      <c r="AA863" s="412"/>
      <c r="AB863" s="413"/>
    </row>
    <row r="864" spans="1:28">
      <c r="A864" s="377"/>
      <c r="B864" s="378"/>
      <c r="C864" s="378"/>
      <c r="D864" s="379"/>
      <c r="E864" s="380"/>
      <c r="F864" s="380"/>
      <c r="G864" s="380"/>
      <c r="H864" s="381"/>
      <c r="I864" s="380"/>
      <c r="J864" s="380"/>
      <c r="K864" s="380"/>
      <c r="L864" s="380"/>
      <c r="M864" s="380"/>
      <c r="N864" s="380"/>
      <c r="O864" s="380"/>
      <c r="P864" s="380"/>
      <c r="Q864" s="380"/>
      <c r="R864" s="380"/>
      <c r="S864" s="380"/>
      <c r="T864" s="380"/>
      <c r="U864" s="380"/>
      <c r="V864" s="380"/>
      <c r="W864" s="380"/>
      <c r="X864" s="380"/>
      <c r="Y864" s="382"/>
      <c r="Z864" s="380"/>
      <c r="AA864" s="380"/>
      <c r="AB864" s="383"/>
    </row>
    <row r="865" spans="1:28">
      <c r="A865" s="384" t="str">
        <f t="shared" si="2527"/>
        <v>Lantai 1</v>
      </c>
      <c r="B865" s="385">
        <f t="shared" si="2528"/>
        <v>28</v>
      </c>
      <c r="C865" s="386" t="str">
        <f t="shared" ref="C865" si="2715">CONCATENATE(A865," no. ",B865)</f>
        <v>Lantai 1 no. 28</v>
      </c>
      <c r="D865" s="2562" t="str">
        <f>VLOOKUP(C865,'Data Panjang Balok'!$C$9:$N$254,2,FALSE)</f>
        <v>S24-1</v>
      </c>
      <c r="E865" s="2576"/>
      <c r="F865" s="2576"/>
      <c r="G865" s="2576"/>
      <c r="H865" s="2577"/>
      <c r="I865" s="387"/>
      <c r="J865" s="388"/>
      <c r="K865" s="388"/>
      <c r="L865" s="388"/>
      <c r="M865" s="388"/>
      <c r="N865" s="388"/>
      <c r="O865" s="388"/>
      <c r="P865" s="388"/>
      <c r="Q865" s="388"/>
      <c r="R865" s="388"/>
      <c r="S865" s="388"/>
      <c r="T865" s="388"/>
      <c r="U865" s="388"/>
      <c r="V865" s="388"/>
      <c r="W865" s="388"/>
      <c r="X865" s="388"/>
      <c r="Y865" s="389"/>
      <c r="Z865" s="388"/>
      <c r="AA865" s="388"/>
      <c r="AB865" s="390"/>
    </row>
    <row r="866" spans="1:28">
      <c r="A866" s="391"/>
      <c r="B866" s="392"/>
      <c r="C866" s="393" t="s">
        <v>118</v>
      </c>
      <c r="D866" s="2578">
        <f>VLOOKUP(D865,'Detail Balok'!$C$10:$AU$140,2,FALSE)</f>
        <v>200</v>
      </c>
      <c r="E866" s="2579"/>
      <c r="F866" s="388" t="s">
        <v>125</v>
      </c>
      <c r="G866" s="2579">
        <f>VLOOKUP(D865,'Detail Balok'!$C$10:$AU$140,3,FALSE)</f>
        <v>400</v>
      </c>
      <c r="H866" s="2580"/>
      <c r="I866" s="388"/>
      <c r="J866" s="396"/>
      <c r="K866" s="396"/>
      <c r="L866" s="396"/>
      <c r="M866" s="396"/>
      <c r="N866" s="396"/>
      <c r="O866" s="396"/>
      <c r="P866" s="396"/>
      <c r="Q866" s="396"/>
      <c r="R866" s="396"/>
      <c r="S866" s="396"/>
      <c r="T866" s="396"/>
      <c r="U866" s="388"/>
      <c r="V866" s="396"/>
      <c r="W866" s="388"/>
      <c r="X866" s="396"/>
      <c r="Y866" s="389"/>
      <c r="Z866" s="396"/>
      <c r="AA866" s="388"/>
      <c r="AB866" s="390"/>
    </row>
    <row r="867" spans="1:28">
      <c r="A867" s="391"/>
      <c r="B867" s="392"/>
      <c r="C867" s="393" t="s">
        <v>198</v>
      </c>
      <c r="D867" s="2562">
        <f>VLOOKUP(C865,'Data Panjang Balok'!$C$9:$N$254,4,FALSE)</f>
        <v>2650</v>
      </c>
      <c r="E867" s="2563"/>
      <c r="F867" s="2563"/>
      <c r="G867" s="2563"/>
      <c r="H867" s="2564"/>
      <c r="I867" s="397"/>
      <c r="J867" s="396"/>
      <c r="K867" s="396"/>
      <c r="L867" s="396"/>
      <c r="M867" s="396"/>
      <c r="N867" s="396"/>
      <c r="O867" s="396"/>
      <c r="P867" s="396"/>
      <c r="Q867" s="396"/>
      <c r="R867" s="396"/>
      <c r="S867" s="396"/>
      <c r="T867" s="396"/>
      <c r="U867" s="388"/>
      <c r="V867" s="396"/>
      <c r="W867" s="388"/>
      <c r="X867" s="396"/>
      <c r="Y867" s="389"/>
      <c r="Z867" s="396"/>
      <c r="AA867" s="388"/>
      <c r="AB867" s="390"/>
    </row>
    <row r="868" spans="1:28">
      <c r="A868" s="391"/>
      <c r="B868" s="392"/>
      <c r="C868" s="393" t="s">
        <v>199</v>
      </c>
      <c r="D868" s="2562">
        <f>VLOOKUP(C865,'Data Panjang Balok'!$C$9:$N$254,7,FALSE)</f>
        <v>2650</v>
      </c>
      <c r="E868" s="2563"/>
      <c r="F868" s="2563"/>
      <c r="G868" s="2563"/>
      <c r="H868" s="2564"/>
      <c r="I868" s="397"/>
      <c r="J868" s="396"/>
      <c r="K868" s="396"/>
      <c r="L868" s="396"/>
      <c r="M868" s="396"/>
      <c r="N868" s="396"/>
      <c r="O868" s="396"/>
      <c r="P868" s="396"/>
      <c r="Q868" s="396"/>
      <c r="R868" s="396"/>
      <c r="S868" s="396"/>
      <c r="T868" s="396"/>
      <c r="U868" s="388"/>
      <c r="V868" s="396"/>
      <c r="W868" s="388"/>
      <c r="X868" s="396"/>
      <c r="Y868" s="389"/>
      <c r="Z868" s="396"/>
      <c r="AA868" s="388"/>
      <c r="AB868" s="390"/>
    </row>
    <row r="869" spans="1:28">
      <c r="A869" s="391"/>
      <c r="B869" s="392"/>
      <c r="C869" s="393" t="s">
        <v>200</v>
      </c>
      <c r="D869" s="2562">
        <f>VLOOKUP(C865,'Data Panjang Balok'!$C$9:$N$254,9,FALSE)</f>
        <v>0</v>
      </c>
      <c r="E869" s="2563"/>
      <c r="F869" s="2563"/>
      <c r="G869" s="2563"/>
      <c r="H869" s="2564"/>
      <c r="I869" s="397"/>
      <c r="J869" s="396"/>
      <c r="K869" s="396"/>
      <c r="L869" s="396"/>
      <c r="M869" s="396"/>
      <c r="N869" s="396"/>
      <c r="O869" s="396"/>
      <c r="P869" s="396"/>
      <c r="Q869" s="396"/>
      <c r="R869" s="396"/>
      <c r="S869" s="396"/>
      <c r="T869" s="396"/>
      <c r="U869" s="388"/>
      <c r="V869" s="396"/>
      <c r="W869" s="388"/>
      <c r="X869" s="396"/>
      <c r="Y869" s="389"/>
      <c r="Z869" s="396"/>
      <c r="AA869" s="388"/>
      <c r="AB869" s="390"/>
    </row>
    <row r="870" spans="1:28">
      <c r="A870" s="391"/>
      <c r="B870" s="392"/>
      <c r="C870" s="393" t="s">
        <v>201</v>
      </c>
      <c r="D870" s="2562">
        <f>VLOOKUP(C865,'Data Panjang Balok'!$C$9:$N$254,10,FALSE)</f>
        <v>0</v>
      </c>
      <c r="E870" s="2563"/>
      <c r="F870" s="2563"/>
      <c r="G870" s="2563"/>
      <c r="H870" s="2564"/>
      <c r="I870" s="397"/>
      <c r="J870" s="396"/>
      <c r="K870" s="396"/>
      <c r="L870" s="396"/>
      <c r="M870" s="396"/>
      <c r="N870" s="396"/>
      <c r="O870" s="396"/>
      <c r="P870" s="396"/>
      <c r="Q870" s="396"/>
      <c r="R870" s="396"/>
      <c r="S870" s="396"/>
      <c r="T870" s="396"/>
      <c r="U870" s="388"/>
      <c r="V870" s="396"/>
      <c r="W870" s="388"/>
      <c r="X870" s="396"/>
      <c r="Y870" s="389"/>
      <c r="Z870" s="396"/>
      <c r="AA870" s="388"/>
      <c r="AB870" s="390"/>
    </row>
    <row r="871" spans="1:28">
      <c r="A871" s="391"/>
      <c r="B871" s="392"/>
      <c r="C871" s="393" t="s">
        <v>48</v>
      </c>
      <c r="D871" s="2562">
        <f>VLOOKUP(C865,'Data Panjang Balok'!$C$9:$N$254,3,FALSE)</f>
        <v>1</v>
      </c>
      <c r="E871" s="2563"/>
      <c r="F871" s="2563"/>
      <c r="G871" s="2563"/>
      <c r="H871" s="2564"/>
      <c r="I871" s="397"/>
      <c r="J871" s="396"/>
      <c r="K871" s="396"/>
      <c r="L871" s="396"/>
      <c r="M871" s="396"/>
      <c r="N871" s="396"/>
      <c r="O871" s="396"/>
      <c r="P871" s="396"/>
      <c r="Q871" s="396"/>
      <c r="R871" s="396"/>
      <c r="S871" s="396"/>
      <c r="T871" s="396"/>
      <c r="U871" s="388"/>
      <c r="V871" s="396"/>
      <c r="W871" s="388"/>
      <c r="X871" s="396"/>
      <c r="Y871" s="389"/>
      <c r="Z871" s="396"/>
      <c r="AA871" s="388"/>
      <c r="AB871" s="390"/>
    </row>
    <row r="872" spans="1:28">
      <c r="A872" s="384" t="str">
        <f t="shared" ref="A872:B872" si="2716">A865</f>
        <v>Lantai 1</v>
      </c>
      <c r="B872" s="385">
        <f t="shared" si="2716"/>
        <v>28</v>
      </c>
      <c r="C872" s="393" t="s">
        <v>202</v>
      </c>
      <c r="D872" s="398">
        <f>VLOOKUP(D865,'Detail Balok'!$C$10:$AU$140,4,FALSE)</f>
        <v>3</v>
      </c>
      <c r="E872" s="388" t="s">
        <v>16</v>
      </c>
      <c r="F872" s="388">
        <f>VLOOKUP(D865,'Detail Balok'!$C$10:$AU$140,6,FALSE)</f>
        <v>13</v>
      </c>
      <c r="G872" s="388"/>
      <c r="H872" s="395"/>
      <c r="I872" s="388" t="s">
        <v>203</v>
      </c>
      <c r="J872" s="399">
        <f t="shared" ref="J872" si="2717">+D867/4/1000</f>
        <v>0.66249999999999998</v>
      </c>
      <c r="K872" s="400" t="s">
        <v>204</v>
      </c>
      <c r="L872" s="399">
        <f t="shared" ref="L872" si="2718">MAX(VLOOKUP(F872,N$6:P$15,3,FALSE)/1000,2/3*D869/1000)+F$16*F872/1000</f>
        <v>0.156</v>
      </c>
      <c r="M872" s="399" t="s">
        <v>176</v>
      </c>
      <c r="N872" s="399">
        <f t="shared" ref="N872:N874" si="2719">J872+L872</f>
        <v>0.81850000000000001</v>
      </c>
      <c r="O872" s="399" t="s">
        <v>204</v>
      </c>
      <c r="P872" s="389">
        <f t="shared" ref="P872" si="2720">D872-D873</f>
        <v>0</v>
      </c>
      <c r="Q872" s="399" t="s">
        <v>125</v>
      </c>
      <c r="R872" s="399">
        <f t="shared" ref="R872" si="2721">IF(P872&gt;0,$F$18*F872/1000,0)</f>
        <v>0</v>
      </c>
      <c r="S872" s="399" t="s">
        <v>205</v>
      </c>
      <c r="T872" s="399" t="s">
        <v>125</v>
      </c>
      <c r="U872" s="401">
        <f t="shared" ref="U872:U874" si="2722">0.006165*F872^2</f>
        <v>1.041885</v>
      </c>
      <c r="V872" s="399"/>
      <c r="W872" s="399"/>
      <c r="X872" s="399" t="s">
        <v>125</v>
      </c>
      <c r="Y872" s="389">
        <f t="shared" ref="Y872" si="2723">D871</f>
        <v>1</v>
      </c>
      <c r="Z872" s="400" t="s">
        <v>176</v>
      </c>
      <c r="AA872" s="402">
        <f t="shared" ref="AA872" si="2724">IF(AA875=0,(D872*N872+P872*R872)*U872*Y872,0)</f>
        <v>0</v>
      </c>
      <c r="AB872" s="403"/>
    </row>
    <row r="873" spans="1:28">
      <c r="A873" s="384" t="str">
        <f t="shared" ref="A873:B873" si="2725">A865</f>
        <v>Lantai 1</v>
      </c>
      <c r="B873" s="385">
        <f t="shared" si="2725"/>
        <v>28</v>
      </c>
      <c r="C873" s="393" t="s">
        <v>206</v>
      </c>
      <c r="D873" s="398">
        <f>VLOOKUP(D865,'Detail Balok'!$C$10:$AU$140,7,FALSE)</f>
        <v>3</v>
      </c>
      <c r="E873" s="388" t="s">
        <v>16</v>
      </c>
      <c r="F873" s="388">
        <f>VLOOKUP(D865,'Detail Balok'!$C$10:$AU$140,9,FALSE)</f>
        <v>13</v>
      </c>
      <c r="G873" s="388"/>
      <c r="H873" s="395"/>
      <c r="I873" s="388" t="s">
        <v>203</v>
      </c>
      <c r="J873" s="399">
        <f t="shared" ref="J873" si="2726">+D867/2/1000</f>
        <v>1.325</v>
      </c>
      <c r="K873" s="400" t="s">
        <v>204</v>
      </c>
      <c r="L873" s="399"/>
      <c r="M873" s="399" t="s">
        <v>176</v>
      </c>
      <c r="N873" s="399">
        <f t="shared" si="2719"/>
        <v>1.325</v>
      </c>
      <c r="O873" s="399" t="s">
        <v>204</v>
      </c>
      <c r="P873" s="389">
        <f t="shared" ref="P873" si="2727">MAX(D873-D872,D873-D874)</f>
        <v>0</v>
      </c>
      <c r="Q873" s="399" t="s">
        <v>125</v>
      </c>
      <c r="R873" s="399">
        <f t="shared" ref="R873" si="2728">IF(P873&gt;0,2*(1-2*$F$19-1/2)*D868/1000,0)</f>
        <v>0</v>
      </c>
      <c r="S873" s="399" t="s">
        <v>205</v>
      </c>
      <c r="T873" s="399" t="s">
        <v>125</v>
      </c>
      <c r="U873" s="401">
        <f t="shared" si="2722"/>
        <v>1.041885</v>
      </c>
      <c r="V873" s="399"/>
      <c r="W873" s="399"/>
      <c r="X873" s="399" t="s">
        <v>125</v>
      </c>
      <c r="Y873" s="389">
        <f t="shared" ref="Y873" si="2729">D871</f>
        <v>1</v>
      </c>
      <c r="Z873" s="400" t="s">
        <v>176</v>
      </c>
      <c r="AA873" s="402">
        <f t="shared" ref="AA873" si="2730">IF(AA875=0,(D873*N873+P873*R873)*U873*Y873,0)</f>
        <v>0</v>
      </c>
      <c r="AB873" s="403"/>
    </row>
    <row r="874" spans="1:28">
      <c r="A874" s="384" t="str">
        <f t="shared" ref="A874:B874" si="2731">A865</f>
        <v>Lantai 1</v>
      </c>
      <c r="B874" s="385">
        <f t="shared" si="2731"/>
        <v>28</v>
      </c>
      <c r="C874" s="393" t="s">
        <v>202</v>
      </c>
      <c r="D874" s="398">
        <f>VLOOKUP(D865,'Detail Balok'!$C$10:$AU$140,10,FALSE)</f>
        <v>3</v>
      </c>
      <c r="E874" s="388" t="s">
        <v>16</v>
      </c>
      <c r="F874" s="388">
        <f>VLOOKUP(D865,'Detail Balok'!$C$10:$AU$140,12,FALSE)</f>
        <v>13</v>
      </c>
      <c r="G874" s="388"/>
      <c r="H874" s="395"/>
      <c r="I874" s="388" t="s">
        <v>203</v>
      </c>
      <c r="J874" s="399">
        <f t="shared" ref="J874" si="2732">+D867/4/1000</f>
        <v>0.66249999999999998</v>
      </c>
      <c r="K874" s="400" t="s">
        <v>204</v>
      </c>
      <c r="L874" s="399">
        <f t="shared" ref="L874" si="2733">MAX(VLOOKUP(F874,N$6:P$15,3,FALSE)/1000,2/3*D869/1000)+F$16*F874/1000</f>
        <v>0.156</v>
      </c>
      <c r="M874" s="399" t="s">
        <v>176</v>
      </c>
      <c r="N874" s="399">
        <f t="shared" si="2719"/>
        <v>0.81850000000000001</v>
      </c>
      <c r="O874" s="399" t="s">
        <v>204</v>
      </c>
      <c r="P874" s="389">
        <f t="shared" ref="P874" si="2734">D874-D873</f>
        <v>0</v>
      </c>
      <c r="Q874" s="399" t="s">
        <v>125</v>
      </c>
      <c r="R874" s="399">
        <f t="shared" ref="R874" si="2735">IF(P874&gt;0,$F$18*F874/1000,0)</f>
        <v>0</v>
      </c>
      <c r="S874" s="399" t="s">
        <v>205</v>
      </c>
      <c r="T874" s="399" t="s">
        <v>125</v>
      </c>
      <c r="U874" s="401">
        <f t="shared" si="2722"/>
        <v>1.041885</v>
      </c>
      <c r="V874" s="399"/>
      <c r="W874" s="399"/>
      <c r="X874" s="399" t="s">
        <v>125</v>
      </c>
      <c r="Y874" s="389">
        <f t="shared" ref="Y874" si="2736">D871</f>
        <v>1</v>
      </c>
      <c r="Z874" s="400" t="s">
        <v>176</v>
      </c>
      <c r="AA874" s="402">
        <f t="shared" ref="AA874" si="2737">IF(AA875=0,(D874*N874+P874*R874)*U874*Y874,0)</f>
        <v>0</v>
      </c>
      <c r="AB874" s="403"/>
    </row>
    <row r="875" spans="1:28">
      <c r="A875" s="384" t="str">
        <f t="shared" ref="A875:B875" si="2738">A865</f>
        <v>Lantai 1</v>
      </c>
      <c r="B875" s="385">
        <f t="shared" si="2738"/>
        <v>28</v>
      </c>
      <c r="C875" s="393"/>
      <c r="D875" s="398">
        <f t="shared" ref="D875:D935" si="2739">IF(AND(D872=D873,D873=D874,D872=D874),D872,0)</f>
        <v>3</v>
      </c>
      <c r="E875" s="388" t="s">
        <v>16</v>
      </c>
      <c r="F875" s="388">
        <f t="shared" ref="F875:F935" si="2740">IF(AND(F872=F873,F872=F874,F873=F874),F872,0)</f>
        <v>13</v>
      </c>
      <c r="G875" s="388"/>
      <c r="H875" s="395"/>
      <c r="I875" s="388"/>
      <c r="J875" s="396"/>
      <c r="K875" s="396"/>
      <c r="L875" s="404" t="s">
        <v>207</v>
      </c>
      <c r="M875" s="399" t="s">
        <v>176</v>
      </c>
      <c r="N875" s="399">
        <f t="shared" ref="N875" si="2741">IF(AND(D872=D873,D872=D874,D873=D874,F872=F873,F872=F874,F873=F874),SUM(N872:N874),0)</f>
        <v>2.9619999999999997</v>
      </c>
      <c r="O875" s="399" t="s">
        <v>204</v>
      </c>
      <c r="P875" s="389">
        <f t="shared" ref="P875" si="2742">IF(N875&gt;12,ROUNDDOWN(N875/12,0),0)</f>
        <v>0</v>
      </c>
      <c r="Q875" s="399" t="s">
        <v>125</v>
      </c>
      <c r="R875" s="399">
        <f t="shared" ref="R875" si="2743">IF(P875&gt;0,MAX(VLOOKUP(F875,$D$6:$G$15,3,FALSE),600),0)/1000</f>
        <v>0</v>
      </c>
      <c r="S875" s="396"/>
      <c r="T875" s="396" t="s">
        <v>125</v>
      </c>
      <c r="U875" s="401">
        <f t="shared" ref="U875:U935" si="2744">U874</f>
        <v>1.041885</v>
      </c>
      <c r="V875" s="396" t="s">
        <v>125</v>
      </c>
      <c r="W875" s="399">
        <f t="shared" ref="W875" si="2745">D875</f>
        <v>3</v>
      </c>
      <c r="X875" s="399" t="s">
        <v>125</v>
      </c>
      <c r="Y875" s="389">
        <f t="shared" ref="Y875:Y935" si="2746">Y874</f>
        <v>1</v>
      </c>
      <c r="Z875" s="400" t="s">
        <v>176</v>
      </c>
      <c r="AA875" s="402">
        <f t="shared" ref="AA875" si="2747">(N875+P875*R875/1000)*U875*W875*Y875</f>
        <v>9.2581901099999993</v>
      </c>
      <c r="AB875" s="390"/>
    </row>
    <row r="876" spans="1:28">
      <c r="A876" s="384"/>
      <c r="B876" s="385"/>
      <c r="C876" s="393"/>
      <c r="D876" s="398"/>
      <c r="E876" s="388"/>
      <c r="F876" s="388"/>
      <c r="G876" s="388"/>
      <c r="H876" s="395"/>
      <c r="I876" s="388"/>
      <c r="J876" s="396"/>
      <c r="K876" s="396"/>
      <c r="L876" s="404"/>
      <c r="M876" s="399"/>
      <c r="N876" s="399"/>
      <c r="O876" s="396"/>
      <c r="P876" s="389"/>
      <c r="Q876" s="396"/>
      <c r="R876" s="396"/>
      <c r="S876" s="396"/>
      <c r="T876" s="396"/>
      <c r="U876" s="401"/>
      <c r="V876" s="396"/>
      <c r="W876" s="399"/>
      <c r="X876" s="396"/>
      <c r="Y876" s="389"/>
      <c r="Z876" s="396"/>
      <c r="AA876" s="388"/>
      <c r="AB876" s="390"/>
    </row>
    <row r="877" spans="1:28">
      <c r="A877" s="384" t="str">
        <f t="shared" ref="A877:B877" si="2748">A865</f>
        <v>Lantai 1</v>
      </c>
      <c r="B877" s="385">
        <f t="shared" si="2748"/>
        <v>28</v>
      </c>
      <c r="C877" s="393" t="s">
        <v>208</v>
      </c>
      <c r="D877" s="398">
        <f>VLOOKUP(D865,'Detail Balok'!$C$10:$AU$140,13,FALSE)</f>
        <v>0</v>
      </c>
      <c r="E877" s="388" t="s">
        <v>16</v>
      </c>
      <c r="F877" s="388">
        <f>VLOOKUP(D865,'Detail Balok'!$C$10:$AU$140,15,FALSE)</f>
        <v>8</v>
      </c>
      <c r="G877" s="388"/>
      <c r="H877" s="395"/>
      <c r="I877" s="388"/>
      <c r="J877" s="399">
        <f t="shared" ref="J877" si="2749">+D867/1000</f>
        <v>2.65</v>
      </c>
      <c r="K877" s="400" t="s">
        <v>204</v>
      </c>
      <c r="L877" s="399">
        <f t="shared" ref="L877" si="2750">2*$F$16*F877/1000</f>
        <v>0.192</v>
      </c>
      <c r="M877" s="399" t="s">
        <v>176</v>
      </c>
      <c r="N877" s="399">
        <f t="shared" ref="N877" si="2751">J877+L877</f>
        <v>2.8420000000000001</v>
      </c>
      <c r="O877" s="399" t="s">
        <v>204</v>
      </c>
      <c r="P877" s="389">
        <f t="shared" ref="P877" si="2752">IF(N877&gt;12,ROUNDDOWN(N877/12,0),0)</f>
        <v>0</v>
      </c>
      <c r="Q877" s="399" t="s">
        <v>125</v>
      </c>
      <c r="R877" s="399">
        <f t="shared" ref="R877" si="2753">IF(P877&gt;0,MAX(VLOOKUP(F877,$D$6:$G$15,3,FALSE),600),0)/1000</f>
        <v>0</v>
      </c>
      <c r="S877" s="399"/>
      <c r="T877" s="399" t="s">
        <v>125</v>
      </c>
      <c r="U877" s="401">
        <f t="shared" ref="U877" si="2754">0.006165*F877^2</f>
        <v>0.39456000000000002</v>
      </c>
      <c r="V877" s="399" t="s">
        <v>125</v>
      </c>
      <c r="W877" s="399">
        <f t="shared" ref="W877" si="2755">+D877</f>
        <v>0</v>
      </c>
      <c r="X877" s="399" t="s">
        <v>125</v>
      </c>
      <c r="Y877" s="389">
        <f t="shared" ref="Y877" si="2756">D871</f>
        <v>1</v>
      </c>
      <c r="Z877" s="400" t="s">
        <v>176</v>
      </c>
      <c r="AA877" s="402">
        <f t="shared" ref="AA877" si="2757">(N877+P877*R877/1000)*U877*W877*Y877</f>
        <v>0</v>
      </c>
      <c r="AB877" s="403"/>
    </row>
    <row r="878" spans="1:28">
      <c r="A878" s="384"/>
      <c r="B878" s="385"/>
      <c r="C878" s="393"/>
      <c r="D878" s="398"/>
      <c r="E878" s="388"/>
      <c r="F878" s="388"/>
      <c r="G878" s="388"/>
      <c r="H878" s="395"/>
      <c r="I878" s="388"/>
      <c r="J878" s="399"/>
      <c r="K878" s="400"/>
      <c r="L878" s="399"/>
      <c r="M878" s="399"/>
      <c r="N878" s="399"/>
      <c r="O878" s="399"/>
      <c r="P878" s="389"/>
      <c r="Q878" s="399"/>
      <c r="R878" s="399"/>
      <c r="S878" s="399"/>
      <c r="T878" s="399"/>
      <c r="U878" s="401"/>
      <c r="V878" s="399"/>
      <c r="W878" s="399"/>
      <c r="X878" s="399"/>
      <c r="Y878" s="389"/>
      <c r="Z878" s="400"/>
      <c r="AA878" s="402"/>
      <c r="AB878" s="403"/>
    </row>
    <row r="879" spans="1:28">
      <c r="A879" s="384"/>
      <c r="B879" s="385"/>
      <c r="C879" s="393"/>
      <c r="D879" s="398"/>
      <c r="E879" s="388"/>
      <c r="F879" s="388"/>
      <c r="G879" s="388"/>
      <c r="H879" s="395"/>
      <c r="I879" s="388"/>
      <c r="J879" s="396"/>
      <c r="K879" s="396"/>
      <c r="L879" s="396"/>
      <c r="M879" s="396"/>
      <c r="N879" s="396"/>
      <c r="O879" s="396"/>
      <c r="P879" s="389"/>
      <c r="Q879" s="396"/>
      <c r="R879" s="396"/>
      <c r="S879" s="396"/>
      <c r="T879" s="396"/>
      <c r="U879" s="401"/>
      <c r="V879" s="396"/>
      <c r="W879" s="399"/>
      <c r="X879" s="396"/>
      <c r="Y879" s="389"/>
      <c r="Z879" s="396"/>
      <c r="AA879" s="388"/>
      <c r="AB879" s="390"/>
    </row>
    <row r="880" spans="1:28">
      <c r="A880" s="384" t="str">
        <f t="shared" ref="A880:B880" si="2758">A865</f>
        <v>Lantai 1</v>
      </c>
      <c r="B880" s="385">
        <f t="shared" si="2758"/>
        <v>28</v>
      </c>
      <c r="C880" s="393" t="s">
        <v>209</v>
      </c>
      <c r="D880" s="398">
        <f>VLOOKUP(D865,'Detail Balok'!$C$10:$AU$140,22,FALSE)</f>
        <v>3</v>
      </c>
      <c r="E880" s="388" t="s">
        <v>16</v>
      </c>
      <c r="F880" s="388">
        <f>VLOOKUP(D865,'Detail Balok'!$C$10:$AU$140,24,FALSE)</f>
        <v>13</v>
      </c>
      <c r="G880" s="388"/>
      <c r="H880" s="395"/>
      <c r="I880" s="388" t="s">
        <v>203</v>
      </c>
      <c r="J880" s="399">
        <f t="shared" ref="J880:J942" si="2759">+J872</f>
        <v>0.66249999999999998</v>
      </c>
      <c r="K880" s="400" t="s">
        <v>204</v>
      </c>
      <c r="L880" s="399">
        <f t="shared" ref="L880" si="2760">MAX(VLOOKUP(F880,N$6:P$15,3,FALSE)/1000,2/3*D870/1000)+F$16*F880/1000</f>
        <v>0.156</v>
      </c>
      <c r="M880" s="399" t="s">
        <v>176</v>
      </c>
      <c r="N880" s="399">
        <f t="shared" ref="N880:N882" si="2761">J880+L880</f>
        <v>0.81850000000000001</v>
      </c>
      <c r="O880" s="399" t="s">
        <v>204</v>
      </c>
      <c r="P880" s="389">
        <f t="shared" ref="P880" si="2762">D880-D881</f>
        <v>0</v>
      </c>
      <c r="Q880" s="399" t="s">
        <v>125</v>
      </c>
      <c r="R880" s="399">
        <f t="shared" ref="R880" si="2763">IF(P880&gt;0,$F$18*F880/1000,0)</f>
        <v>0</v>
      </c>
      <c r="S880" s="399" t="s">
        <v>205</v>
      </c>
      <c r="T880" s="399" t="s">
        <v>125</v>
      </c>
      <c r="U880" s="401">
        <f t="shared" ref="U880:U882" si="2764">0.006165*F880^2</f>
        <v>1.041885</v>
      </c>
      <c r="V880" s="399"/>
      <c r="W880" s="399"/>
      <c r="X880" s="399" t="s">
        <v>125</v>
      </c>
      <c r="Y880" s="389">
        <f t="shared" ref="Y880" si="2765">D871</f>
        <v>1</v>
      </c>
      <c r="Z880" s="400" t="s">
        <v>176</v>
      </c>
      <c r="AA880" s="402">
        <f t="shared" ref="AA880" si="2766">IF(AA883=0,(D880*N880+P880*R880)*U880*Y880,0)</f>
        <v>0</v>
      </c>
      <c r="AB880" s="403"/>
    </row>
    <row r="881" spans="1:28">
      <c r="A881" s="384" t="str">
        <f t="shared" ref="A881:B881" si="2767">A865</f>
        <v>Lantai 1</v>
      </c>
      <c r="B881" s="385">
        <f t="shared" si="2767"/>
        <v>28</v>
      </c>
      <c r="C881" s="393" t="s">
        <v>210</v>
      </c>
      <c r="D881" s="398">
        <f>VLOOKUP(D865,'Detail Balok'!$C$10:$AU$140,25,FALSE)</f>
        <v>3</v>
      </c>
      <c r="E881" s="388" t="s">
        <v>16</v>
      </c>
      <c r="F881" s="388">
        <f>VLOOKUP(D865,'Detail Balok'!$C$10:$AU$140,27,FALSE)</f>
        <v>13</v>
      </c>
      <c r="G881" s="388"/>
      <c r="H881" s="395"/>
      <c r="I881" s="388" t="s">
        <v>203</v>
      </c>
      <c r="J881" s="399">
        <f t="shared" si="2759"/>
        <v>1.325</v>
      </c>
      <c r="K881" s="400" t="s">
        <v>204</v>
      </c>
      <c r="L881" s="399"/>
      <c r="M881" s="399" t="s">
        <v>176</v>
      </c>
      <c r="N881" s="399">
        <f t="shared" si="2761"/>
        <v>1.325</v>
      </c>
      <c r="O881" s="399" t="s">
        <v>204</v>
      </c>
      <c r="P881" s="389">
        <f t="shared" ref="P881" si="2768">MAX(D881-D880,D881-D882)</f>
        <v>0</v>
      </c>
      <c r="Q881" s="399" t="s">
        <v>125</v>
      </c>
      <c r="R881" s="399">
        <f t="shared" ref="R881" si="2769">IF(P881&gt;0,2*(1-2*$F$19-1/2)*D868/1000,0)</f>
        <v>0</v>
      </c>
      <c r="S881" s="399" t="s">
        <v>205</v>
      </c>
      <c r="T881" s="399" t="s">
        <v>125</v>
      </c>
      <c r="U881" s="401">
        <f t="shared" si="2764"/>
        <v>1.041885</v>
      </c>
      <c r="V881" s="399"/>
      <c r="W881" s="399"/>
      <c r="X881" s="399" t="s">
        <v>125</v>
      </c>
      <c r="Y881" s="389">
        <f t="shared" ref="Y881" si="2770">D871</f>
        <v>1</v>
      </c>
      <c r="Z881" s="400" t="s">
        <v>176</v>
      </c>
      <c r="AA881" s="402">
        <f t="shared" ref="AA881" si="2771">IF(AA883=0,(D881*N881+P881*R881)*U881*Y881,0)</f>
        <v>0</v>
      </c>
      <c r="AB881" s="403"/>
    </row>
    <row r="882" spans="1:28">
      <c r="A882" s="384" t="str">
        <f t="shared" ref="A882:B882" si="2772">A865</f>
        <v>Lantai 1</v>
      </c>
      <c r="B882" s="385">
        <f t="shared" si="2772"/>
        <v>28</v>
      </c>
      <c r="C882" s="393" t="s">
        <v>209</v>
      </c>
      <c r="D882" s="398">
        <f>VLOOKUP(D865,'Detail Balok'!$C$10:$AU$140,28,FALSE)</f>
        <v>3</v>
      </c>
      <c r="E882" s="388" t="s">
        <v>16</v>
      </c>
      <c r="F882" s="388">
        <f>VLOOKUP(D865,'Detail Balok'!$C$10:$AU$140,30,FALSE)</f>
        <v>13</v>
      </c>
      <c r="G882" s="388"/>
      <c r="H882" s="395"/>
      <c r="I882" s="388" t="s">
        <v>203</v>
      </c>
      <c r="J882" s="399">
        <f t="shared" si="2759"/>
        <v>0.66249999999999998</v>
      </c>
      <c r="K882" s="400" t="s">
        <v>204</v>
      </c>
      <c r="L882" s="399">
        <f t="shared" ref="L882" si="2773">MAX(VLOOKUP(F882,N$6:P$15,3,FALSE)/1000,2/3*D870/1000)+F$16*F882/1000</f>
        <v>0.156</v>
      </c>
      <c r="M882" s="399" t="s">
        <v>176</v>
      </c>
      <c r="N882" s="399">
        <f t="shared" si="2761"/>
        <v>0.81850000000000001</v>
      </c>
      <c r="O882" s="399" t="s">
        <v>204</v>
      </c>
      <c r="P882" s="389">
        <f t="shared" ref="P882" si="2774">D882-D881</f>
        <v>0</v>
      </c>
      <c r="Q882" s="399" t="s">
        <v>125</v>
      </c>
      <c r="R882" s="399">
        <f t="shared" ref="R882" si="2775">IF(P882&gt;0,$F$18*F882/1000,0)</f>
        <v>0</v>
      </c>
      <c r="S882" s="399" t="s">
        <v>205</v>
      </c>
      <c r="T882" s="399" t="s">
        <v>125</v>
      </c>
      <c r="U882" s="401">
        <f t="shared" si="2764"/>
        <v>1.041885</v>
      </c>
      <c r="V882" s="399"/>
      <c r="W882" s="399"/>
      <c r="X882" s="399" t="s">
        <v>125</v>
      </c>
      <c r="Y882" s="389">
        <f t="shared" ref="Y882" si="2776">D871</f>
        <v>1</v>
      </c>
      <c r="Z882" s="400" t="s">
        <v>176</v>
      </c>
      <c r="AA882" s="402">
        <f t="shared" ref="AA882" si="2777">IF(AA883=0,(D882*N882+P882*R882)*U882*Y882,0)</f>
        <v>0</v>
      </c>
      <c r="AB882" s="403"/>
    </row>
    <row r="883" spans="1:28">
      <c r="A883" s="384" t="str">
        <f t="shared" ref="A883:B883" si="2778">A865</f>
        <v>Lantai 1</v>
      </c>
      <c r="B883" s="385">
        <f t="shared" si="2778"/>
        <v>28</v>
      </c>
      <c r="C883" s="393"/>
      <c r="D883" s="398">
        <f t="shared" ref="D883:D943" si="2779">IF(AND(D880=D881,D881=D882,D880=D882),D880,0)</f>
        <v>3</v>
      </c>
      <c r="E883" s="388" t="s">
        <v>16</v>
      </c>
      <c r="F883" s="388">
        <f t="shared" ref="F883:F943" si="2780">IF(AND(F880=F881,F880=F882,F881=F882),F880,0)</f>
        <v>13</v>
      </c>
      <c r="G883" s="388"/>
      <c r="H883" s="395"/>
      <c r="I883" s="388"/>
      <c r="J883" s="396"/>
      <c r="K883" s="396"/>
      <c r="L883" s="404" t="s">
        <v>207</v>
      </c>
      <c r="M883" s="399" t="s">
        <v>176</v>
      </c>
      <c r="N883" s="399">
        <f t="shared" ref="N883" si="2781">IF(AND(D880=D881,D880=D882,D881=D882,F880=F881,F880=F882,F881=F882),SUM(N880:N882),0)</f>
        <v>2.9619999999999997</v>
      </c>
      <c r="O883" s="399" t="s">
        <v>204</v>
      </c>
      <c r="P883" s="389">
        <f t="shared" ref="P883" si="2782">IF(N883&gt;12,ROUNDDOWN(N883/12,0),0)</f>
        <v>0</v>
      </c>
      <c r="Q883" s="399" t="s">
        <v>125</v>
      </c>
      <c r="R883" s="399">
        <f t="shared" ref="R883" si="2783">IF(P883&gt;0,MAX(VLOOKUP(F883,$D$6:$G$15,3,FALSE),600),0)/1000</f>
        <v>0</v>
      </c>
      <c r="S883" s="396"/>
      <c r="T883" s="396" t="s">
        <v>125</v>
      </c>
      <c r="U883" s="401">
        <f t="shared" ref="U883:U943" si="2784">U882</f>
        <v>1.041885</v>
      </c>
      <c r="V883" s="396" t="s">
        <v>125</v>
      </c>
      <c r="W883" s="399">
        <f t="shared" ref="W883" si="2785">D883</f>
        <v>3</v>
      </c>
      <c r="X883" s="399" t="s">
        <v>125</v>
      </c>
      <c r="Y883" s="389">
        <f t="shared" ref="Y883:Y943" si="2786">Y882</f>
        <v>1</v>
      </c>
      <c r="Z883" s="400" t="s">
        <v>176</v>
      </c>
      <c r="AA883" s="402">
        <f t="shared" ref="AA883" si="2787">(N883+P883*R883/1000)*U883*W883*Y883</f>
        <v>9.2581901099999993</v>
      </c>
      <c r="AB883" s="403"/>
    </row>
    <row r="884" spans="1:28">
      <c r="A884" s="384"/>
      <c r="B884" s="385"/>
      <c r="C884" s="393"/>
      <c r="D884" s="394"/>
      <c r="E884" s="388"/>
      <c r="F884" s="388"/>
      <c r="G884" s="388"/>
      <c r="H884" s="395"/>
      <c r="I884" s="388"/>
      <c r="J884" s="399"/>
      <c r="K884" s="396"/>
      <c r="L884" s="396"/>
      <c r="M884" s="396"/>
      <c r="N884" s="396"/>
      <c r="O884" s="396"/>
      <c r="P884" s="389"/>
      <c r="Q884" s="396"/>
      <c r="R884" s="396"/>
      <c r="S884" s="396"/>
      <c r="T884" s="396"/>
      <c r="U884" s="401"/>
      <c r="V884" s="396"/>
      <c r="W884" s="388"/>
      <c r="X884" s="396"/>
      <c r="Y884" s="389"/>
      <c r="Z884" s="396"/>
      <c r="AA884" s="388"/>
      <c r="AB884" s="390"/>
    </row>
    <row r="885" spans="1:28">
      <c r="A885" s="384" t="str">
        <f t="shared" ref="A885:B885" si="2788">A865</f>
        <v>Lantai 1</v>
      </c>
      <c r="B885" s="385">
        <f t="shared" si="2788"/>
        <v>28</v>
      </c>
      <c r="C885" s="393" t="s">
        <v>211</v>
      </c>
      <c r="D885" s="398">
        <f>VLOOKUP(D865,'Detail Balok'!$C$10:$AU$140,31,FALSE)</f>
        <v>0</v>
      </c>
      <c r="E885" s="388" t="s">
        <v>16</v>
      </c>
      <c r="F885" s="388">
        <f>VLOOKUP(D865,'Detail Balok'!$C$10:$AU$140,33,FALSE)</f>
        <v>8</v>
      </c>
      <c r="G885" s="405" t="s">
        <v>157</v>
      </c>
      <c r="H885" s="395">
        <f>VLOOKUP(D865,'Detail Balok'!$C$10:$AU$140,35,FALSE)</f>
        <v>150</v>
      </c>
      <c r="I885" s="388"/>
      <c r="J885" s="400">
        <f t="shared" ref="J885" si="2789">(IF(D885=0,(2*(D866+G866))-(F$5*8),IF(D885=3,(2*(D866+G866))-(F$5*8)+(G866-2*F$5),IF(D885=4,(2*(D866+G866))-(F$5*8)+2*(G866-2*F$5)))))/1000</f>
        <v>0.88</v>
      </c>
      <c r="K885" s="400" t="s">
        <v>204</v>
      </c>
      <c r="L885" s="399">
        <f t="shared" ref="L885:L887" si="2790">IF(D885=0,2*MAX(6*F885,75),(D885-1)*2*MAX(6*F885,75))/1000</f>
        <v>0.15</v>
      </c>
      <c r="M885" s="399" t="s">
        <v>176</v>
      </c>
      <c r="N885" s="399">
        <f t="shared" ref="N885:N887" si="2791">J885+L885</f>
        <v>1.03</v>
      </c>
      <c r="O885" s="399"/>
      <c r="P885" s="389"/>
      <c r="Q885" s="399"/>
      <c r="R885" s="399"/>
      <c r="S885" s="399"/>
      <c r="T885" s="399" t="s">
        <v>125</v>
      </c>
      <c r="U885" s="401">
        <f t="shared" ref="U885:U887" si="2792">0.006165*F885^2</f>
        <v>0.39456000000000002</v>
      </c>
      <c r="V885" s="399" t="s">
        <v>125</v>
      </c>
      <c r="W885" s="399">
        <f t="shared" ref="W885" si="2793">IF(D868&gt;4*G866,ROUND(MAX(D868/4,2*G866)/H885,0)+1,ROUND(D868/H885,0)+1)</f>
        <v>6</v>
      </c>
      <c r="X885" s="399" t="s">
        <v>125</v>
      </c>
      <c r="Y885" s="389">
        <f t="shared" ref="Y885" si="2794">D871</f>
        <v>1</v>
      </c>
      <c r="Z885" s="400" t="s">
        <v>176</v>
      </c>
      <c r="AA885" s="402">
        <f t="shared" ref="AA885:AA887" si="2795">N885*U885*W885*Y885</f>
        <v>2.4383808000000005</v>
      </c>
      <c r="AB885" s="403"/>
    </row>
    <row r="886" spans="1:28">
      <c r="A886" s="384" t="str">
        <f t="shared" ref="A886:B886" si="2796">A865</f>
        <v>Lantai 1</v>
      </c>
      <c r="B886" s="385">
        <f t="shared" si="2796"/>
        <v>28</v>
      </c>
      <c r="C886" s="393" t="s">
        <v>212</v>
      </c>
      <c r="D886" s="398">
        <f>VLOOKUP(D865,'Detail Balok'!$C$10:$AU$140,36,FALSE)</f>
        <v>0</v>
      </c>
      <c r="E886" s="388" t="s">
        <v>16</v>
      </c>
      <c r="F886" s="388">
        <f>VLOOKUP(D865,'Detail Balok'!$C$10:$AU$140,38,FALSE)</f>
        <v>8</v>
      </c>
      <c r="G886" s="405" t="s">
        <v>157</v>
      </c>
      <c r="H886" s="395">
        <f>VLOOKUP(D865,'Detail Balok'!$C$10:$AU$140,40,FALSE)</f>
        <v>200</v>
      </c>
      <c r="I886" s="388"/>
      <c r="J886" s="400">
        <f t="shared" ref="J886" si="2797">(IF(D886=0,(2*(D866+G866))-(F$5*8),IF(D886=3,(2*(D866+G866))-(F$5*8)+(G866-2*F$5),IF(D886=4,(2*(D866+G866))-(F$5*8)+2*(G866-2*F$5)))))/1000</f>
        <v>0.88</v>
      </c>
      <c r="K886" s="400" t="s">
        <v>204</v>
      </c>
      <c r="L886" s="399">
        <f t="shared" si="2790"/>
        <v>0.15</v>
      </c>
      <c r="M886" s="399" t="s">
        <v>176</v>
      </c>
      <c r="N886" s="399">
        <f t="shared" si="2791"/>
        <v>1.03</v>
      </c>
      <c r="O886" s="399"/>
      <c r="P886" s="389"/>
      <c r="Q886" s="399"/>
      <c r="R886" s="399"/>
      <c r="S886" s="399"/>
      <c r="T886" s="399" t="s">
        <v>125</v>
      </c>
      <c r="U886" s="401">
        <f t="shared" si="2792"/>
        <v>0.39456000000000002</v>
      </c>
      <c r="V886" s="399" t="s">
        <v>125</v>
      </c>
      <c r="W886" s="399">
        <f t="shared" ref="W886" si="2798">IF(D868-MAX(D868/4,2*G866)*2&gt;0,ROUND((D868-MAX(D868/4,2*G866)*2)/H886,0),0)</f>
        <v>5</v>
      </c>
      <c r="X886" s="399" t="s">
        <v>125</v>
      </c>
      <c r="Y886" s="389">
        <f t="shared" ref="Y886" si="2799">D871</f>
        <v>1</v>
      </c>
      <c r="Z886" s="400" t="s">
        <v>176</v>
      </c>
      <c r="AA886" s="402">
        <f t="shared" si="2795"/>
        <v>2.0319840000000005</v>
      </c>
      <c r="AB886" s="403"/>
    </row>
    <row r="887" spans="1:28">
      <c r="A887" s="384" t="str">
        <f t="shared" ref="A887:B887" si="2800">A865</f>
        <v>Lantai 1</v>
      </c>
      <c r="B887" s="385">
        <f t="shared" si="2800"/>
        <v>28</v>
      </c>
      <c r="C887" s="393" t="s">
        <v>211</v>
      </c>
      <c r="D887" s="398">
        <f>VLOOKUP(D865,'Detail Balok'!$C$10:$AU$140,41,FALSE)</f>
        <v>0</v>
      </c>
      <c r="E887" s="388" t="s">
        <v>16</v>
      </c>
      <c r="F887" s="388">
        <f>VLOOKUP(D865,'Detail Balok'!$C$10:$AU$140,43,FALSE)</f>
        <v>8</v>
      </c>
      <c r="G887" s="405" t="s">
        <v>157</v>
      </c>
      <c r="H887" s="395">
        <f>VLOOKUP(D865,'Detail Balok'!$C$10:$AU$140,45,FALSE)</f>
        <v>150</v>
      </c>
      <c r="I887" s="388"/>
      <c r="J887" s="400">
        <f t="shared" ref="J887" si="2801">(IF(D887=0,(2*(D866+G866))-(F$5*8),IF(D887=3,(2*(D866+G866))-(F$5*8)+(G866-2*F$5),IF(D887=4,(2*(D866+G866))-(F$5*8)+2*(G866-2*F$5)))))/1000</f>
        <v>0.88</v>
      </c>
      <c r="K887" s="400" t="s">
        <v>204</v>
      </c>
      <c r="L887" s="399">
        <f t="shared" si="2790"/>
        <v>0.15</v>
      </c>
      <c r="M887" s="399" t="s">
        <v>176</v>
      </c>
      <c r="N887" s="399">
        <f t="shared" si="2791"/>
        <v>1.03</v>
      </c>
      <c r="O887" s="399"/>
      <c r="P887" s="389"/>
      <c r="Q887" s="399"/>
      <c r="R887" s="399"/>
      <c r="S887" s="399"/>
      <c r="T887" s="399" t="s">
        <v>125</v>
      </c>
      <c r="U887" s="401">
        <f t="shared" si="2792"/>
        <v>0.39456000000000002</v>
      </c>
      <c r="V887" s="399" t="s">
        <v>125</v>
      </c>
      <c r="W887" s="399">
        <f t="shared" ref="W887" si="2802">IF(D868&gt;4*G866,ROUND(MAX(D868/4,2*G866)/H887,0)+1,0)</f>
        <v>6</v>
      </c>
      <c r="X887" s="399" t="s">
        <v>125</v>
      </c>
      <c r="Y887" s="389">
        <f t="shared" ref="Y887" si="2803">D871</f>
        <v>1</v>
      </c>
      <c r="Z887" s="400" t="s">
        <v>176</v>
      </c>
      <c r="AA887" s="402">
        <f t="shared" si="2795"/>
        <v>2.4383808000000005</v>
      </c>
      <c r="AB887" s="403"/>
    </row>
    <row r="888" spans="1:28">
      <c r="A888" s="384"/>
      <c r="B888" s="385"/>
      <c r="C888" s="393"/>
      <c r="D888" s="394"/>
      <c r="E888" s="388"/>
      <c r="F888" s="388"/>
      <c r="G888" s="388"/>
      <c r="H888" s="395"/>
      <c r="I888" s="388"/>
      <c r="J888" s="399"/>
      <c r="K888" s="396"/>
      <c r="L888" s="396"/>
      <c r="M888" s="396"/>
      <c r="N888" s="396"/>
      <c r="O888" s="396"/>
      <c r="P888" s="389"/>
      <c r="Q888" s="396"/>
      <c r="R888" s="396"/>
      <c r="S888" s="396"/>
      <c r="T888" s="396"/>
      <c r="U888" s="401"/>
      <c r="V888" s="396"/>
      <c r="W888" s="388"/>
      <c r="X888" s="396"/>
      <c r="Y888" s="389"/>
      <c r="Z888" s="396"/>
      <c r="AA888" s="388"/>
      <c r="AB888" s="390"/>
    </row>
    <row r="889" spans="1:28">
      <c r="A889" s="384" t="str">
        <f t="shared" ref="A889:B889" si="2804">A865</f>
        <v>Lantai 1</v>
      </c>
      <c r="B889" s="385">
        <f t="shared" si="2804"/>
        <v>28</v>
      </c>
      <c r="C889" s="393" t="s">
        <v>213</v>
      </c>
      <c r="D889" s="398">
        <f>VLOOKUP(D865,'Detail Balok'!$C$10:$BJ$140,46,FALSE)</f>
        <v>0</v>
      </c>
      <c r="E889" s="388" t="s">
        <v>16</v>
      </c>
      <c r="F889" s="388">
        <f>VLOOKUP(D865,'Detail Balok'!$C$10:$BJ$140,48,FALSE)</f>
        <v>0</v>
      </c>
      <c r="G889" s="405" t="s">
        <v>157</v>
      </c>
      <c r="H889" s="395">
        <f>VLOOKUP(D865,'Detail Balok'!$C$10:$BJ$140,50,FALSE)</f>
        <v>100</v>
      </c>
      <c r="I889" s="388"/>
      <c r="J889" s="399">
        <f t="shared" ref="J889" si="2805">(D866-2*F$5)/1000</f>
        <v>0.12</v>
      </c>
      <c r="K889" s="400" t="s">
        <v>204</v>
      </c>
      <c r="L889" s="399">
        <f t="shared" ref="L889:L891" si="2806">IF(D889=0,2*MAX(6*F889,75),(D889-1)*2*MAX(6*F889,75))/1000</f>
        <v>0.15</v>
      </c>
      <c r="M889" s="399" t="s">
        <v>176</v>
      </c>
      <c r="N889" s="399">
        <f t="shared" ref="N889:N891" si="2807">J889+L889</f>
        <v>0.27</v>
      </c>
      <c r="O889" s="399"/>
      <c r="P889" s="399"/>
      <c r="Q889" s="399"/>
      <c r="R889" s="399"/>
      <c r="S889" s="399"/>
      <c r="T889" s="399" t="s">
        <v>125</v>
      </c>
      <c r="U889" s="401">
        <f t="shared" ref="U889:U891" si="2808">0.006165*F889^2</f>
        <v>0</v>
      </c>
      <c r="V889" s="399" t="s">
        <v>125</v>
      </c>
      <c r="W889" s="399">
        <f t="shared" ref="W889:W951" si="2809">W885</f>
        <v>6</v>
      </c>
      <c r="X889" s="399" t="s">
        <v>125</v>
      </c>
      <c r="Y889" s="389">
        <f t="shared" ref="Y889" si="2810">D875</f>
        <v>3</v>
      </c>
      <c r="Z889" s="400" t="s">
        <v>176</v>
      </c>
      <c r="AA889" s="402">
        <f t="shared" ref="AA889:AA891" si="2811">N889*U889*W889*Y889</f>
        <v>0</v>
      </c>
      <c r="AB889" s="403"/>
    </row>
    <row r="890" spans="1:28">
      <c r="A890" s="384" t="str">
        <f t="shared" ref="A890:B890" si="2812">A865</f>
        <v>Lantai 1</v>
      </c>
      <c r="B890" s="385">
        <f t="shared" si="2812"/>
        <v>28</v>
      </c>
      <c r="C890" s="393" t="s">
        <v>214</v>
      </c>
      <c r="D890" s="398">
        <f>VLOOKUP(D865,'Detail Balok'!$C$10:$BJ$140,51,FALSE)</f>
        <v>0</v>
      </c>
      <c r="E890" s="388" t="s">
        <v>16</v>
      </c>
      <c r="F890" s="388">
        <f>VLOOKUP(D865,'Detail Balok'!$C$10:$BJ$140,53,FALSE)</f>
        <v>0</v>
      </c>
      <c r="G890" s="405" t="s">
        <v>157</v>
      </c>
      <c r="H890" s="395">
        <f>VLOOKUP(D865,'Detail Balok'!$C$10:$BJ$140,55,FALSE)</f>
        <v>100</v>
      </c>
      <c r="I890" s="388"/>
      <c r="J890" s="399">
        <f t="shared" ref="J890" si="2813">(D866-2*F$5)/1000</f>
        <v>0.12</v>
      </c>
      <c r="K890" s="400" t="s">
        <v>204</v>
      </c>
      <c r="L890" s="399">
        <f t="shared" si="2806"/>
        <v>0.15</v>
      </c>
      <c r="M890" s="399" t="s">
        <v>176</v>
      </c>
      <c r="N890" s="399">
        <f t="shared" si="2807"/>
        <v>0.27</v>
      </c>
      <c r="O890" s="399"/>
      <c r="P890" s="399"/>
      <c r="Q890" s="399"/>
      <c r="R890" s="399"/>
      <c r="S890" s="399"/>
      <c r="T890" s="399" t="s">
        <v>125</v>
      </c>
      <c r="U890" s="401">
        <f t="shared" si="2808"/>
        <v>0</v>
      </c>
      <c r="V890" s="399" t="s">
        <v>125</v>
      </c>
      <c r="W890" s="399">
        <f t="shared" si="2809"/>
        <v>5</v>
      </c>
      <c r="X890" s="399" t="s">
        <v>125</v>
      </c>
      <c r="Y890" s="389">
        <f t="shared" ref="Y890" si="2814">D875</f>
        <v>3</v>
      </c>
      <c r="Z890" s="400" t="s">
        <v>176</v>
      </c>
      <c r="AA890" s="402">
        <f t="shared" si="2811"/>
        <v>0</v>
      </c>
      <c r="AB890" s="403"/>
    </row>
    <row r="891" spans="1:28">
      <c r="A891" s="384" t="str">
        <f t="shared" ref="A891:B891" si="2815">A865</f>
        <v>Lantai 1</v>
      </c>
      <c r="B891" s="385">
        <f t="shared" si="2815"/>
        <v>28</v>
      </c>
      <c r="C891" s="393" t="s">
        <v>213</v>
      </c>
      <c r="D891" s="398">
        <f>VLOOKUP(D865,'Detail Balok'!$C$10:$BJ$140,56,FALSE)</f>
        <v>0</v>
      </c>
      <c r="E891" s="388" t="s">
        <v>16</v>
      </c>
      <c r="F891" s="388">
        <f>VLOOKUP(D865,'Detail Balok'!$C$10:$BJ$140,58,FALSE)</f>
        <v>0</v>
      </c>
      <c r="G891" s="405" t="s">
        <v>157</v>
      </c>
      <c r="H891" s="395">
        <f>VLOOKUP(D865,'Detail Balok'!$C$10:$BJ$140,60,FALSE)</f>
        <v>100</v>
      </c>
      <c r="I891" s="388"/>
      <c r="J891" s="399">
        <f t="shared" ref="J891" si="2816">(D866-2*F$5)/1000</f>
        <v>0.12</v>
      </c>
      <c r="K891" s="400" t="s">
        <v>204</v>
      </c>
      <c r="L891" s="399">
        <f t="shared" si="2806"/>
        <v>0.15</v>
      </c>
      <c r="M891" s="399" t="s">
        <v>176</v>
      </c>
      <c r="N891" s="399">
        <f t="shared" si="2807"/>
        <v>0.27</v>
      </c>
      <c r="O891" s="399"/>
      <c r="P891" s="399"/>
      <c r="Q891" s="399"/>
      <c r="R891" s="399"/>
      <c r="S891" s="399"/>
      <c r="T891" s="399" t="s">
        <v>125</v>
      </c>
      <c r="U891" s="401">
        <f t="shared" si="2808"/>
        <v>0</v>
      </c>
      <c r="V891" s="399" t="s">
        <v>125</v>
      </c>
      <c r="W891" s="399">
        <f t="shared" si="2809"/>
        <v>6</v>
      </c>
      <c r="X891" s="399" t="s">
        <v>125</v>
      </c>
      <c r="Y891" s="389">
        <f t="shared" ref="Y891" si="2817">D875</f>
        <v>3</v>
      </c>
      <c r="Z891" s="400" t="s">
        <v>176</v>
      </c>
      <c r="AA891" s="402">
        <f t="shared" si="2811"/>
        <v>0</v>
      </c>
      <c r="AB891" s="403"/>
    </row>
    <row r="892" spans="1:28">
      <c r="A892" s="391"/>
      <c r="B892" s="392"/>
      <c r="C892" s="392"/>
      <c r="D892" s="394"/>
      <c r="E892" s="388"/>
      <c r="F892" s="388"/>
      <c r="G892" s="388"/>
      <c r="H892" s="395"/>
      <c r="I892" s="388"/>
      <c r="J892" s="402"/>
      <c r="K892" s="388"/>
      <c r="L892" s="388"/>
      <c r="M892" s="388"/>
      <c r="N892" s="388"/>
      <c r="O892" s="388"/>
      <c r="P892" s="388"/>
      <c r="Q892" s="388"/>
      <c r="R892" s="388"/>
      <c r="S892" s="388"/>
      <c r="T892" s="388"/>
      <c r="U892" s="388"/>
      <c r="V892" s="388"/>
      <c r="W892" s="388"/>
      <c r="X892" s="388"/>
      <c r="Y892" s="389"/>
      <c r="Z892" s="388"/>
      <c r="AA892" s="402"/>
      <c r="AB892" s="403"/>
    </row>
    <row r="893" spans="1:28" ht="15.75" thickBot="1">
      <c r="A893" s="406"/>
      <c r="B893" s="407"/>
      <c r="C893" s="407"/>
      <c r="D893" s="408"/>
      <c r="E893" s="409"/>
      <c r="F893" s="409"/>
      <c r="G893" s="409"/>
      <c r="H893" s="410"/>
      <c r="I893" s="409"/>
      <c r="J893" s="409"/>
      <c r="K893" s="409"/>
      <c r="L893" s="409"/>
      <c r="M893" s="409"/>
      <c r="N893" s="409"/>
      <c r="O893" s="409"/>
      <c r="P893" s="409"/>
      <c r="Q893" s="409"/>
      <c r="R893" s="409"/>
      <c r="S893" s="409"/>
      <c r="T893" s="409"/>
      <c r="U893" s="409"/>
      <c r="V893" s="409"/>
      <c r="W893" s="409"/>
      <c r="X893" s="409"/>
      <c r="Y893" s="411"/>
      <c r="Z893" s="409"/>
      <c r="AA893" s="412"/>
      <c r="AB893" s="413"/>
    </row>
    <row r="894" spans="1:28">
      <c r="A894" s="377"/>
      <c r="B894" s="378"/>
      <c r="C894" s="378"/>
      <c r="D894" s="379"/>
      <c r="E894" s="380"/>
      <c r="F894" s="380"/>
      <c r="G894" s="380"/>
      <c r="H894" s="381"/>
      <c r="I894" s="380"/>
      <c r="J894" s="380"/>
      <c r="K894" s="380"/>
      <c r="L894" s="380"/>
      <c r="M894" s="380"/>
      <c r="N894" s="380"/>
      <c r="O894" s="380"/>
      <c r="P894" s="380"/>
      <c r="Q894" s="380"/>
      <c r="R894" s="380"/>
      <c r="S894" s="380"/>
      <c r="T894" s="380"/>
      <c r="U894" s="380"/>
      <c r="V894" s="380"/>
      <c r="W894" s="380"/>
      <c r="X894" s="380"/>
      <c r="Y894" s="382"/>
      <c r="Z894" s="380"/>
      <c r="AA894" s="380"/>
      <c r="AB894" s="383"/>
    </row>
    <row r="895" spans="1:28">
      <c r="A895" s="384" t="str">
        <f t="shared" ref="A895:A955" si="2818">A865</f>
        <v>Lantai 1</v>
      </c>
      <c r="B895" s="385">
        <f t="shared" ref="B895:B955" si="2819">B865+1</f>
        <v>29</v>
      </c>
      <c r="C895" s="386" t="str">
        <f t="shared" ref="C895" si="2820">CONCATENATE(A895," no. ",B895)</f>
        <v>Lantai 1 no. 29</v>
      </c>
      <c r="D895" s="2562" t="str">
        <f>VLOOKUP(C895,'Data Panjang Balok'!$C$9:$N$254,2,FALSE)</f>
        <v>S24-1</v>
      </c>
      <c r="E895" s="2576"/>
      <c r="F895" s="2576"/>
      <c r="G895" s="2576"/>
      <c r="H895" s="2577"/>
      <c r="I895" s="387"/>
      <c r="J895" s="388"/>
      <c r="K895" s="388"/>
      <c r="L895" s="388"/>
      <c r="M895" s="388"/>
      <c r="N895" s="388"/>
      <c r="O895" s="388"/>
      <c r="P895" s="388"/>
      <c r="Q895" s="388"/>
      <c r="R895" s="388"/>
      <c r="S895" s="388"/>
      <c r="T895" s="388"/>
      <c r="U895" s="388"/>
      <c r="V895" s="388"/>
      <c r="W895" s="388"/>
      <c r="X895" s="388"/>
      <c r="Y895" s="389"/>
      <c r="Z895" s="388"/>
      <c r="AA895" s="388"/>
      <c r="AB895" s="390"/>
    </row>
    <row r="896" spans="1:28">
      <c r="A896" s="391"/>
      <c r="B896" s="392"/>
      <c r="C896" s="393" t="s">
        <v>118</v>
      </c>
      <c r="D896" s="2578">
        <f>VLOOKUP(D895,'Detail Balok'!$C$10:$AU$140,2,FALSE)</f>
        <v>200</v>
      </c>
      <c r="E896" s="2579"/>
      <c r="F896" s="388" t="s">
        <v>125</v>
      </c>
      <c r="G896" s="2579">
        <f>VLOOKUP(D895,'Detail Balok'!$C$10:$AU$140,3,FALSE)</f>
        <v>400</v>
      </c>
      <c r="H896" s="2580"/>
      <c r="I896" s="388"/>
      <c r="J896" s="396"/>
      <c r="K896" s="396"/>
      <c r="L896" s="396"/>
      <c r="M896" s="396"/>
      <c r="N896" s="396"/>
      <c r="O896" s="396"/>
      <c r="P896" s="396"/>
      <c r="Q896" s="396"/>
      <c r="R896" s="396"/>
      <c r="S896" s="396"/>
      <c r="T896" s="396"/>
      <c r="U896" s="388"/>
      <c r="V896" s="396"/>
      <c r="W896" s="388"/>
      <c r="X896" s="396"/>
      <c r="Y896" s="389"/>
      <c r="Z896" s="396"/>
      <c r="AA896" s="388"/>
      <c r="AB896" s="390"/>
    </row>
    <row r="897" spans="1:28">
      <c r="A897" s="391"/>
      <c r="B897" s="392"/>
      <c r="C897" s="393" t="s">
        <v>198</v>
      </c>
      <c r="D897" s="2562">
        <f>VLOOKUP(C895,'Data Panjang Balok'!$C$9:$N$254,4,FALSE)</f>
        <v>2890</v>
      </c>
      <c r="E897" s="2563"/>
      <c r="F897" s="2563"/>
      <c r="G897" s="2563"/>
      <c r="H897" s="2564"/>
      <c r="I897" s="397"/>
      <c r="J897" s="396"/>
      <c r="K897" s="396"/>
      <c r="L897" s="396"/>
      <c r="M897" s="396"/>
      <c r="N897" s="396"/>
      <c r="O897" s="396"/>
      <c r="P897" s="396"/>
      <c r="Q897" s="396"/>
      <c r="R897" s="396"/>
      <c r="S897" s="396"/>
      <c r="T897" s="396"/>
      <c r="U897" s="388"/>
      <c r="V897" s="396"/>
      <c r="W897" s="388"/>
      <c r="X897" s="396"/>
      <c r="Y897" s="389"/>
      <c r="Z897" s="396"/>
      <c r="AA897" s="388"/>
      <c r="AB897" s="390"/>
    </row>
    <row r="898" spans="1:28">
      <c r="A898" s="391"/>
      <c r="B898" s="392"/>
      <c r="C898" s="393" t="s">
        <v>199</v>
      </c>
      <c r="D898" s="2562">
        <f>VLOOKUP(C895,'Data Panjang Balok'!$C$9:$N$254,7,FALSE)</f>
        <v>2890</v>
      </c>
      <c r="E898" s="2563"/>
      <c r="F898" s="2563"/>
      <c r="G898" s="2563"/>
      <c r="H898" s="2564"/>
      <c r="I898" s="397"/>
      <c r="J898" s="396"/>
      <c r="K898" s="396"/>
      <c r="L898" s="396"/>
      <c r="M898" s="396"/>
      <c r="N898" s="396"/>
      <c r="O898" s="396"/>
      <c r="P898" s="396"/>
      <c r="Q898" s="396"/>
      <c r="R898" s="396"/>
      <c r="S898" s="396"/>
      <c r="T898" s="396"/>
      <c r="U898" s="388"/>
      <c r="V898" s="396"/>
      <c r="W898" s="388"/>
      <c r="X898" s="396"/>
      <c r="Y898" s="389"/>
      <c r="Z898" s="396"/>
      <c r="AA898" s="388"/>
      <c r="AB898" s="390"/>
    </row>
    <row r="899" spans="1:28">
      <c r="A899" s="391"/>
      <c r="B899" s="392"/>
      <c r="C899" s="393" t="s">
        <v>200</v>
      </c>
      <c r="D899" s="2562">
        <f>VLOOKUP(C895,'Data Panjang Balok'!$C$9:$N$254,9,FALSE)</f>
        <v>0</v>
      </c>
      <c r="E899" s="2563"/>
      <c r="F899" s="2563"/>
      <c r="G899" s="2563"/>
      <c r="H899" s="2564"/>
      <c r="I899" s="397"/>
      <c r="J899" s="396"/>
      <c r="K899" s="396"/>
      <c r="L899" s="396"/>
      <c r="M899" s="396"/>
      <c r="N899" s="396"/>
      <c r="O899" s="396"/>
      <c r="P899" s="396"/>
      <c r="Q899" s="396"/>
      <c r="R899" s="396"/>
      <c r="S899" s="396"/>
      <c r="T899" s="396"/>
      <c r="U899" s="388"/>
      <c r="V899" s="396"/>
      <c r="W899" s="388"/>
      <c r="X899" s="396"/>
      <c r="Y899" s="389"/>
      <c r="Z899" s="396"/>
      <c r="AA899" s="388"/>
      <c r="AB899" s="390"/>
    </row>
    <row r="900" spans="1:28">
      <c r="A900" s="391"/>
      <c r="B900" s="392"/>
      <c r="C900" s="393" t="s">
        <v>201</v>
      </c>
      <c r="D900" s="2562">
        <f>VLOOKUP(C895,'Data Panjang Balok'!$C$9:$N$254,10,FALSE)</f>
        <v>0</v>
      </c>
      <c r="E900" s="2563"/>
      <c r="F900" s="2563"/>
      <c r="G900" s="2563"/>
      <c r="H900" s="2564"/>
      <c r="I900" s="397"/>
      <c r="J900" s="396"/>
      <c r="K900" s="396"/>
      <c r="L900" s="396"/>
      <c r="M900" s="396"/>
      <c r="N900" s="396"/>
      <c r="O900" s="396"/>
      <c r="P900" s="396"/>
      <c r="Q900" s="396"/>
      <c r="R900" s="396"/>
      <c r="S900" s="396"/>
      <c r="T900" s="396"/>
      <c r="U900" s="388"/>
      <c r="V900" s="396"/>
      <c r="W900" s="388"/>
      <c r="X900" s="396"/>
      <c r="Y900" s="389"/>
      <c r="Z900" s="396"/>
      <c r="AA900" s="388"/>
      <c r="AB900" s="390"/>
    </row>
    <row r="901" spans="1:28">
      <c r="A901" s="391"/>
      <c r="B901" s="392"/>
      <c r="C901" s="393" t="s">
        <v>48</v>
      </c>
      <c r="D901" s="2562">
        <f>VLOOKUP(C895,'Data Panjang Balok'!$C$9:$N$254,3,FALSE)</f>
        <v>1</v>
      </c>
      <c r="E901" s="2563"/>
      <c r="F901" s="2563"/>
      <c r="G901" s="2563"/>
      <c r="H901" s="2564"/>
      <c r="I901" s="397"/>
      <c r="J901" s="396"/>
      <c r="K901" s="396"/>
      <c r="L901" s="396"/>
      <c r="M901" s="396"/>
      <c r="N901" s="396"/>
      <c r="O901" s="396"/>
      <c r="P901" s="396"/>
      <c r="Q901" s="396"/>
      <c r="R901" s="396"/>
      <c r="S901" s="396"/>
      <c r="T901" s="396"/>
      <c r="U901" s="388"/>
      <c r="V901" s="396"/>
      <c r="W901" s="388"/>
      <c r="X901" s="396"/>
      <c r="Y901" s="389"/>
      <c r="Z901" s="396"/>
      <c r="AA901" s="388"/>
      <c r="AB901" s="390"/>
    </row>
    <row r="902" spans="1:28">
      <c r="A902" s="384" t="str">
        <f t="shared" ref="A902:B902" si="2821">A895</f>
        <v>Lantai 1</v>
      </c>
      <c r="B902" s="385">
        <f t="shared" si="2821"/>
        <v>29</v>
      </c>
      <c r="C902" s="393" t="s">
        <v>202</v>
      </c>
      <c r="D902" s="398">
        <f>VLOOKUP(D895,'Detail Balok'!$C$10:$AU$140,4,FALSE)</f>
        <v>3</v>
      </c>
      <c r="E902" s="388" t="s">
        <v>16</v>
      </c>
      <c r="F902" s="388">
        <f>VLOOKUP(D895,'Detail Balok'!$C$10:$AU$140,6,FALSE)</f>
        <v>13</v>
      </c>
      <c r="G902" s="388"/>
      <c r="H902" s="395"/>
      <c r="I902" s="388" t="s">
        <v>203</v>
      </c>
      <c r="J902" s="399">
        <f t="shared" ref="J902" si="2822">+D897/4/1000</f>
        <v>0.72250000000000003</v>
      </c>
      <c r="K902" s="400" t="s">
        <v>204</v>
      </c>
      <c r="L902" s="399">
        <f t="shared" ref="L902" si="2823">MAX(VLOOKUP(F902,N$6:P$15,3,FALSE)/1000,2/3*D899/1000)+F$16*F902/1000</f>
        <v>0.156</v>
      </c>
      <c r="M902" s="399" t="s">
        <v>176</v>
      </c>
      <c r="N902" s="399">
        <f t="shared" ref="N902:N904" si="2824">J902+L902</f>
        <v>0.87850000000000006</v>
      </c>
      <c r="O902" s="399" t="s">
        <v>204</v>
      </c>
      <c r="P902" s="389">
        <f t="shared" ref="P902" si="2825">D902-D903</f>
        <v>0</v>
      </c>
      <c r="Q902" s="399" t="s">
        <v>125</v>
      </c>
      <c r="R902" s="399">
        <f t="shared" ref="R902" si="2826">IF(P902&gt;0,$F$18*F902/1000,0)</f>
        <v>0</v>
      </c>
      <c r="S902" s="399" t="s">
        <v>205</v>
      </c>
      <c r="T902" s="399" t="s">
        <v>125</v>
      </c>
      <c r="U902" s="401">
        <f t="shared" ref="U902:U904" si="2827">0.006165*F902^2</f>
        <v>1.041885</v>
      </c>
      <c r="V902" s="399"/>
      <c r="W902" s="399"/>
      <c r="X902" s="399" t="s">
        <v>125</v>
      </c>
      <c r="Y902" s="389">
        <f t="shared" ref="Y902" si="2828">D901</f>
        <v>1</v>
      </c>
      <c r="Z902" s="400" t="s">
        <v>176</v>
      </c>
      <c r="AA902" s="402">
        <f t="shared" ref="AA902" si="2829">IF(AA905=0,(D902*N902+P902*R902)*U902*Y902,0)</f>
        <v>0</v>
      </c>
      <c r="AB902" s="403"/>
    </row>
    <row r="903" spans="1:28">
      <c r="A903" s="384" t="str">
        <f t="shared" ref="A903:B903" si="2830">A895</f>
        <v>Lantai 1</v>
      </c>
      <c r="B903" s="385">
        <f t="shared" si="2830"/>
        <v>29</v>
      </c>
      <c r="C903" s="393" t="s">
        <v>206</v>
      </c>
      <c r="D903" s="398">
        <f>VLOOKUP(D895,'Detail Balok'!$C$10:$AU$140,7,FALSE)</f>
        <v>3</v>
      </c>
      <c r="E903" s="388" t="s">
        <v>16</v>
      </c>
      <c r="F903" s="388">
        <f>VLOOKUP(D895,'Detail Balok'!$C$10:$AU$140,9,FALSE)</f>
        <v>13</v>
      </c>
      <c r="G903" s="388"/>
      <c r="H903" s="395"/>
      <c r="I903" s="388" t="s">
        <v>203</v>
      </c>
      <c r="J903" s="399">
        <f t="shared" ref="J903" si="2831">+D897/2/1000</f>
        <v>1.4450000000000001</v>
      </c>
      <c r="K903" s="400" t="s">
        <v>204</v>
      </c>
      <c r="L903" s="399"/>
      <c r="M903" s="399" t="s">
        <v>176</v>
      </c>
      <c r="N903" s="399">
        <f t="shared" si="2824"/>
        <v>1.4450000000000001</v>
      </c>
      <c r="O903" s="399" t="s">
        <v>204</v>
      </c>
      <c r="P903" s="389">
        <f t="shared" ref="P903" si="2832">MAX(D903-D902,D903-D904)</f>
        <v>0</v>
      </c>
      <c r="Q903" s="399" t="s">
        <v>125</v>
      </c>
      <c r="R903" s="399">
        <f t="shared" ref="R903" si="2833">IF(P903&gt;0,2*(1-2*$F$19-1/2)*D898/1000,0)</f>
        <v>0</v>
      </c>
      <c r="S903" s="399" t="s">
        <v>205</v>
      </c>
      <c r="T903" s="399" t="s">
        <v>125</v>
      </c>
      <c r="U903" s="401">
        <f t="shared" si="2827"/>
        <v>1.041885</v>
      </c>
      <c r="V903" s="399"/>
      <c r="W903" s="399"/>
      <c r="X903" s="399" t="s">
        <v>125</v>
      </c>
      <c r="Y903" s="389">
        <f t="shared" ref="Y903" si="2834">D901</f>
        <v>1</v>
      </c>
      <c r="Z903" s="400" t="s">
        <v>176</v>
      </c>
      <c r="AA903" s="402">
        <f t="shared" ref="AA903" si="2835">IF(AA905=0,(D903*N903+P903*R903)*U903*Y903,0)</f>
        <v>0</v>
      </c>
      <c r="AB903" s="403"/>
    </row>
    <row r="904" spans="1:28">
      <c r="A904" s="384" t="str">
        <f t="shared" ref="A904:B904" si="2836">A895</f>
        <v>Lantai 1</v>
      </c>
      <c r="B904" s="385">
        <f t="shared" si="2836"/>
        <v>29</v>
      </c>
      <c r="C904" s="393" t="s">
        <v>202</v>
      </c>
      <c r="D904" s="398">
        <f>VLOOKUP(D895,'Detail Balok'!$C$10:$AU$140,10,FALSE)</f>
        <v>3</v>
      </c>
      <c r="E904" s="388" t="s">
        <v>16</v>
      </c>
      <c r="F904" s="388">
        <f>VLOOKUP(D895,'Detail Balok'!$C$10:$AU$140,12,FALSE)</f>
        <v>13</v>
      </c>
      <c r="G904" s="388"/>
      <c r="H904" s="395"/>
      <c r="I904" s="388" t="s">
        <v>203</v>
      </c>
      <c r="J904" s="399">
        <f t="shared" ref="J904" si="2837">+D897/4/1000</f>
        <v>0.72250000000000003</v>
      </c>
      <c r="K904" s="400" t="s">
        <v>204</v>
      </c>
      <c r="L904" s="399">
        <f t="shared" ref="L904" si="2838">MAX(VLOOKUP(F904,N$6:P$15,3,FALSE)/1000,2/3*D899/1000)+F$16*F904/1000</f>
        <v>0.156</v>
      </c>
      <c r="M904" s="399" t="s">
        <v>176</v>
      </c>
      <c r="N904" s="399">
        <f t="shared" si="2824"/>
        <v>0.87850000000000006</v>
      </c>
      <c r="O904" s="399" t="s">
        <v>204</v>
      </c>
      <c r="P904" s="389">
        <f t="shared" ref="P904" si="2839">D904-D903</f>
        <v>0</v>
      </c>
      <c r="Q904" s="399" t="s">
        <v>125</v>
      </c>
      <c r="R904" s="399">
        <f t="shared" ref="R904" si="2840">IF(P904&gt;0,$F$18*F904/1000,0)</f>
        <v>0</v>
      </c>
      <c r="S904" s="399" t="s">
        <v>205</v>
      </c>
      <c r="T904" s="399" t="s">
        <v>125</v>
      </c>
      <c r="U904" s="401">
        <f t="shared" si="2827"/>
        <v>1.041885</v>
      </c>
      <c r="V904" s="399"/>
      <c r="W904" s="399"/>
      <c r="X904" s="399" t="s">
        <v>125</v>
      </c>
      <c r="Y904" s="389">
        <f t="shared" ref="Y904" si="2841">D901</f>
        <v>1</v>
      </c>
      <c r="Z904" s="400" t="s">
        <v>176</v>
      </c>
      <c r="AA904" s="402">
        <f t="shared" ref="AA904" si="2842">IF(AA905=0,(D904*N904+P904*R904)*U904*Y904,0)</f>
        <v>0</v>
      </c>
      <c r="AB904" s="403"/>
    </row>
    <row r="905" spans="1:28">
      <c r="A905" s="384" t="str">
        <f t="shared" ref="A905:B905" si="2843">A895</f>
        <v>Lantai 1</v>
      </c>
      <c r="B905" s="385">
        <f t="shared" si="2843"/>
        <v>29</v>
      </c>
      <c r="C905" s="393"/>
      <c r="D905" s="398">
        <f t="shared" si="2739"/>
        <v>3</v>
      </c>
      <c r="E905" s="388" t="s">
        <v>16</v>
      </c>
      <c r="F905" s="388">
        <f t="shared" si="2740"/>
        <v>13</v>
      </c>
      <c r="G905" s="388"/>
      <c r="H905" s="395"/>
      <c r="I905" s="388"/>
      <c r="J905" s="396"/>
      <c r="K905" s="396"/>
      <c r="L905" s="404" t="s">
        <v>207</v>
      </c>
      <c r="M905" s="399" t="s">
        <v>176</v>
      </c>
      <c r="N905" s="399">
        <f t="shared" ref="N905" si="2844">IF(AND(D902=D903,D902=D904,D903=D904,F902=F903,F902=F904,F903=F904),SUM(N902:N904),0)</f>
        <v>3.202</v>
      </c>
      <c r="O905" s="399" t="s">
        <v>204</v>
      </c>
      <c r="P905" s="389">
        <f t="shared" ref="P905" si="2845">IF(N905&gt;12,ROUNDDOWN(N905/12,0),0)</f>
        <v>0</v>
      </c>
      <c r="Q905" s="399" t="s">
        <v>125</v>
      </c>
      <c r="R905" s="399">
        <f t="shared" ref="R905" si="2846">IF(P905&gt;0,MAX(VLOOKUP(F905,$D$6:$G$15,3,FALSE),600),0)/1000</f>
        <v>0</v>
      </c>
      <c r="S905" s="396"/>
      <c r="T905" s="396" t="s">
        <v>125</v>
      </c>
      <c r="U905" s="401">
        <f t="shared" si="2744"/>
        <v>1.041885</v>
      </c>
      <c r="V905" s="396" t="s">
        <v>125</v>
      </c>
      <c r="W905" s="399">
        <f t="shared" ref="W905" si="2847">D905</f>
        <v>3</v>
      </c>
      <c r="X905" s="399" t="s">
        <v>125</v>
      </c>
      <c r="Y905" s="389">
        <f t="shared" si="2746"/>
        <v>1</v>
      </c>
      <c r="Z905" s="400" t="s">
        <v>176</v>
      </c>
      <c r="AA905" s="402">
        <f t="shared" ref="AA905" si="2848">(N905+P905*R905/1000)*U905*W905*Y905</f>
        <v>10.00834731</v>
      </c>
      <c r="AB905" s="390"/>
    </row>
    <row r="906" spans="1:28">
      <c r="A906" s="384"/>
      <c r="B906" s="385"/>
      <c r="C906" s="393"/>
      <c r="D906" s="398"/>
      <c r="E906" s="388"/>
      <c r="F906" s="388"/>
      <c r="G906" s="388"/>
      <c r="H906" s="395"/>
      <c r="I906" s="388"/>
      <c r="J906" s="396"/>
      <c r="K906" s="396"/>
      <c r="L906" s="404"/>
      <c r="M906" s="399"/>
      <c r="N906" s="399"/>
      <c r="O906" s="396"/>
      <c r="P906" s="389"/>
      <c r="Q906" s="396"/>
      <c r="R906" s="396"/>
      <c r="S906" s="396"/>
      <c r="T906" s="396"/>
      <c r="U906" s="401"/>
      <c r="V906" s="396"/>
      <c r="W906" s="399"/>
      <c r="X906" s="396"/>
      <c r="Y906" s="389"/>
      <c r="Z906" s="396"/>
      <c r="AA906" s="388"/>
      <c r="AB906" s="390"/>
    </row>
    <row r="907" spans="1:28">
      <c r="A907" s="384" t="str">
        <f t="shared" ref="A907:B907" si="2849">A895</f>
        <v>Lantai 1</v>
      </c>
      <c r="B907" s="385">
        <f t="shared" si="2849"/>
        <v>29</v>
      </c>
      <c r="C907" s="393" t="s">
        <v>208</v>
      </c>
      <c r="D907" s="398">
        <f>VLOOKUP(D895,'Detail Balok'!$C$10:$AU$140,13,FALSE)</f>
        <v>0</v>
      </c>
      <c r="E907" s="388" t="s">
        <v>16</v>
      </c>
      <c r="F907" s="388">
        <f>VLOOKUP(D895,'Detail Balok'!$C$10:$AU$140,15,FALSE)</f>
        <v>8</v>
      </c>
      <c r="G907" s="388"/>
      <c r="H907" s="395"/>
      <c r="I907" s="388"/>
      <c r="J907" s="399">
        <f t="shared" ref="J907" si="2850">+D897/1000</f>
        <v>2.89</v>
      </c>
      <c r="K907" s="400" t="s">
        <v>204</v>
      </c>
      <c r="L907" s="399">
        <f t="shared" ref="L907" si="2851">2*$F$16*F907/1000</f>
        <v>0.192</v>
      </c>
      <c r="M907" s="399" t="s">
        <v>176</v>
      </c>
      <c r="N907" s="399">
        <f t="shared" ref="N907" si="2852">J907+L907</f>
        <v>3.0820000000000003</v>
      </c>
      <c r="O907" s="399" t="s">
        <v>204</v>
      </c>
      <c r="P907" s="389">
        <f t="shared" ref="P907" si="2853">IF(N907&gt;12,ROUNDDOWN(N907/12,0),0)</f>
        <v>0</v>
      </c>
      <c r="Q907" s="399" t="s">
        <v>125</v>
      </c>
      <c r="R907" s="399">
        <f t="shared" ref="R907" si="2854">IF(P907&gt;0,MAX(VLOOKUP(F907,$D$6:$G$15,3,FALSE),600),0)/1000</f>
        <v>0</v>
      </c>
      <c r="S907" s="399"/>
      <c r="T907" s="399" t="s">
        <v>125</v>
      </c>
      <c r="U907" s="401">
        <f t="shared" ref="U907" si="2855">0.006165*F907^2</f>
        <v>0.39456000000000002</v>
      </c>
      <c r="V907" s="399" t="s">
        <v>125</v>
      </c>
      <c r="W907" s="399">
        <f t="shared" ref="W907" si="2856">+D907</f>
        <v>0</v>
      </c>
      <c r="X907" s="399" t="s">
        <v>125</v>
      </c>
      <c r="Y907" s="389">
        <f t="shared" ref="Y907" si="2857">D901</f>
        <v>1</v>
      </c>
      <c r="Z907" s="400" t="s">
        <v>176</v>
      </c>
      <c r="AA907" s="402">
        <f t="shared" ref="AA907" si="2858">(N907+P907*R907/1000)*U907*W907*Y907</f>
        <v>0</v>
      </c>
      <c r="AB907" s="403"/>
    </row>
    <row r="908" spans="1:28">
      <c r="A908" s="384"/>
      <c r="B908" s="385"/>
      <c r="C908" s="393"/>
      <c r="D908" s="398"/>
      <c r="E908" s="388"/>
      <c r="F908" s="388"/>
      <c r="G908" s="388"/>
      <c r="H908" s="395"/>
      <c r="I908" s="388"/>
      <c r="J908" s="399"/>
      <c r="K908" s="400"/>
      <c r="L908" s="399"/>
      <c r="M908" s="399"/>
      <c r="N908" s="399"/>
      <c r="O908" s="399"/>
      <c r="P908" s="389"/>
      <c r="Q908" s="399"/>
      <c r="R908" s="399"/>
      <c r="S908" s="399"/>
      <c r="T908" s="399"/>
      <c r="U908" s="401"/>
      <c r="V908" s="399"/>
      <c r="W908" s="399"/>
      <c r="X908" s="399"/>
      <c r="Y908" s="389"/>
      <c r="Z908" s="400"/>
      <c r="AA908" s="402"/>
      <c r="AB908" s="403"/>
    </row>
    <row r="909" spans="1:28">
      <c r="A909" s="384"/>
      <c r="B909" s="385"/>
      <c r="C909" s="393"/>
      <c r="D909" s="398"/>
      <c r="E909" s="388"/>
      <c r="F909" s="388"/>
      <c r="G909" s="388"/>
      <c r="H909" s="395"/>
      <c r="I909" s="388"/>
      <c r="J909" s="396"/>
      <c r="K909" s="396"/>
      <c r="L909" s="396"/>
      <c r="M909" s="396"/>
      <c r="N909" s="396"/>
      <c r="O909" s="396"/>
      <c r="P909" s="389"/>
      <c r="Q909" s="396"/>
      <c r="R909" s="396"/>
      <c r="S909" s="396"/>
      <c r="T909" s="396"/>
      <c r="U909" s="401"/>
      <c r="V909" s="396"/>
      <c r="W909" s="399"/>
      <c r="X909" s="396"/>
      <c r="Y909" s="389"/>
      <c r="Z909" s="396"/>
      <c r="AA909" s="388"/>
      <c r="AB909" s="390"/>
    </row>
    <row r="910" spans="1:28">
      <c r="A910" s="384" t="str">
        <f t="shared" ref="A910:B910" si="2859">A895</f>
        <v>Lantai 1</v>
      </c>
      <c r="B910" s="385">
        <f t="shared" si="2859"/>
        <v>29</v>
      </c>
      <c r="C910" s="393" t="s">
        <v>209</v>
      </c>
      <c r="D910" s="398">
        <f>VLOOKUP(D895,'Detail Balok'!$C$10:$AU$140,22,FALSE)</f>
        <v>3</v>
      </c>
      <c r="E910" s="388" t="s">
        <v>16</v>
      </c>
      <c r="F910" s="388">
        <f>VLOOKUP(D895,'Detail Balok'!$C$10:$AU$140,24,FALSE)</f>
        <v>13</v>
      </c>
      <c r="G910" s="388"/>
      <c r="H910" s="395"/>
      <c r="I910" s="388" t="s">
        <v>203</v>
      </c>
      <c r="J910" s="399">
        <f t="shared" si="2759"/>
        <v>0.72250000000000003</v>
      </c>
      <c r="K910" s="400" t="s">
        <v>204</v>
      </c>
      <c r="L910" s="399">
        <f t="shared" ref="L910" si="2860">MAX(VLOOKUP(F910,N$6:P$15,3,FALSE)/1000,2/3*D900/1000)+F$16*F910/1000</f>
        <v>0.156</v>
      </c>
      <c r="M910" s="399" t="s">
        <v>176</v>
      </c>
      <c r="N910" s="399">
        <f t="shared" ref="N910:N912" si="2861">J910+L910</f>
        <v>0.87850000000000006</v>
      </c>
      <c r="O910" s="399" t="s">
        <v>204</v>
      </c>
      <c r="P910" s="389">
        <f t="shared" ref="P910" si="2862">D910-D911</f>
        <v>0</v>
      </c>
      <c r="Q910" s="399" t="s">
        <v>125</v>
      </c>
      <c r="R910" s="399">
        <f t="shared" ref="R910" si="2863">IF(P910&gt;0,$F$18*F910/1000,0)</f>
        <v>0</v>
      </c>
      <c r="S910" s="399" t="s">
        <v>205</v>
      </c>
      <c r="T910" s="399" t="s">
        <v>125</v>
      </c>
      <c r="U910" s="401">
        <f t="shared" ref="U910:U912" si="2864">0.006165*F910^2</f>
        <v>1.041885</v>
      </c>
      <c r="V910" s="399"/>
      <c r="W910" s="399"/>
      <c r="X910" s="399" t="s">
        <v>125</v>
      </c>
      <c r="Y910" s="389">
        <f t="shared" ref="Y910" si="2865">D901</f>
        <v>1</v>
      </c>
      <c r="Z910" s="400" t="s">
        <v>176</v>
      </c>
      <c r="AA910" s="402">
        <f t="shared" ref="AA910" si="2866">IF(AA913=0,(D910*N910+P910*R910)*U910*Y910,0)</f>
        <v>0</v>
      </c>
      <c r="AB910" s="403"/>
    </row>
    <row r="911" spans="1:28">
      <c r="A911" s="384" t="str">
        <f t="shared" ref="A911:B911" si="2867">A895</f>
        <v>Lantai 1</v>
      </c>
      <c r="B911" s="385">
        <f t="shared" si="2867"/>
        <v>29</v>
      </c>
      <c r="C911" s="393" t="s">
        <v>210</v>
      </c>
      <c r="D911" s="398">
        <f>VLOOKUP(D895,'Detail Balok'!$C$10:$AU$140,25,FALSE)</f>
        <v>3</v>
      </c>
      <c r="E911" s="388" t="s">
        <v>16</v>
      </c>
      <c r="F911" s="388">
        <f>VLOOKUP(D895,'Detail Balok'!$C$10:$AU$140,27,FALSE)</f>
        <v>13</v>
      </c>
      <c r="G911" s="388"/>
      <c r="H911" s="395"/>
      <c r="I911" s="388" t="s">
        <v>203</v>
      </c>
      <c r="J911" s="399">
        <f t="shared" si="2759"/>
        <v>1.4450000000000001</v>
      </c>
      <c r="K911" s="400" t="s">
        <v>204</v>
      </c>
      <c r="L911" s="399"/>
      <c r="M911" s="399" t="s">
        <v>176</v>
      </c>
      <c r="N911" s="399">
        <f t="shared" si="2861"/>
        <v>1.4450000000000001</v>
      </c>
      <c r="O911" s="399" t="s">
        <v>204</v>
      </c>
      <c r="P911" s="389">
        <f t="shared" ref="P911" si="2868">MAX(D911-D910,D911-D912)</f>
        <v>0</v>
      </c>
      <c r="Q911" s="399" t="s">
        <v>125</v>
      </c>
      <c r="R911" s="399">
        <f t="shared" ref="R911" si="2869">IF(P911&gt;0,2*(1-2*$F$19-1/2)*D898/1000,0)</f>
        <v>0</v>
      </c>
      <c r="S911" s="399" t="s">
        <v>205</v>
      </c>
      <c r="T911" s="399" t="s">
        <v>125</v>
      </c>
      <c r="U911" s="401">
        <f t="shared" si="2864"/>
        <v>1.041885</v>
      </c>
      <c r="V911" s="399"/>
      <c r="W911" s="399"/>
      <c r="X911" s="399" t="s">
        <v>125</v>
      </c>
      <c r="Y911" s="389">
        <f t="shared" ref="Y911" si="2870">D901</f>
        <v>1</v>
      </c>
      <c r="Z911" s="400" t="s">
        <v>176</v>
      </c>
      <c r="AA911" s="402">
        <f t="shared" ref="AA911" si="2871">IF(AA913=0,(D911*N911+P911*R911)*U911*Y911,0)</f>
        <v>0</v>
      </c>
      <c r="AB911" s="403"/>
    </row>
    <row r="912" spans="1:28">
      <c r="A912" s="384" t="str">
        <f t="shared" ref="A912:B912" si="2872">A895</f>
        <v>Lantai 1</v>
      </c>
      <c r="B912" s="385">
        <f t="shared" si="2872"/>
        <v>29</v>
      </c>
      <c r="C912" s="393" t="s">
        <v>209</v>
      </c>
      <c r="D912" s="398">
        <f>VLOOKUP(D895,'Detail Balok'!$C$10:$AU$140,28,FALSE)</f>
        <v>3</v>
      </c>
      <c r="E912" s="388" t="s">
        <v>16</v>
      </c>
      <c r="F912" s="388">
        <f>VLOOKUP(D895,'Detail Balok'!$C$10:$AU$140,30,FALSE)</f>
        <v>13</v>
      </c>
      <c r="G912" s="388"/>
      <c r="H912" s="395"/>
      <c r="I912" s="388" t="s">
        <v>203</v>
      </c>
      <c r="J912" s="399">
        <f t="shared" si="2759"/>
        <v>0.72250000000000003</v>
      </c>
      <c r="K912" s="400" t="s">
        <v>204</v>
      </c>
      <c r="L912" s="399">
        <f t="shared" ref="L912" si="2873">MAX(VLOOKUP(F912,N$6:P$15,3,FALSE)/1000,2/3*D900/1000)+F$16*F912/1000</f>
        <v>0.156</v>
      </c>
      <c r="M912" s="399" t="s">
        <v>176</v>
      </c>
      <c r="N912" s="399">
        <f t="shared" si="2861"/>
        <v>0.87850000000000006</v>
      </c>
      <c r="O912" s="399" t="s">
        <v>204</v>
      </c>
      <c r="P912" s="389">
        <f t="shared" ref="P912" si="2874">D912-D911</f>
        <v>0</v>
      </c>
      <c r="Q912" s="399" t="s">
        <v>125</v>
      </c>
      <c r="R912" s="399">
        <f t="shared" ref="R912" si="2875">IF(P912&gt;0,$F$18*F912/1000,0)</f>
        <v>0</v>
      </c>
      <c r="S912" s="399" t="s">
        <v>205</v>
      </c>
      <c r="T912" s="399" t="s">
        <v>125</v>
      </c>
      <c r="U912" s="401">
        <f t="shared" si="2864"/>
        <v>1.041885</v>
      </c>
      <c r="V912" s="399"/>
      <c r="W912" s="399"/>
      <c r="X912" s="399" t="s">
        <v>125</v>
      </c>
      <c r="Y912" s="389">
        <f t="shared" ref="Y912" si="2876">D901</f>
        <v>1</v>
      </c>
      <c r="Z912" s="400" t="s">
        <v>176</v>
      </c>
      <c r="AA912" s="402">
        <f t="shared" ref="AA912" si="2877">IF(AA913=0,(D912*N912+P912*R912)*U912*Y912,0)</f>
        <v>0</v>
      </c>
      <c r="AB912" s="403"/>
    </row>
    <row r="913" spans="1:28">
      <c r="A913" s="384" t="str">
        <f t="shared" ref="A913:B913" si="2878">A895</f>
        <v>Lantai 1</v>
      </c>
      <c r="B913" s="385">
        <f t="shared" si="2878"/>
        <v>29</v>
      </c>
      <c r="C913" s="393"/>
      <c r="D913" s="398">
        <f t="shared" si="2779"/>
        <v>3</v>
      </c>
      <c r="E913" s="388" t="s">
        <v>16</v>
      </c>
      <c r="F913" s="388">
        <f t="shared" si="2780"/>
        <v>13</v>
      </c>
      <c r="G913" s="388"/>
      <c r="H913" s="395"/>
      <c r="I913" s="388"/>
      <c r="J913" s="396"/>
      <c r="K913" s="396"/>
      <c r="L913" s="404" t="s">
        <v>207</v>
      </c>
      <c r="M913" s="399" t="s">
        <v>176</v>
      </c>
      <c r="N913" s="399">
        <f t="shared" ref="N913" si="2879">IF(AND(D910=D911,D910=D912,D911=D912,F910=F911,F910=F912,F911=F912),SUM(N910:N912),0)</f>
        <v>3.202</v>
      </c>
      <c r="O913" s="399" t="s">
        <v>204</v>
      </c>
      <c r="P913" s="389">
        <f t="shared" ref="P913" si="2880">IF(N913&gt;12,ROUNDDOWN(N913/12,0),0)</f>
        <v>0</v>
      </c>
      <c r="Q913" s="399" t="s">
        <v>125</v>
      </c>
      <c r="R913" s="399">
        <f t="shared" ref="R913" si="2881">IF(P913&gt;0,MAX(VLOOKUP(F913,$D$6:$G$15,3,FALSE),600),0)/1000</f>
        <v>0</v>
      </c>
      <c r="S913" s="396"/>
      <c r="T913" s="396" t="s">
        <v>125</v>
      </c>
      <c r="U913" s="401">
        <f t="shared" si="2784"/>
        <v>1.041885</v>
      </c>
      <c r="V913" s="396" t="s">
        <v>125</v>
      </c>
      <c r="W913" s="399">
        <f t="shared" ref="W913" si="2882">D913</f>
        <v>3</v>
      </c>
      <c r="X913" s="399" t="s">
        <v>125</v>
      </c>
      <c r="Y913" s="389">
        <f t="shared" si="2786"/>
        <v>1</v>
      </c>
      <c r="Z913" s="400" t="s">
        <v>176</v>
      </c>
      <c r="AA913" s="402">
        <f t="shared" ref="AA913" si="2883">(N913+P913*R913/1000)*U913*W913*Y913</f>
        <v>10.00834731</v>
      </c>
      <c r="AB913" s="403"/>
    </row>
    <row r="914" spans="1:28">
      <c r="A914" s="384"/>
      <c r="B914" s="385"/>
      <c r="C914" s="393"/>
      <c r="D914" s="394"/>
      <c r="E914" s="388"/>
      <c r="F914" s="388"/>
      <c r="G914" s="388"/>
      <c r="H914" s="395"/>
      <c r="I914" s="388"/>
      <c r="J914" s="399"/>
      <c r="K914" s="396"/>
      <c r="L914" s="396"/>
      <c r="M914" s="396"/>
      <c r="N914" s="396"/>
      <c r="O914" s="396"/>
      <c r="P914" s="389"/>
      <c r="Q914" s="396"/>
      <c r="R914" s="396"/>
      <c r="S914" s="396"/>
      <c r="T914" s="396"/>
      <c r="U914" s="401"/>
      <c r="V914" s="396"/>
      <c r="W914" s="388"/>
      <c r="X914" s="396"/>
      <c r="Y914" s="389"/>
      <c r="Z914" s="396"/>
      <c r="AA914" s="388"/>
      <c r="AB914" s="390"/>
    </row>
    <row r="915" spans="1:28">
      <c r="A915" s="384" t="str">
        <f t="shared" ref="A915:B915" si="2884">A895</f>
        <v>Lantai 1</v>
      </c>
      <c r="B915" s="385">
        <f t="shared" si="2884"/>
        <v>29</v>
      </c>
      <c r="C915" s="393" t="s">
        <v>211</v>
      </c>
      <c r="D915" s="398">
        <f>VLOOKUP(D895,'Detail Balok'!$C$10:$AU$140,31,FALSE)</f>
        <v>0</v>
      </c>
      <c r="E915" s="388" t="s">
        <v>16</v>
      </c>
      <c r="F915" s="388">
        <f>VLOOKUP(D895,'Detail Balok'!$C$10:$AU$140,33,FALSE)</f>
        <v>8</v>
      </c>
      <c r="G915" s="405" t="s">
        <v>157</v>
      </c>
      <c r="H915" s="395">
        <f>VLOOKUP(D895,'Detail Balok'!$C$10:$AU$140,35,FALSE)</f>
        <v>150</v>
      </c>
      <c r="I915" s="388"/>
      <c r="J915" s="400">
        <f t="shared" ref="J915" si="2885">(IF(D915=0,(2*(D896+G896))-(F$5*8),IF(D915=3,(2*(D896+G896))-(F$5*8)+(G896-2*F$5),IF(D915=4,(2*(D896+G896))-(F$5*8)+2*(G896-2*F$5)))))/1000</f>
        <v>0.88</v>
      </c>
      <c r="K915" s="400" t="s">
        <v>204</v>
      </c>
      <c r="L915" s="399">
        <f t="shared" ref="L915:L917" si="2886">IF(D915=0,2*MAX(6*F915,75),(D915-1)*2*MAX(6*F915,75))/1000</f>
        <v>0.15</v>
      </c>
      <c r="M915" s="399" t="s">
        <v>176</v>
      </c>
      <c r="N915" s="399">
        <f t="shared" ref="N915:N917" si="2887">J915+L915</f>
        <v>1.03</v>
      </c>
      <c r="O915" s="399"/>
      <c r="P915" s="389"/>
      <c r="Q915" s="399"/>
      <c r="R915" s="399"/>
      <c r="S915" s="399"/>
      <c r="T915" s="399" t="s">
        <v>125</v>
      </c>
      <c r="U915" s="401">
        <f t="shared" ref="U915:U917" si="2888">0.006165*F915^2</f>
        <v>0.39456000000000002</v>
      </c>
      <c r="V915" s="399" t="s">
        <v>125</v>
      </c>
      <c r="W915" s="399">
        <f t="shared" ref="W915" si="2889">IF(D898&gt;4*G896,ROUND(MAX(D898/4,2*G896)/H915,0)+1,ROUND(D898/H915,0)+1)</f>
        <v>6</v>
      </c>
      <c r="X915" s="399" t="s">
        <v>125</v>
      </c>
      <c r="Y915" s="389">
        <f t="shared" ref="Y915" si="2890">D901</f>
        <v>1</v>
      </c>
      <c r="Z915" s="400" t="s">
        <v>176</v>
      </c>
      <c r="AA915" s="402">
        <f t="shared" ref="AA915:AA917" si="2891">N915*U915*W915*Y915</f>
        <v>2.4383808000000005</v>
      </c>
      <c r="AB915" s="403"/>
    </row>
    <row r="916" spans="1:28">
      <c r="A916" s="384" t="str">
        <f t="shared" ref="A916:B916" si="2892">A895</f>
        <v>Lantai 1</v>
      </c>
      <c r="B916" s="385">
        <f t="shared" si="2892"/>
        <v>29</v>
      </c>
      <c r="C916" s="393" t="s">
        <v>212</v>
      </c>
      <c r="D916" s="398">
        <f>VLOOKUP(D895,'Detail Balok'!$C$10:$AU$140,36,FALSE)</f>
        <v>0</v>
      </c>
      <c r="E916" s="388" t="s">
        <v>16</v>
      </c>
      <c r="F916" s="388">
        <f>VLOOKUP(D895,'Detail Balok'!$C$10:$AU$140,38,FALSE)</f>
        <v>8</v>
      </c>
      <c r="G916" s="405" t="s">
        <v>157</v>
      </c>
      <c r="H916" s="395">
        <f>VLOOKUP(D895,'Detail Balok'!$C$10:$AU$140,40,FALSE)</f>
        <v>200</v>
      </c>
      <c r="I916" s="388"/>
      <c r="J916" s="400">
        <f t="shared" ref="J916" si="2893">(IF(D916=0,(2*(D896+G896))-(F$5*8),IF(D916=3,(2*(D896+G896))-(F$5*8)+(G896-2*F$5),IF(D916=4,(2*(D896+G896))-(F$5*8)+2*(G896-2*F$5)))))/1000</f>
        <v>0.88</v>
      </c>
      <c r="K916" s="400" t="s">
        <v>204</v>
      </c>
      <c r="L916" s="399">
        <f t="shared" si="2886"/>
        <v>0.15</v>
      </c>
      <c r="M916" s="399" t="s">
        <v>176</v>
      </c>
      <c r="N916" s="399">
        <f t="shared" si="2887"/>
        <v>1.03</v>
      </c>
      <c r="O916" s="399"/>
      <c r="P916" s="389"/>
      <c r="Q916" s="399"/>
      <c r="R916" s="399"/>
      <c r="S916" s="399"/>
      <c r="T916" s="399" t="s">
        <v>125</v>
      </c>
      <c r="U916" s="401">
        <f t="shared" si="2888"/>
        <v>0.39456000000000002</v>
      </c>
      <c r="V916" s="399" t="s">
        <v>125</v>
      </c>
      <c r="W916" s="399">
        <f t="shared" ref="W916" si="2894">IF(D898-MAX(D898/4,2*G896)*2&gt;0,ROUND((D898-MAX(D898/4,2*G896)*2)/H916,0),0)</f>
        <v>6</v>
      </c>
      <c r="X916" s="399" t="s">
        <v>125</v>
      </c>
      <c r="Y916" s="389">
        <f t="shared" ref="Y916" si="2895">D901</f>
        <v>1</v>
      </c>
      <c r="Z916" s="400" t="s">
        <v>176</v>
      </c>
      <c r="AA916" s="402">
        <f t="shared" si="2891"/>
        <v>2.4383808000000005</v>
      </c>
      <c r="AB916" s="403"/>
    </row>
    <row r="917" spans="1:28">
      <c r="A917" s="384" t="str">
        <f t="shared" ref="A917:B917" si="2896">A895</f>
        <v>Lantai 1</v>
      </c>
      <c r="B917" s="385">
        <f t="shared" si="2896"/>
        <v>29</v>
      </c>
      <c r="C917" s="393" t="s">
        <v>211</v>
      </c>
      <c r="D917" s="398">
        <f>VLOOKUP(D895,'Detail Balok'!$C$10:$AU$140,41,FALSE)</f>
        <v>0</v>
      </c>
      <c r="E917" s="388" t="s">
        <v>16</v>
      </c>
      <c r="F917" s="388">
        <f>VLOOKUP(D895,'Detail Balok'!$C$10:$AU$140,43,FALSE)</f>
        <v>8</v>
      </c>
      <c r="G917" s="405" t="s">
        <v>157</v>
      </c>
      <c r="H917" s="395">
        <f>VLOOKUP(D895,'Detail Balok'!$C$10:$AU$140,45,FALSE)</f>
        <v>150</v>
      </c>
      <c r="I917" s="388"/>
      <c r="J917" s="400">
        <f t="shared" ref="J917" si="2897">(IF(D917=0,(2*(D896+G896))-(F$5*8),IF(D917=3,(2*(D896+G896))-(F$5*8)+(G896-2*F$5),IF(D917=4,(2*(D896+G896))-(F$5*8)+2*(G896-2*F$5)))))/1000</f>
        <v>0.88</v>
      </c>
      <c r="K917" s="400" t="s">
        <v>204</v>
      </c>
      <c r="L917" s="399">
        <f t="shared" si="2886"/>
        <v>0.15</v>
      </c>
      <c r="M917" s="399" t="s">
        <v>176</v>
      </c>
      <c r="N917" s="399">
        <f t="shared" si="2887"/>
        <v>1.03</v>
      </c>
      <c r="O917" s="399"/>
      <c r="P917" s="389"/>
      <c r="Q917" s="399"/>
      <c r="R917" s="399"/>
      <c r="S917" s="399"/>
      <c r="T917" s="399" t="s">
        <v>125</v>
      </c>
      <c r="U917" s="401">
        <f t="shared" si="2888"/>
        <v>0.39456000000000002</v>
      </c>
      <c r="V917" s="399" t="s">
        <v>125</v>
      </c>
      <c r="W917" s="399">
        <f t="shared" ref="W917" si="2898">IF(D898&gt;4*G896,ROUND(MAX(D898/4,2*G896)/H917,0)+1,0)</f>
        <v>6</v>
      </c>
      <c r="X917" s="399" t="s">
        <v>125</v>
      </c>
      <c r="Y917" s="389">
        <f t="shared" ref="Y917" si="2899">D901</f>
        <v>1</v>
      </c>
      <c r="Z917" s="400" t="s">
        <v>176</v>
      </c>
      <c r="AA917" s="402">
        <f t="shared" si="2891"/>
        <v>2.4383808000000005</v>
      </c>
      <c r="AB917" s="403"/>
    </row>
    <row r="918" spans="1:28">
      <c r="A918" s="384"/>
      <c r="B918" s="385"/>
      <c r="C918" s="393"/>
      <c r="D918" s="394"/>
      <c r="E918" s="388"/>
      <c r="F918" s="388"/>
      <c r="G918" s="388"/>
      <c r="H918" s="395"/>
      <c r="I918" s="388"/>
      <c r="J918" s="399"/>
      <c r="K918" s="396"/>
      <c r="L918" s="396"/>
      <c r="M918" s="396"/>
      <c r="N918" s="396"/>
      <c r="O918" s="396"/>
      <c r="P918" s="389"/>
      <c r="Q918" s="396"/>
      <c r="R918" s="396"/>
      <c r="S918" s="396"/>
      <c r="T918" s="396"/>
      <c r="U918" s="401"/>
      <c r="V918" s="396"/>
      <c r="W918" s="388"/>
      <c r="X918" s="396"/>
      <c r="Y918" s="389"/>
      <c r="Z918" s="396"/>
      <c r="AA918" s="388"/>
      <c r="AB918" s="390"/>
    </row>
    <row r="919" spans="1:28">
      <c r="A919" s="384" t="str">
        <f t="shared" ref="A919:B919" si="2900">A895</f>
        <v>Lantai 1</v>
      </c>
      <c r="B919" s="385">
        <f t="shared" si="2900"/>
        <v>29</v>
      </c>
      <c r="C919" s="393" t="s">
        <v>213</v>
      </c>
      <c r="D919" s="398">
        <f>VLOOKUP(D895,'Detail Balok'!$C$10:$BJ$140,46,FALSE)</f>
        <v>0</v>
      </c>
      <c r="E919" s="388" t="s">
        <v>16</v>
      </c>
      <c r="F919" s="388">
        <f>VLOOKUP(D895,'Detail Balok'!$C$10:$BJ$140,48,FALSE)</f>
        <v>0</v>
      </c>
      <c r="G919" s="405" t="s">
        <v>157</v>
      </c>
      <c r="H919" s="395">
        <f>VLOOKUP(D895,'Detail Balok'!$C$10:$BJ$140,50,FALSE)</f>
        <v>100</v>
      </c>
      <c r="I919" s="388"/>
      <c r="J919" s="399">
        <f t="shared" ref="J919" si="2901">(D896-2*F$5)/1000</f>
        <v>0.12</v>
      </c>
      <c r="K919" s="400" t="s">
        <v>204</v>
      </c>
      <c r="L919" s="399">
        <f t="shared" ref="L919:L921" si="2902">IF(D919=0,2*MAX(6*F919,75),(D919-1)*2*MAX(6*F919,75))/1000</f>
        <v>0.15</v>
      </c>
      <c r="M919" s="399" t="s">
        <v>176</v>
      </c>
      <c r="N919" s="399">
        <f t="shared" ref="N919:N921" si="2903">J919+L919</f>
        <v>0.27</v>
      </c>
      <c r="O919" s="399"/>
      <c r="P919" s="399"/>
      <c r="Q919" s="399"/>
      <c r="R919" s="399"/>
      <c r="S919" s="399"/>
      <c r="T919" s="399" t="s">
        <v>125</v>
      </c>
      <c r="U919" s="401">
        <f t="shared" ref="U919:U921" si="2904">0.006165*F919^2</f>
        <v>0</v>
      </c>
      <c r="V919" s="399" t="s">
        <v>125</v>
      </c>
      <c r="W919" s="399">
        <f t="shared" si="2809"/>
        <v>6</v>
      </c>
      <c r="X919" s="399" t="s">
        <v>125</v>
      </c>
      <c r="Y919" s="389">
        <f t="shared" ref="Y919" si="2905">D905</f>
        <v>3</v>
      </c>
      <c r="Z919" s="400" t="s">
        <v>176</v>
      </c>
      <c r="AA919" s="402">
        <f t="shared" ref="AA919:AA921" si="2906">N919*U919*W919*Y919</f>
        <v>0</v>
      </c>
      <c r="AB919" s="403"/>
    </row>
    <row r="920" spans="1:28">
      <c r="A920" s="384" t="str">
        <f t="shared" ref="A920:B920" si="2907">A895</f>
        <v>Lantai 1</v>
      </c>
      <c r="B920" s="385">
        <f t="shared" si="2907"/>
        <v>29</v>
      </c>
      <c r="C920" s="393" t="s">
        <v>214</v>
      </c>
      <c r="D920" s="398">
        <f>VLOOKUP(D895,'Detail Balok'!$C$10:$BJ$140,51,FALSE)</f>
        <v>0</v>
      </c>
      <c r="E920" s="388" t="s">
        <v>16</v>
      </c>
      <c r="F920" s="388">
        <f>VLOOKUP(D895,'Detail Balok'!$C$10:$BJ$140,53,FALSE)</f>
        <v>0</v>
      </c>
      <c r="G920" s="405" t="s">
        <v>157</v>
      </c>
      <c r="H920" s="395">
        <f>VLOOKUP(D895,'Detail Balok'!$C$10:$BJ$140,55,FALSE)</f>
        <v>100</v>
      </c>
      <c r="I920" s="388"/>
      <c r="J920" s="399">
        <f t="shared" ref="J920" si="2908">(D896-2*F$5)/1000</f>
        <v>0.12</v>
      </c>
      <c r="K920" s="400" t="s">
        <v>204</v>
      </c>
      <c r="L920" s="399">
        <f t="shared" si="2902"/>
        <v>0.15</v>
      </c>
      <c r="M920" s="399" t="s">
        <v>176</v>
      </c>
      <c r="N920" s="399">
        <f t="shared" si="2903"/>
        <v>0.27</v>
      </c>
      <c r="O920" s="399"/>
      <c r="P920" s="399"/>
      <c r="Q920" s="399"/>
      <c r="R920" s="399"/>
      <c r="S920" s="399"/>
      <c r="T920" s="399" t="s">
        <v>125</v>
      </c>
      <c r="U920" s="401">
        <f t="shared" si="2904"/>
        <v>0</v>
      </c>
      <c r="V920" s="399" t="s">
        <v>125</v>
      </c>
      <c r="W920" s="399">
        <f t="shared" si="2809"/>
        <v>6</v>
      </c>
      <c r="X920" s="399" t="s">
        <v>125</v>
      </c>
      <c r="Y920" s="389">
        <f t="shared" ref="Y920" si="2909">D905</f>
        <v>3</v>
      </c>
      <c r="Z920" s="400" t="s">
        <v>176</v>
      </c>
      <c r="AA920" s="402">
        <f t="shared" si="2906"/>
        <v>0</v>
      </c>
      <c r="AB920" s="403"/>
    </row>
    <row r="921" spans="1:28">
      <c r="A921" s="384" t="str">
        <f t="shared" ref="A921:B921" si="2910">A895</f>
        <v>Lantai 1</v>
      </c>
      <c r="B921" s="385">
        <f t="shared" si="2910"/>
        <v>29</v>
      </c>
      <c r="C921" s="393" t="s">
        <v>213</v>
      </c>
      <c r="D921" s="398">
        <f>VLOOKUP(D895,'Detail Balok'!$C$10:$BJ$140,56,FALSE)</f>
        <v>0</v>
      </c>
      <c r="E921" s="388" t="s">
        <v>16</v>
      </c>
      <c r="F921" s="388">
        <f>VLOOKUP(D895,'Detail Balok'!$C$10:$BJ$140,58,FALSE)</f>
        <v>0</v>
      </c>
      <c r="G921" s="405" t="s">
        <v>157</v>
      </c>
      <c r="H921" s="395">
        <f>VLOOKUP(D895,'Detail Balok'!$C$10:$BJ$140,60,FALSE)</f>
        <v>100</v>
      </c>
      <c r="I921" s="388"/>
      <c r="J921" s="399">
        <f t="shared" ref="J921" si="2911">(D896-2*F$5)/1000</f>
        <v>0.12</v>
      </c>
      <c r="K921" s="400" t="s">
        <v>204</v>
      </c>
      <c r="L921" s="399">
        <f t="shared" si="2902"/>
        <v>0.15</v>
      </c>
      <c r="M921" s="399" t="s">
        <v>176</v>
      </c>
      <c r="N921" s="399">
        <f t="shared" si="2903"/>
        <v>0.27</v>
      </c>
      <c r="O921" s="399"/>
      <c r="P921" s="399"/>
      <c r="Q921" s="399"/>
      <c r="R921" s="399"/>
      <c r="S921" s="399"/>
      <c r="T921" s="399" t="s">
        <v>125</v>
      </c>
      <c r="U921" s="401">
        <f t="shared" si="2904"/>
        <v>0</v>
      </c>
      <c r="V921" s="399" t="s">
        <v>125</v>
      </c>
      <c r="W921" s="399">
        <f t="shared" si="2809"/>
        <v>6</v>
      </c>
      <c r="X921" s="399" t="s">
        <v>125</v>
      </c>
      <c r="Y921" s="389">
        <f t="shared" ref="Y921" si="2912">D905</f>
        <v>3</v>
      </c>
      <c r="Z921" s="400" t="s">
        <v>176</v>
      </c>
      <c r="AA921" s="402">
        <f t="shared" si="2906"/>
        <v>0</v>
      </c>
      <c r="AB921" s="403"/>
    </row>
    <row r="922" spans="1:28">
      <c r="A922" s="391"/>
      <c r="B922" s="392"/>
      <c r="C922" s="392"/>
      <c r="D922" s="394"/>
      <c r="E922" s="388"/>
      <c r="F922" s="388"/>
      <c r="G922" s="388"/>
      <c r="H922" s="395"/>
      <c r="I922" s="388"/>
      <c r="J922" s="402"/>
      <c r="K922" s="388"/>
      <c r="L922" s="388"/>
      <c r="M922" s="388"/>
      <c r="N922" s="388"/>
      <c r="O922" s="388"/>
      <c r="P922" s="388"/>
      <c r="Q922" s="388"/>
      <c r="R922" s="388"/>
      <c r="S922" s="388"/>
      <c r="T922" s="388"/>
      <c r="U922" s="388"/>
      <c r="V922" s="388"/>
      <c r="W922" s="388"/>
      <c r="X922" s="388"/>
      <c r="Y922" s="389"/>
      <c r="Z922" s="388"/>
      <c r="AA922" s="402"/>
      <c r="AB922" s="403"/>
    </row>
    <row r="923" spans="1:28" ht="15.75" thickBot="1">
      <c r="A923" s="406"/>
      <c r="B923" s="407"/>
      <c r="C923" s="407"/>
      <c r="D923" s="408"/>
      <c r="E923" s="409"/>
      <c r="F923" s="409"/>
      <c r="G923" s="409"/>
      <c r="H923" s="410"/>
      <c r="I923" s="409"/>
      <c r="J923" s="409"/>
      <c r="K923" s="409"/>
      <c r="L923" s="409"/>
      <c r="M923" s="409"/>
      <c r="N923" s="409"/>
      <c r="O923" s="409"/>
      <c r="P923" s="409"/>
      <c r="Q923" s="409"/>
      <c r="R923" s="409"/>
      <c r="S923" s="409"/>
      <c r="T923" s="409"/>
      <c r="U923" s="409"/>
      <c r="V923" s="409"/>
      <c r="W923" s="409"/>
      <c r="X923" s="409"/>
      <c r="Y923" s="411"/>
      <c r="Z923" s="409"/>
      <c r="AA923" s="412"/>
      <c r="AB923" s="413"/>
    </row>
    <row r="924" spans="1:28">
      <c r="A924" s="377"/>
      <c r="B924" s="378"/>
      <c r="C924" s="378"/>
      <c r="D924" s="379"/>
      <c r="E924" s="380"/>
      <c r="F924" s="380"/>
      <c r="G924" s="380"/>
      <c r="H924" s="381"/>
      <c r="I924" s="380"/>
      <c r="J924" s="380"/>
      <c r="K924" s="380"/>
      <c r="L924" s="380"/>
      <c r="M924" s="380"/>
      <c r="N924" s="380"/>
      <c r="O924" s="380"/>
      <c r="P924" s="380"/>
      <c r="Q924" s="380"/>
      <c r="R924" s="380"/>
      <c r="S924" s="380"/>
      <c r="T924" s="380"/>
      <c r="U924" s="380"/>
      <c r="V924" s="380"/>
      <c r="W924" s="380"/>
      <c r="X924" s="380"/>
      <c r="Y924" s="382"/>
      <c r="Z924" s="380"/>
      <c r="AA924" s="380"/>
      <c r="AB924" s="383"/>
    </row>
    <row r="925" spans="1:28">
      <c r="A925" s="384" t="str">
        <f t="shared" si="2818"/>
        <v>Lantai 1</v>
      </c>
      <c r="B925" s="385">
        <f t="shared" si="2819"/>
        <v>30</v>
      </c>
      <c r="C925" s="386" t="str">
        <f t="shared" ref="C925" si="2913">CONCATENATE(A925," no. ",B925)</f>
        <v>Lantai 1 no. 30</v>
      </c>
      <c r="D925" s="2562" t="str">
        <f>VLOOKUP(C925,'Data Panjang Balok'!$C$9:$N$254,2,FALSE)</f>
        <v>S24-1</v>
      </c>
      <c r="E925" s="2576"/>
      <c r="F925" s="2576"/>
      <c r="G925" s="2576"/>
      <c r="H925" s="2577"/>
      <c r="I925" s="387"/>
      <c r="J925" s="388"/>
      <c r="K925" s="388"/>
      <c r="L925" s="388"/>
      <c r="M925" s="388"/>
      <c r="N925" s="388"/>
      <c r="O925" s="388"/>
      <c r="P925" s="388"/>
      <c r="Q925" s="388"/>
      <c r="R925" s="388"/>
      <c r="S925" s="388"/>
      <c r="T925" s="388"/>
      <c r="U925" s="388"/>
      <c r="V925" s="388"/>
      <c r="W925" s="388"/>
      <c r="X925" s="388"/>
      <c r="Y925" s="389"/>
      <c r="Z925" s="388"/>
      <c r="AA925" s="388"/>
      <c r="AB925" s="390"/>
    </row>
    <row r="926" spans="1:28">
      <c r="A926" s="391"/>
      <c r="B926" s="392"/>
      <c r="C926" s="393" t="s">
        <v>118</v>
      </c>
      <c r="D926" s="2578">
        <f>VLOOKUP(D925,'Detail Balok'!$C$10:$AU$140,2,FALSE)</f>
        <v>200</v>
      </c>
      <c r="E926" s="2579"/>
      <c r="F926" s="388" t="s">
        <v>125</v>
      </c>
      <c r="G926" s="2579">
        <f>VLOOKUP(D925,'Detail Balok'!$C$10:$AU$140,3,FALSE)</f>
        <v>400</v>
      </c>
      <c r="H926" s="2580"/>
      <c r="I926" s="388"/>
      <c r="J926" s="396"/>
      <c r="K926" s="396"/>
      <c r="L926" s="396"/>
      <c r="M926" s="396"/>
      <c r="N926" s="396"/>
      <c r="O926" s="396"/>
      <c r="P926" s="396"/>
      <c r="Q926" s="396"/>
      <c r="R926" s="396"/>
      <c r="S926" s="396"/>
      <c r="T926" s="396"/>
      <c r="U926" s="388"/>
      <c r="V926" s="396"/>
      <c r="W926" s="388"/>
      <c r="X926" s="396"/>
      <c r="Y926" s="389"/>
      <c r="Z926" s="396"/>
      <c r="AA926" s="388"/>
      <c r="AB926" s="390"/>
    </row>
    <row r="927" spans="1:28">
      <c r="A927" s="391"/>
      <c r="B927" s="392"/>
      <c r="C927" s="393" t="s">
        <v>198</v>
      </c>
      <c r="D927" s="2562">
        <f>VLOOKUP(C925,'Data Panjang Balok'!$C$9:$N$254,4,FALSE)</f>
        <v>2120</v>
      </c>
      <c r="E927" s="2563"/>
      <c r="F927" s="2563"/>
      <c r="G927" s="2563"/>
      <c r="H927" s="2564"/>
      <c r="I927" s="397"/>
      <c r="J927" s="396"/>
      <c r="K927" s="396"/>
      <c r="L927" s="396"/>
      <c r="M927" s="396"/>
      <c r="N927" s="396"/>
      <c r="O927" s="396"/>
      <c r="P927" s="396"/>
      <c r="Q927" s="396"/>
      <c r="R927" s="396"/>
      <c r="S927" s="396"/>
      <c r="T927" s="396"/>
      <c r="U927" s="388"/>
      <c r="V927" s="396"/>
      <c r="W927" s="388"/>
      <c r="X927" s="396"/>
      <c r="Y927" s="389"/>
      <c r="Z927" s="396"/>
      <c r="AA927" s="388"/>
      <c r="AB927" s="390"/>
    </row>
    <row r="928" spans="1:28">
      <c r="A928" s="391"/>
      <c r="B928" s="392"/>
      <c r="C928" s="393" t="s">
        <v>199</v>
      </c>
      <c r="D928" s="2562">
        <f>VLOOKUP(C925,'Data Panjang Balok'!$C$9:$N$254,7,FALSE)</f>
        <v>2120</v>
      </c>
      <c r="E928" s="2563"/>
      <c r="F928" s="2563"/>
      <c r="G928" s="2563"/>
      <c r="H928" s="2564"/>
      <c r="I928" s="397"/>
      <c r="J928" s="396"/>
      <c r="K928" s="396"/>
      <c r="L928" s="396"/>
      <c r="M928" s="396"/>
      <c r="N928" s="396"/>
      <c r="O928" s="396"/>
      <c r="P928" s="396"/>
      <c r="Q928" s="396"/>
      <c r="R928" s="396"/>
      <c r="S928" s="396"/>
      <c r="T928" s="396"/>
      <c r="U928" s="388"/>
      <c r="V928" s="396"/>
      <c r="W928" s="388"/>
      <c r="X928" s="396"/>
      <c r="Y928" s="389"/>
      <c r="Z928" s="396"/>
      <c r="AA928" s="388"/>
      <c r="AB928" s="390"/>
    </row>
    <row r="929" spans="1:28">
      <c r="A929" s="391"/>
      <c r="B929" s="392"/>
      <c r="C929" s="393" t="s">
        <v>200</v>
      </c>
      <c r="D929" s="2562">
        <f>VLOOKUP(C925,'Data Panjang Balok'!$C$9:$N$254,9,FALSE)</f>
        <v>0</v>
      </c>
      <c r="E929" s="2563"/>
      <c r="F929" s="2563"/>
      <c r="G929" s="2563"/>
      <c r="H929" s="2564"/>
      <c r="I929" s="397"/>
      <c r="J929" s="396"/>
      <c r="K929" s="396"/>
      <c r="L929" s="396"/>
      <c r="M929" s="396"/>
      <c r="N929" s="396"/>
      <c r="O929" s="396"/>
      <c r="P929" s="396"/>
      <c r="Q929" s="396"/>
      <c r="R929" s="396"/>
      <c r="S929" s="396"/>
      <c r="T929" s="396"/>
      <c r="U929" s="388"/>
      <c r="V929" s="396"/>
      <c r="W929" s="388"/>
      <c r="X929" s="396"/>
      <c r="Y929" s="389"/>
      <c r="Z929" s="396"/>
      <c r="AA929" s="388"/>
      <c r="AB929" s="390"/>
    </row>
    <row r="930" spans="1:28">
      <c r="A930" s="391"/>
      <c r="B930" s="392"/>
      <c r="C930" s="393" t="s">
        <v>201</v>
      </c>
      <c r="D930" s="2562">
        <f>VLOOKUP(C925,'Data Panjang Balok'!$C$9:$N$254,10,FALSE)</f>
        <v>0</v>
      </c>
      <c r="E930" s="2563"/>
      <c r="F930" s="2563"/>
      <c r="G930" s="2563"/>
      <c r="H930" s="2564"/>
      <c r="I930" s="397"/>
      <c r="J930" s="396"/>
      <c r="K930" s="396"/>
      <c r="L930" s="396"/>
      <c r="M930" s="396"/>
      <c r="N930" s="396"/>
      <c r="O930" s="396"/>
      <c r="P930" s="396"/>
      <c r="Q930" s="396"/>
      <c r="R930" s="396"/>
      <c r="S930" s="396"/>
      <c r="T930" s="396"/>
      <c r="U930" s="388"/>
      <c r="V930" s="396"/>
      <c r="W930" s="388"/>
      <c r="X930" s="396"/>
      <c r="Y930" s="389"/>
      <c r="Z930" s="396"/>
      <c r="AA930" s="388"/>
      <c r="AB930" s="390"/>
    </row>
    <row r="931" spans="1:28">
      <c r="A931" s="391"/>
      <c r="B931" s="392"/>
      <c r="C931" s="393" t="s">
        <v>48</v>
      </c>
      <c r="D931" s="2562">
        <f>VLOOKUP(C925,'Data Panjang Balok'!$C$9:$N$254,3,FALSE)</f>
        <v>1</v>
      </c>
      <c r="E931" s="2563"/>
      <c r="F931" s="2563"/>
      <c r="G931" s="2563"/>
      <c r="H931" s="2564"/>
      <c r="I931" s="397"/>
      <c r="J931" s="396"/>
      <c r="K931" s="396"/>
      <c r="L931" s="396"/>
      <c r="M931" s="396"/>
      <c r="N931" s="396"/>
      <c r="O931" s="396"/>
      <c r="P931" s="396"/>
      <c r="Q931" s="396"/>
      <c r="R931" s="396"/>
      <c r="S931" s="396"/>
      <c r="T931" s="396"/>
      <c r="U931" s="388"/>
      <c r="V931" s="396"/>
      <c r="W931" s="388"/>
      <c r="X931" s="396"/>
      <c r="Y931" s="389"/>
      <c r="Z931" s="396"/>
      <c r="AA931" s="388"/>
      <c r="AB931" s="390"/>
    </row>
    <row r="932" spans="1:28">
      <c r="A932" s="384" t="str">
        <f t="shared" ref="A932:B932" si="2914">A925</f>
        <v>Lantai 1</v>
      </c>
      <c r="B932" s="385">
        <f t="shared" si="2914"/>
        <v>30</v>
      </c>
      <c r="C932" s="393" t="s">
        <v>202</v>
      </c>
      <c r="D932" s="398">
        <f>VLOOKUP(D925,'Detail Balok'!$C$10:$AU$140,4,FALSE)</f>
        <v>3</v>
      </c>
      <c r="E932" s="388" t="s">
        <v>16</v>
      </c>
      <c r="F932" s="388">
        <f>VLOOKUP(D925,'Detail Balok'!$C$10:$AU$140,6,FALSE)</f>
        <v>13</v>
      </c>
      <c r="G932" s="388"/>
      <c r="H932" s="395"/>
      <c r="I932" s="388" t="s">
        <v>203</v>
      </c>
      <c r="J932" s="399">
        <f t="shared" ref="J932" si="2915">+D927/4/1000</f>
        <v>0.53</v>
      </c>
      <c r="K932" s="400" t="s">
        <v>204</v>
      </c>
      <c r="L932" s="399">
        <f t="shared" ref="L932" si="2916">MAX(VLOOKUP(F932,N$6:P$15,3,FALSE)/1000,2/3*D929/1000)+F$16*F932/1000</f>
        <v>0.156</v>
      </c>
      <c r="M932" s="399" t="s">
        <v>176</v>
      </c>
      <c r="N932" s="399">
        <f t="shared" ref="N932:N934" si="2917">J932+L932</f>
        <v>0.68600000000000005</v>
      </c>
      <c r="O932" s="399" t="s">
        <v>204</v>
      </c>
      <c r="P932" s="389">
        <f t="shared" ref="P932" si="2918">D932-D933</f>
        <v>0</v>
      </c>
      <c r="Q932" s="399" t="s">
        <v>125</v>
      </c>
      <c r="R932" s="399">
        <f t="shared" ref="R932" si="2919">IF(P932&gt;0,$F$18*F932/1000,0)</f>
        <v>0</v>
      </c>
      <c r="S932" s="399" t="s">
        <v>205</v>
      </c>
      <c r="T932" s="399" t="s">
        <v>125</v>
      </c>
      <c r="U932" s="401">
        <f t="shared" ref="U932:U934" si="2920">0.006165*F932^2</f>
        <v>1.041885</v>
      </c>
      <c r="V932" s="399"/>
      <c r="W932" s="399"/>
      <c r="X932" s="399" t="s">
        <v>125</v>
      </c>
      <c r="Y932" s="389">
        <f t="shared" ref="Y932" si="2921">D931</f>
        <v>1</v>
      </c>
      <c r="Z932" s="400" t="s">
        <v>176</v>
      </c>
      <c r="AA932" s="402">
        <f t="shared" ref="AA932" si="2922">IF(AA935=0,(D932*N932+P932*R932)*U932*Y932,0)</f>
        <v>0</v>
      </c>
      <c r="AB932" s="403"/>
    </row>
    <row r="933" spans="1:28">
      <c r="A933" s="384" t="str">
        <f t="shared" ref="A933:B933" si="2923">A925</f>
        <v>Lantai 1</v>
      </c>
      <c r="B933" s="385">
        <f t="shared" si="2923"/>
        <v>30</v>
      </c>
      <c r="C933" s="393" t="s">
        <v>206</v>
      </c>
      <c r="D933" s="398">
        <f>VLOOKUP(D925,'Detail Balok'!$C$10:$AU$140,7,FALSE)</f>
        <v>3</v>
      </c>
      <c r="E933" s="388" t="s">
        <v>16</v>
      </c>
      <c r="F933" s="388">
        <f>VLOOKUP(D925,'Detail Balok'!$C$10:$AU$140,9,FALSE)</f>
        <v>13</v>
      </c>
      <c r="G933" s="388"/>
      <c r="H933" s="395"/>
      <c r="I933" s="388" t="s">
        <v>203</v>
      </c>
      <c r="J933" s="399">
        <f t="shared" ref="J933" si="2924">+D927/2/1000</f>
        <v>1.06</v>
      </c>
      <c r="K933" s="400" t="s">
        <v>204</v>
      </c>
      <c r="L933" s="399"/>
      <c r="M933" s="399" t="s">
        <v>176</v>
      </c>
      <c r="N933" s="399">
        <f t="shared" si="2917"/>
        <v>1.06</v>
      </c>
      <c r="O933" s="399" t="s">
        <v>204</v>
      </c>
      <c r="P933" s="389">
        <f t="shared" ref="P933" si="2925">MAX(D933-D932,D933-D934)</f>
        <v>0</v>
      </c>
      <c r="Q933" s="399" t="s">
        <v>125</v>
      </c>
      <c r="R933" s="399">
        <f t="shared" ref="R933" si="2926">IF(P933&gt;0,2*(1-2*$F$19-1/2)*D928/1000,0)</f>
        <v>0</v>
      </c>
      <c r="S933" s="399" t="s">
        <v>205</v>
      </c>
      <c r="T933" s="399" t="s">
        <v>125</v>
      </c>
      <c r="U933" s="401">
        <f t="shared" si="2920"/>
        <v>1.041885</v>
      </c>
      <c r="V933" s="399"/>
      <c r="W933" s="399"/>
      <c r="X933" s="399" t="s">
        <v>125</v>
      </c>
      <c r="Y933" s="389">
        <f t="shared" ref="Y933" si="2927">D931</f>
        <v>1</v>
      </c>
      <c r="Z933" s="400" t="s">
        <v>176</v>
      </c>
      <c r="AA933" s="402">
        <f t="shared" ref="AA933" si="2928">IF(AA935=0,(D933*N933+P933*R933)*U933*Y933,0)</f>
        <v>0</v>
      </c>
      <c r="AB933" s="403"/>
    </row>
    <row r="934" spans="1:28">
      <c r="A934" s="384" t="str">
        <f t="shared" ref="A934:B934" si="2929">A925</f>
        <v>Lantai 1</v>
      </c>
      <c r="B934" s="385">
        <f t="shared" si="2929"/>
        <v>30</v>
      </c>
      <c r="C934" s="393" t="s">
        <v>202</v>
      </c>
      <c r="D934" s="398">
        <f>VLOOKUP(D925,'Detail Balok'!$C$10:$AU$140,10,FALSE)</f>
        <v>3</v>
      </c>
      <c r="E934" s="388" t="s">
        <v>16</v>
      </c>
      <c r="F934" s="388">
        <f>VLOOKUP(D925,'Detail Balok'!$C$10:$AU$140,12,FALSE)</f>
        <v>13</v>
      </c>
      <c r="G934" s="388"/>
      <c r="H934" s="395"/>
      <c r="I934" s="388" t="s">
        <v>203</v>
      </c>
      <c r="J934" s="399">
        <f t="shared" ref="J934" si="2930">+D927/4/1000</f>
        <v>0.53</v>
      </c>
      <c r="K934" s="400" t="s">
        <v>204</v>
      </c>
      <c r="L934" s="399">
        <f t="shared" ref="L934" si="2931">MAX(VLOOKUP(F934,N$6:P$15,3,FALSE)/1000,2/3*D929/1000)+F$16*F934/1000</f>
        <v>0.156</v>
      </c>
      <c r="M934" s="399" t="s">
        <v>176</v>
      </c>
      <c r="N934" s="399">
        <f t="shared" si="2917"/>
        <v>0.68600000000000005</v>
      </c>
      <c r="O934" s="399" t="s">
        <v>204</v>
      </c>
      <c r="P934" s="389">
        <f t="shared" ref="P934" si="2932">D934-D933</f>
        <v>0</v>
      </c>
      <c r="Q934" s="399" t="s">
        <v>125</v>
      </c>
      <c r="R934" s="399">
        <f t="shared" ref="R934" si="2933">IF(P934&gt;0,$F$18*F934/1000,0)</f>
        <v>0</v>
      </c>
      <c r="S934" s="399" t="s">
        <v>205</v>
      </c>
      <c r="T934" s="399" t="s">
        <v>125</v>
      </c>
      <c r="U934" s="401">
        <f t="shared" si="2920"/>
        <v>1.041885</v>
      </c>
      <c r="V934" s="399"/>
      <c r="W934" s="399"/>
      <c r="X934" s="399" t="s">
        <v>125</v>
      </c>
      <c r="Y934" s="389">
        <f t="shared" ref="Y934" si="2934">D931</f>
        <v>1</v>
      </c>
      <c r="Z934" s="400" t="s">
        <v>176</v>
      </c>
      <c r="AA934" s="402">
        <f t="shared" ref="AA934" si="2935">IF(AA935=0,(D934*N934+P934*R934)*U934*Y934,0)</f>
        <v>0</v>
      </c>
      <c r="AB934" s="403"/>
    </row>
    <row r="935" spans="1:28">
      <c r="A935" s="384" t="str">
        <f t="shared" ref="A935:B935" si="2936">A925</f>
        <v>Lantai 1</v>
      </c>
      <c r="B935" s="385">
        <f t="shared" si="2936"/>
        <v>30</v>
      </c>
      <c r="C935" s="393"/>
      <c r="D935" s="398">
        <f t="shared" si="2739"/>
        <v>3</v>
      </c>
      <c r="E935" s="388" t="s">
        <v>16</v>
      </c>
      <c r="F935" s="388">
        <f t="shared" si="2740"/>
        <v>13</v>
      </c>
      <c r="G935" s="388"/>
      <c r="H935" s="395"/>
      <c r="I935" s="388"/>
      <c r="J935" s="396"/>
      <c r="K935" s="396"/>
      <c r="L935" s="404" t="s">
        <v>207</v>
      </c>
      <c r="M935" s="399" t="s">
        <v>176</v>
      </c>
      <c r="N935" s="399">
        <f t="shared" ref="N935" si="2937">IF(AND(D932=D933,D932=D934,D933=D934,F932=F933,F932=F934,F933=F934),SUM(N932:N934),0)</f>
        <v>2.4319999999999999</v>
      </c>
      <c r="O935" s="399" t="s">
        <v>204</v>
      </c>
      <c r="P935" s="389">
        <f t="shared" ref="P935" si="2938">IF(N935&gt;12,ROUNDDOWN(N935/12,0),0)</f>
        <v>0</v>
      </c>
      <c r="Q935" s="399" t="s">
        <v>125</v>
      </c>
      <c r="R935" s="399">
        <f t="shared" ref="R935" si="2939">IF(P935&gt;0,MAX(VLOOKUP(F935,$D$6:$G$15,3,FALSE),600),0)/1000</f>
        <v>0</v>
      </c>
      <c r="S935" s="396"/>
      <c r="T935" s="396" t="s">
        <v>125</v>
      </c>
      <c r="U935" s="401">
        <f t="shared" si="2744"/>
        <v>1.041885</v>
      </c>
      <c r="V935" s="396" t="s">
        <v>125</v>
      </c>
      <c r="W935" s="399">
        <f t="shared" ref="W935" si="2940">D935</f>
        <v>3</v>
      </c>
      <c r="X935" s="399" t="s">
        <v>125</v>
      </c>
      <c r="Y935" s="389">
        <f t="shared" si="2746"/>
        <v>1</v>
      </c>
      <c r="Z935" s="400" t="s">
        <v>176</v>
      </c>
      <c r="AA935" s="402">
        <f t="shared" ref="AA935" si="2941">(N935+P935*R935/1000)*U935*W935*Y935</f>
        <v>7.6015929599999996</v>
      </c>
      <c r="AB935" s="390"/>
    </row>
    <row r="936" spans="1:28">
      <c r="A936" s="384"/>
      <c r="B936" s="385"/>
      <c r="C936" s="393"/>
      <c r="D936" s="398"/>
      <c r="E936" s="388"/>
      <c r="F936" s="388"/>
      <c r="G936" s="388"/>
      <c r="H936" s="395"/>
      <c r="I936" s="388"/>
      <c r="J936" s="396"/>
      <c r="K936" s="396"/>
      <c r="L936" s="404"/>
      <c r="M936" s="399"/>
      <c r="N936" s="399"/>
      <c r="O936" s="396"/>
      <c r="P936" s="389"/>
      <c r="Q936" s="396"/>
      <c r="R936" s="396"/>
      <c r="S936" s="396"/>
      <c r="T936" s="396"/>
      <c r="U936" s="401"/>
      <c r="V936" s="396"/>
      <c r="W936" s="399"/>
      <c r="X936" s="396"/>
      <c r="Y936" s="389"/>
      <c r="Z936" s="396"/>
      <c r="AA936" s="388"/>
      <c r="AB936" s="390"/>
    </row>
    <row r="937" spans="1:28">
      <c r="A937" s="384" t="str">
        <f t="shared" ref="A937:B937" si="2942">A925</f>
        <v>Lantai 1</v>
      </c>
      <c r="B937" s="385">
        <f t="shared" si="2942"/>
        <v>30</v>
      </c>
      <c r="C937" s="393" t="s">
        <v>208</v>
      </c>
      <c r="D937" s="398">
        <f>VLOOKUP(D925,'Detail Balok'!$C$10:$AU$140,13,FALSE)</f>
        <v>0</v>
      </c>
      <c r="E937" s="388" t="s">
        <v>16</v>
      </c>
      <c r="F937" s="388">
        <f>VLOOKUP(D925,'Detail Balok'!$C$10:$AU$140,15,FALSE)</f>
        <v>8</v>
      </c>
      <c r="G937" s="388"/>
      <c r="H937" s="395"/>
      <c r="I937" s="388"/>
      <c r="J937" s="399">
        <f t="shared" ref="J937" si="2943">+D927/1000</f>
        <v>2.12</v>
      </c>
      <c r="K937" s="400" t="s">
        <v>204</v>
      </c>
      <c r="L937" s="399">
        <f t="shared" ref="L937" si="2944">2*$F$16*F937/1000</f>
        <v>0.192</v>
      </c>
      <c r="M937" s="399" t="s">
        <v>176</v>
      </c>
      <c r="N937" s="399">
        <f t="shared" ref="N937" si="2945">J937+L937</f>
        <v>2.3120000000000003</v>
      </c>
      <c r="O937" s="399" t="s">
        <v>204</v>
      </c>
      <c r="P937" s="389">
        <f t="shared" ref="P937" si="2946">IF(N937&gt;12,ROUNDDOWN(N937/12,0),0)</f>
        <v>0</v>
      </c>
      <c r="Q937" s="399" t="s">
        <v>125</v>
      </c>
      <c r="R937" s="399">
        <f t="shared" ref="R937" si="2947">IF(P937&gt;0,MAX(VLOOKUP(F937,$D$6:$G$15,3,FALSE),600),0)/1000</f>
        <v>0</v>
      </c>
      <c r="S937" s="399"/>
      <c r="T937" s="399" t="s">
        <v>125</v>
      </c>
      <c r="U937" s="401">
        <f t="shared" ref="U937" si="2948">0.006165*F937^2</f>
        <v>0.39456000000000002</v>
      </c>
      <c r="V937" s="399" t="s">
        <v>125</v>
      </c>
      <c r="W937" s="399">
        <f t="shared" ref="W937" si="2949">+D937</f>
        <v>0</v>
      </c>
      <c r="X937" s="399" t="s">
        <v>125</v>
      </c>
      <c r="Y937" s="389">
        <f t="shared" ref="Y937" si="2950">D931</f>
        <v>1</v>
      </c>
      <c r="Z937" s="400" t="s">
        <v>176</v>
      </c>
      <c r="AA937" s="402">
        <f t="shared" ref="AA937" si="2951">(N937+P937*R937/1000)*U937*W937*Y937</f>
        <v>0</v>
      </c>
      <c r="AB937" s="403"/>
    </row>
    <row r="938" spans="1:28">
      <c r="A938" s="384"/>
      <c r="B938" s="385"/>
      <c r="C938" s="393"/>
      <c r="D938" s="398"/>
      <c r="E938" s="388"/>
      <c r="F938" s="388"/>
      <c r="G938" s="388"/>
      <c r="H938" s="395"/>
      <c r="I938" s="388"/>
      <c r="J938" s="399"/>
      <c r="K938" s="400"/>
      <c r="L938" s="399"/>
      <c r="M938" s="399"/>
      <c r="N938" s="399"/>
      <c r="O938" s="399"/>
      <c r="P938" s="389"/>
      <c r="Q938" s="399"/>
      <c r="R938" s="399"/>
      <c r="S938" s="399"/>
      <c r="T938" s="399"/>
      <c r="U938" s="401"/>
      <c r="V938" s="399"/>
      <c r="W938" s="399"/>
      <c r="X938" s="399"/>
      <c r="Y938" s="389"/>
      <c r="Z938" s="400"/>
      <c r="AA938" s="402"/>
      <c r="AB938" s="403"/>
    </row>
    <row r="939" spans="1:28">
      <c r="A939" s="384"/>
      <c r="B939" s="385"/>
      <c r="C939" s="393"/>
      <c r="D939" s="398"/>
      <c r="E939" s="388"/>
      <c r="F939" s="388"/>
      <c r="G939" s="388"/>
      <c r="H939" s="395"/>
      <c r="I939" s="388"/>
      <c r="J939" s="396"/>
      <c r="K939" s="396"/>
      <c r="L939" s="396"/>
      <c r="M939" s="396"/>
      <c r="N939" s="396"/>
      <c r="O939" s="396"/>
      <c r="P939" s="389"/>
      <c r="Q939" s="396"/>
      <c r="R939" s="396"/>
      <c r="S939" s="396"/>
      <c r="T939" s="396"/>
      <c r="U939" s="401"/>
      <c r="V939" s="396"/>
      <c r="W939" s="399"/>
      <c r="X939" s="396"/>
      <c r="Y939" s="389"/>
      <c r="Z939" s="396"/>
      <c r="AA939" s="388"/>
      <c r="AB939" s="390"/>
    </row>
    <row r="940" spans="1:28">
      <c r="A940" s="384" t="str">
        <f t="shared" ref="A940:B940" si="2952">A925</f>
        <v>Lantai 1</v>
      </c>
      <c r="B940" s="385">
        <f t="shared" si="2952"/>
        <v>30</v>
      </c>
      <c r="C940" s="393" t="s">
        <v>209</v>
      </c>
      <c r="D940" s="398">
        <f>VLOOKUP(D925,'Detail Balok'!$C$10:$AU$140,22,FALSE)</f>
        <v>3</v>
      </c>
      <c r="E940" s="388" t="s">
        <v>16</v>
      </c>
      <c r="F940" s="388">
        <f>VLOOKUP(D925,'Detail Balok'!$C$10:$AU$140,24,FALSE)</f>
        <v>13</v>
      </c>
      <c r="G940" s="388"/>
      <c r="H940" s="395"/>
      <c r="I940" s="388" t="s">
        <v>203</v>
      </c>
      <c r="J940" s="399">
        <f t="shared" si="2759"/>
        <v>0.53</v>
      </c>
      <c r="K940" s="400" t="s">
        <v>204</v>
      </c>
      <c r="L940" s="399">
        <f t="shared" ref="L940" si="2953">MAX(VLOOKUP(F940,N$6:P$15,3,FALSE)/1000,2/3*D930/1000)+F$16*F940/1000</f>
        <v>0.156</v>
      </c>
      <c r="M940" s="399" t="s">
        <v>176</v>
      </c>
      <c r="N940" s="399">
        <f t="shared" ref="N940:N942" si="2954">J940+L940</f>
        <v>0.68600000000000005</v>
      </c>
      <c r="O940" s="399" t="s">
        <v>204</v>
      </c>
      <c r="P940" s="389">
        <f t="shared" ref="P940" si="2955">D940-D941</f>
        <v>0</v>
      </c>
      <c r="Q940" s="399" t="s">
        <v>125</v>
      </c>
      <c r="R940" s="399">
        <f t="shared" ref="R940" si="2956">IF(P940&gt;0,$F$18*F940/1000,0)</f>
        <v>0</v>
      </c>
      <c r="S940" s="399" t="s">
        <v>205</v>
      </c>
      <c r="T940" s="399" t="s">
        <v>125</v>
      </c>
      <c r="U940" s="401">
        <f t="shared" ref="U940:U942" si="2957">0.006165*F940^2</f>
        <v>1.041885</v>
      </c>
      <c r="V940" s="399"/>
      <c r="W940" s="399"/>
      <c r="X940" s="399" t="s">
        <v>125</v>
      </c>
      <c r="Y940" s="389">
        <f t="shared" ref="Y940" si="2958">D931</f>
        <v>1</v>
      </c>
      <c r="Z940" s="400" t="s">
        <v>176</v>
      </c>
      <c r="AA940" s="402">
        <f t="shared" ref="AA940" si="2959">IF(AA943=0,(D940*N940+P940*R940)*U940*Y940,0)</f>
        <v>0</v>
      </c>
      <c r="AB940" s="403"/>
    </row>
    <row r="941" spans="1:28">
      <c r="A941" s="384" t="str">
        <f t="shared" ref="A941:B941" si="2960">A925</f>
        <v>Lantai 1</v>
      </c>
      <c r="B941" s="385">
        <f t="shared" si="2960"/>
        <v>30</v>
      </c>
      <c r="C941" s="393" t="s">
        <v>210</v>
      </c>
      <c r="D941" s="398">
        <f>VLOOKUP(D925,'Detail Balok'!$C$10:$AU$140,25,FALSE)</f>
        <v>3</v>
      </c>
      <c r="E941" s="388" t="s">
        <v>16</v>
      </c>
      <c r="F941" s="388">
        <f>VLOOKUP(D925,'Detail Balok'!$C$10:$AU$140,27,FALSE)</f>
        <v>13</v>
      </c>
      <c r="G941" s="388"/>
      <c r="H941" s="395"/>
      <c r="I941" s="388" t="s">
        <v>203</v>
      </c>
      <c r="J941" s="399">
        <f t="shared" si="2759"/>
        <v>1.06</v>
      </c>
      <c r="K941" s="400" t="s">
        <v>204</v>
      </c>
      <c r="L941" s="399"/>
      <c r="M941" s="399" t="s">
        <v>176</v>
      </c>
      <c r="N941" s="399">
        <f t="shared" si="2954"/>
        <v>1.06</v>
      </c>
      <c r="O941" s="399" t="s">
        <v>204</v>
      </c>
      <c r="P941" s="389">
        <f t="shared" ref="P941" si="2961">MAX(D941-D940,D941-D942)</f>
        <v>0</v>
      </c>
      <c r="Q941" s="399" t="s">
        <v>125</v>
      </c>
      <c r="R941" s="399">
        <f t="shared" ref="R941" si="2962">IF(P941&gt;0,2*(1-2*$F$19-1/2)*D928/1000,0)</f>
        <v>0</v>
      </c>
      <c r="S941" s="399" t="s">
        <v>205</v>
      </c>
      <c r="T941" s="399" t="s">
        <v>125</v>
      </c>
      <c r="U941" s="401">
        <f t="shared" si="2957"/>
        <v>1.041885</v>
      </c>
      <c r="V941" s="399"/>
      <c r="W941" s="399"/>
      <c r="X941" s="399" t="s">
        <v>125</v>
      </c>
      <c r="Y941" s="389">
        <f t="shared" ref="Y941" si="2963">D931</f>
        <v>1</v>
      </c>
      <c r="Z941" s="400" t="s">
        <v>176</v>
      </c>
      <c r="AA941" s="402">
        <f t="shared" ref="AA941" si="2964">IF(AA943=0,(D941*N941+P941*R941)*U941*Y941,0)</f>
        <v>0</v>
      </c>
      <c r="AB941" s="403"/>
    </row>
    <row r="942" spans="1:28">
      <c r="A942" s="384" t="str">
        <f t="shared" ref="A942:B942" si="2965">A925</f>
        <v>Lantai 1</v>
      </c>
      <c r="B942" s="385">
        <f t="shared" si="2965"/>
        <v>30</v>
      </c>
      <c r="C942" s="393" t="s">
        <v>209</v>
      </c>
      <c r="D942" s="398">
        <f>VLOOKUP(D925,'Detail Balok'!$C$10:$AU$140,28,FALSE)</f>
        <v>3</v>
      </c>
      <c r="E942" s="388" t="s">
        <v>16</v>
      </c>
      <c r="F942" s="388">
        <f>VLOOKUP(D925,'Detail Balok'!$C$10:$AU$140,30,FALSE)</f>
        <v>13</v>
      </c>
      <c r="G942" s="388"/>
      <c r="H942" s="395"/>
      <c r="I942" s="388" t="s">
        <v>203</v>
      </c>
      <c r="J942" s="399">
        <f t="shared" si="2759"/>
        <v>0.53</v>
      </c>
      <c r="K942" s="400" t="s">
        <v>204</v>
      </c>
      <c r="L942" s="399">
        <f t="shared" ref="L942" si="2966">MAX(VLOOKUP(F942,N$6:P$15,3,FALSE)/1000,2/3*D930/1000)+F$16*F942/1000</f>
        <v>0.156</v>
      </c>
      <c r="M942" s="399" t="s">
        <v>176</v>
      </c>
      <c r="N942" s="399">
        <f t="shared" si="2954"/>
        <v>0.68600000000000005</v>
      </c>
      <c r="O942" s="399" t="s">
        <v>204</v>
      </c>
      <c r="P942" s="389">
        <f t="shared" ref="P942" si="2967">D942-D941</f>
        <v>0</v>
      </c>
      <c r="Q942" s="399" t="s">
        <v>125</v>
      </c>
      <c r="R942" s="399">
        <f t="shared" ref="R942" si="2968">IF(P942&gt;0,$F$18*F942/1000,0)</f>
        <v>0</v>
      </c>
      <c r="S942" s="399" t="s">
        <v>205</v>
      </c>
      <c r="T942" s="399" t="s">
        <v>125</v>
      </c>
      <c r="U942" s="401">
        <f t="shared" si="2957"/>
        <v>1.041885</v>
      </c>
      <c r="V942" s="399"/>
      <c r="W942" s="399"/>
      <c r="X942" s="399" t="s">
        <v>125</v>
      </c>
      <c r="Y942" s="389">
        <f t="shared" ref="Y942" si="2969">D931</f>
        <v>1</v>
      </c>
      <c r="Z942" s="400" t="s">
        <v>176</v>
      </c>
      <c r="AA942" s="402">
        <f t="shared" ref="AA942" si="2970">IF(AA943=0,(D942*N942+P942*R942)*U942*Y942,0)</f>
        <v>0</v>
      </c>
      <c r="AB942" s="403"/>
    </row>
    <row r="943" spans="1:28">
      <c r="A943" s="384" t="str">
        <f t="shared" ref="A943:B943" si="2971">A925</f>
        <v>Lantai 1</v>
      </c>
      <c r="B943" s="385">
        <f t="shared" si="2971"/>
        <v>30</v>
      </c>
      <c r="C943" s="393"/>
      <c r="D943" s="398">
        <f t="shared" si="2779"/>
        <v>3</v>
      </c>
      <c r="E943" s="388" t="s">
        <v>16</v>
      </c>
      <c r="F943" s="388">
        <f t="shared" si="2780"/>
        <v>13</v>
      </c>
      <c r="G943" s="388"/>
      <c r="H943" s="395"/>
      <c r="I943" s="388"/>
      <c r="J943" s="396"/>
      <c r="K943" s="396"/>
      <c r="L943" s="404" t="s">
        <v>207</v>
      </c>
      <c r="M943" s="399" t="s">
        <v>176</v>
      </c>
      <c r="N943" s="399">
        <f t="shared" ref="N943" si="2972">IF(AND(D940=D941,D940=D942,D941=D942,F940=F941,F940=F942,F941=F942),SUM(N940:N942),0)</f>
        <v>2.4319999999999999</v>
      </c>
      <c r="O943" s="399" t="s">
        <v>204</v>
      </c>
      <c r="P943" s="389">
        <f t="shared" ref="P943" si="2973">IF(N943&gt;12,ROUNDDOWN(N943/12,0),0)</f>
        <v>0</v>
      </c>
      <c r="Q943" s="399" t="s">
        <v>125</v>
      </c>
      <c r="R943" s="399">
        <f t="shared" ref="R943" si="2974">IF(P943&gt;0,MAX(VLOOKUP(F943,$D$6:$G$15,3,FALSE),600),0)/1000</f>
        <v>0</v>
      </c>
      <c r="S943" s="396"/>
      <c r="T943" s="396" t="s">
        <v>125</v>
      </c>
      <c r="U943" s="401">
        <f t="shared" si="2784"/>
        <v>1.041885</v>
      </c>
      <c r="V943" s="396" t="s">
        <v>125</v>
      </c>
      <c r="W943" s="399">
        <f t="shared" ref="W943" si="2975">D943</f>
        <v>3</v>
      </c>
      <c r="X943" s="399" t="s">
        <v>125</v>
      </c>
      <c r="Y943" s="389">
        <f t="shared" si="2786"/>
        <v>1</v>
      </c>
      <c r="Z943" s="400" t="s">
        <v>176</v>
      </c>
      <c r="AA943" s="402">
        <f t="shared" ref="AA943" si="2976">(N943+P943*R943/1000)*U943*W943*Y943</f>
        <v>7.6015929599999996</v>
      </c>
      <c r="AB943" s="403"/>
    </row>
    <row r="944" spans="1:28">
      <c r="A944" s="384"/>
      <c r="B944" s="385"/>
      <c r="C944" s="393"/>
      <c r="D944" s="394"/>
      <c r="E944" s="388"/>
      <c r="F944" s="388"/>
      <c r="G944" s="388"/>
      <c r="H944" s="395"/>
      <c r="I944" s="388"/>
      <c r="J944" s="399"/>
      <c r="K944" s="396"/>
      <c r="L944" s="396"/>
      <c r="M944" s="396"/>
      <c r="N944" s="396"/>
      <c r="O944" s="396"/>
      <c r="P944" s="389"/>
      <c r="Q944" s="396"/>
      <c r="R944" s="396"/>
      <c r="S944" s="396"/>
      <c r="T944" s="396"/>
      <c r="U944" s="401"/>
      <c r="V944" s="396"/>
      <c r="W944" s="388"/>
      <c r="X944" s="396"/>
      <c r="Y944" s="389"/>
      <c r="Z944" s="396"/>
      <c r="AA944" s="388"/>
      <c r="AB944" s="390"/>
    </row>
    <row r="945" spans="1:28">
      <c r="A945" s="384" t="str">
        <f t="shared" ref="A945:B945" si="2977">A925</f>
        <v>Lantai 1</v>
      </c>
      <c r="B945" s="385">
        <f t="shared" si="2977"/>
        <v>30</v>
      </c>
      <c r="C945" s="393" t="s">
        <v>211</v>
      </c>
      <c r="D945" s="398">
        <f>VLOOKUP(D925,'Detail Balok'!$C$10:$AU$140,31,FALSE)</f>
        <v>0</v>
      </c>
      <c r="E945" s="388" t="s">
        <v>16</v>
      </c>
      <c r="F945" s="388">
        <f>VLOOKUP(D925,'Detail Balok'!$C$10:$AU$140,33,FALSE)</f>
        <v>8</v>
      </c>
      <c r="G945" s="405" t="s">
        <v>157</v>
      </c>
      <c r="H945" s="395">
        <f>VLOOKUP(D925,'Detail Balok'!$C$10:$AU$140,35,FALSE)</f>
        <v>150</v>
      </c>
      <c r="I945" s="388"/>
      <c r="J945" s="400">
        <f t="shared" ref="J945" si="2978">(IF(D945=0,(2*(D926+G926))-(F$5*8),IF(D945=3,(2*(D926+G926))-(F$5*8)+(G926-2*F$5),IF(D945=4,(2*(D926+G926))-(F$5*8)+2*(G926-2*F$5)))))/1000</f>
        <v>0.88</v>
      </c>
      <c r="K945" s="400" t="s">
        <v>204</v>
      </c>
      <c r="L945" s="399">
        <f t="shared" ref="L945:L947" si="2979">IF(D945=0,2*MAX(6*F945,75),(D945-1)*2*MAX(6*F945,75))/1000</f>
        <v>0.15</v>
      </c>
      <c r="M945" s="399" t="s">
        <v>176</v>
      </c>
      <c r="N945" s="399">
        <f t="shared" ref="N945:N947" si="2980">J945+L945</f>
        <v>1.03</v>
      </c>
      <c r="O945" s="399"/>
      <c r="P945" s="389"/>
      <c r="Q945" s="399"/>
      <c r="R945" s="399"/>
      <c r="S945" s="399"/>
      <c r="T945" s="399" t="s">
        <v>125</v>
      </c>
      <c r="U945" s="401">
        <f t="shared" ref="U945:U947" si="2981">0.006165*F945^2</f>
        <v>0.39456000000000002</v>
      </c>
      <c r="V945" s="399" t="s">
        <v>125</v>
      </c>
      <c r="W945" s="399">
        <f t="shared" ref="W945" si="2982">IF(D928&gt;4*G926,ROUND(MAX(D928/4,2*G926)/H945,0)+1,ROUND(D928/H945,0)+1)</f>
        <v>6</v>
      </c>
      <c r="X945" s="399" t="s">
        <v>125</v>
      </c>
      <c r="Y945" s="389">
        <f t="shared" ref="Y945" si="2983">D931</f>
        <v>1</v>
      </c>
      <c r="Z945" s="400" t="s">
        <v>176</v>
      </c>
      <c r="AA945" s="402">
        <f t="shared" ref="AA945:AA947" si="2984">N945*U945*W945*Y945</f>
        <v>2.4383808000000005</v>
      </c>
      <c r="AB945" s="403"/>
    </row>
    <row r="946" spans="1:28">
      <c r="A946" s="384" t="str">
        <f t="shared" ref="A946:B946" si="2985">A925</f>
        <v>Lantai 1</v>
      </c>
      <c r="B946" s="385">
        <f t="shared" si="2985"/>
        <v>30</v>
      </c>
      <c r="C946" s="393" t="s">
        <v>212</v>
      </c>
      <c r="D946" s="398">
        <f>VLOOKUP(D925,'Detail Balok'!$C$10:$AU$140,36,FALSE)</f>
        <v>0</v>
      </c>
      <c r="E946" s="388" t="s">
        <v>16</v>
      </c>
      <c r="F946" s="388">
        <f>VLOOKUP(D925,'Detail Balok'!$C$10:$AU$140,38,FALSE)</f>
        <v>8</v>
      </c>
      <c r="G946" s="405" t="s">
        <v>157</v>
      </c>
      <c r="H946" s="395">
        <f>VLOOKUP(D925,'Detail Balok'!$C$10:$AU$140,40,FALSE)</f>
        <v>200</v>
      </c>
      <c r="I946" s="388"/>
      <c r="J946" s="400">
        <f t="shared" ref="J946" si="2986">(IF(D946=0,(2*(D926+G926))-(F$5*8),IF(D946=3,(2*(D926+G926))-(F$5*8)+(G926-2*F$5),IF(D946=4,(2*(D926+G926))-(F$5*8)+2*(G926-2*F$5)))))/1000</f>
        <v>0.88</v>
      </c>
      <c r="K946" s="400" t="s">
        <v>204</v>
      </c>
      <c r="L946" s="399">
        <f t="shared" si="2979"/>
        <v>0.15</v>
      </c>
      <c r="M946" s="399" t="s">
        <v>176</v>
      </c>
      <c r="N946" s="399">
        <f t="shared" si="2980"/>
        <v>1.03</v>
      </c>
      <c r="O946" s="399"/>
      <c r="P946" s="389"/>
      <c r="Q946" s="399"/>
      <c r="R946" s="399"/>
      <c r="S946" s="399"/>
      <c r="T946" s="399" t="s">
        <v>125</v>
      </c>
      <c r="U946" s="401">
        <f t="shared" si="2981"/>
        <v>0.39456000000000002</v>
      </c>
      <c r="V946" s="399" t="s">
        <v>125</v>
      </c>
      <c r="W946" s="399">
        <f t="shared" ref="W946" si="2987">IF(D928-MAX(D928/4,2*G926)*2&gt;0,ROUND((D928-MAX(D928/4,2*G926)*2)/H946,0),0)</f>
        <v>3</v>
      </c>
      <c r="X946" s="399" t="s">
        <v>125</v>
      </c>
      <c r="Y946" s="389">
        <f t="shared" ref="Y946" si="2988">D931</f>
        <v>1</v>
      </c>
      <c r="Z946" s="400" t="s">
        <v>176</v>
      </c>
      <c r="AA946" s="402">
        <f t="shared" si="2984"/>
        <v>1.2191904000000002</v>
      </c>
      <c r="AB946" s="403"/>
    </row>
    <row r="947" spans="1:28">
      <c r="A947" s="384" t="str">
        <f t="shared" ref="A947:B947" si="2989">A925</f>
        <v>Lantai 1</v>
      </c>
      <c r="B947" s="385">
        <f t="shared" si="2989"/>
        <v>30</v>
      </c>
      <c r="C947" s="393" t="s">
        <v>211</v>
      </c>
      <c r="D947" s="398">
        <f>VLOOKUP(D925,'Detail Balok'!$C$10:$AU$140,41,FALSE)</f>
        <v>0</v>
      </c>
      <c r="E947" s="388" t="s">
        <v>16</v>
      </c>
      <c r="F947" s="388">
        <f>VLOOKUP(D925,'Detail Balok'!$C$10:$AU$140,43,FALSE)</f>
        <v>8</v>
      </c>
      <c r="G947" s="405" t="s">
        <v>157</v>
      </c>
      <c r="H947" s="395">
        <f>VLOOKUP(D925,'Detail Balok'!$C$10:$AU$140,45,FALSE)</f>
        <v>150</v>
      </c>
      <c r="I947" s="388"/>
      <c r="J947" s="400">
        <f t="shared" ref="J947" si="2990">(IF(D947=0,(2*(D926+G926))-(F$5*8),IF(D947=3,(2*(D926+G926))-(F$5*8)+(G926-2*F$5),IF(D947=4,(2*(D926+G926))-(F$5*8)+2*(G926-2*F$5)))))/1000</f>
        <v>0.88</v>
      </c>
      <c r="K947" s="400" t="s">
        <v>204</v>
      </c>
      <c r="L947" s="399">
        <f t="shared" si="2979"/>
        <v>0.15</v>
      </c>
      <c r="M947" s="399" t="s">
        <v>176</v>
      </c>
      <c r="N947" s="399">
        <f t="shared" si="2980"/>
        <v>1.03</v>
      </c>
      <c r="O947" s="399"/>
      <c r="P947" s="389"/>
      <c r="Q947" s="399"/>
      <c r="R947" s="399"/>
      <c r="S947" s="399"/>
      <c r="T947" s="399" t="s">
        <v>125</v>
      </c>
      <c r="U947" s="401">
        <f t="shared" si="2981"/>
        <v>0.39456000000000002</v>
      </c>
      <c r="V947" s="399" t="s">
        <v>125</v>
      </c>
      <c r="W947" s="399">
        <f t="shared" ref="W947" si="2991">IF(D928&gt;4*G926,ROUND(MAX(D928/4,2*G926)/H947,0)+1,0)</f>
        <v>6</v>
      </c>
      <c r="X947" s="399" t="s">
        <v>125</v>
      </c>
      <c r="Y947" s="389">
        <f t="shared" ref="Y947" si="2992">D931</f>
        <v>1</v>
      </c>
      <c r="Z947" s="400" t="s">
        <v>176</v>
      </c>
      <c r="AA947" s="402">
        <f t="shared" si="2984"/>
        <v>2.4383808000000005</v>
      </c>
      <c r="AB947" s="403"/>
    </row>
    <row r="948" spans="1:28">
      <c r="A948" s="384"/>
      <c r="B948" s="385"/>
      <c r="C948" s="393"/>
      <c r="D948" s="394"/>
      <c r="E948" s="388"/>
      <c r="F948" s="388"/>
      <c r="G948" s="388"/>
      <c r="H948" s="395"/>
      <c r="I948" s="388"/>
      <c r="J948" s="399"/>
      <c r="K948" s="396"/>
      <c r="L948" s="396"/>
      <c r="M948" s="396"/>
      <c r="N948" s="396"/>
      <c r="O948" s="396"/>
      <c r="P948" s="389"/>
      <c r="Q948" s="396"/>
      <c r="R948" s="396"/>
      <c r="S948" s="396"/>
      <c r="T948" s="396"/>
      <c r="U948" s="401"/>
      <c r="V948" s="396"/>
      <c r="W948" s="388"/>
      <c r="X948" s="396"/>
      <c r="Y948" s="389"/>
      <c r="Z948" s="396"/>
      <c r="AA948" s="388"/>
      <c r="AB948" s="390"/>
    </row>
    <row r="949" spans="1:28">
      <c r="A949" s="384" t="str">
        <f t="shared" ref="A949:B949" si="2993">A925</f>
        <v>Lantai 1</v>
      </c>
      <c r="B949" s="385">
        <f t="shared" si="2993"/>
        <v>30</v>
      </c>
      <c r="C949" s="393" t="s">
        <v>213</v>
      </c>
      <c r="D949" s="398">
        <f>VLOOKUP(D925,'Detail Balok'!$C$10:$BJ$140,46,FALSE)</f>
        <v>0</v>
      </c>
      <c r="E949" s="388" t="s">
        <v>16</v>
      </c>
      <c r="F949" s="388">
        <f>VLOOKUP(D925,'Detail Balok'!$C$10:$BJ$140,48,FALSE)</f>
        <v>0</v>
      </c>
      <c r="G949" s="405" t="s">
        <v>157</v>
      </c>
      <c r="H949" s="395">
        <f>VLOOKUP(D925,'Detail Balok'!$C$10:$BJ$140,50,FALSE)</f>
        <v>100</v>
      </c>
      <c r="I949" s="388"/>
      <c r="J949" s="399">
        <f t="shared" ref="J949" si="2994">(D926-2*F$5)/1000</f>
        <v>0.12</v>
      </c>
      <c r="K949" s="400" t="s">
        <v>204</v>
      </c>
      <c r="L949" s="399">
        <f t="shared" ref="L949:L951" si="2995">IF(D949=0,2*MAX(6*F949,75),(D949-1)*2*MAX(6*F949,75))/1000</f>
        <v>0.15</v>
      </c>
      <c r="M949" s="399" t="s">
        <v>176</v>
      </c>
      <c r="N949" s="399">
        <f t="shared" ref="N949:N951" si="2996">J949+L949</f>
        <v>0.27</v>
      </c>
      <c r="O949" s="399"/>
      <c r="P949" s="399"/>
      <c r="Q949" s="399"/>
      <c r="R949" s="399"/>
      <c r="S949" s="399"/>
      <c r="T949" s="399" t="s">
        <v>125</v>
      </c>
      <c r="U949" s="401">
        <f t="shared" ref="U949:U951" si="2997">0.006165*F949^2</f>
        <v>0</v>
      </c>
      <c r="V949" s="399" t="s">
        <v>125</v>
      </c>
      <c r="W949" s="399">
        <f t="shared" si="2809"/>
        <v>6</v>
      </c>
      <c r="X949" s="399" t="s">
        <v>125</v>
      </c>
      <c r="Y949" s="389">
        <f t="shared" ref="Y949" si="2998">D935</f>
        <v>3</v>
      </c>
      <c r="Z949" s="400" t="s">
        <v>176</v>
      </c>
      <c r="AA949" s="402">
        <f t="shared" ref="AA949:AA951" si="2999">N949*U949*W949*Y949</f>
        <v>0</v>
      </c>
      <c r="AB949" s="403"/>
    </row>
    <row r="950" spans="1:28">
      <c r="A950" s="384" t="str">
        <f t="shared" ref="A950:B950" si="3000">A925</f>
        <v>Lantai 1</v>
      </c>
      <c r="B950" s="385">
        <f t="shared" si="3000"/>
        <v>30</v>
      </c>
      <c r="C950" s="393" t="s">
        <v>214</v>
      </c>
      <c r="D950" s="398">
        <f>VLOOKUP(D925,'Detail Balok'!$C$10:$BJ$140,51,FALSE)</f>
        <v>0</v>
      </c>
      <c r="E950" s="388" t="s">
        <v>16</v>
      </c>
      <c r="F950" s="388">
        <f>VLOOKUP(D925,'Detail Balok'!$C$10:$BJ$140,53,FALSE)</f>
        <v>0</v>
      </c>
      <c r="G950" s="405" t="s">
        <v>157</v>
      </c>
      <c r="H950" s="395">
        <f>VLOOKUP(D925,'Detail Balok'!$C$10:$BJ$140,55,FALSE)</f>
        <v>100</v>
      </c>
      <c r="I950" s="388"/>
      <c r="J950" s="399">
        <f t="shared" ref="J950" si="3001">(D926-2*F$5)/1000</f>
        <v>0.12</v>
      </c>
      <c r="K950" s="400" t="s">
        <v>204</v>
      </c>
      <c r="L950" s="399">
        <f t="shared" si="2995"/>
        <v>0.15</v>
      </c>
      <c r="M950" s="399" t="s">
        <v>176</v>
      </c>
      <c r="N950" s="399">
        <f t="shared" si="2996"/>
        <v>0.27</v>
      </c>
      <c r="O950" s="399"/>
      <c r="P950" s="399"/>
      <c r="Q950" s="399"/>
      <c r="R950" s="399"/>
      <c r="S950" s="399"/>
      <c r="T950" s="399" t="s">
        <v>125</v>
      </c>
      <c r="U950" s="401">
        <f t="shared" si="2997"/>
        <v>0</v>
      </c>
      <c r="V950" s="399" t="s">
        <v>125</v>
      </c>
      <c r="W950" s="399">
        <f t="shared" si="2809"/>
        <v>3</v>
      </c>
      <c r="X950" s="399" t="s">
        <v>125</v>
      </c>
      <c r="Y950" s="389">
        <f t="shared" ref="Y950" si="3002">D935</f>
        <v>3</v>
      </c>
      <c r="Z950" s="400" t="s">
        <v>176</v>
      </c>
      <c r="AA950" s="402">
        <f t="shared" si="2999"/>
        <v>0</v>
      </c>
      <c r="AB950" s="403"/>
    </row>
    <row r="951" spans="1:28">
      <c r="A951" s="384" t="str">
        <f t="shared" ref="A951:B951" si="3003">A925</f>
        <v>Lantai 1</v>
      </c>
      <c r="B951" s="385">
        <f t="shared" si="3003"/>
        <v>30</v>
      </c>
      <c r="C951" s="393" t="s">
        <v>213</v>
      </c>
      <c r="D951" s="398">
        <f>VLOOKUP(D925,'Detail Balok'!$C$10:$BJ$140,56,FALSE)</f>
        <v>0</v>
      </c>
      <c r="E951" s="388" t="s">
        <v>16</v>
      </c>
      <c r="F951" s="388">
        <f>VLOOKUP(D925,'Detail Balok'!$C$10:$BJ$140,58,FALSE)</f>
        <v>0</v>
      </c>
      <c r="G951" s="405" t="s">
        <v>157</v>
      </c>
      <c r="H951" s="395">
        <f>VLOOKUP(D925,'Detail Balok'!$C$10:$BJ$140,60,FALSE)</f>
        <v>100</v>
      </c>
      <c r="I951" s="388"/>
      <c r="J951" s="399">
        <f t="shared" ref="J951" si="3004">(D926-2*F$5)/1000</f>
        <v>0.12</v>
      </c>
      <c r="K951" s="400" t="s">
        <v>204</v>
      </c>
      <c r="L951" s="399">
        <f t="shared" si="2995"/>
        <v>0.15</v>
      </c>
      <c r="M951" s="399" t="s">
        <v>176</v>
      </c>
      <c r="N951" s="399">
        <f t="shared" si="2996"/>
        <v>0.27</v>
      </c>
      <c r="O951" s="399"/>
      <c r="P951" s="399"/>
      <c r="Q951" s="399"/>
      <c r="R951" s="399"/>
      <c r="S951" s="399"/>
      <c r="T951" s="399" t="s">
        <v>125</v>
      </c>
      <c r="U951" s="401">
        <f t="shared" si="2997"/>
        <v>0</v>
      </c>
      <c r="V951" s="399" t="s">
        <v>125</v>
      </c>
      <c r="W951" s="399">
        <f t="shared" si="2809"/>
        <v>6</v>
      </c>
      <c r="X951" s="399" t="s">
        <v>125</v>
      </c>
      <c r="Y951" s="389">
        <f t="shared" ref="Y951" si="3005">D935</f>
        <v>3</v>
      </c>
      <c r="Z951" s="400" t="s">
        <v>176</v>
      </c>
      <c r="AA951" s="402">
        <f t="shared" si="2999"/>
        <v>0</v>
      </c>
      <c r="AB951" s="403"/>
    </row>
    <row r="952" spans="1:28">
      <c r="A952" s="391"/>
      <c r="B952" s="392"/>
      <c r="C952" s="392"/>
      <c r="D952" s="394"/>
      <c r="E952" s="388"/>
      <c r="F952" s="388"/>
      <c r="G952" s="388"/>
      <c r="H952" s="395"/>
      <c r="I952" s="388"/>
      <c r="J952" s="402"/>
      <c r="K952" s="388"/>
      <c r="L952" s="388"/>
      <c r="M952" s="388"/>
      <c r="N952" s="388"/>
      <c r="O952" s="388"/>
      <c r="P952" s="388"/>
      <c r="Q952" s="388"/>
      <c r="R952" s="388"/>
      <c r="S952" s="388"/>
      <c r="T952" s="388"/>
      <c r="U952" s="388"/>
      <c r="V952" s="388"/>
      <c r="W952" s="388"/>
      <c r="X952" s="388"/>
      <c r="Y952" s="389"/>
      <c r="Z952" s="388"/>
      <c r="AA952" s="402"/>
      <c r="AB952" s="403"/>
    </row>
    <row r="953" spans="1:28" ht="15.75" thickBot="1">
      <c r="A953" s="406"/>
      <c r="B953" s="407"/>
      <c r="C953" s="407"/>
      <c r="D953" s="408"/>
      <c r="E953" s="409"/>
      <c r="F953" s="409"/>
      <c r="G953" s="409"/>
      <c r="H953" s="410"/>
      <c r="I953" s="409"/>
      <c r="J953" s="409"/>
      <c r="K953" s="409"/>
      <c r="L953" s="409"/>
      <c r="M953" s="409"/>
      <c r="N953" s="409"/>
      <c r="O953" s="409"/>
      <c r="P953" s="409"/>
      <c r="Q953" s="409"/>
      <c r="R953" s="409"/>
      <c r="S953" s="409"/>
      <c r="T953" s="409"/>
      <c r="U953" s="409"/>
      <c r="V953" s="409"/>
      <c r="W953" s="409"/>
      <c r="X953" s="409"/>
      <c r="Y953" s="411"/>
      <c r="Z953" s="409"/>
      <c r="AA953" s="412"/>
      <c r="AB953" s="413"/>
    </row>
    <row r="954" spans="1:28">
      <c r="A954" s="377"/>
      <c r="B954" s="378"/>
      <c r="C954" s="378"/>
      <c r="D954" s="379"/>
      <c r="E954" s="380"/>
      <c r="F954" s="380"/>
      <c r="G954" s="380"/>
      <c r="H954" s="381"/>
      <c r="I954" s="380"/>
      <c r="J954" s="380"/>
      <c r="K954" s="380"/>
      <c r="L954" s="380"/>
      <c r="M954" s="380"/>
      <c r="N954" s="380"/>
      <c r="O954" s="380"/>
      <c r="P954" s="380"/>
      <c r="Q954" s="380"/>
      <c r="R954" s="380"/>
      <c r="S954" s="380"/>
      <c r="T954" s="380"/>
      <c r="U954" s="380"/>
      <c r="V954" s="380"/>
      <c r="W954" s="380"/>
      <c r="X954" s="380"/>
      <c r="Y954" s="382"/>
      <c r="Z954" s="380"/>
      <c r="AA954" s="380"/>
      <c r="AB954" s="383"/>
    </row>
    <row r="955" spans="1:28">
      <c r="A955" s="384" t="str">
        <f t="shared" si="2818"/>
        <v>Lantai 1</v>
      </c>
      <c r="B955" s="385">
        <f t="shared" si="2819"/>
        <v>31</v>
      </c>
      <c r="C955" s="386" t="str">
        <f t="shared" ref="C955" si="3006">CONCATENATE(A955," no. ",B955)</f>
        <v>Lantai 1 no. 31</v>
      </c>
      <c r="D955" s="2562" t="str">
        <f>VLOOKUP(C955,'Data Panjang Balok'!$C$9:$N$254,2,FALSE)</f>
        <v>S25-1</v>
      </c>
      <c r="E955" s="2576"/>
      <c r="F955" s="2576"/>
      <c r="G955" s="2576"/>
      <c r="H955" s="2577"/>
      <c r="I955" s="387"/>
      <c r="J955" s="388"/>
      <c r="K955" s="388"/>
      <c r="L955" s="388"/>
      <c r="M955" s="388"/>
      <c r="N955" s="388"/>
      <c r="O955" s="388"/>
      <c r="P955" s="388"/>
      <c r="Q955" s="388"/>
      <c r="R955" s="388"/>
      <c r="S955" s="388"/>
      <c r="T955" s="388"/>
      <c r="U955" s="388"/>
      <c r="V955" s="388"/>
      <c r="W955" s="388"/>
      <c r="X955" s="388"/>
      <c r="Y955" s="389"/>
      <c r="Z955" s="388"/>
      <c r="AA955" s="388"/>
      <c r="AB955" s="390"/>
    </row>
    <row r="956" spans="1:28">
      <c r="A956" s="391"/>
      <c r="B956" s="392"/>
      <c r="C956" s="393" t="s">
        <v>118</v>
      </c>
      <c r="D956" s="2578">
        <f>VLOOKUP(D955,'Detail Balok'!$C$10:$AU$140,2,FALSE)</f>
        <v>200</v>
      </c>
      <c r="E956" s="2579"/>
      <c r="F956" s="388" t="s">
        <v>125</v>
      </c>
      <c r="G956" s="2579">
        <f>VLOOKUP(D955,'Detail Balok'!$C$10:$AU$140,3,FALSE)</f>
        <v>500</v>
      </c>
      <c r="H956" s="2580"/>
      <c r="I956" s="388"/>
      <c r="J956" s="396"/>
      <c r="K956" s="396"/>
      <c r="L956" s="396"/>
      <c r="M956" s="396"/>
      <c r="N956" s="396"/>
      <c r="O956" s="396"/>
      <c r="P956" s="396"/>
      <c r="Q956" s="396"/>
      <c r="R956" s="396"/>
      <c r="S956" s="396"/>
      <c r="T956" s="396"/>
      <c r="U956" s="388"/>
      <c r="V956" s="396"/>
      <c r="W956" s="388"/>
      <c r="X956" s="396"/>
      <c r="Y956" s="389"/>
      <c r="Z956" s="396"/>
      <c r="AA956" s="388"/>
      <c r="AB956" s="390"/>
    </row>
    <row r="957" spans="1:28">
      <c r="A957" s="391"/>
      <c r="B957" s="392"/>
      <c r="C957" s="393" t="s">
        <v>198</v>
      </c>
      <c r="D957" s="2562">
        <f>VLOOKUP(C955,'Data Panjang Balok'!$C$9:$N$254,4,FALSE)</f>
        <v>6150</v>
      </c>
      <c r="E957" s="2563"/>
      <c r="F957" s="2563"/>
      <c r="G957" s="2563"/>
      <c r="H957" s="2564"/>
      <c r="I957" s="397"/>
      <c r="J957" s="396"/>
      <c r="K957" s="396"/>
      <c r="L957" s="396"/>
      <c r="M957" s="396"/>
      <c r="N957" s="396"/>
      <c r="O957" s="396"/>
      <c r="P957" s="396"/>
      <c r="Q957" s="396"/>
      <c r="R957" s="396"/>
      <c r="S957" s="396"/>
      <c r="T957" s="396"/>
      <c r="U957" s="388"/>
      <c r="V957" s="396"/>
      <c r="W957" s="388"/>
      <c r="X957" s="396"/>
      <c r="Y957" s="389"/>
      <c r="Z957" s="396"/>
      <c r="AA957" s="388"/>
      <c r="AB957" s="390"/>
    </row>
    <row r="958" spans="1:28">
      <c r="A958" s="391"/>
      <c r="B958" s="392"/>
      <c r="C958" s="393" t="s">
        <v>199</v>
      </c>
      <c r="D958" s="2562">
        <f>VLOOKUP(C955,'Data Panjang Balok'!$C$9:$N$254,7,FALSE)</f>
        <v>6150</v>
      </c>
      <c r="E958" s="2563"/>
      <c r="F958" s="2563"/>
      <c r="G958" s="2563"/>
      <c r="H958" s="2564"/>
      <c r="I958" s="397"/>
      <c r="J958" s="396"/>
      <c r="K958" s="396"/>
      <c r="L958" s="396"/>
      <c r="M958" s="396"/>
      <c r="N958" s="396"/>
      <c r="O958" s="396"/>
      <c r="P958" s="396"/>
      <c r="Q958" s="396"/>
      <c r="R958" s="396"/>
      <c r="S958" s="396"/>
      <c r="T958" s="396"/>
      <c r="U958" s="388"/>
      <c r="V958" s="396"/>
      <c r="W958" s="388"/>
      <c r="X958" s="396"/>
      <c r="Y958" s="389"/>
      <c r="Z958" s="396"/>
      <c r="AA958" s="388"/>
      <c r="AB958" s="390"/>
    </row>
    <row r="959" spans="1:28">
      <c r="A959" s="391"/>
      <c r="B959" s="392"/>
      <c r="C959" s="393" t="s">
        <v>200</v>
      </c>
      <c r="D959" s="2562">
        <f>VLOOKUP(C955,'Data Panjang Balok'!$C$9:$N$254,9,FALSE)</f>
        <v>0</v>
      </c>
      <c r="E959" s="2563"/>
      <c r="F959" s="2563"/>
      <c r="G959" s="2563"/>
      <c r="H959" s="2564"/>
      <c r="I959" s="397"/>
      <c r="J959" s="396"/>
      <c r="K959" s="396"/>
      <c r="L959" s="396"/>
      <c r="M959" s="396"/>
      <c r="N959" s="396"/>
      <c r="O959" s="396"/>
      <c r="P959" s="396"/>
      <c r="Q959" s="396"/>
      <c r="R959" s="396"/>
      <c r="S959" s="396"/>
      <c r="T959" s="396"/>
      <c r="U959" s="388"/>
      <c r="V959" s="396"/>
      <c r="W959" s="388"/>
      <c r="X959" s="396"/>
      <c r="Y959" s="389"/>
      <c r="Z959" s="396"/>
      <c r="AA959" s="388"/>
      <c r="AB959" s="390"/>
    </row>
    <row r="960" spans="1:28">
      <c r="A960" s="391"/>
      <c r="B960" s="392"/>
      <c r="C960" s="393" t="s">
        <v>201</v>
      </c>
      <c r="D960" s="2562">
        <f>VLOOKUP(C955,'Data Panjang Balok'!$C$9:$N$254,10,FALSE)</f>
        <v>0</v>
      </c>
      <c r="E960" s="2563"/>
      <c r="F960" s="2563"/>
      <c r="G960" s="2563"/>
      <c r="H960" s="2564"/>
      <c r="I960" s="397"/>
      <c r="J960" s="396"/>
      <c r="K960" s="396"/>
      <c r="L960" s="396"/>
      <c r="M960" s="396"/>
      <c r="N960" s="396"/>
      <c r="O960" s="396"/>
      <c r="P960" s="396"/>
      <c r="Q960" s="396"/>
      <c r="R960" s="396"/>
      <c r="S960" s="396"/>
      <c r="T960" s="396"/>
      <c r="U960" s="388"/>
      <c r="V960" s="396"/>
      <c r="W960" s="388"/>
      <c r="X960" s="396"/>
      <c r="Y960" s="389"/>
      <c r="Z960" s="396"/>
      <c r="AA960" s="388"/>
      <c r="AB960" s="390"/>
    </row>
    <row r="961" spans="1:28">
      <c r="A961" s="391"/>
      <c r="B961" s="392"/>
      <c r="C961" s="393" t="s">
        <v>48</v>
      </c>
      <c r="D961" s="2562">
        <f>VLOOKUP(C955,'Data Panjang Balok'!$C$9:$N$254,3,FALSE)</f>
        <v>1</v>
      </c>
      <c r="E961" s="2563"/>
      <c r="F961" s="2563"/>
      <c r="G961" s="2563"/>
      <c r="H961" s="2564"/>
      <c r="I961" s="397"/>
      <c r="J961" s="396"/>
      <c r="K961" s="396"/>
      <c r="L961" s="396"/>
      <c r="M961" s="396"/>
      <c r="N961" s="396"/>
      <c r="O961" s="396"/>
      <c r="P961" s="396"/>
      <c r="Q961" s="396"/>
      <c r="R961" s="396"/>
      <c r="S961" s="396"/>
      <c r="T961" s="396"/>
      <c r="U961" s="388"/>
      <c r="V961" s="396"/>
      <c r="W961" s="388"/>
      <c r="X961" s="396"/>
      <c r="Y961" s="389"/>
      <c r="Z961" s="396"/>
      <c r="AA961" s="388"/>
      <c r="AB961" s="390"/>
    </row>
    <row r="962" spans="1:28">
      <c r="A962" s="384" t="str">
        <f t="shared" ref="A962:B962" si="3007">A955</f>
        <v>Lantai 1</v>
      </c>
      <c r="B962" s="385">
        <f t="shared" si="3007"/>
        <v>31</v>
      </c>
      <c r="C962" s="393" t="s">
        <v>202</v>
      </c>
      <c r="D962" s="398">
        <f>VLOOKUP(D955,'Detail Balok'!$C$10:$AU$140,4,FALSE)</f>
        <v>3</v>
      </c>
      <c r="E962" s="388" t="s">
        <v>16</v>
      </c>
      <c r="F962" s="388">
        <f>VLOOKUP(D955,'Detail Balok'!$C$10:$AU$140,6,FALSE)</f>
        <v>16</v>
      </c>
      <c r="G962" s="388"/>
      <c r="H962" s="395"/>
      <c r="I962" s="388" t="s">
        <v>203</v>
      </c>
      <c r="J962" s="399">
        <f t="shared" ref="J962" si="3008">+D957/4/1000</f>
        <v>1.5375000000000001</v>
      </c>
      <c r="K962" s="400" t="s">
        <v>204</v>
      </c>
      <c r="L962" s="399">
        <f t="shared" ref="L962" si="3009">MAX(VLOOKUP(F962,N$6:P$15,3,FALSE)/1000,2/3*D959/1000)+F$16*F962/1000</f>
        <v>0.192</v>
      </c>
      <c r="M962" s="399" t="s">
        <v>176</v>
      </c>
      <c r="N962" s="399">
        <f t="shared" ref="N962:N964" si="3010">J962+L962</f>
        <v>1.7295</v>
      </c>
      <c r="O962" s="399" t="s">
        <v>204</v>
      </c>
      <c r="P962" s="389">
        <f t="shared" ref="P962" si="3011">D962-D963</f>
        <v>0</v>
      </c>
      <c r="Q962" s="399" t="s">
        <v>125</v>
      </c>
      <c r="R962" s="399">
        <f t="shared" ref="R962" si="3012">IF(P962&gt;0,$F$18*F962/1000,0)</f>
        <v>0</v>
      </c>
      <c r="S962" s="399" t="s">
        <v>205</v>
      </c>
      <c r="T962" s="399" t="s">
        <v>125</v>
      </c>
      <c r="U962" s="401">
        <f t="shared" ref="U962:U964" si="3013">0.006165*F962^2</f>
        <v>1.5782400000000001</v>
      </c>
      <c r="V962" s="399"/>
      <c r="W962" s="399"/>
      <c r="X962" s="399" t="s">
        <v>125</v>
      </c>
      <c r="Y962" s="389">
        <f t="shared" ref="Y962" si="3014">D961</f>
        <v>1</v>
      </c>
      <c r="Z962" s="400" t="s">
        <v>176</v>
      </c>
      <c r="AA962" s="402">
        <f t="shared" ref="AA962" si="3015">IF(AA965=0,(D962*N962+P962*R962)*U962*Y962,0)</f>
        <v>0</v>
      </c>
      <c r="AB962" s="403"/>
    </row>
    <row r="963" spans="1:28">
      <c r="A963" s="384" t="str">
        <f t="shared" ref="A963:B963" si="3016">A955</f>
        <v>Lantai 1</v>
      </c>
      <c r="B963" s="385">
        <f t="shared" si="3016"/>
        <v>31</v>
      </c>
      <c r="C963" s="393" t="s">
        <v>206</v>
      </c>
      <c r="D963" s="398">
        <f>VLOOKUP(D955,'Detail Balok'!$C$10:$AU$140,7,FALSE)</f>
        <v>3</v>
      </c>
      <c r="E963" s="388" t="s">
        <v>16</v>
      </c>
      <c r="F963" s="388">
        <f>VLOOKUP(D955,'Detail Balok'!$C$10:$AU$140,9,FALSE)</f>
        <v>16</v>
      </c>
      <c r="G963" s="388"/>
      <c r="H963" s="395"/>
      <c r="I963" s="388" t="s">
        <v>203</v>
      </c>
      <c r="J963" s="399">
        <f t="shared" ref="J963" si="3017">+D957/2/1000</f>
        <v>3.0750000000000002</v>
      </c>
      <c r="K963" s="400" t="s">
        <v>204</v>
      </c>
      <c r="L963" s="399"/>
      <c r="M963" s="399" t="s">
        <v>176</v>
      </c>
      <c r="N963" s="399">
        <f t="shared" si="3010"/>
        <v>3.0750000000000002</v>
      </c>
      <c r="O963" s="399" t="s">
        <v>204</v>
      </c>
      <c r="P963" s="389">
        <f t="shared" ref="P963" si="3018">MAX(D963-D962,D963-D964)</f>
        <v>0</v>
      </c>
      <c r="Q963" s="399" t="s">
        <v>125</v>
      </c>
      <c r="R963" s="399">
        <f t="shared" ref="R963" si="3019">IF(P963&gt;0,2*(1-2*$F$19-1/2)*D958/1000,0)</f>
        <v>0</v>
      </c>
      <c r="S963" s="399" t="s">
        <v>205</v>
      </c>
      <c r="T963" s="399" t="s">
        <v>125</v>
      </c>
      <c r="U963" s="401">
        <f t="shared" si="3013"/>
        <v>1.5782400000000001</v>
      </c>
      <c r="V963" s="399"/>
      <c r="W963" s="399"/>
      <c r="X963" s="399" t="s">
        <v>125</v>
      </c>
      <c r="Y963" s="389">
        <f t="shared" ref="Y963" si="3020">D961</f>
        <v>1</v>
      </c>
      <c r="Z963" s="400" t="s">
        <v>176</v>
      </c>
      <c r="AA963" s="402">
        <f t="shared" ref="AA963" si="3021">IF(AA965=0,(D963*N963+P963*R963)*U963*Y963,0)</f>
        <v>0</v>
      </c>
      <c r="AB963" s="403"/>
    </row>
    <row r="964" spans="1:28">
      <c r="A964" s="384" t="str">
        <f t="shared" ref="A964:B964" si="3022">A955</f>
        <v>Lantai 1</v>
      </c>
      <c r="B964" s="385">
        <f t="shared" si="3022"/>
        <v>31</v>
      </c>
      <c r="C964" s="393" t="s">
        <v>202</v>
      </c>
      <c r="D964" s="398">
        <f>VLOOKUP(D955,'Detail Balok'!$C$10:$AU$140,10,FALSE)</f>
        <v>3</v>
      </c>
      <c r="E964" s="388" t="s">
        <v>16</v>
      </c>
      <c r="F964" s="388">
        <f>VLOOKUP(D955,'Detail Balok'!$C$10:$AU$140,12,FALSE)</f>
        <v>16</v>
      </c>
      <c r="G964" s="388"/>
      <c r="H964" s="395"/>
      <c r="I964" s="388" t="s">
        <v>203</v>
      </c>
      <c r="J964" s="399">
        <f t="shared" ref="J964" si="3023">+D957/4/1000</f>
        <v>1.5375000000000001</v>
      </c>
      <c r="K964" s="400" t="s">
        <v>204</v>
      </c>
      <c r="L964" s="399">
        <f t="shared" ref="L964" si="3024">MAX(VLOOKUP(F964,N$6:P$15,3,FALSE)/1000,2/3*D959/1000)+F$16*F964/1000</f>
        <v>0.192</v>
      </c>
      <c r="M964" s="399" t="s">
        <v>176</v>
      </c>
      <c r="N964" s="399">
        <f t="shared" si="3010"/>
        <v>1.7295</v>
      </c>
      <c r="O964" s="399" t="s">
        <v>204</v>
      </c>
      <c r="P964" s="389">
        <f t="shared" ref="P964" si="3025">D964-D963</f>
        <v>0</v>
      </c>
      <c r="Q964" s="399" t="s">
        <v>125</v>
      </c>
      <c r="R964" s="399">
        <f t="shared" ref="R964" si="3026">IF(P964&gt;0,$F$18*F964/1000,0)</f>
        <v>0</v>
      </c>
      <c r="S964" s="399" t="s">
        <v>205</v>
      </c>
      <c r="T964" s="399" t="s">
        <v>125</v>
      </c>
      <c r="U964" s="401">
        <f t="shared" si="3013"/>
        <v>1.5782400000000001</v>
      </c>
      <c r="V964" s="399"/>
      <c r="W964" s="399"/>
      <c r="X964" s="399" t="s">
        <v>125</v>
      </c>
      <c r="Y964" s="389">
        <f t="shared" ref="Y964" si="3027">D961</f>
        <v>1</v>
      </c>
      <c r="Z964" s="400" t="s">
        <v>176</v>
      </c>
      <c r="AA964" s="402">
        <f t="shared" ref="AA964" si="3028">IF(AA965=0,(D964*N964+P964*R964)*U964*Y964,0)</f>
        <v>0</v>
      </c>
      <c r="AB964" s="403"/>
    </row>
    <row r="965" spans="1:28">
      <c r="A965" s="384" t="str">
        <f t="shared" ref="A965:B965" si="3029">A955</f>
        <v>Lantai 1</v>
      </c>
      <c r="B965" s="385">
        <f t="shared" si="3029"/>
        <v>31</v>
      </c>
      <c r="C965" s="393"/>
      <c r="D965" s="398">
        <f t="shared" ref="D965:D1025" si="3030">IF(AND(D962=D963,D963=D964,D962=D964),D962,0)</f>
        <v>3</v>
      </c>
      <c r="E965" s="388" t="s">
        <v>16</v>
      </c>
      <c r="F965" s="388">
        <f t="shared" ref="F965:F1025" si="3031">IF(AND(F962=F963,F962=F964,F963=F964),F962,0)</f>
        <v>16</v>
      </c>
      <c r="G965" s="388"/>
      <c r="H965" s="395"/>
      <c r="I965" s="388"/>
      <c r="J965" s="396"/>
      <c r="K965" s="396"/>
      <c r="L965" s="404" t="s">
        <v>207</v>
      </c>
      <c r="M965" s="399" t="s">
        <v>176</v>
      </c>
      <c r="N965" s="399">
        <f t="shared" ref="N965" si="3032">IF(AND(D962=D963,D962=D964,D963=D964,F962=F963,F962=F964,F963=F964),SUM(N962:N964),0)</f>
        <v>6.5339999999999998</v>
      </c>
      <c r="O965" s="399" t="s">
        <v>204</v>
      </c>
      <c r="P965" s="389">
        <f t="shared" ref="P965" si="3033">IF(N965&gt;12,ROUNDDOWN(N965/12,0),0)</f>
        <v>0</v>
      </c>
      <c r="Q965" s="399" t="s">
        <v>125</v>
      </c>
      <c r="R965" s="399">
        <f t="shared" ref="R965" si="3034">IF(P965&gt;0,MAX(VLOOKUP(F965,$D$6:$G$15,3,FALSE),600),0)/1000</f>
        <v>0</v>
      </c>
      <c r="S965" s="396"/>
      <c r="T965" s="396" t="s">
        <v>125</v>
      </c>
      <c r="U965" s="401">
        <f t="shared" ref="U965:U1025" si="3035">U964</f>
        <v>1.5782400000000001</v>
      </c>
      <c r="V965" s="396" t="s">
        <v>125</v>
      </c>
      <c r="W965" s="399">
        <f t="shared" ref="W965" si="3036">D965</f>
        <v>3</v>
      </c>
      <c r="X965" s="399" t="s">
        <v>125</v>
      </c>
      <c r="Y965" s="389">
        <f t="shared" ref="Y965:Y1025" si="3037">Y964</f>
        <v>1</v>
      </c>
      <c r="Z965" s="400" t="s">
        <v>176</v>
      </c>
      <c r="AA965" s="402">
        <f t="shared" ref="AA965" si="3038">(N965+P965*R965/1000)*U965*W965*Y965</f>
        <v>30.93666048</v>
      </c>
      <c r="AB965" s="390"/>
    </row>
    <row r="966" spans="1:28">
      <c r="A966" s="384"/>
      <c r="B966" s="385"/>
      <c r="C966" s="393"/>
      <c r="D966" s="398"/>
      <c r="E966" s="388"/>
      <c r="F966" s="388"/>
      <c r="G966" s="388"/>
      <c r="H966" s="395"/>
      <c r="I966" s="388"/>
      <c r="J966" s="396"/>
      <c r="K966" s="396"/>
      <c r="L966" s="404"/>
      <c r="M966" s="399"/>
      <c r="N966" s="399"/>
      <c r="O966" s="396"/>
      <c r="P966" s="389"/>
      <c r="Q966" s="396"/>
      <c r="R966" s="396"/>
      <c r="S966" s="396"/>
      <c r="T966" s="396"/>
      <c r="U966" s="401"/>
      <c r="V966" s="396"/>
      <c r="W966" s="399"/>
      <c r="X966" s="396"/>
      <c r="Y966" s="389"/>
      <c r="Z966" s="396"/>
      <c r="AA966" s="388"/>
      <c r="AB966" s="390"/>
    </row>
    <row r="967" spans="1:28">
      <c r="A967" s="384" t="str">
        <f t="shared" ref="A967:B967" si="3039">A955</f>
        <v>Lantai 1</v>
      </c>
      <c r="B967" s="385">
        <f t="shared" si="3039"/>
        <v>31</v>
      </c>
      <c r="C967" s="393" t="s">
        <v>208</v>
      </c>
      <c r="D967" s="398">
        <f>VLOOKUP(D955,'Detail Balok'!$C$10:$AU$140,13,FALSE)</f>
        <v>2</v>
      </c>
      <c r="E967" s="388" t="s">
        <v>16</v>
      </c>
      <c r="F967" s="388">
        <f>VLOOKUP(D955,'Detail Balok'!$C$10:$AU$140,15,FALSE)</f>
        <v>10</v>
      </c>
      <c r="G967" s="388"/>
      <c r="H967" s="395"/>
      <c r="I967" s="388"/>
      <c r="J967" s="399">
        <f t="shared" ref="J967" si="3040">+D957/1000</f>
        <v>6.15</v>
      </c>
      <c r="K967" s="400" t="s">
        <v>204</v>
      </c>
      <c r="L967" s="399">
        <f t="shared" ref="L967" si="3041">2*$F$16*F967/1000</f>
        <v>0.24</v>
      </c>
      <c r="M967" s="399" t="s">
        <v>176</v>
      </c>
      <c r="N967" s="399">
        <f t="shared" ref="N967" si="3042">J967+L967</f>
        <v>6.3900000000000006</v>
      </c>
      <c r="O967" s="399" t="s">
        <v>204</v>
      </c>
      <c r="P967" s="389">
        <f t="shared" ref="P967" si="3043">IF(N967&gt;12,ROUNDDOWN(N967/12,0),0)</f>
        <v>0</v>
      </c>
      <c r="Q967" s="399" t="s">
        <v>125</v>
      </c>
      <c r="R967" s="399">
        <f t="shared" ref="R967" si="3044">IF(P967&gt;0,MAX(VLOOKUP(F967,$D$6:$G$15,3,FALSE),600),0)/1000</f>
        <v>0</v>
      </c>
      <c r="S967" s="399"/>
      <c r="T967" s="399" t="s">
        <v>125</v>
      </c>
      <c r="U967" s="401">
        <f t="shared" ref="U967" si="3045">0.006165*F967^2</f>
        <v>0.61650000000000005</v>
      </c>
      <c r="V967" s="399" t="s">
        <v>125</v>
      </c>
      <c r="W967" s="399">
        <f t="shared" ref="W967" si="3046">+D967</f>
        <v>2</v>
      </c>
      <c r="X967" s="399" t="s">
        <v>125</v>
      </c>
      <c r="Y967" s="389">
        <f t="shared" ref="Y967" si="3047">D961</f>
        <v>1</v>
      </c>
      <c r="Z967" s="400" t="s">
        <v>176</v>
      </c>
      <c r="AA967" s="402">
        <f t="shared" ref="AA967" si="3048">(N967+P967*R967/1000)*U967*W967*Y967</f>
        <v>7.8788700000000009</v>
      </c>
      <c r="AB967" s="403"/>
    </row>
    <row r="968" spans="1:28">
      <c r="A968" s="384"/>
      <c r="B968" s="385"/>
      <c r="C968" s="393"/>
      <c r="D968" s="398"/>
      <c r="E968" s="388"/>
      <c r="F968" s="388"/>
      <c r="G968" s="388"/>
      <c r="H968" s="395"/>
      <c r="I968" s="388"/>
      <c r="J968" s="399"/>
      <c r="K968" s="400"/>
      <c r="L968" s="399"/>
      <c r="M968" s="399"/>
      <c r="N968" s="399"/>
      <c r="O968" s="399"/>
      <c r="P968" s="389"/>
      <c r="Q968" s="399"/>
      <c r="R968" s="399"/>
      <c r="S968" s="399"/>
      <c r="T968" s="399"/>
      <c r="U968" s="401"/>
      <c r="V968" s="399"/>
      <c r="W968" s="399"/>
      <c r="X968" s="399"/>
      <c r="Y968" s="389"/>
      <c r="Z968" s="400"/>
      <c r="AA968" s="402"/>
      <c r="AB968" s="403"/>
    </row>
    <row r="969" spans="1:28">
      <c r="A969" s="384"/>
      <c r="B969" s="385"/>
      <c r="C969" s="393"/>
      <c r="D969" s="398"/>
      <c r="E969" s="388"/>
      <c r="F969" s="388"/>
      <c r="G969" s="388"/>
      <c r="H969" s="395"/>
      <c r="I969" s="388"/>
      <c r="J969" s="396"/>
      <c r="K969" s="396"/>
      <c r="L969" s="396"/>
      <c r="M969" s="396"/>
      <c r="N969" s="396"/>
      <c r="O969" s="396"/>
      <c r="P969" s="389"/>
      <c r="Q969" s="396"/>
      <c r="R969" s="396"/>
      <c r="S969" s="396"/>
      <c r="T969" s="396"/>
      <c r="U969" s="401"/>
      <c r="V969" s="396"/>
      <c r="W969" s="399"/>
      <c r="X969" s="396"/>
      <c r="Y969" s="389"/>
      <c r="Z969" s="396"/>
      <c r="AA969" s="388"/>
      <c r="AB969" s="390"/>
    </row>
    <row r="970" spans="1:28">
      <c r="A970" s="384" t="str">
        <f t="shared" ref="A970:B970" si="3049">A955</f>
        <v>Lantai 1</v>
      </c>
      <c r="B970" s="385">
        <f t="shared" si="3049"/>
        <v>31</v>
      </c>
      <c r="C970" s="393" t="s">
        <v>209</v>
      </c>
      <c r="D970" s="398">
        <f>VLOOKUP(D955,'Detail Balok'!$C$10:$AU$140,22,FALSE)</f>
        <v>3</v>
      </c>
      <c r="E970" s="388" t="s">
        <v>16</v>
      </c>
      <c r="F970" s="388">
        <f>VLOOKUP(D955,'Detail Balok'!$C$10:$AU$140,24,FALSE)</f>
        <v>16</v>
      </c>
      <c r="G970" s="388"/>
      <c r="H970" s="395"/>
      <c r="I970" s="388" t="s">
        <v>203</v>
      </c>
      <c r="J970" s="399">
        <f t="shared" ref="J970:J1032" si="3050">+J962</f>
        <v>1.5375000000000001</v>
      </c>
      <c r="K970" s="400" t="s">
        <v>204</v>
      </c>
      <c r="L970" s="399">
        <f t="shared" ref="L970" si="3051">MAX(VLOOKUP(F970,N$6:P$15,3,FALSE)/1000,2/3*D960/1000)+F$16*F970/1000</f>
        <v>0.192</v>
      </c>
      <c r="M970" s="399" t="s">
        <v>176</v>
      </c>
      <c r="N970" s="399">
        <f t="shared" ref="N970:N972" si="3052">J970+L970</f>
        <v>1.7295</v>
      </c>
      <c r="O970" s="399" t="s">
        <v>204</v>
      </c>
      <c r="P970" s="389">
        <f t="shared" ref="P970" si="3053">D970-D971</f>
        <v>0</v>
      </c>
      <c r="Q970" s="399" t="s">
        <v>125</v>
      </c>
      <c r="R970" s="399">
        <f t="shared" ref="R970" si="3054">IF(P970&gt;0,$F$18*F970/1000,0)</f>
        <v>0</v>
      </c>
      <c r="S970" s="399" t="s">
        <v>205</v>
      </c>
      <c r="T970" s="399" t="s">
        <v>125</v>
      </c>
      <c r="U970" s="401">
        <f t="shared" ref="U970:U972" si="3055">0.006165*F970^2</f>
        <v>1.5782400000000001</v>
      </c>
      <c r="V970" s="399"/>
      <c r="W970" s="399"/>
      <c r="X970" s="399" t="s">
        <v>125</v>
      </c>
      <c r="Y970" s="389">
        <f t="shared" ref="Y970" si="3056">D961</f>
        <v>1</v>
      </c>
      <c r="Z970" s="400" t="s">
        <v>176</v>
      </c>
      <c r="AA970" s="402">
        <f t="shared" ref="AA970" si="3057">IF(AA973=0,(D970*N970+P970*R970)*U970*Y970,0)</f>
        <v>0</v>
      </c>
      <c r="AB970" s="403"/>
    </row>
    <row r="971" spans="1:28">
      <c r="A971" s="384" t="str">
        <f t="shared" ref="A971:B971" si="3058">A955</f>
        <v>Lantai 1</v>
      </c>
      <c r="B971" s="385">
        <f t="shared" si="3058"/>
        <v>31</v>
      </c>
      <c r="C971" s="393" t="s">
        <v>210</v>
      </c>
      <c r="D971" s="398">
        <f>VLOOKUP(D955,'Detail Balok'!$C$10:$AU$140,25,FALSE)</f>
        <v>3</v>
      </c>
      <c r="E971" s="388" t="s">
        <v>16</v>
      </c>
      <c r="F971" s="388">
        <f>VLOOKUP(D955,'Detail Balok'!$C$10:$AU$140,27,FALSE)</f>
        <v>16</v>
      </c>
      <c r="G971" s="388"/>
      <c r="H971" s="395"/>
      <c r="I971" s="388" t="s">
        <v>203</v>
      </c>
      <c r="J971" s="399">
        <f t="shared" si="3050"/>
        <v>3.0750000000000002</v>
      </c>
      <c r="K971" s="400" t="s">
        <v>204</v>
      </c>
      <c r="L971" s="399"/>
      <c r="M971" s="399" t="s">
        <v>176</v>
      </c>
      <c r="N971" s="399">
        <f t="shared" si="3052"/>
        <v>3.0750000000000002</v>
      </c>
      <c r="O971" s="399" t="s">
        <v>204</v>
      </c>
      <c r="P971" s="389">
        <f t="shared" ref="P971" si="3059">MAX(D971-D970,D971-D972)</f>
        <v>0</v>
      </c>
      <c r="Q971" s="399" t="s">
        <v>125</v>
      </c>
      <c r="R971" s="399">
        <f t="shared" ref="R971" si="3060">IF(P971&gt;0,2*(1-2*$F$19-1/2)*D958/1000,0)</f>
        <v>0</v>
      </c>
      <c r="S971" s="399" t="s">
        <v>205</v>
      </c>
      <c r="T971" s="399" t="s">
        <v>125</v>
      </c>
      <c r="U971" s="401">
        <f t="shared" si="3055"/>
        <v>1.5782400000000001</v>
      </c>
      <c r="V971" s="399"/>
      <c r="W971" s="399"/>
      <c r="X971" s="399" t="s">
        <v>125</v>
      </c>
      <c r="Y971" s="389">
        <f t="shared" ref="Y971" si="3061">D961</f>
        <v>1</v>
      </c>
      <c r="Z971" s="400" t="s">
        <v>176</v>
      </c>
      <c r="AA971" s="402">
        <f t="shared" ref="AA971" si="3062">IF(AA973=0,(D971*N971+P971*R971)*U971*Y971,0)</f>
        <v>0</v>
      </c>
      <c r="AB971" s="403"/>
    </row>
    <row r="972" spans="1:28">
      <c r="A972" s="384" t="str">
        <f t="shared" ref="A972:B972" si="3063">A955</f>
        <v>Lantai 1</v>
      </c>
      <c r="B972" s="385">
        <f t="shared" si="3063"/>
        <v>31</v>
      </c>
      <c r="C972" s="393" t="s">
        <v>209</v>
      </c>
      <c r="D972" s="398">
        <f>VLOOKUP(D955,'Detail Balok'!$C$10:$AU$140,28,FALSE)</f>
        <v>3</v>
      </c>
      <c r="E972" s="388" t="s">
        <v>16</v>
      </c>
      <c r="F972" s="388">
        <f>VLOOKUP(D955,'Detail Balok'!$C$10:$AU$140,30,FALSE)</f>
        <v>16</v>
      </c>
      <c r="G972" s="388"/>
      <c r="H972" s="395"/>
      <c r="I972" s="388" t="s">
        <v>203</v>
      </c>
      <c r="J972" s="399">
        <f t="shared" si="3050"/>
        <v>1.5375000000000001</v>
      </c>
      <c r="K972" s="400" t="s">
        <v>204</v>
      </c>
      <c r="L972" s="399">
        <f t="shared" ref="L972" si="3064">MAX(VLOOKUP(F972,N$6:P$15,3,FALSE)/1000,2/3*D960/1000)+F$16*F972/1000</f>
        <v>0.192</v>
      </c>
      <c r="M972" s="399" t="s">
        <v>176</v>
      </c>
      <c r="N972" s="399">
        <f t="shared" si="3052"/>
        <v>1.7295</v>
      </c>
      <c r="O972" s="399" t="s">
        <v>204</v>
      </c>
      <c r="P972" s="389">
        <f t="shared" ref="P972" si="3065">D972-D971</f>
        <v>0</v>
      </c>
      <c r="Q972" s="399" t="s">
        <v>125</v>
      </c>
      <c r="R972" s="399">
        <f t="shared" ref="R972" si="3066">IF(P972&gt;0,$F$18*F972/1000,0)</f>
        <v>0</v>
      </c>
      <c r="S972" s="399" t="s">
        <v>205</v>
      </c>
      <c r="T972" s="399" t="s">
        <v>125</v>
      </c>
      <c r="U972" s="401">
        <f t="shared" si="3055"/>
        <v>1.5782400000000001</v>
      </c>
      <c r="V972" s="399"/>
      <c r="W972" s="399"/>
      <c r="X972" s="399" t="s">
        <v>125</v>
      </c>
      <c r="Y972" s="389">
        <f t="shared" ref="Y972" si="3067">D961</f>
        <v>1</v>
      </c>
      <c r="Z972" s="400" t="s">
        <v>176</v>
      </c>
      <c r="AA972" s="402">
        <f t="shared" ref="AA972" si="3068">IF(AA973=0,(D972*N972+P972*R972)*U972*Y972,0)</f>
        <v>0</v>
      </c>
      <c r="AB972" s="403"/>
    </row>
    <row r="973" spans="1:28">
      <c r="A973" s="384" t="str">
        <f t="shared" ref="A973:B973" si="3069">A955</f>
        <v>Lantai 1</v>
      </c>
      <c r="B973" s="385">
        <f t="shared" si="3069"/>
        <v>31</v>
      </c>
      <c r="C973" s="393"/>
      <c r="D973" s="398">
        <f t="shared" ref="D973:D1033" si="3070">IF(AND(D970=D971,D971=D972,D970=D972),D970,0)</f>
        <v>3</v>
      </c>
      <c r="E973" s="388" t="s">
        <v>16</v>
      </c>
      <c r="F973" s="388">
        <f t="shared" ref="F973:F1033" si="3071">IF(AND(F970=F971,F970=F972,F971=F972),F970,0)</f>
        <v>16</v>
      </c>
      <c r="G973" s="388"/>
      <c r="H973" s="395"/>
      <c r="I973" s="388"/>
      <c r="J973" s="396"/>
      <c r="K973" s="396"/>
      <c r="L973" s="404" t="s">
        <v>207</v>
      </c>
      <c r="M973" s="399" t="s">
        <v>176</v>
      </c>
      <c r="N973" s="399">
        <f t="shared" ref="N973" si="3072">IF(AND(D970=D971,D970=D972,D971=D972,F970=F971,F970=F972,F971=F972),SUM(N970:N972),0)</f>
        <v>6.5339999999999998</v>
      </c>
      <c r="O973" s="399" t="s">
        <v>204</v>
      </c>
      <c r="P973" s="389">
        <f t="shared" ref="P973" si="3073">IF(N973&gt;12,ROUNDDOWN(N973/12,0),0)</f>
        <v>0</v>
      </c>
      <c r="Q973" s="399" t="s">
        <v>125</v>
      </c>
      <c r="R973" s="399">
        <f t="shared" ref="R973" si="3074">IF(P973&gt;0,MAX(VLOOKUP(F973,$D$6:$G$15,3,FALSE),600),0)/1000</f>
        <v>0</v>
      </c>
      <c r="S973" s="396"/>
      <c r="T973" s="396" t="s">
        <v>125</v>
      </c>
      <c r="U973" s="401">
        <f t="shared" ref="U973:U1033" si="3075">U972</f>
        <v>1.5782400000000001</v>
      </c>
      <c r="V973" s="396" t="s">
        <v>125</v>
      </c>
      <c r="W973" s="399">
        <f t="shared" ref="W973" si="3076">D973</f>
        <v>3</v>
      </c>
      <c r="X973" s="399" t="s">
        <v>125</v>
      </c>
      <c r="Y973" s="389">
        <f t="shared" ref="Y973:Y1033" si="3077">Y972</f>
        <v>1</v>
      </c>
      <c r="Z973" s="400" t="s">
        <v>176</v>
      </c>
      <c r="AA973" s="402">
        <f t="shared" ref="AA973" si="3078">(N973+P973*R973/1000)*U973*W973*Y973</f>
        <v>30.93666048</v>
      </c>
      <c r="AB973" s="403"/>
    </row>
    <row r="974" spans="1:28">
      <c r="A974" s="384"/>
      <c r="B974" s="385"/>
      <c r="C974" s="393"/>
      <c r="D974" s="394"/>
      <c r="E974" s="388"/>
      <c r="F974" s="388"/>
      <c r="G974" s="388"/>
      <c r="H974" s="395"/>
      <c r="I974" s="388"/>
      <c r="J974" s="399"/>
      <c r="K974" s="396"/>
      <c r="L974" s="396"/>
      <c r="M974" s="396"/>
      <c r="N974" s="396"/>
      <c r="O974" s="396"/>
      <c r="P974" s="389"/>
      <c r="Q974" s="396"/>
      <c r="R974" s="396"/>
      <c r="S974" s="396"/>
      <c r="T974" s="396"/>
      <c r="U974" s="401"/>
      <c r="V974" s="396"/>
      <c r="W974" s="388"/>
      <c r="X974" s="396"/>
      <c r="Y974" s="389"/>
      <c r="Z974" s="396"/>
      <c r="AA974" s="388"/>
      <c r="AB974" s="390"/>
    </row>
    <row r="975" spans="1:28">
      <c r="A975" s="384" t="str">
        <f t="shared" ref="A975:B975" si="3079">A955</f>
        <v>Lantai 1</v>
      </c>
      <c r="B975" s="385">
        <f t="shared" si="3079"/>
        <v>31</v>
      </c>
      <c r="C975" s="393" t="s">
        <v>211</v>
      </c>
      <c r="D975" s="398">
        <f>VLOOKUP(D955,'Detail Balok'!$C$10:$AU$140,31,FALSE)</f>
        <v>0</v>
      </c>
      <c r="E975" s="388" t="s">
        <v>16</v>
      </c>
      <c r="F975" s="388">
        <f>VLOOKUP(D955,'Detail Balok'!$C$10:$AU$140,33,FALSE)</f>
        <v>8</v>
      </c>
      <c r="G975" s="405" t="s">
        <v>157</v>
      </c>
      <c r="H975" s="395">
        <f>VLOOKUP(D955,'Detail Balok'!$C$10:$AU$140,35,FALSE)</f>
        <v>150</v>
      </c>
      <c r="I975" s="388"/>
      <c r="J975" s="400">
        <f t="shared" ref="J975" si="3080">(IF(D975=0,(2*(D956+G956))-(F$5*8),IF(D975=3,(2*(D956+G956))-(F$5*8)+(G956-2*F$5),IF(D975=4,(2*(D956+G956))-(F$5*8)+2*(G956-2*F$5)))))/1000</f>
        <v>1.08</v>
      </c>
      <c r="K975" s="400" t="s">
        <v>204</v>
      </c>
      <c r="L975" s="399">
        <f t="shared" ref="L975:L977" si="3081">IF(D975=0,2*MAX(6*F975,75),(D975-1)*2*MAX(6*F975,75))/1000</f>
        <v>0.15</v>
      </c>
      <c r="M975" s="399" t="s">
        <v>176</v>
      </c>
      <c r="N975" s="399">
        <f t="shared" ref="N975:N977" si="3082">J975+L975</f>
        <v>1.23</v>
      </c>
      <c r="O975" s="399"/>
      <c r="P975" s="389"/>
      <c r="Q975" s="399"/>
      <c r="R975" s="399"/>
      <c r="S975" s="399"/>
      <c r="T975" s="399" t="s">
        <v>125</v>
      </c>
      <c r="U975" s="401">
        <f t="shared" ref="U975:U977" si="3083">0.006165*F975^2</f>
        <v>0.39456000000000002</v>
      </c>
      <c r="V975" s="399" t="s">
        <v>125</v>
      </c>
      <c r="W975" s="399">
        <f t="shared" ref="W975" si="3084">IF(D958&gt;4*G956,ROUND(MAX(D958/4,2*G956)/H975,0)+1,ROUND(D958/H975,0)+1)</f>
        <v>11</v>
      </c>
      <c r="X975" s="399" t="s">
        <v>125</v>
      </c>
      <c r="Y975" s="389">
        <f t="shared" ref="Y975" si="3085">D961</f>
        <v>1</v>
      </c>
      <c r="Z975" s="400" t="s">
        <v>176</v>
      </c>
      <c r="AA975" s="402">
        <f t="shared" ref="AA975:AA977" si="3086">N975*U975*W975*Y975</f>
        <v>5.3383968000000008</v>
      </c>
      <c r="AB975" s="403"/>
    </row>
    <row r="976" spans="1:28">
      <c r="A976" s="384" t="str">
        <f t="shared" ref="A976:B976" si="3087">A955</f>
        <v>Lantai 1</v>
      </c>
      <c r="B976" s="385">
        <f t="shared" si="3087"/>
        <v>31</v>
      </c>
      <c r="C976" s="393" t="s">
        <v>212</v>
      </c>
      <c r="D976" s="398">
        <f>VLOOKUP(D955,'Detail Balok'!$C$10:$AU$140,36,FALSE)</f>
        <v>0</v>
      </c>
      <c r="E976" s="388" t="s">
        <v>16</v>
      </c>
      <c r="F976" s="388">
        <f>VLOOKUP(D955,'Detail Balok'!$C$10:$AU$140,38,FALSE)</f>
        <v>8</v>
      </c>
      <c r="G976" s="405" t="s">
        <v>157</v>
      </c>
      <c r="H976" s="395">
        <f>VLOOKUP(D955,'Detail Balok'!$C$10:$AU$140,40,FALSE)</f>
        <v>200</v>
      </c>
      <c r="I976" s="388"/>
      <c r="J976" s="400">
        <f t="shared" ref="J976" si="3088">(IF(D976=0,(2*(D956+G956))-(F$5*8),IF(D976=3,(2*(D956+G956))-(F$5*8)+(G956-2*F$5),IF(D976=4,(2*(D956+G956))-(F$5*8)+2*(G956-2*F$5)))))/1000</f>
        <v>1.08</v>
      </c>
      <c r="K976" s="400" t="s">
        <v>204</v>
      </c>
      <c r="L976" s="399">
        <f t="shared" si="3081"/>
        <v>0.15</v>
      </c>
      <c r="M976" s="399" t="s">
        <v>176</v>
      </c>
      <c r="N976" s="399">
        <f t="shared" si="3082"/>
        <v>1.23</v>
      </c>
      <c r="O976" s="399"/>
      <c r="P976" s="389"/>
      <c r="Q976" s="399"/>
      <c r="R976" s="399"/>
      <c r="S976" s="399"/>
      <c r="T976" s="399" t="s">
        <v>125</v>
      </c>
      <c r="U976" s="401">
        <f t="shared" si="3083"/>
        <v>0.39456000000000002</v>
      </c>
      <c r="V976" s="399" t="s">
        <v>125</v>
      </c>
      <c r="W976" s="399">
        <f t="shared" ref="W976" si="3089">IF(D958-MAX(D958/4,2*G956)*2&gt;0,ROUND((D958-MAX(D958/4,2*G956)*2)/H976,0),0)</f>
        <v>15</v>
      </c>
      <c r="X976" s="399" t="s">
        <v>125</v>
      </c>
      <c r="Y976" s="389">
        <f t="shared" ref="Y976" si="3090">D961</f>
        <v>1</v>
      </c>
      <c r="Z976" s="400" t="s">
        <v>176</v>
      </c>
      <c r="AA976" s="402">
        <f t="shared" si="3086"/>
        <v>7.2796320000000003</v>
      </c>
      <c r="AB976" s="403"/>
    </row>
    <row r="977" spans="1:28">
      <c r="A977" s="384" t="str">
        <f t="shared" ref="A977:B977" si="3091">A955</f>
        <v>Lantai 1</v>
      </c>
      <c r="B977" s="385">
        <f t="shared" si="3091"/>
        <v>31</v>
      </c>
      <c r="C977" s="393" t="s">
        <v>211</v>
      </c>
      <c r="D977" s="398">
        <f>VLOOKUP(D955,'Detail Balok'!$C$10:$AU$140,41,FALSE)</f>
        <v>0</v>
      </c>
      <c r="E977" s="388" t="s">
        <v>16</v>
      </c>
      <c r="F977" s="388">
        <f>VLOOKUP(D955,'Detail Balok'!$C$10:$AU$140,43,FALSE)</f>
        <v>8</v>
      </c>
      <c r="G977" s="405" t="s">
        <v>157</v>
      </c>
      <c r="H977" s="395">
        <f>VLOOKUP(D955,'Detail Balok'!$C$10:$AU$140,45,FALSE)</f>
        <v>150</v>
      </c>
      <c r="I977" s="388"/>
      <c r="J977" s="400">
        <f t="shared" ref="J977" si="3092">(IF(D977=0,(2*(D956+G956))-(F$5*8),IF(D977=3,(2*(D956+G956))-(F$5*8)+(G956-2*F$5),IF(D977=4,(2*(D956+G956))-(F$5*8)+2*(G956-2*F$5)))))/1000</f>
        <v>1.08</v>
      </c>
      <c r="K977" s="400" t="s">
        <v>204</v>
      </c>
      <c r="L977" s="399">
        <f t="shared" si="3081"/>
        <v>0.15</v>
      </c>
      <c r="M977" s="399" t="s">
        <v>176</v>
      </c>
      <c r="N977" s="399">
        <f t="shared" si="3082"/>
        <v>1.23</v>
      </c>
      <c r="O977" s="399"/>
      <c r="P977" s="389"/>
      <c r="Q977" s="399"/>
      <c r="R977" s="399"/>
      <c r="S977" s="399"/>
      <c r="T977" s="399" t="s">
        <v>125</v>
      </c>
      <c r="U977" s="401">
        <f t="shared" si="3083"/>
        <v>0.39456000000000002</v>
      </c>
      <c r="V977" s="399" t="s">
        <v>125</v>
      </c>
      <c r="W977" s="399">
        <f t="shared" ref="W977" si="3093">IF(D958&gt;4*G956,ROUND(MAX(D958/4,2*G956)/H977,0)+1,0)</f>
        <v>11</v>
      </c>
      <c r="X977" s="399" t="s">
        <v>125</v>
      </c>
      <c r="Y977" s="389">
        <f t="shared" ref="Y977" si="3094">D961</f>
        <v>1</v>
      </c>
      <c r="Z977" s="400" t="s">
        <v>176</v>
      </c>
      <c r="AA977" s="402">
        <f t="shared" si="3086"/>
        <v>5.3383968000000008</v>
      </c>
      <c r="AB977" s="403"/>
    </row>
    <row r="978" spans="1:28">
      <c r="A978" s="384"/>
      <c r="B978" s="385"/>
      <c r="C978" s="393"/>
      <c r="D978" s="394"/>
      <c r="E978" s="388"/>
      <c r="F978" s="388"/>
      <c r="G978" s="388"/>
      <c r="H978" s="395"/>
      <c r="I978" s="388"/>
      <c r="J978" s="399"/>
      <c r="K978" s="396"/>
      <c r="L978" s="396"/>
      <c r="M978" s="396"/>
      <c r="N978" s="396"/>
      <c r="O978" s="396"/>
      <c r="P978" s="389"/>
      <c r="Q978" s="396"/>
      <c r="R978" s="396"/>
      <c r="S978" s="396"/>
      <c r="T978" s="396"/>
      <c r="U978" s="401"/>
      <c r="V978" s="396"/>
      <c r="W978" s="388"/>
      <c r="X978" s="396"/>
      <c r="Y978" s="389"/>
      <c r="Z978" s="396"/>
      <c r="AA978" s="388"/>
      <c r="AB978" s="390"/>
    </row>
    <row r="979" spans="1:28">
      <c r="A979" s="384" t="str">
        <f t="shared" ref="A979:B979" si="3095">A955</f>
        <v>Lantai 1</v>
      </c>
      <c r="B979" s="385">
        <f t="shared" si="3095"/>
        <v>31</v>
      </c>
      <c r="C979" s="393" t="s">
        <v>213</v>
      </c>
      <c r="D979" s="398">
        <f>VLOOKUP(D955,'Detail Balok'!$C$10:$BJ$140,46,FALSE)</f>
        <v>0</v>
      </c>
      <c r="E979" s="388" t="s">
        <v>16</v>
      </c>
      <c r="F979" s="388">
        <f>VLOOKUP(D955,'Detail Balok'!$C$10:$BJ$140,48,FALSE)</f>
        <v>0</v>
      </c>
      <c r="G979" s="405" t="s">
        <v>157</v>
      </c>
      <c r="H979" s="395">
        <f>VLOOKUP(D955,'Detail Balok'!$C$10:$BJ$140,50,FALSE)</f>
        <v>100</v>
      </c>
      <c r="I979" s="388"/>
      <c r="J979" s="399">
        <f t="shared" ref="J979" si="3096">(D956-2*F$5)/1000</f>
        <v>0.12</v>
      </c>
      <c r="K979" s="400" t="s">
        <v>204</v>
      </c>
      <c r="L979" s="399">
        <f t="shared" ref="L979:L981" si="3097">IF(D979=0,2*MAX(6*F979,75),(D979-1)*2*MAX(6*F979,75))/1000</f>
        <v>0.15</v>
      </c>
      <c r="M979" s="399" t="s">
        <v>176</v>
      </c>
      <c r="N979" s="399">
        <f t="shared" ref="N979:N981" si="3098">J979+L979</f>
        <v>0.27</v>
      </c>
      <c r="O979" s="399"/>
      <c r="P979" s="399"/>
      <c r="Q979" s="399"/>
      <c r="R979" s="399"/>
      <c r="S979" s="399"/>
      <c r="T979" s="399" t="s">
        <v>125</v>
      </c>
      <c r="U979" s="401">
        <f t="shared" ref="U979:U981" si="3099">0.006165*F979^2</f>
        <v>0</v>
      </c>
      <c r="V979" s="399" t="s">
        <v>125</v>
      </c>
      <c r="W979" s="399">
        <f t="shared" ref="W979:W1041" si="3100">W975</f>
        <v>11</v>
      </c>
      <c r="X979" s="399" t="s">
        <v>125</v>
      </c>
      <c r="Y979" s="389">
        <f t="shared" ref="Y979" si="3101">D965</f>
        <v>3</v>
      </c>
      <c r="Z979" s="400" t="s">
        <v>176</v>
      </c>
      <c r="AA979" s="402">
        <f t="shared" ref="AA979:AA981" si="3102">N979*U979*W979*Y979</f>
        <v>0</v>
      </c>
      <c r="AB979" s="403"/>
    </row>
    <row r="980" spans="1:28">
      <c r="A980" s="384" t="str">
        <f t="shared" ref="A980:B980" si="3103">A955</f>
        <v>Lantai 1</v>
      </c>
      <c r="B980" s="385">
        <f t="shared" si="3103"/>
        <v>31</v>
      </c>
      <c r="C980" s="393" t="s">
        <v>214</v>
      </c>
      <c r="D980" s="398">
        <f>VLOOKUP(D955,'Detail Balok'!$C$10:$BJ$140,51,FALSE)</f>
        <v>0</v>
      </c>
      <c r="E980" s="388" t="s">
        <v>16</v>
      </c>
      <c r="F980" s="388">
        <f>VLOOKUP(D955,'Detail Balok'!$C$10:$BJ$140,53,FALSE)</f>
        <v>0</v>
      </c>
      <c r="G980" s="405" t="s">
        <v>157</v>
      </c>
      <c r="H980" s="395">
        <f>VLOOKUP(D955,'Detail Balok'!$C$10:$BJ$140,55,FALSE)</f>
        <v>100</v>
      </c>
      <c r="I980" s="388"/>
      <c r="J980" s="399">
        <f t="shared" ref="J980" si="3104">(D956-2*F$5)/1000</f>
        <v>0.12</v>
      </c>
      <c r="K980" s="400" t="s">
        <v>204</v>
      </c>
      <c r="L980" s="399">
        <f t="shared" si="3097"/>
        <v>0.15</v>
      </c>
      <c r="M980" s="399" t="s">
        <v>176</v>
      </c>
      <c r="N980" s="399">
        <f t="shared" si="3098"/>
        <v>0.27</v>
      </c>
      <c r="O980" s="399"/>
      <c r="P980" s="399"/>
      <c r="Q980" s="399"/>
      <c r="R980" s="399"/>
      <c r="S980" s="399"/>
      <c r="T980" s="399" t="s">
        <v>125</v>
      </c>
      <c r="U980" s="401">
        <f t="shared" si="3099"/>
        <v>0</v>
      </c>
      <c r="V980" s="399" t="s">
        <v>125</v>
      </c>
      <c r="W980" s="399">
        <f t="shared" si="3100"/>
        <v>15</v>
      </c>
      <c r="X980" s="399" t="s">
        <v>125</v>
      </c>
      <c r="Y980" s="389">
        <f t="shared" ref="Y980" si="3105">D965</f>
        <v>3</v>
      </c>
      <c r="Z980" s="400" t="s">
        <v>176</v>
      </c>
      <c r="AA980" s="402">
        <f t="shared" si="3102"/>
        <v>0</v>
      </c>
      <c r="AB980" s="403"/>
    </row>
    <row r="981" spans="1:28">
      <c r="A981" s="384" t="str">
        <f t="shared" ref="A981:B981" si="3106">A955</f>
        <v>Lantai 1</v>
      </c>
      <c r="B981" s="385">
        <f t="shared" si="3106"/>
        <v>31</v>
      </c>
      <c r="C981" s="393" t="s">
        <v>213</v>
      </c>
      <c r="D981" s="398">
        <f>VLOOKUP(D955,'Detail Balok'!$C$10:$BJ$140,56,FALSE)</f>
        <v>0</v>
      </c>
      <c r="E981" s="388" t="s">
        <v>16</v>
      </c>
      <c r="F981" s="388">
        <f>VLOOKUP(D955,'Detail Balok'!$C$10:$BJ$140,58,FALSE)</f>
        <v>0</v>
      </c>
      <c r="G981" s="405" t="s">
        <v>157</v>
      </c>
      <c r="H981" s="395">
        <f>VLOOKUP(D955,'Detail Balok'!$C$10:$BJ$140,60,FALSE)</f>
        <v>100</v>
      </c>
      <c r="I981" s="388"/>
      <c r="J981" s="399">
        <f t="shared" ref="J981" si="3107">(D956-2*F$5)/1000</f>
        <v>0.12</v>
      </c>
      <c r="K981" s="400" t="s">
        <v>204</v>
      </c>
      <c r="L981" s="399">
        <f t="shared" si="3097"/>
        <v>0.15</v>
      </c>
      <c r="M981" s="399" t="s">
        <v>176</v>
      </c>
      <c r="N981" s="399">
        <f t="shared" si="3098"/>
        <v>0.27</v>
      </c>
      <c r="O981" s="399"/>
      <c r="P981" s="399"/>
      <c r="Q981" s="399"/>
      <c r="R981" s="399"/>
      <c r="S981" s="399"/>
      <c r="T981" s="399" t="s">
        <v>125</v>
      </c>
      <c r="U981" s="401">
        <f t="shared" si="3099"/>
        <v>0</v>
      </c>
      <c r="V981" s="399" t="s">
        <v>125</v>
      </c>
      <c r="W981" s="399">
        <f t="shared" si="3100"/>
        <v>11</v>
      </c>
      <c r="X981" s="399" t="s">
        <v>125</v>
      </c>
      <c r="Y981" s="389">
        <f t="shared" ref="Y981" si="3108">D965</f>
        <v>3</v>
      </c>
      <c r="Z981" s="400" t="s">
        <v>176</v>
      </c>
      <c r="AA981" s="402">
        <f t="shared" si="3102"/>
        <v>0</v>
      </c>
      <c r="AB981" s="403"/>
    </row>
    <row r="982" spans="1:28">
      <c r="A982" s="391"/>
      <c r="B982" s="392"/>
      <c r="C982" s="392"/>
      <c r="D982" s="394"/>
      <c r="E982" s="388"/>
      <c r="F982" s="388"/>
      <c r="G982" s="388"/>
      <c r="H982" s="395"/>
      <c r="I982" s="388"/>
      <c r="J982" s="402"/>
      <c r="K982" s="388"/>
      <c r="L982" s="388"/>
      <c r="M982" s="388"/>
      <c r="N982" s="388"/>
      <c r="O982" s="388"/>
      <c r="P982" s="388"/>
      <c r="Q982" s="388"/>
      <c r="R982" s="388"/>
      <c r="S982" s="388"/>
      <c r="T982" s="388"/>
      <c r="U982" s="388"/>
      <c r="V982" s="388"/>
      <c r="W982" s="388"/>
      <c r="X982" s="388"/>
      <c r="Y982" s="389"/>
      <c r="Z982" s="388"/>
      <c r="AA982" s="402"/>
      <c r="AB982" s="403"/>
    </row>
    <row r="983" spans="1:28" ht="15.75" thickBot="1">
      <c r="A983" s="406"/>
      <c r="B983" s="407"/>
      <c r="C983" s="407"/>
      <c r="D983" s="408"/>
      <c r="E983" s="409"/>
      <c r="F983" s="409"/>
      <c r="G983" s="409"/>
      <c r="H983" s="410"/>
      <c r="I983" s="409"/>
      <c r="J983" s="409"/>
      <c r="K983" s="409"/>
      <c r="L983" s="409"/>
      <c r="M983" s="409"/>
      <c r="N983" s="409"/>
      <c r="O983" s="409"/>
      <c r="P983" s="409"/>
      <c r="Q983" s="409"/>
      <c r="R983" s="409"/>
      <c r="S983" s="409"/>
      <c r="T983" s="409"/>
      <c r="U983" s="409"/>
      <c r="V983" s="409"/>
      <c r="W983" s="409"/>
      <c r="X983" s="409"/>
      <c r="Y983" s="411"/>
      <c r="Z983" s="409"/>
      <c r="AA983" s="412"/>
      <c r="AB983" s="413"/>
    </row>
    <row r="984" spans="1:28">
      <c r="A984" s="377"/>
      <c r="B984" s="378"/>
      <c r="C984" s="378"/>
      <c r="D984" s="379"/>
      <c r="E984" s="380"/>
      <c r="F984" s="380"/>
      <c r="G984" s="380"/>
      <c r="H984" s="381"/>
      <c r="I984" s="380"/>
      <c r="J984" s="380"/>
      <c r="K984" s="380"/>
      <c r="L984" s="380"/>
      <c r="M984" s="380"/>
      <c r="N984" s="380"/>
      <c r="O984" s="380"/>
      <c r="P984" s="380"/>
      <c r="Q984" s="380"/>
      <c r="R984" s="380"/>
      <c r="S984" s="380"/>
      <c r="T984" s="380"/>
      <c r="U984" s="380"/>
      <c r="V984" s="380"/>
      <c r="W984" s="380"/>
      <c r="X984" s="380"/>
      <c r="Y984" s="382"/>
      <c r="Z984" s="380"/>
      <c r="AA984" s="380"/>
      <c r="AB984" s="383"/>
    </row>
    <row r="985" spans="1:28">
      <c r="A985" s="384" t="str">
        <f t="shared" ref="A985:A1045" si="3109">A955</f>
        <v>Lantai 1</v>
      </c>
      <c r="B985" s="385">
        <f t="shared" ref="B985:B1045" si="3110">B955+1</f>
        <v>32</v>
      </c>
      <c r="C985" s="386" t="str">
        <f t="shared" ref="C985" si="3111">CONCATENATE(A985," no. ",B985)</f>
        <v>Lantai 1 no. 32</v>
      </c>
      <c r="D985" s="2562" t="str">
        <f>VLOOKUP(C985,'Data Panjang Balok'!$C$9:$N$254,2,FALSE)</f>
        <v>S24-1</v>
      </c>
      <c r="E985" s="2576"/>
      <c r="F985" s="2576"/>
      <c r="G985" s="2576"/>
      <c r="H985" s="2577"/>
      <c r="I985" s="387"/>
      <c r="J985" s="388"/>
      <c r="K985" s="388"/>
      <c r="L985" s="388"/>
      <c r="M985" s="388"/>
      <c r="N985" s="388"/>
      <c r="O985" s="388"/>
      <c r="P985" s="388"/>
      <c r="Q985" s="388"/>
      <c r="R985" s="388"/>
      <c r="S985" s="388"/>
      <c r="T985" s="388"/>
      <c r="U985" s="388"/>
      <c r="V985" s="388"/>
      <c r="W985" s="388"/>
      <c r="X985" s="388"/>
      <c r="Y985" s="389"/>
      <c r="Z985" s="388"/>
      <c r="AA985" s="388"/>
      <c r="AB985" s="390"/>
    </row>
    <row r="986" spans="1:28">
      <c r="A986" s="391"/>
      <c r="B986" s="392"/>
      <c r="C986" s="393" t="s">
        <v>118</v>
      </c>
      <c r="D986" s="2578">
        <f>VLOOKUP(D985,'Detail Balok'!$C$10:$AU$140,2,FALSE)</f>
        <v>200</v>
      </c>
      <c r="E986" s="2579"/>
      <c r="F986" s="388" t="s">
        <v>125</v>
      </c>
      <c r="G986" s="2579">
        <f>VLOOKUP(D985,'Detail Balok'!$C$10:$AU$140,3,FALSE)</f>
        <v>400</v>
      </c>
      <c r="H986" s="2580"/>
      <c r="I986" s="388"/>
      <c r="J986" s="396"/>
      <c r="K986" s="396"/>
      <c r="L986" s="396"/>
      <c r="M986" s="396"/>
      <c r="N986" s="396"/>
      <c r="O986" s="396"/>
      <c r="P986" s="396"/>
      <c r="Q986" s="396"/>
      <c r="R986" s="396"/>
      <c r="S986" s="396"/>
      <c r="T986" s="396"/>
      <c r="U986" s="388"/>
      <c r="V986" s="396"/>
      <c r="W986" s="388"/>
      <c r="X986" s="396"/>
      <c r="Y986" s="389"/>
      <c r="Z986" s="396"/>
      <c r="AA986" s="388"/>
      <c r="AB986" s="390"/>
    </row>
    <row r="987" spans="1:28">
      <c r="A987" s="391"/>
      <c r="B987" s="392"/>
      <c r="C987" s="393" t="s">
        <v>198</v>
      </c>
      <c r="D987" s="2562">
        <f>VLOOKUP(C985,'Data Panjang Balok'!$C$9:$N$254,4,FALSE)</f>
        <v>5150</v>
      </c>
      <c r="E987" s="2563"/>
      <c r="F987" s="2563"/>
      <c r="G987" s="2563"/>
      <c r="H987" s="2564"/>
      <c r="I987" s="397"/>
      <c r="J987" s="396"/>
      <c r="K987" s="396"/>
      <c r="L987" s="396"/>
      <c r="M987" s="396"/>
      <c r="N987" s="396"/>
      <c r="O987" s="396"/>
      <c r="P987" s="396"/>
      <c r="Q987" s="396"/>
      <c r="R987" s="396"/>
      <c r="S987" s="396"/>
      <c r="T987" s="396"/>
      <c r="U987" s="388"/>
      <c r="V987" s="396"/>
      <c r="W987" s="388"/>
      <c r="X987" s="396"/>
      <c r="Y987" s="389"/>
      <c r="Z987" s="396"/>
      <c r="AA987" s="388"/>
      <c r="AB987" s="390"/>
    </row>
    <row r="988" spans="1:28">
      <c r="A988" s="391"/>
      <c r="B988" s="392"/>
      <c r="C988" s="393" t="s">
        <v>199</v>
      </c>
      <c r="D988" s="2562">
        <f>VLOOKUP(C985,'Data Panjang Balok'!$C$9:$N$254,7,FALSE)</f>
        <v>5150</v>
      </c>
      <c r="E988" s="2563"/>
      <c r="F988" s="2563"/>
      <c r="G988" s="2563"/>
      <c r="H988" s="2564"/>
      <c r="I988" s="397"/>
      <c r="J988" s="396"/>
      <c r="K988" s="396"/>
      <c r="L988" s="396"/>
      <c r="M988" s="396"/>
      <c r="N988" s="396"/>
      <c r="O988" s="396"/>
      <c r="P988" s="396"/>
      <c r="Q988" s="396"/>
      <c r="R988" s="396"/>
      <c r="S988" s="396"/>
      <c r="T988" s="396"/>
      <c r="U988" s="388"/>
      <c r="V988" s="396"/>
      <c r="W988" s="388"/>
      <c r="X988" s="396"/>
      <c r="Y988" s="389"/>
      <c r="Z988" s="396"/>
      <c r="AA988" s="388"/>
      <c r="AB988" s="390"/>
    </row>
    <row r="989" spans="1:28">
      <c r="A989" s="391"/>
      <c r="B989" s="392"/>
      <c r="C989" s="393" t="s">
        <v>200</v>
      </c>
      <c r="D989" s="2562">
        <f>VLOOKUP(C985,'Data Panjang Balok'!$C$9:$N$254,9,FALSE)</f>
        <v>0</v>
      </c>
      <c r="E989" s="2563"/>
      <c r="F989" s="2563"/>
      <c r="G989" s="2563"/>
      <c r="H989" s="2564"/>
      <c r="I989" s="397"/>
      <c r="J989" s="396"/>
      <c r="K989" s="396"/>
      <c r="L989" s="396"/>
      <c r="M989" s="396"/>
      <c r="N989" s="396"/>
      <c r="O989" s="396"/>
      <c r="P989" s="396"/>
      <c r="Q989" s="396"/>
      <c r="R989" s="396"/>
      <c r="S989" s="396"/>
      <c r="T989" s="396"/>
      <c r="U989" s="388"/>
      <c r="V989" s="396"/>
      <c r="W989" s="388"/>
      <c r="X989" s="396"/>
      <c r="Y989" s="389"/>
      <c r="Z989" s="396"/>
      <c r="AA989" s="388"/>
      <c r="AB989" s="390"/>
    </row>
    <row r="990" spans="1:28">
      <c r="A990" s="391"/>
      <c r="B990" s="392"/>
      <c r="C990" s="393" t="s">
        <v>201</v>
      </c>
      <c r="D990" s="2562">
        <f>VLOOKUP(C985,'Data Panjang Balok'!$C$9:$N$254,10,FALSE)</f>
        <v>0</v>
      </c>
      <c r="E990" s="2563"/>
      <c r="F990" s="2563"/>
      <c r="G990" s="2563"/>
      <c r="H990" s="2564"/>
      <c r="I990" s="397"/>
      <c r="J990" s="396"/>
      <c r="K990" s="396"/>
      <c r="L990" s="396"/>
      <c r="M990" s="396"/>
      <c r="N990" s="396"/>
      <c r="O990" s="396"/>
      <c r="P990" s="396"/>
      <c r="Q990" s="396"/>
      <c r="R990" s="396"/>
      <c r="S990" s="396"/>
      <c r="T990" s="396"/>
      <c r="U990" s="388"/>
      <c r="V990" s="396"/>
      <c r="W990" s="388"/>
      <c r="X990" s="396"/>
      <c r="Y990" s="389"/>
      <c r="Z990" s="396"/>
      <c r="AA990" s="388"/>
      <c r="AB990" s="390"/>
    </row>
    <row r="991" spans="1:28">
      <c r="A991" s="391"/>
      <c r="B991" s="392"/>
      <c r="C991" s="393" t="s">
        <v>48</v>
      </c>
      <c r="D991" s="2562">
        <f>VLOOKUP(C985,'Data Panjang Balok'!$C$9:$N$254,3,FALSE)</f>
        <v>1</v>
      </c>
      <c r="E991" s="2563"/>
      <c r="F991" s="2563"/>
      <c r="G991" s="2563"/>
      <c r="H991" s="2564"/>
      <c r="I991" s="397"/>
      <c r="J991" s="396"/>
      <c r="K991" s="396"/>
      <c r="L991" s="396"/>
      <c r="M991" s="396"/>
      <c r="N991" s="396"/>
      <c r="O991" s="396"/>
      <c r="P991" s="396"/>
      <c r="Q991" s="396"/>
      <c r="R991" s="396"/>
      <c r="S991" s="396"/>
      <c r="T991" s="396"/>
      <c r="U991" s="388"/>
      <c r="V991" s="396"/>
      <c r="W991" s="388"/>
      <c r="X991" s="396"/>
      <c r="Y991" s="389"/>
      <c r="Z991" s="396"/>
      <c r="AA991" s="388"/>
      <c r="AB991" s="390"/>
    </row>
    <row r="992" spans="1:28">
      <c r="A992" s="384" t="str">
        <f t="shared" ref="A992:B992" si="3112">A985</f>
        <v>Lantai 1</v>
      </c>
      <c r="B992" s="385">
        <f t="shared" si="3112"/>
        <v>32</v>
      </c>
      <c r="C992" s="393" t="s">
        <v>202</v>
      </c>
      <c r="D992" s="398">
        <f>VLOOKUP(D985,'Detail Balok'!$C$10:$AU$140,4,FALSE)</f>
        <v>3</v>
      </c>
      <c r="E992" s="388" t="s">
        <v>16</v>
      </c>
      <c r="F992" s="388">
        <f>VLOOKUP(D985,'Detail Balok'!$C$10:$AU$140,6,FALSE)</f>
        <v>13</v>
      </c>
      <c r="G992" s="388"/>
      <c r="H992" s="395"/>
      <c r="I992" s="388" t="s">
        <v>203</v>
      </c>
      <c r="J992" s="399">
        <f t="shared" ref="J992" si="3113">+D987/4/1000</f>
        <v>1.2875000000000001</v>
      </c>
      <c r="K992" s="400" t="s">
        <v>204</v>
      </c>
      <c r="L992" s="399">
        <f t="shared" ref="L992" si="3114">MAX(VLOOKUP(F992,N$6:P$15,3,FALSE)/1000,2/3*D989/1000)+F$16*F992/1000</f>
        <v>0.156</v>
      </c>
      <c r="M992" s="399" t="s">
        <v>176</v>
      </c>
      <c r="N992" s="399">
        <f t="shared" ref="N992:N994" si="3115">J992+L992</f>
        <v>1.4435</v>
      </c>
      <c r="O992" s="399" t="s">
        <v>204</v>
      </c>
      <c r="P992" s="389">
        <f t="shared" ref="P992" si="3116">D992-D993</f>
        <v>0</v>
      </c>
      <c r="Q992" s="399" t="s">
        <v>125</v>
      </c>
      <c r="R992" s="399">
        <f t="shared" ref="R992" si="3117">IF(P992&gt;0,$F$18*F992/1000,0)</f>
        <v>0</v>
      </c>
      <c r="S992" s="399" t="s">
        <v>205</v>
      </c>
      <c r="T992" s="399" t="s">
        <v>125</v>
      </c>
      <c r="U992" s="401">
        <f t="shared" ref="U992:U994" si="3118">0.006165*F992^2</f>
        <v>1.041885</v>
      </c>
      <c r="V992" s="399"/>
      <c r="W992" s="399"/>
      <c r="X992" s="399" t="s">
        <v>125</v>
      </c>
      <c r="Y992" s="389">
        <f t="shared" ref="Y992" si="3119">D991</f>
        <v>1</v>
      </c>
      <c r="Z992" s="400" t="s">
        <v>176</v>
      </c>
      <c r="AA992" s="402">
        <f t="shared" ref="AA992" si="3120">IF(AA995=0,(D992*N992+P992*R992)*U992*Y992,0)</f>
        <v>0</v>
      </c>
      <c r="AB992" s="403"/>
    </row>
    <row r="993" spans="1:28">
      <c r="A993" s="384" t="str">
        <f t="shared" ref="A993:B993" si="3121">A985</f>
        <v>Lantai 1</v>
      </c>
      <c r="B993" s="385">
        <f t="shared" si="3121"/>
        <v>32</v>
      </c>
      <c r="C993" s="393" t="s">
        <v>206</v>
      </c>
      <c r="D993" s="398">
        <f>VLOOKUP(D985,'Detail Balok'!$C$10:$AU$140,7,FALSE)</f>
        <v>3</v>
      </c>
      <c r="E993" s="388" t="s">
        <v>16</v>
      </c>
      <c r="F993" s="388">
        <f>VLOOKUP(D985,'Detail Balok'!$C$10:$AU$140,9,FALSE)</f>
        <v>13</v>
      </c>
      <c r="G993" s="388"/>
      <c r="H993" s="395"/>
      <c r="I993" s="388" t="s">
        <v>203</v>
      </c>
      <c r="J993" s="399">
        <f t="shared" ref="J993" si="3122">+D987/2/1000</f>
        <v>2.5750000000000002</v>
      </c>
      <c r="K993" s="400" t="s">
        <v>204</v>
      </c>
      <c r="L993" s="399"/>
      <c r="M993" s="399" t="s">
        <v>176</v>
      </c>
      <c r="N993" s="399">
        <f t="shared" si="3115"/>
        <v>2.5750000000000002</v>
      </c>
      <c r="O993" s="399" t="s">
        <v>204</v>
      </c>
      <c r="P993" s="389">
        <f t="shared" ref="P993" si="3123">MAX(D993-D992,D993-D994)</f>
        <v>0</v>
      </c>
      <c r="Q993" s="399" t="s">
        <v>125</v>
      </c>
      <c r="R993" s="399">
        <f t="shared" ref="R993" si="3124">IF(P993&gt;0,2*(1-2*$F$19-1/2)*D988/1000,0)</f>
        <v>0</v>
      </c>
      <c r="S993" s="399" t="s">
        <v>205</v>
      </c>
      <c r="T993" s="399" t="s">
        <v>125</v>
      </c>
      <c r="U993" s="401">
        <f t="shared" si="3118"/>
        <v>1.041885</v>
      </c>
      <c r="V993" s="399"/>
      <c r="W993" s="399"/>
      <c r="X993" s="399" t="s">
        <v>125</v>
      </c>
      <c r="Y993" s="389">
        <f t="shared" ref="Y993" si="3125">D991</f>
        <v>1</v>
      </c>
      <c r="Z993" s="400" t="s">
        <v>176</v>
      </c>
      <c r="AA993" s="402">
        <f t="shared" ref="AA993" si="3126">IF(AA995=0,(D993*N993+P993*R993)*U993*Y993,0)</f>
        <v>0</v>
      </c>
      <c r="AB993" s="403"/>
    </row>
    <row r="994" spans="1:28">
      <c r="A994" s="384" t="str">
        <f t="shared" ref="A994:B994" si="3127">A985</f>
        <v>Lantai 1</v>
      </c>
      <c r="B994" s="385">
        <f t="shared" si="3127"/>
        <v>32</v>
      </c>
      <c r="C994" s="393" t="s">
        <v>202</v>
      </c>
      <c r="D994" s="398">
        <f>VLOOKUP(D985,'Detail Balok'!$C$10:$AU$140,10,FALSE)</f>
        <v>3</v>
      </c>
      <c r="E994" s="388" t="s">
        <v>16</v>
      </c>
      <c r="F994" s="388">
        <f>VLOOKUP(D985,'Detail Balok'!$C$10:$AU$140,12,FALSE)</f>
        <v>13</v>
      </c>
      <c r="G994" s="388"/>
      <c r="H994" s="395"/>
      <c r="I994" s="388" t="s">
        <v>203</v>
      </c>
      <c r="J994" s="399">
        <f t="shared" ref="J994" si="3128">+D987/4/1000</f>
        <v>1.2875000000000001</v>
      </c>
      <c r="K994" s="400" t="s">
        <v>204</v>
      </c>
      <c r="L994" s="399">
        <f t="shared" ref="L994" si="3129">MAX(VLOOKUP(F994,N$6:P$15,3,FALSE)/1000,2/3*D989/1000)+F$16*F994/1000</f>
        <v>0.156</v>
      </c>
      <c r="M994" s="399" t="s">
        <v>176</v>
      </c>
      <c r="N994" s="399">
        <f t="shared" si="3115"/>
        <v>1.4435</v>
      </c>
      <c r="O994" s="399" t="s">
        <v>204</v>
      </c>
      <c r="P994" s="389">
        <f t="shared" ref="P994" si="3130">D994-D993</f>
        <v>0</v>
      </c>
      <c r="Q994" s="399" t="s">
        <v>125</v>
      </c>
      <c r="R994" s="399">
        <f t="shared" ref="R994" si="3131">IF(P994&gt;0,$F$18*F994/1000,0)</f>
        <v>0</v>
      </c>
      <c r="S994" s="399" t="s">
        <v>205</v>
      </c>
      <c r="T994" s="399" t="s">
        <v>125</v>
      </c>
      <c r="U994" s="401">
        <f t="shared" si="3118"/>
        <v>1.041885</v>
      </c>
      <c r="V994" s="399"/>
      <c r="W994" s="399"/>
      <c r="X994" s="399" t="s">
        <v>125</v>
      </c>
      <c r="Y994" s="389">
        <f t="shared" ref="Y994" si="3132">D991</f>
        <v>1</v>
      </c>
      <c r="Z994" s="400" t="s">
        <v>176</v>
      </c>
      <c r="AA994" s="402">
        <f t="shared" ref="AA994" si="3133">IF(AA995=0,(D994*N994+P994*R994)*U994*Y994,0)</f>
        <v>0</v>
      </c>
      <c r="AB994" s="403"/>
    </row>
    <row r="995" spans="1:28">
      <c r="A995" s="384" t="str">
        <f t="shared" ref="A995:B995" si="3134">A985</f>
        <v>Lantai 1</v>
      </c>
      <c r="B995" s="385">
        <f t="shared" si="3134"/>
        <v>32</v>
      </c>
      <c r="C995" s="393"/>
      <c r="D995" s="398">
        <f t="shared" si="3030"/>
        <v>3</v>
      </c>
      <c r="E995" s="388" t="s">
        <v>16</v>
      </c>
      <c r="F995" s="388">
        <f t="shared" si="3031"/>
        <v>13</v>
      </c>
      <c r="G995" s="388"/>
      <c r="H995" s="395"/>
      <c r="I995" s="388"/>
      <c r="J995" s="396"/>
      <c r="K995" s="396"/>
      <c r="L995" s="404" t="s">
        <v>207</v>
      </c>
      <c r="M995" s="399" t="s">
        <v>176</v>
      </c>
      <c r="N995" s="399">
        <f t="shared" ref="N995" si="3135">IF(AND(D992=D993,D992=D994,D993=D994,F992=F993,F992=F994,F993=F994),SUM(N992:N994),0)</f>
        <v>5.4620000000000006</v>
      </c>
      <c r="O995" s="399" t="s">
        <v>204</v>
      </c>
      <c r="P995" s="389">
        <f t="shared" ref="P995" si="3136">IF(N995&gt;12,ROUNDDOWN(N995/12,0),0)</f>
        <v>0</v>
      </c>
      <c r="Q995" s="399" t="s">
        <v>125</v>
      </c>
      <c r="R995" s="399">
        <f t="shared" ref="R995" si="3137">IF(P995&gt;0,MAX(VLOOKUP(F995,$D$6:$G$15,3,FALSE),600),0)/1000</f>
        <v>0</v>
      </c>
      <c r="S995" s="396"/>
      <c r="T995" s="396" t="s">
        <v>125</v>
      </c>
      <c r="U995" s="401">
        <f t="shared" si="3035"/>
        <v>1.041885</v>
      </c>
      <c r="V995" s="396" t="s">
        <v>125</v>
      </c>
      <c r="W995" s="399">
        <f t="shared" ref="W995" si="3138">D995</f>
        <v>3</v>
      </c>
      <c r="X995" s="399" t="s">
        <v>125</v>
      </c>
      <c r="Y995" s="389">
        <f t="shared" si="3037"/>
        <v>1</v>
      </c>
      <c r="Z995" s="400" t="s">
        <v>176</v>
      </c>
      <c r="AA995" s="402">
        <f t="shared" ref="AA995" si="3139">(N995+P995*R995/1000)*U995*W995*Y995</f>
        <v>17.072327610000002</v>
      </c>
      <c r="AB995" s="390"/>
    </row>
    <row r="996" spans="1:28">
      <c r="A996" s="384"/>
      <c r="B996" s="385"/>
      <c r="C996" s="393"/>
      <c r="D996" s="398"/>
      <c r="E996" s="388"/>
      <c r="F996" s="388"/>
      <c r="G996" s="388"/>
      <c r="H996" s="395"/>
      <c r="I996" s="388"/>
      <c r="J996" s="396"/>
      <c r="K996" s="396"/>
      <c r="L996" s="404"/>
      <c r="M996" s="399"/>
      <c r="N996" s="399"/>
      <c r="O996" s="396"/>
      <c r="P996" s="389"/>
      <c r="Q996" s="396"/>
      <c r="R996" s="396"/>
      <c r="S996" s="396"/>
      <c r="T996" s="396"/>
      <c r="U996" s="401"/>
      <c r="V996" s="396"/>
      <c r="W996" s="399"/>
      <c r="X996" s="396"/>
      <c r="Y996" s="389"/>
      <c r="Z996" s="396"/>
      <c r="AA996" s="388"/>
      <c r="AB996" s="390"/>
    </row>
    <row r="997" spans="1:28">
      <c r="A997" s="384" t="str">
        <f t="shared" ref="A997:B997" si="3140">A985</f>
        <v>Lantai 1</v>
      </c>
      <c r="B997" s="385">
        <f t="shared" si="3140"/>
        <v>32</v>
      </c>
      <c r="C997" s="393" t="s">
        <v>208</v>
      </c>
      <c r="D997" s="398">
        <f>VLOOKUP(D985,'Detail Balok'!$C$10:$AU$140,13,FALSE)</f>
        <v>0</v>
      </c>
      <c r="E997" s="388" t="s">
        <v>16</v>
      </c>
      <c r="F997" s="388">
        <f>VLOOKUP(D985,'Detail Balok'!$C$10:$AU$140,15,FALSE)</f>
        <v>8</v>
      </c>
      <c r="G997" s="388"/>
      <c r="H997" s="395"/>
      <c r="I997" s="388"/>
      <c r="J997" s="399">
        <f t="shared" ref="J997" si="3141">+D987/1000</f>
        <v>5.15</v>
      </c>
      <c r="K997" s="400" t="s">
        <v>204</v>
      </c>
      <c r="L997" s="399">
        <f t="shared" ref="L997" si="3142">2*$F$16*F997/1000</f>
        <v>0.192</v>
      </c>
      <c r="M997" s="399" t="s">
        <v>176</v>
      </c>
      <c r="N997" s="399">
        <f t="shared" ref="N997" si="3143">J997+L997</f>
        <v>5.3420000000000005</v>
      </c>
      <c r="O997" s="399" t="s">
        <v>204</v>
      </c>
      <c r="P997" s="389">
        <f t="shared" ref="P997" si="3144">IF(N997&gt;12,ROUNDDOWN(N997/12,0),0)</f>
        <v>0</v>
      </c>
      <c r="Q997" s="399" t="s">
        <v>125</v>
      </c>
      <c r="R997" s="399">
        <f t="shared" ref="R997" si="3145">IF(P997&gt;0,MAX(VLOOKUP(F997,$D$6:$G$15,3,FALSE),600),0)/1000</f>
        <v>0</v>
      </c>
      <c r="S997" s="399"/>
      <c r="T997" s="399" t="s">
        <v>125</v>
      </c>
      <c r="U997" s="401">
        <f t="shared" ref="U997" si="3146">0.006165*F997^2</f>
        <v>0.39456000000000002</v>
      </c>
      <c r="V997" s="399" t="s">
        <v>125</v>
      </c>
      <c r="W997" s="399">
        <f t="shared" ref="W997" si="3147">+D997</f>
        <v>0</v>
      </c>
      <c r="X997" s="399" t="s">
        <v>125</v>
      </c>
      <c r="Y997" s="389">
        <f t="shared" ref="Y997" si="3148">D991</f>
        <v>1</v>
      </c>
      <c r="Z997" s="400" t="s">
        <v>176</v>
      </c>
      <c r="AA997" s="402">
        <f t="shared" ref="AA997" si="3149">(N997+P997*R997/1000)*U997*W997*Y997</f>
        <v>0</v>
      </c>
      <c r="AB997" s="403"/>
    </row>
    <row r="998" spans="1:28">
      <c r="A998" s="384"/>
      <c r="B998" s="385"/>
      <c r="C998" s="393"/>
      <c r="D998" s="398"/>
      <c r="E998" s="388"/>
      <c r="F998" s="388"/>
      <c r="G998" s="388"/>
      <c r="H998" s="395"/>
      <c r="I998" s="388"/>
      <c r="J998" s="399"/>
      <c r="K998" s="400"/>
      <c r="L998" s="399"/>
      <c r="M998" s="399"/>
      <c r="N998" s="399"/>
      <c r="O998" s="399"/>
      <c r="P998" s="389"/>
      <c r="Q998" s="399"/>
      <c r="R998" s="399"/>
      <c r="S998" s="399"/>
      <c r="T998" s="399"/>
      <c r="U998" s="401"/>
      <c r="V998" s="399"/>
      <c r="W998" s="399"/>
      <c r="X998" s="399"/>
      <c r="Y998" s="389"/>
      <c r="Z998" s="400"/>
      <c r="AA998" s="402"/>
      <c r="AB998" s="403"/>
    </row>
    <row r="999" spans="1:28">
      <c r="A999" s="384"/>
      <c r="B999" s="385"/>
      <c r="C999" s="393"/>
      <c r="D999" s="398"/>
      <c r="E999" s="388"/>
      <c r="F999" s="388"/>
      <c r="G999" s="388"/>
      <c r="H999" s="395"/>
      <c r="I999" s="388"/>
      <c r="J999" s="396"/>
      <c r="K999" s="396"/>
      <c r="L999" s="396"/>
      <c r="M999" s="396"/>
      <c r="N999" s="396"/>
      <c r="O999" s="396"/>
      <c r="P999" s="389"/>
      <c r="Q999" s="396"/>
      <c r="R999" s="396"/>
      <c r="S999" s="396"/>
      <c r="T999" s="396"/>
      <c r="U999" s="401"/>
      <c r="V999" s="396"/>
      <c r="W999" s="399"/>
      <c r="X999" s="396"/>
      <c r="Y999" s="389"/>
      <c r="Z999" s="396"/>
      <c r="AA999" s="388"/>
      <c r="AB999" s="390"/>
    </row>
    <row r="1000" spans="1:28">
      <c r="A1000" s="384" t="str">
        <f t="shared" ref="A1000:B1000" si="3150">A985</f>
        <v>Lantai 1</v>
      </c>
      <c r="B1000" s="385">
        <f t="shared" si="3150"/>
        <v>32</v>
      </c>
      <c r="C1000" s="393" t="s">
        <v>209</v>
      </c>
      <c r="D1000" s="398">
        <f>VLOOKUP(D985,'Detail Balok'!$C$10:$AU$140,22,FALSE)</f>
        <v>3</v>
      </c>
      <c r="E1000" s="388" t="s">
        <v>16</v>
      </c>
      <c r="F1000" s="388">
        <f>VLOOKUP(D985,'Detail Balok'!$C$10:$AU$140,24,FALSE)</f>
        <v>13</v>
      </c>
      <c r="G1000" s="388"/>
      <c r="H1000" s="395"/>
      <c r="I1000" s="388" t="s">
        <v>203</v>
      </c>
      <c r="J1000" s="399">
        <f t="shared" si="3050"/>
        <v>1.2875000000000001</v>
      </c>
      <c r="K1000" s="400" t="s">
        <v>204</v>
      </c>
      <c r="L1000" s="399">
        <f t="shared" ref="L1000" si="3151">MAX(VLOOKUP(F1000,N$6:P$15,3,FALSE)/1000,2/3*D990/1000)+F$16*F1000/1000</f>
        <v>0.156</v>
      </c>
      <c r="M1000" s="399" t="s">
        <v>176</v>
      </c>
      <c r="N1000" s="399">
        <f t="shared" ref="N1000:N1002" si="3152">J1000+L1000</f>
        <v>1.4435</v>
      </c>
      <c r="O1000" s="399" t="s">
        <v>204</v>
      </c>
      <c r="P1000" s="389">
        <f t="shared" ref="P1000" si="3153">D1000-D1001</f>
        <v>0</v>
      </c>
      <c r="Q1000" s="399" t="s">
        <v>125</v>
      </c>
      <c r="R1000" s="399">
        <f t="shared" ref="R1000" si="3154">IF(P1000&gt;0,$F$18*F1000/1000,0)</f>
        <v>0</v>
      </c>
      <c r="S1000" s="399" t="s">
        <v>205</v>
      </c>
      <c r="T1000" s="399" t="s">
        <v>125</v>
      </c>
      <c r="U1000" s="401">
        <f t="shared" ref="U1000:U1002" si="3155">0.006165*F1000^2</f>
        <v>1.041885</v>
      </c>
      <c r="V1000" s="399"/>
      <c r="W1000" s="399"/>
      <c r="X1000" s="399" t="s">
        <v>125</v>
      </c>
      <c r="Y1000" s="389">
        <f t="shared" ref="Y1000" si="3156">D991</f>
        <v>1</v>
      </c>
      <c r="Z1000" s="400" t="s">
        <v>176</v>
      </c>
      <c r="AA1000" s="402">
        <f t="shared" ref="AA1000" si="3157">IF(AA1003=0,(D1000*N1000+P1000*R1000)*U1000*Y1000,0)</f>
        <v>0</v>
      </c>
      <c r="AB1000" s="403"/>
    </row>
    <row r="1001" spans="1:28">
      <c r="A1001" s="384" t="str">
        <f t="shared" ref="A1001:B1001" si="3158">A985</f>
        <v>Lantai 1</v>
      </c>
      <c r="B1001" s="385">
        <f t="shared" si="3158"/>
        <v>32</v>
      </c>
      <c r="C1001" s="393" t="s">
        <v>210</v>
      </c>
      <c r="D1001" s="398">
        <f>VLOOKUP(D985,'Detail Balok'!$C$10:$AU$140,25,FALSE)</f>
        <v>3</v>
      </c>
      <c r="E1001" s="388" t="s">
        <v>16</v>
      </c>
      <c r="F1001" s="388">
        <f>VLOOKUP(D985,'Detail Balok'!$C$10:$AU$140,27,FALSE)</f>
        <v>13</v>
      </c>
      <c r="G1001" s="388"/>
      <c r="H1001" s="395"/>
      <c r="I1001" s="388" t="s">
        <v>203</v>
      </c>
      <c r="J1001" s="399">
        <f t="shared" si="3050"/>
        <v>2.5750000000000002</v>
      </c>
      <c r="K1001" s="400" t="s">
        <v>204</v>
      </c>
      <c r="L1001" s="399"/>
      <c r="M1001" s="399" t="s">
        <v>176</v>
      </c>
      <c r="N1001" s="399">
        <f t="shared" si="3152"/>
        <v>2.5750000000000002</v>
      </c>
      <c r="O1001" s="399" t="s">
        <v>204</v>
      </c>
      <c r="P1001" s="389">
        <f t="shared" ref="P1001" si="3159">MAX(D1001-D1000,D1001-D1002)</f>
        <v>0</v>
      </c>
      <c r="Q1001" s="399" t="s">
        <v>125</v>
      </c>
      <c r="R1001" s="399">
        <f t="shared" ref="R1001" si="3160">IF(P1001&gt;0,2*(1-2*$F$19-1/2)*D988/1000,0)</f>
        <v>0</v>
      </c>
      <c r="S1001" s="399" t="s">
        <v>205</v>
      </c>
      <c r="T1001" s="399" t="s">
        <v>125</v>
      </c>
      <c r="U1001" s="401">
        <f t="shared" si="3155"/>
        <v>1.041885</v>
      </c>
      <c r="V1001" s="399"/>
      <c r="W1001" s="399"/>
      <c r="X1001" s="399" t="s">
        <v>125</v>
      </c>
      <c r="Y1001" s="389">
        <f t="shared" ref="Y1001" si="3161">D991</f>
        <v>1</v>
      </c>
      <c r="Z1001" s="400" t="s">
        <v>176</v>
      </c>
      <c r="AA1001" s="402">
        <f t="shared" ref="AA1001" si="3162">IF(AA1003=0,(D1001*N1001+P1001*R1001)*U1001*Y1001,0)</f>
        <v>0</v>
      </c>
      <c r="AB1001" s="403"/>
    </row>
    <row r="1002" spans="1:28">
      <c r="A1002" s="384" t="str">
        <f t="shared" ref="A1002:B1002" si="3163">A985</f>
        <v>Lantai 1</v>
      </c>
      <c r="B1002" s="385">
        <f t="shared" si="3163"/>
        <v>32</v>
      </c>
      <c r="C1002" s="393" t="s">
        <v>209</v>
      </c>
      <c r="D1002" s="398">
        <f>VLOOKUP(D985,'Detail Balok'!$C$10:$AU$140,28,FALSE)</f>
        <v>3</v>
      </c>
      <c r="E1002" s="388" t="s">
        <v>16</v>
      </c>
      <c r="F1002" s="388">
        <f>VLOOKUP(D985,'Detail Balok'!$C$10:$AU$140,30,FALSE)</f>
        <v>13</v>
      </c>
      <c r="G1002" s="388"/>
      <c r="H1002" s="395"/>
      <c r="I1002" s="388" t="s">
        <v>203</v>
      </c>
      <c r="J1002" s="399">
        <f t="shared" si="3050"/>
        <v>1.2875000000000001</v>
      </c>
      <c r="K1002" s="400" t="s">
        <v>204</v>
      </c>
      <c r="L1002" s="399">
        <f t="shared" ref="L1002" si="3164">MAX(VLOOKUP(F1002,N$6:P$15,3,FALSE)/1000,2/3*D990/1000)+F$16*F1002/1000</f>
        <v>0.156</v>
      </c>
      <c r="M1002" s="399" t="s">
        <v>176</v>
      </c>
      <c r="N1002" s="399">
        <f t="shared" si="3152"/>
        <v>1.4435</v>
      </c>
      <c r="O1002" s="399" t="s">
        <v>204</v>
      </c>
      <c r="P1002" s="389">
        <f t="shared" ref="P1002" si="3165">D1002-D1001</f>
        <v>0</v>
      </c>
      <c r="Q1002" s="399" t="s">
        <v>125</v>
      </c>
      <c r="R1002" s="399">
        <f t="shared" ref="R1002" si="3166">IF(P1002&gt;0,$F$18*F1002/1000,0)</f>
        <v>0</v>
      </c>
      <c r="S1002" s="399" t="s">
        <v>205</v>
      </c>
      <c r="T1002" s="399" t="s">
        <v>125</v>
      </c>
      <c r="U1002" s="401">
        <f t="shared" si="3155"/>
        <v>1.041885</v>
      </c>
      <c r="V1002" s="399"/>
      <c r="W1002" s="399"/>
      <c r="X1002" s="399" t="s">
        <v>125</v>
      </c>
      <c r="Y1002" s="389">
        <f t="shared" ref="Y1002" si="3167">D991</f>
        <v>1</v>
      </c>
      <c r="Z1002" s="400" t="s">
        <v>176</v>
      </c>
      <c r="AA1002" s="402">
        <f t="shared" ref="AA1002" si="3168">IF(AA1003=0,(D1002*N1002+P1002*R1002)*U1002*Y1002,0)</f>
        <v>0</v>
      </c>
      <c r="AB1002" s="403"/>
    </row>
    <row r="1003" spans="1:28">
      <c r="A1003" s="384" t="str">
        <f t="shared" ref="A1003:B1003" si="3169">A985</f>
        <v>Lantai 1</v>
      </c>
      <c r="B1003" s="385">
        <f t="shared" si="3169"/>
        <v>32</v>
      </c>
      <c r="C1003" s="393"/>
      <c r="D1003" s="398">
        <f t="shared" si="3070"/>
        <v>3</v>
      </c>
      <c r="E1003" s="388" t="s">
        <v>16</v>
      </c>
      <c r="F1003" s="388">
        <f t="shared" si="3071"/>
        <v>13</v>
      </c>
      <c r="G1003" s="388"/>
      <c r="H1003" s="395"/>
      <c r="I1003" s="388"/>
      <c r="J1003" s="396"/>
      <c r="K1003" s="396"/>
      <c r="L1003" s="404" t="s">
        <v>207</v>
      </c>
      <c r="M1003" s="399" t="s">
        <v>176</v>
      </c>
      <c r="N1003" s="399">
        <f t="shared" ref="N1003" si="3170">IF(AND(D1000=D1001,D1000=D1002,D1001=D1002,F1000=F1001,F1000=F1002,F1001=F1002),SUM(N1000:N1002),0)</f>
        <v>5.4620000000000006</v>
      </c>
      <c r="O1003" s="399" t="s">
        <v>204</v>
      </c>
      <c r="P1003" s="389">
        <f t="shared" ref="P1003" si="3171">IF(N1003&gt;12,ROUNDDOWN(N1003/12,0),0)</f>
        <v>0</v>
      </c>
      <c r="Q1003" s="399" t="s">
        <v>125</v>
      </c>
      <c r="R1003" s="399">
        <f t="shared" ref="R1003" si="3172">IF(P1003&gt;0,MAX(VLOOKUP(F1003,$D$6:$G$15,3,FALSE),600),0)/1000</f>
        <v>0</v>
      </c>
      <c r="S1003" s="396"/>
      <c r="T1003" s="396" t="s">
        <v>125</v>
      </c>
      <c r="U1003" s="401">
        <f t="shared" si="3075"/>
        <v>1.041885</v>
      </c>
      <c r="V1003" s="396" t="s">
        <v>125</v>
      </c>
      <c r="W1003" s="399">
        <f t="shared" ref="W1003" si="3173">D1003</f>
        <v>3</v>
      </c>
      <c r="X1003" s="399" t="s">
        <v>125</v>
      </c>
      <c r="Y1003" s="389">
        <f t="shared" si="3077"/>
        <v>1</v>
      </c>
      <c r="Z1003" s="400" t="s">
        <v>176</v>
      </c>
      <c r="AA1003" s="402">
        <f t="shared" ref="AA1003" si="3174">(N1003+P1003*R1003/1000)*U1003*W1003*Y1003</f>
        <v>17.072327610000002</v>
      </c>
      <c r="AB1003" s="403"/>
    </row>
    <row r="1004" spans="1:28">
      <c r="A1004" s="384"/>
      <c r="B1004" s="385"/>
      <c r="C1004" s="393"/>
      <c r="D1004" s="394"/>
      <c r="E1004" s="388"/>
      <c r="F1004" s="388"/>
      <c r="G1004" s="388"/>
      <c r="H1004" s="395"/>
      <c r="I1004" s="388"/>
      <c r="J1004" s="399"/>
      <c r="K1004" s="396"/>
      <c r="L1004" s="396"/>
      <c r="M1004" s="396"/>
      <c r="N1004" s="396"/>
      <c r="O1004" s="396"/>
      <c r="P1004" s="389"/>
      <c r="Q1004" s="396"/>
      <c r="R1004" s="396"/>
      <c r="S1004" s="396"/>
      <c r="T1004" s="396"/>
      <c r="U1004" s="401"/>
      <c r="V1004" s="396"/>
      <c r="W1004" s="388"/>
      <c r="X1004" s="396"/>
      <c r="Y1004" s="389"/>
      <c r="Z1004" s="396"/>
      <c r="AA1004" s="388"/>
      <c r="AB1004" s="390"/>
    </row>
    <row r="1005" spans="1:28">
      <c r="A1005" s="384" t="str">
        <f t="shared" ref="A1005:B1005" si="3175">A985</f>
        <v>Lantai 1</v>
      </c>
      <c r="B1005" s="385">
        <f t="shared" si="3175"/>
        <v>32</v>
      </c>
      <c r="C1005" s="393" t="s">
        <v>211</v>
      </c>
      <c r="D1005" s="398">
        <f>VLOOKUP(D985,'Detail Balok'!$C$10:$AU$140,31,FALSE)</f>
        <v>0</v>
      </c>
      <c r="E1005" s="388" t="s">
        <v>16</v>
      </c>
      <c r="F1005" s="388">
        <f>VLOOKUP(D985,'Detail Balok'!$C$10:$AU$140,33,FALSE)</f>
        <v>8</v>
      </c>
      <c r="G1005" s="405" t="s">
        <v>157</v>
      </c>
      <c r="H1005" s="395">
        <f>VLOOKUP(D985,'Detail Balok'!$C$10:$AU$140,35,FALSE)</f>
        <v>150</v>
      </c>
      <c r="I1005" s="388"/>
      <c r="J1005" s="400">
        <f t="shared" ref="J1005" si="3176">(IF(D1005=0,(2*(D986+G986))-(F$5*8),IF(D1005=3,(2*(D986+G986))-(F$5*8)+(G986-2*F$5),IF(D1005=4,(2*(D986+G986))-(F$5*8)+2*(G986-2*F$5)))))/1000</f>
        <v>0.88</v>
      </c>
      <c r="K1005" s="400" t="s">
        <v>204</v>
      </c>
      <c r="L1005" s="399">
        <f t="shared" ref="L1005:L1007" si="3177">IF(D1005=0,2*MAX(6*F1005,75),(D1005-1)*2*MAX(6*F1005,75))/1000</f>
        <v>0.15</v>
      </c>
      <c r="M1005" s="399" t="s">
        <v>176</v>
      </c>
      <c r="N1005" s="399">
        <f t="shared" ref="N1005:N1007" si="3178">J1005+L1005</f>
        <v>1.03</v>
      </c>
      <c r="O1005" s="399"/>
      <c r="P1005" s="389"/>
      <c r="Q1005" s="399"/>
      <c r="R1005" s="399"/>
      <c r="S1005" s="399"/>
      <c r="T1005" s="399" t="s">
        <v>125</v>
      </c>
      <c r="U1005" s="401">
        <f t="shared" ref="U1005:U1007" si="3179">0.006165*F1005^2</f>
        <v>0.39456000000000002</v>
      </c>
      <c r="V1005" s="399" t="s">
        <v>125</v>
      </c>
      <c r="W1005" s="399">
        <f t="shared" ref="W1005" si="3180">IF(D988&gt;4*G986,ROUND(MAX(D988/4,2*G986)/H1005,0)+1,ROUND(D988/H1005,0)+1)</f>
        <v>10</v>
      </c>
      <c r="X1005" s="399" t="s">
        <v>125</v>
      </c>
      <c r="Y1005" s="389">
        <f t="shared" ref="Y1005" si="3181">D991</f>
        <v>1</v>
      </c>
      <c r="Z1005" s="400" t="s">
        <v>176</v>
      </c>
      <c r="AA1005" s="402">
        <f t="shared" ref="AA1005:AA1007" si="3182">N1005*U1005*W1005*Y1005</f>
        <v>4.0639680000000009</v>
      </c>
      <c r="AB1005" s="403"/>
    </row>
    <row r="1006" spans="1:28">
      <c r="A1006" s="384" t="str">
        <f t="shared" ref="A1006:B1006" si="3183">A985</f>
        <v>Lantai 1</v>
      </c>
      <c r="B1006" s="385">
        <f t="shared" si="3183"/>
        <v>32</v>
      </c>
      <c r="C1006" s="393" t="s">
        <v>212</v>
      </c>
      <c r="D1006" s="398">
        <f>VLOOKUP(D985,'Detail Balok'!$C$10:$AU$140,36,FALSE)</f>
        <v>0</v>
      </c>
      <c r="E1006" s="388" t="s">
        <v>16</v>
      </c>
      <c r="F1006" s="388">
        <f>VLOOKUP(D985,'Detail Balok'!$C$10:$AU$140,38,FALSE)</f>
        <v>8</v>
      </c>
      <c r="G1006" s="405" t="s">
        <v>157</v>
      </c>
      <c r="H1006" s="395">
        <f>VLOOKUP(D985,'Detail Balok'!$C$10:$AU$140,40,FALSE)</f>
        <v>200</v>
      </c>
      <c r="I1006" s="388"/>
      <c r="J1006" s="400">
        <f t="shared" ref="J1006" si="3184">(IF(D1006=0,(2*(D986+G986))-(F$5*8),IF(D1006=3,(2*(D986+G986))-(F$5*8)+(G986-2*F$5),IF(D1006=4,(2*(D986+G986))-(F$5*8)+2*(G986-2*F$5)))))/1000</f>
        <v>0.88</v>
      </c>
      <c r="K1006" s="400" t="s">
        <v>204</v>
      </c>
      <c r="L1006" s="399">
        <f t="shared" si="3177"/>
        <v>0.15</v>
      </c>
      <c r="M1006" s="399" t="s">
        <v>176</v>
      </c>
      <c r="N1006" s="399">
        <f t="shared" si="3178"/>
        <v>1.03</v>
      </c>
      <c r="O1006" s="399"/>
      <c r="P1006" s="389"/>
      <c r="Q1006" s="399"/>
      <c r="R1006" s="399"/>
      <c r="S1006" s="399"/>
      <c r="T1006" s="399" t="s">
        <v>125</v>
      </c>
      <c r="U1006" s="401">
        <f t="shared" si="3179"/>
        <v>0.39456000000000002</v>
      </c>
      <c r="V1006" s="399" t="s">
        <v>125</v>
      </c>
      <c r="W1006" s="399">
        <f t="shared" ref="W1006" si="3185">IF(D988-MAX(D988/4,2*G986)*2&gt;0,ROUND((D988-MAX(D988/4,2*G986)*2)/H1006,0),0)</f>
        <v>13</v>
      </c>
      <c r="X1006" s="399" t="s">
        <v>125</v>
      </c>
      <c r="Y1006" s="389">
        <f t="shared" ref="Y1006" si="3186">D991</f>
        <v>1</v>
      </c>
      <c r="Z1006" s="400" t="s">
        <v>176</v>
      </c>
      <c r="AA1006" s="402">
        <f t="shared" si="3182"/>
        <v>5.2831584000000005</v>
      </c>
      <c r="AB1006" s="403"/>
    </row>
    <row r="1007" spans="1:28">
      <c r="A1007" s="384" t="str">
        <f t="shared" ref="A1007:B1007" si="3187">A985</f>
        <v>Lantai 1</v>
      </c>
      <c r="B1007" s="385">
        <f t="shared" si="3187"/>
        <v>32</v>
      </c>
      <c r="C1007" s="393" t="s">
        <v>211</v>
      </c>
      <c r="D1007" s="398">
        <f>VLOOKUP(D985,'Detail Balok'!$C$10:$AU$140,41,FALSE)</f>
        <v>0</v>
      </c>
      <c r="E1007" s="388" t="s">
        <v>16</v>
      </c>
      <c r="F1007" s="388">
        <f>VLOOKUP(D985,'Detail Balok'!$C$10:$AU$140,43,FALSE)</f>
        <v>8</v>
      </c>
      <c r="G1007" s="405" t="s">
        <v>157</v>
      </c>
      <c r="H1007" s="395">
        <f>VLOOKUP(D985,'Detail Balok'!$C$10:$AU$140,45,FALSE)</f>
        <v>150</v>
      </c>
      <c r="I1007" s="388"/>
      <c r="J1007" s="400">
        <f t="shared" ref="J1007" si="3188">(IF(D1007=0,(2*(D986+G986))-(F$5*8),IF(D1007=3,(2*(D986+G986))-(F$5*8)+(G986-2*F$5),IF(D1007=4,(2*(D986+G986))-(F$5*8)+2*(G986-2*F$5)))))/1000</f>
        <v>0.88</v>
      </c>
      <c r="K1007" s="400" t="s">
        <v>204</v>
      </c>
      <c r="L1007" s="399">
        <f t="shared" si="3177"/>
        <v>0.15</v>
      </c>
      <c r="M1007" s="399" t="s">
        <v>176</v>
      </c>
      <c r="N1007" s="399">
        <f t="shared" si="3178"/>
        <v>1.03</v>
      </c>
      <c r="O1007" s="399"/>
      <c r="P1007" s="389"/>
      <c r="Q1007" s="399"/>
      <c r="R1007" s="399"/>
      <c r="S1007" s="399"/>
      <c r="T1007" s="399" t="s">
        <v>125</v>
      </c>
      <c r="U1007" s="401">
        <f t="shared" si="3179"/>
        <v>0.39456000000000002</v>
      </c>
      <c r="V1007" s="399" t="s">
        <v>125</v>
      </c>
      <c r="W1007" s="399">
        <f t="shared" ref="W1007" si="3189">IF(D988&gt;4*G986,ROUND(MAX(D988/4,2*G986)/H1007,0)+1,0)</f>
        <v>10</v>
      </c>
      <c r="X1007" s="399" t="s">
        <v>125</v>
      </c>
      <c r="Y1007" s="389">
        <f t="shared" ref="Y1007" si="3190">D991</f>
        <v>1</v>
      </c>
      <c r="Z1007" s="400" t="s">
        <v>176</v>
      </c>
      <c r="AA1007" s="402">
        <f t="shared" si="3182"/>
        <v>4.0639680000000009</v>
      </c>
      <c r="AB1007" s="403"/>
    </row>
    <row r="1008" spans="1:28">
      <c r="A1008" s="384"/>
      <c r="B1008" s="385"/>
      <c r="C1008" s="393"/>
      <c r="D1008" s="394"/>
      <c r="E1008" s="388"/>
      <c r="F1008" s="388"/>
      <c r="G1008" s="388"/>
      <c r="H1008" s="395"/>
      <c r="I1008" s="388"/>
      <c r="J1008" s="399"/>
      <c r="K1008" s="396"/>
      <c r="L1008" s="396"/>
      <c r="M1008" s="396"/>
      <c r="N1008" s="396"/>
      <c r="O1008" s="396"/>
      <c r="P1008" s="389"/>
      <c r="Q1008" s="396"/>
      <c r="R1008" s="396"/>
      <c r="S1008" s="396"/>
      <c r="T1008" s="396"/>
      <c r="U1008" s="401"/>
      <c r="V1008" s="396"/>
      <c r="W1008" s="388"/>
      <c r="X1008" s="396"/>
      <c r="Y1008" s="389"/>
      <c r="Z1008" s="396"/>
      <c r="AA1008" s="388"/>
      <c r="AB1008" s="390"/>
    </row>
    <row r="1009" spans="1:28">
      <c r="A1009" s="384" t="str">
        <f t="shared" ref="A1009:B1009" si="3191">A985</f>
        <v>Lantai 1</v>
      </c>
      <c r="B1009" s="385">
        <f t="shared" si="3191"/>
        <v>32</v>
      </c>
      <c r="C1009" s="393" t="s">
        <v>213</v>
      </c>
      <c r="D1009" s="398">
        <f>VLOOKUP(D985,'Detail Balok'!$C$10:$BJ$140,46,FALSE)</f>
        <v>0</v>
      </c>
      <c r="E1009" s="388" t="s">
        <v>16</v>
      </c>
      <c r="F1009" s="388">
        <f>VLOOKUP(D985,'Detail Balok'!$C$10:$BJ$140,48,FALSE)</f>
        <v>0</v>
      </c>
      <c r="G1009" s="405" t="s">
        <v>157</v>
      </c>
      <c r="H1009" s="395">
        <f>VLOOKUP(D985,'Detail Balok'!$C$10:$BJ$140,50,FALSE)</f>
        <v>100</v>
      </c>
      <c r="I1009" s="388"/>
      <c r="J1009" s="399">
        <f t="shared" ref="J1009" si="3192">(D986-2*F$5)/1000</f>
        <v>0.12</v>
      </c>
      <c r="K1009" s="400" t="s">
        <v>204</v>
      </c>
      <c r="L1009" s="399">
        <f t="shared" ref="L1009:L1011" si="3193">IF(D1009=0,2*MAX(6*F1009,75),(D1009-1)*2*MAX(6*F1009,75))/1000</f>
        <v>0.15</v>
      </c>
      <c r="M1009" s="399" t="s">
        <v>176</v>
      </c>
      <c r="N1009" s="399">
        <f t="shared" ref="N1009:N1011" si="3194">J1009+L1009</f>
        <v>0.27</v>
      </c>
      <c r="O1009" s="399"/>
      <c r="P1009" s="399"/>
      <c r="Q1009" s="399"/>
      <c r="R1009" s="399"/>
      <c r="S1009" s="399"/>
      <c r="T1009" s="399" t="s">
        <v>125</v>
      </c>
      <c r="U1009" s="401">
        <f t="shared" ref="U1009:U1011" si="3195">0.006165*F1009^2</f>
        <v>0</v>
      </c>
      <c r="V1009" s="399" t="s">
        <v>125</v>
      </c>
      <c r="W1009" s="399">
        <f t="shared" si="3100"/>
        <v>10</v>
      </c>
      <c r="X1009" s="399" t="s">
        <v>125</v>
      </c>
      <c r="Y1009" s="389">
        <f t="shared" ref="Y1009" si="3196">D995</f>
        <v>3</v>
      </c>
      <c r="Z1009" s="400" t="s">
        <v>176</v>
      </c>
      <c r="AA1009" s="402">
        <f t="shared" ref="AA1009:AA1011" si="3197">N1009*U1009*W1009*Y1009</f>
        <v>0</v>
      </c>
      <c r="AB1009" s="403"/>
    </row>
    <row r="1010" spans="1:28">
      <c r="A1010" s="384" t="str">
        <f t="shared" ref="A1010:B1010" si="3198">A985</f>
        <v>Lantai 1</v>
      </c>
      <c r="B1010" s="385">
        <f t="shared" si="3198"/>
        <v>32</v>
      </c>
      <c r="C1010" s="393" t="s">
        <v>214</v>
      </c>
      <c r="D1010" s="398">
        <f>VLOOKUP(D985,'Detail Balok'!$C$10:$BJ$140,51,FALSE)</f>
        <v>0</v>
      </c>
      <c r="E1010" s="388" t="s">
        <v>16</v>
      </c>
      <c r="F1010" s="388">
        <f>VLOOKUP(D985,'Detail Balok'!$C$10:$BJ$140,53,FALSE)</f>
        <v>0</v>
      </c>
      <c r="G1010" s="405" t="s">
        <v>157</v>
      </c>
      <c r="H1010" s="395">
        <f>VLOOKUP(D985,'Detail Balok'!$C$10:$BJ$140,55,FALSE)</f>
        <v>100</v>
      </c>
      <c r="I1010" s="388"/>
      <c r="J1010" s="399">
        <f t="shared" ref="J1010" si="3199">(D986-2*F$5)/1000</f>
        <v>0.12</v>
      </c>
      <c r="K1010" s="400" t="s">
        <v>204</v>
      </c>
      <c r="L1010" s="399">
        <f t="shared" si="3193"/>
        <v>0.15</v>
      </c>
      <c r="M1010" s="399" t="s">
        <v>176</v>
      </c>
      <c r="N1010" s="399">
        <f t="shared" si="3194"/>
        <v>0.27</v>
      </c>
      <c r="O1010" s="399"/>
      <c r="P1010" s="399"/>
      <c r="Q1010" s="399"/>
      <c r="R1010" s="399"/>
      <c r="S1010" s="399"/>
      <c r="T1010" s="399" t="s">
        <v>125</v>
      </c>
      <c r="U1010" s="401">
        <f t="shared" si="3195"/>
        <v>0</v>
      </c>
      <c r="V1010" s="399" t="s">
        <v>125</v>
      </c>
      <c r="W1010" s="399">
        <f t="shared" si="3100"/>
        <v>13</v>
      </c>
      <c r="X1010" s="399" t="s">
        <v>125</v>
      </c>
      <c r="Y1010" s="389">
        <f t="shared" ref="Y1010" si="3200">D995</f>
        <v>3</v>
      </c>
      <c r="Z1010" s="400" t="s">
        <v>176</v>
      </c>
      <c r="AA1010" s="402">
        <f t="shared" si="3197"/>
        <v>0</v>
      </c>
      <c r="AB1010" s="403"/>
    </row>
    <row r="1011" spans="1:28">
      <c r="A1011" s="384" t="str">
        <f t="shared" ref="A1011:B1011" si="3201">A985</f>
        <v>Lantai 1</v>
      </c>
      <c r="B1011" s="385">
        <f t="shared" si="3201"/>
        <v>32</v>
      </c>
      <c r="C1011" s="393" t="s">
        <v>213</v>
      </c>
      <c r="D1011" s="398">
        <f>VLOOKUP(D985,'Detail Balok'!$C$10:$BJ$140,56,FALSE)</f>
        <v>0</v>
      </c>
      <c r="E1011" s="388" t="s">
        <v>16</v>
      </c>
      <c r="F1011" s="388">
        <f>VLOOKUP(D985,'Detail Balok'!$C$10:$BJ$140,58,FALSE)</f>
        <v>0</v>
      </c>
      <c r="G1011" s="405" t="s">
        <v>157</v>
      </c>
      <c r="H1011" s="395">
        <f>VLOOKUP(D985,'Detail Balok'!$C$10:$BJ$140,60,FALSE)</f>
        <v>100</v>
      </c>
      <c r="I1011" s="388"/>
      <c r="J1011" s="399">
        <f t="shared" ref="J1011" si="3202">(D986-2*F$5)/1000</f>
        <v>0.12</v>
      </c>
      <c r="K1011" s="400" t="s">
        <v>204</v>
      </c>
      <c r="L1011" s="399">
        <f t="shared" si="3193"/>
        <v>0.15</v>
      </c>
      <c r="M1011" s="399" t="s">
        <v>176</v>
      </c>
      <c r="N1011" s="399">
        <f t="shared" si="3194"/>
        <v>0.27</v>
      </c>
      <c r="O1011" s="399"/>
      <c r="P1011" s="399"/>
      <c r="Q1011" s="399"/>
      <c r="R1011" s="399"/>
      <c r="S1011" s="399"/>
      <c r="T1011" s="399" t="s">
        <v>125</v>
      </c>
      <c r="U1011" s="401">
        <f t="shared" si="3195"/>
        <v>0</v>
      </c>
      <c r="V1011" s="399" t="s">
        <v>125</v>
      </c>
      <c r="W1011" s="399">
        <f t="shared" si="3100"/>
        <v>10</v>
      </c>
      <c r="X1011" s="399" t="s">
        <v>125</v>
      </c>
      <c r="Y1011" s="389">
        <f t="shared" ref="Y1011" si="3203">D995</f>
        <v>3</v>
      </c>
      <c r="Z1011" s="400" t="s">
        <v>176</v>
      </c>
      <c r="AA1011" s="402">
        <f t="shared" si="3197"/>
        <v>0</v>
      </c>
      <c r="AB1011" s="403"/>
    </row>
    <row r="1012" spans="1:28">
      <c r="A1012" s="391"/>
      <c r="B1012" s="392"/>
      <c r="C1012" s="392"/>
      <c r="D1012" s="394"/>
      <c r="E1012" s="388"/>
      <c r="F1012" s="388"/>
      <c r="G1012" s="388"/>
      <c r="H1012" s="395"/>
      <c r="I1012" s="388"/>
      <c r="J1012" s="402"/>
      <c r="K1012" s="388"/>
      <c r="L1012" s="388"/>
      <c r="M1012" s="388"/>
      <c r="N1012" s="388"/>
      <c r="O1012" s="388"/>
      <c r="P1012" s="388"/>
      <c r="Q1012" s="388"/>
      <c r="R1012" s="388"/>
      <c r="S1012" s="388"/>
      <c r="T1012" s="388"/>
      <c r="U1012" s="388"/>
      <c r="V1012" s="388"/>
      <c r="W1012" s="388"/>
      <c r="X1012" s="388"/>
      <c r="Y1012" s="389"/>
      <c r="Z1012" s="388"/>
      <c r="AA1012" s="402"/>
      <c r="AB1012" s="403"/>
    </row>
    <row r="1013" spans="1:28" ht="15.75" thickBot="1">
      <c r="A1013" s="406"/>
      <c r="B1013" s="407"/>
      <c r="C1013" s="407"/>
      <c r="D1013" s="408"/>
      <c r="E1013" s="409"/>
      <c r="F1013" s="409"/>
      <c r="G1013" s="409"/>
      <c r="H1013" s="410"/>
      <c r="I1013" s="409"/>
      <c r="J1013" s="409"/>
      <c r="K1013" s="409"/>
      <c r="L1013" s="409"/>
      <c r="M1013" s="409"/>
      <c r="N1013" s="409"/>
      <c r="O1013" s="409"/>
      <c r="P1013" s="409"/>
      <c r="Q1013" s="409"/>
      <c r="R1013" s="409"/>
      <c r="S1013" s="409"/>
      <c r="T1013" s="409"/>
      <c r="U1013" s="409"/>
      <c r="V1013" s="409"/>
      <c r="W1013" s="409"/>
      <c r="X1013" s="409"/>
      <c r="Y1013" s="411"/>
      <c r="Z1013" s="409"/>
      <c r="AA1013" s="412"/>
      <c r="AB1013" s="413"/>
    </row>
    <row r="1014" spans="1:28">
      <c r="A1014" s="377"/>
      <c r="B1014" s="378"/>
      <c r="C1014" s="378"/>
      <c r="D1014" s="379"/>
      <c r="E1014" s="380"/>
      <c r="F1014" s="380"/>
      <c r="G1014" s="380"/>
      <c r="H1014" s="381"/>
      <c r="I1014" s="380"/>
      <c r="J1014" s="380"/>
      <c r="K1014" s="380"/>
      <c r="L1014" s="380"/>
      <c r="M1014" s="380"/>
      <c r="N1014" s="380"/>
      <c r="O1014" s="380"/>
      <c r="P1014" s="380"/>
      <c r="Q1014" s="380"/>
      <c r="R1014" s="380"/>
      <c r="S1014" s="380"/>
      <c r="T1014" s="380"/>
      <c r="U1014" s="380"/>
      <c r="V1014" s="380"/>
      <c r="W1014" s="380"/>
      <c r="X1014" s="380"/>
      <c r="Y1014" s="382"/>
      <c r="Z1014" s="380"/>
      <c r="AA1014" s="380"/>
      <c r="AB1014" s="383"/>
    </row>
    <row r="1015" spans="1:28">
      <c r="A1015" s="384" t="str">
        <f>A985</f>
        <v>Lantai 1</v>
      </c>
      <c r="B1015" s="385">
        <f>B985+1</f>
        <v>33</v>
      </c>
      <c r="C1015" s="386" t="str">
        <f t="shared" ref="C1015" si="3204">CONCATENATE(A1015," no. ",B1015)</f>
        <v>Lantai 1 no. 33</v>
      </c>
      <c r="D1015" s="2562" t="str">
        <f>VLOOKUP(C1015,'Data Panjang Balok'!$C$9:$N$254,2,FALSE)</f>
        <v>S24-2</v>
      </c>
      <c r="E1015" s="2576"/>
      <c r="F1015" s="2576"/>
      <c r="G1015" s="2576"/>
      <c r="H1015" s="2577"/>
      <c r="I1015" s="387"/>
      <c r="J1015" s="388"/>
      <c r="K1015" s="388"/>
      <c r="L1015" s="388"/>
      <c r="M1015" s="388"/>
      <c r="N1015" s="388"/>
      <c r="O1015" s="388"/>
      <c r="P1015" s="388"/>
      <c r="Q1015" s="388"/>
      <c r="R1015" s="388"/>
      <c r="S1015" s="388"/>
      <c r="T1015" s="388"/>
      <c r="U1015" s="388"/>
      <c r="V1015" s="388"/>
      <c r="W1015" s="388"/>
      <c r="X1015" s="388"/>
      <c r="Y1015" s="389"/>
      <c r="Z1015" s="388"/>
      <c r="AA1015" s="388"/>
      <c r="AB1015" s="390"/>
    </row>
    <row r="1016" spans="1:28">
      <c r="A1016" s="391"/>
      <c r="B1016" s="392"/>
      <c r="C1016" s="393" t="s">
        <v>118</v>
      </c>
      <c r="D1016" s="2578">
        <f>VLOOKUP(D1015,'Detail Balok'!$C$10:$AU$140,2,FALSE)</f>
        <v>200</v>
      </c>
      <c r="E1016" s="2579"/>
      <c r="F1016" s="388" t="s">
        <v>125</v>
      </c>
      <c r="G1016" s="2579">
        <f>VLOOKUP(D1015,'Detail Balok'!$C$10:$AU$140,3,FALSE)</f>
        <v>400</v>
      </c>
      <c r="H1016" s="2580"/>
      <c r="I1016" s="388"/>
      <c r="J1016" s="396"/>
      <c r="K1016" s="396"/>
      <c r="L1016" s="396"/>
      <c r="M1016" s="396"/>
      <c r="N1016" s="396"/>
      <c r="O1016" s="396"/>
      <c r="P1016" s="396"/>
      <c r="Q1016" s="396"/>
      <c r="R1016" s="396"/>
      <c r="S1016" s="396"/>
      <c r="T1016" s="396"/>
      <c r="U1016" s="388"/>
      <c r="V1016" s="396"/>
      <c r="W1016" s="388"/>
      <c r="X1016" s="396"/>
      <c r="Y1016" s="389"/>
      <c r="Z1016" s="396"/>
      <c r="AA1016" s="388"/>
      <c r="AB1016" s="390"/>
    </row>
    <row r="1017" spans="1:28">
      <c r="A1017" s="391"/>
      <c r="B1017" s="392"/>
      <c r="C1017" s="393" t="s">
        <v>198</v>
      </c>
      <c r="D1017" s="2562">
        <f>VLOOKUP(C1015,'Data Panjang Balok'!$C$9:$N$254,4,FALSE)</f>
        <v>4000</v>
      </c>
      <c r="E1017" s="2563"/>
      <c r="F1017" s="2563"/>
      <c r="G1017" s="2563"/>
      <c r="H1017" s="2564"/>
      <c r="I1017" s="397"/>
      <c r="J1017" s="396"/>
      <c r="K1017" s="396"/>
      <c r="L1017" s="396"/>
      <c r="M1017" s="396"/>
      <c r="N1017" s="396"/>
      <c r="O1017" s="396"/>
      <c r="P1017" s="396"/>
      <c r="Q1017" s="396"/>
      <c r="R1017" s="396"/>
      <c r="S1017" s="396"/>
      <c r="T1017" s="396"/>
      <c r="U1017" s="388"/>
      <c r="V1017" s="396"/>
      <c r="W1017" s="388"/>
      <c r="X1017" s="396"/>
      <c r="Y1017" s="389"/>
      <c r="Z1017" s="396"/>
      <c r="AA1017" s="388"/>
      <c r="AB1017" s="390"/>
    </row>
    <row r="1018" spans="1:28">
      <c r="A1018" s="391"/>
      <c r="B1018" s="392"/>
      <c r="C1018" s="393" t="s">
        <v>199</v>
      </c>
      <c r="D1018" s="2562">
        <f>VLOOKUP(C1015,'Data Panjang Balok'!$C$9:$N$254,7,FALSE)</f>
        <v>4000</v>
      </c>
      <c r="E1018" s="2563"/>
      <c r="F1018" s="2563"/>
      <c r="G1018" s="2563"/>
      <c r="H1018" s="2564"/>
      <c r="I1018" s="397"/>
      <c r="J1018" s="396"/>
      <c r="K1018" s="396"/>
      <c r="L1018" s="396"/>
      <c r="M1018" s="396"/>
      <c r="N1018" s="396"/>
      <c r="O1018" s="396"/>
      <c r="P1018" s="396"/>
      <c r="Q1018" s="396"/>
      <c r="R1018" s="396"/>
      <c r="S1018" s="396"/>
      <c r="T1018" s="396"/>
      <c r="U1018" s="388"/>
      <c r="V1018" s="396"/>
      <c r="W1018" s="388"/>
      <c r="X1018" s="396"/>
      <c r="Y1018" s="389"/>
      <c r="Z1018" s="396"/>
      <c r="AA1018" s="388"/>
      <c r="AB1018" s="390"/>
    </row>
    <row r="1019" spans="1:28">
      <c r="A1019" s="391"/>
      <c r="B1019" s="392"/>
      <c r="C1019" s="393" t="s">
        <v>200</v>
      </c>
      <c r="D1019" s="2562">
        <f>VLOOKUP(C1015,'Data Panjang Balok'!$C$9:$N$254,9,FALSE)</f>
        <v>0</v>
      </c>
      <c r="E1019" s="2563"/>
      <c r="F1019" s="2563"/>
      <c r="G1019" s="2563"/>
      <c r="H1019" s="2564"/>
      <c r="I1019" s="397"/>
      <c r="J1019" s="396"/>
      <c r="K1019" s="396"/>
      <c r="L1019" s="396"/>
      <c r="M1019" s="396"/>
      <c r="N1019" s="396"/>
      <c r="O1019" s="396"/>
      <c r="P1019" s="396"/>
      <c r="Q1019" s="396"/>
      <c r="R1019" s="396"/>
      <c r="S1019" s="396"/>
      <c r="T1019" s="396"/>
      <c r="U1019" s="388"/>
      <c r="V1019" s="396"/>
      <c r="W1019" s="388"/>
      <c r="X1019" s="396"/>
      <c r="Y1019" s="389"/>
      <c r="Z1019" s="396"/>
      <c r="AA1019" s="388"/>
      <c r="AB1019" s="390"/>
    </row>
    <row r="1020" spans="1:28">
      <c r="A1020" s="391"/>
      <c r="B1020" s="392"/>
      <c r="C1020" s="393" t="s">
        <v>201</v>
      </c>
      <c r="D1020" s="2562">
        <f>VLOOKUP(C1015,'Data Panjang Balok'!$C$9:$N$254,10,FALSE)</f>
        <v>0</v>
      </c>
      <c r="E1020" s="2563"/>
      <c r="F1020" s="2563"/>
      <c r="G1020" s="2563"/>
      <c r="H1020" s="2564"/>
      <c r="I1020" s="397"/>
      <c r="J1020" s="396"/>
      <c r="K1020" s="396"/>
      <c r="L1020" s="396"/>
      <c r="M1020" s="396"/>
      <c r="N1020" s="396"/>
      <c r="O1020" s="396"/>
      <c r="P1020" s="396"/>
      <c r="Q1020" s="396"/>
      <c r="R1020" s="396"/>
      <c r="S1020" s="396"/>
      <c r="T1020" s="396"/>
      <c r="U1020" s="388"/>
      <c r="V1020" s="396"/>
      <c r="W1020" s="388"/>
      <c r="X1020" s="396"/>
      <c r="Y1020" s="389"/>
      <c r="Z1020" s="396"/>
      <c r="AA1020" s="388"/>
      <c r="AB1020" s="390"/>
    </row>
    <row r="1021" spans="1:28">
      <c r="A1021" s="391"/>
      <c r="B1021" s="392"/>
      <c r="C1021" s="393" t="s">
        <v>48</v>
      </c>
      <c r="D1021" s="2562">
        <f>VLOOKUP(C1015,'Data Panjang Balok'!$C$9:$N$254,3,FALSE)</f>
        <v>1</v>
      </c>
      <c r="E1021" s="2563"/>
      <c r="F1021" s="2563"/>
      <c r="G1021" s="2563"/>
      <c r="H1021" s="2564"/>
      <c r="I1021" s="397"/>
      <c r="J1021" s="396"/>
      <c r="K1021" s="396"/>
      <c r="L1021" s="396"/>
      <c r="M1021" s="396"/>
      <c r="N1021" s="396"/>
      <c r="O1021" s="396"/>
      <c r="P1021" s="396"/>
      <c r="Q1021" s="396"/>
      <c r="R1021" s="396"/>
      <c r="S1021" s="396"/>
      <c r="T1021" s="396"/>
      <c r="U1021" s="388"/>
      <c r="V1021" s="396"/>
      <c r="W1021" s="388"/>
      <c r="X1021" s="396"/>
      <c r="Y1021" s="389"/>
      <c r="Z1021" s="396"/>
      <c r="AA1021" s="388"/>
      <c r="AB1021" s="390"/>
    </row>
    <row r="1022" spans="1:28">
      <c r="A1022" s="384" t="str">
        <f t="shared" ref="A1022:B1022" si="3205">A1015</f>
        <v>Lantai 1</v>
      </c>
      <c r="B1022" s="385">
        <f t="shared" si="3205"/>
        <v>33</v>
      </c>
      <c r="C1022" s="393" t="s">
        <v>202</v>
      </c>
      <c r="D1022" s="398">
        <f>VLOOKUP(D1015,'Detail Balok'!$C$10:$AU$140,4,FALSE)</f>
        <v>3</v>
      </c>
      <c r="E1022" s="388" t="s">
        <v>16</v>
      </c>
      <c r="F1022" s="388">
        <f>VLOOKUP(D1015,'Detail Balok'!$C$10:$AU$140,6,FALSE)</f>
        <v>16</v>
      </c>
      <c r="G1022" s="388"/>
      <c r="H1022" s="395"/>
      <c r="I1022" s="388" t="s">
        <v>203</v>
      </c>
      <c r="J1022" s="399">
        <f t="shared" ref="J1022" si="3206">+D1017/4/1000</f>
        <v>1</v>
      </c>
      <c r="K1022" s="400" t="s">
        <v>204</v>
      </c>
      <c r="L1022" s="399">
        <f t="shared" ref="L1022" si="3207">MAX(VLOOKUP(F1022,N$6:P$15,3,FALSE)/1000,2/3*D1019/1000)+F$16*F1022/1000</f>
        <v>0.192</v>
      </c>
      <c r="M1022" s="399" t="s">
        <v>176</v>
      </c>
      <c r="N1022" s="399">
        <f t="shared" ref="N1022:N1024" si="3208">J1022+L1022</f>
        <v>1.1919999999999999</v>
      </c>
      <c r="O1022" s="399" t="s">
        <v>204</v>
      </c>
      <c r="P1022" s="389">
        <f t="shared" ref="P1022" si="3209">D1022-D1023</f>
        <v>0</v>
      </c>
      <c r="Q1022" s="399" t="s">
        <v>125</v>
      </c>
      <c r="R1022" s="399">
        <f t="shared" ref="R1022" si="3210">IF(P1022&gt;0,$F$18*F1022/1000,0)</f>
        <v>0</v>
      </c>
      <c r="S1022" s="399" t="s">
        <v>205</v>
      </c>
      <c r="T1022" s="399" t="s">
        <v>125</v>
      </c>
      <c r="U1022" s="401">
        <f t="shared" ref="U1022:U1024" si="3211">0.006165*F1022^2</f>
        <v>1.5782400000000001</v>
      </c>
      <c r="V1022" s="399"/>
      <c r="W1022" s="399"/>
      <c r="X1022" s="399" t="s">
        <v>125</v>
      </c>
      <c r="Y1022" s="389">
        <f t="shared" ref="Y1022" si="3212">D1021</f>
        <v>1</v>
      </c>
      <c r="Z1022" s="400" t="s">
        <v>176</v>
      </c>
      <c r="AA1022" s="402">
        <f t="shared" ref="AA1022" si="3213">IF(AA1025=0,(D1022*N1022+P1022*R1022)*U1022*Y1022,0)</f>
        <v>0</v>
      </c>
      <c r="AB1022" s="403"/>
    </row>
    <row r="1023" spans="1:28">
      <c r="A1023" s="384" t="str">
        <f t="shared" ref="A1023:B1023" si="3214">A1015</f>
        <v>Lantai 1</v>
      </c>
      <c r="B1023" s="385">
        <f t="shared" si="3214"/>
        <v>33</v>
      </c>
      <c r="C1023" s="393" t="s">
        <v>206</v>
      </c>
      <c r="D1023" s="398">
        <f>VLOOKUP(D1015,'Detail Balok'!$C$10:$AU$140,7,FALSE)</f>
        <v>3</v>
      </c>
      <c r="E1023" s="388" t="s">
        <v>16</v>
      </c>
      <c r="F1023" s="388">
        <f>VLOOKUP(D1015,'Detail Balok'!$C$10:$AU$140,9,FALSE)</f>
        <v>16</v>
      </c>
      <c r="G1023" s="388"/>
      <c r="H1023" s="395"/>
      <c r="I1023" s="388" t="s">
        <v>203</v>
      </c>
      <c r="J1023" s="399">
        <f t="shared" ref="J1023" si="3215">+D1017/2/1000</f>
        <v>2</v>
      </c>
      <c r="K1023" s="400" t="s">
        <v>204</v>
      </c>
      <c r="L1023" s="399"/>
      <c r="M1023" s="399" t="s">
        <v>176</v>
      </c>
      <c r="N1023" s="399">
        <f t="shared" si="3208"/>
        <v>2</v>
      </c>
      <c r="O1023" s="399" t="s">
        <v>204</v>
      </c>
      <c r="P1023" s="389">
        <f t="shared" ref="P1023" si="3216">MAX(D1023-D1022,D1023-D1024)</f>
        <v>0</v>
      </c>
      <c r="Q1023" s="399" t="s">
        <v>125</v>
      </c>
      <c r="R1023" s="399">
        <f t="shared" ref="R1023" si="3217">IF(P1023&gt;0,2*(1-2*$F$19-1/2)*D1018/1000,0)</f>
        <v>0</v>
      </c>
      <c r="S1023" s="399" t="s">
        <v>205</v>
      </c>
      <c r="T1023" s="399" t="s">
        <v>125</v>
      </c>
      <c r="U1023" s="401">
        <f t="shared" si="3211"/>
        <v>1.5782400000000001</v>
      </c>
      <c r="V1023" s="399"/>
      <c r="W1023" s="399"/>
      <c r="X1023" s="399" t="s">
        <v>125</v>
      </c>
      <c r="Y1023" s="389">
        <f t="shared" ref="Y1023" si="3218">D1021</f>
        <v>1</v>
      </c>
      <c r="Z1023" s="400" t="s">
        <v>176</v>
      </c>
      <c r="AA1023" s="402">
        <f t="shared" ref="AA1023" si="3219">IF(AA1025=0,(D1023*N1023+P1023*R1023)*U1023*Y1023,0)</f>
        <v>0</v>
      </c>
      <c r="AB1023" s="403"/>
    </row>
    <row r="1024" spans="1:28">
      <c r="A1024" s="384" t="str">
        <f t="shared" ref="A1024:B1024" si="3220">A1015</f>
        <v>Lantai 1</v>
      </c>
      <c r="B1024" s="385">
        <f t="shared" si="3220"/>
        <v>33</v>
      </c>
      <c r="C1024" s="393" t="s">
        <v>202</v>
      </c>
      <c r="D1024" s="398">
        <f>VLOOKUP(D1015,'Detail Balok'!$C$10:$AU$140,10,FALSE)</f>
        <v>3</v>
      </c>
      <c r="E1024" s="388" t="s">
        <v>16</v>
      </c>
      <c r="F1024" s="388">
        <f>VLOOKUP(D1015,'Detail Balok'!$C$10:$AU$140,12,FALSE)</f>
        <v>16</v>
      </c>
      <c r="G1024" s="388"/>
      <c r="H1024" s="395"/>
      <c r="I1024" s="388" t="s">
        <v>203</v>
      </c>
      <c r="J1024" s="399">
        <f t="shared" ref="J1024" si="3221">+D1017/4/1000</f>
        <v>1</v>
      </c>
      <c r="K1024" s="400" t="s">
        <v>204</v>
      </c>
      <c r="L1024" s="399">
        <f t="shared" ref="L1024" si="3222">MAX(VLOOKUP(F1024,N$6:P$15,3,FALSE)/1000,2/3*D1019/1000)+F$16*F1024/1000</f>
        <v>0.192</v>
      </c>
      <c r="M1024" s="399" t="s">
        <v>176</v>
      </c>
      <c r="N1024" s="399">
        <f t="shared" si="3208"/>
        <v>1.1919999999999999</v>
      </c>
      <c r="O1024" s="399" t="s">
        <v>204</v>
      </c>
      <c r="P1024" s="389">
        <f t="shared" ref="P1024" si="3223">D1024-D1023</f>
        <v>0</v>
      </c>
      <c r="Q1024" s="399" t="s">
        <v>125</v>
      </c>
      <c r="R1024" s="399">
        <f t="shared" ref="R1024" si="3224">IF(P1024&gt;0,$F$18*F1024/1000,0)</f>
        <v>0</v>
      </c>
      <c r="S1024" s="399" t="s">
        <v>205</v>
      </c>
      <c r="T1024" s="399" t="s">
        <v>125</v>
      </c>
      <c r="U1024" s="401">
        <f t="shared" si="3211"/>
        <v>1.5782400000000001</v>
      </c>
      <c r="V1024" s="399"/>
      <c r="W1024" s="399"/>
      <c r="X1024" s="399" t="s">
        <v>125</v>
      </c>
      <c r="Y1024" s="389">
        <f t="shared" ref="Y1024" si="3225">D1021</f>
        <v>1</v>
      </c>
      <c r="Z1024" s="400" t="s">
        <v>176</v>
      </c>
      <c r="AA1024" s="402">
        <f t="shared" ref="AA1024" si="3226">IF(AA1025=0,(D1024*N1024+P1024*R1024)*U1024*Y1024,0)</f>
        <v>0</v>
      </c>
      <c r="AB1024" s="403"/>
    </row>
    <row r="1025" spans="1:28">
      <c r="A1025" s="384" t="str">
        <f t="shared" ref="A1025:B1025" si="3227">A1015</f>
        <v>Lantai 1</v>
      </c>
      <c r="B1025" s="385">
        <f t="shared" si="3227"/>
        <v>33</v>
      </c>
      <c r="C1025" s="393"/>
      <c r="D1025" s="398">
        <f t="shared" si="3030"/>
        <v>3</v>
      </c>
      <c r="E1025" s="388" t="s">
        <v>16</v>
      </c>
      <c r="F1025" s="388">
        <f t="shared" si="3031"/>
        <v>16</v>
      </c>
      <c r="G1025" s="388"/>
      <c r="H1025" s="395"/>
      <c r="I1025" s="388"/>
      <c r="J1025" s="396"/>
      <c r="K1025" s="396"/>
      <c r="L1025" s="404" t="s">
        <v>207</v>
      </c>
      <c r="M1025" s="399" t="s">
        <v>176</v>
      </c>
      <c r="N1025" s="399">
        <f t="shared" ref="N1025" si="3228">IF(AND(D1022=D1023,D1022=D1024,D1023=D1024,F1022=F1023,F1022=F1024,F1023=F1024),SUM(N1022:N1024),0)</f>
        <v>4.3840000000000003</v>
      </c>
      <c r="O1025" s="399" t="s">
        <v>204</v>
      </c>
      <c r="P1025" s="389">
        <f t="shared" ref="P1025" si="3229">IF(N1025&gt;12,ROUNDDOWN(N1025/12,0),0)</f>
        <v>0</v>
      </c>
      <c r="Q1025" s="399" t="s">
        <v>125</v>
      </c>
      <c r="R1025" s="399">
        <f t="shared" ref="R1025" si="3230">IF(P1025&gt;0,MAX(VLOOKUP(F1025,$D$6:$G$15,3,FALSE),600),0)/1000</f>
        <v>0</v>
      </c>
      <c r="S1025" s="396"/>
      <c r="T1025" s="396" t="s">
        <v>125</v>
      </c>
      <c r="U1025" s="401">
        <f t="shared" si="3035"/>
        <v>1.5782400000000001</v>
      </c>
      <c r="V1025" s="396" t="s">
        <v>125</v>
      </c>
      <c r="W1025" s="399">
        <f t="shared" ref="W1025" si="3231">D1025</f>
        <v>3</v>
      </c>
      <c r="X1025" s="399" t="s">
        <v>125</v>
      </c>
      <c r="Y1025" s="389">
        <f t="shared" si="3037"/>
        <v>1</v>
      </c>
      <c r="Z1025" s="400" t="s">
        <v>176</v>
      </c>
      <c r="AA1025" s="402">
        <f t="shared" ref="AA1025" si="3232">(N1025+P1025*R1025/1000)*U1025*W1025*Y1025</f>
        <v>20.757012480000004</v>
      </c>
      <c r="AB1025" s="390"/>
    </row>
    <row r="1026" spans="1:28">
      <c r="A1026" s="384"/>
      <c r="B1026" s="385"/>
      <c r="C1026" s="393"/>
      <c r="D1026" s="398"/>
      <c r="E1026" s="388"/>
      <c r="F1026" s="388"/>
      <c r="G1026" s="388"/>
      <c r="H1026" s="395"/>
      <c r="I1026" s="388"/>
      <c r="J1026" s="396"/>
      <c r="K1026" s="396"/>
      <c r="L1026" s="404"/>
      <c r="M1026" s="399"/>
      <c r="N1026" s="399"/>
      <c r="O1026" s="396"/>
      <c r="P1026" s="389"/>
      <c r="Q1026" s="396"/>
      <c r="R1026" s="396"/>
      <c r="S1026" s="396"/>
      <c r="T1026" s="396"/>
      <c r="U1026" s="401"/>
      <c r="V1026" s="396"/>
      <c r="W1026" s="399"/>
      <c r="X1026" s="396"/>
      <c r="Y1026" s="389"/>
      <c r="Z1026" s="396"/>
      <c r="AA1026" s="388"/>
      <c r="AB1026" s="390"/>
    </row>
    <row r="1027" spans="1:28">
      <c r="A1027" s="384" t="str">
        <f t="shared" ref="A1027:B1027" si="3233">A1015</f>
        <v>Lantai 1</v>
      </c>
      <c r="B1027" s="385">
        <f t="shared" si="3233"/>
        <v>33</v>
      </c>
      <c r="C1027" s="393" t="s">
        <v>208</v>
      </c>
      <c r="D1027" s="398">
        <f>VLOOKUP(D1015,'Detail Balok'!$C$10:$AU$140,13,FALSE)</f>
        <v>0</v>
      </c>
      <c r="E1027" s="388" t="s">
        <v>16</v>
      </c>
      <c r="F1027" s="388">
        <f>VLOOKUP(D1015,'Detail Balok'!$C$10:$AU$140,15,FALSE)</f>
        <v>8</v>
      </c>
      <c r="G1027" s="388"/>
      <c r="H1027" s="395"/>
      <c r="I1027" s="388"/>
      <c r="J1027" s="399">
        <f t="shared" ref="J1027" si="3234">+D1017/1000</f>
        <v>4</v>
      </c>
      <c r="K1027" s="400" t="s">
        <v>204</v>
      </c>
      <c r="L1027" s="399">
        <f t="shared" ref="L1027" si="3235">2*$F$16*F1027/1000</f>
        <v>0.192</v>
      </c>
      <c r="M1027" s="399" t="s">
        <v>176</v>
      </c>
      <c r="N1027" s="399">
        <f t="shared" ref="N1027" si="3236">J1027+L1027</f>
        <v>4.1920000000000002</v>
      </c>
      <c r="O1027" s="399" t="s">
        <v>204</v>
      </c>
      <c r="P1027" s="389">
        <f t="shared" ref="P1027" si="3237">IF(N1027&gt;12,ROUNDDOWN(N1027/12,0),0)</f>
        <v>0</v>
      </c>
      <c r="Q1027" s="399" t="s">
        <v>125</v>
      </c>
      <c r="R1027" s="399">
        <f t="shared" ref="R1027" si="3238">IF(P1027&gt;0,MAX(VLOOKUP(F1027,$D$6:$G$15,3,FALSE),600),0)/1000</f>
        <v>0</v>
      </c>
      <c r="S1027" s="399"/>
      <c r="T1027" s="399" t="s">
        <v>125</v>
      </c>
      <c r="U1027" s="401">
        <f t="shared" ref="U1027" si="3239">0.006165*F1027^2</f>
        <v>0.39456000000000002</v>
      </c>
      <c r="V1027" s="399" t="s">
        <v>125</v>
      </c>
      <c r="W1027" s="399">
        <f t="shared" ref="W1027" si="3240">+D1027</f>
        <v>0</v>
      </c>
      <c r="X1027" s="399" t="s">
        <v>125</v>
      </c>
      <c r="Y1027" s="389">
        <f t="shared" ref="Y1027" si="3241">D1021</f>
        <v>1</v>
      </c>
      <c r="Z1027" s="400" t="s">
        <v>176</v>
      </c>
      <c r="AA1027" s="402">
        <f t="shared" ref="AA1027" si="3242">(N1027+P1027*R1027/1000)*U1027*W1027*Y1027</f>
        <v>0</v>
      </c>
      <c r="AB1027" s="403"/>
    </row>
    <row r="1028" spans="1:28">
      <c r="A1028" s="384"/>
      <c r="B1028" s="385"/>
      <c r="C1028" s="393"/>
      <c r="D1028" s="398"/>
      <c r="E1028" s="388"/>
      <c r="F1028" s="388"/>
      <c r="G1028" s="388"/>
      <c r="H1028" s="395"/>
      <c r="I1028" s="388"/>
      <c r="J1028" s="399"/>
      <c r="K1028" s="400"/>
      <c r="L1028" s="399"/>
      <c r="M1028" s="399"/>
      <c r="N1028" s="399"/>
      <c r="O1028" s="399"/>
      <c r="P1028" s="389"/>
      <c r="Q1028" s="399"/>
      <c r="R1028" s="399"/>
      <c r="S1028" s="399"/>
      <c r="T1028" s="399"/>
      <c r="U1028" s="401"/>
      <c r="V1028" s="399"/>
      <c r="W1028" s="399"/>
      <c r="X1028" s="399"/>
      <c r="Y1028" s="389"/>
      <c r="Z1028" s="400"/>
      <c r="AA1028" s="402"/>
      <c r="AB1028" s="403"/>
    </row>
    <row r="1029" spans="1:28">
      <c r="A1029" s="384"/>
      <c r="B1029" s="385"/>
      <c r="C1029" s="393"/>
      <c r="D1029" s="398"/>
      <c r="E1029" s="388"/>
      <c r="F1029" s="388"/>
      <c r="G1029" s="388"/>
      <c r="H1029" s="395"/>
      <c r="I1029" s="388"/>
      <c r="J1029" s="396"/>
      <c r="K1029" s="396"/>
      <c r="L1029" s="396"/>
      <c r="M1029" s="396"/>
      <c r="N1029" s="396"/>
      <c r="O1029" s="396"/>
      <c r="P1029" s="389"/>
      <c r="Q1029" s="396"/>
      <c r="R1029" s="396"/>
      <c r="S1029" s="396"/>
      <c r="T1029" s="396"/>
      <c r="U1029" s="401"/>
      <c r="V1029" s="396"/>
      <c r="W1029" s="399"/>
      <c r="X1029" s="396"/>
      <c r="Y1029" s="389"/>
      <c r="Z1029" s="396"/>
      <c r="AA1029" s="388"/>
      <c r="AB1029" s="390"/>
    </row>
    <row r="1030" spans="1:28">
      <c r="A1030" s="384" t="str">
        <f t="shared" ref="A1030:B1030" si="3243">A1015</f>
        <v>Lantai 1</v>
      </c>
      <c r="B1030" s="385">
        <f t="shared" si="3243"/>
        <v>33</v>
      </c>
      <c r="C1030" s="393" t="s">
        <v>209</v>
      </c>
      <c r="D1030" s="398">
        <f>VLOOKUP(D1015,'Detail Balok'!$C$10:$AU$140,22,FALSE)</f>
        <v>3</v>
      </c>
      <c r="E1030" s="388" t="s">
        <v>16</v>
      </c>
      <c r="F1030" s="388">
        <f>VLOOKUP(D1015,'Detail Balok'!$C$10:$AU$140,24,FALSE)</f>
        <v>16</v>
      </c>
      <c r="G1030" s="388"/>
      <c r="H1030" s="395"/>
      <c r="I1030" s="388" t="s">
        <v>203</v>
      </c>
      <c r="J1030" s="399">
        <f t="shared" si="3050"/>
        <v>1</v>
      </c>
      <c r="K1030" s="400" t="s">
        <v>204</v>
      </c>
      <c r="L1030" s="399">
        <f t="shared" ref="L1030" si="3244">MAX(VLOOKUP(F1030,N$6:P$15,3,FALSE)/1000,2/3*D1020/1000)+F$16*F1030/1000</f>
        <v>0.192</v>
      </c>
      <c r="M1030" s="399" t="s">
        <v>176</v>
      </c>
      <c r="N1030" s="399">
        <f t="shared" ref="N1030:N1032" si="3245">J1030+L1030</f>
        <v>1.1919999999999999</v>
      </c>
      <c r="O1030" s="399" t="s">
        <v>204</v>
      </c>
      <c r="P1030" s="389">
        <f t="shared" ref="P1030" si="3246">D1030-D1031</f>
        <v>0</v>
      </c>
      <c r="Q1030" s="399" t="s">
        <v>125</v>
      </c>
      <c r="R1030" s="399">
        <f t="shared" ref="R1030" si="3247">IF(P1030&gt;0,$F$18*F1030/1000,0)</f>
        <v>0</v>
      </c>
      <c r="S1030" s="399" t="s">
        <v>205</v>
      </c>
      <c r="T1030" s="399" t="s">
        <v>125</v>
      </c>
      <c r="U1030" s="401">
        <f t="shared" ref="U1030:U1032" si="3248">0.006165*F1030^2</f>
        <v>1.5782400000000001</v>
      </c>
      <c r="V1030" s="399"/>
      <c r="W1030" s="399"/>
      <c r="X1030" s="399" t="s">
        <v>125</v>
      </c>
      <c r="Y1030" s="389">
        <f t="shared" ref="Y1030" si="3249">D1021</f>
        <v>1</v>
      </c>
      <c r="Z1030" s="400" t="s">
        <v>176</v>
      </c>
      <c r="AA1030" s="402">
        <f t="shared" ref="AA1030" si="3250">IF(AA1033=0,(D1030*N1030+P1030*R1030)*U1030*Y1030,0)</f>
        <v>0</v>
      </c>
      <c r="AB1030" s="403"/>
    </row>
    <row r="1031" spans="1:28">
      <c r="A1031" s="384" t="str">
        <f t="shared" ref="A1031:B1031" si="3251">A1015</f>
        <v>Lantai 1</v>
      </c>
      <c r="B1031" s="385">
        <f t="shared" si="3251"/>
        <v>33</v>
      </c>
      <c r="C1031" s="393" t="s">
        <v>210</v>
      </c>
      <c r="D1031" s="398">
        <f>VLOOKUP(D1015,'Detail Balok'!$C$10:$AU$140,25,FALSE)</f>
        <v>3</v>
      </c>
      <c r="E1031" s="388" t="s">
        <v>16</v>
      </c>
      <c r="F1031" s="388">
        <f>VLOOKUP(D1015,'Detail Balok'!$C$10:$AU$140,27,FALSE)</f>
        <v>16</v>
      </c>
      <c r="G1031" s="388"/>
      <c r="H1031" s="395"/>
      <c r="I1031" s="388" t="s">
        <v>203</v>
      </c>
      <c r="J1031" s="399">
        <f t="shared" si="3050"/>
        <v>2</v>
      </c>
      <c r="K1031" s="400" t="s">
        <v>204</v>
      </c>
      <c r="L1031" s="399"/>
      <c r="M1031" s="399" t="s">
        <v>176</v>
      </c>
      <c r="N1031" s="399">
        <f t="shared" si="3245"/>
        <v>2</v>
      </c>
      <c r="O1031" s="399" t="s">
        <v>204</v>
      </c>
      <c r="P1031" s="389">
        <f t="shared" ref="P1031" si="3252">MAX(D1031-D1030,D1031-D1032)</f>
        <v>0</v>
      </c>
      <c r="Q1031" s="399" t="s">
        <v>125</v>
      </c>
      <c r="R1031" s="399">
        <f t="shared" ref="R1031" si="3253">IF(P1031&gt;0,2*(1-2*$F$19-1/2)*D1018/1000,0)</f>
        <v>0</v>
      </c>
      <c r="S1031" s="399" t="s">
        <v>205</v>
      </c>
      <c r="T1031" s="399" t="s">
        <v>125</v>
      </c>
      <c r="U1031" s="401">
        <f t="shared" si="3248"/>
        <v>1.5782400000000001</v>
      </c>
      <c r="V1031" s="399"/>
      <c r="W1031" s="399"/>
      <c r="X1031" s="399" t="s">
        <v>125</v>
      </c>
      <c r="Y1031" s="389">
        <f t="shared" ref="Y1031" si="3254">D1021</f>
        <v>1</v>
      </c>
      <c r="Z1031" s="400" t="s">
        <v>176</v>
      </c>
      <c r="AA1031" s="402">
        <f t="shared" ref="AA1031" si="3255">IF(AA1033=0,(D1031*N1031+P1031*R1031)*U1031*Y1031,0)</f>
        <v>0</v>
      </c>
      <c r="AB1031" s="403"/>
    </row>
    <row r="1032" spans="1:28">
      <c r="A1032" s="384" t="str">
        <f t="shared" ref="A1032:B1032" si="3256">A1015</f>
        <v>Lantai 1</v>
      </c>
      <c r="B1032" s="385">
        <f t="shared" si="3256"/>
        <v>33</v>
      </c>
      <c r="C1032" s="393" t="s">
        <v>209</v>
      </c>
      <c r="D1032" s="398">
        <f>VLOOKUP(D1015,'Detail Balok'!$C$10:$AU$140,28,FALSE)</f>
        <v>3</v>
      </c>
      <c r="E1032" s="388" t="s">
        <v>16</v>
      </c>
      <c r="F1032" s="388">
        <f>VLOOKUP(D1015,'Detail Balok'!$C$10:$AU$140,30,FALSE)</f>
        <v>16</v>
      </c>
      <c r="G1032" s="388"/>
      <c r="H1032" s="395"/>
      <c r="I1032" s="388" t="s">
        <v>203</v>
      </c>
      <c r="J1032" s="399">
        <f t="shared" si="3050"/>
        <v>1</v>
      </c>
      <c r="K1032" s="400" t="s">
        <v>204</v>
      </c>
      <c r="L1032" s="399">
        <f t="shared" ref="L1032" si="3257">MAX(VLOOKUP(F1032,N$6:P$15,3,FALSE)/1000,2/3*D1020/1000)+F$16*F1032/1000</f>
        <v>0.192</v>
      </c>
      <c r="M1032" s="399" t="s">
        <v>176</v>
      </c>
      <c r="N1032" s="399">
        <f t="shared" si="3245"/>
        <v>1.1919999999999999</v>
      </c>
      <c r="O1032" s="399" t="s">
        <v>204</v>
      </c>
      <c r="P1032" s="389">
        <f t="shared" ref="P1032" si="3258">D1032-D1031</f>
        <v>0</v>
      </c>
      <c r="Q1032" s="399" t="s">
        <v>125</v>
      </c>
      <c r="R1032" s="399">
        <f t="shared" ref="R1032" si="3259">IF(P1032&gt;0,$F$18*F1032/1000,0)</f>
        <v>0</v>
      </c>
      <c r="S1032" s="399" t="s">
        <v>205</v>
      </c>
      <c r="T1032" s="399" t="s">
        <v>125</v>
      </c>
      <c r="U1032" s="401">
        <f t="shared" si="3248"/>
        <v>1.5782400000000001</v>
      </c>
      <c r="V1032" s="399"/>
      <c r="W1032" s="399"/>
      <c r="X1032" s="399" t="s">
        <v>125</v>
      </c>
      <c r="Y1032" s="389">
        <f t="shared" ref="Y1032" si="3260">D1021</f>
        <v>1</v>
      </c>
      <c r="Z1032" s="400" t="s">
        <v>176</v>
      </c>
      <c r="AA1032" s="402">
        <f t="shared" ref="AA1032" si="3261">IF(AA1033=0,(D1032*N1032+P1032*R1032)*U1032*Y1032,0)</f>
        <v>0</v>
      </c>
      <c r="AB1032" s="403"/>
    </row>
    <row r="1033" spans="1:28">
      <c r="A1033" s="384" t="str">
        <f t="shared" ref="A1033:B1033" si="3262">A1015</f>
        <v>Lantai 1</v>
      </c>
      <c r="B1033" s="385">
        <f t="shared" si="3262"/>
        <v>33</v>
      </c>
      <c r="C1033" s="393"/>
      <c r="D1033" s="398">
        <f t="shared" si="3070"/>
        <v>3</v>
      </c>
      <c r="E1033" s="388" t="s">
        <v>16</v>
      </c>
      <c r="F1033" s="388">
        <f t="shared" si="3071"/>
        <v>16</v>
      </c>
      <c r="G1033" s="388"/>
      <c r="H1033" s="395"/>
      <c r="I1033" s="388"/>
      <c r="J1033" s="396"/>
      <c r="K1033" s="396"/>
      <c r="L1033" s="404" t="s">
        <v>207</v>
      </c>
      <c r="M1033" s="399" t="s">
        <v>176</v>
      </c>
      <c r="N1033" s="399">
        <f t="shared" ref="N1033" si="3263">IF(AND(D1030=D1031,D1030=D1032,D1031=D1032,F1030=F1031,F1030=F1032,F1031=F1032),SUM(N1030:N1032),0)</f>
        <v>4.3840000000000003</v>
      </c>
      <c r="O1033" s="399" t="s">
        <v>204</v>
      </c>
      <c r="P1033" s="389">
        <f t="shared" ref="P1033" si="3264">IF(N1033&gt;12,ROUNDDOWN(N1033/12,0),0)</f>
        <v>0</v>
      </c>
      <c r="Q1033" s="399" t="s">
        <v>125</v>
      </c>
      <c r="R1033" s="399">
        <f t="shared" ref="R1033" si="3265">IF(P1033&gt;0,MAX(VLOOKUP(F1033,$D$6:$G$15,3,FALSE),600),0)/1000</f>
        <v>0</v>
      </c>
      <c r="S1033" s="396"/>
      <c r="T1033" s="396" t="s">
        <v>125</v>
      </c>
      <c r="U1033" s="401">
        <f t="shared" si="3075"/>
        <v>1.5782400000000001</v>
      </c>
      <c r="V1033" s="396" t="s">
        <v>125</v>
      </c>
      <c r="W1033" s="399">
        <f t="shared" ref="W1033" si="3266">D1033</f>
        <v>3</v>
      </c>
      <c r="X1033" s="399" t="s">
        <v>125</v>
      </c>
      <c r="Y1033" s="389">
        <f t="shared" si="3077"/>
        <v>1</v>
      </c>
      <c r="Z1033" s="400" t="s">
        <v>176</v>
      </c>
      <c r="AA1033" s="402">
        <f t="shared" ref="AA1033" si="3267">(N1033+P1033*R1033/1000)*U1033*W1033*Y1033</f>
        <v>20.757012480000004</v>
      </c>
      <c r="AB1033" s="403"/>
    </row>
    <row r="1034" spans="1:28">
      <c r="A1034" s="384"/>
      <c r="B1034" s="385"/>
      <c r="C1034" s="393"/>
      <c r="D1034" s="394"/>
      <c r="E1034" s="388"/>
      <c r="F1034" s="388"/>
      <c r="G1034" s="388"/>
      <c r="H1034" s="395"/>
      <c r="I1034" s="388"/>
      <c r="J1034" s="399"/>
      <c r="K1034" s="396"/>
      <c r="L1034" s="396"/>
      <c r="M1034" s="396"/>
      <c r="N1034" s="396"/>
      <c r="O1034" s="396"/>
      <c r="P1034" s="389"/>
      <c r="Q1034" s="396"/>
      <c r="R1034" s="396"/>
      <c r="S1034" s="396"/>
      <c r="T1034" s="396"/>
      <c r="U1034" s="401"/>
      <c r="V1034" s="396"/>
      <c r="W1034" s="388"/>
      <c r="X1034" s="396"/>
      <c r="Y1034" s="389"/>
      <c r="Z1034" s="396"/>
      <c r="AA1034" s="388"/>
      <c r="AB1034" s="390"/>
    </row>
    <row r="1035" spans="1:28">
      <c r="A1035" s="384" t="str">
        <f t="shared" ref="A1035:B1035" si="3268">A1015</f>
        <v>Lantai 1</v>
      </c>
      <c r="B1035" s="385">
        <f t="shared" si="3268"/>
        <v>33</v>
      </c>
      <c r="C1035" s="393" t="s">
        <v>211</v>
      </c>
      <c r="D1035" s="398">
        <f>VLOOKUP(D1015,'Detail Balok'!$C$10:$AU$140,31,FALSE)</f>
        <v>0</v>
      </c>
      <c r="E1035" s="388" t="s">
        <v>16</v>
      </c>
      <c r="F1035" s="388">
        <f>VLOOKUP(D1015,'Detail Balok'!$C$10:$AU$140,33,FALSE)</f>
        <v>8</v>
      </c>
      <c r="G1035" s="405" t="s">
        <v>157</v>
      </c>
      <c r="H1035" s="395">
        <f>VLOOKUP(D1015,'Detail Balok'!$C$10:$AU$140,35,FALSE)</f>
        <v>150</v>
      </c>
      <c r="I1035" s="388"/>
      <c r="J1035" s="400">
        <f t="shared" ref="J1035" si="3269">(IF(D1035=0,(2*(D1016+G1016))-(F$5*8),IF(D1035=3,(2*(D1016+G1016))-(F$5*8)+(G1016-2*F$5),IF(D1035=4,(2*(D1016+G1016))-(F$5*8)+2*(G1016-2*F$5)))))/1000</f>
        <v>0.88</v>
      </c>
      <c r="K1035" s="400" t="s">
        <v>204</v>
      </c>
      <c r="L1035" s="399">
        <f t="shared" ref="L1035:L1037" si="3270">IF(D1035=0,2*MAX(6*F1035,75),(D1035-1)*2*MAX(6*F1035,75))/1000</f>
        <v>0.15</v>
      </c>
      <c r="M1035" s="399" t="s">
        <v>176</v>
      </c>
      <c r="N1035" s="399">
        <f t="shared" ref="N1035:N1037" si="3271">J1035+L1035</f>
        <v>1.03</v>
      </c>
      <c r="O1035" s="399"/>
      <c r="P1035" s="389"/>
      <c r="Q1035" s="399"/>
      <c r="R1035" s="399"/>
      <c r="S1035" s="399"/>
      <c r="T1035" s="399" t="s">
        <v>125</v>
      </c>
      <c r="U1035" s="401">
        <f t="shared" ref="U1035:U1037" si="3272">0.006165*F1035^2</f>
        <v>0.39456000000000002</v>
      </c>
      <c r="V1035" s="399" t="s">
        <v>125</v>
      </c>
      <c r="W1035" s="399">
        <f t="shared" ref="W1035" si="3273">IF(D1018&gt;4*G1016,ROUND(MAX(D1018/4,2*G1016)/H1035,0)+1,ROUND(D1018/H1035,0)+1)</f>
        <v>8</v>
      </c>
      <c r="X1035" s="399" t="s">
        <v>125</v>
      </c>
      <c r="Y1035" s="389">
        <f t="shared" ref="Y1035" si="3274">D1021</f>
        <v>1</v>
      </c>
      <c r="Z1035" s="400" t="s">
        <v>176</v>
      </c>
      <c r="AA1035" s="402">
        <f t="shared" ref="AA1035:AA1037" si="3275">N1035*U1035*W1035*Y1035</f>
        <v>3.2511744000000005</v>
      </c>
      <c r="AB1035" s="403"/>
    </row>
    <row r="1036" spans="1:28">
      <c r="A1036" s="384" t="str">
        <f t="shared" ref="A1036:B1036" si="3276">A1015</f>
        <v>Lantai 1</v>
      </c>
      <c r="B1036" s="385">
        <f t="shared" si="3276"/>
        <v>33</v>
      </c>
      <c r="C1036" s="393" t="s">
        <v>212</v>
      </c>
      <c r="D1036" s="398">
        <f>VLOOKUP(D1015,'Detail Balok'!$C$10:$AU$140,36,FALSE)</f>
        <v>0</v>
      </c>
      <c r="E1036" s="388" t="s">
        <v>16</v>
      </c>
      <c r="F1036" s="388">
        <f>VLOOKUP(D1015,'Detail Balok'!$C$10:$AU$140,38,FALSE)</f>
        <v>8</v>
      </c>
      <c r="G1036" s="405" t="s">
        <v>157</v>
      </c>
      <c r="H1036" s="395">
        <f>VLOOKUP(D1015,'Detail Balok'!$C$10:$AU$140,40,FALSE)</f>
        <v>200</v>
      </c>
      <c r="I1036" s="388"/>
      <c r="J1036" s="400">
        <f t="shared" ref="J1036" si="3277">(IF(D1036=0,(2*(D1016+G1016))-(F$5*8),IF(D1036=3,(2*(D1016+G1016))-(F$5*8)+(G1016-2*F$5),IF(D1036=4,(2*(D1016+G1016))-(F$5*8)+2*(G1016-2*F$5)))))/1000</f>
        <v>0.88</v>
      </c>
      <c r="K1036" s="400" t="s">
        <v>204</v>
      </c>
      <c r="L1036" s="399">
        <f t="shared" si="3270"/>
        <v>0.15</v>
      </c>
      <c r="M1036" s="399" t="s">
        <v>176</v>
      </c>
      <c r="N1036" s="399">
        <f t="shared" si="3271"/>
        <v>1.03</v>
      </c>
      <c r="O1036" s="399"/>
      <c r="P1036" s="389"/>
      <c r="Q1036" s="399"/>
      <c r="R1036" s="399"/>
      <c r="S1036" s="399"/>
      <c r="T1036" s="399" t="s">
        <v>125</v>
      </c>
      <c r="U1036" s="401">
        <f t="shared" si="3272"/>
        <v>0.39456000000000002</v>
      </c>
      <c r="V1036" s="399" t="s">
        <v>125</v>
      </c>
      <c r="W1036" s="399">
        <f t="shared" ref="W1036" si="3278">IF(D1018-MAX(D1018/4,2*G1016)*2&gt;0,ROUND((D1018-MAX(D1018/4,2*G1016)*2)/H1036,0),0)</f>
        <v>10</v>
      </c>
      <c r="X1036" s="399" t="s">
        <v>125</v>
      </c>
      <c r="Y1036" s="389">
        <f t="shared" ref="Y1036" si="3279">D1021</f>
        <v>1</v>
      </c>
      <c r="Z1036" s="400" t="s">
        <v>176</v>
      </c>
      <c r="AA1036" s="402">
        <f t="shared" si="3275"/>
        <v>4.0639680000000009</v>
      </c>
      <c r="AB1036" s="403"/>
    </row>
    <row r="1037" spans="1:28">
      <c r="A1037" s="384" t="str">
        <f t="shared" ref="A1037:B1037" si="3280">A1015</f>
        <v>Lantai 1</v>
      </c>
      <c r="B1037" s="385">
        <f t="shared" si="3280"/>
        <v>33</v>
      </c>
      <c r="C1037" s="393" t="s">
        <v>211</v>
      </c>
      <c r="D1037" s="398">
        <f>VLOOKUP(D1015,'Detail Balok'!$C$10:$AU$140,41,FALSE)</f>
        <v>0</v>
      </c>
      <c r="E1037" s="388" t="s">
        <v>16</v>
      </c>
      <c r="F1037" s="388">
        <f>VLOOKUP(D1015,'Detail Balok'!$C$10:$AU$140,43,FALSE)</f>
        <v>8</v>
      </c>
      <c r="G1037" s="405" t="s">
        <v>157</v>
      </c>
      <c r="H1037" s="395">
        <f>VLOOKUP(D1015,'Detail Balok'!$C$10:$AU$140,45,FALSE)</f>
        <v>150</v>
      </c>
      <c r="I1037" s="388"/>
      <c r="J1037" s="400">
        <f t="shared" ref="J1037" si="3281">(IF(D1037=0,(2*(D1016+G1016))-(F$5*8),IF(D1037=3,(2*(D1016+G1016))-(F$5*8)+(G1016-2*F$5),IF(D1037=4,(2*(D1016+G1016))-(F$5*8)+2*(G1016-2*F$5)))))/1000</f>
        <v>0.88</v>
      </c>
      <c r="K1037" s="400" t="s">
        <v>204</v>
      </c>
      <c r="L1037" s="399">
        <f t="shared" si="3270"/>
        <v>0.15</v>
      </c>
      <c r="M1037" s="399" t="s">
        <v>176</v>
      </c>
      <c r="N1037" s="399">
        <f t="shared" si="3271"/>
        <v>1.03</v>
      </c>
      <c r="O1037" s="399"/>
      <c r="P1037" s="389"/>
      <c r="Q1037" s="399"/>
      <c r="R1037" s="399"/>
      <c r="S1037" s="399"/>
      <c r="T1037" s="399" t="s">
        <v>125</v>
      </c>
      <c r="U1037" s="401">
        <f t="shared" si="3272"/>
        <v>0.39456000000000002</v>
      </c>
      <c r="V1037" s="399" t="s">
        <v>125</v>
      </c>
      <c r="W1037" s="399">
        <f t="shared" ref="W1037" si="3282">IF(D1018&gt;4*G1016,ROUND(MAX(D1018/4,2*G1016)/H1037,0)+1,0)</f>
        <v>8</v>
      </c>
      <c r="X1037" s="399" t="s">
        <v>125</v>
      </c>
      <c r="Y1037" s="389">
        <f t="shared" ref="Y1037" si="3283">D1021</f>
        <v>1</v>
      </c>
      <c r="Z1037" s="400" t="s">
        <v>176</v>
      </c>
      <c r="AA1037" s="402">
        <f t="shared" si="3275"/>
        <v>3.2511744000000005</v>
      </c>
      <c r="AB1037" s="403"/>
    </row>
    <row r="1038" spans="1:28">
      <c r="A1038" s="384"/>
      <c r="B1038" s="385"/>
      <c r="C1038" s="393"/>
      <c r="D1038" s="394"/>
      <c r="E1038" s="388"/>
      <c r="F1038" s="388"/>
      <c r="G1038" s="388"/>
      <c r="H1038" s="395"/>
      <c r="I1038" s="388"/>
      <c r="J1038" s="399"/>
      <c r="K1038" s="396"/>
      <c r="L1038" s="396"/>
      <c r="M1038" s="396"/>
      <c r="N1038" s="396"/>
      <c r="O1038" s="396"/>
      <c r="P1038" s="389"/>
      <c r="Q1038" s="396"/>
      <c r="R1038" s="396"/>
      <c r="S1038" s="396"/>
      <c r="T1038" s="396"/>
      <c r="U1038" s="401"/>
      <c r="V1038" s="396"/>
      <c r="W1038" s="388"/>
      <c r="X1038" s="396"/>
      <c r="Y1038" s="389"/>
      <c r="Z1038" s="396"/>
      <c r="AA1038" s="388"/>
      <c r="AB1038" s="390"/>
    </row>
    <row r="1039" spans="1:28">
      <c r="A1039" s="384" t="str">
        <f t="shared" ref="A1039:B1039" si="3284">A1015</f>
        <v>Lantai 1</v>
      </c>
      <c r="B1039" s="385">
        <f t="shared" si="3284"/>
        <v>33</v>
      </c>
      <c r="C1039" s="393" t="s">
        <v>213</v>
      </c>
      <c r="D1039" s="398">
        <f>VLOOKUP(D1015,'Detail Balok'!$C$10:$BJ$140,46,FALSE)</f>
        <v>0</v>
      </c>
      <c r="E1039" s="388" t="s">
        <v>16</v>
      </c>
      <c r="F1039" s="388">
        <f>VLOOKUP(D1015,'Detail Balok'!$C$10:$BJ$140,48,FALSE)</f>
        <v>0</v>
      </c>
      <c r="G1039" s="405" t="s">
        <v>157</v>
      </c>
      <c r="H1039" s="395">
        <f>VLOOKUP(D1015,'Detail Balok'!$C$10:$BJ$140,50,FALSE)</f>
        <v>100</v>
      </c>
      <c r="I1039" s="388"/>
      <c r="J1039" s="399">
        <f t="shared" ref="J1039" si="3285">(D1016-2*F$5)/1000</f>
        <v>0.12</v>
      </c>
      <c r="K1039" s="400" t="s">
        <v>204</v>
      </c>
      <c r="L1039" s="399">
        <f t="shared" ref="L1039:L1041" si="3286">IF(D1039=0,2*MAX(6*F1039,75),(D1039-1)*2*MAX(6*F1039,75))/1000</f>
        <v>0.15</v>
      </c>
      <c r="M1039" s="399" t="s">
        <v>176</v>
      </c>
      <c r="N1039" s="399">
        <f t="shared" ref="N1039:N1041" si="3287">J1039+L1039</f>
        <v>0.27</v>
      </c>
      <c r="O1039" s="399"/>
      <c r="P1039" s="399"/>
      <c r="Q1039" s="399"/>
      <c r="R1039" s="399"/>
      <c r="S1039" s="399"/>
      <c r="T1039" s="399" t="s">
        <v>125</v>
      </c>
      <c r="U1039" s="401">
        <f t="shared" ref="U1039:U1041" si="3288">0.006165*F1039^2</f>
        <v>0</v>
      </c>
      <c r="V1039" s="399" t="s">
        <v>125</v>
      </c>
      <c r="W1039" s="399">
        <f t="shared" si="3100"/>
        <v>8</v>
      </c>
      <c r="X1039" s="399" t="s">
        <v>125</v>
      </c>
      <c r="Y1039" s="389">
        <f t="shared" ref="Y1039" si="3289">D1025</f>
        <v>3</v>
      </c>
      <c r="Z1039" s="400" t="s">
        <v>176</v>
      </c>
      <c r="AA1039" s="402">
        <f t="shared" ref="AA1039:AA1041" si="3290">N1039*U1039*W1039*Y1039</f>
        <v>0</v>
      </c>
      <c r="AB1039" s="403"/>
    </row>
    <row r="1040" spans="1:28">
      <c r="A1040" s="384" t="str">
        <f t="shared" ref="A1040:B1040" si="3291">A1015</f>
        <v>Lantai 1</v>
      </c>
      <c r="B1040" s="385">
        <f t="shared" si="3291"/>
        <v>33</v>
      </c>
      <c r="C1040" s="393" t="s">
        <v>214</v>
      </c>
      <c r="D1040" s="398">
        <f>VLOOKUP(D1015,'Detail Balok'!$C$10:$BJ$140,51,FALSE)</f>
        <v>0</v>
      </c>
      <c r="E1040" s="388" t="s">
        <v>16</v>
      </c>
      <c r="F1040" s="388">
        <f>VLOOKUP(D1015,'Detail Balok'!$C$10:$BJ$140,53,FALSE)</f>
        <v>0</v>
      </c>
      <c r="G1040" s="405" t="s">
        <v>157</v>
      </c>
      <c r="H1040" s="395">
        <f>VLOOKUP(D1015,'Detail Balok'!$C$10:$BJ$140,55,FALSE)</f>
        <v>100</v>
      </c>
      <c r="I1040" s="388"/>
      <c r="J1040" s="399">
        <f t="shared" ref="J1040" si="3292">(D1016-2*F$5)/1000</f>
        <v>0.12</v>
      </c>
      <c r="K1040" s="400" t="s">
        <v>204</v>
      </c>
      <c r="L1040" s="399">
        <f t="shared" si="3286"/>
        <v>0.15</v>
      </c>
      <c r="M1040" s="399" t="s">
        <v>176</v>
      </c>
      <c r="N1040" s="399">
        <f t="shared" si="3287"/>
        <v>0.27</v>
      </c>
      <c r="O1040" s="399"/>
      <c r="P1040" s="399"/>
      <c r="Q1040" s="399"/>
      <c r="R1040" s="399"/>
      <c r="S1040" s="399"/>
      <c r="T1040" s="399" t="s">
        <v>125</v>
      </c>
      <c r="U1040" s="401">
        <f t="shared" si="3288"/>
        <v>0</v>
      </c>
      <c r="V1040" s="399" t="s">
        <v>125</v>
      </c>
      <c r="W1040" s="399">
        <f t="shared" si="3100"/>
        <v>10</v>
      </c>
      <c r="X1040" s="399" t="s">
        <v>125</v>
      </c>
      <c r="Y1040" s="389">
        <f t="shared" ref="Y1040" si="3293">D1025</f>
        <v>3</v>
      </c>
      <c r="Z1040" s="400" t="s">
        <v>176</v>
      </c>
      <c r="AA1040" s="402">
        <f t="shared" si="3290"/>
        <v>0</v>
      </c>
      <c r="AB1040" s="403"/>
    </row>
    <row r="1041" spans="1:28">
      <c r="A1041" s="384" t="str">
        <f t="shared" ref="A1041:B1041" si="3294">A1015</f>
        <v>Lantai 1</v>
      </c>
      <c r="B1041" s="385">
        <f t="shared" si="3294"/>
        <v>33</v>
      </c>
      <c r="C1041" s="393" t="s">
        <v>213</v>
      </c>
      <c r="D1041" s="398">
        <f>VLOOKUP(D1015,'Detail Balok'!$C$10:$BJ$140,56,FALSE)</f>
        <v>0</v>
      </c>
      <c r="E1041" s="388" t="s">
        <v>16</v>
      </c>
      <c r="F1041" s="388">
        <f>VLOOKUP(D1015,'Detail Balok'!$C$10:$BJ$140,58,FALSE)</f>
        <v>0</v>
      </c>
      <c r="G1041" s="405" t="s">
        <v>157</v>
      </c>
      <c r="H1041" s="395">
        <f>VLOOKUP(D1015,'Detail Balok'!$C$10:$BJ$140,60,FALSE)</f>
        <v>100</v>
      </c>
      <c r="I1041" s="388"/>
      <c r="J1041" s="399">
        <f t="shared" ref="J1041" si="3295">(D1016-2*F$5)/1000</f>
        <v>0.12</v>
      </c>
      <c r="K1041" s="400" t="s">
        <v>204</v>
      </c>
      <c r="L1041" s="399">
        <f t="shared" si="3286"/>
        <v>0.15</v>
      </c>
      <c r="M1041" s="399" t="s">
        <v>176</v>
      </c>
      <c r="N1041" s="399">
        <f t="shared" si="3287"/>
        <v>0.27</v>
      </c>
      <c r="O1041" s="399"/>
      <c r="P1041" s="399"/>
      <c r="Q1041" s="399"/>
      <c r="R1041" s="399"/>
      <c r="S1041" s="399"/>
      <c r="T1041" s="399" t="s">
        <v>125</v>
      </c>
      <c r="U1041" s="401">
        <f t="shared" si="3288"/>
        <v>0</v>
      </c>
      <c r="V1041" s="399" t="s">
        <v>125</v>
      </c>
      <c r="W1041" s="399">
        <f t="shared" si="3100"/>
        <v>8</v>
      </c>
      <c r="X1041" s="399" t="s">
        <v>125</v>
      </c>
      <c r="Y1041" s="389">
        <f t="shared" ref="Y1041" si="3296">D1025</f>
        <v>3</v>
      </c>
      <c r="Z1041" s="400" t="s">
        <v>176</v>
      </c>
      <c r="AA1041" s="402">
        <f t="shared" si="3290"/>
        <v>0</v>
      </c>
      <c r="AB1041" s="403"/>
    </row>
    <row r="1042" spans="1:28">
      <c r="A1042" s="391"/>
      <c r="B1042" s="392"/>
      <c r="C1042" s="392"/>
      <c r="D1042" s="394"/>
      <c r="E1042" s="388"/>
      <c r="F1042" s="388"/>
      <c r="G1042" s="388"/>
      <c r="H1042" s="395"/>
      <c r="I1042" s="388"/>
      <c r="J1042" s="402"/>
      <c r="K1042" s="388"/>
      <c r="L1042" s="388"/>
      <c r="M1042" s="388"/>
      <c r="N1042" s="388"/>
      <c r="O1042" s="388"/>
      <c r="P1042" s="388"/>
      <c r="Q1042" s="388"/>
      <c r="R1042" s="388"/>
      <c r="S1042" s="388"/>
      <c r="T1042" s="388"/>
      <c r="U1042" s="388"/>
      <c r="V1042" s="388"/>
      <c r="W1042" s="388"/>
      <c r="X1042" s="388"/>
      <c r="Y1042" s="389"/>
      <c r="Z1042" s="388"/>
      <c r="AA1042" s="402"/>
      <c r="AB1042" s="403"/>
    </row>
    <row r="1043" spans="1:28" ht="15.75" thickBot="1">
      <c r="A1043" s="406"/>
      <c r="B1043" s="407"/>
      <c r="C1043" s="407"/>
      <c r="D1043" s="408"/>
      <c r="E1043" s="409"/>
      <c r="F1043" s="409"/>
      <c r="G1043" s="409"/>
      <c r="H1043" s="410"/>
      <c r="I1043" s="409"/>
      <c r="J1043" s="409"/>
      <c r="K1043" s="409"/>
      <c r="L1043" s="409"/>
      <c r="M1043" s="409"/>
      <c r="N1043" s="409"/>
      <c r="O1043" s="409"/>
      <c r="P1043" s="409"/>
      <c r="Q1043" s="409"/>
      <c r="R1043" s="409"/>
      <c r="S1043" s="409"/>
      <c r="T1043" s="409"/>
      <c r="U1043" s="409"/>
      <c r="V1043" s="409"/>
      <c r="W1043" s="409"/>
      <c r="X1043" s="409"/>
      <c r="Y1043" s="411"/>
      <c r="Z1043" s="409"/>
      <c r="AA1043" s="412"/>
      <c r="AB1043" s="413"/>
    </row>
    <row r="1044" spans="1:28">
      <c r="A1044" s="377"/>
      <c r="B1044" s="378"/>
      <c r="C1044" s="378"/>
      <c r="D1044" s="379"/>
      <c r="E1044" s="380"/>
      <c r="F1044" s="380"/>
      <c r="G1044" s="380"/>
      <c r="H1044" s="381"/>
      <c r="I1044" s="380"/>
      <c r="J1044" s="380"/>
      <c r="K1044" s="380"/>
      <c r="L1044" s="380"/>
      <c r="M1044" s="380"/>
      <c r="N1044" s="380"/>
      <c r="O1044" s="380"/>
      <c r="P1044" s="380"/>
      <c r="Q1044" s="380"/>
      <c r="R1044" s="380"/>
      <c r="S1044" s="380"/>
      <c r="T1044" s="380"/>
      <c r="U1044" s="380"/>
      <c r="V1044" s="380"/>
      <c r="W1044" s="380"/>
      <c r="X1044" s="380"/>
      <c r="Y1044" s="382"/>
      <c r="Z1044" s="380"/>
      <c r="AA1044" s="380"/>
      <c r="AB1044" s="383"/>
    </row>
    <row r="1045" spans="1:28">
      <c r="A1045" s="384" t="str">
        <f t="shared" si="3109"/>
        <v>Lantai 1</v>
      </c>
      <c r="B1045" s="385">
        <f t="shared" si="3110"/>
        <v>34</v>
      </c>
      <c r="C1045" s="386" t="str">
        <f t="shared" ref="C1045" si="3297">CONCATENATE(A1045," no. ",B1045)</f>
        <v>Lantai 1 no. 34</v>
      </c>
      <c r="D1045" s="2562" t="str">
        <f>VLOOKUP(C1045,'Data Panjang Balok'!$C$9:$N$254,2,FALSE)</f>
        <v>S25-1</v>
      </c>
      <c r="E1045" s="2576"/>
      <c r="F1045" s="2576"/>
      <c r="G1045" s="2576"/>
      <c r="H1045" s="2577"/>
      <c r="I1045" s="387"/>
      <c r="J1045" s="388"/>
      <c r="K1045" s="388"/>
      <c r="L1045" s="388"/>
      <c r="M1045" s="388"/>
      <c r="N1045" s="388"/>
      <c r="O1045" s="388"/>
      <c r="P1045" s="388"/>
      <c r="Q1045" s="388"/>
      <c r="R1045" s="388"/>
      <c r="S1045" s="388"/>
      <c r="T1045" s="388"/>
      <c r="U1045" s="388"/>
      <c r="V1045" s="388"/>
      <c r="W1045" s="388"/>
      <c r="X1045" s="388"/>
      <c r="Y1045" s="389"/>
      <c r="Z1045" s="388"/>
      <c r="AA1045" s="388"/>
      <c r="AB1045" s="390"/>
    </row>
    <row r="1046" spans="1:28">
      <c r="A1046" s="391"/>
      <c r="B1046" s="392"/>
      <c r="C1046" s="393" t="s">
        <v>118</v>
      </c>
      <c r="D1046" s="2578">
        <f>VLOOKUP(D1045,'Detail Balok'!$C$10:$AU$140,2,FALSE)</f>
        <v>200</v>
      </c>
      <c r="E1046" s="2579"/>
      <c r="F1046" s="388" t="s">
        <v>125</v>
      </c>
      <c r="G1046" s="2579">
        <f>VLOOKUP(D1045,'Detail Balok'!$C$10:$AU$140,3,FALSE)</f>
        <v>500</v>
      </c>
      <c r="H1046" s="2580"/>
      <c r="I1046" s="388"/>
      <c r="J1046" s="396"/>
      <c r="K1046" s="396"/>
      <c r="L1046" s="396"/>
      <c r="M1046" s="396"/>
      <c r="N1046" s="396"/>
      <c r="O1046" s="396"/>
      <c r="P1046" s="396"/>
      <c r="Q1046" s="396"/>
      <c r="R1046" s="396"/>
      <c r="S1046" s="396"/>
      <c r="T1046" s="396"/>
      <c r="U1046" s="388"/>
      <c r="V1046" s="396"/>
      <c r="W1046" s="388"/>
      <c r="X1046" s="396"/>
      <c r="Y1046" s="389"/>
      <c r="Z1046" s="396"/>
      <c r="AA1046" s="388"/>
      <c r="AB1046" s="390"/>
    </row>
    <row r="1047" spans="1:28">
      <c r="A1047" s="391"/>
      <c r="B1047" s="392"/>
      <c r="C1047" s="393" t="s">
        <v>198</v>
      </c>
      <c r="D1047" s="2562">
        <f>VLOOKUP(C1045,'Data Panjang Balok'!$C$9:$N$254,4,FALSE)</f>
        <v>5075</v>
      </c>
      <c r="E1047" s="2563"/>
      <c r="F1047" s="2563"/>
      <c r="G1047" s="2563"/>
      <c r="H1047" s="2564"/>
      <c r="I1047" s="397"/>
      <c r="J1047" s="396"/>
      <c r="K1047" s="396"/>
      <c r="L1047" s="396"/>
      <c r="M1047" s="396"/>
      <c r="N1047" s="396"/>
      <c r="O1047" s="396"/>
      <c r="P1047" s="396"/>
      <c r="Q1047" s="396"/>
      <c r="R1047" s="396"/>
      <c r="S1047" s="396"/>
      <c r="T1047" s="396"/>
      <c r="U1047" s="388"/>
      <c r="V1047" s="396"/>
      <c r="W1047" s="388"/>
      <c r="X1047" s="396"/>
      <c r="Y1047" s="389"/>
      <c r="Z1047" s="396"/>
      <c r="AA1047" s="388"/>
      <c r="AB1047" s="390"/>
    </row>
    <row r="1048" spans="1:28">
      <c r="A1048" s="391"/>
      <c r="B1048" s="392"/>
      <c r="C1048" s="393" t="s">
        <v>199</v>
      </c>
      <c r="D1048" s="2562">
        <f>VLOOKUP(C1045,'Data Panjang Balok'!$C$9:$N$254,7,FALSE)</f>
        <v>5075</v>
      </c>
      <c r="E1048" s="2563"/>
      <c r="F1048" s="2563"/>
      <c r="G1048" s="2563"/>
      <c r="H1048" s="2564"/>
      <c r="I1048" s="397"/>
      <c r="J1048" s="396"/>
      <c r="K1048" s="396"/>
      <c r="L1048" s="396"/>
      <c r="M1048" s="396"/>
      <c r="N1048" s="396"/>
      <c r="O1048" s="396"/>
      <c r="P1048" s="396"/>
      <c r="Q1048" s="396"/>
      <c r="R1048" s="396"/>
      <c r="S1048" s="396"/>
      <c r="T1048" s="396"/>
      <c r="U1048" s="388"/>
      <c r="V1048" s="396"/>
      <c r="W1048" s="388"/>
      <c r="X1048" s="396"/>
      <c r="Y1048" s="389"/>
      <c r="Z1048" s="396"/>
      <c r="AA1048" s="388"/>
      <c r="AB1048" s="390"/>
    </row>
    <row r="1049" spans="1:28">
      <c r="A1049" s="391"/>
      <c r="B1049" s="392"/>
      <c r="C1049" s="393" t="s">
        <v>200</v>
      </c>
      <c r="D1049" s="2562">
        <f>VLOOKUP(C1045,'Data Panjang Balok'!$C$9:$N$254,9,FALSE)</f>
        <v>0</v>
      </c>
      <c r="E1049" s="2563"/>
      <c r="F1049" s="2563"/>
      <c r="G1049" s="2563"/>
      <c r="H1049" s="2564"/>
      <c r="I1049" s="397"/>
      <c r="J1049" s="396"/>
      <c r="K1049" s="396"/>
      <c r="L1049" s="396"/>
      <c r="M1049" s="396"/>
      <c r="N1049" s="396"/>
      <c r="O1049" s="396"/>
      <c r="P1049" s="396"/>
      <c r="Q1049" s="396"/>
      <c r="R1049" s="396"/>
      <c r="S1049" s="396"/>
      <c r="T1049" s="396"/>
      <c r="U1049" s="388"/>
      <c r="V1049" s="396"/>
      <c r="W1049" s="388"/>
      <c r="X1049" s="396"/>
      <c r="Y1049" s="389"/>
      <c r="Z1049" s="396"/>
      <c r="AA1049" s="388"/>
      <c r="AB1049" s="390"/>
    </row>
    <row r="1050" spans="1:28">
      <c r="A1050" s="391"/>
      <c r="B1050" s="392"/>
      <c r="C1050" s="393" t="s">
        <v>201</v>
      </c>
      <c r="D1050" s="2562">
        <f>VLOOKUP(C1045,'Data Panjang Balok'!$C$9:$N$254,10,FALSE)</f>
        <v>0</v>
      </c>
      <c r="E1050" s="2563"/>
      <c r="F1050" s="2563"/>
      <c r="G1050" s="2563"/>
      <c r="H1050" s="2564"/>
      <c r="I1050" s="397"/>
      <c r="J1050" s="396"/>
      <c r="K1050" s="396"/>
      <c r="L1050" s="396"/>
      <c r="M1050" s="396"/>
      <c r="N1050" s="396"/>
      <c r="O1050" s="396"/>
      <c r="P1050" s="396"/>
      <c r="Q1050" s="396"/>
      <c r="R1050" s="396"/>
      <c r="S1050" s="396"/>
      <c r="T1050" s="396"/>
      <c r="U1050" s="388"/>
      <c r="V1050" s="396"/>
      <c r="W1050" s="388"/>
      <c r="X1050" s="396"/>
      <c r="Y1050" s="389"/>
      <c r="Z1050" s="396"/>
      <c r="AA1050" s="388"/>
      <c r="AB1050" s="390"/>
    </row>
    <row r="1051" spans="1:28">
      <c r="A1051" s="391"/>
      <c r="B1051" s="392"/>
      <c r="C1051" s="393" t="s">
        <v>48</v>
      </c>
      <c r="D1051" s="2562">
        <f>VLOOKUP(C1045,'Data Panjang Balok'!$C$9:$N$254,3,FALSE)</f>
        <v>1</v>
      </c>
      <c r="E1051" s="2563"/>
      <c r="F1051" s="2563"/>
      <c r="G1051" s="2563"/>
      <c r="H1051" s="2564"/>
      <c r="I1051" s="397"/>
      <c r="J1051" s="396"/>
      <c r="K1051" s="396"/>
      <c r="L1051" s="396"/>
      <c r="M1051" s="396"/>
      <c r="N1051" s="396"/>
      <c r="O1051" s="396"/>
      <c r="P1051" s="396"/>
      <c r="Q1051" s="396"/>
      <c r="R1051" s="396"/>
      <c r="S1051" s="396"/>
      <c r="T1051" s="396"/>
      <c r="U1051" s="388"/>
      <c r="V1051" s="396"/>
      <c r="W1051" s="388"/>
      <c r="X1051" s="396"/>
      <c r="Y1051" s="389"/>
      <c r="Z1051" s="396"/>
      <c r="AA1051" s="388"/>
      <c r="AB1051" s="390"/>
    </row>
    <row r="1052" spans="1:28">
      <c r="A1052" s="384" t="str">
        <f t="shared" ref="A1052:B1052" si="3298">A1045</f>
        <v>Lantai 1</v>
      </c>
      <c r="B1052" s="385">
        <f t="shared" si="3298"/>
        <v>34</v>
      </c>
      <c r="C1052" s="393" t="s">
        <v>202</v>
      </c>
      <c r="D1052" s="398">
        <f>VLOOKUP(D1045,'Detail Balok'!$C$10:$AU$140,4,FALSE)</f>
        <v>3</v>
      </c>
      <c r="E1052" s="388" t="s">
        <v>16</v>
      </c>
      <c r="F1052" s="388">
        <f>VLOOKUP(D1045,'Detail Balok'!$C$10:$AU$140,6,FALSE)</f>
        <v>16</v>
      </c>
      <c r="G1052" s="388"/>
      <c r="H1052" s="395"/>
      <c r="I1052" s="388" t="s">
        <v>203</v>
      </c>
      <c r="J1052" s="399">
        <f t="shared" ref="J1052" si="3299">+D1047/4/1000</f>
        <v>1.26875</v>
      </c>
      <c r="K1052" s="400" t="s">
        <v>204</v>
      </c>
      <c r="L1052" s="399">
        <f t="shared" ref="L1052" si="3300">MAX(VLOOKUP(F1052,N$6:P$15,3,FALSE)/1000,2/3*D1049/1000)+F$16*F1052/1000</f>
        <v>0.192</v>
      </c>
      <c r="M1052" s="399" t="s">
        <v>176</v>
      </c>
      <c r="N1052" s="399">
        <f t="shared" ref="N1052:N1054" si="3301">J1052+L1052</f>
        <v>1.46075</v>
      </c>
      <c r="O1052" s="399" t="s">
        <v>204</v>
      </c>
      <c r="P1052" s="389">
        <f t="shared" ref="P1052" si="3302">D1052-D1053</f>
        <v>0</v>
      </c>
      <c r="Q1052" s="399" t="s">
        <v>125</v>
      </c>
      <c r="R1052" s="399">
        <f t="shared" ref="R1052" si="3303">IF(P1052&gt;0,$F$18*F1052/1000,0)</f>
        <v>0</v>
      </c>
      <c r="S1052" s="399" t="s">
        <v>205</v>
      </c>
      <c r="T1052" s="399" t="s">
        <v>125</v>
      </c>
      <c r="U1052" s="401">
        <f t="shared" ref="U1052:U1054" si="3304">0.006165*F1052^2</f>
        <v>1.5782400000000001</v>
      </c>
      <c r="V1052" s="399"/>
      <c r="W1052" s="399"/>
      <c r="X1052" s="399" t="s">
        <v>125</v>
      </c>
      <c r="Y1052" s="389">
        <f t="shared" ref="Y1052" si="3305">D1051</f>
        <v>1</v>
      </c>
      <c r="Z1052" s="400" t="s">
        <v>176</v>
      </c>
      <c r="AA1052" s="402">
        <f t="shared" ref="AA1052" si="3306">IF(AA1055=0,(D1052*N1052+P1052*R1052)*U1052*Y1052,0)</f>
        <v>0</v>
      </c>
      <c r="AB1052" s="403"/>
    </row>
    <row r="1053" spans="1:28">
      <c r="A1053" s="384" t="str">
        <f t="shared" ref="A1053:B1053" si="3307">A1045</f>
        <v>Lantai 1</v>
      </c>
      <c r="B1053" s="385">
        <f t="shared" si="3307"/>
        <v>34</v>
      </c>
      <c r="C1053" s="393" t="s">
        <v>206</v>
      </c>
      <c r="D1053" s="398">
        <f>VLOOKUP(D1045,'Detail Balok'!$C$10:$AU$140,7,FALSE)</f>
        <v>3</v>
      </c>
      <c r="E1053" s="388" t="s">
        <v>16</v>
      </c>
      <c r="F1053" s="388">
        <f>VLOOKUP(D1045,'Detail Balok'!$C$10:$AU$140,9,FALSE)</f>
        <v>16</v>
      </c>
      <c r="G1053" s="388"/>
      <c r="H1053" s="395"/>
      <c r="I1053" s="388" t="s">
        <v>203</v>
      </c>
      <c r="J1053" s="399">
        <f t="shared" ref="J1053" si="3308">+D1047/2/1000</f>
        <v>2.5375000000000001</v>
      </c>
      <c r="K1053" s="400" t="s">
        <v>204</v>
      </c>
      <c r="L1053" s="399"/>
      <c r="M1053" s="399" t="s">
        <v>176</v>
      </c>
      <c r="N1053" s="399">
        <f t="shared" si="3301"/>
        <v>2.5375000000000001</v>
      </c>
      <c r="O1053" s="399" t="s">
        <v>204</v>
      </c>
      <c r="P1053" s="389">
        <f t="shared" ref="P1053" si="3309">MAX(D1053-D1052,D1053-D1054)</f>
        <v>0</v>
      </c>
      <c r="Q1053" s="399" t="s">
        <v>125</v>
      </c>
      <c r="R1053" s="399">
        <f t="shared" ref="R1053" si="3310">IF(P1053&gt;0,2*(1-2*$F$19-1/2)*D1048/1000,0)</f>
        <v>0</v>
      </c>
      <c r="S1053" s="399" t="s">
        <v>205</v>
      </c>
      <c r="T1053" s="399" t="s">
        <v>125</v>
      </c>
      <c r="U1053" s="401">
        <f t="shared" si="3304"/>
        <v>1.5782400000000001</v>
      </c>
      <c r="V1053" s="399"/>
      <c r="W1053" s="399"/>
      <c r="X1053" s="399" t="s">
        <v>125</v>
      </c>
      <c r="Y1053" s="389">
        <f t="shared" ref="Y1053" si="3311">D1051</f>
        <v>1</v>
      </c>
      <c r="Z1053" s="400" t="s">
        <v>176</v>
      </c>
      <c r="AA1053" s="402">
        <f t="shared" ref="AA1053" si="3312">IF(AA1055=0,(D1053*N1053+P1053*R1053)*U1053*Y1053,0)</f>
        <v>0</v>
      </c>
      <c r="AB1053" s="403"/>
    </row>
    <row r="1054" spans="1:28">
      <c r="A1054" s="384" t="str">
        <f t="shared" ref="A1054:B1054" si="3313">A1045</f>
        <v>Lantai 1</v>
      </c>
      <c r="B1054" s="385">
        <f t="shared" si="3313"/>
        <v>34</v>
      </c>
      <c r="C1054" s="393" t="s">
        <v>202</v>
      </c>
      <c r="D1054" s="398">
        <f>VLOOKUP(D1045,'Detail Balok'!$C$10:$AU$140,10,FALSE)</f>
        <v>3</v>
      </c>
      <c r="E1054" s="388" t="s">
        <v>16</v>
      </c>
      <c r="F1054" s="388">
        <f>VLOOKUP(D1045,'Detail Balok'!$C$10:$AU$140,12,FALSE)</f>
        <v>16</v>
      </c>
      <c r="G1054" s="388"/>
      <c r="H1054" s="395"/>
      <c r="I1054" s="388" t="s">
        <v>203</v>
      </c>
      <c r="J1054" s="399">
        <f t="shared" ref="J1054" si="3314">+D1047/4/1000</f>
        <v>1.26875</v>
      </c>
      <c r="K1054" s="400" t="s">
        <v>204</v>
      </c>
      <c r="L1054" s="399">
        <f t="shared" ref="L1054" si="3315">MAX(VLOOKUP(F1054,N$6:P$15,3,FALSE)/1000,2/3*D1049/1000)+F$16*F1054/1000</f>
        <v>0.192</v>
      </c>
      <c r="M1054" s="399" t="s">
        <v>176</v>
      </c>
      <c r="N1054" s="399">
        <f t="shared" si="3301"/>
        <v>1.46075</v>
      </c>
      <c r="O1054" s="399" t="s">
        <v>204</v>
      </c>
      <c r="P1054" s="389">
        <f t="shared" ref="P1054" si="3316">D1054-D1053</f>
        <v>0</v>
      </c>
      <c r="Q1054" s="399" t="s">
        <v>125</v>
      </c>
      <c r="R1054" s="399">
        <f t="shared" ref="R1054" si="3317">IF(P1054&gt;0,$F$18*F1054/1000,0)</f>
        <v>0</v>
      </c>
      <c r="S1054" s="399" t="s">
        <v>205</v>
      </c>
      <c r="T1054" s="399" t="s">
        <v>125</v>
      </c>
      <c r="U1054" s="401">
        <f t="shared" si="3304"/>
        <v>1.5782400000000001</v>
      </c>
      <c r="V1054" s="399"/>
      <c r="W1054" s="399"/>
      <c r="X1054" s="399" t="s">
        <v>125</v>
      </c>
      <c r="Y1054" s="389">
        <f t="shared" ref="Y1054" si="3318">D1051</f>
        <v>1</v>
      </c>
      <c r="Z1054" s="400" t="s">
        <v>176</v>
      </c>
      <c r="AA1054" s="402">
        <f t="shared" ref="AA1054" si="3319">IF(AA1055=0,(D1054*N1054+P1054*R1054)*U1054*Y1054,0)</f>
        <v>0</v>
      </c>
      <c r="AB1054" s="403"/>
    </row>
    <row r="1055" spans="1:28">
      <c r="A1055" s="384" t="str">
        <f t="shared" ref="A1055:B1055" si="3320">A1045</f>
        <v>Lantai 1</v>
      </c>
      <c r="B1055" s="385">
        <f t="shared" si="3320"/>
        <v>34</v>
      </c>
      <c r="C1055" s="393"/>
      <c r="D1055" s="398">
        <f t="shared" ref="D1055:D1115" si="3321">IF(AND(D1052=D1053,D1053=D1054,D1052=D1054),D1052,0)</f>
        <v>3</v>
      </c>
      <c r="E1055" s="388" t="s">
        <v>16</v>
      </c>
      <c r="F1055" s="388">
        <f t="shared" ref="F1055:F1115" si="3322">IF(AND(F1052=F1053,F1052=F1054,F1053=F1054),F1052,0)</f>
        <v>16</v>
      </c>
      <c r="G1055" s="388"/>
      <c r="H1055" s="395"/>
      <c r="I1055" s="388"/>
      <c r="J1055" s="396"/>
      <c r="K1055" s="396"/>
      <c r="L1055" s="404" t="s">
        <v>207</v>
      </c>
      <c r="M1055" s="399" t="s">
        <v>176</v>
      </c>
      <c r="N1055" s="399">
        <f t="shared" ref="N1055" si="3323">IF(AND(D1052=D1053,D1052=D1054,D1053=D1054,F1052=F1053,F1052=F1054,F1053=F1054),SUM(N1052:N1054),0)</f>
        <v>5.4589999999999996</v>
      </c>
      <c r="O1055" s="399" t="s">
        <v>204</v>
      </c>
      <c r="P1055" s="389">
        <f t="shared" ref="P1055" si="3324">IF(N1055&gt;12,ROUNDDOWN(N1055/12,0),0)</f>
        <v>0</v>
      </c>
      <c r="Q1055" s="399" t="s">
        <v>125</v>
      </c>
      <c r="R1055" s="399">
        <f t="shared" ref="R1055" si="3325">IF(P1055&gt;0,MAX(VLOOKUP(F1055,$D$6:$G$15,3,FALSE),600),0)/1000</f>
        <v>0</v>
      </c>
      <c r="S1055" s="396"/>
      <c r="T1055" s="396" t="s">
        <v>125</v>
      </c>
      <c r="U1055" s="401">
        <f t="shared" ref="U1055:U1115" si="3326">U1054</f>
        <v>1.5782400000000001</v>
      </c>
      <c r="V1055" s="396" t="s">
        <v>125</v>
      </c>
      <c r="W1055" s="399">
        <f t="shared" ref="W1055" si="3327">D1055</f>
        <v>3</v>
      </c>
      <c r="X1055" s="399" t="s">
        <v>125</v>
      </c>
      <c r="Y1055" s="389">
        <f t="shared" ref="Y1055:Y1115" si="3328">Y1054</f>
        <v>1</v>
      </c>
      <c r="Z1055" s="400" t="s">
        <v>176</v>
      </c>
      <c r="AA1055" s="402">
        <f t="shared" ref="AA1055" si="3329">(N1055+P1055*R1055/1000)*U1055*W1055*Y1055</f>
        <v>25.84683648</v>
      </c>
      <c r="AB1055" s="390"/>
    </row>
    <row r="1056" spans="1:28">
      <c r="A1056" s="384"/>
      <c r="B1056" s="385"/>
      <c r="C1056" s="393"/>
      <c r="D1056" s="398"/>
      <c r="E1056" s="388"/>
      <c r="F1056" s="388"/>
      <c r="G1056" s="388"/>
      <c r="H1056" s="395"/>
      <c r="I1056" s="388"/>
      <c r="J1056" s="396"/>
      <c r="K1056" s="396"/>
      <c r="L1056" s="404"/>
      <c r="M1056" s="399"/>
      <c r="N1056" s="399"/>
      <c r="O1056" s="396"/>
      <c r="P1056" s="389"/>
      <c r="Q1056" s="396"/>
      <c r="R1056" s="396"/>
      <c r="S1056" s="396"/>
      <c r="T1056" s="396"/>
      <c r="U1056" s="401"/>
      <c r="V1056" s="396"/>
      <c r="W1056" s="399"/>
      <c r="X1056" s="396"/>
      <c r="Y1056" s="389"/>
      <c r="Z1056" s="396"/>
      <c r="AA1056" s="388"/>
      <c r="AB1056" s="390"/>
    </row>
    <row r="1057" spans="1:28">
      <c r="A1057" s="384" t="str">
        <f t="shared" ref="A1057:B1057" si="3330">A1045</f>
        <v>Lantai 1</v>
      </c>
      <c r="B1057" s="385">
        <f t="shared" si="3330"/>
        <v>34</v>
      </c>
      <c r="C1057" s="393" t="s">
        <v>208</v>
      </c>
      <c r="D1057" s="398">
        <f>VLOOKUP(D1045,'Detail Balok'!$C$10:$AU$140,13,FALSE)</f>
        <v>2</v>
      </c>
      <c r="E1057" s="388" t="s">
        <v>16</v>
      </c>
      <c r="F1057" s="388">
        <f>VLOOKUP(D1045,'Detail Balok'!$C$10:$AU$140,15,FALSE)</f>
        <v>10</v>
      </c>
      <c r="G1057" s="388"/>
      <c r="H1057" s="395"/>
      <c r="I1057" s="388"/>
      <c r="J1057" s="399">
        <f t="shared" ref="J1057" si="3331">+D1047/1000</f>
        <v>5.0750000000000002</v>
      </c>
      <c r="K1057" s="400" t="s">
        <v>204</v>
      </c>
      <c r="L1057" s="399">
        <f t="shared" ref="L1057" si="3332">2*$F$16*F1057/1000</f>
        <v>0.24</v>
      </c>
      <c r="M1057" s="399" t="s">
        <v>176</v>
      </c>
      <c r="N1057" s="399">
        <f t="shared" ref="N1057" si="3333">J1057+L1057</f>
        <v>5.3150000000000004</v>
      </c>
      <c r="O1057" s="399" t="s">
        <v>204</v>
      </c>
      <c r="P1057" s="389">
        <f t="shared" ref="P1057" si="3334">IF(N1057&gt;12,ROUNDDOWN(N1057/12,0),0)</f>
        <v>0</v>
      </c>
      <c r="Q1057" s="399" t="s">
        <v>125</v>
      </c>
      <c r="R1057" s="399">
        <f t="shared" ref="R1057" si="3335">IF(P1057&gt;0,MAX(VLOOKUP(F1057,$D$6:$G$15,3,FALSE),600),0)/1000</f>
        <v>0</v>
      </c>
      <c r="S1057" s="399"/>
      <c r="T1057" s="399" t="s">
        <v>125</v>
      </c>
      <c r="U1057" s="401">
        <f t="shared" ref="U1057" si="3336">0.006165*F1057^2</f>
        <v>0.61650000000000005</v>
      </c>
      <c r="V1057" s="399" t="s">
        <v>125</v>
      </c>
      <c r="W1057" s="399">
        <f t="shared" ref="W1057" si="3337">+D1057</f>
        <v>2</v>
      </c>
      <c r="X1057" s="399" t="s">
        <v>125</v>
      </c>
      <c r="Y1057" s="389">
        <f t="shared" ref="Y1057" si="3338">D1051</f>
        <v>1</v>
      </c>
      <c r="Z1057" s="400" t="s">
        <v>176</v>
      </c>
      <c r="AA1057" s="402">
        <f t="shared" ref="AA1057" si="3339">(N1057+P1057*R1057/1000)*U1057*W1057*Y1057</f>
        <v>6.553395000000001</v>
      </c>
      <c r="AB1057" s="403"/>
    </row>
    <row r="1058" spans="1:28">
      <c r="A1058" s="384"/>
      <c r="B1058" s="385"/>
      <c r="C1058" s="393"/>
      <c r="D1058" s="398"/>
      <c r="E1058" s="388"/>
      <c r="F1058" s="388"/>
      <c r="G1058" s="388"/>
      <c r="H1058" s="395"/>
      <c r="I1058" s="388"/>
      <c r="J1058" s="399"/>
      <c r="K1058" s="400"/>
      <c r="L1058" s="399"/>
      <c r="M1058" s="399"/>
      <c r="N1058" s="399"/>
      <c r="O1058" s="399"/>
      <c r="P1058" s="389"/>
      <c r="Q1058" s="399"/>
      <c r="R1058" s="399"/>
      <c r="S1058" s="399"/>
      <c r="T1058" s="399"/>
      <c r="U1058" s="401"/>
      <c r="V1058" s="399"/>
      <c r="W1058" s="399"/>
      <c r="X1058" s="399"/>
      <c r="Y1058" s="389"/>
      <c r="Z1058" s="400"/>
      <c r="AA1058" s="402"/>
      <c r="AB1058" s="403"/>
    </row>
    <row r="1059" spans="1:28">
      <c r="A1059" s="384"/>
      <c r="B1059" s="385"/>
      <c r="C1059" s="393"/>
      <c r="D1059" s="398"/>
      <c r="E1059" s="388"/>
      <c r="F1059" s="388"/>
      <c r="G1059" s="388"/>
      <c r="H1059" s="395"/>
      <c r="I1059" s="388"/>
      <c r="J1059" s="396"/>
      <c r="K1059" s="396"/>
      <c r="L1059" s="396"/>
      <c r="M1059" s="396"/>
      <c r="N1059" s="396"/>
      <c r="O1059" s="396"/>
      <c r="P1059" s="389"/>
      <c r="Q1059" s="396"/>
      <c r="R1059" s="396"/>
      <c r="S1059" s="396"/>
      <c r="T1059" s="396"/>
      <c r="U1059" s="401"/>
      <c r="V1059" s="396"/>
      <c r="W1059" s="399"/>
      <c r="X1059" s="396"/>
      <c r="Y1059" s="389"/>
      <c r="Z1059" s="396"/>
      <c r="AA1059" s="388"/>
      <c r="AB1059" s="390"/>
    </row>
    <row r="1060" spans="1:28">
      <c r="A1060" s="384" t="str">
        <f t="shared" ref="A1060:B1060" si="3340">A1045</f>
        <v>Lantai 1</v>
      </c>
      <c r="B1060" s="385">
        <f t="shared" si="3340"/>
        <v>34</v>
      </c>
      <c r="C1060" s="393" t="s">
        <v>209</v>
      </c>
      <c r="D1060" s="398">
        <f>VLOOKUP(D1045,'Detail Balok'!$C$10:$AU$140,22,FALSE)</f>
        <v>3</v>
      </c>
      <c r="E1060" s="388" t="s">
        <v>16</v>
      </c>
      <c r="F1060" s="388">
        <f>VLOOKUP(D1045,'Detail Balok'!$C$10:$AU$140,24,FALSE)</f>
        <v>16</v>
      </c>
      <c r="G1060" s="388"/>
      <c r="H1060" s="395"/>
      <c r="I1060" s="388" t="s">
        <v>203</v>
      </c>
      <c r="J1060" s="399">
        <f t="shared" ref="J1060:J1122" si="3341">+J1052</f>
        <v>1.26875</v>
      </c>
      <c r="K1060" s="400" t="s">
        <v>204</v>
      </c>
      <c r="L1060" s="399">
        <f t="shared" ref="L1060" si="3342">MAX(VLOOKUP(F1060,N$6:P$15,3,FALSE)/1000,2/3*D1050/1000)+F$16*F1060/1000</f>
        <v>0.192</v>
      </c>
      <c r="M1060" s="399" t="s">
        <v>176</v>
      </c>
      <c r="N1060" s="399">
        <f t="shared" ref="N1060:N1062" si="3343">J1060+L1060</f>
        <v>1.46075</v>
      </c>
      <c r="O1060" s="399" t="s">
        <v>204</v>
      </c>
      <c r="P1060" s="389">
        <f t="shared" ref="P1060" si="3344">D1060-D1061</f>
        <v>0</v>
      </c>
      <c r="Q1060" s="399" t="s">
        <v>125</v>
      </c>
      <c r="R1060" s="399">
        <f t="shared" ref="R1060" si="3345">IF(P1060&gt;0,$F$18*F1060/1000,0)</f>
        <v>0</v>
      </c>
      <c r="S1060" s="399" t="s">
        <v>205</v>
      </c>
      <c r="T1060" s="399" t="s">
        <v>125</v>
      </c>
      <c r="U1060" s="401">
        <f t="shared" ref="U1060:U1062" si="3346">0.006165*F1060^2</f>
        <v>1.5782400000000001</v>
      </c>
      <c r="V1060" s="399"/>
      <c r="W1060" s="399"/>
      <c r="X1060" s="399" t="s">
        <v>125</v>
      </c>
      <c r="Y1060" s="389">
        <f t="shared" ref="Y1060" si="3347">D1051</f>
        <v>1</v>
      </c>
      <c r="Z1060" s="400" t="s">
        <v>176</v>
      </c>
      <c r="AA1060" s="402">
        <f t="shared" ref="AA1060" si="3348">IF(AA1063=0,(D1060*N1060+P1060*R1060)*U1060*Y1060,0)</f>
        <v>0</v>
      </c>
      <c r="AB1060" s="403"/>
    </row>
    <row r="1061" spans="1:28">
      <c r="A1061" s="384" t="str">
        <f t="shared" ref="A1061:B1061" si="3349">A1045</f>
        <v>Lantai 1</v>
      </c>
      <c r="B1061" s="385">
        <f t="shared" si="3349"/>
        <v>34</v>
      </c>
      <c r="C1061" s="393" t="s">
        <v>210</v>
      </c>
      <c r="D1061" s="398">
        <f>VLOOKUP(D1045,'Detail Balok'!$C$10:$AU$140,25,FALSE)</f>
        <v>3</v>
      </c>
      <c r="E1061" s="388" t="s">
        <v>16</v>
      </c>
      <c r="F1061" s="388">
        <f>VLOOKUP(D1045,'Detail Balok'!$C$10:$AU$140,27,FALSE)</f>
        <v>16</v>
      </c>
      <c r="G1061" s="388"/>
      <c r="H1061" s="395"/>
      <c r="I1061" s="388" t="s">
        <v>203</v>
      </c>
      <c r="J1061" s="399">
        <f t="shared" si="3341"/>
        <v>2.5375000000000001</v>
      </c>
      <c r="K1061" s="400" t="s">
        <v>204</v>
      </c>
      <c r="L1061" s="399"/>
      <c r="M1061" s="399" t="s">
        <v>176</v>
      </c>
      <c r="N1061" s="399">
        <f t="shared" si="3343"/>
        <v>2.5375000000000001</v>
      </c>
      <c r="O1061" s="399" t="s">
        <v>204</v>
      </c>
      <c r="P1061" s="389">
        <f t="shared" ref="P1061" si="3350">MAX(D1061-D1060,D1061-D1062)</f>
        <v>0</v>
      </c>
      <c r="Q1061" s="399" t="s">
        <v>125</v>
      </c>
      <c r="R1061" s="399">
        <f t="shared" ref="R1061" si="3351">IF(P1061&gt;0,2*(1-2*$F$19-1/2)*D1048/1000,0)</f>
        <v>0</v>
      </c>
      <c r="S1061" s="399" t="s">
        <v>205</v>
      </c>
      <c r="T1061" s="399" t="s">
        <v>125</v>
      </c>
      <c r="U1061" s="401">
        <f t="shared" si="3346"/>
        <v>1.5782400000000001</v>
      </c>
      <c r="V1061" s="399"/>
      <c r="W1061" s="399"/>
      <c r="X1061" s="399" t="s">
        <v>125</v>
      </c>
      <c r="Y1061" s="389">
        <f t="shared" ref="Y1061" si="3352">D1051</f>
        <v>1</v>
      </c>
      <c r="Z1061" s="400" t="s">
        <v>176</v>
      </c>
      <c r="AA1061" s="402">
        <f t="shared" ref="AA1061" si="3353">IF(AA1063=0,(D1061*N1061+P1061*R1061)*U1061*Y1061,0)</f>
        <v>0</v>
      </c>
      <c r="AB1061" s="403"/>
    </row>
    <row r="1062" spans="1:28">
      <c r="A1062" s="384" t="str">
        <f t="shared" ref="A1062:B1062" si="3354">A1045</f>
        <v>Lantai 1</v>
      </c>
      <c r="B1062" s="385">
        <f t="shared" si="3354"/>
        <v>34</v>
      </c>
      <c r="C1062" s="393" t="s">
        <v>209</v>
      </c>
      <c r="D1062" s="398">
        <f>VLOOKUP(D1045,'Detail Balok'!$C$10:$AU$140,28,FALSE)</f>
        <v>3</v>
      </c>
      <c r="E1062" s="388" t="s">
        <v>16</v>
      </c>
      <c r="F1062" s="388">
        <f>VLOOKUP(D1045,'Detail Balok'!$C$10:$AU$140,30,FALSE)</f>
        <v>16</v>
      </c>
      <c r="G1062" s="388"/>
      <c r="H1062" s="395"/>
      <c r="I1062" s="388" t="s">
        <v>203</v>
      </c>
      <c r="J1062" s="399">
        <f t="shared" si="3341"/>
        <v>1.26875</v>
      </c>
      <c r="K1062" s="400" t="s">
        <v>204</v>
      </c>
      <c r="L1062" s="399">
        <f t="shared" ref="L1062" si="3355">MAX(VLOOKUP(F1062,N$6:P$15,3,FALSE)/1000,2/3*D1050/1000)+F$16*F1062/1000</f>
        <v>0.192</v>
      </c>
      <c r="M1062" s="399" t="s">
        <v>176</v>
      </c>
      <c r="N1062" s="399">
        <f t="shared" si="3343"/>
        <v>1.46075</v>
      </c>
      <c r="O1062" s="399" t="s">
        <v>204</v>
      </c>
      <c r="P1062" s="389">
        <f t="shared" ref="P1062" si="3356">D1062-D1061</f>
        <v>0</v>
      </c>
      <c r="Q1062" s="399" t="s">
        <v>125</v>
      </c>
      <c r="R1062" s="399">
        <f t="shared" ref="R1062" si="3357">IF(P1062&gt;0,$F$18*F1062/1000,0)</f>
        <v>0</v>
      </c>
      <c r="S1062" s="399" t="s">
        <v>205</v>
      </c>
      <c r="T1062" s="399" t="s">
        <v>125</v>
      </c>
      <c r="U1062" s="401">
        <f t="shared" si="3346"/>
        <v>1.5782400000000001</v>
      </c>
      <c r="V1062" s="399"/>
      <c r="W1062" s="399"/>
      <c r="X1062" s="399" t="s">
        <v>125</v>
      </c>
      <c r="Y1062" s="389">
        <f t="shared" ref="Y1062" si="3358">D1051</f>
        <v>1</v>
      </c>
      <c r="Z1062" s="400" t="s">
        <v>176</v>
      </c>
      <c r="AA1062" s="402">
        <f t="shared" ref="AA1062" si="3359">IF(AA1063=0,(D1062*N1062+P1062*R1062)*U1062*Y1062,0)</f>
        <v>0</v>
      </c>
      <c r="AB1062" s="403"/>
    </row>
    <row r="1063" spans="1:28">
      <c r="A1063" s="384" t="str">
        <f t="shared" ref="A1063:B1063" si="3360">A1045</f>
        <v>Lantai 1</v>
      </c>
      <c r="B1063" s="385">
        <f t="shared" si="3360"/>
        <v>34</v>
      </c>
      <c r="C1063" s="393"/>
      <c r="D1063" s="398">
        <f t="shared" ref="D1063:D1123" si="3361">IF(AND(D1060=D1061,D1061=D1062,D1060=D1062),D1060,0)</f>
        <v>3</v>
      </c>
      <c r="E1063" s="388" t="s">
        <v>16</v>
      </c>
      <c r="F1063" s="388">
        <f t="shared" ref="F1063:F1123" si="3362">IF(AND(F1060=F1061,F1060=F1062,F1061=F1062),F1060,0)</f>
        <v>16</v>
      </c>
      <c r="G1063" s="388"/>
      <c r="H1063" s="395"/>
      <c r="I1063" s="388"/>
      <c r="J1063" s="396"/>
      <c r="K1063" s="396"/>
      <c r="L1063" s="404" t="s">
        <v>207</v>
      </c>
      <c r="M1063" s="399" t="s">
        <v>176</v>
      </c>
      <c r="N1063" s="399">
        <f t="shared" ref="N1063" si="3363">IF(AND(D1060=D1061,D1060=D1062,D1061=D1062,F1060=F1061,F1060=F1062,F1061=F1062),SUM(N1060:N1062),0)</f>
        <v>5.4589999999999996</v>
      </c>
      <c r="O1063" s="399" t="s">
        <v>204</v>
      </c>
      <c r="P1063" s="389">
        <f t="shared" ref="P1063" si="3364">IF(N1063&gt;12,ROUNDDOWN(N1063/12,0),0)</f>
        <v>0</v>
      </c>
      <c r="Q1063" s="399" t="s">
        <v>125</v>
      </c>
      <c r="R1063" s="399">
        <f t="shared" ref="R1063" si="3365">IF(P1063&gt;0,MAX(VLOOKUP(F1063,$D$6:$G$15,3,FALSE),600),0)/1000</f>
        <v>0</v>
      </c>
      <c r="S1063" s="396"/>
      <c r="T1063" s="396" t="s">
        <v>125</v>
      </c>
      <c r="U1063" s="401">
        <f t="shared" ref="U1063:U1123" si="3366">U1062</f>
        <v>1.5782400000000001</v>
      </c>
      <c r="V1063" s="396" t="s">
        <v>125</v>
      </c>
      <c r="W1063" s="399">
        <f t="shared" ref="W1063" si="3367">D1063</f>
        <v>3</v>
      </c>
      <c r="X1063" s="399" t="s">
        <v>125</v>
      </c>
      <c r="Y1063" s="389">
        <f t="shared" ref="Y1063:Y1123" si="3368">Y1062</f>
        <v>1</v>
      </c>
      <c r="Z1063" s="400" t="s">
        <v>176</v>
      </c>
      <c r="AA1063" s="402">
        <f t="shared" ref="AA1063" si="3369">(N1063+P1063*R1063/1000)*U1063*W1063*Y1063</f>
        <v>25.84683648</v>
      </c>
      <c r="AB1063" s="403"/>
    </row>
    <row r="1064" spans="1:28">
      <c r="A1064" s="384"/>
      <c r="B1064" s="385"/>
      <c r="C1064" s="393"/>
      <c r="D1064" s="394"/>
      <c r="E1064" s="388"/>
      <c r="F1064" s="388"/>
      <c r="G1064" s="388"/>
      <c r="H1064" s="395"/>
      <c r="I1064" s="388"/>
      <c r="J1064" s="399"/>
      <c r="K1064" s="396"/>
      <c r="L1064" s="396"/>
      <c r="M1064" s="396"/>
      <c r="N1064" s="396"/>
      <c r="O1064" s="396"/>
      <c r="P1064" s="389"/>
      <c r="Q1064" s="396"/>
      <c r="R1064" s="396"/>
      <c r="S1064" s="396"/>
      <c r="T1064" s="396"/>
      <c r="U1064" s="401"/>
      <c r="V1064" s="396"/>
      <c r="W1064" s="388"/>
      <c r="X1064" s="396"/>
      <c r="Y1064" s="389"/>
      <c r="Z1064" s="396"/>
      <c r="AA1064" s="388"/>
      <c r="AB1064" s="390"/>
    </row>
    <row r="1065" spans="1:28">
      <c r="A1065" s="384" t="str">
        <f t="shared" ref="A1065:B1065" si="3370">A1045</f>
        <v>Lantai 1</v>
      </c>
      <c r="B1065" s="385">
        <f t="shared" si="3370"/>
        <v>34</v>
      </c>
      <c r="C1065" s="393" t="s">
        <v>211</v>
      </c>
      <c r="D1065" s="398">
        <f>VLOOKUP(D1045,'Detail Balok'!$C$10:$AU$140,31,FALSE)</f>
        <v>0</v>
      </c>
      <c r="E1065" s="388" t="s">
        <v>16</v>
      </c>
      <c r="F1065" s="388">
        <f>VLOOKUP(D1045,'Detail Balok'!$C$10:$AU$140,33,FALSE)</f>
        <v>8</v>
      </c>
      <c r="G1065" s="405" t="s">
        <v>157</v>
      </c>
      <c r="H1065" s="395">
        <f>VLOOKUP(D1045,'Detail Balok'!$C$10:$AU$140,35,FALSE)</f>
        <v>150</v>
      </c>
      <c r="I1065" s="388"/>
      <c r="J1065" s="400">
        <f t="shared" ref="J1065" si="3371">(IF(D1065=0,(2*(D1046+G1046))-(F$5*8),IF(D1065=3,(2*(D1046+G1046))-(F$5*8)+(G1046-2*F$5),IF(D1065=4,(2*(D1046+G1046))-(F$5*8)+2*(G1046-2*F$5)))))/1000</f>
        <v>1.08</v>
      </c>
      <c r="K1065" s="400" t="s">
        <v>204</v>
      </c>
      <c r="L1065" s="399">
        <f t="shared" ref="L1065:L1067" si="3372">IF(D1065=0,2*MAX(6*F1065,75),(D1065-1)*2*MAX(6*F1065,75))/1000</f>
        <v>0.15</v>
      </c>
      <c r="M1065" s="399" t="s">
        <v>176</v>
      </c>
      <c r="N1065" s="399">
        <f t="shared" ref="N1065:N1067" si="3373">J1065+L1065</f>
        <v>1.23</v>
      </c>
      <c r="O1065" s="399"/>
      <c r="P1065" s="389"/>
      <c r="Q1065" s="399"/>
      <c r="R1065" s="399"/>
      <c r="S1065" s="399"/>
      <c r="T1065" s="399" t="s">
        <v>125</v>
      </c>
      <c r="U1065" s="401">
        <f t="shared" ref="U1065:U1067" si="3374">0.006165*F1065^2</f>
        <v>0.39456000000000002</v>
      </c>
      <c r="V1065" s="399" t="s">
        <v>125</v>
      </c>
      <c r="W1065" s="399">
        <f t="shared" ref="W1065" si="3375">IF(D1048&gt;4*G1046,ROUND(MAX(D1048/4,2*G1046)/H1065,0)+1,ROUND(D1048/H1065,0)+1)</f>
        <v>9</v>
      </c>
      <c r="X1065" s="399" t="s">
        <v>125</v>
      </c>
      <c r="Y1065" s="389">
        <f t="shared" ref="Y1065" si="3376">D1051</f>
        <v>1</v>
      </c>
      <c r="Z1065" s="400" t="s">
        <v>176</v>
      </c>
      <c r="AA1065" s="402">
        <f t="shared" ref="AA1065:AA1067" si="3377">N1065*U1065*W1065*Y1065</f>
        <v>4.3677792000000002</v>
      </c>
      <c r="AB1065" s="403"/>
    </row>
    <row r="1066" spans="1:28">
      <c r="A1066" s="384" t="str">
        <f t="shared" ref="A1066:B1066" si="3378">A1045</f>
        <v>Lantai 1</v>
      </c>
      <c r="B1066" s="385">
        <f t="shared" si="3378"/>
        <v>34</v>
      </c>
      <c r="C1066" s="393" t="s">
        <v>212</v>
      </c>
      <c r="D1066" s="398">
        <f>VLOOKUP(D1045,'Detail Balok'!$C$10:$AU$140,36,FALSE)</f>
        <v>0</v>
      </c>
      <c r="E1066" s="388" t="s">
        <v>16</v>
      </c>
      <c r="F1066" s="388">
        <f>VLOOKUP(D1045,'Detail Balok'!$C$10:$AU$140,38,FALSE)</f>
        <v>8</v>
      </c>
      <c r="G1066" s="405" t="s">
        <v>157</v>
      </c>
      <c r="H1066" s="395">
        <f>VLOOKUP(D1045,'Detail Balok'!$C$10:$AU$140,40,FALSE)</f>
        <v>200</v>
      </c>
      <c r="I1066" s="388"/>
      <c r="J1066" s="400">
        <f t="shared" ref="J1066" si="3379">(IF(D1066=0,(2*(D1046+G1046))-(F$5*8),IF(D1066=3,(2*(D1046+G1046))-(F$5*8)+(G1046-2*F$5),IF(D1066=4,(2*(D1046+G1046))-(F$5*8)+2*(G1046-2*F$5)))))/1000</f>
        <v>1.08</v>
      </c>
      <c r="K1066" s="400" t="s">
        <v>204</v>
      </c>
      <c r="L1066" s="399">
        <f t="shared" si="3372"/>
        <v>0.15</v>
      </c>
      <c r="M1066" s="399" t="s">
        <v>176</v>
      </c>
      <c r="N1066" s="399">
        <f t="shared" si="3373"/>
        <v>1.23</v>
      </c>
      <c r="O1066" s="399"/>
      <c r="P1066" s="389"/>
      <c r="Q1066" s="399"/>
      <c r="R1066" s="399"/>
      <c r="S1066" s="399"/>
      <c r="T1066" s="399" t="s">
        <v>125</v>
      </c>
      <c r="U1066" s="401">
        <f t="shared" si="3374"/>
        <v>0.39456000000000002</v>
      </c>
      <c r="V1066" s="399" t="s">
        <v>125</v>
      </c>
      <c r="W1066" s="399">
        <f t="shared" ref="W1066" si="3380">IF(D1048-MAX(D1048/4,2*G1046)*2&gt;0,ROUND((D1048-MAX(D1048/4,2*G1046)*2)/H1066,0),0)</f>
        <v>13</v>
      </c>
      <c r="X1066" s="399" t="s">
        <v>125</v>
      </c>
      <c r="Y1066" s="389">
        <f t="shared" ref="Y1066" si="3381">D1051</f>
        <v>1</v>
      </c>
      <c r="Z1066" s="400" t="s">
        <v>176</v>
      </c>
      <c r="AA1066" s="402">
        <f t="shared" si="3377"/>
        <v>6.3090144000000006</v>
      </c>
      <c r="AB1066" s="403"/>
    </row>
    <row r="1067" spans="1:28">
      <c r="A1067" s="384" t="str">
        <f t="shared" ref="A1067:B1067" si="3382">A1045</f>
        <v>Lantai 1</v>
      </c>
      <c r="B1067" s="385">
        <f t="shared" si="3382"/>
        <v>34</v>
      </c>
      <c r="C1067" s="393" t="s">
        <v>211</v>
      </c>
      <c r="D1067" s="398">
        <f>VLOOKUP(D1045,'Detail Balok'!$C$10:$AU$140,41,FALSE)</f>
        <v>0</v>
      </c>
      <c r="E1067" s="388" t="s">
        <v>16</v>
      </c>
      <c r="F1067" s="388">
        <f>VLOOKUP(D1045,'Detail Balok'!$C$10:$AU$140,43,FALSE)</f>
        <v>8</v>
      </c>
      <c r="G1067" s="405" t="s">
        <v>157</v>
      </c>
      <c r="H1067" s="395">
        <f>VLOOKUP(D1045,'Detail Balok'!$C$10:$AU$140,45,FALSE)</f>
        <v>150</v>
      </c>
      <c r="I1067" s="388"/>
      <c r="J1067" s="400">
        <f t="shared" ref="J1067" si="3383">(IF(D1067=0,(2*(D1046+G1046))-(F$5*8),IF(D1067=3,(2*(D1046+G1046))-(F$5*8)+(G1046-2*F$5),IF(D1067=4,(2*(D1046+G1046))-(F$5*8)+2*(G1046-2*F$5)))))/1000</f>
        <v>1.08</v>
      </c>
      <c r="K1067" s="400" t="s">
        <v>204</v>
      </c>
      <c r="L1067" s="399">
        <f t="shared" si="3372"/>
        <v>0.15</v>
      </c>
      <c r="M1067" s="399" t="s">
        <v>176</v>
      </c>
      <c r="N1067" s="399">
        <f t="shared" si="3373"/>
        <v>1.23</v>
      </c>
      <c r="O1067" s="399"/>
      <c r="P1067" s="389"/>
      <c r="Q1067" s="399"/>
      <c r="R1067" s="399"/>
      <c r="S1067" s="399"/>
      <c r="T1067" s="399" t="s">
        <v>125</v>
      </c>
      <c r="U1067" s="401">
        <f t="shared" si="3374"/>
        <v>0.39456000000000002</v>
      </c>
      <c r="V1067" s="399" t="s">
        <v>125</v>
      </c>
      <c r="W1067" s="399">
        <f t="shared" ref="W1067" si="3384">IF(D1048&gt;4*G1046,ROUND(MAX(D1048/4,2*G1046)/H1067,0)+1,0)</f>
        <v>9</v>
      </c>
      <c r="X1067" s="399" t="s">
        <v>125</v>
      </c>
      <c r="Y1067" s="389">
        <f t="shared" ref="Y1067" si="3385">D1051</f>
        <v>1</v>
      </c>
      <c r="Z1067" s="400" t="s">
        <v>176</v>
      </c>
      <c r="AA1067" s="402">
        <f t="shared" si="3377"/>
        <v>4.3677792000000002</v>
      </c>
      <c r="AB1067" s="403"/>
    </row>
    <row r="1068" spans="1:28">
      <c r="A1068" s="384"/>
      <c r="B1068" s="385"/>
      <c r="C1068" s="393"/>
      <c r="D1068" s="394"/>
      <c r="E1068" s="388"/>
      <c r="F1068" s="388"/>
      <c r="G1068" s="388"/>
      <c r="H1068" s="395"/>
      <c r="I1068" s="388"/>
      <c r="J1068" s="399"/>
      <c r="K1068" s="396"/>
      <c r="L1068" s="396"/>
      <c r="M1068" s="396"/>
      <c r="N1068" s="396"/>
      <c r="O1068" s="396"/>
      <c r="P1068" s="389"/>
      <c r="Q1068" s="396"/>
      <c r="R1068" s="396"/>
      <c r="S1068" s="396"/>
      <c r="T1068" s="396"/>
      <c r="U1068" s="401"/>
      <c r="V1068" s="396"/>
      <c r="W1068" s="388"/>
      <c r="X1068" s="396"/>
      <c r="Y1068" s="389"/>
      <c r="Z1068" s="396"/>
      <c r="AA1068" s="388"/>
      <c r="AB1068" s="390"/>
    </row>
    <row r="1069" spans="1:28">
      <c r="A1069" s="384" t="str">
        <f t="shared" ref="A1069:B1069" si="3386">A1045</f>
        <v>Lantai 1</v>
      </c>
      <c r="B1069" s="385">
        <f t="shared" si="3386"/>
        <v>34</v>
      </c>
      <c r="C1069" s="393" t="s">
        <v>213</v>
      </c>
      <c r="D1069" s="398">
        <f>VLOOKUP(D1045,'Detail Balok'!$C$10:$BJ$140,46,FALSE)</f>
        <v>0</v>
      </c>
      <c r="E1069" s="388" t="s">
        <v>16</v>
      </c>
      <c r="F1069" s="388">
        <f>VLOOKUP(D1045,'Detail Balok'!$C$10:$BJ$140,48,FALSE)</f>
        <v>0</v>
      </c>
      <c r="G1069" s="405" t="s">
        <v>157</v>
      </c>
      <c r="H1069" s="395">
        <f>VLOOKUP(D1045,'Detail Balok'!$C$10:$BJ$140,50,FALSE)</f>
        <v>100</v>
      </c>
      <c r="I1069" s="388"/>
      <c r="J1069" s="399">
        <f t="shared" ref="J1069" si="3387">(D1046-2*F$5)/1000</f>
        <v>0.12</v>
      </c>
      <c r="K1069" s="400" t="s">
        <v>204</v>
      </c>
      <c r="L1069" s="399">
        <f t="shared" ref="L1069:L1071" si="3388">IF(D1069=0,2*MAX(6*F1069,75),(D1069-1)*2*MAX(6*F1069,75))/1000</f>
        <v>0.15</v>
      </c>
      <c r="M1069" s="399" t="s">
        <v>176</v>
      </c>
      <c r="N1069" s="399">
        <f t="shared" ref="N1069:N1071" si="3389">J1069+L1069</f>
        <v>0.27</v>
      </c>
      <c r="O1069" s="399"/>
      <c r="P1069" s="399"/>
      <c r="Q1069" s="399"/>
      <c r="R1069" s="399"/>
      <c r="S1069" s="399"/>
      <c r="T1069" s="399" t="s">
        <v>125</v>
      </c>
      <c r="U1069" s="401">
        <f t="shared" ref="U1069:U1071" si="3390">0.006165*F1069^2</f>
        <v>0</v>
      </c>
      <c r="V1069" s="399" t="s">
        <v>125</v>
      </c>
      <c r="W1069" s="399">
        <f t="shared" ref="W1069:W1131" si="3391">W1065</f>
        <v>9</v>
      </c>
      <c r="X1069" s="399" t="s">
        <v>125</v>
      </c>
      <c r="Y1069" s="389">
        <f t="shared" ref="Y1069" si="3392">D1055</f>
        <v>3</v>
      </c>
      <c r="Z1069" s="400" t="s">
        <v>176</v>
      </c>
      <c r="AA1069" s="402">
        <f t="shared" ref="AA1069:AA1071" si="3393">N1069*U1069*W1069*Y1069</f>
        <v>0</v>
      </c>
      <c r="AB1069" s="403"/>
    </row>
    <row r="1070" spans="1:28">
      <c r="A1070" s="384" t="str">
        <f t="shared" ref="A1070:B1070" si="3394">A1045</f>
        <v>Lantai 1</v>
      </c>
      <c r="B1070" s="385">
        <f t="shared" si="3394"/>
        <v>34</v>
      </c>
      <c r="C1070" s="393" t="s">
        <v>214</v>
      </c>
      <c r="D1070" s="398">
        <f>VLOOKUP(D1045,'Detail Balok'!$C$10:$BJ$140,51,FALSE)</f>
        <v>0</v>
      </c>
      <c r="E1070" s="388" t="s">
        <v>16</v>
      </c>
      <c r="F1070" s="388">
        <f>VLOOKUP(D1045,'Detail Balok'!$C$10:$BJ$140,53,FALSE)</f>
        <v>0</v>
      </c>
      <c r="G1070" s="405" t="s">
        <v>157</v>
      </c>
      <c r="H1070" s="395">
        <f>VLOOKUP(D1045,'Detail Balok'!$C$10:$BJ$140,55,FALSE)</f>
        <v>100</v>
      </c>
      <c r="I1070" s="388"/>
      <c r="J1070" s="399">
        <f t="shared" ref="J1070" si="3395">(D1046-2*F$5)/1000</f>
        <v>0.12</v>
      </c>
      <c r="K1070" s="400" t="s">
        <v>204</v>
      </c>
      <c r="L1070" s="399">
        <f t="shared" si="3388"/>
        <v>0.15</v>
      </c>
      <c r="M1070" s="399" t="s">
        <v>176</v>
      </c>
      <c r="N1070" s="399">
        <f t="shared" si="3389"/>
        <v>0.27</v>
      </c>
      <c r="O1070" s="399"/>
      <c r="P1070" s="399"/>
      <c r="Q1070" s="399"/>
      <c r="R1070" s="399"/>
      <c r="S1070" s="399"/>
      <c r="T1070" s="399" t="s">
        <v>125</v>
      </c>
      <c r="U1070" s="401">
        <f t="shared" si="3390"/>
        <v>0</v>
      </c>
      <c r="V1070" s="399" t="s">
        <v>125</v>
      </c>
      <c r="W1070" s="399">
        <f t="shared" si="3391"/>
        <v>13</v>
      </c>
      <c r="X1070" s="399" t="s">
        <v>125</v>
      </c>
      <c r="Y1070" s="389">
        <f t="shared" ref="Y1070" si="3396">D1055</f>
        <v>3</v>
      </c>
      <c r="Z1070" s="400" t="s">
        <v>176</v>
      </c>
      <c r="AA1070" s="402">
        <f t="shared" si="3393"/>
        <v>0</v>
      </c>
      <c r="AB1070" s="403"/>
    </row>
    <row r="1071" spans="1:28">
      <c r="A1071" s="384" t="str">
        <f t="shared" ref="A1071:B1071" si="3397">A1045</f>
        <v>Lantai 1</v>
      </c>
      <c r="B1071" s="385">
        <f t="shared" si="3397"/>
        <v>34</v>
      </c>
      <c r="C1071" s="393" t="s">
        <v>213</v>
      </c>
      <c r="D1071" s="398">
        <f>VLOOKUP(D1045,'Detail Balok'!$C$10:$BJ$140,56,FALSE)</f>
        <v>0</v>
      </c>
      <c r="E1071" s="388" t="s">
        <v>16</v>
      </c>
      <c r="F1071" s="388">
        <f>VLOOKUP(D1045,'Detail Balok'!$C$10:$BJ$140,58,FALSE)</f>
        <v>0</v>
      </c>
      <c r="G1071" s="405" t="s">
        <v>157</v>
      </c>
      <c r="H1071" s="395">
        <f>VLOOKUP(D1045,'Detail Balok'!$C$10:$BJ$140,60,FALSE)</f>
        <v>100</v>
      </c>
      <c r="I1071" s="388"/>
      <c r="J1071" s="399">
        <f t="shared" ref="J1071" si="3398">(D1046-2*F$5)/1000</f>
        <v>0.12</v>
      </c>
      <c r="K1071" s="400" t="s">
        <v>204</v>
      </c>
      <c r="L1071" s="399">
        <f t="shared" si="3388"/>
        <v>0.15</v>
      </c>
      <c r="M1071" s="399" t="s">
        <v>176</v>
      </c>
      <c r="N1071" s="399">
        <f t="shared" si="3389"/>
        <v>0.27</v>
      </c>
      <c r="O1071" s="399"/>
      <c r="P1071" s="399"/>
      <c r="Q1071" s="399"/>
      <c r="R1071" s="399"/>
      <c r="S1071" s="399"/>
      <c r="T1071" s="399" t="s">
        <v>125</v>
      </c>
      <c r="U1071" s="401">
        <f t="shared" si="3390"/>
        <v>0</v>
      </c>
      <c r="V1071" s="399" t="s">
        <v>125</v>
      </c>
      <c r="W1071" s="399">
        <f t="shared" si="3391"/>
        <v>9</v>
      </c>
      <c r="X1071" s="399" t="s">
        <v>125</v>
      </c>
      <c r="Y1071" s="389">
        <f t="shared" ref="Y1071" si="3399">D1055</f>
        <v>3</v>
      </c>
      <c r="Z1071" s="400" t="s">
        <v>176</v>
      </c>
      <c r="AA1071" s="402">
        <f t="shared" si="3393"/>
        <v>0</v>
      </c>
      <c r="AB1071" s="403"/>
    </row>
    <row r="1072" spans="1:28">
      <c r="A1072" s="391"/>
      <c r="B1072" s="392"/>
      <c r="C1072" s="392"/>
      <c r="D1072" s="394"/>
      <c r="E1072" s="388"/>
      <c r="F1072" s="388"/>
      <c r="G1072" s="388"/>
      <c r="H1072" s="395"/>
      <c r="I1072" s="388"/>
      <c r="J1072" s="402"/>
      <c r="K1072" s="388"/>
      <c r="L1072" s="388"/>
      <c r="M1072" s="388"/>
      <c r="N1072" s="388"/>
      <c r="O1072" s="388"/>
      <c r="P1072" s="388"/>
      <c r="Q1072" s="388"/>
      <c r="R1072" s="388"/>
      <c r="S1072" s="388"/>
      <c r="T1072" s="388"/>
      <c r="U1072" s="388"/>
      <c r="V1072" s="388"/>
      <c r="W1072" s="388"/>
      <c r="X1072" s="388"/>
      <c r="Y1072" s="389"/>
      <c r="Z1072" s="388"/>
      <c r="AA1072" s="402"/>
      <c r="AB1072" s="403"/>
    </row>
    <row r="1073" spans="1:28" ht="15.75" thickBot="1">
      <c r="A1073" s="406"/>
      <c r="B1073" s="407"/>
      <c r="C1073" s="407"/>
      <c r="D1073" s="408"/>
      <c r="E1073" s="409"/>
      <c r="F1073" s="409"/>
      <c r="G1073" s="409"/>
      <c r="H1073" s="410"/>
      <c r="I1073" s="409"/>
      <c r="J1073" s="409"/>
      <c r="K1073" s="409"/>
      <c r="L1073" s="409"/>
      <c r="M1073" s="409"/>
      <c r="N1073" s="409"/>
      <c r="O1073" s="409"/>
      <c r="P1073" s="409"/>
      <c r="Q1073" s="409"/>
      <c r="R1073" s="409"/>
      <c r="S1073" s="409"/>
      <c r="T1073" s="409"/>
      <c r="U1073" s="409"/>
      <c r="V1073" s="409"/>
      <c r="W1073" s="409"/>
      <c r="X1073" s="409"/>
      <c r="Y1073" s="411"/>
      <c r="Z1073" s="409"/>
      <c r="AA1073" s="412"/>
      <c r="AB1073" s="413"/>
    </row>
    <row r="1074" spans="1:28">
      <c r="A1074" s="377"/>
      <c r="B1074" s="378"/>
      <c r="C1074" s="378"/>
      <c r="D1074" s="379"/>
      <c r="E1074" s="380"/>
      <c r="F1074" s="380"/>
      <c r="G1074" s="380"/>
      <c r="H1074" s="381"/>
      <c r="I1074" s="380"/>
      <c r="J1074" s="380"/>
      <c r="K1074" s="380"/>
      <c r="L1074" s="380"/>
      <c r="M1074" s="380"/>
      <c r="N1074" s="380"/>
      <c r="O1074" s="380"/>
      <c r="P1074" s="380"/>
      <c r="Q1074" s="380"/>
      <c r="R1074" s="380"/>
      <c r="S1074" s="380"/>
      <c r="T1074" s="380"/>
      <c r="U1074" s="380"/>
      <c r="V1074" s="380"/>
      <c r="W1074" s="380"/>
      <c r="X1074" s="380"/>
      <c r="Y1074" s="382"/>
      <c r="Z1074" s="380"/>
      <c r="AA1074" s="380"/>
      <c r="AB1074" s="383"/>
    </row>
    <row r="1075" spans="1:28">
      <c r="A1075" s="384" t="str">
        <f t="shared" ref="A1075:A1135" si="3400">A1045</f>
        <v>Lantai 1</v>
      </c>
      <c r="B1075" s="385">
        <f t="shared" ref="B1075:B1135" si="3401">B1045+1</f>
        <v>35</v>
      </c>
      <c r="C1075" s="386" t="str">
        <f t="shared" ref="C1075" si="3402">CONCATENATE(A1075," no. ",B1075)</f>
        <v>Lantai 1 no. 35</v>
      </c>
      <c r="D1075" s="2562" t="str">
        <f>VLOOKUP(C1075,'Data Panjang Balok'!$C$9:$N$254,2,FALSE)</f>
        <v>S36-1</v>
      </c>
      <c r="E1075" s="2576"/>
      <c r="F1075" s="2576"/>
      <c r="G1075" s="2576"/>
      <c r="H1075" s="2577"/>
      <c r="I1075" s="387"/>
      <c r="J1075" s="388"/>
      <c r="K1075" s="388"/>
      <c r="L1075" s="388"/>
      <c r="M1075" s="388"/>
      <c r="N1075" s="388"/>
      <c r="O1075" s="388"/>
      <c r="P1075" s="388"/>
      <c r="Q1075" s="388"/>
      <c r="R1075" s="388"/>
      <c r="S1075" s="388"/>
      <c r="T1075" s="388"/>
      <c r="U1075" s="388"/>
      <c r="V1075" s="388"/>
      <c r="W1075" s="388"/>
      <c r="X1075" s="388"/>
      <c r="Y1075" s="389"/>
      <c r="Z1075" s="388"/>
      <c r="AA1075" s="388"/>
      <c r="AB1075" s="390"/>
    </row>
    <row r="1076" spans="1:28">
      <c r="A1076" s="391"/>
      <c r="B1076" s="392"/>
      <c r="C1076" s="393" t="s">
        <v>118</v>
      </c>
      <c r="D1076" s="2578">
        <f>VLOOKUP(D1075,'Detail Balok'!$C$10:$AU$140,2,FALSE)</f>
        <v>300</v>
      </c>
      <c r="E1076" s="2579"/>
      <c r="F1076" s="388" t="s">
        <v>125</v>
      </c>
      <c r="G1076" s="2579">
        <f>VLOOKUP(D1075,'Detail Balok'!$C$10:$AU$140,3,FALSE)</f>
        <v>600</v>
      </c>
      <c r="H1076" s="2580"/>
      <c r="I1076" s="388"/>
      <c r="J1076" s="396"/>
      <c r="K1076" s="396"/>
      <c r="L1076" s="396"/>
      <c r="M1076" s="396"/>
      <c r="N1076" s="396"/>
      <c r="O1076" s="396"/>
      <c r="P1076" s="396"/>
      <c r="Q1076" s="396"/>
      <c r="R1076" s="396"/>
      <c r="S1076" s="396"/>
      <c r="T1076" s="396"/>
      <c r="U1076" s="388"/>
      <c r="V1076" s="396"/>
      <c r="W1076" s="388"/>
      <c r="X1076" s="396"/>
      <c r="Y1076" s="389"/>
      <c r="Z1076" s="396"/>
      <c r="AA1076" s="388"/>
      <c r="AB1076" s="390"/>
    </row>
    <row r="1077" spans="1:28">
      <c r="A1077" s="391"/>
      <c r="B1077" s="392"/>
      <c r="C1077" s="393" t="s">
        <v>198</v>
      </c>
      <c r="D1077" s="2562">
        <f>VLOOKUP(C1075,'Data Panjang Balok'!$C$9:$N$254,4,FALSE)</f>
        <v>6075</v>
      </c>
      <c r="E1077" s="2563"/>
      <c r="F1077" s="2563"/>
      <c r="G1077" s="2563"/>
      <c r="H1077" s="2564"/>
      <c r="I1077" s="397"/>
      <c r="J1077" s="396"/>
      <c r="K1077" s="396"/>
      <c r="L1077" s="396"/>
      <c r="M1077" s="396"/>
      <c r="N1077" s="396"/>
      <c r="O1077" s="396"/>
      <c r="P1077" s="396"/>
      <c r="Q1077" s="396"/>
      <c r="R1077" s="396"/>
      <c r="S1077" s="396"/>
      <c r="T1077" s="396"/>
      <c r="U1077" s="388"/>
      <c r="V1077" s="396"/>
      <c r="W1077" s="388"/>
      <c r="X1077" s="396"/>
      <c r="Y1077" s="389"/>
      <c r="Z1077" s="396"/>
      <c r="AA1077" s="388"/>
      <c r="AB1077" s="390"/>
    </row>
    <row r="1078" spans="1:28">
      <c r="A1078" s="391"/>
      <c r="B1078" s="392"/>
      <c r="C1078" s="393" t="s">
        <v>199</v>
      </c>
      <c r="D1078" s="2562">
        <f>VLOOKUP(C1075,'Data Panjang Balok'!$C$9:$N$254,7,FALSE)</f>
        <v>6075</v>
      </c>
      <c r="E1078" s="2563"/>
      <c r="F1078" s="2563"/>
      <c r="G1078" s="2563"/>
      <c r="H1078" s="2564"/>
      <c r="I1078" s="397"/>
      <c r="J1078" s="396"/>
      <c r="K1078" s="396"/>
      <c r="L1078" s="396"/>
      <c r="M1078" s="396"/>
      <c r="N1078" s="396"/>
      <c r="O1078" s="396"/>
      <c r="P1078" s="396"/>
      <c r="Q1078" s="396"/>
      <c r="R1078" s="396"/>
      <c r="S1078" s="396"/>
      <c r="T1078" s="396"/>
      <c r="U1078" s="388"/>
      <c r="V1078" s="396"/>
      <c r="W1078" s="388"/>
      <c r="X1078" s="396"/>
      <c r="Y1078" s="389"/>
      <c r="Z1078" s="396"/>
      <c r="AA1078" s="388"/>
      <c r="AB1078" s="390"/>
    </row>
    <row r="1079" spans="1:28">
      <c r="A1079" s="391"/>
      <c r="B1079" s="392"/>
      <c r="C1079" s="393" t="s">
        <v>200</v>
      </c>
      <c r="D1079" s="2562">
        <f>VLOOKUP(C1075,'Data Panjang Balok'!$C$9:$N$254,9,FALSE)</f>
        <v>0</v>
      </c>
      <c r="E1079" s="2563"/>
      <c r="F1079" s="2563"/>
      <c r="G1079" s="2563"/>
      <c r="H1079" s="2564"/>
      <c r="I1079" s="397"/>
      <c r="J1079" s="396"/>
      <c r="K1079" s="396"/>
      <c r="L1079" s="396"/>
      <c r="M1079" s="396"/>
      <c r="N1079" s="396"/>
      <c r="O1079" s="396"/>
      <c r="P1079" s="396"/>
      <c r="Q1079" s="396"/>
      <c r="R1079" s="396"/>
      <c r="S1079" s="396"/>
      <c r="T1079" s="396"/>
      <c r="U1079" s="388"/>
      <c r="V1079" s="396"/>
      <c r="W1079" s="388"/>
      <c r="X1079" s="396"/>
      <c r="Y1079" s="389"/>
      <c r="Z1079" s="396"/>
      <c r="AA1079" s="388"/>
      <c r="AB1079" s="390"/>
    </row>
    <row r="1080" spans="1:28">
      <c r="A1080" s="391"/>
      <c r="B1080" s="392"/>
      <c r="C1080" s="393" t="s">
        <v>201</v>
      </c>
      <c r="D1080" s="2562">
        <f>VLOOKUP(C1075,'Data Panjang Balok'!$C$9:$N$254,10,FALSE)</f>
        <v>0</v>
      </c>
      <c r="E1080" s="2563"/>
      <c r="F1080" s="2563"/>
      <c r="G1080" s="2563"/>
      <c r="H1080" s="2564"/>
      <c r="I1080" s="397"/>
      <c r="J1080" s="396"/>
      <c r="K1080" s="396"/>
      <c r="L1080" s="396"/>
      <c r="M1080" s="396"/>
      <c r="N1080" s="396"/>
      <c r="O1080" s="396"/>
      <c r="P1080" s="396"/>
      <c r="Q1080" s="396"/>
      <c r="R1080" s="396"/>
      <c r="S1080" s="396"/>
      <c r="T1080" s="396"/>
      <c r="U1080" s="388"/>
      <c r="V1080" s="396"/>
      <c r="W1080" s="388"/>
      <c r="X1080" s="396"/>
      <c r="Y1080" s="389"/>
      <c r="Z1080" s="396"/>
      <c r="AA1080" s="388"/>
      <c r="AB1080" s="390"/>
    </row>
    <row r="1081" spans="1:28">
      <c r="A1081" s="391"/>
      <c r="B1081" s="392"/>
      <c r="C1081" s="393" t="s">
        <v>48</v>
      </c>
      <c r="D1081" s="2562">
        <f>VLOOKUP(C1075,'Data Panjang Balok'!$C$9:$N$254,3,FALSE)</f>
        <v>1</v>
      </c>
      <c r="E1081" s="2563"/>
      <c r="F1081" s="2563"/>
      <c r="G1081" s="2563"/>
      <c r="H1081" s="2564"/>
      <c r="I1081" s="397"/>
      <c r="J1081" s="396"/>
      <c r="K1081" s="396"/>
      <c r="L1081" s="396"/>
      <c r="M1081" s="396"/>
      <c r="N1081" s="396"/>
      <c r="O1081" s="396"/>
      <c r="P1081" s="396"/>
      <c r="Q1081" s="396"/>
      <c r="R1081" s="396"/>
      <c r="S1081" s="396"/>
      <c r="T1081" s="396"/>
      <c r="U1081" s="388"/>
      <c r="V1081" s="396"/>
      <c r="W1081" s="388"/>
      <c r="X1081" s="396"/>
      <c r="Y1081" s="389"/>
      <c r="Z1081" s="396"/>
      <c r="AA1081" s="388"/>
      <c r="AB1081" s="390"/>
    </row>
    <row r="1082" spans="1:28">
      <c r="A1082" s="384" t="str">
        <f t="shared" ref="A1082:B1082" si="3403">A1075</f>
        <v>Lantai 1</v>
      </c>
      <c r="B1082" s="385">
        <f t="shared" si="3403"/>
        <v>35</v>
      </c>
      <c r="C1082" s="393" t="s">
        <v>202</v>
      </c>
      <c r="D1082" s="398">
        <f>VLOOKUP(D1075,'Detail Balok'!$C$10:$AU$140,4,FALSE)</f>
        <v>4</v>
      </c>
      <c r="E1082" s="388" t="s">
        <v>16</v>
      </c>
      <c r="F1082" s="388">
        <f>VLOOKUP(D1075,'Detail Balok'!$C$10:$AU$140,6,FALSE)</f>
        <v>16</v>
      </c>
      <c r="G1082" s="388"/>
      <c r="H1082" s="395"/>
      <c r="I1082" s="388" t="s">
        <v>203</v>
      </c>
      <c r="J1082" s="399">
        <f t="shared" ref="J1082" si="3404">+D1077/4/1000</f>
        <v>1.51875</v>
      </c>
      <c r="K1082" s="400" t="s">
        <v>204</v>
      </c>
      <c r="L1082" s="399">
        <f t="shared" ref="L1082" si="3405">MAX(VLOOKUP(F1082,N$6:P$15,3,FALSE)/1000,2/3*D1079/1000)+F$16*F1082/1000</f>
        <v>0.192</v>
      </c>
      <c r="M1082" s="399" t="s">
        <v>176</v>
      </c>
      <c r="N1082" s="399">
        <f t="shared" ref="N1082:N1084" si="3406">J1082+L1082</f>
        <v>1.71075</v>
      </c>
      <c r="O1082" s="399" t="s">
        <v>204</v>
      </c>
      <c r="P1082" s="389">
        <f t="shared" ref="P1082" si="3407">D1082-D1083</f>
        <v>0</v>
      </c>
      <c r="Q1082" s="399" t="s">
        <v>125</v>
      </c>
      <c r="R1082" s="399">
        <f t="shared" ref="R1082" si="3408">IF(P1082&gt;0,$F$18*F1082/1000,0)</f>
        <v>0</v>
      </c>
      <c r="S1082" s="399" t="s">
        <v>205</v>
      </c>
      <c r="T1082" s="399" t="s">
        <v>125</v>
      </c>
      <c r="U1082" s="401">
        <f t="shared" ref="U1082:U1084" si="3409">0.006165*F1082^2</f>
        <v>1.5782400000000001</v>
      </c>
      <c r="V1082" s="399"/>
      <c r="W1082" s="399"/>
      <c r="X1082" s="399" t="s">
        <v>125</v>
      </c>
      <c r="Y1082" s="389">
        <f t="shared" ref="Y1082" si="3410">D1081</f>
        <v>1</v>
      </c>
      <c r="Z1082" s="400" t="s">
        <v>176</v>
      </c>
      <c r="AA1082" s="402">
        <f t="shared" ref="AA1082" si="3411">IF(AA1085=0,(D1082*N1082+P1082*R1082)*U1082*Y1082,0)</f>
        <v>0</v>
      </c>
      <c r="AB1082" s="403"/>
    </row>
    <row r="1083" spans="1:28">
      <c r="A1083" s="384" t="str">
        <f t="shared" ref="A1083:B1083" si="3412">A1075</f>
        <v>Lantai 1</v>
      </c>
      <c r="B1083" s="385">
        <f t="shared" si="3412"/>
        <v>35</v>
      </c>
      <c r="C1083" s="393" t="s">
        <v>206</v>
      </c>
      <c r="D1083" s="398">
        <f>VLOOKUP(D1075,'Detail Balok'!$C$10:$AU$140,7,FALSE)</f>
        <v>4</v>
      </c>
      <c r="E1083" s="388" t="s">
        <v>16</v>
      </c>
      <c r="F1083" s="388">
        <f>VLOOKUP(D1075,'Detail Balok'!$C$10:$AU$140,9,FALSE)</f>
        <v>16</v>
      </c>
      <c r="G1083" s="388"/>
      <c r="H1083" s="395"/>
      <c r="I1083" s="388" t="s">
        <v>203</v>
      </c>
      <c r="J1083" s="399">
        <f t="shared" ref="J1083" si="3413">+D1077/2/1000</f>
        <v>3.0375000000000001</v>
      </c>
      <c r="K1083" s="400" t="s">
        <v>204</v>
      </c>
      <c r="L1083" s="399"/>
      <c r="M1083" s="399" t="s">
        <v>176</v>
      </c>
      <c r="N1083" s="399">
        <f t="shared" si="3406"/>
        <v>3.0375000000000001</v>
      </c>
      <c r="O1083" s="399" t="s">
        <v>204</v>
      </c>
      <c r="P1083" s="389">
        <f t="shared" ref="P1083" si="3414">MAX(D1083-D1082,D1083-D1084)</f>
        <v>0</v>
      </c>
      <c r="Q1083" s="399" t="s">
        <v>125</v>
      </c>
      <c r="R1083" s="399">
        <f t="shared" ref="R1083" si="3415">IF(P1083&gt;0,2*(1-2*$F$19-1/2)*D1078/1000,0)</f>
        <v>0</v>
      </c>
      <c r="S1083" s="399" t="s">
        <v>205</v>
      </c>
      <c r="T1083" s="399" t="s">
        <v>125</v>
      </c>
      <c r="U1083" s="401">
        <f t="shared" si="3409"/>
        <v>1.5782400000000001</v>
      </c>
      <c r="V1083" s="399"/>
      <c r="W1083" s="399"/>
      <c r="X1083" s="399" t="s">
        <v>125</v>
      </c>
      <c r="Y1083" s="389">
        <f t="shared" ref="Y1083" si="3416">D1081</f>
        <v>1</v>
      </c>
      <c r="Z1083" s="400" t="s">
        <v>176</v>
      </c>
      <c r="AA1083" s="402">
        <f t="shared" ref="AA1083" si="3417">IF(AA1085=0,(D1083*N1083+P1083*R1083)*U1083*Y1083,0)</f>
        <v>0</v>
      </c>
      <c r="AB1083" s="403"/>
    </row>
    <row r="1084" spans="1:28">
      <c r="A1084" s="384" t="str">
        <f t="shared" ref="A1084:B1084" si="3418">A1075</f>
        <v>Lantai 1</v>
      </c>
      <c r="B1084" s="385">
        <f t="shared" si="3418"/>
        <v>35</v>
      </c>
      <c r="C1084" s="393" t="s">
        <v>202</v>
      </c>
      <c r="D1084" s="398">
        <f>VLOOKUP(D1075,'Detail Balok'!$C$10:$AU$140,10,FALSE)</f>
        <v>4</v>
      </c>
      <c r="E1084" s="388" t="s">
        <v>16</v>
      </c>
      <c r="F1084" s="388">
        <f>VLOOKUP(D1075,'Detail Balok'!$C$10:$AU$140,12,FALSE)</f>
        <v>16</v>
      </c>
      <c r="G1084" s="388"/>
      <c r="H1084" s="395"/>
      <c r="I1084" s="388" t="s">
        <v>203</v>
      </c>
      <c r="J1084" s="399">
        <f t="shared" ref="J1084" si="3419">+D1077/4/1000</f>
        <v>1.51875</v>
      </c>
      <c r="K1084" s="400" t="s">
        <v>204</v>
      </c>
      <c r="L1084" s="399">
        <f t="shared" ref="L1084" si="3420">MAX(VLOOKUP(F1084,N$6:P$15,3,FALSE)/1000,2/3*D1079/1000)+F$16*F1084/1000</f>
        <v>0.192</v>
      </c>
      <c r="M1084" s="399" t="s">
        <v>176</v>
      </c>
      <c r="N1084" s="399">
        <f t="shared" si="3406"/>
        <v>1.71075</v>
      </c>
      <c r="O1084" s="399" t="s">
        <v>204</v>
      </c>
      <c r="P1084" s="389">
        <f t="shared" ref="P1084" si="3421">D1084-D1083</f>
        <v>0</v>
      </c>
      <c r="Q1084" s="399" t="s">
        <v>125</v>
      </c>
      <c r="R1084" s="399">
        <f t="shared" ref="R1084" si="3422">IF(P1084&gt;0,$F$18*F1084/1000,0)</f>
        <v>0</v>
      </c>
      <c r="S1084" s="399" t="s">
        <v>205</v>
      </c>
      <c r="T1084" s="399" t="s">
        <v>125</v>
      </c>
      <c r="U1084" s="401">
        <f t="shared" si="3409"/>
        <v>1.5782400000000001</v>
      </c>
      <c r="V1084" s="399"/>
      <c r="W1084" s="399"/>
      <c r="X1084" s="399" t="s">
        <v>125</v>
      </c>
      <c r="Y1084" s="389">
        <f t="shared" ref="Y1084" si="3423">D1081</f>
        <v>1</v>
      </c>
      <c r="Z1084" s="400" t="s">
        <v>176</v>
      </c>
      <c r="AA1084" s="402">
        <f t="shared" ref="AA1084" si="3424">IF(AA1085=0,(D1084*N1084+P1084*R1084)*U1084*Y1084,0)</f>
        <v>0</v>
      </c>
      <c r="AB1084" s="403"/>
    </row>
    <row r="1085" spans="1:28">
      <c r="A1085" s="384" t="str">
        <f t="shared" ref="A1085:B1085" si="3425">A1075</f>
        <v>Lantai 1</v>
      </c>
      <c r="B1085" s="385">
        <f t="shared" si="3425"/>
        <v>35</v>
      </c>
      <c r="C1085" s="393"/>
      <c r="D1085" s="398">
        <f t="shared" si="3321"/>
        <v>4</v>
      </c>
      <c r="E1085" s="388" t="s">
        <v>16</v>
      </c>
      <c r="F1085" s="388">
        <f t="shared" si="3322"/>
        <v>16</v>
      </c>
      <c r="G1085" s="388"/>
      <c r="H1085" s="395"/>
      <c r="I1085" s="388"/>
      <c r="J1085" s="396"/>
      <c r="K1085" s="396"/>
      <c r="L1085" s="404" t="s">
        <v>207</v>
      </c>
      <c r="M1085" s="399" t="s">
        <v>176</v>
      </c>
      <c r="N1085" s="399">
        <f t="shared" ref="N1085" si="3426">IF(AND(D1082=D1083,D1082=D1084,D1083=D1084,F1082=F1083,F1082=F1084,F1083=F1084),SUM(N1082:N1084),0)</f>
        <v>6.4590000000000005</v>
      </c>
      <c r="O1085" s="399" t="s">
        <v>204</v>
      </c>
      <c r="P1085" s="389">
        <f t="shared" ref="P1085" si="3427">IF(N1085&gt;12,ROUNDDOWN(N1085/12,0),0)</f>
        <v>0</v>
      </c>
      <c r="Q1085" s="399" t="s">
        <v>125</v>
      </c>
      <c r="R1085" s="399">
        <f t="shared" ref="R1085" si="3428">IF(P1085&gt;0,MAX(VLOOKUP(F1085,$D$6:$G$15,3,FALSE),600),0)/1000</f>
        <v>0</v>
      </c>
      <c r="S1085" s="396"/>
      <c r="T1085" s="396" t="s">
        <v>125</v>
      </c>
      <c r="U1085" s="401">
        <f t="shared" si="3326"/>
        <v>1.5782400000000001</v>
      </c>
      <c r="V1085" s="396" t="s">
        <v>125</v>
      </c>
      <c r="W1085" s="399">
        <f t="shared" ref="W1085" si="3429">D1085</f>
        <v>4</v>
      </c>
      <c r="X1085" s="399" t="s">
        <v>125</v>
      </c>
      <c r="Y1085" s="389">
        <f t="shared" si="3328"/>
        <v>1</v>
      </c>
      <c r="Z1085" s="400" t="s">
        <v>176</v>
      </c>
      <c r="AA1085" s="402">
        <f t="shared" ref="AA1085" si="3430">(N1085+P1085*R1085/1000)*U1085*W1085*Y1085</f>
        <v>40.775408640000002</v>
      </c>
      <c r="AB1085" s="390"/>
    </row>
    <row r="1086" spans="1:28">
      <c r="A1086" s="384"/>
      <c r="B1086" s="385"/>
      <c r="C1086" s="393"/>
      <c r="D1086" s="398"/>
      <c r="E1086" s="388"/>
      <c r="F1086" s="388"/>
      <c r="G1086" s="388"/>
      <c r="H1086" s="395"/>
      <c r="I1086" s="388"/>
      <c r="J1086" s="396"/>
      <c r="K1086" s="396"/>
      <c r="L1086" s="404"/>
      <c r="M1086" s="399"/>
      <c r="N1086" s="399"/>
      <c r="O1086" s="396"/>
      <c r="P1086" s="389"/>
      <c r="Q1086" s="396"/>
      <c r="R1086" s="396"/>
      <c r="S1086" s="396"/>
      <c r="T1086" s="396"/>
      <c r="U1086" s="401"/>
      <c r="V1086" s="396"/>
      <c r="W1086" s="399"/>
      <c r="X1086" s="396"/>
      <c r="Y1086" s="389"/>
      <c r="Z1086" s="396"/>
      <c r="AA1086" s="388"/>
      <c r="AB1086" s="390"/>
    </row>
    <row r="1087" spans="1:28">
      <c r="A1087" s="384" t="str">
        <f t="shared" ref="A1087:B1087" si="3431">A1075</f>
        <v>Lantai 1</v>
      </c>
      <c r="B1087" s="385">
        <f t="shared" si="3431"/>
        <v>35</v>
      </c>
      <c r="C1087" s="393" t="s">
        <v>208</v>
      </c>
      <c r="D1087" s="398">
        <f>VLOOKUP(D1075,'Detail Balok'!$C$10:$AU$140,13,FALSE)</f>
        <v>2</v>
      </c>
      <c r="E1087" s="388" t="s">
        <v>16</v>
      </c>
      <c r="F1087" s="388">
        <f>VLOOKUP(D1075,'Detail Balok'!$C$10:$AU$140,15,FALSE)</f>
        <v>10</v>
      </c>
      <c r="G1087" s="388"/>
      <c r="H1087" s="395"/>
      <c r="I1087" s="388"/>
      <c r="J1087" s="399">
        <f t="shared" ref="J1087" si="3432">+D1077/1000</f>
        <v>6.0750000000000002</v>
      </c>
      <c r="K1087" s="400" t="s">
        <v>204</v>
      </c>
      <c r="L1087" s="399">
        <f t="shared" ref="L1087" si="3433">2*$F$16*F1087/1000</f>
        <v>0.24</v>
      </c>
      <c r="M1087" s="399" t="s">
        <v>176</v>
      </c>
      <c r="N1087" s="399">
        <f t="shared" ref="N1087" si="3434">J1087+L1087</f>
        <v>6.3150000000000004</v>
      </c>
      <c r="O1087" s="399" t="s">
        <v>204</v>
      </c>
      <c r="P1087" s="389">
        <f t="shared" ref="P1087" si="3435">IF(N1087&gt;12,ROUNDDOWN(N1087/12,0),0)</f>
        <v>0</v>
      </c>
      <c r="Q1087" s="399" t="s">
        <v>125</v>
      </c>
      <c r="R1087" s="399">
        <f t="shared" ref="R1087" si="3436">IF(P1087&gt;0,MAX(VLOOKUP(F1087,$D$6:$G$15,3,FALSE),600),0)/1000</f>
        <v>0</v>
      </c>
      <c r="S1087" s="399"/>
      <c r="T1087" s="399" t="s">
        <v>125</v>
      </c>
      <c r="U1087" s="401">
        <f t="shared" ref="U1087" si="3437">0.006165*F1087^2</f>
        <v>0.61650000000000005</v>
      </c>
      <c r="V1087" s="399" t="s">
        <v>125</v>
      </c>
      <c r="W1087" s="399">
        <f t="shared" ref="W1087" si="3438">+D1087</f>
        <v>2</v>
      </c>
      <c r="X1087" s="399" t="s">
        <v>125</v>
      </c>
      <c r="Y1087" s="389">
        <f t="shared" ref="Y1087" si="3439">D1081</f>
        <v>1</v>
      </c>
      <c r="Z1087" s="400" t="s">
        <v>176</v>
      </c>
      <c r="AA1087" s="402">
        <f t="shared" ref="AA1087" si="3440">(N1087+P1087*R1087/1000)*U1087*W1087*Y1087</f>
        <v>7.7863950000000015</v>
      </c>
      <c r="AB1087" s="403"/>
    </row>
    <row r="1088" spans="1:28">
      <c r="A1088" s="384"/>
      <c r="B1088" s="385"/>
      <c r="C1088" s="393"/>
      <c r="D1088" s="398"/>
      <c r="E1088" s="388"/>
      <c r="F1088" s="388"/>
      <c r="G1088" s="388"/>
      <c r="H1088" s="395"/>
      <c r="I1088" s="388"/>
      <c r="J1088" s="399"/>
      <c r="K1088" s="400"/>
      <c r="L1088" s="399"/>
      <c r="M1088" s="399"/>
      <c r="N1088" s="399"/>
      <c r="O1088" s="399"/>
      <c r="P1088" s="389"/>
      <c r="Q1088" s="399"/>
      <c r="R1088" s="399"/>
      <c r="S1088" s="399"/>
      <c r="T1088" s="399"/>
      <c r="U1088" s="401"/>
      <c r="V1088" s="399"/>
      <c r="W1088" s="399"/>
      <c r="X1088" s="399"/>
      <c r="Y1088" s="389"/>
      <c r="Z1088" s="400"/>
      <c r="AA1088" s="402"/>
      <c r="AB1088" s="403"/>
    </row>
    <row r="1089" spans="1:28">
      <c r="A1089" s="384"/>
      <c r="B1089" s="385"/>
      <c r="C1089" s="393"/>
      <c r="D1089" s="398"/>
      <c r="E1089" s="388"/>
      <c r="F1089" s="388"/>
      <c r="G1089" s="388"/>
      <c r="H1089" s="395"/>
      <c r="I1089" s="388"/>
      <c r="J1089" s="396"/>
      <c r="K1089" s="396"/>
      <c r="L1089" s="396"/>
      <c r="M1089" s="396"/>
      <c r="N1089" s="396"/>
      <c r="O1089" s="396"/>
      <c r="P1089" s="389"/>
      <c r="Q1089" s="396"/>
      <c r="R1089" s="396"/>
      <c r="S1089" s="396"/>
      <c r="T1089" s="396"/>
      <c r="U1089" s="401"/>
      <c r="V1089" s="396"/>
      <c r="W1089" s="399"/>
      <c r="X1089" s="396"/>
      <c r="Y1089" s="389"/>
      <c r="Z1089" s="396"/>
      <c r="AA1089" s="388"/>
      <c r="AB1089" s="390"/>
    </row>
    <row r="1090" spans="1:28">
      <c r="A1090" s="384" t="str">
        <f t="shared" ref="A1090:B1090" si="3441">A1075</f>
        <v>Lantai 1</v>
      </c>
      <c r="B1090" s="385">
        <f t="shared" si="3441"/>
        <v>35</v>
      </c>
      <c r="C1090" s="393" t="s">
        <v>209</v>
      </c>
      <c r="D1090" s="398">
        <f>VLOOKUP(D1075,'Detail Balok'!$C$10:$AU$140,22,FALSE)</f>
        <v>4</v>
      </c>
      <c r="E1090" s="388" t="s">
        <v>16</v>
      </c>
      <c r="F1090" s="388">
        <f>VLOOKUP(D1075,'Detail Balok'!$C$10:$AU$140,24,FALSE)</f>
        <v>16</v>
      </c>
      <c r="G1090" s="388"/>
      <c r="H1090" s="395"/>
      <c r="I1090" s="388" t="s">
        <v>203</v>
      </c>
      <c r="J1090" s="399">
        <f t="shared" si="3341"/>
        <v>1.51875</v>
      </c>
      <c r="K1090" s="400" t="s">
        <v>204</v>
      </c>
      <c r="L1090" s="399">
        <f t="shared" ref="L1090" si="3442">MAX(VLOOKUP(F1090,N$6:P$15,3,FALSE)/1000,2/3*D1080/1000)+F$16*F1090/1000</f>
        <v>0.192</v>
      </c>
      <c r="M1090" s="399" t="s">
        <v>176</v>
      </c>
      <c r="N1090" s="399">
        <f t="shared" ref="N1090:N1092" si="3443">J1090+L1090</f>
        <v>1.71075</v>
      </c>
      <c r="O1090" s="399" t="s">
        <v>204</v>
      </c>
      <c r="P1090" s="389">
        <f t="shared" ref="P1090" si="3444">D1090-D1091</f>
        <v>0</v>
      </c>
      <c r="Q1090" s="399" t="s">
        <v>125</v>
      </c>
      <c r="R1090" s="399">
        <f t="shared" ref="R1090" si="3445">IF(P1090&gt;0,$F$18*F1090/1000,0)</f>
        <v>0</v>
      </c>
      <c r="S1090" s="399" t="s">
        <v>205</v>
      </c>
      <c r="T1090" s="399" t="s">
        <v>125</v>
      </c>
      <c r="U1090" s="401">
        <f t="shared" ref="U1090:U1092" si="3446">0.006165*F1090^2</f>
        <v>1.5782400000000001</v>
      </c>
      <c r="V1090" s="399"/>
      <c r="W1090" s="399"/>
      <c r="X1090" s="399" t="s">
        <v>125</v>
      </c>
      <c r="Y1090" s="389">
        <f t="shared" ref="Y1090" si="3447">D1081</f>
        <v>1</v>
      </c>
      <c r="Z1090" s="400" t="s">
        <v>176</v>
      </c>
      <c r="AA1090" s="402">
        <f t="shared" ref="AA1090" si="3448">IF(AA1093=0,(D1090*N1090+P1090*R1090)*U1090*Y1090,0)</f>
        <v>0</v>
      </c>
      <c r="AB1090" s="403"/>
    </row>
    <row r="1091" spans="1:28">
      <c r="A1091" s="384" t="str">
        <f t="shared" ref="A1091:B1091" si="3449">A1075</f>
        <v>Lantai 1</v>
      </c>
      <c r="B1091" s="385">
        <f t="shared" si="3449"/>
        <v>35</v>
      </c>
      <c r="C1091" s="393" t="s">
        <v>210</v>
      </c>
      <c r="D1091" s="398">
        <f>VLOOKUP(D1075,'Detail Balok'!$C$10:$AU$140,25,FALSE)</f>
        <v>4</v>
      </c>
      <c r="E1091" s="388" t="s">
        <v>16</v>
      </c>
      <c r="F1091" s="388">
        <f>VLOOKUP(D1075,'Detail Balok'!$C$10:$AU$140,27,FALSE)</f>
        <v>16</v>
      </c>
      <c r="G1091" s="388"/>
      <c r="H1091" s="395"/>
      <c r="I1091" s="388" t="s">
        <v>203</v>
      </c>
      <c r="J1091" s="399">
        <f t="shared" si="3341"/>
        <v>3.0375000000000001</v>
      </c>
      <c r="K1091" s="400" t="s">
        <v>204</v>
      </c>
      <c r="L1091" s="399"/>
      <c r="M1091" s="399" t="s">
        <v>176</v>
      </c>
      <c r="N1091" s="399">
        <f t="shared" si="3443"/>
        <v>3.0375000000000001</v>
      </c>
      <c r="O1091" s="399" t="s">
        <v>204</v>
      </c>
      <c r="P1091" s="389">
        <f t="shared" ref="P1091" si="3450">MAX(D1091-D1090,D1091-D1092)</f>
        <v>0</v>
      </c>
      <c r="Q1091" s="399" t="s">
        <v>125</v>
      </c>
      <c r="R1091" s="399">
        <f t="shared" ref="R1091" si="3451">IF(P1091&gt;0,2*(1-2*$F$19-1/2)*D1078/1000,0)</f>
        <v>0</v>
      </c>
      <c r="S1091" s="399" t="s">
        <v>205</v>
      </c>
      <c r="T1091" s="399" t="s">
        <v>125</v>
      </c>
      <c r="U1091" s="401">
        <f t="shared" si="3446"/>
        <v>1.5782400000000001</v>
      </c>
      <c r="V1091" s="399"/>
      <c r="W1091" s="399"/>
      <c r="X1091" s="399" t="s">
        <v>125</v>
      </c>
      <c r="Y1091" s="389">
        <f t="shared" ref="Y1091" si="3452">D1081</f>
        <v>1</v>
      </c>
      <c r="Z1091" s="400" t="s">
        <v>176</v>
      </c>
      <c r="AA1091" s="402">
        <f t="shared" ref="AA1091" si="3453">IF(AA1093=0,(D1091*N1091+P1091*R1091)*U1091*Y1091,0)</f>
        <v>0</v>
      </c>
      <c r="AB1091" s="403"/>
    </row>
    <row r="1092" spans="1:28">
      <c r="A1092" s="384" t="str">
        <f t="shared" ref="A1092:B1092" si="3454">A1075</f>
        <v>Lantai 1</v>
      </c>
      <c r="B1092" s="385">
        <f t="shared" si="3454"/>
        <v>35</v>
      </c>
      <c r="C1092" s="393" t="s">
        <v>209</v>
      </c>
      <c r="D1092" s="398">
        <f>VLOOKUP(D1075,'Detail Balok'!$C$10:$AU$140,28,FALSE)</f>
        <v>4</v>
      </c>
      <c r="E1092" s="388" t="s">
        <v>16</v>
      </c>
      <c r="F1092" s="388">
        <f>VLOOKUP(D1075,'Detail Balok'!$C$10:$AU$140,30,FALSE)</f>
        <v>16</v>
      </c>
      <c r="G1092" s="388"/>
      <c r="H1092" s="395"/>
      <c r="I1092" s="388" t="s">
        <v>203</v>
      </c>
      <c r="J1092" s="399">
        <f t="shared" si="3341"/>
        <v>1.51875</v>
      </c>
      <c r="K1092" s="400" t="s">
        <v>204</v>
      </c>
      <c r="L1092" s="399">
        <f t="shared" ref="L1092" si="3455">MAX(VLOOKUP(F1092,N$6:P$15,3,FALSE)/1000,2/3*D1080/1000)+F$16*F1092/1000</f>
        <v>0.192</v>
      </c>
      <c r="M1092" s="399" t="s">
        <v>176</v>
      </c>
      <c r="N1092" s="399">
        <f t="shared" si="3443"/>
        <v>1.71075</v>
      </c>
      <c r="O1092" s="399" t="s">
        <v>204</v>
      </c>
      <c r="P1092" s="389">
        <f t="shared" ref="P1092" si="3456">D1092-D1091</f>
        <v>0</v>
      </c>
      <c r="Q1092" s="399" t="s">
        <v>125</v>
      </c>
      <c r="R1092" s="399">
        <f t="shared" ref="R1092" si="3457">IF(P1092&gt;0,$F$18*F1092/1000,0)</f>
        <v>0</v>
      </c>
      <c r="S1092" s="399" t="s">
        <v>205</v>
      </c>
      <c r="T1092" s="399" t="s">
        <v>125</v>
      </c>
      <c r="U1092" s="401">
        <f t="shared" si="3446"/>
        <v>1.5782400000000001</v>
      </c>
      <c r="V1092" s="399"/>
      <c r="W1092" s="399"/>
      <c r="X1092" s="399" t="s">
        <v>125</v>
      </c>
      <c r="Y1092" s="389">
        <f t="shared" ref="Y1092" si="3458">D1081</f>
        <v>1</v>
      </c>
      <c r="Z1092" s="400" t="s">
        <v>176</v>
      </c>
      <c r="AA1092" s="402">
        <f t="shared" ref="AA1092" si="3459">IF(AA1093=0,(D1092*N1092+P1092*R1092)*U1092*Y1092,0)</f>
        <v>0</v>
      </c>
      <c r="AB1092" s="403"/>
    </row>
    <row r="1093" spans="1:28">
      <c r="A1093" s="384" t="str">
        <f t="shared" ref="A1093:B1093" si="3460">A1075</f>
        <v>Lantai 1</v>
      </c>
      <c r="B1093" s="385">
        <f t="shared" si="3460"/>
        <v>35</v>
      </c>
      <c r="C1093" s="393"/>
      <c r="D1093" s="398">
        <f t="shared" si="3361"/>
        <v>4</v>
      </c>
      <c r="E1093" s="388" t="s">
        <v>16</v>
      </c>
      <c r="F1093" s="388">
        <f t="shared" si="3362"/>
        <v>16</v>
      </c>
      <c r="G1093" s="388"/>
      <c r="H1093" s="395"/>
      <c r="I1093" s="388"/>
      <c r="J1093" s="396"/>
      <c r="K1093" s="396"/>
      <c r="L1093" s="404" t="s">
        <v>207</v>
      </c>
      <c r="M1093" s="399" t="s">
        <v>176</v>
      </c>
      <c r="N1093" s="399">
        <f t="shared" ref="N1093" si="3461">IF(AND(D1090=D1091,D1090=D1092,D1091=D1092,F1090=F1091,F1090=F1092,F1091=F1092),SUM(N1090:N1092),0)</f>
        <v>6.4590000000000005</v>
      </c>
      <c r="O1093" s="399" t="s">
        <v>204</v>
      </c>
      <c r="P1093" s="389">
        <f t="shared" ref="P1093" si="3462">IF(N1093&gt;12,ROUNDDOWN(N1093/12,0),0)</f>
        <v>0</v>
      </c>
      <c r="Q1093" s="399" t="s">
        <v>125</v>
      </c>
      <c r="R1093" s="399">
        <f t="shared" ref="R1093" si="3463">IF(P1093&gt;0,MAX(VLOOKUP(F1093,$D$6:$G$15,3,FALSE),600),0)/1000</f>
        <v>0</v>
      </c>
      <c r="S1093" s="396"/>
      <c r="T1093" s="396" t="s">
        <v>125</v>
      </c>
      <c r="U1093" s="401">
        <f t="shared" si="3366"/>
        <v>1.5782400000000001</v>
      </c>
      <c r="V1093" s="396" t="s">
        <v>125</v>
      </c>
      <c r="W1093" s="399">
        <f t="shared" ref="W1093" si="3464">D1093</f>
        <v>4</v>
      </c>
      <c r="X1093" s="399" t="s">
        <v>125</v>
      </c>
      <c r="Y1093" s="389">
        <f t="shared" si="3368"/>
        <v>1</v>
      </c>
      <c r="Z1093" s="400" t="s">
        <v>176</v>
      </c>
      <c r="AA1093" s="402">
        <f t="shared" ref="AA1093" si="3465">(N1093+P1093*R1093/1000)*U1093*W1093*Y1093</f>
        <v>40.775408640000002</v>
      </c>
      <c r="AB1093" s="403"/>
    </row>
    <row r="1094" spans="1:28">
      <c r="A1094" s="384"/>
      <c r="B1094" s="385"/>
      <c r="C1094" s="393"/>
      <c r="D1094" s="394"/>
      <c r="E1094" s="388"/>
      <c r="F1094" s="388"/>
      <c r="G1094" s="388"/>
      <c r="H1094" s="395"/>
      <c r="I1094" s="388"/>
      <c r="J1094" s="399"/>
      <c r="K1094" s="396"/>
      <c r="L1094" s="396"/>
      <c r="M1094" s="396"/>
      <c r="N1094" s="396"/>
      <c r="O1094" s="396"/>
      <c r="P1094" s="389"/>
      <c r="Q1094" s="396"/>
      <c r="R1094" s="396"/>
      <c r="S1094" s="396"/>
      <c r="T1094" s="396"/>
      <c r="U1094" s="401"/>
      <c r="V1094" s="396"/>
      <c r="W1094" s="388"/>
      <c r="X1094" s="396"/>
      <c r="Y1094" s="389"/>
      <c r="Z1094" s="396"/>
      <c r="AA1094" s="388"/>
      <c r="AB1094" s="390"/>
    </row>
    <row r="1095" spans="1:28">
      <c r="A1095" s="384" t="str">
        <f t="shared" ref="A1095:B1095" si="3466">A1075</f>
        <v>Lantai 1</v>
      </c>
      <c r="B1095" s="385">
        <f t="shared" si="3466"/>
        <v>35</v>
      </c>
      <c r="C1095" s="393" t="s">
        <v>211</v>
      </c>
      <c r="D1095" s="398">
        <f>VLOOKUP(D1075,'Detail Balok'!$C$10:$AU$140,31,FALSE)</f>
        <v>0</v>
      </c>
      <c r="E1095" s="388" t="s">
        <v>16</v>
      </c>
      <c r="F1095" s="388">
        <f>VLOOKUP(D1075,'Detail Balok'!$C$10:$AU$140,33,FALSE)</f>
        <v>8</v>
      </c>
      <c r="G1095" s="405" t="s">
        <v>157</v>
      </c>
      <c r="H1095" s="395">
        <f>VLOOKUP(D1075,'Detail Balok'!$C$10:$AU$140,35,FALSE)</f>
        <v>150</v>
      </c>
      <c r="I1095" s="388"/>
      <c r="J1095" s="400">
        <f t="shared" ref="J1095" si="3467">(IF(D1095=0,(2*(D1076+G1076))-(F$5*8),IF(D1095=3,(2*(D1076+G1076))-(F$5*8)+(G1076-2*F$5),IF(D1095=4,(2*(D1076+G1076))-(F$5*8)+2*(G1076-2*F$5)))))/1000</f>
        <v>1.48</v>
      </c>
      <c r="K1095" s="400" t="s">
        <v>204</v>
      </c>
      <c r="L1095" s="399">
        <f t="shared" ref="L1095:L1097" si="3468">IF(D1095=0,2*MAX(6*F1095,75),(D1095-1)*2*MAX(6*F1095,75))/1000</f>
        <v>0.15</v>
      </c>
      <c r="M1095" s="399" t="s">
        <v>176</v>
      </c>
      <c r="N1095" s="399">
        <f t="shared" ref="N1095:N1097" si="3469">J1095+L1095</f>
        <v>1.63</v>
      </c>
      <c r="O1095" s="399"/>
      <c r="P1095" s="389"/>
      <c r="Q1095" s="399"/>
      <c r="R1095" s="399"/>
      <c r="S1095" s="399"/>
      <c r="T1095" s="399" t="s">
        <v>125</v>
      </c>
      <c r="U1095" s="401">
        <f t="shared" ref="U1095:U1097" si="3470">0.006165*F1095^2</f>
        <v>0.39456000000000002</v>
      </c>
      <c r="V1095" s="399" t="s">
        <v>125</v>
      </c>
      <c r="W1095" s="399">
        <f t="shared" ref="W1095" si="3471">IF(D1078&gt;4*G1076,ROUND(MAX(D1078/4,2*G1076)/H1095,0)+1,ROUND(D1078/H1095,0)+1)</f>
        <v>11</v>
      </c>
      <c r="X1095" s="399" t="s">
        <v>125</v>
      </c>
      <c r="Y1095" s="389">
        <f t="shared" ref="Y1095" si="3472">D1081</f>
        <v>1</v>
      </c>
      <c r="Z1095" s="400" t="s">
        <v>176</v>
      </c>
      <c r="AA1095" s="402">
        <f t="shared" ref="AA1095:AA1097" si="3473">N1095*U1095*W1095*Y1095</f>
        <v>7.0744607999999998</v>
      </c>
      <c r="AB1095" s="403"/>
    </row>
    <row r="1096" spans="1:28">
      <c r="A1096" s="384" t="str">
        <f t="shared" ref="A1096:B1096" si="3474">A1075</f>
        <v>Lantai 1</v>
      </c>
      <c r="B1096" s="385">
        <f t="shared" si="3474"/>
        <v>35</v>
      </c>
      <c r="C1096" s="393" t="s">
        <v>212</v>
      </c>
      <c r="D1096" s="398">
        <f>VLOOKUP(D1075,'Detail Balok'!$C$10:$AU$140,36,FALSE)</f>
        <v>0</v>
      </c>
      <c r="E1096" s="388" t="s">
        <v>16</v>
      </c>
      <c r="F1096" s="388">
        <f>VLOOKUP(D1075,'Detail Balok'!$C$10:$AU$140,38,FALSE)</f>
        <v>8</v>
      </c>
      <c r="G1096" s="405" t="s">
        <v>157</v>
      </c>
      <c r="H1096" s="395">
        <f>VLOOKUP(D1075,'Detail Balok'!$C$10:$AU$140,40,FALSE)</f>
        <v>200</v>
      </c>
      <c r="I1096" s="388"/>
      <c r="J1096" s="400">
        <f t="shared" ref="J1096" si="3475">(IF(D1096=0,(2*(D1076+G1076))-(F$5*8),IF(D1096=3,(2*(D1076+G1076))-(F$5*8)+(G1076-2*F$5),IF(D1096=4,(2*(D1076+G1076))-(F$5*8)+2*(G1076-2*F$5)))))/1000</f>
        <v>1.48</v>
      </c>
      <c r="K1096" s="400" t="s">
        <v>204</v>
      </c>
      <c r="L1096" s="399">
        <f t="shared" si="3468"/>
        <v>0.15</v>
      </c>
      <c r="M1096" s="399" t="s">
        <v>176</v>
      </c>
      <c r="N1096" s="399">
        <f t="shared" si="3469"/>
        <v>1.63</v>
      </c>
      <c r="O1096" s="399"/>
      <c r="P1096" s="389"/>
      <c r="Q1096" s="399"/>
      <c r="R1096" s="399"/>
      <c r="S1096" s="399"/>
      <c r="T1096" s="399" t="s">
        <v>125</v>
      </c>
      <c r="U1096" s="401">
        <f t="shared" si="3470"/>
        <v>0.39456000000000002</v>
      </c>
      <c r="V1096" s="399" t="s">
        <v>125</v>
      </c>
      <c r="W1096" s="399">
        <f t="shared" ref="W1096" si="3476">IF(D1078-MAX(D1078/4,2*G1076)*2&gt;0,ROUND((D1078-MAX(D1078/4,2*G1076)*2)/H1096,0),0)</f>
        <v>15</v>
      </c>
      <c r="X1096" s="399" t="s">
        <v>125</v>
      </c>
      <c r="Y1096" s="389">
        <f t="shared" ref="Y1096" si="3477">D1081</f>
        <v>1</v>
      </c>
      <c r="Z1096" s="400" t="s">
        <v>176</v>
      </c>
      <c r="AA1096" s="402">
        <f t="shared" si="3473"/>
        <v>9.6469919999999991</v>
      </c>
      <c r="AB1096" s="403"/>
    </row>
    <row r="1097" spans="1:28">
      <c r="A1097" s="384" t="str">
        <f t="shared" ref="A1097:B1097" si="3478">A1075</f>
        <v>Lantai 1</v>
      </c>
      <c r="B1097" s="385">
        <f t="shared" si="3478"/>
        <v>35</v>
      </c>
      <c r="C1097" s="393" t="s">
        <v>211</v>
      </c>
      <c r="D1097" s="398">
        <f>VLOOKUP(D1075,'Detail Balok'!$C$10:$AU$140,41,FALSE)</f>
        <v>0</v>
      </c>
      <c r="E1097" s="388" t="s">
        <v>16</v>
      </c>
      <c r="F1097" s="388">
        <f>VLOOKUP(D1075,'Detail Balok'!$C$10:$AU$140,43,FALSE)</f>
        <v>8</v>
      </c>
      <c r="G1097" s="405" t="s">
        <v>157</v>
      </c>
      <c r="H1097" s="395">
        <f>VLOOKUP(D1075,'Detail Balok'!$C$10:$AU$140,45,FALSE)</f>
        <v>150</v>
      </c>
      <c r="I1097" s="388"/>
      <c r="J1097" s="400">
        <f t="shared" ref="J1097" si="3479">(IF(D1097=0,(2*(D1076+G1076))-(F$5*8),IF(D1097=3,(2*(D1076+G1076))-(F$5*8)+(G1076-2*F$5),IF(D1097=4,(2*(D1076+G1076))-(F$5*8)+2*(G1076-2*F$5)))))/1000</f>
        <v>1.48</v>
      </c>
      <c r="K1097" s="400" t="s">
        <v>204</v>
      </c>
      <c r="L1097" s="399">
        <f t="shared" si="3468"/>
        <v>0.15</v>
      </c>
      <c r="M1097" s="399" t="s">
        <v>176</v>
      </c>
      <c r="N1097" s="399">
        <f t="shared" si="3469"/>
        <v>1.63</v>
      </c>
      <c r="O1097" s="399"/>
      <c r="P1097" s="389"/>
      <c r="Q1097" s="399"/>
      <c r="R1097" s="399"/>
      <c r="S1097" s="399"/>
      <c r="T1097" s="399" t="s">
        <v>125</v>
      </c>
      <c r="U1097" s="401">
        <f t="shared" si="3470"/>
        <v>0.39456000000000002</v>
      </c>
      <c r="V1097" s="399" t="s">
        <v>125</v>
      </c>
      <c r="W1097" s="399">
        <f t="shared" ref="W1097" si="3480">IF(D1078&gt;4*G1076,ROUND(MAX(D1078/4,2*G1076)/H1097,0)+1,0)</f>
        <v>11</v>
      </c>
      <c r="X1097" s="399" t="s">
        <v>125</v>
      </c>
      <c r="Y1097" s="389">
        <f t="shared" ref="Y1097" si="3481">D1081</f>
        <v>1</v>
      </c>
      <c r="Z1097" s="400" t="s">
        <v>176</v>
      </c>
      <c r="AA1097" s="402">
        <f t="shared" si="3473"/>
        <v>7.0744607999999998</v>
      </c>
      <c r="AB1097" s="403"/>
    </row>
    <row r="1098" spans="1:28">
      <c r="A1098" s="384"/>
      <c r="B1098" s="385"/>
      <c r="C1098" s="393"/>
      <c r="D1098" s="394"/>
      <c r="E1098" s="388"/>
      <c r="F1098" s="388"/>
      <c r="G1098" s="388"/>
      <c r="H1098" s="395"/>
      <c r="I1098" s="388"/>
      <c r="J1098" s="399"/>
      <c r="K1098" s="396"/>
      <c r="L1098" s="396"/>
      <c r="M1098" s="396"/>
      <c r="N1098" s="396"/>
      <c r="O1098" s="396"/>
      <c r="P1098" s="389"/>
      <c r="Q1098" s="396"/>
      <c r="R1098" s="396"/>
      <c r="S1098" s="396"/>
      <c r="T1098" s="396"/>
      <c r="U1098" s="401"/>
      <c r="V1098" s="396"/>
      <c r="W1098" s="388"/>
      <c r="X1098" s="396"/>
      <c r="Y1098" s="389"/>
      <c r="Z1098" s="396"/>
      <c r="AA1098" s="388"/>
      <c r="AB1098" s="390"/>
    </row>
    <row r="1099" spans="1:28">
      <c r="A1099" s="384" t="str">
        <f t="shared" ref="A1099:B1099" si="3482">A1075</f>
        <v>Lantai 1</v>
      </c>
      <c r="B1099" s="385">
        <f t="shared" si="3482"/>
        <v>35</v>
      </c>
      <c r="C1099" s="393" t="s">
        <v>213</v>
      </c>
      <c r="D1099" s="398">
        <f>VLOOKUP(D1075,'Detail Balok'!$C$10:$BJ$140,46,FALSE)</f>
        <v>0</v>
      </c>
      <c r="E1099" s="388" t="s">
        <v>16</v>
      </c>
      <c r="F1099" s="388">
        <f>VLOOKUP(D1075,'Detail Balok'!$C$10:$BJ$140,48,FALSE)</f>
        <v>0</v>
      </c>
      <c r="G1099" s="405" t="s">
        <v>157</v>
      </c>
      <c r="H1099" s="395">
        <f>VLOOKUP(D1075,'Detail Balok'!$C$10:$BJ$140,50,FALSE)</f>
        <v>100</v>
      </c>
      <c r="I1099" s="388"/>
      <c r="J1099" s="399">
        <f t="shared" ref="J1099" si="3483">(D1076-2*F$5)/1000</f>
        <v>0.22</v>
      </c>
      <c r="K1099" s="400" t="s">
        <v>204</v>
      </c>
      <c r="L1099" s="399">
        <f t="shared" ref="L1099:L1101" si="3484">IF(D1099=0,2*MAX(6*F1099,75),(D1099-1)*2*MAX(6*F1099,75))/1000</f>
        <v>0.15</v>
      </c>
      <c r="M1099" s="399" t="s">
        <v>176</v>
      </c>
      <c r="N1099" s="399">
        <f t="shared" ref="N1099:N1101" si="3485">J1099+L1099</f>
        <v>0.37</v>
      </c>
      <c r="O1099" s="399"/>
      <c r="P1099" s="399"/>
      <c r="Q1099" s="399"/>
      <c r="R1099" s="399"/>
      <c r="S1099" s="399"/>
      <c r="T1099" s="399" t="s">
        <v>125</v>
      </c>
      <c r="U1099" s="401">
        <f t="shared" ref="U1099:U1101" si="3486">0.006165*F1099^2</f>
        <v>0</v>
      </c>
      <c r="V1099" s="399" t="s">
        <v>125</v>
      </c>
      <c r="W1099" s="399">
        <f t="shared" si="3391"/>
        <v>11</v>
      </c>
      <c r="X1099" s="399" t="s">
        <v>125</v>
      </c>
      <c r="Y1099" s="389">
        <f t="shared" ref="Y1099" si="3487">D1085</f>
        <v>4</v>
      </c>
      <c r="Z1099" s="400" t="s">
        <v>176</v>
      </c>
      <c r="AA1099" s="402">
        <f t="shared" ref="AA1099:AA1101" si="3488">N1099*U1099*W1099*Y1099</f>
        <v>0</v>
      </c>
      <c r="AB1099" s="403"/>
    </row>
    <row r="1100" spans="1:28">
      <c r="A1100" s="384" t="str">
        <f t="shared" ref="A1100:B1100" si="3489">A1075</f>
        <v>Lantai 1</v>
      </c>
      <c r="B1100" s="385">
        <f t="shared" si="3489"/>
        <v>35</v>
      </c>
      <c r="C1100" s="393" t="s">
        <v>214</v>
      </c>
      <c r="D1100" s="398">
        <f>VLOOKUP(D1075,'Detail Balok'!$C$10:$BJ$140,51,FALSE)</f>
        <v>0</v>
      </c>
      <c r="E1100" s="388" t="s">
        <v>16</v>
      </c>
      <c r="F1100" s="388">
        <f>VLOOKUP(D1075,'Detail Balok'!$C$10:$BJ$140,53,FALSE)</f>
        <v>0</v>
      </c>
      <c r="G1100" s="405" t="s">
        <v>157</v>
      </c>
      <c r="H1100" s="395">
        <f>VLOOKUP(D1075,'Detail Balok'!$C$10:$BJ$140,55,FALSE)</f>
        <v>100</v>
      </c>
      <c r="I1100" s="388"/>
      <c r="J1100" s="399">
        <f t="shared" ref="J1100" si="3490">(D1076-2*F$5)/1000</f>
        <v>0.22</v>
      </c>
      <c r="K1100" s="400" t="s">
        <v>204</v>
      </c>
      <c r="L1100" s="399">
        <f t="shared" si="3484"/>
        <v>0.15</v>
      </c>
      <c r="M1100" s="399" t="s">
        <v>176</v>
      </c>
      <c r="N1100" s="399">
        <f t="shared" si="3485"/>
        <v>0.37</v>
      </c>
      <c r="O1100" s="399"/>
      <c r="P1100" s="399"/>
      <c r="Q1100" s="399"/>
      <c r="R1100" s="399"/>
      <c r="S1100" s="399"/>
      <c r="T1100" s="399" t="s">
        <v>125</v>
      </c>
      <c r="U1100" s="401">
        <f t="shared" si="3486"/>
        <v>0</v>
      </c>
      <c r="V1100" s="399" t="s">
        <v>125</v>
      </c>
      <c r="W1100" s="399">
        <f t="shared" si="3391"/>
        <v>15</v>
      </c>
      <c r="X1100" s="399" t="s">
        <v>125</v>
      </c>
      <c r="Y1100" s="389">
        <f t="shared" ref="Y1100" si="3491">D1085</f>
        <v>4</v>
      </c>
      <c r="Z1100" s="400" t="s">
        <v>176</v>
      </c>
      <c r="AA1100" s="402">
        <f t="shared" si="3488"/>
        <v>0</v>
      </c>
      <c r="AB1100" s="403"/>
    </row>
    <row r="1101" spans="1:28">
      <c r="A1101" s="384" t="str">
        <f t="shared" ref="A1101:B1101" si="3492">A1075</f>
        <v>Lantai 1</v>
      </c>
      <c r="B1101" s="385">
        <f t="shared" si="3492"/>
        <v>35</v>
      </c>
      <c r="C1101" s="393" t="s">
        <v>213</v>
      </c>
      <c r="D1101" s="398">
        <f>VLOOKUP(D1075,'Detail Balok'!$C$10:$BJ$140,56,FALSE)</f>
        <v>0</v>
      </c>
      <c r="E1101" s="388" t="s">
        <v>16</v>
      </c>
      <c r="F1101" s="388">
        <f>VLOOKUP(D1075,'Detail Balok'!$C$10:$BJ$140,58,FALSE)</f>
        <v>0</v>
      </c>
      <c r="G1101" s="405" t="s">
        <v>157</v>
      </c>
      <c r="H1101" s="395">
        <f>VLOOKUP(D1075,'Detail Balok'!$C$10:$BJ$140,60,FALSE)</f>
        <v>100</v>
      </c>
      <c r="I1101" s="388"/>
      <c r="J1101" s="399">
        <f t="shared" ref="J1101" si="3493">(D1076-2*F$5)/1000</f>
        <v>0.22</v>
      </c>
      <c r="K1101" s="400" t="s">
        <v>204</v>
      </c>
      <c r="L1101" s="399">
        <f t="shared" si="3484"/>
        <v>0.15</v>
      </c>
      <c r="M1101" s="399" t="s">
        <v>176</v>
      </c>
      <c r="N1101" s="399">
        <f t="shared" si="3485"/>
        <v>0.37</v>
      </c>
      <c r="O1101" s="399"/>
      <c r="P1101" s="399"/>
      <c r="Q1101" s="399"/>
      <c r="R1101" s="399"/>
      <c r="S1101" s="399"/>
      <c r="T1101" s="399" t="s">
        <v>125</v>
      </c>
      <c r="U1101" s="401">
        <f t="shared" si="3486"/>
        <v>0</v>
      </c>
      <c r="V1101" s="399" t="s">
        <v>125</v>
      </c>
      <c r="W1101" s="399">
        <f t="shared" si="3391"/>
        <v>11</v>
      </c>
      <c r="X1101" s="399" t="s">
        <v>125</v>
      </c>
      <c r="Y1101" s="389">
        <f t="shared" ref="Y1101" si="3494">D1085</f>
        <v>4</v>
      </c>
      <c r="Z1101" s="400" t="s">
        <v>176</v>
      </c>
      <c r="AA1101" s="402">
        <f t="shared" si="3488"/>
        <v>0</v>
      </c>
      <c r="AB1101" s="403"/>
    </row>
    <row r="1102" spans="1:28">
      <c r="A1102" s="391"/>
      <c r="B1102" s="392"/>
      <c r="C1102" s="392"/>
      <c r="D1102" s="394"/>
      <c r="E1102" s="388"/>
      <c r="F1102" s="388"/>
      <c r="G1102" s="388"/>
      <c r="H1102" s="395"/>
      <c r="I1102" s="388"/>
      <c r="J1102" s="402"/>
      <c r="K1102" s="388"/>
      <c r="L1102" s="388"/>
      <c r="M1102" s="388"/>
      <c r="N1102" s="388"/>
      <c r="O1102" s="388"/>
      <c r="P1102" s="388"/>
      <c r="Q1102" s="388"/>
      <c r="R1102" s="388"/>
      <c r="S1102" s="388"/>
      <c r="T1102" s="388"/>
      <c r="U1102" s="388"/>
      <c r="V1102" s="388"/>
      <c r="W1102" s="388"/>
      <c r="X1102" s="388"/>
      <c r="Y1102" s="389"/>
      <c r="Z1102" s="388"/>
      <c r="AA1102" s="402"/>
      <c r="AB1102" s="403"/>
    </row>
    <row r="1103" spans="1:28" ht="15.75" thickBot="1">
      <c r="A1103" s="406"/>
      <c r="B1103" s="407"/>
      <c r="C1103" s="407"/>
      <c r="D1103" s="408"/>
      <c r="E1103" s="409"/>
      <c r="F1103" s="409"/>
      <c r="G1103" s="409"/>
      <c r="H1103" s="410"/>
      <c r="I1103" s="409"/>
      <c r="J1103" s="409"/>
      <c r="K1103" s="409"/>
      <c r="L1103" s="409"/>
      <c r="M1103" s="409"/>
      <c r="N1103" s="409"/>
      <c r="O1103" s="409"/>
      <c r="P1103" s="409"/>
      <c r="Q1103" s="409"/>
      <c r="R1103" s="409"/>
      <c r="S1103" s="409"/>
      <c r="T1103" s="409"/>
      <c r="U1103" s="409"/>
      <c r="V1103" s="409"/>
      <c r="W1103" s="409"/>
      <c r="X1103" s="409"/>
      <c r="Y1103" s="411"/>
      <c r="Z1103" s="409"/>
      <c r="AA1103" s="412"/>
      <c r="AB1103" s="413"/>
    </row>
    <row r="1104" spans="1:28">
      <c r="A1104" s="377"/>
      <c r="B1104" s="378"/>
      <c r="C1104" s="378"/>
      <c r="D1104" s="379"/>
      <c r="E1104" s="380"/>
      <c r="F1104" s="380"/>
      <c r="G1104" s="380"/>
      <c r="H1104" s="381"/>
      <c r="I1104" s="380"/>
      <c r="J1104" s="380"/>
      <c r="K1104" s="380"/>
      <c r="L1104" s="380"/>
      <c r="M1104" s="380"/>
      <c r="N1104" s="380"/>
      <c r="O1104" s="380"/>
      <c r="P1104" s="380"/>
      <c r="Q1104" s="380"/>
      <c r="R1104" s="380"/>
      <c r="S1104" s="380"/>
      <c r="T1104" s="380"/>
      <c r="U1104" s="380"/>
      <c r="V1104" s="380"/>
      <c r="W1104" s="380"/>
      <c r="X1104" s="380"/>
      <c r="Y1104" s="382"/>
      <c r="Z1104" s="380"/>
      <c r="AA1104" s="380"/>
      <c r="AB1104" s="383"/>
    </row>
    <row r="1105" spans="1:28">
      <c r="A1105" s="384" t="str">
        <f t="shared" si="3400"/>
        <v>Lantai 1</v>
      </c>
      <c r="B1105" s="385">
        <f t="shared" si="3401"/>
        <v>36</v>
      </c>
      <c r="C1105" s="386" t="str">
        <f t="shared" ref="C1105" si="3495">CONCATENATE(A1105," no. ",B1105)</f>
        <v>Lantai 1 no. 36</v>
      </c>
      <c r="D1105" s="2562" t="str">
        <f>VLOOKUP(C1105,'Data Panjang Balok'!$C$9:$N$254,2,FALSE)</f>
        <v>S24-1</v>
      </c>
      <c r="E1105" s="2576"/>
      <c r="F1105" s="2576"/>
      <c r="G1105" s="2576"/>
      <c r="H1105" s="2577"/>
      <c r="I1105" s="387"/>
      <c r="J1105" s="388"/>
      <c r="K1105" s="388"/>
      <c r="L1105" s="388"/>
      <c r="M1105" s="388"/>
      <c r="N1105" s="388"/>
      <c r="O1105" s="388"/>
      <c r="P1105" s="388"/>
      <c r="Q1105" s="388"/>
      <c r="R1105" s="388"/>
      <c r="S1105" s="388"/>
      <c r="T1105" s="388"/>
      <c r="U1105" s="388"/>
      <c r="V1105" s="388"/>
      <c r="W1105" s="388"/>
      <c r="X1105" s="388"/>
      <c r="Y1105" s="389"/>
      <c r="Z1105" s="388"/>
      <c r="AA1105" s="388"/>
      <c r="AB1105" s="390"/>
    </row>
    <row r="1106" spans="1:28">
      <c r="A1106" s="391"/>
      <c r="B1106" s="392"/>
      <c r="C1106" s="393" t="s">
        <v>118</v>
      </c>
      <c r="D1106" s="2578">
        <f>VLOOKUP(D1105,'Detail Balok'!$C$10:$AU$140,2,FALSE)</f>
        <v>200</v>
      </c>
      <c r="E1106" s="2579"/>
      <c r="F1106" s="388" t="s">
        <v>125</v>
      </c>
      <c r="G1106" s="2579">
        <f>VLOOKUP(D1105,'Detail Balok'!$C$10:$AU$140,3,FALSE)</f>
        <v>400</v>
      </c>
      <c r="H1106" s="2580"/>
      <c r="I1106" s="388"/>
      <c r="J1106" s="396"/>
      <c r="K1106" s="396"/>
      <c r="L1106" s="396"/>
      <c r="M1106" s="396"/>
      <c r="N1106" s="396"/>
      <c r="O1106" s="396"/>
      <c r="P1106" s="396"/>
      <c r="Q1106" s="396"/>
      <c r="R1106" s="396"/>
      <c r="S1106" s="396"/>
      <c r="T1106" s="396"/>
      <c r="U1106" s="388"/>
      <c r="V1106" s="396"/>
      <c r="W1106" s="388"/>
      <c r="X1106" s="396"/>
      <c r="Y1106" s="389"/>
      <c r="Z1106" s="396"/>
      <c r="AA1106" s="388"/>
      <c r="AB1106" s="390"/>
    </row>
    <row r="1107" spans="1:28">
      <c r="A1107" s="391"/>
      <c r="B1107" s="392"/>
      <c r="C1107" s="393" t="s">
        <v>198</v>
      </c>
      <c r="D1107" s="2562">
        <f>VLOOKUP(C1105,'Data Panjang Balok'!$C$9:$N$254,4,FALSE)</f>
        <v>5370</v>
      </c>
      <c r="E1107" s="2563"/>
      <c r="F1107" s="2563"/>
      <c r="G1107" s="2563"/>
      <c r="H1107" s="2564"/>
      <c r="I1107" s="397"/>
      <c r="J1107" s="396"/>
      <c r="K1107" s="396"/>
      <c r="L1107" s="396"/>
      <c r="M1107" s="396"/>
      <c r="N1107" s="396"/>
      <c r="O1107" s="396"/>
      <c r="P1107" s="396"/>
      <c r="Q1107" s="396"/>
      <c r="R1107" s="396"/>
      <c r="S1107" s="396"/>
      <c r="T1107" s="396"/>
      <c r="U1107" s="388"/>
      <c r="V1107" s="396"/>
      <c r="W1107" s="388"/>
      <c r="X1107" s="396"/>
      <c r="Y1107" s="389"/>
      <c r="Z1107" s="396"/>
      <c r="AA1107" s="388"/>
      <c r="AB1107" s="390"/>
    </row>
    <row r="1108" spans="1:28">
      <c r="A1108" s="391"/>
      <c r="B1108" s="392"/>
      <c r="C1108" s="393" t="s">
        <v>199</v>
      </c>
      <c r="D1108" s="2562">
        <f>VLOOKUP(C1105,'Data Panjang Balok'!$C$9:$N$254,7,FALSE)</f>
        <v>5370</v>
      </c>
      <c r="E1108" s="2563"/>
      <c r="F1108" s="2563"/>
      <c r="G1108" s="2563"/>
      <c r="H1108" s="2564"/>
      <c r="I1108" s="397"/>
      <c r="J1108" s="396"/>
      <c r="K1108" s="396"/>
      <c r="L1108" s="396"/>
      <c r="M1108" s="396"/>
      <c r="N1108" s="396"/>
      <c r="O1108" s="396"/>
      <c r="P1108" s="396"/>
      <c r="Q1108" s="396"/>
      <c r="R1108" s="396"/>
      <c r="S1108" s="396"/>
      <c r="T1108" s="396"/>
      <c r="U1108" s="388"/>
      <c r="V1108" s="396"/>
      <c r="W1108" s="388"/>
      <c r="X1108" s="396"/>
      <c r="Y1108" s="389"/>
      <c r="Z1108" s="396"/>
      <c r="AA1108" s="388"/>
      <c r="AB1108" s="390"/>
    </row>
    <row r="1109" spans="1:28">
      <c r="A1109" s="391"/>
      <c r="B1109" s="392"/>
      <c r="C1109" s="393" t="s">
        <v>200</v>
      </c>
      <c r="D1109" s="2562">
        <f>VLOOKUP(C1105,'Data Panjang Balok'!$C$9:$N$254,9,FALSE)</f>
        <v>0</v>
      </c>
      <c r="E1109" s="2563"/>
      <c r="F1109" s="2563"/>
      <c r="G1109" s="2563"/>
      <c r="H1109" s="2564"/>
      <c r="I1109" s="397"/>
      <c r="J1109" s="396"/>
      <c r="K1109" s="396"/>
      <c r="L1109" s="396"/>
      <c r="M1109" s="396"/>
      <c r="N1109" s="396"/>
      <c r="O1109" s="396"/>
      <c r="P1109" s="396"/>
      <c r="Q1109" s="396"/>
      <c r="R1109" s="396"/>
      <c r="S1109" s="396"/>
      <c r="T1109" s="396"/>
      <c r="U1109" s="388"/>
      <c r="V1109" s="396"/>
      <c r="W1109" s="388"/>
      <c r="X1109" s="396"/>
      <c r="Y1109" s="389"/>
      <c r="Z1109" s="396"/>
      <c r="AA1109" s="388"/>
      <c r="AB1109" s="390"/>
    </row>
    <row r="1110" spans="1:28">
      <c r="A1110" s="391"/>
      <c r="B1110" s="392"/>
      <c r="C1110" s="393" t="s">
        <v>201</v>
      </c>
      <c r="D1110" s="2562">
        <f>VLOOKUP(C1105,'Data Panjang Balok'!$C$9:$N$254,10,FALSE)</f>
        <v>0</v>
      </c>
      <c r="E1110" s="2563"/>
      <c r="F1110" s="2563"/>
      <c r="G1110" s="2563"/>
      <c r="H1110" s="2564"/>
      <c r="I1110" s="397"/>
      <c r="J1110" s="396"/>
      <c r="K1110" s="396"/>
      <c r="L1110" s="396"/>
      <c r="M1110" s="396"/>
      <c r="N1110" s="396"/>
      <c r="O1110" s="396"/>
      <c r="P1110" s="396"/>
      <c r="Q1110" s="396"/>
      <c r="R1110" s="396"/>
      <c r="S1110" s="396"/>
      <c r="T1110" s="396"/>
      <c r="U1110" s="388"/>
      <c r="V1110" s="396"/>
      <c r="W1110" s="388"/>
      <c r="X1110" s="396"/>
      <c r="Y1110" s="389"/>
      <c r="Z1110" s="396"/>
      <c r="AA1110" s="388"/>
      <c r="AB1110" s="390"/>
    </row>
    <row r="1111" spans="1:28">
      <c r="A1111" s="391"/>
      <c r="B1111" s="392"/>
      <c r="C1111" s="393" t="s">
        <v>48</v>
      </c>
      <c r="D1111" s="2562">
        <f>VLOOKUP(C1105,'Data Panjang Balok'!$C$9:$N$254,3,FALSE)</f>
        <v>1</v>
      </c>
      <c r="E1111" s="2563"/>
      <c r="F1111" s="2563"/>
      <c r="G1111" s="2563"/>
      <c r="H1111" s="2564"/>
      <c r="I1111" s="397"/>
      <c r="J1111" s="396"/>
      <c r="K1111" s="396"/>
      <c r="L1111" s="396"/>
      <c r="M1111" s="396"/>
      <c r="N1111" s="396"/>
      <c r="O1111" s="396"/>
      <c r="P1111" s="396"/>
      <c r="Q1111" s="396"/>
      <c r="R1111" s="396"/>
      <c r="S1111" s="396"/>
      <c r="T1111" s="396"/>
      <c r="U1111" s="388"/>
      <c r="V1111" s="396"/>
      <c r="W1111" s="388"/>
      <c r="X1111" s="396"/>
      <c r="Y1111" s="389"/>
      <c r="Z1111" s="396"/>
      <c r="AA1111" s="388"/>
      <c r="AB1111" s="390"/>
    </row>
    <row r="1112" spans="1:28">
      <c r="A1112" s="384" t="str">
        <f t="shared" ref="A1112:B1112" si="3496">A1105</f>
        <v>Lantai 1</v>
      </c>
      <c r="B1112" s="385">
        <f t="shared" si="3496"/>
        <v>36</v>
      </c>
      <c r="C1112" s="393" t="s">
        <v>202</v>
      </c>
      <c r="D1112" s="398">
        <f>VLOOKUP(D1105,'Detail Balok'!$C$10:$AU$140,4,FALSE)</f>
        <v>3</v>
      </c>
      <c r="E1112" s="388" t="s">
        <v>16</v>
      </c>
      <c r="F1112" s="388">
        <f>VLOOKUP(D1105,'Detail Balok'!$C$10:$AU$140,6,FALSE)</f>
        <v>13</v>
      </c>
      <c r="G1112" s="388"/>
      <c r="H1112" s="395"/>
      <c r="I1112" s="388" t="s">
        <v>203</v>
      </c>
      <c r="J1112" s="399">
        <f t="shared" ref="J1112" si="3497">+D1107/4/1000</f>
        <v>1.3425</v>
      </c>
      <c r="K1112" s="400" t="s">
        <v>204</v>
      </c>
      <c r="L1112" s="399">
        <f t="shared" ref="L1112" si="3498">MAX(VLOOKUP(F1112,N$6:P$15,3,FALSE)/1000,2/3*D1109/1000)+F$16*F1112/1000</f>
        <v>0.156</v>
      </c>
      <c r="M1112" s="399" t="s">
        <v>176</v>
      </c>
      <c r="N1112" s="399">
        <f t="shared" ref="N1112:N1114" si="3499">J1112+L1112</f>
        <v>1.4984999999999999</v>
      </c>
      <c r="O1112" s="399" t="s">
        <v>204</v>
      </c>
      <c r="P1112" s="389">
        <f t="shared" ref="P1112" si="3500">D1112-D1113</f>
        <v>0</v>
      </c>
      <c r="Q1112" s="399" t="s">
        <v>125</v>
      </c>
      <c r="R1112" s="399">
        <f t="shared" ref="R1112" si="3501">IF(P1112&gt;0,$F$18*F1112/1000,0)</f>
        <v>0</v>
      </c>
      <c r="S1112" s="399" t="s">
        <v>205</v>
      </c>
      <c r="T1112" s="399" t="s">
        <v>125</v>
      </c>
      <c r="U1112" s="401">
        <f t="shared" ref="U1112:U1114" si="3502">0.006165*F1112^2</f>
        <v>1.041885</v>
      </c>
      <c r="V1112" s="399"/>
      <c r="W1112" s="399"/>
      <c r="X1112" s="399" t="s">
        <v>125</v>
      </c>
      <c r="Y1112" s="389">
        <f t="shared" ref="Y1112" si="3503">D1111</f>
        <v>1</v>
      </c>
      <c r="Z1112" s="400" t="s">
        <v>176</v>
      </c>
      <c r="AA1112" s="402">
        <f t="shared" ref="AA1112" si="3504">IF(AA1115=0,(D1112*N1112+P1112*R1112)*U1112*Y1112,0)</f>
        <v>0</v>
      </c>
      <c r="AB1112" s="403"/>
    </row>
    <row r="1113" spans="1:28">
      <c r="A1113" s="384" t="str">
        <f t="shared" ref="A1113:B1113" si="3505">A1105</f>
        <v>Lantai 1</v>
      </c>
      <c r="B1113" s="385">
        <f t="shared" si="3505"/>
        <v>36</v>
      </c>
      <c r="C1113" s="393" t="s">
        <v>206</v>
      </c>
      <c r="D1113" s="398">
        <f>VLOOKUP(D1105,'Detail Balok'!$C$10:$AU$140,7,FALSE)</f>
        <v>3</v>
      </c>
      <c r="E1113" s="388" t="s">
        <v>16</v>
      </c>
      <c r="F1113" s="388">
        <f>VLOOKUP(D1105,'Detail Balok'!$C$10:$AU$140,9,FALSE)</f>
        <v>13</v>
      </c>
      <c r="G1113" s="388"/>
      <c r="H1113" s="395"/>
      <c r="I1113" s="388" t="s">
        <v>203</v>
      </c>
      <c r="J1113" s="399">
        <f t="shared" ref="J1113" si="3506">+D1107/2/1000</f>
        <v>2.6850000000000001</v>
      </c>
      <c r="K1113" s="400" t="s">
        <v>204</v>
      </c>
      <c r="L1113" s="399"/>
      <c r="M1113" s="399" t="s">
        <v>176</v>
      </c>
      <c r="N1113" s="399">
        <f t="shared" si="3499"/>
        <v>2.6850000000000001</v>
      </c>
      <c r="O1113" s="399" t="s">
        <v>204</v>
      </c>
      <c r="P1113" s="389">
        <f t="shared" ref="P1113" si="3507">MAX(D1113-D1112,D1113-D1114)</f>
        <v>0</v>
      </c>
      <c r="Q1113" s="399" t="s">
        <v>125</v>
      </c>
      <c r="R1113" s="399">
        <f t="shared" ref="R1113" si="3508">IF(P1113&gt;0,2*(1-2*$F$19-1/2)*D1108/1000,0)</f>
        <v>0</v>
      </c>
      <c r="S1113" s="399" t="s">
        <v>205</v>
      </c>
      <c r="T1113" s="399" t="s">
        <v>125</v>
      </c>
      <c r="U1113" s="401">
        <f t="shared" si="3502"/>
        <v>1.041885</v>
      </c>
      <c r="V1113" s="399"/>
      <c r="W1113" s="399"/>
      <c r="X1113" s="399" t="s">
        <v>125</v>
      </c>
      <c r="Y1113" s="389">
        <f t="shared" ref="Y1113" si="3509">D1111</f>
        <v>1</v>
      </c>
      <c r="Z1113" s="400" t="s">
        <v>176</v>
      </c>
      <c r="AA1113" s="402">
        <f t="shared" ref="AA1113" si="3510">IF(AA1115=0,(D1113*N1113+P1113*R1113)*U1113*Y1113,0)</f>
        <v>0</v>
      </c>
      <c r="AB1113" s="403"/>
    </row>
    <row r="1114" spans="1:28">
      <c r="A1114" s="384" t="str">
        <f t="shared" ref="A1114:B1114" si="3511">A1105</f>
        <v>Lantai 1</v>
      </c>
      <c r="B1114" s="385">
        <f t="shared" si="3511"/>
        <v>36</v>
      </c>
      <c r="C1114" s="393" t="s">
        <v>202</v>
      </c>
      <c r="D1114" s="398">
        <f>VLOOKUP(D1105,'Detail Balok'!$C$10:$AU$140,10,FALSE)</f>
        <v>3</v>
      </c>
      <c r="E1114" s="388" t="s">
        <v>16</v>
      </c>
      <c r="F1114" s="388">
        <f>VLOOKUP(D1105,'Detail Balok'!$C$10:$AU$140,12,FALSE)</f>
        <v>13</v>
      </c>
      <c r="G1114" s="388"/>
      <c r="H1114" s="395"/>
      <c r="I1114" s="388" t="s">
        <v>203</v>
      </c>
      <c r="J1114" s="399">
        <f t="shared" ref="J1114" si="3512">+D1107/4/1000</f>
        <v>1.3425</v>
      </c>
      <c r="K1114" s="400" t="s">
        <v>204</v>
      </c>
      <c r="L1114" s="399">
        <f t="shared" ref="L1114" si="3513">MAX(VLOOKUP(F1114,N$6:P$15,3,FALSE)/1000,2/3*D1109/1000)+F$16*F1114/1000</f>
        <v>0.156</v>
      </c>
      <c r="M1114" s="399" t="s">
        <v>176</v>
      </c>
      <c r="N1114" s="399">
        <f t="shared" si="3499"/>
        <v>1.4984999999999999</v>
      </c>
      <c r="O1114" s="399" t="s">
        <v>204</v>
      </c>
      <c r="P1114" s="389">
        <f t="shared" ref="P1114" si="3514">D1114-D1113</f>
        <v>0</v>
      </c>
      <c r="Q1114" s="399" t="s">
        <v>125</v>
      </c>
      <c r="R1114" s="399">
        <f t="shared" ref="R1114" si="3515">IF(P1114&gt;0,$F$18*F1114/1000,0)</f>
        <v>0</v>
      </c>
      <c r="S1114" s="399" t="s">
        <v>205</v>
      </c>
      <c r="T1114" s="399" t="s">
        <v>125</v>
      </c>
      <c r="U1114" s="401">
        <f t="shared" si="3502"/>
        <v>1.041885</v>
      </c>
      <c r="V1114" s="399"/>
      <c r="W1114" s="399"/>
      <c r="X1114" s="399" t="s">
        <v>125</v>
      </c>
      <c r="Y1114" s="389">
        <f t="shared" ref="Y1114" si="3516">D1111</f>
        <v>1</v>
      </c>
      <c r="Z1114" s="400" t="s">
        <v>176</v>
      </c>
      <c r="AA1114" s="402">
        <f t="shared" ref="AA1114" si="3517">IF(AA1115=0,(D1114*N1114+P1114*R1114)*U1114*Y1114,0)</f>
        <v>0</v>
      </c>
      <c r="AB1114" s="403"/>
    </row>
    <row r="1115" spans="1:28">
      <c r="A1115" s="384" t="str">
        <f t="shared" ref="A1115:B1115" si="3518">A1105</f>
        <v>Lantai 1</v>
      </c>
      <c r="B1115" s="385">
        <f t="shared" si="3518"/>
        <v>36</v>
      </c>
      <c r="C1115" s="393"/>
      <c r="D1115" s="398">
        <f t="shared" si="3321"/>
        <v>3</v>
      </c>
      <c r="E1115" s="388" t="s">
        <v>16</v>
      </c>
      <c r="F1115" s="388">
        <f t="shared" si="3322"/>
        <v>13</v>
      </c>
      <c r="G1115" s="388"/>
      <c r="H1115" s="395"/>
      <c r="I1115" s="388"/>
      <c r="J1115" s="396"/>
      <c r="K1115" s="396"/>
      <c r="L1115" s="404" t="s">
        <v>207</v>
      </c>
      <c r="M1115" s="399" t="s">
        <v>176</v>
      </c>
      <c r="N1115" s="399">
        <f t="shared" ref="N1115" si="3519">IF(AND(D1112=D1113,D1112=D1114,D1113=D1114,F1112=F1113,F1112=F1114,F1113=F1114),SUM(N1112:N1114),0)</f>
        <v>5.6820000000000004</v>
      </c>
      <c r="O1115" s="399" t="s">
        <v>204</v>
      </c>
      <c r="P1115" s="389">
        <f t="shared" ref="P1115" si="3520">IF(N1115&gt;12,ROUNDDOWN(N1115/12,0),0)</f>
        <v>0</v>
      </c>
      <c r="Q1115" s="399" t="s">
        <v>125</v>
      </c>
      <c r="R1115" s="399">
        <f t="shared" ref="R1115" si="3521">IF(P1115&gt;0,MAX(VLOOKUP(F1115,$D$6:$G$15,3,FALSE),600),0)/1000</f>
        <v>0</v>
      </c>
      <c r="S1115" s="396"/>
      <c r="T1115" s="396" t="s">
        <v>125</v>
      </c>
      <c r="U1115" s="401">
        <f t="shared" si="3326"/>
        <v>1.041885</v>
      </c>
      <c r="V1115" s="396" t="s">
        <v>125</v>
      </c>
      <c r="W1115" s="399">
        <f t="shared" ref="W1115" si="3522">D1115</f>
        <v>3</v>
      </c>
      <c r="X1115" s="399" t="s">
        <v>125</v>
      </c>
      <c r="Y1115" s="389">
        <f t="shared" si="3328"/>
        <v>1</v>
      </c>
      <c r="Z1115" s="400" t="s">
        <v>176</v>
      </c>
      <c r="AA1115" s="402">
        <f t="shared" ref="AA1115" si="3523">(N1115+P1115*R1115/1000)*U1115*W1115*Y1115</f>
        <v>17.759971710000002</v>
      </c>
      <c r="AB1115" s="390"/>
    </row>
    <row r="1116" spans="1:28">
      <c r="A1116" s="384"/>
      <c r="B1116" s="385"/>
      <c r="C1116" s="393"/>
      <c r="D1116" s="398"/>
      <c r="E1116" s="388"/>
      <c r="F1116" s="388"/>
      <c r="G1116" s="388"/>
      <c r="H1116" s="395"/>
      <c r="I1116" s="388"/>
      <c r="J1116" s="396"/>
      <c r="K1116" s="396"/>
      <c r="L1116" s="404"/>
      <c r="M1116" s="399"/>
      <c r="N1116" s="399"/>
      <c r="O1116" s="396"/>
      <c r="P1116" s="389"/>
      <c r="Q1116" s="396"/>
      <c r="R1116" s="396"/>
      <c r="S1116" s="396"/>
      <c r="T1116" s="396"/>
      <c r="U1116" s="401"/>
      <c r="V1116" s="396"/>
      <c r="W1116" s="399"/>
      <c r="X1116" s="396"/>
      <c r="Y1116" s="389"/>
      <c r="Z1116" s="396"/>
      <c r="AA1116" s="388"/>
      <c r="AB1116" s="390"/>
    </row>
    <row r="1117" spans="1:28">
      <c r="A1117" s="384" t="str">
        <f t="shared" ref="A1117:B1117" si="3524">A1105</f>
        <v>Lantai 1</v>
      </c>
      <c r="B1117" s="385">
        <f t="shared" si="3524"/>
        <v>36</v>
      </c>
      <c r="C1117" s="393" t="s">
        <v>208</v>
      </c>
      <c r="D1117" s="398">
        <f>VLOOKUP(D1105,'Detail Balok'!$C$10:$AU$140,13,FALSE)</f>
        <v>0</v>
      </c>
      <c r="E1117" s="388" t="s">
        <v>16</v>
      </c>
      <c r="F1117" s="388">
        <f>VLOOKUP(D1105,'Detail Balok'!$C$10:$AU$140,15,FALSE)</f>
        <v>8</v>
      </c>
      <c r="G1117" s="388"/>
      <c r="H1117" s="395"/>
      <c r="I1117" s="388"/>
      <c r="J1117" s="399">
        <f t="shared" ref="J1117" si="3525">+D1107/1000</f>
        <v>5.37</v>
      </c>
      <c r="K1117" s="400" t="s">
        <v>204</v>
      </c>
      <c r="L1117" s="399">
        <f t="shared" ref="L1117" si="3526">2*$F$16*F1117/1000</f>
        <v>0.192</v>
      </c>
      <c r="M1117" s="399" t="s">
        <v>176</v>
      </c>
      <c r="N1117" s="399">
        <f t="shared" ref="N1117" si="3527">J1117+L1117</f>
        <v>5.5620000000000003</v>
      </c>
      <c r="O1117" s="399" t="s">
        <v>204</v>
      </c>
      <c r="P1117" s="389">
        <f t="shared" ref="P1117" si="3528">IF(N1117&gt;12,ROUNDDOWN(N1117/12,0),0)</f>
        <v>0</v>
      </c>
      <c r="Q1117" s="399" t="s">
        <v>125</v>
      </c>
      <c r="R1117" s="399">
        <f t="shared" ref="R1117" si="3529">IF(P1117&gt;0,MAX(VLOOKUP(F1117,$D$6:$G$15,3,FALSE),600),0)/1000</f>
        <v>0</v>
      </c>
      <c r="S1117" s="399"/>
      <c r="T1117" s="399" t="s">
        <v>125</v>
      </c>
      <c r="U1117" s="401">
        <f t="shared" ref="U1117" si="3530">0.006165*F1117^2</f>
        <v>0.39456000000000002</v>
      </c>
      <c r="V1117" s="399" t="s">
        <v>125</v>
      </c>
      <c r="W1117" s="399">
        <f t="shared" ref="W1117" si="3531">+D1117</f>
        <v>0</v>
      </c>
      <c r="X1117" s="399" t="s">
        <v>125</v>
      </c>
      <c r="Y1117" s="389">
        <f t="shared" ref="Y1117" si="3532">D1111</f>
        <v>1</v>
      </c>
      <c r="Z1117" s="400" t="s">
        <v>176</v>
      </c>
      <c r="AA1117" s="402">
        <f t="shared" ref="AA1117" si="3533">(N1117+P1117*R1117/1000)*U1117*W1117*Y1117</f>
        <v>0</v>
      </c>
      <c r="AB1117" s="403"/>
    </row>
    <row r="1118" spans="1:28">
      <c r="A1118" s="384"/>
      <c r="B1118" s="385"/>
      <c r="C1118" s="393"/>
      <c r="D1118" s="398"/>
      <c r="E1118" s="388"/>
      <c r="F1118" s="388"/>
      <c r="G1118" s="388"/>
      <c r="H1118" s="395"/>
      <c r="I1118" s="388"/>
      <c r="J1118" s="399"/>
      <c r="K1118" s="400"/>
      <c r="L1118" s="399"/>
      <c r="M1118" s="399"/>
      <c r="N1118" s="399"/>
      <c r="O1118" s="399"/>
      <c r="P1118" s="389"/>
      <c r="Q1118" s="399"/>
      <c r="R1118" s="399"/>
      <c r="S1118" s="399"/>
      <c r="T1118" s="399"/>
      <c r="U1118" s="401"/>
      <c r="V1118" s="399"/>
      <c r="W1118" s="399"/>
      <c r="X1118" s="399"/>
      <c r="Y1118" s="389"/>
      <c r="Z1118" s="400"/>
      <c r="AA1118" s="402"/>
      <c r="AB1118" s="403"/>
    </row>
    <row r="1119" spans="1:28">
      <c r="A1119" s="384"/>
      <c r="B1119" s="385"/>
      <c r="C1119" s="393"/>
      <c r="D1119" s="398"/>
      <c r="E1119" s="388"/>
      <c r="F1119" s="388"/>
      <c r="G1119" s="388"/>
      <c r="H1119" s="395"/>
      <c r="I1119" s="388"/>
      <c r="J1119" s="396"/>
      <c r="K1119" s="396"/>
      <c r="L1119" s="396"/>
      <c r="M1119" s="396"/>
      <c r="N1119" s="396"/>
      <c r="O1119" s="396"/>
      <c r="P1119" s="389"/>
      <c r="Q1119" s="396"/>
      <c r="R1119" s="396"/>
      <c r="S1119" s="396"/>
      <c r="T1119" s="396"/>
      <c r="U1119" s="401"/>
      <c r="V1119" s="396"/>
      <c r="W1119" s="399"/>
      <c r="X1119" s="396"/>
      <c r="Y1119" s="389"/>
      <c r="Z1119" s="396"/>
      <c r="AA1119" s="388"/>
      <c r="AB1119" s="390"/>
    </row>
    <row r="1120" spans="1:28">
      <c r="A1120" s="384" t="str">
        <f t="shared" ref="A1120:B1120" si="3534">A1105</f>
        <v>Lantai 1</v>
      </c>
      <c r="B1120" s="385">
        <f t="shared" si="3534"/>
        <v>36</v>
      </c>
      <c r="C1120" s="393" t="s">
        <v>209</v>
      </c>
      <c r="D1120" s="398">
        <f>VLOOKUP(D1105,'Detail Balok'!$C$10:$AU$140,22,FALSE)</f>
        <v>3</v>
      </c>
      <c r="E1120" s="388" t="s">
        <v>16</v>
      </c>
      <c r="F1120" s="388">
        <f>VLOOKUP(D1105,'Detail Balok'!$C$10:$AU$140,24,FALSE)</f>
        <v>13</v>
      </c>
      <c r="G1120" s="388"/>
      <c r="H1120" s="395"/>
      <c r="I1120" s="388" t="s">
        <v>203</v>
      </c>
      <c r="J1120" s="399">
        <f t="shared" si="3341"/>
        <v>1.3425</v>
      </c>
      <c r="K1120" s="400" t="s">
        <v>204</v>
      </c>
      <c r="L1120" s="399">
        <f t="shared" ref="L1120" si="3535">MAX(VLOOKUP(F1120,N$6:P$15,3,FALSE)/1000,2/3*D1110/1000)+F$16*F1120/1000</f>
        <v>0.156</v>
      </c>
      <c r="M1120" s="399" t="s">
        <v>176</v>
      </c>
      <c r="N1120" s="399">
        <f t="shared" ref="N1120:N1122" si="3536">J1120+L1120</f>
        <v>1.4984999999999999</v>
      </c>
      <c r="O1120" s="399" t="s">
        <v>204</v>
      </c>
      <c r="P1120" s="389">
        <f t="shared" ref="P1120" si="3537">D1120-D1121</f>
        <v>0</v>
      </c>
      <c r="Q1120" s="399" t="s">
        <v>125</v>
      </c>
      <c r="R1120" s="399">
        <f t="shared" ref="R1120" si="3538">IF(P1120&gt;0,$F$18*F1120/1000,0)</f>
        <v>0</v>
      </c>
      <c r="S1120" s="399" t="s">
        <v>205</v>
      </c>
      <c r="T1120" s="399" t="s">
        <v>125</v>
      </c>
      <c r="U1120" s="401">
        <f t="shared" ref="U1120:U1122" si="3539">0.006165*F1120^2</f>
        <v>1.041885</v>
      </c>
      <c r="V1120" s="399"/>
      <c r="W1120" s="399"/>
      <c r="X1120" s="399" t="s">
        <v>125</v>
      </c>
      <c r="Y1120" s="389">
        <f t="shared" ref="Y1120" si="3540">D1111</f>
        <v>1</v>
      </c>
      <c r="Z1120" s="400" t="s">
        <v>176</v>
      </c>
      <c r="AA1120" s="402">
        <f t="shared" ref="AA1120" si="3541">IF(AA1123=0,(D1120*N1120+P1120*R1120)*U1120*Y1120,0)</f>
        <v>0</v>
      </c>
      <c r="AB1120" s="403"/>
    </row>
    <row r="1121" spans="1:28">
      <c r="A1121" s="384" t="str">
        <f t="shared" ref="A1121:B1121" si="3542">A1105</f>
        <v>Lantai 1</v>
      </c>
      <c r="B1121" s="385">
        <f t="shared" si="3542"/>
        <v>36</v>
      </c>
      <c r="C1121" s="393" t="s">
        <v>210</v>
      </c>
      <c r="D1121" s="398">
        <f>VLOOKUP(D1105,'Detail Balok'!$C$10:$AU$140,25,FALSE)</f>
        <v>3</v>
      </c>
      <c r="E1121" s="388" t="s">
        <v>16</v>
      </c>
      <c r="F1121" s="388">
        <f>VLOOKUP(D1105,'Detail Balok'!$C$10:$AU$140,27,FALSE)</f>
        <v>13</v>
      </c>
      <c r="G1121" s="388"/>
      <c r="H1121" s="395"/>
      <c r="I1121" s="388" t="s">
        <v>203</v>
      </c>
      <c r="J1121" s="399">
        <f t="shared" si="3341"/>
        <v>2.6850000000000001</v>
      </c>
      <c r="K1121" s="400" t="s">
        <v>204</v>
      </c>
      <c r="L1121" s="399"/>
      <c r="M1121" s="399" t="s">
        <v>176</v>
      </c>
      <c r="N1121" s="399">
        <f t="shared" si="3536"/>
        <v>2.6850000000000001</v>
      </c>
      <c r="O1121" s="399" t="s">
        <v>204</v>
      </c>
      <c r="P1121" s="389">
        <f t="shared" ref="P1121" si="3543">MAX(D1121-D1120,D1121-D1122)</f>
        <v>0</v>
      </c>
      <c r="Q1121" s="399" t="s">
        <v>125</v>
      </c>
      <c r="R1121" s="399">
        <f t="shared" ref="R1121" si="3544">IF(P1121&gt;0,2*(1-2*$F$19-1/2)*D1108/1000,0)</f>
        <v>0</v>
      </c>
      <c r="S1121" s="399" t="s">
        <v>205</v>
      </c>
      <c r="T1121" s="399" t="s">
        <v>125</v>
      </c>
      <c r="U1121" s="401">
        <f t="shared" si="3539"/>
        <v>1.041885</v>
      </c>
      <c r="V1121" s="399"/>
      <c r="W1121" s="399"/>
      <c r="X1121" s="399" t="s">
        <v>125</v>
      </c>
      <c r="Y1121" s="389">
        <f t="shared" ref="Y1121" si="3545">D1111</f>
        <v>1</v>
      </c>
      <c r="Z1121" s="400" t="s">
        <v>176</v>
      </c>
      <c r="AA1121" s="402">
        <f t="shared" ref="AA1121" si="3546">IF(AA1123=0,(D1121*N1121+P1121*R1121)*U1121*Y1121,0)</f>
        <v>0</v>
      </c>
      <c r="AB1121" s="403"/>
    </row>
    <row r="1122" spans="1:28">
      <c r="A1122" s="384" t="str">
        <f t="shared" ref="A1122:B1122" si="3547">A1105</f>
        <v>Lantai 1</v>
      </c>
      <c r="B1122" s="385">
        <f t="shared" si="3547"/>
        <v>36</v>
      </c>
      <c r="C1122" s="393" t="s">
        <v>209</v>
      </c>
      <c r="D1122" s="398">
        <f>VLOOKUP(D1105,'Detail Balok'!$C$10:$AU$140,28,FALSE)</f>
        <v>3</v>
      </c>
      <c r="E1122" s="388" t="s">
        <v>16</v>
      </c>
      <c r="F1122" s="388">
        <f>VLOOKUP(D1105,'Detail Balok'!$C$10:$AU$140,30,FALSE)</f>
        <v>13</v>
      </c>
      <c r="G1122" s="388"/>
      <c r="H1122" s="395"/>
      <c r="I1122" s="388" t="s">
        <v>203</v>
      </c>
      <c r="J1122" s="399">
        <f t="shared" si="3341"/>
        <v>1.3425</v>
      </c>
      <c r="K1122" s="400" t="s">
        <v>204</v>
      </c>
      <c r="L1122" s="399">
        <f t="shared" ref="L1122" si="3548">MAX(VLOOKUP(F1122,N$6:P$15,3,FALSE)/1000,2/3*D1110/1000)+F$16*F1122/1000</f>
        <v>0.156</v>
      </c>
      <c r="M1122" s="399" t="s">
        <v>176</v>
      </c>
      <c r="N1122" s="399">
        <f t="shared" si="3536"/>
        <v>1.4984999999999999</v>
      </c>
      <c r="O1122" s="399" t="s">
        <v>204</v>
      </c>
      <c r="P1122" s="389">
        <f t="shared" ref="P1122" si="3549">D1122-D1121</f>
        <v>0</v>
      </c>
      <c r="Q1122" s="399" t="s">
        <v>125</v>
      </c>
      <c r="R1122" s="399">
        <f t="shared" ref="R1122" si="3550">IF(P1122&gt;0,$F$18*F1122/1000,0)</f>
        <v>0</v>
      </c>
      <c r="S1122" s="399" t="s">
        <v>205</v>
      </c>
      <c r="T1122" s="399" t="s">
        <v>125</v>
      </c>
      <c r="U1122" s="401">
        <f t="shared" si="3539"/>
        <v>1.041885</v>
      </c>
      <c r="V1122" s="399"/>
      <c r="W1122" s="399"/>
      <c r="X1122" s="399" t="s">
        <v>125</v>
      </c>
      <c r="Y1122" s="389">
        <f t="shared" ref="Y1122" si="3551">D1111</f>
        <v>1</v>
      </c>
      <c r="Z1122" s="400" t="s">
        <v>176</v>
      </c>
      <c r="AA1122" s="402">
        <f t="shared" ref="AA1122" si="3552">IF(AA1123=0,(D1122*N1122+P1122*R1122)*U1122*Y1122,0)</f>
        <v>0</v>
      </c>
      <c r="AB1122" s="403"/>
    </row>
    <row r="1123" spans="1:28">
      <c r="A1123" s="384" t="str">
        <f t="shared" ref="A1123:B1123" si="3553">A1105</f>
        <v>Lantai 1</v>
      </c>
      <c r="B1123" s="385">
        <f t="shared" si="3553"/>
        <v>36</v>
      </c>
      <c r="C1123" s="393"/>
      <c r="D1123" s="398">
        <f t="shared" si="3361"/>
        <v>3</v>
      </c>
      <c r="E1123" s="388" t="s">
        <v>16</v>
      </c>
      <c r="F1123" s="388">
        <f t="shared" si="3362"/>
        <v>13</v>
      </c>
      <c r="G1123" s="388"/>
      <c r="H1123" s="395"/>
      <c r="I1123" s="388"/>
      <c r="J1123" s="396"/>
      <c r="K1123" s="396"/>
      <c r="L1123" s="404" t="s">
        <v>207</v>
      </c>
      <c r="M1123" s="399" t="s">
        <v>176</v>
      </c>
      <c r="N1123" s="399">
        <f t="shared" ref="N1123" si="3554">IF(AND(D1120=D1121,D1120=D1122,D1121=D1122,F1120=F1121,F1120=F1122,F1121=F1122),SUM(N1120:N1122),0)</f>
        <v>5.6820000000000004</v>
      </c>
      <c r="O1123" s="399" t="s">
        <v>204</v>
      </c>
      <c r="P1123" s="389">
        <f t="shared" ref="P1123" si="3555">IF(N1123&gt;12,ROUNDDOWN(N1123/12,0),0)</f>
        <v>0</v>
      </c>
      <c r="Q1123" s="399" t="s">
        <v>125</v>
      </c>
      <c r="R1123" s="399">
        <f t="shared" ref="R1123" si="3556">IF(P1123&gt;0,MAX(VLOOKUP(F1123,$D$6:$G$15,3,FALSE),600),0)/1000</f>
        <v>0</v>
      </c>
      <c r="S1123" s="396"/>
      <c r="T1123" s="396" t="s">
        <v>125</v>
      </c>
      <c r="U1123" s="401">
        <f t="shared" si="3366"/>
        <v>1.041885</v>
      </c>
      <c r="V1123" s="396" t="s">
        <v>125</v>
      </c>
      <c r="W1123" s="399">
        <f t="shared" ref="W1123" si="3557">D1123</f>
        <v>3</v>
      </c>
      <c r="X1123" s="399" t="s">
        <v>125</v>
      </c>
      <c r="Y1123" s="389">
        <f t="shared" si="3368"/>
        <v>1</v>
      </c>
      <c r="Z1123" s="400" t="s">
        <v>176</v>
      </c>
      <c r="AA1123" s="402">
        <f t="shared" ref="AA1123" si="3558">(N1123+P1123*R1123/1000)*U1123*W1123*Y1123</f>
        <v>17.759971710000002</v>
      </c>
      <c r="AB1123" s="403"/>
    </row>
    <row r="1124" spans="1:28">
      <c r="A1124" s="384"/>
      <c r="B1124" s="385"/>
      <c r="C1124" s="393"/>
      <c r="D1124" s="394"/>
      <c r="E1124" s="388"/>
      <c r="F1124" s="388"/>
      <c r="G1124" s="388"/>
      <c r="H1124" s="395"/>
      <c r="I1124" s="388"/>
      <c r="J1124" s="399"/>
      <c r="K1124" s="396"/>
      <c r="L1124" s="396"/>
      <c r="M1124" s="396"/>
      <c r="N1124" s="396"/>
      <c r="O1124" s="396"/>
      <c r="P1124" s="389"/>
      <c r="Q1124" s="396"/>
      <c r="R1124" s="396"/>
      <c r="S1124" s="396"/>
      <c r="T1124" s="396"/>
      <c r="U1124" s="401"/>
      <c r="V1124" s="396"/>
      <c r="W1124" s="388"/>
      <c r="X1124" s="396"/>
      <c r="Y1124" s="389"/>
      <c r="Z1124" s="396"/>
      <c r="AA1124" s="388"/>
      <c r="AB1124" s="390"/>
    </row>
    <row r="1125" spans="1:28">
      <c r="A1125" s="384" t="str">
        <f t="shared" ref="A1125:B1125" si="3559">A1105</f>
        <v>Lantai 1</v>
      </c>
      <c r="B1125" s="385">
        <f t="shared" si="3559"/>
        <v>36</v>
      </c>
      <c r="C1125" s="393" t="s">
        <v>211</v>
      </c>
      <c r="D1125" s="398">
        <f>VLOOKUP(D1105,'Detail Balok'!$C$10:$AU$140,31,FALSE)</f>
        <v>0</v>
      </c>
      <c r="E1125" s="388" t="s">
        <v>16</v>
      </c>
      <c r="F1125" s="388">
        <f>VLOOKUP(D1105,'Detail Balok'!$C$10:$AU$140,33,FALSE)</f>
        <v>8</v>
      </c>
      <c r="G1125" s="405" t="s">
        <v>157</v>
      </c>
      <c r="H1125" s="395">
        <f>VLOOKUP(D1105,'Detail Balok'!$C$10:$AU$140,35,FALSE)</f>
        <v>150</v>
      </c>
      <c r="I1125" s="388"/>
      <c r="J1125" s="400">
        <f t="shared" ref="J1125" si="3560">(IF(D1125=0,(2*(D1106+G1106))-(F$5*8),IF(D1125=3,(2*(D1106+G1106))-(F$5*8)+(G1106-2*F$5),IF(D1125=4,(2*(D1106+G1106))-(F$5*8)+2*(G1106-2*F$5)))))/1000</f>
        <v>0.88</v>
      </c>
      <c r="K1125" s="400" t="s">
        <v>204</v>
      </c>
      <c r="L1125" s="399">
        <f t="shared" ref="L1125:L1127" si="3561">IF(D1125=0,2*MAX(6*F1125,75),(D1125-1)*2*MAX(6*F1125,75))/1000</f>
        <v>0.15</v>
      </c>
      <c r="M1125" s="399" t="s">
        <v>176</v>
      </c>
      <c r="N1125" s="399">
        <f t="shared" ref="N1125:N1127" si="3562">J1125+L1125</f>
        <v>1.03</v>
      </c>
      <c r="O1125" s="399"/>
      <c r="P1125" s="389"/>
      <c r="Q1125" s="399"/>
      <c r="R1125" s="399"/>
      <c r="S1125" s="399"/>
      <c r="T1125" s="399" t="s">
        <v>125</v>
      </c>
      <c r="U1125" s="401">
        <f t="shared" ref="U1125:U1127" si="3563">0.006165*F1125^2</f>
        <v>0.39456000000000002</v>
      </c>
      <c r="V1125" s="399" t="s">
        <v>125</v>
      </c>
      <c r="W1125" s="399">
        <f t="shared" ref="W1125" si="3564">IF(D1108&gt;4*G1106,ROUND(MAX(D1108/4,2*G1106)/H1125,0)+1,ROUND(D1108/H1125,0)+1)</f>
        <v>10</v>
      </c>
      <c r="X1125" s="399" t="s">
        <v>125</v>
      </c>
      <c r="Y1125" s="389">
        <f t="shared" ref="Y1125" si="3565">D1111</f>
        <v>1</v>
      </c>
      <c r="Z1125" s="400" t="s">
        <v>176</v>
      </c>
      <c r="AA1125" s="402">
        <f t="shared" ref="AA1125:AA1127" si="3566">N1125*U1125*W1125*Y1125</f>
        <v>4.0639680000000009</v>
      </c>
      <c r="AB1125" s="403"/>
    </row>
    <row r="1126" spans="1:28">
      <c r="A1126" s="384" t="str">
        <f t="shared" ref="A1126:B1126" si="3567">A1105</f>
        <v>Lantai 1</v>
      </c>
      <c r="B1126" s="385">
        <f t="shared" si="3567"/>
        <v>36</v>
      </c>
      <c r="C1126" s="393" t="s">
        <v>212</v>
      </c>
      <c r="D1126" s="398">
        <f>VLOOKUP(D1105,'Detail Balok'!$C$10:$AU$140,36,FALSE)</f>
        <v>0</v>
      </c>
      <c r="E1126" s="388" t="s">
        <v>16</v>
      </c>
      <c r="F1126" s="388">
        <f>VLOOKUP(D1105,'Detail Balok'!$C$10:$AU$140,38,FALSE)</f>
        <v>8</v>
      </c>
      <c r="G1126" s="405" t="s">
        <v>157</v>
      </c>
      <c r="H1126" s="395">
        <f>VLOOKUP(D1105,'Detail Balok'!$C$10:$AU$140,40,FALSE)</f>
        <v>200</v>
      </c>
      <c r="I1126" s="388"/>
      <c r="J1126" s="400">
        <f t="shared" ref="J1126" si="3568">(IF(D1126=0,(2*(D1106+G1106))-(F$5*8),IF(D1126=3,(2*(D1106+G1106))-(F$5*8)+(G1106-2*F$5),IF(D1126=4,(2*(D1106+G1106))-(F$5*8)+2*(G1106-2*F$5)))))/1000</f>
        <v>0.88</v>
      </c>
      <c r="K1126" s="400" t="s">
        <v>204</v>
      </c>
      <c r="L1126" s="399">
        <f t="shared" si="3561"/>
        <v>0.15</v>
      </c>
      <c r="M1126" s="399" t="s">
        <v>176</v>
      </c>
      <c r="N1126" s="399">
        <f t="shared" si="3562"/>
        <v>1.03</v>
      </c>
      <c r="O1126" s="399"/>
      <c r="P1126" s="389"/>
      <c r="Q1126" s="399"/>
      <c r="R1126" s="399"/>
      <c r="S1126" s="399"/>
      <c r="T1126" s="399" t="s">
        <v>125</v>
      </c>
      <c r="U1126" s="401">
        <f t="shared" si="3563"/>
        <v>0.39456000000000002</v>
      </c>
      <c r="V1126" s="399" t="s">
        <v>125</v>
      </c>
      <c r="W1126" s="399">
        <f t="shared" ref="W1126" si="3569">IF(D1108-MAX(D1108/4,2*G1106)*2&gt;0,ROUND((D1108-MAX(D1108/4,2*G1106)*2)/H1126,0),0)</f>
        <v>13</v>
      </c>
      <c r="X1126" s="399" t="s">
        <v>125</v>
      </c>
      <c r="Y1126" s="389">
        <f t="shared" ref="Y1126" si="3570">D1111</f>
        <v>1</v>
      </c>
      <c r="Z1126" s="400" t="s">
        <v>176</v>
      </c>
      <c r="AA1126" s="402">
        <f t="shared" si="3566"/>
        <v>5.2831584000000005</v>
      </c>
      <c r="AB1126" s="403"/>
    </row>
    <row r="1127" spans="1:28">
      <c r="A1127" s="384" t="str">
        <f t="shared" ref="A1127:B1127" si="3571">A1105</f>
        <v>Lantai 1</v>
      </c>
      <c r="B1127" s="385">
        <f t="shared" si="3571"/>
        <v>36</v>
      </c>
      <c r="C1127" s="393" t="s">
        <v>211</v>
      </c>
      <c r="D1127" s="398">
        <f>VLOOKUP(D1105,'Detail Balok'!$C$10:$AU$140,41,FALSE)</f>
        <v>0</v>
      </c>
      <c r="E1127" s="388" t="s">
        <v>16</v>
      </c>
      <c r="F1127" s="388">
        <f>VLOOKUP(D1105,'Detail Balok'!$C$10:$AU$140,43,FALSE)</f>
        <v>8</v>
      </c>
      <c r="G1127" s="405" t="s">
        <v>157</v>
      </c>
      <c r="H1127" s="395">
        <f>VLOOKUP(D1105,'Detail Balok'!$C$10:$AU$140,45,FALSE)</f>
        <v>150</v>
      </c>
      <c r="I1127" s="388"/>
      <c r="J1127" s="400">
        <f t="shared" ref="J1127" si="3572">(IF(D1127=0,(2*(D1106+G1106))-(F$5*8),IF(D1127=3,(2*(D1106+G1106))-(F$5*8)+(G1106-2*F$5),IF(D1127=4,(2*(D1106+G1106))-(F$5*8)+2*(G1106-2*F$5)))))/1000</f>
        <v>0.88</v>
      </c>
      <c r="K1127" s="400" t="s">
        <v>204</v>
      </c>
      <c r="L1127" s="399">
        <f t="shared" si="3561"/>
        <v>0.15</v>
      </c>
      <c r="M1127" s="399" t="s">
        <v>176</v>
      </c>
      <c r="N1127" s="399">
        <f t="shared" si="3562"/>
        <v>1.03</v>
      </c>
      <c r="O1127" s="399"/>
      <c r="P1127" s="389"/>
      <c r="Q1127" s="399"/>
      <c r="R1127" s="399"/>
      <c r="S1127" s="399"/>
      <c r="T1127" s="399" t="s">
        <v>125</v>
      </c>
      <c r="U1127" s="401">
        <f t="shared" si="3563"/>
        <v>0.39456000000000002</v>
      </c>
      <c r="V1127" s="399" t="s">
        <v>125</v>
      </c>
      <c r="W1127" s="399">
        <f t="shared" ref="W1127" si="3573">IF(D1108&gt;4*G1106,ROUND(MAX(D1108/4,2*G1106)/H1127,0)+1,0)</f>
        <v>10</v>
      </c>
      <c r="X1127" s="399" t="s">
        <v>125</v>
      </c>
      <c r="Y1127" s="389">
        <f t="shared" ref="Y1127" si="3574">D1111</f>
        <v>1</v>
      </c>
      <c r="Z1127" s="400" t="s">
        <v>176</v>
      </c>
      <c r="AA1127" s="402">
        <f t="shared" si="3566"/>
        <v>4.0639680000000009</v>
      </c>
      <c r="AB1127" s="403"/>
    </row>
    <row r="1128" spans="1:28">
      <c r="A1128" s="384"/>
      <c r="B1128" s="385"/>
      <c r="C1128" s="393"/>
      <c r="D1128" s="394"/>
      <c r="E1128" s="388"/>
      <c r="F1128" s="388"/>
      <c r="G1128" s="388"/>
      <c r="H1128" s="395"/>
      <c r="I1128" s="388"/>
      <c r="J1128" s="399"/>
      <c r="K1128" s="396"/>
      <c r="L1128" s="396"/>
      <c r="M1128" s="396"/>
      <c r="N1128" s="396"/>
      <c r="O1128" s="396"/>
      <c r="P1128" s="389"/>
      <c r="Q1128" s="396"/>
      <c r="R1128" s="396"/>
      <c r="S1128" s="396"/>
      <c r="T1128" s="396"/>
      <c r="U1128" s="401"/>
      <c r="V1128" s="396"/>
      <c r="W1128" s="388"/>
      <c r="X1128" s="396"/>
      <c r="Y1128" s="389"/>
      <c r="Z1128" s="396"/>
      <c r="AA1128" s="388"/>
      <c r="AB1128" s="390"/>
    </row>
    <row r="1129" spans="1:28">
      <c r="A1129" s="384" t="str">
        <f t="shared" ref="A1129:B1129" si="3575">A1105</f>
        <v>Lantai 1</v>
      </c>
      <c r="B1129" s="385">
        <f t="shared" si="3575"/>
        <v>36</v>
      </c>
      <c r="C1129" s="393" t="s">
        <v>213</v>
      </c>
      <c r="D1129" s="398">
        <f>VLOOKUP(D1105,'Detail Balok'!$C$10:$BJ$140,46,FALSE)</f>
        <v>0</v>
      </c>
      <c r="E1129" s="388" t="s">
        <v>16</v>
      </c>
      <c r="F1129" s="388">
        <f>VLOOKUP(D1105,'Detail Balok'!$C$10:$BJ$140,48,FALSE)</f>
        <v>0</v>
      </c>
      <c r="G1129" s="405" t="s">
        <v>157</v>
      </c>
      <c r="H1129" s="395">
        <f>VLOOKUP(D1105,'Detail Balok'!$C$10:$BJ$140,50,FALSE)</f>
        <v>100</v>
      </c>
      <c r="I1129" s="388"/>
      <c r="J1129" s="399">
        <f t="shared" ref="J1129" si="3576">(D1106-2*F$5)/1000</f>
        <v>0.12</v>
      </c>
      <c r="K1129" s="400" t="s">
        <v>204</v>
      </c>
      <c r="L1129" s="399">
        <f t="shared" ref="L1129:L1131" si="3577">IF(D1129=0,2*MAX(6*F1129,75),(D1129-1)*2*MAX(6*F1129,75))/1000</f>
        <v>0.15</v>
      </c>
      <c r="M1129" s="399" t="s">
        <v>176</v>
      </c>
      <c r="N1129" s="399">
        <f t="shared" ref="N1129:N1131" si="3578">J1129+L1129</f>
        <v>0.27</v>
      </c>
      <c r="O1129" s="399"/>
      <c r="P1129" s="399"/>
      <c r="Q1129" s="399"/>
      <c r="R1129" s="399"/>
      <c r="S1129" s="399"/>
      <c r="T1129" s="399" t="s">
        <v>125</v>
      </c>
      <c r="U1129" s="401">
        <f t="shared" ref="U1129:U1131" si="3579">0.006165*F1129^2</f>
        <v>0</v>
      </c>
      <c r="V1129" s="399" t="s">
        <v>125</v>
      </c>
      <c r="W1129" s="399">
        <f t="shared" si="3391"/>
        <v>10</v>
      </c>
      <c r="X1129" s="399" t="s">
        <v>125</v>
      </c>
      <c r="Y1129" s="389">
        <f t="shared" ref="Y1129" si="3580">D1115</f>
        <v>3</v>
      </c>
      <c r="Z1129" s="400" t="s">
        <v>176</v>
      </c>
      <c r="AA1129" s="402">
        <f t="shared" ref="AA1129:AA1131" si="3581">N1129*U1129*W1129*Y1129</f>
        <v>0</v>
      </c>
      <c r="AB1129" s="403"/>
    </row>
    <row r="1130" spans="1:28">
      <c r="A1130" s="384" t="str">
        <f t="shared" ref="A1130:B1130" si="3582">A1105</f>
        <v>Lantai 1</v>
      </c>
      <c r="B1130" s="385">
        <f t="shared" si="3582"/>
        <v>36</v>
      </c>
      <c r="C1130" s="393" t="s">
        <v>214</v>
      </c>
      <c r="D1130" s="398">
        <f>VLOOKUP(D1105,'Detail Balok'!$C$10:$BJ$140,51,FALSE)</f>
        <v>0</v>
      </c>
      <c r="E1130" s="388" t="s">
        <v>16</v>
      </c>
      <c r="F1130" s="388">
        <f>VLOOKUP(D1105,'Detail Balok'!$C$10:$BJ$140,53,FALSE)</f>
        <v>0</v>
      </c>
      <c r="G1130" s="405" t="s">
        <v>157</v>
      </c>
      <c r="H1130" s="395">
        <f>VLOOKUP(D1105,'Detail Balok'!$C$10:$BJ$140,55,FALSE)</f>
        <v>100</v>
      </c>
      <c r="I1130" s="388"/>
      <c r="J1130" s="399">
        <f t="shared" ref="J1130" si="3583">(D1106-2*F$5)/1000</f>
        <v>0.12</v>
      </c>
      <c r="K1130" s="400" t="s">
        <v>204</v>
      </c>
      <c r="L1130" s="399">
        <f t="shared" si="3577"/>
        <v>0.15</v>
      </c>
      <c r="M1130" s="399" t="s">
        <v>176</v>
      </c>
      <c r="N1130" s="399">
        <f t="shared" si="3578"/>
        <v>0.27</v>
      </c>
      <c r="O1130" s="399"/>
      <c r="P1130" s="399"/>
      <c r="Q1130" s="399"/>
      <c r="R1130" s="399"/>
      <c r="S1130" s="399"/>
      <c r="T1130" s="399" t="s">
        <v>125</v>
      </c>
      <c r="U1130" s="401">
        <f t="shared" si="3579"/>
        <v>0</v>
      </c>
      <c r="V1130" s="399" t="s">
        <v>125</v>
      </c>
      <c r="W1130" s="399">
        <f t="shared" si="3391"/>
        <v>13</v>
      </c>
      <c r="X1130" s="399" t="s">
        <v>125</v>
      </c>
      <c r="Y1130" s="389">
        <f t="shared" ref="Y1130" si="3584">D1115</f>
        <v>3</v>
      </c>
      <c r="Z1130" s="400" t="s">
        <v>176</v>
      </c>
      <c r="AA1130" s="402">
        <f t="shared" si="3581"/>
        <v>0</v>
      </c>
      <c r="AB1130" s="403"/>
    </row>
    <row r="1131" spans="1:28">
      <c r="A1131" s="384" t="str">
        <f t="shared" ref="A1131:B1131" si="3585">A1105</f>
        <v>Lantai 1</v>
      </c>
      <c r="B1131" s="385">
        <f t="shared" si="3585"/>
        <v>36</v>
      </c>
      <c r="C1131" s="393" t="s">
        <v>213</v>
      </c>
      <c r="D1131" s="398">
        <f>VLOOKUP(D1105,'Detail Balok'!$C$10:$BJ$140,56,FALSE)</f>
        <v>0</v>
      </c>
      <c r="E1131" s="388" t="s">
        <v>16</v>
      </c>
      <c r="F1131" s="388">
        <f>VLOOKUP(D1105,'Detail Balok'!$C$10:$BJ$140,58,FALSE)</f>
        <v>0</v>
      </c>
      <c r="G1131" s="405" t="s">
        <v>157</v>
      </c>
      <c r="H1131" s="395">
        <f>VLOOKUP(D1105,'Detail Balok'!$C$10:$BJ$140,60,FALSE)</f>
        <v>100</v>
      </c>
      <c r="I1131" s="388"/>
      <c r="J1131" s="399">
        <f t="shared" ref="J1131" si="3586">(D1106-2*F$5)/1000</f>
        <v>0.12</v>
      </c>
      <c r="K1131" s="400" t="s">
        <v>204</v>
      </c>
      <c r="L1131" s="399">
        <f t="shared" si="3577"/>
        <v>0.15</v>
      </c>
      <c r="M1131" s="399" t="s">
        <v>176</v>
      </c>
      <c r="N1131" s="399">
        <f t="shared" si="3578"/>
        <v>0.27</v>
      </c>
      <c r="O1131" s="399"/>
      <c r="P1131" s="399"/>
      <c r="Q1131" s="399"/>
      <c r="R1131" s="399"/>
      <c r="S1131" s="399"/>
      <c r="T1131" s="399" t="s">
        <v>125</v>
      </c>
      <c r="U1131" s="401">
        <f t="shared" si="3579"/>
        <v>0</v>
      </c>
      <c r="V1131" s="399" t="s">
        <v>125</v>
      </c>
      <c r="W1131" s="399">
        <f t="shared" si="3391"/>
        <v>10</v>
      </c>
      <c r="X1131" s="399" t="s">
        <v>125</v>
      </c>
      <c r="Y1131" s="389">
        <f t="shared" ref="Y1131" si="3587">D1115</f>
        <v>3</v>
      </c>
      <c r="Z1131" s="400" t="s">
        <v>176</v>
      </c>
      <c r="AA1131" s="402">
        <f t="shared" si="3581"/>
        <v>0</v>
      </c>
      <c r="AB1131" s="403"/>
    </row>
    <row r="1132" spans="1:28">
      <c r="A1132" s="391"/>
      <c r="B1132" s="392"/>
      <c r="C1132" s="392"/>
      <c r="D1132" s="394"/>
      <c r="E1132" s="388"/>
      <c r="F1132" s="388"/>
      <c r="G1132" s="388"/>
      <c r="H1132" s="395"/>
      <c r="I1132" s="388"/>
      <c r="J1132" s="402"/>
      <c r="K1132" s="388"/>
      <c r="L1132" s="388"/>
      <c r="M1132" s="388"/>
      <c r="N1132" s="388"/>
      <c r="O1132" s="388"/>
      <c r="P1132" s="388"/>
      <c r="Q1132" s="388"/>
      <c r="R1132" s="388"/>
      <c r="S1132" s="388"/>
      <c r="T1132" s="388"/>
      <c r="U1132" s="388"/>
      <c r="V1132" s="388"/>
      <c r="W1132" s="388"/>
      <c r="X1132" s="388"/>
      <c r="Y1132" s="389"/>
      <c r="Z1132" s="388"/>
      <c r="AA1132" s="402"/>
      <c r="AB1132" s="403"/>
    </row>
    <row r="1133" spans="1:28" ht="15.75" thickBot="1">
      <c r="A1133" s="406"/>
      <c r="B1133" s="407"/>
      <c r="C1133" s="407"/>
      <c r="D1133" s="408"/>
      <c r="E1133" s="409"/>
      <c r="F1133" s="409"/>
      <c r="G1133" s="409"/>
      <c r="H1133" s="410"/>
      <c r="I1133" s="409"/>
      <c r="J1133" s="409"/>
      <c r="K1133" s="409"/>
      <c r="L1133" s="409"/>
      <c r="M1133" s="409"/>
      <c r="N1133" s="409"/>
      <c r="O1133" s="409"/>
      <c r="P1133" s="409"/>
      <c r="Q1133" s="409"/>
      <c r="R1133" s="409"/>
      <c r="S1133" s="409"/>
      <c r="T1133" s="409"/>
      <c r="U1133" s="409"/>
      <c r="V1133" s="409"/>
      <c r="W1133" s="409"/>
      <c r="X1133" s="409"/>
      <c r="Y1133" s="411"/>
      <c r="Z1133" s="409"/>
      <c r="AA1133" s="412"/>
      <c r="AB1133" s="413"/>
    </row>
    <row r="1134" spans="1:28">
      <c r="A1134" s="377"/>
      <c r="B1134" s="378"/>
      <c r="C1134" s="378"/>
      <c r="D1134" s="379"/>
      <c r="E1134" s="380"/>
      <c r="F1134" s="380"/>
      <c r="G1134" s="380"/>
      <c r="H1134" s="381"/>
      <c r="I1134" s="380"/>
      <c r="J1134" s="380"/>
      <c r="K1134" s="380"/>
      <c r="L1134" s="380"/>
      <c r="M1134" s="380"/>
      <c r="N1134" s="380"/>
      <c r="O1134" s="380"/>
      <c r="P1134" s="380"/>
      <c r="Q1134" s="380"/>
      <c r="R1134" s="380"/>
      <c r="S1134" s="380"/>
      <c r="T1134" s="380"/>
      <c r="U1134" s="380"/>
      <c r="V1134" s="380"/>
      <c r="W1134" s="380"/>
      <c r="X1134" s="380"/>
      <c r="Y1134" s="382"/>
      <c r="Z1134" s="380"/>
      <c r="AA1134" s="380"/>
      <c r="AB1134" s="383"/>
    </row>
    <row r="1135" spans="1:28">
      <c r="A1135" s="384" t="str">
        <f t="shared" si="3400"/>
        <v>Lantai 1</v>
      </c>
      <c r="B1135" s="385">
        <f t="shared" si="3401"/>
        <v>37</v>
      </c>
      <c r="C1135" s="386" t="str">
        <f t="shared" ref="C1135" si="3588">CONCATENATE(A1135," no. ",B1135)</f>
        <v>Lantai 1 no. 37</v>
      </c>
      <c r="D1135" s="2562" t="str">
        <f>VLOOKUP(C1135,'Data Panjang Balok'!$C$9:$N$254,2,FALSE)</f>
        <v>S24-2</v>
      </c>
      <c r="E1135" s="2576"/>
      <c r="F1135" s="2576"/>
      <c r="G1135" s="2576"/>
      <c r="H1135" s="2577"/>
      <c r="I1135" s="387"/>
      <c r="J1135" s="388"/>
      <c r="K1135" s="388"/>
      <c r="L1135" s="388"/>
      <c r="M1135" s="388"/>
      <c r="N1135" s="388"/>
      <c r="O1135" s="388"/>
      <c r="P1135" s="388"/>
      <c r="Q1135" s="388"/>
      <c r="R1135" s="388"/>
      <c r="S1135" s="388"/>
      <c r="T1135" s="388"/>
      <c r="U1135" s="388"/>
      <c r="V1135" s="388"/>
      <c r="W1135" s="388"/>
      <c r="X1135" s="388"/>
      <c r="Y1135" s="389"/>
      <c r="Z1135" s="388"/>
      <c r="AA1135" s="388"/>
      <c r="AB1135" s="390"/>
    </row>
    <row r="1136" spans="1:28">
      <c r="A1136" s="391"/>
      <c r="B1136" s="392"/>
      <c r="C1136" s="393" t="s">
        <v>118</v>
      </c>
      <c r="D1136" s="2578">
        <f>VLOOKUP(D1135,'Detail Balok'!$C$10:$AU$140,2,FALSE)</f>
        <v>200</v>
      </c>
      <c r="E1136" s="2579"/>
      <c r="F1136" s="388" t="s">
        <v>125</v>
      </c>
      <c r="G1136" s="2579">
        <f>VLOOKUP(D1135,'Detail Balok'!$C$10:$AU$140,3,FALSE)</f>
        <v>400</v>
      </c>
      <c r="H1136" s="2580"/>
      <c r="I1136" s="388"/>
      <c r="J1136" s="396"/>
      <c r="K1136" s="396"/>
      <c r="L1136" s="396"/>
      <c r="M1136" s="396"/>
      <c r="N1136" s="396"/>
      <c r="O1136" s="396"/>
      <c r="P1136" s="396"/>
      <c r="Q1136" s="396"/>
      <c r="R1136" s="396"/>
      <c r="S1136" s="396"/>
      <c r="T1136" s="396"/>
      <c r="U1136" s="388"/>
      <c r="V1136" s="396"/>
      <c r="W1136" s="388"/>
      <c r="X1136" s="396"/>
      <c r="Y1136" s="389"/>
      <c r="Z1136" s="396"/>
      <c r="AA1136" s="388"/>
      <c r="AB1136" s="390"/>
    </row>
    <row r="1137" spans="1:28">
      <c r="A1137" s="391"/>
      <c r="B1137" s="392"/>
      <c r="C1137" s="393" t="s">
        <v>198</v>
      </c>
      <c r="D1137" s="2562">
        <f>VLOOKUP(C1135,'Data Panjang Balok'!$C$9:$N$254,4,FALSE)</f>
        <v>5500</v>
      </c>
      <c r="E1137" s="2563"/>
      <c r="F1137" s="2563"/>
      <c r="G1137" s="2563"/>
      <c r="H1137" s="2564"/>
      <c r="I1137" s="397"/>
      <c r="J1137" s="396"/>
      <c r="K1137" s="396"/>
      <c r="L1137" s="396"/>
      <c r="M1137" s="396"/>
      <c r="N1137" s="396"/>
      <c r="O1137" s="396"/>
      <c r="P1137" s="396"/>
      <c r="Q1137" s="396"/>
      <c r="R1137" s="396"/>
      <c r="S1137" s="396"/>
      <c r="T1137" s="396"/>
      <c r="U1137" s="388"/>
      <c r="V1137" s="396"/>
      <c r="W1137" s="388"/>
      <c r="X1137" s="396"/>
      <c r="Y1137" s="389"/>
      <c r="Z1137" s="396"/>
      <c r="AA1137" s="388"/>
      <c r="AB1137" s="390"/>
    </row>
    <row r="1138" spans="1:28">
      <c r="A1138" s="391"/>
      <c r="B1138" s="392"/>
      <c r="C1138" s="393" t="s">
        <v>199</v>
      </c>
      <c r="D1138" s="2562">
        <f>VLOOKUP(C1135,'Data Panjang Balok'!$C$9:$N$254,7,FALSE)</f>
        <v>5500</v>
      </c>
      <c r="E1138" s="2563"/>
      <c r="F1138" s="2563"/>
      <c r="G1138" s="2563"/>
      <c r="H1138" s="2564"/>
      <c r="I1138" s="397"/>
      <c r="J1138" s="396"/>
      <c r="K1138" s="396"/>
      <c r="L1138" s="396"/>
      <c r="M1138" s="396"/>
      <c r="N1138" s="396"/>
      <c r="O1138" s="396"/>
      <c r="P1138" s="396"/>
      <c r="Q1138" s="396"/>
      <c r="R1138" s="396"/>
      <c r="S1138" s="396"/>
      <c r="T1138" s="396"/>
      <c r="U1138" s="388"/>
      <c r="V1138" s="396"/>
      <c r="W1138" s="388"/>
      <c r="X1138" s="396"/>
      <c r="Y1138" s="389"/>
      <c r="Z1138" s="396"/>
      <c r="AA1138" s="388"/>
      <c r="AB1138" s="390"/>
    </row>
    <row r="1139" spans="1:28">
      <c r="A1139" s="391"/>
      <c r="B1139" s="392"/>
      <c r="C1139" s="393" t="s">
        <v>200</v>
      </c>
      <c r="D1139" s="2562">
        <f>VLOOKUP(C1135,'Data Panjang Balok'!$C$9:$N$254,9,FALSE)</f>
        <v>0</v>
      </c>
      <c r="E1139" s="2563"/>
      <c r="F1139" s="2563"/>
      <c r="G1139" s="2563"/>
      <c r="H1139" s="2564"/>
      <c r="I1139" s="397"/>
      <c r="J1139" s="396"/>
      <c r="K1139" s="396"/>
      <c r="L1139" s="396"/>
      <c r="M1139" s="396"/>
      <c r="N1139" s="396"/>
      <c r="O1139" s="396"/>
      <c r="P1139" s="396"/>
      <c r="Q1139" s="396"/>
      <c r="R1139" s="396"/>
      <c r="S1139" s="396"/>
      <c r="T1139" s="396"/>
      <c r="U1139" s="388"/>
      <c r="V1139" s="396"/>
      <c r="W1139" s="388"/>
      <c r="X1139" s="396"/>
      <c r="Y1139" s="389"/>
      <c r="Z1139" s="396"/>
      <c r="AA1139" s="388"/>
      <c r="AB1139" s="390"/>
    </row>
    <row r="1140" spans="1:28">
      <c r="A1140" s="391"/>
      <c r="B1140" s="392"/>
      <c r="C1140" s="393" t="s">
        <v>201</v>
      </c>
      <c r="D1140" s="2562">
        <f>VLOOKUP(C1135,'Data Panjang Balok'!$C$9:$N$254,10,FALSE)</f>
        <v>0</v>
      </c>
      <c r="E1140" s="2563"/>
      <c r="F1140" s="2563"/>
      <c r="G1140" s="2563"/>
      <c r="H1140" s="2564"/>
      <c r="I1140" s="397"/>
      <c r="J1140" s="396"/>
      <c r="K1140" s="396"/>
      <c r="L1140" s="396"/>
      <c r="M1140" s="396"/>
      <c r="N1140" s="396"/>
      <c r="O1140" s="396"/>
      <c r="P1140" s="396"/>
      <c r="Q1140" s="396"/>
      <c r="R1140" s="396"/>
      <c r="S1140" s="396"/>
      <c r="T1140" s="396"/>
      <c r="U1140" s="388"/>
      <c r="V1140" s="396"/>
      <c r="W1140" s="388"/>
      <c r="X1140" s="396"/>
      <c r="Y1140" s="389"/>
      <c r="Z1140" s="396"/>
      <c r="AA1140" s="388"/>
      <c r="AB1140" s="390"/>
    </row>
    <row r="1141" spans="1:28">
      <c r="A1141" s="391"/>
      <c r="B1141" s="392"/>
      <c r="C1141" s="393" t="s">
        <v>48</v>
      </c>
      <c r="D1141" s="2562">
        <f>VLOOKUP(C1135,'Data Panjang Balok'!$C$9:$N$254,3,FALSE)</f>
        <v>1</v>
      </c>
      <c r="E1141" s="2563"/>
      <c r="F1141" s="2563"/>
      <c r="G1141" s="2563"/>
      <c r="H1141" s="2564"/>
      <c r="I1141" s="397"/>
      <c r="J1141" s="396"/>
      <c r="K1141" s="396"/>
      <c r="L1141" s="396"/>
      <c r="M1141" s="396"/>
      <c r="N1141" s="396"/>
      <c r="O1141" s="396"/>
      <c r="P1141" s="396"/>
      <c r="Q1141" s="396"/>
      <c r="R1141" s="396"/>
      <c r="S1141" s="396"/>
      <c r="T1141" s="396"/>
      <c r="U1141" s="388"/>
      <c r="V1141" s="396"/>
      <c r="W1141" s="388"/>
      <c r="X1141" s="396"/>
      <c r="Y1141" s="389"/>
      <c r="Z1141" s="396"/>
      <c r="AA1141" s="388"/>
      <c r="AB1141" s="390"/>
    </row>
    <row r="1142" spans="1:28">
      <c r="A1142" s="384" t="str">
        <f t="shared" ref="A1142:B1142" si="3589">A1135</f>
        <v>Lantai 1</v>
      </c>
      <c r="B1142" s="385">
        <f t="shared" si="3589"/>
        <v>37</v>
      </c>
      <c r="C1142" s="393" t="s">
        <v>202</v>
      </c>
      <c r="D1142" s="398">
        <f>VLOOKUP(D1135,'Detail Balok'!$C$10:$AU$140,4,FALSE)</f>
        <v>3</v>
      </c>
      <c r="E1142" s="388" t="s">
        <v>16</v>
      </c>
      <c r="F1142" s="388">
        <f>VLOOKUP(D1135,'Detail Balok'!$C$10:$AU$140,6,FALSE)</f>
        <v>16</v>
      </c>
      <c r="G1142" s="388"/>
      <c r="H1142" s="395"/>
      <c r="I1142" s="388" t="s">
        <v>203</v>
      </c>
      <c r="J1142" s="399">
        <f t="shared" ref="J1142" si="3590">+D1137/4/1000</f>
        <v>1.375</v>
      </c>
      <c r="K1142" s="400" t="s">
        <v>204</v>
      </c>
      <c r="L1142" s="399">
        <f t="shared" ref="L1142" si="3591">MAX(VLOOKUP(F1142,N$6:P$15,3,FALSE)/1000,2/3*D1139/1000)+F$16*F1142/1000</f>
        <v>0.192</v>
      </c>
      <c r="M1142" s="399" t="s">
        <v>176</v>
      </c>
      <c r="N1142" s="399">
        <f t="shared" ref="N1142:N1144" si="3592">J1142+L1142</f>
        <v>1.5669999999999999</v>
      </c>
      <c r="O1142" s="399" t="s">
        <v>204</v>
      </c>
      <c r="P1142" s="389">
        <f t="shared" ref="P1142" si="3593">D1142-D1143</f>
        <v>0</v>
      </c>
      <c r="Q1142" s="399" t="s">
        <v>125</v>
      </c>
      <c r="R1142" s="399">
        <f t="shared" ref="R1142" si="3594">IF(P1142&gt;0,$F$18*F1142/1000,0)</f>
        <v>0</v>
      </c>
      <c r="S1142" s="399" t="s">
        <v>205</v>
      </c>
      <c r="T1142" s="399" t="s">
        <v>125</v>
      </c>
      <c r="U1142" s="401">
        <f t="shared" ref="U1142:U1144" si="3595">0.006165*F1142^2</f>
        <v>1.5782400000000001</v>
      </c>
      <c r="V1142" s="399"/>
      <c r="W1142" s="399"/>
      <c r="X1142" s="399" t="s">
        <v>125</v>
      </c>
      <c r="Y1142" s="389">
        <f t="shared" ref="Y1142" si="3596">D1141</f>
        <v>1</v>
      </c>
      <c r="Z1142" s="400" t="s">
        <v>176</v>
      </c>
      <c r="AA1142" s="402">
        <f t="shared" ref="AA1142" si="3597">IF(AA1145=0,(D1142*N1142+P1142*R1142)*U1142*Y1142,0)</f>
        <v>0</v>
      </c>
      <c r="AB1142" s="403"/>
    </row>
    <row r="1143" spans="1:28">
      <c r="A1143" s="384" t="str">
        <f t="shared" ref="A1143:B1143" si="3598">A1135</f>
        <v>Lantai 1</v>
      </c>
      <c r="B1143" s="385">
        <f t="shared" si="3598"/>
        <v>37</v>
      </c>
      <c r="C1143" s="393" t="s">
        <v>206</v>
      </c>
      <c r="D1143" s="398">
        <f>VLOOKUP(D1135,'Detail Balok'!$C$10:$AU$140,7,FALSE)</f>
        <v>3</v>
      </c>
      <c r="E1143" s="388" t="s">
        <v>16</v>
      </c>
      <c r="F1143" s="388">
        <f>VLOOKUP(D1135,'Detail Balok'!$C$10:$AU$140,9,FALSE)</f>
        <v>16</v>
      </c>
      <c r="G1143" s="388"/>
      <c r="H1143" s="395"/>
      <c r="I1143" s="388" t="s">
        <v>203</v>
      </c>
      <c r="J1143" s="399">
        <f t="shared" ref="J1143" si="3599">+D1137/2/1000</f>
        <v>2.75</v>
      </c>
      <c r="K1143" s="400" t="s">
        <v>204</v>
      </c>
      <c r="L1143" s="399"/>
      <c r="M1143" s="399" t="s">
        <v>176</v>
      </c>
      <c r="N1143" s="399">
        <f t="shared" si="3592"/>
        <v>2.75</v>
      </c>
      <c r="O1143" s="399" t="s">
        <v>204</v>
      </c>
      <c r="P1143" s="389">
        <f t="shared" ref="P1143" si="3600">MAX(D1143-D1142,D1143-D1144)</f>
        <v>0</v>
      </c>
      <c r="Q1143" s="399" t="s">
        <v>125</v>
      </c>
      <c r="R1143" s="399">
        <f t="shared" ref="R1143" si="3601">IF(P1143&gt;0,2*(1-2*$F$19-1/2)*D1138/1000,0)</f>
        <v>0</v>
      </c>
      <c r="S1143" s="399" t="s">
        <v>205</v>
      </c>
      <c r="T1143" s="399" t="s">
        <v>125</v>
      </c>
      <c r="U1143" s="401">
        <f t="shared" si="3595"/>
        <v>1.5782400000000001</v>
      </c>
      <c r="V1143" s="399"/>
      <c r="W1143" s="399"/>
      <c r="X1143" s="399" t="s">
        <v>125</v>
      </c>
      <c r="Y1143" s="389">
        <f t="shared" ref="Y1143" si="3602">D1141</f>
        <v>1</v>
      </c>
      <c r="Z1143" s="400" t="s">
        <v>176</v>
      </c>
      <c r="AA1143" s="402">
        <f t="shared" ref="AA1143" si="3603">IF(AA1145=0,(D1143*N1143+P1143*R1143)*U1143*Y1143,0)</f>
        <v>0</v>
      </c>
      <c r="AB1143" s="403"/>
    </row>
    <row r="1144" spans="1:28">
      <c r="A1144" s="384" t="str">
        <f t="shared" ref="A1144:B1144" si="3604">A1135</f>
        <v>Lantai 1</v>
      </c>
      <c r="B1144" s="385">
        <f t="shared" si="3604"/>
        <v>37</v>
      </c>
      <c r="C1144" s="393" t="s">
        <v>202</v>
      </c>
      <c r="D1144" s="398">
        <f>VLOOKUP(D1135,'Detail Balok'!$C$10:$AU$140,10,FALSE)</f>
        <v>3</v>
      </c>
      <c r="E1144" s="388" t="s">
        <v>16</v>
      </c>
      <c r="F1144" s="388">
        <f>VLOOKUP(D1135,'Detail Balok'!$C$10:$AU$140,12,FALSE)</f>
        <v>16</v>
      </c>
      <c r="G1144" s="388"/>
      <c r="H1144" s="395"/>
      <c r="I1144" s="388" t="s">
        <v>203</v>
      </c>
      <c r="J1144" s="399">
        <f t="shared" ref="J1144" si="3605">+D1137/4/1000</f>
        <v>1.375</v>
      </c>
      <c r="K1144" s="400" t="s">
        <v>204</v>
      </c>
      <c r="L1144" s="399">
        <f t="shared" ref="L1144" si="3606">MAX(VLOOKUP(F1144,N$6:P$15,3,FALSE)/1000,2/3*D1139/1000)+F$16*F1144/1000</f>
        <v>0.192</v>
      </c>
      <c r="M1144" s="399" t="s">
        <v>176</v>
      </c>
      <c r="N1144" s="399">
        <f t="shared" si="3592"/>
        <v>1.5669999999999999</v>
      </c>
      <c r="O1144" s="399" t="s">
        <v>204</v>
      </c>
      <c r="P1144" s="389">
        <f t="shared" ref="P1144" si="3607">D1144-D1143</f>
        <v>0</v>
      </c>
      <c r="Q1144" s="399" t="s">
        <v>125</v>
      </c>
      <c r="R1144" s="399">
        <f t="shared" ref="R1144" si="3608">IF(P1144&gt;0,$F$18*F1144/1000,0)</f>
        <v>0</v>
      </c>
      <c r="S1144" s="399" t="s">
        <v>205</v>
      </c>
      <c r="T1144" s="399" t="s">
        <v>125</v>
      </c>
      <c r="U1144" s="401">
        <f t="shared" si="3595"/>
        <v>1.5782400000000001</v>
      </c>
      <c r="V1144" s="399"/>
      <c r="W1144" s="399"/>
      <c r="X1144" s="399" t="s">
        <v>125</v>
      </c>
      <c r="Y1144" s="389">
        <f t="shared" ref="Y1144" si="3609">D1141</f>
        <v>1</v>
      </c>
      <c r="Z1144" s="400" t="s">
        <v>176</v>
      </c>
      <c r="AA1144" s="402">
        <f t="shared" ref="AA1144" si="3610">IF(AA1145=0,(D1144*N1144+P1144*R1144)*U1144*Y1144,0)</f>
        <v>0</v>
      </c>
      <c r="AB1144" s="403"/>
    </row>
    <row r="1145" spans="1:28">
      <c r="A1145" s="384" t="str">
        <f t="shared" ref="A1145:B1145" si="3611">A1135</f>
        <v>Lantai 1</v>
      </c>
      <c r="B1145" s="385">
        <f t="shared" si="3611"/>
        <v>37</v>
      </c>
      <c r="C1145" s="393"/>
      <c r="D1145" s="398">
        <f t="shared" ref="D1145:D1205" si="3612">IF(AND(D1142=D1143,D1143=D1144,D1142=D1144),D1142,0)</f>
        <v>3</v>
      </c>
      <c r="E1145" s="388" t="s">
        <v>16</v>
      </c>
      <c r="F1145" s="388">
        <f t="shared" ref="F1145:F1205" si="3613">IF(AND(F1142=F1143,F1142=F1144,F1143=F1144),F1142,0)</f>
        <v>16</v>
      </c>
      <c r="G1145" s="388"/>
      <c r="H1145" s="395"/>
      <c r="I1145" s="388"/>
      <c r="J1145" s="396"/>
      <c r="K1145" s="396"/>
      <c r="L1145" s="404" t="s">
        <v>207</v>
      </c>
      <c r="M1145" s="399" t="s">
        <v>176</v>
      </c>
      <c r="N1145" s="399">
        <f t="shared" ref="N1145" si="3614">IF(AND(D1142=D1143,D1142=D1144,D1143=D1144,F1142=F1143,F1142=F1144,F1143=F1144),SUM(N1142:N1144),0)</f>
        <v>5.8840000000000003</v>
      </c>
      <c r="O1145" s="399" t="s">
        <v>204</v>
      </c>
      <c r="P1145" s="389">
        <f t="shared" ref="P1145" si="3615">IF(N1145&gt;12,ROUNDDOWN(N1145/12,0),0)</f>
        <v>0</v>
      </c>
      <c r="Q1145" s="399" t="s">
        <v>125</v>
      </c>
      <c r="R1145" s="399">
        <f t="shared" ref="R1145" si="3616">IF(P1145&gt;0,MAX(VLOOKUP(F1145,$D$6:$G$15,3,FALSE),600),0)/1000</f>
        <v>0</v>
      </c>
      <c r="S1145" s="396"/>
      <c r="T1145" s="396" t="s">
        <v>125</v>
      </c>
      <c r="U1145" s="401">
        <f t="shared" ref="U1145:U1205" si="3617">U1144</f>
        <v>1.5782400000000001</v>
      </c>
      <c r="V1145" s="396" t="s">
        <v>125</v>
      </c>
      <c r="W1145" s="399">
        <f t="shared" ref="W1145" si="3618">D1145</f>
        <v>3</v>
      </c>
      <c r="X1145" s="399" t="s">
        <v>125</v>
      </c>
      <c r="Y1145" s="389">
        <f t="shared" ref="Y1145:Y1205" si="3619">Y1144</f>
        <v>1</v>
      </c>
      <c r="Z1145" s="400" t="s">
        <v>176</v>
      </c>
      <c r="AA1145" s="402">
        <f t="shared" ref="AA1145" si="3620">(N1145+P1145*R1145/1000)*U1145*W1145*Y1145</f>
        <v>27.859092480000005</v>
      </c>
      <c r="AB1145" s="390"/>
    </row>
    <row r="1146" spans="1:28">
      <c r="A1146" s="384"/>
      <c r="B1146" s="385"/>
      <c r="C1146" s="393"/>
      <c r="D1146" s="398"/>
      <c r="E1146" s="388"/>
      <c r="F1146" s="388"/>
      <c r="G1146" s="388"/>
      <c r="H1146" s="395"/>
      <c r="I1146" s="388"/>
      <c r="J1146" s="396"/>
      <c r="K1146" s="396"/>
      <c r="L1146" s="404"/>
      <c r="M1146" s="399"/>
      <c r="N1146" s="399"/>
      <c r="O1146" s="396"/>
      <c r="P1146" s="389"/>
      <c r="Q1146" s="396"/>
      <c r="R1146" s="396"/>
      <c r="S1146" s="396"/>
      <c r="T1146" s="396"/>
      <c r="U1146" s="401"/>
      <c r="V1146" s="396"/>
      <c r="W1146" s="399"/>
      <c r="X1146" s="396"/>
      <c r="Y1146" s="389"/>
      <c r="Z1146" s="396"/>
      <c r="AA1146" s="388"/>
      <c r="AB1146" s="390"/>
    </row>
    <row r="1147" spans="1:28">
      <c r="A1147" s="384" t="str">
        <f t="shared" ref="A1147:B1147" si="3621">A1135</f>
        <v>Lantai 1</v>
      </c>
      <c r="B1147" s="385">
        <f t="shared" si="3621"/>
        <v>37</v>
      </c>
      <c r="C1147" s="393" t="s">
        <v>208</v>
      </c>
      <c r="D1147" s="398">
        <f>VLOOKUP(D1135,'Detail Balok'!$C$10:$AU$140,13,FALSE)</f>
        <v>0</v>
      </c>
      <c r="E1147" s="388" t="s">
        <v>16</v>
      </c>
      <c r="F1147" s="388">
        <f>VLOOKUP(D1135,'Detail Balok'!$C$10:$AU$140,15,FALSE)</f>
        <v>8</v>
      </c>
      <c r="G1147" s="388"/>
      <c r="H1147" s="395"/>
      <c r="I1147" s="388"/>
      <c r="J1147" s="399">
        <f t="shared" ref="J1147" si="3622">+D1137/1000</f>
        <v>5.5</v>
      </c>
      <c r="K1147" s="400" t="s">
        <v>204</v>
      </c>
      <c r="L1147" s="399">
        <f t="shared" ref="L1147" si="3623">2*$F$16*F1147/1000</f>
        <v>0.192</v>
      </c>
      <c r="M1147" s="399" t="s">
        <v>176</v>
      </c>
      <c r="N1147" s="399">
        <f t="shared" ref="N1147" si="3624">J1147+L1147</f>
        <v>5.6920000000000002</v>
      </c>
      <c r="O1147" s="399" t="s">
        <v>204</v>
      </c>
      <c r="P1147" s="389">
        <f t="shared" ref="P1147" si="3625">IF(N1147&gt;12,ROUNDDOWN(N1147/12,0),0)</f>
        <v>0</v>
      </c>
      <c r="Q1147" s="399" t="s">
        <v>125</v>
      </c>
      <c r="R1147" s="399">
        <f t="shared" ref="R1147" si="3626">IF(P1147&gt;0,MAX(VLOOKUP(F1147,$D$6:$G$15,3,FALSE),600),0)/1000</f>
        <v>0</v>
      </c>
      <c r="S1147" s="399"/>
      <c r="T1147" s="399" t="s">
        <v>125</v>
      </c>
      <c r="U1147" s="401">
        <f t="shared" ref="U1147" si="3627">0.006165*F1147^2</f>
        <v>0.39456000000000002</v>
      </c>
      <c r="V1147" s="399" t="s">
        <v>125</v>
      </c>
      <c r="W1147" s="399">
        <f t="shared" ref="W1147" si="3628">+D1147</f>
        <v>0</v>
      </c>
      <c r="X1147" s="399" t="s">
        <v>125</v>
      </c>
      <c r="Y1147" s="389">
        <f t="shared" ref="Y1147" si="3629">D1141</f>
        <v>1</v>
      </c>
      <c r="Z1147" s="400" t="s">
        <v>176</v>
      </c>
      <c r="AA1147" s="402">
        <f t="shared" ref="AA1147" si="3630">(N1147+P1147*R1147/1000)*U1147*W1147*Y1147</f>
        <v>0</v>
      </c>
      <c r="AB1147" s="403"/>
    </row>
    <row r="1148" spans="1:28">
      <c r="A1148" s="384"/>
      <c r="B1148" s="385"/>
      <c r="C1148" s="393"/>
      <c r="D1148" s="398"/>
      <c r="E1148" s="388"/>
      <c r="F1148" s="388"/>
      <c r="G1148" s="388"/>
      <c r="H1148" s="395"/>
      <c r="I1148" s="388"/>
      <c r="J1148" s="399"/>
      <c r="K1148" s="400"/>
      <c r="L1148" s="399"/>
      <c r="M1148" s="399"/>
      <c r="N1148" s="399"/>
      <c r="O1148" s="399"/>
      <c r="P1148" s="389"/>
      <c r="Q1148" s="399"/>
      <c r="R1148" s="399"/>
      <c r="S1148" s="399"/>
      <c r="T1148" s="399"/>
      <c r="U1148" s="401"/>
      <c r="V1148" s="399"/>
      <c r="W1148" s="399"/>
      <c r="X1148" s="399"/>
      <c r="Y1148" s="389"/>
      <c r="Z1148" s="400"/>
      <c r="AA1148" s="402"/>
      <c r="AB1148" s="403"/>
    </row>
    <row r="1149" spans="1:28">
      <c r="A1149" s="384"/>
      <c r="B1149" s="385"/>
      <c r="C1149" s="393"/>
      <c r="D1149" s="398"/>
      <c r="E1149" s="388"/>
      <c r="F1149" s="388"/>
      <c r="G1149" s="388"/>
      <c r="H1149" s="395"/>
      <c r="I1149" s="388"/>
      <c r="J1149" s="396"/>
      <c r="K1149" s="396"/>
      <c r="L1149" s="396"/>
      <c r="M1149" s="396"/>
      <c r="N1149" s="396"/>
      <c r="O1149" s="396"/>
      <c r="P1149" s="389"/>
      <c r="Q1149" s="396"/>
      <c r="R1149" s="396"/>
      <c r="S1149" s="396"/>
      <c r="T1149" s="396"/>
      <c r="U1149" s="401"/>
      <c r="V1149" s="396"/>
      <c r="W1149" s="399"/>
      <c r="X1149" s="396"/>
      <c r="Y1149" s="389"/>
      <c r="Z1149" s="396"/>
      <c r="AA1149" s="388"/>
      <c r="AB1149" s="390"/>
    </row>
    <row r="1150" spans="1:28">
      <c r="A1150" s="384" t="str">
        <f t="shared" ref="A1150:B1150" si="3631">A1135</f>
        <v>Lantai 1</v>
      </c>
      <c r="B1150" s="385">
        <f t="shared" si="3631"/>
        <v>37</v>
      </c>
      <c r="C1150" s="393" t="s">
        <v>209</v>
      </c>
      <c r="D1150" s="398">
        <f>VLOOKUP(D1135,'Detail Balok'!$C$10:$AU$140,22,FALSE)</f>
        <v>3</v>
      </c>
      <c r="E1150" s="388" t="s">
        <v>16</v>
      </c>
      <c r="F1150" s="388">
        <f>VLOOKUP(D1135,'Detail Balok'!$C$10:$AU$140,24,FALSE)</f>
        <v>16</v>
      </c>
      <c r="G1150" s="388"/>
      <c r="H1150" s="395"/>
      <c r="I1150" s="388" t="s">
        <v>203</v>
      </c>
      <c r="J1150" s="399">
        <f t="shared" ref="J1150:J1212" si="3632">+J1142</f>
        <v>1.375</v>
      </c>
      <c r="K1150" s="400" t="s">
        <v>204</v>
      </c>
      <c r="L1150" s="399">
        <f t="shared" ref="L1150" si="3633">MAX(VLOOKUP(F1150,N$6:P$15,3,FALSE)/1000,2/3*D1140/1000)+F$16*F1150/1000</f>
        <v>0.192</v>
      </c>
      <c r="M1150" s="399" t="s">
        <v>176</v>
      </c>
      <c r="N1150" s="399">
        <f t="shared" ref="N1150:N1152" si="3634">J1150+L1150</f>
        <v>1.5669999999999999</v>
      </c>
      <c r="O1150" s="399" t="s">
        <v>204</v>
      </c>
      <c r="P1150" s="389">
        <f t="shared" ref="P1150" si="3635">D1150-D1151</f>
        <v>0</v>
      </c>
      <c r="Q1150" s="399" t="s">
        <v>125</v>
      </c>
      <c r="R1150" s="399">
        <f t="shared" ref="R1150" si="3636">IF(P1150&gt;0,$F$18*F1150/1000,0)</f>
        <v>0</v>
      </c>
      <c r="S1150" s="399" t="s">
        <v>205</v>
      </c>
      <c r="T1150" s="399" t="s">
        <v>125</v>
      </c>
      <c r="U1150" s="401">
        <f t="shared" ref="U1150:U1152" si="3637">0.006165*F1150^2</f>
        <v>1.5782400000000001</v>
      </c>
      <c r="V1150" s="399"/>
      <c r="W1150" s="399"/>
      <c r="X1150" s="399" t="s">
        <v>125</v>
      </c>
      <c r="Y1150" s="389">
        <f t="shared" ref="Y1150" si="3638">D1141</f>
        <v>1</v>
      </c>
      <c r="Z1150" s="400" t="s">
        <v>176</v>
      </c>
      <c r="AA1150" s="402">
        <f t="shared" ref="AA1150" si="3639">IF(AA1153=0,(D1150*N1150+P1150*R1150)*U1150*Y1150,0)</f>
        <v>0</v>
      </c>
      <c r="AB1150" s="403"/>
    </row>
    <row r="1151" spans="1:28">
      <c r="A1151" s="384" t="str">
        <f t="shared" ref="A1151:B1151" si="3640">A1135</f>
        <v>Lantai 1</v>
      </c>
      <c r="B1151" s="385">
        <f t="shared" si="3640"/>
        <v>37</v>
      </c>
      <c r="C1151" s="393" t="s">
        <v>210</v>
      </c>
      <c r="D1151" s="398">
        <f>VLOOKUP(D1135,'Detail Balok'!$C$10:$AU$140,25,FALSE)</f>
        <v>3</v>
      </c>
      <c r="E1151" s="388" t="s">
        <v>16</v>
      </c>
      <c r="F1151" s="388">
        <f>VLOOKUP(D1135,'Detail Balok'!$C$10:$AU$140,27,FALSE)</f>
        <v>16</v>
      </c>
      <c r="G1151" s="388"/>
      <c r="H1151" s="395"/>
      <c r="I1151" s="388" t="s">
        <v>203</v>
      </c>
      <c r="J1151" s="399">
        <f t="shared" si="3632"/>
        <v>2.75</v>
      </c>
      <c r="K1151" s="400" t="s">
        <v>204</v>
      </c>
      <c r="L1151" s="399"/>
      <c r="M1151" s="399" t="s">
        <v>176</v>
      </c>
      <c r="N1151" s="399">
        <f t="shared" si="3634"/>
        <v>2.75</v>
      </c>
      <c r="O1151" s="399" t="s">
        <v>204</v>
      </c>
      <c r="P1151" s="389">
        <f t="shared" ref="P1151" si="3641">MAX(D1151-D1150,D1151-D1152)</f>
        <v>0</v>
      </c>
      <c r="Q1151" s="399" t="s">
        <v>125</v>
      </c>
      <c r="R1151" s="399">
        <f t="shared" ref="R1151" si="3642">IF(P1151&gt;0,2*(1-2*$F$19-1/2)*D1138/1000,0)</f>
        <v>0</v>
      </c>
      <c r="S1151" s="399" t="s">
        <v>205</v>
      </c>
      <c r="T1151" s="399" t="s">
        <v>125</v>
      </c>
      <c r="U1151" s="401">
        <f t="shared" si="3637"/>
        <v>1.5782400000000001</v>
      </c>
      <c r="V1151" s="399"/>
      <c r="W1151" s="399"/>
      <c r="X1151" s="399" t="s">
        <v>125</v>
      </c>
      <c r="Y1151" s="389">
        <f t="shared" ref="Y1151" si="3643">D1141</f>
        <v>1</v>
      </c>
      <c r="Z1151" s="400" t="s">
        <v>176</v>
      </c>
      <c r="AA1151" s="402">
        <f t="shared" ref="AA1151" si="3644">IF(AA1153=0,(D1151*N1151+P1151*R1151)*U1151*Y1151,0)</f>
        <v>0</v>
      </c>
      <c r="AB1151" s="403"/>
    </row>
    <row r="1152" spans="1:28">
      <c r="A1152" s="384" t="str">
        <f t="shared" ref="A1152:B1152" si="3645">A1135</f>
        <v>Lantai 1</v>
      </c>
      <c r="B1152" s="385">
        <f t="shared" si="3645"/>
        <v>37</v>
      </c>
      <c r="C1152" s="393" t="s">
        <v>209</v>
      </c>
      <c r="D1152" s="398">
        <f>VLOOKUP(D1135,'Detail Balok'!$C$10:$AU$140,28,FALSE)</f>
        <v>3</v>
      </c>
      <c r="E1152" s="388" t="s">
        <v>16</v>
      </c>
      <c r="F1152" s="388">
        <f>VLOOKUP(D1135,'Detail Balok'!$C$10:$AU$140,30,FALSE)</f>
        <v>16</v>
      </c>
      <c r="G1152" s="388"/>
      <c r="H1152" s="395"/>
      <c r="I1152" s="388" t="s">
        <v>203</v>
      </c>
      <c r="J1152" s="399">
        <f t="shared" si="3632"/>
        <v>1.375</v>
      </c>
      <c r="K1152" s="400" t="s">
        <v>204</v>
      </c>
      <c r="L1152" s="399">
        <f t="shared" ref="L1152" si="3646">MAX(VLOOKUP(F1152,N$6:P$15,3,FALSE)/1000,2/3*D1140/1000)+F$16*F1152/1000</f>
        <v>0.192</v>
      </c>
      <c r="M1152" s="399" t="s">
        <v>176</v>
      </c>
      <c r="N1152" s="399">
        <f t="shared" si="3634"/>
        <v>1.5669999999999999</v>
      </c>
      <c r="O1152" s="399" t="s">
        <v>204</v>
      </c>
      <c r="P1152" s="389">
        <f t="shared" ref="P1152" si="3647">D1152-D1151</f>
        <v>0</v>
      </c>
      <c r="Q1152" s="399" t="s">
        <v>125</v>
      </c>
      <c r="R1152" s="399">
        <f t="shared" ref="R1152" si="3648">IF(P1152&gt;0,$F$18*F1152/1000,0)</f>
        <v>0</v>
      </c>
      <c r="S1152" s="399" t="s">
        <v>205</v>
      </c>
      <c r="T1152" s="399" t="s">
        <v>125</v>
      </c>
      <c r="U1152" s="401">
        <f t="shared" si="3637"/>
        <v>1.5782400000000001</v>
      </c>
      <c r="V1152" s="399"/>
      <c r="W1152" s="399"/>
      <c r="X1152" s="399" t="s">
        <v>125</v>
      </c>
      <c r="Y1152" s="389">
        <f t="shared" ref="Y1152" si="3649">D1141</f>
        <v>1</v>
      </c>
      <c r="Z1152" s="400" t="s">
        <v>176</v>
      </c>
      <c r="AA1152" s="402">
        <f t="shared" ref="AA1152" si="3650">IF(AA1153=0,(D1152*N1152+P1152*R1152)*U1152*Y1152,0)</f>
        <v>0</v>
      </c>
      <c r="AB1152" s="403"/>
    </row>
    <row r="1153" spans="1:28">
      <c r="A1153" s="384" t="str">
        <f t="shared" ref="A1153:B1153" si="3651">A1135</f>
        <v>Lantai 1</v>
      </c>
      <c r="B1153" s="385">
        <f t="shared" si="3651"/>
        <v>37</v>
      </c>
      <c r="C1153" s="393"/>
      <c r="D1153" s="398">
        <f t="shared" ref="D1153:D1213" si="3652">IF(AND(D1150=D1151,D1151=D1152,D1150=D1152),D1150,0)</f>
        <v>3</v>
      </c>
      <c r="E1153" s="388" t="s">
        <v>16</v>
      </c>
      <c r="F1153" s="388">
        <f t="shared" ref="F1153:F1213" si="3653">IF(AND(F1150=F1151,F1150=F1152,F1151=F1152),F1150,0)</f>
        <v>16</v>
      </c>
      <c r="G1153" s="388"/>
      <c r="H1153" s="395"/>
      <c r="I1153" s="388"/>
      <c r="J1153" s="396"/>
      <c r="K1153" s="396"/>
      <c r="L1153" s="404" t="s">
        <v>207</v>
      </c>
      <c r="M1153" s="399" t="s">
        <v>176</v>
      </c>
      <c r="N1153" s="399">
        <f t="shared" ref="N1153" si="3654">IF(AND(D1150=D1151,D1150=D1152,D1151=D1152,F1150=F1151,F1150=F1152,F1151=F1152),SUM(N1150:N1152),0)</f>
        <v>5.8840000000000003</v>
      </c>
      <c r="O1153" s="399" t="s">
        <v>204</v>
      </c>
      <c r="P1153" s="389">
        <f t="shared" ref="P1153" si="3655">IF(N1153&gt;12,ROUNDDOWN(N1153/12,0),0)</f>
        <v>0</v>
      </c>
      <c r="Q1153" s="399" t="s">
        <v>125</v>
      </c>
      <c r="R1153" s="399">
        <f t="shared" ref="R1153" si="3656">IF(P1153&gt;0,MAX(VLOOKUP(F1153,$D$6:$G$15,3,FALSE),600),0)/1000</f>
        <v>0</v>
      </c>
      <c r="S1153" s="396"/>
      <c r="T1153" s="396" t="s">
        <v>125</v>
      </c>
      <c r="U1153" s="401">
        <f t="shared" ref="U1153:U1213" si="3657">U1152</f>
        <v>1.5782400000000001</v>
      </c>
      <c r="V1153" s="396" t="s">
        <v>125</v>
      </c>
      <c r="W1153" s="399">
        <f t="shared" ref="W1153" si="3658">D1153</f>
        <v>3</v>
      </c>
      <c r="X1153" s="399" t="s">
        <v>125</v>
      </c>
      <c r="Y1153" s="389">
        <f t="shared" ref="Y1153:Y1213" si="3659">Y1152</f>
        <v>1</v>
      </c>
      <c r="Z1153" s="400" t="s">
        <v>176</v>
      </c>
      <c r="AA1153" s="402">
        <f t="shared" ref="AA1153" si="3660">(N1153+P1153*R1153/1000)*U1153*W1153*Y1153</f>
        <v>27.859092480000005</v>
      </c>
      <c r="AB1153" s="403"/>
    </row>
    <row r="1154" spans="1:28">
      <c r="A1154" s="384"/>
      <c r="B1154" s="385"/>
      <c r="C1154" s="393"/>
      <c r="D1154" s="394"/>
      <c r="E1154" s="388"/>
      <c r="F1154" s="388"/>
      <c r="G1154" s="388"/>
      <c r="H1154" s="395"/>
      <c r="I1154" s="388"/>
      <c r="J1154" s="399"/>
      <c r="K1154" s="396"/>
      <c r="L1154" s="396"/>
      <c r="M1154" s="396"/>
      <c r="N1154" s="396"/>
      <c r="O1154" s="396"/>
      <c r="P1154" s="389"/>
      <c r="Q1154" s="396"/>
      <c r="R1154" s="396"/>
      <c r="S1154" s="396"/>
      <c r="T1154" s="396"/>
      <c r="U1154" s="401"/>
      <c r="V1154" s="396"/>
      <c r="W1154" s="388"/>
      <c r="X1154" s="396"/>
      <c r="Y1154" s="389"/>
      <c r="Z1154" s="396"/>
      <c r="AA1154" s="388"/>
      <c r="AB1154" s="390"/>
    </row>
    <row r="1155" spans="1:28">
      <c r="A1155" s="384" t="str">
        <f t="shared" ref="A1155:B1155" si="3661">A1135</f>
        <v>Lantai 1</v>
      </c>
      <c r="B1155" s="385">
        <f t="shared" si="3661"/>
        <v>37</v>
      </c>
      <c r="C1155" s="393" t="s">
        <v>211</v>
      </c>
      <c r="D1155" s="398">
        <f>VLOOKUP(D1135,'Detail Balok'!$C$10:$AU$140,31,FALSE)</f>
        <v>0</v>
      </c>
      <c r="E1155" s="388" t="s">
        <v>16</v>
      </c>
      <c r="F1155" s="388">
        <f>VLOOKUP(D1135,'Detail Balok'!$C$10:$AU$140,33,FALSE)</f>
        <v>8</v>
      </c>
      <c r="G1155" s="405" t="s">
        <v>157</v>
      </c>
      <c r="H1155" s="395">
        <f>VLOOKUP(D1135,'Detail Balok'!$C$10:$AU$140,35,FALSE)</f>
        <v>150</v>
      </c>
      <c r="I1155" s="388"/>
      <c r="J1155" s="400">
        <f t="shared" ref="J1155" si="3662">(IF(D1155=0,(2*(D1136+G1136))-(F$5*8),IF(D1155=3,(2*(D1136+G1136))-(F$5*8)+(G1136-2*F$5),IF(D1155=4,(2*(D1136+G1136))-(F$5*8)+2*(G1136-2*F$5)))))/1000</f>
        <v>0.88</v>
      </c>
      <c r="K1155" s="400" t="s">
        <v>204</v>
      </c>
      <c r="L1155" s="399">
        <f t="shared" ref="L1155:L1157" si="3663">IF(D1155=0,2*MAX(6*F1155,75),(D1155-1)*2*MAX(6*F1155,75))/1000</f>
        <v>0.15</v>
      </c>
      <c r="M1155" s="399" t="s">
        <v>176</v>
      </c>
      <c r="N1155" s="399">
        <f t="shared" ref="N1155:N1157" si="3664">J1155+L1155</f>
        <v>1.03</v>
      </c>
      <c r="O1155" s="399"/>
      <c r="P1155" s="389"/>
      <c r="Q1155" s="399"/>
      <c r="R1155" s="399"/>
      <c r="S1155" s="399"/>
      <c r="T1155" s="399" t="s">
        <v>125</v>
      </c>
      <c r="U1155" s="401">
        <f t="shared" ref="U1155:U1157" si="3665">0.006165*F1155^2</f>
        <v>0.39456000000000002</v>
      </c>
      <c r="V1155" s="399" t="s">
        <v>125</v>
      </c>
      <c r="W1155" s="399">
        <f t="shared" ref="W1155" si="3666">IF(D1138&gt;4*G1136,ROUND(MAX(D1138/4,2*G1136)/H1155,0)+1,ROUND(D1138/H1155,0)+1)</f>
        <v>10</v>
      </c>
      <c r="X1155" s="399" t="s">
        <v>125</v>
      </c>
      <c r="Y1155" s="389">
        <f t="shared" ref="Y1155" si="3667">D1141</f>
        <v>1</v>
      </c>
      <c r="Z1155" s="400" t="s">
        <v>176</v>
      </c>
      <c r="AA1155" s="402">
        <f t="shared" ref="AA1155:AA1157" si="3668">N1155*U1155*W1155*Y1155</f>
        <v>4.0639680000000009</v>
      </c>
      <c r="AB1155" s="403"/>
    </row>
    <row r="1156" spans="1:28">
      <c r="A1156" s="384" t="str">
        <f t="shared" ref="A1156:B1156" si="3669">A1135</f>
        <v>Lantai 1</v>
      </c>
      <c r="B1156" s="385">
        <f t="shared" si="3669"/>
        <v>37</v>
      </c>
      <c r="C1156" s="393" t="s">
        <v>212</v>
      </c>
      <c r="D1156" s="398">
        <f>VLOOKUP(D1135,'Detail Balok'!$C$10:$AU$140,36,FALSE)</f>
        <v>0</v>
      </c>
      <c r="E1156" s="388" t="s">
        <v>16</v>
      </c>
      <c r="F1156" s="388">
        <f>VLOOKUP(D1135,'Detail Balok'!$C$10:$AU$140,38,FALSE)</f>
        <v>8</v>
      </c>
      <c r="G1156" s="405" t="s">
        <v>157</v>
      </c>
      <c r="H1156" s="395">
        <f>VLOOKUP(D1135,'Detail Balok'!$C$10:$AU$140,40,FALSE)</f>
        <v>200</v>
      </c>
      <c r="I1156" s="388"/>
      <c r="J1156" s="400">
        <f t="shared" ref="J1156" si="3670">(IF(D1156=0,(2*(D1136+G1136))-(F$5*8),IF(D1156=3,(2*(D1136+G1136))-(F$5*8)+(G1136-2*F$5),IF(D1156=4,(2*(D1136+G1136))-(F$5*8)+2*(G1136-2*F$5)))))/1000</f>
        <v>0.88</v>
      </c>
      <c r="K1156" s="400" t="s">
        <v>204</v>
      </c>
      <c r="L1156" s="399">
        <f t="shared" si="3663"/>
        <v>0.15</v>
      </c>
      <c r="M1156" s="399" t="s">
        <v>176</v>
      </c>
      <c r="N1156" s="399">
        <f t="shared" si="3664"/>
        <v>1.03</v>
      </c>
      <c r="O1156" s="399"/>
      <c r="P1156" s="389"/>
      <c r="Q1156" s="399"/>
      <c r="R1156" s="399"/>
      <c r="S1156" s="399"/>
      <c r="T1156" s="399" t="s">
        <v>125</v>
      </c>
      <c r="U1156" s="401">
        <f t="shared" si="3665"/>
        <v>0.39456000000000002</v>
      </c>
      <c r="V1156" s="399" t="s">
        <v>125</v>
      </c>
      <c r="W1156" s="399">
        <f t="shared" ref="W1156" si="3671">IF(D1138-MAX(D1138/4,2*G1136)*2&gt;0,ROUND((D1138-MAX(D1138/4,2*G1136)*2)/H1156,0),0)</f>
        <v>14</v>
      </c>
      <c r="X1156" s="399" t="s">
        <v>125</v>
      </c>
      <c r="Y1156" s="389">
        <f t="shared" ref="Y1156" si="3672">D1141</f>
        <v>1</v>
      </c>
      <c r="Z1156" s="400" t="s">
        <v>176</v>
      </c>
      <c r="AA1156" s="402">
        <f t="shared" si="3668"/>
        <v>5.6895552000000009</v>
      </c>
      <c r="AB1156" s="403"/>
    </row>
    <row r="1157" spans="1:28">
      <c r="A1157" s="384" t="str">
        <f t="shared" ref="A1157:B1157" si="3673">A1135</f>
        <v>Lantai 1</v>
      </c>
      <c r="B1157" s="385">
        <f t="shared" si="3673"/>
        <v>37</v>
      </c>
      <c r="C1157" s="393" t="s">
        <v>211</v>
      </c>
      <c r="D1157" s="398">
        <f>VLOOKUP(D1135,'Detail Balok'!$C$10:$AU$140,41,FALSE)</f>
        <v>0</v>
      </c>
      <c r="E1157" s="388" t="s">
        <v>16</v>
      </c>
      <c r="F1157" s="388">
        <f>VLOOKUP(D1135,'Detail Balok'!$C$10:$AU$140,43,FALSE)</f>
        <v>8</v>
      </c>
      <c r="G1157" s="405" t="s">
        <v>157</v>
      </c>
      <c r="H1157" s="395">
        <f>VLOOKUP(D1135,'Detail Balok'!$C$10:$AU$140,45,FALSE)</f>
        <v>150</v>
      </c>
      <c r="I1157" s="388"/>
      <c r="J1157" s="400">
        <f t="shared" ref="J1157" si="3674">(IF(D1157=0,(2*(D1136+G1136))-(F$5*8),IF(D1157=3,(2*(D1136+G1136))-(F$5*8)+(G1136-2*F$5),IF(D1157=4,(2*(D1136+G1136))-(F$5*8)+2*(G1136-2*F$5)))))/1000</f>
        <v>0.88</v>
      </c>
      <c r="K1157" s="400" t="s">
        <v>204</v>
      </c>
      <c r="L1157" s="399">
        <f t="shared" si="3663"/>
        <v>0.15</v>
      </c>
      <c r="M1157" s="399" t="s">
        <v>176</v>
      </c>
      <c r="N1157" s="399">
        <f t="shared" si="3664"/>
        <v>1.03</v>
      </c>
      <c r="O1157" s="399"/>
      <c r="P1157" s="389"/>
      <c r="Q1157" s="399"/>
      <c r="R1157" s="399"/>
      <c r="S1157" s="399"/>
      <c r="T1157" s="399" t="s">
        <v>125</v>
      </c>
      <c r="U1157" s="401">
        <f t="shared" si="3665"/>
        <v>0.39456000000000002</v>
      </c>
      <c r="V1157" s="399" t="s">
        <v>125</v>
      </c>
      <c r="W1157" s="399">
        <f t="shared" ref="W1157" si="3675">IF(D1138&gt;4*G1136,ROUND(MAX(D1138/4,2*G1136)/H1157,0)+1,0)</f>
        <v>10</v>
      </c>
      <c r="X1157" s="399" t="s">
        <v>125</v>
      </c>
      <c r="Y1157" s="389">
        <f t="shared" ref="Y1157" si="3676">D1141</f>
        <v>1</v>
      </c>
      <c r="Z1157" s="400" t="s">
        <v>176</v>
      </c>
      <c r="AA1157" s="402">
        <f t="shared" si="3668"/>
        <v>4.0639680000000009</v>
      </c>
      <c r="AB1157" s="403"/>
    </row>
    <row r="1158" spans="1:28">
      <c r="A1158" s="384"/>
      <c r="B1158" s="385"/>
      <c r="C1158" s="393"/>
      <c r="D1158" s="394"/>
      <c r="E1158" s="388"/>
      <c r="F1158" s="388"/>
      <c r="G1158" s="388"/>
      <c r="H1158" s="395"/>
      <c r="I1158" s="388"/>
      <c r="J1158" s="399"/>
      <c r="K1158" s="396"/>
      <c r="L1158" s="396"/>
      <c r="M1158" s="396"/>
      <c r="N1158" s="396"/>
      <c r="O1158" s="396"/>
      <c r="P1158" s="389"/>
      <c r="Q1158" s="396"/>
      <c r="R1158" s="396"/>
      <c r="S1158" s="396"/>
      <c r="T1158" s="396"/>
      <c r="U1158" s="401"/>
      <c r="V1158" s="396"/>
      <c r="W1158" s="388"/>
      <c r="X1158" s="396"/>
      <c r="Y1158" s="389"/>
      <c r="Z1158" s="396"/>
      <c r="AA1158" s="388"/>
      <c r="AB1158" s="390"/>
    </row>
    <row r="1159" spans="1:28">
      <c r="A1159" s="384" t="str">
        <f t="shared" ref="A1159:B1159" si="3677">A1135</f>
        <v>Lantai 1</v>
      </c>
      <c r="B1159" s="385">
        <f t="shared" si="3677"/>
        <v>37</v>
      </c>
      <c r="C1159" s="393" t="s">
        <v>213</v>
      </c>
      <c r="D1159" s="398">
        <f>VLOOKUP(D1135,'Detail Balok'!$C$10:$BJ$140,46,FALSE)</f>
        <v>0</v>
      </c>
      <c r="E1159" s="388" t="s">
        <v>16</v>
      </c>
      <c r="F1159" s="388">
        <f>VLOOKUP(D1135,'Detail Balok'!$C$10:$BJ$140,48,FALSE)</f>
        <v>0</v>
      </c>
      <c r="G1159" s="405" t="s">
        <v>157</v>
      </c>
      <c r="H1159" s="395">
        <f>VLOOKUP(D1135,'Detail Balok'!$C$10:$BJ$140,50,FALSE)</f>
        <v>100</v>
      </c>
      <c r="I1159" s="388"/>
      <c r="J1159" s="399">
        <f t="shared" ref="J1159" si="3678">(D1136-2*F$5)/1000</f>
        <v>0.12</v>
      </c>
      <c r="K1159" s="400" t="s">
        <v>204</v>
      </c>
      <c r="L1159" s="399">
        <f t="shared" ref="L1159:L1161" si="3679">IF(D1159=0,2*MAX(6*F1159,75),(D1159-1)*2*MAX(6*F1159,75))/1000</f>
        <v>0.15</v>
      </c>
      <c r="M1159" s="399" t="s">
        <v>176</v>
      </c>
      <c r="N1159" s="399">
        <f t="shared" ref="N1159:N1161" si="3680">J1159+L1159</f>
        <v>0.27</v>
      </c>
      <c r="O1159" s="399"/>
      <c r="P1159" s="399"/>
      <c r="Q1159" s="399"/>
      <c r="R1159" s="399"/>
      <c r="S1159" s="399"/>
      <c r="T1159" s="399" t="s">
        <v>125</v>
      </c>
      <c r="U1159" s="401">
        <f t="shared" ref="U1159:U1161" si="3681">0.006165*F1159^2</f>
        <v>0</v>
      </c>
      <c r="V1159" s="399" t="s">
        <v>125</v>
      </c>
      <c r="W1159" s="399">
        <f t="shared" ref="W1159:W1221" si="3682">W1155</f>
        <v>10</v>
      </c>
      <c r="X1159" s="399" t="s">
        <v>125</v>
      </c>
      <c r="Y1159" s="389">
        <f t="shared" ref="Y1159" si="3683">D1145</f>
        <v>3</v>
      </c>
      <c r="Z1159" s="400" t="s">
        <v>176</v>
      </c>
      <c r="AA1159" s="402">
        <f t="shared" ref="AA1159:AA1161" si="3684">N1159*U1159*W1159*Y1159</f>
        <v>0</v>
      </c>
      <c r="AB1159" s="403"/>
    </row>
    <row r="1160" spans="1:28">
      <c r="A1160" s="384" t="str">
        <f t="shared" ref="A1160:B1160" si="3685">A1135</f>
        <v>Lantai 1</v>
      </c>
      <c r="B1160" s="385">
        <f t="shared" si="3685"/>
        <v>37</v>
      </c>
      <c r="C1160" s="393" t="s">
        <v>214</v>
      </c>
      <c r="D1160" s="398">
        <f>VLOOKUP(D1135,'Detail Balok'!$C$10:$BJ$140,51,FALSE)</f>
        <v>0</v>
      </c>
      <c r="E1160" s="388" t="s">
        <v>16</v>
      </c>
      <c r="F1160" s="388">
        <f>VLOOKUP(D1135,'Detail Balok'!$C$10:$BJ$140,53,FALSE)</f>
        <v>0</v>
      </c>
      <c r="G1160" s="405" t="s">
        <v>157</v>
      </c>
      <c r="H1160" s="395">
        <f>VLOOKUP(D1135,'Detail Balok'!$C$10:$BJ$140,55,FALSE)</f>
        <v>100</v>
      </c>
      <c r="I1160" s="388"/>
      <c r="J1160" s="399">
        <f t="shared" ref="J1160" si="3686">(D1136-2*F$5)/1000</f>
        <v>0.12</v>
      </c>
      <c r="K1160" s="400" t="s">
        <v>204</v>
      </c>
      <c r="L1160" s="399">
        <f t="shared" si="3679"/>
        <v>0.15</v>
      </c>
      <c r="M1160" s="399" t="s">
        <v>176</v>
      </c>
      <c r="N1160" s="399">
        <f t="shared" si="3680"/>
        <v>0.27</v>
      </c>
      <c r="O1160" s="399"/>
      <c r="P1160" s="399"/>
      <c r="Q1160" s="399"/>
      <c r="R1160" s="399"/>
      <c r="S1160" s="399"/>
      <c r="T1160" s="399" t="s">
        <v>125</v>
      </c>
      <c r="U1160" s="401">
        <f t="shared" si="3681"/>
        <v>0</v>
      </c>
      <c r="V1160" s="399" t="s">
        <v>125</v>
      </c>
      <c r="W1160" s="399">
        <f t="shared" si="3682"/>
        <v>14</v>
      </c>
      <c r="X1160" s="399" t="s">
        <v>125</v>
      </c>
      <c r="Y1160" s="389">
        <f t="shared" ref="Y1160" si="3687">D1145</f>
        <v>3</v>
      </c>
      <c r="Z1160" s="400" t="s">
        <v>176</v>
      </c>
      <c r="AA1160" s="402">
        <f t="shared" si="3684"/>
        <v>0</v>
      </c>
      <c r="AB1160" s="403"/>
    </row>
    <row r="1161" spans="1:28">
      <c r="A1161" s="384" t="str">
        <f t="shared" ref="A1161:B1161" si="3688">A1135</f>
        <v>Lantai 1</v>
      </c>
      <c r="B1161" s="385">
        <f t="shared" si="3688"/>
        <v>37</v>
      </c>
      <c r="C1161" s="393" t="s">
        <v>213</v>
      </c>
      <c r="D1161" s="398">
        <f>VLOOKUP(D1135,'Detail Balok'!$C$10:$BJ$140,56,FALSE)</f>
        <v>0</v>
      </c>
      <c r="E1161" s="388" t="s">
        <v>16</v>
      </c>
      <c r="F1161" s="388">
        <f>VLOOKUP(D1135,'Detail Balok'!$C$10:$BJ$140,58,FALSE)</f>
        <v>0</v>
      </c>
      <c r="G1161" s="405" t="s">
        <v>157</v>
      </c>
      <c r="H1161" s="395">
        <f>VLOOKUP(D1135,'Detail Balok'!$C$10:$BJ$140,60,FALSE)</f>
        <v>100</v>
      </c>
      <c r="I1161" s="388"/>
      <c r="J1161" s="399">
        <f t="shared" ref="J1161" si="3689">(D1136-2*F$5)/1000</f>
        <v>0.12</v>
      </c>
      <c r="K1161" s="400" t="s">
        <v>204</v>
      </c>
      <c r="L1161" s="399">
        <f t="shared" si="3679"/>
        <v>0.15</v>
      </c>
      <c r="M1161" s="399" t="s">
        <v>176</v>
      </c>
      <c r="N1161" s="399">
        <f t="shared" si="3680"/>
        <v>0.27</v>
      </c>
      <c r="O1161" s="399"/>
      <c r="P1161" s="399"/>
      <c r="Q1161" s="399"/>
      <c r="R1161" s="399"/>
      <c r="S1161" s="399"/>
      <c r="T1161" s="399" t="s">
        <v>125</v>
      </c>
      <c r="U1161" s="401">
        <f t="shared" si="3681"/>
        <v>0</v>
      </c>
      <c r="V1161" s="399" t="s">
        <v>125</v>
      </c>
      <c r="W1161" s="399">
        <f t="shared" si="3682"/>
        <v>10</v>
      </c>
      <c r="X1161" s="399" t="s">
        <v>125</v>
      </c>
      <c r="Y1161" s="389">
        <f t="shared" ref="Y1161" si="3690">D1145</f>
        <v>3</v>
      </c>
      <c r="Z1161" s="400" t="s">
        <v>176</v>
      </c>
      <c r="AA1161" s="402">
        <f t="shared" si="3684"/>
        <v>0</v>
      </c>
      <c r="AB1161" s="403"/>
    </row>
    <row r="1162" spans="1:28">
      <c r="A1162" s="391"/>
      <c r="B1162" s="392"/>
      <c r="C1162" s="392"/>
      <c r="D1162" s="394"/>
      <c r="E1162" s="388"/>
      <c r="F1162" s="388"/>
      <c r="G1162" s="388"/>
      <c r="H1162" s="395"/>
      <c r="I1162" s="388"/>
      <c r="J1162" s="402"/>
      <c r="K1162" s="388"/>
      <c r="L1162" s="388"/>
      <c r="M1162" s="388"/>
      <c r="N1162" s="388"/>
      <c r="O1162" s="388"/>
      <c r="P1162" s="388"/>
      <c r="Q1162" s="388"/>
      <c r="R1162" s="388"/>
      <c r="S1162" s="388"/>
      <c r="T1162" s="388"/>
      <c r="U1162" s="388"/>
      <c r="V1162" s="388"/>
      <c r="W1162" s="388"/>
      <c r="X1162" s="388"/>
      <c r="Y1162" s="389"/>
      <c r="Z1162" s="388"/>
      <c r="AA1162" s="402"/>
      <c r="AB1162" s="403"/>
    </row>
    <row r="1163" spans="1:28" ht="15.75" thickBot="1">
      <c r="A1163" s="406"/>
      <c r="B1163" s="407"/>
      <c r="C1163" s="407"/>
      <c r="D1163" s="408"/>
      <c r="E1163" s="409"/>
      <c r="F1163" s="409"/>
      <c r="G1163" s="409"/>
      <c r="H1163" s="410"/>
      <c r="I1163" s="409"/>
      <c r="J1163" s="409"/>
      <c r="K1163" s="409"/>
      <c r="L1163" s="409"/>
      <c r="M1163" s="409"/>
      <c r="N1163" s="409"/>
      <c r="O1163" s="409"/>
      <c r="P1163" s="409"/>
      <c r="Q1163" s="409"/>
      <c r="R1163" s="409"/>
      <c r="S1163" s="409"/>
      <c r="T1163" s="409"/>
      <c r="U1163" s="409"/>
      <c r="V1163" s="409"/>
      <c r="W1163" s="409"/>
      <c r="X1163" s="409"/>
      <c r="Y1163" s="411"/>
      <c r="Z1163" s="409"/>
      <c r="AA1163" s="412"/>
      <c r="AB1163" s="413"/>
    </row>
    <row r="1164" spans="1:28">
      <c r="A1164" s="377"/>
      <c r="B1164" s="378"/>
      <c r="C1164" s="378"/>
      <c r="D1164" s="379"/>
      <c r="E1164" s="380"/>
      <c r="F1164" s="380"/>
      <c r="G1164" s="380"/>
      <c r="H1164" s="381"/>
      <c r="I1164" s="380"/>
      <c r="J1164" s="380"/>
      <c r="K1164" s="380"/>
      <c r="L1164" s="380"/>
      <c r="M1164" s="380"/>
      <c r="N1164" s="380"/>
      <c r="O1164" s="380"/>
      <c r="P1164" s="380"/>
      <c r="Q1164" s="380"/>
      <c r="R1164" s="380"/>
      <c r="S1164" s="380"/>
      <c r="T1164" s="380"/>
      <c r="U1164" s="380"/>
      <c r="V1164" s="380"/>
      <c r="W1164" s="380"/>
      <c r="X1164" s="380"/>
      <c r="Y1164" s="382"/>
      <c r="Z1164" s="380"/>
      <c r="AA1164" s="380"/>
      <c r="AB1164" s="383"/>
    </row>
    <row r="1165" spans="1:28">
      <c r="A1165" s="384" t="str">
        <f t="shared" ref="A1165:A1225" si="3691">A1135</f>
        <v>Lantai 1</v>
      </c>
      <c r="B1165" s="385">
        <f t="shared" ref="B1165:B1225" si="3692">B1135+1</f>
        <v>38</v>
      </c>
      <c r="C1165" s="386" t="str">
        <f t="shared" ref="C1165" si="3693">CONCATENATE(A1165," no. ",B1165)</f>
        <v>Lantai 1 no. 38</v>
      </c>
      <c r="D1165" s="2562" t="str">
        <f>VLOOKUP(C1165,'Data Panjang Balok'!$C$9:$N$254,2,FALSE)</f>
        <v>S24-1</v>
      </c>
      <c r="E1165" s="2576"/>
      <c r="F1165" s="2576"/>
      <c r="G1165" s="2576"/>
      <c r="H1165" s="2577"/>
      <c r="I1165" s="387"/>
      <c r="J1165" s="388"/>
      <c r="K1165" s="388"/>
      <c r="L1165" s="388"/>
      <c r="M1165" s="388"/>
      <c r="N1165" s="388"/>
      <c r="O1165" s="388"/>
      <c r="P1165" s="388"/>
      <c r="Q1165" s="388"/>
      <c r="R1165" s="388"/>
      <c r="S1165" s="388"/>
      <c r="T1165" s="388"/>
      <c r="U1165" s="388"/>
      <c r="V1165" s="388"/>
      <c r="W1165" s="388"/>
      <c r="X1165" s="388"/>
      <c r="Y1165" s="389"/>
      <c r="Z1165" s="388"/>
      <c r="AA1165" s="388"/>
      <c r="AB1165" s="390"/>
    </row>
    <row r="1166" spans="1:28">
      <c r="A1166" s="391"/>
      <c r="B1166" s="392"/>
      <c r="C1166" s="393" t="s">
        <v>118</v>
      </c>
      <c r="D1166" s="2578">
        <f>VLOOKUP(D1165,'Detail Balok'!$C$10:$AU$140,2,FALSE)</f>
        <v>200</v>
      </c>
      <c r="E1166" s="2579"/>
      <c r="F1166" s="388" t="s">
        <v>125</v>
      </c>
      <c r="G1166" s="2579">
        <f>VLOOKUP(D1165,'Detail Balok'!$C$10:$AU$140,3,FALSE)</f>
        <v>400</v>
      </c>
      <c r="H1166" s="2580"/>
      <c r="I1166" s="388"/>
      <c r="J1166" s="396"/>
      <c r="K1166" s="396"/>
      <c r="L1166" s="396"/>
      <c r="M1166" s="396"/>
      <c r="N1166" s="396"/>
      <c r="O1166" s="396"/>
      <c r="P1166" s="396"/>
      <c r="Q1166" s="396"/>
      <c r="R1166" s="396"/>
      <c r="S1166" s="396"/>
      <c r="T1166" s="396"/>
      <c r="U1166" s="388"/>
      <c r="V1166" s="396"/>
      <c r="W1166" s="388"/>
      <c r="X1166" s="396"/>
      <c r="Y1166" s="389"/>
      <c r="Z1166" s="396"/>
      <c r="AA1166" s="388"/>
      <c r="AB1166" s="390"/>
    </row>
    <row r="1167" spans="1:28">
      <c r="A1167" s="391"/>
      <c r="B1167" s="392"/>
      <c r="C1167" s="393" t="s">
        <v>198</v>
      </c>
      <c r="D1167" s="2562">
        <f>VLOOKUP(C1165,'Data Panjang Balok'!$C$9:$N$254,4,FALSE)</f>
        <v>8825</v>
      </c>
      <c r="E1167" s="2563"/>
      <c r="F1167" s="2563"/>
      <c r="G1167" s="2563"/>
      <c r="H1167" s="2564"/>
      <c r="I1167" s="397"/>
      <c r="J1167" s="396"/>
      <c r="K1167" s="396"/>
      <c r="L1167" s="396"/>
      <c r="M1167" s="396"/>
      <c r="N1167" s="396"/>
      <c r="O1167" s="396"/>
      <c r="P1167" s="396"/>
      <c r="Q1167" s="396"/>
      <c r="R1167" s="396"/>
      <c r="S1167" s="396"/>
      <c r="T1167" s="396"/>
      <c r="U1167" s="388"/>
      <c r="V1167" s="396"/>
      <c r="W1167" s="388"/>
      <c r="X1167" s="396"/>
      <c r="Y1167" s="389"/>
      <c r="Z1167" s="396"/>
      <c r="AA1167" s="388"/>
      <c r="AB1167" s="390"/>
    </row>
    <row r="1168" spans="1:28">
      <c r="A1168" s="391"/>
      <c r="B1168" s="392"/>
      <c r="C1168" s="393" t="s">
        <v>199</v>
      </c>
      <c r="D1168" s="2562">
        <f>VLOOKUP(C1165,'Data Panjang Balok'!$C$9:$N$254,7,FALSE)</f>
        <v>8825</v>
      </c>
      <c r="E1168" s="2563"/>
      <c r="F1168" s="2563"/>
      <c r="G1168" s="2563"/>
      <c r="H1168" s="2564"/>
      <c r="I1168" s="397"/>
      <c r="J1168" s="396"/>
      <c r="K1168" s="396"/>
      <c r="L1168" s="396"/>
      <c r="M1168" s="396"/>
      <c r="N1168" s="396"/>
      <c r="O1168" s="396"/>
      <c r="P1168" s="396"/>
      <c r="Q1168" s="396"/>
      <c r="R1168" s="396"/>
      <c r="S1168" s="396"/>
      <c r="T1168" s="396"/>
      <c r="U1168" s="388"/>
      <c r="V1168" s="396"/>
      <c r="W1168" s="388"/>
      <c r="X1168" s="396"/>
      <c r="Y1168" s="389"/>
      <c r="Z1168" s="396"/>
      <c r="AA1168" s="388"/>
      <c r="AB1168" s="390"/>
    </row>
    <row r="1169" spans="1:28">
      <c r="A1169" s="391"/>
      <c r="B1169" s="392"/>
      <c r="C1169" s="393" t="s">
        <v>200</v>
      </c>
      <c r="D1169" s="2562">
        <f>VLOOKUP(C1165,'Data Panjang Balok'!$C$9:$N$254,9,FALSE)</f>
        <v>0</v>
      </c>
      <c r="E1169" s="2563"/>
      <c r="F1169" s="2563"/>
      <c r="G1169" s="2563"/>
      <c r="H1169" s="2564"/>
      <c r="I1169" s="397"/>
      <c r="J1169" s="396"/>
      <c r="K1169" s="396"/>
      <c r="L1169" s="396"/>
      <c r="M1169" s="396"/>
      <c r="N1169" s="396"/>
      <c r="O1169" s="396"/>
      <c r="P1169" s="396"/>
      <c r="Q1169" s="396"/>
      <c r="R1169" s="396"/>
      <c r="S1169" s="396"/>
      <c r="T1169" s="396"/>
      <c r="U1169" s="388"/>
      <c r="V1169" s="396"/>
      <c r="W1169" s="388"/>
      <c r="X1169" s="396"/>
      <c r="Y1169" s="389"/>
      <c r="Z1169" s="396"/>
      <c r="AA1169" s="388"/>
      <c r="AB1169" s="390"/>
    </row>
    <row r="1170" spans="1:28">
      <c r="A1170" s="391"/>
      <c r="B1170" s="392"/>
      <c r="C1170" s="393" t="s">
        <v>201</v>
      </c>
      <c r="D1170" s="2562">
        <f>VLOOKUP(C1165,'Data Panjang Balok'!$C$9:$N$254,10,FALSE)</f>
        <v>0</v>
      </c>
      <c r="E1170" s="2563"/>
      <c r="F1170" s="2563"/>
      <c r="G1170" s="2563"/>
      <c r="H1170" s="2564"/>
      <c r="I1170" s="397"/>
      <c r="J1170" s="396"/>
      <c r="K1170" s="396"/>
      <c r="L1170" s="396"/>
      <c r="M1170" s="396"/>
      <c r="N1170" s="396"/>
      <c r="O1170" s="396"/>
      <c r="P1170" s="396"/>
      <c r="Q1170" s="396"/>
      <c r="R1170" s="396"/>
      <c r="S1170" s="396"/>
      <c r="T1170" s="396"/>
      <c r="U1170" s="388"/>
      <c r="V1170" s="396"/>
      <c r="W1170" s="388"/>
      <c r="X1170" s="396"/>
      <c r="Y1170" s="389"/>
      <c r="Z1170" s="396"/>
      <c r="AA1170" s="388"/>
      <c r="AB1170" s="390"/>
    </row>
    <row r="1171" spans="1:28">
      <c r="A1171" s="391"/>
      <c r="B1171" s="392"/>
      <c r="C1171" s="393" t="s">
        <v>48</v>
      </c>
      <c r="D1171" s="2562">
        <f>VLOOKUP(C1165,'Data Panjang Balok'!$C$9:$N$254,3,FALSE)</f>
        <v>1</v>
      </c>
      <c r="E1171" s="2563"/>
      <c r="F1171" s="2563"/>
      <c r="G1171" s="2563"/>
      <c r="H1171" s="2564"/>
      <c r="I1171" s="397"/>
      <c r="J1171" s="396"/>
      <c r="K1171" s="396"/>
      <c r="L1171" s="396"/>
      <c r="M1171" s="396"/>
      <c r="N1171" s="396"/>
      <c r="O1171" s="396"/>
      <c r="P1171" s="396"/>
      <c r="Q1171" s="396"/>
      <c r="R1171" s="396"/>
      <c r="S1171" s="396"/>
      <c r="T1171" s="396"/>
      <c r="U1171" s="388"/>
      <c r="V1171" s="396"/>
      <c r="W1171" s="388"/>
      <c r="X1171" s="396"/>
      <c r="Y1171" s="389"/>
      <c r="Z1171" s="396"/>
      <c r="AA1171" s="388"/>
      <c r="AB1171" s="390"/>
    </row>
    <row r="1172" spans="1:28">
      <c r="A1172" s="384" t="str">
        <f t="shared" ref="A1172:B1172" si="3694">A1165</f>
        <v>Lantai 1</v>
      </c>
      <c r="B1172" s="385">
        <f t="shared" si="3694"/>
        <v>38</v>
      </c>
      <c r="C1172" s="393" t="s">
        <v>202</v>
      </c>
      <c r="D1172" s="398">
        <f>VLOOKUP(D1165,'Detail Balok'!$C$10:$AU$140,4,FALSE)</f>
        <v>3</v>
      </c>
      <c r="E1172" s="388" t="s">
        <v>16</v>
      </c>
      <c r="F1172" s="388">
        <f>VLOOKUP(D1165,'Detail Balok'!$C$10:$AU$140,6,FALSE)</f>
        <v>13</v>
      </c>
      <c r="G1172" s="388"/>
      <c r="H1172" s="395"/>
      <c r="I1172" s="388" t="s">
        <v>203</v>
      </c>
      <c r="J1172" s="399">
        <f t="shared" ref="J1172" si="3695">+D1167/4/1000</f>
        <v>2.2062499999999998</v>
      </c>
      <c r="K1172" s="400" t="s">
        <v>204</v>
      </c>
      <c r="L1172" s="399">
        <f t="shared" ref="L1172" si="3696">MAX(VLOOKUP(F1172,N$6:P$15,3,FALSE)/1000,2/3*D1169/1000)+F$16*F1172/1000</f>
        <v>0.156</v>
      </c>
      <c r="M1172" s="399" t="s">
        <v>176</v>
      </c>
      <c r="N1172" s="399">
        <f t="shared" ref="N1172:N1174" si="3697">J1172+L1172</f>
        <v>2.36225</v>
      </c>
      <c r="O1172" s="399" t="s">
        <v>204</v>
      </c>
      <c r="P1172" s="389">
        <f t="shared" ref="P1172" si="3698">D1172-D1173</f>
        <v>0</v>
      </c>
      <c r="Q1172" s="399" t="s">
        <v>125</v>
      </c>
      <c r="R1172" s="399">
        <f t="shared" ref="R1172" si="3699">IF(P1172&gt;0,$F$18*F1172/1000,0)</f>
        <v>0</v>
      </c>
      <c r="S1172" s="399" t="s">
        <v>205</v>
      </c>
      <c r="T1172" s="399" t="s">
        <v>125</v>
      </c>
      <c r="U1172" s="401">
        <f t="shared" ref="U1172:U1174" si="3700">0.006165*F1172^2</f>
        <v>1.041885</v>
      </c>
      <c r="V1172" s="399"/>
      <c r="W1172" s="399"/>
      <c r="X1172" s="399" t="s">
        <v>125</v>
      </c>
      <c r="Y1172" s="389">
        <f t="shared" ref="Y1172" si="3701">D1171</f>
        <v>1</v>
      </c>
      <c r="Z1172" s="400" t="s">
        <v>176</v>
      </c>
      <c r="AA1172" s="402">
        <f t="shared" ref="AA1172" si="3702">IF(AA1175=0,(D1172*N1172+P1172*R1172)*U1172*Y1172,0)</f>
        <v>0</v>
      </c>
      <c r="AB1172" s="403"/>
    </row>
    <row r="1173" spans="1:28">
      <c r="A1173" s="384" t="str">
        <f t="shared" ref="A1173:B1173" si="3703">A1165</f>
        <v>Lantai 1</v>
      </c>
      <c r="B1173" s="385">
        <f t="shared" si="3703"/>
        <v>38</v>
      </c>
      <c r="C1173" s="393" t="s">
        <v>206</v>
      </c>
      <c r="D1173" s="398">
        <f>VLOOKUP(D1165,'Detail Balok'!$C$10:$AU$140,7,FALSE)</f>
        <v>3</v>
      </c>
      <c r="E1173" s="388" t="s">
        <v>16</v>
      </c>
      <c r="F1173" s="388">
        <f>VLOOKUP(D1165,'Detail Balok'!$C$10:$AU$140,9,FALSE)</f>
        <v>13</v>
      </c>
      <c r="G1173" s="388"/>
      <c r="H1173" s="395"/>
      <c r="I1173" s="388" t="s">
        <v>203</v>
      </c>
      <c r="J1173" s="399">
        <f t="shared" ref="J1173" si="3704">+D1167/2/1000</f>
        <v>4.4124999999999996</v>
      </c>
      <c r="K1173" s="400" t="s">
        <v>204</v>
      </c>
      <c r="L1173" s="399"/>
      <c r="M1173" s="399" t="s">
        <v>176</v>
      </c>
      <c r="N1173" s="399">
        <f t="shared" si="3697"/>
        <v>4.4124999999999996</v>
      </c>
      <c r="O1173" s="399" t="s">
        <v>204</v>
      </c>
      <c r="P1173" s="389">
        <f t="shared" ref="P1173" si="3705">MAX(D1173-D1172,D1173-D1174)</f>
        <v>0</v>
      </c>
      <c r="Q1173" s="399" t="s">
        <v>125</v>
      </c>
      <c r="R1173" s="399">
        <f t="shared" ref="R1173" si="3706">IF(P1173&gt;0,2*(1-2*$F$19-1/2)*D1168/1000,0)</f>
        <v>0</v>
      </c>
      <c r="S1173" s="399" t="s">
        <v>205</v>
      </c>
      <c r="T1173" s="399" t="s">
        <v>125</v>
      </c>
      <c r="U1173" s="401">
        <f t="shared" si="3700"/>
        <v>1.041885</v>
      </c>
      <c r="V1173" s="399"/>
      <c r="W1173" s="399"/>
      <c r="X1173" s="399" t="s">
        <v>125</v>
      </c>
      <c r="Y1173" s="389">
        <f t="shared" ref="Y1173" si="3707">D1171</f>
        <v>1</v>
      </c>
      <c r="Z1173" s="400" t="s">
        <v>176</v>
      </c>
      <c r="AA1173" s="402">
        <f t="shared" ref="AA1173" si="3708">IF(AA1175=0,(D1173*N1173+P1173*R1173)*U1173*Y1173,0)</f>
        <v>0</v>
      </c>
      <c r="AB1173" s="403"/>
    </row>
    <row r="1174" spans="1:28">
      <c r="A1174" s="384" t="str">
        <f t="shared" ref="A1174:B1174" si="3709">A1165</f>
        <v>Lantai 1</v>
      </c>
      <c r="B1174" s="385">
        <f t="shared" si="3709"/>
        <v>38</v>
      </c>
      <c r="C1174" s="393" t="s">
        <v>202</v>
      </c>
      <c r="D1174" s="398">
        <f>VLOOKUP(D1165,'Detail Balok'!$C$10:$AU$140,10,FALSE)</f>
        <v>3</v>
      </c>
      <c r="E1174" s="388" t="s">
        <v>16</v>
      </c>
      <c r="F1174" s="388">
        <f>VLOOKUP(D1165,'Detail Balok'!$C$10:$AU$140,12,FALSE)</f>
        <v>13</v>
      </c>
      <c r="G1174" s="388"/>
      <c r="H1174" s="395"/>
      <c r="I1174" s="388" t="s">
        <v>203</v>
      </c>
      <c r="J1174" s="399">
        <f t="shared" ref="J1174" si="3710">+D1167/4/1000</f>
        <v>2.2062499999999998</v>
      </c>
      <c r="K1174" s="400" t="s">
        <v>204</v>
      </c>
      <c r="L1174" s="399">
        <f t="shared" ref="L1174" si="3711">MAX(VLOOKUP(F1174,N$6:P$15,3,FALSE)/1000,2/3*D1169/1000)+F$16*F1174/1000</f>
        <v>0.156</v>
      </c>
      <c r="M1174" s="399" t="s">
        <v>176</v>
      </c>
      <c r="N1174" s="399">
        <f t="shared" si="3697"/>
        <v>2.36225</v>
      </c>
      <c r="O1174" s="399" t="s">
        <v>204</v>
      </c>
      <c r="P1174" s="389">
        <f t="shared" ref="P1174" si="3712">D1174-D1173</f>
        <v>0</v>
      </c>
      <c r="Q1174" s="399" t="s">
        <v>125</v>
      </c>
      <c r="R1174" s="399">
        <f t="shared" ref="R1174" si="3713">IF(P1174&gt;0,$F$18*F1174/1000,0)</f>
        <v>0</v>
      </c>
      <c r="S1174" s="399" t="s">
        <v>205</v>
      </c>
      <c r="T1174" s="399" t="s">
        <v>125</v>
      </c>
      <c r="U1174" s="401">
        <f t="shared" si="3700"/>
        <v>1.041885</v>
      </c>
      <c r="V1174" s="399"/>
      <c r="W1174" s="399"/>
      <c r="X1174" s="399" t="s">
        <v>125</v>
      </c>
      <c r="Y1174" s="389">
        <f t="shared" ref="Y1174" si="3714">D1171</f>
        <v>1</v>
      </c>
      <c r="Z1174" s="400" t="s">
        <v>176</v>
      </c>
      <c r="AA1174" s="402">
        <f t="shared" ref="AA1174" si="3715">IF(AA1175=0,(D1174*N1174+P1174*R1174)*U1174*Y1174,0)</f>
        <v>0</v>
      </c>
      <c r="AB1174" s="403"/>
    </row>
    <row r="1175" spans="1:28">
      <c r="A1175" s="384" t="str">
        <f t="shared" ref="A1175:B1175" si="3716">A1165</f>
        <v>Lantai 1</v>
      </c>
      <c r="B1175" s="385">
        <f t="shared" si="3716"/>
        <v>38</v>
      </c>
      <c r="C1175" s="393"/>
      <c r="D1175" s="398">
        <f t="shared" si="3612"/>
        <v>3</v>
      </c>
      <c r="E1175" s="388" t="s">
        <v>16</v>
      </c>
      <c r="F1175" s="388">
        <f t="shared" si="3613"/>
        <v>13</v>
      </c>
      <c r="G1175" s="388"/>
      <c r="H1175" s="395"/>
      <c r="I1175" s="388"/>
      <c r="J1175" s="396"/>
      <c r="K1175" s="396"/>
      <c r="L1175" s="404" t="s">
        <v>207</v>
      </c>
      <c r="M1175" s="399" t="s">
        <v>176</v>
      </c>
      <c r="N1175" s="399">
        <f t="shared" ref="N1175" si="3717">IF(AND(D1172=D1173,D1172=D1174,D1173=D1174,F1172=F1173,F1172=F1174,F1173=F1174),SUM(N1172:N1174),0)</f>
        <v>9.1369999999999987</v>
      </c>
      <c r="O1175" s="399" t="s">
        <v>204</v>
      </c>
      <c r="P1175" s="389">
        <f t="shared" ref="P1175" si="3718">IF(N1175&gt;12,ROUNDDOWN(N1175/12,0),0)</f>
        <v>0</v>
      </c>
      <c r="Q1175" s="399" t="s">
        <v>125</v>
      </c>
      <c r="R1175" s="399">
        <f t="shared" ref="R1175" si="3719">IF(P1175&gt;0,MAX(VLOOKUP(F1175,$D$6:$G$15,3,FALSE),600),0)/1000</f>
        <v>0</v>
      </c>
      <c r="S1175" s="396"/>
      <c r="T1175" s="396" t="s">
        <v>125</v>
      </c>
      <c r="U1175" s="401">
        <f t="shared" si="3617"/>
        <v>1.041885</v>
      </c>
      <c r="V1175" s="396" t="s">
        <v>125</v>
      </c>
      <c r="W1175" s="399">
        <f t="shared" ref="W1175" si="3720">D1175</f>
        <v>3</v>
      </c>
      <c r="X1175" s="399" t="s">
        <v>125</v>
      </c>
      <c r="Y1175" s="389">
        <f t="shared" si="3619"/>
        <v>1</v>
      </c>
      <c r="Z1175" s="400" t="s">
        <v>176</v>
      </c>
      <c r="AA1175" s="402">
        <f t="shared" ref="AA1175" si="3721">(N1175+P1175*R1175/1000)*U1175*W1175*Y1175</f>
        <v>28.559109734999996</v>
      </c>
      <c r="AB1175" s="390"/>
    </row>
    <row r="1176" spans="1:28">
      <c r="A1176" s="384"/>
      <c r="B1176" s="385"/>
      <c r="C1176" s="393"/>
      <c r="D1176" s="398"/>
      <c r="E1176" s="388"/>
      <c r="F1176" s="388"/>
      <c r="G1176" s="388"/>
      <c r="H1176" s="395"/>
      <c r="I1176" s="388"/>
      <c r="J1176" s="396"/>
      <c r="K1176" s="396"/>
      <c r="L1176" s="404"/>
      <c r="M1176" s="399"/>
      <c r="N1176" s="399"/>
      <c r="O1176" s="396"/>
      <c r="P1176" s="389"/>
      <c r="Q1176" s="396"/>
      <c r="R1176" s="396"/>
      <c r="S1176" s="396"/>
      <c r="T1176" s="396"/>
      <c r="U1176" s="401"/>
      <c r="V1176" s="396"/>
      <c r="W1176" s="399"/>
      <c r="X1176" s="396"/>
      <c r="Y1176" s="389"/>
      <c r="Z1176" s="396"/>
      <c r="AA1176" s="388"/>
      <c r="AB1176" s="390"/>
    </row>
    <row r="1177" spans="1:28">
      <c r="A1177" s="384" t="str">
        <f t="shared" ref="A1177:B1177" si="3722">A1165</f>
        <v>Lantai 1</v>
      </c>
      <c r="B1177" s="385">
        <f t="shared" si="3722"/>
        <v>38</v>
      </c>
      <c r="C1177" s="393" t="s">
        <v>208</v>
      </c>
      <c r="D1177" s="398">
        <f>VLOOKUP(D1165,'Detail Balok'!$C$10:$AU$140,13,FALSE)</f>
        <v>0</v>
      </c>
      <c r="E1177" s="388" t="s">
        <v>16</v>
      </c>
      <c r="F1177" s="388">
        <f>VLOOKUP(D1165,'Detail Balok'!$C$10:$AU$140,15,FALSE)</f>
        <v>8</v>
      </c>
      <c r="G1177" s="388"/>
      <c r="H1177" s="395"/>
      <c r="I1177" s="388"/>
      <c r="J1177" s="399">
        <f t="shared" ref="J1177" si="3723">+D1167/1000</f>
        <v>8.8249999999999993</v>
      </c>
      <c r="K1177" s="400" t="s">
        <v>204</v>
      </c>
      <c r="L1177" s="399">
        <f t="shared" ref="L1177" si="3724">2*$F$16*F1177/1000</f>
        <v>0.192</v>
      </c>
      <c r="M1177" s="399" t="s">
        <v>176</v>
      </c>
      <c r="N1177" s="399">
        <f t="shared" ref="N1177" si="3725">J1177+L1177</f>
        <v>9.0169999999999995</v>
      </c>
      <c r="O1177" s="399" t="s">
        <v>204</v>
      </c>
      <c r="P1177" s="389">
        <f t="shared" ref="P1177" si="3726">IF(N1177&gt;12,ROUNDDOWN(N1177/12,0),0)</f>
        <v>0</v>
      </c>
      <c r="Q1177" s="399" t="s">
        <v>125</v>
      </c>
      <c r="R1177" s="399">
        <f t="shared" ref="R1177" si="3727">IF(P1177&gt;0,MAX(VLOOKUP(F1177,$D$6:$G$15,3,FALSE),600),0)/1000</f>
        <v>0</v>
      </c>
      <c r="S1177" s="399"/>
      <c r="T1177" s="399" t="s">
        <v>125</v>
      </c>
      <c r="U1177" s="401">
        <f t="shared" ref="U1177" si="3728">0.006165*F1177^2</f>
        <v>0.39456000000000002</v>
      </c>
      <c r="V1177" s="399" t="s">
        <v>125</v>
      </c>
      <c r="W1177" s="399">
        <f t="shared" ref="W1177" si="3729">+D1177</f>
        <v>0</v>
      </c>
      <c r="X1177" s="399" t="s">
        <v>125</v>
      </c>
      <c r="Y1177" s="389">
        <f t="shared" ref="Y1177" si="3730">D1171</f>
        <v>1</v>
      </c>
      <c r="Z1177" s="400" t="s">
        <v>176</v>
      </c>
      <c r="AA1177" s="402">
        <f t="shared" ref="AA1177" si="3731">(N1177+P1177*R1177/1000)*U1177*W1177*Y1177</f>
        <v>0</v>
      </c>
      <c r="AB1177" s="403"/>
    </row>
    <row r="1178" spans="1:28">
      <c r="A1178" s="384"/>
      <c r="B1178" s="385"/>
      <c r="C1178" s="393"/>
      <c r="D1178" s="398"/>
      <c r="E1178" s="388"/>
      <c r="F1178" s="388"/>
      <c r="G1178" s="388"/>
      <c r="H1178" s="395"/>
      <c r="I1178" s="388"/>
      <c r="J1178" s="399"/>
      <c r="K1178" s="400"/>
      <c r="L1178" s="399"/>
      <c r="M1178" s="399"/>
      <c r="N1178" s="399"/>
      <c r="O1178" s="399"/>
      <c r="P1178" s="389"/>
      <c r="Q1178" s="399"/>
      <c r="R1178" s="399"/>
      <c r="S1178" s="399"/>
      <c r="T1178" s="399"/>
      <c r="U1178" s="401"/>
      <c r="V1178" s="399"/>
      <c r="W1178" s="399"/>
      <c r="X1178" s="399"/>
      <c r="Y1178" s="389"/>
      <c r="Z1178" s="400"/>
      <c r="AA1178" s="402"/>
      <c r="AB1178" s="403"/>
    </row>
    <row r="1179" spans="1:28">
      <c r="A1179" s="384"/>
      <c r="B1179" s="385"/>
      <c r="C1179" s="393"/>
      <c r="D1179" s="398"/>
      <c r="E1179" s="388"/>
      <c r="F1179" s="388"/>
      <c r="G1179" s="388"/>
      <c r="H1179" s="395"/>
      <c r="I1179" s="388"/>
      <c r="J1179" s="396"/>
      <c r="K1179" s="396"/>
      <c r="L1179" s="396"/>
      <c r="M1179" s="396"/>
      <c r="N1179" s="396"/>
      <c r="O1179" s="396"/>
      <c r="P1179" s="389"/>
      <c r="Q1179" s="396"/>
      <c r="R1179" s="396"/>
      <c r="S1179" s="396"/>
      <c r="T1179" s="396"/>
      <c r="U1179" s="401"/>
      <c r="V1179" s="396"/>
      <c r="W1179" s="399"/>
      <c r="X1179" s="396"/>
      <c r="Y1179" s="389"/>
      <c r="Z1179" s="396"/>
      <c r="AA1179" s="388"/>
      <c r="AB1179" s="390"/>
    </row>
    <row r="1180" spans="1:28">
      <c r="A1180" s="384" t="str">
        <f t="shared" ref="A1180:B1180" si="3732">A1165</f>
        <v>Lantai 1</v>
      </c>
      <c r="B1180" s="385">
        <f t="shared" si="3732"/>
        <v>38</v>
      </c>
      <c r="C1180" s="393" t="s">
        <v>209</v>
      </c>
      <c r="D1180" s="398">
        <f>VLOOKUP(D1165,'Detail Balok'!$C$10:$AU$140,22,FALSE)</f>
        <v>3</v>
      </c>
      <c r="E1180" s="388" t="s">
        <v>16</v>
      </c>
      <c r="F1180" s="388">
        <f>VLOOKUP(D1165,'Detail Balok'!$C$10:$AU$140,24,FALSE)</f>
        <v>13</v>
      </c>
      <c r="G1180" s="388"/>
      <c r="H1180" s="395"/>
      <c r="I1180" s="388" t="s">
        <v>203</v>
      </c>
      <c r="J1180" s="399">
        <f t="shared" si="3632"/>
        <v>2.2062499999999998</v>
      </c>
      <c r="K1180" s="400" t="s">
        <v>204</v>
      </c>
      <c r="L1180" s="399">
        <f t="shared" ref="L1180" si="3733">MAX(VLOOKUP(F1180,N$6:P$15,3,FALSE)/1000,2/3*D1170/1000)+F$16*F1180/1000</f>
        <v>0.156</v>
      </c>
      <c r="M1180" s="399" t="s">
        <v>176</v>
      </c>
      <c r="N1180" s="399">
        <f t="shared" ref="N1180:N1182" si="3734">J1180+L1180</f>
        <v>2.36225</v>
      </c>
      <c r="O1180" s="399" t="s">
        <v>204</v>
      </c>
      <c r="P1180" s="389">
        <f t="shared" ref="P1180" si="3735">D1180-D1181</f>
        <v>0</v>
      </c>
      <c r="Q1180" s="399" t="s">
        <v>125</v>
      </c>
      <c r="R1180" s="399">
        <f t="shared" ref="R1180" si="3736">IF(P1180&gt;0,$F$18*F1180/1000,0)</f>
        <v>0</v>
      </c>
      <c r="S1180" s="399" t="s">
        <v>205</v>
      </c>
      <c r="T1180" s="399" t="s">
        <v>125</v>
      </c>
      <c r="U1180" s="401">
        <f t="shared" ref="U1180:U1182" si="3737">0.006165*F1180^2</f>
        <v>1.041885</v>
      </c>
      <c r="V1180" s="399"/>
      <c r="W1180" s="399"/>
      <c r="X1180" s="399" t="s">
        <v>125</v>
      </c>
      <c r="Y1180" s="389">
        <f t="shared" ref="Y1180" si="3738">D1171</f>
        <v>1</v>
      </c>
      <c r="Z1180" s="400" t="s">
        <v>176</v>
      </c>
      <c r="AA1180" s="402">
        <f t="shared" ref="AA1180" si="3739">IF(AA1183=0,(D1180*N1180+P1180*R1180)*U1180*Y1180,0)</f>
        <v>0</v>
      </c>
      <c r="AB1180" s="403"/>
    </row>
    <row r="1181" spans="1:28">
      <c r="A1181" s="384" t="str">
        <f t="shared" ref="A1181:B1181" si="3740">A1165</f>
        <v>Lantai 1</v>
      </c>
      <c r="B1181" s="385">
        <f t="shared" si="3740"/>
        <v>38</v>
      </c>
      <c r="C1181" s="393" t="s">
        <v>210</v>
      </c>
      <c r="D1181" s="398">
        <f>VLOOKUP(D1165,'Detail Balok'!$C$10:$AU$140,25,FALSE)</f>
        <v>3</v>
      </c>
      <c r="E1181" s="388" t="s">
        <v>16</v>
      </c>
      <c r="F1181" s="388">
        <f>VLOOKUP(D1165,'Detail Balok'!$C$10:$AU$140,27,FALSE)</f>
        <v>13</v>
      </c>
      <c r="G1181" s="388"/>
      <c r="H1181" s="395"/>
      <c r="I1181" s="388" t="s">
        <v>203</v>
      </c>
      <c r="J1181" s="399">
        <f t="shared" si="3632"/>
        <v>4.4124999999999996</v>
      </c>
      <c r="K1181" s="400" t="s">
        <v>204</v>
      </c>
      <c r="L1181" s="399"/>
      <c r="M1181" s="399" t="s">
        <v>176</v>
      </c>
      <c r="N1181" s="399">
        <f t="shared" si="3734"/>
        <v>4.4124999999999996</v>
      </c>
      <c r="O1181" s="399" t="s">
        <v>204</v>
      </c>
      <c r="P1181" s="389">
        <f t="shared" ref="P1181" si="3741">MAX(D1181-D1180,D1181-D1182)</f>
        <v>0</v>
      </c>
      <c r="Q1181" s="399" t="s">
        <v>125</v>
      </c>
      <c r="R1181" s="399">
        <f t="shared" ref="R1181" si="3742">IF(P1181&gt;0,2*(1-2*$F$19-1/2)*D1168/1000,0)</f>
        <v>0</v>
      </c>
      <c r="S1181" s="399" t="s">
        <v>205</v>
      </c>
      <c r="T1181" s="399" t="s">
        <v>125</v>
      </c>
      <c r="U1181" s="401">
        <f t="shared" si="3737"/>
        <v>1.041885</v>
      </c>
      <c r="V1181" s="399"/>
      <c r="W1181" s="399"/>
      <c r="X1181" s="399" t="s">
        <v>125</v>
      </c>
      <c r="Y1181" s="389">
        <f t="shared" ref="Y1181" si="3743">D1171</f>
        <v>1</v>
      </c>
      <c r="Z1181" s="400" t="s">
        <v>176</v>
      </c>
      <c r="AA1181" s="402">
        <f t="shared" ref="AA1181" si="3744">IF(AA1183=0,(D1181*N1181+P1181*R1181)*U1181*Y1181,0)</f>
        <v>0</v>
      </c>
      <c r="AB1181" s="403"/>
    </row>
    <row r="1182" spans="1:28">
      <c r="A1182" s="384" t="str">
        <f t="shared" ref="A1182:B1182" si="3745">A1165</f>
        <v>Lantai 1</v>
      </c>
      <c r="B1182" s="385">
        <f t="shared" si="3745"/>
        <v>38</v>
      </c>
      <c r="C1182" s="393" t="s">
        <v>209</v>
      </c>
      <c r="D1182" s="398">
        <f>VLOOKUP(D1165,'Detail Balok'!$C$10:$AU$140,28,FALSE)</f>
        <v>3</v>
      </c>
      <c r="E1182" s="388" t="s">
        <v>16</v>
      </c>
      <c r="F1182" s="388">
        <f>VLOOKUP(D1165,'Detail Balok'!$C$10:$AU$140,30,FALSE)</f>
        <v>13</v>
      </c>
      <c r="G1182" s="388"/>
      <c r="H1182" s="395"/>
      <c r="I1182" s="388" t="s">
        <v>203</v>
      </c>
      <c r="J1182" s="399">
        <f t="shared" si="3632"/>
        <v>2.2062499999999998</v>
      </c>
      <c r="K1182" s="400" t="s">
        <v>204</v>
      </c>
      <c r="L1182" s="399">
        <f t="shared" ref="L1182" si="3746">MAX(VLOOKUP(F1182,N$6:P$15,3,FALSE)/1000,2/3*D1170/1000)+F$16*F1182/1000</f>
        <v>0.156</v>
      </c>
      <c r="M1182" s="399" t="s">
        <v>176</v>
      </c>
      <c r="N1182" s="399">
        <f t="shared" si="3734"/>
        <v>2.36225</v>
      </c>
      <c r="O1182" s="399" t="s">
        <v>204</v>
      </c>
      <c r="P1182" s="389">
        <f t="shared" ref="P1182" si="3747">D1182-D1181</f>
        <v>0</v>
      </c>
      <c r="Q1182" s="399" t="s">
        <v>125</v>
      </c>
      <c r="R1182" s="399">
        <f t="shared" ref="R1182" si="3748">IF(P1182&gt;0,$F$18*F1182/1000,0)</f>
        <v>0</v>
      </c>
      <c r="S1182" s="399" t="s">
        <v>205</v>
      </c>
      <c r="T1182" s="399" t="s">
        <v>125</v>
      </c>
      <c r="U1182" s="401">
        <f t="shared" si="3737"/>
        <v>1.041885</v>
      </c>
      <c r="V1182" s="399"/>
      <c r="W1182" s="399"/>
      <c r="X1182" s="399" t="s">
        <v>125</v>
      </c>
      <c r="Y1182" s="389">
        <f t="shared" ref="Y1182" si="3749">D1171</f>
        <v>1</v>
      </c>
      <c r="Z1182" s="400" t="s">
        <v>176</v>
      </c>
      <c r="AA1182" s="402">
        <f t="shared" ref="AA1182" si="3750">IF(AA1183=0,(D1182*N1182+P1182*R1182)*U1182*Y1182,0)</f>
        <v>0</v>
      </c>
      <c r="AB1182" s="403"/>
    </row>
    <row r="1183" spans="1:28">
      <c r="A1183" s="384" t="str">
        <f t="shared" ref="A1183:B1183" si="3751">A1165</f>
        <v>Lantai 1</v>
      </c>
      <c r="B1183" s="385">
        <f t="shared" si="3751"/>
        <v>38</v>
      </c>
      <c r="C1183" s="393"/>
      <c r="D1183" s="398">
        <f t="shared" si="3652"/>
        <v>3</v>
      </c>
      <c r="E1183" s="388" t="s">
        <v>16</v>
      </c>
      <c r="F1183" s="388">
        <f t="shared" si="3653"/>
        <v>13</v>
      </c>
      <c r="G1183" s="388"/>
      <c r="H1183" s="395"/>
      <c r="I1183" s="388"/>
      <c r="J1183" s="396"/>
      <c r="K1183" s="396"/>
      <c r="L1183" s="404" t="s">
        <v>207</v>
      </c>
      <c r="M1183" s="399" t="s">
        <v>176</v>
      </c>
      <c r="N1183" s="399">
        <f t="shared" ref="N1183" si="3752">IF(AND(D1180=D1181,D1180=D1182,D1181=D1182,F1180=F1181,F1180=F1182,F1181=F1182),SUM(N1180:N1182),0)</f>
        <v>9.1369999999999987</v>
      </c>
      <c r="O1183" s="399" t="s">
        <v>204</v>
      </c>
      <c r="P1183" s="389">
        <f t="shared" ref="P1183" si="3753">IF(N1183&gt;12,ROUNDDOWN(N1183/12,0),0)</f>
        <v>0</v>
      </c>
      <c r="Q1183" s="399" t="s">
        <v>125</v>
      </c>
      <c r="R1183" s="399">
        <f t="shared" ref="R1183" si="3754">IF(P1183&gt;0,MAX(VLOOKUP(F1183,$D$6:$G$15,3,FALSE),600),0)/1000</f>
        <v>0</v>
      </c>
      <c r="S1183" s="396"/>
      <c r="T1183" s="396" t="s">
        <v>125</v>
      </c>
      <c r="U1183" s="401">
        <f t="shared" si="3657"/>
        <v>1.041885</v>
      </c>
      <c r="V1183" s="396" t="s">
        <v>125</v>
      </c>
      <c r="W1183" s="399">
        <f t="shared" ref="W1183" si="3755">D1183</f>
        <v>3</v>
      </c>
      <c r="X1183" s="399" t="s">
        <v>125</v>
      </c>
      <c r="Y1183" s="389">
        <f t="shared" si="3659"/>
        <v>1</v>
      </c>
      <c r="Z1183" s="400" t="s">
        <v>176</v>
      </c>
      <c r="AA1183" s="402">
        <f t="shared" ref="AA1183" si="3756">(N1183+P1183*R1183/1000)*U1183*W1183*Y1183</f>
        <v>28.559109734999996</v>
      </c>
      <c r="AB1183" s="403"/>
    </row>
    <row r="1184" spans="1:28">
      <c r="A1184" s="384"/>
      <c r="B1184" s="385"/>
      <c r="C1184" s="393"/>
      <c r="D1184" s="394"/>
      <c r="E1184" s="388"/>
      <c r="F1184" s="388"/>
      <c r="G1184" s="388"/>
      <c r="H1184" s="395"/>
      <c r="I1184" s="388"/>
      <c r="J1184" s="399"/>
      <c r="K1184" s="396"/>
      <c r="L1184" s="396"/>
      <c r="M1184" s="396"/>
      <c r="N1184" s="396"/>
      <c r="O1184" s="396"/>
      <c r="P1184" s="389"/>
      <c r="Q1184" s="396"/>
      <c r="R1184" s="396"/>
      <c r="S1184" s="396"/>
      <c r="T1184" s="396"/>
      <c r="U1184" s="401"/>
      <c r="V1184" s="396"/>
      <c r="W1184" s="388"/>
      <c r="X1184" s="396"/>
      <c r="Y1184" s="389"/>
      <c r="Z1184" s="396"/>
      <c r="AA1184" s="388"/>
      <c r="AB1184" s="390"/>
    </row>
    <row r="1185" spans="1:28">
      <c r="A1185" s="384" t="str">
        <f t="shared" ref="A1185:B1185" si="3757">A1165</f>
        <v>Lantai 1</v>
      </c>
      <c r="B1185" s="385">
        <f t="shared" si="3757"/>
        <v>38</v>
      </c>
      <c r="C1185" s="393" t="s">
        <v>211</v>
      </c>
      <c r="D1185" s="398">
        <f>VLOOKUP(D1165,'Detail Balok'!$C$10:$AU$140,31,FALSE)</f>
        <v>0</v>
      </c>
      <c r="E1185" s="388" t="s">
        <v>16</v>
      </c>
      <c r="F1185" s="388">
        <f>VLOOKUP(D1165,'Detail Balok'!$C$10:$AU$140,33,FALSE)</f>
        <v>8</v>
      </c>
      <c r="G1185" s="405" t="s">
        <v>157</v>
      </c>
      <c r="H1185" s="395">
        <f>VLOOKUP(D1165,'Detail Balok'!$C$10:$AU$140,35,FALSE)</f>
        <v>150</v>
      </c>
      <c r="I1185" s="388"/>
      <c r="J1185" s="400">
        <f t="shared" ref="J1185" si="3758">(IF(D1185=0,(2*(D1166+G1166))-(F$5*8),IF(D1185=3,(2*(D1166+G1166))-(F$5*8)+(G1166-2*F$5),IF(D1185=4,(2*(D1166+G1166))-(F$5*8)+2*(G1166-2*F$5)))))/1000</f>
        <v>0.88</v>
      </c>
      <c r="K1185" s="400" t="s">
        <v>204</v>
      </c>
      <c r="L1185" s="399">
        <f t="shared" ref="L1185:L1187" si="3759">IF(D1185=0,2*MAX(6*F1185,75),(D1185-1)*2*MAX(6*F1185,75))/1000</f>
        <v>0.15</v>
      </c>
      <c r="M1185" s="399" t="s">
        <v>176</v>
      </c>
      <c r="N1185" s="399">
        <f t="shared" ref="N1185:N1187" si="3760">J1185+L1185</f>
        <v>1.03</v>
      </c>
      <c r="O1185" s="399"/>
      <c r="P1185" s="389"/>
      <c r="Q1185" s="399"/>
      <c r="R1185" s="399"/>
      <c r="S1185" s="399"/>
      <c r="T1185" s="399" t="s">
        <v>125</v>
      </c>
      <c r="U1185" s="401">
        <f t="shared" ref="U1185:U1187" si="3761">0.006165*F1185^2</f>
        <v>0.39456000000000002</v>
      </c>
      <c r="V1185" s="399" t="s">
        <v>125</v>
      </c>
      <c r="W1185" s="399">
        <f t="shared" ref="W1185" si="3762">IF(D1168&gt;4*G1166,ROUND(MAX(D1168/4,2*G1166)/H1185,0)+1,ROUND(D1168/H1185,0)+1)</f>
        <v>16</v>
      </c>
      <c r="X1185" s="399" t="s">
        <v>125</v>
      </c>
      <c r="Y1185" s="389">
        <f t="shared" ref="Y1185" si="3763">D1171</f>
        <v>1</v>
      </c>
      <c r="Z1185" s="400" t="s">
        <v>176</v>
      </c>
      <c r="AA1185" s="402">
        <f t="shared" ref="AA1185:AA1187" si="3764">N1185*U1185*W1185*Y1185</f>
        <v>6.5023488000000009</v>
      </c>
      <c r="AB1185" s="403"/>
    </row>
    <row r="1186" spans="1:28">
      <c r="A1186" s="384" t="str">
        <f t="shared" ref="A1186:B1186" si="3765">A1165</f>
        <v>Lantai 1</v>
      </c>
      <c r="B1186" s="385">
        <f t="shared" si="3765"/>
        <v>38</v>
      </c>
      <c r="C1186" s="393" t="s">
        <v>212</v>
      </c>
      <c r="D1186" s="398">
        <f>VLOOKUP(D1165,'Detail Balok'!$C$10:$AU$140,36,FALSE)</f>
        <v>0</v>
      </c>
      <c r="E1186" s="388" t="s">
        <v>16</v>
      </c>
      <c r="F1186" s="388">
        <f>VLOOKUP(D1165,'Detail Balok'!$C$10:$AU$140,38,FALSE)</f>
        <v>8</v>
      </c>
      <c r="G1186" s="405" t="s">
        <v>157</v>
      </c>
      <c r="H1186" s="395">
        <f>VLOOKUP(D1165,'Detail Balok'!$C$10:$AU$140,40,FALSE)</f>
        <v>200</v>
      </c>
      <c r="I1186" s="388"/>
      <c r="J1186" s="400">
        <f t="shared" ref="J1186" si="3766">(IF(D1186=0,(2*(D1166+G1166))-(F$5*8),IF(D1186=3,(2*(D1166+G1166))-(F$5*8)+(G1166-2*F$5),IF(D1186=4,(2*(D1166+G1166))-(F$5*8)+2*(G1166-2*F$5)))))/1000</f>
        <v>0.88</v>
      </c>
      <c r="K1186" s="400" t="s">
        <v>204</v>
      </c>
      <c r="L1186" s="399">
        <f t="shared" si="3759"/>
        <v>0.15</v>
      </c>
      <c r="M1186" s="399" t="s">
        <v>176</v>
      </c>
      <c r="N1186" s="399">
        <f t="shared" si="3760"/>
        <v>1.03</v>
      </c>
      <c r="O1186" s="399"/>
      <c r="P1186" s="389"/>
      <c r="Q1186" s="399"/>
      <c r="R1186" s="399"/>
      <c r="S1186" s="399"/>
      <c r="T1186" s="399" t="s">
        <v>125</v>
      </c>
      <c r="U1186" s="401">
        <f t="shared" si="3761"/>
        <v>0.39456000000000002</v>
      </c>
      <c r="V1186" s="399" t="s">
        <v>125</v>
      </c>
      <c r="W1186" s="399">
        <f t="shared" ref="W1186" si="3767">IF(D1168-MAX(D1168/4,2*G1166)*2&gt;0,ROUND((D1168-MAX(D1168/4,2*G1166)*2)/H1186,0),0)</f>
        <v>22</v>
      </c>
      <c r="X1186" s="399" t="s">
        <v>125</v>
      </c>
      <c r="Y1186" s="389">
        <f t="shared" ref="Y1186" si="3768">D1171</f>
        <v>1</v>
      </c>
      <c r="Z1186" s="400" t="s">
        <v>176</v>
      </c>
      <c r="AA1186" s="402">
        <f t="shared" si="3764"/>
        <v>8.9407296000000009</v>
      </c>
      <c r="AB1186" s="403"/>
    </row>
    <row r="1187" spans="1:28">
      <c r="A1187" s="384" t="str">
        <f t="shared" ref="A1187:B1187" si="3769">A1165</f>
        <v>Lantai 1</v>
      </c>
      <c r="B1187" s="385">
        <f t="shared" si="3769"/>
        <v>38</v>
      </c>
      <c r="C1187" s="393" t="s">
        <v>211</v>
      </c>
      <c r="D1187" s="398">
        <f>VLOOKUP(D1165,'Detail Balok'!$C$10:$AU$140,41,FALSE)</f>
        <v>0</v>
      </c>
      <c r="E1187" s="388" t="s">
        <v>16</v>
      </c>
      <c r="F1187" s="388">
        <f>VLOOKUP(D1165,'Detail Balok'!$C$10:$AU$140,43,FALSE)</f>
        <v>8</v>
      </c>
      <c r="G1187" s="405" t="s">
        <v>157</v>
      </c>
      <c r="H1187" s="395">
        <f>VLOOKUP(D1165,'Detail Balok'!$C$10:$AU$140,45,FALSE)</f>
        <v>150</v>
      </c>
      <c r="I1187" s="388"/>
      <c r="J1187" s="400">
        <f t="shared" ref="J1187" si="3770">(IF(D1187=0,(2*(D1166+G1166))-(F$5*8),IF(D1187=3,(2*(D1166+G1166))-(F$5*8)+(G1166-2*F$5),IF(D1187=4,(2*(D1166+G1166))-(F$5*8)+2*(G1166-2*F$5)))))/1000</f>
        <v>0.88</v>
      </c>
      <c r="K1187" s="400" t="s">
        <v>204</v>
      </c>
      <c r="L1187" s="399">
        <f t="shared" si="3759"/>
        <v>0.15</v>
      </c>
      <c r="M1187" s="399" t="s">
        <v>176</v>
      </c>
      <c r="N1187" s="399">
        <f t="shared" si="3760"/>
        <v>1.03</v>
      </c>
      <c r="O1187" s="399"/>
      <c r="P1187" s="389"/>
      <c r="Q1187" s="399"/>
      <c r="R1187" s="399"/>
      <c r="S1187" s="399"/>
      <c r="T1187" s="399" t="s">
        <v>125</v>
      </c>
      <c r="U1187" s="401">
        <f t="shared" si="3761"/>
        <v>0.39456000000000002</v>
      </c>
      <c r="V1187" s="399" t="s">
        <v>125</v>
      </c>
      <c r="W1187" s="399">
        <f t="shared" ref="W1187" si="3771">IF(D1168&gt;4*G1166,ROUND(MAX(D1168/4,2*G1166)/H1187,0)+1,0)</f>
        <v>16</v>
      </c>
      <c r="X1187" s="399" t="s">
        <v>125</v>
      </c>
      <c r="Y1187" s="389">
        <f t="shared" ref="Y1187" si="3772">D1171</f>
        <v>1</v>
      </c>
      <c r="Z1187" s="400" t="s">
        <v>176</v>
      </c>
      <c r="AA1187" s="402">
        <f t="shared" si="3764"/>
        <v>6.5023488000000009</v>
      </c>
      <c r="AB1187" s="403"/>
    </row>
    <row r="1188" spans="1:28">
      <c r="A1188" s="384"/>
      <c r="B1188" s="385"/>
      <c r="C1188" s="393"/>
      <c r="D1188" s="394"/>
      <c r="E1188" s="388"/>
      <c r="F1188" s="388"/>
      <c r="G1188" s="388"/>
      <c r="H1188" s="395"/>
      <c r="I1188" s="388"/>
      <c r="J1188" s="399"/>
      <c r="K1188" s="396"/>
      <c r="L1188" s="396"/>
      <c r="M1188" s="396"/>
      <c r="N1188" s="396"/>
      <c r="O1188" s="396"/>
      <c r="P1188" s="389"/>
      <c r="Q1188" s="396"/>
      <c r="R1188" s="396"/>
      <c r="S1188" s="396"/>
      <c r="T1188" s="396"/>
      <c r="U1188" s="401"/>
      <c r="V1188" s="396"/>
      <c r="W1188" s="388"/>
      <c r="X1188" s="396"/>
      <c r="Y1188" s="389"/>
      <c r="Z1188" s="396"/>
      <c r="AA1188" s="388"/>
      <c r="AB1188" s="390"/>
    </row>
    <row r="1189" spans="1:28">
      <c r="A1189" s="384" t="str">
        <f t="shared" ref="A1189:B1189" si="3773">A1165</f>
        <v>Lantai 1</v>
      </c>
      <c r="B1189" s="385">
        <f t="shared" si="3773"/>
        <v>38</v>
      </c>
      <c r="C1189" s="393" t="s">
        <v>213</v>
      </c>
      <c r="D1189" s="398">
        <f>VLOOKUP(D1165,'Detail Balok'!$C$10:$BJ$140,46,FALSE)</f>
        <v>0</v>
      </c>
      <c r="E1189" s="388" t="s">
        <v>16</v>
      </c>
      <c r="F1189" s="388">
        <f>VLOOKUP(D1165,'Detail Balok'!$C$10:$BJ$140,48,FALSE)</f>
        <v>0</v>
      </c>
      <c r="G1189" s="405" t="s">
        <v>157</v>
      </c>
      <c r="H1189" s="395">
        <f>VLOOKUP(D1165,'Detail Balok'!$C$10:$BJ$140,50,FALSE)</f>
        <v>100</v>
      </c>
      <c r="I1189" s="388"/>
      <c r="J1189" s="399">
        <f t="shared" ref="J1189" si="3774">(D1166-2*F$5)/1000</f>
        <v>0.12</v>
      </c>
      <c r="K1189" s="400" t="s">
        <v>204</v>
      </c>
      <c r="L1189" s="399">
        <f t="shared" ref="L1189:L1191" si="3775">IF(D1189=0,2*MAX(6*F1189,75),(D1189-1)*2*MAX(6*F1189,75))/1000</f>
        <v>0.15</v>
      </c>
      <c r="M1189" s="399" t="s">
        <v>176</v>
      </c>
      <c r="N1189" s="399">
        <f t="shared" ref="N1189:N1191" si="3776">J1189+L1189</f>
        <v>0.27</v>
      </c>
      <c r="O1189" s="399"/>
      <c r="P1189" s="399"/>
      <c r="Q1189" s="399"/>
      <c r="R1189" s="399"/>
      <c r="S1189" s="399"/>
      <c r="T1189" s="399" t="s">
        <v>125</v>
      </c>
      <c r="U1189" s="401">
        <f t="shared" ref="U1189:U1191" si="3777">0.006165*F1189^2</f>
        <v>0</v>
      </c>
      <c r="V1189" s="399" t="s">
        <v>125</v>
      </c>
      <c r="W1189" s="399">
        <f t="shared" si="3682"/>
        <v>16</v>
      </c>
      <c r="X1189" s="399" t="s">
        <v>125</v>
      </c>
      <c r="Y1189" s="389">
        <f t="shared" ref="Y1189" si="3778">D1175</f>
        <v>3</v>
      </c>
      <c r="Z1189" s="400" t="s">
        <v>176</v>
      </c>
      <c r="AA1189" s="402">
        <f t="shared" ref="AA1189:AA1191" si="3779">N1189*U1189*W1189*Y1189</f>
        <v>0</v>
      </c>
      <c r="AB1189" s="403"/>
    </row>
    <row r="1190" spans="1:28">
      <c r="A1190" s="384" t="str">
        <f t="shared" ref="A1190:B1190" si="3780">A1165</f>
        <v>Lantai 1</v>
      </c>
      <c r="B1190" s="385">
        <f t="shared" si="3780"/>
        <v>38</v>
      </c>
      <c r="C1190" s="393" t="s">
        <v>214</v>
      </c>
      <c r="D1190" s="398">
        <f>VLOOKUP(D1165,'Detail Balok'!$C$10:$BJ$140,51,FALSE)</f>
        <v>0</v>
      </c>
      <c r="E1190" s="388" t="s">
        <v>16</v>
      </c>
      <c r="F1190" s="388">
        <f>VLOOKUP(D1165,'Detail Balok'!$C$10:$BJ$140,53,FALSE)</f>
        <v>0</v>
      </c>
      <c r="G1190" s="405" t="s">
        <v>157</v>
      </c>
      <c r="H1190" s="395">
        <f>VLOOKUP(D1165,'Detail Balok'!$C$10:$BJ$140,55,FALSE)</f>
        <v>100</v>
      </c>
      <c r="I1190" s="388"/>
      <c r="J1190" s="399">
        <f t="shared" ref="J1190" si="3781">(D1166-2*F$5)/1000</f>
        <v>0.12</v>
      </c>
      <c r="K1190" s="400" t="s">
        <v>204</v>
      </c>
      <c r="L1190" s="399">
        <f t="shared" si="3775"/>
        <v>0.15</v>
      </c>
      <c r="M1190" s="399" t="s">
        <v>176</v>
      </c>
      <c r="N1190" s="399">
        <f t="shared" si="3776"/>
        <v>0.27</v>
      </c>
      <c r="O1190" s="399"/>
      <c r="P1190" s="399"/>
      <c r="Q1190" s="399"/>
      <c r="R1190" s="399"/>
      <c r="S1190" s="399"/>
      <c r="T1190" s="399" t="s">
        <v>125</v>
      </c>
      <c r="U1190" s="401">
        <f t="shared" si="3777"/>
        <v>0</v>
      </c>
      <c r="V1190" s="399" t="s">
        <v>125</v>
      </c>
      <c r="W1190" s="399">
        <f t="shared" si="3682"/>
        <v>22</v>
      </c>
      <c r="X1190" s="399" t="s">
        <v>125</v>
      </c>
      <c r="Y1190" s="389">
        <f t="shared" ref="Y1190" si="3782">D1175</f>
        <v>3</v>
      </c>
      <c r="Z1190" s="400" t="s">
        <v>176</v>
      </c>
      <c r="AA1190" s="402">
        <f t="shared" si="3779"/>
        <v>0</v>
      </c>
      <c r="AB1190" s="403"/>
    </row>
    <row r="1191" spans="1:28">
      <c r="A1191" s="384" t="str">
        <f t="shared" ref="A1191:B1191" si="3783">A1165</f>
        <v>Lantai 1</v>
      </c>
      <c r="B1191" s="385">
        <f t="shared" si="3783"/>
        <v>38</v>
      </c>
      <c r="C1191" s="393" t="s">
        <v>213</v>
      </c>
      <c r="D1191" s="398">
        <f>VLOOKUP(D1165,'Detail Balok'!$C$10:$BJ$140,56,FALSE)</f>
        <v>0</v>
      </c>
      <c r="E1191" s="388" t="s">
        <v>16</v>
      </c>
      <c r="F1191" s="388">
        <f>VLOOKUP(D1165,'Detail Balok'!$C$10:$BJ$140,58,FALSE)</f>
        <v>0</v>
      </c>
      <c r="G1191" s="405" t="s">
        <v>157</v>
      </c>
      <c r="H1191" s="395">
        <f>VLOOKUP(D1165,'Detail Balok'!$C$10:$BJ$140,60,FALSE)</f>
        <v>100</v>
      </c>
      <c r="I1191" s="388"/>
      <c r="J1191" s="399">
        <f t="shared" ref="J1191" si="3784">(D1166-2*F$5)/1000</f>
        <v>0.12</v>
      </c>
      <c r="K1191" s="400" t="s">
        <v>204</v>
      </c>
      <c r="L1191" s="399">
        <f t="shared" si="3775"/>
        <v>0.15</v>
      </c>
      <c r="M1191" s="399" t="s">
        <v>176</v>
      </c>
      <c r="N1191" s="399">
        <f t="shared" si="3776"/>
        <v>0.27</v>
      </c>
      <c r="O1191" s="399"/>
      <c r="P1191" s="399"/>
      <c r="Q1191" s="399"/>
      <c r="R1191" s="399"/>
      <c r="S1191" s="399"/>
      <c r="T1191" s="399" t="s">
        <v>125</v>
      </c>
      <c r="U1191" s="401">
        <f t="shared" si="3777"/>
        <v>0</v>
      </c>
      <c r="V1191" s="399" t="s">
        <v>125</v>
      </c>
      <c r="W1191" s="399">
        <f t="shared" si="3682"/>
        <v>16</v>
      </c>
      <c r="X1191" s="399" t="s">
        <v>125</v>
      </c>
      <c r="Y1191" s="389">
        <f t="shared" ref="Y1191" si="3785">D1175</f>
        <v>3</v>
      </c>
      <c r="Z1191" s="400" t="s">
        <v>176</v>
      </c>
      <c r="AA1191" s="402">
        <f t="shared" si="3779"/>
        <v>0</v>
      </c>
      <c r="AB1191" s="403"/>
    </row>
    <row r="1192" spans="1:28">
      <c r="A1192" s="391"/>
      <c r="B1192" s="392"/>
      <c r="C1192" s="392"/>
      <c r="D1192" s="394"/>
      <c r="E1192" s="388"/>
      <c r="F1192" s="388"/>
      <c r="G1192" s="388"/>
      <c r="H1192" s="395"/>
      <c r="I1192" s="388"/>
      <c r="J1192" s="402"/>
      <c r="K1192" s="388"/>
      <c r="L1192" s="388"/>
      <c r="M1192" s="388"/>
      <c r="N1192" s="388"/>
      <c r="O1192" s="388"/>
      <c r="P1192" s="388"/>
      <c r="Q1192" s="388"/>
      <c r="R1192" s="388"/>
      <c r="S1192" s="388"/>
      <c r="T1192" s="388"/>
      <c r="U1192" s="388"/>
      <c r="V1192" s="388"/>
      <c r="W1192" s="388"/>
      <c r="X1192" s="388"/>
      <c r="Y1192" s="389"/>
      <c r="Z1192" s="388"/>
      <c r="AA1192" s="402"/>
      <c r="AB1192" s="403"/>
    </row>
    <row r="1193" spans="1:28" ht="15.75" thickBot="1">
      <c r="A1193" s="406"/>
      <c r="B1193" s="407"/>
      <c r="C1193" s="407"/>
      <c r="D1193" s="408"/>
      <c r="E1193" s="409"/>
      <c r="F1193" s="409"/>
      <c r="G1193" s="409"/>
      <c r="H1193" s="410"/>
      <c r="I1193" s="409"/>
      <c r="J1193" s="409"/>
      <c r="K1193" s="409"/>
      <c r="L1193" s="409"/>
      <c r="M1193" s="409"/>
      <c r="N1193" s="409"/>
      <c r="O1193" s="409"/>
      <c r="P1193" s="409"/>
      <c r="Q1193" s="409"/>
      <c r="R1193" s="409"/>
      <c r="S1193" s="409"/>
      <c r="T1193" s="409"/>
      <c r="U1193" s="409"/>
      <c r="V1193" s="409"/>
      <c r="W1193" s="409"/>
      <c r="X1193" s="409"/>
      <c r="Y1193" s="411"/>
      <c r="Z1193" s="409"/>
      <c r="AA1193" s="412"/>
      <c r="AB1193" s="413"/>
    </row>
    <row r="1194" spans="1:28">
      <c r="A1194" s="377"/>
      <c r="B1194" s="378"/>
      <c r="C1194" s="378"/>
      <c r="D1194" s="379"/>
      <c r="E1194" s="380"/>
      <c r="F1194" s="380"/>
      <c r="G1194" s="380"/>
      <c r="H1194" s="381"/>
      <c r="I1194" s="380"/>
      <c r="J1194" s="380"/>
      <c r="K1194" s="380"/>
      <c r="L1194" s="380"/>
      <c r="M1194" s="380"/>
      <c r="N1194" s="380"/>
      <c r="O1194" s="380"/>
      <c r="P1194" s="380"/>
      <c r="Q1194" s="380"/>
      <c r="R1194" s="380"/>
      <c r="S1194" s="380"/>
      <c r="T1194" s="380"/>
      <c r="U1194" s="380"/>
      <c r="V1194" s="380"/>
      <c r="W1194" s="380"/>
      <c r="X1194" s="380"/>
      <c r="Y1194" s="382"/>
      <c r="Z1194" s="380"/>
      <c r="AA1194" s="380"/>
      <c r="AB1194" s="383"/>
    </row>
    <row r="1195" spans="1:28">
      <c r="A1195" s="384" t="str">
        <f t="shared" si="3691"/>
        <v>Lantai 1</v>
      </c>
      <c r="B1195" s="385">
        <f t="shared" si="3692"/>
        <v>39</v>
      </c>
      <c r="C1195" s="386" t="str">
        <f t="shared" ref="C1195" si="3786">CONCATENATE(A1195," no. ",B1195)</f>
        <v>Lantai 1 no. 39</v>
      </c>
      <c r="D1195" s="2562" t="str">
        <f>VLOOKUP(C1195,'Data Panjang Balok'!$C$9:$N$254,2,FALSE)</f>
        <v>S24-1</v>
      </c>
      <c r="E1195" s="2576"/>
      <c r="F1195" s="2576"/>
      <c r="G1195" s="2576"/>
      <c r="H1195" s="2577"/>
      <c r="I1195" s="387"/>
      <c r="J1195" s="388"/>
      <c r="K1195" s="388"/>
      <c r="L1195" s="388"/>
      <c r="M1195" s="388"/>
      <c r="N1195" s="388"/>
      <c r="O1195" s="388"/>
      <c r="P1195" s="388"/>
      <c r="Q1195" s="388"/>
      <c r="R1195" s="388"/>
      <c r="S1195" s="388"/>
      <c r="T1195" s="388"/>
      <c r="U1195" s="388"/>
      <c r="V1195" s="388"/>
      <c r="W1195" s="388"/>
      <c r="X1195" s="388"/>
      <c r="Y1195" s="389"/>
      <c r="Z1195" s="388"/>
      <c r="AA1195" s="388"/>
      <c r="AB1195" s="390"/>
    </row>
    <row r="1196" spans="1:28">
      <c r="A1196" s="391"/>
      <c r="B1196" s="392"/>
      <c r="C1196" s="393" t="s">
        <v>118</v>
      </c>
      <c r="D1196" s="2578">
        <f>VLOOKUP(D1195,'Detail Balok'!$C$10:$AU$140,2,FALSE)</f>
        <v>200</v>
      </c>
      <c r="E1196" s="2579"/>
      <c r="F1196" s="388" t="s">
        <v>125</v>
      </c>
      <c r="G1196" s="2579">
        <f>VLOOKUP(D1195,'Detail Balok'!$C$10:$AU$140,3,FALSE)</f>
        <v>400</v>
      </c>
      <c r="H1196" s="2580"/>
      <c r="I1196" s="388"/>
      <c r="J1196" s="396"/>
      <c r="K1196" s="396"/>
      <c r="L1196" s="396"/>
      <c r="M1196" s="396"/>
      <c r="N1196" s="396"/>
      <c r="O1196" s="396"/>
      <c r="P1196" s="396"/>
      <c r="Q1196" s="396"/>
      <c r="R1196" s="396"/>
      <c r="S1196" s="396"/>
      <c r="T1196" s="396"/>
      <c r="U1196" s="388"/>
      <c r="V1196" s="396"/>
      <c r="W1196" s="388"/>
      <c r="X1196" s="396"/>
      <c r="Y1196" s="389"/>
      <c r="Z1196" s="396"/>
      <c r="AA1196" s="388"/>
      <c r="AB1196" s="390"/>
    </row>
    <row r="1197" spans="1:28">
      <c r="A1197" s="391"/>
      <c r="B1197" s="392"/>
      <c r="C1197" s="393" t="s">
        <v>198</v>
      </c>
      <c r="D1197" s="2562">
        <f>VLOOKUP(C1195,'Data Panjang Balok'!$C$9:$N$254,4,FALSE)</f>
        <v>8825</v>
      </c>
      <c r="E1197" s="2563"/>
      <c r="F1197" s="2563"/>
      <c r="G1197" s="2563"/>
      <c r="H1197" s="2564"/>
      <c r="I1197" s="397"/>
      <c r="J1197" s="396"/>
      <c r="K1197" s="396"/>
      <c r="L1197" s="396"/>
      <c r="M1197" s="396"/>
      <c r="N1197" s="396"/>
      <c r="O1197" s="396"/>
      <c r="P1197" s="396"/>
      <c r="Q1197" s="396"/>
      <c r="R1197" s="396"/>
      <c r="S1197" s="396"/>
      <c r="T1197" s="396"/>
      <c r="U1197" s="388"/>
      <c r="V1197" s="396"/>
      <c r="W1197" s="388"/>
      <c r="X1197" s="396"/>
      <c r="Y1197" s="389"/>
      <c r="Z1197" s="396"/>
      <c r="AA1197" s="388"/>
      <c r="AB1197" s="390"/>
    </row>
    <row r="1198" spans="1:28">
      <c r="A1198" s="391"/>
      <c r="B1198" s="392"/>
      <c r="C1198" s="393" t="s">
        <v>199</v>
      </c>
      <c r="D1198" s="2562">
        <f>VLOOKUP(C1195,'Data Panjang Balok'!$C$9:$N$254,7,FALSE)</f>
        <v>8825</v>
      </c>
      <c r="E1198" s="2563"/>
      <c r="F1198" s="2563"/>
      <c r="G1198" s="2563"/>
      <c r="H1198" s="2564"/>
      <c r="I1198" s="397"/>
      <c r="J1198" s="396"/>
      <c r="K1198" s="396"/>
      <c r="L1198" s="396"/>
      <c r="M1198" s="396"/>
      <c r="N1198" s="396"/>
      <c r="O1198" s="396"/>
      <c r="P1198" s="396"/>
      <c r="Q1198" s="396"/>
      <c r="R1198" s="396"/>
      <c r="S1198" s="396"/>
      <c r="T1198" s="396"/>
      <c r="U1198" s="388"/>
      <c r="V1198" s="396"/>
      <c r="W1198" s="388"/>
      <c r="X1198" s="396"/>
      <c r="Y1198" s="389"/>
      <c r="Z1198" s="396"/>
      <c r="AA1198" s="388"/>
      <c r="AB1198" s="390"/>
    </row>
    <row r="1199" spans="1:28">
      <c r="A1199" s="391"/>
      <c r="B1199" s="392"/>
      <c r="C1199" s="393" t="s">
        <v>200</v>
      </c>
      <c r="D1199" s="2562">
        <f>VLOOKUP(C1195,'Data Panjang Balok'!$C$9:$N$254,9,FALSE)</f>
        <v>0</v>
      </c>
      <c r="E1199" s="2563"/>
      <c r="F1199" s="2563"/>
      <c r="G1199" s="2563"/>
      <c r="H1199" s="2564"/>
      <c r="I1199" s="397"/>
      <c r="J1199" s="396"/>
      <c r="K1199" s="396"/>
      <c r="L1199" s="396"/>
      <c r="M1199" s="396"/>
      <c r="N1199" s="396"/>
      <c r="O1199" s="396"/>
      <c r="P1199" s="396"/>
      <c r="Q1199" s="396"/>
      <c r="R1199" s="396"/>
      <c r="S1199" s="396"/>
      <c r="T1199" s="396"/>
      <c r="U1199" s="388"/>
      <c r="V1199" s="396"/>
      <c r="W1199" s="388"/>
      <c r="X1199" s="396"/>
      <c r="Y1199" s="389"/>
      <c r="Z1199" s="396"/>
      <c r="AA1199" s="388"/>
      <c r="AB1199" s="390"/>
    </row>
    <row r="1200" spans="1:28">
      <c r="A1200" s="391"/>
      <c r="B1200" s="392"/>
      <c r="C1200" s="393" t="s">
        <v>201</v>
      </c>
      <c r="D1200" s="2562">
        <f>VLOOKUP(C1195,'Data Panjang Balok'!$C$9:$N$254,10,FALSE)</f>
        <v>0</v>
      </c>
      <c r="E1200" s="2563"/>
      <c r="F1200" s="2563"/>
      <c r="G1200" s="2563"/>
      <c r="H1200" s="2564"/>
      <c r="I1200" s="397"/>
      <c r="J1200" s="396"/>
      <c r="K1200" s="396"/>
      <c r="L1200" s="396"/>
      <c r="M1200" s="396"/>
      <c r="N1200" s="396"/>
      <c r="O1200" s="396"/>
      <c r="P1200" s="396"/>
      <c r="Q1200" s="396"/>
      <c r="R1200" s="396"/>
      <c r="S1200" s="396"/>
      <c r="T1200" s="396"/>
      <c r="U1200" s="388"/>
      <c r="V1200" s="396"/>
      <c r="W1200" s="388"/>
      <c r="X1200" s="396"/>
      <c r="Y1200" s="389"/>
      <c r="Z1200" s="396"/>
      <c r="AA1200" s="388"/>
      <c r="AB1200" s="390"/>
    </row>
    <row r="1201" spans="1:28">
      <c r="A1201" s="391"/>
      <c r="B1201" s="392"/>
      <c r="C1201" s="393" t="s">
        <v>48</v>
      </c>
      <c r="D1201" s="2562">
        <f>VLOOKUP(C1195,'Data Panjang Balok'!$C$9:$N$254,3,FALSE)</f>
        <v>1</v>
      </c>
      <c r="E1201" s="2563"/>
      <c r="F1201" s="2563"/>
      <c r="G1201" s="2563"/>
      <c r="H1201" s="2564"/>
      <c r="I1201" s="397"/>
      <c r="J1201" s="396"/>
      <c r="K1201" s="396"/>
      <c r="L1201" s="396"/>
      <c r="M1201" s="396"/>
      <c r="N1201" s="396"/>
      <c r="O1201" s="396"/>
      <c r="P1201" s="396"/>
      <c r="Q1201" s="396"/>
      <c r="R1201" s="396"/>
      <c r="S1201" s="396"/>
      <c r="T1201" s="396"/>
      <c r="U1201" s="388"/>
      <c r="V1201" s="396"/>
      <c r="W1201" s="388"/>
      <c r="X1201" s="396"/>
      <c r="Y1201" s="389"/>
      <c r="Z1201" s="396"/>
      <c r="AA1201" s="388"/>
      <c r="AB1201" s="390"/>
    </row>
    <row r="1202" spans="1:28">
      <c r="A1202" s="384" t="str">
        <f t="shared" ref="A1202:B1202" si="3787">A1195</f>
        <v>Lantai 1</v>
      </c>
      <c r="B1202" s="385">
        <f t="shared" si="3787"/>
        <v>39</v>
      </c>
      <c r="C1202" s="393" t="s">
        <v>202</v>
      </c>
      <c r="D1202" s="398">
        <f>VLOOKUP(D1195,'Detail Balok'!$C$10:$AU$140,4,FALSE)</f>
        <v>3</v>
      </c>
      <c r="E1202" s="388" t="s">
        <v>16</v>
      </c>
      <c r="F1202" s="388">
        <f>VLOOKUP(D1195,'Detail Balok'!$C$10:$AU$140,6,FALSE)</f>
        <v>13</v>
      </c>
      <c r="G1202" s="388"/>
      <c r="H1202" s="395"/>
      <c r="I1202" s="388" t="s">
        <v>203</v>
      </c>
      <c r="J1202" s="399">
        <f t="shared" ref="J1202" si="3788">+D1197/4/1000</f>
        <v>2.2062499999999998</v>
      </c>
      <c r="K1202" s="400" t="s">
        <v>204</v>
      </c>
      <c r="L1202" s="399">
        <f t="shared" ref="L1202" si="3789">MAX(VLOOKUP(F1202,N$6:P$15,3,FALSE)/1000,2/3*D1199/1000)+F$16*F1202/1000</f>
        <v>0.156</v>
      </c>
      <c r="M1202" s="399" t="s">
        <v>176</v>
      </c>
      <c r="N1202" s="399">
        <f t="shared" ref="N1202:N1204" si="3790">J1202+L1202</f>
        <v>2.36225</v>
      </c>
      <c r="O1202" s="399" t="s">
        <v>204</v>
      </c>
      <c r="P1202" s="389">
        <f t="shared" ref="P1202" si="3791">D1202-D1203</f>
        <v>0</v>
      </c>
      <c r="Q1202" s="399" t="s">
        <v>125</v>
      </c>
      <c r="R1202" s="399">
        <f t="shared" ref="R1202" si="3792">IF(P1202&gt;0,$F$18*F1202/1000,0)</f>
        <v>0</v>
      </c>
      <c r="S1202" s="399" t="s">
        <v>205</v>
      </c>
      <c r="T1202" s="399" t="s">
        <v>125</v>
      </c>
      <c r="U1202" s="401">
        <f t="shared" ref="U1202:U1204" si="3793">0.006165*F1202^2</f>
        <v>1.041885</v>
      </c>
      <c r="V1202" s="399"/>
      <c r="W1202" s="399"/>
      <c r="X1202" s="399" t="s">
        <v>125</v>
      </c>
      <c r="Y1202" s="389">
        <f t="shared" ref="Y1202" si="3794">D1201</f>
        <v>1</v>
      </c>
      <c r="Z1202" s="400" t="s">
        <v>176</v>
      </c>
      <c r="AA1202" s="402">
        <f t="shared" ref="AA1202" si="3795">IF(AA1205=0,(D1202*N1202+P1202*R1202)*U1202*Y1202,0)</f>
        <v>0</v>
      </c>
      <c r="AB1202" s="403"/>
    </row>
    <row r="1203" spans="1:28">
      <c r="A1203" s="384" t="str">
        <f t="shared" ref="A1203:B1203" si="3796">A1195</f>
        <v>Lantai 1</v>
      </c>
      <c r="B1203" s="385">
        <f t="shared" si="3796"/>
        <v>39</v>
      </c>
      <c r="C1203" s="393" t="s">
        <v>206</v>
      </c>
      <c r="D1203" s="398">
        <f>VLOOKUP(D1195,'Detail Balok'!$C$10:$AU$140,7,FALSE)</f>
        <v>3</v>
      </c>
      <c r="E1203" s="388" t="s">
        <v>16</v>
      </c>
      <c r="F1203" s="388">
        <f>VLOOKUP(D1195,'Detail Balok'!$C$10:$AU$140,9,FALSE)</f>
        <v>13</v>
      </c>
      <c r="G1203" s="388"/>
      <c r="H1203" s="395"/>
      <c r="I1203" s="388" t="s">
        <v>203</v>
      </c>
      <c r="J1203" s="399">
        <f t="shared" ref="J1203" si="3797">+D1197/2/1000</f>
        <v>4.4124999999999996</v>
      </c>
      <c r="K1203" s="400" t="s">
        <v>204</v>
      </c>
      <c r="L1203" s="399"/>
      <c r="M1203" s="399" t="s">
        <v>176</v>
      </c>
      <c r="N1203" s="399">
        <f t="shared" si="3790"/>
        <v>4.4124999999999996</v>
      </c>
      <c r="O1203" s="399" t="s">
        <v>204</v>
      </c>
      <c r="P1203" s="389">
        <f t="shared" ref="P1203" si="3798">MAX(D1203-D1202,D1203-D1204)</f>
        <v>0</v>
      </c>
      <c r="Q1203" s="399" t="s">
        <v>125</v>
      </c>
      <c r="R1203" s="399">
        <f t="shared" ref="R1203" si="3799">IF(P1203&gt;0,2*(1-2*$F$19-1/2)*D1198/1000,0)</f>
        <v>0</v>
      </c>
      <c r="S1203" s="399" t="s">
        <v>205</v>
      </c>
      <c r="T1203" s="399" t="s">
        <v>125</v>
      </c>
      <c r="U1203" s="401">
        <f t="shared" si="3793"/>
        <v>1.041885</v>
      </c>
      <c r="V1203" s="399"/>
      <c r="W1203" s="399"/>
      <c r="X1203" s="399" t="s">
        <v>125</v>
      </c>
      <c r="Y1203" s="389">
        <f t="shared" ref="Y1203" si="3800">D1201</f>
        <v>1</v>
      </c>
      <c r="Z1203" s="400" t="s">
        <v>176</v>
      </c>
      <c r="AA1203" s="402">
        <f t="shared" ref="AA1203" si="3801">IF(AA1205=0,(D1203*N1203+P1203*R1203)*U1203*Y1203,0)</f>
        <v>0</v>
      </c>
      <c r="AB1203" s="403"/>
    </row>
    <row r="1204" spans="1:28">
      <c r="A1204" s="384" t="str">
        <f t="shared" ref="A1204:B1204" si="3802">A1195</f>
        <v>Lantai 1</v>
      </c>
      <c r="B1204" s="385">
        <f t="shared" si="3802"/>
        <v>39</v>
      </c>
      <c r="C1204" s="393" t="s">
        <v>202</v>
      </c>
      <c r="D1204" s="398">
        <f>VLOOKUP(D1195,'Detail Balok'!$C$10:$AU$140,10,FALSE)</f>
        <v>3</v>
      </c>
      <c r="E1204" s="388" t="s">
        <v>16</v>
      </c>
      <c r="F1204" s="388">
        <f>VLOOKUP(D1195,'Detail Balok'!$C$10:$AU$140,12,FALSE)</f>
        <v>13</v>
      </c>
      <c r="G1204" s="388"/>
      <c r="H1204" s="395"/>
      <c r="I1204" s="388" t="s">
        <v>203</v>
      </c>
      <c r="J1204" s="399">
        <f t="shared" ref="J1204" si="3803">+D1197/4/1000</f>
        <v>2.2062499999999998</v>
      </c>
      <c r="K1204" s="400" t="s">
        <v>204</v>
      </c>
      <c r="L1204" s="399">
        <f t="shared" ref="L1204" si="3804">MAX(VLOOKUP(F1204,N$6:P$15,3,FALSE)/1000,2/3*D1199/1000)+F$16*F1204/1000</f>
        <v>0.156</v>
      </c>
      <c r="M1204" s="399" t="s">
        <v>176</v>
      </c>
      <c r="N1204" s="399">
        <f t="shared" si="3790"/>
        <v>2.36225</v>
      </c>
      <c r="O1204" s="399" t="s">
        <v>204</v>
      </c>
      <c r="P1204" s="389">
        <f t="shared" ref="P1204" si="3805">D1204-D1203</f>
        <v>0</v>
      </c>
      <c r="Q1204" s="399" t="s">
        <v>125</v>
      </c>
      <c r="R1204" s="399">
        <f t="shared" ref="R1204" si="3806">IF(P1204&gt;0,$F$18*F1204/1000,0)</f>
        <v>0</v>
      </c>
      <c r="S1204" s="399" t="s">
        <v>205</v>
      </c>
      <c r="T1204" s="399" t="s">
        <v>125</v>
      </c>
      <c r="U1204" s="401">
        <f t="shared" si="3793"/>
        <v>1.041885</v>
      </c>
      <c r="V1204" s="399"/>
      <c r="W1204" s="399"/>
      <c r="X1204" s="399" t="s">
        <v>125</v>
      </c>
      <c r="Y1204" s="389">
        <f t="shared" ref="Y1204" si="3807">D1201</f>
        <v>1</v>
      </c>
      <c r="Z1204" s="400" t="s">
        <v>176</v>
      </c>
      <c r="AA1204" s="402">
        <f t="shared" ref="AA1204" si="3808">IF(AA1205=0,(D1204*N1204+P1204*R1204)*U1204*Y1204,0)</f>
        <v>0</v>
      </c>
      <c r="AB1204" s="403"/>
    </row>
    <row r="1205" spans="1:28">
      <c r="A1205" s="384" t="str">
        <f t="shared" ref="A1205:B1205" si="3809">A1195</f>
        <v>Lantai 1</v>
      </c>
      <c r="B1205" s="385">
        <f t="shared" si="3809"/>
        <v>39</v>
      </c>
      <c r="C1205" s="393"/>
      <c r="D1205" s="398">
        <f t="shared" si="3612"/>
        <v>3</v>
      </c>
      <c r="E1205" s="388" t="s">
        <v>16</v>
      </c>
      <c r="F1205" s="388">
        <f t="shared" si="3613"/>
        <v>13</v>
      </c>
      <c r="G1205" s="388"/>
      <c r="H1205" s="395"/>
      <c r="I1205" s="388"/>
      <c r="J1205" s="396"/>
      <c r="K1205" s="396"/>
      <c r="L1205" s="404" t="s">
        <v>207</v>
      </c>
      <c r="M1205" s="399" t="s">
        <v>176</v>
      </c>
      <c r="N1205" s="399">
        <f t="shared" ref="N1205" si="3810">IF(AND(D1202=D1203,D1202=D1204,D1203=D1204,F1202=F1203,F1202=F1204,F1203=F1204),SUM(N1202:N1204),0)</f>
        <v>9.1369999999999987</v>
      </c>
      <c r="O1205" s="399" t="s">
        <v>204</v>
      </c>
      <c r="P1205" s="389">
        <f t="shared" ref="P1205" si="3811">IF(N1205&gt;12,ROUNDDOWN(N1205/12,0),0)</f>
        <v>0</v>
      </c>
      <c r="Q1205" s="399" t="s">
        <v>125</v>
      </c>
      <c r="R1205" s="399">
        <f t="shared" ref="R1205" si="3812">IF(P1205&gt;0,MAX(VLOOKUP(F1205,$D$6:$G$15,3,FALSE),600),0)/1000</f>
        <v>0</v>
      </c>
      <c r="S1205" s="396"/>
      <c r="T1205" s="396" t="s">
        <v>125</v>
      </c>
      <c r="U1205" s="401">
        <f t="shared" si="3617"/>
        <v>1.041885</v>
      </c>
      <c r="V1205" s="396" t="s">
        <v>125</v>
      </c>
      <c r="W1205" s="399">
        <f t="shared" ref="W1205" si="3813">D1205</f>
        <v>3</v>
      </c>
      <c r="X1205" s="399" t="s">
        <v>125</v>
      </c>
      <c r="Y1205" s="389">
        <f t="shared" si="3619"/>
        <v>1</v>
      </c>
      <c r="Z1205" s="400" t="s">
        <v>176</v>
      </c>
      <c r="AA1205" s="402">
        <f t="shared" ref="AA1205" si="3814">(N1205+P1205*R1205/1000)*U1205*W1205*Y1205</f>
        <v>28.559109734999996</v>
      </c>
      <c r="AB1205" s="390"/>
    </row>
    <row r="1206" spans="1:28">
      <c r="A1206" s="384"/>
      <c r="B1206" s="385"/>
      <c r="C1206" s="393"/>
      <c r="D1206" s="398"/>
      <c r="E1206" s="388"/>
      <c r="F1206" s="388"/>
      <c r="G1206" s="388"/>
      <c r="H1206" s="395"/>
      <c r="I1206" s="388"/>
      <c r="J1206" s="396"/>
      <c r="K1206" s="396"/>
      <c r="L1206" s="404"/>
      <c r="M1206" s="399"/>
      <c r="N1206" s="399"/>
      <c r="O1206" s="396"/>
      <c r="P1206" s="389"/>
      <c r="Q1206" s="396"/>
      <c r="R1206" s="396"/>
      <c r="S1206" s="396"/>
      <c r="T1206" s="396"/>
      <c r="U1206" s="401"/>
      <c r="V1206" s="396"/>
      <c r="W1206" s="399"/>
      <c r="X1206" s="396"/>
      <c r="Y1206" s="389"/>
      <c r="Z1206" s="396"/>
      <c r="AA1206" s="388"/>
      <c r="AB1206" s="390"/>
    </row>
    <row r="1207" spans="1:28">
      <c r="A1207" s="384" t="str">
        <f t="shared" ref="A1207:B1207" si="3815">A1195</f>
        <v>Lantai 1</v>
      </c>
      <c r="B1207" s="385">
        <f t="shared" si="3815"/>
        <v>39</v>
      </c>
      <c r="C1207" s="393" t="s">
        <v>208</v>
      </c>
      <c r="D1207" s="398">
        <f>VLOOKUP(D1195,'Detail Balok'!$C$10:$AU$140,13,FALSE)</f>
        <v>0</v>
      </c>
      <c r="E1207" s="388" t="s">
        <v>16</v>
      </c>
      <c r="F1207" s="388">
        <f>VLOOKUP(D1195,'Detail Balok'!$C$10:$AU$140,15,FALSE)</f>
        <v>8</v>
      </c>
      <c r="G1207" s="388"/>
      <c r="H1207" s="395"/>
      <c r="I1207" s="388"/>
      <c r="J1207" s="399">
        <f t="shared" ref="J1207" si="3816">+D1197/1000</f>
        <v>8.8249999999999993</v>
      </c>
      <c r="K1207" s="400" t="s">
        <v>204</v>
      </c>
      <c r="L1207" s="399">
        <f t="shared" ref="L1207" si="3817">2*$F$16*F1207/1000</f>
        <v>0.192</v>
      </c>
      <c r="M1207" s="399" t="s">
        <v>176</v>
      </c>
      <c r="N1207" s="399">
        <f t="shared" ref="N1207" si="3818">J1207+L1207</f>
        <v>9.0169999999999995</v>
      </c>
      <c r="O1207" s="399" t="s">
        <v>204</v>
      </c>
      <c r="P1207" s="389">
        <f t="shared" ref="P1207" si="3819">IF(N1207&gt;12,ROUNDDOWN(N1207/12,0),0)</f>
        <v>0</v>
      </c>
      <c r="Q1207" s="399" t="s">
        <v>125</v>
      </c>
      <c r="R1207" s="399">
        <f t="shared" ref="R1207" si="3820">IF(P1207&gt;0,MAX(VLOOKUP(F1207,$D$6:$G$15,3,FALSE),600),0)/1000</f>
        <v>0</v>
      </c>
      <c r="S1207" s="399"/>
      <c r="T1207" s="399" t="s">
        <v>125</v>
      </c>
      <c r="U1207" s="401">
        <f t="shared" ref="U1207" si="3821">0.006165*F1207^2</f>
        <v>0.39456000000000002</v>
      </c>
      <c r="V1207" s="399" t="s">
        <v>125</v>
      </c>
      <c r="W1207" s="399">
        <f t="shared" ref="W1207" si="3822">+D1207</f>
        <v>0</v>
      </c>
      <c r="X1207" s="399" t="s">
        <v>125</v>
      </c>
      <c r="Y1207" s="389">
        <f t="shared" ref="Y1207" si="3823">D1201</f>
        <v>1</v>
      </c>
      <c r="Z1207" s="400" t="s">
        <v>176</v>
      </c>
      <c r="AA1207" s="402">
        <f t="shared" ref="AA1207" si="3824">(N1207+P1207*R1207/1000)*U1207*W1207*Y1207</f>
        <v>0</v>
      </c>
      <c r="AB1207" s="403"/>
    </row>
    <row r="1208" spans="1:28">
      <c r="A1208" s="384"/>
      <c r="B1208" s="385"/>
      <c r="C1208" s="393"/>
      <c r="D1208" s="398"/>
      <c r="E1208" s="388"/>
      <c r="F1208" s="388"/>
      <c r="G1208" s="388"/>
      <c r="H1208" s="395"/>
      <c r="I1208" s="388"/>
      <c r="J1208" s="399"/>
      <c r="K1208" s="400"/>
      <c r="L1208" s="399"/>
      <c r="M1208" s="399"/>
      <c r="N1208" s="399"/>
      <c r="O1208" s="399"/>
      <c r="P1208" s="389"/>
      <c r="Q1208" s="399"/>
      <c r="R1208" s="399"/>
      <c r="S1208" s="399"/>
      <c r="T1208" s="399"/>
      <c r="U1208" s="401"/>
      <c r="V1208" s="399"/>
      <c r="W1208" s="399"/>
      <c r="X1208" s="399"/>
      <c r="Y1208" s="389"/>
      <c r="Z1208" s="400"/>
      <c r="AA1208" s="402"/>
      <c r="AB1208" s="403"/>
    </row>
    <row r="1209" spans="1:28">
      <c r="A1209" s="384"/>
      <c r="B1209" s="385"/>
      <c r="C1209" s="393"/>
      <c r="D1209" s="398"/>
      <c r="E1209" s="388"/>
      <c r="F1209" s="388"/>
      <c r="G1209" s="388"/>
      <c r="H1209" s="395"/>
      <c r="I1209" s="388"/>
      <c r="J1209" s="396"/>
      <c r="K1209" s="396"/>
      <c r="L1209" s="396"/>
      <c r="M1209" s="396"/>
      <c r="N1209" s="396"/>
      <c r="O1209" s="396"/>
      <c r="P1209" s="389"/>
      <c r="Q1209" s="396"/>
      <c r="R1209" s="396"/>
      <c r="S1209" s="396"/>
      <c r="T1209" s="396"/>
      <c r="U1209" s="401"/>
      <c r="V1209" s="396"/>
      <c r="W1209" s="399"/>
      <c r="X1209" s="396"/>
      <c r="Y1209" s="389"/>
      <c r="Z1209" s="396"/>
      <c r="AA1209" s="388"/>
      <c r="AB1209" s="390"/>
    </row>
    <row r="1210" spans="1:28">
      <c r="A1210" s="384" t="str">
        <f t="shared" ref="A1210:B1210" si="3825">A1195</f>
        <v>Lantai 1</v>
      </c>
      <c r="B1210" s="385">
        <f t="shared" si="3825"/>
        <v>39</v>
      </c>
      <c r="C1210" s="393" t="s">
        <v>209</v>
      </c>
      <c r="D1210" s="398">
        <f>VLOOKUP(D1195,'Detail Balok'!$C$10:$AU$140,22,FALSE)</f>
        <v>3</v>
      </c>
      <c r="E1210" s="388" t="s">
        <v>16</v>
      </c>
      <c r="F1210" s="388">
        <f>VLOOKUP(D1195,'Detail Balok'!$C$10:$AU$140,24,FALSE)</f>
        <v>13</v>
      </c>
      <c r="G1210" s="388"/>
      <c r="H1210" s="395"/>
      <c r="I1210" s="388" t="s">
        <v>203</v>
      </c>
      <c r="J1210" s="399">
        <f t="shared" si="3632"/>
        <v>2.2062499999999998</v>
      </c>
      <c r="K1210" s="400" t="s">
        <v>204</v>
      </c>
      <c r="L1210" s="399">
        <f t="shared" ref="L1210" si="3826">MAX(VLOOKUP(F1210,N$6:P$15,3,FALSE)/1000,2/3*D1200/1000)+F$16*F1210/1000</f>
        <v>0.156</v>
      </c>
      <c r="M1210" s="399" t="s">
        <v>176</v>
      </c>
      <c r="N1210" s="399">
        <f t="shared" ref="N1210:N1212" si="3827">J1210+L1210</f>
        <v>2.36225</v>
      </c>
      <c r="O1210" s="399" t="s">
        <v>204</v>
      </c>
      <c r="P1210" s="389">
        <f t="shared" ref="P1210" si="3828">D1210-D1211</f>
        <v>0</v>
      </c>
      <c r="Q1210" s="399" t="s">
        <v>125</v>
      </c>
      <c r="R1210" s="399">
        <f t="shared" ref="R1210" si="3829">IF(P1210&gt;0,$F$18*F1210/1000,0)</f>
        <v>0</v>
      </c>
      <c r="S1210" s="399" t="s">
        <v>205</v>
      </c>
      <c r="T1210" s="399" t="s">
        <v>125</v>
      </c>
      <c r="U1210" s="401">
        <f t="shared" ref="U1210:U1212" si="3830">0.006165*F1210^2</f>
        <v>1.041885</v>
      </c>
      <c r="V1210" s="399"/>
      <c r="W1210" s="399"/>
      <c r="X1210" s="399" t="s">
        <v>125</v>
      </c>
      <c r="Y1210" s="389">
        <f t="shared" ref="Y1210" si="3831">D1201</f>
        <v>1</v>
      </c>
      <c r="Z1210" s="400" t="s">
        <v>176</v>
      </c>
      <c r="AA1210" s="402">
        <f t="shared" ref="AA1210" si="3832">IF(AA1213=0,(D1210*N1210+P1210*R1210)*U1210*Y1210,0)</f>
        <v>0</v>
      </c>
      <c r="AB1210" s="403"/>
    </row>
    <row r="1211" spans="1:28">
      <c r="A1211" s="384" t="str">
        <f t="shared" ref="A1211:B1211" si="3833">A1195</f>
        <v>Lantai 1</v>
      </c>
      <c r="B1211" s="385">
        <f t="shared" si="3833"/>
        <v>39</v>
      </c>
      <c r="C1211" s="393" t="s">
        <v>210</v>
      </c>
      <c r="D1211" s="398">
        <f>VLOOKUP(D1195,'Detail Balok'!$C$10:$AU$140,25,FALSE)</f>
        <v>3</v>
      </c>
      <c r="E1211" s="388" t="s">
        <v>16</v>
      </c>
      <c r="F1211" s="388">
        <f>VLOOKUP(D1195,'Detail Balok'!$C$10:$AU$140,27,FALSE)</f>
        <v>13</v>
      </c>
      <c r="G1211" s="388"/>
      <c r="H1211" s="395"/>
      <c r="I1211" s="388" t="s">
        <v>203</v>
      </c>
      <c r="J1211" s="399">
        <f t="shared" si="3632"/>
        <v>4.4124999999999996</v>
      </c>
      <c r="K1211" s="400" t="s">
        <v>204</v>
      </c>
      <c r="L1211" s="399"/>
      <c r="M1211" s="399" t="s">
        <v>176</v>
      </c>
      <c r="N1211" s="399">
        <f t="shared" si="3827"/>
        <v>4.4124999999999996</v>
      </c>
      <c r="O1211" s="399" t="s">
        <v>204</v>
      </c>
      <c r="P1211" s="389">
        <f t="shared" ref="P1211" si="3834">MAX(D1211-D1210,D1211-D1212)</f>
        <v>0</v>
      </c>
      <c r="Q1211" s="399" t="s">
        <v>125</v>
      </c>
      <c r="R1211" s="399">
        <f t="shared" ref="R1211" si="3835">IF(P1211&gt;0,2*(1-2*$F$19-1/2)*D1198/1000,0)</f>
        <v>0</v>
      </c>
      <c r="S1211" s="399" t="s">
        <v>205</v>
      </c>
      <c r="T1211" s="399" t="s">
        <v>125</v>
      </c>
      <c r="U1211" s="401">
        <f t="shared" si="3830"/>
        <v>1.041885</v>
      </c>
      <c r="V1211" s="399"/>
      <c r="W1211" s="399"/>
      <c r="X1211" s="399" t="s">
        <v>125</v>
      </c>
      <c r="Y1211" s="389">
        <f t="shared" ref="Y1211" si="3836">D1201</f>
        <v>1</v>
      </c>
      <c r="Z1211" s="400" t="s">
        <v>176</v>
      </c>
      <c r="AA1211" s="402">
        <f t="shared" ref="AA1211" si="3837">IF(AA1213=0,(D1211*N1211+P1211*R1211)*U1211*Y1211,0)</f>
        <v>0</v>
      </c>
      <c r="AB1211" s="403"/>
    </row>
    <row r="1212" spans="1:28">
      <c r="A1212" s="384" t="str">
        <f t="shared" ref="A1212:B1212" si="3838">A1195</f>
        <v>Lantai 1</v>
      </c>
      <c r="B1212" s="385">
        <f t="shared" si="3838"/>
        <v>39</v>
      </c>
      <c r="C1212" s="393" t="s">
        <v>209</v>
      </c>
      <c r="D1212" s="398">
        <f>VLOOKUP(D1195,'Detail Balok'!$C$10:$AU$140,28,FALSE)</f>
        <v>3</v>
      </c>
      <c r="E1212" s="388" t="s">
        <v>16</v>
      </c>
      <c r="F1212" s="388">
        <f>VLOOKUP(D1195,'Detail Balok'!$C$10:$AU$140,30,FALSE)</f>
        <v>13</v>
      </c>
      <c r="G1212" s="388"/>
      <c r="H1212" s="395"/>
      <c r="I1212" s="388" t="s">
        <v>203</v>
      </c>
      <c r="J1212" s="399">
        <f t="shared" si="3632"/>
        <v>2.2062499999999998</v>
      </c>
      <c r="K1212" s="400" t="s">
        <v>204</v>
      </c>
      <c r="L1212" s="399">
        <f t="shared" ref="L1212" si="3839">MAX(VLOOKUP(F1212,N$6:P$15,3,FALSE)/1000,2/3*D1200/1000)+F$16*F1212/1000</f>
        <v>0.156</v>
      </c>
      <c r="M1212" s="399" t="s">
        <v>176</v>
      </c>
      <c r="N1212" s="399">
        <f t="shared" si="3827"/>
        <v>2.36225</v>
      </c>
      <c r="O1212" s="399" t="s">
        <v>204</v>
      </c>
      <c r="P1212" s="389">
        <f t="shared" ref="P1212" si="3840">D1212-D1211</f>
        <v>0</v>
      </c>
      <c r="Q1212" s="399" t="s">
        <v>125</v>
      </c>
      <c r="R1212" s="399">
        <f t="shared" ref="R1212" si="3841">IF(P1212&gt;0,$F$18*F1212/1000,0)</f>
        <v>0</v>
      </c>
      <c r="S1212" s="399" t="s">
        <v>205</v>
      </c>
      <c r="T1212" s="399" t="s">
        <v>125</v>
      </c>
      <c r="U1212" s="401">
        <f t="shared" si="3830"/>
        <v>1.041885</v>
      </c>
      <c r="V1212" s="399"/>
      <c r="W1212" s="399"/>
      <c r="X1212" s="399" t="s">
        <v>125</v>
      </c>
      <c r="Y1212" s="389">
        <f t="shared" ref="Y1212" si="3842">D1201</f>
        <v>1</v>
      </c>
      <c r="Z1212" s="400" t="s">
        <v>176</v>
      </c>
      <c r="AA1212" s="402">
        <f t="shared" ref="AA1212" si="3843">IF(AA1213=0,(D1212*N1212+P1212*R1212)*U1212*Y1212,0)</f>
        <v>0</v>
      </c>
      <c r="AB1212" s="403"/>
    </row>
    <row r="1213" spans="1:28">
      <c r="A1213" s="384" t="str">
        <f t="shared" ref="A1213:B1213" si="3844">A1195</f>
        <v>Lantai 1</v>
      </c>
      <c r="B1213" s="385">
        <f t="shared" si="3844"/>
        <v>39</v>
      </c>
      <c r="C1213" s="393"/>
      <c r="D1213" s="398">
        <f t="shared" si="3652"/>
        <v>3</v>
      </c>
      <c r="E1213" s="388" t="s">
        <v>16</v>
      </c>
      <c r="F1213" s="388">
        <f t="shared" si="3653"/>
        <v>13</v>
      </c>
      <c r="G1213" s="388"/>
      <c r="H1213" s="395"/>
      <c r="I1213" s="388"/>
      <c r="J1213" s="396"/>
      <c r="K1213" s="396"/>
      <c r="L1213" s="404" t="s">
        <v>207</v>
      </c>
      <c r="M1213" s="399" t="s">
        <v>176</v>
      </c>
      <c r="N1213" s="399">
        <f t="shared" ref="N1213" si="3845">IF(AND(D1210=D1211,D1210=D1212,D1211=D1212,F1210=F1211,F1210=F1212,F1211=F1212),SUM(N1210:N1212),0)</f>
        <v>9.1369999999999987</v>
      </c>
      <c r="O1213" s="399" t="s">
        <v>204</v>
      </c>
      <c r="P1213" s="389">
        <f t="shared" ref="P1213" si="3846">IF(N1213&gt;12,ROUNDDOWN(N1213/12,0),0)</f>
        <v>0</v>
      </c>
      <c r="Q1213" s="399" t="s">
        <v>125</v>
      </c>
      <c r="R1213" s="399">
        <f t="shared" ref="R1213" si="3847">IF(P1213&gt;0,MAX(VLOOKUP(F1213,$D$6:$G$15,3,FALSE),600),0)/1000</f>
        <v>0</v>
      </c>
      <c r="S1213" s="396"/>
      <c r="T1213" s="396" t="s">
        <v>125</v>
      </c>
      <c r="U1213" s="401">
        <f t="shared" si="3657"/>
        <v>1.041885</v>
      </c>
      <c r="V1213" s="396" t="s">
        <v>125</v>
      </c>
      <c r="W1213" s="399">
        <f t="shared" ref="W1213" si="3848">D1213</f>
        <v>3</v>
      </c>
      <c r="X1213" s="399" t="s">
        <v>125</v>
      </c>
      <c r="Y1213" s="389">
        <f t="shared" si="3659"/>
        <v>1</v>
      </c>
      <c r="Z1213" s="400" t="s">
        <v>176</v>
      </c>
      <c r="AA1213" s="402">
        <f t="shared" ref="AA1213" si="3849">(N1213+P1213*R1213/1000)*U1213*W1213*Y1213</f>
        <v>28.559109734999996</v>
      </c>
      <c r="AB1213" s="403"/>
    </row>
    <row r="1214" spans="1:28">
      <c r="A1214" s="384"/>
      <c r="B1214" s="385"/>
      <c r="C1214" s="393"/>
      <c r="D1214" s="394"/>
      <c r="E1214" s="388"/>
      <c r="F1214" s="388"/>
      <c r="G1214" s="388"/>
      <c r="H1214" s="395"/>
      <c r="I1214" s="388"/>
      <c r="J1214" s="399"/>
      <c r="K1214" s="396"/>
      <c r="L1214" s="396"/>
      <c r="M1214" s="396"/>
      <c r="N1214" s="396"/>
      <c r="O1214" s="396"/>
      <c r="P1214" s="389"/>
      <c r="Q1214" s="396"/>
      <c r="R1214" s="396"/>
      <c r="S1214" s="396"/>
      <c r="T1214" s="396"/>
      <c r="U1214" s="401"/>
      <c r="V1214" s="396"/>
      <c r="W1214" s="388"/>
      <c r="X1214" s="396"/>
      <c r="Y1214" s="389"/>
      <c r="Z1214" s="396"/>
      <c r="AA1214" s="388"/>
      <c r="AB1214" s="390"/>
    </row>
    <row r="1215" spans="1:28">
      <c r="A1215" s="384" t="str">
        <f t="shared" ref="A1215:B1215" si="3850">A1195</f>
        <v>Lantai 1</v>
      </c>
      <c r="B1215" s="385">
        <f t="shared" si="3850"/>
        <v>39</v>
      </c>
      <c r="C1215" s="393" t="s">
        <v>211</v>
      </c>
      <c r="D1215" s="398">
        <f>VLOOKUP(D1195,'Detail Balok'!$C$10:$AU$140,31,FALSE)</f>
        <v>0</v>
      </c>
      <c r="E1215" s="388" t="s">
        <v>16</v>
      </c>
      <c r="F1215" s="388">
        <f>VLOOKUP(D1195,'Detail Balok'!$C$10:$AU$140,33,FALSE)</f>
        <v>8</v>
      </c>
      <c r="G1215" s="405" t="s">
        <v>157</v>
      </c>
      <c r="H1215" s="395">
        <f>VLOOKUP(D1195,'Detail Balok'!$C$10:$AU$140,35,FALSE)</f>
        <v>150</v>
      </c>
      <c r="I1215" s="388"/>
      <c r="J1215" s="400">
        <f t="shared" ref="J1215" si="3851">(IF(D1215=0,(2*(D1196+G1196))-(F$5*8),IF(D1215=3,(2*(D1196+G1196))-(F$5*8)+(G1196-2*F$5),IF(D1215=4,(2*(D1196+G1196))-(F$5*8)+2*(G1196-2*F$5)))))/1000</f>
        <v>0.88</v>
      </c>
      <c r="K1215" s="400" t="s">
        <v>204</v>
      </c>
      <c r="L1215" s="399">
        <f t="shared" ref="L1215:L1217" si="3852">IF(D1215=0,2*MAX(6*F1215,75),(D1215-1)*2*MAX(6*F1215,75))/1000</f>
        <v>0.15</v>
      </c>
      <c r="M1215" s="399" t="s">
        <v>176</v>
      </c>
      <c r="N1215" s="399">
        <f t="shared" ref="N1215:N1217" si="3853">J1215+L1215</f>
        <v>1.03</v>
      </c>
      <c r="O1215" s="399"/>
      <c r="P1215" s="389"/>
      <c r="Q1215" s="399"/>
      <c r="R1215" s="399"/>
      <c r="S1215" s="399"/>
      <c r="T1215" s="399" t="s">
        <v>125</v>
      </c>
      <c r="U1215" s="401">
        <f t="shared" ref="U1215:U1217" si="3854">0.006165*F1215^2</f>
        <v>0.39456000000000002</v>
      </c>
      <c r="V1215" s="399" t="s">
        <v>125</v>
      </c>
      <c r="W1215" s="399">
        <f t="shared" ref="W1215" si="3855">IF(D1198&gt;4*G1196,ROUND(MAX(D1198/4,2*G1196)/H1215,0)+1,ROUND(D1198/H1215,0)+1)</f>
        <v>16</v>
      </c>
      <c r="X1215" s="399" t="s">
        <v>125</v>
      </c>
      <c r="Y1215" s="389">
        <f t="shared" ref="Y1215" si="3856">D1201</f>
        <v>1</v>
      </c>
      <c r="Z1215" s="400" t="s">
        <v>176</v>
      </c>
      <c r="AA1215" s="402">
        <f t="shared" ref="AA1215:AA1217" si="3857">N1215*U1215*W1215*Y1215</f>
        <v>6.5023488000000009</v>
      </c>
      <c r="AB1215" s="403"/>
    </row>
    <row r="1216" spans="1:28">
      <c r="A1216" s="384" t="str">
        <f t="shared" ref="A1216:B1216" si="3858">A1195</f>
        <v>Lantai 1</v>
      </c>
      <c r="B1216" s="385">
        <f t="shared" si="3858"/>
        <v>39</v>
      </c>
      <c r="C1216" s="393" t="s">
        <v>212</v>
      </c>
      <c r="D1216" s="398">
        <f>VLOOKUP(D1195,'Detail Balok'!$C$10:$AU$140,36,FALSE)</f>
        <v>0</v>
      </c>
      <c r="E1216" s="388" t="s">
        <v>16</v>
      </c>
      <c r="F1216" s="388">
        <f>VLOOKUP(D1195,'Detail Balok'!$C$10:$AU$140,38,FALSE)</f>
        <v>8</v>
      </c>
      <c r="G1216" s="405" t="s">
        <v>157</v>
      </c>
      <c r="H1216" s="395">
        <f>VLOOKUP(D1195,'Detail Balok'!$C$10:$AU$140,40,FALSE)</f>
        <v>200</v>
      </c>
      <c r="I1216" s="388"/>
      <c r="J1216" s="400">
        <f t="shared" ref="J1216" si="3859">(IF(D1216=0,(2*(D1196+G1196))-(F$5*8),IF(D1216=3,(2*(D1196+G1196))-(F$5*8)+(G1196-2*F$5),IF(D1216=4,(2*(D1196+G1196))-(F$5*8)+2*(G1196-2*F$5)))))/1000</f>
        <v>0.88</v>
      </c>
      <c r="K1216" s="400" t="s">
        <v>204</v>
      </c>
      <c r="L1216" s="399">
        <f t="shared" si="3852"/>
        <v>0.15</v>
      </c>
      <c r="M1216" s="399" t="s">
        <v>176</v>
      </c>
      <c r="N1216" s="399">
        <f t="shared" si="3853"/>
        <v>1.03</v>
      </c>
      <c r="O1216" s="399"/>
      <c r="P1216" s="389"/>
      <c r="Q1216" s="399"/>
      <c r="R1216" s="399"/>
      <c r="S1216" s="399"/>
      <c r="T1216" s="399" t="s">
        <v>125</v>
      </c>
      <c r="U1216" s="401">
        <f t="shared" si="3854"/>
        <v>0.39456000000000002</v>
      </c>
      <c r="V1216" s="399" t="s">
        <v>125</v>
      </c>
      <c r="W1216" s="399">
        <f t="shared" ref="W1216" si="3860">IF(D1198-MAX(D1198/4,2*G1196)*2&gt;0,ROUND((D1198-MAX(D1198/4,2*G1196)*2)/H1216,0),0)</f>
        <v>22</v>
      </c>
      <c r="X1216" s="399" t="s">
        <v>125</v>
      </c>
      <c r="Y1216" s="389">
        <f t="shared" ref="Y1216" si="3861">D1201</f>
        <v>1</v>
      </c>
      <c r="Z1216" s="400" t="s">
        <v>176</v>
      </c>
      <c r="AA1216" s="402">
        <f t="shared" si="3857"/>
        <v>8.9407296000000009</v>
      </c>
      <c r="AB1216" s="403"/>
    </row>
    <row r="1217" spans="1:28">
      <c r="A1217" s="384" t="str">
        <f t="shared" ref="A1217:B1217" si="3862">A1195</f>
        <v>Lantai 1</v>
      </c>
      <c r="B1217" s="385">
        <f t="shared" si="3862"/>
        <v>39</v>
      </c>
      <c r="C1217" s="393" t="s">
        <v>211</v>
      </c>
      <c r="D1217" s="398">
        <f>VLOOKUP(D1195,'Detail Balok'!$C$10:$AU$140,41,FALSE)</f>
        <v>0</v>
      </c>
      <c r="E1217" s="388" t="s">
        <v>16</v>
      </c>
      <c r="F1217" s="388">
        <f>VLOOKUP(D1195,'Detail Balok'!$C$10:$AU$140,43,FALSE)</f>
        <v>8</v>
      </c>
      <c r="G1217" s="405" t="s">
        <v>157</v>
      </c>
      <c r="H1217" s="395">
        <f>VLOOKUP(D1195,'Detail Balok'!$C$10:$AU$140,45,FALSE)</f>
        <v>150</v>
      </c>
      <c r="I1217" s="388"/>
      <c r="J1217" s="400">
        <f t="shared" ref="J1217" si="3863">(IF(D1217=0,(2*(D1196+G1196))-(F$5*8),IF(D1217=3,(2*(D1196+G1196))-(F$5*8)+(G1196-2*F$5),IF(D1217=4,(2*(D1196+G1196))-(F$5*8)+2*(G1196-2*F$5)))))/1000</f>
        <v>0.88</v>
      </c>
      <c r="K1217" s="400" t="s">
        <v>204</v>
      </c>
      <c r="L1217" s="399">
        <f t="shared" si="3852"/>
        <v>0.15</v>
      </c>
      <c r="M1217" s="399" t="s">
        <v>176</v>
      </c>
      <c r="N1217" s="399">
        <f t="shared" si="3853"/>
        <v>1.03</v>
      </c>
      <c r="O1217" s="399"/>
      <c r="P1217" s="389"/>
      <c r="Q1217" s="399"/>
      <c r="R1217" s="399"/>
      <c r="S1217" s="399"/>
      <c r="T1217" s="399" t="s">
        <v>125</v>
      </c>
      <c r="U1217" s="401">
        <f t="shared" si="3854"/>
        <v>0.39456000000000002</v>
      </c>
      <c r="V1217" s="399" t="s">
        <v>125</v>
      </c>
      <c r="W1217" s="399">
        <f t="shared" ref="W1217" si="3864">IF(D1198&gt;4*G1196,ROUND(MAX(D1198/4,2*G1196)/H1217,0)+1,0)</f>
        <v>16</v>
      </c>
      <c r="X1217" s="399" t="s">
        <v>125</v>
      </c>
      <c r="Y1217" s="389">
        <f t="shared" ref="Y1217" si="3865">D1201</f>
        <v>1</v>
      </c>
      <c r="Z1217" s="400" t="s">
        <v>176</v>
      </c>
      <c r="AA1217" s="402">
        <f t="shared" si="3857"/>
        <v>6.5023488000000009</v>
      </c>
      <c r="AB1217" s="403"/>
    </row>
    <row r="1218" spans="1:28">
      <c r="A1218" s="384"/>
      <c r="B1218" s="385"/>
      <c r="C1218" s="393"/>
      <c r="D1218" s="394"/>
      <c r="E1218" s="388"/>
      <c r="F1218" s="388"/>
      <c r="G1218" s="388"/>
      <c r="H1218" s="395"/>
      <c r="I1218" s="388"/>
      <c r="J1218" s="399"/>
      <c r="K1218" s="396"/>
      <c r="L1218" s="396"/>
      <c r="M1218" s="396"/>
      <c r="N1218" s="396"/>
      <c r="O1218" s="396"/>
      <c r="P1218" s="389"/>
      <c r="Q1218" s="396"/>
      <c r="R1218" s="396"/>
      <c r="S1218" s="396"/>
      <c r="T1218" s="396"/>
      <c r="U1218" s="401"/>
      <c r="V1218" s="396"/>
      <c r="W1218" s="388"/>
      <c r="X1218" s="396"/>
      <c r="Y1218" s="389"/>
      <c r="Z1218" s="396"/>
      <c r="AA1218" s="388"/>
      <c r="AB1218" s="390"/>
    </row>
    <row r="1219" spans="1:28">
      <c r="A1219" s="384" t="str">
        <f t="shared" ref="A1219:B1219" si="3866">A1195</f>
        <v>Lantai 1</v>
      </c>
      <c r="B1219" s="385">
        <f t="shared" si="3866"/>
        <v>39</v>
      </c>
      <c r="C1219" s="393" t="s">
        <v>213</v>
      </c>
      <c r="D1219" s="398">
        <f>VLOOKUP(D1195,'Detail Balok'!$C$10:$BJ$140,46,FALSE)</f>
        <v>0</v>
      </c>
      <c r="E1219" s="388" t="s">
        <v>16</v>
      </c>
      <c r="F1219" s="388">
        <f>VLOOKUP(D1195,'Detail Balok'!$C$10:$BJ$140,48,FALSE)</f>
        <v>0</v>
      </c>
      <c r="G1219" s="405" t="s">
        <v>157</v>
      </c>
      <c r="H1219" s="395">
        <f>VLOOKUP(D1195,'Detail Balok'!$C$10:$BJ$140,50,FALSE)</f>
        <v>100</v>
      </c>
      <c r="I1219" s="388"/>
      <c r="J1219" s="399">
        <f t="shared" ref="J1219" si="3867">(D1196-2*F$5)/1000</f>
        <v>0.12</v>
      </c>
      <c r="K1219" s="400" t="s">
        <v>204</v>
      </c>
      <c r="L1219" s="399">
        <f t="shared" ref="L1219:L1221" si="3868">IF(D1219=0,2*MAX(6*F1219,75),(D1219-1)*2*MAX(6*F1219,75))/1000</f>
        <v>0.15</v>
      </c>
      <c r="M1219" s="399" t="s">
        <v>176</v>
      </c>
      <c r="N1219" s="399">
        <f t="shared" ref="N1219:N1221" si="3869">J1219+L1219</f>
        <v>0.27</v>
      </c>
      <c r="O1219" s="399"/>
      <c r="P1219" s="399"/>
      <c r="Q1219" s="399"/>
      <c r="R1219" s="399"/>
      <c r="S1219" s="399"/>
      <c r="T1219" s="399" t="s">
        <v>125</v>
      </c>
      <c r="U1219" s="401">
        <f t="shared" ref="U1219:U1221" si="3870">0.006165*F1219^2</f>
        <v>0</v>
      </c>
      <c r="V1219" s="399" t="s">
        <v>125</v>
      </c>
      <c r="W1219" s="399">
        <f t="shared" si="3682"/>
        <v>16</v>
      </c>
      <c r="X1219" s="399" t="s">
        <v>125</v>
      </c>
      <c r="Y1219" s="389">
        <f t="shared" ref="Y1219" si="3871">D1205</f>
        <v>3</v>
      </c>
      <c r="Z1219" s="400" t="s">
        <v>176</v>
      </c>
      <c r="AA1219" s="402">
        <f t="shared" ref="AA1219:AA1221" si="3872">N1219*U1219*W1219*Y1219</f>
        <v>0</v>
      </c>
      <c r="AB1219" s="403"/>
    </row>
    <row r="1220" spans="1:28">
      <c r="A1220" s="384" t="str">
        <f t="shared" ref="A1220:B1220" si="3873">A1195</f>
        <v>Lantai 1</v>
      </c>
      <c r="B1220" s="385">
        <f t="shared" si="3873"/>
        <v>39</v>
      </c>
      <c r="C1220" s="393" t="s">
        <v>214</v>
      </c>
      <c r="D1220" s="398">
        <f>VLOOKUP(D1195,'Detail Balok'!$C$10:$BJ$140,51,FALSE)</f>
        <v>0</v>
      </c>
      <c r="E1220" s="388" t="s">
        <v>16</v>
      </c>
      <c r="F1220" s="388">
        <f>VLOOKUP(D1195,'Detail Balok'!$C$10:$BJ$140,53,FALSE)</f>
        <v>0</v>
      </c>
      <c r="G1220" s="405" t="s">
        <v>157</v>
      </c>
      <c r="H1220" s="395">
        <f>VLOOKUP(D1195,'Detail Balok'!$C$10:$BJ$140,55,FALSE)</f>
        <v>100</v>
      </c>
      <c r="I1220" s="388"/>
      <c r="J1220" s="399">
        <f t="shared" ref="J1220" si="3874">(D1196-2*F$5)/1000</f>
        <v>0.12</v>
      </c>
      <c r="K1220" s="400" t="s">
        <v>204</v>
      </c>
      <c r="L1220" s="399">
        <f t="shared" si="3868"/>
        <v>0.15</v>
      </c>
      <c r="M1220" s="399" t="s">
        <v>176</v>
      </c>
      <c r="N1220" s="399">
        <f t="shared" si="3869"/>
        <v>0.27</v>
      </c>
      <c r="O1220" s="399"/>
      <c r="P1220" s="399"/>
      <c r="Q1220" s="399"/>
      <c r="R1220" s="399"/>
      <c r="S1220" s="399"/>
      <c r="T1220" s="399" t="s">
        <v>125</v>
      </c>
      <c r="U1220" s="401">
        <f t="shared" si="3870"/>
        <v>0</v>
      </c>
      <c r="V1220" s="399" t="s">
        <v>125</v>
      </c>
      <c r="W1220" s="399">
        <f t="shared" si="3682"/>
        <v>22</v>
      </c>
      <c r="X1220" s="399" t="s">
        <v>125</v>
      </c>
      <c r="Y1220" s="389">
        <f t="shared" ref="Y1220" si="3875">D1205</f>
        <v>3</v>
      </c>
      <c r="Z1220" s="400" t="s">
        <v>176</v>
      </c>
      <c r="AA1220" s="402">
        <f t="shared" si="3872"/>
        <v>0</v>
      </c>
      <c r="AB1220" s="403"/>
    </row>
    <row r="1221" spans="1:28">
      <c r="A1221" s="384" t="str">
        <f t="shared" ref="A1221:B1221" si="3876">A1195</f>
        <v>Lantai 1</v>
      </c>
      <c r="B1221" s="385">
        <f t="shared" si="3876"/>
        <v>39</v>
      </c>
      <c r="C1221" s="393" t="s">
        <v>213</v>
      </c>
      <c r="D1221" s="398">
        <f>VLOOKUP(D1195,'Detail Balok'!$C$10:$BJ$140,56,FALSE)</f>
        <v>0</v>
      </c>
      <c r="E1221" s="388" t="s">
        <v>16</v>
      </c>
      <c r="F1221" s="388">
        <f>VLOOKUP(D1195,'Detail Balok'!$C$10:$BJ$140,58,FALSE)</f>
        <v>0</v>
      </c>
      <c r="G1221" s="405" t="s">
        <v>157</v>
      </c>
      <c r="H1221" s="395">
        <f>VLOOKUP(D1195,'Detail Balok'!$C$10:$BJ$140,60,FALSE)</f>
        <v>100</v>
      </c>
      <c r="I1221" s="388"/>
      <c r="J1221" s="399">
        <f t="shared" ref="J1221" si="3877">(D1196-2*F$5)/1000</f>
        <v>0.12</v>
      </c>
      <c r="K1221" s="400" t="s">
        <v>204</v>
      </c>
      <c r="L1221" s="399">
        <f t="shared" si="3868"/>
        <v>0.15</v>
      </c>
      <c r="M1221" s="399" t="s">
        <v>176</v>
      </c>
      <c r="N1221" s="399">
        <f t="shared" si="3869"/>
        <v>0.27</v>
      </c>
      <c r="O1221" s="399"/>
      <c r="P1221" s="399"/>
      <c r="Q1221" s="399"/>
      <c r="R1221" s="399"/>
      <c r="S1221" s="399"/>
      <c r="T1221" s="399" t="s">
        <v>125</v>
      </c>
      <c r="U1221" s="401">
        <f t="shared" si="3870"/>
        <v>0</v>
      </c>
      <c r="V1221" s="399" t="s">
        <v>125</v>
      </c>
      <c r="W1221" s="399">
        <f t="shared" si="3682"/>
        <v>16</v>
      </c>
      <c r="X1221" s="399" t="s">
        <v>125</v>
      </c>
      <c r="Y1221" s="389">
        <f t="shared" ref="Y1221" si="3878">D1205</f>
        <v>3</v>
      </c>
      <c r="Z1221" s="400" t="s">
        <v>176</v>
      </c>
      <c r="AA1221" s="402">
        <f t="shared" si="3872"/>
        <v>0</v>
      </c>
      <c r="AB1221" s="403"/>
    </row>
    <row r="1222" spans="1:28">
      <c r="A1222" s="391"/>
      <c r="B1222" s="392"/>
      <c r="C1222" s="392"/>
      <c r="D1222" s="394"/>
      <c r="E1222" s="388"/>
      <c r="F1222" s="388"/>
      <c r="G1222" s="388"/>
      <c r="H1222" s="395"/>
      <c r="I1222" s="388"/>
      <c r="J1222" s="402"/>
      <c r="K1222" s="388"/>
      <c r="L1222" s="388"/>
      <c r="M1222" s="388"/>
      <c r="N1222" s="388"/>
      <c r="O1222" s="388"/>
      <c r="P1222" s="388"/>
      <c r="Q1222" s="388"/>
      <c r="R1222" s="388"/>
      <c r="S1222" s="388"/>
      <c r="T1222" s="388"/>
      <c r="U1222" s="388"/>
      <c r="V1222" s="388"/>
      <c r="W1222" s="388"/>
      <c r="X1222" s="388"/>
      <c r="Y1222" s="389"/>
      <c r="Z1222" s="388"/>
      <c r="AA1222" s="402"/>
      <c r="AB1222" s="403"/>
    </row>
    <row r="1223" spans="1:28" ht="15.75" thickBot="1">
      <c r="A1223" s="406"/>
      <c r="B1223" s="407"/>
      <c r="C1223" s="407"/>
      <c r="D1223" s="408"/>
      <c r="E1223" s="409"/>
      <c r="F1223" s="409"/>
      <c r="G1223" s="409"/>
      <c r="H1223" s="410"/>
      <c r="I1223" s="409"/>
      <c r="J1223" s="409"/>
      <c r="K1223" s="409"/>
      <c r="L1223" s="409"/>
      <c r="M1223" s="409"/>
      <c r="N1223" s="409"/>
      <c r="O1223" s="409"/>
      <c r="P1223" s="409"/>
      <c r="Q1223" s="409"/>
      <c r="R1223" s="409"/>
      <c r="S1223" s="409"/>
      <c r="T1223" s="409"/>
      <c r="U1223" s="409"/>
      <c r="V1223" s="409"/>
      <c r="W1223" s="409"/>
      <c r="X1223" s="409"/>
      <c r="Y1223" s="411"/>
      <c r="Z1223" s="409"/>
      <c r="AA1223" s="412"/>
      <c r="AB1223" s="413"/>
    </row>
    <row r="1224" spans="1:28">
      <c r="A1224" s="377"/>
      <c r="B1224" s="378"/>
      <c r="C1224" s="378"/>
      <c r="D1224" s="379"/>
      <c r="E1224" s="380"/>
      <c r="F1224" s="380"/>
      <c r="G1224" s="380"/>
      <c r="H1224" s="381"/>
      <c r="I1224" s="380"/>
      <c r="J1224" s="380"/>
      <c r="K1224" s="380"/>
      <c r="L1224" s="380"/>
      <c r="M1224" s="380"/>
      <c r="N1224" s="380"/>
      <c r="O1224" s="380"/>
      <c r="P1224" s="380"/>
      <c r="Q1224" s="380"/>
      <c r="R1224" s="380"/>
      <c r="S1224" s="380"/>
      <c r="T1224" s="380"/>
      <c r="U1224" s="380"/>
      <c r="V1224" s="380"/>
      <c r="W1224" s="380"/>
      <c r="X1224" s="380"/>
      <c r="Y1224" s="382"/>
      <c r="Z1224" s="380"/>
      <c r="AA1224" s="380"/>
      <c r="AB1224" s="383"/>
    </row>
    <row r="1225" spans="1:28">
      <c r="A1225" s="384" t="str">
        <f t="shared" si="3691"/>
        <v>Lantai 1</v>
      </c>
      <c r="B1225" s="385">
        <f t="shared" si="3692"/>
        <v>40</v>
      </c>
      <c r="C1225" s="386" t="str">
        <f t="shared" ref="C1225" si="3879">CONCATENATE(A1225," no. ",B1225)</f>
        <v>Lantai 1 no. 40</v>
      </c>
      <c r="D1225" s="2562" t="str">
        <f>VLOOKUP(C1225,'Data Panjang Balok'!$C$9:$N$254,2,FALSE)</f>
        <v>S24-1</v>
      </c>
      <c r="E1225" s="2576"/>
      <c r="F1225" s="2576"/>
      <c r="G1225" s="2576"/>
      <c r="H1225" s="2577"/>
      <c r="I1225" s="387"/>
      <c r="J1225" s="388"/>
      <c r="K1225" s="388"/>
      <c r="L1225" s="388"/>
      <c r="M1225" s="388"/>
      <c r="N1225" s="388"/>
      <c r="O1225" s="388"/>
      <c r="P1225" s="388"/>
      <c r="Q1225" s="388"/>
      <c r="R1225" s="388"/>
      <c r="S1225" s="388"/>
      <c r="T1225" s="388"/>
      <c r="U1225" s="388"/>
      <c r="V1225" s="388"/>
      <c r="W1225" s="388"/>
      <c r="X1225" s="388"/>
      <c r="Y1225" s="389"/>
      <c r="Z1225" s="388"/>
      <c r="AA1225" s="388"/>
      <c r="AB1225" s="390"/>
    </row>
    <row r="1226" spans="1:28">
      <c r="A1226" s="391"/>
      <c r="B1226" s="392"/>
      <c r="C1226" s="393" t="s">
        <v>118</v>
      </c>
      <c r="D1226" s="2578">
        <f>VLOOKUP(D1225,'Detail Balok'!$C$10:$AU$140,2,FALSE)</f>
        <v>200</v>
      </c>
      <c r="E1226" s="2579"/>
      <c r="F1226" s="388" t="s">
        <v>125</v>
      </c>
      <c r="G1226" s="2579">
        <f>VLOOKUP(D1225,'Detail Balok'!$C$10:$AU$140,3,FALSE)</f>
        <v>400</v>
      </c>
      <c r="H1226" s="2580"/>
      <c r="I1226" s="388"/>
      <c r="J1226" s="396"/>
      <c r="K1226" s="396"/>
      <c r="L1226" s="396"/>
      <c r="M1226" s="396"/>
      <c r="N1226" s="396"/>
      <c r="O1226" s="396"/>
      <c r="P1226" s="396"/>
      <c r="Q1226" s="396"/>
      <c r="R1226" s="396"/>
      <c r="S1226" s="396"/>
      <c r="T1226" s="396"/>
      <c r="U1226" s="388"/>
      <c r="V1226" s="396"/>
      <c r="W1226" s="388"/>
      <c r="X1226" s="396"/>
      <c r="Y1226" s="389"/>
      <c r="Z1226" s="396"/>
      <c r="AA1226" s="388"/>
      <c r="AB1226" s="390"/>
    </row>
    <row r="1227" spans="1:28">
      <c r="A1227" s="391"/>
      <c r="B1227" s="392"/>
      <c r="C1227" s="393" t="s">
        <v>198</v>
      </c>
      <c r="D1227" s="2562">
        <f>VLOOKUP(C1225,'Data Panjang Balok'!$C$9:$N$254,4,FALSE)</f>
        <v>16710</v>
      </c>
      <c r="E1227" s="2563"/>
      <c r="F1227" s="2563"/>
      <c r="G1227" s="2563"/>
      <c r="H1227" s="2564"/>
      <c r="I1227" s="397"/>
      <c r="J1227" s="396"/>
      <c r="K1227" s="396"/>
      <c r="L1227" s="396"/>
      <c r="M1227" s="396"/>
      <c r="N1227" s="396"/>
      <c r="O1227" s="396"/>
      <c r="P1227" s="396"/>
      <c r="Q1227" s="396"/>
      <c r="R1227" s="396"/>
      <c r="S1227" s="396"/>
      <c r="T1227" s="396"/>
      <c r="U1227" s="388"/>
      <c r="V1227" s="396"/>
      <c r="W1227" s="388"/>
      <c r="X1227" s="396"/>
      <c r="Y1227" s="389"/>
      <c r="Z1227" s="396"/>
      <c r="AA1227" s="388"/>
      <c r="AB1227" s="390"/>
    </row>
    <row r="1228" spans="1:28">
      <c r="A1228" s="391"/>
      <c r="B1228" s="392"/>
      <c r="C1228" s="393" t="s">
        <v>199</v>
      </c>
      <c r="D1228" s="2562">
        <f>VLOOKUP(C1225,'Data Panjang Balok'!$C$9:$N$254,7,FALSE)</f>
        <v>16710</v>
      </c>
      <c r="E1228" s="2563"/>
      <c r="F1228" s="2563"/>
      <c r="G1228" s="2563"/>
      <c r="H1228" s="2564"/>
      <c r="I1228" s="397"/>
      <c r="J1228" s="396"/>
      <c r="K1228" s="396"/>
      <c r="L1228" s="396"/>
      <c r="M1228" s="396"/>
      <c r="N1228" s="396"/>
      <c r="O1228" s="396"/>
      <c r="P1228" s="396"/>
      <c r="Q1228" s="396"/>
      <c r="R1228" s="396"/>
      <c r="S1228" s="396"/>
      <c r="T1228" s="396"/>
      <c r="U1228" s="388"/>
      <c r="V1228" s="396"/>
      <c r="W1228" s="388"/>
      <c r="X1228" s="396"/>
      <c r="Y1228" s="389"/>
      <c r="Z1228" s="396"/>
      <c r="AA1228" s="388"/>
      <c r="AB1228" s="390"/>
    </row>
    <row r="1229" spans="1:28">
      <c r="A1229" s="391"/>
      <c r="B1229" s="392"/>
      <c r="C1229" s="393" t="s">
        <v>200</v>
      </c>
      <c r="D1229" s="2562">
        <f>VLOOKUP(C1225,'Data Panjang Balok'!$C$9:$N$254,9,FALSE)</f>
        <v>0</v>
      </c>
      <c r="E1229" s="2563"/>
      <c r="F1229" s="2563"/>
      <c r="G1229" s="2563"/>
      <c r="H1229" s="2564"/>
      <c r="I1229" s="397"/>
      <c r="J1229" s="396"/>
      <c r="K1229" s="396"/>
      <c r="L1229" s="396"/>
      <c r="M1229" s="396"/>
      <c r="N1229" s="396"/>
      <c r="O1229" s="396"/>
      <c r="P1229" s="396"/>
      <c r="Q1229" s="396"/>
      <c r="R1229" s="396"/>
      <c r="S1229" s="396"/>
      <c r="T1229" s="396"/>
      <c r="U1229" s="388"/>
      <c r="V1229" s="396"/>
      <c r="W1229" s="388"/>
      <c r="X1229" s="396"/>
      <c r="Y1229" s="389"/>
      <c r="Z1229" s="396"/>
      <c r="AA1229" s="388"/>
      <c r="AB1229" s="390"/>
    </row>
    <row r="1230" spans="1:28">
      <c r="A1230" s="391"/>
      <c r="B1230" s="392"/>
      <c r="C1230" s="393" t="s">
        <v>201</v>
      </c>
      <c r="D1230" s="2562">
        <f>VLOOKUP(C1225,'Data Panjang Balok'!$C$9:$N$254,10,FALSE)</f>
        <v>0</v>
      </c>
      <c r="E1230" s="2563"/>
      <c r="F1230" s="2563"/>
      <c r="G1230" s="2563"/>
      <c r="H1230" s="2564"/>
      <c r="I1230" s="397"/>
      <c r="J1230" s="396"/>
      <c r="K1230" s="396"/>
      <c r="L1230" s="396"/>
      <c r="M1230" s="396"/>
      <c r="N1230" s="396"/>
      <c r="O1230" s="396"/>
      <c r="P1230" s="396"/>
      <c r="Q1230" s="396"/>
      <c r="R1230" s="396"/>
      <c r="S1230" s="396"/>
      <c r="T1230" s="396"/>
      <c r="U1230" s="388"/>
      <c r="V1230" s="396"/>
      <c r="W1230" s="388"/>
      <c r="X1230" s="396"/>
      <c r="Y1230" s="389"/>
      <c r="Z1230" s="396"/>
      <c r="AA1230" s="388"/>
      <c r="AB1230" s="390"/>
    </row>
    <row r="1231" spans="1:28">
      <c r="A1231" s="391"/>
      <c r="B1231" s="392"/>
      <c r="C1231" s="393" t="s">
        <v>48</v>
      </c>
      <c r="D1231" s="2562">
        <f>VLOOKUP(C1225,'Data Panjang Balok'!$C$9:$N$254,3,FALSE)</f>
        <v>1</v>
      </c>
      <c r="E1231" s="2563"/>
      <c r="F1231" s="2563"/>
      <c r="G1231" s="2563"/>
      <c r="H1231" s="2564"/>
      <c r="I1231" s="397"/>
      <c r="J1231" s="396"/>
      <c r="K1231" s="396"/>
      <c r="L1231" s="396"/>
      <c r="M1231" s="396"/>
      <c r="N1231" s="396"/>
      <c r="O1231" s="396"/>
      <c r="P1231" s="396"/>
      <c r="Q1231" s="396"/>
      <c r="R1231" s="396"/>
      <c r="S1231" s="396"/>
      <c r="T1231" s="396"/>
      <c r="U1231" s="388"/>
      <c r="V1231" s="396"/>
      <c r="W1231" s="388"/>
      <c r="X1231" s="396"/>
      <c r="Y1231" s="389"/>
      <c r="Z1231" s="396"/>
      <c r="AA1231" s="388"/>
      <c r="AB1231" s="390"/>
    </row>
    <row r="1232" spans="1:28">
      <c r="A1232" s="384" t="str">
        <f t="shared" ref="A1232:B1232" si="3880">A1225</f>
        <v>Lantai 1</v>
      </c>
      <c r="B1232" s="385">
        <f t="shared" si="3880"/>
        <v>40</v>
      </c>
      <c r="C1232" s="393" t="s">
        <v>202</v>
      </c>
      <c r="D1232" s="398">
        <f>VLOOKUP(D1225,'Detail Balok'!$C$10:$AU$140,4,FALSE)</f>
        <v>3</v>
      </c>
      <c r="E1232" s="388" t="s">
        <v>16</v>
      </c>
      <c r="F1232" s="388">
        <f>VLOOKUP(D1225,'Detail Balok'!$C$10:$AU$140,6,FALSE)</f>
        <v>13</v>
      </c>
      <c r="G1232" s="388"/>
      <c r="H1232" s="395"/>
      <c r="I1232" s="388" t="s">
        <v>203</v>
      </c>
      <c r="J1232" s="399">
        <f t="shared" ref="J1232" si="3881">+D1227/4/1000</f>
        <v>4.1775000000000002</v>
      </c>
      <c r="K1232" s="400" t="s">
        <v>204</v>
      </c>
      <c r="L1232" s="399">
        <f t="shared" ref="L1232" si="3882">MAX(VLOOKUP(F1232,N$6:P$15,3,FALSE)/1000,2/3*D1229/1000)+F$16*F1232/1000</f>
        <v>0.156</v>
      </c>
      <c r="M1232" s="399" t="s">
        <v>176</v>
      </c>
      <c r="N1232" s="399">
        <f t="shared" ref="N1232:N1234" si="3883">J1232+L1232</f>
        <v>4.3334999999999999</v>
      </c>
      <c r="O1232" s="399" t="s">
        <v>204</v>
      </c>
      <c r="P1232" s="389">
        <f t="shared" ref="P1232" si="3884">D1232-D1233</f>
        <v>0</v>
      </c>
      <c r="Q1232" s="399" t="s">
        <v>125</v>
      </c>
      <c r="R1232" s="399">
        <f t="shared" ref="R1232" si="3885">IF(P1232&gt;0,$F$18*F1232/1000,0)</f>
        <v>0</v>
      </c>
      <c r="S1232" s="399" t="s">
        <v>205</v>
      </c>
      <c r="T1232" s="399" t="s">
        <v>125</v>
      </c>
      <c r="U1232" s="401">
        <f t="shared" ref="U1232:U1234" si="3886">0.006165*F1232^2</f>
        <v>1.041885</v>
      </c>
      <c r="V1232" s="399"/>
      <c r="W1232" s="399"/>
      <c r="X1232" s="399" t="s">
        <v>125</v>
      </c>
      <c r="Y1232" s="389">
        <f t="shared" ref="Y1232" si="3887">D1231</f>
        <v>1</v>
      </c>
      <c r="Z1232" s="400" t="s">
        <v>176</v>
      </c>
      <c r="AA1232" s="402">
        <f t="shared" ref="AA1232" si="3888">IF(AA1235=0,(D1232*N1232+P1232*R1232)*U1232*Y1232,0)</f>
        <v>0</v>
      </c>
      <c r="AB1232" s="403"/>
    </row>
    <row r="1233" spans="1:28">
      <c r="A1233" s="384" t="str">
        <f t="shared" ref="A1233:B1233" si="3889">A1225</f>
        <v>Lantai 1</v>
      </c>
      <c r="B1233" s="385">
        <f t="shared" si="3889"/>
        <v>40</v>
      </c>
      <c r="C1233" s="393" t="s">
        <v>206</v>
      </c>
      <c r="D1233" s="398">
        <f>VLOOKUP(D1225,'Detail Balok'!$C$10:$AU$140,7,FALSE)</f>
        <v>3</v>
      </c>
      <c r="E1233" s="388" t="s">
        <v>16</v>
      </c>
      <c r="F1233" s="388">
        <f>VLOOKUP(D1225,'Detail Balok'!$C$10:$AU$140,9,FALSE)</f>
        <v>13</v>
      </c>
      <c r="G1233" s="388"/>
      <c r="H1233" s="395"/>
      <c r="I1233" s="388" t="s">
        <v>203</v>
      </c>
      <c r="J1233" s="399">
        <f t="shared" ref="J1233" si="3890">+D1227/2/1000</f>
        <v>8.3550000000000004</v>
      </c>
      <c r="K1233" s="400" t="s">
        <v>204</v>
      </c>
      <c r="L1233" s="399"/>
      <c r="M1233" s="399" t="s">
        <v>176</v>
      </c>
      <c r="N1233" s="399">
        <f t="shared" si="3883"/>
        <v>8.3550000000000004</v>
      </c>
      <c r="O1233" s="399" t="s">
        <v>204</v>
      </c>
      <c r="P1233" s="389">
        <f t="shared" ref="P1233" si="3891">MAX(D1233-D1232,D1233-D1234)</f>
        <v>0</v>
      </c>
      <c r="Q1233" s="399" t="s">
        <v>125</v>
      </c>
      <c r="R1233" s="399">
        <f t="shared" ref="R1233" si="3892">IF(P1233&gt;0,2*(1-2*$F$19-1/2)*D1228/1000,0)</f>
        <v>0</v>
      </c>
      <c r="S1233" s="399" t="s">
        <v>205</v>
      </c>
      <c r="T1233" s="399" t="s">
        <v>125</v>
      </c>
      <c r="U1233" s="401">
        <f t="shared" si="3886"/>
        <v>1.041885</v>
      </c>
      <c r="V1233" s="399"/>
      <c r="W1233" s="399"/>
      <c r="X1233" s="399" t="s">
        <v>125</v>
      </c>
      <c r="Y1233" s="389">
        <f t="shared" ref="Y1233" si="3893">D1231</f>
        <v>1</v>
      </c>
      <c r="Z1233" s="400" t="s">
        <v>176</v>
      </c>
      <c r="AA1233" s="402">
        <f t="shared" ref="AA1233" si="3894">IF(AA1235=0,(D1233*N1233+P1233*R1233)*U1233*Y1233,0)</f>
        <v>0</v>
      </c>
      <c r="AB1233" s="403"/>
    </row>
    <row r="1234" spans="1:28">
      <c r="A1234" s="384" t="str">
        <f t="shared" ref="A1234:B1234" si="3895">A1225</f>
        <v>Lantai 1</v>
      </c>
      <c r="B1234" s="385">
        <f t="shared" si="3895"/>
        <v>40</v>
      </c>
      <c r="C1234" s="393" t="s">
        <v>202</v>
      </c>
      <c r="D1234" s="398">
        <f>VLOOKUP(D1225,'Detail Balok'!$C$10:$AU$140,10,FALSE)</f>
        <v>3</v>
      </c>
      <c r="E1234" s="388" t="s">
        <v>16</v>
      </c>
      <c r="F1234" s="388">
        <f>VLOOKUP(D1225,'Detail Balok'!$C$10:$AU$140,12,FALSE)</f>
        <v>13</v>
      </c>
      <c r="G1234" s="388"/>
      <c r="H1234" s="395"/>
      <c r="I1234" s="388" t="s">
        <v>203</v>
      </c>
      <c r="J1234" s="399">
        <f t="shared" ref="J1234" si="3896">+D1227/4/1000</f>
        <v>4.1775000000000002</v>
      </c>
      <c r="K1234" s="400" t="s">
        <v>204</v>
      </c>
      <c r="L1234" s="399">
        <f t="shared" ref="L1234" si="3897">MAX(VLOOKUP(F1234,N$6:P$15,3,FALSE)/1000,2/3*D1229/1000)+F$16*F1234/1000</f>
        <v>0.156</v>
      </c>
      <c r="M1234" s="399" t="s">
        <v>176</v>
      </c>
      <c r="N1234" s="399">
        <f t="shared" si="3883"/>
        <v>4.3334999999999999</v>
      </c>
      <c r="O1234" s="399" t="s">
        <v>204</v>
      </c>
      <c r="P1234" s="389">
        <f t="shared" ref="P1234" si="3898">D1234-D1233</f>
        <v>0</v>
      </c>
      <c r="Q1234" s="399" t="s">
        <v>125</v>
      </c>
      <c r="R1234" s="399">
        <f t="shared" ref="R1234" si="3899">IF(P1234&gt;0,$F$18*F1234/1000,0)</f>
        <v>0</v>
      </c>
      <c r="S1234" s="399" t="s">
        <v>205</v>
      </c>
      <c r="T1234" s="399" t="s">
        <v>125</v>
      </c>
      <c r="U1234" s="401">
        <f t="shared" si="3886"/>
        <v>1.041885</v>
      </c>
      <c r="V1234" s="399"/>
      <c r="W1234" s="399"/>
      <c r="X1234" s="399" t="s">
        <v>125</v>
      </c>
      <c r="Y1234" s="389">
        <f t="shared" ref="Y1234" si="3900">D1231</f>
        <v>1</v>
      </c>
      <c r="Z1234" s="400" t="s">
        <v>176</v>
      </c>
      <c r="AA1234" s="402">
        <f t="shared" ref="AA1234" si="3901">IF(AA1235=0,(D1234*N1234+P1234*R1234)*U1234*Y1234,0)</f>
        <v>0</v>
      </c>
      <c r="AB1234" s="403"/>
    </row>
    <row r="1235" spans="1:28">
      <c r="A1235" s="384" t="str">
        <f t="shared" ref="A1235:B1235" si="3902">A1225</f>
        <v>Lantai 1</v>
      </c>
      <c r="B1235" s="385">
        <f t="shared" si="3902"/>
        <v>40</v>
      </c>
      <c r="C1235" s="393"/>
      <c r="D1235" s="398">
        <f t="shared" ref="D1235:D1295" si="3903">IF(AND(D1232=D1233,D1233=D1234,D1232=D1234),D1232,0)</f>
        <v>3</v>
      </c>
      <c r="E1235" s="388" t="s">
        <v>16</v>
      </c>
      <c r="F1235" s="388">
        <f t="shared" ref="F1235:F1295" si="3904">IF(AND(F1232=F1233,F1232=F1234,F1233=F1234),F1232,0)</f>
        <v>13</v>
      </c>
      <c r="G1235" s="388"/>
      <c r="H1235" s="395"/>
      <c r="I1235" s="388"/>
      <c r="J1235" s="396"/>
      <c r="K1235" s="396"/>
      <c r="L1235" s="404" t="s">
        <v>207</v>
      </c>
      <c r="M1235" s="399" t="s">
        <v>176</v>
      </c>
      <c r="N1235" s="399">
        <f t="shared" ref="N1235" si="3905">IF(AND(D1232=D1233,D1232=D1234,D1233=D1234,F1232=F1233,F1232=F1234,F1233=F1234),SUM(N1232:N1234),0)</f>
        <v>17.022000000000002</v>
      </c>
      <c r="O1235" s="399" t="s">
        <v>204</v>
      </c>
      <c r="P1235" s="389">
        <f t="shared" ref="P1235" si="3906">IF(N1235&gt;12,ROUNDDOWN(N1235/12,0),0)</f>
        <v>1</v>
      </c>
      <c r="Q1235" s="399" t="s">
        <v>125</v>
      </c>
      <c r="R1235" s="399">
        <f t="shared" ref="R1235" si="3907">IF(P1235&gt;0,MAX(VLOOKUP(F1235,$D$6:$G$15,3,FALSE),600),0)/1000</f>
        <v>0.65</v>
      </c>
      <c r="S1235" s="396"/>
      <c r="T1235" s="396" t="s">
        <v>125</v>
      </c>
      <c r="U1235" s="401">
        <f t="shared" ref="U1235:U1295" si="3908">U1234</f>
        <v>1.041885</v>
      </c>
      <c r="V1235" s="396" t="s">
        <v>125</v>
      </c>
      <c r="W1235" s="399">
        <f t="shared" ref="W1235" si="3909">D1235</f>
        <v>3</v>
      </c>
      <c r="X1235" s="399" t="s">
        <v>125</v>
      </c>
      <c r="Y1235" s="389">
        <f t="shared" ref="Y1235:Y1295" si="3910">Y1234</f>
        <v>1</v>
      </c>
      <c r="Z1235" s="400" t="s">
        <v>176</v>
      </c>
      <c r="AA1235" s="402">
        <f t="shared" ref="AA1235" si="3911">(N1235+P1235*R1235/1000)*U1235*W1235*Y1235</f>
        <v>53.20693108575</v>
      </c>
      <c r="AB1235" s="390"/>
    </row>
    <row r="1236" spans="1:28">
      <c r="A1236" s="384"/>
      <c r="B1236" s="385"/>
      <c r="C1236" s="393"/>
      <c r="D1236" s="398"/>
      <c r="E1236" s="388"/>
      <c r="F1236" s="388"/>
      <c r="G1236" s="388"/>
      <c r="H1236" s="395"/>
      <c r="I1236" s="388"/>
      <c r="J1236" s="396"/>
      <c r="K1236" s="396"/>
      <c r="L1236" s="404"/>
      <c r="M1236" s="399"/>
      <c r="N1236" s="399"/>
      <c r="O1236" s="396"/>
      <c r="P1236" s="389"/>
      <c r="Q1236" s="396"/>
      <c r="R1236" s="396"/>
      <c r="S1236" s="396"/>
      <c r="T1236" s="396"/>
      <c r="U1236" s="401"/>
      <c r="V1236" s="396"/>
      <c r="W1236" s="399"/>
      <c r="X1236" s="396"/>
      <c r="Y1236" s="389"/>
      <c r="Z1236" s="396"/>
      <c r="AA1236" s="388"/>
      <c r="AB1236" s="390"/>
    </row>
    <row r="1237" spans="1:28">
      <c r="A1237" s="384" t="str">
        <f t="shared" ref="A1237:B1237" si="3912">A1225</f>
        <v>Lantai 1</v>
      </c>
      <c r="B1237" s="385">
        <f t="shared" si="3912"/>
        <v>40</v>
      </c>
      <c r="C1237" s="393" t="s">
        <v>208</v>
      </c>
      <c r="D1237" s="398">
        <f>VLOOKUP(D1225,'Detail Balok'!$C$10:$AU$140,13,FALSE)</f>
        <v>0</v>
      </c>
      <c r="E1237" s="388" t="s">
        <v>16</v>
      </c>
      <c r="F1237" s="388">
        <f>VLOOKUP(D1225,'Detail Balok'!$C$10:$AU$140,15,FALSE)</f>
        <v>8</v>
      </c>
      <c r="G1237" s="388"/>
      <c r="H1237" s="395"/>
      <c r="I1237" s="388"/>
      <c r="J1237" s="399">
        <f t="shared" ref="J1237" si="3913">+D1227/1000</f>
        <v>16.71</v>
      </c>
      <c r="K1237" s="400" t="s">
        <v>204</v>
      </c>
      <c r="L1237" s="399">
        <f t="shared" ref="L1237" si="3914">2*$F$16*F1237/1000</f>
        <v>0.192</v>
      </c>
      <c r="M1237" s="399" t="s">
        <v>176</v>
      </c>
      <c r="N1237" s="399">
        <f t="shared" ref="N1237" si="3915">J1237+L1237</f>
        <v>16.902000000000001</v>
      </c>
      <c r="O1237" s="399" t="s">
        <v>204</v>
      </c>
      <c r="P1237" s="389">
        <f t="shared" ref="P1237" si="3916">IF(N1237&gt;12,ROUNDDOWN(N1237/12,0),0)</f>
        <v>1</v>
      </c>
      <c r="Q1237" s="399" t="s">
        <v>125</v>
      </c>
      <c r="R1237" s="399">
        <f t="shared" ref="R1237" si="3917">IF(P1237&gt;0,MAX(VLOOKUP(F1237,$D$6:$G$15,3,FALSE),600),0)/1000</f>
        <v>0.6</v>
      </c>
      <c r="S1237" s="399"/>
      <c r="T1237" s="399" t="s">
        <v>125</v>
      </c>
      <c r="U1237" s="401">
        <f t="shared" ref="U1237" si="3918">0.006165*F1237^2</f>
        <v>0.39456000000000002</v>
      </c>
      <c r="V1237" s="399" t="s">
        <v>125</v>
      </c>
      <c r="W1237" s="399">
        <f t="shared" ref="W1237" si="3919">+D1237</f>
        <v>0</v>
      </c>
      <c r="X1237" s="399" t="s">
        <v>125</v>
      </c>
      <c r="Y1237" s="389">
        <f t="shared" ref="Y1237" si="3920">D1231</f>
        <v>1</v>
      </c>
      <c r="Z1237" s="400" t="s">
        <v>176</v>
      </c>
      <c r="AA1237" s="402">
        <f t="shared" ref="AA1237" si="3921">(N1237+P1237*R1237/1000)*U1237*W1237*Y1237</f>
        <v>0</v>
      </c>
      <c r="AB1237" s="403"/>
    </row>
    <row r="1238" spans="1:28">
      <c r="A1238" s="384"/>
      <c r="B1238" s="385"/>
      <c r="C1238" s="393"/>
      <c r="D1238" s="398"/>
      <c r="E1238" s="388"/>
      <c r="F1238" s="388"/>
      <c r="G1238" s="388"/>
      <c r="H1238" s="395"/>
      <c r="I1238" s="388"/>
      <c r="J1238" s="399"/>
      <c r="K1238" s="400"/>
      <c r="L1238" s="399"/>
      <c r="M1238" s="399"/>
      <c r="N1238" s="399"/>
      <c r="O1238" s="399"/>
      <c r="P1238" s="389"/>
      <c r="Q1238" s="399"/>
      <c r="R1238" s="399"/>
      <c r="S1238" s="399"/>
      <c r="T1238" s="399"/>
      <c r="U1238" s="401"/>
      <c r="V1238" s="399"/>
      <c r="W1238" s="399"/>
      <c r="X1238" s="399"/>
      <c r="Y1238" s="389"/>
      <c r="Z1238" s="400"/>
      <c r="AA1238" s="402"/>
      <c r="AB1238" s="403"/>
    </row>
    <row r="1239" spans="1:28">
      <c r="A1239" s="384"/>
      <c r="B1239" s="385"/>
      <c r="C1239" s="393"/>
      <c r="D1239" s="398"/>
      <c r="E1239" s="388"/>
      <c r="F1239" s="388"/>
      <c r="G1239" s="388"/>
      <c r="H1239" s="395"/>
      <c r="I1239" s="388"/>
      <c r="J1239" s="396"/>
      <c r="K1239" s="396"/>
      <c r="L1239" s="396"/>
      <c r="M1239" s="396"/>
      <c r="N1239" s="396"/>
      <c r="O1239" s="396"/>
      <c r="P1239" s="389"/>
      <c r="Q1239" s="396"/>
      <c r="R1239" s="396"/>
      <c r="S1239" s="396"/>
      <c r="T1239" s="396"/>
      <c r="U1239" s="401"/>
      <c r="V1239" s="396"/>
      <c r="W1239" s="399"/>
      <c r="X1239" s="396"/>
      <c r="Y1239" s="389"/>
      <c r="Z1239" s="396"/>
      <c r="AA1239" s="388"/>
      <c r="AB1239" s="390"/>
    </row>
    <row r="1240" spans="1:28">
      <c r="A1240" s="384" t="str">
        <f t="shared" ref="A1240:B1240" si="3922">A1225</f>
        <v>Lantai 1</v>
      </c>
      <c r="B1240" s="385">
        <f t="shared" si="3922"/>
        <v>40</v>
      </c>
      <c r="C1240" s="393" t="s">
        <v>209</v>
      </c>
      <c r="D1240" s="398">
        <f>VLOOKUP(D1225,'Detail Balok'!$C$10:$AU$140,22,FALSE)</f>
        <v>3</v>
      </c>
      <c r="E1240" s="388" t="s">
        <v>16</v>
      </c>
      <c r="F1240" s="388">
        <f>VLOOKUP(D1225,'Detail Balok'!$C$10:$AU$140,24,FALSE)</f>
        <v>13</v>
      </c>
      <c r="G1240" s="388"/>
      <c r="H1240" s="395"/>
      <c r="I1240" s="388" t="s">
        <v>203</v>
      </c>
      <c r="J1240" s="399">
        <f t="shared" ref="J1240:J1302" si="3923">+J1232</f>
        <v>4.1775000000000002</v>
      </c>
      <c r="K1240" s="400" t="s">
        <v>204</v>
      </c>
      <c r="L1240" s="399">
        <f t="shared" ref="L1240" si="3924">MAX(VLOOKUP(F1240,N$6:P$15,3,FALSE)/1000,2/3*D1230/1000)+F$16*F1240/1000</f>
        <v>0.156</v>
      </c>
      <c r="M1240" s="399" t="s">
        <v>176</v>
      </c>
      <c r="N1240" s="399">
        <f t="shared" ref="N1240:N1242" si="3925">J1240+L1240</f>
        <v>4.3334999999999999</v>
      </c>
      <c r="O1240" s="399" t="s">
        <v>204</v>
      </c>
      <c r="P1240" s="389">
        <f t="shared" ref="P1240" si="3926">D1240-D1241</f>
        <v>0</v>
      </c>
      <c r="Q1240" s="399" t="s">
        <v>125</v>
      </c>
      <c r="R1240" s="399">
        <f t="shared" ref="R1240" si="3927">IF(P1240&gt;0,$F$18*F1240/1000,0)</f>
        <v>0</v>
      </c>
      <c r="S1240" s="399" t="s">
        <v>205</v>
      </c>
      <c r="T1240" s="399" t="s">
        <v>125</v>
      </c>
      <c r="U1240" s="401">
        <f t="shared" ref="U1240:U1242" si="3928">0.006165*F1240^2</f>
        <v>1.041885</v>
      </c>
      <c r="V1240" s="399"/>
      <c r="W1240" s="399"/>
      <c r="X1240" s="399" t="s">
        <v>125</v>
      </c>
      <c r="Y1240" s="389">
        <f t="shared" ref="Y1240" si="3929">D1231</f>
        <v>1</v>
      </c>
      <c r="Z1240" s="400" t="s">
        <v>176</v>
      </c>
      <c r="AA1240" s="402">
        <f t="shared" ref="AA1240" si="3930">IF(AA1243=0,(D1240*N1240+P1240*R1240)*U1240*Y1240,0)</f>
        <v>0</v>
      </c>
      <c r="AB1240" s="403"/>
    </row>
    <row r="1241" spans="1:28">
      <c r="A1241" s="384" t="str">
        <f t="shared" ref="A1241:B1241" si="3931">A1225</f>
        <v>Lantai 1</v>
      </c>
      <c r="B1241" s="385">
        <f t="shared" si="3931"/>
        <v>40</v>
      </c>
      <c r="C1241" s="393" t="s">
        <v>210</v>
      </c>
      <c r="D1241" s="398">
        <f>VLOOKUP(D1225,'Detail Balok'!$C$10:$AU$140,25,FALSE)</f>
        <v>3</v>
      </c>
      <c r="E1241" s="388" t="s">
        <v>16</v>
      </c>
      <c r="F1241" s="388">
        <f>VLOOKUP(D1225,'Detail Balok'!$C$10:$AU$140,27,FALSE)</f>
        <v>13</v>
      </c>
      <c r="G1241" s="388"/>
      <c r="H1241" s="395"/>
      <c r="I1241" s="388" t="s">
        <v>203</v>
      </c>
      <c r="J1241" s="399">
        <f t="shared" si="3923"/>
        <v>8.3550000000000004</v>
      </c>
      <c r="K1241" s="400" t="s">
        <v>204</v>
      </c>
      <c r="L1241" s="399"/>
      <c r="M1241" s="399" t="s">
        <v>176</v>
      </c>
      <c r="N1241" s="399">
        <f t="shared" si="3925"/>
        <v>8.3550000000000004</v>
      </c>
      <c r="O1241" s="399" t="s">
        <v>204</v>
      </c>
      <c r="P1241" s="389">
        <f t="shared" ref="P1241" si="3932">MAX(D1241-D1240,D1241-D1242)</f>
        <v>0</v>
      </c>
      <c r="Q1241" s="399" t="s">
        <v>125</v>
      </c>
      <c r="R1241" s="399">
        <f t="shared" ref="R1241" si="3933">IF(P1241&gt;0,2*(1-2*$F$19-1/2)*D1228/1000,0)</f>
        <v>0</v>
      </c>
      <c r="S1241" s="399" t="s">
        <v>205</v>
      </c>
      <c r="T1241" s="399" t="s">
        <v>125</v>
      </c>
      <c r="U1241" s="401">
        <f t="shared" si="3928"/>
        <v>1.041885</v>
      </c>
      <c r="V1241" s="399"/>
      <c r="W1241" s="399"/>
      <c r="X1241" s="399" t="s">
        <v>125</v>
      </c>
      <c r="Y1241" s="389">
        <f t="shared" ref="Y1241" si="3934">D1231</f>
        <v>1</v>
      </c>
      <c r="Z1241" s="400" t="s">
        <v>176</v>
      </c>
      <c r="AA1241" s="402">
        <f t="shared" ref="AA1241" si="3935">IF(AA1243=0,(D1241*N1241+P1241*R1241)*U1241*Y1241,0)</f>
        <v>0</v>
      </c>
      <c r="AB1241" s="403"/>
    </row>
    <row r="1242" spans="1:28">
      <c r="A1242" s="384" t="str">
        <f t="shared" ref="A1242:B1242" si="3936">A1225</f>
        <v>Lantai 1</v>
      </c>
      <c r="B1242" s="385">
        <f t="shared" si="3936"/>
        <v>40</v>
      </c>
      <c r="C1242" s="393" t="s">
        <v>209</v>
      </c>
      <c r="D1242" s="398">
        <f>VLOOKUP(D1225,'Detail Balok'!$C$10:$AU$140,28,FALSE)</f>
        <v>3</v>
      </c>
      <c r="E1242" s="388" t="s">
        <v>16</v>
      </c>
      <c r="F1242" s="388">
        <f>VLOOKUP(D1225,'Detail Balok'!$C$10:$AU$140,30,FALSE)</f>
        <v>13</v>
      </c>
      <c r="G1242" s="388"/>
      <c r="H1242" s="395"/>
      <c r="I1242" s="388" t="s">
        <v>203</v>
      </c>
      <c r="J1242" s="399">
        <f t="shared" si="3923"/>
        <v>4.1775000000000002</v>
      </c>
      <c r="K1242" s="400" t="s">
        <v>204</v>
      </c>
      <c r="L1242" s="399">
        <f t="shared" ref="L1242" si="3937">MAX(VLOOKUP(F1242,N$6:P$15,3,FALSE)/1000,2/3*D1230/1000)+F$16*F1242/1000</f>
        <v>0.156</v>
      </c>
      <c r="M1242" s="399" t="s">
        <v>176</v>
      </c>
      <c r="N1242" s="399">
        <f t="shared" si="3925"/>
        <v>4.3334999999999999</v>
      </c>
      <c r="O1242" s="399" t="s">
        <v>204</v>
      </c>
      <c r="P1242" s="389">
        <f t="shared" ref="P1242" si="3938">D1242-D1241</f>
        <v>0</v>
      </c>
      <c r="Q1242" s="399" t="s">
        <v>125</v>
      </c>
      <c r="R1242" s="399">
        <f t="shared" ref="R1242" si="3939">IF(P1242&gt;0,$F$18*F1242/1000,0)</f>
        <v>0</v>
      </c>
      <c r="S1242" s="399" t="s">
        <v>205</v>
      </c>
      <c r="T1242" s="399" t="s">
        <v>125</v>
      </c>
      <c r="U1242" s="401">
        <f t="shared" si="3928"/>
        <v>1.041885</v>
      </c>
      <c r="V1242" s="399"/>
      <c r="W1242" s="399"/>
      <c r="X1242" s="399" t="s">
        <v>125</v>
      </c>
      <c r="Y1242" s="389">
        <f t="shared" ref="Y1242" si="3940">D1231</f>
        <v>1</v>
      </c>
      <c r="Z1242" s="400" t="s">
        <v>176</v>
      </c>
      <c r="AA1242" s="402">
        <f t="shared" ref="AA1242" si="3941">IF(AA1243=0,(D1242*N1242+P1242*R1242)*U1242*Y1242,0)</f>
        <v>0</v>
      </c>
      <c r="AB1242" s="403"/>
    </row>
    <row r="1243" spans="1:28">
      <c r="A1243" s="384" t="str">
        <f t="shared" ref="A1243:B1243" si="3942">A1225</f>
        <v>Lantai 1</v>
      </c>
      <c r="B1243" s="385">
        <f t="shared" si="3942"/>
        <v>40</v>
      </c>
      <c r="C1243" s="393"/>
      <c r="D1243" s="398">
        <f t="shared" ref="D1243:D1303" si="3943">IF(AND(D1240=D1241,D1241=D1242,D1240=D1242),D1240,0)</f>
        <v>3</v>
      </c>
      <c r="E1243" s="388" t="s">
        <v>16</v>
      </c>
      <c r="F1243" s="388">
        <f t="shared" ref="F1243:F1303" si="3944">IF(AND(F1240=F1241,F1240=F1242,F1241=F1242),F1240,0)</f>
        <v>13</v>
      </c>
      <c r="G1243" s="388"/>
      <c r="H1243" s="395"/>
      <c r="I1243" s="388"/>
      <c r="J1243" s="396"/>
      <c r="K1243" s="396"/>
      <c r="L1243" s="404" t="s">
        <v>207</v>
      </c>
      <c r="M1243" s="399" t="s">
        <v>176</v>
      </c>
      <c r="N1243" s="399">
        <f t="shared" ref="N1243" si="3945">IF(AND(D1240=D1241,D1240=D1242,D1241=D1242,F1240=F1241,F1240=F1242,F1241=F1242),SUM(N1240:N1242),0)</f>
        <v>17.022000000000002</v>
      </c>
      <c r="O1243" s="399" t="s">
        <v>204</v>
      </c>
      <c r="P1243" s="389">
        <f t="shared" ref="P1243" si="3946">IF(N1243&gt;12,ROUNDDOWN(N1243/12,0),0)</f>
        <v>1</v>
      </c>
      <c r="Q1243" s="399" t="s">
        <v>125</v>
      </c>
      <c r="R1243" s="399">
        <f t="shared" ref="R1243" si="3947">IF(P1243&gt;0,MAX(VLOOKUP(F1243,$D$6:$G$15,3,FALSE),600),0)/1000</f>
        <v>0.65</v>
      </c>
      <c r="S1243" s="396"/>
      <c r="T1243" s="396" t="s">
        <v>125</v>
      </c>
      <c r="U1243" s="401">
        <f t="shared" ref="U1243:U1303" si="3948">U1242</f>
        <v>1.041885</v>
      </c>
      <c r="V1243" s="396" t="s">
        <v>125</v>
      </c>
      <c r="W1243" s="399">
        <f t="shared" ref="W1243" si="3949">D1243</f>
        <v>3</v>
      </c>
      <c r="X1243" s="399" t="s">
        <v>125</v>
      </c>
      <c r="Y1243" s="389">
        <f t="shared" ref="Y1243:Y1303" si="3950">Y1242</f>
        <v>1</v>
      </c>
      <c r="Z1243" s="400" t="s">
        <v>176</v>
      </c>
      <c r="AA1243" s="402">
        <f t="shared" ref="AA1243" si="3951">(N1243+P1243*R1243/1000)*U1243*W1243*Y1243</f>
        <v>53.20693108575</v>
      </c>
      <c r="AB1243" s="403"/>
    </row>
    <row r="1244" spans="1:28">
      <c r="A1244" s="384"/>
      <c r="B1244" s="385"/>
      <c r="C1244" s="393"/>
      <c r="D1244" s="394"/>
      <c r="E1244" s="388"/>
      <c r="F1244" s="388"/>
      <c r="G1244" s="388"/>
      <c r="H1244" s="395"/>
      <c r="I1244" s="388"/>
      <c r="J1244" s="399"/>
      <c r="K1244" s="396"/>
      <c r="L1244" s="396"/>
      <c r="M1244" s="396"/>
      <c r="N1244" s="396"/>
      <c r="O1244" s="396"/>
      <c r="P1244" s="389"/>
      <c r="Q1244" s="396"/>
      <c r="R1244" s="396"/>
      <c r="S1244" s="396"/>
      <c r="T1244" s="396"/>
      <c r="U1244" s="401"/>
      <c r="V1244" s="396"/>
      <c r="W1244" s="388"/>
      <c r="X1244" s="396"/>
      <c r="Y1244" s="389"/>
      <c r="Z1244" s="396"/>
      <c r="AA1244" s="388"/>
      <c r="AB1244" s="390"/>
    </row>
    <row r="1245" spans="1:28">
      <c r="A1245" s="384" t="str">
        <f t="shared" ref="A1245:B1245" si="3952">A1225</f>
        <v>Lantai 1</v>
      </c>
      <c r="B1245" s="385">
        <f t="shared" si="3952"/>
        <v>40</v>
      </c>
      <c r="C1245" s="393" t="s">
        <v>211</v>
      </c>
      <c r="D1245" s="398">
        <f>VLOOKUP(D1225,'Detail Balok'!$C$10:$AU$140,31,FALSE)</f>
        <v>0</v>
      </c>
      <c r="E1245" s="388" t="s">
        <v>16</v>
      </c>
      <c r="F1245" s="388">
        <f>VLOOKUP(D1225,'Detail Balok'!$C$10:$AU$140,33,FALSE)</f>
        <v>8</v>
      </c>
      <c r="G1245" s="405" t="s">
        <v>157</v>
      </c>
      <c r="H1245" s="395">
        <f>VLOOKUP(D1225,'Detail Balok'!$C$10:$AU$140,35,FALSE)</f>
        <v>150</v>
      </c>
      <c r="I1245" s="388"/>
      <c r="J1245" s="400">
        <f t="shared" ref="J1245" si="3953">(IF(D1245=0,(2*(D1226+G1226))-(F$5*8),IF(D1245=3,(2*(D1226+G1226))-(F$5*8)+(G1226-2*F$5),IF(D1245=4,(2*(D1226+G1226))-(F$5*8)+2*(G1226-2*F$5)))))/1000</f>
        <v>0.88</v>
      </c>
      <c r="K1245" s="400" t="s">
        <v>204</v>
      </c>
      <c r="L1245" s="399">
        <f t="shared" ref="L1245:L1247" si="3954">IF(D1245=0,2*MAX(6*F1245,75),(D1245-1)*2*MAX(6*F1245,75))/1000</f>
        <v>0.15</v>
      </c>
      <c r="M1245" s="399" t="s">
        <v>176</v>
      </c>
      <c r="N1245" s="399">
        <f t="shared" ref="N1245:N1247" si="3955">J1245+L1245</f>
        <v>1.03</v>
      </c>
      <c r="O1245" s="399"/>
      <c r="P1245" s="389"/>
      <c r="Q1245" s="399"/>
      <c r="R1245" s="399"/>
      <c r="S1245" s="399"/>
      <c r="T1245" s="399" t="s">
        <v>125</v>
      </c>
      <c r="U1245" s="401">
        <f t="shared" ref="U1245:U1247" si="3956">0.006165*F1245^2</f>
        <v>0.39456000000000002</v>
      </c>
      <c r="V1245" s="399" t="s">
        <v>125</v>
      </c>
      <c r="W1245" s="399">
        <f t="shared" ref="W1245" si="3957">IF(D1228&gt;4*G1226,ROUND(MAX(D1228/4,2*G1226)/H1245,0)+1,ROUND(D1228/H1245,0)+1)</f>
        <v>29</v>
      </c>
      <c r="X1245" s="399" t="s">
        <v>125</v>
      </c>
      <c r="Y1245" s="389">
        <f t="shared" ref="Y1245" si="3958">D1231</f>
        <v>1</v>
      </c>
      <c r="Z1245" s="400" t="s">
        <v>176</v>
      </c>
      <c r="AA1245" s="402">
        <f t="shared" ref="AA1245:AA1247" si="3959">N1245*U1245*W1245*Y1245</f>
        <v>11.785507200000001</v>
      </c>
      <c r="AB1245" s="403"/>
    </row>
    <row r="1246" spans="1:28">
      <c r="A1246" s="384" t="str">
        <f t="shared" ref="A1246:B1246" si="3960">A1225</f>
        <v>Lantai 1</v>
      </c>
      <c r="B1246" s="385">
        <f t="shared" si="3960"/>
        <v>40</v>
      </c>
      <c r="C1246" s="393" t="s">
        <v>212</v>
      </c>
      <c r="D1246" s="398">
        <f>VLOOKUP(D1225,'Detail Balok'!$C$10:$AU$140,36,FALSE)</f>
        <v>0</v>
      </c>
      <c r="E1246" s="388" t="s">
        <v>16</v>
      </c>
      <c r="F1246" s="388">
        <f>VLOOKUP(D1225,'Detail Balok'!$C$10:$AU$140,38,FALSE)</f>
        <v>8</v>
      </c>
      <c r="G1246" s="405" t="s">
        <v>157</v>
      </c>
      <c r="H1246" s="395">
        <f>VLOOKUP(D1225,'Detail Balok'!$C$10:$AU$140,40,FALSE)</f>
        <v>200</v>
      </c>
      <c r="I1246" s="388"/>
      <c r="J1246" s="400">
        <f t="shared" ref="J1246" si="3961">(IF(D1246=0,(2*(D1226+G1226))-(F$5*8),IF(D1246=3,(2*(D1226+G1226))-(F$5*8)+(G1226-2*F$5),IF(D1246=4,(2*(D1226+G1226))-(F$5*8)+2*(G1226-2*F$5)))))/1000</f>
        <v>0.88</v>
      </c>
      <c r="K1246" s="400" t="s">
        <v>204</v>
      </c>
      <c r="L1246" s="399">
        <f t="shared" si="3954"/>
        <v>0.15</v>
      </c>
      <c r="M1246" s="399" t="s">
        <v>176</v>
      </c>
      <c r="N1246" s="399">
        <f t="shared" si="3955"/>
        <v>1.03</v>
      </c>
      <c r="O1246" s="399"/>
      <c r="P1246" s="389"/>
      <c r="Q1246" s="399"/>
      <c r="R1246" s="399"/>
      <c r="S1246" s="399"/>
      <c r="T1246" s="399" t="s">
        <v>125</v>
      </c>
      <c r="U1246" s="401">
        <f t="shared" si="3956"/>
        <v>0.39456000000000002</v>
      </c>
      <c r="V1246" s="399" t="s">
        <v>125</v>
      </c>
      <c r="W1246" s="399">
        <f t="shared" ref="W1246" si="3962">IF(D1228-MAX(D1228/4,2*G1226)*2&gt;0,ROUND((D1228-MAX(D1228/4,2*G1226)*2)/H1246,0),0)</f>
        <v>42</v>
      </c>
      <c r="X1246" s="399" t="s">
        <v>125</v>
      </c>
      <c r="Y1246" s="389">
        <f t="shared" ref="Y1246" si="3963">D1231</f>
        <v>1</v>
      </c>
      <c r="Z1246" s="400" t="s">
        <v>176</v>
      </c>
      <c r="AA1246" s="402">
        <f t="shared" si="3959"/>
        <v>17.068665600000003</v>
      </c>
      <c r="AB1246" s="403"/>
    </row>
    <row r="1247" spans="1:28">
      <c r="A1247" s="384" t="str">
        <f t="shared" ref="A1247:B1247" si="3964">A1225</f>
        <v>Lantai 1</v>
      </c>
      <c r="B1247" s="385">
        <f t="shared" si="3964"/>
        <v>40</v>
      </c>
      <c r="C1247" s="393" t="s">
        <v>211</v>
      </c>
      <c r="D1247" s="398">
        <f>VLOOKUP(D1225,'Detail Balok'!$C$10:$AU$140,41,FALSE)</f>
        <v>0</v>
      </c>
      <c r="E1247" s="388" t="s">
        <v>16</v>
      </c>
      <c r="F1247" s="388">
        <f>VLOOKUP(D1225,'Detail Balok'!$C$10:$AU$140,43,FALSE)</f>
        <v>8</v>
      </c>
      <c r="G1247" s="405" t="s">
        <v>157</v>
      </c>
      <c r="H1247" s="395">
        <f>VLOOKUP(D1225,'Detail Balok'!$C$10:$AU$140,45,FALSE)</f>
        <v>150</v>
      </c>
      <c r="I1247" s="388"/>
      <c r="J1247" s="400">
        <f t="shared" ref="J1247" si="3965">(IF(D1247=0,(2*(D1226+G1226))-(F$5*8),IF(D1247=3,(2*(D1226+G1226))-(F$5*8)+(G1226-2*F$5),IF(D1247=4,(2*(D1226+G1226))-(F$5*8)+2*(G1226-2*F$5)))))/1000</f>
        <v>0.88</v>
      </c>
      <c r="K1247" s="400" t="s">
        <v>204</v>
      </c>
      <c r="L1247" s="399">
        <f t="shared" si="3954"/>
        <v>0.15</v>
      </c>
      <c r="M1247" s="399" t="s">
        <v>176</v>
      </c>
      <c r="N1247" s="399">
        <f t="shared" si="3955"/>
        <v>1.03</v>
      </c>
      <c r="O1247" s="399"/>
      <c r="P1247" s="389"/>
      <c r="Q1247" s="399"/>
      <c r="R1247" s="399"/>
      <c r="S1247" s="399"/>
      <c r="T1247" s="399" t="s">
        <v>125</v>
      </c>
      <c r="U1247" s="401">
        <f t="shared" si="3956"/>
        <v>0.39456000000000002</v>
      </c>
      <c r="V1247" s="399" t="s">
        <v>125</v>
      </c>
      <c r="W1247" s="399">
        <f t="shared" ref="W1247" si="3966">IF(D1228&gt;4*G1226,ROUND(MAX(D1228/4,2*G1226)/H1247,0)+1,0)</f>
        <v>29</v>
      </c>
      <c r="X1247" s="399" t="s">
        <v>125</v>
      </c>
      <c r="Y1247" s="389">
        <f t="shared" ref="Y1247" si="3967">D1231</f>
        <v>1</v>
      </c>
      <c r="Z1247" s="400" t="s">
        <v>176</v>
      </c>
      <c r="AA1247" s="402">
        <f t="shared" si="3959"/>
        <v>11.785507200000001</v>
      </c>
      <c r="AB1247" s="403"/>
    </row>
    <row r="1248" spans="1:28">
      <c r="A1248" s="384"/>
      <c r="B1248" s="385"/>
      <c r="C1248" s="393"/>
      <c r="D1248" s="394"/>
      <c r="E1248" s="388"/>
      <c r="F1248" s="388"/>
      <c r="G1248" s="388"/>
      <c r="H1248" s="395"/>
      <c r="I1248" s="388"/>
      <c r="J1248" s="399"/>
      <c r="K1248" s="396"/>
      <c r="L1248" s="396"/>
      <c r="M1248" s="396"/>
      <c r="N1248" s="396"/>
      <c r="O1248" s="396"/>
      <c r="P1248" s="389"/>
      <c r="Q1248" s="396"/>
      <c r="R1248" s="396"/>
      <c r="S1248" s="396"/>
      <c r="T1248" s="396"/>
      <c r="U1248" s="401"/>
      <c r="V1248" s="396"/>
      <c r="W1248" s="388"/>
      <c r="X1248" s="396"/>
      <c r="Y1248" s="389"/>
      <c r="Z1248" s="396"/>
      <c r="AA1248" s="388"/>
      <c r="AB1248" s="390"/>
    </row>
    <row r="1249" spans="1:28">
      <c r="A1249" s="384" t="str">
        <f t="shared" ref="A1249:B1249" si="3968">A1225</f>
        <v>Lantai 1</v>
      </c>
      <c r="B1249" s="385">
        <f t="shared" si="3968"/>
        <v>40</v>
      </c>
      <c r="C1249" s="393" t="s">
        <v>213</v>
      </c>
      <c r="D1249" s="398">
        <f>VLOOKUP(D1225,'Detail Balok'!$C$10:$BJ$140,46,FALSE)</f>
        <v>0</v>
      </c>
      <c r="E1249" s="388" t="s">
        <v>16</v>
      </c>
      <c r="F1249" s="388">
        <f>VLOOKUP(D1225,'Detail Balok'!$C$10:$BJ$140,48,FALSE)</f>
        <v>0</v>
      </c>
      <c r="G1249" s="405" t="s">
        <v>157</v>
      </c>
      <c r="H1249" s="395">
        <f>VLOOKUP(D1225,'Detail Balok'!$C$10:$BJ$140,50,FALSE)</f>
        <v>100</v>
      </c>
      <c r="I1249" s="388"/>
      <c r="J1249" s="399">
        <f t="shared" ref="J1249" si="3969">(D1226-2*F$5)/1000</f>
        <v>0.12</v>
      </c>
      <c r="K1249" s="400" t="s">
        <v>204</v>
      </c>
      <c r="L1249" s="399">
        <f t="shared" ref="L1249:L1251" si="3970">IF(D1249=0,2*MAX(6*F1249,75),(D1249-1)*2*MAX(6*F1249,75))/1000</f>
        <v>0.15</v>
      </c>
      <c r="M1249" s="399" t="s">
        <v>176</v>
      </c>
      <c r="N1249" s="399">
        <f t="shared" ref="N1249:N1251" si="3971">J1249+L1249</f>
        <v>0.27</v>
      </c>
      <c r="O1249" s="399"/>
      <c r="P1249" s="399"/>
      <c r="Q1249" s="399"/>
      <c r="R1249" s="399"/>
      <c r="S1249" s="399"/>
      <c r="T1249" s="399" t="s">
        <v>125</v>
      </c>
      <c r="U1249" s="401">
        <f t="shared" ref="U1249:U1251" si="3972">0.006165*F1249^2</f>
        <v>0</v>
      </c>
      <c r="V1249" s="399" t="s">
        <v>125</v>
      </c>
      <c r="W1249" s="399">
        <f t="shared" ref="W1249:W1311" si="3973">W1245</f>
        <v>29</v>
      </c>
      <c r="X1249" s="399" t="s">
        <v>125</v>
      </c>
      <c r="Y1249" s="389">
        <f t="shared" ref="Y1249" si="3974">D1235</f>
        <v>3</v>
      </c>
      <c r="Z1249" s="400" t="s">
        <v>176</v>
      </c>
      <c r="AA1249" s="402">
        <f t="shared" ref="AA1249:AA1251" si="3975">N1249*U1249*W1249*Y1249</f>
        <v>0</v>
      </c>
      <c r="AB1249" s="403"/>
    </row>
    <row r="1250" spans="1:28">
      <c r="A1250" s="384" t="str">
        <f t="shared" ref="A1250:B1250" si="3976">A1225</f>
        <v>Lantai 1</v>
      </c>
      <c r="B1250" s="385">
        <f t="shared" si="3976"/>
        <v>40</v>
      </c>
      <c r="C1250" s="393" t="s">
        <v>214</v>
      </c>
      <c r="D1250" s="398">
        <f>VLOOKUP(D1225,'Detail Balok'!$C$10:$BJ$140,51,FALSE)</f>
        <v>0</v>
      </c>
      <c r="E1250" s="388" t="s">
        <v>16</v>
      </c>
      <c r="F1250" s="388">
        <f>VLOOKUP(D1225,'Detail Balok'!$C$10:$BJ$140,53,FALSE)</f>
        <v>0</v>
      </c>
      <c r="G1250" s="405" t="s">
        <v>157</v>
      </c>
      <c r="H1250" s="395">
        <f>VLOOKUP(D1225,'Detail Balok'!$C$10:$BJ$140,55,FALSE)</f>
        <v>100</v>
      </c>
      <c r="I1250" s="388"/>
      <c r="J1250" s="399">
        <f t="shared" ref="J1250" si="3977">(D1226-2*F$5)/1000</f>
        <v>0.12</v>
      </c>
      <c r="K1250" s="400" t="s">
        <v>204</v>
      </c>
      <c r="L1250" s="399">
        <f t="shared" si="3970"/>
        <v>0.15</v>
      </c>
      <c r="M1250" s="399" t="s">
        <v>176</v>
      </c>
      <c r="N1250" s="399">
        <f t="shared" si="3971"/>
        <v>0.27</v>
      </c>
      <c r="O1250" s="399"/>
      <c r="P1250" s="399"/>
      <c r="Q1250" s="399"/>
      <c r="R1250" s="399"/>
      <c r="S1250" s="399"/>
      <c r="T1250" s="399" t="s">
        <v>125</v>
      </c>
      <c r="U1250" s="401">
        <f t="shared" si="3972"/>
        <v>0</v>
      </c>
      <c r="V1250" s="399" t="s">
        <v>125</v>
      </c>
      <c r="W1250" s="399">
        <f t="shared" si="3973"/>
        <v>42</v>
      </c>
      <c r="X1250" s="399" t="s">
        <v>125</v>
      </c>
      <c r="Y1250" s="389">
        <f t="shared" ref="Y1250" si="3978">D1235</f>
        <v>3</v>
      </c>
      <c r="Z1250" s="400" t="s">
        <v>176</v>
      </c>
      <c r="AA1250" s="402">
        <f t="shared" si="3975"/>
        <v>0</v>
      </c>
      <c r="AB1250" s="403"/>
    </row>
    <row r="1251" spans="1:28">
      <c r="A1251" s="384" t="str">
        <f t="shared" ref="A1251:B1251" si="3979">A1225</f>
        <v>Lantai 1</v>
      </c>
      <c r="B1251" s="385">
        <f t="shared" si="3979"/>
        <v>40</v>
      </c>
      <c r="C1251" s="393" t="s">
        <v>213</v>
      </c>
      <c r="D1251" s="398">
        <f>VLOOKUP(D1225,'Detail Balok'!$C$10:$BJ$140,56,FALSE)</f>
        <v>0</v>
      </c>
      <c r="E1251" s="388" t="s">
        <v>16</v>
      </c>
      <c r="F1251" s="388">
        <f>VLOOKUP(D1225,'Detail Balok'!$C$10:$BJ$140,58,FALSE)</f>
        <v>0</v>
      </c>
      <c r="G1251" s="405" t="s">
        <v>157</v>
      </c>
      <c r="H1251" s="395">
        <f>VLOOKUP(D1225,'Detail Balok'!$C$10:$BJ$140,60,FALSE)</f>
        <v>100</v>
      </c>
      <c r="I1251" s="388"/>
      <c r="J1251" s="399">
        <f t="shared" ref="J1251" si="3980">(D1226-2*F$5)/1000</f>
        <v>0.12</v>
      </c>
      <c r="K1251" s="400" t="s">
        <v>204</v>
      </c>
      <c r="L1251" s="399">
        <f t="shared" si="3970"/>
        <v>0.15</v>
      </c>
      <c r="M1251" s="399" t="s">
        <v>176</v>
      </c>
      <c r="N1251" s="399">
        <f t="shared" si="3971"/>
        <v>0.27</v>
      </c>
      <c r="O1251" s="399"/>
      <c r="P1251" s="399"/>
      <c r="Q1251" s="399"/>
      <c r="R1251" s="399"/>
      <c r="S1251" s="399"/>
      <c r="T1251" s="399" t="s">
        <v>125</v>
      </c>
      <c r="U1251" s="401">
        <f t="shared" si="3972"/>
        <v>0</v>
      </c>
      <c r="V1251" s="399" t="s">
        <v>125</v>
      </c>
      <c r="W1251" s="399">
        <f t="shared" si="3973"/>
        <v>29</v>
      </c>
      <c r="X1251" s="399" t="s">
        <v>125</v>
      </c>
      <c r="Y1251" s="389">
        <f t="shared" ref="Y1251" si="3981">D1235</f>
        <v>3</v>
      </c>
      <c r="Z1251" s="400" t="s">
        <v>176</v>
      </c>
      <c r="AA1251" s="402">
        <f t="shared" si="3975"/>
        <v>0</v>
      </c>
      <c r="AB1251" s="403"/>
    </row>
    <row r="1252" spans="1:28">
      <c r="A1252" s="391"/>
      <c r="B1252" s="392"/>
      <c r="C1252" s="392"/>
      <c r="D1252" s="394"/>
      <c r="E1252" s="388"/>
      <c r="F1252" s="388"/>
      <c r="G1252" s="388"/>
      <c r="H1252" s="395"/>
      <c r="I1252" s="388"/>
      <c r="J1252" s="402"/>
      <c r="K1252" s="388"/>
      <c r="L1252" s="388"/>
      <c r="M1252" s="388"/>
      <c r="N1252" s="388"/>
      <c r="O1252" s="388"/>
      <c r="P1252" s="388"/>
      <c r="Q1252" s="388"/>
      <c r="R1252" s="388"/>
      <c r="S1252" s="388"/>
      <c r="T1252" s="388"/>
      <c r="U1252" s="388"/>
      <c r="V1252" s="388"/>
      <c r="W1252" s="388"/>
      <c r="X1252" s="388"/>
      <c r="Y1252" s="389"/>
      <c r="Z1252" s="388"/>
      <c r="AA1252" s="402"/>
      <c r="AB1252" s="403"/>
    </row>
    <row r="1253" spans="1:28" ht="15.75" thickBot="1">
      <c r="A1253" s="406"/>
      <c r="B1253" s="407"/>
      <c r="C1253" s="407"/>
      <c r="D1253" s="408"/>
      <c r="E1253" s="409"/>
      <c r="F1253" s="409"/>
      <c r="G1253" s="409"/>
      <c r="H1253" s="410"/>
      <c r="I1253" s="409"/>
      <c r="J1253" s="409"/>
      <c r="K1253" s="409"/>
      <c r="L1253" s="409"/>
      <c r="M1253" s="409"/>
      <c r="N1253" s="409"/>
      <c r="O1253" s="409"/>
      <c r="P1253" s="409"/>
      <c r="Q1253" s="409"/>
      <c r="R1253" s="409"/>
      <c r="S1253" s="409"/>
      <c r="T1253" s="409"/>
      <c r="U1253" s="409"/>
      <c r="V1253" s="409"/>
      <c r="W1253" s="409"/>
      <c r="X1253" s="409"/>
      <c r="Y1253" s="411"/>
      <c r="Z1253" s="409"/>
      <c r="AA1253" s="412"/>
      <c r="AB1253" s="413"/>
    </row>
    <row r="1254" spans="1:28">
      <c r="A1254" s="377"/>
      <c r="B1254" s="378"/>
      <c r="C1254" s="378"/>
      <c r="D1254" s="379"/>
      <c r="E1254" s="380"/>
      <c r="F1254" s="380"/>
      <c r="G1254" s="380"/>
      <c r="H1254" s="381"/>
      <c r="I1254" s="380"/>
      <c r="J1254" s="380"/>
      <c r="K1254" s="380"/>
      <c r="L1254" s="380"/>
      <c r="M1254" s="380"/>
      <c r="N1254" s="380"/>
      <c r="O1254" s="380"/>
      <c r="P1254" s="380"/>
      <c r="Q1254" s="380"/>
      <c r="R1254" s="380"/>
      <c r="S1254" s="380"/>
      <c r="T1254" s="380"/>
      <c r="U1254" s="380"/>
      <c r="V1254" s="380"/>
      <c r="W1254" s="380"/>
      <c r="X1254" s="380"/>
      <c r="Y1254" s="382"/>
      <c r="Z1254" s="380"/>
      <c r="AA1254" s="380"/>
      <c r="AB1254" s="383"/>
    </row>
    <row r="1255" spans="1:28">
      <c r="A1255" s="384" t="str">
        <f t="shared" ref="A1255:A1315" si="3982">A1225</f>
        <v>Lantai 1</v>
      </c>
      <c r="B1255" s="385">
        <f t="shared" ref="B1255:B1315" si="3983">B1225+1</f>
        <v>41</v>
      </c>
      <c r="C1255" s="386" t="str">
        <f t="shared" ref="C1255" si="3984">CONCATENATE(A1255," no. ",B1255)</f>
        <v>Lantai 1 no. 41</v>
      </c>
      <c r="D1255" s="2562" t="str">
        <f>VLOOKUP(C1255,'Data Panjang Balok'!$C$9:$N$254,2,FALSE)</f>
        <v>S24-1</v>
      </c>
      <c r="E1255" s="2576"/>
      <c r="F1255" s="2576"/>
      <c r="G1255" s="2576"/>
      <c r="H1255" s="2577"/>
      <c r="I1255" s="387"/>
      <c r="J1255" s="388"/>
      <c r="K1255" s="388"/>
      <c r="L1255" s="388"/>
      <c r="M1255" s="388"/>
      <c r="N1255" s="388"/>
      <c r="O1255" s="388"/>
      <c r="P1255" s="388"/>
      <c r="Q1255" s="388"/>
      <c r="R1255" s="388"/>
      <c r="S1255" s="388"/>
      <c r="T1255" s="388"/>
      <c r="U1255" s="388"/>
      <c r="V1255" s="388"/>
      <c r="W1255" s="388"/>
      <c r="X1255" s="388"/>
      <c r="Y1255" s="389"/>
      <c r="Z1255" s="388"/>
      <c r="AA1255" s="388"/>
      <c r="AB1255" s="390"/>
    </row>
    <row r="1256" spans="1:28">
      <c r="A1256" s="391"/>
      <c r="B1256" s="392"/>
      <c r="C1256" s="393" t="s">
        <v>118</v>
      </c>
      <c r="D1256" s="2578">
        <f>VLOOKUP(D1255,'Detail Balok'!$C$10:$AU$140,2,FALSE)</f>
        <v>200</v>
      </c>
      <c r="E1256" s="2579"/>
      <c r="F1256" s="388" t="s">
        <v>125</v>
      </c>
      <c r="G1256" s="2579">
        <f>VLOOKUP(D1255,'Detail Balok'!$C$10:$AU$140,3,FALSE)</f>
        <v>400</v>
      </c>
      <c r="H1256" s="2580"/>
      <c r="I1256" s="388"/>
      <c r="J1256" s="396"/>
      <c r="K1256" s="396"/>
      <c r="L1256" s="396"/>
      <c r="M1256" s="396"/>
      <c r="N1256" s="396"/>
      <c r="O1256" s="396"/>
      <c r="P1256" s="396"/>
      <c r="Q1256" s="396"/>
      <c r="R1256" s="396"/>
      <c r="S1256" s="396"/>
      <c r="T1256" s="396"/>
      <c r="U1256" s="388"/>
      <c r="V1256" s="396"/>
      <c r="W1256" s="388"/>
      <c r="X1256" s="396"/>
      <c r="Y1256" s="389"/>
      <c r="Z1256" s="396"/>
      <c r="AA1256" s="388"/>
      <c r="AB1256" s="390"/>
    </row>
    <row r="1257" spans="1:28">
      <c r="A1257" s="391"/>
      <c r="B1257" s="392"/>
      <c r="C1257" s="393" t="s">
        <v>198</v>
      </c>
      <c r="D1257" s="2562">
        <f>VLOOKUP(C1255,'Data Panjang Balok'!$C$9:$N$254,4,FALSE)</f>
        <v>7090</v>
      </c>
      <c r="E1257" s="2563"/>
      <c r="F1257" s="2563"/>
      <c r="G1257" s="2563"/>
      <c r="H1257" s="2564"/>
      <c r="I1257" s="397"/>
      <c r="J1257" s="396"/>
      <c r="K1257" s="396"/>
      <c r="L1257" s="396"/>
      <c r="M1257" s="396"/>
      <c r="N1257" s="396"/>
      <c r="O1257" s="396"/>
      <c r="P1257" s="396"/>
      <c r="Q1257" s="396"/>
      <c r="R1257" s="396"/>
      <c r="S1257" s="396"/>
      <c r="T1257" s="396"/>
      <c r="U1257" s="388"/>
      <c r="V1257" s="396"/>
      <c r="W1257" s="388"/>
      <c r="X1257" s="396"/>
      <c r="Y1257" s="389"/>
      <c r="Z1257" s="396"/>
      <c r="AA1257" s="388"/>
      <c r="AB1257" s="390"/>
    </row>
    <row r="1258" spans="1:28">
      <c r="A1258" s="391"/>
      <c r="B1258" s="392"/>
      <c r="C1258" s="393" t="s">
        <v>199</v>
      </c>
      <c r="D1258" s="2562">
        <f>VLOOKUP(C1255,'Data Panjang Balok'!$C$9:$N$254,7,FALSE)</f>
        <v>7090</v>
      </c>
      <c r="E1258" s="2563"/>
      <c r="F1258" s="2563"/>
      <c r="G1258" s="2563"/>
      <c r="H1258" s="2564"/>
      <c r="I1258" s="397"/>
      <c r="J1258" s="396"/>
      <c r="K1258" s="396"/>
      <c r="L1258" s="396"/>
      <c r="M1258" s="396"/>
      <c r="N1258" s="396"/>
      <c r="O1258" s="396"/>
      <c r="P1258" s="396"/>
      <c r="Q1258" s="396"/>
      <c r="R1258" s="396"/>
      <c r="S1258" s="396"/>
      <c r="T1258" s="396"/>
      <c r="U1258" s="388"/>
      <c r="V1258" s="396"/>
      <c r="W1258" s="388"/>
      <c r="X1258" s="396"/>
      <c r="Y1258" s="389"/>
      <c r="Z1258" s="396"/>
      <c r="AA1258" s="388"/>
      <c r="AB1258" s="390"/>
    </row>
    <row r="1259" spans="1:28">
      <c r="A1259" s="391"/>
      <c r="B1259" s="392"/>
      <c r="C1259" s="393" t="s">
        <v>200</v>
      </c>
      <c r="D1259" s="2562">
        <f>VLOOKUP(C1255,'Data Panjang Balok'!$C$9:$N$254,9,FALSE)</f>
        <v>0</v>
      </c>
      <c r="E1259" s="2563"/>
      <c r="F1259" s="2563"/>
      <c r="G1259" s="2563"/>
      <c r="H1259" s="2564"/>
      <c r="I1259" s="397"/>
      <c r="J1259" s="396"/>
      <c r="K1259" s="396"/>
      <c r="L1259" s="396"/>
      <c r="M1259" s="396"/>
      <c r="N1259" s="396"/>
      <c r="O1259" s="396"/>
      <c r="P1259" s="396"/>
      <c r="Q1259" s="396"/>
      <c r="R1259" s="396"/>
      <c r="S1259" s="396"/>
      <c r="T1259" s="396"/>
      <c r="U1259" s="388"/>
      <c r="V1259" s="396"/>
      <c r="W1259" s="388"/>
      <c r="X1259" s="396"/>
      <c r="Y1259" s="389"/>
      <c r="Z1259" s="396"/>
      <c r="AA1259" s="388"/>
      <c r="AB1259" s="390"/>
    </row>
    <row r="1260" spans="1:28">
      <c r="A1260" s="391"/>
      <c r="B1260" s="392"/>
      <c r="C1260" s="393" t="s">
        <v>201</v>
      </c>
      <c r="D1260" s="2562">
        <f>VLOOKUP(C1255,'Data Panjang Balok'!$C$9:$N$254,10,FALSE)</f>
        <v>0</v>
      </c>
      <c r="E1260" s="2563"/>
      <c r="F1260" s="2563"/>
      <c r="G1260" s="2563"/>
      <c r="H1260" s="2564"/>
      <c r="I1260" s="397"/>
      <c r="J1260" s="396"/>
      <c r="K1260" s="396"/>
      <c r="L1260" s="396"/>
      <c r="M1260" s="396"/>
      <c r="N1260" s="396"/>
      <c r="O1260" s="396"/>
      <c r="P1260" s="396"/>
      <c r="Q1260" s="396"/>
      <c r="R1260" s="396"/>
      <c r="S1260" s="396"/>
      <c r="T1260" s="396"/>
      <c r="U1260" s="388"/>
      <c r="V1260" s="396"/>
      <c r="W1260" s="388"/>
      <c r="X1260" s="396"/>
      <c r="Y1260" s="389"/>
      <c r="Z1260" s="396"/>
      <c r="AA1260" s="388"/>
      <c r="AB1260" s="390"/>
    </row>
    <row r="1261" spans="1:28">
      <c r="A1261" s="391"/>
      <c r="B1261" s="392"/>
      <c r="C1261" s="393" t="s">
        <v>48</v>
      </c>
      <c r="D1261" s="2562">
        <f>VLOOKUP(C1255,'Data Panjang Balok'!$C$9:$N$254,3,FALSE)</f>
        <v>1</v>
      </c>
      <c r="E1261" s="2563"/>
      <c r="F1261" s="2563"/>
      <c r="G1261" s="2563"/>
      <c r="H1261" s="2564"/>
      <c r="I1261" s="397"/>
      <c r="J1261" s="396"/>
      <c r="K1261" s="396"/>
      <c r="L1261" s="396"/>
      <c r="M1261" s="396"/>
      <c r="N1261" s="396"/>
      <c r="O1261" s="396"/>
      <c r="P1261" s="396"/>
      <c r="Q1261" s="396"/>
      <c r="R1261" s="396"/>
      <c r="S1261" s="396"/>
      <c r="T1261" s="396"/>
      <c r="U1261" s="388"/>
      <c r="V1261" s="396"/>
      <c r="W1261" s="388"/>
      <c r="X1261" s="396"/>
      <c r="Y1261" s="389"/>
      <c r="Z1261" s="396"/>
      <c r="AA1261" s="388"/>
      <c r="AB1261" s="390"/>
    </row>
    <row r="1262" spans="1:28">
      <c r="A1262" s="384" t="str">
        <f t="shared" ref="A1262:B1262" si="3985">A1255</f>
        <v>Lantai 1</v>
      </c>
      <c r="B1262" s="385">
        <f t="shared" si="3985"/>
        <v>41</v>
      </c>
      <c r="C1262" s="393" t="s">
        <v>202</v>
      </c>
      <c r="D1262" s="398">
        <f>VLOOKUP(D1255,'Detail Balok'!$C$10:$AU$140,4,FALSE)</f>
        <v>3</v>
      </c>
      <c r="E1262" s="388" t="s">
        <v>16</v>
      </c>
      <c r="F1262" s="388">
        <f>VLOOKUP(D1255,'Detail Balok'!$C$10:$AU$140,6,FALSE)</f>
        <v>13</v>
      </c>
      <c r="G1262" s="388"/>
      <c r="H1262" s="395"/>
      <c r="I1262" s="388" t="s">
        <v>203</v>
      </c>
      <c r="J1262" s="399">
        <f t="shared" ref="J1262" si="3986">+D1257/4/1000</f>
        <v>1.7725</v>
      </c>
      <c r="K1262" s="400" t="s">
        <v>204</v>
      </c>
      <c r="L1262" s="399">
        <f t="shared" ref="L1262" si="3987">MAX(VLOOKUP(F1262,N$6:P$15,3,FALSE)/1000,2/3*D1259/1000)+F$16*F1262/1000</f>
        <v>0.156</v>
      </c>
      <c r="M1262" s="399" t="s">
        <v>176</v>
      </c>
      <c r="N1262" s="399">
        <f t="shared" ref="N1262:N1264" si="3988">J1262+L1262</f>
        <v>1.9284999999999999</v>
      </c>
      <c r="O1262" s="399" t="s">
        <v>204</v>
      </c>
      <c r="P1262" s="389">
        <f t="shared" ref="P1262" si="3989">D1262-D1263</f>
        <v>0</v>
      </c>
      <c r="Q1262" s="399" t="s">
        <v>125</v>
      </c>
      <c r="R1262" s="399">
        <f t="shared" ref="R1262" si="3990">IF(P1262&gt;0,$F$18*F1262/1000,0)</f>
        <v>0</v>
      </c>
      <c r="S1262" s="399" t="s">
        <v>205</v>
      </c>
      <c r="T1262" s="399" t="s">
        <v>125</v>
      </c>
      <c r="U1262" s="401">
        <f t="shared" ref="U1262:U1264" si="3991">0.006165*F1262^2</f>
        <v>1.041885</v>
      </c>
      <c r="V1262" s="399"/>
      <c r="W1262" s="399"/>
      <c r="X1262" s="399" t="s">
        <v>125</v>
      </c>
      <c r="Y1262" s="389">
        <f t="shared" ref="Y1262" si="3992">D1261</f>
        <v>1</v>
      </c>
      <c r="Z1262" s="400" t="s">
        <v>176</v>
      </c>
      <c r="AA1262" s="402">
        <f t="shared" ref="AA1262" si="3993">IF(AA1265=0,(D1262*N1262+P1262*R1262)*U1262*Y1262,0)</f>
        <v>0</v>
      </c>
      <c r="AB1262" s="403"/>
    </row>
    <row r="1263" spans="1:28">
      <c r="A1263" s="384" t="str">
        <f t="shared" ref="A1263:B1263" si="3994">A1255</f>
        <v>Lantai 1</v>
      </c>
      <c r="B1263" s="385">
        <f t="shared" si="3994"/>
        <v>41</v>
      </c>
      <c r="C1263" s="393" t="s">
        <v>206</v>
      </c>
      <c r="D1263" s="398">
        <f>VLOOKUP(D1255,'Detail Balok'!$C$10:$AU$140,7,FALSE)</f>
        <v>3</v>
      </c>
      <c r="E1263" s="388" t="s">
        <v>16</v>
      </c>
      <c r="F1263" s="388">
        <f>VLOOKUP(D1255,'Detail Balok'!$C$10:$AU$140,9,FALSE)</f>
        <v>13</v>
      </c>
      <c r="G1263" s="388"/>
      <c r="H1263" s="395"/>
      <c r="I1263" s="388" t="s">
        <v>203</v>
      </c>
      <c r="J1263" s="399">
        <f t="shared" ref="J1263" si="3995">+D1257/2/1000</f>
        <v>3.5449999999999999</v>
      </c>
      <c r="K1263" s="400" t="s">
        <v>204</v>
      </c>
      <c r="L1263" s="399"/>
      <c r="M1263" s="399" t="s">
        <v>176</v>
      </c>
      <c r="N1263" s="399">
        <f t="shared" si="3988"/>
        <v>3.5449999999999999</v>
      </c>
      <c r="O1263" s="399" t="s">
        <v>204</v>
      </c>
      <c r="P1263" s="389">
        <f t="shared" ref="P1263" si="3996">MAX(D1263-D1262,D1263-D1264)</f>
        <v>0</v>
      </c>
      <c r="Q1263" s="399" t="s">
        <v>125</v>
      </c>
      <c r="R1263" s="399">
        <f t="shared" ref="R1263" si="3997">IF(P1263&gt;0,2*(1-2*$F$19-1/2)*D1258/1000,0)</f>
        <v>0</v>
      </c>
      <c r="S1263" s="399" t="s">
        <v>205</v>
      </c>
      <c r="T1263" s="399" t="s">
        <v>125</v>
      </c>
      <c r="U1263" s="401">
        <f t="shared" si="3991"/>
        <v>1.041885</v>
      </c>
      <c r="V1263" s="399"/>
      <c r="W1263" s="399"/>
      <c r="X1263" s="399" t="s">
        <v>125</v>
      </c>
      <c r="Y1263" s="389">
        <f t="shared" ref="Y1263" si="3998">D1261</f>
        <v>1</v>
      </c>
      <c r="Z1263" s="400" t="s">
        <v>176</v>
      </c>
      <c r="AA1263" s="402">
        <f t="shared" ref="AA1263" si="3999">IF(AA1265=0,(D1263*N1263+P1263*R1263)*U1263*Y1263,0)</f>
        <v>0</v>
      </c>
      <c r="AB1263" s="403"/>
    </row>
    <row r="1264" spans="1:28">
      <c r="A1264" s="384" t="str">
        <f t="shared" ref="A1264:B1264" si="4000">A1255</f>
        <v>Lantai 1</v>
      </c>
      <c r="B1264" s="385">
        <f t="shared" si="4000"/>
        <v>41</v>
      </c>
      <c r="C1264" s="393" t="s">
        <v>202</v>
      </c>
      <c r="D1264" s="398">
        <f>VLOOKUP(D1255,'Detail Balok'!$C$10:$AU$140,10,FALSE)</f>
        <v>3</v>
      </c>
      <c r="E1264" s="388" t="s">
        <v>16</v>
      </c>
      <c r="F1264" s="388">
        <f>VLOOKUP(D1255,'Detail Balok'!$C$10:$AU$140,12,FALSE)</f>
        <v>13</v>
      </c>
      <c r="G1264" s="388"/>
      <c r="H1264" s="395"/>
      <c r="I1264" s="388" t="s">
        <v>203</v>
      </c>
      <c r="J1264" s="399">
        <f t="shared" ref="J1264" si="4001">+D1257/4/1000</f>
        <v>1.7725</v>
      </c>
      <c r="K1264" s="400" t="s">
        <v>204</v>
      </c>
      <c r="L1264" s="399">
        <f t="shared" ref="L1264" si="4002">MAX(VLOOKUP(F1264,N$6:P$15,3,FALSE)/1000,2/3*D1259/1000)+F$16*F1264/1000</f>
        <v>0.156</v>
      </c>
      <c r="M1264" s="399" t="s">
        <v>176</v>
      </c>
      <c r="N1264" s="399">
        <f t="shared" si="3988"/>
        <v>1.9284999999999999</v>
      </c>
      <c r="O1264" s="399" t="s">
        <v>204</v>
      </c>
      <c r="P1264" s="389">
        <f t="shared" ref="P1264" si="4003">D1264-D1263</f>
        <v>0</v>
      </c>
      <c r="Q1264" s="399" t="s">
        <v>125</v>
      </c>
      <c r="R1264" s="399">
        <f t="shared" ref="R1264" si="4004">IF(P1264&gt;0,$F$18*F1264/1000,0)</f>
        <v>0</v>
      </c>
      <c r="S1264" s="399" t="s">
        <v>205</v>
      </c>
      <c r="T1264" s="399" t="s">
        <v>125</v>
      </c>
      <c r="U1264" s="401">
        <f t="shared" si="3991"/>
        <v>1.041885</v>
      </c>
      <c r="V1264" s="399"/>
      <c r="W1264" s="399"/>
      <c r="X1264" s="399" t="s">
        <v>125</v>
      </c>
      <c r="Y1264" s="389">
        <f t="shared" ref="Y1264" si="4005">D1261</f>
        <v>1</v>
      </c>
      <c r="Z1264" s="400" t="s">
        <v>176</v>
      </c>
      <c r="AA1264" s="402">
        <f t="shared" ref="AA1264" si="4006">IF(AA1265=0,(D1264*N1264+P1264*R1264)*U1264*Y1264,0)</f>
        <v>0</v>
      </c>
      <c r="AB1264" s="403"/>
    </row>
    <row r="1265" spans="1:28">
      <c r="A1265" s="384" t="str">
        <f t="shared" ref="A1265:B1265" si="4007">A1255</f>
        <v>Lantai 1</v>
      </c>
      <c r="B1265" s="385">
        <f t="shared" si="4007"/>
        <v>41</v>
      </c>
      <c r="C1265" s="393"/>
      <c r="D1265" s="398">
        <f t="shared" si="3903"/>
        <v>3</v>
      </c>
      <c r="E1265" s="388" t="s">
        <v>16</v>
      </c>
      <c r="F1265" s="388">
        <f t="shared" si="3904"/>
        <v>13</v>
      </c>
      <c r="G1265" s="388"/>
      <c r="H1265" s="395"/>
      <c r="I1265" s="388"/>
      <c r="J1265" s="396"/>
      <c r="K1265" s="396"/>
      <c r="L1265" s="404" t="s">
        <v>207</v>
      </c>
      <c r="M1265" s="399" t="s">
        <v>176</v>
      </c>
      <c r="N1265" s="399">
        <f t="shared" ref="N1265" si="4008">IF(AND(D1262=D1263,D1262=D1264,D1263=D1264,F1262=F1263,F1262=F1264,F1263=F1264),SUM(N1262:N1264),0)</f>
        <v>7.4019999999999992</v>
      </c>
      <c r="O1265" s="399" t="s">
        <v>204</v>
      </c>
      <c r="P1265" s="389">
        <f t="shared" ref="P1265" si="4009">IF(N1265&gt;12,ROUNDDOWN(N1265/12,0),0)</f>
        <v>0</v>
      </c>
      <c r="Q1265" s="399" t="s">
        <v>125</v>
      </c>
      <c r="R1265" s="399">
        <f t="shared" ref="R1265" si="4010">IF(P1265&gt;0,MAX(VLOOKUP(F1265,$D$6:$G$15,3,FALSE),600),0)/1000</f>
        <v>0</v>
      </c>
      <c r="S1265" s="396"/>
      <c r="T1265" s="396" t="s">
        <v>125</v>
      </c>
      <c r="U1265" s="401">
        <f t="shared" si="3908"/>
        <v>1.041885</v>
      </c>
      <c r="V1265" s="396" t="s">
        <v>125</v>
      </c>
      <c r="W1265" s="399">
        <f t="shared" ref="W1265" si="4011">D1265</f>
        <v>3</v>
      </c>
      <c r="X1265" s="399" t="s">
        <v>125</v>
      </c>
      <c r="Y1265" s="389">
        <f t="shared" si="3910"/>
        <v>1</v>
      </c>
      <c r="Z1265" s="400" t="s">
        <v>176</v>
      </c>
      <c r="AA1265" s="402">
        <f t="shared" ref="AA1265" si="4012">(N1265+P1265*R1265/1000)*U1265*W1265*Y1265</f>
        <v>23.136098309999994</v>
      </c>
      <c r="AB1265" s="390"/>
    </row>
    <row r="1266" spans="1:28">
      <c r="A1266" s="384"/>
      <c r="B1266" s="385"/>
      <c r="C1266" s="393"/>
      <c r="D1266" s="398"/>
      <c r="E1266" s="388"/>
      <c r="F1266" s="388"/>
      <c r="G1266" s="388"/>
      <c r="H1266" s="395"/>
      <c r="I1266" s="388"/>
      <c r="J1266" s="396"/>
      <c r="K1266" s="396"/>
      <c r="L1266" s="404"/>
      <c r="M1266" s="399"/>
      <c r="N1266" s="399"/>
      <c r="O1266" s="396"/>
      <c r="P1266" s="389"/>
      <c r="Q1266" s="396"/>
      <c r="R1266" s="396"/>
      <c r="S1266" s="396"/>
      <c r="T1266" s="396"/>
      <c r="U1266" s="401"/>
      <c r="V1266" s="396"/>
      <c r="W1266" s="399"/>
      <c r="X1266" s="396"/>
      <c r="Y1266" s="389"/>
      <c r="Z1266" s="396"/>
      <c r="AA1266" s="388"/>
      <c r="AB1266" s="390"/>
    </row>
    <row r="1267" spans="1:28">
      <c r="A1267" s="384" t="str">
        <f t="shared" ref="A1267:B1267" si="4013">A1255</f>
        <v>Lantai 1</v>
      </c>
      <c r="B1267" s="385">
        <f t="shared" si="4013"/>
        <v>41</v>
      </c>
      <c r="C1267" s="393" t="s">
        <v>208</v>
      </c>
      <c r="D1267" s="398">
        <f>VLOOKUP(D1255,'Detail Balok'!$C$10:$AU$140,13,FALSE)</f>
        <v>0</v>
      </c>
      <c r="E1267" s="388" t="s">
        <v>16</v>
      </c>
      <c r="F1267" s="388">
        <f>VLOOKUP(D1255,'Detail Balok'!$C$10:$AU$140,15,FALSE)</f>
        <v>8</v>
      </c>
      <c r="G1267" s="388"/>
      <c r="H1267" s="395"/>
      <c r="I1267" s="388"/>
      <c r="J1267" s="399">
        <f t="shared" ref="J1267" si="4014">+D1257/1000</f>
        <v>7.09</v>
      </c>
      <c r="K1267" s="400" t="s">
        <v>204</v>
      </c>
      <c r="L1267" s="399">
        <f t="shared" ref="L1267" si="4015">2*$F$16*F1267/1000</f>
        <v>0.192</v>
      </c>
      <c r="M1267" s="399" t="s">
        <v>176</v>
      </c>
      <c r="N1267" s="399">
        <f t="shared" ref="N1267" si="4016">J1267+L1267</f>
        <v>7.282</v>
      </c>
      <c r="O1267" s="399" t="s">
        <v>204</v>
      </c>
      <c r="P1267" s="389">
        <f t="shared" ref="P1267" si="4017">IF(N1267&gt;12,ROUNDDOWN(N1267/12,0),0)</f>
        <v>0</v>
      </c>
      <c r="Q1267" s="399" t="s">
        <v>125</v>
      </c>
      <c r="R1267" s="399">
        <f t="shared" ref="R1267" si="4018">IF(P1267&gt;0,MAX(VLOOKUP(F1267,$D$6:$G$15,3,FALSE),600),0)/1000</f>
        <v>0</v>
      </c>
      <c r="S1267" s="399"/>
      <c r="T1267" s="399" t="s">
        <v>125</v>
      </c>
      <c r="U1267" s="401">
        <f t="shared" ref="U1267" si="4019">0.006165*F1267^2</f>
        <v>0.39456000000000002</v>
      </c>
      <c r="V1267" s="399" t="s">
        <v>125</v>
      </c>
      <c r="W1267" s="399">
        <f t="shared" ref="W1267" si="4020">+D1267</f>
        <v>0</v>
      </c>
      <c r="X1267" s="399" t="s">
        <v>125</v>
      </c>
      <c r="Y1267" s="389">
        <f t="shared" ref="Y1267" si="4021">D1261</f>
        <v>1</v>
      </c>
      <c r="Z1267" s="400" t="s">
        <v>176</v>
      </c>
      <c r="AA1267" s="402">
        <f t="shared" ref="AA1267" si="4022">(N1267+P1267*R1267/1000)*U1267*W1267*Y1267</f>
        <v>0</v>
      </c>
      <c r="AB1267" s="403"/>
    </row>
    <row r="1268" spans="1:28">
      <c r="A1268" s="384"/>
      <c r="B1268" s="385"/>
      <c r="C1268" s="393"/>
      <c r="D1268" s="398"/>
      <c r="E1268" s="388"/>
      <c r="F1268" s="388"/>
      <c r="G1268" s="388"/>
      <c r="H1268" s="395"/>
      <c r="I1268" s="388"/>
      <c r="J1268" s="399"/>
      <c r="K1268" s="400"/>
      <c r="L1268" s="399"/>
      <c r="M1268" s="399"/>
      <c r="N1268" s="399"/>
      <c r="O1268" s="399"/>
      <c r="P1268" s="389"/>
      <c r="Q1268" s="399"/>
      <c r="R1268" s="399"/>
      <c r="S1268" s="399"/>
      <c r="T1268" s="399"/>
      <c r="U1268" s="401"/>
      <c r="V1268" s="399"/>
      <c r="W1268" s="399"/>
      <c r="X1268" s="399"/>
      <c r="Y1268" s="389"/>
      <c r="Z1268" s="400"/>
      <c r="AA1268" s="402"/>
      <c r="AB1268" s="403"/>
    </row>
    <row r="1269" spans="1:28">
      <c r="A1269" s="384"/>
      <c r="B1269" s="385"/>
      <c r="C1269" s="393"/>
      <c r="D1269" s="398"/>
      <c r="E1269" s="388"/>
      <c r="F1269" s="388"/>
      <c r="G1269" s="388"/>
      <c r="H1269" s="395"/>
      <c r="I1269" s="388"/>
      <c r="J1269" s="396"/>
      <c r="K1269" s="396"/>
      <c r="L1269" s="396"/>
      <c r="M1269" s="396"/>
      <c r="N1269" s="396"/>
      <c r="O1269" s="396"/>
      <c r="P1269" s="389"/>
      <c r="Q1269" s="396"/>
      <c r="R1269" s="396"/>
      <c r="S1269" s="396"/>
      <c r="T1269" s="396"/>
      <c r="U1269" s="401"/>
      <c r="V1269" s="396"/>
      <c r="W1269" s="399"/>
      <c r="X1269" s="396"/>
      <c r="Y1269" s="389"/>
      <c r="Z1269" s="396"/>
      <c r="AA1269" s="388"/>
      <c r="AB1269" s="390"/>
    </row>
    <row r="1270" spans="1:28">
      <c r="A1270" s="384" t="str">
        <f t="shared" ref="A1270:B1270" si="4023">A1255</f>
        <v>Lantai 1</v>
      </c>
      <c r="B1270" s="385">
        <f t="shared" si="4023"/>
        <v>41</v>
      </c>
      <c r="C1270" s="393" t="s">
        <v>209</v>
      </c>
      <c r="D1270" s="398">
        <f>VLOOKUP(D1255,'Detail Balok'!$C$10:$AU$140,22,FALSE)</f>
        <v>3</v>
      </c>
      <c r="E1270" s="388" t="s">
        <v>16</v>
      </c>
      <c r="F1270" s="388">
        <f>VLOOKUP(D1255,'Detail Balok'!$C$10:$AU$140,24,FALSE)</f>
        <v>13</v>
      </c>
      <c r="G1270" s="388"/>
      <c r="H1270" s="395"/>
      <c r="I1270" s="388" t="s">
        <v>203</v>
      </c>
      <c r="J1270" s="399">
        <f t="shared" si="3923"/>
        <v>1.7725</v>
      </c>
      <c r="K1270" s="400" t="s">
        <v>204</v>
      </c>
      <c r="L1270" s="399">
        <f t="shared" ref="L1270" si="4024">MAX(VLOOKUP(F1270,N$6:P$15,3,FALSE)/1000,2/3*D1260/1000)+F$16*F1270/1000</f>
        <v>0.156</v>
      </c>
      <c r="M1270" s="399" t="s">
        <v>176</v>
      </c>
      <c r="N1270" s="399">
        <f t="shared" ref="N1270:N1272" si="4025">J1270+L1270</f>
        <v>1.9284999999999999</v>
      </c>
      <c r="O1270" s="399" t="s">
        <v>204</v>
      </c>
      <c r="P1270" s="389">
        <f t="shared" ref="P1270" si="4026">D1270-D1271</f>
        <v>0</v>
      </c>
      <c r="Q1270" s="399" t="s">
        <v>125</v>
      </c>
      <c r="R1270" s="399">
        <f t="shared" ref="R1270" si="4027">IF(P1270&gt;0,$F$18*F1270/1000,0)</f>
        <v>0</v>
      </c>
      <c r="S1270" s="399" t="s">
        <v>205</v>
      </c>
      <c r="T1270" s="399" t="s">
        <v>125</v>
      </c>
      <c r="U1270" s="401">
        <f t="shared" ref="U1270:U1272" si="4028">0.006165*F1270^2</f>
        <v>1.041885</v>
      </c>
      <c r="V1270" s="399"/>
      <c r="W1270" s="399"/>
      <c r="X1270" s="399" t="s">
        <v>125</v>
      </c>
      <c r="Y1270" s="389">
        <f t="shared" ref="Y1270" si="4029">D1261</f>
        <v>1</v>
      </c>
      <c r="Z1270" s="400" t="s">
        <v>176</v>
      </c>
      <c r="AA1270" s="402">
        <f t="shared" ref="AA1270" si="4030">IF(AA1273=0,(D1270*N1270+P1270*R1270)*U1270*Y1270,0)</f>
        <v>0</v>
      </c>
      <c r="AB1270" s="403"/>
    </row>
    <row r="1271" spans="1:28">
      <c r="A1271" s="384" t="str">
        <f t="shared" ref="A1271:B1271" si="4031">A1255</f>
        <v>Lantai 1</v>
      </c>
      <c r="B1271" s="385">
        <f t="shared" si="4031"/>
        <v>41</v>
      </c>
      <c r="C1271" s="393" t="s">
        <v>210</v>
      </c>
      <c r="D1271" s="398">
        <f>VLOOKUP(D1255,'Detail Balok'!$C$10:$AU$140,25,FALSE)</f>
        <v>3</v>
      </c>
      <c r="E1271" s="388" t="s">
        <v>16</v>
      </c>
      <c r="F1271" s="388">
        <f>VLOOKUP(D1255,'Detail Balok'!$C$10:$AU$140,27,FALSE)</f>
        <v>13</v>
      </c>
      <c r="G1271" s="388"/>
      <c r="H1271" s="395"/>
      <c r="I1271" s="388" t="s">
        <v>203</v>
      </c>
      <c r="J1271" s="399">
        <f t="shared" si="3923"/>
        <v>3.5449999999999999</v>
      </c>
      <c r="K1271" s="400" t="s">
        <v>204</v>
      </c>
      <c r="L1271" s="399"/>
      <c r="M1271" s="399" t="s">
        <v>176</v>
      </c>
      <c r="N1271" s="399">
        <f t="shared" si="4025"/>
        <v>3.5449999999999999</v>
      </c>
      <c r="O1271" s="399" t="s">
        <v>204</v>
      </c>
      <c r="P1271" s="389">
        <f t="shared" ref="P1271" si="4032">MAX(D1271-D1270,D1271-D1272)</f>
        <v>0</v>
      </c>
      <c r="Q1271" s="399" t="s">
        <v>125</v>
      </c>
      <c r="R1271" s="399">
        <f t="shared" ref="R1271" si="4033">IF(P1271&gt;0,2*(1-2*$F$19-1/2)*D1258/1000,0)</f>
        <v>0</v>
      </c>
      <c r="S1271" s="399" t="s">
        <v>205</v>
      </c>
      <c r="T1271" s="399" t="s">
        <v>125</v>
      </c>
      <c r="U1271" s="401">
        <f t="shared" si="4028"/>
        <v>1.041885</v>
      </c>
      <c r="V1271" s="399"/>
      <c r="W1271" s="399"/>
      <c r="X1271" s="399" t="s">
        <v>125</v>
      </c>
      <c r="Y1271" s="389">
        <f t="shared" ref="Y1271" si="4034">D1261</f>
        <v>1</v>
      </c>
      <c r="Z1271" s="400" t="s">
        <v>176</v>
      </c>
      <c r="AA1271" s="402">
        <f t="shared" ref="AA1271" si="4035">IF(AA1273=0,(D1271*N1271+P1271*R1271)*U1271*Y1271,0)</f>
        <v>0</v>
      </c>
      <c r="AB1271" s="403"/>
    </row>
    <row r="1272" spans="1:28">
      <c r="A1272" s="384" t="str">
        <f t="shared" ref="A1272:B1272" si="4036">A1255</f>
        <v>Lantai 1</v>
      </c>
      <c r="B1272" s="385">
        <f t="shared" si="4036"/>
        <v>41</v>
      </c>
      <c r="C1272" s="393" t="s">
        <v>209</v>
      </c>
      <c r="D1272" s="398">
        <f>VLOOKUP(D1255,'Detail Balok'!$C$10:$AU$140,28,FALSE)</f>
        <v>3</v>
      </c>
      <c r="E1272" s="388" t="s">
        <v>16</v>
      </c>
      <c r="F1272" s="388">
        <f>VLOOKUP(D1255,'Detail Balok'!$C$10:$AU$140,30,FALSE)</f>
        <v>13</v>
      </c>
      <c r="G1272" s="388"/>
      <c r="H1272" s="395"/>
      <c r="I1272" s="388" t="s">
        <v>203</v>
      </c>
      <c r="J1272" s="399">
        <f t="shared" si="3923"/>
        <v>1.7725</v>
      </c>
      <c r="K1272" s="400" t="s">
        <v>204</v>
      </c>
      <c r="L1272" s="399">
        <f t="shared" ref="L1272" si="4037">MAX(VLOOKUP(F1272,N$6:P$15,3,FALSE)/1000,2/3*D1260/1000)+F$16*F1272/1000</f>
        <v>0.156</v>
      </c>
      <c r="M1272" s="399" t="s">
        <v>176</v>
      </c>
      <c r="N1272" s="399">
        <f t="shared" si="4025"/>
        <v>1.9284999999999999</v>
      </c>
      <c r="O1272" s="399" t="s">
        <v>204</v>
      </c>
      <c r="P1272" s="389">
        <f t="shared" ref="P1272" si="4038">D1272-D1271</f>
        <v>0</v>
      </c>
      <c r="Q1272" s="399" t="s">
        <v>125</v>
      </c>
      <c r="R1272" s="399">
        <f t="shared" ref="R1272" si="4039">IF(P1272&gt;0,$F$18*F1272/1000,0)</f>
        <v>0</v>
      </c>
      <c r="S1272" s="399" t="s">
        <v>205</v>
      </c>
      <c r="T1272" s="399" t="s">
        <v>125</v>
      </c>
      <c r="U1272" s="401">
        <f t="shared" si="4028"/>
        <v>1.041885</v>
      </c>
      <c r="V1272" s="399"/>
      <c r="W1272" s="399"/>
      <c r="X1272" s="399" t="s">
        <v>125</v>
      </c>
      <c r="Y1272" s="389">
        <f t="shared" ref="Y1272" si="4040">D1261</f>
        <v>1</v>
      </c>
      <c r="Z1272" s="400" t="s">
        <v>176</v>
      </c>
      <c r="AA1272" s="402">
        <f t="shared" ref="AA1272" si="4041">IF(AA1273=0,(D1272*N1272+P1272*R1272)*U1272*Y1272,0)</f>
        <v>0</v>
      </c>
      <c r="AB1272" s="403"/>
    </row>
    <row r="1273" spans="1:28">
      <c r="A1273" s="384" t="str">
        <f t="shared" ref="A1273:B1273" si="4042">A1255</f>
        <v>Lantai 1</v>
      </c>
      <c r="B1273" s="385">
        <f t="shared" si="4042"/>
        <v>41</v>
      </c>
      <c r="C1273" s="393"/>
      <c r="D1273" s="398">
        <f t="shared" si="3943"/>
        <v>3</v>
      </c>
      <c r="E1273" s="388" t="s">
        <v>16</v>
      </c>
      <c r="F1273" s="388">
        <f t="shared" si="3944"/>
        <v>13</v>
      </c>
      <c r="G1273" s="388"/>
      <c r="H1273" s="395"/>
      <c r="I1273" s="388"/>
      <c r="J1273" s="396"/>
      <c r="K1273" s="396"/>
      <c r="L1273" s="404" t="s">
        <v>207</v>
      </c>
      <c r="M1273" s="399" t="s">
        <v>176</v>
      </c>
      <c r="N1273" s="399">
        <f t="shared" ref="N1273" si="4043">IF(AND(D1270=D1271,D1270=D1272,D1271=D1272,F1270=F1271,F1270=F1272,F1271=F1272),SUM(N1270:N1272),0)</f>
        <v>7.4019999999999992</v>
      </c>
      <c r="O1273" s="399" t="s">
        <v>204</v>
      </c>
      <c r="P1273" s="389">
        <f t="shared" ref="P1273" si="4044">IF(N1273&gt;12,ROUNDDOWN(N1273/12,0),0)</f>
        <v>0</v>
      </c>
      <c r="Q1273" s="399" t="s">
        <v>125</v>
      </c>
      <c r="R1273" s="399">
        <f t="shared" ref="R1273" si="4045">IF(P1273&gt;0,MAX(VLOOKUP(F1273,$D$6:$G$15,3,FALSE),600),0)/1000</f>
        <v>0</v>
      </c>
      <c r="S1273" s="396"/>
      <c r="T1273" s="396" t="s">
        <v>125</v>
      </c>
      <c r="U1273" s="401">
        <f t="shared" si="3948"/>
        <v>1.041885</v>
      </c>
      <c r="V1273" s="396" t="s">
        <v>125</v>
      </c>
      <c r="W1273" s="399">
        <f t="shared" ref="W1273" si="4046">D1273</f>
        <v>3</v>
      </c>
      <c r="X1273" s="399" t="s">
        <v>125</v>
      </c>
      <c r="Y1273" s="389">
        <f t="shared" si="3950"/>
        <v>1</v>
      </c>
      <c r="Z1273" s="400" t="s">
        <v>176</v>
      </c>
      <c r="AA1273" s="402">
        <f t="shared" ref="AA1273" si="4047">(N1273+P1273*R1273/1000)*U1273*W1273*Y1273</f>
        <v>23.136098309999994</v>
      </c>
      <c r="AB1273" s="403"/>
    </row>
    <row r="1274" spans="1:28">
      <c r="A1274" s="384"/>
      <c r="B1274" s="385"/>
      <c r="C1274" s="393"/>
      <c r="D1274" s="394"/>
      <c r="E1274" s="388"/>
      <c r="F1274" s="388"/>
      <c r="G1274" s="388"/>
      <c r="H1274" s="395"/>
      <c r="I1274" s="388"/>
      <c r="J1274" s="399"/>
      <c r="K1274" s="396"/>
      <c r="L1274" s="396"/>
      <c r="M1274" s="396"/>
      <c r="N1274" s="396"/>
      <c r="O1274" s="396"/>
      <c r="P1274" s="389"/>
      <c r="Q1274" s="396"/>
      <c r="R1274" s="396"/>
      <c r="S1274" s="396"/>
      <c r="T1274" s="396"/>
      <c r="U1274" s="401"/>
      <c r="V1274" s="396"/>
      <c r="W1274" s="388"/>
      <c r="X1274" s="396"/>
      <c r="Y1274" s="389"/>
      <c r="Z1274" s="396"/>
      <c r="AA1274" s="388"/>
      <c r="AB1274" s="390"/>
    </row>
    <row r="1275" spans="1:28">
      <c r="A1275" s="384" t="str">
        <f t="shared" ref="A1275:B1275" si="4048">A1255</f>
        <v>Lantai 1</v>
      </c>
      <c r="B1275" s="385">
        <f t="shared" si="4048"/>
        <v>41</v>
      </c>
      <c r="C1275" s="393" t="s">
        <v>211</v>
      </c>
      <c r="D1275" s="398">
        <f>VLOOKUP(D1255,'Detail Balok'!$C$10:$AU$140,31,FALSE)</f>
        <v>0</v>
      </c>
      <c r="E1275" s="388" t="s">
        <v>16</v>
      </c>
      <c r="F1275" s="388">
        <f>VLOOKUP(D1255,'Detail Balok'!$C$10:$AU$140,33,FALSE)</f>
        <v>8</v>
      </c>
      <c r="G1275" s="405" t="s">
        <v>157</v>
      </c>
      <c r="H1275" s="395">
        <f>VLOOKUP(D1255,'Detail Balok'!$C$10:$AU$140,35,FALSE)</f>
        <v>150</v>
      </c>
      <c r="I1275" s="388"/>
      <c r="J1275" s="400">
        <f t="shared" ref="J1275" si="4049">(IF(D1275=0,(2*(D1256+G1256))-(F$5*8),IF(D1275=3,(2*(D1256+G1256))-(F$5*8)+(G1256-2*F$5),IF(D1275=4,(2*(D1256+G1256))-(F$5*8)+2*(G1256-2*F$5)))))/1000</f>
        <v>0.88</v>
      </c>
      <c r="K1275" s="400" t="s">
        <v>204</v>
      </c>
      <c r="L1275" s="399">
        <f t="shared" ref="L1275:L1277" si="4050">IF(D1275=0,2*MAX(6*F1275,75),(D1275-1)*2*MAX(6*F1275,75))/1000</f>
        <v>0.15</v>
      </c>
      <c r="M1275" s="399" t="s">
        <v>176</v>
      </c>
      <c r="N1275" s="399">
        <f t="shared" ref="N1275:N1277" si="4051">J1275+L1275</f>
        <v>1.03</v>
      </c>
      <c r="O1275" s="399"/>
      <c r="P1275" s="389"/>
      <c r="Q1275" s="399"/>
      <c r="R1275" s="399"/>
      <c r="S1275" s="399"/>
      <c r="T1275" s="399" t="s">
        <v>125</v>
      </c>
      <c r="U1275" s="401">
        <f t="shared" ref="U1275:U1277" si="4052">0.006165*F1275^2</f>
        <v>0.39456000000000002</v>
      </c>
      <c r="V1275" s="399" t="s">
        <v>125</v>
      </c>
      <c r="W1275" s="399">
        <f t="shared" ref="W1275" si="4053">IF(D1258&gt;4*G1256,ROUND(MAX(D1258/4,2*G1256)/H1275,0)+1,ROUND(D1258/H1275,0)+1)</f>
        <v>13</v>
      </c>
      <c r="X1275" s="399" t="s">
        <v>125</v>
      </c>
      <c r="Y1275" s="389">
        <f t="shared" ref="Y1275" si="4054">D1261</f>
        <v>1</v>
      </c>
      <c r="Z1275" s="400" t="s">
        <v>176</v>
      </c>
      <c r="AA1275" s="402">
        <f t="shared" ref="AA1275:AA1277" si="4055">N1275*U1275*W1275*Y1275</f>
        <v>5.2831584000000005</v>
      </c>
      <c r="AB1275" s="403"/>
    </row>
    <row r="1276" spans="1:28">
      <c r="A1276" s="384" t="str">
        <f t="shared" ref="A1276:B1276" si="4056">A1255</f>
        <v>Lantai 1</v>
      </c>
      <c r="B1276" s="385">
        <f t="shared" si="4056"/>
        <v>41</v>
      </c>
      <c r="C1276" s="393" t="s">
        <v>212</v>
      </c>
      <c r="D1276" s="398">
        <f>VLOOKUP(D1255,'Detail Balok'!$C$10:$AU$140,36,FALSE)</f>
        <v>0</v>
      </c>
      <c r="E1276" s="388" t="s">
        <v>16</v>
      </c>
      <c r="F1276" s="388">
        <f>VLOOKUP(D1255,'Detail Balok'!$C$10:$AU$140,38,FALSE)</f>
        <v>8</v>
      </c>
      <c r="G1276" s="405" t="s">
        <v>157</v>
      </c>
      <c r="H1276" s="395">
        <f>VLOOKUP(D1255,'Detail Balok'!$C$10:$AU$140,40,FALSE)</f>
        <v>200</v>
      </c>
      <c r="I1276" s="388"/>
      <c r="J1276" s="400">
        <f t="shared" ref="J1276" si="4057">(IF(D1276=0,(2*(D1256+G1256))-(F$5*8),IF(D1276=3,(2*(D1256+G1256))-(F$5*8)+(G1256-2*F$5),IF(D1276=4,(2*(D1256+G1256))-(F$5*8)+2*(G1256-2*F$5)))))/1000</f>
        <v>0.88</v>
      </c>
      <c r="K1276" s="400" t="s">
        <v>204</v>
      </c>
      <c r="L1276" s="399">
        <f t="shared" si="4050"/>
        <v>0.15</v>
      </c>
      <c r="M1276" s="399" t="s">
        <v>176</v>
      </c>
      <c r="N1276" s="399">
        <f t="shared" si="4051"/>
        <v>1.03</v>
      </c>
      <c r="O1276" s="399"/>
      <c r="P1276" s="389"/>
      <c r="Q1276" s="399"/>
      <c r="R1276" s="399"/>
      <c r="S1276" s="399"/>
      <c r="T1276" s="399" t="s">
        <v>125</v>
      </c>
      <c r="U1276" s="401">
        <f t="shared" si="4052"/>
        <v>0.39456000000000002</v>
      </c>
      <c r="V1276" s="399" t="s">
        <v>125</v>
      </c>
      <c r="W1276" s="399">
        <f t="shared" ref="W1276" si="4058">IF(D1258-MAX(D1258/4,2*G1256)*2&gt;0,ROUND((D1258-MAX(D1258/4,2*G1256)*2)/H1276,0),0)</f>
        <v>18</v>
      </c>
      <c r="X1276" s="399" t="s">
        <v>125</v>
      </c>
      <c r="Y1276" s="389">
        <f t="shared" ref="Y1276" si="4059">D1261</f>
        <v>1</v>
      </c>
      <c r="Z1276" s="400" t="s">
        <v>176</v>
      </c>
      <c r="AA1276" s="402">
        <f t="shared" si="4055"/>
        <v>7.3151424000000009</v>
      </c>
      <c r="AB1276" s="403"/>
    </row>
    <row r="1277" spans="1:28">
      <c r="A1277" s="384" t="str">
        <f t="shared" ref="A1277:B1277" si="4060">A1255</f>
        <v>Lantai 1</v>
      </c>
      <c r="B1277" s="385">
        <f t="shared" si="4060"/>
        <v>41</v>
      </c>
      <c r="C1277" s="393" t="s">
        <v>211</v>
      </c>
      <c r="D1277" s="398">
        <f>VLOOKUP(D1255,'Detail Balok'!$C$10:$AU$140,41,FALSE)</f>
        <v>0</v>
      </c>
      <c r="E1277" s="388" t="s">
        <v>16</v>
      </c>
      <c r="F1277" s="388">
        <f>VLOOKUP(D1255,'Detail Balok'!$C$10:$AU$140,43,FALSE)</f>
        <v>8</v>
      </c>
      <c r="G1277" s="405" t="s">
        <v>157</v>
      </c>
      <c r="H1277" s="395">
        <f>VLOOKUP(D1255,'Detail Balok'!$C$10:$AU$140,45,FALSE)</f>
        <v>150</v>
      </c>
      <c r="I1277" s="388"/>
      <c r="J1277" s="400">
        <f t="shared" ref="J1277" si="4061">(IF(D1277=0,(2*(D1256+G1256))-(F$5*8),IF(D1277=3,(2*(D1256+G1256))-(F$5*8)+(G1256-2*F$5),IF(D1277=4,(2*(D1256+G1256))-(F$5*8)+2*(G1256-2*F$5)))))/1000</f>
        <v>0.88</v>
      </c>
      <c r="K1277" s="400" t="s">
        <v>204</v>
      </c>
      <c r="L1277" s="399">
        <f t="shared" si="4050"/>
        <v>0.15</v>
      </c>
      <c r="M1277" s="399" t="s">
        <v>176</v>
      </c>
      <c r="N1277" s="399">
        <f t="shared" si="4051"/>
        <v>1.03</v>
      </c>
      <c r="O1277" s="399"/>
      <c r="P1277" s="389"/>
      <c r="Q1277" s="399"/>
      <c r="R1277" s="399"/>
      <c r="S1277" s="399"/>
      <c r="T1277" s="399" t="s">
        <v>125</v>
      </c>
      <c r="U1277" s="401">
        <f t="shared" si="4052"/>
        <v>0.39456000000000002</v>
      </c>
      <c r="V1277" s="399" t="s">
        <v>125</v>
      </c>
      <c r="W1277" s="399">
        <f t="shared" ref="W1277" si="4062">IF(D1258&gt;4*G1256,ROUND(MAX(D1258/4,2*G1256)/H1277,0)+1,0)</f>
        <v>13</v>
      </c>
      <c r="X1277" s="399" t="s">
        <v>125</v>
      </c>
      <c r="Y1277" s="389">
        <f t="shared" ref="Y1277" si="4063">D1261</f>
        <v>1</v>
      </c>
      <c r="Z1277" s="400" t="s">
        <v>176</v>
      </c>
      <c r="AA1277" s="402">
        <f t="shared" si="4055"/>
        <v>5.2831584000000005</v>
      </c>
      <c r="AB1277" s="403"/>
    </row>
    <row r="1278" spans="1:28">
      <c r="A1278" s="384"/>
      <c r="B1278" s="385"/>
      <c r="C1278" s="393"/>
      <c r="D1278" s="394"/>
      <c r="E1278" s="388"/>
      <c r="F1278" s="388"/>
      <c r="G1278" s="388"/>
      <c r="H1278" s="395"/>
      <c r="I1278" s="388"/>
      <c r="J1278" s="399"/>
      <c r="K1278" s="396"/>
      <c r="L1278" s="396"/>
      <c r="M1278" s="396"/>
      <c r="N1278" s="396"/>
      <c r="O1278" s="396"/>
      <c r="P1278" s="389"/>
      <c r="Q1278" s="396"/>
      <c r="R1278" s="396"/>
      <c r="S1278" s="396"/>
      <c r="T1278" s="396"/>
      <c r="U1278" s="401"/>
      <c r="V1278" s="396"/>
      <c r="W1278" s="388"/>
      <c r="X1278" s="396"/>
      <c r="Y1278" s="389"/>
      <c r="Z1278" s="396"/>
      <c r="AA1278" s="388"/>
      <c r="AB1278" s="390"/>
    </row>
    <row r="1279" spans="1:28">
      <c r="A1279" s="384" t="str">
        <f t="shared" ref="A1279:B1279" si="4064">A1255</f>
        <v>Lantai 1</v>
      </c>
      <c r="B1279" s="385">
        <f t="shared" si="4064"/>
        <v>41</v>
      </c>
      <c r="C1279" s="393" t="s">
        <v>213</v>
      </c>
      <c r="D1279" s="398">
        <f>VLOOKUP(D1255,'Detail Balok'!$C$10:$BJ$140,46,FALSE)</f>
        <v>0</v>
      </c>
      <c r="E1279" s="388" t="s">
        <v>16</v>
      </c>
      <c r="F1279" s="388">
        <f>VLOOKUP(D1255,'Detail Balok'!$C$10:$BJ$140,48,FALSE)</f>
        <v>0</v>
      </c>
      <c r="G1279" s="405" t="s">
        <v>157</v>
      </c>
      <c r="H1279" s="395">
        <f>VLOOKUP(D1255,'Detail Balok'!$C$10:$BJ$140,50,FALSE)</f>
        <v>100</v>
      </c>
      <c r="I1279" s="388"/>
      <c r="J1279" s="399">
        <f t="shared" ref="J1279" si="4065">(D1256-2*F$5)/1000</f>
        <v>0.12</v>
      </c>
      <c r="K1279" s="400" t="s">
        <v>204</v>
      </c>
      <c r="L1279" s="399">
        <f t="shared" ref="L1279:L1281" si="4066">IF(D1279=0,2*MAX(6*F1279,75),(D1279-1)*2*MAX(6*F1279,75))/1000</f>
        <v>0.15</v>
      </c>
      <c r="M1279" s="399" t="s">
        <v>176</v>
      </c>
      <c r="N1279" s="399">
        <f t="shared" ref="N1279:N1281" si="4067">J1279+L1279</f>
        <v>0.27</v>
      </c>
      <c r="O1279" s="399"/>
      <c r="P1279" s="399"/>
      <c r="Q1279" s="399"/>
      <c r="R1279" s="399"/>
      <c r="S1279" s="399"/>
      <c r="T1279" s="399" t="s">
        <v>125</v>
      </c>
      <c r="U1279" s="401">
        <f t="shared" ref="U1279:U1281" si="4068">0.006165*F1279^2</f>
        <v>0</v>
      </c>
      <c r="V1279" s="399" t="s">
        <v>125</v>
      </c>
      <c r="W1279" s="399">
        <f t="shared" si="3973"/>
        <v>13</v>
      </c>
      <c r="X1279" s="399" t="s">
        <v>125</v>
      </c>
      <c r="Y1279" s="389">
        <f t="shared" ref="Y1279" si="4069">D1265</f>
        <v>3</v>
      </c>
      <c r="Z1279" s="400" t="s">
        <v>176</v>
      </c>
      <c r="AA1279" s="402">
        <f t="shared" ref="AA1279:AA1281" si="4070">N1279*U1279*W1279*Y1279</f>
        <v>0</v>
      </c>
      <c r="AB1279" s="403"/>
    </row>
    <row r="1280" spans="1:28">
      <c r="A1280" s="384" t="str">
        <f t="shared" ref="A1280:B1280" si="4071">A1255</f>
        <v>Lantai 1</v>
      </c>
      <c r="B1280" s="385">
        <f t="shared" si="4071"/>
        <v>41</v>
      </c>
      <c r="C1280" s="393" t="s">
        <v>214</v>
      </c>
      <c r="D1280" s="398">
        <f>VLOOKUP(D1255,'Detail Balok'!$C$10:$BJ$140,51,FALSE)</f>
        <v>0</v>
      </c>
      <c r="E1280" s="388" t="s">
        <v>16</v>
      </c>
      <c r="F1280" s="388">
        <f>VLOOKUP(D1255,'Detail Balok'!$C$10:$BJ$140,53,FALSE)</f>
        <v>0</v>
      </c>
      <c r="G1280" s="405" t="s">
        <v>157</v>
      </c>
      <c r="H1280" s="395">
        <f>VLOOKUP(D1255,'Detail Balok'!$C$10:$BJ$140,55,FALSE)</f>
        <v>100</v>
      </c>
      <c r="I1280" s="388"/>
      <c r="J1280" s="399">
        <f t="shared" ref="J1280" si="4072">(D1256-2*F$5)/1000</f>
        <v>0.12</v>
      </c>
      <c r="K1280" s="400" t="s">
        <v>204</v>
      </c>
      <c r="L1280" s="399">
        <f t="shared" si="4066"/>
        <v>0.15</v>
      </c>
      <c r="M1280" s="399" t="s">
        <v>176</v>
      </c>
      <c r="N1280" s="399">
        <f t="shared" si="4067"/>
        <v>0.27</v>
      </c>
      <c r="O1280" s="399"/>
      <c r="P1280" s="399"/>
      <c r="Q1280" s="399"/>
      <c r="R1280" s="399"/>
      <c r="S1280" s="399"/>
      <c r="T1280" s="399" t="s">
        <v>125</v>
      </c>
      <c r="U1280" s="401">
        <f t="shared" si="4068"/>
        <v>0</v>
      </c>
      <c r="V1280" s="399" t="s">
        <v>125</v>
      </c>
      <c r="W1280" s="399">
        <f t="shared" si="3973"/>
        <v>18</v>
      </c>
      <c r="X1280" s="399" t="s">
        <v>125</v>
      </c>
      <c r="Y1280" s="389">
        <f t="shared" ref="Y1280" si="4073">D1265</f>
        <v>3</v>
      </c>
      <c r="Z1280" s="400" t="s">
        <v>176</v>
      </c>
      <c r="AA1280" s="402">
        <f t="shared" si="4070"/>
        <v>0</v>
      </c>
      <c r="AB1280" s="403"/>
    </row>
    <row r="1281" spans="1:28">
      <c r="A1281" s="384" t="str">
        <f t="shared" ref="A1281:B1281" si="4074">A1255</f>
        <v>Lantai 1</v>
      </c>
      <c r="B1281" s="385">
        <f t="shared" si="4074"/>
        <v>41</v>
      </c>
      <c r="C1281" s="393" t="s">
        <v>213</v>
      </c>
      <c r="D1281" s="398">
        <f>VLOOKUP(D1255,'Detail Balok'!$C$10:$BJ$140,56,FALSE)</f>
        <v>0</v>
      </c>
      <c r="E1281" s="388" t="s">
        <v>16</v>
      </c>
      <c r="F1281" s="388">
        <f>VLOOKUP(D1255,'Detail Balok'!$C$10:$BJ$140,58,FALSE)</f>
        <v>0</v>
      </c>
      <c r="G1281" s="405" t="s">
        <v>157</v>
      </c>
      <c r="H1281" s="395">
        <f>VLOOKUP(D1255,'Detail Balok'!$C$10:$BJ$140,60,FALSE)</f>
        <v>100</v>
      </c>
      <c r="I1281" s="388"/>
      <c r="J1281" s="399">
        <f t="shared" ref="J1281" si="4075">(D1256-2*F$5)/1000</f>
        <v>0.12</v>
      </c>
      <c r="K1281" s="400" t="s">
        <v>204</v>
      </c>
      <c r="L1281" s="399">
        <f t="shared" si="4066"/>
        <v>0.15</v>
      </c>
      <c r="M1281" s="399" t="s">
        <v>176</v>
      </c>
      <c r="N1281" s="399">
        <f t="shared" si="4067"/>
        <v>0.27</v>
      </c>
      <c r="O1281" s="399"/>
      <c r="P1281" s="399"/>
      <c r="Q1281" s="399"/>
      <c r="R1281" s="399"/>
      <c r="S1281" s="399"/>
      <c r="T1281" s="399" t="s">
        <v>125</v>
      </c>
      <c r="U1281" s="401">
        <f t="shared" si="4068"/>
        <v>0</v>
      </c>
      <c r="V1281" s="399" t="s">
        <v>125</v>
      </c>
      <c r="W1281" s="399">
        <f t="shared" si="3973"/>
        <v>13</v>
      </c>
      <c r="X1281" s="399" t="s">
        <v>125</v>
      </c>
      <c r="Y1281" s="389">
        <f t="shared" ref="Y1281" si="4076">D1265</f>
        <v>3</v>
      </c>
      <c r="Z1281" s="400" t="s">
        <v>176</v>
      </c>
      <c r="AA1281" s="402">
        <f t="shared" si="4070"/>
        <v>0</v>
      </c>
      <c r="AB1281" s="403"/>
    </row>
    <row r="1282" spans="1:28">
      <c r="A1282" s="391"/>
      <c r="B1282" s="392"/>
      <c r="C1282" s="392"/>
      <c r="D1282" s="394"/>
      <c r="E1282" s="388"/>
      <c r="F1282" s="388"/>
      <c r="G1282" s="388"/>
      <c r="H1282" s="395"/>
      <c r="I1282" s="388"/>
      <c r="J1282" s="402"/>
      <c r="K1282" s="388"/>
      <c r="L1282" s="388"/>
      <c r="M1282" s="388"/>
      <c r="N1282" s="388"/>
      <c r="O1282" s="388"/>
      <c r="P1282" s="388"/>
      <c r="Q1282" s="388"/>
      <c r="R1282" s="388"/>
      <c r="S1282" s="388"/>
      <c r="T1282" s="388"/>
      <c r="U1282" s="388"/>
      <c r="V1282" s="388"/>
      <c r="W1282" s="388"/>
      <c r="X1282" s="388"/>
      <c r="Y1282" s="389"/>
      <c r="Z1282" s="388"/>
      <c r="AA1282" s="402"/>
      <c r="AB1282" s="403"/>
    </row>
    <row r="1283" spans="1:28" ht="15.75" thickBot="1">
      <c r="A1283" s="406"/>
      <c r="B1283" s="407"/>
      <c r="C1283" s="407"/>
      <c r="D1283" s="408"/>
      <c r="E1283" s="409"/>
      <c r="F1283" s="409"/>
      <c r="G1283" s="409"/>
      <c r="H1283" s="410"/>
      <c r="I1283" s="409"/>
      <c r="J1283" s="409"/>
      <c r="K1283" s="409"/>
      <c r="L1283" s="409"/>
      <c r="M1283" s="409"/>
      <c r="N1283" s="409"/>
      <c r="O1283" s="409"/>
      <c r="P1283" s="409"/>
      <c r="Q1283" s="409"/>
      <c r="R1283" s="409"/>
      <c r="S1283" s="409"/>
      <c r="T1283" s="409"/>
      <c r="U1283" s="409"/>
      <c r="V1283" s="409"/>
      <c r="W1283" s="409"/>
      <c r="X1283" s="409"/>
      <c r="Y1283" s="411"/>
      <c r="Z1283" s="409"/>
      <c r="AA1283" s="412"/>
      <c r="AB1283" s="413"/>
    </row>
    <row r="1284" spans="1:28">
      <c r="A1284" s="377"/>
      <c r="B1284" s="378"/>
      <c r="C1284" s="378"/>
      <c r="D1284" s="379"/>
      <c r="E1284" s="380"/>
      <c r="F1284" s="380"/>
      <c r="G1284" s="380"/>
      <c r="H1284" s="381"/>
      <c r="I1284" s="380"/>
      <c r="J1284" s="380"/>
      <c r="K1284" s="380"/>
      <c r="L1284" s="380"/>
      <c r="M1284" s="380"/>
      <c r="N1284" s="380"/>
      <c r="O1284" s="380"/>
      <c r="P1284" s="380"/>
      <c r="Q1284" s="380"/>
      <c r="R1284" s="380"/>
      <c r="S1284" s="380"/>
      <c r="T1284" s="380"/>
      <c r="U1284" s="380"/>
      <c r="V1284" s="380"/>
      <c r="W1284" s="380"/>
      <c r="X1284" s="380"/>
      <c r="Y1284" s="382"/>
      <c r="Z1284" s="380"/>
      <c r="AA1284" s="380"/>
      <c r="AB1284" s="383"/>
    </row>
    <row r="1285" spans="1:28">
      <c r="A1285" s="384" t="str">
        <f t="shared" si="3982"/>
        <v>Lantai 1</v>
      </c>
      <c r="B1285" s="385">
        <f t="shared" si="3983"/>
        <v>42</v>
      </c>
      <c r="C1285" s="386" t="str">
        <f t="shared" ref="C1285" si="4077">CONCATENATE(A1285," no. ",B1285)</f>
        <v>Lantai 1 no. 42</v>
      </c>
      <c r="D1285" s="2562" t="str">
        <f>VLOOKUP(C1285,'Data Panjang Balok'!$C$9:$N$254,2,FALSE)</f>
        <v>S25-1</v>
      </c>
      <c r="E1285" s="2576"/>
      <c r="F1285" s="2576"/>
      <c r="G1285" s="2576"/>
      <c r="H1285" s="2577"/>
      <c r="I1285" s="387"/>
      <c r="J1285" s="388"/>
      <c r="K1285" s="388"/>
      <c r="L1285" s="388"/>
      <c r="M1285" s="388"/>
      <c r="N1285" s="388"/>
      <c r="O1285" s="388"/>
      <c r="P1285" s="388"/>
      <c r="Q1285" s="388"/>
      <c r="R1285" s="388"/>
      <c r="S1285" s="388"/>
      <c r="T1285" s="388"/>
      <c r="U1285" s="388"/>
      <c r="V1285" s="388"/>
      <c r="W1285" s="388"/>
      <c r="X1285" s="388"/>
      <c r="Y1285" s="389"/>
      <c r="Z1285" s="388"/>
      <c r="AA1285" s="388"/>
      <c r="AB1285" s="390"/>
    </row>
    <row r="1286" spans="1:28">
      <c r="A1286" s="391"/>
      <c r="B1286" s="392"/>
      <c r="C1286" s="393" t="s">
        <v>118</v>
      </c>
      <c r="D1286" s="2578">
        <f>VLOOKUP(D1285,'Detail Balok'!$C$10:$AU$140,2,FALSE)</f>
        <v>200</v>
      </c>
      <c r="E1286" s="2579"/>
      <c r="F1286" s="388" t="s">
        <v>125</v>
      </c>
      <c r="G1286" s="2579">
        <f>VLOOKUP(D1285,'Detail Balok'!$C$10:$AU$140,3,FALSE)</f>
        <v>500</v>
      </c>
      <c r="H1286" s="2580"/>
      <c r="I1286" s="388"/>
      <c r="J1286" s="396"/>
      <c r="K1286" s="396"/>
      <c r="L1286" s="396"/>
      <c r="M1286" s="396"/>
      <c r="N1286" s="396"/>
      <c r="O1286" s="396"/>
      <c r="P1286" s="396"/>
      <c r="Q1286" s="396"/>
      <c r="R1286" s="396"/>
      <c r="S1286" s="396"/>
      <c r="T1286" s="396"/>
      <c r="U1286" s="388"/>
      <c r="V1286" s="396"/>
      <c r="W1286" s="388"/>
      <c r="X1286" s="396"/>
      <c r="Y1286" s="389"/>
      <c r="Z1286" s="396"/>
      <c r="AA1286" s="388"/>
      <c r="AB1286" s="390"/>
    </row>
    <row r="1287" spans="1:28">
      <c r="A1287" s="391"/>
      <c r="B1287" s="392"/>
      <c r="C1287" s="393" t="s">
        <v>198</v>
      </c>
      <c r="D1287" s="2562">
        <f>VLOOKUP(C1285,'Data Panjang Balok'!$C$9:$N$254,4,FALSE)</f>
        <v>5500</v>
      </c>
      <c r="E1287" s="2563"/>
      <c r="F1287" s="2563"/>
      <c r="G1287" s="2563"/>
      <c r="H1287" s="2564"/>
      <c r="I1287" s="397"/>
      <c r="J1287" s="396"/>
      <c r="K1287" s="396"/>
      <c r="L1287" s="396"/>
      <c r="M1287" s="396"/>
      <c r="N1287" s="396"/>
      <c r="O1287" s="396"/>
      <c r="P1287" s="396"/>
      <c r="Q1287" s="396"/>
      <c r="R1287" s="396"/>
      <c r="S1287" s="396"/>
      <c r="T1287" s="396"/>
      <c r="U1287" s="388"/>
      <c r="V1287" s="396"/>
      <c r="W1287" s="388"/>
      <c r="X1287" s="396"/>
      <c r="Y1287" s="389"/>
      <c r="Z1287" s="396"/>
      <c r="AA1287" s="388"/>
      <c r="AB1287" s="390"/>
    </row>
    <row r="1288" spans="1:28">
      <c r="A1288" s="391"/>
      <c r="B1288" s="392"/>
      <c r="C1288" s="393" t="s">
        <v>199</v>
      </c>
      <c r="D1288" s="2562">
        <f>VLOOKUP(C1285,'Data Panjang Balok'!$C$9:$N$254,7,FALSE)</f>
        <v>5500</v>
      </c>
      <c r="E1288" s="2563"/>
      <c r="F1288" s="2563"/>
      <c r="G1288" s="2563"/>
      <c r="H1288" s="2564"/>
      <c r="I1288" s="397"/>
      <c r="J1288" s="396"/>
      <c r="K1288" s="396"/>
      <c r="L1288" s="396"/>
      <c r="M1288" s="396"/>
      <c r="N1288" s="396"/>
      <c r="O1288" s="396"/>
      <c r="P1288" s="396"/>
      <c r="Q1288" s="396"/>
      <c r="R1288" s="396"/>
      <c r="S1288" s="396"/>
      <c r="T1288" s="396"/>
      <c r="U1288" s="388"/>
      <c r="V1288" s="396"/>
      <c r="W1288" s="388"/>
      <c r="X1288" s="396"/>
      <c r="Y1288" s="389"/>
      <c r="Z1288" s="396"/>
      <c r="AA1288" s="388"/>
      <c r="AB1288" s="390"/>
    </row>
    <row r="1289" spans="1:28">
      <c r="A1289" s="391"/>
      <c r="B1289" s="392"/>
      <c r="C1289" s="393" t="s">
        <v>200</v>
      </c>
      <c r="D1289" s="2562">
        <f>VLOOKUP(C1285,'Data Panjang Balok'!$C$9:$N$254,9,FALSE)</f>
        <v>0</v>
      </c>
      <c r="E1289" s="2563"/>
      <c r="F1289" s="2563"/>
      <c r="G1289" s="2563"/>
      <c r="H1289" s="2564"/>
      <c r="I1289" s="397"/>
      <c r="J1289" s="396"/>
      <c r="K1289" s="396"/>
      <c r="L1289" s="396"/>
      <c r="M1289" s="396"/>
      <c r="N1289" s="396"/>
      <c r="O1289" s="396"/>
      <c r="P1289" s="396"/>
      <c r="Q1289" s="396"/>
      <c r="R1289" s="396"/>
      <c r="S1289" s="396"/>
      <c r="T1289" s="396"/>
      <c r="U1289" s="388"/>
      <c r="V1289" s="396"/>
      <c r="W1289" s="388"/>
      <c r="X1289" s="396"/>
      <c r="Y1289" s="389"/>
      <c r="Z1289" s="396"/>
      <c r="AA1289" s="388"/>
      <c r="AB1289" s="390"/>
    </row>
    <row r="1290" spans="1:28">
      <c r="A1290" s="391"/>
      <c r="B1290" s="392"/>
      <c r="C1290" s="393" t="s">
        <v>201</v>
      </c>
      <c r="D1290" s="2562">
        <f>VLOOKUP(C1285,'Data Panjang Balok'!$C$9:$N$254,10,FALSE)</f>
        <v>0</v>
      </c>
      <c r="E1290" s="2563"/>
      <c r="F1290" s="2563"/>
      <c r="G1290" s="2563"/>
      <c r="H1290" s="2564"/>
      <c r="I1290" s="397"/>
      <c r="J1290" s="396"/>
      <c r="K1290" s="396"/>
      <c r="L1290" s="396"/>
      <c r="M1290" s="396"/>
      <c r="N1290" s="396"/>
      <c r="O1290" s="396"/>
      <c r="P1290" s="396"/>
      <c r="Q1290" s="396"/>
      <c r="R1290" s="396"/>
      <c r="S1290" s="396"/>
      <c r="T1290" s="396"/>
      <c r="U1290" s="388"/>
      <c r="V1290" s="396"/>
      <c r="W1290" s="388"/>
      <c r="X1290" s="396"/>
      <c r="Y1290" s="389"/>
      <c r="Z1290" s="396"/>
      <c r="AA1290" s="388"/>
      <c r="AB1290" s="390"/>
    </row>
    <row r="1291" spans="1:28">
      <c r="A1291" s="391"/>
      <c r="B1291" s="392"/>
      <c r="C1291" s="393" t="s">
        <v>48</v>
      </c>
      <c r="D1291" s="2562">
        <f>VLOOKUP(C1285,'Data Panjang Balok'!$C$9:$N$254,3,FALSE)</f>
        <v>1</v>
      </c>
      <c r="E1291" s="2563"/>
      <c r="F1291" s="2563"/>
      <c r="G1291" s="2563"/>
      <c r="H1291" s="2564"/>
      <c r="I1291" s="397"/>
      <c r="J1291" s="396"/>
      <c r="K1291" s="396"/>
      <c r="L1291" s="396"/>
      <c r="M1291" s="396"/>
      <c r="N1291" s="396"/>
      <c r="O1291" s="396"/>
      <c r="P1291" s="396"/>
      <c r="Q1291" s="396"/>
      <c r="R1291" s="396"/>
      <c r="S1291" s="396"/>
      <c r="T1291" s="396"/>
      <c r="U1291" s="388"/>
      <c r="V1291" s="396"/>
      <c r="W1291" s="388"/>
      <c r="X1291" s="396"/>
      <c r="Y1291" s="389"/>
      <c r="Z1291" s="396"/>
      <c r="AA1291" s="388"/>
      <c r="AB1291" s="390"/>
    </row>
    <row r="1292" spans="1:28">
      <c r="A1292" s="384" t="str">
        <f t="shared" ref="A1292:B1292" si="4078">A1285</f>
        <v>Lantai 1</v>
      </c>
      <c r="B1292" s="385">
        <f t="shared" si="4078"/>
        <v>42</v>
      </c>
      <c r="C1292" s="393" t="s">
        <v>202</v>
      </c>
      <c r="D1292" s="398">
        <f>VLOOKUP(D1285,'Detail Balok'!$C$10:$AU$140,4,FALSE)</f>
        <v>3</v>
      </c>
      <c r="E1292" s="388" t="s">
        <v>16</v>
      </c>
      <c r="F1292" s="388">
        <f>VLOOKUP(D1285,'Detail Balok'!$C$10:$AU$140,6,FALSE)</f>
        <v>16</v>
      </c>
      <c r="G1292" s="388"/>
      <c r="H1292" s="395"/>
      <c r="I1292" s="388" t="s">
        <v>203</v>
      </c>
      <c r="J1292" s="399">
        <f t="shared" ref="J1292" si="4079">+D1287/4/1000</f>
        <v>1.375</v>
      </c>
      <c r="K1292" s="400" t="s">
        <v>204</v>
      </c>
      <c r="L1292" s="399">
        <f t="shared" ref="L1292" si="4080">MAX(VLOOKUP(F1292,N$6:P$15,3,FALSE)/1000,2/3*D1289/1000)+F$16*F1292/1000</f>
        <v>0.192</v>
      </c>
      <c r="M1292" s="399" t="s">
        <v>176</v>
      </c>
      <c r="N1292" s="399">
        <f t="shared" ref="N1292:N1294" si="4081">J1292+L1292</f>
        <v>1.5669999999999999</v>
      </c>
      <c r="O1292" s="399" t="s">
        <v>204</v>
      </c>
      <c r="P1292" s="389">
        <f t="shared" ref="P1292" si="4082">D1292-D1293</f>
        <v>0</v>
      </c>
      <c r="Q1292" s="399" t="s">
        <v>125</v>
      </c>
      <c r="R1292" s="399">
        <f t="shared" ref="R1292" si="4083">IF(P1292&gt;0,$F$18*F1292/1000,0)</f>
        <v>0</v>
      </c>
      <c r="S1292" s="399" t="s">
        <v>205</v>
      </c>
      <c r="T1292" s="399" t="s">
        <v>125</v>
      </c>
      <c r="U1292" s="401">
        <f t="shared" ref="U1292:U1294" si="4084">0.006165*F1292^2</f>
        <v>1.5782400000000001</v>
      </c>
      <c r="V1292" s="399"/>
      <c r="W1292" s="399"/>
      <c r="X1292" s="399" t="s">
        <v>125</v>
      </c>
      <c r="Y1292" s="389">
        <f t="shared" ref="Y1292" si="4085">D1291</f>
        <v>1</v>
      </c>
      <c r="Z1292" s="400" t="s">
        <v>176</v>
      </c>
      <c r="AA1292" s="402">
        <f t="shared" ref="AA1292" si="4086">IF(AA1295=0,(D1292*N1292+P1292*R1292)*U1292*Y1292,0)</f>
        <v>0</v>
      </c>
      <c r="AB1292" s="403"/>
    </row>
    <row r="1293" spans="1:28">
      <c r="A1293" s="384" t="str">
        <f t="shared" ref="A1293:B1293" si="4087">A1285</f>
        <v>Lantai 1</v>
      </c>
      <c r="B1293" s="385">
        <f t="shared" si="4087"/>
        <v>42</v>
      </c>
      <c r="C1293" s="393" t="s">
        <v>206</v>
      </c>
      <c r="D1293" s="398">
        <f>VLOOKUP(D1285,'Detail Balok'!$C$10:$AU$140,7,FALSE)</f>
        <v>3</v>
      </c>
      <c r="E1293" s="388" t="s">
        <v>16</v>
      </c>
      <c r="F1293" s="388">
        <f>VLOOKUP(D1285,'Detail Balok'!$C$10:$AU$140,9,FALSE)</f>
        <v>16</v>
      </c>
      <c r="G1293" s="388"/>
      <c r="H1293" s="395"/>
      <c r="I1293" s="388" t="s">
        <v>203</v>
      </c>
      <c r="J1293" s="399">
        <f t="shared" ref="J1293" si="4088">+D1287/2/1000</f>
        <v>2.75</v>
      </c>
      <c r="K1293" s="400" t="s">
        <v>204</v>
      </c>
      <c r="L1293" s="399"/>
      <c r="M1293" s="399" t="s">
        <v>176</v>
      </c>
      <c r="N1293" s="399">
        <f t="shared" si="4081"/>
        <v>2.75</v>
      </c>
      <c r="O1293" s="399" t="s">
        <v>204</v>
      </c>
      <c r="P1293" s="389">
        <f t="shared" ref="P1293" si="4089">MAX(D1293-D1292,D1293-D1294)</f>
        <v>0</v>
      </c>
      <c r="Q1293" s="399" t="s">
        <v>125</v>
      </c>
      <c r="R1293" s="399">
        <f t="shared" ref="R1293" si="4090">IF(P1293&gt;0,2*(1-2*$F$19-1/2)*D1288/1000,0)</f>
        <v>0</v>
      </c>
      <c r="S1293" s="399" t="s">
        <v>205</v>
      </c>
      <c r="T1293" s="399" t="s">
        <v>125</v>
      </c>
      <c r="U1293" s="401">
        <f t="shared" si="4084"/>
        <v>1.5782400000000001</v>
      </c>
      <c r="V1293" s="399"/>
      <c r="W1293" s="399"/>
      <c r="X1293" s="399" t="s">
        <v>125</v>
      </c>
      <c r="Y1293" s="389">
        <f t="shared" ref="Y1293" si="4091">D1291</f>
        <v>1</v>
      </c>
      <c r="Z1293" s="400" t="s">
        <v>176</v>
      </c>
      <c r="AA1293" s="402">
        <f t="shared" ref="AA1293" si="4092">IF(AA1295=0,(D1293*N1293+P1293*R1293)*U1293*Y1293,0)</f>
        <v>0</v>
      </c>
      <c r="AB1293" s="403"/>
    </row>
    <row r="1294" spans="1:28">
      <c r="A1294" s="384" t="str">
        <f t="shared" ref="A1294:B1294" si="4093">A1285</f>
        <v>Lantai 1</v>
      </c>
      <c r="B1294" s="385">
        <f t="shared" si="4093"/>
        <v>42</v>
      </c>
      <c r="C1294" s="393" t="s">
        <v>202</v>
      </c>
      <c r="D1294" s="398">
        <f>VLOOKUP(D1285,'Detail Balok'!$C$10:$AU$140,10,FALSE)</f>
        <v>3</v>
      </c>
      <c r="E1294" s="388" t="s">
        <v>16</v>
      </c>
      <c r="F1294" s="388">
        <f>VLOOKUP(D1285,'Detail Balok'!$C$10:$AU$140,12,FALSE)</f>
        <v>16</v>
      </c>
      <c r="G1294" s="388"/>
      <c r="H1294" s="395"/>
      <c r="I1294" s="388" t="s">
        <v>203</v>
      </c>
      <c r="J1294" s="399">
        <f t="shared" ref="J1294" si="4094">+D1287/4/1000</f>
        <v>1.375</v>
      </c>
      <c r="K1294" s="400" t="s">
        <v>204</v>
      </c>
      <c r="L1294" s="399">
        <f t="shared" ref="L1294" si="4095">MAX(VLOOKUP(F1294,N$6:P$15,3,FALSE)/1000,2/3*D1289/1000)+F$16*F1294/1000</f>
        <v>0.192</v>
      </c>
      <c r="M1294" s="399" t="s">
        <v>176</v>
      </c>
      <c r="N1294" s="399">
        <f t="shared" si="4081"/>
        <v>1.5669999999999999</v>
      </c>
      <c r="O1294" s="399" t="s">
        <v>204</v>
      </c>
      <c r="P1294" s="389">
        <f t="shared" ref="P1294" si="4096">D1294-D1293</f>
        <v>0</v>
      </c>
      <c r="Q1294" s="399" t="s">
        <v>125</v>
      </c>
      <c r="R1294" s="399">
        <f t="shared" ref="R1294" si="4097">IF(P1294&gt;0,$F$18*F1294/1000,0)</f>
        <v>0</v>
      </c>
      <c r="S1294" s="399" t="s">
        <v>205</v>
      </c>
      <c r="T1294" s="399" t="s">
        <v>125</v>
      </c>
      <c r="U1294" s="401">
        <f t="shared" si="4084"/>
        <v>1.5782400000000001</v>
      </c>
      <c r="V1294" s="399"/>
      <c r="W1294" s="399"/>
      <c r="X1294" s="399" t="s">
        <v>125</v>
      </c>
      <c r="Y1294" s="389">
        <f t="shared" ref="Y1294" si="4098">D1291</f>
        <v>1</v>
      </c>
      <c r="Z1294" s="400" t="s">
        <v>176</v>
      </c>
      <c r="AA1294" s="402">
        <f t="shared" ref="AA1294" si="4099">IF(AA1295=0,(D1294*N1294+P1294*R1294)*U1294*Y1294,0)</f>
        <v>0</v>
      </c>
      <c r="AB1294" s="403"/>
    </row>
    <row r="1295" spans="1:28">
      <c r="A1295" s="384" t="str">
        <f t="shared" ref="A1295:B1295" si="4100">A1285</f>
        <v>Lantai 1</v>
      </c>
      <c r="B1295" s="385">
        <f t="shared" si="4100"/>
        <v>42</v>
      </c>
      <c r="C1295" s="393"/>
      <c r="D1295" s="398">
        <f t="shared" si="3903"/>
        <v>3</v>
      </c>
      <c r="E1295" s="388" t="s">
        <v>16</v>
      </c>
      <c r="F1295" s="388">
        <f t="shared" si="3904"/>
        <v>16</v>
      </c>
      <c r="G1295" s="388"/>
      <c r="H1295" s="395"/>
      <c r="I1295" s="388"/>
      <c r="J1295" s="396"/>
      <c r="K1295" s="396"/>
      <c r="L1295" s="404" t="s">
        <v>207</v>
      </c>
      <c r="M1295" s="399" t="s">
        <v>176</v>
      </c>
      <c r="N1295" s="399">
        <f t="shared" ref="N1295" si="4101">IF(AND(D1292=D1293,D1292=D1294,D1293=D1294,F1292=F1293,F1292=F1294,F1293=F1294),SUM(N1292:N1294),0)</f>
        <v>5.8840000000000003</v>
      </c>
      <c r="O1295" s="399" t="s">
        <v>204</v>
      </c>
      <c r="P1295" s="389">
        <f t="shared" ref="P1295" si="4102">IF(N1295&gt;12,ROUNDDOWN(N1295/12,0),0)</f>
        <v>0</v>
      </c>
      <c r="Q1295" s="399" t="s">
        <v>125</v>
      </c>
      <c r="R1295" s="399">
        <f t="shared" ref="R1295" si="4103">IF(P1295&gt;0,MAX(VLOOKUP(F1295,$D$6:$G$15,3,FALSE),600),0)/1000</f>
        <v>0</v>
      </c>
      <c r="S1295" s="396"/>
      <c r="T1295" s="396" t="s">
        <v>125</v>
      </c>
      <c r="U1295" s="401">
        <f t="shared" si="3908"/>
        <v>1.5782400000000001</v>
      </c>
      <c r="V1295" s="396" t="s">
        <v>125</v>
      </c>
      <c r="W1295" s="399">
        <f t="shared" ref="W1295" si="4104">D1295</f>
        <v>3</v>
      </c>
      <c r="X1295" s="399" t="s">
        <v>125</v>
      </c>
      <c r="Y1295" s="389">
        <f t="shared" si="3910"/>
        <v>1</v>
      </c>
      <c r="Z1295" s="400" t="s">
        <v>176</v>
      </c>
      <c r="AA1295" s="402">
        <f t="shared" ref="AA1295" si="4105">(N1295+P1295*R1295/1000)*U1295*W1295*Y1295</f>
        <v>27.859092480000005</v>
      </c>
      <c r="AB1295" s="390"/>
    </row>
    <row r="1296" spans="1:28">
      <c r="A1296" s="384"/>
      <c r="B1296" s="385"/>
      <c r="C1296" s="393"/>
      <c r="D1296" s="398"/>
      <c r="E1296" s="388"/>
      <c r="F1296" s="388"/>
      <c r="G1296" s="388"/>
      <c r="H1296" s="395"/>
      <c r="I1296" s="388"/>
      <c r="J1296" s="396"/>
      <c r="K1296" s="396"/>
      <c r="L1296" s="404"/>
      <c r="M1296" s="399"/>
      <c r="N1296" s="399"/>
      <c r="O1296" s="396"/>
      <c r="P1296" s="389"/>
      <c r="Q1296" s="396"/>
      <c r="R1296" s="396"/>
      <c r="S1296" s="396"/>
      <c r="T1296" s="396"/>
      <c r="U1296" s="401"/>
      <c r="V1296" s="396"/>
      <c r="W1296" s="399"/>
      <c r="X1296" s="396"/>
      <c r="Y1296" s="389"/>
      <c r="Z1296" s="396"/>
      <c r="AA1296" s="388"/>
      <c r="AB1296" s="390"/>
    </row>
    <row r="1297" spans="1:28">
      <c r="A1297" s="384" t="str">
        <f t="shared" ref="A1297:B1297" si="4106">A1285</f>
        <v>Lantai 1</v>
      </c>
      <c r="B1297" s="385">
        <f t="shared" si="4106"/>
        <v>42</v>
      </c>
      <c r="C1297" s="393" t="s">
        <v>208</v>
      </c>
      <c r="D1297" s="398">
        <f>VLOOKUP(D1285,'Detail Balok'!$C$10:$AU$140,13,FALSE)</f>
        <v>2</v>
      </c>
      <c r="E1297" s="388" t="s">
        <v>16</v>
      </c>
      <c r="F1297" s="388">
        <f>VLOOKUP(D1285,'Detail Balok'!$C$10:$AU$140,15,FALSE)</f>
        <v>10</v>
      </c>
      <c r="G1297" s="388"/>
      <c r="H1297" s="395"/>
      <c r="I1297" s="388"/>
      <c r="J1297" s="399">
        <f t="shared" ref="J1297" si="4107">+D1287/1000</f>
        <v>5.5</v>
      </c>
      <c r="K1297" s="400" t="s">
        <v>204</v>
      </c>
      <c r="L1297" s="399">
        <f t="shared" ref="L1297" si="4108">2*$F$16*F1297/1000</f>
        <v>0.24</v>
      </c>
      <c r="M1297" s="399" t="s">
        <v>176</v>
      </c>
      <c r="N1297" s="399">
        <f t="shared" ref="N1297" si="4109">J1297+L1297</f>
        <v>5.74</v>
      </c>
      <c r="O1297" s="399" t="s">
        <v>204</v>
      </c>
      <c r="P1297" s="389">
        <f t="shared" ref="P1297" si="4110">IF(N1297&gt;12,ROUNDDOWN(N1297/12,0),0)</f>
        <v>0</v>
      </c>
      <c r="Q1297" s="399" t="s">
        <v>125</v>
      </c>
      <c r="R1297" s="399">
        <f t="shared" ref="R1297" si="4111">IF(P1297&gt;0,MAX(VLOOKUP(F1297,$D$6:$G$15,3,FALSE),600),0)/1000</f>
        <v>0</v>
      </c>
      <c r="S1297" s="399"/>
      <c r="T1297" s="399" t="s">
        <v>125</v>
      </c>
      <c r="U1297" s="401">
        <f t="shared" ref="U1297" si="4112">0.006165*F1297^2</f>
        <v>0.61650000000000005</v>
      </c>
      <c r="V1297" s="399" t="s">
        <v>125</v>
      </c>
      <c r="W1297" s="399">
        <f t="shared" ref="W1297" si="4113">+D1297</f>
        <v>2</v>
      </c>
      <c r="X1297" s="399" t="s">
        <v>125</v>
      </c>
      <c r="Y1297" s="389">
        <f t="shared" ref="Y1297" si="4114">D1291</f>
        <v>1</v>
      </c>
      <c r="Z1297" s="400" t="s">
        <v>176</v>
      </c>
      <c r="AA1297" s="402">
        <f t="shared" ref="AA1297" si="4115">(N1297+P1297*R1297/1000)*U1297*W1297*Y1297</f>
        <v>7.0774200000000009</v>
      </c>
      <c r="AB1297" s="403"/>
    </row>
    <row r="1298" spans="1:28">
      <c r="A1298" s="384"/>
      <c r="B1298" s="385"/>
      <c r="C1298" s="393"/>
      <c r="D1298" s="398"/>
      <c r="E1298" s="388"/>
      <c r="F1298" s="388"/>
      <c r="G1298" s="388"/>
      <c r="H1298" s="395"/>
      <c r="I1298" s="388"/>
      <c r="J1298" s="399"/>
      <c r="K1298" s="400"/>
      <c r="L1298" s="399"/>
      <c r="M1298" s="399"/>
      <c r="N1298" s="399"/>
      <c r="O1298" s="399"/>
      <c r="P1298" s="389"/>
      <c r="Q1298" s="399"/>
      <c r="R1298" s="399"/>
      <c r="S1298" s="399"/>
      <c r="T1298" s="399"/>
      <c r="U1298" s="401"/>
      <c r="V1298" s="399"/>
      <c r="W1298" s="399"/>
      <c r="X1298" s="399"/>
      <c r="Y1298" s="389"/>
      <c r="Z1298" s="400"/>
      <c r="AA1298" s="402"/>
      <c r="AB1298" s="403"/>
    </row>
    <row r="1299" spans="1:28">
      <c r="A1299" s="384"/>
      <c r="B1299" s="385"/>
      <c r="C1299" s="393"/>
      <c r="D1299" s="398"/>
      <c r="E1299" s="388"/>
      <c r="F1299" s="388"/>
      <c r="G1299" s="388"/>
      <c r="H1299" s="395"/>
      <c r="I1299" s="388"/>
      <c r="J1299" s="396"/>
      <c r="K1299" s="396"/>
      <c r="L1299" s="396"/>
      <c r="M1299" s="396"/>
      <c r="N1299" s="396"/>
      <c r="O1299" s="396"/>
      <c r="P1299" s="389"/>
      <c r="Q1299" s="396"/>
      <c r="R1299" s="396"/>
      <c r="S1299" s="396"/>
      <c r="T1299" s="396"/>
      <c r="U1299" s="401"/>
      <c r="V1299" s="396"/>
      <c r="W1299" s="399"/>
      <c r="X1299" s="396"/>
      <c r="Y1299" s="389"/>
      <c r="Z1299" s="396"/>
      <c r="AA1299" s="388"/>
      <c r="AB1299" s="390"/>
    </row>
    <row r="1300" spans="1:28">
      <c r="A1300" s="384" t="str">
        <f t="shared" ref="A1300:B1300" si="4116">A1285</f>
        <v>Lantai 1</v>
      </c>
      <c r="B1300" s="385">
        <f t="shared" si="4116"/>
        <v>42</v>
      </c>
      <c r="C1300" s="393" t="s">
        <v>209</v>
      </c>
      <c r="D1300" s="398">
        <f>VLOOKUP(D1285,'Detail Balok'!$C$10:$AU$140,22,FALSE)</f>
        <v>3</v>
      </c>
      <c r="E1300" s="388" t="s">
        <v>16</v>
      </c>
      <c r="F1300" s="388">
        <f>VLOOKUP(D1285,'Detail Balok'!$C$10:$AU$140,24,FALSE)</f>
        <v>16</v>
      </c>
      <c r="G1300" s="388"/>
      <c r="H1300" s="395"/>
      <c r="I1300" s="388" t="s">
        <v>203</v>
      </c>
      <c r="J1300" s="399">
        <f t="shared" si="3923"/>
        <v>1.375</v>
      </c>
      <c r="K1300" s="400" t="s">
        <v>204</v>
      </c>
      <c r="L1300" s="399">
        <f t="shared" ref="L1300" si="4117">MAX(VLOOKUP(F1300,N$6:P$15,3,FALSE)/1000,2/3*D1290/1000)+F$16*F1300/1000</f>
        <v>0.192</v>
      </c>
      <c r="M1300" s="399" t="s">
        <v>176</v>
      </c>
      <c r="N1300" s="399">
        <f t="shared" ref="N1300:N1302" si="4118">J1300+L1300</f>
        <v>1.5669999999999999</v>
      </c>
      <c r="O1300" s="399" t="s">
        <v>204</v>
      </c>
      <c r="P1300" s="389">
        <f t="shared" ref="P1300" si="4119">D1300-D1301</f>
        <v>0</v>
      </c>
      <c r="Q1300" s="399" t="s">
        <v>125</v>
      </c>
      <c r="R1300" s="399">
        <f t="shared" ref="R1300" si="4120">IF(P1300&gt;0,$F$18*F1300/1000,0)</f>
        <v>0</v>
      </c>
      <c r="S1300" s="399" t="s">
        <v>205</v>
      </c>
      <c r="T1300" s="399" t="s">
        <v>125</v>
      </c>
      <c r="U1300" s="401">
        <f t="shared" ref="U1300:U1302" si="4121">0.006165*F1300^2</f>
        <v>1.5782400000000001</v>
      </c>
      <c r="V1300" s="399"/>
      <c r="W1300" s="399"/>
      <c r="X1300" s="399" t="s">
        <v>125</v>
      </c>
      <c r="Y1300" s="389">
        <f t="shared" ref="Y1300" si="4122">D1291</f>
        <v>1</v>
      </c>
      <c r="Z1300" s="400" t="s">
        <v>176</v>
      </c>
      <c r="AA1300" s="402">
        <f t="shared" ref="AA1300" si="4123">IF(AA1303=0,(D1300*N1300+P1300*R1300)*U1300*Y1300,0)</f>
        <v>0</v>
      </c>
      <c r="AB1300" s="403"/>
    </row>
    <row r="1301" spans="1:28">
      <c r="A1301" s="384" t="str">
        <f t="shared" ref="A1301:B1301" si="4124">A1285</f>
        <v>Lantai 1</v>
      </c>
      <c r="B1301" s="385">
        <f t="shared" si="4124"/>
        <v>42</v>
      </c>
      <c r="C1301" s="393" t="s">
        <v>210</v>
      </c>
      <c r="D1301" s="398">
        <f>VLOOKUP(D1285,'Detail Balok'!$C$10:$AU$140,25,FALSE)</f>
        <v>3</v>
      </c>
      <c r="E1301" s="388" t="s">
        <v>16</v>
      </c>
      <c r="F1301" s="388">
        <f>VLOOKUP(D1285,'Detail Balok'!$C$10:$AU$140,27,FALSE)</f>
        <v>16</v>
      </c>
      <c r="G1301" s="388"/>
      <c r="H1301" s="395"/>
      <c r="I1301" s="388" t="s">
        <v>203</v>
      </c>
      <c r="J1301" s="399">
        <f t="shared" si="3923"/>
        <v>2.75</v>
      </c>
      <c r="K1301" s="400" t="s">
        <v>204</v>
      </c>
      <c r="L1301" s="399"/>
      <c r="M1301" s="399" t="s">
        <v>176</v>
      </c>
      <c r="N1301" s="399">
        <f t="shared" si="4118"/>
        <v>2.75</v>
      </c>
      <c r="O1301" s="399" t="s">
        <v>204</v>
      </c>
      <c r="P1301" s="389">
        <f t="shared" ref="P1301" si="4125">MAX(D1301-D1300,D1301-D1302)</f>
        <v>0</v>
      </c>
      <c r="Q1301" s="399" t="s">
        <v>125</v>
      </c>
      <c r="R1301" s="399">
        <f t="shared" ref="R1301" si="4126">IF(P1301&gt;0,2*(1-2*$F$19-1/2)*D1288/1000,0)</f>
        <v>0</v>
      </c>
      <c r="S1301" s="399" t="s">
        <v>205</v>
      </c>
      <c r="T1301" s="399" t="s">
        <v>125</v>
      </c>
      <c r="U1301" s="401">
        <f t="shared" si="4121"/>
        <v>1.5782400000000001</v>
      </c>
      <c r="V1301" s="399"/>
      <c r="W1301" s="399"/>
      <c r="X1301" s="399" t="s">
        <v>125</v>
      </c>
      <c r="Y1301" s="389">
        <f t="shared" ref="Y1301" si="4127">D1291</f>
        <v>1</v>
      </c>
      <c r="Z1301" s="400" t="s">
        <v>176</v>
      </c>
      <c r="AA1301" s="402">
        <f t="shared" ref="AA1301" si="4128">IF(AA1303=0,(D1301*N1301+P1301*R1301)*U1301*Y1301,0)</f>
        <v>0</v>
      </c>
      <c r="AB1301" s="403"/>
    </row>
    <row r="1302" spans="1:28">
      <c r="A1302" s="384" t="str">
        <f t="shared" ref="A1302:B1302" si="4129">A1285</f>
        <v>Lantai 1</v>
      </c>
      <c r="B1302" s="385">
        <f t="shared" si="4129"/>
        <v>42</v>
      </c>
      <c r="C1302" s="393" t="s">
        <v>209</v>
      </c>
      <c r="D1302" s="398">
        <f>VLOOKUP(D1285,'Detail Balok'!$C$10:$AU$140,28,FALSE)</f>
        <v>3</v>
      </c>
      <c r="E1302" s="388" t="s">
        <v>16</v>
      </c>
      <c r="F1302" s="388">
        <f>VLOOKUP(D1285,'Detail Balok'!$C$10:$AU$140,30,FALSE)</f>
        <v>16</v>
      </c>
      <c r="G1302" s="388"/>
      <c r="H1302" s="395"/>
      <c r="I1302" s="388" t="s">
        <v>203</v>
      </c>
      <c r="J1302" s="399">
        <f t="shared" si="3923"/>
        <v>1.375</v>
      </c>
      <c r="K1302" s="400" t="s">
        <v>204</v>
      </c>
      <c r="L1302" s="399">
        <f t="shared" ref="L1302" si="4130">MAX(VLOOKUP(F1302,N$6:P$15,3,FALSE)/1000,2/3*D1290/1000)+F$16*F1302/1000</f>
        <v>0.192</v>
      </c>
      <c r="M1302" s="399" t="s">
        <v>176</v>
      </c>
      <c r="N1302" s="399">
        <f t="shared" si="4118"/>
        <v>1.5669999999999999</v>
      </c>
      <c r="O1302" s="399" t="s">
        <v>204</v>
      </c>
      <c r="P1302" s="389">
        <f t="shared" ref="P1302" si="4131">D1302-D1301</f>
        <v>0</v>
      </c>
      <c r="Q1302" s="399" t="s">
        <v>125</v>
      </c>
      <c r="R1302" s="399">
        <f t="shared" ref="R1302" si="4132">IF(P1302&gt;0,$F$18*F1302/1000,0)</f>
        <v>0</v>
      </c>
      <c r="S1302" s="399" t="s">
        <v>205</v>
      </c>
      <c r="T1302" s="399" t="s">
        <v>125</v>
      </c>
      <c r="U1302" s="401">
        <f t="shared" si="4121"/>
        <v>1.5782400000000001</v>
      </c>
      <c r="V1302" s="399"/>
      <c r="W1302" s="399"/>
      <c r="X1302" s="399" t="s">
        <v>125</v>
      </c>
      <c r="Y1302" s="389">
        <f t="shared" ref="Y1302" si="4133">D1291</f>
        <v>1</v>
      </c>
      <c r="Z1302" s="400" t="s">
        <v>176</v>
      </c>
      <c r="AA1302" s="402">
        <f t="shared" ref="AA1302" si="4134">IF(AA1303=0,(D1302*N1302+P1302*R1302)*U1302*Y1302,0)</f>
        <v>0</v>
      </c>
      <c r="AB1302" s="403"/>
    </row>
    <row r="1303" spans="1:28">
      <c r="A1303" s="384" t="str">
        <f t="shared" ref="A1303:B1303" si="4135">A1285</f>
        <v>Lantai 1</v>
      </c>
      <c r="B1303" s="385">
        <f t="shared" si="4135"/>
        <v>42</v>
      </c>
      <c r="C1303" s="393"/>
      <c r="D1303" s="398">
        <f t="shared" si="3943"/>
        <v>3</v>
      </c>
      <c r="E1303" s="388" t="s">
        <v>16</v>
      </c>
      <c r="F1303" s="388">
        <f t="shared" si="3944"/>
        <v>16</v>
      </c>
      <c r="G1303" s="388"/>
      <c r="H1303" s="395"/>
      <c r="I1303" s="388"/>
      <c r="J1303" s="396"/>
      <c r="K1303" s="396"/>
      <c r="L1303" s="404" t="s">
        <v>207</v>
      </c>
      <c r="M1303" s="399" t="s">
        <v>176</v>
      </c>
      <c r="N1303" s="399">
        <f t="shared" ref="N1303" si="4136">IF(AND(D1300=D1301,D1300=D1302,D1301=D1302,F1300=F1301,F1300=F1302,F1301=F1302),SUM(N1300:N1302),0)</f>
        <v>5.8840000000000003</v>
      </c>
      <c r="O1303" s="399" t="s">
        <v>204</v>
      </c>
      <c r="P1303" s="389">
        <f t="shared" ref="P1303" si="4137">IF(N1303&gt;12,ROUNDDOWN(N1303/12,0),0)</f>
        <v>0</v>
      </c>
      <c r="Q1303" s="399" t="s">
        <v>125</v>
      </c>
      <c r="R1303" s="399">
        <f t="shared" ref="R1303" si="4138">IF(P1303&gt;0,MAX(VLOOKUP(F1303,$D$6:$G$15,3,FALSE),600),0)/1000</f>
        <v>0</v>
      </c>
      <c r="S1303" s="396"/>
      <c r="T1303" s="396" t="s">
        <v>125</v>
      </c>
      <c r="U1303" s="401">
        <f t="shared" si="3948"/>
        <v>1.5782400000000001</v>
      </c>
      <c r="V1303" s="396" t="s">
        <v>125</v>
      </c>
      <c r="W1303" s="399">
        <f t="shared" ref="W1303" si="4139">D1303</f>
        <v>3</v>
      </c>
      <c r="X1303" s="399" t="s">
        <v>125</v>
      </c>
      <c r="Y1303" s="389">
        <f t="shared" si="3950"/>
        <v>1</v>
      </c>
      <c r="Z1303" s="400" t="s">
        <v>176</v>
      </c>
      <c r="AA1303" s="402">
        <f t="shared" ref="AA1303" si="4140">(N1303+P1303*R1303/1000)*U1303*W1303*Y1303</f>
        <v>27.859092480000005</v>
      </c>
      <c r="AB1303" s="403"/>
    </row>
    <row r="1304" spans="1:28">
      <c r="A1304" s="384"/>
      <c r="B1304" s="385"/>
      <c r="C1304" s="393"/>
      <c r="D1304" s="394"/>
      <c r="E1304" s="388"/>
      <c r="F1304" s="388"/>
      <c r="G1304" s="388"/>
      <c r="H1304" s="395"/>
      <c r="I1304" s="388"/>
      <c r="J1304" s="399"/>
      <c r="K1304" s="396"/>
      <c r="L1304" s="396"/>
      <c r="M1304" s="396"/>
      <c r="N1304" s="396"/>
      <c r="O1304" s="396"/>
      <c r="P1304" s="389"/>
      <c r="Q1304" s="396"/>
      <c r="R1304" s="396"/>
      <c r="S1304" s="396"/>
      <c r="T1304" s="396"/>
      <c r="U1304" s="401"/>
      <c r="V1304" s="396"/>
      <c r="W1304" s="388"/>
      <c r="X1304" s="396"/>
      <c r="Y1304" s="389"/>
      <c r="Z1304" s="396"/>
      <c r="AA1304" s="388"/>
      <c r="AB1304" s="390"/>
    </row>
    <row r="1305" spans="1:28">
      <c r="A1305" s="384" t="str">
        <f t="shared" ref="A1305:B1305" si="4141">A1285</f>
        <v>Lantai 1</v>
      </c>
      <c r="B1305" s="385">
        <f t="shared" si="4141"/>
        <v>42</v>
      </c>
      <c r="C1305" s="393" t="s">
        <v>211</v>
      </c>
      <c r="D1305" s="398">
        <f>VLOOKUP(D1285,'Detail Balok'!$C$10:$AU$140,31,FALSE)</f>
        <v>0</v>
      </c>
      <c r="E1305" s="388" t="s">
        <v>16</v>
      </c>
      <c r="F1305" s="388">
        <f>VLOOKUP(D1285,'Detail Balok'!$C$10:$AU$140,33,FALSE)</f>
        <v>8</v>
      </c>
      <c r="G1305" s="405" t="s">
        <v>157</v>
      </c>
      <c r="H1305" s="395">
        <f>VLOOKUP(D1285,'Detail Balok'!$C$10:$AU$140,35,FALSE)</f>
        <v>150</v>
      </c>
      <c r="I1305" s="388"/>
      <c r="J1305" s="400">
        <f t="shared" ref="J1305" si="4142">(IF(D1305=0,(2*(D1286+G1286))-(F$5*8),IF(D1305=3,(2*(D1286+G1286))-(F$5*8)+(G1286-2*F$5),IF(D1305=4,(2*(D1286+G1286))-(F$5*8)+2*(G1286-2*F$5)))))/1000</f>
        <v>1.08</v>
      </c>
      <c r="K1305" s="400" t="s">
        <v>204</v>
      </c>
      <c r="L1305" s="399">
        <f t="shared" ref="L1305:L1307" si="4143">IF(D1305=0,2*MAX(6*F1305,75),(D1305-1)*2*MAX(6*F1305,75))/1000</f>
        <v>0.15</v>
      </c>
      <c r="M1305" s="399" t="s">
        <v>176</v>
      </c>
      <c r="N1305" s="399">
        <f t="shared" ref="N1305:N1307" si="4144">J1305+L1305</f>
        <v>1.23</v>
      </c>
      <c r="O1305" s="399"/>
      <c r="P1305" s="389"/>
      <c r="Q1305" s="399"/>
      <c r="R1305" s="399"/>
      <c r="S1305" s="399"/>
      <c r="T1305" s="399" t="s">
        <v>125</v>
      </c>
      <c r="U1305" s="401">
        <f t="shared" ref="U1305:U1307" si="4145">0.006165*F1305^2</f>
        <v>0.39456000000000002</v>
      </c>
      <c r="V1305" s="399" t="s">
        <v>125</v>
      </c>
      <c r="W1305" s="399">
        <f t="shared" ref="W1305" si="4146">IF(D1288&gt;4*G1286,ROUND(MAX(D1288/4,2*G1286)/H1305,0)+1,ROUND(D1288/H1305,0)+1)</f>
        <v>10</v>
      </c>
      <c r="X1305" s="399" t="s">
        <v>125</v>
      </c>
      <c r="Y1305" s="389">
        <f t="shared" ref="Y1305" si="4147">D1291</f>
        <v>1</v>
      </c>
      <c r="Z1305" s="400" t="s">
        <v>176</v>
      </c>
      <c r="AA1305" s="402">
        <f t="shared" ref="AA1305:AA1307" si="4148">N1305*U1305*W1305*Y1305</f>
        <v>4.8530880000000005</v>
      </c>
      <c r="AB1305" s="403"/>
    </row>
    <row r="1306" spans="1:28">
      <c r="A1306" s="384" t="str">
        <f t="shared" ref="A1306:B1306" si="4149">A1285</f>
        <v>Lantai 1</v>
      </c>
      <c r="B1306" s="385">
        <f t="shared" si="4149"/>
        <v>42</v>
      </c>
      <c r="C1306" s="393" t="s">
        <v>212</v>
      </c>
      <c r="D1306" s="398">
        <f>VLOOKUP(D1285,'Detail Balok'!$C$10:$AU$140,36,FALSE)</f>
        <v>0</v>
      </c>
      <c r="E1306" s="388" t="s">
        <v>16</v>
      </c>
      <c r="F1306" s="388">
        <f>VLOOKUP(D1285,'Detail Balok'!$C$10:$AU$140,38,FALSE)</f>
        <v>8</v>
      </c>
      <c r="G1306" s="405" t="s">
        <v>157</v>
      </c>
      <c r="H1306" s="395">
        <f>VLOOKUP(D1285,'Detail Balok'!$C$10:$AU$140,40,FALSE)</f>
        <v>200</v>
      </c>
      <c r="I1306" s="388"/>
      <c r="J1306" s="400">
        <f t="shared" ref="J1306" si="4150">(IF(D1306=0,(2*(D1286+G1286))-(F$5*8),IF(D1306=3,(2*(D1286+G1286))-(F$5*8)+(G1286-2*F$5),IF(D1306=4,(2*(D1286+G1286))-(F$5*8)+2*(G1286-2*F$5)))))/1000</f>
        <v>1.08</v>
      </c>
      <c r="K1306" s="400" t="s">
        <v>204</v>
      </c>
      <c r="L1306" s="399">
        <f t="shared" si="4143"/>
        <v>0.15</v>
      </c>
      <c r="M1306" s="399" t="s">
        <v>176</v>
      </c>
      <c r="N1306" s="399">
        <f t="shared" si="4144"/>
        <v>1.23</v>
      </c>
      <c r="O1306" s="399"/>
      <c r="P1306" s="389"/>
      <c r="Q1306" s="399"/>
      <c r="R1306" s="399"/>
      <c r="S1306" s="399"/>
      <c r="T1306" s="399" t="s">
        <v>125</v>
      </c>
      <c r="U1306" s="401">
        <f t="shared" si="4145"/>
        <v>0.39456000000000002</v>
      </c>
      <c r="V1306" s="399" t="s">
        <v>125</v>
      </c>
      <c r="W1306" s="399">
        <f t="shared" ref="W1306" si="4151">IF(D1288-MAX(D1288/4,2*G1286)*2&gt;0,ROUND((D1288-MAX(D1288/4,2*G1286)*2)/H1306,0),0)</f>
        <v>14</v>
      </c>
      <c r="X1306" s="399" t="s">
        <v>125</v>
      </c>
      <c r="Y1306" s="389">
        <f t="shared" ref="Y1306" si="4152">D1291</f>
        <v>1</v>
      </c>
      <c r="Z1306" s="400" t="s">
        <v>176</v>
      </c>
      <c r="AA1306" s="402">
        <f t="shared" si="4148"/>
        <v>6.7943232000000009</v>
      </c>
      <c r="AB1306" s="403"/>
    </row>
    <row r="1307" spans="1:28">
      <c r="A1307" s="384" t="str">
        <f t="shared" ref="A1307:B1307" si="4153">A1285</f>
        <v>Lantai 1</v>
      </c>
      <c r="B1307" s="385">
        <f t="shared" si="4153"/>
        <v>42</v>
      </c>
      <c r="C1307" s="393" t="s">
        <v>211</v>
      </c>
      <c r="D1307" s="398">
        <f>VLOOKUP(D1285,'Detail Balok'!$C$10:$AU$140,41,FALSE)</f>
        <v>0</v>
      </c>
      <c r="E1307" s="388" t="s">
        <v>16</v>
      </c>
      <c r="F1307" s="388">
        <f>VLOOKUP(D1285,'Detail Balok'!$C$10:$AU$140,43,FALSE)</f>
        <v>8</v>
      </c>
      <c r="G1307" s="405" t="s">
        <v>157</v>
      </c>
      <c r="H1307" s="395">
        <f>VLOOKUP(D1285,'Detail Balok'!$C$10:$AU$140,45,FALSE)</f>
        <v>150</v>
      </c>
      <c r="I1307" s="388"/>
      <c r="J1307" s="400">
        <f t="shared" ref="J1307" si="4154">(IF(D1307=0,(2*(D1286+G1286))-(F$5*8),IF(D1307=3,(2*(D1286+G1286))-(F$5*8)+(G1286-2*F$5),IF(D1307=4,(2*(D1286+G1286))-(F$5*8)+2*(G1286-2*F$5)))))/1000</f>
        <v>1.08</v>
      </c>
      <c r="K1307" s="400" t="s">
        <v>204</v>
      </c>
      <c r="L1307" s="399">
        <f t="shared" si="4143"/>
        <v>0.15</v>
      </c>
      <c r="M1307" s="399" t="s">
        <v>176</v>
      </c>
      <c r="N1307" s="399">
        <f t="shared" si="4144"/>
        <v>1.23</v>
      </c>
      <c r="O1307" s="399"/>
      <c r="P1307" s="389"/>
      <c r="Q1307" s="399"/>
      <c r="R1307" s="399"/>
      <c r="S1307" s="399"/>
      <c r="T1307" s="399" t="s">
        <v>125</v>
      </c>
      <c r="U1307" s="401">
        <f t="shared" si="4145"/>
        <v>0.39456000000000002</v>
      </c>
      <c r="V1307" s="399" t="s">
        <v>125</v>
      </c>
      <c r="W1307" s="399">
        <f t="shared" ref="W1307" si="4155">IF(D1288&gt;4*G1286,ROUND(MAX(D1288/4,2*G1286)/H1307,0)+1,0)</f>
        <v>10</v>
      </c>
      <c r="X1307" s="399" t="s">
        <v>125</v>
      </c>
      <c r="Y1307" s="389">
        <f t="shared" ref="Y1307" si="4156">D1291</f>
        <v>1</v>
      </c>
      <c r="Z1307" s="400" t="s">
        <v>176</v>
      </c>
      <c r="AA1307" s="402">
        <f t="shared" si="4148"/>
        <v>4.8530880000000005</v>
      </c>
      <c r="AB1307" s="403"/>
    </row>
    <row r="1308" spans="1:28">
      <c r="A1308" s="384"/>
      <c r="B1308" s="385"/>
      <c r="C1308" s="393"/>
      <c r="D1308" s="394"/>
      <c r="E1308" s="388"/>
      <c r="F1308" s="388"/>
      <c r="G1308" s="388"/>
      <c r="H1308" s="395"/>
      <c r="I1308" s="388"/>
      <c r="J1308" s="399"/>
      <c r="K1308" s="396"/>
      <c r="L1308" s="396"/>
      <c r="M1308" s="396"/>
      <c r="N1308" s="396"/>
      <c r="O1308" s="396"/>
      <c r="P1308" s="389"/>
      <c r="Q1308" s="396"/>
      <c r="R1308" s="396"/>
      <c r="S1308" s="396"/>
      <c r="T1308" s="396"/>
      <c r="U1308" s="401"/>
      <c r="V1308" s="396"/>
      <c r="W1308" s="388"/>
      <c r="X1308" s="396"/>
      <c r="Y1308" s="389"/>
      <c r="Z1308" s="396"/>
      <c r="AA1308" s="388"/>
      <c r="AB1308" s="390"/>
    </row>
    <row r="1309" spans="1:28">
      <c r="A1309" s="384" t="str">
        <f t="shared" ref="A1309:B1309" si="4157">A1285</f>
        <v>Lantai 1</v>
      </c>
      <c r="B1309" s="385">
        <f t="shared" si="4157"/>
        <v>42</v>
      </c>
      <c r="C1309" s="393" t="s">
        <v>213</v>
      </c>
      <c r="D1309" s="398">
        <f>VLOOKUP(D1285,'Detail Balok'!$C$10:$BJ$140,46,FALSE)</f>
        <v>0</v>
      </c>
      <c r="E1309" s="388" t="s">
        <v>16</v>
      </c>
      <c r="F1309" s="388">
        <f>VLOOKUP(D1285,'Detail Balok'!$C$10:$BJ$140,48,FALSE)</f>
        <v>0</v>
      </c>
      <c r="G1309" s="405" t="s">
        <v>157</v>
      </c>
      <c r="H1309" s="395">
        <f>VLOOKUP(D1285,'Detail Balok'!$C$10:$BJ$140,50,FALSE)</f>
        <v>100</v>
      </c>
      <c r="I1309" s="388"/>
      <c r="J1309" s="399">
        <f t="shared" ref="J1309" si="4158">(D1286-2*F$5)/1000</f>
        <v>0.12</v>
      </c>
      <c r="K1309" s="400" t="s">
        <v>204</v>
      </c>
      <c r="L1309" s="399">
        <f t="shared" ref="L1309:L1311" si="4159">IF(D1309=0,2*MAX(6*F1309,75),(D1309-1)*2*MAX(6*F1309,75))/1000</f>
        <v>0.15</v>
      </c>
      <c r="M1309" s="399" t="s">
        <v>176</v>
      </c>
      <c r="N1309" s="399">
        <f t="shared" ref="N1309:N1311" si="4160">J1309+L1309</f>
        <v>0.27</v>
      </c>
      <c r="O1309" s="399"/>
      <c r="P1309" s="399"/>
      <c r="Q1309" s="399"/>
      <c r="R1309" s="399"/>
      <c r="S1309" s="399"/>
      <c r="T1309" s="399" t="s">
        <v>125</v>
      </c>
      <c r="U1309" s="401">
        <f t="shared" ref="U1309:U1311" si="4161">0.006165*F1309^2</f>
        <v>0</v>
      </c>
      <c r="V1309" s="399" t="s">
        <v>125</v>
      </c>
      <c r="W1309" s="399">
        <f t="shared" si="3973"/>
        <v>10</v>
      </c>
      <c r="X1309" s="399" t="s">
        <v>125</v>
      </c>
      <c r="Y1309" s="389">
        <f t="shared" ref="Y1309" si="4162">D1295</f>
        <v>3</v>
      </c>
      <c r="Z1309" s="400" t="s">
        <v>176</v>
      </c>
      <c r="AA1309" s="402">
        <f t="shared" ref="AA1309:AA1311" si="4163">N1309*U1309*W1309*Y1309</f>
        <v>0</v>
      </c>
      <c r="AB1309" s="403"/>
    </row>
    <row r="1310" spans="1:28">
      <c r="A1310" s="384" t="str">
        <f t="shared" ref="A1310:B1310" si="4164">A1285</f>
        <v>Lantai 1</v>
      </c>
      <c r="B1310" s="385">
        <f t="shared" si="4164"/>
        <v>42</v>
      </c>
      <c r="C1310" s="393" t="s">
        <v>214</v>
      </c>
      <c r="D1310" s="398">
        <f>VLOOKUP(D1285,'Detail Balok'!$C$10:$BJ$140,51,FALSE)</f>
        <v>0</v>
      </c>
      <c r="E1310" s="388" t="s">
        <v>16</v>
      </c>
      <c r="F1310" s="388">
        <f>VLOOKUP(D1285,'Detail Balok'!$C$10:$BJ$140,53,FALSE)</f>
        <v>0</v>
      </c>
      <c r="G1310" s="405" t="s">
        <v>157</v>
      </c>
      <c r="H1310" s="395">
        <f>VLOOKUP(D1285,'Detail Balok'!$C$10:$BJ$140,55,FALSE)</f>
        <v>100</v>
      </c>
      <c r="I1310" s="388"/>
      <c r="J1310" s="399">
        <f t="shared" ref="J1310" si="4165">(D1286-2*F$5)/1000</f>
        <v>0.12</v>
      </c>
      <c r="K1310" s="400" t="s">
        <v>204</v>
      </c>
      <c r="L1310" s="399">
        <f t="shared" si="4159"/>
        <v>0.15</v>
      </c>
      <c r="M1310" s="399" t="s">
        <v>176</v>
      </c>
      <c r="N1310" s="399">
        <f t="shared" si="4160"/>
        <v>0.27</v>
      </c>
      <c r="O1310" s="399"/>
      <c r="P1310" s="399"/>
      <c r="Q1310" s="399"/>
      <c r="R1310" s="399"/>
      <c r="S1310" s="399"/>
      <c r="T1310" s="399" t="s">
        <v>125</v>
      </c>
      <c r="U1310" s="401">
        <f t="shared" si="4161"/>
        <v>0</v>
      </c>
      <c r="V1310" s="399" t="s">
        <v>125</v>
      </c>
      <c r="W1310" s="399">
        <f t="shared" si="3973"/>
        <v>14</v>
      </c>
      <c r="X1310" s="399" t="s">
        <v>125</v>
      </c>
      <c r="Y1310" s="389">
        <f t="shared" ref="Y1310" si="4166">D1295</f>
        <v>3</v>
      </c>
      <c r="Z1310" s="400" t="s">
        <v>176</v>
      </c>
      <c r="AA1310" s="402">
        <f t="shared" si="4163"/>
        <v>0</v>
      </c>
      <c r="AB1310" s="403"/>
    </row>
    <row r="1311" spans="1:28">
      <c r="A1311" s="384" t="str">
        <f t="shared" ref="A1311:B1311" si="4167">A1285</f>
        <v>Lantai 1</v>
      </c>
      <c r="B1311" s="385">
        <f t="shared" si="4167"/>
        <v>42</v>
      </c>
      <c r="C1311" s="393" t="s">
        <v>213</v>
      </c>
      <c r="D1311" s="398">
        <f>VLOOKUP(D1285,'Detail Balok'!$C$10:$BJ$140,56,FALSE)</f>
        <v>0</v>
      </c>
      <c r="E1311" s="388" t="s">
        <v>16</v>
      </c>
      <c r="F1311" s="388">
        <f>VLOOKUP(D1285,'Detail Balok'!$C$10:$BJ$140,58,FALSE)</f>
        <v>0</v>
      </c>
      <c r="G1311" s="405" t="s">
        <v>157</v>
      </c>
      <c r="H1311" s="395">
        <f>VLOOKUP(D1285,'Detail Balok'!$C$10:$BJ$140,60,FALSE)</f>
        <v>100</v>
      </c>
      <c r="I1311" s="388"/>
      <c r="J1311" s="399">
        <f t="shared" ref="J1311" si="4168">(D1286-2*F$5)/1000</f>
        <v>0.12</v>
      </c>
      <c r="K1311" s="400" t="s">
        <v>204</v>
      </c>
      <c r="L1311" s="399">
        <f t="shared" si="4159"/>
        <v>0.15</v>
      </c>
      <c r="M1311" s="399" t="s">
        <v>176</v>
      </c>
      <c r="N1311" s="399">
        <f t="shared" si="4160"/>
        <v>0.27</v>
      </c>
      <c r="O1311" s="399"/>
      <c r="P1311" s="399"/>
      <c r="Q1311" s="399"/>
      <c r="R1311" s="399"/>
      <c r="S1311" s="399"/>
      <c r="T1311" s="399" t="s">
        <v>125</v>
      </c>
      <c r="U1311" s="401">
        <f t="shared" si="4161"/>
        <v>0</v>
      </c>
      <c r="V1311" s="399" t="s">
        <v>125</v>
      </c>
      <c r="W1311" s="399">
        <f t="shared" si="3973"/>
        <v>10</v>
      </c>
      <c r="X1311" s="399" t="s">
        <v>125</v>
      </c>
      <c r="Y1311" s="389">
        <f t="shared" ref="Y1311" si="4169">D1295</f>
        <v>3</v>
      </c>
      <c r="Z1311" s="400" t="s">
        <v>176</v>
      </c>
      <c r="AA1311" s="402">
        <f t="shared" si="4163"/>
        <v>0</v>
      </c>
      <c r="AB1311" s="403"/>
    </row>
    <row r="1312" spans="1:28">
      <c r="A1312" s="391"/>
      <c r="B1312" s="392"/>
      <c r="C1312" s="392"/>
      <c r="D1312" s="394"/>
      <c r="E1312" s="388"/>
      <c r="F1312" s="388"/>
      <c r="G1312" s="388"/>
      <c r="H1312" s="395"/>
      <c r="I1312" s="388"/>
      <c r="J1312" s="402"/>
      <c r="K1312" s="388"/>
      <c r="L1312" s="388"/>
      <c r="M1312" s="388"/>
      <c r="N1312" s="388"/>
      <c r="O1312" s="388"/>
      <c r="P1312" s="388"/>
      <c r="Q1312" s="388"/>
      <c r="R1312" s="388"/>
      <c r="S1312" s="388"/>
      <c r="T1312" s="388"/>
      <c r="U1312" s="388"/>
      <c r="V1312" s="388"/>
      <c r="W1312" s="388"/>
      <c r="X1312" s="388"/>
      <c r="Y1312" s="389"/>
      <c r="Z1312" s="388"/>
      <c r="AA1312" s="402"/>
      <c r="AB1312" s="403"/>
    </row>
    <row r="1313" spans="1:28" ht="15.75" thickBot="1">
      <c r="A1313" s="406"/>
      <c r="B1313" s="407"/>
      <c r="C1313" s="407"/>
      <c r="D1313" s="408"/>
      <c r="E1313" s="409"/>
      <c r="F1313" s="409"/>
      <c r="G1313" s="409"/>
      <c r="H1313" s="410"/>
      <c r="I1313" s="409"/>
      <c r="J1313" s="409"/>
      <c r="K1313" s="409"/>
      <c r="L1313" s="409"/>
      <c r="M1313" s="409"/>
      <c r="N1313" s="409"/>
      <c r="O1313" s="409"/>
      <c r="P1313" s="409"/>
      <c r="Q1313" s="409"/>
      <c r="R1313" s="409"/>
      <c r="S1313" s="409"/>
      <c r="T1313" s="409"/>
      <c r="U1313" s="409"/>
      <c r="V1313" s="409"/>
      <c r="W1313" s="409"/>
      <c r="X1313" s="409"/>
      <c r="Y1313" s="411"/>
      <c r="Z1313" s="409"/>
      <c r="AA1313" s="412"/>
      <c r="AB1313" s="413"/>
    </row>
    <row r="1314" spans="1:28">
      <c r="A1314" s="377"/>
      <c r="B1314" s="378"/>
      <c r="C1314" s="378"/>
      <c r="D1314" s="379"/>
      <c r="E1314" s="380"/>
      <c r="F1314" s="380"/>
      <c r="G1314" s="380"/>
      <c r="H1314" s="381"/>
      <c r="I1314" s="380"/>
      <c r="J1314" s="380"/>
      <c r="K1314" s="380"/>
      <c r="L1314" s="380"/>
      <c r="M1314" s="380"/>
      <c r="N1314" s="380"/>
      <c r="O1314" s="380"/>
      <c r="P1314" s="380"/>
      <c r="Q1314" s="380"/>
      <c r="R1314" s="380"/>
      <c r="S1314" s="380"/>
      <c r="T1314" s="380"/>
      <c r="U1314" s="380"/>
      <c r="V1314" s="380"/>
      <c r="W1314" s="380"/>
      <c r="X1314" s="380"/>
      <c r="Y1314" s="382"/>
      <c r="Z1314" s="380"/>
      <c r="AA1314" s="380"/>
      <c r="AB1314" s="383"/>
    </row>
    <row r="1315" spans="1:28">
      <c r="A1315" s="384" t="str">
        <f t="shared" si="3982"/>
        <v>Lantai 1</v>
      </c>
      <c r="B1315" s="385">
        <f t="shared" si="3983"/>
        <v>43</v>
      </c>
      <c r="C1315" s="386" t="str">
        <f t="shared" ref="C1315" si="4170">CONCATENATE(A1315," no. ",B1315)</f>
        <v>Lantai 1 no. 43</v>
      </c>
      <c r="D1315" s="2562" t="str">
        <f>VLOOKUP(C1315,'Data Panjang Balok'!$C$9:$N$254,2,FALSE)</f>
        <v>S25-1</v>
      </c>
      <c r="E1315" s="2576"/>
      <c r="F1315" s="2576"/>
      <c r="G1315" s="2576"/>
      <c r="H1315" s="2577"/>
      <c r="I1315" s="387"/>
      <c r="J1315" s="388"/>
      <c r="K1315" s="388"/>
      <c r="L1315" s="388"/>
      <c r="M1315" s="388"/>
      <c r="N1315" s="388"/>
      <c r="O1315" s="388"/>
      <c r="P1315" s="388"/>
      <c r="Q1315" s="388"/>
      <c r="R1315" s="388"/>
      <c r="S1315" s="388"/>
      <c r="T1315" s="388"/>
      <c r="U1315" s="388"/>
      <c r="V1315" s="388"/>
      <c r="W1315" s="388"/>
      <c r="X1315" s="388"/>
      <c r="Y1315" s="389"/>
      <c r="Z1315" s="388"/>
      <c r="AA1315" s="388"/>
      <c r="AB1315" s="390"/>
    </row>
    <row r="1316" spans="1:28">
      <c r="A1316" s="391"/>
      <c r="B1316" s="392"/>
      <c r="C1316" s="393" t="s">
        <v>118</v>
      </c>
      <c r="D1316" s="2578">
        <f>VLOOKUP(D1315,'Detail Balok'!$C$10:$AU$140,2,FALSE)</f>
        <v>200</v>
      </c>
      <c r="E1316" s="2579"/>
      <c r="F1316" s="388" t="s">
        <v>125</v>
      </c>
      <c r="G1316" s="2579">
        <f>VLOOKUP(D1315,'Detail Balok'!$C$10:$AU$140,3,FALSE)</f>
        <v>500</v>
      </c>
      <c r="H1316" s="2580"/>
      <c r="I1316" s="388"/>
      <c r="J1316" s="396"/>
      <c r="K1316" s="396"/>
      <c r="L1316" s="396"/>
      <c r="M1316" s="396"/>
      <c r="N1316" s="396"/>
      <c r="O1316" s="396"/>
      <c r="P1316" s="396"/>
      <c r="Q1316" s="396"/>
      <c r="R1316" s="396"/>
      <c r="S1316" s="396"/>
      <c r="T1316" s="396"/>
      <c r="U1316" s="388"/>
      <c r="V1316" s="396"/>
      <c r="W1316" s="388"/>
      <c r="X1316" s="396"/>
      <c r="Y1316" s="389"/>
      <c r="Z1316" s="396"/>
      <c r="AA1316" s="388"/>
      <c r="AB1316" s="390"/>
    </row>
    <row r="1317" spans="1:28">
      <c r="A1317" s="391"/>
      <c r="B1317" s="392"/>
      <c r="C1317" s="393" t="s">
        <v>198</v>
      </c>
      <c r="D1317" s="2562">
        <f>VLOOKUP(C1315,'Data Panjang Balok'!$C$9:$N$254,4,FALSE)</f>
        <v>5575</v>
      </c>
      <c r="E1317" s="2563"/>
      <c r="F1317" s="2563"/>
      <c r="G1317" s="2563"/>
      <c r="H1317" s="2564"/>
      <c r="I1317" s="397"/>
      <c r="J1317" s="396"/>
      <c r="K1317" s="396"/>
      <c r="L1317" s="396"/>
      <c r="M1317" s="396"/>
      <c r="N1317" s="396"/>
      <c r="O1317" s="396"/>
      <c r="P1317" s="396"/>
      <c r="Q1317" s="396"/>
      <c r="R1317" s="396"/>
      <c r="S1317" s="396"/>
      <c r="T1317" s="396"/>
      <c r="U1317" s="388"/>
      <c r="V1317" s="396"/>
      <c r="W1317" s="388"/>
      <c r="X1317" s="396"/>
      <c r="Y1317" s="389"/>
      <c r="Z1317" s="396"/>
      <c r="AA1317" s="388"/>
      <c r="AB1317" s="390"/>
    </row>
    <row r="1318" spans="1:28">
      <c r="A1318" s="391"/>
      <c r="B1318" s="392"/>
      <c r="C1318" s="393" t="s">
        <v>199</v>
      </c>
      <c r="D1318" s="2562">
        <f>VLOOKUP(C1315,'Data Panjang Balok'!$C$9:$N$254,7,FALSE)</f>
        <v>5575</v>
      </c>
      <c r="E1318" s="2563"/>
      <c r="F1318" s="2563"/>
      <c r="G1318" s="2563"/>
      <c r="H1318" s="2564"/>
      <c r="I1318" s="397"/>
      <c r="J1318" s="396"/>
      <c r="K1318" s="396"/>
      <c r="L1318" s="396"/>
      <c r="M1318" s="396"/>
      <c r="N1318" s="396"/>
      <c r="O1318" s="396"/>
      <c r="P1318" s="396"/>
      <c r="Q1318" s="396"/>
      <c r="R1318" s="396"/>
      <c r="S1318" s="396"/>
      <c r="T1318" s="396"/>
      <c r="U1318" s="388"/>
      <c r="V1318" s="396"/>
      <c r="W1318" s="388"/>
      <c r="X1318" s="396"/>
      <c r="Y1318" s="389"/>
      <c r="Z1318" s="396"/>
      <c r="AA1318" s="388"/>
      <c r="AB1318" s="390"/>
    </row>
    <row r="1319" spans="1:28">
      <c r="A1319" s="391"/>
      <c r="B1319" s="392"/>
      <c r="C1319" s="393" t="s">
        <v>200</v>
      </c>
      <c r="D1319" s="2562">
        <f>VLOOKUP(C1315,'Data Panjang Balok'!$C$9:$N$254,9,FALSE)</f>
        <v>0</v>
      </c>
      <c r="E1319" s="2563"/>
      <c r="F1319" s="2563"/>
      <c r="G1319" s="2563"/>
      <c r="H1319" s="2564"/>
      <c r="I1319" s="397"/>
      <c r="J1319" s="396"/>
      <c r="K1319" s="396"/>
      <c r="L1319" s="396"/>
      <c r="M1319" s="396"/>
      <c r="N1319" s="396"/>
      <c r="O1319" s="396"/>
      <c r="P1319" s="396"/>
      <c r="Q1319" s="396"/>
      <c r="R1319" s="396"/>
      <c r="S1319" s="396"/>
      <c r="T1319" s="396"/>
      <c r="U1319" s="388"/>
      <c r="V1319" s="396"/>
      <c r="W1319" s="388"/>
      <c r="X1319" s="396"/>
      <c r="Y1319" s="389"/>
      <c r="Z1319" s="396"/>
      <c r="AA1319" s="388"/>
      <c r="AB1319" s="390"/>
    </row>
    <row r="1320" spans="1:28">
      <c r="A1320" s="391"/>
      <c r="B1320" s="392"/>
      <c r="C1320" s="393" t="s">
        <v>201</v>
      </c>
      <c r="D1320" s="2562">
        <f>VLOOKUP(C1315,'Data Panjang Balok'!$C$9:$N$254,10,FALSE)</f>
        <v>0</v>
      </c>
      <c r="E1320" s="2563"/>
      <c r="F1320" s="2563"/>
      <c r="G1320" s="2563"/>
      <c r="H1320" s="2564"/>
      <c r="I1320" s="397"/>
      <c r="J1320" s="396"/>
      <c r="K1320" s="396"/>
      <c r="L1320" s="396"/>
      <c r="M1320" s="396"/>
      <c r="N1320" s="396"/>
      <c r="O1320" s="396"/>
      <c r="P1320" s="396"/>
      <c r="Q1320" s="396"/>
      <c r="R1320" s="396"/>
      <c r="S1320" s="396"/>
      <c r="T1320" s="396"/>
      <c r="U1320" s="388"/>
      <c r="V1320" s="396"/>
      <c r="W1320" s="388"/>
      <c r="X1320" s="396"/>
      <c r="Y1320" s="389"/>
      <c r="Z1320" s="396"/>
      <c r="AA1320" s="388"/>
      <c r="AB1320" s="390"/>
    </row>
    <row r="1321" spans="1:28">
      <c r="A1321" s="391"/>
      <c r="B1321" s="392"/>
      <c r="C1321" s="393" t="s">
        <v>48</v>
      </c>
      <c r="D1321" s="2562">
        <f>VLOOKUP(C1315,'Data Panjang Balok'!$C$9:$N$254,3,FALSE)</f>
        <v>1</v>
      </c>
      <c r="E1321" s="2563"/>
      <c r="F1321" s="2563"/>
      <c r="G1321" s="2563"/>
      <c r="H1321" s="2564"/>
      <c r="I1321" s="397"/>
      <c r="J1321" s="396"/>
      <c r="K1321" s="396"/>
      <c r="L1321" s="396"/>
      <c r="M1321" s="396"/>
      <c r="N1321" s="396"/>
      <c r="O1321" s="396"/>
      <c r="P1321" s="396"/>
      <c r="Q1321" s="396"/>
      <c r="R1321" s="396"/>
      <c r="S1321" s="396"/>
      <c r="T1321" s="396"/>
      <c r="U1321" s="388"/>
      <c r="V1321" s="396"/>
      <c r="W1321" s="388"/>
      <c r="X1321" s="396"/>
      <c r="Y1321" s="389"/>
      <c r="Z1321" s="396"/>
      <c r="AA1321" s="388"/>
      <c r="AB1321" s="390"/>
    </row>
    <row r="1322" spans="1:28">
      <c r="A1322" s="384" t="str">
        <f t="shared" ref="A1322:B1322" si="4171">A1315</f>
        <v>Lantai 1</v>
      </c>
      <c r="B1322" s="385">
        <f t="shared" si="4171"/>
        <v>43</v>
      </c>
      <c r="C1322" s="393" t="s">
        <v>202</v>
      </c>
      <c r="D1322" s="398">
        <f>VLOOKUP(D1315,'Detail Balok'!$C$10:$AU$140,4,FALSE)</f>
        <v>3</v>
      </c>
      <c r="E1322" s="388" t="s">
        <v>16</v>
      </c>
      <c r="F1322" s="388">
        <f>VLOOKUP(D1315,'Detail Balok'!$C$10:$AU$140,6,FALSE)</f>
        <v>16</v>
      </c>
      <c r="G1322" s="388"/>
      <c r="H1322" s="395"/>
      <c r="I1322" s="388" t="s">
        <v>203</v>
      </c>
      <c r="J1322" s="399">
        <f t="shared" ref="J1322" si="4172">+D1317/4/1000</f>
        <v>1.39375</v>
      </c>
      <c r="K1322" s="400" t="s">
        <v>204</v>
      </c>
      <c r="L1322" s="399">
        <f t="shared" ref="L1322" si="4173">MAX(VLOOKUP(F1322,N$6:P$15,3,FALSE)/1000,2/3*D1319/1000)+F$16*F1322/1000</f>
        <v>0.192</v>
      </c>
      <c r="M1322" s="399" t="s">
        <v>176</v>
      </c>
      <c r="N1322" s="399">
        <f t="shared" ref="N1322:N1324" si="4174">J1322+L1322</f>
        <v>1.58575</v>
      </c>
      <c r="O1322" s="399" t="s">
        <v>204</v>
      </c>
      <c r="P1322" s="389">
        <f t="shared" ref="P1322" si="4175">D1322-D1323</f>
        <v>0</v>
      </c>
      <c r="Q1322" s="399" t="s">
        <v>125</v>
      </c>
      <c r="R1322" s="399">
        <f t="shared" ref="R1322" si="4176">IF(P1322&gt;0,$F$18*F1322/1000,0)</f>
        <v>0</v>
      </c>
      <c r="S1322" s="399" t="s">
        <v>205</v>
      </c>
      <c r="T1322" s="399" t="s">
        <v>125</v>
      </c>
      <c r="U1322" s="401">
        <f t="shared" ref="U1322:U1324" si="4177">0.006165*F1322^2</f>
        <v>1.5782400000000001</v>
      </c>
      <c r="V1322" s="399"/>
      <c r="W1322" s="399"/>
      <c r="X1322" s="399" t="s">
        <v>125</v>
      </c>
      <c r="Y1322" s="389">
        <f t="shared" ref="Y1322" si="4178">D1321</f>
        <v>1</v>
      </c>
      <c r="Z1322" s="400" t="s">
        <v>176</v>
      </c>
      <c r="AA1322" s="402">
        <f t="shared" ref="AA1322" si="4179">IF(AA1325=0,(D1322*N1322+P1322*R1322)*U1322*Y1322,0)</f>
        <v>0</v>
      </c>
      <c r="AB1322" s="403"/>
    </row>
    <row r="1323" spans="1:28">
      <c r="A1323" s="384" t="str">
        <f t="shared" ref="A1323:B1323" si="4180">A1315</f>
        <v>Lantai 1</v>
      </c>
      <c r="B1323" s="385">
        <f t="shared" si="4180"/>
        <v>43</v>
      </c>
      <c r="C1323" s="393" t="s">
        <v>206</v>
      </c>
      <c r="D1323" s="398">
        <f>VLOOKUP(D1315,'Detail Balok'!$C$10:$AU$140,7,FALSE)</f>
        <v>3</v>
      </c>
      <c r="E1323" s="388" t="s">
        <v>16</v>
      </c>
      <c r="F1323" s="388">
        <f>VLOOKUP(D1315,'Detail Balok'!$C$10:$AU$140,9,FALSE)</f>
        <v>16</v>
      </c>
      <c r="G1323" s="388"/>
      <c r="H1323" s="395"/>
      <c r="I1323" s="388" t="s">
        <v>203</v>
      </c>
      <c r="J1323" s="399">
        <f t="shared" ref="J1323" si="4181">+D1317/2/1000</f>
        <v>2.7875000000000001</v>
      </c>
      <c r="K1323" s="400" t="s">
        <v>204</v>
      </c>
      <c r="L1323" s="399"/>
      <c r="M1323" s="399" t="s">
        <v>176</v>
      </c>
      <c r="N1323" s="399">
        <f t="shared" si="4174"/>
        <v>2.7875000000000001</v>
      </c>
      <c r="O1323" s="399" t="s">
        <v>204</v>
      </c>
      <c r="P1323" s="389">
        <f t="shared" ref="P1323" si="4182">MAX(D1323-D1322,D1323-D1324)</f>
        <v>0</v>
      </c>
      <c r="Q1323" s="399" t="s">
        <v>125</v>
      </c>
      <c r="R1323" s="399">
        <f t="shared" ref="R1323" si="4183">IF(P1323&gt;0,2*(1-2*$F$19-1/2)*D1318/1000,0)</f>
        <v>0</v>
      </c>
      <c r="S1323" s="399" t="s">
        <v>205</v>
      </c>
      <c r="T1323" s="399" t="s">
        <v>125</v>
      </c>
      <c r="U1323" s="401">
        <f t="shared" si="4177"/>
        <v>1.5782400000000001</v>
      </c>
      <c r="V1323" s="399"/>
      <c r="W1323" s="399"/>
      <c r="X1323" s="399" t="s">
        <v>125</v>
      </c>
      <c r="Y1323" s="389">
        <f t="shared" ref="Y1323" si="4184">D1321</f>
        <v>1</v>
      </c>
      <c r="Z1323" s="400" t="s">
        <v>176</v>
      </c>
      <c r="AA1323" s="402">
        <f t="shared" ref="AA1323" si="4185">IF(AA1325=0,(D1323*N1323+P1323*R1323)*U1323*Y1323,0)</f>
        <v>0</v>
      </c>
      <c r="AB1323" s="403"/>
    </row>
    <row r="1324" spans="1:28">
      <c r="A1324" s="384" t="str">
        <f t="shared" ref="A1324:B1324" si="4186">A1315</f>
        <v>Lantai 1</v>
      </c>
      <c r="B1324" s="385">
        <f t="shared" si="4186"/>
        <v>43</v>
      </c>
      <c r="C1324" s="393" t="s">
        <v>202</v>
      </c>
      <c r="D1324" s="398">
        <f>VLOOKUP(D1315,'Detail Balok'!$C$10:$AU$140,10,FALSE)</f>
        <v>3</v>
      </c>
      <c r="E1324" s="388" t="s">
        <v>16</v>
      </c>
      <c r="F1324" s="388">
        <f>VLOOKUP(D1315,'Detail Balok'!$C$10:$AU$140,12,FALSE)</f>
        <v>16</v>
      </c>
      <c r="G1324" s="388"/>
      <c r="H1324" s="395"/>
      <c r="I1324" s="388" t="s">
        <v>203</v>
      </c>
      <c r="J1324" s="399">
        <f t="shared" ref="J1324" si="4187">+D1317/4/1000</f>
        <v>1.39375</v>
      </c>
      <c r="K1324" s="400" t="s">
        <v>204</v>
      </c>
      <c r="L1324" s="399">
        <f t="shared" ref="L1324" si="4188">MAX(VLOOKUP(F1324,N$6:P$15,3,FALSE)/1000,2/3*D1319/1000)+F$16*F1324/1000</f>
        <v>0.192</v>
      </c>
      <c r="M1324" s="399" t="s">
        <v>176</v>
      </c>
      <c r="N1324" s="399">
        <f t="shared" si="4174"/>
        <v>1.58575</v>
      </c>
      <c r="O1324" s="399" t="s">
        <v>204</v>
      </c>
      <c r="P1324" s="389">
        <f t="shared" ref="P1324" si="4189">D1324-D1323</f>
        <v>0</v>
      </c>
      <c r="Q1324" s="399" t="s">
        <v>125</v>
      </c>
      <c r="R1324" s="399">
        <f t="shared" ref="R1324" si="4190">IF(P1324&gt;0,$F$18*F1324/1000,0)</f>
        <v>0</v>
      </c>
      <c r="S1324" s="399" t="s">
        <v>205</v>
      </c>
      <c r="T1324" s="399" t="s">
        <v>125</v>
      </c>
      <c r="U1324" s="401">
        <f t="shared" si="4177"/>
        <v>1.5782400000000001</v>
      </c>
      <c r="V1324" s="399"/>
      <c r="W1324" s="399"/>
      <c r="X1324" s="399" t="s">
        <v>125</v>
      </c>
      <c r="Y1324" s="389">
        <f t="shared" ref="Y1324" si="4191">D1321</f>
        <v>1</v>
      </c>
      <c r="Z1324" s="400" t="s">
        <v>176</v>
      </c>
      <c r="AA1324" s="402">
        <f t="shared" ref="AA1324" si="4192">IF(AA1325=0,(D1324*N1324+P1324*R1324)*U1324*Y1324,0)</f>
        <v>0</v>
      </c>
      <c r="AB1324" s="403"/>
    </row>
    <row r="1325" spans="1:28">
      <c r="A1325" s="384" t="str">
        <f t="shared" ref="A1325:B1325" si="4193">A1315</f>
        <v>Lantai 1</v>
      </c>
      <c r="B1325" s="385">
        <f t="shared" si="4193"/>
        <v>43</v>
      </c>
      <c r="C1325" s="393"/>
      <c r="D1325" s="398">
        <f t="shared" ref="D1325:D1385" si="4194">IF(AND(D1322=D1323,D1323=D1324,D1322=D1324),D1322,0)</f>
        <v>3</v>
      </c>
      <c r="E1325" s="388" t="s">
        <v>16</v>
      </c>
      <c r="F1325" s="388">
        <f t="shared" ref="F1325:F1385" si="4195">IF(AND(F1322=F1323,F1322=F1324,F1323=F1324),F1322,0)</f>
        <v>16</v>
      </c>
      <c r="G1325" s="388"/>
      <c r="H1325" s="395"/>
      <c r="I1325" s="388"/>
      <c r="J1325" s="396"/>
      <c r="K1325" s="396"/>
      <c r="L1325" s="404" t="s">
        <v>207</v>
      </c>
      <c r="M1325" s="399" t="s">
        <v>176</v>
      </c>
      <c r="N1325" s="399">
        <f t="shared" ref="N1325" si="4196">IF(AND(D1322=D1323,D1322=D1324,D1323=D1324,F1322=F1323,F1322=F1324,F1323=F1324),SUM(N1322:N1324),0)</f>
        <v>5.9590000000000005</v>
      </c>
      <c r="O1325" s="399" t="s">
        <v>204</v>
      </c>
      <c r="P1325" s="389">
        <f t="shared" ref="P1325" si="4197">IF(N1325&gt;12,ROUNDDOWN(N1325/12,0),0)</f>
        <v>0</v>
      </c>
      <c r="Q1325" s="399" t="s">
        <v>125</v>
      </c>
      <c r="R1325" s="399">
        <f t="shared" ref="R1325" si="4198">IF(P1325&gt;0,MAX(VLOOKUP(F1325,$D$6:$G$15,3,FALSE),600),0)/1000</f>
        <v>0</v>
      </c>
      <c r="S1325" s="396"/>
      <c r="T1325" s="396" t="s">
        <v>125</v>
      </c>
      <c r="U1325" s="401">
        <f t="shared" ref="U1325:U1385" si="4199">U1324</f>
        <v>1.5782400000000001</v>
      </c>
      <c r="V1325" s="396" t="s">
        <v>125</v>
      </c>
      <c r="W1325" s="399">
        <f t="shared" ref="W1325" si="4200">D1325</f>
        <v>3</v>
      </c>
      <c r="X1325" s="399" t="s">
        <v>125</v>
      </c>
      <c r="Y1325" s="389">
        <f t="shared" ref="Y1325:Y1385" si="4201">Y1324</f>
        <v>1</v>
      </c>
      <c r="Z1325" s="400" t="s">
        <v>176</v>
      </c>
      <c r="AA1325" s="402">
        <f t="shared" ref="AA1325" si="4202">(N1325+P1325*R1325/1000)*U1325*W1325*Y1325</f>
        <v>28.214196480000005</v>
      </c>
      <c r="AB1325" s="390"/>
    </row>
    <row r="1326" spans="1:28">
      <c r="A1326" s="384"/>
      <c r="B1326" s="385"/>
      <c r="C1326" s="393"/>
      <c r="D1326" s="398"/>
      <c r="E1326" s="388"/>
      <c r="F1326" s="388"/>
      <c r="G1326" s="388"/>
      <c r="H1326" s="395"/>
      <c r="I1326" s="388"/>
      <c r="J1326" s="396"/>
      <c r="K1326" s="396"/>
      <c r="L1326" s="404"/>
      <c r="M1326" s="399"/>
      <c r="N1326" s="399"/>
      <c r="O1326" s="396"/>
      <c r="P1326" s="389"/>
      <c r="Q1326" s="396"/>
      <c r="R1326" s="396"/>
      <c r="S1326" s="396"/>
      <c r="T1326" s="396"/>
      <c r="U1326" s="401"/>
      <c r="V1326" s="396"/>
      <c r="W1326" s="399"/>
      <c r="X1326" s="396"/>
      <c r="Y1326" s="389"/>
      <c r="Z1326" s="396"/>
      <c r="AA1326" s="388"/>
      <c r="AB1326" s="390"/>
    </row>
    <row r="1327" spans="1:28">
      <c r="A1327" s="384" t="str">
        <f t="shared" ref="A1327:B1327" si="4203">A1315</f>
        <v>Lantai 1</v>
      </c>
      <c r="B1327" s="385">
        <f t="shared" si="4203"/>
        <v>43</v>
      </c>
      <c r="C1327" s="393" t="s">
        <v>208</v>
      </c>
      <c r="D1327" s="398">
        <f>VLOOKUP(D1315,'Detail Balok'!$C$10:$AU$140,13,FALSE)</f>
        <v>2</v>
      </c>
      <c r="E1327" s="388" t="s">
        <v>16</v>
      </c>
      <c r="F1327" s="388">
        <f>VLOOKUP(D1315,'Detail Balok'!$C$10:$AU$140,15,FALSE)</f>
        <v>10</v>
      </c>
      <c r="G1327" s="388"/>
      <c r="H1327" s="395"/>
      <c r="I1327" s="388"/>
      <c r="J1327" s="399">
        <f t="shared" ref="J1327" si="4204">+D1317/1000</f>
        <v>5.5750000000000002</v>
      </c>
      <c r="K1327" s="400" t="s">
        <v>204</v>
      </c>
      <c r="L1327" s="399">
        <f t="shared" ref="L1327" si="4205">2*$F$16*F1327/1000</f>
        <v>0.24</v>
      </c>
      <c r="M1327" s="399" t="s">
        <v>176</v>
      </c>
      <c r="N1327" s="399">
        <f t="shared" ref="N1327" si="4206">J1327+L1327</f>
        <v>5.8150000000000004</v>
      </c>
      <c r="O1327" s="399" t="s">
        <v>204</v>
      </c>
      <c r="P1327" s="389">
        <f t="shared" ref="P1327" si="4207">IF(N1327&gt;12,ROUNDDOWN(N1327/12,0),0)</f>
        <v>0</v>
      </c>
      <c r="Q1327" s="399" t="s">
        <v>125</v>
      </c>
      <c r="R1327" s="399">
        <f t="shared" ref="R1327" si="4208">IF(P1327&gt;0,MAX(VLOOKUP(F1327,$D$6:$G$15,3,FALSE),600),0)/1000</f>
        <v>0</v>
      </c>
      <c r="S1327" s="399"/>
      <c r="T1327" s="399" t="s">
        <v>125</v>
      </c>
      <c r="U1327" s="401">
        <f t="shared" ref="U1327" si="4209">0.006165*F1327^2</f>
        <v>0.61650000000000005</v>
      </c>
      <c r="V1327" s="399" t="s">
        <v>125</v>
      </c>
      <c r="W1327" s="399">
        <f t="shared" ref="W1327" si="4210">+D1327</f>
        <v>2</v>
      </c>
      <c r="X1327" s="399" t="s">
        <v>125</v>
      </c>
      <c r="Y1327" s="389">
        <f t="shared" ref="Y1327" si="4211">D1321</f>
        <v>1</v>
      </c>
      <c r="Z1327" s="400" t="s">
        <v>176</v>
      </c>
      <c r="AA1327" s="402">
        <f t="shared" ref="AA1327" si="4212">(N1327+P1327*R1327/1000)*U1327*W1327*Y1327</f>
        <v>7.1698950000000012</v>
      </c>
      <c r="AB1327" s="403"/>
    </row>
    <row r="1328" spans="1:28">
      <c r="A1328" s="384"/>
      <c r="B1328" s="385"/>
      <c r="C1328" s="393"/>
      <c r="D1328" s="398"/>
      <c r="E1328" s="388"/>
      <c r="F1328" s="388"/>
      <c r="G1328" s="388"/>
      <c r="H1328" s="395"/>
      <c r="I1328" s="388"/>
      <c r="J1328" s="399"/>
      <c r="K1328" s="400"/>
      <c r="L1328" s="399"/>
      <c r="M1328" s="399"/>
      <c r="N1328" s="399"/>
      <c r="O1328" s="399"/>
      <c r="P1328" s="389"/>
      <c r="Q1328" s="399"/>
      <c r="R1328" s="399"/>
      <c r="S1328" s="399"/>
      <c r="T1328" s="399"/>
      <c r="U1328" s="401"/>
      <c r="V1328" s="399"/>
      <c r="W1328" s="399"/>
      <c r="X1328" s="399"/>
      <c r="Y1328" s="389"/>
      <c r="Z1328" s="400"/>
      <c r="AA1328" s="402"/>
      <c r="AB1328" s="403"/>
    </row>
    <row r="1329" spans="1:28">
      <c r="A1329" s="384"/>
      <c r="B1329" s="385"/>
      <c r="C1329" s="393"/>
      <c r="D1329" s="398"/>
      <c r="E1329" s="388"/>
      <c r="F1329" s="388"/>
      <c r="G1329" s="388"/>
      <c r="H1329" s="395"/>
      <c r="I1329" s="388"/>
      <c r="J1329" s="396"/>
      <c r="K1329" s="396"/>
      <c r="L1329" s="396"/>
      <c r="M1329" s="396"/>
      <c r="N1329" s="396"/>
      <c r="O1329" s="396"/>
      <c r="P1329" s="389"/>
      <c r="Q1329" s="396"/>
      <c r="R1329" s="396"/>
      <c r="S1329" s="396"/>
      <c r="T1329" s="396"/>
      <c r="U1329" s="401"/>
      <c r="V1329" s="396"/>
      <c r="W1329" s="399"/>
      <c r="X1329" s="396"/>
      <c r="Y1329" s="389"/>
      <c r="Z1329" s="396"/>
      <c r="AA1329" s="388"/>
      <c r="AB1329" s="390"/>
    </row>
    <row r="1330" spans="1:28">
      <c r="A1330" s="384" t="str">
        <f t="shared" ref="A1330:B1330" si="4213">A1315</f>
        <v>Lantai 1</v>
      </c>
      <c r="B1330" s="385">
        <f t="shared" si="4213"/>
        <v>43</v>
      </c>
      <c r="C1330" s="393" t="s">
        <v>209</v>
      </c>
      <c r="D1330" s="398">
        <f>VLOOKUP(D1315,'Detail Balok'!$C$10:$AU$140,22,FALSE)</f>
        <v>3</v>
      </c>
      <c r="E1330" s="388" t="s">
        <v>16</v>
      </c>
      <c r="F1330" s="388">
        <f>VLOOKUP(D1315,'Detail Balok'!$C$10:$AU$140,24,FALSE)</f>
        <v>16</v>
      </c>
      <c r="G1330" s="388"/>
      <c r="H1330" s="395"/>
      <c r="I1330" s="388" t="s">
        <v>203</v>
      </c>
      <c r="J1330" s="399">
        <f t="shared" ref="J1330:J1392" si="4214">+J1322</f>
        <v>1.39375</v>
      </c>
      <c r="K1330" s="400" t="s">
        <v>204</v>
      </c>
      <c r="L1330" s="399">
        <f t="shared" ref="L1330" si="4215">MAX(VLOOKUP(F1330,N$6:P$15,3,FALSE)/1000,2/3*D1320/1000)+F$16*F1330/1000</f>
        <v>0.192</v>
      </c>
      <c r="M1330" s="399" t="s">
        <v>176</v>
      </c>
      <c r="N1330" s="399">
        <f t="shared" ref="N1330:N1332" si="4216">J1330+L1330</f>
        <v>1.58575</v>
      </c>
      <c r="O1330" s="399" t="s">
        <v>204</v>
      </c>
      <c r="P1330" s="389">
        <f t="shared" ref="P1330" si="4217">D1330-D1331</f>
        <v>0</v>
      </c>
      <c r="Q1330" s="399" t="s">
        <v>125</v>
      </c>
      <c r="R1330" s="399">
        <f t="shared" ref="R1330" si="4218">IF(P1330&gt;0,$F$18*F1330/1000,0)</f>
        <v>0</v>
      </c>
      <c r="S1330" s="399" t="s">
        <v>205</v>
      </c>
      <c r="T1330" s="399" t="s">
        <v>125</v>
      </c>
      <c r="U1330" s="401">
        <f t="shared" ref="U1330:U1332" si="4219">0.006165*F1330^2</f>
        <v>1.5782400000000001</v>
      </c>
      <c r="V1330" s="399"/>
      <c r="W1330" s="399"/>
      <c r="X1330" s="399" t="s">
        <v>125</v>
      </c>
      <c r="Y1330" s="389">
        <f t="shared" ref="Y1330" si="4220">D1321</f>
        <v>1</v>
      </c>
      <c r="Z1330" s="400" t="s">
        <v>176</v>
      </c>
      <c r="AA1330" s="402">
        <f t="shared" ref="AA1330" si="4221">IF(AA1333=0,(D1330*N1330+P1330*R1330)*U1330*Y1330,0)</f>
        <v>0</v>
      </c>
      <c r="AB1330" s="403"/>
    </row>
    <row r="1331" spans="1:28">
      <c r="A1331" s="384" t="str">
        <f t="shared" ref="A1331:B1331" si="4222">A1315</f>
        <v>Lantai 1</v>
      </c>
      <c r="B1331" s="385">
        <f t="shared" si="4222"/>
        <v>43</v>
      </c>
      <c r="C1331" s="393" t="s">
        <v>210</v>
      </c>
      <c r="D1331" s="398">
        <f>VLOOKUP(D1315,'Detail Balok'!$C$10:$AU$140,25,FALSE)</f>
        <v>3</v>
      </c>
      <c r="E1331" s="388" t="s">
        <v>16</v>
      </c>
      <c r="F1331" s="388">
        <f>VLOOKUP(D1315,'Detail Balok'!$C$10:$AU$140,27,FALSE)</f>
        <v>16</v>
      </c>
      <c r="G1331" s="388"/>
      <c r="H1331" s="395"/>
      <c r="I1331" s="388" t="s">
        <v>203</v>
      </c>
      <c r="J1331" s="399">
        <f t="shared" si="4214"/>
        <v>2.7875000000000001</v>
      </c>
      <c r="K1331" s="400" t="s">
        <v>204</v>
      </c>
      <c r="L1331" s="399"/>
      <c r="M1331" s="399" t="s">
        <v>176</v>
      </c>
      <c r="N1331" s="399">
        <f t="shared" si="4216"/>
        <v>2.7875000000000001</v>
      </c>
      <c r="O1331" s="399" t="s">
        <v>204</v>
      </c>
      <c r="P1331" s="389">
        <f t="shared" ref="P1331" si="4223">MAX(D1331-D1330,D1331-D1332)</f>
        <v>0</v>
      </c>
      <c r="Q1331" s="399" t="s">
        <v>125</v>
      </c>
      <c r="R1331" s="399">
        <f t="shared" ref="R1331" si="4224">IF(P1331&gt;0,2*(1-2*$F$19-1/2)*D1318/1000,0)</f>
        <v>0</v>
      </c>
      <c r="S1331" s="399" t="s">
        <v>205</v>
      </c>
      <c r="T1331" s="399" t="s">
        <v>125</v>
      </c>
      <c r="U1331" s="401">
        <f t="shared" si="4219"/>
        <v>1.5782400000000001</v>
      </c>
      <c r="V1331" s="399"/>
      <c r="W1331" s="399"/>
      <c r="X1331" s="399" t="s">
        <v>125</v>
      </c>
      <c r="Y1331" s="389">
        <f t="shared" ref="Y1331" si="4225">D1321</f>
        <v>1</v>
      </c>
      <c r="Z1331" s="400" t="s">
        <v>176</v>
      </c>
      <c r="AA1331" s="402">
        <f t="shared" ref="AA1331" si="4226">IF(AA1333=0,(D1331*N1331+P1331*R1331)*U1331*Y1331,0)</f>
        <v>0</v>
      </c>
      <c r="AB1331" s="403"/>
    </row>
    <row r="1332" spans="1:28">
      <c r="A1332" s="384" t="str">
        <f t="shared" ref="A1332:B1332" si="4227">A1315</f>
        <v>Lantai 1</v>
      </c>
      <c r="B1332" s="385">
        <f t="shared" si="4227"/>
        <v>43</v>
      </c>
      <c r="C1332" s="393" t="s">
        <v>209</v>
      </c>
      <c r="D1332" s="398">
        <f>VLOOKUP(D1315,'Detail Balok'!$C$10:$AU$140,28,FALSE)</f>
        <v>3</v>
      </c>
      <c r="E1332" s="388" t="s">
        <v>16</v>
      </c>
      <c r="F1332" s="388">
        <f>VLOOKUP(D1315,'Detail Balok'!$C$10:$AU$140,30,FALSE)</f>
        <v>16</v>
      </c>
      <c r="G1332" s="388"/>
      <c r="H1332" s="395"/>
      <c r="I1332" s="388" t="s">
        <v>203</v>
      </c>
      <c r="J1332" s="399">
        <f t="shared" si="4214"/>
        <v>1.39375</v>
      </c>
      <c r="K1332" s="400" t="s">
        <v>204</v>
      </c>
      <c r="L1332" s="399">
        <f t="shared" ref="L1332" si="4228">MAX(VLOOKUP(F1332,N$6:P$15,3,FALSE)/1000,2/3*D1320/1000)+F$16*F1332/1000</f>
        <v>0.192</v>
      </c>
      <c r="M1332" s="399" t="s">
        <v>176</v>
      </c>
      <c r="N1332" s="399">
        <f t="shared" si="4216"/>
        <v>1.58575</v>
      </c>
      <c r="O1332" s="399" t="s">
        <v>204</v>
      </c>
      <c r="P1332" s="389">
        <f t="shared" ref="P1332" si="4229">D1332-D1331</f>
        <v>0</v>
      </c>
      <c r="Q1332" s="399" t="s">
        <v>125</v>
      </c>
      <c r="R1332" s="399">
        <f t="shared" ref="R1332" si="4230">IF(P1332&gt;0,$F$18*F1332/1000,0)</f>
        <v>0</v>
      </c>
      <c r="S1332" s="399" t="s">
        <v>205</v>
      </c>
      <c r="T1332" s="399" t="s">
        <v>125</v>
      </c>
      <c r="U1332" s="401">
        <f t="shared" si="4219"/>
        <v>1.5782400000000001</v>
      </c>
      <c r="V1332" s="399"/>
      <c r="W1332" s="399"/>
      <c r="X1332" s="399" t="s">
        <v>125</v>
      </c>
      <c r="Y1332" s="389">
        <f t="shared" ref="Y1332" si="4231">D1321</f>
        <v>1</v>
      </c>
      <c r="Z1332" s="400" t="s">
        <v>176</v>
      </c>
      <c r="AA1332" s="402">
        <f t="shared" ref="AA1332" si="4232">IF(AA1333=0,(D1332*N1332+P1332*R1332)*U1332*Y1332,0)</f>
        <v>0</v>
      </c>
      <c r="AB1332" s="403"/>
    </row>
    <row r="1333" spans="1:28">
      <c r="A1333" s="384" t="str">
        <f t="shared" ref="A1333:B1333" si="4233">A1315</f>
        <v>Lantai 1</v>
      </c>
      <c r="B1333" s="385">
        <f t="shared" si="4233"/>
        <v>43</v>
      </c>
      <c r="C1333" s="393"/>
      <c r="D1333" s="398">
        <f t="shared" ref="D1333:D1393" si="4234">IF(AND(D1330=D1331,D1331=D1332,D1330=D1332),D1330,0)</f>
        <v>3</v>
      </c>
      <c r="E1333" s="388" t="s">
        <v>16</v>
      </c>
      <c r="F1333" s="388">
        <f t="shared" ref="F1333:F1393" si="4235">IF(AND(F1330=F1331,F1330=F1332,F1331=F1332),F1330,0)</f>
        <v>16</v>
      </c>
      <c r="G1333" s="388"/>
      <c r="H1333" s="395"/>
      <c r="I1333" s="388"/>
      <c r="J1333" s="396"/>
      <c r="K1333" s="396"/>
      <c r="L1333" s="404" t="s">
        <v>207</v>
      </c>
      <c r="M1333" s="399" t="s">
        <v>176</v>
      </c>
      <c r="N1333" s="399">
        <f t="shared" ref="N1333" si="4236">IF(AND(D1330=D1331,D1330=D1332,D1331=D1332,F1330=F1331,F1330=F1332,F1331=F1332),SUM(N1330:N1332),0)</f>
        <v>5.9590000000000005</v>
      </c>
      <c r="O1333" s="399" t="s">
        <v>204</v>
      </c>
      <c r="P1333" s="389">
        <f t="shared" ref="P1333" si="4237">IF(N1333&gt;12,ROUNDDOWN(N1333/12,0),0)</f>
        <v>0</v>
      </c>
      <c r="Q1333" s="399" t="s">
        <v>125</v>
      </c>
      <c r="R1333" s="399">
        <f t="shared" ref="R1333" si="4238">IF(P1333&gt;0,MAX(VLOOKUP(F1333,$D$6:$G$15,3,FALSE),600),0)/1000</f>
        <v>0</v>
      </c>
      <c r="S1333" s="396"/>
      <c r="T1333" s="396" t="s">
        <v>125</v>
      </c>
      <c r="U1333" s="401">
        <f t="shared" ref="U1333:U1393" si="4239">U1332</f>
        <v>1.5782400000000001</v>
      </c>
      <c r="V1333" s="396" t="s">
        <v>125</v>
      </c>
      <c r="W1333" s="399">
        <f t="shared" ref="W1333" si="4240">D1333</f>
        <v>3</v>
      </c>
      <c r="X1333" s="399" t="s">
        <v>125</v>
      </c>
      <c r="Y1333" s="389">
        <f t="shared" ref="Y1333:Y1393" si="4241">Y1332</f>
        <v>1</v>
      </c>
      <c r="Z1333" s="400" t="s">
        <v>176</v>
      </c>
      <c r="AA1333" s="402">
        <f t="shared" ref="AA1333" si="4242">(N1333+P1333*R1333/1000)*U1333*W1333*Y1333</f>
        <v>28.214196480000005</v>
      </c>
      <c r="AB1333" s="403"/>
    </row>
    <row r="1334" spans="1:28">
      <c r="A1334" s="384"/>
      <c r="B1334" s="385"/>
      <c r="C1334" s="393"/>
      <c r="D1334" s="394"/>
      <c r="E1334" s="388"/>
      <c r="F1334" s="388"/>
      <c r="G1334" s="388"/>
      <c r="H1334" s="395"/>
      <c r="I1334" s="388"/>
      <c r="J1334" s="399"/>
      <c r="K1334" s="396"/>
      <c r="L1334" s="396"/>
      <c r="M1334" s="396"/>
      <c r="N1334" s="396"/>
      <c r="O1334" s="396"/>
      <c r="P1334" s="389"/>
      <c r="Q1334" s="396"/>
      <c r="R1334" s="396"/>
      <c r="S1334" s="396"/>
      <c r="T1334" s="396"/>
      <c r="U1334" s="401"/>
      <c r="V1334" s="396"/>
      <c r="W1334" s="388"/>
      <c r="X1334" s="396"/>
      <c r="Y1334" s="389"/>
      <c r="Z1334" s="396"/>
      <c r="AA1334" s="388"/>
      <c r="AB1334" s="390"/>
    </row>
    <row r="1335" spans="1:28">
      <c r="A1335" s="384" t="str">
        <f t="shared" ref="A1335:B1335" si="4243">A1315</f>
        <v>Lantai 1</v>
      </c>
      <c r="B1335" s="385">
        <f t="shared" si="4243"/>
        <v>43</v>
      </c>
      <c r="C1335" s="393" t="s">
        <v>211</v>
      </c>
      <c r="D1335" s="398">
        <f>VLOOKUP(D1315,'Detail Balok'!$C$10:$AU$140,31,FALSE)</f>
        <v>0</v>
      </c>
      <c r="E1335" s="388" t="s">
        <v>16</v>
      </c>
      <c r="F1335" s="388">
        <f>VLOOKUP(D1315,'Detail Balok'!$C$10:$AU$140,33,FALSE)</f>
        <v>8</v>
      </c>
      <c r="G1335" s="405" t="s">
        <v>157</v>
      </c>
      <c r="H1335" s="395">
        <f>VLOOKUP(D1315,'Detail Balok'!$C$10:$AU$140,35,FALSE)</f>
        <v>150</v>
      </c>
      <c r="I1335" s="388"/>
      <c r="J1335" s="400">
        <f t="shared" ref="J1335" si="4244">(IF(D1335=0,(2*(D1316+G1316))-(F$5*8),IF(D1335=3,(2*(D1316+G1316))-(F$5*8)+(G1316-2*F$5),IF(D1335=4,(2*(D1316+G1316))-(F$5*8)+2*(G1316-2*F$5)))))/1000</f>
        <v>1.08</v>
      </c>
      <c r="K1335" s="400" t="s">
        <v>204</v>
      </c>
      <c r="L1335" s="399">
        <f t="shared" ref="L1335:L1337" si="4245">IF(D1335=0,2*MAX(6*F1335,75),(D1335-1)*2*MAX(6*F1335,75))/1000</f>
        <v>0.15</v>
      </c>
      <c r="M1335" s="399" t="s">
        <v>176</v>
      </c>
      <c r="N1335" s="399">
        <f t="shared" ref="N1335:N1337" si="4246">J1335+L1335</f>
        <v>1.23</v>
      </c>
      <c r="O1335" s="399"/>
      <c r="P1335" s="389"/>
      <c r="Q1335" s="399"/>
      <c r="R1335" s="399"/>
      <c r="S1335" s="399"/>
      <c r="T1335" s="399" t="s">
        <v>125</v>
      </c>
      <c r="U1335" s="401">
        <f t="shared" ref="U1335:U1337" si="4247">0.006165*F1335^2</f>
        <v>0.39456000000000002</v>
      </c>
      <c r="V1335" s="399" t="s">
        <v>125</v>
      </c>
      <c r="W1335" s="399">
        <f t="shared" ref="W1335" si="4248">IF(D1318&gt;4*G1316,ROUND(MAX(D1318/4,2*G1316)/H1335,0)+1,ROUND(D1318/H1335,0)+1)</f>
        <v>10</v>
      </c>
      <c r="X1335" s="399" t="s">
        <v>125</v>
      </c>
      <c r="Y1335" s="389">
        <f t="shared" ref="Y1335" si="4249">D1321</f>
        <v>1</v>
      </c>
      <c r="Z1335" s="400" t="s">
        <v>176</v>
      </c>
      <c r="AA1335" s="402">
        <f t="shared" ref="AA1335:AA1337" si="4250">N1335*U1335*W1335*Y1335</f>
        <v>4.8530880000000005</v>
      </c>
      <c r="AB1335" s="403"/>
    </row>
    <row r="1336" spans="1:28">
      <c r="A1336" s="384" t="str">
        <f t="shared" ref="A1336:B1336" si="4251">A1315</f>
        <v>Lantai 1</v>
      </c>
      <c r="B1336" s="385">
        <f t="shared" si="4251"/>
        <v>43</v>
      </c>
      <c r="C1336" s="393" t="s">
        <v>212</v>
      </c>
      <c r="D1336" s="398">
        <f>VLOOKUP(D1315,'Detail Balok'!$C$10:$AU$140,36,FALSE)</f>
        <v>0</v>
      </c>
      <c r="E1336" s="388" t="s">
        <v>16</v>
      </c>
      <c r="F1336" s="388">
        <f>VLOOKUP(D1315,'Detail Balok'!$C$10:$AU$140,38,FALSE)</f>
        <v>8</v>
      </c>
      <c r="G1336" s="405" t="s">
        <v>157</v>
      </c>
      <c r="H1336" s="395">
        <f>VLOOKUP(D1315,'Detail Balok'!$C$10:$AU$140,40,FALSE)</f>
        <v>200</v>
      </c>
      <c r="I1336" s="388"/>
      <c r="J1336" s="400">
        <f t="shared" ref="J1336" si="4252">(IF(D1336=0,(2*(D1316+G1316))-(F$5*8),IF(D1336=3,(2*(D1316+G1316))-(F$5*8)+(G1316-2*F$5),IF(D1336=4,(2*(D1316+G1316))-(F$5*8)+2*(G1316-2*F$5)))))/1000</f>
        <v>1.08</v>
      </c>
      <c r="K1336" s="400" t="s">
        <v>204</v>
      </c>
      <c r="L1336" s="399">
        <f t="shared" si="4245"/>
        <v>0.15</v>
      </c>
      <c r="M1336" s="399" t="s">
        <v>176</v>
      </c>
      <c r="N1336" s="399">
        <f t="shared" si="4246"/>
        <v>1.23</v>
      </c>
      <c r="O1336" s="399"/>
      <c r="P1336" s="389"/>
      <c r="Q1336" s="399"/>
      <c r="R1336" s="399"/>
      <c r="S1336" s="399"/>
      <c r="T1336" s="399" t="s">
        <v>125</v>
      </c>
      <c r="U1336" s="401">
        <f t="shared" si="4247"/>
        <v>0.39456000000000002</v>
      </c>
      <c r="V1336" s="399" t="s">
        <v>125</v>
      </c>
      <c r="W1336" s="399">
        <f t="shared" ref="W1336" si="4253">IF(D1318-MAX(D1318/4,2*G1316)*2&gt;0,ROUND((D1318-MAX(D1318/4,2*G1316)*2)/H1336,0),0)</f>
        <v>14</v>
      </c>
      <c r="X1336" s="399" t="s">
        <v>125</v>
      </c>
      <c r="Y1336" s="389">
        <f t="shared" ref="Y1336" si="4254">D1321</f>
        <v>1</v>
      </c>
      <c r="Z1336" s="400" t="s">
        <v>176</v>
      </c>
      <c r="AA1336" s="402">
        <f t="shared" si="4250"/>
        <v>6.7943232000000009</v>
      </c>
      <c r="AB1336" s="403"/>
    </row>
    <row r="1337" spans="1:28">
      <c r="A1337" s="384" t="str">
        <f t="shared" ref="A1337:B1337" si="4255">A1315</f>
        <v>Lantai 1</v>
      </c>
      <c r="B1337" s="385">
        <f t="shared" si="4255"/>
        <v>43</v>
      </c>
      <c r="C1337" s="393" t="s">
        <v>211</v>
      </c>
      <c r="D1337" s="398">
        <f>VLOOKUP(D1315,'Detail Balok'!$C$10:$AU$140,41,FALSE)</f>
        <v>0</v>
      </c>
      <c r="E1337" s="388" t="s">
        <v>16</v>
      </c>
      <c r="F1337" s="388">
        <f>VLOOKUP(D1315,'Detail Balok'!$C$10:$AU$140,43,FALSE)</f>
        <v>8</v>
      </c>
      <c r="G1337" s="405" t="s">
        <v>157</v>
      </c>
      <c r="H1337" s="395">
        <f>VLOOKUP(D1315,'Detail Balok'!$C$10:$AU$140,45,FALSE)</f>
        <v>150</v>
      </c>
      <c r="I1337" s="388"/>
      <c r="J1337" s="400">
        <f t="shared" ref="J1337" si="4256">(IF(D1337=0,(2*(D1316+G1316))-(F$5*8),IF(D1337=3,(2*(D1316+G1316))-(F$5*8)+(G1316-2*F$5),IF(D1337=4,(2*(D1316+G1316))-(F$5*8)+2*(G1316-2*F$5)))))/1000</f>
        <v>1.08</v>
      </c>
      <c r="K1337" s="400" t="s">
        <v>204</v>
      </c>
      <c r="L1337" s="399">
        <f t="shared" si="4245"/>
        <v>0.15</v>
      </c>
      <c r="M1337" s="399" t="s">
        <v>176</v>
      </c>
      <c r="N1337" s="399">
        <f t="shared" si="4246"/>
        <v>1.23</v>
      </c>
      <c r="O1337" s="399"/>
      <c r="P1337" s="389"/>
      <c r="Q1337" s="399"/>
      <c r="R1337" s="399"/>
      <c r="S1337" s="399"/>
      <c r="T1337" s="399" t="s">
        <v>125</v>
      </c>
      <c r="U1337" s="401">
        <f t="shared" si="4247"/>
        <v>0.39456000000000002</v>
      </c>
      <c r="V1337" s="399" t="s">
        <v>125</v>
      </c>
      <c r="W1337" s="399">
        <f t="shared" ref="W1337" si="4257">IF(D1318&gt;4*G1316,ROUND(MAX(D1318/4,2*G1316)/H1337,0)+1,0)</f>
        <v>10</v>
      </c>
      <c r="X1337" s="399" t="s">
        <v>125</v>
      </c>
      <c r="Y1337" s="389">
        <f t="shared" ref="Y1337" si="4258">D1321</f>
        <v>1</v>
      </c>
      <c r="Z1337" s="400" t="s">
        <v>176</v>
      </c>
      <c r="AA1337" s="402">
        <f t="shared" si="4250"/>
        <v>4.8530880000000005</v>
      </c>
      <c r="AB1337" s="403"/>
    </row>
    <row r="1338" spans="1:28">
      <c r="A1338" s="384"/>
      <c r="B1338" s="385"/>
      <c r="C1338" s="393"/>
      <c r="D1338" s="394"/>
      <c r="E1338" s="388"/>
      <c r="F1338" s="388"/>
      <c r="G1338" s="388"/>
      <c r="H1338" s="395"/>
      <c r="I1338" s="388"/>
      <c r="J1338" s="399"/>
      <c r="K1338" s="396"/>
      <c r="L1338" s="396"/>
      <c r="M1338" s="396"/>
      <c r="N1338" s="396"/>
      <c r="O1338" s="396"/>
      <c r="P1338" s="389"/>
      <c r="Q1338" s="396"/>
      <c r="R1338" s="396"/>
      <c r="S1338" s="396"/>
      <c r="T1338" s="396"/>
      <c r="U1338" s="401"/>
      <c r="V1338" s="396"/>
      <c r="W1338" s="388"/>
      <c r="X1338" s="396"/>
      <c r="Y1338" s="389"/>
      <c r="Z1338" s="396"/>
      <c r="AA1338" s="388"/>
      <c r="AB1338" s="390"/>
    </row>
    <row r="1339" spans="1:28">
      <c r="A1339" s="384" t="str">
        <f t="shared" ref="A1339:B1339" si="4259">A1315</f>
        <v>Lantai 1</v>
      </c>
      <c r="B1339" s="385">
        <f t="shared" si="4259"/>
        <v>43</v>
      </c>
      <c r="C1339" s="393" t="s">
        <v>213</v>
      </c>
      <c r="D1339" s="398">
        <f>VLOOKUP(D1315,'Detail Balok'!$C$10:$BJ$140,46,FALSE)</f>
        <v>0</v>
      </c>
      <c r="E1339" s="388" t="s">
        <v>16</v>
      </c>
      <c r="F1339" s="388">
        <f>VLOOKUP(D1315,'Detail Balok'!$C$10:$BJ$140,48,FALSE)</f>
        <v>0</v>
      </c>
      <c r="G1339" s="405" t="s">
        <v>157</v>
      </c>
      <c r="H1339" s="395">
        <f>VLOOKUP(D1315,'Detail Balok'!$C$10:$BJ$140,50,FALSE)</f>
        <v>100</v>
      </c>
      <c r="I1339" s="388"/>
      <c r="J1339" s="399">
        <f t="shared" ref="J1339" si="4260">(D1316-2*F$5)/1000</f>
        <v>0.12</v>
      </c>
      <c r="K1339" s="400" t="s">
        <v>204</v>
      </c>
      <c r="L1339" s="399">
        <f t="shared" ref="L1339:L1341" si="4261">IF(D1339=0,2*MAX(6*F1339,75),(D1339-1)*2*MAX(6*F1339,75))/1000</f>
        <v>0.15</v>
      </c>
      <c r="M1339" s="399" t="s">
        <v>176</v>
      </c>
      <c r="N1339" s="399">
        <f t="shared" ref="N1339:N1341" si="4262">J1339+L1339</f>
        <v>0.27</v>
      </c>
      <c r="O1339" s="399"/>
      <c r="P1339" s="399"/>
      <c r="Q1339" s="399"/>
      <c r="R1339" s="399"/>
      <c r="S1339" s="399"/>
      <c r="T1339" s="399" t="s">
        <v>125</v>
      </c>
      <c r="U1339" s="401">
        <f t="shared" ref="U1339:U1341" si="4263">0.006165*F1339^2</f>
        <v>0</v>
      </c>
      <c r="V1339" s="399" t="s">
        <v>125</v>
      </c>
      <c r="W1339" s="399">
        <f t="shared" ref="W1339:W1401" si="4264">W1335</f>
        <v>10</v>
      </c>
      <c r="X1339" s="399" t="s">
        <v>125</v>
      </c>
      <c r="Y1339" s="389">
        <f t="shared" ref="Y1339" si="4265">D1325</f>
        <v>3</v>
      </c>
      <c r="Z1339" s="400" t="s">
        <v>176</v>
      </c>
      <c r="AA1339" s="402">
        <f t="shared" ref="AA1339:AA1341" si="4266">N1339*U1339*W1339*Y1339</f>
        <v>0</v>
      </c>
      <c r="AB1339" s="403"/>
    </row>
    <row r="1340" spans="1:28">
      <c r="A1340" s="384" t="str">
        <f t="shared" ref="A1340:B1340" si="4267">A1315</f>
        <v>Lantai 1</v>
      </c>
      <c r="B1340" s="385">
        <f t="shared" si="4267"/>
        <v>43</v>
      </c>
      <c r="C1340" s="393" t="s">
        <v>214</v>
      </c>
      <c r="D1340" s="398">
        <f>VLOOKUP(D1315,'Detail Balok'!$C$10:$BJ$140,51,FALSE)</f>
        <v>0</v>
      </c>
      <c r="E1340" s="388" t="s">
        <v>16</v>
      </c>
      <c r="F1340" s="388">
        <f>VLOOKUP(D1315,'Detail Balok'!$C$10:$BJ$140,53,FALSE)</f>
        <v>0</v>
      </c>
      <c r="G1340" s="405" t="s">
        <v>157</v>
      </c>
      <c r="H1340" s="395">
        <f>VLOOKUP(D1315,'Detail Balok'!$C$10:$BJ$140,55,FALSE)</f>
        <v>100</v>
      </c>
      <c r="I1340" s="388"/>
      <c r="J1340" s="399">
        <f t="shared" ref="J1340" si="4268">(D1316-2*F$5)/1000</f>
        <v>0.12</v>
      </c>
      <c r="K1340" s="400" t="s">
        <v>204</v>
      </c>
      <c r="L1340" s="399">
        <f t="shared" si="4261"/>
        <v>0.15</v>
      </c>
      <c r="M1340" s="399" t="s">
        <v>176</v>
      </c>
      <c r="N1340" s="399">
        <f t="shared" si="4262"/>
        <v>0.27</v>
      </c>
      <c r="O1340" s="399"/>
      <c r="P1340" s="399"/>
      <c r="Q1340" s="399"/>
      <c r="R1340" s="399"/>
      <c r="S1340" s="399"/>
      <c r="T1340" s="399" t="s">
        <v>125</v>
      </c>
      <c r="U1340" s="401">
        <f t="shared" si="4263"/>
        <v>0</v>
      </c>
      <c r="V1340" s="399" t="s">
        <v>125</v>
      </c>
      <c r="W1340" s="399">
        <f t="shared" si="4264"/>
        <v>14</v>
      </c>
      <c r="X1340" s="399" t="s">
        <v>125</v>
      </c>
      <c r="Y1340" s="389">
        <f t="shared" ref="Y1340" si="4269">D1325</f>
        <v>3</v>
      </c>
      <c r="Z1340" s="400" t="s">
        <v>176</v>
      </c>
      <c r="AA1340" s="402">
        <f t="shared" si="4266"/>
        <v>0</v>
      </c>
      <c r="AB1340" s="403"/>
    </row>
    <row r="1341" spans="1:28">
      <c r="A1341" s="384" t="str">
        <f t="shared" ref="A1341:B1341" si="4270">A1315</f>
        <v>Lantai 1</v>
      </c>
      <c r="B1341" s="385">
        <f t="shared" si="4270"/>
        <v>43</v>
      </c>
      <c r="C1341" s="393" t="s">
        <v>213</v>
      </c>
      <c r="D1341" s="398">
        <f>VLOOKUP(D1315,'Detail Balok'!$C$10:$BJ$140,56,FALSE)</f>
        <v>0</v>
      </c>
      <c r="E1341" s="388" t="s">
        <v>16</v>
      </c>
      <c r="F1341" s="388">
        <f>VLOOKUP(D1315,'Detail Balok'!$C$10:$BJ$140,58,FALSE)</f>
        <v>0</v>
      </c>
      <c r="G1341" s="405" t="s">
        <v>157</v>
      </c>
      <c r="H1341" s="395">
        <f>VLOOKUP(D1315,'Detail Balok'!$C$10:$BJ$140,60,FALSE)</f>
        <v>100</v>
      </c>
      <c r="I1341" s="388"/>
      <c r="J1341" s="399">
        <f t="shared" ref="J1341" si="4271">(D1316-2*F$5)/1000</f>
        <v>0.12</v>
      </c>
      <c r="K1341" s="400" t="s">
        <v>204</v>
      </c>
      <c r="L1341" s="399">
        <f t="shared" si="4261"/>
        <v>0.15</v>
      </c>
      <c r="M1341" s="399" t="s">
        <v>176</v>
      </c>
      <c r="N1341" s="399">
        <f t="shared" si="4262"/>
        <v>0.27</v>
      </c>
      <c r="O1341" s="399"/>
      <c r="P1341" s="399"/>
      <c r="Q1341" s="399"/>
      <c r="R1341" s="399"/>
      <c r="S1341" s="399"/>
      <c r="T1341" s="399" t="s">
        <v>125</v>
      </c>
      <c r="U1341" s="401">
        <f t="shared" si="4263"/>
        <v>0</v>
      </c>
      <c r="V1341" s="399" t="s">
        <v>125</v>
      </c>
      <c r="W1341" s="399">
        <f t="shared" si="4264"/>
        <v>10</v>
      </c>
      <c r="X1341" s="399" t="s">
        <v>125</v>
      </c>
      <c r="Y1341" s="389">
        <f t="shared" ref="Y1341" si="4272">D1325</f>
        <v>3</v>
      </c>
      <c r="Z1341" s="400" t="s">
        <v>176</v>
      </c>
      <c r="AA1341" s="402">
        <f t="shared" si="4266"/>
        <v>0</v>
      </c>
      <c r="AB1341" s="403"/>
    </row>
    <row r="1342" spans="1:28">
      <c r="A1342" s="391"/>
      <c r="B1342" s="392"/>
      <c r="C1342" s="392"/>
      <c r="D1342" s="394"/>
      <c r="E1342" s="388"/>
      <c r="F1342" s="388"/>
      <c r="G1342" s="388"/>
      <c r="H1342" s="395"/>
      <c r="I1342" s="388"/>
      <c r="J1342" s="402"/>
      <c r="K1342" s="388"/>
      <c r="L1342" s="388"/>
      <c r="M1342" s="388"/>
      <c r="N1342" s="388"/>
      <c r="O1342" s="388"/>
      <c r="P1342" s="388"/>
      <c r="Q1342" s="388"/>
      <c r="R1342" s="388"/>
      <c r="S1342" s="388"/>
      <c r="T1342" s="388"/>
      <c r="U1342" s="388"/>
      <c r="V1342" s="388"/>
      <c r="W1342" s="388"/>
      <c r="X1342" s="388"/>
      <c r="Y1342" s="389"/>
      <c r="Z1342" s="388"/>
      <c r="AA1342" s="402"/>
      <c r="AB1342" s="403"/>
    </row>
    <row r="1343" spans="1:28" ht="15.75" thickBot="1">
      <c r="A1343" s="406"/>
      <c r="B1343" s="407"/>
      <c r="C1343" s="407"/>
      <c r="D1343" s="408"/>
      <c r="E1343" s="409"/>
      <c r="F1343" s="409"/>
      <c r="G1343" s="409"/>
      <c r="H1343" s="410"/>
      <c r="I1343" s="409"/>
      <c r="J1343" s="409"/>
      <c r="K1343" s="409"/>
      <c r="L1343" s="409"/>
      <c r="M1343" s="409"/>
      <c r="N1343" s="409"/>
      <c r="O1343" s="409"/>
      <c r="P1343" s="409"/>
      <c r="Q1343" s="409"/>
      <c r="R1343" s="409"/>
      <c r="S1343" s="409"/>
      <c r="T1343" s="409"/>
      <c r="U1343" s="409"/>
      <c r="V1343" s="409"/>
      <c r="W1343" s="409"/>
      <c r="X1343" s="409"/>
      <c r="Y1343" s="411"/>
      <c r="Z1343" s="409"/>
      <c r="AA1343" s="412"/>
      <c r="AB1343" s="413"/>
    </row>
    <row r="1344" spans="1:28">
      <c r="A1344" s="377"/>
      <c r="B1344" s="378"/>
      <c r="C1344" s="378"/>
      <c r="D1344" s="379"/>
      <c r="E1344" s="380"/>
      <c r="F1344" s="380"/>
      <c r="G1344" s="380"/>
      <c r="H1344" s="381"/>
      <c r="I1344" s="380"/>
      <c r="J1344" s="380"/>
      <c r="K1344" s="380"/>
      <c r="L1344" s="380"/>
      <c r="M1344" s="380"/>
      <c r="N1344" s="380"/>
      <c r="O1344" s="380"/>
      <c r="P1344" s="380"/>
      <c r="Q1344" s="380"/>
      <c r="R1344" s="380"/>
      <c r="S1344" s="380"/>
      <c r="T1344" s="380"/>
      <c r="U1344" s="380"/>
      <c r="V1344" s="380"/>
      <c r="W1344" s="380"/>
      <c r="X1344" s="380"/>
      <c r="Y1344" s="382"/>
      <c r="Z1344" s="380"/>
      <c r="AA1344" s="380"/>
      <c r="AB1344" s="383"/>
    </row>
    <row r="1345" spans="1:28">
      <c r="A1345" s="384" t="str">
        <f t="shared" ref="A1345:A1405" si="4273">A1315</f>
        <v>Lantai 1</v>
      </c>
      <c r="B1345" s="385">
        <f t="shared" ref="B1345:B1405" si="4274">B1315+1</f>
        <v>44</v>
      </c>
      <c r="C1345" s="386" t="str">
        <f t="shared" ref="C1345" si="4275">CONCATENATE(A1345," no. ",B1345)</f>
        <v>Lantai 1 no. 44</v>
      </c>
      <c r="D1345" s="2562" t="str">
        <f>VLOOKUP(C1345,'Data Panjang Balok'!$C$9:$N$254,2,FALSE)</f>
        <v>S36-1</v>
      </c>
      <c r="E1345" s="2576"/>
      <c r="F1345" s="2576"/>
      <c r="G1345" s="2576"/>
      <c r="H1345" s="2577"/>
      <c r="I1345" s="387"/>
      <c r="J1345" s="388"/>
      <c r="K1345" s="388"/>
      <c r="L1345" s="388"/>
      <c r="M1345" s="388"/>
      <c r="N1345" s="388"/>
      <c r="O1345" s="388"/>
      <c r="P1345" s="388"/>
      <c r="Q1345" s="388"/>
      <c r="R1345" s="388"/>
      <c r="S1345" s="388"/>
      <c r="T1345" s="388"/>
      <c r="U1345" s="388"/>
      <c r="V1345" s="388"/>
      <c r="W1345" s="388"/>
      <c r="X1345" s="388"/>
      <c r="Y1345" s="389"/>
      <c r="Z1345" s="388"/>
      <c r="AA1345" s="388"/>
      <c r="AB1345" s="390"/>
    </row>
    <row r="1346" spans="1:28">
      <c r="A1346" s="391"/>
      <c r="B1346" s="392"/>
      <c r="C1346" s="393" t="s">
        <v>118</v>
      </c>
      <c r="D1346" s="2578">
        <f>VLOOKUP(D1345,'Detail Balok'!$C$10:$AU$140,2,FALSE)</f>
        <v>300</v>
      </c>
      <c r="E1346" s="2579"/>
      <c r="F1346" s="388" t="s">
        <v>125</v>
      </c>
      <c r="G1346" s="2579">
        <f>VLOOKUP(D1345,'Detail Balok'!$C$10:$AU$140,3,FALSE)</f>
        <v>600</v>
      </c>
      <c r="H1346" s="2580"/>
      <c r="I1346" s="388"/>
      <c r="J1346" s="396"/>
      <c r="K1346" s="396"/>
      <c r="L1346" s="396"/>
      <c r="M1346" s="396"/>
      <c r="N1346" s="396"/>
      <c r="O1346" s="396"/>
      <c r="P1346" s="396"/>
      <c r="Q1346" s="396"/>
      <c r="R1346" s="396"/>
      <c r="S1346" s="396"/>
      <c r="T1346" s="396"/>
      <c r="U1346" s="388"/>
      <c r="V1346" s="396"/>
      <c r="W1346" s="388"/>
      <c r="X1346" s="396"/>
      <c r="Y1346" s="389"/>
      <c r="Z1346" s="396"/>
      <c r="AA1346" s="388"/>
      <c r="AB1346" s="390"/>
    </row>
    <row r="1347" spans="1:28">
      <c r="A1347" s="391"/>
      <c r="B1347" s="392"/>
      <c r="C1347" s="393" t="s">
        <v>198</v>
      </c>
      <c r="D1347" s="2562">
        <f>VLOOKUP(C1345,'Data Panjang Balok'!$C$9:$N$254,4,FALSE)</f>
        <v>5585</v>
      </c>
      <c r="E1347" s="2563"/>
      <c r="F1347" s="2563"/>
      <c r="G1347" s="2563"/>
      <c r="H1347" s="2564"/>
      <c r="I1347" s="397"/>
      <c r="J1347" s="396"/>
      <c r="K1347" s="396"/>
      <c r="L1347" s="396"/>
      <c r="M1347" s="396"/>
      <c r="N1347" s="396"/>
      <c r="O1347" s="396"/>
      <c r="P1347" s="396"/>
      <c r="Q1347" s="396"/>
      <c r="R1347" s="396"/>
      <c r="S1347" s="396"/>
      <c r="T1347" s="396"/>
      <c r="U1347" s="388"/>
      <c r="V1347" s="396"/>
      <c r="W1347" s="388"/>
      <c r="X1347" s="396"/>
      <c r="Y1347" s="389"/>
      <c r="Z1347" s="396"/>
      <c r="AA1347" s="388"/>
      <c r="AB1347" s="390"/>
    </row>
    <row r="1348" spans="1:28">
      <c r="A1348" s="391"/>
      <c r="B1348" s="392"/>
      <c r="C1348" s="393" t="s">
        <v>199</v>
      </c>
      <c r="D1348" s="2562">
        <f>VLOOKUP(C1345,'Data Panjang Balok'!$C$9:$N$254,7,FALSE)</f>
        <v>5585</v>
      </c>
      <c r="E1348" s="2563"/>
      <c r="F1348" s="2563"/>
      <c r="G1348" s="2563"/>
      <c r="H1348" s="2564"/>
      <c r="I1348" s="397"/>
      <c r="J1348" s="396"/>
      <c r="K1348" s="396"/>
      <c r="L1348" s="396"/>
      <c r="M1348" s="396"/>
      <c r="N1348" s="396"/>
      <c r="O1348" s="396"/>
      <c r="P1348" s="396"/>
      <c r="Q1348" s="396"/>
      <c r="R1348" s="396"/>
      <c r="S1348" s="396"/>
      <c r="T1348" s="396"/>
      <c r="U1348" s="388"/>
      <c r="V1348" s="396"/>
      <c r="W1348" s="388"/>
      <c r="X1348" s="396"/>
      <c r="Y1348" s="389"/>
      <c r="Z1348" s="396"/>
      <c r="AA1348" s="388"/>
      <c r="AB1348" s="390"/>
    </row>
    <row r="1349" spans="1:28">
      <c r="A1349" s="391"/>
      <c r="B1349" s="392"/>
      <c r="C1349" s="393" t="s">
        <v>200</v>
      </c>
      <c r="D1349" s="2562">
        <f>VLOOKUP(C1345,'Data Panjang Balok'!$C$9:$N$254,9,FALSE)</f>
        <v>0</v>
      </c>
      <c r="E1349" s="2563"/>
      <c r="F1349" s="2563"/>
      <c r="G1349" s="2563"/>
      <c r="H1349" s="2564"/>
      <c r="I1349" s="397"/>
      <c r="J1349" s="396"/>
      <c r="K1349" s="396"/>
      <c r="L1349" s="396"/>
      <c r="M1349" s="396"/>
      <c r="N1349" s="396"/>
      <c r="O1349" s="396"/>
      <c r="P1349" s="396"/>
      <c r="Q1349" s="396"/>
      <c r="R1349" s="396"/>
      <c r="S1349" s="396"/>
      <c r="T1349" s="396"/>
      <c r="U1349" s="388"/>
      <c r="V1349" s="396"/>
      <c r="W1349" s="388"/>
      <c r="X1349" s="396"/>
      <c r="Y1349" s="389"/>
      <c r="Z1349" s="396"/>
      <c r="AA1349" s="388"/>
      <c r="AB1349" s="390"/>
    </row>
    <row r="1350" spans="1:28">
      <c r="A1350" s="391"/>
      <c r="B1350" s="392"/>
      <c r="C1350" s="393" t="s">
        <v>201</v>
      </c>
      <c r="D1350" s="2562">
        <f>VLOOKUP(C1345,'Data Panjang Balok'!$C$9:$N$254,10,FALSE)</f>
        <v>0</v>
      </c>
      <c r="E1350" s="2563"/>
      <c r="F1350" s="2563"/>
      <c r="G1350" s="2563"/>
      <c r="H1350" s="2564"/>
      <c r="I1350" s="397"/>
      <c r="J1350" s="396"/>
      <c r="K1350" s="396"/>
      <c r="L1350" s="396"/>
      <c r="M1350" s="396"/>
      <c r="N1350" s="396"/>
      <c r="O1350" s="396"/>
      <c r="P1350" s="396"/>
      <c r="Q1350" s="396"/>
      <c r="R1350" s="396"/>
      <c r="S1350" s="396"/>
      <c r="T1350" s="396"/>
      <c r="U1350" s="388"/>
      <c r="V1350" s="396"/>
      <c r="W1350" s="388"/>
      <c r="X1350" s="396"/>
      <c r="Y1350" s="389"/>
      <c r="Z1350" s="396"/>
      <c r="AA1350" s="388"/>
      <c r="AB1350" s="390"/>
    </row>
    <row r="1351" spans="1:28">
      <c r="A1351" s="391"/>
      <c r="B1351" s="392"/>
      <c r="C1351" s="393" t="s">
        <v>48</v>
      </c>
      <c r="D1351" s="2562">
        <f>VLOOKUP(C1345,'Data Panjang Balok'!$C$9:$N$254,3,FALSE)</f>
        <v>1</v>
      </c>
      <c r="E1351" s="2563"/>
      <c r="F1351" s="2563"/>
      <c r="G1351" s="2563"/>
      <c r="H1351" s="2564"/>
      <c r="I1351" s="397"/>
      <c r="J1351" s="396"/>
      <c r="K1351" s="396"/>
      <c r="L1351" s="396"/>
      <c r="M1351" s="396"/>
      <c r="N1351" s="396"/>
      <c r="O1351" s="396"/>
      <c r="P1351" s="396"/>
      <c r="Q1351" s="396"/>
      <c r="R1351" s="396"/>
      <c r="S1351" s="396"/>
      <c r="T1351" s="396"/>
      <c r="U1351" s="388"/>
      <c r="V1351" s="396"/>
      <c r="W1351" s="388"/>
      <c r="X1351" s="396"/>
      <c r="Y1351" s="389"/>
      <c r="Z1351" s="396"/>
      <c r="AA1351" s="388"/>
      <c r="AB1351" s="390"/>
    </row>
    <row r="1352" spans="1:28">
      <c r="A1352" s="384" t="str">
        <f t="shared" ref="A1352:B1352" si="4276">A1345</f>
        <v>Lantai 1</v>
      </c>
      <c r="B1352" s="385">
        <f t="shared" si="4276"/>
        <v>44</v>
      </c>
      <c r="C1352" s="393" t="s">
        <v>202</v>
      </c>
      <c r="D1352" s="398">
        <f>VLOOKUP(D1345,'Detail Balok'!$C$10:$AU$140,4,FALSE)</f>
        <v>4</v>
      </c>
      <c r="E1352" s="388" t="s">
        <v>16</v>
      </c>
      <c r="F1352" s="388">
        <f>VLOOKUP(D1345,'Detail Balok'!$C$10:$AU$140,6,FALSE)</f>
        <v>16</v>
      </c>
      <c r="G1352" s="388"/>
      <c r="H1352" s="395"/>
      <c r="I1352" s="388" t="s">
        <v>203</v>
      </c>
      <c r="J1352" s="399">
        <f t="shared" ref="J1352" si="4277">+D1347/4/1000</f>
        <v>1.39625</v>
      </c>
      <c r="K1352" s="400" t="s">
        <v>204</v>
      </c>
      <c r="L1352" s="399">
        <f t="shared" ref="L1352" si="4278">MAX(VLOOKUP(F1352,N$6:P$15,3,FALSE)/1000,2/3*D1349/1000)+F$16*F1352/1000</f>
        <v>0.192</v>
      </c>
      <c r="M1352" s="399" t="s">
        <v>176</v>
      </c>
      <c r="N1352" s="399">
        <f t="shared" ref="N1352:N1354" si="4279">J1352+L1352</f>
        <v>1.5882499999999999</v>
      </c>
      <c r="O1352" s="399" t="s">
        <v>204</v>
      </c>
      <c r="P1352" s="389">
        <f t="shared" ref="P1352" si="4280">D1352-D1353</f>
        <v>0</v>
      </c>
      <c r="Q1352" s="399" t="s">
        <v>125</v>
      </c>
      <c r="R1352" s="399">
        <f t="shared" ref="R1352" si="4281">IF(P1352&gt;0,$F$18*F1352/1000,0)</f>
        <v>0</v>
      </c>
      <c r="S1352" s="399" t="s">
        <v>205</v>
      </c>
      <c r="T1352" s="399" t="s">
        <v>125</v>
      </c>
      <c r="U1352" s="401">
        <f t="shared" ref="U1352:U1354" si="4282">0.006165*F1352^2</f>
        <v>1.5782400000000001</v>
      </c>
      <c r="V1352" s="399"/>
      <c r="W1352" s="399"/>
      <c r="X1352" s="399" t="s">
        <v>125</v>
      </c>
      <c r="Y1352" s="389">
        <f t="shared" ref="Y1352" si="4283">D1351</f>
        <v>1</v>
      </c>
      <c r="Z1352" s="400" t="s">
        <v>176</v>
      </c>
      <c r="AA1352" s="402">
        <f t="shared" ref="AA1352" si="4284">IF(AA1355=0,(D1352*N1352+P1352*R1352)*U1352*Y1352,0)</f>
        <v>0</v>
      </c>
      <c r="AB1352" s="403"/>
    </row>
    <row r="1353" spans="1:28">
      <c r="A1353" s="384" t="str">
        <f t="shared" ref="A1353:B1353" si="4285">A1345</f>
        <v>Lantai 1</v>
      </c>
      <c r="B1353" s="385">
        <f t="shared" si="4285"/>
        <v>44</v>
      </c>
      <c r="C1353" s="393" t="s">
        <v>206</v>
      </c>
      <c r="D1353" s="398">
        <f>VLOOKUP(D1345,'Detail Balok'!$C$10:$AU$140,7,FALSE)</f>
        <v>4</v>
      </c>
      <c r="E1353" s="388" t="s">
        <v>16</v>
      </c>
      <c r="F1353" s="388">
        <f>VLOOKUP(D1345,'Detail Balok'!$C$10:$AU$140,9,FALSE)</f>
        <v>16</v>
      </c>
      <c r="G1353" s="388"/>
      <c r="H1353" s="395"/>
      <c r="I1353" s="388" t="s">
        <v>203</v>
      </c>
      <c r="J1353" s="399">
        <f t="shared" ref="J1353" si="4286">+D1347/2/1000</f>
        <v>2.7925</v>
      </c>
      <c r="K1353" s="400" t="s">
        <v>204</v>
      </c>
      <c r="L1353" s="399"/>
      <c r="M1353" s="399" t="s">
        <v>176</v>
      </c>
      <c r="N1353" s="399">
        <f t="shared" si="4279"/>
        <v>2.7925</v>
      </c>
      <c r="O1353" s="399" t="s">
        <v>204</v>
      </c>
      <c r="P1353" s="389">
        <f t="shared" ref="P1353" si="4287">MAX(D1353-D1352,D1353-D1354)</f>
        <v>0</v>
      </c>
      <c r="Q1353" s="399" t="s">
        <v>125</v>
      </c>
      <c r="R1353" s="399">
        <f t="shared" ref="R1353" si="4288">IF(P1353&gt;0,2*(1-2*$F$19-1/2)*D1348/1000,0)</f>
        <v>0</v>
      </c>
      <c r="S1353" s="399" t="s">
        <v>205</v>
      </c>
      <c r="T1353" s="399" t="s">
        <v>125</v>
      </c>
      <c r="U1353" s="401">
        <f t="shared" si="4282"/>
        <v>1.5782400000000001</v>
      </c>
      <c r="V1353" s="399"/>
      <c r="W1353" s="399"/>
      <c r="X1353" s="399" t="s">
        <v>125</v>
      </c>
      <c r="Y1353" s="389">
        <f t="shared" ref="Y1353" si="4289">D1351</f>
        <v>1</v>
      </c>
      <c r="Z1353" s="400" t="s">
        <v>176</v>
      </c>
      <c r="AA1353" s="402">
        <f t="shared" ref="AA1353" si="4290">IF(AA1355=0,(D1353*N1353+P1353*R1353)*U1353*Y1353,0)</f>
        <v>0</v>
      </c>
      <c r="AB1353" s="403"/>
    </row>
    <row r="1354" spans="1:28">
      <c r="A1354" s="384" t="str">
        <f t="shared" ref="A1354:B1354" si="4291">A1345</f>
        <v>Lantai 1</v>
      </c>
      <c r="B1354" s="385">
        <f t="shared" si="4291"/>
        <v>44</v>
      </c>
      <c r="C1354" s="393" t="s">
        <v>202</v>
      </c>
      <c r="D1354" s="398">
        <f>VLOOKUP(D1345,'Detail Balok'!$C$10:$AU$140,10,FALSE)</f>
        <v>4</v>
      </c>
      <c r="E1354" s="388" t="s">
        <v>16</v>
      </c>
      <c r="F1354" s="388">
        <f>VLOOKUP(D1345,'Detail Balok'!$C$10:$AU$140,12,FALSE)</f>
        <v>16</v>
      </c>
      <c r="G1354" s="388"/>
      <c r="H1354" s="395"/>
      <c r="I1354" s="388" t="s">
        <v>203</v>
      </c>
      <c r="J1354" s="399">
        <f t="shared" ref="J1354" si="4292">+D1347/4/1000</f>
        <v>1.39625</v>
      </c>
      <c r="K1354" s="400" t="s">
        <v>204</v>
      </c>
      <c r="L1354" s="399">
        <f t="shared" ref="L1354" si="4293">MAX(VLOOKUP(F1354,N$6:P$15,3,FALSE)/1000,2/3*D1349/1000)+F$16*F1354/1000</f>
        <v>0.192</v>
      </c>
      <c r="M1354" s="399" t="s">
        <v>176</v>
      </c>
      <c r="N1354" s="399">
        <f t="shared" si="4279"/>
        <v>1.5882499999999999</v>
      </c>
      <c r="O1354" s="399" t="s">
        <v>204</v>
      </c>
      <c r="P1354" s="389">
        <f t="shared" ref="P1354" si="4294">D1354-D1353</f>
        <v>0</v>
      </c>
      <c r="Q1354" s="399" t="s">
        <v>125</v>
      </c>
      <c r="R1354" s="399">
        <f t="shared" ref="R1354" si="4295">IF(P1354&gt;0,$F$18*F1354/1000,0)</f>
        <v>0</v>
      </c>
      <c r="S1354" s="399" t="s">
        <v>205</v>
      </c>
      <c r="T1354" s="399" t="s">
        <v>125</v>
      </c>
      <c r="U1354" s="401">
        <f t="shared" si="4282"/>
        <v>1.5782400000000001</v>
      </c>
      <c r="V1354" s="399"/>
      <c r="W1354" s="399"/>
      <c r="X1354" s="399" t="s">
        <v>125</v>
      </c>
      <c r="Y1354" s="389">
        <f t="shared" ref="Y1354" si="4296">D1351</f>
        <v>1</v>
      </c>
      <c r="Z1354" s="400" t="s">
        <v>176</v>
      </c>
      <c r="AA1354" s="402">
        <f t="shared" ref="AA1354" si="4297">IF(AA1355=0,(D1354*N1354+P1354*R1354)*U1354*Y1354,0)</f>
        <v>0</v>
      </c>
      <c r="AB1354" s="403"/>
    </row>
    <row r="1355" spans="1:28">
      <c r="A1355" s="384" t="str">
        <f t="shared" ref="A1355:B1355" si="4298">A1345</f>
        <v>Lantai 1</v>
      </c>
      <c r="B1355" s="385">
        <f t="shared" si="4298"/>
        <v>44</v>
      </c>
      <c r="C1355" s="393"/>
      <c r="D1355" s="398">
        <f t="shared" si="4194"/>
        <v>4</v>
      </c>
      <c r="E1355" s="388" t="s">
        <v>16</v>
      </c>
      <c r="F1355" s="388">
        <f t="shared" si="4195"/>
        <v>16</v>
      </c>
      <c r="G1355" s="388"/>
      <c r="H1355" s="395"/>
      <c r="I1355" s="388"/>
      <c r="J1355" s="396"/>
      <c r="K1355" s="396"/>
      <c r="L1355" s="404" t="s">
        <v>207</v>
      </c>
      <c r="M1355" s="399" t="s">
        <v>176</v>
      </c>
      <c r="N1355" s="399">
        <f t="shared" ref="N1355" si="4299">IF(AND(D1352=D1353,D1352=D1354,D1353=D1354,F1352=F1353,F1352=F1354,F1353=F1354),SUM(N1352:N1354),0)</f>
        <v>5.9689999999999994</v>
      </c>
      <c r="O1355" s="399" t="s">
        <v>204</v>
      </c>
      <c r="P1355" s="389">
        <f t="shared" ref="P1355" si="4300">IF(N1355&gt;12,ROUNDDOWN(N1355/12,0),0)</f>
        <v>0</v>
      </c>
      <c r="Q1355" s="399" t="s">
        <v>125</v>
      </c>
      <c r="R1355" s="399">
        <f t="shared" ref="R1355" si="4301">IF(P1355&gt;0,MAX(VLOOKUP(F1355,$D$6:$G$15,3,FALSE),600),0)/1000</f>
        <v>0</v>
      </c>
      <c r="S1355" s="396"/>
      <c r="T1355" s="396" t="s">
        <v>125</v>
      </c>
      <c r="U1355" s="401">
        <f t="shared" si="4199"/>
        <v>1.5782400000000001</v>
      </c>
      <c r="V1355" s="396" t="s">
        <v>125</v>
      </c>
      <c r="W1355" s="399">
        <f t="shared" ref="W1355" si="4302">D1355</f>
        <v>4</v>
      </c>
      <c r="X1355" s="399" t="s">
        <v>125</v>
      </c>
      <c r="Y1355" s="389">
        <f t="shared" si="4201"/>
        <v>1</v>
      </c>
      <c r="Z1355" s="400" t="s">
        <v>176</v>
      </c>
      <c r="AA1355" s="402">
        <f t="shared" ref="AA1355" si="4303">(N1355+P1355*R1355/1000)*U1355*W1355*Y1355</f>
        <v>37.682058239999996</v>
      </c>
      <c r="AB1355" s="390"/>
    </row>
    <row r="1356" spans="1:28">
      <c r="A1356" s="384"/>
      <c r="B1356" s="385"/>
      <c r="C1356" s="393"/>
      <c r="D1356" s="398"/>
      <c r="E1356" s="388"/>
      <c r="F1356" s="388"/>
      <c r="G1356" s="388"/>
      <c r="H1356" s="395"/>
      <c r="I1356" s="388"/>
      <c r="J1356" s="396"/>
      <c r="K1356" s="396"/>
      <c r="L1356" s="404"/>
      <c r="M1356" s="399"/>
      <c r="N1356" s="399"/>
      <c r="O1356" s="396"/>
      <c r="P1356" s="389"/>
      <c r="Q1356" s="396"/>
      <c r="R1356" s="396"/>
      <c r="S1356" s="396"/>
      <c r="T1356" s="396"/>
      <c r="U1356" s="401"/>
      <c r="V1356" s="396"/>
      <c r="W1356" s="399"/>
      <c r="X1356" s="396"/>
      <c r="Y1356" s="389"/>
      <c r="Z1356" s="396"/>
      <c r="AA1356" s="388"/>
      <c r="AB1356" s="390"/>
    </row>
    <row r="1357" spans="1:28">
      <c r="A1357" s="384" t="str">
        <f t="shared" ref="A1357:B1357" si="4304">A1345</f>
        <v>Lantai 1</v>
      </c>
      <c r="B1357" s="385">
        <f t="shared" si="4304"/>
        <v>44</v>
      </c>
      <c r="C1357" s="393" t="s">
        <v>208</v>
      </c>
      <c r="D1357" s="398">
        <f>VLOOKUP(D1345,'Detail Balok'!$C$10:$AU$140,13,FALSE)</f>
        <v>2</v>
      </c>
      <c r="E1357" s="388" t="s">
        <v>16</v>
      </c>
      <c r="F1357" s="388">
        <f>VLOOKUP(D1345,'Detail Balok'!$C$10:$AU$140,15,FALSE)</f>
        <v>10</v>
      </c>
      <c r="G1357" s="388"/>
      <c r="H1357" s="395"/>
      <c r="I1357" s="388"/>
      <c r="J1357" s="399">
        <f t="shared" ref="J1357" si="4305">+D1347/1000</f>
        <v>5.585</v>
      </c>
      <c r="K1357" s="400" t="s">
        <v>204</v>
      </c>
      <c r="L1357" s="399">
        <f t="shared" ref="L1357" si="4306">2*$F$16*F1357/1000</f>
        <v>0.24</v>
      </c>
      <c r="M1357" s="399" t="s">
        <v>176</v>
      </c>
      <c r="N1357" s="399">
        <f t="shared" ref="N1357" si="4307">J1357+L1357</f>
        <v>5.8250000000000002</v>
      </c>
      <c r="O1357" s="399" t="s">
        <v>204</v>
      </c>
      <c r="P1357" s="389">
        <f t="shared" ref="P1357" si="4308">IF(N1357&gt;12,ROUNDDOWN(N1357/12,0),0)</f>
        <v>0</v>
      </c>
      <c r="Q1357" s="399" t="s">
        <v>125</v>
      </c>
      <c r="R1357" s="399">
        <f t="shared" ref="R1357" si="4309">IF(P1357&gt;0,MAX(VLOOKUP(F1357,$D$6:$G$15,3,FALSE),600),0)/1000</f>
        <v>0</v>
      </c>
      <c r="S1357" s="399"/>
      <c r="T1357" s="399" t="s">
        <v>125</v>
      </c>
      <c r="U1357" s="401">
        <f t="shared" ref="U1357" si="4310">0.006165*F1357^2</f>
        <v>0.61650000000000005</v>
      </c>
      <c r="V1357" s="399" t="s">
        <v>125</v>
      </c>
      <c r="W1357" s="399">
        <f t="shared" ref="W1357" si="4311">+D1357</f>
        <v>2</v>
      </c>
      <c r="X1357" s="399" t="s">
        <v>125</v>
      </c>
      <c r="Y1357" s="389">
        <f t="shared" ref="Y1357" si="4312">D1351</f>
        <v>1</v>
      </c>
      <c r="Z1357" s="400" t="s">
        <v>176</v>
      </c>
      <c r="AA1357" s="402">
        <f t="shared" ref="AA1357" si="4313">(N1357+P1357*R1357/1000)*U1357*W1357*Y1357</f>
        <v>7.1822250000000007</v>
      </c>
      <c r="AB1357" s="403"/>
    </row>
    <row r="1358" spans="1:28">
      <c r="A1358" s="384"/>
      <c r="B1358" s="385"/>
      <c r="C1358" s="393"/>
      <c r="D1358" s="398"/>
      <c r="E1358" s="388"/>
      <c r="F1358" s="388"/>
      <c r="G1358" s="388"/>
      <c r="H1358" s="395"/>
      <c r="I1358" s="388"/>
      <c r="J1358" s="399"/>
      <c r="K1358" s="400"/>
      <c r="L1358" s="399"/>
      <c r="M1358" s="399"/>
      <c r="N1358" s="399"/>
      <c r="O1358" s="399"/>
      <c r="P1358" s="389"/>
      <c r="Q1358" s="399"/>
      <c r="R1358" s="399"/>
      <c r="S1358" s="399"/>
      <c r="T1358" s="399"/>
      <c r="U1358" s="401"/>
      <c r="V1358" s="399"/>
      <c r="W1358" s="399"/>
      <c r="X1358" s="399"/>
      <c r="Y1358" s="389"/>
      <c r="Z1358" s="400"/>
      <c r="AA1358" s="402"/>
      <c r="AB1358" s="403"/>
    </row>
    <row r="1359" spans="1:28">
      <c r="A1359" s="384"/>
      <c r="B1359" s="385"/>
      <c r="C1359" s="393"/>
      <c r="D1359" s="398"/>
      <c r="E1359" s="388"/>
      <c r="F1359" s="388"/>
      <c r="G1359" s="388"/>
      <c r="H1359" s="395"/>
      <c r="I1359" s="388"/>
      <c r="J1359" s="396"/>
      <c r="K1359" s="396"/>
      <c r="L1359" s="396"/>
      <c r="M1359" s="396"/>
      <c r="N1359" s="396"/>
      <c r="O1359" s="396"/>
      <c r="P1359" s="389"/>
      <c r="Q1359" s="396"/>
      <c r="R1359" s="396"/>
      <c r="S1359" s="396"/>
      <c r="T1359" s="396"/>
      <c r="U1359" s="401"/>
      <c r="V1359" s="396"/>
      <c r="W1359" s="399"/>
      <c r="X1359" s="396"/>
      <c r="Y1359" s="389"/>
      <c r="Z1359" s="396"/>
      <c r="AA1359" s="388"/>
      <c r="AB1359" s="390"/>
    </row>
    <row r="1360" spans="1:28">
      <c r="A1360" s="384" t="str">
        <f t="shared" ref="A1360:B1360" si="4314">A1345</f>
        <v>Lantai 1</v>
      </c>
      <c r="B1360" s="385">
        <f t="shared" si="4314"/>
        <v>44</v>
      </c>
      <c r="C1360" s="393" t="s">
        <v>209</v>
      </c>
      <c r="D1360" s="398">
        <f>VLOOKUP(D1345,'Detail Balok'!$C$10:$AU$140,22,FALSE)</f>
        <v>4</v>
      </c>
      <c r="E1360" s="388" t="s">
        <v>16</v>
      </c>
      <c r="F1360" s="388">
        <f>VLOOKUP(D1345,'Detail Balok'!$C$10:$AU$140,24,FALSE)</f>
        <v>16</v>
      </c>
      <c r="G1360" s="388"/>
      <c r="H1360" s="395"/>
      <c r="I1360" s="388" t="s">
        <v>203</v>
      </c>
      <c r="J1360" s="399">
        <f t="shared" si="4214"/>
        <v>1.39625</v>
      </c>
      <c r="K1360" s="400" t="s">
        <v>204</v>
      </c>
      <c r="L1360" s="399">
        <f t="shared" ref="L1360" si="4315">MAX(VLOOKUP(F1360,N$6:P$15,3,FALSE)/1000,2/3*D1350/1000)+F$16*F1360/1000</f>
        <v>0.192</v>
      </c>
      <c r="M1360" s="399" t="s">
        <v>176</v>
      </c>
      <c r="N1360" s="399">
        <f t="shared" ref="N1360:N1362" si="4316">J1360+L1360</f>
        <v>1.5882499999999999</v>
      </c>
      <c r="O1360" s="399" t="s">
        <v>204</v>
      </c>
      <c r="P1360" s="389">
        <f t="shared" ref="P1360" si="4317">D1360-D1361</f>
        <v>0</v>
      </c>
      <c r="Q1360" s="399" t="s">
        <v>125</v>
      </c>
      <c r="R1360" s="399">
        <f t="shared" ref="R1360" si="4318">IF(P1360&gt;0,$F$18*F1360/1000,0)</f>
        <v>0</v>
      </c>
      <c r="S1360" s="399" t="s">
        <v>205</v>
      </c>
      <c r="T1360" s="399" t="s">
        <v>125</v>
      </c>
      <c r="U1360" s="401">
        <f t="shared" ref="U1360:U1362" si="4319">0.006165*F1360^2</f>
        <v>1.5782400000000001</v>
      </c>
      <c r="V1360" s="399"/>
      <c r="W1360" s="399"/>
      <c r="X1360" s="399" t="s">
        <v>125</v>
      </c>
      <c r="Y1360" s="389">
        <f t="shared" ref="Y1360" si="4320">D1351</f>
        <v>1</v>
      </c>
      <c r="Z1360" s="400" t="s">
        <v>176</v>
      </c>
      <c r="AA1360" s="402">
        <f t="shared" ref="AA1360" si="4321">IF(AA1363=0,(D1360*N1360+P1360*R1360)*U1360*Y1360,0)</f>
        <v>0</v>
      </c>
      <c r="AB1360" s="403"/>
    </row>
    <row r="1361" spans="1:28">
      <c r="A1361" s="384" t="str">
        <f t="shared" ref="A1361:B1361" si="4322">A1345</f>
        <v>Lantai 1</v>
      </c>
      <c r="B1361" s="385">
        <f t="shared" si="4322"/>
        <v>44</v>
      </c>
      <c r="C1361" s="393" t="s">
        <v>210</v>
      </c>
      <c r="D1361" s="398">
        <f>VLOOKUP(D1345,'Detail Balok'!$C$10:$AU$140,25,FALSE)</f>
        <v>4</v>
      </c>
      <c r="E1361" s="388" t="s">
        <v>16</v>
      </c>
      <c r="F1361" s="388">
        <f>VLOOKUP(D1345,'Detail Balok'!$C$10:$AU$140,27,FALSE)</f>
        <v>16</v>
      </c>
      <c r="G1361" s="388"/>
      <c r="H1361" s="395"/>
      <c r="I1361" s="388" t="s">
        <v>203</v>
      </c>
      <c r="J1361" s="399">
        <f t="shared" si="4214"/>
        <v>2.7925</v>
      </c>
      <c r="K1361" s="400" t="s">
        <v>204</v>
      </c>
      <c r="L1361" s="399"/>
      <c r="M1361" s="399" t="s">
        <v>176</v>
      </c>
      <c r="N1361" s="399">
        <f t="shared" si="4316"/>
        <v>2.7925</v>
      </c>
      <c r="O1361" s="399" t="s">
        <v>204</v>
      </c>
      <c r="P1361" s="389">
        <f t="shared" ref="P1361" si="4323">MAX(D1361-D1360,D1361-D1362)</f>
        <v>0</v>
      </c>
      <c r="Q1361" s="399" t="s">
        <v>125</v>
      </c>
      <c r="R1361" s="399">
        <f t="shared" ref="R1361" si="4324">IF(P1361&gt;0,2*(1-2*$F$19-1/2)*D1348/1000,0)</f>
        <v>0</v>
      </c>
      <c r="S1361" s="399" t="s">
        <v>205</v>
      </c>
      <c r="T1361" s="399" t="s">
        <v>125</v>
      </c>
      <c r="U1361" s="401">
        <f t="shared" si="4319"/>
        <v>1.5782400000000001</v>
      </c>
      <c r="V1361" s="399"/>
      <c r="W1361" s="399"/>
      <c r="X1361" s="399" t="s">
        <v>125</v>
      </c>
      <c r="Y1361" s="389">
        <f t="shared" ref="Y1361" si="4325">D1351</f>
        <v>1</v>
      </c>
      <c r="Z1361" s="400" t="s">
        <v>176</v>
      </c>
      <c r="AA1361" s="402">
        <f t="shared" ref="AA1361" si="4326">IF(AA1363=0,(D1361*N1361+P1361*R1361)*U1361*Y1361,0)</f>
        <v>0</v>
      </c>
      <c r="AB1361" s="403"/>
    </row>
    <row r="1362" spans="1:28">
      <c r="A1362" s="384" t="str">
        <f t="shared" ref="A1362:B1362" si="4327">A1345</f>
        <v>Lantai 1</v>
      </c>
      <c r="B1362" s="385">
        <f t="shared" si="4327"/>
        <v>44</v>
      </c>
      <c r="C1362" s="393" t="s">
        <v>209</v>
      </c>
      <c r="D1362" s="398">
        <f>VLOOKUP(D1345,'Detail Balok'!$C$10:$AU$140,28,FALSE)</f>
        <v>4</v>
      </c>
      <c r="E1362" s="388" t="s">
        <v>16</v>
      </c>
      <c r="F1362" s="388">
        <f>VLOOKUP(D1345,'Detail Balok'!$C$10:$AU$140,30,FALSE)</f>
        <v>16</v>
      </c>
      <c r="G1362" s="388"/>
      <c r="H1362" s="395"/>
      <c r="I1362" s="388" t="s">
        <v>203</v>
      </c>
      <c r="J1362" s="399">
        <f t="shared" si="4214"/>
        <v>1.39625</v>
      </c>
      <c r="K1362" s="400" t="s">
        <v>204</v>
      </c>
      <c r="L1362" s="399">
        <f t="shared" ref="L1362" si="4328">MAX(VLOOKUP(F1362,N$6:P$15,3,FALSE)/1000,2/3*D1350/1000)+F$16*F1362/1000</f>
        <v>0.192</v>
      </c>
      <c r="M1362" s="399" t="s">
        <v>176</v>
      </c>
      <c r="N1362" s="399">
        <f t="shared" si="4316"/>
        <v>1.5882499999999999</v>
      </c>
      <c r="O1362" s="399" t="s">
        <v>204</v>
      </c>
      <c r="P1362" s="389">
        <f t="shared" ref="P1362" si="4329">D1362-D1361</f>
        <v>0</v>
      </c>
      <c r="Q1362" s="399" t="s">
        <v>125</v>
      </c>
      <c r="R1362" s="399">
        <f t="shared" ref="R1362" si="4330">IF(P1362&gt;0,$F$18*F1362/1000,0)</f>
        <v>0</v>
      </c>
      <c r="S1362" s="399" t="s">
        <v>205</v>
      </c>
      <c r="T1362" s="399" t="s">
        <v>125</v>
      </c>
      <c r="U1362" s="401">
        <f t="shared" si="4319"/>
        <v>1.5782400000000001</v>
      </c>
      <c r="V1362" s="399"/>
      <c r="W1362" s="399"/>
      <c r="X1362" s="399" t="s">
        <v>125</v>
      </c>
      <c r="Y1362" s="389">
        <f t="shared" ref="Y1362" si="4331">D1351</f>
        <v>1</v>
      </c>
      <c r="Z1362" s="400" t="s">
        <v>176</v>
      </c>
      <c r="AA1362" s="402">
        <f t="shared" ref="AA1362" si="4332">IF(AA1363=0,(D1362*N1362+P1362*R1362)*U1362*Y1362,0)</f>
        <v>0</v>
      </c>
      <c r="AB1362" s="403"/>
    </row>
    <row r="1363" spans="1:28">
      <c r="A1363" s="384" t="str">
        <f t="shared" ref="A1363:B1363" si="4333">A1345</f>
        <v>Lantai 1</v>
      </c>
      <c r="B1363" s="385">
        <f t="shared" si="4333"/>
        <v>44</v>
      </c>
      <c r="C1363" s="393"/>
      <c r="D1363" s="398">
        <f t="shared" si="4234"/>
        <v>4</v>
      </c>
      <c r="E1363" s="388" t="s">
        <v>16</v>
      </c>
      <c r="F1363" s="388">
        <f t="shared" si="4235"/>
        <v>16</v>
      </c>
      <c r="G1363" s="388"/>
      <c r="H1363" s="395"/>
      <c r="I1363" s="388"/>
      <c r="J1363" s="396"/>
      <c r="K1363" s="396"/>
      <c r="L1363" s="404" t="s">
        <v>207</v>
      </c>
      <c r="M1363" s="399" t="s">
        <v>176</v>
      </c>
      <c r="N1363" s="399">
        <f t="shared" ref="N1363" si="4334">IF(AND(D1360=D1361,D1360=D1362,D1361=D1362,F1360=F1361,F1360=F1362,F1361=F1362),SUM(N1360:N1362),0)</f>
        <v>5.9689999999999994</v>
      </c>
      <c r="O1363" s="399" t="s">
        <v>204</v>
      </c>
      <c r="P1363" s="389">
        <f t="shared" ref="P1363" si="4335">IF(N1363&gt;12,ROUNDDOWN(N1363/12,0),0)</f>
        <v>0</v>
      </c>
      <c r="Q1363" s="399" t="s">
        <v>125</v>
      </c>
      <c r="R1363" s="399">
        <f t="shared" ref="R1363" si="4336">IF(P1363&gt;0,MAX(VLOOKUP(F1363,$D$6:$G$15,3,FALSE),600),0)/1000</f>
        <v>0</v>
      </c>
      <c r="S1363" s="396"/>
      <c r="T1363" s="396" t="s">
        <v>125</v>
      </c>
      <c r="U1363" s="401">
        <f t="shared" si="4239"/>
        <v>1.5782400000000001</v>
      </c>
      <c r="V1363" s="396" t="s">
        <v>125</v>
      </c>
      <c r="W1363" s="399">
        <f t="shared" ref="W1363" si="4337">D1363</f>
        <v>4</v>
      </c>
      <c r="X1363" s="399" t="s">
        <v>125</v>
      </c>
      <c r="Y1363" s="389">
        <f t="shared" si="4241"/>
        <v>1</v>
      </c>
      <c r="Z1363" s="400" t="s">
        <v>176</v>
      </c>
      <c r="AA1363" s="402">
        <f t="shared" ref="AA1363" si="4338">(N1363+P1363*R1363/1000)*U1363*W1363*Y1363</f>
        <v>37.682058239999996</v>
      </c>
      <c r="AB1363" s="403"/>
    </row>
    <row r="1364" spans="1:28">
      <c r="A1364" s="384"/>
      <c r="B1364" s="385"/>
      <c r="C1364" s="393"/>
      <c r="D1364" s="394"/>
      <c r="E1364" s="388"/>
      <c r="F1364" s="388"/>
      <c r="G1364" s="388"/>
      <c r="H1364" s="395"/>
      <c r="I1364" s="388"/>
      <c r="J1364" s="399"/>
      <c r="K1364" s="396"/>
      <c r="L1364" s="396"/>
      <c r="M1364" s="396"/>
      <c r="N1364" s="396"/>
      <c r="O1364" s="396"/>
      <c r="P1364" s="389"/>
      <c r="Q1364" s="396"/>
      <c r="R1364" s="396"/>
      <c r="S1364" s="396"/>
      <c r="T1364" s="396"/>
      <c r="U1364" s="401"/>
      <c r="V1364" s="396"/>
      <c r="W1364" s="388"/>
      <c r="X1364" s="396"/>
      <c r="Y1364" s="389"/>
      <c r="Z1364" s="396"/>
      <c r="AA1364" s="388"/>
      <c r="AB1364" s="390"/>
    </row>
    <row r="1365" spans="1:28">
      <c r="A1365" s="384" t="str">
        <f t="shared" ref="A1365:B1365" si="4339">A1345</f>
        <v>Lantai 1</v>
      </c>
      <c r="B1365" s="385">
        <f t="shared" si="4339"/>
        <v>44</v>
      </c>
      <c r="C1365" s="393" t="s">
        <v>211</v>
      </c>
      <c r="D1365" s="398">
        <f>VLOOKUP(D1345,'Detail Balok'!$C$10:$AU$140,31,FALSE)</f>
        <v>0</v>
      </c>
      <c r="E1365" s="388" t="s">
        <v>16</v>
      </c>
      <c r="F1365" s="388">
        <f>VLOOKUP(D1345,'Detail Balok'!$C$10:$AU$140,33,FALSE)</f>
        <v>8</v>
      </c>
      <c r="G1365" s="405" t="s">
        <v>157</v>
      </c>
      <c r="H1365" s="395">
        <f>VLOOKUP(D1345,'Detail Balok'!$C$10:$AU$140,35,FALSE)</f>
        <v>150</v>
      </c>
      <c r="I1365" s="388"/>
      <c r="J1365" s="400">
        <f t="shared" ref="J1365" si="4340">(IF(D1365=0,(2*(D1346+G1346))-(F$5*8),IF(D1365=3,(2*(D1346+G1346))-(F$5*8)+(G1346-2*F$5),IF(D1365=4,(2*(D1346+G1346))-(F$5*8)+2*(G1346-2*F$5)))))/1000</f>
        <v>1.48</v>
      </c>
      <c r="K1365" s="400" t="s">
        <v>204</v>
      </c>
      <c r="L1365" s="399">
        <f t="shared" ref="L1365:L1367" si="4341">IF(D1365=0,2*MAX(6*F1365,75),(D1365-1)*2*MAX(6*F1365,75))/1000</f>
        <v>0.15</v>
      </c>
      <c r="M1365" s="399" t="s">
        <v>176</v>
      </c>
      <c r="N1365" s="399">
        <f t="shared" ref="N1365:N1367" si="4342">J1365+L1365</f>
        <v>1.63</v>
      </c>
      <c r="O1365" s="399"/>
      <c r="P1365" s="389"/>
      <c r="Q1365" s="399"/>
      <c r="R1365" s="399"/>
      <c r="S1365" s="399"/>
      <c r="T1365" s="399" t="s">
        <v>125</v>
      </c>
      <c r="U1365" s="401">
        <f t="shared" ref="U1365:U1367" si="4343">0.006165*F1365^2</f>
        <v>0.39456000000000002</v>
      </c>
      <c r="V1365" s="399" t="s">
        <v>125</v>
      </c>
      <c r="W1365" s="399">
        <f t="shared" ref="W1365" si="4344">IF(D1348&gt;4*G1346,ROUND(MAX(D1348/4,2*G1346)/H1365,0)+1,ROUND(D1348/H1365,0)+1)</f>
        <v>10</v>
      </c>
      <c r="X1365" s="399" t="s">
        <v>125</v>
      </c>
      <c r="Y1365" s="389">
        <f t="shared" ref="Y1365" si="4345">D1351</f>
        <v>1</v>
      </c>
      <c r="Z1365" s="400" t="s">
        <v>176</v>
      </c>
      <c r="AA1365" s="402">
        <f t="shared" ref="AA1365:AA1367" si="4346">N1365*U1365*W1365*Y1365</f>
        <v>6.4313279999999997</v>
      </c>
      <c r="AB1365" s="403"/>
    </row>
    <row r="1366" spans="1:28">
      <c r="A1366" s="384" t="str">
        <f t="shared" ref="A1366:B1366" si="4347">A1345</f>
        <v>Lantai 1</v>
      </c>
      <c r="B1366" s="385">
        <f t="shared" si="4347"/>
        <v>44</v>
      </c>
      <c r="C1366" s="393" t="s">
        <v>212</v>
      </c>
      <c r="D1366" s="398">
        <f>VLOOKUP(D1345,'Detail Balok'!$C$10:$AU$140,36,FALSE)</f>
        <v>0</v>
      </c>
      <c r="E1366" s="388" t="s">
        <v>16</v>
      </c>
      <c r="F1366" s="388">
        <f>VLOOKUP(D1345,'Detail Balok'!$C$10:$AU$140,38,FALSE)</f>
        <v>8</v>
      </c>
      <c r="G1366" s="405" t="s">
        <v>157</v>
      </c>
      <c r="H1366" s="395">
        <f>VLOOKUP(D1345,'Detail Balok'!$C$10:$AU$140,40,FALSE)</f>
        <v>200</v>
      </c>
      <c r="I1366" s="388"/>
      <c r="J1366" s="400">
        <f t="shared" ref="J1366" si="4348">(IF(D1366=0,(2*(D1346+G1346))-(F$5*8),IF(D1366=3,(2*(D1346+G1346))-(F$5*8)+(G1346-2*F$5),IF(D1366=4,(2*(D1346+G1346))-(F$5*8)+2*(G1346-2*F$5)))))/1000</f>
        <v>1.48</v>
      </c>
      <c r="K1366" s="400" t="s">
        <v>204</v>
      </c>
      <c r="L1366" s="399">
        <f t="shared" si="4341"/>
        <v>0.15</v>
      </c>
      <c r="M1366" s="399" t="s">
        <v>176</v>
      </c>
      <c r="N1366" s="399">
        <f t="shared" si="4342"/>
        <v>1.63</v>
      </c>
      <c r="O1366" s="399"/>
      <c r="P1366" s="389"/>
      <c r="Q1366" s="399"/>
      <c r="R1366" s="399"/>
      <c r="S1366" s="399"/>
      <c r="T1366" s="399" t="s">
        <v>125</v>
      </c>
      <c r="U1366" s="401">
        <f t="shared" si="4343"/>
        <v>0.39456000000000002</v>
      </c>
      <c r="V1366" s="399" t="s">
        <v>125</v>
      </c>
      <c r="W1366" s="399">
        <f t="shared" ref="W1366" si="4349">IF(D1348-MAX(D1348/4,2*G1346)*2&gt;0,ROUND((D1348-MAX(D1348/4,2*G1346)*2)/H1366,0),0)</f>
        <v>14</v>
      </c>
      <c r="X1366" s="399" t="s">
        <v>125</v>
      </c>
      <c r="Y1366" s="389">
        <f t="shared" ref="Y1366" si="4350">D1351</f>
        <v>1</v>
      </c>
      <c r="Z1366" s="400" t="s">
        <v>176</v>
      </c>
      <c r="AA1366" s="402">
        <f t="shared" si="4346"/>
        <v>9.0038591999999991</v>
      </c>
      <c r="AB1366" s="403"/>
    </row>
    <row r="1367" spans="1:28">
      <c r="A1367" s="384" t="str">
        <f t="shared" ref="A1367:B1367" si="4351">A1345</f>
        <v>Lantai 1</v>
      </c>
      <c r="B1367" s="385">
        <f t="shared" si="4351"/>
        <v>44</v>
      </c>
      <c r="C1367" s="393" t="s">
        <v>211</v>
      </c>
      <c r="D1367" s="398">
        <f>VLOOKUP(D1345,'Detail Balok'!$C$10:$AU$140,41,FALSE)</f>
        <v>0</v>
      </c>
      <c r="E1367" s="388" t="s">
        <v>16</v>
      </c>
      <c r="F1367" s="388">
        <f>VLOOKUP(D1345,'Detail Balok'!$C$10:$AU$140,43,FALSE)</f>
        <v>8</v>
      </c>
      <c r="G1367" s="405" t="s">
        <v>157</v>
      </c>
      <c r="H1367" s="395">
        <f>VLOOKUP(D1345,'Detail Balok'!$C$10:$AU$140,45,FALSE)</f>
        <v>150</v>
      </c>
      <c r="I1367" s="388"/>
      <c r="J1367" s="400">
        <f t="shared" ref="J1367" si="4352">(IF(D1367=0,(2*(D1346+G1346))-(F$5*8),IF(D1367=3,(2*(D1346+G1346))-(F$5*8)+(G1346-2*F$5),IF(D1367=4,(2*(D1346+G1346))-(F$5*8)+2*(G1346-2*F$5)))))/1000</f>
        <v>1.48</v>
      </c>
      <c r="K1367" s="400" t="s">
        <v>204</v>
      </c>
      <c r="L1367" s="399">
        <f t="shared" si="4341"/>
        <v>0.15</v>
      </c>
      <c r="M1367" s="399" t="s">
        <v>176</v>
      </c>
      <c r="N1367" s="399">
        <f t="shared" si="4342"/>
        <v>1.63</v>
      </c>
      <c r="O1367" s="399"/>
      <c r="P1367" s="389"/>
      <c r="Q1367" s="399"/>
      <c r="R1367" s="399"/>
      <c r="S1367" s="399"/>
      <c r="T1367" s="399" t="s">
        <v>125</v>
      </c>
      <c r="U1367" s="401">
        <f t="shared" si="4343"/>
        <v>0.39456000000000002</v>
      </c>
      <c r="V1367" s="399" t="s">
        <v>125</v>
      </c>
      <c r="W1367" s="399">
        <f t="shared" ref="W1367" si="4353">IF(D1348&gt;4*G1346,ROUND(MAX(D1348/4,2*G1346)/H1367,0)+1,0)</f>
        <v>10</v>
      </c>
      <c r="X1367" s="399" t="s">
        <v>125</v>
      </c>
      <c r="Y1367" s="389">
        <f t="shared" ref="Y1367" si="4354">D1351</f>
        <v>1</v>
      </c>
      <c r="Z1367" s="400" t="s">
        <v>176</v>
      </c>
      <c r="AA1367" s="402">
        <f t="shared" si="4346"/>
        <v>6.4313279999999997</v>
      </c>
      <c r="AB1367" s="403"/>
    </row>
    <row r="1368" spans="1:28">
      <c r="A1368" s="384"/>
      <c r="B1368" s="385"/>
      <c r="C1368" s="393"/>
      <c r="D1368" s="394"/>
      <c r="E1368" s="388"/>
      <c r="F1368" s="388"/>
      <c r="G1368" s="388"/>
      <c r="H1368" s="395"/>
      <c r="I1368" s="388"/>
      <c r="J1368" s="399"/>
      <c r="K1368" s="396"/>
      <c r="L1368" s="396"/>
      <c r="M1368" s="396"/>
      <c r="N1368" s="396"/>
      <c r="O1368" s="396"/>
      <c r="P1368" s="389"/>
      <c r="Q1368" s="396"/>
      <c r="R1368" s="396"/>
      <c r="S1368" s="396"/>
      <c r="T1368" s="396"/>
      <c r="U1368" s="401"/>
      <c r="V1368" s="396"/>
      <c r="W1368" s="388"/>
      <c r="X1368" s="396"/>
      <c r="Y1368" s="389"/>
      <c r="Z1368" s="396"/>
      <c r="AA1368" s="388"/>
      <c r="AB1368" s="390"/>
    </row>
    <row r="1369" spans="1:28">
      <c r="A1369" s="384" t="str">
        <f t="shared" ref="A1369:B1369" si="4355">A1345</f>
        <v>Lantai 1</v>
      </c>
      <c r="B1369" s="385">
        <f t="shared" si="4355"/>
        <v>44</v>
      </c>
      <c r="C1369" s="393" t="s">
        <v>213</v>
      </c>
      <c r="D1369" s="398">
        <f>VLOOKUP(D1345,'Detail Balok'!$C$10:$BJ$140,46,FALSE)</f>
        <v>0</v>
      </c>
      <c r="E1369" s="388" t="s">
        <v>16</v>
      </c>
      <c r="F1369" s="388">
        <f>VLOOKUP(D1345,'Detail Balok'!$C$10:$BJ$140,48,FALSE)</f>
        <v>0</v>
      </c>
      <c r="G1369" s="405" t="s">
        <v>157</v>
      </c>
      <c r="H1369" s="395">
        <f>VLOOKUP(D1345,'Detail Balok'!$C$10:$BJ$140,50,FALSE)</f>
        <v>100</v>
      </c>
      <c r="I1369" s="388"/>
      <c r="J1369" s="399">
        <f t="shared" ref="J1369" si="4356">(D1346-2*F$5)/1000</f>
        <v>0.22</v>
      </c>
      <c r="K1369" s="400" t="s">
        <v>204</v>
      </c>
      <c r="L1369" s="399">
        <f t="shared" ref="L1369:L1371" si="4357">IF(D1369=0,2*MAX(6*F1369,75),(D1369-1)*2*MAX(6*F1369,75))/1000</f>
        <v>0.15</v>
      </c>
      <c r="M1369" s="399" t="s">
        <v>176</v>
      </c>
      <c r="N1369" s="399">
        <f t="shared" ref="N1369:N1371" si="4358">J1369+L1369</f>
        <v>0.37</v>
      </c>
      <c r="O1369" s="399"/>
      <c r="P1369" s="399"/>
      <c r="Q1369" s="399"/>
      <c r="R1369" s="399"/>
      <c r="S1369" s="399"/>
      <c r="T1369" s="399" t="s">
        <v>125</v>
      </c>
      <c r="U1369" s="401">
        <f t="shared" ref="U1369:U1371" si="4359">0.006165*F1369^2</f>
        <v>0</v>
      </c>
      <c r="V1369" s="399" t="s">
        <v>125</v>
      </c>
      <c r="W1369" s="399">
        <f t="shared" si="4264"/>
        <v>10</v>
      </c>
      <c r="X1369" s="399" t="s">
        <v>125</v>
      </c>
      <c r="Y1369" s="389">
        <f t="shared" ref="Y1369" si="4360">D1355</f>
        <v>4</v>
      </c>
      <c r="Z1369" s="400" t="s">
        <v>176</v>
      </c>
      <c r="AA1369" s="402">
        <f t="shared" ref="AA1369:AA1371" si="4361">N1369*U1369*W1369*Y1369</f>
        <v>0</v>
      </c>
      <c r="AB1369" s="403"/>
    </row>
    <row r="1370" spans="1:28">
      <c r="A1370" s="384" t="str">
        <f t="shared" ref="A1370:B1370" si="4362">A1345</f>
        <v>Lantai 1</v>
      </c>
      <c r="B1370" s="385">
        <f t="shared" si="4362"/>
        <v>44</v>
      </c>
      <c r="C1370" s="393" t="s">
        <v>214</v>
      </c>
      <c r="D1370" s="398">
        <f>VLOOKUP(D1345,'Detail Balok'!$C$10:$BJ$140,51,FALSE)</f>
        <v>0</v>
      </c>
      <c r="E1370" s="388" t="s">
        <v>16</v>
      </c>
      <c r="F1370" s="388">
        <f>VLOOKUP(D1345,'Detail Balok'!$C$10:$BJ$140,53,FALSE)</f>
        <v>0</v>
      </c>
      <c r="G1370" s="405" t="s">
        <v>157</v>
      </c>
      <c r="H1370" s="395">
        <f>VLOOKUP(D1345,'Detail Balok'!$C$10:$BJ$140,55,FALSE)</f>
        <v>100</v>
      </c>
      <c r="I1370" s="388"/>
      <c r="J1370" s="399">
        <f t="shared" ref="J1370" si="4363">(D1346-2*F$5)/1000</f>
        <v>0.22</v>
      </c>
      <c r="K1370" s="400" t="s">
        <v>204</v>
      </c>
      <c r="L1370" s="399">
        <f t="shared" si="4357"/>
        <v>0.15</v>
      </c>
      <c r="M1370" s="399" t="s">
        <v>176</v>
      </c>
      <c r="N1370" s="399">
        <f t="shared" si="4358"/>
        <v>0.37</v>
      </c>
      <c r="O1370" s="399"/>
      <c r="P1370" s="399"/>
      <c r="Q1370" s="399"/>
      <c r="R1370" s="399"/>
      <c r="S1370" s="399"/>
      <c r="T1370" s="399" t="s">
        <v>125</v>
      </c>
      <c r="U1370" s="401">
        <f t="shared" si="4359"/>
        <v>0</v>
      </c>
      <c r="V1370" s="399" t="s">
        <v>125</v>
      </c>
      <c r="W1370" s="399">
        <f t="shared" si="4264"/>
        <v>14</v>
      </c>
      <c r="X1370" s="399" t="s">
        <v>125</v>
      </c>
      <c r="Y1370" s="389">
        <f t="shared" ref="Y1370" si="4364">D1355</f>
        <v>4</v>
      </c>
      <c r="Z1370" s="400" t="s">
        <v>176</v>
      </c>
      <c r="AA1370" s="402">
        <f t="shared" si="4361"/>
        <v>0</v>
      </c>
      <c r="AB1370" s="403"/>
    </row>
    <row r="1371" spans="1:28">
      <c r="A1371" s="384" t="str">
        <f t="shared" ref="A1371:B1371" si="4365">A1345</f>
        <v>Lantai 1</v>
      </c>
      <c r="B1371" s="385">
        <f t="shared" si="4365"/>
        <v>44</v>
      </c>
      <c r="C1371" s="393" t="s">
        <v>213</v>
      </c>
      <c r="D1371" s="398">
        <f>VLOOKUP(D1345,'Detail Balok'!$C$10:$BJ$140,56,FALSE)</f>
        <v>0</v>
      </c>
      <c r="E1371" s="388" t="s">
        <v>16</v>
      </c>
      <c r="F1371" s="388">
        <f>VLOOKUP(D1345,'Detail Balok'!$C$10:$BJ$140,58,FALSE)</f>
        <v>0</v>
      </c>
      <c r="G1371" s="405" t="s">
        <v>157</v>
      </c>
      <c r="H1371" s="395">
        <f>VLOOKUP(D1345,'Detail Balok'!$C$10:$BJ$140,60,FALSE)</f>
        <v>100</v>
      </c>
      <c r="I1371" s="388"/>
      <c r="J1371" s="399">
        <f t="shared" ref="J1371" si="4366">(D1346-2*F$5)/1000</f>
        <v>0.22</v>
      </c>
      <c r="K1371" s="400" t="s">
        <v>204</v>
      </c>
      <c r="L1371" s="399">
        <f t="shared" si="4357"/>
        <v>0.15</v>
      </c>
      <c r="M1371" s="399" t="s">
        <v>176</v>
      </c>
      <c r="N1371" s="399">
        <f t="shared" si="4358"/>
        <v>0.37</v>
      </c>
      <c r="O1371" s="399"/>
      <c r="P1371" s="399"/>
      <c r="Q1371" s="399"/>
      <c r="R1371" s="399"/>
      <c r="S1371" s="399"/>
      <c r="T1371" s="399" t="s">
        <v>125</v>
      </c>
      <c r="U1371" s="401">
        <f t="shared" si="4359"/>
        <v>0</v>
      </c>
      <c r="V1371" s="399" t="s">
        <v>125</v>
      </c>
      <c r="W1371" s="399">
        <f t="shared" si="4264"/>
        <v>10</v>
      </c>
      <c r="X1371" s="399" t="s">
        <v>125</v>
      </c>
      <c r="Y1371" s="389">
        <f t="shared" ref="Y1371" si="4367">D1355</f>
        <v>4</v>
      </c>
      <c r="Z1371" s="400" t="s">
        <v>176</v>
      </c>
      <c r="AA1371" s="402">
        <f t="shared" si="4361"/>
        <v>0</v>
      </c>
      <c r="AB1371" s="403"/>
    </row>
    <row r="1372" spans="1:28">
      <c r="A1372" s="391"/>
      <c r="B1372" s="392"/>
      <c r="C1372" s="392"/>
      <c r="D1372" s="394"/>
      <c r="E1372" s="388"/>
      <c r="F1372" s="388"/>
      <c r="G1372" s="388"/>
      <c r="H1372" s="395"/>
      <c r="I1372" s="388"/>
      <c r="J1372" s="402"/>
      <c r="K1372" s="388"/>
      <c r="L1372" s="388"/>
      <c r="M1372" s="388"/>
      <c r="N1372" s="388"/>
      <c r="O1372" s="388"/>
      <c r="P1372" s="388"/>
      <c r="Q1372" s="388"/>
      <c r="R1372" s="388"/>
      <c r="S1372" s="388"/>
      <c r="T1372" s="388"/>
      <c r="U1372" s="388"/>
      <c r="V1372" s="388"/>
      <c r="W1372" s="388"/>
      <c r="X1372" s="388"/>
      <c r="Y1372" s="389"/>
      <c r="Z1372" s="388"/>
      <c r="AA1372" s="402"/>
      <c r="AB1372" s="403"/>
    </row>
    <row r="1373" spans="1:28" ht="15.75" thickBot="1">
      <c r="A1373" s="406"/>
      <c r="B1373" s="407"/>
      <c r="C1373" s="407"/>
      <c r="D1373" s="408"/>
      <c r="E1373" s="409"/>
      <c r="F1373" s="409"/>
      <c r="G1373" s="409"/>
      <c r="H1373" s="410"/>
      <c r="I1373" s="409"/>
      <c r="J1373" s="409"/>
      <c r="K1373" s="409"/>
      <c r="L1373" s="409"/>
      <c r="M1373" s="409"/>
      <c r="N1373" s="409"/>
      <c r="O1373" s="409"/>
      <c r="P1373" s="409"/>
      <c r="Q1373" s="409"/>
      <c r="R1373" s="409"/>
      <c r="S1373" s="409"/>
      <c r="T1373" s="409"/>
      <c r="U1373" s="409"/>
      <c r="V1373" s="409"/>
      <c r="W1373" s="409"/>
      <c r="X1373" s="409"/>
      <c r="Y1373" s="411"/>
      <c r="Z1373" s="409"/>
      <c r="AA1373" s="412"/>
      <c r="AB1373" s="413"/>
    </row>
    <row r="1374" spans="1:28">
      <c r="A1374" s="377"/>
      <c r="B1374" s="378"/>
      <c r="C1374" s="378"/>
      <c r="D1374" s="379"/>
      <c r="E1374" s="380"/>
      <c r="F1374" s="380"/>
      <c r="G1374" s="380"/>
      <c r="H1374" s="381"/>
      <c r="I1374" s="380"/>
      <c r="J1374" s="380"/>
      <c r="K1374" s="380"/>
      <c r="L1374" s="380"/>
      <c r="M1374" s="380"/>
      <c r="N1374" s="380"/>
      <c r="O1374" s="380"/>
      <c r="P1374" s="380"/>
      <c r="Q1374" s="380"/>
      <c r="R1374" s="380"/>
      <c r="S1374" s="380"/>
      <c r="T1374" s="380"/>
      <c r="U1374" s="380"/>
      <c r="V1374" s="380"/>
      <c r="W1374" s="380"/>
      <c r="X1374" s="380"/>
      <c r="Y1374" s="382"/>
      <c r="Z1374" s="380"/>
      <c r="AA1374" s="380"/>
      <c r="AB1374" s="383"/>
    </row>
    <row r="1375" spans="1:28">
      <c r="A1375" s="384" t="str">
        <f t="shared" si="4273"/>
        <v>Lantai 1</v>
      </c>
      <c r="B1375" s="385">
        <f t="shared" si="4274"/>
        <v>45</v>
      </c>
      <c r="C1375" s="386" t="str">
        <f t="shared" ref="C1375" si="4368">CONCATENATE(A1375," no. ",B1375)</f>
        <v>Lantai 1 no. 45</v>
      </c>
      <c r="D1375" s="2562" t="str">
        <f>VLOOKUP(C1375,'Data Panjang Balok'!$C$9:$N$254,2,FALSE)</f>
        <v>S25-1</v>
      </c>
      <c r="E1375" s="2576"/>
      <c r="F1375" s="2576"/>
      <c r="G1375" s="2576"/>
      <c r="H1375" s="2577"/>
      <c r="I1375" s="387"/>
      <c r="J1375" s="388"/>
      <c r="K1375" s="388"/>
      <c r="L1375" s="388"/>
      <c r="M1375" s="388"/>
      <c r="N1375" s="388"/>
      <c r="O1375" s="388"/>
      <c r="P1375" s="388"/>
      <c r="Q1375" s="388"/>
      <c r="R1375" s="388"/>
      <c r="S1375" s="388"/>
      <c r="T1375" s="388"/>
      <c r="U1375" s="388"/>
      <c r="V1375" s="388"/>
      <c r="W1375" s="388"/>
      <c r="X1375" s="388"/>
      <c r="Y1375" s="389"/>
      <c r="Z1375" s="388"/>
      <c r="AA1375" s="388"/>
      <c r="AB1375" s="390"/>
    </row>
    <row r="1376" spans="1:28">
      <c r="A1376" s="391"/>
      <c r="B1376" s="392"/>
      <c r="C1376" s="393" t="s">
        <v>118</v>
      </c>
      <c r="D1376" s="2578">
        <f>VLOOKUP(D1375,'Detail Balok'!$C$10:$AU$140,2,FALSE)</f>
        <v>200</v>
      </c>
      <c r="E1376" s="2579"/>
      <c r="F1376" s="388" t="s">
        <v>125</v>
      </c>
      <c r="G1376" s="2579">
        <f>VLOOKUP(D1375,'Detail Balok'!$C$10:$AU$140,3,FALSE)</f>
        <v>500</v>
      </c>
      <c r="H1376" s="2580"/>
      <c r="I1376" s="388"/>
      <c r="J1376" s="396"/>
      <c r="K1376" s="396"/>
      <c r="L1376" s="396"/>
      <c r="M1376" s="396"/>
      <c r="N1376" s="396"/>
      <c r="O1376" s="396"/>
      <c r="P1376" s="396"/>
      <c r="Q1376" s="396"/>
      <c r="R1376" s="396"/>
      <c r="S1376" s="396"/>
      <c r="T1376" s="396"/>
      <c r="U1376" s="388"/>
      <c r="V1376" s="396"/>
      <c r="W1376" s="388"/>
      <c r="X1376" s="396"/>
      <c r="Y1376" s="389"/>
      <c r="Z1376" s="396"/>
      <c r="AA1376" s="388"/>
      <c r="AB1376" s="390"/>
    </row>
    <row r="1377" spans="1:28">
      <c r="A1377" s="391"/>
      <c r="B1377" s="392"/>
      <c r="C1377" s="393" t="s">
        <v>198</v>
      </c>
      <c r="D1377" s="2562">
        <f>VLOOKUP(C1375,'Data Panjang Balok'!$C$9:$N$254,4,FALSE)</f>
        <v>5575</v>
      </c>
      <c r="E1377" s="2563"/>
      <c r="F1377" s="2563"/>
      <c r="G1377" s="2563"/>
      <c r="H1377" s="2564"/>
      <c r="I1377" s="397"/>
      <c r="J1377" s="396"/>
      <c r="K1377" s="396"/>
      <c r="L1377" s="396"/>
      <c r="M1377" s="396"/>
      <c r="N1377" s="396"/>
      <c r="O1377" s="396"/>
      <c r="P1377" s="396"/>
      <c r="Q1377" s="396"/>
      <c r="R1377" s="396"/>
      <c r="S1377" s="396"/>
      <c r="T1377" s="396"/>
      <c r="U1377" s="388"/>
      <c r="V1377" s="396"/>
      <c r="W1377" s="388"/>
      <c r="X1377" s="396"/>
      <c r="Y1377" s="389"/>
      <c r="Z1377" s="396"/>
      <c r="AA1377" s="388"/>
      <c r="AB1377" s="390"/>
    </row>
    <row r="1378" spans="1:28">
      <c r="A1378" s="391"/>
      <c r="B1378" s="392"/>
      <c r="C1378" s="393" t="s">
        <v>199</v>
      </c>
      <c r="D1378" s="2562">
        <f>VLOOKUP(C1375,'Data Panjang Balok'!$C$9:$N$254,7,FALSE)</f>
        <v>5575</v>
      </c>
      <c r="E1378" s="2563"/>
      <c r="F1378" s="2563"/>
      <c r="G1378" s="2563"/>
      <c r="H1378" s="2564"/>
      <c r="I1378" s="397"/>
      <c r="J1378" s="396"/>
      <c r="K1378" s="396"/>
      <c r="L1378" s="396"/>
      <c r="M1378" s="396"/>
      <c r="N1378" s="396"/>
      <c r="O1378" s="396"/>
      <c r="P1378" s="396"/>
      <c r="Q1378" s="396"/>
      <c r="R1378" s="396"/>
      <c r="S1378" s="396"/>
      <c r="T1378" s="396"/>
      <c r="U1378" s="388"/>
      <c r="V1378" s="396"/>
      <c r="W1378" s="388"/>
      <c r="X1378" s="396"/>
      <c r="Y1378" s="389"/>
      <c r="Z1378" s="396"/>
      <c r="AA1378" s="388"/>
      <c r="AB1378" s="390"/>
    </row>
    <row r="1379" spans="1:28">
      <c r="A1379" s="391"/>
      <c r="B1379" s="392"/>
      <c r="C1379" s="393" t="s">
        <v>200</v>
      </c>
      <c r="D1379" s="2562">
        <f>VLOOKUP(C1375,'Data Panjang Balok'!$C$9:$N$254,9,FALSE)</f>
        <v>0</v>
      </c>
      <c r="E1379" s="2563"/>
      <c r="F1379" s="2563"/>
      <c r="G1379" s="2563"/>
      <c r="H1379" s="2564"/>
      <c r="I1379" s="397"/>
      <c r="J1379" s="396"/>
      <c r="K1379" s="396"/>
      <c r="L1379" s="396"/>
      <c r="M1379" s="396"/>
      <c r="N1379" s="396"/>
      <c r="O1379" s="396"/>
      <c r="P1379" s="396"/>
      <c r="Q1379" s="396"/>
      <c r="R1379" s="396"/>
      <c r="S1379" s="396"/>
      <c r="T1379" s="396"/>
      <c r="U1379" s="388"/>
      <c r="V1379" s="396"/>
      <c r="W1379" s="388"/>
      <c r="X1379" s="396"/>
      <c r="Y1379" s="389"/>
      <c r="Z1379" s="396"/>
      <c r="AA1379" s="388"/>
      <c r="AB1379" s="390"/>
    </row>
    <row r="1380" spans="1:28">
      <c r="A1380" s="391"/>
      <c r="B1380" s="392"/>
      <c r="C1380" s="393" t="s">
        <v>201</v>
      </c>
      <c r="D1380" s="2562">
        <f>VLOOKUP(C1375,'Data Panjang Balok'!$C$9:$N$254,10,FALSE)</f>
        <v>0</v>
      </c>
      <c r="E1380" s="2563"/>
      <c r="F1380" s="2563"/>
      <c r="G1380" s="2563"/>
      <c r="H1380" s="2564"/>
      <c r="I1380" s="397"/>
      <c r="J1380" s="396"/>
      <c r="K1380" s="396"/>
      <c r="L1380" s="396"/>
      <c r="M1380" s="396"/>
      <c r="N1380" s="396"/>
      <c r="O1380" s="396"/>
      <c r="P1380" s="396"/>
      <c r="Q1380" s="396"/>
      <c r="R1380" s="396"/>
      <c r="S1380" s="396"/>
      <c r="T1380" s="396"/>
      <c r="U1380" s="388"/>
      <c r="V1380" s="396"/>
      <c r="W1380" s="388"/>
      <c r="X1380" s="396"/>
      <c r="Y1380" s="389"/>
      <c r="Z1380" s="396"/>
      <c r="AA1380" s="388"/>
      <c r="AB1380" s="390"/>
    </row>
    <row r="1381" spans="1:28">
      <c r="A1381" s="391"/>
      <c r="B1381" s="392"/>
      <c r="C1381" s="393" t="s">
        <v>48</v>
      </c>
      <c r="D1381" s="2562">
        <f>VLOOKUP(C1375,'Data Panjang Balok'!$C$9:$N$254,3,FALSE)</f>
        <v>1</v>
      </c>
      <c r="E1381" s="2563"/>
      <c r="F1381" s="2563"/>
      <c r="G1381" s="2563"/>
      <c r="H1381" s="2564"/>
      <c r="I1381" s="397"/>
      <c r="J1381" s="396"/>
      <c r="K1381" s="396"/>
      <c r="L1381" s="396"/>
      <c r="M1381" s="396"/>
      <c r="N1381" s="396"/>
      <c r="O1381" s="396"/>
      <c r="P1381" s="396"/>
      <c r="Q1381" s="396"/>
      <c r="R1381" s="396"/>
      <c r="S1381" s="396"/>
      <c r="T1381" s="396"/>
      <c r="U1381" s="388"/>
      <c r="V1381" s="396"/>
      <c r="W1381" s="388"/>
      <c r="X1381" s="396"/>
      <c r="Y1381" s="389"/>
      <c r="Z1381" s="396"/>
      <c r="AA1381" s="388"/>
      <c r="AB1381" s="390"/>
    </row>
    <row r="1382" spans="1:28">
      <c r="A1382" s="384" t="str">
        <f t="shared" ref="A1382:B1382" si="4369">A1375</f>
        <v>Lantai 1</v>
      </c>
      <c r="B1382" s="385">
        <f t="shared" si="4369"/>
        <v>45</v>
      </c>
      <c r="C1382" s="393" t="s">
        <v>202</v>
      </c>
      <c r="D1382" s="398">
        <f>VLOOKUP(D1375,'Detail Balok'!$C$10:$AU$140,4,FALSE)</f>
        <v>3</v>
      </c>
      <c r="E1382" s="388" t="s">
        <v>16</v>
      </c>
      <c r="F1382" s="388">
        <f>VLOOKUP(D1375,'Detail Balok'!$C$10:$AU$140,6,FALSE)</f>
        <v>16</v>
      </c>
      <c r="G1382" s="388"/>
      <c r="H1382" s="395"/>
      <c r="I1382" s="388" t="s">
        <v>203</v>
      </c>
      <c r="J1382" s="399">
        <f t="shared" ref="J1382" si="4370">+D1377/4/1000</f>
        <v>1.39375</v>
      </c>
      <c r="K1382" s="400" t="s">
        <v>204</v>
      </c>
      <c r="L1382" s="399">
        <f t="shared" ref="L1382" si="4371">MAX(VLOOKUP(F1382,N$6:P$15,3,FALSE)/1000,2/3*D1379/1000)+F$16*F1382/1000</f>
        <v>0.192</v>
      </c>
      <c r="M1382" s="399" t="s">
        <v>176</v>
      </c>
      <c r="N1382" s="399">
        <f t="shared" ref="N1382:N1384" si="4372">J1382+L1382</f>
        <v>1.58575</v>
      </c>
      <c r="O1382" s="399" t="s">
        <v>204</v>
      </c>
      <c r="P1382" s="389">
        <f t="shared" ref="P1382" si="4373">D1382-D1383</f>
        <v>0</v>
      </c>
      <c r="Q1382" s="399" t="s">
        <v>125</v>
      </c>
      <c r="R1382" s="399">
        <f t="shared" ref="R1382" si="4374">IF(P1382&gt;0,$F$18*F1382/1000,0)</f>
        <v>0</v>
      </c>
      <c r="S1382" s="399" t="s">
        <v>205</v>
      </c>
      <c r="T1382" s="399" t="s">
        <v>125</v>
      </c>
      <c r="U1382" s="401">
        <f t="shared" ref="U1382:U1384" si="4375">0.006165*F1382^2</f>
        <v>1.5782400000000001</v>
      </c>
      <c r="V1382" s="399"/>
      <c r="W1382" s="399"/>
      <c r="X1382" s="399" t="s">
        <v>125</v>
      </c>
      <c r="Y1382" s="389">
        <f t="shared" ref="Y1382" si="4376">D1381</f>
        <v>1</v>
      </c>
      <c r="Z1382" s="400" t="s">
        <v>176</v>
      </c>
      <c r="AA1382" s="402">
        <f t="shared" ref="AA1382" si="4377">IF(AA1385=0,(D1382*N1382+P1382*R1382)*U1382*Y1382,0)</f>
        <v>0</v>
      </c>
      <c r="AB1382" s="403"/>
    </row>
    <row r="1383" spans="1:28">
      <c r="A1383" s="384" t="str">
        <f t="shared" ref="A1383:B1383" si="4378">A1375</f>
        <v>Lantai 1</v>
      </c>
      <c r="B1383" s="385">
        <f t="shared" si="4378"/>
        <v>45</v>
      </c>
      <c r="C1383" s="393" t="s">
        <v>206</v>
      </c>
      <c r="D1383" s="398">
        <f>VLOOKUP(D1375,'Detail Balok'!$C$10:$AU$140,7,FALSE)</f>
        <v>3</v>
      </c>
      <c r="E1383" s="388" t="s">
        <v>16</v>
      </c>
      <c r="F1383" s="388">
        <f>VLOOKUP(D1375,'Detail Balok'!$C$10:$AU$140,9,FALSE)</f>
        <v>16</v>
      </c>
      <c r="G1383" s="388"/>
      <c r="H1383" s="395"/>
      <c r="I1383" s="388" t="s">
        <v>203</v>
      </c>
      <c r="J1383" s="399">
        <f t="shared" ref="J1383" si="4379">+D1377/2/1000</f>
        <v>2.7875000000000001</v>
      </c>
      <c r="K1383" s="400" t="s">
        <v>204</v>
      </c>
      <c r="L1383" s="399"/>
      <c r="M1383" s="399" t="s">
        <v>176</v>
      </c>
      <c r="N1383" s="399">
        <f t="shared" si="4372"/>
        <v>2.7875000000000001</v>
      </c>
      <c r="O1383" s="399" t="s">
        <v>204</v>
      </c>
      <c r="P1383" s="389">
        <f t="shared" ref="P1383" si="4380">MAX(D1383-D1382,D1383-D1384)</f>
        <v>0</v>
      </c>
      <c r="Q1383" s="399" t="s">
        <v>125</v>
      </c>
      <c r="R1383" s="399">
        <f t="shared" ref="R1383" si="4381">IF(P1383&gt;0,2*(1-2*$F$19-1/2)*D1378/1000,0)</f>
        <v>0</v>
      </c>
      <c r="S1383" s="399" t="s">
        <v>205</v>
      </c>
      <c r="T1383" s="399" t="s">
        <v>125</v>
      </c>
      <c r="U1383" s="401">
        <f t="shared" si="4375"/>
        <v>1.5782400000000001</v>
      </c>
      <c r="V1383" s="399"/>
      <c r="W1383" s="399"/>
      <c r="X1383" s="399" t="s">
        <v>125</v>
      </c>
      <c r="Y1383" s="389">
        <f t="shared" ref="Y1383" si="4382">D1381</f>
        <v>1</v>
      </c>
      <c r="Z1383" s="400" t="s">
        <v>176</v>
      </c>
      <c r="AA1383" s="402">
        <f t="shared" ref="AA1383" si="4383">IF(AA1385=0,(D1383*N1383+P1383*R1383)*U1383*Y1383,0)</f>
        <v>0</v>
      </c>
      <c r="AB1383" s="403"/>
    </row>
    <row r="1384" spans="1:28">
      <c r="A1384" s="384" t="str">
        <f t="shared" ref="A1384:B1384" si="4384">A1375</f>
        <v>Lantai 1</v>
      </c>
      <c r="B1384" s="385">
        <f t="shared" si="4384"/>
        <v>45</v>
      </c>
      <c r="C1384" s="393" t="s">
        <v>202</v>
      </c>
      <c r="D1384" s="398">
        <f>VLOOKUP(D1375,'Detail Balok'!$C$10:$AU$140,10,FALSE)</f>
        <v>3</v>
      </c>
      <c r="E1384" s="388" t="s">
        <v>16</v>
      </c>
      <c r="F1384" s="388">
        <f>VLOOKUP(D1375,'Detail Balok'!$C$10:$AU$140,12,FALSE)</f>
        <v>16</v>
      </c>
      <c r="G1384" s="388"/>
      <c r="H1384" s="395"/>
      <c r="I1384" s="388" t="s">
        <v>203</v>
      </c>
      <c r="J1384" s="399">
        <f t="shared" ref="J1384" si="4385">+D1377/4/1000</f>
        <v>1.39375</v>
      </c>
      <c r="K1384" s="400" t="s">
        <v>204</v>
      </c>
      <c r="L1384" s="399">
        <f t="shared" ref="L1384" si="4386">MAX(VLOOKUP(F1384,N$6:P$15,3,FALSE)/1000,2/3*D1379/1000)+F$16*F1384/1000</f>
        <v>0.192</v>
      </c>
      <c r="M1384" s="399" t="s">
        <v>176</v>
      </c>
      <c r="N1384" s="399">
        <f t="shared" si="4372"/>
        <v>1.58575</v>
      </c>
      <c r="O1384" s="399" t="s">
        <v>204</v>
      </c>
      <c r="P1384" s="389">
        <f t="shared" ref="P1384" si="4387">D1384-D1383</f>
        <v>0</v>
      </c>
      <c r="Q1384" s="399" t="s">
        <v>125</v>
      </c>
      <c r="R1384" s="399">
        <f t="shared" ref="R1384" si="4388">IF(P1384&gt;0,$F$18*F1384/1000,0)</f>
        <v>0</v>
      </c>
      <c r="S1384" s="399" t="s">
        <v>205</v>
      </c>
      <c r="T1384" s="399" t="s">
        <v>125</v>
      </c>
      <c r="U1384" s="401">
        <f t="shared" si="4375"/>
        <v>1.5782400000000001</v>
      </c>
      <c r="V1384" s="399"/>
      <c r="W1384" s="399"/>
      <c r="X1384" s="399" t="s">
        <v>125</v>
      </c>
      <c r="Y1384" s="389">
        <f t="shared" ref="Y1384" si="4389">D1381</f>
        <v>1</v>
      </c>
      <c r="Z1384" s="400" t="s">
        <v>176</v>
      </c>
      <c r="AA1384" s="402">
        <f t="shared" ref="AA1384" si="4390">IF(AA1385=0,(D1384*N1384+P1384*R1384)*U1384*Y1384,0)</f>
        <v>0</v>
      </c>
      <c r="AB1384" s="403"/>
    </row>
    <row r="1385" spans="1:28">
      <c r="A1385" s="384" t="str">
        <f t="shared" ref="A1385:B1385" si="4391">A1375</f>
        <v>Lantai 1</v>
      </c>
      <c r="B1385" s="385">
        <f t="shared" si="4391"/>
        <v>45</v>
      </c>
      <c r="C1385" s="393"/>
      <c r="D1385" s="398">
        <f t="shared" si="4194"/>
        <v>3</v>
      </c>
      <c r="E1385" s="388" t="s">
        <v>16</v>
      </c>
      <c r="F1385" s="388">
        <f t="shared" si="4195"/>
        <v>16</v>
      </c>
      <c r="G1385" s="388"/>
      <c r="H1385" s="395"/>
      <c r="I1385" s="388"/>
      <c r="J1385" s="396"/>
      <c r="K1385" s="396"/>
      <c r="L1385" s="404" t="s">
        <v>207</v>
      </c>
      <c r="M1385" s="399" t="s">
        <v>176</v>
      </c>
      <c r="N1385" s="399">
        <f t="shared" ref="N1385" si="4392">IF(AND(D1382=D1383,D1382=D1384,D1383=D1384,F1382=F1383,F1382=F1384,F1383=F1384),SUM(N1382:N1384),0)</f>
        <v>5.9590000000000005</v>
      </c>
      <c r="O1385" s="399" t="s">
        <v>204</v>
      </c>
      <c r="P1385" s="389">
        <f t="shared" ref="P1385" si="4393">IF(N1385&gt;12,ROUNDDOWN(N1385/12,0),0)</f>
        <v>0</v>
      </c>
      <c r="Q1385" s="399" t="s">
        <v>125</v>
      </c>
      <c r="R1385" s="399">
        <f t="shared" ref="R1385" si="4394">IF(P1385&gt;0,MAX(VLOOKUP(F1385,$D$6:$G$15,3,FALSE),600),0)/1000</f>
        <v>0</v>
      </c>
      <c r="S1385" s="396"/>
      <c r="T1385" s="396" t="s">
        <v>125</v>
      </c>
      <c r="U1385" s="401">
        <f t="shared" si="4199"/>
        <v>1.5782400000000001</v>
      </c>
      <c r="V1385" s="396" t="s">
        <v>125</v>
      </c>
      <c r="W1385" s="399">
        <f t="shared" ref="W1385" si="4395">D1385</f>
        <v>3</v>
      </c>
      <c r="X1385" s="399" t="s">
        <v>125</v>
      </c>
      <c r="Y1385" s="389">
        <f t="shared" si="4201"/>
        <v>1</v>
      </c>
      <c r="Z1385" s="400" t="s">
        <v>176</v>
      </c>
      <c r="AA1385" s="402">
        <f t="shared" ref="AA1385" si="4396">(N1385+P1385*R1385/1000)*U1385*W1385*Y1385</f>
        <v>28.214196480000005</v>
      </c>
      <c r="AB1385" s="390"/>
    </row>
    <row r="1386" spans="1:28">
      <c r="A1386" s="384"/>
      <c r="B1386" s="385"/>
      <c r="C1386" s="393"/>
      <c r="D1386" s="398"/>
      <c r="E1386" s="388"/>
      <c r="F1386" s="388"/>
      <c r="G1386" s="388"/>
      <c r="H1386" s="395"/>
      <c r="I1386" s="388"/>
      <c r="J1386" s="396"/>
      <c r="K1386" s="396"/>
      <c r="L1386" s="404"/>
      <c r="M1386" s="399"/>
      <c r="N1386" s="399"/>
      <c r="O1386" s="396"/>
      <c r="P1386" s="389"/>
      <c r="Q1386" s="396"/>
      <c r="R1386" s="396"/>
      <c r="S1386" s="396"/>
      <c r="T1386" s="396"/>
      <c r="U1386" s="401"/>
      <c r="V1386" s="396"/>
      <c r="W1386" s="399"/>
      <c r="X1386" s="396"/>
      <c r="Y1386" s="389"/>
      <c r="Z1386" s="396"/>
      <c r="AA1386" s="388"/>
      <c r="AB1386" s="390"/>
    </row>
    <row r="1387" spans="1:28">
      <c r="A1387" s="384" t="str">
        <f t="shared" ref="A1387:B1387" si="4397">A1375</f>
        <v>Lantai 1</v>
      </c>
      <c r="B1387" s="385">
        <f t="shared" si="4397"/>
        <v>45</v>
      </c>
      <c r="C1387" s="393" t="s">
        <v>208</v>
      </c>
      <c r="D1387" s="398">
        <f>VLOOKUP(D1375,'Detail Balok'!$C$10:$AU$140,13,FALSE)</f>
        <v>2</v>
      </c>
      <c r="E1387" s="388" t="s">
        <v>16</v>
      </c>
      <c r="F1387" s="388">
        <f>VLOOKUP(D1375,'Detail Balok'!$C$10:$AU$140,15,FALSE)</f>
        <v>10</v>
      </c>
      <c r="G1387" s="388"/>
      <c r="H1387" s="395"/>
      <c r="I1387" s="388"/>
      <c r="J1387" s="399">
        <f t="shared" ref="J1387" si="4398">+D1377/1000</f>
        <v>5.5750000000000002</v>
      </c>
      <c r="K1387" s="400" t="s">
        <v>204</v>
      </c>
      <c r="L1387" s="399">
        <f t="shared" ref="L1387" si="4399">2*$F$16*F1387/1000</f>
        <v>0.24</v>
      </c>
      <c r="M1387" s="399" t="s">
        <v>176</v>
      </c>
      <c r="N1387" s="399">
        <f t="shared" ref="N1387" si="4400">J1387+L1387</f>
        <v>5.8150000000000004</v>
      </c>
      <c r="O1387" s="399" t="s">
        <v>204</v>
      </c>
      <c r="P1387" s="389">
        <f t="shared" ref="P1387" si="4401">IF(N1387&gt;12,ROUNDDOWN(N1387/12,0),0)</f>
        <v>0</v>
      </c>
      <c r="Q1387" s="399" t="s">
        <v>125</v>
      </c>
      <c r="R1387" s="399">
        <f t="shared" ref="R1387" si="4402">IF(P1387&gt;0,MAX(VLOOKUP(F1387,$D$6:$G$15,3,FALSE),600),0)/1000</f>
        <v>0</v>
      </c>
      <c r="S1387" s="399"/>
      <c r="T1387" s="399" t="s">
        <v>125</v>
      </c>
      <c r="U1387" s="401">
        <f t="shared" ref="U1387" si="4403">0.006165*F1387^2</f>
        <v>0.61650000000000005</v>
      </c>
      <c r="V1387" s="399" t="s">
        <v>125</v>
      </c>
      <c r="W1387" s="399">
        <f t="shared" ref="W1387" si="4404">+D1387</f>
        <v>2</v>
      </c>
      <c r="X1387" s="399" t="s">
        <v>125</v>
      </c>
      <c r="Y1387" s="389">
        <f t="shared" ref="Y1387" si="4405">D1381</f>
        <v>1</v>
      </c>
      <c r="Z1387" s="400" t="s">
        <v>176</v>
      </c>
      <c r="AA1387" s="402">
        <f t="shared" ref="AA1387" si="4406">(N1387+P1387*R1387/1000)*U1387*W1387*Y1387</f>
        <v>7.1698950000000012</v>
      </c>
      <c r="AB1387" s="403"/>
    </row>
    <row r="1388" spans="1:28">
      <c r="A1388" s="384"/>
      <c r="B1388" s="385"/>
      <c r="C1388" s="393"/>
      <c r="D1388" s="398"/>
      <c r="E1388" s="388"/>
      <c r="F1388" s="388"/>
      <c r="G1388" s="388"/>
      <c r="H1388" s="395"/>
      <c r="I1388" s="388"/>
      <c r="J1388" s="399"/>
      <c r="K1388" s="400"/>
      <c r="L1388" s="399"/>
      <c r="M1388" s="399"/>
      <c r="N1388" s="399"/>
      <c r="O1388" s="399"/>
      <c r="P1388" s="389"/>
      <c r="Q1388" s="399"/>
      <c r="R1388" s="399"/>
      <c r="S1388" s="399"/>
      <c r="T1388" s="399"/>
      <c r="U1388" s="401"/>
      <c r="V1388" s="399"/>
      <c r="W1388" s="399"/>
      <c r="X1388" s="399"/>
      <c r="Y1388" s="389"/>
      <c r="Z1388" s="400"/>
      <c r="AA1388" s="402"/>
      <c r="AB1388" s="403"/>
    </row>
    <row r="1389" spans="1:28">
      <c r="A1389" s="384"/>
      <c r="B1389" s="385"/>
      <c r="C1389" s="393"/>
      <c r="D1389" s="398"/>
      <c r="E1389" s="388"/>
      <c r="F1389" s="388"/>
      <c r="G1389" s="388"/>
      <c r="H1389" s="395"/>
      <c r="I1389" s="388"/>
      <c r="J1389" s="396"/>
      <c r="K1389" s="396"/>
      <c r="L1389" s="396"/>
      <c r="M1389" s="396"/>
      <c r="N1389" s="396"/>
      <c r="O1389" s="396"/>
      <c r="P1389" s="389"/>
      <c r="Q1389" s="396"/>
      <c r="R1389" s="396"/>
      <c r="S1389" s="396"/>
      <c r="T1389" s="396"/>
      <c r="U1389" s="401"/>
      <c r="V1389" s="396"/>
      <c r="W1389" s="399"/>
      <c r="X1389" s="396"/>
      <c r="Y1389" s="389"/>
      <c r="Z1389" s="396"/>
      <c r="AA1389" s="388"/>
      <c r="AB1389" s="390"/>
    </row>
    <row r="1390" spans="1:28">
      <c r="A1390" s="384" t="str">
        <f t="shared" ref="A1390:B1390" si="4407">A1375</f>
        <v>Lantai 1</v>
      </c>
      <c r="B1390" s="385">
        <f t="shared" si="4407"/>
        <v>45</v>
      </c>
      <c r="C1390" s="393" t="s">
        <v>209</v>
      </c>
      <c r="D1390" s="398">
        <f>VLOOKUP(D1375,'Detail Balok'!$C$10:$AU$140,22,FALSE)</f>
        <v>3</v>
      </c>
      <c r="E1390" s="388" t="s">
        <v>16</v>
      </c>
      <c r="F1390" s="388">
        <f>VLOOKUP(D1375,'Detail Balok'!$C$10:$AU$140,24,FALSE)</f>
        <v>16</v>
      </c>
      <c r="G1390" s="388"/>
      <c r="H1390" s="395"/>
      <c r="I1390" s="388" t="s">
        <v>203</v>
      </c>
      <c r="J1390" s="399">
        <f t="shared" si="4214"/>
        <v>1.39375</v>
      </c>
      <c r="K1390" s="400" t="s">
        <v>204</v>
      </c>
      <c r="L1390" s="399">
        <f t="shared" ref="L1390" si="4408">MAX(VLOOKUP(F1390,N$6:P$15,3,FALSE)/1000,2/3*D1380/1000)+F$16*F1390/1000</f>
        <v>0.192</v>
      </c>
      <c r="M1390" s="399" t="s">
        <v>176</v>
      </c>
      <c r="N1390" s="399">
        <f t="shared" ref="N1390:N1392" si="4409">J1390+L1390</f>
        <v>1.58575</v>
      </c>
      <c r="O1390" s="399" t="s">
        <v>204</v>
      </c>
      <c r="P1390" s="389">
        <f t="shared" ref="P1390" si="4410">D1390-D1391</f>
        <v>0</v>
      </c>
      <c r="Q1390" s="399" t="s">
        <v>125</v>
      </c>
      <c r="R1390" s="399">
        <f t="shared" ref="R1390" si="4411">IF(P1390&gt;0,$F$18*F1390/1000,0)</f>
        <v>0</v>
      </c>
      <c r="S1390" s="399" t="s">
        <v>205</v>
      </c>
      <c r="T1390" s="399" t="s">
        <v>125</v>
      </c>
      <c r="U1390" s="401">
        <f t="shared" ref="U1390:U1392" si="4412">0.006165*F1390^2</f>
        <v>1.5782400000000001</v>
      </c>
      <c r="V1390" s="399"/>
      <c r="W1390" s="399"/>
      <c r="X1390" s="399" t="s">
        <v>125</v>
      </c>
      <c r="Y1390" s="389">
        <f t="shared" ref="Y1390" si="4413">D1381</f>
        <v>1</v>
      </c>
      <c r="Z1390" s="400" t="s">
        <v>176</v>
      </c>
      <c r="AA1390" s="402">
        <f t="shared" ref="AA1390" si="4414">IF(AA1393=0,(D1390*N1390+P1390*R1390)*U1390*Y1390,0)</f>
        <v>0</v>
      </c>
      <c r="AB1390" s="403"/>
    </row>
    <row r="1391" spans="1:28">
      <c r="A1391" s="384" t="str">
        <f t="shared" ref="A1391:B1391" si="4415">A1375</f>
        <v>Lantai 1</v>
      </c>
      <c r="B1391" s="385">
        <f t="shared" si="4415"/>
        <v>45</v>
      </c>
      <c r="C1391" s="393" t="s">
        <v>210</v>
      </c>
      <c r="D1391" s="398">
        <f>VLOOKUP(D1375,'Detail Balok'!$C$10:$AU$140,25,FALSE)</f>
        <v>3</v>
      </c>
      <c r="E1391" s="388" t="s">
        <v>16</v>
      </c>
      <c r="F1391" s="388">
        <f>VLOOKUP(D1375,'Detail Balok'!$C$10:$AU$140,27,FALSE)</f>
        <v>16</v>
      </c>
      <c r="G1391" s="388"/>
      <c r="H1391" s="395"/>
      <c r="I1391" s="388" t="s">
        <v>203</v>
      </c>
      <c r="J1391" s="399">
        <f t="shared" si="4214"/>
        <v>2.7875000000000001</v>
      </c>
      <c r="K1391" s="400" t="s">
        <v>204</v>
      </c>
      <c r="L1391" s="399"/>
      <c r="M1391" s="399" t="s">
        <v>176</v>
      </c>
      <c r="N1391" s="399">
        <f t="shared" si="4409"/>
        <v>2.7875000000000001</v>
      </c>
      <c r="O1391" s="399" t="s">
        <v>204</v>
      </c>
      <c r="P1391" s="389">
        <f t="shared" ref="P1391" si="4416">MAX(D1391-D1390,D1391-D1392)</f>
        <v>0</v>
      </c>
      <c r="Q1391" s="399" t="s">
        <v>125</v>
      </c>
      <c r="R1391" s="399">
        <f t="shared" ref="R1391" si="4417">IF(P1391&gt;0,2*(1-2*$F$19-1/2)*D1378/1000,0)</f>
        <v>0</v>
      </c>
      <c r="S1391" s="399" t="s">
        <v>205</v>
      </c>
      <c r="T1391" s="399" t="s">
        <v>125</v>
      </c>
      <c r="U1391" s="401">
        <f t="shared" si="4412"/>
        <v>1.5782400000000001</v>
      </c>
      <c r="V1391" s="399"/>
      <c r="W1391" s="399"/>
      <c r="X1391" s="399" t="s">
        <v>125</v>
      </c>
      <c r="Y1391" s="389">
        <f t="shared" ref="Y1391" si="4418">D1381</f>
        <v>1</v>
      </c>
      <c r="Z1391" s="400" t="s">
        <v>176</v>
      </c>
      <c r="AA1391" s="402">
        <f t="shared" ref="AA1391" si="4419">IF(AA1393=0,(D1391*N1391+P1391*R1391)*U1391*Y1391,0)</f>
        <v>0</v>
      </c>
      <c r="AB1391" s="403"/>
    </row>
    <row r="1392" spans="1:28">
      <c r="A1392" s="384" t="str">
        <f t="shared" ref="A1392:B1392" si="4420">A1375</f>
        <v>Lantai 1</v>
      </c>
      <c r="B1392" s="385">
        <f t="shared" si="4420"/>
        <v>45</v>
      </c>
      <c r="C1392" s="393" t="s">
        <v>209</v>
      </c>
      <c r="D1392" s="398">
        <f>VLOOKUP(D1375,'Detail Balok'!$C$10:$AU$140,28,FALSE)</f>
        <v>3</v>
      </c>
      <c r="E1392" s="388" t="s">
        <v>16</v>
      </c>
      <c r="F1392" s="388">
        <f>VLOOKUP(D1375,'Detail Balok'!$C$10:$AU$140,30,FALSE)</f>
        <v>16</v>
      </c>
      <c r="G1392" s="388"/>
      <c r="H1392" s="395"/>
      <c r="I1392" s="388" t="s">
        <v>203</v>
      </c>
      <c r="J1392" s="399">
        <f t="shared" si="4214"/>
        <v>1.39375</v>
      </c>
      <c r="K1392" s="400" t="s">
        <v>204</v>
      </c>
      <c r="L1392" s="399">
        <f t="shared" ref="L1392" si="4421">MAX(VLOOKUP(F1392,N$6:P$15,3,FALSE)/1000,2/3*D1380/1000)+F$16*F1392/1000</f>
        <v>0.192</v>
      </c>
      <c r="M1392" s="399" t="s">
        <v>176</v>
      </c>
      <c r="N1392" s="399">
        <f t="shared" si="4409"/>
        <v>1.58575</v>
      </c>
      <c r="O1392" s="399" t="s">
        <v>204</v>
      </c>
      <c r="P1392" s="389">
        <f t="shared" ref="P1392" si="4422">D1392-D1391</f>
        <v>0</v>
      </c>
      <c r="Q1392" s="399" t="s">
        <v>125</v>
      </c>
      <c r="R1392" s="399">
        <f t="shared" ref="R1392" si="4423">IF(P1392&gt;0,$F$18*F1392/1000,0)</f>
        <v>0</v>
      </c>
      <c r="S1392" s="399" t="s">
        <v>205</v>
      </c>
      <c r="T1392" s="399" t="s">
        <v>125</v>
      </c>
      <c r="U1392" s="401">
        <f t="shared" si="4412"/>
        <v>1.5782400000000001</v>
      </c>
      <c r="V1392" s="399"/>
      <c r="W1392" s="399"/>
      <c r="X1392" s="399" t="s">
        <v>125</v>
      </c>
      <c r="Y1392" s="389">
        <f t="shared" ref="Y1392" si="4424">D1381</f>
        <v>1</v>
      </c>
      <c r="Z1392" s="400" t="s">
        <v>176</v>
      </c>
      <c r="AA1392" s="402">
        <f t="shared" ref="AA1392" si="4425">IF(AA1393=0,(D1392*N1392+P1392*R1392)*U1392*Y1392,0)</f>
        <v>0</v>
      </c>
      <c r="AB1392" s="403"/>
    </row>
    <row r="1393" spans="1:28">
      <c r="A1393" s="384" t="str">
        <f t="shared" ref="A1393:B1393" si="4426">A1375</f>
        <v>Lantai 1</v>
      </c>
      <c r="B1393" s="385">
        <f t="shared" si="4426"/>
        <v>45</v>
      </c>
      <c r="C1393" s="393"/>
      <c r="D1393" s="398">
        <f t="shared" si="4234"/>
        <v>3</v>
      </c>
      <c r="E1393" s="388" t="s">
        <v>16</v>
      </c>
      <c r="F1393" s="388">
        <f t="shared" si="4235"/>
        <v>16</v>
      </c>
      <c r="G1393" s="388"/>
      <c r="H1393" s="395"/>
      <c r="I1393" s="388"/>
      <c r="J1393" s="396"/>
      <c r="K1393" s="396"/>
      <c r="L1393" s="404" t="s">
        <v>207</v>
      </c>
      <c r="M1393" s="399" t="s">
        <v>176</v>
      </c>
      <c r="N1393" s="399">
        <f t="shared" ref="N1393" si="4427">IF(AND(D1390=D1391,D1390=D1392,D1391=D1392,F1390=F1391,F1390=F1392,F1391=F1392),SUM(N1390:N1392),0)</f>
        <v>5.9590000000000005</v>
      </c>
      <c r="O1393" s="399" t="s">
        <v>204</v>
      </c>
      <c r="P1393" s="389">
        <f t="shared" ref="P1393" si="4428">IF(N1393&gt;12,ROUNDDOWN(N1393/12,0),0)</f>
        <v>0</v>
      </c>
      <c r="Q1393" s="399" t="s">
        <v>125</v>
      </c>
      <c r="R1393" s="399">
        <f t="shared" ref="R1393" si="4429">IF(P1393&gt;0,MAX(VLOOKUP(F1393,$D$6:$G$15,3,FALSE),600),0)/1000</f>
        <v>0</v>
      </c>
      <c r="S1393" s="396"/>
      <c r="T1393" s="396" t="s">
        <v>125</v>
      </c>
      <c r="U1393" s="401">
        <f t="shared" si="4239"/>
        <v>1.5782400000000001</v>
      </c>
      <c r="V1393" s="396" t="s">
        <v>125</v>
      </c>
      <c r="W1393" s="399">
        <f t="shared" ref="W1393" si="4430">D1393</f>
        <v>3</v>
      </c>
      <c r="X1393" s="399" t="s">
        <v>125</v>
      </c>
      <c r="Y1393" s="389">
        <f t="shared" si="4241"/>
        <v>1</v>
      </c>
      <c r="Z1393" s="400" t="s">
        <v>176</v>
      </c>
      <c r="AA1393" s="402">
        <f t="shared" ref="AA1393" si="4431">(N1393+P1393*R1393/1000)*U1393*W1393*Y1393</f>
        <v>28.214196480000005</v>
      </c>
      <c r="AB1393" s="403"/>
    </row>
    <row r="1394" spans="1:28">
      <c r="A1394" s="384"/>
      <c r="B1394" s="385"/>
      <c r="C1394" s="393"/>
      <c r="D1394" s="394"/>
      <c r="E1394" s="388"/>
      <c r="F1394" s="388"/>
      <c r="G1394" s="388"/>
      <c r="H1394" s="395"/>
      <c r="I1394" s="388"/>
      <c r="J1394" s="399"/>
      <c r="K1394" s="396"/>
      <c r="L1394" s="396"/>
      <c r="M1394" s="396"/>
      <c r="N1394" s="396"/>
      <c r="O1394" s="396"/>
      <c r="P1394" s="389"/>
      <c r="Q1394" s="396"/>
      <c r="R1394" s="396"/>
      <c r="S1394" s="396"/>
      <c r="T1394" s="396"/>
      <c r="U1394" s="401"/>
      <c r="V1394" s="396"/>
      <c r="W1394" s="388"/>
      <c r="X1394" s="396"/>
      <c r="Y1394" s="389"/>
      <c r="Z1394" s="396"/>
      <c r="AA1394" s="388"/>
      <c r="AB1394" s="390"/>
    </row>
    <row r="1395" spans="1:28">
      <c r="A1395" s="384" t="str">
        <f t="shared" ref="A1395:B1395" si="4432">A1375</f>
        <v>Lantai 1</v>
      </c>
      <c r="B1395" s="385">
        <f t="shared" si="4432"/>
        <v>45</v>
      </c>
      <c r="C1395" s="393" t="s">
        <v>211</v>
      </c>
      <c r="D1395" s="398">
        <f>VLOOKUP(D1375,'Detail Balok'!$C$10:$AU$140,31,FALSE)</f>
        <v>0</v>
      </c>
      <c r="E1395" s="388" t="s">
        <v>16</v>
      </c>
      <c r="F1395" s="388">
        <f>VLOOKUP(D1375,'Detail Balok'!$C$10:$AU$140,33,FALSE)</f>
        <v>8</v>
      </c>
      <c r="G1395" s="405" t="s">
        <v>157</v>
      </c>
      <c r="H1395" s="395">
        <f>VLOOKUP(D1375,'Detail Balok'!$C$10:$AU$140,35,FALSE)</f>
        <v>150</v>
      </c>
      <c r="I1395" s="388"/>
      <c r="J1395" s="400">
        <f t="shared" ref="J1395" si="4433">(IF(D1395=0,(2*(D1376+G1376))-(F$5*8),IF(D1395=3,(2*(D1376+G1376))-(F$5*8)+(G1376-2*F$5),IF(D1395=4,(2*(D1376+G1376))-(F$5*8)+2*(G1376-2*F$5)))))/1000</f>
        <v>1.08</v>
      </c>
      <c r="K1395" s="400" t="s">
        <v>204</v>
      </c>
      <c r="L1395" s="399">
        <f t="shared" ref="L1395:L1397" si="4434">IF(D1395=0,2*MAX(6*F1395,75),(D1395-1)*2*MAX(6*F1395,75))/1000</f>
        <v>0.15</v>
      </c>
      <c r="M1395" s="399" t="s">
        <v>176</v>
      </c>
      <c r="N1395" s="399">
        <f t="shared" ref="N1395:N1397" si="4435">J1395+L1395</f>
        <v>1.23</v>
      </c>
      <c r="O1395" s="399"/>
      <c r="P1395" s="389"/>
      <c r="Q1395" s="399"/>
      <c r="R1395" s="399"/>
      <c r="S1395" s="399"/>
      <c r="T1395" s="399" t="s">
        <v>125</v>
      </c>
      <c r="U1395" s="401">
        <f t="shared" ref="U1395:U1397" si="4436">0.006165*F1395^2</f>
        <v>0.39456000000000002</v>
      </c>
      <c r="V1395" s="399" t="s">
        <v>125</v>
      </c>
      <c r="W1395" s="399">
        <f t="shared" ref="W1395" si="4437">IF(D1378&gt;4*G1376,ROUND(MAX(D1378/4,2*G1376)/H1395,0)+1,ROUND(D1378/H1395,0)+1)</f>
        <v>10</v>
      </c>
      <c r="X1395" s="399" t="s">
        <v>125</v>
      </c>
      <c r="Y1395" s="389">
        <f t="shared" ref="Y1395" si="4438">D1381</f>
        <v>1</v>
      </c>
      <c r="Z1395" s="400" t="s">
        <v>176</v>
      </c>
      <c r="AA1395" s="402">
        <f t="shared" ref="AA1395:AA1397" si="4439">N1395*U1395*W1395*Y1395</f>
        <v>4.8530880000000005</v>
      </c>
      <c r="AB1395" s="403"/>
    </row>
    <row r="1396" spans="1:28">
      <c r="A1396" s="384" t="str">
        <f t="shared" ref="A1396:B1396" si="4440">A1375</f>
        <v>Lantai 1</v>
      </c>
      <c r="B1396" s="385">
        <f t="shared" si="4440"/>
        <v>45</v>
      </c>
      <c r="C1396" s="393" t="s">
        <v>212</v>
      </c>
      <c r="D1396" s="398">
        <f>VLOOKUP(D1375,'Detail Balok'!$C$10:$AU$140,36,FALSE)</f>
        <v>0</v>
      </c>
      <c r="E1396" s="388" t="s">
        <v>16</v>
      </c>
      <c r="F1396" s="388">
        <f>VLOOKUP(D1375,'Detail Balok'!$C$10:$AU$140,38,FALSE)</f>
        <v>8</v>
      </c>
      <c r="G1396" s="405" t="s">
        <v>157</v>
      </c>
      <c r="H1396" s="395">
        <f>VLOOKUP(D1375,'Detail Balok'!$C$10:$AU$140,40,FALSE)</f>
        <v>200</v>
      </c>
      <c r="I1396" s="388"/>
      <c r="J1396" s="400">
        <f t="shared" ref="J1396" si="4441">(IF(D1396=0,(2*(D1376+G1376))-(F$5*8),IF(D1396=3,(2*(D1376+G1376))-(F$5*8)+(G1376-2*F$5),IF(D1396=4,(2*(D1376+G1376))-(F$5*8)+2*(G1376-2*F$5)))))/1000</f>
        <v>1.08</v>
      </c>
      <c r="K1396" s="400" t="s">
        <v>204</v>
      </c>
      <c r="L1396" s="399">
        <f t="shared" si="4434"/>
        <v>0.15</v>
      </c>
      <c r="M1396" s="399" t="s">
        <v>176</v>
      </c>
      <c r="N1396" s="399">
        <f t="shared" si="4435"/>
        <v>1.23</v>
      </c>
      <c r="O1396" s="399"/>
      <c r="P1396" s="389"/>
      <c r="Q1396" s="399"/>
      <c r="R1396" s="399"/>
      <c r="S1396" s="399"/>
      <c r="T1396" s="399" t="s">
        <v>125</v>
      </c>
      <c r="U1396" s="401">
        <f t="shared" si="4436"/>
        <v>0.39456000000000002</v>
      </c>
      <c r="V1396" s="399" t="s">
        <v>125</v>
      </c>
      <c r="W1396" s="399">
        <f t="shared" ref="W1396" si="4442">IF(D1378-MAX(D1378/4,2*G1376)*2&gt;0,ROUND((D1378-MAX(D1378/4,2*G1376)*2)/H1396,0),0)</f>
        <v>14</v>
      </c>
      <c r="X1396" s="399" t="s">
        <v>125</v>
      </c>
      <c r="Y1396" s="389">
        <f t="shared" ref="Y1396" si="4443">D1381</f>
        <v>1</v>
      </c>
      <c r="Z1396" s="400" t="s">
        <v>176</v>
      </c>
      <c r="AA1396" s="402">
        <f t="shared" si="4439"/>
        <v>6.7943232000000009</v>
      </c>
      <c r="AB1396" s="403"/>
    </row>
    <row r="1397" spans="1:28">
      <c r="A1397" s="384" t="str">
        <f t="shared" ref="A1397:B1397" si="4444">A1375</f>
        <v>Lantai 1</v>
      </c>
      <c r="B1397" s="385">
        <f t="shared" si="4444"/>
        <v>45</v>
      </c>
      <c r="C1397" s="393" t="s">
        <v>211</v>
      </c>
      <c r="D1397" s="398">
        <f>VLOOKUP(D1375,'Detail Balok'!$C$10:$AU$140,41,FALSE)</f>
        <v>0</v>
      </c>
      <c r="E1397" s="388" t="s">
        <v>16</v>
      </c>
      <c r="F1397" s="388">
        <f>VLOOKUP(D1375,'Detail Balok'!$C$10:$AU$140,43,FALSE)</f>
        <v>8</v>
      </c>
      <c r="G1397" s="405" t="s">
        <v>157</v>
      </c>
      <c r="H1397" s="395">
        <f>VLOOKUP(D1375,'Detail Balok'!$C$10:$AU$140,45,FALSE)</f>
        <v>150</v>
      </c>
      <c r="I1397" s="388"/>
      <c r="J1397" s="400">
        <f t="shared" ref="J1397" si="4445">(IF(D1397=0,(2*(D1376+G1376))-(F$5*8),IF(D1397=3,(2*(D1376+G1376))-(F$5*8)+(G1376-2*F$5),IF(D1397=4,(2*(D1376+G1376))-(F$5*8)+2*(G1376-2*F$5)))))/1000</f>
        <v>1.08</v>
      </c>
      <c r="K1397" s="400" t="s">
        <v>204</v>
      </c>
      <c r="L1397" s="399">
        <f t="shared" si="4434"/>
        <v>0.15</v>
      </c>
      <c r="M1397" s="399" t="s">
        <v>176</v>
      </c>
      <c r="N1397" s="399">
        <f t="shared" si="4435"/>
        <v>1.23</v>
      </c>
      <c r="O1397" s="399"/>
      <c r="P1397" s="389"/>
      <c r="Q1397" s="399"/>
      <c r="R1397" s="399"/>
      <c r="S1397" s="399"/>
      <c r="T1397" s="399" t="s">
        <v>125</v>
      </c>
      <c r="U1397" s="401">
        <f t="shared" si="4436"/>
        <v>0.39456000000000002</v>
      </c>
      <c r="V1397" s="399" t="s">
        <v>125</v>
      </c>
      <c r="W1397" s="399">
        <f t="shared" ref="W1397" si="4446">IF(D1378&gt;4*G1376,ROUND(MAX(D1378/4,2*G1376)/H1397,0)+1,0)</f>
        <v>10</v>
      </c>
      <c r="X1397" s="399" t="s">
        <v>125</v>
      </c>
      <c r="Y1397" s="389">
        <f t="shared" ref="Y1397" si="4447">D1381</f>
        <v>1</v>
      </c>
      <c r="Z1397" s="400" t="s">
        <v>176</v>
      </c>
      <c r="AA1397" s="402">
        <f t="shared" si="4439"/>
        <v>4.8530880000000005</v>
      </c>
      <c r="AB1397" s="403"/>
    </row>
    <row r="1398" spans="1:28">
      <c r="A1398" s="384"/>
      <c r="B1398" s="385"/>
      <c r="C1398" s="393"/>
      <c r="D1398" s="394"/>
      <c r="E1398" s="388"/>
      <c r="F1398" s="388"/>
      <c r="G1398" s="388"/>
      <c r="H1398" s="395"/>
      <c r="I1398" s="388"/>
      <c r="J1398" s="399"/>
      <c r="K1398" s="396"/>
      <c r="L1398" s="396"/>
      <c r="M1398" s="396"/>
      <c r="N1398" s="396"/>
      <c r="O1398" s="396"/>
      <c r="P1398" s="389"/>
      <c r="Q1398" s="396"/>
      <c r="R1398" s="396"/>
      <c r="S1398" s="396"/>
      <c r="T1398" s="396"/>
      <c r="U1398" s="401"/>
      <c r="V1398" s="396"/>
      <c r="W1398" s="388"/>
      <c r="X1398" s="396"/>
      <c r="Y1398" s="389"/>
      <c r="Z1398" s="396"/>
      <c r="AA1398" s="388"/>
      <c r="AB1398" s="390"/>
    </row>
    <row r="1399" spans="1:28">
      <c r="A1399" s="384" t="str">
        <f t="shared" ref="A1399:B1399" si="4448">A1375</f>
        <v>Lantai 1</v>
      </c>
      <c r="B1399" s="385">
        <f t="shared" si="4448"/>
        <v>45</v>
      </c>
      <c r="C1399" s="393" t="s">
        <v>213</v>
      </c>
      <c r="D1399" s="398">
        <f>VLOOKUP(D1375,'Detail Balok'!$C$10:$BJ$140,46,FALSE)</f>
        <v>0</v>
      </c>
      <c r="E1399" s="388" t="s">
        <v>16</v>
      </c>
      <c r="F1399" s="388">
        <f>VLOOKUP(D1375,'Detail Balok'!$C$10:$BJ$140,48,FALSE)</f>
        <v>0</v>
      </c>
      <c r="G1399" s="405" t="s">
        <v>157</v>
      </c>
      <c r="H1399" s="395">
        <f>VLOOKUP(D1375,'Detail Balok'!$C$10:$BJ$140,50,FALSE)</f>
        <v>100</v>
      </c>
      <c r="I1399" s="388"/>
      <c r="J1399" s="399">
        <f t="shared" ref="J1399" si="4449">(D1376-2*F$5)/1000</f>
        <v>0.12</v>
      </c>
      <c r="K1399" s="400" t="s">
        <v>204</v>
      </c>
      <c r="L1399" s="399">
        <f t="shared" ref="L1399:L1401" si="4450">IF(D1399=0,2*MAX(6*F1399,75),(D1399-1)*2*MAX(6*F1399,75))/1000</f>
        <v>0.15</v>
      </c>
      <c r="M1399" s="399" t="s">
        <v>176</v>
      </c>
      <c r="N1399" s="399">
        <f t="shared" ref="N1399:N1401" si="4451">J1399+L1399</f>
        <v>0.27</v>
      </c>
      <c r="O1399" s="399"/>
      <c r="P1399" s="399"/>
      <c r="Q1399" s="399"/>
      <c r="R1399" s="399"/>
      <c r="S1399" s="399"/>
      <c r="T1399" s="399" t="s">
        <v>125</v>
      </c>
      <c r="U1399" s="401">
        <f t="shared" ref="U1399:U1401" si="4452">0.006165*F1399^2</f>
        <v>0</v>
      </c>
      <c r="V1399" s="399" t="s">
        <v>125</v>
      </c>
      <c r="W1399" s="399">
        <f t="shared" si="4264"/>
        <v>10</v>
      </c>
      <c r="X1399" s="399" t="s">
        <v>125</v>
      </c>
      <c r="Y1399" s="389">
        <f t="shared" ref="Y1399" si="4453">D1385</f>
        <v>3</v>
      </c>
      <c r="Z1399" s="400" t="s">
        <v>176</v>
      </c>
      <c r="AA1399" s="402">
        <f t="shared" ref="AA1399:AA1401" si="4454">N1399*U1399*W1399*Y1399</f>
        <v>0</v>
      </c>
      <c r="AB1399" s="403"/>
    </row>
    <row r="1400" spans="1:28">
      <c r="A1400" s="384" t="str">
        <f t="shared" ref="A1400:B1400" si="4455">A1375</f>
        <v>Lantai 1</v>
      </c>
      <c r="B1400" s="385">
        <f t="shared" si="4455"/>
        <v>45</v>
      </c>
      <c r="C1400" s="393" t="s">
        <v>214</v>
      </c>
      <c r="D1400" s="398">
        <f>VLOOKUP(D1375,'Detail Balok'!$C$10:$BJ$140,51,FALSE)</f>
        <v>0</v>
      </c>
      <c r="E1400" s="388" t="s">
        <v>16</v>
      </c>
      <c r="F1400" s="388">
        <f>VLOOKUP(D1375,'Detail Balok'!$C$10:$BJ$140,53,FALSE)</f>
        <v>0</v>
      </c>
      <c r="G1400" s="405" t="s">
        <v>157</v>
      </c>
      <c r="H1400" s="395">
        <f>VLOOKUP(D1375,'Detail Balok'!$C$10:$BJ$140,55,FALSE)</f>
        <v>100</v>
      </c>
      <c r="I1400" s="388"/>
      <c r="J1400" s="399">
        <f t="shared" ref="J1400" si="4456">(D1376-2*F$5)/1000</f>
        <v>0.12</v>
      </c>
      <c r="K1400" s="400" t="s">
        <v>204</v>
      </c>
      <c r="L1400" s="399">
        <f t="shared" si="4450"/>
        <v>0.15</v>
      </c>
      <c r="M1400" s="399" t="s">
        <v>176</v>
      </c>
      <c r="N1400" s="399">
        <f t="shared" si="4451"/>
        <v>0.27</v>
      </c>
      <c r="O1400" s="399"/>
      <c r="P1400" s="399"/>
      <c r="Q1400" s="399"/>
      <c r="R1400" s="399"/>
      <c r="S1400" s="399"/>
      <c r="T1400" s="399" t="s">
        <v>125</v>
      </c>
      <c r="U1400" s="401">
        <f t="shared" si="4452"/>
        <v>0</v>
      </c>
      <c r="V1400" s="399" t="s">
        <v>125</v>
      </c>
      <c r="W1400" s="399">
        <f t="shared" si="4264"/>
        <v>14</v>
      </c>
      <c r="X1400" s="399" t="s">
        <v>125</v>
      </c>
      <c r="Y1400" s="389">
        <f t="shared" ref="Y1400" si="4457">D1385</f>
        <v>3</v>
      </c>
      <c r="Z1400" s="400" t="s">
        <v>176</v>
      </c>
      <c r="AA1400" s="402">
        <f t="shared" si="4454"/>
        <v>0</v>
      </c>
      <c r="AB1400" s="403"/>
    </row>
    <row r="1401" spans="1:28">
      <c r="A1401" s="384" t="str">
        <f t="shared" ref="A1401:B1401" si="4458">A1375</f>
        <v>Lantai 1</v>
      </c>
      <c r="B1401" s="385">
        <f t="shared" si="4458"/>
        <v>45</v>
      </c>
      <c r="C1401" s="393" t="s">
        <v>213</v>
      </c>
      <c r="D1401" s="398">
        <f>VLOOKUP(D1375,'Detail Balok'!$C$10:$BJ$140,56,FALSE)</f>
        <v>0</v>
      </c>
      <c r="E1401" s="388" t="s">
        <v>16</v>
      </c>
      <c r="F1401" s="388">
        <f>VLOOKUP(D1375,'Detail Balok'!$C$10:$BJ$140,58,FALSE)</f>
        <v>0</v>
      </c>
      <c r="G1401" s="405" t="s">
        <v>157</v>
      </c>
      <c r="H1401" s="395">
        <f>VLOOKUP(D1375,'Detail Balok'!$C$10:$BJ$140,60,FALSE)</f>
        <v>100</v>
      </c>
      <c r="I1401" s="388"/>
      <c r="J1401" s="399">
        <f t="shared" ref="J1401" si="4459">(D1376-2*F$5)/1000</f>
        <v>0.12</v>
      </c>
      <c r="K1401" s="400" t="s">
        <v>204</v>
      </c>
      <c r="L1401" s="399">
        <f t="shared" si="4450"/>
        <v>0.15</v>
      </c>
      <c r="M1401" s="399" t="s">
        <v>176</v>
      </c>
      <c r="N1401" s="399">
        <f t="shared" si="4451"/>
        <v>0.27</v>
      </c>
      <c r="O1401" s="399"/>
      <c r="P1401" s="399"/>
      <c r="Q1401" s="399"/>
      <c r="R1401" s="399"/>
      <c r="S1401" s="399"/>
      <c r="T1401" s="399" t="s">
        <v>125</v>
      </c>
      <c r="U1401" s="401">
        <f t="shared" si="4452"/>
        <v>0</v>
      </c>
      <c r="V1401" s="399" t="s">
        <v>125</v>
      </c>
      <c r="W1401" s="399">
        <f t="shared" si="4264"/>
        <v>10</v>
      </c>
      <c r="X1401" s="399" t="s">
        <v>125</v>
      </c>
      <c r="Y1401" s="389">
        <f t="shared" ref="Y1401" si="4460">D1385</f>
        <v>3</v>
      </c>
      <c r="Z1401" s="400" t="s">
        <v>176</v>
      </c>
      <c r="AA1401" s="402">
        <f t="shared" si="4454"/>
        <v>0</v>
      </c>
      <c r="AB1401" s="403"/>
    </row>
    <row r="1402" spans="1:28">
      <c r="A1402" s="391"/>
      <c r="B1402" s="392"/>
      <c r="C1402" s="392"/>
      <c r="D1402" s="394"/>
      <c r="E1402" s="388"/>
      <c r="F1402" s="388"/>
      <c r="G1402" s="388"/>
      <c r="H1402" s="395"/>
      <c r="I1402" s="388"/>
      <c r="J1402" s="402"/>
      <c r="K1402" s="388"/>
      <c r="L1402" s="388"/>
      <c r="M1402" s="388"/>
      <c r="N1402" s="388"/>
      <c r="O1402" s="388"/>
      <c r="P1402" s="388"/>
      <c r="Q1402" s="388"/>
      <c r="R1402" s="388"/>
      <c r="S1402" s="388"/>
      <c r="T1402" s="388"/>
      <c r="U1402" s="388"/>
      <c r="V1402" s="388"/>
      <c r="W1402" s="388"/>
      <c r="X1402" s="388"/>
      <c r="Y1402" s="389"/>
      <c r="Z1402" s="388"/>
      <c r="AA1402" s="402"/>
      <c r="AB1402" s="403"/>
    </row>
    <row r="1403" spans="1:28" ht="15.75" thickBot="1">
      <c r="A1403" s="406"/>
      <c r="B1403" s="407"/>
      <c r="C1403" s="407"/>
      <c r="D1403" s="408"/>
      <c r="E1403" s="409"/>
      <c r="F1403" s="409"/>
      <c r="G1403" s="409"/>
      <c r="H1403" s="410"/>
      <c r="I1403" s="409"/>
      <c r="J1403" s="409"/>
      <c r="K1403" s="409"/>
      <c r="L1403" s="409"/>
      <c r="M1403" s="409"/>
      <c r="N1403" s="409"/>
      <c r="O1403" s="409"/>
      <c r="P1403" s="409"/>
      <c r="Q1403" s="409"/>
      <c r="R1403" s="409"/>
      <c r="S1403" s="409"/>
      <c r="T1403" s="409"/>
      <c r="U1403" s="409"/>
      <c r="V1403" s="409"/>
      <c r="W1403" s="409"/>
      <c r="X1403" s="409"/>
      <c r="Y1403" s="411"/>
      <c r="Z1403" s="409"/>
      <c r="AA1403" s="412"/>
      <c r="AB1403" s="413"/>
    </row>
    <row r="1404" spans="1:28">
      <c r="A1404" s="377"/>
      <c r="B1404" s="378"/>
      <c r="C1404" s="378"/>
      <c r="D1404" s="379"/>
      <c r="E1404" s="380"/>
      <c r="F1404" s="380"/>
      <c r="G1404" s="380"/>
      <c r="H1404" s="381"/>
      <c r="I1404" s="380"/>
      <c r="J1404" s="380"/>
      <c r="K1404" s="380"/>
      <c r="L1404" s="380"/>
      <c r="M1404" s="380"/>
      <c r="N1404" s="380"/>
      <c r="O1404" s="380"/>
      <c r="P1404" s="380"/>
      <c r="Q1404" s="380"/>
      <c r="R1404" s="380"/>
      <c r="S1404" s="380"/>
      <c r="T1404" s="380"/>
      <c r="U1404" s="380"/>
      <c r="V1404" s="380"/>
      <c r="W1404" s="380"/>
      <c r="X1404" s="380"/>
      <c r="Y1404" s="382"/>
      <c r="Z1404" s="380"/>
      <c r="AA1404" s="380"/>
      <c r="AB1404" s="383"/>
    </row>
    <row r="1405" spans="1:28">
      <c r="A1405" s="384" t="str">
        <f t="shared" si="4273"/>
        <v>Lantai 1</v>
      </c>
      <c r="B1405" s="385">
        <f t="shared" si="4274"/>
        <v>46</v>
      </c>
      <c r="C1405" s="386" t="str">
        <f t="shared" ref="C1405" si="4461">CONCATENATE(A1405," no. ",B1405)</f>
        <v>Lantai 1 no. 46</v>
      </c>
      <c r="D1405" s="2562" t="str">
        <f>VLOOKUP(C1405,'Data Panjang Balok'!$C$9:$N$254,2,FALSE)</f>
        <v>S25-1</v>
      </c>
      <c r="E1405" s="2576"/>
      <c r="F1405" s="2576"/>
      <c r="G1405" s="2576"/>
      <c r="H1405" s="2577"/>
      <c r="I1405" s="387"/>
      <c r="J1405" s="388"/>
      <c r="K1405" s="388"/>
      <c r="L1405" s="388"/>
      <c r="M1405" s="388"/>
      <c r="N1405" s="388"/>
      <c r="O1405" s="388"/>
      <c r="P1405" s="388"/>
      <c r="Q1405" s="388"/>
      <c r="R1405" s="388"/>
      <c r="S1405" s="388"/>
      <c r="T1405" s="388"/>
      <c r="U1405" s="388"/>
      <c r="V1405" s="388"/>
      <c r="W1405" s="388"/>
      <c r="X1405" s="388"/>
      <c r="Y1405" s="389"/>
      <c r="Z1405" s="388"/>
      <c r="AA1405" s="388"/>
      <c r="AB1405" s="390"/>
    </row>
    <row r="1406" spans="1:28">
      <c r="A1406" s="391"/>
      <c r="B1406" s="392"/>
      <c r="C1406" s="393" t="s">
        <v>118</v>
      </c>
      <c r="D1406" s="2578">
        <f>VLOOKUP(D1405,'Detail Balok'!$C$10:$AU$140,2,FALSE)</f>
        <v>200</v>
      </c>
      <c r="E1406" s="2579"/>
      <c r="F1406" s="388" t="s">
        <v>125</v>
      </c>
      <c r="G1406" s="2579">
        <f>VLOOKUP(D1405,'Detail Balok'!$C$10:$AU$140,3,FALSE)</f>
        <v>500</v>
      </c>
      <c r="H1406" s="2580"/>
      <c r="I1406" s="388"/>
      <c r="J1406" s="396"/>
      <c r="K1406" s="396"/>
      <c r="L1406" s="396"/>
      <c r="M1406" s="396"/>
      <c r="N1406" s="396"/>
      <c r="O1406" s="396"/>
      <c r="P1406" s="396"/>
      <c r="Q1406" s="396"/>
      <c r="R1406" s="396"/>
      <c r="S1406" s="396"/>
      <c r="T1406" s="396"/>
      <c r="U1406" s="388"/>
      <c r="V1406" s="396"/>
      <c r="W1406" s="388"/>
      <c r="X1406" s="396"/>
      <c r="Y1406" s="389"/>
      <c r="Z1406" s="396"/>
      <c r="AA1406" s="388"/>
      <c r="AB1406" s="390"/>
    </row>
    <row r="1407" spans="1:28">
      <c r="A1407" s="391"/>
      <c r="B1407" s="392"/>
      <c r="C1407" s="393" t="s">
        <v>198</v>
      </c>
      <c r="D1407" s="2562">
        <f>VLOOKUP(C1405,'Data Panjang Balok'!$C$9:$N$254,4,FALSE)</f>
        <v>5575</v>
      </c>
      <c r="E1407" s="2563"/>
      <c r="F1407" s="2563"/>
      <c r="G1407" s="2563"/>
      <c r="H1407" s="2564"/>
      <c r="I1407" s="397"/>
      <c r="J1407" s="396"/>
      <c r="K1407" s="396"/>
      <c r="L1407" s="396"/>
      <c r="M1407" s="396"/>
      <c r="N1407" s="396"/>
      <c r="O1407" s="396"/>
      <c r="P1407" s="396"/>
      <c r="Q1407" s="396"/>
      <c r="R1407" s="396"/>
      <c r="S1407" s="396"/>
      <c r="T1407" s="396"/>
      <c r="U1407" s="388"/>
      <c r="V1407" s="396"/>
      <c r="W1407" s="388"/>
      <c r="X1407" s="396"/>
      <c r="Y1407" s="389"/>
      <c r="Z1407" s="396"/>
      <c r="AA1407" s="388"/>
      <c r="AB1407" s="390"/>
    </row>
    <row r="1408" spans="1:28">
      <c r="A1408" s="391"/>
      <c r="B1408" s="392"/>
      <c r="C1408" s="393" t="s">
        <v>199</v>
      </c>
      <c r="D1408" s="2562">
        <f>VLOOKUP(C1405,'Data Panjang Balok'!$C$9:$N$254,7,FALSE)</f>
        <v>5575</v>
      </c>
      <c r="E1408" s="2563"/>
      <c r="F1408" s="2563"/>
      <c r="G1408" s="2563"/>
      <c r="H1408" s="2564"/>
      <c r="I1408" s="397"/>
      <c r="J1408" s="396"/>
      <c r="K1408" s="396"/>
      <c r="L1408" s="396"/>
      <c r="M1408" s="396"/>
      <c r="N1408" s="396"/>
      <c r="O1408" s="396"/>
      <c r="P1408" s="396"/>
      <c r="Q1408" s="396"/>
      <c r="R1408" s="396"/>
      <c r="S1408" s="396"/>
      <c r="T1408" s="396"/>
      <c r="U1408" s="388"/>
      <c r="V1408" s="396"/>
      <c r="W1408" s="388"/>
      <c r="X1408" s="396"/>
      <c r="Y1408" s="389"/>
      <c r="Z1408" s="396"/>
      <c r="AA1408" s="388"/>
      <c r="AB1408" s="390"/>
    </row>
    <row r="1409" spans="1:28">
      <c r="A1409" s="391"/>
      <c r="B1409" s="392"/>
      <c r="C1409" s="393" t="s">
        <v>200</v>
      </c>
      <c r="D1409" s="2562">
        <f>VLOOKUP(C1405,'Data Panjang Balok'!$C$9:$N$254,9,FALSE)</f>
        <v>0</v>
      </c>
      <c r="E1409" s="2563"/>
      <c r="F1409" s="2563"/>
      <c r="G1409" s="2563"/>
      <c r="H1409" s="2564"/>
      <c r="I1409" s="397"/>
      <c r="J1409" s="396"/>
      <c r="K1409" s="396"/>
      <c r="L1409" s="396"/>
      <c r="M1409" s="396"/>
      <c r="N1409" s="396"/>
      <c r="O1409" s="396"/>
      <c r="P1409" s="396"/>
      <c r="Q1409" s="396"/>
      <c r="R1409" s="396"/>
      <c r="S1409" s="396"/>
      <c r="T1409" s="396"/>
      <c r="U1409" s="388"/>
      <c r="V1409" s="396"/>
      <c r="W1409" s="388"/>
      <c r="X1409" s="396"/>
      <c r="Y1409" s="389"/>
      <c r="Z1409" s="396"/>
      <c r="AA1409" s="388"/>
      <c r="AB1409" s="390"/>
    </row>
    <row r="1410" spans="1:28">
      <c r="A1410" s="391"/>
      <c r="B1410" s="392"/>
      <c r="C1410" s="393" t="s">
        <v>201</v>
      </c>
      <c r="D1410" s="2562">
        <f>VLOOKUP(C1405,'Data Panjang Balok'!$C$9:$N$254,10,FALSE)</f>
        <v>0</v>
      </c>
      <c r="E1410" s="2563"/>
      <c r="F1410" s="2563"/>
      <c r="G1410" s="2563"/>
      <c r="H1410" s="2564"/>
      <c r="I1410" s="397"/>
      <c r="J1410" s="396"/>
      <c r="K1410" s="396"/>
      <c r="L1410" s="396"/>
      <c r="M1410" s="396"/>
      <c r="N1410" s="396"/>
      <c r="O1410" s="396"/>
      <c r="P1410" s="396"/>
      <c r="Q1410" s="396"/>
      <c r="R1410" s="396"/>
      <c r="S1410" s="396"/>
      <c r="T1410" s="396"/>
      <c r="U1410" s="388"/>
      <c r="V1410" s="396"/>
      <c r="W1410" s="388"/>
      <c r="X1410" s="396"/>
      <c r="Y1410" s="389"/>
      <c r="Z1410" s="396"/>
      <c r="AA1410" s="388"/>
      <c r="AB1410" s="390"/>
    </row>
    <row r="1411" spans="1:28">
      <c r="A1411" s="391"/>
      <c r="B1411" s="392"/>
      <c r="C1411" s="393" t="s">
        <v>48</v>
      </c>
      <c r="D1411" s="2562">
        <f>VLOOKUP(C1405,'Data Panjang Balok'!$C$9:$N$254,3,FALSE)</f>
        <v>2</v>
      </c>
      <c r="E1411" s="2563"/>
      <c r="F1411" s="2563"/>
      <c r="G1411" s="2563"/>
      <c r="H1411" s="2564"/>
      <c r="I1411" s="397"/>
      <c r="J1411" s="396"/>
      <c r="K1411" s="396"/>
      <c r="L1411" s="396"/>
      <c r="M1411" s="396"/>
      <c r="N1411" s="396"/>
      <c r="O1411" s="396"/>
      <c r="P1411" s="396"/>
      <c r="Q1411" s="396"/>
      <c r="R1411" s="396"/>
      <c r="S1411" s="396"/>
      <c r="T1411" s="396"/>
      <c r="U1411" s="388"/>
      <c r="V1411" s="396"/>
      <c r="W1411" s="388"/>
      <c r="X1411" s="396"/>
      <c r="Y1411" s="389"/>
      <c r="Z1411" s="396"/>
      <c r="AA1411" s="388"/>
      <c r="AB1411" s="390"/>
    </row>
    <row r="1412" spans="1:28">
      <c r="A1412" s="384" t="str">
        <f t="shared" ref="A1412:B1412" si="4462">A1405</f>
        <v>Lantai 1</v>
      </c>
      <c r="B1412" s="385">
        <f t="shared" si="4462"/>
        <v>46</v>
      </c>
      <c r="C1412" s="393" t="s">
        <v>202</v>
      </c>
      <c r="D1412" s="398">
        <f>VLOOKUP(D1405,'Detail Balok'!$C$10:$AU$140,4,FALSE)</f>
        <v>3</v>
      </c>
      <c r="E1412" s="388" t="s">
        <v>16</v>
      </c>
      <c r="F1412" s="388">
        <f>VLOOKUP(D1405,'Detail Balok'!$C$10:$AU$140,6,FALSE)</f>
        <v>16</v>
      </c>
      <c r="G1412" s="388"/>
      <c r="H1412" s="395"/>
      <c r="I1412" s="388" t="s">
        <v>203</v>
      </c>
      <c r="J1412" s="399">
        <f t="shared" ref="J1412" si="4463">+D1407/4/1000</f>
        <v>1.39375</v>
      </c>
      <c r="K1412" s="400" t="s">
        <v>204</v>
      </c>
      <c r="L1412" s="399">
        <f t="shared" ref="L1412" si="4464">MAX(VLOOKUP(F1412,N$6:P$15,3,FALSE)/1000,2/3*D1409/1000)+F$16*F1412/1000</f>
        <v>0.192</v>
      </c>
      <c r="M1412" s="399" t="s">
        <v>176</v>
      </c>
      <c r="N1412" s="399">
        <f t="shared" ref="N1412:N1414" si="4465">J1412+L1412</f>
        <v>1.58575</v>
      </c>
      <c r="O1412" s="399" t="s">
        <v>204</v>
      </c>
      <c r="P1412" s="389">
        <f t="shared" ref="P1412" si="4466">D1412-D1413</f>
        <v>0</v>
      </c>
      <c r="Q1412" s="399" t="s">
        <v>125</v>
      </c>
      <c r="R1412" s="399">
        <f t="shared" ref="R1412" si="4467">IF(P1412&gt;0,$F$18*F1412/1000,0)</f>
        <v>0</v>
      </c>
      <c r="S1412" s="399" t="s">
        <v>205</v>
      </c>
      <c r="T1412" s="399" t="s">
        <v>125</v>
      </c>
      <c r="U1412" s="401">
        <f t="shared" ref="U1412:U1414" si="4468">0.006165*F1412^2</f>
        <v>1.5782400000000001</v>
      </c>
      <c r="V1412" s="399"/>
      <c r="W1412" s="399"/>
      <c r="X1412" s="399" t="s">
        <v>125</v>
      </c>
      <c r="Y1412" s="389">
        <f t="shared" ref="Y1412" si="4469">D1411</f>
        <v>2</v>
      </c>
      <c r="Z1412" s="400" t="s">
        <v>176</v>
      </c>
      <c r="AA1412" s="402">
        <f t="shared" ref="AA1412" si="4470">IF(AA1415=0,(D1412*N1412+P1412*R1412)*U1412*Y1412,0)</f>
        <v>0</v>
      </c>
      <c r="AB1412" s="403"/>
    </row>
    <row r="1413" spans="1:28">
      <c r="A1413" s="384" t="str">
        <f t="shared" ref="A1413:B1413" si="4471">A1405</f>
        <v>Lantai 1</v>
      </c>
      <c r="B1413" s="385">
        <f t="shared" si="4471"/>
        <v>46</v>
      </c>
      <c r="C1413" s="393" t="s">
        <v>206</v>
      </c>
      <c r="D1413" s="398">
        <f>VLOOKUP(D1405,'Detail Balok'!$C$10:$AU$140,7,FALSE)</f>
        <v>3</v>
      </c>
      <c r="E1413" s="388" t="s">
        <v>16</v>
      </c>
      <c r="F1413" s="388">
        <f>VLOOKUP(D1405,'Detail Balok'!$C$10:$AU$140,9,FALSE)</f>
        <v>16</v>
      </c>
      <c r="G1413" s="388"/>
      <c r="H1413" s="395"/>
      <c r="I1413" s="388" t="s">
        <v>203</v>
      </c>
      <c r="J1413" s="399">
        <f t="shared" ref="J1413" si="4472">+D1407/2/1000</f>
        <v>2.7875000000000001</v>
      </c>
      <c r="K1413" s="400" t="s">
        <v>204</v>
      </c>
      <c r="L1413" s="399"/>
      <c r="M1413" s="399" t="s">
        <v>176</v>
      </c>
      <c r="N1413" s="399">
        <f t="shared" si="4465"/>
        <v>2.7875000000000001</v>
      </c>
      <c r="O1413" s="399" t="s">
        <v>204</v>
      </c>
      <c r="P1413" s="389">
        <f t="shared" ref="P1413" si="4473">MAX(D1413-D1412,D1413-D1414)</f>
        <v>0</v>
      </c>
      <c r="Q1413" s="399" t="s">
        <v>125</v>
      </c>
      <c r="R1413" s="399">
        <f t="shared" ref="R1413" si="4474">IF(P1413&gt;0,2*(1-2*$F$19-1/2)*D1408/1000,0)</f>
        <v>0</v>
      </c>
      <c r="S1413" s="399" t="s">
        <v>205</v>
      </c>
      <c r="T1413" s="399" t="s">
        <v>125</v>
      </c>
      <c r="U1413" s="401">
        <f t="shared" si="4468"/>
        <v>1.5782400000000001</v>
      </c>
      <c r="V1413" s="399"/>
      <c r="W1413" s="399"/>
      <c r="X1413" s="399" t="s">
        <v>125</v>
      </c>
      <c r="Y1413" s="389">
        <f t="shared" ref="Y1413" si="4475">D1411</f>
        <v>2</v>
      </c>
      <c r="Z1413" s="400" t="s">
        <v>176</v>
      </c>
      <c r="AA1413" s="402">
        <f t="shared" ref="AA1413" si="4476">IF(AA1415=0,(D1413*N1413+P1413*R1413)*U1413*Y1413,0)</f>
        <v>0</v>
      </c>
      <c r="AB1413" s="403"/>
    </row>
    <row r="1414" spans="1:28">
      <c r="A1414" s="384" t="str">
        <f t="shared" ref="A1414:B1414" si="4477">A1405</f>
        <v>Lantai 1</v>
      </c>
      <c r="B1414" s="385">
        <f t="shared" si="4477"/>
        <v>46</v>
      </c>
      <c r="C1414" s="393" t="s">
        <v>202</v>
      </c>
      <c r="D1414" s="398">
        <f>VLOOKUP(D1405,'Detail Balok'!$C$10:$AU$140,10,FALSE)</f>
        <v>3</v>
      </c>
      <c r="E1414" s="388" t="s">
        <v>16</v>
      </c>
      <c r="F1414" s="388">
        <f>VLOOKUP(D1405,'Detail Balok'!$C$10:$AU$140,12,FALSE)</f>
        <v>16</v>
      </c>
      <c r="G1414" s="388"/>
      <c r="H1414" s="395"/>
      <c r="I1414" s="388" t="s">
        <v>203</v>
      </c>
      <c r="J1414" s="399">
        <f t="shared" ref="J1414" si="4478">+D1407/4/1000</f>
        <v>1.39375</v>
      </c>
      <c r="K1414" s="400" t="s">
        <v>204</v>
      </c>
      <c r="L1414" s="399">
        <f t="shared" ref="L1414" si="4479">MAX(VLOOKUP(F1414,N$6:P$15,3,FALSE)/1000,2/3*D1409/1000)+F$16*F1414/1000</f>
        <v>0.192</v>
      </c>
      <c r="M1414" s="399" t="s">
        <v>176</v>
      </c>
      <c r="N1414" s="399">
        <f t="shared" si="4465"/>
        <v>1.58575</v>
      </c>
      <c r="O1414" s="399" t="s">
        <v>204</v>
      </c>
      <c r="P1414" s="389">
        <f t="shared" ref="P1414" si="4480">D1414-D1413</f>
        <v>0</v>
      </c>
      <c r="Q1414" s="399" t="s">
        <v>125</v>
      </c>
      <c r="R1414" s="399">
        <f t="shared" ref="R1414" si="4481">IF(P1414&gt;0,$F$18*F1414/1000,0)</f>
        <v>0</v>
      </c>
      <c r="S1414" s="399" t="s">
        <v>205</v>
      </c>
      <c r="T1414" s="399" t="s">
        <v>125</v>
      </c>
      <c r="U1414" s="401">
        <f t="shared" si="4468"/>
        <v>1.5782400000000001</v>
      </c>
      <c r="V1414" s="399"/>
      <c r="W1414" s="399"/>
      <c r="X1414" s="399" t="s">
        <v>125</v>
      </c>
      <c r="Y1414" s="389">
        <f t="shared" ref="Y1414" si="4482">D1411</f>
        <v>2</v>
      </c>
      <c r="Z1414" s="400" t="s">
        <v>176</v>
      </c>
      <c r="AA1414" s="402">
        <f t="shared" ref="AA1414" si="4483">IF(AA1415=0,(D1414*N1414+P1414*R1414)*U1414*Y1414,0)</f>
        <v>0</v>
      </c>
      <c r="AB1414" s="403"/>
    </row>
    <row r="1415" spans="1:28">
      <c r="A1415" s="384" t="str">
        <f t="shared" ref="A1415:B1415" si="4484">A1405</f>
        <v>Lantai 1</v>
      </c>
      <c r="B1415" s="385">
        <f t="shared" si="4484"/>
        <v>46</v>
      </c>
      <c r="C1415" s="393"/>
      <c r="D1415" s="398">
        <f t="shared" ref="D1415:D1475" si="4485">IF(AND(D1412=D1413,D1413=D1414,D1412=D1414),D1412,0)</f>
        <v>3</v>
      </c>
      <c r="E1415" s="388" t="s">
        <v>16</v>
      </c>
      <c r="F1415" s="388">
        <f t="shared" ref="F1415:F1475" si="4486">IF(AND(F1412=F1413,F1412=F1414,F1413=F1414),F1412,0)</f>
        <v>16</v>
      </c>
      <c r="G1415" s="388"/>
      <c r="H1415" s="395"/>
      <c r="I1415" s="388"/>
      <c r="J1415" s="396"/>
      <c r="K1415" s="396"/>
      <c r="L1415" s="404" t="s">
        <v>207</v>
      </c>
      <c r="M1415" s="399" t="s">
        <v>176</v>
      </c>
      <c r="N1415" s="399">
        <f t="shared" ref="N1415" si="4487">IF(AND(D1412=D1413,D1412=D1414,D1413=D1414,F1412=F1413,F1412=F1414,F1413=F1414),SUM(N1412:N1414),0)</f>
        <v>5.9590000000000005</v>
      </c>
      <c r="O1415" s="399" t="s">
        <v>204</v>
      </c>
      <c r="P1415" s="389">
        <f t="shared" ref="P1415" si="4488">IF(N1415&gt;12,ROUNDDOWN(N1415/12,0),0)</f>
        <v>0</v>
      </c>
      <c r="Q1415" s="399" t="s">
        <v>125</v>
      </c>
      <c r="R1415" s="399">
        <f t="shared" ref="R1415" si="4489">IF(P1415&gt;0,MAX(VLOOKUP(F1415,$D$6:$G$15,3,FALSE),600),0)/1000</f>
        <v>0</v>
      </c>
      <c r="S1415" s="396"/>
      <c r="T1415" s="396" t="s">
        <v>125</v>
      </c>
      <c r="U1415" s="401">
        <f t="shared" ref="U1415:U1475" si="4490">U1414</f>
        <v>1.5782400000000001</v>
      </c>
      <c r="V1415" s="396" t="s">
        <v>125</v>
      </c>
      <c r="W1415" s="399">
        <f t="shared" ref="W1415" si="4491">D1415</f>
        <v>3</v>
      </c>
      <c r="X1415" s="399" t="s">
        <v>125</v>
      </c>
      <c r="Y1415" s="389">
        <f t="shared" ref="Y1415:Y1475" si="4492">Y1414</f>
        <v>2</v>
      </c>
      <c r="Z1415" s="400" t="s">
        <v>176</v>
      </c>
      <c r="AA1415" s="402">
        <f t="shared" ref="AA1415" si="4493">(N1415+P1415*R1415/1000)*U1415*W1415*Y1415</f>
        <v>56.428392960000011</v>
      </c>
      <c r="AB1415" s="390"/>
    </row>
    <row r="1416" spans="1:28">
      <c r="A1416" s="384"/>
      <c r="B1416" s="385"/>
      <c r="C1416" s="393"/>
      <c r="D1416" s="398"/>
      <c r="E1416" s="388"/>
      <c r="F1416" s="388"/>
      <c r="G1416" s="388"/>
      <c r="H1416" s="395"/>
      <c r="I1416" s="388"/>
      <c r="J1416" s="396"/>
      <c r="K1416" s="396"/>
      <c r="L1416" s="404"/>
      <c r="M1416" s="399"/>
      <c r="N1416" s="399"/>
      <c r="O1416" s="396"/>
      <c r="P1416" s="389"/>
      <c r="Q1416" s="396"/>
      <c r="R1416" s="396"/>
      <c r="S1416" s="396"/>
      <c r="T1416" s="396"/>
      <c r="U1416" s="401"/>
      <c r="V1416" s="396"/>
      <c r="W1416" s="399"/>
      <c r="X1416" s="396"/>
      <c r="Y1416" s="389"/>
      <c r="Z1416" s="396"/>
      <c r="AA1416" s="388"/>
      <c r="AB1416" s="390"/>
    </row>
    <row r="1417" spans="1:28">
      <c r="A1417" s="384" t="str">
        <f t="shared" ref="A1417:B1417" si="4494">A1405</f>
        <v>Lantai 1</v>
      </c>
      <c r="B1417" s="385">
        <f t="shared" si="4494"/>
        <v>46</v>
      </c>
      <c r="C1417" s="393" t="s">
        <v>208</v>
      </c>
      <c r="D1417" s="398">
        <f>VLOOKUP(D1405,'Detail Balok'!$C$10:$AU$140,13,FALSE)</f>
        <v>2</v>
      </c>
      <c r="E1417" s="388" t="s">
        <v>16</v>
      </c>
      <c r="F1417" s="388">
        <f>VLOOKUP(D1405,'Detail Balok'!$C$10:$AU$140,15,FALSE)</f>
        <v>10</v>
      </c>
      <c r="G1417" s="388"/>
      <c r="H1417" s="395"/>
      <c r="I1417" s="388"/>
      <c r="J1417" s="399">
        <f t="shared" ref="J1417" si="4495">+D1407/1000</f>
        <v>5.5750000000000002</v>
      </c>
      <c r="K1417" s="400" t="s">
        <v>204</v>
      </c>
      <c r="L1417" s="399">
        <f t="shared" ref="L1417" si="4496">2*$F$16*F1417/1000</f>
        <v>0.24</v>
      </c>
      <c r="M1417" s="399" t="s">
        <v>176</v>
      </c>
      <c r="N1417" s="399">
        <f t="shared" ref="N1417" si="4497">J1417+L1417</f>
        <v>5.8150000000000004</v>
      </c>
      <c r="O1417" s="399" t="s">
        <v>204</v>
      </c>
      <c r="P1417" s="389">
        <f t="shared" ref="P1417" si="4498">IF(N1417&gt;12,ROUNDDOWN(N1417/12,0),0)</f>
        <v>0</v>
      </c>
      <c r="Q1417" s="399" t="s">
        <v>125</v>
      </c>
      <c r="R1417" s="399">
        <f t="shared" ref="R1417" si="4499">IF(P1417&gt;0,MAX(VLOOKUP(F1417,$D$6:$G$15,3,FALSE),600),0)/1000</f>
        <v>0</v>
      </c>
      <c r="S1417" s="399"/>
      <c r="T1417" s="399" t="s">
        <v>125</v>
      </c>
      <c r="U1417" s="401">
        <f t="shared" ref="U1417" si="4500">0.006165*F1417^2</f>
        <v>0.61650000000000005</v>
      </c>
      <c r="V1417" s="399" t="s">
        <v>125</v>
      </c>
      <c r="W1417" s="399">
        <f t="shared" ref="W1417" si="4501">+D1417</f>
        <v>2</v>
      </c>
      <c r="X1417" s="399" t="s">
        <v>125</v>
      </c>
      <c r="Y1417" s="389">
        <f t="shared" ref="Y1417" si="4502">D1411</f>
        <v>2</v>
      </c>
      <c r="Z1417" s="400" t="s">
        <v>176</v>
      </c>
      <c r="AA1417" s="402">
        <f t="shared" ref="AA1417" si="4503">(N1417+P1417*R1417/1000)*U1417*W1417*Y1417</f>
        <v>14.339790000000002</v>
      </c>
      <c r="AB1417" s="403"/>
    </row>
    <row r="1418" spans="1:28">
      <c r="A1418" s="384"/>
      <c r="B1418" s="385"/>
      <c r="C1418" s="393"/>
      <c r="D1418" s="398"/>
      <c r="E1418" s="388"/>
      <c r="F1418" s="388"/>
      <c r="G1418" s="388"/>
      <c r="H1418" s="395"/>
      <c r="I1418" s="388"/>
      <c r="J1418" s="399"/>
      <c r="K1418" s="400"/>
      <c r="L1418" s="399"/>
      <c r="M1418" s="399"/>
      <c r="N1418" s="399"/>
      <c r="O1418" s="399"/>
      <c r="P1418" s="389"/>
      <c r="Q1418" s="399"/>
      <c r="R1418" s="399"/>
      <c r="S1418" s="399"/>
      <c r="T1418" s="399"/>
      <c r="U1418" s="401"/>
      <c r="V1418" s="399"/>
      <c r="W1418" s="399"/>
      <c r="X1418" s="399"/>
      <c r="Y1418" s="389"/>
      <c r="Z1418" s="400"/>
      <c r="AA1418" s="402"/>
      <c r="AB1418" s="403"/>
    </row>
    <row r="1419" spans="1:28">
      <c r="A1419" s="384"/>
      <c r="B1419" s="385"/>
      <c r="C1419" s="393"/>
      <c r="D1419" s="398"/>
      <c r="E1419" s="388"/>
      <c r="F1419" s="388"/>
      <c r="G1419" s="388"/>
      <c r="H1419" s="395"/>
      <c r="I1419" s="388"/>
      <c r="J1419" s="396"/>
      <c r="K1419" s="396"/>
      <c r="L1419" s="396"/>
      <c r="M1419" s="396"/>
      <c r="N1419" s="396"/>
      <c r="O1419" s="396"/>
      <c r="P1419" s="389"/>
      <c r="Q1419" s="396"/>
      <c r="R1419" s="396"/>
      <c r="S1419" s="396"/>
      <c r="T1419" s="396"/>
      <c r="U1419" s="401"/>
      <c r="V1419" s="396"/>
      <c r="W1419" s="399"/>
      <c r="X1419" s="396"/>
      <c r="Y1419" s="389"/>
      <c r="Z1419" s="396"/>
      <c r="AA1419" s="388"/>
      <c r="AB1419" s="390"/>
    </row>
    <row r="1420" spans="1:28">
      <c r="A1420" s="384" t="str">
        <f t="shared" ref="A1420:B1420" si="4504">A1405</f>
        <v>Lantai 1</v>
      </c>
      <c r="B1420" s="385">
        <f t="shared" si="4504"/>
        <v>46</v>
      </c>
      <c r="C1420" s="393" t="s">
        <v>209</v>
      </c>
      <c r="D1420" s="398">
        <f>VLOOKUP(D1405,'Detail Balok'!$C$10:$AU$140,22,FALSE)</f>
        <v>3</v>
      </c>
      <c r="E1420" s="388" t="s">
        <v>16</v>
      </c>
      <c r="F1420" s="388">
        <f>VLOOKUP(D1405,'Detail Balok'!$C$10:$AU$140,24,FALSE)</f>
        <v>16</v>
      </c>
      <c r="G1420" s="388"/>
      <c r="H1420" s="395"/>
      <c r="I1420" s="388" t="s">
        <v>203</v>
      </c>
      <c r="J1420" s="399">
        <f t="shared" ref="J1420:J1482" si="4505">+J1412</f>
        <v>1.39375</v>
      </c>
      <c r="K1420" s="400" t="s">
        <v>204</v>
      </c>
      <c r="L1420" s="399">
        <f t="shared" ref="L1420" si="4506">MAX(VLOOKUP(F1420,N$6:P$15,3,FALSE)/1000,2/3*D1410/1000)+F$16*F1420/1000</f>
        <v>0.192</v>
      </c>
      <c r="M1420" s="399" t="s">
        <v>176</v>
      </c>
      <c r="N1420" s="399">
        <f t="shared" ref="N1420:N1422" si="4507">J1420+L1420</f>
        <v>1.58575</v>
      </c>
      <c r="O1420" s="399" t="s">
        <v>204</v>
      </c>
      <c r="P1420" s="389">
        <f t="shared" ref="P1420" si="4508">D1420-D1421</f>
        <v>0</v>
      </c>
      <c r="Q1420" s="399" t="s">
        <v>125</v>
      </c>
      <c r="R1420" s="399">
        <f t="shared" ref="R1420" si="4509">IF(P1420&gt;0,$F$18*F1420/1000,0)</f>
        <v>0</v>
      </c>
      <c r="S1420" s="399" t="s">
        <v>205</v>
      </c>
      <c r="T1420" s="399" t="s">
        <v>125</v>
      </c>
      <c r="U1420" s="401">
        <f t="shared" ref="U1420:U1422" si="4510">0.006165*F1420^2</f>
        <v>1.5782400000000001</v>
      </c>
      <c r="V1420" s="399"/>
      <c r="W1420" s="399"/>
      <c r="X1420" s="399" t="s">
        <v>125</v>
      </c>
      <c r="Y1420" s="389">
        <f t="shared" ref="Y1420" si="4511">D1411</f>
        <v>2</v>
      </c>
      <c r="Z1420" s="400" t="s">
        <v>176</v>
      </c>
      <c r="AA1420" s="402">
        <f t="shared" ref="AA1420" si="4512">IF(AA1423=0,(D1420*N1420+P1420*R1420)*U1420*Y1420,0)</f>
        <v>0</v>
      </c>
      <c r="AB1420" s="403"/>
    </row>
    <row r="1421" spans="1:28">
      <c r="A1421" s="384" t="str">
        <f t="shared" ref="A1421:B1421" si="4513">A1405</f>
        <v>Lantai 1</v>
      </c>
      <c r="B1421" s="385">
        <f t="shared" si="4513"/>
        <v>46</v>
      </c>
      <c r="C1421" s="393" t="s">
        <v>210</v>
      </c>
      <c r="D1421" s="398">
        <f>VLOOKUP(D1405,'Detail Balok'!$C$10:$AU$140,25,FALSE)</f>
        <v>3</v>
      </c>
      <c r="E1421" s="388" t="s">
        <v>16</v>
      </c>
      <c r="F1421" s="388">
        <f>VLOOKUP(D1405,'Detail Balok'!$C$10:$AU$140,27,FALSE)</f>
        <v>16</v>
      </c>
      <c r="G1421" s="388"/>
      <c r="H1421" s="395"/>
      <c r="I1421" s="388" t="s">
        <v>203</v>
      </c>
      <c r="J1421" s="399">
        <f t="shared" si="4505"/>
        <v>2.7875000000000001</v>
      </c>
      <c r="K1421" s="400" t="s">
        <v>204</v>
      </c>
      <c r="L1421" s="399"/>
      <c r="M1421" s="399" t="s">
        <v>176</v>
      </c>
      <c r="N1421" s="399">
        <f t="shared" si="4507"/>
        <v>2.7875000000000001</v>
      </c>
      <c r="O1421" s="399" t="s">
        <v>204</v>
      </c>
      <c r="P1421" s="389">
        <f t="shared" ref="P1421" si="4514">MAX(D1421-D1420,D1421-D1422)</f>
        <v>0</v>
      </c>
      <c r="Q1421" s="399" t="s">
        <v>125</v>
      </c>
      <c r="R1421" s="399">
        <f t="shared" ref="R1421" si="4515">IF(P1421&gt;0,2*(1-2*$F$19-1/2)*D1408/1000,0)</f>
        <v>0</v>
      </c>
      <c r="S1421" s="399" t="s">
        <v>205</v>
      </c>
      <c r="T1421" s="399" t="s">
        <v>125</v>
      </c>
      <c r="U1421" s="401">
        <f t="shared" si="4510"/>
        <v>1.5782400000000001</v>
      </c>
      <c r="V1421" s="399"/>
      <c r="W1421" s="399"/>
      <c r="X1421" s="399" t="s">
        <v>125</v>
      </c>
      <c r="Y1421" s="389">
        <f t="shared" ref="Y1421" si="4516">D1411</f>
        <v>2</v>
      </c>
      <c r="Z1421" s="400" t="s">
        <v>176</v>
      </c>
      <c r="AA1421" s="402">
        <f t="shared" ref="AA1421" si="4517">IF(AA1423=0,(D1421*N1421+P1421*R1421)*U1421*Y1421,0)</f>
        <v>0</v>
      </c>
      <c r="AB1421" s="403"/>
    </row>
    <row r="1422" spans="1:28">
      <c r="A1422" s="384" t="str">
        <f t="shared" ref="A1422:B1422" si="4518">A1405</f>
        <v>Lantai 1</v>
      </c>
      <c r="B1422" s="385">
        <f t="shared" si="4518"/>
        <v>46</v>
      </c>
      <c r="C1422" s="393" t="s">
        <v>209</v>
      </c>
      <c r="D1422" s="398">
        <f>VLOOKUP(D1405,'Detail Balok'!$C$10:$AU$140,28,FALSE)</f>
        <v>3</v>
      </c>
      <c r="E1422" s="388" t="s">
        <v>16</v>
      </c>
      <c r="F1422" s="388">
        <f>VLOOKUP(D1405,'Detail Balok'!$C$10:$AU$140,30,FALSE)</f>
        <v>16</v>
      </c>
      <c r="G1422" s="388"/>
      <c r="H1422" s="395"/>
      <c r="I1422" s="388" t="s">
        <v>203</v>
      </c>
      <c r="J1422" s="399">
        <f t="shared" si="4505"/>
        <v>1.39375</v>
      </c>
      <c r="K1422" s="400" t="s">
        <v>204</v>
      </c>
      <c r="L1422" s="399">
        <f t="shared" ref="L1422" si="4519">MAX(VLOOKUP(F1422,N$6:P$15,3,FALSE)/1000,2/3*D1410/1000)+F$16*F1422/1000</f>
        <v>0.192</v>
      </c>
      <c r="M1422" s="399" t="s">
        <v>176</v>
      </c>
      <c r="N1422" s="399">
        <f t="shared" si="4507"/>
        <v>1.58575</v>
      </c>
      <c r="O1422" s="399" t="s">
        <v>204</v>
      </c>
      <c r="P1422" s="389">
        <f t="shared" ref="P1422" si="4520">D1422-D1421</f>
        <v>0</v>
      </c>
      <c r="Q1422" s="399" t="s">
        <v>125</v>
      </c>
      <c r="R1422" s="399">
        <f t="shared" ref="R1422" si="4521">IF(P1422&gt;0,$F$18*F1422/1000,0)</f>
        <v>0</v>
      </c>
      <c r="S1422" s="399" t="s">
        <v>205</v>
      </c>
      <c r="T1422" s="399" t="s">
        <v>125</v>
      </c>
      <c r="U1422" s="401">
        <f t="shared" si="4510"/>
        <v>1.5782400000000001</v>
      </c>
      <c r="V1422" s="399"/>
      <c r="W1422" s="399"/>
      <c r="X1422" s="399" t="s">
        <v>125</v>
      </c>
      <c r="Y1422" s="389">
        <f t="shared" ref="Y1422" si="4522">D1411</f>
        <v>2</v>
      </c>
      <c r="Z1422" s="400" t="s">
        <v>176</v>
      </c>
      <c r="AA1422" s="402">
        <f t="shared" ref="AA1422" si="4523">IF(AA1423=0,(D1422*N1422+P1422*R1422)*U1422*Y1422,0)</f>
        <v>0</v>
      </c>
      <c r="AB1422" s="403"/>
    </row>
    <row r="1423" spans="1:28">
      <c r="A1423" s="384" t="str">
        <f t="shared" ref="A1423:B1423" si="4524">A1405</f>
        <v>Lantai 1</v>
      </c>
      <c r="B1423" s="385">
        <f t="shared" si="4524"/>
        <v>46</v>
      </c>
      <c r="C1423" s="393"/>
      <c r="D1423" s="398">
        <f t="shared" ref="D1423:D1483" si="4525">IF(AND(D1420=D1421,D1421=D1422,D1420=D1422),D1420,0)</f>
        <v>3</v>
      </c>
      <c r="E1423" s="388" t="s">
        <v>16</v>
      </c>
      <c r="F1423" s="388">
        <f t="shared" ref="F1423:F1483" si="4526">IF(AND(F1420=F1421,F1420=F1422,F1421=F1422),F1420,0)</f>
        <v>16</v>
      </c>
      <c r="G1423" s="388"/>
      <c r="H1423" s="395"/>
      <c r="I1423" s="388"/>
      <c r="J1423" s="396"/>
      <c r="K1423" s="396"/>
      <c r="L1423" s="404" t="s">
        <v>207</v>
      </c>
      <c r="M1423" s="399" t="s">
        <v>176</v>
      </c>
      <c r="N1423" s="399">
        <f t="shared" ref="N1423" si="4527">IF(AND(D1420=D1421,D1420=D1422,D1421=D1422,F1420=F1421,F1420=F1422,F1421=F1422),SUM(N1420:N1422),0)</f>
        <v>5.9590000000000005</v>
      </c>
      <c r="O1423" s="399" t="s">
        <v>204</v>
      </c>
      <c r="P1423" s="389">
        <f t="shared" ref="P1423" si="4528">IF(N1423&gt;12,ROUNDDOWN(N1423/12,0),0)</f>
        <v>0</v>
      </c>
      <c r="Q1423" s="399" t="s">
        <v>125</v>
      </c>
      <c r="R1423" s="399">
        <f t="shared" ref="R1423" si="4529">IF(P1423&gt;0,MAX(VLOOKUP(F1423,$D$6:$G$15,3,FALSE),600),0)/1000</f>
        <v>0</v>
      </c>
      <c r="S1423" s="396"/>
      <c r="T1423" s="396" t="s">
        <v>125</v>
      </c>
      <c r="U1423" s="401">
        <f t="shared" ref="U1423:U1483" si="4530">U1422</f>
        <v>1.5782400000000001</v>
      </c>
      <c r="V1423" s="396" t="s">
        <v>125</v>
      </c>
      <c r="W1423" s="399">
        <f t="shared" ref="W1423" si="4531">D1423</f>
        <v>3</v>
      </c>
      <c r="X1423" s="399" t="s">
        <v>125</v>
      </c>
      <c r="Y1423" s="389">
        <f t="shared" ref="Y1423:Y1483" si="4532">Y1422</f>
        <v>2</v>
      </c>
      <c r="Z1423" s="400" t="s">
        <v>176</v>
      </c>
      <c r="AA1423" s="402">
        <f t="shared" ref="AA1423" si="4533">(N1423+P1423*R1423/1000)*U1423*W1423*Y1423</f>
        <v>56.428392960000011</v>
      </c>
      <c r="AB1423" s="403"/>
    </row>
    <row r="1424" spans="1:28">
      <c r="A1424" s="384"/>
      <c r="B1424" s="385"/>
      <c r="C1424" s="393"/>
      <c r="D1424" s="394"/>
      <c r="E1424" s="388"/>
      <c r="F1424" s="388"/>
      <c r="G1424" s="388"/>
      <c r="H1424" s="395"/>
      <c r="I1424" s="388"/>
      <c r="J1424" s="399"/>
      <c r="K1424" s="396"/>
      <c r="L1424" s="396"/>
      <c r="M1424" s="396"/>
      <c r="N1424" s="396"/>
      <c r="O1424" s="396"/>
      <c r="P1424" s="389"/>
      <c r="Q1424" s="396"/>
      <c r="R1424" s="396"/>
      <c r="S1424" s="396"/>
      <c r="T1424" s="396"/>
      <c r="U1424" s="401"/>
      <c r="V1424" s="396"/>
      <c r="W1424" s="388"/>
      <c r="X1424" s="396"/>
      <c r="Y1424" s="389"/>
      <c r="Z1424" s="396"/>
      <c r="AA1424" s="388"/>
      <c r="AB1424" s="390"/>
    </row>
    <row r="1425" spans="1:28">
      <c r="A1425" s="384" t="str">
        <f t="shared" ref="A1425:B1425" si="4534">A1405</f>
        <v>Lantai 1</v>
      </c>
      <c r="B1425" s="385">
        <f t="shared" si="4534"/>
        <v>46</v>
      </c>
      <c r="C1425" s="393" t="s">
        <v>211</v>
      </c>
      <c r="D1425" s="398">
        <f>VLOOKUP(D1405,'Detail Balok'!$C$10:$AU$140,31,FALSE)</f>
        <v>0</v>
      </c>
      <c r="E1425" s="388" t="s">
        <v>16</v>
      </c>
      <c r="F1425" s="388">
        <f>VLOOKUP(D1405,'Detail Balok'!$C$10:$AU$140,33,FALSE)</f>
        <v>8</v>
      </c>
      <c r="G1425" s="405" t="s">
        <v>157</v>
      </c>
      <c r="H1425" s="395">
        <f>VLOOKUP(D1405,'Detail Balok'!$C$10:$AU$140,35,FALSE)</f>
        <v>150</v>
      </c>
      <c r="I1425" s="388"/>
      <c r="J1425" s="400">
        <f t="shared" ref="J1425" si="4535">(IF(D1425=0,(2*(D1406+G1406))-(F$5*8),IF(D1425=3,(2*(D1406+G1406))-(F$5*8)+(G1406-2*F$5),IF(D1425=4,(2*(D1406+G1406))-(F$5*8)+2*(G1406-2*F$5)))))/1000</f>
        <v>1.08</v>
      </c>
      <c r="K1425" s="400" t="s">
        <v>204</v>
      </c>
      <c r="L1425" s="399">
        <f t="shared" ref="L1425:L1427" si="4536">IF(D1425=0,2*MAX(6*F1425,75),(D1425-1)*2*MAX(6*F1425,75))/1000</f>
        <v>0.15</v>
      </c>
      <c r="M1425" s="399" t="s">
        <v>176</v>
      </c>
      <c r="N1425" s="399">
        <f t="shared" ref="N1425:N1427" si="4537">J1425+L1425</f>
        <v>1.23</v>
      </c>
      <c r="O1425" s="399"/>
      <c r="P1425" s="389"/>
      <c r="Q1425" s="399"/>
      <c r="R1425" s="399"/>
      <c r="S1425" s="399"/>
      <c r="T1425" s="399" t="s">
        <v>125</v>
      </c>
      <c r="U1425" s="401">
        <f t="shared" ref="U1425:U1427" si="4538">0.006165*F1425^2</f>
        <v>0.39456000000000002</v>
      </c>
      <c r="V1425" s="399" t="s">
        <v>125</v>
      </c>
      <c r="W1425" s="399">
        <f t="shared" ref="W1425" si="4539">IF(D1408&gt;4*G1406,ROUND(MAX(D1408/4,2*G1406)/H1425,0)+1,ROUND(D1408/H1425,0)+1)</f>
        <v>10</v>
      </c>
      <c r="X1425" s="399" t="s">
        <v>125</v>
      </c>
      <c r="Y1425" s="389">
        <f t="shared" ref="Y1425" si="4540">D1411</f>
        <v>2</v>
      </c>
      <c r="Z1425" s="400" t="s">
        <v>176</v>
      </c>
      <c r="AA1425" s="402">
        <f t="shared" ref="AA1425:AA1427" si="4541">N1425*U1425*W1425*Y1425</f>
        <v>9.706176000000001</v>
      </c>
      <c r="AB1425" s="403"/>
    </row>
    <row r="1426" spans="1:28">
      <c r="A1426" s="384" t="str">
        <f t="shared" ref="A1426:B1426" si="4542">A1405</f>
        <v>Lantai 1</v>
      </c>
      <c r="B1426" s="385">
        <f t="shared" si="4542"/>
        <v>46</v>
      </c>
      <c r="C1426" s="393" t="s">
        <v>212</v>
      </c>
      <c r="D1426" s="398">
        <f>VLOOKUP(D1405,'Detail Balok'!$C$10:$AU$140,36,FALSE)</f>
        <v>0</v>
      </c>
      <c r="E1426" s="388" t="s">
        <v>16</v>
      </c>
      <c r="F1426" s="388">
        <f>VLOOKUP(D1405,'Detail Balok'!$C$10:$AU$140,38,FALSE)</f>
        <v>8</v>
      </c>
      <c r="G1426" s="405" t="s">
        <v>157</v>
      </c>
      <c r="H1426" s="395">
        <f>VLOOKUP(D1405,'Detail Balok'!$C$10:$AU$140,40,FALSE)</f>
        <v>200</v>
      </c>
      <c r="I1426" s="388"/>
      <c r="J1426" s="400">
        <f t="shared" ref="J1426" si="4543">(IF(D1426=0,(2*(D1406+G1406))-(F$5*8),IF(D1426=3,(2*(D1406+G1406))-(F$5*8)+(G1406-2*F$5),IF(D1426=4,(2*(D1406+G1406))-(F$5*8)+2*(G1406-2*F$5)))))/1000</f>
        <v>1.08</v>
      </c>
      <c r="K1426" s="400" t="s">
        <v>204</v>
      </c>
      <c r="L1426" s="399">
        <f t="shared" si="4536"/>
        <v>0.15</v>
      </c>
      <c r="M1426" s="399" t="s">
        <v>176</v>
      </c>
      <c r="N1426" s="399">
        <f t="shared" si="4537"/>
        <v>1.23</v>
      </c>
      <c r="O1426" s="399"/>
      <c r="P1426" s="389"/>
      <c r="Q1426" s="399"/>
      <c r="R1426" s="399"/>
      <c r="S1426" s="399"/>
      <c r="T1426" s="399" t="s">
        <v>125</v>
      </c>
      <c r="U1426" s="401">
        <f t="shared" si="4538"/>
        <v>0.39456000000000002</v>
      </c>
      <c r="V1426" s="399" t="s">
        <v>125</v>
      </c>
      <c r="W1426" s="399">
        <f t="shared" ref="W1426" si="4544">IF(D1408-MAX(D1408/4,2*G1406)*2&gt;0,ROUND((D1408-MAX(D1408/4,2*G1406)*2)/H1426,0),0)</f>
        <v>14</v>
      </c>
      <c r="X1426" s="399" t="s">
        <v>125</v>
      </c>
      <c r="Y1426" s="389">
        <f t="shared" ref="Y1426" si="4545">D1411</f>
        <v>2</v>
      </c>
      <c r="Z1426" s="400" t="s">
        <v>176</v>
      </c>
      <c r="AA1426" s="402">
        <f t="shared" si="4541"/>
        <v>13.588646400000002</v>
      </c>
      <c r="AB1426" s="403"/>
    </row>
    <row r="1427" spans="1:28">
      <c r="A1427" s="384" t="str">
        <f t="shared" ref="A1427:B1427" si="4546">A1405</f>
        <v>Lantai 1</v>
      </c>
      <c r="B1427" s="385">
        <f t="shared" si="4546"/>
        <v>46</v>
      </c>
      <c r="C1427" s="393" t="s">
        <v>211</v>
      </c>
      <c r="D1427" s="398">
        <f>VLOOKUP(D1405,'Detail Balok'!$C$10:$AU$140,41,FALSE)</f>
        <v>0</v>
      </c>
      <c r="E1427" s="388" t="s">
        <v>16</v>
      </c>
      <c r="F1427" s="388">
        <f>VLOOKUP(D1405,'Detail Balok'!$C$10:$AU$140,43,FALSE)</f>
        <v>8</v>
      </c>
      <c r="G1427" s="405" t="s">
        <v>157</v>
      </c>
      <c r="H1427" s="395">
        <f>VLOOKUP(D1405,'Detail Balok'!$C$10:$AU$140,45,FALSE)</f>
        <v>150</v>
      </c>
      <c r="I1427" s="388"/>
      <c r="J1427" s="400">
        <f t="shared" ref="J1427" si="4547">(IF(D1427=0,(2*(D1406+G1406))-(F$5*8),IF(D1427=3,(2*(D1406+G1406))-(F$5*8)+(G1406-2*F$5),IF(D1427=4,(2*(D1406+G1406))-(F$5*8)+2*(G1406-2*F$5)))))/1000</f>
        <v>1.08</v>
      </c>
      <c r="K1427" s="400" t="s">
        <v>204</v>
      </c>
      <c r="L1427" s="399">
        <f t="shared" si="4536"/>
        <v>0.15</v>
      </c>
      <c r="M1427" s="399" t="s">
        <v>176</v>
      </c>
      <c r="N1427" s="399">
        <f t="shared" si="4537"/>
        <v>1.23</v>
      </c>
      <c r="O1427" s="399"/>
      <c r="P1427" s="389"/>
      <c r="Q1427" s="399"/>
      <c r="R1427" s="399"/>
      <c r="S1427" s="399"/>
      <c r="T1427" s="399" t="s">
        <v>125</v>
      </c>
      <c r="U1427" s="401">
        <f t="shared" si="4538"/>
        <v>0.39456000000000002</v>
      </c>
      <c r="V1427" s="399" t="s">
        <v>125</v>
      </c>
      <c r="W1427" s="399">
        <f t="shared" ref="W1427" si="4548">IF(D1408&gt;4*G1406,ROUND(MAX(D1408/4,2*G1406)/H1427,0)+1,0)</f>
        <v>10</v>
      </c>
      <c r="X1427" s="399" t="s">
        <v>125</v>
      </c>
      <c r="Y1427" s="389">
        <f t="shared" ref="Y1427" si="4549">D1411</f>
        <v>2</v>
      </c>
      <c r="Z1427" s="400" t="s">
        <v>176</v>
      </c>
      <c r="AA1427" s="402">
        <f t="shared" si="4541"/>
        <v>9.706176000000001</v>
      </c>
      <c r="AB1427" s="403"/>
    </row>
    <row r="1428" spans="1:28">
      <c r="A1428" s="384"/>
      <c r="B1428" s="385"/>
      <c r="C1428" s="393"/>
      <c r="D1428" s="394"/>
      <c r="E1428" s="388"/>
      <c r="F1428" s="388"/>
      <c r="G1428" s="388"/>
      <c r="H1428" s="395"/>
      <c r="I1428" s="388"/>
      <c r="J1428" s="399"/>
      <c r="K1428" s="396"/>
      <c r="L1428" s="396"/>
      <c r="M1428" s="396"/>
      <c r="N1428" s="396"/>
      <c r="O1428" s="396"/>
      <c r="P1428" s="389"/>
      <c r="Q1428" s="396"/>
      <c r="R1428" s="396"/>
      <c r="S1428" s="396"/>
      <c r="T1428" s="396"/>
      <c r="U1428" s="401"/>
      <c r="V1428" s="396"/>
      <c r="W1428" s="388"/>
      <c r="X1428" s="396"/>
      <c r="Y1428" s="389"/>
      <c r="Z1428" s="396"/>
      <c r="AA1428" s="388"/>
      <c r="AB1428" s="390"/>
    </row>
    <row r="1429" spans="1:28">
      <c r="A1429" s="384" t="str">
        <f t="shared" ref="A1429:B1429" si="4550">A1405</f>
        <v>Lantai 1</v>
      </c>
      <c r="B1429" s="385">
        <f t="shared" si="4550"/>
        <v>46</v>
      </c>
      <c r="C1429" s="393" t="s">
        <v>213</v>
      </c>
      <c r="D1429" s="398">
        <f>VLOOKUP(D1405,'Detail Balok'!$C$10:$BJ$140,46,FALSE)</f>
        <v>0</v>
      </c>
      <c r="E1429" s="388" t="s">
        <v>16</v>
      </c>
      <c r="F1429" s="388">
        <f>VLOOKUP(D1405,'Detail Balok'!$C$10:$BJ$140,48,FALSE)</f>
        <v>0</v>
      </c>
      <c r="G1429" s="405" t="s">
        <v>157</v>
      </c>
      <c r="H1429" s="395">
        <f>VLOOKUP(D1405,'Detail Balok'!$C$10:$BJ$140,50,FALSE)</f>
        <v>100</v>
      </c>
      <c r="I1429" s="388"/>
      <c r="J1429" s="399">
        <f t="shared" ref="J1429" si="4551">(D1406-2*F$5)/1000</f>
        <v>0.12</v>
      </c>
      <c r="K1429" s="400" t="s">
        <v>204</v>
      </c>
      <c r="L1429" s="399">
        <f t="shared" ref="L1429:L1431" si="4552">IF(D1429=0,2*MAX(6*F1429,75),(D1429-1)*2*MAX(6*F1429,75))/1000</f>
        <v>0.15</v>
      </c>
      <c r="M1429" s="399" t="s">
        <v>176</v>
      </c>
      <c r="N1429" s="399">
        <f t="shared" ref="N1429:N1431" si="4553">J1429+L1429</f>
        <v>0.27</v>
      </c>
      <c r="O1429" s="399"/>
      <c r="P1429" s="399"/>
      <c r="Q1429" s="399"/>
      <c r="R1429" s="399"/>
      <c r="S1429" s="399"/>
      <c r="T1429" s="399" t="s">
        <v>125</v>
      </c>
      <c r="U1429" s="401">
        <f t="shared" ref="U1429:U1431" si="4554">0.006165*F1429^2</f>
        <v>0</v>
      </c>
      <c r="V1429" s="399" t="s">
        <v>125</v>
      </c>
      <c r="W1429" s="399">
        <f t="shared" ref="W1429:W1491" si="4555">W1425</f>
        <v>10</v>
      </c>
      <c r="X1429" s="399" t="s">
        <v>125</v>
      </c>
      <c r="Y1429" s="389">
        <f t="shared" ref="Y1429" si="4556">D1415</f>
        <v>3</v>
      </c>
      <c r="Z1429" s="400" t="s">
        <v>176</v>
      </c>
      <c r="AA1429" s="402">
        <f t="shared" ref="AA1429:AA1431" si="4557">N1429*U1429*W1429*Y1429</f>
        <v>0</v>
      </c>
      <c r="AB1429" s="403"/>
    </row>
    <row r="1430" spans="1:28">
      <c r="A1430" s="384" t="str">
        <f t="shared" ref="A1430:B1430" si="4558">A1405</f>
        <v>Lantai 1</v>
      </c>
      <c r="B1430" s="385">
        <f t="shared" si="4558"/>
        <v>46</v>
      </c>
      <c r="C1430" s="393" t="s">
        <v>214</v>
      </c>
      <c r="D1430" s="398">
        <f>VLOOKUP(D1405,'Detail Balok'!$C$10:$BJ$140,51,FALSE)</f>
        <v>0</v>
      </c>
      <c r="E1430" s="388" t="s">
        <v>16</v>
      </c>
      <c r="F1430" s="388">
        <f>VLOOKUP(D1405,'Detail Balok'!$C$10:$BJ$140,53,FALSE)</f>
        <v>0</v>
      </c>
      <c r="G1430" s="405" t="s">
        <v>157</v>
      </c>
      <c r="H1430" s="395">
        <f>VLOOKUP(D1405,'Detail Balok'!$C$10:$BJ$140,55,FALSE)</f>
        <v>100</v>
      </c>
      <c r="I1430" s="388"/>
      <c r="J1430" s="399">
        <f t="shared" ref="J1430" si="4559">(D1406-2*F$5)/1000</f>
        <v>0.12</v>
      </c>
      <c r="K1430" s="400" t="s">
        <v>204</v>
      </c>
      <c r="L1430" s="399">
        <f t="shared" si="4552"/>
        <v>0.15</v>
      </c>
      <c r="M1430" s="399" t="s">
        <v>176</v>
      </c>
      <c r="N1430" s="399">
        <f t="shared" si="4553"/>
        <v>0.27</v>
      </c>
      <c r="O1430" s="399"/>
      <c r="P1430" s="399"/>
      <c r="Q1430" s="399"/>
      <c r="R1430" s="399"/>
      <c r="S1430" s="399"/>
      <c r="T1430" s="399" t="s">
        <v>125</v>
      </c>
      <c r="U1430" s="401">
        <f t="shared" si="4554"/>
        <v>0</v>
      </c>
      <c r="V1430" s="399" t="s">
        <v>125</v>
      </c>
      <c r="W1430" s="399">
        <f t="shared" si="4555"/>
        <v>14</v>
      </c>
      <c r="X1430" s="399" t="s">
        <v>125</v>
      </c>
      <c r="Y1430" s="389">
        <f t="shared" ref="Y1430" si="4560">D1415</f>
        <v>3</v>
      </c>
      <c r="Z1430" s="400" t="s">
        <v>176</v>
      </c>
      <c r="AA1430" s="402">
        <f t="shared" si="4557"/>
        <v>0</v>
      </c>
      <c r="AB1430" s="403"/>
    </row>
    <row r="1431" spans="1:28">
      <c r="A1431" s="384" t="str">
        <f t="shared" ref="A1431:B1431" si="4561">A1405</f>
        <v>Lantai 1</v>
      </c>
      <c r="B1431" s="385">
        <f t="shared" si="4561"/>
        <v>46</v>
      </c>
      <c r="C1431" s="393" t="s">
        <v>213</v>
      </c>
      <c r="D1431" s="398">
        <f>VLOOKUP(D1405,'Detail Balok'!$C$10:$BJ$140,56,FALSE)</f>
        <v>0</v>
      </c>
      <c r="E1431" s="388" t="s">
        <v>16</v>
      </c>
      <c r="F1431" s="388">
        <f>VLOOKUP(D1405,'Detail Balok'!$C$10:$BJ$140,58,FALSE)</f>
        <v>0</v>
      </c>
      <c r="G1431" s="405" t="s">
        <v>157</v>
      </c>
      <c r="H1431" s="395">
        <f>VLOOKUP(D1405,'Detail Balok'!$C$10:$BJ$140,60,FALSE)</f>
        <v>100</v>
      </c>
      <c r="I1431" s="388"/>
      <c r="J1431" s="399">
        <f t="shared" ref="J1431" si="4562">(D1406-2*F$5)/1000</f>
        <v>0.12</v>
      </c>
      <c r="K1431" s="400" t="s">
        <v>204</v>
      </c>
      <c r="L1431" s="399">
        <f t="shared" si="4552"/>
        <v>0.15</v>
      </c>
      <c r="M1431" s="399" t="s">
        <v>176</v>
      </c>
      <c r="N1431" s="399">
        <f t="shared" si="4553"/>
        <v>0.27</v>
      </c>
      <c r="O1431" s="399"/>
      <c r="P1431" s="399"/>
      <c r="Q1431" s="399"/>
      <c r="R1431" s="399"/>
      <c r="S1431" s="399"/>
      <c r="T1431" s="399" t="s">
        <v>125</v>
      </c>
      <c r="U1431" s="401">
        <f t="shared" si="4554"/>
        <v>0</v>
      </c>
      <c r="V1431" s="399" t="s">
        <v>125</v>
      </c>
      <c r="W1431" s="399">
        <f t="shared" si="4555"/>
        <v>10</v>
      </c>
      <c r="X1431" s="399" t="s">
        <v>125</v>
      </c>
      <c r="Y1431" s="389">
        <f t="shared" ref="Y1431" si="4563">D1415</f>
        <v>3</v>
      </c>
      <c r="Z1431" s="400" t="s">
        <v>176</v>
      </c>
      <c r="AA1431" s="402">
        <f t="shared" si="4557"/>
        <v>0</v>
      </c>
      <c r="AB1431" s="403"/>
    </row>
    <row r="1432" spans="1:28">
      <c r="A1432" s="391"/>
      <c r="B1432" s="392"/>
      <c r="C1432" s="392"/>
      <c r="D1432" s="394"/>
      <c r="E1432" s="388"/>
      <c r="F1432" s="388"/>
      <c r="G1432" s="388"/>
      <c r="H1432" s="395"/>
      <c r="I1432" s="388"/>
      <c r="J1432" s="402"/>
      <c r="K1432" s="388"/>
      <c r="L1432" s="388"/>
      <c r="M1432" s="388"/>
      <c r="N1432" s="388"/>
      <c r="O1432" s="388"/>
      <c r="P1432" s="388"/>
      <c r="Q1432" s="388"/>
      <c r="R1432" s="388"/>
      <c r="S1432" s="388"/>
      <c r="T1432" s="388"/>
      <c r="U1432" s="388"/>
      <c r="V1432" s="388"/>
      <c r="W1432" s="388"/>
      <c r="X1432" s="388"/>
      <c r="Y1432" s="389"/>
      <c r="Z1432" s="388"/>
      <c r="AA1432" s="402"/>
      <c r="AB1432" s="403"/>
    </row>
    <row r="1433" spans="1:28" ht="15.75" thickBot="1">
      <c r="A1433" s="406"/>
      <c r="B1433" s="407"/>
      <c r="C1433" s="407"/>
      <c r="D1433" s="408"/>
      <c r="E1433" s="409"/>
      <c r="F1433" s="409"/>
      <c r="G1433" s="409"/>
      <c r="H1433" s="410"/>
      <c r="I1433" s="409"/>
      <c r="J1433" s="409"/>
      <c r="K1433" s="409"/>
      <c r="L1433" s="409"/>
      <c r="M1433" s="409"/>
      <c r="N1433" s="409"/>
      <c r="O1433" s="409"/>
      <c r="P1433" s="409"/>
      <c r="Q1433" s="409"/>
      <c r="R1433" s="409"/>
      <c r="S1433" s="409"/>
      <c r="T1433" s="409"/>
      <c r="U1433" s="409"/>
      <c r="V1433" s="409"/>
      <c r="W1433" s="409"/>
      <c r="X1433" s="409"/>
      <c r="Y1433" s="411"/>
      <c r="Z1433" s="409"/>
      <c r="AA1433" s="412"/>
      <c r="AB1433" s="413"/>
    </row>
    <row r="1434" spans="1:28">
      <c r="A1434" s="377"/>
      <c r="B1434" s="378"/>
      <c r="C1434" s="378"/>
      <c r="D1434" s="379"/>
      <c r="E1434" s="380"/>
      <c r="F1434" s="380"/>
      <c r="G1434" s="380"/>
      <c r="H1434" s="381"/>
      <c r="I1434" s="380"/>
      <c r="J1434" s="380"/>
      <c r="K1434" s="380"/>
      <c r="L1434" s="380"/>
      <c r="M1434" s="380"/>
      <c r="N1434" s="380"/>
      <c r="O1434" s="380"/>
      <c r="P1434" s="380"/>
      <c r="Q1434" s="380"/>
      <c r="R1434" s="380"/>
      <c r="S1434" s="380"/>
      <c r="T1434" s="380"/>
      <c r="U1434" s="380"/>
      <c r="V1434" s="380"/>
      <c r="W1434" s="380"/>
      <c r="X1434" s="380"/>
      <c r="Y1434" s="382"/>
      <c r="Z1434" s="380"/>
      <c r="AA1434" s="380"/>
      <c r="AB1434" s="383"/>
    </row>
    <row r="1435" spans="1:28">
      <c r="A1435" s="384" t="str">
        <f t="shared" ref="A1435:A1495" si="4564">A1405</f>
        <v>Lantai 1</v>
      </c>
      <c r="B1435" s="385">
        <f t="shared" ref="B1435:B1495" si="4565">B1405+1</f>
        <v>47</v>
      </c>
      <c r="C1435" s="386" t="str">
        <f t="shared" ref="C1435" si="4566">CONCATENATE(A1435," no. ",B1435)</f>
        <v>Lantai 1 no. 47</v>
      </c>
      <c r="D1435" s="2562" t="str">
        <f>VLOOKUP(C1435,'Data Panjang Balok'!$C$9:$N$254,2,FALSE)</f>
        <v>S25-1</v>
      </c>
      <c r="E1435" s="2576"/>
      <c r="F1435" s="2576"/>
      <c r="G1435" s="2576"/>
      <c r="H1435" s="2577"/>
      <c r="I1435" s="387"/>
      <c r="J1435" s="388"/>
      <c r="K1435" s="388"/>
      <c r="L1435" s="388"/>
      <c r="M1435" s="388"/>
      <c r="N1435" s="388"/>
      <c r="O1435" s="388"/>
      <c r="P1435" s="388"/>
      <c r="Q1435" s="388"/>
      <c r="R1435" s="388"/>
      <c r="S1435" s="388"/>
      <c r="T1435" s="388"/>
      <c r="U1435" s="388"/>
      <c r="V1435" s="388"/>
      <c r="W1435" s="388"/>
      <c r="X1435" s="388"/>
      <c r="Y1435" s="389"/>
      <c r="Z1435" s="388"/>
      <c r="AA1435" s="388"/>
      <c r="AB1435" s="390"/>
    </row>
    <row r="1436" spans="1:28">
      <c r="A1436" s="391"/>
      <c r="B1436" s="392"/>
      <c r="C1436" s="393" t="s">
        <v>118</v>
      </c>
      <c r="D1436" s="2578">
        <f>VLOOKUP(D1435,'Detail Balok'!$C$10:$AU$140,2,FALSE)</f>
        <v>200</v>
      </c>
      <c r="E1436" s="2579"/>
      <c r="F1436" s="388" t="s">
        <v>125</v>
      </c>
      <c r="G1436" s="2579">
        <f>VLOOKUP(D1435,'Detail Balok'!$C$10:$AU$140,3,FALSE)</f>
        <v>500</v>
      </c>
      <c r="H1436" s="2580"/>
      <c r="I1436" s="388"/>
      <c r="J1436" s="396"/>
      <c r="K1436" s="396"/>
      <c r="L1436" s="396"/>
      <c r="M1436" s="396"/>
      <c r="N1436" s="396"/>
      <c r="O1436" s="396"/>
      <c r="P1436" s="396"/>
      <c r="Q1436" s="396"/>
      <c r="R1436" s="396"/>
      <c r="S1436" s="396"/>
      <c r="T1436" s="396"/>
      <c r="U1436" s="388"/>
      <c r="V1436" s="396"/>
      <c r="W1436" s="388"/>
      <c r="X1436" s="396"/>
      <c r="Y1436" s="389"/>
      <c r="Z1436" s="396"/>
      <c r="AA1436" s="388"/>
      <c r="AB1436" s="390"/>
    </row>
    <row r="1437" spans="1:28">
      <c r="A1437" s="391"/>
      <c r="B1437" s="392"/>
      <c r="C1437" s="393" t="s">
        <v>198</v>
      </c>
      <c r="D1437" s="2562">
        <f>VLOOKUP(C1435,'Data Panjang Balok'!$C$9:$N$254,4,FALSE)</f>
        <v>3850</v>
      </c>
      <c r="E1437" s="2563"/>
      <c r="F1437" s="2563"/>
      <c r="G1437" s="2563"/>
      <c r="H1437" s="2564"/>
      <c r="I1437" s="397"/>
      <c r="J1437" s="396"/>
      <c r="K1437" s="396"/>
      <c r="L1437" s="396"/>
      <c r="M1437" s="396"/>
      <c r="N1437" s="396"/>
      <c r="O1437" s="396"/>
      <c r="P1437" s="396"/>
      <c r="Q1437" s="396"/>
      <c r="R1437" s="396"/>
      <c r="S1437" s="396"/>
      <c r="T1437" s="396"/>
      <c r="U1437" s="388"/>
      <c r="V1437" s="396"/>
      <c r="W1437" s="388"/>
      <c r="X1437" s="396"/>
      <c r="Y1437" s="389"/>
      <c r="Z1437" s="396"/>
      <c r="AA1437" s="388"/>
      <c r="AB1437" s="390"/>
    </row>
    <row r="1438" spans="1:28">
      <c r="A1438" s="391"/>
      <c r="B1438" s="392"/>
      <c r="C1438" s="393" t="s">
        <v>199</v>
      </c>
      <c r="D1438" s="2562">
        <f>VLOOKUP(C1435,'Data Panjang Balok'!$C$9:$N$254,7,FALSE)</f>
        <v>3850</v>
      </c>
      <c r="E1438" s="2563"/>
      <c r="F1438" s="2563"/>
      <c r="G1438" s="2563"/>
      <c r="H1438" s="2564"/>
      <c r="I1438" s="397"/>
      <c r="J1438" s="396"/>
      <c r="K1438" s="396"/>
      <c r="L1438" s="396"/>
      <c r="M1438" s="396"/>
      <c r="N1438" s="396"/>
      <c r="O1438" s="396"/>
      <c r="P1438" s="396"/>
      <c r="Q1438" s="396"/>
      <c r="R1438" s="396"/>
      <c r="S1438" s="396"/>
      <c r="T1438" s="396"/>
      <c r="U1438" s="388"/>
      <c r="V1438" s="396"/>
      <c r="W1438" s="388"/>
      <c r="X1438" s="396"/>
      <c r="Y1438" s="389"/>
      <c r="Z1438" s="396"/>
      <c r="AA1438" s="388"/>
      <c r="AB1438" s="390"/>
    </row>
    <row r="1439" spans="1:28">
      <c r="A1439" s="391"/>
      <c r="B1439" s="392"/>
      <c r="C1439" s="393" t="s">
        <v>200</v>
      </c>
      <c r="D1439" s="2562">
        <f>VLOOKUP(C1435,'Data Panjang Balok'!$C$9:$N$254,9,FALSE)</f>
        <v>0</v>
      </c>
      <c r="E1439" s="2563"/>
      <c r="F1439" s="2563"/>
      <c r="G1439" s="2563"/>
      <c r="H1439" s="2564"/>
      <c r="I1439" s="397"/>
      <c r="J1439" s="396"/>
      <c r="K1439" s="396"/>
      <c r="L1439" s="396"/>
      <c r="M1439" s="396"/>
      <c r="N1439" s="396"/>
      <c r="O1439" s="396"/>
      <c r="P1439" s="396"/>
      <c r="Q1439" s="396"/>
      <c r="R1439" s="396"/>
      <c r="S1439" s="396"/>
      <c r="T1439" s="396"/>
      <c r="U1439" s="388"/>
      <c r="V1439" s="396"/>
      <c r="W1439" s="388"/>
      <c r="X1439" s="396"/>
      <c r="Y1439" s="389"/>
      <c r="Z1439" s="396"/>
      <c r="AA1439" s="388"/>
      <c r="AB1439" s="390"/>
    </row>
    <row r="1440" spans="1:28">
      <c r="A1440" s="391"/>
      <c r="B1440" s="392"/>
      <c r="C1440" s="393" t="s">
        <v>201</v>
      </c>
      <c r="D1440" s="2562">
        <f>VLOOKUP(C1435,'Data Panjang Balok'!$C$9:$N$254,10,FALSE)</f>
        <v>0</v>
      </c>
      <c r="E1440" s="2563"/>
      <c r="F1440" s="2563"/>
      <c r="G1440" s="2563"/>
      <c r="H1440" s="2564"/>
      <c r="I1440" s="397"/>
      <c r="J1440" s="396"/>
      <c r="K1440" s="396"/>
      <c r="L1440" s="396"/>
      <c r="M1440" s="396"/>
      <c r="N1440" s="396"/>
      <c r="O1440" s="396"/>
      <c r="P1440" s="396"/>
      <c r="Q1440" s="396"/>
      <c r="R1440" s="396"/>
      <c r="S1440" s="396"/>
      <c r="T1440" s="396"/>
      <c r="U1440" s="388"/>
      <c r="V1440" s="396"/>
      <c r="W1440" s="388"/>
      <c r="X1440" s="396"/>
      <c r="Y1440" s="389"/>
      <c r="Z1440" s="396"/>
      <c r="AA1440" s="388"/>
      <c r="AB1440" s="390"/>
    </row>
    <row r="1441" spans="1:28">
      <c r="A1441" s="391"/>
      <c r="B1441" s="392"/>
      <c r="C1441" s="393" t="s">
        <v>48</v>
      </c>
      <c r="D1441" s="2562">
        <f>VLOOKUP(C1435,'Data Panjang Balok'!$C$9:$N$254,3,FALSE)</f>
        <v>1</v>
      </c>
      <c r="E1441" s="2563"/>
      <c r="F1441" s="2563"/>
      <c r="G1441" s="2563"/>
      <c r="H1441" s="2564"/>
      <c r="I1441" s="397"/>
      <c r="J1441" s="396"/>
      <c r="K1441" s="396"/>
      <c r="L1441" s="396"/>
      <c r="M1441" s="396"/>
      <c r="N1441" s="396"/>
      <c r="O1441" s="396"/>
      <c r="P1441" s="396"/>
      <c r="Q1441" s="396"/>
      <c r="R1441" s="396"/>
      <c r="S1441" s="396"/>
      <c r="T1441" s="396"/>
      <c r="U1441" s="388"/>
      <c r="V1441" s="396"/>
      <c r="W1441" s="388"/>
      <c r="X1441" s="396"/>
      <c r="Y1441" s="389"/>
      <c r="Z1441" s="396"/>
      <c r="AA1441" s="388"/>
      <c r="AB1441" s="390"/>
    </row>
    <row r="1442" spans="1:28">
      <c r="A1442" s="384" t="str">
        <f t="shared" ref="A1442:B1442" si="4567">A1435</f>
        <v>Lantai 1</v>
      </c>
      <c r="B1442" s="385">
        <f t="shared" si="4567"/>
        <v>47</v>
      </c>
      <c r="C1442" s="393" t="s">
        <v>202</v>
      </c>
      <c r="D1442" s="398">
        <f>VLOOKUP(D1435,'Detail Balok'!$C$10:$AU$140,4,FALSE)</f>
        <v>3</v>
      </c>
      <c r="E1442" s="388" t="s">
        <v>16</v>
      </c>
      <c r="F1442" s="388">
        <f>VLOOKUP(D1435,'Detail Balok'!$C$10:$AU$140,6,FALSE)</f>
        <v>16</v>
      </c>
      <c r="G1442" s="388"/>
      <c r="H1442" s="395"/>
      <c r="I1442" s="388" t="s">
        <v>203</v>
      </c>
      <c r="J1442" s="399">
        <f t="shared" ref="J1442" si="4568">+D1437/4/1000</f>
        <v>0.96250000000000002</v>
      </c>
      <c r="K1442" s="400" t="s">
        <v>204</v>
      </c>
      <c r="L1442" s="399">
        <f t="shared" ref="L1442" si="4569">MAX(VLOOKUP(F1442,N$6:P$15,3,FALSE)/1000,2/3*D1439/1000)+F$16*F1442/1000</f>
        <v>0.192</v>
      </c>
      <c r="M1442" s="399" t="s">
        <v>176</v>
      </c>
      <c r="N1442" s="399">
        <f t="shared" ref="N1442:N1444" si="4570">J1442+L1442</f>
        <v>1.1545000000000001</v>
      </c>
      <c r="O1442" s="399" t="s">
        <v>204</v>
      </c>
      <c r="P1442" s="389">
        <f t="shared" ref="P1442" si="4571">D1442-D1443</f>
        <v>0</v>
      </c>
      <c r="Q1442" s="399" t="s">
        <v>125</v>
      </c>
      <c r="R1442" s="399">
        <f t="shared" ref="R1442" si="4572">IF(P1442&gt;0,$F$18*F1442/1000,0)</f>
        <v>0</v>
      </c>
      <c r="S1442" s="399" t="s">
        <v>205</v>
      </c>
      <c r="T1442" s="399" t="s">
        <v>125</v>
      </c>
      <c r="U1442" s="401">
        <f t="shared" ref="U1442:U1444" si="4573">0.006165*F1442^2</f>
        <v>1.5782400000000001</v>
      </c>
      <c r="V1442" s="399"/>
      <c r="W1442" s="399"/>
      <c r="X1442" s="399" t="s">
        <v>125</v>
      </c>
      <c r="Y1442" s="389">
        <f t="shared" ref="Y1442" si="4574">D1441</f>
        <v>1</v>
      </c>
      <c r="Z1442" s="400" t="s">
        <v>176</v>
      </c>
      <c r="AA1442" s="402">
        <f t="shared" ref="AA1442" si="4575">IF(AA1445=0,(D1442*N1442+P1442*R1442)*U1442*Y1442,0)</f>
        <v>0</v>
      </c>
      <c r="AB1442" s="403"/>
    </row>
    <row r="1443" spans="1:28">
      <c r="A1443" s="384" t="str">
        <f t="shared" ref="A1443:B1443" si="4576">A1435</f>
        <v>Lantai 1</v>
      </c>
      <c r="B1443" s="385">
        <f t="shared" si="4576"/>
        <v>47</v>
      </c>
      <c r="C1443" s="393" t="s">
        <v>206</v>
      </c>
      <c r="D1443" s="398">
        <f>VLOOKUP(D1435,'Detail Balok'!$C$10:$AU$140,7,FALSE)</f>
        <v>3</v>
      </c>
      <c r="E1443" s="388" t="s">
        <v>16</v>
      </c>
      <c r="F1443" s="388">
        <f>VLOOKUP(D1435,'Detail Balok'!$C$10:$AU$140,9,FALSE)</f>
        <v>16</v>
      </c>
      <c r="G1443" s="388"/>
      <c r="H1443" s="395"/>
      <c r="I1443" s="388" t="s">
        <v>203</v>
      </c>
      <c r="J1443" s="399">
        <f t="shared" ref="J1443" si="4577">+D1437/2/1000</f>
        <v>1.925</v>
      </c>
      <c r="K1443" s="400" t="s">
        <v>204</v>
      </c>
      <c r="L1443" s="399"/>
      <c r="M1443" s="399" t="s">
        <v>176</v>
      </c>
      <c r="N1443" s="399">
        <f t="shared" si="4570"/>
        <v>1.925</v>
      </c>
      <c r="O1443" s="399" t="s">
        <v>204</v>
      </c>
      <c r="P1443" s="389">
        <f t="shared" ref="P1443" si="4578">MAX(D1443-D1442,D1443-D1444)</f>
        <v>0</v>
      </c>
      <c r="Q1443" s="399" t="s">
        <v>125</v>
      </c>
      <c r="R1443" s="399">
        <f t="shared" ref="R1443" si="4579">IF(P1443&gt;0,2*(1-2*$F$19-1/2)*D1438/1000,0)</f>
        <v>0</v>
      </c>
      <c r="S1443" s="399" t="s">
        <v>205</v>
      </c>
      <c r="T1443" s="399" t="s">
        <v>125</v>
      </c>
      <c r="U1443" s="401">
        <f t="shared" si="4573"/>
        <v>1.5782400000000001</v>
      </c>
      <c r="V1443" s="399"/>
      <c r="W1443" s="399"/>
      <c r="X1443" s="399" t="s">
        <v>125</v>
      </c>
      <c r="Y1443" s="389">
        <f t="shared" ref="Y1443" si="4580">D1441</f>
        <v>1</v>
      </c>
      <c r="Z1443" s="400" t="s">
        <v>176</v>
      </c>
      <c r="AA1443" s="402">
        <f t="shared" ref="AA1443" si="4581">IF(AA1445=0,(D1443*N1443+P1443*R1443)*U1443*Y1443,0)</f>
        <v>0</v>
      </c>
      <c r="AB1443" s="403"/>
    </row>
    <row r="1444" spans="1:28">
      <c r="A1444" s="384" t="str">
        <f t="shared" ref="A1444:B1444" si="4582">A1435</f>
        <v>Lantai 1</v>
      </c>
      <c r="B1444" s="385">
        <f t="shared" si="4582"/>
        <v>47</v>
      </c>
      <c r="C1444" s="393" t="s">
        <v>202</v>
      </c>
      <c r="D1444" s="398">
        <f>VLOOKUP(D1435,'Detail Balok'!$C$10:$AU$140,10,FALSE)</f>
        <v>3</v>
      </c>
      <c r="E1444" s="388" t="s">
        <v>16</v>
      </c>
      <c r="F1444" s="388">
        <f>VLOOKUP(D1435,'Detail Balok'!$C$10:$AU$140,12,FALSE)</f>
        <v>16</v>
      </c>
      <c r="G1444" s="388"/>
      <c r="H1444" s="395"/>
      <c r="I1444" s="388" t="s">
        <v>203</v>
      </c>
      <c r="J1444" s="399">
        <f t="shared" ref="J1444" si="4583">+D1437/4/1000</f>
        <v>0.96250000000000002</v>
      </c>
      <c r="K1444" s="400" t="s">
        <v>204</v>
      </c>
      <c r="L1444" s="399">
        <f t="shared" ref="L1444" si="4584">MAX(VLOOKUP(F1444,N$6:P$15,3,FALSE)/1000,2/3*D1439/1000)+F$16*F1444/1000</f>
        <v>0.192</v>
      </c>
      <c r="M1444" s="399" t="s">
        <v>176</v>
      </c>
      <c r="N1444" s="399">
        <f t="shared" si="4570"/>
        <v>1.1545000000000001</v>
      </c>
      <c r="O1444" s="399" t="s">
        <v>204</v>
      </c>
      <c r="P1444" s="389">
        <f t="shared" ref="P1444" si="4585">D1444-D1443</f>
        <v>0</v>
      </c>
      <c r="Q1444" s="399" t="s">
        <v>125</v>
      </c>
      <c r="R1444" s="399">
        <f t="shared" ref="R1444" si="4586">IF(P1444&gt;0,$F$18*F1444/1000,0)</f>
        <v>0</v>
      </c>
      <c r="S1444" s="399" t="s">
        <v>205</v>
      </c>
      <c r="T1444" s="399" t="s">
        <v>125</v>
      </c>
      <c r="U1444" s="401">
        <f t="shared" si="4573"/>
        <v>1.5782400000000001</v>
      </c>
      <c r="V1444" s="399"/>
      <c r="W1444" s="399"/>
      <c r="X1444" s="399" t="s">
        <v>125</v>
      </c>
      <c r="Y1444" s="389">
        <f t="shared" ref="Y1444" si="4587">D1441</f>
        <v>1</v>
      </c>
      <c r="Z1444" s="400" t="s">
        <v>176</v>
      </c>
      <c r="AA1444" s="402">
        <f t="shared" ref="AA1444" si="4588">IF(AA1445=0,(D1444*N1444+P1444*R1444)*U1444*Y1444,0)</f>
        <v>0</v>
      </c>
      <c r="AB1444" s="403"/>
    </row>
    <row r="1445" spans="1:28">
      <c r="A1445" s="384" t="str">
        <f t="shared" ref="A1445:B1445" si="4589">A1435</f>
        <v>Lantai 1</v>
      </c>
      <c r="B1445" s="385">
        <f t="shared" si="4589"/>
        <v>47</v>
      </c>
      <c r="C1445" s="393"/>
      <c r="D1445" s="398">
        <f t="shared" si="4485"/>
        <v>3</v>
      </c>
      <c r="E1445" s="388" t="s">
        <v>16</v>
      </c>
      <c r="F1445" s="388">
        <f t="shared" si="4486"/>
        <v>16</v>
      </c>
      <c r="G1445" s="388"/>
      <c r="H1445" s="395"/>
      <c r="I1445" s="388"/>
      <c r="J1445" s="396"/>
      <c r="K1445" s="396"/>
      <c r="L1445" s="404" t="s">
        <v>207</v>
      </c>
      <c r="M1445" s="399" t="s">
        <v>176</v>
      </c>
      <c r="N1445" s="399">
        <f t="shared" ref="N1445" si="4590">IF(AND(D1442=D1443,D1442=D1444,D1443=D1444,F1442=F1443,F1442=F1444,F1443=F1444),SUM(N1442:N1444),0)</f>
        <v>4.234</v>
      </c>
      <c r="O1445" s="399" t="s">
        <v>204</v>
      </c>
      <c r="P1445" s="389">
        <f t="shared" ref="P1445" si="4591">IF(N1445&gt;12,ROUNDDOWN(N1445/12,0),0)</f>
        <v>0</v>
      </c>
      <c r="Q1445" s="399" t="s">
        <v>125</v>
      </c>
      <c r="R1445" s="399">
        <f t="shared" ref="R1445" si="4592">IF(P1445&gt;0,MAX(VLOOKUP(F1445,$D$6:$G$15,3,FALSE),600),0)/1000</f>
        <v>0</v>
      </c>
      <c r="S1445" s="396"/>
      <c r="T1445" s="396" t="s">
        <v>125</v>
      </c>
      <c r="U1445" s="401">
        <f t="shared" si="4490"/>
        <v>1.5782400000000001</v>
      </c>
      <c r="V1445" s="396" t="s">
        <v>125</v>
      </c>
      <c r="W1445" s="399">
        <f t="shared" ref="W1445" si="4593">D1445</f>
        <v>3</v>
      </c>
      <c r="X1445" s="399" t="s">
        <v>125</v>
      </c>
      <c r="Y1445" s="389">
        <f t="shared" si="4492"/>
        <v>1</v>
      </c>
      <c r="Z1445" s="400" t="s">
        <v>176</v>
      </c>
      <c r="AA1445" s="402">
        <f t="shared" ref="AA1445" si="4594">(N1445+P1445*R1445/1000)*U1445*W1445*Y1445</f>
        <v>20.046804480000002</v>
      </c>
      <c r="AB1445" s="390"/>
    </row>
    <row r="1446" spans="1:28">
      <c r="A1446" s="384"/>
      <c r="B1446" s="385"/>
      <c r="C1446" s="393"/>
      <c r="D1446" s="398"/>
      <c r="E1446" s="388"/>
      <c r="F1446" s="388"/>
      <c r="G1446" s="388"/>
      <c r="H1446" s="395"/>
      <c r="I1446" s="388"/>
      <c r="J1446" s="396"/>
      <c r="K1446" s="396"/>
      <c r="L1446" s="404"/>
      <c r="M1446" s="399"/>
      <c r="N1446" s="399"/>
      <c r="O1446" s="396"/>
      <c r="P1446" s="389"/>
      <c r="Q1446" s="396"/>
      <c r="R1446" s="396"/>
      <c r="S1446" s="396"/>
      <c r="T1446" s="396"/>
      <c r="U1446" s="401"/>
      <c r="V1446" s="396"/>
      <c r="W1446" s="399"/>
      <c r="X1446" s="396"/>
      <c r="Y1446" s="389"/>
      <c r="Z1446" s="396"/>
      <c r="AA1446" s="388"/>
      <c r="AB1446" s="390"/>
    </row>
    <row r="1447" spans="1:28">
      <c r="A1447" s="384" t="str">
        <f t="shared" ref="A1447:B1447" si="4595">A1435</f>
        <v>Lantai 1</v>
      </c>
      <c r="B1447" s="385">
        <f t="shared" si="4595"/>
        <v>47</v>
      </c>
      <c r="C1447" s="393" t="s">
        <v>208</v>
      </c>
      <c r="D1447" s="398">
        <f>VLOOKUP(D1435,'Detail Balok'!$C$10:$AU$140,13,FALSE)</f>
        <v>2</v>
      </c>
      <c r="E1447" s="388" t="s">
        <v>16</v>
      </c>
      <c r="F1447" s="388">
        <f>VLOOKUP(D1435,'Detail Balok'!$C$10:$AU$140,15,FALSE)</f>
        <v>10</v>
      </c>
      <c r="G1447" s="388"/>
      <c r="H1447" s="395"/>
      <c r="I1447" s="388"/>
      <c r="J1447" s="399">
        <f t="shared" ref="J1447" si="4596">+D1437/1000</f>
        <v>3.85</v>
      </c>
      <c r="K1447" s="400" t="s">
        <v>204</v>
      </c>
      <c r="L1447" s="399">
        <f t="shared" ref="L1447" si="4597">2*$F$16*F1447/1000</f>
        <v>0.24</v>
      </c>
      <c r="M1447" s="399" t="s">
        <v>176</v>
      </c>
      <c r="N1447" s="399">
        <f t="shared" ref="N1447" si="4598">J1447+L1447</f>
        <v>4.09</v>
      </c>
      <c r="O1447" s="399" t="s">
        <v>204</v>
      </c>
      <c r="P1447" s="389">
        <f t="shared" ref="P1447" si="4599">IF(N1447&gt;12,ROUNDDOWN(N1447/12,0),0)</f>
        <v>0</v>
      </c>
      <c r="Q1447" s="399" t="s">
        <v>125</v>
      </c>
      <c r="R1447" s="399">
        <f t="shared" ref="R1447" si="4600">IF(P1447&gt;0,MAX(VLOOKUP(F1447,$D$6:$G$15,3,FALSE),600),0)/1000</f>
        <v>0</v>
      </c>
      <c r="S1447" s="399"/>
      <c r="T1447" s="399" t="s">
        <v>125</v>
      </c>
      <c r="U1447" s="401">
        <f t="shared" ref="U1447" si="4601">0.006165*F1447^2</f>
        <v>0.61650000000000005</v>
      </c>
      <c r="V1447" s="399" t="s">
        <v>125</v>
      </c>
      <c r="W1447" s="399">
        <f t="shared" ref="W1447" si="4602">+D1447</f>
        <v>2</v>
      </c>
      <c r="X1447" s="399" t="s">
        <v>125</v>
      </c>
      <c r="Y1447" s="389">
        <f t="shared" ref="Y1447" si="4603">D1441</f>
        <v>1</v>
      </c>
      <c r="Z1447" s="400" t="s">
        <v>176</v>
      </c>
      <c r="AA1447" s="402">
        <f t="shared" ref="AA1447" si="4604">(N1447+P1447*R1447/1000)*U1447*W1447*Y1447</f>
        <v>5.0429700000000004</v>
      </c>
      <c r="AB1447" s="403"/>
    </row>
    <row r="1448" spans="1:28">
      <c r="A1448" s="384"/>
      <c r="B1448" s="385"/>
      <c r="C1448" s="393"/>
      <c r="D1448" s="398"/>
      <c r="E1448" s="388"/>
      <c r="F1448" s="388"/>
      <c r="G1448" s="388"/>
      <c r="H1448" s="395"/>
      <c r="I1448" s="388"/>
      <c r="J1448" s="399"/>
      <c r="K1448" s="400"/>
      <c r="L1448" s="399"/>
      <c r="M1448" s="399"/>
      <c r="N1448" s="399"/>
      <c r="O1448" s="399"/>
      <c r="P1448" s="389"/>
      <c r="Q1448" s="399"/>
      <c r="R1448" s="399"/>
      <c r="S1448" s="399"/>
      <c r="T1448" s="399"/>
      <c r="U1448" s="401"/>
      <c r="V1448" s="399"/>
      <c r="W1448" s="399"/>
      <c r="X1448" s="399"/>
      <c r="Y1448" s="389"/>
      <c r="Z1448" s="400"/>
      <c r="AA1448" s="402"/>
      <c r="AB1448" s="403"/>
    </row>
    <row r="1449" spans="1:28">
      <c r="A1449" s="384"/>
      <c r="B1449" s="385"/>
      <c r="C1449" s="393"/>
      <c r="D1449" s="398"/>
      <c r="E1449" s="388"/>
      <c r="F1449" s="388"/>
      <c r="G1449" s="388"/>
      <c r="H1449" s="395"/>
      <c r="I1449" s="388"/>
      <c r="J1449" s="396"/>
      <c r="K1449" s="396"/>
      <c r="L1449" s="396"/>
      <c r="M1449" s="396"/>
      <c r="N1449" s="396"/>
      <c r="O1449" s="396"/>
      <c r="P1449" s="389"/>
      <c r="Q1449" s="396"/>
      <c r="R1449" s="396"/>
      <c r="S1449" s="396"/>
      <c r="T1449" s="396"/>
      <c r="U1449" s="401"/>
      <c r="V1449" s="396"/>
      <c r="W1449" s="399"/>
      <c r="X1449" s="396"/>
      <c r="Y1449" s="389"/>
      <c r="Z1449" s="396"/>
      <c r="AA1449" s="388"/>
      <c r="AB1449" s="390"/>
    </row>
    <row r="1450" spans="1:28">
      <c r="A1450" s="384" t="str">
        <f t="shared" ref="A1450:B1450" si="4605">A1435</f>
        <v>Lantai 1</v>
      </c>
      <c r="B1450" s="385">
        <f t="shared" si="4605"/>
        <v>47</v>
      </c>
      <c r="C1450" s="393" t="s">
        <v>209</v>
      </c>
      <c r="D1450" s="398">
        <f>VLOOKUP(D1435,'Detail Balok'!$C$10:$AU$140,22,FALSE)</f>
        <v>3</v>
      </c>
      <c r="E1450" s="388" t="s">
        <v>16</v>
      </c>
      <c r="F1450" s="388">
        <f>VLOOKUP(D1435,'Detail Balok'!$C$10:$AU$140,24,FALSE)</f>
        <v>16</v>
      </c>
      <c r="G1450" s="388"/>
      <c r="H1450" s="395"/>
      <c r="I1450" s="388" t="s">
        <v>203</v>
      </c>
      <c r="J1450" s="399">
        <f t="shared" si="4505"/>
        <v>0.96250000000000002</v>
      </c>
      <c r="K1450" s="400" t="s">
        <v>204</v>
      </c>
      <c r="L1450" s="399">
        <f t="shared" ref="L1450" si="4606">MAX(VLOOKUP(F1450,N$6:P$15,3,FALSE)/1000,2/3*D1440/1000)+F$16*F1450/1000</f>
        <v>0.192</v>
      </c>
      <c r="M1450" s="399" t="s">
        <v>176</v>
      </c>
      <c r="N1450" s="399">
        <f t="shared" ref="N1450:N1452" si="4607">J1450+L1450</f>
        <v>1.1545000000000001</v>
      </c>
      <c r="O1450" s="399" t="s">
        <v>204</v>
      </c>
      <c r="P1450" s="389">
        <f t="shared" ref="P1450" si="4608">D1450-D1451</f>
        <v>0</v>
      </c>
      <c r="Q1450" s="399" t="s">
        <v>125</v>
      </c>
      <c r="R1450" s="399">
        <f t="shared" ref="R1450" si="4609">IF(P1450&gt;0,$F$18*F1450/1000,0)</f>
        <v>0</v>
      </c>
      <c r="S1450" s="399" t="s">
        <v>205</v>
      </c>
      <c r="T1450" s="399" t="s">
        <v>125</v>
      </c>
      <c r="U1450" s="401">
        <f t="shared" ref="U1450:U1452" si="4610">0.006165*F1450^2</f>
        <v>1.5782400000000001</v>
      </c>
      <c r="V1450" s="399"/>
      <c r="W1450" s="399"/>
      <c r="X1450" s="399" t="s">
        <v>125</v>
      </c>
      <c r="Y1450" s="389">
        <f t="shared" ref="Y1450" si="4611">D1441</f>
        <v>1</v>
      </c>
      <c r="Z1450" s="400" t="s">
        <v>176</v>
      </c>
      <c r="AA1450" s="402">
        <f t="shared" ref="AA1450" si="4612">IF(AA1453=0,(D1450*N1450+P1450*R1450)*U1450*Y1450,0)</f>
        <v>0</v>
      </c>
      <c r="AB1450" s="403"/>
    </row>
    <row r="1451" spans="1:28">
      <c r="A1451" s="384" t="str">
        <f t="shared" ref="A1451:B1451" si="4613">A1435</f>
        <v>Lantai 1</v>
      </c>
      <c r="B1451" s="385">
        <f t="shared" si="4613"/>
        <v>47</v>
      </c>
      <c r="C1451" s="393" t="s">
        <v>210</v>
      </c>
      <c r="D1451" s="398">
        <f>VLOOKUP(D1435,'Detail Balok'!$C$10:$AU$140,25,FALSE)</f>
        <v>3</v>
      </c>
      <c r="E1451" s="388" t="s">
        <v>16</v>
      </c>
      <c r="F1451" s="388">
        <f>VLOOKUP(D1435,'Detail Balok'!$C$10:$AU$140,27,FALSE)</f>
        <v>16</v>
      </c>
      <c r="G1451" s="388"/>
      <c r="H1451" s="395"/>
      <c r="I1451" s="388" t="s">
        <v>203</v>
      </c>
      <c r="J1451" s="399">
        <f t="shared" si="4505"/>
        <v>1.925</v>
      </c>
      <c r="K1451" s="400" t="s">
        <v>204</v>
      </c>
      <c r="L1451" s="399"/>
      <c r="M1451" s="399" t="s">
        <v>176</v>
      </c>
      <c r="N1451" s="399">
        <f t="shared" si="4607"/>
        <v>1.925</v>
      </c>
      <c r="O1451" s="399" t="s">
        <v>204</v>
      </c>
      <c r="P1451" s="389">
        <f t="shared" ref="P1451" si="4614">MAX(D1451-D1450,D1451-D1452)</f>
        <v>0</v>
      </c>
      <c r="Q1451" s="399" t="s">
        <v>125</v>
      </c>
      <c r="R1451" s="399">
        <f t="shared" ref="R1451" si="4615">IF(P1451&gt;0,2*(1-2*$F$19-1/2)*D1438/1000,0)</f>
        <v>0</v>
      </c>
      <c r="S1451" s="399" t="s">
        <v>205</v>
      </c>
      <c r="T1451" s="399" t="s">
        <v>125</v>
      </c>
      <c r="U1451" s="401">
        <f t="shared" si="4610"/>
        <v>1.5782400000000001</v>
      </c>
      <c r="V1451" s="399"/>
      <c r="W1451" s="399"/>
      <c r="X1451" s="399" t="s">
        <v>125</v>
      </c>
      <c r="Y1451" s="389">
        <f t="shared" ref="Y1451" si="4616">D1441</f>
        <v>1</v>
      </c>
      <c r="Z1451" s="400" t="s">
        <v>176</v>
      </c>
      <c r="AA1451" s="402">
        <f t="shared" ref="AA1451" si="4617">IF(AA1453=0,(D1451*N1451+P1451*R1451)*U1451*Y1451,0)</f>
        <v>0</v>
      </c>
      <c r="AB1451" s="403"/>
    </row>
    <row r="1452" spans="1:28">
      <c r="A1452" s="384" t="str">
        <f t="shared" ref="A1452:B1452" si="4618">A1435</f>
        <v>Lantai 1</v>
      </c>
      <c r="B1452" s="385">
        <f t="shared" si="4618"/>
        <v>47</v>
      </c>
      <c r="C1452" s="393" t="s">
        <v>209</v>
      </c>
      <c r="D1452" s="398">
        <f>VLOOKUP(D1435,'Detail Balok'!$C$10:$AU$140,28,FALSE)</f>
        <v>3</v>
      </c>
      <c r="E1452" s="388" t="s">
        <v>16</v>
      </c>
      <c r="F1452" s="388">
        <f>VLOOKUP(D1435,'Detail Balok'!$C$10:$AU$140,30,FALSE)</f>
        <v>16</v>
      </c>
      <c r="G1452" s="388"/>
      <c r="H1452" s="395"/>
      <c r="I1452" s="388" t="s">
        <v>203</v>
      </c>
      <c r="J1452" s="399">
        <f t="shared" si="4505"/>
        <v>0.96250000000000002</v>
      </c>
      <c r="K1452" s="400" t="s">
        <v>204</v>
      </c>
      <c r="L1452" s="399">
        <f t="shared" ref="L1452" si="4619">MAX(VLOOKUP(F1452,N$6:P$15,3,FALSE)/1000,2/3*D1440/1000)+F$16*F1452/1000</f>
        <v>0.192</v>
      </c>
      <c r="M1452" s="399" t="s">
        <v>176</v>
      </c>
      <c r="N1452" s="399">
        <f t="shared" si="4607"/>
        <v>1.1545000000000001</v>
      </c>
      <c r="O1452" s="399" t="s">
        <v>204</v>
      </c>
      <c r="P1452" s="389">
        <f t="shared" ref="P1452" si="4620">D1452-D1451</f>
        <v>0</v>
      </c>
      <c r="Q1452" s="399" t="s">
        <v>125</v>
      </c>
      <c r="R1452" s="399">
        <f t="shared" ref="R1452" si="4621">IF(P1452&gt;0,$F$18*F1452/1000,0)</f>
        <v>0</v>
      </c>
      <c r="S1452" s="399" t="s">
        <v>205</v>
      </c>
      <c r="T1452" s="399" t="s">
        <v>125</v>
      </c>
      <c r="U1452" s="401">
        <f t="shared" si="4610"/>
        <v>1.5782400000000001</v>
      </c>
      <c r="V1452" s="399"/>
      <c r="W1452" s="399"/>
      <c r="X1452" s="399" t="s">
        <v>125</v>
      </c>
      <c r="Y1452" s="389">
        <f t="shared" ref="Y1452" si="4622">D1441</f>
        <v>1</v>
      </c>
      <c r="Z1452" s="400" t="s">
        <v>176</v>
      </c>
      <c r="AA1452" s="402">
        <f t="shared" ref="AA1452" si="4623">IF(AA1453=0,(D1452*N1452+P1452*R1452)*U1452*Y1452,0)</f>
        <v>0</v>
      </c>
      <c r="AB1452" s="403"/>
    </row>
    <row r="1453" spans="1:28">
      <c r="A1453" s="384" t="str">
        <f t="shared" ref="A1453:B1453" si="4624">A1435</f>
        <v>Lantai 1</v>
      </c>
      <c r="B1453" s="385">
        <f t="shared" si="4624"/>
        <v>47</v>
      </c>
      <c r="C1453" s="393"/>
      <c r="D1453" s="398">
        <f t="shared" si="4525"/>
        <v>3</v>
      </c>
      <c r="E1453" s="388" t="s">
        <v>16</v>
      </c>
      <c r="F1453" s="388">
        <f t="shared" si="4526"/>
        <v>16</v>
      </c>
      <c r="G1453" s="388"/>
      <c r="H1453" s="395"/>
      <c r="I1453" s="388"/>
      <c r="J1453" s="396"/>
      <c r="K1453" s="396"/>
      <c r="L1453" s="404" t="s">
        <v>207</v>
      </c>
      <c r="M1453" s="399" t="s">
        <v>176</v>
      </c>
      <c r="N1453" s="399">
        <f t="shared" ref="N1453" si="4625">IF(AND(D1450=D1451,D1450=D1452,D1451=D1452,F1450=F1451,F1450=F1452,F1451=F1452),SUM(N1450:N1452),0)</f>
        <v>4.234</v>
      </c>
      <c r="O1453" s="399" t="s">
        <v>204</v>
      </c>
      <c r="P1453" s="389">
        <f t="shared" ref="P1453" si="4626">IF(N1453&gt;12,ROUNDDOWN(N1453/12,0),0)</f>
        <v>0</v>
      </c>
      <c r="Q1453" s="399" t="s">
        <v>125</v>
      </c>
      <c r="R1453" s="399">
        <f t="shared" ref="R1453" si="4627">IF(P1453&gt;0,MAX(VLOOKUP(F1453,$D$6:$G$15,3,FALSE),600),0)/1000</f>
        <v>0</v>
      </c>
      <c r="S1453" s="396"/>
      <c r="T1453" s="396" t="s">
        <v>125</v>
      </c>
      <c r="U1453" s="401">
        <f t="shared" si="4530"/>
        <v>1.5782400000000001</v>
      </c>
      <c r="V1453" s="396" t="s">
        <v>125</v>
      </c>
      <c r="W1453" s="399">
        <f t="shared" ref="W1453" si="4628">D1453</f>
        <v>3</v>
      </c>
      <c r="X1453" s="399" t="s">
        <v>125</v>
      </c>
      <c r="Y1453" s="389">
        <f t="shared" si="4532"/>
        <v>1</v>
      </c>
      <c r="Z1453" s="400" t="s">
        <v>176</v>
      </c>
      <c r="AA1453" s="402">
        <f t="shared" ref="AA1453" si="4629">(N1453+P1453*R1453/1000)*U1453*W1453*Y1453</f>
        <v>20.046804480000002</v>
      </c>
      <c r="AB1453" s="403"/>
    </row>
    <row r="1454" spans="1:28">
      <c r="A1454" s="384"/>
      <c r="B1454" s="385"/>
      <c r="C1454" s="393"/>
      <c r="D1454" s="394"/>
      <c r="E1454" s="388"/>
      <c r="F1454" s="388"/>
      <c r="G1454" s="388"/>
      <c r="H1454" s="395"/>
      <c r="I1454" s="388"/>
      <c r="J1454" s="399"/>
      <c r="K1454" s="396"/>
      <c r="L1454" s="396"/>
      <c r="M1454" s="396"/>
      <c r="N1454" s="396"/>
      <c r="O1454" s="396"/>
      <c r="P1454" s="389"/>
      <c r="Q1454" s="396"/>
      <c r="R1454" s="396"/>
      <c r="S1454" s="396"/>
      <c r="T1454" s="396"/>
      <c r="U1454" s="401"/>
      <c r="V1454" s="396"/>
      <c r="W1454" s="388"/>
      <c r="X1454" s="396"/>
      <c r="Y1454" s="389"/>
      <c r="Z1454" s="396"/>
      <c r="AA1454" s="388"/>
      <c r="AB1454" s="390"/>
    </row>
    <row r="1455" spans="1:28">
      <c r="A1455" s="384" t="str">
        <f t="shared" ref="A1455:B1455" si="4630">A1435</f>
        <v>Lantai 1</v>
      </c>
      <c r="B1455" s="385">
        <f t="shared" si="4630"/>
        <v>47</v>
      </c>
      <c r="C1455" s="393" t="s">
        <v>211</v>
      </c>
      <c r="D1455" s="398">
        <f>VLOOKUP(D1435,'Detail Balok'!$C$10:$AU$140,31,FALSE)</f>
        <v>0</v>
      </c>
      <c r="E1455" s="388" t="s">
        <v>16</v>
      </c>
      <c r="F1455" s="388">
        <f>VLOOKUP(D1435,'Detail Balok'!$C$10:$AU$140,33,FALSE)</f>
        <v>8</v>
      </c>
      <c r="G1455" s="405" t="s">
        <v>157</v>
      </c>
      <c r="H1455" s="395">
        <f>VLOOKUP(D1435,'Detail Balok'!$C$10:$AU$140,35,FALSE)</f>
        <v>150</v>
      </c>
      <c r="I1455" s="388"/>
      <c r="J1455" s="400">
        <f t="shared" ref="J1455" si="4631">(IF(D1455=0,(2*(D1436+G1436))-(F$5*8),IF(D1455=3,(2*(D1436+G1436))-(F$5*8)+(G1436-2*F$5),IF(D1455=4,(2*(D1436+G1436))-(F$5*8)+2*(G1436-2*F$5)))))/1000</f>
        <v>1.08</v>
      </c>
      <c r="K1455" s="400" t="s">
        <v>204</v>
      </c>
      <c r="L1455" s="399">
        <f t="shared" ref="L1455:L1457" si="4632">IF(D1455=0,2*MAX(6*F1455,75),(D1455-1)*2*MAX(6*F1455,75))/1000</f>
        <v>0.15</v>
      </c>
      <c r="M1455" s="399" t="s">
        <v>176</v>
      </c>
      <c r="N1455" s="399">
        <f t="shared" ref="N1455:N1457" si="4633">J1455+L1455</f>
        <v>1.23</v>
      </c>
      <c r="O1455" s="399"/>
      <c r="P1455" s="389"/>
      <c r="Q1455" s="399"/>
      <c r="R1455" s="399"/>
      <c r="S1455" s="399"/>
      <c r="T1455" s="399" t="s">
        <v>125</v>
      </c>
      <c r="U1455" s="401">
        <f t="shared" ref="U1455:U1457" si="4634">0.006165*F1455^2</f>
        <v>0.39456000000000002</v>
      </c>
      <c r="V1455" s="399" t="s">
        <v>125</v>
      </c>
      <c r="W1455" s="399">
        <f t="shared" ref="W1455" si="4635">IF(D1438&gt;4*G1436,ROUND(MAX(D1438/4,2*G1436)/H1455,0)+1,ROUND(D1438/H1455,0)+1)</f>
        <v>8</v>
      </c>
      <c r="X1455" s="399" t="s">
        <v>125</v>
      </c>
      <c r="Y1455" s="389">
        <f t="shared" ref="Y1455" si="4636">D1441</f>
        <v>1</v>
      </c>
      <c r="Z1455" s="400" t="s">
        <v>176</v>
      </c>
      <c r="AA1455" s="402">
        <f t="shared" ref="AA1455:AA1457" si="4637">N1455*U1455*W1455*Y1455</f>
        <v>3.8824704000000003</v>
      </c>
      <c r="AB1455" s="403"/>
    </row>
    <row r="1456" spans="1:28">
      <c r="A1456" s="384" t="str">
        <f t="shared" ref="A1456:B1456" si="4638">A1435</f>
        <v>Lantai 1</v>
      </c>
      <c r="B1456" s="385">
        <f t="shared" si="4638"/>
        <v>47</v>
      </c>
      <c r="C1456" s="393" t="s">
        <v>212</v>
      </c>
      <c r="D1456" s="398">
        <f>VLOOKUP(D1435,'Detail Balok'!$C$10:$AU$140,36,FALSE)</f>
        <v>0</v>
      </c>
      <c r="E1456" s="388" t="s">
        <v>16</v>
      </c>
      <c r="F1456" s="388">
        <f>VLOOKUP(D1435,'Detail Balok'!$C$10:$AU$140,38,FALSE)</f>
        <v>8</v>
      </c>
      <c r="G1456" s="405" t="s">
        <v>157</v>
      </c>
      <c r="H1456" s="395">
        <f>VLOOKUP(D1435,'Detail Balok'!$C$10:$AU$140,40,FALSE)</f>
        <v>200</v>
      </c>
      <c r="I1456" s="388"/>
      <c r="J1456" s="400">
        <f t="shared" ref="J1456" si="4639">(IF(D1456=0,(2*(D1436+G1436))-(F$5*8),IF(D1456=3,(2*(D1436+G1436))-(F$5*8)+(G1436-2*F$5),IF(D1456=4,(2*(D1436+G1436))-(F$5*8)+2*(G1436-2*F$5)))))/1000</f>
        <v>1.08</v>
      </c>
      <c r="K1456" s="400" t="s">
        <v>204</v>
      </c>
      <c r="L1456" s="399">
        <f t="shared" si="4632"/>
        <v>0.15</v>
      </c>
      <c r="M1456" s="399" t="s">
        <v>176</v>
      </c>
      <c r="N1456" s="399">
        <f t="shared" si="4633"/>
        <v>1.23</v>
      </c>
      <c r="O1456" s="399"/>
      <c r="P1456" s="389"/>
      <c r="Q1456" s="399"/>
      <c r="R1456" s="399"/>
      <c r="S1456" s="399"/>
      <c r="T1456" s="399" t="s">
        <v>125</v>
      </c>
      <c r="U1456" s="401">
        <f t="shared" si="4634"/>
        <v>0.39456000000000002</v>
      </c>
      <c r="V1456" s="399" t="s">
        <v>125</v>
      </c>
      <c r="W1456" s="399">
        <f t="shared" ref="W1456" si="4640">IF(D1438-MAX(D1438/4,2*G1436)*2&gt;0,ROUND((D1438-MAX(D1438/4,2*G1436)*2)/H1456,0),0)</f>
        <v>9</v>
      </c>
      <c r="X1456" s="399" t="s">
        <v>125</v>
      </c>
      <c r="Y1456" s="389">
        <f t="shared" ref="Y1456" si="4641">D1441</f>
        <v>1</v>
      </c>
      <c r="Z1456" s="400" t="s">
        <v>176</v>
      </c>
      <c r="AA1456" s="402">
        <f t="shared" si="4637"/>
        <v>4.3677792000000002</v>
      </c>
      <c r="AB1456" s="403"/>
    </row>
    <row r="1457" spans="1:28">
      <c r="A1457" s="384" t="str">
        <f t="shared" ref="A1457:B1457" si="4642">A1435</f>
        <v>Lantai 1</v>
      </c>
      <c r="B1457" s="385">
        <f t="shared" si="4642"/>
        <v>47</v>
      </c>
      <c r="C1457" s="393" t="s">
        <v>211</v>
      </c>
      <c r="D1457" s="398">
        <f>VLOOKUP(D1435,'Detail Balok'!$C$10:$AU$140,41,FALSE)</f>
        <v>0</v>
      </c>
      <c r="E1457" s="388" t="s">
        <v>16</v>
      </c>
      <c r="F1457" s="388">
        <f>VLOOKUP(D1435,'Detail Balok'!$C$10:$AU$140,43,FALSE)</f>
        <v>8</v>
      </c>
      <c r="G1457" s="405" t="s">
        <v>157</v>
      </c>
      <c r="H1457" s="395">
        <f>VLOOKUP(D1435,'Detail Balok'!$C$10:$AU$140,45,FALSE)</f>
        <v>150</v>
      </c>
      <c r="I1457" s="388"/>
      <c r="J1457" s="400">
        <f t="shared" ref="J1457" si="4643">(IF(D1457=0,(2*(D1436+G1436))-(F$5*8),IF(D1457=3,(2*(D1436+G1436))-(F$5*8)+(G1436-2*F$5),IF(D1457=4,(2*(D1436+G1436))-(F$5*8)+2*(G1436-2*F$5)))))/1000</f>
        <v>1.08</v>
      </c>
      <c r="K1457" s="400" t="s">
        <v>204</v>
      </c>
      <c r="L1457" s="399">
        <f t="shared" si="4632"/>
        <v>0.15</v>
      </c>
      <c r="M1457" s="399" t="s">
        <v>176</v>
      </c>
      <c r="N1457" s="399">
        <f t="shared" si="4633"/>
        <v>1.23</v>
      </c>
      <c r="O1457" s="399"/>
      <c r="P1457" s="389"/>
      <c r="Q1457" s="399"/>
      <c r="R1457" s="399"/>
      <c r="S1457" s="399"/>
      <c r="T1457" s="399" t="s">
        <v>125</v>
      </c>
      <c r="U1457" s="401">
        <f t="shared" si="4634"/>
        <v>0.39456000000000002</v>
      </c>
      <c r="V1457" s="399" t="s">
        <v>125</v>
      </c>
      <c r="W1457" s="399">
        <f t="shared" ref="W1457" si="4644">IF(D1438&gt;4*G1436,ROUND(MAX(D1438/4,2*G1436)/H1457,0)+1,0)</f>
        <v>8</v>
      </c>
      <c r="X1457" s="399" t="s">
        <v>125</v>
      </c>
      <c r="Y1457" s="389">
        <f t="shared" ref="Y1457" si="4645">D1441</f>
        <v>1</v>
      </c>
      <c r="Z1457" s="400" t="s">
        <v>176</v>
      </c>
      <c r="AA1457" s="402">
        <f t="shared" si="4637"/>
        <v>3.8824704000000003</v>
      </c>
      <c r="AB1457" s="403"/>
    </row>
    <row r="1458" spans="1:28">
      <c r="A1458" s="384"/>
      <c r="B1458" s="385"/>
      <c r="C1458" s="393"/>
      <c r="D1458" s="394"/>
      <c r="E1458" s="388"/>
      <c r="F1458" s="388"/>
      <c r="G1458" s="388"/>
      <c r="H1458" s="395"/>
      <c r="I1458" s="388"/>
      <c r="J1458" s="399"/>
      <c r="K1458" s="396"/>
      <c r="L1458" s="396"/>
      <c r="M1458" s="396"/>
      <c r="N1458" s="396"/>
      <c r="O1458" s="396"/>
      <c r="P1458" s="389"/>
      <c r="Q1458" s="396"/>
      <c r="R1458" s="396"/>
      <c r="S1458" s="396"/>
      <c r="T1458" s="396"/>
      <c r="U1458" s="401"/>
      <c r="V1458" s="396"/>
      <c r="W1458" s="388"/>
      <c r="X1458" s="396"/>
      <c r="Y1458" s="389"/>
      <c r="Z1458" s="396"/>
      <c r="AA1458" s="388"/>
      <c r="AB1458" s="390"/>
    </row>
    <row r="1459" spans="1:28">
      <c r="A1459" s="384" t="str">
        <f t="shared" ref="A1459:B1459" si="4646">A1435</f>
        <v>Lantai 1</v>
      </c>
      <c r="B1459" s="385">
        <f t="shared" si="4646"/>
        <v>47</v>
      </c>
      <c r="C1459" s="393" t="s">
        <v>213</v>
      </c>
      <c r="D1459" s="398">
        <f>VLOOKUP(D1435,'Detail Balok'!$C$10:$BJ$140,46,FALSE)</f>
        <v>0</v>
      </c>
      <c r="E1459" s="388" t="s">
        <v>16</v>
      </c>
      <c r="F1459" s="388">
        <f>VLOOKUP(D1435,'Detail Balok'!$C$10:$BJ$140,48,FALSE)</f>
        <v>0</v>
      </c>
      <c r="G1459" s="405" t="s">
        <v>157</v>
      </c>
      <c r="H1459" s="395">
        <f>VLOOKUP(D1435,'Detail Balok'!$C$10:$BJ$140,50,FALSE)</f>
        <v>100</v>
      </c>
      <c r="I1459" s="388"/>
      <c r="J1459" s="399">
        <f t="shared" ref="J1459" si="4647">(D1436-2*F$5)/1000</f>
        <v>0.12</v>
      </c>
      <c r="K1459" s="400" t="s">
        <v>204</v>
      </c>
      <c r="L1459" s="399">
        <f t="shared" ref="L1459:L1461" si="4648">IF(D1459=0,2*MAX(6*F1459,75),(D1459-1)*2*MAX(6*F1459,75))/1000</f>
        <v>0.15</v>
      </c>
      <c r="M1459" s="399" t="s">
        <v>176</v>
      </c>
      <c r="N1459" s="399">
        <f t="shared" ref="N1459:N1461" si="4649">J1459+L1459</f>
        <v>0.27</v>
      </c>
      <c r="O1459" s="399"/>
      <c r="P1459" s="399"/>
      <c r="Q1459" s="399"/>
      <c r="R1459" s="399"/>
      <c r="S1459" s="399"/>
      <c r="T1459" s="399" t="s">
        <v>125</v>
      </c>
      <c r="U1459" s="401">
        <f t="shared" ref="U1459:U1461" si="4650">0.006165*F1459^2</f>
        <v>0</v>
      </c>
      <c r="V1459" s="399" t="s">
        <v>125</v>
      </c>
      <c r="W1459" s="399">
        <f t="shared" si="4555"/>
        <v>8</v>
      </c>
      <c r="X1459" s="399" t="s">
        <v>125</v>
      </c>
      <c r="Y1459" s="389">
        <f t="shared" ref="Y1459" si="4651">D1445</f>
        <v>3</v>
      </c>
      <c r="Z1459" s="400" t="s">
        <v>176</v>
      </c>
      <c r="AA1459" s="402">
        <f t="shared" ref="AA1459:AA1461" si="4652">N1459*U1459*W1459*Y1459</f>
        <v>0</v>
      </c>
      <c r="AB1459" s="403"/>
    </row>
    <row r="1460" spans="1:28">
      <c r="A1460" s="384" t="str">
        <f t="shared" ref="A1460:B1460" si="4653">A1435</f>
        <v>Lantai 1</v>
      </c>
      <c r="B1460" s="385">
        <f t="shared" si="4653"/>
        <v>47</v>
      </c>
      <c r="C1460" s="393" t="s">
        <v>214</v>
      </c>
      <c r="D1460" s="398">
        <f>VLOOKUP(D1435,'Detail Balok'!$C$10:$BJ$140,51,FALSE)</f>
        <v>0</v>
      </c>
      <c r="E1460" s="388" t="s">
        <v>16</v>
      </c>
      <c r="F1460" s="388">
        <f>VLOOKUP(D1435,'Detail Balok'!$C$10:$BJ$140,53,FALSE)</f>
        <v>0</v>
      </c>
      <c r="G1460" s="405" t="s">
        <v>157</v>
      </c>
      <c r="H1460" s="395">
        <f>VLOOKUP(D1435,'Detail Balok'!$C$10:$BJ$140,55,FALSE)</f>
        <v>100</v>
      </c>
      <c r="I1460" s="388"/>
      <c r="J1460" s="399">
        <f t="shared" ref="J1460" si="4654">(D1436-2*F$5)/1000</f>
        <v>0.12</v>
      </c>
      <c r="K1460" s="400" t="s">
        <v>204</v>
      </c>
      <c r="L1460" s="399">
        <f t="shared" si="4648"/>
        <v>0.15</v>
      </c>
      <c r="M1460" s="399" t="s">
        <v>176</v>
      </c>
      <c r="N1460" s="399">
        <f t="shared" si="4649"/>
        <v>0.27</v>
      </c>
      <c r="O1460" s="399"/>
      <c r="P1460" s="399"/>
      <c r="Q1460" s="399"/>
      <c r="R1460" s="399"/>
      <c r="S1460" s="399"/>
      <c r="T1460" s="399" t="s">
        <v>125</v>
      </c>
      <c r="U1460" s="401">
        <f t="shared" si="4650"/>
        <v>0</v>
      </c>
      <c r="V1460" s="399" t="s">
        <v>125</v>
      </c>
      <c r="W1460" s="399">
        <f t="shared" si="4555"/>
        <v>9</v>
      </c>
      <c r="X1460" s="399" t="s">
        <v>125</v>
      </c>
      <c r="Y1460" s="389">
        <f t="shared" ref="Y1460" si="4655">D1445</f>
        <v>3</v>
      </c>
      <c r="Z1460" s="400" t="s">
        <v>176</v>
      </c>
      <c r="AA1460" s="402">
        <f t="shared" si="4652"/>
        <v>0</v>
      </c>
      <c r="AB1460" s="403"/>
    </row>
    <row r="1461" spans="1:28">
      <c r="A1461" s="384" t="str">
        <f t="shared" ref="A1461:B1461" si="4656">A1435</f>
        <v>Lantai 1</v>
      </c>
      <c r="B1461" s="385">
        <f t="shared" si="4656"/>
        <v>47</v>
      </c>
      <c r="C1461" s="393" t="s">
        <v>213</v>
      </c>
      <c r="D1461" s="398">
        <f>VLOOKUP(D1435,'Detail Balok'!$C$10:$BJ$140,56,FALSE)</f>
        <v>0</v>
      </c>
      <c r="E1461" s="388" t="s">
        <v>16</v>
      </c>
      <c r="F1461" s="388">
        <f>VLOOKUP(D1435,'Detail Balok'!$C$10:$BJ$140,58,FALSE)</f>
        <v>0</v>
      </c>
      <c r="G1461" s="405" t="s">
        <v>157</v>
      </c>
      <c r="H1461" s="395">
        <f>VLOOKUP(D1435,'Detail Balok'!$C$10:$BJ$140,60,FALSE)</f>
        <v>100</v>
      </c>
      <c r="I1461" s="388"/>
      <c r="J1461" s="399">
        <f t="shared" ref="J1461" si="4657">(D1436-2*F$5)/1000</f>
        <v>0.12</v>
      </c>
      <c r="K1461" s="400" t="s">
        <v>204</v>
      </c>
      <c r="L1461" s="399">
        <f t="shared" si="4648"/>
        <v>0.15</v>
      </c>
      <c r="M1461" s="399" t="s">
        <v>176</v>
      </c>
      <c r="N1461" s="399">
        <f t="shared" si="4649"/>
        <v>0.27</v>
      </c>
      <c r="O1461" s="399"/>
      <c r="P1461" s="399"/>
      <c r="Q1461" s="399"/>
      <c r="R1461" s="399"/>
      <c r="S1461" s="399"/>
      <c r="T1461" s="399" t="s">
        <v>125</v>
      </c>
      <c r="U1461" s="401">
        <f t="shared" si="4650"/>
        <v>0</v>
      </c>
      <c r="V1461" s="399" t="s">
        <v>125</v>
      </c>
      <c r="W1461" s="399">
        <f t="shared" si="4555"/>
        <v>8</v>
      </c>
      <c r="X1461" s="399" t="s">
        <v>125</v>
      </c>
      <c r="Y1461" s="389">
        <f t="shared" ref="Y1461" si="4658">D1445</f>
        <v>3</v>
      </c>
      <c r="Z1461" s="400" t="s">
        <v>176</v>
      </c>
      <c r="AA1461" s="402">
        <f t="shared" si="4652"/>
        <v>0</v>
      </c>
      <c r="AB1461" s="403"/>
    </row>
    <row r="1462" spans="1:28">
      <c r="A1462" s="391"/>
      <c r="B1462" s="392"/>
      <c r="C1462" s="392"/>
      <c r="D1462" s="394"/>
      <c r="E1462" s="388"/>
      <c r="F1462" s="388"/>
      <c r="G1462" s="388"/>
      <c r="H1462" s="395"/>
      <c r="I1462" s="388"/>
      <c r="J1462" s="402"/>
      <c r="K1462" s="388"/>
      <c r="L1462" s="388"/>
      <c r="M1462" s="388"/>
      <c r="N1462" s="388"/>
      <c r="O1462" s="388"/>
      <c r="P1462" s="388"/>
      <c r="Q1462" s="388"/>
      <c r="R1462" s="388"/>
      <c r="S1462" s="388"/>
      <c r="T1462" s="388"/>
      <c r="U1462" s="388"/>
      <c r="V1462" s="388"/>
      <c r="W1462" s="388"/>
      <c r="X1462" s="388"/>
      <c r="Y1462" s="389"/>
      <c r="Z1462" s="388"/>
      <c r="AA1462" s="402"/>
      <c r="AB1462" s="403"/>
    </row>
    <row r="1463" spans="1:28" ht="15.75" thickBot="1">
      <c r="A1463" s="406"/>
      <c r="B1463" s="407"/>
      <c r="C1463" s="407"/>
      <c r="D1463" s="408"/>
      <c r="E1463" s="409"/>
      <c r="F1463" s="409"/>
      <c r="G1463" s="409"/>
      <c r="H1463" s="410"/>
      <c r="I1463" s="409"/>
      <c r="J1463" s="409"/>
      <c r="K1463" s="409"/>
      <c r="L1463" s="409"/>
      <c r="M1463" s="409"/>
      <c r="N1463" s="409"/>
      <c r="O1463" s="409"/>
      <c r="P1463" s="409"/>
      <c r="Q1463" s="409"/>
      <c r="R1463" s="409"/>
      <c r="S1463" s="409"/>
      <c r="T1463" s="409"/>
      <c r="U1463" s="409"/>
      <c r="V1463" s="409"/>
      <c r="W1463" s="409"/>
      <c r="X1463" s="409"/>
      <c r="Y1463" s="411"/>
      <c r="Z1463" s="409"/>
      <c r="AA1463" s="412"/>
      <c r="AB1463" s="413"/>
    </row>
    <row r="1464" spans="1:28">
      <c r="A1464" s="377"/>
      <c r="B1464" s="378"/>
      <c r="C1464" s="378"/>
      <c r="D1464" s="379"/>
      <c r="E1464" s="380"/>
      <c r="F1464" s="380"/>
      <c r="G1464" s="380"/>
      <c r="H1464" s="381"/>
      <c r="I1464" s="380"/>
      <c r="J1464" s="380"/>
      <c r="K1464" s="380"/>
      <c r="L1464" s="380"/>
      <c r="M1464" s="380"/>
      <c r="N1464" s="380"/>
      <c r="O1464" s="380"/>
      <c r="P1464" s="380"/>
      <c r="Q1464" s="380"/>
      <c r="R1464" s="380"/>
      <c r="S1464" s="380"/>
      <c r="T1464" s="380"/>
      <c r="U1464" s="380"/>
      <c r="V1464" s="380"/>
      <c r="W1464" s="380"/>
      <c r="X1464" s="380"/>
      <c r="Y1464" s="382"/>
      <c r="Z1464" s="380"/>
      <c r="AA1464" s="380"/>
      <c r="AB1464" s="383"/>
    </row>
    <row r="1465" spans="1:28">
      <c r="A1465" s="384" t="str">
        <f t="shared" si="4564"/>
        <v>Lantai 1</v>
      </c>
      <c r="B1465" s="385">
        <f t="shared" si="4565"/>
        <v>48</v>
      </c>
      <c r="C1465" s="386" t="str">
        <f t="shared" ref="C1465" si="4659">CONCATENATE(A1465," no. ",B1465)</f>
        <v>Lantai 1 no. 48</v>
      </c>
      <c r="D1465" s="2562" t="str">
        <f>VLOOKUP(C1465,'Data Panjang Balok'!$C$9:$N$254,2,FALSE)</f>
        <v>S24-2</v>
      </c>
      <c r="E1465" s="2576"/>
      <c r="F1465" s="2576"/>
      <c r="G1465" s="2576"/>
      <c r="H1465" s="2577"/>
      <c r="I1465" s="387"/>
      <c r="J1465" s="388"/>
      <c r="K1465" s="388"/>
      <c r="L1465" s="388"/>
      <c r="M1465" s="388"/>
      <c r="N1465" s="388"/>
      <c r="O1465" s="388"/>
      <c r="P1465" s="388"/>
      <c r="Q1465" s="388"/>
      <c r="R1465" s="388"/>
      <c r="S1465" s="388"/>
      <c r="T1465" s="388"/>
      <c r="U1465" s="388"/>
      <c r="V1465" s="388"/>
      <c r="W1465" s="388"/>
      <c r="X1465" s="388"/>
      <c r="Y1465" s="389"/>
      <c r="Z1465" s="388"/>
      <c r="AA1465" s="388"/>
      <c r="AB1465" s="390"/>
    </row>
    <row r="1466" spans="1:28">
      <c r="A1466" s="391"/>
      <c r="B1466" s="392"/>
      <c r="C1466" s="393" t="s">
        <v>118</v>
      </c>
      <c r="D1466" s="2578">
        <f>VLOOKUP(D1465,'Detail Balok'!$C$10:$AU$140,2,FALSE)</f>
        <v>200</v>
      </c>
      <c r="E1466" s="2579"/>
      <c r="F1466" s="388" t="s">
        <v>125</v>
      </c>
      <c r="G1466" s="2579">
        <f>VLOOKUP(D1465,'Detail Balok'!$C$10:$AU$140,3,FALSE)</f>
        <v>400</v>
      </c>
      <c r="H1466" s="2580"/>
      <c r="I1466" s="388"/>
      <c r="J1466" s="396"/>
      <c r="K1466" s="396"/>
      <c r="L1466" s="396"/>
      <c r="M1466" s="396"/>
      <c r="N1466" s="396"/>
      <c r="O1466" s="396"/>
      <c r="P1466" s="396"/>
      <c r="Q1466" s="396"/>
      <c r="R1466" s="396"/>
      <c r="S1466" s="396"/>
      <c r="T1466" s="396"/>
      <c r="U1466" s="388"/>
      <c r="V1466" s="396"/>
      <c r="W1466" s="388"/>
      <c r="X1466" s="396"/>
      <c r="Y1466" s="389"/>
      <c r="Z1466" s="396"/>
      <c r="AA1466" s="388"/>
      <c r="AB1466" s="390"/>
    </row>
    <row r="1467" spans="1:28">
      <c r="A1467" s="391"/>
      <c r="B1467" s="392"/>
      <c r="C1467" s="393" t="s">
        <v>198</v>
      </c>
      <c r="D1467" s="2562">
        <f>VLOOKUP(C1465,'Data Panjang Balok'!$C$9:$N$254,4,FALSE)</f>
        <v>3850</v>
      </c>
      <c r="E1467" s="2563"/>
      <c r="F1467" s="2563"/>
      <c r="G1467" s="2563"/>
      <c r="H1467" s="2564"/>
      <c r="I1467" s="397"/>
      <c r="J1467" s="396"/>
      <c r="K1467" s="396"/>
      <c r="L1467" s="396"/>
      <c r="M1467" s="396"/>
      <c r="N1467" s="396"/>
      <c r="O1467" s="396"/>
      <c r="P1467" s="396"/>
      <c r="Q1467" s="396"/>
      <c r="R1467" s="396"/>
      <c r="S1467" s="396"/>
      <c r="T1467" s="396"/>
      <c r="U1467" s="388"/>
      <c r="V1467" s="396"/>
      <c r="W1467" s="388"/>
      <c r="X1467" s="396"/>
      <c r="Y1467" s="389"/>
      <c r="Z1467" s="396"/>
      <c r="AA1467" s="388"/>
      <c r="AB1467" s="390"/>
    </row>
    <row r="1468" spans="1:28">
      <c r="A1468" s="391"/>
      <c r="B1468" s="392"/>
      <c r="C1468" s="393" t="s">
        <v>199</v>
      </c>
      <c r="D1468" s="2562">
        <f>VLOOKUP(C1465,'Data Panjang Balok'!$C$9:$N$254,7,FALSE)</f>
        <v>3850</v>
      </c>
      <c r="E1468" s="2563"/>
      <c r="F1468" s="2563"/>
      <c r="G1468" s="2563"/>
      <c r="H1468" s="2564"/>
      <c r="I1468" s="397"/>
      <c r="J1468" s="396"/>
      <c r="K1468" s="396"/>
      <c r="L1468" s="396"/>
      <c r="M1468" s="396"/>
      <c r="N1468" s="396"/>
      <c r="O1468" s="396"/>
      <c r="P1468" s="396"/>
      <c r="Q1468" s="396"/>
      <c r="R1468" s="396"/>
      <c r="S1468" s="396"/>
      <c r="T1468" s="396"/>
      <c r="U1468" s="388"/>
      <c r="V1468" s="396"/>
      <c r="W1468" s="388"/>
      <c r="X1468" s="396"/>
      <c r="Y1468" s="389"/>
      <c r="Z1468" s="396"/>
      <c r="AA1468" s="388"/>
      <c r="AB1468" s="390"/>
    </row>
    <row r="1469" spans="1:28">
      <c r="A1469" s="391"/>
      <c r="B1469" s="392"/>
      <c r="C1469" s="393" t="s">
        <v>200</v>
      </c>
      <c r="D1469" s="2562">
        <f>VLOOKUP(C1465,'Data Panjang Balok'!$C$9:$N$254,9,FALSE)</f>
        <v>0</v>
      </c>
      <c r="E1469" s="2563"/>
      <c r="F1469" s="2563"/>
      <c r="G1469" s="2563"/>
      <c r="H1469" s="2564"/>
      <c r="I1469" s="397"/>
      <c r="J1469" s="396"/>
      <c r="K1469" s="396"/>
      <c r="L1469" s="396"/>
      <c r="M1469" s="396"/>
      <c r="N1469" s="396"/>
      <c r="O1469" s="396"/>
      <c r="P1469" s="396"/>
      <c r="Q1469" s="396"/>
      <c r="R1469" s="396"/>
      <c r="S1469" s="396"/>
      <c r="T1469" s="396"/>
      <c r="U1469" s="388"/>
      <c r="V1469" s="396"/>
      <c r="W1469" s="388"/>
      <c r="X1469" s="396"/>
      <c r="Y1469" s="389"/>
      <c r="Z1469" s="396"/>
      <c r="AA1469" s="388"/>
      <c r="AB1469" s="390"/>
    </row>
    <row r="1470" spans="1:28">
      <c r="A1470" s="391"/>
      <c r="B1470" s="392"/>
      <c r="C1470" s="393" t="s">
        <v>201</v>
      </c>
      <c r="D1470" s="2562">
        <f>VLOOKUP(C1465,'Data Panjang Balok'!$C$9:$N$254,10,FALSE)</f>
        <v>0</v>
      </c>
      <c r="E1470" s="2563"/>
      <c r="F1470" s="2563"/>
      <c r="G1470" s="2563"/>
      <c r="H1470" s="2564"/>
      <c r="I1470" s="397"/>
      <c r="J1470" s="396"/>
      <c r="K1470" s="396"/>
      <c r="L1470" s="396"/>
      <c r="M1470" s="396"/>
      <c r="N1470" s="396"/>
      <c r="O1470" s="396"/>
      <c r="P1470" s="396"/>
      <c r="Q1470" s="396"/>
      <c r="R1470" s="396"/>
      <c r="S1470" s="396"/>
      <c r="T1470" s="396"/>
      <c r="U1470" s="388"/>
      <c r="V1470" s="396"/>
      <c r="W1470" s="388"/>
      <c r="X1470" s="396"/>
      <c r="Y1470" s="389"/>
      <c r="Z1470" s="396"/>
      <c r="AA1470" s="388"/>
      <c r="AB1470" s="390"/>
    </row>
    <row r="1471" spans="1:28">
      <c r="A1471" s="391"/>
      <c r="B1471" s="392"/>
      <c r="C1471" s="393" t="s">
        <v>48</v>
      </c>
      <c r="D1471" s="2562">
        <f>VLOOKUP(C1465,'Data Panjang Balok'!$C$9:$N$254,3,FALSE)</f>
        <v>1</v>
      </c>
      <c r="E1471" s="2563"/>
      <c r="F1471" s="2563"/>
      <c r="G1471" s="2563"/>
      <c r="H1471" s="2564"/>
      <c r="I1471" s="397"/>
      <c r="J1471" s="396"/>
      <c r="K1471" s="396"/>
      <c r="L1471" s="396"/>
      <c r="M1471" s="396"/>
      <c r="N1471" s="396"/>
      <c r="O1471" s="396"/>
      <c r="P1471" s="396"/>
      <c r="Q1471" s="396"/>
      <c r="R1471" s="396"/>
      <c r="S1471" s="396"/>
      <c r="T1471" s="396"/>
      <c r="U1471" s="388"/>
      <c r="V1471" s="396"/>
      <c r="W1471" s="388"/>
      <c r="X1471" s="396"/>
      <c r="Y1471" s="389"/>
      <c r="Z1471" s="396"/>
      <c r="AA1471" s="388"/>
      <c r="AB1471" s="390"/>
    </row>
    <row r="1472" spans="1:28">
      <c r="A1472" s="384" t="str">
        <f t="shared" ref="A1472:B1472" si="4660">A1465</f>
        <v>Lantai 1</v>
      </c>
      <c r="B1472" s="385">
        <f t="shared" si="4660"/>
        <v>48</v>
      </c>
      <c r="C1472" s="393" t="s">
        <v>202</v>
      </c>
      <c r="D1472" s="398">
        <f>VLOOKUP(D1465,'Detail Balok'!$C$10:$AU$140,4,FALSE)</f>
        <v>3</v>
      </c>
      <c r="E1472" s="388" t="s">
        <v>16</v>
      </c>
      <c r="F1472" s="388">
        <f>VLOOKUP(D1465,'Detail Balok'!$C$10:$AU$140,6,FALSE)</f>
        <v>16</v>
      </c>
      <c r="G1472" s="388"/>
      <c r="H1472" s="395"/>
      <c r="I1472" s="388" t="s">
        <v>203</v>
      </c>
      <c r="J1472" s="399">
        <f t="shared" ref="J1472" si="4661">+D1467/4/1000</f>
        <v>0.96250000000000002</v>
      </c>
      <c r="K1472" s="400" t="s">
        <v>204</v>
      </c>
      <c r="L1472" s="399">
        <f t="shared" ref="L1472" si="4662">MAX(VLOOKUP(F1472,N$6:P$15,3,FALSE)/1000,2/3*D1469/1000)+F$16*F1472/1000</f>
        <v>0.192</v>
      </c>
      <c r="M1472" s="399" t="s">
        <v>176</v>
      </c>
      <c r="N1472" s="399">
        <f t="shared" ref="N1472:N1474" si="4663">J1472+L1472</f>
        <v>1.1545000000000001</v>
      </c>
      <c r="O1472" s="399" t="s">
        <v>204</v>
      </c>
      <c r="P1472" s="389">
        <f t="shared" ref="P1472" si="4664">D1472-D1473</f>
        <v>0</v>
      </c>
      <c r="Q1472" s="399" t="s">
        <v>125</v>
      </c>
      <c r="R1472" s="399">
        <f t="shared" ref="R1472" si="4665">IF(P1472&gt;0,$F$18*F1472/1000,0)</f>
        <v>0</v>
      </c>
      <c r="S1472" s="399" t="s">
        <v>205</v>
      </c>
      <c r="T1472" s="399" t="s">
        <v>125</v>
      </c>
      <c r="U1472" s="401">
        <f t="shared" ref="U1472:U1474" si="4666">0.006165*F1472^2</f>
        <v>1.5782400000000001</v>
      </c>
      <c r="V1472" s="399"/>
      <c r="W1472" s="399"/>
      <c r="X1472" s="399" t="s">
        <v>125</v>
      </c>
      <c r="Y1472" s="389">
        <f t="shared" ref="Y1472" si="4667">D1471</f>
        <v>1</v>
      </c>
      <c r="Z1472" s="400" t="s">
        <v>176</v>
      </c>
      <c r="AA1472" s="402">
        <f t="shared" ref="AA1472" si="4668">IF(AA1475=0,(D1472*N1472+P1472*R1472)*U1472*Y1472,0)</f>
        <v>0</v>
      </c>
      <c r="AB1472" s="403"/>
    </row>
    <row r="1473" spans="1:28">
      <c r="A1473" s="384" t="str">
        <f t="shared" ref="A1473:B1473" si="4669">A1465</f>
        <v>Lantai 1</v>
      </c>
      <c r="B1473" s="385">
        <f t="shared" si="4669"/>
        <v>48</v>
      </c>
      <c r="C1473" s="393" t="s">
        <v>206</v>
      </c>
      <c r="D1473" s="398">
        <f>VLOOKUP(D1465,'Detail Balok'!$C$10:$AU$140,7,FALSE)</f>
        <v>3</v>
      </c>
      <c r="E1473" s="388" t="s">
        <v>16</v>
      </c>
      <c r="F1473" s="388">
        <f>VLOOKUP(D1465,'Detail Balok'!$C$10:$AU$140,9,FALSE)</f>
        <v>16</v>
      </c>
      <c r="G1473" s="388"/>
      <c r="H1473" s="395"/>
      <c r="I1473" s="388" t="s">
        <v>203</v>
      </c>
      <c r="J1473" s="399">
        <f t="shared" ref="J1473" si="4670">+D1467/2/1000</f>
        <v>1.925</v>
      </c>
      <c r="K1473" s="400" t="s">
        <v>204</v>
      </c>
      <c r="L1473" s="399"/>
      <c r="M1473" s="399" t="s">
        <v>176</v>
      </c>
      <c r="N1473" s="399">
        <f t="shared" si="4663"/>
        <v>1.925</v>
      </c>
      <c r="O1473" s="399" t="s">
        <v>204</v>
      </c>
      <c r="P1473" s="389">
        <f t="shared" ref="P1473" si="4671">MAX(D1473-D1472,D1473-D1474)</f>
        <v>0</v>
      </c>
      <c r="Q1473" s="399" t="s">
        <v>125</v>
      </c>
      <c r="R1473" s="399">
        <f t="shared" ref="R1473" si="4672">IF(P1473&gt;0,2*(1-2*$F$19-1/2)*D1468/1000,0)</f>
        <v>0</v>
      </c>
      <c r="S1473" s="399" t="s">
        <v>205</v>
      </c>
      <c r="T1473" s="399" t="s">
        <v>125</v>
      </c>
      <c r="U1473" s="401">
        <f t="shared" si="4666"/>
        <v>1.5782400000000001</v>
      </c>
      <c r="V1473" s="399"/>
      <c r="W1473" s="399"/>
      <c r="X1473" s="399" t="s">
        <v>125</v>
      </c>
      <c r="Y1473" s="389">
        <f t="shared" ref="Y1473" si="4673">D1471</f>
        <v>1</v>
      </c>
      <c r="Z1473" s="400" t="s">
        <v>176</v>
      </c>
      <c r="AA1473" s="402">
        <f t="shared" ref="AA1473" si="4674">IF(AA1475=0,(D1473*N1473+P1473*R1473)*U1473*Y1473,0)</f>
        <v>0</v>
      </c>
      <c r="AB1473" s="403"/>
    </row>
    <row r="1474" spans="1:28">
      <c r="A1474" s="384" t="str">
        <f t="shared" ref="A1474:B1474" si="4675">A1465</f>
        <v>Lantai 1</v>
      </c>
      <c r="B1474" s="385">
        <f t="shared" si="4675"/>
        <v>48</v>
      </c>
      <c r="C1474" s="393" t="s">
        <v>202</v>
      </c>
      <c r="D1474" s="398">
        <f>VLOOKUP(D1465,'Detail Balok'!$C$10:$AU$140,10,FALSE)</f>
        <v>3</v>
      </c>
      <c r="E1474" s="388" t="s">
        <v>16</v>
      </c>
      <c r="F1474" s="388">
        <f>VLOOKUP(D1465,'Detail Balok'!$C$10:$AU$140,12,FALSE)</f>
        <v>16</v>
      </c>
      <c r="G1474" s="388"/>
      <c r="H1474" s="395"/>
      <c r="I1474" s="388" t="s">
        <v>203</v>
      </c>
      <c r="J1474" s="399">
        <f t="shared" ref="J1474" si="4676">+D1467/4/1000</f>
        <v>0.96250000000000002</v>
      </c>
      <c r="K1474" s="400" t="s">
        <v>204</v>
      </c>
      <c r="L1474" s="399">
        <f t="shared" ref="L1474" si="4677">MAX(VLOOKUP(F1474,N$6:P$15,3,FALSE)/1000,2/3*D1469/1000)+F$16*F1474/1000</f>
        <v>0.192</v>
      </c>
      <c r="M1474" s="399" t="s">
        <v>176</v>
      </c>
      <c r="N1474" s="399">
        <f t="shared" si="4663"/>
        <v>1.1545000000000001</v>
      </c>
      <c r="O1474" s="399" t="s">
        <v>204</v>
      </c>
      <c r="P1474" s="389">
        <f t="shared" ref="P1474" si="4678">D1474-D1473</f>
        <v>0</v>
      </c>
      <c r="Q1474" s="399" t="s">
        <v>125</v>
      </c>
      <c r="R1474" s="399">
        <f t="shared" ref="R1474" si="4679">IF(P1474&gt;0,$F$18*F1474/1000,0)</f>
        <v>0</v>
      </c>
      <c r="S1474" s="399" t="s">
        <v>205</v>
      </c>
      <c r="T1474" s="399" t="s">
        <v>125</v>
      </c>
      <c r="U1474" s="401">
        <f t="shared" si="4666"/>
        <v>1.5782400000000001</v>
      </c>
      <c r="V1474" s="399"/>
      <c r="W1474" s="399"/>
      <c r="X1474" s="399" t="s">
        <v>125</v>
      </c>
      <c r="Y1474" s="389">
        <f t="shared" ref="Y1474" si="4680">D1471</f>
        <v>1</v>
      </c>
      <c r="Z1474" s="400" t="s">
        <v>176</v>
      </c>
      <c r="AA1474" s="402">
        <f t="shared" ref="AA1474" si="4681">IF(AA1475=0,(D1474*N1474+P1474*R1474)*U1474*Y1474,0)</f>
        <v>0</v>
      </c>
      <c r="AB1474" s="403"/>
    </row>
    <row r="1475" spans="1:28">
      <c r="A1475" s="384" t="str">
        <f t="shared" ref="A1475:B1475" si="4682">A1465</f>
        <v>Lantai 1</v>
      </c>
      <c r="B1475" s="385">
        <f t="shared" si="4682"/>
        <v>48</v>
      </c>
      <c r="C1475" s="393"/>
      <c r="D1475" s="398">
        <f t="shared" si="4485"/>
        <v>3</v>
      </c>
      <c r="E1475" s="388" t="s">
        <v>16</v>
      </c>
      <c r="F1475" s="388">
        <f t="shared" si="4486"/>
        <v>16</v>
      </c>
      <c r="G1475" s="388"/>
      <c r="H1475" s="395"/>
      <c r="I1475" s="388"/>
      <c r="J1475" s="396"/>
      <c r="K1475" s="396"/>
      <c r="L1475" s="404" t="s">
        <v>207</v>
      </c>
      <c r="M1475" s="399" t="s">
        <v>176</v>
      </c>
      <c r="N1475" s="399">
        <f t="shared" ref="N1475" si="4683">IF(AND(D1472=D1473,D1472=D1474,D1473=D1474,F1472=F1473,F1472=F1474,F1473=F1474),SUM(N1472:N1474),0)</f>
        <v>4.234</v>
      </c>
      <c r="O1475" s="399" t="s">
        <v>204</v>
      </c>
      <c r="P1475" s="389">
        <f t="shared" ref="P1475" si="4684">IF(N1475&gt;12,ROUNDDOWN(N1475/12,0),0)</f>
        <v>0</v>
      </c>
      <c r="Q1475" s="399" t="s">
        <v>125</v>
      </c>
      <c r="R1475" s="399">
        <f t="shared" ref="R1475" si="4685">IF(P1475&gt;0,MAX(VLOOKUP(F1475,$D$6:$G$15,3,FALSE),600),0)/1000</f>
        <v>0</v>
      </c>
      <c r="S1475" s="396"/>
      <c r="T1475" s="396" t="s">
        <v>125</v>
      </c>
      <c r="U1475" s="401">
        <f t="shared" si="4490"/>
        <v>1.5782400000000001</v>
      </c>
      <c r="V1475" s="396" t="s">
        <v>125</v>
      </c>
      <c r="W1475" s="399">
        <f t="shared" ref="W1475" si="4686">D1475</f>
        <v>3</v>
      </c>
      <c r="X1475" s="399" t="s">
        <v>125</v>
      </c>
      <c r="Y1475" s="389">
        <f t="shared" si="4492"/>
        <v>1</v>
      </c>
      <c r="Z1475" s="400" t="s">
        <v>176</v>
      </c>
      <c r="AA1475" s="402">
        <f t="shared" ref="AA1475" si="4687">(N1475+P1475*R1475/1000)*U1475*W1475*Y1475</f>
        <v>20.046804480000002</v>
      </c>
      <c r="AB1475" s="390"/>
    </row>
    <row r="1476" spans="1:28">
      <c r="A1476" s="384"/>
      <c r="B1476" s="385"/>
      <c r="C1476" s="393"/>
      <c r="D1476" s="398"/>
      <c r="E1476" s="388"/>
      <c r="F1476" s="388"/>
      <c r="G1476" s="388"/>
      <c r="H1476" s="395"/>
      <c r="I1476" s="388"/>
      <c r="J1476" s="396"/>
      <c r="K1476" s="396"/>
      <c r="L1476" s="404"/>
      <c r="M1476" s="399"/>
      <c r="N1476" s="399"/>
      <c r="O1476" s="396"/>
      <c r="P1476" s="389"/>
      <c r="Q1476" s="396"/>
      <c r="R1476" s="396"/>
      <c r="S1476" s="396"/>
      <c r="T1476" s="396"/>
      <c r="U1476" s="401"/>
      <c r="V1476" s="396"/>
      <c r="W1476" s="399"/>
      <c r="X1476" s="396"/>
      <c r="Y1476" s="389"/>
      <c r="Z1476" s="396"/>
      <c r="AA1476" s="388"/>
      <c r="AB1476" s="390"/>
    </row>
    <row r="1477" spans="1:28">
      <c r="A1477" s="384" t="str">
        <f t="shared" ref="A1477:B1477" si="4688">A1465</f>
        <v>Lantai 1</v>
      </c>
      <c r="B1477" s="385">
        <f t="shared" si="4688"/>
        <v>48</v>
      </c>
      <c r="C1477" s="393" t="s">
        <v>208</v>
      </c>
      <c r="D1477" s="398">
        <f>VLOOKUP(D1465,'Detail Balok'!$C$10:$AU$140,13,FALSE)</f>
        <v>0</v>
      </c>
      <c r="E1477" s="388" t="s">
        <v>16</v>
      </c>
      <c r="F1477" s="388">
        <f>VLOOKUP(D1465,'Detail Balok'!$C$10:$AU$140,15,FALSE)</f>
        <v>8</v>
      </c>
      <c r="G1477" s="388"/>
      <c r="H1477" s="395"/>
      <c r="I1477" s="388"/>
      <c r="J1477" s="399">
        <f t="shared" ref="J1477" si="4689">+D1467/1000</f>
        <v>3.85</v>
      </c>
      <c r="K1477" s="400" t="s">
        <v>204</v>
      </c>
      <c r="L1477" s="399">
        <f t="shared" ref="L1477" si="4690">2*$F$16*F1477/1000</f>
        <v>0.192</v>
      </c>
      <c r="M1477" s="399" t="s">
        <v>176</v>
      </c>
      <c r="N1477" s="399">
        <f t="shared" ref="N1477" si="4691">J1477+L1477</f>
        <v>4.0419999999999998</v>
      </c>
      <c r="O1477" s="399" t="s">
        <v>204</v>
      </c>
      <c r="P1477" s="389">
        <f t="shared" ref="P1477" si="4692">IF(N1477&gt;12,ROUNDDOWN(N1477/12,0),0)</f>
        <v>0</v>
      </c>
      <c r="Q1477" s="399" t="s">
        <v>125</v>
      </c>
      <c r="R1477" s="399">
        <f t="shared" ref="R1477" si="4693">IF(P1477&gt;0,MAX(VLOOKUP(F1477,$D$6:$G$15,3,FALSE),600),0)/1000</f>
        <v>0</v>
      </c>
      <c r="S1477" s="399"/>
      <c r="T1477" s="399" t="s">
        <v>125</v>
      </c>
      <c r="U1477" s="401">
        <f t="shared" ref="U1477" si="4694">0.006165*F1477^2</f>
        <v>0.39456000000000002</v>
      </c>
      <c r="V1477" s="399" t="s">
        <v>125</v>
      </c>
      <c r="W1477" s="399">
        <f t="shared" ref="W1477" si="4695">+D1477</f>
        <v>0</v>
      </c>
      <c r="X1477" s="399" t="s">
        <v>125</v>
      </c>
      <c r="Y1477" s="389">
        <f t="shared" ref="Y1477" si="4696">D1471</f>
        <v>1</v>
      </c>
      <c r="Z1477" s="400" t="s">
        <v>176</v>
      </c>
      <c r="AA1477" s="402">
        <f t="shared" ref="AA1477" si="4697">(N1477+P1477*R1477/1000)*U1477*W1477*Y1477</f>
        <v>0</v>
      </c>
      <c r="AB1477" s="403"/>
    </row>
    <row r="1478" spans="1:28">
      <c r="A1478" s="384"/>
      <c r="B1478" s="385"/>
      <c r="C1478" s="393"/>
      <c r="D1478" s="398"/>
      <c r="E1478" s="388"/>
      <c r="F1478" s="388"/>
      <c r="G1478" s="388"/>
      <c r="H1478" s="395"/>
      <c r="I1478" s="388"/>
      <c r="J1478" s="399"/>
      <c r="K1478" s="400"/>
      <c r="L1478" s="399"/>
      <c r="M1478" s="399"/>
      <c r="N1478" s="399"/>
      <c r="O1478" s="399"/>
      <c r="P1478" s="389"/>
      <c r="Q1478" s="399"/>
      <c r="R1478" s="399"/>
      <c r="S1478" s="399"/>
      <c r="T1478" s="399"/>
      <c r="U1478" s="401"/>
      <c r="V1478" s="399"/>
      <c r="W1478" s="399"/>
      <c r="X1478" s="399"/>
      <c r="Y1478" s="389"/>
      <c r="Z1478" s="400"/>
      <c r="AA1478" s="402"/>
      <c r="AB1478" s="403"/>
    </row>
    <row r="1479" spans="1:28">
      <c r="A1479" s="384"/>
      <c r="B1479" s="385"/>
      <c r="C1479" s="393"/>
      <c r="D1479" s="398"/>
      <c r="E1479" s="388"/>
      <c r="F1479" s="388"/>
      <c r="G1479" s="388"/>
      <c r="H1479" s="395"/>
      <c r="I1479" s="388"/>
      <c r="J1479" s="396"/>
      <c r="K1479" s="396"/>
      <c r="L1479" s="396"/>
      <c r="M1479" s="396"/>
      <c r="N1479" s="396"/>
      <c r="O1479" s="396"/>
      <c r="P1479" s="389"/>
      <c r="Q1479" s="396"/>
      <c r="R1479" s="396"/>
      <c r="S1479" s="396"/>
      <c r="T1479" s="396"/>
      <c r="U1479" s="401"/>
      <c r="V1479" s="396"/>
      <c r="W1479" s="399"/>
      <c r="X1479" s="396"/>
      <c r="Y1479" s="389"/>
      <c r="Z1479" s="396"/>
      <c r="AA1479" s="388"/>
      <c r="AB1479" s="390"/>
    </row>
    <row r="1480" spans="1:28">
      <c r="A1480" s="384" t="str">
        <f t="shared" ref="A1480:B1480" si="4698">A1465</f>
        <v>Lantai 1</v>
      </c>
      <c r="B1480" s="385">
        <f t="shared" si="4698"/>
        <v>48</v>
      </c>
      <c r="C1480" s="393" t="s">
        <v>209</v>
      </c>
      <c r="D1480" s="398">
        <f>VLOOKUP(D1465,'Detail Balok'!$C$10:$AU$140,22,FALSE)</f>
        <v>3</v>
      </c>
      <c r="E1480" s="388" t="s">
        <v>16</v>
      </c>
      <c r="F1480" s="388">
        <f>VLOOKUP(D1465,'Detail Balok'!$C$10:$AU$140,24,FALSE)</f>
        <v>16</v>
      </c>
      <c r="G1480" s="388"/>
      <c r="H1480" s="395"/>
      <c r="I1480" s="388" t="s">
        <v>203</v>
      </c>
      <c r="J1480" s="399">
        <f t="shared" si="4505"/>
        <v>0.96250000000000002</v>
      </c>
      <c r="K1480" s="400" t="s">
        <v>204</v>
      </c>
      <c r="L1480" s="399">
        <f t="shared" ref="L1480" si="4699">MAX(VLOOKUP(F1480,N$6:P$15,3,FALSE)/1000,2/3*D1470/1000)+F$16*F1480/1000</f>
        <v>0.192</v>
      </c>
      <c r="M1480" s="399" t="s">
        <v>176</v>
      </c>
      <c r="N1480" s="399">
        <f t="shared" ref="N1480:N1482" si="4700">J1480+L1480</f>
        <v>1.1545000000000001</v>
      </c>
      <c r="O1480" s="399" t="s">
        <v>204</v>
      </c>
      <c r="P1480" s="389">
        <f t="shared" ref="P1480" si="4701">D1480-D1481</f>
        <v>0</v>
      </c>
      <c r="Q1480" s="399" t="s">
        <v>125</v>
      </c>
      <c r="R1480" s="399">
        <f t="shared" ref="R1480" si="4702">IF(P1480&gt;0,$F$18*F1480/1000,0)</f>
        <v>0</v>
      </c>
      <c r="S1480" s="399" t="s">
        <v>205</v>
      </c>
      <c r="T1480" s="399" t="s">
        <v>125</v>
      </c>
      <c r="U1480" s="401">
        <f t="shared" ref="U1480:U1482" si="4703">0.006165*F1480^2</f>
        <v>1.5782400000000001</v>
      </c>
      <c r="V1480" s="399"/>
      <c r="W1480" s="399"/>
      <c r="X1480" s="399" t="s">
        <v>125</v>
      </c>
      <c r="Y1480" s="389">
        <f t="shared" ref="Y1480" si="4704">D1471</f>
        <v>1</v>
      </c>
      <c r="Z1480" s="400" t="s">
        <v>176</v>
      </c>
      <c r="AA1480" s="402">
        <f t="shared" ref="AA1480" si="4705">IF(AA1483=0,(D1480*N1480+P1480*R1480)*U1480*Y1480,0)</f>
        <v>0</v>
      </c>
      <c r="AB1480" s="403"/>
    </row>
    <row r="1481" spans="1:28">
      <c r="A1481" s="384" t="str">
        <f t="shared" ref="A1481:B1481" si="4706">A1465</f>
        <v>Lantai 1</v>
      </c>
      <c r="B1481" s="385">
        <f t="shared" si="4706"/>
        <v>48</v>
      </c>
      <c r="C1481" s="393" t="s">
        <v>210</v>
      </c>
      <c r="D1481" s="398">
        <f>VLOOKUP(D1465,'Detail Balok'!$C$10:$AU$140,25,FALSE)</f>
        <v>3</v>
      </c>
      <c r="E1481" s="388" t="s">
        <v>16</v>
      </c>
      <c r="F1481" s="388">
        <f>VLOOKUP(D1465,'Detail Balok'!$C$10:$AU$140,27,FALSE)</f>
        <v>16</v>
      </c>
      <c r="G1481" s="388"/>
      <c r="H1481" s="395"/>
      <c r="I1481" s="388" t="s">
        <v>203</v>
      </c>
      <c r="J1481" s="399">
        <f t="shared" si="4505"/>
        <v>1.925</v>
      </c>
      <c r="K1481" s="400" t="s">
        <v>204</v>
      </c>
      <c r="L1481" s="399"/>
      <c r="M1481" s="399" t="s">
        <v>176</v>
      </c>
      <c r="N1481" s="399">
        <f t="shared" si="4700"/>
        <v>1.925</v>
      </c>
      <c r="O1481" s="399" t="s">
        <v>204</v>
      </c>
      <c r="P1481" s="389">
        <f t="shared" ref="P1481" si="4707">MAX(D1481-D1480,D1481-D1482)</f>
        <v>0</v>
      </c>
      <c r="Q1481" s="399" t="s">
        <v>125</v>
      </c>
      <c r="R1481" s="399">
        <f t="shared" ref="R1481" si="4708">IF(P1481&gt;0,2*(1-2*$F$19-1/2)*D1468/1000,0)</f>
        <v>0</v>
      </c>
      <c r="S1481" s="399" t="s">
        <v>205</v>
      </c>
      <c r="T1481" s="399" t="s">
        <v>125</v>
      </c>
      <c r="U1481" s="401">
        <f t="shared" si="4703"/>
        <v>1.5782400000000001</v>
      </c>
      <c r="V1481" s="399"/>
      <c r="W1481" s="399"/>
      <c r="X1481" s="399" t="s">
        <v>125</v>
      </c>
      <c r="Y1481" s="389">
        <f t="shared" ref="Y1481" si="4709">D1471</f>
        <v>1</v>
      </c>
      <c r="Z1481" s="400" t="s">
        <v>176</v>
      </c>
      <c r="AA1481" s="402">
        <f t="shared" ref="AA1481" si="4710">IF(AA1483=0,(D1481*N1481+P1481*R1481)*U1481*Y1481,0)</f>
        <v>0</v>
      </c>
      <c r="AB1481" s="403"/>
    </row>
    <row r="1482" spans="1:28">
      <c r="A1482" s="384" t="str">
        <f t="shared" ref="A1482:B1482" si="4711">A1465</f>
        <v>Lantai 1</v>
      </c>
      <c r="B1482" s="385">
        <f t="shared" si="4711"/>
        <v>48</v>
      </c>
      <c r="C1482" s="393" t="s">
        <v>209</v>
      </c>
      <c r="D1482" s="398">
        <f>VLOOKUP(D1465,'Detail Balok'!$C$10:$AU$140,28,FALSE)</f>
        <v>3</v>
      </c>
      <c r="E1482" s="388" t="s">
        <v>16</v>
      </c>
      <c r="F1482" s="388">
        <f>VLOOKUP(D1465,'Detail Balok'!$C$10:$AU$140,30,FALSE)</f>
        <v>16</v>
      </c>
      <c r="G1482" s="388"/>
      <c r="H1482" s="395"/>
      <c r="I1482" s="388" t="s">
        <v>203</v>
      </c>
      <c r="J1482" s="399">
        <f t="shared" si="4505"/>
        <v>0.96250000000000002</v>
      </c>
      <c r="K1482" s="400" t="s">
        <v>204</v>
      </c>
      <c r="L1482" s="399">
        <f t="shared" ref="L1482" si="4712">MAX(VLOOKUP(F1482,N$6:P$15,3,FALSE)/1000,2/3*D1470/1000)+F$16*F1482/1000</f>
        <v>0.192</v>
      </c>
      <c r="M1482" s="399" t="s">
        <v>176</v>
      </c>
      <c r="N1482" s="399">
        <f t="shared" si="4700"/>
        <v>1.1545000000000001</v>
      </c>
      <c r="O1482" s="399" t="s">
        <v>204</v>
      </c>
      <c r="P1482" s="389">
        <f t="shared" ref="P1482" si="4713">D1482-D1481</f>
        <v>0</v>
      </c>
      <c r="Q1482" s="399" t="s">
        <v>125</v>
      </c>
      <c r="R1482" s="399">
        <f t="shared" ref="R1482" si="4714">IF(P1482&gt;0,$F$18*F1482/1000,0)</f>
        <v>0</v>
      </c>
      <c r="S1482" s="399" t="s">
        <v>205</v>
      </c>
      <c r="T1482" s="399" t="s">
        <v>125</v>
      </c>
      <c r="U1482" s="401">
        <f t="shared" si="4703"/>
        <v>1.5782400000000001</v>
      </c>
      <c r="V1482" s="399"/>
      <c r="W1482" s="399"/>
      <c r="X1482" s="399" t="s">
        <v>125</v>
      </c>
      <c r="Y1482" s="389">
        <f t="shared" ref="Y1482" si="4715">D1471</f>
        <v>1</v>
      </c>
      <c r="Z1482" s="400" t="s">
        <v>176</v>
      </c>
      <c r="AA1482" s="402">
        <f t="shared" ref="AA1482" si="4716">IF(AA1483=0,(D1482*N1482+P1482*R1482)*U1482*Y1482,0)</f>
        <v>0</v>
      </c>
      <c r="AB1482" s="403"/>
    </row>
    <row r="1483" spans="1:28">
      <c r="A1483" s="384" t="str">
        <f t="shared" ref="A1483:B1483" si="4717">A1465</f>
        <v>Lantai 1</v>
      </c>
      <c r="B1483" s="385">
        <f t="shared" si="4717"/>
        <v>48</v>
      </c>
      <c r="C1483" s="393"/>
      <c r="D1483" s="398">
        <f t="shared" si="4525"/>
        <v>3</v>
      </c>
      <c r="E1483" s="388" t="s">
        <v>16</v>
      </c>
      <c r="F1483" s="388">
        <f t="shared" si="4526"/>
        <v>16</v>
      </c>
      <c r="G1483" s="388"/>
      <c r="H1483" s="395"/>
      <c r="I1483" s="388"/>
      <c r="J1483" s="396"/>
      <c r="K1483" s="396"/>
      <c r="L1483" s="404" t="s">
        <v>207</v>
      </c>
      <c r="M1483" s="399" t="s">
        <v>176</v>
      </c>
      <c r="N1483" s="399">
        <f t="shared" ref="N1483" si="4718">IF(AND(D1480=D1481,D1480=D1482,D1481=D1482,F1480=F1481,F1480=F1482,F1481=F1482),SUM(N1480:N1482),0)</f>
        <v>4.234</v>
      </c>
      <c r="O1483" s="399" t="s">
        <v>204</v>
      </c>
      <c r="P1483" s="389">
        <f t="shared" ref="P1483" si="4719">IF(N1483&gt;12,ROUNDDOWN(N1483/12,0),0)</f>
        <v>0</v>
      </c>
      <c r="Q1483" s="399" t="s">
        <v>125</v>
      </c>
      <c r="R1483" s="399">
        <f t="shared" ref="R1483" si="4720">IF(P1483&gt;0,MAX(VLOOKUP(F1483,$D$6:$G$15,3,FALSE),600),0)/1000</f>
        <v>0</v>
      </c>
      <c r="S1483" s="396"/>
      <c r="T1483" s="396" t="s">
        <v>125</v>
      </c>
      <c r="U1483" s="401">
        <f t="shared" si="4530"/>
        <v>1.5782400000000001</v>
      </c>
      <c r="V1483" s="396" t="s">
        <v>125</v>
      </c>
      <c r="W1483" s="399">
        <f t="shared" ref="W1483" si="4721">D1483</f>
        <v>3</v>
      </c>
      <c r="X1483" s="399" t="s">
        <v>125</v>
      </c>
      <c r="Y1483" s="389">
        <f t="shared" si="4532"/>
        <v>1</v>
      </c>
      <c r="Z1483" s="400" t="s">
        <v>176</v>
      </c>
      <c r="AA1483" s="402">
        <f t="shared" ref="AA1483" si="4722">(N1483+P1483*R1483/1000)*U1483*W1483*Y1483</f>
        <v>20.046804480000002</v>
      </c>
      <c r="AB1483" s="403"/>
    </row>
    <row r="1484" spans="1:28">
      <c r="A1484" s="384"/>
      <c r="B1484" s="385"/>
      <c r="C1484" s="393"/>
      <c r="D1484" s="394"/>
      <c r="E1484" s="388"/>
      <c r="F1484" s="388"/>
      <c r="G1484" s="388"/>
      <c r="H1484" s="395"/>
      <c r="I1484" s="388"/>
      <c r="J1484" s="399"/>
      <c r="K1484" s="396"/>
      <c r="L1484" s="396"/>
      <c r="M1484" s="396"/>
      <c r="N1484" s="396"/>
      <c r="O1484" s="396"/>
      <c r="P1484" s="389"/>
      <c r="Q1484" s="396"/>
      <c r="R1484" s="396"/>
      <c r="S1484" s="396"/>
      <c r="T1484" s="396"/>
      <c r="U1484" s="401"/>
      <c r="V1484" s="396"/>
      <c r="W1484" s="388"/>
      <c r="X1484" s="396"/>
      <c r="Y1484" s="389"/>
      <c r="Z1484" s="396"/>
      <c r="AA1484" s="388"/>
      <c r="AB1484" s="390"/>
    </row>
    <row r="1485" spans="1:28">
      <c r="A1485" s="384" t="str">
        <f t="shared" ref="A1485:B1485" si="4723">A1465</f>
        <v>Lantai 1</v>
      </c>
      <c r="B1485" s="385">
        <f t="shared" si="4723"/>
        <v>48</v>
      </c>
      <c r="C1485" s="393" t="s">
        <v>211</v>
      </c>
      <c r="D1485" s="398">
        <f>VLOOKUP(D1465,'Detail Balok'!$C$10:$AU$140,31,FALSE)</f>
        <v>0</v>
      </c>
      <c r="E1485" s="388" t="s">
        <v>16</v>
      </c>
      <c r="F1485" s="388">
        <f>VLOOKUP(D1465,'Detail Balok'!$C$10:$AU$140,33,FALSE)</f>
        <v>8</v>
      </c>
      <c r="G1485" s="405" t="s">
        <v>157</v>
      </c>
      <c r="H1485" s="395">
        <f>VLOOKUP(D1465,'Detail Balok'!$C$10:$AU$140,35,FALSE)</f>
        <v>150</v>
      </c>
      <c r="I1485" s="388"/>
      <c r="J1485" s="400">
        <f t="shared" ref="J1485" si="4724">(IF(D1485=0,(2*(D1466+G1466))-(F$5*8),IF(D1485=3,(2*(D1466+G1466))-(F$5*8)+(G1466-2*F$5),IF(D1485=4,(2*(D1466+G1466))-(F$5*8)+2*(G1466-2*F$5)))))/1000</f>
        <v>0.88</v>
      </c>
      <c r="K1485" s="400" t="s">
        <v>204</v>
      </c>
      <c r="L1485" s="399">
        <f t="shared" ref="L1485:L1487" si="4725">IF(D1485=0,2*MAX(6*F1485,75),(D1485-1)*2*MAX(6*F1485,75))/1000</f>
        <v>0.15</v>
      </c>
      <c r="M1485" s="399" t="s">
        <v>176</v>
      </c>
      <c r="N1485" s="399">
        <f t="shared" ref="N1485:N1487" si="4726">J1485+L1485</f>
        <v>1.03</v>
      </c>
      <c r="O1485" s="399"/>
      <c r="P1485" s="389"/>
      <c r="Q1485" s="399"/>
      <c r="R1485" s="399"/>
      <c r="S1485" s="399"/>
      <c r="T1485" s="399" t="s">
        <v>125</v>
      </c>
      <c r="U1485" s="401">
        <f t="shared" ref="U1485:U1487" si="4727">0.006165*F1485^2</f>
        <v>0.39456000000000002</v>
      </c>
      <c r="V1485" s="399" t="s">
        <v>125</v>
      </c>
      <c r="W1485" s="399">
        <f t="shared" ref="W1485" si="4728">IF(D1468&gt;4*G1466,ROUND(MAX(D1468/4,2*G1466)/H1485,0)+1,ROUND(D1468/H1485,0)+1)</f>
        <v>7</v>
      </c>
      <c r="X1485" s="399" t="s">
        <v>125</v>
      </c>
      <c r="Y1485" s="389">
        <f t="shared" ref="Y1485" si="4729">D1471</f>
        <v>1</v>
      </c>
      <c r="Z1485" s="400" t="s">
        <v>176</v>
      </c>
      <c r="AA1485" s="402">
        <f t="shared" ref="AA1485:AA1487" si="4730">N1485*U1485*W1485*Y1485</f>
        <v>2.8447776000000005</v>
      </c>
      <c r="AB1485" s="403"/>
    </row>
    <row r="1486" spans="1:28">
      <c r="A1486" s="384" t="str">
        <f t="shared" ref="A1486:B1486" si="4731">A1465</f>
        <v>Lantai 1</v>
      </c>
      <c r="B1486" s="385">
        <f t="shared" si="4731"/>
        <v>48</v>
      </c>
      <c r="C1486" s="393" t="s">
        <v>212</v>
      </c>
      <c r="D1486" s="398">
        <f>VLOOKUP(D1465,'Detail Balok'!$C$10:$AU$140,36,FALSE)</f>
        <v>0</v>
      </c>
      <c r="E1486" s="388" t="s">
        <v>16</v>
      </c>
      <c r="F1486" s="388">
        <f>VLOOKUP(D1465,'Detail Balok'!$C$10:$AU$140,38,FALSE)</f>
        <v>8</v>
      </c>
      <c r="G1486" s="405" t="s">
        <v>157</v>
      </c>
      <c r="H1486" s="395">
        <f>VLOOKUP(D1465,'Detail Balok'!$C$10:$AU$140,40,FALSE)</f>
        <v>200</v>
      </c>
      <c r="I1486" s="388"/>
      <c r="J1486" s="400">
        <f t="shared" ref="J1486" si="4732">(IF(D1486=0,(2*(D1466+G1466))-(F$5*8),IF(D1486=3,(2*(D1466+G1466))-(F$5*8)+(G1466-2*F$5),IF(D1486=4,(2*(D1466+G1466))-(F$5*8)+2*(G1466-2*F$5)))))/1000</f>
        <v>0.88</v>
      </c>
      <c r="K1486" s="400" t="s">
        <v>204</v>
      </c>
      <c r="L1486" s="399">
        <f t="shared" si="4725"/>
        <v>0.15</v>
      </c>
      <c r="M1486" s="399" t="s">
        <v>176</v>
      </c>
      <c r="N1486" s="399">
        <f t="shared" si="4726"/>
        <v>1.03</v>
      </c>
      <c r="O1486" s="399"/>
      <c r="P1486" s="389"/>
      <c r="Q1486" s="399"/>
      <c r="R1486" s="399"/>
      <c r="S1486" s="399"/>
      <c r="T1486" s="399" t="s">
        <v>125</v>
      </c>
      <c r="U1486" s="401">
        <f t="shared" si="4727"/>
        <v>0.39456000000000002</v>
      </c>
      <c r="V1486" s="399" t="s">
        <v>125</v>
      </c>
      <c r="W1486" s="399">
        <f t="shared" ref="W1486" si="4733">IF(D1468-MAX(D1468/4,2*G1466)*2&gt;0,ROUND((D1468-MAX(D1468/4,2*G1466)*2)/H1486,0),0)</f>
        <v>10</v>
      </c>
      <c r="X1486" s="399" t="s">
        <v>125</v>
      </c>
      <c r="Y1486" s="389">
        <f t="shared" ref="Y1486" si="4734">D1471</f>
        <v>1</v>
      </c>
      <c r="Z1486" s="400" t="s">
        <v>176</v>
      </c>
      <c r="AA1486" s="402">
        <f t="shared" si="4730"/>
        <v>4.0639680000000009</v>
      </c>
      <c r="AB1486" s="403"/>
    </row>
    <row r="1487" spans="1:28">
      <c r="A1487" s="384" t="str">
        <f t="shared" ref="A1487:B1487" si="4735">A1465</f>
        <v>Lantai 1</v>
      </c>
      <c r="B1487" s="385">
        <f t="shared" si="4735"/>
        <v>48</v>
      </c>
      <c r="C1487" s="393" t="s">
        <v>211</v>
      </c>
      <c r="D1487" s="398">
        <f>VLOOKUP(D1465,'Detail Balok'!$C$10:$AU$140,41,FALSE)</f>
        <v>0</v>
      </c>
      <c r="E1487" s="388" t="s">
        <v>16</v>
      </c>
      <c r="F1487" s="388">
        <f>VLOOKUP(D1465,'Detail Balok'!$C$10:$AU$140,43,FALSE)</f>
        <v>8</v>
      </c>
      <c r="G1487" s="405" t="s">
        <v>157</v>
      </c>
      <c r="H1487" s="395">
        <f>VLOOKUP(D1465,'Detail Balok'!$C$10:$AU$140,45,FALSE)</f>
        <v>150</v>
      </c>
      <c r="I1487" s="388"/>
      <c r="J1487" s="400">
        <f t="shared" ref="J1487" si="4736">(IF(D1487=0,(2*(D1466+G1466))-(F$5*8),IF(D1487=3,(2*(D1466+G1466))-(F$5*8)+(G1466-2*F$5),IF(D1487=4,(2*(D1466+G1466))-(F$5*8)+2*(G1466-2*F$5)))))/1000</f>
        <v>0.88</v>
      </c>
      <c r="K1487" s="400" t="s">
        <v>204</v>
      </c>
      <c r="L1487" s="399">
        <f t="shared" si="4725"/>
        <v>0.15</v>
      </c>
      <c r="M1487" s="399" t="s">
        <v>176</v>
      </c>
      <c r="N1487" s="399">
        <f t="shared" si="4726"/>
        <v>1.03</v>
      </c>
      <c r="O1487" s="399"/>
      <c r="P1487" s="389"/>
      <c r="Q1487" s="399"/>
      <c r="R1487" s="399"/>
      <c r="S1487" s="399"/>
      <c r="T1487" s="399" t="s">
        <v>125</v>
      </c>
      <c r="U1487" s="401">
        <f t="shared" si="4727"/>
        <v>0.39456000000000002</v>
      </c>
      <c r="V1487" s="399" t="s">
        <v>125</v>
      </c>
      <c r="W1487" s="399">
        <f t="shared" ref="W1487" si="4737">IF(D1468&gt;4*G1466,ROUND(MAX(D1468/4,2*G1466)/H1487,0)+1,0)</f>
        <v>7</v>
      </c>
      <c r="X1487" s="399" t="s">
        <v>125</v>
      </c>
      <c r="Y1487" s="389">
        <f t="shared" ref="Y1487" si="4738">D1471</f>
        <v>1</v>
      </c>
      <c r="Z1487" s="400" t="s">
        <v>176</v>
      </c>
      <c r="AA1487" s="402">
        <f t="shared" si="4730"/>
        <v>2.8447776000000005</v>
      </c>
      <c r="AB1487" s="403"/>
    </row>
    <row r="1488" spans="1:28">
      <c r="A1488" s="384"/>
      <c r="B1488" s="385"/>
      <c r="C1488" s="393"/>
      <c r="D1488" s="394"/>
      <c r="E1488" s="388"/>
      <c r="F1488" s="388"/>
      <c r="G1488" s="388"/>
      <c r="H1488" s="395"/>
      <c r="I1488" s="388"/>
      <c r="J1488" s="399"/>
      <c r="K1488" s="396"/>
      <c r="L1488" s="396"/>
      <c r="M1488" s="396"/>
      <c r="N1488" s="396"/>
      <c r="O1488" s="396"/>
      <c r="P1488" s="389"/>
      <c r="Q1488" s="396"/>
      <c r="R1488" s="396"/>
      <c r="S1488" s="396"/>
      <c r="T1488" s="396"/>
      <c r="U1488" s="401"/>
      <c r="V1488" s="396"/>
      <c r="W1488" s="388"/>
      <c r="X1488" s="396"/>
      <c r="Y1488" s="389"/>
      <c r="Z1488" s="396"/>
      <c r="AA1488" s="388"/>
      <c r="AB1488" s="390"/>
    </row>
    <row r="1489" spans="1:28">
      <c r="A1489" s="384" t="str">
        <f t="shared" ref="A1489:B1489" si="4739">A1465</f>
        <v>Lantai 1</v>
      </c>
      <c r="B1489" s="385">
        <f t="shared" si="4739"/>
        <v>48</v>
      </c>
      <c r="C1489" s="393" t="s">
        <v>213</v>
      </c>
      <c r="D1489" s="398">
        <f>VLOOKUP(D1465,'Detail Balok'!$C$10:$BJ$140,46,FALSE)</f>
        <v>0</v>
      </c>
      <c r="E1489" s="388" t="s">
        <v>16</v>
      </c>
      <c r="F1489" s="388">
        <f>VLOOKUP(D1465,'Detail Balok'!$C$10:$BJ$140,48,FALSE)</f>
        <v>0</v>
      </c>
      <c r="G1489" s="405" t="s">
        <v>157</v>
      </c>
      <c r="H1489" s="395">
        <f>VLOOKUP(D1465,'Detail Balok'!$C$10:$BJ$140,50,FALSE)</f>
        <v>100</v>
      </c>
      <c r="I1489" s="388"/>
      <c r="J1489" s="399">
        <f t="shared" ref="J1489" si="4740">(D1466-2*F$5)/1000</f>
        <v>0.12</v>
      </c>
      <c r="K1489" s="400" t="s">
        <v>204</v>
      </c>
      <c r="L1489" s="399">
        <f t="shared" ref="L1489:L1491" si="4741">IF(D1489=0,2*MAX(6*F1489,75),(D1489-1)*2*MAX(6*F1489,75))/1000</f>
        <v>0.15</v>
      </c>
      <c r="M1489" s="399" t="s">
        <v>176</v>
      </c>
      <c r="N1489" s="399">
        <f t="shared" ref="N1489:N1491" si="4742">J1489+L1489</f>
        <v>0.27</v>
      </c>
      <c r="O1489" s="399"/>
      <c r="P1489" s="399"/>
      <c r="Q1489" s="399"/>
      <c r="R1489" s="399"/>
      <c r="S1489" s="399"/>
      <c r="T1489" s="399" t="s">
        <v>125</v>
      </c>
      <c r="U1489" s="401">
        <f t="shared" ref="U1489:U1491" si="4743">0.006165*F1489^2</f>
        <v>0</v>
      </c>
      <c r="V1489" s="399" t="s">
        <v>125</v>
      </c>
      <c r="W1489" s="399">
        <f t="shared" si="4555"/>
        <v>7</v>
      </c>
      <c r="X1489" s="399" t="s">
        <v>125</v>
      </c>
      <c r="Y1489" s="389">
        <f t="shared" ref="Y1489" si="4744">D1475</f>
        <v>3</v>
      </c>
      <c r="Z1489" s="400" t="s">
        <v>176</v>
      </c>
      <c r="AA1489" s="402">
        <f t="shared" ref="AA1489:AA1491" si="4745">N1489*U1489*W1489*Y1489</f>
        <v>0</v>
      </c>
      <c r="AB1489" s="403"/>
    </row>
    <row r="1490" spans="1:28">
      <c r="A1490" s="384" t="str">
        <f t="shared" ref="A1490:B1490" si="4746">A1465</f>
        <v>Lantai 1</v>
      </c>
      <c r="B1490" s="385">
        <f t="shared" si="4746"/>
        <v>48</v>
      </c>
      <c r="C1490" s="393" t="s">
        <v>214</v>
      </c>
      <c r="D1490" s="398">
        <f>VLOOKUP(D1465,'Detail Balok'!$C$10:$BJ$140,51,FALSE)</f>
        <v>0</v>
      </c>
      <c r="E1490" s="388" t="s">
        <v>16</v>
      </c>
      <c r="F1490" s="388">
        <f>VLOOKUP(D1465,'Detail Balok'!$C$10:$BJ$140,53,FALSE)</f>
        <v>0</v>
      </c>
      <c r="G1490" s="405" t="s">
        <v>157</v>
      </c>
      <c r="H1490" s="395">
        <f>VLOOKUP(D1465,'Detail Balok'!$C$10:$BJ$140,55,FALSE)</f>
        <v>100</v>
      </c>
      <c r="I1490" s="388"/>
      <c r="J1490" s="399">
        <f t="shared" ref="J1490" si="4747">(D1466-2*F$5)/1000</f>
        <v>0.12</v>
      </c>
      <c r="K1490" s="400" t="s">
        <v>204</v>
      </c>
      <c r="L1490" s="399">
        <f t="shared" si="4741"/>
        <v>0.15</v>
      </c>
      <c r="M1490" s="399" t="s">
        <v>176</v>
      </c>
      <c r="N1490" s="399">
        <f t="shared" si="4742"/>
        <v>0.27</v>
      </c>
      <c r="O1490" s="399"/>
      <c r="P1490" s="399"/>
      <c r="Q1490" s="399"/>
      <c r="R1490" s="399"/>
      <c r="S1490" s="399"/>
      <c r="T1490" s="399" t="s">
        <v>125</v>
      </c>
      <c r="U1490" s="401">
        <f t="shared" si="4743"/>
        <v>0</v>
      </c>
      <c r="V1490" s="399" t="s">
        <v>125</v>
      </c>
      <c r="W1490" s="399">
        <f t="shared" si="4555"/>
        <v>10</v>
      </c>
      <c r="X1490" s="399" t="s">
        <v>125</v>
      </c>
      <c r="Y1490" s="389">
        <f t="shared" ref="Y1490" si="4748">D1475</f>
        <v>3</v>
      </c>
      <c r="Z1490" s="400" t="s">
        <v>176</v>
      </c>
      <c r="AA1490" s="402">
        <f t="shared" si="4745"/>
        <v>0</v>
      </c>
      <c r="AB1490" s="403"/>
    </row>
    <row r="1491" spans="1:28">
      <c r="A1491" s="384" t="str">
        <f t="shared" ref="A1491:B1491" si="4749">A1465</f>
        <v>Lantai 1</v>
      </c>
      <c r="B1491" s="385">
        <f t="shared" si="4749"/>
        <v>48</v>
      </c>
      <c r="C1491" s="393" t="s">
        <v>213</v>
      </c>
      <c r="D1491" s="398">
        <f>VLOOKUP(D1465,'Detail Balok'!$C$10:$BJ$140,56,FALSE)</f>
        <v>0</v>
      </c>
      <c r="E1491" s="388" t="s">
        <v>16</v>
      </c>
      <c r="F1491" s="388">
        <f>VLOOKUP(D1465,'Detail Balok'!$C$10:$BJ$140,58,FALSE)</f>
        <v>0</v>
      </c>
      <c r="G1491" s="405" t="s">
        <v>157</v>
      </c>
      <c r="H1491" s="395">
        <f>VLOOKUP(D1465,'Detail Balok'!$C$10:$BJ$140,60,FALSE)</f>
        <v>100</v>
      </c>
      <c r="I1491" s="388"/>
      <c r="J1491" s="399">
        <f t="shared" ref="J1491" si="4750">(D1466-2*F$5)/1000</f>
        <v>0.12</v>
      </c>
      <c r="K1491" s="400" t="s">
        <v>204</v>
      </c>
      <c r="L1491" s="399">
        <f t="shared" si="4741"/>
        <v>0.15</v>
      </c>
      <c r="M1491" s="399" t="s">
        <v>176</v>
      </c>
      <c r="N1491" s="399">
        <f t="shared" si="4742"/>
        <v>0.27</v>
      </c>
      <c r="O1491" s="399"/>
      <c r="P1491" s="399"/>
      <c r="Q1491" s="399"/>
      <c r="R1491" s="399"/>
      <c r="S1491" s="399"/>
      <c r="T1491" s="399" t="s">
        <v>125</v>
      </c>
      <c r="U1491" s="401">
        <f t="shared" si="4743"/>
        <v>0</v>
      </c>
      <c r="V1491" s="399" t="s">
        <v>125</v>
      </c>
      <c r="W1491" s="399">
        <f t="shared" si="4555"/>
        <v>7</v>
      </c>
      <c r="X1491" s="399" t="s">
        <v>125</v>
      </c>
      <c r="Y1491" s="389">
        <f t="shared" ref="Y1491" si="4751">D1475</f>
        <v>3</v>
      </c>
      <c r="Z1491" s="400" t="s">
        <v>176</v>
      </c>
      <c r="AA1491" s="402">
        <f t="shared" si="4745"/>
        <v>0</v>
      </c>
      <c r="AB1491" s="403"/>
    </row>
    <row r="1492" spans="1:28">
      <c r="A1492" s="391"/>
      <c r="B1492" s="392"/>
      <c r="C1492" s="392"/>
      <c r="D1492" s="394"/>
      <c r="E1492" s="388"/>
      <c r="F1492" s="388"/>
      <c r="G1492" s="388"/>
      <c r="H1492" s="395"/>
      <c r="I1492" s="388"/>
      <c r="J1492" s="402"/>
      <c r="K1492" s="388"/>
      <c r="L1492" s="388"/>
      <c r="M1492" s="388"/>
      <c r="N1492" s="388"/>
      <c r="O1492" s="388"/>
      <c r="P1492" s="388"/>
      <c r="Q1492" s="388"/>
      <c r="R1492" s="388"/>
      <c r="S1492" s="388"/>
      <c r="T1492" s="388"/>
      <c r="U1492" s="388"/>
      <c r="V1492" s="388"/>
      <c r="W1492" s="388"/>
      <c r="X1492" s="388"/>
      <c r="Y1492" s="389"/>
      <c r="Z1492" s="388"/>
      <c r="AA1492" s="402"/>
      <c r="AB1492" s="403"/>
    </row>
    <row r="1493" spans="1:28" ht="15.75" thickBot="1">
      <c r="A1493" s="406"/>
      <c r="B1493" s="407"/>
      <c r="C1493" s="407"/>
      <c r="D1493" s="408"/>
      <c r="E1493" s="409"/>
      <c r="F1493" s="409"/>
      <c r="G1493" s="409"/>
      <c r="H1493" s="410"/>
      <c r="I1493" s="409"/>
      <c r="J1493" s="409"/>
      <c r="K1493" s="409"/>
      <c r="L1493" s="409"/>
      <c r="M1493" s="409"/>
      <c r="N1493" s="409"/>
      <c r="O1493" s="409"/>
      <c r="P1493" s="409"/>
      <c r="Q1493" s="409"/>
      <c r="R1493" s="409"/>
      <c r="S1493" s="409"/>
      <c r="T1493" s="409"/>
      <c r="U1493" s="409"/>
      <c r="V1493" s="409"/>
      <c r="W1493" s="409"/>
      <c r="X1493" s="409"/>
      <c r="Y1493" s="411"/>
      <c r="Z1493" s="409"/>
      <c r="AA1493" s="412"/>
      <c r="AB1493" s="413"/>
    </row>
    <row r="1494" spans="1:28">
      <c r="A1494" s="377"/>
      <c r="B1494" s="378"/>
      <c r="C1494" s="378"/>
      <c r="D1494" s="379"/>
      <c r="E1494" s="380"/>
      <c r="F1494" s="380"/>
      <c r="G1494" s="380"/>
      <c r="H1494" s="381"/>
      <c r="I1494" s="380"/>
      <c r="J1494" s="380"/>
      <c r="K1494" s="380"/>
      <c r="L1494" s="380"/>
      <c r="M1494" s="380"/>
      <c r="N1494" s="380"/>
      <c r="O1494" s="380"/>
      <c r="P1494" s="380"/>
      <c r="Q1494" s="380"/>
      <c r="R1494" s="380"/>
      <c r="S1494" s="380"/>
      <c r="T1494" s="380"/>
      <c r="U1494" s="380"/>
      <c r="V1494" s="380"/>
      <c r="W1494" s="380"/>
      <c r="X1494" s="380"/>
      <c r="Y1494" s="382"/>
      <c r="Z1494" s="380"/>
      <c r="AA1494" s="380"/>
      <c r="AB1494" s="383"/>
    </row>
    <row r="1495" spans="1:28">
      <c r="A1495" s="384" t="str">
        <f t="shared" si="4564"/>
        <v>Lantai 1</v>
      </c>
      <c r="B1495" s="385">
        <f t="shared" si="4565"/>
        <v>49</v>
      </c>
      <c r="C1495" s="386" t="str">
        <f t="shared" ref="C1495" si="4752">CONCATENATE(A1495," no. ",B1495)</f>
        <v>Lantai 1 no. 49</v>
      </c>
      <c r="D1495" s="2562" t="str">
        <f>VLOOKUP(C1495,'Data Panjang Balok'!$C$9:$N$254,2,FALSE)</f>
        <v>S25-1</v>
      </c>
      <c r="E1495" s="2576"/>
      <c r="F1495" s="2576"/>
      <c r="G1495" s="2576"/>
      <c r="H1495" s="2577"/>
      <c r="I1495" s="387"/>
      <c r="J1495" s="388"/>
      <c r="K1495" s="388"/>
      <c r="L1495" s="388"/>
      <c r="M1495" s="388"/>
      <c r="N1495" s="388"/>
      <c r="O1495" s="388"/>
      <c r="P1495" s="388"/>
      <c r="Q1495" s="388"/>
      <c r="R1495" s="388"/>
      <c r="S1495" s="388"/>
      <c r="T1495" s="388"/>
      <c r="U1495" s="388"/>
      <c r="V1495" s="388"/>
      <c r="W1495" s="388"/>
      <c r="X1495" s="388"/>
      <c r="Y1495" s="389"/>
      <c r="Z1495" s="388"/>
      <c r="AA1495" s="388"/>
      <c r="AB1495" s="390"/>
    </row>
    <row r="1496" spans="1:28">
      <c r="A1496" s="391"/>
      <c r="B1496" s="392"/>
      <c r="C1496" s="393" t="s">
        <v>118</v>
      </c>
      <c r="D1496" s="2578">
        <f>VLOOKUP(D1495,'Detail Balok'!$C$10:$AU$140,2,FALSE)</f>
        <v>200</v>
      </c>
      <c r="E1496" s="2579"/>
      <c r="F1496" s="388" t="s">
        <v>125</v>
      </c>
      <c r="G1496" s="2579">
        <f>VLOOKUP(D1495,'Detail Balok'!$C$10:$AU$140,3,FALSE)</f>
        <v>500</v>
      </c>
      <c r="H1496" s="2580"/>
      <c r="I1496" s="388"/>
      <c r="J1496" s="396"/>
      <c r="K1496" s="396"/>
      <c r="L1496" s="396"/>
      <c r="M1496" s="396"/>
      <c r="N1496" s="396"/>
      <c r="O1496" s="396"/>
      <c r="P1496" s="396"/>
      <c r="Q1496" s="396"/>
      <c r="R1496" s="396"/>
      <c r="S1496" s="396"/>
      <c r="T1496" s="396"/>
      <c r="U1496" s="388"/>
      <c r="V1496" s="396"/>
      <c r="W1496" s="388"/>
      <c r="X1496" s="396"/>
      <c r="Y1496" s="389"/>
      <c r="Z1496" s="396"/>
      <c r="AA1496" s="388"/>
      <c r="AB1496" s="390"/>
    </row>
    <row r="1497" spans="1:28">
      <c r="A1497" s="391"/>
      <c r="B1497" s="392"/>
      <c r="C1497" s="393" t="s">
        <v>198</v>
      </c>
      <c r="D1497" s="2562">
        <f>VLOOKUP(C1495,'Data Panjang Balok'!$C$9:$N$254,4,FALSE)</f>
        <v>3850</v>
      </c>
      <c r="E1497" s="2563"/>
      <c r="F1497" s="2563"/>
      <c r="G1497" s="2563"/>
      <c r="H1497" s="2564"/>
      <c r="I1497" s="397"/>
      <c r="J1497" s="396"/>
      <c r="K1497" s="396"/>
      <c r="L1497" s="396"/>
      <c r="M1497" s="396"/>
      <c r="N1497" s="396"/>
      <c r="O1497" s="396"/>
      <c r="P1497" s="396"/>
      <c r="Q1497" s="396"/>
      <c r="R1497" s="396"/>
      <c r="S1497" s="396"/>
      <c r="T1497" s="396"/>
      <c r="U1497" s="388"/>
      <c r="V1497" s="396"/>
      <c r="W1497" s="388"/>
      <c r="X1497" s="396"/>
      <c r="Y1497" s="389"/>
      <c r="Z1497" s="396"/>
      <c r="AA1497" s="388"/>
      <c r="AB1497" s="390"/>
    </row>
    <row r="1498" spans="1:28">
      <c r="A1498" s="391"/>
      <c r="B1498" s="392"/>
      <c r="C1498" s="393" t="s">
        <v>199</v>
      </c>
      <c r="D1498" s="2562">
        <f>VLOOKUP(C1495,'Data Panjang Balok'!$C$9:$N$254,7,FALSE)</f>
        <v>3850</v>
      </c>
      <c r="E1498" s="2563"/>
      <c r="F1498" s="2563"/>
      <c r="G1498" s="2563"/>
      <c r="H1498" s="2564"/>
      <c r="I1498" s="397"/>
      <c r="J1498" s="396"/>
      <c r="K1498" s="396"/>
      <c r="L1498" s="396"/>
      <c r="M1498" s="396"/>
      <c r="N1498" s="396"/>
      <c r="O1498" s="396"/>
      <c r="P1498" s="396"/>
      <c r="Q1498" s="396"/>
      <c r="R1498" s="396"/>
      <c r="S1498" s="396"/>
      <c r="T1498" s="396"/>
      <c r="U1498" s="388"/>
      <c r="V1498" s="396"/>
      <c r="W1498" s="388"/>
      <c r="X1498" s="396"/>
      <c r="Y1498" s="389"/>
      <c r="Z1498" s="396"/>
      <c r="AA1498" s="388"/>
      <c r="AB1498" s="390"/>
    </row>
    <row r="1499" spans="1:28">
      <c r="A1499" s="391"/>
      <c r="B1499" s="392"/>
      <c r="C1499" s="393" t="s">
        <v>200</v>
      </c>
      <c r="D1499" s="2562">
        <f>VLOOKUP(C1495,'Data Panjang Balok'!$C$9:$N$254,9,FALSE)</f>
        <v>0</v>
      </c>
      <c r="E1499" s="2563"/>
      <c r="F1499" s="2563"/>
      <c r="G1499" s="2563"/>
      <c r="H1499" s="2564"/>
      <c r="I1499" s="397"/>
      <c r="J1499" s="396"/>
      <c r="K1499" s="396"/>
      <c r="L1499" s="396"/>
      <c r="M1499" s="396"/>
      <c r="N1499" s="396"/>
      <c r="O1499" s="396"/>
      <c r="P1499" s="396"/>
      <c r="Q1499" s="396"/>
      <c r="R1499" s="396"/>
      <c r="S1499" s="396"/>
      <c r="T1499" s="396"/>
      <c r="U1499" s="388"/>
      <c r="V1499" s="396"/>
      <c r="W1499" s="388"/>
      <c r="X1499" s="396"/>
      <c r="Y1499" s="389"/>
      <c r="Z1499" s="396"/>
      <c r="AA1499" s="388"/>
      <c r="AB1499" s="390"/>
    </row>
    <row r="1500" spans="1:28">
      <c r="A1500" s="391"/>
      <c r="B1500" s="392"/>
      <c r="C1500" s="393" t="s">
        <v>201</v>
      </c>
      <c r="D1500" s="2562">
        <f>VLOOKUP(C1495,'Data Panjang Balok'!$C$9:$N$254,10,FALSE)</f>
        <v>0</v>
      </c>
      <c r="E1500" s="2563"/>
      <c r="F1500" s="2563"/>
      <c r="G1500" s="2563"/>
      <c r="H1500" s="2564"/>
      <c r="I1500" s="397"/>
      <c r="J1500" s="396"/>
      <c r="K1500" s="396"/>
      <c r="L1500" s="396"/>
      <c r="M1500" s="396"/>
      <c r="N1500" s="396"/>
      <c r="O1500" s="396"/>
      <c r="P1500" s="396"/>
      <c r="Q1500" s="396"/>
      <c r="R1500" s="396"/>
      <c r="S1500" s="396"/>
      <c r="T1500" s="396"/>
      <c r="U1500" s="388"/>
      <c r="V1500" s="396"/>
      <c r="W1500" s="388"/>
      <c r="X1500" s="396"/>
      <c r="Y1500" s="389"/>
      <c r="Z1500" s="396"/>
      <c r="AA1500" s="388"/>
      <c r="AB1500" s="390"/>
    </row>
    <row r="1501" spans="1:28">
      <c r="A1501" s="391"/>
      <c r="B1501" s="392"/>
      <c r="C1501" s="393" t="s">
        <v>48</v>
      </c>
      <c r="D1501" s="2562">
        <f>VLOOKUP(C1495,'Data Panjang Balok'!$C$9:$N$254,3,FALSE)</f>
        <v>1</v>
      </c>
      <c r="E1501" s="2563"/>
      <c r="F1501" s="2563"/>
      <c r="G1501" s="2563"/>
      <c r="H1501" s="2564"/>
      <c r="I1501" s="397"/>
      <c r="J1501" s="396"/>
      <c r="K1501" s="396"/>
      <c r="L1501" s="396"/>
      <c r="M1501" s="396"/>
      <c r="N1501" s="396"/>
      <c r="O1501" s="396"/>
      <c r="P1501" s="396"/>
      <c r="Q1501" s="396"/>
      <c r="R1501" s="396"/>
      <c r="S1501" s="396"/>
      <c r="T1501" s="396"/>
      <c r="U1501" s="388"/>
      <c r="V1501" s="396"/>
      <c r="W1501" s="388"/>
      <c r="X1501" s="396"/>
      <c r="Y1501" s="389"/>
      <c r="Z1501" s="396"/>
      <c r="AA1501" s="388"/>
      <c r="AB1501" s="390"/>
    </row>
    <row r="1502" spans="1:28">
      <c r="A1502" s="384" t="str">
        <f t="shared" ref="A1502:B1502" si="4753">A1495</f>
        <v>Lantai 1</v>
      </c>
      <c r="B1502" s="385">
        <f t="shared" si="4753"/>
        <v>49</v>
      </c>
      <c r="C1502" s="393" t="s">
        <v>202</v>
      </c>
      <c r="D1502" s="398">
        <f>VLOOKUP(D1495,'Detail Balok'!$C$10:$AU$140,4,FALSE)</f>
        <v>3</v>
      </c>
      <c r="E1502" s="388" t="s">
        <v>16</v>
      </c>
      <c r="F1502" s="388">
        <f>VLOOKUP(D1495,'Detail Balok'!$C$10:$AU$140,6,FALSE)</f>
        <v>16</v>
      </c>
      <c r="G1502" s="388"/>
      <c r="H1502" s="395"/>
      <c r="I1502" s="388" t="s">
        <v>203</v>
      </c>
      <c r="J1502" s="399">
        <f t="shared" ref="J1502" si="4754">+D1497/4/1000</f>
        <v>0.96250000000000002</v>
      </c>
      <c r="K1502" s="400" t="s">
        <v>204</v>
      </c>
      <c r="L1502" s="399">
        <f t="shared" ref="L1502" si="4755">MAX(VLOOKUP(F1502,N$6:P$15,3,FALSE)/1000,2/3*D1499/1000)+F$16*F1502/1000</f>
        <v>0.192</v>
      </c>
      <c r="M1502" s="399" t="s">
        <v>176</v>
      </c>
      <c r="N1502" s="399">
        <f t="shared" ref="N1502:N1504" si="4756">J1502+L1502</f>
        <v>1.1545000000000001</v>
      </c>
      <c r="O1502" s="399" t="s">
        <v>204</v>
      </c>
      <c r="P1502" s="389">
        <f t="shared" ref="P1502" si="4757">D1502-D1503</f>
        <v>0</v>
      </c>
      <c r="Q1502" s="399" t="s">
        <v>125</v>
      </c>
      <c r="R1502" s="399">
        <f t="shared" ref="R1502" si="4758">IF(P1502&gt;0,$F$18*F1502/1000,0)</f>
        <v>0</v>
      </c>
      <c r="S1502" s="399" t="s">
        <v>205</v>
      </c>
      <c r="T1502" s="399" t="s">
        <v>125</v>
      </c>
      <c r="U1502" s="401">
        <f t="shared" ref="U1502:U1504" si="4759">0.006165*F1502^2</f>
        <v>1.5782400000000001</v>
      </c>
      <c r="V1502" s="399"/>
      <c r="W1502" s="399"/>
      <c r="X1502" s="399" t="s">
        <v>125</v>
      </c>
      <c r="Y1502" s="389">
        <f t="shared" ref="Y1502" si="4760">D1501</f>
        <v>1</v>
      </c>
      <c r="Z1502" s="400" t="s">
        <v>176</v>
      </c>
      <c r="AA1502" s="402">
        <f t="shared" ref="AA1502" si="4761">IF(AA1505=0,(D1502*N1502+P1502*R1502)*U1502*Y1502,0)</f>
        <v>0</v>
      </c>
      <c r="AB1502" s="403"/>
    </row>
    <row r="1503" spans="1:28">
      <c r="A1503" s="384" t="str">
        <f t="shared" ref="A1503:B1503" si="4762">A1495</f>
        <v>Lantai 1</v>
      </c>
      <c r="B1503" s="385">
        <f t="shared" si="4762"/>
        <v>49</v>
      </c>
      <c r="C1503" s="393" t="s">
        <v>206</v>
      </c>
      <c r="D1503" s="398">
        <f>VLOOKUP(D1495,'Detail Balok'!$C$10:$AU$140,7,FALSE)</f>
        <v>3</v>
      </c>
      <c r="E1503" s="388" t="s">
        <v>16</v>
      </c>
      <c r="F1503" s="388">
        <f>VLOOKUP(D1495,'Detail Balok'!$C$10:$AU$140,9,FALSE)</f>
        <v>16</v>
      </c>
      <c r="G1503" s="388"/>
      <c r="H1503" s="395"/>
      <c r="I1503" s="388" t="s">
        <v>203</v>
      </c>
      <c r="J1503" s="399">
        <f t="shared" ref="J1503" si="4763">+D1497/2/1000</f>
        <v>1.925</v>
      </c>
      <c r="K1503" s="400" t="s">
        <v>204</v>
      </c>
      <c r="L1503" s="399"/>
      <c r="M1503" s="399" t="s">
        <v>176</v>
      </c>
      <c r="N1503" s="399">
        <f t="shared" si="4756"/>
        <v>1.925</v>
      </c>
      <c r="O1503" s="399" t="s">
        <v>204</v>
      </c>
      <c r="P1503" s="389">
        <f t="shared" ref="P1503" si="4764">MAX(D1503-D1502,D1503-D1504)</f>
        <v>0</v>
      </c>
      <c r="Q1503" s="399" t="s">
        <v>125</v>
      </c>
      <c r="R1503" s="399">
        <f t="shared" ref="R1503" si="4765">IF(P1503&gt;0,2*(1-2*$F$19-1/2)*D1498/1000,0)</f>
        <v>0</v>
      </c>
      <c r="S1503" s="399" t="s">
        <v>205</v>
      </c>
      <c r="T1503" s="399" t="s">
        <v>125</v>
      </c>
      <c r="U1503" s="401">
        <f t="shared" si="4759"/>
        <v>1.5782400000000001</v>
      </c>
      <c r="V1503" s="399"/>
      <c r="W1503" s="399"/>
      <c r="X1503" s="399" t="s">
        <v>125</v>
      </c>
      <c r="Y1503" s="389">
        <f t="shared" ref="Y1503" si="4766">D1501</f>
        <v>1</v>
      </c>
      <c r="Z1503" s="400" t="s">
        <v>176</v>
      </c>
      <c r="AA1503" s="402">
        <f t="shared" ref="AA1503" si="4767">IF(AA1505=0,(D1503*N1503+P1503*R1503)*U1503*Y1503,0)</f>
        <v>0</v>
      </c>
      <c r="AB1503" s="403"/>
    </row>
    <row r="1504" spans="1:28">
      <c r="A1504" s="384" t="str">
        <f t="shared" ref="A1504:B1504" si="4768">A1495</f>
        <v>Lantai 1</v>
      </c>
      <c r="B1504" s="385">
        <f t="shared" si="4768"/>
        <v>49</v>
      </c>
      <c r="C1504" s="393" t="s">
        <v>202</v>
      </c>
      <c r="D1504" s="398">
        <f>VLOOKUP(D1495,'Detail Balok'!$C$10:$AU$140,10,FALSE)</f>
        <v>3</v>
      </c>
      <c r="E1504" s="388" t="s">
        <v>16</v>
      </c>
      <c r="F1504" s="388">
        <f>VLOOKUP(D1495,'Detail Balok'!$C$10:$AU$140,12,FALSE)</f>
        <v>16</v>
      </c>
      <c r="G1504" s="388"/>
      <c r="H1504" s="395"/>
      <c r="I1504" s="388" t="s">
        <v>203</v>
      </c>
      <c r="J1504" s="399">
        <f t="shared" ref="J1504" si="4769">+D1497/4/1000</f>
        <v>0.96250000000000002</v>
      </c>
      <c r="K1504" s="400" t="s">
        <v>204</v>
      </c>
      <c r="L1504" s="399">
        <f t="shared" ref="L1504" si="4770">MAX(VLOOKUP(F1504,N$6:P$15,3,FALSE)/1000,2/3*D1499/1000)+F$16*F1504/1000</f>
        <v>0.192</v>
      </c>
      <c r="M1504" s="399" t="s">
        <v>176</v>
      </c>
      <c r="N1504" s="399">
        <f t="shared" si="4756"/>
        <v>1.1545000000000001</v>
      </c>
      <c r="O1504" s="399" t="s">
        <v>204</v>
      </c>
      <c r="P1504" s="389">
        <f t="shared" ref="P1504" si="4771">D1504-D1503</f>
        <v>0</v>
      </c>
      <c r="Q1504" s="399" t="s">
        <v>125</v>
      </c>
      <c r="R1504" s="399">
        <f t="shared" ref="R1504" si="4772">IF(P1504&gt;0,$F$18*F1504/1000,0)</f>
        <v>0</v>
      </c>
      <c r="S1504" s="399" t="s">
        <v>205</v>
      </c>
      <c r="T1504" s="399" t="s">
        <v>125</v>
      </c>
      <c r="U1504" s="401">
        <f t="shared" si="4759"/>
        <v>1.5782400000000001</v>
      </c>
      <c r="V1504" s="399"/>
      <c r="W1504" s="399"/>
      <c r="X1504" s="399" t="s">
        <v>125</v>
      </c>
      <c r="Y1504" s="389">
        <f t="shared" ref="Y1504" si="4773">D1501</f>
        <v>1</v>
      </c>
      <c r="Z1504" s="400" t="s">
        <v>176</v>
      </c>
      <c r="AA1504" s="402">
        <f t="shared" ref="AA1504" si="4774">IF(AA1505=0,(D1504*N1504+P1504*R1504)*U1504*Y1504,0)</f>
        <v>0</v>
      </c>
      <c r="AB1504" s="403"/>
    </row>
    <row r="1505" spans="1:28">
      <c r="A1505" s="384" t="str">
        <f t="shared" ref="A1505:B1505" si="4775">A1495</f>
        <v>Lantai 1</v>
      </c>
      <c r="B1505" s="385">
        <f t="shared" si="4775"/>
        <v>49</v>
      </c>
      <c r="C1505" s="393"/>
      <c r="D1505" s="398">
        <f t="shared" ref="D1505:D1595" si="4776">IF(AND(D1502=D1503,D1503=D1504,D1502=D1504),D1502,0)</f>
        <v>3</v>
      </c>
      <c r="E1505" s="388" t="s">
        <v>16</v>
      </c>
      <c r="F1505" s="388">
        <f t="shared" ref="F1505:F1595" si="4777">IF(AND(F1502=F1503,F1502=F1504,F1503=F1504),F1502,0)</f>
        <v>16</v>
      </c>
      <c r="G1505" s="388"/>
      <c r="H1505" s="395"/>
      <c r="I1505" s="388"/>
      <c r="J1505" s="396"/>
      <c r="K1505" s="396"/>
      <c r="L1505" s="404" t="s">
        <v>207</v>
      </c>
      <c r="M1505" s="399" t="s">
        <v>176</v>
      </c>
      <c r="N1505" s="399">
        <f t="shared" ref="N1505" si="4778">IF(AND(D1502=D1503,D1502=D1504,D1503=D1504,F1502=F1503,F1502=F1504,F1503=F1504),SUM(N1502:N1504),0)</f>
        <v>4.234</v>
      </c>
      <c r="O1505" s="399" t="s">
        <v>204</v>
      </c>
      <c r="P1505" s="389">
        <f t="shared" ref="P1505" si="4779">IF(N1505&gt;12,ROUNDDOWN(N1505/12,0),0)</f>
        <v>0</v>
      </c>
      <c r="Q1505" s="399" t="s">
        <v>125</v>
      </c>
      <c r="R1505" s="399">
        <f t="shared" ref="R1505" si="4780">IF(P1505&gt;0,MAX(VLOOKUP(F1505,$D$6:$G$15,3,FALSE),600),0)/1000</f>
        <v>0</v>
      </c>
      <c r="S1505" s="396"/>
      <c r="T1505" s="396" t="s">
        <v>125</v>
      </c>
      <c r="U1505" s="401">
        <f t="shared" ref="U1505:U1595" si="4781">U1504</f>
        <v>1.5782400000000001</v>
      </c>
      <c r="V1505" s="396" t="s">
        <v>125</v>
      </c>
      <c r="W1505" s="399">
        <f t="shared" ref="W1505" si="4782">D1505</f>
        <v>3</v>
      </c>
      <c r="X1505" s="399" t="s">
        <v>125</v>
      </c>
      <c r="Y1505" s="389">
        <f t="shared" ref="Y1505:Y1595" si="4783">Y1504</f>
        <v>1</v>
      </c>
      <c r="Z1505" s="400" t="s">
        <v>176</v>
      </c>
      <c r="AA1505" s="402">
        <f t="shared" ref="AA1505" si="4784">(N1505+P1505*R1505/1000)*U1505*W1505*Y1505</f>
        <v>20.046804480000002</v>
      </c>
      <c r="AB1505" s="390"/>
    </row>
    <row r="1506" spans="1:28">
      <c r="A1506" s="384"/>
      <c r="B1506" s="385"/>
      <c r="C1506" s="393"/>
      <c r="D1506" s="398"/>
      <c r="E1506" s="388"/>
      <c r="F1506" s="388"/>
      <c r="G1506" s="388"/>
      <c r="H1506" s="395"/>
      <c r="I1506" s="388"/>
      <c r="J1506" s="396"/>
      <c r="K1506" s="396"/>
      <c r="L1506" s="404"/>
      <c r="M1506" s="399"/>
      <c r="N1506" s="399"/>
      <c r="O1506" s="396"/>
      <c r="P1506" s="389"/>
      <c r="Q1506" s="396"/>
      <c r="R1506" s="396"/>
      <c r="S1506" s="396"/>
      <c r="T1506" s="396"/>
      <c r="U1506" s="401"/>
      <c r="V1506" s="396"/>
      <c r="W1506" s="399"/>
      <c r="X1506" s="396"/>
      <c r="Y1506" s="389"/>
      <c r="Z1506" s="396"/>
      <c r="AA1506" s="388"/>
      <c r="AB1506" s="390"/>
    </row>
    <row r="1507" spans="1:28">
      <c r="A1507" s="384" t="str">
        <f t="shared" ref="A1507:B1507" si="4785">A1495</f>
        <v>Lantai 1</v>
      </c>
      <c r="B1507" s="385">
        <f t="shared" si="4785"/>
        <v>49</v>
      </c>
      <c r="C1507" s="393" t="s">
        <v>208</v>
      </c>
      <c r="D1507" s="398">
        <f>VLOOKUP(D1495,'Detail Balok'!$C$10:$AU$140,13,FALSE)</f>
        <v>2</v>
      </c>
      <c r="E1507" s="388" t="s">
        <v>16</v>
      </c>
      <c r="F1507" s="388">
        <f>VLOOKUP(D1495,'Detail Balok'!$C$10:$AU$140,15,FALSE)</f>
        <v>10</v>
      </c>
      <c r="G1507" s="388"/>
      <c r="H1507" s="395"/>
      <c r="I1507" s="388"/>
      <c r="J1507" s="399">
        <f t="shared" ref="J1507" si="4786">+D1497/1000</f>
        <v>3.85</v>
      </c>
      <c r="K1507" s="400" t="s">
        <v>204</v>
      </c>
      <c r="L1507" s="399">
        <f t="shared" ref="L1507" si="4787">2*$F$16*F1507/1000</f>
        <v>0.24</v>
      </c>
      <c r="M1507" s="399" t="s">
        <v>176</v>
      </c>
      <c r="N1507" s="399">
        <f t="shared" ref="N1507" si="4788">J1507+L1507</f>
        <v>4.09</v>
      </c>
      <c r="O1507" s="399" t="s">
        <v>204</v>
      </c>
      <c r="P1507" s="389">
        <f t="shared" ref="P1507" si="4789">IF(N1507&gt;12,ROUNDDOWN(N1507/12,0),0)</f>
        <v>0</v>
      </c>
      <c r="Q1507" s="399" t="s">
        <v>125</v>
      </c>
      <c r="R1507" s="399">
        <f t="shared" ref="R1507" si="4790">IF(P1507&gt;0,MAX(VLOOKUP(F1507,$D$6:$G$15,3,FALSE),600),0)/1000</f>
        <v>0</v>
      </c>
      <c r="S1507" s="399"/>
      <c r="T1507" s="399" t="s">
        <v>125</v>
      </c>
      <c r="U1507" s="401">
        <f t="shared" ref="U1507" si="4791">0.006165*F1507^2</f>
        <v>0.61650000000000005</v>
      </c>
      <c r="V1507" s="399" t="s">
        <v>125</v>
      </c>
      <c r="W1507" s="399">
        <f t="shared" ref="W1507" si="4792">+D1507</f>
        <v>2</v>
      </c>
      <c r="X1507" s="399" t="s">
        <v>125</v>
      </c>
      <c r="Y1507" s="389">
        <f t="shared" ref="Y1507" si="4793">D1501</f>
        <v>1</v>
      </c>
      <c r="Z1507" s="400" t="s">
        <v>176</v>
      </c>
      <c r="AA1507" s="402">
        <f t="shared" ref="AA1507" si="4794">(N1507+P1507*R1507/1000)*U1507*W1507*Y1507</f>
        <v>5.0429700000000004</v>
      </c>
      <c r="AB1507" s="403"/>
    </row>
    <row r="1508" spans="1:28">
      <c r="A1508" s="384"/>
      <c r="B1508" s="385"/>
      <c r="C1508" s="393"/>
      <c r="D1508" s="398"/>
      <c r="E1508" s="388"/>
      <c r="F1508" s="388"/>
      <c r="G1508" s="388"/>
      <c r="H1508" s="395"/>
      <c r="I1508" s="388"/>
      <c r="J1508" s="399"/>
      <c r="K1508" s="400"/>
      <c r="L1508" s="399"/>
      <c r="M1508" s="399"/>
      <c r="N1508" s="399"/>
      <c r="O1508" s="399"/>
      <c r="P1508" s="389"/>
      <c r="Q1508" s="399"/>
      <c r="R1508" s="399"/>
      <c r="S1508" s="399"/>
      <c r="T1508" s="399"/>
      <c r="U1508" s="401"/>
      <c r="V1508" s="399"/>
      <c r="W1508" s="399"/>
      <c r="X1508" s="399"/>
      <c r="Y1508" s="389"/>
      <c r="Z1508" s="400"/>
      <c r="AA1508" s="402"/>
      <c r="AB1508" s="403"/>
    </row>
    <row r="1509" spans="1:28">
      <c r="A1509" s="384"/>
      <c r="B1509" s="385"/>
      <c r="C1509" s="393"/>
      <c r="D1509" s="398"/>
      <c r="E1509" s="388"/>
      <c r="F1509" s="388"/>
      <c r="G1509" s="388"/>
      <c r="H1509" s="395"/>
      <c r="I1509" s="388"/>
      <c r="J1509" s="396"/>
      <c r="K1509" s="396"/>
      <c r="L1509" s="396"/>
      <c r="M1509" s="396"/>
      <c r="N1509" s="396"/>
      <c r="O1509" s="396"/>
      <c r="P1509" s="389"/>
      <c r="Q1509" s="396"/>
      <c r="R1509" s="396"/>
      <c r="S1509" s="396"/>
      <c r="T1509" s="396"/>
      <c r="U1509" s="401"/>
      <c r="V1509" s="396"/>
      <c r="W1509" s="399"/>
      <c r="X1509" s="396"/>
      <c r="Y1509" s="389"/>
      <c r="Z1509" s="396"/>
      <c r="AA1509" s="388"/>
      <c r="AB1509" s="390"/>
    </row>
    <row r="1510" spans="1:28">
      <c r="A1510" s="384" t="str">
        <f t="shared" ref="A1510:B1510" si="4795">A1495</f>
        <v>Lantai 1</v>
      </c>
      <c r="B1510" s="385">
        <f t="shared" si="4795"/>
        <v>49</v>
      </c>
      <c r="C1510" s="393" t="s">
        <v>209</v>
      </c>
      <c r="D1510" s="398">
        <f>VLOOKUP(D1495,'Detail Balok'!$C$10:$AU$140,22,FALSE)</f>
        <v>3</v>
      </c>
      <c r="E1510" s="388" t="s">
        <v>16</v>
      </c>
      <c r="F1510" s="388">
        <f>VLOOKUP(D1495,'Detail Balok'!$C$10:$AU$140,24,FALSE)</f>
        <v>16</v>
      </c>
      <c r="G1510" s="388"/>
      <c r="H1510" s="395"/>
      <c r="I1510" s="388" t="s">
        <v>203</v>
      </c>
      <c r="J1510" s="399">
        <f t="shared" ref="J1510:J1602" si="4796">+J1502</f>
        <v>0.96250000000000002</v>
      </c>
      <c r="K1510" s="400" t="s">
        <v>204</v>
      </c>
      <c r="L1510" s="399">
        <f t="shared" ref="L1510" si="4797">MAX(VLOOKUP(F1510,N$6:P$15,3,FALSE)/1000,2/3*D1500/1000)+F$16*F1510/1000</f>
        <v>0.192</v>
      </c>
      <c r="M1510" s="399" t="s">
        <v>176</v>
      </c>
      <c r="N1510" s="399">
        <f t="shared" ref="N1510:N1512" si="4798">J1510+L1510</f>
        <v>1.1545000000000001</v>
      </c>
      <c r="O1510" s="399" t="s">
        <v>204</v>
      </c>
      <c r="P1510" s="389">
        <f t="shared" ref="P1510" si="4799">D1510-D1511</f>
        <v>0</v>
      </c>
      <c r="Q1510" s="399" t="s">
        <v>125</v>
      </c>
      <c r="R1510" s="399">
        <f t="shared" ref="R1510" si="4800">IF(P1510&gt;0,$F$18*F1510/1000,0)</f>
        <v>0</v>
      </c>
      <c r="S1510" s="399" t="s">
        <v>205</v>
      </c>
      <c r="T1510" s="399" t="s">
        <v>125</v>
      </c>
      <c r="U1510" s="401">
        <f t="shared" ref="U1510:U1512" si="4801">0.006165*F1510^2</f>
        <v>1.5782400000000001</v>
      </c>
      <c r="V1510" s="399"/>
      <c r="W1510" s="399"/>
      <c r="X1510" s="399" t="s">
        <v>125</v>
      </c>
      <c r="Y1510" s="389">
        <f t="shared" ref="Y1510" si="4802">D1501</f>
        <v>1</v>
      </c>
      <c r="Z1510" s="400" t="s">
        <v>176</v>
      </c>
      <c r="AA1510" s="402">
        <f t="shared" ref="AA1510" si="4803">IF(AA1513=0,(D1510*N1510+P1510*R1510)*U1510*Y1510,0)</f>
        <v>0</v>
      </c>
      <c r="AB1510" s="403"/>
    </row>
    <row r="1511" spans="1:28">
      <c r="A1511" s="384" t="str">
        <f t="shared" ref="A1511:B1511" si="4804">A1495</f>
        <v>Lantai 1</v>
      </c>
      <c r="B1511" s="385">
        <f t="shared" si="4804"/>
        <v>49</v>
      </c>
      <c r="C1511" s="393" t="s">
        <v>210</v>
      </c>
      <c r="D1511" s="398">
        <f>VLOOKUP(D1495,'Detail Balok'!$C$10:$AU$140,25,FALSE)</f>
        <v>3</v>
      </c>
      <c r="E1511" s="388" t="s">
        <v>16</v>
      </c>
      <c r="F1511" s="388">
        <f>VLOOKUP(D1495,'Detail Balok'!$C$10:$AU$140,27,FALSE)</f>
        <v>16</v>
      </c>
      <c r="G1511" s="388"/>
      <c r="H1511" s="395"/>
      <c r="I1511" s="388" t="s">
        <v>203</v>
      </c>
      <c r="J1511" s="399">
        <f t="shared" si="4796"/>
        <v>1.925</v>
      </c>
      <c r="K1511" s="400" t="s">
        <v>204</v>
      </c>
      <c r="L1511" s="399"/>
      <c r="M1511" s="399" t="s">
        <v>176</v>
      </c>
      <c r="N1511" s="399">
        <f t="shared" si="4798"/>
        <v>1.925</v>
      </c>
      <c r="O1511" s="399" t="s">
        <v>204</v>
      </c>
      <c r="P1511" s="389">
        <f t="shared" ref="P1511" si="4805">MAX(D1511-D1510,D1511-D1512)</f>
        <v>0</v>
      </c>
      <c r="Q1511" s="399" t="s">
        <v>125</v>
      </c>
      <c r="R1511" s="399">
        <f t="shared" ref="R1511" si="4806">IF(P1511&gt;0,2*(1-2*$F$19-1/2)*D1498/1000,0)</f>
        <v>0</v>
      </c>
      <c r="S1511" s="399" t="s">
        <v>205</v>
      </c>
      <c r="T1511" s="399" t="s">
        <v>125</v>
      </c>
      <c r="U1511" s="401">
        <f t="shared" si="4801"/>
        <v>1.5782400000000001</v>
      </c>
      <c r="V1511" s="399"/>
      <c r="W1511" s="399"/>
      <c r="X1511" s="399" t="s">
        <v>125</v>
      </c>
      <c r="Y1511" s="389">
        <f t="shared" ref="Y1511" si="4807">D1501</f>
        <v>1</v>
      </c>
      <c r="Z1511" s="400" t="s">
        <v>176</v>
      </c>
      <c r="AA1511" s="402">
        <f t="shared" ref="AA1511" si="4808">IF(AA1513=0,(D1511*N1511+P1511*R1511)*U1511*Y1511,0)</f>
        <v>0</v>
      </c>
      <c r="AB1511" s="403"/>
    </row>
    <row r="1512" spans="1:28">
      <c r="A1512" s="384" t="str">
        <f t="shared" ref="A1512:B1512" si="4809">A1495</f>
        <v>Lantai 1</v>
      </c>
      <c r="B1512" s="385">
        <f t="shared" si="4809"/>
        <v>49</v>
      </c>
      <c r="C1512" s="393" t="s">
        <v>209</v>
      </c>
      <c r="D1512" s="398">
        <f>VLOOKUP(D1495,'Detail Balok'!$C$10:$AU$140,28,FALSE)</f>
        <v>3</v>
      </c>
      <c r="E1512" s="388" t="s">
        <v>16</v>
      </c>
      <c r="F1512" s="388">
        <f>VLOOKUP(D1495,'Detail Balok'!$C$10:$AU$140,30,FALSE)</f>
        <v>16</v>
      </c>
      <c r="G1512" s="388"/>
      <c r="H1512" s="395"/>
      <c r="I1512" s="388" t="s">
        <v>203</v>
      </c>
      <c r="J1512" s="399">
        <f t="shared" si="4796"/>
        <v>0.96250000000000002</v>
      </c>
      <c r="K1512" s="400" t="s">
        <v>204</v>
      </c>
      <c r="L1512" s="399">
        <f t="shared" ref="L1512" si="4810">MAX(VLOOKUP(F1512,N$6:P$15,3,FALSE)/1000,2/3*D1500/1000)+F$16*F1512/1000</f>
        <v>0.192</v>
      </c>
      <c r="M1512" s="399" t="s">
        <v>176</v>
      </c>
      <c r="N1512" s="399">
        <f t="shared" si="4798"/>
        <v>1.1545000000000001</v>
      </c>
      <c r="O1512" s="399" t="s">
        <v>204</v>
      </c>
      <c r="P1512" s="389">
        <f t="shared" ref="P1512" si="4811">D1512-D1511</f>
        <v>0</v>
      </c>
      <c r="Q1512" s="399" t="s">
        <v>125</v>
      </c>
      <c r="R1512" s="399">
        <f t="shared" ref="R1512" si="4812">IF(P1512&gt;0,$F$18*F1512/1000,0)</f>
        <v>0</v>
      </c>
      <c r="S1512" s="399" t="s">
        <v>205</v>
      </c>
      <c r="T1512" s="399" t="s">
        <v>125</v>
      </c>
      <c r="U1512" s="401">
        <f t="shared" si="4801"/>
        <v>1.5782400000000001</v>
      </c>
      <c r="V1512" s="399"/>
      <c r="W1512" s="399"/>
      <c r="X1512" s="399" t="s">
        <v>125</v>
      </c>
      <c r="Y1512" s="389">
        <f t="shared" ref="Y1512" si="4813">D1501</f>
        <v>1</v>
      </c>
      <c r="Z1512" s="400" t="s">
        <v>176</v>
      </c>
      <c r="AA1512" s="402">
        <f t="shared" ref="AA1512" si="4814">IF(AA1513=0,(D1512*N1512+P1512*R1512)*U1512*Y1512,0)</f>
        <v>0</v>
      </c>
      <c r="AB1512" s="403"/>
    </row>
    <row r="1513" spans="1:28">
      <c r="A1513" s="384" t="str">
        <f t="shared" ref="A1513:B1513" si="4815">A1495</f>
        <v>Lantai 1</v>
      </c>
      <c r="B1513" s="385">
        <f t="shared" si="4815"/>
        <v>49</v>
      </c>
      <c r="C1513" s="393"/>
      <c r="D1513" s="398">
        <f t="shared" ref="D1513:D1603" si="4816">IF(AND(D1510=D1511,D1511=D1512,D1510=D1512),D1510,0)</f>
        <v>3</v>
      </c>
      <c r="E1513" s="388" t="s">
        <v>16</v>
      </c>
      <c r="F1513" s="388">
        <f t="shared" ref="F1513:F1603" si="4817">IF(AND(F1510=F1511,F1510=F1512,F1511=F1512),F1510,0)</f>
        <v>16</v>
      </c>
      <c r="G1513" s="388"/>
      <c r="H1513" s="395"/>
      <c r="I1513" s="388"/>
      <c r="J1513" s="396"/>
      <c r="K1513" s="396"/>
      <c r="L1513" s="404" t="s">
        <v>207</v>
      </c>
      <c r="M1513" s="399" t="s">
        <v>176</v>
      </c>
      <c r="N1513" s="399">
        <f t="shared" ref="N1513" si="4818">IF(AND(D1510=D1511,D1510=D1512,D1511=D1512,F1510=F1511,F1510=F1512,F1511=F1512),SUM(N1510:N1512),0)</f>
        <v>4.234</v>
      </c>
      <c r="O1513" s="399" t="s">
        <v>204</v>
      </c>
      <c r="P1513" s="389">
        <f t="shared" ref="P1513" si="4819">IF(N1513&gt;12,ROUNDDOWN(N1513/12,0),0)</f>
        <v>0</v>
      </c>
      <c r="Q1513" s="399" t="s">
        <v>125</v>
      </c>
      <c r="R1513" s="399">
        <f t="shared" ref="R1513" si="4820">IF(P1513&gt;0,MAX(VLOOKUP(F1513,$D$6:$G$15,3,FALSE),600),0)/1000</f>
        <v>0</v>
      </c>
      <c r="S1513" s="396"/>
      <c r="T1513" s="396" t="s">
        <v>125</v>
      </c>
      <c r="U1513" s="401">
        <f t="shared" ref="U1513:U1603" si="4821">U1512</f>
        <v>1.5782400000000001</v>
      </c>
      <c r="V1513" s="396" t="s">
        <v>125</v>
      </c>
      <c r="W1513" s="399">
        <f t="shared" ref="W1513" si="4822">D1513</f>
        <v>3</v>
      </c>
      <c r="X1513" s="399" t="s">
        <v>125</v>
      </c>
      <c r="Y1513" s="389">
        <f t="shared" ref="Y1513:Y1603" si="4823">Y1512</f>
        <v>1</v>
      </c>
      <c r="Z1513" s="400" t="s">
        <v>176</v>
      </c>
      <c r="AA1513" s="402">
        <f t="shared" ref="AA1513" si="4824">(N1513+P1513*R1513/1000)*U1513*W1513*Y1513</f>
        <v>20.046804480000002</v>
      </c>
      <c r="AB1513" s="403"/>
    </row>
    <row r="1514" spans="1:28">
      <c r="A1514" s="384"/>
      <c r="B1514" s="385"/>
      <c r="C1514" s="393"/>
      <c r="D1514" s="394"/>
      <c r="E1514" s="388"/>
      <c r="F1514" s="388"/>
      <c r="G1514" s="388"/>
      <c r="H1514" s="395"/>
      <c r="I1514" s="388"/>
      <c r="J1514" s="399"/>
      <c r="K1514" s="396"/>
      <c r="L1514" s="396"/>
      <c r="M1514" s="396"/>
      <c r="N1514" s="396"/>
      <c r="O1514" s="396"/>
      <c r="P1514" s="389"/>
      <c r="Q1514" s="396"/>
      <c r="R1514" s="396"/>
      <c r="S1514" s="396"/>
      <c r="T1514" s="396"/>
      <c r="U1514" s="401"/>
      <c r="V1514" s="396"/>
      <c r="W1514" s="388"/>
      <c r="X1514" s="396"/>
      <c r="Y1514" s="389"/>
      <c r="Z1514" s="396"/>
      <c r="AA1514" s="388"/>
      <c r="AB1514" s="390"/>
    </row>
    <row r="1515" spans="1:28">
      <c r="A1515" s="384" t="str">
        <f t="shared" ref="A1515:B1515" si="4825">A1495</f>
        <v>Lantai 1</v>
      </c>
      <c r="B1515" s="385">
        <f t="shared" si="4825"/>
        <v>49</v>
      </c>
      <c r="C1515" s="393" t="s">
        <v>211</v>
      </c>
      <c r="D1515" s="398">
        <f>VLOOKUP(D1495,'Detail Balok'!$C$10:$AU$140,31,FALSE)</f>
        <v>0</v>
      </c>
      <c r="E1515" s="388" t="s">
        <v>16</v>
      </c>
      <c r="F1515" s="388">
        <f>VLOOKUP(D1495,'Detail Balok'!$C$10:$AU$140,33,FALSE)</f>
        <v>8</v>
      </c>
      <c r="G1515" s="405" t="s">
        <v>157</v>
      </c>
      <c r="H1515" s="395">
        <f>VLOOKUP(D1495,'Detail Balok'!$C$10:$AU$140,35,FALSE)</f>
        <v>150</v>
      </c>
      <c r="I1515" s="388"/>
      <c r="J1515" s="400">
        <f t="shared" ref="J1515" si="4826">(IF(D1515=0,(2*(D1496+G1496))-(F$5*8),IF(D1515=3,(2*(D1496+G1496))-(F$5*8)+(G1496-2*F$5),IF(D1515=4,(2*(D1496+G1496))-(F$5*8)+2*(G1496-2*F$5)))))/1000</f>
        <v>1.08</v>
      </c>
      <c r="K1515" s="400" t="s">
        <v>204</v>
      </c>
      <c r="L1515" s="399">
        <f t="shared" ref="L1515:L1517" si="4827">IF(D1515=0,2*MAX(6*F1515,75),(D1515-1)*2*MAX(6*F1515,75))/1000</f>
        <v>0.15</v>
      </c>
      <c r="M1515" s="399" t="s">
        <v>176</v>
      </c>
      <c r="N1515" s="399">
        <f t="shared" ref="N1515:N1517" si="4828">J1515+L1515</f>
        <v>1.23</v>
      </c>
      <c r="O1515" s="399"/>
      <c r="P1515" s="389"/>
      <c r="Q1515" s="399"/>
      <c r="R1515" s="399"/>
      <c r="S1515" s="399"/>
      <c r="T1515" s="399" t="s">
        <v>125</v>
      </c>
      <c r="U1515" s="401">
        <f t="shared" ref="U1515:U1517" si="4829">0.006165*F1515^2</f>
        <v>0.39456000000000002</v>
      </c>
      <c r="V1515" s="399" t="s">
        <v>125</v>
      </c>
      <c r="W1515" s="399">
        <f t="shared" ref="W1515" si="4830">IF(D1498&gt;4*G1496,ROUND(MAX(D1498/4,2*G1496)/H1515,0)+1,ROUND(D1498/H1515,0)+1)</f>
        <v>8</v>
      </c>
      <c r="X1515" s="399" t="s">
        <v>125</v>
      </c>
      <c r="Y1515" s="389">
        <f t="shared" ref="Y1515" si="4831">D1501</f>
        <v>1</v>
      </c>
      <c r="Z1515" s="400" t="s">
        <v>176</v>
      </c>
      <c r="AA1515" s="402">
        <f t="shared" ref="AA1515:AA1517" si="4832">N1515*U1515*W1515*Y1515</f>
        <v>3.8824704000000003</v>
      </c>
      <c r="AB1515" s="403"/>
    </row>
    <row r="1516" spans="1:28">
      <c r="A1516" s="384" t="str">
        <f t="shared" ref="A1516:B1516" si="4833">A1495</f>
        <v>Lantai 1</v>
      </c>
      <c r="B1516" s="385">
        <f t="shared" si="4833"/>
        <v>49</v>
      </c>
      <c r="C1516" s="393" t="s">
        <v>212</v>
      </c>
      <c r="D1516" s="398">
        <f>VLOOKUP(D1495,'Detail Balok'!$C$10:$AU$140,36,FALSE)</f>
        <v>0</v>
      </c>
      <c r="E1516" s="388" t="s">
        <v>16</v>
      </c>
      <c r="F1516" s="388">
        <f>VLOOKUP(D1495,'Detail Balok'!$C$10:$AU$140,38,FALSE)</f>
        <v>8</v>
      </c>
      <c r="G1516" s="405" t="s">
        <v>157</v>
      </c>
      <c r="H1516" s="395">
        <f>VLOOKUP(D1495,'Detail Balok'!$C$10:$AU$140,40,FALSE)</f>
        <v>200</v>
      </c>
      <c r="I1516" s="388"/>
      <c r="J1516" s="400">
        <f t="shared" ref="J1516" si="4834">(IF(D1516=0,(2*(D1496+G1496))-(F$5*8),IF(D1516=3,(2*(D1496+G1496))-(F$5*8)+(G1496-2*F$5),IF(D1516=4,(2*(D1496+G1496))-(F$5*8)+2*(G1496-2*F$5)))))/1000</f>
        <v>1.08</v>
      </c>
      <c r="K1516" s="400" t="s">
        <v>204</v>
      </c>
      <c r="L1516" s="399">
        <f t="shared" si="4827"/>
        <v>0.15</v>
      </c>
      <c r="M1516" s="399" t="s">
        <v>176</v>
      </c>
      <c r="N1516" s="399">
        <f t="shared" si="4828"/>
        <v>1.23</v>
      </c>
      <c r="O1516" s="399"/>
      <c r="P1516" s="389"/>
      <c r="Q1516" s="399"/>
      <c r="R1516" s="399"/>
      <c r="S1516" s="399"/>
      <c r="T1516" s="399" t="s">
        <v>125</v>
      </c>
      <c r="U1516" s="401">
        <f t="shared" si="4829"/>
        <v>0.39456000000000002</v>
      </c>
      <c r="V1516" s="399" t="s">
        <v>125</v>
      </c>
      <c r="W1516" s="399">
        <f t="shared" ref="W1516" si="4835">IF(D1498-MAX(D1498/4,2*G1496)*2&gt;0,ROUND((D1498-MAX(D1498/4,2*G1496)*2)/H1516,0),0)</f>
        <v>9</v>
      </c>
      <c r="X1516" s="399" t="s">
        <v>125</v>
      </c>
      <c r="Y1516" s="389">
        <f t="shared" ref="Y1516" si="4836">D1501</f>
        <v>1</v>
      </c>
      <c r="Z1516" s="400" t="s">
        <v>176</v>
      </c>
      <c r="AA1516" s="402">
        <f t="shared" si="4832"/>
        <v>4.3677792000000002</v>
      </c>
      <c r="AB1516" s="403"/>
    </row>
    <row r="1517" spans="1:28">
      <c r="A1517" s="384" t="str">
        <f t="shared" ref="A1517:B1517" si="4837">A1495</f>
        <v>Lantai 1</v>
      </c>
      <c r="B1517" s="385">
        <f t="shared" si="4837"/>
        <v>49</v>
      </c>
      <c r="C1517" s="393" t="s">
        <v>211</v>
      </c>
      <c r="D1517" s="398">
        <f>VLOOKUP(D1495,'Detail Balok'!$C$10:$AU$140,41,FALSE)</f>
        <v>0</v>
      </c>
      <c r="E1517" s="388" t="s">
        <v>16</v>
      </c>
      <c r="F1517" s="388">
        <f>VLOOKUP(D1495,'Detail Balok'!$C$10:$AU$140,43,FALSE)</f>
        <v>8</v>
      </c>
      <c r="G1517" s="405" t="s">
        <v>157</v>
      </c>
      <c r="H1517" s="395">
        <f>VLOOKUP(D1495,'Detail Balok'!$C$10:$AU$140,45,FALSE)</f>
        <v>150</v>
      </c>
      <c r="I1517" s="388"/>
      <c r="J1517" s="400">
        <f t="shared" ref="J1517" si="4838">(IF(D1517=0,(2*(D1496+G1496))-(F$5*8),IF(D1517=3,(2*(D1496+G1496))-(F$5*8)+(G1496-2*F$5),IF(D1517=4,(2*(D1496+G1496))-(F$5*8)+2*(G1496-2*F$5)))))/1000</f>
        <v>1.08</v>
      </c>
      <c r="K1517" s="400" t="s">
        <v>204</v>
      </c>
      <c r="L1517" s="399">
        <f t="shared" si="4827"/>
        <v>0.15</v>
      </c>
      <c r="M1517" s="399" t="s">
        <v>176</v>
      </c>
      <c r="N1517" s="399">
        <f t="shared" si="4828"/>
        <v>1.23</v>
      </c>
      <c r="O1517" s="399"/>
      <c r="P1517" s="389"/>
      <c r="Q1517" s="399"/>
      <c r="R1517" s="399"/>
      <c r="S1517" s="399"/>
      <c r="T1517" s="399" t="s">
        <v>125</v>
      </c>
      <c r="U1517" s="401">
        <f t="shared" si="4829"/>
        <v>0.39456000000000002</v>
      </c>
      <c r="V1517" s="399" t="s">
        <v>125</v>
      </c>
      <c r="W1517" s="399">
        <f t="shared" ref="W1517" si="4839">IF(D1498&gt;4*G1496,ROUND(MAX(D1498/4,2*G1496)/H1517,0)+1,0)</f>
        <v>8</v>
      </c>
      <c r="X1517" s="399" t="s">
        <v>125</v>
      </c>
      <c r="Y1517" s="389">
        <f t="shared" ref="Y1517" si="4840">D1501</f>
        <v>1</v>
      </c>
      <c r="Z1517" s="400" t="s">
        <v>176</v>
      </c>
      <c r="AA1517" s="402">
        <f t="shared" si="4832"/>
        <v>3.8824704000000003</v>
      </c>
      <c r="AB1517" s="403"/>
    </row>
    <row r="1518" spans="1:28">
      <c r="A1518" s="384"/>
      <c r="B1518" s="385"/>
      <c r="C1518" s="393"/>
      <c r="D1518" s="394"/>
      <c r="E1518" s="388"/>
      <c r="F1518" s="388"/>
      <c r="G1518" s="388"/>
      <c r="H1518" s="395"/>
      <c r="I1518" s="388"/>
      <c r="J1518" s="399"/>
      <c r="K1518" s="396"/>
      <c r="L1518" s="396"/>
      <c r="M1518" s="396"/>
      <c r="N1518" s="396"/>
      <c r="O1518" s="396"/>
      <c r="P1518" s="389"/>
      <c r="Q1518" s="396"/>
      <c r="R1518" s="396"/>
      <c r="S1518" s="396"/>
      <c r="T1518" s="396"/>
      <c r="U1518" s="401"/>
      <c r="V1518" s="396"/>
      <c r="W1518" s="388"/>
      <c r="X1518" s="396"/>
      <c r="Y1518" s="389"/>
      <c r="Z1518" s="396"/>
      <c r="AA1518" s="388"/>
      <c r="AB1518" s="390"/>
    </row>
    <row r="1519" spans="1:28">
      <c r="A1519" s="384" t="str">
        <f t="shared" ref="A1519:B1519" si="4841">A1495</f>
        <v>Lantai 1</v>
      </c>
      <c r="B1519" s="385">
        <f t="shared" si="4841"/>
        <v>49</v>
      </c>
      <c r="C1519" s="393" t="s">
        <v>213</v>
      </c>
      <c r="D1519" s="398">
        <f>VLOOKUP(D1495,'Detail Balok'!$C$10:$BJ$140,46,FALSE)</f>
        <v>0</v>
      </c>
      <c r="E1519" s="388" t="s">
        <v>16</v>
      </c>
      <c r="F1519" s="388">
        <f>VLOOKUP(D1495,'Detail Balok'!$C$10:$BJ$140,48,FALSE)</f>
        <v>0</v>
      </c>
      <c r="G1519" s="405" t="s">
        <v>157</v>
      </c>
      <c r="H1519" s="395">
        <f>VLOOKUP(D1495,'Detail Balok'!$C$10:$BJ$140,50,FALSE)</f>
        <v>100</v>
      </c>
      <c r="I1519" s="388"/>
      <c r="J1519" s="399">
        <f t="shared" ref="J1519" si="4842">(D1496-2*F$5)/1000</f>
        <v>0.12</v>
      </c>
      <c r="K1519" s="400" t="s">
        <v>204</v>
      </c>
      <c r="L1519" s="399">
        <f t="shared" ref="L1519:L1521" si="4843">IF(D1519=0,2*MAX(6*F1519,75),(D1519-1)*2*MAX(6*F1519,75))/1000</f>
        <v>0.15</v>
      </c>
      <c r="M1519" s="399" t="s">
        <v>176</v>
      </c>
      <c r="N1519" s="399">
        <f t="shared" ref="N1519:N1521" si="4844">J1519+L1519</f>
        <v>0.27</v>
      </c>
      <c r="O1519" s="399"/>
      <c r="P1519" s="399"/>
      <c r="Q1519" s="399"/>
      <c r="R1519" s="399"/>
      <c r="S1519" s="399"/>
      <c r="T1519" s="399" t="s">
        <v>125</v>
      </c>
      <c r="U1519" s="401">
        <f t="shared" ref="U1519:U1521" si="4845">0.006165*F1519^2</f>
        <v>0</v>
      </c>
      <c r="V1519" s="399" t="s">
        <v>125</v>
      </c>
      <c r="W1519" s="399">
        <f t="shared" ref="W1519:W1611" si="4846">W1515</f>
        <v>8</v>
      </c>
      <c r="X1519" s="399" t="s">
        <v>125</v>
      </c>
      <c r="Y1519" s="389">
        <f t="shared" ref="Y1519" si="4847">D1505</f>
        <v>3</v>
      </c>
      <c r="Z1519" s="400" t="s">
        <v>176</v>
      </c>
      <c r="AA1519" s="402">
        <f t="shared" ref="AA1519:AA1521" si="4848">N1519*U1519*W1519*Y1519</f>
        <v>0</v>
      </c>
      <c r="AB1519" s="403"/>
    </row>
    <row r="1520" spans="1:28">
      <c r="A1520" s="384" t="str">
        <f t="shared" ref="A1520:B1520" si="4849">A1495</f>
        <v>Lantai 1</v>
      </c>
      <c r="B1520" s="385">
        <f t="shared" si="4849"/>
        <v>49</v>
      </c>
      <c r="C1520" s="393" t="s">
        <v>214</v>
      </c>
      <c r="D1520" s="398">
        <f>VLOOKUP(D1495,'Detail Balok'!$C$10:$BJ$140,51,FALSE)</f>
        <v>0</v>
      </c>
      <c r="E1520" s="388" t="s">
        <v>16</v>
      </c>
      <c r="F1520" s="388">
        <f>VLOOKUP(D1495,'Detail Balok'!$C$10:$BJ$140,53,FALSE)</f>
        <v>0</v>
      </c>
      <c r="G1520" s="405" t="s">
        <v>157</v>
      </c>
      <c r="H1520" s="395">
        <f>VLOOKUP(D1495,'Detail Balok'!$C$10:$BJ$140,55,FALSE)</f>
        <v>100</v>
      </c>
      <c r="I1520" s="388"/>
      <c r="J1520" s="399">
        <f t="shared" ref="J1520" si="4850">(D1496-2*F$5)/1000</f>
        <v>0.12</v>
      </c>
      <c r="K1520" s="400" t="s">
        <v>204</v>
      </c>
      <c r="L1520" s="399">
        <f t="shared" si="4843"/>
        <v>0.15</v>
      </c>
      <c r="M1520" s="399" t="s">
        <v>176</v>
      </c>
      <c r="N1520" s="399">
        <f t="shared" si="4844"/>
        <v>0.27</v>
      </c>
      <c r="O1520" s="399"/>
      <c r="P1520" s="399"/>
      <c r="Q1520" s="399"/>
      <c r="R1520" s="399"/>
      <c r="S1520" s="399"/>
      <c r="T1520" s="399" t="s">
        <v>125</v>
      </c>
      <c r="U1520" s="401">
        <f t="shared" si="4845"/>
        <v>0</v>
      </c>
      <c r="V1520" s="399" t="s">
        <v>125</v>
      </c>
      <c r="W1520" s="399">
        <f t="shared" si="4846"/>
        <v>9</v>
      </c>
      <c r="X1520" s="399" t="s">
        <v>125</v>
      </c>
      <c r="Y1520" s="389">
        <f t="shared" ref="Y1520" si="4851">D1505</f>
        <v>3</v>
      </c>
      <c r="Z1520" s="400" t="s">
        <v>176</v>
      </c>
      <c r="AA1520" s="402">
        <f t="shared" si="4848"/>
        <v>0</v>
      </c>
      <c r="AB1520" s="403"/>
    </row>
    <row r="1521" spans="1:28">
      <c r="A1521" s="384" t="str">
        <f t="shared" ref="A1521:B1521" si="4852">A1495</f>
        <v>Lantai 1</v>
      </c>
      <c r="B1521" s="385">
        <f t="shared" si="4852"/>
        <v>49</v>
      </c>
      <c r="C1521" s="393" t="s">
        <v>213</v>
      </c>
      <c r="D1521" s="398">
        <f>VLOOKUP(D1495,'Detail Balok'!$C$10:$BJ$140,56,FALSE)</f>
        <v>0</v>
      </c>
      <c r="E1521" s="388" t="s">
        <v>16</v>
      </c>
      <c r="F1521" s="388">
        <f>VLOOKUP(D1495,'Detail Balok'!$C$10:$BJ$140,58,FALSE)</f>
        <v>0</v>
      </c>
      <c r="G1521" s="405" t="s">
        <v>157</v>
      </c>
      <c r="H1521" s="395">
        <f>VLOOKUP(D1495,'Detail Balok'!$C$10:$BJ$140,60,FALSE)</f>
        <v>100</v>
      </c>
      <c r="I1521" s="388"/>
      <c r="J1521" s="399">
        <f t="shared" ref="J1521" si="4853">(D1496-2*F$5)/1000</f>
        <v>0.12</v>
      </c>
      <c r="K1521" s="400" t="s">
        <v>204</v>
      </c>
      <c r="L1521" s="399">
        <f t="shared" si="4843"/>
        <v>0.15</v>
      </c>
      <c r="M1521" s="399" t="s">
        <v>176</v>
      </c>
      <c r="N1521" s="399">
        <f t="shared" si="4844"/>
        <v>0.27</v>
      </c>
      <c r="O1521" s="399"/>
      <c r="P1521" s="399"/>
      <c r="Q1521" s="399"/>
      <c r="R1521" s="399"/>
      <c r="S1521" s="399"/>
      <c r="T1521" s="399" t="s">
        <v>125</v>
      </c>
      <c r="U1521" s="401">
        <f t="shared" si="4845"/>
        <v>0</v>
      </c>
      <c r="V1521" s="399" t="s">
        <v>125</v>
      </c>
      <c r="W1521" s="399">
        <f t="shared" si="4846"/>
        <v>8</v>
      </c>
      <c r="X1521" s="399" t="s">
        <v>125</v>
      </c>
      <c r="Y1521" s="389">
        <f t="shared" ref="Y1521" si="4854">D1505</f>
        <v>3</v>
      </c>
      <c r="Z1521" s="400" t="s">
        <v>176</v>
      </c>
      <c r="AA1521" s="402">
        <f t="shared" si="4848"/>
        <v>0</v>
      </c>
      <c r="AB1521" s="403"/>
    </row>
    <row r="1522" spans="1:28">
      <c r="A1522" s="391"/>
      <c r="B1522" s="392"/>
      <c r="C1522" s="392"/>
      <c r="D1522" s="394"/>
      <c r="E1522" s="388"/>
      <c r="F1522" s="388"/>
      <c r="G1522" s="388"/>
      <c r="H1522" s="395"/>
      <c r="I1522" s="388"/>
      <c r="J1522" s="402"/>
      <c r="K1522" s="388"/>
      <c r="L1522" s="388"/>
      <c r="M1522" s="388"/>
      <c r="N1522" s="388"/>
      <c r="O1522" s="388"/>
      <c r="P1522" s="388"/>
      <c r="Q1522" s="388"/>
      <c r="R1522" s="388"/>
      <c r="S1522" s="388"/>
      <c r="T1522" s="388"/>
      <c r="U1522" s="388"/>
      <c r="V1522" s="388"/>
      <c r="W1522" s="388"/>
      <c r="X1522" s="388"/>
      <c r="Y1522" s="389"/>
      <c r="Z1522" s="388"/>
      <c r="AA1522" s="402"/>
      <c r="AB1522" s="403"/>
    </row>
    <row r="1523" spans="1:28" ht="15.75" thickBot="1">
      <c r="A1523" s="406"/>
      <c r="B1523" s="407"/>
      <c r="C1523" s="407"/>
      <c r="D1523" s="408"/>
      <c r="E1523" s="409"/>
      <c r="F1523" s="409"/>
      <c r="G1523" s="409"/>
      <c r="H1523" s="410"/>
      <c r="I1523" s="409"/>
      <c r="J1523" s="409"/>
      <c r="K1523" s="409"/>
      <c r="L1523" s="409"/>
      <c r="M1523" s="409"/>
      <c r="N1523" s="409"/>
      <c r="O1523" s="409"/>
      <c r="P1523" s="409"/>
      <c r="Q1523" s="409"/>
      <c r="R1523" s="409"/>
      <c r="S1523" s="409"/>
      <c r="T1523" s="409"/>
      <c r="U1523" s="409"/>
      <c r="V1523" s="409"/>
      <c r="W1523" s="409"/>
      <c r="X1523" s="409"/>
      <c r="Y1523" s="411"/>
      <c r="Z1523" s="409"/>
      <c r="AA1523" s="412"/>
      <c r="AB1523" s="413"/>
    </row>
    <row r="1524" spans="1:28" s="2092" customFormat="1">
      <c r="A1524" s="2085"/>
      <c r="B1524" s="2086"/>
      <c r="C1524" s="2086"/>
      <c r="D1524" s="2087"/>
      <c r="E1524" s="2088"/>
      <c r="F1524" s="2088"/>
      <c r="G1524" s="2088"/>
      <c r="H1524" s="2089"/>
      <c r="I1524" s="2088"/>
      <c r="J1524" s="2088"/>
      <c r="K1524" s="2088"/>
      <c r="L1524" s="2088"/>
      <c r="M1524" s="2088"/>
      <c r="N1524" s="2088"/>
      <c r="O1524" s="2088"/>
      <c r="P1524" s="2088"/>
      <c r="Q1524" s="2088"/>
      <c r="R1524" s="2088"/>
      <c r="S1524" s="2088"/>
      <c r="T1524" s="2088"/>
      <c r="U1524" s="2088"/>
      <c r="V1524" s="2088"/>
      <c r="W1524" s="2088"/>
      <c r="X1524" s="2088"/>
      <c r="Y1524" s="2090"/>
      <c r="Z1524" s="2088"/>
      <c r="AA1524" s="2088"/>
      <c r="AB1524" s="2091"/>
    </row>
    <row r="1525" spans="1:28" s="2092" customFormat="1">
      <c r="A1525" s="2093" t="str">
        <f t="shared" ref="A1525" si="4855">A1495</f>
        <v>Lantai 1</v>
      </c>
      <c r="B1525" s="2094" t="s">
        <v>2338</v>
      </c>
      <c r="C1525" s="2095" t="str">
        <f t="shared" ref="C1525" si="4856">CONCATENATE(A1525," no. ",B1525)</f>
        <v>Lantai 1 no. 49A</v>
      </c>
      <c r="D1525" s="2554" t="str">
        <f>VLOOKUP(C1525,'Data Panjang Balok'!$C$9:$N$254,2,FALSE)</f>
        <v>S24-2</v>
      </c>
      <c r="E1525" s="2557"/>
      <c r="F1525" s="2557"/>
      <c r="G1525" s="2557"/>
      <c r="H1525" s="2558"/>
      <c r="I1525" s="2096"/>
      <c r="J1525" s="2097"/>
      <c r="K1525" s="2097"/>
      <c r="L1525" s="2097"/>
      <c r="M1525" s="2097"/>
      <c r="N1525" s="2097"/>
      <c r="O1525" s="2097"/>
      <c r="P1525" s="2097"/>
      <c r="Q1525" s="2097"/>
      <c r="R1525" s="2097"/>
      <c r="S1525" s="2097"/>
      <c r="T1525" s="2097"/>
      <c r="U1525" s="2097"/>
      <c r="V1525" s="2097"/>
      <c r="W1525" s="2097"/>
      <c r="X1525" s="2097"/>
      <c r="Y1525" s="2098"/>
      <c r="Z1525" s="2097"/>
      <c r="AA1525" s="2097"/>
      <c r="AB1525" s="2099"/>
    </row>
    <row r="1526" spans="1:28" s="2092" customFormat="1">
      <c r="A1526" s="2100"/>
      <c r="B1526" s="2101"/>
      <c r="C1526" s="2102" t="s">
        <v>118</v>
      </c>
      <c r="D1526" s="2559">
        <f>VLOOKUP(D1525,'Detail Balok'!$C$10:$AU$140,2,FALSE)</f>
        <v>200</v>
      </c>
      <c r="E1526" s="2560"/>
      <c r="F1526" s="2097" t="s">
        <v>125</v>
      </c>
      <c r="G1526" s="2560">
        <f>VLOOKUP(D1525,'Detail Balok'!$C$10:$AU$140,3,FALSE)</f>
        <v>400</v>
      </c>
      <c r="H1526" s="2561"/>
      <c r="I1526" s="2097"/>
      <c r="J1526" s="2105"/>
      <c r="K1526" s="2105"/>
      <c r="L1526" s="2105"/>
      <c r="M1526" s="2105"/>
      <c r="N1526" s="2105"/>
      <c r="O1526" s="2105"/>
      <c r="P1526" s="2105"/>
      <c r="Q1526" s="2105"/>
      <c r="R1526" s="2105"/>
      <c r="S1526" s="2105"/>
      <c r="T1526" s="2105"/>
      <c r="U1526" s="2097"/>
      <c r="V1526" s="2105"/>
      <c r="W1526" s="2097"/>
      <c r="X1526" s="2105"/>
      <c r="Y1526" s="2098"/>
      <c r="Z1526" s="2105"/>
      <c r="AA1526" s="2097"/>
      <c r="AB1526" s="2099"/>
    </row>
    <row r="1527" spans="1:28" s="2092" customFormat="1">
      <c r="A1527" s="2100"/>
      <c r="B1527" s="2101"/>
      <c r="C1527" s="2102" t="s">
        <v>198</v>
      </c>
      <c r="D1527" s="2554">
        <f>VLOOKUP(C1525,'Data Panjang Balok'!$C$9:$N$254,4,FALSE)</f>
        <v>3100</v>
      </c>
      <c r="E1527" s="2555"/>
      <c r="F1527" s="2555"/>
      <c r="G1527" s="2555"/>
      <c r="H1527" s="2556"/>
      <c r="I1527" s="2106"/>
      <c r="J1527" s="2105"/>
      <c r="K1527" s="2105"/>
      <c r="L1527" s="2105"/>
      <c r="M1527" s="2105"/>
      <c r="N1527" s="2105"/>
      <c r="O1527" s="2105"/>
      <c r="P1527" s="2105"/>
      <c r="Q1527" s="2105"/>
      <c r="R1527" s="2105"/>
      <c r="S1527" s="2105"/>
      <c r="T1527" s="2105"/>
      <c r="U1527" s="2097"/>
      <c r="V1527" s="2105"/>
      <c r="W1527" s="2097"/>
      <c r="X1527" s="2105"/>
      <c r="Y1527" s="2098"/>
      <c r="Z1527" s="2105"/>
      <c r="AA1527" s="2097"/>
      <c r="AB1527" s="2099"/>
    </row>
    <row r="1528" spans="1:28" s="2092" customFormat="1">
      <c r="A1528" s="2100"/>
      <c r="B1528" s="2101"/>
      <c r="C1528" s="2102" t="s">
        <v>199</v>
      </c>
      <c r="D1528" s="2554">
        <f>VLOOKUP(C1525,'Data Panjang Balok'!$C$9:$N$254,7,FALSE)</f>
        <v>3100</v>
      </c>
      <c r="E1528" s="2555"/>
      <c r="F1528" s="2555"/>
      <c r="G1528" s="2555"/>
      <c r="H1528" s="2556"/>
      <c r="I1528" s="2106"/>
      <c r="J1528" s="2105"/>
      <c r="K1528" s="2105"/>
      <c r="L1528" s="2105"/>
      <c r="M1528" s="2105"/>
      <c r="N1528" s="2105"/>
      <c r="O1528" s="2105"/>
      <c r="P1528" s="2105"/>
      <c r="Q1528" s="2105"/>
      <c r="R1528" s="2105"/>
      <c r="S1528" s="2105"/>
      <c r="T1528" s="2105"/>
      <c r="U1528" s="2097"/>
      <c r="V1528" s="2105"/>
      <c r="W1528" s="2097"/>
      <c r="X1528" s="2105"/>
      <c r="Y1528" s="2098"/>
      <c r="Z1528" s="2105"/>
      <c r="AA1528" s="2097"/>
      <c r="AB1528" s="2099"/>
    </row>
    <row r="1529" spans="1:28" s="2092" customFormat="1">
      <c r="A1529" s="2100"/>
      <c r="B1529" s="2101"/>
      <c r="C1529" s="2102" t="s">
        <v>200</v>
      </c>
      <c r="D1529" s="2554">
        <f>VLOOKUP(C1525,'Data Panjang Balok'!$C$9:$N$254,9,FALSE)</f>
        <v>0</v>
      </c>
      <c r="E1529" s="2555"/>
      <c r="F1529" s="2555"/>
      <c r="G1529" s="2555"/>
      <c r="H1529" s="2556"/>
      <c r="I1529" s="2106"/>
      <c r="J1529" s="2105"/>
      <c r="K1529" s="2105"/>
      <c r="L1529" s="2105"/>
      <c r="M1529" s="2105"/>
      <c r="N1529" s="2105"/>
      <c r="O1529" s="2105"/>
      <c r="P1529" s="2105"/>
      <c r="Q1529" s="2105"/>
      <c r="R1529" s="2105"/>
      <c r="S1529" s="2105"/>
      <c r="T1529" s="2105"/>
      <c r="U1529" s="2097"/>
      <c r="V1529" s="2105"/>
      <c r="W1529" s="2097"/>
      <c r="X1529" s="2105"/>
      <c r="Y1529" s="2098"/>
      <c r="Z1529" s="2105"/>
      <c r="AA1529" s="2097"/>
      <c r="AB1529" s="2099"/>
    </row>
    <row r="1530" spans="1:28" s="2092" customFormat="1">
      <c r="A1530" s="2100"/>
      <c r="B1530" s="2101"/>
      <c r="C1530" s="2102" t="s">
        <v>201</v>
      </c>
      <c r="D1530" s="2554">
        <f>VLOOKUP(C1525,'Data Panjang Balok'!$C$9:$N$254,10,FALSE)</f>
        <v>0</v>
      </c>
      <c r="E1530" s="2555"/>
      <c r="F1530" s="2555"/>
      <c r="G1530" s="2555"/>
      <c r="H1530" s="2556"/>
      <c r="I1530" s="2106"/>
      <c r="J1530" s="2105"/>
      <c r="K1530" s="2105"/>
      <c r="L1530" s="2105"/>
      <c r="M1530" s="2105"/>
      <c r="N1530" s="2105"/>
      <c r="O1530" s="2105"/>
      <c r="P1530" s="2105"/>
      <c r="Q1530" s="2105"/>
      <c r="R1530" s="2105"/>
      <c r="S1530" s="2105"/>
      <c r="T1530" s="2105"/>
      <c r="U1530" s="2097"/>
      <c r="V1530" s="2105"/>
      <c r="W1530" s="2097"/>
      <c r="X1530" s="2105"/>
      <c r="Y1530" s="2098"/>
      <c r="Z1530" s="2105"/>
      <c r="AA1530" s="2097"/>
      <c r="AB1530" s="2099"/>
    </row>
    <row r="1531" spans="1:28" s="2092" customFormat="1">
      <c r="A1531" s="2100"/>
      <c r="B1531" s="2101"/>
      <c r="C1531" s="2102" t="s">
        <v>48</v>
      </c>
      <c r="D1531" s="2554">
        <f>VLOOKUP(C1525,'Data Panjang Balok'!$C$9:$N$254,3,FALSE)</f>
        <v>2</v>
      </c>
      <c r="E1531" s="2555"/>
      <c r="F1531" s="2555"/>
      <c r="G1531" s="2555"/>
      <c r="H1531" s="2556"/>
      <c r="I1531" s="2106"/>
      <c r="J1531" s="2105"/>
      <c r="K1531" s="2105"/>
      <c r="L1531" s="2105"/>
      <c r="M1531" s="2105"/>
      <c r="N1531" s="2105"/>
      <c r="O1531" s="2105"/>
      <c r="P1531" s="2105"/>
      <c r="Q1531" s="2105"/>
      <c r="R1531" s="2105"/>
      <c r="S1531" s="2105"/>
      <c r="T1531" s="2105"/>
      <c r="U1531" s="2097"/>
      <c r="V1531" s="2105"/>
      <c r="W1531" s="2097"/>
      <c r="X1531" s="2105"/>
      <c r="Y1531" s="2098"/>
      <c r="Z1531" s="2105"/>
      <c r="AA1531" s="2097"/>
      <c r="AB1531" s="2099"/>
    </row>
    <row r="1532" spans="1:28" s="2092" customFormat="1">
      <c r="A1532" s="2093" t="str">
        <f t="shared" ref="A1532:B1532" si="4857">A1525</f>
        <v>Lantai 1</v>
      </c>
      <c r="B1532" s="2094" t="str">
        <f t="shared" si="4857"/>
        <v>49A</v>
      </c>
      <c r="C1532" s="2102" t="s">
        <v>202</v>
      </c>
      <c r="D1532" s="2107">
        <f>VLOOKUP(D1525,'Detail Balok'!$C$10:$AU$140,4,FALSE)</f>
        <v>3</v>
      </c>
      <c r="E1532" s="2097" t="s">
        <v>16</v>
      </c>
      <c r="F1532" s="2097">
        <f>VLOOKUP(D1525,'Detail Balok'!$C$10:$AU$140,6,FALSE)</f>
        <v>16</v>
      </c>
      <c r="G1532" s="2097"/>
      <c r="H1532" s="2104"/>
      <c r="I1532" s="2097" t="s">
        <v>203</v>
      </c>
      <c r="J1532" s="2108">
        <f t="shared" ref="J1532" si="4858">+D1527/4/1000</f>
        <v>0.77500000000000002</v>
      </c>
      <c r="K1532" s="2109" t="s">
        <v>204</v>
      </c>
      <c r="L1532" s="2108">
        <f t="shared" ref="L1532" si="4859">MAX(VLOOKUP(F1532,N$6:P$15,3,FALSE)/1000,2/3*D1529/1000)+F$16*F1532/1000</f>
        <v>0.192</v>
      </c>
      <c r="M1532" s="2108" t="s">
        <v>176</v>
      </c>
      <c r="N1532" s="2108">
        <f t="shared" ref="N1532:N1534" si="4860">J1532+L1532</f>
        <v>0.96700000000000008</v>
      </c>
      <c r="O1532" s="2108" t="s">
        <v>204</v>
      </c>
      <c r="P1532" s="2098">
        <f t="shared" ref="P1532" si="4861">D1532-D1533</f>
        <v>0</v>
      </c>
      <c r="Q1532" s="2108" t="s">
        <v>125</v>
      </c>
      <c r="R1532" s="2108">
        <f t="shared" ref="R1532" si="4862">IF(P1532&gt;0,$F$18*F1532/1000,0)</f>
        <v>0</v>
      </c>
      <c r="S1532" s="2108" t="s">
        <v>205</v>
      </c>
      <c r="T1532" s="2108" t="s">
        <v>125</v>
      </c>
      <c r="U1532" s="2110">
        <f t="shared" ref="U1532:U1534" si="4863">0.006165*F1532^2</f>
        <v>1.5782400000000001</v>
      </c>
      <c r="V1532" s="2108"/>
      <c r="W1532" s="2108"/>
      <c r="X1532" s="2108" t="s">
        <v>125</v>
      </c>
      <c r="Y1532" s="2098">
        <f t="shared" ref="Y1532" si="4864">D1531</f>
        <v>2</v>
      </c>
      <c r="Z1532" s="2109" t="s">
        <v>176</v>
      </c>
      <c r="AA1532" s="2111">
        <f t="shared" ref="AA1532" si="4865">IF(AA1535=0,(D1532*N1532+P1532*R1532)*U1532*Y1532,0)</f>
        <v>0</v>
      </c>
      <c r="AB1532" s="2112"/>
    </row>
    <row r="1533" spans="1:28" s="2092" customFormat="1">
      <c r="A1533" s="2093" t="str">
        <f t="shared" ref="A1533:B1533" si="4866">A1525</f>
        <v>Lantai 1</v>
      </c>
      <c r="B1533" s="2094" t="str">
        <f t="shared" si="4866"/>
        <v>49A</v>
      </c>
      <c r="C1533" s="2102" t="s">
        <v>206</v>
      </c>
      <c r="D1533" s="2107">
        <f>VLOOKUP(D1525,'Detail Balok'!$C$10:$AU$140,7,FALSE)</f>
        <v>3</v>
      </c>
      <c r="E1533" s="2097" t="s">
        <v>16</v>
      </c>
      <c r="F1533" s="2097">
        <f>VLOOKUP(D1525,'Detail Balok'!$C$10:$AU$140,9,FALSE)</f>
        <v>16</v>
      </c>
      <c r="G1533" s="2097"/>
      <c r="H1533" s="2104"/>
      <c r="I1533" s="2097" t="s">
        <v>203</v>
      </c>
      <c r="J1533" s="2108">
        <f t="shared" ref="J1533" si="4867">+D1527/2/1000</f>
        <v>1.55</v>
      </c>
      <c r="K1533" s="2109" t="s">
        <v>204</v>
      </c>
      <c r="L1533" s="2108"/>
      <c r="M1533" s="2108" t="s">
        <v>176</v>
      </c>
      <c r="N1533" s="2108">
        <f t="shared" si="4860"/>
        <v>1.55</v>
      </c>
      <c r="O1533" s="2108" t="s">
        <v>204</v>
      </c>
      <c r="P1533" s="2098">
        <f t="shared" ref="P1533" si="4868">MAX(D1533-D1532,D1533-D1534)</f>
        <v>0</v>
      </c>
      <c r="Q1533" s="2108" t="s">
        <v>125</v>
      </c>
      <c r="R1533" s="2108">
        <f t="shared" ref="R1533" si="4869">IF(P1533&gt;0,2*(1-2*$F$19-1/2)*D1528/1000,0)</f>
        <v>0</v>
      </c>
      <c r="S1533" s="2108" t="s">
        <v>205</v>
      </c>
      <c r="T1533" s="2108" t="s">
        <v>125</v>
      </c>
      <c r="U1533" s="2110">
        <f t="shared" si="4863"/>
        <v>1.5782400000000001</v>
      </c>
      <c r="V1533" s="2108"/>
      <c r="W1533" s="2108"/>
      <c r="X1533" s="2108" t="s">
        <v>125</v>
      </c>
      <c r="Y1533" s="2098">
        <f t="shared" ref="Y1533" si="4870">D1531</f>
        <v>2</v>
      </c>
      <c r="Z1533" s="2109" t="s">
        <v>176</v>
      </c>
      <c r="AA1533" s="2111">
        <f t="shared" ref="AA1533" si="4871">IF(AA1535=0,(D1533*N1533+P1533*R1533)*U1533*Y1533,0)</f>
        <v>0</v>
      </c>
      <c r="AB1533" s="2112"/>
    </row>
    <row r="1534" spans="1:28" s="2092" customFormat="1">
      <c r="A1534" s="2093" t="str">
        <f t="shared" ref="A1534:B1534" si="4872">A1525</f>
        <v>Lantai 1</v>
      </c>
      <c r="B1534" s="2094" t="str">
        <f t="shared" si="4872"/>
        <v>49A</v>
      </c>
      <c r="C1534" s="2102" t="s">
        <v>202</v>
      </c>
      <c r="D1534" s="2107">
        <f>VLOOKUP(D1525,'Detail Balok'!$C$10:$AU$140,10,FALSE)</f>
        <v>3</v>
      </c>
      <c r="E1534" s="2097" t="s">
        <v>16</v>
      </c>
      <c r="F1534" s="2097">
        <f>VLOOKUP(D1525,'Detail Balok'!$C$10:$AU$140,12,FALSE)</f>
        <v>16</v>
      </c>
      <c r="G1534" s="2097"/>
      <c r="H1534" s="2104"/>
      <c r="I1534" s="2097" t="s">
        <v>203</v>
      </c>
      <c r="J1534" s="2108">
        <f t="shared" ref="J1534" si="4873">+D1527/4/1000</f>
        <v>0.77500000000000002</v>
      </c>
      <c r="K1534" s="2109" t="s">
        <v>204</v>
      </c>
      <c r="L1534" s="2108">
        <f t="shared" ref="L1534" si="4874">MAX(VLOOKUP(F1534,N$6:P$15,3,FALSE)/1000,2/3*D1529/1000)+F$16*F1534/1000</f>
        <v>0.192</v>
      </c>
      <c r="M1534" s="2108" t="s">
        <v>176</v>
      </c>
      <c r="N1534" s="2108">
        <f t="shared" si="4860"/>
        <v>0.96700000000000008</v>
      </c>
      <c r="O1534" s="2108" t="s">
        <v>204</v>
      </c>
      <c r="P1534" s="2098">
        <f t="shared" ref="P1534" si="4875">D1534-D1533</f>
        <v>0</v>
      </c>
      <c r="Q1534" s="2108" t="s">
        <v>125</v>
      </c>
      <c r="R1534" s="2108">
        <f t="shared" ref="R1534" si="4876">IF(P1534&gt;0,$F$18*F1534/1000,0)</f>
        <v>0</v>
      </c>
      <c r="S1534" s="2108" t="s">
        <v>205</v>
      </c>
      <c r="T1534" s="2108" t="s">
        <v>125</v>
      </c>
      <c r="U1534" s="2110">
        <f t="shared" si="4863"/>
        <v>1.5782400000000001</v>
      </c>
      <c r="V1534" s="2108"/>
      <c r="W1534" s="2108"/>
      <c r="X1534" s="2108" t="s">
        <v>125</v>
      </c>
      <c r="Y1534" s="2098">
        <f t="shared" ref="Y1534" si="4877">D1531</f>
        <v>2</v>
      </c>
      <c r="Z1534" s="2109" t="s">
        <v>176</v>
      </c>
      <c r="AA1534" s="2111">
        <f t="shared" ref="AA1534" si="4878">IF(AA1535=0,(D1534*N1534+P1534*R1534)*U1534*Y1534,0)</f>
        <v>0</v>
      </c>
      <c r="AB1534" s="2112"/>
    </row>
    <row r="1535" spans="1:28" s="2092" customFormat="1">
      <c r="A1535" s="2093" t="str">
        <f t="shared" ref="A1535:B1535" si="4879">A1525</f>
        <v>Lantai 1</v>
      </c>
      <c r="B1535" s="2094" t="str">
        <f t="shared" si="4879"/>
        <v>49A</v>
      </c>
      <c r="C1535" s="2102"/>
      <c r="D1535" s="2107">
        <f t="shared" si="4776"/>
        <v>3</v>
      </c>
      <c r="E1535" s="2097" t="s">
        <v>16</v>
      </c>
      <c r="F1535" s="2097">
        <f t="shared" si="4777"/>
        <v>16</v>
      </c>
      <c r="G1535" s="2097"/>
      <c r="H1535" s="2104"/>
      <c r="I1535" s="2097"/>
      <c r="J1535" s="2105"/>
      <c r="K1535" s="2105"/>
      <c r="L1535" s="2113" t="s">
        <v>207</v>
      </c>
      <c r="M1535" s="2108" t="s">
        <v>176</v>
      </c>
      <c r="N1535" s="2108">
        <f t="shared" ref="N1535" si="4880">IF(AND(D1532=D1533,D1532=D1534,D1533=D1534,F1532=F1533,F1532=F1534,F1533=F1534),SUM(N1532:N1534),0)</f>
        <v>3.4840000000000004</v>
      </c>
      <c r="O1535" s="2108" t="s">
        <v>204</v>
      </c>
      <c r="P1535" s="2098">
        <f t="shared" ref="P1535" si="4881">IF(N1535&gt;12,ROUNDDOWN(N1535/12,0),0)</f>
        <v>0</v>
      </c>
      <c r="Q1535" s="2108" t="s">
        <v>125</v>
      </c>
      <c r="R1535" s="2108">
        <f t="shared" ref="R1535" si="4882">IF(P1535&gt;0,MAX(VLOOKUP(F1535,$D$6:$G$15,3,FALSE),600),0)/1000</f>
        <v>0</v>
      </c>
      <c r="S1535" s="2105"/>
      <c r="T1535" s="2105" t="s">
        <v>125</v>
      </c>
      <c r="U1535" s="2110">
        <f t="shared" si="4781"/>
        <v>1.5782400000000001</v>
      </c>
      <c r="V1535" s="2105" t="s">
        <v>125</v>
      </c>
      <c r="W1535" s="2108">
        <f t="shared" ref="W1535" si="4883">D1535</f>
        <v>3</v>
      </c>
      <c r="X1535" s="2108" t="s">
        <v>125</v>
      </c>
      <c r="Y1535" s="2098">
        <f t="shared" si="4783"/>
        <v>2</v>
      </c>
      <c r="Z1535" s="2109" t="s">
        <v>176</v>
      </c>
      <c r="AA1535" s="2111">
        <f t="shared" ref="AA1535" si="4884">(N1535+P1535*R1535/1000)*U1535*W1535*Y1535</f>
        <v>32.991528960000004</v>
      </c>
      <c r="AB1535" s="2099"/>
    </row>
    <row r="1536" spans="1:28" s="2092" customFormat="1">
      <c r="A1536" s="2093"/>
      <c r="B1536" s="2094"/>
      <c r="C1536" s="2102"/>
      <c r="D1536" s="2107"/>
      <c r="E1536" s="2097"/>
      <c r="F1536" s="2097"/>
      <c r="G1536" s="2097"/>
      <c r="H1536" s="2104"/>
      <c r="I1536" s="2097"/>
      <c r="J1536" s="2105"/>
      <c r="K1536" s="2105"/>
      <c r="L1536" s="2113"/>
      <c r="M1536" s="2108"/>
      <c r="N1536" s="2108"/>
      <c r="O1536" s="2105"/>
      <c r="P1536" s="2098"/>
      <c r="Q1536" s="2105"/>
      <c r="R1536" s="2105"/>
      <c r="S1536" s="2105"/>
      <c r="T1536" s="2105"/>
      <c r="U1536" s="2110"/>
      <c r="V1536" s="2105"/>
      <c r="W1536" s="2108"/>
      <c r="X1536" s="2105"/>
      <c r="Y1536" s="2098"/>
      <c r="Z1536" s="2105"/>
      <c r="AA1536" s="2097"/>
      <c r="AB1536" s="2099"/>
    </row>
    <row r="1537" spans="1:28" s="2092" customFormat="1">
      <c r="A1537" s="2093" t="str">
        <f t="shared" ref="A1537:B1537" si="4885">A1525</f>
        <v>Lantai 1</v>
      </c>
      <c r="B1537" s="2094" t="str">
        <f t="shared" si="4885"/>
        <v>49A</v>
      </c>
      <c r="C1537" s="2102" t="s">
        <v>208</v>
      </c>
      <c r="D1537" s="2107">
        <f>VLOOKUP(D1525,'Detail Balok'!$C$10:$AU$140,13,FALSE)</f>
        <v>0</v>
      </c>
      <c r="E1537" s="2097" t="s">
        <v>16</v>
      </c>
      <c r="F1537" s="2097">
        <f>VLOOKUP(D1525,'Detail Balok'!$C$10:$AU$140,15,FALSE)</f>
        <v>8</v>
      </c>
      <c r="G1537" s="2097"/>
      <c r="H1537" s="2104"/>
      <c r="I1537" s="2097"/>
      <c r="J1537" s="2108">
        <f t="shared" ref="J1537" si="4886">+D1527/1000</f>
        <v>3.1</v>
      </c>
      <c r="K1537" s="2109" t="s">
        <v>204</v>
      </c>
      <c r="L1537" s="2108">
        <f t="shared" ref="L1537" si="4887">2*$F$16*F1537/1000</f>
        <v>0.192</v>
      </c>
      <c r="M1537" s="2108" t="s">
        <v>176</v>
      </c>
      <c r="N1537" s="2108">
        <f t="shared" ref="N1537" si="4888">J1537+L1537</f>
        <v>3.2920000000000003</v>
      </c>
      <c r="O1537" s="2108" t="s">
        <v>204</v>
      </c>
      <c r="P1537" s="2098">
        <f t="shared" ref="P1537" si="4889">IF(N1537&gt;12,ROUNDDOWN(N1537/12,0),0)</f>
        <v>0</v>
      </c>
      <c r="Q1537" s="2108" t="s">
        <v>125</v>
      </c>
      <c r="R1537" s="2108">
        <f t="shared" ref="R1537" si="4890">IF(P1537&gt;0,MAX(VLOOKUP(F1537,$D$6:$G$15,3,FALSE),600),0)/1000</f>
        <v>0</v>
      </c>
      <c r="S1537" s="2108"/>
      <c r="T1537" s="2108" t="s">
        <v>125</v>
      </c>
      <c r="U1537" s="2110">
        <f t="shared" ref="U1537" si="4891">0.006165*F1537^2</f>
        <v>0.39456000000000002</v>
      </c>
      <c r="V1537" s="2108" t="s">
        <v>125</v>
      </c>
      <c r="W1537" s="2108">
        <f t="shared" ref="W1537" si="4892">+D1537</f>
        <v>0</v>
      </c>
      <c r="X1537" s="2108" t="s">
        <v>125</v>
      </c>
      <c r="Y1537" s="2098">
        <f t="shared" ref="Y1537" si="4893">D1531</f>
        <v>2</v>
      </c>
      <c r="Z1537" s="2109" t="s">
        <v>176</v>
      </c>
      <c r="AA1537" s="2111">
        <f t="shared" ref="AA1537" si="4894">(N1537+P1537*R1537/1000)*U1537*W1537*Y1537</f>
        <v>0</v>
      </c>
      <c r="AB1537" s="2112"/>
    </row>
    <row r="1538" spans="1:28" s="2092" customFormat="1">
      <c r="A1538" s="2093"/>
      <c r="B1538" s="2094"/>
      <c r="C1538" s="2102"/>
      <c r="D1538" s="2107"/>
      <c r="E1538" s="2097"/>
      <c r="F1538" s="2097"/>
      <c r="G1538" s="2097"/>
      <c r="H1538" s="2104"/>
      <c r="I1538" s="2097"/>
      <c r="J1538" s="2108"/>
      <c r="K1538" s="2109"/>
      <c r="L1538" s="2108"/>
      <c r="M1538" s="2108"/>
      <c r="N1538" s="2108"/>
      <c r="O1538" s="2108"/>
      <c r="P1538" s="2098"/>
      <c r="Q1538" s="2108"/>
      <c r="R1538" s="2108"/>
      <c r="S1538" s="2108"/>
      <c r="T1538" s="2108"/>
      <c r="U1538" s="2110"/>
      <c r="V1538" s="2108"/>
      <c r="W1538" s="2108"/>
      <c r="X1538" s="2108"/>
      <c r="Y1538" s="2098"/>
      <c r="Z1538" s="2109"/>
      <c r="AA1538" s="2111"/>
      <c r="AB1538" s="2112"/>
    </row>
    <row r="1539" spans="1:28" s="2092" customFormat="1">
      <c r="A1539" s="2093"/>
      <c r="B1539" s="2094"/>
      <c r="C1539" s="2102"/>
      <c r="D1539" s="2107"/>
      <c r="E1539" s="2097"/>
      <c r="F1539" s="2097"/>
      <c r="G1539" s="2097"/>
      <c r="H1539" s="2104"/>
      <c r="I1539" s="2097"/>
      <c r="J1539" s="2105"/>
      <c r="K1539" s="2105"/>
      <c r="L1539" s="2105"/>
      <c r="M1539" s="2105"/>
      <c r="N1539" s="2105"/>
      <c r="O1539" s="2105"/>
      <c r="P1539" s="2098"/>
      <c r="Q1539" s="2105"/>
      <c r="R1539" s="2105"/>
      <c r="S1539" s="2105"/>
      <c r="T1539" s="2105"/>
      <c r="U1539" s="2110"/>
      <c r="V1539" s="2105"/>
      <c r="W1539" s="2108"/>
      <c r="X1539" s="2105"/>
      <c r="Y1539" s="2098"/>
      <c r="Z1539" s="2105"/>
      <c r="AA1539" s="2097"/>
      <c r="AB1539" s="2099"/>
    </row>
    <row r="1540" spans="1:28" s="2092" customFormat="1">
      <c r="A1540" s="2093" t="str">
        <f t="shared" ref="A1540:B1540" si="4895">A1525</f>
        <v>Lantai 1</v>
      </c>
      <c r="B1540" s="2094" t="str">
        <f t="shared" si="4895"/>
        <v>49A</v>
      </c>
      <c r="C1540" s="2102" t="s">
        <v>209</v>
      </c>
      <c r="D1540" s="2107">
        <f>VLOOKUP(D1525,'Detail Balok'!$C$10:$AU$140,22,FALSE)</f>
        <v>3</v>
      </c>
      <c r="E1540" s="2097" t="s">
        <v>16</v>
      </c>
      <c r="F1540" s="2097">
        <f>VLOOKUP(D1525,'Detail Balok'!$C$10:$AU$140,24,FALSE)</f>
        <v>16</v>
      </c>
      <c r="G1540" s="2097"/>
      <c r="H1540" s="2104"/>
      <c r="I1540" s="2097" t="s">
        <v>203</v>
      </c>
      <c r="J1540" s="2108">
        <f t="shared" si="4796"/>
        <v>0.77500000000000002</v>
      </c>
      <c r="K1540" s="2109" t="s">
        <v>204</v>
      </c>
      <c r="L1540" s="2108">
        <f t="shared" ref="L1540" si="4896">MAX(VLOOKUP(F1540,N$6:P$15,3,FALSE)/1000,2/3*D1530/1000)+F$16*F1540/1000</f>
        <v>0.192</v>
      </c>
      <c r="M1540" s="2108" t="s">
        <v>176</v>
      </c>
      <c r="N1540" s="2108">
        <f t="shared" ref="N1540:N1542" si="4897">J1540+L1540</f>
        <v>0.96700000000000008</v>
      </c>
      <c r="O1540" s="2108" t="s">
        <v>204</v>
      </c>
      <c r="P1540" s="2098">
        <f t="shared" ref="P1540" si="4898">D1540-D1541</f>
        <v>0</v>
      </c>
      <c r="Q1540" s="2108" t="s">
        <v>125</v>
      </c>
      <c r="R1540" s="2108">
        <f t="shared" ref="R1540" si="4899">IF(P1540&gt;0,$F$18*F1540/1000,0)</f>
        <v>0</v>
      </c>
      <c r="S1540" s="2108" t="s">
        <v>205</v>
      </c>
      <c r="T1540" s="2108" t="s">
        <v>125</v>
      </c>
      <c r="U1540" s="2110">
        <f t="shared" ref="U1540:U1542" si="4900">0.006165*F1540^2</f>
        <v>1.5782400000000001</v>
      </c>
      <c r="V1540" s="2108"/>
      <c r="W1540" s="2108"/>
      <c r="X1540" s="2108" t="s">
        <v>125</v>
      </c>
      <c r="Y1540" s="2098">
        <f t="shared" ref="Y1540" si="4901">D1531</f>
        <v>2</v>
      </c>
      <c r="Z1540" s="2109" t="s">
        <v>176</v>
      </c>
      <c r="AA1540" s="2111">
        <f t="shared" ref="AA1540" si="4902">IF(AA1543=0,(D1540*N1540+P1540*R1540)*U1540*Y1540,0)</f>
        <v>0</v>
      </c>
      <c r="AB1540" s="2112"/>
    </row>
    <row r="1541" spans="1:28" s="2092" customFormat="1">
      <c r="A1541" s="2093" t="str">
        <f t="shared" ref="A1541:B1541" si="4903">A1525</f>
        <v>Lantai 1</v>
      </c>
      <c r="B1541" s="2094" t="str">
        <f t="shared" si="4903"/>
        <v>49A</v>
      </c>
      <c r="C1541" s="2102" t="s">
        <v>210</v>
      </c>
      <c r="D1541" s="2107">
        <f>VLOOKUP(D1525,'Detail Balok'!$C$10:$AU$140,25,FALSE)</f>
        <v>3</v>
      </c>
      <c r="E1541" s="2097" t="s">
        <v>16</v>
      </c>
      <c r="F1541" s="2097">
        <f>VLOOKUP(D1525,'Detail Balok'!$C$10:$AU$140,27,FALSE)</f>
        <v>16</v>
      </c>
      <c r="G1541" s="2097"/>
      <c r="H1541" s="2104"/>
      <c r="I1541" s="2097" t="s">
        <v>203</v>
      </c>
      <c r="J1541" s="2108">
        <f t="shared" si="4796"/>
        <v>1.55</v>
      </c>
      <c r="K1541" s="2109" t="s">
        <v>204</v>
      </c>
      <c r="L1541" s="2108"/>
      <c r="M1541" s="2108" t="s">
        <v>176</v>
      </c>
      <c r="N1541" s="2108">
        <f t="shared" si="4897"/>
        <v>1.55</v>
      </c>
      <c r="O1541" s="2108" t="s">
        <v>204</v>
      </c>
      <c r="P1541" s="2098">
        <f t="shared" ref="P1541" si="4904">MAX(D1541-D1540,D1541-D1542)</f>
        <v>0</v>
      </c>
      <c r="Q1541" s="2108" t="s">
        <v>125</v>
      </c>
      <c r="R1541" s="2108">
        <f t="shared" ref="R1541" si="4905">IF(P1541&gt;0,2*(1-2*$F$19-1/2)*D1528/1000,0)</f>
        <v>0</v>
      </c>
      <c r="S1541" s="2108" t="s">
        <v>205</v>
      </c>
      <c r="T1541" s="2108" t="s">
        <v>125</v>
      </c>
      <c r="U1541" s="2110">
        <f t="shared" si="4900"/>
        <v>1.5782400000000001</v>
      </c>
      <c r="V1541" s="2108"/>
      <c r="W1541" s="2108"/>
      <c r="X1541" s="2108" t="s">
        <v>125</v>
      </c>
      <c r="Y1541" s="2098">
        <f t="shared" ref="Y1541" si="4906">D1531</f>
        <v>2</v>
      </c>
      <c r="Z1541" s="2109" t="s">
        <v>176</v>
      </c>
      <c r="AA1541" s="2111">
        <f t="shared" ref="AA1541" si="4907">IF(AA1543=0,(D1541*N1541+P1541*R1541)*U1541*Y1541,0)</f>
        <v>0</v>
      </c>
      <c r="AB1541" s="2112"/>
    </row>
    <row r="1542" spans="1:28" s="2092" customFormat="1">
      <c r="A1542" s="2093" t="str">
        <f t="shared" ref="A1542:B1542" si="4908">A1525</f>
        <v>Lantai 1</v>
      </c>
      <c r="B1542" s="2094" t="str">
        <f t="shared" si="4908"/>
        <v>49A</v>
      </c>
      <c r="C1542" s="2102" t="s">
        <v>209</v>
      </c>
      <c r="D1542" s="2107">
        <f>VLOOKUP(D1525,'Detail Balok'!$C$10:$AU$140,28,FALSE)</f>
        <v>3</v>
      </c>
      <c r="E1542" s="2097" t="s">
        <v>16</v>
      </c>
      <c r="F1542" s="2097">
        <f>VLOOKUP(D1525,'Detail Balok'!$C$10:$AU$140,30,FALSE)</f>
        <v>16</v>
      </c>
      <c r="G1542" s="2097"/>
      <c r="H1542" s="2104"/>
      <c r="I1542" s="2097" t="s">
        <v>203</v>
      </c>
      <c r="J1542" s="2108">
        <f t="shared" si="4796"/>
        <v>0.77500000000000002</v>
      </c>
      <c r="K1542" s="2109" t="s">
        <v>204</v>
      </c>
      <c r="L1542" s="2108">
        <f t="shared" ref="L1542" si="4909">MAX(VLOOKUP(F1542,N$6:P$15,3,FALSE)/1000,2/3*D1530/1000)+F$16*F1542/1000</f>
        <v>0.192</v>
      </c>
      <c r="M1542" s="2108" t="s">
        <v>176</v>
      </c>
      <c r="N1542" s="2108">
        <f t="shared" si="4897"/>
        <v>0.96700000000000008</v>
      </c>
      <c r="O1542" s="2108" t="s">
        <v>204</v>
      </c>
      <c r="P1542" s="2098">
        <f t="shared" ref="P1542" si="4910">D1542-D1541</f>
        <v>0</v>
      </c>
      <c r="Q1542" s="2108" t="s">
        <v>125</v>
      </c>
      <c r="R1542" s="2108">
        <f t="shared" ref="R1542" si="4911">IF(P1542&gt;0,$F$18*F1542/1000,0)</f>
        <v>0</v>
      </c>
      <c r="S1542" s="2108" t="s">
        <v>205</v>
      </c>
      <c r="T1542" s="2108" t="s">
        <v>125</v>
      </c>
      <c r="U1542" s="2110">
        <f t="shared" si="4900"/>
        <v>1.5782400000000001</v>
      </c>
      <c r="V1542" s="2108"/>
      <c r="W1542" s="2108"/>
      <c r="X1542" s="2108" t="s">
        <v>125</v>
      </c>
      <c r="Y1542" s="2098">
        <f t="shared" ref="Y1542" si="4912">D1531</f>
        <v>2</v>
      </c>
      <c r="Z1542" s="2109" t="s">
        <v>176</v>
      </c>
      <c r="AA1542" s="2111">
        <f t="shared" ref="AA1542" si="4913">IF(AA1543=0,(D1542*N1542+P1542*R1542)*U1542*Y1542,0)</f>
        <v>0</v>
      </c>
      <c r="AB1542" s="2112"/>
    </row>
    <row r="1543" spans="1:28" s="2092" customFormat="1">
      <c r="A1543" s="2093" t="str">
        <f t="shared" ref="A1543:B1543" si="4914">A1525</f>
        <v>Lantai 1</v>
      </c>
      <c r="B1543" s="2094" t="str">
        <f t="shared" si="4914"/>
        <v>49A</v>
      </c>
      <c r="C1543" s="2102"/>
      <c r="D1543" s="2107">
        <f t="shared" si="4816"/>
        <v>3</v>
      </c>
      <c r="E1543" s="2097" t="s">
        <v>16</v>
      </c>
      <c r="F1543" s="2097">
        <f t="shared" si="4817"/>
        <v>16</v>
      </c>
      <c r="G1543" s="2097"/>
      <c r="H1543" s="2104"/>
      <c r="I1543" s="2097"/>
      <c r="J1543" s="2105"/>
      <c r="K1543" s="2105"/>
      <c r="L1543" s="2113" t="s">
        <v>207</v>
      </c>
      <c r="M1543" s="2108" t="s">
        <v>176</v>
      </c>
      <c r="N1543" s="2108">
        <f t="shared" ref="N1543" si="4915">IF(AND(D1540=D1541,D1540=D1542,D1541=D1542,F1540=F1541,F1540=F1542,F1541=F1542),SUM(N1540:N1542),0)</f>
        <v>3.4840000000000004</v>
      </c>
      <c r="O1543" s="2108" t="s">
        <v>204</v>
      </c>
      <c r="P1543" s="2098">
        <f t="shared" ref="P1543" si="4916">IF(N1543&gt;12,ROUNDDOWN(N1543/12,0),0)</f>
        <v>0</v>
      </c>
      <c r="Q1543" s="2108" t="s">
        <v>125</v>
      </c>
      <c r="R1543" s="2108">
        <f t="shared" ref="R1543" si="4917">IF(P1543&gt;0,MAX(VLOOKUP(F1543,$D$6:$G$15,3,FALSE),600),0)/1000</f>
        <v>0</v>
      </c>
      <c r="S1543" s="2105"/>
      <c r="T1543" s="2105" t="s">
        <v>125</v>
      </c>
      <c r="U1543" s="2110">
        <f t="shared" si="4821"/>
        <v>1.5782400000000001</v>
      </c>
      <c r="V1543" s="2105" t="s">
        <v>125</v>
      </c>
      <c r="W1543" s="2108">
        <f t="shared" ref="W1543" si="4918">D1543</f>
        <v>3</v>
      </c>
      <c r="X1543" s="2108" t="s">
        <v>125</v>
      </c>
      <c r="Y1543" s="2098">
        <f t="shared" si="4823"/>
        <v>2</v>
      </c>
      <c r="Z1543" s="2109" t="s">
        <v>176</v>
      </c>
      <c r="AA1543" s="2111">
        <f t="shared" ref="AA1543" si="4919">(N1543+P1543*R1543/1000)*U1543*W1543*Y1543</f>
        <v>32.991528960000004</v>
      </c>
      <c r="AB1543" s="2112"/>
    </row>
    <row r="1544" spans="1:28" s="2092" customFormat="1">
      <c r="A1544" s="2093"/>
      <c r="B1544" s="2094"/>
      <c r="C1544" s="2102"/>
      <c r="D1544" s="2103"/>
      <c r="E1544" s="2097"/>
      <c r="F1544" s="2097"/>
      <c r="G1544" s="2097"/>
      <c r="H1544" s="2104"/>
      <c r="I1544" s="2097"/>
      <c r="J1544" s="2108"/>
      <c r="K1544" s="2105"/>
      <c r="L1544" s="2105"/>
      <c r="M1544" s="2105"/>
      <c r="N1544" s="2105"/>
      <c r="O1544" s="2105"/>
      <c r="P1544" s="2098"/>
      <c r="Q1544" s="2105"/>
      <c r="R1544" s="2105"/>
      <c r="S1544" s="2105"/>
      <c r="T1544" s="2105"/>
      <c r="U1544" s="2110"/>
      <c r="V1544" s="2105"/>
      <c r="W1544" s="2097"/>
      <c r="X1544" s="2105"/>
      <c r="Y1544" s="2098"/>
      <c r="Z1544" s="2105"/>
      <c r="AA1544" s="2097"/>
      <c r="AB1544" s="2099"/>
    </row>
    <row r="1545" spans="1:28" s="2092" customFormat="1">
      <c r="A1545" s="2093" t="str">
        <f t="shared" ref="A1545:B1545" si="4920">A1525</f>
        <v>Lantai 1</v>
      </c>
      <c r="B1545" s="2094" t="str">
        <f t="shared" si="4920"/>
        <v>49A</v>
      </c>
      <c r="C1545" s="2102" t="s">
        <v>211</v>
      </c>
      <c r="D1545" s="2107">
        <f>VLOOKUP(D1525,'Detail Balok'!$C$10:$AU$140,31,FALSE)</f>
        <v>0</v>
      </c>
      <c r="E1545" s="2097" t="s">
        <v>16</v>
      </c>
      <c r="F1545" s="2097">
        <f>VLOOKUP(D1525,'Detail Balok'!$C$10:$AU$140,33,FALSE)</f>
        <v>8</v>
      </c>
      <c r="G1545" s="2114" t="s">
        <v>157</v>
      </c>
      <c r="H1545" s="2104">
        <f>VLOOKUP(D1525,'Detail Balok'!$C$10:$AU$140,35,FALSE)</f>
        <v>150</v>
      </c>
      <c r="I1545" s="2097"/>
      <c r="J1545" s="2109">
        <f t="shared" ref="J1545" si="4921">(IF(D1545=0,(2*(D1526+G1526))-(F$5*8),IF(D1545=3,(2*(D1526+G1526))-(F$5*8)+(G1526-2*F$5),IF(D1545=4,(2*(D1526+G1526))-(F$5*8)+2*(G1526-2*F$5)))))/1000</f>
        <v>0.88</v>
      </c>
      <c r="K1545" s="2109" t="s">
        <v>204</v>
      </c>
      <c r="L1545" s="2108">
        <f t="shared" ref="L1545:L1547" si="4922">IF(D1545=0,2*MAX(6*F1545,75),(D1545-1)*2*MAX(6*F1545,75))/1000</f>
        <v>0.15</v>
      </c>
      <c r="M1545" s="2108" t="s">
        <v>176</v>
      </c>
      <c r="N1545" s="2108">
        <f t="shared" ref="N1545:N1547" si="4923">J1545+L1545</f>
        <v>1.03</v>
      </c>
      <c r="O1545" s="2108"/>
      <c r="P1545" s="2098"/>
      <c r="Q1545" s="2108"/>
      <c r="R1545" s="2108"/>
      <c r="S1545" s="2108"/>
      <c r="T1545" s="2108" t="s">
        <v>125</v>
      </c>
      <c r="U1545" s="2110">
        <f t="shared" ref="U1545:U1547" si="4924">0.006165*F1545^2</f>
        <v>0.39456000000000002</v>
      </c>
      <c r="V1545" s="2108" t="s">
        <v>125</v>
      </c>
      <c r="W1545" s="2108">
        <f t="shared" ref="W1545" si="4925">IF(D1528&gt;4*G1526,ROUND(MAX(D1528/4,2*G1526)/H1545,0)+1,ROUND(D1528/H1545,0)+1)</f>
        <v>6</v>
      </c>
      <c r="X1545" s="2108" t="s">
        <v>125</v>
      </c>
      <c r="Y1545" s="2098">
        <f t="shared" ref="Y1545" si="4926">D1531</f>
        <v>2</v>
      </c>
      <c r="Z1545" s="2109" t="s">
        <v>176</v>
      </c>
      <c r="AA1545" s="2111">
        <f t="shared" ref="AA1545:AA1547" si="4927">N1545*U1545*W1545*Y1545</f>
        <v>4.8767616000000009</v>
      </c>
      <c r="AB1545" s="2112"/>
    </row>
    <row r="1546" spans="1:28" s="2092" customFormat="1">
      <c r="A1546" s="2093" t="str">
        <f t="shared" ref="A1546:B1546" si="4928">A1525</f>
        <v>Lantai 1</v>
      </c>
      <c r="B1546" s="2094" t="str">
        <f t="shared" si="4928"/>
        <v>49A</v>
      </c>
      <c r="C1546" s="2102" t="s">
        <v>212</v>
      </c>
      <c r="D1546" s="2107">
        <f>VLOOKUP(D1525,'Detail Balok'!$C$10:$AU$140,36,FALSE)</f>
        <v>0</v>
      </c>
      <c r="E1546" s="2097" t="s">
        <v>16</v>
      </c>
      <c r="F1546" s="2097">
        <f>VLOOKUP(D1525,'Detail Balok'!$C$10:$AU$140,38,FALSE)</f>
        <v>8</v>
      </c>
      <c r="G1546" s="2114" t="s">
        <v>157</v>
      </c>
      <c r="H1546" s="2104">
        <f>VLOOKUP(D1525,'Detail Balok'!$C$10:$AU$140,40,FALSE)</f>
        <v>200</v>
      </c>
      <c r="I1546" s="2097"/>
      <c r="J1546" s="2109">
        <f t="shared" ref="J1546" si="4929">(IF(D1546=0,(2*(D1526+G1526))-(F$5*8),IF(D1546=3,(2*(D1526+G1526))-(F$5*8)+(G1526-2*F$5),IF(D1546=4,(2*(D1526+G1526))-(F$5*8)+2*(G1526-2*F$5)))))/1000</f>
        <v>0.88</v>
      </c>
      <c r="K1546" s="2109" t="s">
        <v>204</v>
      </c>
      <c r="L1546" s="2108">
        <f t="shared" si="4922"/>
        <v>0.15</v>
      </c>
      <c r="M1546" s="2108" t="s">
        <v>176</v>
      </c>
      <c r="N1546" s="2108">
        <f t="shared" si="4923"/>
        <v>1.03</v>
      </c>
      <c r="O1546" s="2108"/>
      <c r="P1546" s="2098"/>
      <c r="Q1546" s="2108"/>
      <c r="R1546" s="2108"/>
      <c r="S1546" s="2108"/>
      <c r="T1546" s="2108" t="s">
        <v>125</v>
      </c>
      <c r="U1546" s="2110">
        <f t="shared" si="4924"/>
        <v>0.39456000000000002</v>
      </c>
      <c r="V1546" s="2108" t="s">
        <v>125</v>
      </c>
      <c r="W1546" s="2108">
        <f t="shared" ref="W1546" si="4930">IF(D1528-MAX(D1528/4,2*G1526)*2&gt;0,ROUND((D1528-MAX(D1528/4,2*G1526)*2)/H1546,0),0)</f>
        <v>8</v>
      </c>
      <c r="X1546" s="2108" t="s">
        <v>125</v>
      </c>
      <c r="Y1546" s="2098">
        <f t="shared" ref="Y1546" si="4931">D1531</f>
        <v>2</v>
      </c>
      <c r="Z1546" s="2109" t="s">
        <v>176</v>
      </c>
      <c r="AA1546" s="2111">
        <f t="shared" si="4927"/>
        <v>6.5023488000000009</v>
      </c>
      <c r="AB1546" s="2112"/>
    </row>
    <row r="1547" spans="1:28" s="2092" customFormat="1">
      <c r="A1547" s="2093" t="str">
        <f t="shared" ref="A1547:B1547" si="4932">A1525</f>
        <v>Lantai 1</v>
      </c>
      <c r="B1547" s="2094" t="str">
        <f t="shared" si="4932"/>
        <v>49A</v>
      </c>
      <c r="C1547" s="2102" t="s">
        <v>211</v>
      </c>
      <c r="D1547" s="2107">
        <f>VLOOKUP(D1525,'Detail Balok'!$C$10:$AU$140,41,FALSE)</f>
        <v>0</v>
      </c>
      <c r="E1547" s="2097" t="s">
        <v>16</v>
      </c>
      <c r="F1547" s="2097">
        <f>VLOOKUP(D1525,'Detail Balok'!$C$10:$AU$140,43,FALSE)</f>
        <v>8</v>
      </c>
      <c r="G1547" s="2114" t="s">
        <v>157</v>
      </c>
      <c r="H1547" s="2104">
        <f>VLOOKUP(D1525,'Detail Balok'!$C$10:$AU$140,45,FALSE)</f>
        <v>150</v>
      </c>
      <c r="I1547" s="2097"/>
      <c r="J1547" s="2109">
        <f t="shared" ref="J1547" si="4933">(IF(D1547=0,(2*(D1526+G1526))-(F$5*8),IF(D1547=3,(2*(D1526+G1526))-(F$5*8)+(G1526-2*F$5),IF(D1547=4,(2*(D1526+G1526))-(F$5*8)+2*(G1526-2*F$5)))))/1000</f>
        <v>0.88</v>
      </c>
      <c r="K1547" s="2109" t="s">
        <v>204</v>
      </c>
      <c r="L1547" s="2108">
        <f t="shared" si="4922"/>
        <v>0.15</v>
      </c>
      <c r="M1547" s="2108" t="s">
        <v>176</v>
      </c>
      <c r="N1547" s="2108">
        <f t="shared" si="4923"/>
        <v>1.03</v>
      </c>
      <c r="O1547" s="2108"/>
      <c r="P1547" s="2098"/>
      <c r="Q1547" s="2108"/>
      <c r="R1547" s="2108"/>
      <c r="S1547" s="2108"/>
      <c r="T1547" s="2108" t="s">
        <v>125</v>
      </c>
      <c r="U1547" s="2110">
        <f t="shared" si="4924"/>
        <v>0.39456000000000002</v>
      </c>
      <c r="V1547" s="2108" t="s">
        <v>125</v>
      </c>
      <c r="W1547" s="2108">
        <f t="shared" ref="W1547" si="4934">IF(D1528&gt;4*G1526,ROUND(MAX(D1528/4,2*G1526)/H1547,0)+1,0)</f>
        <v>6</v>
      </c>
      <c r="X1547" s="2108" t="s">
        <v>125</v>
      </c>
      <c r="Y1547" s="2098">
        <f t="shared" ref="Y1547" si="4935">D1531</f>
        <v>2</v>
      </c>
      <c r="Z1547" s="2109" t="s">
        <v>176</v>
      </c>
      <c r="AA1547" s="2111">
        <f t="shared" si="4927"/>
        <v>4.8767616000000009</v>
      </c>
      <c r="AB1547" s="2112"/>
    </row>
    <row r="1548" spans="1:28" s="2092" customFormat="1">
      <c r="A1548" s="2093"/>
      <c r="B1548" s="2094"/>
      <c r="C1548" s="2102"/>
      <c r="D1548" s="2103"/>
      <c r="E1548" s="2097"/>
      <c r="F1548" s="2097"/>
      <c r="G1548" s="2097"/>
      <c r="H1548" s="2104"/>
      <c r="I1548" s="2097"/>
      <c r="J1548" s="2108"/>
      <c r="K1548" s="2105"/>
      <c r="L1548" s="2105"/>
      <c r="M1548" s="2105"/>
      <c r="N1548" s="2105"/>
      <c r="O1548" s="2105"/>
      <c r="P1548" s="2098"/>
      <c r="Q1548" s="2105"/>
      <c r="R1548" s="2105"/>
      <c r="S1548" s="2105"/>
      <c r="T1548" s="2105"/>
      <c r="U1548" s="2110"/>
      <c r="V1548" s="2105"/>
      <c r="W1548" s="2097"/>
      <c r="X1548" s="2105"/>
      <c r="Y1548" s="2098"/>
      <c r="Z1548" s="2105"/>
      <c r="AA1548" s="2097"/>
      <c r="AB1548" s="2099"/>
    </row>
    <row r="1549" spans="1:28" s="2092" customFormat="1">
      <c r="A1549" s="2093" t="str">
        <f t="shared" ref="A1549:B1549" si="4936">A1525</f>
        <v>Lantai 1</v>
      </c>
      <c r="B1549" s="2094" t="str">
        <f t="shared" si="4936"/>
        <v>49A</v>
      </c>
      <c r="C1549" s="2102" t="s">
        <v>213</v>
      </c>
      <c r="D1549" s="2107">
        <f>VLOOKUP(D1525,'Detail Balok'!$C$10:$BJ$140,46,FALSE)</f>
        <v>0</v>
      </c>
      <c r="E1549" s="2097" t="s">
        <v>16</v>
      </c>
      <c r="F1549" s="2097">
        <f>VLOOKUP(D1525,'Detail Balok'!$C$10:$BJ$140,48,FALSE)</f>
        <v>0</v>
      </c>
      <c r="G1549" s="2114" t="s">
        <v>157</v>
      </c>
      <c r="H1549" s="2104">
        <f>VLOOKUP(D1525,'Detail Balok'!$C$10:$BJ$140,50,FALSE)</f>
        <v>100</v>
      </c>
      <c r="I1549" s="2097"/>
      <c r="J1549" s="2108">
        <f t="shared" ref="J1549" si="4937">(D1526-2*F$5)/1000</f>
        <v>0.12</v>
      </c>
      <c r="K1549" s="2109" t="s">
        <v>204</v>
      </c>
      <c r="L1549" s="2108">
        <f t="shared" ref="L1549:L1551" si="4938">IF(D1549=0,2*MAX(6*F1549,75),(D1549-1)*2*MAX(6*F1549,75))/1000</f>
        <v>0.15</v>
      </c>
      <c r="M1549" s="2108" t="s">
        <v>176</v>
      </c>
      <c r="N1549" s="2108">
        <f t="shared" ref="N1549:N1551" si="4939">J1549+L1549</f>
        <v>0.27</v>
      </c>
      <c r="O1549" s="2108"/>
      <c r="P1549" s="2108"/>
      <c r="Q1549" s="2108"/>
      <c r="R1549" s="2108"/>
      <c r="S1549" s="2108"/>
      <c r="T1549" s="2108" t="s">
        <v>125</v>
      </c>
      <c r="U1549" s="2110">
        <f t="shared" ref="U1549:U1551" si="4940">0.006165*F1549^2</f>
        <v>0</v>
      </c>
      <c r="V1549" s="2108" t="s">
        <v>125</v>
      </c>
      <c r="W1549" s="2108">
        <f t="shared" si="4846"/>
        <v>6</v>
      </c>
      <c r="X1549" s="2108" t="s">
        <v>125</v>
      </c>
      <c r="Y1549" s="2098">
        <f t="shared" ref="Y1549" si="4941">D1535</f>
        <v>3</v>
      </c>
      <c r="Z1549" s="2109" t="s">
        <v>176</v>
      </c>
      <c r="AA1549" s="2111">
        <f t="shared" ref="AA1549:AA1551" si="4942">N1549*U1549*W1549*Y1549</f>
        <v>0</v>
      </c>
      <c r="AB1549" s="2112"/>
    </row>
    <row r="1550" spans="1:28" s="2092" customFormat="1">
      <c r="A1550" s="2093" t="str">
        <f t="shared" ref="A1550:B1550" si="4943">A1525</f>
        <v>Lantai 1</v>
      </c>
      <c r="B1550" s="2094" t="str">
        <f t="shared" si="4943"/>
        <v>49A</v>
      </c>
      <c r="C1550" s="2102" t="s">
        <v>214</v>
      </c>
      <c r="D1550" s="2107">
        <f>VLOOKUP(D1525,'Detail Balok'!$C$10:$BJ$140,51,FALSE)</f>
        <v>0</v>
      </c>
      <c r="E1550" s="2097" t="s">
        <v>16</v>
      </c>
      <c r="F1550" s="2097">
        <f>VLOOKUP(D1525,'Detail Balok'!$C$10:$BJ$140,53,FALSE)</f>
        <v>0</v>
      </c>
      <c r="G1550" s="2114" t="s">
        <v>157</v>
      </c>
      <c r="H1550" s="2104">
        <f>VLOOKUP(D1525,'Detail Balok'!$C$10:$BJ$140,55,FALSE)</f>
        <v>100</v>
      </c>
      <c r="I1550" s="2097"/>
      <c r="J1550" s="2108">
        <f t="shared" ref="J1550" si="4944">(D1526-2*F$5)/1000</f>
        <v>0.12</v>
      </c>
      <c r="K1550" s="2109" t="s">
        <v>204</v>
      </c>
      <c r="L1550" s="2108">
        <f t="shared" si="4938"/>
        <v>0.15</v>
      </c>
      <c r="M1550" s="2108" t="s">
        <v>176</v>
      </c>
      <c r="N1550" s="2108">
        <f t="shared" si="4939"/>
        <v>0.27</v>
      </c>
      <c r="O1550" s="2108"/>
      <c r="P1550" s="2108"/>
      <c r="Q1550" s="2108"/>
      <c r="R1550" s="2108"/>
      <c r="S1550" s="2108"/>
      <c r="T1550" s="2108" t="s">
        <v>125</v>
      </c>
      <c r="U1550" s="2110">
        <f t="shared" si="4940"/>
        <v>0</v>
      </c>
      <c r="V1550" s="2108" t="s">
        <v>125</v>
      </c>
      <c r="W1550" s="2108">
        <f t="shared" si="4846"/>
        <v>8</v>
      </c>
      <c r="X1550" s="2108" t="s">
        <v>125</v>
      </c>
      <c r="Y1550" s="2098">
        <f t="shared" ref="Y1550" si="4945">D1535</f>
        <v>3</v>
      </c>
      <c r="Z1550" s="2109" t="s">
        <v>176</v>
      </c>
      <c r="AA1550" s="2111">
        <f t="shared" si="4942"/>
        <v>0</v>
      </c>
      <c r="AB1550" s="2112"/>
    </row>
    <row r="1551" spans="1:28" s="2092" customFormat="1">
      <c r="A1551" s="2093" t="str">
        <f t="shared" ref="A1551:B1551" si="4946">A1525</f>
        <v>Lantai 1</v>
      </c>
      <c r="B1551" s="2094" t="str">
        <f t="shared" si="4946"/>
        <v>49A</v>
      </c>
      <c r="C1551" s="2102" t="s">
        <v>213</v>
      </c>
      <c r="D1551" s="2107">
        <f>VLOOKUP(D1525,'Detail Balok'!$C$10:$BJ$140,56,FALSE)</f>
        <v>0</v>
      </c>
      <c r="E1551" s="2097" t="s">
        <v>16</v>
      </c>
      <c r="F1551" s="2097">
        <f>VLOOKUP(D1525,'Detail Balok'!$C$10:$BJ$140,58,FALSE)</f>
        <v>0</v>
      </c>
      <c r="G1551" s="2114" t="s">
        <v>157</v>
      </c>
      <c r="H1551" s="2104">
        <f>VLOOKUP(D1525,'Detail Balok'!$C$10:$BJ$140,60,FALSE)</f>
        <v>100</v>
      </c>
      <c r="I1551" s="2097"/>
      <c r="J1551" s="2108">
        <f t="shared" ref="J1551" si="4947">(D1526-2*F$5)/1000</f>
        <v>0.12</v>
      </c>
      <c r="K1551" s="2109" t="s">
        <v>204</v>
      </c>
      <c r="L1551" s="2108">
        <f t="shared" si="4938"/>
        <v>0.15</v>
      </c>
      <c r="M1551" s="2108" t="s">
        <v>176</v>
      </c>
      <c r="N1551" s="2108">
        <f t="shared" si="4939"/>
        <v>0.27</v>
      </c>
      <c r="O1551" s="2108"/>
      <c r="P1551" s="2108"/>
      <c r="Q1551" s="2108"/>
      <c r="R1551" s="2108"/>
      <c r="S1551" s="2108"/>
      <c r="T1551" s="2108" t="s">
        <v>125</v>
      </c>
      <c r="U1551" s="2110">
        <f t="shared" si="4940"/>
        <v>0</v>
      </c>
      <c r="V1551" s="2108" t="s">
        <v>125</v>
      </c>
      <c r="W1551" s="2108">
        <f t="shared" si="4846"/>
        <v>6</v>
      </c>
      <c r="X1551" s="2108" t="s">
        <v>125</v>
      </c>
      <c r="Y1551" s="2098">
        <f t="shared" ref="Y1551" si="4948">D1535</f>
        <v>3</v>
      </c>
      <c r="Z1551" s="2109" t="s">
        <v>176</v>
      </c>
      <c r="AA1551" s="2111">
        <f t="shared" si="4942"/>
        <v>0</v>
      </c>
      <c r="AB1551" s="2112"/>
    </row>
    <row r="1552" spans="1:28" s="2092" customFormat="1">
      <c r="A1552" s="2100"/>
      <c r="B1552" s="2101"/>
      <c r="C1552" s="2101"/>
      <c r="D1552" s="2103"/>
      <c r="E1552" s="2097"/>
      <c r="F1552" s="2097"/>
      <c r="G1552" s="2097"/>
      <c r="H1552" s="2104"/>
      <c r="I1552" s="2097"/>
      <c r="J1552" s="2111"/>
      <c r="K1552" s="2097"/>
      <c r="L1552" s="2097"/>
      <c r="M1552" s="2097"/>
      <c r="N1552" s="2097"/>
      <c r="O1552" s="2097"/>
      <c r="P1552" s="2097"/>
      <c r="Q1552" s="2097"/>
      <c r="R1552" s="2097"/>
      <c r="S1552" s="2097"/>
      <c r="T1552" s="2097"/>
      <c r="U1552" s="2097"/>
      <c r="V1552" s="2097"/>
      <c r="W1552" s="2097"/>
      <c r="X1552" s="2097"/>
      <c r="Y1552" s="2098"/>
      <c r="Z1552" s="2097"/>
      <c r="AA1552" s="2111"/>
      <c r="AB1552" s="2112"/>
    </row>
    <row r="1553" spans="1:28" s="2092" customFormat="1" ht="15.75" thickBot="1">
      <c r="A1553" s="2115"/>
      <c r="B1553" s="2116"/>
      <c r="C1553" s="2116"/>
      <c r="D1553" s="2117"/>
      <c r="E1553" s="2118"/>
      <c r="F1553" s="2118"/>
      <c r="G1553" s="2118"/>
      <c r="H1553" s="2119"/>
      <c r="I1553" s="2118"/>
      <c r="J1553" s="2118"/>
      <c r="K1553" s="2118"/>
      <c r="L1553" s="2118"/>
      <c r="M1553" s="2118"/>
      <c r="N1553" s="2118"/>
      <c r="O1553" s="2118"/>
      <c r="P1553" s="2118"/>
      <c r="Q1553" s="2118"/>
      <c r="R1553" s="2118"/>
      <c r="S1553" s="2118"/>
      <c r="T1553" s="2118"/>
      <c r="U1553" s="2118"/>
      <c r="V1553" s="2118"/>
      <c r="W1553" s="2118"/>
      <c r="X1553" s="2118"/>
      <c r="Y1553" s="2120"/>
      <c r="Z1553" s="2118"/>
      <c r="AA1553" s="2121"/>
      <c r="AB1553" s="2122"/>
    </row>
    <row r="1554" spans="1:28">
      <c r="A1554" s="377"/>
      <c r="B1554" s="378"/>
      <c r="C1554" s="378"/>
      <c r="D1554" s="379"/>
      <c r="E1554" s="380"/>
      <c r="F1554" s="380"/>
      <c r="G1554" s="380"/>
      <c r="H1554" s="381"/>
      <c r="I1554" s="380"/>
      <c r="J1554" s="380"/>
      <c r="K1554" s="380"/>
      <c r="L1554" s="380"/>
      <c r="M1554" s="380"/>
      <c r="N1554" s="380"/>
      <c r="O1554" s="380"/>
      <c r="P1554" s="380"/>
      <c r="Q1554" s="380"/>
      <c r="R1554" s="380"/>
      <c r="S1554" s="380"/>
      <c r="T1554" s="380"/>
      <c r="U1554" s="380"/>
      <c r="V1554" s="380"/>
      <c r="W1554" s="380"/>
      <c r="X1554" s="380"/>
      <c r="Y1554" s="382"/>
      <c r="Z1554" s="380"/>
      <c r="AA1554" s="380"/>
      <c r="AB1554" s="383"/>
    </row>
    <row r="1555" spans="1:28">
      <c r="A1555" s="384" t="str">
        <f>A1495</f>
        <v>Lantai 1</v>
      </c>
      <c r="B1555" s="385">
        <f>B1495+1</f>
        <v>50</v>
      </c>
      <c r="C1555" s="386" t="str">
        <f t="shared" ref="C1555" si="4949">CONCATENATE(A1555," no. ",B1555)</f>
        <v>Lantai 1 no. 50</v>
      </c>
      <c r="D1555" s="2562" t="str">
        <f>VLOOKUP(C1555,'Data Panjang Balok'!$C$9:$N$254,2,FALSE)</f>
        <v>S24-1</v>
      </c>
      <c r="E1555" s="2576"/>
      <c r="F1555" s="2576"/>
      <c r="G1555" s="2576"/>
      <c r="H1555" s="2577"/>
      <c r="I1555" s="387"/>
      <c r="J1555" s="388"/>
      <c r="K1555" s="388"/>
      <c r="L1555" s="388"/>
      <c r="M1555" s="388"/>
      <c r="N1555" s="388"/>
      <c r="O1555" s="388"/>
      <c r="P1555" s="388"/>
      <c r="Q1555" s="388"/>
      <c r="R1555" s="388"/>
      <c r="S1555" s="388"/>
      <c r="T1555" s="388"/>
      <c r="U1555" s="388"/>
      <c r="V1555" s="388"/>
      <c r="W1555" s="388"/>
      <c r="X1555" s="388"/>
      <c r="Y1555" s="389"/>
      <c r="Z1555" s="388"/>
      <c r="AA1555" s="388"/>
      <c r="AB1555" s="390"/>
    </row>
    <row r="1556" spans="1:28">
      <c r="A1556" s="391"/>
      <c r="B1556" s="392"/>
      <c r="C1556" s="393" t="s">
        <v>118</v>
      </c>
      <c r="D1556" s="2578">
        <f>VLOOKUP(D1555,'Detail Balok'!$C$10:$AU$140,2,FALSE)</f>
        <v>200</v>
      </c>
      <c r="E1556" s="2579"/>
      <c r="F1556" s="388" t="s">
        <v>125</v>
      </c>
      <c r="G1556" s="2579">
        <f>VLOOKUP(D1555,'Detail Balok'!$C$10:$AU$140,3,FALSE)</f>
        <v>400</v>
      </c>
      <c r="H1556" s="2580"/>
      <c r="I1556" s="388"/>
      <c r="J1556" s="396"/>
      <c r="K1556" s="396"/>
      <c r="L1556" s="396"/>
      <c r="M1556" s="396"/>
      <c r="N1556" s="396"/>
      <c r="O1556" s="396"/>
      <c r="P1556" s="396"/>
      <c r="Q1556" s="396"/>
      <c r="R1556" s="396"/>
      <c r="S1556" s="396"/>
      <c r="T1556" s="396"/>
      <c r="U1556" s="388"/>
      <c r="V1556" s="396"/>
      <c r="W1556" s="388"/>
      <c r="X1556" s="396"/>
      <c r="Y1556" s="389"/>
      <c r="Z1556" s="396"/>
      <c r="AA1556" s="388"/>
      <c r="AB1556" s="390"/>
    </row>
    <row r="1557" spans="1:28">
      <c r="A1557" s="391"/>
      <c r="B1557" s="392"/>
      <c r="C1557" s="393" t="s">
        <v>198</v>
      </c>
      <c r="D1557" s="2562">
        <f>VLOOKUP(C1555,'Data Panjang Balok'!$C$9:$N$254,4,FALSE)</f>
        <v>1975</v>
      </c>
      <c r="E1557" s="2563"/>
      <c r="F1557" s="2563"/>
      <c r="G1557" s="2563"/>
      <c r="H1557" s="2564"/>
      <c r="I1557" s="397"/>
      <c r="J1557" s="396"/>
      <c r="K1557" s="396"/>
      <c r="L1557" s="396"/>
      <c r="M1557" s="396"/>
      <c r="N1557" s="396"/>
      <c r="O1557" s="396"/>
      <c r="P1557" s="396"/>
      <c r="Q1557" s="396"/>
      <c r="R1557" s="396"/>
      <c r="S1557" s="396"/>
      <c r="T1557" s="396"/>
      <c r="U1557" s="388"/>
      <c r="V1557" s="396"/>
      <c r="W1557" s="388"/>
      <c r="X1557" s="396"/>
      <c r="Y1557" s="389"/>
      <c r="Z1557" s="396"/>
      <c r="AA1557" s="388"/>
      <c r="AB1557" s="390"/>
    </row>
    <row r="1558" spans="1:28">
      <c r="A1558" s="391"/>
      <c r="B1558" s="392"/>
      <c r="C1558" s="393" t="s">
        <v>199</v>
      </c>
      <c r="D1558" s="2562">
        <f>VLOOKUP(C1555,'Data Panjang Balok'!$C$9:$N$254,7,FALSE)</f>
        <v>1975</v>
      </c>
      <c r="E1558" s="2563"/>
      <c r="F1558" s="2563"/>
      <c r="G1558" s="2563"/>
      <c r="H1558" s="2564"/>
      <c r="I1558" s="397"/>
      <c r="J1558" s="396"/>
      <c r="K1558" s="396"/>
      <c r="L1558" s="396"/>
      <c r="M1558" s="396"/>
      <c r="N1558" s="396"/>
      <c r="O1558" s="396"/>
      <c r="P1558" s="396"/>
      <c r="Q1558" s="396"/>
      <c r="R1558" s="396"/>
      <c r="S1558" s="396"/>
      <c r="T1558" s="396"/>
      <c r="U1558" s="388"/>
      <c r="V1558" s="396"/>
      <c r="W1558" s="388"/>
      <c r="X1558" s="396"/>
      <c r="Y1558" s="389"/>
      <c r="Z1558" s="396"/>
      <c r="AA1558" s="388"/>
      <c r="AB1558" s="390"/>
    </row>
    <row r="1559" spans="1:28">
      <c r="A1559" s="391"/>
      <c r="B1559" s="392"/>
      <c r="C1559" s="393" t="s">
        <v>200</v>
      </c>
      <c r="D1559" s="2562">
        <f>VLOOKUP(C1555,'Data Panjang Balok'!$C$9:$N$254,9,FALSE)</f>
        <v>0</v>
      </c>
      <c r="E1559" s="2563"/>
      <c r="F1559" s="2563"/>
      <c r="G1559" s="2563"/>
      <c r="H1559" s="2564"/>
      <c r="I1559" s="397"/>
      <c r="J1559" s="396"/>
      <c r="K1559" s="396"/>
      <c r="L1559" s="396"/>
      <c r="M1559" s="396"/>
      <c r="N1559" s="396"/>
      <c r="O1559" s="396"/>
      <c r="P1559" s="396"/>
      <c r="Q1559" s="396"/>
      <c r="R1559" s="396"/>
      <c r="S1559" s="396"/>
      <c r="T1559" s="396"/>
      <c r="U1559" s="388"/>
      <c r="V1559" s="396"/>
      <c r="W1559" s="388"/>
      <c r="X1559" s="396"/>
      <c r="Y1559" s="389"/>
      <c r="Z1559" s="396"/>
      <c r="AA1559" s="388"/>
      <c r="AB1559" s="390"/>
    </row>
    <row r="1560" spans="1:28">
      <c r="A1560" s="391"/>
      <c r="B1560" s="392"/>
      <c r="C1560" s="393" t="s">
        <v>201</v>
      </c>
      <c r="D1560" s="2562">
        <f>VLOOKUP(C1555,'Data Panjang Balok'!$C$9:$N$254,10,FALSE)</f>
        <v>0</v>
      </c>
      <c r="E1560" s="2563"/>
      <c r="F1560" s="2563"/>
      <c r="G1560" s="2563"/>
      <c r="H1560" s="2564"/>
      <c r="I1560" s="397"/>
      <c r="J1560" s="396"/>
      <c r="K1560" s="396"/>
      <c r="L1560" s="396"/>
      <c r="M1560" s="396"/>
      <c r="N1560" s="396"/>
      <c r="O1560" s="396"/>
      <c r="P1560" s="396"/>
      <c r="Q1560" s="396"/>
      <c r="R1560" s="396"/>
      <c r="S1560" s="396"/>
      <c r="T1560" s="396"/>
      <c r="U1560" s="388"/>
      <c r="V1560" s="396"/>
      <c r="W1560" s="388"/>
      <c r="X1560" s="396"/>
      <c r="Y1560" s="389"/>
      <c r="Z1560" s="396"/>
      <c r="AA1560" s="388"/>
      <c r="AB1560" s="390"/>
    </row>
    <row r="1561" spans="1:28">
      <c r="A1561" s="391"/>
      <c r="B1561" s="392"/>
      <c r="C1561" s="393" t="s">
        <v>48</v>
      </c>
      <c r="D1561" s="2562">
        <f>VLOOKUP(C1555,'Data Panjang Balok'!$C$9:$N$254,3,FALSE)</f>
        <v>1</v>
      </c>
      <c r="E1561" s="2563"/>
      <c r="F1561" s="2563"/>
      <c r="G1561" s="2563"/>
      <c r="H1561" s="2564"/>
      <c r="I1561" s="397"/>
      <c r="J1561" s="396"/>
      <c r="K1561" s="396"/>
      <c r="L1561" s="396"/>
      <c r="M1561" s="396"/>
      <c r="N1561" s="396"/>
      <c r="O1561" s="396"/>
      <c r="P1561" s="396"/>
      <c r="Q1561" s="396"/>
      <c r="R1561" s="396"/>
      <c r="S1561" s="396"/>
      <c r="T1561" s="396"/>
      <c r="U1561" s="388"/>
      <c r="V1561" s="396"/>
      <c r="W1561" s="388"/>
      <c r="X1561" s="396"/>
      <c r="Y1561" s="389"/>
      <c r="Z1561" s="396"/>
      <c r="AA1561" s="388"/>
      <c r="AB1561" s="390"/>
    </row>
    <row r="1562" spans="1:28">
      <c r="A1562" s="384" t="str">
        <f t="shared" ref="A1562:B1562" si="4950">A1555</f>
        <v>Lantai 1</v>
      </c>
      <c r="B1562" s="385">
        <f t="shared" si="4950"/>
        <v>50</v>
      </c>
      <c r="C1562" s="393" t="s">
        <v>202</v>
      </c>
      <c r="D1562" s="398">
        <f>VLOOKUP(D1555,'Detail Balok'!$C$10:$AU$140,4,FALSE)</f>
        <v>3</v>
      </c>
      <c r="E1562" s="388" t="s">
        <v>16</v>
      </c>
      <c r="F1562" s="388">
        <f>VLOOKUP(D1555,'Detail Balok'!$C$10:$AU$140,6,FALSE)</f>
        <v>13</v>
      </c>
      <c r="G1562" s="388"/>
      <c r="H1562" s="395"/>
      <c r="I1562" s="388" t="s">
        <v>203</v>
      </c>
      <c r="J1562" s="399">
        <f t="shared" ref="J1562" si="4951">+D1557/4/1000</f>
        <v>0.49375000000000002</v>
      </c>
      <c r="K1562" s="400" t="s">
        <v>204</v>
      </c>
      <c r="L1562" s="399">
        <f t="shared" ref="L1562" si="4952">MAX(VLOOKUP(F1562,N$6:P$15,3,FALSE)/1000,2/3*D1559/1000)+F$16*F1562/1000</f>
        <v>0.156</v>
      </c>
      <c r="M1562" s="399" t="s">
        <v>176</v>
      </c>
      <c r="N1562" s="399">
        <f t="shared" ref="N1562:N1564" si="4953">J1562+L1562</f>
        <v>0.64975000000000005</v>
      </c>
      <c r="O1562" s="399" t="s">
        <v>204</v>
      </c>
      <c r="P1562" s="389">
        <f t="shared" ref="P1562" si="4954">D1562-D1563</f>
        <v>0</v>
      </c>
      <c r="Q1562" s="399" t="s">
        <v>125</v>
      </c>
      <c r="R1562" s="399">
        <f t="shared" ref="R1562" si="4955">IF(P1562&gt;0,$F$18*F1562/1000,0)</f>
        <v>0</v>
      </c>
      <c r="S1562" s="399" t="s">
        <v>205</v>
      </c>
      <c r="T1562" s="399" t="s">
        <v>125</v>
      </c>
      <c r="U1562" s="401">
        <f t="shared" ref="U1562:U1564" si="4956">0.006165*F1562^2</f>
        <v>1.041885</v>
      </c>
      <c r="V1562" s="399"/>
      <c r="W1562" s="399"/>
      <c r="X1562" s="399" t="s">
        <v>125</v>
      </c>
      <c r="Y1562" s="389">
        <f t="shared" ref="Y1562" si="4957">D1561</f>
        <v>1</v>
      </c>
      <c r="Z1562" s="400" t="s">
        <v>176</v>
      </c>
      <c r="AA1562" s="402">
        <f t="shared" ref="AA1562" si="4958">IF(AA1565=0,(D1562*N1562+P1562*R1562)*U1562*Y1562,0)</f>
        <v>0</v>
      </c>
      <c r="AB1562" s="403"/>
    </row>
    <row r="1563" spans="1:28">
      <c r="A1563" s="384" t="str">
        <f t="shared" ref="A1563:B1563" si="4959">A1555</f>
        <v>Lantai 1</v>
      </c>
      <c r="B1563" s="385">
        <f t="shared" si="4959"/>
        <v>50</v>
      </c>
      <c r="C1563" s="393" t="s">
        <v>206</v>
      </c>
      <c r="D1563" s="398">
        <f>VLOOKUP(D1555,'Detail Balok'!$C$10:$AU$140,7,FALSE)</f>
        <v>3</v>
      </c>
      <c r="E1563" s="388" t="s">
        <v>16</v>
      </c>
      <c r="F1563" s="388">
        <f>VLOOKUP(D1555,'Detail Balok'!$C$10:$AU$140,9,FALSE)</f>
        <v>13</v>
      </c>
      <c r="G1563" s="388"/>
      <c r="H1563" s="395"/>
      <c r="I1563" s="388" t="s">
        <v>203</v>
      </c>
      <c r="J1563" s="399">
        <f t="shared" ref="J1563" si="4960">+D1557/2/1000</f>
        <v>0.98750000000000004</v>
      </c>
      <c r="K1563" s="400" t="s">
        <v>204</v>
      </c>
      <c r="L1563" s="399"/>
      <c r="M1563" s="399" t="s">
        <v>176</v>
      </c>
      <c r="N1563" s="399">
        <f t="shared" si="4953"/>
        <v>0.98750000000000004</v>
      </c>
      <c r="O1563" s="399" t="s">
        <v>204</v>
      </c>
      <c r="P1563" s="389">
        <f t="shared" ref="P1563" si="4961">MAX(D1563-D1562,D1563-D1564)</f>
        <v>0</v>
      </c>
      <c r="Q1563" s="399" t="s">
        <v>125</v>
      </c>
      <c r="R1563" s="399">
        <f t="shared" ref="R1563" si="4962">IF(P1563&gt;0,2*(1-2*$F$19-1/2)*D1558/1000,0)</f>
        <v>0</v>
      </c>
      <c r="S1563" s="399" t="s">
        <v>205</v>
      </c>
      <c r="T1563" s="399" t="s">
        <v>125</v>
      </c>
      <c r="U1563" s="401">
        <f t="shared" si="4956"/>
        <v>1.041885</v>
      </c>
      <c r="V1563" s="399"/>
      <c r="W1563" s="399"/>
      <c r="X1563" s="399" t="s">
        <v>125</v>
      </c>
      <c r="Y1563" s="389">
        <f t="shared" ref="Y1563" si="4963">D1561</f>
        <v>1</v>
      </c>
      <c r="Z1563" s="400" t="s">
        <v>176</v>
      </c>
      <c r="AA1563" s="402">
        <f t="shared" ref="AA1563" si="4964">IF(AA1565=0,(D1563*N1563+P1563*R1563)*U1563*Y1563,0)</f>
        <v>0</v>
      </c>
      <c r="AB1563" s="403"/>
    </row>
    <row r="1564" spans="1:28">
      <c r="A1564" s="384" t="str">
        <f t="shared" ref="A1564:B1564" si="4965">A1555</f>
        <v>Lantai 1</v>
      </c>
      <c r="B1564" s="385">
        <f t="shared" si="4965"/>
        <v>50</v>
      </c>
      <c r="C1564" s="393" t="s">
        <v>202</v>
      </c>
      <c r="D1564" s="398">
        <f>VLOOKUP(D1555,'Detail Balok'!$C$10:$AU$140,10,FALSE)</f>
        <v>3</v>
      </c>
      <c r="E1564" s="388" t="s">
        <v>16</v>
      </c>
      <c r="F1564" s="388">
        <f>VLOOKUP(D1555,'Detail Balok'!$C$10:$AU$140,12,FALSE)</f>
        <v>13</v>
      </c>
      <c r="G1564" s="388"/>
      <c r="H1564" s="395"/>
      <c r="I1564" s="388" t="s">
        <v>203</v>
      </c>
      <c r="J1564" s="399">
        <f t="shared" ref="J1564" si="4966">+D1557/4/1000</f>
        <v>0.49375000000000002</v>
      </c>
      <c r="K1564" s="400" t="s">
        <v>204</v>
      </c>
      <c r="L1564" s="399">
        <f t="shared" ref="L1564" si="4967">MAX(VLOOKUP(F1564,N$6:P$15,3,FALSE)/1000,2/3*D1559/1000)+F$16*F1564/1000</f>
        <v>0.156</v>
      </c>
      <c r="M1564" s="399" t="s">
        <v>176</v>
      </c>
      <c r="N1564" s="399">
        <f t="shared" si="4953"/>
        <v>0.64975000000000005</v>
      </c>
      <c r="O1564" s="399" t="s">
        <v>204</v>
      </c>
      <c r="P1564" s="389">
        <f t="shared" ref="P1564" si="4968">D1564-D1563</f>
        <v>0</v>
      </c>
      <c r="Q1564" s="399" t="s">
        <v>125</v>
      </c>
      <c r="R1564" s="399">
        <f t="shared" ref="R1564" si="4969">IF(P1564&gt;0,$F$18*F1564/1000,0)</f>
        <v>0</v>
      </c>
      <c r="S1564" s="399" t="s">
        <v>205</v>
      </c>
      <c r="T1564" s="399" t="s">
        <v>125</v>
      </c>
      <c r="U1564" s="401">
        <f t="shared" si="4956"/>
        <v>1.041885</v>
      </c>
      <c r="V1564" s="399"/>
      <c r="W1564" s="399"/>
      <c r="X1564" s="399" t="s">
        <v>125</v>
      </c>
      <c r="Y1564" s="389">
        <f t="shared" ref="Y1564" si="4970">D1561</f>
        <v>1</v>
      </c>
      <c r="Z1564" s="400" t="s">
        <v>176</v>
      </c>
      <c r="AA1564" s="402">
        <f t="shared" ref="AA1564" si="4971">IF(AA1565=0,(D1564*N1564+P1564*R1564)*U1564*Y1564,0)</f>
        <v>0</v>
      </c>
      <c r="AB1564" s="403"/>
    </row>
    <row r="1565" spans="1:28">
      <c r="A1565" s="384" t="str">
        <f t="shared" ref="A1565:B1565" si="4972">A1555</f>
        <v>Lantai 1</v>
      </c>
      <c r="B1565" s="385">
        <f t="shared" si="4972"/>
        <v>50</v>
      </c>
      <c r="C1565" s="393"/>
      <c r="D1565" s="398">
        <f t="shared" si="4776"/>
        <v>3</v>
      </c>
      <c r="E1565" s="388" t="s">
        <v>16</v>
      </c>
      <c r="F1565" s="388">
        <f t="shared" si="4777"/>
        <v>13</v>
      </c>
      <c r="G1565" s="388"/>
      <c r="H1565" s="395"/>
      <c r="I1565" s="388"/>
      <c r="J1565" s="396"/>
      <c r="K1565" s="396"/>
      <c r="L1565" s="404" t="s">
        <v>207</v>
      </c>
      <c r="M1565" s="399" t="s">
        <v>176</v>
      </c>
      <c r="N1565" s="399">
        <f t="shared" ref="N1565" si="4973">IF(AND(D1562=D1563,D1562=D1564,D1563=D1564,F1562=F1563,F1562=F1564,F1563=F1564),SUM(N1562:N1564),0)</f>
        <v>2.2869999999999999</v>
      </c>
      <c r="O1565" s="399" t="s">
        <v>204</v>
      </c>
      <c r="P1565" s="389">
        <f t="shared" ref="P1565" si="4974">IF(N1565&gt;12,ROUNDDOWN(N1565/12,0),0)</f>
        <v>0</v>
      </c>
      <c r="Q1565" s="399" t="s">
        <v>125</v>
      </c>
      <c r="R1565" s="399">
        <f t="shared" ref="R1565" si="4975">IF(P1565&gt;0,MAX(VLOOKUP(F1565,$D$6:$G$15,3,FALSE),600),0)/1000</f>
        <v>0</v>
      </c>
      <c r="S1565" s="396"/>
      <c r="T1565" s="396" t="s">
        <v>125</v>
      </c>
      <c r="U1565" s="401">
        <f t="shared" si="4781"/>
        <v>1.041885</v>
      </c>
      <c r="V1565" s="396" t="s">
        <v>125</v>
      </c>
      <c r="W1565" s="399">
        <f t="shared" ref="W1565" si="4976">D1565</f>
        <v>3</v>
      </c>
      <c r="X1565" s="399" t="s">
        <v>125</v>
      </c>
      <c r="Y1565" s="389">
        <f t="shared" si="4783"/>
        <v>1</v>
      </c>
      <c r="Z1565" s="400" t="s">
        <v>176</v>
      </c>
      <c r="AA1565" s="402">
        <f t="shared" ref="AA1565" si="4977">(N1565+P1565*R1565/1000)*U1565*W1565*Y1565</f>
        <v>7.1483729849999991</v>
      </c>
      <c r="AB1565" s="390"/>
    </row>
    <row r="1566" spans="1:28">
      <c r="A1566" s="384"/>
      <c r="B1566" s="385"/>
      <c r="C1566" s="393"/>
      <c r="D1566" s="398"/>
      <c r="E1566" s="388"/>
      <c r="F1566" s="388"/>
      <c r="G1566" s="388"/>
      <c r="H1566" s="395"/>
      <c r="I1566" s="388"/>
      <c r="J1566" s="396"/>
      <c r="K1566" s="396"/>
      <c r="L1566" s="404"/>
      <c r="M1566" s="399"/>
      <c r="N1566" s="399"/>
      <c r="O1566" s="396"/>
      <c r="P1566" s="389"/>
      <c r="Q1566" s="396"/>
      <c r="R1566" s="396"/>
      <c r="S1566" s="396"/>
      <c r="T1566" s="396"/>
      <c r="U1566" s="401"/>
      <c r="V1566" s="396"/>
      <c r="W1566" s="399"/>
      <c r="X1566" s="396"/>
      <c r="Y1566" s="389"/>
      <c r="Z1566" s="396"/>
      <c r="AA1566" s="388"/>
      <c r="AB1566" s="390"/>
    </row>
    <row r="1567" spans="1:28">
      <c r="A1567" s="384" t="str">
        <f t="shared" ref="A1567:B1567" si="4978">A1555</f>
        <v>Lantai 1</v>
      </c>
      <c r="B1567" s="385">
        <f t="shared" si="4978"/>
        <v>50</v>
      </c>
      <c r="C1567" s="393" t="s">
        <v>208</v>
      </c>
      <c r="D1567" s="398">
        <f>VLOOKUP(D1555,'Detail Balok'!$C$10:$AU$140,13,FALSE)</f>
        <v>0</v>
      </c>
      <c r="E1567" s="388" t="s">
        <v>16</v>
      </c>
      <c r="F1567" s="388">
        <f>VLOOKUP(D1555,'Detail Balok'!$C$10:$AU$140,15,FALSE)</f>
        <v>8</v>
      </c>
      <c r="G1567" s="388"/>
      <c r="H1567" s="395"/>
      <c r="I1567" s="388"/>
      <c r="J1567" s="399">
        <f t="shared" ref="J1567" si="4979">+D1557/1000</f>
        <v>1.9750000000000001</v>
      </c>
      <c r="K1567" s="400" t="s">
        <v>204</v>
      </c>
      <c r="L1567" s="399">
        <f t="shared" ref="L1567" si="4980">2*$F$16*F1567/1000</f>
        <v>0.192</v>
      </c>
      <c r="M1567" s="399" t="s">
        <v>176</v>
      </c>
      <c r="N1567" s="399">
        <f t="shared" ref="N1567" si="4981">J1567+L1567</f>
        <v>2.1670000000000003</v>
      </c>
      <c r="O1567" s="399" t="s">
        <v>204</v>
      </c>
      <c r="P1567" s="389">
        <f t="shared" ref="P1567" si="4982">IF(N1567&gt;12,ROUNDDOWN(N1567/12,0),0)</f>
        <v>0</v>
      </c>
      <c r="Q1567" s="399" t="s">
        <v>125</v>
      </c>
      <c r="R1567" s="399">
        <f t="shared" ref="R1567" si="4983">IF(P1567&gt;0,MAX(VLOOKUP(F1567,$D$6:$G$15,3,FALSE),600),0)/1000</f>
        <v>0</v>
      </c>
      <c r="S1567" s="399"/>
      <c r="T1567" s="399" t="s">
        <v>125</v>
      </c>
      <c r="U1567" s="401">
        <f t="shared" ref="U1567" si="4984">0.006165*F1567^2</f>
        <v>0.39456000000000002</v>
      </c>
      <c r="V1567" s="399" t="s">
        <v>125</v>
      </c>
      <c r="W1567" s="399">
        <f t="shared" ref="W1567" si="4985">+D1567</f>
        <v>0</v>
      </c>
      <c r="X1567" s="399" t="s">
        <v>125</v>
      </c>
      <c r="Y1567" s="389">
        <f t="shared" ref="Y1567" si="4986">D1561</f>
        <v>1</v>
      </c>
      <c r="Z1567" s="400" t="s">
        <v>176</v>
      </c>
      <c r="AA1567" s="402">
        <f t="shared" ref="AA1567" si="4987">(N1567+P1567*R1567/1000)*U1567*W1567*Y1567</f>
        <v>0</v>
      </c>
      <c r="AB1567" s="403"/>
    </row>
    <row r="1568" spans="1:28">
      <c r="A1568" s="384"/>
      <c r="B1568" s="385"/>
      <c r="C1568" s="393"/>
      <c r="D1568" s="398"/>
      <c r="E1568" s="388"/>
      <c r="F1568" s="388"/>
      <c r="G1568" s="388"/>
      <c r="H1568" s="395"/>
      <c r="I1568" s="388"/>
      <c r="J1568" s="399"/>
      <c r="K1568" s="400"/>
      <c r="L1568" s="399"/>
      <c r="M1568" s="399"/>
      <c r="N1568" s="399"/>
      <c r="O1568" s="399"/>
      <c r="P1568" s="389"/>
      <c r="Q1568" s="399"/>
      <c r="R1568" s="399"/>
      <c r="S1568" s="399"/>
      <c r="T1568" s="399"/>
      <c r="U1568" s="401"/>
      <c r="V1568" s="399"/>
      <c r="W1568" s="399"/>
      <c r="X1568" s="399"/>
      <c r="Y1568" s="389"/>
      <c r="Z1568" s="400"/>
      <c r="AA1568" s="402"/>
      <c r="AB1568" s="403"/>
    </row>
    <row r="1569" spans="1:28">
      <c r="A1569" s="384"/>
      <c r="B1569" s="385"/>
      <c r="C1569" s="393"/>
      <c r="D1569" s="398"/>
      <c r="E1569" s="388"/>
      <c r="F1569" s="388"/>
      <c r="G1569" s="388"/>
      <c r="H1569" s="395"/>
      <c r="I1569" s="388"/>
      <c r="J1569" s="396"/>
      <c r="K1569" s="396"/>
      <c r="L1569" s="396"/>
      <c r="M1569" s="396"/>
      <c r="N1569" s="396"/>
      <c r="O1569" s="396"/>
      <c r="P1569" s="389"/>
      <c r="Q1569" s="396"/>
      <c r="R1569" s="396"/>
      <c r="S1569" s="396"/>
      <c r="T1569" s="396"/>
      <c r="U1569" s="401"/>
      <c r="V1569" s="396"/>
      <c r="W1569" s="399"/>
      <c r="X1569" s="396"/>
      <c r="Y1569" s="389"/>
      <c r="Z1569" s="396"/>
      <c r="AA1569" s="388"/>
      <c r="AB1569" s="390"/>
    </row>
    <row r="1570" spans="1:28">
      <c r="A1570" s="384" t="str">
        <f t="shared" ref="A1570:B1570" si="4988">A1555</f>
        <v>Lantai 1</v>
      </c>
      <c r="B1570" s="385">
        <f t="shared" si="4988"/>
        <v>50</v>
      </c>
      <c r="C1570" s="393" t="s">
        <v>209</v>
      </c>
      <c r="D1570" s="398">
        <f>VLOOKUP(D1555,'Detail Balok'!$C$10:$AU$140,22,FALSE)</f>
        <v>3</v>
      </c>
      <c r="E1570" s="388" t="s">
        <v>16</v>
      </c>
      <c r="F1570" s="388">
        <f>VLOOKUP(D1555,'Detail Balok'!$C$10:$AU$140,24,FALSE)</f>
        <v>13</v>
      </c>
      <c r="G1570" s="388"/>
      <c r="H1570" s="395"/>
      <c r="I1570" s="388" t="s">
        <v>203</v>
      </c>
      <c r="J1570" s="399">
        <f t="shared" si="4796"/>
        <v>0.49375000000000002</v>
      </c>
      <c r="K1570" s="400" t="s">
        <v>204</v>
      </c>
      <c r="L1570" s="399">
        <f t="shared" ref="L1570" si="4989">MAX(VLOOKUP(F1570,N$6:P$15,3,FALSE)/1000,2/3*D1560/1000)+F$16*F1570/1000</f>
        <v>0.156</v>
      </c>
      <c r="M1570" s="399" t="s">
        <v>176</v>
      </c>
      <c r="N1570" s="399">
        <f t="shared" ref="N1570:N1572" si="4990">J1570+L1570</f>
        <v>0.64975000000000005</v>
      </c>
      <c r="O1570" s="399" t="s">
        <v>204</v>
      </c>
      <c r="P1570" s="389">
        <f t="shared" ref="P1570" si="4991">D1570-D1571</f>
        <v>0</v>
      </c>
      <c r="Q1570" s="399" t="s">
        <v>125</v>
      </c>
      <c r="R1570" s="399">
        <f t="shared" ref="R1570" si="4992">IF(P1570&gt;0,$F$18*F1570/1000,0)</f>
        <v>0</v>
      </c>
      <c r="S1570" s="399" t="s">
        <v>205</v>
      </c>
      <c r="T1570" s="399" t="s">
        <v>125</v>
      </c>
      <c r="U1570" s="401">
        <f t="shared" ref="U1570:U1572" si="4993">0.006165*F1570^2</f>
        <v>1.041885</v>
      </c>
      <c r="V1570" s="399"/>
      <c r="W1570" s="399"/>
      <c r="X1570" s="399" t="s">
        <v>125</v>
      </c>
      <c r="Y1570" s="389">
        <f t="shared" ref="Y1570" si="4994">D1561</f>
        <v>1</v>
      </c>
      <c r="Z1570" s="400" t="s">
        <v>176</v>
      </c>
      <c r="AA1570" s="402">
        <f t="shared" ref="AA1570" si="4995">IF(AA1573=0,(D1570*N1570+P1570*R1570)*U1570*Y1570,0)</f>
        <v>0</v>
      </c>
      <c r="AB1570" s="403"/>
    </row>
    <row r="1571" spans="1:28">
      <c r="A1571" s="384" t="str">
        <f t="shared" ref="A1571:B1571" si="4996">A1555</f>
        <v>Lantai 1</v>
      </c>
      <c r="B1571" s="385">
        <f t="shared" si="4996"/>
        <v>50</v>
      </c>
      <c r="C1571" s="393" t="s">
        <v>210</v>
      </c>
      <c r="D1571" s="398">
        <f>VLOOKUP(D1555,'Detail Balok'!$C$10:$AU$140,25,FALSE)</f>
        <v>3</v>
      </c>
      <c r="E1571" s="388" t="s">
        <v>16</v>
      </c>
      <c r="F1571" s="388">
        <f>VLOOKUP(D1555,'Detail Balok'!$C$10:$AU$140,27,FALSE)</f>
        <v>13</v>
      </c>
      <c r="G1571" s="388"/>
      <c r="H1571" s="395"/>
      <c r="I1571" s="388" t="s">
        <v>203</v>
      </c>
      <c r="J1571" s="399">
        <f t="shared" si="4796"/>
        <v>0.98750000000000004</v>
      </c>
      <c r="K1571" s="400" t="s">
        <v>204</v>
      </c>
      <c r="L1571" s="399"/>
      <c r="M1571" s="399" t="s">
        <v>176</v>
      </c>
      <c r="N1571" s="399">
        <f t="shared" si="4990"/>
        <v>0.98750000000000004</v>
      </c>
      <c r="O1571" s="399" t="s">
        <v>204</v>
      </c>
      <c r="P1571" s="389">
        <f t="shared" ref="P1571" si="4997">MAX(D1571-D1570,D1571-D1572)</f>
        <v>0</v>
      </c>
      <c r="Q1571" s="399" t="s">
        <v>125</v>
      </c>
      <c r="R1571" s="399">
        <f t="shared" ref="R1571" si="4998">IF(P1571&gt;0,2*(1-2*$F$19-1/2)*D1558/1000,0)</f>
        <v>0</v>
      </c>
      <c r="S1571" s="399" t="s">
        <v>205</v>
      </c>
      <c r="T1571" s="399" t="s">
        <v>125</v>
      </c>
      <c r="U1571" s="401">
        <f t="shared" si="4993"/>
        <v>1.041885</v>
      </c>
      <c r="V1571" s="399"/>
      <c r="W1571" s="399"/>
      <c r="X1571" s="399" t="s">
        <v>125</v>
      </c>
      <c r="Y1571" s="389">
        <f t="shared" ref="Y1571" si="4999">D1561</f>
        <v>1</v>
      </c>
      <c r="Z1571" s="400" t="s">
        <v>176</v>
      </c>
      <c r="AA1571" s="402">
        <f t="shared" ref="AA1571" si="5000">IF(AA1573=0,(D1571*N1571+P1571*R1571)*U1571*Y1571,0)</f>
        <v>0</v>
      </c>
      <c r="AB1571" s="403"/>
    </row>
    <row r="1572" spans="1:28">
      <c r="A1572" s="384" t="str">
        <f t="shared" ref="A1572:B1572" si="5001">A1555</f>
        <v>Lantai 1</v>
      </c>
      <c r="B1572" s="385">
        <f t="shared" si="5001"/>
        <v>50</v>
      </c>
      <c r="C1572" s="393" t="s">
        <v>209</v>
      </c>
      <c r="D1572" s="398">
        <f>VLOOKUP(D1555,'Detail Balok'!$C$10:$AU$140,28,FALSE)</f>
        <v>3</v>
      </c>
      <c r="E1572" s="388" t="s">
        <v>16</v>
      </c>
      <c r="F1572" s="388">
        <f>VLOOKUP(D1555,'Detail Balok'!$C$10:$AU$140,30,FALSE)</f>
        <v>13</v>
      </c>
      <c r="G1572" s="388"/>
      <c r="H1572" s="395"/>
      <c r="I1572" s="388" t="s">
        <v>203</v>
      </c>
      <c r="J1572" s="399">
        <f t="shared" si="4796"/>
        <v>0.49375000000000002</v>
      </c>
      <c r="K1572" s="400" t="s">
        <v>204</v>
      </c>
      <c r="L1572" s="399">
        <f t="shared" ref="L1572" si="5002">MAX(VLOOKUP(F1572,N$6:P$15,3,FALSE)/1000,2/3*D1560/1000)+F$16*F1572/1000</f>
        <v>0.156</v>
      </c>
      <c r="M1572" s="399" t="s">
        <v>176</v>
      </c>
      <c r="N1572" s="399">
        <f t="shared" si="4990"/>
        <v>0.64975000000000005</v>
      </c>
      <c r="O1572" s="399" t="s">
        <v>204</v>
      </c>
      <c r="P1572" s="389">
        <f t="shared" ref="P1572" si="5003">D1572-D1571</f>
        <v>0</v>
      </c>
      <c r="Q1572" s="399" t="s">
        <v>125</v>
      </c>
      <c r="R1572" s="399">
        <f t="shared" ref="R1572" si="5004">IF(P1572&gt;0,$F$18*F1572/1000,0)</f>
        <v>0</v>
      </c>
      <c r="S1572" s="399" t="s">
        <v>205</v>
      </c>
      <c r="T1572" s="399" t="s">
        <v>125</v>
      </c>
      <c r="U1572" s="401">
        <f t="shared" si="4993"/>
        <v>1.041885</v>
      </c>
      <c r="V1572" s="399"/>
      <c r="W1572" s="399"/>
      <c r="X1572" s="399" t="s">
        <v>125</v>
      </c>
      <c r="Y1572" s="389">
        <f t="shared" ref="Y1572" si="5005">D1561</f>
        <v>1</v>
      </c>
      <c r="Z1572" s="400" t="s">
        <v>176</v>
      </c>
      <c r="AA1572" s="402">
        <f t="shared" ref="AA1572" si="5006">IF(AA1573=0,(D1572*N1572+P1572*R1572)*U1572*Y1572,0)</f>
        <v>0</v>
      </c>
      <c r="AB1572" s="403"/>
    </row>
    <row r="1573" spans="1:28">
      <c r="A1573" s="384" t="str">
        <f t="shared" ref="A1573:B1573" si="5007">A1555</f>
        <v>Lantai 1</v>
      </c>
      <c r="B1573" s="385">
        <f t="shared" si="5007"/>
        <v>50</v>
      </c>
      <c r="C1573" s="393"/>
      <c r="D1573" s="398">
        <f t="shared" si="4816"/>
        <v>3</v>
      </c>
      <c r="E1573" s="388" t="s">
        <v>16</v>
      </c>
      <c r="F1573" s="388">
        <f t="shared" si="4817"/>
        <v>13</v>
      </c>
      <c r="G1573" s="388"/>
      <c r="H1573" s="395"/>
      <c r="I1573" s="388"/>
      <c r="J1573" s="396"/>
      <c r="K1573" s="396"/>
      <c r="L1573" s="404" t="s">
        <v>207</v>
      </c>
      <c r="M1573" s="399" t="s">
        <v>176</v>
      </c>
      <c r="N1573" s="399">
        <f t="shared" ref="N1573" si="5008">IF(AND(D1570=D1571,D1570=D1572,D1571=D1572,F1570=F1571,F1570=F1572,F1571=F1572),SUM(N1570:N1572),0)</f>
        <v>2.2869999999999999</v>
      </c>
      <c r="O1573" s="399" t="s">
        <v>204</v>
      </c>
      <c r="P1573" s="389">
        <f t="shared" ref="P1573" si="5009">IF(N1573&gt;12,ROUNDDOWN(N1573/12,0),0)</f>
        <v>0</v>
      </c>
      <c r="Q1573" s="399" t="s">
        <v>125</v>
      </c>
      <c r="R1573" s="399">
        <f t="shared" ref="R1573" si="5010">IF(P1573&gt;0,MAX(VLOOKUP(F1573,$D$6:$G$15,3,FALSE),600),0)/1000</f>
        <v>0</v>
      </c>
      <c r="S1573" s="396"/>
      <c r="T1573" s="396" t="s">
        <v>125</v>
      </c>
      <c r="U1573" s="401">
        <f t="shared" si="4821"/>
        <v>1.041885</v>
      </c>
      <c r="V1573" s="396" t="s">
        <v>125</v>
      </c>
      <c r="W1573" s="399">
        <f t="shared" ref="W1573" si="5011">D1573</f>
        <v>3</v>
      </c>
      <c r="X1573" s="399" t="s">
        <v>125</v>
      </c>
      <c r="Y1573" s="389">
        <f t="shared" si="4823"/>
        <v>1</v>
      </c>
      <c r="Z1573" s="400" t="s">
        <v>176</v>
      </c>
      <c r="AA1573" s="402">
        <f t="shared" ref="AA1573" si="5012">(N1573+P1573*R1573/1000)*U1573*W1573*Y1573</f>
        <v>7.1483729849999991</v>
      </c>
      <c r="AB1573" s="403"/>
    </row>
    <row r="1574" spans="1:28">
      <c r="A1574" s="384"/>
      <c r="B1574" s="385"/>
      <c r="C1574" s="393"/>
      <c r="D1574" s="394"/>
      <c r="E1574" s="388"/>
      <c r="F1574" s="388"/>
      <c r="G1574" s="388"/>
      <c r="H1574" s="395"/>
      <c r="I1574" s="388"/>
      <c r="J1574" s="399"/>
      <c r="K1574" s="396"/>
      <c r="L1574" s="396"/>
      <c r="M1574" s="396"/>
      <c r="N1574" s="396"/>
      <c r="O1574" s="396"/>
      <c r="P1574" s="389"/>
      <c r="Q1574" s="396"/>
      <c r="R1574" s="396"/>
      <c r="S1574" s="396"/>
      <c r="T1574" s="396"/>
      <c r="U1574" s="401"/>
      <c r="V1574" s="396"/>
      <c r="W1574" s="388"/>
      <c r="X1574" s="396"/>
      <c r="Y1574" s="389"/>
      <c r="Z1574" s="396"/>
      <c r="AA1574" s="388"/>
      <c r="AB1574" s="390"/>
    </row>
    <row r="1575" spans="1:28">
      <c r="A1575" s="384" t="str">
        <f t="shared" ref="A1575:B1575" si="5013">A1555</f>
        <v>Lantai 1</v>
      </c>
      <c r="B1575" s="385">
        <f t="shared" si="5013"/>
        <v>50</v>
      </c>
      <c r="C1575" s="393" t="s">
        <v>211</v>
      </c>
      <c r="D1575" s="398">
        <f>VLOOKUP(D1555,'Detail Balok'!$C$10:$AU$140,31,FALSE)</f>
        <v>0</v>
      </c>
      <c r="E1575" s="388" t="s">
        <v>16</v>
      </c>
      <c r="F1575" s="388">
        <f>VLOOKUP(D1555,'Detail Balok'!$C$10:$AU$140,33,FALSE)</f>
        <v>8</v>
      </c>
      <c r="G1575" s="405" t="s">
        <v>157</v>
      </c>
      <c r="H1575" s="395">
        <f>VLOOKUP(D1555,'Detail Balok'!$C$10:$AU$140,35,FALSE)</f>
        <v>150</v>
      </c>
      <c r="I1575" s="388"/>
      <c r="J1575" s="400">
        <f t="shared" ref="J1575" si="5014">(IF(D1575=0,(2*(D1556+G1556))-(F$5*8),IF(D1575=3,(2*(D1556+G1556))-(F$5*8)+(G1556-2*F$5),IF(D1575=4,(2*(D1556+G1556))-(F$5*8)+2*(G1556-2*F$5)))))/1000</f>
        <v>0.88</v>
      </c>
      <c r="K1575" s="400" t="s">
        <v>204</v>
      </c>
      <c r="L1575" s="399">
        <f t="shared" ref="L1575:L1577" si="5015">IF(D1575=0,2*MAX(6*F1575,75),(D1575-1)*2*MAX(6*F1575,75))/1000</f>
        <v>0.15</v>
      </c>
      <c r="M1575" s="399" t="s">
        <v>176</v>
      </c>
      <c r="N1575" s="399">
        <f t="shared" ref="N1575:N1577" si="5016">J1575+L1575</f>
        <v>1.03</v>
      </c>
      <c r="O1575" s="399"/>
      <c r="P1575" s="389"/>
      <c r="Q1575" s="399"/>
      <c r="R1575" s="399"/>
      <c r="S1575" s="399"/>
      <c r="T1575" s="399" t="s">
        <v>125</v>
      </c>
      <c r="U1575" s="401">
        <f t="shared" ref="U1575:U1577" si="5017">0.006165*F1575^2</f>
        <v>0.39456000000000002</v>
      </c>
      <c r="V1575" s="399" t="s">
        <v>125</v>
      </c>
      <c r="W1575" s="399">
        <f t="shared" ref="W1575" si="5018">IF(D1558&gt;4*G1556,ROUND(MAX(D1558/4,2*G1556)/H1575,0)+1,ROUND(D1558/H1575,0)+1)</f>
        <v>6</v>
      </c>
      <c r="X1575" s="399" t="s">
        <v>125</v>
      </c>
      <c r="Y1575" s="389">
        <f t="shared" ref="Y1575" si="5019">D1561</f>
        <v>1</v>
      </c>
      <c r="Z1575" s="400" t="s">
        <v>176</v>
      </c>
      <c r="AA1575" s="402">
        <f t="shared" ref="AA1575:AA1577" si="5020">N1575*U1575*W1575*Y1575</f>
        <v>2.4383808000000005</v>
      </c>
      <c r="AB1575" s="403"/>
    </row>
    <row r="1576" spans="1:28">
      <c r="A1576" s="384" t="str">
        <f t="shared" ref="A1576:B1576" si="5021">A1555</f>
        <v>Lantai 1</v>
      </c>
      <c r="B1576" s="385">
        <f t="shared" si="5021"/>
        <v>50</v>
      </c>
      <c r="C1576" s="393" t="s">
        <v>212</v>
      </c>
      <c r="D1576" s="398">
        <f>VLOOKUP(D1555,'Detail Balok'!$C$10:$AU$140,36,FALSE)</f>
        <v>0</v>
      </c>
      <c r="E1576" s="388" t="s">
        <v>16</v>
      </c>
      <c r="F1576" s="388">
        <f>VLOOKUP(D1555,'Detail Balok'!$C$10:$AU$140,38,FALSE)</f>
        <v>8</v>
      </c>
      <c r="G1576" s="405" t="s">
        <v>157</v>
      </c>
      <c r="H1576" s="395">
        <f>VLOOKUP(D1555,'Detail Balok'!$C$10:$AU$140,40,FALSE)</f>
        <v>200</v>
      </c>
      <c r="I1576" s="388"/>
      <c r="J1576" s="400">
        <f t="shared" ref="J1576" si="5022">(IF(D1576=0,(2*(D1556+G1556))-(F$5*8),IF(D1576=3,(2*(D1556+G1556))-(F$5*8)+(G1556-2*F$5),IF(D1576=4,(2*(D1556+G1556))-(F$5*8)+2*(G1556-2*F$5)))))/1000</f>
        <v>0.88</v>
      </c>
      <c r="K1576" s="400" t="s">
        <v>204</v>
      </c>
      <c r="L1576" s="399">
        <f t="shared" si="5015"/>
        <v>0.15</v>
      </c>
      <c r="M1576" s="399" t="s">
        <v>176</v>
      </c>
      <c r="N1576" s="399">
        <f t="shared" si="5016"/>
        <v>1.03</v>
      </c>
      <c r="O1576" s="399"/>
      <c r="P1576" s="389"/>
      <c r="Q1576" s="399"/>
      <c r="R1576" s="399"/>
      <c r="S1576" s="399"/>
      <c r="T1576" s="399" t="s">
        <v>125</v>
      </c>
      <c r="U1576" s="401">
        <f t="shared" si="5017"/>
        <v>0.39456000000000002</v>
      </c>
      <c r="V1576" s="399" t="s">
        <v>125</v>
      </c>
      <c r="W1576" s="399">
        <f t="shared" ref="W1576" si="5023">IF(D1558-MAX(D1558/4,2*G1556)*2&gt;0,ROUND((D1558-MAX(D1558/4,2*G1556)*2)/H1576,0),0)</f>
        <v>2</v>
      </c>
      <c r="X1576" s="399" t="s">
        <v>125</v>
      </c>
      <c r="Y1576" s="389">
        <f t="shared" ref="Y1576" si="5024">D1561</f>
        <v>1</v>
      </c>
      <c r="Z1576" s="400" t="s">
        <v>176</v>
      </c>
      <c r="AA1576" s="402">
        <f t="shared" si="5020"/>
        <v>0.81279360000000012</v>
      </c>
      <c r="AB1576" s="403"/>
    </row>
    <row r="1577" spans="1:28">
      <c r="A1577" s="384" t="str">
        <f t="shared" ref="A1577:B1577" si="5025">A1555</f>
        <v>Lantai 1</v>
      </c>
      <c r="B1577" s="385">
        <f t="shared" si="5025"/>
        <v>50</v>
      </c>
      <c r="C1577" s="393" t="s">
        <v>211</v>
      </c>
      <c r="D1577" s="398">
        <f>VLOOKUP(D1555,'Detail Balok'!$C$10:$AU$140,41,FALSE)</f>
        <v>0</v>
      </c>
      <c r="E1577" s="388" t="s">
        <v>16</v>
      </c>
      <c r="F1577" s="388">
        <f>VLOOKUP(D1555,'Detail Balok'!$C$10:$AU$140,43,FALSE)</f>
        <v>8</v>
      </c>
      <c r="G1577" s="405" t="s">
        <v>157</v>
      </c>
      <c r="H1577" s="395">
        <f>VLOOKUP(D1555,'Detail Balok'!$C$10:$AU$140,45,FALSE)</f>
        <v>150</v>
      </c>
      <c r="I1577" s="388"/>
      <c r="J1577" s="400">
        <f t="shared" ref="J1577" si="5026">(IF(D1577=0,(2*(D1556+G1556))-(F$5*8),IF(D1577=3,(2*(D1556+G1556))-(F$5*8)+(G1556-2*F$5),IF(D1577=4,(2*(D1556+G1556))-(F$5*8)+2*(G1556-2*F$5)))))/1000</f>
        <v>0.88</v>
      </c>
      <c r="K1577" s="400" t="s">
        <v>204</v>
      </c>
      <c r="L1577" s="399">
        <f t="shared" si="5015"/>
        <v>0.15</v>
      </c>
      <c r="M1577" s="399" t="s">
        <v>176</v>
      </c>
      <c r="N1577" s="399">
        <f t="shared" si="5016"/>
        <v>1.03</v>
      </c>
      <c r="O1577" s="399"/>
      <c r="P1577" s="389"/>
      <c r="Q1577" s="399"/>
      <c r="R1577" s="399"/>
      <c r="S1577" s="399"/>
      <c r="T1577" s="399" t="s">
        <v>125</v>
      </c>
      <c r="U1577" s="401">
        <f t="shared" si="5017"/>
        <v>0.39456000000000002</v>
      </c>
      <c r="V1577" s="399" t="s">
        <v>125</v>
      </c>
      <c r="W1577" s="399">
        <f t="shared" ref="W1577" si="5027">IF(D1558&gt;4*G1556,ROUND(MAX(D1558/4,2*G1556)/H1577,0)+1,0)</f>
        <v>6</v>
      </c>
      <c r="X1577" s="399" t="s">
        <v>125</v>
      </c>
      <c r="Y1577" s="389">
        <f t="shared" ref="Y1577" si="5028">D1561</f>
        <v>1</v>
      </c>
      <c r="Z1577" s="400" t="s">
        <v>176</v>
      </c>
      <c r="AA1577" s="402">
        <f t="shared" si="5020"/>
        <v>2.4383808000000005</v>
      </c>
      <c r="AB1577" s="403"/>
    </row>
    <row r="1578" spans="1:28">
      <c r="A1578" s="384"/>
      <c r="B1578" s="385"/>
      <c r="C1578" s="393"/>
      <c r="D1578" s="394"/>
      <c r="E1578" s="388"/>
      <c r="F1578" s="388"/>
      <c r="G1578" s="388"/>
      <c r="H1578" s="395"/>
      <c r="I1578" s="388"/>
      <c r="J1578" s="399"/>
      <c r="K1578" s="396"/>
      <c r="L1578" s="396"/>
      <c r="M1578" s="396"/>
      <c r="N1578" s="396"/>
      <c r="O1578" s="396"/>
      <c r="P1578" s="389"/>
      <c r="Q1578" s="396"/>
      <c r="R1578" s="396"/>
      <c r="S1578" s="396"/>
      <c r="T1578" s="396"/>
      <c r="U1578" s="401"/>
      <c r="V1578" s="396"/>
      <c r="W1578" s="388"/>
      <c r="X1578" s="396"/>
      <c r="Y1578" s="389"/>
      <c r="Z1578" s="396"/>
      <c r="AA1578" s="388"/>
      <c r="AB1578" s="390"/>
    </row>
    <row r="1579" spans="1:28">
      <c r="A1579" s="384" t="str">
        <f t="shared" ref="A1579:B1579" si="5029">A1555</f>
        <v>Lantai 1</v>
      </c>
      <c r="B1579" s="385">
        <f t="shared" si="5029"/>
        <v>50</v>
      </c>
      <c r="C1579" s="393" t="s">
        <v>213</v>
      </c>
      <c r="D1579" s="398">
        <f>VLOOKUP(D1555,'Detail Balok'!$C$10:$BJ$140,46,FALSE)</f>
        <v>0</v>
      </c>
      <c r="E1579" s="388" t="s">
        <v>16</v>
      </c>
      <c r="F1579" s="388">
        <f>VLOOKUP(D1555,'Detail Balok'!$C$10:$BJ$140,48,FALSE)</f>
        <v>0</v>
      </c>
      <c r="G1579" s="405" t="s">
        <v>157</v>
      </c>
      <c r="H1579" s="395">
        <f>VLOOKUP(D1555,'Detail Balok'!$C$10:$BJ$140,50,FALSE)</f>
        <v>100</v>
      </c>
      <c r="I1579" s="388"/>
      <c r="J1579" s="399">
        <f t="shared" ref="J1579" si="5030">(D1556-2*F$5)/1000</f>
        <v>0.12</v>
      </c>
      <c r="K1579" s="400" t="s">
        <v>204</v>
      </c>
      <c r="L1579" s="399">
        <f t="shared" ref="L1579:L1581" si="5031">IF(D1579=0,2*MAX(6*F1579,75),(D1579-1)*2*MAX(6*F1579,75))/1000</f>
        <v>0.15</v>
      </c>
      <c r="M1579" s="399" t="s">
        <v>176</v>
      </c>
      <c r="N1579" s="399">
        <f t="shared" ref="N1579:N1581" si="5032">J1579+L1579</f>
        <v>0.27</v>
      </c>
      <c r="O1579" s="399"/>
      <c r="P1579" s="399"/>
      <c r="Q1579" s="399"/>
      <c r="R1579" s="399"/>
      <c r="S1579" s="399"/>
      <c r="T1579" s="399" t="s">
        <v>125</v>
      </c>
      <c r="U1579" s="401">
        <f t="shared" ref="U1579:U1581" si="5033">0.006165*F1579^2</f>
        <v>0</v>
      </c>
      <c r="V1579" s="399" t="s">
        <v>125</v>
      </c>
      <c r="W1579" s="399">
        <f t="shared" si="4846"/>
        <v>6</v>
      </c>
      <c r="X1579" s="399" t="s">
        <v>125</v>
      </c>
      <c r="Y1579" s="389">
        <f t="shared" ref="Y1579" si="5034">D1565</f>
        <v>3</v>
      </c>
      <c r="Z1579" s="400" t="s">
        <v>176</v>
      </c>
      <c r="AA1579" s="402">
        <f t="shared" ref="AA1579:AA1581" si="5035">N1579*U1579*W1579*Y1579</f>
        <v>0</v>
      </c>
      <c r="AB1579" s="403"/>
    </row>
    <row r="1580" spans="1:28">
      <c r="A1580" s="384" t="str">
        <f t="shared" ref="A1580:B1580" si="5036">A1555</f>
        <v>Lantai 1</v>
      </c>
      <c r="B1580" s="385">
        <f t="shared" si="5036"/>
        <v>50</v>
      </c>
      <c r="C1580" s="393" t="s">
        <v>214</v>
      </c>
      <c r="D1580" s="398">
        <f>VLOOKUP(D1555,'Detail Balok'!$C$10:$BJ$140,51,FALSE)</f>
        <v>0</v>
      </c>
      <c r="E1580" s="388" t="s">
        <v>16</v>
      </c>
      <c r="F1580" s="388">
        <f>VLOOKUP(D1555,'Detail Balok'!$C$10:$BJ$140,53,FALSE)</f>
        <v>0</v>
      </c>
      <c r="G1580" s="405" t="s">
        <v>157</v>
      </c>
      <c r="H1580" s="395">
        <f>VLOOKUP(D1555,'Detail Balok'!$C$10:$BJ$140,55,FALSE)</f>
        <v>100</v>
      </c>
      <c r="I1580" s="388"/>
      <c r="J1580" s="399">
        <f t="shared" ref="J1580" si="5037">(D1556-2*F$5)/1000</f>
        <v>0.12</v>
      </c>
      <c r="K1580" s="400" t="s">
        <v>204</v>
      </c>
      <c r="L1580" s="399">
        <f t="shared" si="5031"/>
        <v>0.15</v>
      </c>
      <c r="M1580" s="399" t="s">
        <v>176</v>
      </c>
      <c r="N1580" s="399">
        <f t="shared" si="5032"/>
        <v>0.27</v>
      </c>
      <c r="O1580" s="399"/>
      <c r="P1580" s="399"/>
      <c r="Q1580" s="399"/>
      <c r="R1580" s="399"/>
      <c r="S1580" s="399"/>
      <c r="T1580" s="399" t="s">
        <v>125</v>
      </c>
      <c r="U1580" s="401">
        <f t="shared" si="5033"/>
        <v>0</v>
      </c>
      <c r="V1580" s="399" t="s">
        <v>125</v>
      </c>
      <c r="W1580" s="399">
        <f t="shared" si="4846"/>
        <v>2</v>
      </c>
      <c r="X1580" s="399" t="s">
        <v>125</v>
      </c>
      <c r="Y1580" s="389">
        <f t="shared" ref="Y1580" si="5038">D1565</f>
        <v>3</v>
      </c>
      <c r="Z1580" s="400" t="s">
        <v>176</v>
      </c>
      <c r="AA1580" s="402">
        <f t="shared" si="5035"/>
        <v>0</v>
      </c>
      <c r="AB1580" s="403"/>
    </row>
    <row r="1581" spans="1:28">
      <c r="A1581" s="384" t="str">
        <f t="shared" ref="A1581:B1581" si="5039">A1555</f>
        <v>Lantai 1</v>
      </c>
      <c r="B1581" s="385">
        <f t="shared" si="5039"/>
        <v>50</v>
      </c>
      <c r="C1581" s="393" t="s">
        <v>213</v>
      </c>
      <c r="D1581" s="398">
        <f>VLOOKUP(D1555,'Detail Balok'!$C$10:$BJ$140,56,FALSE)</f>
        <v>0</v>
      </c>
      <c r="E1581" s="388" t="s">
        <v>16</v>
      </c>
      <c r="F1581" s="388">
        <f>VLOOKUP(D1555,'Detail Balok'!$C$10:$BJ$140,58,FALSE)</f>
        <v>0</v>
      </c>
      <c r="G1581" s="405" t="s">
        <v>157</v>
      </c>
      <c r="H1581" s="395">
        <f>VLOOKUP(D1555,'Detail Balok'!$C$10:$BJ$140,60,FALSE)</f>
        <v>100</v>
      </c>
      <c r="I1581" s="388"/>
      <c r="J1581" s="399">
        <f t="shared" ref="J1581" si="5040">(D1556-2*F$5)/1000</f>
        <v>0.12</v>
      </c>
      <c r="K1581" s="400" t="s">
        <v>204</v>
      </c>
      <c r="L1581" s="399">
        <f t="shared" si="5031"/>
        <v>0.15</v>
      </c>
      <c r="M1581" s="399" t="s">
        <v>176</v>
      </c>
      <c r="N1581" s="399">
        <f t="shared" si="5032"/>
        <v>0.27</v>
      </c>
      <c r="O1581" s="399"/>
      <c r="P1581" s="399"/>
      <c r="Q1581" s="399"/>
      <c r="R1581" s="399"/>
      <c r="S1581" s="399"/>
      <c r="T1581" s="399" t="s">
        <v>125</v>
      </c>
      <c r="U1581" s="401">
        <f t="shared" si="5033"/>
        <v>0</v>
      </c>
      <c r="V1581" s="399" t="s">
        <v>125</v>
      </c>
      <c r="W1581" s="399">
        <f t="shared" si="4846"/>
        <v>6</v>
      </c>
      <c r="X1581" s="399" t="s">
        <v>125</v>
      </c>
      <c r="Y1581" s="389">
        <f t="shared" ref="Y1581" si="5041">D1565</f>
        <v>3</v>
      </c>
      <c r="Z1581" s="400" t="s">
        <v>176</v>
      </c>
      <c r="AA1581" s="402">
        <f t="shared" si="5035"/>
        <v>0</v>
      </c>
      <c r="AB1581" s="403"/>
    </row>
    <row r="1582" spans="1:28">
      <c r="A1582" s="391"/>
      <c r="B1582" s="392"/>
      <c r="C1582" s="392"/>
      <c r="D1582" s="394"/>
      <c r="E1582" s="388"/>
      <c r="F1582" s="388"/>
      <c r="G1582" s="388"/>
      <c r="H1582" s="395"/>
      <c r="I1582" s="388"/>
      <c r="J1582" s="402"/>
      <c r="K1582" s="388"/>
      <c r="L1582" s="388"/>
      <c r="M1582" s="388"/>
      <c r="N1582" s="388"/>
      <c r="O1582" s="388"/>
      <c r="P1582" s="388"/>
      <c r="Q1582" s="388"/>
      <c r="R1582" s="388"/>
      <c r="S1582" s="388"/>
      <c r="T1582" s="388"/>
      <c r="U1582" s="388"/>
      <c r="V1582" s="388"/>
      <c r="W1582" s="388"/>
      <c r="X1582" s="388"/>
      <c r="Y1582" s="389"/>
      <c r="Z1582" s="388"/>
      <c r="AA1582" s="402"/>
      <c r="AB1582" s="403"/>
    </row>
    <row r="1583" spans="1:28" ht="15.75" thickBot="1">
      <c r="A1583" s="406"/>
      <c r="B1583" s="407"/>
      <c r="C1583" s="407"/>
      <c r="D1583" s="408"/>
      <c r="E1583" s="409"/>
      <c r="F1583" s="409"/>
      <c r="G1583" s="409"/>
      <c r="H1583" s="410"/>
      <c r="I1583" s="409"/>
      <c r="J1583" s="409"/>
      <c r="K1583" s="409"/>
      <c r="L1583" s="409"/>
      <c r="M1583" s="409"/>
      <c r="N1583" s="409"/>
      <c r="O1583" s="409"/>
      <c r="P1583" s="409"/>
      <c r="Q1583" s="409"/>
      <c r="R1583" s="409"/>
      <c r="S1583" s="409"/>
      <c r="T1583" s="409"/>
      <c r="U1583" s="409"/>
      <c r="V1583" s="409"/>
      <c r="W1583" s="409"/>
      <c r="X1583" s="409"/>
      <c r="Y1583" s="411"/>
      <c r="Z1583" s="409"/>
      <c r="AA1583" s="412"/>
      <c r="AB1583" s="413"/>
    </row>
    <row r="1584" spans="1:28">
      <c r="A1584" s="377"/>
      <c r="B1584" s="378"/>
      <c r="C1584" s="378"/>
      <c r="D1584" s="379"/>
      <c r="E1584" s="380"/>
      <c r="F1584" s="380"/>
      <c r="G1584" s="380"/>
      <c r="H1584" s="381"/>
      <c r="I1584" s="380"/>
      <c r="J1584" s="380"/>
      <c r="K1584" s="380"/>
      <c r="L1584" s="380"/>
      <c r="M1584" s="380"/>
      <c r="N1584" s="380"/>
      <c r="O1584" s="380"/>
      <c r="P1584" s="380"/>
      <c r="Q1584" s="380"/>
      <c r="R1584" s="380"/>
      <c r="S1584" s="380"/>
      <c r="T1584" s="380"/>
      <c r="U1584" s="380"/>
      <c r="V1584" s="380"/>
      <c r="W1584" s="380"/>
      <c r="X1584" s="380"/>
      <c r="Y1584" s="382"/>
      <c r="Z1584" s="380"/>
      <c r="AA1584" s="380"/>
      <c r="AB1584" s="383"/>
    </row>
    <row r="1585" spans="1:28">
      <c r="A1585" s="384" t="str">
        <f t="shared" ref="A1585:A1615" si="5042">A1555</f>
        <v>Lantai 1</v>
      </c>
      <c r="B1585" s="385">
        <f t="shared" ref="B1585:B1615" si="5043">B1555+1</f>
        <v>51</v>
      </c>
      <c r="C1585" s="386" t="str">
        <f t="shared" ref="C1585" si="5044">CONCATENATE(A1585," no. ",B1585)</f>
        <v>Lantai 1 no. 51</v>
      </c>
      <c r="D1585" s="2562" t="str">
        <f>VLOOKUP(C1585,'Data Panjang Balok'!$C$9:$N$254,2,FALSE)</f>
        <v>S25-1</v>
      </c>
      <c r="E1585" s="2576"/>
      <c r="F1585" s="2576"/>
      <c r="G1585" s="2576"/>
      <c r="H1585" s="2577"/>
      <c r="I1585" s="387"/>
      <c r="J1585" s="388"/>
      <c r="K1585" s="388"/>
      <c r="L1585" s="388"/>
      <c r="M1585" s="388"/>
      <c r="N1585" s="388"/>
      <c r="O1585" s="388"/>
      <c r="P1585" s="388"/>
      <c r="Q1585" s="388"/>
      <c r="R1585" s="388"/>
      <c r="S1585" s="388"/>
      <c r="T1585" s="388"/>
      <c r="U1585" s="388"/>
      <c r="V1585" s="388"/>
      <c r="W1585" s="388"/>
      <c r="X1585" s="388"/>
      <c r="Y1585" s="389"/>
      <c r="Z1585" s="388"/>
      <c r="AA1585" s="388"/>
      <c r="AB1585" s="390"/>
    </row>
    <row r="1586" spans="1:28">
      <c r="A1586" s="391"/>
      <c r="B1586" s="392"/>
      <c r="C1586" s="393" t="s">
        <v>118</v>
      </c>
      <c r="D1586" s="2578">
        <f>VLOOKUP(D1585,'Detail Balok'!$C$10:$AU$140,2,FALSE)</f>
        <v>200</v>
      </c>
      <c r="E1586" s="2579"/>
      <c r="F1586" s="388" t="s">
        <v>125</v>
      </c>
      <c r="G1586" s="2579">
        <f>VLOOKUP(D1585,'Detail Balok'!$C$10:$AU$140,3,FALSE)</f>
        <v>500</v>
      </c>
      <c r="H1586" s="2580"/>
      <c r="I1586" s="388"/>
      <c r="J1586" s="396"/>
      <c r="K1586" s="396"/>
      <c r="L1586" s="396"/>
      <c r="M1586" s="396"/>
      <c r="N1586" s="396"/>
      <c r="O1586" s="396"/>
      <c r="P1586" s="396"/>
      <c r="Q1586" s="396"/>
      <c r="R1586" s="396"/>
      <c r="S1586" s="396"/>
      <c r="T1586" s="396"/>
      <c r="U1586" s="388"/>
      <c r="V1586" s="396"/>
      <c r="W1586" s="388"/>
      <c r="X1586" s="396"/>
      <c r="Y1586" s="389"/>
      <c r="Z1586" s="396"/>
      <c r="AA1586" s="388"/>
      <c r="AB1586" s="390"/>
    </row>
    <row r="1587" spans="1:28">
      <c r="A1587" s="391"/>
      <c r="B1587" s="392"/>
      <c r="C1587" s="393" t="s">
        <v>198</v>
      </c>
      <c r="D1587" s="2562">
        <f>VLOOKUP(C1585,'Data Panjang Balok'!$C$9:$N$254,4,FALSE)</f>
        <v>4000</v>
      </c>
      <c r="E1587" s="2563"/>
      <c r="F1587" s="2563"/>
      <c r="G1587" s="2563"/>
      <c r="H1587" s="2564"/>
      <c r="I1587" s="397"/>
      <c r="J1587" s="396"/>
      <c r="K1587" s="396"/>
      <c r="L1587" s="396"/>
      <c r="M1587" s="396"/>
      <c r="N1587" s="396"/>
      <c r="O1587" s="396"/>
      <c r="P1587" s="396"/>
      <c r="Q1587" s="396"/>
      <c r="R1587" s="396"/>
      <c r="S1587" s="396"/>
      <c r="T1587" s="396"/>
      <c r="U1587" s="388"/>
      <c r="V1587" s="396"/>
      <c r="W1587" s="388"/>
      <c r="X1587" s="396"/>
      <c r="Y1587" s="389"/>
      <c r="Z1587" s="396"/>
      <c r="AA1587" s="388"/>
      <c r="AB1587" s="390"/>
    </row>
    <row r="1588" spans="1:28">
      <c r="A1588" s="391"/>
      <c r="B1588" s="392"/>
      <c r="C1588" s="393" t="s">
        <v>199</v>
      </c>
      <c r="D1588" s="2562">
        <f>VLOOKUP(C1585,'Data Panjang Balok'!$C$9:$N$254,7,FALSE)</f>
        <v>4000</v>
      </c>
      <c r="E1588" s="2563"/>
      <c r="F1588" s="2563"/>
      <c r="G1588" s="2563"/>
      <c r="H1588" s="2564"/>
      <c r="I1588" s="397"/>
      <c r="J1588" s="396"/>
      <c r="K1588" s="396"/>
      <c r="L1588" s="396"/>
      <c r="M1588" s="396"/>
      <c r="N1588" s="396"/>
      <c r="O1588" s="396"/>
      <c r="P1588" s="396"/>
      <c r="Q1588" s="396"/>
      <c r="R1588" s="396"/>
      <c r="S1588" s="396"/>
      <c r="T1588" s="396"/>
      <c r="U1588" s="388"/>
      <c r="V1588" s="396"/>
      <c r="W1588" s="388"/>
      <c r="X1588" s="396"/>
      <c r="Y1588" s="389"/>
      <c r="Z1588" s="396"/>
      <c r="AA1588" s="388"/>
      <c r="AB1588" s="390"/>
    </row>
    <row r="1589" spans="1:28">
      <c r="A1589" s="391"/>
      <c r="B1589" s="392"/>
      <c r="C1589" s="393" t="s">
        <v>200</v>
      </c>
      <c r="D1589" s="2562">
        <f>VLOOKUP(C1585,'Data Panjang Balok'!$C$9:$N$254,9,FALSE)</f>
        <v>0</v>
      </c>
      <c r="E1589" s="2563"/>
      <c r="F1589" s="2563"/>
      <c r="G1589" s="2563"/>
      <c r="H1589" s="2564"/>
      <c r="I1589" s="397"/>
      <c r="J1589" s="396"/>
      <c r="K1589" s="396"/>
      <c r="L1589" s="396"/>
      <c r="M1589" s="396"/>
      <c r="N1589" s="396"/>
      <c r="O1589" s="396"/>
      <c r="P1589" s="396"/>
      <c r="Q1589" s="396"/>
      <c r="R1589" s="396"/>
      <c r="S1589" s="396"/>
      <c r="T1589" s="396"/>
      <c r="U1589" s="388"/>
      <c r="V1589" s="396"/>
      <c r="W1589" s="388"/>
      <c r="X1589" s="396"/>
      <c r="Y1589" s="389"/>
      <c r="Z1589" s="396"/>
      <c r="AA1589" s="388"/>
      <c r="AB1589" s="390"/>
    </row>
    <row r="1590" spans="1:28">
      <c r="A1590" s="391"/>
      <c r="B1590" s="392"/>
      <c r="C1590" s="393" t="s">
        <v>201</v>
      </c>
      <c r="D1590" s="2562">
        <f>VLOOKUP(C1585,'Data Panjang Balok'!$C$9:$N$254,10,FALSE)</f>
        <v>0</v>
      </c>
      <c r="E1590" s="2563"/>
      <c r="F1590" s="2563"/>
      <c r="G1590" s="2563"/>
      <c r="H1590" s="2564"/>
      <c r="I1590" s="397"/>
      <c r="J1590" s="396"/>
      <c r="K1590" s="396"/>
      <c r="L1590" s="396"/>
      <c r="M1590" s="396"/>
      <c r="N1590" s="396"/>
      <c r="O1590" s="396"/>
      <c r="P1590" s="396"/>
      <c r="Q1590" s="396"/>
      <c r="R1590" s="396"/>
      <c r="S1590" s="396"/>
      <c r="T1590" s="396"/>
      <c r="U1590" s="388"/>
      <c r="V1590" s="396"/>
      <c r="W1590" s="388"/>
      <c r="X1590" s="396"/>
      <c r="Y1590" s="389"/>
      <c r="Z1590" s="396"/>
      <c r="AA1590" s="388"/>
      <c r="AB1590" s="390"/>
    </row>
    <row r="1591" spans="1:28">
      <c r="A1591" s="391"/>
      <c r="B1591" s="392"/>
      <c r="C1591" s="393" t="s">
        <v>48</v>
      </c>
      <c r="D1591" s="2562">
        <f>VLOOKUP(C1585,'Data Panjang Balok'!$C$9:$N$254,3,FALSE)</f>
        <v>1</v>
      </c>
      <c r="E1591" s="2563"/>
      <c r="F1591" s="2563"/>
      <c r="G1591" s="2563"/>
      <c r="H1591" s="2564"/>
      <c r="I1591" s="397"/>
      <c r="J1591" s="396"/>
      <c r="K1591" s="396"/>
      <c r="L1591" s="396"/>
      <c r="M1591" s="396"/>
      <c r="N1591" s="396"/>
      <c r="O1591" s="396"/>
      <c r="P1591" s="396"/>
      <c r="Q1591" s="396"/>
      <c r="R1591" s="396"/>
      <c r="S1591" s="396"/>
      <c r="T1591" s="396"/>
      <c r="U1591" s="388"/>
      <c r="V1591" s="396"/>
      <c r="W1591" s="388"/>
      <c r="X1591" s="396"/>
      <c r="Y1591" s="389"/>
      <c r="Z1591" s="396"/>
      <c r="AA1591" s="388"/>
      <c r="AB1591" s="390"/>
    </row>
    <row r="1592" spans="1:28">
      <c r="A1592" s="384" t="str">
        <f t="shared" ref="A1592:B1592" si="5045">A1585</f>
        <v>Lantai 1</v>
      </c>
      <c r="B1592" s="385">
        <f t="shared" si="5045"/>
        <v>51</v>
      </c>
      <c r="C1592" s="393" t="s">
        <v>202</v>
      </c>
      <c r="D1592" s="398">
        <f>VLOOKUP(D1585,'Detail Balok'!$C$10:$AU$140,4,FALSE)</f>
        <v>3</v>
      </c>
      <c r="E1592" s="388" t="s">
        <v>16</v>
      </c>
      <c r="F1592" s="388">
        <f>VLOOKUP(D1585,'Detail Balok'!$C$10:$AU$140,6,FALSE)</f>
        <v>16</v>
      </c>
      <c r="G1592" s="388"/>
      <c r="H1592" s="395"/>
      <c r="I1592" s="388" t="s">
        <v>203</v>
      </c>
      <c r="J1592" s="399">
        <f t="shared" ref="J1592" si="5046">+D1587/4/1000</f>
        <v>1</v>
      </c>
      <c r="K1592" s="400" t="s">
        <v>204</v>
      </c>
      <c r="L1592" s="399">
        <f t="shared" ref="L1592" si="5047">MAX(VLOOKUP(F1592,N$6:P$15,3,FALSE)/1000,2/3*D1589/1000)+F$16*F1592/1000</f>
        <v>0.192</v>
      </c>
      <c r="M1592" s="399" t="s">
        <v>176</v>
      </c>
      <c r="N1592" s="399">
        <f t="shared" ref="N1592:N1594" si="5048">J1592+L1592</f>
        <v>1.1919999999999999</v>
      </c>
      <c r="O1592" s="399" t="s">
        <v>204</v>
      </c>
      <c r="P1592" s="389">
        <f t="shared" ref="P1592" si="5049">D1592-D1593</f>
        <v>0</v>
      </c>
      <c r="Q1592" s="399" t="s">
        <v>125</v>
      </c>
      <c r="R1592" s="399">
        <f t="shared" ref="R1592" si="5050">IF(P1592&gt;0,$F$18*F1592/1000,0)</f>
        <v>0</v>
      </c>
      <c r="S1592" s="399" t="s">
        <v>205</v>
      </c>
      <c r="T1592" s="399" t="s">
        <v>125</v>
      </c>
      <c r="U1592" s="401">
        <f t="shared" ref="U1592:U1594" si="5051">0.006165*F1592^2</f>
        <v>1.5782400000000001</v>
      </c>
      <c r="V1592" s="399"/>
      <c r="W1592" s="399"/>
      <c r="X1592" s="399" t="s">
        <v>125</v>
      </c>
      <c r="Y1592" s="389">
        <f t="shared" ref="Y1592" si="5052">D1591</f>
        <v>1</v>
      </c>
      <c r="Z1592" s="400" t="s">
        <v>176</v>
      </c>
      <c r="AA1592" s="402">
        <f t="shared" ref="AA1592" si="5053">IF(AA1595=0,(D1592*N1592+P1592*R1592)*U1592*Y1592,0)</f>
        <v>0</v>
      </c>
      <c r="AB1592" s="403"/>
    </row>
    <row r="1593" spans="1:28">
      <c r="A1593" s="384" t="str">
        <f t="shared" ref="A1593:B1593" si="5054">A1585</f>
        <v>Lantai 1</v>
      </c>
      <c r="B1593" s="385">
        <f t="shared" si="5054"/>
        <v>51</v>
      </c>
      <c r="C1593" s="393" t="s">
        <v>206</v>
      </c>
      <c r="D1593" s="398">
        <f>VLOOKUP(D1585,'Detail Balok'!$C$10:$AU$140,7,FALSE)</f>
        <v>3</v>
      </c>
      <c r="E1593" s="388" t="s">
        <v>16</v>
      </c>
      <c r="F1593" s="388">
        <f>VLOOKUP(D1585,'Detail Balok'!$C$10:$AU$140,9,FALSE)</f>
        <v>16</v>
      </c>
      <c r="G1593" s="388"/>
      <c r="H1593" s="395"/>
      <c r="I1593" s="388" t="s">
        <v>203</v>
      </c>
      <c r="J1593" s="399">
        <f t="shared" ref="J1593" si="5055">+D1587/2/1000</f>
        <v>2</v>
      </c>
      <c r="K1593" s="400" t="s">
        <v>204</v>
      </c>
      <c r="L1593" s="399"/>
      <c r="M1593" s="399" t="s">
        <v>176</v>
      </c>
      <c r="N1593" s="399">
        <f t="shared" si="5048"/>
        <v>2</v>
      </c>
      <c r="O1593" s="399" t="s">
        <v>204</v>
      </c>
      <c r="P1593" s="389">
        <f t="shared" ref="P1593" si="5056">MAX(D1593-D1592,D1593-D1594)</f>
        <v>0</v>
      </c>
      <c r="Q1593" s="399" t="s">
        <v>125</v>
      </c>
      <c r="R1593" s="399">
        <f t="shared" ref="R1593" si="5057">IF(P1593&gt;0,2*(1-2*$F$19-1/2)*D1588/1000,0)</f>
        <v>0</v>
      </c>
      <c r="S1593" s="399" t="s">
        <v>205</v>
      </c>
      <c r="T1593" s="399" t="s">
        <v>125</v>
      </c>
      <c r="U1593" s="401">
        <f t="shared" si="5051"/>
        <v>1.5782400000000001</v>
      </c>
      <c r="V1593" s="399"/>
      <c r="W1593" s="399"/>
      <c r="X1593" s="399" t="s">
        <v>125</v>
      </c>
      <c r="Y1593" s="389">
        <f t="shared" ref="Y1593" si="5058">D1591</f>
        <v>1</v>
      </c>
      <c r="Z1593" s="400" t="s">
        <v>176</v>
      </c>
      <c r="AA1593" s="402">
        <f t="shared" ref="AA1593" si="5059">IF(AA1595=0,(D1593*N1593+P1593*R1593)*U1593*Y1593,0)</f>
        <v>0</v>
      </c>
      <c r="AB1593" s="403"/>
    </row>
    <row r="1594" spans="1:28">
      <c r="A1594" s="384" t="str">
        <f t="shared" ref="A1594:B1594" si="5060">A1585</f>
        <v>Lantai 1</v>
      </c>
      <c r="B1594" s="385">
        <f t="shared" si="5060"/>
        <v>51</v>
      </c>
      <c r="C1594" s="393" t="s">
        <v>202</v>
      </c>
      <c r="D1594" s="398">
        <f>VLOOKUP(D1585,'Detail Balok'!$C$10:$AU$140,10,FALSE)</f>
        <v>3</v>
      </c>
      <c r="E1594" s="388" t="s">
        <v>16</v>
      </c>
      <c r="F1594" s="388">
        <f>VLOOKUP(D1585,'Detail Balok'!$C$10:$AU$140,12,FALSE)</f>
        <v>16</v>
      </c>
      <c r="G1594" s="388"/>
      <c r="H1594" s="395"/>
      <c r="I1594" s="388" t="s">
        <v>203</v>
      </c>
      <c r="J1594" s="399">
        <f t="shared" ref="J1594" si="5061">+D1587/4/1000</f>
        <v>1</v>
      </c>
      <c r="K1594" s="400" t="s">
        <v>204</v>
      </c>
      <c r="L1594" s="399">
        <f t="shared" ref="L1594" si="5062">MAX(VLOOKUP(F1594,N$6:P$15,3,FALSE)/1000,2/3*D1589/1000)+F$16*F1594/1000</f>
        <v>0.192</v>
      </c>
      <c r="M1594" s="399" t="s">
        <v>176</v>
      </c>
      <c r="N1594" s="399">
        <f t="shared" si="5048"/>
        <v>1.1919999999999999</v>
      </c>
      <c r="O1594" s="399" t="s">
        <v>204</v>
      </c>
      <c r="P1594" s="389">
        <f t="shared" ref="P1594" si="5063">D1594-D1593</f>
        <v>0</v>
      </c>
      <c r="Q1594" s="399" t="s">
        <v>125</v>
      </c>
      <c r="R1594" s="399">
        <f t="shared" ref="R1594" si="5064">IF(P1594&gt;0,$F$18*F1594/1000,0)</f>
        <v>0</v>
      </c>
      <c r="S1594" s="399" t="s">
        <v>205</v>
      </c>
      <c r="T1594" s="399" t="s">
        <v>125</v>
      </c>
      <c r="U1594" s="401">
        <f t="shared" si="5051"/>
        <v>1.5782400000000001</v>
      </c>
      <c r="V1594" s="399"/>
      <c r="W1594" s="399"/>
      <c r="X1594" s="399" t="s">
        <v>125</v>
      </c>
      <c r="Y1594" s="389">
        <f t="shared" ref="Y1594" si="5065">D1591</f>
        <v>1</v>
      </c>
      <c r="Z1594" s="400" t="s">
        <v>176</v>
      </c>
      <c r="AA1594" s="402">
        <f t="shared" ref="AA1594" si="5066">IF(AA1595=0,(D1594*N1594+P1594*R1594)*U1594*Y1594,0)</f>
        <v>0</v>
      </c>
      <c r="AB1594" s="403"/>
    </row>
    <row r="1595" spans="1:28">
      <c r="A1595" s="384" t="str">
        <f t="shared" ref="A1595:B1595" si="5067">A1585</f>
        <v>Lantai 1</v>
      </c>
      <c r="B1595" s="385">
        <f t="shared" si="5067"/>
        <v>51</v>
      </c>
      <c r="C1595" s="393"/>
      <c r="D1595" s="398">
        <f t="shared" si="4776"/>
        <v>3</v>
      </c>
      <c r="E1595" s="388" t="s">
        <v>16</v>
      </c>
      <c r="F1595" s="388">
        <f t="shared" si="4777"/>
        <v>16</v>
      </c>
      <c r="G1595" s="388"/>
      <c r="H1595" s="395"/>
      <c r="I1595" s="388"/>
      <c r="J1595" s="396"/>
      <c r="K1595" s="396"/>
      <c r="L1595" s="404" t="s">
        <v>207</v>
      </c>
      <c r="M1595" s="399" t="s">
        <v>176</v>
      </c>
      <c r="N1595" s="399">
        <f t="shared" ref="N1595" si="5068">IF(AND(D1592=D1593,D1592=D1594,D1593=D1594,F1592=F1593,F1592=F1594,F1593=F1594),SUM(N1592:N1594),0)</f>
        <v>4.3840000000000003</v>
      </c>
      <c r="O1595" s="399" t="s">
        <v>204</v>
      </c>
      <c r="P1595" s="389">
        <f t="shared" ref="P1595" si="5069">IF(N1595&gt;12,ROUNDDOWN(N1595/12,0),0)</f>
        <v>0</v>
      </c>
      <c r="Q1595" s="399" t="s">
        <v>125</v>
      </c>
      <c r="R1595" s="399">
        <f t="shared" ref="R1595" si="5070">IF(P1595&gt;0,MAX(VLOOKUP(F1595,$D$6:$G$15,3,FALSE),600),0)/1000</f>
        <v>0</v>
      </c>
      <c r="S1595" s="396"/>
      <c r="T1595" s="396" t="s">
        <v>125</v>
      </c>
      <c r="U1595" s="401">
        <f t="shared" si="4781"/>
        <v>1.5782400000000001</v>
      </c>
      <c r="V1595" s="396" t="s">
        <v>125</v>
      </c>
      <c r="W1595" s="399">
        <f t="shared" ref="W1595" si="5071">D1595</f>
        <v>3</v>
      </c>
      <c r="X1595" s="399" t="s">
        <v>125</v>
      </c>
      <c r="Y1595" s="389">
        <f t="shared" si="4783"/>
        <v>1</v>
      </c>
      <c r="Z1595" s="400" t="s">
        <v>176</v>
      </c>
      <c r="AA1595" s="402">
        <f t="shared" ref="AA1595" si="5072">(N1595+P1595*R1595/1000)*U1595*W1595*Y1595</f>
        <v>20.757012480000004</v>
      </c>
      <c r="AB1595" s="390"/>
    </row>
    <row r="1596" spans="1:28">
      <c r="A1596" s="384"/>
      <c r="B1596" s="385"/>
      <c r="C1596" s="393"/>
      <c r="D1596" s="398"/>
      <c r="E1596" s="388"/>
      <c r="F1596" s="388"/>
      <c r="G1596" s="388"/>
      <c r="H1596" s="395"/>
      <c r="I1596" s="388"/>
      <c r="J1596" s="396"/>
      <c r="K1596" s="396"/>
      <c r="L1596" s="404"/>
      <c r="M1596" s="399"/>
      <c r="N1596" s="399"/>
      <c r="O1596" s="396"/>
      <c r="P1596" s="389"/>
      <c r="Q1596" s="396"/>
      <c r="R1596" s="396"/>
      <c r="S1596" s="396"/>
      <c r="T1596" s="396"/>
      <c r="U1596" s="401"/>
      <c r="V1596" s="396"/>
      <c r="W1596" s="399"/>
      <c r="X1596" s="396"/>
      <c r="Y1596" s="389"/>
      <c r="Z1596" s="396"/>
      <c r="AA1596" s="388"/>
      <c r="AB1596" s="390"/>
    </row>
    <row r="1597" spans="1:28">
      <c r="A1597" s="384" t="str">
        <f t="shared" ref="A1597:B1597" si="5073">A1585</f>
        <v>Lantai 1</v>
      </c>
      <c r="B1597" s="385">
        <f t="shared" si="5073"/>
        <v>51</v>
      </c>
      <c r="C1597" s="393" t="s">
        <v>208</v>
      </c>
      <c r="D1597" s="398">
        <f>VLOOKUP(D1585,'Detail Balok'!$C$10:$AU$140,13,FALSE)</f>
        <v>2</v>
      </c>
      <c r="E1597" s="388" t="s">
        <v>16</v>
      </c>
      <c r="F1597" s="388">
        <f>VLOOKUP(D1585,'Detail Balok'!$C$10:$AU$140,15,FALSE)</f>
        <v>10</v>
      </c>
      <c r="G1597" s="388"/>
      <c r="H1597" s="395"/>
      <c r="I1597" s="388"/>
      <c r="J1597" s="399">
        <f t="shared" ref="J1597" si="5074">+D1587/1000</f>
        <v>4</v>
      </c>
      <c r="K1597" s="400" t="s">
        <v>204</v>
      </c>
      <c r="L1597" s="399">
        <f t="shared" ref="L1597" si="5075">2*$F$16*F1597/1000</f>
        <v>0.24</v>
      </c>
      <c r="M1597" s="399" t="s">
        <v>176</v>
      </c>
      <c r="N1597" s="399">
        <f t="shared" ref="N1597" si="5076">J1597+L1597</f>
        <v>4.24</v>
      </c>
      <c r="O1597" s="399" t="s">
        <v>204</v>
      </c>
      <c r="P1597" s="389">
        <f t="shared" ref="P1597" si="5077">IF(N1597&gt;12,ROUNDDOWN(N1597/12,0),0)</f>
        <v>0</v>
      </c>
      <c r="Q1597" s="399" t="s">
        <v>125</v>
      </c>
      <c r="R1597" s="399">
        <f t="shared" ref="R1597" si="5078">IF(P1597&gt;0,MAX(VLOOKUP(F1597,$D$6:$G$15,3,FALSE),600),0)/1000</f>
        <v>0</v>
      </c>
      <c r="S1597" s="399"/>
      <c r="T1597" s="399" t="s">
        <v>125</v>
      </c>
      <c r="U1597" s="401">
        <f t="shared" ref="U1597" si="5079">0.006165*F1597^2</f>
        <v>0.61650000000000005</v>
      </c>
      <c r="V1597" s="399" t="s">
        <v>125</v>
      </c>
      <c r="W1597" s="399">
        <f t="shared" ref="W1597" si="5080">+D1597</f>
        <v>2</v>
      </c>
      <c r="X1597" s="399" t="s">
        <v>125</v>
      </c>
      <c r="Y1597" s="389">
        <f t="shared" ref="Y1597" si="5081">D1591</f>
        <v>1</v>
      </c>
      <c r="Z1597" s="400" t="s">
        <v>176</v>
      </c>
      <c r="AA1597" s="402">
        <f t="shared" ref="AA1597" si="5082">(N1597+P1597*R1597/1000)*U1597*W1597*Y1597</f>
        <v>5.227920000000001</v>
      </c>
      <c r="AB1597" s="403"/>
    </row>
    <row r="1598" spans="1:28">
      <c r="A1598" s="384"/>
      <c r="B1598" s="385"/>
      <c r="C1598" s="393"/>
      <c r="D1598" s="398"/>
      <c r="E1598" s="388"/>
      <c r="F1598" s="388"/>
      <c r="G1598" s="388"/>
      <c r="H1598" s="395"/>
      <c r="I1598" s="388"/>
      <c r="J1598" s="399"/>
      <c r="K1598" s="400"/>
      <c r="L1598" s="399"/>
      <c r="M1598" s="399"/>
      <c r="N1598" s="399"/>
      <c r="O1598" s="399"/>
      <c r="P1598" s="389"/>
      <c r="Q1598" s="399"/>
      <c r="R1598" s="399"/>
      <c r="S1598" s="399"/>
      <c r="T1598" s="399"/>
      <c r="U1598" s="401"/>
      <c r="V1598" s="399"/>
      <c r="W1598" s="399"/>
      <c r="X1598" s="399"/>
      <c r="Y1598" s="389"/>
      <c r="Z1598" s="400"/>
      <c r="AA1598" s="402"/>
      <c r="AB1598" s="403"/>
    </row>
    <row r="1599" spans="1:28">
      <c r="A1599" s="384"/>
      <c r="B1599" s="385"/>
      <c r="C1599" s="393"/>
      <c r="D1599" s="398"/>
      <c r="E1599" s="388"/>
      <c r="F1599" s="388"/>
      <c r="G1599" s="388"/>
      <c r="H1599" s="395"/>
      <c r="I1599" s="388"/>
      <c r="J1599" s="396"/>
      <c r="K1599" s="396"/>
      <c r="L1599" s="396"/>
      <c r="M1599" s="396"/>
      <c r="N1599" s="396"/>
      <c r="O1599" s="396"/>
      <c r="P1599" s="389"/>
      <c r="Q1599" s="396"/>
      <c r="R1599" s="396"/>
      <c r="S1599" s="396"/>
      <c r="T1599" s="396"/>
      <c r="U1599" s="401"/>
      <c r="V1599" s="396"/>
      <c r="W1599" s="399"/>
      <c r="X1599" s="396"/>
      <c r="Y1599" s="389"/>
      <c r="Z1599" s="396"/>
      <c r="AA1599" s="388"/>
      <c r="AB1599" s="390"/>
    </row>
    <row r="1600" spans="1:28">
      <c r="A1600" s="384" t="str">
        <f t="shared" ref="A1600:B1600" si="5083">A1585</f>
        <v>Lantai 1</v>
      </c>
      <c r="B1600" s="385">
        <f t="shared" si="5083"/>
        <v>51</v>
      </c>
      <c r="C1600" s="393" t="s">
        <v>209</v>
      </c>
      <c r="D1600" s="398">
        <f>VLOOKUP(D1585,'Detail Balok'!$C$10:$AU$140,22,FALSE)</f>
        <v>3</v>
      </c>
      <c r="E1600" s="388" t="s">
        <v>16</v>
      </c>
      <c r="F1600" s="388">
        <f>VLOOKUP(D1585,'Detail Balok'!$C$10:$AU$140,24,FALSE)</f>
        <v>16</v>
      </c>
      <c r="G1600" s="388"/>
      <c r="H1600" s="395"/>
      <c r="I1600" s="388" t="s">
        <v>203</v>
      </c>
      <c r="J1600" s="399">
        <f t="shared" si="4796"/>
        <v>1</v>
      </c>
      <c r="K1600" s="400" t="s">
        <v>204</v>
      </c>
      <c r="L1600" s="399">
        <f t="shared" ref="L1600" si="5084">MAX(VLOOKUP(F1600,N$6:P$15,3,FALSE)/1000,2/3*D1590/1000)+F$16*F1600/1000</f>
        <v>0.192</v>
      </c>
      <c r="M1600" s="399" t="s">
        <v>176</v>
      </c>
      <c r="N1600" s="399">
        <f t="shared" ref="N1600:N1602" si="5085">J1600+L1600</f>
        <v>1.1919999999999999</v>
      </c>
      <c r="O1600" s="399" t="s">
        <v>204</v>
      </c>
      <c r="P1600" s="389">
        <f t="shared" ref="P1600" si="5086">D1600-D1601</f>
        <v>0</v>
      </c>
      <c r="Q1600" s="399" t="s">
        <v>125</v>
      </c>
      <c r="R1600" s="399">
        <f t="shared" ref="R1600" si="5087">IF(P1600&gt;0,$F$18*F1600/1000,0)</f>
        <v>0</v>
      </c>
      <c r="S1600" s="399" t="s">
        <v>205</v>
      </c>
      <c r="T1600" s="399" t="s">
        <v>125</v>
      </c>
      <c r="U1600" s="401">
        <f t="shared" ref="U1600:U1602" si="5088">0.006165*F1600^2</f>
        <v>1.5782400000000001</v>
      </c>
      <c r="V1600" s="399"/>
      <c r="W1600" s="399"/>
      <c r="X1600" s="399" t="s">
        <v>125</v>
      </c>
      <c r="Y1600" s="389">
        <f t="shared" ref="Y1600" si="5089">D1591</f>
        <v>1</v>
      </c>
      <c r="Z1600" s="400" t="s">
        <v>176</v>
      </c>
      <c r="AA1600" s="402">
        <f t="shared" ref="AA1600" si="5090">IF(AA1603=0,(D1600*N1600+P1600*R1600)*U1600*Y1600,0)</f>
        <v>0</v>
      </c>
      <c r="AB1600" s="403"/>
    </row>
    <row r="1601" spans="1:28">
      <c r="A1601" s="384" t="str">
        <f t="shared" ref="A1601:B1601" si="5091">A1585</f>
        <v>Lantai 1</v>
      </c>
      <c r="B1601" s="385">
        <f t="shared" si="5091"/>
        <v>51</v>
      </c>
      <c r="C1601" s="393" t="s">
        <v>210</v>
      </c>
      <c r="D1601" s="398">
        <f>VLOOKUP(D1585,'Detail Balok'!$C$10:$AU$140,25,FALSE)</f>
        <v>3</v>
      </c>
      <c r="E1601" s="388" t="s">
        <v>16</v>
      </c>
      <c r="F1601" s="388">
        <f>VLOOKUP(D1585,'Detail Balok'!$C$10:$AU$140,27,FALSE)</f>
        <v>16</v>
      </c>
      <c r="G1601" s="388"/>
      <c r="H1601" s="395"/>
      <c r="I1601" s="388" t="s">
        <v>203</v>
      </c>
      <c r="J1601" s="399">
        <f t="shared" si="4796"/>
        <v>2</v>
      </c>
      <c r="K1601" s="400" t="s">
        <v>204</v>
      </c>
      <c r="L1601" s="399"/>
      <c r="M1601" s="399" t="s">
        <v>176</v>
      </c>
      <c r="N1601" s="399">
        <f t="shared" si="5085"/>
        <v>2</v>
      </c>
      <c r="O1601" s="399" t="s">
        <v>204</v>
      </c>
      <c r="P1601" s="389">
        <f t="shared" ref="P1601" si="5092">MAX(D1601-D1600,D1601-D1602)</f>
        <v>0</v>
      </c>
      <c r="Q1601" s="399" t="s">
        <v>125</v>
      </c>
      <c r="R1601" s="399">
        <f t="shared" ref="R1601" si="5093">IF(P1601&gt;0,2*(1-2*$F$19-1/2)*D1588/1000,0)</f>
        <v>0</v>
      </c>
      <c r="S1601" s="399" t="s">
        <v>205</v>
      </c>
      <c r="T1601" s="399" t="s">
        <v>125</v>
      </c>
      <c r="U1601" s="401">
        <f t="shared" si="5088"/>
        <v>1.5782400000000001</v>
      </c>
      <c r="V1601" s="399"/>
      <c r="W1601" s="399"/>
      <c r="X1601" s="399" t="s">
        <v>125</v>
      </c>
      <c r="Y1601" s="389">
        <f t="shared" ref="Y1601" si="5094">D1591</f>
        <v>1</v>
      </c>
      <c r="Z1601" s="400" t="s">
        <v>176</v>
      </c>
      <c r="AA1601" s="402">
        <f t="shared" ref="AA1601" si="5095">IF(AA1603=0,(D1601*N1601+P1601*R1601)*U1601*Y1601,0)</f>
        <v>0</v>
      </c>
      <c r="AB1601" s="403"/>
    </row>
    <row r="1602" spans="1:28">
      <c r="A1602" s="384" t="str">
        <f t="shared" ref="A1602:B1602" si="5096">A1585</f>
        <v>Lantai 1</v>
      </c>
      <c r="B1602" s="385">
        <f t="shared" si="5096"/>
        <v>51</v>
      </c>
      <c r="C1602" s="393" t="s">
        <v>209</v>
      </c>
      <c r="D1602" s="398">
        <f>VLOOKUP(D1585,'Detail Balok'!$C$10:$AU$140,28,FALSE)</f>
        <v>3</v>
      </c>
      <c r="E1602" s="388" t="s">
        <v>16</v>
      </c>
      <c r="F1602" s="388">
        <f>VLOOKUP(D1585,'Detail Balok'!$C$10:$AU$140,30,FALSE)</f>
        <v>16</v>
      </c>
      <c r="G1602" s="388"/>
      <c r="H1602" s="395"/>
      <c r="I1602" s="388" t="s">
        <v>203</v>
      </c>
      <c r="J1602" s="399">
        <f t="shared" si="4796"/>
        <v>1</v>
      </c>
      <c r="K1602" s="400" t="s">
        <v>204</v>
      </c>
      <c r="L1602" s="399">
        <f t="shared" ref="L1602" si="5097">MAX(VLOOKUP(F1602,N$6:P$15,3,FALSE)/1000,2/3*D1590/1000)+F$16*F1602/1000</f>
        <v>0.192</v>
      </c>
      <c r="M1602" s="399" t="s">
        <v>176</v>
      </c>
      <c r="N1602" s="399">
        <f t="shared" si="5085"/>
        <v>1.1919999999999999</v>
      </c>
      <c r="O1602" s="399" t="s">
        <v>204</v>
      </c>
      <c r="P1602" s="389">
        <f t="shared" ref="P1602" si="5098">D1602-D1601</f>
        <v>0</v>
      </c>
      <c r="Q1602" s="399" t="s">
        <v>125</v>
      </c>
      <c r="R1602" s="399">
        <f t="shared" ref="R1602" si="5099">IF(P1602&gt;0,$F$18*F1602/1000,0)</f>
        <v>0</v>
      </c>
      <c r="S1602" s="399" t="s">
        <v>205</v>
      </c>
      <c r="T1602" s="399" t="s">
        <v>125</v>
      </c>
      <c r="U1602" s="401">
        <f t="shared" si="5088"/>
        <v>1.5782400000000001</v>
      </c>
      <c r="V1602" s="399"/>
      <c r="W1602" s="399"/>
      <c r="X1602" s="399" t="s">
        <v>125</v>
      </c>
      <c r="Y1602" s="389">
        <f t="shared" ref="Y1602" si="5100">D1591</f>
        <v>1</v>
      </c>
      <c r="Z1602" s="400" t="s">
        <v>176</v>
      </c>
      <c r="AA1602" s="402">
        <f t="shared" ref="AA1602" si="5101">IF(AA1603=0,(D1602*N1602+P1602*R1602)*U1602*Y1602,0)</f>
        <v>0</v>
      </c>
      <c r="AB1602" s="403"/>
    </row>
    <row r="1603" spans="1:28">
      <c r="A1603" s="384" t="str">
        <f t="shared" ref="A1603:B1603" si="5102">A1585</f>
        <v>Lantai 1</v>
      </c>
      <c r="B1603" s="385">
        <f t="shared" si="5102"/>
        <v>51</v>
      </c>
      <c r="C1603" s="393"/>
      <c r="D1603" s="398">
        <f t="shared" si="4816"/>
        <v>3</v>
      </c>
      <c r="E1603" s="388" t="s">
        <v>16</v>
      </c>
      <c r="F1603" s="388">
        <f t="shared" si="4817"/>
        <v>16</v>
      </c>
      <c r="G1603" s="388"/>
      <c r="H1603" s="395"/>
      <c r="I1603" s="388"/>
      <c r="J1603" s="396"/>
      <c r="K1603" s="396"/>
      <c r="L1603" s="404" t="s">
        <v>207</v>
      </c>
      <c r="M1603" s="399" t="s">
        <v>176</v>
      </c>
      <c r="N1603" s="399">
        <f t="shared" ref="N1603" si="5103">IF(AND(D1600=D1601,D1600=D1602,D1601=D1602,F1600=F1601,F1600=F1602,F1601=F1602),SUM(N1600:N1602),0)</f>
        <v>4.3840000000000003</v>
      </c>
      <c r="O1603" s="399" t="s">
        <v>204</v>
      </c>
      <c r="P1603" s="389">
        <f t="shared" ref="P1603" si="5104">IF(N1603&gt;12,ROUNDDOWN(N1603/12,0),0)</f>
        <v>0</v>
      </c>
      <c r="Q1603" s="399" t="s">
        <v>125</v>
      </c>
      <c r="R1603" s="399">
        <f t="shared" ref="R1603" si="5105">IF(P1603&gt;0,MAX(VLOOKUP(F1603,$D$6:$G$15,3,FALSE),600),0)/1000</f>
        <v>0</v>
      </c>
      <c r="S1603" s="396"/>
      <c r="T1603" s="396" t="s">
        <v>125</v>
      </c>
      <c r="U1603" s="401">
        <f t="shared" si="4821"/>
        <v>1.5782400000000001</v>
      </c>
      <c r="V1603" s="396" t="s">
        <v>125</v>
      </c>
      <c r="W1603" s="399">
        <f t="shared" ref="W1603" si="5106">D1603</f>
        <v>3</v>
      </c>
      <c r="X1603" s="399" t="s">
        <v>125</v>
      </c>
      <c r="Y1603" s="389">
        <f t="shared" si="4823"/>
        <v>1</v>
      </c>
      <c r="Z1603" s="400" t="s">
        <v>176</v>
      </c>
      <c r="AA1603" s="402">
        <f t="shared" ref="AA1603" si="5107">(N1603+P1603*R1603/1000)*U1603*W1603*Y1603</f>
        <v>20.757012480000004</v>
      </c>
      <c r="AB1603" s="403"/>
    </row>
    <row r="1604" spans="1:28">
      <c r="A1604" s="384"/>
      <c r="B1604" s="385"/>
      <c r="C1604" s="393"/>
      <c r="D1604" s="394"/>
      <c r="E1604" s="388"/>
      <c r="F1604" s="388"/>
      <c r="G1604" s="388"/>
      <c r="H1604" s="395"/>
      <c r="I1604" s="388"/>
      <c r="J1604" s="399"/>
      <c r="K1604" s="396"/>
      <c r="L1604" s="396"/>
      <c r="M1604" s="396"/>
      <c r="N1604" s="396"/>
      <c r="O1604" s="396"/>
      <c r="P1604" s="389"/>
      <c r="Q1604" s="396"/>
      <c r="R1604" s="396"/>
      <c r="S1604" s="396"/>
      <c r="T1604" s="396"/>
      <c r="U1604" s="401"/>
      <c r="V1604" s="396"/>
      <c r="W1604" s="388"/>
      <c r="X1604" s="396"/>
      <c r="Y1604" s="389"/>
      <c r="Z1604" s="396"/>
      <c r="AA1604" s="388"/>
      <c r="AB1604" s="390"/>
    </row>
    <row r="1605" spans="1:28">
      <c r="A1605" s="384" t="str">
        <f t="shared" ref="A1605:B1605" si="5108">A1585</f>
        <v>Lantai 1</v>
      </c>
      <c r="B1605" s="385">
        <f t="shared" si="5108"/>
        <v>51</v>
      </c>
      <c r="C1605" s="393" t="s">
        <v>211</v>
      </c>
      <c r="D1605" s="398">
        <f>VLOOKUP(D1585,'Detail Balok'!$C$10:$AU$140,31,FALSE)</f>
        <v>0</v>
      </c>
      <c r="E1605" s="388" t="s">
        <v>16</v>
      </c>
      <c r="F1605" s="388">
        <f>VLOOKUP(D1585,'Detail Balok'!$C$10:$AU$140,33,FALSE)</f>
        <v>8</v>
      </c>
      <c r="G1605" s="405" t="s">
        <v>157</v>
      </c>
      <c r="H1605" s="395">
        <f>VLOOKUP(D1585,'Detail Balok'!$C$10:$AU$140,35,FALSE)</f>
        <v>150</v>
      </c>
      <c r="I1605" s="388"/>
      <c r="J1605" s="400">
        <f t="shared" ref="J1605" si="5109">(IF(D1605=0,(2*(D1586+G1586))-(F$5*8),IF(D1605=3,(2*(D1586+G1586))-(F$5*8)+(G1586-2*F$5),IF(D1605=4,(2*(D1586+G1586))-(F$5*8)+2*(G1586-2*F$5)))))/1000</f>
        <v>1.08</v>
      </c>
      <c r="K1605" s="400" t="s">
        <v>204</v>
      </c>
      <c r="L1605" s="399">
        <f t="shared" ref="L1605:L1607" si="5110">IF(D1605=0,2*MAX(6*F1605,75),(D1605-1)*2*MAX(6*F1605,75))/1000</f>
        <v>0.15</v>
      </c>
      <c r="M1605" s="399" t="s">
        <v>176</v>
      </c>
      <c r="N1605" s="399">
        <f t="shared" ref="N1605:N1607" si="5111">J1605+L1605</f>
        <v>1.23</v>
      </c>
      <c r="O1605" s="399"/>
      <c r="P1605" s="389"/>
      <c r="Q1605" s="399"/>
      <c r="R1605" s="399"/>
      <c r="S1605" s="399"/>
      <c r="T1605" s="399" t="s">
        <v>125</v>
      </c>
      <c r="U1605" s="401">
        <f t="shared" ref="U1605:U1607" si="5112">0.006165*F1605^2</f>
        <v>0.39456000000000002</v>
      </c>
      <c r="V1605" s="399" t="s">
        <v>125</v>
      </c>
      <c r="W1605" s="399">
        <f t="shared" ref="W1605" si="5113">IF(D1588&gt;4*G1586,ROUND(MAX(D1588/4,2*G1586)/H1605,0)+1,ROUND(D1588/H1605,0)+1)</f>
        <v>8</v>
      </c>
      <c r="X1605" s="399" t="s">
        <v>125</v>
      </c>
      <c r="Y1605" s="389">
        <f t="shared" ref="Y1605" si="5114">D1591</f>
        <v>1</v>
      </c>
      <c r="Z1605" s="400" t="s">
        <v>176</v>
      </c>
      <c r="AA1605" s="402">
        <f t="shared" ref="AA1605:AA1607" si="5115">N1605*U1605*W1605*Y1605</f>
        <v>3.8824704000000003</v>
      </c>
      <c r="AB1605" s="403"/>
    </row>
    <row r="1606" spans="1:28">
      <c r="A1606" s="384" t="str">
        <f t="shared" ref="A1606:B1606" si="5116">A1585</f>
        <v>Lantai 1</v>
      </c>
      <c r="B1606" s="385">
        <f t="shared" si="5116"/>
        <v>51</v>
      </c>
      <c r="C1606" s="393" t="s">
        <v>212</v>
      </c>
      <c r="D1606" s="398">
        <f>VLOOKUP(D1585,'Detail Balok'!$C$10:$AU$140,36,FALSE)</f>
        <v>0</v>
      </c>
      <c r="E1606" s="388" t="s">
        <v>16</v>
      </c>
      <c r="F1606" s="388">
        <f>VLOOKUP(D1585,'Detail Balok'!$C$10:$AU$140,38,FALSE)</f>
        <v>8</v>
      </c>
      <c r="G1606" s="405" t="s">
        <v>157</v>
      </c>
      <c r="H1606" s="395">
        <f>VLOOKUP(D1585,'Detail Balok'!$C$10:$AU$140,40,FALSE)</f>
        <v>200</v>
      </c>
      <c r="I1606" s="388"/>
      <c r="J1606" s="400">
        <f t="shared" ref="J1606" si="5117">(IF(D1606=0,(2*(D1586+G1586))-(F$5*8),IF(D1606=3,(2*(D1586+G1586))-(F$5*8)+(G1586-2*F$5),IF(D1606=4,(2*(D1586+G1586))-(F$5*8)+2*(G1586-2*F$5)))))/1000</f>
        <v>1.08</v>
      </c>
      <c r="K1606" s="400" t="s">
        <v>204</v>
      </c>
      <c r="L1606" s="399">
        <f t="shared" si="5110"/>
        <v>0.15</v>
      </c>
      <c r="M1606" s="399" t="s">
        <v>176</v>
      </c>
      <c r="N1606" s="399">
        <f t="shared" si="5111"/>
        <v>1.23</v>
      </c>
      <c r="O1606" s="399"/>
      <c r="P1606" s="389"/>
      <c r="Q1606" s="399"/>
      <c r="R1606" s="399"/>
      <c r="S1606" s="399"/>
      <c r="T1606" s="399" t="s">
        <v>125</v>
      </c>
      <c r="U1606" s="401">
        <f t="shared" si="5112"/>
        <v>0.39456000000000002</v>
      </c>
      <c r="V1606" s="399" t="s">
        <v>125</v>
      </c>
      <c r="W1606" s="399">
        <f t="shared" ref="W1606" si="5118">IF(D1588-MAX(D1588/4,2*G1586)*2&gt;0,ROUND((D1588-MAX(D1588/4,2*G1586)*2)/H1606,0),0)</f>
        <v>10</v>
      </c>
      <c r="X1606" s="399" t="s">
        <v>125</v>
      </c>
      <c r="Y1606" s="389">
        <f t="shared" ref="Y1606" si="5119">D1591</f>
        <v>1</v>
      </c>
      <c r="Z1606" s="400" t="s">
        <v>176</v>
      </c>
      <c r="AA1606" s="402">
        <f t="shared" si="5115"/>
        <v>4.8530880000000005</v>
      </c>
      <c r="AB1606" s="403"/>
    </row>
    <row r="1607" spans="1:28">
      <c r="A1607" s="384" t="str">
        <f t="shared" ref="A1607:B1607" si="5120">A1585</f>
        <v>Lantai 1</v>
      </c>
      <c r="B1607" s="385">
        <f t="shared" si="5120"/>
        <v>51</v>
      </c>
      <c r="C1607" s="393" t="s">
        <v>211</v>
      </c>
      <c r="D1607" s="398">
        <f>VLOOKUP(D1585,'Detail Balok'!$C$10:$AU$140,41,FALSE)</f>
        <v>0</v>
      </c>
      <c r="E1607" s="388" t="s">
        <v>16</v>
      </c>
      <c r="F1607" s="388">
        <f>VLOOKUP(D1585,'Detail Balok'!$C$10:$AU$140,43,FALSE)</f>
        <v>8</v>
      </c>
      <c r="G1607" s="405" t="s">
        <v>157</v>
      </c>
      <c r="H1607" s="395">
        <f>VLOOKUP(D1585,'Detail Balok'!$C$10:$AU$140,45,FALSE)</f>
        <v>150</v>
      </c>
      <c r="I1607" s="388"/>
      <c r="J1607" s="400">
        <f t="shared" ref="J1607" si="5121">(IF(D1607=0,(2*(D1586+G1586))-(F$5*8),IF(D1607=3,(2*(D1586+G1586))-(F$5*8)+(G1586-2*F$5),IF(D1607=4,(2*(D1586+G1586))-(F$5*8)+2*(G1586-2*F$5)))))/1000</f>
        <v>1.08</v>
      </c>
      <c r="K1607" s="400" t="s">
        <v>204</v>
      </c>
      <c r="L1607" s="399">
        <f t="shared" si="5110"/>
        <v>0.15</v>
      </c>
      <c r="M1607" s="399" t="s">
        <v>176</v>
      </c>
      <c r="N1607" s="399">
        <f t="shared" si="5111"/>
        <v>1.23</v>
      </c>
      <c r="O1607" s="399"/>
      <c r="P1607" s="389"/>
      <c r="Q1607" s="399"/>
      <c r="R1607" s="399"/>
      <c r="S1607" s="399"/>
      <c r="T1607" s="399" t="s">
        <v>125</v>
      </c>
      <c r="U1607" s="401">
        <f t="shared" si="5112"/>
        <v>0.39456000000000002</v>
      </c>
      <c r="V1607" s="399" t="s">
        <v>125</v>
      </c>
      <c r="W1607" s="399">
        <f t="shared" ref="W1607" si="5122">IF(D1588&gt;4*G1586,ROUND(MAX(D1588/4,2*G1586)/H1607,0)+1,0)</f>
        <v>8</v>
      </c>
      <c r="X1607" s="399" t="s">
        <v>125</v>
      </c>
      <c r="Y1607" s="389">
        <f t="shared" ref="Y1607" si="5123">D1591</f>
        <v>1</v>
      </c>
      <c r="Z1607" s="400" t="s">
        <v>176</v>
      </c>
      <c r="AA1607" s="402">
        <f t="shared" si="5115"/>
        <v>3.8824704000000003</v>
      </c>
      <c r="AB1607" s="403"/>
    </row>
    <row r="1608" spans="1:28">
      <c r="A1608" s="384"/>
      <c r="B1608" s="385"/>
      <c r="C1608" s="393"/>
      <c r="D1608" s="394"/>
      <c r="E1608" s="388"/>
      <c r="F1608" s="388"/>
      <c r="G1608" s="388"/>
      <c r="H1608" s="395"/>
      <c r="I1608" s="388"/>
      <c r="J1608" s="399"/>
      <c r="K1608" s="396"/>
      <c r="L1608" s="396"/>
      <c r="M1608" s="396"/>
      <c r="N1608" s="396"/>
      <c r="O1608" s="396"/>
      <c r="P1608" s="389"/>
      <c r="Q1608" s="396"/>
      <c r="R1608" s="396"/>
      <c r="S1608" s="396"/>
      <c r="T1608" s="396"/>
      <c r="U1608" s="401"/>
      <c r="V1608" s="396"/>
      <c r="W1608" s="388"/>
      <c r="X1608" s="396"/>
      <c r="Y1608" s="389"/>
      <c r="Z1608" s="396"/>
      <c r="AA1608" s="388"/>
      <c r="AB1608" s="390"/>
    </row>
    <row r="1609" spans="1:28">
      <c r="A1609" s="384" t="str">
        <f t="shared" ref="A1609:B1609" si="5124">A1585</f>
        <v>Lantai 1</v>
      </c>
      <c r="B1609" s="385">
        <f t="shared" si="5124"/>
        <v>51</v>
      </c>
      <c r="C1609" s="393" t="s">
        <v>213</v>
      </c>
      <c r="D1609" s="398">
        <f>VLOOKUP(D1585,'Detail Balok'!$C$10:$BJ$140,46,FALSE)</f>
        <v>0</v>
      </c>
      <c r="E1609" s="388" t="s">
        <v>16</v>
      </c>
      <c r="F1609" s="388">
        <f>VLOOKUP(D1585,'Detail Balok'!$C$10:$BJ$140,48,FALSE)</f>
        <v>0</v>
      </c>
      <c r="G1609" s="405" t="s">
        <v>157</v>
      </c>
      <c r="H1609" s="395">
        <f>VLOOKUP(D1585,'Detail Balok'!$C$10:$BJ$140,50,FALSE)</f>
        <v>100</v>
      </c>
      <c r="I1609" s="388"/>
      <c r="J1609" s="399">
        <f t="shared" ref="J1609" si="5125">(D1586-2*F$5)/1000</f>
        <v>0.12</v>
      </c>
      <c r="K1609" s="400" t="s">
        <v>204</v>
      </c>
      <c r="L1609" s="399">
        <f t="shared" ref="L1609:L1611" si="5126">IF(D1609=0,2*MAX(6*F1609,75),(D1609-1)*2*MAX(6*F1609,75))/1000</f>
        <v>0.15</v>
      </c>
      <c r="M1609" s="399" t="s">
        <v>176</v>
      </c>
      <c r="N1609" s="399">
        <f t="shared" ref="N1609:N1611" si="5127">J1609+L1609</f>
        <v>0.27</v>
      </c>
      <c r="O1609" s="399"/>
      <c r="P1609" s="399"/>
      <c r="Q1609" s="399"/>
      <c r="R1609" s="399"/>
      <c r="S1609" s="399"/>
      <c r="T1609" s="399" t="s">
        <v>125</v>
      </c>
      <c r="U1609" s="401">
        <f t="shared" ref="U1609:U1611" si="5128">0.006165*F1609^2</f>
        <v>0</v>
      </c>
      <c r="V1609" s="399" t="s">
        <v>125</v>
      </c>
      <c r="W1609" s="399">
        <f t="shared" si="4846"/>
        <v>8</v>
      </c>
      <c r="X1609" s="399" t="s">
        <v>125</v>
      </c>
      <c r="Y1609" s="389">
        <f t="shared" ref="Y1609" si="5129">D1595</f>
        <v>3</v>
      </c>
      <c r="Z1609" s="400" t="s">
        <v>176</v>
      </c>
      <c r="AA1609" s="402">
        <f t="shared" ref="AA1609:AA1611" si="5130">N1609*U1609*W1609*Y1609</f>
        <v>0</v>
      </c>
      <c r="AB1609" s="403"/>
    </row>
    <row r="1610" spans="1:28">
      <c r="A1610" s="384" t="str">
        <f t="shared" ref="A1610:B1610" si="5131">A1585</f>
        <v>Lantai 1</v>
      </c>
      <c r="B1610" s="385">
        <f t="shared" si="5131"/>
        <v>51</v>
      </c>
      <c r="C1610" s="393" t="s">
        <v>214</v>
      </c>
      <c r="D1610" s="398">
        <f>VLOOKUP(D1585,'Detail Balok'!$C$10:$BJ$140,51,FALSE)</f>
        <v>0</v>
      </c>
      <c r="E1610" s="388" t="s">
        <v>16</v>
      </c>
      <c r="F1610" s="388">
        <f>VLOOKUP(D1585,'Detail Balok'!$C$10:$BJ$140,53,FALSE)</f>
        <v>0</v>
      </c>
      <c r="G1610" s="405" t="s">
        <v>157</v>
      </c>
      <c r="H1610" s="395">
        <f>VLOOKUP(D1585,'Detail Balok'!$C$10:$BJ$140,55,FALSE)</f>
        <v>100</v>
      </c>
      <c r="I1610" s="388"/>
      <c r="J1610" s="399">
        <f t="shared" ref="J1610" si="5132">(D1586-2*F$5)/1000</f>
        <v>0.12</v>
      </c>
      <c r="K1610" s="400" t="s">
        <v>204</v>
      </c>
      <c r="L1610" s="399">
        <f t="shared" si="5126"/>
        <v>0.15</v>
      </c>
      <c r="M1610" s="399" t="s">
        <v>176</v>
      </c>
      <c r="N1610" s="399">
        <f t="shared" si="5127"/>
        <v>0.27</v>
      </c>
      <c r="O1610" s="399"/>
      <c r="P1610" s="399"/>
      <c r="Q1610" s="399"/>
      <c r="R1610" s="399"/>
      <c r="S1610" s="399"/>
      <c r="T1610" s="399" t="s">
        <v>125</v>
      </c>
      <c r="U1610" s="401">
        <f t="shared" si="5128"/>
        <v>0</v>
      </c>
      <c r="V1610" s="399" t="s">
        <v>125</v>
      </c>
      <c r="W1610" s="399">
        <f t="shared" si="4846"/>
        <v>10</v>
      </c>
      <c r="X1610" s="399" t="s">
        <v>125</v>
      </c>
      <c r="Y1610" s="389">
        <f t="shared" ref="Y1610" si="5133">D1595</f>
        <v>3</v>
      </c>
      <c r="Z1610" s="400" t="s">
        <v>176</v>
      </c>
      <c r="AA1610" s="402">
        <f t="shared" si="5130"/>
        <v>0</v>
      </c>
      <c r="AB1610" s="403"/>
    </row>
    <row r="1611" spans="1:28">
      <c r="A1611" s="384" t="str">
        <f t="shared" ref="A1611:B1611" si="5134">A1585</f>
        <v>Lantai 1</v>
      </c>
      <c r="B1611" s="385">
        <f t="shared" si="5134"/>
        <v>51</v>
      </c>
      <c r="C1611" s="393" t="s">
        <v>213</v>
      </c>
      <c r="D1611" s="398">
        <f>VLOOKUP(D1585,'Detail Balok'!$C$10:$BJ$140,56,FALSE)</f>
        <v>0</v>
      </c>
      <c r="E1611" s="388" t="s">
        <v>16</v>
      </c>
      <c r="F1611" s="388">
        <f>VLOOKUP(D1585,'Detail Balok'!$C$10:$BJ$140,58,FALSE)</f>
        <v>0</v>
      </c>
      <c r="G1611" s="405" t="s">
        <v>157</v>
      </c>
      <c r="H1611" s="395">
        <f>VLOOKUP(D1585,'Detail Balok'!$C$10:$BJ$140,60,FALSE)</f>
        <v>100</v>
      </c>
      <c r="I1611" s="388"/>
      <c r="J1611" s="399">
        <f t="shared" ref="J1611" si="5135">(D1586-2*F$5)/1000</f>
        <v>0.12</v>
      </c>
      <c r="K1611" s="400" t="s">
        <v>204</v>
      </c>
      <c r="L1611" s="399">
        <f t="shared" si="5126"/>
        <v>0.15</v>
      </c>
      <c r="M1611" s="399" t="s">
        <v>176</v>
      </c>
      <c r="N1611" s="399">
        <f t="shared" si="5127"/>
        <v>0.27</v>
      </c>
      <c r="O1611" s="399"/>
      <c r="P1611" s="399"/>
      <c r="Q1611" s="399"/>
      <c r="R1611" s="399"/>
      <c r="S1611" s="399"/>
      <c r="T1611" s="399" t="s">
        <v>125</v>
      </c>
      <c r="U1611" s="401">
        <f t="shared" si="5128"/>
        <v>0</v>
      </c>
      <c r="V1611" s="399" t="s">
        <v>125</v>
      </c>
      <c r="W1611" s="399">
        <f t="shared" si="4846"/>
        <v>8</v>
      </c>
      <c r="X1611" s="399" t="s">
        <v>125</v>
      </c>
      <c r="Y1611" s="389">
        <f t="shared" ref="Y1611" si="5136">D1595</f>
        <v>3</v>
      </c>
      <c r="Z1611" s="400" t="s">
        <v>176</v>
      </c>
      <c r="AA1611" s="402">
        <f t="shared" si="5130"/>
        <v>0</v>
      </c>
      <c r="AB1611" s="403"/>
    </row>
    <row r="1612" spans="1:28">
      <c r="A1612" s="391"/>
      <c r="B1612" s="392"/>
      <c r="C1612" s="392"/>
      <c r="D1612" s="394"/>
      <c r="E1612" s="388"/>
      <c r="F1612" s="388"/>
      <c r="G1612" s="388"/>
      <c r="H1612" s="395"/>
      <c r="I1612" s="388"/>
      <c r="J1612" s="402"/>
      <c r="K1612" s="388"/>
      <c r="L1612" s="388"/>
      <c r="M1612" s="388"/>
      <c r="N1612" s="388"/>
      <c r="O1612" s="388"/>
      <c r="P1612" s="388"/>
      <c r="Q1612" s="388"/>
      <c r="R1612" s="388"/>
      <c r="S1612" s="388"/>
      <c r="T1612" s="388"/>
      <c r="U1612" s="388"/>
      <c r="V1612" s="388"/>
      <c r="W1612" s="388"/>
      <c r="X1612" s="388"/>
      <c r="Y1612" s="389"/>
      <c r="Z1612" s="388"/>
      <c r="AA1612" s="402"/>
      <c r="AB1612" s="403"/>
    </row>
    <row r="1613" spans="1:28" ht="15.75" thickBot="1">
      <c r="A1613" s="406"/>
      <c r="B1613" s="407"/>
      <c r="C1613" s="407"/>
      <c r="D1613" s="408"/>
      <c r="E1613" s="409"/>
      <c r="F1613" s="409"/>
      <c r="G1613" s="409"/>
      <c r="H1613" s="410"/>
      <c r="I1613" s="409"/>
      <c r="J1613" s="409"/>
      <c r="K1613" s="409"/>
      <c r="L1613" s="409"/>
      <c r="M1613" s="409"/>
      <c r="N1613" s="409"/>
      <c r="O1613" s="409"/>
      <c r="P1613" s="409"/>
      <c r="Q1613" s="409"/>
      <c r="R1613" s="409"/>
      <c r="S1613" s="409"/>
      <c r="T1613" s="409"/>
      <c r="U1613" s="409"/>
      <c r="V1613" s="409"/>
      <c r="W1613" s="409"/>
      <c r="X1613" s="409"/>
      <c r="Y1613" s="411"/>
      <c r="Z1613" s="409"/>
      <c r="AA1613" s="412"/>
      <c r="AB1613" s="413"/>
    </row>
    <row r="1614" spans="1:28">
      <c r="A1614" s="377"/>
      <c r="B1614" s="378"/>
      <c r="C1614" s="378"/>
      <c r="D1614" s="379"/>
      <c r="E1614" s="380"/>
      <c r="F1614" s="380"/>
      <c r="G1614" s="380"/>
      <c r="H1614" s="381"/>
      <c r="I1614" s="380"/>
      <c r="J1614" s="380"/>
      <c r="K1614" s="380"/>
      <c r="L1614" s="380"/>
      <c r="M1614" s="380"/>
      <c r="N1614" s="380"/>
      <c r="O1614" s="380"/>
      <c r="P1614" s="380"/>
      <c r="Q1614" s="380"/>
      <c r="R1614" s="380"/>
      <c r="S1614" s="380"/>
      <c r="T1614" s="380"/>
      <c r="U1614" s="380"/>
      <c r="V1614" s="380"/>
      <c r="W1614" s="380"/>
      <c r="X1614" s="380"/>
      <c r="Y1614" s="382"/>
      <c r="Z1614" s="380"/>
      <c r="AA1614" s="380"/>
      <c r="AB1614" s="383"/>
    </row>
    <row r="1615" spans="1:28">
      <c r="A1615" s="384" t="str">
        <f t="shared" si="5042"/>
        <v>Lantai 1</v>
      </c>
      <c r="B1615" s="385">
        <f t="shared" si="5043"/>
        <v>52</v>
      </c>
      <c r="C1615" s="386" t="str">
        <f t="shared" ref="C1615" si="5137">CONCATENATE(A1615," no. ",B1615)</f>
        <v>Lantai 1 no. 52</v>
      </c>
      <c r="D1615" s="2562" t="str">
        <f>VLOOKUP(C1615,'Data Panjang Balok'!$C$9:$N$254,2,FALSE)</f>
        <v>S25-1</v>
      </c>
      <c r="E1615" s="2576"/>
      <c r="F1615" s="2576"/>
      <c r="G1615" s="2576"/>
      <c r="H1615" s="2577"/>
      <c r="I1615" s="387"/>
      <c r="J1615" s="388"/>
      <c r="K1615" s="388"/>
      <c r="L1615" s="388"/>
      <c r="M1615" s="388"/>
      <c r="N1615" s="388"/>
      <c r="O1615" s="388"/>
      <c r="P1615" s="388"/>
      <c r="Q1615" s="388"/>
      <c r="R1615" s="388"/>
      <c r="S1615" s="388"/>
      <c r="T1615" s="388"/>
      <c r="U1615" s="388"/>
      <c r="V1615" s="388"/>
      <c r="W1615" s="388"/>
      <c r="X1615" s="388"/>
      <c r="Y1615" s="389"/>
      <c r="Z1615" s="388"/>
      <c r="AA1615" s="388"/>
      <c r="AB1615" s="390"/>
    </row>
    <row r="1616" spans="1:28">
      <c r="A1616" s="391"/>
      <c r="B1616" s="392"/>
      <c r="C1616" s="393" t="s">
        <v>118</v>
      </c>
      <c r="D1616" s="2578">
        <f>VLOOKUP(D1615,'Detail Balok'!$C$10:$AU$140,2,FALSE)</f>
        <v>200</v>
      </c>
      <c r="E1616" s="2579"/>
      <c r="F1616" s="388" t="s">
        <v>125</v>
      </c>
      <c r="G1616" s="2579">
        <f>VLOOKUP(D1615,'Detail Balok'!$C$10:$AU$140,3,FALSE)</f>
        <v>500</v>
      </c>
      <c r="H1616" s="2580"/>
      <c r="I1616" s="388"/>
      <c r="J1616" s="396"/>
      <c r="K1616" s="396"/>
      <c r="L1616" s="396"/>
      <c r="M1616" s="396"/>
      <c r="N1616" s="396"/>
      <c r="O1616" s="396"/>
      <c r="P1616" s="396"/>
      <c r="Q1616" s="396"/>
      <c r="R1616" s="396"/>
      <c r="S1616" s="396"/>
      <c r="T1616" s="396"/>
      <c r="U1616" s="388"/>
      <c r="V1616" s="396"/>
      <c r="W1616" s="388"/>
      <c r="X1616" s="396"/>
      <c r="Y1616" s="389"/>
      <c r="Z1616" s="396"/>
      <c r="AA1616" s="388"/>
      <c r="AB1616" s="390"/>
    </row>
    <row r="1617" spans="1:28">
      <c r="A1617" s="391"/>
      <c r="B1617" s="392"/>
      <c r="C1617" s="393" t="s">
        <v>198</v>
      </c>
      <c r="D1617" s="2562">
        <f>VLOOKUP(C1615,'Data Panjang Balok'!$C$9:$N$254,4,FALSE)</f>
        <v>1300</v>
      </c>
      <c r="E1617" s="2563"/>
      <c r="F1617" s="2563"/>
      <c r="G1617" s="2563"/>
      <c r="H1617" s="2564"/>
      <c r="I1617" s="397"/>
      <c r="J1617" s="396"/>
      <c r="K1617" s="396"/>
      <c r="L1617" s="396"/>
      <c r="M1617" s="396"/>
      <c r="N1617" s="396"/>
      <c r="O1617" s="396"/>
      <c r="P1617" s="396"/>
      <c r="Q1617" s="396"/>
      <c r="R1617" s="396"/>
      <c r="S1617" s="396"/>
      <c r="T1617" s="396"/>
      <c r="U1617" s="388"/>
      <c r="V1617" s="396"/>
      <c r="W1617" s="388"/>
      <c r="X1617" s="396"/>
      <c r="Y1617" s="389"/>
      <c r="Z1617" s="396"/>
      <c r="AA1617" s="388"/>
      <c r="AB1617" s="390"/>
    </row>
    <row r="1618" spans="1:28">
      <c r="A1618" s="391"/>
      <c r="B1618" s="392"/>
      <c r="C1618" s="393" t="s">
        <v>199</v>
      </c>
      <c r="D1618" s="2562">
        <f>VLOOKUP(C1615,'Data Panjang Balok'!$C$9:$N$254,7,FALSE)</f>
        <v>1300</v>
      </c>
      <c r="E1618" s="2563"/>
      <c r="F1618" s="2563"/>
      <c r="G1618" s="2563"/>
      <c r="H1618" s="2564"/>
      <c r="I1618" s="397"/>
      <c r="J1618" s="396"/>
      <c r="K1618" s="396"/>
      <c r="L1618" s="396"/>
      <c r="M1618" s="396"/>
      <c r="N1618" s="396"/>
      <c r="O1618" s="396"/>
      <c r="P1618" s="396"/>
      <c r="Q1618" s="396"/>
      <c r="R1618" s="396"/>
      <c r="S1618" s="396"/>
      <c r="T1618" s="396"/>
      <c r="U1618" s="388"/>
      <c r="V1618" s="396"/>
      <c r="W1618" s="388"/>
      <c r="X1618" s="396"/>
      <c r="Y1618" s="389"/>
      <c r="Z1618" s="396"/>
      <c r="AA1618" s="388"/>
      <c r="AB1618" s="390"/>
    </row>
    <row r="1619" spans="1:28">
      <c r="A1619" s="391"/>
      <c r="B1619" s="392"/>
      <c r="C1619" s="393" t="s">
        <v>200</v>
      </c>
      <c r="D1619" s="2562">
        <f>VLOOKUP(C1615,'Data Panjang Balok'!$C$9:$N$254,9,FALSE)</f>
        <v>0</v>
      </c>
      <c r="E1619" s="2563"/>
      <c r="F1619" s="2563"/>
      <c r="G1619" s="2563"/>
      <c r="H1619" s="2564"/>
      <c r="I1619" s="397"/>
      <c r="J1619" s="396"/>
      <c r="K1619" s="396"/>
      <c r="L1619" s="396"/>
      <c r="M1619" s="396"/>
      <c r="N1619" s="396"/>
      <c r="O1619" s="396"/>
      <c r="P1619" s="396"/>
      <c r="Q1619" s="396"/>
      <c r="R1619" s="396"/>
      <c r="S1619" s="396"/>
      <c r="T1619" s="396"/>
      <c r="U1619" s="388"/>
      <c r="V1619" s="396"/>
      <c r="W1619" s="388"/>
      <c r="X1619" s="396"/>
      <c r="Y1619" s="389"/>
      <c r="Z1619" s="396"/>
      <c r="AA1619" s="388"/>
      <c r="AB1619" s="390"/>
    </row>
    <row r="1620" spans="1:28">
      <c r="A1620" s="391"/>
      <c r="B1620" s="392"/>
      <c r="C1620" s="393" t="s">
        <v>201</v>
      </c>
      <c r="D1620" s="2562">
        <f>VLOOKUP(C1615,'Data Panjang Balok'!$C$9:$N$254,10,FALSE)</f>
        <v>0</v>
      </c>
      <c r="E1620" s="2563"/>
      <c r="F1620" s="2563"/>
      <c r="G1620" s="2563"/>
      <c r="H1620" s="2564"/>
      <c r="I1620" s="397"/>
      <c r="J1620" s="396"/>
      <c r="K1620" s="396"/>
      <c r="L1620" s="396"/>
      <c r="M1620" s="396"/>
      <c r="N1620" s="396"/>
      <c r="O1620" s="396"/>
      <c r="P1620" s="396"/>
      <c r="Q1620" s="396"/>
      <c r="R1620" s="396"/>
      <c r="S1620" s="396"/>
      <c r="T1620" s="396"/>
      <c r="U1620" s="388"/>
      <c r="V1620" s="396"/>
      <c r="W1620" s="388"/>
      <c r="X1620" s="396"/>
      <c r="Y1620" s="389"/>
      <c r="Z1620" s="396"/>
      <c r="AA1620" s="388"/>
      <c r="AB1620" s="390"/>
    </row>
    <row r="1621" spans="1:28">
      <c r="A1621" s="391"/>
      <c r="B1621" s="392"/>
      <c r="C1621" s="393" t="s">
        <v>48</v>
      </c>
      <c r="D1621" s="2562">
        <f>VLOOKUP(C1615,'Data Panjang Balok'!$C$9:$N$254,3,FALSE)</f>
        <v>1</v>
      </c>
      <c r="E1621" s="2563"/>
      <c r="F1621" s="2563"/>
      <c r="G1621" s="2563"/>
      <c r="H1621" s="2564"/>
      <c r="I1621" s="397"/>
      <c r="J1621" s="396"/>
      <c r="K1621" s="396"/>
      <c r="L1621" s="396"/>
      <c r="M1621" s="396"/>
      <c r="N1621" s="396"/>
      <c r="O1621" s="396"/>
      <c r="P1621" s="396"/>
      <c r="Q1621" s="396"/>
      <c r="R1621" s="396"/>
      <c r="S1621" s="396"/>
      <c r="T1621" s="396"/>
      <c r="U1621" s="388"/>
      <c r="V1621" s="396"/>
      <c r="W1621" s="388"/>
      <c r="X1621" s="396"/>
      <c r="Y1621" s="389"/>
      <c r="Z1621" s="396"/>
      <c r="AA1621" s="388"/>
      <c r="AB1621" s="390"/>
    </row>
    <row r="1622" spans="1:28">
      <c r="A1622" s="384" t="str">
        <f t="shared" ref="A1622:B1622" si="5138">A1615</f>
        <v>Lantai 1</v>
      </c>
      <c r="B1622" s="385">
        <f t="shared" si="5138"/>
        <v>52</v>
      </c>
      <c r="C1622" s="393" t="s">
        <v>202</v>
      </c>
      <c r="D1622" s="398">
        <f>VLOOKUP(D1615,'Detail Balok'!$C$10:$AU$140,4,FALSE)</f>
        <v>3</v>
      </c>
      <c r="E1622" s="388" t="s">
        <v>16</v>
      </c>
      <c r="F1622" s="388">
        <f>VLOOKUP(D1615,'Detail Balok'!$C$10:$AU$140,6,FALSE)</f>
        <v>16</v>
      </c>
      <c r="G1622" s="388"/>
      <c r="H1622" s="395"/>
      <c r="I1622" s="388" t="s">
        <v>203</v>
      </c>
      <c r="J1622" s="399">
        <f t="shared" ref="J1622" si="5139">+D1617/4/1000</f>
        <v>0.32500000000000001</v>
      </c>
      <c r="K1622" s="400" t="s">
        <v>204</v>
      </c>
      <c r="L1622" s="399">
        <f t="shared" ref="L1622" si="5140">MAX(VLOOKUP(F1622,N$6:P$15,3,FALSE)/1000,2/3*D1619/1000)+F$16*F1622/1000</f>
        <v>0.192</v>
      </c>
      <c r="M1622" s="399" t="s">
        <v>176</v>
      </c>
      <c r="N1622" s="399">
        <f t="shared" ref="N1622:N1624" si="5141">J1622+L1622</f>
        <v>0.51700000000000002</v>
      </c>
      <c r="O1622" s="399" t="s">
        <v>204</v>
      </c>
      <c r="P1622" s="389">
        <f t="shared" ref="P1622" si="5142">D1622-D1623</f>
        <v>0</v>
      </c>
      <c r="Q1622" s="399" t="s">
        <v>125</v>
      </c>
      <c r="R1622" s="399">
        <f t="shared" ref="R1622" si="5143">IF(P1622&gt;0,$F$18*F1622/1000,0)</f>
        <v>0</v>
      </c>
      <c r="S1622" s="399" t="s">
        <v>205</v>
      </c>
      <c r="T1622" s="399" t="s">
        <v>125</v>
      </c>
      <c r="U1622" s="401">
        <f t="shared" ref="U1622:U1624" si="5144">0.006165*F1622^2</f>
        <v>1.5782400000000001</v>
      </c>
      <c r="V1622" s="399"/>
      <c r="W1622" s="399"/>
      <c r="X1622" s="399" t="s">
        <v>125</v>
      </c>
      <c r="Y1622" s="389">
        <f t="shared" ref="Y1622" si="5145">D1621</f>
        <v>1</v>
      </c>
      <c r="Z1622" s="400" t="s">
        <v>176</v>
      </c>
      <c r="AA1622" s="402">
        <f t="shared" ref="AA1622" si="5146">IF(AA1625=0,(D1622*N1622+P1622*R1622)*U1622*Y1622,0)</f>
        <v>0</v>
      </c>
      <c r="AB1622" s="403"/>
    </row>
    <row r="1623" spans="1:28">
      <c r="A1623" s="384" t="str">
        <f t="shared" ref="A1623:B1623" si="5147">A1615</f>
        <v>Lantai 1</v>
      </c>
      <c r="B1623" s="385">
        <f t="shared" si="5147"/>
        <v>52</v>
      </c>
      <c r="C1623" s="393" t="s">
        <v>206</v>
      </c>
      <c r="D1623" s="398">
        <f>VLOOKUP(D1615,'Detail Balok'!$C$10:$AU$140,7,FALSE)</f>
        <v>3</v>
      </c>
      <c r="E1623" s="388" t="s">
        <v>16</v>
      </c>
      <c r="F1623" s="388">
        <f>VLOOKUP(D1615,'Detail Balok'!$C$10:$AU$140,9,FALSE)</f>
        <v>16</v>
      </c>
      <c r="G1623" s="388"/>
      <c r="H1623" s="395"/>
      <c r="I1623" s="388" t="s">
        <v>203</v>
      </c>
      <c r="J1623" s="399">
        <f t="shared" ref="J1623" si="5148">+D1617/2/1000</f>
        <v>0.65</v>
      </c>
      <c r="K1623" s="400" t="s">
        <v>204</v>
      </c>
      <c r="L1623" s="399"/>
      <c r="M1623" s="399" t="s">
        <v>176</v>
      </c>
      <c r="N1623" s="399">
        <f t="shared" si="5141"/>
        <v>0.65</v>
      </c>
      <c r="O1623" s="399" t="s">
        <v>204</v>
      </c>
      <c r="P1623" s="389">
        <f t="shared" ref="P1623" si="5149">MAX(D1623-D1622,D1623-D1624)</f>
        <v>0</v>
      </c>
      <c r="Q1623" s="399" t="s">
        <v>125</v>
      </c>
      <c r="R1623" s="399">
        <f t="shared" ref="R1623" si="5150">IF(P1623&gt;0,2*(1-2*$F$19-1/2)*D1618/1000,0)</f>
        <v>0</v>
      </c>
      <c r="S1623" s="399" t="s">
        <v>205</v>
      </c>
      <c r="T1623" s="399" t="s">
        <v>125</v>
      </c>
      <c r="U1623" s="401">
        <f t="shared" si="5144"/>
        <v>1.5782400000000001</v>
      </c>
      <c r="V1623" s="399"/>
      <c r="W1623" s="399"/>
      <c r="X1623" s="399" t="s">
        <v>125</v>
      </c>
      <c r="Y1623" s="389">
        <f t="shared" ref="Y1623" si="5151">D1621</f>
        <v>1</v>
      </c>
      <c r="Z1623" s="400" t="s">
        <v>176</v>
      </c>
      <c r="AA1623" s="402">
        <f t="shared" ref="AA1623" si="5152">IF(AA1625=0,(D1623*N1623+P1623*R1623)*U1623*Y1623,0)</f>
        <v>0</v>
      </c>
      <c r="AB1623" s="403"/>
    </row>
    <row r="1624" spans="1:28">
      <c r="A1624" s="384" t="str">
        <f t="shared" ref="A1624:B1624" si="5153">A1615</f>
        <v>Lantai 1</v>
      </c>
      <c r="B1624" s="385">
        <f t="shared" si="5153"/>
        <v>52</v>
      </c>
      <c r="C1624" s="393" t="s">
        <v>202</v>
      </c>
      <c r="D1624" s="398">
        <f>VLOOKUP(D1615,'Detail Balok'!$C$10:$AU$140,10,FALSE)</f>
        <v>3</v>
      </c>
      <c r="E1624" s="388" t="s">
        <v>16</v>
      </c>
      <c r="F1624" s="388">
        <f>VLOOKUP(D1615,'Detail Balok'!$C$10:$AU$140,12,FALSE)</f>
        <v>16</v>
      </c>
      <c r="G1624" s="388"/>
      <c r="H1624" s="395"/>
      <c r="I1624" s="388" t="s">
        <v>203</v>
      </c>
      <c r="J1624" s="399">
        <f t="shared" ref="J1624" si="5154">+D1617/4/1000</f>
        <v>0.32500000000000001</v>
      </c>
      <c r="K1624" s="400" t="s">
        <v>204</v>
      </c>
      <c r="L1624" s="399">
        <f t="shared" ref="L1624" si="5155">MAX(VLOOKUP(F1624,N$6:P$15,3,FALSE)/1000,2/3*D1619/1000)+F$16*F1624/1000</f>
        <v>0.192</v>
      </c>
      <c r="M1624" s="399" t="s">
        <v>176</v>
      </c>
      <c r="N1624" s="399">
        <f t="shared" si="5141"/>
        <v>0.51700000000000002</v>
      </c>
      <c r="O1624" s="399" t="s">
        <v>204</v>
      </c>
      <c r="P1624" s="389">
        <f t="shared" ref="P1624" si="5156">D1624-D1623</f>
        <v>0</v>
      </c>
      <c r="Q1624" s="399" t="s">
        <v>125</v>
      </c>
      <c r="R1624" s="399">
        <f t="shared" ref="R1624" si="5157">IF(P1624&gt;0,$F$18*F1624/1000,0)</f>
        <v>0</v>
      </c>
      <c r="S1624" s="399" t="s">
        <v>205</v>
      </c>
      <c r="T1624" s="399" t="s">
        <v>125</v>
      </c>
      <c r="U1624" s="401">
        <f t="shared" si="5144"/>
        <v>1.5782400000000001</v>
      </c>
      <c r="V1624" s="399"/>
      <c r="W1624" s="399"/>
      <c r="X1624" s="399" t="s">
        <v>125</v>
      </c>
      <c r="Y1624" s="389">
        <f t="shared" ref="Y1624" si="5158">D1621</f>
        <v>1</v>
      </c>
      <c r="Z1624" s="400" t="s">
        <v>176</v>
      </c>
      <c r="AA1624" s="402">
        <f t="shared" ref="AA1624" si="5159">IF(AA1625=0,(D1624*N1624+P1624*R1624)*U1624*Y1624,0)</f>
        <v>0</v>
      </c>
      <c r="AB1624" s="403"/>
    </row>
    <row r="1625" spans="1:28">
      <c r="A1625" s="384" t="str">
        <f t="shared" ref="A1625:B1625" si="5160">A1615</f>
        <v>Lantai 1</v>
      </c>
      <c r="B1625" s="385">
        <f t="shared" si="5160"/>
        <v>52</v>
      </c>
      <c r="C1625" s="393"/>
      <c r="D1625" s="398">
        <f t="shared" ref="D1625:D1685" si="5161">IF(AND(D1622=D1623,D1623=D1624,D1622=D1624),D1622,0)</f>
        <v>3</v>
      </c>
      <c r="E1625" s="388" t="s">
        <v>16</v>
      </c>
      <c r="F1625" s="388">
        <f t="shared" ref="F1625:F1685" si="5162">IF(AND(F1622=F1623,F1622=F1624,F1623=F1624),F1622,0)</f>
        <v>16</v>
      </c>
      <c r="G1625" s="388"/>
      <c r="H1625" s="395"/>
      <c r="I1625" s="388"/>
      <c r="J1625" s="396"/>
      <c r="K1625" s="396"/>
      <c r="L1625" s="404" t="s">
        <v>207</v>
      </c>
      <c r="M1625" s="399" t="s">
        <v>176</v>
      </c>
      <c r="N1625" s="399">
        <f t="shared" ref="N1625" si="5163">IF(AND(D1622=D1623,D1622=D1624,D1623=D1624,F1622=F1623,F1622=F1624,F1623=F1624),SUM(N1622:N1624),0)</f>
        <v>1.6840000000000002</v>
      </c>
      <c r="O1625" s="399" t="s">
        <v>204</v>
      </c>
      <c r="P1625" s="389">
        <f t="shared" ref="P1625" si="5164">IF(N1625&gt;12,ROUNDDOWN(N1625/12,0),0)</f>
        <v>0</v>
      </c>
      <c r="Q1625" s="399" t="s">
        <v>125</v>
      </c>
      <c r="R1625" s="399">
        <f t="shared" ref="R1625" si="5165">IF(P1625&gt;0,MAX(VLOOKUP(F1625,$D$6:$G$15,3,FALSE),600),0)/1000</f>
        <v>0</v>
      </c>
      <c r="S1625" s="396"/>
      <c r="T1625" s="396" t="s">
        <v>125</v>
      </c>
      <c r="U1625" s="401">
        <f t="shared" ref="U1625:U1685" si="5166">U1624</f>
        <v>1.5782400000000001</v>
      </c>
      <c r="V1625" s="396" t="s">
        <v>125</v>
      </c>
      <c r="W1625" s="399">
        <f t="shared" ref="W1625" si="5167">D1625</f>
        <v>3</v>
      </c>
      <c r="X1625" s="399" t="s">
        <v>125</v>
      </c>
      <c r="Y1625" s="389">
        <f t="shared" ref="Y1625:Y1685" si="5168">Y1624</f>
        <v>1</v>
      </c>
      <c r="Z1625" s="400" t="s">
        <v>176</v>
      </c>
      <c r="AA1625" s="402">
        <f t="shared" ref="AA1625" si="5169">(N1625+P1625*R1625/1000)*U1625*W1625*Y1625</f>
        <v>7.9732684800000015</v>
      </c>
      <c r="AB1625" s="390"/>
    </row>
    <row r="1626" spans="1:28">
      <c r="A1626" s="384"/>
      <c r="B1626" s="385"/>
      <c r="C1626" s="393"/>
      <c r="D1626" s="398"/>
      <c r="E1626" s="388"/>
      <c r="F1626" s="388"/>
      <c r="G1626" s="388"/>
      <c r="H1626" s="395"/>
      <c r="I1626" s="388"/>
      <c r="J1626" s="396"/>
      <c r="K1626" s="396"/>
      <c r="L1626" s="404"/>
      <c r="M1626" s="399"/>
      <c r="N1626" s="399"/>
      <c r="O1626" s="396"/>
      <c r="P1626" s="389"/>
      <c r="Q1626" s="396"/>
      <c r="R1626" s="396"/>
      <c r="S1626" s="396"/>
      <c r="T1626" s="396"/>
      <c r="U1626" s="401"/>
      <c r="V1626" s="396"/>
      <c r="W1626" s="399"/>
      <c r="X1626" s="396"/>
      <c r="Y1626" s="389"/>
      <c r="Z1626" s="396"/>
      <c r="AA1626" s="388"/>
      <c r="AB1626" s="390"/>
    </row>
    <row r="1627" spans="1:28">
      <c r="A1627" s="384" t="str">
        <f t="shared" ref="A1627:B1627" si="5170">A1615</f>
        <v>Lantai 1</v>
      </c>
      <c r="B1627" s="385">
        <f t="shared" si="5170"/>
        <v>52</v>
      </c>
      <c r="C1627" s="393" t="s">
        <v>208</v>
      </c>
      <c r="D1627" s="398">
        <f>VLOOKUP(D1615,'Detail Balok'!$C$10:$AU$140,13,FALSE)</f>
        <v>2</v>
      </c>
      <c r="E1627" s="388" t="s">
        <v>16</v>
      </c>
      <c r="F1627" s="388">
        <f>VLOOKUP(D1615,'Detail Balok'!$C$10:$AU$140,15,FALSE)</f>
        <v>10</v>
      </c>
      <c r="G1627" s="388"/>
      <c r="H1627" s="395"/>
      <c r="I1627" s="388"/>
      <c r="J1627" s="399">
        <f t="shared" ref="J1627" si="5171">+D1617/1000</f>
        <v>1.3</v>
      </c>
      <c r="K1627" s="400" t="s">
        <v>204</v>
      </c>
      <c r="L1627" s="399">
        <f t="shared" ref="L1627" si="5172">2*$F$16*F1627/1000</f>
        <v>0.24</v>
      </c>
      <c r="M1627" s="399" t="s">
        <v>176</v>
      </c>
      <c r="N1627" s="399">
        <f t="shared" ref="N1627" si="5173">J1627+L1627</f>
        <v>1.54</v>
      </c>
      <c r="O1627" s="399" t="s">
        <v>204</v>
      </c>
      <c r="P1627" s="389">
        <f t="shared" ref="P1627" si="5174">IF(N1627&gt;12,ROUNDDOWN(N1627/12,0),0)</f>
        <v>0</v>
      </c>
      <c r="Q1627" s="399" t="s">
        <v>125</v>
      </c>
      <c r="R1627" s="399">
        <f t="shared" ref="R1627" si="5175">IF(P1627&gt;0,MAX(VLOOKUP(F1627,$D$6:$G$15,3,FALSE),600),0)/1000</f>
        <v>0</v>
      </c>
      <c r="S1627" s="399"/>
      <c r="T1627" s="399" t="s">
        <v>125</v>
      </c>
      <c r="U1627" s="401">
        <f t="shared" ref="U1627" si="5176">0.006165*F1627^2</f>
        <v>0.61650000000000005</v>
      </c>
      <c r="V1627" s="399" t="s">
        <v>125</v>
      </c>
      <c r="W1627" s="399">
        <f t="shared" ref="W1627" si="5177">+D1627</f>
        <v>2</v>
      </c>
      <c r="X1627" s="399" t="s">
        <v>125</v>
      </c>
      <c r="Y1627" s="389">
        <f t="shared" ref="Y1627" si="5178">D1621</f>
        <v>1</v>
      </c>
      <c r="Z1627" s="400" t="s">
        <v>176</v>
      </c>
      <c r="AA1627" s="402">
        <f t="shared" ref="AA1627" si="5179">(N1627+P1627*R1627/1000)*U1627*W1627*Y1627</f>
        <v>1.8988200000000002</v>
      </c>
      <c r="AB1627" s="403"/>
    </row>
    <row r="1628" spans="1:28">
      <c r="A1628" s="384"/>
      <c r="B1628" s="385"/>
      <c r="C1628" s="393"/>
      <c r="D1628" s="398"/>
      <c r="E1628" s="388"/>
      <c r="F1628" s="388"/>
      <c r="G1628" s="388"/>
      <c r="H1628" s="395"/>
      <c r="I1628" s="388"/>
      <c r="J1628" s="399"/>
      <c r="K1628" s="400"/>
      <c r="L1628" s="399"/>
      <c r="M1628" s="399"/>
      <c r="N1628" s="399"/>
      <c r="O1628" s="399"/>
      <c r="P1628" s="389"/>
      <c r="Q1628" s="399"/>
      <c r="R1628" s="399"/>
      <c r="S1628" s="399"/>
      <c r="T1628" s="399"/>
      <c r="U1628" s="401"/>
      <c r="V1628" s="399"/>
      <c r="W1628" s="399"/>
      <c r="X1628" s="399"/>
      <c r="Y1628" s="389"/>
      <c r="Z1628" s="400"/>
      <c r="AA1628" s="402"/>
      <c r="AB1628" s="403"/>
    </row>
    <row r="1629" spans="1:28">
      <c r="A1629" s="384"/>
      <c r="B1629" s="385"/>
      <c r="C1629" s="393"/>
      <c r="D1629" s="398"/>
      <c r="E1629" s="388"/>
      <c r="F1629" s="388"/>
      <c r="G1629" s="388"/>
      <c r="H1629" s="395"/>
      <c r="I1629" s="388"/>
      <c r="J1629" s="396"/>
      <c r="K1629" s="396"/>
      <c r="L1629" s="396"/>
      <c r="M1629" s="396"/>
      <c r="N1629" s="396"/>
      <c r="O1629" s="396"/>
      <c r="P1629" s="389"/>
      <c r="Q1629" s="396"/>
      <c r="R1629" s="396"/>
      <c r="S1629" s="396"/>
      <c r="T1629" s="396"/>
      <c r="U1629" s="401"/>
      <c r="V1629" s="396"/>
      <c r="W1629" s="399"/>
      <c r="X1629" s="396"/>
      <c r="Y1629" s="389"/>
      <c r="Z1629" s="396"/>
      <c r="AA1629" s="388"/>
      <c r="AB1629" s="390"/>
    </row>
    <row r="1630" spans="1:28">
      <c r="A1630" s="384" t="str">
        <f t="shared" ref="A1630:B1630" si="5180">A1615</f>
        <v>Lantai 1</v>
      </c>
      <c r="B1630" s="385">
        <f t="shared" si="5180"/>
        <v>52</v>
      </c>
      <c r="C1630" s="393" t="s">
        <v>209</v>
      </c>
      <c r="D1630" s="398">
        <f>VLOOKUP(D1615,'Detail Balok'!$C$10:$AU$140,22,FALSE)</f>
        <v>3</v>
      </c>
      <c r="E1630" s="388" t="s">
        <v>16</v>
      </c>
      <c r="F1630" s="388">
        <f>VLOOKUP(D1615,'Detail Balok'!$C$10:$AU$140,24,FALSE)</f>
        <v>16</v>
      </c>
      <c r="G1630" s="388"/>
      <c r="H1630" s="395"/>
      <c r="I1630" s="388" t="s">
        <v>203</v>
      </c>
      <c r="J1630" s="399">
        <f t="shared" ref="J1630:J1692" si="5181">+J1622</f>
        <v>0.32500000000000001</v>
      </c>
      <c r="K1630" s="400" t="s">
        <v>204</v>
      </c>
      <c r="L1630" s="399">
        <f t="shared" ref="L1630" si="5182">MAX(VLOOKUP(F1630,N$6:P$15,3,FALSE)/1000,2/3*D1620/1000)+F$16*F1630/1000</f>
        <v>0.192</v>
      </c>
      <c r="M1630" s="399" t="s">
        <v>176</v>
      </c>
      <c r="N1630" s="399">
        <f t="shared" ref="N1630:N1632" si="5183">J1630+L1630</f>
        <v>0.51700000000000002</v>
      </c>
      <c r="O1630" s="399" t="s">
        <v>204</v>
      </c>
      <c r="P1630" s="389">
        <f t="shared" ref="P1630" si="5184">D1630-D1631</f>
        <v>0</v>
      </c>
      <c r="Q1630" s="399" t="s">
        <v>125</v>
      </c>
      <c r="R1630" s="399">
        <f t="shared" ref="R1630" si="5185">IF(P1630&gt;0,$F$18*F1630/1000,0)</f>
        <v>0</v>
      </c>
      <c r="S1630" s="399" t="s">
        <v>205</v>
      </c>
      <c r="T1630" s="399" t="s">
        <v>125</v>
      </c>
      <c r="U1630" s="401">
        <f t="shared" ref="U1630:U1632" si="5186">0.006165*F1630^2</f>
        <v>1.5782400000000001</v>
      </c>
      <c r="V1630" s="399"/>
      <c r="W1630" s="399"/>
      <c r="X1630" s="399" t="s">
        <v>125</v>
      </c>
      <c r="Y1630" s="389">
        <f t="shared" ref="Y1630" si="5187">D1621</f>
        <v>1</v>
      </c>
      <c r="Z1630" s="400" t="s">
        <v>176</v>
      </c>
      <c r="AA1630" s="402">
        <f t="shared" ref="AA1630" si="5188">IF(AA1633=0,(D1630*N1630+P1630*R1630)*U1630*Y1630,0)</f>
        <v>0</v>
      </c>
      <c r="AB1630" s="403"/>
    </row>
    <row r="1631" spans="1:28">
      <c r="A1631" s="384" t="str">
        <f t="shared" ref="A1631:B1631" si="5189">A1615</f>
        <v>Lantai 1</v>
      </c>
      <c r="B1631" s="385">
        <f t="shared" si="5189"/>
        <v>52</v>
      </c>
      <c r="C1631" s="393" t="s">
        <v>210</v>
      </c>
      <c r="D1631" s="398">
        <f>VLOOKUP(D1615,'Detail Balok'!$C$10:$AU$140,25,FALSE)</f>
        <v>3</v>
      </c>
      <c r="E1631" s="388" t="s">
        <v>16</v>
      </c>
      <c r="F1631" s="388">
        <f>VLOOKUP(D1615,'Detail Balok'!$C$10:$AU$140,27,FALSE)</f>
        <v>16</v>
      </c>
      <c r="G1631" s="388"/>
      <c r="H1631" s="395"/>
      <c r="I1631" s="388" t="s">
        <v>203</v>
      </c>
      <c r="J1631" s="399">
        <f t="shared" si="5181"/>
        <v>0.65</v>
      </c>
      <c r="K1631" s="400" t="s">
        <v>204</v>
      </c>
      <c r="L1631" s="399"/>
      <c r="M1631" s="399" t="s">
        <v>176</v>
      </c>
      <c r="N1631" s="399">
        <f t="shared" si="5183"/>
        <v>0.65</v>
      </c>
      <c r="O1631" s="399" t="s">
        <v>204</v>
      </c>
      <c r="P1631" s="389">
        <f t="shared" ref="P1631" si="5190">MAX(D1631-D1630,D1631-D1632)</f>
        <v>0</v>
      </c>
      <c r="Q1631" s="399" t="s">
        <v>125</v>
      </c>
      <c r="R1631" s="399">
        <f t="shared" ref="R1631" si="5191">IF(P1631&gt;0,2*(1-2*$F$19-1/2)*D1618/1000,0)</f>
        <v>0</v>
      </c>
      <c r="S1631" s="399" t="s">
        <v>205</v>
      </c>
      <c r="T1631" s="399" t="s">
        <v>125</v>
      </c>
      <c r="U1631" s="401">
        <f t="shared" si="5186"/>
        <v>1.5782400000000001</v>
      </c>
      <c r="V1631" s="399"/>
      <c r="W1631" s="399"/>
      <c r="X1631" s="399" t="s">
        <v>125</v>
      </c>
      <c r="Y1631" s="389">
        <f t="shared" ref="Y1631" si="5192">D1621</f>
        <v>1</v>
      </c>
      <c r="Z1631" s="400" t="s">
        <v>176</v>
      </c>
      <c r="AA1631" s="402">
        <f t="shared" ref="AA1631" si="5193">IF(AA1633=0,(D1631*N1631+P1631*R1631)*U1631*Y1631,0)</f>
        <v>0</v>
      </c>
      <c r="AB1631" s="403"/>
    </row>
    <row r="1632" spans="1:28">
      <c r="A1632" s="384" t="str">
        <f t="shared" ref="A1632:B1632" si="5194">A1615</f>
        <v>Lantai 1</v>
      </c>
      <c r="B1632" s="385">
        <f t="shared" si="5194"/>
        <v>52</v>
      </c>
      <c r="C1632" s="393" t="s">
        <v>209</v>
      </c>
      <c r="D1632" s="398">
        <f>VLOOKUP(D1615,'Detail Balok'!$C$10:$AU$140,28,FALSE)</f>
        <v>3</v>
      </c>
      <c r="E1632" s="388" t="s">
        <v>16</v>
      </c>
      <c r="F1632" s="388">
        <f>VLOOKUP(D1615,'Detail Balok'!$C$10:$AU$140,30,FALSE)</f>
        <v>16</v>
      </c>
      <c r="G1632" s="388"/>
      <c r="H1632" s="395"/>
      <c r="I1632" s="388" t="s">
        <v>203</v>
      </c>
      <c r="J1632" s="399">
        <f t="shared" si="5181"/>
        <v>0.32500000000000001</v>
      </c>
      <c r="K1632" s="400" t="s">
        <v>204</v>
      </c>
      <c r="L1632" s="399">
        <f t="shared" ref="L1632" si="5195">MAX(VLOOKUP(F1632,N$6:P$15,3,FALSE)/1000,2/3*D1620/1000)+F$16*F1632/1000</f>
        <v>0.192</v>
      </c>
      <c r="M1632" s="399" t="s">
        <v>176</v>
      </c>
      <c r="N1632" s="399">
        <f t="shared" si="5183"/>
        <v>0.51700000000000002</v>
      </c>
      <c r="O1632" s="399" t="s">
        <v>204</v>
      </c>
      <c r="P1632" s="389">
        <f t="shared" ref="P1632" si="5196">D1632-D1631</f>
        <v>0</v>
      </c>
      <c r="Q1632" s="399" t="s">
        <v>125</v>
      </c>
      <c r="R1632" s="399">
        <f t="shared" ref="R1632" si="5197">IF(P1632&gt;0,$F$18*F1632/1000,0)</f>
        <v>0</v>
      </c>
      <c r="S1632" s="399" t="s">
        <v>205</v>
      </c>
      <c r="T1632" s="399" t="s">
        <v>125</v>
      </c>
      <c r="U1632" s="401">
        <f t="shared" si="5186"/>
        <v>1.5782400000000001</v>
      </c>
      <c r="V1632" s="399"/>
      <c r="W1632" s="399"/>
      <c r="X1632" s="399" t="s">
        <v>125</v>
      </c>
      <c r="Y1632" s="389">
        <f t="shared" ref="Y1632" si="5198">D1621</f>
        <v>1</v>
      </c>
      <c r="Z1632" s="400" t="s">
        <v>176</v>
      </c>
      <c r="AA1632" s="402">
        <f t="shared" ref="AA1632" si="5199">IF(AA1633=0,(D1632*N1632+P1632*R1632)*U1632*Y1632,0)</f>
        <v>0</v>
      </c>
      <c r="AB1632" s="403"/>
    </row>
    <row r="1633" spans="1:28">
      <c r="A1633" s="384" t="str">
        <f t="shared" ref="A1633:B1633" si="5200">A1615</f>
        <v>Lantai 1</v>
      </c>
      <c r="B1633" s="385">
        <f t="shared" si="5200"/>
        <v>52</v>
      </c>
      <c r="C1633" s="393"/>
      <c r="D1633" s="398">
        <f t="shared" ref="D1633:D1693" si="5201">IF(AND(D1630=D1631,D1631=D1632,D1630=D1632),D1630,0)</f>
        <v>3</v>
      </c>
      <c r="E1633" s="388" t="s">
        <v>16</v>
      </c>
      <c r="F1633" s="388">
        <f t="shared" ref="F1633:F1693" si="5202">IF(AND(F1630=F1631,F1630=F1632,F1631=F1632),F1630,0)</f>
        <v>16</v>
      </c>
      <c r="G1633" s="388"/>
      <c r="H1633" s="395"/>
      <c r="I1633" s="388"/>
      <c r="J1633" s="396"/>
      <c r="K1633" s="396"/>
      <c r="L1633" s="404" t="s">
        <v>207</v>
      </c>
      <c r="M1633" s="399" t="s">
        <v>176</v>
      </c>
      <c r="N1633" s="399">
        <f t="shared" ref="N1633" si="5203">IF(AND(D1630=D1631,D1630=D1632,D1631=D1632,F1630=F1631,F1630=F1632,F1631=F1632),SUM(N1630:N1632),0)</f>
        <v>1.6840000000000002</v>
      </c>
      <c r="O1633" s="399" t="s">
        <v>204</v>
      </c>
      <c r="P1633" s="389">
        <f t="shared" ref="P1633" si="5204">IF(N1633&gt;12,ROUNDDOWN(N1633/12,0),0)</f>
        <v>0</v>
      </c>
      <c r="Q1633" s="399" t="s">
        <v>125</v>
      </c>
      <c r="R1633" s="399">
        <f t="shared" ref="R1633" si="5205">IF(P1633&gt;0,MAX(VLOOKUP(F1633,$D$6:$G$15,3,FALSE),600),0)/1000</f>
        <v>0</v>
      </c>
      <c r="S1633" s="396"/>
      <c r="T1633" s="396" t="s">
        <v>125</v>
      </c>
      <c r="U1633" s="401">
        <f t="shared" ref="U1633:U1693" si="5206">U1632</f>
        <v>1.5782400000000001</v>
      </c>
      <c r="V1633" s="396" t="s">
        <v>125</v>
      </c>
      <c r="W1633" s="399">
        <f t="shared" ref="W1633" si="5207">D1633</f>
        <v>3</v>
      </c>
      <c r="X1633" s="399" t="s">
        <v>125</v>
      </c>
      <c r="Y1633" s="389">
        <f t="shared" ref="Y1633:Y1693" si="5208">Y1632</f>
        <v>1</v>
      </c>
      <c r="Z1633" s="400" t="s">
        <v>176</v>
      </c>
      <c r="AA1633" s="402">
        <f t="shared" ref="AA1633" si="5209">(N1633+P1633*R1633/1000)*U1633*W1633*Y1633</f>
        <v>7.9732684800000015</v>
      </c>
      <c r="AB1633" s="403"/>
    </row>
    <row r="1634" spans="1:28">
      <c r="A1634" s="384"/>
      <c r="B1634" s="385"/>
      <c r="C1634" s="393"/>
      <c r="D1634" s="394"/>
      <c r="E1634" s="388"/>
      <c r="F1634" s="388"/>
      <c r="G1634" s="388"/>
      <c r="H1634" s="395"/>
      <c r="I1634" s="388"/>
      <c r="J1634" s="399"/>
      <c r="K1634" s="396"/>
      <c r="L1634" s="396"/>
      <c r="M1634" s="396"/>
      <c r="N1634" s="396"/>
      <c r="O1634" s="396"/>
      <c r="P1634" s="389"/>
      <c r="Q1634" s="396"/>
      <c r="R1634" s="396"/>
      <c r="S1634" s="396"/>
      <c r="T1634" s="396"/>
      <c r="U1634" s="401"/>
      <c r="V1634" s="396"/>
      <c r="W1634" s="388"/>
      <c r="X1634" s="396"/>
      <c r="Y1634" s="389"/>
      <c r="Z1634" s="396"/>
      <c r="AA1634" s="388"/>
      <c r="AB1634" s="390"/>
    </row>
    <row r="1635" spans="1:28">
      <c r="A1635" s="384" t="str">
        <f t="shared" ref="A1635:B1635" si="5210">A1615</f>
        <v>Lantai 1</v>
      </c>
      <c r="B1635" s="385">
        <f t="shared" si="5210"/>
        <v>52</v>
      </c>
      <c r="C1635" s="393" t="s">
        <v>211</v>
      </c>
      <c r="D1635" s="398">
        <f>VLOOKUP(D1615,'Detail Balok'!$C$10:$AU$140,31,FALSE)</f>
        <v>0</v>
      </c>
      <c r="E1635" s="388" t="s">
        <v>16</v>
      </c>
      <c r="F1635" s="388">
        <f>VLOOKUP(D1615,'Detail Balok'!$C$10:$AU$140,33,FALSE)</f>
        <v>8</v>
      </c>
      <c r="G1635" s="405" t="s">
        <v>157</v>
      </c>
      <c r="H1635" s="395">
        <f>VLOOKUP(D1615,'Detail Balok'!$C$10:$AU$140,35,FALSE)</f>
        <v>150</v>
      </c>
      <c r="I1635" s="388"/>
      <c r="J1635" s="400">
        <f t="shared" ref="J1635" si="5211">(IF(D1635=0,(2*(D1616+G1616))-(F$5*8),IF(D1635=3,(2*(D1616+G1616))-(F$5*8)+(G1616-2*F$5),IF(D1635=4,(2*(D1616+G1616))-(F$5*8)+2*(G1616-2*F$5)))))/1000</f>
        <v>1.08</v>
      </c>
      <c r="K1635" s="400" t="s">
        <v>204</v>
      </c>
      <c r="L1635" s="399">
        <f t="shared" ref="L1635:L1637" si="5212">IF(D1635=0,2*MAX(6*F1635,75),(D1635-1)*2*MAX(6*F1635,75))/1000</f>
        <v>0.15</v>
      </c>
      <c r="M1635" s="399" t="s">
        <v>176</v>
      </c>
      <c r="N1635" s="399">
        <f t="shared" ref="N1635:N1637" si="5213">J1635+L1635</f>
        <v>1.23</v>
      </c>
      <c r="O1635" s="399"/>
      <c r="P1635" s="389"/>
      <c r="Q1635" s="399"/>
      <c r="R1635" s="399"/>
      <c r="S1635" s="399"/>
      <c r="T1635" s="399" t="s">
        <v>125</v>
      </c>
      <c r="U1635" s="401">
        <f t="shared" ref="U1635:U1637" si="5214">0.006165*F1635^2</f>
        <v>0.39456000000000002</v>
      </c>
      <c r="V1635" s="399" t="s">
        <v>125</v>
      </c>
      <c r="W1635" s="399">
        <f t="shared" ref="W1635" si="5215">IF(D1618&gt;4*G1616,ROUND(MAX(D1618/4,2*G1616)/H1635,0)+1,ROUND(D1618/H1635,0)+1)</f>
        <v>10</v>
      </c>
      <c r="X1635" s="399" t="s">
        <v>125</v>
      </c>
      <c r="Y1635" s="389">
        <f t="shared" ref="Y1635" si="5216">D1621</f>
        <v>1</v>
      </c>
      <c r="Z1635" s="400" t="s">
        <v>176</v>
      </c>
      <c r="AA1635" s="402">
        <f t="shared" ref="AA1635:AA1637" si="5217">N1635*U1635*W1635*Y1635</f>
        <v>4.8530880000000005</v>
      </c>
      <c r="AB1635" s="403"/>
    </row>
    <row r="1636" spans="1:28">
      <c r="A1636" s="384" t="str">
        <f t="shared" ref="A1636:B1636" si="5218">A1615</f>
        <v>Lantai 1</v>
      </c>
      <c r="B1636" s="385">
        <f t="shared" si="5218"/>
        <v>52</v>
      </c>
      <c r="C1636" s="393" t="s">
        <v>212</v>
      </c>
      <c r="D1636" s="398">
        <f>VLOOKUP(D1615,'Detail Balok'!$C$10:$AU$140,36,FALSE)</f>
        <v>0</v>
      </c>
      <c r="E1636" s="388" t="s">
        <v>16</v>
      </c>
      <c r="F1636" s="388">
        <f>VLOOKUP(D1615,'Detail Balok'!$C$10:$AU$140,38,FALSE)</f>
        <v>8</v>
      </c>
      <c r="G1636" s="405" t="s">
        <v>157</v>
      </c>
      <c r="H1636" s="395">
        <f>VLOOKUP(D1615,'Detail Balok'!$C$10:$AU$140,40,FALSE)</f>
        <v>200</v>
      </c>
      <c r="I1636" s="388"/>
      <c r="J1636" s="400">
        <f t="shared" ref="J1636" si="5219">(IF(D1636=0,(2*(D1616+G1616))-(F$5*8),IF(D1636=3,(2*(D1616+G1616))-(F$5*8)+(G1616-2*F$5),IF(D1636=4,(2*(D1616+G1616))-(F$5*8)+2*(G1616-2*F$5)))))/1000</f>
        <v>1.08</v>
      </c>
      <c r="K1636" s="400" t="s">
        <v>204</v>
      </c>
      <c r="L1636" s="399">
        <f t="shared" si="5212"/>
        <v>0.15</v>
      </c>
      <c r="M1636" s="399" t="s">
        <v>176</v>
      </c>
      <c r="N1636" s="399">
        <f t="shared" si="5213"/>
        <v>1.23</v>
      </c>
      <c r="O1636" s="399"/>
      <c r="P1636" s="389"/>
      <c r="Q1636" s="399"/>
      <c r="R1636" s="399"/>
      <c r="S1636" s="399"/>
      <c r="T1636" s="399" t="s">
        <v>125</v>
      </c>
      <c r="U1636" s="401">
        <f t="shared" si="5214"/>
        <v>0.39456000000000002</v>
      </c>
      <c r="V1636" s="399" t="s">
        <v>125</v>
      </c>
      <c r="W1636" s="399">
        <f t="shared" ref="W1636" si="5220">IF(D1618-MAX(D1618/4,2*G1616)*2&gt;0,ROUND((D1618-MAX(D1618/4,2*G1616)*2)/H1636,0),0)</f>
        <v>0</v>
      </c>
      <c r="X1636" s="399" t="s">
        <v>125</v>
      </c>
      <c r="Y1636" s="389">
        <f t="shared" ref="Y1636" si="5221">D1621</f>
        <v>1</v>
      </c>
      <c r="Z1636" s="400" t="s">
        <v>176</v>
      </c>
      <c r="AA1636" s="402">
        <f t="shared" si="5217"/>
        <v>0</v>
      </c>
      <c r="AB1636" s="403"/>
    </row>
    <row r="1637" spans="1:28">
      <c r="A1637" s="384" t="str">
        <f t="shared" ref="A1637:B1637" si="5222">A1615</f>
        <v>Lantai 1</v>
      </c>
      <c r="B1637" s="385">
        <f t="shared" si="5222"/>
        <v>52</v>
      </c>
      <c r="C1637" s="393" t="s">
        <v>211</v>
      </c>
      <c r="D1637" s="398">
        <f>VLOOKUP(D1615,'Detail Balok'!$C$10:$AU$140,41,FALSE)</f>
        <v>0</v>
      </c>
      <c r="E1637" s="388" t="s">
        <v>16</v>
      </c>
      <c r="F1637" s="388">
        <f>VLOOKUP(D1615,'Detail Balok'!$C$10:$AU$140,43,FALSE)</f>
        <v>8</v>
      </c>
      <c r="G1637" s="405" t="s">
        <v>157</v>
      </c>
      <c r="H1637" s="395">
        <f>VLOOKUP(D1615,'Detail Balok'!$C$10:$AU$140,45,FALSE)</f>
        <v>150</v>
      </c>
      <c r="I1637" s="388"/>
      <c r="J1637" s="400">
        <f t="shared" ref="J1637" si="5223">(IF(D1637=0,(2*(D1616+G1616))-(F$5*8),IF(D1637=3,(2*(D1616+G1616))-(F$5*8)+(G1616-2*F$5),IF(D1637=4,(2*(D1616+G1616))-(F$5*8)+2*(G1616-2*F$5)))))/1000</f>
        <v>1.08</v>
      </c>
      <c r="K1637" s="400" t="s">
        <v>204</v>
      </c>
      <c r="L1637" s="399">
        <f t="shared" si="5212"/>
        <v>0.15</v>
      </c>
      <c r="M1637" s="399" t="s">
        <v>176</v>
      </c>
      <c r="N1637" s="399">
        <f t="shared" si="5213"/>
        <v>1.23</v>
      </c>
      <c r="O1637" s="399"/>
      <c r="P1637" s="389"/>
      <c r="Q1637" s="399"/>
      <c r="R1637" s="399"/>
      <c r="S1637" s="399"/>
      <c r="T1637" s="399" t="s">
        <v>125</v>
      </c>
      <c r="U1637" s="401">
        <f t="shared" si="5214"/>
        <v>0.39456000000000002</v>
      </c>
      <c r="V1637" s="399" t="s">
        <v>125</v>
      </c>
      <c r="W1637" s="399">
        <f t="shared" ref="W1637" si="5224">IF(D1618&gt;4*G1616,ROUND(MAX(D1618/4,2*G1616)/H1637,0)+1,0)</f>
        <v>0</v>
      </c>
      <c r="X1637" s="399" t="s">
        <v>125</v>
      </c>
      <c r="Y1637" s="389">
        <f t="shared" ref="Y1637" si="5225">D1621</f>
        <v>1</v>
      </c>
      <c r="Z1637" s="400" t="s">
        <v>176</v>
      </c>
      <c r="AA1637" s="402">
        <f t="shared" si="5217"/>
        <v>0</v>
      </c>
      <c r="AB1637" s="403"/>
    </row>
    <row r="1638" spans="1:28">
      <c r="A1638" s="384"/>
      <c r="B1638" s="385"/>
      <c r="C1638" s="393"/>
      <c r="D1638" s="394"/>
      <c r="E1638" s="388"/>
      <c r="F1638" s="388"/>
      <c r="G1638" s="388"/>
      <c r="H1638" s="395"/>
      <c r="I1638" s="388"/>
      <c r="J1638" s="399"/>
      <c r="K1638" s="396"/>
      <c r="L1638" s="396"/>
      <c r="M1638" s="396"/>
      <c r="N1638" s="396"/>
      <c r="O1638" s="396"/>
      <c r="P1638" s="389"/>
      <c r="Q1638" s="396"/>
      <c r="R1638" s="396"/>
      <c r="S1638" s="396"/>
      <c r="T1638" s="396"/>
      <c r="U1638" s="401"/>
      <c r="V1638" s="396"/>
      <c r="W1638" s="388"/>
      <c r="X1638" s="396"/>
      <c r="Y1638" s="389"/>
      <c r="Z1638" s="396"/>
      <c r="AA1638" s="388"/>
      <c r="AB1638" s="390"/>
    </row>
    <row r="1639" spans="1:28">
      <c r="A1639" s="384" t="str">
        <f t="shared" ref="A1639:B1639" si="5226">A1615</f>
        <v>Lantai 1</v>
      </c>
      <c r="B1639" s="385">
        <f t="shared" si="5226"/>
        <v>52</v>
      </c>
      <c r="C1639" s="393" t="s">
        <v>213</v>
      </c>
      <c r="D1639" s="398">
        <f>VLOOKUP(D1615,'Detail Balok'!$C$10:$BJ$140,46,FALSE)</f>
        <v>0</v>
      </c>
      <c r="E1639" s="388" t="s">
        <v>16</v>
      </c>
      <c r="F1639" s="388">
        <f>VLOOKUP(D1615,'Detail Balok'!$C$10:$BJ$140,48,FALSE)</f>
        <v>0</v>
      </c>
      <c r="G1639" s="405" t="s">
        <v>157</v>
      </c>
      <c r="H1639" s="395">
        <f>VLOOKUP(D1615,'Detail Balok'!$C$10:$BJ$140,50,FALSE)</f>
        <v>100</v>
      </c>
      <c r="I1639" s="388"/>
      <c r="J1639" s="399">
        <f t="shared" ref="J1639" si="5227">(D1616-2*F$5)/1000</f>
        <v>0.12</v>
      </c>
      <c r="K1639" s="400" t="s">
        <v>204</v>
      </c>
      <c r="L1639" s="399">
        <f t="shared" ref="L1639:L1641" si="5228">IF(D1639=0,2*MAX(6*F1639,75),(D1639-1)*2*MAX(6*F1639,75))/1000</f>
        <v>0.15</v>
      </c>
      <c r="M1639" s="399" t="s">
        <v>176</v>
      </c>
      <c r="N1639" s="399">
        <f t="shared" ref="N1639:N1641" si="5229">J1639+L1639</f>
        <v>0.27</v>
      </c>
      <c r="O1639" s="399"/>
      <c r="P1639" s="399"/>
      <c r="Q1639" s="399"/>
      <c r="R1639" s="399"/>
      <c r="S1639" s="399"/>
      <c r="T1639" s="399" t="s">
        <v>125</v>
      </c>
      <c r="U1639" s="401">
        <f t="shared" ref="U1639:U1641" si="5230">0.006165*F1639^2</f>
        <v>0</v>
      </c>
      <c r="V1639" s="399" t="s">
        <v>125</v>
      </c>
      <c r="W1639" s="399">
        <f t="shared" ref="W1639:W1701" si="5231">W1635</f>
        <v>10</v>
      </c>
      <c r="X1639" s="399" t="s">
        <v>125</v>
      </c>
      <c r="Y1639" s="389">
        <f t="shared" ref="Y1639" si="5232">D1625</f>
        <v>3</v>
      </c>
      <c r="Z1639" s="400" t="s">
        <v>176</v>
      </c>
      <c r="AA1639" s="402">
        <f t="shared" ref="AA1639:AA1641" si="5233">N1639*U1639*W1639*Y1639</f>
        <v>0</v>
      </c>
      <c r="AB1639" s="403"/>
    </row>
    <row r="1640" spans="1:28">
      <c r="A1640" s="384" t="str">
        <f t="shared" ref="A1640:B1640" si="5234">A1615</f>
        <v>Lantai 1</v>
      </c>
      <c r="B1640" s="385">
        <f t="shared" si="5234"/>
        <v>52</v>
      </c>
      <c r="C1640" s="393" t="s">
        <v>214</v>
      </c>
      <c r="D1640" s="398">
        <f>VLOOKUP(D1615,'Detail Balok'!$C$10:$BJ$140,51,FALSE)</f>
        <v>0</v>
      </c>
      <c r="E1640" s="388" t="s">
        <v>16</v>
      </c>
      <c r="F1640" s="388">
        <f>VLOOKUP(D1615,'Detail Balok'!$C$10:$BJ$140,53,FALSE)</f>
        <v>0</v>
      </c>
      <c r="G1640" s="405" t="s">
        <v>157</v>
      </c>
      <c r="H1640" s="395">
        <f>VLOOKUP(D1615,'Detail Balok'!$C$10:$BJ$140,55,FALSE)</f>
        <v>100</v>
      </c>
      <c r="I1640" s="388"/>
      <c r="J1640" s="399">
        <f t="shared" ref="J1640" si="5235">(D1616-2*F$5)/1000</f>
        <v>0.12</v>
      </c>
      <c r="K1640" s="400" t="s">
        <v>204</v>
      </c>
      <c r="L1640" s="399">
        <f t="shared" si="5228"/>
        <v>0.15</v>
      </c>
      <c r="M1640" s="399" t="s">
        <v>176</v>
      </c>
      <c r="N1640" s="399">
        <f t="shared" si="5229"/>
        <v>0.27</v>
      </c>
      <c r="O1640" s="399"/>
      <c r="P1640" s="399"/>
      <c r="Q1640" s="399"/>
      <c r="R1640" s="399"/>
      <c r="S1640" s="399"/>
      <c r="T1640" s="399" t="s">
        <v>125</v>
      </c>
      <c r="U1640" s="401">
        <f t="shared" si="5230"/>
        <v>0</v>
      </c>
      <c r="V1640" s="399" t="s">
        <v>125</v>
      </c>
      <c r="W1640" s="399">
        <f t="shared" si="5231"/>
        <v>0</v>
      </c>
      <c r="X1640" s="399" t="s">
        <v>125</v>
      </c>
      <c r="Y1640" s="389">
        <f t="shared" ref="Y1640" si="5236">D1625</f>
        <v>3</v>
      </c>
      <c r="Z1640" s="400" t="s">
        <v>176</v>
      </c>
      <c r="AA1640" s="402">
        <f t="shared" si="5233"/>
        <v>0</v>
      </c>
      <c r="AB1640" s="403"/>
    </row>
    <row r="1641" spans="1:28">
      <c r="A1641" s="384" t="str">
        <f t="shared" ref="A1641:B1641" si="5237">A1615</f>
        <v>Lantai 1</v>
      </c>
      <c r="B1641" s="385">
        <f t="shared" si="5237"/>
        <v>52</v>
      </c>
      <c r="C1641" s="393" t="s">
        <v>213</v>
      </c>
      <c r="D1641" s="398">
        <f>VLOOKUP(D1615,'Detail Balok'!$C$10:$BJ$140,56,FALSE)</f>
        <v>0</v>
      </c>
      <c r="E1641" s="388" t="s">
        <v>16</v>
      </c>
      <c r="F1641" s="388">
        <f>VLOOKUP(D1615,'Detail Balok'!$C$10:$BJ$140,58,FALSE)</f>
        <v>0</v>
      </c>
      <c r="G1641" s="405" t="s">
        <v>157</v>
      </c>
      <c r="H1641" s="395">
        <f>VLOOKUP(D1615,'Detail Balok'!$C$10:$BJ$140,60,FALSE)</f>
        <v>100</v>
      </c>
      <c r="I1641" s="388"/>
      <c r="J1641" s="399">
        <f t="shared" ref="J1641" si="5238">(D1616-2*F$5)/1000</f>
        <v>0.12</v>
      </c>
      <c r="K1641" s="400" t="s">
        <v>204</v>
      </c>
      <c r="L1641" s="399">
        <f t="shared" si="5228"/>
        <v>0.15</v>
      </c>
      <c r="M1641" s="399" t="s">
        <v>176</v>
      </c>
      <c r="N1641" s="399">
        <f t="shared" si="5229"/>
        <v>0.27</v>
      </c>
      <c r="O1641" s="399"/>
      <c r="P1641" s="399"/>
      <c r="Q1641" s="399"/>
      <c r="R1641" s="399"/>
      <c r="S1641" s="399"/>
      <c r="T1641" s="399" t="s">
        <v>125</v>
      </c>
      <c r="U1641" s="401">
        <f t="shared" si="5230"/>
        <v>0</v>
      </c>
      <c r="V1641" s="399" t="s">
        <v>125</v>
      </c>
      <c r="W1641" s="399">
        <f t="shared" si="5231"/>
        <v>0</v>
      </c>
      <c r="X1641" s="399" t="s">
        <v>125</v>
      </c>
      <c r="Y1641" s="389">
        <f t="shared" ref="Y1641" si="5239">D1625</f>
        <v>3</v>
      </c>
      <c r="Z1641" s="400" t="s">
        <v>176</v>
      </c>
      <c r="AA1641" s="402">
        <f t="shared" si="5233"/>
        <v>0</v>
      </c>
      <c r="AB1641" s="403"/>
    </row>
    <row r="1642" spans="1:28">
      <c r="A1642" s="391"/>
      <c r="B1642" s="392"/>
      <c r="C1642" s="392"/>
      <c r="D1642" s="394"/>
      <c r="E1642" s="388"/>
      <c r="F1642" s="388"/>
      <c r="G1642" s="388"/>
      <c r="H1642" s="395"/>
      <c r="I1642" s="388"/>
      <c r="J1642" s="402"/>
      <c r="K1642" s="388"/>
      <c r="L1642" s="388"/>
      <c r="M1642" s="388"/>
      <c r="N1642" s="388"/>
      <c r="O1642" s="388"/>
      <c r="P1642" s="388"/>
      <c r="Q1642" s="388"/>
      <c r="R1642" s="388"/>
      <c r="S1642" s="388"/>
      <c r="T1642" s="388"/>
      <c r="U1642" s="388"/>
      <c r="V1642" s="388"/>
      <c r="W1642" s="388"/>
      <c r="X1642" s="388"/>
      <c r="Y1642" s="389"/>
      <c r="Z1642" s="388"/>
      <c r="AA1642" s="402"/>
      <c r="AB1642" s="403"/>
    </row>
    <row r="1643" spans="1:28" ht="15.75" thickBot="1">
      <c r="A1643" s="406"/>
      <c r="B1643" s="407"/>
      <c r="C1643" s="407"/>
      <c r="D1643" s="408"/>
      <c r="E1643" s="409"/>
      <c r="F1643" s="409"/>
      <c r="G1643" s="409"/>
      <c r="H1643" s="410"/>
      <c r="I1643" s="409"/>
      <c r="J1643" s="409"/>
      <c r="K1643" s="409"/>
      <c r="L1643" s="409"/>
      <c r="M1643" s="409"/>
      <c r="N1643" s="409"/>
      <c r="O1643" s="409"/>
      <c r="P1643" s="409"/>
      <c r="Q1643" s="409"/>
      <c r="R1643" s="409"/>
      <c r="S1643" s="409"/>
      <c r="T1643" s="409"/>
      <c r="U1643" s="409"/>
      <c r="V1643" s="409"/>
      <c r="W1643" s="409"/>
      <c r="X1643" s="409"/>
      <c r="Y1643" s="411"/>
      <c r="Z1643" s="409"/>
      <c r="AA1643" s="412"/>
      <c r="AB1643" s="413"/>
    </row>
    <row r="1644" spans="1:28">
      <c r="A1644" s="377"/>
      <c r="B1644" s="378"/>
      <c r="C1644" s="378"/>
      <c r="D1644" s="379"/>
      <c r="E1644" s="380"/>
      <c r="F1644" s="380"/>
      <c r="G1644" s="380"/>
      <c r="H1644" s="381"/>
      <c r="I1644" s="380"/>
      <c r="J1644" s="380"/>
      <c r="K1644" s="380"/>
      <c r="L1644" s="380"/>
      <c r="M1644" s="380"/>
      <c r="N1644" s="380"/>
      <c r="O1644" s="380"/>
      <c r="P1644" s="380"/>
      <c r="Q1644" s="380"/>
      <c r="R1644" s="380"/>
      <c r="S1644" s="380"/>
      <c r="T1644" s="380"/>
      <c r="U1644" s="380"/>
      <c r="V1644" s="380"/>
      <c r="W1644" s="380"/>
      <c r="X1644" s="380"/>
      <c r="Y1644" s="382"/>
      <c r="Z1644" s="380"/>
      <c r="AA1644" s="380"/>
      <c r="AB1644" s="383"/>
    </row>
    <row r="1645" spans="1:28">
      <c r="A1645" s="384" t="str">
        <f t="shared" ref="A1645:A1705" si="5240">A1615</f>
        <v>Lantai 1</v>
      </c>
      <c r="B1645" s="385">
        <f t="shared" ref="B1645:B1705" si="5241">B1615+1</f>
        <v>53</v>
      </c>
      <c r="C1645" s="386" t="str">
        <f t="shared" ref="C1645" si="5242">CONCATENATE(A1645," no. ",B1645)</f>
        <v>Lantai 1 no. 53</v>
      </c>
      <c r="D1645" s="2562" t="str">
        <f>VLOOKUP(C1645,'Data Panjang Balok'!$C$9:$N$254,2,FALSE)</f>
        <v>S24-1</v>
      </c>
      <c r="E1645" s="2576"/>
      <c r="F1645" s="2576"/>
      <c r="G1645" s="2576"/>
      <c r="H1645" s="2577"/>
      <c r="I1645" s="387"/>
      <c r="J1645" s="388"/>
      <c r="K1645" s="388"/>
      <c r="L1645" s="388"/>
      <c r="M1645" s="388"/>
      <c r="N1645" s="388"/>
      <c r="O1645" s="388"/>
      <c r="P1645" s="388"/>
      <c r="Q1645" s="388"/>
      <c r="R1645" s="388"/>
      <c r="S1645" s="388"/>
      <c r="T1645" s="388"/>
      <c r="U1645" s="388"/>
      <c r="V1645" s="388"/>
      <c r="W1645" s="388"/>
      <c r="X1645" s="388"/>
      <c r="Y1645" s="389"/>
      <c r="Z1645" s="388"/>
      <c r="AA1645" s="388"/>
      <c r="AB1645" s="390"/>
    </row>
    <row r="1646" spans="1:28">
      <c r="A1646" s="391"/>
      <c r="B1646" s="392"/>
      <c r="C1646" s="393" t="s">
        <v>118</v>
      </c>
      <c r="D1646" s="2578">
        <f>VLOOKUP(D1645,'Detail Balok'!$C$10:$AU$140,2,FALSE)</f>
        <v>200</v>
      </c>
      <c r="E1646" s="2579"/>
      <c r="F1646" s="388" t="s">
        <v>125</v>
      </c>
      <c r="G1646" s="2579">
        <f>VLOOKUP(D1645,'Detail Balok'!$C$10:$AU$140,3,FALSE)</f>
        <v>400</v>
      </c>
      <c r="H1646" s="2580"/>
      <c r="I1646" s="388"/>
      <c r="J1646" s="396"/>
      <c r="K1646" s="396"/>
      <c r="L1646" s="396"/>
      <c r="M1646" s="396"/>
      <c r="N1646" s="396"/>
      <c r="O1646" s="396"/>
      <c r="P1646" s="396"/>
      <c r="Q1646" s="396"/>
      <c r="R1646" s="396"/>
      <c r="S1646" s="396"/>
      <c r="T1646" s="396"/>
      <c r="U1646" s="388"/>
      <c r="V1646" s="396"/>
      <c r="W1646" s="388"/>
      <c r="X1646" s="396"/>
      <c r="Y1646" s="389"/>
      <c r="Z1646" s="396"/>
      <c r="AA1646" s="388"/>
      <c r="AB1646" s="390"/>
    </row>
    <row r="1647" spans="1:28">
      <c r="A1647" s="391"/>
      <c r="B1647" s="392"/>
      <c r="C1647" s="393" t="s">
        <v>198</v>
      </c>
      <c r="D1647" s="2562">
        <f>VLOOKUP(C1645,'Data Panjang Balok'!$C$9:$N$254,4,FALSE)</f>
        <v>4150</v>
      </c>
      <c r="E1647" s="2563"/>
      <c r="F1647" s="2563"/>
      <c r="G1647" s="2563"/>
      <c r="H1647" s="2564"/>
      <c r="I1647" s="397"/>
      <c r="J1647" s="396"/>
      <c r="K1647" s="396"/>
      <c r="L1647" s="396"/>
      <c r="M1647" s="396"/>
      <c r="N1647" s="396"/>
      <c r="O1647" s="396"/>
      <c r="P1647" s="396"/>
      <c r="Q1647" s="396"/>
      <c r="R1647" s="396"/>
      <c r="S1647" s="396"/>
      <c r="T1647" s="396"/>
      <c r="U1647" s="388"/>
      <c r="V1647" s="396"/>
      <c r="W1647" s="388"/>
      <c r="X1647" s="396"/>
      <c r="Y1647" s="389"/>
      <c r="Z1647" s="396"/>
      <c r="AA1647" s="388"/>
      <c r="AB1647" s="390"/>
    </row>
    <row r="1648" spans="1:28">
      <c r="A1648" s="391"/>
      <c r="B1648" s="392"/>
      <c r="C1648" s="393" t="s">
        <v>199</v>
      </c>
      <c r="D1648" s="2562">
        <f>VLOOKUP(C1645,'Data Panjang Balok'!$C$9:$N$254,7,FALSE)</f>
        <v>4150</v>
      </c>
      <c r="E1648" s="2563"/>
      <c r="F1648" s="2563"/>
      <c r="G1648" s="2563"/>
      <c r="H1648" s="2564"/>
      <c r="I1648" s="397"/>
      <c r="J1648" s="396"/>
      <c r="K1648" s="396"/>
      <c r="L1648" s="396"/>
      <c r="M1648" s="396"/>
      <c r="N1648" s="396"/>
      <c r="O1648" s="396"/>
      <c r="P1648" s="396"/>
      <c r="Q1648" s="396"/>
      <c r="R1648" s="396"/>
      <c r="S1648" s="396"/>
      <c r="T1648" s="396"/>
      <c r="U1648" s="388"/>
      <c r="V1648" s="396"/>
      <c r="W1648" s="388"/>
      <c r="X1648" s="396"/>
      <c r="Y1648" s="389"/>
      <c r="Z1648" s="396"/>
      <c r="AA1648" s="388"/>
      <c r="AB1648" s="390"/>
    </row>
    <row r="1649" spans="1:28">
      <c r="A1649" s="391"/>
      <c r="B1649" s="392"/>
      <c r="C1649" s="393" t="s">
        <v>200</v>
      </c>
      <c r="D1649" s="2562">
        <f>VLOOKUP(C1645,'Data Panjang Balok'!$C$9:$N$254,9,FALSE)</f>
        <v>0</v>
      </c>
      <c r="E1649" s="2563"/>
      <c r="F1649" s="2563"/>
      <c r="G1649" s="2563"/>
      <c r="H1649" s="2564"/>
      <c r="I1649" s="397"/>
      <c r="J1649" s="396"/>
      <c r="K1649" s="396"/>
      <c r="L1649" s="396"/>
      <c r="M1649" s="396"/>
      <c r="N1649" s="396"/>
      <c r="O1649" s="396"/>
      <c r="P1649" s="396"/>
      <c r="Q1649" s="396"/>
      <c r="R1649" s="396"/>
      <c r="S1649" s="396"/>
      <c r="T1649" s="396"/>
      <c r="U1649" s="388"/>
      <c r="V1649" s="396"/>
      <c r="W1649" s="388"/>
      <c r="X1649" s="396"/>
      <c r="Y1649" s="389"/>
      <c r="Z1649" s="396"/>
      <c r="AA1649" s="388"/>
      <c r="AB1649" s="390"/>
    </row>
    <row r="1650" spans="1:28">
      <c r="A1650" s="391"/>
      <c r="B1650" s="392"/>
      <c r="C1650" s="393" t="s">
        <v>201</v>
      </c>
      <c r="D1650" s="2562">
        <f>VLOOKUP(C1645,'Data Panjang Balok'!$C$9:$N$254,10,FALSE)</f>
        <v>0</v>
      </c>
      <c r="E1650" s="2563"/>
      <c r="F1650" s="2563"/>
      <c r="G1650" s="2563"/>
      <c r="H1650" s="2564"/>
      <c r="I1650" s="397"/>
      <c r="J1650" s="396"/>
      <c r="K1650" s="396"/>
      <c r="L1650" s="396"/>
      <c r="M1650" s="396"/>
      <c r="N1650" s="396"/>
      <c r="O1650" s="396"/>
      <c r="P1650" s="396"/>
      <c r="Q1650" s="396"/>
      <c r="R1650" s="396"/>
      <c r="S1650" s="396"/>
      <c r="T1650" s="396"/>
      <c r="U1650" s="388"/>
      <c r="V1650" s="396"/>
      <c r="W1650" s="388"/>
      <c r="X1650" s="396"/>
      <c r="Y1650" s="389"/>
      <c r="Z1650" s="396"/>
      <c r="AA1650" s="388"/>
      <c r="AB1650" s="390"/>
    </row>
    <row r="1651" spans="1:28">
      <c r="A1651" s="391"/>
      <c r="B1651" s="392"/>
      <c r="C1651" s="393" t="s">
        <v>48</v>
      </c>
      <c r="D1651" s="2562">
        <f>VLOOKUP(C1645,'Data Panjang Balok'!$C$9:$N$254,3,FALSE)</f>
        <v>1</v>
      </c>
      <c r="E1651" s="2563"/>
      <c r="F1651" s="2563"/>
      <c r="G1651" s="2563"/>
      <c r="H1651" s="2564"/>
      <c r="I1651" s="397"/>
      <c r="J1651" s="396"/>
      <c r="K1651" s="396"/>
      <c r="L1651" s="396"/>
      <c r="M1651" s="396"/>
      <c r="N1651" s="396"/>
      <c r="O1651" s="396"/>
      <c r="P1651" s="396"/>
      <c r="Q1651" s="396"/>
      <c r="R1651" s="396"/>
      <c r="S1651" s="396"/>
      <c r="T1651" s="396"/>
      <c r="U1651" s="388"/>
      <c r="V1651" s="396"/>
      <c r="W1651" s="388"/>
      <c r="X1651" s="396"/>
      <c r="Y1651" s="389"/>
      <c r="Z1651" s="396"/>
      <c r="AA1651" s="388"/>
      <c r="AB1651" s="390"/>
    </row>
    <row r="1652" spans="1:28">
      <c r="A1652" s="384" t="str">
        <f t="shared" ref="A1652:B1652" si="5243">A1645</f>
        <v>Lantai 1</v>
      </c>
      <c r="B1652" s="385">
        <f t="shared" si="5243"/>
        <v>53</v>
      </c>
      <c r="C1652" s="393" t="s">
        <v>202</v>
      </c>
      <c r="D1652" s="398">
        <f>VLOOKUP(D1645,'Detail Balok'!$C$10:$AU$140,4,FALSE)</f>
        <v>3</v>
      </c>
      <c r="E1652" s="388" t="s">
        <v>16</v>
      </c>
      <c r="F1652" s="388">
        <f>VLOOKUP(D1645,'Detail Balok'!$C$10:$AU$140,6,FALSE)</f>
        <v>13</v>
      </c>
      <c r="G1652" s="388"/>
      <c r="H1652" s="395"/>
      <c r="I1652" s="388" t="s">
        <v>203</v>
      </c>
      <c r="J1652" s="399">
        <f t="shared" ref="J1652" si="5244">+D1647/4/1000</f>
        <v>1.0375000000000001</v>
      </c>
      <c r="K1652" s="400" t="s">
        <v>204</v>
      </c>
      <c r="L1652" s="399">
        <f t="shared" ref="L1652" si="5245">MAX(VLOOKUP(F1652,N$6:P$15,3,FALSE)/1000,2/3*D1649/1000)+F$16*F1652/1000</f>
        <v>0.156</v>
      </c>
      <c r="M1652" s="399" t="s">
        <v>176</v>
      </c>
      <c r="N1652" s="399">
        <f t="shared" ref="N1652:N1654" si="5246">J1652+L1652</f>
        <v>1.1935</v>
      </c>
      <c r="O1652" s="399" t="s">
        <v>204</v>
      </c>
      <c r="P1652" s="389">
        <f t="shared" ref="P1652" si="5247">D1652-D1653</f>
        <v>0</v>
      </c>
      <c r="Q1652" s="399" t="s">
        <v>125</v>
      </c>
      <c r="R1652" s="399">
        <f t="shared" ref="R1652" si="5248">IF(P1652&gt;0,$F$18*F1652/1000,0)</f>
        <v>0</v>
      </c>
      <c r="S1652" s="399" t="s">
        <v>205</v>
      </c>
      <c r="T1652" s="399" t="s">
        <v>125</v>
      </c>
      <c r="U1652" s="401">
        <f t="shared" ref="U1652:U1654" si="5249">0.006165*F1652^2</f>
        <v>1.041885</v>
      </c>
      <c r="V1652" s="399"/>
      <c r="W1652" s="399"/>
      <c r="X1652" s="399" t="s">
        <v>125</v>
      </c>
      <c r="Y1652" s="389">
        <f t="shared" ref="Y1652" si="5250">D1651</f>
        <v>1</v>
      </c>
      <c r="Z1652" s="400" t="s">
        <v>176</v>
      </c>
      <c r="AA1652" s="402">
        <f t="shared" ref="AA1652" si="5251">IF(AA1655=0,(D1652*N1652+P1652*R1652)*U1652*Y1652,0)</f>
        <v>0</v>
      </c>
      <c r="AB1652" s="403"/>
    </row>
    <row r="1653" spans="1:28">
      <c r="A1653" s="384" t="str">
        <f t="shared" ref="A1653:B1653" si="5252">A1645</f>
        <v>Lantai 1</v>
      </c>
      <c r="B1653" s="385">
        <f t="shared" si="5252"/>
        <v>53</v>
      </c>
      <c r="C1653" s="393" t="s">
        <v>206</v>
      </c>
      <c r="D1653" s="398">
        <f>VLOOKUP(D1645,'Detail Balok'!$C$10:$AU$140,7,FALSE)</f>
        <v>3</v>
      </c>
      <c r="E1653" s="388" t="s">
        <v>16</v>
      </c>
      <c r="F1653" s="388">
        <f>VLOOKUP(D1645,'Detail Balok'!$C$10:$AU$140,9,FALSE)</f>
        <v>13</v>
      </c>
      <c r="G1653" s="388"/>
      <c r="H1653" s="395"/>
      <c r="I1653" s="388" t="s">
        <v>203</v>
      </c>
      <c r="J1653" s="399">
        <f t="shared" ref="J1653" si="5253">+D1647/2/1000</f>
        <v>2.0750000000000002</v>
      </c>
      <c r="K1653" s="400" t="s">
        <v>204</v>
      </c>
      <c r="L1653" s="399"/>
      <c r="M1653" s="399" t="s">
        <v>176</v>
      </c>
      <c r="N1653" s="399">
        <f t="shared" si="5246"/>
        <v>2.0750000000000002</v>
      </c>
      <c r="O1653" s="399" t="s">
        <v>204</v>
      </c>
      <c r="P1653" s="389">
        <f t="shared" ref="P1653" si="5254">MAX(D1653-D1652,D1653-D1654)</f>
        <v>0</v>
      </c>
      <c r="Q1653" s="399" t="s">
        <v>125</v>
      </c>
      <c r="R1653" s="399">
        <f t="shared" ref="R1653" si="5255">IF(P1653&gt;0,2*(1-2*$F$19-1/2)*D1648/1000,0)</f>
        <v>0</v>
      </c>
      <c r="S1653" s="399" t="s">
        <v>205</v>
      </c>
      <c r="T1653" s="399" t="s">
        <v>125</v>
      </c>
      <c r="U1653" s="401">
        <f t="shared" si="5249"/>
        <v>1.041885</v>
      </c>
      <c r="V1653" s="399"/>
      <c r="W1653" s="399"/>
      <c r="X1653" s="399" t="s">
        <v>125</v>
      </c>
      <c r="Y1653" s="389">
        <f t="shared" ref="Y1653" si="5256">D1651</f>
        <v>1</v>
      </c>
      <c r="Z1653" s="400" t="s">
        <v>176</v>
      </c>
      <c r="AA1653" s="402">
        <f t="shared" ref="AA1653" si="5257">IF(AA1655=0,(D1653*N1653+P1653*R1653)*U1653*Y1653,0)</f>
        <v>0</v>
      </c>
      <c r="AB1653" s="403"/>
    </row>
    <row r="1654" spans="1:28">
      <c r="A1654" s="384" t="str">
        <f t="shared" ref="A1654:B1654" si="5258">A1645</f>
        <v>Lantai 1</v>
      </c>
      <c r="B1654" s="385">
        <f t="shared" si="5258"/>
        <v>53</v>
      </c>
      <c r="C1654" s="393" t="s">
        <v>202</v>
      </c>
      <c r="D1654" s="398">
        <f>VLOOKUP(D1645,'Detail Balok'!$C$10:$AU$140,10,FALSE)</f>
        <v>3</v>
      </c>
      <c r="E1654" s="388" t="s">
        <v>16</v>
      </c>
      <c r="F1654" s="388">
        <f>VLOOKUP(D1645,'Detail Balok'!$C$10:$AU$140,12,FALSE)</f>
        <v>13</v>
      </c>
      <c r="G1654" s="388"/>
      <c r="H1654" s="395"/>
      <c r="I1654" s="388" t="s">
        <v>203</v>
      </c>
      <c r="J1654" s="399">
        <f t="shared" ref="J1654" si="5259">+D1647/4/1000</f>
        <v>1.0375000000000001</v>
      </c>
      <c r="K1654" s="400" t="s">
        <v>204</v>
      </c>
      <c r="L1654" s="399">
        <f t="shared" ref="L1654" si="5260">MAX(VLOOKUP(F1654,N$6:P$15,3,FALSE)/1000,2/3*D1649/1000)+F$16*F1654/1000</f>
        <v>0.156</v>
      </c>
      <c r="M1654" s="399" t="s">
        <v>176</v>
      </c>
      <c r="N1654" s="399">
        <f t="shared" si="5246"/>
        <v>1.1935</v>
      </c>
      <c r="O1654" s="399" t="s">
        <v>204</v>
      </c>
      <c r="P1654" s="389">
        <f t="shared" ref="P1654" si="5261">D1654-D1653</f>
        <v>0</v>
      </c>
      <c r="Q1654" s="399" t="s">
        <v>125</v>
      </c>
      <c r="R1654" s="399">
        <f t="shared" ref="R1654" si="5262">IF(P1654&gt;0,$F$18*F1654/1000,0)</f>
        <v>0</v>
      </c>
      <c r="S1654" s="399" t="s">
        <v>205</v>
      </c>
      <c r="T1654" s="399" t="s">
        <v>125</v>
      </c>
      <c r="U1654" s="401">
        <f t="shared" si="5249"/>
        <v>1.041885</v>
      </c>
      <c r="V1654" s="399"/>
      <c r="W1654" s="399"/>
      <c r="X1654" s="399" t="s">
        <v>125</v>
      </c>
      <c r="Y1654" s="389">
        <f t="shared" ref="Y1654" si="5263">D1651</f>
        <v>1</v>
      </c>
      <c r="Z1654" s="400" t="s">
        <v>176</v>
      </c>
      <c r="AA1654" s="402">
        <f t="shared" ref="AA1654" si="5264">IF(AA1655=0,(D1654*N1654+P1654*R1654)*U1654*Y1654,0)</f>
        <v>0</v>
      </c>
      <c r="AB1654" s="403"/>
    </row>
    <row r="1655" spans="1:28">
      <c r="A1655" s="384" t="str">
        <f t="shared" ref="A1655:B1655" si="5265">A1645</f>
        <v>Lantai 1</v>
      </c>
      <c r="B1655" s="385">
        <f t="shared" si="5265"/>
        <v>53</v>
      </c>
      <c r="C1655" s="393"/>
      <c r="D1655" s="398">
        <f t="shared" si="5161"/>
        <v>3</v>
      </c>
      <c r="E1655" s="388" t="s">
        <v>16</v>
      </c>
      <c r="F1655" s="388">
        <f t="shared" si="5162"/>
        <v>13</v>
      </c>
      <c r="G1655" s="388"/>
      <c r="H1655" s="395"/>
      <c r="I1655" s="388"/>
      <c r="J1655" s="396"/>
      <c r="K1655" s="396"/>
      <c r="L1655" s="404" t="s">
        <v>207</v>
      </c>
      <c r="M1655" s="399" t="s">
        <v>176</v>
      </c>
      <c r="N1655" s="399">
        <f t="shared" ref="N1655" si="5266">IF(AND(D1652=D1653,D1652=D1654,D1653=D1654,F1652=F1653,F1652=F1654,F1653=F1654),SUM(N1652:N1654),0)</f>
        <v>4.4620000000000006</v>
      </c>
      <c r="O1655" s="399" t="s">
        <v>204</v>
      </c>
      <c r="P1655" s="389">
        <f t="shared" ref="P1655" si="5267">IF(N1655&gt;12,ROUNDDOWN(N1655/12,0),0)</f>
        <v>0</v>
      </c>
      <c r="Q1655" s="399" t="s">
        <v>125</v>
      </c>
      <c r="R1655" s="399">
        <f t="shared" ref="R1655" si="5268">IF(P1655&gt;0,MAX(VLOOKUP(F1655,$D$6:$G$15,3,FALSE),600),0)/1000</f>
        <v>0</v>
      </c>
      <c r="S1655" s="396"/>
      <c r="T1655" s="396" t="s">
        <v>125</v>
      </c>
      <c r="U1655" s="401">
        <f t="shared" si="5166"/>
        <v>1.041885</v>
      </c>
      <c r="V1655" s="396" t="s">
        <v>125</v>
      </c>
      <c r="W1655" s="399">
        <f t="shared" ref="W1655" si="5269">D1655</f>
        <v>3</v>
      </c>
      <c r="X1655" s="399" t="s">
        <v>125</v>
      </c>
      <c r="Y1655" s="389">
        <f t="shared" si="5168"/>
        <v>1</v>
      </c>
      <c r="Z1655" s="400" t="s">
        <v>176</v>
      </c>
      <c r="AA1655" s="402">
        <f t="shared" ref="AA1655" si="5270">(N1655+P1655*R1655/1000)*U1655*W1655*Y1655</f>
        <v>13.946672610000002</v>
      </c>
      <c r="AB1655" s="390"/>
    </row>
    <row r="1656" spans="1:28">
      <c r="A1656" s="384"/>
      <c r="B1656" s="385"/>
      <c r="C1656" s="393"/>
      <c r="D1656" s="398"/>
      <c r="E1656" s="388"/>
      <c r="F1656" s="388"/>
      <c r="G1656" s="388"/>
      <c r="H1656" s="395"/>
      <c r="I1656" s="388"/>
      <c r="J1656" s="396"/>
      <c r="K1656" s="396"/>
      <c r="L1656" s="404"/>
      <c r="M1656" s="399"/>
      <c r="N1656" s="399"/>
      <c r="O1656" s="396"/>
      <c r="P1656" s="389"/>
      <c r="Q1656" s="396"/>
      <c r="R1656" s="396"/>
      <c r="S1656" s="396"/>
      <c r="T1656" s="396"/>
      <c r="U1656" s="401"/>
      <c r="V1656" s="396"/>
      <c r="W1656" s="399"/>
      <c r="X1656" s="396"/>
      <c r="Y1656" s="389"/>
      <c r="Z1656" s="396"/>
      <c r="AA1656" s="388"/>
      <c r="AB1656" s="390"/>
    </row>
    <row r="1657" spans="1:28">
      <c r="A1657" s="384" t="str">
        <f t="shared" ref="A1657:B1657" si="5271">A1645</f>
        <v>Lantai 1</v>
      </c>
      <c r="B1657" s="385">
        <f t="shared" si="5271"/>
        <v>53</v>
      </c>
      <c r="C1657" s="393" t="s">
        <v>208</v>
      </c>
      <c r="D1657" s="398">
        <f>VLOOKUP(D1645,'Detail Balok'!$C$10:$AU$140,13,FALSE)</f>
        <v>0</v>
      </c>
      <c r="E1657" s="388" t="s">
        <v>16</v>
      </c>
      <c r="F1657" s="388">
        <f>VLOOKUP(D1645,'Detail Balok'!$C$10:$AU$140,15,FALSE)</f>
        <v>8</v>
      </c>
      <c r="G1657" s="388"/>
      <c r="H1657" s="395"/>
      <c r="I1657" s="388"/>
      <c r="J1657" s="399">
        <f t="shared" ref="J1657" si="5272">+D1647/1000</f>
        <v>4.1500000000000004</v>
      </c>
      <c r="K1657" s="400" t="s">
        <v>204</v>
      </c>
      <c r="L1657" s="399">
        <f t="shared" ref="L1657" si="5273">2*$F$16*F1657/1000</f>
        <v>0.192</v>
      </c>
      <c r="M1657" s="399" t="s">
        <v>176</v>
      </c>
      <c r="N1657" s="399">
        <f t="shared" ref="N1657" si="5274">J1657+L1657</f>
        <v>4.3420000000000005</v>
      </c>
      <c r="O1657" s="399" t="s">
        <v>204</v>
      </c>
      <c r="P1657" s="389">
        <f t="shared" ref="P1657" si="5275">IF(N1657&gt;12,ROUNDDOWN(N1657/12,0),0)</f>
        <v>0</v>
      </c>
      <c r="Q1657" s="399" t="s">
        <v>125</v>
      </c>
      <c r="R1657" s="399">
        <f t="shared" ref="R1657" si="5276">IF(P1657&gt;0,MAX(VLOOKUP(F1657,$D$6:$G$15,3,FALSE),600),0)/1000</f>
        <v>0</v>
      </c>
      <c r="S1657" s="399"/>
      <c r="T1657" s="399" t="s">
        <v>125</v>
      </c>
      <c r="U1657" s="401">
        <f t="shared" ref="U1657" si="5277">0.006165*F1657^2</f>
        <v>0.39456000000000002</v>
      </c>
      <c r="V1657" s="399" t="s">
        <v>125</v>
      </c>
      <c r="W1657" s="399">
        <f t="shared" ref="W1657" si="5278">+D1657</f>
        <v>0</v>
      </c>
      <c r="X1657" s="399" t="s">
        <v>125</v>
      </c>
      <c r="Y1657" s="389">
        <f t="shared" ref="Y1657" si="5279">D1651</f>
        <v>1</v>
      </c>
      <c r="Z1657" s="400" t="s">
        <v>176</v>
      </c>
      <c r="AA1657" s="402">
        <f t="shared" ref="AA1657" si="5280">(N1657+P1657*R1657/1000)*U1657*W1657*Y1657</f>
        <v>0</v>
      </c>
      <c r="AB1657" s="403"/>
    </row>
    <row r="1658" spans="1:28">
      <c r="A1658" s="384"/>
      <c r="B1658" s="385"/>
      <c r="C1658" s="393"/>
      <c r="D1658" s="398"/>
      <c r="E1658" s="388"/>
      <c r="F1658" s="388"/>
      <c r="G1658" s="388"/>
      <c r="H1658" s="395"/>
      <c r="I1658" s="388"/>
      <c r="J1658" s="399"/>
      <c r="K1658" s="400"/>
      <c r="L1658" s="399"/>
      <c r="M1658" s="399"/>
      <c r="N1658" s="399"/>
      <c r="O1658" s="399"/>
      <c r="P1658" s="389"/>
      <c r="Q1658" s="399"/>
      <c r="R1658" s="399"/>
      <c r="S1658" s="399"/>
      <c r="T1658" s="399"/>
      <c r="U1658" s="401"/>
      <c r="V1658" s="399"/>
      <c r="W1658" s="399"/>
      <c r="X1658" s="399"/>
      <c r="Y1658" s="389"/>
      <c r="Z1658" s="400"/>
      <c r="AA1658" s="402"/>
      <c r="AB1658" s="403"/>
    </row>
    <row r="1659" spans="1:28">
      <c r="A1659" s="384"/>
      <c r="B1659" s="385"/>
      <c r="C1659" s="393"/>
      <c r="D1659" s="398"/>
      <c r="E1659" s="388"/>
      <c r="F1659" s="388"/>
      <c r="G1659" s="388"/>
      <c r="H1659" s="395"/>
      <c r="I1659" s="388"/>
      <c r="J1659" s="396"/>
      <c r="K1659" s="396"/>
      <c r="L1659" s="396"/>
      <c r="M1659" s="396"/>
      <c r="N1659" s="396"/>
      <c r="O1659" s="396"/>
      <c r="P1659" s="389"/>
      <c r="Q1659" s="396"/>
      <c r="R1659" s="396"/>
      <c r="S1659" s="396"/>
      <c r="T1659" s="396"/>
      <c r="U1659" s="401"/>
      <c r="V1659" s="396"/>
      <c r="W1659" s="399"/>
      <c r="X1659" s="396"/>
      <c r="Y1659" s="389"/>
      <c r="Z1659" s="396"/>
      <c r="AA1659" s="388"/>
      <c r="AB1659" s="390"/>
    </row>
    <row r="1660" spans="1:28">
      <c r="A1660" s="384" t="str">
        <f t="shared" ref="A1660:B1660" si="5281">A1645</f>
        <v>Lantai 1</v>
      </c>
      <c r="B1660" s="385">
        <f t="shared" si="5281"/>
        <v>53</v>
      </c>
      <c r="C1660" s="393" t="s">
        <v>209</v>
      </c>
      <c r="D1660" s="398">
        <f>VLOOKUP(D1645,'Detail Balok'!$C$10:$AU$140,22,FALSE)</f>
        <v>3</v>
      </c>
      <c r="E1660" s="388" t="s">
        <v>16</v>
      </c>
      <c r="F1660" s="388">
        <f>VLOOKUP(D1645,'Detail Balok'!$C$10:$AU$140,24,FALSE)</f>
        <v>13</v>
      </c>
      <c r="G1660" s="388"/>
      <c r="H1660" s="395"/>
      <c r="I1660" s="388" t="s">
        <v>203</v>
      </c>
      <c r="J1660" s="399">
        <f t="shared" si="5181"/>
        <v>1.0375000000000001</v>
      </c>
      <c r="K1660" s="400" t="s">
        <v>204</v>
      </c>
      <c r="L1660" s="399">
        <f t="shared" ref="L1660" si="5282">MAX(VLOOKUP(F1660,N$6:P$15,3,FALSE)/1000,2/3*D1650/1000)+F$16*F1660/1000</f>
        <v>0.156</v>
      </c>
      <c r="M1660" s="399" t="s">
        <v>176</v>
      </c>
      <c r="N1660" s="399">
        <f t="shared" ref="N1660:N1662" si="5283">J1660+L1660</f>
        <v>1.1935</v>
      </c>
      <c r="O1660" s="399" t="s">
        <v>204</v>
      </c>
      <c r="P1660" s="389">
        <f t="shared" ref="P1660" si="5284">D1660-D1661</f>
        <v>0</v>
      </c>
      <c r="Q1660" s="399" t="s">
        <v>125</v>
      </c>
      <c r="R1660" s="399">
        <f t="shared" ref="R1660" si="5285">IF(P1660&gt;0,$F$18*F1660/1000,0)</f>
        <v>0</v>
      </c>
      <c r="S1660" s="399" t="s">
        <v>205</v>
      </c>
      <c r="T1660" s="399" t="s">
        <v>125</v>
      </c>
      <c r="U1660" s="401">
        <f t="shared" ref="U1660:U1662" si="5286">0.006165*F1660^2</f>
        <v>1.041885</v>
      </c>
      <c r="V1660" s="399"/>
      <c r="W1660" s="399"/>
      <c r="X1660" s="399" t="s">
        <v>125</v>
      </c>
      <c r="Y1660" s="389">
        <f t="shared" ref="Y1660" si="5287">D1651</f>
        <v>1</v>
      </c>
      <c r="Z1660" s="400" t="s">
        <v>176</v>
      </c>
      <c r="AA1660" s="402">
        <f t="shared" ref="AA1660" si="5288">IF(AA1663=0,(D1660*N1660+P1660*R1660)*U1660*Y1660,0)</f>
        <v>0</v>
      </c>
      <c r="AB1660" s="403"/>
    </row>
    <row r="1661" spans="1:28">
      <c r="A1661" s="384" t="str">
        <f t="shared" ref="A1661:B1661" si="5289">A1645</f>
        <v>Lantai 1</v>
      </c>
      <c r="B1661" s="385">
        <f t="shared" si="5289"/>
        <v>53</v>
      </c>
      <c r="C1661" s="393" t="s">
        <v>210</v>
      </c>
      <c r="D1661" s="398">
        <f>VLOOKUP(D1645,'Detail Balok'!$C$10:$AU$140,25,FALSE)</f>
        <v>3</v>
      </c>
      <c r="E1661" s="388" t="s">
        <v>16</v>
      </c>
      <c r="F1661" s="388">
        <f>VLOOKUP(D1645,'Detail Balok'!$C$10:$AU$140,27,FALSE)</f>
        <v>13</v>
      </c>
      <c r="G1661" s="388"/>
      <c r="H1661" s="395"/>
      <c r="I1661" s="388" t="s">
        <v>203</v>
      </c>
      <c r="J1661" s="399">
        <f t="shared" si="5181"/>
        <v>2.0750000000000002</v>
      </c>
      <c r="K1661" s="400" t="s">
        <v>204</v>
      </c>
      <c r="L1661" s="399"/>
      <c r="M1661" s="399" t="s">
        <v>176</v>
      </c>
      <c r="N1661" s="399">
        <f t="shared" si="5283"/>
        <v>2.0750000000000002</v>
      </c>
      <c r="O1661" s="399" t="s">
        <v>204</v>
      </c>
      <c r="P1661" s="389">
        <f t="shared" ref="P1661" si="5290">MAX(D1661-D1660,D1661-D1662)</f>
        <v>0</v>
      </c>
      <c r="Q1661" s="399" t="s">
        <v>125</v>
      </c>
      <c r="R1661" s="399">
        <f t="shared" ref="R1661" si="5291">IF(P1661&gt;0,2*(1-2*$F$19-1/2)*D1648/1000,0)</f>
        <v>0</v>
      </c>
      <c r="S1661" s="399" t="s">
        <v>205</v>
      </c>
      <c r="T1661" s="399" t="s">
        <v>125</v>
      </c>
      <c r="U1661" s="401">
        <f t="shared" si="5286"/>
        <v>1.041885</v>
      </c>
      <c r="V1661" s="399"/>
      <c r="W1661" s="399"/>
      <c r="X1661" s="399" t="s">
        <v>125</v>
      </c>
      <c r="Y1661" s="389">
        <f t="shared" ref="Y1661" si="5292">D1651</f>
        <v>1</v>
      </c>
      <c r="Z1661" s="400" t="s">
        <v>176</v>
      </c>
      <c r="AA1661" s="402">
        <f t="shared" ref="AA1661" si="5293">IF(AA1663=0,(D1661*N1661+P1661*R1661)*U1661*Y1661,0)</f>
        <v>0</v>
      </c>
      <c r="AB1661" s="403"/>
    </row>
    <row r="1662" spans="1:28">
      <c r="A1662" s="384" t="str">
        <f t="shared" ref="A1662:B1662" si="5294">A1645</f>
        <v>Lantai 1</v>
      </c>
      <c r="B1662" s="385">
        <f t="shared" si="5294"/>
        <v>53</v>
      </c>
      <c r="C1662" s="393" t="s">
        <v>209</v>
      </c>
      <c r="D1662" s="398">
        <f>VLOOKUP(D1645,'Detail Balok'!$C$10:$AU$140,28,FALSE)</f>
        <v>3</v>
      </c>
      <c r="E1662" s="388" t="s">
        <v>16</v>
      </c>
      <c r="F1662" s="388">
        <f>VLOOKUP(D1645,'Detail Balok'!$C$10:$AU$140,30,FALSE)</f>
        <v>13</v>
      </c>
      <c r="G1662" s="388"/>
      <c r="H1662" s="395"/>
      <c r="I1662" s="388" t="s">
        <v>203</v>
      </c>
      <c r="J1662" s="399">
        <f t="shared" si="5181"/>
        <v>1.0375000000000001</v>
      </c>
      <c r="K1662" s="400" t="s">
        <v>204</v>
      </c>
      <c r="L1662" s="399">
        <f t="shared" ref="L1662" si="5295">MAX(VLOOKUP(F1662,N$6:P$15,3,FALSE)/1000,2/3*D1650/1000)+F$16*F1662/1000</f>
        <v>0.156</v>
      </c>
      <c r="M1662" s="399" t="s">
        <v>176</v>
      </c>
      <c r="N1662" s="399">
        <f t="shared" si="5283"/>
        <v>1.1935</v>
      </c>
      <c r="O1662" s="399" t="s">
        <v>204</v>
      </c>
      <c r="P1662" s="389">
        <f t="shared" ref="P1662" si="5296">D1662-D1661</f>
        <v>0</v>
      </c>
      <c r="Q1662" s="399" t="s">
        <v>125</v>
      </c>
      <c r="R1662" s="399">
        <f t="shared" ref="R1662" si="5297">IF(P1662&gt;0,$F$18*F1662/1000,0)</f>
        <v>0</v>
      </c>
      <c r="S1662" s="399" t="s">
        <v>205</v>
      </c>
      <c r="T1662" s="399" t="s">
        <v>125</v>
      </c>
      <c r="U1662" s="401">
        <f t="shared" si="5286"/>
        <v>1.041885</v>
      </c>
      <c r="V1662" s="399"/>
      <c r="W1662" s="399"/>
      <c r="X1662" s="399" t="s">
        <v>125</v>
      </c>
      <c r="Y1662" s="389">
        <f t="shared" ref="Y1662" si="5298">D1651</f>
        <v>1</v>
      </c>
      <c r="Z1662" s="400" t="s">
        <v>176</v>
      </c>
      <c r="AA1662" s="402">
        <f t="shared" ref="AA1662" si="5299">IF(AA1663=0,(D1662*N1662+P1662*R1662)*U1662*Y1662,0)</f>
        <v>0</v>
      </c>
      <c r="AB1662" s="403"/>
    </row>
    <row r="1663" spans="1:28">
      <c r="A1663" s="384" t="str">
        <f t="shared" ref="A1663:B1663" si="5300">A1645</f>
        <v>Lantai 1</v>
      </c>
      <c r="B1663" s="385">
        <f t="shared" si="5300"/>
        <v>53</v>
      </c>
      <c r="C1663" s="393"/>
      <c r="D1663" s="398">
        <f t="shared" si="5201"/>
        <v>3</v>
      </c>
      <c r="E1663" s="388" t="s">
        <v>16</v>
      </c>
      <c r="F1663" s="388">
        <f t="shared" si="5202"/>
        <v>13</v>
      </c>
      <c r="G1663" s="388"/>
      <c r="H1663" s="395"/>
      <c r="I1663" s="388"/>
      <c r="J1663" s="396"/>
      <c r="K1663" s="396"/>
      <c r="L1663" s="404" t="s">
        <v>207</v>
      </c>
      <c r="M1663" s="399" t="s">
        <v>176</v>
      </c>
      <c r="N1663" s="399">
        <f t="shared" ref="N1663" si="5301">IF(AND(D1660=D1661,D1660=D1662,D1661=D1662,F1660=F1661,F1660=F1662,F1661=F1662),SUM(N1660:N1662),0)</f>
        <v>4.4620000000000006</v>
      </c>
      <c r="O1663" s="399" t="s">
        <v>204</v>
      </c>
      <c r="P1663" s="389">
        <f t="shared" ref="P1663" si="5302">IF(N1663&gt;12,ROUNDDOWN(N1663/12,0),0)</f>
        <v>0</v>
      </c>
      <c r="Q1663" s="399" t="s">
        <v>125</v>
      </c>
      <c r="R1663" s="399">
        <f t="shared" ref="R1663" si="5303">IF(P1663&gt;0,MAX(VLOOKUP(F1663,$D$6:$G$15,3,FALSE),600),0)/1000</f>
        <v>0</v>
      </c>
      <c r="S1663" s="396"/>
      <c r="T1663" s="396" t="s">
        <v>125</v>
      </c>
      <c r="U1663" s="401">
        <f t="shared" si="5206"/>
        <v>1.041885</v>
      </c>
      <c r="V1663" s="396" t="s">
        <v>125</v>
      </c>
      <c r="W1663" s="399">
        <f t="shared" ref="W1663" si="5304">D1663</f>
        <v>3</v>
      </c>
      <c r="X1663" s="399" t="s">
        <v>125</v>
      </c>
      <c r="Y1663" s="389">
        <f t="shared" si="5208"/>
        <v>1</v>
      </c>
      <c r="Z1663" s="400" t="s">
        <v>176</v>
      </c>
      <c r="AA1663" s="402">
        <f t="shared" ref="AA1663" si="5305">(N1663+P1663*R1663/1000)*U1663*W1663*Y1663</f>
        <v>13.946672610000002</v>
      </c>
      <c r="AB1663" s="403"/>
    </row>
    <row r="1664" spans="1:28">
      <c r="A1664" s="384"/>
      <c r="B1664" s="385"/>
      <c r="C1664" s="393"/>
      <c r="D1664" s="394"/>
      <c r="E1664" s="388"/>
      <c r="F1664" s="388"/>
      <c r="G1664" s="388"/>
      <c r="H1664" s="395"/>
      <c r="I1664" s="388"/>
      <c r="J1664" s="399"/>
      <c r="K1664" s="396"/>
      <c r="L1664" s="396"/>
      <c r="M1664" s="396"/>
      <c r="N1664" s="396"/>
      <c r="O1664" s="396"/>
      <c r="P1664" s="389"/>
      <c r="Q1664" s="396"/>
      <c r="R1664" s="396"/>
      <c r="S1664" s="396"/>
      <c r="T1664" s="396"/>
      <c r="U1664" s="401"/>
      <c r="V1664" s="396"/>
      <c r="W1664" s="388"/>
      <c r="X1664" s="396"/>
      <c r="Y1664" s="389"/>
      <c r="Z1664" s="396"/>
      <c r="AA1664" s="388"/>
      <c r="AB1664" s="390"/>
    </row>
    <row r="1665" spans="1:28">
      <c r="A1665" s="384" t="str">
        <f t="shared" ref="A1665:B1665" si="5306">A1645</f>
        <v>Lantai 1</v>
      </c>
      <c r="B1665" s="385">
        <f t="shared" si="5306"/>
        <v>53</v>
      </c>
      <c r="C1665" s="393" t="s">
        <v>211</v>
      </c>
      <c r="D1665" s="398">
        <f>VLOOKUP(D1645,'Detail Balok'!$C$10:$AU$140,31,FALSE)</f>
        <v>0</v>
      </c>
      <c r="E1665" s="388" t="s">
        <v>16</v>
      </c>
      <c r="F1665" s="388">
        <f>VLOOKUP(D1645,'Detail Balok'!$C$10:$AU$140,33,FALSE)</f>
        <v>8</v>
      </c>
      <c r="G1665" s="405" t="s">
        <v>157</v>
      </c>
      <c r="H1665" s="395">
        <f>VLOOKUP(D1645,'Detail Balok'!$C$10:$AU$140,35,FALSE)</f>
        <v>150</v>
      </c>
      <c r="I1665" s="388"/>
      <c r="J1665" s="400">
        <f t="shared" ref="J1665" si="5307">(IF(D1665=0,(2*(D1646+G1646))-(F$5*8),IF(D1665=3,(2*(D1646+G1646))-(F$5*8)+(G1646-2*F$5),IF(D1665=4,(2*(D1646+G1646))-(F$5*8)+2*(G1646-2*F$5)))))/1000</f>
        <v>0.88</v>
      </c>
      <c r="K1665" s="400" t="s">
        <v>204</v>
      </c>
      <c r="L1665" s="399">
        <f t="shared" ref="L1665:L1667" si="5308">IF(D1665=0,2*MAX(6*F1665,75),(D1665-1)*2*MAX(6*F1665,75))/1000</f>
        <v>0.15</v>
      </c>
      <c r="M1665" s="399" t="s">
        <v>176</v>
      </c>
      <c r="N1665" s="399">
        <f t="shared" ref="N1665:N1667" si="5309">J1665+L1665</f>
        <v>1.03</v>
      </c>
      <c r="O1665" s="399"/>
      <c r="P1665" s="389"/>
      <c r="Q1665" s="399"/>
      <c r="R1665" s="399"/>
      <c r="S1665" s="399"/>
      <c r="T1665" s="399" t="s">
        <v>125</v>
      </c>
      <c r="U1665" s="401">
        <f t="shared" ref="U1665:U1667" si="5310">0.006165*F1665^2</f>
        <v>0.39456000000000002</v>
      </c>
      <c r="V1665" s="399" t="s">
        <v>125</v>
      </c>
      <c r="W1665" s="399">
        <f t="shared" ref="W1665" si="5311">IF(D1648&gt;4*G1646,ROUND(MAX(D1648/4,2*G1646)/H1665,0)+1,ROUND(D1648/H1665,0)+1)</f>
        <v>8</v>
      </c>
      <c r="X1665" s="399" t="s">
        <v>125</v>
      </c>
      <c r="Y1665" s="389">
        <f t="shared" ref="Y1665" si="5312">D1651</f>
        <v>1</v>
      </c>
      <c r="Z1665" s="400" t="s">
        <v>176</v>
      </c>
      <c r="AA1665" s="402">
        <f t="shared" ref="AA1665:AA1667" si="5313">N1665*U1665*W1665*Y1665</f>
        <v>3.2511744000000005</v>
      </c>
      <c r="AB1665" s="403"/>
    </row>
    <row r="1666" spans="1:28">
      <c r="A1666" s="384" t="str">
        <f t="shared" ref="A1666:B1666" si="5314">A1645</f>
        <v>Lantai 1</v>
      </c>
      <c r="B1666" s="385">
        <f t="shared" si="5314"/>
        <v>53</v>
      </c>
      <c r="C1666" s="393" t="s">
        <v>212</v>
      </c>
      <c r="D1666" s="398">
        <f>VLOOKUP(D1645,'Detail Balok'!$C$10:$AU$140,36,FALSE)</f>
        <v>0</v>
      </c>
      <c r="E1666" s="388" t="s">
        <v>16</v>
      </c>
      <c r="F1666" s="388">
        <f>VLOOKUP(D1645,'Detail Balok'!$C$10:$AU$140,38,FALSE)</f>
        <v>8</v>
      </c>
      <c r="G1666" s="405" t="s">
        <v>157</v>
      </c>
      <c r="H1666" s="395">
        <f>VLOOKUP(D1645,'Detail Balok'!$C$10:$AU$140,40,FALSE)</f>
        <v>200</v>
      </c>
      <c r="I1666" s="388"/>
      <c r="J1666" s="400">
        <f t="shared" ref="J1666" si="5315">(IF(D1666=0,(2*(D1646+G1646))-(F$5*8),IF(D1666=3,(2*(D1646+G1646))-(F$5*8)+(G1646-2*F$5),IF(D1666=4,(2*(D1646+G1646))-(F$5*8)+2*(G1646-2*F$5)))))/1000</f>
        <v>0.88</v>
      </c>
      <c r="K1666" s="400" t="s">
        <v>204</v>
      </c>
      <c r="L1666" s="399">
        <f t="shared" si="5308"/>
        <v>0.15</v>
      </c>
      <c r="M1666" s="399" t="s">
        <v>176</v>
      </c>
      <c r="N1666" s="399">
        <f t="shared" si="5309"/>
        <v>1.03</v>
      </c>
      <c r="O1666" s="399"/>
      <c r="P1666" s="389"/>
      <c r="Q1666" s="399"/>
      <c r="R1666" s="399"/>
      <c r="S1666" s="399"/>
      <c r="T1666" s="399" t="s">
        <v>125</v>
      </c>
      <c r="U1666" s="401">
        <f t="shared" si="5310"/>
        <v>0.39456000000000002</v>
      </c>
      <c r="V1666" s="399" t="s">
        <v>125</v>
      </c>
      <c r="W1666" s="399">
        <f t="shared" ref="W1666" si="5316">IF(D1648-MAX(D1648/4,2*G1646)*2&gt;0,ROUND((D1648-MAX(D1648/4,2*G1646)*2)/H1666,0),0)</f>
        <v>10</v>
      </c>
      <c r="X1666" s="399" t="s">
        <v>125</v>
      </c>
      <c r="Y1666" s="389">
        <f t="shared" ref="Y1666" si="5317">D1651</f>
        <v>1</v>
      </c>
      <c r="Z1666" s="400" t="s">
        <v>176</v>
      </c>
      <c r="AA1666" s="402">
        <f t="shared" si="5313"/>
        <v>4.0639680000000009</v>
      </c>
      <c r="AB1666" s="403"/>
    </row>
    <row r="1667" spans="1:28">
      <c r="A1667" s="384" t="str">
        <f t="shared" ref="A1667:B1667" si="5318">A1645</f>
        <v>Lantai 1</v>
      </c>
      <c r="B1667" s="385">
        <f t="shared" si="5318"/>
        <v>53</v>
      </c>
      <c r="C1667" s="393" t="s">
        <v>211</v>
      </c>
      <c r="D1667" s="398">
        <f>VLOOKUP(D1645,'Detail Balok'!$C$10:$AU$140,41,FALSE)</f>
        <v>0</v>
      </c>
      <c r="E1667" s="388" t="s">
        <v>16</v>
      </c>
      <c r="F1667" s="388">
        <f>VLOOKUP(D1645,'Detail Balok'!$C$10:$AU$140,43,FALSE)</f>
        <v>8</v>
      </c>
      <c r="G1667" s="405" t="s">
        <v>157</v>
      </c>
      <c r="H1667" s="395">
        <f>VLOOKUP(D1645,'Detail Balok'!$C$10:$AU$140,45,FALSE)</f>
        <v>150</v>
      </c>
      <c r="I1667" s="388"/>
      <c r="J1667" s="400">
        <f t="shared" ref="J1667" si="5319">(IF(D1667=0,(2*(D1646+G1646))-(F$5*8),IF(D1667=3,(2*(D1646+G1646))-(F$5*8)+(G1646-2*F$5),IF(D1667=4,(2*(D1646+G1646))-(F$5*8)+2*(G1646-2*F$5)))))/1000</f>
        <v>0.88</v>
      </c>
      <c r="K1667" s="400" t="s">
        <v>204</v>
      </c>
      <c r="L1667" s="399">
        <f t="shared" si="5308"/>
        <v>0.15</v>
      </c>
      <c r="M1667" s="399" t="s">
        <v>176</v>
      </c>
      <c r="N1667" s="399">
        <f t="shared" si="5309"/>
        <v>1.03</v>
      </c>
      <c r="O1667" s="399"/>
      <c r="P1667" s="389"/>
      <c r="Q1667" s="399"/>
      <c r="R1667" s="399"/>
      <c r="S1667" s="399"/>
      <c r="T1667" s="399" t="s">
        <v>125</v>
      </c>
      <c r="U1667" s="401">
        <f t="shared" si="5310"/>
        <v>0.39456000000000002</v>
      </c>
      <c r="V1667" s="399" t="s">
        <v>125</v>
      </c>
      <c r="W1667" s="399">
        <f t="shared" ref="W1667" si="5320">IF(D1648&gt;4*G1646,ROUND(MAX(D1648/4,2*G1646)/H1667,0)+1,0)</f>
        <v>8</v>
      </c>
      <c r="X1667" s="399" t="s">
        <v>125</v>
      </c>
      <c r="Y1667" s="389">
        <f t="shared" ref="Y1667" si="5321">D1651</f>
        <v>1</v>
      </c>
      <c r="Z1667" s="400" t="s">
        <v>176</v>
      </c>
      <c r="AA1667" s="402">
        <f t="shared" si="5313"/>
        <v>3.2511744000000005</v>
      </c>
      <c r="AB1667" s="403"/>
    </row>
    <row r="1668" spans="1:28">
      <c r="A1668" s="384"/>
      <c r="B1668" s="385"/>
      <c r="C1668" s="393"/>
      <c r="D1668" s="394"/>
      <c r="E1668" s="388"/>
      <c r="F1668" s="388"/>
      <c r="G1668" s="388"/>
      <c r="H1668" s="395"/>
      <c r="I1668" s="388"/>
      <c r="J1668" s="399"/>
      <c r="K1668" s="396"/>
      <c r="L1668" s="396"/>
      <c r="M1668" s="396"/>
      <c r="N1668" s="396"/>
      <c r="O1668" s="396"/>
      <c r="P1668" s="389"/>
      <c r="Q1668" s="396"/>
      <c r="R1668" s="396"/>
      <c r="S1668" s="396"/>
      <c r="T1668" s="396"/>
      <c r="U1668" s="401"/>
      <c r="V1668" s="396"/>
      <c r="W1668" s="388"/>
      <c r="X1668" s="396"/>
      <c r="Y1668" s="389"/>
      <c r="Z1668" s="396"/>
      <c r="AA1668" s="388"/>
      <c r="AB1668" s="390"/>
    </row>
    <row r="1669" spans="1:28">
      <c r="A1669" s="384" t="str">
        <f t="shared" ref="A1669:B1669" si="5322">A1645</f>
        <v>Lantai 1</v>
      </c>
      <c r="B1669" s="385">
        <f t="shared" si="5322"/>
        <v>53</v>
      </c>
      <c r="C1669" s="393" t="s">
        <v>213</v>
      </c>
      <c r="D1669" s="398">
        <f>VLOOKUP(D1645,'Detail Balok'!$C$10:$BJ$140,46,FALSE)</f>
        <v>0</v>
      </c>
      <c r="E1669" s="388" t="s">
        <v>16</v>
      </c>
      <c r="F1669" s="388">
        <f>VLOOKUP(D1645,'Detail Balok'!$C$10:$BJ$140,48,FALSE)</f>
        <v>0</v>
      </c>
      <c r="G1669" s="405" t="s">
        <v>157</v>
      </c>
      <c r="H1669" s="395">
        <f>VLOOKUP(D1645,'Detail Balok'!$C$10:$BJ$140,50,FALSE)</f>
        <v>100</v>
      </c>
      <c r="I1669" s="388"/>
      <c r="J1669" s="399">
        <f t="shared" ref="J1669" si="5323">(D1646-2*F$5)/1000</f>
        <v>0.12</v>
      </c>
      <c r="K1669" s="400" t="s">
        <v>204</v>
      </c>
      <c r="L1669" s="399">
        <f t="shared" ref="L1669:L1671" si="5324">IF(D1669=0,2*MAX(6*F1669,75),(D1669-1)*2*MAX(6*F1669,75))/1000</f>
        <v>0.15</v>
      </c>
      <c r="M1669" s="399" t="s">
        <v>176</v>
      </c>
      <c r="N1669" s="399">
        <f t="shared" ref="N1669:N1671" si="5325">J1669+L1669</f>
        <v>0.27</v>
      </c>
      <c r="O1669" s="399"/>
      <c r="P1669" s="399"/>
      <c r="Q1669" s="399"/>
      <c r="R1669" s="399"/>
      <c r="S1669" s="399"/>
      <c r="T1669" s="399" t="s">
        <v>125</v>
      </c>
      <c r="U1669" s="401">
        <f t="shared" ref="U1669:U1671" si="5326">0.006165*F1669^2</f>
        <v>0</v>
      </c>
      <c r="V1669" s="399" t="s">
        <v>125</v>
      </c>
      <c r="W1669" s="399">
        <f t="shared" si="5231"/>
        <v>8</v>
      </c>
      <c r="X1669" s="399" t="s">
        <v>125</v>
      </c>
      <c r="Y1669" s="389">
        <f t="shared" ref="Y1669" si="5327">D1655</f>
        <v>3</v>
      </c>
      <c r="Z1669" s="400" t="s">
        <v>176</v>
      </c>
      <c r="AA1669" s="402">
        <f t="shared" ref="AA1669:AA1671" si="5328">N1669*U1669*W1669*Y1669</f>
        <v>0</v>
      </c>
      <c r="AB1669" s="403"/>
    </row>
    <row r="1670" spans="1:28">
      <c r="A1670" s="384" t="str">
        <f t="shared" ref="A1670:B1670" si="5329">A1645</f>
        <v>Lantai 1</v>
      </c>
      <c r="B1670" s="385">
        <f t="shared" si="5329"/>
        <v>53</v>
      </c>
      <c r="C1670" s="393" t="s">
        <v>214</v>
      </c>
      <c r="D1670" s="398">
        <f>VLOOKUP(D1645,'Detail Balok'!$C$10:$BJ$140,51,FALSE)</f>
        <v>0</v>
      </c>
      <c r="E1670" s="388" t="s">
        <v>16</v>
      </c>
      <c r="F1670" s="388">
        <f>VLOOKUP(D1645,'Detail Balok'!$C$10:$BJ$140,53,FALSE)</f>
        <v>0</v>
      </c>
      <c r="G1670" s="405" t="s">
        <v>157</v>
      </c>
      <c r="H1670" s="395">
        <f>VLOOKUP(D1645,'Detail Balok'!$C$10:$BJ$140,55,FALSE)</f>
        <v>100</v>
      </c>
      <c r="I1670" s="388"/>
      <c r="J1670" s="399">
        <f t="shared" ref="J1670" si="5330">(D1646-2*F$5)/1000</f>
        <v>0.12</v>
      </c>
      <c r="K1670" s="400" t="s">
        <v>204</v>
      </c>
      <c r="L1670" s="399">
        <f t="shared" si="5324"/>
        <v>0.15</v>
      </c>
      <c r="M1670" s="399" t="s">
        <v>176</v>
      </c>
      <c r="N1670" s="399">
        <f t="shared" si="5325"/>
        <v>0.27</v>
      </c>
      <c r="O1670" s="399"/>
      <c r="P1670" s="399"/>
      <c r="Q1670" s="399"/>
      <c r="R1670" s="399"/>
      <c r="S1670" s="399"/>
      <c r="T1670" s="399" t="s">
        <v>125</v>
      </c>
      <c r="U1670" s="401">
        <f t="shared" si="5326"/>
        <v>0</v>
      </c>
      <c r="V1670" s="399" t="s">
        <v>125</v>
      </c>
      <c r="W1670" s="399">
        <f t="shared" si="5231"/>
        <v>10</v>
      </c>
      <c r="X1670" s="399" t="s">
        <v>125</v>
      </c>
      <c r="Y1670" s="389">
        <f t="shared" ref="Y1670" si="5331">D1655</f>
        <v>3</v>
      </c>
      <c r="Z1670" s="400" t="s">
        <v>176</v>
      </c>
      <c r="AA1670" s="402">
        <f t="shared" si="5328"/>
        <v>0</v>
      </c>
      <c r="AB1670" s="403"/>
    </row>
    <row r="1671" spans="1:28">
      <c r="A1671" s="384" t="str">
        <f t="shared" ref="A1671:B1671" si="5332">A1645</f>
        <v>Lantai 1</v>
      </c>
      <c r="B1671" s="385">
        <f t="shared" si="5332"/>
        <v>53</v>
      </c>
      <c r="C1671" s="393" t="s">
        <v>213</v>
      </c>
      <c r="D1671" s="398">
        <f>VLOOKUP(D1645,'Detail Balok'!$C$10:$BJ$140,56,FALSE)</f>
        <v>0</v>
      </c>
      <c r="E1671" s="388" t="s">
        <v>16</v>
      </c>
      <c r="F1671" s="388">
        <f>VLOOKUP(D1645,'Detail Balok'!$C$10:$BJ$140,58,FALSE)</f>
        <v>0</v>
      </c>
      <c r="G1671" s="405" t="s">
        <v>157</v>
      </c>
      <c r="H1671" s="395">
        <f>VLOOKUP(D1645,'Detail Balok'!$C$10:$BJ$140,60,FALSE)</f>
        <v>100</v>
      </c>
      <c r="I1671" s="388"/>
      <c r="J1671" s="399">
        <f t="shared" ref="J1671" si="5333">(D1646-2*F$5)/1000</f>
        <v>0.12</v>
      </c>
      <c r="K1671" s="400" t="s">
        <v>204</v>
      </c>
      <c r="L1671" s="399">
        <f t="shared" si="5324"/>
        <v>0.15</v>
      </c>
      <c r="M1671" s="399" t="s">
        <v>176</v>
      </c>
      <c r="N1671" s="399">
        <f t="shared" si="5325"/>
        <v>0.27</v>
      </c>
      <c r="O1671" s="399"/>
      <c r="P1671" s="399"/>
      <c r="Q1671" s="399"/>
      <c r="R1671" s="399"/>
      <c r="S1671" s="399"/>
      <c r="T1671" s="399" t="s">
        <v>125</v>
      </c>
      <c r="U1671" s="401">
        <f t="shared" si="5326"/>
        <v>0</v>
      </c>
      <c r="V1671" s="399" t="s">
        <v>125</v>
      </c>
      <c r="W1671" s="399">
        <f t="shared" si="5231"/>
        <v>8</v>
      </c>
      <c r="X1671" s="399" t="s">
        <v>125</v>
      </c>
      <c r="Y1671" s="389">
        <f t="shared" ref="Y1671" si="5334">D1655</f>
        <v>3</v>
      </c>
      <c r="Z1671" s="400" t="s">
        <v>176</v>
      </c>
      <c r="AA1671" s="402">
        <f t="shared" si="5328"/>
        <v>0</v>
      </c>
      <c r="AB1671" s="403"/>
    </row>
    <row r="1672" spans="1:28">
      <c r="A1672" s="391"/>
      <c r="B1672" s="392"/>
      <c r="C1672" s="392"/>
      <c r="D1672" s="394"/>
      <c r="E1672" s="388"/>
      <c r="F1672" s="388"/>
      <c r="G1672" s="388"/>
      <c r="H1672" s="395"/>
      <c r="I1672" s="388"/>
      <c r="J1672" s="402"/>
      <c r="K1672" s="388"/>
      <c r="L1672" s="388"/>
      <c r="M1672" s="388"/>
      <c r="N1672" s="388"/>
      <c r="O1672" s="388"/>
      <c r="P1672" s="388"/>
      <c r="Q1672" s="388"/>
      <c r="R1672" s="388"/>
      <c r="S1672" s="388"/>
      <c r="T1672" s="388"/>
      <c r="U1672" s="388"/>
      <c r="V1672" s="388"/>
      <c r="W1672" s="388"/>
      <c r="X1672" s="388"/>
      <c r="Y1672" s="389"/>
      <c r="Z1672" s="388"/>
      <c r="AA1672" s="402"/>
      <c r="AB1672" s="403"/>
    </row>
    <row r="1673" spans="1:28" ht="15.75" thickBot="1">
      <c r="A1673" s="406"/>
      <c r="B1673" s="407"/>
      <c r="C1673" s="407"/>
      <c r="D1673" s="408"/>
      <c r="E1673" s="409"/>
      <c r="F1673" s="409"/>
      <c r="G1673" s="409"/>
      <c r="H1673" s="410"/>
      <c r="I1673" s="409"/>
      <c r="J1673" s="409"/>
      <c r="K1673" s="409"/>
      <c r="L1673" s="409"/>
      <c r="M1673" s="409"/>
      <c r="N1673" s="409"/>
      <c r="O1673" s="409"/>
      <c r="P1673" s="409"/>
      <c r="Q1673" s="409"/>
      <c r="R1673" s="409"/>
      <c r="S1673" s="409"/>
      <c r="T1673" s="409"/>
      <c r="U1673" s="409"/>
      <c r="V1673" s="409"/>
      <c r="W1673" s="409"/>
      <c r="X1673" s="409"/>
      <c r="Y1673" s="411"/>
      <c r="Z1673" s="409"/>
      <c r="AA1673" s="412"/>
      <c r="AB1673" s="413"/>
    </row>
    <row r="1674" spans="1:28">
      <c r="A1674" s="377"/>
      <c r="B1674" s="378"/>
      <c r="C1674" s="378"/>
      <c r="D1674" s="379"/>
      <c r="E1674" s="380"/>
      <c r="F1674" s="380"/>
      <c r="G1674" s="380"/>
      <c r="H1674" s="381"/>
      <c r="I1674" s="380"/>
      <c r="J1674" s="380"/>
      <c r="K1674" s="380"/>
      <c r="L1674" s="380"/>
      <c r="M1674" s="380"/>
      <c r="N1674" s="380"/>
      <c r="O1674" s="380"/>
      <c r="P1674" s="380"/>
      <c r="Q1674" s="380"/>
      <c r="R1674" s="380"/>
      <c r="S1674" s="380"/>
      <c r="T1674" s="380"/>
      <c r="U1674" s="380"/>
      <c r="V1674" s="380"/>
      <c r="W1674" s="380"/>
      <c r="X1674" s="380"/>
      <c r="Y1674" s="382"/>
      <c r="Z1674" s="380"/>
      <c r="AA1674" s="380"/>
      <c r="AB1674" s="383"/>
    </row>
    <row r="1675" spans="1:28">
      <c r="A1675" s="384" t="str">
        <f t="shared" si="5240"/>
        <v>Lantai 1</v>
      </c>
      <c r="B1675" s="385">
        <f t="shared" si="5241"/>
        <v>54</v>
      </c>
      <c r="C1675" s="386" t="str">
        <f t="shared" ref="C1675" si="5335">CONCATENATE(A1675," no. ",B1675)</f>
        <v>Lantai 1 no. 54</v>
      </c>
      <c r="D1675" s="2562" t="str">
        <f>VLOOKUP(C1675,'Data Panjang Balok'!$C$9:$N$254,2,FALSE)</f>
        <v>S36-1</v>
      </c>
      <c r="E1675" s="2576"/>
      <c r="F1675" s="2576"/>
      <c r="G1675" s="2576"/>
      <c r="H1675" s="2577"/>
      <c r="I1675" s="387"/>
      <c r="J1675" s="388"/>
      <c r="K1675" s="388"/>
      <c r="L1675" s="388"/>
      <c r="M1675" s="388"/>
      <c r="N1675" s="388"/>
      <c r="O1675" s="388"/>
      <c r="P1675" s="388"/>
      <c r="Q1675" s="388"/>
      <c r="R1675" s="388"/>
      <c r="S1675" s="388"/>
      <c r="T1675" s="388"/>
      <c r="U1675" s="388"/>
      <c r="V1675" s="388"/>
      <c r="W1675" s="388"/>
      <c r="X1675" s="388"/>
      <c r="Y1675" s="389"/>
      <c r="Z1675" s="388"/>
      <c r="AA1675" s="388"/>
      <c r="AB1675" s="390"/>
    </row>
    <row r="1676" spans="1:28">
      <c r="A1676" s="391"/>
      <c r="B1676" s="392"/>
      <c r="C1676" s="393" t="s">
        <v>118</v>
      </c>
      <c r="D1676" s="2578">
        <f>VLOOKUP(D1675,'Detail Balok'!$C$10:$AU$140,2,FALSE)</f>
        <v>300</v>
      </c>
      <c r="E1676" s="2579"/>
      <c r="F1676" s="388" t="s">
        <v>125</v>
      </c>
      <c r="G1676" s="2579">
        <f>VLOOKUP(D1675,'Detail Balok'!$C$10:$AU$140,3,FALSE)</f>
        <v>600</v>
      </c>
      <c r="H1676" s="2580"/>
      <c r="I1676" s="388"/>
      <c r="J1676" s="396"/>
      <c r="K1676" s="396"/>
      <c r="L1676" s="396"/>
      <c r="M1676" s="396"/>
      <c r="N1676" s="396"/>
      <c r="O1676" s="396"/>
      <c r="P1676" s="396"/>
      <c r="Q1676" s="396"/>
      <c r="R1676" s="396"/>
      <c r="S1676" s="396"/>
      <c r="T1676" s="396"/>
      <c r="U1676" s="388"/>
      <c r="V1676" s="396"/>
      <c r="W1676" s="388"/>
      <c r="X1676" s="396"/>
      <c r="Y1676" s="389"/>
      <c r="Z1676" s="396"/>
      <c r="AA1676" s="388"/>
      <c r="AB1676" s="390"/>
    </row>
    <row r="1677" spans="1:28">
      <c r="A1677" s="391"/>
      <c r="B1677" s="392"/>
      <c r="C1677" s="393" t="s">
        <v>198</v>
      </c>
      <c r="D1677" s="2562">
        <f>VLOOKUP(C1675,'Data Panjang Balok'!$C$9:$N$254,4,FALSE)</f>
        <v>4075</v>
      </c>
      <c r="E1677" s="2563"/>
      <c r="F1677" s="2563"/>
      <c r="G1677" s="2563"/>
      <c r="H1677" s="2564"/>
      <c r="I1677" s="397"/>
      <c r="J1677" s="396"/>
      <c r="K1677" s="396"/>
      <c r="L1677" s="396"/>
      <c r="M1677" s="396"/>
      <c r="N1677" s="396"/>
      <c r="O1677" s="396"/>
      <c r="P1677" s="396"/>
      <c r="Q1677" s="396"/>
      <c r="R1677" s="396"/>
      <c r="S1677" s="396"/>
      <c r="T1677" s="396"/>
      <c r="U1677" s="388"/>
      <c r="V1677" s="396"/>
      <c r="W1677" s="388"/>
      <c r="X1677" s="396"/>
      <c r="Y1677" s="389"/>
      <c r="Z1677" s="396"/>
      <c r="AA1677" s="388"/>
      <c r="AB1677" s="390"/>
    </row>
    <row r="1678" spans="1:28">
      <c r="A1678" s="391"/>
      <c r="B1678" s="392"/>
      <c r="C1678" s="393" t="s">
        <v>199</v>
      </c>
      <c r="D1678" s="2562">
        <f>VLOOKUP(C1675,'Data Panjang Balok'!$C$9:$N$254,7,FALSE)</f>
        <v>4075</v>
      </c>
      <c r="E1678" s="2563"/>
      <c r="F1678" s="2563"/>
      <c r="G1678" s="2563"/>
      <c r="H1678" s="2564"/>
      <c r="I1678" s="397"/>
      <c r="J1678" s="396"/>
      <c r="K1678" s="396"/>
      <c r="L1678" s="396"/>
      <c r="M1678" s="396"/>
      <c r="N1678" s="396"/>
      <c r="O1678" s="396"/>
      <c r="P1678" s="396"/>
      <c r="Q1678" s="396"/>
      <c r="R1678" s="396"/>
      <c r="S1678" s="396"/>
      <c r="T1678" s="396"/>
      <c r="U1678" s="388"/>
      <c r="V1678" s="396"/>
      <c r="W1678" s="388"/>
      <c r="X1678" s="396"/>
      <c r="Y1678" s="389"/>
      <c r="Z1678" s="396"/>
      <c r="AA1678" s="388"/>
      <c r="AB1678" s="390"/>
    </row>
    <row r="1679" spans="1:28">
      <c r="A1679" s="391"/>
      <c r="B1679" s="392"/>
      <c r="C1679" s="393" t="s">
        <v>200</v>
      </c>
      <c r="D1679" s="2562">
        <f>VLOOKUP(C1675,'Data Panjang Balok'!$C$9:$N$254,9,FALSE)</f>
        <v>0</v>
      </c>
      <c r="E1679" s="2563"/>
      <c r="F1679" s="2563"/>
      <c r="G1679" s="2563"/>
      <c r="H1679" s="2564"/>
      <c r="I1679" s="397"/>
      <c r="J1679" s="396"/>
      <c r="K1679" s="396"/>
      <c r="L1679" s="396"/>
      <c r="M1679" s="396"/>
      <c r="N1679" s="396"/>
      <c r="O1679" s="396"/>
      <c r="P1679" s="396"/>
      <c r="Q1679" s="396"/>
      <c r="R1679" s="396"/>
      <c r="S1679" s="396"/>
      <c r="T1679" s="396"/>
      <c r="U1679" s="388"/>
      <c r="V1679" s="396"/>
      <c r="W1679" s="388"/>
      <c r="X1679" s="396"/>
      <c r="Y1679" s="389"/>
      <c r="Z1679" s="396"/>
      <c r="AA1679" s="388"/>
      <c r="AB1679" s="390"/>
    </row>
    <row r="1680" spans="1:28">
      <c r="A1680" s="391"/>
      <c r="B1680" s="392"/>
      <c r="C1680" s="393" t="s">
        <v>201</v>
      </c>
      <c r="D1680" s="2562">
        <f>VLOOKUP(C1675,'Data Panjang Balok'!$C$9:$N$254,10,FALSE)</f>
        <v>0</v>
      </c>
      <c r="E1680" s="2563"/>
      <c r="F1680" s="2563"/>
      <c r="G1680" s="2563"/>
      <c r="H1680" s="2564"/>
      <c r="I1680" s="397"/>
      <c r="J1680" s="396"/>
      <c r="K1680" s="396"/>
      <c r="L1680" s="396"/>
      <c r="M1680" s="396"/>
      <c r="N1680" s="396"/>
      <c r="O1680" s="396"/>
      <c r="P1680" s="396"/>
      <c r="Q1680" s="396"/>
      <c r="R1680" s="396"/>
      <c r="S1680" s="396"/>
      <c r="T1680" s="396"/>
      <c r="U1680" s="388"/>
      <c r="V1680" s="396"/>
      <c r="W1680" s="388"/>
      <c r="X1680" s="396"/>
      <c r="Y1680" s="389"/>
      <c r="Z1680" s="396"/>
      <c r="AA1680" s="388"/>
      <c r="AB1680" s="390"/>
    </row>
    <row r="1681" spans="1:28">
      <c r="A1681" s="391"/>
      <c r="B1681" s="392"/>
      <c r="C1681" s="393" t="s">
        <v>48</v>
      </c>
      <c r="D1681" s="2562">
        <f>VLOOKUP(C1675,'Data Panjang Balok'!$C$9:$N$254,3,FALSE)</f>
        <v>1</v>
      </c>
      <c r="E1681" s="2563"/>
      <c r="F1681" s="2563"/>
      <c r="G1681" s="2563"/>
      <c r="H1681" s="2564"/>
      <c r="I1681" s="397"/>
      <c r="J1681" s="396"/>
      <c r="K1681" s="396"/>
      <c r="L1681" s="396"/>
      <c r="M1681" s="396"/>
      <c r="N1681" s="396"/>
      <c r="O1681" s="396"/>
      <c r="P1681" s="396"/>
      <c r="Q1681" s="396"/>
      <c r="R1681" s="396"/>
      <c r="S1681" s="396"/>
      <c r="T1681" s="396"/>
      <c r="U1681" s="388"/>
      <c r="V1681" s="396"/>
      <c r="W1681" s="388"/>
      <c r="X1681" s="396"/>
      <c r="Y1681" s="389"/>
      <c r="Z1681" s="396"/>
      <c r="AA1681" s="388"/>
      <c r="AB1681" s="390"/>
    </row>
    <row r="1682" spans="1:28">
      <c r="A1682" s="384" t="str">
        <f t="shared" ref="A1682:B1682" si="5336">A1675</f>
        <v>Lantai 1</v>
      </c>
      <c r="B1682" s="385">
        <f t="shared" si="5336"/>
        <v>54</v>
      </c>
      <c r="C1682" s="393" t="s">
        <v>202</v>
      </c>
      <c r="D1682" s="398">
        <f>VLOOKUP(D1675,'Detail Balok'!$C$10:$AU$140,4,FALSE)</f>
        <v>4</v>
      </c>
      <c r="E1682" s="388" t="s">
        <v>16</v>
      </c>
      <c r="F1682" s="388">
        <f>VLOOKUP(D1675,'Detail Balok'!$C$10:$AU$140,6,FALSE)</f>
        <v>16</v>
      </c>
      <c r="G1682" s="388"/>
      <c r="H1682" s="395"/>
      <c r="I1682" s="388" t="s">
        <v>203</v>
      </c>
      <c r="J1682" s="399">
        <f t="shared" ref="J1682" si="5337">+D1677/4/1000</f>
        <v>1.01875</v>
      </c>
      <c r="K1682" s="400" t="s">
        <v>204</v>
      </c>
      <c r="L1682" s="399">
        <f t="shared" ref="L1682" si="5338">MAX(VLOOKUP(F1682,N$6:P$15,3,FALSE)/1000,2/3*D1679/1000)+F$16*F1682/1000</f>
        <v>0.192</v>
      </c>
      <c r="M1682" s="399" t="s">
        <v>176</v>
      </c>
      <c r="N1682" s="399">
        <f t="shared" ref="N1682:N1684" si="5339">J1682+L1682</f>
        <v>1.21075</v>
      </c>
      <c r="O1682" s="399" t="s">
        <v>204</v>
      </c>
      <c r="P1682" s="389">
        <f t="shared" ref="P1682" si="5340">D1682-D1683</f>
        <v>0</v>
      </c>
      <c r="Q1682" s="399" t="s">
        <v>125</v>
      </c>
      <c r="R1682" s="399">
        <f t="shared" ref="R1682" si="5341">IF(P1682&gt;0,$F$18*F1682/1000,0)</f>
        <v>0</v>
      </c>
      <c r="S1682" s="399" t="s">
        <v>205</v>
      </c>
      <c r="T1682" s="399" t="s">
        <v>125</v>
      </c>
      <c r="U1682" s="401">
        <f t="shared" ref="U1682:U1684" si="5342">0.006165*F1682^2</f>
        <v>1.5782400000000001</v>
      </c>
      <c r="V1682" s="399"/>
      <c r="W1682" s="399"/>
      <c r="X1682" s="399" t="s">
        <v>125</v>
      </c>
      <c r="Y1682" s="389">
        <f t="shared" ref="Y1682" si="5343">D1681</f>
        <v>1</v>
      </c>
      <c r="Z1682" s="400" t="s">
        <v>176</v>
      </c>
      <c r="AA1682" s="402">
        <f t="shared" ref="AA1682" si="5344">IF(AA1685=0,(D1682*N1682+P1682*R1682)*U1682*Y1682,0)</f>
        <v>0</v>
      </c>
      <c r="AB1682" s="403"/>
    </row>
    <row r="1683" spans="1:28">
      <c r="A1683" s="384" t="str">
        <f t="shared" ref="A1683:B1683" si="5345">A1675</f>
        <v>Lantai 1</v>
      </c>
      <c r="B1683" s="385">
        <f t="shared" si="5345"/>
        <v>54</v>
      </c>
      <c r="C1683" s="393" t="s">
        <v>206</v>
      </c>
      <c r="D1683" s="398">
        <f>VLOOKUP(D1675,'Detail Balok'!$C$10:$AU$140,7,FALSE)</f>
        <v>4</v>
      </c>
      <c r="E1683" s="388" t="s">
        <v>16</v>
      </c>
      <c r="F1683" s="388">
        <f>VLOOKUP(D1675,'Detail Balok'!$C$10:$AU$140,9,FALSE)</f>
        <v>16</v>
      </c>
      <c r="G1683" s="388"/>
      <c r="H1683" s="395"/>
      <c r="I1683" s="388" t="s">
        <v>203</v>
      </c>
      <c r="J1683" s="399">
        <f t="shared" ref="J1683" si="5346">+D1677/2/1000</f>
        <v>2.0375000000000001</v>
      </c>
      <c r="K1683" s="400" t="s">
        <v>204</v>
      </c>
      <c r="L1683" s="399"/>
      <c r="M1683" s="399" t="s">
        <v>176</v>
      </c>
      <c r="N1683" s="399">
        <f t="shared" si="5339"/>
        <v>2.0375000000000001</v>
      </c>
      <c r="O1683" s="399" t="s">
        <v>204</v>
      </c>
      <c r="P1683" s="389">
        <f t="shared" ref="P1683" si="5347">MAX(D1683-D1682,D1683-D1684)</f>
        <v>0</v>
      </c>
      <c r="Q1683" s="399" t="s">
        <v>125</v>
      </c>
      <c r="R1683" s="399">
        <f t="shared" ref="R1683" si="5348">IF(P1683&gt;0,2*(1-2*$F$19-1/2)*D1678/1000,0)</f>
        <v>0</v>
      </c>
      <c r="S1683" s="399" t="s">
        <v>205</v>
      </c>
      <c r="T1683" s="399" t="s">
        <v>125</v>
      </c>
      <c r="U1683" s="401">
        <f t="shared" si="5342"/>
        <v>1.5782400000000001</v>
      </c>
      <c r="V1683" s="399"/>
      <c r="W1683" s="399"/>
      <c r="X1683" s="399" t="s">
        <v>125</v>
      </c>
      <c r="Y1683" s="389">
        <f t="shared" ref="Y1683" si="5349">D1681</f>
        <v>1</v>
      </c>
      <c r="Z1683" s="400" t="s">
        <v>176</v>
      </c>
      <c r="AA1683" s="402">
        <f t="shared" ref="AA1683" si="5350">IF(AA1685=0,(D1683*N1683+P1683*R1683)*U1683*Y1683,0)</f>
        <v>0</v>
      </c>
      <c r="AB1683" s="403"/>
    </row>
    <row r="1684" spans="1:28">
      <c r="A1684" s="384" t="str">
        <f t="shared" ref="A1684:B1684" si="5351">A1675</f>
        <v>Lantai 1</v>
      </c>
      <c r="B1684" s="385">
        <f t="shared" si="5351"/>
        <v>54</v>
      </c>
      <c r="C1684" s="393" t="s">
        <v>202</v>
      </c>
      <c r="D1684" s="398">
        <f>VLOOKUP(D1675,'Detail Balok'!$C$10:$AU$140,10,FALSE)</f>
        <v>4</v>
      </c>
      <c r="E1684" s="388" t="s">
        <v>16</v>
      </c>
      <c r="F1684" s="388">
        <f>VLOOKUP(D1675,'Detail Balok'!$C$10:$AU$140,12,FALSE)</f>
        <v>16</v>
      </c>
      <c r="G1684" s="388"/>
      <c r="H1684" s="395"/>
      <c r="I1684" s="388" t="s">
        <v>203</v>
      </c>
      <c r="J1684" s="399">
        <f t="shared" ref="J1684" si="5352">+D1677/4/1000</f>
        <v>1.01875</v>
      </c>
      <c r="K1684" s="400" t="s">
        <v>204</v>
      </c>
      <c r="L1684" s="399">
        <f t="shared" ref="L1684" si="5353">MAX(VLOOKUP(F1684,N$6:P$15,3,FALSE)/1000,2/3*D1679/1000)+F$16*F1684/1000</f>
        <v>0.192</v>
      </c>
      <c r="M1684" s="399" t="s">
        <v>176</v>
      </c>
      <c r="N1684" s="399">
        <f t="shared" si="5339"/>
        <v>1.21075</v>
      </c>
      <c r="O1684" s="399" t="s">
        <v>204</v>
      </c>
      <c r="P1684" s="389">
        <f t="shared" ref="P1684" si="5354">D1684-D1683</f>
        <v>0</v>
      </c>
      <c r="Q1684" s="399" t="s">
        <v>125</v>
      </c>
      <c r="R1684" s="399">
        <f t="shared" ref="R1684" si="5355">IF(P1684&gt;0,$F$18*F1684/1000,0)</f>
        <v>0</v>
      </c>
      <c r="S1684" s="399" t="s">
        <v>205</v>
      </c>
      <c r="T1684" s="399" t="s">
        <v>125</v>
      </c>
      <c r="U1684" s="401">
        <f t="shared" si="5342"/>
        <v>1.5782400000000001</v>
      </c>
      <c r="V1684" s="399"/>
      <c r="W1684" s="399"/>
      <c r="X1684" s="399" t="s">
        <v>125</v>
      </c>
      <c r="Y1684" s="389">
        <f t="shared" ref="Y1684" si="5356">D1681</f>
        <v>1</v>
      </c>
      <c r="Z1684" s="400" t="s">
        <v>176</v>
      </c>
      <c r="AA1684" s="402">
        <f t="shared" ref="AA1684" si="5357">IF(AA1685=0,(D1684*N1684+P1684*R1684)*U1684*Y1684,0)</f>
        <v>0</v>
      </c>
      <c r="AB1684" s="403"/>
    </row>
    <row r="1685" spans="1:28">
      <c r="A1685" s="384" t="str">
        <f t="shared" ref="A1685:B1685" si="5358">A1675</f>
        <v>Lantai 1</v>
      </c>
      <c r="B1685" s="385">
        <f t="shared" si="5358"/>
        <v>54</v>
      </c>
      <c r="C1685" s="393"/>
      <c r="D1685" s="398">
        <f t="shared" si="5161"/>
        <v>4</v>
      </c>
      <c r="E1685" s="388" t="s">
        <v>16</v>
      </c>
      <c r="F1685" s="388">
        <f t="shared" si="5162"/>
        <v>16</v>
      </c>
      <c r="G1685" s="388"/>
      <c r="H1685" s="395"/>
      <c r="I1685" s="388"/>
      <c r="J1685" s="396"/>
      <c r="K1685" s="396"/>
      <c r="L1685" s="404" t="s">
        <v>207</v>
      </c>
      <c r="M1685" s="399" t="s">
        <v>176</v>
      </c>
      <c r="N1685" s="399">
        <f t="shared" ref="N1685" si="5359">IF(AND(D1682=D1683,D1682=D1684,D1683=D1684,F1682=F1683,F1682=F1684,F1683=F1684),SUM(N1682:N1684),0)</f>
        <v>4.4589999999999996</v>
      </c>
      <c r="O1685" s="399" t="s">
        <v>204</v>
      </c>
      <c r="P1685" s="389">
        <f t="shared" ref="P1685" si="5360">IF(N1685&gt;12,ROUNDDOWN(N1685/12,0),0)</f>
        <v>0</v>
      </c>
      <c r="Q1685" s="399" t="s">
        <v>125</v>
      </c>
      <c r="R1685" s="399">
        <f t="shared" ref="R1685" si="5361">IF(P1685&gt;0,MAX(VLOOKUP(F1685,$D$6:$G$15,3,FALSE),600),0)/1000</f>
        <v>0</v>
      </c>
      <c r="S1685" s="396"/>
      <c r="T1685" s="396" t="s">
        <v>125</v>
      </c>
      <c r="U1685" s="401">
        <f t="shared" si="5166"/>
        <v>1.5782400000000001</v>
      </c>
      <c r="V1685" s="396" t="s">
        <v>125</v>
      </c>
      <c r="W1685" s="399">
        <f t="shared" ref="W1685" si="5362">D1685</f>
        <v>4</v>
      </c>
      <c r="X1685" s="399" t="s">
        <v>125</v>
      </c>
      <c r="Y1685" s="389">
        <f t="shared" si="5168"/>
        <v>1</v>
      </c>
      <c r="Z1685" s="400" t="s">
        <v>176</v>
      </c>
      <c r="AA1685" s="402">
        <f t="shared" ref="AA1685" si="5363">(N1685+P1685*R1685/1000)*U1685*W1685*Y1685</f>
        <v>28.149488639999998</v>
      </c>
      <c r="AB1685" s="390"/>
    </row>
    <row r="1686" spans="1:28">
      <c r="A1686" s="384"/>
      <c r="B1686" s="385"/>
      <c r="C1686" s="393"/>
      <c r="D1686" s="398"/>
      <c r="E1686" s="388"/>
      <c r="F1686" s="388"/>
      <c r="G1686" s="388"/>
      <c r="H1686" s="395"/>
      <c r="I1686" s="388"/>
      <c r="J1686" s="396"/>
      <c r="K1686" s="396"/>
      <c r="L1686" s="404"/>
      <c r="M1686" s="399"/>
      <c r="N1686" s="399"/>
      <c r="O1686" s="396"/>
      <c r="P1686" s="389"/>
      <c r="Q1686" s="396"/>
      <c r="R1686" s="396"/>
      <c r="S1686" s="396"/>
      <c r="T1686" s="396"/>
      <c r="U1686" s="401"/>
      <c r="V1686" s="396"/>
      <c r="W1686" s="399"/>
      <c r="X1686" s="396"/>
      <c r="Y1686" s="389"/>
      <c r="Z1686" s="396"/>
      <c r="AA1686" s="388"/>
      <c r="AB1686" s="390"/>
    </row>
    <row r="1687" spans="1:28">
      <c r="A1687" s="384" t="str">
        <f t="shared" ref="A1687:B1687" si="5364">A1675</f>
        <v>Lantai 1</v>
      </c>
      <c r="B1687" s="385">
        <f t="shared" si="5364"/>
        <v>54</v>
      </c>
      <c r="C1687" s="393" t="s">
        <v>208</v>
      </c>
      <c r="D1687" s="398">
        <f>VLOOKUP(D1675,'Detail Balok'!$C$10:$AU$140,13,FALSE)</f>
        <v>2</v>
      </c>
      <c r="E1687" s="388" t="s">
        <v>16</v>
      </c>
      <c r="F1687" s="388">
        <f>VLOOKUP(D1675,'Detail Balok'!$C$10:$AU$140,15,FALSE)</f>
        <v>10</v>
      </c>
      <c r="G1687" s="388"/>
      <c r="H1687" s="395"/>
      <c r="I1687" s="388"/>
      <c r="J1687" s="399">
        <f t="shared" ref="J1687" si="5365">+D1677/1000</f>
        <v>4.0750000000000002</v>
      </c>
      <c r="K1687" s="400" t="s">
        <v>204</v>
      </c>
      <c r="L1687" s="399">
        <f t="shared" ref="L1687" si="5366">2*$F$16*F1687/1000</f>
        <v>0.24</v>
      </c>
      <c r="M1687" s="399" t="s">
        <v>176</v>
      </c>
      <c r="N1687" s="399">
        <f t="shared" ref="N1687" si="5367">J1687+L1687</f>
        <v>4.3150000000000004</v>
      </c>
      <c r="O1687" s="399" t="s">
        <v>204</v>
      </c>
      <c r="P1687" s="389">
        <f t="shared" ref="P1687" si="5368">IF(N1687&gt;12,ROUNDDOWN(N1687/12,0),0)</f>
        <v>0</v>
      </c>
      <c r="Q1687" s="399" t="s">
        <v>125</v>
      </c>
      <c r="R1687" s="399">
        <f t="shared" ref="R1687" si="5369">IF(P1687&gt;0,MAX(VLOOKUP(F1687,$D$6:$G$15,3,FALSE),600),0)/1000</f>
        <v>0</v>
      </c>
      <c r="S1687" s="399"/>
      <c r="T1687" s="399" t="s">
        <v>125</v>
      </c>
      <c r="U1687" s="401">
        <f t="shared" ref="U1687" si="5370">0.006165*F1687^2</f>
        <v>0.61650000000000005</v>
      </c>
      <c r="V1687" s="399" t="s">
        <v>125</v>
      </c>
      <c r="W1687" s="399">
        <f t="shared" ref="W1687" si="5371">+D1687</f>
        <v>2</v>
      </c>
      <c r="X1687" s="399" t="s">
        <v>125</v>
      </c>
      <c r="Y1687" s="389">
        <f t="shared" ref="Y1687" si="5372">D1681</f>
        <v>1</v>
      </c>
      <c r="Z1687" s="400" t="s">
        <v>176</v>
      </c>
      <c r="AA1687" s="402">
        <f t="shared" ref="AA1687" si="5373">(N1687+P1687*R1687/1000)*U1687*W1687*Y1687</f>
        <v>5.3203950000000013</v>
      </c>
      <c r="AB1687" s="403"/>
    </row>
    <row r="1688" spans="1:28">
      <c r="A1688" s="384"/>
      <c r="B1688" s="385"/>
      <c r="C1688" s="393"/>
      <c r="D1688" s="398"/>
      <c r="E1688" s="388"/>
      <c r="F1688" s="388"/>
      <c r="G1688" s="388"/>
      <c r="H1688" s="395"/>
      <c r="I1688" s="388"/>
      <c r="J1688" s="399"/>
      <c r="K1688" s="400"/>
      <c r="L1688" s="399"/>
      <c r="M1688" s="399"/>
      <c r="N1688" s="399"/>
      <c r="O1688" s="399"/>
      <c r="P1688" s="389"/>
      <c r="Q1688" s="399"/>
      <c r="R1688" s="399"/>
      <c r="S1688" s="399"/>
      <c r="T1688" s="399"/>
      <c r="U1688" s="401"/>
      <c r="V1688" s="399"/>
      <c r="W1688" s="399"/>
      <c r="X1688" s="399"/>
      <c r="Y1688" s="389"/>
      <c r="Z1688" s="400"/>
      <c r="AA1688" s="402"/>
      <c r="AB1688" s="403"/>
    </row>
    <row r="1689" spans="1:28">
      <c r="A1689" s="384"/>
      <c r="B1689" s="385"/>
      <c r="C1689" s="393"/>
      <c r="D1689" s="398"/>
      <c r="E1689" s="388"/>
      <c r="F1689" s="388"/>
      <c r="G1689" s="388"/>
      <c r="H1689" s="395"/>
      <c r="I1689" s="388"/>
      <c r="J1689" s="396"/>
      <c r="K1689" s="396"/>
      <c r="L1689" s="396"/>
      <c r="M1689" s="396"/>
      <c r="N1689" s="396"/>
      <c r="O1689" s="396"/>
      <c r="P1689" s="389"/>
      <c r="Q1689" s="396"/>
      <c r="R1689" s="396"/>
      <c r="S1689" s="396"/>
      <c r="T1689" s="396"/>
      <c r="U1689" s="401"/>
      <c r="V1689" s="396"/>
      <c r="W1689" s="399"/>
      <c r="X1689" s="396"/>
      <c r="Y1689" s="389"/>
      <c r="Z1689" s="396"/>
      <c r="AA1689" s="388"/>
      <c r="AB1689" s="390"/>
    </row>
    <row r="1690" spans="1:28">
      <c r="A1690" s="384" t="str">
        <f t="shared" ref="A1690:B1690" si="5374">A1675</f>
        <v>Lantai 1</v>
      </c>
      <c r="B1690" s="385">
        <f t="shared" si="5374"/>
        <v>54</v>
      </c>
      <c r="C1690" s="393" t="s">
        <v>209</v>
      </c>
      <c r="D1690" s="398">
        <f>VLOOKUP(D1675,'Detail Balok'!$C$10:$AU$140,22,FALSE)</f>
        <v>4</v>
      </c>
      <c r="E1690" s="388" t="s">
        <v>16</v>
      </c>
      <c r="F1690" s="388">
        <f>VLOOKUP(D1675,'Detail Balok'!$C$10:$AU$140,24,FALSE)</f>
        <v>16</v>
      </c>
      <c r="G1690" s="388"/>
      <c r="H1690" s="395"/>
      <c r="I1690" s="388" t="s">
        <v>203</v>
      </c>
      <c r="J1690" s="399">
        <f t="shared" si="5181"/>
        <v>1.01875</v>
      </c>
      <c r="K1690" s="400" t="s">
        <v>204</v>
      </c>
      <c r="L1690" s="399">
        <f t="shared" ref="L1690" si="5375">MAX(VLOOKUP(F1690,N$6:P$15,3,FALSE)/1000,2/3*D1680/1000)+F$16*F1690/1000</f>
        <v>0.192</v>
      </c>
      <c r="M1690" s="399" t="s">
        <v>176</v>
      </c>
      <c r="N1690" s="399">
        <f t="shared" ref="N1690:N1692" si="5376">J1690+L1690</f>
        <v>1.21075</v>
      </c>
      <c r="O1690" s="399" t="s">
        <v>204</v>
      </c>
      <c r="P1690" s="389">
        <f t="shared" ref="P1690" si="5377">D1690-D1691</f>
        <v>0</v>
      </c>
      <c r="Q1690" s="399" t="s">
        <v>125</v>
      </c>
      <c r="R1690" s="399">
        <f t="shared" ref="R1690" si="5378">IF(P1690&gt;0,$F$18*F1690/1000,0)</f>
        <v>0</v>
      </c>
      <c r="S1690" s="399" t="s">
        <v>205</v>
      </c>
      <c r="T1690" s="399" t="s">
        <v>125</v>
      </c>
      <c r="U1690" s="401">
        <f t="shared" ref="U1690:U1692" si="5379">0.006165*F1690^2</f>
        <v>1.5782400000000001</v>
      </c>
      <c r="V1690" s="399"/>
      <c r="W1690" s="399"/>
      <c r="X1690" s="399" t="s">
        <v>125</v>
      </c>
      <c r="Y1690" s="389">
        <f t="shared" ref="Y1690" si="5380">D1681</f>
        <v>1</v>
      </c>
      <c r="Z1690" s="400" t="s">
        <v>176</v>
      </c>
      <c r="AA1690" s="402">
        <f t="shared" ref="AA1690" si="5381">IF(AA1693=0,(D1690*N1690+P1690*R1690)*U1690*Y1690,0)</f>
        <v>0</v>
      </c>
      <c r="AB1690" s="403"/>
    </row>
    <row r="1691" spans="1:28">
      <c r="A1691" s="384" t="str">
        <f t="shared" ref="A1691:B1691" si="5382">A1675</f>
        <v>Lantai 1</v>
      </c>
      <c r="B1691" s="385">
        <f t="shared" si="5382"/>
        <v>54</v>
      </c>
      <c r="C1691" s="393" t="s">
        <v>210</v>
      </c>
      <c r="D1691" s="398">
        <f>VLOOKUP(D1675,'Detail Balok'!$C$10:$AU$140,25,FALSE)</f>
        <v>4</v>
      </c>
      <c r="E1691" s="388" t="s">
        <v>16</v>
      </c>
      <c r="F1691" s="388">
        <f>VLOOKUP(D1675,'Detail Balok'!$C$10:$AU$140,27,FALSE)</f>
        <v>16</v>
      </c>
      <c r="G1691" s="388"/>
      <c r="H1691" s="395"/>
      <c r="I1691" s="388" t="s">
        <v>203</v>
      </c>
      <c r="J1691" s="399">
        <f t="shared" si="5181"/>
        <v>2.0375000000000001</v>
      </c>
      <c r="K1691" s="400" t="s">
        <v>204</v>
      </c>
      <c r="L1691" s="399"/>
      <c r="M1691" s="399" t="s">
        <v>176</v>
      </c>
      <c r="N1691" s="399">
        <f t="shared" si="5376"/>
        <v>2.0375000000000001</v>
      </c>
      <c r="O1691" s="399" t="s">
        <v>204</v>
      </c>
      <c r="P1691" s="389">
        <f t="shared" ref="P1691" si="5383">MAX(D1691-D1690,D1691-D1692)</f>
        <v>0</v>
      </c>
      <c r="Q1691" s="399" t="s">
        <v>125</v>
      </c>
      <c r="R1691" s="399">
        <f t="shared" ref="R1691" si="5384">IF(P1691&gt;0,2*(1-2*$F$19-1/2)*D1678/1000,0)</f>
        <v>0</v>
      </c>
      <c r="S1691" s="399" t="s">
        <v>205</v>
      </c>
      <c r="T1691" s="399" t="s">
        <v>125</v>
      </c>
      <c r="U1691" s="401">
        <f t="shared" si="5379"/>
        <v>1.5782400000000001</v>
      </c>
      <c r="V1691" s="399"/>
      <c r="W1691" s="399"/>
      <c r="X1691" s="399" t="s">
        <v>125</v>
      </c>
      <c r="Y1691" s="389">
        <f t="shared" ref="Y1691" si="5385">D1681</f>
        <v>1</v>
      </c>
      <c r="Z1691" s="400" t="s">
        <v>176</v>
      </c>
      <c r="AA1691" s="402">
        <f t="shared" ref="AA1691" si="5386">IF(AA1693=0,(D1691*N1691+P1691*R1691)*U1691*Y1691,0)</f>
        <v>0</v>
      </c>
      <c r="AB1691" s="403"/>
    </row>
    <row r="1692" spans="1:28">
      <c r="A1692" s="384" t="str">
        <f t="shared" ref="A1692:B1692" si="5387">A1675</f>
        <v>Lantai 1</v>
      </c>
      <c r="B1692" s="385">
        <f t="shared" si="5387"/>
        <v>54</v>
      </c>
      <c r="C1692" s="393" t="s">
        <v>209</v>
      </c>
      <c r="D1692" s="398">
        <f>VLOOKUP(D1675,'Detail Balok'!$C$10:$AU$140,28,FALSE)</f>
        <v>4</v>
      </c>
      <c r="E1692" s="388" t="s">
        <v>16</v>
      </c>
      <c r="F1692" s="388">
        <f>VLOOKUP(D1675,'Detail Balok'!$C$10:$AU$140,30,FALSE)</f>
        <v>16</v>
      </c>
      <c r="G1692" s="388"/>
      <c r="H1692" s="395"/>
      <c r="I1692" s="388" t="s">
        <v>203</v>
      </c>
      <c r="J1692" s="399">
        <f t="shared" si="5181"/>
        <v>1.01875</v>
      </c>
      <c r="K1692" s="400" t="s">
        <v>204</v>
      </c>
      <c r="L1692" s="399">
        <f t="shared" ref="L1692" si="5388">MAX(VLOOKUP(F1692,N$6:P$15,3,FALSE)/1000,2/3*D1680/1000)+F$16*F1692/1000</f>
        <v>0.192</v>
      </c>
      <c r="M1692" s="399" t="s">
        <v>176</v>
      </c>
      <c r="N1692" s="399">
        <f t="shared" si="5376"/>
        <v>1.21075</v>
      </c>
      <c r="O1692" s="399" t="s">
        <v>204</v>
      </c>
      <c r="P1692" s="389">
        <f t="shared" ref="P1692" si="5389">D1692-D1691</f>
        <v>0</v>
      </c>
      <c r="Q1692" s="399" t="s">
        <v>125</v>
      </c>
      <c r="R1692" s="399">
        <f t="shared" ref="R1692" si="5390">IF(P1692&gt;0,$F$18*F1692/1000,0)</f>
        <v>0</v>
      </c>
      <c r="S1692" s="399" t="s">
        <v>205</v>
      </c>
      <c r="T1692" s="399" t="s">
        <v>125</v>
      </c>
      <c r="U1692" s="401">
        <f t="shared" si="5379"/>
        <v>1.5782400000000001</v>
      </c>
      <c r="V1692" s="399"/>
      <c r="W1692" s="399"/>
      <c r="X1692" s="399" t="s">
        <v>125</v>
      </c>
      <c r="Y1692" s="389">
        <f t="shared" ref="Y1692" si="5391">D1681</f>
        <v>1</v>
      </c>
      <c r="Z1692" s="400" t="s">
        <v>176</v>
      </c>
      <c r="AA1692" s="402">
        <f t="shared" ref="AA1692" si="5392">IF(AA1693=0,(D1692*N1692+P1692*R1692)*U1692*Y1692,0)</f>
        <v>0</v>
      </c>
      <c r="AB1692" s="403"/>
    </row>
    <row r="1693" spans="1:28">
      <c r="A1693" s="384" t="str">
        <f t="shared" ref="A1693:B1693" si="5393">A1675</f>
        <v>Lantai 1</v>
      </c>
      <c r="B1693" s="385">
        <f t="shared" si="5393"/>
        <v>54</v>
      </c>
      <c r="C1693" s="393"/>
      <c r="D1693" s="398">
        <f t="shared" si="5201"/>
        <v>4</v>
      </c>
      <c r="E1693" s="388" t="s">
        <v>16</v>
      </c>
      <c r="F1693" s="388">
        <f t="shared" si="5202"/>
        <v>16</v>
      </c>
      <c r="G1693" s="388"/>
      <c r="H1693" s="395"/>
      <c r="I1693" s="388"/>
      <c r="J1693" s="396"/>
      <c r="K1693" s="396"/>
      <c r="L1693" s="404" t="s">
        <v>207</v>
      </c>
      <c r="M1693" s="399" t="s">
        <v>176</v>
      </c>
      <c r="N1693" s="399">
        <f t="shared" ref="N1693" si="5394">IF(AND(D1690=D1691,D1690=D1692,D1691=D1692,F1690=F1691,F1690=F1692,F1691=F1692),SUM(N1690:N1692),0)</f>
        <v>4.4589999999999996</v>
      </c>
      <c r="O1693" s="399" t="s">
        <v>204</v>
      </c>
      <c r="P1693" s="389">
        <f t="shared" ref="P1693" si="5395">IF(N1693&gt;12,ROUNDDOWN(N1693/12,0),0)</f>
        <v>0</v>
      </c>
      <c r="Q1693" s="399" t="s">
        <v>125</v>
      </c>
      <c r="R1693" s="399">
        <f t="shared" ref="R1693" si="5396">IF(P1693&gt;0,MAX(VLOOKUP(F1693,$D$6:$G$15,3,FALSE),600),0)/1000</f>
        <v>0</v>
      </c>
      <c r="S1693" s="396"/>
      <c r="T1693" s="396" t="s">
        <v>125</v>
      </c>
      <c r="U1693" s="401">
        <f t="shared" si="5206"/>
        <v>1.5782400000000001</v>
      </c>
      <c r="V1693" s="396" t="s">
        <v>125</v>
      </c>
      <c r="W1693" s="399">
        <f t="shared" ref="W1693" si="5397">D1693</f>
        <v>4</v>
      </c>
      <c r="X1693" s="399" t="s">
        <v>125</v>
      </c>
      <c r="Y1693" s="389">
        <f t="shared" si="5208"/>
        <v>1</v>
      </c>
      <c r="Z1693" s="400" t="s">
        <v>176</v>
      </c>
      <c r="AA1693" s="402">
        <f t="shared" ref="AA1693" si="5398">(N1693+P1693*R1693/1000)*U1693*W1693*Y1693</f>
        <v>28.149488639999998</v>
      </c>
      <c r="AB1693" s="403"/>
    </row>
    <row r="1694" spans="1:28">
      <c r="A1694" s="384"/>
      <c r="B1694" s="385"/>
      <c r="C1694" s="393"/>
      <c r="D1694" s="394"/>
      <c r="E1694" s="388"/>
      <c r="F1694" s="388"/>
      <c r="G1694" s="388"/>
      <c r="H1694" s="395"/>
      <c r="I1694" s="388"/>
      <c r="J1694" s="399"/>
      <c r="K1694" s="396"/>
      <c r="L1694" s="396"/>
      <c r="M1694" s="396"/>
      <c r="N1694" s="396"/>
      <c r="O1694" s="396"/>
      <c r="P1694" s="389"/>
      <c r="Q1694" s="396"/>
      <c r="R1694" s="396"/>
      <c r="S1694" s="396"/>
      <c r="T1694" s="396"/>
      <c r="U1694" s="401"/>
      <c r="V1694" s="396"/>
      <c r="W1694" s="388"/>
      <c r="X1694" s="396"/>
      <c r="Y1694" s="389"/>
      <c r="Z1694" s="396"/>
      <c r="AA1694" s="388"/>
      <c r="AB1694" s="390"/>
    </row>
    <row r="1695" spans="1:28">
      <c r="A1695" s="384" t="str">
        <f t="shared" ref="A1695:B1695" si="5399">A1675</f>
        <v>Lantai 1</v>
      </c>
      <c r="B1695" s="385">
        <f t="shared" si="5399"/>
        <v>54</v>
      </c>
      <c r="C1695" s="393" t="s">
        <v>211</v>
      </c>
      <c r="D1695" s="398">
        <f>VLOOKUP(D1675,'Detail Balok'!$C$10:$AU$140,31,FALSE)</f>
        <v>0</v>
      </c>
      <c r="E1695" s="388" t="s">
        <v>16</v>
      </c>
      <c r="F1695" s="388">
        <f>VLOOKUP(D1675,'Detail Balok'!$C$10:$AU$140,33,FALSE)</f>
        <v>8</v>
      </c>
      <c r="G1695" s="405" t="s">
        <v>157</v>
      </c>
      <c r="H1695" s="395">
        <f>VLOOKUP(D1675,'Detail Balok'!$C$10:$AU$140,35,FALSE)</f>
        <v>150</v>
      </c>
      <c r="I1695" s="388"/>
      <c r="J1695" s="400">
        <f t="shared" ref="J1695" si="5400">(IF(D1695=0,(2*(D1676+G1676))-(F$5*8),IF(D1695=3,(2*(D1676+G1676))-(F$5*8)+(G1676-2*F$5),IF(D1695=4,(2*(D1676+G1676))-(F$5*8)+2*(G1676-2*F$5)))))/1000</f>
        <v>1.48</v>
      </c>
      <c r="K1695" s="400" t="s">
        <v>204</v>
      </c>
      <c r="L1695" s="399">
        <f t="shared" ref="L1695:L1697" si="5401">IF(D1695=0,2*MAX(6*F1695,75),(D1695-1)*2*MAX(6*F1695,75))/1000</f>
        <v>0.15</v>
      </c>
      <c r="M1695" s="399" t="s">
        <v>176</v>
      </c>
      <c r="N1695" s="399">
        <f t="shared" ref="N1695:N1697" si="5402">J1695+L1695</f>
        <v>1.63</v>
      </c>
      <c r="O1695" s="399"/>
      <c r="P1695" s="389"/>
      <c r="Q1695" s="399"/>
      <c r="R1695" s="399"/>
      <c r="S1695" s="399"/>
      <c r="T1695" s="399" t="s">
        <v>125</v>
      </c>
      <c r="U1695" s="401">
        <f t="shared" ref="U1695:U1697" si="5403">0.006165*F1695^2</f>
        <v>0.39456000000000002</v>
      </c>
      <c r="V1695" s="399" t="s">
        <v>125</v>
      </c>
      <c r="W1695" s="399">
        <f t="shared" ref="W1695" si="5404">IF(D1678&gt;4*G1676,ROUND(MAX(D1678/4,2*G1676)/H1695,0)+1,ROUND(D1678/H1695,0)+1)</f>
        <v>9</v>
      </c>
      <c r="X1695" s="399" t="s">
        <v>125</v>
      </c>
      <c r="Y1695" s="389">
        <f t="shared" ref="Y1695" si="5405">D1681</f>
        <v>1</v>
      </c>
      <c r="Z1695" s="400" t="s">
        <v>176</v>
      </c>
      <c r="AA1695" s="402">
        <f t="shared" ref="AA1695:AA1697" si="5406">N1695*U1695*W1695*Y1695</f>
        <v>5.7881951999999997</v>
      </c>
      <c r="AB1695" s="403"/>
    </row>
    <row r="1696" spans="1:28">
      <c r="A1696" s="384" t="str">
        <f t="shared" ref="A1696:B1696" si="5407">A1675</f>
        <v>Lantai 1</v>
      </c>
      <c r="B1696" s="385">
        <f t="shared" si="5407"/>
        <v>54</v>
      </c>
      <c r="C1696" s="393" t="s">
        <v>212</v>
      </c>
      <c r="D1696" s="398">
        <f>VLOOKUP(D1675,'Detail Balok'!$C$10:$AU$140,36,FALSE)</f>
        <v>0</v>
      </c>
      <c r="E1696" s="388" t="s">
        <v>16</v>
      </c>
      <c r="F1696" s="388">
        <f>VLOOKUP(D1675,'Detail Balok'!$C$10:$AU$140,38,FALSE)</f>
        <v>8</v>
      </c>
      <c r="G1696" s="405" t="s">
        <v>157</v>
      </c>
      <c r="H1696" s="395">
        <f>VLOOKUP(D1675,'Detail Balok'!$C$10:$AU$140,40,FALSE)</f>
        <v>200</v>
      </c>
      <c r="I1696" s="388"/>
      <c r="J1696" s="400">
        <f t="shared" ref="J1696" si="5408">(IF(D1696=0,(2*(D1676+G1676))-(F$5*8),IF(D1696=3,(2*(D1676+G1676))-(F$5*8)+(G1676-2*F$5),IF(D1696=4,(2*(D1676+G1676))-(F$5*8)+2*(G1676-2*F$5)))))/1000</f>
        <v>1.48</v>
      </c>
      <c r="K1696" s="400" t="s">
        <v>204</v>
      </c>
      <c r="L1696" s="399">
        <f t="shared" si="5401"/>
        <v>0.15</v>
      </c>
      <c r="M1696" s="399" t="s">
        <v>176</v>
      </c>
      <c r="N1696" s="399">
        <f t="shared" si="5402"/>
        <v>1.63</v>
      </c>
      <c r="O1696" s="399"/>
      <c r="P1696" s="389"/>
      <c r="Q1696" s="399"/>
      <c r="R1696" s="399"/>
      <c r="S1696" s="399"/>
      <c r="T1696" s="399" t="s">
        <v>125</v>
      </c>
      <c r="U1696" s="401">
        <f t="shared" si="5403"/>
        <v>0.39456000000000002</v>
      </c>
      <c r="V1696" s="399" t="s">
        <v>125</v>
      </c>
      <c r="W1696" s="399">
        <f t="shared" ref="W1696" si="5409">IF(D1678-MAX(D1678/4,2*G1676)*2&gt;0,ROUND((D1678-MAX(D1678/4,2*G1676)*2)/H1696,0),0)</f>
        <v>8</v>
      </c>
      <c r="X1696" s="399" t="s">
        <v>125</v>
      </c>
      <c r="Y1696" s="389">
        <f t="shared" ref="Y1696" si="5410">D1681</f>
        <v>1</v>
      </c>
      <c r="Z1696" s="400" t="s">
        <v>176</v>
      </c>
      <c r="AA1696" s="402">
        <f t="shared" si="5406"/>
        <v>5.1450623999999996</v>
      </c>
      <c r="AB1696" s="403"/>
    </row>
    <row r="1697" spans="1:28">
      <c r="A1697" s="384" t="str">
        <f t="shared" ref="A1697:B1697" si="5411">A1675</f>
        <v>Lantai 1</v>
      </c>
      <c r="B1697" s="385">
        <f t="shared" si="5411"/>
        <v>54</v>
      </c>
      <c r="C1697" s="393" t="s">
        <v>211</v>
      </c>
      <c r="D1697" s="398">
        <f>VLOOKUP(D1675,'Detail Balok'!$C$10:$AU$140,41,FALSE)</f>
        <v>0</v>
      </c>
      <c r="E1697" s="388" t="s">
        <v>16</v>
      </c>
      <c r="F1697" s="388">
        <f>VLOOKUP(D1675,'Detail Balok'!$C$10:$AU$140,43,FALSE)</f>
        <v>8</v>
      </c>
      <c r="G1697" s="405" t="s">
        <v>157</v>
      </c>
      <c r="H1697" s="395">
        <f>VLOOKUP(D1675,'Detail Balok'!$C$10:$AU$140,45,FALSE)</f>
        <v>150</v>
      </c>
      <c r="I1697" s="388"/>
      <c r="J1697" s="400">
        <f t="shared" ref="J1697" si="5412">(IF(D1697=0,(2*(D1676+G1676))-(F$5*8),IF(D1697=3,(2*(D1676+G1676))-(F$5*8)+(G1676-2*F$5),IF(D1697=4,(2*(D1676+G1676))-(F$5*8)+2*(G1676-2*F$5)))))/1000</f>
        <v>1.48</v>
      </c>
      <c r="K1697" s="400" t="s">
        <v>204</v>
      </c>
      <c r="L1697" s="399">
        <f t="shared" si="5401"/>
        <v>0.15</v>
      </c>
      <c r="M1697" s="399" t="s">
        <v>176</v>
      </c>
      <c r="N1697" s="399">
        <f t="shared" si="5402"/>
        <v>1.63</v>
      </c>
      <c r="O1697" s="399"/>
      <c r="P1697" s="389"/>
      <c r="Q1697" s="399"/>
      <c r="R1697" s="399"/>
      <c r="S1697" s="399"/>
      <c r="T1697" s="399" t="s">
        <v>125</v>
      </c>
      <c r="U1697" s="401">
        <f t="shared" si="5403"/>
        <v>0.39456000000000002</v>
      </c>
      <c r="V1697" s="399" t="s">
        <v>125</v>
      </c>
      <c r="W1697" s="399">
        <f t="shared" ref="W1697" si="5413">IF(D1678&gt;4*G1676,ROUND(MAX(D1678/4,2*G1676)/H1697,0)+1,0)</f>
        <v>9</v>
      </c>
      <c r="X1697" s="399" t="s">
        <v>125</v>
      </c>
      <c r="Y1697" s="389">
        <f t="shared" ref="Y1697" si="5414">D1681</f>
        <v>1</v>
      </c>
      <c r="Z1697" s="400" t="s">
        <v>176</v>
      </c>
      <c r="AA1697" s="402">
        <f t="shared" si="5406"/>
        <v>5.7881951999999997</v>
      </c>
      <c r="AB1697" s="403"/>
    </row>
    <row r="1698" spans="1:28">
      <c r="A1698" s="384"/>
      <c r="B1698" s="385"/>
      <c r="C1698" s="393"/>
      <c r="D1698" s="394"/>
      <c r="E1698" s="388"/>
      <c r="F1698" s="388"/>
      <c r="G1698" s="388"/>
      <c r="H1698" s="395"/>
      <c r="I1698" s="388"/>
      <c r="J1698" s="399"/>
      <c r="K1698" s="396"/>
      <c r="L1698" s="396"/>
      <c r="M1698" s="396"/>
      <c r="N1698" s="396"/>
      <c r="O1698" s="396"/>
      <c r="P1698" s="389"/>
      <c r="Q1698" s="396"/>
      <c r="R1698" s="396"/>
      <c r="S1698" s="396"/>
      <c r="T1698" s="396"/>
      <c r="U1698" s="401"/>
      <c r="V1698" s="396"/>
      <c r="W1698" s="388"/>
      <c r="X1698" s="396"/>
      <c r="Y1698" s="389"/>
      <c r="Z1698" s="396"/>
      <c r="AA1698" s="388"/>
      <c r="AB1698" s="390"/>
    </row>
    <row r="1699" spans="1:28">
      <c r="A1699" s="384" t="str">
        <f t="shared" ref="A1699:B1699" si="5415">A1675</f>
        <v>Lantai 1</v>
      </c>
      <c r="B1699" s="385">
        <f t="shared" si="5415"/>
        <v>54</v>
      </c>
      <c r="C1699" s="393" t="s">
        <v>213</v>
      </c>
      <c r="D1699" s="398">
        <f>VLOOKUP(D1675,'Detail Balok'!$C$10:$BJ$140,46,FALSE)</f>
        <v>0</v>
      </c>
      <c r="E1699" s="388" t="s">
        <v>16</v>
      </c>
      <c r="F1699" s="388">
        <f>VLOOKUP(D1675,'Detail Balok'!$C$10:$BJ$140,48,FALSE)</f>
        <v>0</v>
      </c>
      <c r="G1699" s="405" t="s">
        <v>157</v>
      </c>
      <c r="H1699" s="395">
        <f>VLOOKUP(D1675,'Detail Balok'!$C$10:$BJ$140,50,FALSE)</f>
        <v>100</v>
      </c>
      <c r="I1699" s="388"/>
      <c r="J1699" s="399">
        <f t="shared" ref="J1699" si="5416">(D1676-2*F$5)/1000</f>
        <v>0.22</v>
      </c>
      <c r="K1699" s="400" t="s">
        <v>204</v>
      </c>
      <c r="L1699" s="399">
        <f t="shared" ref="L1699:L1701" si="5417">IF(D1699=0,2*MAX(6*F1699,75),(D1699-1)*2*MAX(6*F1699,75))/1000</f>
        <v>0.15</v>
      </c>
      <c r="M1699" s="399" t="s">
        <v>176</v>
      </c>
      <c r="N1699" s="399">
        <f t="shared" ref="N1699:N1701" si="5418">J1699+L1699</f>
        <v>0.37</v>
      </c>
      <c r="O1699" s="399"/>
      <c r="P1699" s="399"/>
      <c r="Q1699" s="399"/>
      <c r="R1699" s="399"/>
      <c r="S1699" s="399"/>
      <c r="T1699" s="399" t="s">
        <v>125</v>
      </c>
      <c r="U1699" s="401">
        <f t="shared" ref="U1699:U1701" si="5419">0.006165*F1699^2</f>
        <v>0</v>
      </c>
      <c r="V1699" s="399" t="s">
        <v>125</v>
      </c>
      <c r="W1699" s="399">
        <f t="shared" si="5231"/>
        <v>9</v>
      </c>
      <c r="X1699" s="399" t="s">
        <v>125</v>
      </c>
      <c r="Y1699" s="389">
        <f t="shared" ref="Y1699" si="5420">D1685</f>
        <v>4</v>
      </c>
      <c r="Z1699" s="400" t="s">
        <v>176</v>
      </c>
      <c r="AA1699" s="402">
        <f t="shared" ref="AA1699:AA1701" si="5421">N1699*U1699*W1699*Y1699</f>
        <v>0</v>
      </c>
      <c r="AB1699" s="403"/>
    </row>
    <row r="1700" spans="1:28">
      <c r="A1700" s="384" t="str">
        <f t="shared" ref="A1700:B1700" si="5422">A1675</f>
        <v>Lantai 1</v>
      </c>
      <c r="B1700" s="385">
        <f t="shared" si="5422"/>
        <v>54</v>
      </c>
      <c r="C1700" s="393" t="s">
        <v>214</v>
      </c>
      <c r="D1700" s="398">
        <f>VLOOKUP(D1675,'Detail Balok'!$C$10:$BJ$140,51,FALSE)</f>
        <v>0</v>
      </c>
      <c r="E1700" s="388" t="s">
        <v>16</v>
      </c>
      <c r="F1700" s="388">
        <f>VLOOKUP(D1675,'Detail Balok'!$C$10:$BJ$140,53,FALSE)</f>
        <v>0</v>
      </c>
      <c r="G1700" s="405" t="s">
        <v>157</v>
      </c>
      <c r="H1700" s="395">
        <f>VLOOKUP(D1675,'Detail Balok'!$C$10:$BJ$140,55,FALSE)</f>
        <v>100</v>
      </c>
      <c r="I1700" s="388"/>
      <c r="J1700" s="399">
        <f t="shared" ref="J1700" si="5423">(D1676-2*F$5)/1000</f>
        <v>0.22</v>
      </c>
      <c r="K1700" s="400" t="s">
        <v>204</v>
      </c>
      <c r="L1700" s="399">
        <f t="shared" si="5417"/>
        <v>0.15</v>
      </c>
      <c r="M1700" s="399" t="s">
        <v>176</v>
      </c>
      <c r="N1700" s="399">
        <f t="shared" si="5418"/>
        <v>0.37</v>
      </c>
      <c r="O1700" s="399"/>
      <c r="P1700" s="399"/>
      <c r="Q1700" s="399"/>
      <c r="R1700" s="399"/>
      <c r="S1700" s="399"/>
      <c r="T1700" s="399" t="s">
        <v>125</v>
      </c>
      <c r="U1700" s="401">
        <f t="shared" si="5419"/>
        <v>0</v>
      </c>
      <c r="V1700" s="399" t="s">
        <v>125</v>
      </c>
      <c r="W1700" s="399">
        <f t="shared" si="5231"/>
        <v>8</v>
      </c>
      <c r="X1700" s="399" t="s">
        <v>125</v>
      </c>
      <c r="Y1700" s="389">
        <f t="shared" ref="Y1700" si="5424">D1685</f>
        <v>4</v>
      </c>
      <c r="Z1700" s="400" t="s">
        <v>176</v>
      </c>
      <c r="AA1700" s="402">
        <f t="shared" si="5421"/>
        <v>0</v>
      </c>
      <c r="AB1700" s="403"/>
    </row>
    <row r="1701" spans="1:28">
      <c r="A1701" s="384" t="str">
        <f t="shared" ref="A1701:B1701" si="5425">A1675</f>
        <v>Lantai 1</v>
      </c>
      <c r="B1701" s="385">
        <f t="shared" si="5425"/>
        <v>54</v>
      </c>
      <c r="C1701" s="393" t="s">
        <v>213</v>
      </c>
      <c r="D1701" s="398">
        <f>VLOOKUP(D1675,'Detail Balok'!$C$10:$BJ$140,56,FALSE)</f>
        <v>0</v>
      </c>
      <c r="E1701" s="388" t="s">
        <v>16</v>
      </c>
      <c r="F1701" s="388">
        <f>VLOOKUP(D1675,'Detail Balok'!$C$10:$BJ$140,58,FALSE)</f>
        <v>0</v>
      </c>
      <c r="G1701" s="405" t="s">
        <v>157</v>
      </c>
      <c r="H1701" s="395">
        <f>VLOOKUP(D1675,'Detail Balok'!$C$10:$BJ$140,60,FALSE)</f>
        <v>100</v>
      </c>
      <c r="I1701" s="388"/>
      <c r="J1701" s="399">
        <f t="shared" ref="J1701" si="5426">(D1676-2*F$5)/1000</f>
        <v>0.22</v>
      </c>
      <c r="K1701" s="400" t="s">
        <v>204</v>
      </c>
      <c r="L1701" s="399">
        <f t="shared" si="5417"/>
        <v>0.15</v>
      </c>
      <c r="M1701" s="399" t="s">
        <v>176</v>
      </c>
      <c r="N1701" s="399">
        <f t="shared" si="5418"/>
        <v>0.37</v>
      </c>
      <c r="O1701" s="399"/>
      <c r="P1701" s="399"/>
      <c r="Q1701" s="399"/>
      <c r="R1701" s="399"/>
      <c r="S1701" s="399"/>
      <c r="T1701" s="399" t="s">
        <v>125</v>
      </c>
      <c r="U1701" s="401">
        <f t="shared" si="5419"/>
        <v>0</v>
      </c>
      <c r="V1701" s="399" t="s">
        <v>125</v>
      </c>
      <c r="W1701" s="399">
        <f t="shared" si="5231"/>
        <v>9</v>
      </c>
      <c r="X1701" s="399" t="s">
        <v>125</v>
      </c>
      <c r="Y1701" s="389">
        <f t="shared" ref="Y1701" si="5427">D1685</f>
        <v>4</v>
      </c>
      <c r="Z1701" s="400" t="s">
        <v>176</v>
      </c>
      <c r="AA1701" s="402">
        <f t="shared" si="5421"/>
        <v>0</v>
      </c>
      <c r="AB1701" s="403"/>
    </row>
    <row r="1702" spans="1:28">
      <c r="A1702" s="391"/>
      <c r="B1702" s="392"/>
      <c r="C1702" s="392"/>
      <c r="D1702" s="394"/>
      <c r="E1702" s="388"/>
      <c r="F1702" s="388"/>
      <c r="G1702" s="388"/>
      <c r="H1702" s="395"/>
      <c r="I1702" s="388"/>
      <c r="J1702" s="402"/>
      <c r="K1702" s="388"/>
      <c r="L1702" s="388"/>
      <c r="M1702" s="388"/>
      <c r="N1702" s="388"/>
      <c r="O1702" s="388"/>
      <c r="P1702" s="388"/>
      <c r="Q1702" s="388"/>
      <c r="R1702" s="388"/>
      <c r="S1702" s="388"/>
      <c r="T1702" s="388"/>
      <c r="U1702" s="388"/>
      <c r="V1702" s="388"/>
      <c r="W1702" s="388"/>
      <c r="X1702" s="388"/>
      <c r="Y1702" s="389"/>
      <c r="Z1702" s="388"/>
      <c r="AA1702" s="402"/>
      <c r="AB1702" s="403"/>
    </row>
    <row r="1703" spans="1:28" ht="15.75" thickBot="1">
      <c r="A1703" s="406"/>
      <c r="B1703" s="407"/>
      <c r="C1703" s="407"/>
      <c r="D1703" s="408"/>
      <c r="E1703" s="409"/>
      <c r="F1703" s="409"/>
      <c r="G1703" s="409"/>
      <c r="H1703" s="410"/>
      <c r="I1703" s="409"/>
      <c r="J1703" s="409"/>
      <c r="K1703" s="409"/>
      <c r="L1703" s="409"/>
      <c r="M1703" s="409"/>
      <c r="N1703" s="409"/>
      <c r="O1703" s="409"/>
      <c r="P1703" s="409"/>
      <c r="Q1703" s="409"/>
      <c r="R1703" s="409"/>
      <c r="S1703" s="409"/>
      <c r="T1703" s="409"/>
      <c r="U1703" s="409"/>
      <c r="V1703" s="409"/>
      <c r="W1703" s="409"/>
      <c r="X1703" s="409"/>
      <c r="Y1703" s="411"/>
      <c r="Z1703" s="409"/>
      <c r="AA1703" s="412"/>
      <c r="AB1703" s="413"/>
    </row>
    <row r="1704" spans="1:28">
      <c r="A1704" s="377"/>
      <c r="B1704" s="378"/>
      <c r="C1704" s="378"/>
      <c r="D1704" s="379"/>
      <c r="E1704" s="380"/>
      <c r="F1704" s="380"/>
      <c r="G1704" s="380"/>
      <c r="H1704" s="381"/>
      <c r="I1704" s="380"/>
      <c r="J1704" s="380"/>
      <c r="K1704" s="380"/>
      <c r="L1704" s="380"/>
      <c r="M1704" s="380"/>
      <c r="N1704" s="380"/>
      <c r="O1704" s="380"/>
      <c r="P1704" s="380"/>
      <c r="Q1704" s="380"/>
      <c r="R1704" s="380"/>
      <c r="S1704" s="380"/>
      <c r="T1704" s="380"/>
      <c r="U1704" s="380"/>
      <c r="V1704" s="380"/>
      <c r="W1704" s="380"/>
      <c r="X1704" s="380"/>
      <c r="Y1704" s="382"/>
      <c r="Z1704" s="380"/>
      <c r="AA1704" s="380"/>
      <c r="AB1704" s="383"/>
    </row>
    <row r="1705" spans="1:28">
      <c r="A1705" s="384" t="str">
        <f t="shared" si="5240"/>
        <v>Lantai 1</v>
      </c>
      <c r="B1705" s="385">
        <f t="shared" si="5241"/>
        <v>55</v>
      </c>
      <c r="C1705" s="386" t="str">
        <f t="shared" ref="C1705" si="5428">CONCATENATE(A1705," no. ",B1705)</f>
        <v>Lantai 1 no. 55</v>
      </c>
      <c r="D1705" s="2562" t="str">
        <f>VLOOKUP(C1705,'Data Panjang Balok'!$C$9:$N$254,2,FALSE)</f>
        <v>S24-1</v>
      </c>
      <c r="E1705" s="2576"/>
      <c r="F1705" s="2576"/>
      <c r="G1705" s="2576"/>
      <c r="H1705" s="2577"/>
      <c r="I1705" s="387"/>
      <c r="J1705" s="388"/>
      <c r="K1705" s="388"/>
      <c r="L1705" s="388"/>
      <c r="M1705" s="388"/>
      <c r="N1705" s="388"/>
      <c r="O1705" s="388"/>
      <c r="P1705" s="388"/>
      <c r="Q1705" s="388"/>
      <c r="R1705" s="388"/>
      <c r="S1705" s="388"/>
      <c r="T1705" s="388"/>
      <c r="U1705" s="388"/>
      <c r="V1705" s="388"/>
      <c r="W1705" s="388"/>
      <c r="X1705" s="388"/>
      <c r="Y1705" s="389"/>
      <c r="Z1705" s="388"/>
      <c r="AA1705" s="388"/>
      <c r="AB1705" s="390"/>
    </row>
    <row r="1706" spans="1:28">
      <c r="A1706" s="391"/>
      <c r="B1706" s="392"/>
      <c r="C1706" s="393" t="s">
        <v>118</v>
      </c>
      <c r="D1706" s="2578">
        <f>VLOOKUP(D1705,'Detail Balok'!$C$10:$AU$140,2,FALSE)</f>
        <v>200</v>
      </c>
      <c r="E1706" s="2579"/>
      <c r="F1706" s="388" t="s">
        <v>125</v>
      </c>
      <c r="G1706" s="2579">
        <f>VLOOKUP(D1705,'Detail Balok'!$C$10:$AU$140,3,FALSE)</f>
        <v>400</v>
      </c>
      <c r="H1706" s="2580"/>
      <c r="I1706" s="388"/>
      <c r="J1706" s="396"/>
      <c r="K1706" s="396"/>
      <c r="L1706" s="396"/>
      <c r="M1706" s="396"/>
      <c r="N1706" s="396"/>
      <c r="O1706" s="396"/>
      <c r="P1706" s="396"/>
      <c r="Q1706" s="396"/>
      <c r="R1706" s="396"/>
      <c r="S1706" s="396"/>
      <c r="T1706" s="396"/>
      <c r="U1706" s="388"/>
      <c r="V1706" s="396"/>
      <c r="W1706" s="388"/>
      <c r="X1706" s="396"/>
      <c r="Y1706" s="389"/>
      <c r="Z1706" s="396"/>
      <c r="AA1706" s="388"/>
      <c r="AB1706" s="390"/>
    </row>
    <row r="1707" spans="1:28">
      <c r="A1707" s="391"/>
      <c r="B1707" s="392"/>
      <c r="C1707" s="393" t="s">
        <v>198</v>
      </c>
      <c r="D1707" s="2562">
        <f>VLOOKUP(C1705,'Data Panjang Balok'!$C$9:$N$254,4,FALSE)</f>
        <v>1780</v>
      </c>
      <c r="E1707" s="2563"/>
      <c r="F1707" s="2563"/>
      <c r="G1707" s="2563"/>
      <c r="H1707" s="2564"/>
      <c r="I1707" s="397"/>
      <c r="J1707" s="396"/>
      <c r="K1707" s="396"/>
      <c r="L1707" s="396"/>
      <c r="M1707" s="396"/>
      <c r="N1707" s="396"/>
      <c r="O1707" s="396"/>
      <c r="P1707" s="396"/>
      <c r="Q1707" s="396"/>
      <c r="R1707" s="396"/>
      <c r="S1707" s="396"/>
      <c r="T1707" s="396"/>
      <c r="U1707" s="388"/>
      <c r="V1707" s="396"/>
      <c r="W1707" s="388"/>
      <c r="X1707" s="396"/>
      <c r="Y1707" s="389"/>
      <c r="Z1707" s="396"/>
      <c r="AA1707" s="388"/>
      <c r="AB1707" s="390"/>
    </row>
    <row r="1708" spans="1:28">
      <c r="A1708" s="391"/>
      <c r="B1708" s="392"/>
      <c r="C1708" s="393" t="s">
        <v>199</v>
      </c>
      <c r="D1708" s="2562">
        <f>VLOOKUP(C1705,'Data Panjang Balok'!$C$9:$N$254,7,FALSE)</f>
        <v>1780</v>
      </c>
      <c r="E1708" s="2563"/>
      <c r="F1708" s="2563"/>
      <c r="G1708" s="2563"/>
      <c r="H1708" s="2564"/>
      <c r="I1708" s="397"/>
      <c r="J1708" s="396"/>
      <c r="K1708" s="396"/>
      <c r="L1708" s="396"/>
      <c r="M1708" s="396"/>
      <c r="N1708" s="396"/>
      <c r="O1708" s="396"/>
      <c r="P1708" s="396"/>
      <c r="Q1708" s="396"/>
      <c r="R1708" s="396"/>
      <c r="S1708" s="396"/>
      <c r="T1708" s="396"/>
      <c r="U1708" s="388"/>
      <c r="V1708" s="396"/>
      <c r="W1708" s="388"/>
      <c r="X1708" s="396"/>
      <c r="Y1708" s="389"/>
      <c r="Z1708" s="396"/>
      <c r="AA1708" s="388"/>
      <c r="AB1708" s="390"/>
    </row>
    <row r="1709" spans="1:28">
      <c r="A1709" s="391"/>
      <c r="B1709" s="392"/>
      <c r="C1709" s="393" t="s">
        <v>200</v>
      </c>
      <c r="D1709" s="2562">
        <f>VLOOKUP(C1705,'Data Panjang Balok'!$C$9:$N$254,9,FALSE)</f>
        <v>0</v>
      </c>
      <c r="E1709" s="2563"/>
      <c r="F1709" s="2563"/>
      <c r="G1709" s="2563"/>
      <c r="H1709" s="2564"/>
      <c r="I1709" s="397"/>
      <c r="J1709" s="396"/>
      <c r="K1709" s="396"/>
      <c r="L1709" s="396"/>
      <c r="M1709" s="396"/>
      <c r="N1709" s="396"/>
      <c r="O1709" s="396"/>
      <c r="P1709" s="396"/>
      <c r="Q1709" s="396"/>
      <c r="R1709" s="396"/>
      <c r="S1709" s="396"/>
      <c r="T1709" s="396"/>
      <c r="U1709" s="388"/>
      <c r="V1709" s="396"/>
      <c r="W1709" s="388"/>
      <c r="X1709" s="396"/>
      <c r="Y1709" s="389"/>
      <c r="Z1709" s="396"/>
      <c r="AA1709" s="388"/>
      <c r="AB1709" s="390"/>
    </row>
    <row r="1710" spans="1:28">
      <c r="A1710" s="391"/>
      <c r="B1710" s="392"/>
      <c r="C1710" s="393" t="s">
        <v>201</v>
      </c>
      <c r="D1710" s="2562">
        <f>VLOOKUP(C1705,'Data Panjang Balok'!$C$9:$N$254,10,FALSE)</f>
        <v>0</v>
      </c>
      <c r="E1710" s="2563"/>
      <c r="F1710" s="2563"/>
      <c r="G1710" s="2563"/>
      <c r="H1710" s="2564"/>
      <c r="I1710" s="397"/>
      <c r="J1710" s="396"/>
      <c r="K1710" s="396"/>
      <c r="L1710" s="396"/>
      <c r="M1710" s="396"/>
      <c r="N1710" s="396"/>
      <c r="O1710" s="396"/>
      <c r="P1710" s="396"/>
      <c r="Q1710" s="396"/>
      <c r="R1710" s="396"/>
      <c r="S1710" s="396"/>
      <c r="T1710" s="396"/>
      <c r="U1710" s="388"/>
      <c r="V1710" s="396"/>
      <c r="W1710" s="388"/>
      <c r="X1710" s="396"/>
      <c r="Y1710" s="389"/>
      <c r="Z1710" s="396"/>
      <c r="AA1710" s="388"/>
      <c r="AB1710" s="390"/>
    </row>
    <row r="1711" spans="1:28">
      <c r="A1711" s="391"/>
      <c r="B1711" s="392"/>
      <c r="C1711" s="393" t="s">
        <v>48</v>
      </c>
      <c r="D1711" s="2562">
        <f>VLOOKUP(C1705,'Data Panjang Balok'!$C$9:$N$254,3,FALSE)</f>
        <v>1</v>
      </c>
      <c r="E1711" s="2563"/>
      <c r="F1711" s="2563"/>
      <c r="G1711" s="2563"/>
      <c r="H1711" s="2564"/>
      <c r="I1711" s="397"/>
      <c r="J1711" s="396"/>
      <c r="K1711" s="396"/>
      <c r="L1711" s="396"/>
      <c r="M1711" s="396"/>
      <c r="N1711" s="396"/>
      <c r="O1711" s="396"/>
      <c r="P1711" s="396"/>
      <c r="Q1711" s="396"/>
      <c r="R1711" s="396"/>
      <c r="S1711" s="396"/>
      <c r="T1711" s="396"/>
      <c r="U1711" s="388"/>
      <c r="V1711" s="396"/>
      <c r="W1711" s="388"/>
      <c r="X1711" s="396"/>
      <c r="Y1711" s="389"/>
      <c r="Z1711" s="396"/>
      <c r="AA1711" s="388"/>
      <c r="AB1711" s="390"/>
    </row>
    <row r="1712" spans="1:28">
      <c r="A1712" s="384" t="str">
        <f t="shared" ref="A1712:B1712" si="5429">A1705</f>
        <v>Lantai 1</v>
      </c>
      <c r="B1712" s="385">
        <f t="shared" si="5429"/>
        <v>55</v>
      </c>
      <c r="C1712" s="393" t="s">
        <v>202</v>
      </c>
      <c r="D1712" s="398">
        <f>VLOOKUP(D1705,'Detail Balok'!$C$10:$AU$140,4,FALSE)</f>
        <v>3</v>
      </c>
      <c r="E1712" s="388" t="s">
        <v>16</v>
      </c>
      <c r="F1712" s="388">
        <f>VLOOKUP(D1705,'Detail Balok'!$C$10:$AU$140,6,FALSE)</f>
        <v>13</v>
      </c>
      <c r="G1712" s="388"/>
      <c r="H1712" s="395"/>
      <c r="I1712" s="388" t="s">
        <v>203</v>
      </c>
      <c r="J1712" s="399">
        <f t="shared" ref="J1712" si="5430">+D1707/4/1000</f>
        <v>0.44500000000000001</v>
      </c>
      <c r="K1712" s="400" t="s">
        <v>204</v>
      </c>
      <c r="L1712" s="399">
        <f t="shared" ref="L1712" si="5431">MAX(VLOOKUP(F1712,N$6:P$15,3,FALSE)/1000,2/3*D1709/1000)+F$16*F1712/1000</f>
        <v>0.156</v>
      </c>
      <c r="M1712" s="399" t="s">
        <v>176</v>
      </c>
      <c r="N1712" s="399">
        <f t="shared" ref="N1712:N1714" si="5432">J1712+L1712</f>
        <v>0.60099999999999998</v>
      </c>
      <c r="O1712" s="399" t="s">
        <v>204</v>
      </c>
      <c r="P1712" s="389">
        <f t="shared" ref="P1712" si="5433">D1712-D1713</f>
        <v>0</v>
      </c>
      <c r="Q1712" s="399" t="s">
        <v>125</v>
      </c>
      <c r="R1712" s="399">
        <f t="shared" ref="R1712" si="5434">IF(P1712&gt;0,$F$18*F1712/1000,0)</f>
        <v>0</v>
      </c>
      <c r="S1712" s="399" t="s">
        <v>205</v>
      </c>
      <c r="T1712" s="399" t="s">
        <v>125</v>
      </c>
      <c r="U1712" s="401">
        <f t="shared" ref="U1712:U1714" si="5435">0.006165*F1712^2</f>
        <v>1.041885</v>
      </c>
      <c r="V1712" s="399"/>
      <c r="W1712" s="399"/>
      <c r="X1712" s="399" t="s">
        <v>125</v>
      </c>
      <c r="Y1712" s="389">
        <f t="shared" ref="Y1712" si="5436">D1711</f>
        <v>1</v>
      </c>
      <c r="Z1712" s="400" t="s">
        <v>176</v>
      </c>
      <c r="AA1712" s="402">
        <f t="shared" ref="AA1712" si="5437">IF(AA1715=0,(D1712*N1712+P1712*R1712)*U1712*Y1712,0)</f>
        <v>0</v>
      </c>
      <c r="AB1712" s="403"/>
    </row>
    <row r="1713" spans="1:28">
      <c r="A1713" s="384" t="str">
        <f t="shared" ref="A1713:B1713" si="5438">A1705</f>
        <v>Lantai 1</v>
      </c>
      <c r="B1713" s="385">
        <f t="shared" si="5438"/>
        <v>55</v>
      </c>
      <c r="C1713" s="393" t="s">
        <v>206</v>
      </c>
      <c r="D1713" s="398">
        <f>VLOOKUP(D1705,'Detail Balok'!$C$10:$AU$140,7,FALSE)</f>
        <v>3</v>
      </c>
      <c r="E1713" s="388" t="s">
        <v>16</v>
      </c>
      <c r="F1713" s="388">
        <f>VLOOKUP(D1705,'Detail Balok'!$C$10:$AU$140,9,FALSE)</f>
        <v>13</v>
      </c>
      <c r="G1713" s="388"/>
      <c r="H1713" s="395"/>
      <c r="I1713" s="388" t="s">
        <v>203</v>
      </c>
      <c r="J1713" s="399">
        <f t="shared" ref="J1713" si="5439">+D1707/2/1000</f>
        <v>0.89</v>
      </c>
      <c r="K1713" s="400" t="s">
        <v>204</v>
      </c>
      <c r="L1713" s="399"/>
      <c r="M1713" s="399" t="s">
        <v>176</v>
      </c>
      <c r="N1713" s="399">
        <f t="shared" si="5432"/>
        <v>0.89</v>
      </c>
      <c r="O1713" s="399" t="s">
        <v>204</v>
      </c>
      <c r="P1713" s="389">
        <f t="shared" ref="P1713" si="5440">MAX(D1713-D1712,D1713-D1714)</f>
        <v>0</v>
      </c>
      <c r="Q1713" s="399" t="s">
        <v>125</v>
      </c>
      <c r="R1713" s="399">
        <f t="shared" ref="R1713" si="5441">IF(P1713&gt;0,2*(1-2*$F$19-1/2)*D1708/1000,0)</f>
        <v>0</v>
      </c>
      <c r="S1713" s="399" t="s">
        <v>205</v>
      </c>
      <c r="T1713" s="399" t="s">
        <v>125</v>
      </c>
      <c r="U1713" s="401">
        <f t="shared" si="5435"/>
        <v>1.041885</v>
      </c>
      <c r="V1713" s="399"/>
      <c r="W1713" s="399"/>
      <c r="X1713" s="399" t="s">
        <v>125</v>
      </c>
      <c r="Y1713" s="389">
        <f t="shared" ref="Y1713" si="5442">D1711</f>
        <v>1</v>
      </c>
      <c r="Z1713" s="400" t="s">
        <v>176</v>
      </c>
      <c r="AA1713" s="402">
        <f t="shared" ref="AA1713" si="5443">IF(AA1715=0,(D1713*N1713+P1713*R1713)*U1713*Y1713,0)</f>
        <v>0</v>
      </c>
      <c r="AB1713" s="403"/>
    </row>
    <row r="1714" spans="1:28">
      <c r="A1714" s="384" t="str">
        <f t="shared" ref="A1714:B1714" si="5444">A1705</f>
        <v>Lantai 1</v>
      </c>
      <c r="B1714" s="385">
        <f t="shared" si="5444"/>
        <v>55</v>
      </c>
      <c r="C1714" s="393" t="s">
        <v>202</v>
      </c>
      <c r="D1714" s="398">
        <f>VLOOKUP(D1705,'Detail Balok'!$C$10:$AU$140,10,FALSE)</f>
        <v>3</v>
      </c>
      <c r="E1714" s="388" t="s">
        <v>16</v>
      </c>
      <c r="F1714" s="388">
        <f>VLOOKUP(D1705,'Detail Balok'!$C$10:$AU$140,12,FALSE)</f>
        <v>13</v>
      </c>
      <c r="G1714" s="388"/>
      <c r="H1714" s="395"/>
      <c r="I1714" s="388" t="s">
        <v>203</v>
      </c>
      <c r="J1714" s="399">
        <f t="shared" ref="J1714" si="5445">+D1707/4/1000</f>
        <v>0.44500000000000001</v>
      </c>
      <c r="K1714" s="400" t="s">
        <v>204</v>
      </c>
      <c r="L1714" s="399">
        <f t="shared" ref="L1714" si="5446">MAX(VLOOKUP(F1714,N$6:P$15,3,FALSE)/1000,2/3*D1709/1000)+F$16*F1714/1000</f>
        <v>0.156</v>
      </c>
      <c r="M1714" s="399" t="s">
        <v>176</v>
      </c>
      <c r="N1714" s="399">
        <f t="shared" si="5432"/>
        <v>0.60099999999999998</v>
      </c>
      <c r="O1714" s="399" t="s">
        <v>204</v>
      </c>
      <c r="P1714" s="389">
        <f t="shared" ref="P1714" si="5447">D1714-D1713</f>
        <v>0</v>
      </c>
      <c r="Q1714" s="399" t="s">
        <v>125</v>
      </c>
      <c r="R1714" s="399">
        <f t="shared" ref="R1714" si="5448">IF(P1714&gt;0,$F$18*F1714/1000,0)</f>
        <v>0</v>
      </c>
      <c r="S1714" s="399" t="s">
        <v>205</v>
      </c>
      <c r="T1714" s="399" t="s">
        <v>125</v>
      </c>
      <c r="U1714" s="401">
        <f t="shared" si="5435"/>
        <v>1.041885</v>
      </c>
      <c r="V1714" s="399"/>
      <c r="W1714" s="399"/>
      <c r="X1714" s="399" t="s">
        <v>125</v>
      </c>
      <c r="Y1714" s="389">
        <f t="shared" ref="Y1714" si="5449">D1711</f>
        <v>1</v>
      </c>
      <c r="Z1714" s="400" t="s">
        <v>176</v>
      </c>
      <c r="AA1714" s="402">
        <f t="shared" ref="AA1714" si="5450">IF(AA1715=0,(D1714*N1714+P1714*R1714)*U1714*Y1714,0)</f>
        <v>0</v>
      </c>
      <c r="AB1714" s="403"/>
    </row>
    <row r="1715" spans="1:28">
      <c r="A1715" s="384" t="str">
        <f t="shared" ref="A1715:B1715" si="5451">A1705</f>
        <v>Lantai 1</v>
      </c>
      <c r="B1715" s="385">
        <f t="shared" si="5451"/>
        <v>55</v>
      </c>
      <c r="C1715" s="393"/>
      <c r="D1715" s="398">
        <f t="shared" ref="D1715:D1775" si="5452">IF(AND(D1712=D1713,D1713=D1714,D1712=D1714),D1712,0)</f>
        <v>3</v>
      </c>
      <c r="E1715" s="388" t="s">
        <v>16</v>
      </c>
      <c r="F1715" s="388">
        <f t="shared" ref="F1715:F1775" si="5453">IF(AND(F1712=F1713,F1712=F1714,F1713=F1714),F1712,0)</f>
        <v>13</v>
      </c>
      <c r="G1715" s="388"/>
      <c r="H1715" s="395"/>
      <c r="I1715" s="388"/>
      <c r="J1715" s="396"/>
      <c r="K1715" s="396"/>
      <c r="L1715" s="404" t="s">
        <v>207</v>
      </c>
      <c r="M1715" s="399" t="s">
        <v>176</v>
      </c>
      <c r="N1715" s="399">
        <f t="shared" ref="N1715" si="5454">IF(AND(D1712=D1713,D1712=D1714,D1713=D1714,F1712=F1713,F1712=F1714,F1713=F1714),SUM(N1712:N1714),0)</f>
        <v>2.0920000000000001</v>
      </c>
      <c r="O1715" s="399" t="s">
        <v>204</v>
      </c>
      <c r="P1715" s="389">
        <f t="shared" ref="P1715" si="5455">IF(N1715&gt;12,ROUNDDOWN(N1715/12,0),0)</f>
        <v>0</v>
      </c>
      <c r="Q1715" s="399" t="s">
        <v>125</v>
      </c>
      <c r="R1715" s="399">
        <f t="shared" ref="R1715" si="5456">IF(P1715&gt;0,MAX(VLOOKUP(F1715,$D$6:$G$15,3,FALSE),600),0)/1000</f>
        <v>0</v>
      </c>
      <c r="S1715" s="396"/>
      <c r="T1715" s="396" t="s">
        <v>125</v>
      </c>
      <c r="U1715" s="401">
        <f t="shared" ref="U1715:U1775" si="5457">U1714</f>
        <v>1.041885</v>
      </c>
      <c r="V1715" s="396" t="s">
        <v>125</v>
      </c>
      <c r="W1715" s="399">
        <f t="shared" ref="W1715" si="5458">D1715</f>
        <v>3</v>
      </c>
      <c r="X1715" s="399" t="s">
        <v>125</v>
      </c>
      <c r="Y1715" s="389">
        <f t="shared" ref="Y1715:Y1775" si="5459">Y1714</f>
        <v>1</v>
      </c>
      <c r="Z1715" s="400" t="s">
        <v>176</v>
      </c>
      <c r="AA1715" s="402">
        <f t="shared" ref="AA1715" si="5460">(N1715+P1715*R1715/1000)*U1715*W1715*Y1715</f>
        <v>6.5388702599999995</v>
      </c>
      <c r="AB1715" s="390"/>
    </row>
    <row r="1716" spans="1:28">
      <c r="A1716" s="384"/>
      <c r="B1716" s="385"/>
      <c r="C1716" s="393"/>
      <c r="D1716" s="398"/>
      <c r="E1716" s="388"/>
      <c r="F1716" s="388"/>
      <c r="G1716" s="388"/>
      <c r="H1716" s="395"/>
      <c r="I1716" s="388"/>
      <c r="J1716" s="396"/>
      <c r="K1716" s="396"/>
      <c r="L1716" s="404"/>
      <c r="M1716" s="399"/>
      <c r="N1716" s="399"/>
      <c r="O1716" s="396"/>
      <c r="P1716" s="389"/>
      <c r="Q1716" s="396"/>
      <c r="R1716" s="396"/>
      <c r="S1716" s="396"/>
      <c r="T1716" s="396"/>
      <c r="U1716" s="401"/>
      <c r="V1716" s="396"/>
      <c r="W1716" s="399"/>
      <c r="X1716" s="396"/>
      <c r="Y1716" s="389"/>
      <c r="Z1716" s="396"/>
      <c r="AA1716" s="388"/>
      <c r="AB1716" s="390"/>
    </row>
    <row r="1717" spans="1:28">
      <c r="A1717" s="384" t="str">
        <f t="shared" ref="A1717:B1717" si="5461">A1705</f>
        <v>Lantai 1</v>
      </c>
      <c r="B1717" s="385">
        <f t="shared" si="5461"/>
        <v>55</v>
      </c>
      <c r="C1717" s="393" t="s">
        <v>208</v>
      </c>
      <c r="D1717" s="398">
        <f>VLOOKUP(D1705,'Detail Balok'!$C$10:$AU$140,13,FALSE)</f>
        <v>0</v>
      </c>
      <c r="E1717" s="388" t="s">
        <v>16</v>
      </c>
      <c r="F1717" s="388">
        <f>VLOOKUP(D1705,'Detail Balok'!$C$10:$AU$140,15,FALSE)</f>
        <v>8</v>
      </c>
      <c r="G1717" s="388"/>
      <c r="H1717" s="395"/>
      <c r="I1717" s="388"/>
      <c r="J1717" s="399">
        <f t="shared" ref="J1717" si="5462">+D1707/1000</f>
        <v>1.78</v>
      </c>
      <c r="K1717" s="400" t="s">
        <v>204</v>
      </c>
      <c r="L1717" s="399">
        <f t="shared" ref="L1717" si="5463">2*$F$16*F1717/1000</f>
        <v>0.192</v>
      </c>
      <c r="M1717" s="399" t="s">
        <v>176</v>
      </c>
      <c r="N1717" s="399">
        <f t="shared" ref="N1717" si="5464">J1717+L1717</f>
        <v>1.972</v>
      </c>
      <c r="O1717" s="399" t="s">
        <v>204</v>
      </c>
      <c r="P1717" s="389">
        <f t="shared" ref="P1717" si="5465">IF(N1717&gt;12,ROUNDDOWN(N1717/12,0),0)</f>
        <v>0</v>
      </c>
      <c r="Q1717" s="399" t="s">
        <v>125</v>
      </c>
      <c r="R1717" s="399">
        <f t="shared" ref="R1717" si="5466">IF(P1717&gt;0,MAX(VLOOKUP(F1717,$D$6:$G$15,3,FALSE),600),0)/1000</f>
        <v>0</v>
      </c>
      <c r="S1717" s="399"/>
      <c r="T1717" s="399" t="s">
        <v>125</v>
      </c>
      <c r="U1717" s="401">
        <f t="shared" ref="U1717" si="5467">0.006165*F1717^2</f>
        <v>0.39456000000000002</v>
      </c>
      <c r="V1717" s="399" t="s">
        <v>125</v>
      </c>
      <c r="W1717" s="399">
        <f t="shared" ref="W1717" si="5468">+D1717</f>
        <v>0</v>
      </c>
      <c r="X1717" s="399" t="s">
        <v>125</v>
      </c>
      <c r="Y1717" s="389">
        <f t="shared" ref="Y1717" si="5469">D1711</f>
        <v>1</v>
      </c>
      <c r="Z1717" s="400" t="s">
        <v>176</v>
      </c>
      <c r="AA1717" s="402">
        <f t="shared" ref="AA1717" si="5470">(N1717+P1717*R1717/1000)*U1717*W1717*Y1717</f>
        <v>0</v>
      </c>
      <c r="AB1717" s="403"/>
    </row>
    <row r="1718" spans="1:28">
      <c r="A1718" s="384"/>
      <c r="B1718" s="385"/>
      <c r="C1718" s="393"/>
      <c r="D1718" s="398"/>
      <c r="E1718" s="388"/>
      <c r="F1718" s="388"/>
      <c r="G1718" s="388"/>
      <c r="H1718" s="395"/>
      <c r="I1718" s="388"/>
      <c r="J1718" s="399"/>
      <c r="K1718" s="400"/>
      <c r="L1718" s="399"/>
      <c r="M1718" s="399"/>
      <c r="N1718" s="399"/>
      <c r="O1718" s="399"/>
      <c r="P1718" s="389"/>
      <c r="Q1718" s="399"/>
      <c r="R1718" s="399"/>
      <c r="S1718" s="399"/>
      <c r="T1718" s="399"/>
      <c r="U1718" s="401"/>
      <c r="V1718" s="399"/>
      <c r="W1718" s="399"/>
      <c r="X1718" s="399"/>
      <c r="Y1718" s="389"/>
      <c r="Z1718" s="400"/>
      <c r="AA1718" s="402"/>
      <c r="AB1718" s="403"/>
    </row>
    <row r="1719" spans="1:28">
      <c r="A1719" s="384"/>
      <c r="B1719" s="385"/>
      <c r="C1719" s="393"/>
      <c r="D1719" s="398"/>
      <c r="E1719" s="388"/>
      <c r="F1719" s="388"/>
      <c r="G1719" s="388"/>
      <c r="H1719" s="395"/>
      <c r="I1719" s="388"/>
      <c r="J1719" s="396"/>
      <c r="K1719" s="396"/>
      <c r="L1719" s="396"/>
      <c r="M1719" s="396"/>
      <c r="N1719" s="396"/>
      <c r="O1719" s="396"/>
      <c r="P1719" s="389"/>
      <c r="Q1719" s="396"/>
      <c r="R1719" s="396"/>
      <c r="S1719" s="396"/>
      <c r="T1719" s="396"/>
      <c r="U1719" s="401"/>
      <c r="V1719" s="396"/>
      <c r="W1719" s="399"/>
      <c r="X1719" s="396"/>
      <c r="Y1719" s="389"/>
      <c r="Z1719" s="396"/>
      <c r="AA1719" s="388"/>
      <c r="AB1719" s="390"/>
    </row>
    <row r="1720" spans="1:28">
      <c r="A1720" s="384" t="str">
        <f t="shared" ref="A1720:B1720" si="5471">A1705</f>
        <v>Lantai 1</v>
      </c>
      <c r="B1720" s="385">
        <f t="shared" si="5471"/>
        <v>55</v>
      </c>
      <c r="C1720" s="393" t="s">
        <v>209</v>
      </c>
      <c r="D1720" s="398">
        <f>VLOOKUP(D1705,'Detail Balok'!$C$10:$AU$140,22,FALSE)</f>
        <v>3</v>
      </c>
      <c r="E1720" s="388" t="s">
        <v>16</v>
      </c>
      <c r="F1720" s="388">
        <f>VLOOKUP(D1705,'Detail Balok'!$C$10:$AU$140,24,FALSE)</f>
        <v>13</v>
      </c>
      <c r="G1720" s="388"/>
      <c r="H1720" s="395"/>
      <c r="I1720" s="388" t="s">
        <v>203</v>
      </c>
      <c r="J1720" s="399">
        <f t="shared" ref="J1720:J1782" si="5472">+J1712</f>
        <v>0.44500000000000001</v>
      </c>
      <c r="K1720" s="400" t="s">
        <v>204</v>
      </c>
      <c r="L1720" s="399">
        <f t="shared" ref="L1720" si="5473">MAX(VLOOKUP(F1720,N$6:P$15,3,FALSE)/1000,2/3*D1710/1000)+F$16*F1720/1000</f>
        <v>0.156</v>
      </c>
      <c r="M1720" s="399" t="s">
        <v>176</v>
      </c>
      <c r="N1720" s="399">
        <f t="shared" ref="N1720:N1722" si="5474">J1720+L1720</f>
        <v>0.60099999999999998</v>
      </c>
      <c r="O1720" s="399" t="s">
        <v>204</v>
      </c>
      <c r="P1720" s="389">
        <f t="shared" ref="P1720" si="5475">D1720-D1721</f>
        <v>0</v>
      </c>
      <c r="Q1720" s="399" t="s">
        <v>125</v>
      </c>
      <c r="R1720" s="399">
        <f t="shared" ref="R1720" si="5476">IF(P1720&gt;0,$F$18*F1720/1000,0)</f>
        <v>0</v>
      </c>
      <c r="S1720" s="399" t="s">
        <v>205</v>
      </c>
      <c r="T1720" s="399" t="s">
        <v>125</v>
      </c>
      <c r="U1720" s="401">
        <f t="shared" ref="U1720:U1722" si="5477">0.006165*F1720^2</f>
        <v>1.041885</v>
      </c>
      <c r="V1720" s="399"/>
      <c r="W1720" s="399"/>
      <c r="X1720" s="399" t="s">
        <v>125</v>
      </c>
      <c r="Y1720" s="389">
        <f t="shared" ref="Y1720" si="5478">D1711</f>
        <v>1</v>
      </c>
      <c r="Z1720" s="400" t="s">
        <v>176</v>
      </c>
      <c r="AA1720" s="402">
        <f t="shared" ref="AA1720" si="5479">IF(AA1723=0,(D1720*N1720+P1720*R1720)*U1720*Y1720,0)</f>
        <v>0</v>
      </c>
      <c r="AB1720" s="403"/>
    </row>
    <row r="1721" spans="1:28">
      <c r="A1721" s="384" t="str">
        <f t="shared" ref="A1721:B1721" si="5480">A1705</f>
        <v>Lantai 1</v>
      </c>
      <c r="B1721" s="385">
        <f t="shared" si="5480"/>
        <v>55</v>
      </c>
      <c r="C1721" s="393" t="s">
        <v>210</v>
      </c>
      <c r="D1721" s="398">
        <f>VLOOKUP(D1705,'Detail Balok'!$C$10:$AU$140,25,FALSE)</f>
        <v>3</v>
      </c>
      <c r="E1721" s="388" t="s">
        <v>16</v>
      </c>
      <c r="F1721" s="388">
        <f>VLOOKUP(D1705,'Detail Balok'!$C$10:$AU$140,27,FALSE)</f>
        <v>13</v>
      </c>
      <c r="G1721" s="388"/>
      <c r="H1721" s="395"/>
      <c r="I1721" s="388" t="s">
        <v>203</v>
      </c>
      <c r="J1721" s="399">
        <f t="shared" si="5472"/>
        <v>0.89</v>
      </c>
      <c r="K1721" s="400" t="s">
        <v>204</v>
      </c>
      <c r="L1721" s="399"/>
      <c r="M1721" s="399" t="s">
        <v>176</v>
      </c>
      <c r="N1721" s="399">
        <f t="shared" si="5474"/>
        <v>0.89</v>
      </c>
      <c r="O1721" s="399" t="s">
        <v>204</v>
      </c>
      <c r="P1721" s="389">
        <f t="shared" ref="P1721" si="5481">MAX(D1721-D1720,D1721-D1722)</f>
        <v>0</v>
      </c>
      <c r="Q1721" s="399" t="s">
        <v>125</v>
      </c>
      <c r="R1721" s="399">
        <f t="shared" ref="R1721" si="5482">IF(P1721&gt;0,2*(1-2*$F$19-1/2)*D1708/1000,0)</f>
        <v>0</v>
      </c>
      <c r="S1721" s="399" t="s">
        <v>205</v>
      </c>
      <c r="T1721" s="399" t="s">
        <v>125</v>
      </c>
      <c r="U1721" s="401">
        <f t="shared" si="5477"/>
        <v>1.041885</v>
      </c>
      <c r="V1721" s="399"/>
      <c r="W1721" s="399"/>
      <c r="X1721" s="399" t="s">
        <v>125</v>
      </c>
      <c r="Y1721" s="389">
        <f t="shared" ref="Y1721" si="5483">D1711</f>
        <v>1</v>
      </c>
      <c r="Z1721" s="400" t="s">
        <v>176</v>
      </c>
      <c r="AA1721" s="402">
        <f t="shared" ref="AA1721" si="5484">IF(AA1723=0,(D1721*N1721+P1721*R1721)*U1721*Y1721,0)</f>
        <v>0</v>
      </c>
      <c r="AB1721" s="403"/>
    </row>
    <row r="1722" spans="1:28">
      <c r="A1722" s="384" t="str">
        <f t="shared" ref="A1722:B1722" si="5485">A1705</f>
        <v>Lantai 1</v>
      </c>
      <c r="B1722" s="385">
        <f t="shared" si="5485"/>
        <v>55</v>
      </c>
      <c r="C1722" s="393" t="s">
        <v>209</v>
      </c>
      <c r="D1722" s="398">
        <f>VLOOKUP(D1705,'Detail Balok'!$C$10:$AU$140,28,FALSE)</f>
        <v>3</v>
      </c>
      <c r="E1722" s="388" t="s">
        <v>16</v>
      </c>
      <c r="F1722" s="388">
        <f>VLOOKUP(D1705,'Detail Balok'!$C$10:$AU$140,30,FALSE)</f>
        <v>13</v>
      </c>
      <c r="G1722" s="388"/>
      <c r="H1722" s="395"/>
      <c r="I1722" s="388" t="s">
        <v>203</v>
      </c>
      <c r="J1722" s="399">
        <f t="shared" si="5472"/>
        <v>0.44500000000000001</v>
      </c>
      <c r="K1722" s="400" t="s">
        <v>204</v>
      </c>
      <c r="L1722" s="399">
        <f t="shared" ref="L1722" si="5486">MAX(VLOOKUP(F1722,N$6:P$15,3,FALSE)/1000,2/3*D1710/1000)+F$16*F1722/1000</f>
        <v>0.156</v>
      </c>
      <c r="M1722" s="399" t="s">
        <v>176</v>
      </c>
      <c r="N1722" s="399">
        <f t="shared" si="5474"/>
        <v>0.60099999999999998</v>
      </c>
      <c r="O1722" s="399" t="s">
        <v>204</v>
      </c>
      <c r="P1722" s="389">
        <f t="shared" ref="P1722" si="5487">D1722-D1721</f>
        <v>0</v>
      </c>
      <c r="Q1722" s="399" t="s">
        <v>125</v>
      </c>
      <c r="R1722" s="399">
        <f t="shared" ref="R1722" si="5488">IF(P1722&gt;0,$F$18*F1722/1000,0)</f>
        <v>0</v>
      </c>
      <c r="S1722" s="399" t="s">
        <v>205</v>
      </c>
      <c r="T1722" s="399" t="s">
        <v>125</v>
      </c>
      <c r="U1722" s="401">
        <f t="shared" si="5477"/>
        <v>1.041885</v>
      </c>
      <c r="V1722" s="399"/>
      <c r="W1722" s="399"/>
      <c r="X1722" s="399" t="s">
        <v>125</v>
      </c>
      <c r="Y1722" s="389">
        <f t="shared" ref="Y1722" si="5489">D1711</f>
        <v>1</v>
      </c>
      <c r="Z1722" s="400" t="s">
        <v>176</v>
      </c>
      <c r="AA1722" s="402">
        <f t="shared" ref="AA1722" si="5490">IF(AA1723=0,(D1722*N1722+P1722*R1722)*U1722*Y1722,0)</f>
        <v>0</v>
      </c>
      <c r="AB1722" s="403"/>
    </row>
    <row r="1723" spans="1:28">
      <c r="A1723" s="384" t="str">
        <f t="shared" ref="A1723:B1723" si="5491">A1705</f>
        <v>Lantai 1</v>
      </c>
      <c r="B1723" s="385">
        <f t="shared" si="5491"/>
        <v>55</v>
      </c>
      <c r="C1723" s="393"/>
      <c r="D1723" s="398">
        <f t="shared" ref="D1723:D1783" si="5492">IF(AND(D1720=D1721,D1721=D1722,D1720=D1722),D1720,0)</f>
        <v>3</v>
      </c>
      <c r="E1723" s="388" t="s">
        <v>16</v>
      </c>
      <c r="F1723" s="388">
        <f t="shared" ref="F1723:F1783" si="5493">IF(AND(F1720=F1721,F1720=F1722,F1721=F1722),F1720,0)</f>
        <v>13</v>
      </c>
      <c r="G1723" s="388"/>
      <c r="H1723" s="395"/>
      <c r="I1723" s="388"/>
      <c r="J1723" s="396"/>
      <c r="K1723" s="396"/>
      <c r="L1723" s="404" t="s">
        <v>207</v>
      </c>
      <c r="M1723" s="399" t="s">
        <v>176</v>
      </c>
      <c r="N1723" s="399">
        <f t="shared" ref="N1723" si="5494">IF(AND(D1720=D1721,D1720=D1722,D1721=D1722,F1720=F1721,F1720=F1722,F1721=F1722),SUM(N1720:N1722),0)</f>
        <v>2.0920000000000001</v>
      </c>
      <c r="O1723" s="399" t="s">
        <v>204</v>
      </c>
      <c r="P1723" s="389">
        <f t="shared" ref="P1723" si="5495">IF(N1723&gt;12,ROUNDDOWN(N1723/12,0),0)</f>
        <v>0</v>
      </c>
      <c r="Q1723" s="399" t="s">
        <v>125</v>
      </c>
      <c r="R1723" s="399">
        <f t="shared" ref="R1723" si="5496">IF(P1723&gt;0,MAX(VLOOKUP(F1723,$D$6:$G$15,3,FALSE),600),0)/1000</f>
        <v>0</v>
      </c>
      <c r="S1723" s="396"/>
      <c r="T1723" s="396" t="s">
        <v>125</v>
      </c>
      <c r="U1723" s="401">
        <f t="shared" ref="U1723:U1783" si="5497">U1722</f>
        <v>1.041885</v>
      </c>
      <c r="V1723" s="396" t="s">
        <v>125</v>
      </c>
      <c r="W1723" s="399">
        <f t="shared" ref="W1723" si="5498">D1723</f>
        <v>3</v>
      </c>
      <c r="X1723" s="399" t="s">
        <v>125</v>
      </c>
      <c r="Y1723" s="389">
        <f t="shared" ref="Y1723:Y1783" si="5499">Y1722</f>
        <v>1</v>
      </c>
      <c r="Z1723" s="400" t="s">
        <v>176</v>
      </c>
      <c r="AA1723" s="402">
        <f t="shared" ref="AA1723" si="5500">(N1723+P1723*R1723/1000)*U1723*W1723*Y1723</f>
        <v>6.5388702599999995</v>
      </c>
      <c r="AB1723" s="403"/>
    </row>
    <row r="1724" spans="1:28">
      <c r="A1724" s="384"/>
      <c r="B1724" s="385"/>
      <c r="C1724" s="393"/>
      <c r="D1724" s="394"/>
      <c r="E1724" s="388"/>
      <c r="F1724" s="388"/>
      <c r="G1724" s="388"/>
      <c r="H1724" s="395"/>
      <c r="I1724" s="388"/>
      <c r="J1724" s="399"/>
      <c r="K1724" s="396"/>
      <c r="L1724" s="396"/>
      <c r="M1724" s="396"/>
      <c r="N1724" s="396"/>
      <c r="O1724" s="396"/>
      <c r="P1724" s="389"/>
      <c r="Q1724" s="396"/>
      <c r="R1724" s="396"/>
      <c r="S1724" s="396"/>
      <c r="T1724" s="396"/>
      <c r="U1724" s="401"/>
      <c r="V1724" s="396"/>
      <c r="W1724" s="388"/>
      <c r="X1724" s="396"/>
      <c r="Y1724" s="389"/>
      <c r="Z1724" s="396"/>
      <c r="AA1724" s="388"/>
      <c r="AB1724" s="390"/>
    </row>
    <row r="1725" spans="1:28">
      <c r="A1725" s="384" t="str">
        <f t="shared" ref="A1725:B1725" si="5501">A1705</f>
        <v>Lantai 1</v>
      </c>
      <c r="B1725" s="385">
        <f t="shared" si="5501"/>
        <v>55</v>
      </c>
      <c r="C1725" s="393" t="s">
        <v>211</v>
      </c>
      <c r="D1725" s="398">
        <f>VLOOKUP(D1705,'Detail Balok'!$C$10:$AU$140,31,FALSE)</f>
        <v>0</v>
      </c>
      <c r="E1725" s="388" t="s">
        <v>16</v>
      </c>
      <c r="F1725" s="388">
        <f>VLOOKUP(D1705,'Detail Balok'!$C$10:$AU$140,33,FALSE)</f>
        <v>8</v>
      </c>
      <c r="G1725" s="405" t="s">
        <v>157</v>
      </c>
      <c r="H1725" s="395">
        <f>VLOOKUP(D1705,'Detail Balok'!$C$10:$AU$140,35,FALSE)</f>
        <v>150</v>
      </c>
      <c r="I1725" s="388"/>
      <c r="J1725" s="400">
        <f t="shared" ref="J1725" si="5502">(IF(D1725=0,(2*(D1706+G1706))-(F$5*8),IF(D1725=3,(2*(D1706+G1706))-(F$5*8)+(G1706-2*F$5),IF(D1725=4,(2*(D1706+G1706))-(F$5*8)+2*(G1706-2*F$5)))))/1000</f>
        <v>0.88</v>
      </c>
      <c r="K1725" s="400" t="s">
        <v>204</v>
      </c>
      <c r="L1725" s="399">
        <f t="shared" ref="L1725:L1727" si="5503">IF(D1725=0,2*MAX(6*F1725,75),(D1725-1)*2*MAX(6*F1725,75))/1000</f>
        <v>0.15</v>
      </c>
      <c r="M1725" s="399" t="s">
        <v>176</v>
      </c>
      <c r="N1725" s="399">
        <f t="shared" ref="N1725:N1727" si="5504">J1725+L1725</f>
        <v>1.03</v>
      </c>
      <c r="O1725" s="399"/>
      <c r="P1725" s="389"/>
      <c r="Q1725" s="399"/>
      <c r="R1725" s="399"/>
      <c r="S1725" s="399"/>
      <c r="T1725" s="399" t="s">
        <v>125</v>
      </c>
      <c r="U1725" s="401">
        <f t="shared" ref="U1725:U1727" si="5505">0.006165*F1725^2</f>
        <v>0.39456000000000002</v>
      </c>
      <c r="V1725" s="399" t="s">
        <v>125</v>
      </c>
      <c r="W1725" s="399">
        <f t="shared" ref="W1725" si="5506">IF(D1708&gt;4*G1706,ROUND(MAX(D1708/4,2*G1706)/H1725,0)+1,ROUND(D1708/H1725,0)+1)</f>
        <v>6</v>
      </c>
      <c r="X1725" s="399" t="s">
        <v>125</v>
      </c>
      <c r="Y1725" s="389">
        <f t="shared" ref="Y1725" si="5507">D1711</f>
        <v>1</v>
      </c>
      <c r="Z1725" s="400" t="s">
        <v>176</v>
      </c>
      <c r="AA1725" s="402">
        <f t="shared" ref="AA1725:AA1727" si="5508">N1725*U1725*W1725*Y1725</f>
        <v>2.4383808000000005</v>
      </c>
      <c r="AB1725" s="403"/>
    </row>
    <row r="1726" spans="1:28">
      <c r="A1726" s="384" t="str">
        <f t="shared" ref="A1726:B1726" si="5509">A1705</f>
        <v>Lantai 1</v>
      </c>
      <c r="B1726" s="385">
        <f t="shared" si="5509"/>
        <v>55</v>
      </c>
      <c r="C1726" s="393" t="s">
        <v>212</v>
      </c>
      <c r="D1726" s="398">
        <f>VLOOKUP(D1705,'Detail Balok'!$C$10:$AU$140,36,FALSE)</f>
        <v>0</v>
      </c>
      <c r="E1726" s="388" t="s">
        <v>16</v>
      </c>
      <c r="F1726" s="388">
        <f>VLOOKUP(D1705,'Detail Balok'!$C$10:$AU$140,38,FALSE)</f>
        <v>8</v>
      </c>
      <c r="G1726" s="405" t="s">
        <v>157</v>
      </c>
      <c r="H1726" s="395">
        <f>VLOOKUP(D1705,'Detail Balok'!$C$10:$AU$140,40,FALSE)</f>
        <v>200</v>
      </c>
      <c r="I1726" s="388"/>
      <c r="J1726" s="400">
        <f t="shared" ref="J1726" si="5510">(IF(D1726=0,(2*(D1706+G1706))-(F$5*8),IF(D1726=3,(2*(D1706+G1706))-(F$5*8)+(G1706-2*F$5),IF(D1726=4,(2*(D1706+G1706))-(F$5*8)+2*(G1706-2*F$5)))))/1000</f>
        <v>0.88</v>
      </c>
      <c r="K1726" s="400" t="s">
        <v>204</v>
      </c>
      <c r="L1726" s="399">
        <f t="shared" si="5503"/>
        <v>0.15</v>
      </c>
      <c r="M1726" s="399" t="s">
        <v>176</v>
      </c>
      <c r="N1726" s="399">
        <f t="shared" si="5504"/>
        <v>1.03</v>
      </c>
      <c r="O1726" s="399"/>
      <c r="P1726" s="389"/>
      <c r="Q1726" s="399"/>
      <c r="R1726" s="399"/>
      <c r="S1726" s="399"/>
      <c r="T1726" s="399" t="s">
        <v>125</v>
      </c>
      <c r="U1726" s="401">
        <f t="shared" si="5505"/>
        <v>0.39456000000000002</v>
      </c>
      <c r="V1726" s="399" t="s">
        <v>125</v>
      </c>
      <c r="W1726" s="399">
        <f t="shared" ref="W1726" si="5511">IF(D1708-MAX(D1708/4,2*G1706)*2&gt;0,ROUND((D1708-MAX(D1708/4,2*G1706)*2)/H1726,0),0)</f>
        <v>1</v>
      </c>
      <c r="X1726" s="399" t="s">
        <v>125</v>
      </c>
      <c r="Y1726" s="389">
        <f t="shared" ref="Y1726" si="5512">D1711</f>
        <v>1</v>
      </c>
      <c r="Z1726" s="400" t="s">
        <v>176</v>
      </c>
      <c r="AA1726" s="402">
        <f t="shared" si="5508"/>
        <v>0.40639680000000006</v>
      </c>
      <c r="AB1726" s="403"/>
    </row>
    <row r="1727" spans="1:28">
      <c r="A1727" s="384" t="str">
        <f t="shared" ref="A1727:B1727" si="5513">A1705</f>
        <v>Lantai 1</v>
      </c>
      <c r="B1727" s="385">
        <f t="shared" si="5513"/>
        <v>55</v>
      </c>
      <c r="C1727" s="393" t="s">
        <v>211</v>
      </c>
      <c r="D1727" s="398">
        <f>VLOOKUP(D1705,'Detail Balok'!$C$10:$AU$140,41,FALSE)</f>
        <v>0</v>
      </c>
      <c r="E1727" s="388" t="s">
        <v>16</v>
      </c>
      <c r="F1727" s="388">
        <f>VLOOKUP(D1705,'Detail Balok'!$C$10:$AU$140,43,FALSE)</f>
        <v>8</v>
      </c>
      <c r="G1727" s="405" t="s">
        <v>157</v>
      </c>
      <c r="H1727" s="395">
        <f>VLOOKUP(D1705,'Detail Balok'!$C$10:$AU$140,45,FALSE)</f>
        <v>150</v>
      </c>
      <c r="I1727" s="388"/>
      <c r="J1727" s="400">
        <f t="shared" ref="J1727" si="5514">(IF(D1727=0,(2*(D1706+G1706))-(F$5*8),IF(D1727=3,(2*(D1706+G1706))-(F$5*8)+(G1706-2*F$5),IF(D1727=4,(2*(D1706+G1706))-(F$5*8)+2*(G1706-2*F$5)))))/1000</f>
        <v>0.88</v>
      </c>
      <c r="K1727" s="400" t="s">
        <v>204</v>
      </c>
      <c r="L1727" s="399">
        <f t="shared" si="5503"/>
        <v>0.15</v>
      </c>
      <c r="M1727" s="399" t="s">
        <v>176</v>
      </c>
      <c r="N1727" s="399">
        <f t="shared" si="5504"/>
        <v>1.03</v>
      </c>
      <c r="O1727" s="399"/>
      <c r="P1727" s="389"/>
      <c r="Q1727" s="399"/>
      <c r="R1727" s="399"/>
      <c r="S1727" s="399"/>
      <c r="T1727" s="399" t="s">
        <v>125</v>
      </c>
      <c r="U1727" s="401">
        <f t="shared" si="5505"/>
        <v>0.39456000000000002</v>
      </c>
      <c r="V1727" s="399" t="s">
        <v>125</v>
      </c>
      <c r="W1727" s="399">
        <f t="shared" ref="W1727" si="5515">IF(D1708&gt;4*G1706,ROUND(MAX(D1708/4,2*G1706)/H1727,0)+1,0)</f>
        <v>6</v>
      </c>
      <c r="X1727" s="399" t="s">
        <v>125</v>
      </c>
      <c r="Y1727" s="389">
        <f t="shared" ref="Y1727" si="5516">D1711</f>
        <v>1</v>
      </c>
      <c r="Z1727" s="400" t="s">
        <v>176</v>
      </c>
      <c r="AA1727" s="402">
        <f t="shared" si="5508"/>
        <v>2.4383808000000005</v>
      </c>
      <c r="AB1727" s="403"/>
    </row>
    <row r="1728" spans="1:28">
      <c r="A1728" s="384"/>
      <c r="B1728" s="385"/>
      <c r="C1728" s="393"/>
      <c r="D1728" s="394"/>
      <c r="E1728" s="388"/>
      <c r="F1728" s="388"/>
      <c r="G1728" s="388"/>
      <c r="H1728" s="395"/>
      <c r="I1728" s="388"/>
      <c r="J1728" s="399"/>
      <c r="K1728" s="396"/>
      <c r="L1728" s="396"/>
      <c r="M1728" s="396"/>
      <c r="N1728" s="396"/>
      <c r="O1728" s="396"/>
      <c r="P1728" s="389"/>
      <c r="Q1728" s="396"/>
      <c r="R1728" s="396"/>
      <c r="S1728" s="396"/>
      <c r="T1728" s="396"/>
      <c r="U1728" s="401"/>
      <c r="V1728" s="396"/>
      <c r="W1728" s="388"/>
      <c r="X1728" s="396"/>
      <c r="Y1728" s="389"/>
      <c r="Z1728" s="396"/>
      <c r="AA1728" s="388"/>
      <c r="AB1728" s="390"/>
    </row>
    <row r="1729" spans="1:28">
      <c r="A1729" s="384" t="str">
        <f t="shared" ref="A1729:B1729" si="5517">A1705</f>
        <v>Lantai 1</v>
      </c>
      <c r="B1729" s="385">
        <f t="shared" si="5517"/>
        <v>55</v>
      </c>
      <c r="C1729" s="393" t="s">
        <v>213</v>
      </c>
      <c r="D1729" s="398">
        <f>VLOOKUP(D1705,'Detail Balok'!$C$10:$BJ$140,46,FALSE)</f>
        <v>0</v>
      </c>
      <c r="E1729" s="388" t="s">
        <v>16</v>
      </c>
      <c r="F1729" s="388">
        <f>VLOOKUP(D1705,'Detail Balok'!$C$10:$BJ$140,48,FALSE)</f>
        <v>0</v>
      </c>
      <c r="G1729" s="405" t="s">
        <v>157</v>
      </c>
      <c r="H1729" s="395">
        <f>VLOOKUP(D1705,'Detail Balok'!$C$10:$BJ$140,50,FALSE)</f>
        <v>100</v>
      </c>
      <c r="I1729" s="388"/>
      <c r="J1729" s="399">
        <f t="shared" ref="J1729" si="5518">(D1706-2*F$5)/1000</f>
        <v>0.12</v>
      </c>
      <c r="K1729" s="400" t="s">
        <v>204</v>
      </c>
      <c r="L1729" s="399">
        <f t="shared" ref="L1729:L1731" si="5519">IF(D1729=0,2*MAX(6*F1729,75),(D1729-1)*2*MAX(6*F1729,75))/1000</f>
        <v>0.15</v>
      </c>
      <c r="M1729" s="399" t="s">
        <v>176</v>
      </c>
      <c r="N1729" s="399">
        <f t="shared" ref="N1729:N1731" si="5520">J1729+L1729</f>
        <v>0.27</v>
      </c>
      <c r="O1729" s="399"/>
      <c r="P1729" s="399"/>
      <c r="Q1729" s="399"/>
      <c r="R1729" s="399"/>
      <c r="S1729" s="399"/>
      <c r="T1729" s="399" t="s">
        <v>125</v>
      </c>
      <c r="U1729" s="401">
        <f t="shared" ref="U1729:U1731" si="5521">0.006165*F1729^2</f>
        <v>0</v>
      </c>
      <c r="V1729" s="399" t="s">
        <v>125</v>
      </c>
      <c r="W1729" s="399">
        <f t="shared" ref="W1729:W1791" si="5522">W1725</f>
        <v>6</v>
      </c>
      <c r="X1729" s="399" t="s">
        <v>125</v>
      </c>
      <c r="Y1729" s="389">
        <f t="shared" ref="Y1729" si="5523">D1715</f>
        <v>3</v>
      </c>
      <c r="Z1729" s="400" t="s">
        <v>176</v>
      </c>
      <c r="AA1729" s="402">
        <f t="shared" ref="AA1729:AA1731" si="5524">N1729*U1729*W1729*Y1729</f>
        <v>0</v>
      </c>
      <c r="AB1729" s="403"/>
    </row>
    <row r="1730" spans="1:28">
      <c r="A1730" s="384" t="str">
        <f t="shared" ref="A1730:B1730" si="5525">A1705</f>
        <v>Lantai 1</v>
      </c>
      <c r="B1730" s="385">
        <f t="shared" si="5525"/>
        <v>55</v>
      </c>
      <c r="C1730" s="393" t="s">
        <v>214</v>
      </c>
      <c r="D1730" s="398">
        <f>VLOOKUP(D1705,'Detail Balok'!$C$10:$BJ$140,51,FALSE)</f>
        <v>0</v>
      </c>
      <c r="E1730" s="388" t="s">
        <v>16</v>
      </c>
      <c r="F1730" s="388">
        <f>VLOOKUP(D1705,'Detail Balok'!$C$10:$BJ$140,53,FALSE)</f>
        <v>0</v>
      </c>
      <c r="G1730" s="405" t="s">
        <v>157</v>
      </c>
      <c r="H1730" s="395">
        <f>VLOOKUP(D1705,'Detail Balok'!$C$10:$BJ$140,55,FALSE)</f>
        <v>100</v>
      </c>
      <c r="I1730" s="388"/>
      <c r="J1730" s="399">
        <f t="shared" ref="J1730" si="5526">(D1706-2*F$5)/1000</f>
        <v>0.12</v>
      </c>
      <c r="K1730" s="400" t="s">
        <v>204</v>
      </c>
      <c r="L1730" s="399">
        <f t="shared" si="5519"/>
        <v>0.15</v>
      </c>
      <c r="M1730" s="399" t="s">
        <v>176</v>
      </c>
      <c r="N1730" s="399">
        <f t="shared" si="5520"/>
        <v>0.27</v>
      </c>
      <c r="O1730" s="399"/>
      <c r="P1730" s="399"/>
      <c r="Q1730" s="399"/>
      <c r="R1730" s="399"/>
      <c r="S1730" s="399"/>
      <c r="T1730" s="399" t="s">
        <v>125</v>
      </c>
      <c r="U1730" s="401">
        <f t="shared" si="5521"/>
        <v>0</v>
      </c>
      <c r="V1730" s="399" t="s">
        <v>125</v>
      </c>
      <c r="W1730" s="399">
        <f t="shared" si="5522"/>
        <v>1</v>
      </c>
      <c r="X1730" s="399" t="s">
        <v>125</v>
      </c>
      <c r="Y1730" s="389">
        <f t="shared" ref="Y1730" si="5527">D1715</f>
        <v>3</v>
      </c>
      <c r="Z1730" s="400" t="s">
        <v>176</v>
      </c>
      <c r="AA1730" s="402">
        <f t="shared" si="5524"/>
        <v>0</v>
      </c>
      <c r="AB1730" s="403"/>
    </row>
    <row r="1731" spans="1:28">
      <c r="A1731" s="384" t="str">
        <f t="shared" ref="A1731:B1731" si="5528">A1705</f>
        <v>Lantai 1</v>
      </c>
      <c r="B1731" s="385">
        <f t="shared" si="5528"/>
        <v>55</v>
      </c>
      <c r="C1731" s="393" t="s">
        <v>213</v>
      </c>
      <c r="D1731" s="398">
        <f>VLOOKUP(D1705,'Detail Balok'!$C$10:$BJ$140,56,FALSE)</f>
        <v>0</v>
      </c>
      <c r="E1731" s="388" t="s">
        <v>16</v>
      </c>
      <c r="F1731" s="388">
        <f>VLOOKUP(D1705,'Detail Balok'!$C$10:$BJ$140,58,FALSE)</f>
        <v>0</v>
      </c>
      <c r="G1731" s="405" t="s">
        <v>157</v>
      </c>
      <c r="H1731" s="395">
        <f>VLOOKUP(D1705,'Detail Balok'!$C$10:$BJ$140,60,FALSE)</f>
        <v>100</v>
      </c>
      <c r="I1731" s="388"/>
      <c r="J1731" s="399">
        <f t="shared" ref="J1731" si="5529">(D1706-2*F$5)/1000</f>
        <v>0.12</v>
      </c>
      <c r="K1731" s="400" t="s">
        <v>204</v>
      </c>
      <c r="L1731" s="399">
        <f t="shared" si="5519"/>
        <v>0.15</v>
      </c>
      <c r="M1731" s="399" t="s">
        <v>176</v>
      </c>
      <c r="N1731" s="399">
        <f t="shared" si="5520"/>
        <v>0.27</v>
      </c>
      <c r="O1731" s="399"/>
      <c r="P1731" s="399"/>
      <c r="Q1731" s="399"/>
      <c r="R1731" s="399"/>
      <c r="S1731" s="399"/>
      <c r="T1731" s="399" t="s">
        <v>125</v>
      </c>
      <c r="U1731" s="401">
        <f t="shared" si="5521"/>
        <v>0</v>
      </c>
      <c r="V1731" s="399" t="s">
        <v>125</v>
      </c>
      <c r="W1731" s="399">
        <f t="shared" si="5522"/>
        <v>6</v>
      </c>
      <c r="X1731" s="399" t="s">
        <v>125</v>
      </c>
      <c r="Y1731" s="389">
        <f t="shared" ref="Y1731" si="5530">D1715</f>
        <v>3</v>
      </c>
      <c r="Z1731" s="400" t="s">
        <v>176</v>
      </c>
      <c r="AA1731" s="402">
        <f t="shared" si="5524"/>
        <v>0</v>
      </c>
      <c r="AB1731" s="403"/>
    </row>
    <row r="1732" spans="1:28">
      <c r="A1732" s="391"/>
      <c r="B1732" s="392"/>
      <c r="C1732" s="392"/>
      <c r="D1732" s="394"/>
      <c r="E1732" s="388"/>
      <c r="F1732" s="388"/>
      <c r="G1732" s="388"/>
      <c r="H1732" s="395"/>
      <c r="I1732" s="388"/>
      <c r="J1732" s="402"/>
      <c r="K1732" s="388"/>
      <c r="L1732" s="388"/>
      <c r="M1732" s="388"/>
      <c r="N1732" s="388"/>
      <c r="O1732" s="388"/>
      <c r="P1732" s="388"/>
      <c r="Q1732" s="388"/>
      <c r="R1732" s="388"/>
      <c r="S1732" s="388"/>
      <c r="T1732" s="388"/>
      <c r="U1732" s="388"/>
      <c r="V1732" s="388"/>
      <c r="W1732" s="388"/>
      <c r="X1732" s="388"/>
      <c r="Y1732" s="389"/>
      <c r="Z1732" s="388"/>
      <c r="AA1732" s="402"/>
      <c r="AB1732" s="403"/>
    </row>
    <row r="1733" spans="1:28" ht="15.75" thickBot="1">
      <c r="A1733" s="406"/>
      <c r="B1733" s="407"/>
      <c r="C1733" s="407"/>
      <c r="D1733" s="408"/>
      <c r="E1733" s="409"/>
      <c r="F1733" s="409"/>
      <c r="G1733" s="409"/>
      <c r="H1733" s="410"/>
      <c r="I1733" s="409"/>
      <c r="J1733" s="409"/>
      <c r="K1733" s="409"/>
      <c r="L1733" s="409"/>
      <c r="M1733" s="409"/>
      <c r="N1733" s="409"/>
      <c r="O1733" s="409"/>
      <c r="P1733" s="409"/>
      <c r="Q1733" s="409"/>
      <c r="R1733" s="409"/>
      <c r="S1733" s="409"/>
      <c r="T1733" s="409"/>
      <c r="U1733" s="409"/>
      <c r="V1733" s="409"/>
      <c r="W1733" s="409"/>
      <c r="X1733" s="409"/>
      <c r="Y1733" s="411"/>
      <c r="Z1733" s="409"/>
      <c r="AA1733" s="412"/>
      <c r="AB1733" s="413"/>
    </row>
    <row r="1734" spans="1:28">
      <c r="A1734" s="377"/>
      <c r="B1734" s="378"/>
      <c r="C1734" s="378"/>
      <c r="D1734" s="379"/>
      <c r="E1734" s="380"/>
      <c r="F1734" s="380"/>
      <c r="G1734" s="380"/>
      <c r="H1734" s="381"/>
      <c r="I1734" s="380"/>
      <c r="J1734" s="380"/>
      <c r="K1734" s="380"/>
      <c r="L1734" s="380"/>
      <c r="M1734" s="380"/>
      <c r="N1734" s="380"/>
      <c r="O1734" s="380"/>
      <c r="P1734" s="380"/>
      <c r="Q1734" s="380"/>
      <c r="R1734" s="380"/>
      <c r="S1734" s="380"/>
      <c r="T1734" s="380"/>
      <c r="U1734" s="380"/>
      <c r="V1734" s="380"/>
      <c r="W1734" s="380"/>
      <c r="X1734" s="380"/>
      <c r="Y1734" s="382"/>
      <c r="Z1734" s="380"/>
      <c r="AA1734" s="380"/>
      <c r="AB1734" s="383"/>
    </row>
    <row r="1735" spans="1:28">
      <c r="A1735" s="384" t="str">
        <f t="shared" ref="A1735:A1795" si="5531">A1705</f>
        <v>Lantai 1</v>
      </c>
      <c r="B1735" s="385">
        <f t="shared" ref="B1735:B1795" si="5532">B1705+1</f>
        <v>56</v>
      </c>
      <c r="C1735" s="386" t="str">
        <f t="shared" ref="C1735" si="5533">CONCATENATE(A1735," no. ",B1735)</f>
        <v>Lantai 1 no. 56</v>
      </c>
      <c r="D1735" s="2562" t="str">
        <f>VLOOKUP(C1735,'Data Panjang Balok'!$C$9:$N$254,2,FALSE)</f>
        <v>S36-1</v>
      </c>
      <c r="E1735" s="2576"/>
      <c r="F1735" s="2576"/>
      <c r="G1735" s="2576"/>
      <c r="H1735" s="2577"/>
      <c r="I1735" s="387"/>
      <c r="J1735" s="388"/>
      <c r="K1735" s="388"/>
      <c r="L1735" s="388"/>
      <c r="M1735" s="388"/>
      <c r="N1735" s="388"/>
      <c r="O1735" s="388"/>
      <c r="P1735" s="388"/>
      <c r="Q1735" s="388"/>
      <c r="R1735" s="388"/>
      <c r="S1735" s="388"/>
      <c r="T1735" s="388"/>
      <c r="U1735" s="388"/>
      <c r="V1735" s="388"/>
      <c r="W1735" s="388"/>
      <c r="X1735" s="388"/>
      <c r="Y1735" s="389"/>
      <c r="Z1735" s="388"/>
      <c r="AA1735" s="388"/>
      <c r="AB1735" s="390"/>
    </row>
    <row r="1736" spans="1:28">
      <c r="A1736" s="391"/>
      <c r="B1736" s="392"/>
      <c r="C1736" s="393" t="s">
        <v>118</v>
      </c>
      <c r="D1736" s="2578">
        <f>VLOOKUP(D1735,'Detail Balok'!$C$10:$AU$140,2,FALSE)</f>
        <v>300</v>
      </c>
      <c r="E1736" s="2579"/>
      <c r="F1736" s="388" t="s">
        <v>125</v>
      </c>
      <c r="G1736" s="2579">
        <f>VLOOKUP(D1735,'Detail Balok'!$C$10:$AU$140,3,FALSE)</f>
        <v>600</v>
      </c>
      <c r="H1736" s="2580"/>
      <c r="I1736" s="388"/>
      <c r="J1736" s="396"/>
      <c r="K1736" s="396"/>
      <c r="L1736" s="396"/>
      <c r="M1736" s="396"/>
      <c r="N1736" s="396"/>
      <c r="O1736" s="396"/>
      <c r="P1736" s="396"/>
      <c r="Q1736" s="396"/>
      <c r="R1736" s="396"/>
      <c r="S1736" s="396"/>
      <c r="T1736" s="396"/>
      <c r="U1736" s="388"/>
      <c r="V1736" s="396"/>
      <c r="W1736" s="388"/>
      <c r="X1736" s="396"/>
      <c r="Y1736" s="389"/>
      <c r="Z1736" s="396"/>
      <c r="AA1736" s="388"/>
      <c r="AB1736" s="390"/>
    </row>
    <row r="1737" spans="1:28">
      <c r="A1737" s="391"/>
      <c r="B1737" s="392"/>
      <c r="C1737" s="393" t="s">
        <v>198</v>
      </c>
      <c r="D1737" s="2562">
        <f>VLOOKUP(C1735,'Data Panjang Balok'!$C$9:$N$254,4,FALSE)</f>
        <v>5690</v>
      </c>
      <c r="E1737" s="2563"/>
      <c r="F1737" s="2563"/>
      <c r="G1737" s="2563"/>
      <c r="H1737" s="2564"/>
      <c r="I1737" s="397"/>
      <c r="J1737" s="396"/>
      <c r="K1737" s="396"/>
      <c r="L1737" s="396"/>
      <c r="M1737" s="396"/>
      <c r="N1737" s="396"/>
      <c r="O1737" s="396"/>
      <c r="P1737" s="396"/>
      <c r="Q1737" s="396"/>
      <c r="R1737" s="396"/>
      <c r="S1737" s="396"/>
      <c r="T1737" s="396"/>
      <c r="U1737" s="388"/>
      <c r="V1737" s="396"/>
      <c r="W1737" s="388"/>
      <c r="X1737" s="396"/>
      <c r="Y1737" s="389"/>
      <c r="Z1737" s="396"/>
      <c r="AA1737" s="388"/>
      <c r="AB1737" s="390"/>
    </row>
    <row r="1738" spans="1:28">
      <c r="A1738" s="391"/>
      <c r="B1738" s="392"/>
      <c r="C1738" s="393" t="s">
        <v>199</v>
      </c>
      <c r="D1738" s="2562">
        <f>VLOOKUP(C1735,'Data Panjang Balok'!$C$9:$N$254,7,FALSE)</f>
        <v>5690</v>
      </c>
      <c r="E1738" s="2563"/>
      <c r="F1738" s="2563"/>
      <c r="G1738" s="2563"/>
      <c r="H1738" s="2564"/>
      <c r="I1738" s="397"/>
      <c r="J1738" s="396"/>
      <c r="K1738" s="396"/>
      <c r="L1738" s="396"/>
      <c r="M1738" s="396"/>
      <c r="N1738" s="396"/>
      <c r="O1738" s="396"/>
      <c r="P1738" s="396"/>
      <c r="Q1738" s="396"/>
      <c r="R1738" s="396"/>
      <c r="S1738" s="396"/>
      <c r="T1738" s="396"/>
      <c r="U1738" s="388"/>
      <c r="V1738" s="396"/>
      <c r="W1738" s="388"/>
      <c r="X1738" s="396"/>
      <c r="Y1738" s="389"/>
      <c r="Z1738" s="396"/>
      <c r="AA1738" s="388"/>
      <c r="AB1738" s="390"/>
    </row>
    <row r="1739" spans="1:28">
      <c r="A1739" s="391"/>
      <c r="B1739" s="392"/>
      <c r="C1739" s="393" t="s">
        <v>200</v>
      </c>
      <c r="D1739" s="2562">
        <f>VLOOKUP(C1735,'Data Panjang Balok'!$C$9:$N$254,9,FALSE)</f>
        <v>0</v>
      </c>
      <c r="E1739" s="2563"/>
      <c r="F1739" s="2563"/>
      <c r="G1739" s="2563"/>
      <c r="H1739" s="2564"/>
      <c r="I1739" s="397"/>
      <c r="J1739" s="396"/>
      <c r="K1739" s="396"/>
      <c r="L1739" s="396"/>
      <c r="M1739" s="396"/>
      <c r="N1739" s="396"/>
      <c r="O1739" s="396"/>
      <c r="P1739" s="396"/>
      <c r="Q1739" s="396"/>
      <c r="R1739" s="396"/>
      <c r="S1739" s="396"/>
      <c r="T1739" s="396"/>
      <c r="U1739" s="388"/>
      <c r="V1739" s="396"/>
      <c r="W1739" s="388"/>
      <c r="X1739" s="396"/>
      <c r="Y1739" s="389"/>
      <c r="Z1739" s="396"/>
      <c r="AA1739" s="388"/>
      <c r="AB1739" s="390"/>
    </row>
    <row r="1740" spans="1:28">
      <c r="A1740" s="391"/>
      <c r="B1740" s="392"/>
      <c r="C1740" s="393" t="s">
        <v>201</v>
      </c>
      <c r="D1740" s="2562">
        <f>VLOOKUP(C1735,'Data Panjang Balok'!$C$9:$N$254,10,FALSE)</f>
        <v>0</v>
      </c>
      <c r="E1740" s="2563"/>
      <c r="F1740" s="2563"/>
      <c r="G1740" s="2563"/>
      <c r="H1740" s="2564"/>
      <c r="I1740" s="397"/>
      <c r="J1740" s="396"/>
      <c r="K1740" s="396"/>
      <c r="L1740" s="396"/>
      <c r="M1740" s="396"/>
      <c r="N1740" s="396"/>
      <c r="O1740" s="396"/>
      <c r="P1740" s="396"/>
      <c r="Q1740" s="396"/>
      <c r="R1740" s="396"/>
      <c r="S1740" s="396"/>
      <c r="T1740" s="396"/>
      <c r="U1740" s="388"/>
      <c r="V1740" s="396"/>
      <c r="W1740" s="388"/>
      <c r="X1740" s="396"/>
      <c r="Y1740" s="389"/>
      <c r="Z1740" s="396"/>
      <c r="AA1740" s="388"/>
      <c r="AB1740" s="390"/>
    </row>
    <row r="1741" spans="1:28">
      <c r="A1741" s="391"/>
      <c r="B1741" s="392"/>
      <c r="C1741" s="393" t="s">
        <v>48</v>
      </c>
      <c r="D1741" s="2562">
        <f>VLOOKUP(C1735,'Data Panjang Balok'!$C$9:$N$254,3,FALSE)</f>
        <v>1</v>
      </c>
      <c r="E1741" s="2563"/>
      <c r="F1741" s="2563"/>
      <c r="G1741" s="2563"/>
      <c r="H1741" s="2564"/>
      <c r="I1741" s="397"/>
      <c r="J1741" s="396"/>
      <c r="K1741" s="396"/>
      <c r="L1741" s="396"/>
      <c r="M1741" s="396"/>
      <c r="N1741" s="396"/>
      <c r="O1741" s="396"/>
      <c r="P1741" s="396"/>
      <c r="Q1741" s="396"/>
      <c r="R1741" s="396"/>
      <c r="S1741" s="396"/>
      <c r="T1741" s="396"/>
      <c r="U1741" s="388"/>
      <c r="V1741" s="396"/>
      <c r="W1741" s="388"/>
      <c r="X1741" s="396"/>
      <c r="Y1741" s="389"/>
      <c r="Z1741" s="396"/>
      <c r="AA1741" s="388"/>
      <c r="AB1741" s="390"/>
    </row>
    <row r="1742" spans="1:28">
      <c r="A1742" s="384" t="str">
        <f t="shared" ref="A1742:B1742" si="5534">A1735</f>
        <v>Lantai 1</v>
      </c>
      <c r="B1742" s="385">
        <f t="shared" si="5534"/>
        <v>56</v>
      </c>
      <c r="C1742" s="393" t="s">
        <v>202</v>
      </c>
      <c r="D1742" s="398">
        <f>VLOOKUP(D1735,'Detail Balok'!$C$10:$AU$140,4,FALSE)</f>
        <v>4</v>
      </c>
      <c r="E1742" s="388" t="s">
        <v>16</v>
      </c>
      <c r="F1742" s="388">
        <f>VLOOKUP(D1735,'Detail Balok'!$C$10:$AU$140,6,FALSE)</f>
        <v>16</v>
      </c>
      <c r="G1742" s="388"/>
      <c r="H1742" s="395"/>
      <c r="I1742" s="388" t="s">
        <v>203</v>
      </c>
      <c r="J1742" s="399">
        <f t="shared" ref="J1742" si="5535">+D1737/4/1000</f>
        <v>1.4225000000000001</v>
      </c>
      <c r="K1742" s="400" t="s">
        <v>204</v>
      </c>
      <c r="L1742" s="399">
        <f t="shared" ref="L1742" si="5536">MAX(VLOOKUP(F1742,N$6:P$15,3,FALSE)/1000,2/3*D1739/1000)+F$16*F1742/1000</f>
        <v>0.192</v>
      </c>
      <c r="M1742" s="399" t="s">
        <v>176</v>
      </c>
      <c r="N1742" s="399">
        <f t="shared" ref="N1742:N1744" si="5537">J1742+L1742</f>
        <v>1.6145</v>
      </c>
      <c r="O1742" s="399" t="s">
        <v>204</v>
      </c>
      <c r="P1742" s="389">
        <f t="shared" ref="P1742" si="5538">D1742-D1743</f>
        <v>0</v>
      </c>
      <c r="Q1742" s="399" t="s">
        <v>125</v>
      </c>
      <c r="R1742" s="399">
        <f t="shared" ref="R1742" si="5539">IF(P1742&gt;0,$F$18*F1742/1000,0)</f>
        <v>0</v>
      </c>
      <c r="S1742" s="399" t="s">
        <v>205</v>
      </c>
      <c r="T1742" s="399" t="s">
        <v>125</v>
      </c>
      <c r="U1742" s="401">
        <f t="shared" ref="U1742:U1744" si="5540">0.006165*F1742^2</f>
        <v>1.5782400000000001</v>
      </c>
      <c r="V1742" s="399"/>
      <c r="W1742" s="399"/>
      <c r="X1742" s="399" t="s">
        <v>125</v>
      </c>
      <c r="Y1742" s="389">
        <f t="shared" ref="Y1742" si="5541">D1741</f>
        <v>1</v>
      </c>
      <c r="Z1742" s="400" t="s">
        <v>176</v>
      </c>
      <c r="AA1742" s="402">
        <f t="shared" ref="AA1742" si="5542">IF(AA1745=0,(D1742*N1742+P1742*R1742)*U1742*Y1742,0)</f>
        <v>0</v>
      </c>
      <c r="AB1742" s="403"/>
    </row>
    <row r="1743" spans="1:28">
      <c r="A1743" s="384" t="str">
        <f t="shared" ref="A1743:B1743" si="5543">A1735</f>
        <v>Lantai 1</v>
      </c>
      <c r="B1743" s="385">
        <f t="shared" si="5543"/>
        <v>56</v>
      </c>
      <c r="C1743" s="393" t="s">
        <v>206</v>
      </c>
      <c r="D1743" s="398">
        <f>VLOOKUP(D1735,'Detail Balok'!$C$10:$AU$140,7,FALSE)</f>
        <v>4</v>
      </c>
      <c r="E1743" s="388" t="s">
        <v>16</v>
      </c>
      <c r="F1743" s="388">
        <f>VLOOKUP(D1735,'Detail Balok'!$C$10:$AU$140,9,FALSE)</f>
        <v>16</v>
      </c>
      <c r="G1743" s="388"/>
      <c r="H1743" s="395"/>
      <c r="I1743" s="388" t="s">
        <v>203</v>
      </c>
      <c r="J1743" s="399">
        <f t="shared" ref="J1743" si="5544">+D1737/2/1000</f>
        <v>2.8450000000000002</v>
      </c>
      <c r="K1743" s="400" t="s">
        <v>204</v>
      </c>
      <c r="L1743" s="399"/>
      <c r="M1743" s="399" t="s">
        <v>176</v>
      </c>
      <c r="N1743" s="399">
        <f t="shared" si="5537"/>
        <v>2.8450000000000002</v>
      </c>
      <c r="O1743" s="399" t="s">
        <v>204</v>
      </c>
      <c r="P1743" s="389">
        <f t="shared" ref="P1743" si="5545">MAX(D1743-D1742,D1743-D1744)</f>
        <v>0</v>
      </c>
      <c r="Q1743" s="399" t="s">
        <v>125</v>
      </c>
      <c r="R1743" s="399">
        <f t="shared" ref="R1743" si="5546">IF(P1743&gt;0,2*(1-2*$F$19-1/2)*D1738/1000,0)</f>
        <v>0</v>
      </c>
      <c r="S1743" s="399" t="s">
        <v>205</v>
      </c>
      <c r="T1743" s="399" t="s">
        <v>125</v>
      </c>
      <c r="U1743" s="401">
        <f t="shared" si="5540"/>
        <v>1.5782400000000001</v>
      </c>
      <c r="V1743" s="399"/>
      <c r="W1743" s="399"/>
      <c r="X1743" s="399" t="s">
        <v>125</v>
      </c>
      <c r="Y1743" s="389">
        <f t="shared" ref="Y1743" si="5547">D1741</f>
        <v>1</v>
      </c>
      <c r="Z1743" s="400" t="s">
        <v>176</v>
      </c>
      <c r="AA1743" s="402">
        <f t="shared" ref="AA1743" si="5548">IF(AA1745=0,(D1743*N1743+P1743*R1743)*U1743*Y1743,0)</f>
        <v>0</v>
      </c>
      <c r="AB1743" s="403"/>
    </row>
    <row r="1744" spans="1:28">
      <c r="A1744" s="384" t="str">
        <f t="shared" ref="A1744:B1744" si="5549">A1735</f>
        <v>Lantai 1</v>
      </c>
      <c r="B1744" s="385">
        <f t="shared" si="5549"/>
        <v>56</v>
      </c>
      <c r="C1744" s="393" t="s">
        <v>202</v>
      </c>
      <c r="D1744" s="398">
        <f>VLOOKUP(D1735,'Detail Balok'!$C$10:$AU$140,10,FALSE)</f>
        <v>4</v>
      </c>
      <c r="E1744" s="388" t="s">
        <v>16</v>
      </c>
      <c r="F1744" s="388">
        <f>VLOOKUP(D1735,'Detail Balok'!$C$10:$AU$140,12,FALSE)</f>
        <v>16</v>
      </c>
      <c r="G1744" s="388"/>
      <c r="H1744" s="395"/>
      <c r="I1744" s="388" t="s">
        <v>203</v>
      </c>
      <c r="J1744" s="399">
        <f t="shared" ref="J1744" si="5550">+D1737/4/1000</f>
        <v>1.4225000000000001</v>
      </c>
      <c r="K1744" s="400" t="s">
        <v>204</v>
      </c>
      <c r="L1744" s="399">
        <f t="shared" ref="L1744" si="5551">MAX(VLOOKUP(F1744,N$6:P$15,3,FALSE)/1000,2/3*D1739/1000)+F$16*F1744/1000</f>
        <v>0.192</v>
      </c>
      <c r="M1744" s="399" t="s">
        <v>176</v>
      </c>
      <c r="N1744" s="399">
        <f t="shared" si="5537"/>
        <v>1.6145</v>
      </c>
      <c r="O1744" s="399" t="s">
        <v>204</v>
      </c>
      <c r="P1744" s="389">
        <f t="shared" ref="P1744" si="5552">D1744-D1743</f>
        <v>0</v>
      </c>
      <c r="Q1744" s="399" t="s">
        <v>125</v>
      </c>
      <c r="R1744" s="399">
        <f t="shared" ref="R1744" si="5553">IF(P1744&gt;0,$F$18*F1744/1000,0)</f>
        <v>0</v>
      </c>
      <c r="S1744" s="399" t="s">
        <v>205</v>
      </c>
      <c r="T1744" s="399" t="s">
        <v>125</v>
      </c>
      <c r="U1744" s="401">
        <f t="shared" si="5540"/>
        <v>1.5782400000000001</v>
      </c>
      <c r="V1744" s="399"/>
      <c r="W1744" s="399"/>
      <c r="X1744" s="399" t="s">
        <v>125</v>
      </c>
      <c r="Y1744" s="389">
        <f t="shared" ref="Y1744" si="5554">D1741</f>
        <v>1</v>
      </c>
      <c r="Z1744" s="400" t="s">
        <v>176</v>
      </c>
      <c r="AA1744" s="402">
        <f t="shared" ref="AA1744" si="5555">IF(AA1745=0,(D1744*N1744+P1744*R1744)*U1744*Y1744,0)</f>
        <v>0</v>
      </c>
      <c r="AB1744" s="403"/>
    </row>
    <row r="1745" spans="1:28">
      <c r="A1745" s="384" t="str">
        <f t="shared" ref="A1745:B1745" si="5556">A1735</f>
        <v>Lantai 1</v>
      </c>
      <c r="B1745" s="385">
        <f t="shared" si="5556"/>
        <v>56</v>
      </c>
      <c r="C1745" s="393"/>
      <c r="D1745" s="398">
        <f t="shared" si="5452"/>
        <v>4</v>
      </c>
      <c r="E1745" s="388" t="s">
        <v>16</v>
      </c>
      <c r="F1745" s="388">
        <f t="shared" si="5453"/>
        <v>16</v>
      </c>
      <c r="G1745" s="388"/>
      <c r="H1745" s="395"/>
      <c r="I1745" s="388"/>
      <c r="J1745" s="396"/>
      <c r="K1745" s="396"/>
      <c r="L1745" s="404" t="s">
        <v>207</v>
      </c>
      <c r="M1745" s="399" t="s">
        <v>176</v>
      </c>
      <c r="N1745" s="399">
        <f t="shared" ref="N1745" si="5557">IF(AND(D1742=D1743,D1742=D1744,D1743=D1744,F1742=F1743,F1742=F1744,F1743=F1744),SUM(N1742:N1744),0)</f>
        <v>6.0739999999999998</v>
      </c>
      <c r="O1745" s="399" t="s">
        <v>204</v>
      </c>
      <c r="P1745" s="389">
        <f t="shared" ref="P1745" si="5558">IF(N1745&gt;12,ROUNDDOWN(N1745/12,0),0)</f>
        <v>0</v>
      </c>
      <c r="Q1745" s="399" t="s">
        <v>125</v>
      </c>
      <c r="R1745" s="399">
        <f t="shared" ref="R1745" si="5559">IF(P1745&gt;0,MAX(VLOOKUP(F1745,$D$6:$G$15,3,FALSE),600),0)/1000</f>
        <v>0</v>
      </c>
      <c r="S1745" s="396"/>
      <c r="T1745" s="396" t="s">
        <v>125</v>
      </c>
      <c r="U1745" s="401">
        <f t="shared" si="5457"/>
        <v>1.5782400000000001</v>
      </c>
      <c r="V1745" s="396" t="s">
        <v>125</v>
      </c>
      <c r="W1745" s="399">
        <f t="shared" ref="W1745" si="5560">D1745</f>
        <v>4</v>
      </c>
      <c r="X1745" s="399" t="s">
        <v>125</v>
      </c>
      <c r="Y1745" s="389">
        <f t="shared" si="5459"/>
        <v>1</v>
      </c>
      <c r="Z1745" s="400" t="s">
        <v>176</v>
      </c>
      <c r="AA1745" s="402">
        <f t="shared" ref="AA1745" si="5561">(N1745+P1745*R1745/1000)*U1745*W1745*Y1745</f>
        <v>38.344919040000001</v>
      </c>
      <c r="AB1745" s="390"/>
    </row>
    <row r="1746" spans="1:28">
      <c r="A1746" s="384"/>
      <c r="B1746" s="385"/>
      <c r="C1746" s="393"/>
      <c r="D1746" s="398"/>
      <c r="E1746" s="388"/>
      <c r="F1746" s="388"/>
      <c r="G1746" s="388"/>
      <c r="H1746" s="395"/>
      <c r="I1746" s="388"/>
      <c r="J1746" s="396"/>
      <c r="K1746" s="396"/>
      <c r="L1746" s="404"/>
      <c r="M1746" s="399"/>
      <c r="N1746" s="399"/>
      <c r="O1746" s="396"/>
      <c r="P1746" s="389"/>
      <c r="Q1746" s="396"/>
      <c r="R1746" s="396"/>
      <c r="S1746" s="396"/>
      <c r="T1746" s="396"/>
      <c r="U1746" s="401"/>
      <c r="V1746" s="396"/>
      <c r="W1746" s="399"/>
      <c r="X1746" s="396"/>
      <c r="Y1746" s="389"/>
      <c r="Z1746" s="396"/>
      <c r="AA1746" s="388"/>
      <c r="AB1746" s="390"/>
    </row>
    <row r="1747" spans="1:28">
      <c r="A1747" s="384" t="str">
        <f t="shared" ref="A1747:B1747" si="5562">A1735</f>
        <v>Lantai 1</v>
      </c>
      <c r="B1747" s="385">
        <f t="shared" si="5562"/>
        <v>56</v>
      </c>
      <c r="C1747" s="393" t="s">
        <v>208</v>
      </c>
      <c r="D1747" s="398">
        <f>VLOOKUP(D1735,'Detail Balok'!$C$10:$AU$140,13,FALSE)</f>
        <v>2</v>
      </c>
      <c r="E1747" s="388" t="s">
        <v>16</v>
      </c>
      <c r="F1747" s="388">
        <f>VLOOKUP(D1735,'Detail Balok'!$C$10:$AU$140,15,FALSE)</f>
        <v>10</v>
      </c>
      <c r="G1747" s="388"/>
      <c r="H1747" s="395"/>
      <c r="I1747" s="388"/>
      <c r="J1747" s="399">
        <f t="shared" ref="J1747" si="5563">+D1737/1000</f>
        <v>5.69</v>
      </c>
      <c r="K1747" s="400" t="s">
        <v>204</v>
      </c>
      <c r="L1747" s="399">
        <f t="shared" ref="L1747" si="5564">2*$F$16*F1747/1000</f>
        <v>0.24</v>
      </c>
      <c r="M1747" s="399" t="s">
        <v>176</v>
      </c>
      <c r="N1747" s="399">
        <f t="shared" ref="N1747" si="5565">J1747+L1747</f>
        <v>5.9300000000000006</v>
      </c>
      <c r="O1747" s="399" t="s">
        <v>204</v>
      </c>
      <c r="P1747" s="389">
        <f t="shared" ref="P1747" si="5566">IF(N1747&gt;12,ROUNDDOWN(N1747/12,0),0)</f>
        <v>0</v>
      </c>
      <c r="Q1747" s="399" t="s">
        <v>125</v>
      </c>
      <c r="R1747" s="399">
        <f t="shared" ref="R1747" si="5567">IF(P1747&gt;0,MAX(VLOOKUP(F1747,$D$6:$G$15,3,FALSE),600),0)/1000</f>
        <v>0</v>
      </c>
      <c r="S1747" s="399"/>
      <c r="T1747" s="399" t="s">
        <v>125</v>
      </c>
      <c r="U1747" s="401">
        <f t="shared" ref="U1747" si="5568">0.006165*F1747^2</f>
        <v>0.61650000000000005</v>
      </c>
      <c r="V1747" s="399" t="s">
        <v>125</v>
      </c>
      <c r="W1747" s="399">
        <f t="shared" ref="W1747" si="5569">+D1747</f>
        <v>2</v>
      </c>
      <c r="X1747" s="399" t="s">
        <v>125</v>
      </c>
      <c r="Y1747" s="389">
        <f t="shared" ref="Y1747" si="5570">D1741</f>
        <v>1</v>
      </c>
      <c r="Z1747" s="400" t="s">
        <v>176</v>
      </c>
      <c r="AA1747" s="402">
        <f t="shared" ref="AA1747" si="5571">(N1747+P1747*R1747/1000)*U1747*W1747*Y1747</f>
        <v>7.3116900000000014</v>
      </c>
      <c r="AB1747" s="403"/>
    </row>
    <row r="1748" spans="1:28">
      <c r="A1748" s="384"/>
      <c r="B1748" s="385"/>
      <c r="C1748" s="393"/>
      <c r="D1748" s="398"/>
      <c r="E1748" s="388"/>
      <c r="F1748" s="388"/>
      <c r="G1748" s="388"/>
      <c r="H1748" s="395"/>
      <c r="I1748" s="388"/>
      <c r="J1748" s="399"/>
      <c r="K1748" s="400"/>
      <c r="L1748" s="399"/>
      <c r="M1748" s="399"/>
      <c r="N1748" s="399"/>
      <c r="O1748" s="399"/>
      <c r="P1748" s="389"/>
      <c r="Q1748" s="399"/>
      <c r="R1748" s="399"/>
      <c r="S1748" s="399"/>
      <c r="T1748" s="399"/>
      <c r="U1748" s="401"/>
      <c r="V1748" s="399"/>
      <c r="W1748" s="399"/>
      <c r="X1748" s="399"/>
      <c r="Y1748" s="389"/>
      <c r="Z1748" s="400"/>
      <c r="AA1748" s="402"/>
      <c r="AB1748" s="403"/>
    </row>
    <row r="1749" spans="1:28">
      <c r="A1749" s="384"/>
      <c r="B1749" s="385"/>
      <c r="C1749" s="393"/>
      <c r="D1749" s="398"/>
      <c r="E1749" s="388"/>
      <c r="F1749" s="388"/>
      <c r="G1749" s="388"/>
      <c r="H1749" s="395"/>
      <c r="I1749" s="388"/>
      <c r="J1749" s="396"/>
      <c r="K1749" s="396"/>
      <c r="L1749" s="396"/>
      <c r="M1749" s="396"/>
      <c r="N1749" s="396"/>
      <c r="O1749" s="396"/>
      <c r="P1749" s="389"/>
      <c r="Q1749" s="396"/>
      <c r="R1749" s="396"/>
      <c r="S1749" s="396"/>
      <c r="T1749" s="396"/>
      <c r="U1749" s="401"/>
      <c r="V1749" s="396"/>
      <c r="W1749" s="399"/>
      <c r="X1749" s="396"/>
      <c r="Y1749" s="389"/>
      <c r="Z1749" s="396"/>
      <c r="AA1749" s="388"/>
      <c r="AB1749" s="390"/>
    </row>
    <row r="1750" spans="1:28">
      <c r="A1750" s="384" t="str">
        <f t="shared" ref="A1750:B1750" si="5572">A1735</f>
        <v>Lantai 1</v>
      </c>
      <c r="B1750" s="385">
        <f t="shared" si="5572"/>
        <v>56</v>
      </c>
      <c r="C1750" s="393" t="s">
        <v>209</v>
      </c>
      <c r="D1750" s="398">
        <f>VLOOKUP(D1735,'Detail Balok'!$C$10:$AU$140,22,FALSE)</f>
        <v>4</v>
      </c>
      <c r="E1750" s="388" t="s">
        <v>16</v>
      </c>
      <c r="F1750" s="388">
        <f>VLOOKUP(D1735,'Detail Balok'!$C$10:$AU$140,24,FALSE)</f>
        <v>16</v>
      </c>
      <c r="G1750" s="388"/>
      <c r="H1750" s="395"/>
      <c r="I1750" s="388" t="s">
        <v>203</v>
      </c>
      <c r="J1750" s="399">
        <f t="shared" si="5472"/>
        <v>1.4225000000000001</v>
      </c>
      <c r="K1750" s="400" t="s">
        <v>204</v>
      </c>
      <c r="L1750" s="399">
        <f t="shared" ref="L1750" si="5573">MAX(VLOOKUP(F1750,N$6:P$15,3,FALSE)/1000,2/3*D1740/1000)+F$16*F1750/1000</f>
        <v>0.192</v>
      </c>
      <c r="M1750" s="399" t="s">
        <v>176</v>
      </c>
      <c r="N1750" s="399">
        <f t="shared" ref="N1750:N1752" si="5574">J1750+L1750</f>
        <v>1.6145</v>
      </c>
      <c r="O1750" s="399" t="s">
        <v>204</v>
      </c>
      <c r="P1750" s="389">
        <f t="shared" ref="P1750" si="5575">D1750-D1751</f>
        <v>0</v>
      </c>
      <c r="Q1750" s="399" t="s">
        <v>125</v>
      </c>
      <c r="R1750" s="399">
        <f t="shared" ref="R1750" si="5576">IF(P1750&gt;0,$F$18*F1750/1000,0)</f>
        <v>0</v>
      </c>
      <c r="S1750" s="399" t="s">
        <v>205</v>
      </c>
      <c r="T1750" s="399" t="s">
        <v>125</v>
      </c>
      <c r="U1750" s="401">
        <f t="shared" ref="U1750:U1752" si="5577">0.006165*F1750^2</f>
        <v>1.5782400000000001</v>
      </c>
      <c r="V1750" s="399"/>
      <c r="W1750" s="399"/>
      <c r="X1750" s="399" t="s">
        <v>125</v>
      </c>
      <c r="Y1750" s="389">
        <f t="shared" ref="Y1750" si="5578">D1741</f>
        <v>1</v>
      </c>
      <c r="Z1750" s="400" t="s">
        <v>176</v>
      </c>
      <c r="AA1750" s="402">
        <f t="shared" ref="AA1750" si="5579">IF(AA1753=0,(D1750*N1750+P1750*R1750)*U1750*Y1750,0)</f>
        <v>0</v>
      </c>
      <c r="AB1750" s="403"/>
    </row>
    <row r="1751" spans="1:28">
      <c r="A1751" s="384" t="str">
        <f t="shared" ref="A1751:B1751" si="5580">A1735</f>
        <v>Lantai 1</v>
      </c>
      <c r="B1751" s="385">
        <f t="shared" si="5580"/>
        <v>56</v>
      </c>
      <c r="C1751" s="393" t="s">
        <v>210</v>
      </c>
      <c r="D1751" s="398">
        <f>VLOOKUP(D1735,'Detail Balok'!$C$10:$AU$140,25,FALSE)</f>
        <v>4</v>
      </c>
      <c r="E1751" s="388" t="s">
        <v>16</v>
      </c>
      <c r="F1751" s="388">
        <f>VLOOKUP(D1735,'Detail Balok'!$C$10:$AU$140,27,FALSE)</f>
        <v>16</v>
      </c>
      <c r="G1751" s="388"/>
      <c r="H1751" s="395"/>
      <c r="I1751" s="388" t="s">
        <v>203</v>
      </c>
      <c r="J1751" s="399">
        <f t="shared" si="5472"/>
        <v>2.8450000000000002</v>
      </c>
      <c r="K1751" s="400" t="s">
        <v>204</v>
      </c>
      <c r="L1751" s="399"/>
      <c r="M1751" s="399" t="s">
        <v>176</v>
      </c>
      <c r="N1751" s="399">
        <f t="shared" si="5574"/>
        <v>2.8450000000000002</v>
      </c>
      <c r="O1751" s="399" t="s">
        <v>204</v>
      </c>
      <c r="P1751" s="389">
        <f t="shared" ref="P1751" si="5581">MAX(D1751-D1750,D1751-D1752)</f>
        <v>0</v>
      </c>
      <c r="Q1751" s="399" t="s">
        <v>125</v>
      </c>
      <c r="R1751" s="399">
        <f t="shared" ref="R1751" si="5582">IF(P1751&gt;0,2*(1-2*$F$19-1/2)*D1738/1000,0)</f>
        <v>0</v>
      </c>
      <c r="S1751" s="399" t="s">
        <v>205</v>
      </c>
      <c r="T1751" s="399" t="s">
        <v>125</v>
      </c>
      <c r="U1751" s="401">
        <f t="shared" si="5577"/>
        <v>1.5782400000000001</v>
      </c>
      <c r="V1751" s="399"/>
      <c r="W1751" s="399"/>
      <c r="X1751" s="399" t="s">
        <v>125</v>
      </c>
      <c r="Y1751" s="389">
        <f t="shared" ref="Y1751" si="5583">D1741</f>
        <v>1</v>
      </c>
      <c r="Z1751" s="400" t="s">
        <v>176</v>
      </c>
      <c r="AA1751" s="402">
        <f t="shared" ref="AA1751" si="5584">IF(AA1753=0,(D1751*N1751+P1751*R1751)*U1751*Y1751,0)</f>
        <v>0</v>
      </c>
      <c r="AB1751" s="403"/>
    </row>
    <row r="1752" spans="1:28">
      <c r="A1752" s="384" t="str">
        <f t="shared" ref="A1752:B1752" si="5585">A1735</f>
        <v>Lantai 1</v>
      </c>
      <c r="B1752" s="385">
        <f t="shared" si="5585"/>
        <v>56</v>
      </c>
      <c r="C1752" s="393" t="s">
        <v>209</v>
      </c>
      <c r="D1752" s="398">
        <f>VLOOKUP(D1735,'Detail Balok'!$C$10:$AU$140,28,FALSE)</f>
        <v>4</v>
      </c>
      <c r="E1752" s="388" t="s">
        <v>16</v>
      </c>
      <c r="F1752" s="388">
        <f>VLOOKUP(D1735,'Detail Balok'!$C$10:$AU$140,30,FALSE)</f>
        <v>16</v>
      </c>
      <c r="G1752" s="388"/>
      <c r="H1752" s="395"/>
      <c r="I1752" s="388" t="s">
        <v>203</v>
      </c>
      <c r="J1752" s="399">
        <f t="shared" si="5472"/>
        <v>1.4225000000000001</v>
      </c>
      <c r="K1752" s="400" t="s">
        <v>204</v>
      </c>
      <c r="L1752" s="399">
        <f t="shared" ref="L1752" si="5586">MAX(VLOOKUP(F1752,N$6:P$15,3,FALSE)/1000,2/3*D1740/1000)+F$16*F1752/1000</f>
        <v>0.192</v>
      </c>
      <c r="M1752" s="399" t="s">
        <v>176</v>
      </c>
      <c r="N1752" s="399">
        <f t="shared" si="5574"/>
        <v>1.6145</v>
      </c>
      <c r="O1752" s="399" t="s">
        <v>204</v>
      </c>
      <c r="P1752" s="389">
        <f t="shared" ref="P1752" si="5587">D1752-D1751</f>
        <v>0</v>
      </c>
      <c r="Q1752" s="399" t="s">
        <v>125</v>
      </c>
      <c r="R1752" s="399">
        <f t="shared" ref="R1752" si="5588">IF(P1752&gt;0,$F$18*F1752/1000,0)</f>
        <v>0</v>
      </c>
      <c r="S1752" s="399" t="s">
        <v>205</v>
      </c>
      <c r="T1752" s="399" t="s">
        <v>125</v>
      </c>
      <c r="U1752" s="401">
        <f t="shared" si="5577"/>
        <v>1.5782400000000001</v>
      </c>
      <c r="V1752" s="399"/>
      <c r="W1752" s="399"/>
      <c r="X1752" s="399" t="s">
        <v>125</v>
      </c>
      <c r="Y1752" s="389">
        <f t="shared" ref="Y1752" si="5589">D1741</f>
        <v>1</v>
      </c>
      <c r="Z1752" s="400" t="s">
        <v>176</v>
      </c>
      <c r="AA1752" s="402">
        <f t="shared" ref="AA1752" si="5590">IF(AA1753=0,(D1752*N1752+P1752*R1752)*U1752*Y1752,0)</f>
        <v>0</v>
      </c>
      <c r="AB1752" s="403"/>
    </row>
    <row r="1753" spans="1:28">
      <c r="A1753" s="384" t="str">
        <f t="shared" ref="A1753:B1753" si="5591">A1735</f>
        <v>Lantai 1</v>
      </c>
      <c r="B1753" s="385">
        <f t="shared" si="5591"/>
        <v>56</v>
      </c>
      <c r="C1753" s="393"/>
      <c r="D1753" s="398">
        <f t="shared" si="5492"/>
        <v>4</v>
      </c>
      <c r="E1753" s="388" t="s">
        <v>16</v>
      </c>
      <c r="F1753" s="388">
        <f t="shared" si="5493"/>
        <v>16</v>
      </c>
      <c r="G1753" s="388"/>
      <c r="H1753" s="395"/>
      <c r="I1753" s="388"/>
      <c r="J1753" s="396"/>
      <c r="K1753" s="396"/>
      <c r="L1753" s="404" t="s">
        <v>207</v>
      </c>
      <c r="M1753" s="399" t="s">
        <v>176</v>
      </c>
      <c r="N1753" s="399">
        <f t="shared" ref="N1753" si="5592">IF(AND(D1750=D1751,D1750=D1752,D1751=D1752,F1750=F1751,F1750=F1752,F1751=F1752),SUM(N1750:N1752),0)</f>
        <v>6.0739999999999998</v>
      </c>
      <c r="O1753" s="399" t="s">
        <v>204</v>
      </c>
      <c r="P1753" s="389">
        <f t="shared" ref="P1753" si="5593">IF(N1753&gt;12,ROUNDDOWN(N1753/12,0),0)</f>
        <v>0</v>
      </c>
      <c r="Q1753" s="399" t="s">
        <v>125</v>
      </c>
      <c r="R1753" s="399">
        <f t="shared" ref="R1753" si="5594">IF(P1753&gt;0,MAX(VLOOKUP(F1753,$D$6:$G$15,3,FALSE),600),0)/1000</f>
        <v>0</v>
      </c>
      <c r="S1753" s="396"/>
      <c r="T1753" s="396" t="s">
        <v>125</v>
      </c>
      <c r="U1753" s="401">
        <f t="shared" si="5497"/>
        <v>1.5782400000000001</v>
      </c>
      <c r="V1753" s="396" t="s">
        <v>125</v>
      </c>
      <c r="W1753" s="399">
        <f t="shared" ref="W1753" si="5595">D1753</f>
        <v>4</v>
      </c>
      <c r="X1753" s="399" t="s">
        <v>125</v>
      </c>
      <c r="Y1753" s="389">
        <f t="shared" si="5499"/>
        <v>1</v>
      </c>
      <c r="Z1753" s="400" t="s">
        <v>176</v>
      </c>
      <c r="AA1753" s="402">
        <f t="shared" ref="AA1753" si="5596">(N1753+P1753*R1753/1000)*U1753*W1753*Y1753</f>
        <v>38.344919040000001</v>
      </c>
      <c r="AB1753" s="403"/>
    </row>
    <row r="1754" spans="1:28">
      <c r="A1754" s="384"/>
      <c r="B1754" s="385"/>
      <c r="C1754" s="393"/>
      <c r="D1754" s="394"/>
      <c r="E1754" s="388"/>
      <c r="F1754" s="388"/>
      <c r="G1754" s="388"/>
      <c r="H1754" s="395"/>
      <c r="I1754" s="388"/>
      <c r="J1754" s="399"/>
      <c r="K1754" s="396"/>
      <c r="L1754" s="396"/>
      <c r="M1754" s="396"/>
      <c r="N1754" s="396"/>
      <c r="O1754" s="396"/>
      <c r="P1754" s="389"/>
      <c r="Q1754" s="396"/>
      <c r="R1754" s="396"/>
      <c r="S1754" s="396"/>
      <c r="T1754" s="396"/>
      <c r="U1754" s="401"/>
      <c r="V1754" s="396"/>
      <c r="W1754" s="388"/>
      <c r="X1754" s="396"/>
      <c r="Y1754" s="389"/>
      <c r="Z1754" s="396"/>
      <c r="AA1754" s="388"/>
      <c r="AB1754" s="390"/>
    </row>
    <row r="1755" spans="1:28">
      <c r="A1755" s="384" t="str">
        <f t="shared" ref="A1755:B1755" si="5597">A1735</f>
        <v>Lantai 1</v>
      </c>
      <c r="B1755" s="385">
        <f t="shared" si="5597"/>
        <v>56</v>
      </c>
      <c r="C1755" s="393" t="s">
        <v>211</v>
      </c>
      <c r="D1755" s="398">
        <f>VLOOKUP(D1735,'Detail Balok'!$C$10:$AU$140,31,FALSE)</f>
        <v>0</v>
      </c>
      <c r="E1755" s="388" t="s">
        <v>16</v>
      </c>
      <c r="F1755" s="388">
        <f>VLOOKUP(D1735,'Detail Balok'!$C$10:$AU$140,33,FALSE)</f>
        <v>8</v>
      </c>
      <c r="G1755" s="405" t="s">
        <v>157</v>
      </c>
      <c r="H1755" s="395">
        <f>VLOOKUP(D1735,'Detail Balok'!$C$10:$AU$140,35,FALSE)</f>
        <v>150</v>
      </c>
      <c r="I1755" s="388"/>
      <c r="J1755" s="400">
        <f t="shared" ref="J1755" si="5598">(IF(D1755=0,(2*(D1736+G1736))-(F$5*8),IF(D1755=3,(2*(D1736+G1736))-(F$5*8)+(G1736-2*F$5),IF(D1755=4,(2*(D1736+G1736))-(F$5*8)+2*(G1736-2*F$5)))))/1000</f>
        <v>1.48</v>
      </c>
      <c r="K1755" s="400" t="s">
        <v>204</v>
      </c>
      <c r="L1755" s="399">
        <f t="shared" ref="L1755:L1757" si="5599">IF(D1755=0,2*MAX(6*F1755,75),(D1755-1)*2*MAX(6*F1755,75))/1000</f>
        <v>0.15</v>
      </c>
      <c r="M1755" s="399" t="s">
        <v>176</v>
      </c>
      <c r="N1755" s="399">
        <f t="shared" ref="N1755:N1757" si="5600">J1755+L1755</f>
        <v>1.63</v>
      </c>
      <c r="O1755" s="399"/>
      <c r="P1755" s="389"/>
      <c r="Q1755" s="399"/>
      <c r="R1755" s="399"/>
      <c r="S1755" s="399"/>
      <c r="T1755" s="399" t="s">
        <v>125</v>
      </c>
      <c r="U1755" s="401">
        <f t="shared" ref="U1755:U1757" si="5601">0.006165*F1755^2</f>
        <v>0.39456000000000002</v>
      </c>
      <c r="V1755" s="399" t="s">
        <v>125</v>
      </c>
      <c r="W1755" s="399">
        <f t="shared" ref="W1755" si="5602">IF(D1738&gt;4*G1736,ROUND(MAX(D1738/4,2*G1736)/H1755,0)+1,ROUND(D1738/H1755,0)+1)</f>
        <v>10</v>
      </c>
      <c r="X1755" s="399" t="s">
        <v>125</v>
      </c>
      <c r="Y1755" s="389">
        <f t="shared" ref="Y1755" si="5603">D1741</f>
        <v>1</v>
      </c>
      <c r="Z1755" s="400" t="s">
        <v>176</v>
      </c>
      <c r="AA1755" s="402">
        <f t="shared" ref="AA1755:AA1757" si="5604">N1755*U1755*W1755*Y1755</f>
        <v>6.4313279999999997</v>
      </c>
      <c r="AB1755" s="403"/>
    </row>
    <row r="1756" spans="1:28">
      <c r="A1756" s="384" t="str">
        <f t="shared" ref="A1756:B1756" si="5605">A1735</f>
        <v>Lantai 1</v>
      </c>
      <c r="B1756" s="385">
        <f t="shared" si="5605"/>
        <v>56</v>
      </c>
      <c r="C1756" s="393" t="s">
        <v>212</v>
      </c>
      <c r="D1756" s="398">
        <f>VLOOKUP(D1735,'Detail Balok'!$C$10:$AU$140,36,FALSE)</f>
        <v>0</v>
      </c>
      <c r="E1756" s="388" t="s">
        <v>16</v>
      </c>
      <c r="F1756" s="388">
        <f>VLOOKUP(D1735,'Detail Balok'!$C$10:$AU$140,38,FALSE)</f>
        <v>8</v>
      </c>
      <c r="G1756" s="405" t="s">
        <v>157</v>
      </c>
      <c r="H1756" s="395">
        <f>VLOOKUP(D1735,'Detail Balok'!$C$10:$AU$140,40,FALSE)</f>
        <v>200</v>
      </c>
      <c r="I1756" s="388"/>
      <c r="J1756" s="400">
        <f t="shared" ref="J1756" si="5606">(IF(D1756=0,(2*(D1736+G1736))-(F$5*8),IF(D1756=3,(2*(D1736+G1736))-(F$5*8)+(G1736-2*F$5),IF(D1756=4,(2*(D1736+G1736))-(F$5*8)+2*(G1736-2*F$5)))))/1000</f>
        <v>1.48</v>
      </c>
      <c r="K1756" s="400" t="s">
        <v>204</v>
      </c>
      <c r="L1756" s="399">
        <f t="shared" si="5599"/>
        <v>0.15</v>
      </c>
      <c r="M1756" s="399" t="s">
        <v>176</v>
      </c>
      <c r="N1756" s="399">
        <f t="shared" si="5600"/>
        <v>1.63</v>
      </c>
      <c r="O1756" s="399"/>
      <c r="P1756" s="389"/>
      <c r="Q1756" s="399"/>
      <c r="R1756" s="399"/>
      <c r="S1756" s="399"/>
      <c r="T1756" s="399" t="s">
        <v>125</v>
      </c>
      <c r="U1756" s="401">
        <f t="shared" si="5601"/>
        <v>0.39456000000000002</v>
      </c>
      <c r="V1756" s="399" t="s">
        <v>125</v>
      </c>
      <c r="W1756" s="399">
        <f t="shared" ref="W1756" si="5607">IF(D1738-MAX(D1738/4,2*G1736)*2&gt;0,ROUND((D1738-MAX(D1738/4,2*G1736)*2)/H1756,0),0)</f>
        <v>14</v>
      </c>
      <c r="X1756" s="399" t="s">
        <v>125</v>
      </c>
      <c r="Y1756" s="389">
        <f t="shared" ref="Y1756" si="5608">D1741</f>
        <v>1</v>
      </c>
      <c r="Z1756" s="400" t="s">
        <v>176</v>
      </c>
      <c r="AA1756" s="402">
        <f t="shared" si="5604"/>
        <v>9.0038591999999991</v>
      </c>
      <c r="AB1756" s="403"/>
    </row>
    <row r="1757" spans="1:28">
      <c r="A1757" s="384" t="str">
        <f t="shared" ref="A1757:B1757" si="5609">A1735</f>
        <v>Lantai 1</v>
      </c>
      <c r="B1757" s="385">
        <f t="shared" si="5609"/>
        <v>56</v>
      </c>
      <c r="C1757" s="393" t="s">
        <v>211</v>
      </c>
      <c r="D1757" s="398">
        <f>VLOOKUP(D1735,'Detail Balok'!$C$10:$AU$140,41,FALSE)</f>
        <v>0</v>
      </c>
      <c r="E1757" s="388" t="s">
        <v>16</v>
      </c>
      <c r="F1757" s="388">
        <f>VLOOKUP(D1735,'Detail Balok'!$C$10:$AU$140,43,FALSE)</f>
        <v>8</v>
      </c>
      <c r="G1757" s="405" t="s">
        <v>157</v>
      </c>
      <c r="H1757" s="395">
        <f>VLOOKUP(D1735,'Detail Balok'!$C$10:$AU$140,45,FALSE)</f>
        <v>150</v>
      </c>
      <c r="I1757" s="388"/>
      <c r="J1757" s="400">
        <f t="shared" ref="J1757" si="5610">(IF(D1757=0,(2*(D1736+G1736))-(F$5*8),IF(D1757=3,(2*(D1736+G1736))-(F$5*8)+(G1736-2*F$5),IF(D1757=4,(2*(D1736+G1736))-(F$5*8)+2*(G1736-2*F$5)))))/1000</f>
        <v>1.48</v>
      </c>
      <c r="K1757" s="400" t="s">
        <v>204</v>
      </c>
      <c r="L1757" s="399">
        <f t="shared" si="5599"/>
        <v>0.15</v>
      </c>
      <c r="M1757" s="399" t="s">
        <v>176</v>
      </c>
      <c r="N1757" s="399">
        <f t="shared" si="5600"/>
        <v>1.63</v>
      </c>
      <c r="O1757" s="399"/>
      <c r="P1757" s="389"/>
      <c r="Q1757" s="399"/>
      <c r="R1757" s="399"/>
      <c r="S1757" s="399"/>
      <c r="T1757" s="399" t="s">
        <v>125</v>
      </c>
      <c r="U1757" s="401">
        <f t="shared" si="5601"/>
        <v>0.39456000000000002</v>
      </c>
      <c r="V1757" s="399" t="s">
        <v>125</v>
      </c>
      <c r="W1757" s="399">
        <f t="shared" ref="W1757" si="5611">IF(D1738&gt;4*G1736,ROUND(MAX(D1738/4,2*G1736)/H1757,0)+1,0)</f>
        <v>10</v>
      </c>
      <c r="X1757" s="399" t="s">
        <v>125</v>
      </c>
      <c r="Y1757" s="389">
        <f t="shared" ref="Y1757" si="5612">D1741</f>
        <v>1</v>
      </c>
      <c r="Z1757" s="400" t="s">
        <v>176</v>
      </c>
      <c r="AA1757" s="402">
        <f t="shared" si="5604"/>
        <v>6.4313279999999997</v>
      </c>
      <c r="AB1757" s="403"/>
    </row>
    <row r="1758" spans="1:28">
      <c r="A1758" s="384"/>
      <c r="B1758" s="385"/>
      <c r="C1758" s="393"/>
      <c r="D1758" s="394"/>
      <c r="E1758" s="388"/>
      <c r="F1758" s="388"/>
      <c r="G1758" s="388"/>
      <c r="H1758" s="395"/>
      <c r="I1758" s="388"/>
      <c r="J1758" s="399"/>
      <c r="K1758" s="396"/>
      <c r="L1758" s="396"/>
      <c r="M1758" s="396"/>
      <c r="N1758" s="396"/>
      <c r="O1758" s="396"/>
      <c r="P1758" s="389"/>
      <c r="Q1758" s="396"/>
      <c r="R1758" s="396"/>
      <c r="S1758" s="396"/>
      <c r="T1758" s="396"/>
      <c r="U1758" s="401"/>
      <c r="V1758" s="396"/>
      <c r="W1758" s="388"/>
      <c r="X1758" s="396"/>
      <c r="Y1758" s="389"/>
      <c r="Z1758" s="396"/>
      <c r="AA1758" s="388"/>
      <c r="AB1758" s="390"/>
    </row>
    <row r="1759" spans="1:28">
      <c r="A1759" s="384" t="str">
        <f t="shared" ref="A1759:B1759" si="5613">A1735</f>
        <v>Lantai 1</v>
      </c>
      <c r="B1759" s="385">
        <f t="shared" si="5613"/>
        <v>56</v>
      </c>
      <c r="C1759" s="393" t="s">
        <v>213</v>
      </c>
      <c r="D1759" s="398">
        <f>VLOOKUP(D1735,'Detail Balok'!$C$10:$BJ$140,46,FALSE)</f>
        <v>0</v>
      </c>
      <c r="E1759" s="388" t="s">
        <v>16</v>
      </c>
      <c r="F1759" s="388">
        <f>VLOOKUP(D1735,'Detail Balok'!$C$10:$BJ$140,48,FALSE)</f>
        <v>0</v>
      </c>
      <c r="G1759" s="405" t="s">
        <v>157</v>
      </c>
      <c r="H1759" s="395">
        <f>VLOOKUP(D1735,'Detail Balok'!$C$10:$BJ$140,50,FALSE)</f>
        <v>100</v>
      </c>
      <c r="I1759" s="388"/>
      <c r="J1759" s="399">
        <f t="shared" ref="J1759" si="5614">(D1736-2*F$5)/1000</f>
        <v>0.22</v>
      </c>
      <c r="K1759" s="400" t="s">
        <v>204</v>
      </c>
      <c r="L1759" s="399">
        <f t="shared" ref="L1759:L1761" si="5615">IF(D1759=0,2*MAX(6*F1759,75),(D1759-1)*2*MAX(6*F1759,75))/1000</f>
        <v>0.15</v>
      </c>
      <c r="M1759" s="399" t="s">
        <v>176</v>
      </c>
      <c r="N1759" s="399">
        <f t="shared" ref="N1759:N1761" si="5616">J1759+L1759</f>
        <v>0.37</v>
      </c>
      <c r="O1759" s="399"/>
      <c r="P1759" s="399"/>
      <c r="Q1759" s="399"/>
      <c r="R1759" s="399"/>
      <c r="S1759" s="399"/>
      <c r="T1759" s="399" t="s">
        <v>125</v>
      </c>
      <c r="U1759" s="401">
        <f t="shared" ref="U1759:U1761" si="5617">0.006165*F1759^2</f>
        <v>0</v>
      </c>
      <c r="V1759" s="399" t="s">
        <v>125</v>
      </c>
      <c r="W1759" s="399">
        <f t="shared" si="5522"/>
        <v>10</v>
      </c>
      <c r="X1759" s="399" t="s">
        <v>125</v>
      </c>
      <c r="Y1759" s="389">
        <f t="shared" ref="Y1759" si="5618">D1745</f>
        <v>4</v>
      </c>
      <c r="Z1759" s="400" t="s">
        <v>176</v>
      </c>
      <c r="AA1759" s="402">
        <f t="shared" ref="AA1759:AA1761" si="5619">N1759*U1759*W1759*Y1759</f>
        <v>0</v>
      </c>
      <c r="AB1759" s="403"/>
    </row>
    <row r="1760" spans="1:28">
      <c r="A1760" s="384" t="str">
        <f t="shared" ref="A1760:B1760" si="5620">A1735</f>
        <v>Lantai 1</v>
      </c>
      <c r="B1760" s="385">
        <f t="shared" si="5620"/>
        <v>56</v>
      </c>
      <c r="C1760" s="393" t="s">
        <v>214</v>
      </c>
      <c r="D1760" s="398">
        <f>VLOOKUP(D1735,'Detail Balok'!$C$10:$BJ$140,51,FALSE)</f>
        <v>0</v>
      </c>
      <c r="E1760" s="388" t="s">
        <v>16</v>
      </c>
      <c r="F1760" s="388">
        <f>VLOOKUP(D1735,'Detail Balok'!$C$10:$BJ$140,53,FALSE)</f>
        <v>0</v>
      </c>
      <c r="G1760" s="405" t="s">
        <v>157</v>
      </c>
      <c r="H1760" s="395">
        <f>VLOOKUP(D1735,'Detail Balok'!$C$10:$BJ$140,55,FALSE)</f>
        <v>100</v>
      </c>
      <c r="I1760" s="388"/>
      <c r="J1760" s="399">
        <f t="shared" ref="J1760" si="5621">(D1736-2*F$5)/1000</f>
        <v>0.22</v>
      </c>
      <c r="K1760" s="400" t="s">
        <v>204</v>
      </c>
      <c r="L1760" s="399">
        <f t="shared" si="5615"/>
        <v>0.15</v>
      </c>
      <c r="M1760" s="399" t="s">
        <v>176</v>
      </c>
      <c r="N1760" s="399">
        <f t="shared" si="5616"/>
        <v>0.37</v>
      </c>
      <c r="O1760" s="399"/>
      <c r="P1760" s="399"/>
      <c r="Q1760" s="399"/>
      <c r="R1760" s="399"/>
      <c r="S1760" s="399"/>
      <c r="T1760" s="399" t="s">
        <v>125</v>
      </c>
      <c r="U1760" s="401">
        <f t="shared" si="5617"/>
        <v>0</v>
      </c>
      <c r="V1760" s="399" t="s">
        <v>125</v>
      </c>
      <c r="W1760" s="399">
        <f t="shared" si="5522"/>
        <v>14</v>
      </c>
      <c r="X1760" s="399" t="s">
        <v>125</v>
      </c>
      <c r="Y1760" s="389">
        <f t="shared" ref="Y1760" si="5622">D1745</f>
        <v>4</v>
      </c>
      <c r="Z1760" s="400" t="s">
        <v>176</v>
      </c>
      <c r="AA1760" s="402">
        <f t="shared" si="5619"/>
        <v>0</v>
      </c>
      <c r="AB1760" s="403"/>
    </row>
    <row r="1761" spans="1:28">
      <c r="A1761" s="384" t="str">
        <f t="shared" ref="A1761:B1761" si="5623">A1735</f>
        <v>Lantai 1</v>
      </c>
      <c r="B1761" s="385">
        <f t="shared" si="5623"/>
        <v>56</v>
      </c>
      <c r="C1761" s="393" t="s">
        <v>213</v>
      </c>
      <c r="D1761" s="398">
        <f>VLOOKUP(D1735,'Detail Balok'!$C$10:$BJ$140,56,FALSE)</f>
        <v>0</v>
      </c>
      <c r="E1761" s="388" t="s">
        <v>16</v>
      </c>
      <c r="F1761" s="388">
        <f>VLOOKUP(D1735,'Detail Balok'!$C$10:$BJ$140,58,FALSE)</f>
        <v>0</v>
      </c>
      <c r="G1761" s="405" t="s">
        <v>157</v>
      </c>
      <c r="H1761" s="395">
        <f>VLOOKUP(D1735,'Detail Balok'!$C$10:$BJ$140,60,FALSE)</f>
        <v>100</v>
      </c>
      <c r="I1761" s="388"/>
      <c r="J1761" s="399">
        <f t="shared" ref="J1761" si="5624">(D1736-2*F$5)/1000</f>
        <v>0.22</v>
      </c>
      <c r="K1761" s="400" t="s">
        <v>204</v>
      </c>
      <c r="L1761" s="399">
        <f t="shared" si="5615"/>
        <v>0.15</v>
      </c>
      <c r="M1761" s="399" t="s">
        <v>176</v>
      </c>
      <c r="N1761" s="399">
        <f t="shared" si="5616"/>
        <v>0.37</v>
      </c>
      <c r="O1761" s="399"/>
      <c r="P1761" s="399"/>
      <c r="Q1761" s="399"/>
      <c r="R1761" s="399"/>
      <c r="S1761" s="399"/>
      <c r="T1761" s="399" t="s">
        <v>125</v>
      </c>
      <c r="U1761" s="401">
        <f t="shared" si="5617"/>
        <v>0</v>
      </c>
      <c r="V1761" s="399" t="s">
        <v>125</v>
      </c>
      <c r="W1761" s="399">
        <f t="shared" si="5522"/>
        <v>10</v>
      </c>
      <c r="X1761" s="399" t="s">
        <v>125</v>
      </c>
      <c r="Y1761" s="389">
        <f t="shared" ref="Y1761" si="5625">D1745</f>
        <v>4</v>
      </c>
      <c r="Z1761" s="400" t="s">
        <v>176</v>
      </c>
      <c r="AA1761" s="402">
        <f t="shared" si="5619"/>
        <v>0</v>
      </c>
      <c r="AB1761" s="403"/>
    </row>
    <row r="1762" spans="1:28">
      <c r="A1762" s="391"/>
      <c r="B1762" s="392"/>
      <c r="C1762" s="392"/>
      <c r="D1762" s="394"/>
      <c r="E1762" s="388"/>
      <c r="F1762" s="388"/>
      <c r="G1762" s="388"/>
      <c r="H1762" s="395"/>
      <c r="I1762" s="388"/>
      <c r="J1762" s="402"/>
      <c r="K1762" s="388"/>
      <c r="L1762" s="388"/>
      <c r="M1762" s="388"/>
      <c r="N1762" s="388"/>
      <c r="O1762" s="388"/>
      <c r="P1762" s="388"/>
      <c r="Q1762" s="388"/>
      <c r="R1762" s="388"/>
      <c r="S1762" s="388"/>
      <c r="T1762" s="388"/>
      <c r="U1762" s="388"/>
      <c r="V1762" s="388"/>
      <c r="W1762" s="388"/>
      <c r="X1762" s="388"/>
      <c r="Y1762" s="389"/>
      <c r="Z1762" s="388"/>
      <c r="AA1762" s="402"/>
      <c r="AB1762" s="403"/>
    </row>
    <row r="1763" spans="1:28" ht="15.75" thickBot="1">
      <c r="A1763" s="406"/>
      <c r="B1763" s="407"/>
      <c r="C1763" s="407"/>
      <c r="D1763" s="408"/>
      <c r="E1763" s="409"/>
      <c r="F1763" s="409"/>
      <c r="G1763" s="409"/>
      <c r="H1763" s="410"/>
      <c r="I1763" s="409"/>
      <c r="J1763" s="409"/>
      <c r="K1763" s="409"/>
      <c r="L1763" s="409"/>
      <c r="M1763" s="409"/>
      <c r="N1763" s="409"/>
      <c r="O1763" s="409"/>
      <c r="P1763" s="409"/>
      <c r="Q1763" s="409"/>
      <c r="R1763" s="409"/>
      <c r="S1763" s="409"/>
      <c r="T1763" s="409"/>
      <c r="U1763" s="409"/>
      <c r="V1763" s="409"/>
      <c r="W1763" s="409"/>
      <c r="X1763" s="409"/>
      <c r="Y1763" s="411"/>
      <c r="Z1763" s="409"/>
      <c r="AA1763" s="412"/>
      <c r="AB1763" s="413"/>
    </row>
    <row r="1764" spans="1:28">
      <c r="A1764" s="377"/>
      <c r="B1764" s="378"/>
      <c r="C1764" s="378"/>
      <c r="D1764" s="379"/>
      <c r="E1764" s="380"/>
      <c r="F1764" s="380"/>
      <c r="G1764" s="380"/>
      <c r="H1764" s="381"/>
      <c r="I1764" s="380"/>
      <c r="J1764" s="380"/>
      <c r="K1764" s="380"/>
      <c r="L1764" s="380"/>
      <c r="M1764" s="380"/>
      <c r="N1764" s="380"/>
      <c r="O1764" s="380"/>
      <c r="P1764" s="380"/>
      <c r="Q1764" s="380"/>
      <c r="R1764" s="380"/>
      <c r="S1764" s="380"/>
      <c r="T1764" s="380"/>
      <c r="U1764" s="380"/>
      <c r="V1764" s="380"/>
      <c r="W1764" s="380"/>
      <c r="X1764" s="380"/>
      <c r="Y1764" s="382"/>
      <c r="Z1764" s="380"/>
      <c r="AA1764" s="380"/>
      <c r="AB1764" s="383"/>
    </row>
    <row r="1765" spans="1:28">
      <c r="A1765" s="384" t="str">
        <f t="shared" si="5531"/>
        <v>Lantai 1</v>
      </c>
      <c r="B1765" s="385">
        <f t="shared" si="5532"/>
        <v>57</v>
      </c>
      <c r="C1765" s="386" t="str">
        <f t="shared" ref="C1765" si="5626">CONCATENATE(A1765," no. ",B1765)</f>
        <v>Lantai 1 no. 57</v>
      </c>
      <c r="D1765" s="2562" t="str">
        <f>VLOOKUP(C1765,'Data Panjang Balok'!$C$9:$N$254,2,FALSE)</f>
        <v>S36-1</v>
      </c>
      <c r="E1765" s="2576"/>
      <c r="F1765" s="2576"/>
      <c r="G1765" s="2576"/>
      <c r="H1765" s="2577"/>
      <c r="I1765" s="387"/>
      <c r="J1765" s="388"/>
      <c r="K1765" s="388"/>
      <c r="L1765" s="388"/>
      <c r="M1765" s="388"/>
      <c r="N1765" s="388"/>
      <c r="O1765" s="388"/>
      <c r="P1765" s="388"/>
      <c r="Q1765" s="388"/>
      <c r="R1765" s="388"/>
      <c r="S1765" s="388"/>
      <c r="T1765" s="388"/>
      <c r="U1765" s="388"/>
      <c r="V1765" s="388"/>
      <c r="W1765" s="388"/>
      <c r="X1765" s="388"/>
      <c r="Y1765" s="389"/>
      <c r="Z1765" s="388"/>
      <c r="AA1765" s="388"/>
      <c r="AB1765" s="390"/>
    </row>
    <row r="1766" spans="1:28">
      <c r="A1766" s="391"/>
      <c r="B1766" s="392"/>
      <c r="C1766" s="393" t="s">
        <v>118</v>
      </c>
      <c r="D1766" s="2578">
        <f>VLOOKUP(D1765,'Detail Balok'!$C$10:$AU$140,2,FALSE)</f>
        <v>300</v>
      </c>
      <c r="E1766" s="2579"/>
      <c r="F1766" s="388" t="s">
        <v>125</v>
      </c>
      <c r="G1766" s="2579">
        <f>VLOOKUP(D1765,'Detail Balok'!$C$10:$AU$140,3,FALSE)</f>
        <v>600</v>
      </c>
      <c r="H1766" s="2580"/>
      <c r="I1766" s="388"/>
      <c r="J1766" s="396"/>
      <c r="K1766" s="396"/>
      <c r="L1766" s="396"/>
      <c r="M1766" s="396"/>
      <c r="N1766" s="396"/>
      <c r="O1766" s="396"/>
      <c r="P1766" s="396"/>
      <c r="Q1766" s="396"/>
      <c r="R1766" s="396"/>
      <c r="S1766" s="396"/>
      <c r="T1766" s="396"/>
      <c r="U1766" s="388"/>
      <c r="V1766" s="396"/>
      <c r="W1766" s="388"/>
      <c r="X1766" s="396"/>
      <c r="Y1766" s="389"/>
      <c r="Z1766" s="396"/>
      <c r="AA1766" s="388"/>
      <c r="AB1766" s="390"/>
    </row>
    <row r="1767" spans="1:28">
      <c r="A1767" s="391"/>
      <c r="B1767" s="392"/>
      <c r="C1767" s="393" t="s">
        <v>198</v>
      </c>
      <c r="D1767" s="2562">
        <f>VLOOKUP(C1765,'Data Panjang Balok'!$C$9:$N$254,4,FALSE)</f>
        <v>4000</v>
      </c>
      <c r="E1767" s="2563"/>
      <c r="F1767" s="2563"/>
      <c r="G1767" s="2563"/>
      <c r="H1767" s="2564"/>
      <c r="I1767" s="397"/>
      <c r="J1767" s="396"/>
      <c r="K1767" s="396"/>
      <c r="L1767" s="396"/>
      <c r="M1767" s="396"/>
      <c r="N1767" s="396"/>
      <c r="O1767" s="396"/>
      <c r="P1767" s="396"/>
      <c r="Q1767" s="396"/>
      <c r="R1767" s="396"/>
      <c r="S1767" s="396"/>
      <c r="T1767" s="396"/>
      <c r="U1767" s="388"/>
      <c r="V1767" s="396"/>
      <c r="W1767" s="388"/>
      <c r="X1767" s="396"/>
      <c r="Y1767" s="389"/>
      <c r="Z1767" s="396"/>
      <c r="AA1767" s="388"/>
      <c r="AB1767" s="390"/>
    </row>
    <row r="1768" spans="1:28">
      <c r="A1768" s="391"/>
      <c r="B1768" s="392"/>
      <c r="C1768" s="393" t="s">
        <v>199</v>
      </c>
      <c r="D1768" s="2562">
        <f>VLOOKUP(C1765,'Data Panjang Balok'!$C$9:$N$254,7,FALSE)</f>
        <v>4000</v>
      </c>
      <c r="E1768" s="2563"/>
      <c r="F1768" s="2563"/>
      <c r="G1768" s="2563"/>
      <c r="H1768" s="2564"/>
      <c r="I1768" s="397"/>
      <c r="J1768" s="396"/>
      <c r="K1768" s="396"/>
      <c r="L1768" s="396"/>
      <c r="M1768" s="396"/>
      <c r="N1768" s="396"/>
      <c r="O1768" s="396"/>
      <c r="P1768" s="396"/>
      <c r="Q1768" s="396"/>
      <c r="R1768" s="396"/>
      <c r="S1768" s="396"/>
      <c r="T1768" s="396"/>
      <c r="U1768" s="388"/>
      <c r="V1768" s="396"/>
      <c r="W1768" s="388"/>
      <c r="X1768" s="396"/>
      <c r="Y1768" s="389"/>
      <c r="Z1768" s="396"/>
      <c r="AA1768" s="388"/>
      <c r="AB1768" s="390"/>
    </row>
    <row r="1769" spans="1:28">
      <c r="A1769" s="391"/>
      <c r="B1769" s="392"/>
      <c r="C1769" s="393" t="s">
        <v>200</v>
      </c>
      <c r="D1769" s="2562">
        <f>VLOOKUP(C1765,'Data Panjang Balok'!$C$9:$N$254,9,FALSE)</f>
        <v>0</v>
      </c>
      <c r="E1769" s="2563"/>
      <c r="F1769" s="2563"/>
      <c r="G1769" s="2563"/>
      <c r="H1769" s="2564"/>
      <c r="I1769" s="397"/>
      <c r="J1769" s="396"/>
      <c r="K1769" s="396"/>
      <c r="L1769" s="396"/>
      <c r="M1769" s="396"/>
      <c r="N1769" s="396"/>
      <c r="O1769" s="396"/>
      <c r="P1769" s="396"/>
      <c r="Q1769" s="396"/>
      <c r="R1769" s="396"/>
      <c r="S1769" s="396"/>
      <c r="T1769" s="396"/>
      <c r="U1769" s="388"/>
      <c r="V1769" s="396"/>
      <c r="W1769" s="388"/>
      <c r="X1769" s="396"/>
      <c r="Y1769" s="389"/>
      <c r="Z1769" s="396"/>
      <c r="AA1769" s="388"/>
      <c r="AB1769" s="390"/>
    </row>
    <row r="1770" spans="1:28">
      <c r="A1770" s="391"/>
      <c r="B1770" s="392"/>
      <c r="C1770" s="393" t="s">
        <v>201</v>
      </c>
      <c r="D1770" s="2562">
        <f>VLOOKUP(C1765,'Data Panjang Balok'!$C$9:$N$254,10,FALSE)</f>
        <v>0</v>
      </c>
      <c r="E1770" s="2563"/>
      <c r="F1770" s="2563"/>
      <c r="G1770" s="2563"/>
      <c r="H1770" s="2564"/>
      <c r="I1770" s="397"/>
      <c r="J1770" s="396"/>
      <c r="K1770" s="396"/>
      <c r="L1770" s="396"/>
      <c r="M1770" s="396"/>
      <c r="N1770" s="396"/>
      <c r="O1770" s="396"/>
      <c r="P1770" s="396"/>
      <c r="Q1770" s="396"/>
      <c r="R1770" s="396"/>
      <c r="S1770" s="396"/>
      <c r="T1770" s="396"/>
      <c r="U1770" s="388"/>
      <c r="V1770" s="396"/>
      <c r="W1770" s="388"/>
      <c r="X1770" s="396"/>
      <c r="Y1770" s="389"/>
      <c r="Z1770" s="396"/>
      <c r="AA1770" s="388"/>
      <c r="AB1770" s="390"/>
    </row>
    <row r="1771" spans="1:28">
      <c r="A1771" s="391"/>
      <c r="B1771" s="392"/>
      <c r="C1771" s="393" t="s">
        <v>48</v>
      </c>
      <c r="D1771" s="2562">
        <f>VLOOKUP(C1765,'Data Panjang Balok'!$C$9:$N$254,3,FALSE)</f>
        <v>1</v>
      </c>
      <c r="E1771" s="2563"/>
      <c r="F1771" s="2563"/>
      <c r="G1771" s="2563"/>
      <c r="H1771" s="2564"/>
      <c r="I1771" s="397"/>
      <c r="J1771" s="396"/>
      <c r="K1771" s="396"/>
      <c r="L1771" s="396"/>
      <c r="M1771" s="396"/>
      <c r="N1771" s="396"/>
      <c r="O1771" s="396"/>
      <c r="P1771" s="396"/>
      <c r="Q1771" s="396"/>
      <c r="R1771" s="396"/>
      <c r="S1771" s="396"/>
      <c r="T1771" s="396"/>
      <c r="U1771" s="388"/>
      <c r="V1771" s="396"/>
      <c r="W1771" s="388"/>
      <c r="X1771" s="396"/>
      <c r="Y1771" s="389"/>
      <c r="Z1771" s="396"/>
      <c r="AA1771" s="388"/>
      <c r="AB1771" s="390"/>
    </row>
    <row r="1772" spans="1:28">
      <c r="A1772" s="384" t="str">
        <f t="shared" ref="A1772:B1772" si="5627">A1765</f>
        <v>Lantai 1</v>
      </c>
      <c r="B1772" s="385">
        <f t="shared" si="5627"/>
        <v>57</v>
      </c>
      <c r="C1772" s="393" t="s">
        <v>202</v>
      </c>
      <c r="D1772" s="398">
        <f>VLOOKUP(D1765,'Detail Balok'!$C$10:$AU$140,4,FALSE)</f>
        <v>4</v>
      </c>
      <c r="E1772" s="388" t="s">
        <v>16</v>
      </c>
      <c r="F1772" s="388">
        <f>VLOOKUP(D1765,'Detail Balok'!$C$10:$AU$140,6,FALSE)</f>
        <v>16</v>
      </c>
      <c r="G1772" s="388"/>
      <c r="H1772" s="395"/>
      <c r="I1772" s="388" t="s">
        <v>203</v>
      </c>
      <c r="J1772" s="399">
        <f t="shared" ref="J1772" si="5628">+D1767/4/1000</f>
        <v>1</v>
      </c>
      <c r="K1772" s="400" t="s">
        <v>204</v>
      </c>
      <c r="L1772" s="399">
        <f t="shared" ref="L1772" si="5629">MAX(VLOOKUP(F1772,N$6:P$15,3,FALSE)/1000,2/3*D1769/1000)+F$16*F1772/1000</f>
        <v>0.192</v>
      </c>
      <c r="M1772" s="399" t="s">
        <v>176</v>
      </c>
      <c r="N1772" s="399">
        <f t="shared" ref="N1772:N1774" si="5630">J1772+L1772</f>
        <v>1.1919999999999999</v>
      </c>
      <c r="O1772" s="399" t="s">
        <v>204</v>
      </c>
      <c r="P1772" s="389">
        <f t="shared" ref="P1772" si="5631">D1772-D1773</f>
        <v>0</v>
      </c>
      <c r="Q1772" s="399" t="s">
        <v>125</v>
      </c>
      <c r="R1772" s="399">
        <f t="shared" ref="R1772" si="5632">IF(P1772&gt;0,$F$18*F1772/1000,0)</f>
        <v>0</v>
      </c>
      <c r="S1772" s="399" t="s">
        <v>205</v>
      </c>
      <c r="T1772" s="399" t="s">
        <v>125</v>
      </c>
      <c r="U1772" s="401">
        <f t="shared" ref="U1772:U1774" si="5633">0.006165*F1772^2</f>
        <v>1.5782400000000001</v>
      </c>
      <c r="V1772" s="399"/>
      <c r="W1772" s="399"/>
      <c r="X1772" s="399" t="s">
        <v>125</v>
      </c>
      <c r="Y1772" s="389">
        <f t="shared" ref="Y1772" si="5634">D1771</f>
        <v>1</v>
      </c>
      <c r="Z1772" s="400" t="s">
        <v>176</v>
      </c>
      <c r="AA1772" s="402">
        <f t="shared" ref="AA1772" si="5635">IF(AA1775=0,(D1772*N1772+P1772*R1772)*U1772*Y1772,0)</f>
        <v>0</v>
      </c>
      <c r="AB1772" s="403"/>
    </row>
    <row r="1773" spans="1:28">
      <c r="A1773" s="384" t="str">
        <f t="shared" ref="A1773:B1773" si="5636">A1765</f>
        <v>Lantai 1</v>
      </c>
      <c r="B1773" s="385">
        <f t="shared" si="5636"/>
        <v>57</v>
      </c>
      <c r="C1773" s="393" t="s">
        <v>206</v>
      </c>
      <c r="D1773" s="398">
        <f>VLOOKUP(D1765,'Detail Balok'!$C$10:$AU$140,7,FALSE)</f>
        <v>4</v>
      </c>
      <c r="E1773" s="388" t="s">
        <v>16</v>
      </c>
      <c r="F1773" s="388">
        <f>VLOOKUP(D1765,'Detail Balok'!$C$10:$AU$140,9,FALSE)</f>
        <v>16</v>
      </c>
      <c r="G1773" s="388"/>
      <c r="H1773" s="395"/>
      <c r="I1773" s="388" t="s">
        <v>203</v>
      </c>
      <c r="J1773" s="399">
        <f t="shared" ref="J1773" si="5637">+D1767/2/1000</f>
        <v>2</v>
      </c>
      <c r="K1773" s="400" t="s">
        <v>204</v>
      </c>
      <c r="L1773" s="399"/>
      <c r="M1773" s="399" t="s">
        <v>176</v>
      </c>
      <c r="N1773" s="399">
        <f t="shared" si="5630"/>
        <v>2</v>
      </c>
      <c r="O1773" s="399" t="s">
        <v>204</v>
      </c>
      <c r="P1773" s="389">
        <f t="shared" ref="P1773" si="5638">MAX(D1773-D1772,D1773-D1774)</f>
        <v>0</v>
      </c>
      <c r="Q1773" s="399" t="s">
        <v>125</v>
      </c>
      <c r="R1773" s="399">
        <f t="shared" ref="R1773" si="5639">IF(P1773&gt;0,2*(1-2*$F$19-1/2)*D1768/1000,0)</f>
        <v>0</v>
      </c>
      <c r="S1773" s="399" t="s">
        <v>205</v>
      </c>
      <c r="T1773" s="399" t="s">
        <v>125</v>
      </c>
      <c r="U1773" s="401">
        <f t="shared" si="5633"/>
        <v>1.5782400000000001</v>
      </c>
      <c r="V1773" s="399"/>
      <c r="W1773" s="399"/>
      <c r="X1773" s="399" t="s">
        <v>125</v>
      </c>
      <c r="Y1773" s="389">
        <f t="shared" ref="Y1773" si="5640">D1771</f>
        <v>1</v>
      </c>
      <c r="Z1773" s="400" t="s">
        <v>176</v>
      </c>
      <c r="AA1773" s="402">
        <f t="shared" ref="AA1773" si="5641">IF(AA1775=0,(D1773*N1773+P1773*R1773)*U1773*Y1773,0)</f>
        <v>0</v>
      </c>
      <c r="AB1773" s="403"/>
    </row>
    <row r="1774" spans="1:28">
      <c r="A1774" s="384" t="str">
        <f t="shared" ref="A1774:B1774" si="5642">A1765</f>
        <v>Lantai 1</v>
      </c>
      <c r="B1774" s="385">
        <f t="shared" si="5642"/>
        <v>57</v>
      </c>
      <c r="C1774" s="393" t="s">
        <v>202</v>
      </c>
      <c r="D1774" s="398">
        <f>VLOOKUP(D1765,'Detail Balok'!$C$10:$AU$140,10,FALSE)</f>
        <v>4</v>
      </c>
      <c r="E1774" s="388" t="s">
        <v>16</v>
      </c>
      <c r="F1774" s="388">
        <f>VLOOKUP(D1765,'Detail Balok'!$C$10:$AU$140,12,FALSE)</f>
        <v>16</v>
      </c>
      <c r="G1774" s="388"/>
      <c r="H1774" s="395"/>
      <c r="I1774" s="388" t="s">
        <v>203</v>
      </c>
      <c r="J1774" s="399">
        <f t="shared" ref="J1774" si="5643">+D1767/4/1000</f>
        <v>1</v>
      </c>
      <c r="K1774" s="400" t="s">
        <v>204</v>
      </c>
      <c r="L1774" s="399">
        <f t="shared" ref="L1774" si="5644">MAX(VLOOKUP(F1774,N$6:P$15,3,FALSE)/1000,2/3*D1769/1000)+F$16*F1774/1000</f>
        <v>0.192</v>
      </c>
      <c r="M1774" s="399" t="s">
        <v>176</v>
      </c>
      <c r="N1774" s="399">
        <f t="shared" si="5630"/>
        <v>1.1919999999999999</v>
      </c>
      <c r="O1774" s="399" t="s">
        <v>204</v>
      </c>
      <c r="P1774" s="389">
        <f t="shared" ref="P1774" si="5645">D1774-D1773</f>
        <v>0</v>
      </c>
      <c r="Q1774" s="399" t="s">
        <v>125</v>
      </c>
      <c r="R1774" s="399">
        <f t="shared" ref="R1774" si="5646">IF(P1774&gt;0,$F$18*F1774/1000,0)</f>
        <v>0</v>
      </c>
      <c r="S1774" s="399" t="s">
        <v>205</v>
      </c>
      <c r="T1774" s="399" t="s">
        <v>125</v>
      </c>
      <c r="U1774" s="401">
        <f t="shared" si="5633"/>
        <v>1.5782400000000001</v>
      </c>
      <c r="V1774" s="399"/>
      <c r="W1774" s="399"/>
      <c r="X1774" s="399" t="s">
        <v>125</v>
      </c>
      <c r="Y1774" s="389">
        <f t="shared" ref="Y1774" si="5647">D1771</f>
        <v>1</v>
      </c>
      <c r="Z1774" s="400" t="s">
        <v>176</v>
      </c>
      <c r="AA1774" s="402">
        <f t="shared" ref="AA1774" si="5648">IF(AA1775=0,(D1774*N1774+P1774*R1774)*U1774*Y1774,0)</f>
        <v>0</v>
      </c>
      <c r="AB1774" s="403"/>
    </row>
    <row r="1775" spans="1:28">
      <c r="A1775" s="384" t="str">
        <f t="shared" ref="A1775:B1775" si="5649">A1765</f>
        <v>Lantai 1</v>
      </c>
      <c r="B1775" s="385">
        <f t="shared" si="5649"/>
        <v>57</v>
      </c>
      <c r="C1775" s="393"/>
      <c r="D1775" s="398">
        <f t="shared" si="5452"/>
        <v>4</v>
      </c>
      <c r="E1775" s="388" t="s">
        <v>16</v>
      </c>
      <c r="F1775" s="388">
        <f t="shared" si="5453"/>
        <v>16</v>
      </c>
      <c r="G1775" s="388"/>
      <c r="H1775" s="395"/>
      <c r="I1775" s="388"/>
      <c r="J1775" s="396"/>
      <c r="K1775" s="396"/>
      <c r="L1775" s="404" t="s">
        <v>207</v>
      </c>
      <c r="M1775" s="399" t="s">
        <v>176</v>
      </c>
      <c r="N1775" s="399">
        <f t="shared" ref="N1775" si="5650">IF(AND(D1772=D1773,D1772=D1774,D1773=D1774,F1772=F1773,F1772=F1774,F1773=F1774),SUM(N1772:N1774),0)</f>
        <v>4.3840000000000003</v>
      </c>
      <c r="O1775" s="399" t="s">
        <v>204</v>
      </c>
      <c r="P1775" s="389">
        <f t="shared" ref="P1775" si="5651">IF(N1775&gt;12,ROUNDDOWN(N1775/12,0),0)</f>
        <v>0</v>
      </c>
      <c r="Q1775" s="399" t="s">
        <v>125</v>
      </c>
      <c r="R1775" s="399">
        <f t="shared" ref="R1775" si="5652">IF(P1775&gt;0,MAX(VLOOKUP(F1775,$D$6:$G$15,3,FALSE),600),0)/1000</f>
        <v>0</v>
      </c>
      <c r="S1775" s="396"/>
      <c r="T1775" s="396" t="s">
        <v>125</v>
      </c>
      <c r="U1775" s="401">
        <f t="shared" si="5457"/>
        <v>1.5782400000000001</v>
      </c>
      <c r="V1775" s="396" t="s">
        <v>125</v>
      </c>
      <c r="W1775" s="399">
        <f t="shared" ref="W1775" si="5653">D1775</f>
        <v>4</v>
      </c>
      <c r="X1775" s="399" t="s">
        <v>125</v>
      </c>
      <c r="Y1775" s="389">
        <f t="shared" si="5459"/>
        <v>1</v>
      </c>
      <c r="Z1775" s="400" t="s">
        <v>176</v>
      </c>
      <c r="AA1775" s="402">
        <f t="shared" ref="AA1775" si="5654">(N1775+P1775*R1775/1000)*U1775*W1775*Y1775</f>
        <v>27.676016640000004</v>
      </c>
      <c r="AB1775" s="390"/>
    </row>
    <row r="1776" spans="1:28">
      <c r="A1776" s="384"/>
      <c r="B1776" s="385"/>
      <c r="C1776" s="393"/>
      <c r="D1776" s="398"/>
      <c r="E1776" s="388"/>
      <c r="F1776" s="388"/>
      <c r="G1776" s="388"/>
      <c r="H1776" s="395"/>
      <c r="I1776" s="388"/>
      <c r="J1776" s="396"/>
      <c r="K1776" s="396"/>
      <c r="L1776" s="404"/>
      <c r="M1776" s="399"/>
      <c r="N1776" s="399"/>
      <c r="O1776" s="396"/>
      <c r="P1776" s="389"/>
      <c r="Q1776" s="396"/>
      <c r="R1776" s="396"/>
      <c r="S1776" s="396"/>
      <c r="T1776" s="396"/>
      <c r="U1776" s="401"/>
      <c r="V1776" s="396"/>
      <c r="W1776" s="399"/>
      <c r="X1776" s="396"/>
      <c r="Y1776" s="389"/>
      <c r="Z1776" s="396"/>
      <c r="AA1776" s="388"/>
      <c r="AB1776" s="390"/>
    </row>
    <row r="1777" spans="1:28">
      <c r="A1777" s="384" t="str">
        <f t="shared" ref="A1777:B1777" si="5655">A1765</f>
        <v>Lantai 1</v>
      </c>
      <c r="B1777" s="385">
        <f t="shared" si="5655"/>
        <v>57</v>
      </c>
      <c r="C1777" s="393" t="s">
        <v>208</v>
      </c>
      <c r="D1777" s="398">
        <f>VLOOKUP(D1765,'Detail Balok'!$C$10:$AU$140,13,FALSE)</f>
        <v>2</v>
      </c>
      <c r="E1777" s="388" t="s">
        <v>16</v>
      </c>
      <c r="F1777" s="388">
        <f>VLOOKUP(D1765,'Detail Balok'!$C$10:$AU$140,15,FALSE)</f>
        <v>10</v>
      </c>
      <c r="G1777" s="388"/>
      <c r="H1777" s="395"/>
      <c r="I1777" s="388"/>
      <c r="J1777" s="399">
        <f t="shared" ref="J1777" si="5656">+D1767/1000</f>
        <v>4</v>
      </c>
      <c r="K1777" s="400" t="s">
        <v>204</v>
      </c>
      <c r="L1777" s="399">
        <f t="shared" ref="L1777" si="5657">2*$F$16*F1777/1000</f>
        <v>0.24</v>
      </c>
      <c r="M1777" s="399" t="s">
        <v>176</v>
      </c>
      <c r="N1777" s="399">
        <f t="shared" ref="N1777" si="5658">J1777+L1777</f>
        <v>4.24</v>
      </c>
      <c r="O1777" s="399" t="s">
        <v>204</v>
      </c>
      <c r="P1777" s="389">
        <f t="shared" ref="P1777" si="5659">IF(N1777&gt;12,ROUNDDOWN(N1777/12,0),0)</f>
        <v>0</v>
      </c>
      <c r="Q1777" s="399" t="s">
        <v>125</v>
      </c>
      <c r="R1777" s="399">
        <f t="shared" ref="R1777" si="5660">IF(P1777&gt;0,MAX(VLOOKUP(F1777,$D$6:$G$15,3,FALSE),600),0)/1000</f>
        <v>0</v>
      </c>
      <c r="S1777" s="399"/>
      <c r="T1777" s="399" t="s">
        <v>125</v>
      </c>
      <c r="U1777" s="401">
        <f t="shared" ref="U1777" si="5661">0.006165*F1777^2</f>
        <v>0.61650000000000005</v>
      </c>
      <c r="V1777" s="399" t="s">
        <v>125</v>
      </c>
      <c r="W1777" s="399">
        <f t="shared" ref="W1777" si="5662">+D1777</f>
        <v>2</v>
      </c>
      <c r="X1777" s="399" t="s">
        <v>125</v>
      </c>
      <c r="Y1777" s="389">
        <f t="shared" ref="Y1777" si="5663">D1771</f>
        <v>1</v>
      </c>
      <c r="Z1777" s="400" t="s">
        <v>176</v>
      </c>
      <c r="AA1777" s="402">
        <f t="shared" ref="AA1777" si="5664">(N1777+P1777*R1777/1000)*U1777*W1777*Y1777</f>
        <v>5.227920000000001</v>
      </c>
      <c r="AB1777" s="403"/>
    </row>
    <row r="1778" spans="1:28">
      <c r="A1778" s="384"/>
      <c r="B1778" s="385"/>
      <c r="C1778" s="393"/>
      <c r="D1778" s="398"/>
      <c r="E1778" s="388"/>
      <c r="F1778" s="388"/>
      <c r="G1778" s="388"/>
      <c r="H1778" s="395"/>
      <c r="I1778" s="388"/>
      <c r="J1778" s="399"/>
      <c r="K1778" s="400"/>
      <c r="L1778" s="399"/>
      <c r="M1778" s="399"/>
      <c r="N1778" s="399"/>
      <c r="O1778" s="399"/>
      <c r="P1778" s="389"/>
      <c r="Q1778" s="399"/>
      <c r="R1778" s="399"/>
      <c r="S1778" s="399"/>
      <c r="T1778" s="399"/>
      <c r="U1778" s="401"/>
      <c r="V1778" s="399"/>
      <c r="W1778" s="399"/>
      <c r="X1778" s="399"/>
      <c r="Y1778" s="389"/>
      <c r="Z1778" s="400"/>
      <c r="AA1778" s="402"/>
      <c r="AB1778" s="403"/>
    </row>
    <row r="1779" spans="1:28">
      <c r="A1779" s="384"/>
      <c r="B1779" s="385"/>
      <c r="C1779" s="393"/>
      <c r="D1779" s="398"/>
      <c r="E1779" s="388"/>
      <c r="F1779" s="388"/>
      <c r="G1779" s="388"/>
      <c r="H1779" s="395"/>
      <c r="I1779" s="388"/>
      <c r="J1779" s="396"/>
      <c r="K1779" s="396"/>
      <c r="L1779" s="396"/>
      <c r="M1779" s="396"/>
      <c r="N1779" s="396"/>
      <c r="O1779" s="396"/>
      <c r="P1779" s="389"/>
      <c r="Q1779" s="396"/>
      <c r="R1779" s="396"/>
      <c r="S1779" s="396"/>
      <c r="T1779" s="396"/>
      <c r="U1779" s="401"/>
      <c r="V1779" s="396"/>
      <c r="W1779" s="399"/>
      <c r="X1779" s="396"/>
      <c r="Y1779" s="389"/>
      <c r="Z1779" s="396"/>
      <c r="AA1779" s="388"/>
      <c r="AB1779" s="390"/>
    </row>
    <row r="1780" spans="1:28">
      <c r="A1780" s="384" t="str">
        <f t="shared" ref="A1780:B1780" si="5665">A1765</f>
        <v>Lantai 1</v>
      </c>
      <c r="B1780" s="385">
        <f t="shared" si="5665"/>
        <v>57</v>
      </c>
      <c r="C1780" s="393" t="s">
        <v>209</v>
      </c>
      <c r="D1780" s="398">
        <f>VLOOKUP(D1765,'Detail Balok'!$C$10:$AU$140,22,FALSE)</f>
        <v>4</v>
      </c>
      <c r="E1780" s="388" t="s">
        <v>16</v>
      </c>
      <c r="F1780" s="388">
        <f>VLOOKUP(D1765,'Detail Balok'!$C$10:$AU$140,24,FALSE)</f>
        <v>16</v>
      </c>
      <c r="G1780" s="388"/>
      <c r="H1780" s="395"/>
      <c r="I1780" s="388" t="s">
        <v>203</v>
      </c>
      <c r="J1780" s="399">
        <f t="shared" si="5472"/>
        <v>1</v>
      </c>
      <c r="K1780" s="400" t="s">
        <v>204</v>
      </c>
      <c r="L1780" s="399">
        <f t="shared" ref="L1780" si="5666">MAX(VLOOKUP(F1780,N$6:P$15,3,FALSE)/1000,2/3*D1770/1000)+F$16*F1780/1000</f>
        <v>0.192</v>
      </c>
      <c r="M1780" s="399" t="s">
        <v>176</v>
      </c>
      <c r="N1780" s="399">
        <f t="shared" ref="N1780:N1782" si="5667">J1780+L1780</f>
        <v>1.1919999999999999</v>
      </c>
      <c r="O1780" s="399" t="s">
        <v>204</v>
      </c>
      <c r="P1780" s="389">
        <f t="shared" ref="P1780" si="5668">D1780-D1781</f>
        <v>0</v>
      </c>
      <c r="Q1780" s="399" t="s">
        <v>125</v>
      </c>
      <c r="R1780" s="399">
        <f t="shared" ref="R1780" si="5669">IF(P1780&gt;0,$F$18*F1780/1000,0)</f>
        <v>0</v>
      </c>
      <c r="S1780" s="399" t="s">
        <v>205</v>
      </c>
      <c r="T1780" s="399" t="s">
        <v>125</v>
      </c>
      <c r="U1780" s="401">
        <f t="shared" ref="U1780:U1782" si="5670">0.006165*F1780^2</f>
        <v>1.5782400000000001</v>
      </c>
      <c r="V1780" s="399"/>
      <c r="W1780" s="399"/>
      <c r="X1780" s="399" t="s">
        <v>125</v>
      </c>
      <c r="Y1780" s="389">
        <f t="shared" ref="Y1780" si="5671">D1771</f>
        <v>1</v>
      </c>
      <c r="Z1780" s="400" t="s">
        <v>176</v>
      </c>
      <c r="AA1780" s="402">
        <f t="shared" ref="AA1780" si="5672">IF(AA1783=0,(D1780*N1780+P1780*R1780)*U1780*Y1780,0)</f>
        <v>0</v>
      </c>
      <c r="AB1780" s="403"/>
    </row>
    <row r="1781" spans="1:28">
      <c r="A1781" s="384" t="str">
        <f t="shared" ref="A1781:B1781" si="5673">A1765</f>
        <v>Lantai 1</v>
      </c>
      <c r="B1781" s="385">
        <f t="shared" si="5673"/>
        <v>57</v>
      </c>
      <c r="C1781" s="393" t="s">
        <v>210</v>
      </c>
      <c r="D1781" s="398">
        <f>VLOOKUP(D1765,'Detail Balok'!$C$10:$AU$140,25,FALSE)</f>
        <v>4</v>
      </c>
      <c r="E1781" s="388" t="s">
        <v>16</v>
      </c>
      <c r="F1781" s="388">
        <f>VLOOKUP(D1765,'Detail Balok'!$C$10:$AU$140,27,FALSE)</f>
        <v>16</v>
      </c>
      <c r="G1781" s="388"/>
      <c r="H1781" s="395"/>
      <c r="I1781" s="388" t="s">
        <v>203</v>
      </c>
      <c r="J1781" s="399">
        <f t="shared" si="5472"/>
        <v>2</v>
      </c>
      <c r="K1781" s="400" t="s">
        <v>204</v>
      </c>
      <c r="L1781" s="399"/>
      <c r="M1781" s="399" t="s">
        <v>176</v>
      </c>
      <c r="N1781" s="399">
        <f t="shared" si="5667"/>
        <v>2</v>
      </c>
      <c r="O1781" s="399" t="s">
        <v>204</v>
      </c>
      <c r="P1781" s="389">
        <f t="shared" ref="P1781" si="5674">MAX(D1781-D1780,D1781-D1782)</f>
        <v>0</v>
      </c>
      <c r="Q1781" s="399" t="s">
        <v>125</v>
      </c>
      <c r="R1781" s="399">
        <f t="shared" ref="R1781" si="5675">IF(P1781&gt;0,2*(1-2*$F$19-1/2)*D1768/1000,0)</f>
        <v>0</v>
      </c>
      <c r="S1781" s="399" t="s">
        <v>205</v>
      </c>
      <c r="T1781" s="399" t="s">
        <v>125</v>
      </c>
      <c r="U1781" s="401">
        <f t="shared" si="5670"/>
        <v>1.5782400000000001</v>
      </c>
      <c r="V1781" s="399"/>
      <c r="W1781" s="399"/>
      <c r="X1781" s="399" t="s">
        <v>125</v>
      </c>
      <c r="Y1781" s="389">
        <f t="shared" ref="Y1781" si="5676">D1771</f>
        <v>1</v>
      </c>
      <c r="Z1781" s="400" t="s">
        <v>176</v>
      </c>
      <c r="AA1781" s="402">
        <f t="shared" ref="AA1781" si="5677">IF(AA1783=0,(D1781*N1781+P1781*R1781)*U1781*Y1781,0)</f>
        <v>0</v>
      </c>
      <c r="AB1781" s="403"/>
    </row>
    <row r="1782" spans="1:28">
      <c r="A1782" s="384" t="str">
        <f t="shared" ref="A1782:B1782" si="5678">A1765</f>
        <v>Lantai 1</v>
      </c>
      <c r="B1782" s="385">
        <f t="shared" si="5678"/>
        <v>57</v>
      </c>
      <c r="C1782" s="393" t="s">
        <v>209</v>
      </c>
      <c r="D1782" s="398">
        <f>VLOOKUP(D1765,'Detail Balok'!$C$10:$AU$140,28,FALSE)</f>
        <v>4</v>
      </c>
      <c r="E1782" s="388" t="s">
        <v>16</v>
      </c>
      <c r="F1782" s="388">
        <f>VLOOKUP(D1765,'Detail Balok'!$C$10:$AU$140,30,FALSE)</f>
        <v>16</v>
      </c>
      <c r="G1782" s="388"/>
      <c r="H1782" s="395"/>
      <c r="I1782" s="388" t="s">
        <v>203</v>
      </c>
      <c r="J1782" s="399">
        <f t="shared" si="5472"/>
        <v>1</v>
      </c>
      <c r="K1782" s="400" t="s">
        <v>204</v>
      </c>
      <c r="L1782" s="399">
        <f t="shared" ref="L1782" si="5679">MAX(VLOOKUP(F1782,N$6:P$15,3,FALSE)/1000,2/3*D1770/1000)+F$16*F1782/1000</f>
        <v>0.192</v>
      </c>
      <c r="M1782" s="399" t="s">
        <v>176</v>
      </c>
      <c r="N1782" s="399">
        <f t="shared" si="5667"/>
        <v>1.1919999999999999</v>
      </c>
      <c r="O1782" s="399" t="s">
        <v>204</v>
      </c>
      <c r="P1782" s="389">
        <f t="shared" ref="P1782" si="5680">D1782-D1781</f>
        <v>0</v>
      </c>
      <c r="Q1782" s="399" t="s">
        <v>125</v>
      </c>
      <c r="R1782" s="399">
        <f t="shared" ref="R1782" si="5681">IF(P1782&gt;0,$F$18*F1782/1000,0)</f>
        <v>0</v>
      </c>
      <c r="S1782" s="399" t="s">
        <v>205</v>
      </c>
      <c r="T1782" s="399" t="s">
        <v>125</v>
      </c>
      <c r="U1782" s="401">
        <f t="shared" si="5670"/>
        <v>1.5782400000000001</v>
      </c>
      <c r="V1782" s="399"/>
      <c r="W1782" s="399"/>
      <c r="X1782" s="399" t="s">
        <v>125</v>
      </c>
      <c r="Y1782" s="389">
        <f t="shared" ref="Y1782" si="5682">D1771</f>
        <v>1</v>
      </c>
      <c r="Z1782" s="400" t="s">
        <v>176</v>
      </c>
      <c r="AA1782" s="402">
        <f t="shared" ref="AA1782" si="5683">IF(AA1783=0,(D1782*N1782+P1782*R1782)*U1782*Y1782,0)</f>
        <v>0</v>
      </c>
      <c r="AB1782" s="403"/>
    </row>
    <row r="1783" spans="1:28">
      <c r="A1783" s="384" t="str">
        <f t="shared" ref="A1783:B1783" si="5684">A1765</f>
        <v>Lantai 1</v>
      </c>
      <c r="B1783" s="385">
        <f t="shared" si="5684"/>
        <v>57</v>
      </c>
      <c r="C1783" s="393"/>
      <c r="D1783" s="398">
        <f t="shared" si="5492"/>
        <v>4</v>
      </c>
      <c r="E1783" s="388" t="s">
        <v>16</v>
      </c>
      <c r="F1783" s="388">
        <f t="shared" si="5493"/>
        <v>16</v>
      </c>
      <c r="G1783" s="388"/>
      <c r="H1783" s="395"/>
      <c r="I1783" s="388"/>
      <c r="J1783" s="396"/>
      <c r="K1783" s="396"/>
      <c r="L1783" s="404" t="s">
        <v>207</v>
      </c>
      <c r="M1783" s="399" t="s">
        <v>176</v>
      </c>
      <c r="N1783" s="399">
        <f t="shared" ref="N1783" si="5685">IF(AND(D1780=D1781,D1780=D1782,D1781=D1782,F1780=F1781,F1780=F1782,F1781=F1782),SUM(N1780:N1782),0)</f>
        <v>4.3840000000000003</v>
      </c>
      <c r="O1783" s="399" t="s">
        <v>204</v>
      </c>
      <c r="P1783" s="389">
        <f t="shared" ref="P1783" si="5686">IF(N1783&gt;12,ROUNDDOWN(N1783/12,0),0)</f>
        <v>0</v>
      </c>
      <c r="Q1783" s="399" t="s">
        <v>125</v>
      </c>
      <c r="R1783" s="399">
        <f t="shared" ref="R1783" si="5687">IF(P1783&gt;0,MAX(VLOOKUP(F1783,$D$6:$G$15,3,FALSE),600),0)/1000</f>
        <v>0</v>
      </c>
      <c r="S1783" s="396"/>
      <c r="T1783" s="396" t="s">
        <v>125</v>
      </c>
      <c r="U1783" s="401">
        <f t="shared" si="5497"/>
        <v>1.5782400000000001</v>
      </c>
      <c r="V1783" s="396" t="s">
        <v>125</v>
      </c>
      <c r="W1783" s="399">
        <f t="shared" ref="W1783" si="5688">D1783</f>
        <v>4</v>
      </c>
      <c r="X1783" s="399" t="s">
        <v>125</v>
      </c>
      <c r="Y1783" s="389">
        <f t="shared" si="5499"/>
        <v>1</v>
      </c>
      <c r="Z1783" s="400" t="s">
        <v>176</v>
      </c>
      <c r="AA1783" s="402">
        <f t="shared" ref="AA1783" si="5689">(N1783+P1783*R1783/1000)*U1783*W1783*Y1783</f>
        <v>27.676016640000004</v>
      </c>
      <c r="AB1783" s="403"/>
    </row>
    <row r="1784" spans="1:28">
      <c r="A1784" s="384"/>
      <c r="B1784" s="385"/>
      <c r="C1784" s="393"/>
      <c r="D1784" s="394"/>
      <c r="E1784" s="388"/>
      <c r="F1784" s="388"/>
      <c r="G1784" s="388"/>
      <c r="H1784" s="395"/>
      <c r="I1784" s="388"/>
      <c r="J1784" s="399"/>
      <c r="K1784" s="396"/>
      <c r="L1784" s="396"/>
      <c r="M1784" s="396"/>
      <c r="N1784" s="396"/>
      <c r="O1784" s="396"/>
      <c r="P1784" s="389"/>
      <c r="Q1784" s="396"/>
      <c r="R1784" s="396"/>
      <c r="S1784" s="396"/>
      <c r="T1784" s="396"/>
      <c r="U1784" s="401"/>
      <c r="V1784" s="396"/>
      <c r="W1784" s="388"/>
      <c r="X1784" s="396"/>
      <c r="Y1784" s="389"/>
      <c r="Z1784" s="396"/>
      <c r="AA1784" s="388"/>
      <c r="AB1784" s="390"/>
    </row>
    <row r="1785" spans="1:28">
      <c r="A1785" s="384" t="str">
        <f t="shared" ref="A1785:B1785" si="5690">A1765</f>
        <v>Lantai 1</v>
      </c>
      <c r="B1785" s="385">
        <f t="shared" si="5690"/>
        <v>57</v>
      </c>
      <c r="C1785" s="393" t="s">
        <v>211</v>
      </c>
      <c r="D1785" s="398">
        <f>VLOOKUP(D1765,'Detail Balok'!$C$10:$AU$140,31,FALSE)</f>
        <v>0</v>
      </c>
      <c r="E1785" s="388" t="s">
        <v>16</v>
      </c>
      <c r="F1785" s="388">
        <f>VLOOKUP(D1765,'Detail Balok'!$C$10:$AU$140,33,FALSE)</f>
        <v>8</v>
      </c>
      <c r="G1785" s="405" t="s">
        <v>157</v>
      </c>
      <c r="H1785" s="395">
        <f>VLOOKUP(D1765,'Detail Balok'!$C$10:$AU$140,35,FALSE)</f>
        <v>150</v>
      </c>
      <c r="I1785" s="388"/>
      <c r="J1785" s="400">
        <f t="shared" ref="J1785" si="5691">(IF(D1785=0,(2*(D1766+G1766))-(F$5*8),IF(D1785=3,(2*(D1766+G1766))-(F$5*8)+(G1766-2*F$5),IF(D1785=4,(2*(D1766+G1766))-(F$5*8)+2*(G1766-2*F$5)))))/1000</f>
        <v>1.48</v>
      </c>
      <c r="K1785" s="400" t="s">
        <v>204</v>
      </c>
      <c r="L1785" s="399">
        <f t="shared" ref="L1785:L1787" si="5692">IF(D1785=0,2*MAX(6*F1785,75),(D1785-1)*2*MAX(6*F1785,75))/1000</f>
        <v>0.15</v>
      </c>
      <c r="M1785" s="399" t="s">
        <v>176</v>
      </c>
      <c r="N1785" s="399">
        <f t="shared" ref="N1785:N1787" si="5693">J1785+L1785</f>
        <v>1.63</v>
      </c>
      <c r="O1785" s="399"/>
      <c r="P1785" s="389"/>
      <c r="Q1785" s="399"/>
      <c r="R1785" s="399"/>
      <c r="S1785" s="399"/>
      <c r="T1785" s="399" t="s">
        <v>125</v>
      </c>
      <c r="U1785" s="401">
        <f t="shared" ref="U1785:U1787" si="5694">0.006165*F1785^2</f>
        <v>0.39456000000000002</v>
      </c>
      <c r="V1785" s="399" t="s">
        <v>125</v>
      </c>
      <c r="W1785" s="399">
        <f t="shared" ref="W1785" si="5695">IF(D1768&gt;4*G1766,ROUND(MAX(D1768/4,2*G1766)/H1785,0)+1,ROUND(D1768/H1785,0)+1)</f>
        <v>9</v>
      </c>
      <c r="X1785" s="399" t="s">
        <v>125</v>
      </c>
      <c r="Y1785" s="389">
        <f t="shared" ref="Y1785" si="5696">D1771</f>
        <v>1</v>
      </c>
      <c r="Z1785" s="400" t="s">
        <v>176</v>
      </c>
      <c r="AA1785" s="402">
        <f t="shared" ref="AA1785:AA1787" si="5697">N1785*U1785*W1785*Y1785</f>
        <v>5.7881951999999997</v>
      </c>
      <c r="AB1785" s="403"/>
    </row>
    <row r="1786" spans="1:28">
      <c r="A1786" s="384" t="str">
        <f t="shared" ref="A1786:B1786" si="5698">A1765</f>
        <v>Lantai 1</v>
      </c>
      <c r="B1786" s="385">
        <f t="shared" si="5698"/>
        <v>57</v>
      </c>
      <c r="C1786" s="393" t="s">
        <v>212</v>
      </c>
      <c r="D1786" s="398">
        <f>VLOOKUP(D1765,'Detail Balok'!$C$10:$AU$140,36,FALSE)</f>
        <v>0</v>
      </c>
      <c r="E1786" s="388" t="s">
        <v>16</v>
      </c>
      <c r="F1786" s="388">
        <f>VLOOKUP(D1765,'Detail Balok'!$C$10:$AU$140,38,FALSE)</f>
        <v>8</v>
      </c>
      <c r="G1786" s="405" t="s">
        <v>157</v>
      </c>
      <c r="H1786" s="395">
        <f>VLOOKUP(D1765,'Detail Balok'!$C$10:$AU$140,40,FALSE)</f>
        <v>200</v>
      </c>
      <c r="I1786" s="388"/>
      <c r="J1786" s="400">
        <f t="shared" ref="J1786" si="5699">(IF(D1786=0,(2*(D1766+G1766))-(F$5*8),IF(D1786=3,(2*(D1766+G1766))-(F$5*8)+(G1766-2*F$5),IF(D1786=4,(2*(D1766+G1766))-(F$5*8)+2*(G1766-2*F$5)))))/1000</f>
        <v>1.48</v>
      </c>
      <c r="K1786" s="400" t="s">
        <v>204</v>
      </c>
      <c r="L1786" s="399">
        <f t="shared" si="5692"/>
        <v>0.15</v>
      </c>
      <c r="M1786" s="399" t="s">
        <v>176</v>
      </c>
      <c r="N1786" s="399">
        <f t="shared" si="5693"/>
        <v>1.63</v>
      </c>
      <c r="O1786" s="399"/>
      <c r="P1786" s="389"/>
      <c r="Q1786" s="399"/>
      <c r="R1786" s="399"/>
      <c r="S1786" s="399"/>
      <c r="T1786" s="399" t="s">
        <v>125</v>
      </c>
      <c r="U1786" s="401">
        <f t="shared" si="5694"/>
        <v>0.39456000000000002</v>
      </c>
      <c r="V1786" s="399" t="s">
        <v>125</v>
      </c>
      <c r="W1786" s="399">
        <f t="shared" ref="W1786" si="5700">IF(D1768-MAX(D1768/4,2*G1766)*2&gt;0,ROUND((D1768-MAX(D1768/4,2*G1766)*2)/H1786,0),0)</f>
        <v>8</v>
      </c>
      <c r="X1786" s="399" t="s">
        <v>125</v>
      </c>
      <c r="Y1786" s="389">
        <f t="shared" ref="Y1786" si="5701">D1771</f>
        <v>1</v>
      </c>
      <c r="Z1786" s="400" t="s">
        <v>176</v>
      </c>
      <c r="AA1786" s="402">
        <f t="shared" si="5697"/>
        <v>5.1450623999999996</v>
      </c>
      <c r="AB1786" s="403"/>
    </row>
    <row r="1787" spans="1:28">
      <c r="A1787" s="384" t="str">
        <f t="shared" ref="A1787:B1787" si="5702">A1765</f>
        <v>Lantai 1</v>
      </c>
      <c r="B1787" s="385">
        <f t="shared" si="5702"/>
        <v>57</v>
      </c>
      <c r="C1787" s="393" t="s">
        <v>211</v>
      </c>
      <c r="D1787" s="398">
        <f>VLOOKUP(D1765,'Detail Balok'!$C$10:$AU$140,41,FALSE)</f>
        <v>0</v>
      </c>
      <c r="E1787" s="388" t="s">
        <v>16</v>
      </c>
      <c r="F1787" s="388">
        <f>VLOOKUP(D1765,'Detail Balok'!$C$10:$AU$140,43,FALSE)</f>
        <v>8</v>
      </c>
      <c r="G1787" s="405" t="s">
        <v>157</v>
      </c>
      <c r="H1787" s="395">
        <f>VLOOKUP(D1765,'Detail Balok'!$C$10:$AU$140,45,FALSE)</f>
        <v>150</v>
      </c>
      <c r="I1787" s="388"/>
      <c r="J1787" s="400">
        <f t="shared" ref="J1787" si="5703">(IF(D1787=0,(2*(D1766+G1766))-(F$5*8),IF(D1787=3,(2*(D1766+G1766))-(F$5*8)+(G1766-2*F$5),IF(D1787=4,(2*(D1766+G1766))-(F$5*8)+2*(G1766-2*F$5)))))/1000</f>
        <v>1.48</v>
      </c>
      <c r="K1787" s="400" t="s">
        <v>204</v>
      </c>
      <c r="L1787" s="399">
        <f t="shared" si="5692"/>
        <v>0.15</v>
      </c>
      <c r="M1787" s="399" t="s">
        <v>176</v>
      </c>
      <c r="N1787" s="399">
        <f t="shared" si="5693"/>
        <v>1.63</v>
      </c>
      <c r="O1787" s="399"/>
      <c r="P1787" s="389"/>
      <c r="Q1787" s="399"/>
      <c r="R1787" s="399"/>
      <c r="S1787" s="399"/>
      <c r="T1787" s="399" t="s">
        <v>125</v>
      </c>
      <c r="U1787" s="401">
        <f t="shared" si="5694"/>
        <v>0.39456000000000002</v>
      </c>
      <c r="V1787" s="399" t="s">
        <v>125</v>
      </c>
      <c r="W1787" s="399">
        <f t="shared" ref="W1787" si="5704">IF(D1768&gt;4*G1766,ROUND(MAX(D1768/4,2*G1766)/H1787,0)+1,0)</f>
        <v>9</v>
      </c>
      <c r="X1787" s="399" t="s">
        <v>125</v>
      </c>
      <c r="Y1787" s="389">
        <f t="shared" ref="Y1787" si="5705">D1771</f>
        <v>1</v>
      </c>
      <c r="Z1787" s="400" t="s">
        <v>176</v>
      </c>
      <c r="AA1787" s="402">
        <f t="shared" si="5697"/>
        <v>5.7881951999999997</v>
      </c>
      <c r="AB1787" s="403"/>
    </row>
    <row r="1788" spans="1:28">
      <c r="A1788" s="384"/>
      <c r="B1788" s="385"/>
      <c r="C1788" s="393"/>
      <c r="D1788" s="394"/>
      <c r="E1788" s="388"/>
      <c r="F1788" s="388"/>
      <c r="G1788" s="388"/>
      <c r="H1788" s="395"/>
      <c r="I1788" s="388"/>
      <c r="J1788" s="399"/>
      <c r="K1788" s="396"/>
      <c r="L1788" s="396"/>
      <c r="M1788" s="396"/>
      <c r="N1788" s="396"/>
      <c r="O1788" s="396"/>
      <c r="P1788" s="389"/>
      <c r="Q1788" s="396"/>
      <c r="R1788" s="396"/>
      <c r="S1788" s="396"/>
      <c r="T1788" s="396"/>
      <c r="U1788" s="401"/>
      <c r="V1788" s="396"/>
      <c r="W1788" s="388"/>
      <c r="X1788" s="396"/>
      <c r="Y1788" s="389"/>
      <c r="Z1788" s="396"/>
      <c r="AA1788" s="388"/>
      <c r="AB1788" s="390"/>
    </row>
    <row r="1789" spans="1:28">
      <c r="A1789" s="384" t="str">
        <f t="shared" ref="A1789:B1789" si="5706">A1765</f>
        <v>Lantai 1</v>
      </c>
      <c r="B1789" s="385">
        <f t="shared" si="5706"/>
        <v>57</v>
      </c>
      <c r="C1789" s="393" t="s">
        <v>213</v>
      </c>
      <c r="D1789" s="398">
        <f>VLOOKUP(D1765,'Detail Balok'!$C$10:$BJ$140,46,FALSE)</f>
        <v>0</v>
      </c>
      <c r="E1789" s="388" t="s">
        <v>16</v>
      </c>
      <c r="F1789" s="388">
        <f>VLOOKUP(D1765,'Detail Balok'!$C$10:$BJ$140,48,FALSE)</f>
        <v>0</v>
      </c>
      <c r="G1789" s="405" t="s">
        <v>157</v>
      </c>
      <c r="H1789" s="395">
        <f>VLOOKUP(D1765,'Detail Balok'!$C$10:$BJ$140,50,FALSE)</f>
        <v>100</v>
      </c>
      <c r="I1789" s="388"/>
      <c r="J1789" s="399">
        <f t="shared" ref="J1789" si="5707">(D1766-2*F$5)/1000</f>
        <v>0.22</v>
      </c>
      <c r="K1789" s="400" t="s">
        <v>204</v>
      </c>
      <c r="L1789" s="399">
        <f t="shared" ref="L1789:L1791" si="5708">IF(D1789=0,2*MAX(6*F1789,75),(D1789-1)*2*MAX(6*F1789,75))/1000</f>
        <v>0.15</v>
      </c>
      <c r="M1789" s="399" t="s">
        <v>176</v>
      </c>
      <c r="N1789" s="399">
        <f t="shared" ref="N1789:N1791" si="5709">J1789+L1789</f>
        <v>0.37</v>
      </c>
      <c r="O1789" s="399"/>
      <c r="P1789" s="399"/>
      <c r="Q1789" s="399"/>
      <c r="R1789" s="399"/>
      <c r="S1789" s="399"/>
      <c r="T1789" s="399" t="s">
        <v>125</v>
      </c>
      <c r="U1789" s="401">
        <f t="shared" ref="U1789:U1791" si="5710">0.006165*F1789^2</f>
        <v>0</v>
      </c>
      <c r="V1789" s="399" t="s">
        <v>125</v>
      </c>
      <c r="W1789" s="399">
        <f t="shared" si="5522"/>
        <v>9</v>
      </c>
      <c r="X1789" s="399" t="s">
        <v>125</v>
      </c>
      <c r="Y1789" s="389">
        <f t="shared" ref="Y1789" si="5711">D1775</f>
        <v>4</v>
      </c>
      <c r="Z1789" s="400" t="s">
        <v>176</v>
      </c>
      <c r="AA1789" s="402">
        <f t="shared" ref="AA1789:AA1791" si="5712">N1789*U1789*W1789*Y1789</f>
        <v>0</v>
      </c>
      <c r="AB1789" s="403"/>
    </row>
    <row r="1790" spans="1:28">
      <c r="A1790" s="384" t="str">
        <f t="shared" ref="A1790:B1790" si="5713">A1765</f>
        <v>Lantai 1</v>
      </c>
      <c r="B1790" s="385">
        <f t="shared" si="5713"/>
        <v>57</v>
      </c>
      <c r="C1790" s="393" t="s">
        <v>214</v>
      </c>
      <c r="D1790" s="398">
        <f>VLOOKUP(D1765,'Detail Balok'!$C$10:$BJ$140,51,FALSE)</f>
        <v>0</v>
      </c>
      <c r="E1790" s="388" t="s">
        <v>16</v>
      </c>
      <c r="F1790" s="388">
        <f>VLOOKUP(D1765,'Detail Balok'!$C$10:$BJ$140,53,FALSE)</f>
        <v>0</v>
      </c>
      <c r="G1790" s="405" t="s">
        <v>157</v>
      </c>
      <c r="H1790" s="395">
        <f>VLOOKUP(D1765,'Detail Balok'!$C$10:$BJ$140,55,FALSE)</f>
        <v>100</v>
      </c>
      <c r="I1790" s="388"/>
      <c r="J1790" s="399">
        <f t="shared" ref="J1790" si="5714">(D1766-2*F$5)/1000</f>
        <v>0.22</v>
      </c>
      <c r="K1790" s="400" t="s">
        <v>204</v>
      </c>
      <c r="L1790" s="399">
        <f t="shared" si="5708"/>
        <v>0.15</v>
      </c>
      <c r="M1790" s="399" t="s">
        <v>176</v>
      </c>
      <c r="N1790" s="399">
        <f t="shared" si="5709"/>
        <v>0.37</v>
      </c>
      <c r="O1790" s="399"/>
      <c r="P1790" s="399"/>
      <c r="Q1790" s="399"/>
      <c r="R1790" s="399"/>
      <c r="S1790" s="399"/>
      <c r="T1790" s="399" t="s">
        <v>125</v>
      </c>
      <c r="U1790" s="401">
        <f t="shared" si="5710"/>
        <v>0</v>
      </c>
      <c r="V1790" s="399" t="s">
        <v>125</v>
      </c>
      <c r="W1790" s="399">
        <f t="shared" si="5522"/>
        <v>8</v>
      </c>
      <c r="X1790" s="399" t="s">
        <v>125</v>
      </c>
      <c r="Y1790" s="389">
        <f t="shared" ref="Y1790" si="5715">D1775</f>
        <v>4</v>
      </c>
      <c r="Z1790" s="400" t="s">
        <v>176</v>
      </c>
      <c r="AA1790" s="402">
        <f t="shared" si="5712"/>
        <v>0</v>
      </c>
      <c r="AB1790" s="403"/>
    </row>
    <row r="1791" spans="1:28">
      <c r="A1791" s="384" t="str">
        <f t="shared" ref="A1791:B1791" si="5716">A1765</f>
        <v>Lantai 1</v>
      </c>
      <c r="B1791" s="385">
        <f t="shared" si="5716"/>
        <v>57</v>
      </c>
      <c r="C1791" s="393" t="s">
        <v>213</v>
      </c>
      <c r="D1791" s="398">
        <f>VLOOKUP(D1765,'Detail Balok'!$C$10:$BJ$140,56,FALSE)</f>
        <v>0</v>
      </c>
      <c r="E1791" s="388" t="s">
        <v>16</v>
      </c>
      <c r="F1791" s="388">
        <f>VLOOKUP(D1765,'Detail Balok'!$C$10:$BJ$140,58,FALSE)</f>
        <v>0</v>
      </c>
      <c r="G1791" s="405" t="s">
        <v>157</v>
      </c>
      <c r="H1791" s="395">
        <f>VLOOKUP(D1765,'Detail Balok'!$C$10:$BJ$140,60,FALSE)</f>
        <v>100</v>
      </c>
      <c r="I1791" s="388"/>
      <c r="J1791" s="399">
        <f t="shared" ref="J1791" si="5717">(D1766-2*F$5)/1000</f>
        <v>0.22</v>
      </c>
      <c r="K1791" s="400" t="s">
        <v>204</v>
      </c>
      <c r="L1791" s="399">
        <f t="shared" si="5708"/>
        <v>0.15</v>
      </c>
      <c r="M1791" s="399" t="s">
        <v>176</v>
      </c>
      <c r="N1791" s="399">
        <f t="shared" si="5709"/>
        <v>0.37</v>
      </c>
      <c r="O1791" s="399"/>
      <c r="P1791" s="399"/>
      <c r="Q1791" s="399"/>
      <c r="R1791" s="399"/>
      <c r="S1791" s="399"/>
      <c r="T1791" s="399" t="s">
        <v>125</v>
      </c>
      <c r="U1791" s="401">
        <f t="shared" si="5710"/>
        <v>0</v>
      </c>
      <c r="V1791" s="399" t="s">
        <v>125</v>
      </c>
      <c r="W1791" s="399">
        <f t="shared" si="5522"/>
        <v>9</v>
      </c>
      <c r="X1791" s="399" t="s">
        <v>125</v>
      </c>
      <c r="Y1791" s="389">
        <f t="shared" ref="Y1791" si="5718">D1775</f>
        <v>4</v>
      </c>
      <c r="Z1791" s="400" t="s">
        <v>176</v>
      </c>
      <c r="AA1791" s="402">
        <f t="shared" si="5712"/>
        <v>0</v>
      </c>
      <c r="AB1791" s="403"/>
    </row>
    <row r="1792" spans="1:28">
      <c r="A1792" s="391"/>
      <c r="B1792" s="392"/>
      <c r="C1792" s="392"/>
      <c r="D1792" s="394"/>
      <c r="E1792" s="388"/>
      <c r="F1792" s="388"/>
      <c r="G1792" s="388"/>
      <c r="H1792" s="395"/>
      <c r="I1792" s="388"/>
      <c r="J1792" s="402"/>
      <c r="K1792" s="388"/>
      <c r="L1792" s="388"/>
      <c r="M1792" s="388"/>
      <c r="N1792" s="388"/>
      <c r="O1792" s="388"/>
      <c r="P1792" s="388"/>
      <c r="Q1792" s="388"/>
      <c r="R1792" s="388"/>
      <c r="S1792" s="388"/>
      <c r="T1792" s="388"/>
      <c r="U1792" s="388"/>
      <c r="V1792" s="388"/>
      <c r="W1792" s="388"/>
      <c r="X1792" s="388"/>
      <c r="Y1792" s="389"/>
      <c r="Z1792" s="388"/>
      <c r="AA1792" s="402"/>
      <c r="AB1792" s="403"/>
    </row>
    <row r="1793" spans="1:28" ht="15.75" thickBot="1">
      <c r="A1793" s="406"/>
      <c r="B1793" s="407"/>
      <c r="C1793" s="407"/>
      <c r="D1793" s="408"/>
      <c r="E1793" s="409"/>
      <c r="F1793" s="409"/>
      <c r="G1793" s="409"/>
      <c r="H1793" s="410"/>
      <c r="I1793" s="409"/>
      <c r="J1793" s="409"/>
      <c r="K1793" s="409"/>
      <c r="L1793" s="409"/>
      <c r="M1793" s="409"/>
      <c r="N1793" s="409"/>
      <c r="O1793" s="409"/>
      <c r="P1793" s="409"/>
      <c r="Q1793" s="409"/>
      <c r="R1793" s="409"/>
      <c r="S1793" s="409"/>
      <c r="T1793" s="409"/>
      <c r="U1793" s="409"/>
      <c r="V1793" s="409"/>
      <c r="W1793" s="409"/>
      <c r="X1793" s="409"/>
      <c r="Y1793" s="411"/>
      <c r="Z1793" s="409"/>
      <c r="AA1793" s="412"/>
      <c r="AB1793" s="413"/>
    </row>
    <row r="1794" spans="1:28">
      <c r="A1794" s="377"/>
      <c r="B1794" s="378"/>
      <c r="C1794" s="378"/>
      <c r="D1794" s="379"/>
      <c r="E1794" s="380"/>
      <c r="F1794" s="380"/>
      <c r="G1794" s="380"/>
      <c r="H1794" s="381"/>
      <c r="I1794" s="380"/>
      <c r="J1794" s="380"/>
      <c r="K1794" s="380"/>
      <c r="L1794" s="380"/>
      <c r="M1794" s="380"/>
      <c r="N1794" s="380"/>
      <c r="O1794" s="380"/>
      <c r="P1794" s="380"/>
      <c r="Q1794" s="380"/>
      <c r="R1794" s="380"/>
      <c r="S1794" s="380"/>
      <c r="T1794" s="380"/>
      <c r="U1794" s="380"/>
      <c r="V1794" s="380"/>
      <c r="W1794" s="380"/>
      <c r="X1794" s="380"/>
      <c r="Y1794" s="382"/>
      <c r="Z1794" s="380"/>
      <c r="AA1794" s="380"/>
      <c r="AB1794" s="383"/>
    </row>
    <row r="1795" spans="1:28">
      <c r="A1795" s="384" t="str">
        <f t="shared" si="5531"/>
        <v>Lantai 1</v>
      </c>
      <c r="B1795" s="385">
        <f t="shared" si="5532"/>
        <v>58</v>
      </c>
      <c r="C1795" s="386" t="str">
        <f t="shared" ref="C1795" si="5719">CONCATENATE(A1795," no. ",B1795)</f>
        <v>Lantai 1 no. 58</v>
      </c>
      <c r="D1795" s="2562" t="str">
        <f>VLOOKUP(C1795,'Data Panjang Balok'!$C$9:$N$254,2,FALSE)</f>
        <v>S25-1</v>
      </c>
      <c r="E1795" s="2576"/>
      <c r="F1795" s="2576"/>
      <c r="G1795" s="2576"/>
      <c r="H1795" s="2577"/>
      <c r="I1795" s="387"/>
      <c r="J1795" s="388"/>
      <c r="K1795" s="388"/>
      <c r="L1795" s="388"/>
      <c r="M1795" s="388"/>
      <c r="N1795" s="388"/>
      <c r="O1795" s="388"/>
      <c r="P1795" s="388"/>
      <c r="Q1795" s="388"/>
      <c r="R1795" s="388"/>
      <c r="S1795" s="388"/>
      <c r="T1795" s="388"/>
      <c r="U1795" s="388"/>
      <c r="V1795" s="388"/>
      <c r="W1795" s="388"/>
      <c r="X1795" s="388"/>
      <c r="Y1795" s="389"/>
      <c r="Z1795" s="388"/>
      <c r="AA1795" s="388"/>
      <c r="AB1795" s="390"/>
    </row>
    <row r="1796" spans="1:28">
      <c r="A1796" s="391"/>
      <c r="B1796" s="392"/>
      <c r="C1796" s="393" t="s">
        <v>118</v>
      </c>
      <c r="D1796" s="2578">
        <f>VLOOKUP(D1795,'Detail Balok'!$C$10:$AU$140,2,FALSE)</f>
        <v>200</v>
      </c>
      <c r="E1796" s="2579"/>
      <c r="F1796" s="388" t="s">
        <v>125</v>
      </c>
      <c r="G1796" s="2579">
        <f>VLOOKUP(D1795,'Detail Balok'!$C$10:$AU$140,3,FALSE)</f>
        <v>500</v>
      </c>
      <c r="H1796" s="2580"/>
      <c r="I1796" s="388"/>
      <c r="J1796" s="396"/>
      <c r="K1796" s="396"/>
      <c r="L1796" s="396"/>
      <c r="M1796" s="396"/>
      <c r="N1796" s="396"/>
      <c r="O1796" s="396"/>
      <c r="P1796" s="396"/>
      <c r="Q1796" s="396"/>
      <c r="R1796" s="396"/>
      <c r="S1796" s="396"/>
      <c r="T1796" s="396"/>
      <c r="U1796" s="388"/>
      <c r="V1796" s="396"/>
      <c r="W1796" s="388"/>
      <c r="X1796" s="396"/>
      <c r="Y1796" s="389"/>
      <c r="Z1796" s="396"/>
      <c r="AA1796" s="388"/>
      <c r="AB1796" s="390"/>
    </row>
    <row r="1797" spans="1:28">
      <c r="A1797" s="391"/>
      <c r="B1797" s="392"/>
      <c r="C1797" s="393" t="s">
        <v>198</v>
      </c>
      <c r="D1797" s="2562">
        <f>VLOOKUP(C1795,'Data Panjang Balok'!$C$9:$N$254,4,FALSE)</f>
        <v>1600</v>
      </c>
      <c r="E1797" s="2563"/>
      <c r="F1797" s="2563"/>
      <c r="G1797" s="2563"/>
      <c r="H1797" s="2564"/>
      <c r="I1797" s="397"/>
      <c r="J1797" s="396"/>
      <c r="K1797" s="396"/>
      <c r="L1797" s="396"/>
      <c r="M1797" s="396"/>
      <c r="N1797" s="396"/>
      <c r="O1797" s="396"/>
      <c r="P1797" s="396"/>
      <c r="Q1797" s="396"/>
      <c r="R1797" s="396"/>
      <c r="S1797" s="396"/>
      <c r="T1797" s="396"/>
      <c r="U1797" s="388"/>
      <c r="V1797" s="396"/>
      <c r="W1797" s="388"/>
      <c r="X1797" s="396"/>
      <c r="Y1797" s="389"/>
      <c r="Z1797" s="396"/>
      <c r="AA1797" s="388"/>
      <c r="AB1797" s="390"/>
    </row>
    <row r="1798" spans="1:28">
      <c r="A1798" s="391"/>
      <c r="B1798" s="392"/>
      <c r="C1798" s="393" t="s">
        <v>199</v>
      </c>
      <c r="D1798" s="2562">
        <f>VLOOKUP(C1795,'Data Panjang Balok'!$C$9:$N$254,7,FALSE)</f>
        <v>1600</v>
      </c>
      <c r="E1798" s="2563"/>
      <c r="F1798" s="2563"/>
      <c r="G1798" s="2563"/>
      <c r="H1798" s="2564"/>
      <c r="I1798" s="397"/>
      <c r="J1798" s="396"/>
      <c r="K1798" s="396"/>
      <c r="L1798" s="396"/>
      <c r="M1798" s="396"/>
      <c r="N1798" s="396"/>
      <c r="O1798" s="396"/>
      <c r="P1798" s="396"/>
      <c r="Q1798" s="396"/>
      <c r="R1798" s="396"/>
      <c r="S1798" s="396"/>
      <c r="T1798" s="396"/>
      <c r="U1798" s="388"/>
      <c r="V1798" s="396"/>
      <c r="W1798" s="388"/>
      <c r="X1798" s="396"/>
      <c r="Y1798" s="389"/>
      <c r="Z1798" s="396"/>
      <c r="AA1798" s="388"/>
      <c r="AB1798" s="390"/>
    </row>
    <row r="1799" spans="1:28">
      <c r="A1799" s="391"/>
      <c r="B1799" s="392"/>
      <c r="C1799" s="393" t="s">
        <v>200</v>
      </c>
      <c r="D1799" s="2562">
        <f>VLOOKUP(C1795,'Data Panjang Balok'!$C$9:$N$254,9,FALSE)</f>
        <v>0</v>
      </c>
      <c r="E1799" s="2563"/>
      <c r="F1799" s="2563"/>
      <c r="G1799" s="2563"/>
      <c r="H1799" s="2564"/>
      <c r="I1799" s="397"/>
      <c r="J1799" s="396"/>
      <c r="K1799" s="396"/>
      <c r="L1799" s="396"/>
      <c r="M1799" s="396"/>
      <c r="N1799" s="396"/>
      <c r="O1799" s="396"/>
      <c r="P1799" s="396"/>
      <c r="Q1799" s="396"/>
      <c r="R1799" s="396"/>
      <c r="S1799" s="396"/>
      <c r="T1799" s="396"/>
      <c r="U1799" s="388"/>
      <c r="V1799" s="396"/>
      <c r="W1799" s="388"/>
      <c r="X1799" s="396"/>
      <c r="Y1799" s="389"/>
      <c r="Z1799" s="396"/>
      <c r="AA1799" s="388"/>
      <c r="AB1799" s="390"/>
    </row>
    <row r="1800" spans="1:28">
      <c r="A1800" s="391"/>
      <c r="B1800" s="392"/>
      <c r="C1800" s="393" t="s">
        <v>201</v>
      </c>
      <c r="D1800" s="2562">
        <f>VLOOKUP(C1795,'Data Panjang Balok'!$C$9:$N$254,10,FALSE)</f>
        <v>0</v>
      </c>
      <c r="E1800" s="2563"/>
      <c r="F1800" s="2563"/>
      <c r="G1800" s="2563"/>
      <c r="H1800" s="2564"/>
      <c r="I1800" s="397"/>
      <c r="J1800" s="396"/>
      <c r="K1800" s="396"/>
      <c r="L1800" s="396"/>
      <c r="M1800" s="396"/>
      <c r="N1800" s="396"/>
      <c r="O1800" s="396"/>
      <c r="P1800" s="396"/>
      <c r="Q1800" s="396"/>
      <c r="R1800" s="396"/>
      <c r="S1800" s="396"/>
      <c r="T1800" s="396"/>
      <c r="U1800" s="388"/>
      <c r="V1800" s="396"/>
      <c r="W1800" s="388"/>
      <c r="X1800" s="396"/>
      <c r="Y1800" s="389"/>
      <c r="Z1800" s="396"/>
      <c r="AA1800" s="388"/>
      <c r="AB1800" s="390"/>
    </row>
    <row r="1801" spans="1:28">
      <c r="A1801" s="391"/>
      <c r="B1801" s="392"/>
      <c r="C1801" s="393" t="s">
        <v>48</v>
      </c>
      <c r="D1801" s="2562">
        <f>VLOOKUP(C1795,'Data Panjang Balok'!$C$9:$N$254,3,FALSE)</f>
        <v>1</v>
      </c>
      <c r="E1801" s="2563"/>
      <c r="F1801" s="2563"/>
      <c r="G1801" s="2563"/>
      <c r="H1801" s="2564"/>
      <c r="I1801" s="397"/>
      <c r="J1801" s="396"/>
      <c r="K1801" s="396"/>
      <c r="L1801" s="396"/>
      <c r="M1801" s="396"/>
      <c r="N1801" s="396"/>
      <c r="O1801" s="396"/>
      <c r="P1801" s="396"/>
      <c r="Q1801" s="396"/>
      <c r="R1801" s="396"/>
      <c r="S1801" s="396"/>
      <c r="T1801" s="396"/>
      <c r="U1801" s="388"/>
      <c r="V1801" s="396"/>
      <c r="W1801" s="388"/>
      <c r="X1801" s="396"/>
      <c r="Y1801" s="389"/>
      <c r="Z1801" s="396"/>
      <c r="AA1801" s="388"/>
      <c r="AB1801" s="390"/>
    </row>
    <row r="1802" spans="1:28">
      <c r="A1802" s="384" t="str">
        <f t="shared" ref="A1802:B1802" si="5720">A1795</f>
        <v>Lantai 1</v>
      </c>
      <c r="B1802" s="385">
        <f t="shared" si="5720"/>
        <v>58</v>
      </c>
      <c r="C1802" s="393" t="s">
        <v>202</v>
      </c>
      <c r="D1802" s="398">
        <f>VLOOKUP(D1795,'Detail Balok'!$C$10:$AU$140,4,FALSE)</f>
        <v>3</v>
      </c>
      <c r="E1802" s="388" t="s">
        <v>16</v>
      </c>
      <c r="F1802" s="388">
        <f>VLOOKUP(D1795,'Detail Balok'!$C$10:$AU$140,6,FALSE)</f>
        <v>16</v>
      </c>
      <c r="G1802" s="388"/>
      <c r="H1802" s="395"/>
      <c r="I1802" s="388" t="s">
        <v>203</v>
      </c>
      <c r="J1802" s="399">
        <f t="shared" ref="J1802" si="5721">+D1797/4/1000</f>
        <v>0.4</v>
      </c>
      <c r="K1802" s="400" t="s">
        <v>204</v>
      </c>
      <c r="L1802" s="399">
        <f t="shared" ref="L1802" si="5722">MAX(VLOOKUP(F1802,N$6:P$15,3,FALSE)/1000,2/3*D1799/1000)+F$16*F1802/1000</f>
        <v>0.192</v>
      </c>
      <c r="M1802" s="399" t="s">
        <v>176</v>
      </c>
      <c r="N1802" s="399">
        <f t="shared" ref="N1802:N1804" si="5723">J1802+L1802</f>
        <v>0.59200000000000008</v>
      </c>
      <c r="O1802" s="399" t="s">
        <v>204</v>
      </c>
      <c r="P1802" s="389">
        <f t="shared" ref="P1802" si="5724">D1802-D1803</f>
        <v>0</v>
      </c>
      <c r="Q1802" s="399" t="s">
        <v>125</v>
      </c>
      <c r="R1802" s="399">
        <f t="shared" ref="R1802" si="5725">IF(P1802&gt;0,$F$18*F1802/1000,0)</f>
        <v>0</v>
      </c>
      <c r="S1802" s="399" t="s">
        <v>205</v>
      </c>
      <c r="T1802" s="399" t="s">
        <v>125</v>
      </c>
      <c r="U1802" s="401">
        <f t="shared" ref="U1802:U1804" si="5726">0.006165*F1802^2</f>
        <v>1.5782400000000001</v>
      </c>
      <c r="V1802" s="399"/>
      <c r="W1802" s="399"/>
      <c r="X1802" s="399" t="s">
        <v>125</v>
      </c>
      <c r="Y1802" s="389">
        <f t="shared" ref="Y1802" si="5727">D1801</f>
        <v>1</v>
      </c>
      <c r="Z1802" s="400" t="s">
        <v>176</v>
      </c>
      <c r="AA1802" s="402">
        <f t="shared" ref="AA1802" si="5728">IF(AA1805=0,(D1802*N1802+P1802*R1802)*U1802*Y1802,0)</f>
        <v>0</v>
      </c>
      <c r="AB1802" s="403"/>
    </row>
    <row r="1803" spans="1:28">
      <c r="A1803" s="384" t="str">
        <f t="shared" ref="A1803:B1803" si="5729">A1795</f>
        <v>Lantai 1</v>
      </c>
      <c r="B1803" s="385">
        <f t="shared" si="5729"/>
        <v>58</v>
      </c>
      <c r="C1803" s="393" t="s">
        <v>206</v>
      </c>
      <c r="D1803" s="398">
        <f>VLOOKUP(D1795,'Detail Balok'!$C$10:$AU$140,7,FALSE)</f>
        <v>3</v>
      </c>
      <c r="E1803" s="388" t="s">
        <v>16</v>
      </c>
      <c r="F1803" s="388">
        <f>VLOOKUP(D1795,'Detail Balok'!$C$10:$AU$140,9,FALSE)</f>
        <v>16</v>
      </c>
      <c r="G1803" s="388"/>
      <c r="H1803" s="395"/>
      <c r="I1803" s="388" t="s">
        <v>203</v>
      </c>
      <c r="J1803" s="399">
        <f t="shared" ref="J1803" si="5730">+D1797/2/1000</f>
        <v>0.8</v>
      </c>
      <c r="K1803" s="400" t="s">
        <v>204</v>
      </c>
      <c r="L1803" s="399"/>
      <c r="M1803" s="399" t="s">
        <v>176</v>
      </c>
      <c r="N1803" s="399">
        <f t="shared" si="5723"/>
        <v>0.8</v>
      </c>
      <c r="O1803" s="399" t="s">
        <v>204</v>
      </c>
      <c r="P1803" s="389">
        <f t="shared" ref="P1803" si="5731">MAX(D1803-D1802,D1803-D1804)</f>
        <v>0</v>
      </c>
      <c r="Q1803" s="399" t="s">
        <v>125</v>
      </c>
      <c r="R1803" s="399">
        <f t="shared" ref="R1803" si="5732">IF(P1803&gt;0,2*(1-2*$F$19-1/2)*D1798/1000,0)</f>
        <v>0</v>
      </c>
      <c r="S1803" s="399" t="s">
        <v>205</v>
      </c>
      <c r="T1803" s="399" t="s">
        <v>125</v>
      </c>
      <c r="U1803" s="401">
        <f t="shared" si="5726"/>
        <v>1.5782400000000001</v>
      </c>
      <c r="V1803" s="399"/>
      <c r="W1803" s="399"/>
      <c r="X1803" s="399" t="s">
        <v>125</v>
      </c>
      <c r="Y1803" s="389">
        <f t="shared" ref="Y1803" si="5733">D1801</f>
        <v>1</v>
      </c>
      <c r="Z1803" s="400" t="s">
        <v>176</v>
      </c>
      <c r="AA1803" s="402">
        <f t="shared" ref="AA1803" si="5734">IF(AA1805=0,(D1803*N1803+P1803*R1803)*U1803*Y1803,0)</f>
        <v>0</v>
      </c>
      <c r="AB1803" s="403"/>
    </row>
    <row r="1804" spans="1:28">
      <c r="A1804" s="384" t="str">
        <f t="shared" ref="A1804:B1804" si="5735">A1795</f>
        <v>Lantai 1</v>
      </c>
      <c r="B1804" s="385">
        <f t="shared" si="5735"/>
        <v>58</v>
      </c>
      <c r="C1804" s="393" t="s">
        <v>202</v>
      </c>
      <c r="D1804" s="398">
        <f>VLOOKUP(D1795,'Detail Balok'!$C$10:$AU$140,10,FALSE)</f>
        <v>3</v>
      </c>
      <c r="E1804" s="388" t="s">
        <v>16</v>
      </c>
      <c r="F1804" s="388">
        <f>VLOOKUP(D1795,'Detail Balok'!$C$10:$AU$140,12,FALSE)</f>
        <v>16</v>
      </c>
      <c r="G1804" s="388"/>
      <c r="H1804" s="395"/>
      <c r="I1804" s="388" t="s">
        <v>203</v>
      </c>
      <c r="J1804" s="399">
        <f t="shared" ref="J1804" si="5736">+D1797/4/1000</f>
        <v>0.4</v>
      </c>
      <c r="K1804" s="400" t="s">
        <v>204</v>
      </c>
      <c r="L1804" s="399">
        <f t="shared" ref="L1804" si="5737">MAX(VLOOKUP(F1804,N$6:P$15,3,FALSE)/1000,2/3*D1799/1000)+F$16*F1804/1000</f>
        <v>0.192</v>
      </c>
      <c r="M1804" s="399" t="s">
        <v>176</v>
      </c>
      <c r="N1804" s="399">
        <f t="shared" si="5723"/>
        <v>0.59200000000000008</v>
      </c>
      <c r="O1804" s="399" t="s">
        <v>204</v>
      </c>
      <c r="P1804" s="389">
        <f t="shared" ref="P1804" si="5738">D1804-D1803</f>
        <v>0</v>
      </c>
      <c r="Q1804" s="399" t="s">
        <v>125</v>
      </c>
      <c r="R1804" s="399">
        <f t="shared" ref="R1804" si="5739">IF(P1804&gt;0,$F$18*F1804/1000,0)</f>
        <v>0</v>
      </c>
      <c r="S1804" s="399" t="s">
        <v>205</v>
      </c>
      <c r="T1804" s="399" t="s">
        <v>125</v>
      </c>
      <c r="U1804" s="401">
        <f t="shared" si="5726"/>
        <v>1.5782400000000001</v>
      </c>
      <c r="V1804" s="399"/>
      <c r="W1804" s="399"/>
      <c r="X1804" s="399" t="s">
        <v>125</v>
      </c>
      <c r="Y1804" s="389">
        <f t="shared" ref="Y1804" si="5740">D1801</f>
        <v>1</v>
      </c>
      <c r="Z1804" s="400" t="s">
        <v>176</v>
      </c>
      <c r="AA1804" s="402">
        <f t="shared" ref="AA1804" si="5741">IF(AA1805=0,(D1804*N1804+P1804*R1804)*U1804*Y1804,0)</f>
        <v>0</v>
      </c>
      <c r="AB1804" s="403"/>
    </row>
    <row r="1805" spans="1:28">
      <c r="A1805" s="384" t="str">
        <f t="shared" ref="A1805:B1805" si="5742">A1795</f>
        <v>Lantai 1</v>
      </c>
      <c r="B1805" s="385">
        <f t="shared" si="5742"/>
        <v>58</v>
      </c>
      <c r="C1805" s="393"/>
      <c r="D1805" s="398">
        <f t="shared" ref="D1805" si="5743">IF(AND(D1802=D1803,D1803=D1804,D1802=D1804),D1802,0)</f>
        <v>3</v>
      </c>
      <c r="E1805" s="388" t="s">
        <v>16</v>
      </c>
      <c r="F1805" s="388">
        <f t="shared" ref="F1805" si="5744">IF(AND(F1802=F1803,F1802=F1804,F1803=F1804),F1802,0)</f>
        <v>16</v>
      </c>
      <c r="G1805" s="388"/>
      <c r="H1805" s="395"/>
      <c r="I1805" s="388"/>
      <c r="J1805" s="396"/>
      <c r="K1805" s="396"/>
      <c r="L1805" s="404" t="s">
        <v>207</v>
      </c>
      <c r="M1805" s="399" t="s">
        <v>176</v>
      </c>
      <c r="N1805" s="399">
        <f t="shared" ref="N1805" si="5745">IF(AND(D1802=D1803,D1802=D1804,D1803=D1804,F1802=F1803,F1802=F1804,F1803=F1804),SUM(N1802:N1804),0)</f>
        <v>1.9840000000000002</v>
      </c>
      <c r="O1805" s="399" t="s">
        <v>204</v>
      </c>
      <c r="P1805" s="389">
        <f t="shared" ref="P1805" si="5746">IF(N1805&gt;12,ROUNDDOWN(N1805/12,0),0)</f>
        <v>0</v>
      </c>
      <c r="Q1805" s="399" t="s">
        <v>125</v>
      </c>
      <c r="R1805" s="399">
        <f t="shared" ref="R1805" si="5747">IF(P1805&gt;0,MAX(VLOOKUP(F1805,$D$6:$G$15,3,FALSE),600),0)/1000</f>
        <v>0</v>
      </c>
      <c r="S1805" s="396"/>
      <c r="T1805" s="396" t="s">
        <v>125</v>
      </c>
      <c r="U1805" s="401">
        <f t="shared" ref="U1805" si="5748">U1804</f>
        <v>1.5782400000000001</v>
      </c>
      <c r="V1805" s="396" t="s">
        <v>125</v>
      </c>
      <c r="W1805" s="399">
        <f t="shared" ref="W1805" si="5749">D1805</f>
        <v>3</v>
      </c>
      <c r="X1805" s="399" t="s">
        <v>125</v>
      </c>
      <c r="Y1805" s="389">
        <f t="shared" ref="Y1805" si="5750">Y1804</f>
        <v>1</v>
      </c>
      <c r="Z1805" s="400" t="s">
        <v>176</v>
      </c>
      <c r="AA1805" s="402">
        <f t="shared" ref="AA1805" si="5751">(N1805+P1805*R1805/1000)*U1805*W1805*Y1805</f>
        <v>9.393684480000001</v>
      </c>
      <c r="AB1805" s="390"/>
    </row>
    <row r="1806" spans="1:28">
      <c r="A1806" s="384"/>
      <c r="B1806" s="385"/>
      <c r="C1806" s="393"/>
      <c r="D1806" s="398"/>
      <c r="E1806" s="388"/>
      <c r="F1806" s="388"/>
      <c r="G1806" s="388"/>
      <c r="H1806" s="395"/>
      <c r="I1806" s="388"/>
      <c r="J1806" s="396"/>
      <c r="K1806" s="396"/>
      <c r="L1806" s="404"/>
      <c r="M1806" s="399"/>
      <c r="N1806" s="399"/>
      <c r="O1806" s="396"/>
      <c r="P1806" s="389"/>
      <c r="Q1806" s="396"/>
      <c r="R1806" s="396"/>
      <c r="S1806" s="396"/>
      <c r="T1806" s="396"/>
      <c r="U1806" s="401"/>
      <c r="V1806" s="396"/>
      <c r="W1806" s="399"/>
      <c r="X1806" s="396"/>
      <c r="Y1806" s="389"/>
      <c r="Z1806" s="396"/>
      <c r="AA1806" s="388"/>
      <c r="AB1806" s="390"/>
    </row>
    <row r="1807" spans="1:28">
      <c r="A1807" s="384" t="str">
        <f t="shared" ref="A1807:B1807" si="5752">A1795</f>
        <v>Lantai 1</v>
      </c>
      <c r="B1807" s="385">
        <f t="shared" si="5752"/>
        <v>58</v>
      </c>
      <c r="C1807" s="393" t="s">
        <v>208</v>
      </c>
      <c r="D1807" s="398">
        <f>VLOOKUP(D1795,'Detail Balok'!$C$10:$AU$140,13,FALSE)</f>
        <v>2</v>
      </c>
      <c r="E1807" s="388" t="s">
        <v>16</v>
      </c>
      <c r="F1807" s="388">
        <f>VLOOKUP(D1795,'Detail Balok'!$C$10:$AU$140,15,FALSE)</f>
        <v>10</v>
      </c>
      <c r="G1807" s="388"/>
      <c r="H1807" s="395"/>
      <c r="I1807" s="388"/>
      <c r="J1807" s="399">
        <f t="shared" ref="J1807" si="5753">+D1797/1000</f>
        <v>1.6</v>
      </c>
      <c r="K1807" s="400" t="s">
        <v>204</v>
      </c>
      <c r="L1807" s="399">
        <f t="shared" ref="L1807" si="5754">2*$F$16*F1807/1000</f>
        <v>0.24</v>
      </c>
      <c r="M1807" s="399" t="s">
        <v>176</v>
      </c>
      <c r="N1807" s="399">
        <f t="shared" ref="N1807" si="5755">J1807+L1807</f>
        <v>1.84</v>
      </c>
      <c r="O1807" s="399" t="s">
        <v>204</v>
      </c>
      <c r="P1807" s="389">
        <f t="shared" ref="P1807" si="5756">IF(N1807&gt;12,ROUNDDOWN(N1807/12,0),0)</f>
        <v>0</v>
      </c>
      <c r="Q1807" s="399" t="s">
        <v>125</v>
      </c>
      <c r="R1807" s="399">
        <f t="shared" ref="R1807" si="5757">IF(P1807&gt;0,MAX(VLOOKUP(F1807,$D$6:$G$15,3,FALSE),600),0)/1000</f>
        <v>0</v>
      </c>
      <c r="S1807" s="399"/>
      <c r="T1807" s="399" t="s">
        <v>125</v>
      </c>
      <c r="U1807" s="401">
        <f t="shared" ref="U1807" si="5758">0.006165*F1807^2</f>
        <v>0.61650000000000005</v>
      </c>
      <c r="V1807" s="399" t="s">
        <v>125</v>
      </c>
      <c r="W1807" s="399">
        <f t="shared" ref="W1807" si="5759">+D1807</f>
        <v>2</v>
      </c>
      <c r="X1807" s="399" t="s">
        <v>125</v>
      </c>
      <c r="Y1807" s="389">
        <f t="shared" ref="Y1807" si="5760">D1801</f>
        <v>1</v>
      </c>
      <c r="Z1807" s="400" t="s">
        <v>176</v>
      </c>
      <c r="AA1807" s="402">
        <f t="shared" ref="AA1807" si="5761">(N1807+P1807*R1807/1000)*U1807*W1807*Y1807</f>
        <v>2.2687200000000001</v>
      </c>
      <c r="AB1807" s="403"/>
    </row>
    <row r="1808" spans="1:28">
      <c r="A1808" s="384"/>
      <c r="B1808" s="385"/>
      <c r="C1808" s="393"/>
      <c r="D1808" s="398"/>
      <c r="E1808" s="388"/>
      <c r="F1808" s="388"/>
      <c r="G1808" s="388"/>
      <c r="H1808" s="395"/>
      <c r="I1808" s="388"/>
      <c r="J1808" s="399"/>
      <c r="K1808" s="400"/>
      <c r="L1808" s="399"/>
      <c r="M1808" s="399"/>
      <c r="N1808" s="399"/>
      <c r="O1808" s="399"/>
      <c r="P1808" s="389"/>
      <c r="Q1808" s="399"/>
      <c r="R1808" s="399"/>
      <c r="S1808" s="399"/>
      <c r="T1808" s="399"/>
      <c r="U1808" s="401"/>
      <c r="V1808" s="399"/>
      <c r="W1808" s="399"/>
      <c r="X1808" s="399"/>
      <c r="Y1808" s="389"/>
      <c r="Z1808" s="400"/>
      <c r="AA1808" s="402"/>
      <c r="AB1808" s="403"/>
    </row>
    <row r="1809" spans="1:28">
      <c r="A1809" s="384"/>
      <c r="B1809" s="385"/>
      <c r="C1809" s="393"/>
      <c r="D1809" s="398"/>
      <c r="E1809" s="388"/>
      <c r="F1809" s="388"/>
      <c r="G1809" s="388"/>
      <c r="H1809" s="395"/>
      <c r="I1809" s="388"/>
      <c r="J1809" s="396"/>
      <c r="K1809" s="396"/>
      <c r="L1809" s="396"/>
      <c r="M1809" s="396"/>
      <c r="N1809" s="396"/>
      <c r="O1809" s="396"/>
      <c r="P1809" s="389"/>
      <c r="Q1809" s="396"/>
      <c r="R1809" s="396"/>
      <c r="S1809" s="396"/>
      <c r="T1809" s="396"/>
      <c r="U1809" s="401"/>
      <c r="V1809" s="396"/>
      <c r="W1809" s="399"/>
      <c r="X1809" s="396"/>
      <c r="Y1809" s="389"/>
      <c r="Z1809" s="396"/>
      <c r="AA1809" s="388"/>
      <c r="AB1809" s="390"/>
    </row>
    <row r="1810" spans="1:28">
      <c r="A1810" s="384" t="str">
        <f t="shared" ref="A1810:B1810" si="5762">A1795</f>
        <v>Lantai 1</v>
      </c>
      <c r="B1810" s="385">
        <f t="shared" si="5762"/>
        <v>58</v>
      </c>
      <c r="C1810" s="393" t="s">
        <v>209</v>
      </c>
      <c r="D1810" s="398">
        <f>VLOOKUP(D1795,'Detail Balok'!$C$10:$AU$140,22,FALSE)</f>
        <v>3</v>
      </c>
      <c r="E1810" s="388" t="s">
        <v>16</v>
      </c>
      <c r="F1810" s="388">
        <f>VLOOKUP(D1795,'Detail Balok'!$C$10:$AU$140,24,FALSE)</f>
        <v>16</v>
      </c>
      <c r="G1810" s="388"/>
      <c r="H1810" s="395"/>
      <c r="I1810" s="388" t="s">
        <v>203</v>
      </c>
      <c r="J1810" s="399">
        <f t="shared" ref="J1810:J1812" si="5763">+J1802</f>
        <v>0.4</v>
      </c>
      <c r="K1810" s="400" t="s">
        <v>204</v>
      </c>
      <c r="L1810" s="399">
        <f t="shared" ref="L1810" si="5764">MAX(VLOOKUP(F1810,N$6:P$15,3,FALSE)/1000,2/3*D1800/1000)+F$16*F1810/1000</f>
        <v>0.192</v>
      </c>
      <c r="M1810" s="399" t="s">
        <v>176</v>
      </c>
      <c r="N1810" s="399">
        <f t="shared" ref="N1810:N1812" si="5765">J1810+L1810</f>
        <v>0.59200000000000008</v>
      </c>
      <c r="O1810" s="399" t="s">
        <v>204</v>
      </c>
      <c r="P1810" s="389">
        <f t="shared" ref="P1810" si="5766">D1810-D1811</f>
        <v>0</v>
      </c>
      <c r="Q1810" s="399" t="s">
        <v>125</v>
      </c>
      <c r="R1810" s="399">
        <f t="shared" ref="R1810" si="5767">IF(P1810&gt;0,$F$18*F1810/1000,0)</f>
        <v>0</v>
      </c>
      <c r="S1810" s="399" t="s">
        <v>205</v>
      </c>
      <c r="T1810" s="399" t="s">
        <v>125</v>
      </c>
      <c r="U1810" s="401">
        <f t="shared" ref="U1810:U1812" si="5768">0.006165*F1810^2</f>
        <v>1.5782400000000001</v>
      </c>
      <c r="V1810" s="399"/>
      <c r="W1810" s="399"/>
      <c r="X1810" s="399" t="s">
        <v>125</v>
      </c>
      <c r="Y1810" s="389">
        <f t="shared" ref="Y1810" si="5769">D1801</f>
        <v>1</v>
      </c>
      <c r="Z1810" s="400" t="s">
        <v>176</v>
      </c>
      <c r="AA1810" s="402">
        <f t="shared" ref="AA1810" si="5770">IF(AA1813=0,(D1810*N1810+P1810*R1810)*U1810*Y1810,0)</f>
        <v>0</v>
      </c>
      <c r="AB1810" s="403"/>
    </row>
    <row r="1811" spans="1:28">
      <c r="A1811" s="384" t="str">
        <f t="shared" ref="A1811:B1811" si="5771">A1795</f>
        <v>Lantai 1</v>
      </c>
      <c r="B1811" s="385">
        <f t="shared" si="5771"/>
        <v>58</v>
      </c>
      <c r="C1811" s="393" t="s">
        <v>210</v>
      </c>
      <c r="D1811" s="398">
        <f>VLOOKUP(D1795,'Detail Balok'!$C$10:$AU$140,25,FALSE)</f>
        <v>3</v>
      </c>
      <c r="E1811" s="388" t="s">
        <v>16</v>
      </c>
      <c r="F1811" s="388">
        <f>VLOOKUP(D1795,'Detail Balok'!$C$10:$AU$140,27,FALSE)</f>
        <v>16</v>
      </c>
      <c r="G1811" s="388"/>
      <c r="H1811" s="395"/>
      <c r="I1811" s="388" t="s">
        <v>203</v>
      </c>
      <c r="J1811" s="399">
        <f t="shared" si="5763"/>
        <v>0.8</v>
      </c>
      <c r="K1811" s="400" t="s">
        <v>204</v>
      </c>
      <c r="L1811" s="399"/>
      <c r="M1811" s="399" t="s">
        <v>176</v>
      </c>
      <c r="N1811" s="399">
        <f t="shared" si="5765"/>
        <v>0.8</v>
      </c>
      <c r="O1811" s="399" t="s">
        <v>204</v>
      </c>
      <c r="P1811" s="389">
        <f t="shared" ref="P1811" si="5772">MAX(D1811-D1810,D1811-D1812)</f>
        <v>0</v>
      </c>
      <c r="Q1811" s="399" t="s">
        <v>125</v>
      </c>
      <c r="R1811" s="399">
        <f t="shared" ref="R1811" si="5773">IF(P1811&gt;0,2*(1-2*$F$19-1/2)*D1798/1000,0)</f>
        <v>0</v>
      </c>
      <c r="S1811" s="399" t="s">
        <v>205</v>
      </c>
      <c r="T1811" s="399" t="s">
        <v>125</v>
      </c>
      <c r="U1811" s="401">
        <f t="shared" si="5768"/>
        <v>1.5782400000000001</v>
      </c>
      <c r="V1811" s="399"/>
      <c r="W1811" s="399"/>
      <c r="X1811" s="399" t="s">
        <v>125</v>
      </c>
      <c r="Y1811" s="389">
        <f t="shared" ref="Y1811" si="5774">D1801</f>
        <v>1</v>
      </c>
      <c r="Z1811" s="400" t="s">
        <v>176</v>
      </c>
      <c r="AA1811" s="402">
        <f t="shared" ref="AA1811" si="5775">IF(AA1813=0,(D1811*N1811+P1811*R1811)*U1811*Y1811,0)</f>
        <v>0</v>
      </c>
      <c r="AB1811" s="403"/>
    </row>
    <row r="1812" spans="1:28">
      <c r="A1812" s="384" t="str">
        <f t="shared" ref="A1812:B1812" si="5776">A1795</f>
        <v>Lantai 1</v>
      </c>
      <c r="B1812" s="385">
        <f t="shared" si="5776"/>
        <v>58</v>
      </c>
      <c r="C1812" s="393" t="s">
        <v>209</v>
      </c>
      <c r="D1812" s="398">
        <f>VLOOKUP(D1795,'Detail Balok'!$C$10:$AU$140,28,FALSE)</f>
        <v>3</v>
      </c>
      <c r="E1812" s="388" t="s">
        <v>16</v>
      </c>
      <c r="F1812" s="388">
        <f>VLOOKUP(D1795,'Detail Balok'!$C$10:$AU$140,30,FALSE)</f>
        <v>16</v>
      </c>
      <c r="G1812" s="388"/>
      <c r="H1812" s="395"/>
      <c r="I1812" s="388" t="s">
        <v>203</v>
      </c>
      <c r="J1812" s="399">
        <f t="shared" si="5763"/>
        <v>0.4</v>
      </c>
      <c r="K1812" s="400" t="s">
        <v>204</v>
      </c>
      <c r="L1812" s="399">
        <f t="shared" ref="L1812" si="5777">MAX(VLOOKUP(F1812,N$6:P$15,3,FALSE)/1000,2/3*D1800/1000)+F$16*F1812/1000</f>
        <v>0.192</v>
      </c>
      <c r="M1812" s="399" t="s">
        <v>176</v>
      </c>
      <c r="N1812" s="399">
        <f t="shared" si="5765"/>
        <v>0.59200000000000008</v>
      </c>
      <c r="O1812" s="399" t="s">
        <v>204</v>
      </c>
      <c r="P1812" s="389">
        <f t="shared" ref="P1812" si="5778">D1812-D1811</f>
        <v>0</v>
      </c>
      <c r="Q1812" s="399" t="s">
        <v>125</v>
      </c>
      <c r="R1812" s="399">
        <f t="shared" ref="R1812" si="5779">IF(P1812&gt;0,$F$18*F1812/1000,0)</f>
        <v>0</v>
      </c>
      <c r="S1812" s="399" t="s">
        <v>205</v>
      </c>
      <c r="T1812" s="399" t="s">
        <v>125</v>
      </c>
      <c r="U1812" s="401">
        <f t="shared" si="5768"/>
        <v>1.5782400000000001</v>
      </c>
      <c r="V1812" s="399"/>
      <c r="W1812" s="399"/>
      <c r="X1812" s="399" t="s">
        <v>125</v>
      </c>
      <c r="Y1812" s="389">
        <f t="shared" ref="Y1812" si="5780">D1801</f>
        <v>1</v>
      </c>
      <c r="Z1812" s="400" t="s">
        <v>176</v>
      </c>
      <c r="AA1812" s="402">
        <f t="shared" ref="AA1812" si="5781">IF(AA1813=0,(D1812*N1812+P1812*R1812)*U1812*Y1812,0)</f>
        <v>0</v>
      </c>
      <c r="AB1812" s="403"/>
    </row>
    <row r="1813" spans="1:28">
      <c r="A1813" s="384" t="str">
        <f t="shared" ref="A1813:B1813" si="5782">A1795</f>
        <v>Lantai 1</v>
      </c>
      <c r="B1813" s="385">
        <f t="shared" si="5782"/>
        <v>58</v>
      </c>
      <c r="C1813" s="393"/>
      <c r="D1813" s="398">
        <f t="shared" ref="D1813" si="5783">IF(AND(D1810=D1811,D1811=D1812,D1810=D1812),D1810,0)</f>
        <v>3</v>
      </c>
      <c r="E1813" s="388" t="s">
        <v>16</v>
      </c>
      <c r="F1813" s="388">
        <f t="shared" ref="F1813" si="5784">IF(AND(F1810=F1811,F1810=F1812,F1811=F1812),F1810,0)</f>
        <v>16</v>
      </c>
      <c r="G1813" s="388"/>
      <c r="H1813" s="395"/>
      <c r="I1813" s="388"/>
      <c r="J1813" s="396"/>
      <c r="K1813" s="396"/>
      <c r="L1813" s="404" t="s">
        <v>207</v>
      </c>
      <c r="M1813" s="399" t="s">
        <v>176</v>
      </c>
      <c r="N1813" s="399">
        <f t="shared" ref="N1813" si="5785">IF(AND(D1810=D1811,D1810=D1812,D1811=D1812,F1810=F1811,F1810=F1812,F1811=F1812),SUM(N1810:N1812),0)</f>
        <v>1.9840000000000002</v>
      </c>
      <c r="O1813" s="399" t="s">
        <v>204</v>
      </c>
      <c r="P1813" s="389">
        <f t="shared" ref="P1813" si="5786">IF(N1813&gt;12,ROUNDDOWN(N1813/12,0),0)</f>
        <v>0</v>
      </c>
      <c r="Q1813" s="399" t="s">
        <v>125</v>
      </c>
      <c r="R1813" s="399">
        <f t="shared" ref="R1813" si="5787">IF(P1813&gt;0,MAX(VLOOKUP(F1813,$D$6:$G$15,3,FALSE),600),0)/1000</f>
        <v>0</v>
      </c>
      <c r="S1813" s="396"/>
      <c r="T1813" s="396" t="s">
        <v>125</v>
      </c>
      <c r="U1813" s="401">
        <f t="shared" ref="U1813" si="5788">U1812</f>
        <v>1.5782400000000001</v>
      </c>
      <c r="V1813" s="396" t="s">
        <v>125</v>
      </c>
      <c r="W1813" s="399">
        <f t="shared" ref="W1813" si="5789">D1813</f>
        <v>3</v>
      </c>
      <c r="X1813" s="399" t="s">
        <v>125</v>
      </c>
      <c r="Y1813" s="389">
        <f t="shared" ref="Y1813" si="5790">Y1812</f>
        <v>1</v>
      </c>
      <c r="Z1813" s="400" t="s">
        <v>176</v>
      </c>
      <c r="AA1813" s="402">
        <f t="shared" ref="AA1813" si="5791">(N1813+P1813*R1813/1000)*U1813*W1813*Y1813</f>
        <v>9.393684480000001</v>
      </c>
      <c r="AB1813" s="403"/>
    </row>
    <row r="1814" spans="1:28">
      <c r="A1814" s="384"/>
      <c r="B1814" s="385"/>
      <c r="C1814" s="393"/>
      <c r="D1814" s="394"/>
      <c r="E1814" s="388"/>
      <c r="F1814" s="388"/>
      <c r="G1814" s="388"/>
      <c r="H1814" s="395"/>
      <c r="I1814" s="388"/>
      <c r="J1814" s="399"/>
      <c r="K1814" s="396"/>
      <c r="L1814" s="396"/>
      <c r="M1814" s="396"/>
      <c r="N1814" s="396"/>
      <c r="O1814" s="396"/>
      <c r="P1814" s="389"/>
      <c r="Q1814" s="396"/>
      <c r="R1814" s="396"/>
      <c r="S1814" s="396"/>
      <c r="T1814" s="396"/>
      <c r="U1814" s="401"/>
      <c r="V1814" s="396"/>
      <c r="W1814" s="388"/>
      <c r="X1814" s="396"/>
      <c r="Y1814" s="389"/>
      <c r="Z1814" s="396"/>
      <c r="AA1814" s="388"/>
      <c r="AB1814" s="390"/>
    </row>
    <row r="1815" spans="1:28">
      <c r="A1815" s="384" t="str">
        <f t="shared" ref="A1815:B1815" si="5792">A1795</f>
        <v>Lantai 1</v>
      </c>
      <c r="B1815" s="385">
        <f t="shared" si="5792"/>
        <v>58</v>
      </c>
      <c r="C1815" s="393" t="s">
        <v>211</v>
      </c>
      <c r="D1815" s="398">
        <f>VLOOKUP(D1795,'Detail Balok'!$C$10:$AU$140,31,FALSE)</f>
        <v>0</v>
      </c>
      <c r="E1815" s="388" t="s">
        <v>16</v>
      </c>
      <c r="F1815" s="388">
        <f>VLOOKUP(D1795,'Detail Balok'!$C$10:$AU$140,33,FALSE)</f>
        <v>8</v>
      </c>
      <c r="G1815" s="405" t="s">
        <v>157</v>
      </c>
      <c r="H1815" s="395">
        <f>VLOOKUP(D1795,'Detail Balok'!$C$10:$AU$140,35,FALSE)</f>
        <v>150</v>
      </c>
      <c r="I1815" s="388"/>
      <c r="J1815" s="400">
        <f t="shared" ref="J1815" si="5793">(IF(D1815=0,(2*(D1796+G1796))-(F$5*8),IF(D1815=3,(2*(D1796+G1796))-(F$5*8)+(G1796-2*F$5),IF(D1815=4,(2*(D1796+G1796))-(F$5*8)+2*(G1796-2*F$5)))))/1000</f>
        <v>1.08</v>
      </c>
      <c r="K1815" s="400" t="s">
        <v>204</v>
      </c>
      <c r="L1815" s="399">
        <f t="shared" ref="L1815:L1817" si="5794">IF(D1815=0,2*MAX(6*F1815,75),(D1815-1)*2*MAX(6*F1815,75))/1000</f>
        <v>0.15</v>
      </c>
      <c r="M1815" s="399" t="s">
        <v>176</v>
      </c>
      <c r="N1815" s="399">
        <f t="shared" ref="N1815:N1817" si="5795">J1815+L1815</f>
        <v>1.23</v>
      </c>
      <c r="O1815" s="399"/>
      <c r="P1815" s="389"/>
      <c r="Q1815" s="399"/>
      <c r="R1815" s="399"/>
      <c r="S1815" s="399"/>
      <c r="T1815" s="399" t="s">
        <v>125</v>
      </c>
      <c r="U1815" s="401">
        <f t="shared" ref="U1815:U1817" si="5796">0.006165*F1815^2</f>
        <v>0.39456000000000002</v>
      </c>
      <c r="V1815" s="399" t="s">
        <v>125</v>
      </c>
      <c r="W1815" s="399">
        <f t="shared" ref="W1815" si="5797">IF(D1798&gt;4*G1796,ROUND(MAX(D1798/4,2*G1796)/H1815,0)+1,ROUND(D1798/H1815,0)+1)</f>
        <v>12</v>
      </c>
      <c r="X1815" s="399" t="s">
        <v>125</v>
      </c>
      <c r="Y1815" s="389">
        <f t="shared" ref="Y1815" si="5798">D1801</f>
        <v>1</v>
      </c>
      <c r="Z1815" s="400" t="s">
        <v>176</v>
      </c>
      <c r="AA1815" s="402">
        <f t="shared" ref="AA1815:AA1817" si="5799">N1815*U1815*W1815*Y1815</f>
        <v>5.8237056000000003</v>
      </c>
      <c r="AB1815" s="403"/>
    </row>
    <row r="1816" spans="1:28">
      <c r="A1816" s="384" t="str">
        <f t="shared" ref="A1816:B1816" si="5800">A1795</f>
        <v>Lantai 1</v>
      </c>
      <c r="B1816" s="385">
        <f t="shared" si="5800"/>
        <v>58</v>
      </c>
      <c r="C1816" s="393" t="s">
        <v>212</v>
      </c>
      <c r="D1816" s="398">
        <f>VLOOKUP(D1795,'Detail Balok'!$C$10:$AU$140,36,FALSE)</f>
        <v>0</v>
      </c>
      <c r="E1816" s="388" t="s">
        <v>16</v>
      </c>
      <c r="F1816" s="388">
        <f>VLOOKUP(D1795,'Detail Balok'!$C$10:$AU$140,38,FALSE)</f>
        <v>8</v>
      </c>
      <c r="G1816" s="405" t="s">
        <v>157</v>
      </c>
      <c r="H1816" s="395">
        <f>VLOOKUP(D1795,'Detail Balok'!$C$10:$AU$140,40,FALSE)</f>
        <v>200</v>
      </c>
      <c r="I1816" s="388"/>
      <c r="J1816" s="400">
        <f t="shared" ref="J1816" si="5801">(IF(D1816=0,(2*(D1796+G1796))-(F$5*8),IF(D1816=3,(2*(D1796+G1796))-(F$5*8)+(G1796-2*F$5),IF(D1816=4,(2*(D1796+G1796))-(F$5*8)+2*(G1796-2*F$5)))))/1000</f>
        <v>1.08</v>
      </c>
      <c r="K1816" s="400" t="s">
        <v>204</v>
      </c>
      <c r="L1816" s="399">
        <f t="shared" si="5794"/>
        <v>0.15</v>
      </c>
      <c r="M1816" s="399" t="s">
        <v>176</v>
      </c>
      <c r="N1816" s="399">
        <f t="shared" si="5795"/>
        <v>1.23</v>
      </c>
      <c r="O1816" s="399"/>
      <c r="P1816" s="389"/>
      <c r="Q1816" s="399"/>
      <c r="R1816" s="399"/>
      <c r="S1816" s="399"/>
      <c r="T1816" s="399" t="s">
        <v>125</v>
      </c>
      <c r="U1816" s="401">
        <f t="shared" si="5796"/>
        <v>0.39456000000000002</v>
      </c>
      <c r="V1816" s="399" t="s">
        <v>125</v>
      </c>
      <c r="W1816" s="399">
        <f t="shared" ref="W1816" si="5802">IF(D1798-MAX(D1798/4,2*G1796)*2&gt;0,ROUND((D1798-MAX(D1798/4,2*G1796)*2)/H1816,0),0)</f>
        <v>0</v>
      </c>
      <c r="X1816" s="399" t="s">
        <v>125</v>
      </c>
      <c r="Y1816" s="389">
        <f t="shared" ref="Y1816" si="5803">D1801</f>
        <v>1</v>
      </c>
      <c r="Z1816" s="400" t="s">
        <v>176</v>
      </c>
      <c r="AA1816" s="402">
        <f t="shared" si="5799"/>
        <v>0</v>
      </c>
      <c r="AB1816" s="403"/>
    </row>
    <row r="1817" spans="1:28">
      <c r="A1817" s="384" t="str">
        <f t="shared" ref="A1817:B1817" si="5804">A1795</f>
        <v>Lantai 1</v>
      </c>
      <c r="B1817" s="385">
        <f t="shared" si="5804"/>
        <v>58</v>
      </c>
      <c r="C1817" s="393" t="s">
        <v>211</v>
      </c>
      <c r="D1817" s="398">
        <f>VLOOKUP(D1795,'Detail Balok'!$C$10:$AU$140,41,FALSE)</f>
        <v>0</v>
      </c>
      <c r="E1817" s="388" t="s">
        <v>16</v>
      </c>
      <c r="F1817" s="388">
        <f>VLOOKUP(D1795,'Detail Balok'!$C$10:$AU$140,43,FALSE)</f>
        <v>8</v>
      </c>
      <c r="G1817" s="405" t="s">
        <v>157</v>
      </c>
      <c r="H1817" s="395">
        <f>VLOOKUP(D1795,'Detail Balok'!$C$10:$AU$140,45,FALSE)</f>
        <v>150</v>
      </c>
      <c r="I1817" s="388"/>
      <c r="J1817" s="400">
        <f t="shared" ref="J1817" si="5805">(IF(D1817=0,(2*(D1796+G1796))-(F$5*8),IF(D1817=3,(2*(D1796+G1796))-(F$5*8)+(G1796-2*F$5),IF(D1817=4,(2*(D1796+G1796))-(F$5*8)+2*(G1796-2*F$5)))))/1000</f>
        <v>1.08</v>
      </c>
      <c r="K1817" s="400" t="s">
        <v>204</v>
      </c>
      <c r="L1817" s="399">
        <f t="shared" si="5794"/>
        <v>0.15</v>
      </c>
      <c r="M1817" s="399" t="s">
        <v>176</v>
      </c>
      <c r="N1817" s="399">
        <f t="shared" si="5795"/>
        <v>1.23</v>
      </c>
      <c r="O1817" s="399"/>
      <c r="P1817" s="389"/>
      <c r="Q1817" s="399"/>
      <c r="R1817" s="399"/>
      <c r="S1817" s="399"/>
      <c r="T1817" s="399" t="s">
        <v>125</v>
      </c>
      <c r="U1817" s="401">
        <f t="shared" si="5796"/>
        <v>0.39456000000000002</v>
      </c>
      <c r="V1817" s="399" t="s">
        <v>125</v>
      </c>
      <c r="W1817" s="399">
        <f t="shared" ref="W1817" si="5806">IF(D1798&gt;4*G1796,ROUND(MAX(D1798/4,2*G1796)/H1817,0)+1,0)</f>
        <v>0</v>
      </c>
      <c r="X1817" s="399" t="s">
        <v>125</v>
      </c>
      <c r="Y1817" s="389">
        <f t="shared" ref="Y1817" si="5807">D1801</f>
        <v>1</v>
      </c>
      <c r="Z1817" s="400" t="s">
        <v>176</v>
      </c>
      <c r="AA1817" s="402">
        <f t="shared" si="5799"/>
        <v>0</v>
      </c>
      <c r="AB1817" s="403"/>
    </row>
    <row r="1818" spans="1:28">
      <c r="A1818" s="384"/>
      <c r="B1818" s="385"/>
      <c r="C1818" s="393"/>
      <c r="D1818" s="394"/>
      <c r="E1818" s="388"/>
      <c r="F1818" s="388"/>
      <c r="G1818" s="388"/>
      <c r="H1818" s="395"/>
      <c r="I1818" s="388"/>
      <c r="J1818" s="399"/>
      <c r="K1818" s="396"/>
      <c r="L1818" s="396"/>
      <c r="M1818" s="396"/>
      <c r="N1818" s="396"/>
      <c r="O1818" s="396"/>
      <c r="P1818" s="389"/>
      <c r="Q1818" s="396"/>
      <c r="R1818" s="396"/>
      <c r="S1818" s="396"/>
      <c r="T1818" s="396"/>
      <c r="U1818" s="401"/>
      <c r="V1818" s="396"/>
      <c r="W1818" s="388"/>
      <c r="X1818" s="396"/>
      <c r="Y1818" s="389"/>
      <c r="Z1818" s="396"/>
      <c r="AA1818" s="388"/>
      <c r="AB1818" s="390"/>
    </row>
    <row r="1819" spans="1:28">
      <c r="A1819" s="384" t="str">
        <f t="shared" ref="A1819:B1819" si="5808">A1795</f>
        <v>Lantai 1</v>
      </c>
      <c r="B1819" s="385">
        <f t="shared" si="5808"/>
        <v>58</v>
      </c>
      <c r="C1819" s="393" t="s">
        <v>213</v>
      </c>
      <c r="D1819" s="398">
        <f>VLOOKUP(D1795,'Detail Balok'!$C$10:$BJ$140,46,FALSE)</f>
        <v>0</v>
      </c>
      <c r="E1819" s="388" t="s">
        <v>16</v>
      </c>
      <c r="F1819" s="388">
        <f>VLOOKUP(D1795,'Detail Balok'!$C$10:$BJ$140,48,FALSE)</f>
        <v>0</v>
      </c>
      <c r="G1819" s="405" t="s">
        <v>157</v>
      </c>
      <c r="H1819" s="395">
        <f>VLOOKUP(D1795,'Detail Balok'!$C$10:$BJ$140,50,FALSE)</f>
        <v>100</v>
      </c>
      <c r="I1819" s="388"/>
      <c r="J1819" s="399">
        <f t="shared" ref="J1819" si="5809">(D1796-2*F$5)/1000</f>
        <v>0.12</v>
      </c>
      <c r="K1819" s="400" t="s">
        <v>204</v>
      </c>
      <c r="L1819" s="399">
        <f t="shared" ref="L1819:L1821" si="5810">IF(D1819=0,2*MAX(6*F1819,75),(D1819-1)*2*MAX(6*F1819,75))/1000</f>
        <v>0.15</v>
      </c>
      <c r="M1819" s="399" t="s">
        <v>176</v>
      </c>
      <c r="N1819" s="399">
        <f t="shared" ref="N1819:N1821" si="5811">J1819+L1819</f>
        <v>0.27</v>
      </c>
      <c r="O1819" s="399"/>
      <c r="P1819" s="399"/>
      <c r="Q1819" s="399"/>
      <c r="R1819" s="399"/>
      <c r="S1819" s="399"/>
      <c r="T1819" s="399" t="s">
        <v>125</v>
      </c>
      <c r="U1819" s="401">
        <f t="shared" ref="U1819:U1821" si="5812">0.006165*F1819^2</f>
        <v>0</v>
      </c>
      <c r="V1819" s="399" t="s">
        <v>125</v>
      </c>
      <c r="W1819" s="399">
        <f t="shared" ref="W1819:W1821" si="5813">W1815</f>
        <v>12</v>
      </c>
      <c r="X1819" s="399" t="s">
        <v>125</v>
      </c>
      <c r="Y1819" s="389">
        <f t="shared" ref="Y1819" si="5814">D1805</f>
        <v>3</v>
      </c>
      <c r="Z1819" s="400" t="s">
        <v>176</v>
      </c>
      <c r="AA1819" s="402">
        <f t="shared" ref="AA1819:AA1821" si="5815">N1819*U1819*W1819*Y1819</f>
        <v>0</v>
      </c>
      <c r="AB1819" s="403"/>
    </row>
    <row r="1820" spans="1:28">
      <c r="A1820" s="384" t="str">
        <f t="shared" ref="A1820:B1820" si="5816">A1795</f>
        <v>Lantai 1</v>
      </c>
      <c r="B1820" s="385">
        <f t="shared" si="5816"/>
        <v>58</v>
      </c>
      <c r="C1820" s="393" t="s">
        <v>214</v>
      </c>
      <c r="D1820" s="398">
        <f>VLOOKUP(D1795,'Detail Balok'!$C$10:$BJ$140,51,FALSE)</f>
        <v>0</v>
      </c>
      <c r="E1820" s="388" t="s">
        <v>16</v>
      </c>
      <c r="F1820" s="388">
        <f>VLOOKUP(D1795,'Detail Balok'!$C$10:$BJ$140,53,FALSE)</f>
        <v>0</v>
      </c>
      <c r="G1820" s="405" t="s">
        <v>157</v>
      </c>
      <c r="H1820" s="395">
        <f>VLOOKUP(D1795,'Detail Balok'!$C$10:$BJ$140,55,FALSE)</f>
        <v>100</v>
      </c>
      <c r="I1820" s="388"/>
      <c r="J1820" s="399">
        <f t="shared" ref="J1820" si="5817">(D1796-2*F$5)/1000</f>
        <v>0.12</v>
      </c>
      <c r="K1820" s="400" t="s">
        <v>204</v>
      </c>
      <c r="L1820" s="399">
        <f t="shared" si="5810"/>
        <v>0.15</v>
      </c>
      <c r="M1820" s="399" t="s">
        <v>176</v>
      </c>
      <c r="N1820" s="399">
        <f t="shared" si="5811"/>
        <v>0.27</v>
      </c>
      <c r="O1820" s="399"/>
      <c r="P1820" s="399"/>
      <c r="Q1820" s="399"/>
      <c r="R1820" s="399"/>
      <c r="S1820" s="399"/>
      <c r="T1820" s="399" t="s">
        <v>125</v>
      </c>
      <c r="U1820" s="401">
        <f t="shared" si="5812"/>
        <v>0</v>
      </c>
      <c r="V1820" s="399" t="s">
        <v>125</v>
      </c>
      <c r="W1820" s="399">
        <f t="shared" si="5813"/>
        <v>0</v>
      </c>
      <c r="X1820" s="399" t="s">
        <v>125</v>
      </c>
      <c r="Y1820" s="389">
        <f t="shared" ref="Y1820" si="5818">D1805</f>
        <v>3</v>
      </c>
      <c r="Z1820" s="400" t="s">
        <v>176</v>
      </c>
      <c r="AA1820" s="402">
        <f t="shared" si="5815"/>
        <v>0</v>
      </c>
      <c r="AB1820" s="403"/>
    </row>
    <row r="1821" spans="1:28">
      <c r="A1821" s="384" t="str">
        <f t="shared" ref="A1821:B1821" si="5819">A1795</f>
        <v>Lantai 1</v>
      </c>
      <c r="B1821" s="385">
        <f t="shared" si="5819"/>
        <v>58</v>
      </c>
      <c r="C1821" s="393" t="s">
        <v>213</v>
      </c>
      <c r="D1821" s="398">
        <f>VLOOKUP(D1795,'Detail Balok'!$C$10:$BJ$140,56,FALSE)</f>
        <v>0</v>
      </c>
      <c r="E1821" s="388" t="s">
        <v>16</v>
      </c>
      <c r="F1821" s="388">
        <f>VLOOKUP(D1795,'Detail Balok'!$C$10:$BJ$140,58,FALSE)</f>
        <v>0</v>
      </c>
      <c r="G1821" s="405" t="s">
        <v>157</v>
      </c>
      <c r="H1821" s="395">
        <f>VLOOKUP(D1795,'Detail Balok'!$C$10:$BJ$140,60,FALSE)</f>
        <v>100</v>
      </c>
      <c r="I1821" s="388"/>
      <c r="J1821" s="399">
        <f t="shared" ref="J1821" si="5820">(D1796-2*F$5)/1000</f>
        <v>0.12</v>
      </c>
      <c r="K1821" s="400" t="s">
        <v>204</v>
      </c>
      <c r="L1821" s="399">
        <f t="shared" si="5810"/>
        <v>0.15</v>
      </c>
      <c r="M1821" s="399" t="s">
        <v>176</v>
      </c>
      <c r="N1821" s="399">
        <f t="shared" si="5811"/>
        <v>0.27</v>
      </c>
      <c r="O1821" s="399"/>
      <c r="P1821" s="399"/>
      <c r="Q1821" s="399"/>
      <c r="R1821" s="399"/>
      <c r="S1821" s="399"/>
      <c r="T1821" s="399" t="s">
        <v>125</v>
      </c>
      <c r="U1821" s="401">
        <f t="shared" si="5812"/>
        <v>0</v>
      </c>
      <c r="V1821" s="399" t="s">
        <v>125</v>
      </c>
      <c r="W1821" s="399">
        <f t="shared" si="5813"/>
        <v>0</v>
      </c>
      <c r="X1821" s="399" t="s">
        <v>125</v>
      </c>
      <c r="Y1821" s="389">
        <f t="shared" ref="Y1821" si="5821">D1805</f>
        <v>3</v>
      </c>
      <c r="Z1821" s="400" t="s">
        <v>176</v>
      </c>
      <c r="AA1821" s="402">
        <f t="shared" si="5815"/>
        <v>0</v>
      </c>
      <c r="AB1821" s="403"/>
    </row>
    <row r="1822" spans="1:28">
      <c r="A1822" s="391"/>
      <c r="B1822" s="392"/>
      <c r="C1822" s="392"/>
      <c r="D1822" s="394"/>
      <c r="E1822" s="388"/>
      <c r="F1822" s="388"/>
      <c r="G1822" s="388"/>
      <c r="H1822" s="395"/>
      <c r="I1822" s="388"/>
      <c r="J1822" s="402"/>
      <c r="K1822" s="388"/>
      <c r="L1822" s="388"/>
      <c r="M1822" s="388"/>
      <c r="N1822" s="388"/>
      <c r="O1822" s="388"/>
      <c r="P1822" s="388"/>
      <c r="Q1822" s="388"/>
      <c r="R1822" s="388"/>
      <c r="S1822" s="388"/>
      <c r="T1822" s="388"/>
      <c r="U1822" s="388"/>
      <c r="V1822" s="388"/>
      <c r="W1822" s="388"/>
      <c r="X1822" s="388"/>
      <c r="Y1822" s="389"/>
      <c r="Z1822" s="388"/>
      <c r="AA1822" s="402"/>
      <c r="AB1822" s="403"/>
    </row>
    <row r="1823" spans="1:28" ht="15.75" thickBot="1">
      <c r="A1823" s="406"/>
      <c r="B1823" s="407"/>
      <c r="C1823" s="407"/>
      <c r="D1823" s="408"/>
      <c r="E1823" s="409"/>
      <c r="F1823" s="409"/>
      <c r="G1823" s="409"/>
      <c r="H1823" s="410"/>
      <c r="I1823" s="409"/>
      <c r="J1823" s="409"/>
      <c r="K1823" s="409"/>
      <c r="L1823" s="409"/>
      <c r="M1823" s="409"/>
      <c r="N1823" s="409"/>
      <c r="O1823" s="409"/>
      <c r="P1823" s="409"/>
      <c r="Q1823" s="409"/>
      <c r="R1823" s="409"/>
      <c r="S1823" s="409"/>
      <c r="T1823" s="409"/>
      <c r="U1823" s="409"/>
      <c r="V1823" s="409"/>
      <c r="W1823" s="409"/>
      <c r="X1823" s="409"/>
      <c r="Y1823" s="411"/>
      <c r="Z1823" s="409"/>
      <c r="AA1823" s="412"/>
      <c r="AB1823" s="413"/>
    </row>
    <row r="1824" spans="1:28">
      <c r="A1824" s="377"/>
      <c r="B1824" s="378"/>
      <c r="C1824" s="378"/>
      <c r="D1824" s="379"/>
      <c r="E1824" s="380"/>
      <c r="F1824" s="380"/>
      <c r="G1824" s="380"/>
      <c r="H1824" s="381"/>
      <c r="I1824" s="380"/>
      <c r="J1824" s="380"/>
      <c r="K1824" s="380"/>
      <c r="L1824" s="380"/>
      <c r="M1824" s="380"/>
      <c r="N1824" s="380"/>
      <c r="O1824" s="380"/>
      <c r="P1824" s="380"/>
      <c r="Q1824" s="380"/>
      <c r="R1824" s="380"/>
      <c r="S1824" s="380"/>
      <c r="T1824" s="380"/>
      <c r="U1824" s="380"/>
      <c r="V1824" s="380"/>
      <c r="W1824" s="380"/>
      <c r="X1824" s="380"/>
      <c r="Y1824" s="382"/>
      <c r="Z1824" s="380"/>
      <c r="AA1824" s="380"/>
      <c r="AB1824" s="383"/>
    </row>
    <row r="1825" spans="1:28">
      <c r="A1825" s="384" t="str">
        <f t="shared" ref="A1825:A1885" si="5822">A1795</f>
        <v>Lantai 1</v>
      </c>
      <c r="B1825" s="385">
        <f t="shared" ref="B1825:B1885" si="5823">B1795+1</f>
        <v>59</v>
      </c>
      <c r="C1825" s="386" t="str">
        <f t="shared" ref="C1825" si="5824">CONCATENATE(A1825," no. ",B1825)</f>
        <v>Lantai 1 no. 59</v>
      </c>
      <c r="D1825" s="2562" t="str">
        <f>VLOOKUP(C1825,'Data Panjang Balok'!$C$9:$N$254,2,FALSE)</f>
        <v>S24-1</v>
      </c>
      <c r="E1825" s="2576"/>
      <c r="F1825" s="2576"/>
      <c r="G1825" s="2576"/>
      <c r="H1825" s="2577"/>
      <c r="I1825" s="387"/>
      <c r="J1825" s="388"/>
      <c r="K1825" s="388"/>
      <c r="L1825" s="388"/>
      <c r="M1825" s="388"/>
      <c r="N1825" s="388"/>
      <c r="O1825" s="388"/>
      <c r="P1825" s="388"/>
      <c r="Q1825" s="388"/>
      <c r="R1825" s="388"/>
      <c r="S1825" s="388"/>
      <c r="T1825" s="388"/>
      <c r="U1825" s="388"/>
      <c r="V1825" s="388"/>
      <c r="W1825" s="388"/>
      <c r="X1825" s="388"/>
      <c r="Y1825" s="389"/>
      <c r="Z1825" s="388"/>
      <c r="AA1825" s="388"/>
      <c r="AB1825" s="390"/>
    </row>
    <row r="1826" spans="1:28">
      <c r="A1826" s="391"/>
      <c r="B1826" s="392"/>
      <c r="C1826" s="393" t="s">
        <v>118</v>
      </c>
      <c r="D1826" s="2578">
        <f>VLOOKUP(D1825,'Detail Balok'!$C$10:$AU$140,2,FALSE)</f>
        <v>200</v>
      </c>
      <c r="E1826" s="2579"/>
      <c r="F1826" s="388" t="s">
        <v>125</v>
      </c>
      <c r="G1826" s="2579">
        <f>VLOOKUP(D1825,'Detail Balok'!$C$10:$AU$140,3,FALSE)</f>
        <v>400</v>
      </c>
      <c r="H1826" s="2580"/>
      <c r="I1826" s="388"/>
      <c r="J1826" s="396"/>
      <c r="K1826" s="396"/>
      <c r="L1826" s="396"/>
      <c r="M1826" s="396"/>
      <c r="N1826" s="396"/>
      <c r="O1826" s="396"/>
      <c r="P1826" s="396"/>
      <c r="Q1826" s="396"/>
      <c r="R1826" s="396"/>
      <c r="S1826" s="396"/>
      <c r="T1826" s="396"/>
      <c r="U1826" s="388"/>
      <c r="V1826" s="396"/>
      <c r="W1826" s="388"/>
      <c r="X1826" s="396"/>
      <c r="Y1826" s="389"/>
      <c r="Z1826" s="396"/>
      <c r="AA1826" s="388"/>
      <c r="AB1826" s="390"/>
    </row>
    <row r="1827" spans="1:28">
      <c r="A1827" s="391"/>
      <c r="B1827" s="392"/>
      <c r="C1827" s="393" t="s">
        <v>198</v>
      </c>
      <c r="D1827" s="2562">
        <f>VLOOKUP(C1825,'Data Panjang Balok'!$C$9:$N$254,4,FALSE)</f>
        <v>6975</v>
      </c>
      <c r="E1827" s="2563"/>
      <c r="F1827" s="2563"/>
      <c r="G1827" s="2563"/>
      <c r="H1827" s="2564"/>
      <c r="I1827" s="397"/>
      <c r="J1827" s="396"/>
      <c r="K1827" s="396"/>
      <c r="L1827" s="396"/>
      <c r="M1827" s="396"/>
      <c r="N1827" s="396"/>
      <c r="O1827" s="396"/>
      <c r="P1827" s="396"/>
      <c r="Q1827" s="396"/>
      <c r="R1827" s="396"/>
      <c r="S1827" s="396"/>
      <c r="T1827" s="396"/>
      <c r="U1827" s="388"/>
      <c r="V1827" s="396"/>
      <c r="W1827" s="388"/>
      <c r="X1827" s="396"/>
      <c r="Y1827" s="389"/>
      <c r="Z1827" s="396"/>
      <c r="AA1827" s="388"/>
      <c r="AB1827" s="390"/>
    </row>
    <row r="1828" spans="1:28">
      <c r="A1828" s="391"/>
      <c r="B1828" s="392"/>
      <c r="C1828" s="393" t="s">
        <v>199</v>
      </c>
      <c r="D1828" s="2562">
        <f>VLOOKUP(C1825,'Data Panjang Balok'!$C$9:$N$254,7,FALSE)</f>
        <v>6975</v>
      </c>
      <c r="E1828" s="2563"/>
      <c r="F1828" s="2563"/>
      <c r="G1828" s="2563"/>
      <c r="H1828" s="2564"/>
      <c r="I1828" s="397"/>
      <c r="J1828" s="396"/>
      <c r="K1828" s="396"/>
      <c r="L1828" s="396"/>
      <c r="M1828" s="396"/>
      <c r="N1828" s="396"/>
      <c r="O1828" s="396"/>
      <c r="P1828" s="396"/>
      <c r="Q1828" s="396"/>
      <c r="R1828" s="396"/>
      <c r="S1828" s="396"/>
      <c r="T1828" s="396"/>
      <c r="U1828" s="388"/>
      <c r="V1828" s="396"/>
      <c r="W1828" s="388"/>
      <c r="X1828" s="396"/>
      <c r="Y1828" s="389"/>
      <c r="Z1828" s="396"/>
      <c r="AA1828" s="388"/>
      <c r="AB1828" s="390"/>
    </row>
    <row r="1829" spans="1:28">
      <c r="A1829" s="391"/>
      <c r="B1829" s="392"/>
      <c r="C1829" s="393" t="s">
        <v>200</v>
      </c>
      <c r="D1829" s="2562">
        <f>VLOOKUP(C1825,'Data Panjang Balok'!$C$9:$N$254,9,FALSE)</f>
        <v>0</v>
      </c>
      <c r="E1829" s="2563"/>
      <c r="F1829" s="2563"/>
      <c r="G1829" s="2563"/>
      <c r="H1829" s="2564"/>
      <c r="I1829" s="397"/>
      <c r="J1829" s="396"/>
      <c r="K1829" s="396"/>
      <c r="L1829" s="396"/>
      <c r="M1829" s="396"/>
      <c r="N1829" s="396"/>
      <c r="O1829" s="396"/>
      <c r="P1829" s="396"/>
      <c r="Q1829" s="396"/>
      <c r="R1829" s="396"/>
      <c r="S1829" s="396"/>
      <c r="T1829" s="396"/>
      <c r="U1829" s="388"/>
      <c r="V1829" s="396"/>
      <c r="W1829" s="388"/>
      <c r="X1829" s="396"/>
      <c r="Y1829" s="389"/>
      <c r="Z1829" s="396"/>
      <c r="AA1829" s="388"/>
      <c r="AB1829" s="390"/>
    </row>
    <row r="1830" spans="1:28">
      <c r="A1830" s="391"/>
      <c r="B1830" s="392"/>
      <c r="C1830" s="393" t="s">
        <v>201</v>
      </c>
      <c r="D1830" s="2562">
        <f>VLOOKUP(C1825,'Data Panjang Balok'!$C$9:$N$254,10,FALSE)</f>
        <v>0</v>
      </c>
      <c r="E1830" s="2563"/>
      <c r="F1830" s="2563"/>
      <c r="G1830" s="2563"/>
      <c r="H1830" s="2564"/>
      <c r="I1830" s="397"/>
      <c r="J1830" s="396"/>
      <c r="K1830" s="396"/>
      <c r="L1830" s="396"/>
      <c r="M1830" s="396"/>
      <c r="N1830" s="396"/>
      <c r="O1830" s="396"/>
      <c r="P1830" s="396"/>
      <c r="Q1830" s="396"/>
      <c r="R1830" s="396"/>
      <c r="S1830" s="396"/>
      <c r="T1830" s="396"/>
      <c r="U1830" s="388"/>
      <c r="V1830" s="396"/>
      <c r="W1830" s="388"/>
      <c r="X1830" s="396"/>
      <c r="Y1830" s="389"/>
      <c r="Z1830" s="396"/>
      <c r="AA1830" s="388"/>
      <c r="AB1830" s="390"/>
    </row>
    <row r="1831" spans="1:28">
      <c r="A1831" s="391"/>
      <c r="B1831" s="392"/>
      <c r="C1831" s="393" t="s">
        <v>48</v>
      </c>
      <c r="D1831" s="2562">
        <f>VLOOKUP(C1825,'Data Panjang Balok'!$C$9:$N$254,3,FALSE)</f>
        <v>1</v>
      </c>
      <c r="E1831" s="2563"/>
      <c r="F1831" s="2563"/>
      <c r="G1831" s="2563"/>
      <c r="H1831" s="2564"/>
      <c r="I1831" s="397"/>
      <c r="J1831" s="396"/>
      <c r="K1831" s="396"/>
      <c r="L1831" s="396"/>
      <c r="M1831" s="396"/>
      <c r="N1831" s="396"/>
      <c r="O1831" s="396"/>
      <c r="P1831" s="396"/>
      <c r="Q1831" s="396"/>
      <c r="R1831" s="396"/>
      <c r="S1831" s="396"/>
      <c r="T1831" s="396"/>
      <c r="U1831" s="388"/>
      <c r="V1831" s="396"/>
      <c r="W1831" s="388"/>
      <c r="X1831" s="396"/>
      <c r="Y1831" s="389"/>
      <c r="Z1831" s="396"/>
      <c r="AA1831" s="388"/>
      <c r="AB1831" s="390"/>
    </row>
    <row r="1832" spans="1:28">
      <c r="A1832" s="384" t="str">
        <f t="shared" ref="A1832:B1832" si="5825">A1825</f>
        <v>Lantai 1</v>
      </c>
      <c r="B1832" s="385">
        <f t="shared" si="5825"/>
        <v>59</v>
      </c>
      <c r="C1832" s="393" t="s">
        <v>202</v>
      </c>
      <c r="D1832" s="398">
        <f>VLOOKUP(D1825,'Detail Balok'!$C$10:$AU$140,4,FALSE)</f>
        <v>3</v>
      </c>
      <c r="E1832" s="388" t="s">
        <v>16</v>
      </c>
      <c r="F1832" s="388">
        <f>VLOOKUP(D1825,'Detail Balok'!$C$10:$AU$140,6,FALSE)</f>
        <v>13</v>
      </c>
      <c r="G1832" s="388"/>
      <c r="H1832" s="395"/>
      <c r="I1832" s="388" t="s">
        <v>203</v>
      </c>
      <c r="J1832" s="399">
        <f t="shared" ref="J1832" si="5826">+D1827/4/1000</f>
        <v>1.7437499999999999</v>
      </c>
      <c r="K1832" s="400" t="s">
        <v>204</v>
      </c>
      <c r="L1832" s="399">
        <f t="shared" ref="L1832" si="5827">MAX(VLOOKUP(F1832,N$6:P$15,3,FALSE)/1000,2/3*D1829/1000)+F$16*F1832/1000</f>
        <v>0.156</v>
      </c>
      <c r="M1832" s="399" t="s">
        <v>176</v>
      </c>
      <c r="N1832" s="399">
        <f t="shared" ref="N1832:N1834" si="5828">J1832+L1832</f>
        <v>1.8997499999999998</v>
      </c>
      <c r="O1832" s="399" t="s">
        <v>204</v>
      </c>
      <c r="P1832" s="389">
        <f t="shared" ref="P1832" si="5829">D1832-D1833</f>
        <v>0</v>
      </c>
      <c r="Q1832" s="399" t="s">
        <v>125</v>
      </c>
      <c r="R1832" s="399">
        <f t="shared" ref="R1832" si="5830">IF(P1832&gt;0,$F$18*F1832/1000,0)</f>
        <v>0</v>
      </c>
      <c r="S1832" s="399" t="s">
        <v>205</v>
      </c>
      <c r="T1832" s="399" t="s">
        <v>125</v>
      </c>
      <c r="U1832" s="401">
        <f t="shared" ref="U1832:U1834" si="5831">0.006165*F1832^2</f>
        <v>1.041885</v>
      </c>
      <c r="V1832" s="399"/>
      <c r="W1832" s="399"/>
      <c r="X1832" s="399" t="s">
        <v>125</v>
      </c>
      <c r="Y1832" s="389">
        <f t="shared" ref="Y1832" si="5832">D1831</f>
        <v>1</v>
      </c>
      <c r="Z1832" s="400" t="s">
        <v>176</v>
      </c>
      <c r="AA1832" s="402">
        <f t="shared" ref="AA1832" si="5833">IF(AA1835=0,(D1832*N1832+P1832*R1832)*U1832*Y1832,0)</f>
        <v>0</v>
      </c>
      <c r="AB1832" s="403"/>
    </row>
    <row r="1833" spans="1:28">
      <c r="A1833" s="384" t="str">
        <f t="shared" ref="A1833:B1833" si="5834">A1825</f>
        <v>Lantai 1</v>
      </c>
      <c r="B1833" s="385">
        <f t="shared" si="5834"/>
        <v>59</v>
      </c>
      <c r="C1833" s="393" t="s">
        <v>206</v>
      </c>
      <c r="D1833" s="398">
        <f>VLOOKUP(D1825,'Detail Balok'!$C$10:$AU$140,7,FALSE)</f>
        <v>3</v>
      </c>
      <c r="E1833" s="388" t="s">
        <v>16</v>
      </c>
      <c r="F1833" s="388">
        <f>VLOOKUP(D1825,'Detail Balok'!$C$10:$AU$140,9,FALSE)</f>
        <v>13</v>
      </c>
      <c r="G1833" s="388"/>
      <c r="H1833" s="395"/>
      <c r="I1833" s="388" t="s">
        <v>203</v>
      </c>
      <c r="J1833" s="399">
        <f t="shared" ref="J1833" si="5835">+D1827/2/1000</f>
        <v>3.4874999999999998</v>
      </c>
      <c r="K1833" s="400" t="s">
        <v>204</v>
      </c>
      <c r="L1833" s="399"/>
      <c r="M1833" s="399" t="s">
        <v>176</v>
      </c>
      <c r="N1833" s="399">
        <f t="shared" si="5828"/>
        <v>3.4874999999999998</v>
      </c>
      <c r="O1833" s="399" t="s">
        <v>204</v>
      </c>
      <c r="P1833" s="389">
        <f t="shared" ref="P1833" si="5836">MAX(D1833-D1832,D1833-D1834)</f>
        <v>0</v>
      </c>
      <c r="Q1833" s="399" t="s">
        <v>125</v>
      </c>
      <c r="R1833" s="399">
        <f t="shared" ref="R1833" si="5837">IF(P1833&gt;0,2*(1-2*$F$19-1/2)*D1828/1000,0)</f>
        <v>0</v>
      </c>
      <c r="S1833" s="399" t="s">
        <v>205</v>
      </c>
      <c r="T1833" s="399" t="s">
        <v>125</v>
      </c>
      <c r="U1833" s="401">
        <f t="shared" si="5831"/>
        <v>1.041885</v>
      </c>
      <c r="V1833" s="399"/>
      <c r="W1833" s="399"/>
      <c r="X1833" s="399" t="s">
        <v>125</v>
      </c>
      <c r="Y1833" s="389">
        <f t="shared" ref="Y1833" si="5838">D1831</f>
        <v>1</v>
      </c>
      <c r="Z1833" s="400" t="s">
        <v>176</v>
      </c>
      <c r="AA1833" s="402">
        <f t="shared" ref="AA1833" si="5839">IF(AA1835=0,(D1833*N1833+P1833*R1833)*U1833*Y1833,0)</f>
        <v>0</v>
      </c>
      <c r="AB1833" s="403"/>
    </row>
    <row r="1834" spans="1:28">
      <c r="A1834" s="384" t="str">
        <f t="shared" ref="A1834:B1834" si="5840">A1825</f>
        <v>Lantai 1</v>
      </c>
      <c r="B1834" s="385">
        <f t="shared" si="5840"/>
        <v>59</v>
      </c>
      <c r="C1834" s="393" t="s">
        <v>202</v>
      </c>
      <c r="D1834" s="398">
        <f>VLOOKUP(D1825,'Detail Balok'!$C$10:$AU$140,10,FALSE)</f>
        <v>3</v>
      </c>
      <c r="E1834" s="388" t="s">
        <v>16</v>
      </c>
      <c r="F1834" s="388">
        <f>VLOOKUP(D1825,'Detail Balok'!$C$10:$AU$140,12,FALSE)</f>
        <v>13</v>
      </c>
      <c r="G1834" s="388"/>
      <c r="H1834" s="395"/>
      <c r="I1834" s="388" t="s">
        <v>203</v>
      </c>
      <c r="J1834" s="399">
        <f t="shared" ref="J1834" si="5841">+D1827/4/1000</f>
        <v>1.7437499999999999</v>
      </c>
      <c r="K1834" s="400" t="s">
        <v>204</v>
      </c>
      <c r="L1834" s="399">
        <f t="shared" ref="L1834" si="5842">MAX(VLOOKUP(F1834,N$6:P$15,3,FALSE)/1000,2/3*D1829/1000)+F$16*F1834/1000</f>
        <v>0.156</v>
      </c>
      <c r="M1834" s="399" t="s">
        <v>176</v>
      </c>
      <c r="N1834" s="399">
        <f t="shared" si="5828"/>
        <v>1.8997499999999998</v>
      </c>
      <c r="O1834" s="399" t="s">
        <v>204</v>
      </c>
      <c r="P1834" s="389">
        <f t="shared" ref="P1834" si="5843">D1834-D1833</f>
        <v>0</v>
      </c>
      <c r="Q1834" s="399" t="s">
        <v>125</v>
      </c>
      <c r="R1834" s="399">
        <f t="shared" ref="R1834" si="5844">IF(P1834&gt;0,$F$18*F1834/1000,0)</f>
        <v>0</v>
      </c>
      <c r="S1834" s="399" t="s">
        <v>205</v>
      </c>
      <c r="T1834" s="399" t="s">
        <v>125</v>
      </c>
      <c r="U1834" s="401">
        <f t="shared" si="5831"/>
        <v>1.041885</v>
      </c>
      <c r="V1834" s="399"/>
      <c r="W1834" s="399"/>
      <c r="X1834" s="399" t="s">
        <v>125</v>
      </c>
      <c r="Y1834" s="389">
        <f t="shared" ref="Y1834" si="5845">D1831</f>
        <v>1</v>
      </c>
      <c r="Z1834" s="400" t="s">
        <v>176</v>
      </c>
      <c r="AA1834" s="402">
        <f t="shared" ref="AA1834" si="5846">IF(AA1835=0,(D1834*N1834+P1834*R1834)*U1834*Y1834,0)</f>
        <v>0</v>
      </c>
      <c r="AB1834" s="403"/>
    </row>
    <row r="1835" spans="1:28">
      <c r="A1835" s="384" t="str">
        <f t="shared" ref="A1835:B1835" si="5847">A1825</f>
        <v>Lantai 1</v>
      </c>
      <c r="B1835" s="385">
        <f t="shared" si="5847"/>
        <v>59</v>
      </c>
      <c r="C1835" s="393"/>
      <c r="D1835" s="398">
        <f t="shared" ref="D1835:D1865" si="5848">IF(AND(D1832=D1833,D1833=D1834,D1832=D1834),D1832,0)</f>
        <v>3</v>
      </c>
      <c r="E1835" s="388" t="s">
        <v>16</v>
      </c>
      <c r="F1835" s="388">
        <f t="shared" ref="F1835:F1865" si="5849">IF(AND(F1832=F1833,F1832=F1834,F1833=F1834),F1832,0)</f>
        <v>13</v>
      </c>
      <c r="G1835" s="388"/>
      <c r="H1835" s="395"/>
      <c r="I1835" s="388"/>
      <c r="J1835" s="396"/>
      <c r="K1835" s="396"/>
      <c r="L1835" s="404" t="s">
        <v>207</v>
      </c>
      <c r="M1835" s="399" t="s">
        <v>176</v>
      </c>
      <c r="N1835" s="399">
        <f t="shared" ref="N1835" si="5850">IF(AND(D1832=D1833,D1832=D1834,D1833=D1834,F1832=F1833,F1832=F1834,F1833=F1834),SUM(N1832:N1834),0)</f>
        <v>7.2869999999999999</v>
      </c>
      <c r="O1835" s="399" t="s">
        <v>204</v>
      </c>
      <c r="P1835" s="389">
        <f t="shared" ref="P1835" si="5851">IF(N1835&gt;12,ROUNDDOWN(N1835/12,0),0)</f>
        <v>0</v>
      </c>
      <c r="Q1835" s="399" t="s">
        <v>125</v>
      </c>
      <c r="R1835" s="399">
        <f t="shared" ref="R1835" si="5852">IF(P1835&gt;0,MAX(VLOOKUP(F1835,$D$6:$G$15,3,FALSE),600),0)/1000</f>
        <v>0</v>
      </c>
      <c r="S1835" s="396"/>
      <c r="T1835" s="396" t="s">
        <v>125</v>
      </c>
      <c r="U1835" s="401">
        <f t="shared" ref="U1835:U1865" si="5853">U1834</f>
        <v>1.041885</v>
      </c>
      <c r="V1835" s="396" t="s">
        <v>125</v>
      </c>
      <c r="W1835" s="399">
        <f t="shared" ref="W1835" si="5854">D1835</f>
        <v>3</v>
      </c>
      <c r="X1835" s="399" t="s">
        <v>125</v>
      </c>
      <c r="Y1835" s="389">
        <f t="shared" ref="Y1835:Y1865" si="5855">Y1834</f>
        <v>1</v>
      </c>
      <c r="Z1835" s="400" t="s">
        <v>176</v>
      </c>
      <c r="AA1835" s="402">
        <f t="shared" ref="AA1835" si="5856">(N1835+P1835*R1835/1000)*U1835*W1835*Y1835</f>
        <v>22.776647984999997</v>
      </c>
      <c r="AB1835" s="390"/>
    </row>
    <row r="1836" spans="1:28">
      <c r="A1836" s="384"/>
      <c r="B1836" s="385"/>
      <c r="C1836" s="393"/>
      <c r="D1836" s="398"/>
      <c r="E1836" s="388"/>
      <c r="F1836" s="388"/>
      <c r="G1836" s="388"/>
      <c r="H1836" s="395"/>
      <c r="I1836" s="388"/>
      <c r="J1836" s="396"/>
      <c r="K1836" s="396"/>
      <c r="L1836" s="404"/>
      <c r="M1836" s="399"/>
      <c r="N1836" s="399"/>
      <c r="O1836" s="396"/>
      <c r="P1836" s="389"/>
      <c r="Q1836" s="396"/>
      <c r="R1836" s="396"/>
      <c r="S1836" s="396"/>
      <c r="T1836" s="396"/>
      <c r="U1836" s="401"/>
      <c r="V1836" s="396"/>
      <c r="W1836" s="399"/>
      <c r="X1836" s="396"/>
      <c r="Y1836" s="389"/>
      <c r="Z1836" s="396"/>
      <c r="AA1836" s="388"/>
      <c r="AB1836" s="390"/>
    </row>
    <row r="1837" spans="1:28">
      <c r="A1837" s="384" t="str">
        <f t="shared" ref="A1837:B1837" si="5857">A1825</f>
        <v>Lantai 1</v>
      </c>
      <c r="B1837" s="385">
        <f t="shared" si="5857"/>
        <v>59</v>
      </c>
      <c r="C1837" s="393" t="s">
        <v>208</v>
      </c>
      <c r="D1837" s="398">
        <f>VLOOKUP(D1825,'Detail Balok'!$C$10:$AU$140,13,FALSE)</f>
        <v>0</v>
      </c>
      <c r="E1837" s="388" t="s">
        <v>16</v>
      </c>
      <c r="F1837" s="388">
        <f>VLOOKUP(D1825,'Detail Balok'!$C$10:$AU$140,15,FALSE)</f>
        <v>8</v>
      </c>
      <c r="G1837" s="388"/>
      <c r="H1837" s="395"/>
      <c r="I1837" s="388"/>
      <c r="J1837" s="399">
        <f t="shared" ref="J1837" si="5858">+D1827/1000</f>
        <v>6.9749999999999996</v>
      </c>
      <c r="K1837" s="400" t="s">
        <v>204</v>
      </c>
      <c r="L1837" s="399">
        <f t="shared" ref="L1837" si="5859">2*$F$16*F1837/1000</f>
        <v>0.192</v>
      </c>
      <c r="M1837" s="399" t="s">
        <v>176</v>
      </c>
      <c r="N1837" s="399">
        <f t="shared" ref="N1837" si="5860">J1837+L1837</f>
        <v>7.1669999999999998</v>
      </c>
      <c r="O1837" s="399" t="s">
        <v>204</v>
      </c>
      <c r="P1837" s="389">
        <f t="shared" ref="P1837" si="5861">IF(N1837&gt;12,ROUNDDOWN(N1837/12,0),0)</f>
        <v>0</v>
      </c>
      <c r="Q1837" s="399" t="s">
        <v>125</v>
      </c>
      <c r="R1837" s="399">
        <f t="shared" ref="R1837" si="5862">IF(P1837&gt;0,MAX(VLOOKUP(F1837,$D$6:$G$15,3,FALSE),600),0)/1000</f>
        <v>0</v>
      </c>
      <c r="S1837" s="399"/>
      <c r="T1837" s="399" t="s">
        <v>125</v>
      </c>
      <c r="U1837" s="401">
        <f t="shared" ref="U1837" si="5863">0.006165*F1837^2</f>
        <v>0.39456000000000002</v>
      </c>
      <c r="V1837" s="399" t="s">
        <v>125</v>
      </c>
      <c r="W1837" s="399">
        <f t="shared" ref="W1837" si="5864">+D1837</f>
        <v>0</v>
      </c>
      <c r="X1837" s="399" t="s">
        <v>125</v>
      </c>
      <c r="Y1837" s="389">
        <f t="shared" ref="Y1837" si="5865">D1831</f>
        <v>1</v>
      </c>
      <c r="Z1837" s="400" t="s">
        <v>176</v>
      </c>
      <c r="AA1837" s="402">
        <f t="shared" ref="AA1837" si="5866">(N1837+P1837*R1837/1000)*U1837*W1837*Y1837</f>
        <v>0</v>
      </c>
      <c r="AB1837" s="403"/>
    </row>
    <row r="1838" spans="1:28">
      <c r="A1838" s="384"/>
      <c r="B1838" s="385"/>
      <c r="C1838" s="393"/>
      <c r="D1838" s="398"/>
      <c r="E1838" s="388"/>
      <c r="F1838" s="388"/>
      <c r="G1838" s="388"/>
      <c r="H1838" s="395"/>
      <c r="I1838" s="388"/>
      <c r="J1838" s="399"/>
      <c r="K1838" s="400"/>
      <c r="L1838" s="399"/>
      <c r="M1838" s="399"/>
      <c r="N1838" s="399"/>
      <c r="O1838" s="399"/>
      <c r="P1838" s="389"/>
      <c r="Q1838" s="399"/>
      <c r="R1838" s="399"/>
      <c r="S1838" s="399"/>
      <c r="T1838" s="399"/>
      <c r="U1838" s="401"/>
      <c r="V1838" s="399"/>
      <c r="W1838" s="399"/>
      <c r="X1838" s="399"/>
      <c r="Y1838" s="389"/>
      <c r="Z1838" s="400"/>
      <c r="AA1838" s="402"/>
      <c r="AB1838" s="403"/>
    </row>
    <row r="1839" spans="1:28">
      <c r="A1839" s="384"/>
      <c r="B1839" s="385"/>
      <c r="C1839" s="393"/>
      <c r="D1839" s="398"/>
      <c r="E1839" s="388"/>
      <c r="F1839" s="388"/>
      <c r="G1839" s="388"/>
      <c r="H1839" s="395"/>
      <c r="I1839" s="388"/>
      <c r="J1839" s="396"/>
      <c r="K1839" s="396"/>
      <c r="L1839" s="396"/>
      <c r="M1839" s="396"/>
      <c r="N1839" s="396"/>
      <c r="O1839" s="396"/>
      <c r="P1839" s="389"/>
      <c r="Q1839" s="396"/>
      <c r="R1839" s="396"/>
      <c r="S1839" s="396"/>
      <c r="T1839" s="396"/>
      <c r="U1839" s="401"/>
      <c r="V1839" s="396"/>
      <c r="W1839" s="399"/>
      <c r="X1839" s="396"/>
      <c r="Y1839" s="389"/>
      <c r="Z1839" s="396"/>
      <c r="AA1839" s="388"/>
      <c r="AB1839" s="390"/>
    </row>
    <row r="1840" spans="1:28">
      <c r="A1840" s="384" t="str">
        <f t="shared" ref="A1840:B1840" si="5867">A1825</f>
        <v>Lantai 1</v>
      </c>
      <c r="B1840" s="385">
        <f t="shared" si="5867"/>
        <v>59</v>
      </c>
      <c r="C1840" s="393" t="s">
        <v>209</v>
      </c>
      <c r="D1840" s="398">
        <f>VLOOKUP(D1825,'Detail Balok'!$C$10:$AU$140,22,FALSE)</f>
        <v>3</v>
      </c>
      <c r="E1840" s="388" t="s">
        <v>16</v>
      </c>
      <c r="F1840" s="388">
        <f>VLOOKUP(D1825,'Detail Balok'!$C$10:$AU$140,24,FALSE)</f>
        <v>13</v>
      </c>
      <c r="G1840" s="388"/>
      <c r="H1840" s="395"/>
      <c r="I1840" s="388" t="s">
        <v>203</v>
      </c>
      <c r="J1840" s="399">
        <f t="shared" ref="J1840:J1872" si="5868">+J1832</f>
        <v>1.7437499999999999</v>
      </c>
      <c r="K1840" s="400" t="s">
        <v>204</v>
      </c>
      <c r="L1840" s="399">
        <f t="shared" ref="L1840" si="5869">MAX(VLOOKUP(F1840,N$6:P$15,3,FALSE)/1000,2/3*D1830/1000)+F$16*F1840/1000</f>
        <v>0.156</v>
      </c>
      <c r="M1840" s="399" t="s">
        <v>176</v>
      </c>
      <c r="N1840" s="399">
        <f t="shared" ref="N1840:N1842" si="5870">J1840+L1840</f>
        <v>1.8997499999999998</v>
      </c>
      <c r="O1840" s="399" t="s">
        <v>204</v>
      </c>
      <c r="P1840" s="389">
        <f t="shared" ref="P1840" si="5871">D1840-D1841</f>
        <v>0</v>
      </c>
      <c r="Q1840" s="399" t="s">
        <v>125</v>
      </c>
      <c r="R1840" s="399">
        <f t="shared" ref="R1840" si="5872">IF(P1840&gt;0,$F$18*F1840/1000,0)</f>
        <v>0</v>
      </c>
      <c r="S1840" s="399" t="s">
        <v>205</v>
      </c>
      <c r="T1840" s="399" t="s">
        <v>125</v>
      </c>
      <c r="U1840" s="401">
        <f t="shared" ref="U1840:U1842" si="5873">0.006165*F1840^2</f>
        <v>1.041885</v>
      </c>
      <c r="V1840" s="399"/>
      <c r="W1840" s="399"/>
      <c r="X1840" s="399" t="s">
        <v>125</v>
      </c>
      <c r="Y1840" s="389">
        <f t="shared" ref="Y1840" si="5874">D1831</f>
        <v>1</v>
      </c>
      <c r="Z1840" s="400" t="s">
        <v>176</v>
      </c>
      <c r="AA1840" s="402">
        <f t="shared" ref="AA1840" si="5875">IF(AA1843=0,(D1840*N1840+P1840*R1840)*U1840*Y1840,0)</f>
        <v>0</v>
      </c>
      <c r="AB1840" s="403"/>
    </row>
    <row r="1841" spans="1:28">
      <c r="A1841" s="384" t="str">
        <f t="shared" ref="A1841:B1841" si="5876">A1825</f>
        <v>Lantai 1</v>
      </c>
      <c r="B1841" s="385">
        <f t="shared" si="5876"/>
        <v>59</v>
      </c>
      <c r="C1841" s="393" t="s">
        <v>210</v>
      </c>
      <c r="D1841" s="398">
        <f>VLOOKUP(D1825,'Detail Balok'!$C$10:$AU$140,25,FALSE)</f>
        <v>3</v>
      </c>
      <c r="E1841" s="388" t="s">
        <v>16</v>
      </c>
      <c r="F1841" s="388">
        <f>VLOOKUP(D1825,'Detail Balok'!$C$10:$AU$140,27,FALSE)</f>
        <v>13</v>
      </c>
      <c r="G1841" s="388"/>
      <c r="H1841" s="395"/>
      <c r="I1841" s="388" t="s">
        <v>203</v>
      </c>
      <c r="J1841" s="399">
        <f t="shared" si="5868"/>
        <v>3.4874999999999998</v>
      </c>
      <c r="K1841" s="400" t="s">
        <v>204</v>
      </c>
      <c r="L1841" s="399"/>
      <c r="M1841" s="399" t="s">
        <v>176</v>
      </c>
      <c r="N1841" s="399">
        <f t="shared" si="5870"/>
        <v>3.4874999999999998</v>
      </c>
      <c r="O1841" s="399" t="s">
        <v>204</v>
      </c>
      <c r="P1841" s="389">
        <f t="shared" ref="P1841" si="5877">MAX(D1841-D1840,D1841-D1842)</f>
        <v>0</v>
      </c>
      <c r="Q1841" s="399" t="s">
        <v>125</v>
      </c>
      <c r="R1841" s="399">
        <f t="shared" ref="R1841" si="5878">IF(P1841&gt;0,2*(1-2*$F$19-1/2)*D1828/1000,0)</f>
        <v>0</v>
      </c>
      <c r="S1841" s="399" t="s">
        <v>205</v>
      </c>
      <c r="T1841" s="399" t="s">
        <v>125</v>
      </c>
      <c r="U1841" s="401">
        <f t="shared" si="5873"/>
        <v>1.041885</v>
      </c>
      <c r="V1841" s="399"/>
      <c r="W1841" s="399"/>
      <c r="X1841" s="399" t="s">
        <v>125</v>
      </c>
      <c r="Y1841" s="389">
        <f t="shared" ref="Y1841" si="5879">D1831</f>
        <v>1</v>
      </c>
      <c r="Z1841" s="400" t="s">
        <v>176</v>
      </c>
      <c r="AA1841" s="402">
        <f t="shared" ref="AA1841" si="5880">IF(AA1843=0,(D1841*N1841+P1841*R1841)*U1841*Y1841,0)</f>
        <v>0</v>
      </c>
      <c r="AB1841" s="403"/>
    </row>
    <row r="1842" spans="1:28">
      <c r="A1842" s="384" t="str">
        <f t="shared" ref="A1842:B1842" si="5881">A1825</f>
        <v>Lantai 1</v>
      </c>
      <c r="B1842" s="385">
        <f t="shared" si="5881"/>
        <v>59</v>
      </c>
      <c r="C1842" s="393" t="s">
        <v>209</v>
      </c>
      <c r="D1842" s="398">
        <f>VLOOKUP(D1825,'Detail Balok'!$C$10:$AU$140,28,FALSE)</f>
        <v>3</v>
      </c>
      <c r="E1842" s="388" t="s">
        <v>16</v>
      </c>
      <c r="F1842" s="388">
        <f>VLOOKUP(D1825,'Detail Balok'!$C$10:$AU$140,30,FALSE)</f>
        <v>13</v>
      </c>
      <c r="G1842" s="388"/>
      <c r="H1842" s="395"/>
      <c r="I1842" s="388" t="s">
        <v>203</v>
      </c>
      <c r="J1842" s="399">
        <f t="shared" si="5868"/>
        <v>1.7437499999999999</v>
      </c>
      <c r="K1842" s="400" t="s">
        <v>204</v>
      </c>
      <c r="L1842" s="399">
        <f t="shared" ref="L1842" si="5882">MAX(VLOOKUP(F1842,N$6:P$15,3,FALSE)/1000,2/3*D1830/1000)+F$16*F1842/1000</f>
        <v>0.156</v>
      </c>
      <c r="M1842" s="399" t="s">
        <v>176</v>
      </c>
      <c r="N1842" s="399">
        <f t="shared" si="5870"/>
        <v>1.8997499999999998</v>
      </c>
      <c r="O1842" s="399" t="s">
        <v>204</v>
      </c>
      <c r="P1842" s="389">
        <f t="shared" ref="P1842" si="5883">D1842-D1841</f>
        <v>0</v>
      </c>
      <c r="Q1842" s="399" t="s">
        <v>125</v>
      </c>
      <c r="R1842" s="399">
        <f t="shared" ref="R1842" si="5884">IF(P1842&gt;0,$F$18*F1842/1000,0)</f>
        <v>0</v>
      </c>
      <c r="S1842" s="399" t="s">
        <v>205</v>
      </c>
      <c r="T1842" s="399" t="s">
        <v>125</v>
      </c>
      <c r="U1842" s="401">
        <f t="shared" si="5873"/>
        <v>1.041885</v>
      </c>
      <c r="V1842" s="399"/>
      <c r="W1842" s="399"/>
      <c r="X1842" s="399" t="s">
        <v>125</v>
      </c>
      <c r="Y1842" s="389">
        <f t="shared" ref="Y1842" si="5885">D1831</f>
        <v>1</v>
      </c>
      <c r="Z1842" s="400" t="s">
        <v>176</v>
      </c>
      <c r="AA1842" s="402">
        <f t="shared" ref="AA1842" si="5886">IF(AA1843=0,(D1842*N1842+P1842*R1842)*U1842*Y1842,0)</f>
        <v>0</v>
      </c>
      <c r="AB1842" s="403"/>
    </row>
    <row r="1843" spans="1:28">
      <c r="A1843" s="384" t="str">
        <f t="shared" ref="A1843:B1843" si="5887">A1825</f>
        <v>Lantai 1</v>
      </c>
      <c r="B1843" s="385">
        <f t="shared" si="5887"/>
        <v>59</v>
      </c>
      <c r="C1843" s="393"/>
      <c r="D1843" s="398">
        <f t="shared" ref="D1843:D1873" si="5888">IF(AND(D1840=D1841,D1841=D1842,D1840=D1842),D1840,0)</f>
        <v>3</v>
      </c>
      <c r="E1843" s="388" t="s">
        <v>16</v>
      </c>
      <c r="F1843" s="388">
        <f t="shared" ref="F1843:F1873" si="5889">IF(AND(F1840=F1841,F1840=F1842,F1841=F1842),F1840,0)</f>
        <v>13</v>
      </c>
      <c r="G1843" s="388"/>
      <c r="H1843" s="395"/>
      <c r="I1843" s="388"/>
      <c r="J1843" s="396"/>
      <c r="K1843" s="396"/>
      <c r="L1843" s="404" t="s">
        <v>207</v>
      </c>
      <c r="M1843" s="399" t="s">
        <v>176</v>
      </c>
      <c r="N1843" s="399">
        <f t="shared" ref="N1843" si="5890">IF(AND(D1840=D1841,D1840=D1842,D1841=D1842,F1840=F1841,F1840=F1842,F1841=F1842),SUM(N1840:N1842),0)</f>
        <v>7.2869999999999999</v>
      </c>
      <c r="O1843" s="399" t="s">
        <v>204</v>
      </c>
      <c r="P1843" s="389">
        <f t="shared" ref="P1843" si="5891">IF(N1843&gt;12,ROUNDDOWN(N1843/12,0),0)</f>
        <v>0</v>
      </c>
      <c r="Q1843" s="399" t="s">
        <v>125</v>
      </c>
      <c r="R1843" s="399">
        <f t="shared" ref="R1843" si="5892">IF(P1843&gt;0,MAX(VLOOKUP(F1843,$D$6:$G$15,3,FALSE),600),0)/1000</f>
        <v>0</v>
      </c>
      <c r="S1843" s="396"/>
      <c r="T1843" s="396" t="s">
        <v>125</v>
      </c>
      <c r="U1843" s="401">
        <f t="shared" ref="U1843:U1873" si="5893">U1842</f>
        <v>1.041885</v>
      </c>
      <c r="V1843" s="396" t="s">
        <v>125</v>
      </c>
      <c r="W1843" s="399">
        <f t="shared" ref="W1843" si="5894">D1843</f>
        <v>3</v>
      </c>
      <c r="X1843" s="399" t="s">
        <v>125</v>
      </c>
      <c r="Y1843" s="389">
        <f t="shared" ref="Y1843:Y1873" si="5895">Y1842</f>
        <v>1</v>
      </c>
      <c r="Z1843" s="400" t="s">
        <v>176</v>
      </c>
      <c r="AA1843" s="402">
        <f t="shared" ref="AA1843" si="5896">(N1843+P1843*R1843/1000)*U1843*W1843*Y1843</f>
        <v>22.776647984999997</v>
      </c>
      <c r="AB1843" s="403"/>
    </row>
    <row r="1844" spans="1:28">
      <c r="A1844" s="384"/>
      <c r="B1844" s="385"/>
      <c r="C1844" s="393"/>
      <c r="D1844" s="394"/>
      <c r="E1844" s="388"/>
      <c r="F1844" s="388"/>
      <c r="G1844" s="388"/>
      <c r="H1844" s="395"/>
      <c r="I1844" s="388"/>
      <c r="J1844" s="399"/>
      <c r="K1844" s="396"/>
      <c r="L1844" s="396"/>
      <c r="M1844" s="396"/>
      <c r="N1844" s="396"/>
      <c r="O1844" s="396"/>
      <c r="P1844" s="389"/>
      <c r="Q1844" s="396"/>
      <c r="R1844" s="396"/>
      <c r="S1844" s="396"/>
      <c r="T1844" s="396"/>
      <c r="U1844" s="401"/>
      <c r="V1844" s="396"/>
      <c r="W1844" s="388"/>
      <c r="X1844" s="396"/>
      <c r="Y1844" s="389"/>
      <c r="Z1844" s="396"/>
      <c r="AA1844" s="388"/>
      <c r="AB1844" s="390"/>
    </row>
    <row r="1845" spans="1:28">
      <c r="A1845" s="384" t="str">
        <f t="shared" ref="A1845:B1845" si="5897">A1825</f>
        <v>Lantai 1</v>
      </c>
      <c r="B1845" s="385">
        <f t="shared" si="5897"/>
        <v>59</v>
      </c>
      <c r="C1845" s="393" t="s">
        <v>211</v>
      </c>
      <c r="D1845" s="398">
        <f>VLOOKUP(D1825,'Detail Balok'!$C$10:$AU$140,31,FALSE)</f>
        <v>0</v>
      </c>
      <c r="E1845" s="388" t="s">
        <v>16</v>
      </c>
      <c r="F1845" s="388">
        <f>VLOOKUP(D1825,'Detail Balok'!$C$10:$AU$140,33,FALSE)</f>
        <v>8</v>
      </c>
      <c r="G1845" s="405" t="s">
        <v>157</v>
      </c>
      <c r="H1845" s="395">
        <f>VLOOKUP(D1825,'Detail Balok'!$C$10:$AU$140,35,FALSE)</f>
        <v>150</v>
      </c>
      <c r="I1845" s="388"/>
      <c r="J1845" s="400">
        <f t="shared" ref="J1845" si="5898">(IF(D1845=0,(2*(D1826+G1826))-(F$5*8),IF(D1845=3,(2*(D1826+G1826))-(F$5*8)+(G1826-2*F$5),IF(D1845=4,(2*(D1826+G1826))-(F$5*8)+2*(G1826-2*F$5)))))/1000</f>
        <v>0.88</v>
      </c>
      <c r="K1845" s="400" t="s">
        <v>204</v>
      </c>
      <c r="L1845" s="399">
        <f t="shared" ref="L1845:L1847" si="5899">IF(D1845=0,2*MAX(6*F1845,75),(D1845-1)*2*MAX(6*F1845,75))/1000</f>
        <v>0.15</v>
      </c>
      <c r="M1845" s="399" t="s">
        <v>176</v>
      </c>
      <c r="N1845" s="399">
        <f t="shared" ref="N1845:N1847" si="5900">J1845+L1845</f>
        <v>1.03</v>
      </c>
      <c r="O1845" s="399"/>
      <c r="P1845" s="389"/>
      <c r="Q1845" s="399"/>
      <c r="R1845" s="399"/>
      <c r="S1845" s="399"/>
      <c r="T1845" s="399" t="s">
        <v>125</v>
      </c>
      <c r="U1845" s="401">
        <f t="shared" ref="U1845:U1847" si="5901">0.006165*F1845^2</f>
        <v>0.39456000000000002</v>
      </c>
      <c r="V1845" s="399" t="s">
        <v>125</v>
      </c>
      <c r="W1845" s="399">
        <f t="shared" ref="W1845" si="5902">IF(D1828&gt;4*G1826,ROUND(MAX(D1828/4,2*G1826)/H1845,0)+1,ROUND(D1828/H1845,0)+1)</f>
        <v>13</v>
      </c>
      <c r="X1845" s="399" t="s">
        <v>125</v>
      </c>
      <c r="Y1845" s="389">
        <f t="shared" ref="Y1845" si="5903">D1831</f>
        <v>1</v>
      </c>
      <c r="Z1845" s="400" t="s">
        <v>176</v>
      </c>
      <c r="AA1845" s="402">
        <f t="shared" ref="AA1845:AA1847" si="5904">N1845*U1845*W1845*Y1845</f>
        <v>5.2831584000000005</v>
      </c>
      <c r="AB1845" s="403"/>
    </row>
    <row r="1846" spans="1:28">
      <c r="A1846" s="384" t="str">
        <f t="shared" ref="A1846:B1846" si="5905">A1825</f>
        <v>Lantai 1</v>
      </c>
      <c r="B1846" s="385">
        <f t="shared" si="5905"/>
        <v>59</v>
      </c>
      <c r="C1846" s="393" t="s">
        <v>212</v>
      </c>
      <c r="D1846" s="398">
        <f>VLOOKUP(D1825,'Detail Balok'!$C$10:$AU$140,36,FALSE)</f>
        <v>0</v>
      </c>
      <c r="E1846" s="388" t="s">
        <v>16</v>
      </c>
      <c r="F1846" s="388">
        <f>VLOOKUP(D1825,'Detail Balok'!$C$10:$AU$140,38,FALSE)</f>
        <v>8</v>
      </c>
      <c r="G1846" s="405" t="s">
        <v>157</v>
      </c>
      <c r="H1846" s="395">
        <f>VLOOKUP(D1825,'Detail Balok'!$C$10:$AU$140,40,FALSE)</f>
        <v>200</v>
      </c>
      <c r="I1846" s="388"/>
      <c r="J1846" s="400">
        <f t="shared" ref="J1846" si="5906">(IF(D1846=0,(2*(D1826+G1826))-(F$5*8),IF(D1846=3,(2*(D1826+G1826))-(F$5*8)+(G1826-2*F$5),IF(D1846=4,(2*(D1826+G1826))-(F$5*8)+2*(G1826-2*F$5)))))/1000</f>
        <v>0.88</v>
      </c>
      <c r="K1846" s="400" t="s">
        <v>204</v>
      </c>
      <c r="L1846" s="399">
        <f t="shared" si="5899"/>
        <v>0.15</v>
      </c>
      <c r="M1846" s="399" t="s">
        <v>176</v>
      </c>
      <c r="N1846" s="399">
        <f t="shared" si="5900"/>
        <v>1.03</v>
      </c>
      <c r="O1846" s="399"/>
      <c r="P1846" s="389"/>
      <c r="Q1846" s="399"/>
      <c r="R1846" s="399"/>
      <c r="S1846" s="399"/>
      <c r="T1846" s="399" t="s">
        <v>125</v>
      </c>
      <c r="U1846" s="401">
        <f t="shared" si="5901"/>
        <v>0.39456000000000002</v>
      </c>
      <c r="V1846" s="399" t="s">
        <v>125</v>
      </c>
      <c r="W1846" s="399">
        <f t="shared" ref="W1846" si="5907">IF(D1828-MAX(D1828/4,2*G1826)*2&gt;0,ROUND((D1828-MAX(D1828/4,2*G1826)*2)/H1846,0),0)</f>
        <v>17</v>
      </c>
      <c r="X1846" s="399" t="s">
        <v>125</v>
      </c>
      <c r="Y1846" s="389">
        <f t="shared" ref="Y1846" si="5908">D1831</f>
        <v>1</v>
      </c>
      <c r="Z1846" s="400" t="s">
        <v>176</v>
      </c>
      <c r="AA1846" s="402">
        <f t="shared" si="5904"/>
        <v>6.9087456000000014</v>
      </c>
      <c r="AB1846" s="403"/>
    </row>
    <row r="1847" spans="1:28">
      <c r="A1847" s="384" t="str">
        <f t="shared" ref="A1847:B1847" si="5909">A1825</f>
        <v>Lantai 1</v>
      </c>
      <c r="B1847" s="385">
        <f t="shared" si="5909"/>
        <v>59</v>
      </c>
      <c r="C1847" s="393" t="s">
        <v>211</v>
      </c>
      <c r="D1847" s="398">
        <f>VLOOKUP(D1825,'Detail Balok'!$C$10:$AU$140,41,FALSE)</f>
        <v>0</v>
      </c>
      <c r="E1847" s="388" t="s">
        <v>16</v>
      </c>
      <c r="F1847" s="388">
        <f>VLOOKUP(D1825,'Detail Balok'!$C$10:$AU$140,43,FALSE)</f>
        <v>8</v>
      </c>
      <c r="G1847" s="405" t="s">
        <v>157</v>
      </c>
      <c r="H1847" s="395">
        <f>VLOOKUP(D1825,'Detail Balok'!$C$10:$AU$140,45,FALSE)</f>
        <v>150</v>
      </c>
      <c r="I1847" s="388"/>
      <c r="J1847" s="400">
        <f t="shared" ref="J1847" si="5910">(IF(D1847=0,(2*(D1826+G1826))-(F$5*8),IF(D1847=3,(2*(D1826+G1826))-(F$5*8)+(G1826-2*F$5),IF(D1847=4,(2*(D1826+G1826))-(F$5*8)+2*(G1826-2*F$5)))))/1000</f>
        <v>0.88</v>
      </c>
      <c r="K1847" s="400" t="s">
        <v>204</v>
      </c>
      <c r="L1847" s="399">
        <f t="shared" si="5899"/>
        <v>0.15</v>
      </c>
      <c r="M1847" s="399" t="s">
        <v>176</v>
      </c>
      <c r="N1847" s="399">
        <f t="shared" si="5900"/>
        <v>1.03</v>
      </c>
      <c r="O1847" s="399"/>
      <c r="P1847" s="389"/>
      <c r="Q1847" s="399"/>
      <c r="R1847" s="399"/>
      <c r="S1847" s="399"/>
      <c r="T1847" s="399" t="s">
        <v>125</v>
      </c>
      <c r="U1847" s="401">
        <f t="shared" si="5901"/>
        <v>0.39456000000000002</v>
      </c>
      <c r="V1847" s="399" t="s">
        <v>125</v>
      </c>
      <c r="W1847" s="399">
        <f t="shared" ref="W1847" si="5911">IF(D1828&gt;4*G1826,ROUND(MAX(D1828/4,2*G1826)/H1847,0)+1,0)</f>
        <v>13</v>
      </c>
      <c r="X1847" s="399" t="s">
        <v>125</v>
      </c>
      <c r="Y1847" s="389">
        <f t="shared" ref="Y1847" si="5912">D1831</f>
        <v>1</v>
      </c>
      <c r="Z1847" s="400" t="s">
        <v>176</v>
      </c>
      <c r="AA1847" s="402">
        <f t="shared" si="5904"/>
        <v>5.2831584000000005</v>
      </c>
      <c r="AB1847" s="403"/>
    </row>
    <row r="1848" spans="1:28">
      <c r="A1848" s="384"/>
      <c r="B1848" s="385"/>
      <c r="C1848" s="393"/>
      <c r="D1848" s="394"/>
      <c r="E1848" s="388"/>
      <c r="F1848" s="388"/>
      <c r="G1848" s="388"/>
      <c r="H1848" s="395"/>
      <c r="I1848" s="388"/>
      <c r="J1848" s="399"/>
      <c r="K1848" s="396"/>
      <c r="L1848" s="396"/>
      <c r="M1848" s="396"/>
      <c r="N1848" s="396"/>
      <c r="O1848" s="396"/>
      <c r="P1848" s="389"/>
      <c r="Q1848" s="396"/>
      <c r="R1848" s="396"/>
      <c r="S1848" s="396"/>
      <c r="T1848" s="396"/>
      <c r="U1848" s="401"/>
      <c r="V1848" s="396"/>
      <c r="W1848" s="388"/>
      <c r="X1848" s="396"/>
      <c r="Y1848" s="389"/>
      <c r="Z1848" s="396"/>
      <c r="AA1848" s="388"/>
      <c r="AB1848" s="390"/>
    </row>
    <row r="1849" spans="1:28">
      <c r="A1849" s="384" t="str">
        <f t="shared" ref="A1849:B1849" si="5913">A1825</f>
        <v>Lantai 1</v>
      </c>
      <c r="B1849" s="385">
        <f t="shared" si="5913"/>
        <v>59</v>
      </c>
      <c r="C1849" s="393" t="s">
        <v>213</v>
      </c>
      <c r="D1849" s="398">
        <f>VLOOKUP(D1825,'Detail Balok'!$C$10:$BJ$140,46,FALSE)</f>
        <v>0</v>
      </c>
      <c r="E1849" s="388" t="s">
        <v>16</v>
      </c>
      <c r="F1849" s="388">
        <f>VLOOKUP(D1825,'Detail Balok'!$C$10:$BJ$140,48,FALSE)</f>
        <v>0</v>
      </c>
      <c r="G1849" s="405" t="s">
        <v>157</v>
      </c>
      <c r="H1849" s="395">
        <f>VLOOKUP(D1825,'Detail Balok'!$C$10:$BJ$140,50,FALSE)</f>
        <v>100</v>
      </c>
      <c r="I1849" s="388"/>
      <c r="J1849" s="399">
        <f t="shared" ref="J1849" si="5914">(D1826-2*F$5)/1000</f>
        <v>0.12</v>
      </c>
      <c r="K1849" s="400" t="s">
        <v>204</v>
      </c>
      <c r="L1849" s="399">
        <f t="shared" ref="L1849:L1851" si="5915">IF(D1849=0,2*MAX(6*F1849,75),(D1849-1)*2*MAX(6*F1849,75))/1000</f>
        <v>0.15</v>
      </c>
      <c r="M1849" s="399" t="s">
        <v>176</v>
      </c>
      <c r="N1849" s="399">
        <f t="shared" ref="N1849:N1851" si="5916">J1849+L1849</f>
        <v>0.27</v>
      </c>
      <c r="O1849" s="399"/>
      <c r="P1849" s="399"/>
      <c r="Q1849" s="399"/>
      <c r="R1849" s="399"/>
      <c r="S1849" s="399"/>
      <c r="T1849" s="399" t="s">
        <v>125</v>
      </c>
      <c r="U1849" s="401">
        <f t="shared" ref="U1849:U1851" si="5917">0.006165*F1849^2</f>
        <v>0</v>
      </c>
      <c r="V1849" s="399" t="s">
        <v>125</v>
      </c>
      <c r="W1849" s="399">
        <f t="shared" ref="W1849:W1881" si="5918">W1845</f>
        <v>13</v>
      </c>
      <c r="X1849" s="399" t="s">
        <v>125</v>
      </c>
      <c r="Y1849" s="389">
        <f t="shared" ref="Y1849" si="5919">D1835</f>
        <v>3</v>
      </c>
      <c r="Z1849" s="400" t="s">
        <v>176</v>
      </c>
      <c r="AA1849" s="402">
        <f t="shared" ref="AA1849:AA1851" si="5920">N1849*U1849*W1849*Y1849</f>
        <v>0</v>
      </c>
      <c r="AB1849" s="403"/>
    </row>
    <row r="1850" spans="1:28">
      <c r="A1850" s="384" t="str">
        <f t="shared" ref="A1850:B1850" si="5921">A1825</f>
        <v>Lantai 1</v>
      </c>
      <c r="B1850" s="385">
        <f t="shared" si="5921"/>
        <v>59</v>
      </c>
      <c r="C1850" s="393" t="s">
        <v>214</v>
      </c>
      <c r="D1850" s="398">
        <f>VLOOKUP(D1825,'Detail Balok'!$C$10:$BJ$140,51,FALSE)</f>
        <v>0</v>
      </c>
      <c r="E1850" s="388" t="s">
        <v>16</v>
      </c>
      <c r="F1850" s="388">
        <f>VLOOKUP(D1825,'Detail Balok'!$C$10:$BJ$140,53,FALSE)</f>
        <v>0</v>
      </c>
      <c r="G1850" s="405" t="s">
        <v>157</v>
      </c>
      <c r="H1850" s="395">
        <f>VLOOKUP(D1825,'Detail Balok'!$C$10:$BJ$140,55,FALSE)</f>
        <v>100</v>
      </c>
      <c r="I1850" s="388"/>
      <c r="J1850" s="399">
        <f t="shared" ref="J1850" si="5922">(D1826-2*F$5)/1000</f>
        <v>0.12</v>
      </c>
      <c r="K1850" s="400" t="s">
        <v>204</v>
      </c>
      <c r="L1850" s="399">
        <f t="shared" si="5915"/>
        <v>0.15</v>
      </c>
      <c r="M1850" s="399" t="s">
        <v>176</v>
      </c>
      <c r="N1850" s="399">
        <f t="shared" si="5916"/>
        <v>0.27</v>
      </c>
      <c r="O1850" s="399"/>
      <c r="P1850" s="399"/>
      <c r="Q1850" s="399"/>
      <c r="R1850" s="399"/>
      <c r="S1850" s="399"/>
      <c r="T1850" s="399" t="s">
        <v>125</v>
      </c>
      <c r="U1850" s="401">
        <f t="shared" si="5917"/>
        <v>0</v>
      </c>
      <c r="V1850" s="399" t="s">
        <v>125</v>
      </c>
      <c r="W1850" s="399">
        <f t="shared" si="5918"/>
        <v>17</v>
      </c>
      <c r="X1850" s="399" t="s">
        <v>125</v>
      </c>
      <c r="Y1850" s="389">
        <f t="shared" ref="Y1850" si="5923">D1835</f>
        <v>3</v>
      </c>
      <c r="Z1850" s="400" t="s">
        <v>176</v>
      </c>
      <c r="AA1850" s="402">
        <f t="shared" si="5920"/>
        <v>0</v>
      </c>
      <c r="AB1850" s="403"/>
    </row>
    <row r="1851" spans="1:28">
      <c r="A1851" s="384" t="str">
        <f t="shared" ref="A1851:B1851" si="5924">A1825</f>
        <v>Lantai 1</v>
      </c>
      <c r="B1851" s="385">
        <f t="shared" si="5924"/>
        <v>59</v>
      </c>
      <c r="C1851" s="393" t="s">
        <v>213</v>
      </c>
      <c r="D1851" s="398">
        <f>VLOOKUP(D1825,'Detail Balok'!$C$10:$BJ$140,56,FALSE)</f>
        <v>0</v>
      </c>
      <c r="E1851" s="388" t="s">
        <v>16</v>
      </c>
      <c r="F1851" s="388">
        <f>VLOOKUP(D1825,'Detail Balok'!$C$10:$BJ$140,58,FALSE)</f>
        <v>0</v>
      </c>
      <c r="G1851" s="405" t="s">
        <v>157</v>
      </c>
      <c r="H1851" s="395">
        <f>VLOOKUP(D1825,'Detail Balok'!$C$10:$BJ$140,60,FALSE)</f>
        <v>100</v>
      </c>
      <c r="I1851" s="388"/>
      <c r="J1851" s="399">
        <f t="shared" ref="J1851" si="5925">(D1826-2*F$5)/1000</f>
        <v>0.12</v>
      </c>
      <c r="K1851" s="400" t="s">
        <v>204</v>
      </c>
      <c r="L1851" s="399">
        <f t="shared" si="5915"/>
        <v>0.15</v>
      </c>
      <c r="M1851" s="399" t="s">
        <v>176</v>
      </c>
      <c r="N1851" s="399">
        <f t="shared" si="5916"/>
        <v>0.27</v>
      </c>
      <c r="O1851" s="399"/>
      <c r="P1851" s="399"/>
      <c r="Q1851" s="399"/>
      <c r="R1851" s="399"/>
      <c r="S1851" s="399"/>
      <c r="T1851" s="399" t="s">
        <v>125</v>
      </c>
      <c r="U1851" s="401">
        <f t="shared" si="5917"/>
        <v>0</v>
      </c>
      <c r="V1851" s="399" t="s">
        <v>125</v>
      </c>
      <c r="W1851" s="399">
        <f t="shared" si="5918"/>
        <v>13</v>
      </c>
      <c r="X1851" s="399" t="s">
        <v>125</v>
      </c>
      <c r="Y1851" s="389">
        <f t="shared" ref="Y1851" si="5926">D1835</f>
        <v>3</v>
      </c>
      <c r="Z1851" s="400" t="s">
        <v>176</v>
      </c>
      <c r="AA1851" s="402">
        <f t="shared" si="5920"/>
        <v>0</v>
      </c>
      <c r="AB1851" s="403"/>
    </row>
    <row r="1852" spans="1:28">
      <c r="A1852" s="391"/>
      <c r="B1852" s="392"/>
      <c r="C1852" s="392"/>
      <c r="D1852" s="394"/>
      <c r="E1852" s="388"/>
      <c r="F1852" s="388"/>
      <c r="G1852" s="388"/>
      <c r="H1852" s="395"/>
      <c r="I1852" s="388"/>
      <c r="J1852" s="402"/>
      <c r="K1852" s="388"/>
      <c r="L1852" s="388"/>
      <c r="M1852" s="388"/>
      <c r="N1852" s="388"/>
      <c r="O1852" s="388"/>
      <c r="P1852" s="388"/>
      <c r="Q1852" s="388"/>
      <c r="R1852" s="388"/>
      <c r="S1852" s="388"/>
      <c r="T1852" s="388"/>
      <c r="U1852" s="388"/>
      <c r="V1852" s="388"/>
      <c r="W1852" s="388"/>
      <c r="X1852" s="388"/>
      <c r="Y1852" s="389"/>
      <c r="Z1852" s="388"/>
      <c r="AA1852" s="402"/>
      <c r="AB1852" s="403"/>
    </row>
    <row r="1853" spans="1:28" ht="15.75" thickBot="1">
      <c r="A1853" s="406"/>
      <c r="B1853" s="407"/>
      <c r="C1853" s="407"/>
      <c r="D1853" s="408"/>
      <c r="E1853" s="409"/>
      <c r="F1853" s="409"/>
      <c r="G1853" s="409"/>
      <c r="H1853" s="410"/>
      <c r="I1853" s="409"/>
      <c r="J1853" s="409"/>
      <c r="K1853" s="409"/>
      <c r="L1853" s="409"/>
      <c r="M1853" s="409"/>
      <c r="N1853" s="409"/>
      <c r="O1853" s="409"/>
      <c r="P1853" s="409"/>
      <c r="Q1853" s="409"/>
      <c r="R1853" s="409"/>
      <c r="S1853" s="409"/>
      <c r="T1853" s="409"/>
      <c r="U1853" s="409"/>
      <c r="V1853" s="409"/>
      <c r="W1853" s="409"/>
      <c r="X1853" s="409"/>
      <c r="Y1853" s="411"/>
      <c r="Z1853" s="409"/>
      <c r="AA1853" s="412"/>
      <c r="AB1853" s="413"/>
    </row>
    <row r="1854" spans="1:28">
      <c r="A1854" s="377"/>
      <c r="B1854" s="378"/>
      <c r="C1854" s="378"/>
      <c r="D1854" s="379"/>
      <c r="E1854" s="380"/>
      <c r="F1854" s="380"/>
      <c r="G1854" s="380"/>
      <c r="H1854" s="381"/>
      <c r="I1854" s="380"/>
      <c r="J1854" s="380"/>
      <c r="K1854" s="380"/>
      <c r="L1854" s="380"/>
      <c r="M1854" s="380"/>
      <c r="N1854" s="380"/>
      <c r="O1854" s="380"/>
      <c r="P1854" s="380"/>
      <c r="Q1854" s="380"/>
      <c r="R1854" s="380"/>
      <c r="S1854" s="380"/>
      <c r="T1854" s="380"/>
      <c r="U1854" s="380"/>
      <c r="V1854" s="380"/>
      <c r="W1854" s="380"/>
      <c r="X1854" s="380"/>
      <c r="Y1854" s="382"/>
      <c r="Z1854" s="380"/>
      <c r="AA1854" s="380"/>
      <c r="AB1854" s="383"/>
    </row>
    <row r="1855" spans="1:28">
      <c r="A1855" s="384" t="str">
        <f t="shared" si="5822"/>
        <v>Lantai 1</v>
      </c>
      <c r="B1855" s="385">
        <f t="shared" si="5823"/>
        <v>60</v>
      </c>
      <c r="C1855" s="386" t="str">
        <f t="shared" ref="C1855" si="5927">CONCATENATE(A1855," no. ",B1855)</f>
        <v>Lantai 1 no. 60</v>
      </c>
      <c r="D1855" s="2562" t="str">
        <f>VLOOKUP(C1855,'Data Panjang Balok'!$C$9:$N$254,2,FALSE)</f>
        <v>S24-1</v>
      </c>
      <c r="E1855" s="2576"/>
      <c r="F1855" s="2576"/>
      <c r="G1855" s="2576"/>
      <c r="H1855" s="2577"/>
      <c r="I1855" s="387"/>
      <c r="J1855" s="388"/>
      <c r="K1855" s="388"/>
      <c r="L1855" s="388"/>
      <c r="M1855" s="388"/>
      <c r="N1855" s="388"/>
      <c r="O1855" s="388"/>
      <c r="P1855" s="388"/>
      <c r="Q1855" s="388"/>
      <c r="R1855" s="388"/>
      <c r="S1855" s="388"/>
      <c r="T1855" s="388"/>
      <c r="U1855" s="388"/>
      <c r="V1855" s="388"/>
      <c r="W1855" s="388"/>
      <c r="X1855" s="388"/>
      <c r="Y1855" s="389"/>
      <c r="Z1855" s="388"/>
      <c r="AA1855" s="388"/>
      <c r="AB1855" s="390"/>
    </row>
    <row r="1856" spans="1:28">
      <c r="A1856" s="391"/>
      <c r="B1856" s="392"/>
      <c r="C1856" s="393" t="s">
        <v>118</v>
      </c>
      <c r="D1856" s="2578">
        <f>VLOOKUP(D1855,'Detail Balok'!$C$10:$AU$140,2,FALSE)</f>
        <v>200</v>
      </c>
      <c r="E1856" s="2579"/>
      <c r="F1856" s="388" t="s">
        <v>125</v>
      </c>
      <c r="G1856" s="2579">
        <f>VLOOKUP(D1855,'Detail Balok'!$C$10:$AU$140,3,FALSE)</f>
        <v>400</v>
      </c>
      <c r="H1856" s="2580"/>
      <c r="I1856" s="388"/>
      <c r="J1856" s="396"/>
      <c r="K1856" s="396"/>
      <c r="L1856" s="396"/>
      <c r="M1856" s="396"/>
      <c r="N1856" s="396"/>
      <c r="O1856" s="396"/>
      <c r="P1856" s="396"/>
      <c r="Q1856" s="396"/>
      <c r="R1856" s="396"/>
      <c r="S1856" s="396"/>
      <c r="T1856" s="396"/>
      <c r="U1856" s="388"/>
      <c r="V1856" s="396"/>
      <c r="W1856" s="388"/>
      <c r="X1856" s="396"/>
      <c r="Y1856" s="389"/>
      <c r="Z1856" s="396"/>
      <c r="AA1856" s="388"/>
      <c r="AB1856" s="390"/>
    </row>
    <row r="1857" spans="1:28">
      <c r="A1857" s="391"/>
      <c r="B1857" s="392"/>
      <c r="C1857" s="393" t="s">
        <v>198</v>
      </c>
      <c r="D1857" s="2562">
        <f>VLOOKUP(C1855,'Data Panjang Balok'!$C$9:$N$254,4,FALSE)</f>
        <v>17030</v>
      </c>
      <c r="E1857" s="2563"/>
      <c r="F1857" s="2563"/>
      <c r="G1857" s="2563"/>
      <c r="H1857" s="2564"/>
      <c r="I1857" s="397"/>
      <c r="J1857" s="396"/>
      <c r="K1857" s="396"/>
      <c r="L1857" s="396"/>
      <c r="M1857" s="396"/>
      <c r="N1857" s="396"/>
      <c r="O1857" s="396"/>
      <c r="P1857" s="396"/>
      <c r="Q1857" s="396"/>
      <c r="R1857" s="396"/>
      <c r="S1857" s="396"/>
      <c r="T1857" s="396"/>
      <c r="U1857" s="388"/>
      <c r="V1857" s="396"/>
      <c r="W1857" s="388"/>
      <c r="X1857" s="396"/>
      <c r="Y1857" s="389"/>
      <c r="Z1857" s="396"/>
      <c r="AA1857" s="388"/>
      <c r="AB1857" s="390"/>
    </row>
    <row r="1858" spans="1:28">
      <c r="A1858" s="391"/>
      <c r="B1858" s="392"/>
      <c r="C1858" s="393" t="s">
        <v>199</v>
      </c>
      <c r="D1858" s="2562">
        <f>VLOOKUP(C1855,'Data Panjang Balok'!$C$9:$N$254,7,FALSE)</f>
        <v>17030</v>
      </c>
      <c r="E1858" s="2563"/>
      <c r="F1858" s="2563"/>
      <c r="G1858" s="2563"/>
      <c r="H1858" s="2564"/>
      <c r="I1858" s="397"/>
      <c r="J1858" s="396"/>
      <c r="K1858" s="396"/>
      <c r="L1858" s="396"/>
      <c r="M1858" s="396"/>
      <c r="N1858" s="396"/>
      <c r="O1858" s="396"/>
      <c r="P1858" s="396"/>
      <c r="Q1858" s="396"/>
      <c r="R1858" s="396"/>
      <c r="S1858" s="396"/>
      <c r="T1858" s="396"/>
      <c r="U1858" s="388"/>
      <c r="V1858" s="396"/>
      <c r="W1858" s="388"/>
      <c r="X1858" s="396"/>
      <c r="Y1858" s="389"/>
      <c r="Z1858" s="396"/>
      <c r="AA1858" s="388"/>
      <c r="AB1858" s="390"/>
    </row>
    <row r="1859" spans="1:28">
      <c r="A1859" s="391"/>
      <c r="B1859" s="392"/>
      <c r="C1859" s="393" t="s">
        <v>200</v>
      </c>
      <c r="D1859" s="2562">
        <f>VLOOKUP(C1855,'Data Panjang Balok'!$C$9:$N$254,9,FALSE)</f>
        <v>0</v>
      </c>
      <c r="E1859" s="2563"/>
      <c r="F1859" s="2563"/>
      <c r="G1859" s="2563"/>
      <c r="H1859" s="2564"/>
      <c r="I1859" s="397"/>
      <c r="J1859" s="396"/>
      <c r="K1859" s="396"/>
      <c r="L1859" s="396"/>
      <c r="M1859" s="396"/>
      <c r="N1859" s="396"/>
      <c r="O1859" s="396"/>
      <c r="P1859" s="396"/>
      <c r="Q1859" s="396"/>
      <c r="R1859" s="396"/>
      <c r="S1859" s="396"/>
      <c r="T1859" s="396"/>
      <c r="U1859" s="388"/>
      <c r="V1859" s="396"/>
      <c r="W1859" s="388"/>
      <c r="X1859" s="396"/>
      <c r="Y1859" s="389"/>
      <c r="Z1859" s="396"/>
      <c r="AA1859" s="388"/>
      <c r="AB1859" s="390"/>
    </row>
    <row r="1860" spans="1:28">
      <c r="A1860" s="391"/>
      <c r="B1860" s="392"/>
      <c r="C1860" s="393" t="s">
        <v>201</v>
      </c>
      <c r="D1860" s="2562">
        <f>VLOOKUP(C1855,'Data Panjang Balok'!$C$9:$N$254,10,FALSE)</f>
        <v>0</v>
      </c>
      <c r="E1860" s="2563"/>
      <c r="F1860" s="2563"/>
      <c r="G1860" s="2563"/>
      <c r="H1860" s="2564"/>
      <c r="I1860" s="397"/>
      <c r="J1860" s="396"/>
      <c r="K1860" s="396"/>
      <c r="L1860" s="396"/>
      <c r="M1860" s="396"/>
      <c r="N1860" s="396"/>
      <c r="O1860" s="396"/>
      <c r="P1860" s="396"/>
      <c r="Q1860" s="396"/>
      <c r="R1860" s="396"/>
      <c r="S1860" s="396"/>
      <c r="T1860" s="396"/>
      <c r="U1860" s="388"/>
      <c r="V1860" s="396"/>
      <c r="W1860" s="388"/>
      <c r="X1860" s="396"/>
      <c r="Y1860" s="389"/>
      <c r="Z1860" s="396"/>
      <c r="AA1860" s="388"/>
      <c r="AB1860" s="390"/>
    </row>
    <row r="1861" spans="1:28">
      <c r="A1861" s="391"/>
      <c r="B1861" s="392"/>
      <c r="C1861" s="393" t="s">
        <v>48</v>
      </c>
      <c r="D1861" s="2562">
        <f>VLOOKUP(C1855,'Data Panjang Balok'!$C$9:$N$254,3,FALSE)</f>
        <v>1</v>
      </c>
      <c r="E1861" s="2563"/>
      <c r="F1861" s="2563"/>
      <c r="G1861" s="2563"/>
      <c r="H1861" s="2564"/>
      <c r="I1861" s="397"/>
      <c r="J1861" s="396"/>
      <c r="K1861" s="396"/>
      <c r="L1861" s="396"/>
      <c r="M1861" s="396"/>
      <c r="N1861" s="396"/>
      <c r="O1861" s="396"/>
      <c r="P1861" s="396"/>
      <c r="Q1861" s="396"/>
      <c r="R1861" s="396"/>
      <c r="S1861" s="396"/>
      <c r="T1861" s="396"/>
      <c r="U1861" s="388"/>
      <c r="V1861" s="396"/>
      <c r="W1861" s="388"/>
      <c r="X1861" s="396"/>
      <c r="Y1861" s="389"/>
      <c r="Z1861" s="396"/>
      <c r="AA1861" s="388"/>
      <c r="AB1861" s="390"/>
    </row>
    <row r="1862" spans="1:28">
      <c r="A1862" s="384" t="str">
        <f t="shared" ref="A1862:B1862" si="5928">A1855</f>
        <v>Lantai 1</v>
      </c>
      <c r="B1862" s="385">
        <f t="shared" si="5928"/>
        <v>60</v>
      </c>
      <c r="C1862" s="393" t="s">
        <v>202</v>
      </c>
      <c r="D1862" s="398">
        <f>VLOOKUP(D1855,'Detail Balok'!$C$10:$AU$140,4,FALSE)</f>
        <v>3</v>
      </c>
      <c r="E1862" s="388" t="s">
        <v>16</v>
      </c>
      <c r="F1862" s="388">
        <f>VLOOKUP(D1855,'Detail Balok'!$C$10:$AU$140,6,FALSE)</f>
        <v>13</v>
      </c>
      <c r="G1862" s="388"/>
      <c r="H1862" s="395"/>
      <c r="I1862" s="388" t="s">
        <v>203</v>
      </c>
      <c r="J1862" s="399">
        <f t="shared" ref="J1862" si="5929">+D1857/4/1000</f>
        <v>4.2575000000000003</v>
      </c>
      <c r="K1862" s="400" t="s">
        <v>204</v>
      </c>
      <c r="L1862" s="399">
        <f t="shared" ref="L1862" si="5930">MAX(VLOOKUP(F1862,N$6:P$15,3,FALSE)/1000,2/3*D1859/1000)+F$16*F1862/1000</f>
        <v>0.156</v>
      </c>
      <c r="M1862" s="399" t="s">
        <v>176</v>
      </c>
      <c r="N1862" s="399">
        <f t="shared" ref="N1862:N1864" si="5931">J1862+L1862</f>
        <v>4.4135</v>
      </c>
      <c r="O1862" s="399" t="s">
        <v>204</v>
      </c>
      <c r="P1862" s="389">
        <f t="shared" ref="P1862" si="5932">D1862-D1863</f>
        <v>0</v>
      </c>
      <c r="Q1862" s="399" t="s">
        <v>125</v>
      </c>
      <c r="R1862" s="399">
        <f t="shared" ref="R1862" si="5933">IF(P1862&gt;0,$F$18*F1862/1000,0)</f>
        <v>0</v>
      </c>
      <c r="S1862" s="399" t="s">
        <v>205</v>
      </c>
      <c r="T1862" s="399" t="s">
        <v>125</v>
      </c>
      <c r="U1862" s="401">
        <f t="shared" ref="U1862:U1864" si="5934">0.006165*F1862^2</f>
        <v>1.041885</v>
      </c>
      <c r="V1862" s="399"/>
      <c r="W1862" s="399"/>
      <c r="X1862" s="399" t="s">
        <v>125</v>
      </c>
      <c r="Y1862" s="389">
        <f t="shared" ref="Y1862" si="5935">D1861</f>
        <v>1</v>
      </c>
      <c r="Z1862" s="400" t="s">
        <v>176</v>
      </c>
      <c r="AA1862" s="402">
        <f t="shared" ref="AA1862" si="5936">IF(AA1865=0,(D1862*N1862+P1862*R1862)*U1862*Y1862,0)</f>
        <v>0</v>
      </c>
      <c r="AB1862" s="403"/>
    </row>
    <row r="1863" spans="1:28">
      <c r="A1863" s="384" t="str">
        <f t="shared" ref="A1863:B1863" si="5937">A1855</f>
        <v>Lantai 1</v>
      </c>
      <c r="B1863" s="385">
        <f t="shared" si="5937"/>
        <v>60</v>
      </c>
      <c r="C1863" s="393" t="s">
        <v>206</v>
      </c>
      <c r="D1863" s="398">
        <f>VLOOKUP(D1855,'Detail Balok'!$C$10:$AU$140,7,FALSE)</f>
        <v>3</v>
      </c>
      <c r="E1863" s="388" t="s">
        <v>16</v>
      </c>
      <c r="F1863" s="388">
        <f>VLOOKUP(D1855,'Detail Balok'!$C$10:$AU$140,9,FALSE)</f>
        <v>13</v>
      </c>
      <c r="G1863" s="388"/>
      <c r="H1863" s="395"/>
      <c r="I1863" s="388" t="s">
        <v>203</v>
      </c>
      <c r="J1863" s="399">
        <f t="shared" ref="J1863" si="5938">+D1857/2/1000</f>
        <v>8.5150000000000006</v>
      </c>
      <c r="K1863" s="400" t="s">
        <v>204</v>
      </c>
      <c r="L1863" s="399"/>
      <c r="M1863" s="399" t="s">
        <v>176</v>
      </c>
      <c r="N1863" s="399">
        <f t="shared" si="5931"/>
        <v>8.5150000000000006</v>
      </c>
      <c r="O1863" s="399" t="s">
        <v>204</v>
      </c>
      <c r="P1863" s="389">
        <f t="shared" ref="P1863" si="5939">MAX(D1863-D1862,D1863-D1864)</f>
        <v>0</v>
      </c>
      <c r="Q1863" s="399" t="s">
        <v>125</v>
      </c>
      <c r="R1863" s="399">
        <f t="shared" ref="R1863" si="5940">IF(P1863&gt;0,2*(1-2*$F$19-1/2)*D1858/1000,0)</f>
        <v>0</v>
      </c>
      <c r="S1863" s="399" t="s">
        <v>205</v>
      </c>
      <c r="T1863" s="399" t="s">
        <v>125</v>
      </c>
      <c r="U1863" s="401">
        <f t="shared" si="5934"/>
        <v>1.041885</v>
      </c>
      <c r="V1863" s="399"/>
      <c r="W1863" s="399"/>
      <c r="X1863" s="399" t="s">
        <v>125</v>
      </c>
      <c r="Y1863" s="389">
        <f t="shared" ref="Y1863" si="5941">D1861</f>
        <v>1</v>
      </c>
      <c r="Z1863" s="400" t="s">
        <v>176</v>
      </c>
      <c r="AA1863" s="402">
        <f t="shared" ref="AA1863" si="5942">IF(AA1865=0,(D1863*N1863+P1863*R1863)*U1863*Y1863,0)</f>
        <v>0</v>
      </c>
      <c r="AB1863" s="403"/>
    </row>
    <row r="1864" spans="1:28">
      <c r="A1864" s="384" t="str">
        <f t="shared" ref="A1864:B1864" si="5943">A1855</f>
        <v>Lantai 1</v>
      </c>
      <c r="B1864" s="385">
        <f t="shared" si="5943"/>
        <v>60</v>
      </c>
      <c r="C1864" s="393" t="s">
        <v>202</v>
      </c>
      <c r="D1864" s="398">
        <f>VLOOKUP(D1855,'Detail Balok'!$C$10:$AU$140,10,FALSE)</f>
        <v>3</v>
      </c>
      <c r="E1864" s="388" t="s">
        <v>16</v>
      </c>
      <c r="F1864" s="388">
        <f>VLOOKUP(D1855,'Detail Balok'!$C$10:$AU$140,12,FALSE)</f>
        <v>13</v>
      </c>
      <c r="G1864" s="388"/>
      <c r="H1864" s="395"/>
      <c r="I1864" s="388" t="s">
        <v>203</v>
      </c>
      <c r="J1864" s="399">
        <f t="shared" ref="J1864" si="5944">+D1857/4/1000</f>
        <v>4.2575000000000003</v>
      </c>
      <c r="K1864" s="400" t="s">
        <v>204</v>
      </c>
      <c r="L1864" s="399">
        <f t="shared" ref="L1864" si="5945">MAX(VLOOKUP(F1864,N$6:P$15,3,FALSE)/1000,2/3*D1859/1000)+F$16*F1864/1000</f>
        <v>0.156</v>
      </c>
      <c r="M1864" s="399" t="s">
        <v>176</v>
      </c>
      <c r="N1864" s="399">
        <f t="shared" si="5931"/>
        <v>4.4135</v>
      </c>
      <c r="O1864" s="399" t="s">
        <v>204</v>
      </c>
      <c r="P1864" s="389">
        <f t="shared" ref="P1864" si="5946">D1864-D1863</f>
        <v>0</v>
      </c>
      <c r="Q1864" s="399" t="s">
        <v>125</v>
      </c>
      <c r="R1864" s="399">
        <f t="shared" ref="R1864" si="5947">IF(P1864&gt;0,$F$18*F1864/1000,0)</f>
        <v>0</v>
      </c>
      <c r="S1864" s="399" t="s">
        <v>205</v>
      </c>
      <c r="T1864" s="399" t="s">
        <v>125</v>
      </c>
      <c r="U1864" s="401">
        <f t="shared" si="5934"/>
        <v>1.041885</v>
      </c>
      <c r="V1864" s="399"/>
      <c r="W1864" s="399"/>
      <c r="X1864" s="399" t="s">
        <v>125</v>
      </c>
      <c r="Y1864" s="389">
        <f t="shared" ref="Y1864" si="5948">D1861</f>
        <v>1</v>
      </c>
      <c r="Z1864" s="400" t="s">
        <v>176</v>
      </c>
      <c r="AA1864" s="402">
        <f t="shared" ref="AA1864" si="5949">IF(AA1865=0,(D1864*N1864+P1864*R1864)*U1864*Y1864,0)</f>
        <v>0</v>
      </c>
      <c r="AB1864" s="403"/>
    </row>
    <row r="1865" spans="1:28">
      <c r="A1865" s="384" t="str">
        <f t="shared" ref="A1865:B1865" si="5950">A1855</f>
        <v>Lantai 1</v>
      </c>
      <c r="B1865" s="385">
        <f t="shared" si="5950"/>
        <v>60</v>
      </c>
      <c r="C1865" s="393"/>
      <c r="D1865" s="398">
        <f t="shared" si="5848"/>
        <v>3</v>
      </c>
      <c r="E1865" s="388" t="s">
        <v>16</v>
      </c>
      <c r="F1865" s="388">
        <f t="shared" si="5849"/>
        <v>13</v>
      </c>
      <c r="G1865" s="388"/>
      <c r="H1865" s="395"/>
      <c r="I1865" s="388"/>
      <c r="J1865" s="396"/>
      <c r="K1865" s="396"/>
      <c r="L1865" s="404" t="s">
        <v>207</v>
      </c>
      <c r="M1865" s="399" t="s">
        <v>176</v>
      </c>
      <c r="N1865" s="399">
        <f t="shared" ref="N1865" si="5951">IF(AND(D1862=D1863,D1862=D1864,D1863=D1864,F1862=F1863,F1862=F1864,F1863=F1864),SUM(N1862:N1864),0)</f>
        <v>17.341999999999999</v>
      </c>
      <c r="O1865" s="399" t="s">
        <v>204</v>
      </c>
      <c r="P1865" s="389">
        <f t="shared" ref="P1865" si="5952">IF(N1865&gt;12,ROUNDDOWN(N1865/12,0),0)</f>
        <v>1</v>
      </c>
      <c r="Q1865" s="399" t="s">
        <v>125</v>
      </c>
      <c r="R1865" s="399">
        <f t="shared" ref="R1865" si="5953">IF(P1865&gt;0,MAX(VLOOKUP(F1865,$D$6:$G$15,3,FALSE),600),0)/1000</f>
        <v>0.65</v>
      </c>
      <c r="S1865" s="396"/>
      <c r="T1865" s="396" t="s">
        <v>125</v>
      </c>
      <c r="U1865" s="401">
        <f t="shared" si="5853"/>
        <v>1.041885</v>
      </c>
      <c r="V1865" s="396" t="s">
        <v>125</v>
      </c>
      <c r="W1865" s="399">
        <f t="shared" ref="W1865" si="5954">D1865</f>
        <v>3</v>
      </c>
      <c r="X1865" s="399" t="s">
        <v>125</v>
      </c>
      <c r="Y1865" s="389">
        <f t="shared" si="5855"/>
        <v>1</v>
      </c>
      <c r="Z1865" s="400" t="s">
        <v>176</v>
      </c>
      <c r="AA1865" s="402">
        <f t="shared" ref="AA1865" si="5955">(N1865+P1865*R1865/1000)*U1865*W1865*Y1865</f>
        <v>54.207140685749991</v>
      </c>
      <c r="AB1865" s="390"/>
    </row>
    <row r="1866" spans="1:28">
      <c r="A1866" s="384"/>
      <c r="B1866" s="385"/>
      <c r="C1866" s="393"/>
      <c r="D1866" s="398"/>
      <c r="E1866" s="388"/>
      <c r="F1866" s="388"/>
      <c r="G1866" s="388"/>
      <c r="H1866" s="395"/>
      <c r="I1866" s="388"/>
      <c r="J1866" s="396"/>
      <c r="K1866" s="396"/>
      <c r="L1866" s="404"/>
      <c r="M1866" s="399"/>
      <c r="N1866" s="399"/>
      <c r="O1866" s="396"/>
      <c r="P1866" s="389"/>
      <c r="Q1866" s="396"/>
      <c r="R1866" s="396"/>
      <c r="S1866" s="396"/>
      <c r="T1866" s="396"/>
      <c r="U1866" s="401"/>
      <c r="V1866" s="396"/>
      <c r="W1866" s="399"/>
      <c r="X1866" s="396"/>
      <c r="Y1866" s="389"/>
      <c r="Z1866" s="396"/>
      <c r="AA1866" s="388"/>
      <c r="AB1866" s="390"/>
    </row>
    <row r="1867" spans="1:28">
      <c r="A1867" s="384" t="str">
        <f t="shared" ref="A1867:B1867" si="5956">A1855</f>
        <v>Lantai 1</v>
      </c>
      <c r="B1867" s="385">
        <f t="shared" si="5956"/>
        <v>60</v>
      </c>
      <c r="C1867" s="393" t="s">
        <v>208</v>
      </c>
      <c r="D1867" s="398">
        <f>VLOOKUP(D1855,'Detail Balok'!$C$10:$AU$140,13,FALSE)</f>
        <v>0</v>
      </c>
      <c r="E1867" s="388" t="s">
        <v>16</v>
      </c>
      <c r="F1867" s="388">
        <f>VLOOKUP(D1855,'Detail Balok'!$C$10:$AU$140,15,FALSE)</f>
        <v>8</v>
      </c>
      <c r="G1867" s="388"/>
      <c r="H1867" s="395"/>
      <c r="I1867" s="388"/>
      <c r="J1867" s="399">
        <f t="shared" ref="J1867" si="5957">+D1857/1000</f>
        <v>17.03</v>
      </c>
      <c r="K1867" s="400" t="s">
        <v>204</v>
      </c>
      <c r="L1867" s="399">
        <f t="shared" ref="L1867" si="5958">2*$F$16*F1867/1000</f>
        <v>0.192</v>
      </c>
      <c r="M1867" s="399" t="s">
        <v>176</v>
      </c>
      <c r="N1867" s="399">
        <f t="shared" ref="N1867" si="5959">J1867+L1867</f>
        <v>17.222000000000001</v>
      </c>
      <c r="O1867" s="399" t="s">
        <v>204</v>
      </c>
      <c r="P1867" s="389">
        <f t="shared" ref="P1867" si="5960">IF(N1867&gt;12,ROUNDDOWN(N1867/12,0),0)</f>
        <v>1</v>
      </c>
      <c r="Q1867" s="399" t="s">
        <v>125</v>
      </c>
      <c r="R1867" s="399">
        <f t="shared" ref="R1867" si="5961">IF(P1867&gt;0,MAX(VLOOKUP(F1867,$D$6:$G$15,3,FALSE),600),0)/1000</f>
        <v>0.6</v>
      </c>
      <c r="S1867" s="399"/>
      <c r="T1867" s="399" t="s">
        <v>125</v>
      </c>
      <c r="U1867" s="401">
        <f t="shared" ref="U1867" si="5962">0.006165*F1867^2</f>
        <v>0.39456000000000002</v>
      </c>
      <c r="V1867" s="399" t="s">
        <v>125</v>
      </c>
      <c r="W1867" s="399">
        <f t="shared" ref="W1867" si="5963">+D1867</f>
        <v>0</v>
      </c>
      <c r="X1867" s="399" t="s">
        <v>125</v>
      </c>
      <c r="Y1867" s="389">
        <f t="shared" ref="Y1867" si="5964">D1861</f>
        <v>1</v>
      </c>
      <c r="Z1867" s="400" t="s">
        <v>176</v>
      </c>
      <c r="AA1867" s="402">
        <f t="shared" ref="AA1867" si="5965">(N1867+P1867*R1867/1000)*U1867*W1867*Y1867</f>
        <v>0</v>
      </c>
      <c r="AB1867" s="403"/>
    </row>
    <row r="1868" spans="1:28">
      <c r="A1868" s="384"/>
      <c r="B1868" s="385"/>
      <c r="C1868" s="393"/>
      <c r="D1868" s="398"/>
      <c r="E1868" s="388"/>
      <c r="F1868" s="388"/>
      <c r="G1868" s="388"/>
      <c r="H1868" s="395"/>
      <c r="I1868" s="388"/>
      <c r="J1868" s="399"/>
      <c r="K1868" s="400"/>
      <c r="L1868" s="399"/>
      <c r="M1868" s="399"/>
      <c r="N1868" s="399"/>
      <c r="O1868" s="399"/>
      <c r="P1868" s="389"/>
      <c r="Q1868" s="399"/>
      <c r="R1868" s="399"/>
      <c r="S1868" s="399"/>
      <c r="T1868" s="399"/>
      <c r="U1868" s="401"/>
      <c r="V1868" s="399"/>
      <c r="W1868" s="399"/>
      <c r="X1868" s="399"/>
      <c r="Y1868" s="389"/>
      <c r="Z1868" s="400"/>
      <c r="AA1868" s="402"/>
      <c r="AB1868" s="403"/>
    </row>
    <row r="1869" spans="1:28">
      <c r="A1869" s="384"/>
      <c r="B1869" s="385"/>
      <c r="C1869" s="393"/>
      <c r="D1869" s="398"/>
      <c r="E1869" s="388"/>
      <c r="F1869" s="388"/>
      <c r="G1869" s="388"/>
      <c r="H1869" s="395"/>
      <c r="I1869" s="388"/>
      <c r="J1869" s="396"/>
      <c r="K1869" s="396"/>
      <c r="L1869" s="396"/>
      <c r="M1869" s="396"/>
      <c r="N1869" s="396"/>
      <c r="O1869" s="396"/>
      <c r="P1869" s="389"/>
      <c r="Q1869" s="396"/>
      <c r="R1869" s="396"/>
      <c r="S1869" s="396"/>
      <c r="T1869" s="396"/>
      <c r="U1869" s="401"/>
      <c r="V1869" s="396"/>
      <c r="W1869" s="399"/>
      <c r="X1869" s="396"/>
      <c r="Y1869" s="389"/>
      <c r="Z1869" s="396"/>
      <c r="AA1869" s="388"/>
      <c r="AB1869" s="390"/>
    </row>
    <row r="1870" spans="1:28">
      <c r="A1870" s="384" t="str">
        <f t="shared" ref="A1870:B1870" si="5966">A1855</f>
        <v>Lantai 1</v>
      </c>
      <c r="B1870" s="385">
        <f t="shared" si="5966"/>
        <v>60</v>
      </c>
      <c r="C1870" s="393" t="s">
        <v>209</v>
      </c>
      <c r="D1870" s="398">
        <f>VLOOKUP(D1855,'Detail Balok'!$C$10:$AU$140,22,FALSE)</f>
        <v>3</v>
      </c>
      <c r="E1870" s="388" t="s">
        <v>16</v>
      </c>
      <c r="F1870" s="388">
        <f>VLOOKUP(D1855,'Detail Balok'!$C$10:$AU$140,24,FALSE)</f>
        <v>13</v>
      </c>
      <c r="G1870" s="388"/>
      <c r="H1870" s="395"/>
      <c r="I1870" s="388" t="s">
        <v>203</v>
      </c>
      <c r="J1870" s="399">
        <f t="shared" si="5868"/>
        <v>4.2575000000000003</v>
      </c>
      <c r="K1870" s="400" t="s">
        <v>204</v>
      </c>
      <c r="L1870" s="399">
        <f t="shared" ref="L1870" si="5967">MAX(VLOOKUP(F1870,N$6:P$15,3,FALSE)/1000,2/3*D1860/1000)+F$16*F1870/1000</f>
        <v>0.156</v>
      </c>
      <c r="M1870" s="399" t="s">
        <v>176</v>
      </c>
      <c r="N1870" s="399">
        <f t="shared" ref="N1870:N1872" si="5968">J1870+L1870</f>
        <v>4.4135</v>
      </c>
      <c r="O1870" s="399" t="s">
        <v>204</v>
      </c>
      <c r="P1870" s="389">
        <f t="shared" ref="P1870" si="5969">D1870-D1871</f>
        <v>0</v>
      </c>
      <c r="Q1870" s="399" t="s">
        <v>125</v>
      </c>
      <c r="R1870" s="399">
        <f t="shared" ref="R1870" si="5970">IF(P1870&gt;0,$F$18*F1870/1000,0)</f>
        <v>0</v>
      </c>
      <c r="S1870" s="399" t="s">
        <v>205</v>
      </c>
      <c r="T1870" s="399" t="s">
        <v>125</v>
      </c>
      <c r="U1870" s="401">
        <f t="shared" ref="U1870:U1872" si="5971">0.006165*F1870^2</f>
        <v>1.041885</v>
      </c>
      <c r="V1870" s="399"/>
      <c r="W1870" s="399"/>
      <c r="X1870" s="399" t="s">
        <v>125</v>
      </c>
      <c r="Y1870" s="389">
        <f t="shared" ref="Y1870" si="5972">D1861</f>
        <v>1</v>
      </c>
      <c r="Z1870" s="400" t="s">
        <v>176</v>
      </c>
      <c r="AA1870" s="402">
        <f t="shared" ref="AA1870" si="5973">IF(AA1873=0,(D1870*N1870+P1870*R1870)*U1870*Y1870,0)</f>
        <v>0</v>
      </c>
      <c r="AB1870" s="403"/>
    </row>
    <row r="1871" spans="1:28">
      <c r="A1871" s="384" t="str">
        <f t="shared" ref="A1871:B1871" si="5974">A1855</f>
        <v>Lantai 1</v>
      </c>
      <c r="B1871" s="385">
        <f t="shared" si="5974"/>
        <v>60</v>
      </c>
      <c r="C1871" s="393" t="s">
        <v>210</v>
      </c>
      <c r="D1871" s="398">
        <f>VLOOKUP(D1855,'Detail Balok'!$C$10:$AU$140,25,FALSE)</f>
        <v>3</v>
      </c>
      <c r="E1871" s="388" t="s">
        <v>16</v>
      </c>
      <c r="F1871" s="388">
        <f>VLOOKUP(D1855,'Detail Balok'!$C$10:$AU$140,27,FALSE)</f>
        <v>13</v>
      </c>
      <c r="G1871" s="388"/>
      <c r="H1871" s="395"/>
      <c r="I1871" s="388" t="s">
        <v>203</v>
      </c>
      <c r="J1871" s="399">
        <f t="shared" si="5868"/>
        <v>8.5150000000000006</v>
      </c>
      <c r="K1871" s="400" t="s">
        <v>204</v>
      </c>
      <c r="L1871" s="399"/>
      <c r="M1871" s="399" t="s">
        <v>176</v>
      </c>
      <c r="N1871" s="399">
        <f t="shared" si="5968"/>
        <v>8.5150000000000006</v>
      </c>
      <c r="O1871" s="399" t="s">
        <v>204</v>
      </c>
      <c r="P1871" s="389">
        <f t="shared" ref="P1871" si="5975">MAX(D1871-D1870,D1871-D1872)</f>
        <v>0</v>
      </c>
      <c r="Q1871" s="399" t="s">
        <v>125</v>
      </c>
      <c r="R1871" s="399">
        <f t="shared" ref="R1871" si="5976">IF(P1871&gt;0,2*(1-2*$F$19-1/2)*D1858/1000,0)</f>
        <v>0</v>
      </c>
      <c r="S1871" s="399" t="s">
        <v>205</v>
      </c>
      <c r="T1871" s="399" t="s">
        <v>125</v>
      </c>
      <c r="U1871" s="401">
        <f t="shared" si="5971"/>
        <v>1.041885</v>
      </c>
      <c r="V1871" s="399"/>
      <c r="W1871" s="399"/>
      <c r="X1871" s="399" t="s">
        <v>125</v>
      </c>
      <c r="Y1871" s="389">
        <f t="shared" ref="Y1871" si="5977">D1861</f>
        <v>1</v>
      </c>
      <c r="Z1871" s="400" t="s">
        <v>176</v>
      </c>
      <c r="AA1871" s="402">
        <f t="shared" ref="AA1871" si="5978">IF(AA1873=0,(D1871*N1871+P1871*R1871)*U1871*Y1871,0)</f>
        <v>0</v>
      </c>
      <c r="AB1871" s="403"/>
    </row>
    <row r="1872" spans="1:28">
      <c r="A1872" s="384" t="str">
        <f t="shared" ref="A1872:B1872" si="5979">A1855</f>
        <v>Lantai 1</v>
      </c>
      <c r="B1872" s="385">
        <f t="shared" si="5979"/>
        <v>60</v>
      </c>
      <c r="C1872" s="393" t="s">
        <v>209</v>
      </c>
      <c r="D1872" s="398">
        <f>VLOOKUP(D1855,'Detail Balok'!$C$10:$AU$140,28,FALSE)</f>
        <v>3</v>
      </c>
      <c r="E1872" s="388" t="s">
        <v>16</v>
      </c>
      <c r="F1872" s="388">
        <f>VLOOKUP(D1855,'Detail Balok'!$C$10:$AU$140,30,FALSE)</f>
        <v>13</v>
      </c>
      <c r="G1872" s="388"/>
      <c r="H1872" s="395"/>
      <c r="I1872" s="388" t="s">
        <v>203</v>
      </c>
      <c r="J1872" s="399">
        <f t="shared" si="5868"/>
        <v>4.2575000000000003</v>
      </c>
      <c r="K1872" s="400" t="s">
        <v>204</v>
      </c>
      <c r="L1872" s="399">
        <f t="shared" ref="L1872" si="5980">MAX(VLOOKUP(F1872,N$6:P$15,3,FALSE)/1000,2/3*D1860/1000)+F$16*F1872/1000</f>
        <v>0.156</v>
      </c>
      <c r="M1872" s="399" t="s">
        <v>176</v>
      </c>
      <c r="N1872" s="399">
        <f t="shared" si="5968"/>
        <v>4.4135</v>
      </c>
      <c r="O1872" s="399" t="s">
        <v>204</v>
      </c>
      <c r="P1872" s="389">
        <f t="shared" ref="P1872" si="5981">D1872-D1871</f>
        <v>0</v>
      </c>
      <c r="Q1872" s="399" t="s">
        <v>125</v>
      </c>
      <c r="R1872" s="399">
        <f t="shared" ref="R1872" si="5982">IF(P1872&gt;0,$F$18*F1872/1000,0)</f>
        <v>0</v>
      </c>
      <c r="S1872" s="399" t="s">
        <v>205</v>
      </c>
      <c r="T1872" s="399" t="s">
        <v>125</v>
      </c>
      <c r="U1872" s="401">
        <f t="shared" si="5971"/>
        <v>1.041885</v>
      </c>
      <c r="V1872" s="399"/>
      <c r="W1872" s="399"/>
      <c r="X1872" s="399" t="s">
        <v>125</v>
      </c>
      <c r="Y1872" s="389">
        <f t="shared" ref="Y1872" si="5983">D1861</f>
        <v>1</v>
      </c>
      <c r="Z1872" s="400" t="s">
        <v>176</v>
      </c>
      <c r="AA1872" s="402">
        <f t="shared" ref="AA1872" si="5984">IF(AA1873=0,(D1872*N1872+P1872*R1872)*U1872*Y1872,0)</f>
        <v>0</v>
      </c>
      <c r="AB1872" s="403"/>
    </row>
    <row r="1873" spans="1:28">
      <c r="A1873" s="384" t="str">
        <f t="shared" ref="A1873:B1873" si="5985">A1855</f>
        <v>Lantai 1</v>
      </c>
      <c r="B1873" s="385">
        <f t="shared" si="5985"/>
        <v>60</v>
      </c>
      <c r="C1873" s="393"/>
      <c r="D1873" s="398">
        <f t="shared" si="5888"/>
        <v>3</v>
      </c>
      <c r="E1873" s="388" t="s">
        <v>16</v>
      </c>
      <c r="F1873" s="388">
        <f t="shared" si="5889"/>
        <v>13</v>
      </c>
      <c r="G1873" s="388"/>
      <c r="H1873" s="395"/>
      <c r="I1873" s="388"/>
      <c r="J1873" s="396"/>
      <c r="K1873" s="396"/>
      <c r="L1873" s="404" t="s">
        <v>207</v>
      </c>
      <c r="M1873" s="399" t="s">
        <v>176</v>
      </c>
      <c r="N1873" s="399">
        <f t="shared" ref="N1873" si="5986">IF(AND(D1870=D1871,D1870=D1872,D1871=D1872,F1870=F1871,F1870=F1872,F1871=F1872),SUM(N1870:N1872),0)</f>
        <v>17.341999999999999</v>
      </c>
      <c r="O1873" s="399" t="s">
        <v>204</v>
      </c>
      <c r="P1873" s="389">
        <f t="shared" ref="P1873" si="5987">IF(N1873&gt;12,ROUNDDOWN(N1873/12,0),0)</f>
        <v>1</v>
      </c>
      <c r="Q1873" s="399" t="s">
        <v>125</v>
      </c>
      <c r="R1873" s="399">
        <f t="shared" ref="R1873" si="5988">IF(P1873&gt;0,MAX(VLOOKUP(F1873,$D$6:$G$15,3,FALSE),600),0)/1000</f>
        <v>0.65</v>
      </c>
      <c r="S1873" s="396"/>
      <c r="T1873" s="396" t="s">
        <v>125</v>
      </c>
      <c r="U1873" s="401">
        <f t="shared" si="5893"/>
        <v>1.041885</v>
      </c>
      <c r="V1873" s="396" t="s">
        <v>125</v>
      </c>
      <c r="W1873" s="399">
        <f t="shared" ref="W1873" si="5989">D1873</f>
        <v>3</v>
      </c>
      <c r="X1873" s="399" t="s">
        <v>125</v>
      </c>
      <c r="Y1873" s="389">
        <f t="shared" si="5895"/>
        <v>1</v>
      </c>
      <c r="Z1873" s="400" t="s">
        <v>176</v>
      </c>
      <c r="AA1873" s="402">
        <f t="shared" ref="AA1873" si="5990">(N1873+P1873*R1873/1000)*U1873*W1873*Y1873</f>
        <v>54.207140685749991</v>
      </c>
      <c r="AB1873" s="403"/>
    </row>
    <row r="1874" spans="1:28">
      <c r="A1874" s="384"/>
      <c r="B1874" s="385"/>
      <c r="C1874" s="393"/>
      <c r="D1874" s="394"/>
      <c r="E1874" s="388"/>
      <c r="F1874" s="388"/>
      <c r="G1874" s="388"/>
      <c r="H1874" s="395"/>
      <c r="I1874" s="388"/>
      <c r="J1874" s="399"/>
      <c r="K1874" s="396"/>
      <c r="L1874" s="396"/>
      <c r="M1874" s="396"/>
      <c r="N1874" s="396"/>
      <c r="O1874" s="396"/>
      <c r="P1874" s="389"/>
      <c r="Q1874" s="396"/>
      <c r="R1874" s="396"/>
      <c r="S1874" s="396"/>
      <c r="T1874" s="396"/>
      <c r="U1874" s="401"/>
      <c r="V1874" s="396"/>
      <c r="W1874" s="388"/>
      <c r="X1874" s="396"/>
      <c r="Y1874" s="389"/>
      <c r="Z1874" s="396"/>
      <c r="AA1874" s="388"/>
      <c r="AB1874" s="390"/>
    </row>
    <row r="1875" spans="1:28">
      <c r="A1875" s="384" t="str">
        <f t="shared" ref="A1875:B1875" si="5991">A1855</f>
        <v>Lantai 1</v>
      </c>
      <c r="B1875" s="385">
        <f t="shared" si="5991"/>
        <v>60</v>
      </c>
      <c r="C1875" s="393" t="s">
        <v>211</v>
      </c>
      <c r="D1875" s="398">
        <f>VLOOKUP(D1855,'Detail Balok'!$C$10:$AU$140,31,FALSE)</f>
        <v>0</v>
      </c>
      <c r="E1875" s="388" t="s">
        <v>16</v>
      </c>
      <c r="F1875" s="388">
        <f>VLOOKUP(D1855,'Detail Balok'!$C$10:$AU$140,33,FALSE)</f>
        <v>8</v>
      </c>
      <c r="G1875" s="405" t="s">
        <v>157</v>
      </c>
      <c r="H1875" s="395">
        <f>VLOOKUP(D1855,'Detail Balok'!$C$10:$AU$140,35,FALSE)</f>
        <v>150</v>
      </c>
      <c r="I1875" s="388"/>
      <c r="J1875" s="400">
        <f t="shared" ref="J1875" si="5992">(IF(D1875=0,(2*(D1856+G1856))-(F$5*8),IF(D1875=3,(2*(D1856+G1856))-(F$5*8)+(G1856-2*F$5),IF(D1875=4,(2*(D1856+G1856))-(F$5*8)+2*(G1856-2*F$5)))))/1000</f>
        <v>0.88</v>
      </c>
      <c r="K1875" s="400" t="s">
        <v>204</v>
      </c>
      <c r="L1875" s="399">
        <f t="shared" ref="L1875:L1877" si="5993">IF(D1875=0,2*MAX(6*F1875,75),(D1875-1)*2*MAX(6*F1875,75))/1000</f>
        <v>0.15</v>
      </c>
      <c r="M1875" s="399" t="s">
        <v>176</v>
      </c>
      <c r="N1875" s="399">
        <f t="shared" ref="N1875:N1877" si="5994">J1875+L1875</f>
        <v>1.03</v>
      </c>
      <c r="O1875" s="399"/>
      <c r="P1875" s="389"/>
      <c r="Q1875" s="399"/>
      <c r="R1875" s="399"/>
      <c r="S1875" s="399"/>
      <c r="T1875" s="399" t="s">
        <v>125</v>
      </c>
      <c r="U1875" s="401">
        <f t="shared" ref="U1875:U1877" si="5995">0.006165*F1875^2</f>
        <v>0.39456000000000002</v>
      </c>
      <c r="V1875" s="399" t="s">
        <v>125</v>
      </c>
      <c r="W1875" s="399">
        <f t="shared" ref="W1875" si="5996">IF(D1858&gt;4*G1856,ROUND(MAX(D1858/4,2*G1856)/H1875,0)+1,ROUND(D1858/H1875,0)+1)</f>
        <v>29</v>
      </c>
      <c r="X1875" s="399" t="s">
        <v>125</v>
      </c>
      <c r="Y1875" s="389">
        <f t="shared" ref="Y1875" si="5997">D1861</f>
        <v>1</v>
      </c>
      <c r="Z1875" s="400" t="s">
        <v>176</v>
      </c>
      <c r="AA1875" s="402">
        <f t="shared" ref="AA1875:AA1877" si="5998">N1875*U1875*W1875*Y1875</f>
        <v>11.785507200000001</v>
      </c>
      <c r="AB1875" s="403"/>
    </row>
    <row r="1876" spans="1:28">
      <c r="A1876" s="384" t="str">
        <f t="shared" ref="A1876:B1876" si="5999">A1855</f>
        <v>Lantai 1</v>
      </c>
      <c r="B1876" s="385">
        <f t="shared" si="5999"/>
        <v>60</v>
      </c>
      <c r="C1876" s="393" t="s">
        <v>212</v>
      </c>
      <c r="D1876" s="398">
        <f>VLOOKUP(D1855,'Detail Balok'!$C$10:$AU$140,36,FALSE)</f>
        <v>0</v>
      </c>
      <c r="E1876" s="388" t="s">
        <v>16</v>
      </c>
      <c r="F1876" s="388">
        <f>VLOOKUP(D1855,'Detail Balok'!$C$10:$AU$140,38,FALSE)</f>
        <v>8</v>
      </c>
      <c r="G1876" s="405" t="s">
        <v>157</v>
      </c>
      <c r="H1876" s="395">
        <f>VLOOKUP(D1855,'Detail Balok'!$C$10:$AU$140,40,FALSE)</f>
        <v>200</v>
      </c>
      <c r="I1876" s="388"/>
      <c r="J1876" s="400">
        <f t="shared" ref="J1876" si="6000">(IF(D1876=0,(2*(D1856+G1856))-(F$5*8),IF(D1876=3,(2*(D1856+G1856))-(F$5*8)+(G1856-2*F$5),IF(D1876=4,(2*(D1856+G1856))-(F$5*8)+2*(G1856-2*F$5)))))/1000</f>
        <v>0.88</v>
      </c>
      <c r="K1876" s="400" t="s">
        <v>204</v>
      </c>
      <c r="L1876" s="399">
        <f t="shared" si="5993"/>
        <v>0.15</v>
      </c>
      <c r="M1876" s="399" t="s">
        <v>176</v>
      </c>
      <c r="N1876" s="399">
        <f t="shared" si="5994"/>
        <v>1.03</v>
      </c>
      <c r="O1876" s="399"/>
      <c r="P1876" s="389"/>
      <c r="Q1876" s="399"/>
      <c r="R1876" s="399"/>
      <c r="S1876" s="399"/>
      <c r="T1876" s="399" t="s">
        <v>125</v>
      </c>
      <c r="U1876" s="401">
        <f t="shared" si="5995"/>
        <v>0.39456000000000002</v>
      </c>
      <c r="V1876" s="399" t="s">
        <v>125</v>
      </c>
      <c r="W1876" s="399">
        <f t="shared" ref="W1876" si="6001">IF(D1858-MAX(D1858/4,2*G1856)*2&gt;0,ROUND((D1858-MAX(D1858/4,2*G1856)*2)/H1876,0),0)</f>
        <v>43</v>
      </c>
      <c r="X1876" s="399" t="s">
        <v>125</v>
      </c>
      <c r="Y1876" s="389">
        <f t="shared" ref="Y1876" si="6002">D1861</f>
        <v>1</v>
      </c>
      <c r="Z1876" s="400" t="s">
        <v>176</v>
      </c>
      <c r="AA1876" s="402">
        <f t="shared" si="5998"/>
        <v>17.475062400000002</v>
      </c>
      <c r="AB1876" s="403"/>
    </row>
    <row r="1877" spans="1:28">
      <c r="A1877" s="384" t="str">
        <f t="shared" ref="A1877:B1877" si="6003">A1855</f>
        <v>Lantai 1</v>
      </c>
      <c r="B1877" s="385">
        <f t="shared" si="6003"/>
        <v>60</v>
      </c>
      <c r="C1877" s="393" t="s">
        <v>211</v>
      </c>
      <c r="D1877" s="398">
        <f>VLOOKUP(D1855,'Detail Balok'!$C$10:$AU$140,41,FALSE)</f>
        <v>0</v>
      </c>
      <c r="E1877" s="388" t="s">
        <v>16</v>
      </c>
      <c r="F1877" s="388">
        <f>VLOOKUP(D1855,'Detail Balok'!$C$10:$AU$140,43,FALSE)</f>
        <v>8</v>
      </c>
      <c r="G1877" s="405" t="s">
        <v>157</v>
      </c>
      <c r="H1877" s="395">
        <f>VLOOKUP(D1855,'Detail Balok'!$C$10:$AU$140,45,FALSE)</f>
        <v>150</v>
      </c>
      <c r="I1877" s="388"/>
      <c r="J1877" s="400">
        <f t="shared" ref="J1877" si="6004">(IF(D1877=0,(2*(D1856+G1856))-(F$5*8),IF(D1877=3,(2*(D1856+G1856))-(F$5*8)+(G1856-2*F$5),IF(D1877=4,(2*(D1856+G1856))-(F$5*8)+2*(G1856-2*F$5)))))/1000</f>
        <v>0.88</v>
      </c>
      <c r="K1877" s="400" t="s">
        <v>204</v>
      </c>
      <c r="L1877" s="399">
        <f t="shared" si="5993"/>
        <v>0.15</v>
      </c>
      <c r="M1877" s="399" t="s">
        <v>176</v>
      </c>
      <c r="N1877" s="399">
        <f t="shared" si="5994"/>
        <v>1.03</v>
      </c>
      <c r="O1877" s="399"/>
      <c r="P1877" s="389"/>
      <c r="Q1877" s="399"/>
      <c r="R1877" s="399"/>
      <c r="S1877" s="399"/>
      <c r="T1877" s="399" t="s">
        <v>125</v>
      </c>
      <c r="U1877" s="401">
        <f t="shared" si="5995"/>
        <v>0.39456000000000002</v>
      </c>
      <c r="V1877" s="399" t="s">
        <v>125</v>
      </c>
      <c r="W1877" s="399">
        <f t="shared" ref="W1877" si="6005">IF(D1858&gt;4*G1856,ROUND(MAX(D1858/4,2*G1856)/H1877,0)+1,0)</f>
        <v>29</v>
      </c>
      <c r="X1877" s="399" t="s">
        <v>125</v>
      </c>
      <c r="Y1877" s="389">
        <f t="shared" ref="Y1877" si="6006">D1861</f>
        <v>1</v>
      </c>
      <c r="Z1877" s="400" t="s">
        <v>176</v>
      </c>
      <c r="AA1877" s="402">
        <f t="shared" si="5998"/>
        <v>11.785507200000001</v>
      </c>
      <c r="AB1877" s="403"/>
    </row>
    <row r="1878" spans="1:28">
      <c r="A1878" s="384"/>
      <c r="B1878" s="385"/>
      <c r="C1878" s="393"/>
      <c r="D1878" s="394"/>
      <c r="E1878" s="388"/>
      <c r="F1878" s="388"/>
      <c r="G1878" s="388"/>
      <c r="H1878" s="395"/>
      <c r="I1878" s="388"/>
      <c r="J1878" s="399"/>
      <c r="K1878" s="396"/>
      <c r="L1878" s="396"/>
      <c r="M1878" s="396"/>
      <c r="N1878" s="396"/>
      <c r="O1878" s="396"/>
      <c r="P1878" s="389"/>
      <c r="Q1878" s="396"/>
      <c r="R1878" s="396"/>
      <c r="S1878" s="396"/>
      <c r="T1878" s="396"/>
      <c r="U1878" s="401"/>
      <c r="V1878" s="396"/>
      <c r="W1878" s="388"/>
      <c r="X1878" s="396"/>
      <c r="Y1878" s="389"/>
      <c r="Z1878" s="396"/>
      <c r="AA1878" s="388"/>
      <c r="AB1878" s="390"/>
    </row>
    <row r="1879" spans="1:28">
      <c r="A1879" s="384" t="str">
        <f t="shared" ref="A1879:B1879" si="6007">A1855</f>
        <v>Lantai 1</v>
      </c>
      <c r="B1879" s="385">
        <f t="shared" si="6007"/>
        <v>60</v>
      </c>
      <c r="C1879" s="393" t="s">
        <v>213</v>
      </c>
      <c r="D1879" s="398">
        <f>VLOOKUP(D1855,'Detail Balok'!$C$10:$BJ$140,46,FALSE)</f>
        <v>0</v>
      </c>
      <c r="E1879" s="388" t="s">
        <v>16</v>
      </c>
      <c r="F1879" s="388">
        <f>VLOOKUP(D1855,'Detail Balok'!$C$10:$BJ$140,48,FALSE)</f>
        <v>0</v>
      </c>
      <c r="G1879" s="405" t="s">
        <v>157</v>
      </c>
      <c r="H1879" s="395">
        <f>VLOOKUP(D1855,'Detail Balok'!$C$10:$BJ$140,50,FALSE)</f>
        <v>100</v>
      </c>
      <c r="I1879" s="388"/>
      <c r="J1879" s="399">
        <f t="shared" ref="J1879" si="6008">(D1856-2*F$5)/1000</f>
        <v>0.12</v>
      </c>
      <c r="K1879" s="400" t="s">
        <v>204</v>
      </c>
      <c r="L1879" s="399">
        <f t="shared" ref="L1879:L1881" si="6009">IF(D1879=0,2*MAX(6*F1879,75),(D1879-1)*2*MAX(6*F1879,75))/1000</f>
        <v>0.15</v>
      </c>
      <c r="M1879" s="399" t="s">
        <v>176</v>
      </c>
      <c r="N1879" s="399">
        <f t="shared" ref="N1879:N1881" si="6010">J1879+L1879</f>
        <v>0.27</v>
      </c>
      <c r="O1879" s="399"/>
      <c r="P1879" s="399"/>
      <c r="Q1879" s="399"/>
      <c r="R1879" s="399"/>
      <c r="S1879" s="399"/>
      <c r="T1879" s="399" t="s">
        <v>125</v>
      </c>
      <c r="U1879" s="401">
        <f t="shared" ref="U1879:U1881" si="6011">0.006165*F1879^2</f>
        <v>0</v>
      </c>
      <c r="V1879" s="399" t="s">
        <v>125</v>
      </c>
      <c r="W1879" s="399">
        <f t="shared" si="5918"/>
        <v>29</v>
      </c>
      <c r="X1879" s="399" t="s">
        <v>125</v>
      </c>
      <c r="Y1879" s="389">
        <f t="shared" ref="Y1879" si="6012">D1865</f>
        <v>3</v>
      </c>
      <c r="Z1879" s="400" t="s">
        <v>176</v>
      </c>
      <c r="AA1879" s="402">
        <f t="shared" ref="AA1879:AA1881" si="6013">N1879*U1879*W1879*Y1879</f>
        <v>0</v>
      </c>
      <c r="AB1879" s="403"/>
    </row>
    <row r="1880" spans="1:28">
      <c r="A1880" s="384" t="str">
        <f t="shared" ref="A1880:B1880" si="6014">A1855</f>
        <v>Lantai 1</v>
      </c>
      <c r="B1880" s="385">
        <f t="shared" si="6014"/>
        <v>60</v>
      </c>
      <c r="C1880" s="393" t="s">
        <v>214</v>
      </c>
      <c r="D1880" s="398">
        <f>VLOOKUP(D1855,'Detail Balok'!$C$10:$BJ$140,51,FALSE)</f>
        <v>0</v>
      </c>
      <c r="E1880" s="388" t="s">
        <v>16</v>
      </c>
      <c r="F1880" s="388">
        <f>VLOOKUP(D1855,'Detail Balok'!$C$10:$BJ$140,53,FALSE)</f>
        <v>0</v>
      </c>
      <c r="G1880" s="405" t="s">
        <v>157</v>
      </c>
      <c r="H1880" s="395">
        <f>VLOOKUP(D1855,'Detail Balok'!$C$10:$BJ$140,55,FALSE)</f>
        <v>100</v>
      </c>
      <c r="I1880" s="388"/>
      <c r="J1880" s="399">
        <f t="shared" ref="J1880" si="6015">(D1856-2*F$5)/1000</f>
        <v>0.12</v>
      </c>
      <c r="K1880" s="400" t="s">
        <v>204</v>
      </c>
      <c r="L1880" s="399">
        <f t="shared" si="6009"/>
        <v>0.15</v>
      </c>
      <c r="M1880" s="399" t="s">
        <v>176</v>
      </c>
      <c r="N1880" s="399">
        <f t="shared" si="6010"/>
        <v>0.27</v>
      </c>
      <c r="O1880" s="399"/>
      <c r="P1880" s="399"/>
      <c r="Q1880" s="399"/>
      <c r="R1880" s="399"/>
      <c r="S1880" s="399"/>
      <c r="T1880" s="399" t="s">
        <v>125</v>
      </c>
      <c r="U1880" s="401">
        <f t="shared" si="6011"/>
        <v>0</v>
      </c>
      <c r="V1880" s="399" t="s">
        <v>125</v>
      </c>
      <c r="W1880" s="399">
        <f t="shared" si="5918"/>
        <v>43</v>
      </c>
      <c r="X1880" s="399" t="s">
        <v>125</v>
      </c>
      <c r="Y1880" s="389">
        <f t="shared" ref="Y1880" si="6016">D1865</f>
        <v>3</v>
      </c>
      <c r="Z1880" s="400" t="s">
        <v>176</v>
      </c>
      <c r="AA1880" s="402">
        <f t="shared" si="6013"/>
        <v>0</v>
      </c>
      <c r="AB1880" s="403"/>
    </row>
    <row r="1881" spans="1:28">
      <c r="A1881" s="384" t="str">
        <f t="shared" ref="A1881:B1881" si="6017">A1855</f>
        <v>Lantai 1</v>
      </c>
      <c r="B1881" s="385">
        <f t="shared" si="6017"/>
        <v>60</v>
      </c>
      <c r="C1881" s="393" t="s">
        <v>213</v>
      </c>
      <c r="D1881" s="398">
        <f>VLOOKUP(D1855,'Detail Balok'!$C$10:$BJ$140,56,FALSE)</f>
        <v>0</v>
      </c>
      <c r="E1881" s="388" t="s">
        <v>16</v>
      </c>
      <c r="F1881" s="388">
        <f>VLOOKUP(D1855,'Detail Balok'!$C$10:$BJ$140,58,FALSE)</f>
        <v>0</v>
      </c>
      <c r="G1881" s="405" t="s">
        <v>157</v>
      </c>
      <c r="H1881" s="395">
        <f>VLOOKUP(D1855,'Detail Balok'!$C$10:$BJ$140,60,FALSE)</f>
        <v>100</v>
      </c>
      <c r="I1881" s="388"/>
      <c r="J1881" s="399">
        <f t="shared" ref="J1881" si="6018">(D1856-2*F$5)/1000</f>
        <v>0.12</v>
      </c>
      <c r="K1881" s="400" t="s">
        <v>204</v>
      </c>
      <c r="L1881" s="399">
        <f t="shared" si="6009"/>
        <v>0.15</v>
      </c>
      <c r="M1881" s="399" t="s">
        <v>176</v>
      </c>
      <c r="N1881" s="399">
        <f t="shared" si="6010"/>
        <v>0.27</v>
      </c>
      <c r="O1881" s="399"/>
      <c r="P1881" s="399"/>
      <c r="Q1881" s="399"/>
      <c r="R1881" s="399"/>
      <c r="S1881" s="399"/>
      <c r="T1881" s="399" t="s">
        <v>125</v>
      </c>
      <c r="U1881" s="401">
        <f t="shared" si="6011"/>
        <v>0</v>
      </c>
      <c r="V1881" s="399" t="s">
        <v>125</v>
      </c>
      <c r="W1881" s="399">
        <f t="shared" si="5918"/>
        <v>29</v>
      </c>
      <c r="X1881" s="399" t="s">
        <v>125</v>
      </c>
      <c r="Y1881" s="389">
        <f t="shared" ref="Y1881" si="6019">D1865</f>
        <v>3</v>
      </c>
      <c r="Z1881" s="400" t="s">
        <v>176</v>
      </c>
      <c r="AA1881" s="402">
        <f t="shared" si="6013"/>
        <v>0</v>
      </c>
      <c r="AB1881" s="403"/>
    </row>
    <row r="1882" spans="1:28">
      <c r="A1882" s="391"/>
      <c r="B1882" s="392"/>
      <c r="C1882" s="392"/>
      <c r="D1882" s="394"/>
      <c r="E1882" s="388"/>
      <c r="F1882" s="388"/>
      <c r="G1882" s="388"/>
      <c r="H1882" s="395"/>
      <c r="I1882" s="388"/>
      <c r="J1882" s="402"/>
      <c r="K1882" s="388"/>
      <c r="L1882" s="388"/>
      <c r="M1882" s="388"/>
      <c r="N1882" s="388"/>
      <c r="O1882" s="388"/>
      <c r="P1882" s="388"/>
      <c r="Q1882" s="388"/>
      <c r="R1882" s="388"/>
      <c r="S1882" s="388"/>
      <c r="T1882" s="388"/>
      <c r="U1882" s="388"/>
      <c r="V1882" s="388"/>
      <c r="W1882" s="388"/>
      <c r="X1882" s="388"/>
      <c r="Y1882" s="389"/>
      <c r="Z1882" s="388"/>
      <c r="AA1882" s="402"/>
      <c r="AB1882" s="403"/>
    </row>
    <row r="1883" spans="1:28" ht="15.75" thickBot="1">
      <c r="A1883" s="406"/>
      <c r="B1883" s="407"/>
      <c r="C1883" s="407"/>
      <c r="D1883" s="408"/>
      <c r="E1883" s="409"/>
      <c r="F1883" s="409"/>
      <c r="G1883" s="409"/>
      <c r="H1883" s="410"/>
      <c r="I1883" s="409"/>
      <c r="J1883" s="409"/>
      <c r="K1883" s="409"/>
      <c r="L1883" s="409"/>
      <c r="M1883" s="409"/>
      <c r="N1883" s="409"/>
      <c r="O1883" s="409"/>
      <c r="P1883" s="409"/>
      <c r="Q1883" s="409"/>
      <c r="R1883" s="409"/>
      <c r="S1883" s="409"/>
      <c r="T1883" s="409"/>
      <c r="U1883" s="409"/>
      <c r="V1883" s="409"/>
      <c r="W1883" s="409"/>
      <c r="X1883" s="409"/>
      <c r="Y1883" s="411"/>
      <c r="Z1883" s="409"/>
      <c r="AA1883" s="412"/>
      <c r="AB1883" s="413"/>
    </row>
    <row r="1884" spans="1:28">
      <c r="A1884" s="377"/>
      <c r="B1884" s="378"/>
      <c r="C1884" s="378"/>
      <c r="D1884" s="379"/>
      <c r="E1884" s="380"/>
      <c r="F1884" s="380"/>
      <c r="G1884" s="380"/>
      <c r="H1884" s="381"/>
      <c r="I1884" s="380"/>
      <c r="J1884" s="380"/>
      <c r="K1884" s="380"/>
      <c r="L1884" s="380"/>
      <c r="M1884" s="380"/>
      <c r="N1884" s="380"/>
      <c r="O1884" s="380"/>
      <c r="P1884" s="380"/>
      <c r="Q1884" s="380"/>
      <c r="R1884" s="380"/>
      <c r="S1884" s="380"/>
      <c r="T1884" s="380"/>
      <c r="U1884" s="380"/>
      <c r="V1884" s="380"/>
      <c r="W1884" s="380"/>
      <c r="X1884" s="380"/>
      <c r="Y1884" s="382"/>
      <c r="Z1884" s="380"/>
      <c r="AA1884" s="380"/>
      <c r="AB1884" s="383"/>
    </row>
    <row r="1885" spans="1:28">
      <c r="A1885" s="384" t="str">
        <f t="shared" si="5822"/>
        <v>Lantai 1</v>
      </c>
      <c r="B1885" s="385">
        <f t="shared" si="5823"/>
        <v>61</v>
      </c>
      <c r="C1885" s="386" t="str">
        <f t="shared" ref="C1885" si="6020">CONCATENATE(A1885," no. ",B1885)</f>
        <v>Lantai 1 no. 61</v>
      </c>
      <c r="D1885" s="2562" t="str">
        <f>VLOOKUP(C1885,'Data Panjang Balok'!$C$9:$N$254,2,FALSE)</f>
        <v>S24-1</v>
      </c>
      <c r="E1885" s="2576"/>
      <c r="F1885" s="2576"/>
      <c r="G1885" s="2576"/>
      <c r="H1885" s="2577"/>
      <c r="I1885" s="387"/>
      <c r="J1885" s="388"/>
      <c r="K1885" s="388"/>
      <c r="L1885" s="388"/>
      <c r="M1885" s="388"/>
      <c r="N1885" s="388"/>
      <c r="O1885" s="388"/>
      <c r="P1885" s="388"/>
      <c r="Q1885" s="388"/>
      <c r="R1885" s="388"/>
      <c r="S1885" s="388"/>
      <c r="T1885" s="388"/>
      <c r="U1885" s="388"/>
      <c r="V1885" s="388"/>
      <c r="W1885" s="388"/>
      <c r="X1885" s="388"/>
      <c r="Y1885" s="389"/>
      <c r="Z1885" s="388"/>
      <c r="AA1885" s="388"/>
      <c r="AB1885" s="390"/>
    </row>
    <row r="1886" spans="1:28">
      <c r="A1886" s="391"/>
      <c r="B1886" s="392"/>
      <c r="C1886" s="393" t="s">
        <v>118</v>
      </c>
      <c r="D1886" s="2578">
        <f>VLOOKUP(D1885,'Detail Balok'!$C$10:$AU$140,2,FALSE)</f>
        <v>200</v>
      </c>
      <c r="E1886" s="2579"/>
      <c r="F1886" s="388" t="s">
        <v>125</v>
      </c>
      <c r="G1886" s="2579">
        <f>VLOOKUP(D1885,'Detail Balok'!$C$10:$AU$140,3,FALSE)</f>
        <v>400</v>
      </c>
      <c r="H1886" s="2580"/>
      <c r="I1886" s="388"/>
      <c r="J1886" s="396"/>
      <c r="K1886" s="396"/>
      <c r="L1886" s="396"/>
      <c r="M1886" s="396"/>
      <c r="N1886" s="396"/>
      <c r="O1886" s="396"/>
      <c r="P1886" s="396"/>
      <c r="Q1886" s="396"/>
      <c r="R1886" s="396"/>
      <c r="S1886" s="396"/>
      <c r="T1886" s="396"/>
      <c r="U1886" s="388"/>
      <c r="V1886" s="396"/>
      <c r="W1886" s="388"/>
      <c r="X1886" s="396"/>
      <c r="Y1886" s="389"/>
      <c r="Z1886" s="396"/>
      <c r="AA1886" s="388"/>
      <c r="AB1886" s="390"/>
    </row>
    <row r="1887" spans="1:28">
      <c r="A1887" s="391"/>
      <c r="B1887" s="392"/>
      <c r="C1887" s="393" t="s">
        <v>198</v>
      </c>
      <c r="D1887" s="2562">
        <f>VLOOKUP(C1885,'Data Panjang Balok'!$C$9:$N$254,4,FALSE)</f>
        <v>5675</v>
      </c>
      <c r="E1887" s="2563"/>
      <c r="F1887" s="2563"/>
      <c r="G1887" s="2563"/>
      <c r="H1887" s="2564"/>
      <c r="I1887" s="397"/>
      <c r="J1887" s="396"/>
      <c r="K1887" s="396"/>
      <c r="L1887" s="396"/>
      <c r="M1887" s="396"/>
      <c r="N1887" s="396"/>
      <c r="O1887" s="396"/>
      <c r="P1887" s="396"/>
      <c r="Q1887" s="396"/>
      <c r="R1887" s="396"/>
      <c r="S1887" s="396"/>
      <c r="T1887" s="396"/>
      <c r="U1887" s="388"/>
      <c r="V1887" s="396"/>
      <c r="W1887" s="388"/>
      <c r="X1887" s="396"/>
      <c r="Y1887" s="389"/>
      <c r="Z1887" s="396"/>
      <c r="AA1887" s="388"/>
      <c r="AB1887" s="390"/>
    </row>
    <row r="1888" spans="1:28">
      <c r="A1888" s="391"/>
      <c r="B1888" s="392"/>
      <c r="C1888" s="393" t="s">
        <v>199</v>
      </c>
      <c r="D1888" s="2562">
        <f>VLOOKUP(C1885,'Data Panjang Balok'!$C$9:$N$254,7,FALSE)</f>
        <v>5675</v>
      </c>
      <c r="E1888" s="2563"/>
      <c r="F1888" s="2563"/>
      <c r="G1888" s="2563"/>
      <c r="H1888" s="2564"/>
      <c r="I1888" s="397"/>
      <c r="J1888" s="396"/>
      <c r="K1888" s="396"/>
      <c r="L1888" s="396"/>
      <c r="M1888" s="396"/>
      <c r="N1888" s="396"/>
      <c r="O1888" s="396"/>
      <c r="P1888" s="396"/>
      <c r="Q1888" s="396"/>
      <c r="R1888" s="396"/>
      <c r="S1888" s="396"/>
      <c r="T1888" s="396"/>
      <c r="U1888" s="388"/>
      <c r="V1888" s="396"/>
      <c r="W1888" s="388"/>
      <c r="X1888" s="396"/>
      <c r="Y1888" s="389"/>
      <c r="Z1888" s="396"/>
      <c r="AA1888" s="388"/>
      <c r="AB1888" s="390"/>
    </row>
    <row r="1889" spans="1:28">
      <c r="A1889" s="391"/>
      <c r="B1889" s="392"/>
      <c r="C1889" s="393" t="s">
        <v>200</v>
      </c>
      <c r="D1889" s="2562">
        <f>VLOOKUP(C1885,'Data Panjang Balok'!$C$9:$N$254,9,FALSE)</f>
        <v>0</v>
      </c>
      <c r="E1889" s="2563"/>
      <c r="F1889" s="2563"/>
      <c r="G1889" s="2563"/>
      <c r="H1889" s="2564"/>
      <c r="I1889" s="397"/>
      <c r="J1889" s="396"/>
      <c r="K1889" s="396"/>
      <c r="L1889" s="396"/>
      <c r="M1889" s="396"/>
      <c r="N1889" s="396"/>
      <c r="O1889" s="396"/>
      <c r="P1889" s="396"/>
      <c r="Q1889" s="396"/>
      <c r="R1889" s="396"/>
      <c r="S1889" s="396"/>
      <c r="T1889" s="396"/>
      <c r="U1889" s="388"/>
      <c r="V1889" s="396"/>
      <c r="W1889" s="388"/>
      <c r="X1889" s="396"/>
      <c r="Y1889" s="389"/>
      <c r="Z1889" s="396"/>
      <c r="AA1889" s="388"/>
      <c r="AB1889" s="390"/>
    </row>
    <row r="1890" spans="1:28">
      <c r="A1890" s="391"/>
      <c r="B1890" s="392"/>
      <c r="C1890" s="393" t="s">
        <v>201</v>
      </c>
      <c r="D1890" s="2562">
        <f>VLOOKUP(C1885,'Data Panjang Balok'!$C$9:$N$254,10,FALSE)</f>
        <v>0</v>
      </c>
      <c r="E1890" s="2563"/>
      <c r="F1890" s="2563"/>
      <c r="G1890" s="2563"/>
      <c r="H1890" s="2564"/>
      <c r="I1890" s="397"/>
      <c r="J1890" s="396"/>
      <c r="K1890" s="396"/>
      <c r="L1890" s="396"/>
      <c r="M1890" s="396"/>
      <c r="N1890" s="396"/>
      <c r="O1890" s="396"/>
      <c r="P1890" s="396"/>
      <c r="Q1890" s="396"/>
      <c r="R1890" s="396"/>
      <c r="S1890" s="396"/>
      <c r="T1890" s="396"/>
      <c r="U1890" s="388"/>
      <c r="V1890" s="396"/>
      <c r="W1890" s="388"/>
      <c r="X1890" s="396"/>
      <c r="Y1890" s="389"/>
      <c r="Z1890" s="396"/>
      <c r="AA1890" s="388"/>
      <c r="AB1890" s="390"/>
    </row>
    <row r="1891" spans="1:28">
      <c r="A1891" s="391"/>
      <c r="B1891" s="392"/>
      <c r="C1891" s="393" t="s">
        <v>48</v>
      </c>
      <c r="D1891" s="2562">
        <f>VLOOKUP(C1885,'Data Panjang Balok'!$C$9:$N$254,3,FALSE)</f>
        <v>1</v>
      </c>
      <c r="E1891" s="2563"/>
      <c r="F1891" s="2563"/>
      <c r="G1891" s="2563"/>
      <c r="H1891" s="2564"/>
      <c r="I1891" s="397"/>
      <c r="J1891" s="396"/>
      <c r="K1891" s="396"/>
      <c r="L1891" s="396"/>
      <c r="M1891" s="396"/>
      <c r="N1891" s="396"/>
      <c r="O1891" s="396"/>
      <c r="P1891" s="396"/>
      <c r="Q1891" s="396"/>
      <c r="R1891" s="396"/>
      <c r="S1891" s="396"/>
      <c r="T1891" s="396"/>
      <c r="U1891" s="388"/>
      <c r="V1891" s="396"/>
      <c r="W1891" s="388"/>
      <c r="X1891" s="396"/>
      <c r="Y1891" s="389"/>
      <c r="Z1891" s="396"/>
      <c r="AA1891" s="388"/>
      <c r="AB1891" s="390"/>
    </row>
    <row r="1892" spans="1:28">
      <c r="A1892" s="384" t="str">
        <f t="shared" ref="A1892:B1892" si="6021">A1885</f>
        <v>Lantai 1</v>
      </c>
      <c r="B1892" s="385">
        <f t="shared" si="6021"/>
        <v>61</v>
      </c>
      <c r="C1892" s="393" t="s">
        <v>202</v>
      </c>
      <c r="D1892" s="398">
        <f>VLOOKUP(D1885,'Detail Balok'!$C$10:$AU$140,4,FALSE)</f>
        <v>3</v>
      </c>
      <c r="E1892" s="388" t="s">
        <v>16</v>
      </c>
      <c r="F1892" s="388">
        <f>VLOOKUP(D1885,'Detail Balok'!$C$10:$AU$140,6,FALSE)</f>
        <v>13</v>
      </c>
      <c r="G1892" s="388"/>
      <c r="H1892" s="395"/>
      <c r="I1892" s="388" t="s">
        <v>203</v>
      </c>
      <c r="J1892" s="399">
        <f t="shared" ref="J1892" si="6022">+D1887/4/1000</f>
        <v>1.41875</v>
      </c>
      <c r="K1892" s="400" t="s">
        <v>204</v>
      </c>
      <c r="L1892" s="399">
        <f t="shared" ref="L1892" si="6023">MAX(VLOOKUP(F1892,N$6:P$15,3,FALSE)/1000,2/3*D1889/1000)+F$16*F1892/1000</f>
        <v>0.156</v>
      </c>
      <c r="M1892" s="399" t="s">
        <v>176</v>
      </c>
      <c r="N1892" s="399">
        <f t="shared" ref="N1892:N1894" si="6024">J1892+L1892</f>
        <v>1.5747499999999999</v>
      </c>
      <c r="O1892" s="399" t="s">
        <v>204</v>
      </c>
      <c r="P1892" s="389">
        <f t="shared" ref="P1892" si="6025">D1892-D1893</f>
        <v>0</v>
      </c>
      <c r="Q1892" s="399" t="s">
        <v>125</v>
      </c>
      <c r="R1892" s="399">
        <f t="shared" ref="R1892" si="6026">IF(P1892&gt;0,$F$18*F1892/1000,0)</f>
        <v>0</v>
      </c>
      <c r="S1892" s="399" t="s">
        <v>205</v>
      </c>
      <c r="T1892" s="399" t="s">
        <v>125</v>
      </c>
      <c r="U1892" s="401">
        <f t="shared" ref="U1892:U1894" si="6027">0.006165*F1892^2</f>
        <v>1.041885</v>
      </c>
      <c r="V1892" s="399"/>
      <c r="W1892" s="399"/>
      <c r="X1892" s="399" t="s">
        <v>125</v>
      </c>
      <c r="Y1892" s="389">
        <f t="shared" ref="Y1892" si="6028">D1891</f>
        <v>1</v>
      </c>
      <c r="Z1892" s="400" t="s">
        <v>176</v>
      </c>
      <c r="AA1892" s="402">
        <f t="shared" ref="AA1892" si="6029">IF(AA1895=0,(D1892*N1892+P1892*R1892)*U1892*Y1892,0)</f>
        <v>0</v>
      </c>
      <c r="AB1892" s="403"/>
    </row>
    <row r="1893" spans="1:28">
      <c r="A1893" s="384" t="str">
        <f t="shared" ref="A1893:B1893" si="6030">A1885</f>
        <v>Lantai 1</v>
      </c>
      <c r="B1893" s="385">
        <f t="shared" si="6030"/>
        <v>61</v>
      </c>
      <c r="C1893" s="393" t="s">
        <v>206</v>
      </c>
      <c r="D1893" s="398">
        <f>VLOOKUP(D1885,'Detail Balok'!$C$10:$AU$140,7,FALSE)</f>
        <v>3</v>
      </c>
      <c r="E1893" s="388" t="s">
        <v>16</v>
      </c>
      <c r="F1893" s="388">
        <f>VLOOKUP(D1885,'Detail Balok'!$C$10:$AU$140,9,FALSE)</f>
        <v>13</v>
      </c>
      <c r="G1893" s="388"/>
      <c r="H1893" s="395"/>
      <c r="I1893" s="388" t="s">
        <v>203</v>
      </c>
      <c r="J1893" s="399">
        <f t="shared" ref="J1893" si="6031">+D1887/2/1000</f>
        <v>2.8374999999999999</v>
      </c>
      <c r="K1893" s="400" t="s">
        <v>204</v>
      </c>
      <c r="L1893" s="399"/>
      <c r="M1893" s="399" t="s">
        <v>176</v>
      </c>
      <c r="N1893" s="399">
        <f t="shared" si="6024"/>
        <v>2.8374999999999999</v>
      </c>
      <c r="O1893" s="399" t="s">
        <v>204</v>
      </c>
      <c r="P1893" s="389">
        <f t="shared" ref="P1893" si="6032">MAX(D1893-D1892,D1893-D1894)</f>
        <v>0</v>
      </c>
      <c r="Q1893" s="399" t="s">
        <v>125</v>
      </c>
      <c r="R1893" s="399">
        <f t="shared" ref="R1893" si="6033">IF(P1893&gt;0,2*(1-2*$F$19-1/2)*D1888/1000,0)</f>
        <v>0</v>
      </c>
      <c r="S1893" s="399" t="s">
        <v>205</v>
      </c>
      <c r="T1893" s="399" t="s">
        <v>125</v>
      </c>
      <c r="U1893" s="401">
        <f t="shared" si="6027"/>
        <v>1.041885</v>
      </c>
      <c r="V1893" s="399"/>
      <c r="W1893" s="399"/>
      <c r="X1893" s="399" t="s">
        <v>125</v>
      </c>
      <c r="Y1893" s="389">
        <f t="shared" ref="Y1893" si="6034">D1891</f>
        <v>1</v>
      </c>
      <c r="Z1893" s="400" t="s">
        <v>176</v>
      </c>
      <c r="AA1893" s="402">
        <f t="shared" ref="AA1893" si="6035">IF(AA1895=0,(D1893*N1893+P1893*R1893)*U1893*Y1893,0)</f>
        <v>0</v>
      </c>
      <c r="AB1893" s="403"/>
    </row>
    <row r="1894" spans="1:28">
      <c r="A1894" s="384" t="str">
        <f t="shared" ref="A1894:B1894" si="6036">A1885</f>
        <v>Lantai 1</v>
      </c>
      <c r="B1894" s="385">
        <f t="shared" si="6036"/>
        <v>61</v>
      </c>
      <c r="C1894" s="393" t="s">
        <v>202</v>
      </c>
      <c r="D1894" s="398">
        <f>VLOOKUP(D1885,'Detail Balok'!$C$10:$AU$140,10,FALSE)</f>
        <v>3</v>
      </c>
      <c r="E1894" s="388" t="s">
        <v>16</v>
      </c>
      <c r="F1894" s="388">
        <f>VLOOKUP(D1885,'Detail Balok'!$C$10:$AU$140,12,FALSE)</f>
        <v>13</v>
      </c>
      <c r="G1894" s="388"/>
      <c r="H1894" s="395"/>
      <c r="I1894" s="388" t="s">
        <v>203</v>
      </c>
      <c r="J1894" s="399">
        <f t="shared" ref="J1894" si="6037">+D1887/4/1000</f>
        <v>1.41875</v>
      </c>
      <c r="K1894" s="400" t="s">
        <v>204</v>
      </c>
      <c r="L1894" s="399">
        <f t="shared" ref="L1894" si="6038">MAX(VLOOKUP(F1894,N$6:P$15,3,FALSE)/1000,2/3*D1889/1000)+F$16*F1894/1000</f>
        <v>0.156</v>
      </c>
      <c r="M1894" s="399" t="s">
        <v>176</v>
      </c>
      <c r="N1894" s="399">
        <f t="shared" si="6024"/>
        <v>1.5747499999999999</v>
      </c>
      <c r="O1894" s="399" t="s">
        <v>204</v>
      </c>
      <c r="P1894" s="389">
        <f t="shared" ref="P1894" si="6039">D1894-D1893</f>
        <v>0</v>
      </c>
      <c r="Q1894" s="399" t="s">
        <v>125</v>
      </c>
      <c r="R1894" s="399">
        <f t="shared" ref="R1894" si="6040">IF(P1894&gt;0,$F$18*F1894/1000,0)</f>
        <v>0</v>
      </c>
      <c r="S1894" s="399" t="s">
        <v>205</v>
      </c>
      <c r="T1894" s="399" t="s">
        <v>125</v>
      </c>
      <c r="U1894" s="401">
        <f t="shared" si="6027"/>
        <v>1.041885</v>
      </c>
      <c r="V1894" s="399"/>
      <c r="W1894" s="399"/>
      <c r="X1894" s="399" t="s">
        <v>125</v>
      </c>
      <c r="Y1894" s="389">
        <f t="shared" ref="Y1894" si="6041">D1891</f>
        <v>1</v>
      </c>
      <c r="Z1894" s="400" t="s">
        <v>176</v>
      </c>
      <c r="AA1894" s="402">
        <f t="shared" ref="AA1894" si="6042">IF(AA1895=0,(D1894*N1894+P1894*R1894)*U1894*Y1894,0)</f>
        <v>0</v>
      </c>
      <c r="AB1894" s="403"/>
    </row>
    <row r="1895" spans="1:28">
      <c r="A1895" s="384" t="str">
        <f t="shared" ref="A1895:B1895" si="6043">A1885</f>
        <v>Lantai 1</v>
      </c>
      <c r="B1895" s="385">
        <f t="shared" si="6043"/>
        <v>61</v>
      </c>
      <c r="C1895" s="393"/>
      <c r="D1895" s="398">
        <f t="shared" ref="D1895:D1955" si="6044">IF(AND(D1892=D1893,D1893=D1894,D1892=D1894),D1892,0)</f>
        <v>3</v>
      </c>
      <c r="E1895" s="388" t="s">
        <v>16</v>
      </c>
      <c r="F1895" s="388">
        <f t="shared" ref="F1895:F1955" si="6045">IF(AND(F1892=F1893,F1892=F1894,F1893=F1894),F1892,0)</f>
        <v>13</v>
      </c>
      <c r="G1895" s="388"/>
      <c r="H1895" s="395"/>
      <c r="I1895" s="388"/>
      <c r="J1895" s="396"/>
      <c r="K1895" s="396"/>
      <c r="L1895" s="404" t="s">
        <v>207</v>
      </c>
      <c r="M1895" s="399" t="s">
        <v>176</v>
      </c>
      <c r="N1895" s="399">
        <f t="shared" ref="N1895" si="6046">IF(AND(D1892=D1893,D1892=D1894,D1893=D1894,F1892=F1893,F1892=F1894,F1893=F1894),SUM(N1892:N1894),0)</f>
        <v>5.9870000000000001</v>
      </c>
      <c r="O1895" s="399" t="s">
        <v>204</v>
      </c>
      <c r="P1895" s="389">
        <f t="shared" ref="P1895" si="6047">IF(N1895&gt;12,ROUNDDOWN(N1895/12,0),0)</f>
        <v>0</v>
      </c>
      <c r="Q1895" s="399" t="s">
        <v>125</v>
      </c>
      <c r="R1895" s="399">
        <f t="shared" ref="R1895" si="6048">IF(P1895&gt;0,MAX(VLOOKUP(F1895,$D$6:$G$15,3,FALSE),600),0)/1000</f>
        <v>0</v>
      </c>
      <c r="S1895" s="396"/>
      <c r="T1895" s="396" t="s">
        <v>125</v>
      </c>
      <c r="U1895" s="401">
        <f t="shared" ref="U1895:U1955" si="6049">U1894</f>
        <v>1.041885</v>
      </c>
      <c r="V1895" s="396" t="s">
        <v>125</v>
      </c>
      <c r="W1895" s="399">
        <f t="shared" ref="W1895" si="6050">D1895</f>
        <v>3</v>
      </c>
      <c r="X1895" s="399" t="s">
        <v>125</v>
      </c>
      <c r="Y1895" s="389">
        <f t="shared" ref="Y1895:Y1955" si="6051">Y1894</f>
        <v>1</v>
      </c>
      <c r="Z1895" s="400" t="s">
        <v>176</v>
      </c>
      <c r="AA1895" s="402">
        <f t="shared" ref="AA1895" si="6052">(N1895+P1895*R1895/1000)*U1895*W1895*Y1895</f>
        <v>18.713296485000001</v>
      </c>
      <c r="AB1895" s="390"/>
    </row>
    <row r="1896" spans="1:28">
      <c r="A1896" s="384"/>
      <c r="B1896" s="385"/>
      <c r="C1896" s="393"/>
      <c r="D1896" s="398"/>
      <c r="E1896" s="388"/>
      <c r="F1896" s="388"/>
      <c r="G1896" s="388"/>
      <c r="H1896" s="395"/>
      <c r="I1896" s="388"/>
      <c r="J1896" s="396"/>
      <c r="K1896" s="396"/>
      <c r="L1896" s="404"/>
      <c r="M1896" s="399"/>
      <c r="N1896" s="399"/>
      <c r="O1896" s="396"/>
      <c r="P1896" s="389"/>
      <c r="Q1896" s="396"/>
      <c r="R1896" s="396"/>
      <c r="S1896" s="396"/>
      <c r="T1896" s="396"/>
      <c r="U1896" s="401"/>
      <c r="V1896" s="396"/>
      <c r="W1896" s="399"/>
      <c r="X1896" s="396"/>
      <c r="Y1896" s="389"/>
      <c r="Z1896" s="396"/>
      <c r="AA1896" s="388"/>
      <c r="AB1896" s="390"/>
    </row>
    <row r="1897" spans="1:28">
      <c r="A1897" s="384" t="str">
        <f t="shared" ref="A1897:B1897" si="6053">A1885</f>
        <v>Lantai 1</v>
      </c>
      <c r="B1897" s="385">
        <f t="shared" si="6053"/>
        <v>61</v>
      </c>
      <c r="C1897" s="393" t="s">
        <v>208</v>
      </c>
      <c r="D1897" s="398">
        <f>VLOOKUP(D1885,'Detail Balok'!$C$10:$AU$140,13,FALSE)</f>
        <v>0</v>
      </c>
      <c r="E1897" s="388" t="s">
        <v>16</v>
      </c>
      <c r="F1897" s="388">
        <f>VLOOKUP(D1885,'Detail Balok'!$C$10:$AU$140,15,FALSE)</f>
        <v>8</v>
      </c>
      <c r="G1897" s="388"/>
      <c r="H1897" s="395"/>
      <c r="I1897" s="388"/>
      <c r="J1897" s="399">
        <f t="shared" ref="J1897" si="6054">+D1887/1000</f>
        <v>5.6749999999999998</v>
      </c>
      <c r="K1897" s="400" t="s">
        <v>204</v>
      </c>
      <c r="L1897" s="399">
        <f t="shared" ref="L1897" si="6055">2*$F$16*F1897/1000</f>
        <v>0.192</v>
      </c>
      <c r="M1897" s="399" t="s">
        <v>176</v>
      </c>
      <c r="N1897" s="399">
        <f t="shared" ref="N1897" si="6056">J1897+L1897</f>
        <v>5.867</v>
      </c>
      <c r="O1897" s="399" t="s">
        <v>204</v>
      </c>
      <c r="P1897" s="389">
        <f t="shared" ref="P1897" si="6057">IF(N1897&gt;12,ROUNDDOWN(N1897/12,0),0)</f>
        <v>0</v>
      </c>
      <c r="Q1897" s="399" t="s">
        <v>125</v>
      </c>
      <c r="R1897" s="399">
        <f t="shared" ref="R1897" si="6058">IF(P1897&gt;0,MAX(VLOOKUP(F1897,$D$6:$G$15,3,FALSE),600),0)/1000</f>
        <v>0</v>
      </c>
      <c r="S1897" s="399"/>
      <c r="T1897" s="399" t="s">
        <v>125</v>
      </c>
      <c r="U1897" s="401">
        <f t="shared" ref="U1897" si="6059">0.006165*F1897^2</f>
        <v>0.39456000000000002</v>
      </c>
      <c r="V1897" s="399" t="s">
        <v>125</v>
      </c>
      <c r="W1897" s="399">
        <f t="shared" ref="W1897" si="6060">+D1897</f>
        <v>0</v>
      </c>
      <c r="X1897" s="399" t="s">
        <v>125</v>
      </c>
      <c r="Y1897" s="389">
        <f t="shared" ref="Y1897" si="6061">D1891</f>
        <v>1</v>
      </c>
      <c r="Z1897" s="400" t="s">
        <v>176</v>
      </c>
      <c r="AA1897" s="402">
        <f t="shared" ref="AA1897" si="6062">(N1897+P1897*R1897/1000)*U1897*W1897*Y1897</f>
        <v>0</v>
      </c>
      <c r="AB1897" s="403"/>
    </row>
    <row r="1898" spans="1:28">
      <c r="A1898" s="384"/>
      <c r="B1898" s="385"/>
      <c r="C1898" s="393"/>
      <c r="D1898" s="398"/>
      <c r="E1898" s="388"/>
      <c r="F1898" s="388"/>
      <c r="G1898" s="388"/>
      <c r="H1898" s="395"/>
      <c r="I1898" s="388"/>
      <c r="J1898" s="399"/>
      <c r="K1898" s="400"/>
      <c r="L1898" s="399"/>
      <c r="M1898" s="399"/>
      <c r="N1898" s="399"/>
      <c r="O1898" s="399"/>
      <c r="P1898" s="389"/>
      <c r="Q1898" s="399"/>
      <c r="R1898" s="399"/>
      <c r="S1898" s="399"/>
      <c r="T1898" s="399"/>
      <c r="U1898" s="401"/>
      <c r="V1898" s="399"/>
      <c r="W1898" s="399"/>
      <c r="X1898" s="399"/>
      <c r="Y1898" s="389"/>
      <c r="Z1898" s="400"/>
      <c r="AA1898" s="402"/>
      <c r="AB1898" s="403"/>
    </row>
    <row r="1899" spans="1:28">
      <c r="A1899" s="384"/>
      <c r="B1899" s="385"/>
      <c r="C1899" s="393"/>
      <c r="D1899" s="398"/>
      <c r="E1899" s="388"/>
      <c r="F1899" s="388"/>
      <c r="G1899" s="388"/>
      <c r="H1899" s="395"/>
      <c r="I1899" s="388"/>
      <c r="J1899" s="396"/>
      <c r="K1899" s="396"/>
      <c r="L1899" s="396"/>
      <c r="M1899" s="396"/>
      <c r="N1899" s="396"/>
      <c r="O1899" s="396"/>
      <c r="P1899" s="389"/>
      <c r="Q1899" s="396"/>
      <c r="R1899" s="396"/>
      <c r="S1899" s="396"/>
      <c r="T1899" s="396"/>
      <c r="U1899" s="401"/>
      <c r="V1899" s="396"/>
      <c r="W1899" s="399"/>
      <c r="X1899" s="396"/>
      <c r="Y1899" s="389"/>
      <c r="Z1899" s="396"/>
      <c r="AA1899" s="388"/>
      <c r="AB1899" s="390"/>
    </row>
    <row r="1900" spans="1:28">
      <c r="A1900" s="384" t="str">
        <f t="shared" ref="A1900:B1900" si="6063">A1885</f>
        <v>Lantai 1</v>
      </c>
      <c r="B1900" s="385">
        <f t="shared" si="6063"/>
        <v>61</v>
      </c>
      <c r="C1900" s="393" t="s">
        <v>209</v>
      </c>
      <c r="D1900" s="398">
        <f>VLOOKUP(D1885,'Detail Balok'!$C$10:$AU$140,22,FALSE)</f>
        <v>3</v>
      </c>
      <c r="E1900" s="388" t="s">
        <v>16</v>
      </c>
      <c r="F1900" s="388">
        <f>VLOOKUP(D1885,'Detail Balok'!$C$10:$AU$140,24,FALSE)</f>
        <v>13</v>
      </c>
      <c r="G1900" s="388"/>
      <c r="H1900" s="395"/>
      <c r="I1900" s="388" t="s">
        <v>203</v>
      </c>
      <c r="J1900" s="399">
        <f t="shared" ref="J1900:J1962" si="6064">+J1892</f>
        <v>1.41875</v>
      </c>
      <c r="K1900" s="400" t="s">
        <v>204</v>
      </c>
      <c r="L1900" s="399">
        <f t="shared" ref="L1900" si="6065">MAX(VLOOKUP(F1900,N$6:P$15,3,FALSE)/1000,2/3*D1890/1000)+F$16*F1900/1000</f>
        <v>0.156</v>
      </c>
      <c r="M1900" s="399" t="s">
        <v>176</v>
      </c>
      <c r="N1900" s="399">
        <f t="shared" ref="N1900:N1902" si="6066">J1900+L1900</f>
        <v>1.5747499999999999</v>
      </c>
      <c r="O1900" s="399" t="s">
        <v>204</v>
      </c>
      <c r="P1900" s="389">
        <f t="shared" ref="P1900" si="6067">D1900-D1901</f>
        <v>0</v>
      </c>
      <c r="Q1900" s="399" t="s">
        <v>125</v>
      </c>
      <c r="R1900" s="399">
        <f t="shared" ref="R1900" si="6068">IF(P1900&gt;0,$F$18*F1900/1000,0)</f>
        <v>0</v>
      </c>
      <c r="S1900" s="399" t="s">
        <v>205</v>
      </c>
      <c r="T1900" s="399" t="s">
        <v>125</v>
      </c>
      <c r="U1900" s="401">
        <f t="shared" ref="U1900:U1902" si="6069">0.006165*F1900^2</f>
        <v>1.041885</v>
      </c>
      <c r="V1900" s="399"/>
      <c r="W1900" s="399"/>
      <c r="X1900" s="399" t="s">
        <v>125</v>
      </c>
      <c r="Y1900" s="389">
        <f t="shared" ref="Y1900" si="6070">D1891</f>
        <v>1</v>
      </c>
      <c r="Z1900" s="400" t="s">
        <v>176</v>
      </c>
      <c r="AA1900" s="402">
        <f t="shared" ref="AA1900" si="6071">IF(AA1903=0,(D1900*N1900+P1900*R1900)*U1900*Y1900,0)</f>
        <v>0</v>
      </c>
      <c r="AB1900" s="403"/>
    </row>
    <row r="1901" spans="1:28">
      <c r="A1901" s="384" t="str">
        <f t="shared" ref="A1901:B1901" si="6072">A1885</f>
        <v>Lantai 1</v>
      </c>
      <c r="B1901" s="385">
        <f t="shared" si="6072"/>
        <v>61</v>
      </c>
      <c r="C1901" s="393" t="s">
        <v>210</v>
      </c>
      <c r="D1901" s="398">
        <f>VLOOKUP(D1885,'Detail Balok'!$C$10:$AU$140,25,FALSE)</f>
        <v>3</v>
      </c>
      <c r="E1901" s="388" t="s">
        <v>16</v>
      </c>
      <c r="F1901" s="388">
        <f>VLOOKUP(D1885,'Detail Balok'!$C$10:$AU$140,27,FALSE)</f>
        <v>13</v>
      </c>
      <c r="G1901" s="388"/>
      <c r="H1901" s="395"/>
      <c r="I1901" s="388" t="s">
        <v>203</v>
      </c>
      <c r="J1901" s="399">
        <f t="shared" si="6064"/>
        <v>2.8374999999999999</v>
      </c>
      <c r="K1901" s="400" t="s">
        <v>204</v>
      </c>
      <c r="L1901" s="399"/>
      <c r="M1901" s="399" t="s">
        <v>176</v>
      </c>
      <c r="N1901" s="399">
        <f t="shared" si="6066"/>
        <v>2.8374999999999999</v>
      </c>
      <c r="O1901" s="399" t="s">
        <v>204</v>
      </c>
      <c r="P1901" s="389">
        <f t="shared" ref="P1901" si="6073">MAX(D1901-D1900,D1901-D1902)</f>
        <v>0</v>
      </c>
      <c r="Q1901" s="399" t="s">
        <v>125</v>
      </c>
      <c r="R1901" s="399">
        <f t="shared" ref="R1901" si="6074">IF(P1901&gt;0,2*(1-2*$F$19-1/2)*D1888/1000,0)</f>
        <v>0</v>
      </c>
      <c r="S1901" s="399" t="s">
        <v>205</v>
      </c>
      <c r="T1901" s="399" t="s">
        <v>125</v>
      </c>
      <c r="U1901" s="401">
        <f t="shared" si="6069"/>
        <v>1.041885</v>
      </c>
      <c r="V1901" s="399"/>
      <c r="W1901" s="399"/>
      <c r="X1901" s="399" t="s">
        <v>125</v>
      </c>
      <c r="Y1901" s="389">
        <f t="shared" ref="Y1901" si="6075">D1891</f>
        <v>1</v>
      </c>
      <c r="Z1901" s="400" t="s">
        <v>176</v>
      </c>
      <c r="AA1901" s="402">
        <f t="shared" ref="AA1901" si="6076">IF(AA1903=0,(D1901*N1901+P1901*R1901)*U1901*Y1901,0)</f>
        <v>0</v>
      </c>
      <c r="AB1901" s="403"/>
    </row>
    <row r="1902" spans="1:28">
      <c r="A1902" s="384" t="str">
        <f t="shared" ref="A1902:B1902" si="6077">A1885</f>
        <v>Lantai 1</v>
      </c>
      <c r="B1902" s="385">
        <f t="shared" si="6077"/>
        <v>61</v>
      </c>
      <c r="C1902" s="393" t="s">
        <v>209</v>
      </c>
      <c r="D1902" s="398">
        <f>VLOOKUP(D1885,'Detail Balok'!$C$10:$AU$140,28,FALSE)</f>
        <v>3</v>
      </c>
      <c r="E1902" s="388" t="s">
        <v>16</v>
      </c>
      <c r="F1902" s="388">
        <f>VLOOKUP(D1885,'Detail Balok'!$C$10:$AU$140,30,FALSE)</f>
        <v>13</v>
      </c>
      <c r="G1902" s="388"/>
      <c r="H1902" s="395"/>
      <c r="I1902" s="388" t="s">
        <v>203</v>
      </c>
      <c r="J1902" s="399">
        <f t="shared" si="6064"/>
        <v>1.41875</v>
      </c>
      <c r="K1902" s="400" t="s">
        <v>204</v>
      </c>
      <c r="L1902" s="399">
        <f t="shared" ref="L1902" si="6078">MAX(VLOOKUP(F1902,N$6:P$15,3,FALSE)/1000,2/3*D1890/1000)+F$16*F1902/1000</f>
        <v>0.156</v>
      </c>
      <c r="M1902" s="399" t="s">
        <v>176</v>
      </c>
      <c r="N1902" s="399">
        <f t="shared" si="6066"/>
        <v>1.5747499999999999</v>
      </c>
      <c r="O1902" s="399" t="s">
        <v>204</v>
      </c>
      <c r="P1902" s="389">
        <f t="shared" ref="P1902" si="6079">D1902-D1901</f>
        <v>0</v>
      </c>
      <c r="Q1902" s="399" t="s">
        <v>125</v>
      </c>
      <c r="R1902" s="399">
        <f t="shared" ref="R1902" si="6080">IF(P1902&gt;0,$F$18*F1902/1000,0)</f>
        <v>0</v>
      </c>
      <c r="S1902" s="399" t="s">
        <v>205</v>
      </c>
      <c r="T1902" s="399" t="s">
        <v>125</v>
      </c>
      <c r="U1902" s="401">
        <f t="shared" si="6069"/>
        <v>1.041885</v>
      </c>
      <c r="V1902" s="399"/>
      <c r="W1902" s="399"/>
      <c r="X1902" s="399" t="s">
        <v>125</v>
      </c>
      <c r="Y1902" s="389">
        <f t="shared" ref="Y1902" si="6081">D1891</f>
        <v>1</v>
      </c>
      <c r="Z1902" s="400" t="s">
        <v>176</v>
      </c>
      <c r="AA1902" s="402">
        <f t="shared" ref="AA1902" si="6082">IF(AA1903=0,(D1902*N1902+P1902*R1902)*U1902*Y1902,0)</f>
        <v>0</v>
      </c>
      <c r="AB1902" s="403"/>
    </row>
    <row r="1903" spans="1:28">
      <c r="A1903" s="384" t="str">
        <f t="shared" ref="A1903:B1903" si="6083">A1885</f>
        <v>Lantai 1</v>
      </c>
      <c r="B1903" s="385">
        <f t="shared" si="6083"/>
        <v>61</v>
      </c>
      <c r="C1903" s="393"/>
      <c r="D1903" s="398">
        <f t="shared" ref="D1903:D1963" si="6084">IF(AND(D1900=D1901,D1901=D1902,D1900=D1902),D1900,0)</f>
        <v>3</v>
      </c>
      <c r="E1903" s="388" t="s">
        <v>16</v>
      </c>
      <c r="F1903" s="388">
        <f t="shared" ref="F1903:F1963" si="6085">IF(AND(F1900=F1901,F1900=F1902,F1901=F1902),F1900,0)</f>
        <v>13</v>
      </c>
      <c r="G1903" s="388"/>
      <c r="H1903" s="395"/>
      <c r="I1903" s="388"/>
      <c r="J1903" s="396"/>
      <c r="K1903" s="396"/>
      <c r="L1903" s="404" t="s">
        <v>207</v>
      </c>
      <c r="M1903" s="399" t="s">
        <v>176</v>
      </c>
      <c r="N1903" s="399">
        <f t="shared" ref="N1903" si="6086">IF(AND(D1900=D1901,D1900=D1902,D1901=D1902,F1900=F1901,F1900=F1902,F1901=F1902),SUM(N1900:N1902),0)</f>
        <v>5.9870000000000001</v>
      </c>
      <c r="O1903" s="399" t="s">
        <v>204</v>
      </c>
      <c r="P1903" s="389">
        <f t="shared" ref="P1903" si="6087">IF(N1903&gt;12,ROUNDDOWN(N1903/12,0),0)</f>
        <v>0</v>
      </c>
      <c r="Q1903" s="399" t="s">
        <v>125</v>
      </c>
      <c r="R1903" s="399">
        <f t="shared" ref="R1903" si="6088">IF(P1903&gt;0,MAX(VLOOKUP(F1903,$D$6:$G$15,3,FALSE),600),0)/1000</f>
        <v>0</v>
      </c>
      <c r="S1903" s="396"/>
      <c r="T1903" s="396" t="s">
        <v>125</v>
      </c>
      <c r="U1903" s="401">
        <f t="shared" ref="U1903:U1963" si="6089">U1902</f>
        <v>1.041885</v>
      </c>
      <c r="V1903" s="396" t="s">
        <v>125</v>
      </c>
      <c r="W1903" s="399">
        <f t="shared" ref="W1903" si="6090">D1903</f>
        <v>3</v>
      </c>
      <c r="X1903" s="399" t="s">
        <v>125</v>
      </c>
      <c r="Y1903" s="389">
        <f t="shared" ref="Y1903:Y1963" si="6091">Y1902</f>
        <v>1</v>
      </c>
      <c r="Z1903" s="400" t="s">
        <v>176</v>
      </c>
      <c r="AA1903" s="402">
        <f t="shared" ref="AA1903" si="6092">(N1903+P1903*R1903/1000)*U1903*W1903*Y1903</f>
        <v>18.713296485000001</v>
      </c>
      <c r="AB1903" s="403"/>
    </row>
    <row r="1904" spans="1:28">
      <c r="A1904" s="384"/>
      <c r="B1904" s="385"/>
      <c r="C1904" s="393"/>
      <c r="D1904" s="394"/>
      <c r="E1904" s="388"/>
      <c r="F1904" s="388"/>
      <c r="G1904" s="388"/>
      <c r="H1904" s="395"/>
      <c r="I1904" s="388"/>
      <c r="J1904" s="399"/>
      <c r="K1904" s="396"/>
      <c r="L1904" s="396"/>
      <c r="M1904" s="396"/>
      <c r="N1904" s="396"/>
      <c r="O1904" s="396"/>
      <c r="P1904" s="389"/>
      <c r="Q1904" s="396"/>
      <c r="R1904" s="396"/>
      <c r="S1904" s="396"/>
      <c r="T1904" s="396"/>
      <c r="U1904" s="401"/>
      <c r="V1904" s="396"/>
      <c r="W1904" s="388"/>
      <c r="X1904" s="396"/>
      <c r="Y1904" s="389"/>
      <c r="Z1904" s="396"/>
      <c r="AA1904" s="388"/>
      <c r="AB1904" s="390"/>
    </row>
    <row r="1905" spans="1:28">
      <c r="A1905" s="384" t="str">
        <f t="shared" ref="A1905:B1905" si="6093">A1885</f>
        <v>Lantai 1</v>
      </c>
      <c r="B1905" s="385">
        <f t="shared" si="6093"/>
        <v>61</v>
      </c>
      <c r="C1905" s="393" t="s">
        <v>211</v>
      </c>
      <c r="D1905" s="398">
        <f>VLOOKUP(D1885,'Detail Balok'!$C$10:$AU$140,31,FALSE)</f>
        <v>0</v>
      </c>
      <c r="E1905" s="388" t="s">
        <v>16</v>
      </c>
      <c r="F1905" s="388">
        <f>VLOOKUP(D1885,'Detail Balok'!$C$10:$AU$140,33,FALSE)</f>
        <v>8</v>
      </c>
      <c r="G1905" s="405" t="s">
        <v>157</v>
      </c>
      <c r="H1905" s="395">
        <f>VLOOKUP(D1885,'Detail Balok'!$C$10:$AU$140,35,FALSE)</f>
        <v>150</v>
      </c>
      <c r="I1905" s="388"/>
      <c r="J1905" s="400">
        <f t="shared" ref="J1905" si="6094">(IF(D1905=0,(2*(D1886+G1886))-(F$5*8),IF(D1905=3,(2*(D1886+G1886))-(F$5*8)+(G1886-2*F$5),IF(D1905=4,(2*(D1886+G1886))-(F$5*8)+2*(G1886-2*F$5)))))/1000</f>
        <v>0.88</v>
      </c>
      <c r="K1905" s="400" t="s">
        <v>204</v>
      </c>
      <c r="L1905" s="399">
        <f t="shared" ref="L1905:L1907" si="6095">IF(D1905=0,2*MAX(6*F1905,75),(D1905-1)*2*MAX(6*F1905,75))/1000</f>
        <v>0.15</v>
      </c>
      <c r="M1905" s="399" t="s">
        <v>176</v>
      </c>
      <c r="N1905" s="399">
        <f t="shared" ref="N1905:N1907" si="6096">J1905+L1905</f>
        <v>1.03</v>
      </c>
      <c r="O1905" s="399"/>
      <c r="P1905" s="389"/>
      <c r="Q1905" s="399"/>
      <c r="R1905" s="399"/>
      <c r="S1905" s="399"/>
      <c r="T1905" s="399" t="s">
        <v>125</v>
      </c>
      <c r="U1905" s="401">
        <f t="shared" ref="U1905:U1907" si="6097">0.006165*F1905^2</f>
        <v>0.39456000000000002</v>
      </c>
      <c r="V1905" s="399" t="s">
        <v>125</v>
      </c>
      <c r="W1905" s="399">
        <f t="shared" ref="W1905" si="6098">IF(D1888&gt;4*G1886,ROUND(MAX(D1888/4,2*G1886)/H1905,0)+1,ROUND(D1888/H1905,0)+1)</f>
        <v>10</v>
      </c>
      <c r="X1905" s="399" t="s">
        <v>125</v>
      </c>
      <c r="Y1905" s="389">
        <f t="shared" ref="Y1905" si="6099">D1891</f>
        <v>1</v>
      </c>
      <c r="Z1905" s="400" t="s">
        <v>176</v>
      </c>
      <c r="AA1905" s="402">
        <f t="shared" ref="AA1905:AA1907" si="6100">N1905*U1905*W1905*Y1905</f>
        <v>4.0639680000000009</v>
      </c>
      <c r="AB1905" s="403"/>
    </row>
    <row r="1906" spans="1:28">
      <c r="A1906" s="384" t="str">
        <f t="shared" ref="A1906:B1906" si="6101">A1885</f>
        <v>Lantai 1</v>
      </c>
      <c r="B1906" s="385">
        <f t="shared" si="6101"/>
        <v>61</v>
      </c>
      <c r="C1906" s="393" t="s">
        <v>212</v>
      </c>
      <c r="D1906" s="398">
        <f>VLOOKUP(D1885,'Detail Balok'!$C$10:$AU$140,36,FALSE)</f>
        <v>0</v>
      </c>
      <c r="E1906" s="388" t="s">
        <v>16</v>
      </c>
      <c r="F1906" s="388">
        <f>VLOOKUP(D1885,'Detail Balok'!$C$10:$AU$140,38,FALSE)</f>
        <v>8</v>
      </c>
      <c r="G1906" s="405" t="s">
        <v>157</v>
      </c>
      <c r="H1906" s="395">
        <f>VLOOKUP(D1885,'Detail Balok'!$C$10:$AU$140,40,FALSE)</f>
        <v>200</v>
      </c>
      <c r="I1906" s="388"/>
      <c r="J1906" s="400">
        <f t="shared" ref="J1906" si="6102">(IF(D1906=0,(2*(D1886+G1886))-(F$5*8),IF(D1906=3,(2*(D1886+G1886))-(F$5*8)+(G1886-2*F$5),IF(D1906=4,(2*(D1886+G1886))-(F$5*8)+2*(G1886-2*F$5)))))/1000</f>
        <v>0.88</v>
      </c>
      <c r="K1906" s="400" t="s">
        <v>204</v>
      </c>
      <c r="L1906" s="399">
        <f t="shared" si="6095"/>
        <v>0.15</v>
      </c>
      <c r="M1906" s="399" t="s">
        <v>176</v>
      </c>
      <c r="N1906" s="399">
        <f t="shared" si="6096"/>
        <v>1.03</v>
      </c>
      <c r="O1906" s="399"/>
      <c r="P1906" s="389"/>
      <c r="Q1906" s="399"/>
      <c r="R1906" s="399"/>
      <c r="S1906" s="399"/>
      <c r="T1906" s="399" t="s">
        <v>125</v>
      </c>
      <c r="U1906" s="401">
        <f t="shared" si="6097"/>
        <v>0.39456000000000002</v>
      </c>
      <c r="V1906" s="399" t="s">
        <v>125</v>
      </c>
      <c r="W1906" s="399">
        <f t="shared" ref="W1906" si="6103">IF(D1888-MAX(D1888/4,2*G1886)*2&gt;0,ROUND((D1888-MAX(D1888/4,2*G1886)*2)/H1906,0),0)</f>
        <v>14</v>
      </c>
      <c r="X1906" s="399" t="s">
        <v>125</v>
      </c>
      <c r="Y1906" s="389">
        <f t="shared" ref="Y1906" si="6104">D1891</f>
        <v>1</v>
      </c>
      <c r="Z1906" s="400" t="s">
        <v>176</v>
      </c>
      <c r="AA1906" s="402">
        <f t="shared" si="6100"/>
        <v>5.6895552000000009</v>
      </c>
      <c r="AB1906" s="403"/>
    </row>
    <row r="1907" spans="1:28">
      <c r="A1907" s="384" t="str">
        <f t="shared" ref="A1907:B1907" si="6105">A1885</f>
        <v>Lantai 1</v>
      </c>
      <c r="B1907" s="385">
        <f t="shared" si="6105"/>
        <v>61</v>
      </c>
      <c r="C1907" s="393" t="s">
        <v>211</v>
      </c>
      <c r="D1907" s="398">
        <f>VLOOKUP(D1885,'Detail Balok'!$C$10:$AU$140,41,FALSE)</f>
        <v>0</v>
      </c>
      <c r="E1907" s="388" t="s">
        <v>16</v>
      </c>
      <c r="F1907" s="388">
        <f>VLOOKUP(D1885,'Detail Balok'!$C$10:$AU$140,43,FALSE)</f>
        <v>8</v>
      </c>
      <c r="G1907" s="405" t="s">
        <v>157</v>
      </c>
      <c r="H1907" s="395">
        <f>VLOOKUP(D1885,'Detail Balok'!$C$10:$AU$140,45,FALSE)</f>
        <v>150</v>
      </c>
      <c r="I1907" s="388"/>
      <c r="J1907" s="400">
        <f t="shared" ref="J1907" si="6106">(IF(D1907=0,(2*(D1886+G1886))-(F$5*8),IF(D1907=3,(2*(D1886+G1886))-(F$5*8)+(G1886-2*F$5),IF(D1907=4,(2*(D1886+G1886))-(F$5*8)+2*(G1886-2*F$5)))))/1000</f>
        <v>0.88</v>
      </c>
      <c r="K1907" s="400" t="s">
        <v>204</v>
      </c>
      <c r="L1907" s="399">
        <f t="shared" si="6095"/>
        <v>0.15</v>
      </c>
      <c r="M1907" s="399" t="s">
        <v>176</v>
      </c>
      <c r="N1907" s="399">
        <f t="shared" si="6096"/>
        <v>1.03</v>
      </c>
      <c r="O1907" s="399"/>
      <c r="P1907" s="389"/>
      <c r="Q1907" s="399"/>
      <c r="R1907" s="399"/>
      <c r="S1907" s="399"/>
      <c r="T1907" s="399" t="s">
        <v>125</v>
      </c>
      <c r="U1907" s="401">
        <f t="shared" si="6097"/>
        <v>0.39456000000000002</v>
      </c>
      <c r="V1907" s="399" t="s">
        <v>125</v>
      </c>
      <c r="W1907" s="399">
        <f t="shared" ref="W1907" si="6107">IF(D1888&gt;4*G1886,ROUND(MAX(D1888/4,2*G1886)/H1907,0)+1,0)</f>
        <v>10</v>
      </c>
      <c r="X1907" s="399" t="s">
        <v>125</v>
      </c>
      <c r="Y1907" s="389">
        <f t="shared" ref="Y1907" si="6108">D1891</f>
        <v>1</v>
      </c>
      <c r="Z1907" s="400" t="s">
        <v>176</v>
      </c>
      <c r="AA1907" s="402">
        <f t="shared" si="6100"/>
        <v>4.0639680000000009</v>
      </c>
      <c r="AB1907" s="403"/>
    </row>
    <row r="1908" spans="1:28">
      <c r="A1908" s="384"/>
      <c r="B1908" s="385"/>
      <c r="C1908" s="393"/>
      <c r="D1908" s="394"/>
      <c r="E1908" s="388"/>
      <c r="F1908" s="388"/>
      <c r="G1908" s="388"/>
      <c r="H1908" s="395"/>
      <c r="I1908" s="388"/>
      <c r="J1908" s="399"/>
      <c r="K1908" s="396"/>
      <c r="L1908" s="396"/>
      <c r="M1908" s="396"/>
      <c r="N1908" s="396"/>
      <c r="O1908" s="396"/>
      <c r="P1908" s="389"/>
      <c r="Q1908" s="396"/>
      <c r="R1908" s="396"/>
      <c r="S1908" s="396"/>
      <c r="T1908" s="396"/>
      <c r="U1908" s="401"/>
      <c r="V1908" s="396"/>
      <c r="W1908" s="388"/>
      <c r="X1908" s="396"/>
      <c r="Y1908" s="389"/>
      <c r="Z1908" s="396"/>
      <c r="AA1908" s="388"/>
      <c r="AB1908" s="390"/>
    </row>
    <row r="1909" spans="1:28">
      <c r="A1909" s="384" t="str">
        <f t="shared" ref="A1909:B1909" si="6109">A1885</f>
        <v>Lantai 1</v>
      </c>
      <c r="B1909" s="385">
        <f t="shared" si="6109"/>
        <v>61</v>
      </c>
      <c r="C1909" s="393" t="s">
        <v>213</v>
      </c>
      <c r="D1909" s="398">
        <f>VLOOKUP(D1885,'Detail Balok'!$C$10:$BJ$140,46,FALSE)</f>
        <v>0</v>
      </c>
      <c r="E1909" s="388" t="s">
        <v>16</v>
      </c>
      <c r="F1909" s="388">
        <f>VLOOKUP(D1885,'Detail Balok'!$C$10:$BJ$140,48,FALSE)</f>
        <v>0</v>
      </c>
      <c r="G1909" s="405" t="s">
        <v>157</v>
      </c>
      <c r="H1909" s="395">
        <f>VLOOKUP(D1885,'Detail Balok'!$C$10:$BJ$140,50,FALSE)</f>
        <v>100</v>
      </c>
      <c r="I1909" s="388"/>
      <c r="J1909" s="399">
        <f t="shared" ref="J1909" si="6110">(D1886-2*F$5)/1000</f>
        <v>0.12</v>
      </c>
      <c r="K1909" s="400" t="s">
        <v>204</v>
      </c>
      <c r="L1909" s="399">
        <f t="shared" ref="L1909:L1911" si="6111">IF(D1909=0,2*MAX(6*F1909,75),(D1909-1)*2*MAX(6*F1909,75))/1000</f>
        <v>0.15</v>
      </c>
      <c r="M1909" s="399" t="s">
        <v>176</v>
      </c>
      <c r="N1909" s="399">
        <f t="shared" ref="N1909:N1911" si="6112">J1909+L1909</f>
        <v>0.27</v>
      </c>
      <c r="O1909" s="399"/>
      <c r="P1909" s="399"/>
      <c r="Q1909" s="399"/>
      <c r="R1909" s="399"/>
      <c r="S1909" s="399"/>
      <c r="T1909" s="399" t="s">
        <v>125</v>
      </c>
      <c r="U1909" s="401">
        <f t="shared" ref="U1909:U1911" si="6113">0.006165*F1909^2</f>
        <v>0</v>
      </c>
      <c r="V1909" s="399" t="s">
        <v>125</v>
      </c>
      <c r="W1909" s="399">
        <f t="shared" ref="W1909:W1971" si="6114">W1905</f>
        <v>10</v>
      </c>
      <c r="X1909" s="399" t="s">
        <v>125</v>
      </c>
      <c r="Y1909" s="389">
        <f t="shared" ref="Y1909" si="6115">D1895</f>
        <v>3</v>
      </c>
      <c r="Z1909" s="400" t="s">
        <v>176</v>
      </c>
      <c r="AA1909" s="402">
        <f t="shared" ref="AA1909:AA1911" si="6116">N1909*U1909*W1909*Y1909</f>
        <v>0</v>
      </c>
      <c r="AB1909" s="403"/>
    </row>
    <row r="1910" spans="1:28">
      <c r="A1910" s="384" t="str">
        <f t="shared" ref="A1910:B1910" si="6117">A1885</f>
        <v>Lantai 1</v>
      </c>
      <c r="B1910" s="385">
        <f t="shared" si="6117"/>
        <v>61</v>
      </c>
      <c r="C1910" s="393" t="s">
        <v>214</v>
      </c>
      <c r="D1910" s="398">
        <f>VLOOKUP(D1885,'Detail Balok'!$C$10:$BJ$140,51,FALSE)</f>
        <v>0</v>
      </c>
      <c r="E1910" s="388" t="s">
        <v>16</v>
      </c>
      <c r="F1910" s="388">
        <f>VLOOKUP(D1885,'Detail Balok'!$C$10:$BJ$140,53,FALSE)</f>
        <v>0</v>
      </c>
      <c r="G1910" s="405" t="s">
        <v>157</v>
      </c>
      <c r="H1910" s="395">
        <f>VLOOKUP(D1885,'Detail Balok'!$C$10:$BJ$140,55,FALSE)</f>
        <v>100</v>
      </c>
      <c r="I1910" s="388"/>
      <c r="J1910" s="399">
        <f t="shared" ref="J1910" si="6118">(D1886-2*F$5)/1000</f>
        <v>0.12</v>
      </c>
      <c r="K1910" s="400" t="s">
        <v>204</v>
      </c>
      <c r="L1910" s="399">
        <f t="shared" si="6111"/>
        <v>0.15</v>
      </c>
      <c r="M1910" s="399" t="s">
        <v>176</v>
      </c>
      <c r="N1910" s="399">
        <f t="shared" si="6112"/>
        <v>0.27</v>
      </c>
      <c r="O1910" s="399"/>
      <c r="P1910" s="399"/>
      <c r="Q1910" s="399"/>
      <c r="R1910" s="399"/>
      <c r="S1910" s="399"/>
      <c r="T1910" s="399" t="s">
        <v>125</v>
      </c>
      <c r="U1910" s="401">
        <f t="shared" si="6113"/>
        <v>0</v>
      </c>
      <c r="V1910" s="399" t="s">
        <v>125</v>
      </c>
      <c r="W1910" s="399">
        <f t="shared" si="6114"/>
        <v>14</v>
      </c>
      <c r="X1910" s="399" t="s">
        <v>125</v>
      </c>
      <c r="Y1910" s="389">
        <f t="shared" ref="Y1910" si="6119">D1895</f>
        <v>3</v>
      </c>
      <c r="Z1910" s="400" t="s">
        <v>176</v>
      </c>
      <c r="AA1910" s="402">
        <f t="shared" si="6116"/>
        <v>0</v>
      </c>
      <c r="AB1910" s="403"/>
    </row>
    <row r="1911" spans="1:28">
      <c r="A1911" s="384" t="str">
        <f t="shared" ref="A1911:B1911" si="6120">A1885</f>
        <v>Lantai 1</v>
      </c>
      <c r="B1911" s="385">
        <f t="shared" si="6120"/>
        <v>61</v>
      </c>
      <c r="C1911" s="393" t="s">
        <v>213</v>
      </c>
      <c r="D1911" s="398">
        <f>VLOOKUP(D1885,'Detail Balok'!$C$10:$BJ$140,56,FALSE)</f>
        <v>0</v>
      </c>
      <c r="E1911" s="388" t="s">
        <v>16</v>
      </c>
      <c r="F1911" s="388">
        <f>VLOOKUP(D1885,'Detail Balok'!$C$10:$BJ$140,58,FALSE)</f>
        <v>0</v>
      </c>
      <c r="G1911" s="405" t="s">
        <v>157</v>
      </c>
      <c r="H1911" s="395">
        <f>VLOOKUP(D1885,'Detail Balok'!$C$10:$BJ$140,60,FALSE)</f>
        <v>100</v>
      </c>
      <c r="I1911" s="388"/>
      <c r="J1911" s="399">
        <f t="shared" ref="J1911" si="6121">(D1886-2*F$5)/1000</f>
        <v>0.12</v>
      </c>
      <c r="K1911" s="400" t="s">
        <v>204</v>
      </c>
      <c r="L1911" s="399">
        <f t="shared" si="6111"/>
        <v>0.15</v>
      </c>
      <c r="M1911" s="399" t="s">
        <v>176</v>
      </c>
      <c r="N1911" s="399">
        <f t="shared" si="6112"/>
        <v>0.27</v>
      </c>
      <c r="O1911" s="399"/>
      <c r="P1911" s="399"/>
      <c r="Q1911" s="399"/>
      <c r="R1911" s="399"/>
      <c r="S1911" s="399"/>
      <c r="T1911" s="399" t="s">
        <v>125</v>
      </c>
      <c r="U1911" s="401">
        <f t="shared" si="6113"/>
        <v>0</v>
      </c>
      <c r="V1911" s="399" t="s">
        <v>125</v>
      </c>
      <c r="W1911" s="399">
        <f t="shared" si="6114"/>
        <v>10</v>
      </c>
      <c r="X1911" s="399" t="s">
        <v>125</v>
      </c>
      <c r="Y1911" s="389">
        <f t="shared" ref="Y1911" si="6122">D1895</f>
        <v>3</v>
      </c>
      <c r="Z1911" s="400" t="s">
        <v>176</v>
      </c>
      <c r="AA1911" s="402">
        <f t="shared" si="6116"/>
        <v>0</v>
      </c>
      <c r="AB1911" s="403"/>
    </row>
    <row r="1912" spans="1:28">
      <c r="A1912" s="391"/>
      <c r="B1912" s="392"/>
      <c r="C1912" s="392"/>
      <c r="D1912" s="394"/>
      <c r="E1912" s="388"/>
      <c r="F1912" s="388"/>
      <c r="G1912" s="388"/>
      <c r="H1912" s="395"/>
      <c r="I1912" s="388"/>
      <c r="J1912" s="402"/>
      <c r="K1912" s="388"/>
      <c r="L1912" s="388"/>
      <c r="M1912" s="388"/>
      <c r="N1912" s="388"/>
      <c r="O1912" s="388"/>
      <c r="P1912" s="388"/>
      <c r="Q1912" s="388"/>
      <c r="R1912" s="388"/>
      <c r="S1912" s="388"/>
      <c r="T1912" s="388"/>
      <c r="U1912" s="388"/>
      <c r="V1912" s="388"/>
      <c r="W1912" s="388"/>
      <c r="X1912" s="388"/>
      <c r="Y1912" s="389"/>
      <c r="Z1912" s="388"/>
      <c r="AA1912" s="402"/>
      <c r="AB1912" s="403"/>
    </row>
    <row r="1913" spans="1:28" ht="15.75" thickBot="1">
      <c r="A1913" s="406"/>
      <c r="B1913" s="407"/>
      <c r="C1913" s="407"/>
      <c r="D1913" s="408"/>
      <c r="E1913" s="409"/>
      <c r="F1913" s="409"/>
      <c r="G1913" s="409"/>
      <c r="H1913" s="410"/>
      <c r="I1913" s="409"/>
      <c r="J1913" s="409"/>
      <c r="K1913" s="409"/>
      <c r="L1913" s="409"/>
      <c r="M1913" s="409"/>
      <c r="N1913" s="409"/>
      <c r="O1913" s="409"/>
      <c r="P1913" s="409"/>
      <c r="Q1913" s="409"/>
      <c r="R1913" s="409"/>
      <c r="S1913" s="409"/>
      <c r="T1913" s="409"/>
      <c r="U1913" s="409"/>
      <c r="V1913" s="409"/>
      <c r="W1913" s="409"/>
      <c r="X1913" s="409"/>
      <c r="Y1913" s="411"/>
      <c r="Z1913" s="409"/>
      <c r="AA1913" s="412"/>
      <c r="AB1913" s="413"/>
    </row>
    <row r="1914" spans="1:28">
      <c r="A1914" s="377"/>
      <c r="B1914" s="378"/>
      <c r="C1914" s="378"/>
      <c r="D1914" s="379"/>
      <c r="E1914" s="380"/>
      <c r="F1914" s="380"/>
      <c r="G1914" s="380"/>
      <c r="H1914" s="381"/>
      <c r="I1914" s="380"/>
      <c r="J1914" s="380"/>
      <c r="K1914" s="380"/>
      <c r="L1914" s="380"/>
      <c r="M1914" s="380"/>
      <c r="N1914" s="380"/>
      <c r="O1914" s="380"/>
      <c r="P1914" s="380"/>
      <c r="Q1914" s="380"/>
      <c r="R1914" s="380"/>
      <c r="S1914" s="380"/>
      <c r="T1914" s="380"/>
      <c r="U1914" s="380"/>
      <c r="V1914" s="380"/>
      <c r="W1914" s="380"/>
      <c r="X1914" s="380"/>
      <c r="Y1914" s="382"/>
      <c r="Z1914" s="380"/>
      <c r="AA1914" s="380"/>
      <c r="AB1914" s="383"/>
    </row>
    <row r="1915" spans="1:28">
      <c r="A1915" s="384" t="str">
        <f t="shared" ref="A1915:A1975" si="6123">A1885</f>
        <v>Lantai 1</v>
      </c>
      <c r="B1915" s="385">
        <f t="shared" ref="B1915:B1975" si="6124">B1885+1</f>
        <v>62</v>
      </c>
      <c r="C1915" s="386" t="str">
        <f t="shared" ref="C1915" si="6125">CONCATENATE(A1915," no. ",B1915)</f>
        <v>Lantai 1 no. 62</v>
      </c>
      <c r="D1915" s="2562" t="str">
        <f>VLOOKUP(C1915,'Data Panjang Balok'!$C$9:$N$254,2,FALSE)</f>
        <v>S25-1</v>
      </c>
      <c r="E1915" s="2576"/>
      <c r="F1915" s="2576"/>
      <c r="G1915" s="2576"/>
      <c r="H1915" s="2577"/>
      <c r="I1915" s="387"/>
      <c r="J1915" s="388"/>
      <c r="K1915" s="388"/>
      <c r="L1915" s="388"/>
      <c r="M1915" s="388"/>
      <c r="N1915" s="388"/>
      <c r="O1915" s="388"/>
      <c r="P1915" s="388"/>
      <c r="Q1915" s="388"/>
      <c r="R1915" s="388"/>
      <c r="S1915" s="388"/>
      <c r="T1915" s="388"/>
      <c r="U1915" s="388"/>
      <c r="V1915" s="388"/>
      <c r="W1915" s="388"/>
      <c r="X1915" s="388"/>
      <c r="Y1915" s="389"/>
      <c r="Z1915" s="388"/>
      <c r="AA1915" s="388"/>
      <c r="AB1915" s="390"/>
    </row>
    <row r="1916" spans="1:28">
      <c r="A1916" s="391"/>
      <c r="B1916" s="392"/>
      <c r="C1916" s="393" t="s">
        <v>118</v>
      </c>
      <c r="D1916" s="2578">
        <f>VLOOKUP(D1915,'Detail Balok'!$C$10:$AU$140,2,FALSE)</f>
        <v>200</v>
      </c>
      <c r="E1916" s="2579"/>
      <c r="F1916" s="388" t="s">
        <v>125</v>
      </c>
      <c r="G1916" s="2579">
        <f>VLOOKUP(D1915,'Detail Balok'!$C$10:$AU$140,3,FALSE)</f>
        <v>500</v>
      </c>
      <c r="H1916" s="2580"/>
      <c r="I1916" s="388"/>
      <c r="J1916" s="396"/>
      <c r="K1916" s="396"/>
      <c r="L1916" s="396"/>
      <c r="M1916" s="396"/>
      <c r="N1916" s="396"/>
      <c r="O1916" s="396"/>
      <c r="P1916" s="396"/>
      <c r="Q1916" s="396"/>
      <c r="R1916" s="396"/>
      <c r="S1916" s="396"/>
      <c r="T1916" s="396"/>
      <c r="U1916" s="388"/>
      <c r="V1916" s="396"/>
      <c r="W1916" s="388"/>
      <c r="X1916" s="396"/>
      <c r="Y1916" s="389"/>
      <c r="Z1916" s="396"/>
      <c r="AA1916" s="388"/>
      <c r="AB1916" s="390"/>
    </row>
    <row r="1917" spans="1:28">
      <c r="A1917" s="391"/>
      <c r="B1917" s="392"/>
      <c r="C1917" s="393" t="s">
        <v>198</v>
      </c>
      <c r="D1917" s="2562">
        <f>VLOOKUP(C1915,'Data Panjang Balok'!$C$9:$N$254,4,FALSE)</f>
        <v>4300</v>
      </c>
      <c r="E1917" s="2563"/>
      <c r="F1917" s="2563"/>
      <c r="G1917" s="2563"/>
      <c r="H1917" s="2564"/>
      <c r="I1917" s="397"/>
      <c r="J1917" s="396"/>
      <c r="K1917" s="396"/>
      <c r="L1917" s="396"/>
      <c r="M1917" s="396"/>
      <c r="N1917" s="396"/>
      <c r="O1917" s="396"/>
      <c r="P1917" s="396"/>
      <c r="Q1917" s="396"/>
      <c r="R1917" s="396"/>
      <c r="S1917" s="396"/>
      <c r="T1917" s="396"/>
      <c r="U1917" s="388"/>
      <c r="V1917" s="396"/>
      <c r="W1917" s="388"/>
      <c r="X1917" s="396"/>
      <c r="Y1917" s="389"/>
      <c r="Z1917" s="396"/>
      <c r="AA1917" s="388"/>
      <c r="AB1917" s="390"/>
    </row>
    <row r="1918" spans="1:28">
      <c r="A1918" s="391"/>
      <c r="B1918" s="392"/>
      <c r="C1918" s="393" t="s">
        <v>199</v>
      </c>
      <c r="D1918" s="2562">
        <f>VLOOKUP(C1915,'Data Panjang Balok'!$C$9:$N$254,7,FALSE)</f>
        <v>4300</v>
      </c>
      <c r="E1918" s="2563"/>
      <c r="F1918" s="2563"/>
      <c r="G1918" s="2563"/>
      <c r="H1918" s="2564"/>
      <c r="I1918" s="397"/>
      <c r="J1918" s="396"/>
      <c r="K1918" s="396"/>
      <c r="L1918" s="396"/>
      <c r="M1918" s="396"/>
      <c r="N1918" s="396"/>
      <c r="O1918" s="396"/>
      <c r="P1918" s="396"/>
      <c r="Q1918" s="396"/>
      <c r="R1918" s="396"/>
      <c r="S1918" s="396"/>
      <c r="T1918" s="396"/>
      <c r="U1918" s="388"/>
      <c r="V1918" s="396"/>
      <c r="W1918" s="388"/>
      <c r="X1918" s="396"/>
      <c r="Y1918" s="389"/>
      <c r="Z1918" s="396"/>
      <c r="AA1918" s="388"/>
      <c r="AB1918" s="390"/>
    </row>
    <row r="1919" spans="1:28">
      <c r="A1919" s="391"/>
      <c r="B1919" s="392"/>
      <c r="C1919" s="393" t="s">
        <v>200</v>
      </c>
      <c r="D1919" s="2562">
        <f>VLOOKUP(C1915,'Data Panjang Balok'!$C$9:$N$254,9,FALSE)</f>
        <v>0</v>
      </c>
      <c r="E1919" s="2563"/>
      <c r="F1919" s="2563"/>
      <c r="G1919" s="2563"/>
      <c r="H1919" s="2564"/>
      <c r="I1919" s="397"/>
      <c r="J1919" s="396"/>
      <c r="K1919" s="396"/>
      <c r="L1919" s="396"/>
      <c r="M1919" s="396"/>
      <c r="N1919" s="396"/>
      <c r="O1919" s="396"/>
      <c r="P1919" s="396"/>
      <c r="Q1919" s="396"/>
      <c r="R1919" s="396"/>
      <c r="S1919" s="396"/>
      <c r="T1919" s="396"/>
      <c r="U1919" s="388"/>
      <c r="V1919" s="396"/>
      <c r="W1919" s="388"/>
      <c r="X1919" s="396"/>
      <c r="Y1919" s="389"/>
      <c r="Z1919" s="396"/>
      <c r="AA1919" s="388"/>
      <c r="AB1919" s="390"/>
    </row>
    <row r="1920" spans="1:28">
      <c r="A1920" s="391"/>
      <c r="B1920" s="392"/>
      <c r="C1920" s="393" t="s">
        <v>201</v>
      </c>
      <c r="D1920" s="2562">
        <f>VLOOKUP(C1915,'Data Panjang Balok'!$C$9:$N$254,10,FALSE)</f>
        <v>0</v>
      </c>
      <c r="E1920" s="2563"/>
      <c r="F1920" s="2563"/>
      <c r="G1920" s="2563"/>
      <c r="H1920" s="2564"/>
      <c r="I1920" s="397"/>
      <c r="J1920" s="396"/>
      <c r="K1920" s="396"/>
      <c r="L1920" s="396"/>
      <c r="M1920" s="396"/>
      <c r="N1920" s="396"/>
      <c r="O1920" s="396"/>
      <c r="P1920" s="396"/>
      <c r="Q1920" s="396"/>
      <c r="R1920" s="396"/>
      <c r="S1920" s="396"/>
      <c r="T1920" s="396"/>
      <c r="U1920" s="388"/>
      <c r="V1920" s="396"/>
      <c r="W1920" s="388"/>
      <c r="X1920" s="396"/>
      <c r="Y1920" s="389"/>
      <c r="Z1920" s="396"/>
      <c r="AA1920" s="388"/>
      <c r="AB1920" s="390"/>
    </row>
    <row r="1921" spans="1:28">
      <c r="A1921" s="391"/>
      <c r="B1921" s="392"/>
      <c r="C1921" s="393" t="s">
        <v>48</v>
      </c>
      <c r="D1921" s="2562">
        <f>VLOOKUP(C1915,'Data Panjang Balok'!$C$9:$N$254,3,FALSE)</f>
        <v>1</v>
      </c>
      <c r="E1921" s="2563"/>
      <c r="F1921" s="2563"/>
      <c r="G1921" s="2563"/>
      <c r="H1921" s="2564"/>
      <c r="I1921" s="397"/>
      <c r="J1921" s="396"/>
      <c r="K1921" s="396"/>
      <c r="L1921" s="396"/>
      <c r="M1921" s="396"/>
      <c r="N1921" s="396"/>
      <c r="O1921" s="396"/>
      <c r="P1921" s="396"/>
      <c r="Q1921" s="396"/>
      <c r="R1921" s="396"/>
      <c r="S1921" s="396"/>
      <c r="T1921" s="396"/>
      <c r="U1921" s="388"/>
      <c r="V1921" s="396"/>
      <c r="W1921" s="388"/>
      <c r="X1921" s="396"/>
      <c r="Y1921" s="389"/>
      <c r="Z1921" s="396"/>
      <c r="AA1921" s="388"/>
      <c r="AB1921" s="390"/>
    </row>
    <row r="1922" spans="1:28">
      <c r="A1922" s="384" t="str">
        <f t="shared" ref="A1922:B1922" si="6126">A1915</f>
        <v>Lantai 1</v>
      </c>
      <c r="B1922" s="385">
        <f t="shared" si="6126"/>
        <v>62</v>
      </c>
      <c r="C1922" s="393" t="s">
        <v>202</v>
      </c>
      <c r="D1922" s="398">
        <f>VLOOKUP(D1915,'Detail Balok'!$C$10:$AU$140,4,FALSE)</f>
        <v>3</v>
      </c>
      <c r="E1922" s="388" t="s">
        <v>16</v>
      </c>
      <c r="F1922" s="388">
        <f>VLOOKUP(D1915,'Detail Balok'!$C$10:$AU$140,6,FALSE)</f>
        <v>16</v>
      </c>
      <c r="G1922" s="388"/>
      <c r="H1922" s="395"/>
      <c r="I1922" s="388" t="s">
        <v>203</v>
      </c>
      <c r="J1922" s="399">
        <f t="shared" ref="J1922" si="6127">+D1917/4/1000</f>
        <v>1.075</v>
      </c>
      <c r="K1922" s="400" t="s">
        <v>204</v>
      </c>
      <c r="L1922" s="399">
        <f t="shared" ref="L1922" si="6128">MAX(VLOOKUP(F1922,N$6:P$15,3,FALSE)/1000,2/3*D1919/1000)+F$16*F1922/1000</f>
        <v>0.192</v>
      </c>
      <c r="M1922" s="399" t="s">
        <v>176</v>
      </c>
      <c r="N1922" s="399">
        <f t="shared" ref="N1922:N1924" si="6129">J1922+L1922</f>
        <v>1.2669999999999999</v>
      </c>
      <c r="O1922" s="399" t="s">
        <v>204</v>
      </c>
      <c r="P1922" s="389">
        <f t="shared" ref="P1922" si="6130">D1922-D1923</f>
        <v>0</v>
      </c>
      <c r="Q1922" s="399" t="s">
        <v>125</v>
      </c>
      <c r="R1922" s="399">
        <f t="shared" ref="R1922" si="6131">IF(P1922&gt;0,$F$18*F1922/1000,0)</f>
        <v>0</v>
      </c>
      <c r="S1922" s="399" t="s">
        <v>205</v>
      </c>
      <c r="T1922" s="399" t="s">
        <v>125</v>
      </c>
      <c r="U1922" s="401">
        <f t="shared" ref="U1922:U1924" si="6132">0.006165*F1922^2</f>
        <v>1.5782400000000001</v>
      </c>
      <c r="V1922" s="399"/>
      <c r="W1922" s="399"/>
      <c r="X1922" s="399" t="s">
        <v>125</v>
      </c>
      <c r="Y1922" s="389">
        <f t="shared" ref="Y1922" si="6133">D1921</f>
        <v>1</v>
      </c>
      <c r="Z1922" s="400" t="s">
        <v>176</v>
      </c>
      <c r="AA1922" s="402">
        <f t="shared" ref="AA1922" si="6134">IF(AA1925=0,(D1922*N1922+P1922*R1922)*U1922*Y1922,0)</f>
        <v>0</v>
      </c>
      <c r="AB1922" s="403"/>
    </row>
    <row r="1923" spans="1:28">
      <c r="A1923" s="384" t="str">
        <f t="shared" ref="A1923:B1923" si="6135">A1915</f>
        <v>Lantai 1</v>
      </c>
      <c r="B1923" s="385">
        <f t="shared" si="6135"/>
        <v>62</v>
      </c>
      <c r="C1923" s="393" t="s">
        <v>206</v>
      </c>
      <c r="D1923" s="398">
        <f>VLOOKUP(D1915,'Detail Balok'!$C$10:$AU$140,7,FALSE)</f>
        <v>3</v>
      </c>
      <c r="E1923" s="388" t="s">
        <v>16</v>
      </c>
      <c r="F1923" s="388">
        <f>VLOOKUP(D1915,'Detail Balok'!$C$10:$AU$140,9,FALSE)</f>
        <v>16</v>
      </c>
      <c r="G1923" s="388"/>
      <c r="H1923" s="395"/>
      <c r="I1923" s="388" t="s">
        <v>203</v>
      </c>
      <c r="J1923" s="399">
        <f t="shared" ref="J1923" si="6136">+D1917/2/1000</f>
        <v>2.15</v>
      </c>
      <c r="K1923" s="400" t="s">
        <v>204</v>
      </c>
      <c r="L1923" s="399"/>
      <c r="M1923" s="399" t="s">
        <v>176</v>
      </c>
      <c r="N1923" s="399">
        <f t="shared" si="6129"/>
        <v>2.15</v>
      </c>
      <c r="O1923" s="399" t="s">
        <v>204</v>
      </c>
      <c r="P1923" s="389">
        <f t="shared" ref="P1923" si="6137">MAX(D1923-D1922,D1923-D1924)</f>
        <v>0</v>
      </c>
      <c r="Q1923" s="399" t="s">
        <v>125</v>
      </c>
      <c r="R1923" s="399">
        <f t="shared" ref="R1923" si="6138">IF(P1923&gt;0,2*(1-2*$F$19-1/2)*D1918/1000,0)</f>
        <v>0</v>
      </c>
      <c r="S1923" s="399" t="s">
        <v>205</v>
      </c>
      <c r="T1923" s="399" t="s">
        <v>125</v>
      </c>
      <c r="U1923" s="401">
        <f t="shared" si="6132"/>
        <v>1.5782400000000001</v>
      </c>
      <c r="V1923" s="399"/>
      <c r="W1923" s="399"/>
      <c r="X1923" s="399" t="s">
        <v>125</v>
      </c>
      <c r="Y1923" s="389">
        <f t="shared" ref="Y1923" si="6139">D1921</f>
        <v>1</v>
      </c>
      <c r="Z1923" s="400" t="s">
        <v>176</v>
      </c>
      <c r="AA1923" s="402">
        <f t="shared" ref="AA1923" si="6140">IF(AA1925=0,(D1923*N1923+P1923*R1923)*U1923*Y1923,0)</f>
        <v>0</v>
      </c>
      <c r="AB1923" s="403"/>
    </row>
    <row r="1924" spans="1:28">
      <c r="A1924" s="384" t="str">
        <f t="shared" ref="A1924:B1924" si="6141">A1915</f>
        <v>Lantai 1</v>
      </c>
      <c r="B1924" s="385">
        <f t="shared" si="6141"/>
        <v>62</v>
      </c>
      <c r="C1924" s="393" t="s">
        <v>202</v>
      </c>
      <c r="D1924" s="398">
        <f>VLOOKUP(D1915,'Detail Balok'!$C$10:$AU$140,10,FALSE)</f>
        <v>3</v>
      </c>
      <c r="E1924" s="388" t="s">
        <v>16</v>
      </c>
      <c r="F1924" s="388">
        <f>VLOOKUP(D1915,'Detail Balok'!$C$10:$AU$140,12,FALSE)</f>
        <v>16</v>
      </c>
      <c r="G1924" s="388"/>
      <c r="H1924" s="395"/>
      <c r="I1924" s="388" t="s">
        <v>203</v>
      </c>
      <c r="J1924" s="399">
        <f t="shared" ref="J1924" si="6142">+D1917/4/1000</f>
        <v>1.075</v>
      </c>
      <c r="K1924" s="400" t="s">
        <v>204</v>
      </c>
      <c r="L1924" s="399">
        <f t="shared" ref="L1924" si="6143">MAX(VLOOKUP(F1924,N$6:P$15,3,FALSE)/1000,2/3*D1919/1000)+F$16*F1924/1000</f>
        <v>0.192</v>
      </c>
      <c r="M1924" s="399" t="s">
        <v>176</v>
      </c>
      <c r="N1924" s="399">
        <f t="shared" si="6129"/>
        <v>1.2669999999999999</v>
      </c>
      <c r="O1924" s="399" t="s">
        <v>204</v>
      </c>
      <c r="P1924" s="389">
        <f t="shared" ref="P1924" si="6144">D1924-D1923</f>
        <v>0</v>
      </c>
      <c r="Q1924" s="399" t="s">
        <v>125</v>
      </c>
      <c r="R1924" s="399">
        <f t="shared" ref="R1924" si="6145">IF(P1924&gt;0,$F$18*F1924/1000,0)</f>
        <v>0</v>
      </c>
      <c r="S1924" s="399" t="s">
        <v>205</v>
      </c>
      <c r="T1924" s="399" t="s">
        <v>125</v>
      </c>
      <c r="U1924" s="401">
        <f t="shared" si="6132"/>
        <v>1.5782400000000001</v>
      </c>
      <c r="V1924" s="399"/>
      <c r="W1924" s="399"/>
      <c r="X1924" s="399" t="s">
        <v>125</v>
      </c>
      <c r="Y1924" s="389">
        <f t="shared" ref="Y1924" si="6146">D1921</f>
        <v>1</v>
      </c>
      <c r="Z1924" s="400" t="s">
        <v>176</v>
      </c>
      <c r="AA1924" s="402">
        <f t="shared" ref="AA1924" si="6147">IF(AA1925=0,(D1924*N1924+P1924*R1924)*U1924*Y1924,0)</f>
        <v>0</v>
      </c>
      <c r="AB1924" s="403"/>
    </row>
    <row r="1925" spans="1:28">
      <c r="A1925" s="384" t="str">
        <f t="shared" ref="A1925:B1925" si="6148">A1915</f>
        <v>Lantai 1</v>
      </c>
      <c r="B1925" s="385">
        <f t="shared" si="6148"/>
        <v>62</v>
      </c>
      <c r="C1925" s="393"/>
      <c r="D1925" s="398">
        <f t="shared" si="6044"/>
        <v>3</v>
      </c>
      <c r="E1925" s="388" t="s">
        <v>16</v>
      </c>
      <c r="F1925" s="388">
        <f t="shared" si="6045"/>
        <v>16</v>
      </c>
      <c r="G1925" s="388"/>
      <c r="H1925" s="395"/>
      <c r="I1925" s="388"/>
      <c r="J1925" s="396"/>
      <c r="K1925" s="396"/>
      <c r="L1925" s="404" t="s">
        <v>207</v>
      </c>
      <c r="M1925" s="399" t="s">
        <v>176</v>
      </c>
      <c r="N1925" s="399">
        <f t="shared" ref="N1925" si="6149">IF(AND(D1922=D1923,D1922=D1924,D1923=D1924,F1922=F1923,F1922=F1924,F1923=F1924),SUM(N1922:N1924),0)</f>
        <v>4.6839999999999993</v>
      </c>
      <c r="O1925" s="399" t="s">
        <v>204</v>
      </c>
      <c r="P1925" s="389">
        <f t="shared" ref="P1925" si="6150">IF(N1925&gt;12,ROUNDDOWN(N1925/12,0),0)</f>
        <v>0</v>
      </c>
      <c r="Q1925" s="399" t="s">
        <v>125</v>
      </c>
      <c r="R1925" s="399">
        <f t="shared" ref="R1925" si="6151">IF(P1925&gt;0,MAX(VLOOKUP(F1925,$D$6:$G$15,3,FALSE),600),0)/1000</f>
        <v>0</v>
      </c>
      <c r="S1925" s="396"/>
      <c r="T1925" s="396" t="s">
        <v>125</v>
      </c>
      <c r="U1925" s="401">
        <f t="shared" si="6049"/>
        <v>1.5782400000000001</v>
      </c>
      <c r="V1925" s="396" t="s">
        <v>125</v>
      </c>
      <c r="W1925" s="399">
        <f t="shared" ref="W1925" si="6152">D1925</f>
        <v>3</v>
      </c>
      <c r="X1925" s="399" t="s">
        <v>125</v>
      </c>
      <c r="Y1925" s="389">
        <f t="shared" si="6051"/>
        <v>1</v>
      </c>
      <c r="Z1925" s="400" t="s">
        <v>176</v>
      </c>
      <c r="AA1925" s="402">
        <f t="shared" ref="AA1925" si="6153">(N1925+P1925*R1925/1000)*U1925*W1925*Y1925</f>
        <v>22.177428479999996</v>
      </c>
      <c r="AB1925" s="390"/>
    </row>
    <row r="1926" spans="1:28">
      <c r="A1926" s="384"/>
      <c r="B1926" s="385"/>
      <c r="C1926" s="393"/>
      <c r="D1926" s="398"/>
      <c r="E1926" s="388"/>
      <c r="F1926" s="388"/>
      <c r="G1926" s="388"/>
      <c r="H1926" s="395"/>
      <c r="I1926" s="388"/>
      <c r="J1926" s="396"/>
      <c r="K1926" s="396"/>
      <c r="L1926" s="404"/>
      <c r="M1926" s="399"/>
      <c r="N1926" s="399"/>
      <c r="O1926" s="396"/>
      <c r="P1926" s="389"/>
      <c r="Q1926" s="396"/>
      <c r="R1926" s="396"/>
      <c r="S1926" s="396"/>
      <c r="T1926" s="396"/>
      <c r="U1926" s="401"/>
      <c r="V1926" s="396"/>
      <c r="W1926" s="399"/>
      <c r="X1926" s="396"/>
      <c r="Y1926" s="389"/>
      <c r="Z1926" s="396"/>
      <c r="AA1926" s="388"/>
      <c r="AB1926" s="390"/>
    </row>
    <row r="1927" spans="1:28">
      <c r="A1927" s="384" t="str">
        <f t="shared" ref="A1927:B1927" si="6154">A1915</f>
        <v>Lantai 1</v>
      </c>
      <c r="B1927" s="385">
        <f t="shared" si="6154"/>
        <v>62</v>
      </c>
      <c r="C1927" s="393" t="s">
        <v>208</v>
      </c>
      <c r="D1927" s="398">
        <f>VLOOKUP(D1915,'Detail Balok'!$C$10:$AU$140,13,FALSE)</f>
        <v>2</v>
      </c>
      <c r="E1927" s="388" t="s">
        <v>16</v>
      </c>
      <c r="F1927" s="388">
        <f>VLOOKUP(D1915,'Detail Balok'!$C$10:$AU$140,15,FALSE)</f>
        <v>10</v>
      </c>
      <c r="G1927" s="388"/>
      <c r="H1927" s="395"/>
      <c r="I1927" s="388"/>
      <c r="J1927" s="399">
        <f t="shared" ref="J1927" si="6155">+D1917/1000</f>
        <v>4.3</v>
      </c>
      <c r="K1927" s="400" t="s">
        <v>204</v>
      </c>
      <c r="L1927" s="399">
        <f t="shared" ref="L1927" si="6156">2*$F$16*F1927/1000</f>
        <v>0.24</v>
      </c>
      <c r="M1927" s="399" t="s">
        <v>176</v>
      </c>
      <c r="N1927" s="399">
        <f t="shared" ref="N1927" si="6157">J1927+L1927</f>
        <v>4.54</v>
      </c>
      <c r="O1927" s="399" t="s">
        <v>204</v>
      </c>
      <c r="P1927" s="389">
        <f t="shared" ref="P1927" si="6158">IF(N1927&gt;12,ROUNDDOWN(N1927/12,0),0)</f>
        <v>0</v>
      </c>
      <c r="Q1927" s="399" t="s">
        <v>125</v>
      </c>
      <c r="R1927" s="399">
        <f t="shared" ref="R1927" si="6159">IF(P1927&gt;0,MAX(VLOOKUP(F1927,$D$6:$G$15,3,FALSE),600),0)/1000</f>
        <v>0</v>
      </c>
      <c r="S1927" s="399"/>
      <c r="T1927" s="399" t="s">
        <v>125</v>
      </c>
      <c r="U1927" s="401">
        <f t="shared" ref="U1927" si="6160">0.006165*F1927^2</f>
        <v>0.61650000000000005</v>
      </c>
      <c r="V1927" s="399" t="s">
        <v>125</v>
      </c>
      <c r="W1927" s="399">
        <f t="shared" ref="W1927" si="6161">+D1927</f>
        <v>2</v>
      </c>
      <c r="X1927" s="399" t="s">
        <v>125</v>
      </c>
      <c r="Y1927" s="389">
        <f t="shared" ref="Y1927" si="6162">D1921</f>
        <v>1</v>
      </c>
      <c r="Z1927" s="400" t="s">
        <v>176</v>
      </c>
      <c r="AA1927" s="402">
        <f t="shared" ref="AA1927" si="6163">(N1927+P1927*R1927/1000)*U1927*W1927*Y1927</f>
        <v>5.5978200000000005</v>
      </c>
      <c r="AB1927" s="403"/>
    </row>
    <row r="1928" spans="1:28">
      <c r="A1928" s="384"/>
      <c r="B1928" s="385"/>
      <c r="C1928" s="393"/>
      <c r="D1928" s="398"/>
      <c r="E1928" s="388"/>
      <c r="F1928" s="388"/>
      <c r="G1928" s="388"/>
      <c r="H1928" s="395"/>
      <c r="I1928" s="388"/>
      <c r="J1928" s="399"/>
      <c r="K1928" s="400"/>
      <c r="L1928" s="399"/>
      <c r="M1928" s="399"/>
      <c r="N1928" s="399"/>
      <c r="O1928" s="399"/>
      <c r="P1928" s="389"/>
      <c r="Q1928" s="399"/>
      <c r="R1928" s="399"/>
      <c r="S1928" s="399"/>
      <c r="T1928" s="399"/>
      <c r="U1928" s="401"/>
      <c r="V1928" s="399"/>
      <c r="W1928" s="399"/>
      <c r="X1928" s="399"/>
      <c r="Y1928" s="389"/>
      <c r="Z1928" s="400"/>
      <c r="AA1928" s="402"/>
      <c r="AB1928" s="403"/>
    </row>
    <row r="1929" spans="1:28">
      <c r="A1929" s="384"/>
      <c r="B1929" s="385"/>
      <c r="C1929" s="393"/>
      <c r="D1929" s="398"/>
      <c r="E1929" s="388"/>
      <c r="F1929" s="388"/>
      <c r="G1929" s="388"/>
      <c r="H1929" s="395"/>
      <c r="I1929" s="388"/>
      <c r="J1929" s="396"/>
      <c r="K1929" s="396"/>
      <c r="L1929" s="396"/>
      <c r="M1929" s="396"/>
      <c r="N1929" s="396"/>
      <c r="O1929" s="396"/>
      <c r="P1929" s="389"/>
      <c r="Q1929" s="396"/>
      <c r="R1929" s="396"/>
      <c r="S1929" s="396"/>
      <c r="T1929" s="396"/>
      <c r="U1929" s="401"/>
      <c r="V1929" s="396"/>
      <c r="W1929" s="399"/>
      <c r="X1929" s="396"/>
      <c r="Y1929" s="389"/>
      <c r="Z1929" s="396"/>
      <c r="AA1929" s="388"/>
      <c r="AB1929" s="390"/>
    </row>
    <row r="1930" spans="1:28">
      <c r="A1930" s="384" t="str">
        <f t="shared" ref="A1930:B1930" si="6164">A1915</f>
        <v>Lantai 1</v>
      </c>
      <c r="B1930" s="385">
        <f t="shared" si="6164"/>
        <v>62</v>
      </c>
      <c r="C1930" s="393" t="s">
        <v>209</v>
      </c>
      <c r="D1930" s="398">
        <f>VLOOKUP(D1915,'Detail Balok'!$C$10:$AU$140,22,FALSE)</f>
        <v>3</v>
      </c>
      <c r="E1930" s="388" t="s">
        <v>16</v>
      </c>
      <c r="F1930" s="388">
        <f>VLOOKUP(D1915,'Detail Balok'!$C$10:$AU$140,24,FALSE)</f>
        <v>16</v>
      </c>
      <c r="G1930" s="388"/>
      <c r="H1930" s="395"/>
      <c r="I1930" s="388" t="s">
        <v>203</v>
      </c>
      <c r="J1930" s="399">
        <f t="shared" si="6064"/>
        <v>1.075</v>
      </c>
      <c r="K1930" s="400" t="s">
        <v>204</v>
      </c>
      <c r="L1930" s="399">
        <f t="shared" ref="L1930" si="6165">MAX(VLOOKUP(F1930,N$6:P$15,3,FALSE)/1000,2/3*D1920/1000)+F$16*F1930/1000</f>
        <v>0.192</v>
      </c>
      <c r="M1930" s="399" t="s">
        <v>176</v>
      </c>
      <c r="N1930" s="399">
        <f t="shared" ref="N1930:N1932" si="6166">J1930+L1930</f>
        <v>1.2669999999999999</v>
      </c>
      <c r="O1930" s="399" t="s">
        <v>204</v>
      </c>
      <c r="P1930" s="389">
        <f t="shared" ref="P1930" si="6167">D1930-D1931</f>
        <v>0</v>
      </c>
      <c r="Q1930" s="399" t="s">
        <v>125</v>
      </c>
      <c r="R1930" s="399">
        <f t="shared" ref="R1930" si="6168">IF(P1930&gt;0,$F$18*F1930/1000,0)</f>
        <v>0</v>
      </c>
      <c r="S1930" s="399" t="s">
        <v>205</v>
      </c>
      <c r="T1930" s="399" t="s">
        <v>125</v>
      </c>
      <c r="U1930" s="401">
        <f t="shared" ref="U1930:U1932" si="6169">0.006165*F1930^2</f>
        <v>1.5782400000000001</v>
      </c>
      <c r="V1930" s="399"/>
      <c r="W1930" s="399"/>
      <c r="X1930" s="399" t="s">
        <v>125</v>
      </c>
      <c r="Y1930" s="389">
        <f t="shared" ref="Y1930" si="6170">D1921</f>
        <v>1</v>
      </c>
      <c r="Z1930" s="400" t="s">
        <v>176</v>
      </c>
      <c r="AA1930" s="402">
        <f t="shared" ref="AA1930" si="6171">IF(AA1933=0,(D1930*N1930+P1930*R1930)*U1930*Y1930,0)</f>
        <v>0</v>
      </c>
      <c r="AB1930" s="403"/>
    </row>
    <row r="1931" spans="1:28">
      <c r="A1931" s="384" t="str">
        <f t="shared" ref="A1931:B1931" si="6172">A1915</f>
        <v>Lantai 1</v>
      </c>
      <c r="B1931" s="385">
        <f t="shared" si="6172"/>
        <v>62</v>
      </c>
      <c r="C1931" s="393" t="s">
        <v>210</v>
      </c>
      <c r="D1931" s="398">
        <f>VLOOKUP(D1915,'Detail Balok'!$C$10:$AU$140,25,FALSE)</f>
        <v>3</v>
      </c>
      <c r="E1931" s="388" t="s">
        <v>16</v>
      </c>
      <c r="F1931" s="388">
        <f>VLOOKUP(D1915,'Detail Balok'!$C$10:$AU$140,27,FALSE)</f>
        <v>16</v>
      </c>
      <c r="G1931" s="388"/>
      <c r="H1931" s="395"/>
      <c r="I1931" s="388" t="s">
        <v>203</v>
      </c>
      <c r="J1931" s="399">
        <f t="shared" si="6064"/>
        <v>2.15</v>
      </c>
      <c r="K1931" s="400" t="s">
        <v>204</v>
      </c>
      <c r="L1931" s="399"/>
      <c r="M1931" s="399" t="s">
        <v>176</v>
      </c>
      <c r="N1931" s="399">
        <f t="shared" si="6166"/>
        <v>2.15</v>
      </c>
      <c r="O1931" s="399" t="s">
        <v>204</v>
      </c>
      <c r="P1931" s="389">
        <f t="shared" ref="P1931" si="6173">MAX(D1931-D1930,D1931-D1932)</f>
        <v>0</v>
      </c>
      <c r="Q1931" s="399" t="s">
        <v>125</v>
      </c>
      <c r="R1931" s="399">
        <f t="shared" ref="R1931" si="6174">IF(P1931&gt;0,2*(1-2*$F$19-1/2)*D1918/1000,0)</f>
        <v>0</v>
      </c>
      <c r="S1931" s="399" t="s">
        <v>205</v>
      </c>
      <c r="T1931" s="399" t="s">
        <v>125</v>
      </c>
      <c r="U1931" s="401">
        <f t="shared" si="6169"/>
        <v>1.5782400000000001</v>
      </c>
      <c r="V1931" s="399"/>
      <c r="W1931" s="399"/>
      <c r="X1931" s="399" t="s">
        <v>125</v>
      </c>
      <c r="Y1931" s="389">
        <f t="shared" ref="Y1931" si="6175">D1921</f>
        <v>1</v>
      </c>
      <c r="Z1931" s="400" t="s">
        <v>176</v>
      </c>
      <c r="AA1931" s="402">
        <f t="shared" ref="AA1931" si="6176">IF(AA1933=0,(D1931*N1931+P1931*R1931)*U1931*Y1931,0)</f>
        <v>0</v>
      </c>
      <c r="AB1931" s="403"/>
    </row>
    <row r="1932" spans="1:28">
      <c r="A1932" s="384" t="str">
        <f t="shared" ref="A1932:B1932" si="6177">A1915</f>
        <v>Lantai 1</v>
      </c>
      <c r="B1932" s="385">
        <f t="shared" si="6177"/>
        <v>62</v>
      </c>
      <c r="C1932" s="393" t="s">
        <v>209</v>
      </c>
      <c r="D1932" s="398">
        <f>VLOOKUP(D1915,'Detail Balok'!$C$10:$AU$140,28,FALSE)</f>
        <v>3</v>
      </c>
      <c r="E1932" s="388" t="s">
        <v>16</v>
      </c>
      <c r="F1932" s="388">
        <f>VLOOKUP(D1915,'Detail Balok'!$C$10:$AU$140,30,FALSE)</f>
        <v>16</v>
      </c>
      <c r="G1932" s="388"/>
      <c r="H1932" s="395"/>
      <c r="I1932" s="388" t="s">
        <v>203</v>
      </c>
      <c r="J1932" s="399">
        <f t="shared" si="6064"/>
        <v>1.075</v>
      </c>
      <c r="K1932" s="400" t="s">
        <v>204</v>
      </c>
      <c r="L1932" s="399">
        <f t="shared" ref="L1932" si="6178">MAX(VLOOKUP(F1932,N$6:P$15,3,FALSE)/1000,2/3*D1920/1000)+F$16*F1932/1000</f>
        <v>0.192</v>
      </c>
      <c r="M1932" s="399" t="s">
        <v>176</v>
      </c>
      <c r="N1932" s="399">
        <f t="shared" si="6166"/>
        <v>1.2669999999999999</v>
      </c>
      <c r="O1932" s="399" t="s">
        <v>204</v>
      </c>
      <c r="P1932" s="389">
        <f t="shared" ref="P1932" si="6179">D1932-D1931</f>
        <v>0</v>
      </c>
      <c r="Q1932" s="399" t="s">
        <v>125</v>
      </c>
      <c r="R1932" s="399">
        <f t="shared" ref="R1932" si="6180">IF(P1932&gt;0,$F$18*F1932/1000,0)</f>
        <v>0</v>
      </c>
      <c r="S1932" s="399" t="s">
        <v>205</v>
      </c>
      <c r="T1932" s="399" t="s">
        <v>125</v>
      </c>
      <c r="U1932" s="401">
        <f t="shared" si="6169"/>
        <v>1.5782400000000001</v>
      </c>
      <c r="V1932" s="399"/>
      <c r="W1932" s="399"/>
      <c r="X1932" s="399" t="s">
        <v>125</v>
      </c>
      <c r="Y1932" s="389">
        <f t="shared" ref="Y1932" si="6181">D1921</f>
        <v>1</v>
      </c>
      <c r="Z1932" s="400" t="s">
        <v>176</v>
      </c>
      <c r="AA1932" s="402">
        <f t="shared" ref="AA1932" si="6182">IF(AA1933=0,(D1932*N1932+P1932*R1932)*U1932*Y1932,0)</f>
        <v>0</v>
      </c>
      <c r="AB1932" s="403"/>
    </row>
    <row r="1933" spans="1:28">
      <c r="A1933" s="384" t="str">
        <f t="shared" ref="A1933:B1933" si="6183">A1915</f>
        <v>Lantai 1</v>
      </c>
      <c r="B1933" s="385">
        <f t="shared" si="6183"/>
        <v>62</v>
      </c>
      <c r="C1933" s="393"/>
      <c r="D1933" s="398">
        <f t="shared" si="6084"/>
        <v>3</v>
      </c>
      <c r="E1933" s="388" t="s">
        <v>16</v>
      </c>
      <c r="F1933" s="388">
        <f t="shared" si="6085"/>
        <v>16</v>
      </c>
      <c r="G1933" s="388"/>
      <c r="H1933" s="395"/>
      <c r="I1933" s="388"/>
      <c r="J1933" s="396"/>
      <c r="K1933" s="396"/>
      <c r="L1933" s="404" t="s">
        <v>207</v>
      </c>
      <c r="M1933" s="399" t="s">
        <v>176</v>
      </c>
      <c r="N1933" s="399">
        <f t="shared" ref="N1933" si="6184">IF(AND(D1930=D1931,D1930=D1932,D1931=D1932,F1930=F1931,F1930=F1932,F1931=F1932),SUM(N1930:N1932),0)</f>
        <v>4.6839999999999993</v>
      </c>
      <c r="O1933" s="399" t="s">
        <v>204</v>
      </c>
      <c r="P1933" s="389">
        <f t="shared" ref="P1933" si="6185">IF(N1933&gt;12,ROUNDDOWN(N1933/12,0),0)</f>
        <v>0</v>
      </c>
      <c r="Q1933" s="399" t="s">
        <v>125</v>
      </c>
      <c r="R1933" s="399">
        <f t="shared" ref="R1933" si="6186">IF(P1933&gt;0,MAX(VLOOKUP(F1933,$D$6:$G$15,3,FALSE),600),0)/1000</f>
        <v>0</v>
      </c>
      <c r="S1933" s="396"/>
      <c r="T1933" s="396" t="s">
        <v>125</v>
      </c>
      <c r="U1933" s="401">
        <f t="shared" si="6089"/>
        <v>1.5782400000000001</v>
      </c>
      <c r="V1933" s="396" t="s">
        <v>125</v>
      </c>
      <c r="W1933" s="399">
        <f t="shared" ref="W1933" si="6187">D1933</f>
        <v>3</v>
      </c>
      <c r="X1933" s="399" t="s">
        <v>125</v>
      </c>
      <c r="Y1933" s="389">
        <f t="shared" si="6091"/>
        <v>1</v>
      </c>
      <c r="Z1933" s="400" t="s">
        <v>176</v>
      </c>
      <c r="AA1933" s="402">
        <f t="shared" ref="AA1933" si="6188">(N1933+P1933*R1933/1000)*U1933*W1933*Y1933</f>
        <v>22.177428479999996</v>
      </c>
      <c r="AB1933" s="403"/>
    </row>
    <row r="1934" spans="1:28">
      <c r="A1934" s="384"/>
      <c r="B1934" s="385"/>
      <c r="C1934" s="393"/>
      <c r="D1934" s="394"/>
      <c r="E1934" s="388"/>
      <c r="F1934" s="388"/>
      <c r="G1934" s="388"/>
      <c r="H1934" s="395"/>
      <c r="I1934" s="388"/>
      <c r="J1934" s="399"/>
      <c r="K1934" s="396"/>
      <c r="L1934" s="396"/>
      <c r="M1934" s="396"/>
      <c r="N1934" s="396"/>
      <c r="O1934" s="396"/>
      <c r="P1934" s="389"/>
      <c r="Q1934" s="396"/>
      <c r="R1934" s="396"/>
      <c r="S1934" s="396"/>
      <c r="T1934" s="396"/>
      <c r="U1934" s="401"/>
      <c r="V1934" s="396"/>
      <c r="W1934" s="388"/>
      <c r="X1934" s="396"/>
      <c r="Y1934" s="389"/>
      <c r="Z1934" s="396"/>
      <c r="AA1934" s="388"/>
      <c r="AB1934" s="390"/>
    </row>
    <row r="1935" spans="1:28">
      <c r="A1935" s="384" t="str">
        <f t="shared" ref="A1935:B1935" si="6189">A1915</f>
        <v>Lantai 1</v>
      </c>
      <c r="B1935" s="385">
        <f t="shared" si="6189"/>
        <v>62</v>
      </c>
      <c r="C1935" s="393" t="s">
        <v>211</v>
      </c>
      <c r="D1935" s="398">
        <f>VLOOKUP(D1915,'Detail Balok'!$C$10:$AU$140,31,FALSE)</f>
        <v>0</v>
      </c>
      <c r="E1935" s="388" t="s">
        <v>16</v>
      </c>
      <c r="F1935" s="388">
        <f>VLOOKUP(D1915,'Detail Balok'!$C$10:$AU$140,33,FALSE)</f>
        <v>8</v>
      </c>
      <c r="G1935" s="405" t="s">
        <v>157</v>
      </c>
      <c r="H1935" s="395">
        <f>VLOOKUP(D1915,'Detail Balok'!$C$10:$AU$140,35,FALSE)</f>
        <v>150</v>
      </c>
      <c r="I1935" s="388"/>
      <c r="J1935" s="400">
        <f t="shared" ref="J1935" si="6190">(IF(D1935=0,(2*(D1916+G1916))-(F$5*8),IF(D1935=3,(2*(D1916+G1916))-(F$5*8)+(G1916-2*F$5),IF(D1935=4,(2*(D1916+G1916))-(F$5*8)+2*(G1916-2*F$5)))))/1000</f>
        <v>1.08</v>
      </c>
      <c r="K1935" s="400" t="s">
        <v>204</v>
      </c>
      <c r="L1935" s="399">
        <f t="shared" ref="L1935:L1937" si="6191">IF(D1935=0,2*MAX(6*F1935,75),(D1935-1)*2*MAX(6*F1935,75))/1000</f>
        <v>0.15</v>
      </c>
      <c r="M1935" s="399" t="s">
        <v>176</v>
      </c>
      <c r="N1935" s="399">
        <f t="shared" ref="N1935:N1937" si="6192">J1935+L1935</f>
        <v>1.23</v>
      </c>
      <c r="O1935" s="399"/>
      <c r="P1935" s="389"/>
      <c r="Q1935" s="399"/>
      <c r="R1935" s="399"/>
      <c r="S1935" s="399"/>
      <c r="T1935" s="399" t="s">
        <v>125</v>
      </c>
      <c r="U1935" s="401">
        <f t="shared" ref="U1935:U1937" si="6193">0.006165*F1935^2</f>
        <v>0.39456000000000002</v>
      </c>
      <c r="V1935" s="399" t="s">
        <v>125</v>
      </c>
      <c r="W1935" s="399">
        <f t="shared" ref="W1935" si="6194">IF(D1918&gt;4*G1916,ROUND(MAX(D1918/4,2*G1916)/H1935,0)+1,ROUND(D1918/H1935,0)+1)</f>
        <v>8</v>
      </c>
      <c r="X1935" s="399" t="s">
        <v>125</v>
      </c>
      <c r="Y1935" s="389">
        <f t="shared" ref="Y1935" si="6195">D1921</f>
        <v>1</v>
      </c>
      <c r="Z1935" s="400" t="s">
        <v>176</v>
      </c>
      <c r="AA1935" s="402">
        <f t="shared" ref="AA1935:AA1937" si="6196">N1935*U1935*W1935*Y1935</f>
        <v>3.8824704000000003</v>
      </c>
      <c r="AB1935" s="403"/>
    </row>
    <row r="1936" spans="1:28">
      <c r="A1936" s="384" t="str">
        <f t="shared" ref="A1936:B1936" si="6197">A1915</f>
        <v>Lantai 1</v>
      </c>
      <c r="B1936" s="385">
        <f t="shared" si="6197"/>
        <v>62</v>
      </c>
      <c r="C1936" s="393" t="s">
        <v>212</v>
      </c>
      <c r="D1936" s="398">
        <f>VLOOKUP(D1915,'Detail Balok'!$C$10:$AU$140,36,FALSE)</f>
        <v>0</v>
      </c>
      <c r="E1936" s="388" t="s">
        <v>16</v>
      </c>
      <c r="F1936" s="388">
        <f>VLOOKUP(D1915,'Detail Balok'!$C$10:$AU$140,38,FALSE)</f>
        <v>8</v>
      </c>
      <c r="G1936" s="405" t="s">
        <v>157</v>
      </c>
      <c r="H1936" s="395">
        <f>VLOOKUP(D1915,'Detail Balok'!$C$10:$AU$140,40,FALSE)</f>
        <v>200</v>
      </c>
      <c r="I1936" s="388"/>
      <c r="J1936" s="400">
        <f t="shared" ref="J1936" si="6198">(IF(D1936=0,(2*(D1916+G1916))-(F$5*8),IF(D1936=3,(2*(D1916+G1916))-(F$5*8)+(G1916-2*F$5),IF(D1936=4,(2*(D1916+G1916))-(F$5*8)+2*(G1916-2*F$5)))))/1000</f>
        <v>1.08</v>
      </c>
      <c r="K1936" s="400" t="s">
        <v>204</v>
      </c>
      <c r="L1936" s="399">
        <f t="shared" si="6191"/>
        <v>0.15</v>
      </c>
      <c r="M1936" s="399" t="s">
        <v>176</v>
      </c>
      <c r="N1936" s="399">
        <f t="shared" si="6192"/>
        <v>1.23</v>
      </c>
      <c r="O1936" s="399"/>
      <c r="P1936" s="389"/>
      <c r="Q1936" s="399"/>
      <c r="R1936" s="399"/>
      <c r="S1936" s="399"/>
      <c r="T1936" s="399" t="s">
        <v>125</v>
      </c>
      <c r="U1936" s="401">
        <f t="shared" si="6193"/>
        <v>0.39456000000000002</v>
      </c>
      <c r="V1936" s="399" t="s">
        <v>125</v>
      </c>
      <c r="W1936" s="399">
        <f t="shared" ref="W1936" si="6199">IF(D1918-MAX(D1918/4,2*G1916)*2&gt;0,ROUND((D1918-MAX(D1918/4,2*G1916)*2)/H1936,0),0)</f>
        <v>11</v>
      </c>
      <c r="X1936" s="399" t="s">
        <v>125</v>
      </c>
      <c r="Y1936" s="389">
        <f t="shared" ref="Y1936" si="6200">D1921</f>
        <v>1</v>
      </c>
      <c r="Z1936" s="400" t="s">
        <v>176</v>
      </c>
      <c r="AA1936" s="402">
        <f t="shared" si="6196"/>
        <v>5.3383968000000008</v>
      </c>
      <c r="AB1936" s="403"/>
    </row>
    <row r="1937" spans="1:28">
      <c r="A1937" s="384" t="str">
        <f t="shared" ref="A1937:B1937" si="6201">A1915</f>
        <v>Lantai 1</v>
      </c>
      <c r="B1937" s="385">
        <f t="shared" si="6201"/>
        <v>62</v>
      </c>
      <c r="C1937" s="393" t="s">
        <v>211</v>
      </c>
      <c r="D1937" s="398">
        <f>VLOOKUP(D1915,'Detail Balok'!$C$10:$AU$140,41,FALSE)</f>
        <v>0</v>
      </c>
      <c r="E1937" s="388" t="s">
        <v>16</v>
      </c>
      <c r="F1937" s="388">
        <f>VLOOKUP(D1915,'Detail Balok'!$C$10:$AU$140,43,FALSE)</f>
        <v>8</v>
      </c>
      <c r="G1937" s="405" t="s">
        <v>157</v>
      </c>
      <c r="H1937" s="395">
        <f>VLOOKUP(D1915,'Detail Balok'!$C$10:$AU$140,45,FALSE)</f>
        <v>150</v>
      </c>
      <c r="I1937" s="388"/>
      <c r="J1937" s="400">
        <f t="shared" ref="J1937" si="6202">(IF(D1937=0,(2*(D1916+G1916))-(F$5*8),IF(D1937=3,(2*(D1916+G1916))-(F$5*8)+(G1916-2*F$5),IF(D1937=4,(2*(D1916+G1916))-(F$5*8)+2*(G1916-2*F$5)))))/1000</f>
        <v>1.08</v>
      </c>
      <c r="K1937" s="400" t="s">
        <v>204</v>
      </c>
      <c r="L1937" s="399">
        <f t="shared" si="6191"/>
        <v>0.15</v>
      </c>
      <c r="M1937" s="399" t="s">
        <v>176</v>
      </c>
      <c r="N1937" s="399">
        <f t="shared" si="6192"/>
        <v>1.23</v>
      </c>
      <c r="O1937" s="399"/>
      <c r="P1937" s="389"/>
      <c r="Q1937" s="399"/>
      <c r="R1937" s="399"/>
      <c r="S1937" s="399"/>
      <c r="T1937" s="399" t="s">
        <v>125</v>
      </c>
      <c r="U1937" s="401">
        <f t="shared" si="6193"/>
        <v>0.39456000000000002</v>
      </c>
      <c r="V1937" s="399" t="s">
        <v>125</v>
      </c>
      <c r="W1937" s="399">
        <f t="shared" ref="W1937" si="6203">IF(D1918&gt;4*G1916,ROUND(MAX(D1918/4,2*G1916)/H1937,0)+1,0)</f>
        <v>8</v>
      </c>
      <c r="X1937" s="399" t="s">
        <v>125</v>
      </c>
      <c r="Y1937" s="389">
        <f t="shared" ref="Y1937" si="6204">D1921</f>
        <v>1</v>
      </c>
      <c r="Z1937" s="400" t="s">
        <v>176</v>
      </c>
      <c r="AA1937" s="402">
        <f t="shared" si="6196"/>
        <v>3.8824704000000003</v>
      </c>
      <c r="AB1937" s="403"/>
    </row>
    <row r="1938" spans="1:28">
      <c r="A1938" s="384"/>
      <c r="B1938" s="385"/>
      <c r="C1938" s="393"/>
      <c r="D1938" s="394"/>
      <c r="E1938" s="388"/>
      <c r="F1938" s="388"/>
      <c r="G1938" s="388"/>
      <c r="H1938" s="395"/>
      <c r="I1938" s="388"/>
      <c r="J1938" s="399"/>
      <c r="K1938" s="396"/>
      <c r="L1938" s="396"/>
      <c r="M1938" s="396"/>
      <c r="N1938" s="396"/>
      <c r="O1938" s="396"/>
      <c r="P1938" s="389"/>
      <c r="Q1938" s="396"/>
      <c r="R1938" s="396"/>
      <c r="S1938" s="396"/>
      <c r="T1938" s="396"/>
      <c r="U1938" s="401"/>
      <c r="V1938" s="396"/>
      <c r="W1938" s="388"/>
      <c r="X1938" s="396"/>
      <c r="Y1938" s="389"/>
      <c r="Z1938" s="396"/>
      <c r="AA1938" s="388"/>
      <c r="AB1938" s="390"/>
    </row>
    <row r="1939" spans="1:28">
      <c r="A1939" s="384" t="str">
        <f t="shared" ref="A1939:B1939" si="6205">A1915</f>
        <v>Lantai 1</v>
      </c>
      <c r="B1939" s="385">
        <f t="shared" si="6205"/>
        <v>62</v>
      </c>
      <c r="C1939" s="393" t="s">
        <v>213</v>
      </c>
      <c r="D1939" s="398">
        <f>VLOOKUP(D1915,'Detail Balok'!$C$10:$BJ$140,46,FALSE)</f>
        <v>0</v>
      </c>
      <c r="E1939" s="388" t="s">
        <v>16</v>
      </c>
      <c r="F1939" s="388">
        <f>VLOOKUP(D1915,'Detail Balok'!$C$10:$BJ$140,48,FALSE)</f>
        <v>0</v>
      </c>
      <c r="G1939" s="405" t="s">
        <v>157</v>
      </c>
      <c r="H1939" s="395">
        <f>VLOOKUP(D1915,'Detail Balok'!$C$10:$BJ$140,50,FALSE)</f>
        <v>100</v>
      </c>
      <c r="I1939" s="388"/>
      <c r="J1939" s="399">
        <f t="shared" ref="J1939" si="6206">(D1916-2*F$5)/1000</f>
        <v>0.12</v>
      </c>
      <c r="K1939" s="400" t="s">
        <v>204</v>
      </c>
      <c r="L1939" s="399">
        <f t="shared" ref="L1939:L1941" si="6207">IF(D1939=0,2*MAX(6*F1939,75),(D1939-1)*2*MAX(6*F1939,75))/1000</f>
        <v>0.15</v>
      </c>
      <c r="M1939" s="399" t="s">
        <v>176</v>
      </c>
      <c r="N1939" s="399">
        <f t="shared" ref="N1939:N1941" si="6208">J1939+L1939</f>
        <v>0.27</v>
      </c>
      <c r="O1939" s="399"/>
      <c r="P1939" s="399"/>
      <c r="Q1939" s="399"/>
      <c r="R1939" s="399"/>
      <c r="S1939" s="399"/>
      <c r="T1939" s="399" t="s">
        <v>125</v>
      </c>
      <c r="U1939" s="401">
        <f t="shared" ref="U1939:U1941" si="6209">0.006165*F1939^2</f>
        <v>0</v>
      </c>
      <c r="V1939" s="399" t="s">
        <v>125</v>
      </c>
      <c r="W1939" s="399">
        <f t="shared" si="6114"/>
        <v>8</v>
      </c>
      <c r="X1939" s="399" t="s">
        <v>125</v>
      </c>
      <c r="Y1939" s="389">
        <f t="shared" ref="Y1939" si="6210">D1925</f>
        <v>3</v>
      </c>
      <c r="Z1939" s="400" t="s">
        <v>176</v>
      </c>
      <c r="AA1939" s="402">
        <f t="shared" ref="AA1939:AA1941" si="6211">N1939*U1939*W1939*Y1939</f>
        <v>0</v>
      </c>
      <c r="AB1939" s="403"/>
    </row>
    <row r="1940" spans="1:28">
      <c r="A1940" s="384" t="str">
        <f t="shared" ref="A1940:B1940" si="6212">A1915</f>
        <v>Lantai 1</v>
      </c>
      <c r="B1940" s="385">
        <f t="shared" si="6212"/>
        <v>62</v>
      </c>
      <c r="C1940" s="393" t="s">
        <v>214</v>
      </c>
      <c r="D1940" s="398">
        <f>VLOOKUP(D1915,'Detail Balok'!$C$10:$BJ$140,51,FALSE)</f>
        <v>0</v>
      </c>
      <c r="E1940" s="388" t="s">
        <v>16</v>
      </c>
      <c r="F1940" s="388">
        <f>VLOOKUP(D1915,'Detail Balok'!$C$10:$BJ$140,53,FALSE)</f>
        <v>0</v>
      </c>
      <c r="G1940" s="405" t="s">
        <v>157</v>
      </c>
      <c r="H1940" s="395">
        <f>VLOOKUP(D1915,'Detail Balok'!$C$10:$BJ$140,55,FALSE)</f>
        <v>100</v>
      </c>
      <c r="I1940" s="388"/>
      <c r="J1940" s="399">
        <f t="shared" ref="J1940" si="6213">(D1916-2*F$5)/1000</f>
        <v>0.12</v>
      </c>
      <c r="K1940" s="400" t="s">
        <v>204</v>
      </c>
      <c r="L1940" s="399">
        <f t="shared" si="6207"/>
        <v>0.15</v>
      </c>
      <c r="M1940" s="399" t="s">
        <v>176</v>
      </c>
      <c r="N1940" s="399">
        <f t="shared" si="6208"/>
        <v>0.27</v>
      </c>
      <c r="O1940" s="399"/>
      <c r="P1940" s="399"/>
      <c r="Q1940" s="399"/>
      <c r="R1940" s="399"/>
      <c r="S1940" s="399"/>
      <c r="T1940" s="399" t="s">
        <v>125</v>
      </c>
      <c r="U1940" s="401">
        <f t="shared" si="6209"/>
        <v>0</v>
      </c>
      <c r="V1940" s="399" t="s">
        <v>125</v>
      </c>
      <c r="W1940" s="399">
        <f t="shared" si="6114"/>
        <v>11</v>
      </c>
      <c r="X1940" s="399" t="s">
        <v>125</v>
      </c>
      <c r="Y1940" s="389">
        <f t="shared" ref="Y1940" si="6214">D1925</f>
        <v>3</v>
      </c>
      <c r="Z1940" s="400" t="s">
        <v>176</v>
      </c>
      <c r="AA1940" s="402">
        <f t="shared" si="6211"/>
        <v>0</v>
      </c>
      <c r="AB1940" s="403"/>
    </row>
    <row r="1941" spans="1:28">
      <c r="A1941" s="384" t="str">
        <f t="shared" ref="A1941:B1941" si="6215">A1915</f>
        <v>Lantai 1</v>
      </c>
      <c r="B1941" s="385">
        <f t="shared" si="6215"/>
        <v>62</v>
      </c>
      <c r="C1941" s="393" t="s">
        <v>213</v>
      </c>
      <c r="D1941" s="398">
        <f>VLOOKUP(D1915,'Detail Balok'!$C$10:$BJ$140,56,FALSE)</f>
        <v>0</v>
      </c>
      <c r="E1941" s="388" t="s">
        <v>16</v>
      </c>
      <c r="F1941" s="388">
        <f>VLOOKUP(D1915,'Detail Balok'!$C$10:$BJ$140,58,FALSE)</f>
        <v>0</v>
      </c>
      <c r="G1941" s="405" t="s">
        <v>157</v>
      </c>
      <c r="H1941" s="395">
        <f>VLOOKUP(D1915,'Detail Balok'!$C$10:$BJ$140,60,FALSE)</f>
        <v>100</v>
      </c>
      <c r="I1941" s="388"/>
      <c r="J1941" s="399">
        <f t="shared" ref="J1941" si="6216">(D1916-2*F$5)/1000</f>
        <v>0.12</v>
      </c>
      <c r="K1941" s="400" t="s">
        <v>204</v>
      </c>
      <c r="L1941" s="399">
        <f t="shared" si="6207"/>
        <v>0.15</v>
      </c>
      <c r="M1941" s="399" t="s">
        <v>176</v>
      </c>
      <c r="N1941" s="399">
        <f t="shared" si="6208"/>
        <v>0.27</v>
      </c>
      <c r="O1941" s="399"/>
      <c r="P1941" s="399"/>
      <c r="Q1941" s="399"/>
      <c r="R1941" s="399"/>
      <c r="S1941" s="399"/>
      <c r="T1941" s="399" t="s">
        <v>125</v>
      </c>
      <c r="U1941" s="401">
        <f t="shared" si="6209"/>
        <v>0</v>
      </c>
      <c r="V1941" s="399" t="s">
        <v>125</v>
      </c>
      <c r="W1941" s="399">
        <f t="shared" si="6114"/>
        <v>8</v>
      </c>
      <c r="X1941" s="399" t="s">
        <v>125</v>
      </c>
      <c r="Y1941" s="389">
        <f t="shared" ref="Y1941" si="6217">D1925</f>
        <v>3</v>
      </c>
      <c r="Z1941" s="400" t="s">
        <v>176</v>
      </c>
      <c r="AA1941" s="402">
        <f t="shared" si="6211"/>
        <v>0</v>
      </c>
      <c r="AB1941" s="403"/>
    </row>
    <row r="1942" spans="1:28">
      <c r="A1942" s="391"/>
      <c r="B1942" s="392"/>
      <c r="C1942" s="392"/>
      <c r="D1942" s="394"/>
      <c r="E1942" s="388"/>
      <c r="F1942" s="388"/>
      <c r="G1942" s="388"/>
      <c r="H1942" s="395"/>
      <c r="I1942" s="388"/>
      <c r="J1942" s="402"/>
      <c r="K1942" s="388"/>
      <c r="L1942" s="388"/>
      <c r="M1942" s="388"/>
      <c r="N1942" s="388"/>
      <c r="O1942" s="388"/>
      <c r="P1942" s="388"/>
      <c r="Q1942" s="388"/>
      <c r="R1942" s="388"/>
      <c r="S1942" s="388"/>
      <c r="T1942" s="388"/>
      <c r="U1942" s="388"/>
      <c r="V1942" s="388"/>
      <c r="W1942" s="388"/>
      <c r="X1942" s="388"/>
      <c r="Y1942" s="389"/>
      <c r="Z1942" s="388"/>
      <c r="AA1942" s="402"/>
      <c r="AB1942" s="403"/>
    </row>
    <row r="1943" spans="1:28" ht="15.75" thickBot="1">
      <c r="A1943" s="406"/>
      <c r="B1943" s="407"/>
      <c r="C1943" s="407"/>
      <c r="D1943" s="408"/>
      <c r="E1943" s="409"/>
      <c r="F1943" s="409"/>
      <c r="G1943" s="409"/>
      <c r="H1943" s="410"/>
      <c r="I1943" s="409"/>
      <c r="J1943" s="409"/>
      <c r="K1943" s="409"/>
      <c r="L1943" s="409"/>
      <c r="M1943" s="409"/>
      <c r="N1943" s="409"/>
      <c r="O1943" s="409"/>
      <c r="P1943" s="409"/>
      <c r="Q1943" s="409"/>
      <c r="R1943" s="409"/>
      <c r="S1943" s="409"/>
      <c r="T1943" s="409"/>
      <c r="U1943" s="409"/>
      <c r="V1943" s="409"/>
      <c r="W1943" s="409"/>
      <c r="X1943" s="409"/>
      <c r="Y1943" s="411"/>
      <c r="Z1943" s="409"/>
      <c r="AA1943" s="412"/>
      <c r="AB1943" s="413"/>
    </row>
    <row r="1944" spans="1:28">
      <c r="A1944" s="377"/>
      <c r="B1944" s="378"/>
      <c r="C1944" s="378"/>
      <c r="D1944" s="379"/>
      <c r="E1944" s="380"/>
      <c r="F1944" s="380"/>
      <c r="G1944" s="380"/>
      <c r="H1944" s="381"/>
      <c r="I1944" s="380"/>
      <c r="J1944" s="380"/>
      <c r="K1944" s="380"/>
      <c r="L1944" s="380"/>
      <c r="M1944" s="380"/>
      <c r="N1944" s="380"/>
      <c r="O1944" s="380"/>
      <c r="P1944" s="380"/>
      <c r="Q1944" s="380"/>
      <c r="R1944" s="380"/>
      <c r="S1944" s="380"/>
      <c r="T1944" s="380"/>
      <c r="U1944" s="380"/>
      <c r="V1944" s="380"/>
      <c r="W1944" s="380"/>
      <c r="X1944" s="380"/>
      <c r="Y1944" s="382"/>
      <c r="Z1944" s="380"/>
      <c r="AA1944" s="380"/>
      <c r="AB1944" s="383"/>
    </row>
    <row r="1945" spans="1:28">
      <c r="A1945" s="384" t="str">
        <f t="shared" si="6123"/>
        <v>Lantai 1</v>
      </c>
      <c r="B1945" s="385">
        <f t="shared" si="6124"/>
        <v>63</v>
      </c>
      <c r="C1945" s="386" t="str">
        <f t="shared" ref="C1945" si="6218">CONCATENATE(A1945," no. ",B1945)</f>
        <v>Lantai 1 no. 63</v>
      </c>
      <c r="D1945" s="2562" t="str">
        <f>VLOOKUP(C1945,'Data Panjang Balok'!$C$9:$N$254,2,FALSE)</f>
        <v>S24-1</v>
      </c>
      <c r="E1945" s="2576"/>
      <c r="F1945" s="2576"/>
      <c r="G1945" s="2576"/>
      <c r="H1945" s="2577"/>
      <c r="I1945" s="387"/>
      <c r="J1945" s="388"/>
      <c r="K1945" s="388"/>
      <c r="L1945" s="388"/>
      <c r="M1945" s="388"/>
      <c r="N1945" s="388"/>
      <c r="O1945" s="388"/>
      <c r="P1945" s="388"/>
      <c r="Q1945" s="388"/>
      <c r="R1945" s="388"/>
      <c r="S1945" s="388"/>
      <c r="T1945" s="388"/>
      <c r="U1945" s="388"/>
      <c r="V1945" s="388"/>
      <c r="W1945" s="388"/>
      <c r="X1945" s="388"/>
      <c r="Y1945" s="389"/>
      <c r="Z1945" s="388"/>
      <c r="AA1945" s="388"/>
      <c r="AB1945" s="390"/>
    </row>
    <row r="1946" spans="1:28">
      <c r="A1946" s="391"/>
      <c r="B1946" s="392"/>
      <c r="C1946" s="393" t="s">
        <v>118</v>
      </c>
      <c r="D1946" s="2578">
        <f>VLOOKUP(D1945,'Detail Balok'!$C$10:$AU$140,2,FALSE)</f>
        <v>200</v>
      </c>
      <c r="E1946" s="2579"/>
      <c r="F1946" s="388" t="s">
        <v>125</v>
      </c>
      <c r="G1946" s="2579">
        <f>VLOOKUP(D1945,'Detail Balok'!$C$10:$AU$140,3,FALSE)</f>
        <v>400</v>
      </c>
      <c r="H1946" s="2580"/>
      <c r="I1946" s="388"/>
      <c r="J1946" s="396"/>
      <c r="K1946" s="396"/>
      <c r="L1946" s="396"/>
      <c r="M1946" s="396"/>
      <c r="N1946" s="396"/>
      <c r="O1946" s="396"/>
      <c r="P1946" s="396"/>
      <c r="Q1946" s="396"/>
      <c r="R1946" s="396"/>
      <c r="S1946" s="396"/>
      <c r="T1946" s="396"/>
      <c r="U1946" s="388"/>
      <c r="V1946" s="396"/>
      <c r="W1946" s="388"/>
      <c r="X1946" s="396"/>
      <c r="Y1946" s="389"/>
      <c r="Z1946" s="396"/>
      <c r="AA1946" s="388"/>
      <c r="AB1946" s="390"/>
    </row>
    <row r="1947" spans="1:28">
      <c r="A1947" s="391"/>
      <c r="B1947" s="392"/>
      <c r="C1947" s="393" t="s">
        <v>198</v>
      </c>
      <c r="D1947" s="2562">
        <f>VLOOKUP(C1945,'Data Panjang Balok'!$C$9:$N$254,4,FALSE)</f>
        <v>2100</v>
      </c>
      <c r="E1947" s="2563"/>
      <c r="F1947" s="2563"/>
      <c r="G1947" s="2563"/>
      <c r="H1947" s="2564"/>
      <c r="I1947" s="397"/>
      <c r="J1947" s="396"/>
      <c r="K1947" s="396"/>
      <c r="L1947" s="396"/>
      <c r="M1947" s="396"/>
      <c r="N1947" s="396"/>
      <c r="O1947" s="396"/>
      <c r="P1947" s="396"/>
      <c r="Q1947" s="396"/>
      <c r="R1947" s="396"/>
      <c r="S1947" s="396"/>
      <c r="T1947" s="396"/>
      <c r="U1947" s="388"/>
      <c r="V1947" s="396"/>
      <c r="W1947" s="388"/>
      <c r="X1947" s="396"/>
      <c r="Y1947" s="389"/>
      <c r="Z1947" s="396"/>
      <c r="AA1947" s="388"/>
      <c r="AB1947" s="390"/>
    </row>
    <row r="1948" spans="1:28">
      <c r="A1948" s="391"/>
      <c r="B1948" s="392"/>
      <c r="C1948" s="393" t="s">
        <v>199</v>
      </c>
      <c r="D1948" s="2562">
        <f>VLOOKUP(C1945,'Data Panjang Balok'!$C$9:$N$254,7,FALSE)</f>
        <v>2100</v>
      </c>
      <c r="E1948" s="2563"/>
      <c r="F1948" s="2563"/>
      <c r="G1948" s="2563"/>
      <c r="H1948" s="2564"/>
      <c r="I1948" s="397"/>
      <c r="J1948" s="396"/>
      <c r="K1948" s="396"/>
      <c r="L1948" s="396"/>
      <c r="M1948" s="396"/>
      <c r="N1948" s="396"/>
      <c r="O1948" s="396"/>
      <c r="P1948" s="396"/>
      <c r="Q1948" s="396"/>
      <c r="R1948" s="396"/>
      <c r="S1948" s="396"/>
      <c r="T1948" s="396"/>
      <c r="U1948" s="388"/>
      <c r="V1948" s="396"/>
      <c r="W1948" s="388"/>
      <c r="X1948" s="396"/>
      <c r="Y1948" s="389"/>
      <c r="Z1948" s="396"/>
      <c r="AA1948" s="388"/>
      <c r="AB1948" s="390"/>
    </row>
    <row r="1949" spans="1:28">
      <c r="A1949" s="391"/>
      <c r="B1949" s="392"/>
      <c r="C1949" s="393" t="s">
        <v>200</v>
      </c>
      <c r="D1949" s="2562">
        <f>VLOOKUP(C1945,'Data Panjang Balok'!$C$9:$N$254,9,FALSE)</f>
        <v>0</v>
      </c>
      <c r="E1949" s="2563"/>
      <c r="F1949" s="2563"/>
      <c r="G1949" s="2563"/>
      <c r="H1949" s="2564"/>
      <c r="I1949" s="397"/>
      <c r="J1949" s="396"/>
      <c r="K1949" s="396"/>
      <c r="L1949" s="396"/>
      <c r="M1949" s="396"/>
      <c r="N1949" s="396"/>
      <c r="O1949" s="396"/>
      <c r="P1949" s="396"/>
      <c r="Q1949" s="396"/>
      <c r="R1949" s="396"/>
      <c r="S1949" s="396"/>
      <c r="T1949" s="396"/>
      <c r="U1949" s="388"/>
      <c r="V1949" s="396"/>
      <c r="W1949" s="388"/>
      <c r="X1949" s="396"/>
      <c r="Y1949" s="389"/>
      <c r="Z1949" s="396"/>
      <c r="AA1949" s="388"/>
      <c r="AB1949" s="390"/>
    </row>
    <row r="1950" spans="1:28">
      <c r="A1950" s="391"/>
      <c r="B1950" s="392"/>
      <c r="C1950" s="393" t="s">
        <v>201</v>
      </c>
      <c r="D1950" s="2562">
        <f>VLOOKUP(C1945,'Data Panjang Balok'!$C$9:$N$254,10,FALSE)</f>
        <v>0</v>
      </c>
      <c r="E1950" s="2563"/>
      <c r="F1950" s="2563"/>
      <c r="G1950" s="2563"/>
      <c r="H1950" s="2564"/>
      <c r="I1950" s="397"/>
      <c r="J1950" s="396"/>
      <c r="K1950" s="396"/>
      <c r="L1950" s="396"/>
      <c r="M1950" s="396"/>
      <c r="N1950" s="396"/>
      <c r="O1950" s="396"/>
      <c r="P1950" s="396"/>
      <c r="Q1950" s="396"/>
      <c r="R1950" s="396"/>
      <c r="S1950" s="396"/>
      <c r="T1950" s="396"/>
      <c r="U1950" s="388"/>
      <c r="V1950" s="396"/>
      <c r="W1950" s="388"/>
      <c r="X1950" s="396"/>
      <c r="Y1950" s="389"/>
      <c r="Z1950" s="396"/>
      <c r="AA1950" s="388"/>
      <c r="AB1950" s="390"/>
    </row>
    <row r="1951" spans="1:28">
      <c r="A1951" s="391"/>
      <c r="B1951" s="392"/>
      <c r="C1951" s="393" t="s">
        <v>48</v>
      </c>
      <c r="D1951" s="2562">
        <f>VLOOKUP(C1945,'Data Panjang Balok'!$C$9:$N$254,3,FALSE)</f>
        <v>1</v>
      </c>
      <c r="E1951" s="2563"/>
      <c r="F1951" s="2563"/>
      <c r="G1951" s="2563"/>
      <c r="H1951" s="2564"/>
      <c r="I1951" s="397"/>
      <c r="J1951" s="396"/>
      <c r="K1951" s="396"/>
      <c r="L1951" s="396"/>
      <c r="M1951" s="396"/>
      <c r="N1951" s="396"/>
      <c r="O1951" s="396"/>
      <c r="P1951" s="396"/>
      <c r="Q1951" s="396"/>
      <c r="R1951" s="396"/>
      <c r="S1951" s="396"/>
      <c r="T1951" s="396"/>
      <c r="U1951" s="388"/>
      <c r="V1951" s="396"/>
      <c r="W1951" s="388"/>
      <c r="X1951" s="396"/>
      <c r="Y1951" s="389"/>
      <c r="Z1951" s="396"/>
      <c r="AA1951" s="388"/>
      <c r="AB1951" s="390"/>
    </row>
    <row r="1952" spans="1:28">
      <c r="A1952" s="384" t="str">
        <f t="shared" ref="A1952:B1952" si="6219">A1945</f>
        <v>Lantai 1</v>
      </c>
      <c r="B1952" s="385">
        <f t="shared" si="6219"/>
        <v>63</v>
      </c>
      <c r="C1952" s="393" t="s">
        <v>202</v>
      </c>
      <c r="D1952" s="398">
        <f>VLOOKUP(D1945,'Detail Balok'!$C$10:$AU$140,4,FALSE)</f>
        <v>3</v>
      </c>
      <c r="E1952" s="388" t="s">
        <v>16</v>
      </c>
      <c r="F1952" s="388">
        <f>VLOOKUP(D1945,'Detail Balok'!$C$10:$AU$140,6,FALSE)</f>
        <v>13</v>
      </c>
      <c r="G1952" s="388"/>
      <c r="H1952" s="395"/>
      <c r="I1952" s="388" t="s">
        <v>203</v>
      </c>
      <c r="J1952" s="399">
        <f t="shared" ref="J1952" si="6220">+D1947/4/1000</f>
        <v>0.52500000000000002</v>
      </c>
      <c r="K1952" s="400" t="s">
        <v>204</v>
      </c>
      <c r="L1952" s="399">
        <f t="shared" ref="L1952" si="6221">MAX(VLOOKUP(F1952,N$6:P$15,3,FALSE)/1000,2/3*D1949/1000)+F$16*F1952/1000</f>
        <v>0.156</v>
      </c>
      <c r="M1952" s="399" t="s">
        <v>176</v>
      </c>
      <c r="N1952" s="399">
        <f t="shared" ref="N1952:N1954" si="6222">J1952+L1952</f>
        <v>0.68100000000000005</v>
      </c>
      <c r="O1952" s="399" t="s">
        <v>204</v>
      </c>
      <c r="P1952" s="389">
        <f t="shared" ref="P1952" si="6223">D1952-D1953</f>
        <v>0</v>
      </c>
      <c r="Q1952" s="399" t="s">
        <v>125</v>
      </c>
      <c r="R1952" s="399">
        <f t="shared" ref="R1952" si="6224">IF(P1952&gt;0,$F$18*F1952/1000,0)</f>
        <v>0</v>
      </c>
      <c r="S1952" s="399" t="s">
        <v>205</v>
      </c>
      <c r="T1952" s="399" t="s">
        <v>125</v>
      </c>
      <c r="U1952" s="401">
        <f t="shared" ref="U1952:U1954" si="6225">0.006165*F1952^2</f>
        <v>1.041885</v>
      </c>
      <c r="V1952" s="399"/>
      <c r="W1952" s="399"/>
      <c r="X1952" s="399" t="s">
        <v>125</v>
      </c>
      <c r="Y1952" s="389">
        <f t="shared" ref="Y1952" si="6226">D1951</f>
        <v>1</v>
      </c>
      <c r="Z1952" s="400" t="s">
        <v>176</v>
      </c>
      <c r="AA1952" s="402">
        <f t="shared" ref="AA1952" si="6227">IF(AA1955=0,(D1952*N1952+P1952*R1952)*U1952*Y1952,0)</f>
        <v>0</v>
      </c>
      <c r="AB1952" s="403"/>
    </row>
    <row r="1953" spans="1:28">
      <c r="A1953" s="384" t="str">
        <f t="shared" ref="A1953:B1953" si="6228">A1945</f>
        <v>Lantai 1</v>
      </c>
      <c r="B1953" s="385">
        <f t="shared" si="6228"/>
        <v>63</v>
      </c>
      <c r="C1953" s="393" t="s">
        <v>206</v>
      </c>
      <c r="D1953" s="398">
        <f>VLOOKUP(D1945,'Detail Balok'!$C$10:$AU$140,7,FALSE)</f>
        <v>3</v>
      </c>
      <c r="E1953" s="388" t="s">
        <v>16</v>
      </c>
      <c r="F1953" s="388">
        <f>VLOOKUP(D1945,'Detail Balok'!$C$10:$AU$140,9,FALSE)</f>
        <v>13</v>
      </c>
      <c r="G1953" s="388"/>
      <c r="H1953" s="395"/>
      <c r="I1953" s="388" t="s">
        <v>203</v>
      </c>
      <c r="J1953" s="399">
        <f t="shared" ref="J1953" si="6229">+D1947/2/1000</f>
        <v>1.05</v>
      </c>
      <c r="K1953" s="400" t="s">
        <v>204</v>
      </c>
      <c r="L1953" s="399"/>
      <c r="M1953" s="399" t="s">
        <v>176</v>
      </c>
      <c r="N1953" s="399">
        <f t="shared" si="6222"/>
        <v>1.05</v>
      </c>
      <c r="O1953" s="399" t="s">
        <v>204</v>
      </c>
      <c r="P1953" s="389">
        <f t="shared" ref="P1953" si="6230">MAX(D1953-D1952,D1953-D1954)</f>
        <v>0</v>
      </c>
      <c r="Q1953" s="399" t="s">
        <v>125</v>
      </c>
      <c r="R1953" s="399">
        <f t="shared" ref="R1953" si="6231">IF(P1953&gt;0,2*(1-2*$F$19-1/2)*D1948/1000,0)</f>
        <v>0</v>
      </c>
      <c r="S1953" s="399" t="s">
        <v>205</v>
      </c>
      <c r="T1953" s="399" t="s">
        <v>125</v>
      </c>
      <c r="U1953" s="401">
        <f t="shared" si="6225"/>
        <v>1.041885</v>
      </c>
      <c r="V1953" s="399"/>
      <c r="W1953" s="399"/>
      <c r="X1953" s="399" t="s">
        <v>125</v>
      </c>
      <c r="Y1953" s="389">
        <f t="shared" ref="Y1953" si="6232">D1951</f>
        <v>1</v>
      </c>
      <c r="Z1953" s="400" t="s">
        <v>176</v>
      </c>
      <c r="AA1953" s="402">
        <f t="shared" ref="AA1953" si="6233">IF(AA1955=0,(D1953*N1953+P1953*R1953)*U1953*Y1953,0)</f>
        <v>0</v>
      </c>
      <c r="AB1953" s="403"/>
    </row>
    <row r="1954" spans="1:28">
      <c r="A1954" s="384" t="str">
        <f t="shared" ref="A1954:B1954" si="6234">A1945</f>
        <v>Lantai 1</v>
      </c>
      <c r="B1954" s="385">
        <f t="shared" si="6234"/>
        <v>63</v>
      </c>
      <c r="C1954" s="393" t="s">
        <v>202</v>
      </c>
      <c r="D1954" s="398">
        <f>VLOOKUP(D1945,'Detail Balok'!$C$10:$AU$140,10,FALSE)</f>
        <v>3</v>
      </c>
      <c r="E1954" s="388" t="s">
        <v>16</v>
      </c>
      <c r="F1954" s="388">
        <f>VLOOKUP(D1945,'Detail Balok'!$C$10:$AU$140,12,FALSE)</f>
        <v>13</v>
      </c>
      <c r="G1954" s="388"/>
      <c r="H1954" s="395"/>
      <c r="I1954" s="388" t="s">
        <v>203</v>
      </c>
      <c r="J1954" s="399">
        <f t="shared" ref="J1954" si="6235">+D1947/4/1000</f>
        <v>0.52500000000000002</v>
      </c>
      <c r="K1954" s="400" t="s">
        <v>204</v>
      </c>
      <c r="L1954" s="399">
        <f t="shared" ref="L1954" si="6236">MAX(VLOOKUP(F1954,N$6:P$15,3,FALSE)/1000,2/3*D1949/1000)+F$16*F1954/1000</f>
        <v>0.156</v>
      </c>
      <c r="M1954" s="399" t="s">
        <v>176</v>
      </c>
      <c r="N1954" s="399">
        <f t="shared" si="6222"/>
        <v>0.68100000000000005</v>
      </c>
      <c r="O1954" s="399" t="s">
        <v>204</v>
      </c>
      <c r="P1954" s="389">
        <f t="shared" ref="P1954" si="6237">D1954-D1953</f>
        <v>0</v>
      </c>
      <c r="Q1954" s="399" t="s">
        <v>125</v>
      </c>
      <c r="R1954" s="399">
        <f t="shared" ref="R1954" si="6238">IF(P1954&gt;0,$F$18*F1954/1000,0)</f>
        <v>0</v>
      </c>
      <c r="S1954" s="399" t="s">
        <v>205</v>
      </c>
      <c r="T1954" s="399" t="s">
        <v>125</v>
      </c>
      <c r="U1954" s="401">
        <f t="shared" si="6225"/>
        <v>1.041885</v>
      </c>
      <c r="V1954" s="399"/>
      <c r="W1954" s="399"/>
      <c r="X1954" s="399" t="s">
        <v>125</v>
      </c>
      <c r="Y1954" s="389">
        <f t="shared" ref="Y1954" si="6239">D1951</f>
        <v>1</v>
      </c>
      <c r="Z1954" s="400" t="s">
        <v>176</v>
      </c>
      <c r="AA1954" s="402">
        <f t="shared" ref="AA1954" si="6240">IF(AA1955=0,(D1954*N1954+P1954*R1954)*U1954*Y1954,0)</f>
        <v>0</v>
      </c>
      <c r="AB1954" s="403"/>
    </row>
    <row r="1955" spans="1:28">
      <c r="A1955" s="384" t="str">
        <f t="shared" ref="A1955:B1955" si="6241">A1945</f>
        <v>Lantai 1</v>
      </c>
      <c r="B1955" s="385">
        <f t="shared" si="6241"/>
        <v>63</v>
      </c>
      <c r="C1955" s="393"/>
      <c r="D1955" s="398">
        <f t="shared" si="6044"/>
        <v>3</v>
      </c>
      <c r="E1955" s="388" t="s">
        <v>16</v>
      </c>
      <c r="F1955" s="388">
        <f t="shared" si="6045"/>
        <v>13</v>
      </c>
      <c r="G1955" s="388"/>
      <c r="H1955" s="395"/>
      <c r="I1955" s="388"/>
      <c r="J1955" s="396"/>
      <c r="K1955" s="396"/>
      <c r="L1955" s="404" t="s">
        <v>207</v>
      </c>
      <c r="M1955" s="399" t="s">
        <v>176</v>
      </c>
      <c r="N1955" s="399">
        <f t="shared" ref="N1955" si="6242">IF(AND(D1952=D1953,D1952=D1954,D1953=D1954,F1952=F1953,F1952=F1954,F1953=F1954),SUM(N1952:N1954),0)</f>
        <v>2.4119999999999999</v>
      </c>
      <c r="O1955" s="399" t="s">
        <v>204</v>
      </c>
      <c r="P1955" s="389">
        <f t="shared" ref="P1955" si="6243">IF(N1955&gt;12,ROUNDDOWN(N1955/12,0),0)</f>
        <v>0</v>
      </c>
      <c r="Q1955" s="399" t="s">
        <v>125</v>
      </c>
      <c r="R1955" s="399">
        <f t="shared" ref="R1955" si="6244">IF(P1955&gt;0,MAX(VLOOKUP(F1955,$D$6:$G$15,3,FALSE),600),0)/1000</f>
        <v>0</v>
      </c>
      <c r="S1955" s="396"/>
      <c r="T1955" s="396" t="s">
        <v>125</v>
      </c>
      <c r="U1955" s="401">
        <f t="shared" si="6049"/>
        <v>1.041885</v>
      </c>
      <c r="V1955" s="396" t="s">
        <v>125</v>
      </c>
      <c r="W1955" s="399">
        <f t="shared" ref="W1955" si="6245">D1955</f>
        <v>3</v>
      </c>
      <c r="X1955" s="399" t="s">
        <v>125</v>
      </c>
      <c r="Y1955" s="389">
        <f t="shared" si="6051"/>
        <v>1</v>
      </c>
      <c r="Z1955" s="400" t="s">
        <v>176</v>
      </c>
      <c r="AA1955" s="402">
        <f t="shared" ref="AA1955" si="6246">(N1955+P1955*R1955/1000)*U1955*W1955*Y1955</f>
        <v>7.5390798599999993</v>
      </c>
      <c r="AB1955" s="390"/>
    </row>
    <row r="1956" spans="1:28">
      <c r="A1956" s="384"/>
      <c r="B1956" s="385"/>
      <c r="C1956" s="393"/>
      <c r="D1956" s="398"/>
      <c r="E1956" s="388"/>
      <c r="F1956" s="388"/>
      <c r="G1956" s="388"/>
      <c r="H1956" s="395"/>
      <c r="I1956" s="388"/>
      <c r="J1956" s="396"/>
      <c r="K1956" s="396"/>
      <c r="L1956" s="404"/>
      <c r="M1956" s="399"/>
      <c r="N1956" s="399"/>
      <c r="O1956" s="396"/>
      <c r="P1956" s="389"/>
      <c r="Q1956" s="396"/>
      <c r="R1956" s="396"/>
      <c r="S1956" s="396"/>
      <c r="T1956" s="396"/>
      <c r="U1956" s="401"/>
      <c r="V1956" s="396"/>
      <c r="W1956" s="399"/>
      <c r="X1956" s="396"/>
      <c r="Y1956" s="389"/>
      <c r="Z1956" s="396"/>
      <c r="AA1956" s="388"/>
      <c r="AB1956" s="390"/>
    </row>
    <row r="1957" spans="1:28">
      <c r="A1957" s="384" t="str">
        <f t="shared" ref="A1957:B1957" si="6247">A1945</f>
        <v>Lantai 1</v>
      </c>
      <c r="B1957" s="385">
        <f t="shared" si="6247"/>
        <v>63</v>
      </c>
      <c r="C1957" s="393" t="s">
        <v>208</v>
      </c>
      <c r="D1957" s="398">
        <f>VLOOKUP(D1945,'Detail Balok'!$C$10:$AU$140,13,FALSE)</f>
        <v>0</v>
      </c>
      <c r="E1957" s="388" t="s">
        <v>16</v>
      </c>
      <c r="F1957" s="388">
        <f>VLOOKUP(D1945,'Detail Balok'!$C$10:$AU$140,15,FALSE)</f>
        <v>8</v>
      </c>
      <c r="G1957" s="388"/>
      <c r="H1957" s="395"/>
      <c r="I1957" s="388"/>
      <c r="J1957" s="399">
        <f t="shared" ref="J1957" si="6248">+D1947/1000</f>
        <v>2.1</v>
      </c>
      <c r="K1957" s="400" t="s">
        <v>204</v>
      </c>
      <c r="L1957" s="399">
        <f t="shared" ref="L1957" si="6249">2*$F$16*F1957/1000</f>
        <v>0.192</v>
      </c>
      <c r="M1957" s="399" t="s">
        <v>176</v>
      </c>
      <c r="N1957" s="399">
        <f t="shared" ref="N1957" si="6250">J1957+L1957</f>
        <v>2.2920000000000003</v>
      </c>
      <c r="O1957" s="399" t="s">
        <v>204</v>
      </c>
      <c r="P1957" s="389">
        <f t="shared" ref="P1957" si="6251">IF(N1957&gt;12,ROUNDDOWN(N1957/12,0),0)</f>
        <v>0</v>
      </c>
      <c r="Q1957" s="399" t="s">
        <v>125</v>
      </c>
      <c r="R1957" s="399">
        <f t="shared" ref="R1957" si="6252">IF(P1957&gt;0,MAX(VLOOKUP(F1957,$D$6:$G$15,3,FALSE),600),0)/1000</f>
        <v>0</v>
      </c>
      <c r="S1957" s="399"/>
      <c r="T1957" s="399" t="s">
        <v>125</v>
      </c>
      <c r="U1957" s="401">
        <f t="shared" ref="U1957" si="6253">0.006165*F1957^2</f>
        <v>0.39456000000000002</v>
      </c>
      <c r="V1957" s="399" t="s">
        <v>125</v>
      </c>
      <c r="W1957" s="399">
        <f t="shared" ref="W1957" si="6254">+D1957</f>
        <v>0</v>
      </c>
      <c r="X1957" s="399" t="s">
        <v>125</v>
      </c>
      <c r="Y1957" s="389">
        <f t="shared" ref="Y1957" si="6255">D1951</f>
        <v>1</v>
      </c>
      <c r="Z1957" s="400" t="s">
        <v>176</v>
      </c>
      <c r="AA1957" s="402">
        <f t="shared" ref="AA1957" si="6256">(N1957+P1957*R1957/1000)*U1957*W1957*Y1957</f>
        <v>0</v>
      </c>
      <c r="AB1957" s="403"/>
    </row>
    <row r="1958" spans="1:28">
      <c r="A1958" s="384"/>
      <c r="B1958" s="385"/>
      <c r="C1958" s="393"/>
      <c r="D1958" s="398"/>
      <c r="E1958" s="388"/>
      <c r="F1958" s="388"/>
      <c r="G1958" s="388"/>
      <c r="H1958" s="395"/>
      <c r="I1958" s="388"/>
      <c r="J1958" s="399"/>
      <c r="K1958" s="400"/>
      <c r="L1958" s="399"/>
      <c r="M1958" s="399"/>
      <c r="N1958" s="399"/>
      <c r="O1958" s="399"/>
      <c r="P1958" s="389"/>
      <c r="Q1958" s="399"/>
      <c r="R1958" s="399"/>
      <c r="S1958" s="399"/>
      <c r="T1958" s="399"/>
      <c r="U1958" s="401"/>
      <c r="V1958" s="399"/>
      <c r="W1958" s="399"/>
      <c r="X1958" s="399"/>
      <c r="Y1958" s="389"/>
      <c r="Z1958" s="400"/>
      <c r="AA1958" s="402"/>
      <c r="AB1958" s="403"/>
    </row>
    <row r="1959" spans="1:28">
      <c r="A1959" s="384"/>
      <c r="B1959" s="385"/>
      <c r="C1959" s="393"/>
      <c r="D1959" s="398"/>
      <c r="E1959" s="388"/>
      <c r="F1959" s="388"/>
      <c r="G1959" s="388"/>
      <c r="H1959" s="395"/>
      <c r="I1959" s="388"/>
      <c r="J1959" s="396"/>
      <c r="K1959" s="396"/>
      <c r="L1959" s="396"/>
      <c r="M1959" s="396"/>
      <c r="N1959" s="396"/>
      <c r="O1959" s="396"/>
      <c r="P1959" s="389"/>
      <c r="Q1959" s="396"/>
      <c r="R1959" s="396"/>
      <c r="S1959" s="396"/>
      <c r="T1959" s="396"/>
      <c r="U1959" s="401"/>
      <c r="V1959" s="396"/>
      <c r="W1959" s="399"/>
      <c r="X1959" s="396"/>
      <c r="Y1959" s="389"/>
      <c r="Z1959" s="396"/>
      <c r="AA1959" s="388"/>
      <c r="AB1959" s="390"/>
    </row>
    <row r="1960" spans="1:28">
      <c r="A1960" s="384" t="str">
        <f t="shared" ref="A1960:B1960" si="6257">A1945</f>
        <v>Lantai 1</v>
      </c>
      <c r="B1960" s="385">
        <f t="shared" si="6257"/>
        <v>63</v>
      </c>
      <c r="C1960" s="393" t="s">
        <v>209</v>
      </c>
      <c r="D1960" s="398">
        <f>VLOOKUP(D1945,'Detail Balok'!$C$10:$AU$140,22,FALSE)</f>
        <v>3</v>
      </c>
      <c r="E1960" s="388" t="s">
        <v>16</v>
      </c>
      <c r="F1960" s="388">
        <f>VLOOKUP(D1945,'Detail Balok'!$C$10:$AU$140,24,FALSE)</f>
        <v>13</v>
      </c>
      <c r="G1960" s="388"/>
      <c r="H1960" s="395"/>
      <c r="I1960" s="388" t="s">
        <v>203</v>
      </c>
      <c r="J1960" s="399">
        <f t="shared" si="6064"/>
        <v>0.52500000000000002</v>
      </c>
      <c r="K1960" s="400" t="s">
        <v>204</v>
      </c>
      <c r="L1960" s="399">
        <f t="shared" ref="L1960" si="6258">MAX(VLOOKUP(F1960,N$6:P$15,3,FALSE)/1000,2/3*D1950/1000)+F$16*F1960/1000</f>
        <v>0.156</v>
      </c>
      <c r="M1960" s="399" t="s">
        <v>176</v>
      </c>
      <c r="N1960" s="399">
        <f t="shared" ref="N1960:N1962" si="6259">J1960+L1960</f>
        <v>0.68100000000000005</v>
      </c>
      <c r="O1960" s="399" t="s">
        <v>204</v>
      </c>
      <c r="P1960" s="389">
        <f t="shared" ref="P1960" si="6260">D1960-D1961</f>
        <v>0</v>
      </c>
      <c r="Q1960" s="399" t="s">
        <v>125</v>
      </c>
      <c r="R1960" s="399">
        <f t="shared" ref="R1960" si="6261">IF(P1960&gt;0,$F$18*F1960/1000,0)</f>
        <v>0</v>
      </c>
      <c r="S1960" s="399" t="s">
        <v>205</v>
      </c>
      <c r="T1960" s="399" t="s">
        <v>125</v>
      </c>
      <c r="U1960" s="401">
        <f t="shared" ref="U1960:U1962" si="6262">0.006165*F1960^2</f>
        <v>1.041885</v>
      </c>
      <c r="V1960" s="399"/>
      <c r="W1960" s="399"/>
      <c r="X1960" s="399" t="s">
        <v>125</v>
      </c>
      <c r="Y1960" s="389">
        <f t="shared" ref="Y1960" si="6263">D1951</f>
        <v>1</v>
      </c>
      <c r="Z1960" s="400" t="s">
        <v>176</v>
      </c>
      <c r="AA1960" s="402">
        <f t="shared" ref="AA1960" si="6264">IF(AA1963=0,(D1960*N1960+P1960*R1960)*U1960*Y1960,0)</f>
        <v>0</v>
      </c>
      <c r="AB1960" s="403"/>
    </row>
    <row r="1961" spans="1:28">
      <c r="A1961" s="384" t="str">
        <f t="shared" ref="A1961:B1961" si="6265">A1945</f>
        <v>Lantai 1</v>
      </c>
      <c r="B1961" s="385">
        <f t="shared" si="6265"/>
        <v>63</v>
      </c>
      <c r="C1961" s="393" t="s">
        <v>210</v>
      </c>
      <c r="D1961" s="398">
        <f>VLOOKUP(D1945,'Detail Balok'!$C$10:$AU$140,25,FALSE)</f>
        <v>3</v>
      </c>
      <c r="E1961" s="388" t="s">
        <v>16</v>
      </c>
      <c r="F1961" s="388">
        <f>VLOOKUP(D1945,'Detail Balok'!$C$10:$AU$140,27,FALSE)</f>
        <v>13</v>
      </c>
      <c r="G1961" s="388"/>
      <c r="H1961" s="395"/>
      <c r="I1961" s="388" t="s">
        <v>203</v>
      </c>
      <c r="J1961" s="399">
        <f t="shared" si="6064"/>
        <v>1.05</v>
      </c>
      <c r="K1961" s="400" t="s">
        <v>204</v>
      </c>
      <c r="L1961" s="399"/>
      <c r="M1961" s="399" t="s">
        <v>176</v>
      </c>
      <c r="N1961" s="399">
        <f t="shared" si="6259"/>
        <v>1.05</v>
      </c>
      <c r="O1961" s="399" t="s">
        <v>204</v>
      </c>
      <c r="P1961" s="389">
        <f t="shared" ref="P1961" si="6266">MAX(D1961-D1960,D1961-D1962)</f>
        <v>0</v>
      </c>
      <c r="Q1961" s="399" t="s">
        <v>125</v>
      </c>
      <c r="R1961" s="399">
        <f t="shared" ref="R1961" si="6267">IF(P1961&gt;0,2*(1-2*$F$19-1/2)*D1948/1000,0)</f>
        <v>0</v>
      </c>
      <c r="S1961" s="399" t="s">
        <v>205</v>
      </c>
      <c r="T1961" s="399" t="s">
        <v>125</v>
      </c>
      <c r="U1961" s="401">
        <f t="shared" si="6262"/>
        <v>1.041885</v>
      </c>
      <c r="V1961" s="399"/>
      <c r="W1961" s="399"/>
      <c r="X1961" s="399" t="s">
        <v>125</v>
      </c>
      <c r="Y1961" s="389">
        <f t="shared" ref="Y1961" si="6268">D1951</f>
        <v>1</v>
      </c>
      <c r="Z1961" s="400" t="s">
        <v>176</v>
      </c>
      <c r="AA1961" s="402">
        <f t="shared" ref="AA1961" si="6269">IF(AA1963=0,(D1961*N1961+P1961*R1961)*U1961*Y1961,0)</f>
        <v>0</v>
      </c>
      <c r="AB1961" s="403"/>
    </row>
    <row r="1962" spans="1:28">
      <c r="A1962" s="384" t="str">
        <f t="shared" ref="A1962:B1962" si="6270">A1945</f>
        <v>Lantai 1</v>
      </c>
      <c r="B1962" s="385">
        <f t="shared" si="6270"/>
        <v>63</v>
      </c>
      <c r="C1962" s="393" t="s">
        <v>209</v>
      </c>
      <c r="D1962" s="398">
        <f>VLOOKUP(D1945,'Detail Balok'!$C$10:$AU$140,28,FALSE)</f>
        <v>3</v>
      </c>
      <c r="E1962" s="388" t="s">
        <v>16</v>
      </c>
      <c r="F1962" s="388">
        <f>VLOOKUP(D1945,'Detail Balok'!$C$10:$AU$140,30,FALSE)</f>
        <v>13</v>
      </c>
      <c r="G1962" s="388"/>
      <c r="H1962" s="395"/>
      <c r="I1962" s="388" t="s">
        <v>203</v>
      </c>
      <c r="J1962" s="399">
        <f t="shared" si="6064"/>
        <v>0.52500000000000002</v>
      </c>
      <c r="K1962" s="400" t="s">
        <v>204</v>
      </c>
      <c r="L1962" s="399">
        <f t="shared" ref="L1962" si="6271">MAX(VLOOKUP(F1962,N$6:P$15,3,FALSE)/1000,2/3*D1950/1000)+F$16*F1962/1000</f>
        <v>0.156</v>
      </c>
      <c r="M1962" s="399" t="s">
        <v>176</v>
      </c>
      <c r="N1962" s="399">
        <f t="shared" si="6259"/>
        <v>0.68100000000000005</v>
      </c>
      <c r="O1962" s="399" t="s">
        <v>204</v>
      </c>
      <c r="P1962" s="389">
        <f t="shared" ref="P1962" si="6272">D1962-D1961</f>
        <v>0</v>
      </c>
      <c r="Q1962" s="399" t="s">
        <v>125</v>
      </c>
      <c r="R1962" s="399">
        <f t="shared" ref="R1962" si="6273">IF(P1962&gt;0,$F$18*F1962/1000,0)</f>
        <v>0</v>
      </c>
      <c r="S1962" s="399" t="s">
        <v>205</v>
      </c>
      <c r="T1962" s="399" t="s">
        <v>125</v>
      </c>
      <c r="U1962" s="401">
        <f t="shared" si="6262"/>
        <v>1.041885</v>
      </c>
      <c r="V1962" s="399"/>
      <c r="W1962" s="399"/>
      <c r="X1962" s="399" t="s">
        <v>125</v>
      </c>
      <c r="Y1962" s="389">
        <f t="shared" ref="Y1962" si="6274">D1951</f>
        <v>1</v>
      </c>
      <c r="Z1962" s="400" t="s">
        <v>176</v>
      </c>
      <c r="AA1962" s="402">
        <f t="shared" ref="AA1962" si="6275">IF(AA1963=0,(D1962*N1962+P1962*R1962)*U1962*Y1962,0)</f>
        <v>0</v>
      </c>
      <c r="AB1962" s="403"/>
    </row>
    <row r="1963" spans="1:28">
      <c r="A1963" s="384" t="str">
        <f t="shared" ref="A1963:B1963" si="6276">A1945</f>
        <v>Lantai 1</v>
      </c>
      <c r="B1963" s="385">
        <f t="shared" si="6276"/>
        <v>63</v>
      </c>
      <c r="C1963" s="393"/>
      <c r="D1963" s="398">
        <f t="shared" si="6084"/>
        <v>3</v>
      </c>
      <c r="E1963" s="388" t="s">
        <v>16</v>
      </c>
      <c r="F1963" s="388">
        <f t="shared" si="6085"/>
        <v>13</v>
      </c>
      <c r="G1963" s="388"/>
      <c r="H1963" s="395"/>
      <c r="I1963" s="388"/>
      <c r="J1963" s="396"/>
      <c r="K1963" s="396"/>
      <c r="L1963" s="404" t="s">
        <v>207</v>
      </c>
      <c r="M1963" s="399" t="s">
        <v>176</v>
      </c>
      <c r="N1963" s="399">
        <f t="shared" ref="N1963" si="6277">IF(AND(D1960=D1961,D1960=D1962,D1961=D1962,F1960=F1961,F1960=F1962,F1961=F1962),SUM(N1960:N1962),0)</f>
        <v>2.4119999999999999</v>
      </c>
      <c r="O1963" s="399" t="s">
        <v>204</v>
      </c>
      <c r="P1963" s="389">
        <f t="shared" ref="P1963" si="6278">IF(N1963&gt;12,ROUNDDOWN(N1963/12,0),0)</f>
        <v>0</v>
      </c>
      <c r="Q1963" s="399" t="s">
        <v>125</v>
      </c>
      <c r="R1963" s="399">
        <f t="shared" ref="R1963" si="6279">IF(P1963&gt;0,MAX(VLOOKUP(F1963,$D$6:$G$15,3,FALSE),600),0)/1000</f>
        <v>0</v>
      </c>
      <c r="S1963" s="396"/>
      <c r="T1963" s="396" t="s">
        <v>125</v>
      </c>
      <c r="U1963" s="401">
        <f t="shared" si="6089"/>
        <v>1.041885</v>
      </c>
      <c r="V1963" s="396" t="s">
        <v>125</v>
      </c>
      <c r="W1963" s="399">
        <f t="shared" ref="W1963" si="6280">D1963</f>
        <v>3</v>
      </c>
      <c r="X1963" s="399" t="s">
        <v>125</v>
      </c>
      <c r="Y1963" s="389">
        <f t="shared" si="6091"/>
        <v>1</v>
      </c>
      <c r="Z1963" s="400" t="s">
        <v>176</v>
      </c>
      <c r="AA1963" s="402">
        <f t="shared" ref="AA1963" si="6281">(N1963+P1963*R1963/1000)*U1963*W1963*Y1963</f>
        <v>7.5390798599999993</v>
      </c>
      <c r="AB1963" s="403"/>
    </row>
    <row r="1964" spans="1:28">
      <c r="A1964" s="384"/>
      <c r="B1964" s="385"/>
      <c r="C1964" s="393"/>
      <c r="D1964" s="394"/>
      <c r="E1964" s="388"/>
      <c r="F1964" s="388"/>
      <c r="G1964" s="388"/>
      <c r="H1964" s="395"/>
      <c r="I1964" s="388"/>
      <c r="J1964" s="399"/>
      <c r="K1964" s="396"/>
      <c r="L1964" s="396"/>
      <c r="M1964" s="396"/>
      <c r="N1964" s="396"/>
      <c r="O1964" s="396"/>
      <c r="P1964" s="389"/>
      <c r="Q1964" s="396"/>
      <c r="R1964" s="396"/>
      <c r="S1964" s="396"/>
      <c r="T1964" s="396"/>
      <c r="U1964" s="401"/>
      <c r="V1964" s="396"/>
      <c r="W1964" s="388"/>
      <c r="X1964" s="396"/>
      <c r="Y1964" s="389"/>
      <c r="Z1964" s="396"/>
      <c r="AA1964" s="388"/>
      <c r="AB1964" s="390"/>
    </row>
    <row r="1965" spans="1:28">
      <c r="A1965" s="384" t="str">
        <f t="shared" ref="A1965:B1965" si="6282">A1945</f>
        <v>Lantai 1</v>
      </c>
      <c r="B1965" s="385">
        <f t="shared" si="6282"/>
        <v>63</v>
      </c>
      <c r="C1965" s="393" t="s">
        <v>211</v>
      </c>
      <c r="D1965" s="398">
        <f>VLOOKUP(D1945,'Detail Balok'!$C$10:$AU$140,31,FALSE)</f>
        <v>0</v>
      </c>
      <c r="E1965" s="388" t="s">
        <v>16</v>
      </c>
      <c r="F1965" s="388">
        <f>VLOOKUP(D1945,'Detail Balok'!$C$10:$AU$140,33,FALSE)</f>
        <v>8</v>
      </c>
      <c r="G1965" s="405" t="s">
        <v>157</v>
      </c>
      <c r="H1965" s="395">
        <f>VLOOKUP(D1945,'Detail Balok'!$C$10:$AU$140,35,FALSE)</f>
        <v>150</v>
      </c>
      <c r="I1965" s="388"/>
      <c r="J1965" s="400">
        <f t="shared" ref="J1965" si="6283">(IF(D1965=0,(2*(D1946+G1946))-(F$5*8),IF(D1965=3,(2*(D1946+G1946))-(F$5*8)+(G1946-2*F$5),IF(D1965=4,(2*(D1946+G1946))-(F$5*8)+2*(G1946-2*F$5)))))/1000</f>
        <v>0.88</v>
      </c>
      <c r="K1965" s="400" t="s">
        <v>204</v>
      </c>
      <c r="L1965" s="399">
        <f t="shared" ref="L1965:L1967" si="6284">IF(D1965=0,2*MAX(6*F1965,75),(D1965-1)*2*MAX(6*F1965,75))/1000</f>
        <v>0.15</v>
      </c>
      <c r="M1965" s="399" t="s">
        <v>176</v>
      </c>
      <c r="N1965" s="399">
        <f t="shared" ref="N1965:N1967" si="6285">J1965+L1965</f>
        <v>1.03</v>
      </c>
      <c r="O1965" s="399"/>
      <c r="P1965" s="389"/>
      <c r="Q1965" s="399"/>
      <c r="R1965" s="399"/>
      <c r="S1965" s="399"/>
      <c r="T1965" s="399" t="s">
        <v>125</v>
      </c>
      <c r="U1965" s="401">
        <f t="shared" ref="U1965:U1967" si="6286">0.006165*F1965^2</f>
        <v>0.39456000000000002</v>
      </c>
      <c r="V1965" s="399" t="s">
        <v>125</v>
      </c>
      <c r="W1965" s="399">
        <f t="shared" ref="W1965" si="6287">IF(D1948&gt;4*G1946,ROUND(MAX(D1948/4,2*G1946)/H1965,0)+1,ROUND(D1948/H1965,0)+1)</f>
        <v>6</v>
      </c>
      <c r="X1965" s="399" t="s">
        <v>125</v>
      </c>
      <c r="Y1965" s="389">
        <f t="shared" ref="Y1965" si="6288">D1951</f>
        <v>1</v>
      </c>
      <c r="Z1965" s="400" t="s">
        <v>176</v>
      </c>
      <c r="AA1965" s="402">
        <f t="shared" ref="AA1965:AA1967" si="6289">N1965*U1965*W1965*Y1965</f>
        <v>2.4383808000000005</v>
      </c>
      <c r="AB1965" s="403"/>
    </row>
    <row r="1966" spans="1:28">
      <c r="A1966" s="384" t="str">
        <f t="shared" ref="A1966:B1966" si="6290">A1945</f>
        <v>Lantai 1</v>
      </c>
      <c r="B1966" s="385">
        <f t="shared" si="6290"/>
        <v>63</v>
      </c>
      <c r="C1966" s="393" t="s">
        <v>212</v>
      </c>
      <c r="D1966" s="398">
        <f>VLOOKUP(D1945,'Detail Balok'!$C$10:$AU$140,36,FALSE)</f>
        <v>0</v>
      </c>
      <c r="E1966" s="388" t="s">
        <v>16</v>
      </c>
      <c r="F1966" s="388">
        <f>VLOOKUP(D1945,'Detail Balok'!$C$10:$AU$140,38,FALSE)</f>
        <v>8</v>
      </c>
      <c r="G1966" s="405" t="s">
        <v>157</v>
      </c>
      <c r="H1966" s="395">
        <f>VLOOKUP(D1945,'Detail Balok'!$C$10:$AU$140,40,FALSE)</f>
        <v>200</v>
      </c>
      <c r="I1966" s="388"/>
      <c r="J1966" s="400">
        <f t="shared" ref="J1966" si="6291">(IF(D1966=0,(2*(D1946+G1946))-(F$5*8),IF(D1966=3,(2*(D1946+G1946))-(F$5*8)+(G1946-2*F$5),IF(D1966=4,(2*(D1946+G1946))-(F$5*8)+2*(G1946-2*F$5)))))/1000</f>
        <v>0.88</v>
      </c>
      <c r="K1966" s="400" t="s">
        <v>204</v>
      </c>
      <c r="L1966" s="399">
        <f t="shared" si="6284"/>
        <v>0.15</v>
      </c>
      <c r="M1966" s="399" t="s">
        <v>176</v>
      </c>
      <c r="N1966" s="399">
        <f t="shared" si="6285"/>
        <v>1.03</v>
      </c>
      <c r="O1966" s="399"/>
      <c r="P1966" s="389"/>
      <c r="Q1966" s="399"/>
      <c r="R1966" s="399"/>
      <c r="S1966" s="399"/>
      <c r="T1966" s="399" t="s">
        <v>125</v>
      </c>
      <c r="U1966" s="401">
        <f t="shared" si="6286"/>
        <v>0.39456000000000002</v>
      </c>
      <c r="V1966" s="399" t="s">
        <v>125</v>
      </c>
      <c r="W1966" s="399">
        <f t="shared" ref="W1966" si="6292">IF(D1948-MAX(D1948/4,2*G1946)*2&gt;0,ROUND((D1948-MAX(D1948/4,2*G1946)*2)/H1966,0),0)</f>
        <v>3</v>
      </c>
      <c r="X1966" s="399" t="s">
        <v>125</v>
      </c>
      <c r="Y1966" s="389">
        <f t="shared" ref="Y1966" si="6293">D1951</f>
        <v>1</v>
      </c>
      <c r="Z1966" s="400" t="s">
        <v>176</v>
      </c>
      <c r="AA1966" s="402">
        <f t="shared" si="6289"/>
        <v>1.2191904000000002</v>
      </c>
      <c r="AB1966" s="403"/>
    </row>
    <row r="1967" spans="1:28">
      <c r="A1967" s="384" t="str">
        <f t="shared" ref="A1967:B1967" si="6294">A1945</f>
        <v>Lantai 1</v>
      </c>
      <c r="B1967" s="385">
        <f t="shared" si="6294"/>
        <v>63</v>
      </c>
      <c r="C1967" s="393" t="s">
        <v>211</v>
      </c>
      <c r="D1967" s="398">
        <f>VLOOKUP(D1945,'Detail Balok'!$C$10:$AU$140,41,FALSE)</f>
        <v>0</v>
      </c>
      <c r="E1967" s="388" t="s">
        <v>16</v>
      </c>
      <c r="F1967" s="388">
        <f>VLOOKUP(D1945,'Detail Balok'!$C$10:$AU$140,43,FALSE)</f>
        <v>8</v>
      </c>
      <c r="G1967" s="405" t="s">
        <v>157</v>
      </c>
      <c r="H1967" s="395">
        <f>VLOOKUP(D1945,'Detail Balok'!$C$10:$AU$140,45,FALSE)</f>
        <v>150</v>
      </c>
      <c r="I1967" s="388"/>
      <c r="J1967" s="400">
        <f t="shared" ref="J1967" si="6295">(IF(D1967=0,(2*(D1946+G1946))-(F$5*8),IF(D1967=3,(2*(D1946+G1946))-(F$5*8)+(G1946-2*F$5),IF(D1967=4,(2*(D1946+G1946))-(F$5*8)+2*(G1946-2*F$5)))))/1000</f>
        <v>0.88</v>
      </c>
      <c r="K1967" s="400" t="s">
        <v>204</v>
      </c>
      <c r="L1967" s="399">
        <f t="shared" si="6284"/>
        <v>0.15</v>
      </c>
      <c r="M1967" s="399" t="s">
        <v>176</v>
      </c>
      <c r="N1967" s="399">
        <f t="shared" si="6285"/>
        <v>1.03</v>
      </c>
      <c r="O1967" s="399"/>
      <c r="P1967" s="389"/>
      <c r="Q1967" s="399"/>
      <c r="R1967" s="399"/>
      <c r="S1967" s="399"/>
      <c r="T1967" s="399" t="s">
        <v>125</v>
      </c>
      <c r="U1967" s="401">
        <f t="shared" si="6286"/>
        <v>0.39456000000000002</v>
      </c>
      <c r="V1967" s="399" t="s">
        <v>125</v>
      </c>
      <c r="W1967" s="399">
        <f t="shared" ref="W1967" si="6296">IF(D1948&gt;4*G1946,ROUND(MAX(D1948/4,2*G1946)/H1967,0)+1,0)</f>
        <v>6</v>
      </c>
      <c r="X1967" s="399" t="s">
        <v>125</v>
      </c>
      <c r="Y1967" s="389">
        <f t="shared" ref="Y1967" si="6297">D1951</f>
        <v>1</v>
      </c>
      <c r="Z1967" s="400" t="s">
        <v>176</v>
      </c>
      <c r="AA1967" s="402">
        <f t="shared" si="6289"/>
        <v>2.4383808000000005</v>
      </c>
      <c r="AB1967" s="403"/>
    </row>
    <row r="1968" spans="1:28">
      <c r="A1968" s="384"/>
      <c r="B1968" s="385"/>
      <c r="C1968" s="393"/>
      <c r="D1968" s="394"/>
      <c r="E1968" s="388"/>
      <c r="F1968" s="388"/>
      <c r="G1968" s="388"/>
      <c r="H1968" s="395"/>
      <c r="I1968" s="388"/>
      <c r="J1968" s="399"/>
      <c r="K1968" s="396"/>
      <c r="L1968" s="396"/>
      <c r="M1968" s="396"/>
      <c r="N1968" s="396"/>
      <c r="O1968" s="396"/>
      <c r="P1968" s="389"/>
      <c r="Q1968" s="396"/>
      <c r="R1968" s="396"/>
      <c r="S1968" s="396"/>
      <c r="T1968" s="396"/>
      <c r="U1968" s="401"/>
      <c r="V1968" s="396"/>
      <c r="W1968" s="388"/>
      <c r="X1968" s="396"/>
      <c r="Y1968" s="389"/>
      <c r="Z1968" s="396"/>
      <c r="AA1968" s="388"/>
      <c r="AB1968" s="390"/>
    </row>
    <row r="1969" spans="1:28">
      <c r="A1969" s="384" t="str">
        <f t="shared" ref="A1969:B1969" si="6298">A1945</f>
        <v>Lantai 1</v>
      </c>
      <c r="B1969" s="385">
        <f t="shared" si="6298"/>
        <v>63</v>
      </c>
      <c r="C1969" s="393" t="s">
        <v>213</v>
      </c>
      <c r="D1969" s="398">
        <f>VLOOKUP(D1945,'Detail Balok'!$C$10:$BJ$140,46,FALSE)</f>
        <v>0</v>
      </c>
      <c r="E1969" s="388" t="s">
        <v>16</v>
      </c>
      <c r="F1969" s="388">
        <f>VLOOKUP(D1945,'Detail Balok'!$C$10:$BJ$140,48,FALSE)</f>
        <v>0</v>
      </c>
      <c r="G1969" s="405" t="s">
        <v>157</v>
      </c>
      <c r="H1969" s="395">
        <f>VLOOKUP(D1945,'Detail Balok'!$C$10:$BJ$140,50,FALSE)</f>
        <v>100</v>
      </c>
      <c r="I1969" s="388"/>
      <c r="J1969" s="399">
        <f t="shared" ref="J1969" si="6299">(D1946-2*F$5)/1000</f>
        <v>0.12</v>
      </c>
      <c r="K1969" s="400" t="s">
        <v>204</v>
      </c>
      <c r="L1969" s="399">
        <f t="shared" ref="L1969:L1971" si="6300">IF(D1969=0,2*MAX(6*F1969,75),(D1969-1)*2*MAX(6*F1969,75))/1000</f>
        <v>0.15</v>
      </c>
      <c r="M1969" s="399" t="s">
        <v>176</v>
      </c>
      <c r="N1969" s="399">
        <f t="shared" ref="N1969:N1971" si="6301">J1969+L1969</f>
        <v>0.27</v>
      </c>
      <c r="O1969" s="399"/>
      <c r="P1969" s="399"/>
      <c r="Q1969" s="399"/>
      <c r="R1969" s="399"/>
      <c r="S1969" s="399"/>
      <c r="T1969" s="399" t="s">
        <v>125</v>
      </c>
      <c r="U1969" s="401">
        <f t="shared" ref="U1969:U1971" si="6302">0.006165*F1969^2</f>
        <v>0</v>
      </c>
      <c r="V1969" s="399" t="s">
        <v>125</v>
      </c>
      <c r="W1969" s="399">
        <f t="shared" si="6114"/>
        <v>6</v>
      </c>
      <c r="X1969" s="399" t="s">
        <v>125</v>
      </c>
      <c r="Y1969" s="389">
        <f t="shared" ref="Y1969" si="6303">D1955</f>
        <v>3</v>
      </c>
      <c r="Z1969" s="400" t="s">
        <v>176</v>
      </c>
      <c r="AA1969" s="402">
        <f t="shared" ref="AA1969:AA1971" si="6304">N1969*U1969*W1969*Y1969</f>
        <v>0</v>
      </c>
      <c r="AB1969" s="403"/>
    </row>
    <row r="1970" spans="1:28">
      <c r="A1970" s="384" t="str">
        <f t="shared" ref="A1970:B1970" si="6305">A1945</f>
        <v>Lantai 1</v>
      </c>
      <c r="B1970" s="385">
        <f t="shared" si="6305"/>
        <v>63</v>
      </c>
      <c r="C1970" s="393" t="s">
        <v>214</v>
      </c>
      <c r="D1970" s="398">
        <f>VLOOKUP(D1945,'Detail Balok'!$C$10:$BJ$140,51,FALSE)</f>
        <v>0</v>
      </c>
      <c r="E1970" s="388" t="s">
        <v>16</v>
      </c>
      <c r="F1970" s="388">
        <f>VLOOKUP(D1945,'Detail Balok'!$C$10:$BJ$140,53,FALSE)</f>
        <v>0</v>
      </c>
      <c r="G1970" s="405" t="s">
        <v>157</v>
      </c>
      <c r="H1970" s="395">
        <f>VLOOKUP(D1945,'Detail Balok'!$C$10:$BJ$140,55,FALSE)</f>
        <v>100</v>
      </c>
      <c r="I1970" s="388"/>
      <c r="J1970" s="399">
        <f t="shared" ref="J1970" si="6306">(D1946-2*F$5)/1000</f>
        <v>0.12</v>
      </c>
      <c r="K1970" s="400" t="s">
        <v>204</v>
      </c>
      <c r="L1970" s="399">
        <f t="shared" si="6300"/>
        <v>0.15</v>
      </c>
      <c r="M1970" s="399" t="s">
        <v>176</v>
      </c>
      <c r="N1970" s="399">
        <f t="shared" si="6301"/>
        <v>0.27</v>
      </c>
      <c r="O1970" s="399"/>
      <c r="P1970" s="399"/>
      <c r="Q1970" s="399"/>
      <c r="R1970" s="399"/>
      <c r="S1970" s="399"/>
      <c r="T1970" s="399" t="s">
        <v>125</v>
      </c>
      <c r="U1970" s="401">
        <f t="shared" si="6302"/>
        <v>0</v>
      </c>
      <c r="V1970" s="399" t="s">
        <v>125</v>
      </c>
      <c r="W1970" s="399">
        <f t="shared" si="6114"/>
        <v>3</v>
      </c>
      <c r="X1970" s="399" t="s">
        <v>125</v>
      </c>
      <c r="Y1970" s="389">
        <f t="shared" ref="Y1970" si="6307">D1955</f>
        <v>3</v>
      </c>
      <c r="Z1970" s="400" t="s">
        <v>176</v>
      </c>
      <c r="AA1970" s="402">
        <f t="shared" si="6304"/>
        <v>0</v>
      </c>
      <c r="AB1970" s="403"/>
    </row>
    <row r="1971" spans="1:28">
      <c r="A1971" s="384" t="str">
        <f t="shared" ref="A1971:B1971" si="6308">A1945</f>
        <v>Lantai 1</v>
      </c>
      <c r="B1971" s="385">
        <f t="shared" si="6308"/>
        <v>63</v>
      </c>
      <c r="C1971" s="393" t="s">
        <v>213</v>
      </c>
      <c r="D1971" s="398">
        <f>VLOOKUP(D1945,'Detail Balok'!$C$10:$BJ$140,56,FALSE)</f>
        <v>0</v>
      </c>
      <c r="E1971" s="388" t="s">
        <v>16</v>
      </c>
      <c r="F1971" s="388">
        <f>VLOOKUP(D1945,'Detail Balok'!$C$10:$BJ$140,58,FALSE)</f>
        <v>0</v>
      </c>
      <c r="G1971" s="405" t="s">
        <v>157</v>
      </c>
      <c r="H1971" s="395">
        <f>VLOOKUP(D1945,'Detail Balok'!$C$10:$BJ$140,60,FALSE)</f>
        <v>100</v>
      </c>
      <c r="I1971" s="388"/>
      <c r="J1971" s="399">
        <f t="shared" ref="J1971" si="6309">(D1946-2*F$5)/1000</f>
        <v>0.12</v>
      </c>
      <c r="K1971" s="400" t="s">
        <v>204</v>
      </c>
      <c r="L1971" s="399">
        <f t="shared" si="6300"/>
        <v>0.15</v>
      </c>
      <c r="M1971" s="399" t="s">
        <v>176</v>
      </c>
      <c r="N1971" s="399">
        <f t="shared" si="6301"/>
        <v>0.27</v>
      </c>
      <c r="O1971" s="399"/>
      <c r="P1971" s="399"/>
      <c r="Q1971" s="399"/>
      <c r="R1971" s="399"/>
      <c r="S1971" s="399"/>
      <c r="T1971" s="399" t="s">
        <v>125</v>
      </c>
      <c r="U1971" s="401">
        <f t="shared" si="6302"/>
        <v>0</v>
      </c>
      <c r="V1971" s="399" t="s">
        <v>125</v>
      </c>
      <c r="W1971" s="399">
        <f t="shared" si="6114"/>
        <v>6</v>
      </c>
      <c r="X1971" s="399" t="s">
        <v>125</v>
      </c>
      <c r="Y1971" s="389">
        <f t="shared" ref="Y1971" si="6310">D1955</f>
        <v>3</v>
      </c>
      <c r="Z1971" s="400" t="s">
        <v>176</v>
      </c>
      <c r="AA1971" s="402">
        <f t="shared" si="6304"/>
        <v>0</v>
      </c>
      <c r="AB1971" s="403"/>
    </row>
    <row r="1972" spans="1:28">
      <c r="A1972" s="391"/>
      <c r="B1972" s="392"/>
      <c r="C1972" s="392"/>
      <c r="D1972" s="394"/>
      <c r="E1972" s="388"/>
      <c r="F1972" s="388"/>
      <c r="G1972" s="388"/>
      <c r="H1972" s="395"/>
      <c r="I1972" s="388"/>
      <c r="J1972" s="402"/>
      <c r="K1972" s="388"/>
      <c r="L1972" s="388"/>
      <c r="M1972" s="388"/>
      <c r="N1972" s="388"/>
      <c r="O1972" s="388"/>
      <c r="P1972" s="388"/>
      <c r="Q1972" s="388"/>
      <c r="R1972" s="388"/>
      <c r="S1972" s="388"/>
      <c r="T1972" s="388"/>
      <c r="U1972" s="388"/>
      <c r="V1972" s="388"/>
      <c r="W1972" s="388"/>
      <c r="X1972" s="388"/>
      <c r="Y1972" s="389"/>
      <c r="Z1972" s="388"/>
      <c r="AA1972" s="402"/>
      <c r="AB1972" s="403"/>
    </row>
    <row r="1973" spans="1:28" ht="15.75" thickBot="1">
      <c r="A1973" s="406"/>
      <c r="B1973" s="407"/>
      <c r="C1973" s="407"/>
      <c r="D1973" s="408"/>
      <c r="E1973" s="409"/>
      <c r="F1973" s="409"/>
      <c r="G1973" s="409"/>
      <c r="H1973" s="410"/>
      <c r="I1973" s="409"/>
      <c r="J1973" s="409"/>
      <c r="K1973" s="409"/>
      <c r="L1973" s="409"/>
      <c r="M1973" s="409"/>
      <c r="N1973" s="409"/>
      <c r="O1973" s="409"/>
      <c r="P1973" s="409"/>
      <c r="Q1973" s="409"/>
      <c r="R1973" s="409"/>
      <c r="S1973" s="409"/>
      <c r="T1973" s="409"/>
      <c r="U1973" s="409"/>
      <c r="V1973" s="409"/>
      <c r="W1973" s="409"/>
      <c r="X1973" s="409"/>
      <c r="Y1973" s="411"/>
      <c r="Z1973" s="409"/>
      <c r="AA1973" s="412"/>
      <c r="AB1973" s="413"/>
    </row>
    <row r="1974" spans="1:28">
      <c r="A1974" s="377"/>
      <c r="B1974" s="378"/>
      <c r="C1974" s="378"/>
      <c r="D1974" s="379"/>
      <c r="E1974" s="380"/>
      <c r="F1974" s="380"/>
      <c r="G1974" s="380"/>
      <c r="H1974" s="381"/>
      <c r="I1974" s="380"/>
      <c r="J1974" s="380"/>
      <c r="K1974" s="380"/>
      <c r="L1974" s="380"/>
      <c r="M1974" s="380"/>
      <c r="N1974" s="380"/>
      <c r="O1974" s="380"/>
      <c r="P1974" s="380"/>
      <c r="Q1974" s="380"/>
      <c r="R1974" s="380"/>
      <c r="S1974" s="380"/>
      <c r="T1974" s="380"/>
      <c r="U1974" s="380"/>
      <c r="V1974" s="380"/>
      <c r="W1974" s="380"/>
      <c r="X1974" s="380"/>
      <c r="Y1974" s="382"/>
      <c r="Z1974" s="380"/>
      <c r="AA1974" s="380"/>
      <c r="AB1974" s="383"/>
    </row>
    <row r="1975" spans="1:28">
      <c r="A1975" s="384" t="str">
        <f t="shared" si="6123"/>
        <v>Lantai 1</v>
      </c>
      <c r="B1975" s="385">
        <f t="shared" si="6124"/>
        <v>64</v>
      </c>
      <c r="C1975" s="386" t="str">
        <f t="shared" ref="C1975" si="6311">CONCATENATE(A1975," no. ",B1975)</f>
        <v>Lantai 1 no. 64</v>
      </c>
      <c r="D1975" s="2562" t="str">
        <f>VLOOKUP(C1975,'Data Panjang Balok'!$C$9:$N$254,2,FALSE)</f>
        <v>S24-1</v>
      </c>
      <c r="E1975" s="2576"/>
      <c r="F1975" s="2576"/>
      <c r="G1975" s="2576"/>
      <c r="H1975" s="2577"/>
      <c r="I1975" s="387"/>
      <c r="J1975" s="388"/>
      <c r="K1975" s="388"/>
      <c r="L1975" s="388"/>
      <c r="M1975" s="388"/>
      <c r="N1975" s="388"/>
      <c r="O1975" s="388"/>
      <c r="P1975" s="388"/>
      <c r="Q1975" s="388"/>
      <c r="R1975" s="388"/>
      <c r="S1975" s="388"/>
      <c r="T1975" s="388"/>
      <c r="U1975" s="388"/>
      <c r="V1975" s="388"/>
      <c r="W1975" s="388"/>
      <c r="X1975" s="388"/>
      <c r="Y1975" s="389"/>
      <c r="Z1975" s="388"/>
      <c r="AA1975" s="388"/>
      <c r="AB1975" s="390"/>
    </row>
    <row r="1976" spans="1:28">
      <c r="A1976" s="391"/>
      <c r="B1976" s="392"/>
      <c r="C1976" s="393" t="s">
        <v>118</v>
      </c>
      <c r="D1976" s="2578">
        <f>VLOOKUP(D1975,'Detail Balok'!$C$10:$AU$140,2,FALSE)</f>
        <v>200</v>
      </c>
      <c r="E1976" s="2579"/>
      <c r="F1976" s="388" t="s">
        <v>125</v>
      </c>
      <c r="G1976" s="2579">
        <f>VLOOKUP(D1975,'Detail Balok'!$C$10:$AU$140,3,FALSE)</f>
        <v>400</v>
      </c>
      <c r="H1976" s="2580"/>
      <c r="I1976" s="388"/>
      <c r="J1976" s="396"/>
      <c r="K1976" s="396"/>
      <c r="L1976" s="396"/>
      <c r="M1976" s="396"/>
      <c r="N1976" s="396"/>
      <c r="O1976" s="396"/>
      <c r="P1976" s="396"/>
      <c r="Q1976" s="396"/>
      <c r="R1976" s="396"/>
      <c r="S1976" s="396"/>
      <c r="T1976" s="396"/>
      <c r="U1976" s="388"/>
      <c r="V1976" s="396"/>
      <c r="W1976" s="388"/>
      <c r="X1976" s="396"/>
      <c r="Y1976" s="389"/>
      <c r="Z1976" s="396"/>
      <c r="AA1976" s="388"/>
      <c r="AB1976" s="390"/>
    </row>
    <row r="1977" spans="1:28">
      <c r="A1977" s="391"/>
      <c r="B1977" s="392"/>
      <c r="C1977" s="393" t="s">
        <v>198</v>
      </c>
      <c r="D1977" s="2562">
        <f>VLOOKUP(C1975,'Data Panjang Balok'!$C$9:$N$254,4,FALSE)</f>
        <v>925</v>
      </c>
      <c r="E1977" s="2563"/>
      <c r="F1977" s="2563"/>
      <c r="G1977" s="2563"/>
      <c r="H1977" s="2564"/>
      <c r="I1977" s="397"/>
      <c r="J1977" s="396"/>
      <c r="K1977" s="396"/>
      <c r="L1977" s="396"/>
      <c r="M1977" s="396"/>
      <c r="N1977" s="396"/>
      <c r="O1977" s="396"/>
      <c r="P1977" s="396"/>
      <c r="Q1977" s="396"/>
      <c r="R1977" s="396"/>
      <c r="S1977" s="396"/>
      <c r="T1977" s="396"/>
      <c r="U1977" s="388"/>
      <c r="V1977" s="396"/>
      <c r="W1977" s="388"/>
      <c r="X1977" s="396"/>
      <c r="Y1977" s="389"/>
      <c r="Z1977" s="396"/>
      <c r="AA1977" s="388"/>
      <c r="AB1977" s="390"/>
    </row>
    <row r="1978" spans="1:28">
      <c r="A1978" s="391"/>
      <c r="B1978" s="392"/>
      <c r="C1978" s="393" t="s">
        <v>199</v>
      </c>
      <c r="D1978" s="2562">
        <f>VLOOKUP(C1975,'Data Panjang Balok'!$C$9:$N$254,7,FALSE)</f>
        <v>925</v>
      </c>
      <c r="E1978" s="2563"/>
      <c r="F1978" s="2563"/>
      <c r="G1978" s="2563"/>
      <c r="H1978" s="2564"/>
      <c r="I1978" s="397"/>
      <c r="J1978" s="396"/>
      <c r="K1978" s="396"/>
      <c r="L1978" s="396"/>
      <c r="M1978" s="396"/>
      <c r="N1978" s="396"/>
      <c r="O1978" s="396"/>
      <c r="P1978" s="396"/>
      <c r="Q1978" s="396"/>
      <c r="R1978" s="396"/>
      <c r="S1978" s="396"/>
      <c r="T1978" s="396"/>
      <c r="U1978" s="388"/>
      <c r="V1978" s="396"/>
      <c r="W1978" s="388"/>
      <c r="X1978" s="396"/>
      <c r="Y1978" s="389"/>
      <c r="Z1978" s="396"/>
      <c r="AA1978" s="388"/>
      <c r="AB1978" s="390"/>
    </row>
    <row r="1979" spans="1:28">
      <c r="A1979" s="391"/>
      <c r="B1979" s="392"/>
      <c r="C1979" s="393" t="s">
        <v>200</v>
      </c>
      <c r="D1979" s="2562">
        <f>VLOOKUP(C1975,'Data Panjang Balok'!$C$9:$N$254,9,FALSE)</f>
        <v>0</v>
      </c>
      <c r="E1979" s="2563"/>
      <c r="F1979" s="2563"/>
      <c r="G1979" s="2563"/>
      <c r="H1979" s="2564"/>
      <c r="I1979" s="397"/>
      <c r="J1979" s="396"/>
      <c r="K1979" s="396"/>
      <c r="L1979" s="396"/>
      <c r="M1979" s="396"/>
      <c r="N1979" s="396"/>
      <c r="O1979" s="396"/>
      <c r="P1979" s="396"/>
      <c r="Q1979" s="396"/>
      <c r="R1979" s="396"/>
      <c r="S1979" s="396"/>
      <c r="T1979" s="396"/>
      <c r="U1979" s="388"/>
      <c r="V1979" s="396"/>
      <c r="W1979" s="388"/>
      <c r="X1979" s="396"/>
      <c r="Y1979" s="389"/>
      <c r="Z1979" s="396"/>
      <c r="AA1979" s="388"/>
      <c r="AB1979" s="390"/>
    </row>
    <row r="1980" spans="1:28">
      <c r="A1980" s="391"/>
      <c r="B1980" s="392"/>
      <c r="C1980" s="393" t="s">
        <v>201</v>
      </c>
      <c r="D1980" s="2562">
        <f>VLOOKUP(C1975,'Data Panjang Balok'!$C$9:$N$254,10,FALSE)</f>
        <v>0</v>
      </c>
      <c r="E1980" s="2563"/>
      <c r="F1980" s="2563"/>
      <c r="G1980" s="2563"/>
      <c r="H1980" s="2564"/>
      <c r="I1980" s="397"/>
      <c r="J1980" s="396"/>
      <c r="K1980" s="396"/>
      <c r="L1980" s="396"/>
      <c r="M1980" s="396"/>
      <c r="N1980" s="396"/>
      <c r="O1980" s="396"/>
      <c r="P1980" s="396"/>
      <c r="Q1980" s="396"/>
      <c r="R1980" s="396"/>
      <c r="S1980" s="396"/>
      <c r="T1980" s="396"/>
      <c r="U1980" s="388"/>
      <c r="V1980" s="396"/>
      <c r="W1980" s="388"/>
      <c r="X1980" s="396"/>
      <c r="Y1980" s="389"/>
      <c r="Z1980" s="396"/>
      <c r="AA1980" s="388"/>
      <c r="AB1980" s="390"/>
    </row>
    <row r="1981" spans="1:28">
      <c r="A1981" s="391"/>
      <c r="B1981" s="392"/>
      <c r="C1981" s="393" t="s">
        <v>48</v>
      </c>
      <c r="D1981" s="2562">
        <f>VLOOKUP(C1975,'Data Panjang Balok'!$C$9:$N$254,3,FALSE)</f>
        <v>1</v>
      </c>
      <c r="E1981" s="2563"/>
      <c r="F1981" s="2563"/>
      <c r="G1981" s="2563"/>
      <c r="H1981" s="2564"/>
      <c r="I1981" s="397"/>
      <c r="J1981" s="396"/>
      <c r="K1981" s="396"/>
      <c r="L1981" s="396"/>
      <c r="M1981" s="396"/>
      <c r="N1981" s="396"/>
      <c r="O1981" s="396"/>
      <c r="P1981" s="396"/>
      <c r="Q1981" s="396"/>
      <c r="R1981" s="396"/>
      <c r="S1981" s="396"/>
      <c r="T1981" s="396"/>
      <c r="U1981" s="388"/>
      <c r="V1981" s="396"/>
      <c r="W1981" s="388"/>
      <c r="X1981" s="396"/>
      <c r="Y1981" s="389"/>
      <c r="Z1981" s="396"/>
      <c r="AA1981" s="388"/>
      <c r="AB1981" s="390"/>
    </row>
    <row r="1982" spans="1:28">
      <c r="A1982" s="384" t="str">
        <f t="shared" ref="A1982:B1982" si="6312">A1975</f>
        <v>Lantai 1</v>
      </c>
      <c r="B1982" s="385">
        <f t="shared" si="6312"/>
        <v>64</v>
      </c>
      <c r="C1982" s="393" t="s">
        <v>202</v>
      </c>
      <c r="D1982" s="398">
        <f>VLOOKUP(D1975,'Detail Balok'!$C$10:$AU$140,4,FALSE)</f>
        <v>3</v>
      </c>
      <c r="E1982" s="388" t="s">
        <v>16</v>
      </c>
      <c r="F1982" s="388">
        <f>VLOOKUP(D1975,'Detail Balok'!$C$10:$AU$140,6,FALSE)</f>
        <v>13</v>
      </c>
      <c r="G1982" s="388"/>
      <c r="H1982" s="395"/>
      <c r="I1982" s="388" t="s">
        <v>203</v>
      </c>
      <c r="J1982" s="399">
        <f t="shared" ref="J1982" si="6313">+D1977/4/1000</f>
        <v>0.23125000000000001</v>
      </c>
      <c r="K1982" s="400" t="s">
        <v>204</v>
      </c>
      <c r="L1982" s="399">
        <f t="shared" ref="L1982" si="6314">MAX(VLOOKUP(F1982,N$6:P$15,3,FALSE)/1000,2/3*D1979/1000)+F$16*F1982/1000</f>
        <v>0.156</v>
      </c>
      <c r="M1982" s="399" t="s">
        <v>176</v>
      </c>
      <c r="N1982" s="399">
        <f t="shared" ref="N1982:N1984" si="6315">J1982+L1982</f>
        <v>0.38724999999999998</v>
      </c>
      <c r="O1982" s="399" t="s">
        <v>204</v>
      </c>
      <c r="P1982" s="389">
        <f t="shared" ref="P1982" si="6316">D1982-D1983</f>
        <v>0</v>
      </c>
      <c r="Q1982" s="399" t="s">
        <v>125</v>
      </c>
      <c r="R1982" s="399">
        <f t="shared" ref="R1982" si="6317">IF(P1982&gt;0,$F$18*F1982/1000,0)</f>
        <v>0</v>
      </c>
      <c r="S1982" s="399" t="s">
        <v>205</v>
      </c>
      <c r="T1982" s="399" t="s">
        <v>125</v>
      </c>
      <c r="U1982" s="401">
        <f t="shared" ref="U1982:U1984" si="6318">0.006165*F1982^2</f>
        <v>1.041885</v>
      </c>
      <c r="V1982" s="399"/>
      <c r="W1982" s="399"/>
      <c r="X1982" s="399" t="s">
        <v>125</v>
      </c>
      <c r="Y1982" s="389">
        <f t="shared" ref="Y1982" si="6319">D1981</f>
        <v>1</v>
      </c>
      <c r="Z1982" s="400" t="s">
        <v>176</v>
      </c>
      <c r="AA1982" s="402">
        <f t="shared" ref="AA1982" si="6320">IF(AA1985=0,(D1982*N1982+P1982*R1982)*U1982*Y1982,0)</f>
        <v>0</v>
      </c>
      <c r="AB1982" s="403"/>
    </row>
    <row r="1983" spans="1:28">
      <c r="A1983" s="384" t="str">
        <f t="shared" ref="A1983:B1983" si="6321">A1975</f>
        <v>Lantai 1</v>
      </c>
      <c r="B1983" s="385">
        <f t="shared" si="6321"/>
        <v>64</v>
      </c>
      <c r="C1983" s="393" t="s">
        <v>206</v>
      </c>
      <c r="D1983" s="398">
        <f>VLOOKUP(D1975,'Detail Balok'!$C$10:$AU$140,7,FALSE)</f>
        <v>3</v>
      </c>
      <c r="E1983" s="388" t="s">
        <v>16</v>
      </c>
      <c r="F1983" s="388">
        <f>VLOOKUP(D1975,'Detail Balok'!$C$10:$AU$140,9,FALSE)</f>
        <v>13</v>
      </c>
      <c r="G1983" s="388"/>
      <c r="H1983" s="395"/>
      <c r="I1983" s="388" t="s">
        <v>203</v>
      </c>
      <c r="J1983" s="399">
        <f t="shared" ref="J1983" si="6322">+D1977/2/1000</f>
        <v>0.46250000000000002</v>
      </c>
      <c r="K1983" s="400" t="s">
        <v>204</v>
      </c>
      <c r="L1983" s="399"/>
      <c r="M1983" s="399" t="s">
        <v>176</v>
      </c>
      <c r="N1983" s="399">
        <f t="shared" si="6315"/>
        <v>0.46250000000000002</v>
      </c>
      <c r="O1983" s="399" t="s">
        <v>204</v>
      </c>
      <c r="P1983" s="389">
        <f t="shared" ref="P1983" si="6323">MAX(D1983-D1982,D1983-D1984)</f>
        <v>0</v>
      </c>
      <c r="Q1983" s="399" t="s">
        <v>125</v>
      </c>
      <c r="R1983" s="399">
        <f t="shared" ref="R1983" si="6324">IF(P1983&gt;0,2*(1-2*$F$19-1/2)*D1978/1000,0)</f>
        <v>0</v>
      </c>
      <c r="S1983" s="399" t="s">
        <v>205</v>
      </c>
      <c r="T1983" s="399" t="s">
        <v>125</v>
      </c>
      <c r="U1983" s="401">
        <f t="shared" si="6318"/>
        <v>1.041885</v>
      </c>
      <c r="V1983" s="399"/>
      <c r="W1983" s="399"/>
      <c r="X1983" s="399" t="s">
        <v>125</v>
      </c>
      <c r="Y1983" s="389">
        <f t="shared" ref="Y1983" si="6325">D1981</f>
        <v>1</v>
      </c>
      <c r="Z1983" s="400" t="s">
        <v>176</v>
      </c>
      <c r="AA1983" s="402">
        <f t="shared" ref="AA1983" si="6326">IF(AA1985=0,(D1983*N1983+P1983*R1983)*U1983*Y1983,0)</f>
        <v>0</v>
      </c>
      <c r="AB1983" s="403"/>
    </row>
    <row r="1984" spans="1:28">
      <c r="A1984" s="384" t="str">
        <f t="shared" ref="A1984:B1984" si="6327">A1975</f>
        <v>Lantai 1</v>
      </c>
      <c r="B1984" s="385">
        <f t="shared" si="6327"/>
        <v>64</v>
      </c>
      <c r="C1984" s="393" t="s">
        <v>202</v>
      </c>
      <c r="D1984" s="398">
        <f>VLOOKUP(D1975,'Detail Balok'!$C$10:$AU$140,10,FALSE)</f>
        <v>3</v>
      </c>
      <c r="E1984" s="388" t="s">
        <v>16</v>
      </c>
      <c r="F1984" s="388">
        <f>VLOOKUP(D1975,'Detail Balok'!$C$10:$AU$140,12,FALSE)</f>
        <v>13</v>
      </c>
      <c r="G1984" s="388"/>
      <c r="H1984" s="395"/>
      <c r="I1984" s="388" t="s">
        <v>203</v>
      </c>
      <c r="J1984" s="399">
        <f t="shared" ref="J1984" si="6328">+D1977/4/1000</f>
        <v>0.23125000000000001</v>
      </c>
      <c r="K1984" s="400" t="s">
        <v>204</v>
      </c>
      <c r="L1984" s="399">
        <f t="shared" ref="L1984" si="6329">MAX(VLOOKUP(F1984,N$6:P$15,3,FALSE)/1000,2/3*D1979/1000)+F$16*F1984/1000</f>
        <v>0.156</v>
      </c>
      <c r="M1984" s="399" t="s">
        <v>176</v>
      </c>
      <c r="N1984" s="399">
        <f t="shared" si="6315"/>
        <v>0.38724999999999998</v>
      </c>
      <c r="O1984" s="399" t="s">
        <v>204</v>
      </c>
      <c r="P1984" s="389">
        <f t="shared" ref="P1984" si="6330">D1984-D1983</f>
        <v>0</v>
      </c>
      <c r="Q1984" s="399" t="s">
        <v>125</v>
      </c>
      <c r="R1984" s="399">
        <f t="shared" ref="R1984" si="6331">IF(P1984&gt;0,$F$18*F1984/1000,0)</f>
        <v>0</v>
      </c>
      <c r="S1984" s="399" t="s">
        <v>205</v>
      </c>
      <c r="T1984" s="399" t="s">
        <v>125</v>
      </c>
      <c r="U1984" s="401">
        <f t="shared" si="6318"/>
        <v>1.041885</v>
      </c>
      <c r="V1984" s="399"/>
      <c r="W1984" s="399"/>
      <c r="X1984" s="399" t="s">
        <v>125</v>
      </c>
      <c r="Y1984" s="389">
        <f t="shared" ref="Y1984" si="6332">D1981</f>
        <v>1</v>
      </c>
      <c r="Z1984" s="400" t="s">
        <v>176</v>
      </c>
      <c r="AA1984" s="402">
        <f t="shared" ref="AA1984" si="6333">IF(AA1985=0,(D1984*N1984+P1984*R1984)*U1984*Y1984,0)</f>
        <v>0</v>
      </c>
      <c r="AB1984" s="403"/>
    </row>
    <row r="1985" spans="1:28">
      <c r="A1985" s="384" t="str">
        <f t="shared" ref="A1985:B1985" si="6334">A1975</f>
        <v>Lantai 1</v>
      </c>
      <c r="B1985" s="385">
        <f t="shared" si="6334"/>
        <v>64</v>
      </c>
      <c r="C1985" s="393"/>
      <c r="D1985" s="398">
        <f t="shared" ref="D1985:D2045" si="6335">IF(AND(D1982=D1983,D1983=D1984,D1982=D1984),D1982,0)</f>
        <v>3</v>
      </c>
      <c r="E1985" s="388" t="s">
        <v>16</v>
      </c>
      <c r="F1985" s="388">
        <f t="shared" ref="F1985:F2045" si="6336">IF(AND(F1982=F1983,F1982=F1984,F1983=F1984),F1982,0)</f>
        <v>13</v>
      </c>
      <c r="G1985" s="388"/>
      <c r="H1985" s="395"/>
      <c r="I1985" s="388"/>
      <c r="J1985" s="396"/>
      <c r="K1985" s="396"/>
      <c r="L1985" s="404" t="s">
        <v>207</v>
      </c>
      <c r="M1985" s="399" t="s">
        <v>176</v>
      </c>
      <c r="N1985" s="399">
        <f t="shared" ref="N1985" si="6337">IF(AND(D1982=D1983,D1982=D1984,D1983=D1984,F1982=F1983,F1982=F1984,F1983=F1984),SUM(N1982:N1984),0)</f>
        <v>1.2370000000000001</v>
      </c>
      <c r="O1985" s="399" t="s">
        <v>204</v>
      </c>
      <c r="P1985" s="389">
        <f t="shared" ref="P1985" si="6338">IF(N1985&gt;12,ROUNDDOWN(N1985/12,0),0)</f>
        <v>0</v>
      </c>
      <c r="Q1985" s="399" t="s">
        <v>125</v>
      </c>
      <c r="R1985" s="399">
        <f t="shared" ref="R1985" si="6339">IF(P1985&gt;0,MAX(VLOOKUP(F1985,$D$6:$G$15,3,FALSE),600),0)/1000</f>
        <v>0</v>
      </c>
      <c r="S1985" s="396"/>
      <c r="T1985" s="396" t="s">
        <v>125</v>
      </c>
      <c r="U1985" s="401">
        <f t="shared" ref="U1985:U2045" si="6340">U1984</f>
        <v>1.041885</v>
      </c>
      <c r="V1985" s="396" t="s">
        <v>125</v>
      </c>
      <c r="W1985" s="399">
        <f t="shared" ref="W1985" si="6341">D1985</f>
        <v>3</v>
      </c>
      <c r="X1985" s="399" t="s">
        <v>125</v>
      </c>
      <c r="Y1985" s="389">
        <f t="shared" ref="Y1985:Y2045" si="6342">Y1984</f>
        <v>1</v>
      </c>
      <c r="Z1985" s="400" t="s">
        <v>176</v>
      </c>
      <c r="AA1985" s="402">
        <f t="shared" ref="AA1985" si="6343">(N1985+P1985*R1985/1000)*U1985*W1985*Y1985</f>
        <v>3.866435235</v>
      </c>
      <c r="AB1985" s="390"/>
    </row>
    <row r="1986" spans="1:28">
      <c r="A1986" s="384"/>
      <c r="B1986" s="385"/>
      <c r="C1986" s="393"/>
      <c r="D1986" s="398"/>
      <c r="E1986" s="388"/>
      <c r="F1986" s="388"/>
      <c r="G1986" s="388"/>
      <c r="H1986" s="395"/>
      <c r="I1986" s="388"/>
      <c r="J1986" s="396"/>
      <c r="K1986" s="396"/>
      <c r="L1986" s="404"/>
      <c r="M1986" s="399"/>
      <c r="N1986" s="399"/>
      <c r="O1986" s="396"/>
      <c r="P1986" s="389"/>
      <c r="Q1986" s="396"/>
      <c r="R1986" s="396"/>
      <c r="S1986" s="396"/>
      <c r="T1986" s="396"/>
      <c r="U1986" s="401"/>
      <c r="V1986" s="396"/>
      <c r="W1986" s="399"/>
      <c r="X1986" s="396"/>
      <c r="Y1986" s="389"/>
      <c r="Z1986" s="396"/>
      <c r="AA1986" s="388"/>
      <c r="AB1986" s="390"/>
    </row>
    <row r="1987" spans="1:28">
      <c r="A1987" s="384" t="str">
        <f t="shared" ref="A1987:B1987" si="6344">A1975</f>
        <v>Lantai 1</v>
      </c>
      <c r="B1987" s="385">
        <f t="shared" si="6344"/>
        <v>64</v>
      </c>
      <c r="C1987" s="393" t="s">
        <v>208</v>
      </c>
      <c r="D1987" s="398">
        <f>VLOOKUP(D1975,'Detail Balok'!$C$10:$AU$140,13,FALSE)</f>
        <v>0</v>
      </c>
      <c r="E1987" s="388" t="s">
        <v>16</v>
      </c>
      <c r="F1987" s="388">
        <f>VLOOKUP(D1975,'Detail Balok'!$C$10:$AU$140,15,FALSE)</f>
        <v>8</v>
      </c>
      <c r="G1987" s="388"/>
      <c r="H1987" s="395"/>
      <c r="I1987" s="388"/>
      <c r="J1987" s="399">
        <f t="shared" ref="J1987" si="6345">+D1977/1000</f>
        <v>0.92500000000000004</v>
      </c>
      <c r="K1987" s="400" t="s">
        <v>204</v>
      </c>
      <c r="L1987" s="399">
        <f t="shared" ref="L1987" si="6346">2*$F$16*F1987/1000</f>
        <v>0.192</v>
      </c>
      <c r="M1987" s="399" t="s">
        <v>176</v>
      </c>
      <c r="N1987" s="399">
        <f t="shared" ref="N1987" si="6347">J1987+L1987</f>
        <v>1.117</v>
      </c>
      <c r="O1987" s="399" t="s">
        <v>204</v>
      </c>
      <c r="P1987" s="389">
        <f t="shared" ref="P1987" si="6348">IF(N1987&gt;12,ROUNDDOWN(N1987/12,0),0)</f>
        <v>0</v>
      </c>
      <c r="Q1987" s="399" t="s">
        <v>125</v>
      </c>
      <c r="R1987" s="399">
        <f t="shared" ref="R1987" si="6349">IF(P1987&gt;0,MAX(VLOOKUP(F1987,$D$6:$G$15,3,FALSE),600),0)/1000</f>
        <v>0</v>
      </c>
      <c r="S1987" s="399"/>
      <c r="T1987" s="399" t="s">
        <v>125</v>
      </c>
      <c r="U1987" s="401">
        <f t="shared" ref="U1987" si="6350">0.006165*F1987^2</f>
        <v>0.39456000000000002</v>
      </c>
      <c r="V1987" s="399" t="s">
        <v>125</v>
      </c>
      <c r="W1987" s="399">
        <f t="shared" ref="W1987" si="6351">+D1987</f>
        <v>0</v>
      </c>
      <c r="X1987" s="399" t="s">
        <v>125</v>
      </c>
      <c r="Y1987" s="389">
        <f t="shared" ref="Y1987" si="6352">D1981</f>
        <v>1</v>
      </c>
      <c r="Z1987" s="400" t="s">
        <v>176</v>
      </c>
      <c r="AA1987" s="402">
        <f t="shared" ref="AA1987" si="6353">(N1987+P1987*R1987/1000)*U1987*W1987*Y1987</f>
        <v>0</v>
      </c>
      <c r="AB1987" s="403"/>
    </row>
    <row r="1988" spans="1:28">
      <c r="A1988" s="384"/>
      <c r="B1988" s="385"/>
      <c r="C1988" s="393"/>
      <c r="D1988" s="398"/>
      <c r="E1988" s="388"/>
      <c r="F1988" s="388"/>
      <c r="G1988" s="388"/>
      <c r="H1988" s="395"/>
      <c r="I1988" s="388"/>
      <c r="J1988" s="399"/>
      <c r="K1988" s="400"/>
      <c r="L1988" s="399"/>
      <c r="M1988" s="399"/>
      <c r="N1988" s="399"/>
      <c r="O1988" s="399"/>
      <c r="P1988" s="389"/>
      <c r="Q1988" s="399"/>
      <c r="R1988" s="399"/>
      <c r="S1988" s="399"/>
      <c r="T1988" s="399"/>
      <c r="U1988" s="401"/>
      <c r="V1988" s="399"/>
      <c r="W1988" s="399"/>
      <c r="X1988" s="399"/>
      <c r="Y1988" s="389"/>
      <c r="Z1988" s="400"/>
      <c r="AA1988" s="402"/>
      <c r="AB1988" s="403"/>
    </row>
    <row r="1989" spans="1:28">
      <c r="A1989" s="384"/>
      <c r="B1989" s="385"/>
      <c r="C1989" s="393"/>
      <c r="D1989" s="398"/>
      <c r="E1989" s="388"/>
      <c r="F1989" s="388"/>
      <c r="G1989" s="388"/>
      <c r="H1989" s="395"/>
      <c r="I1989" s="388"/>
      <c r="J1989" s="396"/>
      <c r="K1989" s="396"/>
      <c r="L1989" s="396"/>
      <c r="M1989" s="396"/>
      <c r="N1989" s="396"/>
      <c r="O1989" s="396"/>
      <c r="P1989" s="389"/>
      <c r="Q1989" s="396"/>
      <c r="R1989" s="396"/>
      <c r="S1989" s="396"/>
      <c r="T1989" s="396"/>
      <c r="U1989" s="401"/>
      <c r="V1989" s="396"/>
      <c r="W1989" s="399"/>
      <c r="X1989" s="396"/>
      <c r="Y1989" s="389"/>
      <c r="Z1989" s="396"/>
      <c r="AA1989" s="388"/>
      <c r="AB1989" s="390"/>
    </row>
    <row r="1990" spans="1:28">
      <c r="A1990" s="384" t="str">
        <f t="shared" ref="A1990:B1990" si="6354">A1975</f>
        <v>Lantai 1</v>
      </c>
      <c r="B1990" s="385">
        <f t="shared" si="6354"/>
        <v>64</v>
      </c>
      <c r="C1990" s="393" t="s">
        <v>209</v>
      </c>
      <c r="D1990" s="398">
        <f>VLOOKUP(D1975,'Detail Balok'!$C$10:$AU$140,22,FALSE)</f>
        <v>3</v>
      </c>
      <c r="E1990" s="388" t="s">
        <v>16</v>
      </c>
      <c r="F1990" s="388">
        <f>VLOOKUP(D1975,'Detail Balok'!$C$10:$AU$140,24,FALSE)</f>
        <v>13</v>
      </c>
      <c r="G1990" s="388"/>
      <c r="H1990" s="395"/>
      <c r="I1990" s="388" t="s">
        <v>203</v>
      </c>
      <c r="J1990" s="399">
        <f t="shared" ref="J1990:J2052" si="6355">+J1982</f>
        <v>0.23125000000000001</v>
      </c>
      <c r="K1990" s="400" t="s">
        <v>204</v>
      </c>
      <c r="L1990" s="399">
        <f t="shared" ref="L1990" si="6356">MAX(VLOOKUP(F1990,N$6:P$15,3,FALSE)/1000,2/3*D1980/1000)+F$16*F1990/1000</f>
        <v>0.156</v>
      </c>
      <c r="M1990" s="399" t="s">
        <v>176</v>
      </c>
      <c r="N1990" s="399">
        <f t="shared" ref="N1990:N1992" si="6357">J1990+L1990</f>
        <v>0.38724999999999998</v>
      </c>
      <c r="O1990" s="399" t="s">
        <v>204</v>
      </c>
      <c r="P1990" s="389">
        <f t="shared" ref="P1990" si="6358">D1990-D1991</f>
        <v>0</v>
      </c>
      <c r="Q1990" s="399" t="s">
        <v>125</v>
      </c>
      <c r="R1990" s="399">
        <f t="shared" ref="R1990" si="6359">IF(P1990&gt;0,$F$18*F1990/1000,0)</f>
        <v>0</v>
      </c>
      <c r="S1990" s="399" t="s">
        <v>205</v>
      </c>
      <c r="T1990" s="399" t="s">
        <v>125</v>
      </c>
      <c r="U1990" s="401">
        <f t="shared" ref="U1990:U1992" si="6360">0.006165*F1990^2</f>
        <v>1.041885</v>
      </c>
      <c r="V1990" s="399"/>
      <c r="W1990" s="399"/>
      <c r="X1990" s="399" t="s">
        <v>125</v>
      </c>
      <c r="Y1990" s="389">
        <f t="shared" ref="Y1990" si="6361">D1981</f>
        <v>1</v>
      </c>
      <c r="Z1990" s="400" t="s">
        <v>176</v>
      </c>
      <c r="AA1990" s="402">
        <f t="shared" ref="AA1990" si="6362">IF(AA1993=0,(D1990*N1990+P1990*R1990)*U1990*Y1990,0)</f>
        <v>0</v>
      </c>
      <c r="AB1990" s="403"/>
    </row>
    <row r="1991" spans="1:28">
      <c r="A1991" s="384" t="str">
        <f t="shared" ref="A1991:B1991" si="6363">A1975</f>
        <v>Lantai 1</v>
      </c>
      <c r="B1991" s="385">
        <f t="shared" si="6363"/>
        <v>64</v>
      </c>
      <c r="C1991" s="393" t="s">
        <v>210</v>
      </c>
      <c r="D1991" s="398">
        <f>VLOOKUP(D1975,'Detail Balok'!$C$10:$AU$140,25,FALSE)</f>
        <v>3</v>
      </c>
      <c r="E1991" s="388" t="s">
        <v>16</v>
      </c>
      <c r="F1991" s="388">
        <f>VLOOKUP(D1975,'Detail Balok'!$C$10:$AU$140,27,FALSE)</f>
        <v>13</v>
      </c>
      <c r="G1991" s="388"/>
      <c r="H1991" s="395"/>
      <c r="I1991" s="388" t="s">
        <v>203</v>
      </c>
      <c r="J1991" s="399">
        <f t="shared" si="6355"/>
        <v>0.46250000000000002</v>
      </c>
      <c r="K1991" s="400" t="s">
        <v>204</v>
      </c>
      <c r="L1991" s="399"/>
      <c r="M1991" s="399" t="s">
        <v>176</v>
      </c>
      <c r="N1991" s="399">
        <f t="shared" si="6357"/>
        <v>0.46250000000000002</v>
      </c>
      <c r="O1991" s="399" t="s">
        <v>204</v>
      </c>
      <c r="P1991" s="389">
        <f t="shared" ref="P1991" si="6364">MAX(D1991-D1990,D1991-D1992)</f>
        <v>0</v>
      </c>
      <c r="Q1991" s="399" t="s">
        <v>125</v>
      </c>
      <c r="R1991" s="399">
        <f t="shared" ref="R1991" si="6365">IF(P1991&gt;0,2*(1-2*$F$19-1/2)*D1978/1000,0)</f>
        <v>0</v>
      </c>
      <c r="S1991" s="399" t="s">
        <v>205</v>
      </c>
      <c r="T1991" s="399" t="s">
        <v>125</v>
      </c>
      <c r="U1991" s="401">
        <f t="shared" si="6360"/>
        <v>1.041885</v>
      </c>
      <c r="V1991" s="399"/>
      <c r="W1991" s="399"/>
      <c r="X1991" s="399" t="s">
        <v>125</v>
      </c>
      <c r="Y1991" s="389">
        <f t="shared" ref="Y1991" si="6366">D1981</f>
        <v>1</v>
      </c>
      <c r="Z1991" s="400" t="s">
        <v>176</v>
      </c>
      <c r="AA1991" s="402">
        <f t="shared" ref="AA1991" si="6367">IF(AA1993=0,(D1991*N1991+P1991*R1991)*U1991*Y1991,0)</f>
        <v>0</v>
      </c>
      <c r="AB1991" s="403"/>
    </row>
    <row r="1992" spans="1:28">
      <c r="A1992" s="384" t="str">
        <f t="shared" ref="A1992:B1992" si="6368">A1975</f>
        <v>Lantai 1</v>
      </c>
      <c r="B1992" s="385">
        <f t="shared" si="6368"/>
        <v>64</v>
      </c>
      <c r="C1992" s="393" t="s">
        <v>209</v>
      </c>
      <c r="D1992" s="398">
        <f>VLOOKUP(D1975,'Detail Balok'!$C$10:$AU$140,28,FALSE)</f>
        <v>3</v>
      </c>
      <c r="E1992" s="388" t="s">
        <v>16</v>
      </c>
      <c r="F1992" s="388">
        <f>VLOOKUP(D1975,'Detail Balok'!$C$10:$AU$140,30,FALSE)</f>
        <v>13</v>
      </c>
      <c r="G1992" s="388"/>
      <c r="H1992" s="395"/>
      <c r="I1992" s="388" t="s">
        <v>203</v>
      </c>
      <c r="J1992" s="399">
        <f t="shared" si="6355"/>
        <v>0.23125000000000001</v>
      </c>
      <c r="K1992" s="400" t="s">
        <v>204</v>
      </c>
      <c r="L1992" s="399">
        <f t="shared" ref="L1992" si="6369">MAX(VLOOKUP(F1992,N$6:P$15,3,FALSE)/1000,2/3*D1980/1000)+F$16*F1992/1000</f>
        <v>0.156</v>
      </c>
      <c r="M1992" s="399" t="s">
        <v>176</v>
      </c>
      <c r="N1992" s="399">
        <f t="shared" si="6357"/>
        <v>0.38724999999999998</v>
      </c>
      <c r="O1992" s="399" t="s">
        <v>204</v>
      </c>
      <c r="P1992" s="389">
        <f t="shared" ref="P1992" si="6370">D1992-D1991</f>
        <v>0</v>
      </c>
      <c r="Q1992" s="399" t="s">
        <v>125</v>
      </c>
      <c r="R1992" s="399">
        <f t="shared" ref="R1992" si="6371">IF(P1992&gt;0,$F$18*F1992/1000,0)</f>
        <v>0</v>
      </c>
      <c r="S1992" s="399" t="s">
        <v>205</v>
      </c>
      <c r="T1992" s="399" t="s">
        <v>125</v>
      </c>
      <c r="U1992" s="401">
        <f t="shared" si="6360"/>
        <v>1.041885</v>
      </c>
      <c r="V1992" s="399"/>
      <c r="W1992" s="399"/>
      <c r="X1992" s="399" t="s">
        <v>125</v>
      </c>
      <c r="Y1992" s="389">
        <f t="shared" ref="Y1992" si="6372">D1981</f>
        <v>1</v>
      </c>
      <c r="Z1992" s="400" t="s">
        <v>176</v>
      </c>
      <c r="AA1992" s="402">
        <f t="shared" ref="AA1992" si="6373">IF(AA1993=0,(D1992*N1992+P1992*R1992)*U1992*Y1992,0)</f>
        <v>0</v>
      </c>
      <c r="AB1992" s="403"/>
    </row>
    <row r="1993" spans="1:28">
      <c r="A1993" s="384" t="str">
        <f t="shared" ref="A1993:B1993" si="6374">A1975</f>
        <v>Lantai 1</v>
      </c>
      <c r="B1993" s="385">
        <f t="shared" si="6374"/>
        <v>64</v>
      </c>
      <c r="C1993" s="393"/>
      <c r="D1993" s="398">
        <f t="shared" ref="D1993:D2053" si="6375">IF(AND(D1990=D1991,D1991=D1992,D1990=D1992),D1990,0)</f>
        <v>3</v>
      </c>
      <c r="E1993" s="388" t="s">
        <v>16</v>
      </c>
      <c r="F1993" s="388">
        <f t="shared" ref="F1993:F2053" si="6376">IF(AND(F1990=F1991,F1990=F1992,F1991=F1992),F1990,0)</f>
        <v>13</v>
      </c>
      <c r="G1993" s="388"/>
      <c r="H1993" s="395"/>
      <c r="I1993" s="388"/>
      <c r="J1993" s="396"/>
      <c r="K1993" s="396"/>
      <c r="L1993" s="404" t="s">
        <v>207</v>
      </c>
      <c r="M1993" s="399" t="s">
        <v>176</v>
      </c>
      <c r="N1993" s="399">
        <f t="shared" ref="N1993" si="6377">IF(AND(D1990=D1991,D1990=D1992,D1991=D1992,F1990=F1991,F1990=F1992,F1991=F1992),SUM(N1990:N1992),0)</f>
        <v>1.2370000000000001</v>
      </c>
      <c r="O1993" s="399" t="s">
        <v>204</v>
      </c>
      <c r="P1993" s="389">
        <f t="shared" ref="P1993" si="6378">IF(N1993&gt;12,ROUNDDOWN(N1993/12,0),0)</f>
        <v>0</v>
      </c>
      <c r="Q1993" s="399" t="s">
        <v>125</v>
      </c>
      <c r="R1993" s="399">
        <f t="shared" ref="R1993" si="6379">IF(P1993&gt;0,MAX(VLOOKUP(F1993,$D$6:$G$15,3,FALSE),600),0)/1000</f>
        <v>0</v>
      </c>
      <c r="S1993" s="396"/>
      <c r="T1993" s="396" t="s">
        <v>125</v>
      </c>
      <c r="U1993" s="401">
        <f t="shared" ref="U1993:U2053" si="6380">U1992</f>
        <v>1.041885</v>
      </c>
      <c r="V1993" s="396" t="s">
        <v>125</v>
      </c>
      <c r="W1993" s="399">
        <f t="shared" ref="W1993" si="6381">D1993</f>
        <v>3</v>
      </c>
      <c r="X1993" s="399" t="s">
        <v>125</v>
      </c>
      <c r="Y1993" s="389">
        <f t="shared" ref="Y1993:Y2053" si="6382">Y1992</f>
        <v>1</v>
      </c>
      <c r="Z1993" s="400" t="s">
        <v>176</v>
      </c>
      <c r="AA1993" s="402">
        <f t="shared" ref="AA1993" si="6383">(N1993+P1993*R1993/1000)*U1993*W1993*Y1993</f>
        <v>3.866435235</v>
      </c>
      <c r="AB1993" s="403"/>
    </row>
    <row r="1994" spans="1:28">
      <c r="A1994" s="384"/>
      <c r="B1994" s="385"/>
      <c r="C1994" s="393"/>
      <c r="D1994" s="394"/>
      <c r="E1994" s="388"/>
      <c r="F1994" s="388"/>
      <c r="G1994" s="388"/>
      <c r="H1994" s="395"/>
      <c r="I1994" s="388"/>
      <c r="J1994" s="399"/>
      <c r="K1994" s="396"/>
      <c r="L1994" s="396"/>
      <c r="M1994" s="396"/>
      <c r="N1994" s="396"/>
      <c r="O1994" s="396"/>
      <c r="P1994" s="389"/>
      <c r="Q1994" s="396"/>
      <c r="R1994" s="396"/>
      <c r="S1994" s="396"/>
      <c r="T1994" s="396"/>
      <c r="U1994" s="401"/>
      <c r="V1994" s="396"/>
      <c r="W1994" s="388"/>
      <c r="X1994" s="396"/>
      <c r="Y1994" s="389"/>
      <c r="Z1994" s="396"/>
      <c r="AA1994" s="388"/>
      <c r="AB1994" s="390"/>
    </row>
    <row r="1995" spans="1:28">
      <c r="A1995" s="384" t="str">
        <f t="shared" ref="A1995:B1995" si="6384">A1975</f>
        <v>Lantai 1</v>
      </c>
      <c r="B1995" s="385">
        <f t="shared" si="6384"/>
        <v>64</v>
      </c>
      <c r="C1995" s="393" t="s">
        <v>211</v>
      </c>
      <c r="D1995" s="398">
        <f>VLOOKUP(D1975,'Detail Balok'!$C$10:$AU$140,31,FALSE)</f>
        <v>0</v>
      </c>
      <c r="E1995" s="388" t="s">
        <v>16</v>
      </c>
      <c r="F1995" s="388">
        <f>VLOOKUP(D1975,'Detail Balok'!$C$10:$AU$140,33,FALSE)</f>
        <v>8</v>
      </c>
      <c r="G1995" s="405" t="s">
        <v>157</v>
      </c>
      <c r="H1995" s="395">
        <f>VLOOKUP(D1975,'Detail Balok'!$C$10:$AU$140,35,FALSE)</f>
        <v>150</v>
      </c>
      <c r="I1995" s="388"/>
      <c r="J1995" s="400">
        <f t="shared" ref="J1995" si="6385">(IF(D1995=0,(2*(D1976+G1976))-(F$5*8),IF(D1995=3,(2*(D1976+G1976))-(F$5*8)+(G1976-2*F$5),IF(D1995=4,(2*(D1976+G1976))-(F$5*8)+2*(G1976-2*F$5)))))/1000</f>
        <v>0.88</v>
      </c>
      <c r="K1995" s="400" t="s">
        <v>204</v>
      </c>
      <c r="L1995" s="399">
        <f t="shared" ref="L1995:L1997" si="6386">IF(D1995=0,2*MAX(6*F1995,75),(D1995-1)*2*MAX(6*F1995,75))/1000</f>
        <v>0.15</v>
      </c>
      <c r="M1995" s="399" t="s">
        <v>176</v>
      </c>
      <c r="N1995" s="399">
        <f t="shared" ref="N1995:N1997" si="6387">J1995+L1995</f>
        <v>1.03</v>
      </c>
      <c r="O1995" s="399"/>
      <c r="P1995" s="389"/>
      <c r="Q1995" s="399"/>
      <c r="R1995" s="399"/>
      <c r="S1995" s="399"/>
      <c r="T1995" s="399" t="s">
        <v>125</v>
      </c>
      <c r="U1995" s="401">
        <f t="shared" ref="U1995:U1997" si="6388">0.006165*F1995^2</f>
        <v>0.39456000000000002</v>
      </c>
      <c r="V1995" s="399" t="s">
        <v>125</v>
      </c>
      <c r="W1995" s="399">
        <f t="shared" ref="W1995" si="6389">IF(D1978&gt;4*G1976,ROUND(MAX(D1978/4,2*G1976)/H1995,0)+1,ROUND(D1978/H1995,0)+1)</f>
        <v>7</v>
      </c>
      <c r="X1995" s="399" t="s">
        <v>125</v>
      </c>
      <c r="Y1995" s="389">
        <f t="shared" ref="Y1995" si="6390">D1981</f>
        <v>1</v>
      </c>
      <c r="Z1995" s="400" t="s">
        <v>176</v>
      </c>
      <c r="AA1995" s="402">
        <f t="shared" ref="AA1995:AA1997" si="6391">N1995*U1995*W1995*Y1995</f>
        <v>2.8447776000000005</v>
      </c>
      <c r="AB1995" s="403"/>
    </row>
    <row r="1996" spans="1:28">
      <c r="A1996" s="384" t="str">
        <f t="shared" ref="A1996:B1996" si="6392">A1975</f>
        <v>Lantai 1</v>
      </c>
      <c r="B1996" s="385">
        <f t="shared" si="6392"/>
        <v>64</v>
      </c>
      <c r="C1996" s="393" t="s">
        <v>212</v>
      </c>
      <c r="D1996" s="398">
        <f>VLOOKUP(D1975,'Detail Balok'!$C$10:$AU$140,36,FALSE)</f>
        <v>0</v>
      </c>
      <c r="E1996" s="388" t="s">
        <v>16</v>
      </c>
      <c r="F1996" s="388">
        <f>VLOOKUP(D1975,'Detail Balok'!$C$10:$AU$140,38,FALSE)</f>
        <v>8</v>
      </c>
      <c r="G1996" s="405" t="s">
        <v>157</v>
      </c>
      <c r="H1996" s="395">
        <f>VLOOKUP(D1975,'Detail Balok'!$C$10:$AU$140,40,FALSE)</f>
        <v>200</v>
      </c>
      <c r="I1996" s="388"/>
      <c r="J1996" s="400">
        <f t="shared" ref="J1996" si="6393">(IF(D1996=0,(2*(D1976+G1976))-(F$5*8),IF(D1996=3,(2*(D1976+G1976))-(F$5*8)+(G1976-2*F$5),IF(D1996=4,(2*(D1976+G1976))-(F$5*8)+2*(G1976-2*F$5)))))/1000</f>
        <v>0.88</v>
      </c>
      <c r="K1996" s="400" t="s">
        <v>204</v>
      </c>
      <c r="L1996" s="399">
        <f t="shared" si="6386"/>
        <v>0.15</v>
      </c>
      <c r="M1996" s="399" t="s">
        <v>176</v>
      </c>
      <c r="N1996" s="399">
        <f t="shared" si="6387"/>
        <v>1.03</v>
      </c>
      <c r="O1996" s="399"/>
      <c r="P1996" s="389"/>
      <c r="Q1996" s="399"/>
      <c r="R1996" s="399"/>
      <c r="S1996" s="399"/>
      <c r="T1996" s="399" t="s">
        <v>125</v>
      </c>
      <c r="U1996" s="401">
        <f t="shared" si="6388"/>
        <v>0.39456000000000002</v>
      </c>
      <c r="V1996" s="399" t="s">
        <v>125</v>
      </c>
      <c r="W1996" s="399">
        <f t="shared" ref="W1996" si="6394">IF(D1978-MAX(D1978/4,2*G1976)*2&gt;0,ROUND((D1978-MAX(D1978/4,2*G1976)*2)/H1996,0),0)</f>
        <v>0</v>
      </c>
      <c r="X1996" s="399" t="s">
        <v>125</v>
      </c>
      <c r="Y1996" s="389">
        <f t="shared" ref="Y1996" si="6395">D1981</f>
        <v>1</v>
      </c>
      <c r="Z1996" s="400" t="s">
        <v>176</v>
      </c>
      <c r="AA1996" s="402">
        <f t="shared" si="6391"/>
        <v>0</v>
      </c>
      <c r="AB1996" s="403"/>
    </row>
    <row r="1997" spans="1:28">
      <c r="A1997" s="384" t="str">
        <f t="shared" ref="A1997:B1997" si="6396">A1975</f>
        <v>Lantai 1</v>
      </c>
      <c r="B1997" s="385">
        <f t="shared" si="6396"/>
        <v>64</v>
      </c>
      <c r="C1997" s="393" t="s">
        <v>211</v>
      </c>
      <c r="D1997" s="398">
        <f>VLOOKUP(D1975,'Detail Balok'!$C$10:$AU$140,41,FALSE)</f>
        <v>0</v>
      </c>
      <c r="E1997" s="388" t="s">
        <v>16</v>
      </c>
      <c r="F1997" s="388">
        <f>VLOOKUP(D1975,'Detail Balok'!$C$10:$AU$140,43,FALSE)</f>
        <v>8</v>
      </c>
      <c r="G1997" s="405" t="s">
        <v>157</v>
      </c>
      <c r="H1997" s="395">
        <f>VLOOKUP(D1975,'Detail Balok'!$C$10:$AU$140,45,FALSE)</f>
        <v>150</v>
      </c>
      <c r="I1997" s="388"/>
      <c r="J1997" s="400">
        <f t="shared" ref="J1997" si="6397">(IF(D1997=0,(2*(D1976+G1976))-(F$5*8),IF(D1997=3,(2*(D1976+G1976))-(F$5*8)+(G1976-2*F$5),IF(D1997=4,(2*(D1976+G1976))-(F$5*8)+2*(G1976-2*F$5)))))/1000</f>
        <v>0.88</v>
      </c>
      <c r="K1997" s="400" t="s">
        <v>204</v>
      </c>
      <c r="L1997" s="399">
        <f t="shared" si="6386"/>
        <v>0.15</v>
      </c>
      <c r="M1997" s="399" t="s">
        <v>176</v>
      </c>
      <c r="N1997" s="399">
        <f t="shared" si="6387"/>
        <v>1.03</v>
      </c>
      <c r="O1997" s="399"/>
      <c r="P1997" s="389"/>
      <c r="Q1997" s="399"/>
      <c r="R1997" s="399"/>
      <c r="S1997" s="399"/>
      <c r="T1997" s="399" t="s">
        <v>125</v>
      </c>
      <c r="U1997" s="401">
        <f t="shared" si="6388"/>
        <v>0.39456000000000002</v>
      </c>
      <c r="V1997" s="399" t="s">
        <v>125</v>
      </c>
      <c r="W1997" s="399">
        <f t="shared" ref="W1997" si="6398">IF(D1978&gt;4*G1976,ROUND(MAX(D1978/4,2*G1976)/H1997,0)+1,0)</f>
        <v>0</v>
      </c>
      <c r="X1997" s="399" t="s">
        <v>125</v>
      </c>
      <c r="Y1997" s="389">
        <f t="shared" ref="Y1997" si="6399">D1981</f>
        <v>1</v>
      </c>
      <c r="Z1997" s="400" t="s">
        <v>176</v>
      </c>
      <c r="AA1997" s="402">
        <f t="shared" si="6391"/>
        <v>0</v>
      </c>
      <c r="AB1997" s="403"/>
    </row>
    <row r="1998" spans="1:28">
      <c r="A1998" s="384"/>
      <c r="B1998" s="385"/>
      <c r="C1998" s="393"/>
      <c r="D1998" s="394"/>
      <c r="E1998" s="388"/>
      <c r="F1998" s="388"/>
      <c r="G1998" s="388"/>
      <c r="H1998" s="395"/>
      <c r="I1998" s="388"/>
      <c r="J1998" s="399"/>
      <c r="K1998" s="396"/>
      <c r="L1998" s="396"/>
      <c r="M1998" s="396"/>
      <c r="N1998" s="396"/>
      <c r="O1998" s="396"/>
      <c r="P1998" s="389"/>
      <c r="Q1998" s="396"/>
      <c r="R1998" s="396"/>
      <c r="S1998" s="396"/>
      <c r="T1998" s="396"/>
      <c r="U1998" s="401"/>
      <c r="V1998" s="396"/>
      <c r="W1998" s="388"/>
      <c r="X1998" s="396"/>
      <c r="Y1998" s="389"/>
      <c r="Z1998" s="396"/>
      <c r="AA1998" s="388"/>
      <c r="AB1998" s="390"/>
    </row>
    <row r="1999" spans="1:28">
      <c r="A1999" s="384" t="str">
        <f t="shared" ref="A1999:B1999" si="6400">A1975</f>
        <v>Lantai 1</v>
      </c>
      <c r="B1999" s="385">
        <f t="shared" si="6400"/>
        <v>64</v>
      </c>
      <c r="C1999" s="393" t="s">
        <v>213</v>
      </c>
      <c r="D1999" s="398">
        <f>VLOOKUP(D1975,'Detail Balok'!$C$10:$BJ$140,46,FALSE)</f>
        <v>0</v>
      </c>
      <c r="E1999" s="388" t="s">
        <v>16</v>
      </c>
      <c r="F1999" s="388">
        <f>VLOOKUP(D1975,'Detail Balok'!$C$10:$BJ$140,48,FALSE)</f>
        <v>0</v>
      </c>
      <c r="G1999" s="405" t="s">
        <v>157</v>
      </c>
      <c r="H1999" s="395">
        <f>VLOOKUP(D1975,'Detail Balok'!$C$10:$BJ$140,50,FALSE)</f>
        <v>100</v>
      </c>
      <c r="I1999" s="388"/>
      <c r="J1999" s="399">
        <f t="shared" ref="J1999" si="6401">(D1976-2*F$5)/1000</f>
        <v>0.12</v>
      </c>
      <c r="K1999" s="400" t="s">
        <v>204</v>
      </c>
      <c r="L1999" s="399">
        <f t="shared" ref="L1999:L2001" si="6402">IF(D1999=0,2*MAX(6*F1999,75),(D1999-1)*2*MAX(6*F1999,75))/1000</f>
        <v>0.15</v>
      </c>
      <c r="M1999" s="399" t="s">
        <v>176</v>
      </c>
      <c r="N1999" s="399">
        <f t="shared" ref="N1999:N2001" si="6403">J1999+L1999</f>
        <v>0.27</v>
      </c>
      <c r="O1999" s="399"/>
      <c r="P1999" s="399"/>
      <c r="Q1999" s="399"/>
      <c r="R1999" s="399"/>
      <c r="S1999" s="399"/>
      <c r="T1999" s="399" t="s">
        <v>125</v>
      </c>
      <c r="U1999" s="401">
        <f t="shared" ref="U1999:U2001" si="6404">0.006165*F1999^2</f>
        <v>0</v>
      </c>
      <c r="V1999" s="399" t="s">
        <v>125</v>
      </c>
      <c r="W1999" s="399">
        <f t="shared" ref="W1999:W2061" si="6405">W1995</f>
        <v>7</v>
      </c>
      <c r="X1999" s="399" t="s">
        <v>125</v>
      </c>
      <c r="Y1999" s="389">
        <f t="shared" ref="Y1999" si="6406">D1985</f>
        <v>3</v>
      </c>
      <c r="Z1999" s="400" t="s">
        <v>176</v>
      </c>
      <c r="AA1999" s="402">
        <f t="shared" ref="AA1999:AA2001" si="6407">N1999*U1999*W1999*Y1999</f>
        <v>0</v>
      </c>
      <c r="AB1999" s="403"/>
    </row>
    <row r="2000" spans="1:28">
      <c r="A2000" s="384" t="str">
        <f t="shared" ref="A2000:B2000" si="6408">A1975</f>
        <v>Lantai 1</v>
      </c>
      <c r="B2000" s="385">
        <f t="shared" si="6408"/>
        <v>64</v>
      </c>
      <c r="C2000" s="393" t="s">
        <v>214</v>
      </c>
      <c r="D2000" s="398">
        <f>VLOOKUP(D1975,'Detail Balok'!$C$10:$BJ$140,51,FALSE)</f>
        <v>0</v>
      </c>
      <c r="E2000" s="388" t="s">
        <v>16</v>
      </c>
      <c r="F2000" s="388">
        <f>VLOOKUP(D1975,'Detail Balok'!$C$10:$BJ$140,53,FALSE)</f>
        <v>0</v>
      </c>
      <c r="G2000" s="405" t="s">
        <v>157</v>
      </c>
      <c r="H2000" s="395">
        <f>VLOOKUP(D1975,'Detail Balok'!$C$10:$BJ$140,55,FALSE)</f>
        <v>100</v>
      </c>
      <c r="I2000" s="388"/>
      <c r="J2000" s="399">
        <f t="shared" ref="J2000" si="6409">(D1976-2*F$5)/1000</f>
        <v>0.12</v>
      </c>
      <c r="K2000" s="400" t="s">
        <v>204</v>
      </c>
      <c r="L2000" s="399">
        <f t="shared" si="6402"/>
        <v>0.15</v>
      </c>
      <c r="M2000" s="399" t="s">
        <v>176</v>
      </c>
      <c r="N2000" s="399">
        <f t="shared" si="6403"/>
        <v>0.27</v>
      </c>
      <c r="O2000" s="399"/>
      <c r="P2000" s="399"/>
      <c r="Q2000" s="399"/>
      <c r="R2000" s="399"/>
      <c r="S2000" s="399"/>
      <c r="T2000" s="399" t="s">
        <v>125</v>
      </c>
      <c r="U2000" s="401">
        <f t="shared" si="6404"/>
        <v>0</v>
      </c>
      <c r="V2000" s="399" t="s">
        <v>125</v>
      </c>
      <c r="W2000" s="399">
        <f t="shared" si="6405"/>
        <v>0</v>
      </c>
      <c r="X2000" s="399" t="s">
        <v>125</v>
      </c>
      <c r="Y2000" s="389">
        <f t="shared" ref="Y2000" si="6410">D1985</f>
        <v>3</v>
      </c>
      <c r="Z2000" s="400" t="s">
        <v>176</v>
      </c>
      <c r="AA2000" s="402">
        <f t="shared" si="6407"/>
        <v>0</v>
      </c>
      <c r="AB2000" s="403"/>
    </row>
    <row r="2001" spans="1:28">
      <c r="A2001" s="384" t="str">
        <f t="shared" ref="A2001:B2001" si="6411">A1975</f>
        <v>Lantai 1</v>
      </c>
      <c r="B2001" s="385">
        <f t="shared" si="6411"/>
        <v>64</v>
      </c>
      <c r="C2001" s="393" t="s">
        <v>213</v>
      </c>
      <c r="D2001" s="398">
        <f>VLOOKUP(D1975,'Detail Balok'!$C$10:$BJ$140,56,FALSE)</f>
        <v>0</v>
      </c>
      <c r="E2001" s="388" t="s">
        <v>16</v>
      </c>
      <c r="F2001" s="388">
        <f>VLOOKUP(D1975,'Detail Balok'!$C$10:$BJ$140,58,FALSE)</f>
        <v>0</v>
      </c>
      <c r="G2001" s="405" t="s">
        <v>157</v>
      </c>
      <c r="H2001" s="395">
        <f>VLOOKUP(D1975,'Detail Balok'!$C$10:$BJ$140,60,FALSE)</f>
        <v>100</v>
      </c>
      <c r="I2001" s="388"/>
      <c r="J2001" s="399">
        <f t="shared" ref="J2001" si="6412">(D1976-2*F$5)/1000</f>
        <v>0.12</v>
      </c>
      <c r="K2001" s="400" t="s">
        <v>204</v>
      </c>
      <c r="L2001" s="399">
        <f t="shared" si="6402"/>
        <v>0.15</v>
      </c>
      <c r="M2001" s="399" t="s">
        <v>176</v>
      </c>
      <c r="N2001" s="399">
        <f t="shared" si="6403"/>
        <v>0.27</v>
      </c>
      <c r="O2001" s="399"/>
      <c r="P2001" s="399"/>
      <c r="Q2001" s="399"/>
      <c r="R2001" s="399"/>
      <c r="S2001" s="399"/>
      <c r="T2001" s="399" t="s">
        <v>125</v>
      </c>
      <c r="U2001" s="401">
        <f t="shared" si="6404"/>
        <v>0</v>
      </c>
      <c r="V2001" s="399" t="s">
        <v>125</v>
      </c>
      <c r="W2001" s="399">
        <f t="shared" si="6405"/>
        <v>0</v>
      </c>
      <c r="X2001" s="399" t="s">
        <v>125</v>
      </c>
      <c r="Y2001" s="389">
        <f t="shared" ref="Y2001" si="6413">D1985</f>
        <v>3</v>
      </c>
      <c r="Z2001" s="400" t="s">
        <v>176</v>
      </c>
      <c r="AA2001" s="402">
        <f t="shared" si="6407"/>
        <v>0</v>
      </c>
      <c r="AB2001" s="403"/>
    </row>
    <row r="2002" spans="1:28">
      <c r="A2002" s="391"/>
      <c r="B2002" s="392"/>
      <c r="C2002" s="392"/>
      <c r="D2002" s="394"/>
      <c r="E2002" s="388"/>
      <c r="F2002" s="388"/>
      <c r="G2002" s="388"/>
      <c r="H2002" s="395"/>
      <c r="I2002" s="388"/>
      <c r="J2002" s="402"/>
      <c r="K2002" s="388"/>
      <c r="L2002" s="388"/>
      <c r="M2002" s="388"/>
      <c r="N2002" s="388"/>
      <c r="O2002" s="388"/>
      <c r="P2002" s="388"/>
      <c r="Q2002" s="388"/>
      <c r="R2002" s="388"/>
      <c r="S2002" s="388"/>
      <c r="T2002" s="388"/>
      <c r="U2002" s="388"/>
      <c r="V2002" s="388"/>
      <c r="W2002" s="388"/>
      <c r="X2002" s="388"/>
      <c r="Y2002" s="389"/>
      <c r="Z2002" s="388"/>
      <c r="AA2002" s="402"/>
      <c r="AB2002" s="403"/>
    </row>
    <row r="2003" spans="1:28" ht="15.75" thickBot="1">
      <c r="A2003" s="406"/>
      <c r="B2003" s="407"/>
      <c r="C2003" s="407"/>
      <c r="D2003" s="408"/>
      <c r="E2003" s="409"/>
      <c r="F2003" s="409"/>
      <c r="G2003" s="409"/>
      <c r="H2003" s="410"/>
      <c r="I2003" s="409"/>
      <c r="J2003" s="409"/>
      <c r="K2003" s="409"/>
      <c r="L2003" s="409"/>
      <c r="M2003" s="409"/>
      <c r="N2003" s="409"/>
      <c r="O2003" s="409"/>
      <c r="P2003" s="409"/>
      <c r="Q2003" s="409"/>
      <c r="R2003" s="409"/>
      <c r="S2003" s="409"/>
      <c r="T2003" s="409"/>
      <c r="U2003" s="409"/>
      <c r="V2003" s="409"/>
      <c r="W2003" s="409"/>
      <c r="X2003" s="409"/>
      <c r="Y2003" s="411"/>
      <c r="Z2003" s="409"/>
      <c r="AA2003" s="412"/>
      <c r="AB2003" s="413"/>
    </row>
    <row r="2004" spans="1:28">
      <c r="A2004" s="377"/>
      <c r="B2004" s="378"/>
      <c r="C2004" s="378"/>
      <c r="D2004" s="379"/>
      <c r="E2004" s="380"/>
      <c r="F2004" s="380"/>
      <c r="G2004" s="380"/>
      <c r="H2004" s="381"/>
      <c r="I2004" s="380"/>
      <c r="J2004" s="380"/>
      <c r="K2004" s="380"/>
      <c r="L2004" s="380"/>
      <c r="M2004" s="380"/>
      <c r="N2004" s="380"/>
      <c r="O2004" s="380"/>
      <c r="P2004" s="380"/>
      <c r="Q2004" s="380"/>
      <c r="R2004" s="380"/>
      <c r="S2004" s="380"/>
      <c r="T2004" s="380"/>
      <c r="U2004" s="380"/>
      <c r="V2004" s="380"/>
      <c r="W2004" s="380"/>
      <c r="X2004" s="380"/>
      <c r="Y2004" s="382"/>
      <c r="Z2004" s="380"/>
      <c r="AA2004" s="380"/>
      <c r="AB2004" s="383"/>
    </row>
    <row r="2005" spans="1:28">
      <c r="A2005" s="384" t="str">
        <f t="shared" ref="A2005:A2065" si="6414">A1975</f>
        <v>Lantai 1</v>
      </c>
      <c r="B2005" s="385">
        <f t="shared" ref="B2005:B2065" si="6415">B1975+1</f>
        <v>65</v>
      </c>
      <c r="C2005" s="386" t="str">
        <f t="shared" ref="C2005" si="6416">CONCATENATE(A2005," no. ",B2005)</f>
        <v>Lantai 1 no. 65</v>
      </c>
      <c r="D2005" s="2562" t="str">
        <f>VLOOKUP(C2005,'Data Panjang Balok'!$C$9:$N$254,2,FALSE)</f>
        <v>S25-1</v>
      </c>
      <c r="E2005" s="2576"/>
      <c r="F2005" s="2576"/>
      <c r="G2005" s="2576"/>
      <c r="H2005" s="2577"/>
      <c r="I2005" s="387"/>
      <c r="J2005" s="388"/>
      <c r="K2005" s="388"/>
      <c r="L2005" s="388"/>
      <c r="M2005" s="388"/>
      <c r="N2005" s="388"/>
      <c r="O2005" s="388"/>
      <c r="P2005" s="388"/>
      <c r="Q2005" s="388"/>
      <c r="R2005" s="388"/>
      <c r="S2005" s="388"/>
      <c r="T2005" s="388"/>
      <c r="U2005" s="388"/>
      <c r="V2005" s="388"/>
      <c r="W2005" s="388"/>
      <c r="X2005" s="388"/>
      <c r="Y2005" s="389"/>
      <c r="Z2005" s="388"/>
      <c r="AA2005" s="388"/>
      <c r="AB2005" s="390"/>
    </row>
    <row r="2006" spans="1:28">
      <c r="A2006" s="391"/>
      <c r="B2006" s="392"/>
      <c r="C2006" s="393" t="s">
        <v>118</v>
      </c>
      <c r="D2006" s="2578">
        <f>VLOOKUP(D2005,'Detail Balok'!$C$10:$AU$140,2,FALSE)</f>
        <v>200</v>
      </c>
      <c r="E2006" s="2579"/>
      <c r="F2006" s="388" t="s">
        <v>125</v>
      </c>
      <c r="G2006" s="2579">
        <f>VLOOKUP(D2005,'Detail Balok'!$C$10:$AU$140,3,FALSE)</f>
        <v>500</v>
      </c>
      <c r="H2006" s="2580"/>
      <c r="I2006" s="388"/>
      <c r="J2006" s="396"/>
      <c r="K2006" s="396"/>
      <c r="L2006" s="396"/>
      <c r="M2006" s="396"/>
      <c r="N2006" s="396"/>
      <c r="O2006" s="396"/>
      <c r="P2006" s="396"/>
      <c r="Q2006" s="396"/>
      <c r="R2006" s="396"/>
      <c r="S2006" s="396"/>
      <c r="T2006" s="396"/>
      <c r="U2006" s="388"/>
      <c r="V2006" s="396"/>
      <c r="W2006" s="388"/>
      <c r="X2006" s="396"/>
      <c r="Y2006" s="389"/>
      <c r="Z2006" s="396"/>
      <c r="AA2006" s="388"/>
      <c r="AB2006" s="390"/>
    </row>
    <row r="2007" spans="1:28">
      <c r="A2007" s="391"/>
      <c r="B2007" s="392"/>
      <c r="C2007" s="393" t="s">
        <v>198</v>
      </c>
      <c r="D2007" s="2562">
        <f>VLOOKUP(C2005,'Data Panjang Balok'!$C$9:$N$254,4,FALSE)</f>
        <v>1875</v>
      </c>
      <c r="E2007" s="2563"/>
      <c r="F2007" s="2563"/>
      <c r="G2007" s="2563"/>
      <c r="H2007" s="2564"/>
      <c r="I2007" s="397"/>
      <c r="J2007" s="396"/>
      <c r="K2007" s="396"/>
      <c r="L2007" s="396"/>
      <c r="M2007" s="396"/>
      <c r="N2007" s="396"/>
      <c r="O2007" s="396"/>
      <c r="P2007" s="396"/>
      <c r="Q2007" s="396"/>
      <c r="R2007" s="396"/>
      <c r="S2007" s="396"/>
      <c r="T2007" s="396"/>
      <c r="U2007" s="388"/>
      <c r="V2007" s="396"/>
      <c r="W2007" s="388"/>
      <c r="X2007" s="396"/>
      <c r="Y2007" s="389"/>
      <c r="Z2007" s="396"/>
      <c r="AA2007" s="388"/>
      <c r="AB2007" s="390"/>
    </row>
    <row r="2008" spans="1:28">
      <c r="A2008" s="391"/>
      <c r="B2008" s="392"/>
      <c r="C2008" s="393" t="s">
        <v>199</v>
      </c>
      <c r="D2008" s="2562">
        <f>VLOOKUP(C2005,'Data Panjang Balok'!$C$9:$N$254,7,FALSE)</f>
        <v>1875</v>
      </c>
      <c r="E2008" s="2563"/>
      <c r="F2008" s="2563"/>
      <c r="G2008" s="2563"/>
      <c r="H2008" s="2564"/>
      <c r="I2008" s="397"/>
      <c r="J2008" s="396"/>
      <c r="K2008" s="396"/>
      <c r="L2008" s="396"/>
      <c r="M2008" s="396"/>
      <c r="N2008" s="396"/>
      <c r="O2008" s="396"/>
      <c r="P2008" s="396"/>
      <c r="Q2008" s="396"/>
      <c r="R2008" s="396"/>
      <c r="S2008" s="396"/>
      <c r="T2008" s="396"/>
      <c r="U2008" s="388"/>
      <c r="V2008" s="396"/>
      <c r="W2008" s="388"/>
      <c r="X2008" s="396"/>
      <c r="Y2008" s="389"/>
      <c r="Z2008" s="396"/>
      <c r="AA2008" s="388"/>
      <c r="AB2008" s="390"/>
    </row>
    <row r="2009" spans="1:28">
      <c r="A2009" s="391"/>
      <c r="B2009" s="392"/>
      <c r="C2009" s="393" t="s">
        <v>200</v>
      </c>
      <c r="D2009" s="2562">
        <f>VLOOKUP(C2005,'Data Panjang Balok'!$C$9:$N$254,9,FALSE)</f>
        <v>0</v>
      </c>
      <c r="E2009" s="2563"/>
      <c r="F2009" s="2563"/>
      <c r="G2009" s="2563"/>
      <c r="H2009" s="2564"/>
      <c r="I2009" s="397"/>
      <c r="J2009" s="396"/>
      <c r="K2009" s="396"/>
      <c r="L2009" s="396"/>
      <c r="M2009" s="396"/>
      <c r="N2009" s="396"/>
      <c r="O2009" s="396"/>
      <c r="P2009" s="396"/>
      <c r="Q2009" s="396"/>
      <c r="R2009" s="396"/>
      <c r="S2009" s="396"/>
      <c r="T2009" s="396"/>
      <c r="U2009" s="388"/>
      <c r="V2009" s="396"/>
      <c r="W2009" s="388"/>
      <c r="X2009" s="396"/>
      <c r="Y2009" s="389"/>
      <c r="Z2009" s="396"/>
      <c r="AA2009" s="388"/>
      <c r="AB2009" s="390"/>
    </row>
    <row r="2010" spans="1:28">
      <c r="A2010" s="391"/>
      <c r="B2010" s="392"/>
      <c r="C2010" s="393" t="s">
        <v>201</v>
      </c>
      <c r="D2010" s="2562">
        <f>VLOOKUP(C2005,'Data Panjang Balok'!$C$9:$N$254,10,FALSE)</f>
        <v>0</v>
      </c>
      <c r="E2010" s="2563"/>
      <c r="F2010" s="2563"/>
      <c r="G2010" s="2563"/>
      <c r="H2010" s="2564"/>
      <c r="I2010" s="397"/>
      <c r="J2010" s="396"/>
      <c r="K2010" s="396"/>
      <c r="L2010" s="396"/>
      <c r="M2010" s="396"/>
      <c r="N2010" s="396"/>
      <c r="O2010" s="396"/>
      <c r="P2010" s="396"/>
      <c r="Q2010" s="396"/>
      <c r="R2010" s="396"/>
      <c r="S2010" s="396"/>
      <c r="T2010" s="396"/>
      <c r="U2010" s="388"/>
      <c r="V2010" s="396"/>
      <c r="W2010" s="388"/>
      <c r="X2010" s="396"/>
      <c r="Y2010" s="389"/>
      <c r="Z2010" s="396"/>
      <c r="AA2010" s="388"/>
      <c r="AB2010" s="390"/>
    </row>
    <row r="2011" spans="1:28">
      <c r="A2011" s="391"/>
      <c r="B2011" s="392"/>
      <c r="C2011" s="393" t="s">
        <v>48</v>
      </c>
      <c r="D2011" s="2562">
        <f>VLOOKUP(C2005,'Data Panjang Balok'!$C$9:$N$254,3,FALSE)</f>
        <v>1</v>
      </c>
      <c r="E2011" s="2563"/>
      <c r="F2011" s="2563"/>
      <c r="G2011" s="2563"/>
      <c r="H2011" s="2564"/>
      <c r="I2011" s="397"/>
      <c r="J2011" s="396"/>
      <c r="K2011" s="396"/>
      <c r="L2011" s="396"/>
      <c r="M2011" s="396"/>
      <c r="N2011" s="396"/>
      <c r="O2011" s="396"/>
      <c r="P2011" s="396"/>
      <c r="Q2011" s="396"/>
      <c r="R2011" s="396"/>
      <c r="S2011" s="396"/>
      <c r="T2011" s="396"/>
      <c r="U2011" s="388"/>
      <c r="V2011" s="396"/>
      <c r="W2011" s="388"/>
      <c r="X2011" s="396"/>
      <c r="Y2011" s="389"/>
      <c r="Z2011" s="396"/>
      <c r="AA2011" s="388"/>
      <c r="AB2011" s="390"/>
    </row>
    <row r="2012" spans="1:28">
      <c r="A2012" s="384" t="str">
        <f t="shared" ref="A2012:B2012" si="6417">A2005</f>
        <v>Lantai 1</v>
      </c>
      <c r="B2012" s="385">
        <f t="shared" si="6417"/>
        <v>65</v>
      </c>
      <c r="C2012" s="393" t="s">
        <v>202</v>
      </c>
      <c r="D2012" s="398">
        <f>VLOOKUP(D2005,'Detail Balok'!$C$10:$AU$140,4,FALSE)</f>
        <v>3</v>
      </c>
      <c r="E2012" s="388" t="s">
        <v>16</v>
      </c>
      <c r="F2012" s="388">
        <f>VLOOKUP(D2005,'Detail Balok'!$C$10:$AU$140,6,FALSE)</f>
        <v>16</v>
      </c>
      <c r="G2012" s="388"/>
      <c r="H2012" s="395"/>
      <c r="I2012" s="388" t="s">
        <v>203</v>
      </c>
      <c r="J2012" s="399">
        <f t="shared" ref="J2012" si="6418">+D2007/4/1000</f>
        <v>0.46875</v>
      </c>
      <c r="K2012" s="400" t="s">
        <v>204</v>
      </c>
      <c r="L2012" s="399">
        <f t="shared" ref="L2012" si="6419">MAX(VLOOKUP(F2012,N$6:P$15,3,FALSE)/1000,2/3*D2009/1000)+F$16*F2012/1000</f>
        <v>0.192</v>
      </c>
      <c r="M2012" s="399" t="s">
        <v>176</v>
      </c>
      <c r="N2012" s="399">
        <f t="shared" ref="N2012:N2014" si="6420">J2012+L2012</f>
        <v>0.66074999999999995</v>
      </c>
      <c r="O2012" s="399" t="s">
        <v>204</v>
      </c>
      <c r="P2012" s="389">
        <f t="shared" ref="P2012" si="6421">D2012-D2013</f>
        <v>0</v>
      </c>
      <c r="Q2012" s="399" t="s">
        <v>125</v>
      </c>
      <c r="R2012" s="399">
        <f t="shared" ref="R2012" si="6422">IF(P2012&gt;0,$F$18*F2012/1000,0)</f>
        <v>0</v>
      </c>
      <c r="S2012" s="399" t="s">
        <v>205</v>
      </c>
      <c r="T2012" s="399" t="s">
        <v>125</v>
      </c>
      <c r="U2012" s="401">
        <f t="shared" ref="U2012:U2014" si="6423">0.006165*F2012^2</f>
        <v>1.5782400000000001</v>
      </c>
      <c r="V2012" s="399"/>
      <c r="W2012" s="399"/>
      <c r="X2012" s="399" t="s">
        <v>125</v>
      </c>
      <c r="Y2012" s="389">
        <f t="shared" ref="Y2012" si="6424">D2011</f>
        <v>1</v>
      </c>
      <c r="Z2012" s="400" t="s">
        <v>176</v>
      </c>
      <c r="AA2012" s="402">
        <f t="shared" ref="AA2012" si="6425">IF(AA2015=0,(D2012*N2012+P2012*R2012)*U2012*Y2012,0)</f>
        <v>0</v>
      </c>
      <c r="AB2012" s="403"/>
    </row>
    <row r="2013" spans="1:28">
      <c r="A2013" s="384" t="str">
        <f t="shared" ref="A2013:B2013" si="6426">A2005</f>
        <v>Lantai 1</v>
      </c>
      <c r="B2013" s="385">
        <f t="shared" si="6426"/>
        <v>65</v>
      </c>
      <c r="C2013" s="393" t="s">
        <v>206</v>
      </c>
      <c r="D2013" s="398">
        <f>VLOOKUP(D2005,'Detail Balok'!$C$10:$AU$140,7,FALSE)</f>
        <v>3</v>
      </c>
      <c r="E2013" s="388" t="s">
        <v>16</v>
      </c>
      <c r="F2013" s="388">
        <f>VLOOKUP(D2005,'Detail Balok'!$C$10:$AU$140,9,FALSE)</f>
        <v>16</v>
      </c>
      <c r="G2013" s="388"/>
      <c r="H2013" s="395"/>
      <c r="I2013" s="388" t="s">
        <v>203</v>
      </c>
      <c r="J2013" s="399">
        <f t="shared" ref="J2013" si="6427">+D2007/2/1000</f>
        <v>0.9375</v>
      </c>
      <c r="K2013" s="400" t="s">
        <v>204</v>
      </c>
      <c r="L2013" s="399"/>
      <c r="M2013" s="399" t="s">
        <v>176</v>
      </c>
      <c r="N2013" s="399">
        <f t="shared" si="6420"/>
        <v>0.9375</v>
      </c>
      <c r="O2013" s="399" t="s">
        <v>204</v>
      </c>
      <c r="P2013" s="389">
        <f t="shared" ref="P2013" si="6428">MAX(D2013-D2012,D2013-D2014)</f>
        <v>0</v>
      </c>
      <c r="Q2013" s="399" t="s">
        <v>125</v>
      </c>
      <c r="R2013" s="399">
        <f t="shared" ref="R2013" si="6429">IF(P2013&gt;0,2*(1-2*$F$19-1/2)*D2008/1000,0)</f>
        <v>0</v>
      </c>
      <c r="S2013" s="399" t="s">
        <v>205</v>
      </c>
      <c r="T2013" s="399" t="s">
        <v>125</v>
      </c>
      <c r="U2013" s="401">
        <f t="shared" si="6423"/>
        <v>1.5782400000000001</v>
      </c>
      <c r="V2013" s="399"/>
      <c r="W2013" s="399"/>
      <c r="X2013" s="399" t="s">
        <v>125</v>
      </c>
      <c r="Y2013" s="389">
        <f t="shared" ref="Y2013" si="6430">D2011</f>
        <v>1</v>
      </c>
      <c r="Z2013" s="400" t="s">
        <v>176</v>
      </c>
      <c r="AA2013" s="402">
        <f t="shared" ref="AA2013" si="6431">IF(AA2015=0,(D2013*N2013+P2013*R2013)*U2013*Y2013,0)</f>
        <v>0</v>
      </c>
      <c r="AB2013" s="403"/>
    </row>
    <row r="2014" spans="1:28">
      <c r="A2014" s="384" t="str">
        <f t="shared" ref="A2014:B2014" si="6432">A2005</f>
        <v>Lantai 1</v>
      </c>
      <c r="B2014" s="385">
        <f t="shared" si="6432"/>
        <v>65</v>
      </c>
      <c r="C2014" s="393" t="s">
        <v>202</v>
      </c>
      <c r="D2014" s="398">
        <f>VLOOKUP(D2005,'Detail Balok'!$C$10:$AU$140,10,FALSE)</f>
        <v>3</v>
      </c>
      <c r="E2014" s="388" t="s">
        <v>16</v>
      </c>
      <c r="F2014" s="388">
        <f>VLOOKUP(D2005,'Detail Balok'!$C$10:$AU$140,12,FALSE)</f>
        <v>16</v>
      </c>
      <c r="G2014" s="388"/>
      <c r="H2014" s="395"/>
      <c r="I2014" s="388" t="s">
        <v>203</v>
      </c>
      <c r="J2014" s="399">
        <f t="shared" ref="J2014" si="6433">+D2007/4/1000</f>
        <v>0.46875</v>
      </c>
      <c r="K2014" s="400" t="s">
        <v>204</v>
      </c>
      <c r="L2014" s="399">
        <f t="shared" ref="L2014" si="6434">MAX(VLOOKUP(F2014,N$6:P$15,3,FALSE)/1000,2/3*D2009/1000)+F$16*F2014/1000</f>
        <v>0.192</v>
      </c>
      <c r="M2014" s="399" t="s">
        <v>176</v>
      </c>
      <c r="N2014" s="399">
        <f t="shared" si="6420"/>
        <v>0.66074999999999995</v>
      </c>
      <c r="O2014" s="399" t="s">
        <v>204</v>
      </c>
      <c r="P2014" s="389">
        <f t="shared" ref="P2014" si="6435">D2014-D2013</f>
        <v>0</v>
      </c>
      <c r="Q2014" s="399" t="s">
        <v>125</v>
      </c>
      <c r="R2014" s="399">
        <f t="shared" ref="R2014" si="6436">IF(P2014&gt;0,$F$18*F2014/1000,0)</f>
        <v>0</v>
      </c>
      <c r="S2014" s="399" t="s">
        <v>205</v>
      </c>
      <c r="T2014" s="399" t="s">
        <v>125</v>
      </c>
      <c r="U2014" s="401">
        <f t="shared" si="6423"/>
        <v>1.5782400000000001</v>
      </c>
      <c r="V2014" s="399"/>
      <c r="W2014" s="399"/>
      <c r="X2014" s="399" t="s">
        <v>125</v>
      </c>
      <c r="Y2014" s="389">
        <f t="shared" ref="Y2014" si="6437">D2011</f>
        <v>1</v>
      </c>
      <c r="Z2014" s="400" t="s">
        <v>176</v>
      </c>
      <c r="AA2014" s="402">
        <f t="shared" ref="AA2014" si="6438">IF(AA2015=0,(D2014*N2014+P2014*R2014)*U2014*Y2014,0)</f>
        <v>0</v>
      </c>
      <c r="AB2014" s="403"/>
    </row>
    <row r="2015" spans="1:28">
      <c r="A2015" s="384" t="str">
        <f t="shared" ref="A2015:B2015" si="6439">A2005</f>
        <v>Lantai 1</v>
      </c>
      <c r="B2015" s="385">
        <f t="shared" si="6439"/>
        <v>65</v>
      </c>
      <c r="C2015" s="393"/>
      <c r="D2015" s="398">
        <f t="shared" si="6335"/>
        <v>3</v>
      </c>
      <c r="E2015" s="388" t="s">
        <v>16</v>
      </c>
      <c r="F2015" s="388">
        <f t="shared" si="6336"/>
        <v>16</v>
      </c>
      <c r="G2015" s="388"/>
      <c r="H2015" s="395"/>
      <c r="I2015" s="388"/>
      <c r="J2015" s="396"/>
      <c r="K2015" s="396"/>
      <c r="L2015" s="404" t="s">
        <v>207</v>
      </c>
      <c r="M2015" s="399" t="s">
        <v>176</v>
      </c>
      <c r="N2015" s="399">
        <f t="shared" ref="N2015" si="6440">IF(AND(D2012=D2013,D2012=D2014,D2013=D2014,F2012=F2013,F2012=F2014,F2013=F2014),SUM(N2012:N2014),0)</f>
        <v>2.2589999999999999</v>
      </c>
      <c r="O2015" s="399" t="s">
        <v>204</v>
      </c>
      <c r="P2015" s="389">
        <f t="shared" ref="P2015" si="6441">IF(N2015&gt;12,ROUNDDOWN(N2015/12,0),0)</f>
        <v>0</v>
      </c>
      <c r="Q2015" s="399" t="s">
        <v>125</v>
      </c>
      <c r="R2015" s="399">
        <f t="shared" ref="R2015" si="6442">IF(P2015&gt;0,MAX(VLOOKUP(F2015,$D$6:$G$15,3,FALSE),600),0)/1000</f>
        <v>0</v>
      </c>
      <c r="S2015" s="396"/>
      <c r="T2015" s="396" t="s">
        <v>125</v>
      </c>
      <c r="U2015" s="401">
        <f t="shared" si="6340"/>
        <v>1.5782400000000001</v>
      </c>
      <c r="V2015" s="396" t="s">
        <v>125</v>
      </c>
      <c r="W2015" s="399">
        <f t="shared" ref="W2015" si="6443">D2015</f>
        <v>3</v>
      </c>
      <c r="X2015" s="399" t="s">
        <v>125</v>
      </c>
      <c r="Y2015" s="389">
        <f t="shared" si="6342"/>
        <v>1</v>
      </c>
      <c r="Z2015" s="400" t="s">
        <v>176</v>
      </c>
      <c r="AA2015" s="402">
        <f t="shared" ref="AA2015" si="6444">(N2015+P2015*R2015/1000)*U2015*W2015*Y2015</f>
        <v>10.69573248</v>
      </c>
      <c r="AB2015" s="390"/>
    </row>
    <row r="2016" spans="1:28">
      <c r="A2016" s="384"/>
      <c r="B2016" s="385"/>
      <c r="C2016" s="393"/>
      <c r="D2016" s="398"/>
      <c r="E2016" s="388"/>
      <c r="F2016" s="388"/>
      <c r="G2016" s="388"/>
      <c r="H2016" s="395"/>
      <c r="I2016" s="388"/>
      <c r="J2016" s="396"/>
      <c r="K2016" s="396"/>
      <c r="L2016" s="404"/>
      <c r="M2016" s="399"/>
      <c r="N2016" s="399"/>
      <c r="O2016" s="396"/>
      <c r="P2016" s="389"/>
      <c r="Q2016" s="396"/>
      <c r="R2016" s="396"/>
      <c r="S2016" s="396"/>
      <c r="T2016" s="396"/>
      <c r="U2016" s="401"/>
      <c r="V2016" s="396"/>
      <c r="W2016" s="399"/>
      <c r="X2016" s="396"/>
      <c r="Y2016" s="389"/>
      <c r="Z2016" s="396"/>
      <c r="AA2016" s="388"/>
      <c r="AB2016" s="390"/>
    </row>
    <row r="2017" spans="1:28">
      <c r="A2017" s="384" t="str">
        <f t="shared" ref="A2017:B2017" si="6445">A2005</f>
        <v>Lantai 1</v>
      </c>
      <c r="B2017" s="385">
        <f t="shared" si="6445"/>
        <v>65</v>
      </c>
      <c r="C2017" s="393" t="s">
        <v>208</v>
      </c>
      <c r="D2017" s="398">
        <f>VLOOKUP(D2005,'Detail Balok'!$C$10:$AU$140,13,FALSE)</f>
        <v>2</v>
      </c>
      <c r="E2017" s="388" t="s">
        <v>16</v>
      </c>
      <c r="F2017" s="388">
        <f>VLOOKUP(D2005,'Detail Balok'!$C$10:$AU$140,15,FALSE)</f>
        <v>10</v>
      </c>
      <c r="G2017" s="388"/>
      <c r="H2017" s="395"/>
      <c r="I2017" s="388"/>
      <c r="J2017" s="399">
        <f t="shared" ref="J2017" si="6446">+D2007/1000</f>
        <v>1.875</v>
      </c>
      <c r="K2017" s="400" t="s">
        <v>204</v>
      </c>
      <c r="L2017" s="399">
        <f t="shared" ref="L2017" si="6447">2*$F$16*F2017/1000</f>
        <v>0.24</v>
      </c>
      <c r="M2017" s="399" t="s">
        <v>176</v>
      </c>
      <c r="N2017" s="399">
        <f t="shared" ref="N2017" si="6448">J2017+L2017</f>
        <v>2.1150000000000002</v>
      </c>
      <c r="O2017" s="399" t="s">
        <v>204</v>
      </c>
      <c r="P2017" s="389">
        <f t="shared" ref="P2017" si="6449">IF(N2017&gt;12,ROUNDDOWN(N2017/12,0),0)</f>
        <v>0</v>
      </c>
      <c r="Q2017" s="399" t="s">
        <v>125</v>
      </c>
      <c r="R2017" s="399">
        <f t="shared" ref="R2017" si="6450">IF(P2017&gt;0,MAX(VLOOKUP(F2017,$D$6:$G$15,3,FALSE),600),0)/1000</f>
        <v>0</v>
      </c>
      <c r="S2017" s="399"/>
      <c r="T2017" s="399" t="s">
        <v>125</v>
      </c>
      <c r="U2017" s="401">
        <f t="shared" ref="U2017" si="6451">0.006165*F2017^2</f>
        <v>0.61650000000000005</v>
      </c>
      <c r="V2017" s="399" t="s">
        <v>125</v>
      </c>
      <c r="W2017" s="399">
        <f t="shared" ref="W2017" si="6452">+D2017</f>
        <v>2</v>
      </c>
      <c r="X2017" s="399" t="s">
        <v>125</v>
      </c>
      <c r="Y2017" s="389">
        <f t="shared" ref="Y2017" si="6453">D2011</f>
        <v>1</v>
      </c>
      <c r="Z2017" s="400" t="s">
        <v>176</v>
      </c>
      <c r="AA2017" s="402">
        <f t="shared" ref="AA2017" si="6454">(N2017+P2017*R2017/1000)*U2017*W2017*Y2017</f>
        <v>2.6077950000000003</v>
      </c>
      <c r="AB2017" s="403"/>
    </row>
    <row r="2018" spans="1:28">
      <c r="A2018" s="384"/>
      <c r="B2018" s="385"/>
      <c r="C2018" s="393"/>
      <c r="D2018" s="398"/>
      <c r="E2018" s="388"/>
      <c r="F2018" s="388"/>
      <c r="G2018" s="388"/>
      <c r="H2018" s="395"/>
      <c r="I2018" s="388"/>
      <c r="J2018" s="399"/>
      <c r="K2018" s="400"/>
      <c r="L2018" s="399"/>
      <c r="M2018" s="399"/>
      <c r="N2018" s="399"/>
      <c r="O2018" s="399"/>
      <c r="P2018" s="389"/>
      <c r="Q2018" s="399"/>
      <c r="R2018" s="399"/>
      <c r="S2018" s="399"/>
      <c r="T2018" s="399"/>
      <c r="U2018" s="401"/>
      <c r="V2018" s="399"/>
      <c r="W2018" s="399"/>
      <c r="X2018" s="399"/>
      <c r="Y2018" s="389"/>
      <c r="Z2018" s="400"/>
      <c r="AA2018" s="402"/>
      <c r="AB2018" s="403"/>
    </row>
    <row r="2019" spans="1:28">
      <c r="A2019" s="384"/>
      <c r="B2019" s="385"/>
      <c r="C2019" s="393"/>
      <c r="D2019" s="398"/>
      <c r="E2019" s="388"/>
      <c r="F2019" s="388"/>
      <c r="G2019" s="388"/>
      <c r="H2019" s="395"/>
      <c r="I2019" s="388"/>
      <c r="J2019" s="396"/>
      <c r="K2019" s="396"/>
      <c r="L2019" s="396"/>
      <c r="M2019" s="396"/>
      <c r="N2019" s="396"/>
      <c r="O2019" s="396"/>
      <c r="P2019" s="389"/>
      <c r="Q2019" s="396"/>
      <c r="R2019" s="396"/>
      <c r="S2019" s="396"/>
      <c r="T2019" s="396"/>
      <c r="U2019" s="401"/>
      <c r="V2019" s="396"/>
      <c r="W2019" s="399"/>
      <c r="X2019" s="396"/>
      <c r="Y2019" s="389"/>
      <c r="Z2019" s="396"/>
      <c r="AA2019" s="388"/>
      <c r="AB2019" s="390"/>
    </row>
    <row r="2020" spans="1:28">
      <c r="A2020" s="384" t="str">
        <f t="shared" ref="A2020:B2020" si="6455">A2005</f>
        <v>Lantai 1</v>
      </c>
      <c r="B2020" s="385">
        <f t="shared" si="6455"/>
        <v>65</v>
      </c>
      <c r="C2020" s="393" t="s">
        <v>209</v>
      </c>
      <c r="D2020" s="398">
        <f>VLOOKUP(D2005,'Detail Balok'!$C$10:$AU$140,22,FALSE)</f>
        <v>3</v>
      </c>
      <c r="E2020" s="388" t="s">
        <v>16</v>
      </c>
      <c r="F2020" s="388">
        <f>VLOOKUP(D2005,'Detail Balok'!$C$10:$AU$140,24,FALSE)</f>
        <v>16</v>
      </c>
      <c r="G2020" s="388"/>
      <c r="H2020" s="395"/>
      <c r="I2020" s="388" t="s">
        <v>203</v>
      </c>
      <c r="J2020" s="399">
        <f t="shared" si="6355"/>
        <v>0.46875</v>
      </c>
      <c r="K2020" s="400" t="s">
        <v>204</v>
      </c>
      <c r="L2020" s="399">
        <f t="shared" ref="L2020" si="6456">MAX(VLOOKUP(F2020,N$6:P$15,3,FALSE)/1000,2/3*D2010/1000)+F$16*F2020/1000</f>
        <v>0.192</v>
      </c>
      <c r="M2020" s="399" t="s">
        <v>176</v>
      </c>
      <c r="N2020" s="399">
        <f t="shared" ref="N2020:N2022" si="6457">J2020+L2020</f>
        <v>0.66074999999999995</v>
      </c>
      <c r="O2020" s="399" t="s">
        <v>204</v>
      </c>
      <c r="P2020" s="389">
        <f t="shared" ref="P2020" si="6458">D2020-D2021</f>
        <v>0</v>
      </c>
      <c r="Q2020" s="399" t="s">
        <v>125</v>
      </c>
      <c r="R2020" s="399">
        <f t="shared" ref="R2020" si="6459">IF(P2020&gt;0,$F$18*F2020/1000,0)</f>
        <v>0</v>
      </c>
      <c r="S2020" s="399" t="s">
        <v>205</v>
      </c>
      <c r="T2020" s="399" t="s">
        <v>125</v>
      </c>
      <c r="U2020" s="401">
        <f t="shared" ref="U2020:U2022" si="6460">0.006165*F2020^2</f>
        <v>1.5782400000000001</v>
      </c>
      <c r="V2020" s="399"/>
      <c r="W2020" s="399"/>
      <c r="X2020" s="399" t="s">
        <v>125</v>
      </c>
      <c r="Y2020" s="389">
        <f t="shared" ref="Y2020" si="6461">D2011</f>
        <v>1</v>
      </c>
      <c r="Z2020" s="400" t="s">
        <v>176</v>
      </c>
      <c r="AA2020" s="402">
        <f t="shared" ref="AA2020" si="6462">IF(AA2023=0,(D2020*N2020+P2020*R2020)*U2020*Y2020,0)</f>
        <v>0</v>
      </c>
      <c r="AB2020" s="403"/>
    </row>
    <row r="2021" spans="1:28">
      <c r="A2021" s="384" t="str">
        <f t="shared" ref="A2021:B2021" si="6463">A2005</f>
        <v>Lantai 1</v>
      </c>
      <c r="B2021" s="385">
        <f t="shared" si="6463"/>
        <v>65</v>
      </c>
      <c r="C2021" s="393" t="s">
        <v>210</v>
      </c>
      <c r="D2021" s="398">
        <f>VLOOKUP(D2005,'Detail Balok'!$C$10:$AU$140,25,FALSE)</f>
        <v>3</v>
      </c>
      <c r="E2021" s="388" t="s">
        <v>16</v>
      </c>
      <c r="F2021" s="388">
        <f>VLOOKUP(D2005,'Detail Balok'!$C$10:$AU$140,27,FALSE)</f>
        <v>16</v>
      </c>
      <c r="G2021" s="388"/>
      <c r="H2021" s="395"/>
      <c r="I2021" s="388" t="s">
        <v>203</v>
      </c>
      <c r="J2021" s="399">
        <f t="shared" si="6355"/>
        <v>0.9375</v>
      </c>
      <c r="K2021" s="400" t="s">
        <v>204</v>
      </c>
      <c r="L2021" s="399"/>
      <c r="M2021" s="399" t="s">
        <v>176</v>
      </c>
      <c r="N2021" s="399">
        <f t="shared" si="6457"/>
        <v>0.9375</v>
      </c>
      <c r="O2021" s="399" t="s">
        <v>204</v>
      </c>
      <c r="P2021" s="389">
        <f t="shared" ref="P2021" si="6464">MAX(D2021-D2020,D2021-D2022)</f>
        <v>0</v>
      </c>
      <c r="Q2021" s="399" t="s">
        <v>125</v>
      </c>
      <c r="R2021" s="399">
        <f t="shared" ref="R2021" si="6465">IF(P2021&gt;0,2*(1-2*$F$19-1/2)*D2008/1000,0)</f>
        <v>0</v>
      </c>
      <c r="S2021" s="399" t="s">
        <v>205</v>
      </c>
      <c r="T2021" s="399" t="s">
        <v>125</v>
      </c>
      <c r="U2021" s="401">
        <f t="shared" si="6460"/>
        <v>1.5782400000000001</v>
      </c>
      <c r="V2021" s="399"/>
      <c r="W2021" s="399"/>
      <c r="X2021" s="399" t="s">
        <v>125</v>
      </c>
      <c r="Y2021" s="389">
        <f t="shared" ref="Y2021" si="6466">D2011</f>
        <v>1</v>
      </c>
      <c r="Z2021" s="400" t="s">
        <v>176</v>
      </c>
      <c r="AA2021" s="402">
        <f t="shared" ref="AA2021" si="6467">IF(AA2023=0,(D2021*N2021+P2021*R2021)*U2021*Y2021,0)</f>
        <v>0</v>
      </c>
      <c r="AB2021" s="403"/>
    </row>
    <row r="2022" spans="1:28">
      <c r="A2022" s="384" t="str">
        <f t="shared" ref="A2022:B2022" si="6468">A2005</f>
        <v>Lantai 1</v>
      </c>
      <c r="B2022" s="385">
        <f t="shared" si="6468"/>
        <v>65</v>
      </c>
      <c r="C2022" s="393" t="s">
        <v>209</v>
      </c>
      <c r="D2022" s="398">
        <f>VLOOKUP(D2005,'Detail Balok'!$C$10:$AU$140,28,FALSE)</f>
        <v>3</v>
      </c>
      <c r="E2022" s="388" t="s">
        <v>16</v>
      </c>
      <c r="F2022" s="388">
        <f>VLOOKUP(D2005,'Detail Balok'!$C$10:$AU$140,30,FALSE)</f>
        <v>16</v>
      </c>
      <c r="G2022" s="388"/>
      <c r="H2022" s="395"/>
      <c r="I2022" s="388" t="s">
        <v>203</v>
      </c>
      <c r="J2022" s="399">
        <f t="shared" si="6355"/>
        <v>0.46875</v>
      </c>
      <c r="K2022" s="400" t="s">
        <v>204</v>
      </c>
      <c r="L2022" s="399">
        <f t="shared" ref="L2022" si="6469">MAX(VLOOKUP(F2022,N$6:P$15,3,FALSE)/1000,2/3*D2010/1000)+F$16*F2022/1000</f>
        <v>0.192</v>
      </c>
      <c r="M2022" s="399" t="s">
        <v>176</v>
      </c>
      <c r="N2022" s="399">
        <f t="shared" si="6457"/>
        <v>0.66074999999999995</v>
      </c>
      <c r="O2022" s="399" t="s">
        <v>204</v>
      </c>
      <c r="P2022" s="389">
        <f t="shared" ref="P2022" si="6470">D2022-D2021</f>
        <v>0</v>
      </c>
      <c r="Q2022" s="399" t="s">
        <v>125</v>
      </c>
      <c r="R2022" s="399">
        <f t="shared" ref="R2022" si="6471">IF(P2022&gt;0,$F$18*F2022/1000,0)</f>
        <v>0</v>
      </c>
      <c r="S2022" s="399" t="s">
        <v>205</v>
      </c>
      <c r="T2022" s="399" t="s">
        <v>125</v>
      </c>
      <c r="U2022" s="401">
        <f t="shared" si="6460"/>
        <v>1.5782400000000001</v>
      </c>
      <c r="V2022" s="399"/>
      <c r="W2022" s="399"/>
      <c r="X2022" s="399" t="s">
        <v>125</v>
      </c>
      <c r="Y2022" s="389">
        <f t="shared" ref="Y2022" si="6472">D2011</f>
        <v>1</v>
      </c>
      <c r="Z2022" s="400" t="s">
        <v>176</v>
      </c>
      <c r="AA2022" s="402">
        <f t="shared" ref="AA2022" si="6473">IF(AA2023=0,(D2022*N2022+P2022*R2022)*U2022*Y2022,0)</f>
        <v>0</v>
      </c>
      <c r="AB2022" s="403"/>
    </row>
    <row r="2023" spans="1:28">
      <c r="A2023" s="384" t="str">
        <f t="shared" ref="A2023:B2023" si="6474">A2005</f>
        <v>Lantai 1</v>
      </c>
      <c r="B2023" s="385">
        <f t="shared" si="6474"/>
        <v>65</v>
      </c>
      <c r="C2023" s="393"/>
      <c r="D2023" s="398">
        <f t="shared" si="6375"/>
        <v>3</v>
      </c>
      <c r="E2023" s="388" t="s">
        <v>16</v>
      </c>
      <c r="F2023" s="388">
        <f t="shared" si="6376"/>
        <v>16</v>
      </c>
      <c r="G2023" s="388"/>
      <c r="H2023" s="395"/>
      <c r="I2023" s="388"/>
      <c r="J2023" s="396"/>
      <c r="K2023" s="396"/>
      <c r="L2023" s="404" t="s">
        <v>207</v>
      </c>
      <c r="M2023" s="399" t="s">
        <v>176</v>
      </c>
      <c r="N2023" s="399">
        <f t="shared" ref="N2023" si="6475">IF(AND(D2020=D2021,D2020=D2022,D2021=D2022,F2020=F2021,F2020=F2022,F2021=F2022),SUM(N2020:N2022),0)</f>
        <v>2.2589999999999999</v>
      </c>
      <c r="O2023" s="399" t="s">
        <v>204</v>
      </c>
      <c r="P2023" s="389">
        <f t="shared" ref="P2023" si="6476">IF(N2023&gt;12,ROUNDDOWN(N2023/12,0),0)</f>
        <v>0</v>
      </c>
      <c r="Q2023" s="399" t="s">
        <v>125</v>
      </c>
      <c r="R2023" s="399">
        <f t="shared" ref="R2023" si="6477">IF(P2023&gt;0,MAX(VLOOKUP(F2023,$D$6:$G$15,3,FALSE),600),0)/1000</f>
        <v>0</v>
      </c>
      <c r="S2023" s="396"/>
      <c r="T2023" s="396" t="s">
        <v>125</v>
      </c>
      <c r="U2023" s="401">
        <f t="shared" si="6380"/>
        <v>1.5782400000000001</v>
      </c>
      <c r="V2023" s="396" t="s">
        <v>125</v>
      </c>
      <c r="W2023" s="399">
        <f t="shared" ref="W2023" si="6478">D2023</f>
        <v>3</v>
      </c>
      <c r="X2023" s="399" t="s">
        <v>125</v>
      </c>
      <c r="Y2023" s="389">
        <f t="shared" si="6382"/>
        <v>1</v>
      </c>
      <c r="Z2023" s="400" t="s">
        <v>176</v>
      </c>
      <c r="AA2023" s="402">
        <f t="shared" ref="AA2023" si="6479">(N2023+P2023*R2023/1000)*U2023*W2023*Y2023</f>
        <v>10.69573248</v>
      </c>
      <c r="AB2023" s="403"/>
    </row>
    <row r="2024" spans="1:28">
      <c r="A2024" s="384"/>
      <c r="B2024" s="385"/>
      <c r="C2024" s="393"/>
      <c r="D2024" s="394"/>
      <c r="E2024" s="388"/>
      <c r="F2024" s="388"/>
      <c r="G2024" s="388"/>
      <c r="H2024" s="395"/>
      <c r="I2024" s="388"/>
      <c r="J2024" s="399"/>
      <c r="K2024" s="396"/>
      <c r="L2024" s="396"/>
      <c r="M2024" s="396"/>
      <c r="N2024" s="396"/>
      <c r="O2024" s="396"/>
      <c r="P2024" s="389"/>
      <c r="Q2024" s="396"/>
      <c r="R2024" s="396"/>
      <c r="S2024" s="396"/>
      <c r="T2024" s="396"/>
      <c r="U2024" s="401"/>
      <c r="V2024" s="396"/>
      <c r="W2024" s="388"/>
      <c r="X2024" s="396"/>
      <c r="Y2024" s="389"/>
      <c r="Z2024" s="396"/>
      <c r="AA2024" s="388"/>
      <c r="AB2024" s="390"/>
    </row>
    <row r="2025" spans="1:28">
      <c r="A2025" s="384" t="str">
        <f t="shared" ref="A2025:B2025" si="6480">A2005</f>
        <v>Lantai 1</v>
      </c>
      <c r="B2025" s="385">
        <f t="shared" si="6480"/>
        <v>65</v>
      </c>
      <c r="C2025" s="393" t="s">
        <v>211</v>
      </c>
      <c r="D2025" s="398">
        <f>VLOOKUP(D2005,'Detail Balok'!$C$10:$AU$140,31,FALSE)</f>
        <v>0</v>
      </c>
      <c r="E2025" s="388" t="s">
        <v>16</v>
      </c>
      <c r="F2025" s="388">
        <f>VLOOKUP(D2005,'Detail Balok'!$C$10:$AU$140,33,FALSE)</f>
        <v>8</v>
      </c>
      <c r="G2025" s="405" t="s">
        <v>157</v>
      </c>
      <c r="H2025" s="395">
        <f>VLOOKUP(D2005,'Detail Balok'!$C$10:$AU$140,35,FALSE)</f>
        <v>150</v>
      </c>
      <c r="I2025" s="388"/>
      <c r="J2025" s="400">
        <f t="shared" ref="J2025" si="6481">(IF(D2025=0,(2*(D2006+G2006))-(F$5*8),IF(D2025=3,(2*(D2006+G2006))-(F$5*8)+(G2006-2*F$5),IF(D2025=4,(2*(D2006+G2006))-(F$5*8)+2*(G2006-2*F$5)))))/1000</f>
        <v>1.08</v>
      </c>
      <c r="K2025" s="400" t="s">
        <v>204</v>
      </c>
      <c r="L2025" s="399">
        <f t="shared" ref="L2025:L2027" si="6482">IF(D2025=0,2*MAX(6*F2025,75),(D2025-1)*2*MAX(6*F2025,75))/1000</f>
        <v>0.15</v>
      </c>
      <c r="M2025" s="399" t="s">
        <v>176</v>
      </c>
      <c r="N2025" s="399">
        <f t="shared" ref="N2025:N2027" si="6483">J2025+L2025</f>
        <v>1.23</v>
      </c>
      <c r="O2025" s="399"/>
      <c r="P2025" s="389"/>
      <c r="Q2025" s="399"/>
      <c r="R2025" s="399"/>
      <c r="S2025" s="399"/>
      <c r="T2025" s="399" t="s">
        <v>125</v>
      </c>
      <c r="U2025" s="401">
        <f t="shared" ref="U2025:U2027" si="6484">0.006165*F2025^2</f>
        <v>0.39456000000000002</v>
      </c>
      <c r="V2025" s="399" t="s">
        <v>125</v>
      </c>
      <c r="W2025" s="399">
        <f t="shared" ref="W2025" si="6485">IF(D2008&gt;4*G2006,ROUND(MAX(D2008/4,2*G2006)/H2025,0)+1,ROUND(D2008/H2025,0)+1)</f>
        <v>14</v>
      </c>
      <c r="X2025" s="399" t="s">
        <v>125</v>
      </c>
      <c r="Y2025" s="389">
        <f t="shared" ref="Y2025" si="6486">D2011</f>
        <v>1</v>
      </c>
      <c r="Z2025" s="400" t="s">
        <v>176</v>
      </c>
      <c r="AA2025" s="402">
        <f t="shared" ref="AA2025:AA2027" si="6487">N2025*U2025*W2025*Y2025</f>
        <v>6.7943232000000009</v>
      </c>
      <c r="AB2025" s="403"/>
    </row>
    <row r="2026" spans="1:28">
      <c r="A2026" s="384" t="str">
        <f t="shared" ref="A2026:B2026" si="6488">A2005</f>
        <v>Lantai 1</v>
      </c>
      <c r="B2026" s="385">
        <f t="shared" si="6488"/>
        <v>65</v>
      </c>
      <c r="C2026" s="393" t="s">
        <v>212</v>
      </c>
      <c r="D2026" s="398">
        <f>VLOOKUP(D2005,'Detail Balok'!$C$10:$AU$140,36,FALSE)</f>
        <v>0</v>
      </c>
      <c r="E2026" s="388" t="s">
        <v>16</v>
      </c>
      <c r="F2026" s="388">
        <f>VLOOKUP(D2005,'Detail Balok'!$C$10:$AU$140,38,FALSE)</f>
        <v>8</v>
      </c>
      <c r="G2026" s="405" t="s">
        <v>157</v>
      </c>
      <c r="H2026" s="395">
        <f>VLOOKUP(D2005,'Detail Balok'!$C$10:$AU$140,40,FALSE)</f>
        <v>200</v>
      </c>
      <c r="I2026" s="388"/>
      <c r="J2026" s="400">
        <f t="shared" ref="J2026" si="6489">(IF(D2026=0,(2*(D2006+G2006))-(F$5*8),IF(D2026=3,(2*(D2006+G2006))-(F$5*8)+(G2006-2*F$5),IF(D2026=4,(2*(D2006+G2006))-(F$5*8)+2*(G2006-2*F$5)))))/1000</f>
        <v>1.08</v>
      </c>
      <c r="K2026" s="400" t="s">
        <v>204</v>
      </c>
      <c r="L2026" s="399">
        <f t="shared" si="6482"/>
        <v>0.15</v>
      </c>
      <c r="M2026" s="399" t="s">
        <v>176</v>
      </c>
      <c r="N2026" s="399">
        <f t="shared" si="6483"/>
        <v>1.23</v>
      </c>
      <c r="O2026" s="399"/>
      <c r="P2026" s="389"/>
      <c r="Q2026" s="399"/>
      <c r="R2026" s="399"/>
      <c r="S2026" s="399"/>
      <c r="T2026" s="399" t="s">
        <v>125</v>
      </c>
      <c r="U2026" s="401">
        <f t="shared" si="6484"/>
        <v>0.39456000000000002</v>
      </c>
      <c r="V2026" s="399" t="s">
        <v>125</v>
      </c>
      <c r="W2026" s="399">
        <f t="shared" ref="W2026" si="6490">IF(D2008-MAX(D2008/4,2*G2006)*2&gt;0,ROUND((D2008-MAX(D2008/4,2*G2006)*2)/H2026,0),0)</f>
        <v>0</v>
      </c>
      <c r="X2026" s="399" t="s">
        <v>125</v>
      </c>
      <c r="Y2026" s="389">
        <f t="shared" ref="Y2026" si="6491">D2011</f>
        <v>1</v>
      </c>
      <c r="Z2026" s="400" t="s">
        <v>176</v>
      </c>
      <c r="AA2026" s="402">
        <f t="shared" si="6487"/>
        <v>0</v>
      </c>
      <c r="AB2026" s="403"/>
    </row>
    <row r="2027" spans="1:28">
      <c r="A2027" s="384" t="str">
        <f t="shared" ref="A2027:B2027" si="6492">A2005</f>
        <v>Lantai 1</v>
      </c>
      <c r="B2027" s="385">
        <f t="shared" si="6492"/>
        <v>65</v>
      </c>
      <c r="C2027" s="393" t="s">
        <v>211</v>
      </c>
      <c r="D2027" s="398">
        <f>VLOOKUP(D2005,'Detail Balok'!$C$10:$AU$140,41,FALSE)</f>
        <v>0</v>
      </c>
      <c r="E2027" s="388" t="s">
        <v>16</v>
      </c>
      <c r="F2027" s="388">
        <f>VLOOKUP(D2005,'Detail Balok'!$C$10:$AU$140,43,FALSE)</f>
        <v>8</v>
      </c>
      <c r="G2027" s="405" t="s">
        <v>157</v>
      </c>
      <c r="H2027" s="395">
        <f>VLOOKUP(D2005,'Detail Balok'!$C$10:$AU$140,45,FALSE)</f>
        <v>150</v>
      </c>
      <c r="I2027" s="388"/>
      <c r="J2027" s="400">
        <f t="shared" ref="J2027" si="6493">(IF(D2027=0,(2*(D2006+G2006))-(F$5*8),IF(D2027=3,(2*(D2006+G2006))-(F$5*8)+(G2006-2*F$5),IF(D2027=4,(2*(D2006+G2006))-(F$5*8)+2*(G2006-2*F$5)))))/1000</f>
        <v>1.08</v>
      </c>
      <c r="K2027" s="400" t="s">
        <v>204</v>
      </c>
      <c r="L2027" s="399">
        <f t="shared" si="6482"/>
        <v>0.15</v>
      </c>
      <c r="M2027" s="399" t="s">
        <v>176</v>
      </c>
      <c r="N2027" s="399">
        <f t="shared" si="6483"/>
        <v>1.23</v>
      </c>
      <c r="O2027" s="399"/>
      <c r="P2027" s="389"/>
      <c r="Q2027" s="399"/>
      <c r="R2027" s="399"/>
      <c r="S2027" s="399"/>
      <c r="T2027" s="399" t="s">
        <v>125</v>
      </c>
      <c r="U2027" s="401">
        <f t="shared" si="6484"/>
        <v>0.39456000000000002</v>
      </c>
      <c r="V2027" s="399" t="s">
        <v>125</v>
      </c>
      <c r="W2027" s="399">
        <f t="shared" ref="W2027" si="6494">IF(D2008&gt;4*G2006,ROUND(MAX(D2008/4,2*G2006)/H2027,0)+1,0)</f>
        <v>0</v>
      </c>
      <c r="X2027" s="399" t="s">
        <v>125</v>
      </c>
      <c r="Y2027" s="389">
        <f t="shared" ref="Y2027" si="6495">D2011</f>
        <v>1</v>
      </c>
      <c r="Z2027" s="400" t="s">
        <v>176</v>
      </c>
      <c r="AA2027" s="402">
        <f t="shared" si="6487"/>
        <v>0</v>
      </c>
      <c r="AB2027" s="403"/>
    </row>
    <row r="2028" spans="1:28">
      <c r="A2028" s="384"/>
      <c r="B2028" s="385"/>
      <c r="C2028" s="393"/>
      <c r="D2028" s="394"/>
      <c r="E2028" s="388"/>
      <c r="F2028" s="388"/>
      <c r="G2028" s="388"/>
      <c r="H2028" s="395"/>
      <c r="I2028" s="388"/>
      <c r="J2028" s="399"/>
      <c r="K2028" s="396"/>
      <c r="L2028" s="396"/>
      <c r="M2028" s="396"/>
      <c r="N2028" s="396"/>
      <c r="O2028" s="396"/>
      <c r="P2028" s="389"/>
      <c r="Q2028" s="396"/>
      <c r="R2028" s="396"/>
      <c r="S2028" s="396"/>
      <c r="T2028" s="396"/>
      <c r="U2028" s="401"/>
      <c r="V2028" s="396"/>
      <c r="W2028" s="388"/>
      <c r="X2028" s="396"/>
      <c r="Y2028" s="389"/>
      <c r="Z2028" s="396"/>
      <c r="AA2028" s="388"/>
      <c r="AB2028" s="390"/>
    </row>
    <row r="2029" spans="1:28">
      <c r="A2029" s="384" t="str">
        <f t="shared" ref="A2029:B2029" si="6496">A2005</f>
        <v>Lantai 1</v>
      </c>
      <c r="B2029" s="385">
        <f t="shared" si="6496"/>
        <v>65</v>
      </c>
      <c r="C2029" s="393" t="s">
        <v>213</v>
      </c>
      <c r="D2029" s="398">
        <f>VLOOKUP(D2005,'Detail Balok'!$C$10:$BJ$140,46,FALSE)</f>
        <v>0</v>
      </c>
      <c r="E2029" s="388" t="s">
        <v>16</v>
      </c>
      <c r="F2029" s="388">
        <f>VLOOKUP(D2005,'Detail Balok'!$C$10:$BJ$140,48,FALSE)</f>
        <v>0</v>
      </c>
      <c r="G2029" s="405" t="s">
        <v>157</v>
      </c>
      <c r="H2029" s="395">
        <f>VLOOKUP(D2005,'Detail Balok'!$C$10:$BJ$140,50,FALSE)</f>
        <v>100</v>
      </c>
      <c r="I2029" s="388"/>
      <c r="J2029" s="399">
        <f t="shared" ref="J2029" si="6497">(D2006-2*F$5)/1000</f>
        <v>0.12</v>
      </c>
      <c r="K2029" s="400" t="s">
        <v>204</v>
      </c>
      <c r="L2029" s="399">
        <f t="shared" ref="L2029:L2031" si="6498">IF(D2029=0,2*MAX(6*F2029,75),(D2029-1)*2*MAX(6*F2029,75))/1000</f>
        <v>0.15</v>
      </c>
      <c r="M2029" s="399" t="s">
        <v>176</v>
      </c>
      <c r="N2029" s="399">
        <f t="shared" ref="N2029:N2031" si="6499">J2029+L2029</f>
        <v>0.27</v>
      </c>
      <c r="O2029" s="399"/>
      <c r="P2029" s="399"/>
      <c r="Q2029" s="399"/>
      <c r="R2029" s="399"/>
      <c r="S2029" s="399"/>
      <c r="T2029" s="399" t="s">
        <v>125</v>
      </c>
      <c r="U2029" s="401">
        <f t="shared" ref="U2029:U2031" si="6500">0.006165*F2029^2</f>
        <v>0</v>
      </c>
      <c r="V2029" s="399" t="s">
        <v>125</v>
      </c>
      <c r="W2029" s="399">
        <f t="shared" si="6405"/>
        <v>14</v>
      </c>
      <c r="X2029" s="399" t="s">
        <v>125</v>
      </c>
      <c r="Y2029" s="389">
        <f t="shared" ref="Y2029" si="6501">D2015</f>
        <v>3</v>
      </c>
      <c r="Z2029" s="400" t="s">
        <v>176</v>
      </c>
      <c r="AA2029" s="402">
        <f t="shared" ref="AA2029:AA2031" si="6502">N2029*U2029*W2029*Y2029</f>
        <v>0</v>
      </c>
      <c r="AB2029" s="403"/>
    </row>
    <row r="2030" spans="1:28">
      <c r="A2030" s="384" t="str">
        <f t="shared" ref="A2030:B2030" si="6503">A2005</f>
        <v>Lantai 1</v>
      </c>
      <c r="B2030" s="385">
        <f t="shared" si="6503"/>
        <v>65</v>
      </c>
      <c r="C2030" s="393" t="s">
        <v>214</v>
      </c>
      <c r="D2030" s="398">
        <f>VLOOKUP(D2005,'Detail Balok'!$C$10:$BJ$140,51,FALSE)</f>
        <v>0</v>
      </c>
      <c r="E2030" s="388" t="s">
        <v>16</v>
      </c>
      <c r="F2030" s="388">
        <f>VLOOKUP(D2005,'Detail Balok'!$C$10:$BJ$140,53,FALSE)</f>
        <v>0</v>
      </c>
      <c r="G2030" s="405" t="s">
        <v>157</v>
      </c>
      <c r="H2030" s="395">
        <f>VLOOKUP(D2005,'Detail Balok'!$C$10:$BJ$140,55,FALSE)</f>
        <v>100</v>
      </c>
      <c r="I2030" s="388"/>
      <c r="J2030" s="399">
        <f t="shared" ref="J2030" si="6504">(D2006-2*F$5)/1000</f>
        <v>0.12</v>
      </c>
      <c r="K2030" s="400" t="s">
        <v>204</v>
      </c>
      <c r="L2030" s="399">
        <f t="shared" si="6498"/>
        <v>0.15</v>
      </c>
      <c r="M2030" s="399" t="s">
        <v>176</v>
      </c>
      <c r="N2030" s="399">
        <f t="shared" si="6499"/>
        <v>0.27</v>
      </c>
      <c r="O2030" s="399"/>
      <c r="P2030" s="399"/>
      <c r="Q2030" s="399"/>
      <c r="R2030" s="399"/>
      <c r="S2030" s="399"/>
      <c r="T2030" s="399" t="s">
        <v>125</v>
      </c>
      <c r="U2030" s="401">
        <f t="shared" si="6500"/>
        <v>0</v>
      </c>
      <c r="V2030" s="399" t="s">
        <v>125</v>
      </c>
      <c r="W2030" s="399">
        <f t="shared" si="6405"/>
        <v>0</v>
      </c>
      <c r="X2030" s="399" t="s">
        <v>125</v>
      </c>
      <c r="Y2030" s="389">
        <f t="shared" ref="Y2030" si="6505">D2015</f>
        <v>3</v>
      </c>
      <c r="Z2030" s="400" t="s">
        <v>176</v>
      </c>
      <c r="AA2030" s="402">
        <f t="shared" si="6502"/>
        <v>0</v>
      </c>
      <c r="AB2030" s="403"/>
    </row>
    <row r="2031" spans="1:28">
      <c r="A2031" s="384" t="str">
        <f t="shared" ref="A2031:B2031" si="6506">A2005</f>
        <v>Lantai 1</v>
      </c>
      <c r="B2031" s="385">
        <f t="shared" si="6506"/>
        <v>65</v>
      </c>
      <c r="C2031" s="393" t="s">
        <v>213</v>
      </c>
      <c r="D2031" s="398">
        <f>VLOOKUP(D2005,'Detail Balok'!$C$10:$BJ$140,56,FALSE)</f>
        <v>0</v>
      </c>
      <c r="E2031" s="388" t="s">
        <v>16</v>
      </c>
      <c r="F2031" s="388">
        <f>VLOOKUP(D2005,'Detail Balok'!$C$10:$BJ$140,58,FALSE)</f>
        <v>0</v>
      </c>
      <c r="G2031" s="405" t="s">
        <v>157</v>
      </c>
      <c r="H2031" s="395">
        <f>VLOOKUP(D2005,'Detail Balok'!$C$10:$BJ$140,60,FALSE)</f>
        <v>100</v>
      </c>
      <c r="I2031" s="388"/>
      <c r="J2031" s="399">
        <f t="shared" ref="J2031" si="6507">(D2006-2*F$5)/1000</f>
        <v>0.12</v>
      </c>
      <c r="K2031" s="400" t="s">
        <v>204</v>
      </c>
      <c r="L2031" s="399">
        <f t="shared" si="6498"/>
        <v>0.15</v>
      </c>
      <c r="M2031" s="399" t="s">
        <v>176</v>
      </c>
      <c r="N2031" s="399">
        <f t="shared" si="6499"/>
        <v>0.27</v>
      </c>
      <c r="O2031" s="399"/>
      <c r="P2031" s="399"/>
      <c r="Q2031" s="399"/>
      <c r="R2031" s="399"/>
      <c r="S2031" s="399"/>
      <c r="T2031" s="399" t="s">
        <v>125</v>
      </c>
      <c r="U2031" s="401">
        <f t="shared" si="6500"/>
        <v>0</v>
      </c>
      <c r="V2031" s="399" t="s">
        <v>125</v>
      </c>
      <c r="W2031" s="399">
        <f t="shared" si="6405"/>
        <v>0</v>
      </c>
      <c r="X2031" s="399" t="s">
        <v>125</v>
      </c>
      <c r="Y2031" s="389">
        <f t="shared" ref="Y2031" si="6508">D2015</f>
        <v>3</v>
      </c>
      <c r="Z2031" s="400" t="s">
        <v>176</v>
      </c>
      <c r="AA2031" s="402">
        <f t="shared" si="6502"/>
        <v>0</v>
      </c>
      <c r="AB2031" s="403"/>
    </row>
    <row r="2032" spans="1:28">
      <c r="A2032" s="391"/>
      <c r="B2032" s="392"/>
      <c r="C2032" s="392"/>
      <c r="D2032" s="394"/>
      <c r="E2032" s="388"/>
      <c r="F2032" s="388"/>
      <c r="G2032" s="388"/>
      <c r="H2032" s="395"/>
      <c r="I2032" s="388"/>
      <c r="J2032" s="402"/>
      <c r="K2032" s="388"/>
      <c r="L2032" s="388"/>
      <c r="M2032" s="388"/>
      <c r="N2032" s="388"/>
      <c r="O2032" s="388"/>
      <c r="P2032" s="388"/>
      <c r="Q2032" s="388"/>
      <c r="R2032" s="388"/>
      <c r="S2032" s="388"/>
      <c r="T2032" s="388"/>
      <c r="U2032" s="388"/>
      <c r="V2032" s="388"/>
      <c r="W2032" s="388"/>
      <c r="X2032" s="388"/>
      <c r="Y2032" s="389"/>
      <c r="Z2032" s="388"/>
      <c r="AA2032" s="402"/>
      <c r="AB2032" s="403"/>
    </row>
    <row r="2033" spans="1:28" ht="15.75" thickBot="1">
      <c r="A2033" s="406"/>
      <c r="B2033" s="407"/>
      <c r="C2033" s="407"/>
      <c r="D2033" s="408"/>
      <c r="E2033" s="409"/>
      <c r="F2033" s="409"/>
      <c r="G2033" s="409"/>
      <c r="H2033" s="410"/>
      <c r="I2033" s="409"/>
      <c r="J2033" s="409"/>
      <c r="K2033" s="409"/>
      <c r="L2033" s="409"/>
      <c r="M2033" s="409"/>
      <c r="N2033" s="409"/>
      <c r="O2033" s="409"/>
      <c r="P2033" s="409"/>
      <c r="Q2033" s="409"/>
      <c r="R2033" s="409"/>
      <c r="S2033" s="409"/>
      <c r="T2033" s="409"/>
      <c r="U2033" s="409"/>
      <c r="V2033" s="409"/>
      <c r="W2033" s="409"/>
      <c r="X2033" s="409"/>
      <c r="Y2033" s="411"/>
      <c r="Z2033" s="409"/>
      <c r="AA2033" s="412"/>
      <c r="AB2033" s="413"/>
    </row>
    <row r="2034" spans="1:28">
      <c r="A2034" s="377"/>
      <c r="B2034" s="378"/>
      <c r="C2034" s="378"/>
      <c r="D2034" s="379"/>
      <c r="E2034" s="380"/>
      <c r="F2034" s="380"/>
      <c r="G2034" s="380"/>
      <c r="H2034" s="381"/>
      <c r="I2034" s="380"/>
      <c r="J2034" s="380"/>
      <c r="K2034" s="380"/>
      <c r="L2034" s="380"/>
      <c r="M2034" s="380"/>
      <c r="N2034" s="380"/>
      <c r="O2034" s="380"/>
      <c r="P2034" s="380"/>
      <c r="Q2034" s="380"/>
      <c r="R2034" s="380"/>
      <c r="S2034" s="380"/>
      <c r="T2034" s="380"/>
      <c r="U2034" s="380"/>
      <c r="V2034" s="380"/>
      <c r="W2034" s="380"/>
      <c r="X2034" s="380"/>
      <c r="Y2034" s="382"/>
      <c r="Z2034" s="380"/>
      <c r="AA2034" s="380"/>
      <c r="AB2034" s="383"/>
    </row>
    <row r="2035" spans="1:28">
      <c r="A2035" s="384" t="str">
        <f t="shared" si="6414"/>
        <v>Lantai 1</v>
      </c>
      <c r="B2035" s="385">
        <f t="shared" si="6415"/>
        <v>66</v>
      </c>
      <c r="C2035" s="386" t="str">
        <f t="shared" ref="C2035" si="6509">CONCATENATE(A2035," no. ",B2035)</f>
        <v>Lantai 1 no. 66</v>
      </c>
      <c r="D2035" s="2562" t="str">
        <f>VLOOKUP(C2035,'Data Panjang Balok'!$C$9:$N$254,2,FALSE)</f>
        <v>S24-1</v>
      </c>
      <c r="E2035" s="2576"/>
      <c r="F2035" s="2576"/>
      <c r="G2035" s="2576"/>
      <c r="H2035" s="2577"/>
      <c r="I2035" s="387"/>
      <c r="J2035" s="388"/>
      <c r="K2035" s="388"/>
      <c r="L2035" s="388"/>
      <c r="M2035" s="388"/>
      <c r="N2035" s="388"/>
      <c r="O2035" s="388"/>
      <c r="P2035" s="388"/>
      <c r="Q2035" s="388"/>
      <c r="R2035" s="388"/>
      <c r="S2035" s="388"/>
      <c r="T2035" s="388"/>
      <c r="U2035" s="388"/>
      <c r="V2035" s="388"/>
      <c r="W2035" s="388"/>
      <c r="X2035" s="388"/>
      <c r="Y2035" s="389"/>
      <c r="Z2035" s="388"/>
      <c r="AA2035" s="388"/>
      <c r="AB2035" s="390"/>
    </row>
    <row r="2036" spans="1:28">
      <c r="A2036" s="391"/>
      <c r="B2036" s="392"/>
      <c r="C2036" s="393" t="s">
        <v>118</v>
      </c>
      <c r="D2036" s="2578">
        <f>VLOOKUP(D2035,'Detail Balok'!$C$10:$AU$140,2,FALSE)</f>
        <v>200</v>
      </c>
      <c r="E2036" s="2579"/>
      <c r="F2036" s="388" t="s">
        <v>125</v>
      </c>
      <c r="G2036" s="2579">
        <f>VLOOKUP(D2035,'Detail Balok'!$C$10:$AU$140,3,FALSE)</f>
        <v>400</v>
      </c>
      <c r="H2036" s="2580"/>
      <c r="I2036" s="388"/>
      <c r="J2036" s="396"/>
      <c r="K2036" s="396"/>
      <c r="L2036" s="396"/>
      <c r="M2036" s="396"/>
      <c r="N2036" s="396"/>
      <c r="O2036" s="396"/>
      <c r="P2036" s="396"/>
      <c r="Q2036" s="396"/>
      <c r="R2036" s="396"/>
      <c r="S2036" s="396"/>
      <c r="T2036" s="396"/>
      <c r="U2036" s="388"/>
      <c r="V2036" s="396"/>
      <c r="W2036" s="388"/>
      <c r="X2036" s="396"/>
      <c r="Y2036" s="389"/>
      <c r="Z2036" s="396"/>
      <c r="AA2036" s="388"/>
      <c r="AB2036" s="390"/>
    </row>
    <row r="2037" spans="1:28">
      <c r="A2037" s="391"/>
      <c r="B2037" s="392"/>
      <c r="C2037" s="393" t="s">
        <v>198</v>
      </c>
      <c r="D2037" s="2562">
        <f>VLOOKUP(C2035,'Data Panjang Balok'!$C$9:$N$254,4,FALSE)</f>
        <v>2100</v>
      </c>
      <c r="E2037" s="2563"/>
      <c r="F2037" s="2563"/>
      <c r="G2037" s="2563"/>
      <c r="H2037" s="2564"/>
      <c r="I2037" s="397"/>
      <c r="J2037" s="396"/>
      <c r="K2037" s="396"/>
      <c r="L2037" s="396"/>
      <c r="M2037" s="396"/>
      <c r="N2037" s="396"/>
      <c r="O2037" s="396"/>
      <c r="P2037" s="396"/>
      <c r="Q2037" s="396"/>
      <c r="R2037" s="396"/>
      <c r="S2037" s="396"/>
      <c r="T2037" s="396"/>
      <c r="U2037" s="388"/>
      <c r="V2037" s="396"/>
      <c r="W2037" s="388"/>
      <c r="X2037" s="396"/>
      <c r="Y2037" s="389"/>
      <c r="Z2037" s="396"/>
      <c r="AA2037" s="388"/>
      <c r="AB2037" s="390"/>
    </row>
    <row r="2038" spans="1:28">
      <c r="A2038" s="391"/>
      <c r="B2038" s="392"/>
      <c r="C2038" s="393" t="s">
        <v>199</v>
      </c>
      <c r="D2038" s="2562">
        <f>VLOOKUP(C2035,'Data Panjang Balok'!$C$9:$N$254,7,FALSE)</f>
        <v>2100</v>
      </c>
      <c r="E2038" s="2563"/>
      <c r="F2038" s="2563"/>
      <c r="G2038" s="2563"/>
      <c r="H2038" s="2564"/>
      <c r="I2038" s="397"/>
      <c r="J2038" s="396"/>
      <c r="K2038" s="396"/>
      <c r="L2038" s="396"/>
      <c r="M2038" s="396"/>
      <c r="N2038" s="396"/>
      <c r="O2038" s="396"/>
      <c r="P2038" s="396"/>
      <c r="Q2038" s="396"/>
      <c r="R2038" s="396"/>
      <c r="S2038" s="396"/>
      <c r="T2038" s="396"/>
      <c r="U2038" s="388"/>
      <c r="V2038" s="396"/>
      <c r="W2038" s="388"/>
      <c r="X2038" s="396"/>
      <c r="Y2038" s="389"/>
      <c r="Z2038" s="396"/>
      <c r="AA2038" s="388"/>
      <c r="AB2038" s="390"/>
    </row>
    <row r="2039" spans="1:28">
      <c r="A2039" s="391"/>
      <c r="B2039" s="392"/>
      <c r="C2039" s="393" t="s">
        <v>200</v>
      </c>
      <c r="D2039" s="2562">
        <f>VLOOKUP(C2035,'Data Panjang Balok'!$C$9:$N$254,9,FALSE)</f>
        <v>0</v>
      </c>
      <c r="E2039" s="2563"/>
      <c r="F2039" s="2563"/>
      <c r="G2039" s="2563"/>
      <c r="H2039" s="2564"/>
      <c r="I2039" s="397"/>
      <c r="J2039" s="396"/>
      <c r="K2039" s="396"/>
      <c r="L2039" s="396"/>
      <c r="M2039" s="396"/>
      <c r="N2039" s="396"/>
      <c r="O2039" s="396"/>
      <c r="P2039" s="396"/>
      <c r="Q2039" s="396"/>
      <c r="R2039" s="396"/>
      <c r="S2039" s="396"/>
      <c r="T2039" s="396"/>
      <c r="U2039" s="388"/>
      <c r="V2039" s="396"/>
      <c r="W2039" s="388"/>
      <c r="X2039" s="396"/>
      <c r="Y2039" s="389"/>
      <c r="Z2039" s="396"/>
      <c r="AA2039" s="388"/>
      <c r="AB2039" s="390"/>
    </row>
    <row r="2040" spans="1:28">
      <c r="A2040" s="391"/>
      <c r="B2040" s="392"/>
      <c r="C2040" s="393" t="s">
        <v>201</v>
      </c>
      <c r="D2040" s="2562">
        <f>VLOOKUP(C2035,'Data Panjang Balok'!$C$9:$N$254,10,FALSE)</f>
        <v>0</v>
      </c>
      <c r="E2040" s="2563"/>
      <c r="F2040" s="2563"/>
      <c r="G2040" s="2563"/>
      <c r="H2040" s="2564"/>
      <c r="I2040" s="397"/>
      <c r="J2040" s="396"/>
      <c r="K2040" s="396"/>
      <c r="L2040" s="396"/>
      <c r="M2040" s="396"/>
      <c r="N2040" s="396"/>
      <c r="O2040" s="396"/>
      <c r="P2040" s="396"/>
      <c r="Q2040" s="396"/>
      <c r="R2040" s="396"/>
      <c r="S2040" s="396"/>
      <c r="T2040" s="396"/>
      <c r="U2040" s="388"/>
      <c r="V2040" s="396"/>
      <c r="W2040" s="388"/>
      <c r="X2040" s="396"/>
      <c r="Y2040" s="389"/>
      <c r="Z2040" s="396"/>
      <c r="AA2040" s="388"/>
      <c r="AB2040" s="390"/>
    </row>
    <row r="2041" spans="1:28">
      <c r="A2041" s="391"/>
      <c r="B2041" s="392"/>
      <c r="C2041" s="393" t="s">
        <v>48</v>
      </c>
      <c r="D2041" s="2562">
        <f>VLOOKUP(C2035,'Data Panjang Balok'!$C$9:$N$254,3,FALSE)</f>
        <v>1</v>
      </c>
      <c r="E2041" s="2563"/>
      <c r="F2041" s="2563"/>
      <c r="G2041" s="2563"/>
      <c r="H2041" s="2564"/>
      <c r="I2041" s="397"/>
      <c r="J2041" s="396"/>
      <c r="K2041" s="396"/>
      <c r="L2041" s="396"/>
      <c r="M2041" s="396"/>
      <c r="N2041" s="396"/>
      <c r="O2041" s="396"/>
      <c r="P2041" s="396"/>
      <c r="Q2041" s="396"/>
      <c r="R2041" s="396"/>
      <c r="S2041" s="396"/>
      <c r="T2041" s="396"/>
      <c r="U2041" s="388"/>
      <c r="V2041" s="396"/>
      <c r="W2041" s="388"/>
      <c r="X2041" s="396"/>
      <c r="Y2041" s="389"/>
      <c r="Z2041" s="396"/>
      <c r="AA2041" s="388"/>
      <c r="AB2041" s="390"/>
    </row>
    <row r="2042" spans="1:28">
      <c r="A2042" s="384" t="str">
        <f t="shared" ref="A2042:B2042" si="6510">A2035</f>
        <v>Lantai 1</v>
      </c>
      <c r="B2042" s="385">
        <f t="shared" si="6510"/>
        <v>66</v>
      </c>
      <c r="C2042" s="393" t="s">
        <v>202</v>
      </c>
      <c r="D2042" s="398">
        <f>VLOOKUP(D2035,'Detail Balok'!$C$10:$AU$140,4,FALSE)</f>
        <v>3</v>
      </c>
      <c r="E2042" s="388" t="s">
        <v>16</v>
      </c>
      <c r="F2042" s="388">
        <f>VLOOKUP(D2035,'Detail Balok'!$C$10:$AU$140,6,FALSE)</f>
        <v>13</v>
      </c>
      <c r="G2042" s="388"/>
      <c r="H2042" s="395"/>
      <c r="I2042" s="388" t="s">
        <v>203</v>
      </c>
      <c r="J2042" s="399">
        <f t="shared" ref="J2042" si="6511">+D2037/4/1000</f>
        <v>0.52500000000000002</v>
      </c>
      <c r="K2042" s="400" t="s">
        <v>204</v>
      </c>
      <c r="L2042" s="399">
        <f t="shared" ref="L2042" si="6512">MAX(VLOOKUP(F2042,N$6:P$15,3,FALSE)/1000,2/3*D2039/1000)+F$16*F2042/1000</f>
        <v>0.156</v>
      </c>
      <c r="M2042" s="399" t="s">
        <v>176</v>
      </c>
      <c r="N2042" s="399">
        <f t="shared" ref="N2042:N2044" si="6513">J2042+L2042</f>
        <v>0.68100000000000005</v>
      </c>
      <c r="O2042" s="399" t="s">
        <v>204</v>
      </c>
      <c r="P2042" s="389">
        <f t="shared" ref="P2042" si="6514">D2042-D2043</f>
        <v>0</v>
      </c>
      <c r="Q2042" s="399" t="s">
        <v>125</v>
      </c>
      <c r="R2042" s="399">
        <f t="shared" ref="R2042" si="6515">IF(P2042&gt;0,$F$18*F2042/1000,0)</f>
        <v>0</v>
      </c>
      <c r="S2042" s="399" t="s">
        <v>205</v>
      </c>
      <c r="T2042" s="399" t="s">
        <v>125</v>
      </c>
      <c r="U2042" s="401">
        <f t="shared" ref="U2042:U2044" si="6516">0.006165*F2042^2</f>
        <v>1.041885</v>
      </c>
      <c r="V2042" s="399"/>
      <c r="W2042" s="399"/>
      <c r="X2042" s="399" t="s">
        <v>125</v>
      </c>
      <c r="Y2042" s="389">
        <f t="shared" ref="Y2042" si="6517">D2041</f>
        <v>1</v>
      </c>
      <c r="Z2042" s="400" t="s">
        <v>176</v>
      </c>
      <c r="AA2042" s="402">
        <f t="shared" ref="AA2042" si="6518">IF(AA2045=0,(D2042*N2042+P2042*R2042)*U2042*Y2042,0)</f>
        <v>0</v>
      </c>
      <c r="AB2042" s="403"/>
    </row>
    <row r="2043" spans="1:28">
      <c r="A2043" s="384" t="str">
        <f t="shared" ref="A2043:B2043" si="6519">A2035</f>
        <v>Lantai 1</v>
      </c>
      <c r="B2043" s="385">
        <f t="shared" si="6519"/>
        <v>66</v>
      </c>
      <c r="C2043" s="393" t="s">
        <v>206</v>
      </c>
      <c r="D2043" s="398">
        <f>VLOOKUP(D2035,'Detail Balok'!$C$10:$AU$140,7,FALSE)</f>
        <v>3</v>
      </c>
      <c r="E2043" s="388" t="s">
        <v>16</v>
      </c>
      <c r="F2043" s="388">
        <f>VLOOKUP(D2035,'Detail Balok'!$C$10:$AU$140,9,FALSE)</f>
        <v>13</v>
      </c>
      <c r="G2043" s="388"/>
      <c r="H2043" s="395"/>
      <c r="I2043" s="388" t="s">
        <v>203</v>
      </c>
      <c r="J2043" s="399">
        <f t="shared" ref="J2043" si="6520">+D2037/2/1000</f>
        <v>1.05</v>
      </c>
      <c r="K2043" s="400" t="s">
        <v>204</v>
      </c>
      <c r="L2043" s="399"/>
      <c r="M2043" s="399" t="s">
        <v>176</v>
      </c>
      <c r="N2043" s="399">
        <f t="shared" si="6513"/>
        <v>1.05</v>
      </c>
      <c r="O2043" s="399" t="s">
        <v>204</v>
      </c>
      <c r="P2043" s="389">
        <f t="shared" ref="P2043" si="6521">MAX(D2043-D2042,D2043-D2044)</f>
        <v>0</v>
      </c>
      <c r="Q2043" s="399" t="s">
        <v>125</v>
      </c>
      <c r="R2043" s="399">
        <f t="shared" ref="R2043" si="6522">IF(P2043&gt;0,2*(1-2*$F$19-1/2)*D2038/1000,0)</f>
        <v>0</v>
      </c>
      <c r="S2043" s="399" t="s">
        <v>205</v>
      </c>
      <c r="T2043" s="399" t="s">
        <v>125</v>
      </c>
      <c r="U2043" s="401">
        <f t="shared" si="6516"/>
        <v>1.041885</v>
      </c>
      <c r="V2043" s="399"/>
      <c r="W2043" s="399"/>
      <c r="X2043" s="399" t="s">
        <v>125</v>
      </c>
      <c r="Y2043" s="389">
        <f t="shared" ref="Y2043" si="6523">D2041</f>
        <v>1</v>
      </c>
      <c r="Z2043" s="400" t="s">
        <v>176</v>
      </c>
      <c r="AA2043" s="402">
        <f t="shared" ref="AA2043" si="6524">IF(AA2045=0,(D2043*N2043+P2043*R2043)*U2043*Y2043,0)</f>
        <v>0</v>
      </c>
      <c r="AB2043" s="403"/>
    </row>
    <row r="2044" spans="1:28">
      <c r="A2044" s="384" t="str">
        <f t="shared" ref="A2044:B2044" si="6525">A2035</f>
        <v>Lantai 1</v>
      </c>
      <c r="B2044" s="385">
        <f t="shared" si="6525"/>
        <v>66</v>
      </c>
      <c r="C2044" s="393" t="s">
        <v>202</v>
      </c>
      <c r="D2044" s="398">
        <f>VLOOKUP(D2035,'Detail Balok'!$C$10:$AU$140,10,FALSE)</f>
        <v>3</v>
      </c>
      <c r="E2044" s="388" t="s">
        <v>16</v>
      </c>
      <c r="F2044" s="388">
        <f>VLOOKUP(D2035,'Detail Balok'!$C$10:$AU$140,12,FALSE)</f>
        <v>13</v>
      </c>
      <c r="G2044" s="388"/>
      <c r="H2044" s="395"/>
      <c r="I2044" s="388" t="s">
        <v>203</v>
      </c>
      <c r="J2044" s="399">
        <f t="shared" ref="J2044" si="6526">+D2037/4/1000</f>
        <v>0.52500000000000002</v>
      </c>
      <c r="K2044" s="400" t="s">
        <v>204</v>
      </c>
      <c r="L2044" s="399">
        <f t="shared" ref="L2044" si="6527">MAX(VLOOKUP(F2044,N$6:P$15,3,FALSE)/1000,2/3*D2039/1000)+F$16*F2044/1000</f>
        <v>0.156</v>
      </c>
      <c r="M2044" s="399" t="s">
        <v>176</v>
      </c>
      <c r="N2044" s="399">
        <f t="shared" si="6513"/>
        <v>0.68100000000000005</v>
      </c>
      <c r="O2044" s="399" t="s">
        <v>204</v>
      </c>
      <c r="P2044" s="389">
        <f t="shared" ref="P2044" si="6528">D2044-D2043</f>
        <v>0</v>
      </c>
      <c r="Q2044" s="399" t="s">
        <v>125</v>
      </c>
      <c r="R2044" s="399">
        <f t="shared" ref="R2044" si="6529">IF(P2044&gt;0,$F$18*F2044/1000,0)</f>
        <v>0</v>
      </c>
      <c r="S2044" s="399" t="s">
        <v>205</v>
      </c>
      <c r="T2044" s="399" t="s">
        <v>125</v>
      </c>
      <c r="U2044" s="401">
        <f t="shared" si="6516"/>
        <v>1.041885</v>
      </c>
      <c r="V2044" s="399"/>
      <c r="W2044" s="399"/>
      <c r="X2044" s="399" t="s">
        <v>125</v>
      </c>
      <c r="Y2044" s="389">
        <f t="shared" ref="Y2044" si="6530">D2041</f>
        <v>1</v>
      </c>
      <c r="Z2044" s="400" t="s">
        <v>176</v>
      </c>
      <c r="AA2044" s="402">
        <f t="shared" ref="AA2044" si="6531">IF(AA2045=0,(D2044*N2044+P2044*R2044)*U2044*Y2044,0)</f>
        <v>0</v>
      </c>
      <c r="AB2044" s="403"/>
    </row>
    <row r="2045" spans="1:28">
      <c r="A2045" s="384" t="str">
        <f t="shared" ref="A2045:B2045" si="6532">A2035</f>
        <v>Lantai 1</v>
      </c>
      <c r="B2045" s="385">
        <f t="shared" si="6532"/>
        <v>66</v>
      </c>
      <c r="C2045" s="393"/>
      <c r="D2045" s="398">
        <f t="shared" si="6335"/>
        <v>3</v>
      </c>
      <c r="E2045" s="388" t="s">
        <v>16</v>
      </c>
      <c r="F2045" s="388">
        <f t="shared" si="6336"/>
        <v>13</v>
      </c>
      <c r="G2045" s="388"/>
      <c r="H2045" s="395"/>
      <c r="I2045" s="388"/>
      <c r="J2045" s="396"/>
      <c r="K2045" s="396"/>
      <c r="L2045" s="404" t="s">
        <v>207</v>
      </c>
      <c r="M2045" s="399" t="s">
        <v>176</v>
      </c>
      <c r="N2045" s="399">
        <f t="shared" ref="N2045" si="6533">IF(AND(D2042=D2043,D2042=D2044,D2043=D2044,F2042=F2043,F2042=F2044,F2043=F2044),SUM(N2042:N2044),0)</f>
        <v>2.4119999999999999</v>
      </c>
      <c r="O2045" s="399" t="s">
        <v>204</v>
      </c>
      <c r="P2045" s="389">
        <f t="shared" ref="P2045" si="6534">IF(N2045&gt;12,ROUNDDOWN(N2045/12,0),0)</f>
        <v>0</v>
      </c>
      <c r="Q2045" s="399" t="s">
        <v>125</v>
      </c>
      <c r="R2045" s="399">
        <f t="shared" ref="R2045" si="6535">IF(P2045&gt;0,MAX(VLOOKUP(F2045,$D$6:$G$15,3,FALSE),600),0)/1000</f>
        <v>0</v>
      </c>
      <c r="S2045" s="396"/>
      <c r="T2045" s="396" t="s">
        <v>125</v>
      </c>
      <c r="U2045" s="401">
        <f t="shared" si="6340"/>
        <v>1.041885</v>
      </c>
      <c r="V2045" s="396" t="s">
        <v>125</v>
      </c>
      <c r="W2045" s="399">
        <f t="shared" ref="W2045" si="6536">D2045</f>
        <v>3</v>
      </c>
      <c r="X2045" s="399" t="s">
        <v>125</v>
      </c>
      <c r="Y2045" s="389">
        <f t="shared" si="6342"/>
        <v>1</v>
      </c>
      <c r="Z2045" s="400" t="s">
        <v>176</v>
      </c>
      <c r="AA2045" s="402">
        <f t="shared" ref="AA2045" si="6537">(N2045+P2045*R2045/1000)*U2045*W2045*Y2045</f>
        <v>7.5390798599999993</v>
      </c>
      <c r="AB2045" s="390"/>
    </row>
    <row r="2046" spans="1:28">
      <c r="A2046" s="384"/>
      <c r="B2046" s="385"/>
      <c r="C2046" s="393"/>
      <c r="D2046" s="398"/>
      <c r="E2046" s="388"/>
      <c r="F2046" s="388"/>
      <c r="G2046" s="388"/>
      <c r="H2046" s="395"/>
      <c r="I2046" s="388"/>
      <c r="J2046" s="396"/>
      <c r="K2046" s="396"/>
      <c r="L2046" s="404"/>
      <c r="M2046" s="399"/>
      <c r="N2046" s="399"/>
      <c r="O2046" s="396"/>
      <c r="P2046" s="389"/>
      <c r="Q2046" s="396"/>
      <c r="R2046" s="396"/>
      <c r="S2046" s="396"/>
      <c r="T2046" s="396"/>
      <c r="U2046" s="401"/>
      <c r="V2046" s="396"/>
      <c r="W2046" s="399"/>
      <c r="X2046" s="396"/>
      <c r="Y2046" s="389"/>
      <c r="Z2046" s="396"/>
      <c r="AA2046" s="388"/>
      <c r="AB2046" s="390"/>
    </row>
    <row r="2047" spans="1:28">
      <c r="A2047" s="384" t="str">
        <f t="shared" ref="A2047:B2047" si="6538">A2035</f>
        <v>Lantai 1</v>
      </c>
      <c r="B2047" s="385">
        <f t="shared" si="6538"/>
        <v>66</v>
      </c>
      <c r="C2047" s="393" t="s">
        <v>208</v>
      </c>
      <c r="D2047" s="398">
        <f>VLOOKUP(D2035,'Detail Balok'!$C$10:$AU$140,13,FALSE)</f>
        <v>0</v>
      </c>
      <c r="E2047" s="388" t="s">
        <v>16</v>
      </c>
      <c r="F2047" s="388">
        <f>VLOOKUP(D2035,'Detail Balok'!$C$10:$AU$140,15,FALSE)</f>
        <v>8</v>
      </c>
      <c r="G2047" s="388"/>
      <c r="H2047" s="395"/>
      <c r="I2047" s="388"/>
      <c r="J2047" s="399">
        <f t="shared" ref="J2047" si="6539">+D2037/1000</f>
        <v>2.1</v>
      </c>
      <c r="K2047" s="400" t="s">
        <v>204</v>
      </c>
      <c r="L2047" s="399">
        <f t="shared" ref="L2047" si="6540">2*$F$16*F2047/1000</f>
        <v>0.192</v>
      </c>
      <c r="M2047" s="399" t="s">
        <v>176</v>
      </c>
      <c r="N2047" s="399">
        <f t="shared" ref="N2047" si="6541">J2047+L2047</f>
        <v>2.2920000000000003</v>
      </c>
      <c r="O2047" s="399" t="s">
        <v>204</v>
      </c>
      <c r="P2047" s="389">
        <f t="shared" ref="P2047" si="6542">IF(N2047&gt;12,ROUNDDOWN(N2047/12,0),0)</f>
        <v>0</v>
      </c>
      <c r="Q2047" s="399" t="s">
        <v>125</v>
      </c>
      <c r="R2047" s="399">
        <f t="shared" ref="R2047" si="6543">IF(P2047&gt;0,MAX(VLOOKUP(F2047,$D$6:$G$15,3,FALSE),600),0)/1000</f>
        <v>0</v>
      </c>
      <c r="S2047" s="399"/>
      <c r="T2047" s="399" t="s">
        <v>125</v>
      </c>
      <c r="U2047" s="401">
        <f t="shared" ref="U2047" si="6544">0.006165*F2047^2</f>
        <v>0.39456000000000002</v>
      </c>
      <c r="V2047" s="399" t="s">
        <v>125</v>
      </c>
      <c r="W2047" s="399">
        <f t="shared" ref="W2047" si="6545">+D2047</f>
        <v>0</v>
      </c>
      <c r="X2047" s="399" t="s">
        <v>125</v>
      </c>
      <c r="Y2047" s="389">
        <f t="shared" ref="Y2047" si="6546">D2041</f>
        <v>1</v>
      </c>
      <c r="Z2047" s="400" t="s">
        <v>176</v>
      </c>
      <c r="AA2047" s="402">
        <f t="shared" ref="AA2047" si="6547">(N2047+P2047*R2047/1000)*U2047*W2047*Y2047</f>
        <v>0</v>
      </c>
      <c r="AB2047" s="403"/>
    </row>
    <row r="2048" spans="1:28">
      <c r="A2048" s="384"/>
      <c r="B2048" s="385"/>
      <c r="C2048" s="393"/>
      <c r="D2048" s="398"/>
      <c r="E2048" s="388"/>
      <c r="F2048" s="388"/>
      <c r="G2048" s="388"/>
      <c r="H2048" s="395"/>
      <c r="I2048" s="388"/>
      <c r="J2048" s="399"/>
      <c r="K2048" s="400"/>
      <c r="L2048" s="399"/>
      <c r="M2048" s="399"/>
      <c r="N2048" s="399"/>
      <c r="O2048" s="399"/>
      <c r="P2048" s="389"/>
      <c r="Q2048" s="399"/>
      <c r="R2048" s="399"/>
      <c r="S2048" s="399"/>
      <c r="T2048" s="399"/>
      <c r="U2048" s="401"/>
      <c r="V2048" s="399"/>
      <c r="W2048" s="399"/>
      <c r="X2048" s="399"/>
      <c r="Y2048" s="389"/>
      <c r="Z2048" s="400"/>
      <c r="AA2048" s="402"/>
      <c r="AB2048" s="403"/>
    </row>
    <row r="2049" spans="1:28">
      <c r="A2049" s="384"/>
      <c r="B2049" s="385"/>
      <c r="C2049" s="393"/>
      <c r="D2049" s="398"/>
      <c r="E2049" s="388"/>
      <c r="F2049" s="388"/>
      <c r="G2049" s="388"/>
      <c r="H2049" s="395"/>
      <c r="I2049" s="388"/>
      <c r="J2049" s="396"/>
      <c r="K2049" s="396"/>
      <c r="L2049" s="396"/>
      <c r="M2049" s="396"/>
      <c r="N2049" s="396"/>
      <c r="O2049" s="396"/>
      <c r="P2049" s="389"/>
      <c r="Q2049" s="396"/>
      <c r="R2049" s="396"/>
      <c r="S2049" s="396"/>
      <c r="T2049" s="396"/>
      <c r="U2049" s="401"/>
      <c r="V2049" s="396"/>
      <c r="W2049" s="399"/>
      <c r="X2049" s="396"/>
      <c r="Y2049" s="389"/>
      <c r="Z2049" s="396"/>
      <c r="AA2049" s="388"/>
      <c r="AB2049" s="390"/>
    </row>
    <row r="2050" spans="1:28">
      <c r="A2050" s="384" t="str">
        <f t="shared" ref="A2050:B2050" si="6548">A2035</f>
        <v>Lantai 1</v>
      </c>
      <c r="B2050" s="385">
        <f t="shared" si="6548"/>
        <v>66</v>
      </c>
      <c r="C2050" s="393" t="s">
        <v>209</v>
      </c>
      <c r="D2050" s="398">
        <f>VLOOKUP(D2035,'Detail Balok'!$C$10:$AU$140,22,FALSE)</f>
        <v>3</v>
      </c>
      <c r="E2050" s="388" t="s">
        <v>16</v>
      </c>
      <c r="F2050" s="388">
        <f>VLOOKUP(D2035,'Detail Balok'!$C$10:$AU$140,24,FALSE)</f>
        <v>13</v>
      </c>
      <c r="G2050" s="388"/>
      <c r="H2050" s="395"/>
      <c r="I2050" s="388" t="s">
        <v>203</v>
      </c>
      <c r="J2050" s="399">
        <f t="shared" si="6355"/>
        <v>0.52500000000000002</v>
      </c>
      <c r="K2050" s="400" t="s">
        <v>204</v>
      </c>
      <c r="L2050" s="399">
        <f t="shared" ref="L2050" si="6549">MAX(VLOOKUP(F2050,N$6:P$15,3,FALSE)/1000,2/3*D2040/1000)+F$16*F2050/1000</f>
        <v>0.156</v>
      </c>
      <c r="M2050" s="399" t="s">
        <v>176</v>
      </c>
      <c r="N2050" s="399">
        <f t="shared" ref="N2050:N2052" si="6550">J2050+L2050</f>
        <v>0.68100000000000005</v>
      </c>
      <c r="O2050" s="399" t="s">
        <v>204</v>
      </c>
      <c r="P2050" s="389">
        <f t="shared" ref="P2050" si="6551">D2050-D2051</f>
        <v>0</v>
      </c>
      <c r="Q2050" s="399" t="s">
        <v>125</v>
      </c>
      <c r="R2050" s="399">
        <f t="shared" ref="R2050" si="6552">IF(P2050&gt;0,$F$18*F2050/1000,0)</f>
        <v>0</v>
      </c>
      <c r="S2050" s="399" t="s">
        <v>205</v>
      </c>
      <c r="T2050" s="399" t="s">
        <v>125</v>
      </c>
      <c r="U2050" s="401">
        <f t="shared" ref="U2050:U2052" si="6553">0.006165*F2050^2</f>
        <v>1.041885</v>
      </c>
      <c r="V2050" s="399"/>
      <c r="W2050" s="399"/>
      <c r="X2050" s="399" t="s">
        <v>125</v>
      </c>
      <c r="Y2050" s="389">
        <f t="shared" ref="Y2050" si="6554">D2041</f>
        <v>1</v>
      </c>
      <c r="Z2050" s="400" t="s">
        <v>176</v>
      </c>
      <c r="AA2050" s="402">
        <f t="shared" ref="AA2050" si="6555">IF(AA2053=0,(D2050*N2050+P2050*R2050)*U2050*Y2050,0)</f>
        <v>0</v>
      </c>
      <c r="AB2050" s="403"/>
    </row>
    <row r="2051" spans="1:28">
      <c r="A2051" s="384" t="str">
        <f t="shared" ref="A2051:B2051" si="6556">A2035</f>
        <v>Lantai 1</v>
      </c>
      <c r="B2051" s="385">
        <f t="shared" si="6556"/>
        <v>66</v>
      </c>
      <c r="C2051" s="393" t="s">
        <v>210</v>
      </c>
      <c r="D2051" s="398">
        <f>VLOOKUP(D2035,'Detail Balok'!$C$10:$AU$140,25,FALSE)</f>
        <v>3</v>
      </c>
      <c r="E2051" s="388" t="s">
        <v>16</v>
      </c>
      <c r="F2051" s="388">
        <f>VLOOKUP(D2035,'Detail Balok'!$C$10:$AU$140,27,FALSE)</f>
        <v>13</v>
      </c>
      <c r="G2051" s="388"/>
      <c r="H2051" s="395"/>
      <c r="I2051" s="388" t="s">
        <v>203</v>
      </c>
      <c r="J2051" s="399">
        <f t="shared" si="6355"/>
        <v>1.05</v>
      </c>
      <c r="K2051" s="400" t="s">
        <v>204</v>
      </c>
      <c r="L2051" s="399"/>
      <c r="M2051" s="399" t="s">
        <v>176</v>
      </c>
      <c r="N2051" s="399">
        <f t="shared" si="6550"/>
        <v>1.05</v>
      </c>
      <c r="O2051" s="399" t="s">
        <v>204</v>
      </c>
      <c r="P2051" s="389">
        <f t="shared" ref="P2051" si="6557">MAX(D2051-D2050,D2051-D2052)</f>
        <v>0</v>
      </c>
      <c r="Q2051" s="399" t="s">
        <v>125</v>
      </c>
      <c r="R2051" s="399">
        <f t="shared" ref="R2051" si="6558">IF(P2051&gt;0,2*(1-2*$F$19-1/2)*D2038/1000,0)</f>
        <v>0</v>
      </c>
      <c r="S2051" s="399" t="s">
        <v>205</v>
      </c>
      <c r="T2051" s="399" t="s">
        <v>125</v>
      </c>
      <c r="U2051" s="401">
        <f t="shared" si="6553"/>
        <v>1.041885</v>
      </c>
      <c r="V2051" s="399"/>
      <c r="W2051" s="399"/>
      <c r="X2051" s="399" t="s">
        <v>125</v>
      </c>
      <c r="Y2051" s="389">
        <f t="shared" ref="Y2051" si="6559">D2041</f>
        <v>1</v>
      </c>
      <c r="Z2051" s="400" t="s">
        <v>176</v>
      </c>
      <c r="AA2051" s="402">
        <f t="shared" ref="AA2051" si="6560">IF(AA2053=0,(D2051*N2051+P2051*R2051)*U2051*Y2051,0)</f>
        <v>0</v>
      </c>
      <c r="AB2051" s="403"/>
    </row>
    <row r="2052" spans="1:28">
      <c r="A2052" s="384" t="str">
        <f t="shared" ref="A2052:B2052" si="6561">A2035</f>
        <v>Lantai 1</v>
      </c>
      <c r="B2052" s="385">
        <f t="shared" si="6561"/>
        <v>66</v>
      </c>
      <c r="C2052" s="393" t="s">
        <v>209</v>
      </c>
      <c r="D2052" s="398">
        <f>VLOOKUP(D2035,'Detail Balok'!$C$10:$AU$140,28,FALSE)</f>
        <v>3</v>
      </c>
      <c r="E2052" s="388" t="s">
        <v>16</v>
      </c>
      <c r="F2052" s="388">
        <f>VLOOKUP(D2035,'Detail Balok'!$C$10:$AU$140,30,FALSE)</f>
        <v>13</v>
      </c>
      <c r="G2052" s="388"/>
      <c r="H2052" s="395"/>
      <c r="I2052" s="388" t="s">
        <v>203</v>
      </c>
      <c r="J2052" s="399">
        <f t="shared" si="6355"/>
        <v>0.52500000000000002</v>
      </c>
      <c r="K2052" s="400" t="s">
        <v>204</v>
      </c>
      <c r="L2052" s="399">
        <f t="shared" ref="L2052" si="6562">MAX(VLOOKUP(F2052,N$6:P$15,3,FALSE)/1000,2/3*D2040/1000)+F$16*F2052/1000</f>
        <v>0.156</v>
      </c>
      <c r="M2052" s="399" t="s">
        <v>176</v>
      </c>
      <c r="N2052" s="399">
        <f t="shared" si="6550"/>
        <v>0.68100000000000005</v>
      </c>
      <c r="O2052" s="399" t="s">
        <v>204</v>
      </c>
      <c r="P2052" s="389">
        <f t="shared" ref="P2052" si="6563">D2052-D2051</f>
        <v>0</v>
      </c>
      <c r="Q2052" s="399" t="s">
        <v>125</v>
      </c>
      <c r="R2052" s="399">
        <f t="shared" ref="R2052" si="6564">IF(P2052&gt;0,$F$18*F2052/1000,0)</f>
        <v>0</v>
      </c>
      <c r="S2052" s="399" t="s">
        <v>205</v>
      </c>
      <c r="T2052" s="399" t="s">
        <v>125</v>
      </c>
      <c r="U2052" s="401">
        <f t="shared" si="6553"/>
        <v>1.041885</v>
      </c>
      <c r="V2052" s="399"/>
      <c r="W2052" s="399"/>
      <c r="X2052" s="399" t="s">
        <v>125</v>
      </c>
      <c r="Y2052" s="389">
        <f t="shared" ref="Y2052" si="6565">D2041</f>
        <v>1</v>
      </c>
      <c r="Z2052" s="400" t="s">
        <v>176</v>
      </c>
      <c r="AA2052" s="402">
        <f t="shared" ref="AA2052" si="6566">IF(AA2053=0,(D2052*N2052+P2052*R2052)*U2052*Y2052,0)</f>
        <v>0</v>
      </c>
      <c r="AB2052" s="403"/>
    </row>
    <row r="2053" spans="1:28">
      <c r="A2053" s="384" t="str">
        <f t="shared" ref="A2053:B2053" si="6567">A2035</f>
        <v>Lantai 1</v>
      </c>
      <c r="B2053" s="385">
        <f t="shared" si="6567"/>
        <v>66</v>
      </c>
      <c r="C2053" s="393"/>
      <c r="D2053" s="398">
        <f t="shared" si="6375"/>
        <v>3</v>
      </c>
      <c r="E2053" s="388" t="s">
        <v>16</v>
      </c>
      <c r="F2053" s="388">
        <f t="shared" si="6376"/>
        <v>13</v>
      </c>
      <c r="G2053" s="388"/>
      <c r="H2053" s="395"/>
      <c r="I2053" s="388"/>
      <c r="J2053" s="396"/>
      <c r="K2053" s="396"/>
      <c r="L2053" s="404" t="s">
        <v>207</v>
      </c>
      <c r="M2053" s="399" t="s">
        <v>176</v>
      </c>
      <c r="N2053" s="399">
        <f t="shared" ref="N2053" si="6568">IF(AND(D2050=D2051,D2050=D2052,D2051=D2052,F2050=F2051,F2050=F2052,F2051=F2052),SUM(N2050:N2052),0)</f>
        <v>2.4119999999999999</v>
      </c>
      <c r="O2053" s="399" t="s">
        <v>204</v>
      </c>
      <c r="P2053" s="389">
        <f t="shared" ref="P2053" si="6569">IF(N2053&gt;12,ROUNDDOWN(N2053/12,0),0)</f>
        <v>0</v>
      </c>
      <c r="Q2053" s="399" t="s">
        <v>125</v>
      </c>
      <c r="R2053" s="399">
        <f t="shared" ref="R2053" si="6570">IF(P2053&gt;0,MAX(VLOOKUP(F2053,$D$6:$G$15,3,FALSE),600),0)/1000</f>
        <v>0</v>
      </c>
      <c r="S2053" s="396"/>
      <c r="T2053" s="396" t="s">
        <v>125</v>
      </c>
      <c r="U2053" s="401">
        <f t="shared" si="6380"/>
        <v>1.041885</v>
      </c>
      <c r="V2053" s="396" t="s">
        <v>125</v>
      </c>
      <c r="W2053" s="399">
        <f t="shared" ref="W2053" si="6571">D2053</f>
        <v>3</v>
      </c>
      <c r="X2053" s="399" t="s">
        <v>125</v>
      </c>
      <c r="Y2053" s="389">
        <f t="shared" si="6382"/>
        <v>1</v>
      </c>
      <c r="Z2053" s="400" t="s">
        <v>176</v>
      </c>
      <c r="AA2053" s="402">
        <f t="shared" ref="AA2053" si="6572">(N2053+P2053*R2053/1000)*U2053*W2053*Y2053</f>
        <v>7.5390798599999993</v>
      </c>
      <c r="AB2053" s="403"/>
    </row>
    <row r="2054" spans="1:28">
      <c r="A2054" s="384"/>
      <c r="B2054" s="385"/>
      <c r="C2054" s="393"/>
      <c r="D2054" s="394"/>
      <c r="E2054" s="388"/>
      <c r="F2054" s="388"/>
      <c r="G2054" s="388"/>
      <c r="H2054" s="395"/>
      <c r="I2054" s="388"/>
      <c r="J2054" s="399"/>
      <c r="K2054" s="396"/>
      <c r="L2054" s="396"/>
      <c r="M2054" s="396"/>
      <c r="N2054" s="396"/>
      <c r="O2054" s="396"/>
      <c r="P2054" s="389"/>
      <c r="Q2054" s="396"/>
      <c r="R2054" s="396"/>
      <c r="S2054" s="396"/>
      <c r="T2054" s="396"/>
      <c r="U2054" s="401"/>
      <c r="V2054" s="396"/>
      <c r="W2054" s="388"/>
      <c r="X2054" s="396"/>
      <c r="Y2054" s="389"/>
      <c r="Z2054" s="396"/>
      <c r="AA2054" s="388"/>
      <c r="AB2054" s="390"/>
    </row>
    <row r="2055" spans="1:28">
      <c r="A2055" s="384" t="str">
        <f t="shared" ref="A2055:B2055" si="6573">A2035</f>
        <v>Lantai 1</v>
      </c>
      <c r="B2055" s="385">
        <f t="shared" si="6573"/>
        <v>66</v>
      </c>
      <c r="C2055" s="393" t="s">
        <v>211</v>
      </c>
      <c r="D2055" s="398">
        <f>VLOOKUP(D2035,'Detail Balok'!$C$10:$AU$140,31,FALSE)</f>
        <v>0</v>
      </c>
      <c r="E2055" s="388" t="s">
        <v>16</v>
      </c>
      <c r="F2055" s="388">
        <f>VLOOKUP(D2035,'Detail Balok'!$C$10:$AU$140,33,FALSE)</f>
        <v>8</v>
      </c>
      <c r="G2055" s="405" t="s">
        <v>157</v>
      </c>
      <c r="H2055" s="395">
        <f>VLOOKUP(D2035,'Detail Balok'!$C$10:$AU$140,35,FALSE)</f>
        <v>150</v>
      </c>
      <c r="I2055" s="388"/>
      <c r="J2055" s="400">
        <f t="shared" ref="J2055" si="6574">(IF(D2055=0,(2*(D2036+G2036))-(F$5*8),IF(D2055=3,(2*(D2036+G2036))-(F$5*8)+(G2036-2*F$5),IF(D2055=4,(2*(D2036+G2036))-(F$5*8)+2*(G2036-2*F$5)))))/1000</f>
        <v>0.88</v>
      </c>
      <c r="K2055" s="400" t="s">
        <v>204</v>
      </c>
      <c r="L2055" s="399">
        <f t="shared" ref="L2055:L2057" si="6575">IF(D2055=0,2*MAX(6*F2055,75),(D2055-1)*2*MAX(6*F2055,75))/1000</f>
        <v>0.15</v>
      </c>
      <c r="M2055" s="399" t="s">
        <v>176</v>
      </c>
      <c r="N2055" s="399">
        <f t="shared" ref="N2055:N2057" si="6576">J2055+L2055</f>
        <v>1.03</v>
      </c>
      <c r="O2055" s="399"/>
      <c r="P2055" s="389"/>
      <c r="Q2055" s="399"/>
      <c r="R2055" s="399"/>
      <c r="S2055" s="399"/>
      <c r="T2055" s="399" t="s">
        <v>125</v>
      </c>
      <c r="U2055" s="401">
        <f t="shared" ref="U2055:U2057" si="6577">0.006165*F2055^2</f>
        <v>0.39456000000000002</v>
      </c>
      <c r="V2055" s="399" t="s">
        <v>125</v>
      </c>
      <c r="W2055" s="399">
        <f t="shared" ref="W2055" si="6578">IF(D2038&gt;4*G2036,ROUND(MAX(D2038/4,2*G2036)/H2055,0)+1,ROUND(D2038/H2055,0)+1)</f>
        <v>6</v>
      </c>
      <c r="X2055" s="399" t="s">
        <v>125</v>
      </c>
      <c r="Y2055" s="389">
        <f t="shared" ref="Y2055" si="6579">D2041</f>
        <v>1</v>
      </c>
      <c r="Z2055" s="400" t="s">
        <v>176</v>
      </c>
      <c r="AA2055" s="402">
        <f t="shared" ref="AA2055:AA2057" si="6580">N2055*U2055*W2055*Y2055</f>
        <v>2.4383808000000005</v>
      </c>
      <c r="AB2055" s="403"/>
    </row>
    <row r="2056" spans="1:28">
      <c r="A2056" s="384" t="str">
        <f t="shared" ref="A2056:B2056" si="6581">A2035</f>
        <v>Lantai 1</v>
      </c>
      <c r="B2056" s="385">
        <f t="shared" si="6581"/>
        <v>66</v>
      </c>
      <c r="C2056" s="393" t="s">
        <v>212</v>
      </c>
      <c r="D2056" s="398">
        <f>VLOOKUP(D2035,'Detail Balok'!$C$10:$AU$140,36,FALSE)</f>
        <v>0</v>
      </c>
      <c r="E2056" s="388" t="s">
        <v>16</v>
      </c>
      <c r="F2056" s="388">
        <f>VLOOKUP(D2035,'Detail Balok'!$C$10:$AU$140,38,FALSE)</f>
        <v>8</v>
      </c>
      <c r="G2056" s="405" t="s">
        <v>157</v>
      </c>
      <c r="H2056" s="395">
        <f>VLOOKUP(D2035,'Detail Balok'!$C$10:$AU$140,40,FALSE)</f>
        <v>200</v>
      </c>
      <c r="I2056" s="388"/>
      <c r="J2056" s="400">
        <f t="shared" ref="J2056" si="6582">(IF(D2056=0,(2*(D2036+G2036))-(F$5*8),IF(D2056=3,(2*(D2036+G2036))-(F$5*8)+(G2036-2*F$5),IF(D2056=4,(2*(D2036+G2036))-(F$5*8)+2*(G2036-2*F$5)))))/1000</f>
        <v>0.88</v>
      </c>
      <c r="K2056" s="400" t="s">
        <v>204</v>
      </c>
      <c r="L2056" s="399">
        <f t="shared" si="6575"/>
        <v>0.15</v>
      </c>
      <c r="M2056" s="399" t="s">
        <v>176</v>
      </c>
      <c r="N2056" s="399">
        <f t="shared" si="6576"/>
        <v>1.03</v>
      </c>
      <c r="O2056" s="399"/>
      <c r="P2056" s="389"/>
      <c r="Q2056" s="399"/>
      <c r="R2056" s="399"/>
      <c r="S2056" s="399"/>
      <c r="T2056" s="399" t="s">
        <v>125</v>
      </c>
      <c r="U2056" s="401">
        <f t="shared" si="6577"/>
        <v>0.39456000000000002</v>
      </c>
      <c r="V2056" s="399" t="s">
        <v>125</v>
      </c>
      <c r="W2056" s="399">
        <f t="shared" ref="W2056" si="6583">IF(D2038-MAX(D2038/4,2*G2036)*2&gt;0,ROUND((D2038-MAX(D2038/4,2*G2036)*2)/H2056,0),0)</f>
        <v>3</v>
      </c>
      <c r="X2056" s="399" t="s">
        <v>125</v>
      </c>
      <c r="Y2056" s="389">
        <f t="shared" ref="Y2056" si="6584">D2041</f>
        <v>1</v>
      </c>
      <c r="Z2056" s="400" t="s">
        <v>176</v>
      </c>
      <c r="AA2056" s="402">
        <f t="shared" si="6580"/>
        <v>1.2191904000000002</v>
      </c>
      <c r="AB2056" s="403"/>
    </row>
    <row r="2057" spans="1:28">
      <c r="A2057" s="384" t="str">
        <f t="shared" ref="A2057:B2057" si="6585">A2035</f>
        <v>Lantai 1</v>
      </c>
      <c r="B2057" s="385">
        <f t="shared" si="6585"/>
        <v>66</v>
      </c>
      <c r="C2057" s="393" t="s">
        <v>211</v>
      </c>
      <c r="D2057" s="398">
        <f>VLOOKUP(D2035,'Detail Balok'!$C$10:$AU$140,41,FALSE)</f>
        <v>0</v>
      </c>
      <c r="E2057" s="388" t="s">
        <v>16</v>
      </c>
      <c r="F2057" s="388">
        <f>VLOOKUP(D2035,'Detail Balok'!$C$10:$AU$140,43,FALSE)</f>
        <v>8</v>
      </c>
      <c r="G2057" s="405" t="s">
        <v>157</v>
      </c>
      <c r="H2057" s="395">
        <f>VLOOKUP(D2035,'Detail Balok'!$C$10:$AU$140,45,FALSE)</f>
        <v>150</v>
      </c>
      <c r="I2057" s="388"/>
      <c r="J2057" s="400">
        <f t="shared" ref="J2057" si="6586">(IF(D2057=0,(2*(D2036+G2036))-(F$5*8),IF(D2057=3,(2*(D2036+G2036))-(F$5*8)+(G2036-2*F$5),IF(D2057=4,(2*(D2036+G2036))-(F$5*8)+2*(G2036-2*F$5)))))/1000</f>
        <v>0.88</v>
      </c>
      <c r="K2057" s="400" t="s">
        <v>204</v>
      </c>
      <c r="L2057" s="399">
        <f t="shared" si="6575"/>
        <v>0.15</v>
      </c>
      <c r="M2057" s="399" t="s">
        <v>176</v>
      </c>
      <c r="N2057" s="399">
        <f t="shared" si="6576"/>
        <v>1.03</v>
      </c>
      <c r="O2057" s="399"/>
      <c r="P2057" s="389"/>
      <c r="Q2057" s="399"/>
      <c r="R2057" s="399"/>
      <c r="S2057" s="399"/>
      <c r="T2057" s="399" t="s">
        <v>125</v>
      </c>
      <c r="U2057" s="401">
        <f t="shared" si="6577"/>
        <v>0.39456000000000002</v>
      </c>
      <c r="V2057" s="399" t="s">
        <v>125</v>
      </c>
      <c r="W2057" s="399">
        <f t="shared" ref="W2057" si="6587">IF(D2038&gt;4*G2036,ROUND(MAX(D2038/4,2*G2036)/H2057,0)+1,0)</f>
        <v>6</v>
      </c>
      <c r="X2057" s="399" t="s">
        <v>125</v>
      </c>
      <c r="Y2057" s="389">
        <f t="shared" ref="Y2057" si="6588">D2041</f>
        <v>1</v>
      </c>
      <c r="Z2057" s="400" t="s">
        <v>176</v>
      </c>
      <c r="AA2057" s="402">
        <f t="shared" si="6580"/>
        <v>2.4383808000000005</v>
      </c>
      <c r="AB2057" s="403"/>
    </row>
    <row r="2058" spans="1:28">
      <c r="A2058" s="384"/>
      <c r="B2058" s="385"/>
      <c r="C2058" s="393"/>
      <c r="D2058" s="394"/>
      <c r="E2058" s="388"/>
      <c r="F2058" s="388"/>
      <c r="G2058" s="388"/>
      <c r="H2058" s="395"/>
      <c r="I2058" s="388"/>
      <c r="J2058" s="399"/>
      <c r="K2058" s="396"/>
      <c r="L2058" s="396"/>
      <c r="M2058" s="396"/>
      <c r="N2058" s="396"/>
      <c r="O2058" s="396"/>
      <c r="P2058" s="389"/>
      <c r="Q2058" s="396"/>
      <c r="R2058" s="396"/>
      <c r="S2058" s="396"/>
      <c r="T2058" s="396"/>
      <c r="U2058" s="401"/>
      <c r="V2058" s="396"/>
      <c r="W2058" s="388"/>
      <c r="X2058" s="396"/>
      <c r="Y2058" s="389"/>
      <c r="Z2058" s="396"/>
      <c r="AA2058" s="388"/>
      <c r="AB2058" s="390"/>
    </row>
    <row r="2059" spans="1:28">
      <c r="A2059" s="384" t="str">
        <f t="shared" ref="A2059:B2059" si="6589">A2035</f>
        <v>Lantai 1</v>
      </c>
      <c r="B2059" s="385">
        <f t="shared" si="6589"/>
        <v>66</v>
      </c>
      <c r="C2059" s="393" t="s">
        <v>213</v>
      </c>
      <c r="D2059" s="398">
        <f>VLOOKUP(D2035,'Detail Balok'!$C$10:$BJ$140,46,FALSE)</f>
        <v>0</v>
      </c>
      <c r="E2059" s="388" t="s">
        <v>16</v>
      </c>
      <c r="F2059" s="388">
        <f>VLOOKUP(D2035,'Detail Balok'!$C$10:$BJ$140,48,FALSE)</f>
        <v>0</v>
      </c>
      <c r="G2059" s="405" t="s">
        <v>157</v>
      </c>
      <c r="H2059" s="395">
        <f>VLOOKUP(D2035,'Detail Balok'!$C$10:$BJ$140,50,FALSE)</f>
        <v>100</v>
      </c>
      <c r="I2059" s="388"/>
      <c r="J2059" s="399">
        <f t="shared" ref="J2059" si="6590">(D2036-2*F$5)/1000</f>
        <v>0.12</v>
      </c>
      <c r="K2059" s="400" t="s">
        <v>204</v>
      </c>
      <c r="L2059" s="399">
        <f t="shared" ref="L2059:L2061" si="6591">IF(D2059=0,2*MAX(6*F2059,75),(D2059-1)*2*MAX(6*F2059,75))/1000</f>
        <v>0.15</v>
      </c>
      <c r="M2059" s="399" t="s">
        <v>176</v>
      </c>
      <c r="N2059" s="399">
        <f t="shared" ref="N2059:N2061" si="6592">J2059+L2059</f>
        <v>0.27</v>
      </c>
      <c r="O2059" s="399"/>
      <c r="P2059" s="399"/>
      <c r="Q2059" s="399"/>
      <c r="R2059" s="399"/>
      <c r="S2059" s="399"/>
      <c r="T2059" s="399" t="s">
        <v>125</v>
      </c>
      <c r="U2059" s="401">
        <f t="shared" ref="U2059:U2061" si="6593">0.006165*F2059^2</f>
        <v>0</v>
      </c>
      <c r="V2059" s="399" t="s">
        <v>125</v>
      </c>
      <c r="W2059" s="399">
        <f t="shared" si="6405"/>
        <v>6</v>
      </c>
      <c r="X2059" s="399" t="s">
        <v>125</v>
      </c>
      <c r="Y2059" s="389">
        <f t="shared" ref="Y2059" si="6594">D2045</f>
        <v>3</v>
      </c>
      <c r="Z2059" s="400" t="s">
        <v>176</v>
      </c>
      <c r="AA2059" s="402">
        <f t="shared" ref="AA2059:AA2061" si="6595">N2059*U2059*W2059*Y2059</f>
        <v>0</v>
      </c>
      <c r="AB2059" s="403"/>
    </row>
    <row r="2060" spans="1:28">
      <c r="A2060" s="384" t="str">
        <f t="shared" ref="A2060:B2060" si="6596">A2035</f>
        <v>Lantai 1</v>
      </c>
      <c r="B2060" s="385">
        <f t="shared" si="6596"/>
        <v>66</v>
      </c>
      <c r="C2060" s="393" t="s">
        <v>214</v>
      </c>
      <c r="D2060" s="398">
        <f>VLOOKUP(D2035,'Detail Balok'!$C$10:$BJ$140,51,FALSE)</f>
        <v>0</v>
      </c>
      <c r="E2060" s="388" t="s">
        <v>16</v>
      </c>
      <c r="F2060" s="388">
        <f>VLOOKUP(D2035,'Detail Balok'!$C$10:$BJ$140,53,FALSE)</f>
        <v>0</v>
      </c>
      <c r="G2060" s="405" t="s">
        <v>157</v>
      </c>
      <c r="H2060" s="395">
        <f>VLOOKUP(D2035,'Detail Balok'!$C$10:$BJ$140,55,FALSE)</f>
        <v>100</v>
      </c>
      <c r="I2060" s="388"/>
      <c r="J2060" s="399">
        <f t="shared" ref="J2060" si="6597">(D2036-2*F$5)/1000</f>
        <v>0.12</v>
      </c>
      <c r="K2060" s="400" t="s">
        <v>204</v>
      </c>
      <c r="L2060" s="399">
        <f t="shared" si="6591"/>
        <v>0.15</v>
      </c>
      <c r="M2060" s="399" t="s">
        <v>176</v>
      </c>
      <c r="N2060" s="399">
        <f t="shared" si="6592"/>
        <v>0.27</v>
      </c>
      <c r="O2060" s="399"/>
      <c r="P2060" s="399"/>
      <c r="Q2060" s="399"/>
      <c r="R2060" s="399"/>
      <c r="S2060" s="399"/>
      <c r="T2060" s="399" t="s">
        <v>125</v>
      </c>
      <c r="U2060" s="401">
        <f t="shared" si="6593"/>
        <v>0</v>
      </c>
      <c r="V2060" s="399" t="s">
        <v>125</v>
      </c>
      <c r="W2060" s="399">
        <f t="shared" si="6405"/>
        <v>3</v>
      </c>
      <c r="X2060" s="399" t="s">
        <v>125</v>
      </c>
      <c r="Y2060" s="389">
        <f t="shared" ref="Y2060" si="6598">D2045</f>
        <v>3</v>
      </c>
      <c r="Z2060" s="400" t="s">
        <v>176</v>
      </c>
      <c r="AA2060" s="402">
        <f t="shared" si="6595"/>
        <v>0</v>
      </c>
      <c r="AB2060" s="403"/>
    </row>
    <row r="2061" spans="1:28">
      <c r="A2061" s="384" t="str">
        <f t="shared" ref="A2061:B2061" si="6599">A2035</f>
        <v>Lantai 1</v>
      </c>
      <c r="B2061" s="385">
        <f t="shared" si="6599"/>
        <v>66</v>
      </c>
      <c r="C2061" s="393" t="s">
        <v>213</v>
      </c>
      <c r="D2061" s="398">
        <f>VLOOKUP(D2035,'Detail Balok'!$C$10:$BJ$140,56,FALSE)</f>
        <v>0</v>
      </c>
      <c r="E2061" s="388" t="s">
        <v>16</v>
      </c>
      <c r="F2061" s="388">
        <f>VLOOKUP(D2035,'Detail Balok'!$C$10:$BJ$140,58,FALSE)</f>
        <v>0</v>
      </c>
      <c r="G2061" s="405" t="s">
        <v>157</v>
      </c>
      <c r="H2061" s="395">
        <f>VLOOKUP(D2035,'Detail Balok'!$C$10:$BJ$140,60,FALSE)</f>
        <v>100</v>
      </c>
      <c r="I2061" s="388"/>
      <c r="J2061" s="399">
        <f t="shared" ref="J2061" si="6600">(D2036-2*F$5)/1000</f>
        <v>0.12</v>
      </c>
      <c r="K2061" s="400" t="s">
        <v>204</v>
      </c>
      <c r="L2061" s="399">
        <f t="shared" si="6591"/>
        <v>0.15</v>
      </c>
      <c r="M2061" s="399" t="s">
        <v>176</v>
      </c>
      <c r="N2061" s="399">
        <f t="shared" si="6592"/>
        <v>0.27</v>
      </c>
      <c r="O2061" s="399"/>
      <c r="P2061" s="399"/>
      <c r="Q2061" s="399"/>
      <c r="R2061" s="399"/>
      <c r="S2061" s="399"/>
      <c r="T2061" s="399" t="s">
        <v>125</v>
      </c>
      <c r="U2061" s="401">
        <f t="shared" si="6593"/>
        <v>0</v>
      </c>
      <c r="V2061" s="399" t="s">
        <v>125</v>
      </c>
      <c r="W2061" s="399">
        <f t="shared" si="6405"/>
        <v>6</v>
      </c>
      <c r="X2061" s="399" t="s">
        <v>125</v>
      </c>
      <c r="Y2061" s="389">
        <f t="shared" ref="Y2061" si="6601">D2045</f>
        <v>3</v>
      </c>
      <c r="Z2061" s="400" t="s">
        <v>176</v>
      </c>
      <c r="AA2061" s="402">
        <f t="shared" si="6595"/>
        <v>0</v>
      </c>
      <c r="AB2061" s="403"/>
    </row>
    <row r="2062" spans="1:28">
      <c r="A2062" s="391"/>
      <c r="B2062" s="392"/>
      <c r="C2062" s="392"/>
      <c r="D2062" s="394"/>
      <c r="E2062" s="388"/>
      <c r="F2062" s="388"/>
      <c r="G2062" s="388"/>
      <c r="H2062" s="395"/>
      <c r="I2062" s="388"/>
      <c r="J2062" s="402"/>
      <c r="K2062" s="388"/>
      <c r="L2062" s="388"/>
      <c r="M2062" s="388"/>
      <c r="N2062" s="388"/>
      <c r="O2062" s="388"/>
      <c r="P2062" s="388"/>
      <c r="Q2062" s="388"/>
      <c r="R2062" s="388"/>
      <c r="S2062" s="388"/>
      <c r="T2062" s="388"/>
      <c r="U2062" s="388"/>
      <c r="V2062" s="388"/>
      <c r="W2062" s="388"/>
      <c r="X2062" s="388"/>
      <c r="Y2062" s="389"/>
      <c r="Z2062" s="388"/>
      <c r="AA2062" s="402"/>
      <c r="AB2062" s="403"/>
    </row>
    <row r="2063" spans="1:28" ht="15.75" thickBot="1">
      <c r="A2063" s="406"/>
      <c r="B2063" s="407"/>
      <c r="C2063" s="407"/>
      <c r="D2063" s="408"/>
      <c r="E2063" s="409"/>
      <c r="F2063" s="409"/>
      <c r="G2063" s="409"/>
      <c r="H2063" s="410"/>
      <c r="I2063" s="409"/>
      <c r="J2063" s="409"/>
      <c r="K2063" s="409"/>
      <c r="L2063" s="409"/>
      <c r="M2063" s="409"/>
      <c r="N2063" s="409"/>
      <c r="O2063" s="409"/>
      <c r="P2063" s="409"/>
      <c r="Q2063" s="409"/>
      <c r="R2063" s="409"/>
      <c r="S2063" s="409"/>
      <c r="T2063" s="409"/>
      <c r="U2063" s="409"/>
      <c r="V2063" s="409"/>
      <c r="W2063" s="409"/>
      <c r="X2063" s="409"/>
      <c r="Y2063" s="411"/>
      <c r="Z2063" s="409"/>
      <c r="AA2063" s="412"/>
      <c r="AB2063" s="413"/>
    </row>
    <row r="2064" spans="1:28">
      <c r="A2064" s="377"/>
      <c r="B2064" s="378"/>
      <c r="C2064" s="378"/>
      <c r="D2064" s="379"/>
      <c r="E2064" s="380"/>
      <c r="F2064" s="380"/>
      <c r="G2064" s="380"/>
      <c r="H2064" s="381"/>
      <c r="I2064" s="380"/>
      <c r="J2064" s="380"/>
      <c r="K2064" s="380"/>
      <c r="L2064" s="380"/>
      <c r="M2064" s="380"/>
      <c r="N2064" s="380"/>
      <c r="O2064" s="380"/>
      <c r="P2064" s="380"/>
      <c r="Q2064" s="380"/>
      <c r="R2064" s="380"/>
      <c r="S2064" s="380"/>
      <c r="T2064" s="380"/>
      <c r="U2064" s="380"/>
      <c r="V2064" s="380"/>
      <c r="W2064" s="380"/>
      <c r="X2064" s="380"/>
      <c r="Y2064" s="382"/>
      <c r="Z2064" s="380"/>
      <c r="AA2064" s="380"/>
      <c r="AB2064" s="383"/>
    </row>
    <row r="2065" spans="1:28">
      <c r="A2065" s="384" t="str">
        <f t="shared" si="6414"/>
        <v>Lantai 1</v>
      </c>
      <c r="B2065" s="385">
        <f t="shared" si="6415"/>
        <v>67</v>
      </c>
      <c r="C2065" s="386" t="str">
        <f t="shared" ref="C2065" si="6602">CONCATENATE(A2065," no. ",B2065)</f>
        <v>Lantai 1 no. 67</v>
      </c>
      <c r="D2065" s="2562" t="str">
        <f>VLOOKUP(C2065,'Data Panjang Balok'!$C$9:$N$254,2,FALSE)</f>
        <v>S24-1</v>
      </c>
      <c r="E2065" s="2576"/>
      <c r="F2065" s="2576"/>
      <c r="G2065" s="2576"/>
      <c r="H2065" s="2577"/>
      <c r="I2065" s="387"/>
      <c r="J2065" s="388"/>
      <c r="K2065" s="388"/>
      <c r="L2065" s="388"/>
      <c r="M2065" s="388"/>
      <c r="N2065" s="388"/>
      <c r="O2065" s="388"/>
      <c r="P2065" s="388"/>
      <c r="Q2065" s="388"/>
      <c r="R2065" s="388"/>
      <c r="S2065" s="388"/>
      <c r="T2065" s="388"/>
      <c r="U2065" s="388"/>
      <c r="V2065" s="388"/>
      <c r="W2065" s="388"/>
      <c r="X2065" s="388"/>
      <c r="Y2065" s="389"/>
      <c r="Z2065" s="388"/>
      <c r="AA2065" s="388"/>
      <c r="AB2065" s="390"/>
    </row>
    <row r="2066" spans="1:28">
      <c r="A2066" s="391"/>
      <c r="B2066" s="392"/>
      <c r="C2066" s="393" t="s">
        <v>118</v>
      </c>
      <c r="D2066" s="2578">
        <f>VLOOKUP(D2065,'Detail Balok'!$C$10:$AU$140,2,FALSE)</f>
        <v>200</v>
      </c>
      <c r="E2066" s="2579"/>
      <c r="F2066" s="388" t="s">
        <v>125</v>
      </c>
      <c r="G2066" s="2579">
        <f>VLOOKUP(D2065,'Detail Balok'!$C$10:$AU$140,3,FALSE)</f>
        <v>400</v>
      </c>
      <c r="H2066" s="2580"/>
      <c r="I2066" s="388"/>
      <c r="J2066" s="396"/>
      <c r="K2066" s="396"/>
      <c r="L2066" s="396"/>
      <c r="M2066" s="396"/>
      <c r="N2066" s="396"/>
      <c r="O2066" s="396"/>
      <c r="P2066" s="396"/>
      <c r="Q2066" s="396"/>
      <c r="R2066" s="396"/>
      <c r="S2066" s="396"/>
      <c r="T2066" s="396"/>
      <c r="U2066" s="388"/>
      <c r="V2066" s="396"/>
      <c r="W2066" s="388"/>
      <c r="X2066" s="396"/>
      <c r="Y2066" s="389"/>
      <c r="Z2066" s="396"/>
      <c r="AA2066" s="388"/>
      <c r="AB2066" s="390"/>
    </row>
    <row r="2067" spans="1:28">
      <c r="A2067" s="391"/>
      <c r="B2067" s="392"/>
      <c r="C2067" s="393" t="s">
        <v>198</v>
      </c>
      <c r="D2067" s="2562">
        <f>VLOOKUP(C2065,'Data Panjang Balok'!$C$9:$N$254,4,FALSE)</f>
        <v>925</v>
      </c>
      <c r="E2067" s="2563"/>
      <c r="F2067" s="2563"/>
      <c r="G2067" s="2563"/>
      <c r="H2067" s="2564"/>
      <c r="I2067" s="397"/>
      <c r="J2067" s="396"/>
      <c r="K2067" s="396"/>
      <c r="L2067" s="396"/>
      <c r="M2067" s="396"/>
      <c r="N2067" s="396"/>
      <c r="O2067" s="396"/>
      <c r="P2067" s="396"/>
      <c r="Q2067" s="396"/>
      <c r="R2067" s="396"/>
      <c r="S2067" s="396"/>
      <c r="T2067" s="396"/>
      <c r="U2067" s="388"/>
      <c r="V2067" s="396"/>
      <c r="W2067" s="388"/>
      <c r="X2067" s="396"/>
      <c r="Y2067" s="389"/>
      <c r="Z2067" s="396"/>
      <c r="AA2067" s="388"/>
      <c r="AB2067" s="390"/>
    </row>
    <row r="2068" spans="1:28">
      <c r="A2068" s="391"/>
      <c r="B2068" s="392"/>
      <c r="C2068" s="393" t="s">
        <v>199</v>
      </c>
      <c r="D2068" s="2562">
        <f>VLOOKUP(C2065,'Data Panjang Balok'!$C$9:$N$254,7,FALSE)</f>
        <v>925</v>
      </c>
      <c r="E2068" s="2563"/>
      <c r="F2068" s="2563"/>
      <c r="G2068" s="2563"/>
      <c r="H2068" s="2564"/>
      <c r="I2068" s="397"/>
      <c r="J2068" s="396"/>
      <c r="K2068" s="396"/>
      <c r="L2068" s="396"/>
      <c r="M2068" s="396"/>
      <c r="N2068" s="396"/>
      <c r="O2068" s="396"/>
      <c r="P2068" s="396"/>
      <c r="Q2068" s="396"/>
      <c r="R2068" s="396"/>
      <c r="S2068" s="396"/>
      <c r="T2068" s="396"/>
      <c r="U2068" s="388"/>
      <c r="V2068" s="396"/>
      <c r="W2068" s="388"/>
      <c r="X2068" s="396"/>
      <c r="Y2068" s="389"/>
      <c r="Z2068" s="396"/>
      <c r="AA2068" s="388"/>
      <c r="AB2068" s="390"/>
    </row>
    <row r="2069" spans="1:28">
      <c r="A2069" s="391"/>
      <c r="B2069" s="392"/>
      <c r="C2069" s="393" t="s">
        <v>200</v>
      </c>
      <c r="D2069" s="2562">
        <f>VLOOKUP(C2065,'Data Panjang Balok'!$C$9:$N$254,9,FALSE)</f>
        <v>0</v>
      </c>
      <c r="E2069" s="2563"/>
      <c r="F2069" s="2563"/>
      <c r="G2069" s="2563"/>
      <c r="H2069" s="2564"/>
      <c r="I2069" s="397"/>
      <c r="J2069" s="396"/>
      <c r="K2069" s="396"/>
      <c r="L2069" s="396"/>
      <c r="M2069" s="396"/>
      <c r="N2069" s="396"/>
      <c r="O2069" s="396"/>
      <c r="P2069" s="396"/>
      <c r="Q2069" s="396"/>
      <c r="R2069" s="396"/>
      <c r="S2069" s="396"/>
      <c r="T2069" s="396"/>
      <c r="U2069" s="388"/>
      <c r="V2069" s="396"/>
      <c r="W2069" s="388"/>
      <c r="X2069" s="396"/>
      <c r="Y2069" s="389"/>
      <c r="Z2069" s="396"/>
      <c r="AA2069" s="388"/>
      <c r="AB2069" s="390"/>
    </row>
    <row r="2070" spans="1:28">
      <c r="A2070" s="391"/>
      <c r="B2070" s="392"/>
      <c r="C2070" s="393" t="s">
        <v>201</v>
      </c>
      <c r="D2070" s="2562">
        <f>VLOOKUP(C2065,'Data Panjang Balok'!$C$9:$N$254,10,FALSE)</f>
        <v>0</v>
      </c>
      <c r="E2070" s="2563"/>
      <c r="F2070" s="2563"/>
      <c r="G2070" s="2563"/>
      <c r="H2070" s="2564"/>
      <c r="I2070" s="397"/>
      <c r="J2070" s="396"/>
      <c r="K2070" s="396"/>
      <c r="L2070" s="396"/>
      <c r="M2070" s="396"/>
      <c r="N2070" s="396"/>
      <c r="O2070" s="396"/>
      <c r="P2070" s="396"/>
      <c r="Q2070" s="396"/>
      <c r="R2070" s="396"/>
      <c r="S2070" s="396"/>
      <c r="T2070" s="396"/>
      <c r="U2070" s="388"/>
      <c r="V2070" s="396"/>
      <c r="W2070" s="388"/>
      <c r="X2070" s="396"/>
      <c r="Y2070" s="389"/>
      <c r="Z2070" s="396"/>
      <c r="AA2070" s="388"/>
      <c r="AB2070" s="390"/>
    </row>
    <row r="2071" spans="1:28">
      <c r="A2071" s="391"/>
      <c r="B2071" s="392"/>
      <c r="C2071" s="393" t="s">
        <v>48</v>
      </c>
      <c r="D2071" s="2562">
        <f>VLOOKUP(C2065,'Data Panjang Balok'!$C$9:$N$254,3,FALSE)</f>
        <v>1</v>
      </c>
      <c r="E2071" s="2563"/>
      <c r="F2071" s="2563"/>
      <c r="G2071" s="2563"/>
      <c r="H2071" s="2564"/>
      <c r="I2071" s="397"/>
      <c r="J2071" s="396"/>
      <c r="K2071" s="396"/>
      <c r="L2071" s="396"/>
      <c r="M2071" s="396"/>
      <c r="N2071" s="396"/>
      <c r="O2071" s="396"/>
      <c r="P2071" s="396"/>
      <c r="Q2071" s="396"/>
      <c r="R2071" s="396"/>
      <c r="S2071" s="396"/>
      <c r="T2071" s="396"/>
      <c r="U2071" s="388"/>
      <c r="V2071" s="396"/>
      <c r="W2071" s="388"/>
      <c r="X2071" s="396"/>
      <c r="Y2071" s="389"/>
      <c r="Z2071" s="396"/>
      <c r="AA2071" s="388"/>
      <c r="AB2071" s="390"/>
    </row>
    <row r="2072" spans="1:28">
      <c r="A2072" s="384" t="str">
        <f t="shared" ref="A2072:B2072" si="6603">A2065</f>
        <v>Lantai 1</v>
      </c>
      <c r="B2072" s="385">
        <f t="shared" si="6603"/>
        <v>67</v>
      </c>
      <c r="C2072" s="393" t="s">
        <v>202</v>
      </c>
      <c r="D2072" s="398">
        <f>VLOOKUP(D2065,'Detail Balok'!$C$10:$AU$140,4,FALSE)</f>
        <v>3</v>
      </c>
      <c r="E2072" s="388" t="s">
        <v>16</v>
      </c>
      <c r="F2072" s="388">
        <f>VLOOKUP(D2065,'Detail Balok'!$C$10:$AU$140,6,FALSE)</f>
        <v>13</v>
      </c>
      <c r="G2072" s="388"/>
      <c r="H2072" s="395"/>
      <c r="I2072" s="388" t="s">
        <v>203</v>
      </c>
      <c r="J2072" s="399">
        <f t="shared" ref="J2072" si="6604">+D2067/4/1000</f>
        <v>0.23125000000000001</v>
      </c>
      <c r="K2072" s="400" t="s">
        <v>204</v>
      </c>
      <c r="L2072" s="399">
        <f t="shared" ref="L2072" si="6605">MAX(VLOOKUP(F2072,N$6:P$15,3,FALSE)/1000,2/3*D2069/1000)+F$16*F2072/1000</f>
        <v>0.156</v>
      </c>
      <c r="M2072" s="399" t="s">
        <v>176</v>
      </c>
      <c r="N2072" s="399">
        <f t="shared" ref="N2072:N2074" si="6606">J2072+L2072</f>
        <v>0.38724999999999998</v>
      </c>
      <c r="O2072" s="399" t="s">
        <v>204</v>
      </c>
      <c r="P2072" s="389">
        <f t="shared" ref="P2072" si="6607">D2072-D2073</f>
        <v>0</v>
      </c>
      <c r="Q2072" s="399" t="s">
        <v>125</v>
      </c>
      <c r="R2072" s="399">
        <f t="shared" ref="R2072" si="6608">IF(P2072&gt;0,$F$18*F2072/1000,0)</f>
        <v>0</v>
      </c>
      <c r="S2072" s="399" t="s">
        <v>205</v>
      </c>
      <c r="T2072" s="399" t="s">
        <v>125</v>
      </c>
      <c r="U2072" s="401">
        <f t="shared" ref="U2072:U2074" si="6609">0.006165*F2072^2</f>
        <v>1.041885</v>
      </c>
      <c r="V2072" s="399"/>
      <c r="W2072" s="399"/>
      <c r="X2072" s="399" t="s">
        <v>125</v>
      </c>
      <c r="Y2072" s="389">
        <f t="shared" ref="Y2072" si="6610">D2071</f>
        <v>1</v>
      </c>
      <c r="Z2072" s="400" t="s">
        <v>176</v>
      </c>
      <c r="AA2072" s="402">
        <f t="shared" ref="AA2072" si="6611">IF(AA2075=0,(D2072*N2072+P2072*R2072)*U2072*Y2072,0)</f>
        <v>0</v>
      </c>
      <c r="AB2072" s="403"/>
    </row>
    <row r="2073" spans="1:28">
      <c r="A2073" s="384" t="str">
        <f t="shared" ref="A2073:B2073" si="6612">A2065</f>
        <v>Lantai 1</v>
      </c>
      <c r="B2073" s="385">
        <f t="shared" si="6612"/>
        <v>67</v>
      </c>
      <c r="C2073" s="393" t="s">
        <v>206</v>
      </c>
      <c r="D2073" s="398">
        <f>VLOOKUP(D2065,'Detail Balok'!$C$10:$AU$140,7,FALSE)</f>
        <v>3</v>
      </c>
      <c r="E2073" s="388" t="s">
        <v>16</v>
      </c>
      <c r="F2073" s="388">
        <f>VLOOKUP(D2065,'Detail Balok'!$C$10:$AU$140,9,FALSE)</f>
        <v>13</v>
      </c>
      <c r="G2073" s="388"/>
      <c r="H2073" s="395"/>
      <c r="I2073" s="388" t="s">
        <v>203</v>
      </c>
      <c r="J2073" s="399">
        <f t="shared" ref="J2073" si="6613">+D2067/2/1000</f>
        <v>0.46250000000000002</v>
      </c>
      <c r="K2073" s="400" t="s">
        <v>204</v>
      </c>
      <c r="L2073" s="399"/>
      <c r="M2073" s="399" t="s">
        <v>176</v>
      </c>
      <c r="N2073" s="399">
        <f t="shared" si="6606"/>
        <v>0.46250000000000002</v>
      </c>
      <c r="O2073" s="399" t="s">
        <v>204</v>
      </c>
      <c r="P2073" s="389">
        <f t="shared" ref="P2073" si="6614">MAX(D2073-D2072,D2073-D2074)</f>
        <v>0</v>
      </c>
      <c r="Q2073" s="399" t="s">
        <v>125</v>
      </c>
      <c r="R2073" s="399">
        <f t="shared" ref="R2073" si="6615">IF(P2073&gt;0,2*(1-2*$F$19-1/2)*D2068/1000,0)</f>
        <v>0</v>
      </c>
      <c r="S2073" s="399" t="s">
        <v>205</v>
      </c>
      <c r="T2073" s="399" t="s">
        <v>125</v>
      </c>
      <c r="U2073" s="401">
        <f t="shared" si="6609"/>
        <v>1.041885</v>
      </c>
      <c r="V2073" s="399"/>
      <c r="W2073" s="399"/>
      <c r="X2073" s="399" t="s">
        <v>125</v>
      </c>
      <c r="Y2073" s="389">
        <f t="shared" ref="Y2073" si="6616">D2071</f>
        <v>1</v>
      </c>
      <c r="Z2073" s="400" t="s">
        <v>176</v>
      </c>
      <c r="AA2073" s="402">
        <f t="shared" ref="AA2073" si="6617">IF(AA2075=0,(D2073*N2073+P2073*R2073)*U2073*Y2073,0)</f>
        <v>0</v>
      </c>
      <c r="AB2073" s="403"/>
    </row>
    <row r="2074" spans="1:28">
      <c r="A2074" s="384" t="str">
        <f t="shared" ref="A2074:B2074" si="6618">A2065</f>
        <v>Lantai 1</v>
      </c>
      <c r="B2074" s="385">
        <f t="shared" si="6618"/>
        <v>67</v>
      </c>
      <c r="C2074" s="393" t="s">
        <v>202</v>
      </c>
      <c r="D2074" s="398">
        <f>VLOOKUP(D2065,'Detail Balok'!$C$10:$AU$140,10,FALSE)</f>
        <v>3</v>
      </c>
      <c r="E2074" s="388" t="s">
        <v>16</v>
      </c>
      <c r="F2074" s="388">
        <f>VLOOKUP(D2065,'Detail Balok'!$C$10:$AU$140,12,FALSE)</f>
        <v>13</v>
      </c>
      <c r="G2074" s="388"/>
      <c r="H2074" s="395"/>
      <c r="I2074" s="388" t="s">
        <v>203</v>
      </c>
      <c r="J2074" s="399">
        <f t="shared" ref="J2074" si="6619">+D2067/4/1000</f>
        <v>0.23125000000000001</v>
      </c>
      <c r="K2074" s="400" t="s">
        <v>204</v>
      </c>
      <c r="L2074" s="399">
        <f t="shared" ref="L2074" si="6620">MAX(VLOOKUP(F2074,N$6:P$15,3,FALSE)/1000,2/3*D2069/1000)+F$16*F2074/1000</f>
        <v>0.156</v>
      </c>
      <c r="M2074" s="399" t="s">
        <v>176</v>
      </c>
      <c r="N2074" s="399">
        <f t="shared" si="6606"/>
        <v>0.38724999999999998</v>
      </c>
      <c r="O2074" s="399" t="s">
        <v>204</v>
      </c>
      <c r="P2074" s="389">
        <f t="shared" ref="P2074" si="6621">D2074-D2073</f>
        <v>0</v>
      </c>
      <c r="Q2074" s="399" t="s">
        <v>125</v>
      </c>
      <c r="R2074" s="399">
        <f t="shared" ref="R2074" si="6622">IF(P2074&gt;0,$F$18*F2074/1000,0)</f>
        <v>0</v>
      </c>
      <c r="S2074" s="399" t="s">
        <v>205</v>
      </c>
      <c r="T2074" s="399" t="s">
        <v>125</v>
      </c>
      <c r="U2074" s="401">
        <f t="shared" si="6609"/>
        <v>1.041885</v>
      </c>
      <c r="V2074" s="399"/>
      <c r="W2074" s="399"/>
      <c r="X2074" s="399" t="s">
        <v>125</v>
      </c>
      <c r="Y2074" s="389">
        <f t="shared" ref="Y2074" si="6623">D2071</f>
        <v>1</v>
      </c>
      <c r="Z2074" s="400" t="s">
        <v>176</v>
      </c>
      <c r="AA2074" s="402">
        <f t="shared" ref="AA2074" si="6624">IF(AA2075=0,(D2074*N2074+P2074*R2074)*U2074*Y2074,0)</f>
        <v>0</v>
      </c>
      <c r="AB2074" s="403"/>
    </row>
    <row r="2075" spans="1:28">
      <c r="A2075" s="384" t="str">
        <f t="shared" ref="A2075:B2075" si="6625">A2065</f>
        <v>Lantai 1</v>
      </c>
      <c r="B2075" s="385">
        <f t="shared" si="6625"/>
        <v>67</v>
      </c>
      <c r="C2075" s="393"/>
      <c r="D2075" s="398">
        <f t="shared" ref="D2075:D2135" si="6626">IF(AND(D2072=D2073,D2073=D2074,D2072=D2074),D2072,0)</f>
        <v>3</v>
      </c>
      <c r="E2075" s="388" t="s">
        <v>16</v>
      </c>
      <c r="F2075" s="388">
        <f t="shared" ref="F2075:F2135" si="6627">IF(AND(F2072=F2073,F2072=F2074,F2073=F2074),F2072,0)</f>
        <v>13</v>
      </c>
      <c r="G2075" s="388"/>
      <c r="H2075" s="395"/>
      <c r="I2075" s="388"/>
      <c r="J2075" s="396"/>
      <c r="K2075" s="396"/>
      <c r="L2075" s="404" t="s">
        <v>207</v>
      </c>
      <c r="M2075" s="399" t="s">
        <v>176</v>
      </c>
      <c r="N2075" s="399">
        <f t="shared" ref="N2075" si="6628">IF(AND(D2072=D2073,D2072=D2074,D2073=D2074,F2072=F2073,F2072=F2074,F2073=F2074),SUM(N2072:N2074),0)</f>
        <v>1.2370000000000001</v>
      </c>
      <c r="O2075" s="399" t="s">
        <v>204</v>
      </c>
      <c r="P2075" s="389">
        <f t="shared" ref="P2075" si="6629">IF(N2075&gt;12,ROUNDDOWN(N2075/12,0),0)</f>
        <v>0</v>
      </c>
      <c r="Q2075" s="399" t="s">
        <v>125</v>
      </c>
      <c r="R2075" s="399">
        <f t="shared" ref="R2075" si="6630">IF(P2075&gt;0,MAX(VLOOKUP(F2075,$D$6:$G$15,3,FALSE),600),0)/1000</f>
        <v>0</v>
      </c>
      <c r="S2075" s="396"/>
      <c r="T2075" s="396" t="s">
        <v>125</v>
      </c>
      <c r="U2075" s="401">
        <f t="shared" ref="U2075:U2135" si="6631">U2074</f>
        <v>1.041885</v>
      </c>
      <c r="V2075" s="396" t="s">
        <v>125</v>
      </c>
      <c r="W2075" s="399">
        <f t="shared" ref="W2075" si="6632">D2075</f>
        <v>3</v>
      </c>
      <c r="X2075" s="399" t="s">
        <v>125</v>
      </c>
      <c r="Y2075" s="389">
        <f t="shared" ref="Y2075:Y2135" si="6633">Y2074</f>
        <v>1</v>
      </c>
      <c r="Z2075" s="400" t="s">
        <v>176</v>
      </c>
      <c r="AA2075" s="402">
        <f t="shared" ref="AA2075" si="6634">(N2075+P2075*R2075/1000)*U2075*W2075*Y2075</f>
        <v>3.866435235</v>
      </c>
      <c r="AB2075" s="390"/>
    </row>
    <row r="2076" spans="1:28">
      <c r="A2076" s="384"/>
      <c r="B2076" s="385"/>
      <c r="C2076" s="393"/>
      <c r="D2076" s="398"/>
      <c r="E2076" s="388"/>
      <c r="F2076" s="388"/>
      <c r="G2076" s="388"/>
      <c r="H2076" s="395"/>
      <c r="I2076" s="388"/>
      <c r="J2076" s="396"/>
      <c r="K2076" s="396"/>
      <c r="L2076" s="404"/>
      <c r="M2076" s="399"/>
      <c r="N2076" s="399"/>
      <c r="O2076" s="396"/>
      <c r="P2076" s="389"/>
      <c r="Q2076" s="396"/>
      <c r="R2076" s="396"/>
      <c r="S2076" s="396"/>
      <c r="T2076" s="396"/>
      <c r="U2076" s="401"/>
      <c r="V2076" s="396"/>
      <c r="W2076" s="399"/>
      <c r="X2076" s="396"/>
      <c r="Y2076" s="389"/>
      <c r="Z2076" s="396"/>
      <c r="AA2076" s="388"/>
      <c r="AB2076" s="390"/>
    </row>
    <row r="2077" spans="1:28">
      <c r="A2077" s="384" t="str">
        <f t="shared" ref="A2077:B2077" si="6635">A2065</f>
        <v>Lantai 1</v>
      </c>
      <c r="B2077" s="385">
        <f t="shared" si="6635"/>
        <v>67</v>
      </c>
      <c r="C2077" s="393" t="s">
        <v>208</v>
      </c>
      <c r="D2077" s="398">
        <f>VLOOKUP(D2065,'Detail Balok'!$C$10:$AU$140,13,FALSE)</f>
        <v>0</v>
      </c>
      <c r="E2077" s="388" t="s">
        <v>16</v>
      </c>
      <c r="F2077" s="388">
        <f>VLOOKUP(D2065,'Detail Balok'!$C$10:$AU$140,15,FALSE)</f>
        <v>8</v>
      </c>
      <c r="G2077" s="388"/>
      <c r="H2077" s="395"/>
      <c r="I2077" s="388"/>
      <c r="J2077" s="399">
        <f t="shared" ref="J2077" si="6636">+D2067/1000</f>
        <v>0.92500000000000004</v>
      </c>
      <c r="K2077" s="400" t="s">
        <v>204</v>
      </c>
      <c r="L2077" s="399">
        <f t="shared" ref="L2077" si="6637">2*$F$16*F2077/1000</f>
        <v>0.192</v>
      </c>
      <c r="M2077" s="399" t="s">
        <v>176</v>
      </c>
      <c r="N2077" s="399">
        <f t="shared" ref="N2077" si="6638">J2077+L2077</f>
        <v>1.117</v>
      </c>
      <c r="O2077" s="399" t="s">
        <v>204</v>
      </c>
      <c r="P2077" s="389">
        <f t="shared" ref="P2077" si="6639">IF(N2077&gt;12,ROUNDDOWN(N2077/12,0),0)</f>
        <v>0</v>
      </c>
      <c r="Q2077" s="399" t="s">
        <v>125</v>
      </c>
      <c r="R2077" s="399">
        <f t="shared" ref="R2077" si="6640">IF(P2077&gt;0,MAX(VLOOKUP(F2077,$D$6:$G$15,3,FALSE),600),0)/1000</f>
        <v>0</v>
      </c>
      <c r="S2077" s="399"/>
      <c r="T2077" s="399" t="s">
        <v>125</v>
      </c>
      <c r="U2077" s="401">
        <f t="shared" ref="U2077" si="6641">0.006165*F2077^2</f>
        <v>0.39456000000000002</v>
      </c>
      <c r="V2077" s="399" t="s">
        <v>125</v>
      </c>
      <c r="W2077" s="399">
        <f t="shared" ref="W2077" si="6642">+D2077</f>
        <v>0</v>
      </c>
      <c r="X2077" s="399" t="s">
        <v>125</v>
      </c>
      <c r="Y2077" s="389">
        <f t="shared" ref="Y2077" si="6643">D2071</f>
        <v>1</v>
      </c>
      <c r="Z2077" s="400" t="s">
        <v>176</v>
      </c>
      <c r="AA2077" s="402">
        <f t="shared" ref="AA2077" si="6644">(N2077+P2077*R2077/1000)*U2077*W2077*Y2077</f>
        <v>0</v>
      </c>
      <c r="AB2077" s="403"/>
    </row>
    <row r="2078" spans="1:28">
      <c r="A2078" s="384"/>
      <c r="B2078" s="385"/>
      <c r="C2078" s="393"/>
      <c r="D2078" s="398"/>
      <c r="E2078" s="388"/>
      <c r="F2078" s="388"/>
      <c r="G2078" s="388"/>
      <c r="H2078" s="395"/>
      <c r="I2078" s="388"/>
      <c r="J2078" s="399"/>
      <c r="K2078" s="400"/>
      <c r="L2078" s="399"/>
      <c r="M2078" s="399"/>
      <c r="N2078" s="399"/>
      <c r="O2078" s="399"/>
      <c r="P2078" s="389"/>
      <c r="Q2078" s="399"/>
      <c r="R2078" s="399"/>
      <c r="S2078" s="399"/>
      <c r="T2078" s="399"/>
      <c r="U2078" s="401"/>
      <c r="V2078" s="399"/>
      <c r="W2078" s="399"/>
      <c r="X2078" s="399"/>
      <c r="Y2078" s="389"/>
      <c r="Z2078" s="400"/>
      <c r="AA2078" s="402"/>
      <c r="AB2078" s="403"/>
    </row>
    <row r="2079" spans="1:28">
      <c r="A2079" s="384"/>
      <c r="B2079" s="385"/>
      <c r="C2079" s="393"/>
      <c r="D2079" s="398"/>
      <c r="E2079" s="388"/>
      <c r="F2079" s="388"/>
      <c r="G2079" s="388"/>
      <c r="H2079" s="395"/>
      <c r="I2079" s="388"/>
      <c r="J2079" s="396"/>
      <c r="K2079" s="396"/>
      <c r="L2079" s="396"/>
      <c r="M2079" s="396"/>
      <c r="N2079" s="396"/>
      <c r="O2079" s="396"/>
      <c r="P2079" s="389"/>
      <c r="Q2079" s="396"/>
      <c r="R2079" s="396"/>
      <c r="S2079" s="396"/>
      <c r="T2079" s="396"/>
      <c r="U2079" s="401"/>
      <c r="V2079" s="396"/>
      <c r="W2079" s="399"/>
      <c r="X2079" s="396"/>
      <c r="Y2079" s="389"/>
      <c r="Z2079" s="396"/>
      <c r="AA2079" s="388"/>
      <c r="AB2079" s="390"/>
    </row>
    <row r="2080" spans="1:28">
      <c r="A2080" s="384" t="str">
        <f t="shared" ref="A2080:B2080" si="6645">A2065</f>
        <v>Lantai 1</v>
      </c>
      <c r="B2080" s="385">
        <f t="shared" si="6645"/>
        <v>67</v>
      </c>
      <c r="C2080" s="393" t="s">
        <v>209</v>
      </c>
      <c r="D2080" s="398">
        <f>VLOOKUP(D2065,'Detail Balok'!$C$10:$AU$140,22,FALSE)</f>
        <v>3</v>
      </c>
      <c r="E2080" s="388" t="s">
        <v>16</v>
      </c>
      <c r="F2080" s="388">
        <f>VLOOKUP(D2065,'Detail Balok'!$C$10:$AU$140,24,FALSE)</f>
        <v>13</v>
      </c>
      <c r="G2080" s="388"/>
      <c r="H2080" s="395"/>
      <c r="I2080" s="388" t="s">
        <v>203</v>
      </c>
      <c r="J2080" s="399">
        <f t="shared" ref="J2080:J2142" si="6646">+J2072</f>
        <v>0.23125000000000001</v>
      </c>
      <c r="K2080" s="400" t="s">
        <v>204</v>
      </c>
      <c r="L2080" s="399">
        <f t="shared" ref="L2080" si="6647">MAX(VLOOKUP(F2080,N$6:P$15,3,FALSE)/1000,2/3*D2070/1000)+F$16*F2080/1000</f>
        <v>0.156</v>
      </c>
      <c r="M2080" s="399" t="s">
        <v>176</v>
      </c>
      <c r="N2080" s="399">
        <f t="shared" ref="N2080:N2082" si="6648">J2080+L2080</f>
        <v>0.38724999999999998</v>
      </c>
      <c r="O2080" s="399" t="s">
        <v>204</v>
      </c>
      <c r="P2080" s="389">
        <f t="shared" ref="P2080" si="6649">D2080-D2081</f>
        <v>0</v>
      </c>
      <c r="Q2080" s="399" t="s">
        <v>125</v>
      </c>
      <c r="R2080" s="399">
        <f t="shared" ref="R2080" si="6650">IF(P2080&gt;0,$F$18*F2080/1000,0)</f>
        <v>0</v>
      </c>
      <c r="S2080" s="399" t="s">
        <v>205</v>
      </c>
      <c r="T2080" s="399" t="s">
        <v>125</v>
      </c>
      <c r="U2080" s="401">
        <f t="shared" ref="U2080:U2082" si="6651">0.006165*F2080^2</f>
        <v>1.041885</v>
      </c>
      <c r="V2080" s="399"/>
      <c r="W2080" s="399"/>
      <c r="X2080" s="399" t="s">
        <v>125</v>
      </c>
      <c r="Y2080" s="389">
        <f t="shared" ref="Y2080" si="6652">D2071</f>
        <v>1</v>
      </c>
      <c r="Z2080" s="400" t="s">
        <v>176</v>
      </c>
      <c r="AA2080" s="402">
        <f t="shared" ref="AA2080" si="6653">IF(AA2083=0,(D2080*N2080+P2080*R2080)*U2080*Y2080,0)</f>
        <v>0</v>
      </c>
      <c r="AB2080" s="403"/>
    </row>
    <row r="2081" spans="1:28">
      <c r="A2081" s="384" t="str">
        <f t="shared" ref="A2081:B2081" si="6654">A2065</f>
        <v>Lantai 1</v>
      </c>
      <c r="B2081" s="385">
        <f t="shared" si="6654"/>
        <v>67</v>
      </c>
      <c r="C2081" s="393" t="s">
        <v>210</v>
      </c>
      <c r="D2081" s="398">
        <f>VLOOKUP(D2065,'Detail Balok'!$C$10:$AU$140,25,FALSE)</f>
        <v>3</v>
      </c>
      <c r="E2081" s="388" t="s">
        <v>16</v>
      </c>
      <c r="F2081" s="388">
        <f>VLOOKUP(D2065,'Detail Balok'!$C$10:$AU$140,27,FALSE)</f>
        <v>13</v>
      </c>
      <c r="G2081" s="388"/>
      <c r="H2081" s="395"/>
      <c r="I2081" s="388" t="s">
        <v>203</v>
      </c>
      <c r="J2081" s="399">
        <f t="shared" si="6646"/>
        <v>0.46250000000000002</v>
      </c>
      <c r="K2081" s="400" t="s">
        <v>204</v>
      </c>
      <c r="L2081" s="399"/>
      <c r="M2081" s="399" t="s">
        <v>176</v>
      </c>
      <c r="N2081" s="399">
        <f t="shared" si="6648"/>
        <v>0.46250000000000002</v>
      </c>
      <c r="O2081" s="399" t="s">
        <v>204</v>
      </c>
      <c r="P2081" s="389">
        <f t="shared" ref="P2081" si="6655">MAX(D2081-D2080,D2081-D2082)</f>
        <v>0</v>
      </c>
      <c r="Q2081" s="399" t="s">
        <v>125</v>
      </c>
      <c r="R2081" s="399">
        <f t="shared" ref="R2081" si="6656">IF(P2081&gt;0,2*(1-2*$F$19-1/2)*D2068/1000,0)</f>
        <v>0</v>
      </c>
      <c r="S2081" s="399" t="s">
        <v>205</v>
      </c>
      <c r="T2081" s="399" t="s">
        <v>125</v>
      </c>
      <c r="U2081" s="401">
        <f t="shared" si="6651"/>
        <v>1.041885</v>
      </c>
      <c r="V2081" s="399"/>
      <c r="W2081" s="399"/>
      <c r="X2081" s="399" t="s">
        <v>125</v>
      </c>
      <c r="Y2081" s="389">
        <f t="shared" ref="Y2081" si="6657">D2071</f>
        <v>1</v>
      </c>
      <c r="Z2081" s="400" t="s">
        <v>176</v>
      </c>
      <c r="AA2081" s="402">
        <f t="shared" ref="AA2081" si="6658">IF(AA2083=0,(D2081*N2081+P2081*R2081)*U2081*Y2081,0)</f>
        <v>0</v>
      </c>
      <c r="AB2081" s="403"/>
    </row>
    <row r="2082" spans="1:28">
      <c r="A2082" s="384" t="str">
        <f t="shared" ref="A2082:B2082" si="6659">A2065</f>
        <v>Lantai 1</v>
      </c>
      <c r="B2082" s="385">
        <f t="shared" si="6659"/>
        <v>67</v>
      </c>
      <c r="C2082" s="393" t="s">
        <v>209</v>
      </c>
      <c r="D2082" s="398">
        <f>VLOOKUP(D2065,'Detail Balok'!$C$10:$AU$140,28,FALSE)</f>
        <v>3</v>
      </c>
      <c r="E2082" s="388" t="s">
        <v>16</v>
      </c>
      <c r="F2082" s="388">
        <f>VLOOKUP(D2065,'Detail Balok'!$C$10:$AU$140,30,FALSE)</f>
        <v>13</v>
      </c>
      <c r="G2082" s="388"/>
      <c r="H2082" s="395"/>
      <c r="I2082" s="388" t="s">
        <v>203</v>
      </c>
      <c r="J2082" s="399">
        <f t="shared" si="6646"/>
        <v>0.23125000000000001</v>
      </c>
      <c r="K2082" s="400" t="s">
        <v>204</v>
      </c>
      <c r="L2082" s="399">
        <f t="shared" ref="L2082" si="6660">MAX(VLOOKUP(F2082,N$6:P$15,3,FALSE)/1000,2/3*D2070/1000)+F$16*F2082/1000</f>
        <v>0.156</v>
      </c>
      <c r="M2082" s="399" t="s">
        <v>176</v>
      </c>
      <c r="N2082" s="399">
        <f t="shared" si="6648"/>
        <v>0.38724999999999998</v>
      </c>
      <c r="O2082" s="399" t="s">
        <v>204</v>
      </c>
      <c r="P2082" s="389">
        <f t="shared" ref="P2082" si="6661">D2082-D2081</f>
        <v>0</v>
      </c>
      <c r="Q2082" s="399" t="s">
        <v>125</v>
      </c>
      <c r="R2082" s="399">
        <f t="shared" ref="R2082" si="6662">IF(P2082&gt;0,$F$18*F2082/1000,0)</f>
        <v>0</v>
      </c>
      <c r="S2082" s="399" t="s">
        <v>205</v>
      </c>
      <c r="T2082" s="399" t="s">
        <v>125</v>
      </c>
      <c r="U2082" s="401">
        <f t="shared" si="6651"/>
        <v>1.041885</v>
      </c>
      <c r="V2082" s="399"/>
      <c r="W2082" s="399"/>
      <c r="X2082" s="399" t="s">
        <v>125</v>
      </c>
      <c r="Y2082" s="389">
        <f t="shared" ref="Y2082" si="6663">D2071</f>
        <v>1</v>
      </c>
      <c r="Z2082" s="400" t="s">
        <v>176</v>
      </c>
      <c r="AA2082" s="402">
        <f t="shared" ref="AA2082" si="6664">IF(AA2083=0,(D2082*N2082+P2082*R2082)*U2082*Y2082,0)</f>
        <v>0</v>
      </c>
      <c r="AB2082" s="403"/>
    </row>
    <row r="2083" spans="1:28">
      <c r="A2083" s="384" t="str">
        <f t="shared" ref="A2083:B2083" si="6665">A2065</f>
        <v>Lantai 1</v>
      </c>
      <c r="B2083" s="385">
        <f t="shared" si="6665"/>
        <v>67</v>
      </c>
      <c r="C2083" s="393"/>
      <c r="D2083" s="398">
        <f t="shared" ref="D2083:D2143" si="6666">IF(AND(D2080=D2081,D2081=D2082,D2080=D2082),D2080,0)</f>
        <v>3</v>
      </c>
      <c r="E2083" s="388" t="s">
        <v>16</v>
      </c>
      <c r="F2083" s="388">
        <f t="shared" ref="F2083:F2143" si="6667">IF(AND(F2080=F2081,F2080=F2082,F2081=F2082),F2080,0)</f>
        <v>13</v>
      </c>
      <c r="G2083" s="388"/>
      <c r="H2083" s="395"/>
      <c r="I2083" s="388"/>
      <c r="J2083" s="396"/>
      <c r="K2083" s="396"/>
      <c r="L2083" s="404" t="s">
        <v>207</v>
      </c>
      <c r="M2083" s="399" t="s">
        <v>176</v>
      </c>
      <c r="N2083" s="399">
        <f t="shared" ref="N2083" si="6668">IF(AND(D2080=D2081,D2080=D2082,D2081=D2082,F2080=F2081,F2080=F2082,F2081=F2082),SUM(N2080:N2082),0)</f>
        <v>1.2370000000000001</v>
      </c>
      <c r="O2083" s="399" t="s">
        <v>204</v>
      </c>
      <c r="P2083" s="389">
        <f t="shared" ref="P2083" si="6669">IF(N2083&gt;12,ROUNDDOWN(N2083/12,0),0)</f>
        <v>0</v>
      </c>
      <c r="Q2083" s="399" t="s">
        <v>125</v>
      </c>
      <c r="R2083" s="399">
        <f t="shared" ref="R2083" si="6670">IF(P2083&gt;0,MAX(VLOOKUP(F2083,$D$6:$G$15,3,FALSE),600),0)/1000</f>
        <v>0</v>
      </c>
      <c r="S2083" s="396"/>
      <c r="T2083" s="396" t="s">
        <v>125</v>
      </c>
      <c r="U2083" s="401">
        <f t="shared" ref="U2083:U2143" si="6671">U2082</f>
        <v>1.041885</v>
      </c>
      <c r="V2083" s="396" t="s">
        <v>125</v>
      </c>
      <c r="W2083" s="399">
        <f t="shared" ref="W2083" si="6672">D2083</f>
        <v>3</v>
      </c>
      <c r="X2083" s="399" t="s">
        <v>125</v>
      </c>
      <c r="Y2083" s="389">
        <f t="shared" ref="Y2083:Y2143" si="6673">Y2082</f>
        <v>1</v>
      </c>
      <c r="Z2083" s="400" t="s">
        <v>176</v>
      </c>
      <c r="AA2083" s="402">
        <f t="shared" ref="AA2083" si="6674">(N2083+P2083*R2083/1000)*U2083*W2083*Y2083</f>
        <v>3.866435235</v>
      </c>
      <c r="AB2083" s="403"/>
    </row>
    <row r="2084" spans="1:28">
      <c r="A2084" s="384"/>
      <c r="B2084" s="385"/>
      <c r="C2084" s="393"/>
      <c r="D2084" s="394"/>
      <c r="E2084" s="388"/>
      <c r="F2084" s="388"/>
      <c r="G2084" s="388"/>
      <c r="H2084" s="395"/>
      <c r="I2084" s="388"/>
      <c r="J2084" s="399"/>
      <c r="K2084" s="396"/>
      <c r="L2084" s="396"/>
      <c r="M2084" s="396"/>
      <c r="N2084" s="396"/>
      <c r="O2084" s="396"/>
      <c r="P2084" s="389"/>
      <c r="Q2084" s="396"/>
      <c r="R2084" s="396"/>
      <c r="S2084" s="396"/>
      <c r="T2084" s="396"/>
      <c r="U2084" s="401"/>
      <c r="V2084" s="396"/>
      <c r="W2084" s="388"/>
      <c r="X2084" s="396"/>
      <c r="Y2084" s="389"/>
      <c r="Z2084" s="396"/>
      <c r="AA2084" s="388"/>
      <c r="AB2084" s="390"/>
    </row>
    <row r="2085" spans="1:28">
      <c r="A2085" s="384" t="str">
        <f t="shared" ref="A2085:B2085" si="6675">A2065</f>
        <v>Lantai 1</v>
      </c>
      <c r="B2085" s="385">
        <f t="shared" si="6675"/>
        <v>67</v>
      </c>
      <c r="C2085" s="393" t="s">
        <v>211</v>
      </c>
      <c r="D2085" s="398">
        <f>VLOOKUP(D2065,'Detail Balok'!$C$10:$AU$140,31,FALSE)</f>
        <v>0</v>
      </c>
      <c r="E2085" s="388" t="s">
        <v>16</v>
      </c>
      <c r="F2085" s="388">
        <f>VLOOKUP(D2065,'Detail Balok'!$C$10:$AU$140,33,FALSE)</f>
        <v>8</v>
      </c>
      <c r="G2085" s="405" t="s">
        <v>157</v>
      </c>
      <c r="H2085" s="395">
        <f>VLOOKUP(D2065,'Detail Balok'!$C$10:$AU$140,35,FALSE)</f>
        <v>150</v>
      </c>
      <c r="I2085" s="388"/>
      <c r="J2085" s="400">
        <f t="shared" ref="J2085" si="6676">(IF(D2085=0,(2*(D2066+G2066))-(F$5*8),IF(D2085=3,(2*(D2066+G2066))-(F$5*8)+(G2066-2*F$5),IF(D2085=4,(2*(D2066+G2066))-(F$5*8)+2*(G2066-2*F$5)))))/1000</f>
        <v>0.88</v>
      </c>
      <c r="K2085" s="400" t="s">
        <v>204</v>
      </c>
      <c r="L2085" s="399">
        <f t="shared" ref="L2085:L2087" si="6677">IF(D2085=0,2*MAX(6*F2085,75),(D2085-1)*2*MAX(6*F2085,75))/1000</f>
        <v>0.15</v>
      </c>
      <c r="M2085" s="399" t="s">
        <v>176</v>
      </c>
      <c r="N2085" s="399">
        <f t="shared" ref="N2085:N2087" si="6678">J2085+L2085</f>
        <v>1.03</v>
      </c>
      <c r="O2085" s="399"/>
      <c r="P2085" s="389"/>
      <c r="Q2085" s="399"/>
      <c r="R2085" s="399"/>
      <c r="S2085" s="399"/>
      <c r="T2085" s="399" t="s">
        <v>125</v>
      </c>
      <c r="U2085" s="401">
        <f t="shared" ref="U2085:U2087" si="6679">0.006165*F2085^2</f>
        <v>0.39456000000000002</v>
      </c>
      <c r="V2085" s="399" t="s">
        <v>125</v>
      </c>
      <c r="W2085" s="399">
        <f t="shared" ref="W2085" si="6680">IF(D2068&gt;4*G2066,ROUND(MAX(D2068/4,2*G2066)/H2085,0)+1,ROUND(D2068/H2085,0)+1)</f>
        <v>7</v>
      </c>
      <c r="X2085" s="399" t="s">
        <v>125</v>
      </c>
      <c r="Y2085" s="389">
        <f t="shared" ref="Y2085" si="6681">D2071</f>
        <v>1</v>
      </c>
      <c r="Z2085" s="400" t="s">
        <v>176</v>
      </c>
      <c r="AA2085" s="402">
        <f t="shared" ref="AA2085:AA2087" si="6682">N2085*U2085*W2085*Y2085</f>
        <v>2.8447776000000005</v>
      </c>
      <c r="AB2085" s="403"/>
    </row>
    <row r="2086" spans="1:28">
      <c r="A2086" s="384" t="str">
        <f t="shared" ref="A2086:B2086" si="6683">A2065</f>
        <v>Lantai 1</v>
      </c>
      <c r="B2086" s="385">
        <f t="shared" si="6683"/>
        <v>67</v>
      </c>
      <c r="C2086" s="393" t="s">
        <v>212</v>
      </c>
      <c r="D2086" s="398">
        <f>VLOOKUP(D2065,'Detail Balok'!$C$10:$AU$140,36,FALSE)</f>
        <v>0</v>
      </c>
      <c r="E2086" s="388" t="s">
        <v>16</v>
      </c>
      <c r="F2086" s="388">
        <f>VLOOKUP(D2065,'Detail Balok'!$C$10:$AU$140,38,FALSE)</f>
        <v>8</v>
      </c>
      <c r="G2086" s="405" t="s">
        <v>157</v>
      </c>
      <c r="H2086" s="395">
        <f>VLOOKUP(D2065,'Detail Balok'!$C$10:$AU$140,40,FALSE)</f>
        <v>200</v>
      </c>
      <c r="I2086" s="388"/>
      <c r="J2086" s="400">
        <f t="shared" ref="J2086" si="6684">(IF(D2086=0,(2*(D2066+G2066))-(F$5*8),IF(D2086=3,(2*(D2066+G2066))-(F$5*8)+(G2066-2*F$5),IF(D2086=4,(2*(D2066+G2066))-(F$5*8)+2*(G2066-2*F$5)))))/1000</f>
        <v>0.88</v>
      </c>
      <c r="K2086" s="400" t="s">
        <v>204</v>
      </c>
      <c r="L2086" s="399">
        <f t="shared" si="6677"/>
        <v>0.15</v>
      </c>
      <c r="M2086" s="399" t="s">
        <v>176</v>
      </c>
      <c r="N2086" s="399">
        <f t="shared" si="6678"/>
        <v>1.03</v>
      </c>
      <c r="O2086" s="399"/>
      <c r="P2086" s="389"/>
      <c r="Q2086" s="399"/>
      <c r="R2086" s="399"/>
      <c r="S2086" s="399"/>
      <c r="T2086" s="399" t="s">
        <v>125</v>
      </c>
      <c r="U2086" s="401">
        <f t="shared" si="6679"/>
        <v>0.39456000000000002</v>
      </c>
      <c r="V2086" s="399" t="s">
        <v>125</v>
      </c>
      <c r="W2086" s="399">
        <f t="shared" ref="W2086" si="6685">IF(D2068-MAX(D2068/4,2*G2066)*2&gt;0,ROUND((D2068-MAX(D2068/4,2*G2066)*2)/H2086,0),0)</f>
        <v>0</v>
      </c>
      <c r="X2086" s="399" t="s">
        <v>125</v>
      </c>
      <c r="Y2086" s="389">
        <f t="shared" ref="Y2086" si="6686">D2071</f>
        <v>1</v>
      </c>
      <c r="Z2086" s="400" t="s">
        <v>176</v>
      </c>
      <c r="AA2086" s="402">
        <f t="shared" si="6682"/>
        <v>0</v>
      </c>
      <c r="AB2086" s="403"/>
    </row>
    <row r="2087" spans="1:28">
      <c r="A2087" s="384" t="str">
        <f t="shared" ref="A2087:B2087" si="6687">A2065</f>
        <v>Lantai 1</v>
      </c>
      <c r="B2087" s="385">
        <f t="shared" si="6687"/>
        <v>67</v>
      </c>
      <c r="C2087" s="393" t="s">
        <v>211</v>
      </c>
      <c r="D2087" s="398">
        <f>VLOOKUP(D2065,'Detail Balok'!$C$10:$AU$140,41,FALSE)</f>
        <v>0</v>
      </c>
      <c r="E2087" s="388" t="s">
        <v>16</v>
      </c>
      <c r="F2087" s="388">
        <f>VLOOKUP(D2065,'Detail Balok'!$C$10:$AU$140,43,FALSE)</f>
        <v>8</v>
      </c>
      <c r="G2087" s="405" t="s">
        <v>157</v>
      </c>
      <c r="H2087" s="395">
        <f>VLOOKUP(D2065,'Detail Balok'!$C$10:$AU$140,45,FALSE)</f>
        <v>150</v>
      </c>
      <c r="I2087" s="388"/>
      <c r="J2087" s="400">
        <f t="shared" ref="J2087" si="6688">(IF(D2087=0,(2*(D2066+G2066))-(F$5*8),IF(D2087=3,(2*(D2066+G2066))-(F$5*8)+(G2066-2*F$5),IF(D2087=4,(2*(D2066+G2066))-(F$5*8)+2*(G2066-2*F$5)))))/1000</f>
        <v>0.88</v>
      </c>
      <c r="K2087" s="400" t="s">
        <v>204</v>
      </c>
      <c r="L2087" s="399">
        <f t="shared" si="6677"/>
        <v>0.15</v>
      </c>
      <c r="M2087" s="399" t="s">
        <v>176</v>
      </c>
      <c r="N2087" s="399">
        <f t="shared" si="6678"/>
        <v>1.03</v>
      </c>
      <c r="O2087" s="399"/>
      <c r="P2087" s="389"/>
      <c r="Q2087" s="399"/>
      <c r="R2087" s="399"/>
      <c r="S2087" s="399"/>
      <c r="T2087" s="399" t="s">
        <v>125</v>
      </c>
      <c r="U2087" s="401">
        <f t="shared" si="6679"/>
        <v>0.39456000000000002</v>
      </c>
      <c r="V2087" s="399" t="s">
        <v>125</v>
      </c>
      <c r="W2087" s="399">
        <f t="shared" ref="W2087" si="6689">IF(D2068&gt;4*G2066,ROUND(MAX(D2068/4,2*G2066)/H2087,0)+1,0)</f>
        <v>0</v>
      </c>
      <c r="X2087" s="399" t="s">
        <v>125</v>
      </c>
      <c r="Y2087" s="389">
        <f t="shared" ref="Y2087" si="6690">D2071</f>
        <v>1</v>
      </c>
      <c r="Z2087" s="400" t="s">
        <v>176</v>
      </c>
      <c r="AA2087" s="402">
        <f t="shared" si="6682"/>
        <v>0</v>
      </c>
      <c r="AB2087" s="403"/>
    </row>
    <row r="2088" spans="1:28">
      <c r="A2088" s="384"/>
      <c r="B2088" s="385"/>
      <c r="C2088" s="393"/>
      <c r="D2088" s="394"/>
      <c r="E2088" s="388"/>
      <c r="F2088" s="388"/>
      <c r="G2088" s="388"/>
      <c r="H2088" s="395"/>
      <c r="I2088" s="388"/>
      <c r="J2088" s="399"/>
      <c r="K2088" s="396"/>
      <c r="L2088" s="396"/>
      <c r="M2088" s="396"/>
      <c r="N2088" s="396"/>
      <c r="O2088" s="396"/>
      <c r="P2088" s="389"/>
      <c r="Q2088" s="396"/>
      <c r="R2088" s="396"/>
      <c r="S2088" s="396"/>
      <c r="T2088" s="396"/>
      <c r="U2088" s="401"/>
      <c r="V2088" s="396"/>
      <c r="W2088" s="388"/>
      <c r="X2088" s="396"/>
      <c r="Y2088" s="389"/>
      <c r="Z2088" s="396"/>
      <c r="AA2088" s="388"/>
      <c r="AB2088" s="390"/>
    </row>
    <row r="2089" spans="1:28">
      <c r="A2089" s="384" t="str">
        <f t="shared" ref="A2089:B2089" si="6691">A2065</f>
        <v>Lantai 1</v>
      </c>
      <c r="B2089" s="385">
        <f t="shared" si="6691"/>
        <v>67</v>
      </c>
      <c r="C2089" s="393" t="s">
        <v>213</v>
      </c>
      <c r="D2089" s="398">
        <f>VLOOKUP(D2065,'Detail Balok'!$C$10:$BJ$140,46,FALSE)</f>
        <v>0</v>
      </c>
      <c r="E2089" s="388" t="s">
        <v>16</v>
      </c>
      <c r="F2089" s="388">
        <f>VLOOKUP(D2065,'Detail Balok'!$C$10:$BJ$140,48,FALSE)</f>
        <v>0</v>
      </c>
      <c r="G2089" s="405" t="s">
        <v>157</v>
      </c>
      <c r="H2089" s="395">
        <f>VLOOKUP(D2065,'Detail Balok'!$C$10:$BJ$140,50,FALSE)</f>
        <v>100</v>
      </c>
      <c r="I2089" s="388"/>
      <c r="J2089" s="399">
        <f t="shared" ref="J2089" si="6692">(D2066-2*F$5)/1000</f>
        <v>0.12</v>
      </c>
      <c r="K2089" s="400" t="s">
        <v>204</v>
      </c>
      <c r="L2089" s="399">
        <f t="shared" ref="L2089:L2091" si="6693">IF(D2089=0,2*MAX(6*F2089,75),(D2089-1)*2*MAX(6*F2089,75))/1000</f>
        <v>0.15</v>
      </c>
      <c r="M2089" s="399" t="s">
        <v>176</v>
      </c>
      <c r="N2089" s="399">
        <f t="shared" ref="N2089:N2091" si="6694">J2089+L2089</f>
        <v>0.27</v>
      </c>
      <c r="O2089" s="399"/>
      <c r="P2089" s="399"/>
      <c r="Q2089" s="399"/>
      <c r="R2089" s="399"/>
      <c r="S2089" s="399"/>
      <c r="T2089" s="399" t="s">
        <v>125</v>
      </c>
      <c r="U2089" s="401">
        <f t="shared" ref="U2089:U2091" si="6695">0.006165*F2089^2</f>
        <v>0</v>
      </c>
      <c r="V2089" s="399" t="s">
        <v>125</v>
      </c>
      <c r="W2089" s="399">
        <f t="shared" ref="W2089:W2151" si="6696">W2085</f>
        <v>7</v>
      </c>
      <c r="X2089" s="399" t="s">
        <v>125</v>
      </c>
      <c r="Y2089" s="389">
        <f t="shared" ref="Y2089" si="6697">D2075</f>
        <v>3</v>
      </c>
      <c r="Z2089" s="400" t="s">
        <v>176</v>
      </c>
      <c r="AA2089" s="402">
        <f t="shared" ref="AA2089:AA2091" si="6698">N2089*U2089*W2089*Y2089</f>
        <v>0</v>
      </c>
      <c r="AB2089" s="403"/>
    </row>
    <row r="2090" spans="1:28">
      <c r="A2090" s="384" t="str">
        <f t="shared" ref="A2090:B2090" si="6699">A2065</f>
        <v>Lantai 1</v>
      </c>
      <c r="B2090" s="385">
        <f t="shared" si="6699"/>
        <v>67</v>
      </c>
      <c r="C2090" s="393" t="s">
        <v>214</v>
      </c>
      <c r="D2090" s="398">
        <f>VLOOKUP(D2065,'Detail Balok'!$C$10:$BJ$140,51,FALSE)</f>
        <v>0</v>
      </c>
      <c r="E2090" s="388" t="s">
        <v>16</v>
      </c>
      <c r="F2090" s="388">
        <f>VLOOKUP(D2065,'Detail Balok'!$C$10:$BJ$140,53,FALSE)</f>
        <v>0</v>
      </c>
      <c r="G2090" s="405" t="s">
        <v>157</v>
      </c>
      <c r="H2090" s="395">
        <f>VLOOKUP(D2065,'Detail Balok'!$C$10:$BJ$140,55,FALSE)</f>
        <v>100</v>
      </c>
      <c r="I2090" s="388"/>
      <c r="J2090" s="399">
        <f t="shared" ref="J2090" si="6700">(D2066-2*F$5)/1000</f>
        <v>0.12</v>
      </c>
      <c r="K2090" s="400" t="s">
        <v>204</v>
      </c>
      <c r="L2090" s="399">
        <f t="shared" si="6693"/>
        <v>0.15</v>
      </c>
      <c r="M2090" s="399" t="s">
        <v>176</v>
      </c>
      <c r="N2090" s="399">
        <f t="shared" si="6694"/>
        <v>0.27</v>
      </c>
      <c r="O2090" s="399"/>
      <c r="P2090" s="399"/>
      <c r="Q2090" s="399"/>
      <c r="R2090" s="399"/>
      <c r="S2090" s="399"/>
      <c r="T2090" s="399" t="s">
        <v>125</v>
      </c>
      <c r="U2090" s="401">
        <f t="shared" si="6695"/>
        <v>0</v>
      </c>
      <c r="V2090" s="399" t="s">
        <v>125</v>
      </c>
      <c r="W2090" s="399">
        <f t="shared" si="6696"/>
        <v>0</v>
      </c>
      <c r="X2090" s="399" t="s">
        <v>125</v>
      </c>
      <c r="Y2090" s="389">
        <f t="shared" ref="Y2090" si="6701">D2075</f>
        <v>3</v>
      </c>
      <c r="Z2090" s="400" t="s">
        <v>176</v>
      </c>
      <c r="AA2090" s="402">
        <f t="shared" si="6698"/>
        <v>0</v>
      </c>
      <c r="AB2090" s="403"/>
    </row>
    <row r="2091" spans="1:28">
      <c r="A2091" s="384" t="str">
        <f t="shared" ref="A2091:B2091" si="6702">A2065</f>
        <v>Lantai 1</v>
      </c>
      <c r="B2091" s="385">
        <f t="shared" si="6702"/>
        <v>67</v>
      </c>
      <c r="C2091" s="393" t="s">
        <v>213</v>
      </c>
      <c r="D2091" s="398">
        <f>VLOOKUP(D2065,'Detail Balok'!$C$10:$BJ$140,56,FALSE)</f>
        <v>0</v>
      </c>
      <c r="E2091" s="388" t="s">
        <v>16</v>
      </c>
      <c r="F2091" s="388">
        <f>VLOOKUP(D2065,'Detail Balok'!$C$10:$BJ$140,58,FALSE)</f>
        <v>0</v>
      </c>
      <c r="G2091" s="405" t="s">
        <v>157</v>
      </c>
      <c r="H2091" s="395">
        <f>VLOOKUP(D2065,'Detail Balok'!$C$10:$BJ$140,60,FALSE)</f>
        <v>100</v>
      </c>
      <c r="I2091" s="388"/>
      <c r="J2091" s="399">
        <f t="shared" ref="J2091" si="6703">(D2066-2*F$5)/1000</f>
        <v>0.12</v>
      </c>
      <c r="K2091" s="400" t="s">
        <v>204</v>
      </c>
      <c r="L2091" s="399">
        <f t="shared" si="6693"/>
        <v>0.15</v>
      </c>
      <c r="M2091" s="399" t="s">
        <v>176</v>
      </c>
      <c r="N2091" s="399">
        <f t="shared" si="6694"/>
        <v>0.27</v>
      </c>
      <c r="O2091" s="399"/>
      <c r="P2091" s="399"/>
      <c r="Q2091" s="399"/>
      <c r="R2091" s="399"/>
      <c r="S2091" s="399"/>
      <c r="T2091" s="399" t="s">
        <v>125</v>
      </c>
      <c r="U2091" s="401">
        <f t="shared" si="6695"/>
        <v>0</v>
      </c>
      <c r="V2091" s="399" t="s">
        <v>125</v>
      </c>
      <c r="W2091" s="399">
        <f t="shared" si="6696"/>
        <v>0</v>
      </c>
      <c r="X2091" s="399" t="s">
        <v>125</v>
      </c>
      <c r="Y2091" s="389">
        <f t="shared" ref="Y2091" si="6704">D2075</f>
        <v>3</v>
      </c>
      <c r="Z2091" s="400" t="s">
        <v>176</v>
      </c>
      <c r="AA2091" s="402">
        <f t="shared" si="6698"/>
        <v>0</v>
      </c>
      <c r="AB2091" s="403"/>
    </row>
    <row r="2092" spans="1:28">
      <c r="A2092" s="391"/>
      <c r="B2092" s="392"/>
      <c r="C2092" s="392"/>
      <c r="D2092" s="394"/>
      <c r="E2092" s="388"/>
      <c r="F2092" s="388"/>
      <c r="G2092" s="388"/>
      <c r="H2092" s="395"/>
      <c r="I2092" s="388"/>
      <c r="J2092" s="402"/>
      <c r="K2092" s="388"/>
      <c r="L2092" s="388"/>
      <c r="M2092" s="388"/>
      <c r="N2092" s="388"/>
      <c r="O2092" s="388"/>
      <c r="P2092" s="388"/>
      <c r="Q2092" s="388"/>
      <c r="R2092" s="388"/>
      <c r="S2092" s="388"/>
      <c r="T2092" s="388"/>
      <c r="U2092" s="388"/>
      <c r="V2092" s="388"/>
      <c r="W2092" s="388"/>
      <c r="X2092" s="388"/>
      <c r="Y2092" s="389"/>
      <c r="Z2092" s="388"/>
      <c r="AA2092" s="402"/>
      <c r="AB2092" s="403"/>
    </row>
    <row r="2093" spans="1:28" ht="15.75" thickBot="1">
      <c r="A2093" s="406"/>
      <c r="B2093" s="407"/>
      <c r="C2093" s="407"/>
      <c r="D2093" s="408"/>
      <c r="E2093" s="409"/>
      <c r="F2093" s="409"/>
      <c r="G2093" s="409"/>
      <c r="H2093" s="410"/>
      <c r="I2093" s="409"/>
      <c r="J2093" s="409"/>
      <c r="K2093" s="409"/>
      <c r="L2093" s="409"/>
      <c r="M2093" s="409"/>
      <c r="N2093" s="409"/>
      <c r="O2093" s="409"/>
      <c r="P2093" s="409"/>
      <c r="Q2093" s="409"/>
      <c r="R2093" s="409"/>
      <c r="S2093" s="409"/>
      <c r="T2093" s="409"/>
      <c r="U2093" s="409"/>
      <c r="V2093" s="409"/>
      <c r="W2093" s="409"/>
      <c r="X2093" s="409"/>
      <c r="Y2093" s="411"/>
      <c r="Z2093" s="409"/>
      <c r="AA2093" s="412"/>
      <c r="AB2093" s="413"/>
    </row>
    <row r="2094" spans="1:28">
      <c r="A2094" s="377"/>
      <c r="B2094" s="378"/>
      <c r="C2094" s="378"/>
      <c r="D2094" s="379"/>
      <c r="E2094" s="380"/>
      <c r="F2094" s="380"/>
      <c r="G2094" s="380"/>
      <c r="H2094" s="381"/>
      <c r="I2094" s="380"/>
      <c r="J2094" s="380"/>
      <c r="K2094" s="380"/>
      <c r="L2094" s="380"/>
      <c r="M2094" s="380"/>
      <c r="N2094" s="380"/>
      <c r="O2094" s="380"/>
      <c r="P2094" s="380"/>
      <c r="Q2094" s="380"/>
      <c r="R2094" s="380"/>
      <c r="S2094" s="380"/>
      <c r="T2094" s="380"/>
      <c r="U2094" s="380"/>
      <c r="V2094" s="380"/>
      <c r="W2094" s="380"/>
      <c r="X2094" s="380"/>
      <c r="Y2094" s="382"/>
      <c r="Z2094" s="380"/>
      <c r="AA2094" s="380"/>
      <c r="AB2094" s="383"/>
    </row>
    <row r="2095" spans="1:28">
      <c r="A2095" s="384" t="str">
        <f t="shared" ref="A2095:A2155" si="6705">A2065</f>
        <v>Lantai 1</v>
      </c>
      <c r="B2095" s="385">
        <f t="shared" ref="B2095:B2155" si="6706">B2065+1</f>
        <v>68</v>
      </c>
      <c r="C2095" s="386" t="str">
        <f t="shared" ref="C2095" si="6707">CONCATENATE(A2095," no. ",B2095)</f>
        <v>Lantai 1 no. 68</v>
      </c>
      <c r="D2095" s="2562" t="str">
        <f>VLOOKUP(C2095,'Data Panjang Balok'!$C$9:$N$254,2,FALSE)</f>
        <v>S25-1</v>
      </c>
      <c r="E2095" s="2576"/>
      <c r="F2095" s="2576"/>
      <c r="G2095" s="2576"/>
      <c r="H2095" s="2577"/>
      <c r="I2095" s="387"/>
      <c r="J2095" s="388"/>
      <c r="K2095" s="388"/>
      <c r="L2095" s="388"/>
      <c r="M2095" s="388"/>
      <c r="N2095" s="388"/>
      <c r="O2095" s="388"/>
      <c r="P2095" s="388"/>
      <c r="Q2095" s="388"/>
      <c r="R2095" s="388"/>
      <c r="S2095" s="388"/>
      <c r="T2095" s="388"/>
      <c r="U2095" s="388"/>
      <c r="V2095" s="388"/>
      <c r="W2095" s="388"/>
      <c r="X2095" s="388"/>
      <c r="Y2095" s="389"/>
      <c r="Z2095" s="388"/>
      <c r="AA2095" s="388"/>
      <c r="AB2095" s="390"/>
    </row>
    <row r="2096" spans="1:28">
      <c r="A2096" s="391"/>
      <c r="B2096" s="392"/>
      <c r="C2096" s="393" t="s">
        <v>118</v>
      </c>
      <c r="D2096" s="2578">
        <f>VLOOKUP(D2095,'Detail Balok'!$C$10:$AU$140,2,FALSE)</f>
        <v>200</v>
      </c>
      <c r="E2096" s="2579"/>
      <c r="F2096" s="388" t="s">
        <v>125</v>
      </c>
      <c r="G2096" s="2579">
        <f>VLOOKUP(D2095,'Detail Balok'!$C$10:$AU$140,3,FALSE)</f>
        <v>500</v>
      </c>
      <c r="H2096" s="2580"/>
      <c r="I2096" s="388"/>
      <c r="J2096" s="396"/>
      <c r="K2096" s="396"/>
      <c r="L2096" s="396"/>
      <c r="M2096" s="396"/>
      <c r="N2096" s="396"/>
      <c r="O2096" s="396"/>
      <c r="P2096" s="396"/>
      <c r="Q2096" s="396"/>
      <c r="R2096" s="396"/>
      <c r="S2096" s="396"/>
      <c r="T2096" s="396"/>
      <c r="U2096" s="388"/>
      <c r="V2096" s="396"/>
      <c r="W2096" s="388"/>
      <c r="X2096" s="396"/>
      <c r="Y2096" s="389"/>
      <c r="Z2096" s="396"/>
      <c r="AA2096" s="388"/>
      <c r="AB2096" s="390"/>
    </row>
    <row r="2097" spans="1:28">
      <c r="A2097" s="391"/>
      <c r="B2097" s="392"/>
      <c r="C2097" s="393" t="s">
        <v>198</v>
      </c>
      <c r="D2097" s="2562">
        <f>VLOOKUP(C2095,'Data Panjang Balok'!$C$9:$N$254,4,FALSE)</f>
        <v>4805</v>
      </c>
      <c r="E2097" s="2563"/>
      <c r="F2097" s="2563"/>
      <c r="G2097" s="2563"/>
      <c r="H2097" s="2564"/>
      <c r="I2097" s="397"/>
      <c r="J2097" s="396"/>
      <c r="K2097" s="396"/>
      <c r="L2097" s="396"/>
      <c r="M2097" s="396"/>
      <c r="N2097" s="396"/>
      <c r="O2097" s="396"/>
      <c r="P2097" s="396"/>
      <c r="Q2097" s="396"/>
      <c r="R2097" s="396"/>
      <c r="S2097" s="396"/>
      <c r="T2097" s="396"/>
      <c r="U2097" s="388"/>
      <c r="V2097" s="396"/>
      <c r="W2097" s="388"/>
      <c r="X2097" s="396"/>
      <c r="Y2097" s="389"/>
      <c r="Z2097" s="396"/>
      <c r="AA2097" s="388"/>
      <c r="AB2097" s="390"/>
    </row>
    <row r="2098" spans="1:28">
      <c r="A2098" s="391"/>
      <c r="B2098" s="392"/>
      <c r="C2098" s="393" t="s">
        <v>199</v>
      </c>
      <c r="D2098" s="2562">
        <f>VLOOKUP(C2095,'Data Panjang Balok'!$C$9:$N$254,7,FALSE)</f>
        <v>4805</v>
      </c>
      <c r="E2098" s="2563"/>
      <c r="F2098" s="2563"/>
      <c r="G2098" s="2563"/>
      <c r="H2098" s="2564"/>
      <c r="I2098" s="397"/>
      <c r="J2098" s="396"/>
      <c r="K2098" s="396"/>
      <c r="L2098" s="396"/>
      <c r="M2098" s="396"/>
      <c r="N2098" s="396"/>
      <c r="O2098" s="396"/>
      <c r="P2098" s="396"/>
      <c r="Q2098" s="396"/>
      <c r="R2098" s="396"/>
      <c r="S2098" s="396"/>
      <c r="T2098" s="396"/>
      <c r="U2098" s="388"/>
      <c r="V2098" s="396"/>
      <c r="W2098" s="388"/>
      <c r="X2098" s="396"/>
      <c r="Y2098" s="389"/>
      <c r="Z2098" s="396"/>
      <c r="AA2098" s="388"/>
      <c r="AB2098" s="390"/>
    </row>
    <row r="2099" spans="1:28">
      <c r="A2099" s="391"/>
      <c r="B2099" s="392"/>
      <c r="C2099" s="393" t="s">
        <v>200</v>
      </c>
      <c r="D2099" s="2562">
        <f>VLOOKUP(C2095,'Data Panjang Balok'!$C$9:$N$254,9,FALSE)</f>
        <v>0</v>
      </c>
      <c r="E2099" s="2563"/>
      <c r="F2099" s="2563"/>
      <c r="G2099" s="2563"/>
      <c r="H2099" s="2564"/>
      <c r="I2099" s="397"/>
      <c r="J2099" s="396"/>
      <c r="K2099" s="396"/>
      <c r="L2099" s="396"/>
      <c r="M2099" s="396"/>
      <c r="N2099" s="396"/>
      <c r="O2099" s="396"/>
      <c r="P2099" s="396"/>
      <c r="Q2099" s="396"/>
      <c r="R2099" s="396"/>
      <c r="S2099" s="396"/>
      <c r="T2099" s="396"/>
      <c r="U2099" s="388"/>
      <c r="V2099" s="396"/>
      <c r="W2099" s="388"/>
      <c r="X2099" s="396"/>
      <c r="Y2099" s="389"/>
      <c r="Z2099" s="396"/>
      <c r="AA2099" s="388"/>
      <c r="AB2099" s="390"/>
    </row>
    <row r="2100" spans="1:28">
      <c r="A2100" s="391"/>
      <c r="B2100" s="392"/>
      <c r="C2100" s="393" t="s">
        <v>201</v>
      </c>
      <c r="D2100" s="2562">
        <f>VLOOKUP(C2095,'Data Panjang Balok'!$C$9:$N$254,10,FALSE)</f>
        <v>0</v>
      </c>
      <c r="E2100" s="2563"/>
      <c r="F2100" s="2563"/>
      <c r="G2100" s="2563"/>
      <c r="H2100" s="2564"/>
      <c r="I2100" s="397"/>
      <c r="J2100" s="396"/>
      <c r="K2100" s="396"/>
      <c r="L2100" s="396"/>
      <c r="M2100" s="396"/>
      <c r="N2100" s="396"/>
      <c r="O2100" s="396"/>
      <c r="P2100" s="396"/>
      <c r="Q2100" s="396"/>
      <c r="R2100" s="396"/>
      <c r="S2100" s="396"/>
      <c r="T2100" s="396"/>
      <c r="U2100" s="388"/>
      <c r="V2100" s="396"/>
      <c r="W2100" s="388"/>
      <c r="X2100" s="396"/>
      <c r="Y2100" s="389"/>
      <c r="Z2100" s="396"/>
      <c r="AA2100" s="388"/>
      <c r="AB2100" s="390"/>
    </row>
    <row r="2101" spans="1:28">
      <c r="A2101" s="391"/>
      <c r="B2101" s="392"/>
      <c r="C2101" s="393" t="s">
        <v>48</v>
      </c>
      <c r="D2101" s="2562">
        <f>VLOOKUP(C2095,'Data Panjang Balok'!$C$9:$N$254,3,FALSE)</f>
        <v>1</v>
      </c>
      <c r="E2101" s="2563"/>
      <c r="F2101" s="2563"/>
      <c r="G2101" s="2563"/>
      <c r="H2101" s="2564"/>
      <c r="I2101" s="397"/>
      <c r="J2101" s="396"/>
      <c r="K2101" s="396"/>
      <c r="L2101" s="396"/>
      <c r="M2101" s="396"/>
      <c r="N2101" s="396"/>
      <c r="O2101" s="396"/>
      <c r="P2101" s="396"/>
      <c r="Q2101" s="396"/>
      <c r="R2101" s="396"/>
      <c r="S2101" s="396"/>
      <c r="T2101" s="396"/>
      <c r="U2101" s="388"/>
      <c r="V2101" s="396"/>
      <c r="W2101" s="388"/>
      <c r="X2101" s="396"/>
      <c r="Y2101" s="389"/>
      <c r="Z2101" s="396"/>
      <c r="AA2101" s="388"/>
      <c r="AB2101" s="390"/>
    </row>
    <row r="2102" spans="1:28">
      <c r="A2102" s="384" t="str">
        <f t="shared" ref="A2102:B2102" si="6708">A2095</f>
        <v>Lantai 1</v>
      </c>
      <c r="B2102" s="385">
        <f t="shared" si="6708"/>
        <v>68</v>
      </c>
      <c r="C2102" s="393" t="s">
        <v>202</v>
      </c>
      <c r="D2102" s="398">
        <f>VLOOKUP(D2095,'Detail Balok'!$C$10:$AU$140,4,FALSE)</f>
        <v>3</v>
      </c>
      <c r="E2102" s="388" t="s">
        <v>16</v>
      </c>
      <c r="F2102" s="388">
        <f>VLOOKUP(D2095,'Detail Balok'!$C$10:$AU$140,6,FALSE)</f>
        <v>16</v>
      </c>
      <c r="G2102" s="388"/>
      <c r="H2102" s="395"/>
      <c r="I2102" s="388" t="s">
        <v>203</v>
      </c>
      <c r="J2102" s="399">
        <f t="shared" ref="J2102" si="6709">+D2097/4/1000</f>
        <v>1.2012499999999999</v>
      </c>
      <c r="K2102" s="400" t="s">
        <v>204</v>
      </c>
      <c r="L2102" s="399">
        <f t="shared" ref="L2102" si="6710">MAX(VLOOKUP(F2102,N$6:P$15,3,FALSE)/1000,2/3*D2099/1000)+F$16*F2102/1000</f>
        <v>0.192</v>
      </c>
      <c r="M2102" s="399" t="s">
        <v>176</v>
      </c>
      <c r="N2102" s="399">
        <f t="shared" ref="N2102:N2104" si="6711">J2102+L2102</f>
        <v>1.3932499999999999</v>
      </c>
      <c r="O2102" s="399" t="s">
        <v>204</v>
      </c>
      <c r="P2102" s="389">
        <f t="shared" ref="P2102" si="6712">D2102-D2103</f>
        <v>0</v>
      </c>
      <c r="Q2102" s="399" t="s">
        <v>125</v>
      </c>
      <c r="R2102" s="399">
        <f t="shared" ref="R2102" si="6713">IF(P2102&gt;0,$F$18*F2102/1000,0)</f>
        <v>0</v>
      </c>
      <c r="S2102" s="399" t="s">
        <v>205</v>
      </c>
      <c r="T2102" s="399" t="s">
        <v>125</v>
      </c>
      <c r="U2102" s="401">
        <f t="shared" ref="U2102:U2104" si="6714">0.006165*F2102^2</f>
        <v>1.5782400000000001</v>
      </c>
      <c r="V2102" s="399"/>
      <c r="W2102" s="399"/>
      <c r="X2102" s="399" t="s">
        <v>125</v>
      </c>
      <c r="Y2102" s="389">
        <f t="shared" ref="Y2102" si="6715">D2101</f>
        <v>1</v>
      </c>
      <c r="Z2102" s="400" t="s">
        <v>176</v>
      </c>
      <c r="AA2102" s="402">
        <f t="shared" ref="AA2102" si="6716">IF(AA2105=0,(D2102*N2102+P2102*R2102)*U2102*Y2102,0)</f>
        <v>0</v>
      </c>
      <c r="AB2102" s="403"/>
    </row>
    <row r="2103" spans="1:28">
      <c r="A2103" s="384" t="str">
        <f t="shared" ref="A2103:B2103" si="6717">A2095</f>
        <v>Lantai 1</v>
      </c>
      <c r="B2103" s="385">
        <f t="shared" si="6717"/>
        <v>68</v>
      </c>
      <c r="C2103" s="393" t="s">
        <v>206</v>
      </c>
      <c r="D2103" s="398">
        <f>VLOOKUP(D2095,'Detail Balok'!$C$10:$AU$140,7,FALSE)</f>
        <v>3</v>
      </c>
      <c r="E2103" s="388" t="s">
        <v>16</v>
      </c>
      <c r="F2103" s="388">
        <f>VLOOKUP(D2095,'Detail Balok'!$C$10:$AU$140,9,FALSE)</f>
        <v>16</v>
      </c>
      <c r="G2103" s="388"/>
      <c r="H2103" s="395"/>
      <c r="I2103" s="388" t="s">
        <v>203</v>
      </c>
      <c r="J2103" s="399">
        <f t="shared" ref="J2103" si="6718">+D2097/2/1000</f>
        <v>2.4024999999999999</v>
      </c>
      <c r="K2103" s="400" t="s">
        <v>204</v>
      </c>
      <c r="L2103" s="399"/>
      <c r="M2103" s="399" t="s">
        <v>176</v>
      </c>
      <c r="N2103" s="399">
        <f t="shared" si="6711"/>
        <v>2.4024999999999999</v>
      </c>
      <c r="O2103" s="399" t="s">
        <v>204</v>
      </c>
      <c r="P2103" s="389">
        <f t="shared" ref="P2103" si="6719">MAX(D2103-D2102,D2103-D2104)</f>
        <v>0</v>
      </c>
      <c r="Q2103" s="399" t="s">
        <v>125</v>
      </c>
      <c r="R2103" s="399">
        <f t="shared" ref="R2103" si="6720">IF(P2103&gt;0,2*(1-2*$F$19-1/2)*D2098/1000,0)</f>
        <v>0</v>
      </c>
      <c r="S2103" s="399" t="s">
        <v>205</v>
      </c>
      <c r="T2103" s="399" t="s">
        <v>125</v>
      </c>
      <c r="U2103" s="401">
        <f t="shared" si="6714"/>
        <v>1.5782400000000001</v>
      </c>
      <c r="V2103" s="399"/>
      <c r="W2103" s="399"/>
      <c r="X2103" s="399" t="s">
        <v>125</v>
      </c>
      <c r="Y2103" s="389">
        <f t="shared" ref="Y2103" si="6721">D2101</f>
        <v>1</v>
      </c>
      <c r="Z2103" s="400" t="s">
        <v>176</v>
      </c>
      <c r="AA2103" s="402">
        <f t="shared" ref="AA2103" si="6722">IF(AA2105=0,(D2103*N2103+P2103*R2103)*U2103*Y2103,0)</f>
        <v>0</v>
      </c>
      <c r="AB2103" s="403"/>
    </row>
    <row r="2104" spans="1:28">
      <c r="A2104" s="384" t="str">
        <f t="shared" ref="A2104:B2104" si="6723">A2095</f>
        <v>Lantai 1</v>
      </c>
      <c r="B2104" s="385">
        <f t="shared" si="6723"/>
        <v>68</v>
      </c>
      <c r="C2104" s="393" t="s">
        <v>202</v>
      </c>
      <c r="D2104" s="398">
        <f>VLOOKUP(D2095,'Detail Balok'!$C$10:$AU$140,10,FALSE)</f>
        <v>3</v>
      </c>
      <c r="E2104" s="388" t="s">
        <v>16</v>
      </c>
      <c r="F2104" s="388">
        <f>VLOOKUP(D2095,'Detail Balok'!$C$10:$AU$140,12,FALSE)</f>
        <v>16</v>
      </c>
      <c r="G2104" s="388"/>
      <c r="H2104" s="395"/>
      <c r="I2104" s="388" t="s">
        <v>203</v>
      </c>
      <c r="J2104" s="399">
        <f t="shared" ref="J2104" si="6724">+D2097/4/1000</f>
        <v>1.2012499999999999</v>
      </c>
      <c r="K2104" s="400" t="s">
        <v>204</v>
      </c>
      <c r="L2104" s="399">
        <f t="shared" ref="L2104" si="6725">MAX(VLOOKUP(F2104,N$6:P$15,3,FALSE)/1000,2/3*D2099/1000)+F$16*F2104/1000</f>
        <v>0.192</v>
      </c>
      <c r="M2104" s="399" t="s">
        <v>176</v>
      </c>
      <c r="N2104" s="399">
        <f t="shared" si="6711"/>
        <v>1.3932499999999999</v>
      </c>
      <c r="O2104" s="399" t="s">
        <v>204</v>
      </c>
      <c r="P2104" s="389">
        <f t="shared" ref="P2104" si="6726">D2104-D2103</f>
        <v>0</v>
      </c>
      <c r="Q2104" s="399" t="s">
        <v>125</v>
      </c>
      <c r="R2104" s="399">
        <f t="shared" ref="R2104" si="6727">IF(P2104&gt;0,$F$18*F2104/1000,0)</f>
        <v>0</v>
      </c>
      <c r="S2104" s="399" t="s">
        <v>205</v>
      </c>
      <c r="T2104" s="399" t="s">
        <v>125</v>
      </c>
      <c r="U2104" s="401">
        <f t="shared" si="6714"/>
        <v>1.5782400000000001</v>
      </c>
      <c r="V2104" s="399"/>
      <c r="W2104" s="399"/>
      <c r="X2104" s="399" t="s">
        <v>125</v>
      </c>
      <c r="Y2104" s="389">
        <f t="shared" ref="Y2104" si="6728">D2101</f>
        <v>1</v>
      </c>
      <c r="Z2104" s="400" t="s">
        <v>176</v>
      </c>
      <c r="AA2104" s="402">
        <f t="shared" ref="AA2104" si="6729">IF(AA2105=0,(D2104*N2104+P2104*R2104)*U2104*Y2104,0)</f>
        <v>0</v>
      </c>
      <c r="AB2104" s="403"/>
    </row>
    <row r="2105" spans="1:28">
      <c r="A2105" s="384" t="str">
        <f t="shared" ref="A2105:B2105" si="6730">A2095</f>
        <v>Lantai 1</v>
      </c>
      <c r="B2105" s="385">
        <f t="shared" si="6730"/>
        <v>68</v>
      </c>
      <c r="C2105" s="393"/>
      <c r="D2105" s="398">
        <f t="shared" si="6626"/>
        <v>3</v>
      </c>
      <c r="E2105" s="388" t="s">
        <v>16</v>
      </c>
      <c r="F2105" s="388">
        <f t="shared" si="6627"/>
        <v>16</v>
      </c>
      <c r="G2105" s="388"/>
      <c r="H2105" s="395"/>
      <c r="I2105" s="388"/>
      <c r="J2105" s="396"/>
      <c r="K2105" s="396"/>
      <c r="L2105" s="404" t="s">
        <v>207</v>
      </c>
      <c r="M2105" s="399" t="s">
        <v>176</v>
      </c>
      <c r="N2105" s="399">
        <f t="shared" ref="N2105" si="6731">IF(AND(D2102=D2103,D2102=D2104,D2103=D2104,F2102=F2103,F2102=F2104,F2103=F2104),SUM(N2102:N2104),0)</f>
        <v>5.1890000000000001</v>
      </c>
      <c r="O2105" s="399" t="s">
        <v>204</v>
      </c>
      <c r="P2105" s="389">
        <f t="shared" ref="P2105" si="6732">IF(N2105&gt;12,ROUNDDOWN(N2105/12,0),0)</f>
        <v>0</v>
      </c>
      <c r="Q2105" s="399" t="s">
        <v>125</v>
      </c>
      <c r="R2105" s="399">
        <f t="shared" ref="R2105" si="6733">IF(P2105&gt;0,MAX(VLOOKUP(F2105,$D$6:$G$15,3,FALSE),600),0)/1000</f>
        <v>0</v>
      </c>
      <c r="S2105" s="396"/>
      <c r="T2105" s="396" t="s">
        <v>125</v>
      </c>
      <c r="U2105" s="401">
        <f t="shared" si="6631"/>
        <v>1.5782400000000001</v>
      </c>
      <c r="V2105" s="396" t="s">
        <v>125</v>
      </c>
      <c r="W2105" s="399">
        <f t="shared" ref="W2105" si="6734">D2105</f>
        <v>3</v>
      </c>
      <c r="X2105" s="399" t="s">
        <v>125</v>
      </c>
      <c r="Y2105" s="389">
        <f t="shared" si="6633"/>
        <v>1</v>
      </c>
      <c r="Z2105" s="400" t="s">
        <v>176</v>
      </c>
      <c r="AA2105" s="402">
        <f t="shared" ref="AA2105" si="6735">(N2105+P2105*R2105/1000)*U2105*W2105*Y2105</f>
        <v>24.568462080000003</v>
      </c>
      <c r="AB2105" s="390"/>
    </row>
    <row r="2106" spans="1:28">
      <c r="A2106" s="384"/>
      <c r="B2106" s="385"/>
      <c r="C2106" s="393"/>
      <c r="D2106" s="398"/>
      <c r="E2106" s="388"/>
      <c r="F2106" s="388"/>
      <c r="G2106" s="388"/>
      <c r="H2106" s="395"/>
      <c r="I2106" s="388"/>
      <c r="J2106" s="396"/>
      <c r="K2106" s="396"/>
      <c r="L2106" s="404"/>
      <c r="M2106" s="399"/>
      <c r="N2106" s="399"/>
      <c r="O2106" s="396"/>
      <c r="P2106" s="389"/>
      <c r="Q2106" s="396"/>
      <c r="R2106" s="396"/>
      <c r="S2106" s="396"/>
      <c r="T2106" s="396"/>
      <c r="U2106" s="401"/>
      <c r="V2106" s="396"/>
      <c r="W2106" s="399"/>
      <c r="X2106" s="396"/>
      <c r="Y2106" s="389"/>
      <c r="Z2106" s="396"/>
      <c r="AA2106" s="388"/>
      <c r="AB2106" s="390"/>
    </row>
    <row r="2107" spans="1:28">
      <c r="A2107" s="384" t="str">
        <f t="shared" ref="A2107:B2107" si="6736">A2095</f>
        <v>Lantai 1</v>
      </c>
      <c r="B2107" s="385">
        <f t="shared" si="6736"/>
        <v>68</v>
      </c>
      <c r="C2107" s="393" t="s">
        <v>208</v>
      </c>
      <c r="D2107" s="398">
        <f>VLOOKUP(D2095,'Detail Balok'!$C$10:$AU$140,13,FALSE)</f>
        <v>2</v>
      </c>
      <c r="E2107" s="388" t="s">
        <v>16</v>
      </c>
      <c r="F2107" s="388">
        <f>VLOOKUP(D2095,'Detail Balok'!$C$10:$AU$140,15,FALSE)</f>
        <v>10</v>
      </c>
      <c r="G2107" s="388"/>
      <c r="H2107" s="395"/>
      <c r="I2107" s="388"/>
      <c r="J2107" s="399">
        <f t="shared" ref="J2107" si="6737">+D2097/1000</f>
        <v>4.8049999999999997</v>
      </c>
      <c r="K2107" s="400" t="s">
        <v>204</v>
      </c>
      <c r="L2107" s="399">
        <f t="shared" ref="L2107" si="6738">2*$F$16*F2107/1000</f>
        <v>0.24</v>
      </c>
      <c r="M2107" s="399" t="s">
        <v>176</v>
      </c>
      <c r="N2107" s="399">
        <f t="shared" ref="N2107" si="6739">J2107+L2107</f>
        <v>5.0449999999999999</v>
      </c>
      <c r="O2107" s="399" t="s">
        <v>204</v>
      </c>
      <c r="P2107" s="389">
        <f t="shared" ref="P2107" si="6740">IF(N2107&gt;12,ROUNDDOWN(N2107/12,0),0)</f>
        <v>0</v>
      </c>
      <c r="Q2107" s="399" t="s">
        <v>125</v>
      </c>
      <c r="R2107" s="399">
        <f t="shared" ref="R2107" si="6741">IF(P2107&gt;0,MAX(VLOOKUP(F2107,$D$6:$G$15,3,FALSE),600),0)/1000</f>
        <v>0</v>
      </c>
      <c r="S2107" s="399"/>
      <c r="T2107" s="399" t="s">
        <v>125</v>
      </c>
      <c r="U2107" s="401">
        <f t="shared" ref="U2107" si="6742">0.006165*F2107^2</f>
        <v>0.61650000000000005</v>
      </c>
      <c r="V2107" s="399" t="s">
        <v>125</v>
      </c>
      <c r="W2107" s="399">
        <f t="shared" ref="W2107" si="6743">+D2107</f>
        <v>2</v>
      </c>
      <c r="X2107" s="399" t="s">
        <v>125</v>
      </c>
      <c r="Y2107" s="389">
        <f t="shared" ref="Y2107" si="6744">D2101</f>
        <v>1</v>
      </c>
      <c r="Z2107" s="400" t="s">
        <v>176</v>
      </c>
      <c r="AA2107" s="402">
        <f t="shared" ref="AA2107" si="6745">(N2107+P2107*R2107/1000)*U2107*W2107*Y2107</f>
        <v>6.220485</v>
      </c>
      <c r="AB2107" s="403"/>
    </row>
    <row r="2108" spans="1:28">
      <c r="A2108" s="384"/>
      <c r="B2108" s="385"/>
      <c r="C2108" s="393"/>
      <c r="D2108" s="398"/>
      <c r="E2108" s="388"/>
      <c r="F2108" s="388"/>
      <c r="G2108" s="388"/>
      <c r="H2108" s="395"/>
      <c r="I2108" s="388"/>
      <c r="J2108" s="399"/>
      <c r="K2108" s="400"/>
      <c r="L2108" s="399"/>
      <c r="M2108" s="399"/>
      <c r="N2108" s="399"/>
      <c r="O2108" s="399"/>
      <c r="P2108" s="389"/>
      <c r="Q2108" s="399"/>
      <c r="R2108" s="399"/>
      <c r="S2108" s="399"/>
      <c r="T2108" s="399"/>
      <c r="U2108" s="401"/>
      <c r="V2108" s="399"/>
      <c r="W2108" s="399"/>
      <c r="X2108" s="399"/>
      <c r="Y2108" s="389"/>
      <c r="Z2108" s="400"/>
      <c r="AA2108" s="402"/>
      <c r="AB2108" s="403"/>
    </row>
    <row r="2109" spans="1:28">
      <c r="A2109" s="384"/>
      <c r="B2109" s="385"/>
      <c r="C2109" s="393"/>
      <c r="D2109" s="398"/>
      <c r="E2109" s="388"/>
      <c r="F2109" s="388"/>
      <c r="G2109" s="388"/>
      <c r="H2109" s="395"/>
      <c r="I2109" s="388"/>
      <c r="J2109" s="396"/>
      <c r="K2109" s="396"/>
      <c r="L2109" s="396"/>
      <c r="M2109" s="396"/>
      <c r="N2109" s="396"/>
      <c r="O2109" s="396"/>
      <c r="P2109" s="389"/>
      <c r="Q2109" s="396"/>
      <c r="R2109" s="396"/>
      <c r="S2109" s="396"/>
      <c r="T2109" s="396"/>
      <c r="U2109" s="401"/>
      <c r="V2109" s="396"/>
      <c r="W2109" s="399"/>
      <c r="X2109" s="396"/>
      <c r="Y2109" s="389"/>
      <c r="Z2109" s="396"/>
      <c r="AA2109" s="388"/>
      <c r="AB2109" s="390"/>
    </row>
    <row r="2110" spans="1:28">
      <c r="A2110" s="384" t="str">
        <f t="shared" ref="A2110:B2110" si="6746">A2095</f>
        <v>Lantai 1</v>
      </c>
      <c r="B2110" s="385">
        <f t="shared" si="6746"/>
        <v>68</v>
      </c>
      <c r="C2110" s="393" t="s">
        <v>209</v>
      </c>
      <c r="D2110" s="398">
        <f>VLOOKUP(D2095,'Detail Balok'!$C$10:$AU$140,22,FALSE)</f>
        <v>3</v>
      </c>
      <c r="E2110" s="388" t="s">
        <v>16</v>
      </c>
      <c r="F2110" s="388">
        <f>VLOOKUP(D2095,'Detail Balok'!$C$10:$AU$140,24,FALSE)</f>
        <v>16</v>
      </c>
      <c r="G2110" s="388"/>
      <c r="H2110" s="395"/>
      <c r="I2110" s="388" t="s">
        <v>203</v>
      </c>
      <c r="J2110" s="399">
        <f t="shared" si="6646"/>
        <v>1.2012499999999999</v>
      </c>
      <c r="K2110" s="400" t="s">
        <v>204</v>
      </c>
      <c r="L2110" s="399">
        <f t="shared" ref="L2110" si="6747">MAX(VLOOKUP(F2110,N$6:P$15,3,FALSE)/1000,2/3*D2100/1000)+F$16*F2110/1000</f>
        <v>0.192</v>
      </c>
      <c r="M2110" s="399" t="s">
        <v>176</v>
      </c>
      <c r="N2110" s="399">
        <f t="shared" ref="N2110:N2112" si="6748">J2110+L2110</f>
        <v>1.3932499999999999</v>
      </c>
      <c r="O2110" s="399" t="s">
        <v>204</v>
      </c>
      <c r="P2110" s="389">
        <f t="shared" ref="P2110" si="6749">D2110-D2111</f>
        <v>0</v>
      </c>
      <c r="Q2110" s="399" t="s">
        <v>125</v>
      </c>
      <c r="R2110" s="399">
        <f t="shared" ref="R2110" si="6750">IF(P2110&gt;0,$F$18*F2110/1000,0)</f>
        <v>0</v>
      </c>
      <c r="S2110" s="399" t="s">
        <v>205</v>
      </c>
      <c r="T2110" s="399" t="s">
        <v>125</v>
      </c>
      <c r="U2110" s="401">
        <f t="shared" ref="U2110:U2112" si="6751">0.006165*F2110^2</f>
        <v>1.5782400000000001</v>
      </c>
      <c r="V2110" s="399"/>
      <c r="W2110" s="399"/>
      <c r="X2110" s="399" t="s">
        <v>125</v>
      </c>
      <c r="Y2110" s="389">
        <f t="shared" ref="Y2110" si="6752">D2101</f>
        <v>1</v>
      </c>
      <c r="Z2110" s="400" t="s">
        <v>176</v>
      </c>
      <c r="AA2110" s="402">
        <f t="shared" ref="AA2110" si="6753">IF(AA2113=0,(D2110*N2110+P2110*R2110)*U2110*Y2110,0)</f>
        <v>0</v>
      </c>
      <c r="AB2110" s="403"/>
    </row>
    <row r="2111" spans="1:28">
      <c r="A2111" s="384" t="str">
        <f t="shared" ref="A2111:B2111" si="6754">A2095</f>
        <v>Lantai 1</v>
      </c>
      <c r="B2111" s="385">
        <f t="shared" si="6754"/>
        <v>68</v>
      </c>
      <c r="C2111" s="393" t="s">
        <v>210</v>
      </c>
      <c r="D2111" s="398">
        <f>VLOOKUP(D2095,'Detail Balok'!$C$10:$AU$140,25,FALSE)</f>
        <v>3</v>
      </c>
      <c r="E2111" s="388" t="s">
        <v>16</v>
      </c>
      <c r="F2111" s="388">
        <f>VLOOKUP(D2095,'Detail Balok'!$C$10:$AU$140,27,FALSE)</f>
        <v>16</v>
      </c>
      <c r="G2111" s="388"/>
      <c r="H2111" s="395"/>
      <c r="I2111" s="388" t="s">
        <v>203</v>
      </c>
      <c r="J2111" s="399">
        <f t="shared" si="6646"/>
        <v>2.4024999999999999</v>
      </c>
      <c r="K2111" s="400" t="s">
        <v>204</v>
      </c>
      <c r="L2111" s="399"/>
      <c r="M2111" s="399" t="s">
        <v>176</v>
      </c>
      <c r="N2111" s="399">
        <f t="shared" si="6748"/>
        <v>2.4024999999999999</v>
      </c>
      <c r="O2111" s="399" t="s">
        <v>204</v>
      </c>
      <c r="P2111" s="389">
        <f t="shared" ref="P2111" si="6755">MAX(D2111-D2110,D2111-D2112)</f>
        <v>0</v>
      </c>
      <c r="Q2111" s="399" t="s">
        <v>125</v>
      </c>
      <c r="R2111" s="399">
        <f t="shared" ref="R2111" si="6756">IF(P2111&gt;0,2*(1-2*$F$19-1/2)*D2098/1000,0)</f>
        <v>0</v>
      </c>
      <c r="S2111" s="399" t="s">
        <v>205</v>
      </c>
      <c r="T2111" s="399" t="s">
        <v>125</v>
      </c>
      <c r="U2111" s="401">
        <f t="shared" si="6751"/>
        <v>1.5782400000000001</v>
      </c>
      <c r="V2111" s="399"/>
      <c r="W2111" s="399"/>
      <c r="X2111" s="399" t="s">
        <v>125</v>
      </c>
      <c r="Y2111" s="389">
        <f t="shared" ref="Y2111" si="6757">D2101</f>
        <v>1</v>
      </c>
      <c r="Z2111" s="400" t="s">
        <v>176</v>
      </c>
      <c r="AA2111" s="402">
        <f t="shared" ref="AA2111" si="6758">IF(AA2113=0,(D2111*N2111+P2111*R2111)*U2111*Y2111,0)</f>
        <v>0</v>
      </c>
      <c r="AB2111" s="403"/>
    </row>
    <row r="2112" spans="1:28">
      <c r="A2112" s="384" t="str">
        <f t="shared" ref="A2112:B2112" si="6759">A2095</f>
        <v>Lantai 1</v>
      </c>
      <c r="B2112" s="385">
        <f t="shared" si="6759"/>
        <v>68</v>
      </c>
      <c r="C2112" s="393" t="s">
        <v>209</v>
      </c>
      <c r="D2112" s="398">
        <f>VLOOKUP(D2095,'Detail Balok'!$C$10:$AU$140,28,FALSE)</f>
        <v>3</v>
      </c>
      <c r="E2112" s="388" t="s">
        <v>16</v>
      </c>
      <c r="F2112" s="388">
        <f>VLOOKUP(D2095,'Detail Balok'!$C$10:$AU$140,30,FALSE)</f>
        <v>16</v>
      </c>
      <c r="G2112" s="388"/>
      <c r="H2112" s="395"/>
      <c r="I2112" s="388" t="s">
        <v>203</v>
      </c>
      <c r="J2112" s="399">
        <f t="shared" si="6646"/>
        <v>1.2012499999999999</v>
      </c>
      <c r="K2112" s="400" t="s">
        <v>204</v>
      </c>
      <c r="L2112" s="399">
        <f t="shared" ref="L2112" si="6760">MAX(VLOOKUP(F2112,N$6:P$15,3,FALSE)/1000,2/3*D2100/1000)+F$16*F2112/1000</f>
        <v>0.192</v>
      </c>
      <c r="M2112" s="399" t="s">
        <v>176</v>
      </c>
      <c r="N2112" s="399">
        <f t="shared" si="6748"/>
        <v>1.3932499999999999</v>
      </c>
      <c r="O2112" s="399" t="s">
        <v>204</v>
      </c>
      <c r="P2112" s="389">
        <f t="shared" ref="P2112" si="6761">D2112-D2111</f>
        <v>0</v>
      </c>
      <c r="Q2112" s="399" t="s">
        <v>125</v>
      </c>
      <c r="R2112" s="399">
        <f t="shared" ref="R2112" si="6762">IF(P2112&gt;0,$F$18*F2112/1000,0)</f>
        <v>0</v>
      </c>
      <c r="S2112" s="399" t="s">
        <v>205</v>
      </c>
      <c r="T2112" s="399" t="s">
        <v>125</v>
      </c>
      <c r="U2112" s="401">
        <f t="shared" si="6751"/>
        <v>1.5782400000000001</v>
      </c>
      <c r="V2112" s="399"/>
      <c r="W2112" s="399"/>
      <c r="X2112" s="399" t="s">
        <v>125</v>
      </c>
      <c r="Y2112" s="389">
        <f t="shared" ref="Y2112" si="6763">D2101</f>
        <v>1</v>
      </c>
      <c r="Z2112" s="400" t="s">
        <v>176</v>
      </c>
      <c r="AA2112" s="402">
        <f t="shared" ref="AA2112" si="6764">IF(AA2113=0,(D2112*N2112+P2112*R2112)*U2112*Y2112,0)</f>
        <v>0</v>
      </c>
      <c r="AB2112" s="403"/>
    </row>
    <row r="2113" spans="1:28">
      <c r="A2113" s="384" t="str">
        <f t="shared" ref="A2113:B2113" si="6765">A2095</f>
        <v>Lantai 1</v>
      </c>
      <c r="B2113" s="385">
        <f t="shared" si="6765"/>
        <v>68</v>
      </c>
      <c r="C2113" s="393"/>
      <c r="D2113" s="398">
        <f t="shared" si="6666"/>
        <v>3</v>
      </c>
      <c r="E2113" s="388" t="s">
        <v>16</v>
      </c>
      <c r="F2113" s="388">
        <f t="shared" si="6667"/>
        <v>16</v>
      </c>
      <c r="G2113" s="388"/>
      <c r="H2113" s="395"/>
      <c r="I2113" s="388"/>
      <c r="J2113" s="396"/>
      <c r="K2113" s="396"/>
      <c r="L2113" s="404" t="s">
        <v>207</v>
      </c>
      <c r="M2113" s="399" t="s">
        <v>176</v>
      </c>
      <c r="N2113" s="399">
        <f t="shared" ref="N2113" si="6766">IF(AND(D2110=D2111,D2110=D2112,D2111=D2112,F2110=F2111,F2110=F2112,F2111=F2112),SUM(N2110:N2112),0)</f>
        <v>5.1890000000000001</v>
      </c>
      <c r="O2113" s="399" t="s">
        <v>204</v>
      </c>
      <c r="P2113" s="389">
        <f t="shared" ref="P2113" si="6767">IF(N2113&gt;12,ROUNDDOWN(N2113/12,0),0)</f>
        <v>0</v>
      </c>
      <c r="Q2113" s="399" t="s">
        <v>125</v>
      </c>
      <c r="R2113" s="399">
        <f t="shared" ref="R2113" si="6768">IF(P2113&gt;0,MAX(VLOOKUP(F2113,$D$6:$G$15,3,FALSE),600),0)/1000</f>
        <v>0</v>
      </c>
      <c r="S2113" s="396"/>
      <c r="T2113" s="396" t="s">
        <v>125</v>
      </c>
      <c r="U2113" s="401">
        <f t="shared" si="6671"/>
        <v>1.5782400000000001</v>
      </c>
      <c r="V2113" s="396" t="s">
        <v>125</v>
      </c>
      <c r="W2113" s="399">
        <f t="shared" ref="W2113" si="6769">D2113</f>
        <v>3</v>
      </c>
      <c r="X2113" s="399" t="s">
        <v>125</v>
      </c>
      <c r="Y2113" s="389">
        <f t="shared" si="6673"/>
        <v>1</v>
      </c>
      <c r="Z2113" s="400" t="s">
        <v>176</v>
      </c>
      <c r="AA2113" s="402">
        <f t="shared" ref="AA2113" si="6770">(N2113+P2113*R2113/1000)*U2113*W2113*Y2113</f>
        <v>24.568462080000003</v>
      </c>
      <c r="AB2113" s="403"/>
    </row>
    <row r="2114" spans="1:28">
      <c r="A2114" s="384"/>
      <c r="B2114" s="385"/>
      <c r="C2114" s="393"/>
      <c r="D2114" s="394"/>
      <c r="E2114" s="388"/>
      <c r="F2114" s="388"/>
      <c r="G2114" s="388"/>
      <c r="H2114" s="395"/>
      <c r="I2114" s="388"/>
      <c r="J2114" s="399"/>
      <c r="K2114" s="396"/>
      <c r="L2114" s="396"/>
      <c r="M2114" s="396"/>
      <c r="N2114" s="396"/>
      <c r="O2114" s="396"/>
      <c r="P2114" s="389"/>
      <c r="Q2114" s="396"/>
      <c r="R2114" s="396"/>
      <c r="S2114" s="396"/>
      <c r="T2114" s="396"/>
      <c r="U2114" s="401"/>
      <c r="V2114" s="396"/>
      <c r="W2114" s="388"/>
      <c r="X2114" s="396"/>
      <c r="Y2114" s="389"/>
      <c r="Z2114" s="396"/>
      <c r="AA2114" s="388"/>
      <c r="AB2114" s="390"/>
    </row>
    <row r="2115" spans="1:28">
      <c r="A2115" s="384" t="str">
        <f t="shared" ref="A2115:B2115" si="6771">A2095</f>
        <v>Lantai 1</v>
      </c>
      <c r="B2115" s="385">
        <f t="shared" si="6771"/>
        <v>68</v>
      </c>
      <c r="C2115" s="393" t="s">
        <v>211</v>
      </c>
      <c r="D2115" s="398">
        <f>VLOOKUP(D2095,'Detail Balok'!$C$10:$AU$140,31,FALSE)</f>
        <v>0</v>
      </c>
      <c r="E2115" s="388" t="s">
        <v>16</v>
      </c>
      <c r="F2115" s="388">
        <f>VLOOKUP(D2095,'Detail Balok'!$C$10:$AU$140,33,FALSE)</f>
        <v>8</v>
      </c>
      <c r="G2115" s="405" t="s">
        <v>157</v>
      </c>
      <c r="H2115" s="395">
        <f>VLOOKUP(D2095,'Detail Balok'!$C$10:$AU$140,35,FALSE)</f>
        <v>150</v>
      </c>
      <c r="I2115" s="388"/>
      <c r="J2115" s="400">
        <f t="shared" ref="J2115" si="6772">(IF(D2115=0,(2*(D2096+G2096))-(F$5*8),IF(D2115=3,(2*(D2096+G2096))-(F$5*8)+(G2096-2*F$5),IF(D2115=4,(2*(D2096+G2096))-(F$5*8)+2*(G2096-2*F$5)))))/1000</f>
        <v>1.08</v>
      </c>
      <c r="K2115" s="400" t="s">
        <v>204</v>
      </c>
      <c r="L2115" s="399">
        <f t="shared" ref="L2115:L2117" si="6773">IF(D2115=0,2*MAX(6*F2115,75),(D2115-1)*2*MAX(6*F2115,75))/1000</f>
        <v>0.15</v>
      </c>
      <c r="M2115" s="399" t="s">
        <v>176</v>
      </c>
      <c r="N2115" s="399">
        <f t="shared" ref="N2115:N2117" si="6774">J2115+L2115</f>
        <v>1.23</v>
      </c>
      <c r="O2115" s="399"/>
      <c r="P2115" s="389"/>
      <c r="Q2115" s="399"/>
      <c r="R2115" s="399"/>
      <c r="S2115" s="399"/>
      <c r="T2115" s="399" t="s">
        <v>125</v>
      </c>
      <c r="U2115" s="401">
        <f t="shared" ref="U2115:U2117" si="6775">0.006165*F2115^2</f>
        <v>0.39456000000000002</v>
      </c>
      <c r="V2115" s="399" t="s">
        <v>125</v>
      </c>
      <c r="W2115" s="399">
        <f t="shared" ref="W2115" si="6776">IF(D2098&gt;4*G2096,ROUND(MAX(D2098/4,2*G2096)/H2115,0)+1,ROUND(D2098/H2115,0)+1)</f>
        <v>9</v>
      </c>
      <c r="X2115" s="399" t="s">
        <v>125</v>
      </c>
      <c r="Y2115" s="389">
        <f t="shared" ref="Y2115" si="6777">D2101</f>
        <v>1</v>
      </c>
      <c r="Z2115" s="400" t="s">
        <v>176</v>
      </c>
      <c r="AA2115" s="402">
        <f t="shared" ref="AA2115:AA2117" si="6778">N2115*U2115*W2115*Y2115</f>
        <v>4.3677792000000002</v>
      </c>
      <c r="AB2115" s="403"/>
    </row>
    <row r="2116" spans="1:28">
      <c r="A2116" s="384" t="str">
        <f t="shared" ref="A2116:B2116" si="6779">A2095</f>
        <v>Lantai 1</v>
      </c>
      <c r="B2116" s="385">
        <f t="shared" si="6779"/>
        <v>68</v>
      </c>
      <c r="C2116" s="393" t="s">
        <v>212</v>
      </c>
      <c r="D2116" s="398">
        <f>VLOOKUP(D2095,'Detail Balok'!$C$10:$AU$140,36,FALSE)</f>
        <v>0</v>
      </c>
      <c r="E2116" s="388" t="s">
        <v>16</v>
      </c>
      <c r="F2116" s="388">
        <f>VLOOKUP(D2095,'Detail Balok'!$C$10:$AU$140,38,FALSE)</f>
        <v>8</v>
      </c>
      <c r="G2116" s="405" t="s">
        <v>157</v>
      </c>
      <c r="H2116" s="395">
        <f>VLOOKUP(D2095,'Detail Balok'!$C$10:$AU$140,40,FALSE)</f>
        <v>200</v>
      </c>
      <c r="I2116" s="388"/>
      <c r="J2116" s="400">
        <f t="shared" ref="J2116" si="6780">(IF(D2116=0,(2*(D2096+G2096))-(F$5*8),IF(D2116=3,(2*(D2096+G2096))-(F$5*8)+(G2096-2*F$5),IF(D2116=4,(2*(D2096+G2096))-(F$5*8)+2*(G2096-2*F$5)))))/1000</f>
        <v>1.08</v>
      </c>
      <c r="K2116" s="400" t="s">
        <v>204</v>
      </c>
      <c r="L2116" s="399">
        <f t="shared" si="6773"/>
        <v>0.15</v>
      </c>
      <c r="M2116" s="399" t="s">
        <v>176</v>
      </c>
      <c r="N2116" s="399">
        <f t="shared" si="6774"/>
        <v>1.23</v>
      </c>
      <c r="O2116" s="399"/>
      <c r="P2116" s="389"/>
      <c r="Q2116" s="399"/>
      <c r="R2116" s="399"/>
      <c r="S2116" s="399"/>
      <c r="T2116" s="399" t="s">
        <v>125</v>
      </c>
      <c r="U2116" s="401">
        <f t="shared" si="6775"/>
        <v>0.39456000000000002</v>
      </c>
      <c r="V2116" s="399" t="s">
        <v>125</v>
      </c>
      <c r="W2116" s="399">
        <f t="shared" ref="W2116" si="6781">IF(D2098-MAX(D2098/4,2*G2096)*2&gt;0,ROUND((D2098-MAX(D2098/4,2*G2096)*2)/H2116,0),0)</f>
        <v>12</v>
      </c>
      <c r="X2116" s="399" t="s">
        <v>125</v>
      </c>
      <c r="Y2116" s="389">
        <f t="shared" ref="Y2116" si="6782">D2101</f>
        <v>1</v>
      </c>
      <c r="Z2116" s="400" t="s">
        <v>176</v>
      </c>
      <c r="AA2116" s="402">
        <f t="shared" si="6778"/>
        <v>5.8237056000000003</v>
      </c>
      <c r="AB2116" s="403"/>
    </row>
    <row r="2117" spans="1:28">
      <c r="A2117" s="384" t="str">
        <f t="shared" ref="A2117:B2117" si="6783">A2095</f>
        <v>Lantai 1</v>
      </c>
      <c r="B2117" s="385">
        <f t="shared" si="6783"/>
        <v>68</v>
      </c>
      <c r="C2117" s="393" t="s">
        <v>211</v>
      </c>
      <c r="D2117" s="398">
        <f>VLOOKUP(D2095,'Detail Balok'!$C$10:$AU$140,41,FALSE)</f>
        <v>0</v>
      </c>
      <c r="E2117" s="388" t="s">
        <v>16</v>
      </c>
      <c r="F2117" s="388">
        <f>VLOOKUP(D2095,'Detail Balok'!$C$10:$AU$140,43,FALSE)</f>
        <v>8</v>
      </c>
      <c r="G2117" s="405" t="s">
        <v>157</v>
      </c>
      <c r="H2117" s="395">
        <f>VLOOKUP(D2095,'Detail Balok'!$C$10:$AU$140,45,FALSE)</f>
        <v>150</v>
      </c>
      <c r="I2117" s="388"/>
      <c r="J2117" s="400">
        <f t="shared" ref="J2117" si="6784">(IF(D2117=0,(2*(D2096+G2096))-(F$5*8),IF(D2117=3,(2*(D2096+G2096))-(F$5*8)+(G2096-2*F$5),IF(D2117=4,(2*(D2096+G2096))-(F$5*8)+2*(G2096-2*F$5)))))/1000</f>
        <v>1.08</v>
      </c>
      <c r="K2117" s="400" t="s">
        <v>204</v>
      </c>
      <c r="L2117" s="399">
        <f t="shared" si="6773"/>
        <v>0.15</v>
      </c>
      <c r="M2117" s="399" t="s">
        <v>176</v>
      </c>
      <c r="N2117" s="399">
        <f t="shared" si="6774"/>
        <v>1.23</v>
      </c>
      <c r="O2117" s="399"/>
      <c r="P2117" s="389"/>
      <c r="Q2117" s="399"/>
      <c r="R2117" s="399"/>
      <c r="S2117" s="399"/>
      <c r="T2117" s="399" t="s">
        <v>125</v>
      </c>
      <c r="U2117" s="401">
        <f t="shared" si="6775"/>
        <v>0.39456000000000002</v>
      </c>
      <c r="V2117" s="399" t="s">
        <v>125</v>
      </c>
      <c r="W2117" s="399">
        <f t="shared" ref="W2117" si="6785">IF(D2098&gt;4*G2096,ROUND(MAX(D2098/4,2*G2096)/H2117,0)+1,0)</f>
        <v>9</v>
      </c>
      <c r="X2117" s="399" t="s">
        <v>125</v>
      </c>
      <c r="Y2117" s="389">
        <f t="shared" ref="Y2117" si="6786">D2101</f>
        <v>1</v>
      </c>
      <c r="Z2117" s="400" t="s">
        <v>176</v>
      </c>
      <c r="AA2117" s="402">
        <f t="shared" si="6778"/>
        <v>4.3677792000000002</v>
      </c>
      <c r="AB2117" s="403"/>
    </row>
    <row r="2118" spans="1:28">
      <c r="A2118" s="384"/>
      <c r="B2118" s="385"/>
      <c r="C2118" s="393"/>
      <c r="D2118" s="394"/>
      <c r="E2118" s="388"/>
      <c r="F2118" s="388"/>
      <c r="G2118" s="388"/>
      <c r="H2118" s="395"/>
      <c r="I2118" s="388"/>
      <c r="J2118" s="399"/>
      <c r="K2118" s="396"/>
      <c r="L2118" s="396"/>
      <c r="M2118" s="396"/>
      <c r="N2118" s="396"/>
      <c r="O2118" s="396"/>
      <c r="P2118" s="389"/>
      <c r="Q2118" s="396"/>
      <c r="R2118" s="396"/>
      <c r="S2118" s="396"/>
      <c r="T2118" s="396"/>
      <c r="U2118" s="401"/>
      <c r="V2118" s="396"/>
      <c r="W2118" s="388"/>
      <c r="X2118" s="396"/>
      <c r="Y2118" s="389"/>
      <c r="Z2118" s="396"/>
      <c r="AA2118" s="388"/>
      <c r="AB2118" s="390"/>
    </row>
    <row r="2119" spans="1:28">
      <c r="A2119" s="384" t="str">
        <f t="shared" ref="A2119:B2119" si="6787">A2095</f>
        <v>Lantai 1</v>
      </c>
      <c r="B2119" s="385">
        <f t="shared" si="6787"/>
        <v>68</v>
      </c>
      <c r="C2119" s="393" t="s">
        <v>213</v>
      </c>
      <c r="D2119" s="398">
        <f>VLOOKUP(D2095,'Detail Balok'!$C$10:$BJ$140,46,FALSE)</f>
        <v>0</v>
      </c>
      <c r="E2119" s="388" t="s">
        <v>16</v>
      </c>
      <c r="F2119" s="388">
        <f>VLOOKUP(D2095,'Detail Balok'!$C$10:$BJ$140,48,FALSE)</f>
        <v>0</v>
      </c>
      <c r="G2119" s="405" t="s">
        <v>157</v>
      </c>
      <c r="H2119" s="395">
        <f>VLOOKUP(D2095,'Detail Balok'!$C$10:$BJ$140,50,FALSE)</f>
        <v>100</v>
      </c>
      <c r="I2119" s="388"/>
      <c r="J2119" s="399">
        <f t="shared" ref="J2119" si="6788">(D2096-2*F$5)/1000</f>
        <v>0.12</v>
      </c>
      <c r="K2119" s="400" t="s">
        <v>204</v>
      </c>
      <c r="L2119" s="399">
        <f t="shared" ref="L2119:L2121" si="6789">IF(D2119=0,2*MAX(6*F2119,75),(D2119-1)*2*MAX(6*F2119,75))/1000</f>
        <v>0.15</v>
      </c>
      <c r="M2119" s="399" t="s">
        <v>176</v>
      </c>
      <c r="N2119" s="399">
        <f t="shared" ref="N2119:N2121" si="6790">J2119+L2119</f>
        <v>0.27</v>
      </c>
      <c r="O2119" s="399"/>
      <c r="P2119" s="399"/>
      <c r="Q2119" s="399"/>
      <c r="R2119" s="399"/>
      <c r="S2119" s="399"/>
      <c r="T2119" s="399" t="s">
        <v>125</v>
      </c>
      <c r="U2119" s="401">
        <f t="shared" ref="U2119:U2121" si="6791">0.006165*F2119^2</f>
        <v>0</v>
      </c>
      <c r="V2119" s="399" t="s">
        <v>125</v>
      </c>
      <c r="W2119" s="399">
        <f t="shared" si="6696"/>
        <v>9</v>
      </c>
      <c r="X2119" s="399" t="s">
        <v>125</v>
      </c>
      <c r="Y2119" s="389">
        <f t="shared" ref="Y2119" si="6792">D2105</f>
        <v>3</v>
      </c>
      <c r="Z2119" s="400" t="s">
        <v>176</v>
      </c>
      <c r="AA2119" s="402">
        <f t="shared" ref="AA2119:AA2121" si="6793">N2119*U2119*W2119*Y2119</f>
        <v>0</v>
      </c>
      <c r="AB2119" s="403"/>
    </row>
    <row r="2120" spans="1:28">
      <c r="A2120" s="384" t="str">
        <f t="shared" ref="A2120:B2120" si="6794">A2095</f>
        <v>Lantai 1</v>
      </c>
      <c r="B2120" s="385">
        <f t="shared" si="6794"/>
        <v>68</v>
      </c>
      <c r="C2120" s="393" t="s">
        <v>214</v>
      </c>
      <c r="D2120" s="398">
        <f>VLOOKUP(D2095,'Detail Balok'!$C$10:$BJ$140,51,FALSE)</f>
        <v>0</v>
      </c>
      <c r="E2120" s="388" t="s">
        <v>16</v>
      </c>
      <c r="F2120" s="388">
        <f>VLOOKUP(D2095,'Detail Balok'!$C$10:$BJ$140,53,FALSE)</f>
        <v>0</v>
      </c>
      <c r="G2120" s="405" t="s">
        <v>157</v>
      </c>
      <c r="H2120" s="395">
        <f>VLOOKUP(D2095,'Detail Balok'!$C$10:$BJ$140,55,FALSE)</f>
        <v>100</v>
      </c>
      <c r="I2120" s="388"/>
      <c r="J2120" s="399">
        <f t="shared" ref="J2120" si="6795">(D2096-2*F$5)/1000</f>
        <v>0.12</v>
      </c>
      <c r="K2120" s="400" t="s">
        <v>204</v>
      </c>
      <c r="L2120" s="399">
        <f t="shared" si="6789"/>
        <v>0.15</v>
      </c>
      <c r="M2120" s="399" t="s">
        <v>176</v>
      </c>
      <c r="N2120" s="399">
        <f t="shared" si="6790"/>
        <v>0.27</v>
      </c>
      <c r="O2120" s="399"/>
      <c r="P2120" s="399"/>
      <c r="Q2120" s="399"/>
      <c r="R2120" s="399"/>
      <c r="S2120" s="399"/>
      <c r="T2120" s="399" t="s">
        <v>125</v>
      </c>
      <c r="U2120" s="401">
        <f t="shared" si="6791"/>
        <v>0</v>
      </c>
      <c r="V2120" s="399" t="s">
        <v>125</v>
      </c>
      <c r="W2120" s="399">
        <f t="shared" si="6696"/>
        <v>12</v>
      </c>
      <c r="X2120" s="399" t="s">
        <v>125</v>
      </c>
      <c r="Y2120" s="389">
        <f t="shared" ref="Y2120" si="6796">D2105</f>
        <v>3</v>
      </c>
      <c r="Z2120" s="400" t="s">
        <v>176</v>
      </c>
      <c r="AA2120" s="402">
        <f t="shared" si="6793"/>
        <v>0</v>
      </c>
      <c r="AB2120" s="403"/>
    </row>
    <row r="2121" spans="1:28">
      <c r="A2121" s="384" t="str">
        <f t="shared" ref="A2121:B2121" si="6797">A2095</f>
        <v>Lantai 1</v>
      </c>
      <c r="B2121" s="385">
        <f t="shared" si="6797"/>
        <v>68</v>
      </c>
      <c r="C2121" s="393" t="s">
        <v>213</v>
      </c>
      <c r="D2121" s="398">
        <f>VLOOKUP(D2095,'Detail Balok'!$C$10:$BJ$140,56,FALSE)</f>
        <v>0</v>
      </c>
      <c r="E2121" s="388" t="s">
        <v>16</v>
      </c>
      <c r="F2121" s="388">
        <f>VLOOKUP(D2095,'Detail Balok'!$C$10:$BJ$140,58,FALSE)</f>
        <v>0</v>
      </c>
      <c r="G2121" s="405" t="s">
        <v>157</v>
      </c>
      <c r="H2121" s="395">
        <f>VLOOKUP(D2095,'Detail Balok'!$C$10:$BJ$140,60,FALSE)</f>
        <v>100</v>
      </c>
      <c r="I2121" s="388"/>
      <c r="J2121" s="399">
        <f t="shared" ref="J2121" si="6798">(D2096-2*F$5)/1000</f>
        <v>0.12</v>
      </c>
      <c r="K2121" s="400" t="s">
        <v>204</v>
      </c>
      <c r="L2121" s="399">
        <f t="shared" si="6789"/>
        <v>0.15</v>
      </c>
      <c r="M2121" s="399" t="s">
        <v>176</v>
      </c>
      <c r="N2121" s="399">
        <f t="shared" si="6790"/>
        <v>0.27</v>
      </c>
      <c r="O2121" s="399"/>
      <c r="P2121" s="399"/>
      <c r="Q2121" s="399"/>
      <c r="R2121" s="399"/>
      <c r="S2121" s="399"/>
      <c r="T2121" s="399" t="s">
        <v>125</v>
      </c>
      <c r="U2121" s="401">
        <f t="shared" si="6791"/>
        <v>0</v>
      </c>
      <c r="V2121" s="399" t="s">
        <v>125</v>
      </c>
      <c r="W2121" s="399">
        <f t="shared" si="6696"/>
        <v>9</v>
      </c>
      <c r="X2121" s="399" t="s">
        <v>125</v>
      </c>
      <c r="Y2121" s="389">
        <f t="shared" ref="Y2121" si="6799">D2105</f>
        <v>3</v>
      </c>
      <c r="Z2121" s="400" t="s">
        <v>176</v>
      </c>
      <c r="AA2121" s="402">
        <f t="shared" si="6793"/>
        <v>0</v>
      </c>
      <c r="AB2121" s="403"/>
    </row>
    <row r="2122" spans="1:28">
      <c r="A2122" s="391"/>
      <c r="B2122" s="392"/>
      <c r="C2122" s="392"/>
      <c r="D2122" s="394"/>
      <c r="E2122" s="388"/>
      <c r="F2122" s="388"/>
      <c r="G2122" s="388"/>
      <c r="H2122" s="395"/>
      <c r="I2122" s="388"/>
      <c r="J2122" s="402"/>
      <c r="K2122" s="388"/>
      <c r="L2122" s="388"/>
      <c r="M2122" s="388"/>
      <c r="N2122" s="388"/>
      <c r="O2122" s="388"/>
      <c r="P2122" s="388"/>
      <c r="Q2122" s="388"/>
      <c r="R2122" s="388"/>
      <c r="S2122" s="388"/>
      <c r="T2122" s="388"/>
      <c r="U2122" s="388"/>
      <c r="V2122" s="388"/>
      <c r="W2122" s="388"/>
      <c r="X2122" s="388"/>
      <c r="Y2122" s="389"/>
      <c r="Z2122" s="388"/>
      <c r="AA2122" s="402"/>
      <c r="AB2122" s="403"/>
    </row>
    <row r="2123" spans="1:28" ht="15.75" thickBot="1">
      <c r="A2123" s="406"/>
      <c r="B2123" s="407"/>
      <c r="C2123" s="407"/>
      <c r="D2123" s="408"/>
      <c r="E2123" s="409"/>
      <c r="F2123" s="409"/>
      <c r="G2123" s="409"/>
      <c r="H2123" s="410"/>
      <c r="I2123" s="409"/>
      <c r="J2123" s="409"/>
      <c r="K2123" s="409"/>
      <c r="L2123" s="409"/>
      <c r="M2123" s="409"/>
      <c r="N2123" s="409"/>
      <c r="O2123" s="409"/>
      <c r="P2123" s="409"/>
      <c r="Q2123" s="409"/>
      <c r="R2123" s="409"/>
      <c r="S2123" s="409"/>
      <c r="T2123" s="409"/>
      <c r="U2123" s="409"/>
      <c r="V2123" s="409"/>
      <c r="W2123" s="409"/>
      <c r="X2123" s="409"/>
      <c r="Y2123" s="411"/>
      <c r="Z2123" s="409"/>
      <c r="AA2123" s="412"/>
      <c r="AB2123" s="413"/>
    </row>
    <row r="2124" spans="1:28">
      <c r="A2124" s="377"/>
      <c r="B2124" s="378"/>
      <c r="C2124" s="378"/>
      <c r="D2124" s="379"/>
      <c r="E2124" s="380"/>
      <c r="F2124" s="380"/>
      <c r="G2124" s="380"/>
      <c r="H2124" s="381"/>
      <c r="I2124" s="380"/>
      <c r="J2124" s="380"/>
      <c r="K2124" s="380"/>
      <c r="L2124" s="380"/>
      <c r="M2124" s="380"/>
      <c r="N2124" s="380"/>
      <c r="O2124" s="380"/>
      <c r="P2124" s="380"/>
      <c r="Q2124" s="380"/>
      <c r="R2124" s="380"/>
      <c r="S2124" s="380"/>
      <c r="T2124" s="380"/>
      <c r="U2124" s="380"/>
      <c r="V2124" s="380"/>
      <c r="W2124" s="380"/>
      <c r="X2124" s="380"/>
      <c r="Y2124" s="382"/>
      <c r="Z2124" s="380"/>
      <c r="AA2124" s="380"/>
      <c r="AB2124" s="383"/>
    </row>
    <row r="2125" spans="1:28">
      <c r="A2125" s="384" t="str">
        <f t="shared" si="6705"/>
        <v>Lantai 1</v>
      </c>
      <c r="B2125" s="385">
        <f t="shared" si="6706"/>
        <v>69</v>
      </c>
      <c r="C2125" s="386" t="str">
        <f t="shared" ref="C2125" si="6800">CONCATENATE(A2125," no. ",B2125)</f>
        <v>Lantai 1 no. 69</v>
      </c>
      <c r="D2125" s="2562" t="str">
        <f>VLOOKUP(C2125,'Data Panjang Balok'!$C$9:$N$254,2,FALSE)</f>
        <v>S25-1</v>
      </c>
      <c r="E2125" s="2576"/>
      <c r="F2125" s="2576"/>
      <c r="G2125" s="2576"/>
      <c r="H2125" s="2577"/>
      <c r="I2125" s="387"/>
      <c r="J2125" s="388"/>
      <c r="K2125" s="388"/>
      <c r="L2125" s="388"/>
      <c r="M2125" s="388"/>
      <c r="N2125" s="388"/>
      <c r="O2125" s="388"/>
      <c r="P2125" s="388"/>
      <c r="Q2125" s="388"/>
      <c r="R2125" s="388"/>
      <c r="S2125" s="388"/>
      <c r="T2125" s="388"/>
      <c r="U2125" s="388"/>
      <c r="V2125" s="388"/>
      <c r="W2125" s="388"/>
      <c r="X2125" s="388"/>
      <c r="Y2125" s="389"/>
      <c r="Z2125" s="388"/>
      <c r="AA2125" s="388"/>
      <c r="AB2125" s="390"/>
    </row>
    <row r="2126" spans="1:28">
      <c r="A2126" s="391"/>
      <c r="B2126" s="392"/>
      <c r="C2126" s="393" t="s">
        <v>118</v>
      </c>
      <c r="D2126" s="2578">
        <f>VLOOKUP(D2125,'Detail Balok'!$C$10:$AU$140,2,FALSE)</f>
        <v>200</v>
      </c>
      <c r="E2126" s="2579"/>
      <c r="F2126" s="388" t="s">
        <v>125</v>
      </c>
      <c r="G2126" s="2579">
        <f>VLOOKUP(D2125,'Detail Balok'!$C$10:$AU$140,3,FALSE)</f>
        <v>500</v>
      </c>
      <c r="H2126" s="2580"/>
      <c r="I2126" s="388"/>
      <c r="J2126" s="396"/>
      <c r="K2126" s="396"/>
      <c r="L2126" s="396"/>
      <c r="M2126" s="396"/>
      <c r="N2126" s="396"/>
      <c r="O2126" s="396"/>
      <c r="P2126" s="396"/>
      <c r="Q2126" s="396"/>
      <c r="R2126" s="396"/>
      <c r="S2126" s="396"/>
      <c r="T2126" s="396"/>
      <c r="U2126" s="388"/>
      <c r="V2126" s="396"/>
      <c r="W2126" s="388"/>
      <c r="X2126" s="396"/>
      <c r="Y2126" s="389"/>
      <c r="Z2126" s="396"/>
      <c r="AA2126" s="388"/>
      <c r="AB2126" s="390"/>
    </row>
    <row r="2127" spans="1:28">
      <c r="A2127" s="391"/>
      <c r="B2127" s="392"/>
      <c r="C2127" s="393" t="s">
        <v>198</v>
      </c>
      <c r="D2127" s="2562">
        <f>VLOOKUP(C2125,'Data Panjang Balok'!$C$9:$N$254,4,FALSE)</f>
        <v>4805</v>
      </c>
      <c r="E2127" s="2563"/>
      <c r="F2127" s="2563"/>
      <c r="G2127" s="2563"/>
      <c r="H2127" s="2564"/>
      <c r="I2127" s="397"/>
      <c r="J2127" s="396"/>
      <c r="K2127" s="396"/>
      <c r="L2127" s="396"/>
      <c r="M2127" s="396"/>
      <c r="N2127" s="396"/>
      <c r="O2127" s="396"/>
      <c r="P2127" s="396"/>
      <c r="Q2127" s="396"/>
      <c r="R2127" s="396"/>
      <c r="S2127" s="396"/>
      <c r="T2127" s="396"/>
      <c r="U2127" s="388"/>
      <c r="V2127" s="396"/>
      <c r="W2127" s="388"/>
      <c r="X2127" s="396"/>
      <c r="Y2127" s="389"/>
      <c r="Z2127" s="396"/>
      <c r="AA2127" s="388"/>
      <c r="AB2127" s="390"/>
    </row>
    <row r="2128" spans="1:28">
      <c r="A2128" s="391"/>
      <c r="B2128" s="392"/>
      <c r="C2128" s="393" t="s">
        <v>199</v>
      </c>
      <c r="D2128" s="2562">
        <f>VLOOKUP(C2125,'Data Panjang Balok'!$C$9:$N$254,7,FALSE)</f>
        <v>4805</v>
      </c>
      <c r="E2128" s="2563"/>
      <c r="F2128" s="2563"/>
      <c r="G2128" s="2563"/>
      <c r="H2128" s="2564"/>
      <c r="I2128" s="397"/>
      <c r="J2128" s="396"/>
      <c r="K2128" s="396"/>
      <c r="L2128" s="396"/>
      <c r="M2128" s="396"/>
      <c r="N2128" s="396"/>
      <c r="O2128" s="396"/>
      <c r="P2128" s="396"/>
      <c r="Q2128" s="396"/>
      <c r="R2128" s="396"/>
      <c r="S2128" s="396"/>
      <c r="T2128" s="396"/>
      <c r="U2128" s="388"/>
      <c r="V2128" s="396"/>
      <c r="W2128" s="388"/>
      <c r="X2128" s="396"/>
      <c r="Y2128" s="389"/>
      <c r="Z2128" s="396"/>
      <c r="AA2128" s="388"/>
      <c r="AB2128" s="390"/>
    </row>
    <row r="2129" spans="1:28">
      <c r="A2129" s="391"/>
      <c r="B2129" s="392"/>
      <c r="C2129" s="393" t="s">
        <v>200</v>
      </c>
      <c r="D2129" s="2562">
        <f>VLOOKUP(C2125,'Data Panjang Balok'!$C$9:$N$254,9,FALSE)</f>
        <v>0</v>
      </c>
      <c r="E2129" s="2563"/>
      <c r="F2129" s="2563"/>
      <c r="G2129" s="2563"/>
      <c r="H2129" s="2564"/>
      <c r="I2129" s="397"/>
      <c r="J2129" s="396"/>
      <c r="K2129" s="396"/>
      <c r="L2129" s="396"/>
      <c r="M2129" s="396"/>
      <c r="N2129" s="396"/>
      <c r="O2129" s="396"/>
      <c r="P2129" s="396"/>
      <c r="Q2129" s="396"/>
      <c r="R2129" s="396"/>
      <c r="S2129" s="396"/>
      <c r="T2129" s="396"/>
      <c r="U2129" s="388"/>
      <c r="V2129" s="396"/>
      <c r="W2129" s="388"/>
      <c r="X2129" s="396"/>
      <c r="Y2129" s="389"/>
      <c r="Z2129" s="396"/>
      <c r="AA2129" s="388"/>
      <c r="AB2129" s="390"/>
    </row>
    <row r="2130" spans="1:28">
      <c r="A2130" s="391"/>
      <c r="B2130" s="392"/>
      <c r="C2130" s="393" t="s">
        <v>201</v>
      </c>
      <c r="D2130" s="2562">
        <f>VLOOKUP(C2125,'Data Panjang Balok'!$C$9:$N$254,10,FALSE)</f>
        <v>0</v>
      </c>
      <c r="E2130" s="2563"/>
      <c r="F2130" s="2563"/>
      <c r="G2130" s="2563"/>
      <c r="H2130" s="2564"/>
      <c r="I2130" s="397"/>
      <c r="J2130" s="396"/>
      <c r="K2130" s="396"/>
      <c r="L2130" s="396"/>
      <c r="M2130" s="396"/>
      <c r="N2130" s="396"/>
      <c r="O2130" s="396"/>
      <c r="P2130" s="396"/>
      <c r="Q2130" s="396"/>
      <c r="R2130" s="396"/>
      <c r="S2130" s="396"/>
      <c r="T2130" s="396"/>
      <c r="U2130" s="388"/>
      <c r="V2130" s="396"/>
      <c r="W2130" s="388"/>
      <c r="X2130" s="396"/>
      <c r="Y2130" s="389"/>
      <c r="Z2130" s="396"/>
      <c r="AA2130" s="388"/>
      <c r="AB2130" s="390"/>
    </row>
    <row r="2131" spans="1:28">
      <c r="A2131" s="391"/>
      <c r="B2131" s="392"/>
      <c r="C2131" s="393" t="s">
        <v>48</v>
      </c>
      <c r="D2131" s="2562">
        <f>VLOOKUP(C2125,'Data Panjang Balok'!$C$9:$N$254,3,FALSE)</f>
        <v>1</v>
      </c>
      <c r="E2131" s="2563"/>
      <c r="F2131" s="2563"/>
      <c r="G2131" s="2563"/>
      <c r="H2131" s="2564"/>
      <c r="I2131" s="397"/>
      <c r="J2131" s="396"/>
      <c r="K2131" s="396"/>
      <c r="L2131" s="396"/>
      <c r="M2131" s="396"/>
      <c r="N2131" s="396"/>
      <c r="O2131" s="396"/>
      <c r="P2131" s="396"/>
      <c r="Q2131" s="396"/>
      <c r="R2131" s="396"/>
      <c r="S2131" s="396"/>
      <c r="T2131" s="396"/>
      <c r="U2131" s="388"/>
      <c r="V2131" s="396"/>
      <c r="W2131" s="388"/>
      <c r="X2131" s="396"/>
      <c r="Y2131" s="389"/>
      <c r="Z2131" s="396"/>
      <c r="AA2131" s="388"/>
      <c r="AB2131" s="390"/>
    </row>
    <row r="2132" spans="1:28">
      <c r="A2132" s="384" t="str">
        <f t="shared" ref="A2132:B2132" si="6801">A2125</f>
        <v>Lantai 1</v>
      </c>
      <c r="B2132" s="385">
        <f t="shared" si="6801"/>
        <v>69</v>
      </c>
      <c r="C2132" s="393" t="s">
        <v>202</v>
      </c>
      <c r="D2132" s="398">
        <f>VLOOKUP(D2125,'Detail Balok'!$C$10:$AU$140,4,FALSE)</f>
        <v>3</v>
      </c>
      <c r="E2132" s="388" t="s">
        <v>16</v>
      </c>
      <c r="F2132" s="388">
        <f>VLOOKUP(D2125,'Detail Balok'!$C$10:$AU$140,6,FALSE)</f>
        <v>16</v>
      </c>
      <c r="G2132" s="388"/>
      <c r="H2132" s="395"/>
      <c r="I2132" s="388" t="s">
        <v>203</v>
      </c>
      <c r="J2132" s="399">
        <f t="shared" ref="J2132" si="6802">+D2127/4/1000</f>
        <v>1.2012499999999999</v>
      </c>
      <c r="K2132" s="400" t="s">
        <v>204</v>
      </c>
      <c r="L2132" s="399">
        <f t="shared" ref="L2132" si="6803">MAX(VLOOKUP(F2132,N$6:P$15,3,FALSE)/1000,2/3*D2129/1000)+F$16*F2132/1000</f>
        <v>0.192</v>
      </c>
      <c r="M2132" s="399" t="s">
        <v>176</v>
      </c>
      <c r="N2132" s="399">
        <f t="shared" ref="N2132:N2134" si="6804">J2132+L2132</f>
        <v>1.3932499999999999</v>
      </c>
      <c r="O2132" s="399" t="s">
        <v>204</v>
      </c>
      <c r="P2132" s="389">
        <f t="shared" ref="P2132" si="6805">D2132-D2133</f>
        <v>0</v>
      </c>
      <c r="Q2132" s="399" t="s">
        <v>125</v>
      </c>
      <c r="R2132" s="399">
        <f t="shared" ref="R2132" si="6806">IF(P2132&gt;0,$F$18*F2132/1000,0)</f>
        <v>0</v>
      </c>
      <c r="S2132" s="399" t="s">
        <v>205</v>
      </c>
      <c r="T2132" s="399" t="s">
        <v>125</v>
      </c>
      <c r="U2132" s="401">
        <f t="shared" ref="U2132:U2134" si="6807">0.006165*F2132^2</f>
        <v>1.5782400000000001</v>
      </c>
      <c r="V2132" s="399"/>
      <c r="W2132" s="399"/>
      <c r="X2132" s="399" t="s">
        <v>125</v>
      </c>
      <c r="Y2132" s="389">
        <f t="shared" ref="Y2132" si="6808">D2131</f>
        <v>1</v>
      </c>
      <c r="Z2132" s="400" t="s">
        <v>176</v>
      </c>
      <c r="AA2132" s="402">
        <f t="shared" ref="AA2132" si="6809">IF(AA2135=0,(D2132*N2132+P2132*R2132)*U2132*Y2132,0)</f>
        <v>0</v>
      </c>
      <c r="AB2132" s="403"/>
    </row>
    <row r="2133" spans="1:28">
      <c r="A2133" s="384" t="str">
        <f t="shared" ref="A2133:B2133" si="6810">A2125</f>
        <v>Lantai 1</v>
      </c>
      <c r="B2133" s="385">
        <f t="shared" si="6810"/>
        <v>69</v>
      </c>
      <c r="C2133" s="393" t="s">
        <v>206</v>
      </c>
      <c r="D2133" s="398">
        <f>VLOOKUP(D2125,'Detail Balok'!$C$10:$AU$140,7,FALSE)</f>
        <v>3</v>
      </c>
      <c r="E2133" s="388" t="s">
        <v>16</v>
      </c>
      <c r="F2133" s="388">
        <f>VLOOKUP(D2125,'Detail Balok'!$C$10:$AU$140,9,FALSE)</f>
        <v>16</v>
      </c>
      <c r="G2133" s="388"/>
      <c r="H2133" s="395"/>
      <c r="I2133" s="388" t="s">
        <v>203</v>
      </c>
      <c r="J2133" s="399">
        <f t="shared" ref="J2133" si="6811">+D2127/2/1000</f>
        <v>2.4024999999999999</v>
      </c>
      <c r="K2133" s="400" t="s">
        <v>204</v>
      </c>
      <c r="L2133" s="399"/>
      <c r="M2133" s="399" t="s">
        <v>176</v>
      </c>
      <c r="N2133" s="399">
        <f t="shared" si="6804"/>
        <v>2.4024999999999999</v>
      </c>
      <c r="O2133" s="399" t="s">
        <v>204</v>
      </c>
      <c r="P2133" s="389">
        <f t="shared" ref="P2133" si="6812">MAX(D2133-D2132,D2133-D2134)</f>
        <v>0</v>
      </c>
      <c r="Q2133" s="399" t="s">
        <v>125</v>
      </c>
      <c r="R2133" s="399">
        <f t="shared" ref="R2133" si="6813">IF(P2133&gt;0,2*(1-2*$F$19-1/2)*D2128/1000,0)</f>
        <v>0</v>
      </c>
      <c r="S2133" s="399" t="s">
        <v>205</v>
      </c>
      <c r="T2133" s="399" t="s">
        <v>125</v>
      </c>
      <c r="U2133" s="401">
        <f t="shared" si="6807"/>
        <v>1.5782400000000001</v>
      </c>
      <c r="V2133" s="399"/>
      <c r="W2133" s="399"/>
      <c r="X2133" s="399" t="s">
        <v>125</v>
      </c>
      <c r="Y2133" s="389">
        <f t="shared" ref="Y2133" si="6814">D2131</f>
        <v>1</v>
      </c>
      <c r="Z2133" s="400" t="s">
        <v>176</v>
      </c>
      <c r="AA2133" s="402">
        <f t="shared" ref="AA2133" si="6815">IF(AA2135=0,(D2133*N2133+P2133*R2133)*U2133*Y2133,0)</f>
        <v>0</v>
      </c>
      <c r="AB2133" s="403"/>
    </row>
    <row r="2134" spans="1:28">
      <c r="A2134" s="384" t="str">
        <f t="shared" ref="A2134:B2134" si="6816">A2125</f>
        <v>Lantai 1</v>
      </c>
      <c r="B2134" s="385">
        <f t="shared" si="6816"/>
        <v>69</v>
      </c>
      <c r="C2134" s="393" t="s">
        <v>202</v>
      </c>
      <c r="D2134" s="398">
        <f>VLOOKUP(D2125,'Detail Balok'!$C$10:$AU$140,10,FALSE)</f>
        <v>3</v>
      </c>
      <c r="E2134" s="388" t="s">
        <v>16</v>
      </c>
      <c r="F2134" s="388">
        <f>VLOOKUP(D2125,'Detail Balok'!$C$10:$AU$140,12,FALSE)</f>
        <v>16</v>
      </c>
      <c r="G2134" s="388"/>
      <c r="H2134" s="395"/>
      <c r="I2134" s="388" t="s">
        <v>203</v>
      </c>
      <c r="J2134" s="399">
        <f t="shared" ref="J2134" si="6817">+D2127/4/1000</f>
        <v>1.2012499999999999</v>
      </c>
      <c r="K2134" s="400" t="s">
        <v>204</v>
      </c>
      <c r="L2134" s="399">
        <f t="shared" ref="L2134" si="6818">MAX(VLOOKUP(F2134,N$6:P$15,3,FALSE)/1000,2/3*D2129/1000)+F$16*F2134/1000</f>
        <v>0.192</v>
      </c>
      <c r="M2134" s="399" t="s">
        <v>176</v>
      </c>
      <c r="N2134" s="399">
        <f t="shared" si="6804"/>
        <v>1.3932499999999999</v>
      </c>
      <c r="O2134" s="399" t="s">
        <v>204</v>
      </c>
      <c r="P2134" s="389">
        <f t="shared" ref="P2134" si="6819">D2134-D2133</f>
        <v>0</v>
      </c>
      <c r="Q2134" s="399" t="s">
        <v>125</v>
      </c>
      <c r="R2134" s="399">
        <f t="shared" ref="R2134" si="6820">IF(P2134&gt;0,$F$18*F2134/1000,0)</f>
        <v>0</v>
      </c>
      <c r="S2134" s="399" t="s">
        <v>205</v>
      </c>
      <c r="T2134" s="399" t="s">
        <v>125</v>
      </c>
      <c r="U2134" s="401">
        <f t="shared" si="6807"/>
        <v>1.5782400000000001</v>
      </c>
      <c r="V2134" s="399"/>
      <c r="W2134" s="399"/>
      <c r="X2134" s="399" t="s">
        <v>125</v>
      </c>
      <c r="Y2134" s="389">
        <f t="shared" ref="Y2134" si="6821">D2131</f>
        <v>1</v>
      </c>
      <c r="Z2134" s="400" t="s">
        <v>176</v>
      </c>
      <c r="AA2134" s="402">
        <f t="shared" ref="AA2134" si="6822">IF(AA2135=0,(D2134*N2134+P2134*R2134)*U2134*Y2134,0)</f>
        <v>0</v>
      </c>
      <c r="AB2134" s="403"/>
    </row>
    <row r="2135" spans="1:28">
      <c r="A2135" s="384" t="str">
        <f t="shared" ref="A2135:B2135" si="6823">A2125</f>
        <v>Lantai 1</v>
      </c>
      <c r="B2135" s="385">
        <f t="shared" si="6823"/>
        <v>69</v>
      </c>
      <c r="C2135" s="393"/>
      <c r="D2135" s="398">
        <f t="shared" si="6626"/>
        <v>3</v>
      </c>
      <c r="E2135" s="388" t="s">
        <v>16</v>
      </c>
      <c r="F2135" s="388">
        <f t="shared" si="6627"/>
        <v>16</v>
      </c>
      <c r="G2135" s="388"/>
      <c r="H2135" s="395"/>
      <c r="I2135" s="388"/>
      <c r="J2135" s="396"/>
      <c r="K2135" s="396"/>
      <c r="L2135" s="404" t="s">
        <v>207</v>
      </c>
      <c r="M2135" s="399" t="s">
        <v>176</v>
      </c>
      <c r="N2135" s="399">
        <f t="shared" ref="N2135" si="6824">IF(AND(D2132=D2133,D2132=D2134,D2133=D2134,F2132=F2133,F2132=F2134,F2133=F2134),SUM(N2132:N2134),0)</f>
        <v>5.1890000000000001</v>
      </c>
      <c r="O2135" s="399" t="s">
        <v>204</v>
      </c>
      <c r="P2135" s="389">
        <f t="shared" ref="P2135" si="6825">IF(N2135&gt;12,ROUNDDOWN(N2135/12,0),0)</f>
        <v>0</v>
      </c>
      <c r="Q2135" s="399" t="s">
        <v>125</v>
      </c>
      <c r="R2135" s="399">
        <f t="shared" ref="R2135" si="6826">IF(P2135&gt;0,MAX(VLOOKUP(F2135,$D$6:$G$15,3,FALSE),600),0)/1000</f>
        <v>0</v>
      </c>
      <c r="S2135" s="396"/>
      <c r="T2135" s="396" t="s">
        <v>125</v>
      </c>
      <c r="U2135" s="401">
        <f t="shared" si="6631"/>
        <v>1.5782400000000001</v>
      </c>
      <c r="V2135" s="396" t="s">
        <v>125</v>
      </c>
      <c r="W2135" s="399">
        <f t="shared" ref="W2135" si="6827">D2135</f>
        <v>3</v>
      </c>
      <c r="X2135" s="399" t="s">
        <v>125</v>
      </c>
      <c r="Y2135" s="389">
        <f t="shared" si="6633"/>
        <v>1</v>
      </c>
      <c r="Z2135" s="400" t="s">
        <v>176</v>
      </c>
      <c r="AA2135" s="402">
        <f t="shared" ref="AA2135" si="6828">(N2135+P2135*R2135/1000)*U2135*W2135*Y2135</f>
        <v>24.568462080000003</v>
      </c>
      <c r="AB2135" s="390"/>
    </row>
    <row r="2136" spans="1:28">
      <c r="A2136" s="384"/>
      <c r="B2136" s="385"/>
      <c r="C2136" s="393"/>
      <c r="D2136" s="398"/>
      <c r="E2136" s="388"/>
      <c r="F2136" s="388"/>
      <c r="G2136" s="388"/>
      <c r="H2136" s="395"/>
      <c r="I2136" s="388"/>
      <c r="J2136" s="396"/>
      <c r="K2136" s="396"/>
      <c r="L2136" s="404"/>
      <c r="M2136" s="399"/>
      <c r="N2136" s="399"/>
      <c r="O2136" s="396"/>
      <c r="P2136" s="389"/>
      <c r="Q2136" s="396"/>
      <c r="R2136" s="396"/>
      <c r="S2136" s="396"/>
      <c r="T2136" s="396"/>
      <c r="U2136" s="401"/>
      <c r="V2136" s="396"/>
      <c r="W2136" s="399"/>
      <c r="X2136" s="396"/>
      <c r="Y2136" s="389"/>
      <c r="Z2136" s="396"/>
      <c r="AA2136" s="388"/>
      <c r="AB2136" s="390"/>
    </row>
    <row r="2137" spans="1:28">
      <c r="A2137" s="384" t="str">
        <f t="shared" ref="A2137:B2137" si="6829">A2125</f>
        <v>Lantai 1</v>
      </c>
      <c r="B2137" s="385">
        <f t="shared" si="6829"/>
        <v>69</v>
      </c>
      <c r="C2137" s="393" t="s">
        <v>208</v>
      </c>
      <c r="D2137" s="398">
        <f>VLOOKUP(D2125,'Detail Balok'!$C$10:$AU$140,13,FALSE)</f>
        <v>2</v>
      </c>
      <c r="E2137" s="388" t="s">
        <v>16</v>
      </c>
      <c r="F2137" s="388">
        <f>VLOOKUP(D2125,'Detail Balok'!$C$10:$AU$140,15,FALSE)</f>
        <v>10</v>
      </c>
      <c r="G2137" s="388"/>
      <c r="H2137" s="395"/>
      <c r="I2137" s="388"/>
      <c r="J2137" s="399">
        <f t="shared" ref="J2137" si="6830">+D2127/1000</f>
        <v>4.8049999999999997</v>
      </c>
      <c r="K2137" s="400" t="s">
        <v>204</v>
      </c>
      <c r="L2137" s="399">
        <f t="shared" ref="L2137" si="6831">2*$F$16*F2137/1000</f>
        <v>0.24</v>
      </c>
      <c r="M2137" s="399" t="s">
        <v>176</v>
      </c>
      <c r="N2137" s="399">
        <f t="shared" ref="N2137" si="6832">J2137+L2137</f>
        <v>5.0449999999999999</v>
      </c>
      <c r="O2137" s="399" t="s">
        <v>204</v>
      </c>
      <c r="P2137" s="389">
        <f t="shared" ref="P2137" si="6833">IF(N2137&gt;12,ROUNDDOWN(N2137/12,0),0)</f>
        <v>0</v>
      </c>
      <c r="Q2137" s="399" t="s">
        <v>125</v>
      </c>
      <c r="R2137" s="399">
        <f t="shared" ref="R2137" si="6834">IF(P2137&gt;0,MAX(VLOOKUP(F2137,$D$6:$G$15,3,FALSE),600),0)/1000</f>
        <v>0</v>
      </c>
      <c r="S2137" s="399"/>
      <c r="T2137" s="399" t="s">
        <v>125</v>
      </c>
      <c r="U2137" s="401">
        <f t="shared" ref="U2137" si="6835">0.006165*F2137^2</f>
        <v>0.61650000000000005</v>
      </c>
      <c r="V2137" s="399" t="s">
        <v>125</v>
      </c>
      <c r="W2137" s="399">
        <f t="shared" ref="W2137" si="6836">+D2137</f>
        <v>2</v>
      </c>
      <c r="X2137" s="399" t="s">
        <v>125</v>
      </c>
      <c r="Y2137" s="389">
        <f t="shared" ref="Y2137" si="6837">D2131</f>
        <v>1</v>
      </c>
      <c r="Z2137" s="400" t="s">
        <v>176</v>
      </c>
      <c r="AA2137" s="402">
        <f t="shared" ref="AA2137" si="6838">(N2137+P2137*R2137/1000)*U2137*W2137*Y2137</f>
        <v>6.220485</v>
      </c>
      <c r="AB2137" s="403"/>
    </row>
    <row r="2138" spans="1:28">
      <c r="A2138" s="384"/>
      <c r="B2138" s="385"/>
      <c r="C2138" s="393"/>
      <c r="D2138" s="398"/>
      <c r="E2138" s="388"/>
      <c r="F2138" s="388"/>
      <c r="G2138" s="388"/>
      <c r="H2138" s="395"/>
      <c r="I2138" s="388"/>
      <c r="J2138" s="399"/>
      <c r="K2138" s="400"/>
      <c r="L2138" s="399"/>
      <c r="M2138" s="399"/>
      <c r="N2138" s="399"/>
      <c r="O2138" s="399"/>
      <c r="P2138" s="389"/>
      <c r="Q2138" s="399"/>
      <c r="R2138" s="399"/>
      <c r="S2138" s="399"/>
      <c r="T2138" s="399"/>
      <c r="U2138" s="401"/>
      <c r="V2138" s="399"/>
      <c r="W2138" s="399"/>
      <c r="X2138" s="399"/>
      <c r="Y2138" s="389"/>
      <c r="Z2138" s="400"/>
      <c r="AA2138" s="402"/>
      <c r="AB2138" s="403"/>
    </row>
    <row r="2139" spans="1:28">
      <c r="A2139" s="384"/>
      <c r="B2139" s="385"/>
      <c r="C2139" s="393"/>
      <c r="D2139" s="398"/>
      <c r="E2139" s="388"/>
      <c r="F2139" s="388"/>
      <c r="G2139" s="388"/>
      <c r="H2139" s="395"/>
      <c r="I2139" s="388"/>
      <c r="J2139" s="396"/>
      <c r="K2139" s="396"/>
      <c r="L2139" s="396"/>
      <c r="M2139" s="396"/>
      <c r="N2139" s="396"/>
      <c r="O2139" s="396"/>
      <c r="P2139" s="389"/>
      <c r="Q2139" s="396"/>
      <c r="R2139" s="396"/>
      <c r="S2139" s="396"/>
      <c r="T2139" s="396"/>
      <c r="U2139" s="401"/>
      <c r="V2139" s="396"/>
      <c r="W2139" s="399"/>
      <c r="X2139" s="396"/>
      <c r="Y2139" s="389"/>
      <c r="Z2139" s="396"/>
      <c r="AA2139" s="388"/>
      <c r="AB2139" s="390"/>
    </row>
    <row r="2140" spans="1:28">
      <c r="A2140" s="384" t="str">
        <f t="shared" ref="A2140:B2140" si="6839">A2125</f>
        <v>Lantai 1</v>
      </c>
      <c r="B2140" s="385">
        <f t="shared" si="6839"/>
        <v>69</v>
      </c>
      <c r="C2140" s="393" t="s">
        <v>209</v>
      </c>
      <c r="D2140" s="398">
        <f>VLOOKUP(D2125,'Detail Balok'!$C$10:$AU$140,22,FALSE)</f>
        <v>3</v>
      </c>
      <c r="E2140" s="388" t="s">
        <v>16</v>
      </c>
      <c r="F2140" s="388">
        <f>VLOOKUP(D2125,'Detail Balok'!$C$10:$AU$140,24,FALSE)</f>
        <v>16</v>
      </c>
      <c r="G2140" s="388"/>
      <c r="H2140" s="395"/>
      <c r="I2140" s="388" t="s">
        <v>203</v>
      </c>
      <c r="J2140" s="399">
        <f t="shared" si="6646"/>
        <v>1.2012499999999999</v>
      </c>
      <c r="K2140" s="400" t="s">
        <v>204</v>
      </c>
      <c r="L2140" s="399">
        <f t="shared" ref="L2140" si="6840">MAX(VLOOKUP(F2140,N$6:P$15,3,FALSE)/1000,2/3*D2130/1000)+F$16*F2140/1000</f>
        <v>0.192</v>
      </c>
      <c r="M2140" s="399" t="s">
        <v>176</v>
      </c>
      <c r="N2140" s="399">
        <f t="shared" ref="N2140:N2142" si="6841">J2140+L2140</f>
        <v>1.3932499999999999</v>
      </c>
      <c r="O2140" s="399" t="s">
        <v>204</v>
      </c>
      <c r="P2140" s="389">
        <f t="shared" ref="P2140" si="6842">D2140-D2141</f>
        <v>0</v>
      </c>
      <c r="Q2140" s="399" t="s">
        <v>125</v>
      </c>
      <c r="R2140" s="399">
        <f t="shared" ref="R2140" si="6843">IF(P2140&gt;0,$F$18*F2140/1000,0)</f>
        <v>0</v>
      </c>
      <c r="S2140" s="399" t="s">
        <v>205</v>
      </c>
      <c r="T2140" s="399" t="s">
        <v>125</v>
      </c>
      <c r="U2140" s="401">
        <f t="shared" ref="U2140:U2142" si="6844">0.006165*F2140^2</f>
        <v>1.5782400000000001</v>
      </c>
      <c r="V2140" s="399"/>
      <c r="W2140" s="399"/>
      <c r="X2140" s="399" t="s">
        <v>125</v>
      </c>
      <c r="Y2140" s="389">
        <f t="shared" ref="Y2140" si="6845">D2131</f>
        <v>1</v>
      </c>
      <c r="Z2140" s="400" t="s">
        <v>176</v>
      </c>
      <c r="AA2140" s="402">
        <f t="shared" ref="AA2140" si="6846">IF(AA2143=0,(D2140*N2140+P2140*R2140)*U2140*Y2140,0)</f>
        <v>0</v>
      </c>
      <c r="AB2140" s="403"/>
    </row>
    <row r="2141" spans="1:28">
      <c r="A2141" s="384" t="str">
        <f t="shared" ref="A2141:B2141" si="6847">A2125</f>
        <v>Lantai 1</v>
      </c>
      <c r="B2141" s="385">
        <f t="shared" si="6847"/>
        <v>69</v>
      </c>
      <c r="C2141" s="393" t="s">
        <v>210</v>
      </c>
      <c r="D2141" s="398">
        <f>VLOOKUP(D2125,'Detail Balok'!$C$10:$AU$140,25,FALSE)</f>
        <v>3</v>
      </c>
      <c r="E2141" s="388" t="s">
        <v>16</v>
      </c>
      <c r="F2141" s="388">
        <f>VLOOKUP(D2125,'Detail Balok'!$C$10:$AU$140,27,FALSE)</f>
        <v>16</v>
      </c>
      <c r="G2141" s="388"/>
      <c r="H2141" s="395"/>
      <c r="I2141" s="388" t="s">
        <v>203</v>
      </c>
      <c r="J2141" s="399">
        <f t="shared" si="6646"/>
        <v>2.4024999999999999</v>
      </c>
      <c r="K2141" s="400" t="s">
        <v>204</v>
      </c>
      <c r="L2141" s="399"/>
      <c r="M2141" s="399" t="s">
        <v>176</v>
      </c>
      <c r="N2141" s="399">
        <f t="shared" si="6841"/>
        <v>2.4024999999999999</v>
      </c>
      <c r="O2141" s="399" t="s">
        <v>204</v>
      </c>
      <c r="P2141" s="389">
        <f t="shared" ref="P2141" si="6848">MAX(D2141-D2140,D2141-D2142)</f>
        <v>0</v>
      </c>
      <c r="Q2141" s="399" t="s">
        <v>125</v>
      </c>
      <c r="R2141" s="399">
        <f t="shared" ref="R2141" si="6849">IF(P2141&gt;0,2*(1-2*$F$19-1/2)*D2128/1000,0)</f>
        <v>0</v>
      </c>
      <c r="S2141" s="399" t="s">
        <v>205</v>
      </c>
      <c r="T2141" s="399" t="s">
        <v>125</v>
      </c>
      <c r="U2141" s="401">
        <f t="shared" si="6844"/>
        <v>1.5782400000000001</v>
      </c>
      <c r="V2141" s="399"/>
      <c r="W2141" s="399"/>
      <c r="X2141" s="399" t="s">
        <v>125</v>
      </c>
      <c r="Y2141" s="389">
        <f t="shared" ref="Y2141" si="6850">D2131</f>
        <v>1</v>
      </c>
      <c r="Z2141" s="400" t="s">
        <v>176</v>
      </c>
      <c r="AA2141" s="402">
        <f t="shared" ref="AA2141" si="6851">IF(AA2143=0,(D2141*N2141+P2141*R2141)*U2141*Y2141,0)</f>
        <v>0</v>
      </c>
      <c r="AB2141" s="403"/>
    </row>
    <row r="2142" spans="1:28">
      <c r="A2142" s="384" t="str">
        <f t="shared" ref="A2142:B2142" si="6852">A2125</f>
        <v>Lantai 1</v>
      </c>
      <c r="B2142" s="385">
        <f t="shared" si="6852"/>
        <v>69</v>
      </c>
      <c r="C2142" s="393" t="s">
        <v>209</v>
      </c>
      <c r="D2142" s="398">
        <f>VLOOKUP(D2125,'Detail Balok'!$C$10:$AU$140,28,FALSE)</f>
        <v>3</v>
      </c>
      <c r="E2142" s="388" t="s">
        <v>16</v>
      </c>
      <c r="F2142" s="388">
        <f>VLOOKUP(D2125,'Detail Balok'!$C$10:$AU$140,30,FALSE)</f>
        <v>16</v>
      </c>
      <c r="G2142" s="388"/>
      <c r="H2142" s="395"/>
      <c r="I2142" s="388" t="s">
        <v>203</v>
      </c>
      <c r="J2142" s="399">
        <f t="shared" si="6646"/>
        <v>1.2012499999999999</v>
      </c>
      <c r="K2142" s="400" t="s">
        <v>204</v>
      </c>
      <c r="L2142" s="399">
        <f t="shared" ref="L2142" si="6853">MAX(VLOOKUP(F2142,N$6:P$15,3,FALSE)/1000,2/3*D2130/1000)+F$16*F2142/1000</f>
        <v>0.192</v>
      </c>
      <c r="M2142" s="399" t="s">
        <v>176</v>
      </c>
      <c r="N2142" s="399">
        <f t="shared" si="6841"/>
        <v>1.3932499999999999</v>
      </c>
      <c r="O2142" s="399" t="s">
        <v>204</v>
      </c>
      <c r="P2142" s="389">
        <f t="shared" ref="P2142" si="6854">D2142-D2141</f>
        <v>0</v>
      </c>
      <c r="Q2142" s="399" t="s">
        <v>125</v>
      </c>
      <c r="R2142" s="399">
        <f t="shared" ref="R2142" si="6855">IF(P2142&gt;0,$F$18*F2142/1000,0)</f>
        <v>0</v>
      </c>
      <c r="S2142" s="399" t="s">
        <v>205</v>
      </c>
      <c r="T2142" s="399" t="s">
        <v>125</v>
      </c>
      <c r="U2142" s="401">
        <f t="shared" si="6844"/>
        <v>1.5782400000000001</v>
      </c>
      <c r="V2142" s="399"/>
      <c r="W2142" s="399"/>
      <c r="X2142" s="399" t="s">
        <v>125</v>
      </c>
      <c r="Y2142" s="389">
        <f t="shared" ref="Y2142" si="6856">D2131</f>
        <v>1</v>
      </c>
      <c r="Z2142" s="400" t="s">
        <v>176</v>
      </c>
      <c r="AA2142" s="402">
        <f t="shared" ref="AA2142" si="6857">IF(AA2143=0,(D2142*N2142+P2142*R2142)*U2142*Y2142,0)</f>
        <v>0</v>
      </c>
      <c r="AB2142" s="403"/>
    </row>
    <row r="2143" spans="1:28">
      <c r="A2143" s="384" t="str">
        <f t="shared" ref="A2143:B2143" si="6858">A2125</f>
        <v>Lantai 1</v>
      </c>
      <c r="B2143" s="385">
        <f t="shared" si="6858"/>
        <v>69</v>
      </c>
      <c r="C2143" s="393"/>
      <c r="D2143" s="398">
        <f t="shared" si="6666"/>
        <v>3</v>
      </c>
      <c r="E2143" s="388" t="s">
        <v>16</v>
      </c>
      <c r="F2143" s="388">
        <f t="shared" si="6667"/>
        <v>16</v>
      </c>
      <c r="G2143" s="388"/>
      <c r="H2143" s="395"/>
      <c r="I2143" s="388"/>
      <c r="J2143" s="396"/>
      <c r="K2143" s="396"/>
      <c r="L2143" s="404" t="s">
        <v>207</v>
      </c>
      <c r="M2143" s="399" t="s">
        <v>176</v>
      </c>
      <c r="N2143" s="399">
        <f t="shared" ref="N2143" si="6859">IF(AND(D2140=D2141,D2140=D2142,D2141=D2142,F2140=F2141,F2140=F2142,F2141=F2142),SUM(N2140:N2142),0)</f>
        <v>5.1890000000000001</v>
      </c>
      <c r="O2143" s="399" t="s">
        <v>204</v>
      </c>
      <c r="P2143" s="389">
        <f t="shared" ref="P2143" si="6860">IF(N2143&gt;12,ROUNDDOWN(N2143/12,0),0)</f>
        <v>0</v>
      </c>
      <c r="Q2143" s="399" t="s">
        <v>125</v>
      </c>
      <c r="R2143" s="399">
        <f t="shared" ref="R2143" si="6861">IF(P2143&gt;0,MAX(VLOOKUP(F2143,$D$6:$G$15,3,FALSE),600),0)/1000</f>
        <v>0</v>
      </c>
      <c r="S2143" s="396"/>
      <c r="T2143" s="396" t="s">
        <v>125</v>
      </c>
      <c r="U2143" s="401">
        <f t="shared" si="6671"/>
        <v>1.5782400000000001</v>
      </c>
      <c r="V2143" s="396" t="s">
        <v>125</v>
      </c>
      <c r="W2143" s="399">
        <f t="shared" ref="W2143" si="6862">D2143</f>
        <v>3</v>
      </c>
      <c r="X2143" s="399" t="s">
        <v>125</v>
      </c>
      <c r="Y2143" s="389">
        <f t="shared" si="6673"/>
        <v>1</v>
      </c>
      <c r="Z2143" s="400" t="s">
        <v>176</v>
      </c>
      <c r="AA2143" s="402">
        <f t="shared" ref="AA2143" si="6863">(N2143+P2143*R2143/1000)*U2143*W2143*Y2143</f>
        <v>24.568462080000003</v>
      </c>
      <c r="AB2143" s="403"/>
    </row>
    <row r="2144" spans="1:28">
      <c r="A2144" s="384"/>
      <c r="B2144" s="385"/>
      <c r="C2144" s="393"/>
      <c r="D2144" s="394"/>
      <c r="E2144" s="388"/>
      <c r="F2144" s="388"/>
      <c r="G2144" s="388"/>
      <c r="H2144" s="395"/>
      <c r="I2144" s="388"/>
      <c r="J2144" s="399"/>
      <c r="K2144" s="396"/>
      <c r="L2144" s="396"/>
      <c r="M2144" s="396"/>
      <c r="N2144" s="396"/>
      <c r="O2144" s="396"/>
      <c r="P2144" s="389"/>
      <c r="Q2144" s="396"/>
      <c r="R2144" s="396"/>
      <c r="S2144" s="396"/>
      <c r="T2144" s="396"/>
      <c r="U2144" s="401"/>
      <c r="V2144" s="396"/>
      <c r="W2144" s="388"/>
      <c r="X2144" s="396"/>
      <c r="Y2144" s="389"/>
      <c r="Z2144" s="396"/>
      <c r="AA2144" s="388"/>
      <c r="AB2144" s="390"/>
    </row>
    <row r="2145" spans="1:28">
      <c r="A2145" s="384" t="str">
        <f t="shared" ref="A2145:B2145" si="6864">A2125</f>
        <v>Lantai 1</v>
      </c>
      <c r="B2145" s="385">
        <f t="shared" si="6864"/>
        <v>69</v>
      </c>
      <c r="C2145" s="393" t="s">
        <v>211</v>
      </c>
      <c r="D2145" s="398">
        <f>VLOOKUP(D2125,'Detail Balok'!$C$10:$AU$140,31,FALSE)</f>
        <v>0</v>
      </c>
      <c r="E2145" s="388" t="s">
        <v>16</v>
      </c>
      <c r="F2145" s="388">
        <f>VLOOKUP(D2125,'Detail Balok'!$C$10:$AU$140,33,FALSE)</f>
        <v>8</v>
      </c>
      <c r="G2145" s="405" t="s">
        <v>157</v>
      </c>
      <c r="H2145" s="395">
        <f>VLOOKUP(D2125,'Detail Balok'!$C$10:$AU$140,35,FALSE)</f>
        <v>150</v>
      </c>
      <c r="I2145" s="388"/>
      <c r="J2145" s="400">
        <f t="shared" ref="J2145" si="6865">(IF(D2145=0,(2*(D2126+G2126))-(F$5*8),IF(D2145=3,(2*(D2126+G2126))-(F$5*8)+(G2126-2*F$5),IF(D2145=4,(2*(D2126+G2126))-(F$5*8)+2*(G2126-2*F$5)))))/1000</f>
        <v>1.08</v>
      </c>
      <c r="K2145" s="400" t="s">
        <v>204</v>
      </c>
      <c r="L2145" s="399">
        <f t="shared" ref="L2145:L2147" si="6866">IF(D2145=0,2*MAX(6*F2145,75),(D2145-1)*2*MAX(6*F2145,75))/1000</f>
        <v>0.15</v>
      </c>
      <c r="M2145" s="399" t="s">
        <v>176</v>
      </c>
      <c r="N2145" s="399">
        <f t="shared" ref="N2145:N2147" si="6867">J2145+L2145</f>
        <v>1.23</v>
      </c>
      <c r="O2145" s="399"/>
      <c r="P2145" s="389"/>
      <c r="Q2145" s="399"/>
      <c r="R2145" s="399"/>
      <c r="S2145" s="399"/>
      <c r="T2145" s="399" t="s">
        <v>125</v>
      </c>
      <c r="U2145" s="401">
        <f t="shared" ref="U2145:U2147" si="6868">0.006165*F2145^2</f>
        <v>0.39456000000000002</v>
      </c>
      <c r="V2145" s="399" t="s">
        <v>125</v>
      </c>
      <c r="W2145" s="399">
        <f t="shared" ref="W2145" si="6869">IF(D2128&gt;4*G2126,ROUND(MAX(D2128/4,2*G2126)/H2145,0)+1,ROUND(D2128/H2145,0)+1)</f>
        <v>9</v>
      </c>
      <c r="X2145" s="399" t="s">
        <v>125</v>
      </c>
      <c r="Y2145" s="389">
        <f t="shared" ref="Y2145" si="6870">D2131</f>
        <v>1</v>
      </c>
      <c r="Z2145" s="400" t="s">
        <v>176</v>
      </c>
      <c r="AA2145" s="402">
        <f t="shared" ref="AA2145:AA2147" si="6871">N2145*U2145*W2145*Y2145</f>
        <v>4.3677792000000002</v>
      </c>
      <c r="AB2145" s="403"/>
    </row>
    <row r="2146" spans="1:28">
      <c r="A2146" s="384" t="str">
        <f t="shared" ref="A2146:B2146" si="6872">A2125</f>
        <v>Lantai 1</v>
      </c>
      <c r="B2146" s="385">
        <f t="shared" si="6872"/>
        <v>69</v>
      </c>
      <c r="C2146" s="393" t="s">
        <v>212</v>
      </c>
      <c r="D2146" s="398">
        <f>VLOOKUP(D2125,'Detail Balok'!$C$10:$AU$140,36,FALSE)</f>
        <v>0</v>
      </c>
      <c r="E2146" s="388" t="s">
        <v>16</v>
      </c>
      <c r="F2146" s="388">
        <f>VLOOKUP(D2125,'Detail Balok'!$C$10:$AU$140,38,FALSE)</f>
        <v>8</v>
      </c>
      <c r="G2146" s="405" t="s">
        <v>157</v>
      </c>
      <c r="H2146" s="395">
        <f>VLOOKUP(D2125,'Detail Balok'!$C$10:$AU$140,40,FALSE)</f>
        <v>200</v>
      </c>
      <c r="I2146" s="388"/>
      <c r="J2146" s="400">
        <f t="shared" ref="J2146" si="6873">(IF(D2146=0,(2*(D2126+G2126))-(F$5*8),IF(D2146=3,(2*(D2126+G2126))-(F$5*8)+(G2126-2*F$5),IF(D2146=4,(2*(D2126+G2126))-(F$5*8)+2*(G2126-2*F$5)))))/1000</f>
        <v>1.08</v>
      </c>
      <c r="K2146" s="400" t="s">
        <v>204</v>
      </c>
      <c r="L2146" s="399">
        <f t="shared" si="6866"/>
        <v>0.15</v>
      </c>
      <c r="M2146" s="399" t="s">
        <v>176</v>
      </c>
      <c r="N2146" s="399">
        <f t="shared" si="6867"/>
        <v>1.23</v>
      </c>
      <c r="O2146" s="399"/>
      <c r="P2146" s="389"/>
      <c r="Q2146" s="399"/>
      <c r="R2146" s="399"/>
      <c r="S2146" s="399"/>
      <c r="T2146" s="399" t="s">
        <v>125</v>
      </c>
      <c r="U2146" s="401">
        <f t="shared" si="6868"/>
        <v>0.39456000000000002</v>
      </c>
      <c r="V2146" s="399" t="s">
        <v>125</v>
      </c>
      <c r="W2146" s="399">
        <f t="shared" ref="W2146" si="6874">IF(D2128-MAX(D2128/4,2*G2126)*2&gt;0,ROUND((D2128-MAX(D2128/4,2*G2126)*2)/H2146,0),0)</f>
        <v>12</v>
      </c>
      <c r="X2146" s="399" t="s">
        <v>125</v>
      </c>
      <c r="Y2146" s="389">
        <f t="shared" ref="Y2146" si="6875">D2131</f>
        <v>1</v>
      </c>
      <c r="Z2146" s="400" t="s">
        <v>176</v>
      </c>
      <c r="AA2146" s="402">
        <f t="shared" si="6871"/>
        <v>5.8237056000000003</v>
      </c>
      <c r="AB2146" s="403"/>
    </row>
    <row r="2147" spans="1:28">
      <c r="A2147" s="384" t="str">
        <f t="shared" ref="A2147:B2147" si="6876">A2125</f>
        <v>Lantai 1</v>
      </c>
      <c r="B2147" s="385">
        <f t="shared" si="6876"/>
        <v>69</v>
      </c>
      <c r="C2147" s="393" t="s">
        <v>211</v>
      </c>
      <c r="D2147" s="398">
        <f>VLOOKUP(D2125,'Detail Balok'!$C$10:$AU$140,41,FALSE)</f>
        <v>0</v>
      </c>
      <c r="E2147" s="388" t="s">
        <v>16</v>
      </c>
      <c r="F2147" s="388">
        <f>VLOOKUP(D2125,'Detail Balok'!$C$10:$AU$140,43,FALSE)</f>
        <v>8</v>
      </c>
      <c r="G2147" s="405" t="s">
        <v>157</v>
      </c>
      <c r="H2147" s="395">
        <f>VLOOKUP(D2125,'Detail Balok'!$C$10:$AU$140,45,FALSE)</f>
        <v>150</v>
      </c>
      <c r="I2147" s="388"/>
      <c r="J2147" s="400">
        <f t="shared" ref="J2147" si="6877">(IF(D2147=0,(2*(D2126+G2126))-(F$5*8),IF(D2147=3,(2*(D2126+G2126))-(F$5*8)+(G2126-2*F$5),IF(D2147=4,(2*(D2126+G2126))-(F$5*8)+2*(G2126-2*F$5)))))/1000</f>
        <v>1.08</v>
      </c>
      <c r="K2147" s="400" t="s">
        <v>204</v>
      </c>
      <c r="L2147" s="399">
        <f t="shared" si="6866"/>
        <v>0.15</v>
      </c>
      <c r="M2147" s="399" t="s">
        <v>176</v>
      </c>
      <c r="N2147" s="399">
        <f t="shared" si="6867"/>
        <v>1.23</v>
      </c>
      <c r="O2147" s="399"/>
      <c r="P2147" s="389"/>
      <c r="Q2147" s="399"/>
      <c r="R2147" s="399"/>
      <c r="S2147" s="399"/>
      <c r="T2147" s="399" t="s">
        <v>125</v>
      </c>
      <c r="U2147" s="401">
        <f t="shared" si="6868"/>
        <v>0.39456000000000002</v>
      </c>
      <c r="V2147" s="399" t="s">
        <v>125</v>
      </c>
      <c r="W2147" s="399">
        <f t="shared" ref="W2147" si="6878">IF(D2128&gt;4*G2126,ROUND(MAX(D2128/4,2*G2126)/H2147,0)+1,0)</f>
        <v>9</v>
      </c>
      <c r="X2147" s="399" t="s">
        <v>125</v>
      </c>
      <c r="Y2147" s="389">
        <f t="shared" ref="Y2147" si="6879">D2131</f>
        <v>1</v>
      </c>
      <c r="Z2147" s="400" t="s">
        <v>176</v>
      </c>
      <c r="AA2147" s="402">
        <f t="shared" si="6871"/>
        <v>4.3677792000000002</v>
      </c>
      <c r="AB2147" s="403"/>
    </row>
    <row r="2148" spans="1:28">
      <c r="A2148" s="384"/>
      <c r="B2148" s="385"/>
      <c r="C2148" s="393"/>
      <c r="D2148" s="394"/>
      <c r="E2148" s="388"/>
      <c r="F2148" s="388"/>
      <c r="G2148" s="388"/>
      <c r="H2148" s="395"/>
      <c r="I2148" s="388"/>
      <c r="J2148" s="399"/>
      <c r="K2148" s="396"/>
      <c r="L2148" s="396"/>
      <c r="M2148" s="396"/>
      <c r="N2148" s="396"/>
      <c r="O2148" s="396"/>
      <c r="P2148" s="389"/>
      <c r="Q2148" s="396"/>
      <c r="R2148" s="396"/>
      <c r="S2148" s="396"/>
      <c r="T2148" s="396"/>
      <c r="U2148" s="401"/>
      <c r="V2148" s="396"/>
      <c r="W2148" s="388"/>
      <c r="X2148" s="396"/>
      <c r="Y2148" s="389"/>
      <c r="Z2148" s="396"/>
      <c r="AA2148" s="388"/>
      <c r="AB2148" s="390"/>
    </row>
    <row r="2149" spans="1:28">
      <c r="A2149" s="384" t="str">
        <f t="shared" ref="A2149:B2149" si="6880">A2125</f>
        <v>Lantai 1</v>
      </c>
      <c r="B2149" s="385">
        <f t="shared" si="6880"/>
        <v>69</v>
      </c>
      <c r="C2149" s="393" t="s">
        <v>213</v>
      </c>
      <c r="D2149" s="398">
        <f>VLOOKUP(D2125,'Detail Balok'!$C$10:$BJ$140,46,FALSE)</f>
        <v>0</v>
      </c>
      <c r="E2149" s="388" t="s">
        <v>16</v>
      </c>
      <c r="F2149" s="388">
        <f>VLOOKUP(D2125,'Detail Balok'!$C$10:$BJ$140,48,FALSE)</f>
        <v>0</v>
      </c>
      <c r="G2149" s="405" t="s">
        <v>157</v>
      </c>
      <c r="H2149" s="395">
        <f>VLOOKUP(D2125,'Detail Balok'!$C$10:$BJ$140,50,FALSE)</f>
        <v>100</v>
      </c>
      <c r="I2149" s="388"/>
      <c r="J2149" s="399">
        <f t="shared" ref="J2149" si="6881">(D2126-2*F$5)/1000</f>
        <v>0.12</v>
      </c>
      <c r="K2149" s="400" t="s">
        <v>204</v>
      </c>
      <c r="L2149" s="399">
        <f t="shared" ref="L2149:L2151" si="6882">IF(D2149=0,2*MAX(6*F2149,75),(D2149-1)*2*MAX(6*F2149,75))/1000</f>
        <v>0.15</v>
      </c>
      <c r="M2149" s="399" t="s">
        <v>176</v>
      </c>
      <c r="N2149" s="399">
        <f t="shared" ref="N2149:N2151" si="6883">J2149+L2149</f>
        <v>0.27</v>
      </c>
      <c r="O2149" s="399"/>
      <c r="P2149" s="399"/>
      <c r="Q2149" s="399"/>
      <c r="R2149" s="399"/>
      <c r="S2149" s="399"/>
      <c r="T2149" s="399" t="s">
        <v>125</v>
      </c>
      <c r="U2149" s="401">
        <f t="shared" ref="U2149:U2151" si="6884">0.006165*F2149^2</f>
        <v>0</v>
      </c>
      <c r="V2149" s="399" t="s">
        <v>125</v>
      </c>
      <c r="W2149" s="399">
        <f t="shared" si="6696"/>
        <v>9</v>
      </c>
      <c r="X2149" s="399" t="s">
        <v>125</v>
      </c>
      <c r="Y2149" s="389">
        <f t="shared" ref="Y2149" si="6885">D2135</f>
        <v>3</v>
      </c>
      <c r="Z2149" s="400" t="s">
        <v>176</v>
      </c>
      <c r="AA2149" s="402">
        <f t="shared" ref="AA2149:AA2151" si="6886">N2149*U2149*W2149*Y2149</f>
        <v>0</v>
      </c>
      <c r="AB2149" s="403"/>
    </row>
    <row r="2150" spans="1:28">
      <c r="A2150" s="384" t="str">
        <f t="shared" ref="A2150:B2150" si="6887">A2125</f>
        <v>Lantai 1</v>
      </c>
      <c r="B2150" s="385">
        <f t="shared" si="6887"/>
        <v>69</v>
      </c>
      <c r="C2150" s="393" t="s">
        <v>214</v>
      </c>
      <c r="D2150" s="398">
        <f>VLOOKUP(D2125,'Detail Balok'!$C$10:$BJ$140,51,FALSE)</f>
        <v>0</v>
      </c>
      <c r="E2150" s="388" t="s">
        <v>16</v>
      </c>
      <c r="F2150" s="388">
        <f>VLOOKUP(D2125,'Detail Balok'!$C$10:$BJ$140,53,FALSE)</f>
        <v>0</v>
      </c>
      <c r="G2150" s="405" t="s">
        <v>157</v>
      </c>
      <c r="H2150" s="395">
        <f>VLOOKUP(D2125,'Detail Balok'!$C$10:$BJ$140,55,FALSE)</f>
        <v>100</v>
      </c>
      <c r="I2150" s="388"/>
      <c r="J2150" s="399">
        <f t="shared" ref="J2150" si="6888">(D2126-2*F$5)/1000</f>
        <v>0.12</v>
      </c>
      <c r="K2150" s="400" t="s">
        <v>204</v>
      </c>
      <c r="L2150" s="399">
        <f t="shared" si="6882"/>
        <v>0.15</v>
      </c>
      <c r="M2150" s="399" t="s">
        <v>176</v>
      </c>
      <c r="N2150" s="399">
        <f t="shared" si="6883"/>
        <v>0.27</v>
      </c>
      <c r="O2150" s="399"/>
      <c r="P2150" s="399"/>
      <c r="Q2150" s="399"/>
      <c r="R2150" s="399"/>
      <c r="S2150" s="399"/>
      <c r="T2150" s="399" t="s">
        <v>125</v>
      </c>
      <c r="U2150" s="401">
        <f t="shared" si="6884"/>
        <v>0</v>
      </c>
      <c r="V2150" s="399" t="s">
        <v>125</v>
      </c>
      <c r="W2150" s="399">
        <f t="shared" si="6696"/>
        <v>12</v>
      </c>
      <c r="X2150" s="399" t="s">
        <v>125</v>
      </c>
      <c r="Y2150" s="389">
        <f t="shared" ref="Y2150" si="6889">D2135</f>
        <v>3</v>
      </c>
      <c r="Z2150" s="400" t="s">
        <v>176</v>
      </c>
      <c r="AA2150" s="402">
        <f t="shared" si="6886"/>
        <v>0</v>
      </c>
      <c r="AB2150" s="403"/>
    </row>
    <row r="2151" spans="1:28">
      <c r="A2151" s="384" t="str">
        <f t="shared" ref="A2151:B2151" si="6890">A2125</f>
        <v>Lantai 1</v>
      </c>
      <c r="B2151" s="385">
        <f t="shared" si="6890"/>
        <v>69</v>
      </c>
      <c r="C2151" s="393" t="s">
        <v>213</v>
      </c>
      <c r="D2151" s="398">
        <f>VLOOKUP(D2125,'Detail Balok'!$C$10:$BJ$140,56,FALSE)</f>
        <v>0</v>
      </c>
      <c r="E2151" s="388" t="s">
        <v>16</v>
      </c>
      <c r="F2151" s="388">
        <f>VLOOKUP(D2125,'Detail Balok'!$C$10:$BJ$140,58,FALSE)</f>
        <v>0</v>
      </c>
      <c r="G2151" s="405" t="s">
        <v>157</v>
      </c>
      <c r="H2151" s="395">
        <f>VLOOKUP(D2125,'Detail Balok'!$C$10:$BJ$140,60,FALSE)</f>
        <v>100</v>
      </c>
      <c r="I2151" s="388"/>
      <c r="J2151" s="399">
        <f t="shared" ref="J2151" si="6891">(D2126-2*F$5)/1000</f>
        <v>0.12</v>
      </c>
      <c r="K2151" s="400" t="s">
        <v>204</v>
      </c>
      <c r="L2151" s="399">
        <f t="shared" si="6882"/>
        <v>0.15</v>
      </c>
      <c r="M2151" s="399" t="s">
        <v>176</v>
      </c>
      <c r="N2151" s="399">
        <f t="shared" si="6883"/>
        <v>0.27</v>
      </c>
      <c r="O2151" s="399"/>
      <c r="P2151" s="399"/>
      <c r="Q2151" s="399"/>
      <c r="R2151" s="399"/>
      <c r="S2151" s="399"/>
      <c r="T2151" s="399" t="s">
        <v>125</v>
      </c>
      <c r="U2151" s="401">
        <f t="shared" si="6884"/>
        <v>0</v>
      </c>
      <c r="V2151" s="399" t="s">
        <v>125</v>
      </c>
      <c r="W2151" s="399">
        <f t="shared" si="6696"/>
        <v>9</v>
      </c>
      <c r="X2151" s="399" t="s">
        <v>125</v>
      </c>
      <c r="Y2151" s="389">
        <f t="shared" ref="Y2151" si="6892">D2135</f>
        <v>3</v>
      </c>
      <c r="Z2151" s="400" t="s">
        <v>176</v>
      </c>
      <c r="AA2151" s="402">
        <f t="shared" si="6886"/>
        <v>0</v>
      </c>
      <c r="AB2151" s="403"/>
    </row>
    <row r="2152" spans="1:28">
      <c r="A2152" s="391"/>
      <c r="B2152" s="392"/>
      <c r="C2152" s="392"/>
      <c r="D2152" s="394"/>
      <c r="E2152" s="388"/>
      <c r="F2152" s="388"/>
      <c r="G2152" s="388"/>
      <c r="H2152" s="395"/>
      <c r="I2152" s="388"/>
      <c r="J2152" s="402"/>
      <c r="K2152" s="388"/>
      <c r="L2152" s="388"/>
      <c r="M2152" s="388"/>
      <c r="N2152" s="388"/>
      <c r="O2152" s="388"/>
      <c r="P2152" s="388"/>
      <c r="Q2152" s="388"/>
      <c r="R2152" s="388"/>
      <c r="S2152" s="388"/>
      <c r="T2152" s="388"/>
      <c r="U2152" s="388"/>
      <c r="V2152" s="388"/>
      <c r="W2152" s="388"/>
      <c r="X2152" s="388"/>
      <c r="Y2152" s="389"/>
      <c r="Z2152" s="388"/>
      <c r="AA2152" s="402"/>
      <c r="AB2152" s="403"/>
    </row>
    <row r="2153" spans="1:28" ht="15.75" thickBot="1">
      <c r="A2153" s="406"/>
      <c r="B2153" s="407"/>
      <c r="C2153" s="407"/>
      <c r="D2153" s="408"/>
      <c r="E2153" s="409"/>
      <c r="F2153" s="409"/>
      <c r="G2153" s="409"/>
      <c r="H2153" s="410"/>
      <c r="I2153" s="409"/>
      <c r="J2153" s="409"/>
      <c r="K2153" s="409"/>
      <c r="L2153" s="409"/>
      <c r="M2153" s="409"/>
      <c r="N2153" s="409"/>
      <c r="O2153" s="409"/>
      <c r="P2153" s="409"/>
      <c r="Q2153" s="409"/>
      <c r="R2153" s="409"/>
      <c r="S2153" s="409"/>
      <c r="T2153" s="409"/>
      <c r="U2153" s="409"/>
      <c r="V2153" s="409"/>
      <c r="W2153" s="409"/>
      <c r="X2153" s="409"/>
      <c r="Y2153" s="411"/>
      <c r="Z2153" s="409"/>
      <c r="AA2153" s="412"/>
      <c r="AB2153" s="413"/>
    </row>
    <row r="2154" spans="1:28">
      <c r="A2154" s="377"/>
      <c r="B2154" s="378"/>
      <c r="C2154" s="378"/>
      <c r="D2154" s="379"/>
      <c r="E2154" s="380"/>
      <c r="F2154" s="380"/>
      <c r="G2154" s="380"/>
      <c r="H2154" s="381"/>
      <c r="I2154" s="380"/>
      <c r="J2154" s="380"/>
      <c r="K2154" s="380"/>
      <c r="L2154" s="380"/>
      <c r="M2154" s="380"/>
      <c r="N2154" s="380"/>
      <c r="O2154" s="380"/>
      <c r="P2154" s="380"/>
      <c r="Q2154" s="380"/>
      <c r="R2154" s="380"/>
      <c r="S2154" s="380"/>
      <c r="T2154" s="380"/>
      <c r="U2154" s="380"/>
      <c r="V2154" s="380"/>
      <c r="W2154" s="380"/>
      <c r="X2154" s="380"/>
      <c r="Y2154" s="382"/>
      <c r="Z2154" s="380"/>
      <c r="AA2154" s="380"/>
      <c r="AB2154" s="383"/>
    </row>
    <row r="2155" spans="1:28">
      <c r="A2155" s="384" t="str">
        <f t="shared" si="6705"/>
        <v>Lantai 1</v>
      </c>
      <c r="B2155" s="385">
        <f t="shared" si="6706"/>
        <v>70</v>
      </c>
      <c r="C2155" s="386" t="str">
        <f t="shared" ref="C2155" si="6893">CONCATENATE(A2155," no. ",B2155)</f>
        <v>Lantai 1 no. 70</v>
      </c>
      <c r="D2155" s="2562" t="str">
        <f>VLOOKUP(C2155,'Data Panjang Balok'!$C$9:$N$254,2,FALSE)</f>
        <v>S24-1</v>
      </c>
      <c r="E2155" s="2576"/>
      <c r="F2155" s="2576"/>
      <c r="G2155" s="2576"/>
      <c r="H2155" s="2577"/>
      <c r="I2155" s="387"/>
      <c r="J2155" s="388"/>
      <c r="K2155" s="388"/>
      <c r="L2155" s="388"/>
      <c r="M2155" s="388"/>
      <c r="N2155" s="388"/>
      <c r="O2155" s="388"/>
      <c r="P2155" s="388"/>
      <c r="Q2155" s="388"/>
      <c r="R2155" s="388"/>
      <c r="S2155" s="388"/>
      <c r="T2155" s="388"/>
      <c r="U2155" s="388"/>
      <c r="V2155" s="388"/>
      <c r="W2155" s="388"/>
      <c r="X2155" s="388"/>
      <c r="Y2155" s="389"/>
      <c r="Z2155" s="388"/>
      <c r="AA2155" s="388"/>
      <c r="AB2155" s="390"/>
    </row>
    <row r="2156" spans="1:28">
      <c r="A2156" s="391"/>
      <c r="B2156" s="392"/>
      <c r="C2156" s="393" t="s">
        <v>118</v>
      </c>
      <c r="D2156" s="2578">
        <f>VLOOKUP(D2155,'Detail Balok'!$C$10:$AU$140,2,FALSE)</f>
        <v>200</v>
      </c>
      <c r="E2156" s="2579"/>
      <c r="F2156" s="388" t="s">
        <v>125</v>
      </c>
      <c r="G2156" s="2579">
        <f>VLOOKUP(D2155,'Detail Balok'!$C$10:$AU$140,3,FALSE)</f>
        <v>400</v>
      </c>
      <c r="H2156" s="2580"/>
      <c r="I2156" s="388"/>
      <c r="J2156" s="396"/>
      <c r="K2156" s="396"/>
      <c r="L2156" s="396"/>
      <c r="M2156" s="396"/>
      <c r="N2156" s="396"/>
      <c r="O2156" s="396"/>
      <c r="P2156" s="396"/>
      <c r="Q2156" s="396"/>
      <c r="R2156" s="396"/>
      <c r="S2156" s="396"/>
      <c r="T2156" s="396"/>
      <c r="U2156" s="388"/>
      <c r="V2156" s="396"/>
      <c r="W2156" s="388"/>
      <c r="X2156" s="396"/>
      <c r="Y2156" s="389"/>
      <c r="Z2156" s="396"/>
      <c r="AA2156" s="388"/>
      <c r="AB2156" s="390"/>
    </row>
    <row r="2157" spans="1:28">
      <c r="A2157" s="391"/>
      <c r="B2157" s="392"/>
      <c r="C2157" s="393" t="s">
        <v>198</v>
      </c>
      <c r="D2157" s="2562">
        <f>VLOOKUP(C2155,'Data Panjang Balok'!$C$9:$N$254,4,FALSE)</f>
        <v>6825</v>
      </c>
      <c r="E2157" s="2563"/>
      <c r="F2157" s="2563"/>
      <c r="G2157" s="2563"/>
      <c r="H2157" s="2564"/>
      <c r="I2157" s="397"/>
      <c r="J2157" s="396"/>
      <c r="K2157" s="396"/>
      <c r="L2157" s="396"/>
      <c r="M2157" s="396"/>
      <c r="N2157" s="396"/>
      <c r="O2157" s="396"/>
      <c r="P2157" s="396"/>
      <c r="Q2157" s="396"/>
      <c r="R2157" s="396"/>
      <c r="S2157" s="396"/>
      <c r="T2157" s="396"/>
      <c r="U2157" s="388"/>
      <c r="V2157" s="396"/>
      <c r="W2157" s="388"/>
      <c r="X2157" s="396"/>
      <c r="Y2157" s="389"/>
      <c r="Z2157" s="396"/>
      <c r="AA2157" s="388"/>
      <c r="AB2157" s="390"/>
    </row>
    <row r="2158" spans="1:28">
      <c r="A2158" s="391"/>
      <c r="B2158" s="392"/>
      <c r="C2158" s="393" t="s">
        <v>199</v>
      </c>
      <c r="D2158" s="2562">
        <f>VLOOKUP(C2155,'Data Panjang Balok'!$C$9:$N$254,7,FALSE)</f>
        <v>6825</v>
      </c>
      <c r="E2158" s="2563"/>
      <c r="F2158" s="2563"/>
      <c r="G2158" s="2563"/>
      <c r="H2158" s="2564"/>
      <c r="I2158" s="397"/>
      <c r="J2158" s="396"/>
      <c r="K2158" s="396"/>
      <c r="L2158" s="396"/>
      <c r="M2158" s="396"/>
      <c r="N2158" s="396"/>
      <c r="O2158" s="396"/>
      <c r="P2158" s="396"/>
      <c r="Q2158" s="396"/>
      <c r="R2158" s="396"/>
      <c r="S2158" s="396"/>
      <c r="T2158" s="396"/>
      <c r="U2158" s="388"/>
      <c r="V2158" s="396"/>
      <c r="W2158" s="388"/>
      <c r="X2158" s="396"/>
      <c r="Y2158" s="389"/>
      <c r="Z2158" s="396"/>
      <c r="AA2158" s="388"/>
      <c r="AB2158" s="390"/>
    </row>
    <row r="2159" spans="1:28">
      <c r="A2159" s="391"/>
      <c r="B2159" s="392"/>
      <c r="C2159" s="393" t="s">
        <v>200</v>
      </c>
      <c r="D2159" s="2562">
        <f>VLOOKUP(C2155,'Data Panjang Balok'!$C$9:$N$254,9,FALSE)</f>
        <v>0</v>
      </c>
      <c r="E2159" s="2563"/>
      <c r="F2159" s="2563"/>
      <c r="G2159" s="2563"/>
      <c r="H2159" s="2564"/>
      <c r="I2159" s="397"/>
      <c r="J2159" s="396"/>
      <c r="K2159" s="396"/>
      <c r="L2159" s="396"/>
      <c r="M2159" s="396"/>
      <c r="N2159" s="396"/>
      <c r="O2159" s="396"/>
      <c r="P2159" s="396"/>
      <c r="Q2159" s="396"/>
      <c r="R2159" s="396"/>
      <c r="S2159" s="396"/>
      <c r="T2159" s="396"/>
      <c r="U2159" s="388"/>
      <c r="V2159" s="396"/>
      <c r="W2159" s="388"/>
      <c r="X2159" s="396"/>
      <c r="Y2159" s="389"/>
      <c r="Z2159" s="396"/>
      <c r="AA2159" s="388"/>
      <c r="AB2159" s="390"/>
    </row>
    <row r="2160" spans="1:28">
      <c r="A2160" s="391"/>
      <c r="B2160" s="392"/>
      <c r="C2160" s="393" t="s">
        <v>201</v>
      </c>
      <c r="D2160" s="2562">
        <f>VLOOKUP(C2155,'Data Panjang Balok'!$C$9:$N$254,10,FALSE)</f>
        <v>0</v>
      </c>
      <c r="E2160" s="2563"/>
      <c r="F2160" s="2563"/>
      <c r="G2160" s="2563"/>
      <c r="H2160" s="2564"/>
      <c r="I2160" s="397"/>
      <c r="J2160" s="396"/>
      <c r="K2160" s="396"/>
      <c r="L2160" s="396"/>
      <c r="M2160" s="396"/>
      <c r="N2160" s="396"/>
      <c r="O2160" s="396"/>
      <c r="P2160" s="396"/>
      <c r="Q2160" s="396"/>
      <c r="R2160" s="396"/>
      <c r="S2160" s="396"/>
      <c r="T2160" s="396"/>
      <c r="U2160" s="388"/>
      <c r="V2160" s="396"/>
      <c r="W2160" s="388"/>
      <c r="X2160" s="396"/>
      <c r="Y2160" s="389"/>
      <c r="Z2160" s="396"/>
      <c r="AA2160" s="388"/>
      <c r="AB2160" s="390"/>
    </row>
    <row r="2161" spans="1:28">
      <c r="A2161" s="391"/>
      <c r="B2161" s="392"/>
      <c r="C2161" s="393" t="s">
        <v>48</v>
      </c>
      <c r="D2161" s="2562">
        <f>VLOOKUP(C2155,'Data Panjang Balok'!$C$9:$N$254,3,FALSE)</f>
        <v>1</v>
      </c>
      <c r="E2161" s="2563"/>
      <c r="F2161" s="2563"/>
      <c r="G2161" s="2563"/>
      <c r="H2161" s="2564"/>
      <c r="I2161" s="397"/>
      <c r="J2161" s="396"/>
      <c r="K2161" s="396"/>
      <c r="L2161" s="396"/>
      <c r="M2161" s="396"/>
      <c r="N2161" s="396"/>
      <c r="O2161" s="396"/>
      <c r="P2161" s="396"/>
      <c r="Q2161" s="396"/>
      <c r="R2161" s="396"/>
      <c r="S2161" s="396"/>
      <c r="T2161" s="396"/>
      <c r="U2161" s="388"/>
      <c r="V2161" s="396"/>
      <c r="W2161" s="388"/>
      <c r="X2161" s="396"/>
      <c r="Y2161" s="389"/>
      <c r="Z2161" s="396"/>
      <c r="AA2161" s="388"/>
      <c r="AB2161" s="390"/>
    </row>
    <row r="2162" spans="1:28">
      <c r="A2162" s="384" t="str">
        <f t="shared" ref="A2162:B2162" si="6894">A2155</f>
        <v>Lantai 1</v>
      </c>
      <c r="B2162" s="385">
        <f t="shared" si="6894"/>
        <v>70</v>
      </c>
      <c r="C2162" s="393" t="s">
        <v>202</v>
      </c>
      <c r="D2162" s="398">
        <f>VLOOKUP(D2155,'Detail Balok'!$C$10:$AU$140,4,FALSE)</f>
        <v>3</v>
      </c>
      <c r="E2162" s="388" t="s">
        <v>16</v>
      </c>
      <c r="F2162" s="388">
        <f>VLOOKUP(D2155,'Detail Balok'!$C$10:$AU$140,6,FALSE)</f>
        <v>13</v>
      </c>
      <c r="G2162" s="388"/>
      <c r="H2162" s="395"/>
      <c r="I2162" s="388" t="s">
        <v>203</v>
      </c>
      <c r="J2162" s="399">
        <f t="shared" ref="J2162" si="6895">+D2157/4/1000</f>
        <v>1.70625</v>
      </c>
      <c r="K2162" s="400" t="s">
        <v>204</v>
      </c>
      <c r="L2162" s="399">
        <f t="shared" ref="L2162" si="6896">MAX(VLOOKUP(F2162,N$6:P$15,3,FALSE)/1000,2/3*D2159/1000)+F$16*F2162/1000</f>
        <v>0.156</v>
      </c>
      <c r="M2162" s="399" t="s">
        <v>176</v>
      </c>
      <c r="N2162" s="399">
        <f t="shared" ref="N2162:N2164" si="6897">J2162+L2162</f>
        <v>1.86225</v>
      </c>
      <c r="O2162" s="399" t="s">
        <v>204</v>
      </c>
      <c r="P2162" s="389">
        <f t="shared" ref="P2162" si="6898">D2162-D2163</f>
        <v>0</v>
      </c>
      <c r="Q2162" s="399" t="s">
        <v>125</v>
      </c>
      <c r="R2162" s="399">
        <f t="shared" ref="R2162" si="6899">IF(P2162&gt;0,$F$18*F2162/1000,0)</f>
        <v>0</v>
      </c>
      <c r="S2162" s="399" t="s">
        <v>205</v>
      </c>
      <c r="T2162" s="399" t="s">
        <v>125</v>
      </c>
      <c r="U2162" s="401">
        <f t="shared" ref="U2162:U2164" si="6900">0.006165*F2162^2</f>
        <v>1.041885</v>
      </c>
      <c r="V2162" s="399"/>
      <c r="W2162" s="399"/>
      <c r="X2162" s="399" t="s">
        <v>125</v>
      </c>
      <c r="Y2162" s="389">
        <f t="shared" ref="Y2162" si="6901">D2161</f>
        <v>1</v>
      </c>
      <c r="Z2162" s="400" t="s">
        <v>176</v>
      </c>
      <c r="AA2162" s="402">
        <f t="shared" ref="AA2162" si="6902">IF(AA2165=0,(D2162*N2162+P2162*R2162)*U2162*Y2162,0)</f>
        <v>0</v>
      </c>
      <c r="AB2162" s="403"/>
    </row>
    <row r="2163" spans="1:28">
      <c r="A2163" s="384" t="str">
        <f t="shared" ref="A2163:B2163" si="6903">A2155</f>
        <v>Lantai 1</v>
      </c>
      <c r="B2163" s="385">
        <f t="shared" si="6903"/>
        <v>70</v>
      </c>
      <c r="C2163" s="393" t="s">
        <v>206</v>
      </c>
      <c r="D2163" s="398">
        <f>VLOOKUP(D2155,'Detail Balok'!$C$10:$AU$140,7,FALSE)</f>
        <v>3</v>
      </c>
      <c r="E2163" s="388" t="s">
        <v>16</v>
      </c>
      <c r="F2163" s="388">
        <f>VLOOKUP(D2155,'Detail Balok'!$C$10:$AU$140,9,FALSE)</f>
        <v>13</v>
      </c>
      <c r="G2163" s="388"/>
      <c r="H2163" s="395"/>
      <c r="I2163" s="388" t="s">
        <v>203</v>
      </c>
      <c r="J2163" s="399">
        <f t="shared" ref="J2163" si="6904">+D2157/2/1000</f>
        <v>3.4125000000000001</v>
      </c>
      <c r="K2163" s="400" t="s">
        <v>204</v>
      </c>
      <c r="L2163" s="399"/>
      <c r="M2163" s="399" t="s">
        <v>176</v>
      </c>
      <c r="N2163" s="399">
        <f t="shared" si="6897"/>
        <v>3.4125000000000001</v>
      </c>
      <c r="O2163" s="399" t="s">
        <v>204</v>
      </c>
      <c r="P2163" s="389">
        <f t="shared" ref="P2163" si="6905">MAX(D2163-D2162,D2163-D2164)</f>
        <v>0</v>
      </c>
      <c r="Q2163" s="399" t="s">
        <v>125</v>
      </c>
      <c r="R2163" s="399">
        <f t="shared" ref="R2163" si="6906">IF(P2163&gt;0,2*(1-2*$F$19-1/2)*D2158/1000,0)</f>
        <v>0</v>
      </c>
      <c r="S2163" s="399" t="s">
        <v>205</v>
      </c>
      <c r="T2163" s="399" t="s">
        <v>125</v>
      </c>
      <c r="U2163" s="401">
        <f t="shared" si="6900"/>
        <v>1.041885</v>
      </c>
      <c r="V2163" s="399"/>
      <c r="W2163" s="399"/>
      <c r="X2163" s="399" t="s">
        <v>125</v>
      </c>
      <c r="Y2163" s="389">
        <f t="shared" ref="Y2163" si="6907">D2161</f>
        <v>1</v>
      </c>
      <c r="Z2163" s="400" t="s">
        <v>176</v>
      </c>
      <c r="AA2163" s="402">
        <f t="shared" ref="AA2163" si="6908">IF(AA2165=0,(D2163*N2163+P2163*R2163)*U2163*Y2163,0)</f>
        <v>0</v>
      </c>
      <c r="AB2163" s="403"/>
    </row>
    <row r="2164" spans="1:28">
      <c r="A2164" s="384" t="str">
        <f t="shared" ref="A2164:B2164" si="6909">A2155</f>
        <v>Lantai 1</v>
      </c>
      <c r="B2164" s="385">
        <f t="shared" si="6909"/>
        <v>70</v>
      </c>
      <c r="C2164" s="393" t="s">
        <v>202</v>
      </c>
      <c r="D2164" s="398">
        <f>VLOOKUP(D2155,'Detail Balok'!$C$10:$AU$140,10,FALSE)</f>
        <v>3</v>
      </c>
      <c r="E2164" s="388" t="s">
        <v>16</v>
      </c>
      <c r="F2164" s="388">
        <f>VLOOKUP(D2155,'Detail Balok'!$C$10:$AU$140,12,FALSE)</f>
        <v>13</v>
      </c>
      <c r="G2164" s="388"/>
      <c r="H2164" s="395"/>
      <c r="I2164" s="388" t="s">
        <v>203</v>
      </c>
      <c r="J2164" s="399">
        <f t="shared" ref="J2164" si="6910">+D2157/4/1000</f>
        <v>1.70625</v>
      </c>
      <c r="K2164" s="400" t="s">
        <v>204</v>
      </c>
      <c r="L2164" s="399">
        <f t="shared" ref="L2164" si="6911">MAX(VLOOKUP(F2164,N$6:P$15,3,FALSE)/1000,2/3*D2159/1000)+F$16*F2164/1000</f>
        <v>0.156</v>
      </c>
      <c r="M2164" s="399" t="s">
        <v>176</v>
      </c>
      <c r="N2164" s="399">
        <f t="shared" si="6897"/>
        <v>1.86225</v>
      </c>
      <c r="O2164" s="399" t="s">
        <v>204</v>
      </c>
      <c r="P2164" s="389">
        <f t="shared" ref="P2164" si="6912">D2164-D2163</f>
        <v>0</v>
      </c>
      <c r="Q2164" s="399" t="s">
        <v>125</v>
      </c>
      <c r="R2164" s="399">
        <f t="shared" ref="R2164" si="6913">IF(P2164&gt;0,$F$18*F2164/1000,0)</f>
        <v>0</v>
      </c>
      <c r="S2164" s="399" t="s">
        <v>205</v>
      </c>
      <c r="T2164" s="399" t="s">
        <v>125</v>
      </c>
      <c r="U2164" s="401">
        <f t="shared" si="6900"/>
        <v>1.041885</v>
      </c>
      <c r="V2164" s="399"/>
      <c r="W2164" s="399"/>
      <c r="X2164" s="399" t="s">
        <v>125</v>
      </c>
      <c r="Y2164" s="389">
        <f t="shared" ref="Y2164" si="6914">D2161</f>
        <v>1</v>
      </c>
      <c r="Z2164" s="400" t="s">
        <v>176</v>
      </c>
      <c r="AA2164" s="402">
        <f t="shared" ref="AA2164" si="6915">IF(AA2165=0,(D2164*N2164+P2164*R2164)*U2164*Y2164,0)</f>
        <v>0</v>
      </c>
      <c r="AB2164" s="403"/>
    </row>
    <row r="2165" spans="1:28">
      <c r="A2165" s="384" t="str">
        <f t="shared" ref="A2165:B2165" si="6916">A2155</f>
        <v>Lantai 1</v>
      </c>
      <c r="B2165" s="385">
        <f t="shared" si="6916"/>
        <v>70</v>
      </c>
      <c r="C2165" s="393"/>
      <c r="D2165" s="398">
        <f t="shared" ref="D2165:D2225" si="6917">IF(AND(D2162=D2163,D2163=D2164,D2162=D2164),D2162,0)</f>
        <v>3</v>
      </c>
      <c r="E2165" s="388" t="s">
        <v>16</v>
      </c>
      <c r="F2165" s="388">
        <f t="shared" ref="F2165:F2225" si="6918">IF(AND(F2162=F2163,F2162=F2164,F2163=F2164),F2162,0)</f>
        <v>13</v>
      </c>
      <c r="G2165" s="388"/>
      <c r="H2165" s="395"/>
      <c r="I2165" s="388"/>
      <c r="J2165" s="396"/>
      <c r="K2165" s="396"/>
      <c r="L2165" s="404" t="s">
        <v>207</v>
      </c>
      <c r="M2165" s="399" t="s">
        <v>176</v>
      </c>
      <c r="N2165" s="399">
        <f t="shared" ref="N2165" si="6919">IF(AND(D2162=D2163,D2162=D2164,D2163=D2164,F2162=F2163,F2162=F2164,F2163=F2164),SUM(N2162:N2164),0)</f>
        <v>7.1370000000000005</v>
      </c>
      <c r="O2165" s="399" t="s">
        <v>204</v>
      </c>
      <c r="P2165" s="389">
        <f t="shared" ref="P2165" si="6920">IF(N2165&gt;12,ROUNDDOWN(N2165/12,0),0)</f>
        <v>0</v>
      </c>
      <c r="Q2165" s="399" t="s">
        <v>125</v>
      </c>
      <c r="R2165" s="399">
        <f t="shared" ref="R2165" si="6921">IF(P2165&gt;0,MAX(VLOOKUP(F2165,$D$6:$G$15,3,FALSE),600),0)/1000</f>
        <v>0</v>
      </c>
      <c r="S2165" s="396"/>
      <c r="T2165" s="396" t="s">
        <v>125</v>
      </c>
      <c r="U2165" s="401">
        <f t="shared" ref="U2165:U2225" si="6922">U2164</f>
        <v>1.041885</v>
      </c>
      <c r="V2165" s="396" t="s">
        <v>125</v>
      </c>
      <c r="W2165" s="399">
        <f t="shared" ref="W2165" si="6923">D2165</f>
        <v>3</v>
      </c>
      <c r="X2165" s="399" t="s">
        <v>125</v>
      </c>
      <c r="Y2165" s="389">
        <f t="shared" ref="Y2165:Y2225" si="6924">Y2164</f>
        <v>1</v>
      </c>
      <c r="Z2165" s="400" t="s">
        <v>176</v>
      </c>
      <c r="AA2165" s="402">
        <f t="shared" ref="AA2165" si="6925">(N2165+P2165*R2165/1000)*U2165*W2165*Y2165</f>
        <v>22.307799735</v>
      </c>
      <c r="AB2165" s="390"/>
    </row>
    <row r="2166" spans="1:28">
      <c r="A2166" s="384"/>
      <c r="B2166" s="385"/>
      <c r="C2166" s="393"/>
      <c r="D2166" s="398"/>
      <c r="E2166" s="388"/>
      <c r="F2166" s="388"/>
      <c r="G2166" s="388"/>
      <c r="H2166" s="395"/>
      <c r="I2166" s="388"/>
      <c r="J2166" s="396"/>
      <c r="K2166" s="396"/>
      <c r="L2166" s="404"/>
      <c r="M2166" s="399"/>
      <c r="N2166" s="399"/>
      <c r="O2166" s="396"/>
      <c r="P2166" s="389"/>
      <c r="Q2166" s="396"/>
      <c r="R2166" s="396"/>
      <c r="S2166" s="396"/>
      <c r="T2166" s="396"/>
      <c r="U2166" s="401"/>
      <c r="V2166" s="396"/>
      <c r="W2166" s="399"/>
      <c r="X2166" s="396"/>
      <c r="Y2166" s="389"/>
      <c r="Z2166" s="396"/>
      <c r="AA2166" s="388"/>
      <c r="AB2166" s="390"/>
    </row>
    <row r="2167" spans="1:28">
      <c r="A2167" s="384" t="str">
        <f t="shared" ref="A2167:B2167" si="6926">A2155</f>
        <v>Lantai 1</v>
      </c>
      <c r="B2167" s="385">
        <f t="shared" si="6926"/>
        <v>70</v>
      </c>
      <c r="C2167" s="393" t="s">
        <v>208</v>
      </c>
      <c r="D2167" s="398">
        <f>VLOOKUP(D2155,'Detail Balok'!$C$10:$AU$140,13,FALSE)</f>
        <v>0</v>
      </c>
      <c r="E2167" s="388" t="s">
        <v>16</v>
      </c>
      <c r="F2167" s="388">
        <f>VLOOKUP(D2155,'Detail Balok'!$C$10:$AU$140,15,FALSE)</f>
        <v>8</v>
      </c>
      <c r="G2167" s="388"/>
      <c r="H2167" s="395"/>
      <c r="I2167" s="388"/>
      <c r="J2167" s="399">
        <f t="shared" ref="J2167" si="6927">+D2157/1000</f>
        <v>6.8250000000000002</v>
      </c>
      <c r="K2167" s="400" t="s">
        <v>204</v>
      </c>
      <c r="L2167" s="399">
        <f t="shared" ref="L2167" si="6928">2*$F$16*F2167/1000</f>
        <v>0.192</v>
      </c>
      <c r="M2167" s="399" t="s">
        <v>176</v>
      </c>
      <c r="N2167" s="399">
        <f t="shared" ref="N2167" si="6929">J2167+L2167</f>
        <v>7.0170000000000003</v>
      </c>
      <c r="O2167" s="399" t="s">
        <v>204</v>
      </c>
      <c r="P2167" s="389">
        <f t="shared" ref="P2167" si="6930">IF(N2167&gt;12,ROUNDDOWN(N2167/12,0),0)</f>
        <v>0</v>
      </c>
      <c r="Q2167" s="399" t="s">
        <v>125</v>
      </c>
      <c r="R2167" s="399">
        <f t="shared" ref="R2167" si="6931">IF(P2167&gt;0,MAX(VLOOKUP(F2167,$D$6:$G$15,3,FALSE),600),0)/1000</f>
        <v>0</v>
      </c>
      <c r="S2167" s="399"/>
      <c r="T2167" s="399" t="s">
        <v>125</v>
      </c>
      <c r="U2167" s="401">
        <f t="shared" ref="U2167" si="6932">0.006165*F2167^2</f>
        <v>0.39456000000000002</v>
      </c>
      <c r="V2167" s="399" t="s">
        <v>125</v>
      </c>
      <c r="W2167" s="399">
        <f t="shared" ref="W2167" si="6933">+D2167</f>
        <v>0</v>
      </c>
      <c r="X2167" s="399" t="s">
        <v>125</v>
      </c>
      <c r="Y2167" s="389">
        <f t="shared" ref="Y2167" si="6934">D2161</f>
        <v>1</v>
      </c>
      <c r="Z2167" s="400" t="s">
        <v>176</v>
      </c>
      <c r="AA2167" s="402">
        <f t="shared" ref="AA2167" si="6935">(N2167+P2167*R2167/1000)*U2167*W2167*Y2167</f>
        <v>0</v>
      </c>
      <c r="AB2167" s="403"/>
    </row>
    <row r="2168" spans="1:28">
      <c r="A2168" s="384"/>
      <c r="B2168" s="385"/>
      <c r="C2168" s="393"/>
      <c r="D2168" s="398"/>
      <c r="E2168" s="388"/>
      <c r="F2168" s="388"/>
      <c r="G2168" s="388"/>
      <c r="H2168" s="395"/>
      <c r="I2168" s="388"/>
      <c r="J2168" s="399"/>
      <c r="K2168" s="400"/>
      <c r="L2168" s="399"/>
      <c r="M2168" s="399"/>
      <c r="N2168" s="399"/>
      <c r="O2168" s="399"/>
      <c r="P2168" s="389"/>
      <c r="Q2168" s="399"/>
      <c r="R2168" s="399"/>
      <c r="S2168" s="399"/>
      <c r="T2168" s="399"/>
      <c r="U2168" s="401"/>
      <c r="V2168" s="399"/>
      <c r="W2168" s="399"/>
      <c r="X2168" s="399"/>
      <c r="Y2168" s="389"/>
      <c r="Z2168" s="400"/>
      <c r="AA2168" s="402"/>
      <c r="AB2168" s="403"/>
    </row>
    <row r="2169" spans="1:28">
      <c r="A2169" s="384"/>
      <c r="B2169" s="385"/>
      <c r="C2169" s="393"/>
      <c r="D2169" s="398"/>
      <c r="E2169" s="388"/>
      <c r="F2169" s="388"/>
      <c r="G2169" s="388"/>
      <c r="H2169" s="395"/>
      <c r="I2169" s="388"/>
      <c r="J2169" s="396"/>
      <c r="K2169" s="396"/>
      <c r="L2169" s="396"/>
      <c r="M2169" s="396"/>
      <c r="N2169" s="396"/>
      <c r="O2169" s="396"/>
      <c r="P2169" s="389"/>
      <c r="Q2169" s="396"/>
      <c r="R2169" s="396"/>
      <c r="S2169" s="396"/>
      <c r="T2169" s="396"/>
      <c r="U2169" s="401"/>
      <c r="V2169" s="396"/>
      <c r="W2169" s="399"/>
      <c r="X2169" s="396"/>
      <c r="Y2169" s="389"/>
      <c r="Z2169" s="396"/>
      <c r="AA2169" s="388"/>
      <c r="AB2169" s="390"/>
    </row>
    <row r="2170" spans="1:28">
      <c r="A2170" s="384" t="str">
        <f t="shared" ref="A2170:B2170" si="6936">A2155</f>
        <v>Lantai 1</v>
      </c>
      <c r="B2170" s="385">
        <f t="shared" si="6936"/>
        <v>70</v>
      </c>
      <c r="C2170" s="393" t="s">
        <v>209</v>
      </c>
      <c r="D2170" s="398">
        <f>VLOOKUP(D2155,'Detail Balok'!$C$10:$AU$140,22,FALSE)</f>
        <v>3</v>
      </c>
      <c r="E2170" s="388" t="s">
        <v>16</v>
      </c>
      <c r="F2170" s="388">
        <f>VLOOKUP(D2155,'Detail Balok'!$C$10:$AU$140,24,FALSE)</f>
        <v>13</v>
      </c>
      <c r="G2170" s="388"/>
      <c r="H2170" s="395"/>
      <c r="I2170" s="388" t="s">
        <v>203</v>
      </c>
      <c r="J2170" s="399">
        <f t="shared" ref="J2170:J2232" si="6937">+J2162</f>
        <v>1.70625</v>
      </c>
      <c r="K2170" s="400" t="s">
        <v>204</v>
      </c>
      <c r="L2170" s="399">
        <f t="shared" ref="L2170" si="6938">MAX(VLOOKUP(F2170,N$6:P$15,3,FALSE)/1000,2/3*D2160/1000)+F$16*F2170/1000</f>
        <v>0.156</v>
      </c>
      <c r="M2170" s="399" t="s">
        <v>176</v>
      </c>
      <c r="N2170" s="399">
        <f t="shared" ref="N2170:N2172" si="6939">J2170+L2170</f>
        <v>1.86225</v>
      </c>
      <c r="O2170" s="399" t="s">
        <v>204</v>
      </c>
      <c r="P2170" s="389">
        <f t="shared" ref="P2170" si="6940">D2170-D2171</f>
        <v>0</v>
      </c>
      <c r="Q2170" s="399" t="s">
        <v>125</v>
      </c>
      <c r="R2170" s="399">
        <f t="shared" ref="R2170" si="6941">IF(P2170&gt;0,$F$18*F2170/1000,0)</f>
        <v>0</v>
      </c>
      <c r="S2170" s="399" t="s">
        <v>205</v>
      </c>
      <c r="T2170" s="399" t="s">
        <v>125</v>
      </c>
      <c r="U2170" s="401">
        <f t="shared" ref="U2170:U2172" si="6942">0.006165*F2170^2</f>
        <v>1.041885</v>
      </c>
      <c r="V2170" s="399"/>
      <c r="W2170" s="399"/>
      <c r="X2170" s="399" t="s">
        <v>125</v>
      </c>
      <c r="Y2170" s="389">
        <f t="shared" ref="Y2170" si="6943">D2161</f>
        <v>1</v>
      </c>
      <c r="Z2170" s="400" t="s">
        <v>176</v>
      </c>
      <c r="AA2170" s="402">
        <f t="shared" ref="AA2170" si="6944">IF(AA2173=0,(D2170*N2170+P2170*R2170)*U2170*Y2170,0)</f>
        <v>0</v>
      </c>
      <c r="AB2170" s="403"/>
    </row>
    <row r="2171" spans="1:28">
      <c r="A2171" s="384" t="str">
        <f t="shared" ref="A2171:B2171" si="6945">A2155</f>
        <v>Lantai 1</v>
      </c>
      <c r="B2171" s="385">
        <f t="shared" si="6945"/>
        <v>70</v>
      </c>
      <c r="C2171" s="393" t="s">
        <v>210</v>
      </c>
      <c r="D2171" s="398">
        <f>VLOOKUP(D2155,'Detail Balok'!$C$10:$AU$140,25,FALSE)</f>
        <v>3</v>
      </c>
      <c r="E2171" s="388" t="s">
        <v>16</v>
      </c>
      <c r="F2171" s="388">
        <f>VLOOKUP(D2155,'Detail Balok'!$C$10:$AU$140,27,FALSE)</f>
        <v>13</v>
      </c>
      <c r="G2171" s="388"/>
      <c r="H2171" s="395"/>
      <c r="I2171" s="388" t="s">
        <v>203</v>
      </c>
      <c r="J2171" s="399">
        <f t="shared" si="6937"/>
        <v>3.4125000000000001</v>
      </c>
      <c r="K2171" s="400" t="s">
        <v>204</v>
      </c>
      <c r="L2171" s="399"/>
      <c r="M2171" s="399" t="s">
        <v>176</v>
      </c>
      <c r="N2171" s="399">
        <f t="shared" si="6939"/>
        <v>3.4125000000000001</v>
      </c>
      <c r="O2171" s="399" t="s">
        <v>204</v>
      </c>
      <c r="P2171" s="389">
        <f t="shared" ref="P2171" si="6946">MAX(D2171-D2170,D2171-D2172)</f>
        <v>0</v>
      </c>
      <c r="Q2171" s="399" t="s">
        <v>125</v>
      </c>
      <c r="R2171" s="399">
        <f t="shared" ref="R2171" si="6947">IF(P2171&gt;0,2*(1-2*$F$19-1/2)*D2158/1000,0)</f>
        <v>0</v>
      </c>
      <c r="S2171" s="399" t="s">
        <v>205</v>
      </c>
      <c r="T2171" s="399" t="s">
        <v>125</v>
      </c>
      <c r="U2171" s="401">
        <f t="shared" si="6942"/>
        <v>1.041885</v>
      </c>
      <c r="V2171" s="399"/>
      <c r="W2171" s="399"/>
      <c r="X2171" s="399" t="s">
        <v>125</v>
      </c>
      <c r="Y2171" s="389">
        <f t="shared" ref="Y2171" si="6948">D2161</f>
        <v>1</v>
      </c>
      <c r="Z2171" s="400" t="s">
        <v>176</v>
      </c>
      <c r="AA2171" s="402">
        <f t="shared" ref="AA2171" si="6949">IF(AA2173=0,(D2171*N2171+P2171*R2171)*U2171*Y2171,0)</f>
        <v>0</v>
      </c>
      <c r="AB2171" s="403"/>
    </row>
    <row r="2172" spans="1:28">
      <c r="A2172" s="384" t="str">
        <f t="shared" ref="A2172:B2172" si="6950">A2155</f>
        <v>Lantai 1</v>
      </c>
      <c r="B2172" s="385">
        <f t="shared" si="6950"/>
        <v>70</v>
      </c>
      <c r="C2172" s="393" t="s">
        <v>209</v>
      </c>
      <c r="D2172" s="398">
        <f>VLOOKUP(D2155,'Detail Balok'!$C$10:$AU$140,28,FALSE)</f>
        <v>3</v>
      </c>
      <c r="E2172" s="388" t="s">
        <v>16</v>
      </c>
      <c r="F2172" s="388">
        <f>VLOOKUP(D2155,'Detail Balok'!$C$10:$AU$140,30,FALSE)</f>
        <v>13</v>
      </c>
      <c r="G2172" s="388"/>
      <c r="H2172" s="395"/>
      <c r="I2172" s="388" t="s">
        <v>203</v>
      </c>
      <c r="J2172" s="399">
        <f t="shared" si="6937"/>
        <v>1.70625</v>
      </c>
      <c r="K2172" s="400" t="s">
        <v>204</v>
      </c>
      <c r="L2172" s="399">
        <f t="shared" ref="L2172" si="6951">MAX(VLOOKUP(F2172,N$6:P$15,3,FALSE)/1000,2/3*D2160/1000)+F$16*F2172/1000</f>
        <v>0.156</v>
      </c>
      <c r="M2172" s="399" t="s">
        <v>176</v>
      </c>
      <c r="N2172" s="399">
        <f t="shared" si="6939"/>
        <v>1.86225</v>
      </c>
      <c r="O2172" s="399" t="s">
        <v>204</v>
      </c>
      <c r="P2172" s="389">
        <f t="shared" ref="P2172" si="6952">D2172-D2171</f>
        <v>0</v>
      </c>
      <c r="Q2172" s="399" t="s">
        <v>125</v>
      </c>
      <c r="R2172" s="399">
        <f t="shared" ref="R2172" si="6953">IF(P2172&gt;0,$F$18*F2172/1000,0)</f>
        <v>0</v>
      </c>
      <c r="S2172" s="399" t="s">
        <v>205</v>
      </c>
      <c r="T2172" s="399" t="s">
        <v>125</v>
      </c>
      <c r="U2172" s="401">
        <f t="shared" si="6942"/>
        <v>1.041885</v>
      </c>
      <c r="V2172" s="399"/>
      <c r="W2172" s="399"/>
      <c r="X2172" s="399" t="s">
        <v>125</v>
      </c>
      <c r="Y2172" s="389">
        <f t="shared" ref="Y2172" si="6954">D2161</f>
        <v>1</v>
      </c>
      <c r="Z2172" s="400" t="s">
        <v>176</v>
      </c>
      <c r="AA2172" s="402">
        <f t="shared" ref="AA2172" si="6955">IF(AA2173=0,(D2172*N2172+P2172*R2172)*U2172*Y2172,0)</f>
        <v>0</v>
      </c>
      <c r="AB2172" s="403"/>
    </row>
    <row r="2173" spans="1:28">
      <c r="A2173" s="384" t="str">
        <f t="shared" ref="A2173:B2173" si="6956">A2155</f>
        <v>Lantai 1</v>
      </c>
      <c r="B2173" s="385">
        <f t="shared" si="6956"/>
        <v>70</v>
      </c>
      <c r="C2173" s="393"/>
      <c r="D2173" s="398">
        <f t="shared" ref="D2173:D2233" si="6957">IF(AND(D2170=D2171,D2171=D2172,D2170=D2172),D2170,0)</f>
        <v>3</v>
      </c>
      <c r="E2173" s="388" t="s">
        <v>16</v>
      </c>
      <c r="F2173" s="388">
        <f t="shared" ref="F2173:F2233" si="6958">IF(AND(F2170=F2171,F2170=F2172,F2171=F2172),F2170,0)</f>
        <v>13</v>
      </c>
      <c r="G2173" s="388"/>
      <c r="H2173" s="395"/>
      <c r="I2173" s="388"/>
      <c r="J2173" s="396"/>
      <c r="K2173" s="396"/>
      <c r="L2173" s="404" t="s">
        <v>207</v>
      </c>
      <c r="M2173" s="399" t="s">
        <v>176</v>
      </c>
      <c r="N2173" s="399">
        <f t="shared" ref="N2173" si="6959">IF(AND(D2170=D2171,D2170=D2172,D2171=D2172,F2170=F2171,F2170=F2172,F2171=F2172),SUM(N2170:N2172),0)</f>
        <v>7.1370000000000005</v>
      </c>
      <c r="O2173" s="399" t="s">
        <v>204</v>
      </c>
      <c r="P2173" s="389">
        <f t="shared" ref="P2173" si="6960">IF(N2173&gt;12,ROUNDDOWN(N2173/12,0),0)</f>
        <v>0</v>
      </c>
      <c r="Q2173" s="399" t="s">
        <v>125</v>
      </c>
      <c r="R2173" s="399">
        <f t="shared" ref="R2173" si="6961">IF(P2173&gt;0,MAX(VLOOKUP(F2173,$D$6:$G$15,3,FALSE),600),0)/1000</f>
        <v>0</v>
      </c>
      <c r="S2173" s="396"/>
      <c r="T2173" s="396" t="s">
        <v>125</v>
      </c>
      <c r="U2173" s="401">
        <f t="shared" ref="U2173:U2233" si="6962">U2172</f>
        <v>1.041885</v>
      </c>
      <c r="V2173" s="396" t="s">
        <v>125</v>
      </c>
      <c r="W2173" s="399">
        <f t="shared" ref="W2173" si="6963">D2173</f>
        <v>3</v>
      </c>
      <c r="X2173" s="399" t="s">
        <v>125</v>
      </c>
      <c r="Y2173" s="389">
        <f t="shared" ref="Y2173:Y2233" si="6964">Y2172</f>
        <v>1</v>
      </c>
      <c r="Z2173" s="400" t="s">
        <v>176</v>
      </c>
      <c r="AA2173" s="402">
        <f t="shared" ref="AA2173" si="6965">(N2173+P2173*R2173/1000)*U2173*W2173*Y2173</f>
        <v>22.307799735</v>
      </c>
      <c r="AB2173" s="403"/>
    </row>
    <row r="2174" spans="1:28">
      <c r="A2174" s="384"/>
      <c r="B2174" s="385"/>
      <c r="C2174" s="393"/>
      <c r="D2174" s="394"/>
      <c r="E2174" s="388"/>
      <c r="F2174" s="388"/>
      <c r="G2174" s="388"/>
      <c r="H2174" s="395"/>
      <c r="I2174" s="388"/>
      <c r="J2174" s="399"/>
      <c r="K2174" s="396"/>
      <c r="L2174" s="396"/>
      <c r="M2174" s="396"/>
      <c r="N2174" s="396"/>
      <c r="O2174" s="396"/>
      <c r="P2174" s="389"/>
      <c r="Q2174" s="396"/>
      <c r="R2174" s="396"/>
      <c r="S2174" s="396"/>
      <c r="T2174" s="396"/>
      <c r="U2174" s="401"/>
      <c r="V2174" s="396"/>
      <c r="W2174" s="388"/>
      <c r="X2174" s="396"/>
      <c r="Y2174" s="389"/>
      <c r="Z2174" s="396"/>
      <c r="AA2174" s="388"/>
      <c r="AB2174" s="390"/>
    </row>
    <row r="2175" spans="1:28">
      <c r="A2175" s="384" t="str">
        <f t="shared" ref="A2175:B2175" si="6966">A2155</f>
        <v>Lantai 1</v>
      </c>
      <c r="B2175" s="385">
        <f t="shared" si="6966"/>
        <v>70</v>
      </c>
      <c r="C2175" s="393" t="s">
        <v>211</v>
      </c>
      <c r="D2175" s="398">
        <f>VLOOKUP(D2155,'Detail Balok'!$C$10:$AU$140,31,FALSE)</f>
        <v>0</v>
      </c>
      <c r="E2175" s="388" t="s">
        <v>16</v>
      </c>
      <c r="F2175" s="388">
        <f>VLOOKUP(D2155,'Detail Balok'!$C$10:$AU$140,33,FALSE)</f>
        <v>8</v>
      </c>
      <c r="G2175" s="405" t="s">
        <v>157</v>
      </c>
      <c r="H2175" s="395">
        <f>VLOOKUP(D2155,'Detail Balok'!$C$10:$AU$140,35,FALSE)</f>
        <v>150</v>
      </c>
      <c r="I2175" s="388"/>
      <c r="J2175" s="400">
        <f t="shared" ref="J2175" si="6967">(IF(D2175=0,(2*(D2156+G2156))-(F$5*8),IF(D2175=3,(2*(D2156+G2156))-(F$5*8)+(G2156-2*F$5),IF(D2175=4,(2*(D2156+G2156))-(F$5*8)+2*(G2156-2*F$5)))))/1000</f>
        <v>0.88</v>
      </c>
      <c r="K2175" s="400" t="s">
        <v>204</v>
      </c>
      <c r="L2175" s="399">
        <f t="shared" ref="L2175:L2177" si="6968">IF(D2175=0,2*MAX(6*F2175,75),(D2175-1)*2*MAX(6*F2175,75))/1000</f>
        <v>0.15</v>
      </c>
      <c r="M2175" s="399" t="s">
        <v>176</v>
      </c>
      <c r="N2175" s="399">
        <f t="shared" ref="N2175:N2177" si="6969">J2175+L2175</f>
        <v>1.03</v>
      </c>
      <c r="O2175" s="399"/>
      <c r="P2175" s="389"/>
      <c r="Q2175" s="399"/>
      <c r="R2175" s="399"/>
      <c r="S2175" s="399"/>
      <c r="T2175" s="399" t="s">
        <v>125</v>
      </c>
      <c r="U2175" s="401">
        <f t="shared" ref="U2175:U2177" si="6970">0.006165*F2175^2</f>
        <v>0.39456000000000002</v>
      </c>
      <c r="V2175" s="399" t="s">
        <v>125</v>
      </c>
      <c r="W2175" s="399">
        <f t="shared" ref="W2175" si="6971">IF(D2158&gt;4*G2156,ROUND(MAX(D2158/4,2*G2156)/H2175,0)+1,ROUND(D2158/H2175,0)+1)</f>
        <v>12</v>
      </c>
      <c r="X2175" s="399" t="s">
        <v>125</v>
      </c>
      <c r="Y2175" s="389">
        <f t="shared" ref="Y2175" si="6972">D2161</f>
        <v>1</v>
      </c>
      <c r="Z2175" s="400" t="s">
        <v>176</v>
      </c>
      <c r="AA2175" s="402">
        <f t="shared" ref="AA2175:AA2177" si="6973">N2175*U2175*W2175*Y2175</f>
        <v>4.8767616000000009</v>
      </c>
      <c r="AB2175" s="403"/>
    </row>
    <row r="2176" spans="1:28">
      <c r="A2176" s="384" t="str">
        <f t="shared" ref="A2176:B2176" si="6974">A2155</f>
        <v>Lantai 1</v>
      </c>
      <c r="B2176" s="385">
        <f t="shared" si="6974"/>
        <v>70</v>
      </c>
      <c r="C2176" s="393" t="s">
        <v>212</v>
      </c>
      <c r="D2176" s="398">
        <f>VLOOKUP(D2155,'Detail Balok'!$C$10:$AU$140,36,FALSE)</f>
        <v>0</v>
      </c>
      <c r="E2176" s="388" t="s">
        <v>16</v>
      </c>
      <c r="F2176" s="388">
        <f>VLOOKUP(D2155,'Detail Balok'!$C$10:$AU$140,38,FALSE)</f>
        <v>8</v>
      </c>
      <c r="G2176" s="405" t="s">
        <v>157</v>
      </c>
      <c r="H2176" s="395">
        <f>VLOOKUP(D2155,'Detail Balok'!$C$10:$AU$140,40,FALSE)</f>
        <v>200</v>
      </c>
      <c r="I2176" s="388"/>
      <c r="J2176" s="400">
        <f t="shared" ref="J2176" si="6975">(IF(D2176=0,(2*(D2156+G2156))-(F$5*8),IF(D2176=3,(2*(D2156+G2156))-(F$5*8)+(G2156-2*F$5),IF(D2176=4,(2*(D2156+G2156))-(F$5*8)+2*(G2156-2*F$5)))))/1000</f>
        <v>0.88</v>
      </c>
      <c r="K2176" s="400" t="s">
        <v>204</v>
      </c>
      <c r="L2176" s="399">
        <f t="shared" si="6968"/>
        <v>0.15</v>
      </c>
      <c r="M2176" s="399" t="s">
        <v>176</v>
      </c>
      <c r="N2176" s="399">
        <f t="shared" si="6969"/>
        <v>1.03</v>
      </c>
      <c r="O2176" s="399"/>
      <c r="P2176" s="389"/>
      <c r="Q2176" s="399"/>
      <c r="R2176" s="399"/>
      <c r="S2176" s="399"/>
      <c r="T2176" s="399" t="s">
        <v>125</v>
      </c>
      <c r="U2176" s="401">
        <f t="shared" si="6970"/>
        <v>0.39456000000000002</v>
      </c>
      <c r="V2176" s="399" t="s">
        <v>125</v>
      </c>
      <c r="W2176" s="399">
        <f t="shared" ref="W2176" si="6976">IF(D2158-MAX(D2158/4,2*G2156)*2&gt;0,ROUND((D2158-MAX(D2158/4,2*G2156)*2)/H2176,0),0)</f>
        <v>17</v>
      </c>
      <c r="X2176" s="399" t="s">
        <v>125</v>
      </c>
      <c r="Y2176" s="389">
        <f t="shared" ref="Y2176" si="6977">D2161</f>
        <v>1</v>
      </c>
      <c r="Z2176" s="400" t="s">
        <v>176</v>
      </c>
      <c r="AA2176" s="402">
        <f t="shared" si="6973"/>
        <v>6.9087456000000014</v>
      </c>
      <c r="AB2176" s="403"/>
    </row>
    <row r="2177" spans="1:28">
      <c r="A2177" s="384" t="str">
        <f t="shared" ref="A2177:B2177" si="6978">A2155</f>
        <v>Lantai 1</v>
      </c>
      <c r="B2177" s="385">
        <f t="shared" si="6978"/>
        <v>70</v>
      </c>
      <c r="C2177" s="393" t="s">
        <v>211</v>
      </c>
      <c r="D2177" s="398">
        <f>VLOOKUP(D2155,'Detail Balok'!$C$10:$AU$140,41,FALSE)</f>
        <v>0</v>
      </c>
      <c r="E2177" s="388" t="s">
        <v>16</v>
      </c>
      <c r="F2177" s="388">
        <f>VLOOKUP(D2155,'Detail Balok'!$C$10:$AU$140,43,FALSE)</f>
        <v>8</v>
      </c>
      <c r="G2177" s="405" t="s">
        <v>157</v>
      </c>
      <c r="H2177" s="395">
        <f>VLOOKUP(D2155,'Detail Balok'!$C$10:$AU$140,45,FALSE)</f>
        <v>150</v>
      </c>
      <c r="I2177" s="388"/>
      <c r="J2177" s="400">
        <f t="shared" ref="J2177" si="6979">(IF(D2177=0,(2*(D2156+G2156))-(F$5*8),IF(D2177=3,(2*(D2156+G2156))-(F$5*8)+(G2156-2*F$5),IF(D2177=4,(2*(D2156+G2156))-(F$5*8)+2*(G2156-2*F$5)))))/1000</f>
        <v>0.88</v>
      </c>
      <c r="K2177" s="400" t="s">
        <v>204</v>
      </c>
      <c r="L2177" s="399">
        <f t="shared" si="6968"/>
        <v>0.15</v>
      </c>
      <c r="M2177" s="399" t="s">
        <v>176</v>
      </c>
      <c r="N2177" s="399">
        <f t="shared" si="6969"/>
        <v>1.03</v>
      </c>
      <c r="O2177" s="399"/>
      <c r="P2177" s="389"/>
      <c r="Q2177" s="399"/>
      <c r="R2177" s="399"/>
      <c r="S2177" s="399"/>
      <c r="T2177" s="399" t="s">
        <v>125</v>
      </c>
      <c r="U2177" s="401">
        <f t="shared" si="6970"/>
        <v>0.39456000000000002</v>
      </c>
      <c r="V2177" s="399" t="s">
        <v>125</v>
      </c>
      <c r="W2177" s="399">
        <f t="shared" ref="W2177" si="6980">IF(D2158&gt;4*G2156,ROUND(MAX(D2158/4,2*G2156)/H2177,0)+1,0)</f>
        <v>12</v>
      </c>
      <c r="X2177" s="399" t="s">
        <v>125</v>
      </c>
      <c r="Y2177" s="389">
        <f t="shared" ref="Y2177" si="6981">D2161</f>
        <v>1</v>
      </c>
      <c r="Z2177" s="400" t="s">
        <v>176</v>
      </c>
      <c r="AA2177" s="402">
        <f t="shared" si="6973"/>
        <v>4.8767616000000009</v>
      </c>
      <c r="AB2177" s="403"/>
    </row>
    <row r="2178" spans="1:28">
      <c r="A2178" s="384"/>
      <c r="B2178" s="385"/>
      <c r="C2178" s="393"/>
      <c r="D2178" s="394"/>
      <c r="E2178" s="388"/>
      <c r="F2178" s="388"/>
      <c r="G2178" s="388"/>
      <c r="H2178" s="395"/>
      <c r="I2178" s="388"/>
      <c r="J2178" s="399"/>
      <c r="K2178" s="396"/>
      <c r="L2178" s="396"/>
      <c r="M2178" s="396"/>
      <c r="N2178" s="396"/>
      <c r="O2178" s="396"/>
      <c r="P2178" s="389"/>
      <c r="Q2178" s="396"/>
      <c r="R2178" s="396"/>
      <c r="S2178" s="396"/>
      <c r="T2178" s="396"/>
      <c r="U2178" s="401"/>
      <c r="V2178" s="396"/>
      <c r="W2178" s="388"/>
      <c r="X2178" s="396"/>
      <c r="Y2178" s="389"/>
      <c r="Z2178" s="396"/>
      <c r="AA2178" s="388"/>
      <c r="AB2178" s="390"/>
    </row>
    <row r="2179" spans="1:28">
      <c r="A2179" s="384" t="str">
        <f t="shared" ref="A2179:B2179" si="6982">A2155</f>
        <v>Lantai 1</v>
      </c>
      <c r="B2179" s="385">
        <f t="shared" si="6982"/>
        <v>70</v>
      </c>
      <c r="C2179" s="393" t="s">
        <v>213</v>
      </c>
      <c r="D2179" s="398">
        <f>VLOOKUP(D2155,'Detail Balok'!$C$10:$BJ$140,46,FALSE)</f>
        <v>0</v>
      </c>
      <c r="E2179" s="388" t="s">
        <v>16</v>
      </c>
      <c r="F2179" s="388">
        <f>VLOOKUP(D2155,'Detail Balok'!$C$10:$BJ$140,48,FALSE)</f>
        <v>0</v>
      </c>
      <c r="G2179" s="405" t="s">
        <v>157</v>
      </c>
      <c r="H2179" s="395">
        <f>VLOOKUP(D2155,'Detail Balok'!$C$10:$BJ$140,50,FALSE)</f>
        <v>100</v>
      </c>
      <c r="I2179" s="388"/>
      <c r="J2179" s="399">
        <f t="shared" ref="J2179" si="6983">(D2156-2*F$5)/1000</f>
        <v>0.12</v>
      </c>
      <c r="K2179" s="400" t="s">
        <v>204</v>
      </c>
      <c r="L2179" s="399">
        <f t="shared" ref="L2179:L2181" si="6984">IF(D2179=0,2*MAX(6*F2179,75),(D2179-1)*2*MAX(6*F2179,75))/1000</f>
        <v>0.15</v>
      </c>
      <c r="M2179" s="399" t="s">
        <v>176</v>
      </c>
      <c r="N2179" s="399">
        <f t="shared" ref="N2179:N2181" si="6985">J2179+L2179</f>
        <v>0.27</v>
      </c>
      <c r="O2179" s="399"/>
      <c r="P2179" s="399"/>
      <c r="Q2179" s="399"/>
      <c r="R2179" s="399"/>
      <c r="S2179" s="399"/>
      <c r="T2179" s="399" t="s">
        <v>125</v>
      </c>
      <c r="U2179" s="401">
        <f t="shared" ref="U2179:U2181" si="6986">0.006165*F2179^2</f>
        <v>0</v>
      </c>
      <c r="V2179" s="399" t="s">
        <v>125</v>
      </c>
      <c r="W2179" s="399">
        <f t="shared" ref="W2179:W2241" si="6987">W2175</f>
        <v>12</v>
      </c>
      <c r="X2179" s="399" t="s">
        <v>125</v>
      </c>
      <c r="Y2179" s="389">
        <f t="shared" ref="Y2179" si="6988">D2165</f>
        <v>3</v>
      </c>
      <c r="Z2179" s="400" t="s">
        <v>176</v>
      </c>
      <c r="AA2179" s="402">
        <f t="shared" ref="AA2179:AA2181" si="6989">N2179*U2179*W2179*Y2179</f>
        <v>0</v>
      </c>
      <c r="AB2179" s="403"/>
    </row>
    <row r="2180" spans="1:28">
      <c r="A2180" s="384" t="str">
        <f t="shared" ref="A2180:B2180" si="6990">A2155</f>
        <v>Lantai 1</v>
      </c>
      <c r="B2180" s="385">
        <f t="shared" si="6990"/>
        <v>70</v>
      </c>
      <c r="C2180" s="393" t="s">
        <v>214</v>
      </c>
      <c r="D2180" s="398">
        <f>VLOOKUP(D2155,'Detail Balok'!$C$10:$BJ$140,51,FALSE)</f>
        <v>0</v>
      </c>
      <c r="E2180" s="388" t="s">
        <v>16</v>
      </c>
      <c r="F2180" s="388">
        <f>VLOOKUP(D2155,'Detail Balok'!$C$10:$BJ$140,53,FALSE)</f>
        <v>0</v>
      </c>
      <c r="G2180" s="405" t="s">
        <v>157</v>
      </c>
      <c r="H2180" s="395">
        <f>VLOOKUP(D2155,'Detail Balok'!$C$10:$BJ$140,55,FALSE)</f>
        <v>100</v>
      </c>
      <c r="I2180" s="388"/>
      <c r="J2180" s="399">
        <f t="shared" ref="J2180" si="6991">(D2156-2*F$5)/1000</f>
        <v>0.12</v>
      </c>
      <c r="K2180" s="400" t="s">
        <v>204</v>
      </c>
      <c r="L2180" s="399">
        <f t="shared" si="6984"/>
        <v>0.15</v>
      </c>
      <c r="M2180" s="399" t="s">
        <v>176</v>
      </c>
      <c r="N2180" s="399">
        <f t="shared" si="6985"/>
        <v>0.27</v>
      </c>
      <c r="O2180" s="399"/>
      <c r="P2180" s="399"/>
      <c r="Q2180" s="399"/>
      <c r="R2180" s="399"/>
      <c r="S2180" s="399"/>
      <c r="T2180" s="399" t="s">
        <v>125</v>
      </c>
      <c r="U2180" s="401">
        <f t="shared" si="6986"/>
        <v>0</v>
      </c>
      <c r="V2180" s="399" t="s">
        <v>125</v>
      </c>
      <c r="W2180" s="399">
        <f t="shared" si="6987"/>
        <v>17</v>
      </c>
      <c r="X2180" s="399" t="s">
        <v>125</v>
      </c>
      <c r="Y2180" s="389">
        <f t="shared" ref="Y2180" si="6992">D2165</f>
        <v>3</v>
      </c>
      <c r="Z2180" s="400" t="s">
        <v>176</v>
      </c>
      <c r="AA2180" s="402">
        <f t="shared" si="6989"/>
        <v>0</v>
      </c>
      <c r="AB2180" s="403"/>
    </row>
    <row r="2181" spans="1:28">
      <c r="A2181" s="384" t="str">
        <f t="shared" ref="A2181:B2181" si="6993">A2155</f>
        <v>Lantai 1</v>
      </c>
      <c r="B2181" s="385">
        <f t="shared" si="6993"/>
        <v>70</v>
      </c>
      <c r="C2181" s="393" t="s">
        <v>213</v>
      </c>
      <c r="D2181" s="398">
        <f>VLOOKUP(D2155,'Detail Balok'!$C$10:$BJ$140,56,FALSE)</f>
        <v>0</v>
      </c>
      <c r="E2181" s="388" t="s">
        <v>16</v>
      </c>
      <c r="F2181" s="388">
        <f>VLOOKUP(D2155,'Detail Balok'!$C$10:$BJ$140,58,FALSE)</f>
        <v>0</v>
      </c>
      <c r="G2181" s="405" t="s">
        <v>157</v>
      </c>
      <c r="H2181" s="395">
        <f>VLOOKUP(D2155,'Detail Balok'!$C$10:$BJ$140,60,FALSE)</f>
        <v>100</v>
      </c>
      <c r="I2181" s="388"/>
      <c r="J2181" s="399">
        <f t="shared" ref="J2181" si="6994">(D2156-2*F$5)/1000</f>
        <v>0.12</v>
      </c>
      <c r="K2181" s="400" t="s">
        <v>204</v>
      </c>
      <c r="L2181" s="399">
        <f t="shared" si="6984"/>
        <v>0.15</v>
      </c>
      <c r="M2181" s="399" t="s">
        <v>176</v>
      </c>
      <c r="N2181" s="399">
        <f t="shared" si="6985"/>
        <v>0.27</v>
      </c>
      <c r="O2181" s="399"/>
      <c r="P2181" s="399"/>
      <c r="Q2181" s="399"/>
      <c r="R2181" s="399"/>
      <c r="S2181" s="399"/>
      <c r="T2181" s="399" t="s">
        <v>125</v>
      </c>
      <c r="U2181" s="401">
        <f t="shared" si="6986"/>
        <v>0</v>
      </c>
      <c r="V2181" s="399" t="s">
        <v>125</v>
      </c>
      <c r="W2181" s="399">
        <f t="shared" si="6987"/>
        <v>12</v>
      </c>
      <c r="X2181" s="399" t="s">
        <v>125</v>
      </c>
      <c r="Y2181" s="389">
        <f t="shared" ref="Y2181" si="6995">D2165</f>
        <v>3</v>
      </c>
      <c r="Z2181" s="400" t="s">
        <v>176</v>
      </c>
      <c r="AA2181" s="402">
        <f t="shared" si="6989"/>
        <v>0</v>
      </c>
      <c r="AB2181" s="403"/>
    </row>
    <row r="2182" spans="1:28">
      <c r="A2182" s="391"/>
      <c r="B2182" s="392"/>
      <c r="C2182" s="392"/>
      <c r="D2182" s="394"/>
      <c r="E2182" s="388"/>
      <c r="F2182" s="388"/>
      <c r="G2182" s="388"/>
      <c r="H2182" s="395"/>
      <c r="I2182" s="388"/>
      <c r="J2182" s="402"/>
      <c r="K2182" s="388"/>
      <c r="L2182" s="388"/>
      <c r="M2182" s="388"/>
      <c r="N2182" s="388"/>
      <c r="O2182" s="388"/>
      <c r="P2182" s="388"/>
      <c r="Q2182" s="388"/>
      <c r="R2182" s="388"/>
      <c r="S2182" s="388"/>
      <c r="T2182" s="388"/>
      <c r="U2182" s="388"/>
      <c r="V2182" s="388"/>
      <c r="W2182" s="388"/>
      <c r="X2182" s="388"/>
      <c r="Y2182" s="389"/>
      <c r="Z2182" s="388"/>
      <c r="AA2182" s="402"/>
      <c r="AB2182" s="403"/>
    </row>
    <row r="2183" spans="1:28" ht="15.75" thickBot="1">
      <c r="A2183" s="406"/>
      <c r="B2183" s="407"/>
      <c r="C2183" s="407"/>
      <c r="D2183" s="408"/>
      <c r="E2183" s="409"/>
      <c r="F2183" s="409"/>
      <c r="G2183" s="409"/>
      <c r="H2183" s="410"/>
      <c r="I2183" s="409"/>
      <c r="J2183" s="409"/>
      <c r="K2183" s="409"/>
      <c r="L2183" s="409"/>
      <c r="M2183" s="409"/>
      <c r="N2183" s="409"/>
      <c r="O2183" s="409"/>
      <c r="P2183" s="409"/>
      <c r="Q2183" s="409"/>
      <c r="R2183" s="409"/>
      <c r="S2183" s="409"/>
      <c r="T2183" s="409"/>
      <c r="U2183" s="409"/>
      <c r="V2183" s="409"/>
      <c r="W2183" s="409"/>
      <c r="X2183" s="409"/>
      <c r="Y2183" s="411"/>
      <c r="Z2183" s="409"/>
      <c r="AA2183" s="412"/>
      <c r="AB2183" s="413"/>
    </row>
    <row r="2184" spans="1:28">
      <c r="A2184" s="377"/>
      <c r="B2184" s="378"/>
      <c r="C2184" s="378"/>
      <c r="D2184" s="379"/>
      <c r="E2184" s="380"/>
      <c r="F2184" s="380"/>
      <c r="G2184" s="380"/>
      <c r="H2184" s="381"/>
      <c r="I2184" s="380"/>
      <c r="J2184" s="380"/>
      <c r="K2184" s="380"/>
      <c r="L2184" s="380"/>
      <c r="M2184" s="380"/>
      <c r="N2184" s="380"/>
      <c r="O2184" s="380"/>
      <c r="P2184" s="380"/>
      <c r="Q2184" s="380"/>
      <c r="R2184" s="380"/>
      <c r="S2184" s="380"/>
      <c r="T2184" s="380"/>
      <c r="U2184" s="380"/>
      <c r="V2184" s="380"/>
      <c r="W2184" s="380"/>
      <c r="X2184" s="380"/>
      <c r="Y2184" s="382"/>
      <c r="Z2184" s="380"/>
      <c r="AA2184" s="380"/>
      <c r="AB2184" s="383"/>
    </row>
    <row r="2185" spans="1:28">
      <c r="A2185" s="384" t="str">
        <f t="shared" ref="A2185:A2245" si="6996">A2155</f>
        <v>Lantai 1</v>
      </c>
      <c r="B2185" s="385">
        <f t="shared" ref="B2185:B2245" si="6997">B2155+1</f>
        <v>71</v>
      </c>
      <c r="C2185" s="386" t="str">
        <f t="shared" ref="C2185" si="6998">CONCATENATE(A2185," no. ",B2185)</f>
        <v>Lantai 1 no. 71</v>
      </c>
      <c r="D2185" s="2562" t="str">
        <f>VLOOKUP(C2185,'Data Panjang Balok'!$C$9:$N$254,2,FALSE)</f>
        <v>S24-2</v>
      </c>
      <c r="E2185" s="2576"/>
      <c r="F2185" s="2576"/>
      <c r="G2185" s="2576"/>
      <c r="H2185" s="2577"/>
      <c r="I2185" s="387"/>
      <c r="J2185" s="388"/>
      <c r="K2185" s="388"/>
      <c r="L2185" s="388"/>
      <c r="M2185" s="388"/>
      <c r="N2185" s="388"/>
      <c r="O2185" s="388"/>
      <c r="P2185" s="388"/>
      <c r="Q2185" s="388"/>
      <c r="R2185" s="388"/>
      <c r="S2185" s="388"/>
      <c r="T2185" s="388"/>
      <c r="U2185" s="388"/>
      <c r="V2185" s="388"/>
      <c r="W2185" s="388"/>
      <c r="X2185" s="388"/>
      <c r="Y2185" s="389"/>
      <c r="Z2185" s="388"/>
      <c r="AA2185" s="388"/>
      <c r="AB2185" s="390"/>
    </row>
    <row r="2186" spans="1:28">
      <c r="A2186" s="391"/>
      <c r="B2186" s="392"/>
      <c r="C2186" s="393" t="s">
        <v>118</v>
      </c>
      <c r="D2186" s="2578">
        <f>VLOOKUP(D2185,'Detail Balok'!$C$10:$AU$140,2,FALSE)</f>
        <v>200</v>
      </c>
      <c r="E2186" s="2579"/>
      <c r="F2186" s="388" t="s">
        <v>125</v>
      </c>
      <c r="G2186" s="2579">
        <f>VLOOKUP(D2185,'Detail Balok'!$C$10:$AU$140,3,FALSE)</f>
        <v>400</v>
      </c>
      <c r="H2186" s="2580"/>
      <c r="I2186" s="388"/>
      <c r="J2186" s="396"/>
      <c r="K2186" s="396"/>
      <c r="L2186" s="396"/>
      <c r="M2186" s="396"/>
      <c r="N2186" s="396"/>
      <c r="O2186" s="396"/>
      <c r="P2186" s="396"/>
      <c r="Q2186" s="396"/>
      <c r="R2186" s="396"/>
      <c r="S2186" s="396"/>
      <c r="T2186" s="396"/>
      <c r="U2186" s="388"/>
      <c r="V2186" s="396"/>
      <c r="W2186" s="388"/>
      <c r="X2186" s="396"/>
      <c r="Y2186" s="389"/>
      <c r="Z2186" s="396"/>
      <c r="AA2186" s="388"/>
      <c r="AB2186" s="390"/>
    </row>
    <row r="2187" spans="1:28">
      <c r="A2187" s="391"/>
      <c r="B2187" s="392"/>
      <c r="C2187" s="393" t="s">
        <v>198</v>
      </c>
      <c r="D2187" s="2562">
        <f>VLOOKUP(C2185,'Data Panjang Balok'!$C$9:$N$254,4,FALSE)</f>
        <v>6575</v>
      </c>
      <c r="E2187" s="2563"/>
      <c r="F2187" s="2563"/>
      <c r="G2187" s="2563"/>
      <c r="H2187" s="2564"/>
      <c r="I2187" s="397"/>
      <c r="J2187" s="396"/>
      <c r="K2187" s="396"/>
      <c r="L2187" s="396"/>
      <c r="M2187" s="396"/>
      <c r="N2187" s="396"/>
      <c r="O2187" s="396"/>
      <c r="P2187" s="396"/>
      <c r="Q2187" s="396"/>
      <c r="R2187" s="396"/>
      <c r="S2187" s="396"/>
      <c r="T2187" s="396"/>
      <c r="U2187" s="388"/>
      <c r="V2187" s="396"/>
      <c r="W2187" s="388"/>
      <c r="X2187" s="396"/>
      <c r="Y2187" s="389"/>
      <c r="Z2187" s="396"/>
      <c r="AA2187" s="388"/>
      <c r="AB2187" s="390"/>
    </row>
    <row r="2188" spans="1:28">
      <c r="A2188" s="391"/>
      <c r="B2188" s="392"/>
      <c r="C2188" s="393" t="s">
        <v>199</v>
      </c>
      <c r="D2188" s="2562">
        <f>VLOOKUP(C2185,'Data Panjang Balok'!$C$9:$N$254,7,FALSE)</f>
        <v>6575</v>
      </c>
      <c r="E2188" s="2563"/>
      <c r="F2188" s="2563"/>
      <c r="G2188" s="2563"/>
      <c r="H2188" s="2564"/>
      <c r="I2188" s="397"/>
      <c r="J2188" s="396"/>
      <c r="K2188" s="396"/>
      <c r="L2188" s="396"/>
      <c r="M2188" s="396"/>
      <c r="N2188" s="396"/>
      <c r="O2188" s="396"/>
      <c r="P2188" s="396"/>
      <c r="Q2188" s="396"/>
      <c r="R2188" s="396"/>
      <c r="S2188" s="396"/>
      <c r="T2188" s="396"/>
      <c r="U2188" s="388"/>
      <c r="V2188" s="396"/>
      <c r="W2188" s="388"/>
      <c r="X2188" s="396"/>
      <c r="Y2188" s="389"/>
      <c r="Z2188" s="396"/>
      <c r="AA2188" s="388"/>
      <c r="AB2188" s="390"/>
    </row>
    <row r="2189" spans="1:28">
      <c r="A2189" s="391"/>
      <c r="B2189" s="392"/>
      <c r="C2189" s="393" t="s">
        <v>200</v>
      </c>
      <c r="D2189" s="2562">
        <f>VLOOKUP(C2185,'Data Panjang Balok'!$C$9:$N$254,9,FALSE)</f>
        <v>0</v>
      </c>
      <c r="E2189" s="2563"/>
      <c r="F2189" s="2563"/>
      <c r="G2189" s="2563"/>
      <c r="H2189" s="2564"/>
      <c r="I2189" s="397"/>
      <c r="J2189" s="396"/>
      <c r="K2189" s="396"/>
      <c r="L2189" s="396"/>
      <c r="M2189" s="396"/>
      <c r="N2189" s="396"/>
      <c r="O2189" s="396"/>
      <c r="P2189" s="396"/>
      <c r="Q2189" s="396"/>
      <c r="R2189" s="396"/>
      <c r="S2189" s="396"/>
      <c r="T2189" s="396"/>
      <c r="U2189" s="388"/>
      <c r="V2189" s="396"/>
      <c r="W2189" s="388"/>
      <c r="X2189" s="396"/>
      <c r="Y2189" s="389"/>
      <c r="Z2189" s="396"/>
      <c r="AA2189" s="388"/>
      <c r="AB2189" s="390"/>
    </row>
    <row r="2190" spans="1:28">
      <c r="A2190" s="391"/>
      <c r="B2190" s="392"/>
      <c r="C2190" s="393" t="s">
        <v>201</v>
      </c>
      <c r="D2190" s="2562">
        <f>VLOOKUP(C2185,'Data Panjang Balok'!$C$9:$N$254,10,FALSE)</f>
        <v>0</v>
      </c>
      <c r="E2190" s="2563"/>
      <c r="F2190" s="2563"/>
      <c r="G2190" s="2563"/>
      <c r="H2190" s="2564"/>
      <c r="I2190" s="397"/>
      <c r="J2190" s="396"/>
      <c r="K2190" s="396"/>
      <c r="L2190" s="396"/>
      <c r="M2190" s="396"/>
      <c r="N2190" s="396"/>
      <c r="O2190" s="396"/>
      <c r="P2190" s="396"/>
      <c r="Q2190" s="396"/>
      <c r="R2190" s="396"/>
      <c r="S2190" s="396"/>
      <c r="T2190" s="396"/>
      <c r="U2190" s="388"/>
      <c r="V2190" s="396"/>
      <c r="W2190" s="388"/>
      <c r="X2190" s="396"/>
      <c r="Y2190" s="389"/>
      <c r="Z2190" s="396"/>
      <c r="AA2190" s="388"/>
      <c r="AB2190" s="390"/>
    </row>
    <row r="2191" spans="1:28">
      <c r="A2191" s="391"/>
      <c r="B2191" s="392"/>
      <c r="C2191" s="393" t="s">
        <v>48</v>
      </c>
      <c r="D2191" s="2562">
        <f>VLOOKUP(C2185,'Data Panjang Balok'!$C$9:$N$254,3,FALSE)</f>
        <v>1</v>
      </c>
      <c r="E2191" s="2563"/>
      <c r="F2191" s="2563"/>
      <c r="G2191" s="2563"/>
      <c r="H2191" s="2564"/>
      <c r="I2191" s="397"/>
      <c r="J2191" s="396"/>
      <c r="K2191" s="396"/>
      <c r="L2191" s="396"/>
      <c r="M2191" s="396"/>
      <c r="N2191" s="396"/>
      <c r="O2191" s="396"/>
      <c r="P2191" s="396"/>
      <c r="Q2191" s="396"/>
      <c r="R2191" s="396"/>
      <c r="S2191" s="396"/>
      <c r="T2191" s="396"/>
      <c r="U2191" s="388"/>
      <c r="V2191" s="396"/>
      <c r="W2191" s="388"/>
      <c r="X2191" s="396"/>
      <c r="Y2191" s="389"/>
      <c r="Z2191" s="396"/>
      <c r="AA2191" s="388"/>
      <c r="AB2191" s="390"/>
    </row>
    <row r="2192" spans="1:28">
      <c r="A2192" s="384" t="str">
        <f t="shared" ref="A2192:B2192" si="6999">A2185</f>
        <v>Lantai 1</v>
      </c>
      <c r="B2192" s="385">
        <f t="shared" si="6999"/>
        <v>71</v>
      </c>
      <c r="C2192" s="393" t="s">
        <v>202</v>
      </c>
      <c r="D2192" s="398">
        <f>VLOOKUP(D2185,'Detail Balok'!$C$10:$AU$140,4,FALSE)</f>
        <v>3</v>
      </c>
      <c r="E2192" s="388" t="s">
        <v>16</v>
      </c>
      <c r="F2192" s="388">
        <f>VLOOKUP(D2185,'Detail Balok'!$C$10:$AU$140,6,FALSE)</f>
        <v>16</v>
      </c>
      <c r="G2192" s="388"/>
      <c r="H2192" s="395"/>
      <c r="I2192" s="388" t="s">
        <v>203</v>
      </c>
      <c r="J2192" s="399">
        <f t="shared" ref="J2192" si="7000">+D2187/4/1000</f>
        <v>1.64375</v>
      </c>
      <c r="K2192" s="400" t="s">
        <v>204</v>
      </c>
      <c r="L2192" s="399">
        <f t="shared" ref="L2192" si="7001">MAX(VLOOKUP(F2192,N$6:P$15,3,FALSE)/1000,2/3*D2189/1000)+F$16*F2192/1000</f>
        <v>0.192</v>
      </c>
      <c r="M2192" s="399" t="s">
        <v>176</v>
      </c>
      <c r="N2192" s="399">
        <f t="shared" ref="N2192:N2194" si="7002">J2192+L2192</f>
        <v>1.83575</v>
      </c>
      <c r="O2192" s="399" t="s">
        <v>204</v>
      </c>
      <c r="P2192" s="389">
        <f t="shared" ref="P2192" si="7003">D2192-D2193</f>
        <v>0</v>
      </c>
      <c r="Q2192" s="399" t="s">
        <v>125</v>
      </c>
      <c r="R2192" s="399">
        <f t="shared" ref="R2192" si="7004">IF(P2192&gt;0,$F$18*F2192/1000,0)</f>
        <v>0</v>
      </c>
      <c r="S2192" s="399" t="s">
        <v>205</v>
      </c>
      <c r="T2192" s="399" t="s">
        <v>125</v>
      </c>
      <c r="U2192" s="401">
        <f t="shared" ref="U2192:U2194" si="7005">0.006165*F2192^2</f>
        <v>1.5782400000000001</v>
      </c>
      <c r="V2192" s="399"/>
      <c r="W2192" s="399"/>
      <c r="X2192" s="399" t="s">
        <v>125</v>
      </c>
      <c r="Y2192" s="389">
        <f t="shared" ref="Y2192" si="7006">D2191</f>
        <v>1</v>
      </c>
      <c r="Z2192" s="400" t="s">
        <v>176</v>
      </c>
      <c r="AA2192" s="402">
        <f t="shared" ref="AA2192" si="7007">IF(AA2195=0,(D2192*N2192+P2192*R2192)*U2192*Y2192,0)</f>
        <v>0</v>
      </c>
      <c r="AB2192" s="403"/>
    </row>
    <row r="2193" spans="1:28">
      <c r="A2193" s="384" t="str">
        <f t="shared" ref="A2193:B2193" si="7008">A2185</f>
        <v>Lantai 1</v>
      </c>
      <c r="B2193" s="385">
        <f t="shared" si="7008"/>
        <v>71</v>
      </c>
      <c r="C2193" s="393" t="s">
        <v>206</v>
      </c>
      <c r="D2193" s="398">
        <f>VLOOKUP(D2185,'Detail Balok'!$C$10:$AU$140,7,FALSE)</f>
        <v>3</v>
      </c>
      <c r="E2193" s="388" t="s">
        <v>16</v>
      </c>
      <c r="F2193" s="388">
        <f>VLOOKUP(D2185,'Detail Balok'!$C$10:$AU$140,9,FALSE)</f>
        <v>16</v>
      </c>
      <c r="G2193" s="388"/>
      <c r="H2193" s="395"/>
      <c r="I2193" s="388" t="s">
        <v>203</v>
      </c>
      <c r="J2193" s="399">
        <f t="shared" ref="J2193" si="7009">+D2187/2/1000</f>
        <v>3.2875000000000001</v>
      </c>
      <c r="K2193" s="400" t="s">
        <v>204</v>
      </c>
      <c r="L2193" s="399"/>
      <c r="M2193" s="399" t="s">
        <v>176</v>
      </c>
      <c r="N2193" s="399">
        <f t="shared" si="7002"/>
        <v>3.2875000000000001</v>
      </c>
      <c r="O2193" s="399" t="s">
        <v>204</v>
      </c>
      <c r="P2193" s="389">
        <f t="shared" ref="P2193" si="7010">MAX(D2193-D2192,D2193-D2194)</f>
        <v>0</v>
      </c>
      <c r="Q2193" s="399" t="s">
        <v>125</v>
      </c>
      <c r="R2193" s="399">
        <f t="shared" ref="R2193" si="7011">IF(P2193&gt;0,2*(1-2*$F$19-1/2)*D2188/1000,0)</f>
        <v>0</v>
      </c>
      <c r="S2193" s="399" t="s">
        <v>205</v>
      </c>
      <c r="T2193" s="399" t="s">
        <v>125</v>
      </c>
      <c r="U2193" s="401">
        <f t="shared" si="7005"/>
        <v>1.5782400000000001</v>
      </c>
      <c r="V2193" s="399"/>
      <c r="W2193" s="399"/>
      <c r="X2193" s="399" t="s">
        <v>125</v>
      </c>
      <c r="Y2193" s="389">
        <f t="shared" ref="Y2193" si="7012">D2191</f>
        <v>1</v>
      </c>
      <c r="Z2193" s="400" t="s">
        <v>176</v>
      </c>
      <c r="AA2193" s="402">
        <f t="shared" ref="AA2193" si="7013">IF(AA2195=0,(D2193*N2193+P2193*R2193)*U2193*Y2193,0)</f>
        <v>0</v>
      </c>
      <c r="AB2193" s="403"/>
    </row>
    <row r="2194" spans="1:28">
      <c r="A2194" s="384" t="str">
        <f t="shared" ref="A2194:B2194" si="7014">A2185</f>
        <v>Lantai 1</v>
      </c>
      <c r="B2194" s="385">
        <f t="shared" si="7014"/>
        <v>71</v>
      </c>
      <c r="C2194" s="393" t="s">
        <v>202</v>
      </c>
      <c r="D2194" s="398">
        <f>VLOOKUP(D2185,'Detail Balok'!$C$10:$AU$140,10,FALSE)</f>
        <v>3</v>
      </c>
      <c r="E2194" s="388" t="s">
        <v>16</v>
      </c>
      <c r="F2194" s="388">
        <f>VLOOKUP(D2185,'Detail Balok'!$C$10:$AU$140,12,FALSE)</f>
        <v>16</v>
      </c>
      <c r="G2194" s="388"/>
      <c r="H2194" s="395"/>
      <c r="I2194" s="388" t="s">
        <v>203</v>
      </c>
      <c r="J2194" s="399">
        <f t="shared" ref="J2194" si="7015">+D2187/4/1000</f>
        <v>1.64375</v>
      </c>
      <c r="K2194" s="400" t="s">
        <v>204</v>
      </c>
      <c r="L2194" s="399">
        <f t="shared" ref="L2194" si="7016">MAX(VLOOKUP(F2194,N$6:P$15,3,FALSE)/1000,2/3*D2189/1000)+F$16*F2194/1000</f>
        <v>0.192</v>
      </c>
      <c r="M2194" s="399" t="s">
        <v>176</v>
      </c>
      <c r="N2194" s="399">
        <f t="shared" si="7002"/>
        <v>1.83575</v>
      </c>
      <c r="O2194" s="399" t="s">
        <v>204</v>
      </c>
      <c r="P2194" s="389">
        <f t="shared" ref="P2194" si="7017">D2194-D2193</f>
        <v>0</v>
      </c>
      <c r="Q2194" s="399" t="s">
        <v>125</v>
      </c>
      <c r="R2194" s="399">
        <f t="shared" ref="R2194" si="7018">IF(P2194&gt;0,$F$18*F2194/1000,0)</f>
        <v>0</v>
      </c>
      <c r="S2194" s="399" t="s">
        <v>205</v>
      </c>
      <c r="T2194" s="399" t="s">
        <v>125</v>
      </c>
      <c r="U2194" s="401">
        <f t="shared" si="7005"/>
        <v>1.5782400000000001</v>
      </c>
      <c r="V2194" s="399"/>
      <c r="W2194" s="399"/>
      <c r="X2194" s="399" t="s">
        <v>125</v>
      </c>
      <c r="Y2194" s="389">
        <f t="shared" ref="Y2194" si="7019">D2191</f>
        <v>1</v>
      </c>
      <c r="Z2194" s="400" t="s">
        <v>176</v>
      </c>
      <c r="AA2194" s="402">
        <f t="shared" ref="AA2194" si="7020">IF(AA2195=0,(D2194*N2194+P2194*R2194)*U2194*Y2194,0)</f>
        <v>0</v>
      </c>
      <c r="AB2194" s="403"/>
    </row>
    <row r="2195" spans="1:28">
      <c r="A2195" s="384" t="str">
        <f t="shared" ref="A2195:B2195" si="7021">A2185</f>
        <v>Lantai 1</v>
      </c>
      <c r="B2195" s="385">
        <f t="shared" si="7021"/>
        <v>71</v>
      </c>
      <c r="C2195" s="393"/>
      <c r="D2195" s="398">
        <f t="shared" si="6917"/>
        <v>3</v>
      </c>
      <c r="E2195" s="388" t="s">
        <v>16</v>
      </c>
      <c r="F2195" s="388">
        <f t="shared" si="6918"/>
        <v>16</v>
      </c>
      <c r="G2195" s="388"/>
      <c r="H2195" s="395"/>
      <c r="I2195" s="388"/>
      <c r="J2195" s="396"/>
      <c r="K2195" s="396"/>
      <c r="L2195" s="404" t="s">
        <v>207</v>
      </c>
      <c r="M2195" s="399" t="s">
        <v>176</v>
      </c>
      <c r="N2195" s="399">
        <f t="shared" ref="N2195" si="7022">IF(AND(D2192=D2193,D2192=D2194,D2193=D2194,F2192=F2193,F2192=F2194,F2193=F2194),SUM(N2192:N2194),0)</f>
        <v>6.9590000000000005</v>
      </c>
      <c r="O2195" s="399" t="s">
        <v>204</v>
      </c>
      <c r="P2195" s="389">
        <f t="shared" ref="P2195" si="7023">IF(N2195&gt;12,ROUNDDOWN(N2195/12,0),0)</f>
        <v>0</v>
      </c>
      <c r="Q2195" s="399" t="s">
        <v>125</v>
      </c>
      <c r="R2195" s="399">
        <f t="shared" ref="R2195" si="7024">IF(P2195&gt;0,MAX(VLOOKUP(F2195,$D$6:$G$15,3,FALSE),600),0)/1000</f>
        <v>0</v>
      </c>
      <c r="S2195" s="396"/>
      <c r="T2195" s="396" t="s">
        <v>125</v>
      </c>
      <c r="U2195" s="401">
        <f t="shared" si="6922"/>
        <v>1.5782400000000001</v>
      </c>
      <c r="V2195" s="396" t="s">
        <v>125</v>
      </c>
      <c r="W2195" s="399">
        <f t="shared" ref="W2195" si="7025">D2195</f>
        <v>3</v>
      </c>
      <c r="X2195" s="399" t="s">
        <v>125</v>
      </c>
      <c r="Y2195" s="389">
        <f t="shared" si="6924"/>
        <v>1</v>
      </c>
      <c r="Z2195" s="400" t="s">
        <v>176</v>
      </c>
      <c r="AA2195" s="402">
        <f t="shared" ref="AA2195" si="7026">(N2195+P2195*R2195/1000)*U2195*W2195*Y2195</f>
        <v>32.948916480000001</v>
      </c>
      <c r="AB2195" s="390"/>
    </row>
    <row r="2196" spans="1:28">
      <c r="A2196" s="384"/>
      <c r="B2196" s="385"/>
      <c r="C2196" s="393"/>
      <c r="D2196" s="398"/>
      <c r="E2196" s="388"/>
      <c r="F2196" s="388"/>
      <c r="G2196" s="388"/>
      <c r="H2196" s="395"/>
      <c r="I2196" s="388"/>
      <c r="J2196" s="396"/>
      <c r="K2196" s="396"/>
      <c r="L2196" s="404"/>
      <c r="M2196" s="399"/>
      <c r="N2196" s="399"/>
      <c r="O2196" s="396"/>
      <c r="P2196" s="389"/>
      <c r="Q2196" s="396"/>
      <c r="R2196" s="396"/>
      <c r="S2196" s="396"/>
      <c r="T2196" s="396"/>
      <c r="U2196" s="401"/>
      <c r="V2196" s="396"/>
      <c r="W2196" s="399"/>
      <c r="X2196" s="396"/>
      <c r="Y2196" s="389"/>
      <c r="Z2196" s="396"/>
      <c r="AA2196" s="388"/>
      <c r="AB2196" s="390"/>
    </row>
    <row r="2197" spans="1:28">
      <c r="A2197" s="384" t="str">
        <f t="shared" ref="A2197:B2197" si="7027">A2185</f>
        <v>Lantai 1</v>
      </c>
      <c r="B2197" s="385">
        <f t="shared" si="7027"/>
        <v>71</v>
      </c>
      <c r="C2197" s="393" t="s">
        <v>208</v>
      </c>
      <c r="D2197" s="398">
        <f>VLOOKUP(D2185,'Detail Balok'!$C$10:$AU$140,13,FALSE)</f>
        <v>0</v>
      </c>
      <c r="E2197" s="388" t="s">
        <v>16</v>
      </c>
      <c r="F2197" s="388">
        <f>VLOOKUP(D2185,'Detail Balok'!$C$10:$AU$140,15,FALSE)</f>
        <v>8</v>
      </c>
      <c r="G2197" s="388"/>
      <c r="H2197" s="395"/>
      <c r="I2197" s="388"/>
      <c r="J2197" s="399">
        <f t="shared" ref="J2197" si="7028">+D2187/1000</f>
        <v>6.5750000000000002</v>
      </c>
      <c r="K2197" s="400" t="s">
        <v>204</v>
      </c>
      <c r="L2197" s="399">
        <f t="shared" ref="L2197" si="7029">2*$F$16*F2197/1000</f>
        <v>0.192</v>
      </c>
      <c r="M2197" s="399" t="s">
        <v>176</v>
      </c>
      <c r="N2197" s="399">
        <f t="shared" ref="N2197" si="7030">J2197+L2197</f>
        <v>6.7670000000000003</v>
      </c>
      <c r="O2197" s="399" t="s">
        <v>204</v>
      </c>
      <c r="P2197" s="389">
        <f t="shared" ref="P2197" si="7031">IF(N2197&gt;12,ROUNDDOWN(N2197/12,0),0)</f>
        <v>0</v>
      </c>
      <c r="Q2197" s="399" t="s">
        <v>125</v>
      </c>
      <c r="R2197" s="399">
        <f t="shared" ref="R2197" si="7032">IF(P2197&gt;0,MAX(VLOOKUP(F2197,$D$6:$G$15,3,FALSE),600),0)/1000</f>
        <v>0</v>
      </c>
      <c r="S2197" s="399"/>
      <c r="T2197" s="399" t="s">
        <v>125</v>
      </c>
      <c r="U2197" s="401">
        <f t="shared" ref="U2197" si="7033">0.006165*F2197^2</f>
        <v>0.39456000000000002</v>
      </c>
      <c r="V2197" s="399" t="s">
        <v>125</v>
      </c>
      <c r="W2197" s="399">
        <f t="shared" ref="W2197" si="7034">+D2197</f>
        <v>0</v>
      </c>
      <c r="X2197" s="399" t="s">
        <v>125</v>
      </c>
      <c r="Y2197" s="389">
        <f t="shared" ref="Y2197" si="7035">D2191</f>
        <v>1</v>
      </c>
      <c r="Z2197" s="400" t="s">
        <v>176</v>
      </c>
      <c r="AA2197" s="402">
        <f t="shared" ref="AA2197" si="7036">(N2197+P2197*R2197/1000)*U2197*W2197*Y2197</f>
        <v>0</v>
      </c>
      <c r="AB2197" s="403"/>
    </row>
    <row r="2198" spans="1:28">
      <c r="A2198" s="384"/>
      <c r="B2198" s="385"/>
      <c r="C2198" s="393"/>
      <c r="D2198" s="398"/>
      <c r="E2198" s="388"/>
      <c r="F2198" s="388"/>
      <c r="G2198" s="388"/>
      <c r="H2198" s="395"/>
      <c r="I2198" s="388"/>
      <c r="J2198" s="399"/>
      <c r="K2198" s="400"/>
      <c r="L2198" s="399"/>
      <c r="M2198" s="399"/>
      <c r="N2198" s="399"/>
      <c r="O2198" s="399"/>
      <c r="P2198" s="389"/>
      <c r="Q2198" s="399"/>
      <c r="R2198" s="399"/>
      <c r="S2198" s="399"/>
      <c r="T2198" s="399"/>
      <c r="U2198" s="401"/>
      <c r="V2198" s="399"/>
      <c r="W2198" s="399"/>
      <c r="X2198" s="399"/>
      <c r="Y2198" s="389"/>
      <c r="Z2198" s="400"/>
      <c r="AA2198" s="402"/>
      <c r="AB2198" s="403"/>
    </row>
    <row r="2199" spans="1:28">
      <c r="A2199" s="384"/>
      <c r="B2199" s="385"/>
      <c r="C2199" s="393"/>
      <c r="D2199" s="398"/>
      <c r="E2199" s="388"/>
      <c r="F2199" s="388"/>
      <c r="G2199" s="388"/>
      <c r="H2199" s="395"/>
      <c r="I2199" s="388"/>
      <c r="J2199" s="396"/>
      <c r="K2199" s="396"/>
      <c r="L2199" s="396"/>
      <c r="M2199" s="396"/>
      <c r="N2199" s="396"/>
      <c r="O2199" s="396"/>
      <c r="P2199" s="389"/>
      <c r="Q2199" s="396"/>
      <c r="R2199" s="396"/>
      <c r="S2199" s="396"/>
      <c r="T2199" s="396"/>
      <c r="U2199" s="401"/>
      <c r="V2199" s="396"/>
      <c r="W2199" s="399"/>
      <c r="X2199" s="396"/>
      <c r="Y2199" s="389"/>
      <c r="Z2199" s="396"/>
      <c r="AA2199" s="388"/>
      <c r="AB2199" s="390"/>
    </row>
    <row r="2200" spans="1:28">
      <c r="A2200" s="384" t="str">
        <f t="shared" ref="A2200:B2200" si="7037">A2185</f>
        <v>Lantai 1</v>
      </c>
      <c r="B2200" s="385">
        <f t="shared" si="7037"/>
        <v>71</v>
      </c>
      <c r="C2200" s="393" t="s">
        <v>209</v>
      </c>
      <c r="D2200" s="398">
        <f>VLOOKUP(D2185,'Detail Balok'!$C$10:$AU$140,22,FALSE)</f>
        <v>3</v>
      </c>
      <c r="E2200" s="388" t="s">
        <v>16</v>
      </c>
      <c r="F2200" s="388">
        <f>VLOOKUP(D2185,'Detail Balok'!$C$10:$AU$140,24,FALSE)</f>
        <v>16</v>
      </c>
      <c r="G2200" s="388"/>
      <c r="H2200" s="395"/>
      <c r="I2200" s="388" t="s">
        <v>203</v>
      </c>
      <c r="J2200" s="399">
        <f t="shared" si="6937"/>
        <v>1.64375</v>
      </c>
      <c r="K2200" s="400" t="s">
        <v>204</v>
      </c>
      <c r="L2200" s="399">
        <f t="shared" ref="L2200" si="7038">MAX(VLOOKUP(F2200,N$6:P$15,3,FALSE)/1000,2/3*D2190/1000)+F$16*F2200/1000</f>
        <v>0.192</v>
      </c>
      <c r="M2200" s="399" t="s">
        <v>176</v>
      </c>
      <c r="N2200" s="399">
        <f t="shared" ref="N2200:N2202" si="7039">J2200+L2200</f>
        <v>1.83575</v>
      </c>
      <c r="O2200" s="399" t="s">
        <v>204</v>
      </c>
      <c r="P2200" s="389">
        <f t="shared" ref="P2200" si="7040">D2200-D2201</f>
        <v>0</v>
      </c>
      <c r="Q2200" s="399" t="s">
        <v>125</v>
      </c>
      <c r="R2200" s="399">
        <f t="shared" ref="R2200" si="7041">IF(P2200&gt;0,$F$18*F2200/1000,0)</f>
        <v>0</v>
      </c>
      <c r="S2200" s="399" t="s">
        <v>205</v>
      </c>
      <c r="T2200" s="399" t="s">
        <v>125</v>
      </c>
      <c r="U2200" s="401">
        <f t="shared" ref="U2200:U2202" si="7042">0.006165*F2200^2</f>
        <v>1.5782400000000001</v>
      </c>
      <c r="V2200" s="399"/>
      <c r="W2200" s="399"/>
      <c r="X2200" s="399" t="s">
        <v>125</v>
      </c>
      <c r="Y2200" s="389">
        <f t="shared" ref="Y2200" si="7043">D2191</f>
        <v>1</v>
      </c>
      <c r="Z2200" s="400" t="s">
        <v>176</v>
      </c>
      <c r="AA2200" s="402">
        <f t="shared" ref="AA2200" si="7044">IF(AA2203=0,(D2200*N2200+P2200*R2200)*U2200*Y2200,0)</f>
        <v>0</v>
      </c>
      <c r="AB2200" s="403"/>
    </row>
    <row r="2201" spans="1:28">
      <c r="A2201" s="384" t="str">
        <f t="shared" ref="A2201:B2201" si="7045">A2185</f>
        <v>Lantai 1</v>
      </c>
      <c r="B2201" s="385">
        <f t="shared" si="7045"/>
        <v>71</v>
      </c>
      <c r="C2201" s="393" t="s">
        <v>210</v>
      </c>
      <c r="D2201" s="398">
        <f>VLOOKUP(D2185,'Detail Balok'!$C$10:$AU$140,25,FALSE)</f>
        <v>3</v>
      </c>
      <c r="E2201" s="388" t="s">
        <v>16</v>
      </c>
      <c r="F2201" s="388">
        <f>VLOOKUP(D2185,'Detail Balok'!$C$10:$AU$140,27,FALSE)</f>
        <v>16</v>
      </c>
      <c r="G2201" s="388"/>
      <c r="H2201" s="395"/>
      <c r="I2201" s="388" t="s">
        <v>203</v>
      </c>
      <c r="J2201" s="399">
        <f t="shared" si="6937"/>
        <v>3.2875000000000001</v>
      </c>
      <c r="K2201" s="400" t="s">
        <v>204</v>
      </c>
      <c r="L2201" s="399"/>
      <c r="M2201" s="399" t="s">
        <v>176</v>
      </c>
      <c r="N2201" s="399">
        <f t="shared" si="7039"/>
        <v>3.2875000000000001</v>
      </c>
      <c r="O2201" s="399" t="s">
        <v>204</v>
      </c>
      <c r="P2201" s="389">
        <f t="shared" ref="P2201" si="7046">MAX(D2201-D2200,D2201-D2202)</f>
        <v>0</v>
      </c>
      <c r="Q2201" s="399" t="s">
        <v>125</v>
      </c>
      <c r="R2201" s="399">
        <f t="shared" ref="R2201" si="7047">IF(P2201&gt;0,2*(1-2*$F$19-1/2)*D2188/1000,0)</f>
        <v>0</v>
      </c>
      <c r="S2201" s="399" t="s">
        <v>205</v>
      </c>
      <c r="T2201" s="399" t="s">
        <v>125</v>
      </c>
      <c r="U2201" s="401">
        <f t="shared" si="7042"/>
        <v>1.5782400000000001</v>
      </c>
      <c r="V2201" s="399"/>
      <c r="W2201" s="399"/>
      <c r="X2201" s="399" t="s">
        <v>125</v>
      </c>
      <c r="Y2201" s="389">
        <f t="shared" ref="Y2201" si="7048">D2191</f>
        <v>1</v>
      </c>
      <c r="Z2201" s="400" t="s">
        <v>176</v>
      </c>
      <c r="AA2201" s="402">
        <f t="shared" ref="AA2201" si="7049">IF(AA2203=0,(D2201*N2201+P2201*R2201)*U2201*Y2201,0)</f>
        <v>0</v>
      </c>
      <c r="AB2201" s="403"/>
    </row>
    <row r="2202" spans="1:28">
      <c r="A2202" s="384" t="str">
        <f t="shared" ref="A2202:B2202" si="7050">A2185</f>
        <v>Lantai 1</v>
      </c>
      <c r="B2202" s="385">
        <f t="shared" si="7050"/>
        <v>71</v>
      </c>
      <c r="C2202" s="393" t="s">
        <v>209</v>
      </c>
      <c r="D2202" s="398">
        <f>VLOOKUP(D2185,'Detail Balok'!$C$10:$AU$140,28,FALSE)</f>
        <v>3</v>
      </c>
      <c r="E2202" s="388" t="s">
        <v>16</v>
      </c>
      <c r="F2202" s="388">
        <f>VLOOKUP(D2185,'Detail Balok'!$C$10:$AU$140,30,FALSE)</f>
        <v>16</v>
      </c>
      <c r="G2202" s="388"/>
      <c r="H2202" s="395"/>
      <c r="I2202" s="388" t="s">
        <v>203</v>
      </c>
      <c r="J2202" s="399">
        <f t="shared" si="6937"/>
        <v>1.64375</v>
      </c>
      <c r="K2202" s="400" t="s">
        <v>204</v>
      </c>
      <c r="L2202" s="399">
        <f t="shared" ref="L2202" si="7051">MAX(VLOOKUP(F2202,N$6:P$15,3,FALSE)/1000,2/3*D2190/1000)+F$16*F2202/1000</f>
        <v>0.192</v>
      </c>
      <c r="M2202" s="399" t="s">
        <v>176</v>
      </c>
      <c r="N2202" s="399">
        <f t="shared" si="7039"/>
        <v>1.83575</v>
      </c>
      <c r="O2202" s="399" t="s">
        <v>204</v>
      </c>
      <c r="P2202" s="389">
        <f t="shared" ref="P2202" si="7052">D2202-D2201</f>
        <v>0</v>
      </c>
      <c r="Q2202" s="399" t="s">
        <v>125</v>
      </c>
      <c r="R2202" s="399">
        <f t="shared" ref="R2202" si="7053">IF(P2202&gt;0,$F$18*F2202/1000,0)</f>
        <v>0</v>
      </c>
      <c r="S2202" s="399" t="s">
        <v>205</v>
      </c>
      <c r="T2202" s="399" t="s">
        <v>125</v>
      </c>
      <c r="U2202" s="401">
        <f t="shared" si="7042"/>
        <v>1.5782400000000001</v>
      </c>
      <c r="V2202" s="399"/>
      <c r="W2202" s="399"/>
      <c r="X2202" s="399" t="s">
        <v>125</v>
      </c>
      <c r="Y2202" s="389">
        <f t="shared" ref="Y2202" si="7054">D2191</f>
        <v>1</v>
      </c>
      <c r="Z2202" s="400" t="s">
        <v>176</v>
      </c>
      <c r="AA2202" s="402">
        <f t="shared" ref="AA2202" si="7055">IF(AA2203=0,(D2202*N2202+P2202*R2202)*U2202*Y2202,0)</f>
        <v>0</v>
      </c>
      <c r="AB2202" s="403"/>
    </row>
    <row r="2203" spans="1:28">
      <c r="A2203" s="384" t="str">
        <f t="shared" ref="A2203:B2203" si="7056">A2185</f>
        <v>Lantai 1</v>
      </c>
      <c r="B2203" s="385">
        <f t="shared" si="7056"/>
        <v>71</v>
      </c>
      <c r="C2203" s="393"/>
      <c r="D2203" s="398">
        <f t="shared" si="6957"/>
        <v>3</v>
      </c>
      <c r="E2203" s="388" t="s">
        <v>16</v>
      </c>
      <c r="F2203" s="388">
        <f t="shared" si="6958"/>
        <v>16</v>
      </c>
      <c r="G2203" s="388"/>
      <c r="H2203" s="395"/>
      <c r="I2203" s="388"/>
      <c r="J2203" s="396"/>
      <c r="K2203" s="396"/>
      <c r="L2203" s="404" t="s">
        <v>207</v>
      </c>
      <c r="M2203" s="399" t="s">
        <v>176</v>
      </c>
      <c r="N2203" s="399">
        <f t="shared" ref="N2203" si="7057">IF(AND(D2200=D2201,D2200=D2202,D2201=D2202,F2200=F2201,F2200=F2202,F2201=F2202),SUM(N2200:N2202),0)</f>
        <v>6.9590000000000005</v>
      </c>
      <c r="O2203" s="399" t="s">
        <v>204</v>
      </c>
      <c r="P2203" s="389">
        <f t="shared" ref="P2203" si="7058">IF(N2203&gt;12,ROUNDDOWN(N2203/12,0),0)</f>
        <v>0</v>
      </c>
      <c r="Q2203" s="399" t="s">
        <v>125</v>
      </c>
      <c r="R2203" s="399">
        <f t="shared" ref="R2203" si="7059">IF(P2203&gt;0,MAX(VLOOKUP(F2203,$D$6:$G$15,3,FALSE),600),0)/1000</f>
        <v>0</v>
      </c>
      <c r="S2203" s="396"/>
      <c r="T2203" s="396" t="s">
        <v>125</v>
      </c>
      <c r="U2203" s="401">
        <f t="shared" si="6962"/>
        <v>1.5782400000000001</v>
      </c>
      <c r="V2203" s="396" t="s">
        <v>125</v>
      </c>
      <c r="W2203" s="399">
        <f t="shared" ref="W2203" si="7060">D2203</f>
        <v>3</v>
      </c>
      <c r="X2203" s="399" t="s">
        <v>125</v>
      </c>
      <c r="Y2203" s="389">
        <f t="shared" si="6964"/>
        <v>1</v>
      </c>
      <c r="Z2203" s="400" t="s">
        <v>176</v>
      </c>
      <c r="AA2203" s="402">
        <f t="shared" ref="AA2203" si="7061">(N2203+P2203*R2203/1000)*U2203*W2203*Y2203</f>
        <v>32.948916480000001</v>
      </c>
      <c r="AB2203" s="403"/>
    </row>
    <row r="2204" spans="1:28">
      <c r="A2204" s="384"/>
      <c r="B2204" s="385"/>
      <c r="C2204" s="393"/>
      <c r="D2204" s="394"/>
      <c r="E2204" s="388"/>
      <c r="F2204" s="388"/>
      <c r="G2204" s="388"/>
      <c r="H2204" s="395"/>
      <c r="I2204" s="388"/>
      <c r="J2204" s="399"/>
      <c r="K2204" s="396"/>
      <c r="L2204" s="396"/>
      <c r="M2204" s="396"/>
      <c r="N2204" s="396"/>
      <c r="O2204" s="396"/>
      <c r="P2204" s="389"/>
      <c r="Q2204" s="396"/>
      <c r="R2204" s="396"/>
      <c r="S2204" s="396"/>
      <c r="T2204" s="396"/>
      <c r="U2204" s="401"/>
      <c r="V2204" s="396"/>
      <c r="W2204" s="388"/>
      <c r="X2204" s="396"/>
      <c r="Y2204" s="389"/>
      <c r="Z2204" s="396"/>
      <c r="AA2204" s="388"/>
      <c r="AB2204" s="390"/>
    </row>
    <row r="2205" spans="1:28">
      <c r="A2205" s="384" t="str">
        <f t="shared" ref="A2205:B2205" si="7062">A2185</f>
        <v>Lantai 1</v>
      </c>
      <c r="B2205" s="385">
        <f t="shared" si="7062"/>
        <v>71</v>
      </c>
      <c r="C2205" s="393" t="s">
        <v>211</v>
      </c>
      <c r="D2205" s="398">
        <f>VLOOKUP(D2185,'Detail Balok'!$C$10:$AU$140,31,FALSE)</f>
        <v>0</v>
      </c>
      <c r="E2205" s="388" t="s">
        <v>16</v>
      </c>
      <c r="F2205" s="388">
        <f>VLOOKUP(D2185,'Detail Balok'!$C$10:$AU$140,33,FALSE)</f>
        <v>8</v>
      </c>
      <c r="G2205" s="405" t="s">
        <v>157</v>
      </c>
      <c r="H2205" s="395">
        <f>VLOOKUP(D2185,'Detail Balok'!$C$10:$AU$140,35,FALSE)</f>
        <v>150</v>
      </c>
      <c r="I2205" s="388"/>
      <c r="J2205" s="400">
        <f t="shared" ref="J2205" si="7063">(IF(D2205=0,(2*(D2186+G2186))-(F$5*8),IF(D2205=3,(2*(D2186+G2186))-(F$5*8)+(G2186-2*F$5),IF(D2205=4,(2*(D2186+G2186))-(F$5*8)+2*(G2186-2*F$5)))))/1000</f>
        <v>0.88</v>
      </c>
      <c r="K2205" s="400" t="s">
        <v>204</v>
      </c>
      <c r="L2205" s="399">
        <f t="shared" ref="L2205:L2207" si="7064">IF(D2205=0,2*MAX(6*F2205,75),(D2205-1)*2*MAX(6*F2205,75))/1000</f>
        <v>0.15</v>
      </c>
      <c r="M2205" s="399" t="s">
        <v>176</v>
      </c>
      <c r="N2205" s="399">
        <f t="shared" ref="N2205:N2207" si="7065">J2205+L2205</f>
        <v>1.03</v>
      </c>
      <c r="O2205" s="399"/>
      <c r="P2205" s="389"/>
      <c r="Q2205" s="399"/>
      <c r="R2205" s="399"/>
      <c r="S2205" s="399"/>
      <c r="T2205" s="399" t="s">
        <v>125</v>
      </c>
      <c r="U2205" s="401">
        <f t="shared" ref="U2205:U2207" si="7066">0.006165*F2205^2</f>
        <v>0.39456000000000002</v>
      </c>
      <c r="V2205" s="399" t="s">
        <v>125</v>
      </c>
      <c r="W2205" s="399">
        <f t="shared" ref="W2205" si="7067">IF(D2188&gt;4*G2186,ROUND(MAX(D2188/4,2*G2186)/H2205,0)+1,ROUND(D2188/H2205,0)+1)</f>
        <v>12</v>
      </c>
      <c r="X2205" s="399" t="s">
        <v>125</v>
      </c>
      <c r="Y2205" s="389">
        <f t="shared" ref="Y2205" si="7068">D2191</f>
        <v>1</v>
      </c>
      <c r="Z2205" s="400" t="s">
        <v>176</v>
      </c>
      <c r="AA2205" s="402">
        <f t="shared" ref="AA2205:AA2207" si="7069">N2205*U2205*W2205*Y2205</f>
        <v>4.8767616000000009</v>
      </c>
      <c r="AB2205" s="403"/>
    </row>
    <row r="2206" spans="1:28">
      <c r="A2206" s="384" t="str">
        <f t="shared" ref="A2206:B2206" si="7070">A2185</f>
        <v>Lantai 1</v>
      </c>
      <c r="B2206" s="385">
        <f t="shared" si="7070"/>
        <v>71</v>
      </c>
      <c r="C2206" s="393" t="s">
        <v>212</v>
      </c>
      <c r="D2206" s="398">
        <f>VLOOKUP(D2185,'Detail Balok'!$C$10:$AU$140,36,FALSE)</f>
        <v>0</v>
      </c>
      <c r="E2206" s="388" t="s">
        <v>16</v>
      </c>
      <c r="F2206" s="388">
        <f>VLOOKUP(D2185,'Detail Balok'!$C$10:$AU$140,38,FALSE)</f>
        <v>8</v>
      </c>
      <c r="G2206" s="405" t="s">
        <v>157</v>
      </c>
      <c r="H2206" s="395">
        <f>VLOOKUP(D2185,'Detail Balok'!$C$10:$AU$140,40,FALSE)</f>
        <v>200</v>
      </c>
      <c r="I2206" s="388"/>
      <c r="J2206" s="400">
        <f t="shared" ref="J2206" si="7071">(IF(D2206=0,(2*(D2186+G2186))-(F$5*8),IF(D2206=3,(2*(D2186+G2186))-(F$5*8)+(G2186-2*F$5),IF(D2206=4,(2*(D2186+G2186))-(F$5*8)+2*(G2186-2*F$5)))))/1000</f>
        <v>0.88</v>
      </c>
      <c r="K2206" s="400" t="s">
        <v>204</v>
      </c>
      <c r="L2206" s="399">
        <f t="shared" si="7064"/>
        <v>0.15</v>
      </c>
      <c r="M2206" s="399" t="s">
        <v>176</v>
      </c>
      <c r="N2206" s="399">
        <f t="shared" si="7065"/>
        <v>1.03</v>
      </c>
      <c r="O2206" s="399"/>
      <c r="P2206" s="389"/>
      <c r="Q2206" s="399"/>
      <c r="R2206" s="399"/>
      <c r="S2206" s="399"/>
      <c r="T2206" s="399" t="s">
        <v>125</v>
      </c>
      <c r="U2206" s="401">
        <f t="shared" si="7066"/>
        <v>0.39456000000000002</v>
      </c>
      <c r="V2206" s="399" t="s">
        <v>125</v>
      </c>
      <c r="W2206" s="399">
        <f t="shared" ref="W2206" si="7072">IF(D2188-MAX(D2188/4,2*G2186)*2&gt;0,ROUND((D2188-MAX(D2188/4,2*G2186)*2)/H2206,0),0)</f>
        <v>16</v>
      </c>
      <c r="X2206" s="399" t="s">
        <v>125</v>
      </c>
      <c r="Y2206" s="389">
        <f t="shared" ref="Y2206" si="7073">D2191</f>
        <v>1</v>
      </c>
      <c r="Z2206" s="400" t="s">
        <v>176</v>
      </c>
      <c r="AA2206" s="402">
        <f t="shared" si="7069"/>
        <v>6.5023488000000009</v>
      </c>
      <c r="AB2206" s="403"/>
    </row>
    <row r="2207" spans="1:28">
      <c r="A2207" s="384" t="str">
        <f t="shared" ref="A2207:B2207" si="7074">A2185</f>
        <v>Lantai 1</v>
      </c>
      <c r="B2207" s="385">
        <f t="shared" si="7074"/>
        <v>71</v>
      </c>
      <c r="C2207" s="393" t="s">
        <v>211</v>
      </c>
      <c r="D2207" s="398">
        <f>VLOOKUP(D2185,'Detail Balok'!$C$10:$AU$140,41,FALSE)</f>
        <v>0</v>
      </c>
      <c r="E2207" s="388" t="s">
        <v>16</v>
      </c>
      <c r="F2207" s="388">
        <f>VLOOKUP(D2185,'Detail Balok'!$C$10:$AU$140,43,FALSE)</f>
        <v>8</v>
      </c>
      <c r="G2207" s="405" t="s">
        <v>157</v>
      </c>
      <c r="H2207" s="395">
        <f>VLOOKUP(D2185,'Detail Balok'!$C$10:$AU$140,45,FALSE)</f>
        <v>150</v>
      </c>
      <c r="I2207" s="388"/>
      <c r="J2207" s="400">
        <f t="shared" ref="J2207" si="7075">(IF(D2207=0,(2*(D2186+G2186))-(F$5*8),IF(D2207=3,(2*(D2186+G2186))-(F$5*8)+(G2186-2*F$5),IF(D2207=4,(2*(D2186+G2186))-(F$5*8)+2*(G2186-2*F$5)))))/1000</f>
        <v>0.88</v>
      </c>
      <c r="K2207" s="400" t="s">
        <v>204</v>
      </c>
      <c r="L2207" s="399">
        <f t="shared" si="7064"/>
        <v>0.15</v>
      </c>
      <c r="M2207" s="399" t="s">
        <v>176</v>
      </c>
      <c r="N2207" s="399">
        <f t="shared" si="7065"/>
        <v>1.03</v>
      </c>
      <c r="O2207" s="399"/>
      <c r="P2207" s="389"/>
      <c r="Q2207" s="399"/>
      <c r="R2207" s="399"/>
      <c r="S2207" s="399"/>
      <c r="T2207" s="399" t="s">
        <v>125</v>
      </c>
      <c r="U2207" s="401">
        <f t="shared" si="7066"/>
        <v>0.39456000000000002</v>
      </c>
      <c r="V2207" s="399" t="s">
        <v>125</v>
      </c>
      <c r="W2207" s="399">
        <f t="shared" ref="W2207" si="7076">IF(D2188&gt;4*G2186,ROUND(MAX(D2188/4,2*G2186)/H2207,0)+1,0)</f>
        <v>12</v>
      </c>
      <c r="X2207" s="399" t="s">
        <v>125</v>
      </c>
      <c r="Y2207" s="389">
        <f t="shared" ref="Y2207" si="7077">D2191</f>
        <v>1</v>
      </c>
      <c r="Z2207" s="400" t="s">
        <v>176</v>
      </c>
      <c r="AA2207" s="402">
        <f t="shared" si="7069"/>
        <v>4.8767616000000009</v>
      </c>
      <c r="AB2207" s="403"/>
    </row>
    <row r="2208" spans="1:28">
      <c r="A2208" s="384"/>
      <c r="B2208" s="385"/>
      <c r="C2208" s="393"/>
      <c r="D2208" s="394"/>
      <c r="E2208" s="388"/>
      <c r="F2208" s="388"/>
      <c r="G2208" s="388"/>
      <c r="H2208" s="395"/>
      <c r="I2208" s="388"/>
      <c r="J2208" s="399"/>
      <c r="K2208" s="396"/>
      <c r="L2208" s="396"/>
      <c r="M2208" s="396"/>
      <c r="N2208" s="396"/>
      <c r="O2208" s="396"/>
      <c r="P2208" s="389"/>
      <c r="Q2208" s="396"/>
      <c r="R2208" s="396"/>
      <c r="S2208" s="396"/>
      <c r="T2208" s="396"/>
      <c r="U2208" s="401"/>
      <c r="V2208" s="396"/>
      <c r="W2208" s="388"/>
      <c r="X2208" s="396"/>
      <c r="Y2208" s="389"/>
      <c r="Z2208" s="396"/>
      <c r="AA2208" s="388"/>
      <c r="AB2208" s="390"/>
    </row>
    <row r="2209" spans="1:28">
      <c r="A2209" s="384" t="str">
        <f t="shared" ref="A2209:B2209" si="7078">A2185</f>
        <v>Lantai 1</v>
      </c>
      <c r="B2209" s="385">
        <f t="shared" si="7078"/>
        <v>71</v>
      </c>
      <c r="C2209" s="393" t="s">
        <v>213</v>
      </c>
      <c r="D2209" s="398">
        <f>VLOOKUP(D2185,'Detail Balok'!$C$10:$BJ$140,46,FALSE)</f>
        <v>0</v>
      </c>
      <c r="E2209" s="388" t="s">
        <v>16</v>
      </c>
      <c r="F2209" s="388">
        <f>VLOOKUP(D2185,'Detail Balok'!$C$10:$BJ$140,48,FALSE)</f>
        <v>0</v>
      </c>
      <c r="G2209" s="405" t="s">
        <v>157</v>
      </c>
      <c r="H2209" s="395">
        <f>VLOOKUP(D2185,'Detail Balok'!$C$10:$BJ$140,50,FALSE)</f>
        <v>100</v>
      </c>
      <c r="I2209" s="388"/>
      <c r="J2209" s="399">
        <f t="shared" ref="J2209" si="7079">(D2186-2*F$5)/1000</f>
        <v>0.12</v>
      </c>
      <c r="K2209" s="400" t="s">
        <v>204</v>
      </c>
      <c r="L2209" s="399">
        <f t="shared" ref="L2209:L2211" si="7080">IF(D2209=0,2*MAX(6*F2209,75),(D2209-1)*2*MAX(6*F2209,75))/1000</f>
        <v>0.15</v>
      </c>
      <c r="M2209" s="399" t="s">
        <v>176</v>
      </c>
      <c r="N2209" s="399">
        <f t="shared" ref="N2209:N2211" si="7081">J2209+L2209</f>
        <v>0.27</v>
      </c>
      <c r="O2209" s="399"/>
      <c r="P2209" s="399"/>
      <c r="Q2209" s="399"/>
      <c r="R2209" s="399"/>
      <c r="S2209" s="399"/>
      <c r="T2209" s="399" t="s">
        <v>125</v>
      </c>
      <c r="U2209" s="401">
        <f t="shared" ref="U2209:U2211" si="7082">0.006165*F2209^2</f>
        <v>0</v>
      </c>
      <c r="V2209" s="399" t="s">
        <v>125</v>
      </c>
      <c r="W2209" s="399">
        <f t="shared" si="6987"/>
        <v>12</v>
      </c>
      <c r="X2209" s="399" t="s">
        <v>125</v>
      </c>
      <c r="Y2209" s="389">
        <f t="shared" ref="Y2209" si="7083">D2195</f>
        <v>3</v>
      </c>
      <c r="Z2209" s="400" t="s">
        <v>176</v>
      </c>
      <c r="AA2209" s="402">
        <f t="shared" ref="AA2209:AA2211" si="7084">N2209*U2209*W2209*Y2209</f>
        <v>0</v>
      </c>
      <c r="AB2209" s="403"/>
    </row>
    <row r="2210" spans="1:28">
      <c r="A2210" s="384" t="str">
        <f t="shared" ref="A2210:B2210" si="7085">A2185</f>
        <v>Lantai 1</v>
      </c>
      <c r="B2210" s="385">
        <f t="shared" si="7085"/>
        <v>71</v>
      </c>
      <c r="C2210" s="393" t="s">
        <v>214</v>
      </c>
      <c r="D2210" s="398">
        <f>VLOOKUP(D2185,'Detail Balok'!$C$10:$BJ$140,51,FALSE)</f>
        <v>0</v>
      </c>
      <c r="E2210" s="388" t="s">
        <v>16</v>
      </c>
      <c r="F2210" s="388">
        <f>VLOOKUP(D2185,'Detail Balok'!$C$10:$BJ$140,53,FALSE)</f>
        <v>0</v>
      </c>
      <c r="G2210" s="405" t="s">
        <v>157</v>
      </c>
      <c r="H2210" s="395">
        <f>VLOOKUP(D2185,'Detail Balok'!$C$10:$BJ$140,55,FALSE)</f>
        <v>100</v>
      </c>
      <c r="I2210" s="388"/>
      <c r="J2210" s="399">
        <f t="shared" ref="J2210" si="7086">(D2186-2*F$5)/1000</f>
        <v>0.12</v>
      </c>
      <c r="K2210" s="400" t="s">
        <v>204</v>
      </c>
      <c r="L2210" s="399">
        <f t="shared" si="7080"/>
        <v>0.15</v>
      </c>
      <c r="M2210" s="399" t="s">
        <v>176</v>
      </c>
      <c r="N2210" s="399">
        <f t="shared" si="7081"/>
        <v>0.27</v>
      </c>
      <c r="O2210" s="399"/>
      <c r="P2210" s="399"/>
      <c r="Q2210" s="399"/>
      <c r="R2210" s="399"/>
      <c r="S2210" s="399"/>
      <c r="T2210" s="399" t="s">
        <v>125</v>
      </c>
      <c r="U2210" s="401">
        <f t="shared" si="7082"/>
        <v>0</v>
      </c>
      <c r="V2210" s="399" t="s">
        <v>125</v>
      </c>
      <c r="W2210" s="399">
        <f t="shared" si="6987"/>
        <v>16</v>
      </c>
      <c r="X2210" s="399" t="s">
        <v>125</v>
      </c>
      <c r="Y2210" s="389">
        <f t="shared" ref="Y2210" si="7087">D2195</f>
        <v>3</v>
      </c>
      <c r="Z2210" s="400" t="s">
        <v>176</v>
      </c>
      <c r="AA2210" s="402">
        <f t="shared" si="7084"/>
        <v>0</v>
      </c>
      <c r="AB2210" s="403"/>
    </row>
    <row r="2211" spans="1:28">
      <c r="A2211" s="384" t="str">
        <f t="shared" ref="A2211:B2211" si="7088">A2185</f>
        <v>Lantai 1</v>
      </c>
      <c r="B2211" s="385">
        <f t="shared" si="7088"/>
        <v>71</v>
      </c>
      <c r="C2211" s="393" t="s">
        <v>213</v>
      </c>
      <c r="D2211" s="398">
        <f>VLOOKUP(D2185,'Detail Balok'!$C$10:$BJ$140,56,FALSE)</f>
        <v>0</v>
      </c>
      <c r="E2211" s="388" t="s">
        <v>16</v>
      </c>
      <c r="F2211" s="388">
        <f>VLOOKUP(D2185,'Detail Balok'!$C$10:$BJ$140,58,FALSE)</f>
        <v>0</v>
      </c>
      <c r="G2211" s="405" t="s">
        <v>157</v>
      </c>
      <c r="H2211" s="395">
        <f>VLOOKUP(D2185,'Detail Balok'!$C$10:$BJ$140,60,FALSE)</f>
        <v>100</v>
      </c>
      <c r="I2211" s="388"/>
      <c r="J2211" s="399">
        <f t="shared" ref="J2211" si="7089">(D2186-2*F$5)/1000</f>
        <v>0.12</v>
      </c>
      <c r="K2211" s="400" t="s">
        <v>204</v>
      </c>
      <c r="L2211" s="399">
        <f t="shared" si="7080"/>
        <v>0.15</v>
      </c>
      <c r="M2211" s="399" t="s">
        <v>176</v>
      </c>
      <c r="N2211" s="399">
        <f t="shared" si="7081"/>
        <v>0.27</v>
      </c>
      <c r="O2211" s="399"/>
      <c r="P2211" s="399"/>
      <c r="Q2211" s="399"/>
      <c r="R2211" s="399"/>
      <c r="S2211" s="399"/>
      <c r="T2211" s="399" t="s">
        <v>125</v>
      </c>
      <c r="U2211" s="401">
        <f t="shared" si="7082"/>
        <v>0</v>
      </c>
      <c r="V2211" s="399" t="s">
        <v>125</v>
      </c>
      <c r="W2211" s="399">
        <f t="shared" si="6987"/>
        <v>12</v>
      </c>
      <c r="X2211" s="399" t="s">
        <v>125</v>
      </c>
      <c r="Y2211" s="389">
        <f t="shared" ref="Y2211" si="7090">D2195</f>
        <v>3</v>
      </c>
      <c r="Z2211" s="400" t="s">
        <v>176</v>
      </c>
      <c r="AA2211" s="402">
        <f t="shared" si="7084"/>
        <v>0</v>
      </c>
      <c r="AB2211" s="403"/>
    </row>
    <row r="2212" spans="1:28">
      <c r="A2212" s="391"/>
      <c r="B2212" s="392"/>
      <c r="C2212" s="392"/>
      <c r="D2212" s="394"/>
      <c r="E2212" s="388"/>
      <c r="F2212" s="388"/>
      <c r="G2212" s="388"/>
      <c r="H2212" s="395"/>
      <c r="I2212" s="388"/>
      <c r="J2212" s="402"/>
      <c r="K2212" s="388"/>
      <c r="L2212" s="388"/>
      <c r="M2212" s="388"/>
      <c r="N2212" s="388"/>
      <c r="O2212" s="388"/>
      <c r="P2212" s="388"/>
      <c r="Q2212" s="388"/>
      <c r="R2212" s="388"/>
      <c r="S2212" s="388"/>
      <c r="T2212" s="388"/>
      <c r="U2212" s="388"/>
      <c r="V2212" s="388"/>
      <c r="W2212" s="388"/>
      <c r="X2212" s="388"/>
      <c r="Y2212" s="389"/>
      <c r="Z2212" s="388"/>
      <c r="AA2212" s="402"/>
      <c r="AB2212" s="403"/>
    </row>
    <row r="2213" spans="1:28" ht="15.75" thickBot="1">
      <c r="A2213" s="406"/>
      <c r="B2213" s="407"/>
      <c r="C2213" s="407"/>
      <c r="D2213" s="408"/>
      <c r="E2213" s="409"/>
      <c r="F2213" s="409"/>
      <c r="G2213" s="409"/>
      <c r="H2213" s="410"/>
      <c r="I2213" s="409"/>
      <c r="J2213" s="409"/>
      <c r="K2213" s="409"/>
      <c r="L2213" s="409"/>
      <c r="M2213" s="409"/>
      <c r="N2213" s="409"/>
      <c r="O2213" s="409"/>
      <c r="P2213" s="409"/>
      <c r="Q2213" s="409"/>
      <c r="R2213" s="409"/>
      <c r="S2213" s="409"/>
      <c r="T2213" s="409"/>
      <c r="U2213" s="409"/>
      <c r="V2213" s="409"/>
      <c r="W2213" s="409"/>
      <c r="X2213" s="409"/>
      <c r="Y2213" s="411"/>
      <c r="Z2213" s="409"/>
      <c r="AA2213" s="412"/>
      <c r="AB2213" s="413"/>
    </row>
    <row r="2214" spans="1:28">
      <c r="A2214" s="377"/>
      <c r="B2214" s="378"/>
      <c r="C2214" s="378"/>
      <c r="D2214" s="379"/>
      <c r="E2214" s="380"/>
      <c r="F2214" s="380"/>
      <c r="G2214" s="380"/>
      <c r="H2214" s="381"/>
      <c r="I2214" s="380"/>
      <c r="J2214" s="380"/>
      <c r="K2214" s="380"/>
      <c r="L2214" s="380"/>
      <c r="M2214" s="380"/>
      <c r="N2214" s="380"/>
      <c r="O2214" s="380"/>
      <c r="P2214" s="380"/>
      <c r="Q2214" s="380"/>
      <c r="R2214" s="380"/>
      <c r="S2214" s="380"/>
      <c r="T2214" s="380"/>
      <c r="U2214" s="380"/>
      <c r="V2214" s="380"/>
      <c r="W2214" s="380"/>
      <c r="X2214" s="380"/>
      <c r="Y2214" s="382"/>
      <c r="Z2214" s="380"/>
      <c r="AA2214" s="380"/>
      <c r="AB2214" s="383"/>
    </row>
    <row r="2215" spans="1:28">
      <c r="A2215" s="384" t="str">
        <f t="shared" si="6996"/>
        <v>Lantai 1</v>
      </c>
      <c r="B2215" s="385">
        <f t="shared" si="6997"/>
        <v>72</v>
      </c>
      <c r="C2215" s="386" t="str">
        <f t="shared" ref="C2215" si="7091">CONCATENATE(A2215," no. ",B2215)</f>
        <v>Lantai 1 no. 72</v>
      </c>
      <c r="D2215" s="2562" t="str">
        <f>VLOOKUP(C2215,'Data Panjang Balok'!$C$9:$N$254,2,FALSE)</f>
        <v>S24-1</v>
      </c>
      <c r="E2215" s="2576"/>
      <c r="F2215" s="2576"/>
      <c r="G2215" s="2576"/>
      <c r="H2215" s="2577"/>
      <c r="I2215" s="387"/>
      <c r="J2215" s="388"/>
      <c r="K2215" s="388"/>
      <c r="L2215" s="388"/>
      <c r="M2215" s="388"/>
      <c r="N2215" s="388"/>
      <c r="O2215" s="388"/>
      <c r="P2215" s="388"/>
      <c r="Q2215" s="388"/>
      <c r="R2215" s="388"/>
      <c r="S2215" s="388"/>
      <c r="T2215" s="388"/>
      <c r="U2215" s="388"/>
      <c r="V2215" s="388"/>
      <c r="W2215" s="388"/>
      <c r="X2215" s="388"/>
      <c r="Y2215" s="389"/>
      <c r="Z2215" s="388"/>
      <c r="AA2215" s="388"/>
      <c r="AB2215" s="390"/>
    </row>
    <row r="2216" spans="1:28">
      <c r="A2216" s="391"/>
      <c r="B2216" s="392"/>
      <c r="C2216" s="393" t="s">
        <v>118</v>
      </c>
      <c r="D2216" s="2578">
        <f>VLOOKUP(D2215,'Detail Balok'!$C$10:$AU$140,2,FALSE)</f>
        <v>200</v>
      </c>
      <c r="E2216" s="2579"/>
      <c r="F2216" s="388" t="s">
        <v>125</v>
      </c>
      <c r="G2216" s="2579">
        <f>VLOOKUP(D2215,'Detail Balok'!$C$10:$AU$140,3,FALSE)</f>
        <v>400</v>
      </c>
      <c r="H2216" s="2580"/>
      <c r="I2216" s="388"/>
      <c r="J2216" s="396"/>
      <c r="K2216" s="396"/>
      <c r="L2216" s="396"/>
      <c r="M2216" s="396"/>
      <c r="N2216" s="396"/>
      <c r="O2216" s="396"/>
      <c r="P2216" s="396"/>
      <c r="Q2216" s="396"/>
      <c r="R2216" s="396"/>
      <c r="S2216" s="396"/>
      <c r="T2216" s="396"/>
      <c r="U2216" s="388"/>
      <c r="V2216" s="396"/>
      <c r="W2216" s="388"/>
      <c r="X2216" s="396"/>
      <c r="Y2216" s="389"/>
      <c r="Z2216" s="396"/>
      <c r="AA2216" s="388"/>
      <c r="AB2216" s="390"/>
    </row>
    <row r="2217" spans="1:28">
      <c r="A2217" s="391"/>
      <c r="B2217" s="392"/>
      <c r="C2217" s="393" t="s">
        <v>198</v>
      </c>
      <c r="D2217" s="2562">
        <f>VLOOKUP(C2215,'Data Panjang Balok'!$C$9:$N$254,4,FALSE)</f>
        <v>6575</v>
      </c>
      <c r="E2217" s="2563"/>
      <c r="F2217" s="2563"/>
      <c r="G2217" s="2563"/>
      <c r="H2217" s="2564"/>
      <c r="I2217" s="397"/>
      <c r="J2217" s="396"/>
      <c r="K2217" s="396"/>
      <c r="L2217" s="396"/>
      <c r="M2217" s="396"/>
      <c r="N2217" s="396"/>
      <c r="O2217" s="396"/>
      <c r="P2217" s="396"/>
      <c r="Q2217" s="396"/>
      <c r="R2217" s="396"/>
      <c r="S2217" s="396"/>
      <c r="T2217" s="396"/>
      <c r="U2217" s="388"/>
      <c r="V2217" s="396"/>
      <c r="W2217" s="388"/>
      <c r="X2217" s="396"/>
      <c r="Y2217" s="389"/>
      <c r="Z2217" s="396"/>
      <c r="AA2217" s="388"/>
      <c r="AB2217" s="390"/>
    </row>
    <row r="2218" spans="1:28">
      <c r="A2218" s="391"/>
      <c r="B2218" s="392"/>
      <c r="C2218" s="393" t="s">
        <v>199</v>
      </c>
      <c r="D2218" s="2562">
        <f>VLOOKUP(C2215,'Data Panjang Balok'!$C$9:$N$254,7,FALSE)</f>
        <v>6575</v>
      </c>
      <c r="E2218" s="2563"/>
      <c r="F2218" s="2563"/>
      <c r="G2218" s="2563"/>
      <c r="H2218" s="2564"/>
      <c r="I2218" s="397"/>
      <c r="J2218" s="396"/>
      <c r="K2218" s="396"/>
      <c r="L2218" s="396"/>
      <c r="M2218" s="396"/>
      <c r="N2218" s="396"/>
      <c r="O2218" s="396"/>
      <c r="P2218" s="396"/>
      <c r="Q2218" s="396"/>
      <c r="R2218" s="396"/>
      <c r="S2218" s="396"/>
      <c r="T2218" s="396"/>
      <c r="U2218" s="388"/>
      <c r="V2218" s="396"/>
      <c r="W2218" s="388"/>
      <c r="X2218" s="396"/>
      <c r="Y2218" s="389"/>
      <c r="Z2218" s="396"/>
      <c r="AA2218" s="388"/>
      <c r="AB2218" s="390"/>
    </row>
    <row r="2219" spans="1:28">
      <c r="A2219" s="391"/>
      <c r="B2219" s="392"/>
      <c r="C2219" s="393" t="s">
        <v>200</v>
      </c>
      <c r="D2219" s="2562">
        <f>VLOOKUP(C2215,'Data Panjang Balok'!$C$9:$N$254,9,FALSE)</f>
        <v>0</v>
      </c>
      <c r="E2219" s="2563"/>
      <c r="F2219" s="2563"/>
      <c r="G2219" s="2563"/>
      <c r="H2219" s="2564"/>
      <c r="I2219" s="397"/>
      <c r="J2219" s="396"/>
      <c r="K2219" s="396"/>
      <c r="L2219" s="396"/>
      <c r="M2219" s="396"/>
      <c r="N2219" s="396"/>
      <c r="O2219" s="396"/>
      <c r="P2219" s="396"/>
      <c r="Q2219" s="396"/>
      <c r="R2219" s="396"/>
      <c r="S2219" s="396"/>
      <c r="T2219" s="396"/>
      <c r="U2219" s="388"/>
      <c r="V2219" s="396"/>
      <c r="W2219" s="388"/>
      <c r="X2219" s="396"/>
      <c r="Y2219" s="389"/>
      <c r="Z2219" s="396"/>
      <c r="AA2219" s="388"/>
      <c r="AB2219" s="390"/>
    </row>
    <row r="2220" spans="1:28">
      <c r="A2220" s="391"/>
      <c r="B2220" s="392"/>
      <c r="C2220" s="393" t="s">
        <v>201</v>
      </c>
      <c r="D2220" s="2562">
        <f>VLOOKUP(C2215,'Data Panjang Balok'!$C$9:$N$254,10,FALSE)</f>
        <v>0</v>
      </c>
      <c r="E2220" s="2563"/>
      <c r="F2220" s="2563"/>
      <c r="G2220" s="2563"/>
      <c r="H2220" s="2564"/>
      <c r="I2220" s="397"/>
      <c r="J2220" s="396"/>
      <c r="K2220" s="396"/>
      <c r="L2220" s="396"/>
      <c r="M2220" s="396"/>
      <c r="N2220" s="396"/>
      <c r="O2220" s="396"/>
      <c r="P2220" s="396"/>
      <c r="Q2220" s="396"/>
      <c r="R2220" s="396"/>
      <c r="S2220" s="396"/>
      <c r="T2220" s="396"/>
      <c r="U2220" s="388"/>
      <c r="V2220" s="396"/>
      <c r="W2220" s="388"/>
      <c r="X2220" s="396"/>
      <c r="Y2220" s="389"/>
      <c r="Z2220" s="396"/>
      <c r="AA2220" s="388"/>
      <c r="AB2220" s="390"/>
    </row>
    <row r="2221" spans="1:28">
      <c r="A2221" s="391"/>
      <c r="B2221" s="392"/>
      <c r="C2221" s="393" t="s">
        <v>48</v>
      </c>
      <c r="D2221" s="2562">
        <f>VLOOKUP(C2215,'Data Panjang Balok'!$C$9:$N$254,3,FALSE)</f>
        <v>1</v>
      </c>
      <c r="E2221" s="2563"/>
      <c r="F2221" s="2563"/>
      <c r="G2221" s="2563"/>
      <c r="H2221" s="2564"/>
      <c r="I2221" s="397"/>
      <c r="J2221" s="396"/>
      <c r="K2221" s="396"/>
      <c r="L2221" s="396"/>
      <c r="M2221" s="396"/>
      <c r="N2221" s="396"/>
      <c r="O2221" s="396"/>
      <c r="P2221" s="396"/>
      <c r="Q2221" s="396"/>
      <c r="R2221" s="396"/>
      <c r="S2221" s="396"/>
      <c r="T2221" s="396"/>
      <c r="U2221" s="388"/>
      <c r="V2221" s="396"/>
      <c r="W2221" s="388"/>
      <c r="X2221" s="396"/>
      <c r="Y2221" s="389"/>
      <c r="Z2221" s="396"/>
      <c r="AA2221" s="388"/>
      <c r="AB2221" s="390"/>
    </row>
    <row r="2222" spans="1:28">
      <c r="A2222" s="384" t="str">
        <f t="shared" ref="A2222:B2222" si="7092">A2215</f>
        <v>Lantai 1</v>
      </c>
      <c r="B2222" s="385">
        <f t="shared" si="7092"/>
        <v>72</v>
      </c>
      <c r="C2222" s="393" t="s">
        <v>202</v>
      </c>
      <c r="D2222" s="398">
        <f>VLOOKUP(D2215,'Detail Balok'!$C$10:$AU$140,4,FALSE)</f>
        <v>3</v>
      </c>
      <c r="E2222" s="388" t="s">
        <v>16</v>
      </c>
      <c r="F2222" s="388">
        <f>VLOOKUP(D2215,'Detail Balok'!$C$10:$AU$140,6,FALSE)</f>
        <v>13</v>
      </c>
      <c r="G2222" s="388"/>
      <c r="H2222" s="395"/>
      <c r="I2222" s="388" t="s">
        <v>203</v>
      </c>
      <c r="J2222" s="399">
        <f t="shared" ref="J2222" si="7093">+D2217/4/1000</f>
        <v>1.64375</v>
      </c>
      <c r="K2222" s="400" t="s">
        <v>204</v>
      </c>
      <c r="L2222" s="399">
        <f t="shared" ref="L2222" si="7094">MAX(VLOOKUP(F2222,N$6:P$15,3,FALSE)/1000,2/3*D2219/1000)+F$16*F2222/1000</f>
        <v>0.156</v>
      </c>
      <c r="M2222" s="399" t="s">
        <v>176</v>
      </c>
      <c r="N2222" s="399">
        <f t="shared" ref="N2222:N2224" si="7095">J2222+L2222</f>
        <v>1.79975</v>
      </c>
      <c r="O2222" s="399" t="s">
        <v>204</v>
      </c>
      <c r="P2222" s="389">
        <f t="shared" ref="P2222" si="7096">D2222-D2223</f>
        <v>0</v>
      </c>
      <c r="Q2222" s="399" t="s">
        <v>125</v>
      </c>
      <c r="R2222" s="399">
        <f t="shared" ref="R2222" si="7097">IF(P2222&gt;0,$F$18*F2222/1000,0)</f>
        <v>0</v>
      </c>
      <c r="S2222" s="399" t="s">
        <v>205</v>
      </c>
      <c r="T2222" s="399" t="s">
        <v>125</v>
      </c>
      <c r="U2222" s="401">
        <f t="shared" ref="U2222:U2224" si="7098">0.006165*F2222^2</f>
        <v>1.041885</v>
      </c>
      <c r="V2222" s="399"/>
      <c r="W2222" s="399"/>
      <c r="X2222" s="399" t="s">
        <v>125</v>
      </c>
      <c r="Y2222" s="389">
        <f t="shared" ref="Y2222" si="7099">D2221</f>
        <v>1</v>
      </c>
      <c r="Z2222" s="400" t="s">
        <v>176</v>
      </c>
      <c r="AA2222" s="402">
        <f t="shared" ref="AA2222" si="7100">IF(AA2225=0,(D2222*N2222+P2222*R2222)*U2222*Y2222,0)</f>
        <v>0</v>
      </c>
      <c r="AB2222" s="403"/>
    </row>
    <row r="2223" spans="1:28">
      <c r="A2223" s="384" t="str">
        <f t="shared" ref="A2223:B2223" si="7101">A2215</f>
        <v>Lantai 1</v>
      </c>
      <c r="B2223" s="385">
        <f t="shared" si="7101"/>
        <v>72</v>
      </c>
      <c r="C2223" s="393" t="s">
        <v>206</v>
      </c>
      <c r="D2223" s="398">
        <f>VLOOKUP(D2215,'Detail Balok'!$C$10:$AU$140,7,FALSE)</f>
        <v>3</v>
      </c>
      <c r="E2223" s="388" t="s">
        <v>16</v>
      </c>
      <c r="F2223" s="388">
        <f>VLOOKUP(D2215,'Detail Balok'!$C$10:$AU$140,9,FALSE)</f>
        <v>13</v>
      </c>
      <c r="G2223" s="388"/>
      <c r="H2223" s="395"/>
      <c r="I2223" s="388" t="s">
        <v>203</v>
      </c>
      <c r="J2223" s="399">
        <f t="shared" ref="J2223" si="7102">+D2217/2/1000</f>
        <v>3.2875000000000001</v>
      </c>
      <c r="K2223" s="400" t="s">
        <v>204</v>
      </c>
      <c r="L2223" s="399"/>
      <c r="M2223" s="399" t="s">
        <v>176</v>
      </c>
      <c r="N2223" s="399">
        <f t="shared" si="7095"/>
        <v>3.2875000000000001</v>
      </c>
      <c r="O2223" s="399" t="s">
        <v>204</v>
      </c>
      <c r="P2223" s="389">
        <f t="shared" ref="P2223" si="7103">MAX(D2223-D2222,D2223-D2224)</f>
        <v>0</v>
      </c>
      <c r="Q2223" s="399" t="s">
        <v>125</v>
      </c>
      <c r="R2223" s="399">
        <f t="shared" ref="R2223" si="7104">IF(P2223&gt;0,2*(1-2*$F$19-1/2)*D2218/1000,0)</f>
        <v>0</v>
      </c>
      <c r="S2223" s="399" t="s">
        <v>205</v>
      </c>
      <c r="T2223" s="399" t="s">
        <v>125</v>
      </c>
      <c r="U2223" s="401">
        <f t="shared" si="7098"/>
        <v>1.041885</v>
      </c>
      <c r="V2223" s="399"/>
      <c r="W2223" s="399"/>
      <c r="X2223" s="399" t="s">
        <v>125</v>
      </c>
      <c r="Y2223" s="389">
        <f t="shared" ref="Y2223" si="7105">D2221</f>
        <v>1</v>
      </c>
      <c r="Z2223" s="400" t="s">
        <v>176</v>
      </c>
      <c r="AA2223" s="402">
        <f t="shared" ref="AA2223" si="7106">IF(AA2225=0,(D2223*N2223+P2223*R2223)*U2223*Y2223,0)</f>
        <v>0</v>
      </c>
      <c r="AB2223" s="403"/>
    </row>
    <row r="2224" spans="1:28">
      <c r="A2224" s="384" t="str">
        <f t="shared" ref="A2224:B2224" si="7107">A2215</f>
        <v>Lantai 1</v>
      </c>
      <c r="B2224" s="385">
        <f t="shared" si="7107"/>
        <v>72</v>
      </c>
      <c r="C2224" s="393" t="s">
        <v>202</v>
      </c>
      <c r="D2224" s="398">
        <f>VLOOKUP(D2215,'Detail Balok'!$C$10:$AU$140,10,FALSE)</f>
        <v>3</v>
      </c>
      <c r="E2224" s="388" t="s">
        <v>16</v>
      </c>
      <c r="F2224" s="388">
        <f>VLOOKUP(D2215,'Detail Balok'!$C$10:$AU$140,12,FALSE)</f>
        <v>13</v>
      </c>
      <c r="G2224" s="388"/>
      <c r="H2224" s="395"/>
      <c r="I2224" s="388" t="s">
        <v>203</v>
      </c>
      <c r="J2224" s="399">
        <f t="shared" ref="J2224" si="7108">+D2217/4/1000</f>
        <v>1.64375</v>
      </c>
      <c r="K2224" s="400" t="s">
        <v>204</v>
      </c>
      <c r="L2224" s="399">
        <f t="shared" ref="L2224" si="7109">MAX(VLOOKUP(F2224,N$6:P$15,3,FALSE)/1000,2/3*D2219/1000)+F$16*F2224/1000</f>
        <v>0.156</v>
      </c>
      <c r="M2224" s="399" t="s">
        <v>176</v>
      </c>
      <c r="N2224" s="399">
        <f t="shared" si="7095"/>
        <v>1.79975</v>
      </c>
      <c r="O2224" s="399" t="s">
        <v>204</v>
      </c>
      <c r="P2224" s="389">
        <f t="shared" ref="P2224" si="7110">D2224-D2223</f>
        <v>0</v>
      </c>
      <c r="Q2224" s="399" t="s">
        <v>125</v>
      </c>
      <c r="R2224" s="399">
        <f t="shared" ref="R2224" si="7111">IF(P2224&gt;0,$F$18*F2224/1000,0)</f>
        <v>0</v>
      </c>
      <c r="S2224" s="399" t="s">
        <v>205</v>
      </c>
      <c r="T2224" s="399" t="s">
        <v>125</v>
      </c>
      <c r="U2224" s="401">
        <f t="shared" si="7098"/>
        <v>1.041885</v>
      </c>
      <c r="V2224" s="399"/>
      <c r="W2224" s="399"/>
      <c r="X2224" s="399" t="s">
        <v>125</v>
      </c>
      <c r="Y2224" s="389">
        <f t="shared" ref="Y2224" si="7112">D2221</f>
        <v>1</v>
      </c>
      <c r="Z2224" s="400" t="s">
        <v>176</v>
      </c>
      <c r="AA2224" s="402">
        <f t="shared" ref="AA2224" si="7113">IF(AA2225=0,(D2224*N2224+P2224*R2224)*U2224*Y2224,0)</f>
        <v>0</v>
      </c>
      <c r="AB2224" s="403"/>
    </row>
    <row r="2225" spans="1:28">
      <c r="A2225" s="384" t="str">
        <f t="shared" ref="A2225:B2225" si="7114">A2215</f>
        <v>Lantai 1</v>
      </c>
      <c r="B2225" s="385">
        <f t="shared" si="7114"/>
        <v>72</v>
      </c>
      <c r="C2225" s="393"/>
      <c r="D2225" s="398">
        <f t="shared" si="6917"/>
        <v>3</v>
      </c>
      <c r="E2225" s="388" t="s">
        <v>16</v>
      </c>
      <c r="F2225" s="388">
        <f t="shared" si="6918"/>
        <v>13</v>
      </c>
      <c r="G2225" s="388"/>
      <c r="H2225" s="395"/>
      <c r="I2225" s="388"/>
      <c r="J2225" s="396"/>
      <c r="K2225" s="396"/>
      <c r="L2225" s="404" t="s">
        <v>207</v>
      </c>
      <c r="M2225" s="399" t="s">
        <v>176</v>
      </c>
      <c r="N2225" s="399">
        <f t="shared" ref="N2225" si="7115">IF(AND(D2222=D2223,D2222=D2224,D2223=D2224,F2222=F2223,F2222=F2224,F2223=F2224),SUM(N2222:N2224),0)</f>
        <v>6.8870000000000005</v>
      </c>
      <c r="O2225" s="399" t="s">
        <v>204</v>
      </c>
      <c r="P2225" s="389">
        <f t="shared" ref="P2225" si="7116">IF(N2225&gt;12,ROUNDDOWN(N2225/12,0),0)</f>
        <v>0</v>
      </c>
      <c r="Q2225" s="399" t="s">
        <v>125</v>
      </c>
      <c r="R2225" s="399">
        <f t="shared" ref="R2225" si="7117">IF(P2225&gt;0,MAX(VLOOKUP(F2225,$D$6:$G$15,3,FALSE),600),0)/1000</f>
        <v>0</v>
      </c>
      <c r="S2225" s="396"/>
      <c r="T2225" s="396" t="s">
        <v>125</v>
      </c>
      <c r="U2225" s="401">
        <f t="shared" si="6922"/>
        <v>1.041885</v>
      </c>
      <c r="V2225" s="396" t="s">
        <v>125</v>
      </c>
      <c r="W2225" s="399">
        <f t="shared" ref="W2225" si="7118">D2225</f>
        <v>3</v>
      </c>
      <c r="X2225" s="399" t="s">
        <v>125</v>
      </c>
      <c r="Y2225" s="389">
        <f t="shared" si="6924"/>
        <v>1</v>
      </c>
      <c r="Z2225" s="400" t="s">
        <v>176</v>
      </c>
      <c r="AA2225" s="402">
        <f t="shared" ref="AA2225" si="7119">(N2225+P2225*R2225/1000)*U2225*W2225*Y2225</f>
        <v>21.526385985000001</v>
      </c>
      <c r="AB2225" s="390"/>
    </row>
    <row r="2226" spans="1:28">
      <c r="A2226" s="384"/>
      <c r="B2226" s="385"/>
      <c r="C2226" s="393"/>
      <c r="D2226" s="398"/>
      <c r="E2226" s="388"/>
      <c r="F2226" s="388"/>
      <c r="G2226" s="388"/>
      <c r="H2226" s="395"/>
      <c r="I2226" s="388"/>
      <c r="J2226" s="396"/>
      <c r="K2226" s="396"/>
      <c r="L2226" s="404"/>
      <c r="M2226" s="399"/>
      <c r="N2226" s="399"/>
      <c r="O2226" s="396"/>
      <c r="P2226" s="389"/>
      <c r="Q2226" s="396"/>
      <c r="R2226" s="396"/>
      <c r="S2226" s="396"/>
      <c r="T2226" s="396"/>
      <c r="U2226" s="401"/>
      <c r="V2226" s="396"/>
      <c r="W2226" s="399"/>
      <c r="X2226" s="396"/>
      <c r="Y2226" s="389"/>
      <c r="Z2226" s="396"/>
      <c r="AA2226" s="388"/>
      <c r="AB2226" s="390"/>
    </row>
    <row r="2227" spans="1:28">
      <c r="A2227" s="384" t="str">
        <f t="shared" ref="A2227:B2227" si="7120">A2215</f>
        <v>Lantai 1</v>
      </c>
      <c r="B2227" s="385">
        <f t="shared" si="7120"/>
        <v>72</v>
      </c>
      <c r="C2227" s="393" t="s">
        <v>208</v>
      </c>
      <c r="D2227" s="398">
        <f>VLOOKUP(D2215,'Detail Balok'!$C$10:$AU$140,13,FALSE)</f>
        <v>0</v>
      </c>
      <c r="E2227" s="388" t="s">
        <v>16</v>
      </c>
      <c r="F2227" s="388">
        <f>VLOOKUP(D2215,'Detail Balok'!$C$10:$AU$140,15,FALSE)</f>
        <v>8</v>
      </c>
      <c r="G2227" s="388"/>
      <c r="H2227" s="395"/>
      <c r="I2227" s="388"/>
      <c r="J2227" s="399">
        <f t="shared" ref="J2227" si="7121">+D2217/1000</f>
        <v>6.5750000000000002</v>
      </c>
      <c r="K2227" s="400" t="s">
        <v>204</v>
      </c>
      <c r="L2227" s="399">
        <f t="shared" ref="L2227" si="7122">2*$F$16*F2227/1000</f>
        <v>0.192</v>
      </c>
      <c r="M2227" s="399" t="s">
        <v>176</v>
      </c>
      <c r="N2227" s="399">
        <f t="shared" ref="N2227" si="7123">J2227+L2227</f>
        <v>6.7670000000000003</v>
      </c>
      <c r="O2227" s="399" t="s">
        <v>204</v>
      </c>
      <c r="P2227" s="389">
        <f t="shared" ref="P2227" si="7124">IF(N2227&gt;12,ROUNDDOWN(N2227/12,0),0)</f>
        <v>0</v>
      </c>
      <c r="Q2227" s="399" t="s">
        <v>125</v>
      </c>
      <c r="R2227" s="399">
        <f t="shared" ref="R2227" si="7125">IF(P2227&gt;0,MAX(VLOOKUP(F2227,$D$6:$G$15,3,FALSE),600),0)/1000</f>
        <v>0</v>
      </c>
      <c r="S2227" s="399"/>
      <c r="T2227" s="399" t="s">
        <v>125</v>
      </c>
      <c r="U2227" s="401">
        <f t="shared" ref="U2227" si="7126">0.006165*F2227^2</f>
        <v>0.39456000000000002</v>
      </c>
      <c r="V2227" s="399" t="s">
        <v>125</v>
      </c>
      <c r="W2227" s="399">
        <f t="shared" ref="W2227" si="7127">+D2227</f>
        <v>0</v>
      </c>
      <c r="X2227" s="399" t="s">
        <v>125</v>
      </c>
      <c r="Y2227" s="389">
        <f t="shared" ref="Y2227" si="7128">D2221</f>
        <v>1</v>
      </c>
      <c r="Z2227" s="400" t="s">
        <v>176</v>
      </c>
      <c r="AA2227" s="402">
        <f t="shared" ref="AA2227" si="7129">(N2227+P2227*R2227/1000)*U2227*W2227*Y2227</f>
        <v>0</v>
      </c>
      <c r="AB2227" s="403"/>
    </row>
    <row r="2228" spans="1:28">
      <c r="A2228" s="384"/>
      <c r="B2228" s="385"/>
      <c r="C2228" s="393"/>
      <c r="D2228" s="398"/>
      <c r="E2228" s="388"/>
      <c r="F2228" s="388"/>
      <c r="G2228" s="388"/>
      <c r="H2228" s="395"/>
      <c r="I2228" s="388"/>
      <c r="J2228" s="399"/>
      <c r="K2228" s="400"/>
      <c r="L2228" s="399"/>
      <c r="M2228" s="399"/>
      <c r="N2228" s="399"/>
      <c r="O2228" s="399"/>
      <c r="P2228" s="389"/>
      <c r="Q2228" s="399"/>
      <c r="R2228" s="399"/>
      <c r="S2228" s="399"/>
      <c r="T2228" s="399"/>
      <c r="U2228" s="401"/>
      <c r="V2228" s="399"/>
      <c r="W2228" s="399"/>
      <c r="X2228" s="399"/>
      <c r="Y2228" s="389"/>
      <c r="Z2228" s="400"/>
      <c r="AA2228" s="402"/>
      <c r="AB2228" s="403"/>
    </row>
    <row r="2229" spans="1:28">
      <c r="A2229" s="384"/>
      <c r="B2229" s="385"/>
      <c r="C2229" s="393"/>
      <c r="D2229" s="398"/>
      <c r="E2229" s="388"/>
      <c r="F2229" s="388"/>
      <c r="G2229" s="388"/>
      <c r="H2229" s="395"/>
      <c r="I2229" s="388"/>
      <c r="J2229" s="396"/>
      <c r="K2229" s="396"/>
      <c r="L2229" s="396"/>
      <c r="M2229" s="396"/>
      <c r="N2229" s="396"/>
      <c r="O2229" s="396"/>
      <c r="P2229" s="389"/>
      <c r="Q2229" s="396"/>
      <c r="R2229" s="396"/>
      <c r="S2229" s="396"/>
      <c r="T2229" s="396"/>
      <c r="U2229" s="401"/>
      <c r="V2229" s="396"/>
      <c r="W2229" s="399"/>
      <c r="X2229" s="396"/>
      <c r="Y2229" s="389"/>
      <c r="Z2229" s="396"/>
      <c r="AA2229" s="388"/>
      <c r="AB2229" s="390"/>
    </row>
    <row r="2230" spans="1:28">
      <c r="A2230" s="384" t="str">
        <f t="shared" ref="A2230:B2230" si="7130">A2215</f>
        <v>Lantai 1</v>
      </c>
      <c r="B2230" s="385">
        <f t="shared" si="7130"/>
        <v>72</v>
      </c>
      <c r="C2230" s="393" t="s">
        <v>209</v>
      </c>
      <c r="D2230" s="398">
        <f>VLOOKUP(D2215,'Detail Balok'!$C$10:$AU$140,22,FALSE)</f>
        <v>3</v>
      </c>
      <c r="E2230" s="388" t="s">
        <v>16</v>
      </c>
      <c r="F2230" s="388">
        <f>VLOOKUP(D2215,'Detail Balok'!$C$10:$AU$140,24,FALSE)</f>
        <v>13</v>
      </c>
      <c r="G2230" s="388"/>
      <c r="H2230" s="395"/>
      <c r="I2230" s="388" t="s">
        <v>203</v>
      </c>
      <c r="J2230" s="399">
        <f t="shared" si="6937"/>
        <v>1.64375</v>
      </c>
      <c r="K2230" s="400" t="s">
        <v>204</v>
      </c>
      <c r="L2230" s="399">
        <f t="shared" ref="L2230" si="7131">MAX(VLOOKUP(F2230,N$6:P$15,3,FALSE)/1000,2/3*D2220/1000)+F$16*F2230/1000</f>
        <v>0.156</v>
      </c>
      <c r="M2230" s="399" t="s">
        <v>176</v>
      </c>
      <c r="N2230" s="399">
        <f t="shared" ref="N2230:N2232" si="7132">J2230+L2230</f>
        <v>1.79975</v>
      </c>
      <c r="O2230" s="399" t="s">
        <v>204</v>
      </c>
      <c r="P2230" s="389">
        <f t="shared" ref="P2230" si="7133">D2230-D2231</f>
        <v>0</v>
      </c>
      <c r="Q2230" s="399" t="s">
        <v>125</v>
      </c>
      <c r="R2230" s="399">
        <f t="shared" ref="R2230" si="7134">IF(P2230&gt;0,$F$18*F2230/1000,0)</f>
        <v>0</v>
      </c>
      <c r="S2230" s="399" t="s">
        <v>205</v>
      </c>
      <c r="T2230" s="399" t="s">
        <v>125</v>
      </c>
      <c r="U2230" s="401">
        <f t="shared" ref="U2230:U2232" si="7135">0.006165*F2230^2</f>
        <v>1.041885</v>
      </c>
      <c r="V2230" s="399"/>
      <c r="W2230" s="399"/>
      <c r="X2230" s="399" t="s">
        <v>125</v>
      </c>
      <c r="Y2230" s="389">
        <f t="shared" ref="Y2230" si="7136">D2221</f>
        <v>1</v>
      </c>
      <c r="Z2230" s="400" t="s">
        <v>176</v>
      </c>
      <c r="AA2230" s="402">
        <f t="shared" ref="AA2230" si="7137">IF(AA2233=0,(D2230*N2230+P2230*R2230)*U2230*Y2230,0)</f>
        <v>0</v>
      </c>
      <c r="AB2230" s="403"/>
    </row>
    <row r="2231" spans="1:28">
      <c r="A2231" s="384" t="str">
        <f t="shared" ref="A2231:B2231" si="7138">A2215</f>
        <v>Lantai 1</v>
      </c>
      <c r="B2231" s="385">
        <f t="shared" si="7138"/>
        <v>72</v>
      </c>
      <c r="C2231" s="393" t="s">
        <v>210</v>
      </c>
      <c r="D2231" s="398">
        <f>VLOOKUP(D2215,'Detail Balok'!$C$10:$AU$140,25,FALSE)</f>
        <v>3</v>
      </c>
      <c r="E2231" s="388" t="s">
        <v>16</v>
      </c>
      <c r="F2231" s="388">
        <f>VLOOKUP(D2215,'Detail Balok'!$C$10:$AU$140,27,FALSE)</f>
        <v>13</v>
      </c>
      <c r="G2231" s="388"/>
      <c r="H2231" s="395"/>
      <c r="I2231" s="388" t="s">
        <v>203</v>
      </c>
      <c r="J2231" s="399">
        <f t="shared" si="6937"/>
        <v>3.2875000000000001</v>
      </c>
      <c r="K2231" s="400" t="s">
        <v>204</v>
      </c>
      <c r="L2231" s="399"/>
      <c r="M2231" s="399" t="s">
        <v>176</v>
      </c>
      <c r="N2231" s="399">
        <f t="shared" si="7132"/>
        <v>3.2875000000000001</v>
      </c>
      <c r="O2231" s="399" t="s">
        <v>204</v>
      </c>
      <c r="P2231" s="389">
        <f t="shared" ref="P2231" si="7139">MAX(D2231-D2230,D2231-D2232)</f>
        <v>0</v>
      </c>
      <c r="Q2231" s="399" t="s">
        <v>125</v>
      </c>
      <c r="R2231" s="399">
        <f t="shared" ref="R2231" si="7140">IF(P2231&gt;0,2*(1-2*$F$19-1/2)*D2218/1000,0)</f>
        <v>0</v>
      </c>
      <c r="S2231" s="399" t="s">
        <v>205</v>
      </c>
      <c r="T2231" s="399" t="s">
        <v>125</v>
      </c>
      <c r="U2231" s="401">
        <f t="shared" si="7135"/>
        <v>1.041885</v>
      </c>
      <c r="V2231" s="399"/>
      <c r="W2231" s="399"/>
      <c r="X2231" s="399" t="s">
        <v>125</v>
      </c>
      <c r="Y2231" s="389">
        <f t="shared" ref="Y2231" si="7141">D2221</f>
        <v>1</v>
      </c>
      <c r="Z2231" s="400" t="s">
        <v>176</v>
      </c>
      <c r="AA2231" s="402">
        <f t="shared" ref="AA2231" si="7142">IF(AA2233=0,(D2231*N2231+P2231*R2231)*U2231*Y2231,0)</f>
        <v>0</v>
      </c>
      <c r="AB2231" s="403"/>
    </row>
    <row r="2232" spans="1:28">
      <c r="A2232" s="384" t="str">
        <f t="shared" ref="A2232:B2232" si="7143">A2215</f>
        <v>Lantai 1</v>
      </c>
      <c r="B2232" s="385">
        <f t="shared" si="7143"/>
        <v>72</v>
      </c>
      <c r="C2232" s="393" t="s">
        <v>209</v>
      </c>
      <c r="D2232" s="398">
        <f>VLOOKUP(D2215,'Detail Balok'!$C$10:$AU$140,28,FALSE)</f>
        <v>3</v>
      </c>
      <c r="E2232" s="388" t="s">
        <v>16</v>
      </c>
      <c r="F2232" s="388">
        <f>VLOOKUP(D2215,'Detail Balok'!$C$10:$AU$140,30,FALSE)</f>
        <v>13</v>
      </c>
      <c r="G2232" s="388"/>
      <c r="H2232" s="395"/>
      <c r="I2232" s="388" t="s">
        <v>203</v>
      </c>
      <c r="J2232" s="399">
        <f t="shared" si="6937"/>
        <v>1.64375</v>
      </c>
      <c r="K2232" s="400" t="s">
        <v>204</v>
      </c>
      <c r="L2232" s="399">
        <f t="shared" ref="L2232" si="7144">MAX(VLOOKUP(F2232,N$6:P$15,3,FALSE)/1000,2/3*D2220/1000)+F$16*F2232/1000</f>
        <v>0.156</v>
      </c>
      <c r="M2232" s="399" t="s">
        <v>176</v>
      </c>
      <c r="N2232" s="399">
        <f t="shared" si="7132"/>
        <v>1.79975</v>
      </c>
      <c r="O2232" s="399" t="s">
        <v>204</v>
      </c>
      <c r="P2232" s="389">
        <f t="shared" ref="P2232" si="7145">D2232-D2231</f>
        <v>0</v>
      </c>
      <c r="Q2232" s="399" t="s">
        <v>125</v>
      </c>
      <c r="R2232" s="399">
        <f t="shared" ref="R2232" si="7146">IF(P2232&gt;0,$F$18*F2232/1000,0)</f>
        <v>0</v>
      </c>
      <c r="S2232" s="399" t="s">
        <v>205</v>
      </c>
      <c r="T2232" s="399" t="s">
        <v>125</v>
      </c>
      <c r="U2232" s="401">
        <f t="shared" si="7135"/>
        <v>1.041885</v>
      </c>
      <c r="V2232" s="399"/>
      <c r="W2232" s="399"/>
      <c r="X2232" s="399" t="s">
        <v>125</v>
      </c>
      <c r="Y2232" s="389">
        <f t="shared" ref="Y2232" si="7147">D2221</f>
        <v>1</v>
      </c>
      <c r="Z2232" s="400" t="s">
        <v>176</v>
      </c>
      <c r="AA2232" s="402">
        <f t="shared" ref="AA2232" si="7148">IF(AA2233=0,(D2232*N2232+P2232*R2232)*U2232*Y2232,0)</f>
        <v>0</v>
      </c>
      <c r="AB2232" s="403"/>
    </row>
    <row r="2233" spans="1:28">
      <c r="A2233" s="384" t="str">
        <f t="shared" ref="A2233:B2233" si="7149">A2215</f>
        <v>Lantai 1</v>
      </c>
      <c r="B2233" s="385">
        <f t="shared" si="7149"/>
        <v>72</v>
      </c>
      <c r="C2233" s="393"/>
      <c r="D2233" s="398">
        <f t="shared" si="6957"/>
        <v>3</v>
      </c>
      <c r="E2233" s="388" t="s">
        <v>16</v>
      </c>
      <c r="F2233" s="388">
        <f t="shared" si="6958"/>
        <v>13</v>
      </c>
      <c r="G2233" s="388"/>
      <c r="H2233" s="395"/>
      <c r="I2233" s="388"/>
      <c r="J2233" s="396"/>
      <c r="K2233" s="396"/>
      <c r="L2233" s="404" t="s">
        <v>207</v>
      </c>
      <c r="M2233" s="399" t="s">
        <v>176</v>
      </c>
      <c r="N2233" s="399">
        <f t="shared" ref="N2233" si="7150">IF(AND(D2230=D2231,D2230=D2232,D2231=D2232,F2230=F2231,F2230=F2232,F2231=F2232),SUM(N2230:N2232),0)</f>
        <v>6.8870000000000005</v>
      </c>
      <c r="O2233" s="399" t="s">
        <v>204</v>
      </c>
      <c r="P2233" s="389">
        <f t="shared" ref="P2233" si="7151">IF(N2233&gt;12,ROUNDDOWN(N2233/12,0),0)</f>
        <v>0</v>
      </c>
      <c r="Q2233" s="399" t="s">
        <v>125</v>
      </c>
      <c r="R2233" s="399">
        <f t="shared" ref="R2233" si="7152">IF(P2233&gt;0,MAX(VLOOKUP(F2233,$D$6:$G$15,3,FALSE),600),0)/1000</f>
        <v>0</v>
      </c>
      <c r="S2233" s="396"/>
      <c r="T2233" s="396" t="s">
        <v>125</v>
      </c>
      <c r="U2233" s="401">
        <f t="shared" si="6962"/>
        <v>1.041885</v>
      </c>
      <c r="V2233" s="396" t="s">
        <v>125</v>
      </c>
      <c r="W2233" s="399">
        <f t="shared" ref="W2233" si="7153">D2233</f>
        <v>3</v>
      </c>
      <c r="X2233" s="399" t="s">
        <v>125</v>
      </c>
      <c r="Y2233" s="389">
        <f t="shared" si="6964"/>
        <v>1</v>
      </c>
      <c r="Z2233" s="400" t="s">
        <v>176</v>
      </c>
      <c r="AA2233" s="402">
        <f t="shared" ref="AA2233" si="7154">(N2233+P2233*R2233/1000)*U2233*W2233*Y2233</f>
        <v>21.526385985000001</v>
      </c>
      <c r="AB2233" s="403"/>
    </row>
    <row r="2234" spans="1:28">
      <c r="A2234" s="384"/>
      <c r="B2234" s="385"/>
      <c r="C2234" s="393"/>
      <c r="D2234" s="394"/>
      <c r="E2234" s="388"/>
      <c r="F2234" s="388"/>
      <c r="G2234" s="388"/>
      <c r="H2234" s="395"/>
      <c r="I2234" s="388"/>
      <c r="J2234" s="399"/>
      <c r="K2234" s="396"/>
      <c r="L2234" s="396"/>
      <c r="M2234" s="396"/>
      <c r="N2234" s="396"/>
      <c r="O2234" s="396"/>
      <c r="P2234" s="389"/>
      <c r="Q2234" s="396"/>
      <c r="R2234" s="396"/>
      <c r="S2234" s="396"/>
      <c r="T2234" s="396"/>
      <c r="U2234" s="401"/>
      <c r="V2234" s="396"/>
      <c r="W2234" s="388"/>
      <c r="X2234" s="396"/>
      <c r="Y2234" s="389"/>
      <c r="Z2234" s="396"/>
      <c r="AA2234" s="388"/>
      <c r="AB2234" s="390"/>
    </row>
    <row r="2235" spans="1:28">
      <c r="A2235" s="384" t="str">
        <f t="shared" ref="A2235:B2235" si="7155">A2215</f>
        <v>Lantai 1</v>
      </c>
      <c r="B2235" s="385">
        <f t="shared" si="7155"/>
        <v>72</v>
      </c>
      <c r="C2235" s="393" t="s">
        <v>211</v>
      </c>
      <c r="D2235" s="398">
        <f>VLOOKUP(D2215,'Detail Balok'!$C$10:$AU$140,31,FALSE)</f>
        <v>0</v>
      </c>
      <c r="E2235" s="388" t="s">
        <v>16</v>
      </c>
      <c r="F2235" s="388">
        <f>VLOOKUP(D2215,'Detail Balok'!$C$10:$AU$140,33,FALSE)</f>
        <v>8</v>
      </c>
      <c r="G2235" s="405" t="s">
        <v>157</v>
      </c>
      <c r="H2235" s="395">
        <f>VLOOKUP(D2215,'Detail Balok'!$C$10:$AU$140,35,FALSE)</f>
        <v>150</v>
      </c>
      <c r="I2235" s="388"/>
      <c r="J2235" s="400">
        <f t="shared" ref="J2235" si="7156">(IF(D2235=0,(2*(D2216+G2216))-(F$5*8),IF(D2235=3,(2*(D2216+G2216))-(F$5*8)+(G2216-2*F$5),IF(D2235=4,(2*(D2216+G2216))-(F$5*8)+2*(G2216-2*F$5)))))/1000</f>
        <v>0.88</v>
      </c>
      <c r="K2235" s="400" t="s">
        <v>204</v>
      </c>
      <c r="L2235" s="399">
        <f t="shared" ref="L2235:L2237" si="7157">IF(D2235=0,2*MAX(6*F2235,75),(D2235-1)*2*MAX(6*F2235,75))/1000</f>
        <v>0.15</v>
      </c>
      <c r="M2235" s="399" t="s">
        <v>176</v>
      </c>
      <c r="N2235" s="399">
        <f t="shared" ref="N2235:N2237" si="7158">J2235+L2235</f>
        <v>1.03</v>
      </c>
      <c r="O2235" s="399"/>
      <c r="P2235" s="389"/>
      <c r="Q2235" s="399"/>
      <c r="R2235" s="399"/>
      <c r="S2235" s="399"/>
      <c r="T2235" s="399" t="s">
        <v>125</v>
      </c>
      <c r="U2235" s="401">
        <f t="shared" ref="U2235:U2237" si="7159">0.006165*F2235^2</f>
        <v>0.39456000000000002</v>
      </c>
      <c r="V2235" s="399" t="s">
        <v>125</v>
      </c>
      <c r="W2235" s="399">
        <f t="shared" ref="W2235" si="7160">IF(D2218&gt;4*G2216,ROUND(MAX(D2218/4,2*G2216)/H2235,0)+1,ROUND(D2218/H2235,0)+1)</f>
        <v>12</v>
      </c>
      <c r="X2235" s="399" t="s">
        <v>125</v>
      </c>
      <c r="Y2235" s="389">
        <f t="shared" ref="Y2235" si="7161">D2221</f>
        <v>1</v>
      </c>
      <c r="Z2235" s="400" t="s">
        <v>176</v>
      </c>
      <c r="AA2235" s="402">
        <f t="shared" ref="AA2235:AA2237" si="7162">N2235*U2235*W2235*Y2235</f>
        <v>4.8767616000000009</v>
      </c>
      <c r="AB2235" s="403"/>
    </row>
    <row r="2236" spans="1:28">
      <c r="A2236" s="384" t="str">
        <f t="shared" ref="A2236:B2236" si="7163">A2215</f>
        <v>Lantai 1</v>
      </c>
      <c r="B2236" s="385">
        <f t="shared" si="7163"/>
        <v>72</v>
      </c>
      <c r="C2236" s="393" t="s">
        <v>212</v>
      </c>
      <c r="D2236" s="398">
        <f>VLOOKUP(D2215,'Detail Balok'!$C$10:$AU$140,36,FALSE)</f>
        <v>0</v>
      </c>
      <c r="E2236" s="388" t="s">
        <v>16</v>
      </c>
      <c r="F2236" s="388">
        <f>VLOOKUP(D2215,'Detail Balok'!$C$10:$AU$140,38,FALSE)</f>
        <v>8</v>
      </c>
      <c r="G2236" s="405" t="s">
        <v>157</v>
      </c>
      <c r="H2236" s="395">
        <f>VLOOKUP(D2215,'Detail Balok'!$C$10:$AU$140,40,FALSE)</f>
        <v>200</v>
      </c>
      <c r="I2236" s="388"/>
      <c r="J2236" s="400">
        <f t="shared" ref="J2236" si="7164">(IF(D2236=0,(2*(D2216+G2216))-(F$5*8),IF(D2236=3,(2*(D2216+G2216))-(F$5*8)+(G2216-2*F$5),IF(D2236=4,(2*(D2216+G2216))-(F$5*8)+2*(G2216-2*F$5)))))/1000</f>
        <v>0.88</v>
      </c>
      <c r="K2236" s="400" t="s">
        <v>204</v>
      </c>
      <c r="L2236" s="399">
        <f t="shared" si="7157"/>
        <v>0.15</v>
      </c>
      <c r="M2236" s="399" t="s">
        <v>176</v>
      </c>
      <c r="N2236" s="399">
        <f t="shared" si="7158"/>
        <v>1.03</v>
      </c>
      <c r="O2236" s="399"/>
      <c r="P2236" s="389"/>
      <c r="Q2236" s="399"/>
      <c r="R2236" s="399"/>
      <c r="S2236" s="399"/>
      <c r="T2236" s="399" t="s">
        <v>125</v>
      </c>
      <c r="U2236" s="401">
        <f t="shared" si="7159"/>
        <v>0.39456000000000002</v>
      </c>
      <c r="V2236" s="399" t="s">
        <v>125</v>
      </c>
      <c r="W2236" s="399">
        <f t="shared" ref="W2236" si="7165">IF(D2218-MAX(D2218/4,2*G2216)*2&gt;0,ROUND((D2218-MAX(D2218/4,2*G2216)*2)/H2236,0),0)</f>
        <v>16</v>
      </c>
      <c r="X2236" s="399" t="s">
        <v>125</v>
      </c>
      <c r="Y2236" s="389">
        <f t="shared" ref="Y2236" si="7166">D2221</f>
        <v>1</v>
      </c>
      <c r="Z2236" s="400" t="s">
        <v>176</v>
      </c>
      <c r="AA2236" s="402">
        <f t="shared" si="7162"/>
        <v>6.5023488000000009</v>
      </c>
      <c r="AB2236" s="403"/>
    </row>
    <row r="2237" spans="1:28">
      <c r="A2237" s="384" t="str">
        <f t="shared" ref="A2237:B2237" si="7167">A2215</f>
        <v>Lantai 1</v>
      </c>
      <c r="B2237" s="385">
        <f t="shared" si="7167"/>
        <v>72</v>
      </c>
      <c r="C2237" s="393" t="s">
        <v>211</v>
      </c>
      <c r="D2237" s="398">
        <f>VLOOKUP(D2215,'Detail Balok'!$C$10:$AU$140,41,FALSE)</f>
        <v>0</v>
      </c>
      <c r="E2237" s="388" t="s">
        <v>16</v>
      </c>
      <c r="F2237" s="388">
        <f>VLOOKUP(D2215,'Detail Balok'!$C$10:$AU$140,43,FALSE)</f>
        <v>8</v>
      </c>
      <c r="G2237" s="405" t="s">
        <v>157</v>
      </c>
      <c r="H2237" s="395">
        <f>VLOOKUP(D2215,'Detail Balok'!$C$10:$AU$140,45,FALSE)</f>
        <v>150</v>
      </c>
      <c r="I2237" s="388"/>
      <c r="J2237" s="400">
        <f t="shared" ref="J2237" si="7168">(IF(D2237=0,(2*(D2216+G2216))-(F$5*8),IF(D2237=3,(2*(D2216+G2216))-(F$5*8)+(G2216-2*F$5),IF(D2237=4,(2*(D2216+G2216))-(F$5*8)+2*(G2216-2*F$5)))))/1000</f>
        <v>0.88</v>
      </c>
      <c r="K2237" s="400" t="s">
        <v>204</v>
      </c>
      <c r="L2237" s="399">
        <f t="shared" si="7157"/>
        <v>0.15</v>
      </c>
      <c r="M2237" s="399" t="s">
        <v>176</v>
      </c>
      <c r="N2237" s="399">
        <f t="shared" si="7158"/>
        <v>1.03</v>
      </c>
      <c r="O2237" s="399"/>
      <c r="P2237" s="389"/>
      <c r="Q2237" s="399"/>
      <c r="R2237" s="399"/>
      <c r="S2237" s="399"/>
      <c r="T2237" s="399" t="s">
        <v>125</v>
      </c>
      <c r="U2237" s="401">
        <f t="shared" si="7159"/>
        <v>0.39456000000000002</v>
      </c>
      <c r="V2237" s="399" t="s">
        <v>125</v>
      </c>
      <c r="W2237" s="399">
        <f t="shared" ref="W2237" si="7169">IF(D2218&gt;4*G2216,ROUND(MAX(D2218/4,2*G2216)/H2237,0)+1,0)</f>
        <v>12</v>
      </c>
      <c r="X2237" s="399" t="s">
        <v>125</v>
      </c>
      <c r="Y2237" s="389">
        <f t="shared" ref="Y2237" si="7170">D2221</f>
        <v>1</v>
      </c>
      <c r="Z2237" s="400" t="s">
        <v>176</v>
      </c>
      <c r="AA2237" s="402">
        <f t="shared" si="7162"/>
        <v>4.8767616000000009</v>
      </c>
      <c r="AB2237" s="403"/>
    </row>
    <row r="2238" spans="1:28">
      <c r="A2238" s="384"/>
      <c r="B2238" s="385"/>
      <c r="C2238" s="393"/>
      <c r="D2238" s="394"/>
      <c r="E2238" s="388"/>
      <c r="F2238" s="388"/>
      <c r="G2238" s="388"/>
      <c r="H2238" s="395"/>
      <c r="I2238" s="388"/>
      <c r="J2238" s="399"/>
      <c r="K2238" s="396"/>
      <c r="L2238" s="396"/>
      <c r="M2238" s="396"/>
      <c r="N2238" s="396"/>
      <c r="O2238" s="396"/>
      <c r="P2238" s="389"/>
      <c r="Q2238" s="396"/>
      <c r="R2238" s="396"/>
      <c r="S2238" s="396"/>
      <c r="T2238" s="396"/>
      <c r="U2238" s="401"/>
      <c r="V2238" s="396"/>
      <c r="W2238" s="388"/>
      <c r="X2238" s="396"/>
      <c r="Y2238" s="389"/>
      <c r="Z2238" s="396"/>
      <c r="AA2238" s="388"/>
      <c r="AB2238" s="390"/>
    </row>
    <row r="2239" spans="1:28">
      <c r="A2239" s="384" t="str">
        <f t="shared" ref="A2239:B2239" si="7171">A2215</f>
        <v>Lantai 1</v>
      </c>
      <c r="B2239" s="385">
        <f t="shared" si="7171"/>
        <v>72</v>
      </c>
      <c r="C2239" s="393" t="s">
        <v>213</v>
      </c>
      <c r="D2239" s="398">
        <f>VLOOKUP(D2215,'Detail Balok'!$C$10:$BJ$140,46,FALSE)</f>
        <v>0</v>
      </c>
      <c r="E2239" s="388" t="s">
        <v>16</v>
      </c>
      <c r="F2239" s="388">
        <f>VLOOKUP(D2215,'Detail Balok'!$C$10:$BJ$140,48,FALSE)</f>
        <v>0</v>
      </c>
      <c r="G2239" s="405" t="s">
        <v>157</v>
      </c>
      <c r="H2239" s="395">
        <f>VLOOKUP(D2215,'Detail Balok'!$C$10:$BJ$140,50,FALSE)</f>
        <v>100</v>
      </c>
      <c r="I2239" s="388"/>
      <c r="J2239" s="399">
        <f t="shared" ref="J2239" si="7172">(D2216-2*F$5)/1000</f>
        <v>0.12</v>
      </c>
      <c r="K2239" s="400" t="s">
        <v>204</v>
      </c>
      <c r="L2239" s="399">
        <f t="shared" ref="L2239:L2241" si="7173">IF(D2239=0,2*MAX(6*F2239,75),(D2239-1)*2*MAX(6*F2239,75))/1000</f>
        <v>0.15</v>
      </c>
      <c r="M2239" s="399" t="s">
        <v>176</v>
      </c>
      <c r="N2239" s="399">
        <f t="shared" ref="N2239:N2241" si="7174">J2239+L2239</f>
        <v>0.27</v>
      </c>
      <c r="O2239" s="399"/>
      <c r="P2239" s="399"/>
      <c r="Q2239" s="399"/>
      <c r="R2239" s="399"/>
      <c r="S2239" s="399"/>
      <c r="T2239" s="399" t="s">
        <v>125</v>
      </c>
      <c r="U2239" s="401">
        <f t="shared" ref="U2239:U2241" si="7175">0.006165*F2239^2</f>
        <v>0</v>
      </c>
      <c r="V2239" s="399" t="s">
        <v>125</v>
      </c>
      <c r="W2239" s="399">
        <f t="shared" si="6987"/>
        <v>12</v>
      </c>
      <c r="X2239" s="399" t="s">
        <v>125</v>
      </c>
      <c r="Y2239" s="389">
        <f t="shared" ref="Y2239" si="7176">D2225</f>
        <v>3</v>
      </c>
      <c r="Z2239" s="400" t="s">
        <v>176</v>
      </c>
      <c r="AA2239" s="402">
        <f t="shared" ref="AA2239:AA2241" si="7177">N2239*U2239*W2239*Y2239</f>
        <v>0</v>
      </c>
      <c r="AB2239" s="403"/>
    </row>
    <row r="2240" spans="1:28">
      <c r="A2240" s="384" t="str">
        <f t="shared" ref="A2240:B2240" si="7178">A2215</f>
        <v>Lantai 1</v>
      </c>
      <c r="B2240" s="385">
        <f t="shared" si="7178"/>
        <v>72</v>
      </c>
      <c r="C2240" s="393" t="s">
        <v>214</v>
      </c>
      <c r="D2240" s="398">
        <f>VLOOKUP(D2215,'Detail Balok'!$C$10:$BJ$140,51,FALSE)</f>
        <v>0</v>
      </c>
      <c r="E2240" s="388" t="s">
        <v>16</v>
      </c>
      <c r="F2240" s="388">
        <f>VLOOKUP(D2215,'Detail Balok'!$C$10:$BJ$140,53,FALSE)</f>
        <v>0</v>
      </c>
      <c r="G2240" s="405" t="s">
        <v>157</v>
      </c>
      <c r="H2240" s="395">
        <f>VLOOKUP(D2215,'Detail Balok'!$C$10:$BJ$140,55,FALSE)</f>
        <v>100</v>
      </c>
      <c r="I2240" s="388"/>
      <c r="J2240" s="399">
        <f t="shared" ref="J2240" si="7179">(D2216-2*F$5)/1000</f>
        <v>0.12</v>
      </c>
      <c r="K2240" s="400" t="s">
        <v>204</v>
      </c>
      <c r="L2240" s="399">
        <f t="shared" si="7173"/>
        <v>0.15</v>
      </c>
      <c r="M2240" s="399" t="s">
        <v>176</v>
      </c>
      <c r="N2240" s="399">
        <f t="shared" si="7174"/>
        <v>0.27</v>
      </c>
      <c r="O2240" s="399"/>
      <c r="P2240" s="399"/>
      <c r="Q2240" s="399"/>
      <c r="R2240" s="399"/>
      <c r="S2240" s="399"/>
      <c r="T2240" s="399" t="s">
        <v>125</v>
      </c>
      <c r="U2240" s="401">
        <f t="shared" si="7175"/>
        <v>0</v>
      </c>
      <c r="V2240" s="399" t="s">
        <v>125</v>
      </c>
      <c r="W2240" s="399">
        <f t="shared" si="6987"/>
        <v>16</v>
      </c>
      <c r="X2240" s="399" t="s">
        <v>125</v>
      </c>
      <c r="Y2240" s="389">
        <f t="shared" ref="Y2240" si="7180">D2225</f>
        <v>3</v>
      </c>
      <c r="Z2240" s="400" t="s">
        <v>176</v>
      </c>
      <c r="AA2240" s="402">
        <f t="shared" si="7177"/>
        <v>0</v>
      </c>
      <c r="AB2240" s="403"/>
    </row>
    <row r="2241" spans="1:28">
      <c r="A2241" s="384" t="str">
        <f t="shared" ref="A2241:B2241" si="7181">A2215</f>
        <v>Lantai 1</v>
      </c>
      <c r="B2241" s="385">
        <f t="shared" si="7181"/>
        <v>72</v>
      </c>
      <c r="C2241" s="393" t="s">
        <v>213</v>
      </c>
      <c r="D2241" s="398">
        <f>VLOOKUP(D2215,'Detail Balok'!$C$10:$BJ$140,56,FALSE)</f>
        <v>0</v>
      </c>
      <c r="E2241" s="388" t="s">
        <v>16</v>
      </c>
      <c r="F2241" s="388">
        <f>VLOOKUP(D2215,'Detail Balok'!$C$10:$BJ$140,58,FALSE)</f>
        <v>0</v>
      </c>
      <c r="G2241" s="405" t="s">
        <v>157</v>
      </c>
      <c r="H2241" s="395">
        <f>VLOOKUP(D2215,'Detail Balok'!$C$10:$BJ$140,60,FALSE)</f>
        <v>100</v>
      </c>
      <c r="I2241" s="388"/>
      <c r="J2241" s="399">
        <f t="shared" ref="J2241" si="7182">(D2216-2*F$5)/1000</f>
        <v>0.12</v>
      </c>
      <c r="K2241" s="400" t="s">
        <v>204</v>
      </c>
      <c r="L2241" s="399">
        <f t="shared" si="7173"/>
        <v>0.15</v>
      </c>
      <c r="M2241" s="399" t="s">
        <v>176</v>
      </c>
      <c r="N2241" s="399">
        <f t="shared" si="7174"/>
        <v>0.27</v>
      </c>
      <c r="O2241" s="399"/>
      <c r="P2241" s="399"/>
      <c r="Q2241" s="399"/>
      <c r="R2241" s="399"/>
      <c r="S2241" s="399"/>
      <c r="T2241" s="399" t="s">
        <v>125</v>
      </c>
      <c r="U2241" s="401">
        <f t="shared" si="7175"/>
        <v>0</v>
      </c>
      <c r="V2241" s="399" t="s">
        <v>125</v>
      </c>
      <c r="W2241" s="399">
        <f t="shared" si="6987"/>
        <v>12</v>
      </c>
      <c r="X2241" s="399" t="s">
        <v>125</v>
      </c>
      <c r="Y2241" s="389">
        <f t="shared" ref="Y2241" si="7183">D2225</f>
        <v>3</v>
      </c>
      <c r="Z2241" s="400" t="s">
        <v>176</v>
      </c>
      <c r="AA2241" s="402">
        <f t="shared" si="7177"/>
        <v>0</v>
      </c>
      <c r="AB2241" s="403"/>
    </row>
    <row r="2242" spans="1:28">
      <c r="A2242" s="391"/>
      <c r="B2242" s="392"/>
      <c r="C2242" s="392"/>
      <c r="D2242" s="394"/>
      <c r="E2242" s="388"/>
      <c r="F2242" s="388"/>
      <c r="G2242" s="388"/>
      <c r="H2242" s="395"/>
      <c r="I2242" s="388"/>
      <c r="J2242" s="402"/>
      <c r="K2242" s="388"/>
      <c r="L2242" s="388"/>
      <c r="M2242" s="388"/>
      <c r="N2242" s="388"/>
      <c r="O2242" s="388"/>
      <c r="P2242" s="388"/>
      <c r="Q2242" s="388"/>
      <c r="R2242" s="388"/>
      <c r="S2242" s="388"/>
      <c r="T2242" s="388"/>
      <c r="U2242" s="388"/>
      <c r="V2242" s="388"/>
      <c r="W2242" s="388"/>
      <c r="X2242" s="388"/>
      <c r="Y2242" s="389"/>
      <c r="Z2242" s="388"/>
      <c r="AA2242" s="402"/>
      <c r="AB2242" s="403"/>
    </row>
    <row r="2243" spans="1:28" ht="15.75" thickBot="1">
      <c r="A2243" s="406"/>
      <c r="B2243" s="407"/>
      <c r="C2243" s="407"/>
      <c r="D2243" s="408"/>
      <c r="E2243" s="409"/>
      <c r="F2243" s="409"/>
      <c r="G2243" s="409"/>
      <c r="H2243" s="410"/>
      <c r="I2243" s="409"/>
      <c r="J2243" s="409"/>
      <c r="K2243" s="409"/>
      <c r="L2243" s="409"/>
      <c r="M2243" s="409"/>
      <c r="N2243" s="409"/>
      <c r="O2243" s="409"/>
      <c r="P2243" s="409"/>
      <c r="Q2243" s="409"/>
      <c r="R2243" s="409"/>
      <c r="S2243" s="409"/>
      <c r="T2243" s="409"/>
      <c r="U2243" s="409"/>
      <c r="V2243" s="409"/>
      <c r="W2243" s="409"/>
      <c r="X2243" s="409"/>
      <c r="Y2243" s="411"/>
      <c r="Z2243" s="409"/>
      <c r="AA2243" s="412"/>
      <c r="AB2243" s="413"/>
    </row>
    <row r="2244" spans="1:28">
      <c r="A2244" s="377"/>
      <c r="B2244" s="378"/>
      <c r="C2244" s="378"/>
      <c r="D2244" s="379"/>
      <c r="E2244" s="380"/>
      <c r="F2244" s="380"/>
      <c r="G2244" s="380"/>
      <c r="H2244" s="381"/>
      <c r="I2244" s="380"/>
      <c r="J2244" s="380"/>
      <c r="K2244" s="380"/>
      <c r="L2244" s="380"/>
      <c r="M2244" s="380"/>
      <c r="N2244" s="380"/>
      <c r="O2244" s="380"/>
      <c r="P2244" s="380"/>
      <c r="Q2244" s="380"/>
      <c r="R2244" s="380"/>
      <c r="S2244" s="380"/>
      <c r="T2244" s="380"/>
      <c r="U2244" s="380"/>
      <c r="V2244" s="380"/>
      <c r="W2244" s="380"/>
      <c r="X2244" s="380"/>
      <c r="Y2244" s="382"/>
      <c r="Z2244" s="380"/>
      <c r="AA2244" s="380"/>
      <c r="AB2244" s="383"/>
    </row>
    <row r="2245" spans="1:28">
      <c r="A2245" s="384" t="str">
        <f t="shared" si="6996"/>
        <v>Lantai 1</v>
      </c>
      <c r="B2245" s="385">
        <f t="shared" si="6997"/>
        <v>73</v>
      </c>
      <c r="C2245" s="386" t="str">
        <f t="shared" ref="C2245" si="7184">CONCATENATE(A2245," no. ",B2245)</f>
        <v>Lantai 1 no. 73</v>
      </c>
      <c r="D2245" s="2562" t="str">
        <f>VLOOKUP(C2245,'Data Panjang Balok'!$C$9:$N$254,2,FALSE)</f>
        <v>S24-2</v>
      </c>
      <c r="E2245" s="2576"/>
      <c r="F2245" s="2576"/>
      <c r="G2245" s="2576"/>
      <c r="H2245" s="2577"/>
      <c r="I2245" s="387"/>
      <c r="J2245" s="388"/>
      <c r="K2245" s="388"/>
      <c r="L2245" s="388"/>
      <c r="M2245" s="388"/>
      <c r="N2245" s="388"/>
      <c r="O2245" s="388"/>
      <c r="P2245" s="388"/>
      <c r="Q2245" s="388"/>
      <c r="R2245" s="388"/>
      <c r="S2245" s="388"/>
      <c r="T2245" s="388"/>
      <c r="U2245" s="388"/>
      <c r="V2245" s="388"/>
      <c r="W2245" s="388"/>
      <c r="X2245" s="388"/>
      <c r="Y2245" s="389"/>
      <c r="Z2245" s="388"/>
      <c r="AA2245" s="388"/>
      <c r="AB2245" s="390"/>
    </row>
    <row r="2246" spans="1:28">
      <c r="A2246" s="391"/>
      <c r="B2246" s="392"/>
      <c r="C2246" s="393" t="s">
        <v>118</v>
      </c>
      <c r="D2246" s="2578">
        <f>VLOOKUP(D2245,'Detail Balok'!$C$10:$AU$140,2,FALSE)</f>
        <v>200</v>
      </c>
      <c r="E2246" s="2579"/>
      <c r="F2246" s="388" t="s">
        <v>125</v>
      </c>
      <c r="G2246" s="2579">
        <f>VLOOKUP(D2245,'Detail Balok'!$C$10:$AU$140,3,FALSE)</f>
        <v>400</v>
      </c>
      <c r="H2246" s="2580"/>
      <c r="I2246" s="388"/>
      <c r="J2246" s="396"/>
      <c r="K2246" s="396"/>
      <c r="L2246" s="396"/>
      <c r="M2246" s="396"/>
      <c r="N2246" s="396"/>
      <c r="O2246" s="396"/>
      <c r="P2246" s="396"/>
      <c r="Q2246" s="396"/>
      <c r="R2246" s="396"/>
      <c r="S2246" s="396"/>
      <c r="T2246" s="396"/>
      <c r="U2246" s="388"/>
      <c r="V2246" s="396"/>
      <c r="W2246" s="388"/>
      <c r="X2246" s="396"/>
      <c r="Y2246" s="389"/>
      <c r="Z2246" s="396"/>
      <c r="AA2246" s="388"/>
      <c r="AB2246" s="390"/>
    </row>
    <row r="2247" spans="1:28">
      <c r="A2247" s="391"/>
      <c r="B2247" s="392"/>
      <c r="C2247" s="393" t="s">
        <v>198</v>
      </c>
      <c r="D2247" s="2562">
        <f>VLOOKUP(C2245,'Data Panjang Balok'!$C$9:$N$254,4,FALSE)</f>
        <v>6075</v>
      </c>
      <c r="E2247" s="2563"/>
      <c r="F2247" s="2563"/>
      <c r="G2247" s="2563"/>
      <c r="H2247" s="2564"/>
      <c r="I2247" s="397"/>
      <c r="J2247" s="396"/>
      <c r="K2247" s="396"/>
      <c r="L2247" s="396"/>
      <c r="M2247" s="396"/>
      <c r="N2247" s="396"/>
      <c r="O2247" s="396"/>
      <c r="P2247" s="396"/>
      <c r="Q2247" s="396"/>
      <c r="R2247" s="396"/>
      <c r="S2247" s="396"/>
      <c r="T2247" s="396"/>
      <c r="U2247" s="388"/>
      <c r="V2247" s="396"/>
      <c r="W2247" s="388"/>
      <c r="X2247" s="396"/>
      <c r="Y2247" s="389"/>
      <c r="Z2247" s="396"/>
      <c r="AA2247" s="388"/>
      <c r="AB2247" s="390"/>
    </row>
    <row r="2248" spans="1:28">
      <c r="A2248" s="391"/>
      <c r="B2248" s="392"/>
      <c r="C2248" s="393" t="s">
        <v>199</v>
      </c>
      <c r="D2248" s="2562">
        <f>VLOOKUP(C2245,'Data Panjang Balok'!$C$9:$N$254,7,FALSE)</f>
        <v>6075</v>
      </c>
      <c r="E2248" s="2563"/>
      <c r="F2248" s="2563"/>
      <c r="G2248" s="2563"/>
      <c r="H2248" s="2564"/>
      <c r="I2248" s="397"/>
      <c r="J2248" s="396"/>
      <c r="K2248" s="396"/>
      <c r="L2248" s="396"/>
      <c r="M2248" s="396"/>
      <c r="N2248" s="396"/>
      <c r="O2248" s="396"/>
      <c r="P2248" s="396"/>
      <c r="Q2248" s="396"/>
      <c r="R2248" s="396"/>
      <c r="S2248" s="396"/>
      <c r="T2248" s="396"/>
      <c r="U2248" s="388"/>
      <c r="V2248" s="396"/>
      <c r="W2248" s="388"/>
      <c r="X2248" s="396"/>
      <c r="Y2248" s="389"/>
      <c r="Z2248" s="396"/>
      <c r="AA2248" s="388"/>
      <c r="AB2248" s="390"/>
    </row>
    <row r="2249" spans="1:28">
      <c r="A2249" s="391"/>
      <c r="B2249" s="392"/>
      <c r="C2249" s="393" t="s">
        <v>200</v>
      </c>
      <c r="D2249" s="2562">
        <f>VLOOKUP(C2245,'Data Panjang Balok'!$C$9:$N$254,9,FALSE)</f>
        <v>0</v>
      </c>
      <c r="E2249" s="2563"/>
      <c r="F2249" s="2563"/>
      <c r="G2249" s="2563"/>
      <c r="H2249" s="2564"/>
      <c r="I2249" s="397"/>
      <c r="J2249" s="396"/>
      <c r="K2249" s="396"/>
      <c r="L2249" s="396"/>
      <c r="M2249" s="396"/>
      <c r="N2249" s="396"/>
      <c r="O2249" s="396"/>
      <c r="P2249" s="396"/>
      <c r="Q2249" s="396"/>
      <c r="R2249" s="396"/>
      <c r="S2249" s="396"/>
      <c r="T2249" s="396"/>
      <c r="U2249" s="388"/>
      <c r="V2249" s="396"/>
      <c r="W2249" s="388"/>
      <c r="X2249" s="396"/>
      <c r="Y2249" s="389"/>
      <c r="Z2249" s="396"/>
      <c r="AA2249" s="388"/>
      <c r="AB2249" s="390"/>
    </row>
    <row r="2250" spans="1:28">
      <c r="A2250" s="391"/>
      <c r="B2250" s="392"/>
      <c r="C2250" s="393" t="s">
        <v>201</v>
      </c>
      <c r="D2250" s="2562">
        <f>VLOOKUP(C2245,'Data Panjang Balok'!$C$9:$N$254,10,FALSE)</f>
        <v>0</v>
      </c>
      <c r="E2250" s="2563"/>
      <c r="F2250" s="2563"/>
      <c r="G2250" s="2563"/>
      <c r="H2250" s="2564"/>
      <c r="I2250" s="397"/>
      <c r="J2250" s="396"/>
      <c r="K2250" s="396"/>
      <c r="L2250" s="396"/>
      <c r="M2250" s="396"/>
      <c r="N2250" s="396"/>
      <c r="O2250" s="396"/>
      <c r="P2250" s="396"/>
      <c r="Q2250" s="396"/>
      <c r="R2250" s="396"/>
      <c r="S2250" s="396"/>
      <c r="T2250" s="396"/>
      <c r="U2250" s="388"/>
      <c r="V2250" s="396"/>
      <c r="W2250" s="388"/>
      <c r="X2250" s="396"/>
      <c r="Y2250" s="389"/>
      <c r="Z2250" s="396"/>
      <c r="AA2250" s="388"/>
      <c r="AB2250" s="390"/>
    </row>
    <row r="2251" spans="1:28">
      <c r="A2251" s="391"/>
      <c r="B2251" s="392"/>
      <c r="C2251" s="393" t="s">
        <v>48</v>
      </c>
      <c r="D2251" s="2562">
        <f>VLOOKUP(C2245,'Data Panjang Balok'!$C$9:$N$254,3,FALSE)</f>
        <v>1</v>
      </c>
      <c r="E2251" s="2563"/>
      <c r="F2251" s="2563"/>
      <c r="G2251" s="2563"/>
      <c r="H2251" s="2564"/>
      <c r="I2251" s="397"/>
      <c r="J2251" s="396"/>
      <c r="K2251" s="396"/>
      <c r="L2251" s="396"/>
      <c r="M2251" s="396"/>
      <c r="N2251" s="396"/>
      <c r="O2251" s="396"/>
      <c r="P2251" s="396"/>
      <c r="Q2251" s="396"/>
      <c r="R2251" s="396"/>
      <c r="S2251" s="396"/>
      <c r="T2251" s="396"/>
      <c r="U2251" s="388"/>
      <c r="V2251" s="396"/>
      <c r="W2251" s="388"/>
      <c r="X2251" s="396"/>
      <c r="Y2251" s="389"/>
      <c r="Z2251" s="396"/>
      <c r="AA2251" s="388"/>
      <c r="AB2251" s="390"/>
    </row>
    <row r="2252" spans="1:28">
      <c r="A2252" s="384" t="str">
        <f t="shared" ref="A2252:B2252" si="7185">A2245</f>
        <v>Lantai 1</v>
      </c>
      <c r="B2252" s="385">
        <f t="shared" si="7185"/>
        <v>73</v>
      </c>
      <c r="C2252" s="393" t="s">
        <v>202</v>
      </c>
      <c r="D2252" s="398">
        <f>VLOOKUP(D2245,'Detail Balok'!$C$10:$AU$140,4,FALSE)</f>
        <v>3</v>
      </c>
      <c r="E2252" s="388" t="s">
        <v>16</v>
      </c>
      <c r="F2252" s="388">
        <f>VLOOKUP(D2245,'Detail Balok'!$C$10:$AU$140,6,FALSE)</f>
        <v>16</v>
      </c>
      <c r="G2252" s="388"/>
      <c r="H2252" s="395"/>
      <c r="I2252" s="388" t="s">
        <v>203</v>
      </c>
      <c r="J2252" s="399">
        <f t="shared" ref="J2252" si="7186">+D2247/4/1000</f>
        <v>1.51875</v>
      </c>
      <c r="K2252" s="400" t="s">
        <v>204</v>
      </c>
      <c r="L2252" s="399">
        <f t="shared" ref="L2252" si="7187">MAX(VLOOKUP(F2252,N$6:P$15,3,FALSE)/1000,2/3*D2249/1000)+F$16*F2252/1000</f>
        <v>0.192</v>
      </c>
      <c r="M2252" s="399" t="s">
        <v>176</v>
      </c>
      <c r="N2252" s="399">
        <f t="shared" ref="N2252:N2254" si="7188">J2252+L2252</f>
        <v>1.71075</v>
      </c>
      <c r="O2252" s="399" t="s">
        <v>204</v>
      </c>
      <c r="P2252" s="389">
        <f t="shared" ref="P2252" si="7189">D2252-D2253</f>
        <v>0</v>
      </c>
      <c r="Q2252" s="399" t="s">
        <v>125</v>
      </c>
      <c r="R2252" s="399">
        <f t="shared" ref="R2252" si="7190">IF(P2252&gt;0,$F$18*F2252/1000,0)</f>
        <v>0</v>
      </c>
      <c r="S2252" s="399" t="s">
        <v>205</v>
      </c>
      <c r="T2252" s="399" t="s">
        <v>125</v>
      </c>
      <c r="U2252" s="401">
        <f t="shared" ref="U2252:U2254" si="7191">0.006165*F2252^2</f>
        <v>1.5782400000000001</v>
      </c>
      <c r="V2252" s="399"/>
      <c r="W2252" s="399"/>
      <c r="X2252" s="399" t="s">
        <v>125</v>
      </c>
      <c r="Y2252" s="389">
        <f t="shared" ref="Y2252" si="7192">D2251</f>
        <v>1</v>
      </c>
      <c r="Z2252" s="400" t="s">
        <v>176</v>
      </c>
      <c r="AA2252" s="402">
        <f t="shared" ref="AA2252" si="7193">IF(AA2255=0,(D2252*N2252+P2252*R2252)*U2252*Y2252,0)</f>
        <v>0</v>
      </c>
      <c r="AB2252" s="403"/>
    </row>
    <row r="2253" spans="1:28">
      <c r="A2253" s="384" t="str">
        <f t="shared" ref="A2253:B2253" si="7194">A2245</f>
        <v>Lantai 1</v>
      </c>
      <c r="B2253" s="385">
        <f t="shared" si="7194"/>
        <v>73</v>
      </c>
      <c r="C2253" s="393" t="s">
        <v>206</v>
      </c>
      <c r="D2253" s="398">
        <f>VLOOKUP(D2245,'Detail Balok'!$C$10:$AU$140,7,FALSE)</f>
        <v>3</v>
      </c>
      <c r="E2253" s="388" t="s">
        <v>16</v>
      </c>
      <c r="F2253" s="388">
        <f>VLOOKUP(D2245,'Detail Balok'!$C$10:$AU$140,9,FALSE)</f>
        <v>16</v>
      </c>
      <c r="G2253" s="388"/>
      <c r="H2253" s="395"/>
      <c r="I2253" s="388" t="s">
        <v>203</v>
      </c>
      <c r="J2253" s="399">
        <f t="shared" ref="J2253" si="7195">+D2247/2/1000</f>
        <v>3.0375000000000001</v>
      </c>
      <c r="K2253" s="400" t="s">
        <v>204</v>
      </c>
      <c r="L2253" s="399"/>
      <c r="M2253" s="399" t="s">
        <v>176</v>
      </c>
      <c r="N2253" s="399">
        <f t="shared" si="7188"/>
        <v>3.0375000000000001</v>
      </c>
      <c r="O2253" s="399" t="s">
        <v>204</v>
      </c>
      <c r="P2253" s="389">
        <f t="shared" ref="P2253" si="7196">MAX(D2253-D2252,D2253-D2254)</f>
        <v>0</v>
      </c>
      <c r="Q2253" s="399" t="s">
        <v>125</v>
      </c>
      <c r="R2253" s="399">
        <f t="shared" ref="R2253" si="7197">IF(P2253&gt;0,2*(1-2*$F$19-1/2)*D2248/1000,0)</f>
        <v>0</v>
      </c>
      <c r="S2253" s="399" t="s">
        <v>205</v>
      </c>
      <c r="T2253" s="399" t="s">
        <v>125</v>
      </c>
      <c r="U2253" s="401">
        <f t="shared" si="7191"/>
        <v>1.5782400000000001</v>
      </c>
      <c r="V2253" s="399"/>
      <c r="W2253" s="399"/>
      <c r="X2253" s="399" t="s">
        <v>125</v>
      </c>
      <c r="Y2253" s="389">
        <f t="shared" ref="Y2253" si="7198">D2251</f>
        <v>1</v>
      </c>
      <c r="Z2253" s="400" t="s">
        <v>176</v>
      </c>
      <c r="AA2253" s="402">
        <f t="shared" ref="AA2253" si="7199">IF(AA2255=0,(D2253*N2253+P2253*R2253)*U2253*Y2253,0)</f>
        <v>0</v>
      </c>
      <c r="AB2253" s="403"/>
    </row>
    <row r="2254" spans="1:28">
      <c r="A2254" s="384" t="str">
        <f t="shared" ref="A2254:B2254" si="7200">A2245</f>
        <v>Lantai 1</v>
      </c>
      <c r="B2254" s="385">
        <f t="shared" si="7200"/>
        <v>73</v>
      </c>
      <c r="C2254" s="393" t="s">
        <v>202</v>
      </c>
      <c r="D2254" s="398">
        <f>VLOOKUP(D2245,'Detail Balok'!$C$10:$AU$140,10,FALSE)</f>
        <v>3</v>
      </c>
      <c r="E2254" s="388" t="s">
        <v>16</v>
      </c>
      <c r="F2254" s="388">
        <f>VLOOKUP(D2245,'Detail Balok'!$C$10:$AU$140,12,FALSE)</f>
        <v>16</v>
      </c>
      <c r="G2254" s="388"/>
      <c r="H2254" s="395"/>
      <c r="I2254" s="388" t="s">
        <v>203</v>
      </c>
      <c r="J2254" s="399">
        <f t="shared" ref="J2254" si="7201">+D2247/4/1000</f>
        <v>1.51875</v>
      </c>
      <c r="K2254" s="400" t="s">
        <v>204</v>
      </c>
      <c r="L2254" s="399">
        <f t="shared" ref="L2254" si="7202">MAX(VLOOKUP(F2254,N$6:P$15,3,FALSE)/1000,2/3*D2249/1000)+F$16*F2254/1000</f>
        <v>0.192</v>
      </c>
      <c r="M2254" s="399" t="s">
        <v>176</v>
      </c>
      <c r="N2254" s="399">
        <f t="shared" si="7188"/>
        <v>1.71075</v>
      </c>
      <c r="O2254" s="399" t="s">
        <v>204</v>
      </c>
      <c r="P2254" s="389">
        <f t="shared" ref="P2254" si="7203">D2254-D2253</f>
        <v>0</v>
      </c>
      <c r="Q2254" s="399" t="s">
        <v>125</v>
      </c>
      <c r="R2254" s="399">
        <f t="shared" ref="R2254" si="7204">IF(P2254&gt;0,$F$18*F2254/1000,0)</f>
        <v>0</v>
      </c>
      <c r="S2254" s="399" t="s">
        <v>205</v>
      </c>
      <c r="T2254" s="399" t="s">
        <v>125</v>
      </c>
      <c r="U2254" s="401">
        <f t="shared" si="7191"/>
        <v>1.5782400000000001</v>
      </c>
      <c r="V2254" s="399"/>
      <c r="W2254" s="399"/>
      <c r="X2254" s="399" t="s">
        <v>125</v>
      </c>
      <c r="Y2254" s="389">
        <f t="shared" ref="Y2254" si="7205">D2251</f>
        <v>1</v>
      </c>
      <c r="Z2254" s="400" t="s">
        <v>176</v>
      </c>
      <c r="AA2254" s="402">
        <f t="shared" ref="AA2254" si="7206">IF(AA2255=0,(D2254*N2254+P2254*R2254)*U2254*Y2254,0)</f>
        <v>0</v>
      </c>
      <c r="AB2254" s="403"/>
    </row>
    <row r="2255" spans="1:28">
      <c r="A2255" s="384" t="str">
        <f t="shared" ref="A2255:B2255" si="7207">A2245</f>
        <v>Lantai 1</v>
      </c>
      <c r="B2255" s="385">
        <f t="shared" si="7207"/>
        <v>73</v>
      </c>
      <c r="C2255" s="393"/>
      <c r="D2255" s="398">
        <f t="shared" ref="D2255:D2315" si="7208">IF(AND(D2252=D2253,D2253=D2254,D2252=D2254),D2252,0)</f>
        <v>3</v>
      </c>
      <c r="E2255" s="388" t="s">
        <v>16</v>
      </c>
      <c r="F2255" s="388">
        <f t="shared" ref="F2255:F2315" si="7209">IF(AND(F2252=F2253,F2252=F2254,F2253=F2254),F2252,0)</f>
        <v>16</v>
      </c>
      <c r="G2255" s="388"/>
      <c r="H2255" s="395"/>
      <c r="I2255" s="388"/>
      <c r="J2255" s="396"/>
      <c r="K2255" s="396"/>
      <c r="L2255" s="404" t="s">
        <v>207</v>
      </c>
      <c r="M2255" s="399" t="s">
        <v>176</v>
      </c>
      <c r="N2255" s="399">
        <f t="shared" ref="N2255" si="7210">IF(AND(D2252=D2253,D2252=D2254,D2253=D2254,F2252=F2253,F2252=F2254,F2253=F2254),SUM(N2252:N2254),0)</f>
        <v>6.4590000000000005</v>
      </c>
      <c r="O2255" s="399" t="s">
        <v>204</v>
      </c>
      <c r="P2255" s="389">
        <f t="shared" ref="P2255" si="7211">IF(N2255&gt;12,ROUNDDOWN(N2255/12,0),0)</f>
        <v>0</v>
      </c>
      <c r="Q2255" s="399" t="s">
        <v>125</v>
      </c>
      <c r="R2255" s="399">
        <f t="shared" ref="R2255" si="7212">IF(P2255&gt;0,MAX(VLOOKUP(F2255,$D$6:$G$15,3,FALSE),600),0)/1000</f>
        <v>0</v>
      </c>
      <c r="S2255" s="396"/>
      <c r="T2255" s="396" t="s">
        <v>125</v>
      </c>
      <c r="U2255" s="401">
        <f t="shared" ref="U2255:U2315" si="7213">U2254</f>
        <v>1.5782400000000001</v>
      </c>
      <c r="V2255" s="396" t="s">
        <v>125</v>
      </c>
      <c r="W2255" s="399">
        <f t="shared" ref="W2255" si="7214">D2255</f>
        <v>3</v>
      </c>
      <c r="X2255" s="399" t="s">
        <v>125</v>
      </c>
      <c r="Y2255" s="389">
        <f t="shared" ref="Y2255:Y2315" si="7215">Y2254</f>
        <v>1</v>
      </c>
      <c r="Z2255" s="400" t="s">
        <v>176</v>
      </c>
      <c r="AA2255" s="402">
        <f t="shared" ref="AA2255" si="7216">(N2255+P2255*R2255/1000)*U2255*W2255*Y2255</f>
        <v>30.581556480000003</v>
      </c>
      <c r="AB2255" s="390"/>
    </row>
    <row r="2256" spans="1:28">
      <c r="A2256" s="384"/>
      <c r="B2256" s="385"/>
      <c r="C2256" s="393"/>
      <c r="D2256" s="398"/>
      <c r="E2256" s="388"/>
      <c r="F2256" s="388"/>
      <c r="G2256" s="388"/>
      <c r="H2256" s="395"/>
      <c r="I2256" s="388"/>
      <c r="J2256" s="396"/>
      <c r="K2256" s="396"/>
      <c r="L2256" s="404"/>
      <c r="M2256" s="399"/>
      <c r="N2256" s="399"/>
      <c r="O2256" s="396"/>
      <c r="P2256" s="389"/>
      <c r="Q2256" s="396"/>
      <c r="R2256" s="396"/>
      <c r="S2256" s="396"/>
      <c r="T2256" s="396"/>
      <c r="U2256" s="401"/>
      <c r="V2256" s="396"/>
      <c r="W2256" s="399"/>
      <c r="X2256" s="396"/>
      <c r="Y2256" s="389"/>
      <c r="Z2256" s="396"/>
      <c r="AA2256" s="388"/>
      <c r="AB2256" s="390"/>
    </row>
    <row r="2257" spans="1:28">
      <c r="A2257" s="384" t="str">
        <f t="shared" ref="A2257:B2257" si="7217">A2245</f>
        <v>Lantai 1</v>
      </c>
      <c r="B2257" s="385">
        <f t="shared" si="7217"/>
        <v>73</v>
      </c>
      <c r="C2257" s="393" t="s">
        <v>208</v>
      </c>
      <c r="D2257" s="398">
        <f>VLOOKUP(D2245,'Detail Balok'!$C$10:$AU$140,13,FALSE)</f>
        <v>0</v>
      </c>
      <c r="E2257" s="388" t="s">
        <v>16</v>
      </c>
      <c r="F2257" s="388">
        <f>VLOOKUP(D2245,'Detail Balok'!$C$10:$AU$140,15,FALSE)</f>
        <v>8</v>
      </c>
      <c r="G2257" s="388"/>
      <c r="H2257" s="395"/>
      <c r="I2257" s="388"/>
      <c r="J2257" s="399">
        <f t="shared" ref="J2257" si="7218">+D2247/1000</f>
        <v>6.0750000000000002</v>
      </c>
      <c r="K2257" s="400" t="s">
        <v>204</v>
      </c>
      <c r="L2257" s="399">
        <f t="shared" ref="L2257" si="7219">2*$F$16*F2257/1000</f>
        <v>0.192</v>
      </c>
      <c r="M2257" s="399" t="s">
        <v>176</v>
      </c>
      <c r="N2257" s="399">
        <f t="shared" ref="N2257" si="7220">J2257+L2257</f>
        <v>6.2670000000000003</v>
      </c>
      <c r="O2257" s="399" t="s">
        <v>204</v>
      </c>
      <c r="P2257" s="389">
        <f t="shared" ref="P2257" si="7221">IF(N2257&gt;12,ROUNDDOWN(N2257/12,0),0)</f>
        <v>0</v>
      </c>
      <c r="Q2257" s="399" t="s">
        <v>125</v>
      </c>
      <c r="R2257" s="399">
        <f t="shared" ref="R2257" si="7222">IF(P2257&gt;0,MAX(VLOOKUP(F2257,$D$6:$G$15,3,FALSE),600),0)/1000</f>
        <v>0</v>
      </c>
      <c r="S2257" s="399"/>
      <c r="T2257" s="399" t="s">
        <v>125</v>
      </c>
      <c r="U2257" s="401">
        <f t="shared" ref="U2257" si="7223">0.006165*F2257^2</f>
        <v>0.39456000000000002</v>
      </c>
      <c r="V2257" s="399" t="s">
        <v>125</v>
      </c>
      <c r="W2257" s="399">
        <f t="shared" ref="W2257" si="7224">+D2257</f>
        <v>0</v>
      </c>
      <c r="X2257" s="399" t="s">
        <v>125</v>
      </c>
      <c r="Y2257" s="389">
        <f t="shared" ref="Y2257" si="7225">D2251</f>
        <v>1</v>
      </c>
      <c r="Z2257" s="400" t="s">
        <v>176</v>
      </c>
      <c r="AA2257" s="402">
        <f t="shared" ref="AA2257" si="7226">(N2257+P2257*R2257/1000)*U2257*W2257*Y2257</f>
        <v>0</v>
      </c>
      <c r="AB2257" s="403"/>
    </row>
    <row r="2258" spans="1:28">
      <c r="A2258" s="384"/>
      <c r="B2258" s="385"/>
      <c r="C2258" s="393"/>
      <c r="D2258" s="398"/>
      <c r="E2258" s="388"/>
      <c r="F2258" s="388"/>
      <c r="G2258" s="388"/>
      <c r="H2258" s="395"/>
      <c r="I2258" s="388"/>
      <c r="J2258" s="399"/>
      <c r="K2258" s="400"/>
      <c r="L2258" s="399"/>
      <c r="M2258" s="399"/>
      <c r="N2258" s="399"/>
      <c r="O2258" s="399"/>
      <c r="P2258" s="389"/>
      <c r="Q2258" s="399"/>
      <c r="R2258" s="399"/>
      <c r="S2258" s="399"/>
      <c r="T2258" s="399"/>
      <c r="U2258" s="401"/>
      <c r="V2258" s="399"/>
      <c r="W2258" s="399"/>
      <c r="X2258" s="399"/>
      <c r="Y2258" s="389"/>
      <c r="Z2258" s="400"/>
      <c r="AA2258" s="402"/>
      <c r="AB2258" s="403"/>
    </row>
    <row r="2259" spans="1:28">
      <c r="A2259" s="384"/>
      <c r="B2259" s="385"/>
      <c r="C2259" s="393"/>
      <c r="D2259" s="398"/>
      <c r="E2259" s="388"/>
      <c r="F2259" s="388"/>
      <c r="G2259" s="388"/>
      <c r="H2259" s="395"/>
      <c r="I2259" s="388"/>
      <c r="J2259" s="396"/>
      <c r="K2259" s="396"/>
      <c r="L2259" s="396"/>
      <c r="M2259" s="396"/>
      <c r="N2259" s="396"/>
      <c r="O2259" s="396"/>
      <c r="P2259" s="389"/>
      <c r="Q2259" s="396"/>
      <c r="R2259" s="396"/>
      <c r="S2259" s="396"/>
      <c r="T2259" s="396"/>
      <c r="U2259" s="401"/>
      <c r="V2259" s="396"/>
      <c r="W2259" s="399"/>
      <c r="X2259" s="396"/>
      <c r="Y2259" s="389"/>
      <c r="Z2259" s="396"/>
      <c r="AA2259" s="388"/>
      <c r="AB2259" s="390"/>
    </row>
    <row r="2260" spans="1:28">
      <c r="A2260" s="384" t="str">
        <f t="shared" ref="A2260:B2260" si="7227">A2245</f>
        <v>Lantai 1</v>
      </c>
      <c r="B2260" s="385">
        <f t="shared" si="7227"/>
        <v>73</v>
      </c>
      <c r="C2260" s="393" t="s">
        <v>209</v>
      </c>
      <c r="D2260" s="398">
        <f>VLOOKUP(D2245,'Detail Balok'!$C$10:$AU$140,22,FALSE)</f>
        <v>3</v>
      </c>
      <c r="E2260" s="388" t="s">
        <v>16</v>
      </c>
      <c r="F2260" s="388">
        <f>VLOOKUP(D2245,'Detail Balok'!$C$10:$AU$140,24,FALSE)</f>
        <v>16</v>
      </c>
      <c r="G2260" s="388"/>
      <c r="H2260" s="395"/>
      <c r="I2260" s="388" t="s">
        <v>203</v>
      </c>
      <c r="J2260" s="399">
        <f t="shared" ref="J2260:J2322" si="7228">+J2252</f>
        <v>1.51875</v>
      </c>
      <c r="K2260" s="400" t="s">
        <v>204</v>
      </c>
      <c r="L2260" s="399">
        <f t="shared" ref="L2260" si="7229">MAX(VLOOKUP(F2260,N$6:P$15,3,FALSE)/1000,2/3*D2250/1000)+F$16*F2260/1000</f>
        <v>0.192</v>
      </c>
      <c r="M2260" s="399" t="s">
        <v>176</v>
      </c>
      <c r="N2260" s="399">
        <f t="shared" ref="N2260:N2262" si="7230">J2260+L2260</f>
        <v>1.71075</v>
      </c>
      <c r="O2260" s="399" t="s">
        <v>204</v>
      </c>
      <c r="P2260" s="389">
        <f t="shared" ref="P2260" si="7231">D2260-D2261</f>
        <v>0</v>
      </c>
      <c r="Q2260" s="399" t="s">
        <v>125</v>
      </c>
      <c r="R2260" s="399">
        <f t="shared" ref="R2260" si="7232">IF(P2260&gt;0,$F$18*F2260/1000,0)</f>
        <v>0</v>
      </c>
      <c r="S2260" s="399" t="s">
        <v>205</v>
      </c>
      <c r="T2260" s="399" t="s">
        <v>125</v>
      </c>
      <c r="U2260" s="401">
        <f t="shared" ref="U2260:U2262" si="7233">0.006165*F2260^2</f>
        <v>1.5782400000000001</v>
      </c>
      <c r="V2260" s="399"/>
      <c r="W2260" s="399"/>
      <c r="X2260" s="399" t="s">
        <v>125</v>
      </c>
      <c r="Y2260" s="389">
        <f t="shared" ref="Y2260" si="7234">D2251</f>
        <v>1</v>
      </c>
      <c r="Z2260" s="400" t="s">
        <v>176</v>
      </c>
      <c r="AA2260" s="402">
        <f t="shared" ref="AA2260" si="7235">IF(AA2263=0,(D2260*N2260+P2260*R2260)*U2260*Y2260,0)</f>
        <v>0</v>
      </c>
      <c r="AB2260" s="403"/>
    </row>
    <row r="2261" spans="1:28">
      <c r="A2261" s="384" t="str">
        <f t="shared" ref="A2261:B2261" si="7236">A2245</f>
        <v>Lantai 1</v>
      </c>
      <c r="B2261" s="385">
        <f t="shared" si="7236"/>
        <v>73</v>
      </c>
      <c r="C2261" s="393" t="s">
        <v>210</v>
      </c>
      <c r="D2261" s="398">
        <f>VLOOKUP(D2245,'Detail Balok'!$C$10:$AU$140,25,FALSE)</f>
        <v>3</v>
      </c>
      <c r="E2261" s="388" t="s">
        <v>16</v>
      </c>
      <c r="F2261" s="388">
        <f>VLOOKUP(D2245,'Detail Balok'!$C$10:$AU$140,27,FALSE)</f>
        <v>16</v>
      </c>
      <c r="G2261" s="388"/>
      <c r="H2261" s="395"/>
      <c r="I2261" s="388" t="s">
        <v>203</v>
      </c>
      <c r="J2261" s="399">
        <f t="shared" si="7228"/>
        <v>3.0375000000000001</v>
      </c>
      <c r="K2261" s="400" t="s">
        <v>204</v>
      </c>
      <c r="L2261" s="399"/>
      <c r="M2261" s="399" t="s">
        <v>176</v>
      </c>
      <c r="N2261" s="399">
        <f t="shared" si="7230"/>
        <v>3.0375000000000001</v>
      </c>
      <c r="O2261" s="399" t="s">
        <v>204</v>
      </c>
      <c r="P2261" s="389">
        <f t="shared" ref="P2261" si="7237">MAX(D2261-D2260,D2261-D2262)</f>
        <v>0</v>
      </c>
      <c r="Q2261" s="399" t="s">
        <v>125</v>
      </c>
      <c r="R2261" s="399">
        <f t="shared" ref="R2261" si="7238">IF(P2261&gt;0,2*(1-2*$F$19-1/2)*D2248/1000,0)</f>
        <v>0</v>
      </c>
      <c r="S2261" s="399" t="s">
        <v>205</v>
      </c>
      <c r="T2261" s="399" t="s">
        <v>125</v>
      </c>
      <c r="U2261" s="401">
        <f t="shared" si="7233"/>
        <v>1.5782400000000001</v>
      </c>
      <c r="V2261" s="399"/>
      <c r="W2261" s="399"/>
      <c r="X2261" s="399" t="s">
        <v>125</v>
      </c>
      <c r="Y2261" s="389">
        <f t="shared" ref="Y2261" si="7239">D2251</f>
        <v>1</v>
      </c>
      <c r="Z2261" s="400" t="s">
        <v>176</v>
      </c>
      <c r="AA2261" s="402">
        <f t="shared" ref="AA2261" si="7240">IF(AA2263=0,(D2261*N2261+P2261*R2261)*U2261*Y2261,0)</f>
        <v>0</v>
      </c>
      <c r="AB2261" s="403"/>
    </row>
    <row r="2262" spans="1:28">
      <c r="A2262" s="384" t="str">
        <f t="shared" ref="A2262:B2262" si="7241">A2245</f>
        <v>Lantai 1</v>
      </c>
      <c r="B2262" s="385">
        <f t="shared" si="7241"/>
        <v>73</v>
      </c>
      <c r="C2262" s="393" t="s">
        <v>209</v>
      </c>
      <c r="D2262" s="398">
        <f>VLOOKUP(D2245,'Detail Balok'!$C$10:$AU$140,28,FALSE)</f>
        <v>3</v>
      </c>
      <c r="E2262" s="388" t="s">
        <v>16</v>
      </c>
      <c r="F2262" s="388">
        <f>VLOOKUP(D2245,'Detail Balok'!$C$10:$AU$140,30,FALSE)</f>
        <v>16</v>
      </c>
      <c r="G2262" s="388"/>
      <c r="H2262" s="395"/>
      <c r="I2262" s="388" t="s">
        <v>203</v>
      </c>
      <c r="J2262" s="399">
        <f t="shared" si="7228"/>
        <v>1.51875</v>
      </c>
      <c r="K2262" s="400" t="s">
        <v>204</v>
      </c>
      <c r="L2262" s="399">
        <f t="shared" ref="L2262" si="7242">MAX(VLOOKUP(F2262,N$6:P$15,3,FALSE)/1000,2/3*D2250/1000)+F$16*F2262/1000</f>
        <v>0.192</v>
      </c>
      <c r="M2262" s="399" t="s">
        <v>176</v>
      </c>
      <c r="N2262" s="399">
        <f t="shared" si="7230"/>
        <v>1.71075</v>
      </c>
      <c r="O2262" s="399" t="s">
        <v>204</v>
      </c>
      <c r="P2262" s="389">
        <f t="shared" ref="P2262" si="7243">D2262-D2261</f>
        <v>0</v>
      </c>
      <c r="Q2262" s="399" t="s">
        <v>125</v>
      </c>
      <c r="R2262" s="399">
        <f t="shared" ref="R2262" si="7244">IF(P2262&gt;0,$F$18*F2262/1000,0)</f>
        <v>0</v>
      </c>
      <c r="S2262" s="399" t="s">
        <v>205</v>
      </c>
      <c r="T2262" s="399" t="s">
        <v>125</v>
      </c>
      <c r="U2262" s="401">
        <f t="shared" si="7233"/>
        <v>1.5782400000000001</v>
      </c>
      <c r="V2262" s="399"/>
      <c r="W2262" s="399"/>
      <c r="X2262" s="399" t="s">
        <v>125</v>
      </c>
      <c r="Y2262" s="389">
        <f t="shared" ref="Y2262" si="7245">D2251</f>
        <v>1</v>
      </c>
      <c r="Z2262" s="400" t="s">
        <v>176</v>
      </c>
      <c r="AA2262" s="402">
        <f t="shared" ref="AA2262" si="7246">IF(AA2263=0,(D2262*N2262+P2262*R2262)*U2262*Y2262,0)</f>
        <v>0</v>
      </c>
      <c r="AB2262" s="403"/>
    </row>
    <row r="2263" spans="1:28">
      <c r="A2263" s="384" t="str">
        <f t="shared" ref="A2263:B2263" si="7247">A2245</f>
        <v>Lantai 1</v>
      </c>
      <c r="B2263" s="385">
        <f t="shared" si="7247"/>
        <v>73</v>
      </c>
      <c r="C2263" s="393"/>
      <c r="D2263" s="398">
        <f t="shared" ref="D2263:D2323" si="7248">IF(AND(D2260=D2261,D2261=D2262,D2260=D2262),D2260,0)</f>
        <v>3</v>
      </c>
      <c r="E2263" s="388" t="s">
        <v>16</v>
      </c>
      <c r="F2263" s="388">
        <f t="shared" ref="F2263:F2323" si="7249">IF(AND(F2260=F2261,F2260=F2262,F2261=F2262),F2260,0)</f>
        <v>16</v>
      </c>
      <c r="G2263" s="388"/>
      <c r="H2263" s="395"/>
      <c r="I2263" s="388"/>
      <c r="J2263" s="396"/>
      <c r="K2263" s="396"/>
      <c r="L2263" s="404" t="s">
        <v>207</v>
      </c>
      <c r="M2263" s="399" t="s">
        <v>176</v>
      </c>
      <c r="N2263" s="399">
        <f t="shared" ref="N2263" si="7250">IF(AND(D2260=D2261,D2260=D2262,D2261=D2262,F2260=F2261,F2260=F2262,F2261=F2262),SUM(N2260:N2262),0)</f>
        <v>6.4590000000000005</v>
      </c>
      <c r="O2263" s="399" t="s">
        <v>204</v>
      </c>
      <c r="P2263" s="389">
        <f t="shared" ref="P2263" si="7251">IF(N2263&gt;12,ROUNDDOWN(N2263/12,0),0)</f>
        <v>0</v>
      </c>
      <c r="Q2263" s="399" t="s">
        <v>125</v>
      </c>
      <c r="R2263" s="399">
        <f t="shared" ref="R2263" si="7252">IF(P2263&gt;0,MAX(VLOOKUP(F2263,$D$6:$G$15,3,FALSE),600),0)/1000</f>
        <v>0</v>
      </c>
      <c r="S2263" s="396"/>
      <c r="T2263" s="396" t="s">
        <v>125</v>
      </c>
      <c r="U2263" s="401">
        <f t="shared" ref="U2263:U2323" si="7253">U2262</f>
        <v>1.5782400000000001</v>
      </c>
      <c r="V2263" s="396" t="s">
        <v>125</v>
      </c>
      <c r="W2263" s="399">
        <f t="shared" ref="W2263" si="7254">D2263</f>
        <v>3</v>
      </c>
      <c r="X2263" s="399" t="s">
        <v>125</v>
      </c>
      <c r="Y2263" s="389">
        <f t="shared" ref="Y2263:Y2323" si="7255">Y2262</f>
        <v>1</v>
      </c>
      <c r="Z2263" s="400" t="s">
        <v>176</v>
      </c>
      <c r="AA2263" s="402">
        <f t="shared" ref="AA2263" si="7256">(N2263+P2263*R2263/1000)*U2263*W2263*Y2263</f>
        <v>30.581556480000003</v>
      </c>
      <c r="AB2263" s="403"/>
    </row>
    <row r="2264" spans="1:28">
      <c r="A2264" s="384"/>
      <c r="B2264" s="385"/>
      <c r="C2264" s="393"/>
      <c r="D2264" s="394"/>
      <c r="E2264" s="388"/>
      <c r="F2264" s="388"/>
      <c r="G2264" s="388"/>
      <c r="H2264" s="395"/>
      <c r="I2264" s="388"/>
      <c r="J2264" s="399"/>
      <c r="K2264" s="396"/>
      <c r="L2264" s="396"/>
      <c r="M2264" s="396"/>
      <c r="N2264" s="396"/>
      <c r="O2264" s="396"/>
      <c r="P2264" s="389"/>
      <c r="Q2264" s="396"/>
      <c r="R2264" s="396"/>
      <c r="S2264" s="396"/>
      <c r="T2264" s="396"/>
      <c r="U2264" s="401"/>
      <c r="V2264" s="396"/>
      <c r="W2264" s="388"/>
      <c r="X2264" s="396"/>
      <c r="Y2264" s="389"/>
      <c r="Z2264" s="396"/>
      <c r="AA2264" s="388"/>
      <c r="AB2264" s="390"/>
    </row>
    <row r="2265" spans="1:28">
      <c r="A2265" s="384" t="str">
        <f t="shared" ref="A2265:B2265" si="7257">A2245</f>
        <v>Lantai 1</v>
      </c>
      <c r="B2265" s="385">
        <f t="shared" si="7257"/>
        <v>73</v>
      </c>
      <c r="C2265" s="393" t="s">
        <v>211</v>
      </c>
      <c r="D2265" s="398">
        <f>VLOOKUP(D2245,'Detail Balok'!$C$10:$AU$140,31,FALSE)</f>
        <v>0</v>
      </c>
      <c r="E2265" s="388" t="s">
        <v>16</v>
      </c>
      <c r="F2265" s="388">
        <f>VLOOKUP(D2245,'Detail Balok'!$C$10:$AU$140,33,FALSE)</f>
        <v>8</v>
      </c>
      <c r="G2265" s="405" t="s">
        <v>157</v>
      </c>
      <c r="H2265" s="395">
        <f>VLOOKUP(D2245,'Detail Balok'!$C$10:$AU$140,35,FALSE)</f>
        <v>150</v>
      </c>
      <c r="I2265" s="388"/>
      <c r="J2265" s="400">
        <f t="shared" ref="J2265" si="7258">(IF(D2265=0,(2*(D2246+G2246))-(F$5*8),IF(D2265=3,(2*(D2246+G2246))-(F$5*8)+(G2246-2*F$5),IF(D2265=4,(2*(D2246+G2246))-(F$5*8)+2*(G2246-2*F$5)))))/1000</f>
        <v>0.88</v>
      </c>
      <c r="K2265" s="400" t="s">
        <v>204</v>
      </c>
      <c r="L2265" s="399">
        <f t="shared" ref="L2265:L2267" si="7259">IF(D2265=0,2*MAX(6*F2265,75),(D2265-1)*2*MAX(6*F2265,75))/1000</f>
        <v>0.15</v>
      </c>
      <c r="M2265" s="399" t="s">
        <v>176</v>
      </c>
      <c r="N2265" s="399">
        <f t="shared" ref="N2265:N2267" si="7260">J2265+L2265</f>
        <v>1.03</v>
      </c>
      <c r="O2265" s="399"/>
      <c r="P2265" s="389"/>
      <c r="Q2265" s="399"/>
      <c r="R2265" s="399"/>
      <c r="S2265" s="399"/>
      <c r="T2265" s="399" t="s">
        <v>125</v>
      </c>
      <c r="U2265" s="401">
        <f t="shared" ref="U2265:U2267" si="7261">0.006165*F2265^2</f>
        <v>0.39456000000000002</v>
      </c>
      <c r="V2265" s="399" t="s">
        <v>125</v>
      </c>
      <c r="W2265" s="399">
        <f t="shared" ref="W2265" si="7262">IF(D2248&gt;4*G2246,ROUND(MAX(D2248/4,2*G2246)/H2265,0)+1,ROUND(D2248/H2265,0)+1)</f>
        <v>11</v>
      </c>
      <c r="X2265" s="399" t="s">
        <v>125</v>
      </c>
      <c r="Y2265" s="389">
        <f t="shared" ref="Y2265" si="7263">D2251</f>
        <v>1</v>
      </c>
      <c r="Z2265" s="400" t="s">
        <v>176</v>
      </c>
      <c r="AA2265" s="402">
        <f t="shared" ref="AA2265:AA2267" si="7264">N2265*U2265*W2265*Y2265</f>
        <v>4.4703648000000005</v>
      </c>
      <c r="AB2265" s="403"/>
    </row>
    <row r="2266" spans="1:28">
      <c r="A2266" s="384" t="str">
        <f t="shared" ref="A2266:B2266" si="7265">A2245</f>
        <v>Lantai 1</v>
      </c>
      <c r="B2266" s="385">
        <f t="shared" si="7265"/>
        <v>73</v>
      </c>
      <c r="C2266" s="393" t="s">
        <v>212</v>
      </c>
      <c r="D2266" s="398">
        <f>VLOOKUP(D2245,'Detail Balok'!$C$10:$AU$140,36,FALSE)</f>
        <v>0</v>
      </c>
      <c r="E2266" s="388" t="s">
        <v>16</v>
      </c>
      <c r="F2266" s="388">
        <f>VLOOKUP(D2245,'Detail Balok'!$C$10:$AU$140,38,FALSE)</f>
        <v>8</v>
      </c>
      <c r="G2266" s="405" t="s">
        <v>157</v>
      </c>
      <c r="H2266" s="395">
        <f>VLOOKUP(D2245,'Detail Balok'!$C$10:$AU$140,40,FALSE)</f>
        <v>200</v>
      </c>
      <c r="I2266" s="388"/>
      <c r="J2266" s="400">
        <f t="shared" ref="J2266" si="7266">(IF(D2266=0,(2*(D2246+G2246))-(F$5*8),IF(D2266=3,(2*(D2246+G2246))-(F$5*8)+(G2246-2*F$5),IF(D2266=4,(2*(D2246+G2246))-(F$5*8)+2*(G2246-2*F$5)))))/1000</f>
        <v>0.88</v>
      </c>
      <c r="K2266" s="400" t="s">
        <v>204</v>
      </c>
      <c r="L2266" s="399">
        <f t="shared" si="7259"/>
        <v>0.15</v>
      </c>
      <c r="M2266" s="399" t="s">
        <v>176</v>
      </c>
      <c r="N2266" s="399">
        <f t="shared" si="7260"/>
        <v>1.03</v>
      </c>
      <c r="O2266" s="399"/>
      <c r="P2266" s="389"/>
      <c r="Q2266" s="399"/>
      <c r="R2266" s="399"/>
      <c r="S2266" s="399"/>
      <c r="T2266" s="399" t="s">
        <v>125</v>
      </c>
      <c r="U2266" s="401">
        <f t="shared" si="7261"/>
        <v>0.39456000000000002</v>
      </c>
      <c r="V2266" s="399" t="s">
        <v>125</v>
      </c>
      <c r="W2266" s="399">
        <f t="shared" ref="W2266" si="7267">IF(D2248-MAX(D2248/4,2*G2246)*2&gt;0,ROUND((D2248-MAX(D2248/4,2*G2246)*2)/H2266,0),0)</f>
        <v>15</v>
      </c>
      <c r="X2266" s="399" t="s">
        <v>125</v>
      </c>
      <c r="Y2266" s="389">
        <f t="shared" ref="Y2266" si="7268">D2251</f>
        <v>1</v>
      </c>
      <c r="Z2266" s="400" t="s">
        <v>176</v>
      </c>
      <c r="AA2266" s="402">
        <f t="shared" si="7264"/>
        <v>6.0959520000000005</v>
      </c>
      <c r="AB2266" s="403"/>
    </row>
    <row r="2267" spans="1:28">
      <c r="A2267" s="384" t="str">
        <f t="shared" ref="A2267:B2267" si="7269">A2245</f>
        <v>Lantai 1</v>
      </c>
      <c r="B2267" s="385">
        <f t="shared" si="7269"/>
        <v>73</v>
      </c>
      <c r="C2267" s="393" t="s">
        <v>211</v>
      </c>
      <c r="D2267" s="398">
        <f>VLOOKUP(D2245,'Detail Balok'!$C$10:$AU$140,41,FALSE)</f>
        <v>0</v>
      </c>
      <c r="E2267" s="388" t="s">
        <v>16</v>
      </c>
      <c r="F2267" s="388">
        <f>VLOOKUP(D2245,'Detail Balok'!$C$10:$AU$140,43,FALSE)</f>
        <v>8</v>
      </c>
      <c r="G2267" s="405" t="s">
        <v>157</v>
      </c>
      <c r="H2267" s="395">
        <f>VLOOKUP(D2245,'Detail Balok'!$C$10:$AU$140,45,FALSE)</f>
        <v>150</v>
      </c>
      <c r="I2267" s="388"/>
      <c r="J2267" s="400">
        <f t="shared" ref="J2267" si="7270">(IF(D2267=0,(2*(D2246+G2246))-(F$5*8),IF(D2267=3,(2*(D2246+G2246))-(F$5*8)+(G2246-2*F$5),IF(D2267=4,(2*(D2246+G2246))-(F$5*8)+2*(G2246-2*F$5)))))/1000</f>
        <v>0.88</v>
      </c>
      <c r="K2267" s="400" t="s">
        <v>204</v>
      </c>
      <c r="L2267" s="399">
        <f t="shared" si="7259"/>
        <v>0.15</v>
      </c>
      <c r="M2267" s="399" t="s">
        <v>176</v>
      </c>
      <c r="N2267" s="399">
        <f t="shared" si="7260"/>
        <v>1.03</v>
      </c>
      <c r="O2267" s="399"/>
      <c r="P2267" s="389"/>
      <c r="Q2267" s="399"/>
      <c r="R2267" s="399"/>
      <c r="S2267" s="399"/>
      <c r="T2267" s="399" t="s">
        <v>125</v>
      </c>
      <c r="U2267" s="401">
        <f t="shared" si="7261"/>
        <v>0.39456000000000002</v>
      </c>
      <c r="V2267" s="399" t="s">
        <v>125</v>
      </c>
      <c r="W2267" s="399">
        <f t="shared" ref="W2267" si="7271">IF(D2248&gt;4*G2246,ROUND(MAX(D2248/4,2*G2246)/H2267,0)+1,0)</f>
        <v>11</v>
      </c>
      <c r="X2267" s="399" t="s">
        <v>125</v>
      </c>
      <c r="Y2267" s="389">
        <f t="shared" ref="Y2267" si="7272">D2251</f>
        <v>1</v>
      </c>
      <c r="Z2267" s="400" t="s">
        <v>176</v>
      </c>
      <c r="AA2267" s="402">
        <f t="shared" si="7264"/>
        <v>4.4703648000000005</v>
      </c>
      <c r="AB2267" s="403"/>
    </row>
    <row r="2268" spans="1:28">
      <c r="A2268" s="384"/>
      <c r="B2268" s="385"/>
      <c r="C2268" s="393"/>
      <c r="D2268" s="394"/>
      <c r="E2268" s="388"/>
      <c r="F2268" s="388"/>
      <c r="G2268" s="388"/>
      <c r="H2268" s="395"/>
      <c r="I2268" s="388"/>
      <c r="J2268" s="399"/>
      <c r="K2268" s="396"/>
      <c r="L2268" s="396"/>
      <c r="M2268" s="396"/>
      <c r="N2268" s="396"/>
      <c r="O2268" s="396"/>
      <c r="P2268" s="389"/>
      <c r="Q2268" s="396"/>
      <c r="R2268" s="396"/>
      <c r="S2268" s="396"/>
      <c r="T2268" s="396"/>
      <c r="U2268" s="401"/>
      <c r="V2268" s="396"/>
      <c r="W2268" s="388"/>
      <c r="X2268" s="396"/>
      <c r="Y2268" s="389"/>
      <c r="Z2268" s="396"/>
      <c r="AA2268" s="388"/>
      <c r="AB2268" s="390"/>
    </row>
    <row r="2269" spans="1:28">
      <c r="A2269" s="384" t="str">
        <f t="shared" ref="A2269:B2269" si="7273">A2245</f>
        <v>Lantai 1</v>
      </c>
      <c r="B2269" s="385">
        <f t="shared" si="7273"/>
        <v>73</v>
      </c>
      <c r="C2269" s="393" t="s">
        <v>213</v>
      </c>
      <c r="D2269" s="398">
        <f>VLOOKUP(D2245,'Detail Balok'!$C$10:$BJ$140,46,FALSE)</f>
        <v>0</v>
      </c>
      <c r="E2269" s="388" t="s">
        <v>16</v>
      </c>
      <c r="F2269" s="388">
        <f>VLOOKUP(D2245,'Detail Balok'!$C$10:$BJ$140,48,FALSE)</f>
        <v>0</v>
      </c>
      <c r="G2269" s="405" t="s">
        <v>157</v>
      </c>
      <c r="H2269" s="395">
        <f>VLOOKUP(D2245,'Detail Balok'!$C$10:$BJ$140,50,FALSE)</f>
        <v>100</v>
      </c>
      <c r="I2269" s="388"/>
      <c r="J2269" s="399">
        <f t="shared" ref="J2269" si="7274">(D2246-2*F$5)/1000</f>
        <v>0.12</v>
      </c>
      <c r="K2269" s="400" t="s">
        <v>204</v>
      </c>
      <c r="L2269" s="399">
        <f t="shared" ref="L2269:L2271" si="7275">IF(D2269=0,2*MAX(6*F2269,75),(D2269-1)*2*MAX(6*F2269,75))/1000</f>
        <v>0.15</v>
      </c>
      <c r="M2269" s="399" t="s">
        <v>176</v>
      </c>
      <c r="N2269" s="399">
        <f t="shared" ref="N2269:N2271" si="7276">J2269+L2269</f>
        <v>0.27</v>
      </c>
      <c r="O2269" s="399"/>
      <c r="P2269" s="399"/>
      <c r="Q2269" s="399"/>
      <c r="R2269" s="399"/>
      <c r="S2269" s="399"/>
      <c r="T2269" s="399" t="s">
        <v>125</v>
      </c>
      <c r="U2269" s="401">
        <f t="shared" ref="U2269:U2271" si="7277">0.006165*F2269^2</f>
        <v>0</v>
      </c>
      <c r="V2269" s="399" t="s">
        <v>125</v>
      </c>
      <c r="W2269" s="399">
        <f t="shared" ref="W2269:W2331" si="7278">W2265</f>
        <v>11</v>
      </c>
      <c r="X2269" s="399" t="s">
        <v>125</v>
      </c>
      <c r="Y2269" s="389">
        <f t="shared" ref="Y2269" si="7279">D2255</f>
        <v>3</v>
      </c>
      <c r="Z2269" s="400" t="s">
        <v>176</v>
      </c>
      <c r="AA2269" s="402">
        <f t="shared" ref="AA2269:AA2271" si="7280">N2269*U2269*W2269*Y2269</f>
        <v>0</v>
      </c>
      <c r="AB2269" s="403"/>
    </row>
    <row r="2270" spans="1:28">
      <c r="A2270" s="384" t="str">
        <f t="shared" ref="A2270:B2270" si="7281">A2245</f>
        <v>Lantai 1</v>
      </c>
      <c r="B2270" s="385">
        <f t="shared" si="7281"/>
        <v>73</v>
      </c>
      <c r="C2270" s="393" t="s">
        <v>214</v>
      </c>
      <c r="D2270" s="398">
        <f>VLOOKUP(D2245,'Detail Balok'!$C$10:$BJ$140,51,FALSE)</f>
        <v>0</v>
      </c>
      <c r="E2270" s="388" t="s">
        <v>16</v>
      </c>
      <c r="F2270" s="388">
        <f>VLOOKUP(D2245,'Detail Balok'!$C$10:$BJ$140,53,FALSE)</f>
        <v>0</v>
      </c>
      <c r="G2270" s="405" t="s">
        <v>157</v>
      </c>
      <c r="H2270" s="395">
        <f>VLOOKUP(D2245,'Detail Balok'!$C$10:$BJ$140,55,FALSE)</f>
        <v>100</v>
      </c>
      <c r="I2270" s="388"/>
      <c r="J2270" s="399">
        <f t="shared" ref="J2270" si="7282">(D2246-2*F$5)/1000</f>
        <v>0.12</v>
      </c>
      <c r="K2270" s="400" t="s">
        <v>204</v>
      </c>
      <c r="L2270" s="399">
        <f t="shared" si="7275"/>
        <v>0.15</v>
      </c>
      <c r="M2270" s="399" t="s">
        <v>176</v>
      </c>
      <c r="N2270" s="399">
        <f t="shared" si="7276"/>
        <v>0.27</v>
      </c>
      <c r="O2270" s="399"/>
      <c r="P2270" s="399"/>
      <c r="Q2270" s="399"/>
      <c r="R2270" s="399"/>
      <c r="S2270" s="399"/>
      <c r="T2270" s="399" t="s">
        <v>125</v>
      </c>
      <c r="U2270" s="401">
        <f t="shared" si="7277"/>
        <v>0</v>
      </c>
      <c r="V2270" s="399" t="s">
        <v>125</v>
      </c>
      <c r="W2270" s="399">
        <f t="shared" si="7278"/>
        <v>15</v>
      </c>
      <c r="X2270" s="399" t="s">
        <v>125</v>
      </c>
      <c r="Y2270" s="389">
        <f t="shared" ref="Y2270" si="7283">D2255</f>
        <v>3</v>
      </c>
      <c r="Z2270" s="400" t="s">
        <v>176</v>
      </c>
      <c r="AA2270" s="402">
        <f t="shared" si="7280"/>
        <v>0</v>
      </c>
      <c r="AB2270" s="403"/>
    </row>
    <row r="2271" spans="1:28">
      <c r="A2271" s="384" t="str">
        <f t="shared" ref="A2271:B2271" si="7284">A2245</f>
        <v>Lantai 1</v>
      </c>
      <c r="B2271" s="385">
        <f t="shared" si="7284"/>
        <v>73</v>
      </c>
      <c r="C2271" s="393" t="s">
        <v>213</v>
      </c>
      <c r="D2271" s="398">
        <f>VLOOKUP(D2245,'Detail Balok'!$C$10:$BJ$140,56,FALSE)</f>
        <v>0</v>
      </c>
      <c r="E2271" s="388" t="s">
        <v>16</v>
      </c>
      <c r="F2271" s="388">
        <f>VLOOKUP(D2245,'Detail Balok'!$C$10:$BJ$140,58,FALSE)</f>
        <v>0</v>
      </c>
      <c r="G2271" s="405" t="s">
        <v>157</v>
      </c>
      <c r="H2271" s="395">
        <f>VLOOKUP(D2245,'Detail Balok'!$C$10:$BJ$140,60,FALSE)</f>
        <v>100</v>
      </c>
      <c r="I2271" s="388"/>
      <c r="J2271" s="399">
        <f t="shared" ref="J2271" si="7285">(D2246-2*F$5)/1000</f>
        <v>0.12</v>
      </c>
      <c r="K2271" s="400" t="s">
        <v>204</v>
      </c>
      <c r="L2271" s="399">
        <f t="shared" si="7275"/>
        <v>0.15</v>
      </c>
      <c r="M2271" s="399" t="s">
        <v>176</v>
      </c>
      <c r="N2271" s="399">
        <f t="shared" si="7276"/>
        <v>0.27</v>
      </c>
      <c r="O2271" s="399"/>
      <c r="P2271" s="399"/>
      <c r="Q2271" s="399"/>
      <c r="R2271" s="399"/>
      <c r="S2271" s="399"/>
      <c r="T2271" s="399" t="s">
        <v>125</v>
      </c>
      <c r="U2271" s="401">
        <f t="shared" si="7277"/>
        <v>0</v>
      </c>
      <c r="V2271" s="399" t="s">
        <v>125</v>
      </c>
      <c r="W2271" s="399">
        <f t="shared" si="7278"/>
        <v>11</v>
      </c>
      <c r="X2271" s="399" t="s">
        <v>125</v>
      </c>
      <c r="Y2271" s="389">
        <f t="shared" ref="Y2271" si="7286">D2255</f>
        <v>3</v>
      </c>
      <c r="Z2271" s="400" t="s">
        <v>176</v>
      </c>
      <c r="AA2271" s="402">
        <f t="shared" si="7280"/>
        <v>0</v>
      </c>
      <c r="AB2271" s="403"/>
    </row>
    <row r="2272" spans="1:28">
      <c r="A2272" s="391"/>
      <c r="B2272" s="392"/>
      <c r="C2272" s="392"/>
      <c r="D2272" s="394"/>
      <c r="E2272" s="388"/>
      <c r="F2272" s="388"/>
      <c r="G2272" s="388"/>
      <c r="H2272" s="395"/>
      <c r="I2272" s="388"/>
      <c r="J2272" s="402"/>
      <c r="K2272" s="388"/>
      <c r="L2272" s="388"/>
      <c r="M2272" s="388"/>
      <c r="N2272" s="388"/>
      <c r="O2272" s="388"/>
      <c r="P2272" s="388"/>
      <c r="Q2272" s="388"/>
      <c r="R2272" s="388"/>
      <c r="S2272" s="388"/>
      <c r="T2272" s="388"/>
      <c r="U2272" s="388"/>
      <c r="V2272" s="388"/>
      <c r="W2272" s="388"/>
      <c r="X2272" s="388"/>
      <c r="Y2272" s="389"/>
      <c r="Z2272" s="388"/>
      <c r="AA2272" s="402"/>
      <c r="AB2272" s="403"/>
    </row>
    <row r="2273" spans="1:28" ht="15.75" thickBot="1">
      <c r="A2273" s="406"/>
      <c r="B2273" s="407"/>
      <c r="C2273" s="407"/>
      <c r="D2273" s="408"/>
      <c r="E2273" s="409"/>
      <c r="F2273" s="409"/>
      <c r="G2273" s="409"/>
      <c r="H2273" s="410"/>
      <c r="I2273" s="409"/>
      <c r="J2273" s="409"/>
      <c r="K2273" s="409"/>
      <c r="L2273" s="409"/>
      <c r="M2273" s="409"/>
      <c r="N2273" s="409"/>
      <c r="O2273" s="409"/>
      <c r="P2273" s="409"/>
      <c r="Q2273" s="409"/>
      <c r="R2273" s="409"/>
      <c r="S2273" s="409"/>
      <c r="T2273" s="409"/>
      <c r="U2273" s="409"/>
      <c r="V2273" s="409"/>
      <c r="W2273" s="409"/>
      <c r="X2273" s="409"/>
      <c r="Y2273" s="411"/>
      <c r="Z2273" s="409"/>
      <c r="AA2273" s="412"/>
      <c r="AB2273" s="413"/>
    </row>
    <row r="2274" spans="1:28">
      <c r="A2274" s="377"/>
      <c r="B2274" s="378"/>
      <c r="C2274" s="378"/>
      <c r="D2274" s="379"/>
      <c r="E2274" s="380"/>
      <c r="F2274" s="380"/>
      <c r="G2274" s="380"/>
      <c r="H2274" s="381"/>
      <c r="I2274" s="380"/>
      <c r="J2274" s="380"/>
      <c r="K2274" s="380"/>
      <c r="L2274" s="380"/>
      <c r="M2274" s="380"/>
      <c r="N2274" s="380"/>
      <c r="O2274" s="380"/>
      <c r="P2274" s="380"/>
      <c r="Q2274" s="380"/>
      <c r="R2274" s="380"/>
      <c r="S2274" s="380"/>
      <c r="T2274" s="380"/>
      <c r="U2274" s="380"/>
      <c r="V2274" s="380"/>
      <c r="W2274" s="380"/>
      <c r="X2274" s="380"/>
      <c r="Y2274" s="382"/>
      <c r="Z2274" s="380"/>
      <c r="AA2274" s="380"/>
      <c r="AB2274" s="383"/>
    </row>
    <row r="2275" spans="1:28">
      <c r="A2275" s="384" t="str">
        <f t="shared" ref="A2275:A2335" si="7287">A2245</f>
        <v>Lantai 1</v>
      </c>
      <c r="B2275" s="385">
        <f t="shared" ref="B2275:B2335" si="7288">B2245+1</f>
        <v>74</v>
      </c>
      <c r="C2275" s="386" t="str">
        <f t="shared" ref="C2275" si="7289">CONCATENATE(A2275," no. ",B2275)</f>
        <v>Lantai 1 no. 74</v>
      </c>
      <c r="D2275" s="2562" t="str">
        <f>VLOOKUP(C2275,'Data Panjang Balok'!$C$9:$N$254,2,FALSE)</f>
        <v>S24-2</v>
      </c>
      <c r="E2275" s="2576"/>
      <c r="F2275" s="2576"/>
      <c r="G2275" s="2576"/>
      <c r="H2275" s="2577"/>
      <c r="I2275" s="387"/>
      <c r="J2275" s="388"/>
      <c r="K2275" s="388"/>
      <c r="L2275" s="388"/>
      <c r="M2275" s="388"/>
      <c r="N2275" s="388"/>
      <c r="O2275" s="388"/>
      <c r="P2275" s="388"/>
      <c r="Q2275" s="388"/>
      <c r="R2275" s="388"/>
      <c r="S2275" s="388"/>
      <c r="T2275" s="388"/>
      <c r="U2275" s="388"/>
      <c r="V2275" s="388"/>
      <c r="W2275" s="388"/>
      <c r="X2275" s="388"/>
      <c r="Y2275" s="389"/>
      <c r="Z2275" s="388"/>
      <c r="AA2275" s="388"/>
      <c r="AB2275" s="390"/>
    </row>
    <row r="2276" spans="1:28">
      <c r="A2276" s="391"/>
      <c r="B2276" s="392"/>
      <c r="C2276" s="393" t="s">
        <v>118</v>
      </c>
      <c r="D2276" s="2578">
        <f>VLOOKUP(D2275,'Detail Balok'!$C$10:$AU$140,2,FALSE)</f>
        <v>200</v>
      </c>
      <c r="E2276" s="2579"/>
      <c r="F2276" s="388" t="s">
        <v>125</v>
      </c>
      <c r="G2276" s="2579">
        <f>VLOOKUP(D2275,'Detail Balok'!$C$10:$AU$140,3,FALSE)</f>
        <v>400</v>
      </c>
      <c r="H2276" s="2580"/>
      <c r="I2276" s="388"/>
      <c r="J2276" s="396"/>
      <c r="K2276" s="396"/>
      <c r="L2276" s="396"/>
      <c r="M2276" s="396"/>
      <c r="N2276" s="396"/>
      <c r="O2276" s="396"/>
      <c r="P2276" s="396"/>
      <c r="Q2276" s="396"/>
      <c r="R2276" s="396"/>
      <c r="S2276" s="396"/>
      <c r="T2276" s="396"/>
      <c r="U2276" s="388"/>
      <c r="V2276" s="396"/>
      <c r="W2276" s="388"/>
      <c r="X2276" s="396"/>
      <c r="Y2276" s="389"/>
      <c r="Z2276" s="396"/>
      <c r="AA2276" s="388"/>
      <c r="AB2276" s="390"/>
    </row>
    <row r="2277" spans="1:28">
      <c r="A2277" s="391"/>
      <c r="B2277" s="392"/>
      <c r="C2277" s="393" t="s">
        <v>198</v>
      </c>
      <c r="D2277" s="2562">
        <f>VLOOKUP(C2275,'Data Panjang Balok'!$C$9:$N$254,4,FALSE)</f>
        <v>5560</v>
      </c>
      <c r="E2277" s="2563"/>
      <c r="F2277" s="2563"/>
      <c r="G2277" s="2563"/>
      <c r="H2277" s="2564"/>
      <c r="I2277" s="397"/>
      <c r="J2277" s="396"/>
      <c r="K2277" s="396"/>
      <c r="L2277" s="396"/>
      <c r="M2277" s="396"/>
      <c r="N2277" s="396"/>
      <c r="O2277" s="396"/>
      <c r="P2277" s="396"/>
      <c r="Q2277" s="396"/>
      <c r="R2277" s="396"/>
      <c r="S2277" s="396"/>
      <c r="T2277" s="396"/>
      <c r="U2277" s="388"/>
      <c r="V2277" s="396"/>
      <c r="W2277" s="388"/>
      <c r="X2277" s="396"/>
      <c r="Y2277" s="389"/>
      <c r="Z2277" s="396"/>
      <c r="AA2277" s="388"/>
      <c r="AB2277" s="390"/>
    </row>
    <row r="2278" spans="1:28">
      <c r="A2278" s="391"/>
      <c r="B2278" s="392"/>
      <c r="C2278" s="393" t="s">
        <v>199</v>
      </c>
      <c r="D2278" s="2562">
        <f>VLOOKUP(C2275,'Data Panjang Balok'!$C$9:$N$254,7,FALSE)</f>
        <v>5560</v>
      </c>
      <c r="E2278" s="2563"/>
      <c r="F2278" s="2563"/>
      <c r="G2278" s="2563"/>
      <c r="H2278" s="2564"/>
      <c r="I2278" s="397"/>
      <c r="J2278" s="396"/>
      <c r="K2278" s="396"/>
      <c r="L2278" s="396"/>
      <c r="M2278" s="396"/>
      <c r="N2278" s="396"/>
      <c r="O2278" s="396"/>
      <c r="P2278" s="396"/>
      <c r="Q2278" s="396"/>
      <c r="R2278" s="396"/>
      <c r="S2278" s="396"/>
      <c r="T2278" s="396"/>
      <c r="U2278" s="388"/>
      <c r="V2278" s="396"/>
      <c r="W2278" s="388"/>
      <c r="X2278" s="396"/>
      <c r="Y2278" s="389"/>
      <c r="Z2278" s="396"/>
      <c r="AA2278" s="388"/>
      <c r="AB2278" s="390"/>
    </row>
    <row r="2279" spans="1:28">
      <c r="A2279" s="391"/>
      <c r="B2279" s="392"/>
      <c r="C2279" s="393" t="s">
        <v>200</v>
      </c>
      <c r="D2279" s="2562">
        <f>VLOOKUP(C2275,'Data Panjang Balok'!$C$9:$N$254,9,FALSE)</f>
        <v>0</v>
      </c>
      <c r="E2279" s="2563"/>
      <c r="F2279" s="2563"/>
      <c r="G2279" s="2563"/>
      <c r="H2279" s="2564"/>
      <c r="I2279" s="397"/>
      <c r="J2279" s="396"/>
      <c r="K2279" s="396"/>
      <c r="L2279" s="396"/>
      <c r="M2279" s="396"/>
      <c r="N2279" s="396"/>
      <c r="O2279" s="396"/>
      <c r="P2279" s="396"/>
      <c r="Q2279" s="396"/>
      <c r="R2279" s="396"/>
      <c r="S2279" s="396"/>
      <c r="T2279" s="396"/>
      <c r="U2279" s="388"/>
      <c r="V2279" s="396"/>
      <c r="W2279" s="388"/>
      <c r="X2279" s="396"/>
      <c r="Y2279" s="389"/>
      <c r="Z2279" s="396"/>
      <c r="AA2279" s="388"/>
      <c r="AB2279" s="390"/>
    </row>
    <row r="2280" spans="1:28">
      <c r="A2280" s="391"/>
      <c r="B2280" s="392"/>
      <c r="C2280" s="393" t="s">
        <v>201</v>
      </c>
      <c r="D2280" s="2562">
        <f>VLOOKUP(C2275,'Data Panjang Balok'!$C$9:$N$254,10,FALSE)</f>
        <v>0</v>
      </c>
      <c r="E2280" s="2563"/>
      <c r="F2280" s="2563"/>
      <c r="G2280" s="2563"/>
      <c r="H2280" s="2564"/>
      <c r="I2280" s="397"/>
      <c r="J2280" s="396"/>
      <c r="K2280" s="396"/>
      <c r="L2280" s="396"/>
      <c r="M2280" s="396"/>
      <c r="N2280" s="396"/>
      <c r="O2280" s="396"/>
      <c r="P2280" s="396"/>
      <c r="Q2280" s="396"/>
      <c r="R2280" s="396"/>
      <c r="S2280" s="396"/>
      <c r="T2280" s="396"/>
      <c r="U2280" s="388"/>
      <c r="V2280" s="396"/>
      <c r="W2280" s="388"/>
      <c r="X2280" s="396"/>
      <c r="Y2280" s="389"/>
      <c r="Z2280" s="396"/>
      <c r="AA2280" s="388"/>
      <c r="AB2280" s="390"/>
    </row>
    <row r="2281" spans="1:28">
      <c r="A2281" s="391"/>
      <c r="B2281" s="392"/>
      <c r="C2281" s="393" t="s">
        <v>48</v>
      </c>
      <c r="D2281" s="2562">
        <f>VLOOKUP(C2275,'Data Panjang Balok'!$C$9:$N$254,3,FALSE)</f>
        <v>1</v>
      </c>
      <c r="E2281" s="2563"/>
      <c r="F2281" s="2563"/>
      <c r="G2281" s="2563"/>
      <c r="H2281" s="2564"/>
      <c r="I2281" s="397"/>
      <c r="J2281" s="396"/>
      <c r="K2281" s="396"/>
      <c r="L2281" s="396"/>
      <c r="M2281" s="396"/>
      <c r="N2281" s="396"/>
      <c r="O2281" s="396"/>
      <c r="P2281" s="396"/>
      <c r="Q2281" s="396"/>
      <c r="R2281" s="396"/>
      <c r="S2281" s="396"/>
      <c r="T2281" s="396"/>
      <c r="U2281" s="388"/>
      <c r="V2281" s="396"/>
      <c r="W2281" s="388"/>
      <c r="X2281" s="396"/>
      <c r="Y2281" s="389"/>
      <c r="Z2281" s="396"/>
      <c r="AA2281" s="388"/>
      <c r="AB2281" s="390"/>
    </row>
    <row r="2282" spans="1:28">
      <c r="A2282" s="384" t="str">
        <f t="shared" ref="A2282:B2282" si="7290">A2275</f>
        <v>Lantai 1</v>
      </c>
      <c r="B2282" s="385">
        <f t="shared" si="7290"/>
        <v>74</v>
      </c>
      <c r="C2282" s="393" t="s">
        <v>202</v>
      </c>
      <c r="D2282" s="398">
        <f>VLOOKUP(D2275,'Detail Balok'!$C$10:$AU$140,4,FALSE)</f>
        <v>3</v>
      </c>
      <c r="E2282" s="388" t="s">
        <v>16</v>
      </c>
      <c r="F2282" s="388">
        <f>VLOOKUP(D2275,'Detail Balok'!$C$10:$AU$140,6,FALSE)</f>
        <v>16</v>
      </c>
      <c r="G2282" s="388"/>
      <c r="H2282" s="395"/>
      <c r="I2282" s="388" t="s">
        <v>203</v>
      </c>
      <c r="J2282" s="399">
        <f t="shared" ref="J2282" si="7291">+D2277/4/1000</f>
        <v>1.39</v>
      </c>
      <c r="K2282" s="400" t="s">
        <v>204</v>
      </c>
      <c r="L2282" s="399">
        <f t="shared" ref="L2282" si="7292">MAX(VLOOKUP(F2282,N$6:P$15,3,FALSE)/1000,2/3*D2279/1000)+F$16*F2282/1000</f>
        <v>0.192</v>
      </c>
      <c r="M2282" s="399" t="s">
        <v>176</v>
      </c>
      <c r="N2282" s="399">
        <f t="shared" ref="N2282:N2284" si="7293">J2282+L2282</f>
        <v>1.5819999999999999</v>
      </c>
      <c r="O2282" s="399" t="s">
        <v>204</v>
      </c>
      <c r="P2282" s="389">
        <f t="shared" ref="P2282" si="7294">D2282-D2283</f>
        <v>0</v>
      </c>
      <c r="Q2282" s="399" t="s">
        <v>125</v>
      </c>
      <c r="R2282" s="399">
        <f t="shared" ref="R2282" si="7295">IF(P2282&gt;0,$F$18*F2282/1000,0)</f>
        <v>0</v>
      </c>
      <c r="S2282" s="399" t="s">
        <v>205</v>
      </c>
      <c r="T2282" s="399" t="s">
        <v>125</v>
      </c>
      <c r="U2282" s="401">
        <f t="shared" ref="U2282:U2284" si="7296">0.006165*F2282^2</f>
        <v>1.5782400000000001</v>
      </c>
      <c r="V2282" s="399"/>
      <c r="W2282" s="399"/>
      <c r="X2282" s="399" t="s">
        <v>125</v>
      </c>
      <c r="Y2282" s="389">
        <f t="shared" ref="Y2282" si="7297">D2281</f>
        <v>1</v>
      </c>
      <c r="Z2282" s="400" t="s">
        <v>176</v>
      </c>
      <c r="AA2282" s="402">
        <f t="shared" ref="AA2282" si="7298">IF(AA2285=0,(D2282*N2282+P2282*R2282)*U2282*Y2282,0)</f>
        <v>0</v>
      </c>
      <c r="AB2282" s="403"/>
    </row>
    <row r="2283" spans="1:28">
      <c r="A2283" s="384" t="str">
        <f t="shared" ref="A2283:B2283" si="7299">A2275</f>
        <v>Lantai 1</v>
      </c>
      <c r="B2283" s="385">
        <f t="shared" si="7299"/>
        <v>74</v>
      </c>
      <c r="C2283" s="393" t="s">
        <v>206</v>
      </c>
      <c r="D2283" s="398">
        <f>VLOOKUP(D2275,'Detail Balok'!$C$10:$AU$140,7,FALSE)</f>
        <v>3</v>
      </c>
      <c r="E2283" s="388" t="s">
        <v>16</v>
      </c>
      <c r="F2283" s="388">
        <f>VLOOKUP(D2275,'Detail Balok'!$C$10:$AU$140,9,FALSE)</f>
        <v>16</v>
      </c>
      <c r="G2283" s="388"/>
      <c r="H2283" s="395"/>
      <c r="I2283" s="388" t="s">
        <v>203</v>
      </c>
      <c r="J2283" s="399">
        <f t="shared" ref="J2283" si="7300">+D2277/2/1000</f>
        <v>2.78</v>
      </c>
      <c r="K2283" s="400" t="s">
        <v>204</v>
      </c>
      <c r="L2283" s="399"/>
      <c r="M2283" s="399" t="s">
        <v>176</v>
      </c>
      <c r="N2283" s="399">
        <f t="shared" si="7293"/>
        <v>2.78</v>
      </c>
      <c r="O2283" s="399" t="s">
        <v>204</v>
      </c>
      <c r="P2283" s="389">
        <f t="shared" ref="P2283" si="7301">MAX(D2283-D2282,D2283-D2284)</f>
        <v>0</v>
      </c>
      <c r="Q2283" s="399" t="s">
        <v>125</v>
      </c>
      <c r="R2283" s="399">
        <f t="shared" ref="R2283" si="7302">IF(P2283&gt;0,2*(1-2*$F$19-1/2)*D2278/1000,0)</f>
        <v>0</v>
      </c>
      <c r="S2283" s="399" t="s">
        <v>205</v>
      </c>
      <c r="T2283" s="399" t="s">
        <v>125</v>
      </c>
      <c r="U2283" s="401">
        <f t="shared" si="7296"/>
        <v>1.5782400000000001</v>
      </c>
      <c r="V2283" s="399"/>
      <c r="W2283" s="399"/>
      <c r="X2283" s="399" t="s">
        <v>125</v>
      </c>
      <c r="Y2283" s="389">
        <f t="shared" ref="Y2283" si="7303">D2281</f>
        <v>1</v>
      </c>
      <c r="Z2283" s="400" t="s">
        <v>176</v>
      </c>
      <c r="AA2283" s="402">
        <f t="shared" ref="AA2283" si="7304">IF(AA2285=0,(D2283*N2283+P2283*R2283)*U2283*Y2283,0)</f>
        <v>0</v>
      </c>
      <c r="AB2283" s="403"/>
    </row>
    <row r="2284" spans="1:28">
      <c r="A2284" s="384" t="str">
        <f t="shared" ref="A2284:B2284" si="7305">A2275</f>
        <v>Lantai 1</v>
      </c>
      <c r="B2284" s="385">
        <f t="shared" si="7305"/>
        <v>74</v>
      </c>
      <c r="C2284" s="393" t="s">
        <v>202</v>
      </c>
      <c r="D2284" s="398">
        <f>VLOOKUP(D2275,'Detail Balok'!$C$10:$AU$140,10,FALSE)</f>
        <v>3</v>
      </c>
      <c r="E2284" s="388" t="s">
        <v>16</v>
      </c>
      <c r="F2284" s="388">
        <f>VLOOKUP(D2275,'Detail Balok'!$C$10:$AU$140,12,FALSE)</f>
        <v>16</v>
      </c>
      <c r="G2284" s="388"/>
      <c r="H2284" s="395"/>
      <c r="I2284" s="388" t="s">
        <v>203</v>
      </c>
      <c r="J2284" s="399">
        <f t="shared" ref="J2284" si="7306">+D2277/4/1000</f>
        <v>1.39</v>
      </c>
      <c r="K2284" s="400" t="s">
        <v>204</v>
      </c>
      <c r="L2284" s="399">
        <f t="shared" ref="L2284" si="7307">MAX(VLOOKUP(F2284,N$6:P$15,3,FALSE)/1000,2/3*D2279/1000)+F$16*F2284/1000</f>
        <v>0.192</v>
      </c>
      <c r="M2284" s="399" t="s">
        <v>176</v>
      </c>
      <c r="N2284" s="399">
        <f t="shared" si="7293"/>
        <v>1.5819999999999999</v>
      </c>
      <c r="O2284" s="399" t="s">
        <v>204</v>
      </c>
      <c r="P2284" s="389">
        <f t="shared" ref="P2284" si="7308">D2284-D2283</f>
        <v>0</v>
      </c>
      <c r="Q2284" s="399" t="s">
        <v>125</v>
      </c>
      <c r="R2284" s="399">
        <f t="shared" ref="R2284" si="7309">IF(P2284&gt;0,$F$18*F2284/1000,0)</f>
        <v>0</v>
      </c>
      <c r="S2284" s="399" t="s">
        <v>205</v>
      </c>
      <c r="T2284" s="399" t="s">
        <v>125</v>
      </c>
      <c r="U2284" s="401">
        <f t="shared" si="7296"/>
        <v>1.5782400000000001</v>
      </c>
      <c r="V2284" s="399"/>
      <c r="W2284" s="399"/>
      <c r="X2284" s="399" t="s">
        <v>125</v>
      </c>
      <c r="Y2284" s="389">
        <f t="shared" ref="Y2284" si="7310">D2281</f>
        <v>1</v>
      </c>
      <c r="Z2284" s="400" t="s">
        <v>176</v>
      </c>
      <c r="AA2284" s="402">
        <f t="shared" ref="AA2284" si="7311">IF(AA2285=0,(D2284*N2284+P2284*R2284)*U2284*Y2284,0)</f>
        <v>0</v>
      </c>
      <c r="AB2284" s="403"/>
    </row>
    <row r="2285" spans="1:28">
      <c r="A2285" s="384" t="str">
        <f t="shared" ref="A2285:B2285" si="7312">A2275</f>
        <v>Lantai 1</v>
      </c>
      <c r="B2285" s="385">
        <f t="shared" si="7312"/>
        <v>74</v>
      </c>
      <c r="C2285" s="393"/>
      <c r="D2285" s="398">
        <f t="shared" si="7208"/>
        <v>3</v>
      </c>
      <c r="E2285" s="388" t="s">
        <v>16</v>
      </c>
      <c r="F2285" s="388">
        <f t="shared" si="7209"/>
        <v>16</v>
      </c>
      <c r="G2285" s="388"/>
      <c r="H2285" s="395"/>
      <c r="I2285" s="388"/>
      <c r="J2285" s="396"/>
      <c r="K2285" s="396"/>
      <c r="L2285" s="404" t="s">
        <v>207</v>
      </c>
      <c r="M2285" s="399" t="s">
        <v>176</v>
      </c>
      <c r="N2285" s="399">
        <f t="shared" ref="N2285" si="7313">IF(AND(D2282=D2283,D2282=D2284,D2283=D2284,F2282=F2283,F2282=F2284,F2283=F2284),SUM(N2282:N2284),0)</f>
        <v>5.944</v>
      </c>
      <c r="O2285" s="399" t="s">
        <v>204</v>
      </c>
      <c r="P2285" s="389">
        <f t="shared" ref="P2285" si="7314">IF(N2285&gt;12,ROUNDDOWN(N2285/12,0),0)</f>
        <v>0</v>
      </c>
      <c r="Q2285" s="399" t="s">
        <v>125</v>
      </c>
      <c r="R2285" s="399">
        <f t="shared" ref="R2285" si="7315">IF(P2285&gt;0,MAX(VLOOKUP(F2285,$D$6:$G$15,3,FALSE),600),0)/1000</f>
        <v>0</v>
      </c>
      <c r="S2285" s="396"/>
      <c r="T2285" s="396" t="s">
        <v>125</v>
      </c>
      <c r="U2285" s="401">
        <f t="shared" si="7213"/>
        <v>1.5782400000000001</v>
      </c>
      <c r="V2285" s="396" t="s">
        <v>125</v>
      </c>
      <c r="W2285" s="399">
        <f t="shared" ref="W2285" si="7316">D2285</f>
        <v>3</v>
      </c>
      <c r="X2285" s="399" t="s">
        <v>125</v>
      </c>
      <c r="Y2285" s="389">
        <f t="shared" si="7215"/>
        <v>1</v>
      </c>
      <c r="Z2285" s="400" t="s">
        <v>176</v>
      </c>
      <c r="AA2285" s="402">
        <f t="shared" ref="AA2285" si="7317">(N2285+P2285*R2285/1000)*U2285*W2285*Y2285</f>
        <v>28.143175679999999</v>
      </c>
      <c r="AB2285" s="390"/>
    </row>
    <row r="2286" spans="1:28">
      <c r="A2286" s="384"/>
      <c r="B2286" s="385"/>
      <c r="C2286" s="393"/>
      <c r="D2286" s="398"/>
      <c r="E2286" s="388"/>
      <c r="F2286" s="388"/>
      <c r="G2286" s="388"/>
      <c r="H2286" s="395"/>
      <c r="I2286" s="388"/>
      <c r="J2286" s="396"/>
      <c r="K2286" s="396"/>
      <c r="L2286" s="404"/>
      <c r="M2286" s="399"/>
      <c r="N2286" s="399"/>
      <c r="O2286" s="396"/>
      <c r="P2286" s="389"/>
      <c r="Q2286" s="396"/>
      <c r="R2286" s="396"/>
      <c r="S2286" s="396"/>
      <c r="T2286" s="396"/>
      <c r="U2286" s="401"/>
      <c r="V2286" s="396"/>
      <c r="W2286" s="399"/>
      <c r="X2286" s="396"/>
      <c r="Y2286" s="389"/>
      <c r="Z2286" s="396"/>
      <c r="AA2286" s="388"/>
      <c r="AB2286" s="390"/>
    </row>
    <row r="2287" spans="1:28">
      <c r="A2287" s="384" t="str">
        <f t="shared" ref="A2287:B2287" si="7318">A2275</f>
        <v>Lantai 1</v>
      </c>
      <c r="B2287" s="385">
        <f t="shared" si="7318"/>
        <v>74</v>
      </c>
      <c r="C2287" s="393" t="s">
        <v>208</v>
      </c>
      <c r="D2287" s="398">
        <f>VLOOKUP(D2275,'Detail Balok'!$C$10:$AU$140,13,FALSE)</f>
        <v>0</v>
      </c>
      <c r="E2287" s="388" t="s">
        <v>16</v>
      </c>
      <c r="F2287" s="388">
        <f>VLOOKUP(D2275,'Detail Balok'!$C$10:$AU$140,15,FALSE)</f>
        <v>8</v>
      </c>
      <c r="G2287" s="388"/>
      <c r="H2287" s="395"/>
      <c r="I2287" s="388"/>
      <c r="J2287" s="399">
        <f t="shared" ref="J2287" si="7319">+D2277/1000</f>
        <v>5.56</v>
      </c>
      <c r="K2287" s="400" t="s">
        <v>204</v>
      </c>
      <c r="L2287" s="399">
        <f t="shared" ref="L2287" si="7320">2*$F$16*F2287/1000</f>
        <v>0.192</v>
      </c>
      <c r="M2287" s="399" t="s">
        <v>176</v>
      </c>
      <c r="N2287" s="399">
        <f t="shared" ref="N2287" si="7321">J2287+L2287</f>
        <v>5.7519999999999998</v>
      </c>
      <c r="O2287" s="399" t="s">
        <v>204</v>
      </c>
      <c r="P2287" s="389">
        <f t="shared" ref="P2287" si="7322">IF(N2287&gt;12,ROUNDDOWN(N2287/12,0),0)</f>
        <v>0</v>
      </c>
      <c r="Q2287" s="399" t="s">
        <v>125</v>
      </c>
      <c r="R2287" s="399">
        <f t="shared" ref="R2287" si="7323">IF(P2287&gt;0,MAX(VLOOKUP(F2287,$D$6:$G$15,3,FALSE),600),0)/1000</f>
        <v>0</v>
      </c>
      <c r="S2287" s="399"/>
      <c r="T2287" s="399" t="s">
        <v>125</v>
      </c>
      <c r="U2287" s="401">
        <f t="shared" ref="U2287" si="7324">0.006165*F2287^2</f>
        <v>0.39456000000000002</v>
      </c>
      <c r="V2287" s="399" t="s">
        <v>125</v>
      </c>
      <c r="W2287" s="399">
        <f t="shared" ref="W2287" si="7325">+D2287</f>
        <v>0</v>
      </c>
      <c r="X2287" s="399" t="s">
        <v>125</v>
      </c>
      <c r="Y2287" s="389">
        <f t="shared" ref="Y2287" si="7326">D2281</f>
        <v>1</v>
      </c>
      <c r="Z2287" s="400" t="s">
        <v>176</v>
      </c>
      <c r="AA2287" s="402">
        <f t="shared" ref="AA2287" si="7327">(N2287+P2287*R2287/1000)*U2287*W2287*Y2287</f>
        <v>0</v>
      </c>
      <c r="AB2287" s="403"/>
    </row>
    <row r="2288" spans="1:28">
      <c r="A2288" s="384"/>
      <c r="B2288" s="385"/>
      <c r="C2288" s="393"/>
      <c r="D2288" s="398"/>
      <c r="E2288" s="388"/>
      <c r="F2288" s="388"/>
      <c r="G2288" s="388"/>
      <c r="H2288" s="395"/>
      <c r="I2288" s="388"/>
      <c r="J2288" s="399"/>
      <c r="K2288" s="400"/>
      <c r="L2288" s="399"/>
      <c r="M2288" s="399"/>
      <c r="N2288" s="399"/>
      <c r="O2288" s="399"/>
      <c r="P2288" s="389"/>
      <c r="Q2288" s="399"/>
      <c r="R2288" s="399"/>
      <c r="S2288" s="399"/>
      <c r="T2288" s="399"/>
      <c r="U2288" s="401"/>
      <c r="V2288" s="399"/>
      <c r="W2288" s="399"/>
      <c r="X2288" s="399"/>
      <c r="Y2288" s="389"/>
      <c r="Z2288" s="400"/>
      <c r="AA2288" s="402"/>
      <c r="AB2288" s="403"/>
    </row>
    <row r="2289" spans="1:28">
      <c r="A2289" s="384"/>
      <c r="B2289" s="385"/>
      <c r="C2289" s="393"/>
      <c r="D2289" s="398"/>
      <c r="E2289" s="388"/>
      <c r="F2289" s="388"/>
      <c r="G2289" s="388"/>
      <c r="H2289" s="395"/>
      <c r="I2289" s="388"/>
      <c r="J2289" s="396"/>
      <c r="K2289" s="396"/>
      <c r="L2289" s="396"/>
      <c r="M2289" s="396"/>
      <c r="N2289" s="396"/>
      <c r="O2289" s="396"/>
      <c r="P2289" s="389"/>
      <c r="Q2289" s="396"/>
      <c r="R2289" s="396"/>
      <c r="S2289" s="396"/>
      <c r="T2289" s="396"/>
      <c r="U2289" s="401"/>
      <c r="V2289" s="396"/>
      <c r="W2289" s="399"/>
      <c r="X2289" s="396"/>
      <c r="Y2289" s="389"/>
      <c r="Z2289" s="396"/>
      <c r="AA2289" s="388"/>
      <c r="AB2289" s="390"/>
    </row>
    <row r="2290" spans="1:28">
      <c r="A2290" s="384" t="str">
        <f t="shared" ref="A2290:B2290" si="7328">A2275</f>
        <v>Lantai 1</v>
      </c>
      <c r="B2290" s="385">
        <f t="shared" si="7328"/>
        <v>74</v>
      </c>
      <c r="C2290" s="393" t="s">
        <v>209</v>
      </c>
      <c r="D2290" s="398">
        <f>VLOOKUP(D2275,'Detail Balok'!$C$10:$AU$140,22,FALSE)</f>
        <v>3</v>
      </c>
      <c r="E2290" s="388" t="s">
        <v>16</v>
      </c>
      <c r="F2290" s="388">
        <f>VLOOKUP(D2275,'Detail Balok'!$C$10:$AU$140,24,FALSE)</f>
        <v>16</v>
      </c>
      <c r="G2290" s="388"/>
      <c r="H2290" s="395"/>
      <c r="I2290" s="388" t="s">
        <v>203</v>
      </c>
      <c r="J2290" s="399">
        <f t="shared" si="7228"/>
        <v>1.39</v>
      </c>
      <c r="K2290" s="400" t="s">
        <v>204</v>
      </c>
      <c r="L2290" s="399">
        <f t="shared" ref="L2290" si="7329">MAX(VLOOKUP(F2290,N$6:P$15,3,FALSE)/1000,2/3*D2280/1000)+F$16*F2290/1000</f>
        <v>0.192</v>
      </c>
      <c r="M2290" s="399" t="s">
        <v>176</v>
      </c>
      <c r="N2290" s="399">
        <f t="shared" ref="N2290:N2292" si="7330">J2290+L2290</f>
        <v>1.5819999999999999</v>
      </c>
      <c r="O2290" s="399" t="s">
        <v>204</v>
      </c>
      <c r="P2290" s="389">
        <f t="shared" ref="P2290" si="7331">D2290-D2291</f>
        <v>0</v>
      </c>
      <c r="Q2290" s="399" t="s">
        <v>125</v>
      </c>
      <c r="R2290" s="399">
        <f t="shared" ref="R2290" si="7332">IF(P2290&gt;0,$F$18*F2290/1000,0)</f>
        <v>0</v>
      </c>
      <c r="S2290" s="399" t="s">
        <v>205</v>
      </c>
      <c r="T2290" s="399" t="s">
        <v>125</v>
      </c>
      <c r="U2290" s="401">
        <f t="shared" ref="U2290:U2292" si="7333">0.006165*F2290^2</f>
        <v>1.5782400000000001</v>
      </c>
      <c r="V2290" s="399"/>
      <c r="W2290" s="399"/>
      <c r="X2290" s="399" t="s">
        <v>125</v>
      </c>
      <c r="Y2290" s="389">
        <f t="shared" ref="Y2290" si="7334">D2281</f>
        <v>1</v>
      </c>
      <c r="Z2290" s="400" t="s">
        <v>176</v>
      </c>
      <c r="AA2290" s="402">
        <f t="shared" ref="AA2290" si="7335">IF(AA2293=0,(D2290*N2290+P2290*R2290)*U2290*Y2290,0)</f>
        <v>0</v>
      </c>
      <c r="AB2290" s="403"/>
    </row>
    <row r="2291" spans="1:28">
      <c r="A2291" s="384" t="str">
        <f t="shared" ref="A2291:B2291" si="7336">A2275</f>
        <v>Lantai 1</v>
      </c>
      <c r="B2291" s="385">
        <f t="shared" si="7336"/>
        <v>74</v>
      </c>
      <c r="C2291" s="393" t="s">
        <v>210</v>
      </c>
      <c r="D2291" s="398">
        <f>VLOOKUP(D2275,'Detail Balok'!$C$10:$AU$140,25,FALSE)</f>
        <v>3</v>
      </c>
      <c r="E2291" s="388" t="s">
        <v>16</v>
      </c>
      <c r="F2291" s="388">
        <f>VLOOKUP(D2275,'Detail Balok'!$C$10:$AU$140,27,FALSE)</f>
        <v>16</v>
      </c>
      <c r="G2291" s="388"/>
      <c r="H2291" s="395"/>
      <c r="I2291" s="388" t="s">
        <v>203</v>
      </c>
      <c r="J2291" s="399">
        <f t="shared" si="7228"/>
        <v>2.78</v>
      </c>
      <c r="K2291" s="400" t="s">
        <v>204</v>
      </c>
      <c r="L2291" s="399"/>
      <c r="M2291" s="399" t="s">
        <v>176</v>
      </c>
      <c r="N2291" s="399">
        <f t="shared" si="7330"/>
        <v>2.78</v>
      </c>
      <c r="O2291" s="399" t="s">
        <v>204</v>
      </c>
      <c r="P2291" s="389">
        <f t="shared" ref="P2291" si="7337">MAX(D2291-D2290,D2291-D2292)</f>
        <v>0</v>
      </c>
      <c r="Q2291" s="399" t="s">
        <v>125</v>
      </c>
      <c r="R2291" s="399">
        <f t="shared" ref="R2291" si="7338">IF(P2291&gt;0,2*(1-2*$F$19-1/2)*D2278/1000,0)</f>
        <v>0</v>
      </c>
      <c r="S2291" s="399" t="s">
        <v>205</v>
      </c>
      <c r="T2291" s="399" t="s">
        <v>125</v>
      </c>
      <c r="U2291" s="401">
        <f t="shared" si="7333"/>
        <v>1.5782400000000001</v>
      </c>
      <c r="V2291" s="399"/>
      <c r="W2291" s="399"/>
      <c r="X2291" s="399" t="s">
        <v>125</v>
      </c>
      <c r="Y2291" s="389">
        <f t="shared" ref="Y2291" si="7339">D2281</f>
        <v>1</v>
      </c>
      <c r="Z2291" s="400" t="s">
        <v>176</v>
      </c>
      <c r="AA2291" s="402">
        <f t="shared" ref="AA2291" si="7340">IF(AA2293=0,(D2291*N2291+P2291*R2291)*U2291*Y2291,0)</f>
        <v>0</v>
      </c>
      <c r="AB2291" s="403"/>
    </row>
    <row r="2292" spans="1:28">
      <c r="A2292" s="384" t="str">
        <f t="shared" ref="A2292:B2292" si="7341">A2275</f>
        <v>Lantai 1</v>
      </c>
      <c r="B2292" s="385">
        <f t="shared" si="7341"/>
        <v>74</v>
      </c>
      <c r="C2292" s="393" t="s">
        <v>209</v>
      </c>
      <c r="D2292" s="398">
        <f>VLOOKUP(D2275,'Detail Balok'!$C$10:$AU$140,28,FALSE)</f>
        <v>3</v>
      </c>
      <c r="E2292" s="388" t="s">
        <v>16</v>
      </c>
      <c r="F2292" s="388">
        <f>VLOOKUP(D2275,'Detail Balok'!$C$10:$AU$140,30,FALSE)</f>
        <v>16</v>
      </c>
      <c r="G2292" s="388"/>
      <c r="H2292" s="395"/>
      <c r="I2292" s="388" t="s">
        <v>203</v>
      </c>
      <c r="J2292" s="399">
        <f t="shared" si="7228"/>
        <v>1.39</v>
      </c>
      <c r="K2292" s="400" t="s">
        <v>204</v>
      </c>
      <c r="L2292" s="399">
        <f t="shared" ref="L2292" si="7342">MAX(VLOOKUP(F2292,N$6:P$15,3,FALSE)/1000,2/3*D2280/1000)+F$16*F2292/1000</f>
        <v>0.192</v>
      </c>
      <c r="M2292" s="399" t="s">
        <v>176</v>
      </c>
      <c r="N2292" s="399">
        <f t="shared" si="7330"/>
        <v>1.5819999999999999</v>
      </c>
      <c r="O2292" s="399" t="s">
        <v>204</v>
      </c>
      <c r="P2292" s="389">
        <f t="shared" ref="P2292" si="7343">D2292-D2291</f>
        <v>0</v>
      </c>
      <c r="Q2292" s="399" t="s">
        <v>125</v>
      </c>
      <c r="R2292" s="399">
        <f t="shared" ref="R2292" si="7344">IF(P2292&gt;0,$F$18*F2292/1000,0)</f>
        <v>0</v>
      </c>
      <c r="S2292" s="399" t="s">
        <v>205</v>
      </c>
      <c r="T2292" s="399" t="s">
        <v>125</v>
      </c>
      <c r="U2292" s="401">
        <f t="shared" si="7333"/>
        <v>1.5782400000000001</v>
      </c>
      <c r="V2292" s="399"/>
      <c r="W2292" s="399"/>
      <c r="X2292" s="399" t="s">
        <v>125</v>
      </c>
      <c r="Y2292" s="389">
        <f t="shared" ref="Y2292" si="7345">D2281</f>
        <v>1</v>
      </c>
      <c r="Z2292" s="400" t="s">
        <v>176</v>
      </c>
      <c r="AA2292" s="402">
        <f t="shared" ref="AA2292" si="7346">IF(AA2293=0,(D2292*N2292+P2292*R2292)*U2292*Y2292,0)</f>
        <v>0</v>
      </c>
      <c r="AB2292" s="403"/>
    </row>
    <row r="2293" spans="1:28">
      <c r="A2293" s="384" t="str">
        <f t="shared" ref="A2293:B2293" si="7347">A2275</f>
        <v>Lantai 1</v>
      </c>
      <c r="B2293" s="385">
        <f t="shared" si="7347"/>
        <v>74</v>
      </c>
      <c r="C2293" s="393"/>
      <c r="D2293" s="398">
        <f t="shared" si="7248"/>
        <v>3</v>
      </c>
      <c r="E2293" s="388" t="s">
        <v>16</v>
      </c>
      <c r="F2293" s="388">
        <f t="shared" si="7249"/>
        <v>16</v>
      </c>
      <c r="G2293" s="388"/>
      <c r="H2293" s="395"/>
      <c r="I2293" s="388"/>
      <c r="J2293" s="396"/>
      <c r="K2293" s="396"/>
      <c r="L2293" s="404" t="s">
        <v>207</v>
      </c>
      <c r="M2293" s="399" t="s">
        <v>176</v>
      </c>
      <c r="N2293" s="399">
        <f t="shared" ref="N2293" si="7348">IF(AND(D2290=D2291,D2290=D2292,D2291=D2292,F2290=F2291,F2290=F2292,F2291=F2292),SUM(N2290:N2292),0)</f>
        <v>5.944</v>
      </c>
      <c r="O2293" s="399" t="s">
        <v>204</v>
      </c>
      <c r="P2293" s="389">
        <f t="shared" ref="P2293" si="7349">IF(N2293&gt;12,ROUNDDOWN(N2293/12,0),0)</f>
        <v>0</v>
      </c>
      <c r="Q2293" s="399" t="s">
        <v>125</v>
      </c>
      <c r="R2293" s="399">
        <f t="shared" ref="R2293" si="7350">IF(P2293&gt;0,MAX(VLOOKUP(F2293,$D$6:$G$15,3,FALSE),600),0)/1000</f>
        <v>0</v>
      </c>
      <c r="S2293" s="396"/>
      <c r="T2293" s="396" t="s">
        <v>125</v>
      </c>
      <c r="U2293" s="401">
        <f t="shared" si="7253"/>
        <v>1.5782400000000001</v>
      </c>
      <c r="V2293" s="396" t="s">
        <v>125</v>
      </c>
      <c r="W2293" s="399">
        <f t="shared" ref="W2293" si="7351">D2293</f>
        <v>3</v>
      </c>
      <c r="X2293" s="399" t="s">
        <v>125</v>
      </c>
      <c r="Y2293" s="389">
        <f t="shared" si="7255"/>
        <v>1</v>
      </c>
      <c r="Z2293" s="400" t="s">
        <v>176</v>
      </c>
      <c r="AA2293" s="402">
        <f t="shared" ref="AA2293" si="7352">(N2293+P2293*R2293/1000)*U2293*W2293*Y2293</f>
        <v>28.143175679999999</v>
      </c>
      <c r="AB2293" s="403"/>
    </row>
    <row r="2294" spans="1:28">
      <c r="A2294" s="384"/>
      <c r="B2294" s="385"/>
      <c r="C2294" s="393"/>
      <c r="D2294" s="394"/>
      <c r="E2294" s="388"/>
      <c r="F2294" s="388"/>
      <c r="G2294" s="388"/>
      <c r="H2294" s="395"/>
      <c r="I2294" s="388"/>
      <c r="J2294" s="399"/>
      <c r="K2294" s="396"/>
      <c r="L2294" s="396"/>
      <c r="M2294" s="396"/>
      <c r="N2294" s="396"/>
      <c r="O2294" s="396"/>
      <c r="P2294" s="389"/>
      <c r="Q2294" s="396"/>
      <c r="R2294" s="396"/>
      <c r="S2294" s="396"/>
      <c r="T2294" s="396"/>
      <c r="U2294" s="401"/>
      <c r="V2294" s="396"/>
      <c r="W2294" s="388"/>
      <c r="X2294" s="396"/>
      <c r="Y2294" s="389"/>
      <c r="Z2294" s="396"/>
      <c r="AA2294" s="388"/>
      <c r="AB2294" s="390"/>
    </row>
    <row r="2295" spans="1:28">
      <c r="A2295" s="384" t="str">
        <f t="shared" ref="A2295:B2295" si="7353">A2275</f>
        <v>Lantai 1</v>
      </c>
      <c r="B2295" s="385">
        <f t="shared" si="7353"/>
        <v>74</v>
      </c>
      <c r="C2295" s="393" t="s">
        <v>211</v>
      </c>
      <c r="D2295" s="398">
        <f>VLOOKUP(D2275,'Detail Balok'!$C$10:$AU$140,31,FALSE)</f>
        <v>0</v>
      </c>
      <c r="E2295" s="388" t="s">
        <v>16</v>
      </c>
      <c r="F2295" s="388">
        <f>VLOOKUP(D2275,'Detail Balok'!$C$10:$AU$140,33,FALSE)</f>
        <v>8</v>
      </c>
      <c r="G2295" s="405" t="s">
        <v>157</v>
      </c>
      <c r="H2295" s="395">
        <f>VLOOKUP(D2275,'Detail Balok'!$C$10:$AU$140,35,FALSE)</f>
        <v>150</v>
      </c>
      <c r="I2295" s="388"/>
      <c r="J2295" s="400">
        <f t="shared" ref="J2295" si="7354">(IF(D2295=0,(2*(D2276+G2276))-(F$5*8),IF(D2295=3,(2*(D2276+G2276))-(F$5*8)+(G2276-2*F$5),IF(D2295=4,(2*(D2276+G2276))-(F$5*8)+2*(G2276-2*F$5)))))/1000</f>
        <v>0.88</v>
      </c>
      <c r="K2295" s="400" t="s">
        <v>204</v>
      </c>
      <c r="L2295" s="399">
        <f t="shared" ref="L2295:L2297" si="7355">IF(D2295=0,2*MAX(6*F2295,75),(D2295-1)*2*MAX(6*F2295,75))/1000</f>
        <v>0.15</v>
      </c>
      <c r="M2295" s="399" t="s">
        <v>176</v>
      </c>
      <c r="N2295" s="399">
        <f t="shared" ref="N2295:N2297" si="7356">J2295+L2295</f>
        <v>1.03</v>
      </c>
      <c r="O2295" s="399"/>
      <c r="P2295" s="389"/>
      <c r="Q2295" s="399"/>
      <c r="R2295" s="399"/>
      <c r="S2295" s="399"/>
      <c r="T2295" s="399" t="s">
        <v>125</v>
      </c>
      <c r="U2295" s="401">
        <f t="shared" ref="U2295:U2297" si="7357">0.006165*F2295^2</f>
        <v>0.39456000000000002</v>
      </c>
      <c r="V2295" s="399" t="s">
        <v>125</v>
      </c>
      <c r="W2295" s="399">
        <f t="shared" ref="W2295" si="7358">IF(D2278&gt;4*G2276,ROUND(MAX(D2278/4,2*G2276)/H2295,0)+1,ROUND(D2278/H2295,0)+1)</f>
        <v>10</v>
      </c>
      <c r="X2295" s="399" t="s">
        <v>125</v>
      </c>
      <c r="Y2295" s="389">
        <f t="shared" ref="Y2295" si="7359">D2281</f>
        <v>1</v>
      </c>
      <c r="Z2295" s="400" t="s">
        <v>176</v>
      </c>
      <c r="AA2295" s="402">
        <f t="shared" ref="AA2295:AA2297" si="7360">N2295*U2295*W2295*Y2295</f>
        <v>4.0639680000000009</v>
      </c>
      <c r="AB2295" s="403"/>
    </row>
    <row r="2296" spans="1:28">
      <c r="A2296" s="384" t="str">
        <f t="shared" ref="A2296:B2296" si="7361">A2275</f>
        <v>Lantai 1</v>
      </c>
      <c r="B2296" s="385">
        <f t="shared" si="7361"/>
        <v>74</v>
      </c>
      <c r="C2296" s="393" t="s">
        <v>212</v>
      </c>
      <c r="D2296" s="398">
        <f>VLOOKUP(D2275,'Detail Balok'!$C$10:$AU$140,36,FALSE)</f>
        <v>0</v>
      </c>
      <c r="E2296" s="388" t="s">
        <v>16</v>
      </c>
      <c r="F2296" s="388">
        <f>VLOOKUP(D2275,'Detail Balok'!$C$10:$AU$140,38,FALSE)</f>
        <v>8</v>
      </c>
      <c r="G2296" s="405" t="s">
        <v>157</v>
      </c>
      <c r="H2296" s="395">
        <f>VLOOKUP(D2275,'Detail Balok'!$C$10:$AU$140,40,FALSE)</f>
        <v>200</v>
      </c>
      <c r="I2296" s="388"/>
      <c r="J2296" s="400">
        <f t="shared" ref="J2296" si="7362">(IF(D2296=0,(2*(D2276+G2276))-(F$5*8),IF(D2296=3,(2*(D2276+G2276))-(F$5*8)+(G2276-2*F$5),IF(D2296=4,(2*(D2276+G2276))-(F$5*8)+2*(G2276-2*F$5)))))/1000</f>
        <v>0.88</v>
      </c>
      <c r="K2296" s="400" t="s">
        <v>204</v>
      </c>
      <c r="L2296" s="399">
        <f t="shared" si="7355"/>
        <v>0.15</v>
      </c>
      <c r="M2296" s="399" t="s">
        <v>176</v>
      </c>
      <c r="N2296" s="399">
        <f t="shared" si="7356"/>
        <v>1.03</v>
      </c>
      <c r="O2296" s="399"/>
      <c r="P2296" s="389"/>
      <c r="Q2296" s="399"/>
      <c r="R2296" s="399"/>
      <c r="S2296" s="399"/>
      <c r="T2296" s="399" t="s">
        <v>125</v>
      </c>
      <c r="U2296" s="401">
        <f t="shared" si="7357"/>
        <v>0.39456000000000002</v>
      </c>
      <c r="V2296" s="399" t="s">
        <v>125</v>
      </c>
      <c r="W2296" s="399">
        <f t="shared" ref="W2296" si="7363">IF(D2278-MAX(D2278/4,2*G2276)*2&gt;0,ROUND((D2278-MAX(D2278/4,2*G2276)*2)/H2296,0),0)</f>
        <v>14</v>
      </c>
      <c r="X2296" s="399" t="s">
        <v>125</v>
      </c>
      <c r="Y2296" s="389">
        <f t="shared" ref="Y2296" si="7364">D2281</f>
        <v>1</v>
      </c>
      <c r="Z2296" s="400" t="s">
        <v>176</v>
      </c>
      <c r="AA2296" s="402">
        <f t="shared" si="7360"/>
        <v>5.6895552000000009</v>
      </c>
      <c r="AB2296" s="403"/>
    </row>
    <row r="2297" spans="1:28">
      <c r="A2297" s="384" t="str">
        <f t="shared" ref="A2297:B2297" si="7365">A2275</f>
        <v>Lantai 1</v>
      </c>
      <c r="B2297" s="385">
        <f t="shared" si="7365"/>
        <v>74</v>
      </c>
      <c r="C2297" s="393" t="s">
        <v>211</v>
      </c>
      <c r="D2297" s="398">
        <f>VLOOKUP(D2275,'Detail Balok'!$C$10:$AU$140,41,FALSE)</f>
        <v>0</v>
      </c>
      <c r="E2297" s="388" t="s">
        <v>16</v>
      </c>
      <c r="F2297" s="388">
        <f>VLOOKUP(D2275,'Detail Balok'!$C$10:$AU$140,43,FALSE)</f>
        <v>8</v>
      </c>
      <c r="G2297" s="405" t="s">
        <v>157</v>
      </c>
      <c r="H2297" s="395">
        <f>VLOOKUP(D2275,'Detail Balok'!$C$10:$AU$140,45,FALSE)</f>
        <v>150</v>
      </c>
      <c r="I2297" s="388"/>
      <c r="J2297" s="400">
        <f t="shared" ref="J2297" si="7366">(IF(D2297=0,(2*(D2276+G2276))-(F$5*8),IF(D2297=3,(2*(D2276+G2276))-(F$5*8)+(G2276-2*F$5),IF(D2297=4,(2*(D2276+G2276))-(F$5*8)+2*(G2276-2*F$5)))))/1000</f>
        <v>0.88</v>
      </c>
      <c r="K2297" s="400" t="s">
        <v>204</v>
      </c>
      <c r="L2297" s="399">
        <f t="shared" si="7355"/>
        <v>0.15</v>
      </c>
      <c r="M2297" s="399" t="s">
        <v>176</v>
      </c>
      <c r="N2297" s="399">
        <f t="shared" si="7356"/>
        <v>1.03</v>
      </c>
      <c r="O2297" s="399"/>
      <c r="P2297" s="389"/>
      <c r="Q2297" s="399"/>
      <c r="R2297" s="399"/>
      <c r="S2297" s="399"/>
      <c r="T2297" s="399" t="s">
        <v>125</v>
      </c>
      <c r="U2297" s="401">
        <f t="shared" si="7357"/>
        <v>0.39456000000000002</v>
      </c>
      <c r="V2297" s="399" t="s">
        <v>125</v>
      </c>
      <c r="W2297" s="399">
        <f t="shared" ref="W2297" si="7367">IF(D2278&gt;4*G2276,ROUND(MAX(D2278/4,2*G2276)/H2297,0)+1,0)</f>
        <v>10</v>
      </c>
      <c r="X2297" s="399" t="s">
        <v>125</v>
      </c>
      <c r="Y2297" s="389">
        <f t="shared" ref="Y2297" si="7368">D2281</f>
        <v>1</v>
      </c>
      <c r="Z2297" s="400" t="s">
        <v>176</v>
      </c>
      <c r="AA2297" s="402">
        <f t="shared" si="7360"/>
        <v>4.0639680000000009</v>
      </c>
      <c r="AB2297" s="403"/>
    </row>
    <row r="2298" spans="1:28">
      <c r="A2298" s="384"/>
      <c r="B2298" s="385"/>
      <c r="C2298" s="393"/>
      <c r="D2298" s="394"/>
      <c r="E2298" s="388"/>
      <c r="F2298" s="388"/>
      <c r="G2298" s="388"/>
      <c r="H2298" s="395"/>
      <c r="I2298" s="388"/>
      <c r="J2298" s="399"/>
      <c r="K2298" s="396"/>
      <c r="L2298" s="396"/>
      <c r="M2298" s="396"/>
      <c r="N2298" s="396"/>
      <c r="O2298" s="396"/>
      <c r="P2298" s="389"/>
      <c r="Q2298" s="396"/>
      <c r="R2298" s="396"/>
      <c r="S2298" s="396"/>
      <c r="T2298" s="396"/>
      <c r="U2298" s="401"/>
      <c r="V2298" s="396"/>
      <c r="W2298" s="388"/>
      <c r="X2298" s="396"/>
      <c r="Y2298" s="389"/>
      <c r="Z2298" s="396"/>
      <c r="AA2298" s="388"/>
      <c r="AB2298" s="390"/>
    </row>
    <row r="2299" spans="1:28">
      <c r="A2299" s="384" t="str">
        <f t="shared" ref="A2299:B2299" si="7369">A2275</f>
        <v>Lantai 1</v>
      </c>
      <c r="B2299" s="385">
        <f t="shared" si="7369"/>
        <v>74</v>
      </c>
      <c r="C2299" s="393" t="s">
        <v>213</v>
      </c>
      <c r="D2299" s="398">
        <f>VLOOKUP(D2275,'Detail Balok'!$C$10:$BJ$140,46,FALSE)</f>
        <v>0</v>
      </c>
      <c r="E2299" s="388" t="s">
        <v>16</v>
      </c>
      <c r="F2299" s="388">
        <f>VLOOKUP(D2275,'Detail Balok'!$C$10:$BJ$140,48,FALSE)</f>
        <v>0</v>
      </c>
      <c r="G2299" s="405" t="s">
        <v>157</v>
      </c>
      <c r="H2299" s="395">
        <f>VLOOKUP(D2275,'Detail Balok'!$C$10:$BJ$140,50,FALSE)</f>
        <v>100</v>
      </c>
      <c r="I2299" s="388"/>
      <c r="J2299" s="399">
        <f t="shared" ref="J2299" si="7370">(D2276-2*F$5)/1000</f>
        <v>0.12</v>
      </c>
      <c r="K2299" s="400" t="s">
        <v>204</v>
      </c>
      <c r="L2299" s="399">
        <f t="shared" ref="L2299:L2301" si="7371">IF(D2299=0,2*MAX(6*F2299,75),(D2299-1)*2*MAX(6*F2299,75))/1000</f>
        <v>0.15</v>
      </c>
      <c r="M2299" s="399" t="s">
        <v>176</v>
      </c>
      <c r="N2299" s="399">
        <f t="shared" ref="N2299:N2301" si="7372">J2299+L2299</f>
        <v>0.27</v>
      </c>
      <c r="O2299" s="399"/>
      <c r="P2299" s="399"/>
      <c r="Q2299" s="399"/>
      <c r="R2299" s="399"/>
      <c r="S2299" s="399"/>
      <c r="T2299" s="399" t="s">
        <v>125</v>
      </c>
      <c r="U2299" s="401">
        <f t="shared" ref="U2299:U2301" si="7373">0.006165*F2299^2</f>
        <v>0</v>
      </c>
      <c r="V2299" s="399" t="s">
        <v>125</v>
      </c>
      <c r="W2299" s="399">
        <f t="shared" si="7278"/>
        <v>10</v>
      </c>
      <c r="X2299" s="399" t="s">
        <v>125</v>
      </c>
      <c r="Y2299" s="389">
        <f t="shared" ref="Y2299" si="7374">D2285</f>
        <v>3</v>
      </c>
      <c r="Z2299" s="400" t="s">
        <v>176</v>
      </c>
      <c r="AA2299" s="402">
        <f t="shared" ref="AA2299:AA2301" si="7375">N2299*U2299*W2299*Y2299</f>
        <v>0</v>
      </c>
      <c r="AB2299" s="403"/>
    </row>
    <row r="2300" spans="1:28">
      <c r="A2300" s="384" t="str">
        <f t="shared" ref="A2300:B2300" si="7376">A2275</f>
        <v>Lantai 1</v>
      </c>
      <c r="B2300" s="385">
        <f t="shared" si="7376"/>
        <v>74</v>
      </c>
      <c r="C2300" s="393" t="s">
        <v>214</v>
      </c>
      <c r="D2300" s="398">
        <f>VLOOKUP(D2275,'Detail Balok'!$C$10:$BJ$140,51,FALSE)</f>
        <v>0</v>
      </c>
      <c r="E2300" s="388" t="s">
        <v>16</v>
      </c>
      <c r="F2300" s="388">
        <f>VLOOKUP(D2275,'Detail Balok'!$C$10:$BJ$140,53,FALSE)</f>
        <v>0</v>
      </c>
      <c r="G2300" s="405" t="s">
        <v>157</v>
      </c>
      <c r="H2300" s="395">
        <f>VLOOKUP(D2275,'Detail Balok'!$C$10:$BJ$140,55,FALSE)</f>
        <v>100</v>
      </c>
      <c r="I2300" s="388"/>
      <c r="J2300" s="399">
        <f t="shared" ref="J2300" si="7377">(D2276-2*F$5)/1000</f>
        <v>0.12</v>
      </c>
      <c r="K2300" s="400" t="s">
        <v>204</v>
      </c>
      <c r="L2300" s="399">
        <f t="shared" si="7371"/>
        <v>0.15</v>
      </c>
      <c r="M2300" s="399" t="s">
        <v>176</v>
      </c>
      <c r="N2300" s="399">
        <f t="shared" si="7372"/>
        <v>0.27</v>
      </c>
      <c r="O2300" s="399"/>
      <c r="P2300" s="399"/>
      <c r="Q2300" s="399"/>
      <c r="R2300" s="399"/>
      <c r="S2300" s="399"/>
      <c r="T2300" s="399" t="s">
        <v>125</v>
      </c>
      <c r="U2300" s="401">
        <f t="shared" si="7373"/>
        <v>0</v>
      </c>
      <c r="V2300" s="399" t="s">
        <v>125</v>
      </c>
      <c r="W2300" s="399">
        <f t="shared" si="7278"/>
        <v>14</v>
      </c>
      <c r="X2300" s="399" t="s">
        <v>125</v>
      </c>
      <c r="Y2300" s="389">
        <f t="shared" ref="Y2300" si="7378">D2285</f>
        <v>3</v>
      </c>
      <c r="Z2300" s="400" t="s">
        <v>176</v>
      </c>
      <c r="AA2300" s="402">
        <f t="shared" si="7375"/>
        <v>0</v>
      </c>
      <c r="AB2300" s="403"/>
    </row>
    <row r="2301" spans="1:28">
      <c r="A2301" s="384" t="str">
        <f t="shared" ref="A2301:B2301" si="7379">A2275</f>
        <v>Lantai 1</v>
      </c>
      <c r="B2301" s="385">
        <f t="shared" si="7379"/>
        <v>74</v>
      </c>
      <c r="C2301" s="393" t="s">
        <v>213</v>
      </c>
      <c r="D2301" s="398">
        <f>VLOOKUP(D2275,'Detail Balok'!$C$10:$BJ$140,56,FALSE)</f>
        <v>0</v>
      </c>
      <c r="E2301" s="388" t="s">
        <v>16</v>
      </c>
      <c r="F2301" s="388">
        <f>VLOOKUP(D2275,'Detail Balok'!$C$10:$BJ$140,58,FALSE)</f>
        <v>0</v>
      </c>
      <c r="G2301" s="405" t="s">
        <v>157</v>
      </c>
      <c r="H2301" s="395">
        <f>VLOOKUP(D2275,'Detail Balok'!$C$10:$BJ$140,60,FALSE)</f>
        <v>100</v>
      </c>
      <c r="I2301" s="388"/>
      <c r="J2301" s="399">
        <f t="shared" ref="J2301" si="7380">(D2276-2*F$5)/1000</f>
        <v>0.12</v>
      </c>
      <c r="K2301" s="400" t="s">
        <v>204</v>
      </c>
      <c r="L2301" s="399">
        <f t="shared" si="7371"/>
        <v>0.15</v>
      </c>
      <c r="M2301" s="399" t="s">
        <v>176</v>
      </c>
      <c r="N2301" s="399">
        <f t="shared" si="7372"/>
        <v>0.27</v>
      </c>
      <c r="O2301" s="399"/>
      <c r="P2301" s="399"/>
      <c r="Q2301" s="399"/>
      <c r="R2301" s="399"/>
      <c r="S2301" s="399"/>
      <c r="T2301" s="399" t="s">
        <v>125</v>
      </c>
      <c r="U2301" s="401">
        <f t="shared" si="7373"/>
        <v>0</v>
      </c>
      <c r="V2301" s="399" t="s">
        <v>125</v>
      </c>
      <c r="W2301" s="399">
        <f t="shared" si="7278"/>
        <v>10</v>
      </c>
      <c r="X2301" s="399" t="s">
        <v>125</v>
      </c>
      <c r="Y2301" s="389">
        <f t="shared" ref="Y2301" si="7381">D2285</f>
        <v>3</v>
      </c>
      <c r="Z2301" s="400" t="s">
        <v>176</v>
      </c>
      <c r="AA2301" s="402">
        <f t="shared" si="7375"/>
        <v>0</v>
      </c>
      <c r="AB2301" s="403"/>
    </row>
    <row r="2302" spans="1:28">
      <c r="A2302" s="391"/>
      <c r="B2302" s="392"/>
      <c r="C2302" s="392"/>
      <c r="D2302" s="394"/>
      <c r="E2302" s="388"/>
      <c r="F2302" s="388"/>
      <c r="G2302" s="388"/>
      <c r="H2302" s="395"/>
      <c r="I2302" s="388"/>
      <c r="J2302" s="402"/>
      <c r="K2302" s="388"/>
      <c r="L2302" s="388"/>
      <c r="M2302" s="388"/>
      <c r="N2302" s="388"/>
      <c r="O2302" s="388"/>
      <c r="P2302" s="388"/>
      <c r="Q2302" s="388"/>
      <c r="R2302" s="388"/>
      <c r="S2302" s="388"/>
      <c r="T2302" s="388"/>
      <c r="U2302" s="388"/>
      <c r="V2302" s="388"/>
      <c r="W2302" s="388"/>
      <c r="X2302" s="388"/>
      <c r="Y2302" s="389"/>
      <c r="Z2302" s="388"/>
      <c r="AA2302" s="402"/>
      <c r="AB2302" s="403"/>
    </row>
    <row r="2303" spans="1:28" ht="15.75" thickBot="1">
      <c r="A2303" s="406"/>
      <c r="B2303" s="407"/>
      <c r="C2303" s="407"/>
      <c r="D2303" s="408"/>
      <c r="E2303" s="409"/>
      <c r="F2303" s="409"/>
      <c r="G2303" s="409"/>
      <c r="H2303" s="410"/>
      <c r="I2303" s="409"/>
      <c r="J2303" s="409"/>
      <c r="K2303" s="409"/>
      <c r="L2303" s="409"/>
      <c r="M2303" s="409"/>
      <c r="N2303" s="409"/>
      <c r="O2303" s="409"/>
      <c r="P2303" s="409"/>
      <c r="Q2303" s="409"/>
      <c r="R2303" s="409"/>
      <c r="S2303" s="409"/>
      <c r="T2303" s="409"/>
      <c r="U2303" s="409"/>
      <c r="V2303" s="409"/>
      <c r="W2303" s="409"/>
      <c r="X2303" s="409"/>
      <c r="Y2303" s="411"/>
      <c r="Z2303" s="409"/>
      <c r="AA2303" s="412"/>
      <c r="AB2303" s="413"/>
    </row>
    <row r="2304" spans="1:28">
      <c r="A2304" s="377"/>
      <c r="B2304" s="378"/>
      <c r="C2304" s="378"/>
      <c r="D2304" s="379"/>
      <c r="E2304" s="380"/>
      <c r="F2304" s="380"/>
      <c r="G2304" s="380"/>
      <c r="H2304" s="381"/>
      <c r="I2304" s="380"/>
      <c r="J2304" s="380"/>
      <c r="K2304" s="380"/>
      <c r="L2304" s="380"/>
      <c r="M2304" s="380"/>
      <c r="N2304" s="380"/>
      <c r="O2304" s="380"/>
      <c r="P2304" s="380"/>
      <c r="Q2304" s="380"/>
      <c r="R2304" s="380"/>
      <c r="S2304" s="380"/>
      <c r="T2304" s="380"/>
      <c r="U2304" s="380"/>
      <c r="V2304" s="380"/>
      <c r="W2304" s="380"/>
      <c r="X2304" s="380"/>
      <c r="Y2304" s="382"/>
      <c r="Z2304" s="380"/>
      <c r="AA2304" s="380"/>
      <c r="AB2304" s="383"/>
    </row>
    <row r="2305" spans="1:28">
      <c r="A2305" s="384" t="str">
        <f t="shared" si="7287"/>
        <v>Lantai 1</v>
      </c>
      <c r="B2305" s="385">
        <f t="shared" si="7288"/>
        <v>75</v>
      </c>
      <c r="C2305" s="386" t="str">
        <f t="shared" ref="C2305" si="7382">CONCATENATE(A2305," no. ",B2305)</f>
        <v>Lantai 1 no. 75</v>
      </c>
      <c r="D2305" s="2562" t="str">
        <f>VLOOKUP(C2305,'Data Panjang Balok'!$C$9:$N$254,2,FALSE)</f>
        <v>B25-1</v>
      </c>
      <c r="E2305" s="2576"/>
      <c r="F2305" s="2576"/>
      <c r="G2305" s="2576"/>
      <c r="H2305" s="2577"/>
      <c r="I2305" s="387"/>
      <c r="J2305" s="388"/>
      <c r="K2305" s="388"/>
      <c r="L2305" s="388"/>
      <c r="M2305" s="388"/>
      <c r="N2305" s="388"/>
      <c r="O2305" s="388"/>
      <c r="P2305" s="388"/>
      <c r="Q2305" s="388"/>
      <c r="R2305" s="388"/>
      <c r="S2305" s="388"/>
      <c r="T2305" s="388"/>
      <c r="U2305" s="388"/>
      <c r="V2305" s="388"/>
      <c r="W2305" s="388"/>
      <c r="X2305" s="388"/>
      <c r="Y2305" s="389"/>
      <c r="Z2305" s="388"/>
      <c r="AA2305" s="388"/>
      <c r="AB2305" s="390"/>
    </row>
    <row r="2306" spans="1:28">
      <c r="A2306" s="391"/>
      <c r="B2306" s="392"/>
      <c r="C2306" s="393" t="s">
        <v>118</v>
      </c>
      <c r="D2306" s="2578">
        <f>VLOOKUP(D2305,'Detail Balok'!$C$10:$AU$140,2,FALSE)</f>
        <v>200</v>
      </c>
      <c r="E2306" s="2579"/>
      <c r="F2306" s="388" t="s">
        <v>125</v>
      </c>
      <c r="G2306" s="2579">
        <f>VLOOKUP(D2305,'Detail Balok'!$C$10:$AU$140,3,FALSE)</f>
        <v>500</v>
      </c>
      <c r="H2306" s="2580"/>
      <c r="I2306" s="388"/>
      <c r="J2306" s="396"/>
      <c r="K2306" s="396"/>
      <c r="L2306" s="396"/>
      <c r="M2306" s="396"/>
      <c r="N2306" s="396"/>
      <c r="O2306" s="396"/>
      <c r="P2306" s="396"/>
      <c r="Q2306" s="396"/>
      <c r="R2306" s="396"/>
      <c r="S2306" s="396"/>
      <c r="T2306" s="396"/>
      <c r="U2306" s="388"/>
      <c r="V2306" s="396"/>
      <c r="W2306" s="388"/>
      <c r="X2306" s="396"/>
      <c r="Y2306" s="389"/>
      <c r="Z2306" s="396"/>
      <c r="AA2306" s="388"/>
      <c r="AB2306" s="390"/>
    </row>
    <row r="2307" spans="1:28">
      <c r="A2307" s="391"/>
      <c r="B2307" s="392"/>
      <c r="C2307" s="393" t="s">
        <v>198</v>
      </c>
      <c r="D2307" s="2562">
        <f>VLOOKUP(C2305,'Data Panjang Balok'!$C$9:$N$254,4,FALSE)</f>
        <v>4000</v>
      </c>
      <c r="E2307" s="2563"/>
      <c r="F2307" s="2563"/>
      <c r="G2307" s="2563"/>
      <c r="H2307" s="2564"/>
      <c r="I2307" s="397"/>
      <c r="J2307" s="396"/>
      <c r="K2307" s="396"/>
      <c r="L2307" s="396"/>
      <c r="M2307" s="396"/>
      <c r="N2307" s="396"/>
      <c r="O2307" s="396"/>
      <c r="P2307" s="396"/>
      <c r="Q2307" s="396"/>
      <c r="R2307" s="396"/>
      <c r="S2307" s="396"/>
      <c r="T2307" s="396"/>
      <c r="U2307" s="388"/>
      <c r="V2307" s="396"/>
      <c r="W2307" s="388"/>
      <c r="X2307" s="396"/>
      <c r="Y2307" s="389"/>
      <c r="Z2307" s="396"/>
      <c r="AA2307" s="388"/>
      <c r="AB2307" s="390"/>
    </row>
    <row r="2308" spans="1:28">
      <c r="A2308" s="391"/>
      <c r="B2308" s="392"/>
      <c r="C2308" s="393" t="s">
        <v>199</v>
      </c>
      <c r="D2308" s="2562">
        <f>VLOOKUP(C2305,'Data Panjang Balok'!$C$9:$N$254,7,FALSE)</f>
        <v>4000</v>
      </c>
      <c r="E2308" s="2563"/>
      <c r="F2308" s="2563"/>
      <c r="G2308" s="2563"/>
      <c r="H2308" s="2564"/>
      <c r="I2308" s="397"/>
      <c r="J2308" s="396"/>
      <c r="K2308" s="396"/>
      <c r="L2308" s="396"/>
      <c r="M2308" s="396"/>
      <c r="N2308" s="396"/>
      <c r="O2308" s="396"/>
      <c r="P2308" s="396"/>
      <c r="Q2308" s="396"/>
      <c r="R2308" s="396"/>
      <c r="S2308" s="396"/>
      <c r="T2308" s="396"/>
      <c r="U2308" s="388"/>
      <c r="V2308" s="396"/>
      <c r="W2308" s="388"/>
      <c r="X2308" s="396"/>
      <c r="Y2308" s="389"/>
      <c r="Z2308" s="396"/>
      <c r="AA2308" s="388"/>
      <c r="AB2308" s="390"/>
    </row>
    <row r="2309" spans="1:28">
      <c r="A2309" s="391"/>
      <c r="B2309" s="392"/>
      <c r="C2309" s="393" t="s">
        <v>200</v>
      </c>
      <c r="D2309" s="2562">
        <f>VLOOKUP(C2305,'Data Panjang Balok'!$C$9:$N$254,9,FALSE)</f>
        <v>0</v>
      </c>
      <c r="E2309" s="2563"/>
      <c r="F2309" s="2563"/>
      <c r="G2309" s="2563"/>
      <c r="H2309" s="2564"/>
      <c r="I2309" s="397"/>
      <c r="J2309" s="396"/>
      <c r="K2309" s="396"/>
      <c r="L2309" s="396"/>
      <c r="M2309" s="396"/>
      <c r="N2309" s="396"/>
      <c r="O2309" s="396"/>
      <c r="P2309" s="396"/>
      <c r="Q2309" s="396"/>
      <c r="R2309" s="396"/>
      <c r="S2309" s="396"/>
      <c r="T2309" s="396"/>
      <c r="U2309" s="388"/>
      <c r="V2309" s="396"/>
      <c r="W2309" s="388"/>
      <c r="X2309" s="396"/>
      <c r="Y2309" s="389"/>
      <c r="Z2309" s="396"/>
      <c r="AA2309" s="388"/>
      <c r="AB2309" s="390"/>
    </row>
    <row r="2310" spans="1:28">
      <c r="A2310" s="391"/>
      <c r="B2310" s="392"/>
      <c r="C2310" s="393" t="s">
        <v>201</v>
      </c>
      <c r="D2310" s="2562">
        <f>VLOOKUP(C2305,'Data Panjang Balok'!$C$9:$N$254,10,FALSE)</f>
        <v>0</v>
      </c>
      <c r="E2310" s="2563"/>
      <c r="F2310" s="2563"/>
      <c r="G2310" s="2563"/>
      <c r="H2310" s="2564"/>
      <c r="I2310" s="397"/>
      <c r="J2310" s="396"/>
      <c r="K2310" s="396"/>
      <c r="L2310" s="396"/>
      <c r="M2310" s="396"/>
      <c r="N2310" s="396"/>
      <c r="O2310" s="396"/>
      <c r="P2310" s="396"/>
      <c r="Q2310" s="396"/>
      <c r="R2310" s="396"/>
      <c r="S2310" s="396"/>
      <c r="T2310" s="396"/>
      <c r="U2310" s="388"/>
      <c r="V2310" s="396"/>
      <c r="W2310" s="388"/>
      <c r="X2310" s="396"/>
      <c r="Y2310" s="389"/>
      <c r="Z2310" s="396"/>
      <c r="AA2310" s="388"/>
      <c r="AB2310" s="390"/>
    </row>
    <row r="2311" spans="1:28">
      <c r="A2311" s="391"/>
      <c r="B2311" s="392"/>
      <c r="C2311" s="393" t="s">
        <v>48</v>
      </c>
      <c r="D2311" s="2562">
        <f>VLOOKUP(C2305,'Data Panjang Balok'!$C$9:$N$254,3,FALSE)</f>
        <v>1</v>
      </c>
      <c r="E2311" s="2563"/>
      <c r="F2311" s="2563"/>
      <c r="G2311" s="2563"/>
      <c r="H2311" s="2564"/>
      <c r="I2311" s="397"/>
      <c r="J2311" s="396"/>
      <c r="K2311" s="396"/>
      <c r="L2311" s="396"/>
      <c r="M2311" s="396"/>
      <c r="N2311" s="396"/>
      <c r="O2311" s="396"/>
      <c r="P2311" s="396"/>
      <c r="Q2311" s="396"/>
      <c r="R2311" s="396"/>
      <c r="S2311" s="396"/>
      <c r="T2311" s="396"/>
      <c r="U2311" s="388"/>
      <c r="V2311" s="396"/>
      <c r="W2311" s="388"/>
      <c r="X2311" s="396"/>
      <c r="Y2311" s="389"/>
      <c r="Z2311" s="396"/>
      <c r="AA2311" s="388"/>
      <c r="AB2311" s="390"/>
    </row>
    <row r="2312" spans="1:28">
      <c r="A2312" s="384" t="str">
        <f t="shared" ref="A2312:B2312" si="7383">A2305</f>
        <v>Lantai 1</v>
      </c>
      <c r="B2312" s="385">
        <f t="shared" si="7383"/>
        <v>75</v>
      </c>
      <c r="C2312" s="393" t="s">
        <v>202</v>
      </c>
      <c r="D2312" s="398">
        <f>VLOOKUP(D2305,'Detail Balok'!$C$10:$AU$140,4,FALSE)</f>
        <v>4</v>
      </c>
      <c r="E2312" s="388" t="s">
        <v>16</v>
      </c>
      <c r="F2312" s="388">
        <f>VLOOKUP(D2305,'Detail Balok'!$C$10:$AU$140,6,FALSE)</f>
        <v>16</v>
      </c>
      <c r="G2312" s="388"/>
      <c r="H2312" s="395"/>
      <c r="I2312" s="388" t="s">
        <v>203</v>
      </c>
      <c r="J2312" s="399">
        <f t="shared" ref="J2312" si="7384">+D2307/4/1000</f>
        <v>1</v>
      </c>
      <c r="K2312" s="400" t="s">
        <v>204</v>
      </c>
      <c r="L2312" s="399">
        <f t="shared" ref="L2312" si="7385">MAX(VLOOKUP(F2312,N$6:P$15,3,FALSE)/1000,2/3*D2309/1000)+F$16*F2312/1000</f>
        <v>0.192</v>
      </c>
      <c r="M2312" s="399" t="s">
        <v>176</v>
      </c>
      <c r="N2312" s="399">
        <f t="shared" ref="N2312:N2314" si="7386">J2312+L2312</f>
        <v>1.1919999999999999</v>
      </c>
      <c r="O2312" s="399" t="s">
        <v>204</v>
      </c>
      <c r="P2312" s="389">
        <f t="shared" ref="P2312" si="7387">D2312-D2313</f>
        <v>0</v>
      </c>
      <c r="Q2312" s="399" t="s">
        <v>125</v>
      </c>
      <c r="R2312" s="399">
        <f t="shared" ref="R2312" si="7388">IF(P2312&gt;0,$F$18*F2312/1000,0)</f>
        <v>0</v>
      </c>
      <c r="S2312" s="399" t="s">
        <v>205</v>
      </c>
      <c r="T2312" s="399" t="s">
        <v>125</v>
      </c>
      <c r="U2312" s="401">
        <f t="shared" ref="U2312:U2314" si="7389">0.006165*F2312^2</f>
        <v>1.5782400000000001</v>
      </c>
      <c r="V2312" s="399"/>
      <c r="W2312" s="399"/>
      <c r="X2312" s="399" t="s">
        <v>125</v>
      </c>
      <c r="Y2312" s="389">
        <f t="shared" ref="Y2312" si="7390">D2311</f>
        <v>1</v>
      </c>
      <c r="Z2312" s="400" t="s">
        <v>176</v>
      </c>
      <c r="AA2312" s="402">
        <f t="shared" ref="AA2312" si="7391">IF(AA2315=0,(D2312*N2312+P2312*R2312)*U2312*Y2312,0)</f>
        <v>0</v>
      </c>
      <c r="AB2312" s="403"/>
    </row>
    <row r="2313" spans="1:28">
      <c r="A2313" s="384" t="str">
        <f t="shared" ref="A2313:B2313" si="7392">A2305</f>
        <v>Lantai 1</v>
      </c>
      <c r="B2313" s="385">
        <f t="shared" si="7392"/>
        <v>75</v>
      </c>
      <c r="C2313" s="393" t="s">
        <v>206</v>
      </c>
      <c r="D2313" s="398">
        <f>VLOOKUP(D2305,'Detail Balok'!$C$10:$AU$140,7,FALSE)</f>
        <v>4</v>
      </c>
      <c r="E2313" s="388" t="s">
        <v>16</v>
      </c>
      <c r="F2313" s="388">
        <f>VLOOKUP(D2305,'Detail Balok'!$C$10:$AU$140,9,FALSE)</f>
        <v>16</v>
      </c>
      <c r="G2313" s="388"/>
      <c r="H2313" s="395"/>
      <c r="I2313" s="388" t="s">
        <v>203</v>
      </c>
      <c r="J2313" s="399">
        <f t="shared" ref="J2313" si="7393">+D2307/2/1000</f>
        <v>2</v>
      </c>
      <c r="K2313" s="400" t="s">
        <v>204</v>
      </c>
      <c r="L2313" s="399"/>
      <c r="M2313" s="399" t="s">
        <v>176</v>
      </c>
      <c r="N2313" s="399">
        <f t="shared" si="7386"/>
        <v>2</v>
      </c>
      <c r="O2313" s="399" t="s">
        <v>204</v>
      </c>
      <c r="P2313" s="389">
        <f t="shared" ref="P2313" si="7394">MAX(D2313-D2312,D2313-D2314)</f>
        <v>0</v>
      </c>
      <c r="Q2313" s="399" t="s">
        <v>125</v>
      </c>
      <c r="R2313" s="399">
        <f t="shared" ref="R2313" si="7395">IF(P2313&gt;0,2*(1-2*$F$19-1/2)*D2308/1000,0)</f>
        <v>0</v>
      </c>
      <c r="S2313" s="399" t="s">
        <v>205</v>
      </c>
      <c r="T2313" s="399" t="s">
        <v>125</v>
      </c>
      <c r="U2313" s="401">
        <f t="shared" si="7389"/>
        <v>1.5782400000000001</v>
      </c>
      <c r="V2313" s="399"/>
      <c r="W2313" s="399"/>
      <c r="X2313" s="399" t="s">
        <v>125</v>
      </c>
      <c r="Y2313" s="389">
        <f t="shared" ref="Y2313" si="7396">D2311</f>
        <v>1</v>
      </c>
      <c r="Z2313" s="400" t="s">
        <v>176</v>
      </c>
      <c r="AA2313" s="402">
        <f t="shared" ref="AA2313" si="7397">IF(AA2315=0,(D2313*N2313+P2313*R2313)*U2313*Y2313,0)</f>
        <v>0</v>
      </c>
      <c r="AB2313" s="403"/>
    </row>
    <row r="2314" spans="1:28">
      <c r="A2314" s="384" t="str">
        <f t="shared" ref="A2314:B2314" si="7398">A2305</f>
        <v>Lantai 1</v>
      </c>
      <c r="B2314" s="385">
        <f t="shared" si="7398"/>
        <v>75</v>
      </c>
      <c r="C2314" s="393" t="s">
        <v>202</v>
      </c>
      <c r="D2314" s="398">
        <f>VLOOKUP(D2305,'Detail Balok'!$C$10:$AU$140,10,FALSE)</f>
        <v>4</v>
      </c>
      <c r="E2314" s="388" t="s">
        <v>16</v>
      </c>
      <c r="F2314" s="388">
        <f>VLOOKUP(D2305,'Detail Balok'!$C$10:$AU$140,12,FALSE)</f>
        <v>16</v>
      </c>
      <c r="G2314" s="388"/>
      <c r="H2314" s="395"/>
      <c r="I2314" s="388" t="s">
        <v>203</v>
      </c>
      <c r="J2314" s="399">
        <f t="shared" ref="J2314" si="7399">+D2307/4/1000</f>
        <v>1</v>
      </c>
      <c r="K2314" s="400" t="s">
        <v>204</v>
      </c>
      <c r="L2314" s="399">
        <f t="shared" ref="L2314" si="7400">MAX(VLOOKUP(F2314,N$6:P$15,3,FALSE)/1000,2/3*D2309/1000)+F$16*F2314/1000</f>
        <v>0.192</v>
      </c>
      <c r="M2314" s="399" t="s">
        <v>176</v>
      </c>
      <c r="N2314" s="399">
        <f t="shared" si="7386"/>
        <v>1.1919999999999999</v>
      </c>
      <c r="O2314" s="399" t="s">
        <v>204</v>
      </c>
      <c r="P2314" s="389">
        <f t="shared" ref="P2314" si="7401">D2314-D2313</f>
        <v>0</v>
      </c>
      <c r="Q2314" s="399" t="s">
        <v>125</v>
      </c>
      <c r="R2314" s="399">
        <f t="shared" ref="R2314" si="7402">IF(P2314&gt;0,$F$18*F2314/1000,0)</f>
        <v>0</v>
      </c>
      <c r="S2314" s="399" t="s">
        <v>205</v>
      </c>
      <c r="T2314" s="399" t="s">
        <v>125</v>
      </c>
      <c r="U2314" s="401">
        <f t="shared" si="7389"/>
        <v>1.5782400000000001</v>
      </c>
      <c r="V2314" s="399"/>
      <c r="W2314" s="399"/>
      <c r="X2314" s="399" t="s">
        <v>125</v>
      </c>
      <c r="Y2314" s="389">
        <f t="shared" ref="Y2314" si="7403">D2311</f>
        <v>1</v>
      </c>
      <c r="Z2314" s="400" t="s">
        <v>176</v>
      </c>
      <c r="AA2314" s="402">
        <f t="shared" ref="AA2314" si="7404">IF(AA2315=0,(D2314*N2314+P2314*R2314)*U2314*Y2314,0)</f>
        <v>0</v>
      </c>
      <c r="AB2314" s="403"/>
    </row>
    <row r="2315" spans="1:28">
      <c r="A2315" s="384" t="str">
        <f t="shared" ref="A2315:B2315" si="7405">A2305</f>
        <v>Lantai 1</v>
      </c>
      <c r="B2315" s="385">
        <f t="shared" si="7405"/>
        <v>75</v>
      </c>
      <c r="C2315" s="393"/>
      <c r="D2315" s="398">
        <f t="shared" si="7208"/>
        <v>4</v>
      </c>
      <c r="E2315" s="388" t="s">
        <v>16</v>
      </c>
      <c r="F2315" s="388">
        <f t="shared" si="7209"/>
        <v>16</v>
      </c>
      <c r="G2315" s="388"/>
      <c r="H2315" s="395"/>
      <c r="I2315" s="388"/>
      <c r="J2315" s="396"/>
      <c r="K2315" s="396"/>
      <c r="L2315" s="404" t="s">
        <v>207</v>
      </c>
      <c r="M2315" s="399" t="s">
        <v>176</v>
      </c>
      <c r="N2315" s="399">
        <f t="shared" ref="N2315" si="7406">IF(AND(D2312=D2313,D2312=D2314,D2313=D2314,F2312=F2313,F2312=F2314,F2313=F2314),SUM(N2312:N2314),0)</f>
        <v>4.3840000000000003</v>
      </c>
      <c r="O2315" s="399" t="s">
        <v>204</v>
      </c>
      <c r="P2315" s="389">
        <f t="shared" ref="P2315" si="7407">IF(N2315&gt;12,ROUNDDOWN(N2315/12,0),0)</f>
        <v>0</v>
      </c>
      <c r="Q2315" s="399" t="s">
        <v>125</v>
      </c>
      <c r="R2315" s="399">
        <f t="shared" ref="R2315" si="7408">IF(P2315&gt;0,MAX(VLOOKUP(F2315,$D$6:$G$15,3,FALSE),600),0)/1000</f>
        <v>0</v>
      </c>
      <c r="S2315" s="396"/>
      <c r="T2315" s="396" t="s">
        <v>125</v>
      </c>
      <c r="U2315" s="401">
        <f t="shared" si="7213"/>
        <v>1.5782400000000001</v>
      </c>
      <c r="V2315" s="396" t="s">
        <v>125</v>
      </c>
      <c r="W2315" s="399">
        <f t="shared" ref="W2315" si="7409">D2315</f>
        <v>4</v>
      </c>
      <c r="X2315" s="399" t="s">
        <v>125</v>
      </c>
      <c r="Y2315" s="389">
        <f t="shared" si="7215"/>
        <v>1</v>
      </c>
      <c r="Z2315" s="400" t="s">
        <v>176</v>
      </c>
      <c r="AA2315" s="402">
        <f t="shared" ref="AA2315" si="7410">(N2315+P2315*R2315/1000)*U2315*W2315*Y2315</f>
        <v>27.676016640000004</v>
      </c>
      <c r="AB2315" s="390"/>
    </row>
    <row r="2316" spans="1:28">
      <c r="A2316" s="384"/>
      <c r="B2316" s="385"/>
      <c r="C2316" s="393"/>
      <c r="D2316" s="398"/>
      <c r="E2316" s="388"/>
      <c r="F2316" s="388"/>
      <c r="G2316" s="388"/>
      <c r="H2316" s="395"/>
      <c r="I2316" s="388"/>
      <c r="J2316" s="396"/>
      <c r="K2316" s="396"/>
      <c r="L2316" s="404"/>
      <c r="M2316" s="399"/>
      <c r="N2316" s="399"/>
      <c r="O2316" s="396"/>
      <c r="P2316" s="389"/>
      <c r="Q2316" s="396"/>
      <c r="R2316" s="396"/>
      <c r="S2316" s="396"/>
      <c r="T2316" s="396"/>
      <c r="U2316" s="401"/>
      <c r="V2316" s="396"/>
      <c r="W2316" s="399"/>
      <c r="X2316" s="396"/>
      <c r="Y2316" s="389"/>
      <c r="Z2316" s="396"/>
      <c r="AA2316" s="388"/>
      <c r="AB2316" s="390"/>
    </row>
    <row r="2317" spans="1:28">
      <c r="A2317" s="384" t="str">
        <f t="shared" ref="A2317:B2317" si="7411">A2305</f>
        <v>Lantai 1</v>
      </c>
      <c r="B2317" s="385">
        <f t="shared" si="7411"/>
        <v>75</v>
      </c>
      <c r="C2317" s="393" t="s">
        <v>208</v>
      </c>
      <c r="D2317" s="398">
        <f>VLOOKUP(D2305,'Detail Balok'!$C$10:$AU$140,13,FALSE)</f>
        <v>2</v>
      </c>
      <c r="E2317" s="388" t="s">
        <v>16</v>
      </c>
      <c r="F2317" s="388">
        <f>VLOOKUP(D2305,'Detail Balok'!$C$10:$AU$140,15,FALSE)</f>
        <v>10</v>
      </c>
      <c r="G2317" s="388"/>
      <c r="H2317" s="395"/>
      <c r="I2317" s="388"/>
      <c r="J2317" s="399">
        <f t="shared" ref="J2317" si="7412">+D2307/1000</f>
        <v>4</v>
      </c>
      <c r="K2317" s="400" t="s">
        <v>204</v>
      </c>
      <c r="L2317" s="399">
        <f t="shared" ref="L2317" si="7413">2*$F$16*F2317/1000</f>
        <v>0.24</v>
      </c>
      <c r="M2317" s="399" t="s">
        <v>176</v>
      </c>
      <c r="N2317" s="399">
        <f t="shared" ref="N2317" si="7414">J2317+L2317</f>
        <v>4.24</v>
      </c>
      <c r="O2317" s="399" t="s">
        <v>204</v>
      </c>
      <c r="P2317" s="389">
        <f t="shared" ref="P2317" si="7415">IF(N2317&gt;12,ROUNDDOWN(N2317/12,0),0)</f>
        <v>0</v>
      </c>
      <c r="Q2317" s="399" t="s">
        <v>125</v>
      </c>
      <c r="R2317" s="399">
        <f t="shared" ref="R2317" si="7416">IF(P2317&gt;0,MAX(VLOOKUP(F2317,$D$6:$G$15,3,FALSE),600),0)/1000</f>
        <v>0</v>
      </c>
      <c r="S2317" s="399"/>
      <c r="T2317" s="399" t="s">
        <v>125</v>
      </c>
      <c r="U2317" s="401">
        <f t="shared" ref="U2317" si="7417">0.006165*F2317^2</f>
        <v>0.61650000000000005</v>
      </c>
      <c r="V2317" s="399" t="s">
        <v>125</v>
      </c>
      <c r="W2317" s="399">
        <f t="shared" ref="W2317" si="7418">+D2317</f>
        <v>2</v>
      </c>
      <c r="X2317" s="399" t="s">
        <v>125</v>
      </c>
      <c r="Y2317" s="389">
        <f t="shared" ref="Y2317" si="7419">D2311</f>
        <v>1</v>
      </c>
      <c r="Z2317" s="400" t="s">
        <v>176</v>
      </c>
      <c r="AA2317" s="402">
        <f t="shared" ref="AA2317" si="7420">(N2317+P2317*R2317/1000)*U2317*W2317*Y2317</f>
        <v>5.227920000000001</v>
      </c>
      <c r="AB2317" s="403"/>
    </row>
    <row r="2318" spans="1:28">
      <c r="A2318" s="384"/>
      <c r="B2318" s="385"/>
      <c r="C2318" s="393"/>
      <c r="D2318" s="398"/>
      <c r="E2318" s="388"/>
      <c r="F2318" s="388"/>
      <c r="G2318" s="388"/>
      <c r="H2318" s="395"/>
      <c r="I2318" s="388"/>
      <c r="J2318" s="399"/>
      <c r="K2318" s="400"/>
      <c r="L2318" s="399"/>
      <c r="M2318" s="399"/>
      <c r="N2318" s="399"/>
      <c r="O2318" s="399"/>
      <c r="P2318" s="389"/>
      <c r="Q2318" s="399"/>
      <c r="R2318" s="399"/>
      <c r="S2318" s="399"/>
      <c r="T2318" s="399"/>
      <c r="U2318" s="401"/>
      <c r="V2318" s="399"/>
      <c r="W2318" s="399"/>
      <c r="X2318" s="399"/>
      <c r="Y2318" s="389"/>
      <c r="Z2318" s="400"/>
      <c r="AA2318" s="402"/>
      <c r="AB2318" s="403"/>
    </row>
    <row r="2319" spans="1:28">
      <c r="A2319" s="384"/>
      <c r="B2319" s="385"/>
      <c r="C2319" s="393"/>
      <c r="D2319" s="398"/>
      <c r="E2319" s="388"/>
      <c r="F2319" s="388"/>
      <c r="G2319" s="388"/>
      <c r="H2319" s="395"/>
      <c r="I2319" s="388"/>
      <c r="J2319" s="396"/>
      <c r="K2319" s="396"/>
      <c r="L2319" s="396"/>
      <c r="M2319" s="396"/>
      <c r="N2319" s="396"/>
      <c r="O2319" s="396"/>
      <c r="P2319" s="389"/>
      <c r="Q2319" s="396"/>
      <c r="R2319" s="396"/>
      <c r="S2319" s="396"/>
      <c r="T2319" s="396"/>
      <c r="U2319" s="401"/>
      <c r="V2319" s="396"/>
      <c r="W2319" s="399"/>
      <c r="X2319" s="396"/>
      <c r="Y2319" s="389"/>
      <c r="Z2319" s="396"/>
      <c r="AA2319" s="388"/>
      <c r="AB2319" s="390"/>
    </row>
    <row r="2320" spans="1:28">
      <c r="A2320" s="384" t="str">
        <f t="shared" ref="A2320:B2320" si="7421">A2305</f>
        <v>Lantai 1</v>
      </c>
      <c r="B2320" s="385">
        <f t="shared" si="7421"/>
        <v>75</v>
      </c>
      <c r="C2320" s="393" t="s">
        <v>209</v>
      </c>
      <c r="D2320" s="398">
        <f>VLOOKUP(D2305,'Detail Balok'!$C$10:$AU$140,22,FALSE)</f>
        <v>4</v>
      </c>
      <c r="E2320" s="388" t="s">
        <v>16</v>
      </c>
      <c r="F2320" s="388">
        <f>VLOOKUP(D2305,'Detail Balok'!$C$10:$AU$140,24,FALSE)</f>
        <v>16</v>
      </c>
      <c r="G2320" s="388"/>
      <c r="H2320" s="395"/>
      <c r="I2320" s="388" t="s">
        <v>203</v>
      </c>
      <c r="J2320" s="399">
        <f t="shared" si="7228"/>
        <v>1</v>
      </c>
      <c r="K2320" s="400" t="s">
        <v>204</v>
      </c>
      <c r="L2320" s="399">
        <f t="shared" ref="L2320" si="7422">MAX(VLOOKUP(F2320,N$6:P$15,3,FALSE)/1000,2/3*D2310/1000)+F$16*F2320/1000</f>
        <v>0.192</v>
      </c>
      <c r="M2320" s="399" t="s">
        <v>176</v>
      </c>
      <c r="N2320" s="399">
        <f t="shared" ref="N2320:N2322" si="7423">J2320+L2320</f>
        <v>1.1919999999999999</v>
      </c>
      <c r="O2320" s="399" t="s">
        <v>204</v>
      </c>
      <c r="P2320" s="389">
        <f t="shared" ref="P2320" si="7424">D2320-D2321</f>
        <v>0</v>
      </c>
      <c r="Q2320" s="399" t="s">
        <v>125</v>
      </c>
      <c r="R2320" s="399">
        <f t="shared" ref="R2320" si="7425">IF(P2320&gt;0,$F$18*F2320/1000,0)</f>
        <v>0</v>
      </c>
      <c r="S2320" s="399" t="s">
        <v>205</v>
      </c>
      <c r="T2320" s="399" t="s">
        <v>125</v>
      </c>
      <c r="U2320" s="401">
        <f t="shared" ref="U2320:U2322" si="7426">0.006165*F2320^2</f>
        <v>1.5782400000000001</v>
      </c>
      <c r="V2320" s="399"/>
      <c r="W2320" s="399"/>
      <c r="X2320" s="399" t="s">
        <v>125</v>
      </c>
      <c r="Y2320" s="389">
        <f t="shared" ref="Y2320" si="7427">D2311</f>
        <v>1</v>
      </c>
      <c r="Z2320" s="400" t="s">
        <v>176</v>
      </c>
      <c r="AA2320" s="402">
        <f t="shared" ref="AA2320" si="7428">IF(AA2323=0,(D2320*N2320+P2320*R2320)*U2320*Y2320,0)</f>
        <v>0</v>
      </c>
      <c r="AB2320" s="403"/>
    </row>
    <row r="2321" spans="1:28">
      <c r="A2321" s="384" t="str">
        <f t="shared" ref="A2321:B2321" si="7429">A2305</f>
        <v>Lantai 1</v>
      </c>
      <c r="B2321" s="385">
        <f t="shared" si="7429"/>
        <v>75</v>
      </c>
      <c r="C2321" s="393" t="s">
        <v>210</v>
      </c>
      <c r="D2321" s="398">
        <f>VLOOKUP(D2305,'Detail Balok'!$C$10:$AU$140,25,FALSE)</f>
        <v>4</v>
      </c>
      <c r="E2321" s="388" t="s">
        <v>16</v>
      </c>
      <c r="F2321" s="388">
        <f>VLOOKUP(D2305,'Detail Balok'!$C$10:$AU$140,27,FALSE)</f>
        <v>16</v>
      </c>
      <c r="G2321" s="388"/>
      <c r="H2321" s="395"/>
      <c r="I2321" s="388" t="s">
        <v>203</v>
      </c>
      <c r="J2321" s="399">
        <f t="shared" si="7228"/>
        <v>2</v>
      </c>
      <c r="K2321" s="400" t="s">
        <v>204</v>
      </c>
      <c r="L2321" s="399"/>
      <c r="M2321" s="399" t="s">
        <v>176</v>
      </c>
      <c r="N2321" s="399">
        <f t="shared" si="7423"/>
        <v>2</v>
      </c>
      <c r="O2321" s="399" t="s">
        <v>204</v>
      </c>
      <c r="P2321" s="389">
        <f t="shared" ref="P2321" si="7430">MAX(D2321-D2320,D2321-D2322)</f>
        <v>0</v>
      </c>
      <c r="Q2321" s="399" t="s">
        <v>125</v>
      </c>
      <c r="R2321" s="399">
        <f t="shared" ref="R2321" si="7431">IF(P2321&gt;0,2*(1-2*$F$19-1/2)*D2308/1000,0)</f>
        <v>0</v>
      </c>
      <c r="S2321" s="399" t="s">
        <v>205</v>
      </c>
      <c r="T2321" s="399" t="s">
        <v>125</v>
      </c>
      <c r="U2321" s="401">
        <f t="shared" si="7426"/>
        <v>1.5782400000000001</v>
      </c>
      <c r="V2321" s="399"/>
      <c r="W2321" s="399"/>
      <c r="X2321" s="399" t="s">
        <v>125</v>
      </c>
      <c r="Y2321" s="389">
        <f t="shared" ref="Y2321" si="7432">D2311</f>
        <v>1</v>
      </c>
      <c r="Z2321" s="400" t="s">
        <v>176</v>
      </c>
      <c r="AA2321" s="402">
        <f t="shared" ref="AA2321" si="7433">IF(AA2323=0,(D2321*N2321+P2321*R2321)*U2321*Y2321,0)</f>
        <v>0</v>
      </c>
      <c r="AB2321" s="403"/>
    </row>
    <row r="2322" spans="1:28">
      <c r="A2322" s="384" t="str">
        <f t="shared" ref="A2322:B2322" si="7434">A2305</f>
        <v>Lantai 1</v>
      </c>
      <c r="B2322" s="385">
        <f t="shared" si="7434"/>
        <v>75</v>
      </c>
      <c r="C2322" s="393" t="s">
        <v>209</v>
      </c>
      <c r="D2322" s="398">
        <f>VLOOKUP(D2305,'Detail Balok'!$C$10:$AU$140,28,FALSE)</f>
        <v>4</v>
      </c>
      <c r="E2322" s="388" t="s">
        <v>16</v>
      </c>
      <c r="F2322" s="388">
        <f>VLOOKUP(D2305,'Detail Balok'!$C$10:$AU$140,30,FALSE)</f>
        <v>16</v>
      </c>
      <c r="G2322" s="388"/>
      <c r="H2322" s="395"/>
      <c r="I2322" s="388" t="s">
        <v>203</v>
      </c>
      <c r="J2322" s="399">
        <f t="shared" si="7228"/>
        <v>1</v>
      </c>
      <c r="K2322" s="400" t="s">
        <v>204</v>
      </c>
      <c r="L2322" s="399">
        <f t="shared" ref="L2322" si="7435">MAX(VLOOKUP(F2322,N$6:P$15,3,FALSE)/1000,2/3*D2310/1000)+F$16*F2322/1000</f>
        <v>0.192</v>
      </c>
      <c r="M2322" s="399" t="s">
        <v>176</v>
      </c>
      <c r="N2322" s="399">
        <f t="shared" si="7423"/>
        <v>1.1919999999999999</v>
      </c>
      <c r="O2322" s="399" t="s">
        <v>204</v>
      </c>
      <c r="P2322" s="389">
        <f t="shared" ref="P2322" si="7436">D2322-D2321</f>
        <v>0</v>
      </c>
      <c r="Q2322" s="399" t="s">
        <v>125</v>
      </c>
      <c r="R2322" s="399">
        <f t="shared" ref="R2322" si="7437">IF(P2322&gt;0,$F$18*F2322/1000,0)</f>
        <v>0</v>
      </c>
      <c r="S2322" s="399" t="s">
        <v>205</v>
      </c>
      <c r="T2322" s="399" t="s">
        <v>125</v>
      </c>
      <c r="U2322" s="401">
        <f t="shared" si="7426"/>
        <v>1.5782400000000001</v>
      </c>
      <c r="V2322" s="399"/>
      <c r="W2322" s="399"/>
      <c r="X2322" s="399" t="s">
        <v>125</v>
      </c>
      <c r="Y2322" s="389">
        <f t="shared" ref="Y2322" si="7438">D2311</f>
        <v>1</v>
      </c>
      <c r="Z2322" s="400" t="s">
        <v>176</v>
      </c>
      <c r="AA2322" s="402">
        <f t="shared" ref="AA2322" si="7439">IF(AA2323=0,(D2322*N2322+P2322*R2322)*U2322*Y2322,0)</f>
        <v>0</v>
      </c>
      <c r="AB2322" s="403"/>
    </row>
    <row r="2323" spans="1:28">
      <c r="A2323" s="384" t="str">
        <f t="shared" ref="A2323:B2323" si="7440">A2305</f>
        <v>Lantai 1</v>
      </c>
      <c r="B2323" s="385">
        <f t="shared" si="7440"/>
        <v>75</v>
      </c>
      <c r="C2323" s="393"/>
      <c r="D2323" s="398">
        <f t="shared" si="7248"/>
        <v>4</v>
      </c>
      <c r="E2323" s="388" t="s">
        <v>16</v>
      </c>
      <c r="F2323" s="388">
        <f t="shared" si="7249"/>
        <v>16</v>
      </c>
      <c r="G2323" s="388"/>
      <c r="H2323" s="395"/>
      <c r="I2323" s="388"/>
      <c r="J2323" s="396"/>
      <c r="K2323" s="396"/>
      <c r="L2323" s="404" t="s">
        <v>207</v>
      </c>
      <c r="M2323" s="399" t="s">
        <v>176</v>
      </c>
      <c r="N2323" s="399">
        <f t="shared" ref="N2323" si="7441">IF(AND(D2320=D2321,D2320=D2322,D2321=D2322,F2320=F2321,F2320=F2322,F2321=F2322),SUM(N2320:N2322),0)</f>
        <v>4.3840000000000003</v>
      </c>
      <c r="O2323" s="399" t="s">
        <v>204</v>
      </c>
      <c r="P2323" s="389">
        <f t="shared" ref="P2323" si="7442">IF(N2323&gt;12,ROUNDDOWN(N2323/12,0),0)</f>
        <v>0</v>
      </c>
      <c r="Q2323" s="399" t="s">
        <v>125</v>
      </c>
      <c r="R2323" s="399">
        <f t="shared" ref="R2323" si="7443">IF(P2323&gt;0,MAX(VLOOKUP(F2323,$D$6:$G$15,3,FALSE),600),0)/1000</f>
        <v>0</v>
      </c>
      <c r="S2323" s="396"/>
      <c r="T2323" s="396" t="s">
        <v>125</v>
      </c>
      <c r="U2323" s="401">
        <f t="shared" si="7253"/>
        <v>1.5782400000000001</v>
      </c>
      <c r="V2323" s="396" t="s">
        <v>125</v>
      </c>
      <c r="W2323" s="399">
        <f t="shared" ref="W2323" si="7444">D2323</f>
        <v>4</v>
      </c>
      <c r="X2323" s="399" t="s">
        <v>125</v>
      </c>
      <c r="Y2323" s="389">
        <f t="shared" si="7255"/>
        <v>1</v>
      </c>
      <c r="Z2323" s="400" t="s">
        <v>176</v>
      </c>
      <c r="AA2323" s="402">
        <f t="shared" ref="AA2323" si="7445">(N2323+P2323*R2323/1000)*U2323*W2323*Y2323</f>
        <v>27.676016640000004</v>
      </c>
      <c r="AB2323" s="403"/>
    </row>
    <row r="2324" spans="1:28">
      <c r="A2324" s="384"/>
      <c r="B2324" s="385"/>
      <c r="C2324" s="393"/>
      <c r="D2324" s="394"/>
      <c r="E2324" s="388"/>
      <c r="F2324" s="388"/>
      <c r="G2324" s="388"/>
      <c r="H2324" s="395"/>
      <c r="I2324" s="388"/>
      <c r="J2324" s="399"/>
      <c r="K2324" s="396"/>
      <c r="L2324" s="396"/>
      <c r="M2324" s="396"/>
      <c r="N2324" s="396"/>
      <c r="O2324" s="396"/>
      <c r="P2324" s="389"/>
      <c r="Q2324" s="396"/>
      <c r="R2324" s="396"/>
      <c r="S2324" s="396"/>
      <c r="T2324" s="396"/>
      <c r="U2324" s="401"/>
      <c r="V2324" s="396"/>
      <c r="W2324" s="388"/>
      <c r="X2324" s="396"/>
      <c r="Y2324" s="389"/>
      <c r="Z2324" s="396"/>
      <c r="AA2324" s="388"/>
      <c r="AB2324" s="390"/>
    </row>
    <row r="2325" spans="1:28">
      <c r="A2325" s="384" t="str">
        <f t="shared" ref="A2325:B2325" si="7446">A2305</f>
        <v>Lantai 1</v>
      </c>
      <c r="B2325" s="385">
        <f t="shared" si="7446"/>
        <v>75</v>
      </c>
      <c r="C2325" s="393" t="s">
        <v>211</v>
      </c>
      <c r="D2325" s="398">
        <f>VLOOKUP(D2305,'Detail Balok'!$C$10:$AU$140,31,FALSE)</f>
        <v>0</v>
      </c>
      <c r="E2325" s="388" t="s">
        <v>16</v>
      </c>
      <c r="F2325" s="388">
        <f>VLOOKUP(D2305,'Detail Balok'!$C$10:$AU$140,33,FALSE)</f>
        <v>10</v>
      </c>
      <c r="G2325" s="405" t="s">
        <v>157</v>
      </c>
      <c r="H2325" s="395">
        <f>VLOOKUP(D2305,'Detail Balok'!$C$10:$AU$140,35,FALSE)</f>
        <v>150</v>
      </c>
      <c r="I2325" s="388"/>
      <c r="J2325" s="400">
        <f t="shared" ref="J2325" si="7447">(IF(D2325=0,(2*(D2306+G2306))-(F$5*8),IF(D2325=3,(2*(D2306+G2306))-(F$5*8)+(G2306-2*F$5),IF(D2325=4,(2*(D2306+G2306))-(F$5*8)+2*(G2306-2*F$5)))))/1000</f>
        <v>1.08</v>
      </c>
      <c r="K2325" s="400" t="s">
        <v>204</v>
      </c>
      <c r="L2325" s="399">
        <f t="shared" ref="L2325:L2327" si="7448">IF(D2325=0,2*MAX(6*F2325,75),(D2325-1)*2*MAX(6*F2325,75))/1000</f>
        <v>0.15</v>
      </c>
      <c r="M2325" s="399" t="s">
        <v>176</v>
      </c>
      <c r="N2325" s="399">
        <f t="shared" ref="N2325:N2327" si="7449">J2325+L2325</f>
        <v>1.23</v>
      </c>
      <c r="O2325" s="399"/>
      <c r="P2325" s="389"/>
      <c r="Q2325" s="399"/>
      <c r="R2325" s="399"/>
      <c r="S2325" s="399"/>
      <c r="T2325" s="399" t="s">
        <v>125</v>
      </c>
      <c r="U2325" s="401">
        <f t="shared" ref="U2325:U2327" si="7450">0.006165*F2325^2</f>
        <v>0.61650000000000005</v>
      </c>
      <c r="V2325" s="399" t="s">
        <v>125</v>
      </c>
      <c r="W2325" s="399">
        <f t="shared" ref="W2325" si="7451">IF(D2308&gt;4*G2306,ROUND(MAX(D2308/4,2*G2306)/H2325,0)+1,ROUND(D2308/H2325,0)+1)</f>
        <v>8</v>
      </c>
      <c r="X2325" s="399" t="s">
        <v>125</v>
      </c>
      <c r="Y2325" s="389">
        <f t="shared" ref="Y2325" si="7452">D2311</f>
        <v>1</v>
      </c>
      <c r="Z2325" s="400" t="s">
        <v>176</v>
      </c>
      <c r="AA2325" s="402">
        <f t="shared" ref="AA2325:AA2327" si="7453">N2325*U2325*W2325*Y2325</f>
        <v>6.0663600000000004</v>
      </c>
      <c r="AB2325" s="403"/>
    </row>
    <row r="2326" spans="1:28">
      <c r="A2326" s="384" t="str">
        <f t="shared" ref="A2326:B2326" si="7454">A2305</f>
        <v>Lantai 1</v>
      </c>
      <c r="B2326" s="385">
        <f t="shared" si="7454"/>
        <v>75</v>
      </c>
      <c r="C2326" s="393" t="s">
        <v>212</v>
      </c>
      <c r="D2326" s="398">
        <f>VLOOKUP(D2305,'Detail Balok'!$C$10:$AU$140,36,FALSE)</f>
        <v>0</v>
      </c>
      <c r="E2326" s="388" t="s">
        <v>16</v>
      </c>
      <c r="F2326" s="388">
        <f>VLOOKUP(D2305,'Detail Balok'!$C$10:$AU$140,38,FALSE)</f>
        <v>10</v>
      </c>
      <c r="G2326" s="405" t="s">
        <v>157</v>
      </c>
      <c r="H2326" s="395">
        <f>VLOOKUP(D2305,'Detail Balok'!$C$10:$AU$140,40,FALSE)</f>
        <v>200</v>
      </c>
      <c r="I2326" s="388"/>
      <c r="J2326" s="400">
        <f t="shared" ref="J2326" si="7455">(IF(D2326=0,(2*(D2306+G2306))-(F$5*8),IF(D2326=3,(2*(D2306+G2306))-(F$5*8)+(G2306-2*F$5),IF(D2326=4,(2*(D2306+G2306))-(F$5*8)+2*(G2306-2*F$5)))))/1000</f>
        <v>1.08</v>
      </c>
      <c r="K2326" s="400" t="s">
        <v>204</v>
      </c>
      <c r="L2326" s="399">
        <f t="shared" si="7448"/>
        <v>0.15</v>
      </c>
      <c r="M2326" s="399" t="s">
        <v>176</v>
      </c>
      <c r="N2326" s="399">
        <f t="shared" si="7449"/>
        <v>1.23</v>
      </c>
      <c r="O2326" s="399"/>
      <c r="P2326" s="389"/>
      <c r="Q2326" s="399"/>
      <c r="R2326" s="399"/>
      <c r="S2326" s="399"/>
      <c r="T2326" s="399" t="s">
        <v>125</v>
      </c>
      <c r="U2326" s="401">
        <f t="shared" si="7450"/>
        <v>0.61650000000000005</v>
      </c>
      <c r="V2326" s="399" t="s">
        <v>125</v>
      </c>
      <c r="W2326" s="399">
        <f t="shared" ref="W2326" si="7456">IF(D2308-MAX(D2308/4,2*G2306)*2&gt;0,ROUND((D2308-MAX(D2308/4,2*G2306)*2)/H2326,0),0)</f>
        <v>10</v>
      </c>
      <c r="X2326" s="399" t="s">
        <v>125</v>
      </c>
      <c r="Y2326" s="389">
        <f t="shared" ref="Y2326" si="7457">D2311</f>
        <v>1</v>
      </c>
      <c r="Z2326" s="400" t="s">
        <v>176</v>
      </c>
      <c r="AA2326" s="402">
        <f t="shared" si="7453"/>
        <v>7.5829500000000003</v>
      </c>
      <c r="AB2326" s="403"/>
    </row>
    <row r="2327" spans="1:28">
      <c r="A2327" s="384" t="str">
        <f t="shared" ref="A2327:B2327" si="7458">A2305</f>
        <v>Lantai 1</v>
      </c>
      <c r="B2327" s="385">
        <f t="shared" si="7458"/>
        <v>75</v>
      </c>
      <c r="C2327" s="393" t="s">
        <v>211</v>
      </c>
      <c r="D2327" s="398">
        <f>VLOOKUP(D2305,'Detail Balok'!$C$10:$AU$140,41,FALSE)</f>
        <v>0</v>
      </c>
      <c r="E2327" s="388" t="s">
        <v>16</v>
      </c>
      <c r="F2327" s="388">
        <f>VLOOKUP(D2305,'Detail Balok'!$C$10:$AU$140,43,FALSE)</f>
        <v>10</v>
      </c>
      <c r="G2327" s="405" t="s">
        <v>157</v>
      </c>
      <c r="H2327" s="395">
        <f>VLOOKUP(D2305,'Detail Balok'!$C$10:$AU$140,45,FALSE)</f>
        <v>150</v>
      </c>
      <c r="I2327" s="388"/>
      <c r="J2327" s="400">
        <f t="shared" ref="J2327" si="7459">(IF(D2327=0,(2*(D2306+G2306))-(F$5*8),IF(D2327=3,(2*(D2306+G2306))-(F$5*8)+(G2306-2*F$5),IF(D2327=4,(2*(D2306+G2306))-(F$5*8)+2*(G2306-2*F$5)))))/1000</f>
        <v>1.08</v>
      </c>
      <c r="K2327" s="400" t="s">
        <v>204</v>
      </c>
      <c r="L2327" s="399">
        <f t="shared" si="7448"/>
        <v>0.15</v>
      </c>
      <c r="M2327" s="399" t="s">
        <v>176</v>
      </c>
      <c r="N2327" s="399">
        <f t="shared" si="7449"/>
        <v>1.23</v>
      </c>
      <c r="O2327" s="399"/>
      <c r="P2327" s="389"/>
      <c r="Q2327" s="399"/>
      <c r="R2327" s="399"/>
      <c r="S2327" s="399"/>
      <c r="T2327" s="399" t="s">
        <v>125</v>
      </c>
      <c r="U2327" s="401">
        <f t="shared" si="7450"/>
        <v>0.61650000000000005</v>
      </c>
      <c r="V2327" s="399" t="s">
        <v>125</v>
      </c>
      <c r="W2327" s="399">
        <f t="shared" ref="W2327" si="7460">IF(D2308&gt;4*G2306,ROUND(MAX(D2308/4,2*G2306)/H2327,0)+1,0)</f>
        <v>8</v>
      </c>
      <c r="X2327" s="399" t="s">
        <v>125</v>
      </c>
      <c r="Y2327" s="389">
        <f t="shared" ref="Y2327" si="7461">D2311</f>
        <v>1</v>
      </c>
      <c r="Z2327" s="400" t="s">
        <v>176</v>
      </c>
      <c r="AA2327" s="402">
        <f t="shared" si="7453"/>
        <v>6.0663600000000004</v>
      </c>
      <c r="AB2327" s="403"/>
    </row>
    <row r="2328" spans="1:28">
      <c r="A2328" s="384"/>
      <c r="B2328" s="385"/>
      <c r="C2328" s="393"/>
      <c r="D2328" s="394"/>
      <c r="E2328" s="388"/>
      <c r="F2328" s="388"/>
      <c r="G2328" s="388"/>
      <c r="H2328" s="395"/>
      <c r="I2328" s="388"/>
      <c r="J2328" s="399"/>
      <c r="K2328" s="396"/>
      <c r="L2328" s="396"/>
      <c r="M2328" s="396"/>
      <c r="N2328" s="396"/>
      <c r="O2328" s="396"/>
      <c r="P2328" s="389"/>
      <c r="Q2328" s="396"/>
      <c r="R2328" s="396"/>
      <c r="S2328" s="396"/>
      <c r="T2328" s="396"/>
      <c r="U2328" s="401"/>
      <c r="V2328" s="396"/>
      <c r="W2328" s="388"/>
      <c r="X2328" s="396"/>
      <c r="Y2328" s="389"/>
      <c r="Z2328" s="396"/>
      <c r="AA2328" s="388"/>
      <c r="AB2328" s="390"/>
    </row>
    <row r="2329" spans="1:28">
      <c r="A2329" s="384" t="str">
        <f t="shared" ref="A2329:B2329" si="7462">A2305</f>
        <v>Lantai 1</v>
      </c>
      <c r="B2329" s="385">
        <f t="shared" si="7462"/>
        <v>75</v>
      </c>
      <c r="C2329" s="393" t="s">
        <v>213</v>
      </c>
      <c r="D2329" s="398">
        <f>VLOOKUP(D2305,'Detail Balok'!$C$10:$BJ$140,46,FALSE)</f>
        <v>0</v>
      </c>
      <c r="E2329" s="388" t="s">
        <v>16</v>
      </c>
      <c r="F2329" s="388">
        <f>VLOOKUP(D2305,'Detail Balok'!$C$10:$BJ$140,48,FALSE)</f>
        <v>0</v>
      </c>
      <c r="G2329" s="405" t="s">
        <v>157</v>
      </c>
      <c r="H2329" s="395">
        <f>VLOOKUP(D2305,'Detail Balok'!$C$10:$BJ$140,50,FALSE)</f>
        <v>100</v>
      </c>
      <c r="I2329" s="388"/>
      <c r="J2329" s="399">
        <f t="shared" ref="J2329" si="7463">(D2306-2*F$5)/1000</f>
        <v>0.12</v>
      </c>
      <c r="K2329" s="400" t="s">
        <v>204</v>
      </c>
      <c r="L2329" s="399">
        <f t="shared" ref="L2329:L2331" si="7464">IF(D2329=0,2*MAX(6*F2329,75),(D2329-1)*2*MAX(6*F2329,75))/1000</f>
        <v>0.15</v>
      </c>
      <c r="M2329" s="399" t="s">
        <v>176</v>
      </c>
      <c r="N2329" s="399">
        <f t="shared" ref="N2329:N2331" si="7465">J2329+L2329</f>
        <v>0.27</v>
      </c>
      <c r="O2329" s="399"/>
      <c r="P2329" s="399"/>
      <c r="Q2329" s="399"/>
      <c r="R2329" s="399"/>
      <c r="S2329" s="399"/>
      <c r="T2329" s="399" t="s">
        <v>125</v>
      </c>
      <c r="U2329" s="401">
        <f t="shared" ref="U2329:U2331" si="7466">0.006165*F2329^2</f>
        <v>0</v>
      </c>
      <c r="V2329" s="399" t="s">
        <v>125</v>
      </c>
      <c r="W2329" s="399">
        <f t="shared" si="7278"/>
        <v>8</v>
      </c>
      <c r="X2329" s="399" t="s">
        <v>125</v>
      </c>
      <c r="Y2329" s="389">
        <f t="shared" ref="Y2329" si="7467">D2315</f>
        <v>4</v>
      </c>
      <c r="Z2329" s="400" t="s">
        <v>176</v>
      </c>
      <c r="AA2329" s="402">
        <f t="shared" ref="AA2329:AA2331" si="7468">N2329*U2329*W2329*Y2329</f>
        <v>0</v>
      </c>
      <c r="AB2329" s="403"/>
    </row>
    <row r="2330" spans="1:28">
      <c r="A2330" s="384" t="str">
        <f t="shared" ref="A2330:B2330" si="7469">A2305</f>
        <v>Lantai 1</v>
      </c>
      <c r="B2330" s="385">
        <f t="shared" si="7469"/>
        <v>75</v>
      </c>
      <c r="C2330" s="393" t="s">
        <v>214</v>
      </c>
      <c r="D2330" s="398">
        <f>VLOOKUP(D2305,'Detail Balok'!$C$10:$BJ$140,51,FALSE)</f>
        <v>0</v>
      </c>
      <c r="E2330" s="388" t="s">
        <v>16</v>
      </c>
      <c r="F2330" s="388">
        <f>VLOOKUP(D2305,'Detail Balok'!$C$10:$BJ$140,53,FALSE)</f>
        <v>0</v>
      </c>
      <c r="G2330" s="405" t="s">
        <v>157</v>
      </c>
      <c r="H2330" s="395">
        <f>VLOOKUP(D2305,'Detail Balok'!$C$10:$BJ$140,55,FALSE)</f>
        <v>100</v>
      </c>
      <c r="I2330" s="388"/>
      <c r="J2330" s="399">
        <f t="shared" ref="J2330" si="7470">(D2306-2*F$5)/1000</f>
        <v>0.12</v>
      </c>
      <c r="K2330" s="400" t="s">
        <v>204</v>
      </c>
      <c r="L2330" s="399">
        <f t="shared" si="7464"/>
        <v>0.15</v>
      </c>
      <c r="M2330" s="399" t="s">
        <v>176</v>
      </c>
      <c r="N2330" s="399">
        <f t="shared" si="7465"/>
        <v>0.27</v>
      </c>
      <c r="O2330" s="399"/>
      <c r="P2330" s="399"/>
      <c r="Q2330" s="399"/>
      <c r="R2330" s="399"/>
      <c r="S2330" s="399"/>
      <c r="T2330" s="399" t="s">
        <v>125</v>
      </c>
      <c r="U2330" s="401">
        <f t="shared" si="7466"/>
        <v>0</v>
      </c>
      <c r="V2330" s="399" t="s">
        <v>125</v>
      </c>
      <c r="W2330" s="399">
        <f t="shared" si="7278"/>
        <v>10</v>
      </c>
      <c r="X2330" s="399" t="s">
        <v>125</v>
      </c>
      <c r="Y2330" s="389">
        <f t="shared" ref="Y2330" si="7471">D2315</f>
        <v>4</v>
      </c>
      <c r="Z2330" s="400" t="s">
        <v>176</v>
      </c>
      <c r="AA2330" s="402">
        <f t="shared" si="7468"/>
        <v>0</v>
      </c>
      <c r="AB2330" s="403"/>
    </row>
    <row r="2331" spans="1:28">
      <c r="A2331" s="384" t="str">
        <f t="shared" ref="A2331:B2331" si="7472">A2305</f>
        <v>Lantai 1</v>
      </c>
      <c r="B2331" s="385">
        <f t="shared" si="7472"/>
        <v>75</v>
      </c>
      <c r="C2331" s="393" t="s">
        <v>213</v>
      </c>
      <c r="D2331" s="398">
        <f>VLOOKUP(D2305,'Detail Balok'!$C$10:$BJ$140,56,FALSE)</f>
        <v>0</v>
      </c>
      <c r="E2331" s="388" t="s">
        <v>16</v>
      </c>
      <c r="F2331" s="388">
        <f>VLOOKUP(D2305,'Detail Balok'!$C$10:$BJ$140,58,FALSE)</f>
        <v>0</v>
      </c>
      <c r="G2331" s="405" t="s">
        <v>157</v>
      </c>
      <c r="H2331" s="395">
        <f>VLOOKUP(D2305,'Detail Balok'!$C$10:$BJ$140,60,FALSE)</f>
        <v>100</v>
      </c>
      <c r="I2331" s="388"/>
      <c r="J2331" s="399">
        <f t="shared" ref="J2331" si="7473">(D2306-2*F$5)/1000</f>
        <v>0.12</v>
      </c>
      <c r="K2331" s="400" t="s">
        <v>204</v>
      </c>
      <c r="L2331" s="399">
        <f t="shared" si="7464"/>
        <v>0.15</v>
      </c>
      <c r="M2331" s="399" t="s">
        <v>176</v>
      </c>
      <c r="N2331" s="399">
        <f t="shared" si="7465"/>
        <v>0.27</v>
      </c>
      <c r="O2331" s="399"/>
      <c r="P2331" s="399"/>
      <c r="Q2331" s="399"/>
      <c r="R2331" s="399"/>
      <c r="S2331" s="399"/>
      <c r="T2331" s="399" t="s">
        <v>125</v>
      </c>
      <c r="U2331" s="401">
        <f t="shared" si="7466"/>
        <v>0</v>
      </c>
      <c r="V2331" s="399" t="s">
        <v>125</v>
      </c>
      <c r="W2331" s="399">
        <f t="shared" si="7278"/>
        <v>8</v>
      </c>
      <c r="X2331" s="399" t="s">
        <v>125</v>
      </c>
      <c r="Y2331" s="389">
        <f t="shared" ref="Y2331" si="7474">D2315</f>
        <v>4</v>
      </c>
      <c r="Z2331" s="400" t="s">
        <v>176</v>
      </c>
      <c r="AA2331" s="402">
        <f t="shared" si="7468"/>
        <v>0</v>
      </c>
      <c r="AB2331" s="403"/>
    </row>
    <row r="2332" spans="1:28">
      <c r="A2332" s="391"/>
      <c r="B2332" s="392"/>
      <c r="C2332" s="392"/>
      <c r="D2332" s="394"/>
      <c r="E2332" s="388"/>
      <c r="F2332" s="388"/>
      <c r="G2332" s="388"/>
      <c r="H2332" s="395"/>
      <c r="I2332" s="388"/>
      <c r="J2332" s="402"/>
      <c r="K2332" s="388"/>
      <c r="L2332" s="388"/>
      <c r="M2332" s="388"/>
      <c r="N2332" s="388"/>
      <c r="O2332" s="388"/>
      <c r="P2332" s="388"/>
      <c r="Q2332" s="388"/>
      <c r="R2332" s="388"/>
      <c r="S2332" s="388"/>
      <c r="T2332" s="388"/>
      <c r="U2332" s="388"/>
      <c r="V2332" s="388"/>
      <c r="W2332" s="388"/>
      <c r="X2332" s="388"/>
      <c r="Y2332" s="389"/>
      <c r="Z2332" s="388"/>
      <c r="AA2332" s="402"/>
      <c r="AB2332" s="403"/>
    </row>
    <row r="2333" spans="1:28" ht="15.75" thickBot="1">
      <c r="A2333" s="406"/>
      <c r="B2333" s="407"/>
      <c r="C2333" s="407"/>
      <c r="D2333" s="408"/>
      <c r="E2333" s="409"/>
      <c r="F2333" s="409"/>
      <c r="G2333" s="409"/>
      <c r="H2333" s="410"/>
      <c r="I2333" s="409"/>
      <c r="J2333" s="409"/>
      <c r="K2333" s="409"/>
      <c r="L2333" s="409"/>
      <c r="M2333" s="409"/>
      <c r="N2333" s="409"/>
      <c r="O2333" s="409"/>
      <c r="P2333" s="409"/>
      <c r="Q2333" s="409"/>
      <c r="R2333" s="409"/>
      <c r="S2333" s="409"/>
      <c r="T2333" s="409"/>
      <c r="U2333" s="409"/>
      <c r="V2333" s="409"/>
      <c r="W2333" s="409"/>
      <c r="X2333" s="409"/>
      <c r="Y2333" s="411"/>
      <c r="Z2333" s="409"/>
      <c r="AA2333" s="412"/>
      <c r="AB2333" s="413"/>
    </row>
    <row r="2334" spans="1:28">
      <c r="A2334" s="377"/>
      <c r="B2334" s="378"/>
      <c r="C2334" s="378"/>
      <c r="D2334" s="379"/>
      <c r="E2334" s="380"/>
      <c r="F2334" s="380"/>
      <c r="G2334" s="380"/>
      <c r="H2334" s="381"/>
      <c r="I2334" s="380"/>
      <c r="J2334" s="380"/>
      <c r="K2334" s="380"/>
      <c r="L2334" s="380"/>
      <c r="M2334" s="380"/>
      <c r="N2334" s="380"/>
      <c r="O2334" s="380"/>
      <c r="P2334" s="380"/>
      <c r="Q2334" s="380"/>
      <c r="R2334" s="380"/>
      <c r="S2334" s="380"/>
      <c r="T2334" s="380"/>
      <c r="U2334" s="380"/>
      <c r="V2334" s="380"/>
      <c r="W2334" s="380"/>
      <c r="X2334" s="380"/>
      <c r="Y2334" s="382"/>
      <c r="Z2334" s="380"/>
      <c r="AA2334" s="380"/>
      <c r="AB2334" s="383"/>
    </row>
    <row r="2335" spans="1:28">
      <c r="A2335" s="384" t="str">
        <f t="shared" si="7287"/>
        <v>Lantai 1</v>
      </c>
      <c r="B2335" s="385">
        <f t="shared" si="7288"/>
        <v>76</v>
      </c>
      <c r="C2335" s="386" t="str">
        <f t="shared" ref="C2335" si="7475">CONCATENATE(A2335," no. ",B2335)</f>
        <v>Lantai 1 no. 76</v>
      </c>
      <c r="D2335" s="2562" t="str">
        <f>VLOOKUP(C2335,'Data Panjang Balok'!$C$9:$N$254,2,FALSE)</f>
        <v>B25-1</v>
      </c>
      <c r="E2335" s="2576"/>
      <c r="F2335" s="2576"/>
      <c r="G2335" s="2576"/>
      <c r="H2335" s="2577"/>
      <c r="I2335" s="387"/>
      <c r="J2335" s="388"/>
      <c r="K2335" s="388"/>
      <c r="L2335" s="388"/>
      <c r="M2335" s="388"/>
      <c r="N2335" s="388"/>
      <c r="O2335" s="388"/>
      <c r="P2335" s="388"/>
      <c r="Q2335" s="388"/>
      <c r="R2335" s="388"/>
      <c r="S2335" s="388"/>
      <c r="T2335" s="388"/>
      <c r="U2335" s="388"/>
      <c r="V2335" s="388"/>
      <c r="W2335" s="388"/>
      <c r="X2335" s="388"/>
      <c r="Y2335" s="389"/>
      <c r="Z2335" s="388"/>
      <c r="AA2335" s="388"/>
      <c r="AB2335" s="390"/>
    </row>
    <row r="2336" spans="1:28">
      <c r="A2336" s="391"/>
      <c r="B2336" s="392"/>
      <c r="C2336" s="393" t="s">
        <v>118</v>
      </c>
      <c r="D2336" s="2578">
        <f>VLOOKUP(D2335,'Detail Balok'!$C$10:$AU$140,2,FALSE)</f>
        <v>200</v>
      </c>
      <c r="E2336" s="2579"/>
      <c r="F2336" s="388" t="s">
        <v>125</v>
      </c>
      <c r="G2336" s="2579">
        <f>VLOOKUP(D2335,'Detail Balok'!$C$10:$AU$140,3,FALSE)</f>
        <v>500</v>
      </c>
      <c r="H2336" s="2580"/>
      <c r="I2336" s="388"/>
      <c r="J2336" s="396"/>
      <c r="K2336" s="396"/>
      <c r="L2336" s="396"/>
      <c r="M2336" s="396"/>
      <c r="N2336" s="396"/>
      <c r="O2336" s="396"/>
      <c r="P2336" s="396"/>
      <c r="Q2336" s="396"/>
      <c r="R2336" s="396"/>
      <c r="S2336" s="396"/>
      <c r="T2336" s="396"/>
      <c r="U2336" s="388"/>
      <c r="V2336" s="396"/>
      <c r="W2336" s="388"/>
      <c r="X2336" s="396"/>
      <c r="Y2336" s="389"/>
      <c r="Z2336" s="396"/>
      <c r="AA2336" s="388"/>
      <c r="AB2336" s="390"/>
    </row>
    <row r="2337" spans="1:28">
      <c r="A2337" s="391"/>
      <c r="B2337" s="392"/>
      <c r="C2337" s="393" t="s">
        <v>198</v>
      </c>
      <c r="D2337" s="2562">
        <f>VLOOKUP(C2335,'Data Panjang Balok'!$C$9:$N$254,4,FALSE)</f>
        <v>5075</v>
      </c>
      <c r="E2337" s="2563"/>
      <c r="F2337" s="2563"/>
      <c r="G2337" s="2563"/>
      <c r="H2337" s="2564"/>
      <c r="I2337" s="397"/>
      <c r="J2337" s="396"/>
      <c r="K2337" s="396"/>
      <c r="L2337" s="396"/>
      <c r="M2337" s="396"/>
      <c r="N2337" s="396"/>
      <c r="O2337" s="396"/>
      <c r="P2337" s="396"/>
      <c r="Q2337" s="396"/>
      <c r="R2337" s="396"/>
      <c r="S2337" s="396"/>
      <c r="T2337" s="396"/>
      <c r="U2337" s="388"/>
      <c r="V2337" s="396"/>
      <c r="W2337" s="388"/>
      <c r="X2337" s="396"/>
      <c r="Y2337" s="389"/>
      <c r="Z2337" s="396"/>
      <c r="AA2337" s="388"/>
      <c r="AB2337" s="390"/>
    </row>
    <row r="2338" spans="1:28">
      <c r="A2338" s="391"/>
      <c r="B2338" s="392"/>
      <c r="C2338" s="393" t="s">
        <v>199</v>
      </c>
      <c r="D2338" s="2562">
        <f>VLOOKUP(C2335,'Data Panjang Balok'!$C$9:$N$254,7,FALSE)</f>
        <v>5075</v>
      </c>
      <c r="E2338" s="2563"/>
      <c r="F2338" s="2563"/>
      <c r="G2338" s="2563"/>
      <c r="H2338" s="2564"/>
      <c r="I2338" s="397"/>
      <c r="J2338" s="396"/>
      <c r="K2338" s="396"/>
      <c r="L2338" s="396"/>
      <c r="M2338" s="396"/>
      <c r="N2338" s="396"/>
      <c r="O2338" s="396"/>
      <c r="P2338" s="396"/>
      <c r="Q2338" s="396"/>
      <c r="R2338" s="396"/>
      <c r="S2338" s="396"/>
      <c r="T2338" s="396"/>
      <c r="U2338" s="388"/>
      <c r="V2338" s="396"/>
      <c r="W2338" s="388"/>
      <c r="X2338" s="396"/>
      <c r="Y2338" s="389"/>
      <c r="Z2338" s="396"/>
      <c r="AA2338" s="388"/>
      <c r="AB2338" s="390"/>
    </row>
    <row r="2339" spans="1:28">
      <c r="A2339" s="391"/>
      <c r="B2339" s="392"/>
      <c r="C2339" s="393" t="s">
        <v>200</v>
      </c>
      <c r="D2339" s="2562">
        <f>VLOOKUP(C2335,'Data Panjang Balok'!$C$9:$N$254,9,FALSE)</f>
        <v>0</v>
      </c>
      <c r="E2339" s="2563"/>
      <c r="F2339" s="2563"/>
      <c r="G2339" s="2563"/>
      <c r="H2339" s="2564"/>
      <c r="I2339" s="397"/>
      <c r="J2339" s="396"/>
      <c r="K2339" s="396"/>
      <c r="L2339" s="396"/>
      <c r="M2339" s="396"/>
      <c r="N2339" s="396"/>
      <c r="O2339" s="396"/>
      <c r="P2339" s="396"/>
      <c r="Q2339" s="396"/>
      <c r="R2339" s="396"/>
      <c r="S2339" s="396"/>
      <c r="T2339" s="396"/>
      <c r="U2339" s="388"/>
      <c r="V2339" s="396"/>
      <c r="W2339" s="388"/>
      <c r="X2339" s="396"/>
      <c r="Y2339" s="389"/>
      <c r="Z2339" s="396"/>
      <c r="AA2339" s="388"/>
      <c r="AB2339" s="390"/>
    </row>
    <row r="2340" spans="1:28">
      <c r="A2340" s="391"/>
      <c r="B2340" s="392"/>
      <c r="C2340" s="393" t="s">
        <v>201</v>
      </c>
      <c r="D2340" s="2562">
        <f>VLOOKUP(C2335,'Data Panjang Balok'!$C$9:$N$254,10,FALSE)</f>
        <v>0</v>
      </c>
      <c r="E2340" s="2563"/>
      <c r="F2340" s="2563"/>
      <c r="G2340" s="2563"/>
      <c r="H2340" s="2564"/>
      <c r="I2340" s="397"/>
      <c r="J2340" s="396"/>
      <c r="K2340" s="396"/>
      <c r="L2340" s="396"/>
      <c r="M2340" s="396"/>
      <c r="N2340" s="396"/>
      <c r="O2340" s="396"/>
      <c r="P2340" s="396"/>
      <c r="Q2340" s="396"/>
      <c r="R2340" s="396"/>
      <c r="S2340" s="396"/>
      <c r="T2340" s="396"/>
      <c r="U2340" s="388"/>
      <c r="V2340" s="396"/>
      <c r="W2340" s="388"/>
      <c r="X2340" s="396"/>
      <c r="Y2340" s="389"/>
      <c r="Z2340" s="396"/>
      <c r="AA2340" s="388"/>
      <c r="AB2340" s="390"/>
    </row>
    <row r="2341" spans="1:28">
      <c r="A2341" s="391"/>
      <c r="B2341" s="392"/>
      <c r="C2341" s="393" t="s">
        <v>48</v>
      </c>
      <c r="D2341" s="2562">
        <f>VLOOKUP(C2335,'Data Panjang Balok'!$C$9:$N$254,3,FALSE)</f>
        <v>1</v>
      </c>
      <c r="E2341" s="2563"/>
      <c r="F2341" s="2563"/>
      <c r="G2341" s="2563"/>
      <c r="H2341" s="2564"/>
      <c r="I2341" s="397"/>
      <c r="J2341" s="396"/>
      <c r="K2341" s="396"/>
      <c r="L2341" s="396"/>
      <c r="M2341" s="396"/>
      <c r="N2341" s="396"/>
      <c r="O2341" s="396"/>
      <c r="P2341" s="396"/>
      <c r="Q2341" s="396"/>
      <c r="R2341" s="396"/>
      <c r="S2341" s="396"/>
      <c r="T2341" s="396"/>
      <c r="U2341" s="388"/>
      <c r="V2341" s="396"/>
      <c r="W2341" s="388"/>
      <c r="X2341" s="396"/>
      <c r="Y2341" s="389"/>
      <c r="Z2341" s="396"/>
      <c r="AA2341" s="388"/>
      <c r="AB2341" s="390"/>
    </row>
    <row r="2342" spans="1:28">
      <c r="A2342" s="384" t="str">
        <f t="shared" ref="A2342:B2342" si="7476">A2335</f>
        <v>Lantai 1</v>
      </c>
      <c r="B2342" s="385">
        <f t="shared" si="7476"/>
        <v>76</v>
      </c>
      <c r="C2342" s="393" t="s">
        <v>202</v>
      </c>
      <c r="D2342" s="398">
        <f>VLOOKUP(D2335,'Detail Balok'!$C$10:$AU$140,4,FALSE)</f>
        <v>4</v>
      </c>
      <c r="E2342" s="388" t="s">
        <v>16</v>
      </c>
      <c r="F2342" s="388">
        <f>VLOOKUP(D2335,'Detail Balok'!$C$10:$AU$140,6,FALSE)</f>
        <v>16</v>
      </c>
      <c r="G2342" s="388"/>
      <c r="H2342" s="395"/>
      <c r="I2342" s="388" t="s">
        <v>203</v>
      </c>
      <c r="J2342" s="399">
        <f t="shared" ref="J2342" si="7477">+D2337/4/1000</f>
        <v>1.26875</v>
      </c>
      <c r="K2342" s="400" t="s">
        <v>204</v>
      </c>
      <c r="L2342" s="399">
        <f t="shared" ref="L2342" si="7478">MAX(VLOOKUP(F2342,N$6:P$15,3,FALSE)/1000,2/3*D2339/1000)+F$16*F2342/1000</f>
        <v>0.192</v>
      </c>
      <c r="M2342" s="399" t="s">
        <v>176</v>
      </c>
      <c r="N2342" s="399">
        <f t="shared" ref="N2342:N2344" si="7479">J2342+L2342</f>
        <v>1.46075</v>
      </c>
      <c r="O2342" s="399" t="s">
        <v>204</v>
      </c>
      <c r="P2342" s="389">
        <f t="shared" ref="P2342" si="7480">D2342-D2343</f>
        <v>0</v>
      </c>
      <c r="Q2342" s="399" t="s">
        <v>125</v>
      </c>
      <c r="R2342" s="399">
        <f t="shared" ref="R2342" si="7481">IF(P2342&gt;0,$F$18*F2342/1000,0)</f>
        <v>0</v>
      </c>
      <c r="S2342" s="399" t="s">
        <v>205</v>
      </c>
      <c r="T2342" s="399" t="s">
        <v>125</v>
      </c>
      <c r="U2342" s="401">
        <f t="shared" ref="U2342:U2344" si="7482">0.006165*F2342^2</f>
        <v>1.5782400000000001</v>
      </c>
      <c r="V2342" s="399"/>
      <c r="W2342" s="399"/>
      <c r="X2342" s="399" t="s">
        <v>125</v>
      </c>
      <c r="Y2342" s="389">
        <f t="shared" ref="Y2342" si="7483">D2341</f>
        <v>1</v>
      </c>
      <c r="Z2342" s="400" t="s">
        <v>176</v>
      </c>
      <c r="AA2342" s="402">
        <f t="shared" ref="AA2342" si="7484">IF(AA2345=0,(D2342*N2342+P2342*R2342)*U2342*Y2342,0)</f>
        <v>0</v>
      </c>
      <c r="AB2342" s="403"/>
    </row>
    <row r="2343" spans="1:28">
      <c r="A2343" s="384" t="str">
        <f t="shared" ref="A2343:B2343" si="7485">A2335</f>
        <v>Lantai 1</v>
      </c>
      <c r="B2343" s="385">
        <f t="shared" si="7485"/>
        <v>76</v>
      </c>
      <c r="C2343" s="393" t="s">
        <v>206</v>
      </c>
      <c r="D2343" s="398">
        <f>VLOOKUP(D2335,'Detail Balok'!$C$10:$AU$140,7,FALSE)</f>
        <v>4</v>
      </c>
      <c r="E2343" s="388" t="s">
        <v>16</v>
      </c>
      <c r="F2343" s="388">
        <f>VLOOKUP(D2335,'Detail Balok'!$C$10:$AU$140,9,FALSE)</f>
        <v>16</v>
      </c>
      <c r="G2343" s="388"/>
      <c r="H2343" s="395"/>
      <c r="I2343" s="388" t="s">
        <v>203</v>
      </c>
      <c r="J2343" s="399">
        <f t="shared" ref="J2343" si="7486">+D2337/2/1000</f>
        <v>2.5375000000000001</v>
      </c>
      <c r="K2343" s="400" t="s">
        <v>204</v>
      </c>
      <c r="L2343" s="399"/>
      <c r="M2343" s="399" t="s">
        <v>176</v>
      </c>
      <c r="N2343" s="399">
        <f t="shared" si="7479"/>
        <v>2.5375000000000001</v>
      </c>
      <c r="O2343" s="399" t="s">
        <v>204</v>
      </c>
      <c r="P2343" s="389">
        <f t="shared" ref="P2343" si="7487">MAX(D2343-D2342,D2343-D2344)</f>
        <v>0</v>
      </c>
      <c r="Q2343" s="399" t="s">
        <v>125</v>
      </c>
      <c r="R2343" s="399">
        <f t="shared" ref="R2343" si="7488">IF(P2343&gt;0,2*(1-2*$F$19-1/2)*D2338/1000,0)</f>
        <v>0</v>
      </c>
      <c r="S2343" s="399" t="s">
        <v>205</v>
      </c>
      <c r="T2343" s="399" t="s">
        <v>125</v>
      </c>
      <c r="U2343" s="401">
        <f t="shared" si="7482"/>
        <v>1.5782400000000001</v>
      </c>
      <c r="V2343" s="399"/>
      <c r="W2343" s="399"/>
      <c r="X2343" s="399" t="s">
        <v>125</v>
      </c>
      <c r="Y2343" s="389">
        <f t="shared" ref="Y2343" si="7489">D2341</f>
        <v>1</v>
      </c>
      <c r="Z2343" s="400" t="s">
        <v>176</v>
      </c>
      <c r="AA2343" s="402">
        <f t="shared" ref="AA2343" si="7490">IF(AA2345=0,(D2343*N2343+P2343*R2343)*U2343*Y2343,0)</f>
        <v>0</v>
      </c>
      <c r="AB2343" s="403"/>
    </row>
    <row r="2344" spans="1:28">
      <c r="A2344" s="384" t="str">
        <f t="shared" ref="A2344:B2344" si="7491">A2335</f>
        <v>Lantai 1</v>
      </c>
      <c r="B2344" s="385">
        <f t="shared" si="7491"/>
        <v>76</v>
      </c>
      <c r="C2344" s="393" t="s">
        <v>202</v>
      </c>
      <c r="D2344" s="398">
        <f>VLOOKUP(D2335,'Detail Balok'!$C$10:$AU$140,10,FALSE)</f>
        <v>4</v>
      </c>
      <c r="E2344" s="388" t="s">
        <v>16</v>
      </c>
      <c r="F2344" s="388">
        <f>VLOOKUP(D2335,'Detail Balok'!$C$10:$AU$140,12,FALSE)</f>
        <v>16</v>
      </c>
      <c r="G2344" s="388"/>
      <c r="H2344" s="395"/>
      <c r="I2344" s="388" t="s">
        <v>203</v>
      </c>
      <c r="J2344" s="399">
        <f t="shared" ref="J2344" si="7492">+D2337/4/1000</f>
        <v>1.26875</v>
      </c>
      <c r="K2344" s="400" t="s">
        <v>204</v>
      </c>
      <c r="L2344" s="399">
        <f t="shared" ref="L2344" si="7493">MAX(VLOOKUP(F2344,N$6:P$15,3,FALSE)/1000,2/3*D2339/1000)+F$16*F2344/1000</f>
        <v>0.192</v>
      </c>
      <c r="M2344" s="399" t="s">
        <v>176</v>
      </c>
      <c r="N2344" s="399">
        <f t="shared" si="7479"/>
        <v>1.46075</v>
      </c>
      <c r="O2344" s="399" t="s">
        <v>204</v>
      </c>
      <c r="P2344" s="389">
        <f t="shared" ref="P2344" si="7494">D2344-D2343</f>
        <v>0</v>
      </c>
      <c r="Q2344" s="399" t="s">
        <v>125</v>
      </c>
      <c r="R2344" s="399">
        <f t="shared" ref="R2344" si="7495">IF(P2344&gt;0,$F$18*F2344/1000,0)</f>
        <v>0</v>
      </c>
      <c r="S2344" s="399" t="s">
        <v>205</v>
      </c>
      <c r="T2344" s="399" t="s">
        <v>125</v>
      </c>
      <c r="U2344" s="401">
        <f t="shared" si="7482"/>
        <v>1.5782400000000001</v>
      </c>
      <c r="V2344" s="399"/>
      <c r="W2344" s="399"/>
      <c r="X2344" s="399" t="s">
        <v>125</v>
      </c>
      <c r="Y2344" s="389">
        <f t="shared" ref="Y2344" si="7496">D2341</f>
        <v>1</v>
      </c>
      <c r="Z2344" s="400" t="s">
        <v>176</v>
      </c>
      <c r="AA2344" s="402">
        <f t="shared" ref="AA2344" si="7497">IF(AA2345=0,(D2344*N2344+P2344*R2344)*U2344*Y2344,0)</f>
        <v>0</v>
      </c>
      <c r="AB2344" s="403"/>
    </row>
    <row r="2345" spans="1:28">
      <c r="A2345" s="384" t="str">
        <f t="shared" ref="A2345:B2345" si="7498">A2335</f>
        <v>Lantai 1</v>
      </c>
      <c r="B2345" s="385">
        <f t="shared" si="7498"/>
        <v>76</v>
      </c>
      <c r="C2345" s="393"/>
      <c r="D2345" s="398">
        <f t="shared" ref="D2345:D2405" si="7499">IF(AND(D2342=D2343,D2343=D2344,D2342=D2344),D2342,0)</f>
        <v>4</v>
      </c>
      <c r="E2345" s="388" t="s">
        <v>16</v>
      </c>
      <c r="F2345" s="388">
        <f t="shared" ref="F2345:F2405" si="7500">IF(AND(F2342=F2343,F2342=F2344,F2343=F2344),F2342,0)</f>
        <v>16</v>
      </c>
      <c r="G2345" s="388"/>
      <c r="H2345" s="395"/>
      <c r="I2345" s="388"/>
      <c r="J2345" s="396"/>
      <c r="K2345" s="396"/>
      <c r="L2345" s="404" t="s">
        <v>207</v>
      </c>
      <c r="M2345" s="399" t="s">
        <v>176</v>
      </c>
      <c r="N2345" s="399">
        <f t="shared" ref="N2345" si="7501">IF(AND(D2342=D2343,D2342=D2344,D2343=D2344,F2342=F2343,F2342=F2344,F2343=F2344),SUM(N2342:N2344),0)</f>
        <v>5.4589999999999996</v>
      </c>
      <c r="O2345" s="399" t="s">
        <v>204</v>
      </c>
      <c r="P2345" s="389">
        <f t="shared" ref="P2345" si="7502">IF(N2345&gt;12,ROUNDDOWN(N2345/12,0),0)</f>
        <v>0</v>
      </c>
      <c r="Q2345" s="399" t="s">
        <v>125</v>
      </c>
      <c r="R2345" s="399">
        <f t="shared" ref="R2345" si="7503">IF(P2345&gt;0,MAX(VLOOKUP(F2345,$D$6:$G$15,3,FALSE),600),0)/1000</f>
        <v>0</v>
      </c>
      <c r="S2345" s="396"/>
      <c r="T2345" s="396" t="s">
        <v>125</v>
      </c>
      <c r="U2345" s="401">
        <f t="shared" ref="U2345:U2405" si="7504">U2344</f>
        <v>1.5782400000000001</v>
      </c>
      <c r="V2345" s="396" t="s">
        <v>125</v>
      </c>
      <c r="W2345" s="399">
        <f t="shared" ref="W2345" si="7505">D2345</f>
        <v>4</v>
      </c>
      <c r="X2345" s="399" t="s">
        <v>125</v>
      </c>
      <c r="Y2345" s="389">
        <f t="shared" ref="Y2345:Y2405" si="7506">Y2344</f>
        <v>1</v>
      </c>
      <c r="Z2345" s="400" t="s">
        <v>176</v>
      </c>
      <c r="AA2345" s="402">
        <f t="shared" ref="AA2345" si="7507">(N2345+P2345*R2345/1000)*U2345*W2345*Y2345</f>
        <v>34.462448639999998</v>
      </c>
      <c r="AB2345" s="390"/>
    </row>
    <row r="2346" spans="1:28">
      <c r="A2346" s="384"/>
      <c r="B2346" s="385"/>
      <c r="C2346" s="393"/>
      <c r="D2346" s="398"/>
      <c r="E2346" s="388"/>
      <c r="F2346" s="388"/>
      <c r="G2346" s="388"/>
      <c r="H2346" s="395"/>
      <c r="I2346" s="388"/>
      <c r="J2346" s="396"/>
      <c r="K2346" s="396"/>
      <c r="L2346" s="404"/>
      <c r="M2346" s="399"/>
      <c r="N2346" s="399"/>
      <c r="O2346" s="396"/>
      <c r="P2346" s="389"/>
      <c r="Q2346" s="396"/>
      <c r="R2346" s="396"/>
      <c r="S2346" s="396"/>
      <c r="T2346" s="396"/>
      <c r="U2346" s="401"/>
      <c r="V2346" s="396"/>
      <c r="W2346" s="399"/>
      <c r="X2346" s="396"/>
      <c r="Y2346" s="389"/>
      <c r="Z2346" s="396"/>
      <c r="AA2346" s="388"/>
      <c r="AB2346" s="390"/>
    </row>
    <row r="2347" spans="1:28">
      <c r="A2347" s="384" t="str">
        <f t="shared" ref="A2347:B2347" si="7508">A2335</f>
        <v>Lantai 1</v>
      </c>
      <c r="B2347" s="385">
        <f t="shared" si="7508"/>
        <v>76</v>
      </c>
      <c r="C2347" s="393" t="s">
        <v>208</v>
      </c>
      <c r="D2347" s="398">
        <f>VLOOKUP(D2335,'Detail Balok'!$C$10:$AU$140,13,FALSE)</f>
        <v>2</v>
      </c>
      <c r="E2347" s="388" t="s">
        <v>16</v>
      </c>
      <c r="F2347" s="388">
        <f>VLOOKUP(D2335,'Detail Balok'!$C$10:$AU$140,15,FALSE)</f>
        <v>10</v>
      </c>
      <c r="G2347" s="388"/>
      <c r="H2347" s="395"/>
      <c r="I2347" s="388"/>
      <c r="J2347" s="399">
        <f t="shared" ref="J2347" si="7509">+D2337/1000</f>
        <v>5.0750000000000002</v>
      </c>
      <c r="K2347" s="400" t="s">
        <v>204</v>
      </c>
      <c r="L2347" s="399">
        <f t="shared" ref="L2347" si="7510">2*$F$16*F2347/1000</f>
        <v>0.24</v>
      </c>
      <c r="M2347" s="399" t="s">
        <v>176</v>
      </c>
      <c r="N2347" s="399">
        <f t="shared" ref="N2347" si="7511">J2347+L2347</f>
        <v>5.3150000000000004</v>
      </c>
      <c r="O2347" s="399" t="s">
        <v>204</v>
      </c>
      <c r="P2347" s="389">
        <f t="shared" ref="P2347" si="7512">IF(N2347&gt;12,ROUNDDOWN(N2347/12,0),0)</f>
        <v>0</v>
      </c>
      <c r="Q2347" s="399" t="s">
        <v>125</v>
      </c>
      <c r="R2347" s="399">
        <f t="shared" ref="R2347" si="7513">IF(P2347&gt;0,MAX(VLOOKUP(F2347,$D$6:$G$15,3,FALSE),600),0)/1000</f>
        <v>0</v>
      </c>
      <c r="S2347" s="399"/>
      <c r="T2347" s="399" t="s">
        <v>125</v>
      </c>
      <c r="U2347" s="401">
        <f t="shared" ref="U2347" si="7514">0.006165*F2347^2</f>
        <v>0.61650000000000005</v>
      </c>
      <c r="V2347" s="399" t="s">
        <v>125</v>
      </c>
      <c r="W2347" s="399">
        <f t="shared" ref="W2347" si="7515">+D2347</f>
        <v>2</v>
      </c>
      <c r="X2347" s="399" t="s">
        <v>125</v>
      </c>
      <c r="Y2347" s="389">
        <f t="shared" ref="Y2347" si="7516">D2341</f>
        <v>1</v>
      </c>
      <c r="Z2347" s="400" t="s">
        <v>176</v>
      </c>
      <c r="AA2347" s="402">
        <f t="shared" ref="AA2347" si="7517">(N2347+P2347*R2347/1000)*U2347*W2347*Y2347</f>
        <v>6.553395000000001</v>
      </c>
      <c r="AB2347" s="403"/>
    </row>
    <row r="2348" spans="1:28">
      <c r="A2348" s="384"/>
      <c r="B2348" s="385"/>
      <c r="C2348" s="393"/>
      <c r="D2348" s="398"/>
      <c r="E2348" s="388"/>
      <c r="F2348" s="388"/>
      <c r="G2348" s="388"/>
      <c r="H2348" s="395"/>
      <c r="I2348" s="388"/>
      <c r="J2348" s="399"/>
      <c r="K2348" s="400"/>
      <c r="L2348" s="399"/>
      <c r="M2348" s="399"/>
      <c r="N2348" s="399"/>
      <c r="O2348" s="399"/>
      <c r="P2348" s="389"/>
      <c r="Q2348" s="399"/>
      <c r="R2348" s="399"/>
      <c r="S2348" s="399"/>
      <c r="T2348" s="399"/>
      <c r="U2348" s="401"/>
      <c r="V2348" s="399"/>
      <c r="W2348" s="399"/>
      <c r="X2348" s="399"/>
      <c r="Y2348" s="389"/>
      <c r="Z2348" s="400"/>
      <c r="AA2348" s="402"/>
      <c r="AB2348" s="403"/>
    </row>
    <row r="2349" spans="1:28">
      <c r="A2349" s="384"/>
      <c r="B2349" s="385"/>
      <c r="C2349" s="393"/>
      <c r="D2349" s="398"/>
      <c r="E2349" s="388"/>
      <c r="F2349" s="388"/>
      <c r="G2349" s="388"/>
      <c r="H2349" s="395"/>
      <c r="I2349" s="388"/>
      <c r="J2349" s="396"/>
      <c r="K2349" s="396"/>
      <c r="L2349" s="396"/>
      <c r="M2349" s="396"/>
      <c r="N2349" s="396"/>
      <c r="O2349" s="396"/>
      <c r="P2349" s="389"/>
      <c r="Q2349" s="396"/>
      <c r="R2349" s="396"/>
      <c r="S2349" s="396"/>
      <c r="T2349" s="396"/>
      <c r="U2349" s="401"/>
      <c r="V2349" s="396"/>
      <c r="W2349" s="399"/>
      <c r="X2349" s="396"/>
      <c r="Y2349" s="389"/>
      <c r="Z2349" s="396"/>
      <c r="AA2349" s="388"/>
      <c r="AB2349" s="390"/>
    </row>
    <row r="2350" spans="1:28">
      <c r="A2350" s="384" t="str">
        <f t="shared" ref="A2350:B2350" si="7518">A2335</f>
        <v>Lantai 1</v>
      </c>
      <c r="B2350" s="385">
        <f t="shared" si="7518"/>
        <v>76</v>
      </c>
      <c r="C2350" s="393" t="s">
        <v>209</v>
      </c>
      <c r="D2350" s="398">
        <f>VLOOKUP(D2335,'Detail Balok'!$C$10:$AU$140,22,FALSE)</f>
        <v>4</v>
      </c>
      <c r="E2350" s="388" t="s">
        <v>16</v>
      </c>
      <c r="F2350" s="388">
        <f>VLOOKUP(D2335,'Detail Balok'!$C$10:$AU$140,24,FALSE)</f>
        <v>16</v>
      </c>
      <c r="G2350" s="388"/>
      <c r="H2350" s="395"/>
      <c r="I2350" s="388" t="s">
        <v>203</v>
      </c>
      <c r="J2350" s="399">
        <f t="shared" ref="J2350:J2412" si="7519">+J2342</f>
        <v>1.26875</v>
      </c>
      <c r="K2350" s="400" t="s">
        <v>204</v>
      </c>
      <c r="L2350" s="399">
        <f t="shared" ref="L2350" si="7520">MAX(VLOOKUP(F2350,N$6:P$15,3,FALSE)/1000,2/3*D2340/1000)+F$16*F2350/1000</f>
        <v>0.192</v>
      </c>
      <c r="M2350" s="399" t="s">
        <v>176</v>
      </c>
      <c r="N2350" s="399">
        <f t="shared" ref="N2350:N2352" si="7521">J2350+L2350</f>
        <v>1.46075</v>
      </c>
      <c r="O2350" s="399" t="s">
        <v>204</v>
      </c>
      <c r="P2350" s="389">
        <f t="shared" ref="P2350" si="7522">D2350-D2351</f>
        <v>0</v>
      </c>
      <c r="Q2350" s="399" t="s">
        <v>125</v>
      </c>
      <c r="R2350" s="399">
        <f t="shared" ref="R2350" si="7523">IF(P2350&gt;0,$F$18*F2350/1000,0)</f>
        <v>0</v>
      </c>
      <c r="S2350" s="399" t="s">
        <v>205</v>
      </c>
      <c r="T2350" s="399" t="s">
        <v>125</v>
      </c>
      <c r="U2350" s="401">
        <f t="shared" ref="U2350:U2352" si="7524">0.006165*F2350^2</f>
        <v>1.5782400000000001</v>
      </c>
      <c r="V2350" s="399"/>
      <c r="W2350" s="399"/>
      <c r="X2350" s="399" t="s">
        <v>125</v>
      </c>
      <c r="Y2350" s="389">
        <f t="shared" ref="Y2350" si="7525">D2341</f>
        <v>1</v>
      </c>
      <c r="Z2350" s="400" t="s">
        <v>176</v>
      </c>
      <c r="AA2350" s="402">
        <f t="shared" ref="AA2350" si="7526">IF(AA2353=0,(D2350*N2350+P2350*R2350)*U2350*Y2350,0)</f>
        <v>0</v>
      </c>
      <c r="AB2350" s="403"/>
    </row>
    <row r="2351" spans="1:28">
      <c r="A2351" s="384" t="str">
        <f t="shared" ref="A2351:B2351" si="7527">A2335</f>
        <v>Lantai 1</v>
      </c>
      <c r="B2351" s="385">
        <f t="shared" si="7527"/>
        <v>76</v>
      </c>
      <c r="C2351" s="393" t="s">
        <v>210</v>
      </c>
      <c r="D2351" s="398">
        <f>VLOOKUP(D2335,'Detail Balok'!$C$10:$AU$140,25,FALSE)</f>
        <v>4</v>
      </c>
      <c r="E2351" s="388" t="s">
        <v>16</v>
      </c>
      <c r="F2351" s="388">
        <f>VLOOKUP(D2335,'Detail Balok'!$C$10:$AU$140,27,FALSE)</f>
        <v>16</v>
      </c>
      <c r="G2351" s="388"/>
      <c r="H2351" s="395"/>
      <c r="I2351" s="388" t="s">
        <v>203</v>
      </c>
      <c r="J2351" s="399">
        <f t="shared" si="7519"/>
        <v>2.5375000000000001</v>
      </c>
      <c r="K2351" s="400" t="s">
        <v>204</v>
      </c>
      <c r="L2351" s="399"/>
      <c r="M2351" s="399" t="s">
        <v>176</v>
      </c>
      <c r="N2351" s="399">
        <f t="shared" si="7521"/>
        <v>2.5375000000000001</v>
      </c>
      <c r="O2351" s="399" t="s">
        <v>204</v>
      </c>
      <c r="P2351" s="389">
        <f t="shared" ref="P2351" si="7528">MAX(D2351-D2350,D2351-D2352)</f>
        <v>0</v>
      </c>
      <c r="Q2351" s="399" t="s">
        <v>125</v>
      </c>
      <c r="R2351" s="399">
        <f t="shared" ref="R2351" si="7529">IF(P2351&gt;0,2*(1-2*$F$19-1/2)*D2338/1000,0)</f>
        <v>0</v>
      </c>
      <c r="S2351" s="399" t="s">
        <v>205</v>
      </c>
      <c r="T2351" s="399" t="s">
        <v>125</v>
      </c>
      <c r="U2351" s="401">
        <f t="shared" si="7524"/>
        <v>1.5782400000000001</v>
      </c>
      <c r="V2351" s="399"/>
      <c r="W2351" s="399"/>
      <c r="X2351" s="399" t="s">
        <v>125</v>
      </c>
      <c r="Y2351" s="389">
        <f t="shared" ref="Y2351" si="7530">D2341</f>
        <v>1</v>
      </c>
      <c r="Z2351" s="400" t="s">
        <v>176</v>
      </c>
      <c r="AA2351" s="402">
        <f t="shared" ref="AA2351" si="7531">IF(AA2353=0,(D2351*N2351+P2351*R2351)*U2351*Y2351,0)</f>
        <v>0</v>
      </c>
      <c r="AB2351" s="403"/>
    </row>
    <row r="2352" spans="1:28">
      <c r="A2352" s="384" t="str">
        <f t="shared" ref="A2352:B2352" si="7532">A2335</f>
        <v>Lantai 1</v>
      </c>
      <c r="B2352" s="385">
        <f t="shared" si="7532"/>
        <v>76</v>
      </c>
      <c r="C2352" s="393" t="s">
        <v>209</v>
      </c>
      <c r="D2352" s="398">
        <f>VLOOKUP(D2335,'Detail Balok'!$C$10:$AU$140,28,FALSE)</f>
        <v>4</v>
      </c>
      <c r="E2352" s="388" t="s">
        <v>16</v>
      </c>
      <c r="F2352" s="388">
        <f>VLOOKUP(D2335,'Detail Balok'!$C$10:$AU$140,30,FALSE)</f>
        <v>16</v>
      </c>
      <c r="G2352" s="388"/>
      <c r="H2352" s="395"/>
      <c r="I2352" s="388" t="s">
        <v>203</v>
      </c>
      <c r="J2352" s="399">
        <f t="shared" si="7519"/>
        <v>1.26875</v>
      </c>
      <c r="K2352" s="400" t="s">
        <v>204</v>
      </c>
      <c r="L2352" s="399">
        <f t="shared" ref="L2352" si="7533">MAX(VLOOKUP(F2352,N$6:P$15,3,FALSE)/1000,2/3*D2340/1000)+F$16*F2352/1000</f>
        <v>0.192</v>
      </c>
      <c r="M2352" s="399" t="s">
        <v>176</v>
      </c>
      <c r="N2352" s="399">
        <f t="shared" si="7521"/>
        <v>1.46075</v>
      </c>
      <c r="O2352" s="399" t="s">
        <v>204</v>
      </c>
      <c r="P2352" s="389">
        <f t="shared" ref="P2352" si="7534">D2352-D2351</f>
        <v>0</v>
      </c>
      <c r="Q2352" s="399" t="s">
        <v>125</v>
      </c>
      <c r="R2352" s="399">
        <f t="shared" ref="R2352" si="7535">IF(P2352&gt;0,$F$18*F2352/1000,0)</f>
        <v>0</v>
      </c>
      <c r="S2352" s="399" t="s">
        <v>205</v>
      </c>
      <c r="T2352" s="399" t="s">
        <v>125</v>
      </c>
      <c r="U2352" s="401">
        <f t="shared" si="7524"/>
        <v>1.5782400000000001</v>
      </c>
      <c r="V2352" s="399"/>
      <c r="W2352" s="399"/>
      <c r="X2352" s="399" t="s">
        <v>125</v>
      </c>
      <c r="Y2352" s="389">
        <f t="shared" ref="Y2352" si="7536">D2341</f>
        <v>1</v>
      </c>
      <c r="Z2352" s="400" t="s">
        <v>176</v>
      </c>
      <c r="AA2352" s="402">
        <f t="shared" ref="AA2352" si="7537">IF(AA2353=0,(D2352*N2352+P2352*R2352)*U2352*Y2352,0)</f>
        <v>0</v>
      </c>
      <c r="AB2352" s="403"/>
    </row>
    <row r="2353" spans="1:28">
      <c r="A2353" s="384" t="str">
        <f t="shared" ref="A2353:B2353" si="7538">A2335</f>
        <v>Lantai 1</v>
      </c>
      <c r="B2353" s="385">
        <f t="shared" si="7538"/>
        <v>76</v>
      </c>
      <c r="C2353" s="393"/>
      <c r="D2353" s="398">
        <f t="shared" ref="D2353:D2413" si="7539">IF(AND(D2350=D2351,D2351=D2352,D2350=D2352),D2350,0)</f>
        <v>4</v>
      </c>
      <c r="E2353" s="388" t="s">
        <v>16</v>
      </c>
      <c r="F2353" s="388">
        <f t="shared" ref="F2353:F2413" si="7540">IF(AND(F2350=F2351,F2350=F2352,F2351=F2352),F2350,0)</f>
        <v>16</v>
      </c>
      <c r="G2353" s="388"/>
      <c r="H2353" s="395"/>
      <c r="I2353" s="388"/>
      <c r="J2353" s="396"/>
      <c r="K2353" s="396"/>
      <c r="L2353" s="404" t="s">
        <v>207</v>
      </c>
      <c r="M2353" s="399" t="s">
        <v>176</v>
      </c>
      <c r="N2353" s="399">
        <f t="shared" ref="N2353" si="7541">IF(AND(D2350=D2351,D2350=D2352,D2351=D2352,F2350=F2351,F2350=F2352,F2351=F2352),SUM(N2350:N2352),0)</f>
        <v>5.4589999999999996</v>
      </c>
      <c r="O2353" s="399" t="s">
        <v>204</v>
      </c>
      <c r="P2353" s="389">
        <f t="shared" ref="P2353" si="7542">IF(N2353&gt;12,ROUNDDOWN(N2353/12,0),0)</f>
        <v>0</v>
      </c>
      <c r="Q2353" s="399" t="s">
        <v>125</v>
      </c>
      <c r="R2353" s="399">
        <f t="shared" ref="R2353" si="7543">IF(P2353&gt;0,MAX(VLOOKUP(F2353,$D$6:$G$15,3,FALSE),600),0)/1000</f>
        <v>0</v>
      </c>
      <c r="S2353" s="396"/>
      <c r="T2353" s="396" t="s">
        <v>125</v>
      </c>
      <c r="U2353" s="401">
        <f t="shared" ref="U2353:U2413" si="7544">U2352</f>
        <v>1.5782400000000001</v>
      </c>
      <c r="V2353" s="396" t="s">
        <v>125</v>
      </c>
      <c r="W2353" s="399">
        <f t="shared" ref="W2353" si="7545">D2353</f>
        <v>4</v>
      </c>
      <c r="X2353" s="399" t="s">
        <v>125</v>
      </c>
      <c r="Y2353" s="389">
        <f t="shared" ref="Y2353:Y2413" si="7546">Y2352</f>
        <v>1</v>
      </c>
      <c r="Z2353" s="400" t="s">
        <v>176</v>
      </c>
      <c r="AA2353" s="402">
        <f t="shared" ref="AA2353" si="7547">(N2353+P2353*R2353/1000)*U2353*W2353*Y2353</f>
        <v>34.462448639999998</v>
      </c>
      <c r="AB2353" s="403"/>
    </row>
    <row r="2354" spans="1:28">
      <c r="A2354" s="384"/>
      <c r="B2354" s="385"/>
      <c r="C2354" s="393"/>
      <c r="D2354" s="394"/>
      <c r="E2354" s="388"/>
      <c r="F2354" s="388"/>
      <c r="G2354" s="388"/>
      <c r="H2354" s="395"/>
      <c r="I2354" s="388"/>
      <c r="J2354" s="399"/>
      <c r="K2354" s="396"/>
      <c r="L2354" s="396"/>
      <c r="M2354" s="396"/>
      <c r="N2354" s="396"/>
      <c r="O2354" s="396"/>
      <c r="P2354" s="389"/>
      <c r="Q2354" s="396"/>
      <c r="R2354" s="396"/>
      <c r="S2354" s="396"/>
      <c r="T2354" s="396"/>
      <c r="U2354" s="401"/>
      <c r="V2354" s="396"/>
      <c r="W2354" s="388"/>
      <c r="X2354" s="396"/>
      <c r="Y2354" s="389"/>
      <c r="Z2354" s="396"/>
      <c r="AA2354" s="388"/>
      <c r="AB2354" s="390"/>
    </row>
    <row r="2355" spans="1:28">
      <c r="A2355" s="384" t="str">
        <f t="shared" ref="A2355:B2355" si="7548">A2335</f>
        <v>Lantai 1</v>
      </c>
      <c r="B2355" s="385">
        <f t="shared" si="7548"/>
        <v>76</v>
      </c>
      <c r="C2355" s="393" t="s">
        <v>211</v>
      </c>
      <c r="D2355" s="398">
        <f>VLOOKUP(D2335,'Detail Balok'!$C$10:$AU$140,31,FALSE)</f>
        <v>0</v>
      </c>
      <c r="E2355" s="388" t="s">
        <v>16</v>
      </c>
      <c r="F2355" s="388">
        <f>VLOOKUP(D2335,'Detail Balok'!$C$10:$AU$140,33,FALSE)</f>
        <v>10</v>
      </c>
      <c r="G2355" s="405" t="s">
        <v>157</v>
      </c>
      <c r="H2355" s="395">
        <f>VLOOKUP(D2335,'Detail Balok'!$C$10:$AU$140,35,FALSE)</f>
        <v>150</v>
      </c>
      <c r="I2355" s="388"/>
      <c r="J2355" s="400">
        <f t="shared" ref="J2355" si="7549">(IF(D2355=0,(2*(D2336+G2336))-(F$5*8),IF(D2355=3,(2*(D2336+G2336))-(F$5*8)+(G2336-2*F$5),IF(D2355=4,(2*(D2336+G2336))-(F$5*8)+2*(G2336-2*F$5)))))/1000</f>
        <v>1.08</v>
      </c>
      <c r="K2355" s="400" t="s">
        <v>204</v>
      </c>
      <c r="L2355" s="399">
        <f t="shared" ref="L2355:L2357" si="7550">IF(D2355=0,2*MAX(6*F2355,75),(D2355-1)*2*MAX(6*F2355,75))/1000</f>
        <v>0.15</v>
      </c>
      <c r="M2355" s="399" t="s">
        <v>176</v>
      </c>
      <c r="N2355" s="399">
        <f t="shared" ref="N2355:N2357" si="7551">J2355+L2355</f>
        <v>1.23</v>
      </c>
      <c r="O2355" s="399"/>
      <c r="P2355" s="389"/>
      <c r="Q2355" s="399"/>
      <c r="R2355" s="399"/>
      <c r="S2355" s="399"/>
      <c r="T2355" s="399" t="s">
        <v>125</v>
      </c>
      <c r="U2355" s="401">
        <f t="shared" ref="U2355:U2357" si="7552">0.006165*F2355^2</f>
        <v>0.61650000000000005</v>
      </c>
      <c r="V2355" s="399" t="s">
        <v>125</v>
      </c>
      <c r="W2355" s="399">
        <f t="shared" ref="W2355" si="7553">IF(D2338&gt;4*G2336,ROUND(MAX(D2338/4,2*G2336)/H2355,0)+1,ROUND(D2338/H2355,0)+1)</f>
        <v>9</v>
      </c>
      <c r="X2355" s="399" t="s">
        <v>125</v>
      </c>
      <c r="Y2355" s="389">
        <f t="shared" ref="Y2355" si="7554">D2341</f>
        <v>1</v>
      </c>
      <c r="Z2355" s="400" t="s">
        <v>176</v>
      </c>
      <c r="AA2355" s="402">
        <f t="shared" ref="AA2355:AA2357" si="7555">N2355*U2355*W2355*Y2355</f>
        <v>6.8246550000000008</v>
      </c>
      <c r="AB2355" s="403"/>
    </row>
    <row r="2356" spans="1:28">
      <c r="A2356" s="384" t="str">
        <f t="shared" ref="A2356:B2356" si="7556">A2335</f>
        <v>Lantai 1</v>
      </c>
      <c r="B2356" s="385">
        <f t="shared" si="7556"/>
        <v>76</v>
      </c>
      <c r="C2356" s="393" t="s">
        <v>212</v>
      </c>
      <c r="D2356" s="398">
        <f>VLOOKUP(D2335,'Detail Balok'!$C$10:$AU$140,36,FALSE)</f>
        <v>0</v>
      </c>
      <c r="E2356" s="388" t="s">
        <v>16</v>
      </c>
      <c r="F2356" s="388">
        <f>VLOOKUP(D2335,'Detail Balok'!$C$10:$AU$140,38,FALSE)</f>
        <v>10</v>
      </c>
      <c r="G2356" s="405" t="s">
        <v>157</v>
      </c>
      <c r="H2356" s="395">
        <f>VLOOKUP(D2335,'Detail Balok'!$C$10:$AU$140,40,FALSE)</f>
        <v>200</v>
      </c>
      <c r="I2356" s="388"/>
      <c r="J2356" s="400">
        <f t="shared" ref="J2356" si="7557">(IF(D2356=0,(2*(D2336+G2336))-(F$5*8),IF(D2356=3,(2*(D2336+G2336))-(F$5*8)+(G2336-2*F$5),IF(D2356=4,(2*(D2336+G2336))-(F$5*8)+2*(G2336-2*F$5)))))/1000</f>
        <v>1.08</v>
      </c>
      <c r="K2356" s="400" t="s">
        <v>204</v>
      </c>
      <c r="L2356" s="399">
        <f t="shared" si="7550"/>
        <v>0.15</v>
      </c>
      <c r="M2356" s="399" t="s">
        <v>176</v>
      </c>
      <c r="N2356" s="399">
        <f t="shared" si="7551"/>
        <v>1.23</v>
      </c>
      <c r="O2356" s="399"/>
      <c r="P2356" s="389"/>
      <c r="Q2356" s="399"/>
      <c r="R2356" s="399"/>
      <c r="S2356" s="399"/>
      <c r="T2356" s="399" t="s">
        <v>125</v>
      </c>
      <c r="U2356" s="401">
        <f t="shared" si="7552"/>
        <v>0.61650000000000005</v>
      </c>
      <c r="V2356" s="399" t="s">
        <v>125</v>
      </c>
      <c r="W2356" s="399">
        <f t="shared" ref="W2356" si="7558">IF(D2338-MAX(D2338/4,2*G2336)*2&gt;0,ROUND((D2338-MAX(D2338/4,2*G2336)*2)/H2356,0),0)</f>
        <v>13</v>
      </c>
      <c r="X2356" s="399" t="s">
        <v>125</v>
      </c>
      <c r="Y2356" s="389">
        <f t="shared" ref="Y2356" si="7559">D2341</f>
        <v>1</v>
      </c>
      <c r="Z2356" s="400" t="s">
        <v>176</v>
      </c>
      <c r="AA2356" s="402">
        <f t="shared" si="7555"/>
        <v>9.8578350000000015</v>
      </c>
      <c r="AB2356" s="403"/>
    </row>
    <row r="2357" spans="1:28">
      <c r="A2357" s="384" t="str">
        <f t="shared" ref="A2357:B2357" si="7560">A2335</f>
        <v>Lantai 1</v>
      </c>
      <c r="B2357" s="385">
        <f t="shared" si="7560"/>
        <v>76</v>
      </c>
      <c r="C2357" s="393" t="s">
        <v>211</v>
      </c>
      <c r="D2357" s="398">
        <f>VLOOKUP(D2335,'Detail Balok'!$C$10:$AU$140,41,FALSE)</f>
        <v>0</v>
      </c>
      <c r="E2357" s="388" t="s">
        <v>16</v>
      </c>
      <c r="F2357" s="388">
        <f>VLOOKUP(D2335,'Detail Balok'!$C$10:$AU$140,43,FALSE)</f>
        <v>10</v>
      </c>
      <c r="G2357" s="405" t="s">
        <v>157</v>
      </c>
      <c r="H2357" s="395">
        <f>VLOOKUP(D2335,'Detail Balok'!$C$10:$AU$140,45,FALSE)</f>
        <v>150</v>
      </c>
      <c r="I2357" s="388"/>
      <c r="J2357" s="400">
        <f t="shared" ref="J2357" si="7561">(IF(D2357=0,(2*(D2336+G2336))-(F$5*8),IF(D2357=3,(2*(D2336+G2336))-(F$5*8)+(G2336-2*F$5),IF(D2357=4,(2*(D2336+G2336))-(F$5*8)+2*(G2336-2*F$5)))))/1000</f>
        <v>1.08</v>
      </c>
      <c r="K2357" s="400" t="s">
        <v>204</v>
      </c>
      <c r="L2357" s="399">
        <f t="shared" si="7550"/>
        <v>0.15</v>
      </c>
      <c r="M2357" s="399" t="s">
        <v>176</v>
      </c>
      <c r="N2357" s="399">
        <f t="shared" si="7551"/>
        <v>1.23</v>
      </c>
      <c r="O2357" s="399"/>
      <c r="P2357" s="389"/>
      <c r="Q2357" s="399"/>
      <c r="R2357" s="399"/>
      <c r="S2357" s="399"/>
      <c r="T2357" s="399" t="s">
        <v>125</v>
      </c>
      <c r="U2357" s="401">
        <f t="shared" si="7552"/>
        <v>0.61650000000000005</v>
      </c>
      <c r="V2357" s="399" t="s">
        <v>125</v>
      </c>
      <c r="W2357" s="399">
        <f t="shared" ref="W2357" si="7562">IF(D2338&gt;4*G2336,ROUND(MAX(D2338/4,2*G2336)/H2357,0)+1,0)</f>
        <v>9</v>
      </c>
      <c r="X2357" s="399" t="s">
        <v>125</v>
      </c>
      <c r="Y2357" s="389">
        <f t="shared" ref="Y2357" si="7563">D2341</f>
        <v>1</v>
      </c>
      <c r="Z2357" s="400" t="s">
        <v>176</v>
      </c>
      <c r="AA2357" s="402">
        <f t="shared" si="7555"/>
        <v>6.8246550000000008</v>
      </c>
      <c r="AB2357" s="403"/>
    </row>
    <row r="2358" spans="1:28">
      <c r="A2358" s="384"/>
      <c r="B2358" s="385"/>
      <c r="C2358" s="393"/>
      <c r="D2358" s="394"/>
      <c r="E2358" s="388"/>
      <c r="F2358" s="388"/>
      <c r="G2358" s="388"/>
      <c r="H2358" s="395"/>
      <c r="I2358" s="388"/>
      <c r="J2358" s="399"/>
      <c r="K2358" s="396"/>
      <c r="L2358" s="396"/>
      <c r="M2358" s="396"/>
      <c r="N2358" s="396"/>
      <c r="O2358" s="396"/>
      <c r="P2358" s="389"/>
      <c r="Q2358" s="396"/>
      <c r="R2358" s="396"/>
      <c r="S2358" s="396"/>
      <c r="T2358" s="396"/>
      <c r="U2358" s="401"/>
      <c r="V2358" s="396"/>
      <c r="W2358" s="388"/>
      <c r="X2358" s="396"/>
      <c r="Y2358" s="389"/>
      <c r="Z2358" s="396"/>
      <c r="AA2358" s="388"/>
      <c r="AB2358" s="390"/>
    </row>
    <row r="2359" spans="1:28">
      <c r="A2359" s="384" t="str">
        <f t="shared" ref="A2359:B2359" si="7564">A2335</f>
        <v>Lantai 1</v>
      </c>
      <c r="B2359" s="385">
        <f t="shared" si="7564"/>
        <v>76</v>
      </c>
      <c r="C2359" s="393" t="s">
        <v>213</v>
      </c>
      <c r="D2359" s="398">
        <f>VLOOKUP(D2335,'Detail Balok'!$C$10:$BJ$140,46,FALSE)</f>
        <v>0</v>
      </c>
      <c r="E2359" s="388" t="s">
        <v>16</v>
      </c>
      <c r="F2359" s="388">
        <f>VLOOKUP(D2335,'Detail Balok'!$C$10:$BJ$140,48,FALSE)</f>
        <v>0</v>
      </c>
      <c r="G2359" s="405" t="s">
        <v>157</v>
      </c>
      <c r="H2359" s="395">
        <f>VLOOKUP(D2335,'Detail Balok'!$C$10:$BJ$140,50,FALSE)</f>
        <v>100</v>
      </c>
      <c r="I2359" s="388"/>
      <c r="J2359" s="399">
        <f t="shared" ref="J2359" si="7565">(D2336-2*F$5)/1000</f>
        <v>0.12</v>
      </c>
      <c r="K2359" s="400" t="s">
        <v>204</v>
      </c>
      <c r="L2359" s="399">
        <f t="shared" ref="L2359:L2361" si="7566">IF(D2359=0,2*MAX(6*F2359,75),(D2359-1)*2*MAX(6*F2359,75))/1000</f>
        <v>0.15</v>
      </c>
      <c r="M2359" s="399" t="s">
        <v>176</v>
      </c>
      <c r="N2359" s="399">
        <f t="shared" ref="N2359:N2361" si="7567">J2359+L2359</f>
        <v>0.27</v>
      </c>
      <c r="O2359" s="399"/>
      <c r="P2359" s="399"/>
      <c r="Q2359" s="399"/>
      <c r="R2359" s="399"/>
      <c r="S2359" s="399"/>
      <c r="T2359" s="399" t="s">
        <v>125</v>
      </c>
      <c r="U2359" s="401">
        <f t="shared" ref="U2359:U2361" si="7568">0.006165*F2359^2</f>
        <v>0</v>
      </c>
      <c r="V2359" s="399" t="s">
        <v>125</v>
      </c>
      <c r="W2359" s="399">
        <f t="shared" ref="W2359:W2421" si="7569">W2355</f>
        <v>9</v>
      </c>
      <c r="X2359" s="399" t="s">
        <v>125</v>
      </c>
      <c r="Y2359" s="389">
        <f t="shared" ref="Y2359" si="7570">D2345</f>
        <v>4</v>
      </c>
      <c r="Z2359" s="400" t="s">
        <v>176</v>
      </c>
      <c r="AA2359" s="402">
        <f t="shared" ref="AA2359:AA2361" si="7571">N2359*U2359*W2359*Y2359</f>
        <v>0</v>
      </c>
      <c r="AB2359" s="403"/>
    </row>
    <row r="2360" spans="1:28">
      <c r="A2360" s="384" t="str">
        <f t="shared" ref="A2360:B2360" si="7572">A2335</f>
        <v>Lantai 1</v>
      </c>
      <c r="B2360" s="385">
        <f t="shared" si="7572"/>
        <v>76</v>
      </c>
      <c r="C2360" s="393" t="s">
        <v>214</v>
      </c>
      <c r="D2360" s="398">
        <f>VLOOKUP(D2335,'Detail Balok'!$C$10:$BJ$140,51,FALSE)</f>
        <v>0</v>
      </c>
      <c r="E2360" s="388" t="s">
        <v>16</v>
      </c>
      <c r="F2360" s="388">
        <f>VLOOKUP(D2335,'Detail Balok'!$C$10:$BJ$140,53,FALSE)</f>
        <v>0</v>
      </c>
      <c r="G2360" s="405" t="s">
        <v>157</v>
      </c>
      <c r="H2360" s="395">
        <f>VLOOKUP(D2335,'Detail Balok'!$C$10:$BJ$140,55,FALSE)</f>
        <v>100</v>
      </c>
      <c r="I2360" s="388"/>
      <c r="J2360" s="399">
        <f t="shared" ref="J2360" si="7573">(D2336-2*F$5)/1000</f>
        <v>0.12</v>
      </c>
      <c r="K2360" s="400" t="s">
        <v>204</v>
      </c>
      <c r="L2360" s="399">
        <f t="shared" si="7566"/>
        <v>0.15</v>
      </c>
      <c r="M2360" s="399" t="s">
        <v>176</v>
      </c>
      <c r="N2360" s="399">
        <f t="shared" si="7567"/>
        <v>0.27</v>
      </c>
      <c r="O2360" s="399"/>
      <c r="P2360" s="399"/>
      <c r="Q2360" s="399"/>
      <c r="R2360" s="399"/>
      <c r="S2360" s="399"/>
      <c r="T2360" s="399" t="s">
        <v>125</v>
      </c>
      <c r="U2360" s="401">
        <f t="shared" si="7568"/>
        <v>0</v>
      </c>
      <c r="V2360" s="399" t="s">
        <v>125</v>
      </c>
      <c r="W2360" s="399">
        <f t="shared" si="7569"/>
        <v>13</v>
      </c>
      <c r="X2360" s="399" t="s">
        <v>125</v>
      </c>
      <c r="Y2360" s="389">
        <f t="shared" ref="Y2360" si="7574">D2345</f>
        <v>4</v>
      </c>
      <c r="Z2360" s="400" t="s">
        <v>176</v>
      </c>
      <c r="AA2360" s="402">
        <f t="shared" si="7571"/>
        <v>0</v>
      </c>
      <c r="AB2360" s="403"/>
    </row>
    <row r="2361" spans="1:28">
      <c r="A2361" s="384" t="str">
        <f t="shared" ref="A2361:B2361" si="7575">A2335</f>
        <v>Lantai 1</v>
      </c>
      <c r="B2361" s="385">
        <f t="shared" si="7575"/>
        <v>76</v>
      </c>
      <c r="C2361" s="393" t="s">
        <v>213</v>
      </c>
      <c r="D2361" s="398">
        <f>VLOOKUP(D2335,'Detail Balok'!$C$10:$BJ$140,56,FALSE)</f>
        <v>0</v>
      </c>
      <c r="E2361" s="388" t="s">
        <v>16</v>
      </c>
      <c r="F2361" s="388">
        <f>VLOOKUP(D2335,'Detail Balok'!$C$10:$BJ$140,58,FALSE)</f>
        <v>0</v>
      </c>
      <c r="G2361" s="405" t="s">
        <v>157</v>
      </c>
      <c r="H2361" s="395">
        <f>VLOOKUP(D2335,'Detail Balok'!$C$10:$BJ$140,60,FALSE)</f>
        <v>100</v>
      </c>
      <c r="I2361" s="388"/>
      <c r="J2361" s="399">
        <f t="shared" ref="J2361" si="7576">(D2336-2*F$5)/1000</f>
        <v>0.12</v>
      </c>
      <c r="K2361" s="400" t="s">
        <v>204</v>
      </c>
      <c r="L2361" s="399">
        <f t="shared" si="7566"/>
        <v>0.15</v>
      </c>
      <c r="M2361" s="399" t="s">
        <v>176</v>
      </c>
      <c r="N2361" s="399">
        <f t="shared" si="7567"/>
        <v>0.27</v>
      </c>
      <c r="O2361" s="399"/>
      <c r="P2361" s="399"/>
      <c r="Q2361" s="399"/>
      <c r="R2361" s="399"/>
      <c r="S2361" s="399"/>
      <c r="T2361" s="399" t="s">
        <v>125</v>
      </c>
      <c r="U2361" s="401">
        <f t="shared" si="7568"/>
        <v>0</v>
      </c>
      <c r="V2361" s="399" t="s">
        <v>125</v>
      </c>
      <c r="W2361" s="399">
        <f t="shared" si="7569"/>
        <v>9</v>
      </c>
      <c r="X2361" s="399" t="s">
        <v>125</v>
      </c>
      <c r="Y2361" s="389">
        <f t="shared" ref="Y2361" si="7577">D2345</f>
        <v>4</v>
      </c>
      <c r="Z2361" s="400" t="s">
        <v>176</v>
      </c>
      <c r="AA2361" s="402">
        <f t="shared" si="7571"/>
        <v>0</v>
      </c>
      <c r="AB2361" s="403"/>
    </row>
    <row r="2362" spans="1:28">
      <c r="A2362" s="391"/>
      <c r="B2362" s="392"/>
      <c r="C2362" s="392"/>
      <c r="D2362" s="394"/>
      <c r="E2362" s="388"/>
      <c r="F2362" s="388"/>
      <c r="G2362" s="388"/>
      <c r="H2362" s="395"/>
      <c r="I2362" s="388"/>
      <c r="J2362" s="402"/>
      <c r="K2362" s="388"/>
      <c r="L2362" s="388"/>
      <c r="M2362" s="388"/>
      <c r="N2362" s="388"/>
      <c r="O2362" s="388"/>
      <c r="P2362" s="388"/>
      <c r="Q2362" s="388"/>
      <c r="R2362" s="388"/>
      <c r="S2362" s="388"/>
      <c r="T2362" s="388"/>
      <c r="U2362" s="388"/>
      <c r="V2362" s="388"/>
      <c r="W2362" s="388"/>
      <c r="X2362" s="388"/>
      <c r="Y2362" s="389"/>
      <c r="Z2362" s="388"/>
      <c r="AA2362" s="402"/>
      <c r="AB2362" s="403"/>
    </row>
    <row r="2363" spans="1:28" ht="15.75" thickBot="1">
      <c r="A2363" s="406"/>
      <c r="B2363" s="407"/>
      <c r="C2363" s="407"/>
      <c r="D2363" s="408"/>
      <c r="E2363" s="409"/>
      <c r="F2363" s="409"/>
      <c r="G2363" s="409"/>
      <c r="H2363" s="410"/>
      <c r="I2363" s="409"/>
      <c r="J2363" s="409"/>
      <c r="K2363" s="409"/>
      <c r="L2363" s="409"/>
      <c r="M2363" s="409"/>
      <c r="N2363" s="409"/>
      <c r="O2363" s="409"/>
      <c r="P2363" s="409"/>
      <c r="Q2363" s="409"/>
      <c r="R2363" s="409"/>
      <c r="S2363" s="409"/>
      <c r="T2363" s="409"/>
      <c r="U2363" s="409"/>
      <c r="V2363" s="409"/>
      <c r="W2363" s="409"/>
      <c r="X2363" s="409"/>
      <c r="Y2363" s="411"/>
      <c r="Z2363" s="409"/>
      <c r="AA2363" s="412"/>
      <c r="AB2363" s="413"/>
    </row>
    <row r="2364" spans="1:28">
      <c r="A2364" s="377"/>
      <c r="B2364" s="378"/>
      <c r="C2364" s="378"/>
      <c r="D2364" s="379"/>
      <c r="E2364" s="380"/>
      <c r="F2364" s="380"/>
      <c r="G2364" s="380"/>
      <c r="H2364" s="381"/>
      <c r="I2364" s="380"/>
      <c r="J2364" s="380"/>
      <c r="K2364" s="380"/>
      <c r="L2364" s="380"/>
      <c r="M2364" s="380"/>
      <c r="N2364" s="380"/>
      <c r="O2364" s="380"/>
      <c r="P2364" s="380"/>
      <c r="Q2364" s="380"/>
      <c r="R2364" s="380"/>
      <c r="S2364" s="380"/>
      <c r="T2364" s="380"/>
      <c r="U2364" s="380"/>
      <c r="V2364" s="380"/>
      <c r="W2364" s="380"/>
      <c r="X2364" s="380"/>
      <c r="Y2364" s="382"/>
      <c r="Z2364" s="380"/>
      <c r="AA2364" s="380"/>
      <c r="AB2364" s="383"/>
    </row>
    <row r="2365" spans="1:28">
      <c r="A2365" s="384" t="str">
        <f t="shared" ref="A2365:A2425" si="7578">A2335</f>
        <v>Lantai 1</v>
      </c>
      <c r="B2365" s="385">
        <f t="shared" ref="B2365:B2425" si="7579">B2335+1</f>
        <v>77</v>
      </c>
      <c r="C2365" s="386" t="str">
        <f t="shared" ref="C2365" si="7580">CONCATENATE(A2365," no. ",B2365)</f>
        <v>Lantai 1 no. 77</v>
      </c>
      <c r="D2365" s="2562" t="str">
        <f>VLOOKUP(C2365,'Data Panjang Balok'!$C$9:$N$254,2,FALSE)</f>
        <v>B24-2</v>
      </c>
      <c r="E2365" s="2576"/>
      <c r="F2365" s="2576"/>
      <c r="G2365" s="2576"/>
      <c r="H2365" s="2577"/>
      <c r="I2365" s="387"/>
      <c r="J2365" s="388"/>
      <c r="K2365" s="388"/>
      <c r="L2365" s="388"/>
      <c r="M2365" s="388"/>
      <c r="N2365" s="388"/>
      <c r="O2365" s="388"/>
      <c r="P2365" s="388"/>
      <c r="Q2365" s="388"/>
      <c r="R2365" s="388"/>
      <c r="S2365" s="388"/>
      <c r="T2365" s="388"/>
      <c r="U2365" s="388"/>
      <c r="V2365" s="388"/>
      <c r="W2365" s="388"/>
      <c r="X2365" s="388"/>
      <c r="Y2365" s="389"/>
      <c r="Z2365" s="388"/>
      <c r="AA2365" s="388"/>
      <c r="AB2365" s="390"/>
    </row>
    <row r="2366" spans="1:28">
      <c r="A2366" s="391"/>
      <c r="B2366" s="392"/>
      <c r="C2366" s="393" t="s">
        <v>118</v>
      </c>
      <c r="D2366" s="2578">
        <f>VLOOKUP(D2365,'Detail Balok'!$C$10:$AU$140,2,FALSE)</f>
        <v>200</v>
      </c>
      <c r="E2366" s="2579"/>
      <c r="F2366" s="388" t="s">
        <v>125</v>
      </c>
      <c r="G2366" s="2579">
        <f>VLOOKUP(D2365,'Detail Balok'!$C$10:$AU$140,3,FALSE)</f>
        <v>400</v>
      </c>
      <c r="H2366" s="2580"/>
      <c r="I2366" s="388"/>
      <c r="J2366" s="396"/>
      <c r="K2366" s="396"/>
      <c r="L2366" s="396"/>
      <c r="M2366" s="396"/>
      <c r="N2366" s="396"/>
      <c r="O2366" s="396"/>
      <c r="P2366" s="396"/>
      <c r="Q2366" s="396"/>
      <c r="R2366" s="396"/>
      <c r="S2366" s="396"/>
      <c r="T2366" s="396"/>
      <c r="U2366" s="388"/>
      <c r="V2366" s="396"/>
      <c r="W2366" s="388"/>
      <c r="X2366" s="396"/>
      <c r="Y2366" s="389"/>
      <c r="Z2366" s="396"/>
      <c r="AA2366" s="388"/>
      <c r="AB2366" s="390"/>
    </row>
    <row r="2367" spans="1:28">
      <c r="A2367" s="391"/>
      <c r="B2367" s="392"/>
      <c r="C2367" s="393" t="s">
        <v>198</v>
      </c>
      <c r="D2367" s="2562">
        <f>VLOOKUP(C2365,'Data Panjang Balok'!$C$9:$N$254,4,FALSE)</f>
        <v>2540</v>
      </c>
      <c r="E2367" s="2563"/>
      <c r="F2367" s="2563"/>
      <c r="G2367" s="2563"/>
      <c r="H2367" s="2564"/>
      <c r="I2367" s="397"/>
      <c r="J2367" s="396"/>
      <c r="K2367" s="396"/>
      <c r="L2367" s="396"/>
      <c r="M2367" s="396"/>
      <c r="N2367" s="396"/>
      <c r="O2367" s="396"/>
      <c r="P2367" s="396"/>
      <c r="Q2367" s="396"/>
      <c r="R2367" s="396"/>
      <c r="S2367" s="396"/>
      <c r="T2367" s="396"/>
      <c r="U2367" s="388"/>
      <c r="V2367" s="396"/>
      <c r="W2367" s="388"/>
      <c r="X2367" s="396"/>
      <c r="Y2367" s="389"/>
      <c r="Z2367" s="396"/>
      <c r="AA2367" s="388"/>
      <c r="AB2367" s="390"/>
    </row>
    <row r="2368" spans="1:28">
      <c r="A2368" s="391"/>
      <c r="B2368" s="392"/>
      <c r="C2368" s="393" t="s">
        <v>199</v>
      </c>
      <c r="D2368" s="2562">
        <f>VLOOKUP(C2365,'Data Panjang Balok'!$C$9:$N$254,7,FALSE)</f>
        <v>2540</v>
      </c>
      <c r="E2368" s="2563"/>
      <c r="F2368" s="2563"/>
      <c r="G2368" s="2563"/>
      <c r="H2368" s="2564"/>
      <c r="I2368" s="397"/>
      <c r="J2368" s="396"/>
      <c r="K2368" s="396"/>
      <c r="L2368" s="396"/>
      <c r="M2368" s="396"/>
      <c r="N2368" s="396"/>
      <c r="O2368" s="396"/>
      <c r="P2368" s="396"/>
      <c r="Q2368" s="396"/>
      <c r="R2368" s="396"/>
      <c r="S2368" s="396"/>
      <c r="T2368" s="396"/>
      <c r="U2368" s="388"/>
      <c r="V2368" s="396"/>
      <c r="W2368" s="388"/>
      <c r="X2368" s="396"/>
      <c r="Y2368" s="389"/>
      <c r="Z2368" s="396"/>
      <c r="AA2368" s="388"/>
      <c r="AB2368" s="390"/>
    </row>
    <row r="2369" spans="1:28">
      <c r="A2369" s="391"/>
      <c r="B2369" s="392"/>
      <c r="C2369" s="393" t="s">
        <v>200</v>
      </c>
      <c r="D2369" s="2562">
        <f>VLOOKUP(C2365,'Data Panjang Balok'!$C$9:$N$254,9,FALSE)</f>
        <v>0</v>
      </c>
      <c r="E2369" s="2563"/>
      <c r="F2369" s="2563"/>
      <c r="G2369" s="2563"/>
      <c r="H2369" s="2564"/>
      <c r="I2369" s="397"/>
      <c r="J2369" s="396"/>
      <c r="K2369" s="396"/>
      <c r="L2369" s="396"/>
      <c r="M2369" s="396"/>
      <c r="N2369" s="396"/>
      <c r="O2369" s="396"/>
      <c r="P2369" s="396"/>
      <c r="Q2369" s="396"/>
      <c r="R2369" s="396"/>
      <c r="S2369" s="396"/>
      <c r="T2369" s="396"/>
      <c r="U2369" s="388"/>
      <c r="V2369" s="396"/>
      <c r="W2369" s="388"/>
      <c r="X2369" s="396"/>
      <c r="Y2369" s="389"/>
      <c r="Z2369" s="396"/>
      <c r="AA2369" s="388"/>
      <c r="AB2369" s="390"/>
    </row>
    <row r="2370" spans="1:28">
      <c r="A2370" s="391"/>
      <c r="B2370" s="392"/>
      <c r="C2370" s="393" t="s">
        <v>201</v>
      </c>
      <c r="D2370" s="2562">
        <f>VLOOKUP(C2365,'Data Panjang Balok'!$C$9:$N$254,10,FALSE)</f>
        <v>0</v>
      </c>
      <c r="E2370" s="2563"/>
      <c r="F2370" s="2563"/>
      <c r="G2370" s="2563"/>
      <c r="H2370" s="2564"/>
      <c r="I2370" s="397"/>
      <c r="J2370" s="396"/>
      <c r="K2370" s="396"/>
      <c r="L2370" s="396"/>
      <c r="M2370" s="396"/>
      <c r="N2370" s="396"/>
      <c r="O2370" s="396"/>
      <c r="P2370" s="396"/>
      <c r="Q2370" s="396"/>
      <c r="R2370" s="396"/>
      <c r="S2370" s="396"/>
      <c r="T2370" s="396"/>
      <c r="U2370" s="388"/>
      <c r="V2370" s="396"/>
      <c r="W2370" s="388"/>
      <c r="X2370" s="396"/>
      <c r="Y2370" s="389"/>
      <c r="Z2370" s="396"/>
      <c r="AA2370" s="388"/>
      <c r="AB2370" s="390"/>
    </row>
    <row r="2371" spans="1:28">
      <c r="A2371" s="391"/>
      <c r="B2371" s="392"/>
      <c r="C2371" s="393" t="s">
        <v>48</v>
      </c>
      <c r="D2371" s="2562">
        <f>VLOOKUP(C2365,'Data Panjang Balok'!$C$9:$N$254,3,FALSE)</f>
        <v>1</v>
      </c>
      <c r="E2371" s="2563"/>
      <c r="F2371" s="2563"/>
      <c r="G2371" s="2563"/>
      <c r="H2371" s="2564"/>
      <c r="I2371" s="397"/>
      <c r="J2371" s="396"/>
      <c r="K2371" s="396"/>
      <c r="L2371" s="396"/>
      <c r="M2371" s="396"/>
      <c r="N2371" s="396"/>
      <c r="O2371" s="396"/>
      <c r="P2371" s="396"/>
      <c r="Q2371" s="396"/>
      <c r="R2371" s="396"/>
      <c r="S2371" s="396"/>
      <c r="T2371" s="396"/>
      <c r="U2371" s="388"/>
      <c r="V2371" s="396"/>
      <c r="W2371" s="388"/>
      <c r="X2371" s="396"/>
      <c r="Y2371" s="389"/>
      <c r="Z2371" s="396"/>
      <c r="AA2371" s="388"/>
      <c r="AB2371" s="390"/>
    </row>
    <row r="2372" spans="1:28">
      <c r="A2372" s="384" t="str">
        <f t="shared" ref="A2372:B2372" si="7581">A2365</f>
        <v>Lantai 1</v>
      </c>
      <c r="B2372" s="385">
        <f t="shared" si="7581"/>
        <v>77</v>
      </c>
      <c r="C2372" s="393" t="s">
        <v>202</v>
      </c>
      <c r="D2372" s="398">
        <f>VLOOKUP(D2365,'Detail Balok'!$C$10:$AU$140,4,FALSE)</f>
        <v>3</v>
      </c>
      <c r="E2372" s="388" t="s">
        <v>16</v>
      </c>
      <c r="F2372" s="388">
        <f>VLOOKUP(D2365,'Detail Balok'!$C$10:$AU$140,6,FALSE)</f>
        <v>16</v>
      </c>
      <c r="G2372" s="388"/>
      <c r="H2372" s="395"/>
      <c r="I2372" s="388" t="s">
        <v>203</v>
      </c>
      <c r="J2372" s="399">
        <f t="shared" ref="J2372" si="7582">+D2367/4/1000</f>
        <v>0.63500000000000001</v>
      </c>
      <c r="K2372" s="400" t="s">
        <v>204</v>
      </c>
      <c r="L2372" s="399">
        <f t="shared" ref="L2372" si="7583">MAX(VLOOKUP(F2372,N$6:P$15,3,FALSE)/1000,2/3*D2369/1000)+F$16*F2372/1000</f>
        <v>0.192</v>
      </c>
      <c r="M2372" s="399" t="s">
        <v>176</v>
      </c>
      <c r="N2372" s="399">
        <f t="shared" ref="N2372:N2374" si="7584">J2372+L2372</f>
        <v>0.82699999999999996</v>
      </c>
      <c r="O2372" s="399" t="s">
        <v>204</v>
      </c>
      <c r="P2372" s="389">
        <f t="shared" ref="P2372" si="7585">D2372-D2373</f>
        <v>0</v>
      </c>
      <c r="Q2372" s="399" t="s">
        <v>125</v>
      </c>
      <c r="R2372" s="399">
        <f t="shared" ref="R2372" si="7586">IF(P2372&gt;0,$F$18*F2372/1000,0)</f>
        <v>0</v>
      </c>
      <c r="S2372" s="399" t="s">
        <v>205</v>
      </c>
      <c r="T2372" s="399" t="s">
        <v>125</v>
      </c>
      <c r="U2372" s="401">
        <f t="shared" ref="U2372:U2374" si="7587">0.006165*F2372^2</f>
        <v>1.5782400000000001</v>
      </c>
      <c r="V2372" s="399"/>
      <c r="W2372" s="399"/>
      <c r="X2372" s="399" t="s">
        <v>125</v>
      </c>
      <c r="Y2372" s="389">
        <f t="shared" ref="Y2372" si="7588">D2371</f>
        <v>1</v>
      </c>
      <c r="Z2372" s="400" t="s">
        <v>176</v>
      </c>
      <c r="AA2372" s="402">
        <f t="shared" ref="AA2372" si="7589">IF(AA2375=0,(D2372*N2372+P2372*R2372)*U2372*Y2372,0)</f>
        <v>0</v>
      </c>
      <c r="AB2372" s="403"/>
    </row>
    <row r="2373" spans="1:28">
      <c r="A2373" s="384" t="str">
        <f t="shared" ref="A2373:B2373" si="7590">A2365</f>
        <v>Lantai 1</v>
      </c>
      <c r="B2373" s="385">
        <f t="shared" si="7590"/>
        <v>77</v>
      </c>
      <c r="C2373" s="393" t="s">
        <v>206</v>
      </c>
      <c r="D2373" s="398">
        <f>VLOOKUP(D2365,'Detail Balok'!$C$10:$AU$140,7,FALSE)</f>
        <v>3</v>
      </c>
      <c r="E2373" s="388" t="s">
        <v>16</v>
      </c>
      <c r="F2373" s="388">
        <f>VLOOKUP(D2365,'Detail Balok'!$C$10:$AU$140,9,FALSE)</f>
        <v>16</v>
      </c>
      <c r="G2373" s="388"/>
      <c r="H2373" s="395"/>
      <c r="I2373" s="388" t="s">
        <v>203</v>
      </c>
      <c r="J2373" s="399">
        <f t="shared" ref="J2373" si="7591">+D2367/2/1000</f>
        <v>1.27</v>
      </c>
      <c r="K2373" s="400" t="s">
        <v>204</v>
      </c>
      <c r="L2373" s="399"/>
      <c r="M2373" s="399" t="s">
        <v>176</v>
      </c>
      <c r="N2373" s="399">
        <f t="shared" si="7584"/>
        <v>1.27</v>
      </c>
      <c r="O2373" s="399" t="s">
        <v>204</v>
      </c>
      <c r="P2373" s="389">
        <f t="shared" ref="P2373" si="7592">MAX(D2373-D2372,D2373-D2374)</f>
        <v>0</v>
      </c>
      <c r="Q2373" s="399" t="s">
        <v>125</v>
      </c>
      <c r="R2373" s="399">
        <f t="shared" ref="R2373" si="7593">IF(P2373&gt;0,2*(1-2*$F$19-1/2)*D2368/1000,0)</f>
        <v>0</v>
      </c>
      <c r="S2373" s="399" t="s">
        <v>205</v>
      </c>
      <c r="T2373" s="399" t="s">
        <v>125</v>
      </c>
      <c r="U2373" s="401">
        <f t="shared" si="7587"/>
        <v>1.5782400000000001</v>
      </c>
      <c r="V2373" s="399"/>
      <c r="W2373" s="399"/>
      <c r="X2373" s="399" t="s">
        <v>125</v>
      </c>
      <c r="Y2373" s="389">
        <f t="shared" ref="Y2373" si="7594">D2371</f>
        <v>1</v>
      </c>
      <c r="Z2373" s="400" t="s">
        <v>176</v>
      </c>
      <c r="AA2373" s="402">
        <f t="shared" ref="AA2373" si="7595">IF(AA2375=0,(D2373*N2373+P2373*R2373)*U2373*Y2373,0)</f>
        <v>0</v>
      </c>
      <c r="AB2373" s="403"/>
    </row>
    <row r="2374" spans="1:28">
      <c r="A2374" s="384" t="str">
        <f t="shared" ref="A2374:B2374" si="7596">A2365</f>
        <v>Lantai 1</v>
      </c>
      <c r="B2374" s="385">
        <f t="shared" si="7596"/>
        <v>77</v>
      </c>
      <c r="C2374" s="393" t="s">
        <v>202</v>
      </c>
      <c r="D2374" s="398">
        <f>VLOOKUP(D2365,'Detail Balok'!$C$10:$AU$140,10,FALSE)</f>
        <v>3</v>
      </c>
      <c r="E2374" s="388" t="s">
        <v>16</v>
      </c>
      <c r="F2374" s="388">
        <f>VLOOKUP(D2365,'Detail Balok'!$C$10:$AU$140,12,FALSE)</f>
        <v>16</v>
      </c>
      <c r="G2374" s="388"/>
      <c r="H2374" s="395"/>
      <c r="I2374" s="388" t="s">
        <v>203</v>
      </c>
      <c r="J2374" s="399">
        <f t="shared" ref="J2374" si="7597">+D2367/4/1000</f>
        <v>0.63500000000000001</v>
      </c>
      <c r="K2374" s="400" t="s">
        <v>204</v>
      </c>
      <c r="L2374" s="399">
        <f t="shared" ref="L2374" si="7598">MAX(VLOOKUP(F2374,N$6:P$15,3,FALSE)/1000,2/3*D2369/1000)+F$16*F2374/1000</f>
        <v>0.192</v>
      </c>
      <c r="M2374" s="399" t="s">
        <v>176</v>
      </c>
      <c r="N2374" s="399">
        <f t="shared" si="7584"/>
        <v>0.82699999999999996</v>
      </c>
      <c r="O2374" s="399" t="s">
        <v>204</v>
      </c>
      <c r="P2374" s="389">
        <f t="shared" ref="P2374" si="7599">D2374-D2373</f>
        <v>0</v>
      </c>
      <c r="Q2374" s="399" t="s">
        <v>125</v>
      </c>
      <c r="R2374" s="399">
        <f t="shared" ref="R2374" si="7600">IF(P2374&gt;0,$F$18*F2374/1000,0)</f>
        <v>0</v>
      </c>
      <c r="S2374" s="399" t="s">
        <v>205</v>
      </c>
      <c r="T2374" s="399" t="s">
        <v>125</v>
      </c>
      <c r="U2374" s="401">
        <f t="shared" si="7587"/>
        <v>1.5782400000000001</v>
      </c>
      <c r="V2374" s="399"/>
      <c r="W2374" s="399"/>
      <c r="X2374" s="399" t="s">
        <v>125</v>
      </c>
      <c r="Y2374" s="389">
        <f t="shared" ref="Y2374" si="7601">D2371</f>
        <v>1</v>
      </c>
      <c r="Z2374" s="400" t="s">
        <v>176</v>
      </c>
      <c r="AA2374" s="402">
        <f t="shared" ref="AA2374" si="7602">IF(AA2375=0,(D2374*N2374+P2374*R2374)*U2374*Y2374,0)</f>
        <v>0</v>
      </c>
      <c r="AB2374" s="403"/>
    </row>
    <row r="2375" spans="1:28">
      <c r="A2375" s="384" t="str">
        <f t="shared" ref="A2375:B2375" si="7603">A2365</f>
        <v>Lantai 1</v>
      </c>
      <c r="B2375" s="385">
        <f t="shared" si="7603"/>
        <v>77</v>
      </c>
      <c r="C2375" s="393"/>
      <c r="D2375" s="398">
        <f t="shared" si="7499"/>
        <v>3</v>
      </c>
      <c r="E2375" s="388" t="s">
        <v>16</v>
      </c>
      <c r="F2375" s="388">
        <f t="shared" si="7500"/>
        <v>16</v>
      </c>
      <c r="G2375" s="388"/>
      <c r="H2375" s="395"/>
      <c r="I2375" s="388"/>
      <c r="J2375" s="396"/>
      <c r="K2375" s="396"/>
      <c r="L2375" s="404" t="s">
        <v>207</v>
      </c>
      <c r="M2375" s="399" t="s">
        <v>176</v>
      </c>
      <c r="N2375" s="399">
        <f t="shared" ref="N2375" si="7604">IF(AND(D2372=D2373,D2372=D2374,D2373=D2374,F2372=F2373,F2372=F2374,F2373=F2374),SUM(N2372:N2374),0)</f>
        <v>2.9239999999999999</v>
      </c>
      <c r="O2375" s="399" t="s">
        <v>204</v>
      </c>
      <c r="P2375" s="389">
        <f t="shared" ref="P2375" si="7605">IF(N2375&gt;12,ROUNDDOWN(N2375/12,0),0)</f>
        <v>0</v>
      </c>
      <c r="Q2375" s="399" t="s">
        <v>125</v>
      </c>
      <c r="R2375" s="399">
        <f t="shared" ref="R2375" si="7606">IF(P2375&gt;0,MAX(VLOOKUP(F2375,$D$6:$G$15,3,FALSE),600),0)/1000</f>
        <v>0</v>
      </c>
      <c r="S2375" s="396"/>
      <c r="T2375" s="396" t="s">
        <v>125</v>
      </c>
      <c r="U2375" s="401">
        <f t="shared" si="7504"/>
        <v>1.5782400000000001</v>
      </c>
      <c r="V2375" s="396" t="s">
        <v>125</v>
      </c>
      <c r="W2375" s="399">
        <f t="shared" ref="W2375" si="7607">D2375</f>
        <v>3</v>
      </c>
      <c r="X2375" s="399" t="s">
        <v>125</v>
      </c>
      <c r="Y2375" s="389">
        <f t="shared" si="7506"/>
        <v>1</v>
      </c>
      <c r="Z2375" s="400" t="s">
        <v>176</v>
      </c>
      <c r="AA2375" s="402">
        <f t="shared" ref="AA2375" si="7608">(N2375+P2375*R2375/1000)*U2375*W2375*Y2375</f>
        <v>13.844321280000001</v>
      </c>
      <c r="AB2375" s="390"/>
    </row>
    <row r="2376" spans="1:28">
      <c r="A2376" s="384"/>
      <c r="B2376" s="385"/>
      <c r="C2376" s="393"/>
      <c r="D2376" s="398"/>
      <c r="E2376" s="388"/>
      <c r="F2376" s="388"/>
      <c r="G2376" s="388"/>
      <c r="H2376" s="395"/>
      <c r="I2376" s="388"/>
      <c r="J2376" s="396"/>
      <c r="K2376" s="396"/>
      <c r="L2376" s="404"/>
      <c r="M2376" s="399"/>
      <c r="N2376" s="399"/>
      <c r="O2376" s="396"/>
      <c r="P2376" s="389"/>
      <c r="Q2376" s="396"/>
      <c r="R2376" s="396"/>
      <c r="S2376" s="396"/>
      <c r="T2376" s="396"/>
      <c r="U2376" s="401"/>
      <c r="V2376" s="396"/>
      <c r="W2376" s="399"/>
      <c r="X2376" s="396"/>
      <c r="Y2376" s="389"/>
      <c r="Z2376" s="396"/>
      <c r="AA2376" s="388"/>
      <c r="AB2376" s="390"/>
    </row>
    <row r="2377" spans="1:28">
      <c r="A2377" s="384" t="str">
        <f t="shared" ref="A2377:B2377" si="7609">A2365</f>
        <v>Lantai 1</v>
      </c>
      <c r="B2377" s="385">
        <f t="shared" si="7609"/>
        <v>77</v>
      </c>
      <c r="C2377" s="393" t="s">
        <v>208</v>
      </c>
      <c r="D2377" s="398">
        <f>VLOOKUP(D2365,'Detail Balok'!$C$10:$AU$140,13,FALSE)</f>
        <v>0</v>
      </c>
      <c r="E2377" s="388" t="s">
        <v>16</v>
      </c>
      <c r="F2377" s="388">
        <f>VLOOKUP(D2365,'Detail Balok'!$C$10:$AU$140,15,FALSE)</f>
        <v>8</v>
      </c>
      <c r="G2377" s="388"/>
      <c r="H2377" s="395"/>
      <c r="I2377" s="388"/>
      <c r="J2377" s="399">
        <f t="shared" ref="J2377" si="7610">+D2367/1000</f>
        <v>2.54</v>
      </c>
      <c r="K2377" s="400" t="s">
        <v>204</v>
      </c>
      <c r="L2377" s="399">
        <f t="shared" ref="L2377" si="7611">2*$F$16*F2377/1000</f>
        <v>0.192</v>
      </c>
      <c r="M2377" s="399" t="s">
        <v>176</v>
      </c>
      <c r="N2377" s="399">
        <f t="shared" ref="N2377" si="7612">J2377+L2377</f>
        <v>2.7320000000000002</v>
      </c>
      <c r="O2377" s="399" t="s">
        <v>204</v>
      </c>
      <c r="P2377" s="389">
        <f t="shared" ref="P2377" si="7613">IF(N2377&gt;12,ROUNDDOWN(N2377/12,0),0)</f>
        <v>0</v>
      </c>
      <c r="Q2377" s="399" t="s">
        <v>125</v>
      </c>
      <c r="R2377" s="399">
        <f t="shared" ref="R2377" si="7614">IF(P2377&gt;0,MAX(VLOOKUP(F2377,$D$6:$G$15,3,FALSE),600),0)/1000</f>
        <v>0</v>
      </c>
      <c r="S2377" s="399"/>
      <c r="T2377" s="399" t="s">
        <v>125</v>
      </c>
      <c r="U2377" s="401">
        <f t="shared" ref="U2377" si="7615">0.006165*F2377^2</f>
        <v>0.39456000000000002</v>
      </c>
      <c r="V2377" s="399" t="s">
        <v>125</v>
      </c>
      <c r="W2377" s="399">
        <f t="shared" ref="W2377" si="7616">+D2377</f>
        <v>0</v>
      </c>
      <c r="X2377" s="399" t="s">
        <v>125</v>
      </c>
      <c r="Y2377" s="389">
        <f t="shared" ref="Y2377" si="7617">D2371</f>
        <v>1</v>
      </c>
      <c r="Z2377" s="400" t="s">
        <v>176</v>
      </c>
      <c r="AA2377" s="402">
        <f t="shared" ref="AA2377" si="7618">(N2377+P2377*R2377/1000)*U2377*W2377*Y2377</f>
        <v>0</v>
      </c>
      <c r="AB2377" s="403"/>
    </row>
    <row r="2378" spans="1:28">
      <c r="A2378" s="384"/>
      <c r="B2378" s="385"/>
      <c r="C2378" s="393"/>
      <c r="D2378" s="398"/>
      <c r="E2378" s="388"/>
      <c r="F2378" s="388"/>
      <c r="G2378" s="388"/>
      <c r="H2378" s="395"/>
      <c r="I2378" s="388"/>
      <c r="J2378" s="399"/>
      <c r="K2378" s="400"/>
      <c r="L2378" s="399"/>
      <c r="M2378" s="399"/>
      <c r="N2378" s="399"/>
      <c r="O2378" s="399"/>
      <c r="P2378" s="389"/>
      <c r="Q2378" s="399"/>
      <c r="R2378" s="399"/>
      <c r="S2378" s="399"/>
      <c r="T2378" s="399"/>
      <c r="U2378" s="401"/>
      <c r="V2378" s="399"/>
      <c r="W2378" s="399"/>
      <c r="X2378" s="399"/>
      <c r="Y2378" s="389"/>
      <c r="Z2378" s="400"/>
      <c r="AA2378" s="402"/>
      <c r="AB2378" s="403"/>
    </row>
    <row r="2379" spans="1:28">
      <c r="A2379" s="384"/>
      <c r="B2379" s="385"/>
      <c r="C2379" s="393"/>
      <c r="D2379" s="398"/>
      <c r="E2379" s="388"/>
      <c r="F2379" s="388"/>
      <c r="G2379" s="388"/>
      <c r="H2379" s="395"/>
      <c r="I2379" s="388"/>
      <c r="J2379" s="396"/>
      <c r="K2379" s="396"/>
      <c r="L2379" s="396"/>
      <c r="M2379" s="396"/>
      <c r="N2379" s="396"/>
      <c r="O2379" s="396"/>
      <c r="P2379" s="389"/>
      <c r="Q2379" s="396"/>
      <c r="R2379" s="396"/>
      <c r="S2379" s="396"/>
      <c r="T2379" s="396"/>
      <c r="U2379" s="401"/>
      <c r="V2379" s="396"/>
      <c r="W2379" s="399"/>
      <c r="X2379" s="396"/>
      <c r="Y2379" s="389"/>
      <c r="Z2379" s="396"/>
      <c r="AA2379" s="388"/>
      <c r="AB2379" s="390"/>
    </row>
    <row r="2380" spans="1:28">
      <c r="A2380" s="384" t="str">
        <f t="shared" ref="A2380:B2380" si="7619">A2365</f>
        <v>Lantai 1</v>
      </c>
      <c r="B2380" s="385">
        <f t="shared" si="7619"/>
        <v>77</v>
      </c>
      <c r="C2380" s="393" t="s">
        <v>209</v>
      </c>
      <c r="D2380" s="398">
        <f>VLOOKUP(D2365,'Detail Balok'!$C$10:$AU$140,22,FALSE)</f>
        <v>3</v>
      </c>
      <c r="E2380" s="388" t="s">
        <v>16</v>
      </c>
      <c r="F2380" s="388">
        <f>VLOOKUP(D2365,'Detail Balok'!$C$10:$AU$140,24,FALSE)</f>
        <v>16</v>
      </c>
      <c r="G2380" s="388"/>
      <c r="H2380" s="395"/>
      <c r="I2380" s="388" t="s">
        <v>203</v>
      </c>
      <c r="J2380" s="399">
        <f t="shared" si="7519"/>
        <v>0.63500000000000001</v>
      </c>
      <c r="K2380" s="400" t="s">
        <v>204</v>
      </c>
      <c r="L2380" s="399">
        <f t="shared" ref="L2380" si="7620">MAX(VLOOKUP(F2380,N$6:P$15,3,FALSE)/1000,2/3*D2370/1000)+F$16*F2380/1000</f>
        <v>0.192</v>
      </c>
      <c r="M2380" s="399" t="s">
        <v>176</v>
      </c>
      <c r="N2380" s="399">
        <f t="shared" ref="N2380:N2382" si="7621">J2380+L2380</f>
        <v>0.82699999999999996</v>
      </c>
      <c r="O2380" s="399" t="s">
        <v>204</v>
      </c>
      <c r="P2380" s="389">
        <f t="shared" ref="P2380" si="7622">D2380-D2381</f>
        <v>0</v>
      </c>
      <c r="Q2380" s="399" t="s">
        <v>125</v>
      </c>
      <c r="R2380" s="399">
        <f t="shared" ref="R2380" si="7623">IF(P2380&gt;0,$F$18*F2380/1000,0)</f>
        <v>0</v>
      </c>
      <c r="S2380" s="399" t="s">
        <v>205</v>
      </c>
      <c r="T2380" s="399" t="s">
        <v>125</v>
      </c>
      <c r="U2380" s="401">
        <f t="shared" ref="U2380:U2382" si="7624">0.006165*F2380^2</f>
        <v>1.5782400000000001</v>
      </c>
      <c r="V2380" s="399"/>
      <c r="W2380" s="399"/>
      <c r="X2380" s="399" t="s">
        <v>125</v>
      </c>
      <c r="Y2380" s="389">
        <f t="shared" ref="Y2380" si="7625">D2371</f>
        <v>1</v>
      </c>
      <c r="Z2380" s="400" t="s">
        <v>176</v>
      </c>
      <c r="AA2380" s="402">
        <f t="shared" ref="AA2380" si="7626">IF(AA2383=0,(D2380*N2380+P2380*R2380)*U2380*Y2380,0)</f>
        <v>0</v>
      </c>
      <c r="AB2380" s="403"/>
    </row>
    <row r="2381" spans="1:28">
      <c r="A2381" s="384" t="str">
        <f t="shared" ref="A2381:B2381" si="7627">A2365</f>
        <v>Lantai 1</v>
      </c>
      <c r="B2381" s="385">
        <f t="shared" si="7627"/>
        <v>77</v>
      </c>
      <c r="C2381" s="393" t="s">
        <v>210</v>
      </c>
      <c r="D2381" s="398">
        <f>VLOOKUP(D2365,'Detail Balok'!$C$10:$AU$140,25,FALSE)</f>
        <v>3</v>
      </c>
      <c r="E2381" s="388" t="s">
        <v>16</v>
      </c>
      <c r="F2381" s="388">
        <f>VLOOKUP(D2365,'Detail Balok'!$C$10:$AU$140,27,FALSE)</f>
        <v>16</v>
      </c>
      <c r="G2381" s="388"/>
      <c r="H2381" s="395"/>
      <c r="I2381" s="388" t="s">
        <v>203</v>
      </c>
      <c r="J2381" s="399">
        <f t="shared" si="7519"/>
        <v>1.27</v>
      </c>
      <c r="K2381" s="400" t="s">
        <v>204</v>
      </c>
      <c r="L2381" s="399"/>
      <c r="M2381" s="399" t="s">
        <v>176</v>
      </c>
      <c r="N2381" s="399">
        <f t="shared" si="7621"/>
        <v>1.27</v>
      </c>
      <c r="O2381" s="399" t="s">
        <v>204</v>
      </c>
      <c r="P2381" s="389">
        <f t="shared" ref="P2381" si="7628">MAX(D2381-D2380,D2381-D2382)</f>
        <v>0</v>
      </c>
      <c r="Q2381" s="399" t="s">
        <v>125</v>
      </c>
      <c r="R2381" s="399">
        <f t="shared" ref="R2381" si="7629">IF(P2381&gt;0,2*(1-2*$F$19-1/2)*D2368/1000,0)</f>
        <v>0</v>
      </c>
      <c r="S2381" s="399" t="s">
        <v>205</v>
      </c>
      <c r="T2381" s="399" t="s">
        <v>125</v>
      </c>
      <c r="U2381" s="401">
        <f t="shared" si="7624"/>
        <v>1.5782400000000001</v>
      </c>
      <c r="V2381" s="399"/>
      <c r="W2381" s="399"/>
      <c r="X2381" s="399" t="s">
        <v>125</v>
      </c>
      <c r="Y2381" s="389">
        <f t="shared" ref="Y2381" si="7630">D2371</f>
        <v>1</v>
      </c>
      <c r="Z2381" s="400" t="s">
        <v>176</v>
      </c>
      <c r="AA2381" s="402">
        <f t="shared" ref="AA2381" si="7631">IF(AA2383=0,(D2381*N2381+P2381*R2381)*U2381*Y2381,0)</f>
        <v>0</v>
      </c>
      <c r="AB2381" s="403"/>
    </row>
    <row r="2382" spans="1:28">
      <c r="A2382" s="384" t="str">
        <f t="shared" ref="A2382:B2382" si="7632">A2365</f>
        <v>Lantai 1</v>
      </c>
      <c r="B2382" s="385">
        <f t="shared" si="7632"/>
        <v>77</v>
      </c>
      <c r="C2382" s="393" t="s">
        <v>209</v>
      </c>
      <c r="D2382" s="398">
        <f>VLOOKUP(D2365,'Detail Balok'!$C$10:$AU$140,28,FALSE)</f>
        <v>3</v>
      </c>
      <c r="E2382" s="388" t="s">
        <v>16</v>
      </c>
      <c r="F2382" s="388">
        <f>VLOOKUP(D2365,'Detail Balok'!$C$10:$AU$140,30,FALSE)</f>
        <v>16</v>
      </c>
      <c r="G2382" s="388"/>
      <c r="H2382" s="395"/>
      <c r="I2382" s="388" t="s">
        <v>203</v>
      </c>
      <c r="J2382" s="399">
        <f t="shared" si="7519"/>
        <v>0.63500000000000001</v>
      </c>
      <c r="K2382" s="400" t="s">
        <v>204</v>
      </c>
      <c r="L2382" s="399">
        <f t="shared" ref="L2382" si="7633">MAX(VLOOKUP(F2382,N$6:P$15,3,FALSE)/1000,2/3*D2370/1000)+F$16*F2382/1000</f>
        <v>0.192</v>
      </c>
      <c r="M2382" s="399" t="s">
        <v>176</v>
      </c>
      <c r="N2382" s="399">
        <f t="shared" si="7621"/>
        <v>0.82699999999999996</v>
      </c>
      <c r="O2382" s="399" t="s">
        <v>204</v>
      </c>
      <c r="P2382" s="389">
        <f t="shared" ref="P2382" si="7634">D2382-D2381</f>
        <v>0</v>
      </c>
      <c r="Q2382" s="399" t="s">
        <v>125</v>
      </c>
      <c r="R2382" s="399">
        <f t="shared" ref="R2382" si="7635">IF(P2382&gt;0,$F$18*F2382/1000,0)</f>
        <v>0</v>
      </c>
      <c r="S2382" s="399" t="s">
        <v>205</v>
      </c>
      <c r="T2382" s="399" t="s">
        <v>125</v>
      </c>
      <c r="U2382" s="401">
        <f t="shared" si="7624"/>
        <v>1.5782400000000001</v>
      </c>
      <c r="V2382" s="399"/>
      <c r="W2382" s="399"/>
      <c r="X2382" s="399" t="s">
        <v>125</v>
      </c>
      <c r="Y2382" s="389">
        <f t="shared" ref="Y2382" si="7636">D2371</f>
        <v>1</v>
      </c>
      <c r="Z2382" s="400" t="s">
        <v>176</v>
      </c>
      <c r="AA2382" s="402">
        <f t="shared" ref="AA2382" si="7637">IF(AA2383=0,(D2382*N2382+P2382*R2382)*U2382*Y2382,0)</f>
        <v>0</v>
      </c>
      <c r="AB2382" s="403"/>
    </row>
    <row r="2383" spans="1:28">
      <c r="A2383" s="384" t="str">
        <f t="shared" ref="A2383:B2383" si="7638">A2365</f>
        <v>Lantai 1</v>
      </c>
      <c r="B2383" s="385">
        <f t="shared" si="7638"/>
        <v>77</v>
      </c>
      <c r="C2383" s="393"/>
      <c r="D2383" s="398">
        <f t="shared" si="7539"/>
        <v>3</v>
      </c>
      <c r="E2383" s="388" t="s">
        <v>16</v>
      </c>
      <c r="F2383" s="388">
        <f t="shared" si="7540"/>
        <v>16</v>
      </c>
      <c r="G2383" s="388"/>
      <c r="H2383" s="395"/>
      <c r="I2383" s="388"/>
      <c r="J2383" s="396"/>
      <c r="K2383" s="396"/>
      <c r="L2383" s="404" t="s">
        <v>207</v>
      </c>
      <c r="M2383" s="399" t="s">
        <v>176</v>
      </c>
      <c r="N2383" s="399">
        <f t="shared" ref="N2383" si="7639">IF(AND(D2380=D2381,D2380=D2382,D2381=D2382,F2380=F2381,F2380=F2382,F2381=F2382),SUM(N2380:N2382),0)</f>
        <v>2.9239999999999999</v>
      </c>
      <c r="O2383" s="399" t="s">
        <v>204</v>
      </c>
      <c r="P2383" s="389">
        <f t="shared" ref="P2383" si="7640">IF(N2383&gt;12,ROUNDDOWN(N2383/12,0),0)</f>
        <v>0</v>
      </c>
      <c r="Q2383" s="399" t="s">
        <v>125</v>
      </c>
      <c r="R2383" s="399">
        <f t="shared" ref="R2383" si="7641">IF(P2383&gt;0,MAX(VLOOKUP(F2383,$D$6:$G$15,3,FALSE),600),0)/1000</f>
        <v>0</v>
      </c>
      <c r="S2383" s="396"/>
      <c r="T2383" s="396" t="s">
        <v>125</v>
      </c>
      <c r="U2383" s="401">
        <f t="shared" si="7544"/>
        <v>1.5782400000000001</v>
      </c>
      <c r="V2383" s="396" t="s">
        <v>125</v>
      </c>
      <c r="W2383" s="399">
        <f t="shared" ref="W2383" si="7642">D2383</f>
        <v>3</v>
      </c>
      <c r="X2383" s="399" t="s">
        <v>125</v>
      </c>
      <c r="Y2383" s="389">
        <f t="shared" si="7546"/>
        <v>1</v>
      </c>
      <c r="Z2383" s="400" t="s">
        <v>176</v>
      </c>
      <c r="AA2383" s="402">
        <f t="shared" ref="AA2383" si="7643">(N2383+P2383*R2383/1000)*U2383*W2383*Y2383</f>
        <v>13.844321280000001</v>
      </c>
      <c r="AB2383" s="403"/>
    </row>
    <row r="2384" spans="1:28">
      <c r="A2384" s="384"/>
      <c r="B2384" s="385"/>
      <c r="C2384" s="393"/>
      <c r="D2384" s="394"/>
      <c r="E2384" s="388"/>
      <c r="F2384" s="388"/>
      <c r="G2384" s="388"/>
      <c r="H2384" s="395"/>
      <c r="I2384" s="388"/>
      <c r="J2384" s="399"/>
      <c r="K2384" s="396"/>
      <c r="L2384" s="396"/>
      <c r="M2384" s="396"/>
      <c r="N2384" s="396"/>
      <c r="O2384" s="396"/>
      <c r="P2384" s="389"/>
      <c r="Q2384" s="396"/>
      <c r="R2384" s="396"/>
      <c r="S2384" s="396"/>
      <c r="T2384" s="396"/>
      <c r="U2384" s="401"/>
      <c r="V2384" s="396"/>
      <c r="W2384" s="388"/>
      <c r="X2384" s="396"/>
      <c r="Y2384" s="389"/>
      <c r="Z2384" s="396"/>
      <c r="AA2384" s="388"/>
      <c r="AB2384" s="390"/>
    </row>
    <row r="2385" spans="1:28">
      <c r="A2385" s="384" t="str">
        <f t="shared" ref="A2385:B2385" si="7644">A2365</f>
        <v>Lantai 1</v>
      </c>
      <c r="B2385" s="385">
        <f t="shared" si="7644"/>
        <v>77</v>
      </c>
      <c r="C2385" s="393" t="s">
        <v>211</v>
      </c>
      <c r="D2385" s="398">
        <f>VLOOKUP(D2365,'Detail Balok'!$C$10:$AU$140,31,FALSE)</f>
        <v>0</v>
      </c>
      <c r="E2385" s="388" t="s">
        <v>16</v>
      </c>
      <c r="F2385" s="388">
        <f>VLOOKUP(D2365,'Detail Balok'!$C$10:$AU$140,33,FALSE)</f>
        <v>10</v>
      </c>
      <c r="G2385" s="405" t="s">
        <v>157</v>
      </c>
      <c r="H2385" s="395">
        <f>VLOOKUP(D2365,'Detail Balok'!$C$10:$AU$140,35,FALSE)</f>
        <v>100</v>
      </c>
      <c r="I2385" s="388"/>
      <c r="J2385" s="400">
        <f t="shared" ref="J2385" si="7645">(IF(D2385=0,(2*(D2366+G2366))-(F$5*8),IF(D2385=3,(2*(D2366+G2366))-(F$5*8)+(G2366-2*F$5),IF(D2385=4,(2*(D2366+G2366))-(F$5*8)+2*(G2366-2*F$5)))))/1000</f>
        <v>0.88</v>
      </c>
      <c r="K2385" s="400" t="s">
        <v>204</v>
      </c>
      <c r="L2385" s="399">
        <f t="shared" ref="L2385:L2387" si="7646">IF(D2385=0,2*MAX(6*F2385,75),(D2385-1)*2*MAX(6*F2385,75))/1000</f>
        <v>0.15</v>
      </c>
      <c r="M2385" s="399" t="s">
        <v>176</v>
      </c>
      <c r="N2385" s="399">
        <f t="shared" ref="N2385:N2387" si="7647">J2385+L2385</f>
        <v>1.03</v>
      </c>
      <c r="O2385" s="399"/>
      <c r="P2385" s="389"/>
      <c r="Q2385" s="399"/>
      <c r="R2385" s="399"/>
      <c r="S2385" s="399"/>
      <c r="T2385" s="399" t="s">
        <v>125</v>
      </c>
      <c r="U2385" s="401">
        <f t="shared" ref="U2385:U2387" si="7648">0.006165*F2385^2</f>
        <v>0.61650000000000005</v>
      </c>
      <c r="V2385" s="399" t="s">
        <v>125</v>
      </c>
      <c r="W2385" s="399">
        <f t="shared" ref="W2385" si="7649">IF(D2368&gt;4*G2366,ROUND(MAX(D2368/4,2*G2366)/H2385,0)+1,ROUND(D2368/H2385,0)+1)</f>
        <v>9</v>
      </c>
      <c r="X2385" s="399" t="s">
        <v>125</v>
      </c>
      <c r="Y2385" s="389">
        <f t="shared" ref="Y2385" si="7650">D2371</f>
        <v>1</v>
      </c>
      <c r="Z2385" s="400" t="s">
        <v>176</v>
      </c>
      <c r="AA2385" s="402">
        <f t="shared" ref="AA2385:AA2387" si="7651">N2385*U2385*W2385*Y2385</f>
        <v>5.7149550000000007</v>
      </c>
      <c r="AB2385" s="403"/>
    </row>
    <row r="2386" spans="1:28">
      <c r="A2386" s="384" t="str">
        <f t="shared" ref="A2386:B2386" si="7652">A2365</f>
        <v>Lantai 1</v>
      </c>
      <c r="B2386" s="385">
        <f t="shared" si="7652"/>
        <v>77</v>
      </c>
      <c r="C2386" s="393" t="s">
        <v>212</v>
      </c>
      <c r="D2386" s="398">
        <f>VLOOKUP(D2365,'Detail Balok'!$C$10:$AU$140,36,FALSE)</f>
        <v>0</v>
      </c>
      <c r="E2386" s="388" t="s">
        <v>16</v>
      </c>
      <c r="F2386" s="388">
        <f>VLOOKUP(D2365,'Detail Balok'!$C$10:$AU$140,38,FALSE)</f>
        <v>10</v>
      </c>
      <c r="G2386" s="405" t="s">
        <v>157</v>
      </c>
      <c r="H2386" s="395">
        <f>VLOOKUP(D2365,'Detail Balok'!$C$10:$AU$140,40,FALSE)</f>
        <v>200</v>
      </c>
      <c r="I2386" s="388"/>
      <c r="J2386" s="400">
        <f t="shared" ref="J2386" si="7653">(IF(D2386=0,(2*(D2366+G2366))-(F$5*8),IF(D2386=3,(2*(D2366+G2366))-(F$5*8)+(G2366-2*F$5),IF(D2386=4,(2*(D2366+G2366))-(F$5*8)+2*(G2366-2*F$5)))))/1000</f>
        <v>0.88</v>
      </c>
      <c r="K2386" s="400" t="s">
        <v>204</v>
      </c>
      <c r="L2386" s="399">
        <f t="shared" si="7646"/>
        <v>0.15</v>
      </c>
      <c r="M2386" s="399" t="s">
        <v>176</v>
      </c>
      <c r="N2386" s="399">
        <f t="shared" si="7647"/>
        <v>1.03</v>
      </c>
      <c r="O2386" s="399"/>
      <c r="P2386" s="389"/>
      <c r="Q2386" s="399"/>
      <c r="R2386" s="399"/>
      <c r="S2386" s="399"/>
      <c r="T2386" s="399" t="s">
        <v>125</v>
      </c>
      <c r="U2386" s="401">
        <f t="shared" si="7648"/>
        <v>0.61650000000000005</v>
      </c>
      <c r="V2386" s="399" t="s">
        <v>125</v>
      </c>
      <c r="W2386" s="399">
        <f t="shared" ref="W2386" si="7654">IF(D2368-MAX(D2368/4,2*G2366)*2&gt;0,ROUND((D2368-MAX(D2368/4,2*G2366)*2)/H2386,0),0)</f>
        <v>5</v>
      </c>
      <c r="X2386" s="399" t="s">
        <v>125</v>
      </c>
      <c r="Y2386" s="389">
        <f t="shared" ref="Y2386" si="7655">D2371</f>
        <v>1</v>
      </c>
      <c r="Z2386" s="400" t="s">
        <v>176</v>
      </c>
      <c r="AA2386" s="402">
        <f t="shared" si="7651"/>
        <v>3.1749750000000003</v>
      </c>
      <c r="AB2386" s="403"/>
    </row>
    <row r="2387" spans="1:28">
      <c r="A2387" s="384" t="str">
        <f t="shared" ref="A2387:B2387" si="7656">A2365</f>
        <v>Lantai 1</v>
      </c>
      <c r="B2387" s="385">
        <f t="shared" si="7656"/>
        <v>77</v>
      </c>
      <c r="C2387" s="393" t="s">
        <v>211</v>
      </c>
      <c r="D2387" s="398">
        <f>VLOOKUP(D2365,'Detail Balok'!$C$10:$AU$140,41,FALSE)</f>
        <v>0</v>
      </c>
      <c r="E2387" s="388" t="s">
        <v>16</v>
      </c>
      <c r="F2387" s="388">
        <f>VLOOKUP(D2365,'Detail Balok'!$C$10:$AU$140,43,FALSE)</f>
        <v>10</v>
      </c>
      <c r="G2387" s="405" t="s">
        <v>157</v>
      </c>
      <c r="H2387" s="395">
        <f>VLOOKUP(D2365,'Detail Balok'!$C$10:$AU$140,45,FALSE)</f>
        <v>100</v>
      </c>
      <c r="I2387" s="388"/>
      <c r="J2387" s="400">
        <f t="shared" ref="J2387" si="7657">(IF(D2387=0,(2*(D2366+G2366))-(F$5*8),IF(D2387=3,(2*(D2366+G2366))-(F$5*8)+(G2366-2*F$5),IF(D2387=4,(2*(D2366+G2366))-(F$5*8)+2*(G2366-2*F$5)))))/1000</f>
        <v>0.88</v>
      </c>
      <c r="K2387" s="400" t="s">
        <v>204</v>
      </c>
      <c r="L2387" s="399">
        <f t="shared" si="7646"/>
        <v>0.15</v>
      </c>
      <c r="M2387" s="399" t="s">
        <v>176</v>
      </c>
      <c r="N2387" s="399">
        <f t="shared" si="7647"/>
        <v>1.03</v>
      </c>
      <c r="O2387" s="399"/>
      <c r="P2387" s="389"/>
      <c r="Q2387" s="399"/>
      <c r="R2387" s="399"/>
      <c r="S2387" s="399"/>
      <c r="T2387" s="399" t="s">
        <v>125</v>
      </c>
      <c r="U2387" s="401">
        <f t="shared" si="7648"/>
        <v>0.61650000000000005</v>
      </c>
      <c r="V2387" s="399" t="s">
        <v>125</v>
      </c>
      <c r="W2387" s="399">
        <f t="shared" ref="W2387" si="7658">IF(D2368&gt;4*G2366,ROUND(MAX(D2368/4,2*G2366)/H2387,0)+1,0)</f>
        <v>9</v>
      </c>
      <c r="X2387" s="399" t="s">
        <v>125</v>
      </c>
      <c r="Y2387" s="389">
        <f t="shared" ref="Y2387" si="7659">D2371</f>
        <v>1</v>
      </c>
      <c r="Z2387" s="400" t="s">
        <v>176</v>
      </c>
      <c r="AA2387" s="402">
        <f t="shared" si="7651"/>
        <v>5.7149550000000007</v>
      </c>
      <c r="AB2387" s="403"/>
    </row>
    <row r="2388" spans="1:28">
      <c r="A2388" s="384"/>
      <c r="B2388" s="385"/>
      <c r="C2388" s="393"/>
      <c r="D2388" s="394"/>
      <c r="E2388" s="388"/>
      <c r="F2388" s="388"/>
      <c r="G2388" s="388"/>
      <c r="H2388" s="395"/>
      <c r="I2388" s="388"/>
      <c r="J2388" s="399"/>
      <c r="K2388" s="396"/>
      <c r="L2388" s="396"/>
      <c r="M2388" s="396"/>
      <c r="N2388" s="396"/>
      <c r="O2388" s="396"/>
      <c r="P2388" s="389"/>
      <c r="Q2388" s="396"/>
      <c r="R2388" s="396"/>
      <c r="S2388" s="396"/>
      <c r="T2388" s="396"/>
      <c r="U2388" s="401"/>
      <c r="V2388" s="396"/>
      <c r="W2388" s="388"/>
      <c r="X2388" s="396"/>
      <c r="Y2388" s="389"/>
      <c r="Z2388" s="396"/>
      <c r="AA2388" s="388"/>
      <c r="AB2388" s="390"/>
    </row>
    <row r="2389" spans="1:28">
      <c r="A2389" s="384" t="str">
        <f t="shared" ref="A2389:B2389" si="7660">A2365</f>
        <v>Lantai 1</v>
      </c>
      <c r="B2389" s="385">
        <f t="shared" si="7660"/>
        <v>77</v>
      </c>
      <c r="C2389" s="393" t="s">
        <v>213</v>
      </c>
      <c r="D2389" s="398">
        <f>VLOOKUP(D2365,'Detail Balok'!$C$10:$BJ$140,46,FALSE)</f>
        <v>0</v>
      </c>
      <c r="E2389" s="388" t="s">
        <v>16</v>
      </c>
      <c r="F2389" s="388">
        <f>VLOOKUP(D2365,'Detail Balok'!$C$10:$BJ$140,48,FALSE)</f>
        <v>0</v>
      </c>
      <c r="G2389" s="405" t="s">
        <v>157</v>
      </c>
      <c r="H2389" s="395">
        <f>VLOOKUP(D2365,'Detail Balok'!$C$10:$BJ$140,50,FALSE)</f>
        <v>100</v>
      </c>
      <c r="I2389" s="388"/>
      <c r="J2389" s="399">
        <f t="shared" ref="J2389" si="7661">(D2366-2*F$5)/1000</f>
        <v>0.12</v>
      </c>
      <c r="K2389" s="400" t="s">
        <v>204</v>
      </c>
      <c r="L2389" s="399">
        <f t="shared" ref="L2389:L2391" si="7662">IF(D2389=0,2*MAX(6*F2389,75),(D2389-1)*2*MAX(6*F2389,75))/1000</f>
        <v>0.15</v>
      </c>
      <c r="M2389" s="399" t="s">
        <v>176</v>
      </c>
      <c r="N2389" s="399">
        <f t="shared" ref="N2389:N2391" si="7663">J2389+L2389</f>
        <v>0.27</v>
      </c>
      <c r="O2389" s="399"/>
      <c r="P2389" s="399"/>
      <c r="Q2389" s="399"/>
      <c r="R2389" s="399"/>
      <c r="S2389" s="399"/>
      <c r="T2389" s="399" t="s">
        <v>125</v>
      </c>
      <c r="U2389" s="401">
        <f t="shared" ref="U2389:U2391" si="7664">0.006165*F2389^2</f>
        <v>0</v>
      </c>
      <c r="V2389" s="399" t="s">
        <v>125</v>
      </c>
      <c r="W2389" s="399">
        <f t="shared" si="7569"/>
        <v>9</v>
      </c>
      <c r="X2389" s="399" t="s">
        <v>125</v>
      </c>
      <c r="Y2389" s="389">
        <f t="shared" ref="Y2389" si="7665">D2375</f>
        <v>3</v>
      </c>
      <c r="Z2389" s="400" t="s">
        <v>176</v>
      </c>
      <c r="AA2389" s="402">
        <f t="shared" ref="AA2389:AA2391" si="7666">N2389*U2389*W2389*Y2389</f>
        <v>0</v>
      </c>
      <c r="AB2389" s="403"/>
    </row>
    <row r="2390" spans="1:28">
      <c r="A2390" s="384" t="str">
        <f t="shared" ref="A2390:B2390" si="7667">A2365</f>
        <v>Lantai 1</v>
      </c>
      <c r="B2390" s="385">
        <f t="shared" si="7667"/>
        <v>77</v>
      </c>
      <c r="C2390" s="393" t="s">
        <v>214</v>
      </c>
      <c r="D2390" s="398">
        <f>VLOOKUP(D2365,'Detail Balok'!$C$10:$BJ$140,51,FALSE)</f>
        <v>0</v>
      </c>
      <c r="E2390" s="388" t="s">
        <v>16</v>
      </c>
      <c r="F2390" s="388">
        <f>VLOOKUP(D2365,'Detail Balok'!$C$10:$BJ$140,53,FALSE)</f>
        <v>0</v>
      </c>
      <c r="G2390" s="405" t="s">
        <v>157</v>
      </c>
      <c r="H2390" s="395">
        <f>VLOOKUP(D2365,'Detail Balok'!$C$10:$BJ$140,55,FALSE)</f>
        <v>100</v>
      </c>
      <c r="I2390" s="388"/>
      <c r="J2390" s="399">
        <f t="shared" ref="J2390" si="7668">(D2366-2*F$5)/1000</f>
        <v>0.12</v>
      </c>
      <c r="K2390" s="400" t="s">
        <v>204</v>
      </c>
      <c r="L2390" s="399">
        <f t="shared" si="7662"/>
        <v>0.15</v>
      </c>
      <c r="M2390" s="399" t="s">
        <v>176</v>
      </c>
      <c r="N2390" s="399">
        <f t="shared" si="7663"/>
        <v>0.27</v>
      </c>
      <c r="O2390" s="399"/>
      <c r="P2390" s="399"/>
      <c r="Q2390" s="399"/>
      <c r="R2390" s="399"/>
      <c r="S2390" s="399"/>
      <c r="T2390" s="399" t="s">
        <v>125</v>
      </c>
      <c r="U2390" s="401">
        <f t="shared" si="7664"/>
        <v>0</v>
      </c>
      <c r="V2390" s="399" t="s">
        <v>125</v>
      </c>
      <c r="W2390" s="399">
        <f t="shared" si="7569"/>
        <v>5</v>
      </c>
      <c r="X2390" s="399" t="s">
        <v>125</v>
      </c>
      <c r="Y2390" s="389">
        <f t="shared" ref="Y2390" si="7669">D2375</f>
        <v>3</v>
      </c>
      <c r="Z2390" s="400" t="s">
        <v>176</v>
      </c>
      <c r="AA2390" s="402">
        <f t="shared" si="7666"/>
        <v>0</v>
      </c>
      <c r="AB2390" s="403"/>
    </row>
    <row r="2391" spans="1:28">
      <c r="A2391" s="384" t="str">
        <f t="shared" ref="A2391:B2391" si="7670">A2365</f>
        <v>Lantai 1</v>
      </c>
      <c r="B2391" s="385">
        <f t="shared" si="7670"/>
        <v>77</v>
      </c>
      <c r="C2391" s="393" t="s">
        <v>213</v>
      </c>
      <c r="D2391" s="398">
        <f>VLOOKUP(D2365,'Detail Balok'!$C$10:$BJ$140,56,FALSE)</f>
        <v>0</v>
      </c>
      <c r="E2391" s="388" t="s">
        <v>16</v>
      </c>
      <c r="F2391" s="388">
        <f>VLOOKUP(D2365,'Detail Balok'!$C$10:$BJ$140,58,FALSE)</f>
        <v>0</v>
      </c>
      <c r="G2391" s="405" t="s">
        <v>157</v>
      </c>
      <c r="H2391" s="395">
        <f>VLOOKUP(D2365,'Detail Balok'!$C$10:$BJ$140,60,FALSE)</f>
        <v>100</v>
      </c>
      <c r="I2391" s="388"/>
      <c r="J2391" s="399">
        <f t="shared" ref="J2391" si="7671">(D2366-2*F$5)/1000</f>
        <v>0.12</v>
      </c>
      <c r="K2391" s="400" t="s">
        <v>204</v>
      </c>
      <c r="L2391" s="399">
        <f t="shared" si="7662"/>
        <v>0.15</v>
      </c>
      <c r="M2391" s="399" t="s">
        <v>176</v>
      </c>
      <c r="N2391" s="399">
        <f t="shared" si="7663"/>
        <v>0.27</v>
      </c>
      <c r="O2391" s="399"/>
      <c r="P2391" s="399"/>
      <c r="Q2391" s="399"/>
      <c r="R2391" s="399"/>
      <c r="S2391" s="399"/>
      <c r="T2391" s="399" t="s">
        <v>125</v>
      </c>
      <c r="U2391" s="401">
        <f t="shared" si="7664"/>
        <v>0</v>
      </c>
      <c r="V2391" s="399" t="s">
        <v>125</v>
      </c>
      <c r="W2391" s="399">
        <f t="shared" si="7569"/>
        <v>9</v>
      </c>
      <c r="X2391" s="399" t="s">
        <v>125</v>
      </c>
      <c r="Y2391" s="389">
        <f t="shared" ref="Y2391" si="7672">D2375</f>
        <v>3</v>
      </c>
      <c r="Z2391" s="400" t="s">
        <v>176</v>
      </c>
      <c r="AA2391" s="402">
        <f t="shared" si="7666"/>
        <v>0</v>
      </c>
      <c r="AB2391" s="403"/>
    </row>
    <row r="2392" spans="1:28">
      <c r="A2392" s="391"/>
      <c r="B2392" s="392"/>
      <c r="C2392" s="392"/>
      <c r="D2392" s="394"/>
      <c r="E2392" s="388"/>
      <c r="F2392" s="388"/>
      <c r="G2392" s="388"/>
      <c r="H2392" s="395"/>
      <c r="I2392" s="388"/>
      <c r="J2392" s="402"/>
      <c r="K2392" s="388"/>
      <c r="L2392" s="388"/>
      <c r="M2392" s="388"/>
      <c r="N2392" s="388"/>
      <c r="O2392" s="388"/>
      <c r="P2392" s="388"/>
      <c r="Q2392" s="388"/>
      <c r="R2392" s="388"/>
      <c r="S2392" s="388"/>
      <c r="T2392" s="388"/>
      <c r="U2392" s="388"/>
      <c r="V2392" s="388"/>
      <c r="W2392" s="388"/>
      <c r="X2392" s="388"/>
      <c r="Y2392" s="389"/>
      <c r="Z2392" s="388"/>
      <c r="AA2392" s="402"/>
      <c r="AB2392" s="403"/>
    </row>
    <row r="2393" spans="1:28" ht="15.75" thickBot="1">
      <c r="A2393" s="406"/>
      <c r="B2393" s="407"/>
      <c r="C2393" s="407"/>
      <c r="D2393" s="408"/>
      <c r="E2393" s="409"/>
      <c r="F2393" s="409"/>
      <c r="G2393" s="409"/>
      <c r="H2393" s="410"/>
      <c r="I2393" s="409"/>
      <c r="J2393" s="409"/>
      <c r="K2393" s="409"/>
      <c r="L2393" s="409"/>
      <c r="M2393" s="409"/>
      <c r="N2393" s="409"/>
      <c r="O2393" s="409"/>
      <c r="P2393" s="409"/>
      <c r="Q2393" s="409"/>
      <c r="R2393" s="409"/>
      <c r="S2393" s="409"/>
      <c r="T2393" s="409"/>
      <c r="U2393" s="409"/>
      <c r="V2393" s="409"/>
      <c r="W2393" s="409"/>
      <c r="X2393" s="409"/>
      <c r="Y2393" s="411"/>
      <c r="Z2393" s="409"/>
      <c r="AA2393" s="412"/>
      <c r="AB2393" s="413"/>
    </row>
    <row r="2394" spans="1:28">
      <c r="A2394" s="377"/>
      <c r="B2394" s="378"/>
      <c r="C2394" s="378"/>
      <c r="D2394" s="379"/>
      <c r="E2394" s="380"/>
      <c r="F2394" s="380"/>
      <c r="G2394" s="380"/>
      <c r="H2394" s="381"/>
      <c r="I2394" s="380"/>
      <c r="J2394" s="380"/>
      <c r="K2394" s="380"/>
      <c r="L2394" s="380"/>
      <c r="M2394" s="380"/>
      <c r="N2394" s="380"/>
      <c r="O2394" s="380"/>
      <c r="P2394" s="380"/>
      <c r="Q2394" s="380"/>
      <c r="R2394" s="380"/>
      <c r="S2394" s="380"/>
      <c r="T2394" s="380"/>
      <c r="U2394" s="380"/>
      <c r="V2394" s="380"/>
      <c r="W2394" s="380"/>
      <c r="X2394" s="380"/>
      <c r="Y2394" s="382"/>
      <c r="Z2394" s="380"/>
      <c r="AA2394" s="380"/>
      <c r="AB2394" s="383"/>
    </row>
    <row r="2395" spans="1:28">
      <c r="A2395" s="384" t="str">
        <f t="shared" si="7578"/>
        <v>Lantai 1</v>
      </c>
      <c r="B2395" s="385">
        <f t="shared" si="7579"/>
        <v>78</v>
      </c>
      <c r="C2395" s="386" t="str">
        <f t="shared" ref="C2395" si="7673">CONCATENATE(A2395," no. ",B2395)</f>
        <v>Lantai 1 no. 78</v>
      </c>
      <c r="D2395" s="2562" t="str">
        <f>VLOOKUP(C2395,'Data Panjang Balok'!$C$9:$N$254,2,FALSE)</f>
        <v>B25-1</v>
      </c>
      <c r="E2395" s="2576"/>
      <c r="F2395" s="2576"/>
      <c r="G2395" s="2576"/>
      <c r="H2395" s="2577"/>
      <c r="I2395" s="387"/>
      <c r="J2395" s="388"/>
      <c r="K2395" s="388"/>
      <c r="L2395" s="388"/>
      <c r="M2395" s="388"/>
      <c r="N2395" s="388"/>
      <c r="O2395" s="388"/>
      <c r="P2395" s="388"/>
      <c r="Q2395" s="388"/>
      <c r="R2395" s="388"/>
      <c r="S2395" s="388"/>
      <c r="T2395" s="388"/>
      <c r="U2395" s="388"/>
      <c r="V2395" s="388"/>
      <c r="W2395" s="388"/>
      <c r="X2395" s="388"/>
      <c r="Y2395" s="389"/>
      <c r="Z2395" s="388"/>
      <c r="AA2395" s="388"/>
      <c r="AB2395" s="390"/>
    </row>
    <row r="2396" spans="1:28">
      <c r="A2396" s="391"/>
      <c r="B2396" s="392"/>
      <c r="C2396" s="393" t="s">
        <v>118</v>
      </c>
      <c r="D2396" s="2578">
        <f>VLOOKUP(D2395,'Detail Balok'!$C$10:$AU$140,2,FALSE)</f>
        <v>200</v>
      </c>
      <c r="E2396" s="2579"/>
      <c r="F2396" s="388" t="s">
        <v>125</v>
      </c>
      <c r="G2396" s="2579">
        <f>VLOOKUP(D2395,'Detail Balok'!$C$10:$AU$140,3,FALSE)</f>
        <v>500</v>
      </c>
      <c r="H2396" s="2580"/>
      <c r="I2396" s="388"/>
      <c r="J2396" s="396"/>
      <c r="K2396" s="396"/>
      <c r="L2396" s="396"/>
      <c r="M2396" s="396"/>
      <c r="N2396" s="396"/>
      <c r="O2396" s="396"/>
      <c r="P2396" s="396"/>
      <c r="Q2396" s="396"/>
      <c r="R2396" s="396"/>
      <c r="S2396" s="396"/>
      <c r="T2396" s="396"/>
      <c r="U2396" s="388"/>
      <c r="V2396" s="396"/>
      <c r="W2396" s="388"/>
      <c r="X2396" s="396"/>
      <c r="Y2396" s="389"/>
      <c r="Z2396" s="396"/>
      <c r="AA2396" s="388"/>
      <c r="AB2396" s="390"/>
    </row>
    <row r="2397" spans="1:28">
      <c r="A2397" s="391"/>
      <c r="B2397" s="392"/>
      <c r="C2397" s="393" t="s">
        <v>198</v>
      </c>
      <c r="D2397" s="2562">
        <f>VLOOKUP(C2395,'Data Panjang Balok'!$C$9:$N$254,4,FALSE)</f>
        <v>7075</v>
      </c>
      <c r="E2397" s="2563"/>
      <c r="F2397" s="2563"/>
      <c r="G2397" s="2563"/>
      <c r="H2397" s="2564"/>
      <c r="I2397" s="397"/>
      <c r="J2397" s="396"/>
      <c r="K2397" s="396"/>
      <c r="L2397" s="396"/>
      <c r="M2397" s="396"/>
      <c r="N2397" s="396"/>
      <c r="O2397" s="396"/>
      <c r="P2397" s="396"/>
      <c r="Q2397" s="396"/>
      <c r="R2397" s="396"/>
      <c r="S2397" s="396"/>
      <c r="T2397" s="396"/>
      <c r="U2397" s="388"/>
      <c r="V2397" s="396"/>
      <c r="W2397" s="388"/>
      <c r="X2397" s="396"/>
      <c r="Y2397" s="389"/>
      <c r="Z2397" s="396"/>
      <c r="AA2397" s="388"/>
      <c r="AB2397" s="390"/>
    </row>
    <row r="2398" spans="1:28">
      <c r="A2398" s="391"/>
      <c r="B2398" s="392"/>
      <c r="C2398" s="393" t="s">
        <v>199</v>
      </c>
      <c r="D2398" s="2562">
        <f>VLOOKUP(C2395,'Data Panjang Balok'!$C$9:$N$254,7,FALSE)</f>
        <v>7075</v>
      </c>
      <c r="E2398" s="2563"/>
      <c r="F2398" s="2563"/>
      <c r="G2398" s="2563"/>
      <c r="H2398" s="2564"/>
      <c r="I2398" s="397"/>
      <c r="J2398" s="396"/>
      <c r="K2398" s="396"/>
      <c r="L2398" s="396"/>
      <c r="M2398" s="396"/>
      <c r="N2398" s="396"/>
      <c r="O2398" s="396"/>
      <c r="P2398" s="396"/>
      <c r="Q2398" s="396"/>
      <c r="R2398" s="396"/>
      <c r="S2398" s="396"/>
      <c r="T2398" s="396"/>
      <c r="U2398" s="388"/>
      <c r="V2398" s="396"/>
      <c r="W2398" s="388"/>
      <c r="X2398" s="396"/>
      <c r="Y2398" s="389"/>
      <c r="Z2398" s="396"/>
      <c r="AA2398" s="388"/>
      <c r="AB2398" s="390"/>
    </row>
    <row r="2399" spans="1:28">
      <c r="A2399" s="391"/>
      <c r="B2399" s="392"/>
      <c r="C2399" s="393" t="s">
        <v>200</v>
      </c>
      <c r="D2399" s="2562">
        <f>VLOOKUP(C2395,'Data Panjang Balok'!$C$9:$N$254,9,FALSE)</f>
        <v>0</v>
      </c>
      <c r="E2399" s="2563"/>
      <c r="F2399" s="2563"/>
      <c r="G2399" s="2563"/>
      <c r="H2399" s="2564"/>
      <c r="I2399" s="397"/>
      <c r="J2399" s="396"/>
      <c r="K2399" s="396"/>
      <c r="L2399" s="396"/>
      <c r="M2399" s="396"/>
      <c r="N2399" s="396"/>
      <c r="O2399" s="396"/>
      <c r="P2399" s="396"/>
      <c r="Q2399" s="396"/>
      <c r="R2399" s="396"/>
      <c r="S2399" s="396"/>
      <c r="T2399" s="396"/>
      <c r="U2399" s="388"/>
      <c r="V2399" s="396"/>
      <c r="W2399" s="388"/>
      <c r="X2399" s="396"/>
      <c r="Y2399" s="389"/>
      <c r="Z2399" s="396"/>
      <c r="AA2399" s="388"/>
      <c r="AB2399" s="390"/>
    </row>
    <row r="2400" spans="1:28">
      <c r="A2400" s="391"/>
      <c r="B2400" s="392"/>
      <c r="C2400" s="393" t="s">
        <v>201</v>
      </c>
      <c r="D2400" s="2562">
        <f>VLOOKUP(C2395,'Data Panjang Balok'!$C$9:$N$254,10,FALSE)</f>
        <v>0</v>
      </c>
      <c r="E2400" s="2563"/>
      <c r="F2400" s="2563"/>
      <c r="G2400" s="2563"/>
      <c r="H2400" s="2564"/>
      <c r="I2400" s="397"/>
      <c r="J2400" s="396"/>
      <c r="K2400" s="396"/>
      <c r="L2400" s="396"/>
      <c r="M2400" s="396"/>
      <c r="N2400" s="396"/>
      <c r="O2400" s="396"/>
      <c r="P2400" s="396"/>
      <c r="Q2400" s="396"/>
      <c r="R2400" s="396"/>
      <c r="S2400" s="396"/>
      <c r="T2400" s="396"/>
      <c r="U2400" s="388"/>
      <c r="V2400" s="396"/>
      <c r="W2400" s="388"/>
      <c r="X2400" s="396"/>
      <c r="Y2400" s="389"/>
      <c r="Z2400" s="396"/>
      <c r="AA2400" s="388"/>
      <c r="AB2400" s="390"/>
    </row>
    <row r="2401" spans="1:28">
      <c r="A2401" s="391"/>
      <c r="B2401" s="392"/>
      <c r="C2401" s="393" t="s">
        <v>48</v>
      </c>
      <c r="D2401" s="2562">
        <f>VLOOKUP(C2395,'Data Panjang Balok'!$C$9:$N$254,3,FALSE)</f>
        <v>1</v>
      </c>
      <c r="E2401" s="2563"/>
      <c r="F2401" s="2563"/>
      <c r="G2401" s="2563"/>
      <c r="H2401" s="2564"/>
      <c r="I2401" s="397"/>
      <c r="J2401" s="396"/>
      <c r="K2401" s="396"/>
      <c r="L2401" s="396"/>
      <c r="M2401" s="396"/>
      <c r="N2401" s="396"/>
      <c r="O2401" s="396"/>
      <c r="P2401" s="396"/>
      <c r="Q2401" s="396"/>
      <c r="R2401" s="396"/>
      <c r="S2401" s="396"/>
      <c r="T2401" s="396"/>
      <c r="U2401" s="388"/>
      <c r="V2401" s="396"/>
      <c r="W2401" s="388"/>
      <c r="X2401" s="396"/>
      <c r="Y2401" s="389"/>
      <c r="Z2401" s="396"/>
      <c r="AA2401" s="388"/>
      <c r="AB2401" s="390"/>
    </row>
    <row r="2402" spans="1:28">
      <c r="A2402" s="384" t="str">
        <f t="shared" ref="A2402:B2402" si="7674">A2395</f>
        <v>Lantai 1</v>
      </c>
      <c r="B2402" s="385">
        <f t="shared" si="7674"/>
        <v>78</v>
      </c>
      <c r="C2402" s="393" t="s">
        <v>202</v>
      </c>
      <c r="D2402" s="398">
        <f>VLOOKUP(D2395,'Detail Balok'!$C$10:$AU$140,4,FALSE)</f>
        <v>4</v>
      </c>
      <c r="E2402" s="388" t="s">
        <v>16</v>
      </c>
      <c r="F2402" s="388">
        <f>VLOOKUP(D2395,'Detail Balok'!$C$10:$AU$140,6,FALSE)</f>
        <v>16</v>
      </c>
      <c r="G2402" s="388"/>
      <c r="H2402" s="395"/>
      <c r="I2402" s="388" t="s">
        <v>203</v>
      </c>
      <c r="J2402" s="399">
        <f t="shared" ref="J2402" si="7675">+D2397/4/1000</f>
        <v>1.76875</v>
      </c>
      <c r="K2402" s="400" t="s">
        <v>204</v>
      </c>
      <c r="L2402" s="399">
        <f t="shared" ref="L2402" si="7676">MAX(VLOOKUP(F2402,N$6:P$15,3,FALSE)/1000,2/3*D2399/1000)+F$16*F2402/1000</f>
        <v>0.192</v>
      </c>
      <c r="M2402" s="399" t="s">
        <v>176</v>
      </c>
      <c r="N2402" s="399">
        <f t="shared" ref="N2402:N2404" si="7677">J2402+L2402</f>
        <v>1.96075</v>
      </c>
      <c r="O2402" s="399" t="s">
        <v>204</v>
      </c>
      <c r="P2402" s="389">
        <f t="shared" ref="P2402" si="7678">D2402-D2403</f>
        <v>0</v>
      </c>
      <c r="Q2402" s="399" t="s">
        <v>125</v>
      </c>
      <c r="R2402" s="399">
        <f t="shared" ref="R2402" si="7679">IF(P2402&gt;0,$F$18*F2402/1000,0)</f>
        <v>0</v>
      </c>
      <c r="S2402" s="399" t="s">
        <v>205</v>
      </c>
      <c r="T2402" s="399" t="s">
        <v>125</v>
      </c>
      <c r="U2402" s="401">
        <f t="shared" ref="U2402:U2404" si="7680">0.006165*F2402^2</f>
        <v>1.5782400000000001</v>
      </c>
      <c r="V2402" s="399"/>
      <c r="W2402" s="399"/>
      <c r="X2402" s="399" t="s">
        <v>125</v>
      </c>
      <c r="Y2402" s="389">
        <f t="shared" ref="Y2402" si="7681">D2401</f>
        <v>1</v>
      </c>
      <c r="Z2402" s="400" t="s">
        <v>176</v>
      </c>
      <c r="AA2402" s="402">
        <f t="shared" ref="AA2402" si="7682">IF(AA2405=0,(D2402*N2402+P2402*R2402)*U2402*Y2402,0)</f>
        <v>0</v>
      </c>
      <c r="AB2402" s="403"/>
    </row>
    <row r="2403" spans="1:28">
      <c r="A2403" s="384" t="str">
        <f t="shared" ref="A2403:B2403" si="7683">A2395</f>
        <v>Lantai 1</v>
      </c>
      <c r="B2403" s="385">
        <f t="shared" si="7683"/>
        <v>78</v>
      </c>
      <c r="C2403" s="393" t="s">
        <v>206</v>
      </c>
      <c r="D2403" s="398">
        <f>VLOOKUP(D2395,'Detail Balok'!$C$10:$AU$140,7,FALSE)</f>
        <v>4</v>
      </c>
      <c r="E2403" s="388" t="s">
        <v>16</v>
      </c>
      <c r="F2403" s="388">
        <f>VLOOKUP(D2395,'Detail Balok'!$C$10:$AU$140,9,FALSE)</f>
        <v>16</v>
      </c>
      <c r="G2403" s="388"/>
      <c r="H2403" s="395"/>
      <c r="I2403" s="388" t="s">
        <v>203</v>
      </c>
      <c r="J2403" s="399">
        <f t="shared" ref="J2403" si="7684">+D2397/2/1000</f>
        <v>3.5375000000000001</v>
      </c>
      <c r="K2403" s="400" t="s">
        <v>204</v>
      </c>
      <c r="L2403" s="399"/>
      <c r="M2403" s="399" t="s">
        <v>176</v>
      </c>
      <c r="N2403" s="399">
        <f t="shared" si="7677"/>
        <v>3.5375000000000001</v>
      </c>
      <c r="O2403" s="399" t="s">
        <v>204</v>
      </c>
      <c r="P2403" s="389">
        <f t="shared" ref="P2403" si="7685">MAX(D2403-D2402,D2403-D2404)</f>
        <v>0</v>
      </c>
      <c r="Q2403" s="399" t="s">
        <v>125</v>
      </c>
      <c r="R2403" s="399">
        <f t="shared" ref="R2403" si="7686">IF(P2403&gt;0,2*(1-2*$F$19-1/2)*D2398/1000,0)</f>
        <v>0</v>
      </c>
      <c r="S2403" s="399" t="s">
        <v>205</v>
      </c>
      <c r="T2403" s="399" t="s">
        <v>125</v>
      </c>
      <c r="U2403" s="401">
        <f t="shared" si="7680"/>
        <v>1.5782400000000001</v>
      </c>
      <c r="V2403" s="399"/>
      <c r="W2403" s="399"/>
      <c r="X2403" s="399" t="s">
        <v>125</v>
      </c>
      <c r="Y2403" s="389">
        <f t="shared" ref="Y2403" si="7687">D2401</f>
        <v>1</v>
      </c>
      <c r="Z2403" s="400" t="s">
        <v>176</v>
      </c>
      <c r="AA2403" s="402">
        <f t="shared" ref="AA2403" si="7688">IF(AA2405=0,(D2403*N2403+P2403*R2403)*U2403*Y2403,0)</f>
        <v>0</v>
      </c>
      <c r="AB2403" s="403"/>
    </row>
    <row r="2404" spans="1:28">
      <c r="A2404" s="384" t="str">
        <f t="shared" ref="A2404:B2404" si="7689">A2395</f>
        <v>Lantai 1</v>
      </c>
      <c r="B2404" s="385">
        <f t="shared" si="7689"/>
        <v>78</v>
      </c>
      <c r="C2404" s="393" t="s">
        <v>202</v>
      </c>
      <c r="D2404" s="398">
        <f>VLOOKUP(D2395,'Detail Balok'!$C$10:$AU$140,10,FALSE)</f>
        <v>4</v>
      </c>
      <c r="E2404" s="388" t="s">
        <v>16</v>
      </c>
      <c r="F2404" s="388">
        <f>VLOOKUP(D2395,'Detail Balok'!$C$10:$AU$140,12,FALSE)</f>
        <v>16</v>
      </c>
      <c r="G2404" s="388"/>
      <c r="H2404" s="395"/>
      <c r="I2404" s="388" t="s">
        <v>203</v>
      </c>
      <c r="J2404" s="399">
        <f t="shared" ref="J2404" si="7690">+D2397/4/1000</f>
        <v>1.76875</v>
      </c>
      <c r="K2404" s="400" t="s">
        <v>204</v>
      </c>
      <c r="L2404" s="399">
        <f t="shared" ref="L2404" si="7691">MAX(VLOOKUP(F2404,N$6:P$15,3,FALSE)/1000,2/3*D2399/1000)+F$16*F2404/1000</f>
        <v>0.192</v>
      </c>
      <c r="M2404" s="399" t="s">
        <v>176</v>
      </c>
      <c r="N2404" s="399">
        <f t="shared" si="7677"/>
        <v>1.96075</v>
      </c>
      <c r="O2404" s="399" t="s">
        <v>204</v>
      </c>
      <c r="P2404" s="389">
        <f t="shared" ref="P2404" si="7692">D2404-D2403</f>
        <v>0</v>
      </c>
      <c r="Q2404" s="399" t="s">
        <v>125</v>
      </c>
      <c r="R2404" s="399">
        <f t="shared" ref="R2404" si="7693">IF(P2404&gt;0,$F$18*F2404/1000,0)</f>
        <v>0</v>
      </c>
      <c r="S2404" s="399" t="s">
        <v>205</v>
      </c>
      <c r="T2404" s="399" t="s">
        <v>125</v>
      </c>
      <c r="U2404" s="401">
        <f t="shared" si="7680"/>
        <v>1.5782400000000001</v>
      </c>
      <c r="V2404" s="399"/>
      <c r="W2404" s="399"/>
      <c r="X2404" s="399" t="s">
        <v>125</v>
      </c>
      <c r="Y2404" s="389">
        <f t="shared" ref="Y2404" si="7694">D2401</f>
        <v>1</v>
      </c>
      <c r="Z2404" s="400" t="s">
        <v>176</v>
      </c>
      <c r="AA2404" s="402">
        <f t="shared" ref="AA2404" si="7695">IF(AA2405=0,(D2404*N2404+P2404*R2404)*U2404*Y2404,0)</f>
        <v>0</v>
      </c>
      <c r="AB2404" s="403"/>
    </row>
    <row r="2405" spans="1:28">
      <c r="A2405" s="384" t="str">
        <f t="shared" ref="A2405:B2405" si="7696">A2395</f>
        <v>Lantai 1</v>
      </c>
      <c r="B2405" s="385">
        <f t="shared" si="7696"/>
        <v>78</v>
      </c>
      <c r="C2405" s="393"/>
      <c r="D2405" s="398">
        <f t="shared" si="7499"/>
        <v>4</v>
      </c>
      <c r="E2405" s="388" t="s">
        <v>16</v>
      </c>
      <c r="F2405" s="388">
        <f t="shared" si="7500"/>
        <v>16</v>
      </c>
      <c r="G2405" s="388"/>
      <c r="H2405" s="395"/>
      <c r="I2405" s="388"/>
      <c r="J2405" s="396"/>
      <c r="K2405" s="396"/>
      <c r="L2405" s="404" t="s">
        <v>207</v>
      </c>
      <c r="M2405" s="399" t="s">
        <v>176</v>
      </c>
      <c r="N2405" s="399">
        <f t="shared" ref="N2405" si="7697">IF(AND(D2402=D2403,D2402=D2404,D2403=D2404,F2402=F2403,F2402=F2404,F2403=F2404),SUM(N2402:N2404),0)</f>
        <v>7.4590000000000005</v>
      </c>
      <c r="O2405" s="399" t="s">
        <v>204</v>
      </c>
      <c r="P2405" s="389">
        <f t="shared" ref="P2405" si="7698">IF(N2405&gt;12,ROUNDDOWN(N2405/12,0),0)</f>
        <v>0</v>
      </c>
      <c r="Q2405" s="399" t="s">
        <v>125</v>
      </c>
      <c r="R2405" s="399">
        <f t="shared" ref="R2405" si="7699">IF(P2405&gt;0,MAX(VLOOKUP(F2405,$D$6:$G$15,3,FALSE),600),0)/1000</f>
        <v>0</v>
      </c>
      <c r="S2405" s="396"/>
      <c r="T2405" s="396" t="s">
        <v>125</v>
      </c>
      <c r="U2405" s="401">
        <f t="shared" si="7504"/>
        <v>1.5782400000000001</v>
      </c>
      <c r="V2405" s="396" t="s">
        <v>125</v>
      </c>
      <c r="W2405" s="399">
        <f t="shared" ref="W2405" si="7700">D2405</f>
        <v>4</v>
      </c>
      <c r="X2405" s="399" t="s">
        <v>125</v>
      </c>
      <c r="Y2405" s="389">
        <f t="shared" si="7506"/>
        <v>1</v>
      </c>
      <c r="Z2405" s="400" t="s">
        <v>176</v>
      </c>
      <c r="AA2405" s="402">
        <f t="shared" ref="AA2405" si="7701">(N2405+P2405*R2405/1000)*U2405*W2405*Y2405</f>
        <v>47.088368640000006</v>
      </c>
      <c r="AB2405" s="390"/>
    </row>
    <row r="2406" spans="1:28">
      <c r="A2406" s="384"/>
      <c r="B2406" s="385"/>
      <c r="C2406" s="393"/>
      <c r="D2406" s="398"/>
      <c r="E2406" s="388"/>
      <c r="F2406" s="388"/>
      <c r="G2406" s="388"/>
      <c r="H2406" s="395"/>
      <c r="I2406" s="388"/>
      <c r="J2406" s="396"/>
      <c r="K2406" s="396"/>
      <c r="L2406" s="404"/>
      <c r="M2406" s="399"/>
      <c r="N2406" s="399"/>
      <c r="O2406" s="396"/>
      <c r="P2406" s="389"/>
      <c r="Q2406" s="396"/>
      <c r="R2406" s="396"/>
      <c r="S2406" s="396"/>
      <c r="T2406" s="396"/>
      <c r="U2406" s="401"/>
      <c r="V2406" s="396"/>
      <c r="W2406" s="399"/>
      <c r="X2406" s="396"/>
      <c r="Y2406" s="389"/>
      <c r="Z2406" s="396"/>
      <c r="AA2406" s="388"/>
      <c r="AB2406" s="390"/>
    </row>
    <row r="2407" spans="1:28">
      <c r="A2407" s="384" t="str">
        <f t="shared" ref="A2407:B2407" si="7702">A2395</f>
        <v>Lantai 1</v>
      </c>
      <c r="B2407" s="385">
        <f t="shared" si="7702"/>
        <v>78</v>
      </c>
      <c r="C2407" s="393" t="s">
        <v>208</v>
      </c>
      <c r="D2407" s="398">
        <f>VLOOKUP(D2395,'Detail Balok'!$C$10:$AU$140,13,FALSE)</f>
        <v>2</v>
      </c>
      <c r="E2407" s="388" t="s">
        <v>16</v>
      </c>
      <c r="F2407" s="388">
        <f>VLOOKUP(D2395,'Detail Balok'!$C$10:$AU$140,15,FALSE)</f>
        <v>10</v>
      </c>
      <c r="G2407" s="388"/>
      <c r="H2407" s="395"/>
      <c r="I2407" s="388"/>
      <c r="J2407" s="399">
        <f t="shared" ref="J2407" si="7703">+D2397/1000</f>
        <v>7.0750000000000002</v>
      </c>
      <c r="K2407" s="400" t="s">
        <v>204</v>
      </c>
      <c r="L2407" s="399">
        <f t="shared" ref="L2407" si="7704">2*$F$16*F2407/1000</f>
        <v>0.24</v>
      </c>
      <c r="M2407" s="399" t="s">
        <v>176</v>
      </c>
      <c r="N2407" s="399">
        <f t="shared" ref="N2407" si="7705">J2407+L2407</f>
        <v>7.3150000000000004</v>
      </c>
      <c r="O2407" s="399" t="s">
        <v>204</v>
      </c>
      <c r="P2407" s="389">
        <f t="shared" ref="P2407" si="7706">IF(N2407&gt;12,ROUNDDOWN(N2407/12,0),0)</f>
        <v>0</v>
      </c>
      <c r="Q2407" s="399" t="s">
        <v>125</v>
      </c>
      <c r="R2407" s="399">
        <f t="shared" ref="R2407" si="7707">IF(P2407&gt;0,MAX(VLOOKUP(F2407,$D$6:$G$15,3,FALSE),600),0)/1000</f>
        <v>0</v>
      </c>
      <c r="S2407" s="399"/>
      <c r="T2407" s="399" t="s">
        <v>125</v>
      </c>
      <c r="U2407" s="401">
        <f t="shared" ref="U2407" si="7708">0.006165*F2407^2</f>
        <v>0.61650000000000005</v>
      </c>
      <c r="V2407" s="399" t="s">
        <v>125</v>
      </c>
      <c r="W2407" s="399">
        <f t="shared" ref="W2407" si="7709">+D2407</f>
        <v>2</v>
      </c>
      <c r="X2407" s="399" t="s">
        <v>125</v>
      </c>
      <c r="Y2407" s="389">
        <f t="shared" ref="Y2407" si="7710">D2401</f>
        <v>1</v>
      </c>
      <c r="Z2407" s="400" t="s">
        <v>176</v>
      </c>
      <c r="AA2407" s="402">
        <f t="shared" ref="AA2407" si="7711">(N2407+P2407*R2407/1000)*U2407*W2407*Y2407</f>
        <v>9.0193950000000012</v>
      </c>
      <c r="AB2407" s="403"/>
    </row>
    <row r="2408" spans="1:28">
      <c r="A2408" s="384"/>
      <c r="B2408" s="385"/>
      <c r="C2408" s="393"/>
      <c r="D2408" s="398"/>
      <c r="E2408" s="388"/>
      <c r="F2408" s="388"/>
      <c r="G2408" s="388"/>
      <c r="H2408" s="395"/>
      <c r="I2408" s="388"/>
      <c r="J2408" s="399"/>
      <c r="K2408" s="400"/>
      <c r="L2408" s="399"/>
      <c r="M2408" s="399"/>
      <c r="N2408" s="399"/>
      <c r="O2408" s="399"/>
      <c r="P2408" s="389"/>
      <c r="Q2408" s="399"/>
      <c r="R2408" s="399"/>
      <c r="S2408" s="399"/>
      <c r="T2408" s="399"/>
      <c r="U2408" s="401"/>
      <c r="V2408" s="399"/>
      <c r="W2408" s="399"/>
      <c r="X2408" s="399"/>
      <c r="Y2408" s="389"/>
      <c r="Z2408" s="400"/>
      <c r="AA2408" s="402"/>
      <c r="AB2408" s="403"/>
    </row>
    <row r="2409" spans="1:28">
      <c r="A2409" s="384"/>
      <c r="B2409" s="385"/>
      <c r="C2409" s="393"/>
      <c r="D2409" s="398"/>
      <c r="E2409" s="388"/>
      <c r="F2409" s="388"/>
      <c r="G2409" s="388"/>
      <c r="H2409" s="395"/>
      <c r="I2409" s="388"/>
      <c r="J2409" s="396"/>
      <c r="K2409" s="396"/>
      <c r="L2409" s="396"/>
      <c r="M2409" s="396"/>
      <c r="N2409" s="396"/>
      <c r="O2409" s="396"/>
      <c r="P2409" s="389"/>
      <c r="Q2409" s="396"/>
      <c r="R2409" s="396"/>
      <c r="S2409" s="396"/>
      <c r="T2409" s="396"/>
      <c r="U2409" s="401"/>
      <c r="V2409" s="396"/>
      <c r="W2409" s="399"/>
      <c r="X2409" s="396"/>
      <c r="Y2409" s="389"/>
      <c r="Z2409" s="396"/>
      <c r="AA2409" s="388"/>
      <c r="AB2409" s="390"/>
    </row>
    <row r="2410" spans="1:28">
      <c r="A2410" s="384" t="str">
        <f t="shared" ref="A2410:B2410" si="7712">A2395</f>
        <v>Lantai 1</v>
      </c>
      <c r="B2410" s="385">
        <f t="shared" si="7712"/>
        <v>78</v>
      </c>
      <c r="C2410" s="393" t="s">
        <v>209</v>
      </c>
      <c r="D2410" s="398">
        <f>VLOOKUP(D2395,'Detail Balok'!$C$10:$AU$140,22,FALSE)</f>
        <v>4</v>
      </c>
      <c r="E2410" s="388" t="s">
        <v>16</v>
      </c>
      <c r="F2410" s="388">
        <f>VLOOKUP(D2395,'Detail Balok'!$C$10:$AU$140,24,FALSE)</f>
        <v>16</v>
      </c>
      <c r="G2410" s="388"/>
      <c r="H2410" s="395"/>
      <c r="I2410" s="388" t="s">
        <v>203</v>
      </c>
      <c r="J2410" s="399">
        <f t="shared" si="7519"/>
        <v>1.76875</v>
      </c>
      <c r="K2410" s="400" t="s">
        <v>204</v>
      </c>
      <c r="L2410" s="399">
        <f t="shared" ref="L2410" si="7713">MAX(VLOOKUP(F2410,N$6:P$15,3,FALSE)/1000,2/3*D2400/1000)+F$16*F2410/1000</f>
        <v>0.192</v>
      </c>
      <c r="M2410" s="399" t="s">
        <v>176</v>
      </c>
      <c r="N2410" s="399">
        <f t="shared" ref="N2410:N2412" si="7714">J2410+L2410</f>
        <v>1.96075</v>
      </c>
      <c r="O2410" s="399" t="s">
        <v>204</v>
      </c>
      <c r="P2410" s="389">
        <f t="shared" ref="P2410" si="7715">D2410-D2411</f>
        <v>0</v>
      </c>
      <c r="Q2410" s="399" t="s">
        <v>125</v>
      </c>
      <c r="R2410" s="399">
        <f t="shared" ref="R2410" si="7716">IF(P2410&gt;0,$F$18*F2410/1000,0)</f>
        <v>0</v>
      </c>
      <c r="S2410" s="399" t="s">
        <v>205</v>
      </c>
      <c r="T2410" s="399" t="s">
        <v>125</v>
      </c>
      <c r="U2410" s="401">
        <f t="shared" ref="U2410:U2412" si="7717">0.006165*F2410^2</f>
        <v>1.5782400000000001</v>
      </c>
      <c r="V2410" s="399"/>
      <c r="W2410" s="399"/>
      <c r="X2410" s="399" t="s">
        <v>125</v>
      </c>
      <c r="Y2410" s="389">
        <f t="shared" ref="Y2410" si="7718">D2401</f>
        <v>1</v>
      </c>
      <c r="Z2410" s="400" t="s">
        <v>176</v>
      </c>
      <c r="AA2410" s="402">
        <f t="shared" ref="AA2410" si="7719">IF(AA2413=0,(D2410*N2410+P2410*R2410)*U2410*Y2410,0)</f>
        <v>0</v>
      </c>
      <c r="AB2410" s="403"/>
    </row>
    <row r="2411" spans="1:28">
      <c r="A2411" s="384" t="str">
        <f t="shared" ref="A2411:B2411" si="7720">A2395</f>
        <v>Lantai 1</v>
      </c>
      <c r="B2411" s="385">
        <f t="shared" si="7720"/>
        <v>78</v>
      </c>
      <c r="C2411" s="393" t="s">
        <v>210</v>
      </c>
      <c r="D2411" s="398">
        <f>VLOOKUP(D2395,'Detail Balok'!$C$10:$AU$140,25,FALSE)</f>
        <v>4</v>
      </c>
      <c r="E2411" s="388" t="s">
        <v>16</v>
      </c>
      <c r="F2411" s="388">
        <f>VLOOKUP(D2395,'Detail Balok'!$C$10:$AU$140,27,FALSE)</f>
        <v>16</v>
      </c>
      <c r="G2411" s="388"/>
      <c r="H2411" s="395"/>
      <c r="I2411" s="388" t="s">
        <v>203</v>
      </c>
      <c r="J2411" s="399">
        <f t="shared" si="7519"/>
        <v>3.5375000000000001</v>
      </c>
      <c r="K2411" s="400" t="s">
        <v>204</v>
      </c>
      <c r="L2411" s="399"/>
      <c r="M2411" s="399" t="s">
        <v>176</v>
      </c>
      <c r="N2411" s="399">
        <f t="shared" si="7714"/>
        <v>3.5375000000000001</v>
      </c>
      <c r="O2411" s="399" t="s">
        <v>204</v>
      </c>
      <c r="P2411" s="389">
        <f t="shared" ref="P2411" si="7721">MAX(D2411-D2410,D2411-D2412)</f>
        <v>0</v>
      </c>
      <c r="Q2411" s="399" t="s">
        <v>125</v>
      </c>
      <c r="R2411" s="399">
        <f t="shared" ref="R2411" si="7722">IF(P2411&gt;0,2*(1-2*$F$19-1/2)*D2398/1000,0)</f>
        <v>0</v>
      </c>
      <c r="S2411" s="399" t="s">
        <v>205</v>
      </c>
      <c r="T2411" s="399" t="s">
        <v>125</v>
      </c>
      <c r="U2411" s="401">
        <f t="shared" si="7717"/>
        <v>1.5782400000000001</v>
      </c>
      <c r="V2411" s="399"/>
      <c r="W2411" s="399"/>
      <c r="X2411" s="399" t="s">
        <v>125</v>
      </c>
      <c r="Y2411" s="389">
        <f t="shared" ref="Y2411" si="7723">D2401</f>
        <v>1</v>
      </c>
      <c r="Z2411" s="400" t="s">
        <v>176</v>
      </c>
      <c r="AA2411" s="402">
        <f t="shared" ref="AA2411" si="7724">IF(AA2413=0,(D2411*N2411+P2411*R2411)*U2411*Y2411,0)</f>
        <v>0</v>
      </c>
      <c r="AB2411" s="403"/>
    </row>
    <row r="2412" spans="1:28">
      <c r="A2412" s="384" t="str">
        <f t="shared" ref="A2412:B2412" si="7725">A2395</f>
        <v>Lantai 1</v>
      </c>
      <c r="B2412" s="385">
        <f t="shared" si="7725"/>
        <v>78</v>
      </c>
      <c r="C2412" s="393" t="s">
        <v>209</v>
      </c>
      <c r="D2412" s="398">
        <f>VLOOKUP(D2395,'Detail Balok'!$C$10:$AU$140,28,FALSE)</f>
        <v>4</v>
      </c>
      <c r="E2412" s="388" t="s">
        <v>16</v>
      </c>
      <c r="F2412" s="388">
        <f>VLOOKUP(D2395,'Detail Balok'!$C$10:$AU$140,30,FALSE)</f>
        <v>16</v>
      </c>
      <c r="G2412" s="388"/>
      <c r="H2412" s="395"/>
      <c r="I2412" s="388" t="s">
        <v>203</v>
      </c>
      <c r="J2412" s="399">
        <f t="shared" si="7519"/>
        <v>1.76875</v>
      </c>
      <c r="K2412" s="400" t="s">
        <v>204</v>
      </c>
      <c r="L2412" s="399">
        <f t="shared" ref="L2412" si="7726">MAX(VLOOKUP(F2412,N$6:P$15,3,FALSE)/1000,2/3*D2400/1000)+F$16*F2412/1000</f>
        <v>0.192</v>
      </c>
      <c r="M2412" s="399" t="s">
        <v>176</v>
      </c>
      <c r="N2412" s="399">
        <f t="shared" si="7714"/>
        <v>1.96075</v>
      </c>
      <c r="O2412" s="399" t="s">
        <v>204</v>
      </c>
      <c r="P2412" s="389">
        <f t="shared" ref="P2412" si="7727">D2412-D2411</f>
        <v>0</v>
      </c>
      <c r="Q2412" s="399" t="s">
        <v>125</v>
      </c>
      <c r="R2412" s="399">
        <f t="shared" ref="R2412" si="7728">IF(P2412&gt;0,$F$18*F2412/1000,0)</f>
        <v>0</v>
      </c>
      <c r="S2412" s="399" t="s">
        <v>205</v>
      </c>
      <c r="T2412" s="399" t="s">
        <v>125</v>
      </c>
      <c r="U2412" s="401">
        <f t="shared" si="7717"/>
        <v>1.5782400000000001</v>
      </c>
      <c r="V2412" s="399"/>
      <c r="W2412" s="399"/>
      <c r="X2412" s="399" t="s">
        <v>125</v>
      </c>
      <c r="Y2412" s="389">
        <f t="shared" ref="Y2412" si="7729">D2401</f>
        <v>1</v>
      </c>
      <c r="Z2412" s="400" t="s">
        <v>176</v>
      </c>
      <c r="AA2412" s="402">
        <f t="shared" ref="AA2412" si="7730">IF(AA2413=0,(D2412*N2412+P2412*R2412)*U2412*Y2412,0)</f>
        <v>0</v>
      </c>
      <c r="AB2412" s="403"/>
    </row>
    <row r="2413" spans="1:28">
      <c r="A2413" s="384" t="str">
        <f t="shared" ref="A2413:B2413" si="7731">A2395</f>
        <v>Lantai 1</v>
      </c>
      <c r="B2413" s="385">
        <f t="shared" si="7731"/>
        <v>78</v>
      </c>
      <c r="C2413" s="393"/>
      <c r="D2413" s="398">
        <f t="shared" si="7539"/>
        <v>4</v>
      </c>
      <c r="E2413" s="388" t="s">
        <v>16</v>
      </c>
      <c r="F2413" s="388">
        <f t="shared" si="7540"/>
        <v>16</v>
      </c>
      <c r="G2413" s="388"/>
      <c r="H2413" s="395"/>
      <c r="I2413" s="388"/>
      <c r="J2413" s="396"/>
      <c r="K2413" s="396"/>
      <c r="L2413" s="404" t="s">
        <v>207</v>
      </c>
      <c r="M2413" s="399" t="s">
        <v>176</v>
      </c>
      <c r="N2413" s="399">
        <f t="shared" ref="N2413" si="7732">IF(AND(D2410=D2411,D2410=D2412,D2411=D2412,F2410=F2411,F2410=F2412,F2411=F2412),SUM(N2410:N2412),0)</f>
        <v>7.4590000000000005</v>
      </c>
      <c r="O2413" s="399" t="s">
        <v>204</v>
      </c>
      <c r="P2413" s="389">
        <f t="shared" ref="P2413" si="7733">IF(N2413&gt;12,ROUNDDOWN(N2413/12,0),0)</f>
        <v>0</v>
      </c>
      <c r="Q2413" s="399" t="s">
        <v>125</v>
      </c>
      <c r="R2413" s="399">
        <f t="shared" ref="R2413" si="7734">IF(P2413&gt;0,MAX(VLOOKUP(F2413,$D$6:$G$15,3,FALSE),600),0)/1000</f>
        <v>0</v>
      </c>
      <c r="S2413" s="396"/>
      <c r="T2413" s="396" t="s">
        <v>125</v>
      </c>
      <c r="U2413" s="401">
        <f t="shared" si="7544"/>
        <v>1.5782400000000001</v>
      </c>
      <c r="V2413" s="396" t="s">
        <v>125</v>
      </c>
      <c r="W2413" s="399">
        <f t="shared" ref="W2413" si="7735">D2413</f>
        <v>4</v>
      </c>
      <c r="X2413" s="399" t="s">
        <v>125</v>
      </c>
      <c r="Y2413" s="389">
        <f t="shared" si="7546"/>
        <v>1</v>
      </c>
      <c r="Z2413" s="400" t="s">
        <v>176</v>
      </c>
      <c r="AA2413" s="402">
        <f t="shared" ref="AA2413" si="7736">(N2413+P2413*R2413/1000)*U2413*W2413*Y2413</f>
        <v>47.088368640000006</v>
      </c>
      <c r="AB2413" s="403"/>
    </row>
    <row r="2414" spans="1:28">
      <c r="A2414" s="384"/>
      <c r="B2414" s="385"/>
      <c r="C2414" s="393"/>
      <c r="D2414" s="394"/>
      <c r="E2414" s="388"/>
      <c r="F2414" s="388"/>
      <c r="G2414" s="388"/>
      <c r="H2414" s="395"/>
      <c r="I2414" s="388"/>
      <c r="J2414" s="399"/>
      <c r="K2414" s="396"/>
      <c r="L2414" s="396"/>
      <c r="M2414" s="396"/>
      <c r="N2414" s="396"/>
      <c r="O2414" s="396"/>
      <c r="P2414" s="389"/>
      <c r="Q2414" s="396"/>
      <c r="R2414" s="396"/>
      <c r="S2414" s="396"/>
      <c r="T2414" s="396"/>
      <c r="U2414" s="401"/>
      <c r="V2414" s="396"/>
      <c r="W2414" s="388"/>
      <c r="X2414" s="396"/>
      <c r="Y2414" s="389"/>
      <c r="Z2414" s="396"/>
      <c r="AA2414" s="388"/>
      <c r="AB2414" s="390"/>
    </row>
    <row r="2415" spans="1:28">
      <c r="A2415" s="384" t="str">
        <f t="shared" ref="A2415:B2415" si="7737">A2395</f>
        <v>Lantai 1</v>
      </c>
      <c r="B2415" s="385">
        <f t="shared" si="7737"/>
        <v>78</v>
      </c>
      <c r="C2415" s="393" t="s">
        <v>211</v>
      </c>
      <c r="D2415" s="398">
        <f>VLOOKUP(D2395,'Detail Balok'!$C$10:$AU$140,31,FALSE)</f>
        <v>0</v>
      </c>
      <c r="E2415" s="388" t="s">
        <v>16</v>
      </c>
      <c r="F2415" s="388">
        <f>VLOOKUP(D2395,'Detail Balok'!$C$10:$AU$140,33,FALSE)</f>
        <v>10</v>
      </c>
      <c r="G2415" s="405" t="s">
        <v>157</v>
      </c>
      <c r="H2415" s="395">
        <f>VLOOKUP(D2395,'Detail Balok'!$C$10:$AU$140,35,FALSE)</f>
        <v>150</v>
      </c>
      <c r="I2415" s="388"/>
      <c r="J2415" s="400">
        <f t="shared" ref="J2415" si="7738">(IF(D2415=0,(2*(D2396+G2396))-(F$5*8),IF(D2415=3,(2*(D2396+G2396))-(F$5*8)+(G2396-2*F$5),IF(D2415=4,(2*(D2396+G2396))-(F$5*8)+2*(G2396-2*F$5)))))/1000</f>
        <v>1.08</v>
      </c>
      <c r="K2415" s="400" t="s">
        <v>204</v>
      </c>
      <c r="L2415" s="399">
        <f t="shared" ref="L2415:L2417" si="7739">IF(D2415=0,2*MAX(6*F2415,75),(D2415-1)*2*MAX(6*F2415,75))/1000</f>
        <v>0.15</v>
      </c>
      <c r="M2415" s="399" t="s">
        <v>176</v>
      </c>
      <c r="N2415" s="399">
        <f t="shared" ref="N2415:N2417" si="7740">J2415+L2415</f>
        <v>1.23</v>
      </c>
      <c r="O2415" s="399"/>
      <c r="P2415" s="389"/>
      <c r="Q2415" s="399"/>
      <c r="R2415" s="399"/>
      <c r="S2415" s="399"/>
      <c r="T2415" s="399" t="s">
        <v>125</v>
      </c>
      <c r="U2415" s="401">
        <f t="shared" ref="U2415:U2417" si="7741">0.006165*F2415^2</f>
        <v>0.61650000000000005</v>
      </c>
      <c r="V2415" s="399" t="s">
        <v>125</v>
      </c>
      <c r="W2415" s="399">
        <f t="shared" ref="W2415" si="7742">IF(D2398&gt;4*G2396,ROUND(MAX(D2398/4,2*G2396)/H2415,0)+1,ROUND(D2398/H2415,0)+1)</f>
        <v>13</v>
      </c>
      <c r="X2415" s="399" t="s">
        <v>125</v>
      </c>
      <c r="Y2415" s="389">
        <f t="shared" ref="Y2415" si="7743">D2401</f>
        <v>1</v>
      </c>
      <c r="Z2415" s="400" t="s">
        <v>176</v>
      </c>
      <c r="AA2415" s="402">
        <f t="shared" ref="AA2415:AA2417" si="7744">N2415*U2415*W2415*Y2415</f>
        <v>9.8578350000000015</v>
      </c>
      <c r="AB2415" s="403"/>
    </row>
    <row r="2416" spans="1:28">
      <c r="A2416" s="384" t="str">
        <f t="shared" ref="A2416:B2416" si="7745">A2395</f>
        <v>Lantai 1</v>
      </c>
      <c r="B2416" s="385">
        <f t="shared" si="7745"/>
        <v>78</v>
      </c>
      <c r="C2416" s="393" t="s">
        <v>212</v>
      </c>
      <c r="D2416" s="398">
        <f>VLOOKUP(D2395,'Detail Balok'!$C$10:$AU$140,36,FALSE)</f>
        <v>0</v>
      </c>
      <c r="E2416" s="388" t="s">
        <v>16</v>
      </c>
      <c r="F2416" s="388">
        <f>VLOOKUP(D2395,'Detail Balok'!$C$10:$AU$140,38,FALSE)</f>
        <v>10</v>
      </c>
      <c r="G2416" s="405" t="s">
        <v>157</v>
      </c>
      <c r="H2416" s="395">
        <f>VLOOKUP(D2395,'Detail Balok'!$C$10:$AU$140,40,FALSE)</f>
        <v>200</v>
      </c>
      <c r="I2416" s="388"/>
      <c r="J2416" s="400">
        <f t="shared" ref="J2416" si="7746">(IF(D2416=0,(2*(D2396+G2396))-(F$5*8),IF(D2416=3,(2*(D2396+G2396))-(F$5*8)+(G2396-2*F$5),IF(D2416=4,(2*(D2396+G2396))-(F$5*8)+2*(G2396-2*F$5)))))/1000</f>
        <v>1.08</v>
      </c>
      <c r="K2416" s="400" t="s">
        <v>204</v>
      </c>
      <c r="L2416" s="399">
        <f t="shared" si="7739"/>
        <v>0.15</v>
      </c>
      <c r="M2416" s="399" t="s">
        <v>176</v>
      </c>
      <c r="N2416" s="399">
        <f t="shared" si="7740"/>
        <v>1.23</v>
      </c>
      <c r="O2416" s="399"/>
      <c r="P2416" s="389"/>
      <c r="Q2416" s="399"/>
      <c r="R2416" s="399"/>
      <c r="S2416" s="399"/>
      <c r="T2416" s="399" t="s">
        <v>125</v>
      </c>
      <c r="U2416" s="401">
        <f t="shared" si="7741"/>
        <v>0.61650000000000005</v>
      </c>
      <c r="V2416" s="399" t="s">
        <v>125</v>
      </c>
      <c r="W2416" s="399">
        <f t="shared" ref="W2416" si="7747">IF(D2398-MAX(D2398/4,2*G2396)*2&gt;0,ROUND((D2398-MAX(D2398/4,2*G2396)*2)/H2416,0),0)</f>
        <v>18</v>
      </c>
      <c r="X2416" s="399" t="s">
        <v>125</v>
      </c>
      <c r="Y2416" s="389">
        <f t="shared" ref="Y2416" si="7748">D2401</f>
        <v>1</v>
      </c>
      <c r="Z2416" s="400" t="s">
        <v>176</v>
      </c>
      <c r="AA2416" s="402">
        <f t="shared" si="7744"/>
        <v>13.649310000000002</v>
      </c>
      <c r="AB2416" s="403"/>
    </row>
    <row r="2417" spans="1:28">
      <c r="A2417" s="384" t="str">
        <f t="shared" ref="A2417:B2417" si="7749">A2395</f>
        <v>Lantai 1</v>
      </c>
      <c r="B2417" s="385">
        <f t="shared" si="7749"/>
        <v>78</v>
      </c>
      <c r="C2417" s="393" t="s">
        <v>211</v>
      </c>
      <c r="D2417" s="398">
        <f>VLOOKUP(D2395,'Detail Balok'!$C$10:$AU$140,41,FALSE)</f>
        <v>0</v>
      </c>
      <c r="E2417" s="388" t="s">
        <v>16</v>
      </c>
      <c r="F2417" s="388">
        <f>VLOOKUP(D2395,'Detail Balok'!$C$10:$AU$140,43,FALSE)</f>
        <v>10</v>
      </c>
      <c r="G2417" s="405" t="s">
        <v>157</v>
      </c>
      <c r="H2417" s="395">
        <f>VLOOKUP(D2395,'Detail Balok'!$C$10:$AU$140,45,FALSE)</f>
        <v>150</v>
      </c>
      <c r="I2417" s="388"/>
      <c r="J2417" s="400">
        <f t="shared" ref="J2417" si="7750">(IF(D2417=0,(2*(D2396+G2396))-(F$5*8),IF(D2417=3,(2*(D2396+G2396))-(F$5*8)+(G2396-2*F$5),IF(D2417=4,(2*(D2396+G2396))-(F$5*8)+2*(G2396-2*F$5)))))/1000</f>
        <v>1.08</v>
      </c>
      <c r="K2417" s="400" t="s">
        <v>204</v>
      </c>
      <c r="L2417" s="399">
        <f t="shared" si="7739"/>
        <v>0.15</v>
      </c>
      <c r="M2417" s="399" t="s">
        <v>176</v>
      </c>
      <c r="N2417" s="399">
        <f t="shared" si="7740"/>
        <v>1.23</v>
      </c>
      <c r="O2417" s="399"/>
      <c r="P2417" s="389"/>
      <c r="Q2417" s="399"/>
      <c r="R2417" s="399"/>
      <c r="S2417" s="399"/>
      <c r="T2417" s="399" t="s">
        <v>125</v>
      </c>
      <c r="U2417" s="401">
        <f t="shared" si="7741"/>
        <v>0.61650000000000005</v>
      </c>
      <c r="V2417" s="399" t="s">
        <v>125</v>
      </c>
      <c r="W2417" s="399">
        <f t="shared" ref="W2417" si="7751">IF(D2398&gt;4*G2396,ROUND(MAX(D2398/4,2*G2396)/H2417,0)+1,0)</f>
        <v>13</v>
      </c>
      <c r="X2417" s="399" t="s">
        <v>125</v>
      </c>
      <c r="Y2417" s="389">
        <f t="shared" ref="Y2417" si="7752">D2401</f>
        <v>1</v>
      </c>
      <c r="Z2417" s="400" t="s">
        <v>176</v>
      </c>
      <c r="AA2417" s="402">
        <f t="shared" si="7744"/>
        <v>9.8578350000000015</v>
      </c>
      <c r="AB2417" s="403"/>
    </row>
    <row r="2418" spans="1:28">
      <c r="A2418" s="384"/>
      <c r="B2418" s="385"/>
      <c r="C2418" s="393"/>
      <c r="D2418" s="394"/>
      <c r="E2418" s="388"/>
      <c r="F2418" s="388"/>
      <c r="G2418" s="388"/>
      <c r="H2418" s="395"/>
      <c r="I2418" s="388"/>
      <c r="J2418" s="399"/>
      <c r="K2418" s="396"/>
      <c r="L2418" s="396"/>
      <c r="M2418" s="396"/>
      <c r="N2418" s="396"/>
      <c r="O2418" s="396"/>
      <c r="P2418" s="389"/>
      <c r="Q2418" s="396"/>
      <c r="R2418" s="396"/>
      <c r="S2418" s="396"/>
      <c r="T2418" s="396"/>
      <c r="U2418" s="401"/>
      <c r="V2418" s="396"/>
      <c r="W2418" s="388"/>
      <c r="X2418" s="396"/>
      <c r="Y2418" s="389"/>
      <c r="Z2418" s="396"/>
      <c r="AA2418" s="388"/>
      <c r="AB2418" s="390"/>
    </row>
    <row r="2419" spans="1:28">
      <c r="A2419" s="384" t="str">
        <f t="shared" ref="A2419:B2419" si="7753">A2395</f>
        <v>Lantai 1</v>
      </c>
      <c r="B2419" s="385">
        <f t="shared" si="7753"/>
        <v>78</v>
      </c>
      <c r="C2419" s="393" t="s">
        <v>213</v>
      </c>
      <c r="D2419" s="398">
        <f>VLOOKUP(D2395,'Detail Balok'!$C$10:$BJ$140,46,FALSE)</f>
        <v>0</v>
      </c>
      <c r="E2419" s="388" t="s">
        <v>16</v>
      </c>
      <c r="F2419" s="388">
        <f>VLOOKUP(D2395,'Detail Balok'!$C$10:$BJ$140,48,FALSE)</f>
        <v>0</v>
      </c>
      <c r="G2419" s="405" t="s">
        <v>157</v>
      </c>
      <c r="H2419" s="395">
        <f>VLOOKUP(D2395,'Detail Balok'!$C$10:$BJ$140,50,FALSE)</f>
        <v>100</v>
      </c>
      <c r="I2419" s="388"/>
      <c r="J2419" s="399">
        <f t="shared" ref="J2419" si="7754">(D2396-2*F$5)/1000</f>
        <v>0.12</v>
      </c>
      <c r="K2419" s="400" t="s">
        <v>204</v>
      </c>
      <c r="L2419" s="399">
        <f t="shared" ref="L2419:L2421" si="7755">IF(D2419=0,2*MAX(6*F2419,75),(D2419-1)*2*MAX(6*F2419,75))/1000</f>
        <v>0.15</v>
      </c>
      <c r="M2419" s="399" t="s">
        <v>176</v>
      </c>
      <c r="N2419" s="399">
        <f t="shared" ref="N2419:N2421" si="7756">J2419+L2419</f>
        <v>0.27</v>
      </c>
      <c r="O2419" s="399"/>
      <c r="P2419" s="399"/>
      <c r="Q2419" s="399"/>
      <c r="R2419" s="399"/>
      <c r="S2419" s="399"/>
      <c r="T2419" s="399" t="s">
        <v>125</v>
      </c>
      <c r="U2419" s="401">
        <f t="shared" ref="U2419:U2421" si="7757">0.006165*F2419^2</f>
        <v>0</v>
      </c>
      <c r="V2419" s="399" t="s">
        <v>125</v>
      </c>
      <c r="W2419" s="399">
        <f t="shared" si="7569"/>
        <v>13</v>
      </c>
      <c r="X2419" s="399" t="s">
        <v>125</v>
      </c>
      <c r="Y2419" s="389">
        <f t="shared" ref="Y2419" si="7758">D2405</f>
        <v>4</v>
      </c>
      <c r="Z2419" s="400" t="s">
        <v>176</v>
      </c>
      <c r="AA2419" s="402">
        <f t="shared" ref="AA2419:AA2421" si="7759">N2419*U2419*W2419*Y2419</f>
        <v>0</v>
      </c>
      <c r="AB2419" s="403"/>
    </row>
    <row r="2420" spans="1:28">
      <c r="A2420" s="384" t="str">
        <f t="shared" ref="A2420:B2420" si="7760">A2395</f>
        <v>Lantai 1</v>
      </c>
      <c r="B2420" s="385">
        <f t="shared" si="7760"/>
        <v>78</v>
      </c>
      <c r="C2420" s="393" t="s">
        <v>214</v>
      </c>
      <c r="D2420" s="398">
        <f>VLOOKUP(D2395,'Detail Balok'!$C$10:$BJ$140,51,FALSE)</f>
        <v>0</v>
      </c>
      <c r="E2420" s="388" t="s">
        <v>16</v>
      </c>
      <c r="F2420" s="388">
        <f>VLOOKUP(D2395,'Detail Balok'!$C$10:$BJ$140,53,FALSE)</f>
        <v>0</v>
      </c>
      <c r="G2420" s="405" t="s">
        <v>157</v>
      </c>
      <c r="H2420" s="395">
        <f>VLOOKUP(D2395,'Detail Balok'!$C$10:$BJ$140,55,FALSE)</f>
        <v>100</v>
      </c>
      <c r="I2420" s="388"/>
      <c r="J2420" s="399">
        <f t="shared" ref="J2420" si="7761">(D2396-2*F$5)/1000</f>
        <v>0.12</v>
      </c>
      <c r="K2420" s="400" t="s">
        <v>204</v>
      </c>
      <c r="L2420" s="399">
        <f t="shared" si="7755"/>
        <v>0.15</v>
      </c>
      <c r="M2420" s="399" t="s">
        <v>176</v>
      </c>
      <c r="N2420" s="399">
        <f t="shared" si="7756"/>
        <v>0.27</v>
      </c>
      <c r="O2420" s="399"/>
      <c r="P2420" s="399"/>
      <c r="Q2420" s="399"/>
      <c r="R2420" s="399"/>
      <c r="S2420" s="399"/>
      <c r="T2420" s="399" t="s">
        <v>125</v>
      </c>
      <c r="U2420" s="401">
        <f t="shared" si="7757"/>
        <v>0</v>
      </c>
      <c r="V2420" s="399" t="s">
        <v>125</v>
      </c>
      <c r="W2420" s="399">
        <f t="shared" si="7569"/>
        <v>18</v>
      </c>
      <c r="X2420" s="399" t="s">
        <v>125</v>
      </c>
      <c r="Y2420" s="389">
        <f t="shared" ref="Y2420" si="7762">D2405</f>
        <v>4</v>
      </c>
      <c r="Z2420" s="400" t="s">
        <v>176</v>
      </c>
      <c r="AA2420" s="402">
        <f t="shared" si="7759"/>
        <v>0</v>
      </c>
      <c r="AB2420" s="403"/>
    </row>
    <row r="2421" spans="1:28">
      <c r="A2421" s="384" t="str">
        <f t="shared" ref="A2421:B2421" si="7763">A2395</f>
        <v>Lantai 1</v>
      </c>
      <c r="B2421" s="385">
        <f t="shared" si="7763"/>
        <v>78</v>
      </c>
      <c r="C2421" s="393" t="s">
        <v>213</v>
      </c>
      <c r="D2421" s="398">
        <f>VLOOKUP(D2395,'Detail Balok'!$C$10:$BJ$140,56,FALSE)</f>
        <v>0</v>
      </c>
      <c r="E2421" s="388" t="s">
        <v>16</v>
      </c>
      <c r="F2421" s="388">
        <f>VLOOKUP(D2395,'Detail Balok'!$C$10:$BJ$140,58,FALSE)</f>
        <v>0</v>
      </c>
      <c r="G2421" s="405" t="s">
        <v>157</v>
      </c>
      <c r="H2421" s="395">
        <f>VLOOKUP(D2395,'Detail Balok'!$C$10:$BJ$140,60,FALSE)</f>
        <v>100</v>
      </c>
      <c r="I2421" s="388"/>
      <c r="J2421" s="399">
        <f t="shared" ref="J2421" si="7764">(D2396-2*F$5)/1000</f>
        <v>0.12</v>
      </c>
      <c r="K2421" s="400" t="s">
        <v>204</v>
      </c>
      <c r="L2421" s="399">
        <f t="shared" si="7755"/>
        <v>0.15</v>
      </c>
      <c r="M2421" s="399" t="s">
        <v>176</v>
      </c>
      <c r="N2421" s="399">
        <f t="shared" si="7756"/>
        <v>0.27</v>
      </c>
      <c r="O2421" s="399"/>
      <c r="P2421" s="399"/>
      <c r="Q2421" s="399"/>
      <c r="R2421" s="399"/>
      <c r="S2421" s="399"/>
      <c r="T2421" s="399" t="s">
        <v>125</v>
      </c>
      <c r="U2421" s="401">
        <f t="shared" si="7757"/>
        <v>0</v>
      </c>
      <c r="V2421" s="399" t="s">
        <v>125</v>
      </c>
      <c r="W2421" s="399">
        <f t="shared" si="7569"/>
        <v>13</v>
      </c>
      <c r="X2421" s="399" t="s">
        <v>125</v>
      </c>
      <c r="Y2421" s="389">
        <f t="shared" ref="Y2421" si="7765">D2405</f>
        <v>4</v>
      </c>
      <c r="Z2421" s="400" t="s">
        <v>176</v>
      </c>
      <c r="AA2421" s="402">
        <f t="shared" si="7759"/>
        <v>0</v>
      </c>
      <c r="AB2421" s="403"/>
    </row>
    <row r="2422" spans="1:28">
      <c r="A2422" s="391"/>
      <c r="B2422" s="392"/>
      <c r="C2422" s="392"/>
      <c r="D2422" s="394"/>
      <c r="E2422" s="388"/>
      <c r="F2422" s="388"/>
      <c r="G2422" s="388"/>
      <c r="H2422" s="395"/>
      <c r="I2422" s="388"/>
      <c r="J2422" s="402"/>
      <c r="K2422" s="388"/>
      <c r="L2422" s="388"/>
      <c r="M2422" s="388"/>
      <c r="N2422" s="388"/>
      <c r="O2422" s="388"/>
      <c r="P2422" s="388"/>
      <c r="Q2422" s="388"/>
      <c r="R2422" s="388"/>
      <c r="S2422" s="388"/>
      <c r="T2422" s="388"/>
      <c r="U2422" s="388"/>
      <c r="V2422" s="388"/>
      <c r="W2422" s="388"/>
      <c r="X2422" s="388"/>
      <c r="Y2422" s="389"/>
      <c r="Z2422" s="388"/>
      <c r="AA2422" s="402"/>
      <c r="AB2422" s="403"/>
    </row>
    <row r="2423" spans="1:28" ht="15.75" thickBot="1">
      <c r="A2423" s="406"/>
      <c r="B2423" s="407"/>
      <c r="C2423" s="407"/>
      <c r="D2423" s="408"/>
      <c r="E2423" s="409"/>
      <c r="F2423" s="409"/>
      <c r="G2423" s="409"/>
      <c r="H2423" s="410"/>
      <c r="I2423" s="409"/>
      <c r="J2423" s="409"/>
      <c r="K2423" s="409"/>
      <c r="L2423" s="409"/>
      <c r="M2423" s="409"/>
      <c r="N2423" s="409"/>
      <c r="O2423" s="409"/>
      <c r="P2423" s="409"/>
      <c r="Q2423" s="409"/>
      <c r="R2423" s="409"/>
      <c r="S2423" s="409"/>
      <c r="T2423" s="409"/>
      <c r="U2423" s="409"/>
      <c r="V2423" s="409"/>
      <c r="W2423" s="409"/>
      <c r="X2423" s="409"/>
      <c r="Y2423" s="411"/>
      <c r="Z2423" s="409"/>
      <c r="AA2423" s="412"/>
      <c r="AB2423" s="413"/>
    </row>
    <row r="2424" spans="1:28">
      <c r="A2424" s="377"/>
      <c r="B2424" s="378"/>
      <c r="C2424" s="378"/>
      <c r="D2424" s="379"/>
      <c r="E2424" s="380"/>
      <c r="F2424" s="380"/>
      <c r="G2424" s="380"/>
      <c r="H2424" s="381"/>
      <c r="I2424" s="380"/>
      <c r="J2424" s="380"/>
      <c r="K2424" s="380"/>
      <c r="L2424" s="380"/>
      <c r="M2424" s="380"/>
      <c r="N2424" s="380"/>
      <c r="O2424" s="380"/>
      <c r="P2424" s="380"/>
      <c r="Q2424" s="380"/>
      <c r="R2424" s="380"/>
      <c r="S2424" s="380"/>
      <c r="T2424" s="380"/>
      <c r="U2424" s="380"/>
      <c r="V2424" s="380"/>
      <c r="W2424" s="380"/>
      <c r="X2424" s="380"/>
      <c r="Y2424" s="382"/>
      <c r="Z2424" s="380"/>
      <c r="AA2424" s="380"/>
      <c r="AB2424" s="383"/>
    </row>
    <row r="2425" spans="1:28">
      <c r="A2425" s="384" t="str">
        <f t="shared" si="7578"/>
        <v>Lantai 1</v>
      </c>
      <c r="B2425" s="385">
        <f t="shared" si="7579"/>
        <v>79</v>
      </c>
      <c r="C2425" s="386" t="str">
        <f t="shared" ref="C2425" si="7766">CONCATENATE(A2425," no. ",B2425)</f>
        <v>Lantai 1 no. 79</v>
      </c>
      <c r="D2425" s="2562" t="str">
        <f>VLOOKUP(C2425,'Data Panjang Balok'!$C$9:$N$254,2,FALSE)</f>
        <v>B24-2</v>
      </c>
      <c r="E2425" s="2576"/>
      <c r="F2425" s="2576"/>
      <c r="G2425" s="2576"/>
      <c r="H2425" s="2577"/>
      <c r="I2425" s="387"/>
      <c r="J2425" s="388"/>
      <c r="K2425" s="388"/>
      <c r="L2425" s="388"/>
      <c r="M2425" s="388"/>
      <c r="N2425" s="388"/>
      <c r="O2425" s="388"/>
      <c r="P2425" s="388"/>
      <c r="Q2425" s="388"/>
      <c r="R2425" s="388"/>
      <c r="S2425" s="388"/>
      <c r="T2425" s="388"/>
      <c r="U2425" s="388"/>
      <c r="V2425" s="388"/>
      <c r="W2425" s="388"/>
      <c r="X2425" s="388"/>
      <c r="Y2425" s="389"/>
      <c r="Z2425" s="388"/>
      <c r="AA2425" s="388"/>
      <c r="AB2425" s="390"/>
    </row>
    <row r="2426" spans="1:28">
      <c r="A2426" s="391"/>
      <c r="B2426" s="392"/>
      <c r="C2426" s="393" t="s">
        <v>118</v>
      </c>
      <c r="D2426" s="2578">
        <f>VLOOKUP(D2425,'Detail Balok'!$C$10:$AU$140,2,FALSE)</f>
        <v>200</v>
      </c>
      <c r="E2426" s="2579"/>
      <c r="F2426" s="388" t="s">
        <v>125</v>
      </c>
      <c r="G2426" s="2579">
        <f>VLOOKUP(D2425,'Detail Balok'!$C$10:$AU$140,3,FALSE)</f>
        <v>400</v>
      </c>
      <c r="H2426" s="2580"/>
      <c r="I2426" s="388"/>
      <c r="J2426" s="396"/>
      <c r="K2426" s="396"/>
      <c r="L2426" s="396"/>
      <c r="M2426" s="396"/>
      <c r="N2426" s="396"/>
      <c r="O2426" s="396"/>
      <c r="P2426" s="396"/>
      <c r="Q2426" s="396"/>
      <c r="R2426" s="396"/>
      <c r="S2426" s="396"/>
      <c r="T2426" s="396"/>
      <c r="U2426" s="388"/>
      <c r="V2426" s="396"/>
      <c r="W2426" s="388"/>
      <c r="X2426" s="396"/>
      <c r="Y2426" s="389"/>
      <c r="Z2426" s="396"/>
      <c r="AA2426" s="388"/>
      <c r="AB2426" s="390"/>
    </row>
    <row r="2427" spans="1:28">
      <c r="A2427" s="391"/>
      <c r="B2427" s="392"/>
      <c r="C2427" s="393" t="s">
        <v>198</v>
      </c>
      <c r="D2427" s="2562">
        <f>VLOOKUP(C2425,'Data Panjang Balok'!$C$9:$N$254,4,FALSE)</f>
        <v>1130</v>
      </c>
      <c r="E2427" s="2563"/>
      <c r="F2427" s="2563"/>
      <c r="G2427" s="2563"/>
      <c r="H2427" s="2564"/>
      <c r="I2427" s="397"/>
      <c r="J2427" s="396"/>
      <c r="K2427" s="396"/>
      <c r="L2427" s="396"/>
      <c r="M2427" s="396"/>
      <c r="N2427" s="396"/>
      <c r="O2427" s="396"/>
      <c r="P2427" s="396"/>
      <c r="Q2427" s="396"/>
      <c r="R2427" s="396"/>
      <c r="S2427" s="396"/>
      <c r="T2427" s="396"/>
      <c r="U2427" s="388"/>
      <c r="V2427" s="396"/>
      <c r="W2427" s="388"/>
      <c r="X2427" s="396"/>
      <c r="Y2427" s="389"/>
      <c r="Z2427" s="396"/>
      <c r="AA2427" s="388"/>
      <c r="AB2427" s="390"/>
    </row>
    <row r="2428" spans="1:28">
      <c r="A2428" s="391"/>
      <c r="B2428" s="392"/>
      <c r="C2428" s="393" t="s">
        <v>199</v>
      </c>
      <c r="D2428" s="2562">
        <f>VLOOKUP(C2425,'Data Panjang Balok'!$C$9:$N$254,7,FALSE)</f>
        <v>1130</v>
      </c>
      <c r="E2428" s="2563"/>
      <c r="F2428" s="2563"/>
      <c r="G2428" s="2563"/>
      <c r="H2428" s="2564"/>
      <c r="I2428" s="397"/>
      <c r="J2428" s="396"/>
      <c r="K2428" s="396"/>
      <c r="L2428" s="396"/>
      <c r="M2428" s="396"/>
      <c r="N2428" s="396"/>
      <c r="O2428" s="396"/>
      <c r="P2428" s="396"/>
      <c r="Q2428" s="396"/>
      <c r="R2428" s="396"/>
      <c r="S2428" s="396"/>
      <c r="T2428" s="396"/>
      <c r="U2428" s="388"/>
      <c r="V2428" s="396"/>
      <c r="W2428" s="388"/>
      <c r="X2428" s="396"/>
      <c r="Y2428" s="389"/>
      <c r="Z2428" s="396"/>
      <c r="AA2428" s="388"/>
      <c r="AB2428" s="390"/>
    </row>
    <row r="2429" spans="1:28">
      <c r="A2429" s="391"/>
      <c r="B2429" s="392"/>
      <c r="C2429" s="393" t="s">
        <v>200</v>
      </c>
      <c r="D2429" s="2562">
        <f>VLOOKUP(C2425,'Data Panjang Balok'!$C$9:$N$254,9,FALSE)</f>
        <v>0</v>
      </c>
      <c r="E2429" s="2563"/>
      <c r="F2429" s="2563"/>
      <c r="G2429" s="2563"/>
      <c r="H2429" s="2564"/>
      <c r="I2429" s="397"/>
      <c r="J2429" s="396"/>
      <c r="K2429" s="396"/>
      <c r="L2429" s="396"/>
      <c r="M2429" s="396"/>
      <c r="N2429" s="396"/>
      <c r="O2429" s="396"/>
      <c r="P2429" s="396"/>
      <c r="Q2429" s="396"/>
      <c r="R2429" s="396"/>
      <c r="S2429" s="396"/>
      <c r="T2429" s="396"/>
      <c r="U2429" s="388"/>
      <c r="V2429" s="396"/>
      <c r="W2429" s="388"/>
      <c r="X2429" s="396"/>
      <c r="Y2429" s="389"/>
      <c r="Z2429" s="396"/>
      <c r="AA2429" s="388"/>
      <c r="AB2429" s="390"/>
    </row>
    <row r="2430" spans="1:28">
      <c r="A2430" s="391"/>
      <c r="B2430" s="392"/>
      <c r="C2430" s="393" t="s">
        <v>201</v>
      </c>
      <c r="D2430" s="2562">
        <f>VLOOKUP(C2425,'Data Panjang Balok'!$C$9:$N$254,10,FALSE)</f>
        <v>0</v>
      </c>
      <c r="E2430" s="2563"/>
      <c r="F2430" s="2563"/>
      <c r="G2430" s="2563"/>
      <c r="H2430" s="2564"/>
      <c r="I2430" s="397"/>
      <c r="J2430" s="396"/>
      <c r="K2430" s="396"/>
      <c r="L2430" s="396"/>
      <c r="M2430" s="396"/>
      <c r="N2430" s="396"/>
      <c r="O2430" s="396"/>
      <c r="P2430" s="396"/>
      <c r="Q2430" s="396"/>
      <c r="R2430" s="396"/>
      <c r="S2430" s="396"/>
      <c r="T2430" s="396"/>
      <c r="U2430" s="388"/>
      <c r="V2430" s="396"/>
      <c r="W2430" s="388"/>
      <c r="X2430" s="396"/>
      <c r="Y2430" s="389"/>
      <c r="Z2430" s="396"/>
      <c r="AA2430" s="388"/>
      <c r="AB2430" s="390"/>
    </row>
    <row r="2431" spans="1:28">
      <c r="A2431" s="391"/>
      <c r="B2431" s="392"/>
      <c r="C2431" s="393" t="s">
        <v>48</v>
      </c>
      <c r="D2431" s="2562">
        <f>VLOOKUP(C2425,'Data Panjang Balok'!$C$9:$N$254,3,FALSE)</f>
        <v>1</v>
      </c>
      <c r="E2431" s="2563"/>
      <c r="F2431" s="2563"/>
      <c r="G2431" s="2563"/>
      <c r="H2431" s="2564"/>
      <c r="I2431" s="397"/>
      <c r="J2431" s="396"/>
      <c r="K2431" s="396"/>
      <c r="L2431" s="396"/>
      <c r="M2431" s="396"/>
      <c r="N2431" s="396"/>
      <c r="O2431" s="396"/>
      <c r="P2431" s="396"/>
      <c r="Q2431" s="396"/>
      <c r="R2431" s="396"/>
      <c r="S2431" s="396"/>
      <c r="T2431" s="396"/>
      <c r="U2431" s="388"/>
      <c r="V2431" s="396"/>
      <c r="W2431" s="388"/>
      <c r="X2431" s="396"/>
      <c r="Y2431" s="389"/>
      <c r="Z2431" s="396"/>
      <c r="AA2431" s="388"/>
      <c r="AB2431" s="390"/>
    </row>
    <row r="2432" spans="1:28">
      <c r="A2432" s="384" t="str">
        <f t="shared" ref="A2432:B2432" si="7767">A2425</f>
        <v>Lantai 1</v>
      </c>
      <c r="B2432" s="385">
        <f t="shared" si="7767"/>
        <v>79</v>
      </c>
      <c r="C2432" s="393" t="s">
        <v>202</v>
      </c>
      <c r="D2432" s="398">
        <f>VLOOKUP(D2425,'Detail Balok'!$C$10:$AU$140,4,FALSE)</f>
        <v>3</v>
      </c>
      <c r="E2432" s="388" t="s">
        <v>16</v>
      </c>
      <c r="F2432" s="388">
        <f>VLOOKUP(D2425,'Detail Balok'!$C$10:$AU$140,6,FALSE)</f>
        <v>16</v>
      </c>
      <c r="G2432" s="388"/>
      <c r="H2432" s="395"/>
      <c r="I2432" s="388" t="s">
        <v>203</v>
      </c>
      <c r="J2432" s="399">
        <f t="shared" ref="J2432" si="7768">+D2427/4/1000</f>
        <v>0.28249999999999997</v>
      </c>
      <c r="K2432" s="400" t="s">
        <v>204</v>
      </c>
      <c r="L2432" s="399">
        <f t="shared" ref="L2432" si="7769">MAX(VLOOKUP(F2432,N$6:P$15,3,FALSE)/1000,2/3*D2429/1000)+F$16*F2432/1000</f>
        <v>0.192</v>
      </c>
      <c r="M2432" s="399" t="s">
        <v>176</v>
      </c>
      <c r="N2432" s="399">
        <f t="shared" ref="N2432:N2434" si="7770">J2432+L2432</f>
        <v>0.47449999999999998</v>
      </c>
      <c r="O2432" s="399" t="s">
        <v>204</v>
      </c>
      <c r="P2432" s="389">
        <f t="shared" ref="P2432" si="7771">D2432-D2433</f>
        <v>0</v>
      </c>
      <c r="Q2432" s="399" t="s">
        <v>125</v>
      </c>
      <c r="R2432" s="399">
        <f t="shared" ref="R2432" si="7772">IF(P2432&gt;0,$F$18*F2432/1000,0)</f>
        <v>0</v>
      </c>
      <c r="S2432" s="399" t="s">
        <v>205</v>
      </c>
      <c r="T2432" s="399" t="s">
        <v>125</v>
      </c>
      <c r="U2432" s="401">
        <f t="shared" ref="U2432:U2434" si="7773">0.006165*F2432^2</f>
        <v>1.5782400000000001</v>
      </c>
      <c r="V2432" s="399"/>
      <c r="W2432" s="399"/>
      <c r="X2432" s="399" t="s">
        <v>125</v>
      </c>
      <c r="Y2432" s="389">
        <f t="shared" ref="Y2432" si="7774">D2431</f>
        <v>1</v>
      </c>
      <c r="Z2432" s="400" t="s">
        <v>176</v>
      </c>
      <c r="AA2432" s="402">
        <f t="shared" ref="AA2432" si="7775">IF(AA2435=0,(D2432*N2432+P2432*R2432)*U2432*Y2432,0)</f>
        <v>0</v>
      </c>
      <c r="AB2432" s="403"/>
    </row>
    <row r="2433" spans="1:28">
      <c r="A2433" s="384" t="str">
        <f t="shared" ref="A2433:B2433" si="7776">A2425</f>
        <v>Lantai 1</v>
      </c>
      <c r="B2433" s="385">
        <f t="shared" si="7776"/>
        <v>79</v>
      </c>
      <c r="C2433" s="393" t="s">
        <v>206</v>
      </c>
      <c r="D2433" s="398">
        <f>VLOOKUP(D2425,'Detail Balok'!$C$10:$AU$140,7,FALSE)</f>
        <v>3</v>
      </c>
      <c r="E2433" s="388" t="s">
        <v>16</v>
      </c>
      <c r="F2433" s="388">
        <f>VLOOKUP(D2425,'Detail Balok'!$C$10:$AU$140,9,FALSE)</f>
        <v>16</v>
      </c>
      <c r="G2433" s="388"/>
      <c r="H2433" s="395"/>
      <c r="I2433" s="388" t="s">
        <v>203</v>
      </c>
      <c r="J2433" s="399">
        <f t="shared" ref="J2433" si="7777">+D2427/2/1000</f>
        <v>0.56499999999999995</v>
      </c>
      <c r="K2433" s="400" t="s">
        <v>204</v>
      </c>
      <c r="L2433" s="399"/>
      <c r="M2433" s="399" t="s">
        <v>176</v>
      </c>
      <c r="N2433" s="399">
        <f t="shared" si="7770"/>
        <v>0.56499999999999995</v>
      </c>
      <c r="O2433" s="399" t="s">
        <v>204</v>
      </c>
      <c r="P2433" s="389">
        <f t="shared" ref="P2433" si="7778">MAX(D2433-D2432,D2433-D2434)</f>
        <v>0</v>
      </c>
      <c r="Q2433" s="399" t="s">
        <v>125</v>
      </c>
      <c r="R2433" s="399">
        <f t="shared" ref="R2433" si="7779">IF(P2433&gt;0,2*(1-2*$F$19-1/2)*D2428/1000,0)</f>
        <v>0</v>
      </c>
      <c r="S2433" s="399" t="s">
        <v>205</v>
      </c>
      <c r="T2433" s="399" t="s">
        <v>125</v>
      </c>
      <c r="U2433" s="401">
        <f t="shared" si="7773"/>
        <v>1.5782400000000001</v>
      </c>
      <c r="V2433" s="399"/>
      <c r="W2433" s="399"/>
      <c r="X2433" s="399" t="s">
        <v>125</v>
      </c>
      <c r="Y2433" s="389">
        <f t="shared" ref="Y2433" si="7780">D2431</f>
        <v>1</v>
      </c>
      <c r="Z2433" s="400" t="s">
        <v>176</v>
      </c>
      <c r="AA2433" s="402">
        <f t="shared" ref="AA2433" si="7781">IF(AA2435=0,(D2433*N2433+P2433*R2433)*U2433*Y2433,0)</f>
        <v>0</v>
      </c>
      <c r="AB2433" s="403"/>
    </row>
    <row r="2434" spans="1:28">
      <c r="A2434" s="384" t="str">
        <f t="shared" ref="A2434:B2434" si="7782">A2425</f>
        <v>Lantai 1</v>
      </c>
      <c r="B2434" s="385">
        <f t="shared" si="7782"/>
        <v>79</v>
      </c>
      <c r="C2434" s="393" t="s">
        <v>202</v>
      </c>
      <c r="D2434" s="398">
        <f>VLOOKUP(D2425,'Detail Balok'!$C$10:$AU$140,10,FALSE)</f>
        <v>3</v>
      </c>
      <c r="E2434" s="388" t="s">
        <v>16</v>
      </c>
      <c r="F2434" s="388">
        <f>VLOOKUP(D2425,'Detail Balok'!$C$10:$AU$140,12,FALSE)</f>
        <v>16</v>
      </c>
      <c r="G2434" s="388"/>
      <c r="H2434" s="395"/>
      <c r="I2434" s="388" t="s">
        <v>203</v>
      </c>
      <c r="J2434" s="399">
        <f t="shared" ref="J2434" si="7783">+D2427/4/1000</f>
        <v>0.28249999999999997</v>
      </c>
      <c r="K2434" s="400" t="s">
        <v>204</v>
      </c>
      <c r="L2434" s="399">
        <f t="shared" ref="L2434" si="7784">MAX(VLOOKUP(F2434,N$6:P$15,3,FALSE)/1000,2/3*D2429/1000)+F$16*F2434/1000</f>
        <v>0.192</v>
      </c>
      <c r="M2434" s="399" t="s">
        <v>176</v>
      </c>
      <c r="N2434" s="399">
        <f t="shared" si="7770"/>
        <v>0.47449999999999998</v>
      </c>
      <c r="O2434" s="399" t="s">
        <v>204</v>
      </c>
      <c r="P2434" s="389">
        <f t="shared" ref="P2434" si="7785">D2434-D2433</f>
        <v>0</v>
      </c>
      <c r="Q2434" s="399" t="s">
        <v>125</v>
      </c>
      <c r="R2434" s="399">
        <f t="shared" ref="R2434" si="7786">IF(P2434&gt;0,$F$18*F2434/1000,0)</f>
        <v>0</v>
      </c>
      <c r="S2434" s="399" t="s">
        <v>205</v>
      </c>
      <c r="T2434" s="399" t="s">
        <v>125</v>
      </c>
      <c r="U2434" s="401">
        <f t="shared" si="7773"/>
        <v>1.5782400000000001</v>
      </c>
      <c r="V2434" s="399"/>
      <c r="W2434" s="399"/>
      <c r="X2434" s="399" t="s">
        <v>125</v>
      </c>
      <c r="Y2434" s="389">
        <f t="shared" ref="Y2434" si="7787">D2431</f>
        <v>1</v>
      </c>
      <c r="Z2434" s="400" t="s">
        <v>176</v>
      </c>
      <c r="AA2434" s="402">
        <f t="shared" ref="AA2434" si="7788">IF(AA2435=0,(D2434*N2434+P2434*R2434)*U2434*Y2434,0)</f>
        <v>0</v>
      </c>
      <c r="AB2434" s="403"/>
    </row>
    <row r="2435" spans="1:28">
      <c r="A2435" s="384" t="str">
        <f t="shared" ref="A2435:B2435" si="7789">A2425</f>
        <v>Lantai 1</v>
      </c>
      <c r="B2435" s="385">
        <f t="shared" si="7789"/>
        <v>79</v>
      </c>
      <c r="C2435" s="393"/>
      <c r="D2435" s="398">
        <f t="shared" ref="D2435:D2495" si="7790">IF(AND(D2432=D2433,D2433=D2434,D2432=D2434),D2432,0)</f>
        <v>3</v>
      </c>
      <c r="E2435" s="388" t="s">
        <v>16</v>
      </c>
      <c r="F2435" s="388">
        <f t="shared" ref="F2435:F2495" si="7791">IF(AND(F2432=F2433,F2432=F2434,F2433=F2434),F2432,0)</f>
        <v>16</v>
      </c>
      <c r="G2435" s="388"/>
      <c r="H2435" s="395"/>
      <c r="I2435" s="388"/>
      <c r="J2435" s="396"/>
      <c r="K2435" s="396"/>
      <c r="L2435" s="404" t="s">
        <v>207</v>
      </c>
      <c r="M2435" s="399" t="s">
        <v>176</v>
      </c>
      <c r="N2435" s="399">
        <f t="shared" ref="N2435" si="7792">IF(AND(D2432=D2433,D2432=D2434,D2433=D2434,F2432=F2433,F2432=F2434,F2433=F2434),SUM(N2432:N2434),0)</f>
        <v>1.5139999999999998</v>
      </c>
      <c r="O2435" s="399" t="s">
        <v>204</v>
      </c>
      <c r="P2435" s="389">
        <f t="shared" ref="P2435" si="7793">IF(N2435&gt;12,ROUNDDOWN(N2435/12,0),0)</f>
        <v>0</v>
      </c>
      <c r="Q2435" s="399" t="s">
        <v>125</v>
      </c>
      <c r="R2435" s="399">
        <f t="shared" ref="R2435" si="7794">IF(P2435&gt;0,MAX(VLOOKUP(F2435,$D$6:$G$15,3,FALSE),600),0)/1000</f>
        <v>0</v>
      </c>
      <c r="S2435" s="396"/>
      <c r="T2435" s="396" t="s">
        <v>125</v>
      </c>
      <c r="U2435" s="401">
        <f t="shared" ref="U2435:U2495" si="7795">U2434</f>
        <v>1.5782400000000001</v>
      </c>
      <c r="V2435" s="396" t="s">
        <v>125</v>
      </c>
      <c r="W2435" s="399">
        <f t="shared" ref="W2435" si="7796">D2435</f>
        <v>3</v>
      </c>
      <c r="X2435" s="399" t="s">
        <v>125</v>
      </c>
      <c r="Y2435" s="389">
        <f t="shared" ref="Y2435:Y2495" si="7797">Y2434</f>
        <v>1</v>
      </c>
      <c r="Z2435" s="400" t="s">
        <v>176</v>
      </c>
      <c r="AA2435" s="402">
        <f t="shared" ref="AA2435" si="7798">(N2435+P2435*R2435/1000)*U2435*W2435*Y2435</f>
        <v>7.1683660800000002</v>
      </c>
      <c r="AB2435" s="390"/>
    </row>
    <row r="2436" spans="1:28">
      <c r="A2436" s="384"/>
      <c r="B2436" s="385"/>
      <c r="C2436" s="393"/>
      <c r="D2436" s="398"/>
      <c r="E2436" s="388"/>
      <c r="F2436" s="388"/>
      <c r="G2436" s="388"/>
      <c r="H2436" s="395"/>
      <c r="I2436" s="388"/>
      <c r="J2436" s="396"/>
      <c r="K2436" s="396"/>
      <c r="L2436" s="404"/>
      <c r="M2436" s="399"/>
      <c r="N2436" s="399"/>
      <c r="O2436" s="396"/>
      <c r="P2436" s="389"/>
      <c r="Q2436" s="396"/>
      <c r="R2436" s="396"/>
      <c r="S2436" s="396"/>
      <c r="T2436" s="396"/>
      <c r="U2436" s="401"/>
      <c r="V2436" s="396"/>
      <c r="W2436" s="399"/>
      <c r="X2436" s="396"/>
      <c r="Y2436" s="389"/>
      <c r="Z2436" s="396"/>
      <c r="AA2436" s="388"/>
      <c r="AB2436" s="390"/>
    </row>
    <row r="2437" spans="1:28">
      <c r="A2437" s="384" t="str">
        <f t="shared" ref="A2437:B2437" si="7799">A2425</f>
        <v>Lantai 1</v>
      </c>
      <c r="B2437" s="385">
        <f t="shared" si="7799"/>
        <v>79</v>
      </c>
      <c r="C2437" s="393" t="s">
        <v>208</v>
      </c>
      <c r="D2437" s="398">
        <f>VLOOKUP(D2425,'Detail Balok'!$C$10:$AU$140,13,FALSE)</f>
        <v>0</v>
      </c>
      <c r="E2437" s="388" t="s">
        <v>16</v>
      </c>
      <c r="F2437" s="388">
        <f>VLOOKUP(D2425,'Detail Balok'!$C$10:$AU$140,15,FALSE)</f>
        <v>8</v>
      </c>
      <c r="G2437" s="388"/>
      <c r="H2437" s="395"/>
      <c r="I2437" s="388"/>
      <c r="J2437" s="399">
        <f t="shared" ref="J2437" si="7800">+D2427/1000</f>
        <v>1.1299999999999999</v>
      </c>
      <c r="K2437" s="400" t="s">
        <v>204</v>
      </c>
      <c r="L2437" s="399">
        <f t="shared" ref="L2437" si="7801">2*$F$16*F2437/1000</f>
        <v>0.192</v>
      </c>
      <c r="M2437" s="399" t="s">
        <v>176</v>
      </c>
      <c r="N2437" s="399">
        <f t="shared" ref="N2437" si="7802">J2437+L2437</f>
        <v>1.3219999999999998</v>
      </c>
      <c r="O2437" s="399" t="s">
        <v>204</v>
      </c>
      <c r="P2437" s="389">
        <f t="shared" ref="P2437" si="7803">IF(N2437&gt;12,ROUNDDOWN(N2437/12,0),0)</f>
        <v>0</v>
      </c>
      <c r="Q2437" s="399" t="s">
        <v>125</v>
      </c>
      <c r="R2437" s="399">
        <f t="shared" ref="R2437" si="7804">IF(P2437&gt;0,MAX(VLOOKUP(F2437,$D$6:$G$15,3,FALSE),600),0)/1000</f>
        <v>0</v>
      </c>
      <c r="S2437" s="399"/>
      <c r="T2437" s="399" t="s">
        <v>125</v>
      </c>
      <c r="U2437" s="401">
        <f t="shared" ref="U2437" si="7805">0.006165*F2437^2</f>
        <v>0.39456000000000002</v>
      </c>
      <c r="V2437" s="399" t="s">
        <v>125</v>
      </c>
      <c r="W2437" s="399">
        <f t="shared" ref="W2437" si="7806">+D2437</f>
        <v>0</v>
      </c>
      <c r="X2437" s="399" t="s">
        <v>125</v>
      </c>
      <c r="Y2437" s="389">
        <f t="shared" ref="Y2437" si="7807">D2431</f>
        <v>1</v>
      </c>
      <c r="Z2437" s="400" t="s">
        <v>176</v>
      </c>
      <c r="AA2437" s="402">
        <f t="shared" ref="AA2437" si="7808">(N2437+P2437*R2437/1000)*U2437*W2437*Y2437</f>
        <v>0</v>
      </c>
      <c r="AB2437" s="403"/>
    </row>
    <row r="2438" spans="1:28">
      <c r="A2438" s="384"/>
      <c r="B2438" s="385"/>
      <c r="C2438" s="393"/>
      <c r="D2438" s="398"/>
      <c r="E2438" s="388"/>
      <c r="F2438" s="388"/>
      <c r="G2438" s="388"/>
      <c r="H2438" s="395"/>
      <c r="I2438" s="388"/>
      <c r="J2438" s="399"/>
      <c r="K2438" s="400"/>
      <c r="L2438" s="399"/>
      <c r="M2438" s="399"/>
      <c r="N2438" s="399"/>
      <c r="O2438" s="399"/>
      <c r="P2438" s="389"/>
      <c r="Q2438" s="399"/>
      <c r="R2438" s="399"/>
      <c r="S2438" s="399"/>
      <c r="T2438" s="399"/>
      <c r="U2438" s="401"/>
      <c r="V2438" s="399"/>
      <c r="W2438" s="399"/>
      <c r="X2438" s="399"/>
      <c r="Y2438" s="389"/>
      <c r="Z2438" s="400"/>
      <c r="AA2438" s="402"/>
      <c r="AB2438" s="403"/>
    </row>
    <row r="2439" spans="1:28">
      <c r="A2439" s="384"/>
      <c r="B2439" s="385"/>
      <c r="C2439" s="393"/>
      <c r="D2439" s="398"/>
      <c r="E2439" s="388"/>
      <c r="F2439" s="388"/>
      <c r="G2439" s="388"/>
      <c r="H2439" s="395"/>
      <c r="I2439" s="388"/>
      <c r="J2439" s="396"/>
      <c r="K2439" s="396"/>
      <c r="L2439" s="396"/>
      <c r="M2439" s="396"/>
      <c r="N2439" s="396"/>
      <c r="O2439" s="396"/>
      <c r="P2439" s="389"/>
      <c r="Q2439" s="396"/>
      <c r="R2439" s="396"/>
      <c r="S2439" s="396"/>
      <c r="T2439" s="396"/>
      <c r="U2439" s="401"/>
      <c r="V2439" s="396"/>
      <c r="W2439" s="399"/>
      <c r="X2439" s="396"/>
      <c r="Y2439" s="389"/>
      <c r="Z2439" s="396"/>
      <c r="AA2439" s="388"/>
      <c r="AB2439" s="390"/>
    </row>
    <row r="2440" spans="1:28">
      <c r="A2440" s="384" t="str">
        <f t="shared" ref="A2440:B2440" si="7809">A2425</f>
        <v>Lantai 1</v>
      </c>
      <c r="B2440" s="385">
        <f t="shared" si="7809"/>
        <v>79</v>
      </c>
      <c r="C2440" s="393" t="s">
        <v>209</v>
      </c>
      <c r="D2440" s="398">
        <f>VLOOKUP(D2425,'Detail Balok'!$C$10:$AU$140,22,FALSE)</f>
        <v>3</v>
      </c>
      <c r="E2440" s="388" t="s">
        <v>16</v>
      </c>
      <c r="F2440" s="388">
        <f>VLOOKUP(D2425,'Detail Balok'!$C$10:$AU$140,24,FALSE)</f>
        <v>16</v>
      </c>
      <c r="G2440" s="388"/>
      <c r="H2440" s="395"/>
      <c r="I2440" s="388" t="s">
        <v>203</v>
      </c>
      <c r="J2440" s="399">
        <f t="shared" ref="J2440:J2502" si="7810">+J2432</f>
        <v>0.28249999999999997</v>
      </c>
      <c r="K2440" s="400" t="s">
        <v>204</v>
      </c>
      <c r="L2440" s="399">
        <f t="shared" ref="L2440" si="7811">MAX(VLOOKUP(F2440,N$6:P$15,3,FALSE)/1000,2/3*D2430/1000)+F$16*F2440/1000</f>
        <v>0.192</v>
      </c>
      <c r="M2440" s="399" t="s">
        <v>176</v>
      </c>
      <c r="N2440" s="399">
        <f t="shared" ref="N2440:N2442" si="7812">J2440+L2440</f>
        <v>0.47449999999999998</v>
      </c>
      <c r="O2440" s="399" t="s">
        <v>204</v>
      </c>
      <c r="P2440" s="389">
        <f t="shared" ref="P2440" si="7813">D2440-D2441</f>
        <v>0</v>
      </c>
      <c r="Q2440" s="399" t="s">
        <v>125</v>
      </c>
      <c r="R2440" s="399">
        <f t="shared" ref="R2440" si="7814">IF(P2440&gt;0,$F$18*F2440/1000,0)</f>
        <v>0</v>
      </c>
      <c r="S2440" s="399" t="s">
        <v>205</v>
      </c>
      <c r="T2440" s="399" t="s">
        <v>125</v>
      </c>
      <c r="U2440" s="401">
        <f t="shared" ref="U2440:U2442" si="7815">0.006165*F2440^2</f>
        <v>1.5782400000000001</v>
      </c>
      <c r="V2440" s="399"/>
      <c r="W2440" s="399"/>
      <c r="X2440" s="399" t="s">
        <v>125</v>
      </c>
      <c r="Y2440" s="389">
        <f t="shared" ref="Y2440" si="7816">D2431</f>
        <v>1</v>
      </c>
      <c r="Z2440" s="400" t="s">
        <v>176</v>
      </c>
      <c r="AA2440" s="402">
        <f t="shared" ref="AA2440" si="7817">IF(AA2443=0,(D2440*N2440+P2440*R2440)*U2440*Y2440,0)</f>
        <v>0</v>
      </c>
      <c r="AB2440" s="403"/>
    </row>
    <row r="2441" spans="1:28">
      <c r="A2441" s="384" t="str">
        <f t="shared" ref="A2441:B2441" si="7818">A2425</f>
        <v>Lantai 1</v>
      </c>
      <c r="B2441" s="385">
        <f t="shared" si="7818"/>
        <v>79</v>
      </c>
      <c r="C2441" s="393" t="s">
        <v>210</v>
      </c>
      <c r="D2441" s="398">
        <f>VLOOKUP(D2425,'Detail Balok'!$C$10:$AU$140,25,FALSE)</f>
        <v>3</v>
      </c>
      <c r="E2441" s="388" t="s">
        <v>16</v>
      </c>
      <c r="F2441" s="388">
        <f>VLOOKUP(D2425,'Detail Balok'!$C$10:$AU$140,27,FALSE)</f>
        <v>16</v>
      </c>
      <c r="G2441" s="388"/>
      <c r="H2441" s="395"/>
      <c r="I2441" s="388" t="s">
        <v>203</v>
      </c>
      <c r="J2441" s="399">
        <f t="shared" si="7810"/>
        <v>0.56499999999999995</v>
      </c>
      <c r="K2441" s="400" t="s">
        <v>204</v>
      </c>
      <c r="L2441" s="399"/>
      <c r="M2441" s="399" t="s">
        <v>176</v>
      </c>
      <c r="N2441" s="399">
        <f t="shared" si="7812"/>
        <v>0.56499999999999995</v>
      </c>
      <c r="O2441" s="399" t="s">
        <v>204</v>
      </c>
      <c r="P2441" s="389">
        <f t="shared" ref="P2441" si="7819">MAX(D2441-D2440,D2441-D2442)</f>
        <v>0</v>
      </c>
      <c r="Q2441" s="399" t="s">
        <v>125</v>
      </c>
      <c r="R2441" s="399">
        <f t="shared" ref="R2441" si="7820">IF(P2441&gt;0,2*(1-2*$F$19-1/2)*D2428/1000,0)</f>
        <v>0</v>
      </c>
      <c r="S2441" s="399" t="s">
        <v>205</v>
      </c>
      <c r="T2441" s="399" t="s">
        <v>125</v>
      </c>
      <c r="U2441" s="401">
        <f t="shared" si="7815"/>
        <v>1.5782400000000001</v>
      </c>
      <c r="V2441" s="399"/>
      <c r="W2441" s="399"/>
      <c r="X2441" s="399" t="s">
        <v>125</v>
      </c>
      <c r="Y2441" s="389">
        <f t="shared" ref="Y2441" si="7821">D2431</f>
        <v>1</v>
      </c>
      <c r="Z2441" s="400" t="s">
        <v>176</v>
      </c>
      <c r="AA2441" s="402">
        <f t="shared" ref="AA2441" si="7822">IF(AA2443=0,(D2441*N2441+P2441*R2441)*U2441*Y2441,0)</f>
        <v>0</v>
      </c>
      <c r="AB2441" s="403"/>
    </row>
    <row r="2442" spans="1:28">
      <c r="A2442" s="384" t="str">
        <f t="shared" ref="A2442:B2442" si="7823">A2425</f>
        <v>Lantai 1</v>
      </c>
      <c r="B2442" s="385">
        <f t="shared" si="7823"/>
        <v>79</v>
      </c>
      <c r="C2442" s="393" t="s">
        <v>209</v>
      </c>
      <c r="D2442" s="398">
        <f>VLOOKUP(D2425,'Detail Balok'!$C$10:$AU$140,28,FALSE)</f>
        <v>3</v>
      </c>
      <c r="E2442" s="388" t="s">
        <v>16</v>
      </c>
      <c r="F2442" s="388">
        <f>VLOOKUP(D2425,'Detail Balok'!$C$10:$AU$140,30,FALSE)</f>
        <v>16</v>
      </c>
      <c r="G2442" s="388"/>
      <c r="H2442" s="395"/>
      <c r="I2442" s="388" t="s">
        <v>203</v>
      </c>
      <c r="J2442" s="399">
        <f t="shared" si="7810"/>
        <v>0.28249999999999997</v>
      </c>
      <c r="K2442" s="400" t="s">
        <v>204</v>
      </c>
      <c r="L2442" s="399">
        <f t="shared" ref="L2442" si="7824">MAX(VLOOKUP(F2442,N$6:P$15,3,FALSE)/1000,2/3*D2430/1000)+F$16*F2442/1000</f>
        <v>0.192</v>
      </c>
      <c r="M2442" s="399" t="s">
        <v>176</v>
      </c>
      <c r="N2442" s="399">
        <f t="shared" si="7812"/>
        <v>0.47449999999999998</v>
      </c>
      <c r="O2442" s="399" t="s">
        <v>204</v>
      </c>
      <c r="P2442" s="389">
        <f t="shared" ref="P2442" si="7825">D2442-D2441</f>
        <v>0</v>
      </c>
      <c r="Q2442" s="399" t="s">
        <v>125</v>
      </c>
      <c r="R2442" s="399">
        <f t="shared" ref="R2442" si="7826">IF(P2442&gt;0,$F$18*F2442/1000,0)</f>
        <v>0</v>
      </c>
      <c r="S2442" s="399" t="s">
        <v>205</v>
      </c>
      <c r="T2442" s="399" t="s">
        <v>125</v>
      </c>
      <c r="U2442" s="401">
        <f t="shared" si="7815"/>
        <v>1.5782400000000001</v>
      </c>
      <c r="V2442" s="399"/>
      <c r="W2442" s="399"/>
      <c r="X2442" s="399" t="s">
        <v>125</v>
      </c>
      <c r="Y2442" s="389">
        <f t="shared" ref="Y2442" si="7827">D2431</f>
        <v>1</v>
      </c>
      <c r="Z2442" s="400" t="s">
        <v>176</v>
      </c>
      <c r="AA2442" s="402">
        <f t="shared" ref="AA2442" si="7828">IF(AA2443=0,(D2442*N2442+P2442*R2442)*U2442*Y2442,0)</f>
        <v>0</v>
      </c>
      <c r="AB2442" s="403"/>
    </row>
    <row r="2443" spans="1:28">
      <c r="A2443" s="384" t="str">
        <f t="shared" ref="A2443:B2443" si="7829">A2425</f>
        <v>Lantai 1</v>
      </c>
      <c r="B2443" s="385">
        <f t="shared" si="7829"/>
        <v>79</v>
      </c>
      <c r="C2443" s="393"/>
      <c r="D2443" s="398">
        <f t="shared" ref="D2443:D2503" si="7830">IF(AND(D2440=D2441,D2441=D2442,D2440=D2442),D2440,0)</f>
        <v>3</v>
      </c>
      <c r="E2443" s="388" t="s">
        <v>16</v>
      </c>
      <c r="F2443" s="388">
        <f t="shared" ref="F2443:F2503" si="7831">IF(AND(F2440=F2441,F2440=F2442,F2441=F2442),F2440,0)</f>
        <v>16</v>
      </c>
      <c r="G2443" s="388"/>
      <c r="H2443" s="395"/>
      <c r="I2443" s="388"/>
      <c r="J2443" s="396"/>
      <c r="K2443" s="396"/>
      <c r="L2443" s="404" t="s">
        <v>207</v>
      </c>
      <c r="M2443" s="399" t="s">
        <v>176</v>
      </c>
      <c r="N2443" s="399">
        <f t="shared" ref="N2443" si="7832">IF(AND(D2440=D2441,D2440=D2442,D2441=D2442,F2440=F2441,F2440=F2442,F2441=F2442),SUM(N2440:N2442),0)</f>
        <v>1.5139999999999998</v>
      </c>
      <c r="O2443" s="399" t="s">
        <v>204</v>
      </c>
      <c r="P2443" s="389">
        <f t="shared" ref="P2443" si="7833">IF(N2443&gt;12,ROUNDDOWN(N2443/12,0),0)</f>
        <v>0</v>
      </c>
      <c r="Q2443" s="399" t="s">
        <v>125</v>
      </c>
      <c r="R2443" s="399">
        <f t="shared" ref="R2443" si="7834">IF(P2443&gt;0,MAX(VLOOKUP(F2443,$D$6:$G$15,3,FALSE),600),0)/1000</f>
        <v>0</v>
      </c>
      <c r="S2443" s="396"/>
      <c r="T2443" s="396" t="s">
        <v>125</v>
      </c>
      <c r="U2443" s="401">
        <f t="shared" ref="U2443:U2503" si="7835">U2442</f>
        <v>1.5782400000000001</v>
      </c>
      <c r="V2443" s="396" t="s">
        <v>125</v>
      </c>
      <c r="W2443" s="399">
        <f t="shared" ref="W2443" si="7836">D2443</f>
        <v>3</v>
      </c>
      <c r="X2443" s="399" t="s">
        <v>125</v>
      </c>
      <c r="Y2443" s="389">
        <f t="shared" ref="Y2443:Y2503" si="7837">Y2442</f>
        <v>1</v>
      </c>
      <c r="Z2443" s="400" t="s">
        <v>176</v>
      </c>
      <c r="AA2443" s="402">
        <f t="shared" ref="AA2443" si="7838">(N2443+P2443*R2443/1000)*U2443*W2443*Y2443</f>
        <v>7.1683660800000002</v>
      </c>
      <c r="AB2443" s="403"/>
    </row>
    <row r="2444" spans="1:28">
      <c r="A2444" s="384"/>
      <c r="B2444" s="385"/>
      <c r="C2444" s="393"/>
      <c r="D2444" s="394"/>
      <c r="E2444" s="388"/>
      <c r="F2444" s="388"/>
      <c r="G2444" s="388"/>
      <c r="H2444" s="395"/>
      <c r="I2444" s="388"/>
      <c r="J2444" s="399"/>
      <c r="K2444" s="396"/>
      <c r="L2444" s="396"/>
      <c r="M2444" s="396"/>
      <c r="N2444" s="396"/>
      <c r="O2444" s="396"/>
      <c r="P2444" s="389"/>
      <c r="Q2444" s="396"/>
      <c r="R2444" s="396"/>
      <c r="S2444" s="396"/>
      <c r="T2444" s="396"/>
      <c r="U2444" s="401"/>
      <c r="V2444" s="396"/>
      <c r="W2444" s="388"/>
      <c r="X2444" s="396"/>
      <c r="Y2444" s="389"/>
      <c r="Z2444" s="396"/>
      <c r="AA2444" s="388"/>
      <c r="AB2444" s="390"/>
    </row>
    <row r="2445" spans="1:28">
      <c r="A2445" s="384" t="str">
        <f t="shared" ref="A2445:B2445" si="7839">A2425</f>
        <v>Lantai 1</v>
      </c>
      <c r="B2445" s="385">
        <f t="shared" si="7839"/>
        <v>79</v>
      </c>
      <c r="C2445" s="393" t="s">
        <v>211</v>
      </c>
      <c r="D2445" s="398">
        <f>VLOOKUP(D2425,'Detail Balok'!$C$10:$AU$140,31,FALSE)</f>
        <v>0</v>
      </c>
      <c r="E2445" s="388" t="s">
        <v>16</v>
      </c>
      <c r="F2445" s="388">
        <f>VLOOKUP(D2425,'Detail Balok'!$C$10:$AU$140,33,FALSE)</f>
        <v>10</v>
      </c>
      <c r="G2445" s="405" t="s">
        <v>157</v>
      </c>
      <c r="H2445" s="395">
        <f>VLOOKUP(D2425,'Detail Balok'!$C$10:$AU$140,35,FALSE)</f>
        <v>100</v>
      </c>
      <c r="I2445" s="388"/>
      <c r="J2445" s="400">
        <f t="shared" ref="J2445" si="7840">(IF(D2445=0,(2*(D2426+G2426))-(F$5*8),IF(D2445=3,(2*(D2426+G2426))-(F$5*8)+(G2426-2*F$5),IF(D2445=4,(2*(D2426+G2426))-(F$5*8)+2*(G2426-2*F$5)))))/1000</f>
        <v>0.88</v>
      </c>
      <c r="K2445" s="400" t="s">
        <v>204</v>
      </c>
      <c r="L2445" s="399">
        <f t="shared" ref="L2445:L2447" si="7841">IF(D2445=0,2*MAX(6*F2445,75),(D2445-1)*2*MAX(6*F2445,75))/1000</f>
        <v>0.15</v>
      </c>
      <c r="M2445" s="399" t="s">
        <v>176</v>
      </c>
      <c r="N2445" s="399">
        <f t="shared" ref="N2445:N2447" si="7842">J2445+L2445</f>
        <v>1.03</v>
      </c>
      <c r="O2445" s="399"/>
      <c r="P2445" s="389"/>
      <c r="Q2445" s="399"/>
      <c r="R2445" s="399"/>
      <c r="S2445" s="399"/>
      <c r="T2445" s="399" t="s">
        <v>125</v>
      </c>
      <c r="U2445" s="401">
        <f t="shared" ref="U2445:U2447" si="7843">0.006165*F2445^2</f>
        <v>0.61650000000000005</v>
      </c>
      <c r="V2445" s="399" t="s">
        <v>125</v>
      </c>
      <c r="W2445" s="399">
        <f t="shared" ref="W2445" si="7844">IF(D2428&gt;4*G2426,ROUND(MAX(D2428/4,2*G2426)/H2445,0)+1,ROUND(D2428/H2445,0)+1)</f>
        <v>12</v>
      </c>
      <c r="X2445" s="399" t="s">
        <v>125</v>
      </c>
      <c r="Y2445" s="389">
        <f t="shared" ref="Y2445" si="7845">D2431</f>
        <v>1</v>
      </c>
      <c r="Z2445" s="400" t="s">
        <v>176</v>
      </c>
      <c r="AA2445" s="402">
        <f t="shared" ref="AA2445:AA2447" si="7846">N2445*U2445*W2445*Y2445</f>
        <v>7.6199400000000015</v>
      </c>
      <c r="AB2445" s="403"/>
    </row>
    <row r="2446" spans="1:28">
      <c r="A2446" s="384" t="str">
        <f t="shared" ref="A2446:B2446" si="7847">A2425</f>
        <v>Lantai 1</v>
      </c>
      <c r="B2446" s="385">
        <f t="shared" si="7847"/>
        <v>79</v>
      </c>
      <c r="C2446" s="393" t="s">
        <v>212</v>
      </c>
      <c r="D2446" s="398">
        <f>VLOOKUP(D2425,'Detail Balok'!$C$10:$AU$140,36,FALSE)</f>
        <v>0</v>
      </c>
      <c r="E2446" s="388" t="s">
        <v>16</v>
      </c>
      <c r="F2446" s="388">
        <f>VLOOKUP(D2425,'Detail Balok'!$C$10:$AU$140,38,FALSE)</f>
        <v>10</v>
      </c>
      <c r="G2446" s="405" t="s">
        <v>157</v>
      </c>
      <c r="H2446" s="395">
        <f>VLOOKUP(D2425,'Detail Balok'!$C$10:$AU$140,40,FALSE)</f>
        <v>200</v>
      </c>
      <c r="I2446" s="388"/>
      <c r="J2446" s="400">
        <f t="shared" ref="J2446" si="7848">(IF(D2446=0,(2*(D2426+G2426))-(F$5*8),IF(D2446=3,(2*(D2426+G2426))-(F$5*8)+(G2426-2*F$5),IF(D2446=4,(2*(D2426+G2426))-(F$5*8)+2*(G2426-2*F$5)))))/1000</f>
        <v>0.88</v>
      </c>
      <c r="K2446" s="400" t="s">
        <v>204</v>
      </c>
      <c r="L2446" s="399">
        <f t="shared" si="7841"/>
        <v>0.15</v>
      </c>
      <c r="M2446" s="399" t="s">
        <v>176</v>
      </c>
      <c r="N2446" s="399">
        <f t="shared" si="7842"/>
        <v>1.03</v>
      </c>
      <c r="O2446" s="399"/>
      <c r="P2446" s="389"/>
      <c r="Q2446" s="399"/>
      <c r="R2446" s="399"/>
      <c r="S2446" s="399"/>
      <c r="T2446" s="399" t="s">
        <v>125</v>
      </c>
      <c r="U2446" s="401">
        <f t="shared" si="7843"/>
        <v>0.61650000000000005</v>
      </c>
      <c r="V2446" s="399" t="s">
        <v>125</v>
      </c>
      <c r="W2446" s="399">
        <f t="shared" ref="W2446" si="7849">IF(D2428-MAX(D2428/4,2*G2426)*2&gt;0,ROUND((D2428-MAX(D2428/4,2*G2426)*2)/H2446,0),0)</f>
        <v>0</v>
      </c>
      <c r="X2446" s="399" t="s">
        <v>125</v>
      </c>
      <c r="Y2446" s="389">
        <f t="shared" ref="Y2446" si="7850">D2431</f>
        <v>1</v>
      </c>
      <c r="Z2446" s="400" t="s">
        <v>176</v>
      </c>
      <c r="AA2446" s="402">
        <f t="shared" si="7846"/>
        <v>0</v>
      </c>
      <c r="AB2446" s="403"/>
    </row>
    <row r="2447" spans="1:28">
      <c r="A2447" s="384" t="str">
        <f t="shared" ref="A2447:B2447" si="7851">A2425</f>
        <v>Lantai 1</v>
      </c>
      <c r="B2447" s="385">
        <f t="shared" si="7851"/>
        <v>79</v>
      </c>
      <c r="C2447" s="393" t="s">
        <v>211</v>
      </c>
      <c r="D2447" s="398">
        <f>VLOOKUP(D2425,'Detail Balok'!$C$10:$AU$140,41,FALSE)</f>
        <v>0</v>
      </c>
      <c r="E2447" s="388" t="s">
        <v>16</v>
      </c>
      <c r="F2447" s="388">
        <f>VLOOKUP(D2425,'Detail Balok'!$C$10:$AU$140,43,FALSE)</f>
        <v>10</v>
      </c>
      <c r="G2447" s="405" t="s">
        <v>157</v>
      </c>
      <c r="H2447" s="395">
        <f>VLOOKUP(D2425,'Detail Balok'!$C$10:$AU$140,45,FALSE)</f>
        <v>100</v>
      </c>
      <c r="I2447" s="388"/>
      <c r="J2447" s="400">
        <f t="shared" ref="J2447" si="7852">(IF(D2447=0,(2*(D2426+G2426))-(F$5*8),IF(D2447=3,(2*(D2426+G2426))-(F$5*8)+(G2426-2*F$5),IF(D2447=4,(2*(D2426+G2426))-(F$5*8)+2*(G2426-2*F$5)))))/1000</f>
        <v>0.88</v>
      </c>
      <c r="K2447" s="400" t="s">
        <v>204</v>
      </c>
      <c r="L2447" s="399">
        <f t="shared" si="7841"/>
        <v>0.15</v>
      </c>
      <c r="M2447" s="399" t="s">
        <v>176</v>
      </c>
      <c r="N2447" s="399">
        <f t="shared" si="7842"/>
        <v>1.03</v>
      </c>
      <c r="O2447" s="399"/>
      <c r="P2447" s="389"/>
      <c r="Q2447" s="399"/>
      <c r="R2447" s="399"/>
      <c r="S2447" s="399"/>
      <c r="T2447" s="399" t="s">
        <v>125</v>
      </c>
      <c r="U2447" s="401">
        <f t="shared" si="7843"/>
        <v>0.61650000000000005</v>
      </c>
      <c r="V2447" s="399" t="s">
        <v>125</v>
      </c>
      <c r="W2447" s="399">
        <f t="shared" ref="W2447" si="7853">IF(D2428&gt;4*G2426,ROUND(MAX(D2428/4,2*G2426)/H2447,0)+1,0)</f>
        <v>0</v>
      </c>
      <c r="X2447" s="399" t="s">
        <v>125</v>
      </c>
      <c r="Y2447" s="389">
        <f t="shared" ref="Y2447" si="7854">D2431</f>
        <v>1</v>
      </c>
      <c r="Z2447" s="400" t="s">
        <v>176</v>
      </c>
      <c r="AA2447" s="402">
        <f t="shared" si="7846"/>
        <v>0</v>
      </c>
      <c r="AB2447" s="403"/>
    </row>
    <row r="2448" spans="1:28">
      <c r="A2448" s="384"/>
      <c r="B2448" s="385"/>
      <c r="C2448" s="393"/>
      <c r="D2448" s="394"/>
      <c r="E2448" s="388"/>
      <c r="F2448" s="388"/>
      <c r="G2448" s="388"/>
      <c r="H2448" s="395"/>
      <c r="I2448" s="388"/>
      <c r="J2448" s="399"/>
      <c r="K2448" s="396"/>
      <c r="L2448" s="396"/>
      <c r="M2448" s="396"/>
      <c r="N2448" s="396"/>
      <c r="O2448" s="396"/>
      <c r="P2448" s="389"/>
      <c r="Q2448" s="396"/>
      <c r="R2448" s="396"/>
      <c r="S2448" s="396"/>
      <c r="T2448" s="396"/>
      <c r="U2448" s="401"/>
      <c r="V2448" s="396"/>
      <c r="W2448" s="388"/>
      <c r="X2448" s="396"/>
      <c r="Y2448" s="389"/>
      <c r="Z2448" s="396"/>
      <c r="AA2448" s="388"/>
      <c r="AB2448" s="390"/>
    </row>
    <row r="2449" spans="1:28">
      <c r="A2449" s="384" t="str">
        <f t="shared" ref="A2449:B2449" si="7855">A2425</f>
        <v>Lantai 1</v>
      </c>
      <c r="B2449" s="385">
        <f t="shared" si="7855"/>
        <v>79</v>
      </c>
      <c r="C2449" s="393" t="s">
        <v>213</v>
      </c>
      <c r="D2449" s="398">
        <f>VLOOKUP(D2425,'Detail Balok'!$C$10:$BJ$140,46,FALSE)</f>
        <v>0</v>
      </c>
      <c r="E2449" s="388" t="s">
        <v>16</v>
      </c>
      <c r="F2449" s="388">
        <f>VLOOKUP(D2425,'Detail Balok'!$C$10:$BJ$140,48,FALSE)</f>
        <v>0</v>
      </c>
      <c r="G2449" s="405" t="s">
        <v>157</v>
      </c>
      <c r="H2449" s="395">
        <f>VLOOKUP(D2425,'Detail Balok'!$C$10:$BJ$140,50,FALSE)</f>
        <v>100</v>
      </c>
      <c r="I2449" s="388"/>
      <c r="J2449" s="399">
        <f t="shared" ref="J2449" si="7856">(D2426-2*F$5)/1000</f>
        <v>0.12</v>
      </c>
      <c r="K2449" s="400" t="s">
        <v>204</v>
      </c>
      <c r="L2449" s="399">
        <f t="shared" ref="L2449:L2451" si="7857">IF(D2449=0,2*MAX(6*F2449,75),(D2449-1)*2*MAX(6*F2449,75))/1000</f>
        <v>0.15</v>
      </c>
      <c r="M2449" s="399" t="s">
        <v>176</v>
      </c>
      <c r="N2449" s="399">
        <f t="shared" ref="N2449:N2451" si="7858">J2449+L2449</f>
        <v>0.27</v>
      </c>
      <c r="O2449" s="399"/>
      <c r="P2449" s="399"/>
      <c r="Q2449" s="399"/>
      <c r="R2449" s="399"/>
      <c r="S2449" s="399"/>
      <c r="T2449" s="399" t="s">
        <v>125</v>
      </c>
      <c r="U2449" s="401">
        <f t="shared" ref="U2449:U2451" si="7859">0.006165*F2449^2</f>
        <v>0</v>
      </c>
      <c r="V2449" s="399" t="s">
        <v>125</v>
      </c>
      <c r="W2449" s="399">
        <f t="shared" ref="W2449:W2511" si="7860">W2445</f>
        <v>12</v>
      </c>
      <c r="X2449" s="399" t="s">
        <v>125</v>
      </c>
      <c r="Y2449" s="389">
        <f t="shared" ref="Y2449" si="7861">D2435</f>
        <v>3</v>
      </c>
      <c r="Z2449" s="400" t="s">
        <v>176</v>
      </c>
      <c r="AA2449" s="402">
        <f t="shared" ref="AA2449:AA2451" si="7862">N2449*U2449*W2449*Y2449</f>
        <v>0</v>
      </c>
      <c r="AB2449" s="403"/>
    </row>
    <row r="2450" spans="1:28">
      <c r="A2450" s="384" t="str">
        <f t="shared" ref="A2450:B2450" si="7863">A2425</f>
        <v>Lantai 1</v>
      </c>
      <c r="B2450" s="385">
        <f t="shared" si="7863"/>
        <v>79</v>
      </c>
      <c r="C2450" s="393" t="s">
        <v>214</v>
      </c>
      <c r="D2450" s="398">
        <f>VLOOKUP(D2425,'Detail Balok'!$C$10:$BJ$140,51,FALSE)</f>
        <v>0</v>
      </c>
      <c r="E2450" s="388" t="s">
        <v>16</v>
      </c>
      <c r="F2450" s="388">
        <f>VLOOKUP(D2425,'Detail Balok'!$C$10:$BJ$140,53,FALSE)</f>
        <v>0</v>
      </c>
      <c r="G2450" s="405" t="s">
        <v>157</v>
      </c>
      <c r="H2450" s="395">
        <f>VLOOKUP(D2425,'Detail Balok'!$C$10:$BJ$140,55,FALSE)</f>
        <v>100</v>
      </c>
      <c r="I2450" s="388"/>
      <c r="J2450" s="399">
        <f t="shared" ref="J2450" si="7864">(D2426-2*F$5)/1000</f>
        <v>0.12</v>
      </c>
      <c r="K2450" s="400" t="s">
        <v>204</v>
      </c>
      <c r="L2450" s="399">
        <f t="shared" si="7857"/>
        <v>0.15</v>
      </c>
      <c r="M2450" s="399" t="s">
        <v>176</v>
      </c>
      <c r="N2450" s="399">
        <f t="shared" si="7858"/>
        <v>0.27</v>
      </c>
      <c r="O2450" s="399"/>
      <c r="P2450" s="399"/>
      <c r="Q2450" s="399"/>
      <c r="R2450" s="399"/>
      <c r="S2450" s="399"/>
      <c r="T2450" s="399" t="s">
        <v>125</v>
      </c>
      <c r="U2450" s="401">
        <f t="shared" si="7859"/>
        <v>0</v>
      </c>
      <c r="V2450" s="399" t="s">
        <v>125</v>
      </c>
      <c r="W2450" s="399">
        <f t="shared" si="7860"/>
        <v>0</v>
      </c>
      <c r="X2450" s="399" t="s">
        <v>125</v>
      </c>
      <c r="Y2450" s="389">
        <f t="shared" ref="Y2450" si="7865">D2435</f>
        <v>3</v>
      </c>
      <c r="Z2450" s="400" t="s">
        <v>176</v>
      </c>
      <c r="AA2450" s="402">
        <f t="shared" si="7862"/>
        <v>0</v>
      </c>
      <c r="AB2450" s="403"/>
    </row>
    <row r="2451" spans="1:28">
      <c r="A2451" s="384" t="str">
        <f t="shared" ref="A2451:B2451" si="7866">A2425</f>
        <v>Lantai 1</v>
      </c>
      <c r="B2451" s="385">
        <f t="shared" si="7866"/>
        <v>79</v>
      </c>
      <c r="C2451" s="393" t="s">
        <v>213</v>
      </c>
      <c r="D2451" s="398">
        <f>VLOOKUP(D2425,'Detail Balok'!$C$10:$BJ$140,56,FALSE)</f>
        <v>0</v>
      </c>
      <c r="E2451" s="388" t="s">
        <v>16</v>
      </c>
      <c r="F2451" s="388">
        <f>VLOOKUP(D2425,'Detail Balok'!$C$10:$BJ$140,58,FALSE)</f>
        <v>0</v>
      </c>
      <c r="G2451" s="405" t="s">
        <v>157</v>
      </c>
      <c r="H2451" s="395">
        <f>VLOOKUP(D2425,'Detail Balok'!$C$10:$BJ$140,60,FALSE)</f>
        <v>100</v>
      </c>
      <c r="I2451" s="388"/>
      <c r="J2451" s="399">
        <f t="shared" ref="J2451" si="7867">(D2426-2*F$5)/1000</f>
        <v>0.12</v>
      </c>
      <c r="K2451" s="400" t="s">
        <v>204</v>
      </c>
      <c r="L2451" s="399">
        <f t="shared" si="7857"/>
        <v>0.15</v>
      </c>
      <c r="M2451" s="399" t="s">
        <v>176</v>
      </c>
      <c r="N2451" s="399">
        <f t="shared" si="7858"/>
        <v>0.27</v>
      </c>
      <c r="O2451" s="399"/>
      <c r="P2451" s="399"/>
      <c r="Q2451" s="399"/>
      <c r="R2451" s="399"/>
      <c r="S2451" s="399"/>
      <c r="T2451" s="399" t="s">
        <v>125</v>
      </c>
      <c r="U2451" s="401">
        <f t="shared" si="7859"/>
        <v>0</v>
      </c>
      <c r="V2451" s="399" t="s">
        <v>125</v>
      </c>
      <c r="W2451" s="399">
        <f t="shared" si="7860"/>
        <v>0</v>
      </c>
      <c r="X2451" s="399" t="s">
        <v>125</v>
      </c>
      <c r="Y2451" s="389">
        <f t="shared" ref="Y2451" si="7868">D2435</f>
        <v>3</v>
      </c>
      <c r="Z2451" s="400" t="s">
        <v>176</v>
      </c>
      <c r="AA2451" s="402">
        <f t="shared" si="7862"/>
        <v>0</v>
      </c>
      <c r="AB2451" s="403"/>
    </row>
    <row r="2452" spans="1:28">
      <c r="A2452" s="391"/>
      <c r="B2452" s="392"/>
      <c r="C2452" s="392"/>
      <c r="D2452" s="394"/>
      <c r="E2452" s="388"/>
      <c r="F2452" s="388"/>
      <c r="G2452" s="388"/>
      <c r="H2452" s="395"/>
      <c r="I2452" s="388"/>
      <c r="J2452" s="402"/>
      <c r="K2452" s="388"/>
      <c r="L2452" s="388"/>
      <c r="M2452" s="388"/>
      <c r="N2452" s="388"/>
      <c r="O2452" s="388"/>
      <c r="P2452" s="388"/>
      <c r="Q2452" s="388"/>
      <c r="R2452" s="388"/>
      <c r="S2452" s="388"/>
      <c r="T2452" s="388"/>
      <c r="U2452" s="388"/>
      <c r="V2452" s="388"/>
      <c r="W2452" s="388"/>
      <c r="X2452" s="388"/>
      <c r="Y2452" s="389"/>
      <c r="Z2452" s="388"/>
      <c r="AA2452" s="402"/>
      <c r="AB2452" s="403"/>
    </row>
    <row r="2453" spans="1:28" ht="15.75" thickBot="1">
      <c r="A2453" s="406"/>
      <c r="B2453" s="407"/>
      <c r="C2453" s="407"/>
      <c r="D2453" s="408"/>
      <c r="E2453" s="409"/>
      <c r="F2453" s="409"/>
      <c r="G2453" s="409"/>
      <c r="H2453" s="410"/>
      <c r="I2453" s="409"/>
      <c r="J2453" s="409"/>
      <c r="K2453" s="409"/>
      <c r="L2453" s="409"/>
      <c r="M2453" s="409"/>
      <c r="N2453" s="409"/>
      <c r="O2453" s="409"/>
      <c r="P2453" s="409"/>
      <c r="Q2453" s="409"/>
      <c r="R2453" s="409"/>
      <c r="S2453" s="409"/>
      <c r="T2453" s="409"/>
      <c r="U2453" s="409"/>
      <c r="V2453" s="409"/>
      <c r="W2453" s="409"/>
      <c r="X2453" s="409"/>
      <c r="Y2453" s="411"/>
      <c r="Z2453" s="409"/>
      <c r="AA2453" s="412"/>
      <c r="AB2453" s="413"/>
    </row>
    <row r="2454" spans="1:28">
      <c r="A2454" s="377"/>
      <c r="B2454" s="378"/>
      <c r="C2454" s="378"/>
      <c r="D2454" s="379"/>
      <c r="E2454" s="380"/>
      <c r="F2454" s="380"/>
      <c r="G2454" s="380"/>
      <c r="H2454" s="381"/>
      <c r="I2454" s="380"/>
      <c r="J2454" s="380"/>
      <c r="K2454" s="380"/>
      <c r="L2454" s="380"/>
      <c r="M2454" s="380"/>
      <c r="N2454" s="380"/>
      <c r="O2454" s="380"/>
      <c r="P2454" s="380"/>
      <c r="Q2454" s="380"/>
      <c r="R2454" s="380"/>
      <c r="S2454" s="380"/>
      <c r="T2454" s="380"/>
      <c r="U2454" s="380"/>
      <c r="V2454" s="380"/>
      <c r="W2454" s="380"/>
      <c r="X2454" s="380"/>
      <c r="Y2454" s="382"/>
      <c r="Z2454" s="380"/>
      <c r="AA2454" s="380"/>
      <c r="AB2454" s="383"/>
    </row>
    <row r="2455" spans="1:28">
      <c r="A2455" s="384" t="str">
        <f t="shared" ref="A2455:A2515" si="7869">A2425</f>
        <v>Lantai 1</v>
      </c>
      <c r="B2455" s="385">
        <f t="shared" ref="B2455:B2515" si="7870">B2425+1</f>
        <v>80</v>
      </c>
      <c r="C2455" s="386" t="str">
        <f t="shared" ref="C2455" si="7871">CONCATENATE(A2455," no. ",B2455)</f>
        <v>Lantai 1 no. 80</v>
      </c>
      <c r="D2455" s="2562" t="str">
        <f>VLOOKUP(C2455,'Data Panjang Balok'!$C$9:$N$254,2,FALSE)</f>
        <v>B24-1</v>
      </c>
      <c r="E2455" s="2576"/>
      <c r="F2455" s="2576"/>
      <c r="G2455" s="2576"/>
      <c r="H2455" s="2577"/>
      <c r="I2455" s="387"/>
      <c r="J2455" s="388"/>
      <c r="K2455" s="388"/>
      <c r="L2455" s="388"/>
      <c r="M2455" s="388"/>
      <c r="N2455" s="388"/>
      <c r="O2455" s="388"/>
      <c r="P2455" s="388"/>
      <c r="Q2455" s="388"/>
      <c r="R2455" s="388"/>
      <c r="S2455" s="388"/>
      <c r="T2455" s="388"/>
      <c r="U2455" s="388"/>
      <c r="V2455" s="388"/>
      <c r="W2455" s="388"/>
      <c r="X2455" s="388"/>
      <c r="Y2455" s="389"/>
      <c r="Z2455" s="388"/>
      <c r="AA2455" s="388"/>
      <c r="AB2455" s="390"/>
    </row>
    <row r="2456" spans="1:28">
      <c r="A2456" s="391"/>
      <c r="B2456" s="392"/>
      <c r="C2456" s="393" t="s">
        <v>118</v>
      </c>
      <c r="D2456" s="2578">
        <f>VLOOKUP(D2455,'Detail Balok'!$C$10:$AU$140,2,FALSE)</f>
        <v>200</v>
      </c>
      <c r="E2456" s="2579"/>
      <c r="F2456" s="388" t="s">
        <v>125</v>
      </c>
      <c r="G2456" s="2579">
        <f>VLOOKUP(D2455,'Detail Balok'!$C$10:$AU$140,3,FALSE)</f>
        <v>400</v>
      </c>
      <c r="H2456" s="2580"/>
      <c r="I2456" s="388"/>
      <c r="J2456" s="396"/>
      <c r="K2456" s="396"/>
      <c r="L2456" s="396"/>
      <c r="M2456" s="396"/>
      <c r="N2456" s="396"/>
      <c r="O2456" s="396"/>
      <c r="P2456" s="396"/>
      <c r="Q2456" s="396"/>
      <c r="R2456" s="396"/>
      <c r="S2456" s="396"/>
      <c r="T2456" s="396"/>
      <c r="U2456" s="388"/>
      <c r="V2456" s="396"/>
      <c r="W2456" s="388"/>
      <c r="X2456" s="396"/>
      <c r="Y2456" s="389"/>
      <c r="Z2456" s="396"/>
      <c r="AA2456" s="388"/>
      <c r="AB2456" s="390"/>
    </row>
    <row r="2457" spans="1:28">
      <c r="A2457" s="391"/>
      <c r="B2457" s="392"/>
      <c r="C2457" s="393" t="s">
        <v>198</v>
      </c>
      <c r="D2457" s="2562">
        <f>VLOOKUP(C2455,'Data Panjang Balok'!$C$9:$N$254,4,FALSE)</f>
        <v>3090</v>
      </c>
      <c r="E2457" s="2563"/>
      <c r="F2457" s="2563"/>
      <c r="G2457" s="2563"/>
      <c r="H2457" s="2564"/>
      <c r="I2457" s="397"/>
      <c r="J2457" s="396"/>
      <c r="K2457" s="396"/>
      <c r="L2457" s="396"/>
      <c r="M2457" s="396"/>
      <c r="N2457" s="396"/>
      <c r="O2457" s="396"/>
      <c r="P2457" s="396"/>
      <c r="Q2457" s="396"/>
      <c r="R2457" s="396"/>
      <c r="S2457" s="396"/>
      <c r="T2457" s="396"/>
      <c r="U2457" s="388"/>
      <c r="V2457" s="396"/>
      <c r="W2457" s="388"/>
      <c r="X2457" s="396"/>
      <c r="Y2457" s="389"/>
      <c r="Z2457" s="396"/>
      <c r="AA2457" s="388"/>
      <c r="AB2457" s="390"/>
    </row>
    <row r="2458" spans="1:28">
      <c r="A2458" s="391"/>
      <c r="B2458" s="392"/>
      <c r="C2458" s="393" t="s">
        <v>199</v>
      </c>
      <c r="D2458" s="2562">
        <f>VLOOKUP(C2455,'Data Panjang Balok'!$C$9:$N$254,7,FALSE)</f>
        <v>3090</v>
      </c>
      <c r="E2458" s="2563"/>
      <c r="F2458" s="2563"/>
      <c r="G2458" s="2563"/>
      <c r="H2458" s="2564"/>
      <c r="I2458" s="397"/>
      <c r="J2458" s="396"/>
      <c r="K2458" s="396"/>
      <c r="L2458" s="396"/>
      <c r="M2458" s="396"/>
      <c r="N2458" s="396"/>
      <c r="O2458" s="396"/>
      <c r="P2458" s="396"/>
      <c r="Q2458" s="396"/>
      <c r="R2458" s="396"/>
      <c r="S2458" s="396"/>
      <c r="T2458" s="396"/>
      <c r="U2458" s="388"/>
      <c r="V2458" s="396"/>
      <c r="W2458" s="388"/>
      <c r="X2458" s="396"/>
      <c r="Y2458" s="389"/>
      <c r="Z2458" s="396"/>
      <c r="AA2458" s="388"/>
      <c r="AB2458" s="390"/>
    </row>
    <row r="2459" spans="1:28">
      <c r="A2459" s="391"/>
      <c r="B2459" s="392"/>
      <c r="C2459" s="393" t="s">
        <v>200</v>
      </c>
      <c r="D2459" s="2562">
        <f>VLOOKUP(C2455,'Data Panjang Balok'!$C$9:$N$254,9,FALSE)</f>
        <v>0</v>
      </c>
      <c r="E2459" s="2563"/>
      <c r="F2459" s="2563"/>
      <c r="G2459" s="2563"/>
      <c r="H2459" s="2564"/>
      <c r="I2459" s="397"/>
      <c r="J2459" s="396"/>
      <c r="K2459" s="396"/>
      <c r="L2459" s="396"/>
      <c r="M2459" s="396"/>
      <c r="N2459" s="396"/>
      <c r="O2459" s="396"/>
      <c r="P2459" s="396"/>
      <c r="Q2459" s="396"/>
      <c r="R2459" s="396"/>
      <c r="S2459" s="396"/>
      <c r="T2459" s="396"/>
      <c r="U2459" s="388"/>
      <c r="V2459" s="396"/>
      <c r="W2459" s="388"/>
      <c r="X2459" s="396"/>
      <c r="Y2459" s="389"/>
      <c r="Z2459" s="396"/>
      <c r="AA2459" s="388"/>
      <c r="AB2459" s="390"/>
    </row>
    <row r="2460" spans="1:28">
      <c r="A2460" s="391"/>
      <c r="B2460" s="392"/>
      <c r="C2460" s="393" t="s">
        <v>201</v>
      </c>
      <c r="D2460" s="2562">
        <f>VLOOKUP(C2455,'Data Panjang Balok'!$C$9:$N$254,10,FALSE)</f>
        <v>0</v>
      </c>
      <c r="E2460" s="2563"/>
      <c r="F2460" s="2563"/>
      <c r="G2460" s="2563"/>
      <c r="H2460" s="2564"/>
      <c r="I2460" s="397"/>
      <c r="J2460" s="396"/>
      <c r="K2460" s="396"/>
      <c r="L2460" s="396"/>
      <c r="M2460" s="396"/>
      <c r="N2460" s="396"/>
      <c r="O2460" s="396"/>
      <c r="P2460" s="396"/>
      <c r="Q2460" s="396"/>
      <c r="R2460" s="396"/>
      <c r="S2460" s="396"/>
      <c r="T2460" s="396"/>
      <c r="U2460" s="388"/>
      <c r="V2460" s="396"/>
      <c r="W2460" s="388"/>
      <c r="X2460" s="396"/>
      <c r="Y2460" s="389"/>
      <c r="Z2460" s="396"/>
      <c r="AA2460" s="388"/>
      <c r="AB2460" s="390"/>
    </row>
    <row r="2461" spans="1:28">
      <c r="A2461" s="391"/>
      <c r="B2461" s="392"/>
      <c r="C2461" s="393" t="s">
        <v>48</v>
      </c>
      <c r="D2461" s="2562">
        <f>VLOOKUP(C2455,'Data Panjang Balok'!$C$9:$N$254,3,FALSE)</f>
        <v>1</v>
      </c>
      <c r="E2461" s="2563"/>
      <c r="F2461" s="2563"/>
      <c r="G2461" s="2563"/>
      <c r="H2461" s="2564"/>
      <c r="I2461" s="397"/>
      <c r="J2461" s="396"/>
      <c r="K2461" s="396"/>
      <c r="L2461" s="396"/>
      <c r="M2461" s="396"/>
      <c r="N2461" s="396"/>
      <c r="O2461" s="396"/>
      <c r="P2461" s="396"/>
      <c r="Q2461" s="396"/>
      <c r="R2461" s="396"/>
      <c r="S2461" s="396"/>
      <c r="T2461" s="396"/>
      <c r="U2461" s="388"/>
      <c r="V2461" s="396"/>
      <c r="W2461" s="388"/>
      <c r="X2461" s="396"/>
      <c r="Y2461" s="389"/>
      <c r="Z2461" s="396"/>
      <c r="AA2461" s="388"/>
      <c r="AB2461" s="390"/>
    </row>
    <row r="2462" spans="1:28">
      <c r="A2462" s="384" t="str">
        <f t="shared" ref="A2462:B2462" si="7872">A2455</f>
        <v>Lantai 1</v>
      </c>
      <c r="B2462" s="385">
        <f t="shared" si="7872"/>
        <v>80</v>
      </c>
      <c r="C2462" s="393" t="s">
        <v>202</v>
      </c>
      <c r="D2462" s="398">
        <f>VLOOKUP(D2455,'Detail Balok'!$C$10:$AU$140,4,FALSE)</f>
        <v>3</v>
      </c>
      <c r="E2462" s="388" t="s">
        <v>16</v>
      </c>
      <c r="F2462" s="388">
        <f>VLOOKUP(D2455,'Detail Balok'!$C$10:$AU$140,6,FALSE)</f>
        <v>13</v>
      </c>
      <c r="G2462" s="388"/>
      <c r="H2462" s="395"/>
      <c r="I2462" s="388" t="s">
        <v>203</v>
      </c>
      <c r="J2462" s="399">
        <f t="shared" ref="J2462" si="7873">+D2457/4/1000</f>
        <v>0.77249999999999996</v>
      </c>
      <c r="K2462" s="400" t="s">
        <v>204</v>
      </c>
      <c r="L2462" s="399">
        <f t="shared" ref="L2462" si="7874">MAX(VLOOKUP(F2462,N$6:P$15,3,FALSE)/1000,2/3*D2459/1000)+F$16*F2462/1000</f>
        <v>0.156</v>
      </c>
      <c r="M2462" s="399" t="s">
        <v>176</v>
      </c>
      <c r="N2462" s="399">
        <f t="shared" ref="N2462:N2464" si="7875">J2462+L2462</f>
        <v>0.92849999999999999</v>
      </c>
      <c r="O2462" s="399" t="s">
        <v>204</v>
      </c>
      <c r="P2462" s="389">
        <f t="shared" ref="P2462" si="7876">D2462-D2463</f>
        <v>0</v>
      </c>
      <c r="Q2462" s="399" t="s">
        <v>125</v>
      </c>
      <c r="R2462" s="399">
        <f t="shared" ref="R2462" si="7877">IF(P2462&gt;0,$F$18*F2462/1000,0)</f>
        <v>0</v>
      </c>
      <c r="S2462" s="399" t="s">
        <v>205</v>
      </c>
      <c r="T2462" s="399" t="s">
        <v>125</v>
      </c>
      <c r="U2462" s="401">
        <f t="shared" ref="U2462:U2464" si="7878">0.006165*F2462^2</f>
        <v>1.041885</v>
      </c>
      <c r="V2462" s="399"/>
      <c r="W2462" s="399"/>
      <c r="X2462" s="399" t="s">
        <v>125</v>
      </c>
      <c r="Y2462" s="389">
        <f t="shared" ref="Y2462" si="7879">D2461</f>
        <v>1</v>
      </c>
      <c r="Z2462" s="400" t="s">
        <v>176</v>
      </c>
      <c r="AA2462" s="402">
        <f t="shared" ref="AA2462" si="7880">IF(AA2465=0,(D2462*N2462+P2462*R2462)*U2462*Y2462,0)</f>
        <v>0</v>
      </c>
      <c r="AB2462" s="403"/>
    </row>
    <row r="2463" spans="1:28">
      <c r="A2463" s="384" t="str">
        <f t="shared" ref="A2463:B2463" si="7881">A2455</f>
        <v>Lantai 1</v>
      </c>
      <c r="B2463" s="385">
        <f t="shared" si="7881"/>
        <v>80</v>
      </c>
      <c r="C2463" s="393" t="s">
        <v>206</v>
      </c>
      <c r="D2463" s="398">
        <f>VLOOKUP(D2455,'Detail Balok'!$C$10:$AU$140,7,FALSE)</f>
        <v>3</v>
      </c>
      <c r="E2463" s="388" t="s">
        <v>16</v>
      </c>
      <c r="F2463" s="388">
        <f>VLOOKUP(D2455,'Detail Balok'!$C$10:$AU$140,9,FALSE)</f>
        <v>13</v>
      </c>
      <c r="G2463" s="388"/>
      <c r="H2463" s="395"/>
      <c r="I2463" s="388" t="s">
        <v>203</v>
      </c>
      <c r="J2463" s="399">
        <f t="shared" ref="J2463" si="7882">+D2457/2/1000</f>
        <v>1.5449999999999999</v>
      </c>
      <c r="K2463" s="400" t="s">
        <v>204</v>
      </c>
      <c r="L2463" s="399"/>
      <c r="M2463" s="399" t="s">
        <v>176</v>
      </c>
      <c r="N2463" s="399">
        <f t="shared" si="7875"/>
        <v>1.5449999999999999</v>
      </c>
      <c r="O2463" s="399" t="s">
        <v>204</v>
      </c>
      <c r="P2463" s="389">
        <f t="shared" ref="P2463" si="7883">MAX(D2463-D2462,D2463-D2464)</f>
        <v>0</v>
      </c>
      <c r="Q2463" s="399" t="s">
        <v>125</v>
      </c>
      <c r="R2463" s="399">
        <f t="shared" ref="R2463" si="7884">IF(P2463&gt;0,2*(1-2*$F$19-1/2)*D2458/1000,0)</f>
        <v>0</v>
      </c>
      <c r="S2463" s="399" t="s">
        <v>205</v>
      </c>
      <c r="T2463" s="399" t="s">
        <v>125</v>
      </c>
      <c r="U2463" s="401">
        <f t="shared" si="7878"/>
        <v>1.041885</v>
      </c>
      <c r="V2463" s="399"/>
      <c r="W2463" s="399"/>
      <c r="X2463" s="399" t="s">
        <v>125</v>
      </c>
      <c r="Y2463" s="389">
        <f t="shared" ref="Y2463" si="7885">D2461</f>
        <v>1</v>
      </c>
      <c r="Z2463" s="400" t="s">
        <v>176</v>
      </c>
      <c r="AA2463" s="402">
        <f t="shared" ref="AA2463" si="7886">IF(AA2465=0,(D2463*N2463+P2463*R2463)*U2463*Y2463,0)</f>
        <v>0</v>
      </c>
      <c r="AB2463" s="403"/>
    </row>
    <row r="2464" spans="1:28">
      <c r="A2464" s="384" t="str">
        <f t="shared" ref="A2464:B2464" si="7887">A2455</f>
        <v>Lantai 1</v>
      </c>
      <c r="B2464" s="385">
        <f t="shared" si="7887"/>
        <v>80</v>
      </c>
      <c r="C2464" s="393" t="s">
        <v>202</v>
      </c>
      <c r="D2464" s="398">
        <f>VLOOKUP(D2455,'Detail Balok'!$C$10:$AU$140,10,FALSE)</f>
        <v>3</v>
      </c>
      <c r="E2464" s="388" t="s">
        <v>16</v>
      </c>
      <c r="F2464" s="388">
        <f>VLOOKUP(D2455,'Detail Balok'!$C$10:$AU$140,12,FALSE)</f>
        <v>13</v>
      </c>
      <c r="G2464" s="388"/>
      <c r="H2464" s="395"/>
      <c r="I2464" s="388" t="s">
        <v>203</v>
      </c>
      <c r="J2464" s="399">
        <f t="shared" ref="J2464" si="7888">+D2457/4/1000</f>
        <v>0.77249999999999996</v>
      </c>
      <c r="K2464" s="400" t="s">
        <v>204</v>
      </c>
      <c r="L2464" s="399">
        <f t="shared" ref="L2464" si="7889">MAX(VLOOKUP(F2464,N$6:P$15,3,FALSE)/1000,2/3*D2459/1000)+F$16*F2464/1000</f>
        <v>0.156</v>
      </c>
      <c r="M2464" s="399" t="s">
        <v>176</v>
      </c>
      <c r="N2464" s="399">
        <f t="shared" si="7875"/>
        <v>0.92849999999999999</v>
      </c>
      <c r="O2464" s="399" t="s">
        <v>204</v>
      </c>
      <c r="P2464" s="389">
        <f t="shared" ref="P2464" si="7890">D2464-D2463</f>
        <v>0</v>
      </c>
      <c r="Q2464" s="399" t="s">
        <v>125</v>
      </c>
      <c r="R2464" s="399">
        <f t="shared" ref="R2464" si="7891">IF(P2464&gt;0,$F$18*F2464/1000,0)</f>
        <v>0</v>
      </c>
      <c r="S2464" s="399" t="s">
        <v>205</v>
      </c>
      <c r="T2464" s="399" t="s">
        <v>125</v>
      </c>
      <c r="U2464" s="401">
        <f t="shared" si="7878"/>
        <v>1.041885</v>
      </c>
      <c r="V2464" s="399"/>
      <c r="W2464" s="399"/>
      <c r="X2464" s="399" t="s">
        <v>125</v>
      </c>
      <c r="Y2464" s="389">
        <f t="shared" ref="Y2464" si="7892">D2461</f>
        <v>1</v>
      </c>
      <c r="Z2464" s="400" t="s">
        <v>176</v>
      </c>
      <c r="AA2464" s="402">
        <f t="shared" ref="AA2464" si="7893">IF(AA2465=0,(D2464*N2464+P2464*R2464)*U2464*Y2464,0)</f>
        <v>0</v>
      </c>
      <c r="AB2464" s="403"/>
    </row>
    <row r="2465" spans="1:28">
      <c r="A2465" s="384" t="str">
        <f t="shared" ref="A2465:B2465" si="7894">A2455</f>
        <v>Lantai 1</v>
      </c>
      <c r="B2465" s="385">
        <f t="shared" si="7894"/>
        <v>80</v>
      </c>
      <c r="C2465" s="393"/>
      <c r="D2465" s="398">
        <f t="shared" si="7790"/>
        <v>3</v>
      </c>
      <c r="E2465" s="388" t="s">
        <v>16</v>
      </c>
      <c r="F2465" s="388">
        <f t="shared" si="7791"/>
        <v>13</v>
      </c>
      <c r="G2465" s="388"/>
      <c r="H2465" s="395"/>
      <c r="I2465" s="388"/>
      <c r="J2465" s="396"/>
      <c r="K2465" s="396"/>
      <c r="L2465" s="404" t="s">
        <v>207</v>
      </c>
      <c r="M2465" s="399" t="s">
        <v>176</v>
      </c>
      <c r="N2465" s="399">
        <f t="shared" ref="N2465" si="7895">IF(AND(D2462=D2463,D2462=D2464,D2463=D2464,F2462=F2463,F2462=F2464,F2463=F2464),SUM(N2462:N2464),0)</f>
        <v>3.4020000000000001</v>
      </c>
      <c r="O2465" s="399" t="s">
        <v>204</v>
      </c>
      <c r="P2465" s="389">
        <f t="shared" ref="P2465" si="7896">IF(N2465&gt;12,ROUNDDOWN(N2465/12,0),0)</f>
        <v>0</v>
      </c>
      <c r="Q2465" s="399" t="s">
        <v>125</v>
      </c>
      <c r="R2465" s="399">
        <f t="shared" ref="R2465" si="7897">IF(P2465&gt;0,MAX(VLOOKUP(F2465,$D$6:$G$15,3,FALSE),600),0)/1000</f>
        <v>0</v>
      </c>
      <c r="S2465" s="396"/>
      <c r="T2465" s="396" t="s">
        <v>125</v>
      </c>
      <c r="U2465" s="401">
        <f t="shared" si="7795"/>
        <v>1.041885</v>
      </c>
      <c r="V2465" s="396" t="s">
        <v>125</v>
      </c>
      <c r="W2465" s="399">
        <f t="shared" ref="W2465" si="7898">D2465</f>
        <v>3</v>
      </c>
      <c r="X2465" s="399" t="s">
        <v>125</v>
      </c>
      <c r="Y2465" s="389">
        <f t="shared" si="7797"/>
        <v>1</v>
      </c>
      <c r="Z2465" s="400" t="s">
        <v>176</v>
      </c>
      <c r="AA2465" s="402">
        <f t="shared" ref="AA2465" si="7899">(N2465+P2465*R2465/1000)*U2465*W2465*Y2465</f>
        <v>10.633478310000001</v>
      </c>
      <c r="AB2465" s="390"/>
    </row>
    <row r="2466" spans="1:28">
      <c r="A2466" s="384"/>
      <c r="B2466" s="385"/>
      <c r="C2466" s="393"/>
      <c r="D2466" s="398"/>
      <c r="E2466" s="388"/>
      <c r="F2466" s="388"/>
      <c r="G2466" s="388"/>
      <c r="H2466" s="395"/>
      <c r="I2466" s="388"/>
      <c r="J2466" s="396"/>
      <c r="K2466" s="396"/>
      <c r="L2466" s="404"/>
      <c r="M2466" s="399"/>
      <c r="N2466" s="399"/>
      <c r="O2466" s="396"/>
      <c r="P2466" s="389"/>
      <c r="Q2466" s="396"/>
      <c r="R2466" s="396"/>
      <c r="S2466" s="396"/>
      <c r="T2466" s="396"/>
      <c r="U2466" s="401"/>
      <c r="V2466" s="396"/>
      <c r="W2466" s="399"/>
      <c r="X2466" s="396"/>
      <c r="Y2466" s="389"/>
      <c r="Z2466" s="396"/>
      <c r="AA2466" s="388"/>
      <c r="AB2466" s="390"/>
    </row>
    <row r="2467" spans="1:28">
      <c r="A2467" s="384" t="str">
        <f t="shared" ref="A2467:B2467" si="7900">A2455</f>
        <v>Lantai 1</v>
      </c>
      <c r="B2467" s="385">
        <f t="shared" si="7900"/>
        <v>80</v>
      </c>
      <c r="C2467" s="393" t="s">
        <v>208</v>
      </c>
      <c r="D2467" s="398">
        <f>VLOOKUP(D2455,'Detail Balok'!$C$10:$AU$140,13,FALSE)</f>
        <v>0</v>
      </c>
      <c r="E2467" s="388" t="s">
        <v>16</v>
      </c>
      <c r="F2467" s="388">
        <f>VLOOKUP(D2455,'Detail Balok'!$C$10:$AU$140,15,FALSE)</f>
        <v>8</v>
      </c>
      <c r="G2467" s="388"/>
      <c r="H2467" s="395"/>
      <c r="I2467" s="388"/>
      <c r="J2467" s="399">
        <f t="shared" ref="J2467" si="7901">+D2457/1000</f>
        <v>3.09</v>
      </c>
      <c r="K2467" s="400" t="s">
        <v>204</v>
      </c>
      <c r="L2467" s="399">
        <f t="shared" ref="L2467" si="7902">2*$F$16*F2467/1000</f>
        <v>0.192</v>
      </c>
      <c r="M2467" s="399" t="s">
        <v>176</v>
      </c>
      <c r="N2467" s="399">
        <f t="shared" ref="N2467" si="7903">J2467+L2467</f>
        <v>3.282</v>
      </c>
      <c r="O2467" s="399" t="s">
        <v>204</v>
      </c>
      <c r="P2467" s="389">
        <f t="shared" ref="P2467" si="7904">IF(N2467&gt;12,ROUNDDOWN(N2467/12,0),0)</f>
        <v>0</v>
      </c>
      <c r="Q2467" s="399" t="s">
        <v>125</v>
      </c>
      <c r="R2467" s="399">
        <f t="shared" ref="R2467" si="7905">IF(P2467&gt;0,MAX(VLOOKUP(F2467,$D$6:$G$15,3,FALSE),600),0)/1000</f>
        <v>0</v>
      </c>
      <c r="S2467" s="399"/>
      <c r="T2467" s="399" t="s">
        <v>125</v>
      </c>
      <c r="U2467" s="401">
        <f t="shared" ref="U2467" si="7906">0.006165*F2467^2</f>
        <v>0.39456000000000002</v>
      </c>
      <c r="V2467" s="399" t="s">
        <v>125</v>
      </c>
      <c r="W2467" s="399">
        <f t="shared" ref="W2467" si="7907">+D2467</f>
        <v>0</v>
      </c>
      <c r="X2467" s="399" t="s">
        <v>125</v>
      </c>
      <c r="Y2467" s="389">
        <f t="shared" ref="Y2467" si="7908">D2461</f>
        <v>1</v>
      </c>
      <c r="Z2467" s="400" t="s">
        <v>176</v>
      </c>
      <c r="AA2467" s="402">
        <f t="shared" ref="AA2467" si="7909">(N2467+P2467*R2467/1000)*U2467*W2467*Y2467</f>
        <v>0</v>
      </c>
      <c r="AB2467" s="403"/>
    </row>
    <row r="2468" spans="1:28">
      <c r="A2468" s="384"/>
      <c r="B2468" s="385"/>
      <c r="C2468" s="393"/>
      <c r="D2468" s="398"/>
      <c r="E2468" s="388"/>
      <c r="F2468" s="388"/>
      <c r="G2468" s="388"/>
      <c r="H2468" s="395"/>
      <c r="I2468" s="388"/>
      <c r="J2468" s="399"/>
      <c r="K2468" s="400"/>
      <c r="L2468" s="399"/>
      <c r="M2468" s="399"/>
      <c r="N2468" s="399"/>
      <c r="O2468" s="399"/>
      <c r="P2468" s="389"/>
      <c r="Q2468" s="399"/>
      <c r="R2468" s="399"/>
      <c r="S2468" s="399"/>
      <c r="T2468" s="399"/>
      <c r="U2468" s="401"/>
      <c r="V2468" s="399"/>
      <c r="W2468" s="399"/>
      <c r="X2468" s="399"/>
      <c r="Y2468" s="389"/>
      <c r="Z2468" s="400"/>
      <c r="AA2468" s="402"/>
      <c r="AB2468" s="403"/>
    </row>
    <row r="2469" spans="1:28">
      <c r="A2469" s="384"/>
      <c r="B2469" s="385"/>
      <c r="C2469" s="393"/>
      <c r="D2469" s="398"/>
      <c r="E2469" s="388"/>
      <c r="F2469" s="388"/>
      <c r="G2469" s="388"/>
      <c r="H2469" s="395"/>
      <c r="I2469" s="388"/>
      <c r="J2469" s="396"/>
      <c r="K2469" s="396"/>
      <c r="L2469" s="396"/>
      <c r="M2469" s="396"/>
      <c r="N2469" s="396"/>
      <c r="O2469" s="396"/>
      <c r="P2469" s="389"/>
      <c r="Q2469" s="396"/>
      <c r="R2469" s="396"/>
      <c r="S2469" s="396"/>
      <c r="T2469" s="396"/>
      <c r="U2469" s="401"/>
      <c r="V2469" s="396"/>
      <c r="W2469" s="399"/>
      <c r="X2469" s="396"/>
      <c r="Y2469" s="389"/>
      <c r="Z2469" s="396"/>
      <c r="AA2469" s="388"/>
      <c r="AB2469" s="390"/>
    </row>
    <row r="2470" spans="1:28">
      <c r="A2470" s="384" t="str">
        <f t="shared" ref="A2470:B2470" si="7910">A2455</f>
        <v>Lantai 1</v>
      </c>
      <c r="B2470" s="385">
        <f t="shared" si="7910"/>
        <v>80</v>
      </c>
      <c r="C2470" s="393" t="s">
        <v>209</v>
      </c>
      <c r="D2470" s="398">
        <f>VLOOKUP(D2455,'Detail Balok'!$C$10:$AU$140,22,FALSE)</f>
        <v>3</v>
      </c>
      <c r="E2470" s="388" t="s">
        <v>16</v>
      </c>
      <c r="F2470" s="388">
        <f>VLOOKUP(D2455,'Detail Balok'!$C$10:$AU$140,24,FALSE)</f>
        <v>13</v>
      </c>
      <c r="G2470" s="388"/>
      <c r="H2470" s="395"/>
      <c r="I2470" s="388" t="s">
        <v>203</v>
      </c>
      <c r="J2470" s="399">
        <f t="shared" si="7810"/>
        <v>0.77249999999999996</v>
      </c>
      <c r="K2470" s="400" t="s">
        <v>204</v>
      </c>
      <c r="L2470" s="399">
        <f t="shared" ref="L2470" si="7911">MAX(VLOOKUP(F2470,N$6:P$15,3,FALSE)/1000,2/3*D2460/1000)+F$16*F2470/1000</f>
        <v>0.156</v>
      </c>
      <c r="M2470" s="399" t="s">
        <v>176</v>
      </c>
      <c r="N2470" s="399">
        <f t="shared" ref="N2470:N2472" si="7912">J2470+L2470</f>
        <v>0.92849999999999999</v>
      </c>
      <c r="O2470" s="399" t="s">
        <v>204</v>
      </c>
      <c r="P2470" s="389">
        <f t="shared" ref="P2470" si="7913">D2470-D2471</f>
        <v>0</v>
      </c>
      <c r="Q2470" s="399" t="s">
        <v>125</v>
      </c>
      <c r="R2470" s="399">
        <f t="shared" ref="R2470" si="7914">IF(P2470&gt;0,$F$18*F2470/1000,0)</f>
        <v>0</v>
      </c>
      <c r="S2470" s="399" t="s">
        <v>205</v>
      </c>
      <c r="T2470" s="399" t="s">
        <v>125</v>
      </c>
      <c r="U2470" s="401">
        <f t="shared" ref="U2470:U2472" si="7915">0.006165*F2470^2</f>
        <v>1.041885</v>
      </c>
      <c r="V2470" s="399"/>
      <c r="W2470" s="399"/>
      <c r="X2470" s="399" t="s">
        <v>125</v>
      </c>
      <c r="Y2470" s="389">
        <f t="shared" ref="Y2470" si="7916">D2461</f>
        <v>1</v>
      </c>
      <c r="Z2470" s="400" t="s">
        <v>176</v>
      </c>
      <c r="AA2470" s="402">
        <f t="shared" ref="AA2470" si="7917">IF(AA2473=0,(D2470*N2470+P2470*R2470)*U2470*Y2470,0)</f>
        <v>0</v>
      </c>
      <c r="AB2470" s="403"/>
    </row>
    <row r="2471" spans="1:28">
      <c r="A2471" s="384" t="str">
        <f t="shared" ref="A2471:B2471" si="7918">A2455</f>
        <v>Lantai 1</v>
      </c>
      <c r="B2471" s="385">
        <f t="shared" si="7918"/>
        <v>80</v>
      </c>
      <c r="C2471" s="393" t="s">
        <v>210</v>
      </c>
      <c r="D2471" s="398">
        <f>VLOOKUP(D2455,'Detail Balok'!$C$10:$AU$140,25,FALSE)</f>
        <v>3</v>
      </c>
      <c r="E2471" s="388" t="s">
        <v>16</v>
      </c>
      <c r="F2471" s="388">
        <f>VLOOKUP(D2455,'Detail Balok'!$C$10:$AU$140,27,FALSE)</f>
        <v>13</v>
      </c>
      <c r="G2471" s="388"/>
      <c r="H2471" s="395"/>
      <c r="I2471" s="388" t="s">
        <v>203</v>
      </c>
      <c r="J2471" s="399">
        <f t="shared" si="7810"/>
        <v>1.5449999999999999</v>
      </c>
      <c r="K2471" s="400" t="s">
        <v>204</v>
      </c>
      <c r="L2471" s="399"/>
      <c r="M2471" s="399" t="s">
        <v>176</v>
      </c>
      <c r="N2471" s="399">
        <f t="shared" si="7912"/>
        <v>1.5449999999999999</v>
      </c>
      <c r="O2471" s="399" t="s">
        <v>204</v>
      </c>
      <c r="P2471" s="389">
        <f t="shared" ref="P2471" si="7919">MAX(D2471-D2470,D2471-D2472)</f>
        <v>0</v>
      </c>
      <c r="Q2471" s="399" t="s">
        <v>125</v>
      </c>
      <c r="R2471" s="399">
        <f t="shared" ref="R2471" si="7920">IF(P2471&gt;0,2*(1-2*$F$19-1/2)*D2458/1000,0)</f>
        <v>0</v>
      </c>
      <c r="S2471" s="399" t="s">
        <v>205</v>
      </c>
      <c r="T2471" s="399" t="s">
        <v>125</v>
      </c>
      <c r="U2471" s="401">
        <f t="shared" si="7915"/>
        <v>1.041885</v>
      </c>
      <c r="V2471" s="399"/>
      <c r="W2471" s="399"/>
      <c r="X2471" s="399" t="s">
        <v>125</v>
      </c>
      <c r="Y2471" s="389">
        <f t="shared" ref="Y2471" si="7921">D2461</f>
        <v>1</v>
      </c>
      <c r="Z2471" s="400" t="s">
        <v>176</v>
      </c>
      <c r="AA2471" s="402">
        <f t="shared" ref="AA2471" si="7922">IF(AA2473=0,(D2471*N2471+P2471*R2471)*U2471*Y2471,0)</f>
        <v>0</v>
      </c>
      <c r="AB2471" s="403"/>
    </row>
    <row r="2472" spans="1:28">
      <c r="A2472" s="384" t="str">
        <f t="shared" ref="A2472:B2472" si="7923">A2455</f>
        <v>Lantai 1</v>
      </c>
      <c r="B2472" s="385">
        <f t="shared" si="7923"/>
        <v>80</v>
      </c>
      <c r="C2472" s="393" t="s">
        <v>209</v>
      </c>
      <c r="D2472" s="398">
        <f>VLOOKUP(D2455,'Detail Balok'!$C$10:$AU$140,28,FALSE)</f>
        <v>3</v>
      </c>
      <c r="E2472" s="388" t="s">
        <v>16</v>
      </c>
      <c r="F2472" s="388">
        <f>VLOOKUP(D2455,'Detail Balok'!$C$10:$AU$140,30,FALSE)</f>
        <v>13</v>
      </c>
      <c r="G2472" s="388"/>
      <c r="H2472" s="395"/>
      <c r="I2472" s="388" t="s">
        <v>203</v>
      </c>
      <c r="J2472" s="399">
        <f t="shared" si="7810"/>
        <v>0.77249999999999996</v>
      </c>
      <c r="K2472" s="400" t="s">
        <v>204</v>
      </c>
      <c r="L2472" s="399">
        <f t="shared" ref="L2472" si="7924">MAX(VLOOKUP(F2472,N$6:P$15,3,FALSE)/1000,2/3*D2460/1000)+F$16*F2472/1000</f>
        <v>0.156</v>
      </c>
      <c r="M2472" s="399" t="s">
        <v>176</v>
      </c>
      <c r="N2472" s="399">
        <f t="shared" si="7912"/>
        <v>0.92849999999999999</v>
      </c>
      <c r="O2472" s="399" t="s">
        <v>204</v>
      </c>
      <c r="P2472" s="389">
        <f t="shared" ref="P2472" si="7925">D2472-D2471</f>
        <v>0</v>
      </c>
      <c r="Q2472" s="399" t="s">
        <v>125</v>
      </c>
      <c r="R2472" s="399">
        <f t="shared" ref="R2472" si="7926">IF(P2472&gt;0,$F$18*F2472/1000,0)</f>
        <v>0</v>
      </c>
      <c r="S2472" s="399" t="s">
        <v>205</v>
      </c>
      <c r="T2472" s="399" t="s">
        <v>125</v>
      </c>
      <c r="U2472" s="401">
        <f t="shared" si="7915"/>
        <v>1.041885</v>
      </c>
      <c r="V2472" s="399"/>
      <c r="W2472" s="399"/>
      <c r="X2472" s="399" t="s">
        <v>125</v>
      </c>
      <c r="Y2472" s="389">
        <f t="shared" ref="Y2472" si="7927">D2461</f>
        <v>1</v>
      </c>
      <c r="Z2472" s="400" t="s">
        <v>176</v>
      </c>
      <c r="AA2472" s="402">
        <f t="shared" ref="AA2472" si="7928">IF(AA2473=0,(D2472*N2472+P2472*R2472)*U2472*Y2472,0)</f>
        <v>0</v>
      </c>
      <c r="AB2472" s="403"/>
    </row>
    <row r="2473" spans="1:28">
      <c r="A2473" s="384" t="str">
        <f t="shared" ref="A2473:B2473" si="7929">A2455</f>
        <v>Lantai 1</v>
      </c>
      <c r="B2473" s="385">
        <f t="shared" si="7929"/>
        <v>80</v>
      </c>
      <c r="C2473" s="393"/>
      <c r="D2473" s="398">
        <f t="shared" si="7830"/>
        <v>3</v>
      </c>
      <c r="E2473" s="388" t="s">
        <v>16</v>
      </c>
      <c r="F2473" s="388">
        <f t="shared" si="7831"/>
        <v>13</v>
      </c>
      <c r="G2473" s="388"/>
      <c r="H2473" s="395"/>
      <c r="I2473" s="388"/>
      <c r="J2473" s="396"/>
      <c r="K2473" s="396"/>
      <c r="L2473" s="404" t="s">
        <v>207</v>
      </c>
      <c r="M2473" s="399" t="s">
        <v>176</v>
      </c>
      <c r="N2473" s="399">
        <f t="shared" ref="N2473" si="7930">IF(AND(D2470=D2471,D2470=D2472,D2471=D2472,F2470=F2471,F2470=F2472,F2471=F2472),SUM(N2470:N2472),0)</f>
        <v>3.4020000000000001</v>
      </c>
      <c r="O2473" s="399" t="s">
        <v>204</v>
      </c>
      <c r="P2473" s="389">
        <f t="shared" ref="P2473" si="7931">IF(N2473&gt;12,ROUNDDOWN(N2473/12,0),0)</f>
        <v>0</v>
      </c>
      <c r="Q2473" s="399" t="s">
        <v>125</v>
      </c>
      <c r="R2473" s="399">
        <f t="shared" ref="R2473" si="7932">IF(P2473&gt;0,MAX(VLOOKUP(F2473,$D$6:$G$15,3,FALSE),600),0)/1000</f>
        <v>0</v>
      </c>
      <c r="S2473" s="396"/>
      <c r="T2473" s="396" t="s">
        <v>125</v>
      </c>
      <c r="U2473" s="401">
        <f t="shared" si="7835"/>
        <v>1.041885</v>
      </c>
      <c r="V2473" s="396" t="s">
        <v>125</v>
      </c>
      <c r="W2473" s="399">
        <f t="shared" ref="W2473" si="7933">D2473</f>
        <v>3</v>
      </c>
      <c r="X2473" s="399" t="s">
        <v>125</v>
      </c>
      <c r="Y2473" s="389">
        <f t="shared" si="7837"/>
        <v>1</v>
      </c>
      <c r="Z2473" s="400" t="s">
        <v>176</v>
      </c>
      <c r="AA2473" s="402">
        <f t="shared" ref="AA2473" si="7934">(N2473+P2473*R2473/1000)*U2473*W2473*Y2473</f>
        <v>10.633478310000001</v>
      </c>
      <c r="AB2473" s="403"/>
    </row>
    <row r="2474" spans="1:28">
      <c r="A2474" s="384"/>
      <c r="B2474" s="385"/>
      <c r="C2474" s="393"/>
      <c r="D2474" s="394"/>
      <c r="E2474" s="388"/>
      <c r="F2474" s="388"/>
      <c r="G2474" s="388"/>
      <c r="H2474" s="395"/>
      <c r="I2474" s="388"/>
      <c r="J2474" s="399"/>
      <c r="K2474" s="396"/>
      <c r="L2474" s="396"/>
      <c r="M2474" s="396"/>
      <c r="N2474" s="396"/>
      <c r="O2474" s="396"/>
      <c r="P2474" s="389"/>
      <c r="Q2474" s="396"/>
      <c r="R2474" s="396"/>
      <c r="S2474" s="396"/>
      <c r="T2474" s="396"/>
      <c r="U2474" s="401"/>
      <c r="V2474" s="396"/>
      <c r="W2474" s="388"/>
      <c r="X2474" s="396"/>
      <c r="Y2474" s="389"/>
      <c r="Z2474" s="396"/>
      <c r="AA2474" s="388"/>
      <c r="AB2474" s="390"/>
    </row>
    <row r="2475" spans="1:28">
      <c r="A2475" s="384" t="str">
        <f t="shared" ref="A2475:B2475" si="7935">A2455</f>
        <v>Lantai 1</v>
      </c>
      <c r="B2475" s="385">
        <f t="shared" si="7935"/>
        <v>80</v>
      </c>
      <c r="C2475" s="393" t="s">
        <v>211</v>
      </c>
      <c r="D2475" s="398">
        <f>VLOOKUP(D2455,'Detail Balok'!$C$10:$AU$140,31,FALSE)</f>
        <v>0</v>
      </c>
      <c r="E2475" s="388" t="s">
        <v>16</v>
      </c>
      <c r="F2475" s="388">
        <f>VLOOKUP(D2455,'Detail Balok'!$C$10:$AU$140,33,FALSE)</f>
        <v>10</v>
      </c>
      <c r="G2475" s="405" t="s">
        <v>157</v>
      </c>
      <c r="H2475" s="395">
        <f>VLOOKUP(D2455,'Detail Balok'!$C$10:$AU$140,35,FALSE)</f>
        <v>100</v>
      </c>
      <c r="I2475" s="388"/>
      <c r="J2475" s="400">
        <f t="shared" ref="J2475" si="7936">(IF(D2475=0,(2*(D2456+G2456))-(F$5*8),IF(D2475=3,(2*(D2456+G2456))-(F$5*8)+(G2456-2*F$5),IF(D2475=4,(2*(D2456+G2456))-(F$5*8)+2*(G2456-2*F$5)))))/1000</f>
        <v>0.88</v>
      </c>
      <c r="K2475" s="400" t="s">
        <v>204</v>
      </c>
      <c r="L2475" s="399">
        <f t="shared" ref="L2475:L2477" si="7937">IF(D2475=0,2*MAX(6*F2475,75),(D2475-1)*2*MAX(6*F2475,75))/1000</f>
        <v>0.15</v>
      </c>
      <c r="M2475" s="399" t="s">
        <v>176</v>
      </c>
      <c r="N2475" s="399">
        <f t="shared" ref="N2475:N2477" si="7938">J2475+L2475</f>
        <v>1.03</v>
      </c>
      <c r="O2475" s="399"/>
      <c r="P2475" s="389"/>
      <c r="Q2475" s="399"/>
      <c r="R2475" s="399"/>
      <c r="S2475" s="399"/>
      <c r="T2475" s="399" t="s">
        <v>125</v>
      </c>
      <c r="U2475" s="401">
        <f t="shared" ref="U2475:U2477" si="7939">0.006165*F2475^2</f>
        <v>0.61650000000000005</v>
      </c>
      <c r="V2475" s="399" t="s">
        <v>125</v>
      </c>
      <c r="W2475" s="399">
        <f t="shared" ref="W2475" si="7940">IF(D2458&gt;4*G2456,ROUND(MAX(D2458/4,2*G2456)/H2475,0)+1,ROUND(D2458/H2475,0)+1)</f>
        <v>9</v>
      </c>
      <c r="X2475" s="399" t="s">
        <v>125</v>
      </c>
      <c r="Y2475" s="389">
        <f t="shared" ref="Y2475" si="7941">D2461</f>
        <v>1</v>
      </c>
      <c r="Z2475" s="400" t="s">
        <v>176</v>
      </c>
      <c r="AA2475" s="402">
        <f t="shared" ref="AA2475:AA2477" si="7942">N2475*U2475*W2475*Y2475</f>
        <v>5.7149550000000007</v>
      </c>
      <c r="AB2475" s="403"/>
    </row>
    <row r="2476" spans="1:28">
      <c r="A2476" s="384" t="str">
        <f t="shared" ref="A2476:B2476" si="7943">A2455</f>
        <v>Lantai 1</v>
      </c>
      <c r="B2476" s="385">
        <f t="shared" si="7943"/>
        <v>80</v>
      </c>
      <c r="C2476" s="393" t="s">
        <v>212</v>
      </c>
      <c r="D2476" s="398">
        <f>VLOOKUP(D2455,'Detail Balok'!$C$10:$AU$140,36,FALSE)</f>
        <v>0</v>
      </c>
      <c r="E2476" s="388" t="s">
        <v>16</v>
      </c>
      <c r="F2476" s="388">
        <f>VLOOKUP(D2455,'Detail Balok'!$C$10:$AU$140,38,FALSE)</f>
        <v>10</v>
      </c>
      <c r="G2476" s="405" t="s">
        <v>157</v>
      </c>
      <c r="H2476" s="395">
        <f>VLOOKUP(D2455,'Detail Balok'!$C$10:$AU$140,40,FALSE)</f>
        <v>200</v>
      </c>
      <c r="I2476" s="388"/>
      <c r="J2476" s="400">
        <f t="shared" ref="J2476" si="7944">(IF(D2476=0,(2*(D2456+G2456))-(F$5*8),IF(D2476=3,(2*(D2456+G2456))-(F$5*8)+(G2456-2*F$5),IF(D2476=4,(2*(D2456+G2456))-(F$5*8)+2*(G2456-2*F$5)))))/1000</f>
        <v>0.88</v>
      </c>
      <c r="K2476" s="400" t="s">
        <v>204</v>
      </c>
      <c r="L2476" s="399">
        <f t="shared" si="7937"/>
        <v>0.15</v>
      </c>
      <c r="M2476" s="399" t="s">
        <v>176</v>
      </c>
      <c r="N2476" s="399">
        <f t="shared" si="7938"/>
        <v>1.03</v>
      </c>
      <c r="O2476" s="399"/>
      <c r="P2476" s="389"/>
      <c r="Q2476" s="399"/>
      <c r="R2476" s="399"/>
      <c r="S2476" s="399"/>
      <c r="T2476" s="399" t="s">
        <v>125</v>
      </c>
      <c r="U2476" s="401">
        <f t="shared" si="7939"/>
        <v>0.61650000000000005</v>
      </c>
      <c r="V2476" s="399" t="s">
        <v>125</v>
      </c>
      <c r="W2476" s="399">
        <f t="shared" ref="W2476" si="7945">IF(D2458-MAX(D2458/4,2*G2456)*2&gt;0,ROUND((D2458-MAX(D2458/4,2*G2456)*2)/H2476,0),0)</f>
        <v>7</v>
      </c>
      <c r="X2476" s="399" t="s">
        <v>125</v>
      </c>
      <c r="Y2476" s="389">
        <f t="shared" ref="Y2476" si="7946">D2461</f>
        <v>1</v>
      </c>
      <c r="Z2476" s="400" t="s">
        <v>176</v>
      </c>
      <c r="AA2476" s="402">
        <f t="shared" si="7942"/>
        <v>4.4449650000000007</v>
      </c>
      <c r="AB2476" s="403"/>
    </row>
    <row r="2477" spans="1:28">
      <c r="A2477" s="384" t="str">
        <f t="shared" ref="A2477:B2477" si="7947">A2455</f>
        <v>Lantai 1</v>
      </c>
      <c r="B2477" s="385">
        <f t="shared" si="7947"/>
        <v>80</v>
      </c>
      <c r="C2477" s="393" t="s">
        <v>211</v>
      </c>
      <c r="D2477" s="398">
        <f>VLOOKUP(D2455,'Detail Balok'!$C$10:$AU$140,41,FALSE)</f>
        <v>0</v>
      </c>
      <c r="E2477" s="388" t="s">
        <v>16</v>
      </c>
      <c r="F2477" s="388">
        <f>VLOOKUP(D2455,'Detail Balok'!$C$10:$AU$140,43,FALSE)</f>
        <v>10</v>
      </c>
      <c r="G2477" s="405" t="s">
        <v>157</v>
      </c>
      <c r="H2477" s="395">
        <f>VLOOKUP(D2455,'Detail Balok'!$C$10:$AU$140,45,FALSE)</f>
        <v>100</v>
      </c>
      <c r="I2477" s="388"/>
      <c r="J2477" s="400">
        <f t="shared" ref="J2477" si="7948">(IF(D2477=0,(2*(D2456+G2456))-(F$5*8),IF(D2477=3,(2*(D2456+G2456))-(F$5*8)+(G2456-2*F$5),IF(D2477=4,(2*(D2456+G2456))-(F$5*8)+2*(G2456-2*F$5)))))/1000</f>
        <v>0.88</v>
      </c>
      <c r="K2477" s="400" t="s">
        <v>204</v>
      </c>
      <c r="L2477" s="399">
        <f t="shared" si="7937"/>
        <v>0.15</v>
      </c>
      <c r="M2477" s="399" t="s">
        <v>176</v>
      </c>
      <c r="N2477" s="399">
        <f t="shared" si="7938"/>
        <v>1.03</v>
      </c>
      <c r="O2477" s="399"/>
      <c r="P2477" s="389"/>
      <c r="Q2477" s="399"/>
      <c r="R2477" s="399"/>
      <c r="S2477" s="399"/>
      <c r="T2477" s="399" t="s">
        <v>125</v>
      </c>
      <c r="U2477" s="401">
        <f t="shared" si="7939"/>
        <v>0.61650000000000005</v>
      </c>
      <c r="V2477" s="399" t="s">
        <v>125</v>
      </c>
      <c r="W2477" s="399">
        <f t="shared" ref="W2477" si="7949">IF(D2458&gt;4*G2456,ROUND(MAX(D2458/4,2*G2456)/H2477,0)+1,0)</f>
        <v>9</v>
      </c>
      <c r="X2477" s="399" t="s">
        <v>125</v>
      </c>
      <c r="Y2477" s="389">
        <f t="shared" ref="Y2477" si="7950">D2461</f>
        <v>1</v>
      </c>
      <c r="Z2477" s="400" t="s">
        <v>176</v>
      </c>
      <c r="AA2477" s="402">
        <f t="shared" si="7942"/>
        <v>5.7149550000000007</v>
      </c>
      <c r="AB2477" s="403"/>
    </row>
    <row r="2478" spans="1:28">
      <c r="A2478" s="384"/>
      <c r="B2478" s="385"/>
      <c r="C2478" s="393"/>
      <c r="D2478" s="394"/>
      <c r="E2478" s="388"/>
      <c r="F2478" s="388"/>
      <c r="G2478" s="388"/>
      <c r="H2478" s="395"/>
      <c r="I2478" s="388"/>
      <c r="J2478" s="399"/>
      <c r="K2478" s="396"/>
      <c r="L2478" s="396"/>
      <c r="M2478" s="396"/>
      <c r="N2478" s="396"/>
      <c r="O2478" s="396"/>
      <c r="P2478" s="389"/>
      <c r="Q2478" s="396"/>
      <c r="R2478" s="396"/>
      <c r="S2478" s="396"/>
      <c r="T2478" s="396"/>
      <c r="U2478" s="401"/>
      <c r="V2478" s="396"/>
      <c r="W2478" s="388"/>
      <c r="X2478" s="396"/>
      <c r="Y2478" s="389"/>
      <c r="Z2478" s="396"/>
      <c r="AA2478" s="388"/>
      <c r="AB2478" s="390"/>
    </row>
    <row r="2479" spans="1:28">
      <c r="A2479" s="384" t="str">
        <f t="shared" ref="A2479:B2479" si="7951">A2455</f>
        <v>Lantai 1</v>
      </c>
      <c r="B2479" s="385">
        <f t="shared" si="7951"/>
        <v>80</v>
      </c>
      <c r="C2479" s="393" t="s">
        <v>213</v>
      </c>
      <c r="D2479" s="398">
        <f>VLOOKUP(D2455,'Detail Balok'!$C$10:$BJ$140,46,FALSE)</f>
        <v>0</v>
      </c>
      <c r="E2479" s="388" t="s">
        <v>16</v>
      </c>
      <c r="F2479" s="388">
        <f>VLOOKUP(D2455,'Detail Balok'!$C$10:$BJ$140,48,FALSE)</f>
        <v>0</v>
      </c>
      <c r="G2479" s="405" t="s">
        <v>157</v>
      </c>
      <c r="H2479" s="395">
        <f>VLOOKUP(D2455,'Detail Balok'!$C$10:$BJ$140,50,FALSE)</f>
        <v>100</v>
      </c>
      <c r="I2479" s="388"/>
      <c r="J2479" s="399">
        <f t="shared" ref="J2479" si="7952">(D2456-2*F$5)/1000</f>
        <v>0.12</v>
      </c>
      <c r="K2479" s="400" t="s">
        <v>204</v>
      </c>
      <c r="L2479" s="399">
        <f t="shared" ref="L2479:L2481" si="7953">IF(D2479=0,2*MAX(6*F2479,75),(D2479-1)*2*MAX(6*F2479,75))/1000</f>
        <v>0.15</v>
      </c>
      <c r="M2479" s="399" t="s">
        <v>176</v>
      </c>
      <c r="N2479" s="399">
        <f t="shared" ref="N2479:N2481" si="7954">J2479+L2479</f>
        <v>0.27</v>
      </c>
      <c r="O2479" s="399"/>
      <c r="P2479" s="399"/>
      <c r="Q2479" s="399"/>
      <c r="R2479" s="399"/>
      <c r="S2479" s="399"/>
      <c r="T2479" s="399" t="s">
        <v>125</v>
      </c>
      <c r="U2479" s="401">
        <f t="shared" ref="U2479:U2481" si="7955">0.006165*F2479^2</f>
        <v>0</v>
      </c>
      <c r="V2479" s="399" t="s">
        <v>125</v>
      </c>
      <c r="W2479" s="399">
        <f t="shared" si="7860"/>
        <v>9</v>
      </c>
      <c r="X2479" s="399" t="s">
        <v>125</v>
      </c>
      <c r="Y2479" s="389">
        <f t="shared" ref="Y2479" si="7956">D2465</f>
        <v>3</v>
      </c>
      <c r="Z2479" s="400" t="s">
        <v>176</v>
      </c>
      <c r="AA2479" s="402">
        <f t="shared" ref="AA2479:AA2481" si="7957">N2479*U2479*W2479*Y2479</f>
        <v>0</v>
      </c>
      <c r="AB2479" s="403"/>
    </row>
    <row r="2480" spans="1:28">
      <c r="A2480" s="384" t="str">
        <f t="shared" ref="A2480:B2480" si="7958">A2455</f>
        <v>Lantai 1</v>
      </c>
      <c r="B2480" s="385">
        <f t="shared" si="7958"/>
        <v>80</v>
      </c>
      <c r="C2480" s="393" t="s">
        <v>214</v>
      </c>
      <c r="D2480" s="398">
        <f>VLOOKUP(D2455,'Detail Balok'!$C$10:$BJ$140,51,FALSE)</f>
        <v>0</v>
      </c>
      <c r="E2480" s="388" t="s">
        <v>16</v>
      </c>
      <c r="F2480" s="388">
        <f>VLOOKUP(D2455,'Detail Balok'!$C$10:$BJ$140,53,FALSE)</f>
        <v>0</v>
      </c>
      <c r="G2480" s="405" t="s">
        <v>157</v>
      </c>
      <c r="H2480" s="395">
        <f>VLOOKUP(D2455,'Detail Balok'!$C$10:$BJ$140,55,FALSE)</f>
        <v>100</v>
      </c>
      <c r="I2480" s="388"/>
      <c r="J2480" s="399">
        <f t="shared" ref="J2480" si="7959">(D2456-2*F$5)/1000</f>
        <v>0.12</v>
      </c>
      <c r="K2480" s="400" t="s">
        <v>204</v>
      </c>
      <c r="L2480" s="399">
        <f t="shared" si="7953"/>
        <v>0.15</v>
      </c>
      <c r="M2480" s="399" t="s">
        <v>176</v>
      </c>
      <c r="N2480" s="399">
        <f t="shared" si="7954"/>
        <v>0.27</v>
      </c>
      <c r="O2480" s="399"/>
      <c r="P2480" s="399"/>
      <c r="Q2480" s="399"/>
      <c r="R2480" s="399"/>
      <c r="S2480" s="399"/>
      <c r="T2480" s="399" t="s">
        <v>125</v>
      </c>
      <c r="U2480" s="401">
        <f t="shared" si="7955"/>
        <v>0</v>
      </c>
      <c r="V2480" s="399" t="s">
        <v>125</v>
      </c>
      <c r="W2480" s="399">
        <f t="shared" si="7860"/>
        <v>7</v>
      </c>
      <c r="X2480" s="399" t="s">
        <v>125</v>
      </c>
      <c r="Y2480" s="389">
        <f t="shared" ref="Y2480" si="7960">D2465</f>
        <v>3</v>
      </c>
      <c r="Z2480" s="400" t="s">
        <v>176</v>
      </c>
      <c r="AA2480" s="402">
        <f t="shared" si="7957"/>
        <v>0</v>
      </c>
      <c r="AB2480" s="403"/>
    </row>
    <row r="2481" spans="1:28">
      <c r="A2481" s="384" t="str">
        <f t="shared" ref="A2481:B2481" si="7961">A2455</f>
        <v>Lantai 1</v>
      </c>
      <c r="B2481" s="385">
        <f t="shared" si="7961"/>
        <v>80</v>
      </c>
      <c r="C2481" s="393" t="s">
        <v>213</v>
      </c>
      <c r="D2481" s="398">
        <f>VLOOKUP(D2455,'Detail Balok'!$C$10:$BJ$140,56,FALSE)</f>
        <v>0</v>
      </c>
      <c r="E2481" s="388" t="s">
        <v>16</v>
      </c>
      <c r="F2481" s="388">
        <f>VLOOKUP(D2455,'Detail Balok'!$C$10:$BJ$140,58,FALSE)</f>
        <v>0</v>
      </c>
      <c r="G2481" s="405" t="s">
        <v>157</v>
      </c>
      <c r="H2481" s="395">
        <f>VLOOKUP(D2455,'Detail Balok'!$C$10:$BJ$140,60,FALSE)</f>
        <v>100</v>
      </c>
      <c r="I2481" s="388"/>
      <c r="J2481" s="399">
        <f t="shared" ref="J2481" si="7962">(D2456-2*F$5)/1000</f>
        <v>0.12</v>
      </c>
      <c r="K2481" s="400" t="s">
        <v>204</v>
      </c>
      <c r="L2481" s="399">
        <f t="shared" si="7953"/>
        <v>0.15</v>
      </c>
      <c r="M2481" s="399" t="s">
        <v>176</v>
      </c>
      <c r="N2481" s="399">
        <f t="shared" si="7954"/>
        <v>0.27</v>
      </c>
      <c r="O2481" s="399"/>
      <c r="P2481" s="399"/>
      <c r="Q2481" s="399"/>
      <c r="R2481" s="399"/>
      <c r="S2481" s="399"/>
      <c r="T2481" s="399" t="s">
        <v>125</v>
      </c>
      <c r="U2481" s="401">
        <f t="shared" si="7955"/>
        <v>0</v>
      </c>
      <c r="V2481" s="399" t="s">
        <v>125</v>
      </c>
      <c r="W2481" s="399">
        <f t="shared" si="7860"/>
        <v>9</v>
      </c>
      <c r="X2481" s="399" t="s">
        <v>125</v>
      </c>
      <c r="Y2481" s="389">
        <f t="shared" ref="Y2481" si="7963">D2465</f>
        <v>3</v>
      </c>
      <c r="Z2481" s="400" t="s">
        <v>176</v>
      </c>
      <c r="AA2481" s="402">
        <f t="shared" si="7957"/>
        <v>0</v>
      </c>
      <c r="AB2481" s="403"/>
    </row>
    <row r="2482" spans="1:28">
      <c r="A2482" s="391"/>
      <c r="B2482" s="392"/>
      <c r="C2482" s="392"/>
      <c r="D2482" s="394"/>
      <c r="E2482" s="388"/>
      <c r="F2482" s="388"/>
      <c r="G2482" s="388"/>
      <c r="H2482" s="395"/>
      <c r="I2482" s="388"/>
      <c r="J2482" s="402"/>
      <c r="K2482" s="388"/>
      <c r="L2482" s="388"/>
      <c r="M2482" s="388"/>
      <c r="N2482" s="388"/>
      <c r="O2482" s="388"/>
      <c r="P2482" s="388"/>
      <c r="Q2482" s="388"/>
      <c r="R2482" s="388"/>
      <c r="S2482" s="388"/>
      <c r="T2482" s="388"/>
      <c r="U2482" s="388"/>
      <c r="V2482" s="388"/>
      <c r="W2482" s="388"/>
      <c r="X2482" s="388"/>
      <c r="Y2482" s="389"/>
      <c r="Z2482" s="388"/>
      <c r="AA2482" s="402"/>
      <c r="AB2482" s="403"/>
    </row>
    <row r="2483" spans="1:28" ht="15.75" thickBot="1">
      <c r="A2483" s="406"/>
      <c r="B2483" s="407"/>
      <c r="C2483" s="407"/>
      <c r="D2483" s="408"/>
      <c r="E2483" s="409"/>
      <c r="F2483" s="409"/>
      <c r="G2483" s="409"/>
      <c r="H2483" s="410"/>
      <c r="I2483" s="409"/>
      <c r="J2483" s="409"/>
      <c r="K2483" s="409"/>
      <c r="L2483" s="409"/>
      <c r="M2483" s="409"/>
      <c r="N2483" s="409"/>
      <c r="O2483" s="409"/>
      <c r="P2483" s="409"/>
      <c r="Q2483" s="409"/>
      <c r="R2483" s="409"/>
      <c r="S2483" s="409"/>
      <c r="T2483" s="409"/>
      <c r="U2483" s="409"/>
      <c r="V2483" s="409"/>
      <c r="W2483" s="409"/>
      <c r="X2483" s="409"/>
      <c r="Y2483" s="411"/>
      <c r="Z2483" s="409"/>
      <c r="AA2483" s="412"/>
      <c r="AB2483" s="413"/>
    </row>
    <row r="2484" spans="1:28">
      <c r="A2484" s="377"/>
      <c r="B2484" s="378"/>
      <c r="C2484" s="378"/>
      <c r="D2484" s="379"/>
      <c r="E2484" s="380"/>
      <c r="F2484" s="380"/>
      <c r="G2484" s="380"/>
      <c r="H2484" s="381"/>
      <c r="I2484" s="380"/>
      <c r="J2484" s="380"/>
      <c r="K2484" s="380"/>
      <c r="L2484" s="380"/>
      <c r="M2484" s="380"/>
      <c r="N2484" s="380"/>
      <c r="O2484" s="380"/>
      <c r="P2484" s="380"/>
      <c r="Q2484" s="380"/>
      <c r="R2484" s="380"/>
      <c r="S2484" s="380"/>
      <c r="T2484" s="380"/>
      <c r="U2484" s="380"/>
      <c r="V2484" s="380"/>
      <c r="W2484" s="380"/>
      <c r="X2484" s="380"/>
      <c r="Y2484" s="382"/>
      <c r="Z2484" s="380"/>
      <c r="AA2484" s="380"/>
      <c r="AB2484" s="383"/>
    </row>
    <row r="2485" spans="1:28">
      <c r="A2485" s="384" t="str">
        <f t="shared" si="7869"/>
        <v>Lantai 1</v>
      </c>
      <c r="B2485" s="385">
        <f t="shared" si="7870"/>
        <v>81</v>
      </c>
      <c r="C2485" s="386" t="str">
        <f t="shared" ref="C2485" si="7964">CONCATENATE(A2485," no. ",B2485)</f>
        <v>Lantai 1 no. 81</v>
      </c>
      <c r="D2485" s="2562" t="str">
        <f>VLOOKUP(C2485,'Data Panjang Balok'!$C$9:$N$254,2,FALSE)</f>
        <v>B25-1</v>
      </c>
      <c r="E2485" s="2576"/>
      <c r="F2485" s="2576"/>
      <c r="G2485" s="2576"/>
      <c r="H2485" s="2577"/>
      <c r="I2485" s="387"/>
      <c r="J2485" s="388"/>
      <c r="K2485" s="388"/>
      <c r="L2485" s="388"/>
      <c r="M2485" s="388"/>
      <c r="N2485" s="388"/>
      <c r="O2485" s="388"/>
      <c r="P2485" s="388"/>
      <c r="Q2485" s="388"/>
      <c r="R2485" s="388"/>
      <c r="S2485" s="388"/>
      <c r="T2485" s="388"/>
      <c r="U2485" s="388"/>
      <c r="V2485" s="388"/>
      <c r="W2485" s="388"/>
      <c r="X2485" s="388"/>
      <c r="Y2485" s="389"/>
      <c r="Z2485" s="388"/>
      <c r="AA2485" s="388"/>
      <c r="AB2485" s="390"/>
    </row>
    <row r="2486" spans="1:28">
      <c r="A2486" s="391"/>
      <c r="B2486" s="392"/>
      <c r="C2486" s="393" t="s">
        <v>118</v>
      </c>
      <c r="D2486" s="2578">
        <f>VLOOKUP(D2485,'Detail Balok'!$C$10:$AU$140,2,FALSE)</f>
        <v>200</v>
      </c>
      <c r="E2486" s="2579"/>
      <c r="F2486" s="388" t="s">
        <v>125</v>
      </c>
      <c r="G2486" s="2579">
        <f>VLOOKUP(D2485,'Detail Balok'!$C$10:$AU$140,3,FALSE)</f>
        <v>500</v>
      </c>
      <c r="H2486" s="2580"/>
      <c r="I2486" s="388"/>
      <c r="J2486" s="396"/>
      <c r="K2486" s="396"/>
      <c r="L2486" s="396"/>
      <c r="M2486" s="396"/>
      <c r="N2486" s="396"/>
      <c r="O2486" s="396"/>
      <c r="P2486" s="396"/>
      <c r="Q2486" s="396"/>
      <c r="R2486" s="396"/>
      <c r="S2486" s="396"/>
      <c r="T2486" s="396"/>
      <c r="U2486" s="388"/>
      <c r="V2486" s="396"/>
      <c r="W2486" s="388"/>
      <c r="X2486" s="396"/>
      <c r="Y2486" s="389"/>
      <c r="Z2486" s="396"/>
      <c r="AA2486" s="388"/>
      <c r="AB2486" s="390"/>
    </row>
    <row r="2487" spans="1:28">
      <c r="A2487" s="391"/>
      <c r="B2487" s="392"/>
      <c r="C2487" s="393" t="s">
        <v>198</v>
      </c>
      <c r="D2487" s="2562">
        <f>VLOOKUP(C2485,'Data Panjang Balok'!$C$9:$N$254,4,FALSE)</f>
        <v>6030</v>
      </c>
      <c r="E2487" s="2563"/>
      <c r="F2487" s="2563"/>
      <c r="G2487" s="2563"/>
      <c r="H2487" s="2564"/>
      <c r="I2487" s="397"/>
      <c r="J2487" s="396"/>
      <c r="K2487" s="396"/>
      <c r="L2487" s="396"/>
      <c r="M2487" s="396"/>
      <c r="N2487" s="396"/>
      <c r="O2487" s="396"/>
      <c r="P2487" s="396"/>
      <c r="Q2487" s="396"/>
      <c r="R2487" s="396"/>
      <c r="S2487" s="396"/>
      <c r="T2487" s="396"/>
      <c r="U2487" s="388"/>
      <c r="V2487" s="396"/>
      <c r="W2487" s="388"/>
      <c r="X2487" s="396"/>
      <c r="Y2487" s="389"/>
      <c r="Z2487" s="396"/>
      <c r="AA2487" s="388"/>
      <c r="AB2487" s="390"/>
    </row>
    <row r="2488" spans="1:28">
      <c r="A2488" s="391"/>
      <c r="B2488" s="392"/>
      <c r="C2488" s="393" t="s">
        <v>199</v>
      </c>
      <c r="D2488" s="2562">
        <f>VLOOKUP(C2485,'Data Panjang Balok'!$C$9:$N$254,7,FALSE)</f>
        <v>6030</v>
      </c>
      <c r="E2488" s="2563"/>
      <c r="F2488" s="2563"/>
      <c r="G2488" s="2563"/>
      <c r="H2488" s="2564"/>
      <c r="I2488" s="397"/>
      <c r="J2488" s="396"/>
      <c r="K2488" s="396"/>
      <c r="L2488" s="396"/>
      <c r="M2488" s="396"/>
      <c r="N2488" s="396"/>
      <c r="O2488" s="396"/>
      <c r="P2488" s="396"/>
      <c r="Q2488" s="396"/>
      <c r="R2488" s="396"/>
      <c r="S2488" s="396"/>
      <c r="T2488" s="396"/>
      <c r="U2488" s="388"/>
      <c r="V2488" s="396"/>
      <c r="W2488" s="388"/>
      <c r="X2488" s="396"/>
      <c r="Y2488" s="389"/>
      <c r="Z2488" s="396"/>
      <c r="AA2488" s="388"/>
      <c r="AB2488" s="390"/>
    </row>
    <row r="2489" spans="1:28">
      <c r="A2489" s="391"/>
      <c r="B2489" s="392"/>
      <c r="C2489" s="393" t="s">
        <v>200</v>
      </c>
      <c r="D2489" s="2562">
        <f>VLOOKUP(C2485,'Data Panjang Balok'!$C$9:$N$254,9,FALSE)</f>
        <v>0</v>
      </c>
      <c r="E2489" s="2563"/>
      <c r="F2489" s="2563"/>
      <c r="G2489" s="2563"/>
      <c r="H2489" s="2564"/>
      <c r="I2489" s="397"/>
      <c r="J2489" s="396"/>
      <c r="K2489" s="396"/>
      <c r="L2489" s="396"/>
      <c r="M2489" s="396"/>
      <c r="N2489" s="396"/>
      <c r="O2489" s="396"/>
      <c r="P2489" s="396"/>
      <c r="Q2489" s="396"/>
      <c r="R2489" s="396"/>
      <c r="S2489" s="396"/>
      <c r="T2489" s="396"/>
      <c r="U2489" s="388"/>
      <c r="V2489" s="396"/>
      <c r="W2489" s="388"/>
      <c r="X2489" s="396"/>
      <c r="Y2489" s="389"/>
      <c r="Z2489" s="396"/>
      <c r="AA2489" s="388"/>
      <c r="AB2489" s="390"/>
    </row>
    <row r="2490" spans="1:28">
      <c r="A2490" s="391"/>
      <c r="B2490" s="392"/>
      <c r="C2490" s="393" t="s">
        <v>201</v>
      </c>
      <c r="D2490" s="2562">
        <f>VLOOKUP(C2485,'Data Panjang Balok'!$C$9:$N$254,10,FALSE)</f>
        <v>0</v>
      </c>
      <c r="E2490" s="2563"/>
      <c r="F2490" s="2563"/>
      <c r="G2490" s="2563"/>
      <c r="H2490" s="2564"/>
      <c r="I2490" s="397"/>
      <c r="J2490" s="396"/>
      <c r="K2490" s="396"/>
      <c r="L2490" s="396"/>
      <c r="M2490" s="396"/>
      <c r="N2490" s="396"/>
      <c r="O2490" s="396"/>
      <c r="P2490" s="396"/>
      <c r="Q2490" s="396"/>
      <c r="R2490" s="396"/>
      <c r="S2490" s="396"/>
      <c r="T2490" s="396"/>
      <c r="U2490" s="388"/>
      <c r="V2490" s="396"/>
      <c r="W2490" s="388"/>
      <c r="X2490" s="396"/>
      <c r="Y2490" s="389"/>
      <c r="Z2490" s="396"/>
      <c r="AA2490" s="388"/>
      <c r="AB2490" s="390"/>
    </row>
    <row r="2491" spans="1:28">
      <c r="A2491" s="391"/>
      <c r="B2491" s="392"/>
      <c r="C2491" s="393" t="s">
        <v>48</v>
      </c>
      <c r="D2491" s="2562">
        <f>VLOOKUP(C2485,'Data Panjang Balok'!$C$9:$N$254,3,FALSE)</f>
        <v>1</v>
      </c>
      <c r="E2491" s="2563"/>
      <c r="F2491" s="2563"/>
      <c r="G2491" s="2563"/>
      <c r="H2491" s="2564"/>
      <c r="I2491" s="397"/>
      <c r="J2491" s="396"/>
      <c r="K2491" s="396"/>
      <c r="L2491" s="396"/>
      <c r="M2491" s="396"/>
      <c r="N2491" s="396"/>
      <c r="O2491" s="396"/>
      <c r="P2491" s="396"/>
      <c r="Q2491" s="396"/>
      <c r="R2491" s="396"/>
      <c r="S2491" s="396"/>
      <c r="T2491" s="396"/>
      <c r="U2491" s="388"/>
      <c r="V2491" s="396"/>
      <c r="W2491" s="388"/>
      <c r="X2491" s="396"/>
      <c r="Y2491" s="389"/>
      <c r="Z2491" s="396"/>
      <c r="AA2491" s="388"/>
      <c r="AB2491" s="390"/>
    </row>
    <row r="2492" spans="1:28">
      <c r="A2492" s="384" t="str">
        <f t="shared" ref="A2492:B2492" si="7965">A2485</f>
        <v>Lantai 1</v>
      </c>
      <c r="B2492" s="385">
        <f t="shared" si="7965"/>
        <v>81</v>
      </c>
      <c r="C2492" s="393" t="s">
        <v>202</v>
      </c>
      <c r="D2492" s="398">
        <f>VLOOKUP(D2485,'Detail Balok'!$C$10:$AU$140,4,FALSE)</f>
        <v>4</v>
      </c>
      <c r="E2492" s="388" t="s">
        <v>16</v>
      </c>
      <c r="F2492" s="388">
        <f>VLOOKUP(D2485,'Detail Balok'!$C$10:$AU$140,6,FALSE)</f>
        <v>16</v>
      </c>
      <c r="G2492" s="388"/>
      <c r="H2492" s="395"/>
      <c r="I2492" s="388" t="s">
        <v>203</v>
      </c>
      <c r="J2492" s="399">
        <f t="shared" ref="J2492" si="7966">+D2487/4/1000</f>
        <v>1.5075000000000001</v>
      </c>
      <c r="K2492" s="400" t="s">
        <v>204</v>
      </c>
      <c r="L2492" s="399">
        <f t="shared" ref="L2492" si="7967">MAX(VLOOKUP(F2492,N$6:P$15,3,FALSE)/1000,2/3*D2489/1000)+F$16*F2492/1000</f>
        <v>0.192</v>
      </c>
      <c r="M2492" s="399" t="s">
        <v>176</v>
      </c>
      <c r="N2492" s="399">
        <f t="shared" ref="N2492:N2494" si="7968">J2492+L2492</f>
        <v>1.6995</v>
      </c>
      <c r="O2492" s="399" t="s">
        <v>204</v>
      </c>
      <c r="P2492" s="389">
        <f t="shared" ref="P2492" si="7969">D2492-D2493</f>
        <v>0</v>
      </c>
      <c r="Q2492" s="399" t="s">
        <v>125</v>
      </c>
      <c r="R2492" s="399">
        <f t="shared" ref="R2492" si="7970">IF(P2492&gt;0,$F$18*F2492/1000,0)</f>
        <v>0</v>
      </c>
      <c r="S2492" s="399" t="s">
        <v>205</v>
      </c>
      <c r="T2492" s="399" t="s">
        <v>125</v>
      </c>
      <c r="U2492" s="401">
        <f t="shared" ref="U2492:U2494" si="7971">0.006165*F2492^2</f>
        <v>1.5782400000000001</v>
      </c>
      <c r="V2492" s="399"/>
      <c r="W2492" s="399"/>
      <c r="X2492" s="399" t="s">
        <v>125</v>
      </c>
      <c r="Y2492" s="389">
        <f t="shared" ref="Y2492" si="7972">D2491</f>
        <v>1</v>
      </c>
      <c r="Z2492" s="400" t="s">
        <v>176</v>
      </c>
      <c r="AA2492" s="402">
        <f t="shared" ref="AA2492" si="7973">IF(AA2495=0,(D2492*N2492+P2492*R2492)*U2492*Y2492,0)</f>
        <v>0</v>
      </c>
      <c r="AB2492" s="403"/>
    </row>
    <row r="2493" spans="1:28">
      <c r="A2493" s="384" t="str">
        <f t="shared" ref="A2493:B2493" si="7974">A2485</f>
        <v>Lantai 1</v>
      </c>
      <c r="B2493" s="385">
        <f t="shared" si="7974"/>
        <v>81</v>
      </c>
      <c r="C2493" s="393" t="s">
        <v>206</v>
      </c>
      <c r="D2493" s="398">
        <f>VLOOKUP(D2485,'Detail Balok'!$C$10:$AU$140,7,FALSE)</f>
        <v>4</v>
      </c>
      <c r="E2493" s="388" t="s">
        <v>16</v>
      </c>
      <c r="F2493" s="388">
        <f>VLOOKUP(D2485,'Detail Balok'!$C$10:$AU$140,9,FALSE)</f>
        <v>16</v>
      </c>
      <c r="G2493" s="388"/>
      <c r="H2493" s="395"/>
      <c r="I2493" s="388" t="s">
        <v>203</v>
      </c>
      <c r="J2493" s="399">
        <f t="shared" ref="J2493" si="7975">+D2487/2/1000</f>
        <v>3.0150000000000001</v>
      </c>
      <c r="K2493" s="400" t="s">
        <v>204</v>
      </c>
      <c r="L2493" s="399"/>
      <c r="M2493" s="399" t="s">
        <v>176</v>
      </c>
      <c r="N2493" s="399">
        <f t="shared" si="7968"/>
        <v>3.0150000000000001</v>
      </c>
      <c r="O2493" s="399" t="s">
        <v>204</v>
      </c>
      <c r="P2493" s="389">
        <f t="shared" ref="P2493" si="7976">MAX(D2493-D2492,D2493-D2494)</f>
        <v>0</v>
      </c>
      <c r="Q2493" s="399" t="s">
        <v>125</v>
      </c>
      <c r="R2493" s="399">
        <f t="shared" ref="R2493" si="7977">IF(P2493&gt;0,2*(1-2*$F$19-1/2)*D2488/1000,0)</f>
        <v>0</v>
      </c>
      <c r="S2493" s="399" t="s">
        <v>205</v>
      </c>
      <c r="T2493" s="399" t="s">
        <v>125</v>
      </c>
      <c r="U2493" s="401">
        <f t="shared" si="7971"/>
        <v>1.5782400000000001</v>
      </c>
      <c r="V2493" s="399"/>
      <c r="W2493" s="399"/>
      <c r="X2493" s="399" t="s">
        <v>125</v>
      </c>
      <c r="Y2493" s="389">
        <f t="shared" ref="Y2493" si="7978">D2491</f>
        <v>1</v>
      </c>
      <c r="Z2493" s="400" t="s">
        <v>176</v>
      </c>
      <c r="AA2493" s="402">
        <f t="shared" ref="AA2493" si="7979">IF(AA2495=0,(D2493*N2493+P2493*R2493)*U2493*Y2493,0)</f>
        <v>0</v>
      </c>
      <c r="AB2493" s="403"/>
    </row>
    <row r="2494" spans="1:28">
      <c r="A2494" s="384" t="str">
        <f t="shared" ref="A2494:B2494" si="7980">A2485</f>
        <v>Lantai 1</v>
      </c>
      <c r="B2494" s="385">
        <f t="shared" si="7980"/>
        <v>81</v>
      </c>
      <c r="C2494" s="393" t="s">
        <v>202</v>
      </c>
      <c r="D2494" s="398">
        <f>VLOOKUP(D2485,'Detail Balok'!$C$10:$AU$140,10,FALSE)</f>
        <v>4</v>
      </c>
      <c r="E2494" s="388" t="s">
        <v>16</v>
      </c>
      <c r="F2494" s="388">
        <f>VLOOKUP(D2485,'Detail Balok'!$C$10:$AU$140,12,FALSE)</f>
        <v>16</v>
      </c>
      <c r="G2494" s="388"/>
      <c r="H2494" s="395"/>
      <c r="I2494" s="388" t="s">
        <v>203</v>
      </c>
      <c r="J2494" s="399">
        <f t="shared" ref="J2494" si="7981">+D2487/4/1000</f>
        <v>1.5075000000000001</v>
      </c>
      <c r="K2494" s="400" t="s">
        <v>204</v>
      </c>
      <c r="L2494" s="399">
        <f t="shared" ref="L2494" si="7982">MAX(VLOOKUP(F2494,N$6:P$15,3,FALSE)/1000,2/3*D2489/1000)+F$16*F2494/1000</f>
        <v>0.192</v>
      </c>
      <c r="M2494" s="399" t="s">
        <v>176</v>
      </c>
      <c r="N2494" s="399">
        <f t="shared" si="7968"/>
        <v>1.6995</v>
      </c>
      <c r="O2494" s="399" t="s">
        <v>204</v>
      </c>
      <c r="P2494" s="389">
        <f t="shared" ref="P2494" si="7983">D2494-D2493</f>
        <v>0</v>
      </c>
      <c r="Q2494" s="399" t="s">
        <v>125</v>
      </c>
      <c r="R2494" s="399">
        <f t="shared" ref="R2494" si="7984">IF(P2494&gt;0,$F$18*F2494/1000,0)</f>
        <v>0</v>
      </c>
      <c r="S2494" s="399" t="s">
        <v>205</v>
      </c>
      <c r="T2494" s="399" t="s">
        <v>125</v>
      </c>
      <c r="U2494" s="401">
        <f t="shared" si="7971"/>
        <v>1.5782400000000001</v>
      </c>
      <c r="V2494" s="399"/>
      <c r="W2494" s="399"/>
      <c r="X2494" s="399" t="s">
        <v>125</v>
      </c>
      <c r="Y2494" s="389">
        <f t="shared" ref="Y2494" si="7985">D2491</f>
        <v>1</v>
      </c>
      <c r="Z2494" s="400" t="s">
        <v>176</v>
      </c>
      <c r="AA2494" s="402">
        <f t="shared" ref="AA2494" si="7986">IF(AA2495=0,(D2494*N2494+P2494*R2494)*U2494*Y2494,0)</f>
        <v>0</v>
      </c>
      <c r="AB2494" s="403"/>
    </row>
    <row r="2495" spans="1:28">
      <c r="A2495" s="384" t="str">
        <f t="shared" ref="A2495:B2495" si="7987">A2485</f>
        <v>Lantai 1</v>
      </c>
      <c r="B2495" s="385">
        <f t="shared" si="7987"/>
        <v>81</v>
      </c>
      <c r="C2495" s="393"/>
      <c r="D2495" s="398">
        <f t="shared" si="7790"/>
        <v>4</v>
      </c>
      <c r="E2495" s="388" t="s">
        <v>16</v>
      </c>
      <c r="F2495" s="388">
        <f t="shared" si="7791"/>
        <v>16</v>
      </c>
      <c r="G2495" s="388"/>
      <c r="H2495" s="395"/>
      <c r="I2495" s="388"/>
      <c r="J2495" s="396"/>
      <c r="K2495" s="396"/>
      <c r="L2495" s="404" t="s">
        <v>207</v>
      </c>
      <c r="M2495" s="399" t="s">
        <v>176</v>
      </c>
      <c r="N2495" s="399">
        <f t="shared" ref="N2495" si="7988">IF(AND(D2492=D2493,D2492=D2494,D2493=D2494,F2492=F2493,F2492=F2494,F2493=F2494),SUM(N2492:N2494),0)</f>
        <v>6.4139999999999997</v>
      </c>
      <c r="O2495" s="399" t="s">
        <v>204</v>
      </c>
      <c r="P2495" s="389">
        <f t="shared" ref="P2495" si="7989">IF(N2495&gt;12,ROUNDDOWN(N2495/12,0),0)</f>
        <v>0</v>
      </c>
      <c r="Q2495" s="399" t="s">
        <v>125</v>
      </c>
      <c r="R2495" s="399">
        <f t="shared" ref="R2495" si="7990">IF(P2495&gt;0,MAX(VLOOKUP(F2495,$D$6:$G$15,3,FALSE),600),0)/1000</f>
        <v>0</v>
      </c>
      <c r="S2495" s="396"/>
      <c r="T2495" s="396" t="s">
        <v>125</v>
      </c>
      <c r="U2495" s="401">
        <f t="shared" si="7795"/>
        <v>1.5782400000000001</v>
      </c>
      <c r="V2495" s="396" t="s">
        <v>125</v>
      </c>
      <c r="W2495" s="399">
        <f t="shared" ref="W2495" si="7991">D2495</f>
        <v>4</v>
      </c>
      <c r="X2495" s="399" t="s">
        <v>125</v>
      </c>
      <c r="Y2495" s="389">
        <f t="shared" si="7797"/>
        <v>1</v>
      </c>
      <c r="Z2495" s="400" t="s">
        <v>176</v>
      </c>
      <c r="AA2495" s="402">
        <f t="shared" ref="AA2495" si="7992">(N2495+P2495*R2495/1000)*U2495*W2495*Y2495</f>
        <v>40.491325439999997</v>
      </c>
      <c r="AB2495" s="390"/>
    </row>
    <row r="2496" spans="1:28">
      <c r="A2496" s="384"/>
      <c r="B2496" s="385"/>
      <c r="C2496" s="393"/>
      <c r="D2496" s="398"/>
      <c r="E2496" s="388"/>
      <c r="F2496" s="388"/>
      <c r="G2496" s="388"/>
      <c r="H2496" s="395"/>
      <c r="I2496" s="388"/>
      <c r="J2496" s="396"/>
      <c r="K2496" s="396"/>
      <c r="L2496" s="404"/>
      <c r="M2496" s="399"/>
      <c r="N2496" s="399"/>
      <c r="O2496" s="396"/>
      <c r="P2496" s="389"/>
      <c r="Q2496" s="396"/>
      <c r="R2496" s="396"/>
      <c r="S2496" s="396"/>
      <c r="T2496" s="396"/>
      <c r="U2496" s="401"/>
      <c r="V2496" s="396"/>
      <c r="W2496" s="399"/>
      <c r="X2496" s="396"/>
      <c r="Y2496" s="389"/>
      <c r="Z2496" s="396"/>
      <c r="AA2496" s="388"/>
      <c r="AB2496" s="390"/>
    </row>
    <row r="2497" spans="1:28">
      <c r="A2497" s="384" t="str">
        <f t="shared" ref="A2497:B2497" si="7993">A2485</f>
        <v>Lantai 1</v>
      </c>
      <c r="B2497" s="385">
        <f t="shared" si="7993"/>
        <v>81</v>
      </c>
      <c r="C2497" s="393" t="s">
        <v>208</v>
      </c>
      <c r="D2497" s="398">
        <f>VLOOKUP(D2485,'Detail Balok'!$C$10:$AU$140,13,FALSE)</f>
        <v>2</v>
      </c>
      <c r="E2497" s="388" t="s">
        <v>16</v>
      </c>
      <c r="F2497" s="388">
        <f>VLOOKUP(D2485,'Detail Balok'!$C$10:$AU$140,15,FALSE)</f>
        <v>10</v>
      </c>
      <c r="G2497" s="388"/>
      <c r="H2497" s="395"/>
      <c r="I2497" s="388"/>
      <c r="J2497" s="399">
        <f t="shared" ref="J2497" si="7994">+D2487/1000</f>
        <v>6.03</v>
      </c>
      <c r="K2497" s="400" t="s">
        <v>204</v>
      </c>
      <c r="L2497" s="399">
        <f t="shared" ref="L2497" si="7995">2*$F$16*F2497/1000</f>
        <v>0.24</v>
      </c>
      <c r="M2497" s="399" t="s">
        <v>176</v>
      </c>
      <c r="N2497" s="399">
        <f t="shared" ref="N2497" si="7996">J2497+L2497</f>
        <v>6.2700000000000005</v>
      </c>
      <c r="O2497" s="399" t="s">
        <v>204</v>
      </c>
      <c r="P2497" s="389">
        <f t="shared" ref="P2497" si="7997">IF(N2497&gt;12,ROUNDDOWN(N2497/12,0),0)</f>
        <v>0</v>
      </c>
      <c r="Q2497" s="399" t="s">
        <v>125</v>
      </c>
      <c r="R2497" s="399">
        <f t="shared" ref="R2497" si="7998">IF(P2497&gt;0,MAX(VLOOKUP(F2497,$D$6:$G$15,3,FALSE),600),0)/1000</f>
        <v>0</v>
      </c>
      <c r="S2497" s="399"/>
      <c r="T2497" s="399" t="s">
        <v>125</v>
      </c>
      <c r="U2497" s="401">
        <f t="shared" ref="U2497" si="7999">0.006165*F2497^2</f>
        <v>0.61650000000000005</v>
      </c>
      <c r="V2497" s="399" t="s">
        <v>125</v>
      </c>
      <c r="W2497" s="399">
        <f t="shared" ref="W2497" si="8000">+D2497</f>
        <v>2</v>
      </c>
      <c r="X2497" s="399" t="s">
        <v>125</v>
      </c>
      <c r="Y2497" s="389">
        <f t="shared" ref="Y2497" si="8001">D2491</f>
        <v>1</v>
      </c>
      <c r="Z2497" s="400" t="s">
        <v>176</v>
      </c>
      <c r="AA2497" s="402">
        <f t="shared" ref="AA2497" si="8002">(N2497+P2497*R2497/1000)*U2497*W2497*Y2497</f>
        <v>7.7309100000000015</v>
      </c>
      <c r="AB2497" s="403"/>
    </row>
    <row r="2498" spans="1:28">
      <c r="A2498" s="384"/>
      <c r="B2498" s="385"/>
      <c r="C2498" s="393"/>
      <c r="D2498" s="398"/>
      <c r="E2498" s="388"/>
      <c r="F2498" s="388"/>
      <c r="G2498" s="388"/>
      <c r="H2498" s="395"/>
      <c r="I2498" s="388"/>
      <c r="J2498" s="399"/>
      <c r="K2498" s="400"/>
      <c r="L2498" s="399"/>
      <c r="M2498" s="399"/>
      <c r="N2498" s="399"/>
      <c r="O2498" s="399"/>
      <c r="P2498" s="389"/>
      <c r="Q2498" s="399"/>
      <c r="R2498" s="399"/>
      <c r="S2498" s="399"/>
      <c r="T2498" s="399"/>
      <c r="U2498" s="401"/>
      <c r="V2498" s="399"/>
      <c r="W2498" s="399"/>
      <c r="X2498" s="399"/>
      <c r="Y2498" s="389"/>
      <c r="Z2498" s="400"/>
      <c r="AA2498" s="402"/>
      <c r="AB2498" s="403"/>
    </row>
    <row r="2499" spans="1:28">
      <c r="A2499" s="384"/>
      <c r="B2499" s="385"/>
      <c r="C2499" s="393"/>
      <c r="D2499" s="398"/>
      <c r="E2499" s="388"/>
      <c r="F2499" s="388"/>
      <c r="G2499" s="388"/>
      <c r="H2499" s="395"/>
      <c r="I2499" s="388"/>
      <c r="J2499" s="396"/>
      <c r="K2499" s="396"/>
      <c r="L2499" s="396"/>
      <c r="M2499" s="396"/>
      <c r="N2499" s="396"/>
      <c r="O2499" s="396"/>
      <c r="P2499" s="389"/>
      <c r="Q2499" s="396"/>
      <c r="R2499" s="396"/>
      <c r="S2499" s="396"/>
      <c r="T2499" s="396"/>
      <c r="U2499" s="401"/>
      <c r="V2499" s="396"/>
      <c r="W2499" s="399"/>
      <c r="X2499" s="396"/>
      <c r="Y2499" s="389"/>
      <c r="Z2499" s="396"/>
      <c r="AA2499" s="388"/>
      <c r="AB2499" s="390"/>
    </row>
    <row r="2500" spans="1:28">
      <c r="A2500" s="384" t="str">
        <f t="shared" ref="A2500:B2500" si="8003">A2485</f>
        <v>Lantai 1</v>
      </c>
      <c r="B2500" s="385">
        <f t="shared" si="8003"/>
        <v>81</v>
      </c>
      <c r="C2500" s="393" t="s">
        <v>209</v>
      </c>
      <c r="D2500" s="398">
        <f>VLOOKUP(D2485,'Detail Balok'!$C$10:$AU$140,22,FALSE)</f>
        <v>4</v>
      </c>
      <c r="E2500" s="388" t="s">
        <v>16</v>
      </c>
      <c r="F2500" s="388">
        <f>VLOOKUP(D2485,'Detail Balok'!$C$10:$AU$140,24,FALSE)</f>
        <v>16</v>
      </c>
      <c r="G2500" s="388"/>
      <c r="H2500" s="395"/>
      <c r="I2500" s="388" t="s">
        <v>203</v>
      </c>
      <c r="J2500" s="399">
        <f t="shared" si="7810"/>
        <v>1.5075000000000001</v>
      </c>
      <c r="K2500" s="400" t="s">
        <v>204</v>
      </c>
      <c r="L2500" s="399">
        <f t="shared" ref="L2500" si="8004">MAX(VLOOKUP(F2500,N$6:P$15,3,FALSE)/1000,2/3*D2490/1000)+F$16*F2500/1000</f>
        <v>0.192</v>
      </c>
      <c r="M2500" s="399" t="s">
        <v>176</v>
      </c>
      <c r="N2500" s="399">
        <f t="shared" ref="N2500:N2502" si="8005">J2500+L2500</f>
        <v>1.6995</v>
      </c>
      <c r="O2500" s="399" t="s">
        <v>204</v>
      </c>
      <c r="P2500" s="389">
        <f t="shared" ref="P2500" si="8006">D2500-D2501</f>
        <v>0</v>
      </c>
      <c r="Q2500" s="399" t="s">
        <v>125</v>
      </c>
      <c r="R2500" s="399">
        <f t="shared" ref="R2500" si="8007">IF(P2500&gt;0,$F$18*F2500/1000,0)</f>
        <v>0</v>
      </c>
      <c r="S2500" s="399" t="s">
        <v>205</v>
      </c>
      <c r="T2500" s="399" t="s">
        <v>125</v>
      </c>
      <c r="U2500" s="401">
        <f t="shared" ref="U2500:U2502" si="8008">0.006165*F2500^2</f>
        <v>1.5782400000000001</v>
      </c>
      <c r="V2500" s="399"/>
      <c r="W2500" s="399"/>
      <c r="X2500" s="399" t="s">
        <v>125</v>
      </c>
      <c r="Y2500" s="389">
        <f t="shared" ref="Y2500" si="8009">D2491</f>
        <v>1</v>
      </c>
      <c r="Z2500" s="400" t="s">
        <v>176</v>
      </c>
      <c r="AA2500" s="402">
        <f t="shared" ref="AA2500" si="8010">IF(AA2503=0,(D2500*N2500+P2500*R2500)*U2500*Y2500,0)</f>
        <v>0</v>
      </c>
      <c r="AB2500" s="403"/>
    </row>
    <row r="2501" spans="1:28">
      <c r="A2501" s="384" t="str">
        <f t="shared" ref="A2501:B2501" si="8011">A2485</f>
        <v>Lantai 1</v>
      </c>
      <c r="B2501" s="385">
        <f t="shared" si="8011"/>
        <v>81</v>
      </c>
      <c r="C2501" s="393" t="s">
        <v>210</v>
      </c>
      <c r="D2501" s="398">
        <f>VLOOKUP(D2485,'Detail Balok'!$C$10:$AU$140,25,FALSE)</f>
        <v>4</v>
      </c>
      <c r="E2501" s="388" t="s">
        <v>16</v>
      </c>
      <c r="F2501" s="388">
        <f>VLOOKUP(D2485,'Detail Balok'!$C$10:$AU$140,27,FALSE)</f>
        <v>16</v>
      </c>
      <c r="G2501" s="388"/>
      <c r="H2501" s="395"/>
      <c r="I2501" s="388" t="s">
        <v>203</v>
      </c>
      <c r="J2501" s="399">
        <f t="shared" si="7810"/>
        <v>3.0150000000000001</v>
      </c>
      <c r="K2501" s="400" t="s">
        <v>204</v>
      </c>
      <c r="L2501" s="399"/>
      <c r="M2501" s="399" t="s">
        <v>176</v>
      </c>
      <c r="N2501" s="399">
        <f t="shared" si="8005"/>
        <v>3.0150000000000001</v>
      </c>
      <c r="O2501" s="399" t="s">
        <v>204</v>
      </c>
      <c r="P2501" s="389">
        <f t="shared" ref="P2501" si="8012">MAX(D2501-D2500,D2501-D2502)</f>
        <v>0</v>
      </c>
      <c r="Q2501" s="399" t="s">
        <v>125</v>
      </c>
      <c r="R2501" s="399">
        <f t="shared" ref="R2501" si="8013">IF(P2501&gt;0,2*(1-2*$F$19-1/2)*D2488/1000,0)</f>
        <v>0</v>
      </c>
      <c r="S2501" s="399" t="s">
        <v>205</v>
      </c>
      <c r="T2501" s="399" t="s">
        <v>125</v>
      </c>
      <c r="U2501" s="401">
        <f t="shared" si="8008"/>
        <v>1.5782400000000001</v>
      </c>
      <c r="V2501" s="399"/>
      <c r="W2501" s="399"/>
      <c r="X2501" s="399" t="s">
        <v>125</v>
      </c>
      <c r="Y2501" s="389">
        <f t="shared" ref="Y2501" si="8014">D2491</f>
        <v>1</v>
      </c>
      <c r="Z2501" s="400" t="s">
        <v>176</v>
      </c>
      <c r="AA2501" s="402">
        <f t="shared" ref="AA2501" si="8015">IF(AA2503=0,(D2501*N2501+P2501*R2501)*U2501*Y2501,0)</f>
        <v>0</v>
      </c>
      <c r="AB2501" s="403"/>
    </row>
    <row r="2502" spans="1:28">
      <c r="A2502" s="384" t="str">
        <f t="shared" ref="A2502:B2502" si="8016">A2485</f>
        <v>Lantai 1</v>
      </c>
      <c r="B2502" s="385">
        <f t="shared" si="8016"/>
        <v>81</v>
      </c>
      <c r="C2502" s="393" t="s">
        <v>209</v>
      </c>
      <c r="D2502" s="398">
        <f>VLOOKUP(D2485,'Detail Balok'!$C$10:$AU$140,28,FALSE)</f>
        <v>4</v>
      </c>
      <c r="E2502" s="388" t="s">
        <v>16</v>
      </c>
      <c r="F2502" s="388">
        <f>VLOOKUP(D2485,'Detail Balok'!$C$10:$AU$140,30,FALSE)</f>
        <v>16</v>
      </c>
      <c r="G2502" s="388"/>
      <c r="H2502" s="395"/>
      <c r="I2502" s="388" t="s">
        <v>203</v>
      </c>
      <c r="J2502" s="399">
        <f t="shared" si="7810"/>
        <v>1.5075000000000001</v>
      </c>
      <c r="K2502" s="400" t="s">
        <v>204</v>
      </c>
      <c r="L2502" s="399">
        <f t="shared" ref="L2502" si="8017">MAX(VLOOKUP(F2502,N$6:P$15,3,FALSE)/1000,2/3*D2490/1000)+F$16*F2502/1000</f>
        <v>0.192</v>
      </c>
      <c r="M2502" s="399" t="s">
        <v>176</v>
      </c>
      <c r="N2502" s="399">
        <f t="shared" si="8005"/>
        <v>1.6995</v>
      </c>
      <c r="O2502" s="399" t="s">
        <v>204</v>
      </c>
      <c r="P2502" s="389">
        <f t="shared" ref="P2502" si="8018">D2502-D2501</f>
        <v>0</v>
      </c>
      <c r="Q2502" s="399" t="s">
        <v>125</v>
      </c>
      <c r="R2502" s="399">
        <f t="shared" ref="R2502" si="8019">IF(P2502&gt;0,$F$18*F2502/1000,0)</f>
        <v>0</v>
      </c>
      <c r="S2502" s="399" t="s">
        <v>205</v>
      </c>
      <c r="T2502" s="399" t="s">
        <v>125</v>
      </c>
      <c r="U2502" s="401">
        <f t="shared" si="8008"/>
        <v>1.5782400000000001</v>
      </c>
      <c r="V2502" s="399"/>
      <c r="W2502" s="399"/>
      <c r="X2502" s="399" t="s">
        <v>125</v>
      </c>
      <c r="Y2502" s="389">
        <f t="shared" ref="Y2502" si="8020">D2491</f>
        <v>1</v>
      </c>
      <c r="Z2502" s="400" t="s">
        <v>176</v>
      </c>
      <c r="AA2502" s="402">
        <f t="shared" ref="AA2502" si="8021">IF(AA2503=0,(D2502*N2502+P2502*R2502)*U2502*Y2502,0)</f>
        <v>0</v>
      </c>
      <c r="AB2502" s="403"/>
    </row>
    <row r="2503" spans="1:28">
      <c r="A2503" s="384" t="str">
        <f t="shared" ref="A2503:B2503" si="8022">A2485</f>
        <v>Lantai 1</v>
      </c>
      <c r="B2503" s="385">
        <f t="shared" si="8022"/>
        <v>81</v>
      </c>
      <c r="C2503" s="393"/>
      <c r="D2503" s="398">
        <f t="shared" si="7830"/>
        <v>4</v>
      </c>
      <c r="E2503" s="388" t="s">
        <v>16</v>
      </c>
      <c r="F2503" s="388">
        <f t="shared" si="7831"/>
        <v>16</v>
      </c>
      <c r="G2503" s="388"/>
      <c r="H2503" s="395"/>
      <c r="I2503" s="388"/>
      <c r="J2503" s="396"/>
      <c r="K2503" s="396"/>
      <c r="L2503" s="404" t="s">
        <v>207</v>
      </c>
      <c r="M2503" s="399" t="s">
        <v>176</v>
      </c>
      <c r="N2503" s="399">
        <f t="shared" ref="N2503" si="8023">IF(AND(D2500=D2501,D2500=D2502,D2501=D2502,F2500=F2501,F2500=F2502,F2501=F2502),SUM(N2500:N2502),0)</f>
        <v>6.4139999999999997</v>
      </c>
      <c r="O2503" s="399" t="s">
        <v>204</v>
      </c>
      <c r="P2503" s="389">
        <f t="shared" ref="P2503" si="8024">IF(N2503&gt;12,ROUNDDOWN(N2503/12,0),0)</f>
        <v>0</v>
      </c>
      <c r="Q2503" s="399" t="s">
        <v>125</v>
      </c>
      <c r="R2503" s="399">
        <f t="shared" ref="R2503" si="8025">IF(P2503&gt;0,MAX(VLOOKUP(F2503,$D$6:$G$15,3,FALSE),600),0)/1000</f>
        <v>0</v>
      </c>
      <c r="S2503" s="396"/>
      <c r="T2503" s="396" t="s">
        <v>125</v>
      </c>
      <c r="U2503" s="401">
        <f t="shared" si="7835"/>
        <v>1.5782400000000001</v>
      </c>
      <c r="V2503" s="396" t="s">
        <v>125</v>
      </c>
      <c r="W2503" s="399">
        <f t="shared" ref="W2503" si="8026">D2503</f>
        <v>4</v>
      </c>
      <c r="X2503" s="399" t="s">
        <v>125</v>
      </c>
      <c r="Y2503" s="389">
        <f t="shared" si="7837"/>
        <v>1</v>
      </c>
      <c r="Z2503" s="400" t="s">
        <v>176</v>
      </c>
      <c r="AA2503" s="402">
        <f t="shared" ref="AA2503" si="8027">(N2503+P2503*R2503/1000)*U2503*W2503*Y2503</f>
        <v>40.491325439999997</v>
      </c>
      <c r="AB2503" s="403"/>
    </row>
    <row r="2504" spans="1:28">
      <c r="A2504" s="384"/>
      <c r="B2504" s="385"/>
      <c r="C2504" s="393"/>
      <c r="D2504" s="394"/>
      <c r="E2504" s="388"/>
      <c r="F2504" s="388"/>
      <c r="G2504" s="388"/>
      <c r="H2504" s="395"/>
      <c r="I2504" s="388"/>
      <c r="J2504" s="399"/>
      <c r="K2504" s="396"/>
      <c r="L2504" s="396"/>
      <c r="M2504" s="396"/>
      <c r="N2504" s="396"/>
      <c r="O2504" s="396"/>
      <c r="P2504" s="389"/>
      <c r="Q2504" s="396"/>
      <c r="R2504" s="396"/>
      <c r="S2504" s="396"/>
      <c r="T2504" s="396"/>
      <c r="U2504" s="401"/>
      <c r="V2504" s="396"/>
      <c r="W2504" s="388"/>
      <c r="X2504" s="396"/>
      <c r="Y2504" s="389"/>
      <c r="Z2504" s="396"/>
      <c r="AA2504" s="388"/>
      <c r="AB2504" s="390"/>
    </row>
    <row r="2505" spans="1:28">
      <c r="A2505" s="384" t="str">
        <f t="shared" ref="A2505:B2505" si="8028">A2485</f>
        <v>Lantai 1</v>
      </c>
      <c r="B2505" s="385">
        <f t="shared" si="8028"/>
        <v>81</v>
      </c>
      <c r="C2505" s="393" t="s">
        <v>211</v>
      </c>
      <c r="D2505" s="398">
        <f>VLOOKUP(D2485,'Detail Balok'!$C$10:$AU$140,31,FALSE)</f>
        <v>0</v>
      </c>
      <c r="E2505" s="388" t="s">
        <v>16</v>
      </c>
      <c r="F2505" s="388">
        <f>VLOOKUP(D2485,'Detail Balok'!$C$10:$AU$140,33,FALSE)</f>
        <v>10</v>
      </c>
      <c r="G2505" s="405" t="s">
        <v>157</v>
      </c>
      <c r="H2505" s="395">
        <f>VLOOKUP(D2485,'Detail Balok'!$C$10:$AU$140,35,FALSE)</f>
        <v>150</v>
      </c>
      <c r="I2505" s="388"/>
      <c r="J2505" s="400">
        <f t="shared" ref="J2505" si="8029">(IF(D2505=0,(2*(D2486+G2486))-(F$5*8),IF(D2505=3,(2*(D2486+G2486))-(F$5*8)+(G2486-2*F$5),IF(D2505=4,(2*(D2486+G2486))-(F$5*8)+2*(G2486-2*F$5)))))/1000</f>
        <v>1.08</v>
      </c>
      <c r="K2505" s="400" t="s">
        <v>204</v>
      </c>
      <c r="L2505" s="399">
        <f t="shared" ref="L2505:L2507" si="8030">IF(D2505=0,2*MAX(6*F2505,75),(D2505-1)*2*MAX(6*F2505,75))/1000</f>
        <v>0.15</v>
      </c>
      <c r="M2505" s="399" t="s">
        <v>176</v>
      </c>
      <c r="N2505" s="399">
        <f t="shared" ref="N2505:N2507" si="8031">J2505+L2505</f>
        <v>1.23</v>
      </c>
      <c r="O2505" s="399"/>
      <c r="P2505" s="389"/>
      <c r="Q2505" s="399"/>
      <c r="R2505" s="399"/>
      <c r="S2505" s="399"/>
      <c r="T2505" s="399" t="s">
        <v>125</v>
      </c>
      <c r="U2505" s="401">
        <f t="shared" ref="U2505:U2507" si="8032">0.006165*F2505^2</f>
        <v>0.61650000000000005</v>
      </c>
      <c r="V2505" s="399" t="s">
        <v>125</v>
      </c>
      <c r="W2505" s="399">
        <f t="shared" ref="W2505" si="8033">IF(D2488&gt;4*G2486,ROUND(MAX(D2488/4,2*G2486)/H2505,0)+1,ROUND(D2488/H2505,0)+1)</f>
        <v>11</v>
      </c>
      <c r="X2505" s="399" t="s">
        <v>125</v>
      </c>
      <c r="Y2505" s="389">
        <f t="shared" ref="Y2505" si="8034">D2491</f>
        <v>1</v>
      </c>
      <c r="Z2505" s="400" t="s">
        <v>176</v>
      </c>
      <c r="AA2505" s="402">
        <f t="shared" ref="AA2505:AA2507" si="8035">N2505*U2505*W2505*Y2505</f>
        <v>8.3412450000000007</v>
      </c>
      <c r="AB2505" s="403"/>
    </row>
    <row r="2506" spans="1:28">
      <c r="A2506" s="384" t="str">
        <f t="shared" ref="A2506:B2506" si="8036">A2485</f>
        <v>Lantai 1</v>
      </c>
      <c r="B2506" s="385">
        <f t="shared" si="8036"/>
        <v>81</v>
      </c>
      <c r="C2506" s="393" t="s">
        <v>212</v>
      </c>
      <c r="D2506" s="398">
        <f>VLOOKUP(D2485,'Detail Balok'!$C$10:$AU$140,36,FALSE)</f>
        <v>0</v>
      </c>
      <c r="E2506" s="388" t="s">
        <v>16</v>
      </c>
      <c r="F2506" s="388">
        <f>VLOOKUP(D2485,'Detail Balok'!$C$10:$AU$140,38,FALSE)</f>
        <v>10</v>
      </c>
      <c r="G2506" s="405" t="s">
        <v>157</v>
      </c>
      <c r="H2506" s="395">
        <f>VLOOKUP(D2485,'Detail Balok'!$C$10:$AU$140,40,FALSE)</f>
        <v>200</v>
      </c>
      <c r="I2506" s="388"/>
      <c r="J2506" s="400">
        <f t="shared" ref="J2506" si="8037">(IF(D2506=0,(2*(D2486+G2486))-(F$5*8),IF(D2506=3,(2*(D2486+G2486))-(F$5*8)+(G2486-2*F$5),IF(D2506=4,(2*(D2486+G2486))-(F$5*8)+2*(G2486-2*F$5)))))/1000</f>
        <v>1.08</v>
      </c>
      <c r="K2506" s="400" t="s">
        <v>204</v>
      </c>
      <c r="L2506" s="399">
        <f t="shared" si="8030"/>
        <v>0.15</v>
      </c>
      <c r="M2506" s="399" t="s">
        <v>176</v>
      </c>
      <c r="N2506" s="399">
        <f t="shared" si="8031"/>
        <v>1.23</v>
      </c>
      <c r="O2506" s="399"/>
      <c r="P2506" s="389"/>
      <c r="Q2506" s="399"/>
      <c r="R2506" s="399"/>
      <c r="S2506" s="399"/>
      <c r="T2506" s="399" t="s">
        <v>125</v>
      </c>
      <c r="U2506" s="401">
        <f t="shared" si="8032"/>
        <v>0.61650000000000005</v>
      </c>
      <c r="V2506" s="399" t="s">
        <v>125</v>
      </c>
      <c r="W2506" s="399">
        <f t="shared" ref="W2506" si="8038">IF(D2488-MAX(D2488/4,2*G2486)*2&gt;0,ROUND((D2488-MAX(D2488/4,2*G2486)*2)/H2506,0),0)</f>
        <v>15</v>
      </c>
      <c r="X2506" s="399" t="s">
        <v>125</v>
      </c>
      <c r="Y2506" s="389">
        <f t="shared" ref="Y2506" si="8039">D2491</f>
        <v>1</v>
      </c>
      <c r="Z2506" s="400" t="s">
        <v>176</v>
      </c>
      <c r="AA2506" s="402">
        <f t="shared" si="8035"/>
        <v>11.374425</v>
      </c>
      <c r="AB2506" s="403"/>
    </row>
    <row r="2507" spans="1:28">
      <c r="A2507" s="384" t="str">
        <f t="shared" ref="A2507:B2507" si="8040">A2485</f>
        <v>Lantai 1</v>
      </c>
      <c r="B2507" s="385">
        <f t="shared" si="8040"/>
        <v>81</v>
      </c>
      <c r="C2507" s="393" t="s">
        <v>211</v>
      </c>
      <c r="D2507" s="398">
        <f>VLOOKUP(D2485,'Detail Balok'!$C$10:$AU$140,41,FALSE)</f>
        <v>0</v>
      </c>
      <c r="E2507" s="388" t="s">
        <v>16</v>
      </c>
      <c r="F2507" s="388">
        <f>VLOOKUP(D2485,'Detail Balok'!$C$10:$AU$140,43,FALSE)</f>
        <v>10</v>
      </c>
      <c r="G2507" s="405" t="s">
        <v>157</v>
      </c>
      <c r="H2507" s="395">
        <f>VLOOKUP(D2485,'Detail Balok'!$C$10:$AU$140,45,FALSE)</f>
        <v>150</v>
      </c>
      <c r="I2507" s="388"/>
      <c r="J2507" s="400">
        <f t="shared" ref="J2507" si="8041">(IF(D2507=0,(2*(D2486+G2486))-(F$5*8),IF(D2507=3,(2*(D2486+G2486))-(F$5*8)+(G2486-2*F$5),IF(D2507=4,(2*(D2486+G2486))-(F$5*8)+2*(G2486-2*F$5)))))/1000</f>
        <v>1.08</v>
      </c>
      <c r="K2507" s="400" t="s">
        <v>204</v>
      </c>
      <c r="L2507" s="399">
        <f t="shared" si="8030"/>
        <v>0.15</v>
      </c>
      <c r="M2507" s="399" t="s">
        <v>176</v>
      </c>
      <c r="N2507" s="399">
        <f t="shared" si="8031"/>
        <v>1.23</v>
      </c>
      <c r="O2507" s="399"/>
      <c r="P2507" s="389"/>
      <c r="Q2507" s="399"/>
      <c r="R2507" s="399"/>
      <c r="S2507" s="399"/>
      <c r="T2507" s="399" t="s">
        <v>125</v>
      </c>
      <c r="U2507" s="401">
        <f t="shared" si="8032"/>
        <v>0.61650000000000005</v>
      </c>
      <c r="V2507" s="399" t="s">
        <v>125</v>
      </c>
      <c r="W2507" s="399">
        <f t="shared" ref="W2507" si="8042">IF(D2488&gt;4*G2486,ROUND(MAX(D2488/4,2*G2486)/H2507,0)+1,0)</f>
        <v>11</v>
      </c>
      <c r="X2507" s="399" t="s">
        <v>125</v>
      </c>
      <c r="Y2507" s="389">
        <f t="shared" ref="Y2507" si="8043">D2491</f>
        <v>1</v>
      </c>
      <c r="Z2507" s="400" t="s">
        <v>176</v>
      </c>
      <c r="AA2507" s="402">
        <f t="shared" si="8035"/>
        <v>8.3412450000000007</v>
      </c>
      <c r="AB2507" s="403"/>
    </row>
    <row r="2508" spans="1:28">
      <c r="A2508" s="384"/>
      <c r="B2508" s="385"/>
      <c r="C2508" s="393"/>
      <c r="D2508" s="394"/>
      <c r="E2508" s="388"/>
      <c r="F2508" s="388"/>
      <c r="G2508" s="388"/>
      <c r="H2508" s="395"/>
      <c r="I2508" s="388"/>
      <c r="J2508" s="399"/>
      <c r="K2508" s="396"/>
      <c r="L2508" s="396"/>
      <c r="M2508" s="396"/>
      <c r="N2508" s="396"/>
      <c r="O2508" s="396"/>
      <c r="P2508" s="389"/>
      <c r="Q2508" s="396"/>
      <c r="R2508" s="396"/>
      <c r="S2508" s="396"/>
      <c r="T2508" s="396"/>
      <c r="U2508" s="401"/>
      <c r="V2508" s="396"/>
      <c r="W2508" s="388"/>
      <c r="X2508" s="396"/>
      <c r="Y2508" s="389"/>
      <c r="Z2508" s="396"/>
      <c r="AA2508" s="388"/>
      <c r="AB2508" s="390"/>
    </row>
    <row r="2509" spans="1:28">
      <c r="A2509" s="384" t="str">
        <f t="shared" ref="A2509:B2509" si="8044">A2485</f>
        <v>Lantai 1</v>
      </c>
      <c r="B2509" s="385">
        <f t="shared" si="8044"/>
        <v>81</v>
      </c>
      <c r="C2509" s="393" t="s">
        <v>213</v>
      </c>
      <c r="D2509" s="398">
        <f>VLOOKUP(D2485,'Detail Balok'!$C$10:$BJ$140,46,FALSE)</f>
        <v>0</v>
      </c>
      <c r="E2509" s="388" t="s">
        <v>16</v>
      </c>
      <c r="F2509" s="388">
        <f>VLOOKUP(D2485,'Detail Balok'!$C$10:$BJ$140,48,FALSE)</f>
        <v>0</v>
      </c>
      <c r="G2509" s="405" t="s">
        <v>157</v>
      </c>
      <c r="H2509" s="395">
        <f>VLOOKUP(D2485,'Detail Balok'!$C$10:$BJ$140,50,FALSE)</f>
        <v>100</v>
      </c>
      <c r="I2509" s="388"/>
      <c r="J2509" s="399">
        <f t="shared" ref="J2509" si="8045">(D2486-2*F$5)/1000</f>
        <v>0.12</v>
      </c>
      <c r="K2509" s="400" t="s">
        <v>204</v>
      </c>
      <c r="L2509" s="399">
        <f t="shared" ref="L2509:L2511" si="8046">IF(D2509=0,2*MAX(6*F2509,75),(D2509-1)*2*MAX(6*F2509,75))/1000</f>
        <v>0.15</v>
      </c>
      <c r="M2509" s="399" t="s">
        <v>176</v>
      </c>
      <c r="N2509" s="399">
        <f t="shared" ref="N2509:N2511" si="8047">J2509+L2509</f>
        <v>0.27</v>
      </c>
      <c r="O2509" s="399"/>
      <c r="P2509" s="399"/>
      <c r="Q2509" s="399"/>
      <c r="R2509" s="399"/>
      <c r="S2509" s="399"/>
      <c r="T2509" s="399" t="s">
        <v>125</v>
      </c>
      <c r="U2509" s="401">
        <f t="shared" ref="U2509:U2511" si="8048">0.006165*F2509^2</f>
        <v>0</v>
      </c>
      <c r="V2509" s="399" t="s">
        <v>125</v>
      </c>
      <c r="W2509" s="399">
        <f t="shared" si="7860"/>
        <v>11</v>
      </c>
      <c r="X2509" s="399" t="s">
        <v>125</v>
      </c>
      <c r="Y2509" s="389">
        <f t="shared" ref="Y2509" si="8049">D2495</f>
        <v>4</v>
      </c>
      <c r="Z2509" s="400" t="s">
        <v>176</v>
      </c>
      <c r="AA2509" s="402">
        <f t="shared" ref="AA2509:AA2511" si="8050">N2509*U2509*W2509*Y2509</f>
        <v>0</v>
      </c>
      <c r="AB2509" s="403"/>
    </row>
    <row r="2510" spans="1:28">
      <c r="A2510" s="384" t="str">
        <f t="shared" ref="A2510:B2510" si="8051">A2485</f>
        <v>Lantai 1</v>
      </c>
      <c r="B2510" s="385">
        <f t="shared" si="8051"/>
        <v>81</v>
      </c>
      <c r="C2510" s="393" t="s">
        <v>214</v>
      </c>
      <c r="D2510" s="398">
        <f>VLOOKUP(D2485,'Detail Balok'!$C$10:$BJ$140,51,FALSE)</f>
        <v>0</v>
      </c>
      <c r="E2510" s="388" t="s">
        <v>16</v>
      </c>
      <c r="F2510" s="388">
        <f>VLOOKUP(D2485,'Detail Balok'!$C$10:$BJ$140,53,FALSE)</f>
        <v>0</v>
      </c>
      <c r="G2510" s="405" t="s">
        <v>157</v>
      </c>
      <c r="H2510" s="395">
        <f>VLOOKUP(D2485,'Detail Balok'!$C$10:$BJ$140,55,FALSE)</f>
        <v>100</v>
      </c>
      <c r="I2510" s="388"/>
      <c r="J2510" s="399">
        <f t="shared" ref="J2510" si="8052">(D2486-2*F$5)/1000</f>
        <v>0.12</v>
      </c>
      <c r="K2510" s="400" t="s">
        <v>204</v>
      </c>
      <c r="L2510" s="399">
        <f t="shared" si="8046"/>
        <v>0.15</v>
      </c>
      <c r="M2510" s="399" t="s">
        <v>176</v>
      </c>
      <c r="N2510" s="399">
        <f t="shared" si="8047"/>
        <v>0.27</v>
      </c>
      <c r="O2510" s="399"/>
      <c r="P2510" s="399"/>
      <c r="Q2510" s="399"/>
      <c r="R2510" s="399"/>
      <c r="S2510" s="399"/>
      <c r="T2510" s="399" t="s">
        <v>125</v>
      </c>
      <c r="U2510" s="401">
        <f t="shared" si="8048"/>
        <v>0</v>
      </c>
      <c r="V2510" s="399" t="s">
        <v>125</v>
      </c>
      <c r="W2510" s="399">
        <f t="shared" si="7860"/>
        <v>15</v>
      </c>
      <c r="X2510" s="399" t="s">
        <v>125</v>
      </c>
      <c r="Y2510" s="389">
        <f t="shared" ref="Y2510" si="8053">D2495</f>
        <v>4</v>
      </c>
      <c r="Z2510" s="400" t="s">
        <v>176</v>
      </c>
      <c r="AA2510" s="402">
        <f t="shared" si="8050"/>
        <v>0</v>
      </c>
      <c r="AB2510" s="403"/>
    </row>
    <row r="2511" spans="1:28">
      <c r="A2511" s="384" t="str">
        <f t="shared" ref="A2511:B2511" si="8054">A2485</f>
        <v>Lantai 1</v>
      </c>
      <c r="B2511" s="385">
        <f t="shared" si="8054"/>
        <v>81</v>
      </c>
      <c r="C2511" s="393" t="s">
        <v>213</v>
      </c>
      <c r="D2511" s="398">
        <f>VLOOKUP(D2485,'Detail Balok'!$C$10:$BJ$140,56,FALSE)</f>
        <v>0</v>
      </c>
      <c r="E2511" s="388" t="s">
        <v>16</v>
      </c>
      <c r="F2511" s="388">
        <f>VLOOKUP(D2485,'Detail Balok'!$C$10:$BJ$140,58,FALSE)</f>
        <v>0</v>
      </c>
      <c r="G2511" s="405" t="s">
        <v>157</v>
      </c>
      <c r="H2511" s="395">
        <f>VLOOKUP(D2485,'Detail Balok'!$C$10:$BJ$140,60,FALSE)</f>
        <v>100</v>
      </c>
      <c r="I2511" s="388"/>
      <c r="J2511" s="399">
        <f t="shared" ref="J2511" si="8055">(D2486-2*F$5)/1000</f>
        <v>0.12</v>
      </c>
      <c r="K2511" s="400" t="s">
        <v>204</v>
      </c>
      <c r="L2511" s="399">
        <f t="shared" si="8046"/>
        <v>0.15</v>
      </c>
      <c r="M2511" s="399" t="s">
        <v>176</v>
      </c>
      <c r="N2511" s="399">
        <f t="shared" si="8047"/>
        <v>0.27</v>
      </c>
      <c r="O2511" s="399"/>
      <c r="P2511" s="399"/>
      <c r="Q2511" s="399"/>
      <c r="R2511" s="399"/>
      <c r="S2511" s="399"/>
      <c r="T2511" s="399" t="s">
        <v>125</v>
      </c>
      <c r="U2511" s="401">
        <f t="shared" si="8048"/>
        <v>0</v>
      </c>
      <c r="V2511" s="399" t="s">
        <v>125</v>
      </c>
      <c r="W2511" s="399">
        <f t="shared" si="7860"/>
        <v>11</v>
      </c>
      <c r="X2511" s="399" t="s">
        <v>125</v>
      </c>
      <c r="Y2511" s="389">
        <f t="shared" ref="Y2511" si="8056">D2495</f>
        <v>4</v>
      </c>
      <c r="Z2511" s="400" t="s">
        <v>176</v>
      </c>
      <c r="AA2511" s="402">
        <f t="shared" si="8050"/>
        <v>0</v>
      </c>
      <c r="AB2511" s="403"/>
    </row>
    <row r="2512" spans="1:28">
      <c r="A2512" s="391"/>
      <c r="B2512" s="392"/>
      <c r="C2512" s="392"/>
      <c r="D2512" s="394"/>
      <c r="E2512" s="388"/>
      <c r="F2512" s="388"/>
      <c r="G2512" s="388"/>
      <c r="H2512" s="395"/>
      <c r="I2512" s="388"/>
      <c r="J2512" s="402"/>
      <c r="K2512" s="388"/>
      <c r="L2512" s="388"/>
      <c r="M2512" s="388"/>
      <c r="N2512" s="388"/>
      <c r="O2512" s="388"/>
      <c r="P2512" s="388"/>
      <c r="Q2512" s="388"/>
      <c r="R2512" s="388"/>
      <c r="S2512" s="388"/>
      <c r="T2512" s="388"/>
      <c r="U2512" s="388"/>
      <c r="V2512" s="388"/>
      <c r="W2512" s="388"/>
      <c r="X2512" s="388"/>
      <c r="Y2512" s="389"/>
      <c r="Z2512" s="388"/>
      <c r="AA2512" s="402"/>
      <c r="AB2512" s="403"/>
    </row>
    <row r="2513" spans="1:28" ht="15.75" thickBot="1">
      <c r="A2513" s="406"/>
      <c r="B2513" s="407"/>
      <c r="C2513" s="407"/>
      <c r="D2513" s="408"/>
      <c r="E2513" s="409"/>
      <c r="F2513" s="409"/>
      <c r="G2513" s="409"/>
      <c r="H2513" s="410"/>
      <c r="I2513" s="409"/>
      <c r="J2513" s="409"/>
      <c r="K2513" s="409"/>
      <c r="L2513" s="409"/>
      <c r="M2513" s="409"/>
      <c r="N2513" s="409"/>
      <c r="O2513" s="409"/>
      <c r="P2513" s="409"/>
      <c r="Q2513" s="409"/>
      <c r="R2513" s="409"/>
      <c r="S2513" s="409"/>
      <c r="T2513" s="409"/>
      <c r="U2513" s="409"/>
      <c r="V2513" s="409"/>
      <c r="W2513" s="409"/>
      <c r="X2513" s="409"/>
      <c r="Y2513" s="411"/>
      <c r="Z2513" s="409"/>
      <c r="AA2513" s="412"/>
      <c r="AB2513" s="413"/>
    </row>
    <row r="2514" spans="1:28">
      <c r="A2514" s="377"/>
      <c r="B2514" s="378"/>
      <c r="C2514" s="378"/>
      <c r="D2514" s="379"/>
      <c r="E2514" s="380"/>
      <c r="F2514" s="380"/>
      <c r="G2514" s="380"/>
      <c r="H2514" s="381"/>
      <c r="I2514" s="380"/>
      <c r="J2514" s="380"/>
      <c r="K2514" s="380"/>
      <c r="L2514" s="380"/>
      <c r="M2514" s="380"/>
      <c r="N2514" s="380"/>
      <c r="O2514" s="380"/>
      <c r="P2514" s="380"/>
      <c r="Q2514" s="380"/>
      <c r="R2514" s="380"/>
      <c r="S2514" s="380"/>
      <c r="T2514" s="380"/>
      <c r="U2514" s="380"/>
      <c r="V2514" s="380"/>
      <c r="W2514" s="380"/>
      <c r="X2514" s="380"/>
      <c r="Y2514" s="382"/>
      <c r="Z2514" s="380"/>
      <c r="AA2514" s="380"/>
      <c r="AB2514" s="383"/>
    </row>
    <row r="2515" spans="1:28">
      <c r="A2515" s="384" t="str">
        <f t="shared" si="7869"/>
        <v>Lantai 1</v>
      </c>
      <c r="B2515" s="385">
        <f t="shared" si="7870"/>
        <v>82</v>
      </c>
      <c r="C2515" s="386" t="str">
        <f t="shared" ref="C2515" si="8057">CONCATENATE(A2515," no. ",B2515)</f>
        <v>Lantai 1 no. 82</v>
      </c>
      <c r="D2515" s="2562" t="str">
        <f>VLOOKUP(C2515,'Data Panjang Balok'!$C$9:$N$254,2,FALSE)</f>
        <v>B25-1</v>
      </c>
      <c r="E2515" s="2576"/>
      <c r="F2515" s="2576"/>
      <c r="G2515" s="2576"/>
      <c r="H2515" s="2577"/>
      <c r="I2515" s="387"/>
      <c r="J2515" s="388"/>
      <c r="K2515" s="388"/>
      <c r="L2515" s="388"/>
      <c r="M2515" s="388"/>
      <c r="N2515" s="388"/>
      <c r="O2515" s="388"/>
      <c r="P2515" s="388"/>
      <c r="Q2515" s="388"/>
      <c r="R2515" s="388"/>
      <c r="S2515" s="388"/>
      <c r="T2515" s="388"/>
      <c r="U2515" s="388"/>
      <c r="V2515" s="388"/>
      <c r="W2515" s="388"/>
      <c r="X2515" s="388"/>
      <c r="Y2515" s="389"/>
      <c r="Z2515" s="388"/>
      <c r="AA2515" s="388"/>
      <c r="AB2515" s="390"/>
    </row>
    <row r="2516" spans="1:28">
      <c r="A2516" s="391"/>
      <c r="B2516" s="392"/>
      <c r="C2516" s="393" t="s">
        <v>118</v>
      </c>
      <c r="D2516" s="2578">
        <f>VLOOKUP(D2515,'Detail Balok'!$C$10:$AU$140,2,FALSE)</f>
        <v>200</v>
      </c>
      <c r="E2516" s="2579"/>
      <c r="F2516" s="388" t="s">
        <v>125</v>
      </c>
      <c r="G2516" s="2579">
        <f>VLOOKUP(D2515,'Detail Balok'!$C$10:$AU$140,3,FALSE)</f>
        <v>500</v>
      </c>
      <c r="H2516" s="2580"/>
      <c r="I2516" s="388"/>
      <c r="J2516" s="396"/>
      <c r="K2516" s="396"/>
      <c r="L2516" s="396"/>
      <c r="M2516" s="396"/>
      <c r="N2516" s="396"/>
      <c r="O2516" s="396"/>
      <c r="P2516" s="396"/>
      <c r="Q2516" s="396"/>
      <c r="R2516" s="396"/>
      <c r="S2516" s="396"/>
      <c r="T2516" s="396"/>
      <c r="U2516" s="388"/>
      <c r="V2516" s="396"/>
      <c r="W2516" s="388"/>
      <c r="X2516" s="396"/>
      <c r="Y2516" s="389"/>
      <c r="Z2516" s="396"/>
      <c r="AA2516" s="388"/>
      <c r="AB2516" s="390"/>
    </row>
    <row r="2517" spans="1:28">
      <c r="A2517" s="391"/>
      <c r="B2517" s="392"/>
      <c r="C2517" s="393" t="s">
        <v>198</v>
      </c>
      <c r="D2517" s="2562">
        <f>VLOOKUP(C2515,'Data Panjang Balok'!$C$9:$N$254,4,FALSE)</f>
        <v>6035</v>
      </c>
      <c r="E2517" s="2563"/>
      <c r="F2517" s="2563"/>
      <c r="G2517" s="2563"/>
      <c r="H2517" s="2564"/>
      <c r="I2517" s="397"/>
      <c r="J2517" s="396"/>
      <c r="K2517" s="396"/>
      <c r="L2517" s="396"/>
      <c r="M2517" s="396"/>
      <c r="N2517" s="396"/>
      <c r="O2517" s="396"/>
      <c r="P2517" s="396"/>
      <c r="Q2517" s="396"/>
      <c r="R2517" s="396"/>
      <c r="S2517" s="396"/>
      <c r="T2517" s="396"/>
      <c r="U2517" s="388"/>
      <c r="V2517" s="396"/>
      <c r="W2517" s="388"/>
      <c r="X2517" s="396"/>
      <c r="Y2517" s="389"/>
      <c r="Z2517" s="396"/>
      <c r="AA2517" s="388"/>
      <c r="AB2517" s="390"/>
    </row>
    <row r="2518" spans="1:28">
      <c r="A2518" s="391"/>
      <c r="B2518" s="392"/>
      <c r="C2518" s="393" t="s">
        <v>199</v>
      </c>
      <c r="D2518" s="2562">
        <f>VLOOKUP(C2515,'Data Panjang Balok'!$C$9:$N$254,7,FALSE)</f>
        <v>6035</v>
      </c>
      <c r="E2518" s="2563"/>
      <c r="F2518" s="2563"/>
      <c r="G2518" s="2563"/>
      <c r="H2518" s="2564"/>
      <c r="I2518" s="397"/>
      <c r="J2518" s="396"/>
      <c r="K2518" s="396"/>
      <c r="L2518" s="396"/>
      <c r="M2518" s="396"/>
      <c r="N2518" s="396"/>
      <c r="O2518" s="396"/>
      <c r="P2518" s="396"/>
      <c r="Q2518" s="396"/>
      <c r="R2518" s="396"/>
      <c r="S2518" s="396"/>
      <c r="T2518" s="396"/>
      <c r="U2518" s="388"/>
      <c r="V2518" s="396"/>
      <c r="W2518" s="388"/>
      <c r="X2518" s="396"/>
      <c r="Y2518" s="389"/>
      <c r="Z2518" s="396"/>
      <c r="AA2518" s="388"/>
      <c r="AB2518" s="390"/>
    </row>
    <row r="2519" spans="1:28">
      <c r="A2519" s="391"/>
      <c r="B2519" s="392"/>
      <c r="C2519" s="393" t="s">
        <v>200</v>
      </c>
      <c r="D2519" s="2562">
        <f>VLOOKUP(C2515,'Data Panjang Balok'!$C$9:$N$254,9,FALSE)</f>
        <v>0</v>
      </c>
      <c r="E2519" s="2563"/>
      <c r="F2519" s="2563"/>
      <c r="G2519" s="2563"/>
      <c r="H2519" s="2564"/>
      <c r="I2519" s="397"/>
      <c r="J2519" s="396"/>
      <c r="K2519" s="396"/>
      <c r="L2519" s="396"/>
      <c r="M2519" s="396"/>
      <c r="N2519" s="396"/>
      <c r="O2519" s="396"/>
      <c r="P2519" s="396"/>
      <c r="Q2519" s="396"/>
      <c r="R2519" s="396"/>
      <c r="S2519" s="396"/>
      <c r="T2519" s="396"/>
      <c r="U2519" s="388"/>
      <c r="V2519" s="396"/>
      <c r="W2519" s="388"/>
      <c r="X2519" s="396"/>
      <c r="Y2519" s="389"/>
      <c r="Z2519" s="396"/>
      <c r="AA2519" s="388"/>
      <c r="AB2519" s="390"/>
    </row>
    <row r="2520" spans="1:28">
      <c r="A2520" s="391"/>
      <c r="B2520" s="392"/>
      <c r="C2520" s="393" t="s">
        <v>201</v>
      </c>
      <c r="D2520" s="2562">
        <f>VLOOKUP(C2515,'Data Panjang Balok'!$C$9:$N$254,10,FALSE)</f>
        <v>0</v>
      </c>
      <c r="E2520" s="2563"/>
      <c r="F2520" s="2563"/>
      <c r="G2520" s="2563"/>
      <c r="H2520" s="2564"/>
      <c r="I2520" s="397"/>
      <c r="J2520" s="396"/>
      <c r="K2520" s="396"/>
      <c r="L2520" s="396"/>
      <c r="M2520" s="396"/>
      <c r="N2520" s="396"/>
      <c r="O2520" s="396"/>
      <c r="P2520" s="396"/>
      <c r="Q2520" s="396"/>
      <c r="R2520" s="396"/>
      <c r="S2520" s="396"/>
      <c r="T2520" s="396"/>
      <c r="U2520" s="388"/>
      <c r="V2520" s="396"/>
      <c r="W2520" s="388"/>
      <c r="X2520" s="396"/>
      <c r="Y2520" s="389"/>
      <c r="Z2520" s="396"/>
      <c r="AA2520" s="388"/>
      <c r="AB2520" s="390"/>
    </row>
    <row r="2521" spans="1:28">
      <c r="A2521" s="391"/>
      <c r="B2521" s="392"/>
      <c r="C2521" s="393" t="s">
        <v>48</v>
      </c>
      <c r="D2521" s="2562">
        <f>VLOOKUP(C2515,'Data Panjang Balok'!$C$9:$N$254,3,FALSE)</f>
        <v>1</v>
      </c>
      <c r="E2521" s="2563"/>
      <c r="F2521" s="2563"/>
      <c r="G2521" s="2563"/>
      <c r="H2521" s="2564"/>
      <c r="I2521" s="397"/>
      <c r="J2521" s="396"/>
      <c r="K2521" s="396"/>
      <c r="L2521" s="396"/>
      <c r="M2521" s="396"/>
      <c r="N2521" s="396"/>
      <c r="O2521" s="396"/>
      <c r="P2521" s="396"/>
      <c r="Q2521" s="396"/>
      <c r="R2521" s="396"/>
      <c r="S2521" s="396"/>
      <c r="T2521" s="396"/>
      <c r="U2521" s="388"/>
      <c r="V2521" s="396"/>
      <c r="W2521" s="388"/>
      <c r="X2521" s="396"/>
      <c r="Y2521" s="389"/>
      <c r="Z2521" s="396"/>
      <c r="AA2521" s="388"/>
      <c r="AB2521" s="390"/>
    </row>
    <row r="2522" spans="1:28">
      <c r="A2522" s="384" t="str">
        <f t="shared" ref="A2522:B2522" si="8058">A2515</f>
        <v>Lantai 1</v>
      </c>
      <c r="B2522" s="385">
        <f t="shared" si="8058"/>
        <v>82</v>
      </c>
      <c r="C2522" s="393" t="s">
        <v>202</v>
      </c>
      <c r="D2522" s="398">
        <f>VLOOKUP(D2515,'Detail Balok'!$C$10:$AU$140,4,FALSE)</f>
        <v>4</v>
      </c>
      <c r="E2522" s="388" t="s">
        <v>16</v>
      </c>
      <c r="F2522" s="388">
        <f>VLOOKUP(D2515,'Detail Balok'!$C$10:$AU$140,6,FALSE)</f>
        <v>16</v>
      </c>
      <c r="G2522" s="388"/>
      <c r="H2522" s="395"/>
      <c r="I2522" s="388" t="s">
        <v>203</v>
      </c>
      <c r="J2522" s="399">
        <f t="shared" ref="J2522" si="8059">+D2517/4/1000</f>
        <v>1.50875</v>
      </c>
      <c r="K2522" s="400" t="s">
        <v>204</v>
      </c>
      <c r="L2522" s="399">
        <f t="shared" ref="L2522" si="8060">MAX(VLOOKUP(F2522,N$6:P$15,3,FALSE)/1000,2/3*D2519/1000)+F$16*F2522/1000</f>
        <v>0.192</v>
      </c>
      <c r="M2522" s="399" t="s">
        <v>176</v>
      </c>
      <c r="N2522" s="399">
        <f t="shared" ref="N2522:N2524" si="8061">J2522+L2522</f>
        <v>1.70075</v>
      </c>
      <c r="O2522" s="399" t="s">
        <v>204</v>
      </c>
      <c r="P2522" s="389">
        <f t="shared" ref="P2522" si="8062">D2522-D2523</f>
        <v>0</v>
      </c>
      <c r="Q2522" s="399" t="s">
        <v>125</v>
      </c>
      <c r="R2522" s="399">
        <f t="shared" ref="R2522" si="8063">IF(P2522&gt;0,$F$18*F2522/1000,0)</f>
        <v>0</v>
      </c>
      <c r="S2522" s="399" t="s">
        <v>205</v>
      </c>
      <c r="T2522" s="399" t="s">
        <v>125</v>
      </c>
      <c r="U2522" s="401">
        <f t="shared" ref="U2522:U2524" si="8064">0.006165*F2522^2</f>
        <v>1.5782400000000001</v>
      </c>
      <c r="V2522" s="399"/>
      <c r="W2522" s="399"/>
      <c r="X2522" s="399" t="s">
        <v>125</v>
      </c>
      <c r="Y2522" s="389">
        <f t="shared" ref="Y2522" si="8065">D2521</f>
        <v>1</v>
      </c>
      <c r="Z2522" s="400" t="s">
        <v>176</v>
      </c>
      <c r="AA2522" s="402">
        <f t="shared" ref="AA2522" si="8066">IF(AA2525=0,(D2522*N2522+P2522*R2522)*U2522*Y2522,0)</f>
        <v>0</v>
      </c>
      <c r="AB2522" s="403"/>
    </row>
    <row r="2523" spans="1:28">
      <c r="A2523" s="384" t="str">
        <f t="shared" ref="A2523:B2523" si="8067">A2515</f>
        <v>Lantai 1</v>
      </c>
      <c r="B2523" s="385">
        <f t="shared" si="8067"/>
        <v>82</v>
      </c>
      <c r="C2523" s="393" t="s">
        <v>206</v>
      </c>
      <c r="D2523" s="398">
        <f>VLOOKUP(D2515,'Detail Balok'!$C$10:$AU$140,7,FALSE)</f>
        <v>4</v>
      </c>
      <c r="E2523" s="388" t="s">
        <v>16</v>
      </c>
      <c r="F2523" s="388">
        <f>VLOOKUP(D2515,'Detail Balok'!$C$10:$AU$140,9,FALSE)</f>
        <v>16</v>
      </c>
      <c r="G2523" s="388"/>
      <c r="H2523" s="395"/>
      <c r="I2523" s="388" t="s">
        <v>203</v>
      </c>
      <c r="J2523" s="399">
        <f t="shared" ref="J2523" si="8068">+D2517/2/1000</f>
        <v>3.0175000000000001</v>
      </c>
      <c r="K2523" s="400" t="s">
        <v>204</v>
      </c>
      <c r="L2523" s="399"/>
      <c r="M2523" s="399" t="s">
        <v>176</v>
      </c>
      <c r="N2523" s="399">
        <f t="shared" si="8061"/>
        <v>3.0175000000000001</v>
      </c>
      <c r="O2523" s="399" t="s">
        <v>204</v>
      </c>
      <c r="P2523" s="389">
        <f t="shared" ref="P2523" si="8069">MAX(D2523-D2522,D2523-D2524)</f>
        <v>0</v>
      </c>
      <c r="Q2523" s="399" t="s">
        <v>125</v>
      </c>
      <c r="R2523" s="399">
        <f t="shared" ref="R2523" si="8070">IF(P2523&gt;0,2*(1-2*$F$19-1/2)*D2518/1000,0)</f>
        <v>0</v>
      </c>
      <c r="S2523" s="399" t="s">
        <v>205</v>
      </c>
      <c r="T2523" s="399" t="s">
        <v>125</v>
      </c>
      <c r="U2523" s="401">
        <f t="shared" si="8064"/>
        <v>1.5782400000000001</v>
      </c>
      <c r="V2523" s="399"/>
      <c r="W2523" s="399"/>
      <c r="X2523" s="399" t="s">
        <v>125</v>
      </c>
      <c r="Y2523" s="389">
        <f t="shared" ref="Y2523" si="8071">D2521</f>
        <v>1</v>
      </c>
      <c r="Z2523" s="400" t="s">
        <v>176</v>
      </c>
      <c r="AA2523" s="402">
        <f t="shared" ref="AA2523" si="8072">IF(AA2525=0,(D2523*N2523+P2523*R2523)*U2523*Y2523,0)</f>
        <v>0</v>
      </c>
      <c r="AB2523" s="403"/>
    </row>
    <row r="2524" spans="1:28">
      <c r="A2524" s="384" t="str">
        <f t="shared" ref="A2524:B2524" si="8073">A2515</f>
        <v>Lantai 1</v>
      </c>
      <c r="B2524" s="385">
        <f t="shared" si="8073"/>
        <v>82</v>
      </c>
      <c r="C2524" s="393" t="s">
        <v>202</v>
      </c>
      <c r="D2524" s="398">
        <f>VLOOKUP(D2515,'Detail Balok'!$C$10:$AU$140,10,FALSE)</f>
        <v>4</v>
      </c>
      <c r="E2524" s="388" t="s">
        <v>16</v>
      </c>
      <c r="F2524" s="388">
        <f>VLOOKUP(D2515,'Detail Balok'!$C$10:$AU$140,12,FALSE)</f>
        <v>16</v>
      </c>
      <c r="G2524" s="388"/>
      <c r="H2524" s="395"/>
      <c r="I2524" s="388" t="s">
        <v>203</v>
      </c>
      <c r="J2524" s="399">
        <f t="shared" ref="J2524" si="8074">+D2517/4/1000</f>
        <v>1.50875</v>
      </c>
      <c r="K2524" s="400" t="s">
        <v>204</v>
      </c>
      <c r="L2524" s="399">
        <f t="shared" ref="L2524" si="8075">MAX(VLOOKUP(F2524,N$6:P$15,3,FALSE)/1000,2/3*D2519/1000)+F$16*F2524/1000</f>
        <v>0.192</v>
      </c>
      <c r="M2524" s="399" t="s">
        <v>176</v>
      </c>
      <c r="N2524" s="399">
        <f t="shared" si="8061"/>
        <v>1.70075</v>
      </c>
      <c r="O2524" s="399" t="s">
        <v>204</v>
      </c>
      <c r="P2524" s="389">
        <f t="shared" ref="P2524" si="8076">D2524-D2523</f>
        <v>0</v>
      </c>
      <c r="Q2524" s="399" t="s">
        <v>125</v>
      </c>
      <c r="R2524" s="399">
        <f t="shared" ref="R2524" si="8077">IF(P2524&gt;0,$F$18*F2524/1000,0)</f>
        <v>0</v>
      </c>
      <c r="S2524" s="399" t="s">
        <v>205</v>
      </c>
      <c r="T2524" s="399" t="s">
        <v>125</v>
      </c>
      <c r="U2524" s="401">
        <f t="shared" si="8064"/>
        <v>1.5782400000000001</v>
      </c>
      <c r="V2524" s="399"/>
      <c r="W2524" s="399"/>
      <c r="X2524" s="399" t="s">
        <v>125</v>
      </c>
      <c r="Y2524" s="389">
        <f t="shared" ref="Y2524" si="8078">D2521</f>
        <v>1</v>
      </c>
      <c r="Z2524" s="400" t="s">
        <v>176</v>
      </c>
      <c r="AA2524" s="402">
        <f t="shared" ref="AA2524" si="8079">IF(AA2525=0,(D2524*N2524+P2524*R2524)*U2524*Y2524,0)</f>
        <v>0</v>
      </c>
      <c r="AB2524" s="403"/>
    </row>
    <row r="2525" spans="1:28">
      <c r="A2525" s="384" t="str">
        <f t="shared" ref="A2525:B2525" si="8080">A2515</f>
        <v>Lantai 1</v>
      </c>
      <c r="B2525" s="385">
        <f t="shared" si="8080"/>
        <v>82</v>
      </c>
      <c r="C2525" s="393"/>
      <c r="D2525" s="398">
        <f t="shared" ref="D2525" si="8081">IF(AND(D2522=D2523,D2523=D2524,D2522=D2524),D2522,0)</f>
        <v>4</v>
      </c>
      <c r="E2525" s="388" t="s">
        <v>16</v>
      </c>
      <c r="F2525" s="388">
        <f t="shared" ref="F2525" si="8082">IF(AND(F2522=F2523,F2522=F2524,F2523=F2524),F2522,0)</f>
        <v>16</v>
      </c>
      <c r="G2525" s="388"/>
      <c r="H2525" s="395"/>
      <c r="I2525" s="388"/>
      <c r="J2525" s="396"/>
      <c r="K2525" s="396"/>
      <c r="L2525" s="404" t="s">
        <v>207</v>
      </c>
      <c r="M2525" s="399" t="s">
        <v>176</v>
      </c>
      <c r="N2525" s="399">
        <f t="shared" ref="N2525" si="8083">IF(AND(D2522=D2523,D2522=D2524,D2523=D2524,F2522=F2523,F2522=F2524,F2523=F2524),SUM(N2522:N2524),0)</f>
        <v>6.4190000000000005</v>
      </c>
      <c r="O2525" s="399" t="s">
        <v>204</v>
      </c>
      <c r="P2525" s="389">
        <f t="shared" ref="P2525" si="8084">IF(N2525&gt;12,ROUNDDOWN(N2525/12,0),0)</f>
        <v>0</v>
      </c>
      <c r="Q2525" s="399" t="s">
        <v>125</v>
      </c>
      <c r="R2525" s="399">
        <f t="shared" ref="R2525" si="8085">IF(P2525&gt;0,MAX(VLOOKUP(F2525,$D$6:$G$15,3,FALSE),600),0)/1000</f>
        <v>0</v>
      </c>
      <c r="S2525" s="396"/>
      <c r="T2525" s="396" t="s">
        <v>125</v>
      </c>
      <c r="U2525" s="401">
        <f t="shared" ref="U2525" si="8086">U2524</f>
        <v>1.5782400000000001</v>
      </c>
      <c r="V2525" s="396" t="s">
        <v>125</v>
      </c>
      <c r="W2525" s="399">
        <f t="shared" ref="W2525" si="8087">D2525</f>
        <v>4</v>
      </c>
      <c r="X2525" s="399" t="s">
        <v>125</v>
      </c>
      <c r="Y2525" s="389">
        <f t="shared" ref="Y2525" si="8088">Y2524</f>
        <v>1</v>
      </c>
      <c r="Z2525" s="400" t="s">
        <v>176</v>
      </c>
      <c r="AA2525" s="402">
        <f t="shared" ref="AA2525" si="8089">(N2525+P2525*R2525/1000)*U2525*W2525*Y2525</f>
        <v>40.522890240000002</v>
      </c>
      <c r="AB2525" s="390"/>
    </row>
    <row r="2526" spans="1:28">
      <c r="A2526" s="384"/>
      <c r="B2526" s="385"/>
      <c r="C2526" s="393"/>
      <c r="D2526" s="398"/>
      <c r="E2526" s="388"/>
      <c r="F2526" s="388"/>
      <c r="G2526" s="388"/>
      <c r="H2526" s="395"/>
      <c r="I2526" s="388"/>
      <c r="J2526" s="396"/>
      <c r="K2526" s="396"/>
      <c r="L2526" s="404"/>
      <c r="M2526" s="399"/>
      <c r="N2526" s="399"/>
      <c r="O2526" s="396"/>
      <c r="P2526" s="389"/>
      <c r="Q2526" s="396"/>
      <c r="R2526" s="396"/>
      <c r="S2526" s="396"/>
      <c r="T2526" s="396"/>
      <c r="U2526" s="401"/>
      <c r="V2526" s="396"/>
      <c r="W2526" s="399"/>
      <c r="X2526" s="396"/>
      <c r="Y2526" s="389"/>
      <c r="Z2526" s="396"/>
      <c r="AA2526" s="388"/>
      <c r="AB2526" s="390"/>
    </row>
    <row r="2527" spans="1:28">
      <c r="A2527" s="384" t="str">
        <f t="shared" ref="A2527:B2527" si="8090">A2515</f>
        <v>Lantai 1</v>
      </c>
      <c r="B2527" s="385">
        <f t="shared" si="8090"/>
        <v>82</v>
      </c>
      <c r="C2527" s="393" t="s">
        <v>208</v>
      </c>
      <c r="D2527" s="398">
        <f>VLOOKUP(D2515,'Detail Balok'!$C$10:$AU$140,13,FALSE)</f>
        <v>2</v>
      </c>
      <c r="E2527" s="388" t="s">
        <v>16</v>
      </c>
      <c r="F2527" s="388">
        <f>VLOOKUP(D2515,'Detail Balok'!$C$10:$AU$140,15,FALSE)</f>
        <v>10</v>
      </c>
      <c r="G2527" s="388"/>
      <c r="H2527" s="395"/>
      <c r="I2527" s="388"/>
      <c r="J2527" s="399">
        <f t="shared" ref="J2527" si="8091">+D2517/1000</f>
        <v>6.0350000000000001</v>
      </c>
      <c r="K2527" s="400" t="s">
        <v>204</v>
      </c>
      <c r="L2527" s="399">
        <f t="shared" ref="L2527" si="8092">2*$F$16*F2527/1000</f>
        <v>0.24</v>
      </c>
      <c r="M2527" s="399" t="s">
        <v>176</v>
      </c>
      <c r="N2527" s="399">
        <f t="shared" ref="N2527" si="8093">J2527+L2527</f>
        <v>6.2750000000000004</v>
      </c>
      <c r="O2527" s="399" t="s">
        <v>204</v>
      </c>
      <c r="P2527" s="389">
        <f t="shared" ref="P2527" si="8094">IF(N2527&gt;12,ROUNDDOWN(N2527/12,0),0)</f>
        <v>0</v>
      </c>
      <c r="Q2527" s="399" t="s">
        <v>125</v>
      </c>
      <c r="R2527" s="399">
        <f t="shared" ref="R2527" si="8095">IF(P2527&gt;0,MAX(VLOOKUP(F2527,$D$6:$G$15,3,FALSE),600),0)/1000</f>
        <v>0</v>
      </c>
      <c r="S2527" s="399"/>
      <c r="T2527" s="399" t="s">
        <v>125</v>
      </c>
      <c r="U2527" s="401">
        <f t="shared" ref="U2527" si="8096">0.006165*F2527^2</f>
        <v>0.61650000000000005</v>
      </c>
      <c r="V2527" s="399" t="s">
        <v>125</v>
      </c>
      <c r="W2527" s="399">
        <f t="shared" ref="W2527" si="8097">+D2527</f>
        <v>2</v>
      </c>
      <c r="X2527" s="399" t="s">
        <v>125</v>
      </c>
      <c r="Y2527" s="389">
        <f t="shared" ref="Y2527" si="8098">D2521</f>
        <v>1</v>
      </c>
      <c r="Z2527" s="400" t="s">
        <v>176</v>
      </c>
      <c r="AA2527" s="402">
        <f t="shared" ref="AA2527" si="8099">(N2527+P2527*R2527/1000)*U2527*W2527*Y2527</f>
        <v>7.7370750000000008</v>
      </c>
      <c r="AB2527" s="403"/>
    </row>
    <row r="2528" spans="1:28">
      <c r="A2528" s="384"/>
      <c r="B2528" s="385"/>
      <c r="C2528" s="393"/>
      <c r="D2528" s="398"/>
      <c r="E2528" s="388"/>
      <c r="F2528" s="388"/>
      <c r="G2528" s="388"/>
      <c r="H2528" s="395"/>
      <c r="I2528" s="388"/>
      <c r="J2528" s="399"/>
      <c r="K2528" s="400"/>
      <c r="L2528" s="399"/>
      <c r="M2528" s="399"/>
      <c r="N2528" s="399"/>
      <c r="O2528" s="399"/>
      <c r="P2528" s="389"/>
      <c r="Q2528" s="399"/>
      <c r="R2528" s="399"/>
      <c r="S2528" s="399"/>
      <c r="T2528" s="399"/>
      <c r="U2528" s="401"/>
      <c r="V2528" s="399"/>
      <c r="W2528" s="399"/>
      <c r="X2528" s="399"/>
      <c r="Y2528" s="389"/>
      <c r="Z2528" s="400"/>
      <c r="AA2528" s="402"/>
      <c r="AB2528" s="403"/>
    </row>
    <row r="2529" spans="1:28">
      <c r="A2529" s="384"/>
      <c r="B2529" s="385"/>
      <c r="C2529" s="393"/>
      <c r="D2529" s="398"/>
      <c r="E2529" s="388"/>
      <c r="F2529" s="388"/>
      <c r="G2529" s="388"/>
      <c r="H2529" s="395"/>
      <c r="I2529" s="388"/>
      <c r="J2529" s="396"/>
      <c r="K2529" s="396"/>
      <c r="L2529" s="396"/>
      <c r="M2529" s="396"/>
      <c r="N2529" s="396"/>
      <c r="O2529" s="396"/>
      <c r="P2529" s="389"/>
      <c r="Q2529" s="396"/>
      <c r="R2529" s="396"/>
      <c r="S2529" s="396"/>
      <c r="T2529" s="396"/>
      <c r="U2529" s="401"/>
      <c r="V2529" s="396"/>
      <c r="W2529" s="399"/>
      <c r="X2529" s="396"/>
      <c r="Y2529" s="389"/>
      <c r="Z2529" s="396"/>
      <c r="AA2529" s="388"/>
      <c r="AB2529" s="390"/>
    </row>
    <row r="2530" spans="1:28">
      <c r="A2530" s="384" t="str">
        <f t="shared" ref="A2530:B2530" si="8100">A2515</f>
        <v>Lantai 1</v>
      </c>
      <c r="B2530" s="385">
        <f t="shared" si="8100"/>
        <v>82</v>
      </c>
      <c r="C2530" s="393" t="s">
        <v>209</v>
      </c>
      <c r="D2530" s="398">
        <f>VLOOKUP(D2515,'Detail Balok'!$C$10:$AU$140,22,FALSE)</f>
        <v>4</v>
      </c>
      <c r="E2530" s="388" t="s">
        <v>16</v>
      </c>
      <c r="F2530" s="388">
        <f>VLOOKUP(D2515,'Detail Balok'!$C$10:$AU$140,24,FALSE)</f>
        <v>16</v>
      </c>
      <c r="G2530" s="388"/>
      <c r="H2530" s="395"/>
      <c r="I2530" s="388" t="s">
        <v>203</v>
      </c>
      <c r="J2530" s="399">
        <f t="shared" ref="J2530:J2532" si="8101">+J2522</f>
        <v>1.50875</v>
      </c>
      <c r="K2530" s="400" t="s">
        <v>204</v>
      </c>
      <c r="L2530" s="399">
        <f t="shared" ref="L2530" si="8102">MAX(VLOOKUP(F2530,N$6:P$15,3,FALSE)/1000,2/3*D2520/1000)+F$16*F2530/1000</f>
        <v>0.192</v>
      </c>
      <c r="M2530" s="399" t="s">
        <v>176</v>
      </c>
      <c r="N2530" s="399">
        <f t="shared" ref="N2530:N2532" si="8103">J2530+L2530</f>
        <v>1.70075</v>
      </c>
      <c r="O2530" s="399" t="s">
        <v>204</v>
      </c>
      <c r="P2530" s="389">
        <f t="shared" ref="P2530" si="8104">D2530-D2531</f>
        <v>0</v>
      </c>
      <c r="Q2530" s="399" t="s">
        <v>125</v>
      </c>
      <c r="R2530" s="399">
        <f t="shared" ref="R2530" si="8105">IF(P2530&gt;0,$F$18*F2530/1000,0)</f>
        <v>0</v>
      </c>
      <c r="S2530" s="399" t="s">
        <v>205</v>
      </c>
      <c r="T2530" s="399" t="s">
        <v>125</v>
      </c>
      <c r="U2530" s="401">
        <f t="shared" ref="U2530:U2532" si="8106">0.006165*F2530^2</f>
        <v>1.5782400000000001</v>
      </c>
      <c r="V2530" s="399"/>
      <c r="W2530" s="399"/>
      <c r="X2530" s="399" t="s">
        <v>125</v>
      </c>
      <c r="Y2530" s="389">
        <f t="shared" ref="Y2530" si="8107">D2521</f>
        <v>1</v>
      </c>
      <c r="Z2530" s="400" t="s">
        <v>176</v>
      </c>
      <c r="AA2530" s="402">
        <f t="shared" ref="AA2530" si="8108">IF(AA2533=0,(D2530*N2530+P2530*R2530)*U2530*Y2530,0)</f>
        <v>0</v>
      </c>
      <c r="AB2530" s="403"/>
    </row>
    <row r="2531" spans="1:28">
      <c r="A2531" s="384" t="str">
        <f t="shared" ref="A2531:B2531" si="8109">A2515</f>
        <v>Lantai 1</v>
      </c>
      <c r="B2531" s="385">
        <f t="shared" si="8109"/>
        <v>82</v>
      </c>
      <c r="C2531" s="393" t="s">
        <v>210</v>
      </c>
      <c r="D2531" s="398">
        <f>VLOOKUP(D2515,'Detail Balok'!$C$10:$AU$140,25,FALSE)</f>
        <v>4</v>
      </c>
      <c r="E2531" s="388" t="s">
        <v>16</v>
      </c>
      <c r="F2531" s="388">
        <f>VLOOKUP(D2515,'Detail Balok'!$C$10:$AU$140,27,FALSE)</f>
        <v>16</v>
      </c>
      <c r="G2531" s="388"/>
      <c r="H2531" s="395"/>
      <c r="I2531" s="388" t="s">
        <v>203</v>
      </c>
      <c r="J2531" s="399">
        <f t="shared" si="8101"/>
        <v>3.0175000000000001</v>
      </c>
      <c r="K2531" s="400" t="s">
        <v>204</v>
      </c>
      <c r="L2531" s="399"/>
      <c r="M2531" s="399" t="s">
        <v>176</v>
      </c>
      <c r="N2531" s="399">
        <f t="shared" si="8103"/>
        <v>3.0175000000000001</v>
      </c>
      <c r="O2531" s="399" t="s">
        <v>204</v>
      </c>
      <c r="P2531" s="389">
        <f t="shared" ref="P2531" si="8110">MAX(D2531-D2530,D2531-D2532)</f>
        <v>0</v>
      </c>
      <c r="Q2531" s="399" t="s">
        <v>125</v>
      </c>
      <c r="R2531" s="399">
        <f t="shared" ref="R2531" si="8111">IF(P2531&gt;0,2*(1-2*$F$19-1/2)*D2518/1000,0)</f>
        <v>0</v>
      </c>
      <c r="S2531" s="399" t="s">
        <v>205</v>
      </c>
      <c r="T2531" s="399" t="s">
        <v>125</v>
      </c>
      <c r="U2531" s="401">
        <f t="shared" si="8106"/>
        <v>1.5782400000000001</v>
      </c>
      <c r="V2531" s="399"/>
      <c r="W2531" s="399"/>
      <c r="X2531" s="399" t="s">
        <v>125</v>
      </c>
      <c r="Y2531" s="389">
        <f t="shared" ref="Y2531" si="8112">D2521</f>
        <v>1</v>
      </c>
      <c r="Z2531" s="400" t="s">
        <v>176</v>
      </c>
      <c r="AA2531" s="402">
        <f t="shared" ref="AA2531" si="8113">IF(AA2533=0,(D2531*N2531+P2531*R2531)*U2531*Y2531,0)</f>
        <v>0</v>
      </c>
      <c r="AB2531" s="403"/>
    </row>
    <row r="2532" spans="1:28">
      <c r="A2532" s="384" t="str">
        <f t="shared" ref="A2532:B2532" si="8114">A2515</f>
        <v>Lantai 1</v>
      </c>
      <c r="B2532" s="385">
        <f t="shared" si="8114"/>
        <v>82</v>
      </c>
      <c r="C2532" s="393" t="s">
        <v>209</v>
      </c>
      <c r="D2532" s="398">
        <f>VLOOKUP(D2515,'Detail Balok'!$C$10:$AU$140,28,FALSE)</f>
        <v>4</v>
      </c>
      <c r="E2532" s="388" t="s">
        <v>16</v>
      </c>
      <c r="F2532" s="388">
        <f>VLOOKUP(D2515,'Detail Balok'!$C$10:$AU$140,30,FALSE)</f>
        <v>16</v>
      </c>
      <c r="G2532" s="388"/>
      <c r="H2532" s="395"/>
      <c r="I2532" s="388" t="s">
        <v>203</v>
      </c>
      <c r="J2532" s="399">
        <f t="shared" si="8101"/>
        <v>1.50875</v>
      </c>
      <c r="K2532" s="400" t="s">
        <v>204</v>
      </c>
      <c r="L2532" s="399">
        <f t="shared" ref="L2532" si="8115">MAX(VLOOKUP(F2532,N$6:P$15,3,FALSE)/1000,2/3*D2520/1000)+F$16*F2532/1000</f>
        <v>0.192</v>
      </c>
      <c r="M2532" s="399" t="s">
        <v>176</v>
      </c>
      <c r="N2532" s="399">
        <f t="shared" si="8103"/>
        <v>1.70075</v>
      </c>
      <c r="O2532" s="399" t="s">
        <v>204</v>
      </c>
      <c r="P2532" s="389">
        <f t="shared" ref="P2532" si="8116">D2532-D2531</f>
        <v>0</v>
      </c>
      <c r="Q2532" s="399" t="s">
        <v>125</v>
      </c>
      <c r="R2532" s="399">
        <f t="shared" ref="R2532" si="8117">IF(P2532&gt;0,$F$18*F2532/1000,0)</f>
        <v>0</v>
      </c>
      <c r="S2532" s="399" t="s">
        <v>205</v>
      </c>
      <c r="T2532" s="399" t="s">
        <v>125</v>
      </c>
      <c r="U2532" s="401">
        <f t="shared" si="8106"/>
        <v>1.5782400000000001</v>
      </c>
      <c r="V2532" s="399"/>
      <c r="W2532" s="399"/>
      <c r="X2532" s="399" t="s">
        <v>125</v>
      </c>
      <c r="Y2532" s="389">
        <f t="shared" ref="Y2532" si="8118">D2521</f>
        <v>1</v>
      </c>
      <c r="Z2532" s="400" t="s">
        <v>176</v>
      </c>
      <c r="AA2532" s="402">
        <f t="shared" ref="AA2532" si="8119">IF(AA2533=0,(D2532*N2532+P2532*R2532)*U2532*Y2532,0)</f>
        <v>0</v>
      </c>
      <c r="AB2532" s="403"/>
    </row>
    <row r="2533" spans="1:28">
      <c r="A2533" s="384" t="str">
        <f t="shared" ref="A2533:B2533" si="8120">A2515</f>
        <v>Lantai 1</v>
      </c>
      <c r="B2533" s="385">
        <f t="shared" si="8120"/>
        <v>82</v>
      </c>
      <c r="C2533" s="393"/>
      <c r="D2533" s="398">
        <f t="shared" ref="D2533" si="8121">IF(AND(D2530=D2531,D2531=D2532,D2530=D2532),D2530,0)</f>
        <v>4</v>
      </c>
      <c r="E2533" s="388" t="s">
        <v>16</v>
      </c>
      <c r="F2533" s="388">
        <f t="shared" ref="F2533" si="8122">IF(AND(F2530=F2531,F2530=F2532,F2531=F2532),F2530,0)</f>
        <v>16</v>
      </c>
      <c r="G2533" s="388"/>
      <c r="H2533" s="395"/>
      <c r="I2533" s="388"/>
      <c r="J2533" s="396"/>
      <c r="K2533" s="396"/>
      <c r="L2533" s="404" t="s">
        <v>207</v>
      </c>
      <c r="M2533" s="399" t="s">
        <v>176</v>
      </c>
      <c r="N2533" s="399">
        <f t="shared" ref="N2533" si="8123">IF(AND(D2530=D2531,D2530=D2532,D2531=D2532,F2530=F2531,F2530=F2532,F2531=F2532),SUM(N2530:N2532),0)</f>
        <v>6.4190000000000005</v>
      </c>
      <c r="O2533" s="399" t="s">
        <v>204</v>
      </c>
      <c r="P2533" s="389">
        <f t="shared" ref="P2533" si="8124">IF(N2533&gt;12,ROUNDDOWN(N2533/12,0),0)</f>
        <v>0</v>
      </c>
      <c r="Q2533" s="399" t="s">
        <v>125</v>
      </c>
      <c r="R2533" s="399">
        <f t="shared" ref="R2533" si="8125">IF(P2533&gt;0,MAX(VLOOKUP(F2533,$D$6:$G$15,3,FALSE),600),0)/1000</f>
        <v>0</v>
      </c>
      <c r="S2533" s="396"/>
      <c r="T2533" s="396" t="s">
        <v>125</v>
      </c>
      <c r="U2533" s="401">
        <f t="shared" ref="U2533" si="8126">U2532</f>
        <v>1.5782400000000001</v>
      </c>
      <c r="V2533" s="396" t="s">
        <v>125</v>
      </c>
      <c r="W2533" s="399">
        <f t="shared" ref="W2533" si="8127">D2533</f>
        <v>4</v>
      </c>
      <c r="X2533" s="399" t="s">
        <v>125</v>
      </c>
      <c r="Y2533" s="389">
        <f t="shared" ref="Y2533" si="8128">Y2532</f>
        <v>1</v>
      </c>
      <c r="Z2533" s="400" t="s">
        <v>176</v>
      </c>
      <c r="AA2533" s="402">
        <f t="shared" ref="AA2533" si="8129">(N2533+P2533*R2533/1000)*U2533*W2533*Y2533</f>
        <v>40.522890240000002</v>
      </c>
      <c r="AB2533" s="403"/>
    </row>
    <row r="2534" spans="1:28">
      <c r="A2534" s="384"/>
      <c r="B2534" s="385"/>
      <c r="C2534" s="393"/>
      <c r="D2534" s="394"/>
      <c r="E2534" s="388"/>
      <c r="F2534" s="388"/>
      <c r="G2534" s="388"/>
      <c r="H2534" s="395"/>
      <c r="I2534" s="388"/>
      <c r="J2534" s="399"/>
      <c r="K2534" s="396"/>
      <c r="L2534" s="396"/>
      <c r="M2534" s="396"/>
      <c r="N2534" s="396"/>
      <c r="O2534" s="396"/>
      <c r="P2534" s="389"/>
      <c r="Q2534" s="396"/>
      <c r="R2534" s="396"/>
      <c r="S2534" s="396"/>
      <c r="T2534" s="396"/>
      <c r="U2534" s="401"/>
      <c r="V2534" s="396"/>
      <c r="W2534" s="388"/>
      <c r="X2534" s="396"/>
      <c r="Y2534" s="389"/>
      <c r="Z2534" s="396"/>
      <c r="AA2534" s="388"/>
      <c r="AB2534" s="390"/>
    </row>
    <row r="2535" spans="1:28">
      <c r="A2535" s="384" t="str">
        <f t="shared" ref="A2535:B2535" si="8130">A2515</f>
        <v>Lantai 1</v>
      </c>
      <c r="B2535" s="385">
        <f t="shared" si="8130"/>
        <v>82</v>
      </c>
      <c r="C2535" s="393" t="s">
        <v>211</v>
      </c>
      <c r="D2535" s="398">
        <f>VLOOKUP(D2515,'Detail Balok'!$C$10:$AU$140,31,FALSE)</f>
        <v>0</v>
      </c>
      <c r="E2535" s="388" t="s">
        <v>16</v>
      </c>
      <c r="F2535" s="388">
        <f>VLOOKUP(D2515,'Detail Balok'!$C$10:$AU$140,33,FALSE)</f>
        <v>10</v>
      </c>
      <c r="G2535" s="405" t="s">
        <v>157</v>
      </c>
      <c r="H2535" s="395">
        <f>VLOOKUP(D2515,'Detail Balok'!$C$10:$AU$140,35,FALSE)</f>
        <v>150</v>
      </c>
      <c r="I2535" s="388"/>
      <c r="J2535" s="400">
        <f t="shared" ref="J2535" si="8131">(IF(D2535=0,(2*(D2516+G2516))-(F$5*8),IF(D2535=3,(2*(D2516+G2516))-(F$5*8)+(G2516-2*F$5),IF(D2535=4,(2*(D2516+G2516))-(F$5*8)+2*(G2516-2*F$5)))))/1000</f>
        <v>1.08</v>
      </c>
      <c r="K2535" s="400" t="s">
        <v>204</v>
      </c>
      <c r="L2535" s="399">
        <f t="shared" ref="L2535:L2537" si="8132">IF(D2535=0,2*MAX(6*F2535,75),(D2535-1)*2*MAX(6*F2535,75))/1000</f>
        <v>0.15</v>
      </c>
      <c r="M2535" s="399" t="s">
        <v>176</v>
      </c>
      <c r="N2535" s="399">
        <f t="shared" ref="N2535:N2537" si="8133">J2535+L2535</f>
        <v>1.23</v>
      </c>
      <c r="O2535" s="399"/>
      <c r="P2535" s="389"/>
      <c r="Q2535" s="399"/>
      <c r="R2535" s="399"/>
      <c r="S2535" s="399"/>
      <c r="T2535" s="399" t="s">
        <v>125</v>
      </c>
      <c r="U2535" s="401">
        <f t="shared" ref="U2535:U2537" si="8134">0.006165*F2535^2</f>
        <v>0.61650000000000005</v>
      </c>
      <c r="V2535" s="399" t="s">
        <v>125</v>
      </c>
      <c r="W2535" s="399">
        <f t="shared" ref="W2535" si="8135">IF(D2518&gt;4*G2516,ROUND(MAX(D2518/4,2*G2516)/H2535,0)+1,ROUND(D2518/H2535,0)+1)</f>
        <v>11</v>
      </c>
      <c r="X2535" s="399" t="s">
        <v>125</v>
      </c>
      <c r="Y2535" s="389">
        <f t="shared" ref="Y2535" si="8136">D2521</f>
        <v>1</v>
      </c>
      <c r="Z2535" s="400" t="s">
        <v>176</v>
      </c>
      <c r="AA2535" s="402">
        <f t="shared" ref="AA2535:AA2537" si="8137">N2535*U2535*W2535*Y2535</f>
        <v>8.3412450000000007</v>
      </c>
      <c r="AB2535" s="403"/>
    </row>
    <row r="2536" spans="1:28">
      <c r="A2536" s="384" t="str">
        <f t="shared" ref="A2536:B2536" si="8138">A2515</f>
        <v>Lantai 1</v>
      </c>
      <c r="B2536" s="385">
        <f t="shared" si="8138"/>
        <v>82</v>
      </c>
      <c r="C2536" s="393" t="s">
        <v>212</v>
      </c>
      <c r="D2536" s="398">
        <f>VLOOKUP(D2515,'Detail Balok'!$C$10:$AU$140,36,FALSE)</f>
        <v>0</v>
      </c>
      <c r="E2536" s="388" t="s">
        <v>16</v>
      </c>
      <c r="F2536" s="388">
        <f>VLOOKUP(D2515,'Detail Balok'!$C$10:$AU$140,38,FALSE)</f>
        <v>10</v>
      </c>
      <c r="G2536" s="405" t="s">
        <v>157</v>
      </c>
      <c r="H2536" s="395">
        <f>VLOOKUP(D2515,'Detail Balok'!$C$10:$AU$140,40,FALSE)</f>
        <v>200</v>
      </c>
      <c r="I2536" s="388"/>
      <c r="J2536" s="400">
        <f t="shared" ref="J2536" si="8139">(IF(D2536=0,(2*(D2516+G2516))-(F$5*8),IF(D2536=3,(2*(D2516+G2516))-(F$5*8)+(G2516-2*F$5),IF(D2536=4,(2*(D2516+G2516))-(F$5*8)+2*(G2516-2*F$5)))))/1000</f>
        <v>1.08</v>
      </c>
      <c r="K2536" s="400" t="s">
        <v>204</v>
      </c>
      <c r="L2536" s="399">
        <f t="shared" si="8132"/>
        <v>0.15</v>
      </c>
      <c r="M2536" s="399" t="s">
        <v>176</v>
      </c>
      <c r="N2536" s="399">
        <f t="shared" si="8133"/>
        <v>1.23</v>
      </c>
      <c r="O2536" s="399"/>
      <c r="P2536" s="389"/>
      <c r="Q2536" s="399"/>
      <c r="R2536" s="399"/>
      <c r="S2536" s="399"/>
      <c r="T2536" s="399" t="s">
        <v>125</v>
      </c>
      <c r="U2536" s="401">
        <f t="shared" si="8134"/>
        <v>0.61650000000000005</v>
      </c>
      <c r="V2536" s="399" t="s">
        <v>125</v>
      </c>
      <c r="W2536" s="399">
        <f t="shared" ref="W2536" si="8140">IF(D2518-MAX(D2518/4,2*G2516)*2&gt;0,ROUND((D2518-MAX(D2518/4,2*G2516)*2)/H2536,0),0)</f>
        <v>15</v>
      </c>
      <c r="X2536" s="399" t="s">
        <v>125</v>
      </c>
      <c r="Y2536" s="389">
        <f t="shared" ref="Y2536" si="8141">D2521</f>
        <v>1</v>
      </c>
      <c r="Z2536" s="400" t="s">
        <v>176</v>
      </c>
      <c r="AA2536" s="402">
        <f t="shared" si="8137"/>
        <v>11.374425</v>
      </c>
      <c r="AB2536" s="403"/>
    </row>
    <row r="2537" spans="1:28">
      <c r="A2537" s="384" t="str">
        <f t="shared" ref="A2537:B2537" si="8142">A2515</f>
        <v>Lantai 1</v>
      </c>
      <c r="B2537" s="385">
        <f t="shared" si="8142"/>
        <v>82</v>
      </c>
      <c r="C2537" s="393" t="s">
        <v>211</v>
      </c>
      <c r="D2537" s="398">
        <f>VLOOKUP(D2515,'Detail Balok'!$C$10:$AU$140,41,FALSE)</f>
        <v>0</v>
      </c>
      <c r="E2537" s="388" t="s">
        <v>16</v>
      </c>
      <c r="F2537" s="388">
        <f>VLOOKUP(D2515,'Detail Balok'!$C$10:$AU$140,43,FALSE)</f>
        <v>10</v>
      </c>
      <c r="G2537" s="405" t="s">
        <v>157</v>
      </c>
      <c r="H2537" s="395">
        <f>VLOOKUP(D2515,'Detail Balok'!$C$10:$AU$140,45,FALSE)</f>
        <v>150</v>
      </c>
      <c r="I2537" s="388"/>
      <c r="J2537" s="400">
        <f t="shared" ref="J2537" si="8143">(IF(D2537=0,(2*(D2516+G2516))-(F$5*8),IF(D2537=3,(2*(D2516+G2516))-(F$5*8)+(G2516-2*F$5),IF(D2537=4,(2*(D2516+G2516))-(F$5*8)+2*(G2516-2*F$5)))))/1000</f>
        <v>1.08</v>
      </c>
      <c r="K2537" s="400" t="s">
        <v>204</v>
      </c>
      <c r="L2537" s="399">
        <f t="shared" si="8132"/>
        <v>0.15</v>
      </c>
      <c r="M2537" s="399" t="s">
        <v>176</v>
      </c>
      <c r="N2537" s="399">
        <f t="shared" si="8133"/>
        <v>1.23</v>
      </c>
      <c r="O2537" s="399"/>
      <c r="P2537" s="389"/>
      <c r="Q2537" s="399"/>
      <c r="R2537" s="399"/>
      <c r="S2537" s="399"/>
      <c r="T2537" s="399" t="s">
        <v>125</v>
      </c>
      <c r="U2537" s="401">
        <f t="shared" si="8134"/>
        <v>0.61650000000000005</v>
      </c>
      <c r="V2537" s="399" t="s">
        <v>125</v>
      </c>
      <c r="W2537" s="399">
        <f t="shared" ref="W2537" si="8144">IF(D2518&gt;4*G2516,ROUND(MAX(D2518/4,2*G2516)/H2537,0)+1,0)</f>
        <v>11</v>
      </c>
      <c r="X2537" s="399" t="s">
        <v>125</v>
      </c>
      <c r="Y2537" s="389">
        <f t="shared" ref="Y2537" si="8145">D2521</f>
        <v>1</v>
      </c>
      <c r="Z2537" s="400" t="s">
        <v>176</v>
      </c>
      <c r="AA2537" s="402">
        <f t="shared" si="8137"/>
        <v>8.3412450000000007</v>
      </c>
      <c r="AB2537" s="403"/>
    </row>
    <row r="2538" spans="1:28">
      <c r="A2538" s="384"/>
      <c r="B2538" s="385"/>
      <c r="C2538" s="393"/>
      <c r="D2538" s="394"/>
      <c r="E2538" s="388"/>
      <c r="F2538" s="388"/>
      <c r="G2538" s="388"/>
      <c r="H2538" s="395"/>
      <c r="I2538" s="388"/>
      <c r="J2538" s="399"/>
      <c r="K2538" s="396"/>
      <c r="L2538" s="396"/>
      <c r="M2538" s="396"/>
      <c r="N2538" s="396"/>
      <c r="O2538" s="396"/>
      <c r="P2538" s="389"/>
      <c r="Q2538" s="396"/>
      <c r="R2538" s="396"/>
      <c r="S2538" s="396"/>
      <c r="T2538" s="396"/>
      <c r="U2538" s="401"/>
      <c r="V2538" s="396"/>
      <c r="W2538" s="388"/>
      <c r="X2538" s="396"/>
      <c r="Y2538" s="389"/>
      <c r="Z2538" s="396"/>
      <c r="AA2538" s="388"/>
      <c r="AB2538" s="390"/>
    </row>
    <row r="2539" spans="1:28">
      <c r="A2539" s="384" t="str">
        <f t="shared" ref="A2539:B2539" si="8146">A2515</f>
        <v>Lantai 1</v>
      </c>
      <c r="B2539" s="385">
        <f t="shared" si="8146"/>
        <v>82</v>
      </c>
      <c r="C2539" s="393" t="s">
        <v>213</v>
      </c>
      <c r="D2539" s="398">
        <f>VLOOKUP(D2515,'Detail Balok'!$C$10:$BJ$140,46,FALSE)</f>
        <v>0</v>
      </c>
      <c r="E2539" s="388" t="s">
        <v>16</v>
      </c>
      <c r="F2539" s="388">
        <f>VLOOKUP(D2515,'Detail Balok'!$C$10:$BJ$140,48,FALSE)</f>
        <v>0</v>
      </c>
      <c r="G2539" s="405" t="s">
        <v>157</v>
      </c>
      <c r="H2539" s="395">
        <f>VLOOKUP(D2515,'Detail Balok'!$C$10:$BJ$140,50,FALSE)</f>
        <v>100</v>
      </c>
      <c r="I2539" s="388"/>
      <c r="J2539" s="399">
        <f t="shared" ref="J2539" si="8147">(D2516-2*F$5)/1000</f>
        <v>0.12</v>
      </c>
      <c r="K2539" s="400" t="s">
        <v>204</v>
      </c>
      <c r="L2539" s="399">
        <f t="shared" ref="L2539:L2541" si="8148">IF(D2539=0,2*MAX(6*F2539,75),(D2539-1)*2*MAX(6*F2539,75))/1000</f>
        <v>0.15</v>
      </c>
      <c r="M2539" s="399" t="s">
        <v>176</v>
      </c>
      <c r="N2539" s="399">
        <f t="shared" ref="N2539:N2541" si="8149">J2539+L2539</f>
        <v>0.27</v>
      </c>
      <c r="O2539" s="399"/>
      <c r="P2539" s="399"/>
      <c r="Q2539" s="399"/>
      <c r="R2539" s="399"/>
      <c r="S2539" s="399"/>
      <c r="T2539" s="399" t="s">
        <v>125</v>
      </c>
      <c r="U2539" s="401">
        <f t="shared" ref="U2539:U2541" si="8150">0.006165*F2539^2</f>
        <v>0</v>
      </c>
      <c r="V2539" s="399" t="s">
        <v>125</v>
      </c>
      <c r="W2539" s="399">
        <f t="shared" ref="W2539:W2541" si="8151">W2535</f>
        <v>11</v>
      </c>
      <c r="X2539" s="399" t="s">
        <v>125</v>
      </c>
      <c r="Y2539" s="389">
        <f t="shared" ref="Y2539" si="8152">D2525</f>
        <v>4</v>
      </c>
      <c r="Z2539" s="400" t="s">
        <v>176</v>
      </c>
      <c r="AA2539" s="402">
        <f t="shared" ref="AA2539:AA2541" si="8153">N2539*U2539*W2539*Y2539</f>
        <v>0</v>
      </c>
      <c r="AB2539" s="403"/>
    </row>
    <row r="2540" spans="1:28">
      <c r="A2540" s="384" t="str">
        <f t="shared" ref="A2540:B2540" si="8154">A2515</f>
        <v>Lantai 1</v>
      </c>
      <c r="B2540" s="385">
        <f t="shared" si="8154"/>
        <v>82</v>
      </c>
      <c r="C2540" s="393" t="s">
        <v>214</v>
      </c>
      <c r="D2540" s="398">
        <f>VLOOKUP(D2515,'Detail Balok'!$C$10:$BJ$140,51,FALSE)</f>
        <v>0</v>
      </c>
      <c r="E2540" s="388" t="s">
        <v>16</v>
      </c>
      <c r="F2540" s="388">
        <f>VLOOKUP(D2515,'Detail Balok'!$C$10:$BJ$140,53,FALSE)</f>
        <v>0</v>
      </c>
      <c r="G2540" s="405" t="s">
        <v>157</v>
      </c>
      <c r="H2540" s="395">
        <f>VLOOKUP(D2515,'Detail Balok'!$C$10:$BJ$140,55,FALSE)</f>
        <v>100</v>
      </c>
      <c r="I2540" s="388"/>
      <c r="J2540" s="399">
        <f t="shared" ref="J2540" si="8155">(D2516-2*F$5)/1000</f>
        <v>0.12</v>
      </c>
      <c r="K2540" s="400" t="s">
        <v>204</v>
      </c>
      <c r="L2540" s="399">
        <f t="shared" si="8148"/>
        <v>0.15</v>
      </c>
      <c r="M2540" s="399" t="s">
        <v>176</v>
      </c>
      <c r="N2540" s="399">
        <f t="shared" si="8149"/>
        <v>0.27</v>
      </c>
      <c r="O2540" s="399"/>
      <c r="P2540" s="399"/>
      <c r="Q2540" s="399"/>
      <c r="R2540" s="399"/>
      <c r="S2540" s="399"/>
      <c r="T2540" s="399" t="s">
        <v>125</v>
      </c>
      <c r="U2540" s="401">
        <f t="shared" si="8150"/>
        <v>0</v>
      </c>
      <c r="V2540" s="399" t="s">
        <v>125</v>
      </c>
      <c r="W2540" s="399">
        <f t="shared" si="8151"/>
        <v>15</v>
      </c>
      <c r="X2540" s="399" t="s">
        <v>125</v>
      </c>
      <c r="Y2540" s="389">
        <f t="shared" ref="Y2540" si="8156">D2525</f>
        <v>4</v>
      </c>
      <c r="Z2540" s="400" t="s">
        <v>176</v>
      </c>
      <c r="AA2540" s="402">
        <f t="shared" si="8153"/>
        <v>0</v>
      </c>
      <c r="AB2540" s="403"/>
    </row>
    <row r="2541" spans="1:28">
      <c r="A2541" s="384" t="str">
        <f t="shared" ref="A2541:B2541" si="8157">A2515</f>
        <v>Lantai 1</v>
      </c>
      <c r="B2541" s="385">
        <f t="shared" si="8157"/>
        <v>82</v>
      </c>
      <c r="C2541" s="393" t="s">
        <v>213</v>
      </c>
      <c r="D2541" s="398">
        <f>VLOOKUP(D2515,'Detail Balok'!$C$10:$BJ$140,56,FALSE)</f>
        <v>0</v>
      </c>
      <c r="E2541" s="388" t="s">
        <v>16</v>
      </c>
      <c r="F2541" s="388">
        <f>VLOOKUP(D2515,'Detail Balok'!$C$10:$BJ$140,58,FALSE)</f>
        <v>0</v>
      </c>
      <c r="G2541" s="405" t="s">
        <v>157</v>
      </c>
      <c r="H2541" s="395">
        <f>VLOOKUP(D2515,'Detail Balok'!$C$10:$BJ$140,60,FALSE)</f>
        <v>100</v>
      </c>
      <c r="I2541" s="388"/>
      <c r="J2541" s="399">
        <f t="shared" ref="J2541" si="8158">(D2516-2*F$5)/1000</f>
        <v>0.12</v>
      </c>
      <c r="K2541" s="400" t="s">
        <v>204</v>
      </c>
      <c r="L2541" s="399">
        <f t="shared" si="8148"/>
        <v>0.15</v>
      </c>
      <c r="M2541" s="399" t="s">
        <v>176</v>
      </c>
      <c r="N2541" s="399">
        <f t="shared" si="8149"/>
        <v>0.27</v>
      </c>
      <c r="O2541" s="399"/>
      <c r="P2541" s="399"/>
      <c r="Q2541" s="399"/>
      <c r="R2541" s="399"/>
      <c r="S2541" s="399"/>
      <c r="T2541" s="399" t="s">
        <v>125</v>
      </c>
      <c r="U2541" s="401">
        <f t="shared" si="8150"/>
        <v>0</v>
      </c>
      <c r="V2541" s="399" t="s">
        <v>125</v>
      </c>
      <c r="W2541" s="399">
        <f t="shared" si="8151"/>
        <v>11</v>
      </c>
      <c r="X2541" s="399" t="s">
        <v>125</v>
      </c>
      <c r="Y2541" s="389">
        <f t="shared" ref="Y2541" si="8159">D2525</f>
        <v>4</v>
      </c>
      <c r="Z2541" s="400" t="s">
        <v>176</v>
      </c>
      <c r="AA2541" s="402">
        <f t="shared" si="8153"/>
        <v>0</v>
      </c>
      <c r="AB2541" s="403"/>
    </row>
    <row r="2542" spans="1:28">
      <c r="A2542" s="391"/>
      <c r="B2542" s="392"/>
      <c r="C2542" s="392"/>
      <c r="D2542" s="394"/>
      <c r="E2542" s="388"/>
      <c r="F2542" s="388"/>
      <c r="G2542" s="388"/>
      <c r="H2542" s="395"/>
      <c r="I2542" s="388"/>
      <c r="J2542" s="402"/>
      <c r="K2542" s="388"/>
      <c r="L2542" s="388"/>
      <c r="M2542" s="388"/>
      <c r="N2542" s="388"/>
      <c r="O2542" s="388"/>
      <c r="P2542" s="388"/>
      <c r="Q2542" s="388"/>
      <c r="R2542" s="388"/>
      <c r="S2542" s="388"/>
      <c r="T2542" s="388"/>
      <c r="U2542" s="388"/>
      <c r="V2542" s="388"/>
      <c r="W2542" s="388"/>
      <c r="X2542" s="388"/>
      <c r="Y2542" s="389"/>
      <c r="Z2542" s="388"/>
      <c r="AA2542" s="402"/>
      <c r="AB2542" s="403"/>
    </row>
    <row r="2543" spans="1:28" ht="15.75" thickBot="1">
      <c r="A2543" s="406"/>
      <c r="B2543" s="407"/>
      <c r="C2543" s="407"/>
      <c r="D2543" s="408"/>
      <c r="E2543" s="409"/>
      <c r="F2543" s="409"/>
      <c r="G2543" s="409"/>
      <c r="H2543" s="410"/>
      <c r="I2543" s="409"/>
      <c r="J2543" s="409"/>
      <c r="K2543" s="409"/>
      <c r="L2543" s="409"/>
      <c r="M2543" s="409"/>
      <c r="N2543" s="409"/>
      <c r="O2543" s="409"/>
      <c r="P2543" s="409"/>
      <c r="Q2543" s="409"/>
      <c r="R2543" s="409"/>
      <c r="S2543" s="409"/>
      <c r="T2543" s="409"/>
      <c r="U2543" s="409"/>
      <c r="V2543" s="409"/>
      <c r="W2543" s="409"/>
      <c r="X2543" s="409"/>
      <c r="Y2543" s="411"/>
      <c r="Z2543" s="409"/>
      <c r="AA2543" s="412"/>
      <c r="AB2543" s="413"/>
    </row>
    <row r="2544" spans="1:28">
      <c r="A2544" s="377"/>
      <c r="B2544" s="378"/>
      <c r="C2544" s="378"/>
      <c r="D2544" s="379"/>
      <c r="E2544" s="380"/>
      <c r="F2544" s="380"/>
      <c r="G2544" s="380"/>
      <c r="H2544" s="381"/>
      <c r="I2544" s="380"/>
      <c r="J2544" s="380"/>
      <c r="K2544" s="380"/>
      <c r="L2544" s="380"/>
      <c r="M2544" s="380"/>
      <c r="N2544" s="380"/>
      <c r="O2544" s="380"/>
      <c r="P2544" s="380"/>
      <c r="Q2544" s="380"/>
      <c r="R2544" s="380"/>
      <c r="S2544" s="380"/>
      <c r="T2544" s="380"/>
      <c r="U2544" s="380"/>
      <c r="V2544" s="380"/>
      <c r="W2544" s="380"/>
      <c r="X2544" s="380"/>
      <c r="Y2544" s="382"/>
      <c r="Z2544" s="380"/>
      <c r="AA2544" s="380"/>
      <c r="AB2544" s="383"/>
    </row>
    <row r="2545" spans="1:28">
      <c r="A2545" s="384" t="str">
        <f t="shared" ref="A2545:A2605" si="8160">A2515</f>
        <v>Lantai 1</v>
      </c>
      <c r="B2545" s="385">
        <f t="shared" ref="B2545:B2605" si="8161">B2515+1</f>
        <v>83</v>
      </c>
      <c r="C2545" s="386" t="str">
        <f t="shared" ref="C2545" si="8162">CONCATENATE(A2545," no. ",B2545)</f>
        <v>Lantai 1 no. 83</v>
      </c>
      <c r="D2545" s="2562" t="str">
        <f>VLOOKUP(C2545,'Data Panjang Balok'!$C$9:$N$254,2,FALSE)</f>
        <v>B24-1</v>
      </c>
      <c r="E2545" s="2576"/>
      <c r="F2545" s="2576"/>
      <c r="G2545" s="2576"/>
      <c r="H2545" s="2577"/>
      <c r="I2545" s="387"/>
      <c r="J2545" s="388"/>
      <c r="K2545" s="388"/>
      <c r="L2545" s="388"/>
      <c r="M2545" s="388"/>
      <c r="N2545" s="388"/>
      <c r="O2545" s="388"/>
      <c r="P2545" s="388"/>
      <c r="Q2545" s="388"/>
      <c r="R2545" s="388"/>
      <c r="S2545" s="388"/>
      <c r="T2545" s="388"/>
      <c r="U2545" s="388"/>
      <c r="V2545" s="388"/>
      <c r="W2545" s="388"/>
      <c r="X2545" s="388"/>
      <c r="Y2545" s="389"/>
      <c r="Z2545" s="388"/>
      <c r="AA2545" s="388"/>
      <c r="AB2545" s="390"/>
    </row>
    <row r="2546" spans="1:28">
      <c r="A2546" s="391"/>
      <c r="B2546" s="392"/>
      <c r="C2546" s="393" t="s">
        <v>118</v>
      </c>
      <c r="D2546" s="2578">
        <f>VLOOKUP(D2545,'Detail Balok'!$C$10:$AU$140,2,FALSE)</f>
        <v>200</v>
      </c>
      <c r="E2546" s="2579"/>
      <c r="F2546" s="388" t="s">
        <v>125</v>
      </c>
      <c r="G2546" s="2579">
        <f>VLOOKUP(D2545,'Detail Balok'!$C$10:$AU$140,3,FALSE)</f>
        <v>400</v>
      </c>
      <c r="H2546" s="2580"/>
      <c r="I2546" s="388"/>
      <c r="J2546" s="396"/>
      <c r="K2546" s="396"/>
      <c r="L2546" s="396"/>
      <c r="M2546" s="396"/>
      <c r="N2546" s="396"/>
      <c r="O2546" s="396"/>
      <c r="P2546" s="396"/>
      <c r="Q2546" s="396"/>
      <c r="R2546" s="396"/>
      <c r="S2546" s="396"/>
      <c r="T2546" s="396"/>
      <c r="U2546" s="388"/>
      <c r="V2546" s="396"/>
      <c r="W2546" s="388"/>
      <c r="X2546" s="396"/>
      <c r="Y2546" s="389"/>
      <c r="Z2546" s="396"/>
      <c r="AA2546" s="388"/>
      <c r="AB2546" s="390"/>
    </row>
    <row r="2547" spans="1:28">
      <c r="A2547" s="391"/>
      <c r="B2547" s="392"/>
      <c r="C2547" s="393" t="s">
        <v>198</v>
      </c>
      <c r="D2547" s="2562">
        <f>VLOOKUP(C2545,'Data Panjang Balok'!$C$9:$N$254,4,FALSE)</f>
        <v>3090</v>
      </c>
      <c r="E2547" s="2563"/>
      <c r="F2547" s="2563"/>
      <c r="G2547" s="2563"/>
      <c r="H2547" s="2564"/>
      <c r="I2547" s="397"/>
      <c r="J2547" s="396"/>
      <c r="K2547" s="396"/>
      <c r="L2547" s="396"/>
      <c r="M2547" s="396"/>
      <c r="N2547" s="396"/>
      <c r="O2547" s="396"/>
      <c r="P2547" s="396"/>
      <c r="Q2547" s="396"/>
      <c r="R2547" s="396"/>
      <c r="S2547" s="396"/>
      <c r="T2547" s="396"/>
      <c r="U2547" s="388"/>
      <c r="V2547" s="396"/>
      <c r="W2547" s="388"/>
      <c r="X2547" s="396"/>
      <c r="Y2547" s="389"/>
      <c r="Z2547" s="396"/>
      <c r="AA2547" s="388"/>
      <c r="AB2547" s="390"/>
    </row>
    <row r="2548" spans="1:28">
      <c r="A2548" s="391"/>
      <c r="B2548" s="392"/>
      <c r="C2548" s="393" t="s">
        <v>199</v>
      </c>
      <c r="D2548" s="2562">
        <f>VLOOKUP(C2545,'Data Panjang Balok'!$C$9:$N$254,7,FALSE)</f>
        <v>3090</v>
      </c>
      <c r="E2548" s="2563"/>
      <c r="F2548" s="2563"/>
      <c r="G2548" s="2563"/>
      <c r="H2548" s="2564"/>
      <c r="I2548" s="397"/>
      <c r="J2548" s="396"/>
      <c r="K2548" s="396"/>
      <c r="L2548" s="396"/>
      <c r="M2548" s="396"/>
      <c r="N2548" s="396"/>
      <c r="O2548" s="396"/>
      <c r="P2548" s="396"/>
      <c r="Q2548" s="396"/>
      <c r="R2548" s="396"/>
      <c r="S2548" s="396"/>
      <c r="T2548" s="396"/>
      <c r="U2548" s="388"/>
      <c r="V2548" s="396"/>
      <c r="W2548" s="388"/>
      <c r="X2548" s="396"/>
      <c r="Y2548" s="389"/>
      <c r="Z2548" s="396"/>
      <c r="AA2548" s="388"/>
      <c r="AB2548" s="390"/>
    </row>
    <row r="2549" spans="1:28">
      <c r="A2549" s="391"/>
      <c r="B2549" s="392"/>
      <c r="C2549" s="393" t="s">
        <v>200</v>
      </c>
      <c r="D2549" s="2562">
        <f>VLOOKUP(C2545,'Data Panjang Balok'!$C$9:$N$254,9,FALSE)</f>
        <v>0</v>
      </c>
      <c r="E2549" s="2563"/>
      <c r="F2549" s="2563"/>
      <c r="G2549" s="2563"/>
      <c r="H2549" s="2564"/>
      <c r="I2549" s="397"/>
      <c r="J2549" s="396"/>
      <c r="K2549" s="396"/>
      <c r="L2549" s="396"/>
      <c r="M2549" s="396"/>
      <c r="N2549" s="396"/>
      <c r="O2549" s="396"/>
      <c r="P2549" s="396"/>
      <c r="Q2549" s="396"/>
      <c r="R2549" s="396"/>
      <c r="S2549" s="396"/>
      <c r="T2549" s="396"/>
      <c r="U2549" s="388"/>
      <c r="V2549" s="396"/>
      <c r="W2549" s="388"/>
      <c r="X2549" s="396"/>
      <c r="Y2549" s="389"/>
      <c r="Z2549" s="396"/>
      <c r="AA2549" s="388"/>
      <c r="AB2549" s="390"/>
    </row>
    <row r="2550" spans="1:28">
      <c r="A2550" s="391"/>
      <c r="B2550" s="392"/>
      <c r="C2550" s="393" t="s">
        <v>201</v>
      </c>
      <c r="D2550" s="2562">
        <f>VLOOKUP(C2545,'Data Panjang Balok'!$C$9:$N$254,10,FALSE)</f>
        <v>0</v>
      </c>
      <c r="E2550" s="2563"/>
      <c r="F2550" s="2563"/>
      <c r="G2550" s="2563"/>
      <c r="H2550" s="2564"/>
      <c r="I2550" s="397"/>
      <c r="J2550" s="396"/>
      <c r="K2550" s="396"/>
      <c r="L2550" s="396"/>
      <c r="M2550" s="396"/>
      <c r="N2550" s="396"/>
      <c r="O2550" s="396"/>
      <c r="P2550" s="396"/>
      <c r="Q2550" s="396"/>
      <c r="R2550" s="396"/>
      <c r="S2550" s="396"/>
      <c r="T2550" s="396"/>
      <c r="U2550" s="388"/>
      <c r="V2550" s="396"/>
      <c r="W2550" s="388"/>
      <c r="X2550" s="396"/>
      <c r="Y2550" s="389"/>
      <c r="Z2550" s="396"/>
      <c r="AA2550" s="388"/>
      <c r="AB2550" s="390"/>
    </row>
    <row r="2551" spans="1:28">
      <c r="A2551" s="391"/>
      <c r="B2551" s="392"/>
      <c r="C2551" s="393" t="s">
        <v>48</v>
      </c>
      <c r="D2551" s="2562">
        <f>VLOOKUP(C2545,'Data Panjang Balok'!$C$9:$N$254,3,FALSE)</f>
        <v>1</v>
      </c>
      <c r="E2551" s="2563"/>
      <c r="F2551" s="2563"/>
      <c r="G2551" s="2563"/>
      <c r="H2551" s="2564"/>
      <c r="I2551" s="397"/>
      <c r="J2551" s="396"/>
      <c r="K2551" s="396"/>
      <c r="L2551" s="396"/>
      <c r="M2551" s="396"/>
      <c r="N2551" s="396"/>
      <c r="O2551" s="396"/>
      <c r="P2551" s="396"/>
      <c r="Q2551" s="396"/>
      <c r="R2551" s="396"/>
      <c r="S2551" s="396"/>
      <c r="T2551" s="396"/>
      <c r="U2551" s="388"/>
      <c r="V2551" s="396"/>
      <c r="W2551" s="388"/>
      <c r="X2551" s="396"/>
      <c r="Y2551" s="389"/>
      <c r="Z2551" s="396"/>
      <c r="AA2551" s="388"/>
      <c r="AB2551" s="390"/>
    </row>
    <row r="2552" spans="1:28">
      <c r="A2552" s="384" t="str">
        <f t="shared" ref="A2552:B2552" si="8163">A2545</f>
        <v>Lantai 1</v>
      </c>
      <c r="B2552" s="385">
        <f t="shared" si="8163"/>
        <v>83</v>
      </c>
      <c r="C2552" s="393" t="s">
        <v>202</v>
      </c>
      <c r="D2552" s="398">
        <f>VLOOKUP(D2545,'Detail Balok'!$C$10:$AU$140,4,FALSE)</f>
        <v>3</v>
      </c>
      <c r="E2552" s="388" t="s">
        <v>16</v>
      </c>
      <c r="F2552" s="388">
        <f>VLOOKUP(D2545,'Detail Balok'!$C$10:$AU$140,6,FALSE)</f>
        <v>13</v>
      </c>
      <c r="G2552" s="388"/>
      <c r="H2552" s="395"/>
      <c r="I2552" s="388" t="s">
        <v>203</v>
      </c>
      <c r="J2552" s="399">
        <f t="shared" ref="J2552" si="8164">+D2547/4/1000</f>
        <v>0.77249999999999996</v>
      </c>
      <c r="K2552" s="400" t="s">
        <v>204</v>
      </c>
      <c r="L2552" s="399">
        <f t="shared" ref="L2552" si="8165">MAX(VLOOKUP(F2552,N$6:P$15,3,FALSE)/1000,2/3*D2549/1000)+F$16*F2552/1000</f>
        <v>0.156</v>
      </c>
      <c r="M2552" s="399" t="s">
        <v>176</v>
      </c>
      <c r="N2552" s="399">
        <f t="shared" ref="N2552:N2554" si="8166">J2552+L2552</f>
        <v>0.92849999999999999</v>
      </c>
      <c r="O2552" s="399" t="s">
        <v>204</v>
      </c>
      <c r="P2552" s="389">
        <f t="shared" ref="P2552" si="8167">D2552-D2553</f>
        <v>0</v>
      </c>
      <c r="Q2552" s="399" t="s">
        <v>125</v>
      </c>
      <c r="R2552" s="399">
        <f t="shared" ref="R2552" si="8168">IF(P2552&gt;0,$F$18*F2552/1000,0)</f>
        <v>0</v>
      </c>
      <c r="S2552" s="399" t="s">
        <v>205</v>
      </c>
      <c r="T2552" s="399" t="s">
        <v>125</v>
      </c>
      <c r="U2552" s="401">
        <f t="shared" ref="U2552:U2554" si="8169">0.006165*F2552^2</f>
        <v>1.041885</v>
      </c>
      <c r="V2552" s="399"/>
      <c r="W2552" s="399"/>
      <c r="X2552" s="399" t="s">
        <v>125</v>
      </c>
      <c r="Y2552" s="389">
        <f t="shared" ref="Y2552" si="8170">D2551</f>
        <v>1</v>
      </c>
      <c r="Z2552" s="400" t="s">
        <v>176</v>
      </c>
      <c r="AA2552" s="402">
        <f t="shared" ref="AA2552" si="8171">IF(AA2555=0,(D2552*N2552+P2552*R2552)*U2552*Y2552,0)</f>
        <v>0</v>
      </c>
      <c r="AB2552" s="403"/>
    </row>
    <row r="2553" spans="1:28">
      <c r="A2553" s="384" t="str">
        <f t="shared" ref="A2553:B2553" si="8172">A2545</f>
        <v>Lantai 1</v>
      </c>
      <c r="B2553" s="385">
        <f t="shared" si="8172"/>
        <v>83</v>
      </c>
      <c r="C2553" s="393" t="s">
        <v>206</v>
      </c>
      <c r="D2553" s="398">
        <f>VLOOKUP(D2545,'Detail Balok'!$C$10:$AU$140,7,FALSE)</f>
        <v>3</v>
      </c>
      <c r="E2553" s="388" t="s">
        <v>16</v>
      </c>
      <c r="F2553" s="388">
        <f>VLOOKUP(D2545,'Detail Balok'!$C$10:$AU$140,9,FALSE)</f>
        <v>13</v>
      </c>
      <c r="G2553" s="388"/>
      <c r="H2553" s="395"/>
      <c r="I2553" s="388" t="s">
        <v>203</v>
      </c>
      <c r="J2553" s="399">
        <f t="shared" ref="J2553" si="8173">+D2547/2/1000</f>
        <v>1.5449999999999999</v>
      </c>
      <c r="K2553" s="400" t="s">
        <v>204</v>
      </c>
      <c r="L2553" s="399"/>
      <c r="M2553" s="399" t="s">
        <v>176</v>
      </c>
      <c r="N2553" s="399">
        <f t="shared" si="8166"/>
        <v>1.5449999999999999</v>
      </c>
      <c r="O2553" s="399" t="s">
        <v>204</v>
      </c>
      <c r="P2553" s="389">
        <f t="shared" ref="P2553" si="8174">MAX(D2553-D2552,D2553-D2554)</f>
        <v>0</v>
      </c>
      <c r="Q2553" s="399" t="s">
        <v>125</v>
      </c>
      <c r="R2553" s="399">
        <f t="shared" ref="R2553" si="8175">IF(P2553&gt;0,2*(1-2*$F$19-1/2)*D2548/1000,0)</f>
        <v>0</v>
      </c>
      <c r="S2553" s="399" t="s">
        <v>205</v>
      </c>
      <c r="T2553" s="399" t="s">
        <v>125</v>
      </c>
      <c r="U2553" s="401">
        <f t="shared" si="8169"/>
        <v>1.041885</v>
      </c>
      <c r="V2553" s="399"/>
      <c r="W2553" s="399"/>
      <c r="X2553" s="399" t="s">
        <v>125</v>
      </c>
      <c r="Y2553" s="389">
        <f t="shared" ref="Y2553" si="8176">D2551</f>
        <v>1</v>
      </c>
      <c r="Z2553" s="400" t="s">
        <v>176</v>
      </c>
      <c r="AA2553" s="402">
        <f t="shared" ref="AA2553" si="8177">IF(AA2555=0,(D2553*N2553+P2553*R2553)*U2553*Y2553,0)</f>
        <v>0</v>
      </c>
      <c r="AB2553" s="403"/>
    </row>
    <row r="2554" spans="1:28">
      <c r="A2554" s="384" t="str">
        <f t="shared" ref="A2554:B2554" si="8178">A2545</f>
        <v>Lantai 1</v>
      </c>
      <c r="B2554" s="385">
        <f t="shared" si="8178"/>
        <v>83</v>
      </c>
      <c r="C2554" s="393" t="s">
        <v>202</v>
      </c>
      <c r="D2554" s="398">
        <f>VLOOKUP(D2545,'Detail Balok'!$C$10:$AU$140,10,FALSE)</f>
        <v>3</v>
      </c>
      <c r="E2554" s="388" t="s">
        <v>16</v>
      </c>
      <c r="F2554" s="388">
        <f>VLOOKUP(D2545,'Detail Balok'!$C$10:$AU$140,12,FALSE)</f>
        <v>13</v>
      </c>
      <c r="G2554" s="388"/>
      <c r="H2554" s="395"/>
      <c r="I2554" s="388" t="s">
        <v>203</v>
      </c>
      <c r="J2554" s="399">
        <f t="shared" ref="J2554" si="8179">+D2547/4/1000</f>
        <v>0.77249999999999996</v>
      </c>
      <c r="K2554" s="400" t="s">
        <v>204</v>
      </c>
      <c r="L2554" s="399">
        <f t="shared" ref="L2554" si="8180">MAX(VLOOKUP(F2554,N$6:P$15,3,FALSE)/1000,2/3*D2549/1000)+F$16*F2554/1000</f>
        <v>0.156</v>
      </c>
      <c r="M2554" s="399" t="s">
        <v>176</v>
      </c>
      <c r="N2554" s="399">
        <f t="shared" si="8166"/>
        <v>0.92849999999999999</v>
      </c>
      <c r="O2554" s="399" t="s">
        <v>204</v>
      </c>
      <c r="P2554" s="389">
        <f t="shared" ref="P2554" si="8181">D2554-D2553</f>
        <v>0</v>
      </c>
      <c r="Q2554" s="399" t="s">
        <v>125</v>
      </c>
      <c r="R2554" s="399">
        <f t="shared" ref="R2554" si="8182">IF(P2554&gt;0,$F$18*F2554/1000,0)</f>
        <v>0</v>
      </c>
      <c r="S2554" s="399" t="s">
        <v>205</v>
      </c>
      <c r="T2554" s="399" t="s">
        <v>125</v>
      </c>
      <c r="U2554" s="401">
        <f t="shared" si="8169"/>
        <v>1.041885</v>
      </c>
      <c r="V2554" s="399"/>
      <c r="W2554" s="399"/>
      <c r="X2554" s="399" t="s">
        <v>125</v>
      </c>
      <c r="Y2554" s="389">
        <f t="shared" ref="Y2554" si="8183">D2551</f>
        <v>1</v>
      </c>
      <c r="Z2554" s="400" t="s">
        <v>176</v>
      </c>
      <c r="AA2554" s="402">
        <f t="shared" ref="AA2554" si="8184">IF(AA2555=0,(D2554*N2554+P2554*R2554)*U2554*Y2554,0)</f>
        <v>0</v>
      </c>
      <c r="AB2554" s="403"/>
    </row>
    <row r="2555" spans="1:28">
      <c r="A2555" s="384" t="str">
        <f t="shared" ref="A2555:B2555" si="8185">A2545</f>
        <v>Lantai 1</v>
      </c>
      <c r="B2555" s="385">
        <f t="shared" si="8185"/>
        <v>83</v>
      </c>
      <c r="C2555" s="393"/>
      <c r="D2555" s="398">
        <f t="shared" ref="D2555:D2585" si="8186">IF(AND(D2552=D2553,D2553=D2554,D2552=D2554),D2552,0)</f>
        <v>3</v>
      </c>
      <c r="E2555" s="388" t="s">
        <v>16</v>
      </c>
      <c r="F2555" s="388">
        <f t="shared" ref="F2555:F2585" si="8187">IF(AND(F2552=F2553,F2552=F2554,F2553=F2554),F2552,0)</f>
        <v>13</v>
      </c>
      <c r="G2555" s="388"/>
      <c r="H2555" s="395"/>
      <c r="I2555" s="388"/>
      <c r="J2555" s="396"/>
      <c r="K2555" s="396"/>
      <c r="L2555" s="404" t="s">
        <v>207</v>
      </c>
      <c r="M2555" s="399" t="s">
        <v>176</v>
      </c>
      <c r="N2555" s="399">
        <f t="shared" ref="N2555" si="8188">IF(AND(D2552=D2553,D2552=D2554,D2553=D2554,F2552=F2553,F2552=F2554,F2553=F2554),SUM(N2552:N2554),0)</f>
        <v>3.4020000000000001</v>
      </c>
      <c r="O2555" s="399" t="s">
        <v>204</v>
      </c>
      <c r="P2555" s="389">
        <f t="shared" ref="P2555" si="8189">IF(N2555&gt;12,ROUNDDOWN(N2555/12,0),0)</f>
        <v>0</v>
      </c>
      <c r="Q2555" s="399" t="s">
        <v>125</v>
      </c>
      <c r="R2555" s="399">
        <f t="shared" ref="R2555" si="8190">IF(P2555&gt;0,MAX(VLOOKUP(F2555,$D$6:$G$15,3,FALSE),600),0)/1000</f>
        <v>0</v>
      </c>
      <c r="S2555" s="396"/>
      <c r="T2555" s="396" t="s">
        <v>125</v>
      </c>
      <c r="U2555" s="401">
        <f t="shared" ref="U2555:U2585" si="8191">U2554</f>
        <v>1.041885</v>
      </c>
      <c r="V2555" s="396" t="s">
        <v>125</v>
      </c>
      <c r="W2555" s="399">
        <f t="shared" ref="W2555" si="8192">D2555</f>
        <v>3</v>
      </c>
      <c r="X2555" s="399" t="s">
        <v>125</v>
      </c>
      <c r="Y2555" s="389">
        <f t="shared" ref="Y2555:Y2585" si="8193">Y2554</f>
        <v>1</v>
      </c>
      <c r="Z2555" s="400" t="s">
        <v>176</v>
      </c>
      <c r="AA2555" s="402">
        <f t="shared" ref="AA2555" si="8194">(N2555+P2555*R2555/1000)*U2555*W2555*Y2555</f>
        <v>10.633478310000001</v>
      </c>
      <c r="AB2555" s="390"/>
    </row>
    <row r="2556" spans="1:28">
      <c r="A2556" s="384"/>
      <c r="B2556" s="385"/>
      <c r="C2556" s="393"/>
      <c r="D2556" s="398"/>
      <c r="E2556" s="388"/>
      <c r="F2556" s="388"/>
      <c r="G2556" s="388"/>
      <c r="H2556" s="395"/>
      <c r="I2556" s="388"/>
      <c r="J2556" s="396"/>
      <c r="K2556" s="396"/>
      <c r="L2556" s="404"/>
      <c r="M2556" s="399"/>
      <c r="N2556" s="399"/>
      <c r="O2556" s="396"/>
      <c r="P2556" s="389"/>
      <c r="Q2556" s="396"/>
      <c r="R2556" s="396"/>
      <c r="S2556" s="396"/>
      <c r="T2556" s="396"/>
      <c r="U2556" s="401"/>
      <c r="V2556" s="396"/>
      <c r="W2556" s="399"/>
      <c r="X2556" s="396"/>
      <c r="Y2556" s="389"/>
      <c r="Z2556" s="396"/>
      <c r="AA2556" s="388"/>
      <c r="AB2556" s="390"/>
    </row>
    <row r="2557" spans="1:28">
      <c r="A2557" s="384" t="str">
        <f t="shared" ref="A2557:B2557" si="8195">A2545</f>
        <v>Lantai 1</v>
      </c>
      <c r="B2557" s="385">
        <f t="shared" si="8195"/>
        <v>83</v>
      </c>
      <c r="C2557" s="393" t="s">
        <v>208</v>
      </c>
      <c r="D2557" s="398">
        <f>VLOOKUP(D2545,'Detail Balok'!$C$10:$AU$140,13,FALSE)</f>
        <v>0</v>
      </c>
      <c r="E2557" s="388" t="s">
        <v>16</v>
      </c>
      <c r="F2557" s="388">
        <f>VLOOKUP(D2545,'Detail Balok'!$C$10:$AU$140,15,FALSE)</f>
        <v>8</v>
      </c>
      <c r="G2557" s="388"/>
      <c r="H2557" s="395"/>
      <c r="I2557" s="388"/>
      <c r="J2557" s="399">
        <f t="shared" ref="J2557" si="8196">+D2547/1000</f>
        <v>3.09</v>
      </c>
      <c r="K2557" s="400" t="s">
        <v>204</v>
      </c>
      <c r="L2557" s="399">
        <f t="shared" ref="L2557" si="8197">2*$F$16*F2557/1000</f>
        <v>0.192</v>
      </c>
      <c r="M2557" s="399" t="s">
        <v>176</v>
      </c>
      <c r="N2557" s="399">
        <f t="shared" ref="N2557" si="8198">J2557+L2557</f>
        <v>3.282</v>
      </c>
      <c r="O2557" s="399" t="s">
        <v>204</v>
      </c>
      <c r="P2557" s="389">
        <f t="shared" ref="P2557" si="8199">IF(N2557&gt;12,ROUNDDOWN(N2557/12,0),0)</f>
        <v>0</v>
      </c>
      <c r="Q2557" s="399" t="s">
        <v>125</v>
      </c>
      <c r="R2557" s="399">
        <f t="shared" ref="R2557" si="8200">IF(P2557&gt;0,MAX(VLOOKUP(F2557,$D$6:$G$15,3,FALSE),600),0)/1000</f>
        <v>0</v>
      </c>
      <c r="S2557" s="399"/>
      <c r="T2557" s="399" t="s">
        <v>125</v>
      </c>
      <c r="U2557" s="401">
        <f t="shared" ref="U2557" si="8201">0.006165*F2557^2</f>
        <v>0.39456000000000002</v>
      </c>
      <c r="V2557" s="399" t="s">
        <v>125</v>
      </c>
      <c r="W2557" s="399">
        <f t="shared" ref="W2557" si="8202">+D2557</f>
        <v>0</v>
      </c>
      <c r="X2557" s="399" t="s">
        <v>125</v>
      </c>
      <c r="Y2557" s="389">
        <f t="shared" ref="Y2557" si="8203">D2551</f>
        <v>1</v>
      </c>
      <c r="Z2557" s="400" t="s">
        <v>176</v>
      </c>
      <c r="AA2557" s="402">
        <f t="shared" ref="AA2557" si="8204">(N2557+P2557*R2557/1000)*U2557*W2557*Y2557</f>
        <v>0</v>
      </c>
      <c r="AB2557" s="403"/>
    </row>
    <row r="2558" spans="1:28">
      <c r="A2558" s="384"/>
      <c r="B2558" s="385"/>
      <c r="C2558" s="393"/>
      <c r="D2558" s="398"/>
      <c r="E2558" s="388"/>
      <c r="F2558" s="388"/>
      <c r="G2558" s="388"/>
      <c r="H2558" s="395"/>
      <c r="I2558" s="388"/>
      <c r="J2558" s="399"/>
      <c r="K2558" s="400"/>
      <c r="L2558" s="399"/>
      <c r="M2558" s="399"/>
      <c r="N2558" s="399"/>
      <c r="O2558" s="399"/>
      <c r="P2558" s="389"/>
      <c r="Q2558" s="399"/>
      <c r="R2558" s="399"/>
      <c r="S2558" s="399"/>
      <c r="T2558" s="399"/>
      <c r="U2558" s="401"/>
      <c r="V2558" s="399"/>
      <c r="W2558" s="399"/>
      <c r="X2558" s="399"/>
      <c r="Y2558" s="389"/>
      <c r="Z2558" s="400"/>
      <c r="AA2558" s="402"/>
      <c r="AB2558" s="403"/>
    </row>
    <row r="2559" spans="1:28">
      <c r="A2559" s="384"/>
      <c r="B2559" s="385"/>
      <c r="C2559" s="393"/>
      <c r="D2559" s="398"/>
      <c r="E2559" s="388"/>
      <c r="F2559" s="388"/>
      <c r="G2559" s="388"/>
      <c r="H2559" s="395"/>
      <c r="I2559" s="388"/>
      <c r="J2559" s="396"/>
      <c r="K2559" s="396"/>
      <c r="L2559" s="396"/>
      <c r="M2559" s="396"/>
      <c r="N2559" s="396"/>
      <c r="O2559" s="396"/>
      <c r="P2559" s="389"/>
      <c r="Q2559" s="396"/>
      <c r="R2559" s="396"/>
      <c r="S2559" s="396"/>
      <c r="T2559" s="396"/>
      <c r="U2559" s="401"/>
      <c r="V2559" s="396"/>
      <c r="W2559" s="399"/>
      <c r="X2559" s="396"/>
      <c r="Y2559" s="389"/>
      <c r="Z2559" s="396"/>
      <c r="AA2559" s="388"/>
      <c r="AB2559" s="390"/>
    </row>
    <row r="2560" spans="1:28">
      <c r="A2560" s="384" t="str">
        <f t="shared" ref="A2560:B2560" si="8205">A2545</f>
        <v>Lantai 1</v>
      </c>
      <c r="B2560" s="385">
        <f t="shared" si="8205"/>
        <v>83</v>
      </c>
      <c r="C2560" s="393" t="s">
        <v>209</v>
      </c>
      <c r="D2560" s="398">
        <f>VLOOKUP(D2545,'Detail Balok'!$C$10:$AU$140,22,FALSE)</f>
        <v>3</v>
      </c>
      <c r="E2560" s="388" t="s">
        <v>16</v>
      </c>
      <c r="F2560" s="388">
        <f>VLOOKUP(D2545,'Detail Balok'!$C$10:$AU$140,24,FALSE)</f>
        <v>13</v>
      </c>
      <c r="G2560" s="388"/>
      <c r="H2560" s="395"/>
      <c r="I2560" s="388" t="s">
        <v>203</v>
      </c>
      <c r="J2560" s="399">
        <f t="shared" ref="J2560:J2592" si="8206">+J2552</f>
        <v>0.77249999999999996</v>
      </c>
      <c r="K2560" s="400" t="s">
        <v>204</v>
      </c>
      <c r="L2560" s="399">
        <f t="shared" ref="L2560" si="8207">MAX(VLOOKUP(F2560,N$6:P$15,3,FALSE)/1000,2/3*D2550/1000)+F$16*F2560/1000</f>
        <v>0.156</v>
      </c>
      <c r="M2560" s="399" t="s">
        <v>176</v>
      </c>
      <c r="N2560" s="399">
        <f t="shared" ref="N2560:N2562" si="8208">J2560+L2560</f>
        <v>0.92849999999999999</v>
      </c>
      <c r="O2560" s="399" t="s">
        <v>204</v>
      </c>
      <c r="P2560" s="389">
        <f t="shared" ref="P2560" si="8209">D2560-D2561</f>
        <v>0</v>
      </c>
      <c r="Q2560" s="399" t="s">
        <v>125</v>
      </c>
      <c r="R2560" s="399">
        <f t="shared" ref="R2560" si="8210">IF(P2560&gt;0,$F$18*F2560/1000,0)</f>
        <v>0</v>
      </c>
      <c r="S2560" s="399" t="s">
        <v>205</v>
      </c>
      <c r="T2560" s="399" t="s">
        <v>125</v>
      </c>
      <c r="U2560" s="401">
        <f t="shared" ref="U2560:U2562" si="8211">0.006165*F2560^2</f>
        <v>1.041885</v>
      </c>
      <c r="V2560" s="399"/>
      <c r="W2560" s="399"/>
      <c r="X2560" s="399" t="s">
        <v>125</v>
      </c>
      <c r="Y2560" s="389">
        <f t="shared" ref="Y2560" si="8212">D2551</f>
        <v>1</v>
      </c>
      <c r="Z2560" s="400" t="s">
        <v>176</v>
      </c>
      <c r="AA2560" s="402">
        <f t="shared" ref="AA2560" si="8213">IF(AA2563=0,(D2560*N2560+P2560*R2560)*U2560*Y2560,0)</f>
        <v>0</v>
      </c>
      <c r="AB2560" s="403"/>
    </row>
    <row r="2561" spans="1:28">
      <c r="A2561" s="384" t="str">
        <f t="shared" ref="A2561:B2561" si="8214">A2545</f>
        <v>Lantai 1</v>
      </c>
      <c r="B2561" s="385">
        <f t="shared" si="8214"/>
        <v>83</v>
      </c>
      <c r="C2561" s="393" t="s">
        <v>210</v>
      </c>
      <c r="D2561" s="398">
        <f>VLOOKUP(D2545,'Detail Balok'!$C$10:$AU$140,25,FALSE)</f>
        <v>3</v>
      </c>
      <c r="E2561" s="388" t="s">
        <v>16</v>
      </c>
      <c r="F2561" s="388">
        <f>VLOOKUP(D2545,'Detail Balok'!$C$10:$AU$140,27,FALSE)</f>
        <v>13</v>
      </c>
      <c r="G2561" s="388"/>
      <c r="H2561" s="395"/>
      <c r="I2561" s="388" t="s">
        <v>203</v>
      </c>
      <c r="J2561" s="399">
        <f t="shared" si="8206"/>
        <v>1.5449999999999999</v>
      </c>
      <c r="K2561" s="400" t="s">
        <v>204</v>
      </c>
      <c r="L2561" s="399"/>
      <c r="M2561" s="399" t="s">
        <v>176</v>
      </c>
      <c r="N2561" s="399">
        <f t="shared" si="8208"/>
        <v>1.5449999999999999</v>
      </c>
      <c r="O2561" s="399" t="s">
        <v>204</v>
      </c>
      <c r="P2561" s="389">
        <f t="shared" ref="P2561" si="8215">MAX(D2561-D2560,D2561-D2562)</f>
        <v>0</v>
      </c>
      <c r="Q2561" s="399" t="s">
        <v>125</v>
      </c>
      <c r="R2561" s="399">
        <f t="shared" ref="R2561" si="8216">IF(P2561&gt;0,2*(1-2*$F$19-1/2)*D2548/1000,0)</f>
        <v>0</v>
      </c>
      <c r="S2561" s="399" t="s">
        <v>205</v>
      </c>
      <c r="T2561" s="399" t="s">
        <v>125</v>
      </c>
      <c r="U2561" s="401">
        <f t="shared" si="8211"/>
        <v>1.041885</v>
      </c>
      <c r="V2561" s="399"/>
      <c r="W2561" s="399"/>
      <c r="X2561" s="399" t="s">
        <v>125</v>
      </c>
      <c r="Y2561" s="389">
        <f t="shared" ref="Y2561" si="8217">D2551</f>
        <v>1</v>
      </c>
      <c r="Z2561" s="400" t="s">
        <v>176</v>
      </c>
      <c r="AA2561" s="402">
        <f t="shared" ref="AA2561" si="8218">IF(AA2563=0,(D2561*N2561+P2561*R2561)*U2561*Y2561,0)</f>
        <v>0</v>
      </c>
      <c r="AB2561" s="403"/>
    </row>
    <row r="2562" spans="1:28">
      <c r="A2562" s="384" t="str">
        <f t="shared" ref="A2562:B2562" si="8219">A2545</f>
        <v>Lantai 1</v>
      </c>
      <c r="B2562" s="385">
        <f t="shared" si="8219"/>
        <v>83</v>
      </c>
      <c r="C2562" s="393" t="s">
        <v>209</v>
      </c>
      <c r="D2562" s="398">
        <f>VLOOKUP(D2545,'Detail Balok'!$C$10:$AU$140,28,FALSE)</f>
        <v>3</v>
      </c>
      <c r="E2562" s="388" t="s">
        <v>16</v>
      </c>
      <c r="F2562" s="388">
        <f>VLOOKUP(D2545,'Detail Balok'!$C$10:$AU$140,30,FALSE)</f>
        <v>13</v>
      </c>
      <c r="G2562" s="388"/>
      <c r="H2562" s="395"/>
      <c r="I2562" s="388" t="s">
        <v>203</v>
      </c>
      <c r="J2562" s="399">
        <f t="shared" si="8206"/>
        <v>0.77249999999999996</v>
      </c>
      <c r="K2562" s="400" t="s">
        <v>204</v>
      </c>
      <c r="L2562" s="399">
        <f t="shared" ref="L2562" si="8220">MAX(VLOOKUP(F2562,N$6:P$15,3,FALSE)/1000,2/3*D2550/1000)+F$16*F2562/1000</f>
        <v>0.156</v>
      </c>
      <c r="M2562" s="399" t="s">
        <v>176</v>
      </c>
      <c r="N2562" s="399">
        <f t="shared" si="8208"/>
        <v>0.92849999999999999</v>
      </c>
      <c r="O2562" s="399" t="s">
        <v>204</v>
      </c>
      <c r="P2562" s="389">
        <f t="shared" ref="P2562" si="8221">D2562-D2561</f>
        <v>0</v>
      </c>
      <c r="Q2562" s="399" t="s">
        <v>125</v>
      </c>
      <c r="R2562" s="399">
        <f t="shared" ref="R2562" si="8222">IF(P2562&gt;0,$F$18*F2562/1000,0)</f>
        <v>0</v>
      </c>
      <c r="S2562" s="399" t="s">
        <v>205</v>
      </c>
      <c r="T2562" s="399" t="s">
        <v>125</v>
      </c>
      <c r="U2562" s="401">
        <f t="shared" si="8211"/>
        <v>1.041885</v>
      </c>
      <c r="V2562" s="399"/>
      <c r="W2562" s="399"/>
      <c r="X2562" s="399" t="s">
        <v>125</v>
      </c>
      <c r="Y2562" s="389">
        <f t="shared" ref="Y2562" si="8223">D2551</f>
        <v>1</v>
      </c>
      <c r="Z2562" s="400" t="s">
        <v>176</v>
      </c>
      <c r="AA2562" s="402">
        <f t="shared" ref="AA2562" si="8224">IF(AA2563=0,(D2562*N2562+P2562*R2562)*U2562*Y2562,0)</f>
        <v>0</v>
      </c>
      <c r="AB2562" s="403"/>
    </row>
    <row r="2563" spans="1:28">
      <c r="A2563" s="384" t="str">
        <f t="shared" ref="A2563:B2563" si="8225">A2545</f>
        <v>Lantai 1</v>
      </c>
      <c r="B2563" s="385">
        <f t="shared" si="8225"/>
        <v>83</v>
      </c>
      <c r="C2563" s="393"/>
      <c r="D2563" s="398">
        <f t="shared" ref="D2563:D2593" si="8226">IF(AND(D2560=D2561,D2561=D2562,D2560=D2562),D2560,0)</f>
        <v>3</v>
      </c>
      <c r="E2563" s="388" t="s">
        <v>16</v>
      </c>
      <c r="F2563" s="388">
        <f t="shared" ref="F2563:F2593" si="8227">IF(AND(F2560=F2561,F2560=F2562,F2561=F2562),F2560,0)</f>
        <v>13</v>
      </c>
      <c r="G2563" s="388"/>
      <c r="H2563" s="395"/>
      <c r="I2563" s="388"/>
      <c r="J2563" s="396"/>
      <c r="K2563" s="396"/>
      <c r="L2563" s="404" t="s">
        <v>207</v>
      </c>
      <c r="M2563" s="399" t="s">
        <v>176</v>
      </c>
      <c r="N2563" s="399">
        <f t="shared" ref="N2563" si="8228">IF(AND(D2560=D2561,D2560=D2562,D2561=D2562,F2560=F2561,F2560=F2562,F2561=F2562),SUM(N2560:N2562),0)</f>
        <v>3.4020000000000001</v>
      </c>
      <c r="O2563" s="399" t="s">
        <v>204</v>
      </c>
      <c r="P2563" s="389">
        <f t="shared" ref="P2563" si="8229">IF(N2563&gt;12,ROUNDDOWN(N2563/12,0),0)</f>
        <v>0</v>
      </c>
      <c r="Q2563" s="399" t="s">
        <v>125</v>
      </c>
      <c r="R2563" s="399">
        <f t="shared" ref="R2563" si="8230">IF(P2563&gt;0,MAX(VLOOKUP(F2563,$D$6:$G$15,3,FALSE),600),0)/1000</f>
        <v>0</v>
      </c>
      <c r="S2563" s="396"/>
      <c r="T2563" s="396" t="s">
        <v>125</v>
      </c>
      <c r="U2563" s="401">
        <f t="shared" ref="U2563:U2593" si="8231">U2562</f>
        <v>1.041885</v>
      </c>
      <c r="V2563" s="396" t="s">
        <v>125</v>
      </c>
      <c r="W2563" s="399">
        <f t="shared" ref="W2563" si="8232">D2563</f>
        <v>3</v>
      </c>
      <c r="X2563" s="399" t="s">
        <v>125</v>
      </c>
      <c r="Y2563" s="389">
        <f t="shared" ref="Y2563:Y2593" si="8233">Y2562</f>
        <v>1</v>
      </c>
      <c r="Z2563" s="400" t="s">
        <v>176</v>
      </c>
      <c r="AA2563" s="402">
        <f t="shared" ref="AA2563" si="8234">(N2563+P2563*R2563/1000)*U2563*W2563*Y2563</f>
        <v>10.633478310000001</v>
      </c>
      <c r="AB2563" s="403"/>
    </row>
    <row r="2564" spans="1:28">
      <c r="A2564" s="384"/>
      <c r="B2564" s="385"/>
      <c r="C2564" s="393"/>
      <c r="D2564" s="394"/>
      <c r="E2564" s="388"/>
      <c r="F2564" s="388"/>
      <c r="G2564" s="388"/>
      <c r="H2564" s="395"/>
      <c r="I2564" s="388"/>
      <c r="J2564" s="399"/>
      <c r="K2564" s="396"/>
      <c r="L2564" s="396"/>
      <c r="M2564" s="396"/>
      <c r="N2564" s="396"/>
      <c r="O2564" s="396"/>
      <c r="P2564" s="389"/>
      <c r="Q2564" s="396"/>
      <c r="R2564" s="396"/>
      <c r="S2564" s="396"/>
      <c r="T2564" s="396"/>
      <c r="U2564" s="401"/>
      <c r="V2564" s="396"/>
      <c r="W2564" s="388"/>
      <c r="X2564" s="396"/>
      <c r="Y2564" s="389"/>
      <c r="Z2564" s="396"/>
      <c r="AA2564" s="388"/>
      <c r="AB2564" s="390"/>
    </row>
    <row r="2565" spans="1:28">
      <c r="A2565" s="384" t="str">
        <f t="shared" ref="A2565:B2565" si="8235">A2545</f>
        <v>Lantai 1</v>
      </c>
      <c r="B2565" s="385">
        <f t="shared" si="8235"/>
        <v>83</v>
      </c>
      <c r="C2565" s="393" t="s">
        <v>211</v>
      </c>
      <c r="D2565" s="398">
        <f>VLOOKUP(D2545,'Detail Balok'!$C$10:$AU$140,31,FALSE)</f>
        <v>0</v>
      </c>
      <c r="E2565" s="388" t="s">
        <v>16</v>
      </c>
      <c r="F2565" s="388">
        <f>VLOOKUP(D2545,'Detail Balok'!$C$10:$AU$140,33,FALSE)</f>
        <v>10</v>
      </c>
      <c r="G2565" s="405" t="s">
        <v>157</v>
      </c>
      <c r="H2565" s="395">
        <f>VLOOKUP(D2545,'Detail Balok'!$C$10:$AU$140,35,FALSE)</f>
        <v>100</v>
      </c>
      <c r="I2565" s="388"/>
      <c r="J2565" s="400">
        <f t="shared" ref="J2565" si="8236">(IF(D2565=0,(2*(D2546+G2546))-(F$5*8),IF(D2565=3,(2*(D2546+G2546))-(F$5*8)+(G2546-2*F$5),IF(D2565=4,(2*(D2546+G2546))-(F$5*8)+2*(G2546-2*F$5)))))/1000</f>
        <v>0.88</v>
      </c>
      <c r="K2565" s="400" t="s">
        <v>204</v>
      </c>
      <c r="L2565" s="399">
        <f t="shared" ref="L2565:L2567" si="8237">IF(D2565=0,2*MAX(6*F2565,75),(D2565-1)*2*MAX(6*F2565,75))/1000</f>
        <v>0.15</v>
      </c>
      <c r="M2565" s="399" t="s">
        <v>176</v>
      </c>
      <c r="N2565" s="399">
        <f t="shared" ref="N2565:N2567" si="8238">J2565+L2565</f>
        <v>1.03</v>
      </c>
      <c r="O2565" s="399"/>
      <c r="P2565" s="389"/>
      <c r="Q2565" s="399"/>
      <c r="R2565" s="399"/>
      <c r="S2565" s="399"/>
      <c r="T2565" s="399" t="s">
        <v>125</v>
      </c>
      <c r="U2565" s="401">
        <f t="shared" ref="U2565:U2567" si="8239">0.006165*F2565^2</f>
        <v>0.61650000000000005</v>
      </c>
      <c r="V2565" s="399" t="s">
        <v>125</v>
      </c>
      <c r="W2565" s="399">
        <f t="shared" ref="W2565" si="8240">IF(D2548&gt;4*G2546,ROUND(MAX(D2548/4,2*G2546)/H2565,0)+1,ROUND(D2548/H2565,0)+1)</f>
        <v>9</v>
      </c>
      <c r="X2565" s="399" t="s">
        <v>125</v>
      </c>
      <c r="Y2565" s="389">
        <f t="shared" ref="Y2565" si="8241">D2551</f>
        <v>1</v>
      </c>
      <c r="Z2565" s="400" t="s">
        <v>176</v>
      </c>
      <c r="AA2565" s="402">
        <f t="shared" ref="AA2565:AA2567" si="8242">N2565*U2565*W2565*Y2565</f>
        <v>5.7149550000000007</v>
      </c>
      <c r="AB2565" s="403"/>
    </row>
    <row r="2566" spans="1:28">
      <c r="A2566" s="384" t="str">
        <f t="shared" ref="A2566:B2566" si="8243">A2545</f>
        <v>Lantai 1</v>
      </c>
      <c r="B2566" s="385">
        <f t="shared" si="8243"/>
        <v>83</v>
      </c>
      <c r="C2566" s="393" t="s">
        <v>212</v>
      </c>
      <c r="D2566" s="398">
        <f>VLOOKUP(D2545,'Detail Balok'!$C$10:$AU$140,36,FALSE)</f>
        <v>0</v>
      </c>
      <c r="E2566" s="388" t="s">
        <v>16</v>
      </c>
      <c r="F2566" s="388">
        <f>VLOOKUP(D2545,'Detail Balok'!$C$10:$AU$140,38,FALSE)</f>
        <v>10</v>
      </c>
      <c r="G2566" s="405" t="s">
        <v>157</v>
      </c>
      <c r="H2566" s="395">
        <f>VLOOKUP(D2545,'Detail Balok'!$C$10:$AU$140,40,FALSE)</f>
        <v>200</v>
      </c>
      <c r="I2566" s="388"/>
      <c r="J2566" s="400">
        <f t="shared" ref="J2566" si="8244">(IF(D2566=0,(2*(D2546+G2546))-(F$5*8),IF(D2566=3,(2*(D2546+G2546))-(F$5*8)+(G2546-2*F$5),IF(D2566=4,(2*(D2546+G2546))-(F$5*8)+2*(G2546-2*F$5)))))/1000</f>
        <v>0.88</v>
      </c>
      <c r="K2566" s="400" t="s">
        <v>204</v>
      </c>
      <c r="L2566" s="399">
        <f t="shared" si="8237"/>
        <v>0.15</v>
      </c>
      <c r="M2566" s="399" t="s">
        <v>176</v>
      </c>
      <c r="N2566" s="399">
        <f t="shared" si="8238"/>
        <v>1.03</v>
      </c>
      <c r="O2566" s="399"/>
      <c r="P2566" s="389"/>
      <c r="Q2566" s="399"/>
      <c r="R2566" s="399"/>
      <c r="S2566" s="399"/>
      <c r="T2566" s="399" t="s">
        <v>125</v>
      </c>
      <c r="U2566" s="401">
        <f t="shared" si="8239"/>
        <v>0.61650000000000005</v>
      </c>
      <c r="V2566" s="399" t="s">
        <v>125</v>
      </c>
      <c r="W2566" s="399">
        <f t="shared" ref="W2566" si="8245">IF(D2548-MAX(D2548/4,2*G2546)*2&gt;0,ROUND((D2548-MAX(D2548/4,2*G2546)*2)/H2566,0),0)</f>
        <v>7</v>
      </c>
      <c r="X2566" s="399" t="s">
        <v>125</v>
      </c>
      <c r="Y2566" s="389">
        <f t="shared" ref="Y2566" si="8246">D2551</f>
        <v>1</v>
      </c>
      <c r="Z2566" s="400" t="s">
        <v>176</v>
      </c>
      <c r="AA2566" s="402">
        <f t="shared" si="8242"/>
        <v>4.4449650000000007</v>
      </c>
      <c r="AB2566" s="403"/>
    </row>
    <row r="2567" spans="1:28">
      <c r="A2567" s="384" t="str">
        <f t="shared" ref="A2567:B2567" si="8247">A2545</f>
        <v>Lantai 1</v>
      </c>
      <c r="B2567" s="385">
        <f t="shared" si="8247"/>
        <v>83</v>
      </c>
      <c r="C2567" s="393" t="s">
        <v>211</v>
      </c>
      <c r="D2567" s="398">
        <f>VLOOKUP(D2545,'Detail Balok'!$C$10:$AU$140,41,FALSE)</f>
        <v>0</v>
      </c>
      <c r="E2567" s="388" t="s">
        <v>16</v>
      </c>
      <c r="F2567" s="388">
        <f>VLOOKUP(D2545,'Detail Balok'!$C$10:$AU$140,43,FALSE)</f>
        <v>10</v>
      </c>
      <c r="G2567" s="405" t="s">
        <v>157</v>
      </c>
      <c r="H2567" s="395">
        <f>VLOOKUP(D2545,'Detail Balok'!$C$10:$AU$140,45,FALSE)</f>
        <v>100</v>
      </c>
      <c r="I2567" s="388"/>
      <c r="J2567" s="400">
        <f t="shared" ref="J2567" si="8248">(IF(D2567=0,(2*(D2546+G2546))-(F$5*8),IF(D2567=3,(2*(D2546+G2546))-(F$5*8)+(G2546-2*F$5),IF(D2567=4,(2*(D2546+G2546))-(F$5*8)+2*(G2546-2*F$5)))))/1000</f>
        <v>0.88</v>
      </c>
      <c r="K2567" s="400" t="s">
        <v>204</v>
      </c>
      <c r="L2567" s="399">
        <f t="shared" si="8237"/>
        <v>0.15</v>
      </c>
      <c r="M2567" s="399" t="s">
        <v>176</v>
      </c>
      <c r="N2567" s="399">
        <f t="shared" si="8238"/>
        <v>1.03</v>
      </c>
      <c r="O2567" s="399"/>
      <c r="P2567" s="389"/>
      <c r="Q2567" s="399"/>
      <c r="R2567" s="399"/>
      <c r="S2567" s="399"/>
      <c r="T2567" s="399" t="s">
        <v>125</v>
      </c>
      <c r="U2567" s="401">
        <f t="shared" si="8239"/>
        <v>0.61650000000000005</v>
      </c>
      <c r="V2567" s="399" t="s">
        <v>125</v>
      </c>
      <c r="W2567" s="399">
        <f t="shared" ref="W2567" si="8249">IF(D2548&gt;4*G2546,ROUND(MAX(D2548/4,2*G2546)/H2567,0)+1,0)</f>
        <v>9</v>
      </c>
      <c r="X2567" s="399" t="s">
        <v>125</v>
      </c>
      <c r="Y2567" s="389">
        <f t="shared" ref="Y2567" si="8250">D2551</f>
        <v>1</v>
      </c>
      <c r="Z2567" s="400" t="s">
        <v>176</v>
      </c>
      <c r="AA2567" s="402">
        <f t="shared" si="8242"/>
        <v>5.7149550000000007</v>
      </c>
      <c r="AB2567" s="403"/>
    </row>
    <row r="2568" spans="1:28">
      <c r="A2568" s="384"/>
      <c r="B2568" s="385"/>
      <c r="C2568" s="393"/>
      <c r="D2568" s="394"/>
      <c r="E2568" s="388"/>
      <c r="F2568" s="388"/>
      <c r="G2568" s="388"/>
      <c r="H2568" s="395"/>
      <c r="I2568" s="388"/>
      <c r="J2568" s="399"/>
      <c r="K2568" s="396"/>
      <c r="L2568" s="396"/>
      <c r="M2568" s="396"/>
      <c r="N2568" s="396"/>
      <c r="O2568" s="396"/>
      <c r="P2568" s="389"/>
      <c r="Q2568" s="396"/>
      <c r="R2568" s="396"/>
      <c r="S2568" s="396"/>
      <c r="T2568" s="396"/>
      <c r="U2568" s="401"/>
      <c r="V2568" s="396"/>
      <c r="W2568" s="388"/>
      <c r="X2568" s="396"/>
      <c r="Y2568" s="389"/>
      <c r="Z2568" s="396"/>
      <c r="AA2568" s="388"/>
      <c r="AB2568" s="390"/>
    </row>
    <row r="2569" spans="1:28">
      <c r="A2569" s="384" t="str">
        <f t="shared" ref="A2569:B2569" si="8251">A2545</f>
        <v>Lantai 1</v>
      </c>
      <c r="B2569" s="385">
        <f t="shared" si="8251"/>
        <v>83</v>
      </c>
      <c r="C2569" s="393" t="s">
        <v>213</v>
      </c>
      <c r="D2569" s="398">
        <f>VLOOKUP(D2545,'Detail Balok'!$C$10:$BJ$140,46,FALSE)</f>
        <v>0</v>
      </c>
      <c r="E2569" s="388" t="s">
        <v>16</v>
      </c>
      <c r="F2569" s="388">
        <f>VLOOKUP(D2545,'Detail Balok'!$C$10:$BJ$140,48,FALSE)</f>
        <v>0</v>
      </c>
      <c r="G2569" s="405" t="s">
        <v>157</v>
      </c>
      <c r="H2569" s="395">
        <f>VLOOKUP(D2545,'Detail Balok'!$C$10:$BJ$140,50,FALSE)</f>
        <v>100</v>
      </c>
      <c r="I2569" s="388"/>
      <c r="J2569" s="399">
        <f t="shared" ref="J2569" si="8252">(D2546-2*F$5)/1000</f>
        <v>0.12</v>
      </c>
      <c r="K2569" s="400" t="s">
        <v>204</v>
      </c>
      <c r="L2569" s="399">
        <f t="shared" ref="L2569:L2571" si="8253">IF(D2569=0,2*MAX(6*F2569,75),(D2569-1)*2*MAX(6*F2569,75))/1000</f>
        <v>0.15</v>
      </c>
      <c r="M2569" s="399" t="s">
        <v>176</v>
      </c>
      <c r="N2569" s="399">
        <f t="shared" ref="N2569:N2571" si="8254">J2569+L2569</f>
        <v>0.27</v>
      </c>
      <c r="O2569" s="399"/>
      <c r="P2569" s="399"/>
      <c r="Q2569" s="399"/>
      <c r="R2569" s="399"/>
      <c r="S2569" s="399"/>
      <c r="T2569" s="399" t="s">
        <v>125</v>
      </c>
      <c r="U2569" s="401">
        <f t="shared" ref="U2569:U2571" si="8255">0.006165*F2569^2</f>
        <v>0</v>
      </c>
      <c r="V2569" s="399" t="s">
        <v>125</v>
      </c>
      <c r="W2569" s="399">
        <f t="shared" ref="W2569:W2601" si="8256">W2565</f>
        <v>9</v>
      </c>
      <c r="X2569" s="399" t="s">
        <v>125</v>
      </c>
      <c r="Y2569" s="389">
        <f t="shared" ref="Y2569" si="8257">D2555</f>
        <v>3</v>
      </c>
      <c r="Z2569" s="400" t="s">
        <v>176</v>
      </c>
      <c r="AA2569" s="402">
        <f t="shared" ref="AA2569:AA2571" si="8258">N2569*U2569*W2569*Y2569</f>
        <v>0</v>
      </c>
      <c r="AB2569" s="403"/>
    </row>
    <row r="2570" spans="1:28">
      <c r="A2570" s="384" t="str">
        <f t="shared" ref="A2570:B2570" si="8259">A2545</f>
        <v>Lantai 1</v>
      </c>
      <c r="B2570" s="385">
        <f t="shared" si="8259"/>
        <v>83</v>
      </c>
      <c r="C2570" s="393" t="s">
        <v>214</v>
      </c>
      <c r="D2570" s="398">
        <f>VLOOKUP(D2545,'Detail Balok'!$C$10:$BJ$140,51,FALSE)</f>
        <v>0</v>
      </c>
      <c r="E2570" s="388" t="s">
        <v>16</v>
      </c>
      <c r="F2570" s="388">
        <f>VLOOKUP(D2545,'Detail Balok'!$C$10:$BJ$140,53,FALSE)</f>
        <v>0</v>
      </c>
      <c r="G2570" s="405" t="s">
        <v>157</v>
      </c>
      <c r="H2570" s="395">
        <f>VLOOKUP(D2545,'Detail Balok'!$C$10:$BJ$140,55,FALSE)</f>
        <v>100</v>
      </c>
      <c r="I2570" s="388"/>
      <c r="J2570" s="399">
        <f t="shared" ref="J2570" si="8260">(D2546-2*F$5)/1000</f>
        <v>0.12</v>
      </c>
      <c r="K2570" s="400" t="s">
        <v>204</v>
      </c>
      <c r="L2570" s="399">
        <f t="shared" si="8253"/>
        <v>0.15</v>
      </c>
      <c r="M2570" s="399" t="s">
        <v>176</v>
      </c>
      <c r="N2570" s="399">
        <f t="shared" si="8254"/>
        <v>0.27</v>
      </c>
      <c r="O2570" s="399"/>
      <c r="P2570" s="399"/>
      <c r="Q2570" s="399"/>
      <c r="R2570" s="399"/>
      <c r="S2570" s="399"/>
      <c r="T2570" s="399" t="s">
        <v>125</v>
      </c>
      <c r="U2570" s="401">
        <f t="shared" si="8255"/>
        <v>0</v>
      </c>
      <c r="V2570" s="399" t="s">
        <v>125</v>
      </c>
      <c r="W2570" s="399">
        <f t="shared" si="8256"/>
        <v>7</v>
      </c>
      <c r="X2570" s="399" t="s">
        <v>125</v>
      </c>
      <c r="Y2570" s="389">
        <f t="shared" ref="Y2570" si="8261">D2555</f>
        <v>3</v>
      </c>
      <c r="Z2570" s="400" t="s">
        <v>176</v>
      </c>
      <c r="AA2570" s="402">
        <f t="shared" si="8258"/>
        <v>0</v>
      </c>
      <c r="AB2570" s="403"/>
    </row>
    <row r="2571" spans="1:28">
      <c r="A2571" s="384" t="str">
        <f t="shared" ref="A2571:B2571" si="8262">A2545</f>
        <v>Lantai 1</v>
      </c>
      <c r="B2571" s="385">
        <f t="shared" si="8262"/>
        <v>83</v>
      </c>
      <c r="C2571" s="393" t="s">
        <v>213</v>
      </c>
      <c r="D2571" s="398">
        <f>VLOOKUP(D2545,'Detail Balok'!$C$10:$BJ$140,56,FALSE)</f>
        <v>0</v>
      </c>
      <c r="E2571" s="388" t="s">
        <v>16</v>
      </c>
      <c r="F2571" s="388">
        <f>VLOOKUP(D2545,'Detail Balok'!$C$10:$BJ$140,58,FALSE)</f>
        <v>0</v>
      </c>
      <c r="G2571" s="405" t="s">
        <v>157</v>
      </c>
      <c r="H2571" s="395">
        <f>VLOOKUP(D2545,'Detail Balok'!$C$10:$BJ$140,60,FALSE)</f>
        <v>100</v>
      </c>
      <c r="I2571" s="388"/>
      <c r="J2571" s="399">
        <f t="shared" ref="J2571" si="8263">(D2546-2*F$5)/1000</f>
        <v>0.12</v>
      </c>
      <c r="K2571" s="400" t="s">
        <v>204</v>
      </c>
      <c r="L2571" s="399">
        <f t="shared" si="8253"/>
        <v>0.15</v>
      </c>
      <c r="M2571" s="399" t="s">
        <v>176</v>
      </c>
      <c r="N2571" s="399">
        <f t="shared" si="8254"/>
        <v>0.27</v>
      </c>
      <c r="O2571" s="399"/>
      <c r="P2571" s="399"/>
      <c r="Q2571" s="399"/>
      <c r="R2571" s="399"/>
      <c r="S2571" s="399"/>
      <c r="T2571" s="399" t="s">
        <v>125</v>
      </c>
      <c r="U2571" s="401">
        <f t="shared" si="8255"/>
        <v>0</v>
      </c>
      <c r="V2571" s="399" t="s">
        <v>125</v>
      </c>
      <c r="W2571" s="399">
        <f t="shared" si="8256"/>
        <v>9</v>
      </c>
      <c r="X2571" s="399" t="s">
        <v>125</v>
      </c>
      <c r="Y2571" s="389">
        <f t="shared" ref="Y2571" si="8264">D2555</f>
        <v>3</v>
      </c>
      <c r="Z2571" s="400" t="s">
        <v>176</v>
      </c>
      <c r="AA2571" s="402">
        <f t="shared" si="8258"/>
        <v>0</v>
      </c>
      <c r="AB2571" s="403"/>
    </row>
    <row r="2572" spans="1:28">
      <c r="A2572" s="391"/>
      <c r="B2572" s="392"/>
      <c r="C2572" s="392"/>
      <c r="D2572" s="394"/>
      <c r="E2572" s="388"/>
      <c r="F2572" s="388"/>
      <c r="G2572" s="388"/>
      <c r="H2572" s="395"/>
      <c r="I2572" s="388"/>
      <c r="J2572" s="402"/>
      <c r="K2572" s="388"/>
      <c r="L2572" s="388"/>
      <c r="M2572" s="388"/>
      <c r="N2572" s="388"/>
      <c r="O2572" s="388"/>
      <c r="P2572" s="388"/>
      <c r="Q2572" s="388"/>
      <c r="R2572" s="388"/>
      <c r="S2572" s="388"/>
      <c r="T2572" s="388"/>
      <c r="U2572" s="388"/>
      <c r="V2572" s="388"/>
      <c r="W2572" s="388"/>
      <c r="X2572" s="388"/>
      <c r="Y2572" s="389"/>
      <c r="Z2572" s="388"/>
      <c r="AA2572" s="402"/>
      <c r="AB2572" s="403"/>
    </row>
    <row r="2573" spans="1:28" ht="15.75" thickBot="1">
      <c r="A2573" s="406"/>
      <c r="B2573" s="407"/>
      <c r="C2573" s="407"/>
      <c r="D2573" s="408"/>
      <c r="E2573" s="409"/>
      <c r="F2573" s="409"/>
      <c r="G2573" s="409"/>
      <c r="H2573" s="410"/>
      <c r="I2573" s="409"/>
      <c r="J2573" s="409"/>
      <c r="K2573" s="409"/>
      <c r="L2573" s="409"/>
      <c r="M2573" s="409"/>
      <c r="N2573" s="409"/>
      <c r="O2573" s="409"/>
      <c r="P2573" s="409"/>
      <c r="Q2573" s="409"/>
      <c r="R2573" s="409"/>
      <c r="S2573" s="409"/>
      <c r="T2573" s="409"/>
      <c r="U2573" s="409"/>
      <c r="V2573" s="409"/>
      <c r="W2573" s="409"/>
      <c r="X2573" s="409"/>
      <c r="Y2573" s="411"/>
      <c r="Z2573" s="409"/>
      <c r="AA2573" s="412"/>
      <c r="AB2573" s="413"/>
    </row>
    <row r="2574" spans="1:28">
      <c r="A2574" s="377"/>
      <c r="B2574" s="378"/>
      <c r="C2574" s="378"/>
      <c r="D2574" s="379"/>
      <c r="E2574" s="380"/>
      <c r="F2574" s="380"/>
      <c r="G2574" s="380"/>
      <c r="H2574" s="381"/>
      <c r="I2574" s="380"/>
      <c r="J2574" s="380"/>
      <c r="K2574" s="380"/>
      <c r="L2574" s="380"/>
      <c r="M2574" s="380"/>
      <c r="N2574" s="380"/>
      <c r="O2574" s="380"/>
      <c r="P2574" s="380"/>
      <c r="Q2574" s="380"/>
      <c r="R2574" s="380"/>
      <c r="S2574" s="380"/>
      <c r="T2574" s="380"/>
      <c r="U2574" s="380"/>
      <c r="V2574" s="380"/>
      <c r="W2574" s="380"/>
      <c r="X2574" s="380"/>
      <c r="Y2574" s="382"/>
      <c r="Z2574" s="380"/>
      <c r="AA2574" s="380"/>
      <c r="AB2574" s="383"/>
    </row>
    <row r="2575" spans="1:28">
      <c r="A2575" s="384" t="str">
        <f t="shared" si="8160"/>
        <v>Lantai 1</v>
      </c>
      <c r="B2575" s="385">
        <f t="shared" si="8161"/>
        <v>84</v>
      </c>
      <c r="C2575" s="386" t="str">
        <f t="shared" ref="C2575" si="8265">CONCATENATE(A2575," no. ",B2575)</f>
        <v>Lantai 1 no. 84</v>
      </c>
      <c r="D2575" s="2562" t="str">
        <f>VLOOKUP(C2575,'Data Panjang Balok'!$C$9:$N$254,2,FALSE)</f>
        <v>B25-1</v>
      </c>
      <c r="E2575" s="2576"/>
      <c r="F2575" s="2576"/>
      <c r="G2575" s="2576"/>
      <c r="H2575" s="2577"/>
      <c r="I2575" s="387"/>
      <c r="J2575" s="388"/>
      <c r="K2575" s="388"/>
      <c r="L2575" s="388"/>
      <c r="M2575" s="388"/>
      <c r="N2575" s="388"/>
      <c r="O2575" s="388"/>
      <c r="P2575" s="388"/>
      <c r="Q2575" s="388"/>
      <c r="R2575" s="388"/>
      <c r="S2575" s="388"/>
      <c r="T2575" s="388"/>
      <c r="U2575" s="388"/>
      <c r="V2575" s="388"/>
      <c r="W2575" s="388"/>
      <c r="X2575" s="388"/>
      <c r="Y2575" s="389"/>
      <c r="Z2575" s="388"/>
      <c r="AA2575" s="388"/>
      <c r="AB2575" s="390"/>
    </row>
    <row r="2576" spans="1:28">
      <c r="A2576" s="391"/>
      <c r="B2576" s="392"/>
      <c r="C2576" s="393" t="s">
        <v>118</v>
      </c>
      <c r="D2576" s="2578">
        <f>VLOOKUP(D2575,'Detail Balok'!$C$10:$AU$140,2,FALSE)</f>
        <v>200</v>
      </c>
      <c r="E2576" s="2579"/>
      <c r="F2576" s="388" t="s">
        <v>125</v>
      </c>
      <c r="G2576" s="2579">
        <f>VLOOKUP(D2575,'Detail Balok'!$C$10:$AU$140,3,FALSE)</f>
        <v>500</v>
      </c>
      <c r="H2576" s="2580"/>
      <c r="I2576" s="388"/>
      <c r="J2576" s="396"/>
      <c r="K2576" s="396"/>
      <c r="L2576" s="396"/>
      <c r="M2576" s="396"/>
      <c r="N2576" s="396"/>
      <c r="O2576" s="396"/>
      <c r="P2576" s="396"/>
      <c r="Q2576" s="396"/>
      <c r="R2576" s="396"/>
      <c r="S2576" s="396"/>
      <c r="T2576" s="396"/>
      <c r="U2576" s="388"/>
      <c r="V2576" s="396"/>
      <c r="W2576" s="388"/>
      <c r="X2576" s="396"/>
      <c r="Y2576" s="389"/>
      <c r="Z2576" s="396"/>
      <c r="AA2576" s="388"/>
      <c r="AB2576" s="390"/>
    </row>
    <row r="2577" spans="1:28">
      <c r="A2577" s="391"/>
      <c r="B2577" s="392"/>
      <c r="C2577" s="393" t="s">
        <v>198</v>
      </c>
      <c r="D2577" s="2562">
        <f>VLOOKUP(C2575,'Data Panjang Balok'!$C$9:$N$254,4,FALSE)</f>
        <v>6170</v>
      </c>
      <c r="E2577" s="2563"/>
      <c r="F2577" s="2563"/>
      <c r="G2577" s="2563"/>
      <c r="H2577" s="2564"/>
      <c r="I2577" s="397"/>
      <c r="J2577" s="396"/>
      <c r="K2577" s="396"/>
      <c r="L2577" s="396"/>
      <c r="M2577" s="396"/>
      <c r="N2577" s="396"/>
      <c r="O2577" s="396"/>
      <c r="P2577" s="396"/>
      <c r="Q2577" s="396"/>
      <c r="R2577" s="396"/>
      <c r="S2577" s="396"/>
      <c r="T2577" s="396"/>
      <c r="U2577" s="388"/>
      <c r="V2577" s="396"/>
      <c r="W2577" s="388"/>
      <c r="X2577" s="396"/>
      <c r="Y2577" s="389"/>
      <c r="Z2577" s="396"/>
      <c r="AA2577" s="388"/>
      <c r="AB2577" s="390"/>
    </row>
    <row r="2578" spans="1:28">
      <c r="A2578" s="391"/>
      <c r="B2578" s="392"/>
      <c r="C2578" s="393" t="s">
        <v>199</v>
      </c>
      <c r="D2578" s="2562">
        <f>VLOOKUP(C2575,'Data Panjang Balok'!$C$9:$N$254,7,FALSE)</f>
        <v>6170</v>
      </c>
      <c r="E2578" s="2563"/>
      <c r="F2578" s="2563"/>
      <c r="G2578" s="2563"/>
      <c r="H2578" s="2564"/>
      <c r="I2578" s="397"/>
      <c r="J2578" s="396"/>
      <c r="K2578" s="396"/>
      <c r="L2578" s="396"/>
      <c r="M2578" s="396"/>
      <c r="N2578" s="396"/>
      <c r="O2578" s="396"/>
      <c r="P2578" s="396"/>
      <c r="Q2578" s="396"/>
      <c r="R2578" s="396"/>
      <c r="S2578" s="396"/>
      <c r="T2578" s="396"/>
      <c r="U2578" s="388"/>
      <c r="V2578" s="396"/>
      <c r="W2578" s="388"/>
      <c r="X2578" s="396"/>
      <c r="Y2578" s="389"/>
      <c r="Z2578" s="396"/>
      <c r="AA2578" s="388"/>
      <c r="AB2578" s="390"/>
    </row>
    <row r="2579" spans="1:28">
      <c r="A2579" s="391"/>
      <c r="B2579" s="392"/>
      <c r="C2579" s="393" t="s">
        <v>200</v>
      </c>
      <c r="D2579" s="2562">
        <f>VLOOKUP(C2575,'Data Panjang Balok'!$C$9:$N$254,9,FALSE)</f>
        <v>0</v>
      </c>
      <c r="E2579" s="2563"/>
      <c r="F2579" s="2563"/>
      <c r="G2579" s="2563"/>
      <c r="H2579" s="2564"/>
      <c r="I2579" s="397"/>
      <c r="J2579" s="396"/>
      <c r="K2579" s="396"/>
      <c r="L2579" s="396"/>
      <c r="M2579" s="396"/>
      <c r="N2579" s="396"/>
      <c r="O2579" s="396"/>
      <c r="P2579" s="396"/>
      <c r="Q2579" s="396"/>
      <c r="R2579" s="396"/>
      <c r="S2579" s="396"/>
      <c r="T2579" s="396"/>
      <c r="U2579" s="388"/>
      <c r="V2579" s="396"/>
      <c r="W2579" s="388"/>
      <c r="X2579" s="396"/>
      <c r="Y2579" s="389"/>
      <c r="Z2579" s="396"/>
      <c r="AA2579" s="388"/>
      <c r="AB2579" s="390"/>
    </row>
    <row r="2580" spans="1:28">
      <c r="A2580" s="391"/>
      <c r="B2580" s="392"/>
      <c r="C2580" s="393" t="s">
        <v>201</v>
      </c>
      <c r="D2580" s="2562">
        <f>VLOOKUP(C2575,'Data Panjang Balok'!$C$9:$N$254,10,FALSE)</f>
        <v>0</v>
      </c>
      <c r="E2580" s="2563"/>
      <c r="F2580" s="2563"/>
      <c r="G2580" s="2563"/>
      <c r="H2580" s="2564"/>
      <c r="I2580" s="397"/>
      <c r="J2580" s="396"/>
      <c r="K2580" s="396"/>
      <c r="L2580" s="396"/>
      <c r="M2580" s="396"/>
      <c r="N2580" s="396"/>
      <c r="O2580" s="396"/>
      <c r="P2580" s="396"/>
      <c r="Q2580" s="396"/>
      <c r="R2580" s="396"/>
      <c r="S2580" s="396"/>
      <c r="T2580" s="396"/>
      <c r="U2580" s="388"/>
      <c r="V2580" s="396"/>
      <c r="W2580" s="388"/>
      <c r="X2580" s="396"/>
      <c r="Y2580" s="389"/>
      <c r="Z2580" s="396"/>
      <c r="AA2580" s="388"/>
      <c r="AB2580" s="390"/>
    </row>
    <row r="2581" spans="1:28">
      <c r="A2581" s="391"/>
      <c r="B2581" s="392"/>
      <c r="C2581" s="393" t="s">
        <v>48</v>
      </c>
      <c r="D2581" s="2562">
        <f>VLOOKUP(C2575,'Data Panjang Balok'!$C$9:$N$254,3,FALSE)</f>
        <v>1</v>
      </c>
      <c r="E2581" s="2563"/>
      <c r="F2581" s="2563"/>
      <c r="G2581" s="2563"/>
      <c r="H2581" s="2564"/>
      <c r="I2581" s="397"/>
      <c r="J2581" s="396"/>
      <c r="K2581" s="396"/>
      <c r="L2581" s="396"/>
      <c r="M2581" s="396"/>
      <c r="N2581" s="396"/>
      <c r="O2581" s="396"/>
      <c r="P2581" s="396"/>
      <c r="Q2581" s="396"/>
      <c r="R2581" s="396"/>
      <c r="S2581" s="396"/>
      <c r="T2581" s="396"/>
      <c r="U2581" s="388"/>
      <c r="V2581" s="396"/>
      <c r="W2581" s="388"/>
      <c r="X2581" s="396"/>
      <c r="Y2581" s="389"/>
      <c r="Z2581" s="396"/>
      <c r="AA2581" s="388"/>
      <c r="AB2581" s="390"/>
    </row>
    <row r="2582" spans="1:28">
      <c r="A2582" s="384" t="str">
        <f t="shared" ref="A2582:B2582" si="8266">A2575</f>
        <v>Lantai 1</v>
      </c>
      <c r="B2582" s="385">
        <f t="shared" si="8266"/>
        <v>84</v>
      </c>
      <c r="C2582" s="393" t="s">
        <v>202</v>
      </c>
      <c r="D2582" s="398">
        <f>VLOOKUP(D2575,'Detail Balok'!$C$10:$AU$140,4,FALSE)</f>
        <v>4</v>
      </c>
      <c r="E2582" s="388" t="s">
        <v>16</v>
      </c>
      <c r="F2582" s="388">
        <f>VLOOKUP(D2575,'Detail Balok'!$C$10:$AU$140,6,FALSE)</f>
        <v>16</v>
      </c>
      <c r="G2582" s="388"/>
      <c r="H2582" s="395"/>
      <c r="I2582" s="388" t="s">
        <v>203</v>
      </c>
      <c r="J2582" s="399">
        <f t="shared" ref="J2582" si="8267">+D2577/4/1000</f>
        <v>1.5425</v>
      </c>
      <c r="K2582" s="400" t="s">
        <v>204</v>
      </c>
      <c r="L2582" s="399">
        <f t="shared" ref="L2582" si="8268">MAX(VLOOKUP(F2582,N$6:P$15,3,FALSE)/1000,2/3*D2579/1000)+F$16*F2582/1000</f>
        <v>0.192</v>
      </c>
      <c r="M2582" s="399" t="s">
        <v>176</v>
      </c>
      <c r="N2582" s="399">
        <f t="shared" ref="N2582:N2584" si="8269">J2582+L2582</f>
        <v>1.7344999999999999</v>
      </c>
      <c r="O2582" s="399" t="s">
        <v>204</v>
      </c>
      <c r="P2582" s="389">
        <f t="shared" ref="P2582" si="8270">D2582-D2583</f>
        <v>0</v>
      </c>
      <c r="Q2582" s="399" t="s">
        <v>125</v>
      </c>
      <c r="R2582" s="399">
        <f t="shared" ref="R2582" si="8271">IF(P2582&gt;0,$F$18*F2582/1000,0)</f>
        <v>0</v>
      </c>
      <c r="S2582" s="399" t="s">
        <v>205</v>
      </c>
      <c r="T2582" s="399" t="s">
        <v>125</v>
      </c>
      <c r="U2582" s="401">
        <f t="shared" ref="U2582:U2584" si="8272">0.006165*F2582^2</f>
        <v>1.5782400000000001</v>
      </c>
      <c r="V2582" s="399"/>
      <c r="W2582" s="399"/>
      <c r="X2582" s="399" t="s">
        <v>125</v>
      </c>
      <c r="Y2582" s="389">
        <f t="shared" ref="Y2582" si="8273">D2581</f>
        <v>1</v>
      </c>
      <c r="Z2582" s="400" t="s">
        <v>176</v>
      </c>
      <c r="AA2582" s="402">
        <f t="shared" ref="AA2582" si="8274">IF(AA2585=0,(D2582*N2582+P2582*R2582)*U2582*Y2582,0)</f>
        <v>0</v>
      </c>
      <c r="AB2582" s="403"/>
    </row>
    <row r="2583" spans="1:28">
      <c r="A2583" s="384" t="str">
        <f t="shared" ref="A2583:B2583" si="8275">A2575</f>
        <v>Lantai 1</v>
      </c>
      <c r="B2583" s="385">
        <f t="shared" si="8275"/>
        <v>84</v>
      </c>
      <c r="C2583" s="393" t="s">
        <v>206</v>
      </c>
      <c r="D2583" s="398">
        <f>VLOOKUP(D2575,'Detail Balok'!$C$10:$AU$140,7,FALSE)</f>
        <v>4</v>
      </c>
      <c r="E2583" s="388" t="s">
        <v>16</v>
      </c>
      <c r="F2583" s="388">
        <f>VLOOKUP(D2575,'Detail Balok'!$C$10:$AU$140,9,FALSE)</f>
        <v>16</v>
      </c>
      <c r="G2583" s="388"/>
      <c r="H2583" s="395"/>
      <c r="I2583" s="388" t="s">
        <v>203</v>
      </c>
      <c r="J2583" s="399">
        <f t="shared" ref="J2583" si="8276">+D2577/2/1000</f>
        <v>3.085</v>
      </c>
      <c r="K2583" s="400" t="s">
        <v>204</v>
      </c>
      <c r="L2583" s="399"/>
      <c r="M2583" s="399" t="s">
        <v>176</v>
      </c>
      <c r="N2583" s="399">
        <f t="shared" si="8269"/>
        <v>3.085</v>
      </c>
      <c r="O2583" s="399" t="s">
        <v>204</v>
      </c>
      <c r="P2583" s="389">
        <f t="shared" ref="P2583" si="8277">MAX(D2583-D2582,D2583-D2584)</f>
        <v>0</v>
      </c>
      <c r="Q2583" s="399" t="s">
        <v>125</v>
      </c>
      <c r="R2583" s="399">
        <f t="shared" ref="R2583" si="8278">IF(P2583&gt;0,2*(1-2*$F$19-1/2)*D2578/1000,0)</f>
        <v>0</v>
      </c>
      <c r="S2583" s="399" t="s">
        <v>205</v>
      </c>
      <c r="T2583" s="399" t="s">
        <v>125</v>
      </c>
      <c r="U2583" s="401">
        <f t="shared" si="8272"/>
        <v>1.5782400000000001</v>
      </c>
      <c r="V2583" s="399"/>
      <c r="W2583" s="399"/>
      <c r="X2583" s="399" t="s">
        <v>125</v>
      </c>
      <c r="Y2583" s="389">
        <f t="shared" ref="Y2583" si="8279">D2581</f>
        <v>1</v>
      </c>
      <c r="Z2583" s="400" t="s">
        <v>176</v>
      </c>
      <c r="AA2583" s="402">
        <f t="shared" ref="AA2583" si="8280">IF(AA2585=0,(D2583*N2583+P2583*R2583)*U2583*Y2583,0)</f>
        <v>0</v>
      </c>
      <c r="AB2583" s="403"/>
    </row>
    <row r="2584" spans="1:28">
      <c r="A2584" s="384" t="str">
        <f t="shared" ref="A2584:B2584" si="8281">A2575</f>
        <v>Lantai 1</v>
      </c>
      <c r="B2584" s="385">
        <f t="shared" si="8281"/>
        <v>84</v>
      </c>
      <c r="C2584" s="393" t="s">
        <v>202</v>
      </c>
      <c r="D2584" s="398">
        <f>VLOOKUP(D2575,'Detail Balok'!$C$10:$AU$140,10,FALSE)</f>
        <v>4</v>
      </c>
      <c r="E2584" s="388" t="s">
        <v>16</v>
      </c>
      <c r="F2584" s="388">
        <f>VLOOKUP(D2575,'Detail Balok'!$C$10:$AU$140,12,FALSE)</f>
        <v>16</v>
      </c>
      <c r="G2584" s="388"/>
      <c r="H2584" s="395"/>
      <c r="I2584" s="388" t="s">
        <v>203</v>
      </c>
      <c r="J2584" s="399">
        <f t="shared" ref="J2584" si="8282">+D2577/4/1000</f>
        <v>1.5425</v>
      </c>
      <c r="K2584" s="400" t="s">
        <v>204</v>
      </c>
      <c r="L2584" s="399">
        <f t="shared" ref="L2584" si="8283">MAX(VLOOKUP(F2584,N$6:P$15,3,FALSE)/1000,2/3*D2579/1000)+F$16*F2584/1000</f>
        <v>0.192</v>
      </c>
      <c r="M2584" s="399" t="s">
        <v>176</v>
      </c>
      <c r="N2584" s="399">
        <f t="shared" si="8269"/>
        <v>1.7344999999999999</v>
      </c>
      <c r="O2584" s="399" t="s">
        <v>204</v>
      </c>
      <c r="P2584" s="389">
        <f t="shared" ref="P2584" si="8284">D2584-D2583</f>
        <v>0</v>
      </c>
      <c r="Q2584" s="399" t="s">
        <v>125</v>
      </c>
      <c r="R2584" s="399">
        <f t="shared" ref="R2584" si="8285">IF(P2584&gt;0,$F$18*F2584/1000,0)</f>
        <v>0</v>
      </c>
      <c r="S2584" s="399" t="s">
        <v>205</v>
      </c>
      <c r="T2584" s="399" t="s">
        <v>125</v>
      </c>
      <c r="U2584" s="401">
        <f t="shared" si="8272"/>
        <v>1.5782400000000001</v>
      </c>
      <c r="V2584" s="399"/>
      <c r="W2584" s="399"/>
      <c r="X2584" s="399" t="s">
        <v>125</v>
      </c>
      <c r="Y2584" s="389">
        <f t="shared" ref="Y2584" si="8286">D2581</f>
        <v>1</v>
      </c>
      <c r="Z2584" s="400" t="s">
        <v>176</v>
      </c>
      <c r="AA2584" s="402">
        <f t="shared" ref="AA2584" si="8287">IF(AA2585=0,(D2584*N2584+P2584*R2584)*U2584*Y2584,0)</f>
        <v>0</v>
      </c>
      <c r="AB2584" s="403"/>
    </row>
    <row r="2585" spans="1:28">
      <c r="A2585" s="384" t="str">
        <f t="shared" ref="A2585:B2585" si="8288">A2575</f>
        <v>Lantai 1</v>
      </c>
      <c r="B2585" s="385">
        <f t="shared" si="8288"/>
        <v>84</v>
      </c>
      <c r="C2585" s="393"/>
      <c r="D2585" s="398">
        <f t="shared" si="8186"/>
        <v>4</v>
      </c>
      <c r="E2585" s="388" t="s">
        <v>16</v>
      </c>
      <c r="F2585" s="388">
        <f t="shared" si="8187"/>
        <v>16</v>
      </c>
      <c r="G2585" s="388"/>
      <c r="H2585" s="395"/>
      <c r="I2585" s="388"/>
      <c r="J2585" s="396"/>
      <c r="K2585" s="396"/>
      <c r="L2585" s="404" t="s">
        <v>207</v>
      </c>
      <c r="M2585" s="399" t="s">
        <v>176</v>
      </c>
      <c r="N2585" s="399">
        <f t="shared" ref="N2585" si="8289">IF(AND(D2582=D2583,D2582=D2584,D2583=D2584,F2582=F2583,F2582=F2584,F2583=F2584),SUM(N2582:N2584),0)</f>
        <v>6.5539999999999994</v>
      </c>
      <c r="O2585" s="399" t="s">
        <v>204</v>
      </c>
      <c r="P2585" s="389">
        <f t="shared" ref="P2585" si="8290">IF(N2585&gt;12,ROUNDDOWN(N2585/12,0),0)</f>
        <v>0</v>
      </c>
      <c r="Q2585" s="399" t="s">
        <v>125</v>
      </c>
      <c r="R2585" s="399">
        <f t="shared" ref="R2585" si="8291">IF(P2585&gt;0,MAX(VLOOKUP(F2585,$D$6:$G$15,3,FALSE),600),0)/1000</f>
        <v>0</v>
      </c>
      <c r="S2585" s="396"/>
      <c r="T2585" s="396" t="s">
        <v>125</v>
      </c>
      <c r="U2585" s="401">
        <f t="shared" si="8191"/>
        <v>1.5782400000000001</v>
      </c>
      <c r="V2585" s="396" t="s">
        <v>125</v>
      </c>
      <c r="W2585" s="399">
        <f t="shared" ref="W2585" si="8292">D2585</f>
        <v>4</v>
      </c>
      <c r="X2585" s="399" t="s">
        <v>125</v>
      </c>
      <c r="Y2585" s="389">
        <f t="shared" si="8193"/>
        <v>1</v>
      </c>
      <c r="Z2585" s="400" t="s">
        <v>176</v>
      </c>
      <c r="AA2585" s="402">
        <f t="shared" ref="AA2585" si="8293">(N2585+P2585*R2585/1000)*U2585*W2585*Y2585</f>
        <v>41.375139839999996</v>
      </c>
      <c r="AB2585" s="390"/>
    </row>
    <row r="2586" spans="1:28">
      <c r="A2586" s="384"/>
      <c r="B2586" s="385"/>
      <c r="C2586" s="393"/>
      <c r="D2586" s="398"/>
      <c r="E2586" s="388"/>
      <c r="F2586" s="388"/>
      <c r="G2586" s="388"/>
      <c r="H2586" s="395"/>
      <c r="I2586" s="388"/>
      <c r="J2586" s="396"/>
      <c r="K2586" s="396"/>
      <c r="L2586" s="404"/>
      <c r="M2586" s="399"/>
      <c r="N2586" s="399"/>
      <c r="O2586" s="396"/>
      <c r="P2586" s="389"/>
      <c r="Q2586" s="396"/>
      <c r="R2586" s="396"/>
      <c r="S2586" s="396"/>
      <c r="T2586" s="396"/>
      <c r="U2586" s="401"/>
      <c r="V2586" s="396"/>
      <c r="W2586" s="399"/>
      <c r="X2586" s="396"/>
      <c r="Y2586" s="389"/>
      <c r="Z2586" s="396"/>
      <c r="AA2586" s="388"/>
      <c r="AB2586" s="390"/>
    </row>
    <row r="2587" spans="1:28">
      <c r="A2587" s="384" t="str">
        <f t="shared" ref="A2587:B2587" si="8294">A2575</f>
        <v>Lantai 1</v>
      </c>
      <c r="B2587" s="385">
        <f t="shared" si="8294"/>
        <v>84</v>
      </c>
      <c r="C2587" s="393" t="s">
        <v>208</v>
      </c>
      <c r="D2587" s="398">
        <f>VLOOKUP(D2575,'Detail Balok'!$C$10:$AU$140,13,FALSE)</f>
        <v>2</v>
      </c>
      <c r="E2587" s="388" t="s">
        <v>16</v>
      </c>
      <c r="F2587" s="388">
        <f>VLOOKUP(D2575,'Detail Balok'!$C$10:$AU$140,15,FALSE)</f>
        <v>10</v>
      </c>
      <c r="G2587" s="388"/>
      <c r="H2587" s="395"/>
      <c r="I2587" s="388"/>
      <c r="J2587" s="399">
        <f t="shared" ref="J2587" si="8295">+D2577/1000</f>
        <v>6.17</v>
      </c>
      <c r="K2587" s="400" t="s">
        <v>204</v>
      </c>
      <c r="L2587" s="399">
        <f t="shared" ref="L2587" si="8296">2*$F$16*F2587/1000</f>
        <v>0.24</v>
      </c>
      <c r="M2587" s="399" t="s">
        <v>176</v>
      </c>
      <c r="N2587" s="399">
        <f t="shared" ref="N2587" si="8297">J2587+L2587</f>
        <v>6.41</v>
      </c>
      <c r="O2587" s="399" t="s">
        <v>204</v>
      </c>
      <c r="P2587" s="389">
        <f t="shared" ref="P2587" si="8298">IF(N2587&gt;12,ROUNDDOWN(N2587/12,0),0)</f>
        <v>0</v>
      </c>
      <c r="Q2587" s="399" t="s">
        <v>125</v>
      </c>
      <c r="R2587" s="399">
        <f t="shared" ref="R2587" si="8299">IF(P2587&gt;0,MAX(VLOOKUP(F2587,$D$6:$G$15,3,FALSE),600),0)/1000</f>
        <v>0</v>
      </c>
      <c r="S2587" s="399"/>
      <c r="T2587" s="399" t="s">
        <v>125</v>
      </c>
      <c r="U2587" s="401">
        <f t="shared" ref="U2587" si="8300">0.006165*F2587^2</f>
        <v>0.61650000000000005</v>
      </c>
      <c r="V2587" s="399" t="s">
        <v>125</v>
      </c>
      <c r="W2587" s="399">
        <f t="shared" ref="W2587" si="8301">+D2587</f>
        <v>2</v>
      </c>
      <c r="X2587" s="399" t="s">
        <v>125</v>
      </c>
      <c r="Y2587" s="389">
        <f t="shared" ref="Y2587" si="8302">D2581</f>
        <v>1</v>
      </c>
      <c r="Z2587" s="400" t="s">
        <v>176</v>
      </c>
      <c r="AA2587" s="402">
        <f t="shared" ref="AA2587" si="8303">(N2587+P2587*R2587/1000)*U2587*W2587*Y2587</f>
        <v>7.9035300000000008</v>
      </c>
      <c r="AB2587" s="403"/>
    </row>
    <row r="2588" spans="1:28">
      <c r="A2588" s="384"/>
      <c r="B2588" s="385"/>
      <c r="C2588" s="393"/>
      <c r="D2588" s="398"/>
      <c r="E2588" s="388"/>
      <c r="F2588" s="388"/>
      <c r="G2588" s="388"/>
      <c r="H2588" s="395"/>
      <c r="I2588" s="388"/>
      <c r="J2588" s="399"/>
      <c r="K2588" s="400"/>
      <c r="L2588" s="399"/>
      <c r="M2588" s="399"/>
      <c r="N2588" s="399"/>
      <c r="O2588" s="399"/>
      <c r="P2588" s="389"/>
      <c r="Q2588" s="399"/>
      <c r="R2588" s="399"/>
      <c r="S2588" s="399"/>
      <c r="T2588" s="399"/>
      <c r="U2588" s="401"/>
      <c r="V2588" s="399"/>
      <c r="W2588" s="399"/>
      <c r="X2588" s="399"/>
      <c r="Y2588" s="389"/>
      <c r="Z2588" s="400"/>
      <c r="AA2588" s="402"/>
      <c r="AB2588" s="403"/>
    </row>
    <row r="2589" spans="1:28">
      <c r="A2589" s="384"/>
      <c r="B2589" s="385"/>
      <c r="C2589" s="393"/>
      <c r="D2589" s="398"/>
      <c r="E2589" s="388"/>
      <c r="F2589" s="388"/>
      <c r="G2589" s="388"/>
      <c r="H2589" s="395"/>
      <c r="I2589" s="388"/>
      <c r="J2589" s="396"/>
      <c r="K2589" s="396"/>
      <c r="L2589" s="396"/>
      <c r="M2589" s="396"/>
      <c r="N2589" s="396"/>
      <c r="O2589" s="396"/>
      <c r="P2589" s="389"/>
      <c r="Q2589" s="396"/>
      <c r="R2589" s="396"/>
      <c r="S2589" s="396"/>
      <c r="T2589" s="396"/>
      <c r="U2589" s="401"/>
      <c r="V2589" s="396"/>
      <c r="W2589" s="399"/>
      <c r="X2589" s="396"/>
      <c r="Y2589" s="389"/>
      <c r="Z2589" s="396"/>
      <c r="AA2589" s="388"/>
      <c r="AB2589" s="390"/>
    </row>
    <row r="2590" spans="1:28">
      <c r="A2590" s="384" t="str">
        <f t="shared" ref="A2590:B2590" si="8304">A2575</f>
        <v>Lantai 1</v>
      </c>
      <c r="B2590" s="385">
        <f t="shared" si="8304"/>
        <v>84</v>
      </c>
      <c r="C2590" s="393" t="s">
        <v>209</v>
      </c>
      <c r="D2590" s="398">
        <f>VLOOKUP(D2575,'Detail Balok'!$C$10:$AU$140,22,FALSE)</f>
        <v>4</v>
      </c>
      <c r="E2590" s="388" t="s">
        <v>16</v>
      </c>
      <c r="F2590" s="388">
        <f>VLOOKUP(D2575,'Detail Balok'!$C$10:$AU$140,24,FALSE)</f>
        <v>16</v>
      </c>
      <c r="G2590" s="388"/>
      <c r="H2590" s="395"/>
      <c r="I2590" s="388" t="s">
        <v>203</v>
      </c>
      <c r="J2590" s="399">
        <f t="shared" si="8206"/>
        <v>1.5425</v>
      </c>
      <c r="K2590" s="400" t="s">
        <v>204</v>
      </c>
      <c r="L2590" s="399">
        <f t="shared" ref="L2590" si="8305">MAX(VLOOKUP(F2590,N$6:P$15,3,FALSE)/1000,2/3*D2580/1000)+F$16*F2590/1000</f>
        <v>0.192</v>
      </c>
      <c r="M2590" s="399" t="s">
        <v>176</v>
      </c>
      <c r="N2590" s="399">
        <f t="shared" ref="N2590:N2592" si="8306">J2590+L2590</f>
        <v>1.7344999999999999</v>
      </c>
      <c r="O2590" s="399" t="s">
        <v>204</v>
      </c>
      <c r="P2590" s="389">
        <f t="shared" ref="P2590" si="8307">D2590-D2591</f>
        <v>0</v>
      </c>
      <c r="Q2590" s="399" t="s">
        <v>125</v>
      </c>
      <c r="R2590" s="399">
        <f t="shared" ref="R2590" si="8308">IF(P2590&gt;0,$F$18*F2590/1000,0)</f>
        <v>0</v>
      </c>
      <c r="S2590" s="399" t="s">
        <v>205</v>
      </c>
      <c r="T2590" s="399" t="s">
        <v>125</v>
      </c>
      <c r="U2590" s="401">
        <f t="shared" ref="U2590:U2592" si="8309">0.006165*F2590^2</f>
        <v>1.5782400000000001</v>
      </c>
      <c r="V2590" s="399"/>
      <c r="W2590" s="399"/>
      <c r="X2590" s="399" t="s">
        <v>125</v>
      </c>
      <c r="Y2590" s="389">
        <f t="shared" ref="Y2590" si="8310">D2581</f>
        <v>1</v>
      </c>
      <c r="Z2590" s="400" t="s">
        <v>176</v>
      </c>
      <c r="AA2590" s="402">
        <f t="shared" ref="AA2590" si="8311">IF(AA2593=0,(D2590*N2590+P2590*R2590)*U2590*Y2590,0)</f>
        <v>0</v>
      </c>
      <c r="AB2590" s="403"/>
    </row>
    <row r="2591" spans="1:28">
      <c r="A2591" s="384" t="str">
        <f t="shared" ref="A2591:B2591" si="8312">A2575</f>
        <v>Lantai 1</v>
      </c>
      <c r="B2591" s="385">
        <f t="shared" si="8312"/>
        <v>84</v>
      </c>
      <c r="C2591" s="393" t="s">
        <v>210</v>
      </c>
      <c r="D2591" s="398">
        <f>VLOOKUP(D2575,'Detail Balok'!$C$10:$AU$140,25,FALSE)</f>
        <v>4</v>
      </c>
      <c r="E2591" s="388" t="s">
        <v>16</v>
      </c>
      <c r="F2591" s="388">
        <f>VLOOKUP(D2575,'Detail Balok'!$C$10:$AU$140,27,FALSE)</f>
        <v>16</v>
      </c>
      <c r="G2591" s="388"/>
      <c r="H2591" s="395"/>
      <c r="I2591" s="388" t="s">
        <v>203</v>
      </c>
      <c r="J2591" s="399">
        <f t="shared" si="8206"/>
        <v>3.085</v>
      </c>
      <c r="K2591" s="400" t="s">
        <v>204</v>
      </c>
      <c r="L2591" s="399"/>
      <c r="M2591" s="399" t="s">
        <v>176</v>
      </c>
      <c r="N2591" s="399">
        <f t="shared" si="8306"/>
        <v>3.085</v>
      </c>
      <c r="O2591" s="399" t="s">
        <v>204</v>
      </c>
      <c r="P2591" s="389">
        <f t="shared" ref="P2591" si="8313">MAX(D2591-D2590,D2591-D2592)</f>
        <v>0</v>
      </c>
      <c r="Q2591" s="399" t="s">
        <v>125</v>
      </c>
      <c r="R2591" s="399">
        <f t="shared" ref="R2591" si="8314">IF(P2591&gt;0,2*(1-2*$F$19-1/2)*D2578/1000,0)</f>
        <v>0</v>
      </c>
      <c r="S2591" s="399" t="s">
        <v>205</v>
      </c>
      <c r="T2591" s="399" t="s">
        <v>125</v>
      </c>
      <c r="U2591" s="401">
        <f t="shared" si="8309"/>
        <v>1.5782400000000001</v>
      </c>
      <c r="V2591" s="399"/>
      <c r="W2591" s="399"/>
      <c r="X2591" s="399" t="s">
        <v>125</v>
      </c>
      <c r="Y2591" s="389">
        <f t="shared" ref="Y2591" si="8315">D2581</f>
        <v>1</v>
      </c>
      <c r="Z2591" s="400" t="s">
        <v>176</v>
      </c>
      <c r="AA2591" s="402">
        <f t="shared" ref="AA2591" si="8316">IF(AA2593=0,(D2591*N2591+P2591*R2591)*U2591*Y2591,0)</f>
        <v>0</v>
      </c>
      <c r="AB2591" s="403"/>
    </row>
    <row r="2592" spans="1:28">
      <c r="A2592" s="384" t="str">
        <f t="shared" ref="A2592:B2592" si="8317">A2575</f>
        <v>Lantai 1</v>
      </c>
      <c r="B2592" s="385">
        <f t="shared" si="8317"/>
        <v>84</v>
      </c>
      <c r="C2592" s="393" t="s">
        <v>209</v>
      </c>
      <c r="D2592" s="398">
        <f>VLOOKUP(D2575,'Detail Balok'!$C$10:$AU$140,28,FALSE)</f>
        <v>4</v>
      </c>
      <c r="E2592" s="388" t="s">
        <v>16</v>
      </c>
      <c r="F2592" s="388">
        <f>VLOOKUP(D2575,'Detail Balok'!$C$10:$AU$140,30,FALSE)</f>
        <v>16</v>
      </c>
      <c r="G2592" s="388"/>
      <c r="H2592" s="395"/>
      <c r="I2592" s="388" t="s">
        <v>203</v>
      </c>
      <c r="J2592" s="399">
        <f t="shared" si="8206"/>
        <v>1.5425</v>
      </c>
      <c r="K2592" s="400" t="s">
        <v>204</v>
      </c>
      <c r="L2592" s="399">
        <f t="shared" ref="L2592" si="8318">MAX(VLOOKUP(F2592,N$6:P$15,3,FALSE)/1000,2/3*D2580/1000)+F$16*F2592/1000</f>
        <v>0.192</v>
      </c>
      <c r="M2592" s="399" t="s">
        <v>176</v>
      </c>
      <c r="N2592" s="399">
        <f t="shared" si="8306"/>
        <v>1.7344999999999999</v>
      </c>
      <c r="O2592" s="399" t="s">
        <v>204</v>
      </c>
      <c r="P2592" s="389">
        <f t="shared" ref="P2592" si="8319">D2592-D2591</f>
        <v>0</v>
      </c>
      <c r="Q2592" s="399" t="s">
        <v>125</v>
      </c>
      <c r="R2592" s="399">
        <f t="shared" ref="R2592" si="8320">IF(P2592&gt;0,$F$18*F2592/1000,0)</f>
        <v>0</v>
      </c>
      <c r="S2592" s="399" t="s">
        <v>205</v>
      </c>
      <c r="T2592" s="399" t="s">
        <v>125</v>
      </c>
      <c r="U2592" s="401">
        <f t="shared" si="8309"/>
        <v>1.5782400000000001</v>
      </c>
      <c r="V2592" s="399"/>
      <c r="W2592" s="399"/>
      <c r="X2592" s="399" t="s">
        <v>125</v>
      </c>
      <c r="Y2592" s="389">
        <f t="shared" ref="Y2592" si="8321">D2581</f>
        <v>1</v>
      </c>
      <c r="Z2592" s="400" t="s">
        <v>176</v>
      </c>
      <c r="AA2592" s="402">
        <f t="shared" ref="AA2592" si="8322">IF(AA2593=0,(D2592*N2592+P2592*R2592)*U2592*Y2592,0)</f>
        <v>0</v>
      </c>
      <c r="AB2592" s="403"/>
    </row>
    <row r="2593" spans="1:28">
      <c r="A2593" s="384" t="str">
        <f t="shared" ref="A2593:B2593" si="8323">A2575</f>
        <v>Lantai 1</v>
      </c>
      <c r="B2593" s="385">
        <f t="shared" si="8323"/>
        <v>84</v>
      </c>
      <c r="C2593" s="393"/>
      <c r="D2593" s="398">
        <f t="shared" si="8226"/>
        <v>4</v>
      </c>
      <c r="E2593" s="388" t="s">
        <v>16</v>
      </c>
      <c r="F2593" s="388">
        <f t="shared" si="8227"/>
        <v>16</v>
      </c>
      <c r="G2593" s="388"/>
      <c r="H2593" s="395"/>
      <c r="I2593" s="388"/>
      <c r="J2593" s="396"/>
      <c r="K2593" s="396"/>
      <c r="L2593" s="404" t="s">
        <v>207</v>
      </c>
      <c r="M2593" s="399" t="s">
        <v>176</v>
      </c>
      <c r="N2593" s="399">
        <f t="shared" ref="N2593" si="8324">IF(AND(D2590=D2591,D2590=D2592,D2591=D2592,F2590=F2591,F2590=F2592,F2591=F2592),SUM(N2590:N2592),0)</f>
        <v>6.5539999999999994</v>
      </c>
      <c r="O2593" s="399" t="s">
        <v>204</v>
      </c>
      <c r="P2593" s="389">
        <f t="shared" ref="P2593" si="8325">IF(N2593&gt;12,ROUNDDOWN(N2593/12,0),0)</f>
        <v>0</v>
      </c>
      <c r="Q2593" s="399" t="s">
        <v>125</v>
      </c>
      <c r="R2593" s="399">
        <f t="shared" ref="R2593" si="8326">IF(P2593&gt;0,MAX(VLOOKUP(F2593,$D$6:$G$15,3,FALSE),600),0)/1000</f>
        <v>0</v>
      </c>
      <c r="S2593" s="396"/>
      <c r="T2593" s="396" t="s">
        <v>125</v>
      </c>
      <c r="U2593" s="401">
        <f t="shared" si="8231"/>
        <v>1.5782400000000001</v>
      </c>
      <c r="V2593" s="396" t="s">
        <v>125</v>
      </c>
      <c r="W2593" s="399">
        <f t="shared" ref="W2593" si="8327">D2593</f>
        <v>4</v>
      </c>
      <c r="X2593" s="399" t="s">
        <v>125</v>
      </c>
      <c r="Y2593" s="389">
        <f t="shared" si="8233"/>
        <v>1</v>
      </c>
      <c r="Z2593" s="400" t="s">
        <v>176</v>
      </c>
      <c r="AA2593" s="402">
        <f t="shared" ref="AA2593" si="8328">(N2593+P2593*R2593/1000)*U2593*W2593*Y2593</f>
        <v>41.375139839999996</v>
      </c>
      <c r="AB2593" s="403"/>
    </row>
    <row r="2594" spans="1:28">
      <c r="A2594" s="384"/>
      <c r="B2594" s="385"/>
      <c r="C2594" s="393"/>
      <c r="D2594" s="394"/>
      <c r="E2594" s="388"/>
      <c r="F2594" s="388"/>
      <c r="G2594" s="388"/>
      <c r="H2594" s="395"/>
      <c r="I2594" s="388"/>
      <c r="J2594" s="399"/>
      <c r="K2594" s="396"/>
      <c r="L2594" s="396"/>
      <c r="M2594" s="396"/>
      <c r="N2594" s="396"/>
      <c r="O2594" s="396"/>
      <c r="P2594" s="389"/>
      <c r="Q2594" s="396"/>
      <c r="R2594" s="396"/>
      <c r="S2594" s="396"/>
      <c r="T2594" s="396"/>
      <c r="U2594" s="401"/>
      <c r="V2594" s="396"/>
      <c r="W2594" s="388"/>
      <c r="X2594" s="396"/>
      <c r="Y2594" s="389"/>
      <c r="Z2594" s="396"/>
      <c r="AA2594" s="388"/>
      <c r="AB2594" s="390"/>
    </row>
    <row r="2595" spans="1:28">
      <c r="A2595" s="384" t="str">
        <f t="shared" ref="A2595:B2595" si="8329">A2575</f>
        <v>Lantai 1</v>
      </c>
      <c r="B2595" s="385">
        <f t="shared" si="8329"/>
        <v>84</v>
      </c>
      <c r="C2595" s="393" t="s">
        <v>211</v>
      </c>
      <c r="D2595" s="398">
        <f>VLOOKUP(D2575,'Detail Balok'!$C$10:$AU$140,31,FALSE)</f>
        <v>0</v>
      </c>
      <c r="E2595" s="388" t="s">
        <v>16</v>
      </c>
      <c r="F2595" s="388">
        <f>VLOOKUP(D2575,'Detail Balok'!$C$10:$AU$140,33,FALSE)</f>
        <v>10</v>
      </c>
      <c r="G2595" s="405" t="s">
        <v>157</v>
      </c>
      <c r="H2595" s="395">
        <f>VLOOKUP(D2575,'Detail Balok'!$C$10:$AU$140,35,FALSE)</f>
        <v>150</v>
      </c>
      <c r="I2595" s="388"/>
      <c r="J2595" s="400">
        <f t="shared" ref="J2595" si="8330">(IF(D2595=0,(2*(D2576+G2576))-(F$5*8),IF(D2595=3,(2*(D2576+G2576))-(F$5*8)+(G2576-2*F$5),IF(D2595=4,(2*(D2576+G2576))-(F$5*8)+2*(G2576-2*F$5)))))/1000</f>
        <v>1.08</v>
      </c>
      <c r="K2595" s="400" t="s">
        <v>204</v>
      </c>
      <c r="L2595" s="399">
        <f t="shared" ref="L2595:L2597" si="8331">IF(D2595=0,2*MAX(6*F2595,75),(D2595-1)*2*MAX(6*F2595,75))/1000</f>
        <v>0.15</v>
      </c>
      <c r="M2595" s="399" t="s">
        <v>176</v>
      </c>
      <c r="N2595" s="399">
        <f t="shared" ref="N2595:N2597" si="8332">J2595+L2595</f>
        <v>1.23</v>
      </c>
      <c r="O2595" s="399"/>
      <c r="P2595" s="389"/>
      <c r="Q2595" s="399"/>
      <c r="R2595" s="399"/>
      <c r="S2595" s="399"/>
      <c r="T2595" s="399" t="s">
        <v>125</v>
      </c>
      <c r="U2595" s="401">
        <f t="shared" ref="U2595:U2597" si="8333">0.006165*F2595^2</f>
        <v>0.61650000000000005</v>
      </c>
      <c r="V2595" s="399" t="s">
        <v>125</v>
      </c>
      <c r="W2595" s="399">
        <f t="shared" ref="W2595" si="8334">IF(D2578&gt;4*G2576,ROUND(MAX(D2578/4,2*G2576)/H2595,0)+1,ROUND(D2578/H2595,0)+1)</f>
        <v>11</v>
      </c>
      <c r="X2595" s="399" t="s">
        <v>125</v>
      </c>
      <c r="Y2595" s="389">
        <f t="shared" ref="Y2595" si="8335">D2581</f>
        <v>1</v>
      </c>
      <c r="Z2595" s="400" t="s">
        <v>176</v>
      </c>
      <c r="AA2595" s="402">
        <f t="shared" ref="AA2595:AA2597" si="8336">N2595*U2595*W2595*Y2595</f>
        <v>8.3412450000000007</v>
      </c>
      <c r="AB2595" s="403"/>
    </row>
    <row r="2596" spans="1:28">
      <c r="A2596" s="384" t="str">
        <f t="shared" ref="A2596:B2596" si="8337">A2575</f>
        <v>Lantai 1</v>
      </c>
      <c r="B2596" s="385">
        <f t="shared" si="8337"/>
        <v>84</v>
      </c>
      <c r="C2596" s="393" t="s">
        <v>212</v>
      </c>
      <c r="D2596" s="398">
        <f>VLOOKUP(D2575,'Detail Balok'!$C$10:$AU$140,36,FALSE)</f>
        <v>0</v>
      </c>
      <c r="E2596" s="388" t="s">
        <v>16</v>
      </c>
      <c r="F2596" s="388">
        <f>VLOOKUP(D2575,'Detail Balok'!$C$10:$AU$140,38,FALSE)</f>
        <v>10</v>
      </c>
      <c r="G2596" s="405" t="s">
        <v>157</v>
      </c>
      <c r="H2596" s="395">
        <f>VLOOKUP(D2575,'Detail Balok'!$C$10:$AU$140,40,FALSE)</f>
        <v>200</v>
      </c>
      <c r="I2596" s="388"/>
      <c r="J2596" s="400">
        <f t="shared" ref="J2596" si="8338">(IF(D2596=0,(2*(D2576+G2576))-(F$5*8),IF(D2596=3,(2*(D2576+G2576))-(F$5*8)+(G2576-2*F$5),IF(D2596=4,(2*(D2576+G2576))-(F$5*8)+2*(G2576-2*F$5)))))/1000</f>
        <v>1.08</v>
      </c>
      <c r="K2596" s="400" t="s">
        <v>204</v>
      </c>
      <c r="L2596" s="399">
        <f t="shared" si="8331"/>
        <v>0.15</v>
      </c>
      <c r="M2596" s="399" t="s">
        <v>176</v>
      </c>
      <c r="N2596" s="399">
        <f t="shared" si="8332"/>
        <v>1.23</v>
      </c>
      <c r="O2596" s="399"/>
      <c r="P2596" s="389"/>
      <c r="Q2596" s="399"/>
      <c r="R2596" s="399"/>
      <c r="S2596" s="399"/>
      <c r="T2596" s="399" t="s">
        <v>125</v>
      </c>
      <c r="U2596" s="401">
        <f t="shared" si="8333"/>
        <v>0.61650000000000005</v>
      </c>
      <c r="V2596" s="399" t="s">
        <v>125</v>
      </c>
      <c r="W2596" s="399">
        <f t="shared" ref="W2596" si="8339">IF(D2578-MAX(D2578/4,2*G2576)*2&gt;0,ROUND((D2578-MAX(D2578/4,2*G2576)*2)/H2596,0),0)</f>
        <v>15</v>
      </c>
      <c r="X2596" s="399" t="s">
        <v>125</v>
      </c>
      <c r="Y2596" s="389">
        <f t="shared" ref="Y2596" si="8340">D2581</f>
        <v>1</v>
      </c>
      <c r="Z2596" s="400" t="s">
        <v>176</v>
      </c>
      <c r="AA2596" s="402">
        <f t="shared" si="8336"/>
        <v>11.374425</v>
      </c>
      <c r="AB2596" s="403"/>
    </row>
    <row r="2597" spans="1:28">
      <c r="A2597" s="384" t="str">
        <f t="shared" ref="A2597:B2597" si="8341">A2575</f>
        <v>Lantai 1</v>
      </c>
      <c r="B2597" s="385">
        <f t="shared" si="8341"/>
        <v>84</v>
      </c>
      <c r="C2597" s="393" t="s">
        <v>211</v>
      </c>
      <c r="D2597" s="398">
        <f>VLOOKUP(D2575,'Detail Balok'!$C$10:$AU$140,41,FALSE)</f>
        <v>0</v>
      </c>
      <c r="E2597" s="388" t="s">
        <v>16</v>
      </c>
      <c r="F2597" s="388">
        <f>VLOOKUP(D2575,'Detail Balok'!$C$10:$AU$140,43,FALSE)</f>
        <v>10</v>
      </c>
      <c r="G2597" s="405" t="s">
        <v>157</v>
      </c>
      <c r="H2597" s="395">
        <f>VLOOKUP(D2575,'Detail Balok'!$C$10:$AU$140,45,FALSE)</f>
        <v>150</v>
      </c>
      <c r="I2597" s="388"/>
      <c r="J2597" s="400">
        <f t="shared" ref="J2597" si="8342">(IF(D2597=0,(2*(D2576+G2576))-(F$5*8),IF(D2597=3,(2*(D2576+G2576))-(F$5*8)+(G2576-2*F$5),IF(D2597=4,(2*(D2576+G2576))-(F$5*8)+2*(G2576-2*F$5)))))/1000</f>
        <v>1.08</v>
      </c>
      <c r="K2597" s="400" t="s">
        <v>204</v>
      </c>
      <c r="L2597" s="399">
        <f t="shared" si="8331"/>
        <v>0.15</v>
      </c>
      <c r="M2597" s="399" t="s">
        <v>176</v>
      </c>
      <c r="N2597" s="399">
        <f t="shared" si="8332"/>
        <v>1.23</v>
      </c>
      <c r="O2597" s="399"/>
      <c r="P2597" s="389"/>
      <c r="Q2597" s="399"/>
      <c r="R2597" s="399"/>
      <c r="S2597" s="399"/>
      <c r="T2597" s="399" t="s">
        <v>125</v>
      </c>
      <c r="U2597" s="401">
        <f t="shared" si="8333"/>
        <v>0.61650000000000005</v>
      </c>
      <c r="V2597" s="399" t="s">
        <v>125</v>
      </c>
      <c r="W2597" s="399">
        <f t="shared" ref="W2597" si="8343">IF(D2578&gt;4*G2576,ROUND(MAX(D2578/4,2*G2576)/H2597,0)+1,0)</f>
        <v>11</v>
      </c>
      <c r="X2597" s="399" t="s">
        <v>125</v>
      </c>
      <c r="Y2597" s="389">
        <f t="shared" ref="Y2597" si="8344">D2581</f>
        <v>1</v>
      </c>
      <c r="Z2597" s="400" t="s">
        <v>176</v>
      </c>
      <c r="AA2597" s="402">
        <f t="shared" si="8336"/>
        <v>8.3412450000000007</v>
      </c>
      <c r="AB2597" s="403"/>
    </row>
    <row r="2598" spans="1:28">
      <c r="A2598" s="384"/>
      <c r="B2598" s="385"/>
      <c r="C2598" s="393"/>
      <c r="D2598" s="394"/>
      <c r="E2598" s="388"/>
      <c r="F2598" s="388"/>
      <c r="G2598" s="388"/>
      <c r="H2598" s="395"/>
      <c r="I2598" s="388"/>
      <c r="J2598" s="399"/>
      <c r="K2598" s="396"/>
      <c r="L2598" s="396"/>
      <c r="M2598" s="396"/>
      <c r="N2598" s="396"/>
      <c r="O2598" s="396"/>
      <c r="P2598" s="389"/>
      <c r="Q2598" s="396"/>
      <c r="R2598" s="396"/>
      <c r="S2598" s="396"/>
      <c r="T2598" s="396"/>
      <c r="U2598" s="401"/>
      <c r="V2598" s="396"/>
      <c r="W2598" s="388"/>
      <c r="X2598" s="396"/>
      <c r="Y2598" s="389"/>
      <c r="Z2598" s="396"/>
      <c r="AA2598" s="388"/>
      <c r="AB2598" s="390"/>
    </row>
    <row r="2599" spans="1:28">
      <c r="A2599" s="384" t="str">
        <f t="shared" ref="A2599:B2599" si="8345">A2575</f>
        <v>Lantai 1</v>
      </c>
      <c r="B2599" s="385">
        <f t="shared" si="8345"/>
        <v>84</v>
      </c>
      <c r="C2599" s="393" t="s">
        <v>213</v>
      </c>
      <c r="D2599" s="398">
        <f>VLOOKUP(D2575,'Detail Balok'!$C$10:$BJ$140,46,FALSE)</f>
        <v>0</v>
      </c>
      <c r="E2599" s="388" t="s">
        <v>16</v>
      </c>
      <c r="F2599" s="388">
        <f>VLOOKUP(D2575,'Detail Balok'!$C$10:$BJ$140,48,FALSE)</f>
        <v>0</v>
      </c>
      <c r="G2599" s="405" t="s">
        <v>157</v>
      </c>
      <c r="H2599" s="395">
        <f>VLOOKUP(D2575,'Detail Balok'!$C$10:$BJ$140,50,FALSE)</f>
        <v>100</v>
      </c>
      <c r="I2599" s="388"/>
      <c r="J2599" s="399">
        <f t="shared" ref="J2599" si="8346">(D2576-2*F$5)/1000</f>
        <v>0.12</v>
      </c>
      <c r="K2599" s="400" t="s">
        <v>204</v>
      </c>
      <c r="L2599" s="399">
        <f t="shared" ref="L2599:L2601" si="8347">IF(D2599=0,2*MAX(6*F2599,75),(D2599-1)*2*MAX(6*F2599,75))/1000</f>
        <v>0.15</v>
      </c>
      <c r="M2599" s="399" t="s">
        <v>176</v>
      </c>
      <c r="N2599" s="399">
        <f t="shared" ref="N2599:N2601" si="8348">J2599+L2599</f>
        <v>0.27</v>
      </c>
      <c r="O2599" s="399"/>
      <c r="P2599" s="399"/>
      <c r="Q2599" s="399"/>
      <c r="R2599" s="399"/>
      <c r="S2599" s="399"/>
      <c r="T2599" s="399" t="s">
        <v>125</v>
      </c>
      <c r="U2599" s="401">
        <f t="shared" ref="U2599:U2601" si="8349">0.006165*F2599^2</f>
        <v>0</v>
      </c>
      <c r="V2599" s="399" t="s">
        <v>125</v>
      </c>
      <c r="W2599" s="399">
        <f t="shared" si="8256"/>
        <v>11</v>
      </c>
      <c r="X2599" s="399" t="s">
        <v>125</v>
      </c>
      <c r="Y2599" s="389">
        <f t="shared" ref="Y2599" si="8350">D2585</f>
        <v>4</v>
      </c>
      <c r="Z2599" s="400" t="s">
        <v>176</v>
      </c>
      <c r="AA2599" s="402">
        <f t="shared" ref="AA2599:AA2601" si="8351">N2599*U2599*W2599*Y2599</f>
        <v>0</v>
      </c>
      <c r="AB2599" s="403"/>
    </row>
    <row r="2600" spans="1:28">
      <c r="A2600" s="384" t="str">
        <f t="shared" ref="A2600:B2600" si="8352">A2575</f>
        <v>Lantai 1</v>
      </c>
      <c r="B2600" s="385">
        <f t="shared" si="8352"/>
        <v>84</v>
      </c>
      <c r="C2600" s="393" t="s">
        <v>214</v>
      </c>
      <c r="D2600" s="398">
        <f>VLOOKUP(D2575,'Detail Balok'!$C$10:$BJ$140,51,FALSE)</f>
        <v>0</v>
      </c>
      <c r="E2600" s="388" t="s">
        <v>16</v>
      </c>
      <c r="F2600" s="388">
        <f>VLOOKUP(D2575,'Detail Balok'!$C$10:$BJ$140,53,FALSE)</f>
        <v>0</v>
      </c>
      <c r="G2600" s="405" t="s">
        <v>157</v>
      </c>
      <c r="H2600" s="395">
        <f>VLOOKUP(D2575,'Detail Balok'!$C$10:$BJ$140,55,FALSE)</f>
        <v>100</v>
      </c>
      <c r="I2600" s="388"/>
      <c r="J2600" s="399">
        <f t="shared" ref="J2600" si="8353">(D2576-2*F$5)/1000</f>
        <v>0.12</v>
      </c>
      <c r="K2600" s="400" t="s">
        <v>204</v>
      </c>
      <c r="L2600" s="399">
        <f t="shared" si="8347"/>
        <v>0.15</v>
      </c>
      <c r="M2600" s="399" t="s">
        <v>176</v>
      </c>
      <c r="N2600" s="399">
        <f t="shared" si="8348"/>
        <v>0.27</v>
      </c>
      <c r="O2600" s="399"/>
      <c r="P2600" s="399"/>
      <c r="Q2600" s="399"/>
      <c r="R2600" s="399"/>
      <c r="S2600" s="399"/>
      <c r="T2600" s="399" t="s">
        <v>125</v>
      </c>
      <c r="U2600" s="401">
        <f t="shared" si="8349"/>
        <v>0</v>
      </c>
      <c r="V2600" s="399" t="s">
        <v>125</v>
      </c>
      <c r="W2600" s="399">
        <f t="shared" si="8256"/>
        <v>15</v>
      </c>
      <c r="X2600" s="399" t="s">
        <v>125</v>
      </c>
      <c r="Y2600" s="389">
        <f t="shared" ref="Y2600" si="8354">D2585</f>
        <v>4</v>
      </c>
      <c r="Z2600" s="400" t="s">
        <v>176</v>
      </c>
      <c r="AA2600" s="402">
        <f t="shared" si="8351"/>
        <v>0</v>
      </c>
      <c r="AB2600" s="403"/>
    </row>
    <row r="2601" spans="1:28">
      <c r="A2601" s="384" t="str">
        <f t="shared" ref="A2601:B2601" si="8355">A2575</f>
        <v>Lantai 1</v>
      </c>
      <c r="B2601" s="385">
        <f t="shared" si="8355"/>
        <v>84</v>
      </c>
      <c r="C2601" s="393" t="s">
        <v>213</v>
      </c>
      <c r="D2601" s="398">
        <f>VLOOKUP(D2575,'Detail Balok'!$C$10:$BJ$140,56,FALSE)</f>
        <v>0</v>
      </c>
      <c r="E2601" s="388" t="s">
        <v>16</v>
      </c>
      <c r="F2601" s="388">
        <f>VLOOKUP(D2575,'Detail Balok'!$C$10:$BJ$140,58,FALSE)</f>
        <v>0</v>
      </c>
      <c r="G2601" s="405" t="s">
        <v>157</v>
      </c>
      <c r="H2601" s="395">
        <f>VLOOKUP(D2575,'Detail Balok'!$C$10:$BJ$140,60,FALSE)</f>
        <v>100</v>
      </c>
      <c r="I2601" s="388"/>
      <c r="J2601" s="399">
        <f t="shared" ref="J2601" si="8356">(D2576-2*F$5)/1000</f>
        <v>0.12</v>
      </c>
      <c r="K2601" s="400" t="s">
        <v>204</v>
      </c>
      <c r="L2601" s="399">
        <f t="shared" si="8347"/>
        <v>0.15</v>
      </c>
      <c r="M2601" s="399" t="s">
        <v>176</v>
      </c>
      <c r="N2601" s="399">
        <f t="shared" si="8348"/>
        <v>0.27</v>
      </c>
      <c r="O2601" s="399"/>
      <c r="P2601" s="399"/>
      <c r="Q2601" s="399"/>
      <c r="R2601" s="399"/>
      <c r="S2601" s="399"/>
      <c r="T2601" s="399" t="s">
        <v>125</v>
      </c>
      <c r="U2601" s="401">
        <f t="shared" si="8349"/>
        <v>0</v>
      </c>
      <c r="V2601" s="399" t="s">
        <v>125</v>
      </c>
      <c r="W2601" s="399">
        <f t="shared" si="8256"/>
        <v>11</v>
      </c>
      <c r="X2601" s="399" t="s">
        <v>125</v>
      </c>
      <c r="Y2601" s="389">
        <f t="shared" ref="Y2601" si="8357">D2585</f>
        <v>4</v>
      </c>
      <c r="Z2601" s="400" t="s">
        <v>176</v>
      </c>
      <c r="AA2601" s="402">
        <f t="shared" si="8351"/>
        <v>0</v>
      </c>
      <c r="AB2601" s="403"/>
    </row>
    <row r="2602" spans="1:28">
      <c r="A2602" s="391"/>
      <c r="B2602" s="392"/>
      <c r="C2602" s="392"/>
      <c r="D2602" s="394"/>
      <c r="E2602" s="388"/>
      <c r="F2602" s="388"/>
      <c r="G2602" s="388"/>
      <c r="H2602" s="395"/>
      <c r="I2602" s="388"/>
      <c r="J2602" s="402"/>
      <c r="K2602" s="388"/>
      <c r="L2602" s="388"/>
      <c r="M2602" s="388"/>
      <c r="N2602" s="388"/>
      <c r="O2602" s="388"/>
      <c r="P2602" s="388"/>
      <c r="Q2602" s="388"/>
      <c r="R2602" s="388"/>
      <c r="S2602" s="388"/>
      <c r="T2602" s="388"/>
      <c r="U2602" s="388"/>
      <c r="V2602" s="388"/>
      <c r="W2602" s="388"/>
      <c r="X2602" s="388"/>
      <c r="Y2602" s="389"/>
      <c r="Z2602" s="388"/>
      <c r="AA2602" s="402"/>
      <c r="AB2602" s="403"/>
    </row>
    <row r="2603" spans="1:28" ht="15.75" thickBot="1">
      <c r="A2603" s="406"/>
      <c r="B2603" s="407"/>
      <c r="C2603" s="407"/>
      <c r="D2603" s="408"/>
      <c r="E2603" s="409"/>
      <c r="F2603" s="409"/>
      <c r="G2603" s="409"/>
      <c r="H2603" s="410"/>
      <c r="I2603" s="409"/>
      <c r="J2603" s="409"/>
      <c r="K2603" s="409"/>
      <c r="L2603" s="409"/>
      <c r="M2603" s="409"/>
      <c r="N2603" s="409"/>
      <c r="O2603" s="409"/>
      <c r="P2603" s="409"/>
      <c r="Q2603" s="409"/>
      <c r="R2603" s="409"/>
      <c r="S2603" s="409"/>
      <c r="T2603" s="409"/>
      <c r="U2603" s="409"/>
      <c r="V2603" s="409"/>
      <c r="W2603" s="409"/>
      <c r="X2603" s="409"/>
      <c r="Y2603" s="411"/>
      <c r="Z2603" s="409"/>
      <c r="AA2603" s="412"/>
      <c r="AB2603" s="413"/>
    </row>
    <row r="2604" spans="1:28">
      <c r="A2604" s="377"/>
      <c r="B2604" s="378"/>
      <c r="C2604" s="378"/>
      <c r="D2604" s="379"/>
      <c r="E2604" s="380"/>
      <c r="F2604" s="380"/>
      <c r="G2604" s="380"/>
      <c r="H2604" s="381"/>
      <c r="I2604" s="380"/>
      <c r="J2604" s="380"/>
      <c r="K2604" s="380"/>
      <c r="L2604" s="380"/>
      <c r="M2604" s="380"/>
      <c r="N2604" s="380"/>
      <c r="O2604" s="380"/>
      <c r="P2604" s="380"/>
      <c r="Q2604" s="380"/>
      <c r="R2604" s="380"/>
      <c r="S2604" s="380"/>
      <c r="T2604" s="380"/>
      <c r="U2604" s="380"/>
      <c r="V2604" s="380"/>
      <c r="W2604" s="380"/>
      <c r="X2604" s="380"/>
      <c r="Y2604" s="382"/>
      <c r="Z2604" s="380"/>
      <c r="AA2604" s="380"/>
      <c r="AB2604" s="383"/>
    </row>
    <row r="2605" spans="1:28">
      <c r="A2605" s="384" t="str">
        <f t="shared" si="8160"/>
        <v>Lantai 1</v>
      </c>
      <c r="B2605" s="385">
        <f t="shared" si="8161"/>
        <v>85</v>
      </c>
      <c r="C2605" s="386" t="str">
        <f t="shared" ref="C2605" si="8358">CONCATENATE(A2605," no. ",B2605)</f>
        <v>Lantai 1 no. 85</v>
      </c>
      <c r="D2605" s="2562" t="str">
        <f>VLOOKUP(C2605,'Data Panjang Balok'!$C$9:$N$254,2,FALSE)</f>
        <v>B25-1</v>
      </c>
      <c r="E2605" s="2576"/>
      <c r="F2605" s="2576"/>
      <c r="G2605" s="2576"/>
      <c r="H2605" s="2577"/>
      <c r="I2605" s="387"/>
      <c r="J2605" s="388"/>
      <c r="K2605" s="388"/>
      <c r="L2605" s="388"/>
      <c r="M2605" s="388"/>
      <c r="N2605" s="388"/>
      <c r="O2605" s="388"/>
      <c r="P2605" s="388"/>
      <c r="Q2605" s="388"/>
      <c r="R2605" s="388"/>
      <c r="S2605" s="388"/>
      <c r="T2605" s="388"/>
      <c r="U2605" s="388"/>
      <c r="V2605" s="388"/>
      <c r="W2605" s="388"/>
      <c r="X2605" s="388"/>
      <c r="Y2605" s="389"/>
      <c r="Z2605" s="388"/>
      <c r="AA2605" s="388"/>
      <c r="AB2605" s="390"/>
    </row>
    <row r="2606" spans="1:28">
      <c r="A2606" s="391"/>
      <c r="B2606" s="392"/>
      <c r="C2606" s="393" t="s">
        <v>118</v>
      </c>
      <c r="D2606" s="2578">
        <f>VLOOKUP(D2605,'Detail Balok'!$C$10:$AU$140,2,FALSE)</f>
        <v>200</v>
      </c>
      <c r="E2606" s="2579"/>
      <c r="F2606" s="388" t="s">
        <v>125</v>
      </c>
      <c r="G2606" s="2579">
        <f>VLOOKUP(D2605,'Detail Balok'!$C$10:$AU$140,3,FALSE)</f>
        <v>500</v>
      </c>
      <c r="H2606" s="2580"/>
      <c r="I2606" s="388"/>
      <c r="J2606" s="396"/>
      <c r="K2606" s="396"/>
      <c r="L2606" s="396"/>
      <c r="M2606" s="396"/>
      <c r="N2606" s="396"/>
      <c r="O2606" s="396"/>
      <c r="P2606" s="396"/>
      <c r="Q2606" s="396"/>
      <c r="R2606" s="396"/>
      <c r="S2606" s="396"/>
      <c r="T2606" s="396"/>
      <c r="U2606" s="388"/>
      <c r="V2606" s="396"/>
      <c r="W2606" s="388"/>
      <c r="X2606" s="396"/>
      <c r="Y2606" s="389"/>
      <c r="Z2606" s="396"/>
      <c r="AA2606" s="388"/>
      <c r="AB2606" s="390"/>
    </row>
    <row r="2607" spans="1:28">
      <c r="A2607" s="391"/>
      <c r="B2607" s="392"/>
      <c r="C2607" s="393" t="s">
        <v>198</v>
      </c>
      <c r="D2607" s="2562">
        <f>VLOOKUP(C2605,'Data Panjang Balok'!$C$9:$N$254,4,FALSE)</f>
        <v>8435</v>
      </c>
      <c r="E2607" s="2563"/>
      <c r="F2607" s="2563"/>
      <c r="G2607" s="2563"/>
      <c r="H2607" s="2564"/>
      <c r="I2607" s="397"/>
      <c r="J2607" s="396"/>
      <c r="K2607" s="396"/>
      <c r="L2607" s="396"/>
      <c r="M2607" s="396"/>
      <c r="N2607" s="396"/>
      <c r="O2607" s="396"/>
      <c r="P2607" s="396"/>
      <c r="Q2607" s="396"/>
      <c r="R2607" s="396"/>
      <c r="S2607" s="396"/>
      <c r="T2607" s="396"/>
      <c r="U2607" s="388"/>
      <c r="V2607" s="396"/>
      <c r="W2607" s="388"/>
      <c r="X2607" s="396"/>
      <c r="Y2607" s="389"/>
      <c r="Z2607" s="396"/>
      <c r="AA2607" s="388"/>
      <c r="AB2607" s="390"/>
    </row>
    <row r="2608" spans="1:28">
      <c r="A2608" s="391"/>
      <c r="B2608" s="392"/>
      <c r="C2608" s="393" t="s">
        <v>199</v>
      </c>
      <c r="D2608" s="2562">
        <f>VLOOKUP(C2605,'Data Panjang Balok'!$C$9:$N$254,7,FALSE)</f>
        <v>8435</v>
      </c>
      <c r="E2608" s="2563"/>
      <c r="F2608" s="2563"/>
      <c r="G2608" s="2563"/>
      <c r="H2608" s="2564"/>
      <c r="I2608" s="397"/>
      <c r="J2608" s="396"/>
      <c r="K2608" s="396"/>
      <c r="L2608" s="396"/>
      <c r="M2608" s="396"/>
      <c r="N2608" s="396"/>
      <c r="O2608" s="396"/>
      <c r="P2608" s="396"/>
      <c r="Q2608" s="396"/>
      <c r="R2608" s="396"/>
      <c r="S2608" s="396"/>
      <c r="T2608" s="396"/>
      <c r="U2608" s="388"/>
      <c r="V2608" s="396"/>
      <c r="W2608" s="388"/>
      <c r="X2608" s="396"/>
      <c r="Y2608" s="389"/>
      <c r="Z2608" s="396"/>
      <c r="AA2608" s="388"/>
      <c r="AB2608" s="390"/>
    </row>
    <row r="2609" spans="1:28">
      <c r="A2609" s="391"/>
      <c r="B2609" s="392"/>
      <c r="C2609" s="393" t="s">
        <v>200</v>
      </c>
      <c r="D2609" s="2562">
        <f>VLOOKUP(C2605,'Data Panjang Balok'!$C$9:$N$254,9,FALSE)</f>
        <v>0</v>
      </c>
      <c r="E2609" s="2563"/>
      <c r="F2609" s="2563"/>
      <c r="G2609" s="2563"/>
      <c r="H2609" s="2564"/>
      <c r="I2609" s="397"/>
      <c r="J2609" s="396"/>
      <c r="K2609" s="396"/>
      <c r="L2609" s="396"/>
      <c r="M2609" s="396"/>
      <c r="N2609" s="396"/>
      <c r="O2609" s="396"/>
      <c r="P2609" s="396"/>
      <c r="Q2609" s="396"/>
      <c r="R2609" s="396"/>
      <c r="S2609" s="396"/>
      <c r="T2609" s="396"/>
      <c r="U2609" s="388"/>
      <c r="V2609" s="396"/>
      <c r="W2609" s="388"/>
      <c r="X2609" s="396"/>
      <c r="Y2609" s="389"/>
      <c r="Z2609" s="396"/>
      <c r="AA2609" s="388"/>
      <c r="AB2609" s="390"/>
    </row>
    <row r="2610" spans="1:28">
      <c r="A2610" s="391"/>
      <c r="B2610" s="392"/>
      <c r="C2610" s="393" t="s">
        <v>201</v>
      </c>
      <c r="D2610" s="2562">
        <f>VLOOKUP(C2605,'Data Panjang Balok'!$C$9:$N$254,10,FALSE)</f>
        <v>0</v>
      </c>
      <c r="E2610" s="2563"/>
      <c r="F2610" s="2563"/>
      <c r="G2610" s="2563"/>
      <c r="H2610" s="2564"/>
      <c r="I2610" s="397"/>
      <c r="J2610" s="396"/>
      <c r="K2610" s="396"/>
      <c r="L2610" s="396"/>
      <c r="M2610" s="396"/>
      <c r="N2610" s="396"/>
      <c r="O2610" s="396"/>
      <c r="P2610" s="396"/>
      <c r="Q2610" s="396"/>
      <c r="R2610" s="396"/>
      <c r="S2610" s="396"/>
      <c r="T2610" s="396"/>
      <c r="U2610" s="388"/>
      <c r="V2610" s="396"/>
      <c r="W2610" s="388"/>
      <c r="X2610" s="396"/>
      <c r="Y2610" s="389"/>
      <c r="Z2610" s="396"/>
      <c r="AA2610" s="388"/>
      <c r="AB2610" s="390"/>
    </row>
    <row r="2611" spans="1:28">
      <c r="A2611" s="391"/>
      <c r="B2611" s="392"/>
      <c r="C2611" s="393" t="s">
        <v>48</v>
      </c>
      <c r="D2611" s="2562">
        <f>VLOOKUP(C2605,'Data Panjang Balok'!$C$9:$N$254,3,FALSE)</f>
        <v>1</v>
      </c>
      <c r="E2611" s="2563"/>
      <c r="F2611" s="2563"/>
      <c r="G2611" s="2563"/>
      <c r="H2611" s="2564"/>
      <c r="I2611" s="397"/>
      <c r="J2611" s="396"/>
      <c r="K2611" s="396"/>
      <c r="L2611" s="396"/>
      <c r="M2611" s="396"/>
      <c r="N2611" s="396"/>
      <c r="O2611" s="396"/>
      <c r="P2611" s="396"/>
      <c r="Q2611" s="396"/>
      <c r="R2611" s="396"/>
      <c r="S2611" s="396"/>
      <c r="T2611" s="396"/>
      <c r="U2611" s="388"/>
      <c r="V2611" s="396"/>
      <c r="W2611" s="388"/>
      <c r="X2611" s="396"/>
      <c r="Y2611" s="389"/>
      <c r="Z2611" s="396"/>
      <c r="AA2611" s="388"/>
      <c r="AB2611" s="390"/>
    </row>
    <row r="2612" spans="1:28">
      <c r="A2612" s="384" t="str">
        <f t="shared" ref="A2612:B2612" si="8359">A2605</f>
        <v>Lantai 1</v>
      </c>
      <c r="B2612" s="385">
        <f t="shared" si="8359"/>
        <v>85</v>
      </c>
      <c r="C2612" s="393" t="s">
        <v>202</v>
      </c>
      <c r="D2612" s="398">
        <f>VLOOKUP(D2605,'Detail Balok'!$C$10:$AU$140,4,FALSE)</f>
        <v>4</v>
      </c>
      <c r="E2612" s="388" t="s">
        <v>16</v>
      </c>
      <c r="F2612" s="388">
        <f>VLOOKUP(D2605,'Detail Balok'!$C$10:$AU$140,6,FALSE)</f>
        <v>16</v>
      </c>
      <c r="G2612" s="388"/>
      <c r="H2612" s="395"/>
      <c r="I2612" s="388" t="s">
        <v>203</v>
      </c>
      <c r="J2612" s="399">
        <f t="shared" ref="J2612" si="8360">+D2607/4/1000</f>
        <v>2.1087500000000001</v>
      </c>
      <c r="K2612" s="400" t="s">
        <v>204</v>
      </c>
      <c r="L2612" s="399">
        <f t="shared" ref="L2612" si="8361">MAX(VLOOKUP(F2612,N$6:P$15,3,FALSE)/1000,2/3*D2609/1000)+F$16*F2612/1000</f>
        <v>0.192</v>
      </c>
      <c r="M2612" s="399" t="s">
        <v>176</v>
      </c>
      <c r="N2612" s="399">
        <f t="shared" ref="N2612:N2614" si="8362">J2612+L2612</f>
        <v>2.3007500000000003</v>
      </c>
      <c r="O2612" s="399" t="s">
        <v>204</v>
      </c>
      <c r="P2612" s="389">
        <f t="shared" ref="P2612" si="8363">D2612-D2613</f>
        <v>0</v>
      </c>
      <c r="Q2612" s="399" t="s">
        <v>125</v>
      </c>
      <c r="R2612" s="399">
        <f t="shared" ref="R2612" si="8364">IF(P2612&gt;0,$F$18*F2612/1000,0)</f>
        <v>0</v>
      </c>
      <c r="S2612" s="399" t="s">
        <v>205</v>
      </c>
      <c r="T2612" s="399" t="s">
        <v>125</v>
      </c>
      <c r="U2612" s="401">
        <f t="shared" ref="U2612:U2614" si="8365">0.006165*F2612^2</f>
        <v>1.5782400000000001</v>
      </c>
      <c r="V2612" s="399"/>
      <c r="W2612" s="399"/>
      <c r="X2612" s="399" t="s">
        <v>125</v>
      </c>
      <c r="Y2612" s="389">
        <f t="shared" ref="Y2612" si="8366">D2611</f>
        <v>1</v>
      </c>
      <c r="Z2612" s="400" t="s">
        <v>176</v>
      </c>
      <c r="AA2612" s="402">
        <f t="shared" ref="AA2612" si="8367">IF(AA2615=0,(D2612*N2612+P2612*R2612)*U2612*Y2612,0)</f>
        <v>0</v>
      </c>
      <c r="AB2612" s="403"/>
    </row>
    <row r="2613" spans="1:28">
      <c r="A2613" s="384" t="str">
        <f t="shared" ref="A2613:B2613" si="8368">A2605</f>
        <v>Lantai 1</v>
      </c>
      <c r="B2613" s="385">
        <f t="shared" si="8368"/>
        <v>85</v>
      </c>
      <c r="C2613" s="393" t="s">
        <v>206</v>
      </c>
      <c r="D2613" s="398">
        <f>VLOOKUP(D2605,'Detail Balok'!$C$10:$AU$140,7,FALSE)</f>
        <v>4</v>
      </c>
      <c r="E2613" s="388" t="s">
        <v>16</v>
      </c>
      <c r="F2613" s="388">
        <f>VLOOKUP(D2605,'Detail Balok'!$C$10:$AU$140,9,FALSE)</f>
        <v>16</v>
      </c>
      <c r="G2613" s="388"/>
      <c r="H2613" s="395"/>
      <c r="I2613" s="388" t="s">
        <v>203</v>
      </c>
      <c r="J2613" s="399">
        <f t="shared" ref="J2613" si="8369">+D2607/2/1000</f>
        <v>4.2175000000000002</v>
      </c>
      <c r="K2613" s="400" t="s">
        <v>204</v>
      </c>
      <c r="L2613" s="399"/>
      <c r="M2613" s="399" t="s">
        <v>176</v>
      </c>
      <c r="N2613" s="399">
        <f t="shared" si="8362"/>
        <v>4.2175000000000002</v>
      </c>
      <c r="O2613" s="399" t="s">
        <v>204</v>
      </c>
      <c r="P2613" s="389">
        <f t="shared" ref="P2613" si="8370">MAX(D2613-D2612,D2613-D2614)</f>
        <v>0</v>
      </c>
      <c r="Q2613" s="399" t="s">
        <v>125</v>
      </c>
      <c r="R2613" s="399">
        <f t="shared" ref="R2613" si="8371">IF(P2613&gt;0,2*(1-2*$F$19-1/2)*D2608/1000,0)</f>
        <v>0</v>
      </c>
      <c r="S2613" s="399" t="s">
        <v>205</v>
      </c>
      <c r="T2613" s="399" t="s">
        <v>125</v>
      </c>
      <c r="U2613" s="401">
        <f t="shared" si="8365"/>
        <v>1.5782400000000001</v>
      </c>
      <c r="V2613" s="399"/>
      <c r="W2613" s="399"/>
      <c r="X2613" s="399" t="s">
        <v>125</v>
      </c>
      <c r="Y2613" s="389">
        <f t="shared" ref="Y2613" si="8372">D2611</f>
        <v>1</v>
      </c>
      <c r="Z2613" s="400" t="s">
        <v>176</v>
      </c>
      <c r="AA2613" s="402">
        <f t="shared" ref="AA2613" si="8373">IF(AA2615=0,(D2613*N2613+P2613*R2613)*U2613*Y2613,0)</f>
        <v>0</v>
      </c>
      <c r="AB2613" s="403"/>
    </row>
    <row r="2614" spans="1:28">
      <c r="A2614" s="384" t="str">
        <f t="shared" ref="A2614:B2614" si="8374">A2605</f>
        <v>Lantai 1</v>
      </c>
      <c r="B2614" s="385">
        <f t="shared" si="8374"/>
        <v>85</v>
      </c>
      <c r="C2614" s="393" t="s">
        <v>202</v>
      </c>
      <c r="D2614" s="398">
        <f>VLOOKUP(D2605,'Detail Balok'!$C$10:$AU$140,10,FALSE)</f>
        <v>4</v>
      </c>
      <c r="E2614" s="388" t="s">
        <v>16</v>
      </c>
      <c r="F2614" s="388">
        <f>VLOOKUP(D2605,'Detail Balok'!$C$10:$AU$140,12,FALSE)</f>
        <v>16</v>
      </c>
      <c r="G2614" s="388"/>
      <c r="H2614" s="395"/>
      <c r="I2614" s="388" t="s">
        <v>203</v>
      </c>
      <c r="J2614" s="399">
        <f t="shared" ref="J2614" si="8375">+D2607/4/1000</f>
        <v>2.1087500000000001</v>
      </c>
      <c r="K2614" s="400" t="s">
        <v>204</v>
      </c>
      <c r="L2614" s="399">
        <f t="shared" ref="L2614" si="8376">MAX(VLOOKUP(F2614,N$6:P$15,3,FALSE)/1000,2/3*D2609/1000)+F$16*F2614/1000</f>
        <v>0.192</v>
      </c>
      <c r="M2614" s="399" t="s">
        <v>176</v>
      </c>
      <c r="N2614" s="399">
        <f t="shared" si="8362"/>
        <v>2.3007500000000003</v>
      </c>
      <c r="O2614" s="399" t="s">
        <v>204</v>
      </c>
      <c r="P2614" s="389">
        <f t="shared" ref="P2614" si="8377">D2614-D2613</f>
        <v>0</v>
      </c>
      <c r="Q2614" s="399" t="s">
        <v>125</v>
      </c>
      <c r="R2614" s="399">
        <f t="shared" ref="R2614" si="8378">IF(P2614&gt;0,$F$18*F2614/1000,0)</f>
        <v>0</v>
      </c>
      <c r="S2614" s="399" t="s">
        <v>205</v>
      </c>
      <c r="T2614" s="399" t="s">
        <v>125</v>
      </c>
      <c r="U2614" s="401">
        <f t="shared" si="8365"/>
        <v>1.5782400000000001</v>
      </c>
      <c r="V2614" s="399"/>
      <c r="W2614" s="399"/>
      <c r="X2614" s="399" t="s">
        <v>125</v>
      </c>
      <c r="Y2614" s="389">
        <f t="shared" ref="Y2614" si="8379">D2611</f>
        <v>1</v>
      </c>
      <c r="Z2614" s="400" t="s">
        <v>176</v>
      </c>
      <c r="AA2614" s="402">
        <f t="shared" ref="AA2614" si="8380">IF(AA2615=0,(D2614*N2614+P2614*R2614)*U2614*Y2614,0)</f>
        <v>0</v>
      </c>
      <c r="AB2614" s="403"/>
    </row>
    <row r="2615" spans="1:28">
      <c r="A2615" s="384" t="str">
        <f t="shared" ref="A2615:B2615" si="8381">A2605</f>
        <v>Lantai 1</v>
      </c>
      <c r="B2615" s="385">
        <f t="shared" si="8381"/>
        <v>85</v>
      </c>
      <c r="C2615" s="393"/>
      <c r="D2615" s="398">
        <f t="shared" ref="D2615:D2675" si="8382">IF(AND(D2612=D2613,D2613=D2614,D2612=D2614),D2612,0)</f>
        <v>4</v>
      </c>
      <c r="E2615" s="388" t="s">
        <v>16</v>
      </c>
      <c r="F2615" s="388">
        <f t="shared" ref="F2615:F2675" si="8383">IF(AND(F2612=F2613,F2612=F2614,F2613=F2614),F2612,0)</f>
        <v>16</v>
      </c>
      <c r="G2615" s="388"/>
      <c r="H2615" s="395"/>
      <c r="I2615" s="388"/>
      <c r="J2615" s="396"/>
      <c r="K2615" s="396"/>
      <c r="L2615" s="404" t="s">
        <v>207</v>
      </c>
      <c r="M2615" s="399" t="s">
        <v>176</v>
      </c>
      <c r="N2615" s="399">
        <f t="shared" ref="N2615" si="8384">IF(AND(D2612=D2613,D2612=D2614,D2613=D2614,F2612=F2613,F2612=F2614,F2613=F2614),SUM(N2612:N2614),0)</f>
        <v>8.8190000000000008</v>
      </c>
      <c r="O2615" s="399" t="s">
        <v>204</v>
      </c>
      <c r="P2615" s="389">
        <f t="shared" ref="P2615" si="8385">IF(N2615&gt;12,ROUNDDOWN(N2615/12,0),0)</f>
        <v>0</v>
      </c>
      <c r="Q2615" s="399" t="s">
        <v>125</v>
      </c>
      <c r="R2615" s="399">
        <f t="shared" ref="R2615" si="8386">IF(P2615&gt;0,MAX(VLOOKUP(F2615,$D$6:$G$15,3,FALSE),600),0)/1000</f>
        <v>0</v>
      </c>
      <c r="S2615" s="396"/>
      <c r="T2615" s="396" t="s">
        <v>125</v>
      </c>
      <c r="U2615" s="401">
        <f t="shared" ref="U2615:U2675" si="8387">U2614</f>
        <v>1.5782400000000001</v>
      </c>
      <c r="V2615" s="396" t="s">
        <v>125</v>
      </c>
      <c r="W2615" s="399">
        <f t="shared" ref="W2615" si="8388">D2615</f>
        <v>4</v>
      </c>
      <c r="X2615" s="399" t="s">
        <v>125</v>
      </c>
      <c r="Y2615" s="389">
        <f t="shared" ref="Y2615:Y2675" si="8389">Y2614</f>
        <v>1</v>
      </c>
      <c r="Z2615" s="400" t="s">
        <v>176</v>
      </c>
      <c r="AA2615" s="402">
        <f t="shared" ref="AA2615" si="8390">(N2615+P2615*R2615/1000)*U2615*W2615*Y2615</f>
        <v>55.673994240000006</v>
      </c>
      <c r="AB2615" s="390"/>
    </row>
    <row r="2616" spans="1:28">
      <c r="A2616" s="384"/>
      <c r="B2616" s="385"/>
      <c r="C2616" s="393"/>
      <c r="D2616" s="398"/>
      <c r="E2616" s="388"/>
      <c r="F2616" s="388"/>
      <c r="G2616" s="388"/>
      <c r="H2616" s="395"/>
      <c r="I2616" s="388"/>
      <c r="J2616" s="396"/>
      <c r="K2616" s="396"/>
      <c r="L2616" s="404"/>
      <c r="M2616" s="399"/>
      <c r="N2616" s="399"/>
      <c r="O2616" s="396"/>
      <c r="P2616" s="389"/>
      <c r="Q2616" s="396"/>
      <c r="R2616" s="396"/>
      <c r="S2616" s="396"/>
      <c r="T2616" s="396"/>
      <c r="U2616" s="401"/>
      <c r="V2616" s="396"/>
      <c r="W2616" s="399"/>
      <c r="X2616" s="396"/>
      <c r="Y2616" s="389"/>
      <c r="Z2616" s="396"/>
      <c r="AA2616" s="388"/>
      <c r="AB2616" s="390"/>
    </row>
    <row r="2617" spans="1:28">
      <c r="A2617" s="384" t="str">
        <f t="shared" ref="A2617:B2617" si="8391">A2605</f>
        <v>Lantai 1</v>
      </c>
      <c r="B2617" s="385">
        <f t="shared" si="8391"/>
        <v>85</v>
      </c>
      <c r="C2617" s="393" t="s">
        <v>208</v>
      </c>
      <c r="D2617" s="398">
        <f>VLOOKUP(D2605,'Detail Balok'!$C$10:$AU$140,13,FALSE)</f>
        <v>2</v>
      </c>
      <c r="E2617" s="388" t="s">
        <v>16</v>
      </c>
      <c r="F2617" s="388">
        <f>VLOOKUP(D2605,'Detail Balok'!$C$10:$AU$140,15,FALSE)</f>
        <v>10</v>
      </c>
      <c r="G2617" s="388"/>
      <c r="H2617" s="395"/>
      <c r="I2617" s="388"/>
      <c r="J2617" s="399">
        <f t="shared" ref="J2617" si="8392">+D2607/1000</f>
        <v>8.4350000000000005</v>
      </c>
      <c r="K2617" s="400" t="s">
        <v>204</v>
      </c>
      <c r="L2617" s="399">
        <f t="shared" ref="L2617" si="8393">2*$F$16*F2617/1000</f>
        <v>0.24</v>
      </c>
      <c r="M2617" s="399" t="s">
        <v>176</v>
      </c>
      <c r="N2617" s="399">
        <f t="shared" ref="N2617" si="8394">J2617+L2617</f>
        <v>8.6750000000000007</v>
      </c>
      <c r="O2617" s="399" t="s">
        <v>204</v>
      </c>
      <c r="P2617" s="389">
        <f t="shared" ref="P2617" si="8395">IF(N2617&gt;12,ROUNDDOWN(N2617/12,0),0)</f>
        <v>0</v>
      </c>
      <c r="Q2617" s="399" t="s">
        <v>125</v>
      </c>
      <c r="R2617" s="399">
        <f t="shared" ref="R2617" si="8396">IF(P2617&gt;0,MAX(VLOOKUP(F2617,$D$6:$G$15,3,FALSE),600),0)/1000</f>
        <v>0</v>
      </c>
      <c r="S2617" s="399"/>
      <c r="T2617" s="399" t="s">
        <v>125</v>
      </c>
      <c r="U2617" s="401">
        <f t="shared" ref="U2617" si="8397">0.006165*F2617^2</f>
        <v>0.61650000000000005</v>
      </c>
      <c r="V2617" s="399" t="s">
        <v>125</v>
      </c>
      <c r="W2617" s="399">
        <f t="shared" ref="W2617" si="8398">+D2617</f>
        <v>2</v>
      </c>
      <c r="X2617" s="399" t="s">
        <v>125</v>
      </c>
      <c r="Y2617" s="389">
        <f t="shared" ref="Y2617" si="8399">D2611</f>
        <v>1</v>
      </c>
      <c r="Z2617" s="400" t="s">
        <v>176</v>
      </c>
      <c r="AA2617" s="402">
        <f t="shared" ref="AA2617" si="8400">(N2617+P2617*R2617/1000)*U2617*W2617*Y2617</f>
        <v>10.696275000000002</v>
      </c>
      <c r="AB2617" s="403"/>
    </row>
    <row r="2618" spans="1:28">
      <c r="A2618" s="384"/>
      <c r="B2618" s="385"/>
      <c r="C2618" s="393"/>
      <c r="D2618" s="398"/>
      <c r="E2618" s="388"/>
      <c r="F2618" s="388"/>
      <c r="G2618" s="388"/>
      <c r="H2618" s="395"/>
      <c r="I2618" s="388"/>
      <c r="J2618" s="399"/>
      <c r="K2618" s="400"/>
      <c r="L2618" s="399"/>
      <c r="M2618" s="399"/>
      <c r="N2618" s="399"/>
      <c r="O2618" s="399"/>
      <c r="P2618" s="389"/>
      <c r="Q2618" s="399"/>
      <c r="R2618" s="399"/>
      <c r="S2618" s="399"/>
      <c r="T2618" s="399"/>
      <c r="U2618" s="401"/>
      <c r="V2618" s="399"/>
      <c r="W2618" s="399"/>
      <c r="X2618" s="399"/>
      <c r="Y2618" s="389"/>
      <c r="Z2618" s="400"/>
      <c r="AA2618" s="402"/>
      <c r="AB2618" s="403"/>
    </row>
    <row r="2619" spans="1:28">
      <c r="A2619" s="384"/>
      <c r="B2619" s="385"/>
      <c r="C2619" s="393"/>
      <c r="D2619" s="398"/>
      <c r="E2619" s="388"/>
      <c r="F2619" s="388"/>
      <c r="G2619" s="388"/>
      <c r="H2619" s="395"/>
      <c r="I2619" s="388"/>
      <c r="J2619" s="396"/>
      <c r="K2619" s="396"/>
      <c r="L2619" s="396"/>
      <c r="M2619" s="396"/>
      <c r="N2619" s="396"/>
      <c r="O2619" s="396"/>
      <c r="P2619" s="389"/>
      <c r="Q2619" s="396"/>
      <c r="R2619" s="396"/>
      <c r="S2619" s="396"/>
      <c r="T2619" s="396"/>
      <c r="U2619" s="401"/>
      <c r="V2619" s="396"/>
      <c r="W2619" s="399"/>
      <c r="X2619" s="396"/>
      <c r="Y2619" s="389"/>
      <c r="Z2619" s="396"/>
      <c r="AA2619" s="388"/>
      <c r="AB2619" s="390"/>
    </row>
    <row r="2620" spans="1:28">
      <c r="A2620" s="384" t="str">
        <f t="shared" ref="A2620:B2620" si="8401">A2605</f>
        <v>Lantai 1</v>
      </c>
      <c r="B2620" s="385">
        <f t="shared" si="8401"/>
        <v>85</v>
      </c>
      <c r="C2620" s="393" t="s">
        <v>209</v>
      </c>
      <c r="D2620" s="398">
        <f>VLOOKUP(D2605,'Detail Balok'!$C$10:$AU$140,22,FALSE)</f>
        <v>4</v>
      </c>
      <c r="E2620" s="388" t="s">
        <v>16</v>
      </c>
      <c r="F2620" s="388">
        <f>VLOOKUP(D2605,'Detail Balok'!$C$10:$AU$140,24,FALSE)</f>
        <v>16</v>
      </c>
      <c r="G2620" s="388"/>
      <c r="H2620" s="395"/>
      <c r="I2620" s="388" t="s">
        <v>203</v>
      </c>
      <c r="J2620" s="399">
        <f t="shared" ref="J2620:J2682" si="8402">+J2612</f>
        <v>2.1087500000000001</v>
      </c>
      <c r="K2620" s="400" t="s">
        <v>204</v>
      </c>
      <c r="L2620" s="399">
        <f t="shared" ref="L2620" si="8403">MAX(VLOOKUP(F2620,N$6:P$15,3,FALSE)/1000,2/3*D2610/1000)+F$16*F2620/1000</f>
        <v>0.192</v>
      </c>
      <c r="M2620" s="399" t="s">
        <v>176</v>
      </c>
      <c r="N2620" s="399">
        <f t="shared" ref="N2620:N2622" si="8404">J2620+L2620</f>
        <v>2.3007500000000003</v>
      </c>
      <c r="O2620" s="399" t="s">
        <v>204</v>
      </c>
      <c r="P2620" s="389">
        <f t="shared" ref="P2620" si="8405">D2620-D2621</f>
        <v>0</v>
      </c>
      <c r="Q2620" s="399" t="s">
        <v>125</v>
      </c>
      <c r="R2620" s="399">
        <f t="shared" ref="R2620" si="8406">IF(P2620&gt;0,$F$18*F2620/1000,0)</f>
        <v>0</v>
      </c>
      <c r="S2620" s="399" t="s">
        <v>205</v>
      </c>
      <c r="T2620" s="399" t="s">
        <v>125</v>
      </c>
      <c r="U2620" s="401">
        <f t="shared" ref="U2620:U2622" si="8407">0.006165*F2620^2</f>
        <v>1.5782400000000001</v>
      </c>
      <c r="V2620" s="399"/>
      <c r="W2620" s="399"/>
      <c r="X2620" s="399" t="s">
        <v>125</v>
      </c>
      <c r="Y2620" s="389">
        <f t="shared" ref="Y2620" si="8408">D2611</f>
        <v>1</v>
      </c>
      <c r="Z2620" s="400" t="s">
        <v>176</v>
      </c>
      <c r="AA2620" s="402">
        <f t="shared" ref="AA2620" si="8409">IF(AA2623=0,(D2620*N2620+P2620*R2620)*U2620*Y2620,0)</f>
        <v>0</v>
      </c>
      <c r="AB2620" s="403"/>
    </row>
    <row r="2621" spans="1:28">
      <c r="A2621" s="384" t="str">
        <f t="shared" ref="A2621:B2621" si="8410">A2605</f>
        <v>Lantai 1</v>
      </c>
      <c r="B2621" s="385">
        <f t="shared" si="8410"/>
        <v>85</v>
      </c>
      <c r="C2621" s="393" t="s">
        <v>210</v>
      </c>
      <c r="D2621" s="398">
        <f>VLOOKUP(D2605,'Detail Balok'!$C$10:$AU$140,25,FALSE)</f>
        <v>4</v>
      </c>
      <c r="E2621" s="388" t="s">
        <v>16</v>
      </c>
      <c r="F2621" s="388">
        <f>VLOOKUP(D2605,'Detail Balok'!$C$10:$AU$140,27,FALSE)</f>
        <v>16</v>
      </c>
      <c r="G2621" s="388"/>
      <c r="H2621" s="395"/>
      <c r="I2621" s="388" t="s">
        <v>203</v>
      </c>
      <c r="J2621" s="399">
        <f t="shared" si="8402"/>
        <v>4.2175000000000002</v>
      </c>
      <c r="K2621" s="400" t="s">
        <v>204</v>
      </c>
      <c r="L2621" s="399"/>
      <c r="M2621" s="399" t="s">
        <v>176</v>
      </c>
      <c r="N2621" s="399">
        <f t="shared" si="8404"/>
        <v>4.2175000000000002</v>
      </c>
      <c r="O2621" s="399" t="s">
        <v>204</v>
      </c>
      <c r="P2621" s="389">
        <f t="shared" ref="P2621" si="8411">MAX(D2621-D2620,D2621-D2622)</f>
        <v>0</v>
      </c>
      <c r="Q2621" s="399" t="s">
        <v>125</v>
      </c>
      <c r="R2621" s="399">
        <f t="shared" ref="R2621" si="8412">IF(P2621&gt;0,2*(1-2*$F$19-1/2)*D2608/1000,0)</f>
        <v>0</v>
      </c>
      <c r="S2621" s="399" t="s">
        <v>205</v>
      </c>
      <c r="T2621" s="399" t="s">
        <v>125</v>
      </c>
      <c r="U2621" s="401">
        <f t="shared" si="8407"/>
        <v>1.5782400000000001</v>
      </c>
      <c r="V2621" s="399"/>
      <c r="W2621" s="399"/>
      <c r="X2621" s="399" t="s">
        <v>125</v>
      </c>
      <c r="Y2621" s="389">
        <f t="shared" ref="Y2621" si="8413">D2611</f>
        <v>1</v>
      </c>
      <c r="Z2621" s="400" t="s">
        <v>176</v>
      </c>
      <c r="AA2621" s="402">
        <f t="shared" ref="AA2621" si="8414">IF(AA2623=0,(D2621*N2621+P2621*R2621)*U2621*Y2621,0)</f>
        <v>0</v>
      </c>
      <c r="AB2621" s="403"/>
    </row>
    <row r="2622" spans="1:28">
      <c r="A2622" s="384" t="str">
        <f t="shared" ref="A2622:B2622" si="8415">A2605</f>
        <v>Lantai 1</v>
      </c>
      <c r="B2622" s="385">
        <f t="shared" si="8415"/>
        <v>85</v>
      </c>
      <c r="C2622" s="393" t="s">
        <v>209</v>
      </c>
      <c r="D2622" s="398">
        <f>VLOOKUP(D2605,'Detail Balok'!$C$10:$AU$140,28,FALSE)</f>
        <v>4</v>
      </c>
      <c r="E2622" s="388" t="s">
        <v>16</v>
      </c>
      <c r="F2622" s="388">
        <f>VLOOKUP(D2605,'Detail Balok'!$C$10:$AU$140,30,FALSE)</f>
        <v>16</v>
      </c>
      <c r="G2622" s="388"/>
      <c r="H2622" s="395"/>
      <c r="I2622" s="388" t="s">
        <v>203</v>
      </c>
      <c r="J2622" s="399">
        <f t="shared" si="8402"/>
        <v>2.1087500000000001</v>
      </c>
      <c r="K2622" s="400" t="s">
        <v>204</v>
      </c>
      <c r="L2622" s="399">
        <f t="shared" ref="L2622" si="8416">MAX(VLOOKUP(F2622,N$6:P$15,3,FALSE)/1000,2/3*D2610/1000)+F$16*F2622/1000</f>
        <v>0.192</v>
      </c>
      <c r="M2622" s="399" t="s">
        <v>176</v>
      </c>
      <c r="N2622" s="399">
        <f t="shared" si="8404"/>
        <v>2.3007500000000003</v>
      </c>
      <c r="O2622" s="399" t="s">
        <v>204</v>
      </c>
      <c r="P2622" s="389">
        <f t="shared" ref="P2622" si="8417">D2622-D2621</f>
        <v>0</v>
      </c>
      <c r="Q2622" s="399" t="s">
        <v>125</v>
      </c>
      <c r="R2622" s="399">
        <f t="shared" ref="R2622" si="8418">IF(P2622&gt;0,$F$18*F2622/1000,0)</f>
        <v>0</v>
      </c>
      <c r="S2622" s="399" t="s">
        <v>205</v>
      </c>
      <c r="T2622" s="399" t="s">
        <v>125</v>
      </c>
      <c r="U2622" s="401">
        <f t="shared" si="8407"/>
        <v>1.5782400000000001</v>
      </c>
      <c r="V2622" s="399"/>
      <c r="W2622" s="399"/>
      <c r="X2622" s="399" t="s">
        <v>125</v>
      </c>
      <c r="Y2622" s="389">
        <f t="shared" ref="Y2622" si="8419">D2611</f>
        <v>1</v>
      </c>
      <c r="Z2622" s="400" t="s">
        <v>176</v>
      </c>
      <c r="AA2622" s="402">
        <f t="shared" ref="AA2622" si="8420">IF(AA2623=0,(D2622*N2622+P2622*R2622)*U2622*Y2622,0)</f>
        <v>0</v>
      </c>
      <c r="AB2622" s="403"/>
    </row>
    <row r="2623" spans="1:28">
      <c r="A2623" s="384" t="str">
        <f t="shared" ref="A2623:B2623" si="8421">A2605</f>
        <v>Lantai 1</v>
      </c>
      <c r="B2623" s="385">
        <f t="shared" si="8421"/>
        <v>85</v>
      </c>
      <c r="C2623" s="393"/>
      <c r="D2623" s="398">
        <f t="shared" ref="D2623:D2683" si="8422">IF(AND(D2620=D2621,D2621=D2622,D2620=D2622),D2620,0)</f>
        <v>4</v>
      </c>
      <c r="E2623" s="388" t="s">
        <v>16</v>
      </c>
      <c r="F2623" s="388">
        <f t="shared" ref="F2623:F2683" si="8423">IF(AND(F2620=F2621,F2620=F2622,F2621=F2622),F2620,0)</f>
        <v>16</v>
      </c>
      <c r="G2623" s="388"/>
      <c r="H2623" s="395"/>
      <c r="I2623" s="388"/>
      <c r="J2623" s="396"/>
      <c r="K2623" s="396"/>
      <c r="L2623" s="404" t="s">
        <v>207</v>
      </c>
      <c r="M2623" s="399" t="s">
        <v>176</v>
      </c>
      <c r="N2623" s="399">
        <f t="shared" ref="N2623" si="8424">IF(AND(D2620=D2621,D2620=D2622,D2621=D2622,F2620=F2621,F2620=F2622,F2621=F2622),SUM(N2620:N2622),0)</f>
        <v>8.8190000000000008</v>
      </c>
      <c r="O2623" s="399" t="s">
        <v>204</v>
      </c>
      <c r="P2623" s="389">
        <f t="shared" ref="P2623" si="8425">IF(N2623&gt;12,ROUNDDOWN(N2623/12,0),0)</f>
        <v>0</v>
      </c>
      <c r="Q2623" s="399" t="s">
        <v>125</v>
      </c>
      <c r="R2623" s="399">
        <f t="shared" ref="R2623" si="8426">IF(P2623&gt;0,MAX(VLOOKUP(F2623,$D$6:$G$15,3,FALSE),600),0)/1000</f>
        <v>0</v>
      </c>
      <c r="S2623" s="396"/>
      <c r="T2623" s="396" t="s">
        <v>125</v>
      </c>
      <c r="U2623" s="401">
        <f t="shared" ref="U2623:U2683" si="8427">U2622</f>
        <v>1.5782400000000001</v>
      </c>
      <c r="V2623" s="396" t="s">
        <v>125</v>
      </c>
      <c r="W2623" s="399">
        <f t="shared" ref="W2623" si="8428">D2623</f>
        <v>4</v>
      </c>
      <c r="X2623" s="399" t="s">
        <v>125</v>
      </c>
      <c r="Y2623" s="389">
        <f t="shared" ref="Y2623:Y2683" si="8429">Y2622</f>
        <v>1</v>
      </c>
      <c r="Z2623" s="400" t="s">
        <v>176</v>
      </c>
      <c r="AA2623" s="402">
        <f t="shared" ref="AA2623" si="8430">(N2623+P2623*R2623/1000)*U2623*W2623*Y2623</f>
        <v>55.673994240000006</v>
      </c>
      <c r="AB2623" s="403"/>
    </row>
    <row r="2624" spans="1:28">
      <c r="A2624" s="384"/>
      <c r="B2624" s="385"/>
      <c r="C2624" s="393"/>
      <c r="D2624" s="394"/>
      <c r="E2624" s="388"/>
      <c r="F2624" s="388"/>
      <c r="G2624" s="388"/>
      <c r="H2624" s="395"/>
      <c r="I2624" s="388"/>
      <c r="J2624" s="399"/>
      <c r="K2624" s="396"/>
      <c r="L2624" s="396"/>
      <c r="M2624" s="396"/>
      <c r="N2624" s="396"/>
      <c r="O2624" s="396"/>
      <c r="P2624" s="389"/>
      <c r="Q2624" s="396"/>
      <c r="R2624" s="396"/>
      <c r="S2624" s="396"/>
      <c r="T2624" s="396"/>
      <c r="U2624" s="401"/>
      <c r="V2624" s="396"/>
      <c r="W2624" s="388"/>
      <c r="X2624" s="396"/>
      <c r="Y2624" s="389"/>
      <c r="Z2624" s="396"/>
      <c r="AA2624" s="388"/>
      <c r="AB2624" s="390"/>
    </row>
    <row r="2625" spans="1:28">
      <c r="A2625" s="384" t="str">
        <f t="shared" ref="A2625:B2625" si="8431">A2605</f>
        <v>Lantai 1</v>
      </c>
      <c r="B2625" s="385">
        <f t="shared" si="8431"/>
        <v>85</v>
      </c>
      <c r="C2625" s="393" t="s">
        <v>211</v>
      </c>
      <c r="D2625" s="398">
        <f>VLOOKUP(D2605,'Detail Balok'!$C$10:$AU$140,31,FALSE)</f>
        <v>0</v>
      </c>
      <c r="E2625" s="388" t="s">
        <v>16</v>
      </c>
      <c r="F2625" s="388">
        <f>VLOOKUP(D2605,'Detail Balok'!$C$10:$AU$140,33,FALSE)</f>
        <v>10</v>
      </c>
      <c r="G2625" s="405" t="s">
        <v>157</v>
      </c>
      <c r="H2625" s="395">
        <f>VLOOKUP(D2605,'Detail Balok'!$C$10:$AU$140,35,FALSE)</f>
        <v>150</v>
      </c>
      <c r="I2625" s="388"/>
      <c r="J2625" s="400">
        <f t="shared" ref="J2625" si="8432">(IF(D2625=0,(2*(D2606+G2606))-(F$5*8),IF(D2625=3,(2*(D2606+G2606))-(F$5*8)+(G2606-2*F$5),IF(D2625=4,(2*(D2606+G2606))-(F$5*8)+2*(G2606-2*F$5)))))/1000</f>
        <v>1.08</v>
      </c>
      <c r="K2625" s="400" t="s">
        <v>204</v>
      </c>
      <c r="L2625" s="399">
        <f t="shared" ref="L2625:L2627" si="8433">IF(D2625=0,2*MAX(6*F2625,75),(D2625-1)*2*MAX(6*F2625,75))/1000</f>
        <v>0.15</v>
      </c>
      <c r="M2625" s="399" t="s">
        <v>176</v>
      </c>
      <c r="N2625" s="399">
        <f t="shared" ref="N2625:N2627" si="8434">J2625+L2625</f>
        <v>1.23</v>
      </c>
      <c r="O2625" s="399"/>
      <c r="P2625" s="389"/>
      <c r="Q2625" s="399"/>
      <c r="R2625" s="399"/>
      <c r="S2625" s="399"/>
      <c r="T2625" s="399" t="s">
        <v>125</v>
      </c>
      <c r="U2625" s="401">
        <f t="shared" ref="U2625:U2627" si="8435">0.006165*F2625^2</f>
        <v>0.61650000000000005</v>
      </c>
      <c r="V2625" s="399" t="s">
        <v>125</v>
      </c>
      <c r="W2625" s="399">
        <f t="shared" ref="W2625" si="8436">IF(D2608&gt;4*G2606,ROUND(MAX(D2608/4,2*G2606)/H2625,0)+1,ROUND(D2608/H2625,0)+1)</f>
        <v>15</v>
      </c>
      <c r="X2625" s="399" t="s">
        <v>125</v>
      </c>
      <c r="Y2625" s="389">
        <f t="shared" ref="Y2625" si="8437">D2611</f>
        <v>1</v>
      </c>
      <c r="Z2625" s="400" t="s">
        <v>176</v>
      </c>
      <c r="AA2625" s="402">
        <f t="shared" ref="AA2625:AA2627" si="8438">N2625*U2625*W2625*Y2625</f>
        <v>11.374425</v>
      </c>
      <c r="AB2625" s="403"/>
    </row>
    <row r="2626" spans="1:28">
      <c r="A2626" s="384" t="str">
        <f t="shared" ref="A2626:B2626" si="8439">A2605</f>
        <v>Lantai 1</v>
      </c>
      <c r="B2626" s="385">
        <f t="shared" si="8439"/>
        <v>85</v>
      </c>
      <c r="C2626" s="393" t="s">
        <v>212</v>
      </c>
      <c r="D2626" s="398">
        <f>VLOOKUP(D2605,'Detail Balok'!$C$10:$AU$140,36,FALSE)</f>
        <v>0</v>
      </c>
      <c r="E2626" s="388" t="s">
        <v>16</v>
      </c>
      <c r="F2626" s="388">
        <f>VLOOKUP(D2605,'Detail Balok'!$C$10:$AU$140,38,FALSE)</f>
        <v>10</v>
      </c>
      <c r="G2626" s="405" t="s">
        <v>157</v>
      </c>
      <c r="H2626" s="395">
        <f>VLOOKUP(D2605,'Detail Balok'!$C$10:$AU$140,40,FALSE)</f>
        <v>200</v>
      </c>
      <c r="I2626" s="388"/>
      <c r="J2626" s="400">
        <f t="shared" ref="J2626" si="8440">(IF(D2626=0,(2*(D2606+G2606))-(F$5*8),IF(D2626=3,(2*(D2606+G2606))-(F$5*8)+(G2606-2*F$5),IF(D2626=4,(2*(D2606+G2606))-(F$5*8)+2*(G2606-2*F$5)))))/1000</f>
        <v>1.08</v>
      </c>
      <c r="K2626" s="400" t="s">
        <v>204</v>
      </c>
      <c r="L2626" s="399">
        <f t="shared" si="8433"/>
        <v>0.15</v>
      </c>
      <c r="M2626" s="399" t="s">
        <v>176</v>
      </c>
      <c r="N2626" s="399">
        <f t="shared" si="8434"/>
        <v>1.23</v>
      </c>
      <c r="O2626" s="399"/>
      <c r="P2626" s="389"/>
      <c r="Q2626" s="399"/>
      <c r="R2626" s="399"/>
      <c r="S2626" s="399"/>
      <c r="T2626" s="399" t="s">
        <v>125</v>
      </c>
      <c r="U2626" s="401">
        <f t="shared" si="8435"/>
        <v>0.61650000000000005</v>
      </c>
      <c r="V2626" s="399" t="s">
        <v>125</v>
      </c>
      <c r="W2626" s="399">
        <f t="shared" ref="W2626" si="8441">IF(D2608-MAX(D2608/4,2*G2606)*2&gt;0,ROUND((D2608-MAX(D2608/4,2*G2606)*2)/H2626,0),0)</f>
        <v>21</v>
      </c>
      <c r="X2626" s="399" t="s">
        <v>125</v>
      </c>
      <c r="Y2626" s="389">
        <f t="shared" ref="Y2626" si="8442">D2611</f>
        <v>1</v>
      </c>
      <c r="Z2626" s="400" t="s">
        <v>176</v>
      </c>
      <c r="AA2626" s="402">
        <f t="shared" si="8438"/>
        <v>15.924195000000001</v>
      </c>
      <c r="AB2626" s="403"/>
    </row>
    <row r="2627" spans="1:28">
      <c r="A2627" s="384" t="str">
        <f t="shared" ref="A2627:B2627" si="8443">A2605</f>
        <v>Lantai 1</v>
      </c>
      <c r="B2627" s="385">
        <f t="shared" si="8443"/>
        <v>85</v>
      </c>
      <c r="C2627" s="393" t="s">
        <v>211</v>
      </c>
      <c r="D2627" s="398">
        <f>VLOOKUP(D2605,'Detail Balok'!$C$10:$AU$140,41,FALSE)</f>
        <v>0</v>
      </c>
      <c r="E2627" s="388" t="s">
        <v>16</v>
      </c>
      <c r="F2627" s="388">
        <f>VLOOKUP(D2605,'Detail Balok'!$C$10:$AU$140,43,FALSE)</f>
        <v>10</v>
      </c>
      <c r="G2627" s="405" t="s">
        <v>157</v>
      </c>
      <c r="H2627" s="395">
        <f>VLOOKUP(D2605,'Detail Balok'!$C$10:$AU$140,45,FALSE)</f>
        <v>150</v>
      </c>
      <c r="I2627" s="388"/>
      <c r="J2627" s="400">
        <f t="shared" ref="J2627" si="8444">(IF(D2627=0,(2*(D2606+G2606))-(F$5*8),IF(D2627=3,(2*(D2606+G2606))-(F$5*8)+(G2606-2*F$5),IF(D2627=4,(2*(D2606+G2606))-(F$5*8)+2*(G2606-2*F$5)))))/1000</f>
        <v>1.08</v>
      </c>
      <c r="K2627" s="400" t="s">
        <v>204</v>
      </c>
      <c r="L2627" s="399">
        <f t="shared" si="8433"/>
        <v>0.15</v>
      </c>
      <c r="M2627" s="399" t="s">
        <v>176</v>
      </c>
      <c r="N2627" s="399">
        <f t="shared" si="8434"/>
        <v>1.23</v>
      </c>
      <c r="O2627" s="399"/>
      <c r="P2627" s="389"/>
      <c r="Q2627" s="399"/>
      <c r="R2627" s="399"/>
      <c r="S2627" s="399"/>
      <c r="T2627" s="399" t="s">
        <v>125</v>
      </c>
      <c r="U2627" s="401">
        <f t="shared" si="8435"/>
        <v>0.61650000000000005</v>
      </c>
      <c r="V2627" s="399" t="s">
        <v>125</v>
      </c>
      <c r="W2627" s="399">
        <f t="shared" ref="W2627" si="8445">IF(D2608&gt;4*G2606,ROUND(MAX(D2608/4,2*G2606)/H2627,0)+1,0)</f>
        <v>15</v>
      </c>
      <c r="X2627" s="399" t="s">
        <v>125</v>
      </c>
      <c r="Y2627" s="389">
        <f t="shared" ref="Y2627" si="8446">D2611</f>
        <v>1</v>
      </c>
      <c r="Z2627" s="400" t="s">
        <v>176</v>
      </c>
      <c r="AA2627" s="402">
        <f t="shared" si="8438"/>
        <v>11.374425</v>
      </c>
      <c r="AB2627" s="403"/>
    </row>
    <row r="2628" spans="1:28">
      <c r="A2628" s="384"/>
      <c r="B2628" s="385"/>
      <c r="C2628" s="393"/>
      <c r="D2628" s="394"/>
      <c r="E2628" s="388"/>
      <c r="F2628" s="388"/>
      <c r="G2628" s="388"/>
      <c r="H2628" s="395"/>
      <c r="I2628" s="388"/>
      <c r="J2628" s="399"/>
      <c r="K2628" s="396"/>
      <c r="L2628" s="396"/>
      <c r="M2628" s="396"/>
      <c r="N2628" s="396"/>
      <c r="O2628" s="396"/>
      <c r="P2628" s="389"/>
      <c r="Q2628" s="396"/>
      <c r="R2628" s="396"/>
      <c r="S2628" s="396"/>
      <c r="T2628" s="396"/>
      <c r="U2628" s="401"/>
      <c r="V2628" s="396"/>
      <c r="W2628" s="388"/>
      <c r="X2628" s="396"/>
      <c r="Y2628" s="389"/>
      <c r="Z2628" s="396"/>
      <c r="AA2628" s="388"/>
      <c r="AB2628" s="390"/>
    </row>
    <row r="2629" spans="1:28">
      <c r="A2629" s="384" t="str">
        <f t="shared" ref="A2629:B2629" si="8447">A2605</f>
        <v>Lantai 1</v>
      </c>
      <c r="B2629" s="385">
        <f t="shared" si="8447"/>
        <v>85</v>
      </c>
      <c r="C2629" s="393" t="s">
        <v>213</v>
      </c>
      <c r="D2629" s="398">
        <f>VLOOKUP(D2605,'Detail Balok'!$C$10:$BJ$140,46,FALSE)</f>
        <v>0</v>
      </c>
      <c r="E2629" s="388" t="s">
        <v>16</v>
      </c>
      <c r="F2629" s="388">
        <f>VLOOKUP(D2605,'Detail Balok'!$C$10:$BJ$140,48,FALSE)</f>
        <v>0</v>
      </c>
      <c r="G2629" s="405" t="s">
        <v>157</v>
      </c>
      <c r="H2629" s="395">
        <f>VLOOKUP(D2605,'Detail Balok'!$C$10:$BJ$140,50,FALSE)</f>
        <v>100</v>
      </c>
      <c r="I2629" s="388"/>
      <c r="J2629" s="399">
        <f t="shared" ref="J2629" si="8448">(D2606-2*F$5)/1000</f>
        <v>0.12</v>
      </c>
      <c r="K2629" s="400" t="s">
        <v>204</v>
      </c>
      <c r="L2629" s="399">
        <f t="shared" ref="L2629:L2631" si="8449">IF(D2629=0,2*MAX(6*F2629,75),(D2629-1)*2*MAX(6*F2629,75))/1000</f>
        <v>0.15</v>
      </c>
      <c r="M2629" s="399" t="s">
        <v>176</v>
      </c>
      <c r="N2629" s="399">
        <f t="shared" ref="N2629:N2631" si="8450">J2629+L2629</f>
        <v>0.27</v>
      </c>
      <c r="O2629" s="399"/>
      <c r="P2629" s="399"/>
      <c r="Q2629" s="399"/>
      <c r="R2629" s="399"/>
      <c r="S2629" s="399"/>
      <c r="T2629" s="399" t="s">
        <v>125</v>
      </c>
      <c r="U2629" s="401">
        <f t="shared" ref="U2629:U2631" si="8451">0.006165*F2629^2</f>
        <v>0</v>
      </c>
      <c r="V2629" s="399" t="s">
        <v>125</v>
      </c>
      <c r="W2629" s="399">
        <f t="shared" ref="W2629:W2691" si="8452">W2625</f>
        <v>15</v>
      </c>
      <c r="X2629" s="399" t="s">
        <v>125</v>
      </c>
      <c r="Y2629" s="389">
        <f t="shared" ref="Y2629" si="8453">D2615</f>
        <v>4</v>
      </c>
      <c r="Z2629" s="400" t="s">
        <v>176</v>
      </c>
      <c r="AA2629" s="402">
        <f t="shared" ref="AA2629:AA2631" si="8454">N2629*U2629*W2629*Y2629</f>
        <v>0</v>
      </c>
      <c r="AB2629" s="403"/>
    </row>
    <row r="2630" spans="1:28">
      <c r="A2630" s="384" t="str">
        <f t="shared" ref="A2630:B2630" si="8455">A2605</f>
        <v>Lantai 1</v>
      </c>
      <c r="B2630" s="385">
        <f t="shared" si="8455"/>
        <v>85</v>
      </c>
      <c r="C2630" s="393" t="s">
        <v>214</v>
      </c>
      <c r="D2630" s="398">
        <f>VLOOKUP(D2605,'Detail Balok'!$C$10:$BJ$140,51,FALSE)</f>
        <v>0</v>
      </c>
      <c r="E2630" s="388" t="s">
        <v>16</v>
      </c>
      <c r="F2630" s="388">
        <f>VLOOKUP(D2605,'Detail Balok'!$C$10:$BJ$140,53,FALSE)</f>
        <v>0</v>
      </c>
      <c r="G2630" s="405" t="s">
        <v>157</v>
      </c>
      <c r="H2630" s="395">
        <f>VLOOKUP(D2605,'Detail Balok'!$C$10:$BJ$140,55,FALSE)</f>
        <v>100</v>
      </c>
      <c r="I2630" s="388"/>
      <c r="J2630" s="399">
        <f t="shared" ref="J2630" si="8456">(D2606-2*F$5)/1000</f>
        <v>0.12</v>
      </c>
      <c r="K2630" s="400" t="s">
        <v>204</v>
      </c>
      <c r="L2630" s="399">
        <f t="shared" si="8449"/>
        <v>0.15</v>
      </c>
      <c r="M2630" s="399" t="s">
        <v>176</v>
      </c>
      <c r="N2630" s="399">
        <f t="shared" si="8450"/>
        <v>0.27</v>
      </c>
      <c r="O2630" s="399"/>
      <c r="P2630" s="399"/>
      <c r="Q2630" s="399"/>
      <c r="R2630" s="399"/>
      <c r="S2630" s="399"/>
      <c r="T2630" s="399" t="s">
        <v>125</v>
      </c>
      <c r="U2630" s="401">
        <f t="shared" si="8451"/>
        <v>0</v>
      </c>
      <c r="V2630" s="399" t="s">
        <v>125</v>
      </c>
      <c r="W2630" s="399">
        <f t="shared" si="8452"/>
        <v>21</v>
      </c>
      <c r="X2630" s="399" t="s">
        <v>125</v>
      </c>
      <c r="Y2630" s="389">
        <f t="shared" ref="Y2630" si="8457">D2615</f>
        <v>4</v>
      </c>
      <c r="Z2630" s="400" t="s">
        <v>176</v>
      </c>
      <c r="AA2630" s="402">
        <f t="shared" si="8454"/>
        <v>0</v>
      </c>
      <c r="AB2630" s="403"/>
    </row>
    <row r="2631" spans="1:28">
      <c r="A2631" s="384" t="str">
        <f t="shared" ref="A2631:B2631" si="8458">A2605</f>
        <v>Lantai 1</v>
      </c>
      <c r="B2631" s="385">
        <f t="shared" si="8458"/>
        <v>85</v>
      </c>
      <c r="C2631" s="393" t="s">
        <v>213</v>
      </c>
      <c r="D2631" s="398">
        <f>VLOOKUP(D2605,'Detail Balok'!$C$10:$BJ$140,56,FALSE)</f>
        <v>0</v>
      </c>
      <c r="E2631" s="388" t="s">
        <v>16</v>
      </c>
      <c r="F2631" s="388">
        <f>VLOOKUP(D2605,'Detail Balok'!$C$10:$BJ$140,58,FALSE)</f>
        <v>0</v>
      </c>
      <c r="G2631" s="405" t="s">
        <v>157</v>
      </c>
      <c r="H2631" s="395">
        <f>VLOOKUP(D2605,'Detail Balok'!$C$10:$BJ$140,60,FALSE)</f>
        <v>100</v>
      </c>
      <c r="I2631" s="388"/>
      <c r="J2631" s="399">
        <f t="shared" ref="J2631" si="8459">(D2606-2*F$5)/1000</f>
        <v>0.12</v>
      </c>
      <c r="K2631" s="400" t="s">
        <v>204</v>
      </c>
      <c r="L2631" s="399">
        <f t="shared" si="8449"/>
        <v>0.15</v>
      </c>
      <c r="M2631" s="399" t="s">
        <v>176</v>
      </c>
      <c r="N2631" s="399">
        <f t="shared" si="8450"/>
        <v>0.27</v>
      </c>
      <c r="O2631" s="399"/>
      <c r="P2631" s="399"/>
      <c r="Q2631" s="399"/>
      <c r="R2631" s="399"/>
      <c r="S2631" s="399"/>
      <c r="T2631" s="399" t="s">
        <v>125</v>
      </c>
      <c r="U2631" s="401">
        <f t="shared" si="8451"/>
        <v>0</v>
      </c>
      <c r="V2631" s="399" t="s">
        <v>125</v>
      </c>
      <c r="W2631" s="399">
        <f t="shared" si="8452"/>
        <v>15</v>
      </c>
      <c r="X2631" s="399" t="s">
        <v>125</v>
      </c>
      <c r="Y2631" s="389">
        <f t="shared" ref="Y2631" si="8460">D2615</f>
        <v>4</v>
      </c>
      <c r="Z2631" s="400" t="s">
        <v>176</v>
      </c>
      <c r="AA2631" s="402">
        <f t="shared" si="8454"/>
        <v>0</v>
      </c>
      <c r="AB2631" s="403"/>
    </row>
    <row r="2632" spans="1:28">
      <c r="A2632" s="391"/>
      <c r="B2632" s="392"/>
      <c r="C2632" s="392"/>
      <c r="D2632" s="394"/>
      <c r="E2632" s="388"/>
      <c r="F2632" s="388"/>
      <c r="G2632" s="388"/>
      <c r="H2632" s="395"/>
      <c r="I2632" s="388"/>
      <c r="J2632" s="402"/>
      <c r="K2632" s="388"/>
      <c r="L2632" s="388"/>
      <c r="M2632" s="388"/>
      <c r="N2632" s="388"/>
      <c r="O2632" s="388"/>
      <c r="P2632" s="388"/>
      <c r="Q2632" s="388"/>
      <c r="R2632" s="388"/>
      <c r="S2632" s="388"/>
      <c r="T2632" s="388"/>
      <c r="U2632" s="388"/>
      <c r="V2632" s="388"/>
      <c r="W2632" s="388"/>
      <c r="X2632" s="388"/>
      <c r="Y2632" s="389"/>
      <c r="Z2632" s="388"/>
      <c r="AA2632" s="402"/>
      <c r="AB2632" s="403"/>
    </row>
    <row r="2633" spans="1:28" ht="15.75" thickBot="1">
      <c r="A2633" s="406"/>
      <c r="B2633" s="407"/>
      <c r="C2633" s="407"/>
      <c r="D2633" s="408"/>
      <c r="E2633" s="409"/>
      <c r="F2633" s="409"/>
      <c r="G2633" s="409"/>
      <c r="H2633" s="410"/>
      <c r="I2633" s="409"/>
      <c r="J2633" s="409"/>
      <c r="K2633" s="409"/>
      <c r="L2633" s="409"/>
      <c r="M2633" s="409"/>
      <c r="N2633" s="409"/>
      <c r="O2633" s="409"/>
      <c r="P2633" s="409"/>
      <c r="Q2633" s="409"/>
      <c r="R2633" s="409"/>
      <c r="S2633" s="409"/>
      <c r="T2633" s="409"/>
      <c r="U2633" s="409"/>
      <c r="V2633" s="409"/>
      <c r="W2633" s="409"/>
      <c r="X2633" s="409"/>
      <c r="Y2633" s="411"/>
      <c r="Z2633" s="409"/>
      <c r="AA2633" s="412"/>
      <c r="AB2633" s="413"/>
    </row>
    <row r="2634" spans="1:28">
      <c r="A2634" s="377"/>
      <c r="B2634" s="378"/>
      <c r="C2634" s="378"/>
      <c r="D2634" s="379"/>
      <c r="E2634" s="380"/>
      <c r="F2634" s="380"/>
      <c r="G2634" s="380"/>
      <c r="H2634" s="381"/>
      <c r="I2634" s="380"/>
      <c r="J2634" s="380"/>
      <c r="K2634" s="380"/>
      <c r="L2634" s="380"/>
      <c r="M2634" s="380"/>
      <c r="N2634" s="380"/>
      <c r="O2634" s="380"/>
      <c r="P2634" s="380"/>
      <c r="Q2634" s="380"/>
      <c r="R2634" s="380"/>
      <c r="S2634" s="380"/>
      <c r="T2634" s="380"/>
      <c r="U2634" s="380"/>
      <c r="V2634" s="380"/>
      <c r="W2634" s="380"/>
      <c r="X2634" s="380"/>
      <c r="Y2634" s="382"/>
      <c r="Z2634" s="380"/>
      <c r="AA2634" s="380"/>
      <c r="AB2634" s="383"/>
    </row>
    <row r="2635" spans="1:28">
      <c r="A2635" s="384" t="s">
        <v>136</v>
      </c>
      <c r="B2635" s="385">
        <v>1</v>
      </c>
      <c r="C2635" s="386" t="str">
        <f t="shared" ref="C2635" si="8461">CONCATENATE(A2635," no. ",B2635)</f>
        <v>Lantai 2 no. 1</v>
      </c>
      <c r="D2635" s="2562" t="str">
        <f>VLOOKUP(C2635,'Data Panjang Balok'!$C$9:$N$254,2,FALSE)</f>
        <v>B26-1</v>
      </c>
      <c r="E2635" s="2576"/>
      <c r="F2635" s="2576"/>
      <c r="G2635" s="2576"/>
      <c r="H2635" s="2577"/>
      <c r="I2635" s="387"/>
      <c r="J2635" s="388"/>
      <c r="K2635" s="388"/>
      <c r="L2635" s="388"/>
      <c r="M2635" s="388"/>
      <c r="N2635" s="388"/>
      <c r="O2635" s="388"/>
      <c r="P2635" s="388"/>
      <c r="Q2635" s="388"/>
      <c r="R2635" s="388"/>
      <c r="S2635" s="388"/>
      <c r="T2635" s="388"/>
      <c r="U2635" s="388"/>
      <c r="V2635" s="388"/>
      <c r="W2635" s="388"/>
      <c r="X2635" s="388"/>
      <c r="Y2635" s="389"/>
      <c r="Z2635" s="388"/>
      <c r="AA2635" s="388"/>
      <c r="AB2635" s="390"/>
    </row>
    <row r="2636" spans="1:28">
      <c r="A2636" s="391"/>
      <c r="B2636" s="392"/>
      <c r="C2636" s="393" t="s">
        <v>118</v>
      </c>
      <c r="D2636" s="2578">
        <f>VLOOKUP(D2635,'Detail Balok'!$C$10:$AU$140,2,FALSE)</f>
        <v>200</v>
      </c>
      <c r="E2636" s="2579"/>
      <c r="F2636" s="388" t="s">
        <v>125</v>
      </c>
      <c r="G2636" s="2579">
        <f>VLOOKUP(D2635,'Detail Balok'!$C$10:$AU$140,3,FALSE)</f>
        <v>600</v>
      </c>
      <c r="H2636" s="2580"/>
      <c r="I2636" s="388"/>
      <c r="J2636" s="396"/>
      <c r="K2636" s="396"/>
      <c r="L2636" s="396"/>
      <c r="M2636" s="396"/>
      <c r="N2636" s="396"/>
      <c r="O2636" s="396"/>
      <c r="P2636" s="396"/>
      <c r="Q2636" s="396"/>
      <c r="R2636" s="396"/>
      <c r="S2636" s="396"/>
      <c r="T2636" s="396"/>
      <c r="U2636" s="388"/>
      <c r="V2636" s="396"/>
      <c r="W2636" s="388"/>
      <c r="X2636" s="396"/>
      <c r="Y2636" s="389"/>
      <c r="Z2636" s="396"/>
      <c r="AA2636" s="388"/>
      <c r="AB2636" s="390"/>
    </row>
    <row r="2637" spans="1:28">
      <c r="A2637" s="391"/>
      <c r="B2637" s="392"/>
      <c r="C2637" s="393" t="s">
        <v>198</v>
      </c>
      <c r="D2637" s="2562">
        <f>VLOOKUP(C2635,'Data Panjang Balok'!$C$9:$N$254,4,FALSE)</f>
        <v>4825</v>
      </c>
      <c r="E2637" s="2563"/>
      <c r="F2637" s="2563"/>
      <c r="G2637" s="2563"/>
      <c r="H2637" s="2564"/>
      <c r="I2637" s="397"/>
      <c r="J2637" s="396"/>
      <c r="K2637" s="396"/>
      <c r="L2637" s="396"/>
      <c r="M2637" s="396"/>
      <c r="N2637" s="396"/>
      <c r="O2637" s="396"/>
      <c r="P2637" s="396"/>
      <c r="Q2637" s="396"/>
      <c r="R2637" s="396"/>
      <c r="S2637" s="396"/>
      <c r="T2637" s="396"/>
      <c r="U2637" s="388"/>
      <c r="V2637" s="396"/>
      <c r="W2637" s="388"/>
      <c r="X2637" s="396"/>
      <c r="Y2637" s="389"/>
      <c r="Z2637" s="396"/>
      <c r="AA2637" s="388"/>
      <c r="AB2637" s="390"/>
    </row>
    <row r="2638" spans="1:28">
      <c r="A2638" s="391"/>
      <c r="B2638" s="392"/>
      <c r="C2638" s="393" t="s">
        <v>199</v>
      </c>
      <c r="D2638" s="2562">
        <f>VLOOKUP(C2635,'Data Panjang Balok'!$C$9:$N$254,7,FALSE)</f>
        <v>4825</v>
      </c>
      <c r="E2638" s="2563"/>
      <c r="F2638" s="2563"/>
      <c r="G2638" s="2563"/>
      <c r="H2638" s="2564"/>
      <c r="I2638" s="397"/>
      <c r="J2638" s="396"/>
      <c r="K2638" s="396"/>
      <c r="L2638" s="396"/>
      <c r="M2638" s="396"/>
      <c r="N2638" s="396"/>
      <c r="O2638" s="396"/>
      <c r="P2638" s="396"/>
      <c r="Q2638" s="396"/>
      <c r="R2638" s="396"/>
      <c r="S2638" s="396"/>
      <c r="T2638" s="396"/>
      <c r="U2638" s="388"/>
      <c r="V2638" s="396"/>
      <c r="W2638" s="388"/>
      <c r="X2638" s="396"/>
      <c r="Y2638" s="389"/>
      <c r="Z2638" s="396"/>
      <c r="AA2638" s="388"/>
      <c r="AB2638" s="390"/>
    </row>
    <row r="2639" spans="1:28">
      <c r="A2639" s="391"/>
      <c r="B2639" s="392"/>
      <c r="C2639" s="393" t="s">
        <v>200</v>
      </c>
      <c r="D2639" s="2562">
        <f>VLOOKUP(C2635,'Data Panjang Balok'!$C$9:$N$254,9,FALSE)</f>
        <v>0</v>
      </c>
      <c r="E2639" s="2563"/>
      <c r="F2639" s="2563"/>
      <c r="G2639" s="2563"/>
      <c r="H2639" s="2564"/>
      <c r="I2639" s="397"/>
      <c r="J2639" s="396"/>
      <c r="K2639" s="396"/>
      <c r="L2639" s="396"/>
      <c r="M2639" s="396"/>
      <c r="N2639" s="396"/>
      <c r="O2639" s="396"/>
      <c r="P2639" s="396"/>
      <c r="Q2639" s="396"/>
      <c r="R2639" s="396"/>
      <c r="S2639" s="396"/>
      <c r="T2639" s="396"/>
      <c r="U2639" s="388"/>
      <c r="V2639" s="396"/>
      <c r="W2639" s="388"/>
      <c r="X2639" s="396"/>
      <c r="Y2639" s="389"/>
      <c r="Z2639" s="396"/>
      <c r="AA2639" s="388"/>
      <c r="AB2639" s="390"/>
    </row>
    <row r="2640" spans="1:28">
      <c r="A2640" s="391"/>
      <c r="B2640" s="392"/>
      <c r="C2640" s="393" t="s">
        <v>201</v>
      </c>
      <c r="D2640" s="2562">
        <f>VLOOKUP(C2635,'Data Panjang Balok'!$C$9:$N$254,10,FALSE)</f>
        <v>0</v>
      </c>
      <c r="E2640" s="2563"/>
      <c r="F2640" s="2563"/>
      <c r="G2640" s="2563"/>
      <c r="H2640" s="2564"/>
      <c r="I2640" s="397"/>
      <c r="J2640" s="396"/>
      <c r="K2640" s="396"/>
      <c r="L2640" s="396"/>
      <c r="M2640" s="396"/>
      <c r="N2640" s="396"/>
      <c r="O2640" s="396"/>
      <c r="P2640" s="396"/>
      <c r="Q2640" s="396"/>
      <c r="R2640" s="396"/>
      <c r="S2640" s="396"/>
      <c r="T2640" s="396"/>
      <c r="U2640" s="388"/>
      <c r="V2640" s="396"/>
      <c r="W2640" s="388"/>
      <c r="X2640" s="396"/>
      <c r="Y2640" s="389"/>
      <c r="Z2640" s="396"/>
      <c r="AA2640" s="388"/>
      <c r="AB2640" s="390"/>
    </row>
    <row r="2641" spans="1:28">
      <c r="A2641" s="391"/>
      <c r="B2641" s="392"/>
      <c r="C2641" s="393" t="s">
        <v>48</v>
      </c>
      <c r="D2641" s="2562">
        <f>VLOOKUP(C2635,'Data Panjang Balok'!$C$9:$N$254,3,FALSE)</f>
        <v>1</v>
      </c>
      <c r="E2641" s="2563"/>
      <c r="F2641" s="2563"/>
      <c r="G2641" s="2563"/>
      <c r="H2641" s="2564"/>
      <c r="I2641" s="397"/>
      <c r="J2641" s="396"/>
      <c r="K2641" s="396"/>
      <c r="L2641" s="396"/>
      <c r="M2641" s="396"/>
      <c r="N2641" s="396"/>
      <c r="O2641" s="396"/>
      <c r="P2641" s="396"/>
      <c r="Q2641" s="396"/>
      <c r="R2641" s="396"/>
      <c r="S2641" s="396"/>
      <c r="T2641" s="396"/>
      <c r="U2641" s="388"/>
      <c r="V2641" s="396"/>
      <c r="W2641" s="388"/>
      <c r="X2641" s="396"/>
      <c r="Y2641" s="389"/>
      <c r="Z2641" s="396"/>
      <c r="AA2641" s="388"/>
      <c r="AB2641" s="390"/>
    </row>
    <row r="2642" spans="1:28">
      <c r="A2642" s="384" t="str">
        <f t="shared" ref="A2642:B2642" si="8462">A2635</f>
        <v>Lantai 2</v>
      </c>
      <c r="B2642" s="385">
        <f t="shared" si="8462"/>
        <v>1</v>
      </c>
      <c r="C2642" s="393" t="s">
        <v>202</v>
      </c>
      <c r="D2642" s="398">
        <f>VLOOKUP(D2635,'Detail Balok'!$C$10:$AU$140,4,FALSE)</f>
        <v>4</v>
      </c>
      <c r="E2642" s="388" t="s">
        <v>16</v>
      </c>
      <c r="F2642" s="388">
        <f>VLOOKUP(D2635,'Detail Balok'!$C$10:$AU$140,6,FALSE)</f>
        <v>16</v>
      </c>
      <c r="G2642" s="388"/>
      <c r="H2642" s="395"/>
      <c r="I2642" s="388" t="s">
        <v>203</v>
      </c>
      <c r="J2642" s="399">
        <f t="shared" ref="J2642" si="8463">+D2637/4/1000</f>
        <v>1.20625</v>
      </c>
      <c r="K2642" s="400" t="s">
        <v>204</v>
      </c>
      <c r="L2642" s="399">
        <f t="shared" ref="L2642" si="8464">MAX(VLOOKUP(F2642,N$6:P$15,3,FALSE)/1000,2/3*D2639/1000)+F$16*F2642/1000</f>
        <v>0.192</v>
      </c>
      <c r="M2642" s="399" t="s">
        <v>176</v>
      </c>
      <c r="N2642" s="399">
        <f t="shared" ref="N2642:N2644" si="8465">J2642+L2642</f>
        <v>1.39825</v>
      </c>
      <c r="O2642" s="399" t="s">
        <v>204</v>
      </c>
      <c r="P2642" s="389">
        <f t="shared" ref="P2642" si="8466">D2642-D2643</f>
        <v>1</v>
      </c>
      <c r="Q2642" s="399" t="s">
        <v>125</v>
      </c>
      <c r="R2642" s="399">
        <f t="shared" ref="R2642" si="8467">IF(P2642&gt;0,$F$18*F2642/1000,0)</f>
        <v>0.24</v>
      </c>
      <c r="S2642" s="399" t="s">
        <v>205</v>
      </c>
      <c r="T2642" s="399" t="s">
        <v>125</v>
      </c>
      <c r="U2642" s="401">
        <f t="shared" ref="U2642:U2644" si="8468">0.006165*F2642^2</f>
        <v>1.5782400000000001</v>
      </c>
      <c r="V2642" s="399"/>
      <c r="W2642" s="399"/>
      <c r="X2642" s="399" t="s">
        <v>125</v>
      </c>
      <c r="Y2642" s="389">
        <f t="shared" ref="Y2642" si="8469">D2641</f>
        <v>1</v>
      </c>
      <c r="Z2642" s="400" t="s">
        <v>176</v>
      </c>
      <c r="AA2642" s="402">
        <f t="shared" ref="AA2642" si="8470">IF(AA2645=0,(D2642*N2642+P2642*R2642)*U2642*Y2642,0)</f>
        <v>9.2058739200000002</v>
      </c>
      <c r="AB2642" s="403"/>
    </row>
    <row r="2643" spans="1:28">
      <c r="A2643" s="384" t="str">
        <f t="shared" ref="A2643:B2643" si="8471">A2635</f>
        <v>Lantai 2</v>
      </c>
      <c r="B2643" s="385">
        <f t="shared" si="8471"/>
        <v>1</v>
      </c>
      <c r="C2643" s="393" t="s">
        <v>206</v>
      </c>
      <c r="D2643" s="398">
        <f>VLOOKUP(D2635,'Detail Balok'!$C$10:$AU$140,7,FALSE)</f>
        <v>3</v>
      </c>
      <c r="E2643" s="388" t="s">
        <v>16</v>
      </c>
      <c r="F2643" s="388">
        <f>VLOOKUP(D2635,'Detail Balok'!$C$10:$AU$140,9,FALSE)</f>
        <v>16</v>
      </c>
      <c r="G2643" s="388"/>
      <c r="H2643" s="395"/>
      <c r="I2643" s="388" t="s">
        <v>203</v>
      </c>
      <c r="J2643" s="399">
        <f t="shared" ref="J2643" si="8472">+D2637/2/1000</f>
        <v>2.4125000000000001</v>
      </c>
      <c r="K2643" s="400" t="s">
        <v>204</v>
      </c>
      <c r="L2643" s="399"/>
      <c r="M2643" s="399" t="s">
        <v>176</v>
      </c>
      <c r="N2643" s="399">
        <f t="shared" si="8465"/>
        <v>2.4125000000000001</v>
      </c>
      <c r="O2643" s="399" t="s">
        <v>204</v>
      </c>
      <c r="P2643" s="389">
        <f t="shared" ref="P2643" si="8473">MAX(D2643-D2642,D2643-D2644)</f>
        <v>-1</v>
      </c>
      <c r="Q2643" s="399" t="s">
        <v>125</v>
      </c>
      <c r="R2643" s="399">
        <f t="shared" ref="R2643" si="8474">IF(P2643&gt;0,2*(1-2*$F$19-1/2)*D2638/1000,0)</f>
        <v>0</v>
      </c>
      <c r="S2643" s="399" t="s">
        <v>205</v>
      </c>
      <c r="T2643" s="399" t="s">
        <v>125</v>
      </c>
      <c r="U2643" s="401">
        <f t="shared" si="8468"/>
        <v>1.5782400000000001</v>
      </c>
      <c r="V2643" s="399"/>
      <c r="W2643" s="399"/>
      <c r="X2643" s="399" t="s">
        <v>125</v>
      </c>
      <c r="Y2643" s="389">
        <f t="shared" ref="Y2643" si="8475">D2641</f>
        <v>1</v>
      </c>
      <c r="Z2643" s="400" t="s">
        <v>176</v>
      </c>
      <c r="AA2643" s="402">
        <f t="shared" ref="AA2643" si="8476">IF(AA2645=0,(D2643*N2643+P2643*R2643)*U2643*Y2643,0)</f>
        <v>11.422512000000001</v>
      </c>
      <c r="AB2643" s="403"/>
    </row>
    <row r="2644" spans="1:28">
      <c r="A2644" s="384" t="str">
        <f t="shared" ref="A2644:B2644" si="8477">A2635</f>
        <v>Lantai 2</v>
      </c>
      <c r="B2644" s="385">
        <f t="shared" si="8477"/>
        <v>1</v>
      </c>
      <c r="C2644" s="393" t="s">
        <v>202</v>
      </c>
      <c r="D2644" s="398">
        <f>VLOOKUP(D2635,'Detail Balok'!$C$10:$AU$140,10,FALSE)</f>
        <v>4</v>
      </c>
      <c r="E2644" s="388" t="s">
        <v>16</v>
      </c>
      <c r="F2644" s="388">
        <f>VLOOKUP(D2635,'Detail Balok'!$C$10:$AU$140,12,FALSE)</f>
        <v>16</v>
      </c>
      <c r="G2644" s="388"/>
      <c r="H2644" s="395"/>
      <c r="I2644" s="388" t="s">
        <v>203</v>
      </c>
      <c r="J2644" s="399">
        <f t="shared" ref="J2644" si="8478">+D2637/4/1000</f>
        <v>1.20625</v>
      </c>
      <c r="K2644" s="400" t="s">
        <v>204</v>
      </c>
      <c r="L2644" s="399">
        <f t="shared" ref="L2644" si="8479">MAX(VLOOKUP(F2644,N$6:P$15,3,FALSE)/1000,2/3*D2639/1000)+F$16*F2644/1000</f>
        <v>0.192</v>
      </c>
      <c r="M2644" s="399" t="s">
        <v>176</v>
      </c>
      <c r="N2644" s="399">
        <f t="shared" si="8465"/>
        <v>1.39825</v>
      </c>
      <c r="O2644" s="399" t="s">
        <v>204</v>
      </c>
      <c r="P2644" s="389">
        <f t="shared" ref="P2644" si="8480">D2644-D2643</f>
        <v>1</v>
      </c>
      <c r="Q2644" s="399" t="s">
        <v>125</v>
      </c>
      <c r="R2644" s="399">
        <f t="shared" ref="R2644" si="8481">IF(P2644&gt;0,$F$18*F2644/1000,0)</f>
        <v>0.24</v>
      </c>
      <c r="S2644" s="399" t="s">
        <v>205</v>
      </c>
      <c r="T2644" s="399" t="s">
        <v>125</v>
      </c>
      <c r="U2644" s="401">
        <f t="shared" si="8468"/>
        <v>1.5782400000000001</v>
      </c>
      <c r="V2644" s="399"/>
      <c r="W2644" s="399"/>
      <c r="X2644" s="399" t="s">
        <v>125</v>
      </c>
      <c r="Y2644" s="389">
        <f t="shared" ref="Y2644" si="8482">D2641</f>
        <v>1</v>
      </c>
      <c r="Z2644" s="400" t="s">
        <v>176</v>
      </c>
      <c r="AA2644" s="402">
        <f t="shared" ref="AA2644" si="8483">IF(AA2645=0,(D2644*N2644+P2644*R2644)*U2644*Y2644,0)</f>
        <v>9.2058739200000002</v>
      </c>
      <c r="AB2644" s="403"/>
    </row>
    <row r="2645" spans="1:28">
      <c r="A2645" s="384" t="str">
        <f t="shared" ref="A2645:B2645" si="8484">A2635</f>
        <v>Lantai 2</v>
      </c>
      <c r="B2645" s="385">
        <f t="shared" si="8484"/>
        <v>1</v>
      </c>
      <c r="C2645" s="393"/>
      <c r="D2645" s="398">
        <f t="shared" si="8382"/>
        <v>0</v>
      </c>
      <c r="E2645" s="388" t="s">
        <v>16</v>
      </c>
      <c r="F2645" s="388">
        <f t="shared" si="8383"/>
        <v>16</v>
      </c>
      <c r="G2645" s="388"/>
      <c r="H2645" s="395"/>
      <c r="I2645" s="388"/>
      <c r="J2645" s="396"/>
      <c r="K2645" s="396"/>
      <c r="L2645" s="404" t="s">
        <v>207</v>
      </c>
      <c r="M2645" s="399" t="s">
        <v>176</v>
      </c>
      <c r="N2645" s="399">
        <f t="shared" ref="N2645" si="8485">IF(AND(D2642=D2643,D2642=D2644,D2643=D2644,F2642=F2643,F2642=F2644,F2643=F2644),SUM(N2642:N2644),0)</f>
        <v>0</v>
      </c>
      <c r="O2645" s="399" t="s">
        <v>204</v>
      </c>
      <c r="P2645" s="389">
        <f t="shared" ref="P2645" si="8486">IF(N2645&gt;12,ROUNDDOWN(N2645/12,0),0)</f>
        <v>0</v>
      </c>
      <c r="Q2645" s="399" t="s">
        <v>125</v>
      </c>
      <c r="R2645" s="399">
        <f t="shared" ref="R2645" si="8487">IF(P2645&gt;0,MAX(VLOOKUP(F2645,$D$6:$G$15,3,FALSE),600),0)/1000</f>
        <v>0</v>
      </c>
      <c r="S2645" s="396"/>
      <c r="T2645" s="396" t="s">
        <v>125</v>
      </c>
      <c r="U2645" s="401">
        <f t="shared" si="8387"/>
        <v>1.5782400000000001</v>
      </c>
      <c r="V2645" s="396" t="s">
        <v>125</v>
      </c>
      <c r="W2645" s="399">
        <f t="shared" ref="W2645" si="8488">D2645</f>
        <v>0</v>
      </c>
      <c r="X2645" s="399" t="s">
        <v>125</v>
      </c>
      <c r="Y2645" s="389">
        <f t="shared" si="8389"/>
        <v>1</v>
      </c>
      <c r="Z2645" s="400" t="s">
        <v>176</v>
      </c>
      <c r="AA2645" s="402">
        <f t="shared" ref="AA2645" si="8489">(N2645+P2645*R2645/1000)*U2645*W2645*Y2645</f>
        <v>0</v>
      </c>
      <c r="AB2645" s="390"/>
    </row>
    <row r="2646" spans="1:28">
      <c r="A2646" s="384"/>
      <c r="B2646" s="385"/>
      <c r="C2646" s="393"/>
      <c r="D2646" s="398"/>
      <c r="E2646" s="388"/>
      <c r="F2646" s="388"/>
      <c r="G2646" s="388"/>
      <c r="H2646" s="395"/>
      <c r="I2646" s="388"/>
      <c r="J2646" s="396"/>
      <c r="K2646" s="396"/>
      <c r="L2646" s="404"/>
      <c r="M2646" s="399"/>
      <c r="N2646" s="399"/>
      <c r="O2646" s="396"/>
      <c r="P2646" s="389"/>
      <c r="Q2646" s="396"/>
      <c r="R2646" s="396"/>
      <c r="S2646" s="396"/>
      <c r="T2646" s="396"/>
      <c r="U2646" s="401"/>
      <c r="V2646" s="396"/>
      <c r="W2646" s="399"/>
      <c r="X2646" s="396"/>
      <c r="Y2646" s="389"/>
      <c r="Z2646" s="396"/>
      <c r="AA2646" s="388"/>
      <c r="AB2646" s="390"/>
    </row>
    <row r="2647" spans="1:28">
      <c r="A2647" s="384" t="str">
        <f t="shared" ref="A2647:B2647" si="8490">A2635</f>
        <v>Lantai 2</v>
      </c>
      <c r="B2647" s="385">
        <f t="shared" si="8490"/>
        <v>1</v>
      </c>
      <c r="C2647" s="393" t="s">
        <v>208</v>
      </c>
      <c r="D2647" s="398">
        <f>VLOOKUP(D2635,'Detail Balok'!$C$10:$AU$140,13,FALSE)</f>
        <v>2</v>
      </c>
      <c r="E2647" s="388" t="s">
        <v>16</v>
      </c>
      <c r="F2647" s="388">
        <f>VLOOKUP(D2635,'Detail Balok'!$C$10:$AU$140,15,FALSE)</f>
        <v>10</v>
      </c>
      <c r="G2647" s="388"/>
      <c r="H2647" s="395"/>
      <c r="I2647" s="388"/>
      <c r="J2647" s="399">
        <f t="shared" ref="J2647" si="8491">+D2637/1000</f>
        <v>4.8250000000000002</v>
      </c>
      <c r="K2647" s="400" t="s">
        <v>204</v>
      </c>
      <c r="L2647" s="399">
        <f t="shared" ref="L2647" si="8492">2*$F$16*F2647/1000</f>
        <v>0.24</v>
      </c>
      <c r="M2647" s="399" t="s">
        <v>176</v>
      </c>
      <c r="N2647" s="399">
        <f t="shared" ref="N2647" si="8493">J2647+L2647</f>
        <v>5.0650000000000004</v>
      </c>
      <c r="O2647" s="399" t="s">
        <v>204</v>
      </c>
      <c r="P2647" s="389">
        <f t="shared" ref="P2647" si="8494">IF(N2647&gt;12,ROUNDDOWN(N2647/12,0),0)</f>
        <v>0</v>
      </c>
      <c r="Q2647" s="399" t="s">
        <v>125</v>
      </c>
      <c r="R2647" s="399">
        <f t="shared" ref="R2647" si="8495">IF(P2647&gt;0,MAX(VLOOKUP(F2647,$D$6:$G$15,3,FALSE),600),0)/1000</f>
        <v>0</v>
      </c>
      <c r="S2647" s="399"/>
      <c r="T2647" s="399" t="s">
        <v>125</v>
      </c>
      <c r="U2647" s="401">
        <f t="shared" ref="U2647" si="8496">0.006165*F2647^2</f>
        <v>0.61650000000000005</v>
      </c>
      <c r="V2647" s="399" t="s">
        <v>125</v>
      </c>
      <c r="W2647" s="399">
        <f t="shared" ref="W2647" si="8497">+D2647</f>
        <v>2</v>
      </c>
      <c r="X2647" s="399" t="s">
        <v>125</v>
      </c>
      <c r="Y2647" s="389">
        <f t="shared" ref="Y2647" si="8498">D2641</f>
        <v>1</v>
      </c>
      <c r="Z2647" s="400" t="s">
        <v>176</v>
      </c>
      <c r="AA2647" s="402">
        <f t="shared" ref="AA2647" si="8499">(N2647+P2647*R2647/1000)*U2647*W2647*Y2647</f>
        <v>6.2451450000000008</v>
      </c>
      <c r="AB2647" s="403"/>
    </row>
    <row r="2648" spans="1:28">
      <c r="A2648" s="384"/>
      <c r="B2648" s="385"/>
      <c r="C2648" s="393"/>
      <c r="D2648" s="398"/>
      <c r="E2648" s="388"/>
      <c r="F2648" s="388"/>
      <c r="G2648" s="388"/>
      <c r="H2648" s="395"/>
      <c r="I2648" s="388"/>
      <c r="J2648" s="399"/>
      <c r="K2648" s="400"/>
      <c r="L2648" s="399"/>
      <c r="M2648" s="399"/>
      <c r="N2648" s="399"/>
      <c r="O2648" s="399"/>
      <c r="P2648" s="389"/>
      <c r="Q2648" s="399"/>
      <c r="R2648" s="399"/>
      <c r="S2648" s="399"/>
      <c r="T2648" s="399"/>
      <c r="U2648" s="401"/>
      <c r="V2648" s="399"/>
      <c r="W2648" s="399"/>
      <c r="X2648" s="399"/>
      <c r="Y2648" s="389"/>
      <c r="Z2648" s="400"/>
      <c r="AA2648" s="402"/>
      <c r="AB2648" s="403"/>
    </row>
    <row r="2649" spans="1:28">
      <c r="A2649" s="384"/>
      <c r="B2649" s="385"/>
      <c r="C2649" s="393"/>
      <c r="D2649" s="398"/>
      <c r="E2649" s="388"/>
      <c r="F2649" s="388"/>
      <c r="G2649" s="388"/>
      <c r="H2649" s="395"/>
      <c r="I2649" s="388"/>
      <c r="J2649" s="396"/>
      <c r="K2649" s="396"/>
      <c r="L2649" s="396"/>
      <c r="M2649" s="396"/>
      <c r="N2649" s="396"/>
      <c r="O2649" s="396"/>
      <c r="P2649" s="389"/>
      <c r="Q2649" s="396"/>
      <c r="R2649" s="396"/>
      <c r="S2649" s="396"/>
      <c r="T2649" s="396"/>
      <c r="U2649" s="401"/>
      <c r="V2649" s="396"/>
      <c r="W2649" s="399"/>
      <c r="X2649" s="396"/>
      <c r="Y2649" s="389"/>
      <c r="Z2649" s="396"/>
      <c r="AA2649" s="388"/>
      <c r="AB2649" s="390"/>
    </row>
    <row r="2650" spans="1:28">
      <c r="A2650" s="384" t="str">
        <f t="shared" ref="A2650:B2650" si="8500">A2635</f>
        <v>Lantai 2</v>
      </c>
      <c r="B2650" s="385">
        <f t="shared" si="8500"/>
        <v>1</v>
      </c>
      <c r="C2650" s="393" t="s">
        <v>209</v>
      </c>
      <c r="D2650" s="398">
        <f>VLOOKUP(D2635,'Detail Balok'!$C$10:$AU$140,22,FALSE)</f>
        <v>3</v>
      </c>
      <c r="E2650" s="388" t="s">
        <v>16</v>
      </c>
      <c r="F2650" s="388">
        <f>VLOOKUP(D2635,'Detail Balok'!$C$10:$AU$140,24,FALSE)</f>
        <v>16</v>
      </c>
      <c r="G2650" s="388"/>
      <c r="H2650" s="395"/>
      <c r="I2650" s="388" t="s">
        <v>203</v>
      </c>
      <c r="J2650" s="399">
        <f t="shared" si="8402"/>
        <v>1.20625</v>
      </c>
      <c r="K2650" s="400" t="s">
        <v>204</v>
      </c>
      <c r="L2650" s="399">
        <f t="shared" ref="L2650" si="8501">MAX(VLOOKUP(F2650,N$6:P$15,3,FALSE)/1000,2/3*D2640/1000)+F$16*F2650/1000</f>
        <v>0.192</v>
      </c>
      <c r="M2650" s="399" t="s">
        <v>176</v>
      </c>
      <c r="N2650" s="399">
        <f t="shared" ref="N2650:N2652" si="8502">J2650+L2650</f>
        <v>1.39825</v>
      </c>
      <c r="O2650" s="399" t="s">
        <v>204</v>
      </c>
      <c r="P2650" s="389">
        <f t="shared" ref="P2650" si="8503">D2650-D2651</f>
        <v>-1</v>
      </c>
      <c r="Q2650" s="399" t="s">
        <v>125</v>
      </c>
      <c r="R2650" s="399">
        <f t="shared" ref="R2650" si="8504">IF(P2650&gt;0,$F$18*F2650/1000,0)</f>
        <v>0</v>
      </c>
      <c r="S2650" s="399" t="s">
        <v>205</v>
      </c>
      <c r="T2650" s="399" t="s">
        <v>125</v>
      </c>
      <c r="U2650" s="401">
        <f t="shared" ref="U2650:U2652" si="8505">0.006165*F2650^2</f>
        <v>1.5782400000000001</v>
      </c>
      <c r="V2650" s="399"/>
      <c r="W2650" s="399"/>
      <c r="X2650" s="399" t="s">
        <v>125</v>
      </c>
      <c r="Y2650" s="389">
        <f t="shared" ref="Y2650" si="8506">D2641</f>
        <v>1</v>
      </c>
      <c r="Z2650" s="400" t="s">
        <v>176</v>
      </c>
      <c r="AA2650" s="402">
        <f t="shared" ref="AA2650" si="8507">IF(AA2653=0,(D2650*N2650+P2650*R2650)*U2650*Y2650,0)</f>
        <v>6.6203222400000001</v>
      </c>
      <c r="AB2650" s="403"/>
    </row>
    <row r="2651" spans="1:28">
      <c r="A2651" s="384" t="str">
        <f t="shared" ref="A2651:B2651" si="8508">A2635</f>
        <v>Lantai 2</v>
      </c>
      <c r="B2651" s="385">
        <f t="shared" si="8508"/>
        <v>1</v>
      </c>
      <c r="C2651" s="393" t="s">
        <v>210</v>
      </c>
      <c r="D2651" s="398">
        <f>VLOOKUP(D2635,'Detail Balok'!$C$10:$AU$140,25,FALSE)</f>
        <v>4</v>
      </c>
      <c r="E2651" s="388" t="s">
        <v>16</v>
      </c>
      <c r="F2651" s="388">
        <f>VLOOKUP(D2635,'Detail Balok'!$C$10:$AU$140,27,FALSE)</f>
        <v>16</v>
      </c>
      <c r="G2651" s="388"/>
      <c r="H2651" s="395"/>
      <c r="I2651" s="388" t="s">
        <v>203</v>
      </c>
      <c r="J2651" s="399">
        <f t="shared" si="8402"/>
        <v>2.4125000000000001</v>
      </c>
      <c r="K2651" s="400" t="s">
        <v>204</v>
      </c>
      <c r="L2651" s="399"/>
      <c r="M2651" s="399" t="s">
        <v>176</v>
      </c>
      <c r="N2651" s="399">
        <f t="shared" si="8502"/>
        <v>2.4125000000000001</v>
      </c>
      <c r="O2651" s="399" t="s">
        <v>204</v>
      </c>
      <c r="P2651" s="389">
        <f t="shared" ref="P2651" si="8509">MAX(D2651-D2650,D2651-D2652)</f>
        <v>1</v>
      </c>
      <c r="Q2651" s="399" t="s">
        <v>125</v>
      </c>
      <c r="R2651" s="399">
        <f t="shared" ref="R2651" si="8510">IF(P2651&gt;0,2*(1-2*$F$19-1/2)*D2638/1000,0)</f>
        <v>0.96499999999999975</v>
      </c>
      <c r="S2651" s="399" t="s">
        <v>205</v>
      </c>
      <c r="T2651" s="399" t="s">
        <v>125</v>
      </c>
      <c r="U2651" s="401">
        <f t="shared" si="8505"/>
        <v>1.5782400000000001</v>
      </c>
      <c r="V2651" s="399"/>
      <c r="W2651" s="399"/>
      <c r="X2651" s="399" t="s">
        <v>125</v>
      </c>
      <c r="Y2651" s="389">
        <f t="shared" ref="Y2651" si="8511">D2641</f>
        <v>1</v>
      </c>
      <c r="Z2651" s="400" t="s">
        <v>176</v>
      </c>
      <c r="AA2651" s="402">
        <f t="shared" ref="AA2651" si="8512">IF(AA2653=0,(D2651*N2651+P2651*R2651)*U2651*Y2651,0)</f>
        <v>16.7530176</v>
      </c>
      <c r="AB2651" s="403"/>
    </row>
    <row r="2652" spans="1:28">
      <c r="A2652" s="384" t="str">
        <f t="shared" ref="A2652:B2652" si="8513">A2635</f>
        <v>Lantai 2</v>
      </c>
      <c r="B2652" s="385">
        <f t="shared" si="8513"/>
        <v>1</v>
      </c>
      <c r="C2652" s="393" t="s">
        <v>209</v>
      </c>
      <c r="D2652" s="398">
        <f>VLOOKUP(D2635,'Detail Balok'!$C$10:$AU$140,28,FALSE)</f>
        <v>3</v>
      </c>
      <c r="E2652" s="388" t="s">
        <v>16</v>
      </c>
      <c r="F2652" s="388">
        <f>VLOOKUP(D2635,'Detail Balok'!$C$10:$AU$140,30,FALSE)</f>
        <v>16</v>
      </c>
      <c r="G2652" s="388"/>
      <c r="H2652" s="395"/>
      <c r="I2652" s="388" t="s">
        <v>203</v>
      </c>
      <c r="J2652" s="399">
        <f t="shared" si="8402"/>
        <v>1.20625</v>
      </c>
      <c r="K2652" s="400" t="s">
        <v>204</v>
      </c>
      <c r="L2652" s="399">
        <f t="shared" ref="L2652" si="8514">MAX(VLOOKUP(F2652,N$6:P$15,3,FALSE)/1000,2/3*D2640/1000)+F$16*F2652/1000</f>
        <v>0.192</v>
      </c>
      <c r="M2652" s="399" t="s">
        <v>176</v>
      </c>
      <c r="N2652" s="399">
        <f t="shared" si="8502"/>
        <v>1.39825</v>
      </c>
      <c r="O2652" s="399" t="s">
        <v>204</v>
      </c>
      <c r="P2652" s="389">
        <f t="shared" ref="P2652" si="8515">D2652-D2651</f>
        <v>-1</v>
      </c>
      <c r="Q2652" s="399" t="s">
        <v>125</v>
      </c>
      <c r="R2652" s="399">
        <f t="shared" ref="R2652" si="8516">IF(P2652&gt;0,$F$18*F2652/1000,0)</f>
        <v>0</v>
      </c>
      <c r="S2652" s="399" t="s">
        <v>205</v>
      </c>
      <c r="T2652" s="399" t="s">
        <v>125</v>
      </c>
      <c r="U2652" s="401">
        <f t="shared" si="8505"/>
        <v>1.5782400000000001</v>
      </c>
      <c r="V2652" s="399"/>
      <c r="W2652" s="399"/>
      <c r="X2652" s="399" t="s">
        <v>125</v>
      </c>
      <c r="Y2652" s="389">
        <f t="shared" ref="Y2652" si="8517">D2641</f>
        <v>1</v>
      </c>
      <c r="Z2652" s="400" t="s">
        <v>176</v>
      </c>
      <c r="AA2652" s="402">
        <f t="shared" ref="AA2652" si="8518">IF(AA2653=0,(D2652*N2652+P2652*R2652)*U2652*Y2652,0)</f>
        <v>6.6203222400000001</v>
      </c>
      <c r="AB2652" s="403"/>
    </row>
    <row r="2653" spans="1:28">
      <c r="A2653" s="384" t="str">
        <f t="shared" ref="A2653:B2653" si="8519">A2635</f>
        <v>Lantai 2</v>
      </c>
      <c r="B2653" s="385">
        <f t="shared" si="8519"/>
        <v>1</v>
      </c>
      <c r="C2653" s="393"/>
      <c r="D2653" s="398">
        <f t="shared" si="8422"/>
        <v>0</v>
      </c>
      <c r="E2653" s="388" t="s">
        <v>16</v>
      </c>
      <c r="F2653" s="388">
        <f t="shared" si="8423"/>
        <v>16</v>
      </c>
      <c r="G2653" s="388"/>
      <c r="H2653" s="395"/>
      <c r="I2653" s="388"/>
      <c r="J2653" s="396"/>
      <c r="K2653" s="396"/>
      <c r="L2653" s="404" t="s">
        <v>207</v>
      </c>
      <c r="M2653" s="399" t="s">
        <v>176</v>
      </c>
      <c r="N2653" s="399">
        <f t="shared" ref="N2653" si="8520">IF(AND(D2650=D2651,D2650=D2652,D2651=D2652,F2650=F2651,F2650=F2652,F2651=F2652),SUM(N2650:N2652),0)</f>
        <v>0</v>
      </c>
      <c r="O2653" s="399" t="s">
        <v>204</v>
      </c>
      <c r="P2653" s="389">
        <f t="shared" ref="P2653" si="8521">IF(N2653&gt;12,ROUNDDOWN(N2653/12,0),0)</f>
        <v>0</v>
      </c>
      <c r="Q2653" s="399" t="s">
        <v>125</v>
      </c>
      <c r="R2653" s="399">
        <f t="shared" ref="R2653" si="8522">IF(P2653&gt;0,MAX(VLOOKUP(F2653,$D$6:$G$15,3,FALSE),600),0)/1000</f>
        <v>0</v>
      </c>
      <c r="S2653" s="396"/>
      <c r="T2653" s="396" t="s">
        <v>125</v>
      </c>
      <c r="U2653" s="401">
        <f t="shared" si="8427"/>
        <v>1.5782400000000001</v>
      </c>
      <c r="V2653" s="396" t="s">
        <v>125</v>
      </c>
      <c r="W2653" s="399">
        <f t="shared" ref="W2653" si="8523">D2653</f>
        <v>0</v>
      </c>
      <c r="X2653" s="399" t="s">
        <v>125</v>
      </c>
      <c r="Y2653" s="389">
        <f t="shared" si="8429"/>
        <v>1</v>
      </c>
      <c r="Z2653" s="400" t="s">
        <v>176</v>
      </c>
      <c r="AA2653" s="402">
        <f t="shared" ref="AA2653" si="8524">(N2653+P2653*R2653/1000)*U2653*W2653*Y2653</f>
        <v>0</v>
      </c>
      <c r="AB2653" s="403"/>
    </row>
    <row r="2654" spans="1:28">
      <c r="A2654" s="384"/>
      <c r="B2654" s="385"/>
      <c r="C2654" s="393"/>
      <c r="D2654" s="394"/>
      <c r="E2654" s="388"/>
      <c r="F2654" s="388"/>
      <c r="G2654" s="388"/>
      <c r="H2654" s="395"/>
      <c r="I2654" s="388"/>
      <c r="J2654" s="399"/>
      <c r="K2654" s="396"/>
      <c r="L2654" s="396"/>
      <c r="M2654" s="396"/>
      <c r="N2654" s="396"/>
      <c r="O2654" s="396"/>
      <c r="P2654" s="389"/>
      <c r="Q2654" s="396"/>
      <c r="R2654" s="396"/>
      <c r="S2654" s="396"/>
      <c r="T2654" s="396"/>
      <c r="U2654" s="401"/>
      <c r="V2654" s="396"/>
      <c r="W2654" s="388"/>
      <c r="X2654" s="396"/>
      <c r="Y2654" s="389"/>
      <c r="Z2654" s="396"/>
      <c r="AA2654" s="388"/>
      <c r="AB2654" s="390"/>
    </row>
    <row r="2655" spans="1:28">
      <c r="A2655" s="384" t="str">
        <f t="shared" ref="A2655:B2655" si="8525">A2635</f>
        <v>Lantai 2</v>
      </c>
      <c r="B2655" s="385">
        <f t="shared" si="8525"/>
        <v>1</v>
      </c>
      <c r="C2655" s="393" t="s">
        <v>211</v>
      </c>
      <c r="D2655" s="398">
        <f>VLOOKUP(D2635,'Detail Balok'!$C$10:$AU$140,31,FALSE)</f>
        <v>0</v>
      </c>
      <c r="E2655" s="388" t="s">
        <v>16</v>
      </c>
      <c r="F2655" s="388">
        <f>VLOOKUP(D2635,'Detail Balok'!$C$10:$AU$140,33,FALSE)</f>
        <v>10</v>
      </c>
      <c r="G2655" s="405" t="s">
        <v>157</v>
      </c>
      <c r="H2655" s="395">
        <f>VLOOKUP(D2635,'Detail Balok'!$C$10:$AU$140,35,FALSE)</f>
        <v>100</v>
      </c>
      <c r="I2655" s="388"/>
      <c r="J2655" s="400">
        <f t="shared" ref="J2655" si="8526">(IF(D2655=0,(2*(D2636+G2636))-(F$5*8),IF(D2655=3,(2*(D2636+G2636))-(F$5*8)+(G2636-2*F$5),IF(D2655=4,(2*(D2636+G2636))-(F$5*8)+2*(G2636-2*F$5)))))/1000</f>
        <v>1.28</v>
      </c>
      <c r="K2655" s="400" t="s">
        <v>204</v>
      </c>
      <c r="L2655" s="399">
        <f t="shared" ref="L2655:L2657" si="8527">IF(D2655=0,2*MAX(6*F2655,75),(D2655-1)*2*MAX(6*F2655,75))/1000</f>
        <v>0.15</v>
      </c>
      <c r="M2655" s="399" t="s">
        <v>176</v>
      </c>
      <c r="N2655" s="399">
        <f t="shared" ref="N2655:N2657" si="8528">J2655+L2655</f>
        <v>1.43</v>
      </c>
      <c r="O2655" s="399"/>
      <c r="P2655" s="389"/>
      <c r="Q2655" s="399"/>
      <c r="R2655" s="399"/>
      <c r="S2655" s="399"/>
      <c r="T2655" s="399" t="s">
        <v>125</v>
      </c>
      <c r="U2655" s="401">
        <f t="shared" ref="U2655:U2657" si="8529">0.006165*F2655^2</f>
        <v>0.61650000000000005</v>
      </c>
      <c r="V2655" s="399" t="s">
        <v>125</v>
      </c>
      <c r="W2655" s="399">
        <f t="shared" ref="W2655" si="8530">IF(D2638&gt;4*G2636,ROUND(MAX(D2638/4,2*G2636)/H2655,0)+1,ROUND(D2638/H2655,0)+1)</f>
        <v>13</v>
      </c>
      <c r="X2655" s="399" t="s">
        <v>125</v>
      </c>
      <c r="Y2655" s="389">
        <f t="shared" ref="Y2655" si="8531">D2641</f>
        <v>1</v>
      </c>
      <c r="Z2655" s="400" t="s">
        <v>176</v>
      </c>
      <c r="AA2655" s="402">
        <f t="shared" ref="AA2655:AA2657" si="8532">N2655*U2655*W2655*Y2655</f>
        <v>11.460735</v>
      </c>
      <c r="AB2655" s="403"/>
    </row>
    <row r="2656" spans="1:28">
      <c r="A2656" s="384" t="str">
        <f t="shared" ref="A2656:B2656" si="8533">A2635</f>
        <v>Lantai 2</v>
      </c>
      <c r="B2656" s="385">
        <f t="shared" si="8533"/>
        <v>1</v>
      </c>
      <c r="C2656" s="393" t="s">
        <v>212</v>
      </c>
      <c r="D2656" s="398">
        <f>VLOOKUP(D2635,'Detail Balok'!$C$10:$AU$140,36,FALSE)</f>
        <v>0</v>
      </c>
      <c r="E2656" s="388" t="s">
        <v>16</v>
      </c>
      <c r="F2656" s="388">
        <f>VLOOKUP(D2635,'Detail Balok'!$C$10:$AU$140,38,FALSE)</f>
        <v>10</v>
      </c>
      <c r="G2656" s="405" t="s">
        <v>157</v>
      </c>
      <c r="H2656" s="395">
        <f>VLOOKUP(D2635,'Detail Balok'!$C$10:$AU$140,40,FALSE)</f>
        <v>150</v>
      </c>
      <c r="I2656" s="388"/>
      <c r="J2656" s="400">
        <f t="shared" ref="J2656" si="8534">(IF(D2656=0,(2*(D2636+G2636))-(F$5*8),IF(D2656=3,(2*(D2636+G2636))-(F$5*8)+(G2636-2*F$5),IF(D2656=4,(2*(D2636+G2636))-(F$5*8)+2*(G2636-2*F$5)))))/1000</f>
        <v>1.28</v>
      </c>
      <c r="K2656" s="400" t="s">
        <v>204</v>
      </c>
      <c r="L2656" s="399">
        <f t="shared" si="8527"/>
        <v>0.15</v>
      </c>
      <c r="M2656" s="399" t="s">
        <v>176</v>
      </c>
      <c r="N2656" s="399">
        <f t="shared" si="8528"/>
        <v>1.43</v>
      </c>
      <c r="O2656" s="399"/>
      <c r="P2656" s="389"/>
      <c r="Q2656" s="399"/>
      <c r="R2656" s="399"/>
      <c r="S2656" s="399"/>
      <c r="T2656" s="399" t="s">
        <v>125</v>
      </c>
      <c r="U2656" s="401">
        <f t="shared" si="8529"/>
        <v>0.61650000000000005</v>
      </c>
      <c r="V2656" s="399" t="s">
        <v>125</v>
      </c>
      <c r="W2656" s="399">
        <f t="shared" ref="W2656" si="8535">IF(D2638-MAX(D2638/4,2*G2636)*2&gt;0,ROUND((D2638-MAX(D2638/4,2*G2636)*2)/H2656,0),0)</f>
        <v>16</v>
      </c>
      <c r="X2656" s="399" t="s">
        <v>125</v>
      </c>
      <c r="Y2656" s="389">
        <f t="shared" ref="Y2656" si="8536">D2641</f>
        <v>1</v>
      </c>
      <c r="Z2656" s="400" t="s">
        <v>176</v>
      </c>
      <c r="AA2656" s="402">
        <f t="shared" si="8532"/>
        <v>14.10552</v>
      </c>
      <c r="AB2656" s="403"/>
    </row>
    <row r="2657" spans="1:28">
      <c r="A2657" s="384" t="str">
        <f t="shared" ref="A2657:B2657" si="8537">A2635</f>
        <v>Lantai 2</v>
      </c>
      <c r="B2657" s="385">
        <f t="shared" si="8537"/>
        <v>1</v>
      </c>
      <c r="C2657" s="393" t="s">
        <v>211</v>
      </c>
      <c r="D2657" s="398">
        <f>VLOOKUP(D2635,'Detail Balok'!$C$10:$AU$140,41,FALSE)</f>
        <v>0</v>
      </c>
      <c r="E2657" s="388" t="s">
        <v>16</v>
      </c>
      <c r="F2657" s="388">
        <f>VLOOKUP(D2635,'Detail Balok'!$C$10:$AU$140,43,FALSE)</f>
        <v>10</v>
      </c>
      <c r="G2657" s="405" t="s">
        <v>157</v>
      </c>
      <c r="H2657" s="395">
        <f>VLOOKUP(D2635,'Detail Balok'!$C$10:$AU$140,45,FALSE)</f>
        <v>100</v>
      </c>
      <c r="I2657" s="388"/>
      <c r="J2657" s="400">
        <f t="shared" ref="J2657" si="8538">(IF(D2657=0,(2*(D2636+G2636))-(F$5*8),IF(D2657=3,(2*(D2636+G2636))-(F$5*8)+(G2636-2*F$5),IF(D2657=4,(2*(D2636+G2636))-(F$5*8)+2*(G2636-2*F$5)))))/1000</f>
        <v>1.28</v>
      </c>
      <c r="K2657" s="400" t="s">
        <v>204</v>
      </c>
      <c r="L2657" s="399">
        <f t="shared" si="8527"/>
        <v>0.15</v>
      </c>
      <c r="M2657" s="399" t="s">
        <v>176</v>
      </c>
      <c r="N2657" s="399">
        <f t="shared" si="8528"/>
        <v>1.43</v>
      </c>
      <c r="O2657" s="399"/>
      <c r="P2657" s="389"/>
      <c r="Q2657" s="399"/>
      <c r="R2657" s="399"/>
      <c r="S2657" s="399"/>
      <c r="T2657" s="399" t="s">
        <v>125</v>
      </c>
      <c r="U2657" s="401">
        <f t="shared" si="8529"/>
        <v>0.61650000000000005</v>
      </c>
      <c r="V2657" s="399" t="s">
        <v>125</v>
      </c>
      <c r="W2657" s="399">
        <f t="shared" ref="W2657" si="8539">IF(D2638&gt;4*G2636,ROUND(MAX(D2638/4,2*G2636)/H2657,0)+1,0)</f>
        <v>13</v>
      </c>
      <c r="X2657" s="399" t="s">
        <v>125</v>
      </c>
      <c r="Y2657" s="389">
        <f t="shared" ref="Y2657" si="8540">D2641</f>
        <v>1</v>
      </c>
      <c r="Z2657" s="400" t="s">
        <v>176</v>
      </c>
      <c r="AA2657" s="402">
        <f t="shared" si="8532"/>
        <v>11.460735</v>
      </c>
      <c r="AB2657" s="403"/>
    </row>
    <row r="2658" spans="1:28">
      <c r="A2658" s="384"/>
      <c r="B2658" s="385"/>
      <c r="C2658" s="393"/>
      <c r="D2658" s="394"/>
      <c r="E2658" s="388"/>
      <c r="F2658" s="388"/>
      <c r="G2658" s="388"/>
      <c r="H2658" s="395"/>
      <c r="I2658" s="388"/>
      <c r="J2658" s="399"/>
      <c r="K2658" s="396"/>
      <c r="L2658" s="396"/>
      <c r="M2658" s="396"/>
      <c r="N2658" s="396"/>
      <c r="O2658" s="396"/>
      <c r="P2658" s="389"/>
      <c r="Q2658" s="396"/>
      <c r="R2658" s="396"/>
      <c r="S2658" s="396"/>
      <c r="T2658" s="396"/>
      <c r="U2658" s="401"/>
      <c r="V2658" s="396"/>
      <c r="W2658" s="388"/>
      <c r="X2658" s="396"/>
      <c r="Y2658" s="389"/>
      <c r="Z2658" s="396"/>
      <c r="AA2658" s="388"/>
      <c r="AB2658" s="390"/>
    </row>
    <row r="2659" spans="1:28">
      <c r="A2659" s="384" t="str">
        <f t="shared" ref="A2659:B2659" si="8541">A2635</f>
        <v>Lantai 2</v>
      </c>
      <c r="B2659" s="385">
        <f t="shared" si="8541"/>
        <v>1</v>
      </c>
      <c r="C2659" s="393" t="s">
        <v>213</v>
      </c>
      <c r="D2659" s="398">
        <f>VLOOKUP(D2635,'Detail Balok'!$C$10:$BJ$140,46,FALSE)</f>
        <v>0</v>
      </c>
      <c r="E2659" s="388" t="s">
        <v>16</v>
      </c>
      <c r="F2659" s="388">
        <f>VLOOKUP(D2635,'Detail Balok'!$C$10:$BJ$140,48,FALSE)</f>
        <v>0</v>
      </c>
      <c r="G2659" s="405" t="s">
        <v>157</v>
      </c>
      <c r="H2659" s="395">
        <f>VLOOKUP(D2635,'Detail Balok'!$C$10:$BJ$140,50,FALSE)</f>
        <v>100</v>
      </c>
      <c r="I2659" s="388"/>
      <c r="J2659" s="399">
        <f t="shared" ref="J2659" si="8542">(D2636-2*F$5)/1000</f>
        <v>0.12</v>
      </c>
      <c r="K2659" s="400" t="s">
        <v>204</v>
      </c>
      <c r="L2659" s="399">
        <f t="shared" ref="L2659:L2661" si="8543">IF(D2659=0,2*MAX(6*F2659,75),(D2659-1)*2*MAX(6*F2659,75))/1000</f>
        <v>0.15</v>
      </c>
      <c r="M2659" s="399" t="s">
        <v>176</v>
      </c>
      <c r="N2659" s="399">
        <f t="shared" ref="N2659:N2661" si="8544">J2659+L2659</f>
        <v>0.27</v>
      </c>
      <c r="O2659" s="399"/>
      <c r="P2659" s="399"/>
      <c r="Q2659" s="399"/>
      <c r="R2659" s="399"/>
      <c r="S2659" s="399"/>
      <c r="T2659" s="399" t="s">
        <v>125</v>
      </c>
      <c r="U2659" s="401">
        <f t="shared" ref="U2659:U2661" si="8545">0.006165*F2659^2</f>
        <v>0</v>
      </c>
      <c r="V2659" s="399" t="s">
        <v>125</v>
      </c>
      <c r="W2659" s="399">
        <f t="shared" si="8452"/>
        <v>13</v>
      </c>
      <c r="X2659" s="399" t="s">
        <v>125</v>
      </c>
      <c r="Y2659" s="389">
        <f t="shared" ref="Y2659" si="8546">D2645</f>
        <v>0</v>
      </c>
      <c r="Z2659" s="400" t="s">
        <v>176</v>
      </c>
      <c r="AA2659" s="402">
        <f t="shared" ref="AA2659:AA2661" si="8547">N2659*U2659*W2659*Y2659</f>
        <v>0</v>
      </c>
      <c r="AB2659" s="403"/>
    </row>
    <row r="2660" spans="1:28">
      <c r="A2660" s="384" t="str">
        <f t="shared" ref="A2660:B2660" si="8548">A2635</f>
        <v>Lantai 2</v>
      </c>
      <c r="B2660" s="385">
        <f t="shared" si="8548"/>
        <v>1</v>
      </c>
      <c r="C2660" s="393" t="s">
        <v>214</v>
      </c>
      <c r="D2660" s="398">
        <f>VLOOKUP(D2635,'Detail Balok'!$C$10:$BJ$140,51,FALSE)</f>
        <v>0</v>
      </c>
      <c r="E2660" s="388" t="s">
        <v>16</v>
      </c>
      <c r="F2660" s="388">
        <f>VLOOKUP(D2635,'Detail Balok'!$C$10:$BJ$140,53,FALSE)</f>
        <v>0</v>
      </c>
      <c r="G2660" s="405" t="s">
        <v>157</v>
      </c>
      <c r="H2660" s="395">
        <f>VLOOKUP(D2635,'Detail Balok'!$C$10:$BJ$140,55,FALSE)</f>
        <v>100</v>
      </c>
      <c r="I2660" s="388"/>
      <c r="J2660" s="399">
        <f t="shared" ref="J2660" si="8549">(D2636-2*F$5)/1000</f>
        <v>0.12</v>
      </c>
      <c r="K2660" s="400" t="s">
        <v>204</v>
      </c>
      <c r="L2660" s="399">
        <f t="shared" si="8543"/>
        <v>0.15</v>
      </c>
      <c r="M2660" s="399" t="s">
        <v>176</v>
      </c>
      <c r="N2660" s="399">
        <f t="shared" si="8544"/>
        <v>0.27</v>
      </c>
      <c r="O2660" s="399"/>
      <c r="P2660" s="399"/>
      <c r="Q2660" s="399"/>
      <c r="R2660" s="399"/>
      <c r="S2660" s="399"/>
      <c r="T2660" s="399" t="s">
        <v>125</v>
      </c>
      <c r="U2660" s="401">
        <f t="shared" si="8545"/>
        <v>0</v>
      </c>
      <c r="V2660" s="399" t="s">
        <v>125</v>
      </c>
      <c r="W2660" s="399">
        <f t="shared" si="8452"/>
        <v>16</v>
      </c>
      <c r="X2660" s="399" t="s">
        <v>125</v>
      </c>
      <c r="Y2660" s="389">
        <f t="shared" ref="Y2660" si="8550">D2645</f>
        <v>0</v>
      </c>
      <c r="Z2660" s="400" t="s">
        <v>176</v>
      </c>
      <c r="AA2660" s="402">
        <f t="shared" si="8547"/>
        <v>0</v>
      </c>
      <c r="AB2660" s="403"/>
    </row>
    <row r="2661" spans="1:28">
      <c r="A2661" s="384" t="str">
        <f t="shared" ref="A2661:B2661" si="8551">A2635</f>
        <v>Lantai 2</v>
      </c>
      <c r="B2661" s="385">
        <f t="shared" si="8551"/>
        <v>1</v>
      </c>
      <c r="C2661" s="393" t="s">
        <v>213</v>
      </c>
      <c r="D2661" s="398">
        <f>VLOOKUP(D2635,'Detail Balok'!$C$10:$BJ$140,56,FALSE)</f>
        <v>0</v>
      </c>
      <c r="E2661" s="388" t="s">
        <v>16</v>
      </c>
      <c r="F2661" s="388">
        <f>VLOOKUP(D2635,'Detail Balok'!$C$10:$BJ$140,58,FALSE)</f>
        <v>0</v>
      </c>
      <c r="G2661" s="405" t="s">
        <v>157</v>
      </c>
      <c r="H2661" s="395">
        <f>VLOOKUP(D2635,'Detail Balok'!$C$10:$BJ$140,60,FALSE)</f>
        <v>100</v>
      </c>
      <c r="I2661" s="388"/>
      <c r="J2661" s="399">
        <f t="shared" ref="J2661" si="8552">(D2636-2*F$5)/1000</f>
        <v>0.12</v>
      </c>
      <c r="K2661" s="400" t="s">
        <v>204</v>
      </c>
      <c r="L2661" s="399">
        <f t="shared" si="8543"/>
        <v>0.15</v>
      </c>
      <c r="M2661" s="399" t="s">
        <v>176</v>
      </c>
      <c r="N2661" s="399">
        <f t="shared" si="8544"/>
        <v>0.27</v>
      </c>
      <c r="O2661" s="399"/>
      <c r="P2661" s="399"/>
      <c r="Q2661" s="399"/>
      <c r="R2661" s="399"/>
      <c r="S2661" s="399"/>
      <c r="T2661" s="399" t="s">
        <v>125</v>
      </c>
      <c r="U2661" s="401">
        <f t="shared" si="8545"/>
        <v>0</v>
      </c>
      <c r="V2661" s="399" t="s">
        <v>125</v>
      </c>
      <c r="W2661" s="399">
        <f t="shared" si="8452"/>
        <v>13</v>
      </c>
      <c r="X2661" s="399" t="s">
        <v>125</v>
      </c>
      <c r="Y2661" s="389">
        <f t="shared" ref="Y2661" si="8553">D2645</f>
        <v>0</v>
      </c>
      <c r="Z2661" s="400" t="s">
        <v>176</v>
      </c>
      <c r="AA2661" s="402">
        <f t="shared" si="8547"/>
        <v>0</v>
      </c>
      <c r="AB2661" s="403"/>
    </row>
    <row r="2662" spans="1:28">
      <c r="A2662" s="391"/>
      <c r="B2662" s="392"/>
      <c r="C2662" s="392"/>
      <c r="D2662" s="394"/>
      <c r="E2662" s="388"/>
      <c r="F2662" s="388"/>
      <c r="G2662" s="388"/>
      <c r="H2662" s="395"/>
      <c r="I2662" s="388"/>
      <c r="J2662" s="402"/>
      <c r="K2662" s="388"/>
      <c r="L2662" s="388"/>
      <c r="M2662" s="388"/>
      <c r="N2662" s="388"/>
      <c r="O2662" s="388"/>
      <c r="P2662" s="388"/>
      <c r="Q2662" s="388"/>
      <c r="R2662" s="388"/>
      <c r="S2662" s="388"/>
      <c r="T2662" s="388"/>
      <c r="U2662" s="388"/>
      <c r="V2662" s="388"/>
      <c r="W2662" s="388"/>
      <c r="X2662" s="388"/>
      <c r="Y2662" s="389"/>
      <c r="Z2662" s="388"/>
      <c r="AA2662" s="402"/>
      <c r="AB2662" s="403"/>
    </row>
    <row r="2663" spans="1:28" ht="15.75" thickBot="1">
      <c r="A2663" s="406"/>
      <c r="B2663" s="407"/>
      <c r="C2663" s="407"/>
      <c r="D2663" s="408"/>
      <c r="E2663" s="409"/>
      <c r="F2663" s="409"/>
      <c r="G2663" s="409"/>
      <c r="H2663" s="410"/>
      <c r="I2663" s="409"/>
      <c r="J2663" s="409"/>
      <c r="K2663" s="409"/>
      <c r="L2663" s="409"/>
      <c r="M2663" s="409"/>
      <c r="N2663" s="409"/>
      <c r="O2663" s="409"/>
      <c r="P2663" s="409"/>
      <c r="Q2663" s="409"/>
      <c r="R2663" s="409"/>
      <c r="S2663" s="409"/>
      <c r="T2663" s="409"/>
      <c r="U2663" s="409"/>
      <c r="V2663" s="409"/>
      <c r="W2663" s="409"/>
      <c r="X2663" s="409"/>
      <c r="Y2663" s="411"/>
      <c r="Z2663" s="409"/>
      <c r="AA2663" s="412"/>
      <c r="AB2663" s="413"/>
    </row>
    <row r="2664" spans="1:28">
      <c r="A2664" s="377"/>
      <c r="B2664" s="378"/>
      <c r="C2664" s="378"/>
      <c r="D2664" s="379"/>
      <c r="E2664" s="380"/>
      <c r="F2664" s="380"/>
      <c r="G2664" s="380"/>
      <c r="H2664" s="381"/>
      <c r="I2664" s="380"/>
      <c r="J2664" s="380"/>
      <c r="K2664" s="380"/>
      <c r="L2664" s="380"/>
      <c r="M2664" s="380"/>
      <c r="N2664" s="380"/>
      <c r="O2664" s="380"/>
      <c r="P2664" s="380"/>
      <c r="Q2664" s="380"/>
      <c r="R2664" s="380"/>
      <c r="S2664" s="380"/>
      <c r="T2664" s="380"/>
      <c r="U2664" s="380"/>
      <c r="V2664" s="380"/>
      <c r="W2664" s="380"/>
      <c r="X2664" s="380"/>
      <c r="Y2664" s="382"/>
      <c r="Z2664" s="380"/>
      <c r="AA2664" s="380"/>
      <c r="AB2664" s="383"/>
    </row>
    <row r="2665" spans="1:28">
      <c r="A2665" s="384" t="str">
        <f t="shared" ref="A2665:A2695" si="8554">A2635</f>
        <v>Lantai 2</v>
      </c>
      <c r="B2665" s="385">
        <f t="shared" ref="B2665:B2695" si="8555">B2635+1</f>
        <v>2</v>
      </c>
      <c r="C2665" s="386" t="str">
        <f t="shared" ref="C2665" si="8556">CONCATENATE(A2665," no. ",B2665)</f>
        <v>Lantai 2 no. 2</v>
      </c>
      <c r="D2665" s="2562" t="str">
        <f>VLOOKUP(C2665,'Data Panjang Balok'!$C$9:$N$254,2,FALSE)</f>
        <v>B26-1</v>
      </c>
      <c r="E2665" s="2576"/>
      <c r="F2665" s="2576"/>
      <c r="G2665" s="2576"/>
      <c r="H2665" s="2577"/>
      <c r="I2665" s="387"/>
      <c r="J2665" s="388"/>
      <c r="K2665" s="388"/>
      <c r="L2665" s="388"/>
      <c r="M2665" s="388"/>
      <c r="N2665" s="388"/>
      <c r="O2665" s="388"/>
      <c r="P2665" s="388"/>
      <c r="Q2665" s="388"/>
      <c r="R2665" s="388"/>
      <c r="S2665" s="388"/>
      <c r="T2665" s="388"/>
      <c r="U2665" s="388"/>
      <c r="V2665" s="388"/>
      <c r="W2665" s="388"/>
      <c r="X2665" s="388"/>
      <c r="Y2665" s="389"/>
      <c r="Z2665" s="388"/>
      <c r="AA2665" s="388"/>
      <c r="AB2665" s="390"/>
    </row>
    <row r="2666" spans="1:28">
      <c r="A2666" s="391"/>
      <c r="B2666" s="392"/>
      <c r="C2666" s="393" t="s">
        <v>118</v>
      </c>
      <c r="D2666" s="2578">
        <f>VLOOKUP(D2665,'Detail Balok'!$C$10:$AU$140,2,FALSE)</f>
        <v>200</v>
      </c>
      <c r="E2666" s="2579"/>
      <c r="F2666" s="388" t="s">
        <v>125</v>
      </c>
      <c r="G2666" s="2579">
        <f>VLOOKUP(D2665,'Detail Balok'!$C$10:$AU$140,3,FALSE)</f>
        <v>600</v>
      </c>
      <c r="H2666" s="2580"/>
      <c r="I2666" s="388"/>
      <c r="J2666" s="396"/>
      <c r="K2666" s="396"/>
      <c r="L2666" s="396"/>
      <c r="M2666" s="396"/>
      <c r="N2666" s="396"/>
      <c r="O2666" s="396"/>
      <c r="P2666" s="396"/>
      <c r="Q2666" s="396"/>
      <c r="R2666" s="396"/>
      <c r="S2666" s="396"/>
      <c r="T2666" s="396"/>
      <c r="U2666" s="388"/>
      <c r="V2666" s="396"/>
      <c r="W2666" s="388"/>
      <c r="X2666" s="396"/>
      <c r="Y2666" s="389"/>
      <c r="Z2666" s="396"/>
      <c r="AA2666" s="388"/>
      <c r="AB2666" s="390"/>
    </row>
    <row r="2667" spans="1:28">
      <c r="A2667" s="391"/>
      <c r="B2667" s="392"/>
      <c r="C2667" s="393" t="s">
        <v>198</v>
      </c>
      <c r="D2667" s="2562">
        <f>VLOOKUP(C2665,'Data Panjang Balok'!$C$9:$N$254,4,FALSE)</f>
        <v>4175</v>
      </c>
      <c r="E2667" s="2563"/>
      <c r="F2667" s="2563"/>
      <c r="G2667" s="2563"/>
      <c r="H2667" s="2564"/>
      <c r="I2667" s="397"/>
      <c r="J2667" s="396"/>
      <c r="K2667" s="396"/>
      <c r="L2667" s="396"/>
      <c r="M2667" s="396"/>
      <c r="N2667" s="396"/>
      <c r="O2667" s="396"/>
      <c r="P2667" s="396"/>
      <c r="Q2667" s="396"/>
      <c r="R2667" s="396"/>
      <c r="S2667" s="396"/>
      <c r="T2667" s="396"/>
      <c r="U2667" s="388"/>
      <c r="V2667" s="396"/>
      <c r="W2667" s="388"/>
      <c r="X2667" s="396"/>
      <c r="Y2667" s="389"/>
      <c r="Z2667" s="396"/>
      <c r="AA2667" s="388"/>
      <c r="AB2667" s="390"/>
    </row>
    <row r="2668" spans="1:28">
      <c r="A2668" s="391"/>
      <c r="B2668" s="392"/>
      <c r="C2668" s="393" t="s">
        <v>199</v>
      </c>
      <c r="D2668" s="2562">
        <f>VLOOKUP(C2665,'Data Panjang Balok'!$C$9:$N$254,7,FALSE)</f>
        <v>4175</v>
      </c>
      <c r="E2668" s="2563"/>
      <c r="F2668" s="2563"/>
      <c r="G2668" s="2563"/>
      <c r="H2668" s="2564"/>
      <c r="I2668" s="397"/>
      <c r="J2668" s="396"/>
      <c r="K2668" s="396"/>
      <c r="L2668" s="396"/>
      <c r="M2668" s="396"/>
      <c r="N2668" s="396"/>
      <c r="O2668" s="396"/>
      <c r="P2668" s="396"/>
      <c r="Q2668" s="396"/>
      <c r="R2668" s="396"/>
      <c r="S2668" s="396"/>
      <c r="T2668" s="396"/>
      <c r="U2668" s="388"/>
      <c r="V2668" s="396"/>
      <c r="W2668" s="388"/>
      <c r="X2668" s="396"/>
      <c r="Y2668" s="389"/>
      <c r="Z2668" s="396"/>
      <c r="AA2668" s="388"/>
      <c r="AB2668" s="390"/>
    </row>
    <row r="2669" spans="1:28">
      <c r="A2669" s="391"/>
      <c r="B2669" s="392"/>
      <c r="C2669" s="393" t="s">
        <v>200</v>
      </c>
      <c r="D2669" s="2562">
        <f>VLOOKUP(C2665,'Data Panjang Balok'!$C$9:$N$254,9,FALSE)</f>
        <v>0</v>
      </c>
      <c r="E2669" s="2563"/>
      <c r="F2669" s="2563"/>
      <c r="G2669" s="2563"/>
      <c r="H2669" s="2564"/>
      <c r="I2669" s="397"/>
      <c r="J2669" s="396"/>
      <c r="K2669" s="396"/>
      <c r="L2669" s="396"/>
      <c r="M2669" s="396"/>
      <c r="N2669" s="396"/>
      <c r="O2669" s="396"/>
      <c r="P2669" s="396"/>
      <c r="Q2669" s="396"/>
      <c r="R2669" s="396"/>
      <c r="S2669" s="396"/>
      <c r="T2669" s="396"/>
      <c r="U2669" s="388"/>
      <c r="V2669" s="396"/>
      <c r="W2669" s="388"/>
      <c r="X2669" s="396"/>
      <c r="Y2669" s="389"/>
      <c r="Z2669" s="396"/>
      <c r="AA2669" s="388"/>
      <c r="AB2669" s="390"/>
    </row>
    <row r="2670" spans="1:28">
      <c r="A2670" s="391"/>
      <c r="B2670" s="392"/>
      <c r="C2670" s="393" t="s">
        <v>201</v>
      </c>
      <c r="D2670" s="2562">
        <f>VLOOKUP(C2665,'Data Panjang Balok'!$C$9:$N$254,10,FALSE)</f>
        <v>0</v>
      </c>
      <c r="E2670" s="2563"/>
      <c r="F2670" s="2563"/>
      <c r="G2670" s="2563"/>
      <c r="H2670" s="2564"/>
      <c r="I2670" s="397"/>
      <c r="J2670" s="396"/>
      <c r="K2670" s="396"/>
      <c r="L2670" s="396"/>
      <c r="M2670" s="396"/>
      <c r="N2670" s="396"/>
      <c r="O2670" s="396"/>
      <c r="P2670" s="396"/>
      <c r="Q2670" s="396"/>
      <c r="R2670" s="396"/>
      <c r="S2670" s="396"/>
      <c r="T2670" s="396"/>
      <c r="U2670" s="388"/>
      <c r="V2670" s="396"/>
      <c r="W2670" s="388"/>
      <c r="X2670" s="396"/>
      <c r="Y2670" s="389"/>
      <c r="Z2670" s="396"/>
      <c r="AA2670" s="388"/>
      <c r="AB2670" s="390"/>
    </row>
    <row r="2671" spans="1:28">
      <c r="A2671" s="391"/>
      <c r="B2671" s="392"/>
      <c r="C2671" s="393" t="s">
        <v>48</v>
      </c>
      <c r="D2671" s="2562">
        <f>VLOOKUP(C2665,'Data Panjang Balok'!$C$9:$N$254,3,FALSE)</f>
        <v>1</v>
      </c>
      <c r="E2671" s="2563"/>
      <c r="F2671" s="2563"/>
      <c r="G2671" s="2563"/>
      <c r="H2671" s="2564"/>
      <c r="I2671" s="397"/>
      <c r="J2671" s="396"/>
      <c r="K2671" s="396"/>
      <c r="L2671" s="396"/>
      <c r="M2671" s="396"/>
      <c r="N2671" s="396"/>
      <c r="O2671" s="396"/>
      <c r="P2671" s="396"/>
      <c r="Q2671" s="396"/>
      <c r="R2671" s="396"/>
      <c r="S2671" s="396"/>
      <c r="T2671" s="396"/>
      <c r="U2671" s="388"/>
      <c r="V2671" s="396"/>
      <c r="W2671" s="388"/>
      <c r="X2671" s="396"/>
      <c r="Y2671" s="389"/>
      <c r="Z2671" s="396"/>
      <c r="AA2671" s="388"/>
      <c r="AB2671" s="390"/>
    </row>
    <row r="2672" spans="1:28">
      <c r="A2672" s="384" t="str">
        <f t="shared" ref="A2672:B2672" si="8557">A2665</f>
        <v>Lantai 2</v>
      </c>
      <c r="B2672" s="385">
        <f t="shared" si="8557"/>
        <v>2</v>
      </c>
      <c r="C2672" s="393" t="s">
        <v>202</v>
      </c>
      <c r="D2672" s="398">
        <f>VLOOKUP(D2665,'Detail Balok'!$C$10:$AU$140,4,FALSE)</f>
        <v>4</v>
      </c>
      <c r="E2672" s="388" t="s">
        <v>16</v>
      </c>
      <c r="F2672" s="388">
        <f>VLOOKUP(D2665,'Detail Balok'!$C$10:$AU$140,6,FALSE)</f>
        <v>16</v>
      </c>
      <c r="G2672" s="388"/>
      <c r="H2672" s="395"/>
      <c r="I2672" s="388" t="s">
        <v>203</v>
      </c>
      <c r="J2672" s="399">
        <f t="shared" ref="J2672" si="8558">+D2667/4/1000</f>
        <v>1.04375</v>
      </c>
      <c r="K2672" s="400" t="s">
        <v>204</v>
      </c>
      <c r="L2672" s="399">
        <f t="shared" ref="L2672" si="8559">MAX(VLOOKUP(F2672,N$6:P$15,3,FALSE)/1000,2/3*D2669/1000)+F$16*F2672/1000</f>
        <v>0.192</v>
      </c>
      <c r="M2672" s="399" t="s">
        <v>176</v>
      </c>
      <c r="N2672" s="399">
        <f t="shared" ref="N2672:N2674" si="8560">J2672+L2672</f>
        <v>1.2357499999999999</v>
      </c>
      <c r="O2672" s="399" t="s">
        <v>204</v>
      </c>
      <c r="P2672" s="389">
        <f t="shared" ref="P2672" si="8561">D2672-D2673</f>
        <v>1</v>
      </c>
      <c r="Q2672" s="399" t="s">
        <v>125</v>
      </c>
      <c r="R2672" s="399">
        <f t="shared" ref="R2672" si="8562">IF(P2672&gt;0,$F$18*F2672/1000,0)</f>
        <v>0.24</v>
      </c>
      <c r="S2672" s="399" t="s">
        <v>205</v>
      </c>
      <c r="T2672" s="399" t="s">
        <v>125</v>
      </c>
      <c r="U2672" s="401">
        <f t="shared" ref="U2672:U2674" si="8563">0.006165*F2672^2</f>
        <v>1.5782400000000001</v>
      </c>
      <c r="V2672" s="399"/>
      <c r="W2672" s="399"/>
      <c r="X2672" s="399" t="s">
        <v>125</v>
      </c>
      <c r="Y2672" s="389">
        <f t="shared" ref="Y2672" si="8564">D2671</f>
        <v>1</v>
      </c>
      <c r="Z2672" s="400" t="s">
        <v>176</v>
      </c>
      <c r="AA2672" s="402">
        <f t="shared" ref="AA2672" si="8565">IF(AA2675=0,(D2672*N2672+P2672*R2672)*U2672*Y2672,0)</f>
        <v>8.1800179200000009</v>
      </c>
      <c r="AB2672" s="403"/>
    </row>
    <row r="2673" spans="1:28">
      <c r="A2673" s="384" t="str">
        <f t="shared" ref="A2673:B2673" si="8566">A2665</f>
        <v>Lantai 2</v>
      </c>
      <c r="B2673" s="385">
        <f t="shared" si="8566"/>
        <v>2</v>
      </c>
      <c r="C2673" s="393" t="s">
        <v>206</v>
      </c>
      <c r="D2673" s="398">
        <f>VLOOKUP(D2665,'Detail Balok'!$C$10:$AU$140,7,FALSE)</f>
        <v>3</v>
      </c>
      <c r="E2673" s="388" t="s">
        <v>16</v>
      </c>
      <c r="F2673" s="388">
        <f>VLOOKUP(D2665,'Detail Balok'!$C$10:$AU$140,9,FALSE)</f>
        <v>16</v>
      </c>
      <c r="G2673" s="388"/>
      <c r="H2673" s="395"/>
      <c r="I2673" s="388" t="s">
        <v>203</v>
      </c>
      <c r="J2673" s="399">
        <f t="shared" ref="J2673" si="8567">+D2667/2/1000</f>
        <v>2.0874999999999999</v>
      </c>
      <c r="K2673" s="400" t="s">
        <v>204</v>
      </c>
      <c r="L2673" s="399"/>
      <c r="M2673" s="399" t="s">
        <v>176</v>
      </c>
      <c r="N2673" s="399">
        <f t="shared" si="8560"/>
        <v>2.0874999999999999</v>
      </c>
      <c r="O2673" s="399" t="s">
        <v>204</v>
      </c>
      <c r="P2673" s="389">
        <f t="shared" ref="P2673" si="8568">MAX(D2673-D2672,D2673-D2674)</f>
        <v>-1</v>
      </c>
      <c r="Q2673" s="399" t="s">
        <v>125</v>
      </c>
      <c r="R2673" s="399">
        <f t="shared" ref="R2673" si="8569">IF(P2673&gt;0,2*(1-2*$F$19-1/2)*D2668/1000,0)</f>
        <v>0</v>
      </c>
      <c r="S2673" s="399" t="s">
        <v>205</v>
      </c>
      <c r="T2673" s="399" t="s">
        <v>125</v>
      </c>
      <c r="U2673" s="401">
        <f t="shared" si="8563"/>
        <v>1.5782400000000001</v>
      </c>
      <c r="V2673" s="399"/>
      <c r="W2673" s="399"/>
      <c r="X2673" s="399" t="s">
        <v>125</v>
      </c>
      <c r="Y2673" s="389">
        <f t="shared" ref="Y2673" si="8570">D2671</f>
        <v>1</v>
      </c>
      <c r="Z2673" s="400" t="s">
        <v>176</v>
      </c>
      <c r="AA2673" s="402">
        <f t="shared" ref="AA2673" si="8571">IF(AA2675=0,(D2673*N2673+P2673*R2673)*U2673*Y2673,0)</f>
        <v>9.8837279999999996</v>
      </c>
      <c r="AB2673" s="403"/>
    </row>
    <row r="2674" spans="1:28">
      <c r="A2674" s="384" t="str">
        <f t="shared" ref="A2674:B2674" si="8572">A2665</f>
        <v>Lantai 2</v>
      </c>
      <c r="B2674" s="385">
        <f t="shared" si="8572"/>
        <v>2</v>
      </c>
      <c r="C2674" s="393" t="s">
        <v>202</v>
      </c>
      <c r="D2674" s="398">
        <f>VLOOKUP(D2665,'Detail Balok'!$C$10:$AU$140,10,FALSE)</f>
        <v>4</v>
      </c>
      <c r="E2674" s="388" t="s">
        <v>16</v>
      </c>
      <c r="F2674" s="388">
        <f>VLOOKUP(D2665,'Detail Balok'!$C$10:$AU$140,12,FALSE)</f>
        <v>16</v>
      </c>
      <c r="G2674" s="388"/>
      <c r="H2674" s="395"/>
      <c r="I2674" s="388" t="s">
        <v>203</v>
      </c>
      <c r="J2674" s="399">
        <f t="shared" ref="J2674" si="8573">+D2667/4/1000</f>
        <v>1.04375</v>
      </c>
      <c r="K2674" s="400" t="s">
        <v>204</v>
      </c>
      <c r="L2674" s="399">
        <f t="shared" ref="L2674" si="8574">MAX(VLOOKUP(F2674,N$6:P$15,3,FALSE)/1000,2/3*D2669/1000)+F$16*F2674/1000</f>
        <v>0.192</v>
      </c>
      <c r="M2674" s="399" t="s">
        <v>176</v>
      </c>
      <c r="N2674" s="399">
        <f t="shared" si="8560"/>
        <v>1.2357499999999999</v>
      </c>
      <c r="O2674" s="399" t="s">
        <v>204</v>
      </c>
      <c r="P2674" s="389">
        <f t="shared" ref="P2674" si="8575">D2674-D2673</f>
        <v>1</v>
      </c>
      <c r="Q2674" s="399" t="s">
        <v>125</v>
      </c>
      <c r="R2674" s="399">
        <f t="shared" ref="R2674" si="8576">IF(P2674&gt;0,$F$18*F2674/1000,0)</f>
        <v>0.24</v>
      </c>
      <c r="S2674" s="399" t="s">
        <v>205</v>
      </c>
      <c r="T2674" s="399" t="s">
        <v>125</v>
      </c>
      <c r="U2674" s="401">
        <f t="shared" si="8563"/>
        <v>1.5782400000000001</v>
      </c>
      <c r="V2674" s="399"/>
      <c r="W2674" s="399"/>
      <c r="X2674" s="399" t="s">
        <v>125</v>
      </c>
      <c r="Y2674" s="389">
        <f t="shared" ref="Y2674" si="8577">D2671</f>
        <v>1</v>
      </c>
      <c r="Z2674" s="400" t="s">
        <v>176</v>
      </c>
      <c r="AA2674" s="402">
        <f t="shared" ref="AA2674" si="8578">IF(AA2675=0,(D2674*N2674+P2674*R2674)*U2674*Y2674,0)</f>
        <v>8.1800179200000009</v>
      </c>
      <c r="AB2674" s="403"/>
    </row>
    <row r="2675" spans="1:28">
      <c r="A2675" s="384" t="str">
        <f t="shared" ref="A2675:B2675" si="8579">A2665</f>
        <v>Lantai 2</v>
      </c>
      <c r="B2675" s="385">
        <f t="shared" si="8579"/>
        <v>2</v>
      </c>
      <c r="C2675" s="393"/>
      <c r="D2675" s="398">
        <f t="shared" si="8382"/>
        <v>0</v>
      </c>
      <c r="E2675" s="388" t="s">
        <v>16</v>
      </c>
      <c r="F2675" s="388">
        <f t="shared" si="8383"/>
        <v>16</v>
      </c>
      <c r="G2675" s="388"/>
      <c r="H2675" s="395"/>
      <c r="I2675" s="388"/>
      <c r="J2675" s="396"/>
      <c r="K2675" s="396"/>
      <c r="L2675" s="404" t="s">
        <v>207</v>
      </c>
      <c r="M2675" s="399" t="s">
        <v>176</v>
      </c>
      <c r="N2675" s="399">
        <f t="shared" ref="N2675" si="8580">IF(AND(D2672=D2673,D2672=D2674,D2673=D2674,F2672=F2673,F2672=F2674,F2673=F2674),SUM(N2672:N2674),0)</f>
        <v>0</v>
      </c>
      <c r="O2675" s="399" t="s">
        <v>204</v>
      </c>
      <c r="P2675" s="389">
        <f t="shared" ref="P2675" si="8581">IF(N2675&gt;12,ROUNDDOWN(N2675/12,0),0)</f>
        <v>0</v>
      </c>
      <c r="Q2675" s="399" t="s">
        <v>125</v>
      </c>
      <c r="R2675" s="399">
        <f t="shared" ref="R2675" si="8582">IF(P2675&gt;0,MAX(VLOOKUP(F2675,$D$6:$G$15,3,FALSE),600),0)/1000</f>
        <v>0</v>
      </c>
      <c r="S2675" s="396"/>
      <c r="T2675" s="396" t="s">
        <v>125</v>
      </c>
      <c r="U2675" s="401">
        <f t="shared" si="8387"/>
        <v>1.5782400000000001</v>
      </c>
      <c r="V2675" s="396" t="s">
        <v>125</v>
      </c>
      <c r="W2675" s="399">
        <f t="shared" ref="W2675" si="8583">D2675</f>
        <v>0</v>
      </c>
      <c r="X2675" s="399" t="s">
        <v>125</v>
      </c>
      <c r="Y2675" s="389">
        <f t="shared" si="8389"/>
        <v>1</v>
      </c>
      <c r="Z2675" s="400" t="s">
        <v>176</v>
      </c>
      <c r="AA2675" s="402">
        <f t="shared" ref="AA2675" si="8584">(N2675+P2675*R2675/1000)*U2675*W2675*Y2675</f>
        <v>0</v>
      </c>
      <c r="AB2675" s="390"/>
    </row>
    <row r="2676" spans="1:28">
      <c r="A2676" s="384"/>
      <c r="B2676" s="385"/>
      <c r="C2676" s="393"/>
      <c r="D2676" s="398"/>
      <c r="E2676" s="388"/>
      <c r="F2676" s="388"/>
      <c r="G2676" s="388"/>
      <c r="H2676" s="395"/>
      <c r="I2676" s="388"/>
      <c r="J2676" s="396"/>
      <c r="K2676" s="396"/>
      <c r="L2676" s="404"/>
      <c r="M2676" s="399"/>
      <c r="N2676" s="399"/>
      <c r="O2676" s="396"/>
      <c r="P2676" s="389"/>
      <c r="Q2676" s="396"/>
      <c r="R2676" s="396"/>
      <c r="S2676" s="396"/>
      <c r="T2676" s="396"/>
      <c r="U2676" s="401"/>
      <c r="V2676" s="396"/>
      <c r="W2676" s="399"/>
      <c r="X2676" s="396"/>
      <c r="Y2676" s="389"/>
      <c r="Z2676" s="396"/>
      <c r="AA2676" s="388"/>
      <c r="AB2676" s="390"/>
    </row>
    <row r="2677" spans="1:28">
      <c r="A2677" s="384" t="str">
        <f t="shared" ref="A2677:B2677" si="8585">A2665</f>
        <v>Lantai 2</v>
      </c>
      <c r="B2677" s="385">
        <f t="shared" si="8585"/>
        <v>2</v>
      </c>
      <c r="C2677" s="393" t="s">
        <v>208</v>
      </c>
      <c r="D2677" s="398">
        <f>VLOOKUP(D2665,'Detail Balok'!$C$10:$AU$140,13,FALSE)</f>
        <v>2</v>
      </c>
      <c r="E2677" s="388" t="s">
        <v>16</v>
      </c>
      <c r="F2677" s="388">
        <f>VLOOKUP(D2665,'Detail Balok'!$C$10:$AU$140,15,FALSE)</f>
        <v>10</v>
      </c>
      <c r="G2677" s="388"/>
      <c r="H2677" s="395"/>
      <c r="I2677" s="388"/>
      <c r="J2677" s="399">
        <f t="shared" ref="J2677" si="8586">+D2667/1000</f>
        <v>4.1749999999999998</v>
      </c>
      <c r="K2677" s="400" t="s">
        <v>204</v>
      </c>
      <c r="L2677" s="399">
        <f t="shared" ref="L2677" si="8587">2*$F$16*F2677/1000</f>
        <v>0.24</v>
      </c>
      <c r="M2677" s="399" t="s">
        <v>176</v>
      </c>
      <c r="N2677" s="399">
        <f t="shared" ref="N2677" si="8588">J2677+L2677</f>
        <v>4.415</v>
      </c>
      <c r="O2677" s="399" t="s">
        <v>204</v>
      </c>
      <c r="P2677" s="389">
        <f t="shared" ref="P2677" si="8589">IF(N2677&gt;12,ROUNDDOWN(N2677/12,0),0)</f>
        <v>0</v>
      </c>
      <c r="Q2677" s="399" t="s">
        <v>125</v>
      </c>
      <c r="R2677" s="399">
        <f t="shared" ref="R2677" si="8590">IF(P2677&gt;0,MAX(VLOOKUP(F2677,$D$6:$G$15,3,FALSE),600),0)/1000</f>
        <v>0</v>
      </c>
      <c r="S2677" s="399"/>
      <c r="T2677" s="399" t="s">
        <v>125</v>
      </c>
      <c r="U2677" s="401">
        <f t="shared" ref="U2677" si="8591">0.006165*F2677^2</f>
        <v>0.61650000000000005</v>
      </c>
      <c r="V2677" s="399" t="s">
        <v>125</v>
      </c>
      <c r="W2677" s="399">
        <f t="shared" ref="W2677" si="8592">+D2677</f>
        <v>2</v>
      </c>
      <c r="X2677" s="399" t="s">
        <v>125</v>
      </c>
      <c r="Y2677" s="389">
        <f t="shared" ref="Y2677" si="8593">D2671</f>
        <v>1</v>
      </c>
      <c r="Z2677" s="400" t="s">
        <v>176</v>
      </c>
      <c r="AA2677" s="402">
        <f t="shared" ref="AA2677" si="8594">(N2677+P2677*R2677/1000)*U2677*W2677*Y2677</f>
        <v>5.4436950000000008</v>
      </c>
      <c r="AB2677" s="403"/>
    </row>
    <row r="2678" spans="1:28">
      <c r="A2678" s="384"/>
      <c r="B2678" s="385"/>
      <c r="C2678" s="393"/>
      <c r="D2678" s="398"/>
      <c r="E2678" s="388"/>
      <c r="F2678" s="388"/>
      <c r="G2678" s="388"/>
      <c r="H2678" s="395"/>
      <c r="I2678" s="388"/>
      <c r="J2678" s="399"/>
      <c r="K2678" s="400"/>
      <c r="L2678" s="399"/>
      <c r="M2678" s="399"/>
      <c r="N2678" s="399"/>
      <c r="O2678" s="399"/>
      <c r="P2678" s="389"/>
      <c r="Q2678" s="399"/>
      <c r="R2678" s="399"/>
      <c r="S2678" s="399"/>
      <c r="T2678" s="399"/>
      <c r="U2678" s="401"/>
      <c r="V2678" s="399"/>
      <c r="W2678" s="399"/>
      <c r="X2678" s="399"/>
      <c r="Y2678" s="389"/>
      <c r="Z2678" s="400"/>
      <c r="AA2678" s="402"/>
      <c r="AB2678" s="403"/>
    </row>
    <row r="2679" spans="1:28">
      <c r="A2679" s="384"/>
      <c r="B2679" s="385"/>
      <c r="C2679" s="393"/>
      <c r="D2679" s="398"/>
      <c r="E2679" s="388"/>
      <c r="F2679" s="388"/>
      <c r="G2679" s="388"/>
      <c r="H2679" s="395"/>
      <c r="I2679" s="388"/>
      <c r="J2679" s="396"/>
      <c r="K2679" s="396"/>
      <c r="L2679" s="396"/>
      <c r="M2679" s="396"/>
      <c r="N2679" s="396"/>
      <c r="O2679" s="396"/>
      <c r="P2679" s="389"/>
      <c r="Q2679" s="396"/>
      <c r="R2679" s="396"/>
      <c r="S2679" s="396"/>
      <c r="T2679" s="396"/>
      <c r="U2679" s="401"/>
      <c r="V2679" s="396"/>
      <c r="W2679" s="399"/>
      <c r="X2679" s="396"/>
      <c r="Y2679" s="389"/>
      <c r="Z2679" s="396"/>
      <c r="AA2679" s="388"/>
      <c r="AB2679" s="390"/>
    </row>
    <row r="2680" spans="1:28">
      <c r="A2680" s="384" t="str">
        <f t="shared" ref="A2680:B2680" si="8595">A2665</f>
        <v>Lantai 2</v>
      </c>
      <c r="B2680" s="385">
        <f t="shared" si="8595"/>
        <v>2</v>
      </c>
      <c r="C2680" s="393" t="s">
        <v>209</v>
      </c>
      <c r="D2680" s="398">
        <f>VLOOKUP(D2665,'Detail Balok'!$C$10:$AU$140,22,FALSE)</f>
        <v>3</v>
      </c>
      <c r="E2680" s="388" t="s">
        <v>16</v>
      </c>
      <c r="F2680" s="388">
        <f>VLOOKUP(D2665,'Detail Balok'!$C$10:$AU$140,24,FALSE)</f>
        <v>16</v>
      </c>
      <c r="G2680" s="388"/>
      <c r="H2680" s="395"/>
      <c r="I2680" s="388" t="s">
        <v>203</v>
      </c>
      <c r="J2680" s="399">
        <f t="shared" si="8402"/>
        <v>1.04375</v>
      </c>
      <c r="K2680" s="400" t="s">
        <v>204</v>
      </c>
      <c r="L2680" s="399">
        <f t="shared" ref="L2680" si="8596">MAX(VLOOKUP(F2680,N$6:P$15,3,FALSE)/1000,2/3*D2670/1000)+F$16*F2680/1000</f>
        <v>0.192</v>
      </c>
      <c r="M2680" s="399" t="s">
        <v>176</v>
      </c>
      <c r="N2680" s="399">
        <f t="shared" ref="N2680:N2682" si="8597">J2680+L2680</f>
        <v>1.2357499999999999</v>
      </c>
      <c r="O2680" s="399" t="s">
        <v>204</v>
      </c>
      <c r="P2680" s="389">
        <f t="shared" ref="P2680" si="8598">D2680-D2681</f>
        <v>-1</v>
      </c>
      <c r="Q2680" s="399" t="s">
        <v>125</v>
      </c>
      <c r="R2680" s="399">
        <f t="shared" ref="R2680" si="8599">IF(P2680&gt;0,$F$18*F2680/1000,0)</f>
        <v>0</v>
      </c>
      <c r="S2680" s="399" t="s">
        <v>205</v>
      </c>
      <c r="T2680" s="399" t="s">
        <v>125</v>
      </c>
      <c r="U2680" s="401">
        <f t="shared" ref="U2680:U2682" si="8600">0.006165*F2680^2</f>
        <v>1.5782400000000001</v>
      </c>
      <c r="V2680" s="399"/>
      <c r="W2680" s="399"/>
      <c r="X2680" s="399" t="s">
        <v>125</v>
      </c>
      <c r="Y2680" s="389">
        <f t="shared" ref="Y2680" si="8601">D2671</f>
        <v>1</v>
      </c>
      <c r="Z2680" s="400" t="s">
        <v>176</v>
      </c>
      <c r="AA2680" s="402">
        <f t="shared" ref="AA2680" si="8602">IF(AA2683=0,(D2680*N2680+P2680*R2680)*U2680*Y2680,0)</f>
        <v>5.8509302400000003</v>
      </c>
      <c r="AB2680" s="403"/>
    </row>
    <row r="2681" spans="1:28">
      <c r="A2681" s="384" t="str">
        <f t="shared" ref="A2681:B2681" si="8603">A2665</f>
        <v>Lantai 2</v>
      </c>
      <c r="B2681" s="385">
        <f t="shared" si="8603"/>
        <v>2</v>
      </c>
      <c r="C2681" s="393" t="s">
        <v>210</v>
      </c>
      <c r="D2681" s="398">
        <f>VLOOKUP(D2665,'Detail Balok'!$C$10:$AU$140,25,FALSE)</f>
        <v>4</v>
      </c>
      <c r="E2681" s="388" t="s">
        <v>16</v>
      </c>
      <c r="F2681" s="388">
        <f>VLOOKUP(D2665,'Detail Balok'!$C$10:$AU$140,27,FALSE)</f>
        <v>16</v>
      </c>
      <c r="G2681" s="388"/>
      <c r="H2681" s="395"/>
      <c r="I2681" s="388" t="s">
        <v>203</v>
      </c>
      <c r="J2681" s="399">
        <f t="shared" si="8402"/>
        <v>2.0874999999999999</v>
      </c>
      <c r="K2681" s="400" t="s">
        <v>204</v>
      </c>
      <c r="L2681" s="399"/>
      <c r="M2681" s="399" t="s">
        <v>176</v>
      </c>
      <c r="N2681" s="399">
        <f t="shared" si="8597"/>
        <v>2.0874999999999999</v>
      </c>
      <c r="O2681" s="399" t="s">
        <v>204</v>
      </c>
      <c r="P2681" s="389">
        <f t="shared" ref="P2681" si="8604">MAX(D2681-D2680,D2681-D2682)</f>
        <v>1</v>
      </c>
      <c r="Q2681" s="399" t="s">
        <v>125</v>
      </c>
      <c r="R2681" s="399">
        <f t="shared" ref="R2681" si="8605">IF(P2681&gt;0,2*(1-2*$F$19-1/2)*D2668/1000,0)</f>
        <v>0.83499999999999974</v>
      </c>
      <c r="S2681" s="399" t="s">
        <v>205</v>
      </c>
      <c r="T2681" s="399" t="s">
        <v>125</v>
      </c>
      <c r="U2681" s="401">
        <f t="shared" si="8600"/>
        <v>1.5782400000000001</v>
      </c>
      <c r="V2681" s="399"/>
      <c r="W2681" s="399"/>
      <c r="X2681" s="399" t="s">
        <v>125</v>
      </c>
      <c r="Y2681" s="389">
        <f t="shared" ref="Y2681" si="8606">D2671</f>
        <v>1</v>
      </c>
      <c r="Z2681" s="400" t="s">
        <v>176</v>
      </c>
      <c r="AA2681" s="402">
        <f t="shared" ref="AA2681" si="8607">IF(AA2683=0,(D2681*N2681+P2681*R2681)*U2681*Y2681,0)</f>
        <v>14.496134399999999</v>
      </c>
      <c r="AB2681" s="403"/>
    </row>
    <row r="2682" spans="1:28">
      <c r="A2682" s="384" t="str">
        <f t="shared" ref="A2682:B2682" si="8608">A2665</f>
        <v>Lantai 2</v>
      </c>
      <c r="B2682" s="385">
        <f t="shared" si="8608"/>
        <v>2</v>
      </c>
      <c r="C2682" s="393" t="s">
        <v>209</v>
      </c>
      <c r="D2682" s="398">
        <f>VLOOKUP(D2665,'Detail Balok'!$C$10:$AU$140,28,FALSE)</f>
        <v>3</v>
      </c>
      <c r="E2682" s="388" t="s">
        <v>16</v>
      </c>
      <c r="F2682" s="388">
        <f>VLOOKUP(D2665,'Detail Balok'!$C$10:$AU$140,30,FALSE)</f>
        <v>16</v>
      </c>
      <c r="G2682" s="388"/>
      <c r="H2682" s="395"/>
      <c r="I2682" s="388" t="s">
        <v>203</v>
      </c>
      <c r="J2682" s="399">
        <f t="shared" si="8402"/>
        <v>1.04375</v>
      </c>
      <c r="K2682" s="400" t="s">
        <v>204</v>
      </c>
      <c r="L2682" s="399">
        <f t="shared" ref="L2682" si="8609">MAX(VLOOKUP(F2682,N$6:P$15,3,FALSE)/1000,2/3*D2670/1000)+F$16*F2682/1000</f>
        <v>0.192</v>
      </c>
      <c r="M2682" s="399" t="s">
        <v>176</v>
      </c>
      <c r="N2682" s="399">
        <f t="shared" si="8597"/>
        <v>1.2357499999999999</v>
      </c>
      <c r="O2682" s="399" t="s">
        <v>204</v>
      </c>
      <c r="P2682" s="389">
        <f t="shared" ref="P2682" si="8610">D2682-D2681</f>
        <v>-1</v>
      </c>
      <c r="Q2682" s="399" t="s">
        <v>125</v>
      </c>
      <c r="R2682" s="399">
        <f t="shared" ref="R2682" si="8611">IF(P2682&gt;0,$F$18*F2682/1000,0)</f>
        <v>0</v>
      </c>
      <c r="S2682" s="399" t="s">
        <v>205</v>
      </c>
      <c r="T2682" s="399" t="s">
        <v>125</v>
      </c>
      <c r="U2682" s="401">
        <f t="shared" si="8600"/>
        <v>1.5782400000000001</v>
      </c>
      <c r="V2682" s="399"/>
      <c r="W2682" s="399"/>
      <c r="X2682" s="399" t="s">
        <v>125</v>
      </c>
      <c r="Y2682" s="389">
        <f t="shared" ref="Y2682" si="8612">D2671</f>
        <v>1</v>
      </c>
      <c r="Z2682" s="400" t="s">
        <v>176</v>
      </c>
      <c r="AA2682" s="402">
        <f t="shared" ref="AA2682" si="8613">IF(AA2683=0,(D2682*N2682+P2682*R2682)*U2682*Y2682,0)</f>
        <v>5.8509302400000003</v>
      </c>
      <c r="AB2682" s="403"/>
    </row>
    <row r="2683" spans="1:28">
      <c r="A2683" s="384" t="str">
        <f t="shared" ref="A2683:B2683" si="8614">A2665</f>
        <v>Lantai 2</v>
      </c>
      <c r="B2683" s="385">
        <f t="shared" si="8614"/>
        <v>2</v>
      </c>
      <c r="C2683" s="393"/>
      <c r="D2683" s="398">
        <f t="shared" si="8422"/>
        <v>0</v>
      </c>
      <c r="E2683" s="388" t="s">
        <v>16</v>
      </c>
      <c r="F2683" s="388">
        <f t="shared" si="8423"/>
        <v>16</v>
      </c>
      <c r="G2683" s="388"/>
      <c r="H2683" s="395"/>
      <c r="I2683" s="388"/>
      <c r="J2683" s="396"/>
      <c r="K2683" s="396"/>
      <c r="L2683" s="404" t="s">
        <v>207</v>
      </c>
      <c r="M2683" s="399" t="s">
        <v>176</v>
      </c>
      <c r="N2683" s="399">
        <f t="shared" ref="N2683" si="8615">IF(AND(D2680=D2681,D2680=D2682,D2681=D2682,F2680=F2681,F2680=F2682,F2681=F2682),SUM(N2680:N2682),0)</f>
        <v>0</v>
      </c>
      <c r="O2683" s="399" t="s">
        <v>204</v>
      </c>
      <c r="P2683" s="389">
        <f t="shared" ref="P2683" si="8616">IF(N2683&gt;12,ROUNDDOWN(N2683/12,0),0)</f>
        <v>0</v>
      </c>
      <c r="Q2683" s="399" t="s">
        <v>125</v>
      </c>
      <c r="R2683" s="399">
        <f t="shared" ref="R2683" si="8617">IF(P2683&gt;0,MAX(VLOOKUP(F2683,$D$6:$G$15,3,FALSE),600),0)/1000</f>
        <v>0</v>
      </c>
      <c r="S2683" s="396"/>
      <c r="T2683" s="396" t="s">
        <v>125</v>
      </c>
      <c r="U2683" s="401">
        <f t="shared" si="8427"/>
        <v>1.5782400000000001</v>
      </c>
      <c r="V2683" s="396" t="s">
        <v>125</v>
      </c>
      <c r="W2683" s="399">
        <f t="shared" ref="W2683" si="8618">D2683</f>
        <v>0</v>
      </c>
      <c r="X2683" s="399" t="s">
        <v>125</v>
      </c>
      <c r="Y2683" s="389">
        <f t="shared" si="8429"/>
        <v>1</v>
      </c>
      <c r="Z2683" s="400" t="s">
        <v>176</v>
      </c>
      <c r="AA2683" s="402">
        <f t="shared" ref="AA2683" si="8619">(N2683+P2683*R2683/1000)*U2683*W2683*Y2683</f>
        <v>0</v>
      </c>
      <c r="AB2683" s="403"/>
    </row>
    <row r="2684" spans="1:28">
      <c r="A2684" s="384"/>
      <c r="B2684" s="385"/>
      <c r="C2684" s="393"/>
      <c r="D2684" s="394"/>
      <c r="E2684" s="388"/>
      <c r="F2684" s="388"/>
      <c r="G2684" s="388"/>
      <c r="H2684" s="395"/>
      <c r="I2684" s="388"/>
      <c r="J2684" s="399"/>
      <c r="K2684" s="396"/>
      <c r="L2684" s="396"/>
      <c r="M2684" s="396"/>
      <c r="N2684" s="396"/>
      <c r="O2684" s="396"/>
      <c r="P2684" s="389"/>
      <c r="Q2684" s="396"/>
      <c r="R2684" s="396"/>
      <c r="S2684" s="396"/>
      <c r="T2684" s="396"/>
      <c r="U2684" s="401"/>
      <c r="V2684" s="396"/>
      <c r="W2684" s="388"/>
      <c r="X2684" s="396"/>
      <c r="Y2684" s="389"/>
      <c r="Z2684" s="396"/>
      <c r="AA2684" s="388"/>
      <c r="AB2684" s="390"/>
    </row>
    <row r="2685" spans="1:28">
      <c r="A2685" s="384" t="str">
        <f t="shared" ref="A2685:B2685" si="8620">A2665</f>
        <v>Lantai 2</v>
      </c>
      <c r="B2685" s="385">
        <f t="shared" si="8620"/>
        <v>2</v>
      </c>
      <c r="C2685" s="393" t="s">
        <v>211</v>
      </c>
      <c r="D2685" s="398">
        <f>VLOOKUP(D2665,'Detail Balok'!$C$10:$AU$140,31,FALSE)</f>
        <v>0</v>
      </c>
      <c r="E2685" s="388" t="s">
        <v>16</v>
      </c>
      <c r="F2685" s="388">
        <f>VLOOKUP(D2665,'Detail Balok'!$C$10:$AU$140,33,FALSE)</f>
        <v>10</v>
      </c>
      <c r="G2685" s="405" t="s">
        <v>157</v>
      </c>
      <c r="H2685" s="395">
        <f>VLOOKUP(D2665,'Detail Balok'!$C$10:$AU$140,35,FALSE)</f>
        <v>100</v>
      </c>
      <c r="I2685" s="388"/>
      <c r="J2685" s="400">
        <f t="shared" ref="J2685" si="8621">(IF(D2685=0,(2*(D2666+G2666))-(F$5*8),IF(D2685=3,(2*(D2666+G2666))-(F$5*8)+(G2666-2*F$5),IF(D2685=4,(2*(D2666+G2666))-(F$5*8)+2*(G2666-2*F$5)))))/1000</f>
        <v>1.28</v>
      </c>
      <c r="K2685" s="400" t="s">
        <v>204</v>
      </c>
      <c r="L2685" s="399">
        <f t="shared" ref="L2685:L2687" si="8622">IF(D2685=0,2*MAX(6*F2685,75),(D2685-1)*2*MAX(6*F2685,75))/1000</f>
        <v>0.15</v>
      </c>
      <c r="M2685" s="399" t="s">
        <v>176</v>
      </c>
      <c r="N2685" s="399">
        <f t="shared" ref="N2685:N2687" si="8623">J2685+L2685</f>
        <v>1.43</v>
      </c>
      <c r="O2685" s="399"/>
      <c r="P2685" s="389"/>
      <c r="Q2685" s="399"/>
      <c r="R2685" s="399"/>
      <c r="S2685" s="399"/>
      <c r="T2685" s="399" t="s">
        <v>125</v>
      </c>
      <c r="U2685" s="401">
        <f t="shared" ref="U2685:U2687" si="8624">0.006165*F2685^2</f>
        <v>0.61650000000000005</v>
      </c>
      <c r="V2685" s="399" t="s">
        <v>125</v>
      </c>
      <c r="W2685" s="399">
        <f t="shared" ref="W2685" si="8625">IF(D2668&gt;4*G2666,ROUND(MAX(D2668/4,2*G2666)/H2685,0)+1,ROUND(D2668/H2685,0)+1)</f>
        <v>13</v>
      </c>
      <c r="X2685" s="399" t="s">
        <v>125</v>
      </c>
      <c r="Y2685" s="389">
        <f t="shared" ref="Y2685" si="8626">D2671</f>
        <v>1</v>
      </c>
      <c r="Z2685" s="400" t="s">
        <v>176</v>
      </c>
      <c r="AA2685" s="402">
        <f t="shared" ref="AA2685:AA2687" si="8627">N2685*U2685*W2685*Y2685</f>
        <v>11.460735</v>
      </c>
      <c r="AB2685" s="403"/>
    </row>
    <row r="2686" spans="1:28">
      <c r="A2686" s="384" t="str">
        <f t="shared" ref="A2686:B2686" si="8628">A2665</f>
        <v>Lantai 2</v>
      </c>
      <c r="B2686" s="385">
        <f t="shared" si="8628"/>
        <v>2</v>
      </c>
      <c r="C2686" s="393" t="s">
        <v>212</v>
      </c>
      <c r="D2686" s="398">
        <f>VLOOKUP(D2665,'Detail Balok'!$C$10:$AU$140,36,FALSE)</f>
        <v>0</v>
      </c>
      <c r="E2686" s="388" t="s">
        <v>16</v>
      </c>
      <c r="F2686" s="388">
        <f>VLOOKUP(D2665,'Detail Balok'!$C$10:$AU$140,38,FALSE)</f>
        <v>10</v>
      </c>
      <c r="G2686" s="405" t="s">
        <v>157</v>
      </c>
      <c r="H2686" s="395">
        <f>VLOOKUP(D2665,'Detail Balok'!$C$10:$AU$140,40,FALSE)</f>
        <v>150</v>
      </c>
      <c r="I2686" s="388"/>
      <c r="J2686" s="400">
        <f t="shared" ref="J2686" si="8629">(IF(D2686=0,(2*(D2666+G2666))-(F$5*8),IF(D2686=3,(2*(D2666+G2666))-(F$5*8)+(G2666-2*F$5),IF(D2686=4,(2*(D2666+G2666))-(F$5*8)+2*(G2666-2*F$5)))))/1000</f>
        <v>1.28</v>
      </c>
      <c r="K2686" s="400" t="s">
        <v>204</v>
      </c>
      <c r="L2686" s="399">
        <f t="shared" si="8622"/>
        <v>0.15</v>
      </c>
      <c r="M2686" s="399" t="s">
        <v>176</v>
      </c>
      <c r="N2686" s="399">
        <f t="shared" si="8623"/>
        <v>1.43</v>
      </c>
      <c r="O2686" s="399"/>
      <c r="P2686" s="389"/>
      <c r="Q2686" s="399"/>
      <c r="R2686" s="399"/>
      <c r="S2686" s="399"/>
      <c r="T2686" s="399" t="s">
        <v>125</v>
      </c>
      <c r="U2686" s="401">
        <f t="shared" si="8624"/>
        <v>0.61650000000000005</v>
      </c>
      <c r="V2686" s="399" t="s">
        <v>125</v>
      </c>
      <c r="W2686" s="399">
        <f t="shared" ref="W2686" si="8630">IF(D2668-MAX(D2668/4,2*G2666)*2&gt;0,ROUND((D2668-MAX(D2668/4,2*G2666)*2)/H2686,0),0)</f>
        <v>12</v>
      </c>
      <c r="X2686" s="399" t="s">
        <v>125</v>
      </c>
      <c r="Y2686" s="389">
        <f t="shared" ref="Y2686" si="8631">D2671</f>
        <v>1</v>
      </c>
      <c r="Z2686" s="400" t="s">
        <v>176</v>
      </c>
      <c r="AA2686" s="402">
        <f t="shared" si="8627"/>
        <v>10.579140000000001</v>
      </c>
      <c r="AB2686" s="403"/>
    </row>
    <row r="2687" spans="1:28">
      <c r="A2687" s="384" t="str">
        <f t="shared" ref="A2687:B2687" si="8632">A2665</f>
        <v>Lantai 2</v>
      </c>
      <c r="B2687" s="385">
        <f t="shared" si="8632"/>
        <v>2</v>
      </c>
      <c r="C2687" s="393" t="s">
        <v>211</v>
      </c>
      <c r="D2687" s="398">
        <f>VLOOKUP(D2665,'Detail Balok'!$C$10:$AU$140,41,FALSE)</f>
        <v>0</v>
      </c>
      <c r="E2687" s="388" t="s">
        <v>16</v>
      </c>
      <c r="F2687" s="388">
        <f>VLOOKUP(D2665,'Detail Balok'!$C$10:$AU$140,43,FALSE)</f>
        <v>10</v>
      </c>
      <c r="G2687" s="405" t="s">
        <v>157</v>
      </c>
      <c r="H2687" s="395">
        <f>VLOOKUP(D2665,'Detail Balok'!$C$10:$AU$140,45,FALSE)</f>
        <v>100</v>
      </c>
      <c r="I2687" s="388"/>
      <c r="J2687" s="400">
        <f t="shared" ref="J2687" si="8633">(IF(D2687=0,(2*(D2666+G2666))-(F$5*8),IF(D2687=3,(2*(D2666+G2666))-(F$5*8)+(G2666-2*F$5),IF(D2687=4,(2*(D2666+G2666))-(F$5*8)+2*(G2666-2*F$5)))))/1000</f>
        <v>1.28</v>
      </c>
      <c r="K2687" s="400" t="s">
        <v>204</v>
      </c>
      <c r="L2687" s="399">
        <f t="shared" si="8622"/>
        <v>0.15</v>
      </c>
      <c r="M2687" s="399" t="s">
        <v>176</v>
      </c>
      <c r="N2687" s="399">
        <f t="shared" si="8623"/>
        <v>1.43</v>
      </c>
      <c r="O2687" s="399"/>
      <c r="P2687" s="389"/>
      <c r="Q2687" s="399"/>
      <c r="R2687" s="399"/>
      <c r="S2687" s="399"/>
      <c r="T2687" s="399" t="s">
        <v>125</v>
      </c>
      <c r="U2687" s="401">
        <f t="shared" si="8624"/>
        <v>0.61650000000000005</v>
      </c>
      <c r="V2687" s="399" t="s">
        <v>125</v>
      </c>
      <c r="W2687" s="399">
        <f t="shared" ref="W2687" si="8634">IF(D2668&gt;4*G2666,ROUND(MAX(D2668/4,2*G2666)/H2687,0)+1,0)</f>
        <v>13</v>
      </c>
      <c r="X2687" s="399" t="s">
        <v>125</v>
      </c>
      <c r="Y2687" s="389">
        <f t="shared" ref="Y2687" si="8635">D2671</f>
        <v>1</v>
      </c>
      <c r="Z2687" s="400" t="s">
        <v>176</v>
      </c>
      <c r="AA2687" s="402">
        <f t="shared" si="8627"/>
        <v>11.460735</v>
      </c>
      <c r="AB2687" s="403"/>
    </row>
    <row r="2688" spans="1:28">
      <c r="A2688" s="384"/>
      <c r="B2688" s="385"/>
      <c r="C2688" s="393"/>
      <c r="D2688" s="394"/>
      <c r="E2688" s="388"/>
      <c r="F2688" s="388"/>
      <c r="G2688" s="388"/>
      <c r="H2688" s="395"/>
      <c r="I2688" s="388"/>
      <c r="J2688" s="399"/>
      <c r="K2688" s="396"/>
      <c r="L2688" s="396"/>
      <c r="M2688" s="396"/>
      <c r="N2688" s="396"/>
      <c r="O2688" s="396"/>
      <c r="P2688" s="389"/>
      <c r="Q2688" s="396"/>
      <c r="R2688" s="396"/>
      <c r="S2688" s="396"/>
      <c r="T2688" s="396"/>
      <c r="U2688" s="401"/>
      <c r="V2688" s="396"/>
      <c r="W2688" s="388"/>
      <c r="X2688" s="396"/>
      <c r="Y2688" s="389"/>
      <c r="Z2688" s="396"/>
      <c r="AA2688" s="388"/>
      <c r="AB2688" s="390"/>
    </row>
    <row r="2689" spans="1:28">
      <c r="A2689" s="384" t="str">
        <f t="shared" ref="A2689:B2689" si="8636">A2665</f>
        <v>Lantai 2</v>
      </c>
      <c r="B2689" s="385">
        <f t="shared" si="8636"/>
        <v>2</v>
      </c>
      <c r="C2689" s="393" t="s">
        <v>213</v>
      </c>
      <c r="D2689" s="398">
        <f>VLOOKUP(D2665,'Detail Balok'!$C$10:$BJ$140,46,FALSE)</f>
        <v>0</v>
      </c>
      <c r="E2689" s="388" t="s">
        <v>16</v>
      </c>
      <c r="F2689" s="388">
        <f>VLOOKUP(D2665,'Detail Balok'!$C$10:$BJ$140,48,FALSE)</f>
        <v>0</v>
      </c>
      <c r="G2689" s="405" t="s">
        <v>157</v>
      </c>
      <c r="H2689" s="395">
        <f>VLOOKUP(D2665,'Detail Balok'!$C$10:$BJ$140,50,FALSE)</f>
        <v>100</v>
      </c>
      <c r="I2689" s="388"/>
      <c r="J2689" s="399">
        <f t="shared" ref="J2689" si="8637">(D2666-2*F$5)/1000</f>
        <v>0.12</v>
      </c>
      <c r="K2689" s="400" t="s">
        <v>204</v>
      </c>
      <c r="L2689" s="399">
        <f t="shared" ref="L2689:L2691" si="8638">IF(D2689=0,2*MAX(6*F2689,75),(D2689-1)*2*MAX(6*F2689,75))/1000</f>
        <v>0.15</v>
      </c>
      <c r="M2689" s="399" t="s">
        <v>176</v>
      </c>
      <c r="N2689" s="399">
        <f t="shared" ref="N2689:N2691" si="8639">J2689+L2689</f>
        <v>0.27</v>
      </c>
      <c r="O2689" s="399"/>
      <c r="P2689" s="399"/>
      <c r="Q2689" s="399"/>
      <c r="R2689" s="399"/>
      <c r="S2689" s="399"/>
      <c r="T2689" s="399" t="s">
        <v>125</v>
      </c>
      <c r="U2689" s="401">
        <f t="shared" ref="U2689:U2691" si="8640">0.006165*F2689^2</f>
        <v>0</v>
      </c>
      <c r="V2689" s="399" t="s">
        <v>125</v>
      </c>
      <c r="W2689" s="399">
        <f t="shared" si="8452"/>
        <v>13</v>
      </c>
      <c r="X2689" s="399" t="s">
        <v>125</v>
      </c>
      <c r="Y2689" s="389">
        <f t="shared" ref="Y2689" si="8641">D2675</f>
        <v>0</v>
      </c>
      <c r="Z2689" s="400" t="s">
        <v>176</v>
      </c>
      <c r="AA2689" s="402">
        <f t="shared" ref="AA2689:AA2691" si="8642">N2689*U2689*W2689*Y2689</f>
        <v>0</v>
      </c>
      <c r="AB2689" s="403"/>
    </row>
    <row r="2690" spans="1:28">
      <c r="A2690" s="384" t="str">
        <f t="shared" ref="A2690:B2690" si="8643">A2665</f>
        <v>Lantai 2</v>
      </c>
      <c r="B2690" s="385">
        <f t="shared" si="8643"/>
        <v>2</v>
      </c>
      <c r="C2690" s="393" t="s">
        <v>214</v>
      </c>
      <c r="D2690" s="398">
        <f>VLOOKUP(D2665,'Detail Balok'!$C$10:$BJ$140,51,FALSE)</f>
        <v>0</v>
      </c>
      <c r="E2690" s="388" t="s">
        <v>16</v>
      </c>
      <c r="F2690" s="388">
        <f>VLOOKUP(D2665,'Detail Balok'!$C$10:$BJ$140,53,FALSE)</f>
        <v>0</v>
      </c>
      <c r="G2690" s="405" t="s">
        <v>157</v>
      </c>
      <c r="H2690" s="395">
        <f>VLOOKUP(D2665,'Detail Balok'!$C$10:$BJ$140,55,FALSE)</f>
        <v>100</v>
      </c>
      <c r="I2690" s="388"/>
      <c r="J2690" s="399">
        <f t="shared" ref="J2690" si="8644">(D2666-2*F$5)/1000</f>
        <v>0.12</v>
      </c>
      <c r="K2690" s="400" t="s">
        <v>204</v>
      </c>
      <c r="L2690" s="399">
        <f t="shared" si="8638"/>
        <v>0.15</v>
      </c>
      <c r="M2690" s="399" t="s">
        <v>176</v>
      </c>
      <c r="N2690" s="399">
        <f t="shared" si="8639"/>
        <v>0.27</v>
      </c>
      <c r="O2690" s="399"/>
      <c r="P2690" s="399"/>
      <c r="Q2690" s="399"/>
      <c r="R2690" s="399"/>
      <c r="S2690" s="399"/>
      <c r="T2690" s="399" t="s">
        <v>125</v>
      </c>
      <c r="U2690" s="401">
        <f t="shared" si="8640"/>
        <v>0</v>
      </c>
      <c r="V2690" s="399" t="s">
        <v>125</v>
      </c>
      <c r="W2690" s="399">
        <f t="shared" si="8452"/>
        <v>12</v>
      </c>
      <c r="X2690" s="399" t="s">
        <v>125</v>
      </c>
      <c r="Y2690" s="389">
        <f t="shared" ref="Y2690" si="8645">D2675</f>
        <v>0</v>
      </c>
      <c r="Z2690" s="400" t="s">
        <v>176</v>
      </c>
      <c r="AA2690" s="402">
        <f t="shared" si="8642"/>
        <v>0</v>
      </c>
      <c r="AB2690" s="403"/>
    </row>
    <row r="2691" spans="1:28">
      <c r="A2691" s="384" t="str">
        <f t="shared" ref="A2691:B2691" si="8646">A2665</f>
        <v>Lantai 2</v>
      </c>
      <c r="B2691" s="385">
        <f t="shared" si="8646"/>
        <v>2</v>
      </c>
      <c r="C2691" s="393" t="s">
        <v>213</v>
      </c>
      <c r="D2691" s="398">
        <f>VLOOKUP(D2665,'Detail Balok'!$C$10:$BJ$140,56,FALSE)</f>
        <v>0</v>
      </c>
      <c r="E2691" s="388" t="s">
        <v>16</v>
      </c>
      <c r="F2691" s="388">
        <f>VLOOKUP(D2665,'Detail Balok'!$C$10:$BJ$140,58,FALSE)</f>
        <v>0</v>
      </c>
      <c r="G2691" s="405" t="s">
        <v>157</v>
      </c>
      <c r="H2691" s="395">
        <f>VLOOKUP(D2665,'Detail Balok'!$C$10:$BJ$140,60,FALSE)</f>
        <v>100</v>
      </c>
      <c r="I2691" s="388"/>
      <c r="J2691" s="399">
        <f t="shared" ref="J2691" si="8647">(D2666-2*F$5)/1000</f>
        <v>0.12</v>
      </c>
      <c r="K2691" s="400" t="s">
        <v>204</v>
      </c>
      <c r="L2691" s="399">
        <f t="shared" si="8638"/>
        <v>0.15</v>
      </c>
      <c r="M2691" s="399" t="s">
        <v>176</v>
      </c>
      <c r="N2691" s="399">
        <f t="shared" si="8639"/>
        <v>0.27</v>
      </c>
      <c r="O2691" s="399"/>
      <c r="P2691" s="399"/>
      <c r="Q2691" s="399"/>
      <c r="R2691" s="399"/>
      <c r="S2691" s="399"/>
      <c r="T2691" s="399" t="s">
        <v>125</v>
      </c>
      <c r="U2691" s="401">
        <f t="shared" si="8640"/>
        <v>0</v>
      </c>
      <c r="V2691" s="399" t="s">
        <v>125</v>
      </c>
      <c r="W2691" s="399">
        <f t="shared" si="8452"/>
        <v>13</v>
      </c>
      <c r="X2691" s="399" t="s">
        <v>125</v>
      </c>
      <c r="Y2691" s="389">
        <f t="shared" ref="Y2691" si="8648">D2675</f>
        <v>0</v>
      </c>
      <c r="Z2691" s="400" t="s">
        <v>176</v>
      </c>
      <c r="AA2691" s="402">
        <f t="shared" si="8642"/>
        <v>0</v>
      </c>
      <c r="AB2691" s="403"/>
    </row>
    <row r="2692" spans="1:28">
      <c r="A2692" s="391"/>
      <c r="B2692" s="392"/>
      <c r="C2692" s="392"/>
      <c r="D2692" s="394"/>
      <c r="E2692" s="388"/>
      <c r="F2692" s="388"/>
      <c r="G2692" s="388"/>
      <c r="H2692" s="395"/>
      <c r="I2692" s="388"/>
      <c r="J2692" s="402"/>
      <c r="K2692" s="388"/>
      <c r="L2692" s="388"/>
      <c r="M2692" s="388"/>
      <c r="N2692" s="388"/>
      <c r="O2692" s="388"/>
      <c r="P2692" s="388"/>
      <c r="Q2692" s="388"/>
      <c r="R2692" s="388"/>
      <c r="S2692" s="388"/>
      <c r="T2692" s="388"/>
      <c r="U2692" s="388"/>
      <c r="V2692" s="388"/>
      <c r="W2692" s="388"/>
      <c r="X2692" s="388"/>
      <c r="Y2692" s="389"/>
      <c r="Z2692" s="388"/>
      <c r="AA2692" s="402"/>
      <c r="AB2692" s="403"/>
    </row>
    <row r="2693" spans="1:28" ht="15.75" thickBot="1">
      <c r="A2693" s="406"/>
      <c r="B2693" s="407"/>
      <c r="C2693" s="407"/>
      <c r="D2693" s="408"/>
      <c r="E2693" s="409"/>
      <c r="F2693" s="409"/>
      <c r="G2693" s="409"/>
      <c r="H2693" s="410"/>
      <c r="I2693" s="409"/>
      <c r="J2693" s="409"/>
      <c r="K2693" s="409"/>
      <c r="L2693" s="409"/>
      <c r="M2693" s="409"/>
      <c r="N2693" s="409"/>
      <c r="O2693" s="409"/>
      <c r="P2693" s="409"/>
      <c r="Q2693" s="409"/>
      <c r="R2693" s="409"/>
      <c r="S2693" s="409"/>
      <c r="T2693" s="409"/>
      <c r="U2693" s="409"/>
      <c r="V2693" s="409"/>
      <c r="W2693" s="409"/>
      <c r="X2693" s="409"/>
      <c r="Y2693" s="411"/>
      <c r="Z2693" s="409"/>
      <c r="AA2693" s="412"/>
      <c r="AB2693" s="413"/>
    </row>
    <row r="2694" spans="1:28">
      <c r="A2694" s="377"/>
      <c r="B2694" s="378"/>
      <c r="C2694" s="378"/>
      <c r="D2694" s="379"/>
      <c r="E2694" s="380"/>
      <c r="F2694" s="380"/>
      <c r="G2694" s="380"/>
      <c r="H2694" s="381"/>
      <c r="I2694" s="380"/>
      <c r="J2694" s="380"/>
      <c r="K2694" s="380"/>
      <c r="L2694" s="380"/>
      <c r="M2694" s="380"/>
      <c r="N2694" s="380"/>
      <c r="O2694" s="380"/>
      <c r="P2694" s="380"/>
      <c r="Q2694" s="380"/>
      <c r="R2694" s="380"/>
      <c r="S2694" s="380"/>
      <c r="T2694" s="380"/>
      <c r="U2694" s="380"/>
      <c r="V2694" s="380"/>
      <c r="W2694" s="380"/>
      <c r="X2694" s="380"/>
      <c r="Y2694" s="382"/>
      <c r="Z2694" s="380"/>
      <c r="AA2694" s="380"/>
      <c r="AB2694" s="383"/>
    </row>
    <row r="2695" spans="1:28">
      <c r="A2695" s="384" t="str">
        <f t="shared" si="8554"/>
        <v>Lantai 2</v>
      </c>
      <c r="B2695" s="385">
        <f t="shared" si="8555"/>
        <v>3</v>
      </c>
      <c r="C2695" s="386" t="str">
        <f t="shared" ref="C2695" si="8649">CONCATENATE(A2695," no. ",B2695)</f>
        <v>Lantai 2 no. 3</v>
      </c>
      <c r="D2695" s="2562" t="str">
        <f>VLOOKUP(C2695,'Data Panjang Balok'!$C$9:$N$254,2,FALSE)</f>
        <v>B4-1</v>
      </c>
      <c r="E2695" s="2576"/>
      <c r="F2695" s="2576"/>
      <c r="G2695" s="2576"/>
      <c r="H2695" s="2577"/>
      <c r="I2695" s="387"/>
      <c r="J2695" s="388"/>
      <c r="K2695" s="388"/>
      <c r="L2695" s="388"/>
      <c r="M2695" s="388"/>
      <c r="N2695" s="388"/>
      <c r="O2695" s="388"/>
      <c r="P2695" s="388"/>
      <c r="Q2695" s="388"/>
      <c r="R2695" s="388"/>
      <c r="S2695" s="388"/>
      <c r="T2695" s="388"/>
      <c r="U2695" s="388"/>
      <c r="V2695" s="388"/>
      <c r="W2695" s="388"/>
      <c r="X2695" s="388"/>
      <c r="Y2695" s="389"/>
      <c r="Z2695" s="388"/>
      <c r="AA2695" s="388"/>
      <c r="AB2695" s="390"/>
    </row>
    <row r="2696" spans="1:28">
      <c r="A2696" s="391"/>
      <c r="B2696" s="392"/>
      <c r="C2696" s="393" t="s">
        <v>118</v>
      </c>
      <c r="D2696" s="2578">
        <f>VLOOKUP(D2695,'Detail Balok'!$C$10:$AU$140,2,FALSE)</f>
        <v>130</v>
      </c>
      <c r="E2696" s="2579"/>
      <c r="F2696" s="388" t="s">
        <v>125</v>
      </c>
      <c r="G2696" s="2579">
        <f>VLOOKUP(D2695,'Detail Balok'!$C$10:$AU$140,3,FALSE)</f>
        <v>400</v>
      </c>
      <c r="H2696" s="2580"/>
      <c r="I2696" s="388"/>
      <c r="J2696" s="396"/>
      <c r="K2696" s="396"/>
      <c r="L2696" s="396"/>
      <c r="M2696" s="396"/>
      <c r="N2696" s="396"/>
      <c r="O2696" s="396"/>
      <c r="P2696" s="396"/>
      <c r="Q2696" s="396"/>
      <c r="R2696" s="396"/>
      <c r="S2696" s="396"/>
      <c r="T2696" s="396"/>
      <c r="U2696" s="388"/>
      <c r="V2696" s="396"/>
      <c r="W2696" s="388"/>
      <c r="X2696" s="396"/>
      <c r="Y2696" s="389"/>
      <c r="Z2696" s="396"/>
      <c r="AA2696" s="388"/>
      <c r="AB2696" s="390"/>
    </row>
    <row r="2697" spans="1:28">
      <c r="A2697" s="391"/>
      <c r="B2697" s="392"/>
      <c r="C2697" s="393" t="s">
        <v>198</v>
      </c>
      <c r="D2697" s="2562">
        <f>VLOOKUP(C2695,'Data Panjang Balok'!$C$9:$N$254,4,FALSE)</f>
        <v>11000</v>
      </c>
      <c r="E2697" s="2563"/>
      <c r="F2697" s="2563"/>
      <c r="G2697" s="2563"/>
      <c r="H2697" s="2564"/>
      <c r="I2697" s="397"/>
      <c r="J2697" s="396"/>
      <c r="K2697" s="396"/>
      <c r="L2697" s="396"/>
      <c r="M2697" s="396"/>
      <c r="N2697" s="396"/>
      <c r="O2697" s="396"/>
      <c r="P2697" s="396"/>
      <c r="Q2697" s="396"/>
      <c r="R2697" s="396"/>
      <c r="S2697" s="396"/>
      <c r="T2697" s="396"/>
      <c r="U2697" s="388"/>
      <c r="V2697" s="396"/>
      <c r="W2697" s="388"/>
      <c r="X2697" s="396"/>
      <c r="Y2697" s="389"/>
      <c r="Z2697" s="396"/>
      <c r="AA2697" s="388"/>
      <c r="AB2697" s="390"/>
    </row>
    <row r="2698" spans="1:28">
      <c r="A2698" s="391"/>
      <c r="B2698" s="392"/>
      <c r="C2698" s="393" t="s">
        <v>199</v>
      </c>
      <c r="D2698" s="2562">
        <f>VLOOKUP(C2695,'Data Panjang Balok'!$C$9:$N$254,7,FALSE)</f>
        <v>11000</v>
      </c>
      <c r="E2698" s="2563"/>
      <c r="F2698" s="2563"/>
      <c r="G2698" s="2563"/>
      <c r="H2698" s="2564"/>
      <c r="I2698" s="397"/>
      <c r="J2698" s="396"/>
      <c r="K2698" s="396"/>
      <c r="L2698" s="396"/>
      <c r="M2698" s="396"/>
      <c r="N2698" s="396"/>
      <c r="O2698" s="396"/>
      <c r="P2698" s="396"/>
      <c r="Q2698" s="396"/>
      <c r="R2698" s="396"/>
      <c r="S2698" s="396"/>
      <c r="T2698" s="396"/>
      <c r="U2698" s="388"/>
      <c r="V2698" s="396"/>
      <c r="W2698" s="388"/>
      <c r="X2698" s="396"/>
      <c r="Y2698" s="389"/>
      <c r="Z2698" s="396"/>
      <c r="AA2698" s="388"/>
      <c r="AB2698" s="390"/>
    </row>
    <row r="2699" spans="1:28">
      <c r="A2699" s="391"/>
      <c r="B2699" s="392"/>
      <c r="C2699" s="393" t="s">
        <v>200</v>
      </c>
      <c r="D2699" s="2562">
        <f>VLOOKUP(C2695,'Data Panjang Balok'!$C$9:$N$254,9,FALSE)</f>
        <v>0</v>
      </c>
      <c r="E2699" s="2563"/>
      <c r="F2699" s="2563"/>
      <c r="G2699" s="2563"/>
      <c r="H2699" s="2564"/>
      <c r="I2699" s="397"/>
      <c r="J2699" s="396"/>
      <c r="K2699" s="396"/>
      <c r="L2699" s="396"/>
      <c r="M2699" s="396"/>
      <c r="N2699" s="396"/>
      <c r="O2699" s="396"/>
      <c r="P2699" s="396"/>
      <c r="Q2699" s="396"/>
      <c r="R2699" s="396"/>
      <c r="S2699" s="396"/>
      <c r="T2699" s="396"/>
      <c r="U2699" s="388"/>
      <c r="V2699" s="396"/>
      <c r="W2699" s="388"/>
      <c r="X2699" s="396"/>
      <c r="Y2699" s="389"/>
      <c r="Z2699" s="396"/>
      <c r="AA2699" s="388"/>
      <c r="AB2699" s="390"/>
    </row>
    <row r="2700" spans="1:28">
      <c r="A2700" s="391"/>
      <c r="B2700" s="392"/>
      <c r="C2700" s="393" t="s">
        <v>201</v>
      </c>
      <c r="D2700" s="2562">
        <f>VLOOKUP(C2695,'Data Panjang Balok'!$C$9:$N$254,10,FALSE)</f>
        <v>0</v>
      </c>
      <c r="E2700" s="2563"/>
      <c r="F2700" s="2563"/>
      <c r="G2700" s="2563"/>
      <c r="H2700" s="2564"/>
      <c r="I2700" s="397"/>
      <c r="J2700" s="396"/>
      <c r="K2700" s="396"/>
      <c r="L2700" s="396"/>
      <c r="M2700" s="396"/>
      <c r="N2700" s="396"/>
      <c r="O2700" s="396"/>
      <c r="P2700" s="396"/>
      <c r="Q2700" s="396"/>
      <c r="R2700" s="396"/>
      <c r="S2700" s="396"/>
      <c r="T2700" s="396"/>
      <c r="U2700" s="388"/>
      <c r="V2700" s="396"/>
      <c r="W2700" s="388"/>
      <c r="X2700" s="396"/>
      <c r="Y2700" s="389"/>
      <c r="Z2700" s="396"/>
      <c r="AA2700" s="388"/>
      <c r="AB2700" s="390"/>
    </row>
    <row r="2701" spans="1:28">
      <c r="A2701" s="391"/>
      <c r="B2701" s="392"/>
      <c r="C2701" s="393" t="s">
        <v>48</v>
      </c>
      <c r="D2701" s="2562">
        <f>VLOOKUP(C2695,'Data Panjang Balok'!$C$9:$N$254,3,FALSE)</f>
        <v>1</v>
      </c>
      <c r="E2701" s="2563"/>
      <c r="F2701" s="2563"/>
      <c r="G2701" s="2563"/>
      <c r="H2701" s="2564"/>
      <c r="I2701" s="397"/>
      <c r="J2701" s="396"/>
      <c r="K2701" s="396"/>
      <c r="L2701" s="396"/>
      <c r="M2701" s="396"/>
      <c r="N2701" s="396"/>
      <c r="O2701" s="396"/>
      <c r="P2701" s="396"/>
      <c r="Q2701" s="396"/>
      <c r="R2701" s="396"/>
      <c r="S2701" s="396"/>
      <c r="T2701" s="396"/>
      <c r="U2701" s="388"/>
      <c r="V2701" s="396"/>
      <c r="W2701" s="388"/>
      <c r="X2701" s="396"/>
      <c r="Y2701" s="389"/>
      <c r="Z2701" s="396"/>
      <c r="AA2701" s="388"/>
      <c r="AB2701" s="390"/>
    </row>
    <row r="2702" spans="1:28">
      <c r="A2702" s="384" t="str">
        <f t="shared" ref="A2702:B2702" si="8650">A2695</f>
        <v>Lantai 2</v>
      </c>
      <c r="B2702" s="385">
        <f t="shared" si="8650"/>
        <v>3</v>
      </c>
      <c r="C2702" s="393" t="s">
        <v>202</v>
      </c>
      <c r="D2702" s="398">
        <f>VLOOKUP(D2695,'Detail Balok'!$C$10:$AU$140,4,FALSE)</f>
        <v>2</v>
      </c>
      <c r="E2702" s="388" t="s">
        <v>16</v>
      </c>
      <c r="F2702" s="388">
        <f>VLOOKUP(D2695,'Detail Balok'!$C$10:$AU$140,6,FALSE)</f>
        <v>13</v>
      </c>
      <c r="G2702" s="388"/>
      <c r="H2702" s="395"/>
      <c r="I2702" s="388" t="s">
        <v>203</v>
      </c>
      <c r="J2702" s="399">
        <f t="shared" ref="J2702" si="8651">+D2697/4/1000</f>
        <v>2.75</v>
      </c>
      <c r="K2702" s="400" t="s">
        <v>204</v>
      </c>
      <c r="L2702" s="399">
        <f t="shared" ref="L2702" si="8652">MAX(VLOOKUP(F2702,N$6:P$15,3,FALSE)/1000,2/3*D2699/1000)+F$16*F2702/1000</f>
        <v>0.156</v>
      </c>
      <c r="M2702" s="399" t="s">
        <v>176</v>
      </c>
      <c r="N2702" s="399">
        <f t="shared" ref="N2702:N2704" si="8653">J2702+L2702</f>
        <v>2.9060000000000001</v>
      </c>
      <c r="O2702" s="399" t="s">
        <v>204</v>
      </c>
      <c r="P2702" s="389">
        <f t="shared" ref="P2702" si="8654">D2702-D2703</f>
        <v>0</v>
      </c>
      <c r="Q2702" s="399" t="s">
        <v>125</v>
      </c>
      <c r="R2702" s="399">
        <f t="shared" ref="R2702" si="8655">IF(P2702&gt;0,$F$18*F2702/1000,0)</f>
        <v>0</v>
      </c>
      <c r="S2702" s="399" t="s">
        <v>205</v>
      </c>
      <c r="T2702" s="399" t="s">
        <v>125</v>
      </c>
      <c r="U2702" s="401">
        <f t="shared" ref="U2702:U2704" si="8656">0.006165*F2702^2</f>
        <v>1.041885</v>
      </c>
      <c r="V2702" s="399"/>
      <c r="W2702" s="399"/>
      <c r="X2702" s="399" t="s">
        <v>125</v>
      </c>
      <c r="Y2702" s="389">
        <f t="shared" ref="Y2702" si="8657">D2701</f>
        <v>1</v>
      </c>
      <c r="Z2702" s="400" t="s">
        <v>176</v>
      </c>
      <c r="AA2702" s="402">
        <f t="shared" ref="AA2702" si="8658">IF(AA2705=0,(D2702*N2702+P2702*R2702)*U2702*Y2702,0)</f>
        <v>0</v>
      </c>
      <c r="AB2702" s="403"/>
    </row>
    <row r="2703" spans="1:28">
      <c r="A2703" s="384" t="str">
        <f t="shared" ref="A2703:B2703" si="8659">A2695</f>
        <v>Lantai 2</v>
      </c>
      <c r="B2703" s="385">
        <f t="shared" si="8659"/>
        <v>3</v>
      </c>
      <c r="C2703" s="393" t="s">
        <v>206</v>
      </c>
      <c r="D2703" s="398">
        <f>VLOOKUP(D2695,'Detail Balok'!$C$10:$AU$140,7,FALSE)</f>
        <v>2</v>
      </c>
      <c r="E2703" s="388" t="s">
        <v>16</v>
      </c>
      <c r="F2703" s="388">
        <f>VLOOKUP(D2695,'Detail Balok'!$C$10:$AU$140,9,FALSE)</f>
        <v>13</v>
      </c>
      <c r="G2703" s="388"/>
      <c r="H2703" s="395"/>
      <c r="I2703" s="388" t="s">
        <v>203</v>
      </c>
      <c r="J2703" s="399">
        <f t="shared" ref="J2703" si="8660">+D2697/2/1000</f>
        <v>5.5</v>
      </c>
      <c r="K2703" s="400" t="s">
        <v>204</v>
      </c>
      <c r="L2703" s="399"/>
      <c r="M2703" s="399" t="s">
        <v>176</v>
      </c>
      <c r="N2703" s="399">
        <f t="shared" si="8653"/>
        <v>5.5</v>
      </c>
      <c r="O2703" s="399" t="s">
        <v>204</v>
      </c>
      <c r="P2703" s="389">
        <f t="shared" ref="P2703" si="8661">MAX(D2703-D2702,D2703-D2704)</f>
        <v>0</v>
      </c>
      <c r="Q2703" s="399" t="s">
        <v>125</v>
      </c>
      <c r="R2703" s="399">
        <f t="shared" ref="R2703" si="8662">IF(P2703&gt;0,2*(1-2*$F$19-1/2)*D2698/1000,0)</f>
        <v>0</v>
      </c>
      <c r="S2703" s="399" t="s">
        <v>205</v>
      </c>
      <c r="T2703" s="399" t="s">
        <v>125</v>
      </c>
      <c r="U2703" s="401">
        <f t="shared" si="8656"/>
        <v>1.041885</v>
      </c>
      <c r="V2703" s="399"/>
      <c r="W2703" s="399"/>
      <c r="X2703" s="399" t="s">
        <v>125</v>
      </c>
      <c r="Y2703" s="389">
        <f t="shared" ref="Y2703" si="8663">D2701</f>
        <v>1</v>
      </c>
      <c r="Z2703" s="400" t="s">
        <v>176</v>
      </c>
      <c r="AA2703" s="402">
        <f t="shared" ref="AA2703" si="8664">IF(AA2705=0,(D2703*N2703+P2703*R2703)*U2703*Y2703,0)</f>
        <v>0</v>
      </c>
      <c r="AB2703" s="403"/>
    </row>
    <row r="2704" spans="1:28">
      <c r="A2704" s="384" t="str">
        <f t="shared" ref="A2704:B2704" si="8665">A2695</f>
        <v>Lantai 2</v>
      </c>
      <c r="B2704" s="385">
        <f t="shared" si="8665"/>
        <v>3</v>
      </c>
      <c r="C2704" s="393" t="s">
        <v>202</v>
      </c>
      <c r="D2704" s="398">
        <f>VLOOKUP(D2695,'Detail Balok'!$C$10:$AU$140,10,FALSE)</f>
        <v>2</v>
      </c>
      <c r="E2704" s="388" t="s">
        <v>16</v>
      </c>
      <c r="F2704" s="388">
        <f>VLOOKUP(D2695,'Detail Balok'!$C$10:$AU$140,12,FALSE)</f>
        <v>13</v>
      </c>
      <c r="G2704" s="388"/>
      <c r="H2704" s="395"/>
      <c r="I2704" s="388" t="s">
        <v>203</v>
      </c>
      <c r="J2704" s="399">
        <f t="shared" ref="J2704" si="8666">+D2697/4/1000</f>
        <v>2.75</v>
      </c>
      <c r="K2704" s="400" t="s">
        <v>204</v>
      </c>
      <c r="L2704" s="399">
        <f t="shared" ref="L2704" si="8667">MAX(VLOOKUP(F2704,N$6:P$15,3,FALSE)/1000,2/3*D2699/1000)+F$16*F2704/1000</f>
        <v>0.156</v>
      </c>
      <c r="M2704" s="399" t="s">
        <v>176</v>
      </c>
      <c r="N2704" s="399">
        <f t="shared" si="8653"/>
        <v>2.9060000000000001</v>
      </c>
      <c r="O2704" s="399" t="s">
        <v>204</v>
      </c>
      <c r="P2704" s="389">
        <f t="shared" ref="P2704" si="8668">D2704-D2703</f>
        <v>0</v>
      </c>
      <c r="Q2704" s="399" t="s">
        <v>125</v>
      </c>
      <c r="R2704" s="399">
        <f t="shared" ref="R2704" si="8669">IF(P2704&gt;0,$F$18*F2704/1000,0)</f>
        <v>0</v>
      </c>
      <c r="S2704" s="399" t="s">
        <v>205</v>
      </c>
      <c r="T2704" s="399" t="s">
        <v>125</v>
      </c>
      <c r="U2704" s="401">
        <f t="shared" si="8656"/>
        <v>1.041885</v>
      </c>
      <c r="V2704" s="399"/>
      <c r="W2704" s="399"/>
      <c r="X2704" s="399" t="s">
        <v>125</v>
      </c>
      <c r="Y2704" s="389">
        <f t="shared" ref="Y2704" si="8670">D2701</f>
        <v>1</v>
      </c>
      <c r="Z2704" s="400" t="s">
        <v>176</v>
      </c>
      <c r="AA2704" s="402">
        <f t="shared" ref="AA2704" si="8671">IF(AA2705=0,(D2704*N2704+P2704*R2704)*U2704*Y2704,0)</f>
        <v>0</v>
      </c>
      <c r="AB2704" s="403"/>
    </row>
    <row r="2705" spans="1:28">
      <c r="A2705" s="384" t="str">
        <f t="shared" ref="A2705:B2705" si="8672">A2695</f>
        <v>Lantai 2</v>
      </c>
      <c r="B2705" s="385">
        <f t="shared" si="8672"/>
        <v>3</v>
      </c>
      <c r="C2705" s="393"/>
      <c r="D2705" s="398">
        <f t="shared" ref="D2705:D2765" si="8673">IF(AND(D2702=D2703,D2703=D2704,D2702=D2704),D2702,0)</f>
        <v>2</v>
      </c>
      <c r="E2705" s="388" t="s">
        <v>16</v>
      </c>
      <c r="F2705" s="388">
        <f t="shared" ref="F2705:F2765" si="8674">IF(AND(F2702=F2703,F2702=F2704,F2703=F2704),F2702,0)</f>
        <v>13</v>
      </c>
      <c r="G2705" s="388"/>
      <c r="H2705" s="395"/>
      <c r="I2705" s="388"/>
      <c r="J2705" s="396"/>
      <c r="K2705" s="396"/>
      <c r="L2705" s="404" t="s">
        <v>207</v>
      </c>
      <c r="M2705" s="399" t="s">
        <v>176</v>
      </c>
      <c r="N2705" s="399">
        <f t="shared" ref="N2705" si="8675">IF(AND(D2702=D2703,D2702=D2704,D2703=D2704,F2702=F2703,F2702=F2704,F2703=F2704),SUM(N2702:N2704),0)</f>
        <v>11.312000000000001</v>
      </c>
      <c r="O2705" s="399" t="s">
        <v>204</v>
      </c>
      <c r="P2705" s="389">
        <f t="shared" ref="P2705" si="8676">IF(N2705&gt;12,ROUNDDOWN(N2705/12,0),0)</f>
        <v>0</v>
      </c>
      <c r="Q2705" s="399" t="s">
        <v>125</v>
      </c>
      <c r="R2705" s="399">
        <f t="shared" ref="R2705" si="8677">IF(P2705&gt;0,MAX(VLOOKUP(F2705,$D$6:$G$15,3,FALSE),600),0)/1000</f>
        <v>0</v>
      </c>
      <c r="S2705" s="396"/>
      <c r="T2705" s="396" t="s">
        <v>125</v>
      </c>
      <c r="U2705" s="401">
        <f t="shared" ref="U2705:U2765" si="8678">U2704</f>
        <v>1.041885</v>
      </c>
      <c r="V2705" s="396" t="s">
        <v>125</v>
      </c>
      <c r="W2705" s="399">
        <f t="shared" ref="W2705" si="8679">D2705</f>
        <v>2</v>
      </c>
      <c r="X2705" s="399" t="s">
        <v>125</v>
      </c>
      <c r="Y2705" s="389">
        <f t="shared" ref="Y2705:Y2765" si="8680">Y2704</f>
        <v>1</v>
      </c>
      <c r="Z2705" s="400" t="s">
        <v>176</v>
      </c>
      <c r="AA2705" s="402">
        <f t="shared" ref="AA2705" si="8681">(N2705+P2705*R2705/1000)*U2705*W2705*Y2705</f>
        <v>23.571606240000001</v>
      </c>
      <c r="AB2705" s="390"/>
    </row>
    <row r="2706" spans="1:28">
      <c r="A2706" s="384"/>
      <c r="B2706" s="385"/>
      <c r="C2706" s="393"/>
      <c r="D2706" s="398"/>
      <c r="E2706" s="388"/>
      <c r="F2706" s="388"/>
      <c r="G2706" s="388"/>
      <c r="H2706" s="395"/>
      <c r="I2706" s="388"/>
      <c r="J2706" s="396"/>
      <c r="K2706" s="396"/>
      <c r="L2706" s="404"/>
      <c r="M2706" s="399"/>
      <c r="N2706" s="399"/>
      <c r="O2706" s="396"/>
      <c r="P2706" s="389"/>
      <c r="Q2706" s="396"/>
      <c r="R2706" s="396"/>
      <c r="S2706" s="396"/>
      <c r="T2706" s="396"/>
      <c r="U2706" s="401"/>
      <c r="V2706" s="396"/>
      <c r="W2706" s="399"/>
      <c r="X2706" s="396"/>
      <c r="Y2706" s="389"/>
      <c r="Z2706" s="396"/>
      <c r="AA2706" s="388"/>
      <c r="AB2706" s="390"/>
    </row>
    <row r="2707" spans="1:28">
      <c r="A2707" s="384" t="str">
        <f t="shared" ref="A2707:B2707" si="8682">A2695</f>
        <v>Lantai 2</v>
      </c>
      <c r="B2707" s="385">
        <f t="shared" si="8682"/>
        <v>3</v>
      </c>
      <c r="C2707" s="393" t="s">
        <v>208</v>
      </c>
      <c r="D2707" s="398">
        <f>VLOOKUP(D2695,'Detail Balok'!$C$10:$AU$140,13,FALSE)</f>
        <v>0</v>
      </c>
      <c r="E2707" s="388" t="s">
        <v>16</v>
      </c>
      <c r="F2707" s="388">
        <f>VLOOKUP(D2695,'Detail Balok'!$C$10:$AU$140,15,FALSE)</f>
        <v>8</v>
      </c>
      <c r="G2707" s="388"/>
      <c r="H2707" s="395"/>
      <c r="I2707" s="388"/>
      <c r="J2707" s="399">
        <f t="shared" ref="J2707" si="8683">+D2697/1000</f>
        <v>11</v>
      </c>
      <c r="K2707" s="400" t="s">
        <v>204</v>
      </c>
      <c r="L2707" s="399">
        <f t="shared" ref="L2707" si="8684">2*$F$16*F2707/1000</f>
        <v>0.192</v>
      </c>
      <c r="M2707" s="399" t="s">
        <v>176</v>
      </c>
      <c r="N2707" s="399">
        <f t="shared" ref="N2707" si="8685">J2707+L2707</f>
        <v>11.192</v>
      </c>
      <c r="O2707" s="399" t="s">
        <v>204</v>
      </c>
      <c r="P2707" s="389">
        <f t="shared" ref="P2707" si="8686">IF(N2707&gt;12,ROUNDDOWN(N2707/12,0),0)</f>
        <v>0</v>
      </c>
      <c r="Q2707" s="399" t="s">
        <v>125</v>
      </c>
      <c r="R2707" s="399">
        <f t="shared" ref="R2707" si="8687">IF(P2707&gt;0,MAX(VLOOKUP(F2707,$D$6:$G$15,3,FALSE),600),0)/1000</f>
        <v>0</v>
      </c>
      <c r="S2707" s="399"/>
      <c r="T2707" s="399" t="s">
        <v>125</v>
      </c>
      <c r="U2707" s="401">
        <f t="shared" ref="U2707" si="8688">0.006165*F2707^2</f>
        <v>0.39456000000000002</v>
      </c>
      <c r="V2707" s="399" t="s">
        <v>125</v>
      </c>
      <c r="W2707" s="399">
        <f t="shared" ref="W2707" si="8689">+D2707</f>
        <v>0</v>
      </c>
      <c r="X2707" s="399" t="s">
        <v>125</v>
      </c>
      <c r="Y2707" s="389">
        <f t="shared" ref="Y2707" si="8690">D2701</f>
        <v>1</v>
      </c>
      <c r="Z2707" s="400" t="s">
        <v>176</v>
      </c>
      <c r="AA2707" s="402">
        <f t="shared" ref="AA2707" si="8691">(N2707+P2707*R2707/1000)*U2707*W2707*Y2707</f>
        <v>0</v>
      </c>
      <c r="AB2707" s="403"/>
    </row>
    <row r="2708" spans="1:28">
      <c r="A2708" s="384"/>
      <c r="B2708" s="385"/>
      <c r="C2708" s="393"/>
      <c r="D2708" s="398"/>
      <c r="E2708" s="388"/>
      <c r="F2708" s="388"/>
      <c r="G2708" s="388"/>
      <c r="H2708" s="395"/>
      <c r="I2708" s="388"/>
      <c r="J2708" s="399"/>
      <c r="K2708" s="400"/>
      <c r="L2708" s="399"/>
      <c r="M2708" s="399"/>
      <c r="N2708" s="399"/>
      <c r="O2708" s="399"/>
      <c r="P2708" s="389"/>
      <c r="Q2708" s="399"/>
      <c r="R2708" s="399"/>
      <c r="S2708" s="399"/>
      <c r="T2708" s="399"/>
      <c r="U2708" s="401"/>
      <c r="V2708" s="399"/>
      <c r="W2708" s="399"/>
      <c r="X2708" s="399"/>
      <c r="Y2708" s="389"/>
      <c r="Z2708" s="400"/>
      <c r="AA2708" s="402"/>
      <c r="AB2708" s="403"/>
    </row>
    <row r="2709" spans="1:28">
      <c r="A2709" s="384"/>
      <c r="B2709" s="385"/>
      <c r="C2709" s="393"/>
      <c r="D2709" s="398"/>
      <c r="E2709" s="388"/>
      <c r="F2709" s="388"/>
      <c r="G2709" s="388"/>
      <c r="H2709" s="395"/>
      <c r="I2709" s="388"/>
      <c r="J2709" s="396"/>
      <c r="K2709" s="396"/>
      <c r="L2709" s="396"/>
      <c r="M2709" s="396"/>
      <c r="N2709" s="396"/>
      <c r="O2709" s="396"/>
      <c r="P2709" s="389"/>
      <c r="Q2709" s="396"/>
      <c r="R2709" s="396"/>
      <c r="S2709" s="396"/>
      <c r="T2709" s="396"/>
      <c r="U2709" s="401"/>
      <c r="V2709" s="396"/>
      <c r="W2709" s="399"/>
      <c r="X2709" s="396"/>
      <c r="Y2709" s="389"/>
      <c r="Z2709" s="396"/>
      <c r="AA2709" s="388"/>
      <c r="AB2709" s="390"/>
    </row>
    <row r="2710" spans="1:28">
      <c r="A2710" s="384" t="str">
        <f t="shared" ref="A2710:B2710" si="8692">A2695</f>
        <v>Lantai 2</v>
      </c>
      <c r="B2710" s="385">
        <f t="shared" si="8692"/>
        <v>3</v>
      </c>
      <c r="C2710" s="393" t="s">
        <v>209</v>
      </c>
      <c r="D2710" s="398">
        <f>VLOOKUP(D2695,'Detail Balok'!$C$10:$AU$140,22,FALSE)</f>
        <v>2</v>
      </c>
      <c r="E2710" s="388" t="s">
        <v>16</v>
      </c>
      <c r="F2710" s="388">
        <f>VLOOKUP(D2695,'Detail Balok'!$C$10:$AU$140,24,FALSE)</f>
        <v>13</v>
      </c>
      <c r="G2710" s="388"/>
      <c r="H2710" s="395"/>
      <c r="I2710" s="388" t="s">
        <v>203</v>
      </c>
      <c r="J2710" s="399">
        <f t="shared" ref="J2710:J2772" si="8693">+J2702</f>
        <v>2.75</v>
      </c>
      <c r="K2710" s="400" t="s">
        <v>204</v>
      </c>
      <c r="L2710" s="399">
        <f t="shared" ref="L2710" si="8694">MAX(VLOOKUP(F2710,N$6:P$15,3,FALSE)/1000,2/3*D2700/1000)+F$16*F2710/1000</f>
        <v>0.156</v>
      </c>
      <c r="M2710" s="399" t="s">
        <v>176</v>
      </c>
      <c r="N2710" s="399">
        <f t="shared" ref="N2710:N2712" si="8695">J2710+L2710</f>
        <v>2.9060000000000001</v>
      </c>
      <c r="O2710" s="399" t="s">
        <v>204</v>
      </c>
      <c r="P2710" s="389">
        <f t="shared" ref="P2710" si="8696">D2710-D2711</f>
        <v>0</v>
      </c>
      <c r="Q2710" s="399" t="s">
        <v>125</v>
      </c>
      <c r="R2710" s="399">
        <f t="shared" ref="R2710" si="8697">IF(P2710&gt;0,$F$18*F2710/1000,0)</f>
        <v>0</v>
      </c>
      <c r="S2710" s="399" t="s">
        <v>205</v>
      </c>
      <c r="T2710" s="399" t="s">
        <v>125</v>
      </c>
      <c r="U2710" s="401">
        <f t="shared" ref="U2710:U2712" si="8698">0.006165*F2710^2</f>
        <v>1.041885</v>
      </c>
      <c r="V2710" s="399"/>
      <c r="W2710" s="399"/>
      <c r="X2710" s="399" t="s">
        <v>125</v>
      </c>
      <c r="Y2710" s="389">
        <f t="shared" ref="Y2710" si="8699">D2701</f>
        <v>1</v>
      </c>
      <c r="Z2710" s="400" t="s">
        <v>176</v>
      </c>
      <c r="AA2710" s="402">
        <f t="shared" ref="AA2710" si="8700">IF(AA2713=0,(D2710*N2710+P2710*R2710)*U2710*Y2710,0)</f>
        <v>0</v>
      </c>
      <c r="AB2710" s="403"/>
    </row>
    <row r="2711" spans="1:28">
      <c r="A2711" s="384" t="str">
        <f t="shared" ref="A2711:B2711" si="8701">A2695</f>
        <v>Lantai 2</v>
      </c>
      <c r="B2711" s="385">
        <f t="shared" si="8701"/>
        <v>3</v>
      </c>
      <c r="C2711" s="393" t="s">
        <v>210</v>
      </c>
      <c r="D2711" s="398">
        <f>VLOOKUP(D2695,'Detail Balok'!$C$10:$AU$140,25,FALSE)</f>
        <v>2</v>
      </c>
      <c r="E2711" s="388" t="s">
        <v>16</v>
      </c>
      <c r="F2711" s="388">
        <f>VLOOKUP(D2695,'Detail Balok'!$C$10:$AU$140,27,FALSE)</f>
        <v>13</v>
      </c>
      <c r="G2711" s="388"/>
      <c r="H2711" s="395"/>
      <c r="I2711" s="388" t="s">
        <v>203</v>
      </c>
      <c r="J2711" s="399">
        <f t="shared" si="8693"/>
        <v>5.5</v>
      </c>
      <c r="K2711" s="400" t="s">
        <v>204</v>
      </c>
      <c r="L2711" s="399"/>
      <c r="M2711" s="399" t="s">
        <v>176</v>
      </c>
      <c r="N2711" s="399">
        <f t="shared" si="8695"/>
        <v>5.5</v>
      </c>
      <c r="O2711" s="399" t="s">
        <v>204</v>
      </c>
      <c r="P2711" s="389">
        <f t="shared" ref="P2711" si="8702">MAX(D2711-D2710,D2711-D2712)</f>
        <v>0</v>
      </c>
      <c r="Q2711" s="399" t="s">
        <v>125</v>
      </c>
      <c r="R2711" s="399">
        <f t="shared" ref="R2711" si="8703">IF(P2711&gt;0,2*(1-2*$F$19-1/2)*D2698/1000,0)</f>
        <v>0</v>
      </c>
      <c r="S2711" s="399" t="s">
        <v>205</v>
      </c>
      <c r="T2711" s="399" t="s">
        <v>125</v>
      </c>
      <c r="U2711" s="401">
        <f t="shared" si="8698"/>
        <v>1.041885</v>
      </c>
      <c r="V2711" s="399"/>
      <c r="W2711" s="399"/>
      <c r="X2711" s="399" t="s">
        <v>125</v>
      </c>
      <c r="Y2711" s="389">
        <f t="shared" ref="Y2711" si="8704">D2701</f>
        <v>1</v>
      </c>
      <c r="Z2711" s="400" t="s">
        <v>176</v>
      </c>
      <c r="AA2711" s="402">
        <f t="shared" ref="AA2711" si="8705">IF(AA2713=0,(D2711*N2711+P2711*R2711)*U2711*Y2711,0)</f>
        <v>0</v>
      </c>
      <c r="AB2711" s="403"/>
    </row>
    <row r="2712" spans="1:28">
      <c r="A2712" s="384" t="str">
        <f t="shared" ref="A2712:B2712" si="8706">A2695</f>
        <v>Lantai 2</v>
      </c>
      <c r="B2712" s="385">
        <f t="shared" si="8706"/>
        <v>3</v>
      </c>
      <c r="C2712" s="393" t="s">
        <v>209</v>
      </c>
      <c r="D2712" s="398">
        <f>VLOOKUP(D2695,'Detail Balok'!$C$10:$AU$140,28,FALSE)</f>
        <v>2</v>
      </c>
      <c r="E2712" s="388" t="s">
        <v>16</v>
      </c>
      <c r="F2712" s="388">
        <f>VLOOKUP(D2695,'Detail Balok'!$C$10:$AU$140,30,FALSE)</f>
        <v>13</v>
      </c>
      <c r="G2712" s="388"/>
      <c r="H2712" s="395"/>
      <c r="I2712" s="388" t="s">
        <v>203</v>
      </c>
      <c r="J2712" s="399">
        <f t="shared" si="8693"/>
        <v>2.75</v>
      </c>
      <c r="K2712" s="400" t="s">
        <v>204</v>
      </c>
      <c r="L2712" s="399">
        <f t="shared" ref="L2712" si="8707">MAX(VLOOKUP(F2712,N$6:P$15,3,FALSE)/1000,2/3*D2700/1000)+F$16*F2712/1000</f>
        <v>0.156</v>
      </c>
      <c r="M2712" s="399" t="s">
        <v>176</v>
      </c>
      <c r="N2712" s="399">
        <f t="shared" si="8695"/>
        <v>2.9060000000000001</v>
      </c>
      <c r="O2712" s="399" t="s">
        <v>204</v>
      </c>
      <c r="P2712" s="389">
        <f t="shared" ref="P2712" si="8708">D2712-D2711</f>
        <v>0</v>
      </c>
      <c r="Q2712" s="399" t="s">
        <v>125</v>
      </c>
      <c r="R2712" s="399">
        <f t="shared" ref="R2712" si="8709">IF(P2712&gt;0,$F$18*F2712/1000,0)</f>
        <v>0</v>
      </c>
      <c r="S2712" s="399" t="s">
        <v>205</v>
      </c>
      <c r="T2712" s="399" t="s">
        <v>125</v>
      </c>
      <c r="U2712" s="401">
        <f t="shared" si="8698"/>
        <v>1.041885</v>
      </c>
      <c r="V2712" s="399"/>
      <c r="W2712" s="399"/>
      <c r="X2712" s="399" t="s">
        <v>125</v>
      </c>
      <c r="Y2712" s="389">
        <f t="shared" ref="Y2712" si="8710">D2701</f>
        <v>1</v>
      </c>
      <c r="Z2712" s="400" t="s">
        <v>176</v>
      </c>
      <c r="AA2712" s="402">
        <f t="shared" ref="AA2712" si="8711">IF(AA2713=0,(D2712*N2712+P2712*R2712)*U2712*Y2712,0)</f>
        <v>0</v>
      </c>
      <c r="AB2712" s="403"/>
    </row>
    <row r="2713" spans="1:28">
      <c r="A2713" s="384" t="str">
        <f t="shared" ref="A2713:B2713" si="8712">A2695</f>
        <v>Lantai 2</v>
      </c>
      <c r="B2713" s="385">
        <f t="shared" si="8712"/>
        <v>3</v>
      </c>
      <c r="C2713" s="393"/>
      <c r="D2713" s="398">
        <f t="shared" ref="D2713:D2773" si="8713">IF(AND(D2710=D2711,D2711=D2712,D2710=D2712),D2710,0)</f>
        <v>2</v>
      </c>
      <c r="E2713" s="388" t="s">
        <v>16</v>
      </c>
      <c r="F2713" s="388">
        <f t="shared" ref="F2713:F2773" si="8714">IF(AND(F2710=F2711,F2710=F2712,F2711=F2712),F2710,0)</f>
        <v>13</v>
      </c>
      <c r="G2713" s="388"/>
      <c r="H2713" s="395"/>
      <c r="I2713" s="388"/>
      <c r="J2713" s="396"/>
      <c r="K2713" s="396"/>
      <c r="L2713" s="404" t="s">
        <v>207</v>
      </c>
      <c r="M2713" s="399" t="s">
        <v>176</v>
      </c>
      <c r="N2713" s="399">
        <f t="shared" ref="N2713" si="8715">IF(AND(D2710=D2711,D2710=D2712,D2711=D2712,F2710=F2711,F2710=F2712,F2711=F2712),SUM(N2710:N2712),0)</f>
        <v>11.312000000000001</v>
      </c>
      <c r="O2713" s="399" t="s">
        <v>204</v>
      </c>
      <c r="P2713" s="389">
        <f t="shared" ref="P2713" si="8716">IF(N2713&gt;12,ROUNDDOWN(N2713/12,0),0)</f>
        <v>0</v>
      </c>
      <c r="Q2713" s="399" t="s">
        <v>125</v>
      </c>
      <c r="R2713" s="399">
        <f t="shared" ref="R2713" si="8717">IF(P2713&gt;0,MAX(VLOOKUP(F2713,$D$6:$G$15,3,FALSE),600),0)/1000</f>
        <v>0</v>
      </c>
      <c r="S2713" s="396"/>
      <c r="T2713" s="396" t="s">
        <v>125</v>
      </c>
      <c r="U2713" s="401">
        <f t="shared" ref="U2713:U2773" si="8718">U2712</f>
        <v>1.041885</v>
      </c>
      <c r="V2713" s="396" t="s">
        <v>125</v>
      </c>
      <c r="W2713" s="399">
        <f t="shared" ref="W2713" si="8719">D2713</f>
        <v>2</v>
      </c>
      <c r="X2713" s="399" t="s">
        <v>125</v>
      </c>
      <c r="Y2713" s="389">
        <f t="shared" ref="Y2713:Y2773" si="8720">Y2712</f>
        <v>1</v>
      </c>
      <c r="Z2713" s="400" t="s">
        <v>176</v>
      </c>
      <c r="AA2713" s="402">
        <f t="shared" ref="AA2713" si="8721">(N2713+P2713*R2713/1000)*U2713*W2713*Y2713</f>
        <v>23.571606240000001</v>
      </c>
      <c r="AB2713" s="403"/>
    </row>
    <row r="2714" spans="1:28">
      <c r="A2714" s="384"/>
      <c r="B2714" s="385"/>
      <c r="C2714" s="393"/>
      <c r="D2714" s="394"/>
      <c r="E2714" s="388"/>
      <c r="F2714" s="388"/>
      <c r="G2714" s="388"/>
      <c r="H2714" s="395"/>
      <c r="I2714" s="388"/>
      <c r="J2714" s="399"/>
      <c r="K2714" s="396"/>
      <c r="L2714" s="396"/>
      <c r="M2714" s="396"/>
      <c r="N2714" s="396"/>
      <c r="O2714" s="396"/>
      <c r="P2714" s="389"/>
      <c r="Q2714" s="396"/>
      <c r="R2714" s="396"/>
      <c r="S2714" s="396"/>
      <c r="T2714" s="396"/>
      <c r="U2714" s="401"/>
      <c r="V2714" s="396"/>
      <c r="W2714" s="388"/>
      <c r="X2714" s="396"/>
      <c r="Y2714" s="389"/>
      <c r="Z2714" s="396"/>
      <c r="AA2714" s="388"/>
      <c r="AB2714" s="390"/>
    </row>
    <row r="2715" spans="1:28">
      <c r="A2715" s="384" t="str">
        <f t="shared" ref="A2715:B2715" si="8722">A2695</f>
        <v>Lantai 2</v>
      </c>
      <c r="B2715" s="385">
        <f t="shared" si="8722"/>
        <v>3</v>
      </c>
      <c r="C2715" s="393" t="s">
        <v>211</v>
      </c>
      <c r="D2715" s="398">
        <f>VLOOKUP(D2695,'Detail Balok'!$C$10:$AU$140,31,FALSE)</f>
        <v>0</v>
      </c>
      <c r="E2715" s="388" t="s">
        <v>16</v>
      </c>
      <c r="F2715" s="388">
        <f>VLOOKUP(D2695,'Detail Balok'!$C$10:$AU$140,33,FALSE)</f>
        <v>8</v>
      </c>
      <c r="G2715" s="405" t="s">
        <v>157</v>
      </c>
      <c r="H2715" s="395">
        <f>VLOOKUP(D2695,'Detail Balok'!$C$10:$AU$140,35,FALSE)</f>
        <v>150</v>
      </c>
      <c r="I2715" s="388"/>
      <c r="J2715" s="400">
        <f t="shared" ref="J2715" si="8723">(IF(D2715=0,(2*(D2696+G2696))-(F$5*8),IF(D2715=3,(2*(D2696+G2696))-(F$5*8)+(G2696-2*F$5),IF(D2715=4,(2*(D2696+G2696))-(F$5*8)+2*(G2696-2*F$5)))))/1000</f>
        <v>0.74</v>
      </c>
      <c r="K2715" s="400" t="s">
        <v>204</v>
      </c>
      <c r="L2715" s="399">
        <f t="shared" ref="L2715:L2717" si="8724">IF(D2715=0,2*MAX(6*F2715,75),(D2715-1)*2*MAX(6*F2715,75))/1000</f>
        <v>0.15</v>
      </c>
      <c r="M2715" s="399" t="s">
        <v>176</v>
      </c>
      <c r="N2715" s="399">
        <f t="shared" ref="N2715:N2717" si="8725">J2715+L2715</f>
        <v>0.89</v>
      </c>
      <c r="O2715" s="399"/>
      <c r="P2715" s="389"/>
      <c r="Q2715" s="399"/>
      <c r="R2715" s="399"/>
      <c r="S2715" s="399"/>
      <c r="T2715" s="399" t="s">
        <v>125</v>
      </c>
      <c r="U2715" s="401">
        <f t="shared" ref="U2715:U2717" si="8726">0.006165*F2715^2</f>
        <v>0.39456000000000002</v>
      </c>
      <c r="V2715" s="399" t="s">
        <v>125</v>
      </c>
      <c r="W2715" s="399">
        <f t="shared" ref="W2715" si="8727">IF(D2698&gt;4*G2696,ROUND(MAX(D2698/4,2*G2696)/H2715,0)+1,ROUND(D2698/H2715,0)+1)</f>
        <v>19</v>
      </c>
      <c r="X2715" s="399" t="s">
        <v>125</v>
      </c>
      <c r="Y2715" s="389">
        <f t="shared" ref="Y2715" si="8728">D2701</f>
        <v>1</v>
      </c>
      <c r="Z2715" s="400" t="s">
        <v>176</v>
      </c>
      <c r="AA2715" s="402">
        <f t="shared" ref="AA2715:AA2717" si="8729">N2715*U2715*W2715*Y2715</f>
        <v>6.6720096000000009</v>
      </c>
      <c r="AB2715" s="403"/>
    </row>
    <row r="2716" spans="1:28">
      <c r="A2716" s="384" t="str">
        <f t="shared" ref="A2716:B2716" si="8730">A2695</f>
        <v>Lantai 2</v>
      </c>
      <c r="B2716" s="385">
        <f t="shared" si="8730"/>
        <v>3</v>
      </c>
      <c r="C2716" s="393" t="s">
        <v>212</v>
      </c>
      <c r="D2716" s="398">
        <f>VLOOKUP(D2695,'Detail Balok'!$C$10:$AU$140,36,FALSE)</f>
        <v>0</v>
      </c>
      <c r="E2716" s="388" t="s">
        <v>16</v>
      </c>
      <c r="F2716" s="388">
        <f>VLOOKUP(D2695,'Detail Balok'!$C$10:$AU$140,38,FALSE)</f>
        <v>8</v>
      </c>
      <c r="G2716" s="405" t="s">
        <v>157</v>
      </c>
      <c r="H2716" s="395">
        <f>VLOOKUP(D2695,'Detail Balok'!$C$10:$AU$140,40,FALSE)</f>
        <v>200</v>
      </c>
      <c r="I2716" s="388"/>
      <c r="J2716" s="400">
        <f t="shared" ref="J2716" si="8731">(IF(D2716=0,(2*(D2696+G2696))-(F$5*8),IF(D2716=3,(2*(D2696+G2696))-(F$5*8)+(G2696-2*F$5),IF(D2716=4,(2*(D2696+G2696))-(F$5*8)+2*(G2696-2*F$5)))))/1000</f>
        <v>0.74</v>
      </c>
      <c r="K2716" s="400" t="s">
        <v>204</v>
      </c>
      <c r="L2716" s="399">
        <f t="shared" si="8724"/>
        <v>0.15</v>
      </c>
      <c r="M2716" s="399" t="s">
        <v>176</v>
      </c>
      <c r="N2716" s="399">
        <f t="shared" si="8725"/>
        <v>0.89</v>
      </c>
      <c r="O2716" s="399"/>
      <c r="P2716" s="389"/>
      <c r="Q2716" s="399"/>
      <c r="R2716" s="399"/>
      <c r="S2716" s="399"/>
      <c r="T2716" s="399" t="s">
        <v>125</v>
      </c>
      <c r="U2716" s="401">
        <f t="shared" si="8726"/>
        <v>0.39456000000000002</v>
      </c>
      <c r="V2716" s="399" t="s">
        <v>125</v>
      </c>
      <c r="W2716" s="399">
        <f t="shared" ref="W2716" si="8732">IF(D2698-MAX(D2698/4,2*G2696)*2&gt;0,ROUND((D2698-MAX(D2698/4,2*G2696)*2)/H2716,0),0)</f>
        <v>28</v>
      </c>
      <c r="X2716" s="399" t="s">
        <v>125</v>
      </c>
      <c r="Y2716" s="389">
        <f t="shared" ref="Y2716" si="8733">D2701</f>
        <v>1</v>
      </c>
      <c r="Z2716" s="400" t="s">
        <v>176</v>
      </c>
      <c r="AA2716" s="402">
        <f t="shared" si="8729"/>
        <v>9.8324352000000008</v>
      </c>
      <c r="AB2716" s="403"/>
    </row>
    <row r="2717" spans="1:28">
      <c r="A2717" s="384" t="str">
        <f t="shared" ref="A2717:B2717" si="8734">A2695</f>
        <v>Lantai 2</v>
      </c>
      <c r="B2717" s="385">
        <f t="shared" si="8734"/>
        <v>3</v>
      </c>
      <c r="C2717" s="393" t="s">
        <v>211</v>
      </c>
      <c r="D2717" s="398">
        <f>VLOOKUP(D2695,'Detail Balok'!$C$10:$AU$140,41,FALSE)</f>
        <v>0</v>
      </c>
      <c r="E2717" s="388" t="s">
        <v>16</v>
      </c>
      <c r="F2717" s="388">
        <f>VLOOKUP(D2695,'Detail Balok'!$C$10:$AU$140,43,FALSE)</f>
        <v>8</v>
      </c>
      <c r="G2717" s="405" t="s">
        <v>157</v>
      </c>
      <c r="H2717" s="395">
        <f>VLOOKUP(D2695,'Detail Balok'!$C$10:$AU$140,45,FALSE)</f>
        <v>150</v>
      </c>
      <c r="I2717" s="388"/>
      <c r="J2717" s="400">
        <f t="shared" ref="J2717" si="8735">(IF(D2717=0,(2*(D2696+G2696))-(F$5*8),IF(D2717=3,(2*(D2696+G2696))-(F$5*8)+(G2696-2*F$5),IF(D2717=4,(2*(D2696+G2696))-(F$5*8)+2*(G2696-2*F$5)))))/1000</f>
        <v>0.74</v>
      </c>
      <c r="K2717" s="400" t="s">
        <v>204</v>
      </c>
      <c r="L2717" s="399">
        <f t="shared" si="8724"/>
        <v>0.15</v>
      </c>
      <c r="M2717" s="399" t="s">
        <v>176</v>
      </c>
      <c r="N2717" s="399">
        <f t="shared" si="8725"/>
        <v>0.89</v>
      </c>
      <c r="O2717" s="399"/>
      <c r="P2717" s="389"/>
      <c r="Q2717" s="399"/>
      <c r="R2717" s="399"/>
      <c r="S2717" s="399"/>
      <c r="T2717" s="399" t="s">
        <v>125</v>
      </c>
      <c r="U2717" s="401">
        <f t="shared" si="8726"/>
        <v>0.39456000000000002</v>
      </c>
      <c r="V2717" s="399" t="s">
        <v>125</v>
      </c>
      <c r="W2717" s="399">
        <f t="shared" ref="W2717" si="8736">IF(D2698&gt;4*G2696,ROUND(MAX(D2698/4,2*G2696)/H2717,0)+1,0)</f>
        <v>19</v>
      </c>
      <c r="X2717" s="399" t="s">
        <v>125</v>
      </c>
      <c r="Y2717" s="389">
        <f t="shared" ref="Y2717" si="8737">D2701</f>
        <v>1</v>
      </c>
      <c r="Z2717" s="400" t="s">
        <v>176</v>
      </c>
      <c r="AA2717" s="402">
        <f t="shared" si="8729"/>
        <v>6.6720096000000009</v>
      </c>
      <c r="AB2717" s="403"/>
    </row>
    <row r="2718" spans="1:28">
      <c r="A2718" s="384"/>
      <c r="B2718" s="385"/>
      <c r="C2718" s="393"/>
      <c r="D2718" s="394"/>
      <c r="E2718" s="388"/>
      <c r="F2718" s="388"/>
      <c r="G2718" s="388"/>
      <c r="H2718" s="395"/>
      <c r="I2718" s="388"/>
      <c r="J2718" s="399"/>
      <c r="K2718" s="396"/>
      <c r="L2718" s="396"/>
      <c r="M2718" s="396"/>
      <c r="N2718" s="396"/>
      <c r="O2718" s="396"/>
      <c r="P2718" s="389"/>
      <c r="Q2718" s="396"/>
      <c r="R2718" s="396"/>
      <c r="S2718" s="396"/>
      <c r="T2718" s="396"/>
      <c r="U2718" s="401"/>
      <c r="V2718" s="396"/>
      <c r="W2718" s="388"/>
      <c r="X2718" s="396"/>
      <c r="Y2718" s="389"/>
      <c r="Z2718" s="396"/>
      <c r="AA2718" s="388"/>
      <c r="AB2718" s="390"/>
    </row>
    <row r="2719" spans="1:28">
      <c r="A2719" s="384" t="str">
        <f t="shared" ref="A2719:B2719" si="8738">A2695</f>
        <v>Lantai 2</v>
      </c>
      <c r="B2719" s="385">
        <f t="shared" si="8738"/>
        <v>3</v>
      </c>
      <c r="C2719" s="393" t="s">
        <v>213</v>
      </c>
      <c r="D2719" s="398">
        <f>VLOOKUP(D2695,'Detail Balok'!$C$10:$BJ$140,46,FALSE)</f>
        <v>0</v>
      </c>
      <c r="E2719" s="388" t="s">
        <v>16</v>
      </c>
      <c r="F2719" s="388">
        <f>VLOOKUP(D2695,'Detail Balok'!$C$10:$BJ$140,48,FALSE)</f>
        <v>0</v>
      </c>
      <c r="G2719" s="405" t="s">
        <v>157</v>
      </c>
      <c r="H2719" s="395">
        <f>VLOOKUP(D2695,'Detail Balok'!$C$10:$BJ$140,50,FALSE)</f>
        <v>100</v>
      </c>
      <c r="I2719" s="388"/>
      <c r="J2719" s="399">
        <f t="shared" ref="J2719" si="8739">(D2696-2*F$5)/1000</f>
        <v>0.05</v>
      </c>
      <c r="K2719" s="400" t="s">
        <v>204</v>
      </c>
      <c r="L2719" s="399">
        <f t="shared" ref="L2719:L2721" si="8740">IF(D2719=0,2*MAX(6*F2719,75),(D2719-1)*2*MAX(6*F2719,75))/1000</f>
        <v>0.15</v>
      </c>
      <c r="M2719" s="399" t="s">
        <v>176</v>
      </c>
      <c r="N2719" s="399">
        <f t="shared" ref="N2719:N2721" si="8741">J2719+L2719</f>
        <v>0.2</v>
      </c>
      <c r="O2719" s="399"/>
      <c r="P2719" s="399"/>
      <c r="Q2719" s="399"/>
      <c r="R2719" s="399"/>
      <c r="S2719" s="399"/>
      <c r="T2719" s="399" t="s">
        <v>125</v>
      </c>
      <c r="U2719" s="401">
        <f t="shared" ref="U2719:U2721" si="8742">0.006165*F2719^2</f>
        <v>0</v>
      </c>
      <c r="V2719" s="399" t="s">
        <v>125</v>
      </c>
      <c r="W2719" s="399">
        <f t="shared" ref="W2719:W2781" si="8743">W2715</f>
        <v>19</v>
      </c>
      <c r="X2719" s="399" t="s">
        <v>125</v>
      </c>
      <c r="Y2719" s="389">
        <f t="shared" ref="Y2719" si="8744">D2705</f>
        <v>2</v>
      </c>
      <c r="Z2719" s="400" t="s">
        <v>176</v>
      </c>
      <c r="AA2719" s="402">
        <f t="shared" ref="AA2719:AA2721" si="8745">N2719*U2719*W2719*Y2719</f>
        <v>0</v>
      </c>
      <c r="AB2719" s="403"/>
    </row>
    <row r="2720" spans="1:28">
      <c r="A2720" s="384" t="str">
        <f t="shared" ref="A2720:B2720" si="8746">A2695</f>
        <v>Lantai 2</v>
      </c>
      <c r="B2720" s="385">
        <f t="shared" si="8746"/>
        <v>3</v>
      </c>
      <c r="C2720" s="393" t="s">
        <v>214</v>
      </c>
      <c r="D2720" s="398">
        <f>VLOOKUP(D2695,'Detail Balok'!$C$10:$BJ$140,51,FALSE)</f>
        <v>0</v>
      </c>
      <c r="E2720" s="388" t="s">
        <v>16</v>
      </c>
      <c r="F2720" s="388">
        <f>VLOOKUP(D2695,'Detail Balok'!$C$10:$BJ$140,53,FALSE)</f>
        <v>0</v>
      </c>
      <c r="G2720" s="405" t="s">
        <v>157</v>
      </c>
      <c r="H2720" s="395">
        <f>VLOOKUP(D2695,'Detail Balok'!$C$10:$BJ$140,55,FALSE)</f>
        <v>100</v>
      </c>
      <c r="I2720" s="388"/>
      <c r="J2720" s="399">
        <f t="shared" ref="J2720" si="8747">(D2696-2*F$5)/1000</f>
        <v>0.05</v>
      </c>
      <c r="K2720" s="400" t="s">
        <v>204</v>
      </c>
      <c r="L2720" s="399">
        <f t="shared" si="8740"/>
        <v>0.15</v>
      </c>
      <c r="M2720" s="399" t="s">
        <v>176</v>
      </c>
      <c r="N2720" s="399">
        <f t="shared" si="8741"/>
        <v>0.2</v>
      </c>
      <c r="O2720" s="399"/>
      <c r="P2720" s="399"/>
      <c r="Q2720" s="399"/>
      <c r="R2720" s="399"/>
      <c r="S2720" s="399"/>
      <c r="T2720" s="399" t="s">
        <v>125</v>
      </c>
      <c r="U2720" s="401">
        <f t="shared" si="8742"/>
        <v>0</v>
      </c>
      <c r="V2720" s="399" t="s">
        <v>125</v>
      </c>
      <c r="W2720" s="399">
        <f t="shared" si="8743"/>
        <v>28</v>
      </c>
      <c r="X2720" s="399" t="s">
        <v>125</v>
      </c>
      <c r="Y2720" s="389">
        <f t="shared" ref="Y2720" si="8748">D2705</f>
        <v>2</v>
      </c>
      <c r="Z2720" s="400" t="s">
        <v>176</v>
      </c>
      <c r="AA2720" s="402">
        <f t="shared" si="8745"/>
        <v>0</v>
      </c>
      <c r="AB2720" s="403"/>
    </row>
    <row r="2721" spans="1:28">
      <c r="A2721" s="384" t="str">
        <f t="shared" ref="A2721:B2721" si="8749">A2695</f>
        <v>Lantai 2</v>
      </c>
      <c r="B2721" s="385">
        <f t="shared" si="8749"/>
        <v>3</v>
      </c>
      <c r="C2721" s="393" t="s">
        <v>213</v>
      </c>
      <c r="D2721" s="398">
        <f>VLOOKUP(D2695,'Detail Balok'!$C$10:$BJ$140,56,FALSE)</f>
        <v>0</v>
      </c>
      <c r="E2721" s="388" t="s">
        <v>16</v>
      </c>
      <c r="F2721" s="388">
        <f>VLOOKUP(D2695,'Detail Balok'!$C$10:$BJ$140,58,FALSE)</f>
        <v>0</v>
      </c>
      <c r="G2721" s="405" t="s">
        <v>157</v>
      </c>
      <c r="H2721" s="395">
        <f>VLOOKUP(D2695,'Detail Balok'!$C$10:$BJ$140,60,FALSE)</f>
        <v>100</v>
      </c>
      <c r="I2721" s="388"/>
      <c r="J2721" s="399">
        <f t="shared" ref="J2721" si="8750">(D2696-2*F$5)/1000</f>
        <v>0.05</v>
      </c>
      <c r="K2721" s="400" t="s">
        <v>204</v>
      </c>
      <c r="L2721" s="399">
        <f t="shared" si="8740"/>
        <v>0.15</v>
      </c>
      <c r="M2721" s="399" t="s">
        <v>176</v>
      </c>
      <c r="N2721" s="399">
        <f t="shared" si="8741"/>
        <v>0.2</v>
      </c>
      <c r="O2721" s="399"/>
      <c r="P2721" s="399"/>
      <c r="Q2721" s="399"/>
      <c r="R2721" s="399"/>
      <c r="S2721" s="399"/>
      <c r="T2721" s="399" t="s">
        <v>125</v>
      </c>
      <c r="U2721" s="401">
        <f t="shared" si="8742"/>
        <v>0</v>
      </c>
      <c r="V2721" s="399" t="s">
        <v>125</v>
      </c>
      <c r="W2721" s="399">
        <f t="shared" si="8743"/>
        <v>19</v>
      </c>
      <c r="X2721" s="399" t="s">
        <v>125</v>
      </c>
      <c r="Y2721" s="389">
        <f t="shared" ref="Y2721" si="8751">D2705</f>
        <v>2</v>
      </c>
      <c r="Z2721" s="400" t="s">
        <v>176</v>
      </c>
      <c r="AA2721" s="402">
        <f t="shared" si="8745"/>
        <v>0</v>
      </c>
      <c r="AB2721" s="403"/>
    </row>
    <row r="2722" spans="1:28">
      <c r="A2722" s="391"/>
      <c r="B2722" s="392"/>
      <c r="C2722" s="392"/>
      <c r="D2722" s="394"/>
      <c r="E2722" s="388"/>
      <c r="F2722" s="388"/>
      <c r="G2722" s="388"/>
      <c r="H2722" s="395"/>
      <c r="I2722" s="388"/>
      <c r="J2722" s="402"/>
      <c r="K2722" s="388"/>
      <c r="L2722" s="388"/>
      <c r="M2722" s="388"/>
      <c r="N2722" s="388"/>
      <c r="O2722" s="388"/>
      <c r="P2722" s="388"/>
      <c r="Q2722" s="388"/>
      <c r="R2722" s="388"/>
      <c r="S2722" s="388"/>
      <c r="T2722" s="388"/>
      <c r="U2722" s="388"/>
      <c r="V2722" s="388"/>
      <c r="W2722" s="388"/>
      <c r="X2722" s="388"/>
      <c r="Y2722" s="389"/>
      <c r="Z2722" s="388"/>
      <c r="AA2722" s="402"/>
      <c r="AB2722" s="403"/>
    </row>
    <row r="2723" spans="1:28" ht="15.75" thickBot="1">
      <c r="A2723" s="406"/>
      <c r="B2723" s="407"/>
      <c r="C2723" s="407"/>
      <c r="D2723" s="408"/>
      <c r="E2723" s="409"/>
      <c r="F2723" s="409"/>
      <c r="G2723" s="409"/>
      <c r="H2723" s="410"/>
      <c r="I2723" s="409"/>
      <c r="J2723" s="409"/>
      <c r="K2723" s="409"/>
      <c r="L2723" s="409"/>
      <c r="M2723" s="409"/>
      <c r="N2723" s="409"/>
      <c r="O2723" s="409"/>
      <c r="P2723" s="409"/>
      <c r="Q2723" s="409"/>
      <c r="R2723" s="409"/>
      <c r="S2723" s="409"/>
      <c r="T2723" s="409"/>
      <c r="U2723" s="409"/>
      <c r="V2723" s="409"/>
      <c r="W2723" s="409"/>
      <c r="X2723" s="409"/>
      <c r="Y2723" s="411"/>
      <c r="Z2723" s="409"/>
      <c r="AA2723" s="412"/>
      <c r="AB2723" s="413"/>
    </row>
    <row r="2724" spans="1:28">
      <c r="A2724" s="377"/>
      <c r="B2724" s="378"/>
      <c r="C2724" s="378"/>
      <c r="D2724" s="379"/>
      <c r="E2724" s="380"/>
      <c r="F2724" s="380"/>
      <c r="G2724" s="380"/>
      <c r="H2724" s="381"/>
      <c r="I2724" s="380"/>
      <c r="J2724" s="380"/>
      <c r="K2724" s="380"/>
      <c r="L2724" s="380"/>
      <c r="M2724" s="380"/>
      <c r="N2724" s="380"/>
      <c r="O2724" s="380"/>
      <c r="P2724" s="380"/>
      <c r="Q2724" s="380"/>
      <c r="R2724" s="380"/>
      <c r="S2724" s="380"/>
      <c r="T2724" s="380"/>
      <c r="U2724" s="380"/>
      <c r="V2724" s="380"/>
      <c r="W2724" s="380"/>
      <c r="X2724" s="380"/>
      <c r="Y2724" s="382"/>
      <c r="Z2724" s="380"/>
      <c r="AA2724" s="380"/>
      <c r="AB2724" s="383"/>
    </row>
    <row r="2725" spans="1:28">
      <c r="A2725" s="384" t="str">
        <f t="shared" ref="A2725:A2785" si="8752">A2695</f>
        <v>Lantai 2</v>
      </c>
      <c r="B2725" s="385">
        <f t="shared" ref="B2725:B2785" si="8753">B2695+1</f>
        <v>4</v>
      </c>
      <c r="C2725" s="386" t="str">
        <f t="shared" ref="C2725" si="8754">CONCATENATE(A2725," no. ",B2725)</f>
        <v>Lantai 2 no. 4</v>
      </c>
      <c r="D2725" s="2562" t="str">
        <f>VLOOKUP(C2725,'Data Panjang Balok'!$C$9:$N$254,2,FALSE)</f>
        <v>B25-1</v>
      </c>
      <c r="E2725" s="2576"/>
      <c r="F2725" s="2576"/>
      <c r="G2725" s="2576"/>
      <c r="H2725" s="2577"/>
      <c r="I2725" s="387"/>
      <c r="J2725" s="388"/>
      <c r="K2725" s="388"/>
      <c r="L2725" s="388"/>
      <c r="M2725" s="388"/>
      <c r="N2725" s="388"/>
      <c r="O2725" s="388"/>
      <c r="P2725" s="388"/>
      <c r="Q2725" s="388"/>
      <c r="R2725" s="388"/>
      <c r="S2725" s="388"/>
      <c r="T2725" s="388"/>
      <c r="U2725" s="388"/>
      <c r="V2725" s="388"/>
      <c r="W2725" s="388"/>
      <c r="X2725" s="388"/>
      <c r="Y2725" s="389"/>
      <c r="Z2725" s="388"/>
      <c r="AA2725" s="388"/>
      <c r="AB2725" s="390"/>
    </row>
    <row r="2726" spans="1:28">
      <c r="A2726" s="391"/>
      <c r="B2726" s="392"/>
      <c r="C2726" s="393" t="s">
        <v>118</v>
      </c>
      <c r="D2726" s="2578">
        <f>VLOOKUP(D2725,'Detail Balok'!$C$10:$AU$140,2,FALSE)</f>
        <v>200</v>
      </c>
      <c r="E2726" s="2579"/>
      <c r="F2726" s="388" t="s">
        <v>125</v>
      </c>
      <c r="G2726" s="2579">
        <f>VLOOKUP(D2725,'Detail Balok'!$C$10:$AU$140,3,FALSE)</f>
        <v>500</v>
      </c>
      <c r="H2726" s="2580"/>
      <c r="I2726" s="388"/>
      <c r="J2726" s="396"/>
      <c r="K2726" s="396"/>
      <c r="L2726" s="396"/>
      <c r="M2726" s="396"/>
      <c r="N2726" s="396"/>
      <c r="O2726" s="396"/>
      <c r="P2726" s="396"/>
      <c r="Q2726" s="396"/>
      <c r="R2726" s="396"/>
      <c r="S2726" s="396"/>
      <c r="T2726" s="396"/>
      <c r="U2726" s="388"/>
      <c r="V2726" s="396"/>
      <c r="W2726" s="388"/>
      <c r="X2726" s="396"/>
      <c r="Y2726" s="389"/>
      <c r="Z2726" s="396"/>
      <c r="AA2726" s="388"/>
      <c r="AB2726" s="390"/>
    </row>
    <row r="2727" spans="1:28">
      <c r="A2727" s="391"/>
      <c r="B2727" s="392"/>
      <c r="C2727" s="393" t="s">
        <v>198</v>
      </c>
      <c r="D2727" s="2562">
        <f>VLOOKUP(C2725,'Data Panjang Balok'!$C$9:$N$254,4,FALSE)</f>
        <v>9075</v>
      </c>
      <c r="E2727" s="2563"/>
      <c r="F2727" s="2563"/>
      <c r="G2727" s="2563"/>
      <c r="H2727" s="2564"/>
      <c r="I2727" s="397"/>
      <c r="J2727" s="396"/>
      <c r="K2727" s="396"/>
      <c r="L2727" s="396"/>
      <c r="M2727" s="396"/>
      <c r="N2727" s="396"/>
      <c r="O2727" s="396"/>
      <c r="P2727" s="396"/>
      <c r="Q2727" s="396"/>
      <c r="R2727" s="396"/>
      <c r="S2727" s="396"/>
      <c r="T2727" s="396"/>
      <c r="U2727" s="388"/>
      <c r="V2727" s="396"/>
      <c r="W2727" s="388"/>
      <c r="X2727" s="396"/>
      <c r="Y2727" s="389"/>
      <c r="Z2727" s="396"/>
      <c r="AA2727" s="388"/>
      <c r="AB2727" s="390"/>
    </row>
    <row r="2728" spans="1:28">
      <c r="A2728" s="391"/>
      <c r="B2728" s="392"/>
      <c r="C2728" s="393" t="s">
        <v>199</v>
      </c>
      <c r="D2728" s="2562">
        <f>VLOOKUP(C2725,'Data Panjang Balok'!$C$9:$N$254,7,FALSE)</f>
        <v>9075</v>
      </c>
      <c r="E2728" s="2563"/>
      <c r="F2728" s="2563"/>
      <c r="G2728" s="2563"/>
      <c r="H2728" s="2564"/>
      <c r="I2728" s="397"/>
      <c r="J2728" s="396"/>
      <c r="K2728" s="396"/>
      <c r="L2728" s="396"/>
      <c r="M2728" s="396"/>
      <c r="N2728" s="396"/>
      <c r="O2728" s="396"/>
      <c r="P2728" s="396"/>
      <c r="Q2728" s="396"/>
      <c r="R2728" s="396"/>
      <c r="S2728" s="396"/>
      <c r="T2728" s="396"/>
      <c r="U2728" s="388"/>
      <c r="V2728" s="396"/>
      <c r="W2728" s="388"/>
      <c r="X2728" s="396"/>
      <c r="Y2728" s="389"/>
      <c r="Z2728" s="396"/>
      <c r="AA2728" s="388"/>
      <c r="AB2728" s="390"/>
    </row>
    <row r="2729" spans="1:28">
      <c r="A2729" s="391"/>
      <c r="B2729" s="392"/>
      <c r="C2729" s="393" t="s">
        <v>200</v>
      </c>
      <c r="D2729" s="2562">
        <f>VLOOKUP(C2725,'Data Panjang Balok'!$C$9:$N$254,9,FALSE)</f>
        <v>0</v>
      </c>
      <c r="E2729" s="2563"/>
      <c r="F2729" s="2563"/>
      <c r="G2729" s="2563"/>
      <c r="H2729" s="2564"/>
      <c r="I2729" s="397"/>
      <c r="J2729" s="396"/>
      <c r="K2729" s="396"/>
      <c r="L2729" s="396"/>
      <c r="M2729" s="396"/>
      <c r="N2729" s="396"/>
      <c r="O2729" s="396"/>
      <c r="P2729" s="396"/>
      <c r="Q2729" s="396"/>
      <c r="R2729" s="396"/>
      <c r="S2729" s="396"/>
      <c r="T2729" s="396"/>
      <c r="U2729" s="388"/>
      <c r="V2729" s="396"/>
      <c r="W2729" s="388"/>
      <c r="X2729" s="396"/>
      <c r="Y2729" s="389"/>
      <c r="Z2729" s="396"/>
      <c r="AA2729" s="388"/>
      <c r="AB2729" s="390"/>
    </row>
    <row r="2730" spans="1:28">
      <c r="A2730" s="391"/>
      <c r="B2730" s="392"/>
      <c r="C2730" s="393" t="s">
        <v>201</v>
      </c>
      <c r="D2730" s="2562">
        <f>VLOOKUP(C2725,'Data Panjang Balok'!$C$9:$N$254,10,FALSE)</f>
        <v>0</v>
      </c>
      <c r="E2730" s="2563"/>
      <c r="F2730" s="2563"/>
      <c r="G2730" s="2563"/>
      <c r="H2730" s="2564"/>
      <c r="I2730" s="397"/>
      <c r="J2730" s="396"/>
      <c r="K2730" s="396"/>
      <c r="L2730" s="396"/>
      <c r="M2730" s="396"/>
      <c r="N2730" s="396"/>
      <c r="O2730" s="396"/>
      <c r="P2730" s="396"/>
      <c r="Q2730" s="396"/>
      <c r="R2730" s="396"/>
      <c r="S2730" s="396"/>
      <c r="T2730" s="396"/>
      <c r="U2730" s="388"/>
      <c r="V2730" s="396"/>
      <c r="W2730" s="388"/>
      <c r="X2730" s="396"/>
      <c r="Y2730" s="389"/>
      <c r="Z2730" s="396"/>
      <c r="AA2730" s="388"/>
      <c r="AB2730" s="390"/>
    </row>
    <row r="2731" spans="1:28">
      <c r="A2731" s="391"/>
      <c r="B2731" s="392"/>
      <c r="C2731" s="393" t="s">
        <v>48</v>
      </c>
      <c r="D2731" s="2562">
        <f>VLOOKUP(C2725,'Data Panjang Balok'!$C$9:$N$254,3,FALSE)</f>
        <v>1</v>
      </c>
      <c r="E2731" s="2563"/>
      <c r="F2731" s="2563"/>
      <c r="G2731" s="2563"/>
      <c r="H2731" s="2564"/>
      <c r="I2731" s="397"/>
      <c r="J2731" s="396"/>
      <c r="K2731" s="396"/>
      <c r="L2731" s="396"/>
      <c r="M2731" s="396"/>
      <c r="N2731" s="396"/>
      <c r="O2731" s="396"/>
      <c r="P2731" s="396"/>
      <c r="Q2731" s="396"/>
      <c r="R2731" s="396"/>
      <c r="S2731" s="396"/>
      <c r="T2731" s="396"/>
      <c r="U2731" s="388"/>
      <c r="V2731" s="396"/>
      <c r="W2731" s="388"/>
      <c r="X2731" s="396"/>
      <c r="Y2731" s="389"/>
      <c r="Z2731" s="396"/>
      <c r="AA2731" s="388"/>
      <c r="AB2731" s="390"/>
    </row>
    <row r="2732" spans="1:28">
      <c r="A2732" s="384" t="str">
        <f t="shared" ref="A2732:B2732" si="8755">A2725</f>
        <v>Lantai 2</v>
      </c>
      <c r="B2732" s="385">
        <f t="shared" si="8755"/>
        <v>4</v>
      </c>
      <c r="C2732" s="393" t="s">
        <v>202</v>
      </c>
      <c r="D2732" s="398">
        <f>VLOOKUP(D2725,'Detail Balok'!$C$10:$AU$140,4,FALSE)</f>
        <v>4</v>
      </c>
      <c r="E2732" s="388" t="s">
        <v>16</v>
      </c>
      <c r="F2732" s="388">
        <f>VLOOKUP(D2725,'Detail Balok'!$C$10:$AU$140,6,FALSE)</f>
        <v>16</v>
      </c>
      <c r="G2732" s="388"/>
      <c r="H2732" s="395"/>
      <c r="I2732" s="388" t="s">
        <v>203</v>
      </c>
      <c r="J2732" s="399">
        <f t="shared" ref="J2732" si="8756">+D2727/4/1000</f>
        <v>2.2687499999999998</v>
      </c>
      <c r="K2732" s="400" t="s">
        <v>204</v>
      </c>
      <c r="L2732" s="399">
        <f t="shared" ref="L2732" si="8757">MAX(VLOOKUP(F2732,N$6:P$15,3,FALSE)/1000,2/3*D2729/1000)+F$16*F2732/1000</f>
        <v>0.192</v>
      </c>
      <c r="M2732" s="399" t="s">
        <v>176</v>
      </c>
      <c r="N2732" s="399">
        <f t="shared" ref="N2732:N2734" si="8758">J2732+L2732</f>
        <v>2.46075</v>
      </c>
      <c r="O2732" s="399" t="s">
        <v>204</v>
      </c>
      <c r="P2732" s="389">
        <f t="shared" ref="P2732" si="8759">D2732-D2733</f>
        <v>0</v>
      </c>
      <c r="Q2732" s="399" t="s">
        <v>125</v>
      </c>
      <c r="R2732" s="399">
        <f t="shared" ref="R2732" si="8760">IF(P2732&gt;0,$F$18*F2732/1000,0)</f>
        <v>0</v>
      </c>
      <c r="S2732" s="399" t="s">
        <v>205</v>
      </c>
      <c r="T2732" s="399" t="s">
        <v>125</v>
      </c>
      <c r="U2732" s="401">
        <f t="shared" ref="U2732:U2734" si="8761">0.006165*F2732^2</f>
        <v>1.5782400000000001</v>
      </c>
      <c r="V2732" s="399"/>
      <c r="W2732" s="399"/>
      <c r="X2732" s="399" t="s">
        <v>125</v>
      </c>
      <c r="Y2732" s="389">
        <f t="shared" ref="Y2732" si="8762">D2731</f>
        <v>1</v>
      </c>
      <c r="Z2732" s="400" t="s">
        <v>176</v>
      </c>
      <c r="AA2732" s="402">
        <f t="shared" ref="AA2732" si="8763">IF(AA2735=0,(D2732*N2732+P2732*R2732)*U2732*Y2732,0)</f>
        <v>0</v>
      </c>
      <c r="AB2732" s="403"/>
    </row>
    <row r="2733" spans="1:28">
      <c r="A2733" s="384" t="str">
        <f t="shared" ref="A2733:B2733" si="8764">A2725</f>
        <v>Lantai 2</v>
      </c>
      <c r="B2733" s="385">
        <f t="shared" si="8764"/>
        <v>4</v>
      </c>
      <c r="C2733" s="393" t="s">
        <v>206</v>
      </c>
      <c r="D2733" s="398">
        <f>VLOOKUP(D2725,'Detail Balok'!$C$10:$AU$140,7,FALSE)</f>
        <v>4</v>
      </c>
      <c r="E2733" s="388" t="s">
        <v>16</v>
      </c>
      <c r="F2733" s="388">
        <f>VLOOKUP(D2725,'Detail Balok'!$C$10:$AU$140,9,FALSE)</f>
        <v>16</v>
      </c>
      <c r="G2733" s="388"/>
      <c r="H2733" s="395"/>
      <c r="I2733" s="388" t="s">
        <v>203</v>
      </c>
      <c r="J2733" s="399">
        <f t="shared" ref="J2733" si="8765">+D2727/2/1000</f>
        <v>4.5374999999999996</v>
      </c>
      <c r="K2733" s="400" t="s">
        <v>204</v>
      </c>
      <c r="L2733" s="399"/>
      <c r="M2733" s="399" t="s">
        <v>176</v>
      </c>
      <c r="N2733" s="399">
        <f t="shared" si="8758"/>
        <v>4.5374999999999996</v>
      </c>
      <c r="O2733" s="399" t="s">
        <v>204</v>
      </c>
      <c r="P2733" s="389">
        <f t="shared" ref="P2733" si="8766">MAX(D2733-D2732,D2733-D2734)</f>
        <v>0</v>
      </c>
      <c r="Q2733" s="399" t="s">
        <v>125</v>
      </c>
      <c r="R2733" s="399">
        <f t="shared" ref="R2733" si="8767">IF(P2733&gt;0,2*(1-2*$F$19-1/2)*D2728/1000,0)</f>
        <v>0</v>
      </c>
      <c r="S2733" s="399" t="s">
        <v>205</v>
      </c>
      <c r="T2733" s="399" t="s">
        <v>125</v>
      </c>
      <c r="U2733" s="401">
        <f t="shared" si="8761"/>
        <v>1.5782400000000001</v>
      </c>
      <c r="V2733" s="399"/>
      <c r="W2733" s="399"/>
      <c r="X2733" s="399" t="s">
        <v>125</v>
      </c>
      <c r="Y2733" s="389">
        <f t="shared" ref="Y2733" si="8768">D2731</f>
        <v>1</v>
      </c>
      <c r="Z2733" s="400" t="s">
        <v>176</v>
      </c>
      <c r="AA2733" s="402">
        <f t="shared" ref="AA2733" si="8769">IF(AA2735=0,(D2733*N2733+P2733*R2733)*U2733*Y2733,0)</f>
        <v>0</v>
      </c>
      <c r="AB2733" s="403"/>
    </row>
    <row r="2734" spans="1:28">
      <c r="A2734" s="384" t="str">
        <f t="shared" ref="A2734:B2734" si="8770">A2725</f>
        <v>Lantai 2</v>
      </c>
      <c r="B2734" s="385">
        <f t="shared" si="8770"/>
        <v>4</v>
      </c>
      <c r="C2734" s="393" t="s">
        <v>202</v>
      </c>
      <c r="D2734" s="398">
        <f>VLOOKUP(D2725,'Detail Balok'!$C$10:$AU$140,10,FALSE)</f>
        <v>4</v>
      </c>
      <c r="E2734" s="388" t="s">
        <v>16</v>
      </c>
      <c r="F2734" s="388">
        <f>VLOOKUP(D2725,'Detail Balok'!$C$10:$AU$140,12,FALSE)</f>
        <v>16</v>
      </c>
      <c r="G2734" s="388"/>
      <c r="H2734" s="395"/>
      <c r="I2734" s="388" t="s">
        <v>203</v>
      </c>
      <c r="J2734" s="399">
        <f t="shared" ref="J2734" si="8771">+D2727/4/1000</f>
        <v>2.2687499999999998</v>
      </c>
      <c r="K2734" s="400" t="s">
        <v>204</v>
      </c>
      <c r="L2734" s="399">
        <f t="shared" ref="L2734" si="8772">MAX(VLOOKUP(F2734,N$6:P$15,3,FALSE)/1000,2/3*D2729/1000)+F$16*F2734/1000</f>
        <v>0.192</v>
      </c>
      <c r="M2734" s="399" t="s">
        <v>176</v>
      </c>
      <c r="N2734" s="399">
        <f t="shared" si="8758"/>
        <v>2.46075</v>
      </c>
      <c r="O2734" s="399" t="s">
        <v>204</v>
      </c>
      <c r="P2734" s="389">
        <f t="shared" ref="P2734" si="8773">D2734-D2733</f>
        <v>0</v>
      </c>
      <c r="Q2734" s="399" t="s">
        <v>125</v>
      </c>
      <c r="R2734" s="399">
        <f t="shared" ref="R2734" si="8774">IF(P2734&gt;0,$F$18*F2734/1000,0)</f>
        <v>0</v>
      </c>
      <c r="S2734" s="399" t="s">
        <v>205</v>
      </c>
      <c r="T2734" s="399" t="s">
        <v>125</v>
      </c>
      <c r="U2734" s="401">
        <f t="shared" si="8761"/>
        <v>1.5782400000000001</v>
      </c>
      <c r="V2734" s="399"/>
      <c r="W2734" s="399"/>
      <c r="X2734" s="399" t="s">
        <v>125</v>
      </c>
      <c r="Y2734" s="389">
        <f t="shared" ref="Y2734" si="8775">D2731</f>
        <v>1</v>
      </c>
      <c r="Z2734" s="400" t="s">
        <v>176</v>
      </c>
      <c r="AA2734" s="402">
        <f t="shared" ref="AA2734" si="8776">IF(AA2735=0,(D2734*N2734+P2734*R2734)*U2734*Y2734,0)</f>
        <v>0</v>
      </c>
      <c r="AB2734" s="403"/>
    </row>
    <row r="2735" spans="1:28">
      <c r="A2735" s="384" t="str">
        <f t="shared" ref="A2735:B2735" si="8777">A2725</f>
        <v>Lantai 2</v>
      </c>
      <c r="B2735" s="385">
        <f t="shared" si="8777"/>
        <v>4</v>
      </c>
      <c r="C2735" s="393"/>
      <c r="D2735" s="398">
        <f t="shared" si="8673"/>
        <v>4</v>
      </c>
      <c r="E2735" s="388" t="s">
        <v>16</v>
      </c>
      <c r="F2735" s="388">
        <f t="shared" si="8674"/>
        <v>16</v>
      </c>
      <c r="G2735" s="388"/>
      <c r="H2735" s="395"/>
      <c r="I2735" s="388"/>
      <c r="J2735" s="396"/>
      <c r="K2735" s="396"/>
      <c r="L2735" s="404" t="s">
        <v>207</v>
      </c>
      <c r="M2735" s="399" t="s">
        <v>176</v>
      </c>
      <c r="N2735" s="399">
        <f t="shared" ref="N2735" si="8778">IF(AND(D2732=D2733,D2732=D2734,D2733=D2734,F2732=F2733,F2732=F2734,F2733=F2734),SUM(N2732:N2734),0)</f>
        <v>9.4589999999999996</v>
      </c>
      <c r="O2735" s="399" t="s">
        <v>204</v>
      </c>
      <c r="P2735" s="389">
        <f t="shared" ref="P2735" si="8779">IF(N2735&gt;12,ROUNDDOWN(N2735/12,0),0)</f>
        <v>0</v>
      </c>
      <c r="Q2735" s="399" t="s">
        <v>125</v>
      </c>
      <c r="R2735" s="399">
        <f t="shared" ref="R2735" si="8780">IF(P2735&gt;0,MAX(VLOOKUP(F2735,$D$6:$G$15,3,FALSE),600),0)/1000</f>
        <v>0</v>
      </c>
      <c r="S2735" s="396"/>
      <c r="T2735" s="396" t="s">
        <v>125</v>
      </c>
      <c r="U2735" s="401">
        <f t="shared" si="8678"/>
        <v>1.5782400000000001</v>
      </c>
      <c r="V2735" s="396" t="s">
        <v>125</v>
      </c>
      <c r="W2735" s="399">
        <f t="shared" ref="W2735" si="8781">D2735</f>
        <v>4</v>
      </c>
      <c r="X2735" s="399" t="s">
        <v>125</v>
      </c>
      <c r="Y2735" s="389">
        <f t="shared" si="8680"/>
        <v>1</v>
      </c>
      <c r="Z2735" s="400" t="s">
        <v>176</v>
      </c>
      <c r="AA2735" s="402">
        <f t="shared" ref="AA2735" si="8782">(N2735+P2735*R2735/1000)*U2735*W2735*Y2735</f>
        <v>59.714288639999999</v>
      </c>
      <c r="AB2735" s="390"/>
    </row>
    <row r="2736" spans="1:28">
      <c r="A2736" s="384"/>
      <c r="B2736" s="385"/>
      <c r="C2736" s="393"/>
      <c r="D2736" s="398"/>
      <c r="E2736" s="388"/>
      <c r="F2736" s="388"/>
      <c r="G2736" s="388"/>
      <c r="H2736" s="395"/>
      <c r="I2736" s="388"/>
      <c r="J2736" s="396"/>
      <c r="K2736" s="396"/>
      <c r="L2736" s="404"/>
      <c r="M2736" s="399"/>
      <c r="N2736" s="399"/>
      <c r="O2736" s="396"/>
      <c r="P2736" s="389"/>
      <c r="Q2736" s="396"/>
      <c r="R2736" s="396"/>
      <c r="S2736" s="396"/>
      <c r="T2736" s="396"/>
      <c r="U2736" s="401"/>
      <c r="V2736" s="396"/>
      <c r="W2736" s="399"/>
      <c r="X2736" s="396"/>
      <c r="Y2736" s="389"/>
      <c r="Z2736" s="396"/>
      <c r="AA2736" s="388"/>
      <c r="AB2736" s="390"/>
    </row>
    <row r="2737" spans="1:28">
      <c r="A2737" s="384" t="str">
        <f t="shared" ref="A2737:B2737" si="8783">A2725</f>
        <v>Lantai 2</v>
      </c>
      <c r="B2737" s="385">
        <f t="shared" si="8783"/>
        <v>4</v>
      </c>
      <c r="C2737" s="393" t="s">
        <v>208</v>
      </c>
      <c r="D2737" s="398">
        <f>VLOOKUP(D2725,'Detail Balok'!$C$10:$AU$140,13,FALSE)</f>
        <v>2</v>
      </c>
      <c r="E2737" s="388" t="s">
        <v>16</v>
      </c>
      <c r="F2737" s="388">
        <f>VLOOKUP(D2725,'Detail Balok'!$C$10:$AU$140,15,FALSE)</f>
        <v>10</v>
      </c>
      <c r="G2737" s="388"/>
      <c r="H2737" s="395"/>
      <c r="I2737" s="388"/>
      <c r="J2737" s="399">
        <f t="shared" ref="J2737" si="8784">+D2727/1000</f>
        <v>9.0749999999999993</v>
      </c>
      <c r="K2737" s="400" t="s">
        <v>204</v>
      </c>
      <c r="L2737" s="399">
        <f t="shared" ref="L2737" si="8785">2*$F$16*F2737/1000</f>
        <v>0.24</v>
      </c>
      <c r="M2737" s="399" t="s">
        <v>176</v>
      </c>
      <c r="N2737" s="399">
        <f t="shared" ref="N2737" si="8786">J2737+L2737</f>
        <v>9.3149999999999995</v>
      </c>
      <c r="O2737" s="399" t="s">
        <v>204</v>
      </c>
      <c r="P2737" s="389">
        <f t="shared" ref="P2737" si="8787">IF(N2737&gt;12,ROUNDDOWN(N2737/12,0),0)</f>
        <v>0</v>
      </c>
      <c r="Q2737" s="399" t="s">
        <v>125</v>
      </c>
      <c r="R2737" s="399">
        <f t="shared" ref="R2737" si="8788">IF(P2737&gt;0,MAX(VLOOKUP(F2737,$D$6:$G$15,3,FALSE),600),0)/1000</f>
        <v>0</v>
      </c>
      <c r="S2737" s="399"/>
      <c r="T2737" s="399" t="s">
        <v>125</v>
      </c>
      <c r="U2737" s="401">
        <f t="shared" ref="U2737" si="8789">0.006165*F2737^2</f>
        <v>0.61650000000000005</v>
      </c>
      <c r="V2737" s="399" t="s">
        <v>125</v>
      </c>
      <c r="W2737" s="399">
        <f t="shared" ref="W2737" si="8790">+D2737</f>
        <v>2</v>
      </c>
      <c r="X2737" s="399" t="s">
        <v>125</v>
      </c>
      <c r="Y2737" s="389">
        <f t="shared" ref="Y2737" si="8791">D2731</f>
        <v>1</v>
      </c>
      <c r="Z2737" s="400" t="s">
        <v>176</v>
      </c>
      <c r="AA2737" s="402">
        <f t="shared" ref="AA2737" si="8792">(N2737+P2737*R2737/1000)*U2737*W2737*Y2737</f>
        <v>11.485395</v>
      </c>
      <c r="AB2737" s="403"/>
    </row>
    <row r="2738" spans="1:28">
      <c r="A2738" s="384"/>
      <c r="B2738" s="385"/>
      <c r="C2738" s="393"/>
      <c r="D2738" s="398"/>
      <c r="E2738" s="388"/>
      <c r="F2738" s="388"/>
      <c r="G2738" s="388"/>
      <c r="H2738" s="395"/>
      <c r="I2738" s="388"/>
      <c r="J2738" s="399"/>
      <c r="K2738" s="400"/>
      <c r="L2738" s="399"/>
      <c r="M2738" s="399"/>
      <c r="N2738" s="399"/>
      <c r="O2738" s="399"/>
      <c r="P2738" s="389"/>
      <c r="Q2738" s="399"/>
      <c r="R2738" s="399"/>
      <c r="S2738" s="399"/>
      <c r="T2738" s="399"/>
      <c r="U2738" s="401"/>
      <c r="V2738" s="399"/>
      <c r="W2738" s="399"/>
      <c r="X2738" s="399"/>
      <c r="Y2738" s="389"/>
      <c r="Z2738" s="400"/>
      <c r="AA2738" s="402"/>
      <c r="AB2738" s="403"/>
    </row>
    <row r="2739" spans="1:28">
      <c r="A2739" s="384"/>
      <c r="B2739" s="385"/>
      <c r="C2739" s="393"/>
      <c r="D2739" s="398"/>
      <c r="E2739" s="388"/>
      <c r="F2739" s="388"/>
      <c r="G2739" s="388"/>
      <c r="H2739" s="395"/>
      <c r="I2739" s="388"/>
      <c r="J2739" s="396"/>
      <c r="K2739" s="396"/>
      <c r="L2739" s="396"/>
      <c r="M2739" s="396"/>
      <c r="N2739" s="396"/>
      <c r="O2739" s="396"/>
      <c r="P2739" s="389"/>
      <c r="Q2739" s="396"/>
      <c r="R2739" s="396"/>
      <c r="S2739" s="396"/>
      <c r="T2739" s="396"/>
      <c r="U2739" s="401"/>
      <c r="V2739" s="396"/>
      <c r="W2739" s="399"/>
      <c r="X2739" s="396"/>
      <c r="Y2739" s="389"/>
      <c r="Z2739" s="396"/>
      <c r="AA2739" s="388"/>
      <c r="AB2739" s="390"/>
    </row>
    <row r="2740" spans="1:28">
      <c r="A2740" s="384" t="str">
        <f t="shared" ref="A2740:B2740" si="8793">A2725</f>
        <v>Lantai 2</v>
      </c>
      <c r="B2740" s="385">
        <f t="shared" si="8793"/>
        <v>4</v>
      </c>
      <c r="C2740" s="393" t="s">
        <v>209</v>
      </c>
      <c r="D2740" s="398">
        <f>VLOOKUP(D2725,'Detail Balok'!$C$10:$AU$140,22,FALSE)</f>
        <v>4</v>
      </c>
      <c r="E2740" s="388" t="s">
        <v>16</v>
      </c>
      <c r="F2740" s="388">
        <f>VLOOKUP(D2725,'Detail Balok'!$C$10:$AU$140,24,FALSE)</f>
        <v>16</v>
      </c>
      <c r="G2740" s="388"/>
      <c r="H2740" s="395"/>
      <c r="I2740" s="388" t="s">
        <v>203</v>
      </c>
      <c r="J2740" s="399">
        <f t="shared" si="8693"/>
        <v>2.2687499999999998</v>
      </c>
      <c r="K2740" s="400" t="s">
        <v>204</v>
      </c>
      <c r="L2740" s="399">
        <f t="shared" ref="L2740" si="8794">MAX(VLOOKUP(F2740,N$6:P$15,3,FALSE)/1000,2/3*D2730/1000)+F$16*F2740/1000</f>
        <v>0.192</v>
      </c>
      <c r="M2740" s="399" t="s">
        <v>176</v>
      </c>
      <c r="N2740" s="399">
        <f t="shared" ref="N2740:N2742" si="8795">J2740+L2740</f>
        <v>2.46075</v>
      </c>
      <c r="O2740" s="399" t="s">
        <v>204</v>
      </c>
      <c r="P2740" s="389">
        <f t="shared" ref="P2740" si="8796">D2740-D2741</f>
        <v>0</v>
      </c>
      <c r="Q2740" s="399" t="s">
        <v>125</v>
      </c>
      <c r="R2740" s="399">
        <f t="shared" ref="R2740" si="8797">IF(P2740&gt;0,$F$18*F2740/1000,0)</f>
        <v>0</v>
      </c>
      <c r="S2740" s="399" t="s">
        <v>205</v>
      </c>
      <c r="T2740" s="399" t="s">
        <v>125</v>
      </c>
      <c r="U2740" s="401">
        <f t="shared" ref="U2740:U2742" si="8798">0.006165*F2740^2</f>
        <v>1.5782400000000001</v>
      </c>
      <c r="V2740" s="399"/>
      <c r="W2740" s="399"/>
      <c r="X2740" s="399" t="s">
        <v>125</v>
      </c>
      <c r="Y2740" s="389">
        <f t="shared" ref="Y2740" si="8799">D2731</f>
        <v>1</v>
      </c>
      <c r="Z2740" s="400" t="s">
        <v>176</v>
      </c>
      <c r="AA2740" s="402">
        <f t="shared" ref="AA2740" si="8800">IF(AA2743=0,(D2740*N2740+P2740*R2740)*U2740*Y2740,0)</f>
        <v>0</v>
      </c>
      <c r="AB2740" s="403"/>
    </row>
    <row r="2741" spans="1:28">
      <c r="A2741" s="384" t="str">
        <f t="shared" ref="A2741:B2741" si="8801">A2725</f>
        <v>Lantai 2</v>
      </c>
      <c r="B2741" s="385">
        <f t="shared" si="8801"/>
        <v>4</v>
      </c>
      <c r="C2741" s="393" t="s">
        <v>210</v>
      </c>
      <c r="D2741" s="398">
        <f>VLOOKUP(D2725,'Detail Balok'!$C$10:$AU$140,25,FALSE)</f>
        <v>4</v>
      </c>
      <c r="E2741" s="388" t="s">
        <v>16</v>
      </c>
      <c r="F2741" s="388">
        <f>VLOOKUP(D2725,'Detail Balok'!$C$10:$AU$140,27,FALSE)</f>
        <v>16</v>
      </c>
      <c r="G2741" s="388"/>
      <c r="H2741" s="395"/>
      <c r="I2741" s="388" t="s">
        <v>203</v>
      </c>
      <c r="J2741" s="399">
        <f t="shared" si="8693"/>
        <v>4.5374999999999996</v>
      </c>
      <c r="K2741" s="400" t="s">
        <v>204</v>
      </c>
      <c r="L2741" s="399"/>
      <c r="M2741" s="399" t="s">
        <v>176</v>
      </c>
      <c r="N2741" s="399">
        <f t="shared" si="8795"/>
        <v>4.5374999999999996</v>
      </c>
      <c r="O2741" s="399" t="s">
        <v>204</v>
      </c>
      <c r="P2741" s="389">
        <f t="shared" ref="P2741" si="8802">MAX(D2741-D2740,D2741-D2742)</f>
        <v>0</v>
      </c>
      <c r="Q2741" s="399" t="s">
        <v>125</v>
      </c>
      <c r="R2741" s="399">
        <f t="shared" ref="R2741" si="8803">IF(P2741&gt;0,2*(1-2*$F$19-1/2)*D2728/1000,0)</f>
        <v>0</v>
      </c>
      <c r="S2741" s="399" t="s">
        <v>205</v>
      </c>
      <c r="T2741" s="399" t="s">
        <v>125</v>
      </c>
      <c r="U2741" s="401">
        <f t="shared" si="8798"/>
        <v>1.5782400000000001</v>
      </c>
      <c r="V2741" s="399"/>
      <c r="W2741" s="399"/>
      <c r="X2741" s="399" t="s">
        <v>125</v>
      </c>
      <c r="Y2741" s="389">
        <f t="shared" ref="Y2741" si="8804">D2731</f>
        <v>1</v>
      </c>
      <c r="Z2741" s="400" t="s">
        <v>176</v>
      </c>
      <c r="AA2741" s="402">
        <f t="shared" ref="AA2741" si="8805">IF(AA2743=0,(D2741*N2741+P2741*R2741)*U2741*Y2741,0)</f>
        <v>0</v>
      </c>
      <c r="AB2741" s="403"/>
    </row>
    <row r="2742" spans="1:28">
      <c r="A2742" s="384" t="str">
        <f t="shared" ref="A2742:B2742" si="8806">A2725</f>
        <v>Lantai 2</v>
      </c>
      <c r="B2742" s="385">
        <f t="shared" si="8806"/>
        <v>4</v>
      </c>
      <c r="C2742" s="393" t="s">
        <v>209</v>
      </c>
      <c r="D2742" s="398">
        <f>VLOOKUP(D2725,'Detail Balok'!$C$10:$AU$140,28,FALSE)</f>
        <v>4</v>
      </c>
      <c r="E2742" s="388" t="s">
        <v>16</v>
      </c>
      <c r="F2742" s="388">
        <f>VLOOKUP(D2725,'Detail Balok'!$C$10:$AU$140,30,FALSE)</f>
        <v>16</v>
      </c>
      <c r="G2742" s="388"/>
      <c r="H2742" s="395"/>
      <c r="I2742" s="388" t="s">
        <v>203</v>
      </c>
      <c r="J2742" s="399">
        <f t="shared" si="8693"/>
        <v>2.2687499999999998</v>
      </c>
      <c r="K2742" s="400" t="s">
        <v>204</v>
      </c>
      <c r="L2742" s="399">
        <f t="shared" ref="L2742" si="8807">MAX(VLOOKUP(F2742,N$6:P$15,3,FALSE)/1000,2/3*D2730/1000)+F$16*F2742/1000</f>
        <v>0.192</v>
      </c>
      <c r="M2742" s="399" t="s">
        <v>176</v>
      </c>
      <c r="N2742" s="399">
        <f t="shared" si="8795"/>
        <v>2.46075</v>
      </c>
      <c r="O2742" s="399" t="s">
        <v>204</v>
      </c>
      <c r="P2742" s="389">
        <f t="shared" ref="P2742" si="8808">D2742-D2741</f>
        <v>0</v>
      </c>
      <c r="Q2742" s="399" t="s">
        <v>125</v>
      </c>
      <c r="R2742" s="399">
        <f t="shared" ref="R2742" si="8809">IF(P2742&gt;0,$F$18*F2742/1000,0)</f>
        <v>0</v>
      </c>
      <c r="S2742" s="399" t="s">
        <v>205</v>
      </c>
      <c r="T2742" s="399" t="s">
        <v>125</v>
      </c>
      <c r="U2742" s="401">
        <f t="shared" si="8798"/>
        <v>1.5782400000000001</v>
      </c>
      <c r="V2742" s="399"/>
      <c r="W2742" s="399"/>
      <c r="X2742" s="399" t="s">
        <v>125</v>
      </c>
      <c r="Y2742" s="389">
        <f t="shared" ref="Y2742" si="8810">D2731</f>
        <v>1</v>
      </c>
      <c r="Z2742" s="400" t="s">
        <v>176</v>
      </c>
      <c r="AA2742" s="402">
        <f t="shared" ref="AA2742" si="8811">IF(AA2743=0,(D2742*N2742+P2742*R2742)*U2742*Y2742,0)</f>
        <v>0</v>
      </c>
      <c r="AB2742" s="403"/>
    </row>
    <row r="2743" spans="1:28">
      <c r="A2743" s="384" t="str">
        <f t="shared" ref="A2743:B2743" si="8812">A2725</f>
        <v>Lantai 2</v>
      </c>
      <c r="B2743" s="385">
        <f t="shared" si="8812"/>
        <v>4</v>
      </c>
      <c r="C2743" s="393"/>
      <c r="D2743" s="398">
        <f t="shared" si="8713"/>
        <v>4</v>
      </c>
      <c r="E2743" s="388" t="s">
        <v>16</v>
      </c>
      <c r="F2743" s="388">
        <f t="shared" si="8714"/>
        <v>16</v>
      </c>
      <c r="G2743" s="388"/>
      <c r="H2743" s="395"/>
      <c r="I2743" s="388"/>
      <c r="J2743" s="396"/>
      <c r="K2743" s="396"/>
      <c r="L2743" s="404" t="s">
        <v>207</v>
      </c>
      <c r="M2743" s="399" t="s">
        <v>176</v>
      </c>
      <c r="N2743" s="399">
        <f t="shared" ref="N2743" si="8813">IF(AND(D2740=D2741,D2740=D2742,D2741=D2742,F2740=F2741,F2740=F2742,F2741=F2742),SUM(N2740:N2742),0)</f>
        <v>9.4589999999999996</v>
      </c>
      <c r="O2743" s="399" t="s">
        <v>204</v>
      </c>
      <c r="P2743" s="389">
        <f t="shared" ref="P2743" si="8814">IF(N2743&gt;12,ROUNDDOWN(N2743/12,0),0)</f>
        <v>0</v>
      </c>
      <c r="Q2743" s="399" t="s">
        <v>125</v>
      </c>
      <c r="R2743" s="399">
        <f t="shared" ref="R2743" si="8815">IF(P2743&gt;0,MAX(VLOOKUP(F2743,$D$6:$G$15,3,FALSE),600),0)/1000</f>
        <v>0</v>
      </c>
      <c r="S2743" s="396"/>
      <c r="T2743" s="396" t="s">
        <v>125</v>
      </c>
      <c r="U2743" s="401">
        <f t="shared" si="8718"/>
        <v>1.5782400000000001</v>
      </c>
      <c r="V2743" s="396" t="s">
        <v>125</v>
      </c>
      <c r="W2743" s="399">
        <f t="shared" ref="W2743" si="8816">D2743</f>
        <v>4</v>
      </c>
      <c r="X2743" s="399" t="s">
        <v>125</v>
      </c>
      <c r="Y2743" s="389">
        <f t="shared" si="8720"/>
        <v>1</v>
      </c>
      <c r="Z2743" s="400" t="s">
        <v>176</v>
      </c>
      <c r="AA2743" s="402">
        <f t="shared" ref="AA2743" si="8817">(N2743+P2743*R2743/1000)*U2743*W2743*Y2743</f>
        <v>59.714288639999999</v>
      </c>
      <c r="AB2743" s="403"/>
    </row>
    <row r="2744" spans="1:28">
      <c r="A2744" s="384"/>
      <c r="B2744" s="385"/>
      <c r="C2744" s="393"/>
      <c r="D2744" s="394"/>
      <c r="E2744" s="388"/>
      <c r="F2744" s="388"/>
      <c r="G2744" s="388"/>
      <c r="H2744" s="395"/>
      <c r="I2744" s="388"/>
      <c r="J2744" s="399"/>
      <c r="K2744" s="396"/>
      <c r="L2744" s="396"/>
      <c r="M2744" s="396"/>
      <c r="N2744" s="396"/>
      <c r="O2744" s="396"/>
      <c r="P2744" s="389"/>
      <c r="Q2744" s="396"/>
      <c r="R2744" s="396"/>
      <c r="S2744" s="396"/>
      <c r="T2744" s="396"/>
      <c r="U2744" s="401"/>
      <c r="V2744" s="396"/>
      <c r="W2744" s="388"/>
      <c r="X2744" s="396"/>
      <c r="Y2744" s="389"/>
      <c r="Z2744" s="396"/>
      <c r="AA2744" s="388"/>
      <c r="AB2744" s="390"/>
    </row>
    <row r="2745" spans="1:28">
      <c r="A2745" s="384" t="str">
        <f t="shared" ref="A2745:B2745" si="8818">A2725</f>
        <v>Lantai 2</v>
      </c>
      <c r="B2745" s="385">
        <f t="shared" si="8818"/>
        <v>4</v>
      </c>
      <c r="C2745" s="393" t="s">
        <v>211</v>
      </c>
      <c r="D2745" s="398">
        <f>VLOOKUP(D2725,'Detail Balok'!$C$10:$AU$140,31,FALSE)</f>
        <v>0</v>
      </c>
      <c r="E2745" s="388" t="s">
        <v>16</v>
      </c>
      <c r="F2745" s="388">
        <f>VLOOKUP(D2725,'Detail Balok'!$C$10:$AU$140,33,FALSE)</f>
        <v>10</v>
      </c>
      <c r="G2745" s="405" t="s">
        <v>157</v>
      </c>
      <c r="H2745" s="395">
        <f>VLOOKUP(D2725,'Detail Balok'!$C$10:$AU$140,35,FALSE)</f>
        <v>150</v>
      </c>
      <c r="I2745" s="388"/>
      <c r="J2745" s="400">
        <f t="shared" ref="J2745" si="8819">(IF(D2745=0,(2*(D2726+G2726))-(F$5*8),IF(D2745=3,(2*(D2726+G2726))-(F$5*8)+(G2726-2*F$5),IF(D2745=4,(2*(D2726+G2726))-(F$5*8)+2*(G2726-2*F$5)))))/1000</f>
        <v>1.08</v>
      </c>
      <c r="K2745" s="400" t="s">
        <v>204</v>
      </c>
      <c r="L2745" s="399">
        <f t="shared" ref="L2745:L2747" si="8820">IF(D2745=0,2*MAX(6*F2745,75),(D2745-1)*2*MAX(6*F2745,75))/1000</f>
        <v>0.15</v>
      </c>
      <c r="M2745" s="399" t="s">
        <v>176</v>
      </c>
      <c r="N2745" s="399">
        <f t="shared" ref="N2745:N2747" si="8821">J2745+L2745</f>
        <v>1.23</v>
      </c>
      <c r="O2745" s="399"/>
      <c r="P2745" s="389"/>
      <c r="Q2745" s="399"/>
      <c r="R2745" s="399"/>
      <c r="S2745" s="399"/>
      <c r="T2745" s="399" t="s">
        <v>125</v>
      </c>
      <c r="U2745" s="401">
        <f t="shared" ref="U2745:U2747" si="8822">0.006165*F2745^2</f>
        <v>0.61650000000000005</v>
      </c>
      <c r="V2745" s="399" t="s">
        <v>125</v>
      </c>
      <c r="W2745" s="399">
        <f t="shared" ref="W2745" si="8823">IF(D2728&gt;4*G2726,ROUND(MAX(D2728/4,2*G2726)/H2745,0)+1,ROUND(D2728/H2745,0)+1)</f>
        <v>16</v>
      </c>
      <c r="X2745" s="399" t="s">
        <v>125</v>
      </c>
      <c r="Y2745" s="389">
        <f t="shared" ref="Y2745" si="8824">D2731</f>
        <v>1</v>
      </c>
      <c r="Z2745" s="400" t="s">
        <v>176</v>
      </c>
      <c r="AA2745" s="402">
        <f t="shared" ref="AA2745:AA2747" si="8825">N2745*U2745*W2745*Y2745</f>
        <v>12.132720000000001</v>
      </c>
      <c r="AB2745" s="403"/>
    </row>
    <row r="2746" spans="1:28">
      <c r="A2746" s="384" t="str">
        <f t="shared" ref="A2746:B2746" si="8826">A2725</f>
        <v>Lantai 2</v>
      </c>
      <c r="B2746" s="385">
        <f t="shared" si="8826"/>
        <v>4</v>
      </c>
      <c r="C2746" s="393" t="s">
        <v>212</v>
      </c>
      <c r="D2746" s="398">
        <f>VLOOKUP(D2725,'Detail Balok'!$C$10:$AU$140,36,FALSE)</f>
        <v>0</v>
      </c>
      <c r="E2746" s="388" t="s">
        <v>16</v>
      </c>
      <c r="F2746" s="388">
        <f>VLOOKUP(D2725,'Detail Balok'!$C$10:$AU$140,38,FALSE)</f>
        <v>10</v>
      </c>
      <c r="G2746" s="405" t="s">
        <v>157</v>
      </c>
      <c r="H2746" s="395">
        <f>VLOOKUP(D2725,'Detail Balok'!$C$10:$AU$140,40,FALSE)</f>
        <v>200</v>
      </c>
      <c r="I2746" s="388"/>
      <c r="J2746" s="400">
        <f t="shared" ref="J2746" si="8827">(IF(D2746=0,(2*(D2726+G2726))-(F$5*8),IF(D2746=3,(2*(D2726+G2726))-(F$5*8)+(G2726-2*F$5),IF(D2746=4,(2*(D2726+G2726))-(F$5*8)+2*(G2726-2*F$5)))))/1000</f>
        <v>1.08</v>
      </c>
      <c r="K2746" s="400" t="s">
        <v>204</v>
      </c>
      <c r="L2746" s="399">
        <f t="shared" si="8820"/>
        <v>0.15</v>
      </c>
      <c r="M2746" s="399" t="s">
        <v>176</v>
      </c>
      <c r="N2746" s="399">
        <f t="shared" si="8821"/>
        <v>1.23</v>
      </c>
      <c r="O2746" s="399"/>
      <c r="P2746" s="389"/>
      <c r="Q2746" s="399"/>
      <c r="R2746" s="399"/>
      <c r="S2746" s="399"/>
      <c r="T2746" s="399" t="s">
        <v>125</v>
      </c>
      <c r="U2746" s="401">
        <f t="shared" si="8822"/>
        <v>0.61650000000000005</v>
      </c>
      <c r="V2746" s="399" t="s">
        <v>125</v>
      </c>
      <c r="W2746" s="399">
        <f t="shared" ref="W2746" si="8828">IF(D2728-MAX(D2728/4,2*G2726)*2&gt;0,ROUND((D2728-MAX(D2728/4,2*G2726)*2)/H2746,0),0)</f>
        <v>23</v>
      </c>
      <c r="X2746" s="399" t="s">
        <v>125</v>
      </c>
      <c r="Y2746" s="389">
        <f t="shared" ref="Y2746" si="8829">D2731</f>
        <v>1</v>
      </c>
      <c r="Z2746" s="400" t="s">
        <v>176</v>
      </c>
      <c r="AA2746" s="402">
        <f t="shared" si="8825"/>
        <v>17.440785000000002</v>
      </c>
      <c r="AB2746" s="403"/>
    </row>
    <row r="2747" spans="1:28">
      <c r="A2747" s="384" t="str">
        <f t="shared" ref="A2747:B2747" si="8830">A2725</f>
        <v>Lantai 2</v>
      </c>
      <c r="B2747" s="385">
        <f t="shared" si="8830"/>
        <v>4</v>
      </c>
      <c r="C2747" s="393" t="s">
        <v>211</v>
      </c>
      <c r="D2747" s="398">
        <f>VLOOKUP(D2725,'Detail Balok'!$C$10:$AU$140,41,FALSE)</f>
        <v>0</v>
      </c>
      <c r="E2747" s="388" t="s">
        <v>16</v>
      </c>
      <c r="F2747" s="388">
        <f>VLOOKUP(D2725,'Detail Balok'!$C$10:$AU$140,43,FALSE)</f>
        <v>10</v>
      </c>
      <c r="G2747" s="405" t="s">
        <v>157</v>
      </c>
      <c r="H2747" s="395">
        <f>VLOOKUP(D2725,'Detail Balok'!$C$10:$AU$140,45,FALSE)</f>
        <v>150</v>
      </c>
      <c r="I2747" s="388"/>
      <c r="J2747" s="400">
        <f t="shared" ref="J2747" si="8831">(IF(D2747=0,(2*(D2726+G2726))-(F$5*8),IF(D2747=3,(2*(D2726+G2726))-(F$5*8)+(G2726-2*F$5),IF(D2747=4,(2*(D2726+G2726))-(F$5*8)+2*(G2726-2*F$5)))))/1000</f>
        <v>1.08</v>
      </c>
      <c r="K2747" s="400" t="s">
        <v>204</v>
      </c>
      <c r="L2747" s="399">
        <f t="shared" si="8820"/>
        <v>0.15</v>
      </c>
      <c r="M2747" s="399" t="s">
        <v>176</v>
      </c>
      <c r="N2747" s="399">
        <f t="shared" si="8821"/>
        <v>1.23</v>
      </c>
      <c r="O2747" s="399"/>
      <c r="P2747" s="389"/>
      <c r="Q2747" s="399"/>
      <c r="R2747" s="399"/>
      <c r="S2747" s="399"/>
      <c r="T2747" s="399" t="s">
        <v>125</v>
      </c>
      <c r="U2747" s="401">
        <f t="shared" si="8822"/>
        <v>0.61650000000000005</v>
      </c>
      <c r="V2747" s="399" t="s">
        <v>125</v>
      </c>
      <c r="W2747" s="399">
        <f t="shared" ref="W2747" si="8832">IF(D2728&gt;4*G2726,ROUND(MAX(D2728/4,2*G2726)/H2747,0)+1,0)</f>
        <v>16</v>
      </c>
      <c r="X2747" s="399" t="s">
        <v>125</v>
      </c>
      <c r="Y2747" s="389">
        <f t="shared" ref="Y2747" si="8833">D2731</f>
        <v>1</v>
      </c>
      <c r="Z2747" s="400" t="s">
        <v>176</v>
      </c>
      <c r="AA2747" s="402">
        <f t="shared" si="8825"/>
        <v>12.132720000000001</v>
      </c>
      <c r="AB2747" s="403"/>
    </row>
    <row r="2748" spans="1:28">
      <c r="A2748" s="384"/>
      <c r="B2748" s="385"/>
      <c r="C2748" s="393"/>
      <c r="D2748" s="394"/>
      <c r="E2748" s="388"/>
      <c r="F2748" s="388"/>
      <c r="G2748" s="388"/>
      <c r="H2748" s="395"/>
      <c r="I2748" s="388"/>
      <c r="J2748" s="399"/>
      <c r="K2748" s="396"/>
      <c r="L2748" s="396"/>
      <c r="M2748" s="396"/>
      <c r="N2748" s="396"/>
      <c r="O2748" s="396"/>
      <c r="P2748" s="389"/>
      <c r="Q2748" s="396"/>
      <c r="R2748" s="396"/>
      <c r="S2748" s="396"/>
      <c r="T2748" s="396"/>
      <c r="U2748" s="401"/>
      <c r="V2748" s="396"/>
      <c r="W2748" s="388"/>
      <c r="X2748" s="396"/>
      <c r="Y2748" s="389"/>
      <c r="Z2748" s="396"/>
      <c r="AA2748" s="388"/>
      <c r="AB2748" s="390"/>
    </row>
    <row r="2749" spans="1:28">
      <c r="A2749" s="384" t="str">
        <f t="shared" ref="A2749:B2749" si="8834">A2725</f>
        <v>Lantai 2</v>
      </c>
      <c r="B2749" s="385">
        <f t="shared" si="8834"/>
        <v>4</v>
      </c>
      <c r="C2749" s="393" t="s">
        <v>213</v>
      </c>
      <c r="D2749" s="398">
        <f>VLOOKUP(D2725,'Detail Balok'!$C$10:$BJ$140,46,FALSE)</f>
        <v>0</v>
      </c>
      <c r="E2749" s="388" t="s">
        <v>16</v>
      </c>
      <c r="F2749" s="388">
        <f>VLOOKUP(D2725,'Detail Balok'!$C$10:$BJ$140,48,FALSE)</f>
        <v>0</v>
      </c>
      <c r="G2749" s="405" t="s">
        <v>157</v>
      </c>
      <c r="H2749" s="395">
        <f>VLOOKUP(D2725,'Detail Balok'!$C$10:$BJ$140,50,FALSE)</f>
        <v>100</v>
      </c>
      <c r="I2749" s="388"/>
      <c r="J2749" s="399">
        <f t="shared" ref="J2749" si="8835">(D2726-2*F$5)/1000</f>
        <v>0.12</v>
      </c>
      <c r="K2749" s="400" t="s">
        <v>204</v>
      </c>
      <c r="L2749" s="399">
        <f t="shared" ref="L2749:L2751" si="8836">IF(D2749=0,2*MAX(6*F2749,75),(D2749-1)*2*MAX(6*F2749,75))/1000</f>
        <v>0.15</v>
      </c>
      <c r="M2749" s="399" t="s">
        <v>176</v>
      </c>
      <c r="N2749" s="399">
        <f t="shared" ref="N2749:N2751" si="8837">J2749+L2749</f>
        <v>0.27</v>
      </c>
      <c r="O2749" s="399"/>
      <c r="P2749" s="399"/>
      <c r="Q2749" s="399"/>
      <c r="R2749" s="399"/>
      <c r="S2749" s="399"/>
      <c r="T2749" s="399" t="s">
        <v>125</v>
      </c>
      <c r="U2749" s="401">
        <f t="shared" ref="U2749:U2751" si="8838">0.006165*F2749^2</f>
        <v>0</v>
      </c>
      <c r="V2749" s="399" t="s">
        <v>125</v>
      </c>
      <c r="W2749" s="399">
        <f t="shared" si="8743"/>
        <v>16</v>
      </c>
      <c r="X2749" s="399" t="s">
        <v>125</v>
      </c>
      <c r="Y2749" s="389">
        <f t="shared" ref="Y2749" si="8839">D2735</f>
        <v>4</v>
      </c>
      <c r="Z2749" s="400" t="s">
        <v>176</v>
      </c>
      <c r="AA2749" s="402">
        <f t="shared" ref="AA2749:AA2751" si="8840">N2749*U2749*W2749*Y2749</f>
        <v>0</v>
      </c>
      <c r="AB2749" s="403"/>
    </row>
    <row r="2750" spans="1:28">
      <c r="A2750" s="384" t="str">
        <f t="shared" ref="A2750:B2750" si="8841">A2725</f>
        <v>Lantai 2</v>
      </c>
      <c r="B2750" s="385">
        <f t="shared" si="8841"/>
        <v>4</v>
      </c>
      <c r="C2750" s="393" t="s">
        <v>214</v>
      </c>
      <c r="D2750" s="398">
        <f>VLOOKUP(D2725,'Detail Balok'!$C$10:$BJ$140,51,FALSE)</f>
        <v>0</v>
      </c>
      <c r="E2750" s="388" t="s">
        <v>16</v>
      </c>
      <c r="F2750" s="388">
        <f>VLOOKUP(D2725,'Detail Balok'!$C$10:$BJ$140,53,FALSE)</f>
        <v>0</v>
      </c>
      <c r="G2750" s="405" t="s">
        <v>157</v>
      </c>
      <c r="H2750" s="395">
        <f>VLOOKUP(D2725,'Detail Balok'!$C$10:$BJ$140,55,FALSE)</f>
        <v>100</v>
      </c>
      <c r="I2750" s="388"/>
      <c r="J2750" s="399">
        <f t="shared" ref="J2750" si="8842">(D2726-2*F$5)/1000</f>
        <v>0.12</v>
      </c>
      <c r="K2750" s="400" t="s">
        <v>204</v>
      </c>
      <c r="L2750" s="399">
        <f t="shared" si="8836"/>
        <v>0.15</v>
      </c>
      <c r="M2750" s="399" t="s">
        <v>176</v>
      </c>
      <c r="N2750" s="399">
        <f t="shared" si="8837"/>
        <v>0.27</v>
      </c>
      <c r="O2750" s="399"/>
      <c r="P2750" s="399"/>
      <c r="Q2750" s="399"/>
      <c r="R2750" s="399"/>
      <c r="S2750" s="399"/>
      <c r="T2750" s="399" t="s">
        <v>125</v>
      </c>
      <c r="U2750" s="401">
        <f t="shared" si="8838"/>
        <v>0</v>
      </c>
      <c r="V2750" s="399" t="s">
        <v>125</v>
      </c>
      <c r="W2750" s="399">
        <f t="shared" si="8743"/>
        <v>23</v>
      </c>
      <c r="X2750" s="399" t="s">
        <v>125</v>
      </c>
      <c r="Y2750" s="389">
        <f t="shared" ref="Y2750" si="8843">D2735</f>
        <v>4</v>
      </c>
      <c r="Z2750" s="400" t="s">
        <v>176</v>
      </c>
      <c r="AA2750" s="402">
        <f t="shared" si="8840"/>
        <v>0</v>
      </c>
      <c r="AB2750" s="403"/>
    </row>
    <row r="2751" spans="1:28">
      <c r="A2751" s="384" t="str">
        <f t="shared" ref="A2751:B2751" si="8844">A2725</f>
        <v>Lantai 2</v>
      </c>
      <c r="B2751" s="385">
        <f t="shared" si="8844"/>
        <v>4</v>
      </c>
      <c r="C2751" s="393" t="s">
        <v>213</v>
      </c>
      <c r="D2751" s="398">
        <f>VLOOKUP(D2725,'Detail Balok'!$C$10:$BJ$140,56,FALSE)</f>
        <v>0</v>
      </c>
      <c r="E2751" s="388" t="s">
        <v>16</v>
      </c>
      <c r="F2751" s="388">
        <f>VLOOKUP(D2725,'Detail Balok'!$C$10:$BJ$140,58,FALSE)</f>
        <v>0</v>
      </c>
      <c r="G2751" s="405" t="s">
        <v>157</v>
      </c>
      <c r="H2751" s="395">
        <f>VLOOKUP(D2725,'Detail Balok'!$C$10:$BJ$140,60,FALSE)</f>
        <v>100</v>
      </c>
      <c r="I2751" s="388"/>
      <c r="J2751" s="399">
        <f t="shared" ref="J2751" si="8845">(D2726-2*F$5)/1000</f>
        <v>0.12</v>
      </c>
      <c r="K2751" s="400" t="s">
        <v>204</v>
      </c>
      <c r="L2751" s="399">
        <f t="shared" si="8836"/>
        <v>0.15</v>
      </c>
      <c r="M2751" s="399" t="s">
        <v>176</v>
      </c>
      <c r="N2751" s="399">
        <f t="shared" si="8837"/>
        <v>0.27</v>
      </c>
      <c r="O2751" s="399"/>
      <c r="P2751" s="399"/>
      <c r="Q2751" s="399"/>
      <c r="R2751" s="399"/>
      <c r="S2751" s="399"/>
      <c r="T2751" s="399" t="s">
        <v>125</v>
      </c>
      <c r="U2751" s="401">
        <f t="shared" si="8838"/>
        <v>0</v>
      </c>
      <c r="V2751" s="399" t="s">
        <v>125</v>
      </c>
      <c r="W2751" s="399">
        <f t="shared" si="8743"/>
        <v>16</v>
      </c>
      <c r="X2751" s="399" t="s">
        <v>125</v>
      </c>
      <c r="Y2751" s="389">
        <f t="shared" ref="Y2751" si="8846">D2735</f>
        <v>4</v>
      </c>
      <c r="Z2751" s="400" t="s">
        <v>176</v>
      </c>
      <c r="AA2751" s="402">
        <f t="shared" si="8840"/>
        <v>0</v>
      </c>
      <c r="AB2751" s="403"/>
    </row>
    <row r="2752" spans="1:28">
      <c r="A2752" s="391"/>
      <c r="B2752" s="392"/>
      <c r="C2752" s="392"/>
      <c r="D2752" s="394"/>
      <c r="E2752" s="388"/>
      <c r="F2752" s="388"/>
      <c r="G2752" s="388"/>
      <c r="H2752" s="395"/>
      <c r="I2752" s="388"/>
      <c r="J2752" s="402"/>
      <c r="K2752" s="388"/>
      <c r="L2752" s="388"/>
      <c r="M2752" s="388"/>
      <c r="N2752" s="388"/>
      <c r="O2752" s="388"/>
      <c r="P2752" s="388"/>
      <c r="Q2752" s="388"/>
      <c r="R2752" s="388"/>
      <c r="S2752" s="388"/>
      <c r="T2752" s="388"/>
      <c r="U2752" s="388"/>
      <c r="V2752" s="388"/>
      <c r="W2752" s="388"/>
      <c r="X2752" s="388"/>
      <c r="Y2752" s="389"/>
      <c r="Z2752" s="388"/>
      <c r="AA2752" s="402"/>
      <c r="AB2752" s="403"/>
    </row>
    <row r="2753" spans="1:28" ht="15.75" thickBot="1">
      <c r="A2753" s="406"/>
      <c r="B2753" s="407"/>
      <c r="C2753" s="407"/>
      <c r="D2753" s="408"/>
      <c r="E2753" s="409"/>
      <c r="F2753" s="409"/>
      <c r="G2753" s="409"/>
      <c r="H2753" s="410"/>
      <c r="I2753" s="409"/>
      <c r="J2753" s="409"/>
      <c r="K2753" s="409"/>
      <c r="L2753" s="409"/>
      <c r="M2753" s="409"/>
      <c r="N2753" s="409"/>
      <c r="O2753" s="409"/>
      <c r="P2753" s="409"/>
      <c r="Q2753" s="409"/>
      <c r="R2753" s="409"/>
      <c r="S2753" s="409"/>
      <c r="T2753" s="409"/>
      <c r="U2753" s="409"/>
      <c r="V2753" s="409"/>
      <c r="W2753" s="409"/>
      <c r="X2753" s="409"/>
      <c r="Y2753" s="411"/>
      <c r="Z2753" s="409"/>
      <c r="AA2753" s="412"/>
      <c r="AB2753" s="413"/>
    </row>
    <row r="2754" spans="1:28">
      <c r="A2754" s="377"/>
      <c r="B2754" s="378"/>
      <c r="C2754" s="378"/>
      <c r="D2754" s="379"/>
      <c r="E2754" s="380"/>
      <c r="F2754" s="380"/>
      <c r="G2754" s="380"/>
      <c r="H2754" s="381"/>
      <c r="I2754" s="380"/>
      <c r="J2754" s="380"/>
      <c r="K2754" s="380"/>
      <c r="L2754" s="380"/>
      <c r="M2754" s="380"/>
      <c r="N2754" s="380"/>
      <c r="O2754" s="380"/>
      <c r="P2754" s="380"/>
      <c r="Q2754" s="380"/>
      <c r="R2754" s="380"/>
      <c r="S2754" s="380"/>
      <c r="T2754" s="380"/>
      <c r="U2754" s="380"/>
      <c r="V2754" s="380"/>
      <c r="W2754" s="380"/>
      <c r="X2754" s="380"/>
      <c r="Y2754" s="382"/>
      <c r="Z2754" s="380"/>
      <c r="AA2754" s="380"/>
      <c r="AB2754" s="383"/>
    </row>
    <row r="2755" spans="1:28">
      <c r="A2755" s="384" t="str">
        <f t="shared" si="8752"/>
        <v>Lantai 2</v>
      </c>
      <c r="B2755" s="385">
        <f t="shared" si="8753"/>
        <v>5</v>
      </c>
      <c r="C2755" s="386" t="str">
        <f t="shared" ref="C2755" si="8847">CONCATENATE(A2755," no. ",B2755)</f>
        <v>Lantai 2 no. 5</v>
      </c>
      <c r="D2755" s="2562" t="str">
        <f>VLOOKUP(C2755,'Data Panjang Balok'!$C$9:$N$254,2,FALSE)</f>
        <v>CL24-1</v>
      </c>
      <c r="E2755" s="2576"/>
      <c r="F2755" s="2576"/>
      <c r="G2755" s="2576"/>
      <c r="H2755" s="2577"/>
      <c r="I2755" s="387"/>
      <c r="J2755" s="388"/>
      <c r="K2755" s="388"/>
      <c r="L2755" s="388"/>
      <c r="M2755" s="388"/>
      <c r="N2755" s="388"/>
      <c r="O2755" s="388"/>
      <c r="P2755" s="388"/>
      <c r="Q2755" s="388"/>
      <c r="R2755" s="388"/>
      <c r="S2755" s="388"/>
      <c r="T2755" s="388"/>
      <c r="U2755" s="388"/>
      <c r="V2755" s="388"/>
      <c r="W2755" s="388"/>
      <c r="X2755" s="388"/>
      <c r="Y2755" s="389"/>
      <c r="Z2755" s="388"/>
      <c r="AA2755" s="388"/>
      <c r="AB2755" s="390"/>
    </row>
    <row r="2756" spans="1:28">
      <c r="A2756" s="391"/>
      <c r="B2756" s="392"/>
      <c r="C2756" s="393" t="s">
        <v>118</v>
      </c>
      <c r="D2756" s="2578">
        <f>VLOOKUP(D2755,'Detail Balok'!$C$10:$AU$140,2,FALSE)</f>
        <v>200</v>
      </c>
      <c r="E2756" s="2579"/>
      <c r="F2756" s="388" t="s">
        <v>125</v>
      </c>
      <c r="G2756" s="2579">
        <f>VLOOKUP(D2755,'Detail Balok'!$C$10:$AU$140,3,FALSE)</f>
        <v>400</v>
      </c>
      <c r="H2756" s="2580"/>
      <c r="I2756" s="388"/>
      <c r="J2756" s="396"/>
      <c r="K2756" s="396"/>
      <c r="L2756" s="396"/>
      <c r="M2756" s="396"/>
      <c r="N2756" s="396"/>
      <c r="O2756" s="396"/>
      <c r="P2756" s="396"/>
      <c r="Q2756" s="396"/>
      <c r="R2756" s="396"/>
      <c r="S2756" s="396"/>
      <c r="T2756" s="396"/>
      <c r="U2756" s="388"/>
      <c r="V2756" s="396"/>
      <c r="W2756" s="388"/>
      <c r="X2756" s="396"/>
      <c r="Y2756" s="389"/>
      <c r="Z2756" s="396"/>
      <c r="AA2756" s="388"/>
      <c r="AB2756" s="390"/>
    </row>
    <row r="2757" spans="1:28">
      <c r="A2757" s="391"/>
      <c r="B2757" s="392"/>
      <c r="C2757" s="393" t="s">
        <v>198</v>
      </c>
      <c r="D2757" s="2562">
        <f>VLOOKUP(C2755,'Data Panjang Balok'!$C$9:$N$254,4,FALSE)</f>
        <v>2475</v>
      </c>
      <c r="E2757" s="2563"/>
      <c r="F2757" s="2563"/>
      <c r="G2757" s="2563"/>
      <c r="H2757" s="2564"/>
      <c r="I2757" s="397"/>
      <c r="J2757" s="396"/>
      <c r="K2757" s="396"/>
      <c r="L2757" s="396"/>
      <c r="M2757" s="396"/>
      <c r="N2757" s="396"/>
      <c r="O2757" s="396"/>
      <c r="P2757" s="396"/>
      <c r="Q2757" s="396"/>
      <c r="R2757" s="396"/>
      <c r="S2757" s="396"/>
      <c r="T2757" s="396"/>
      <c r="U2757" s="388"/>
      <c r="V2757" s="396"/>
      <c r="W2757" s="388"/>
      <c r="X2757" s="396"/>
      <c r="Y2757" s="389"/>
      <c r="Z2757" s="396"/>
      <c r="AA2757" s="388"/>
      <c r="AB2757" s="390"/>
    </row>
    <row r="2758" spans="1:28">
      <c r="A2758" s="391"/>
      <c r="B2758" s="392"/>
      <c r="C2758" s="393" t="s">
        <v>199</v>
      </c>
      <c r="D2758" s="2562">
        <f>VLOOKUP(C2755,'Data Panjang Balok'!$C$9:$N$254,7,FALSE)</f>
        <v>2475</v>
      </c>
      <c r="E2758" s="2563"/>
      <c r="F2758" s="2563"/>
      <c r="G2758" s="2563"/>
      <c r="H2758" s="2564"/>
      <c r="I2758" s="397"/>
      <c r="J2758" s="396"/>
      <c r="K2758" s="396"/>
      <c r="L2758" s="396"/>
      <c r="M2758" s="396"/>
      <c r="N2758" s="396"/>
      <c r="O2758" s="396"/>
      <c r="P2758" s="396"/>
      <c r="Q2758" s="396"/>
      <c r="R2758" s="396"/>
      <c r="S2758" s="396"/>
      <c r="T2758" s="396"/>
      <c r="U2758" s="388"/>
      <c r="V2758" s="396"/>
      <c r="W2758" s="388"/>
      <c r="X2758" s="396"/>
      <c r="Y2758" s="389"/>
      <c r="Z2758" s="396"/>
      <c r="AA2758" s="388"/>
      <c r="AB2758" s="390"/>
    </row>
    <row r="2759" spans="1:28">
      <c r="A2759" s="391"/>
      <c r="B2759" s="392"/>
      <c r="C2759" s="393" t="s">
        <v>200</v>
      </c>
      <c r="D2759" s="2562">
        <f>VLOOKUP(C2755,'Data Panjang Balok'!$C$9:$N$254,9,FALSE)</f>
        <v>0</v>
      </c>
      <c r="E2759" s="2563"/>
      <c r="F2759" s="2563"/>
      <c r="G2759" s="2563"/>
      <c r="H2759" s="2564"/>
      <c r="I2759" s="397"/>
      <c r="J2759" s="396"/>
      <c r="K2759" s="396"/>
      <c r="L2759" s="396"/>
      <c r="M2759" s="396"/>
      <c r="N2759" s="396"/>
      <c r="O2759" s="396"/>
      <c r="P2759" s="396"/>
      <c r="Q2759" s="396"/>
      <c r="R2759" s="396"/>
      <c r="S2759" s="396"/>
      <c r="T2759" s="396"/>
      <c r="U2759" s="388"/>
      <c r="V2759" s="396"/>
      <c r="W2759" s="388"/>
      <c r="X2759" s="396"/>
      <c r="Y2759" s="389"/>
      <c r="Z2759" s="396"/>
      <c r="AA2759" s="388"/>
      <c r="AB2759" s="390"/>
    </row>
    <row r="2760" spans="1:28">
      <c r="A2760" s="391"/>
      <c r="B2760" s="392"/>
      <c r="C2760" s="393" t="s">
        <v>201</v>
      </c>
      <c r="D2760" s="2562">
        <f>VLOOKUP(C2755,'Data Panjang Balok'!$C$9:$N$254,10,FALSE)</f>
        <v>0</v>
      </c>
      <c r="E2760" s="2563"/>
      <c r="F2760" s="2563"/>
      <c r="G2760" s="2563"/>
      <c r="H2760" s="2564"/>
      <c r="I2760" s="397"/>
      <c r="J2760" s="396"/>
      <c r="K2760" s="396"/>
      <c r="L2760" s="396"/>
      <c r="M2760" s="396"/>
      <c r="N2760" s="396"/>
      <c r="O2760" s="396"/>
      <c r="P2760" s="396"/>
      <c r="Q2760" s="396"/>
      <c r="R2760" s="396"/>
      <c r="S2760" s="396"/>
      <c r="T2760" s="396"/>
      <c r="U2760" s="388"/>
      <c r="V2760" s="396"/>
      <c r="W2760" s="388"/>
      <c r="X2760" s="396"/>
      <c r="Y2760" s="389"/>
      <c r="Z2760" s="396"/>
      <c r="AA2760" s="388"/>
      <c r="AB2760" s="390"/>
    </row>
    <row r="2761" spans="1:28">
      <c r="A2761" s="391"/>
      <c r="B2761" s="392"/>
      <c r="C2761" s="393" t="s">
        <v>48</v>
      </c>
      <c r="D2761" s="2562">
        <f>VLOOKUP(C2755,'Data Panjang Balok'!$C$9:$N$254,3,FALSE)</f>
        <v>1</v>
      </c>
      <c r="E2761" s="2563"/>
      <c r="F2761" s="2563"/>
      <c r="G2761" s="2563"/>
      <c r="H2761" s="2564"/>
      <c r="I2761" s="397"/>
      <c r="J2761" s="396"/>
      <c r="K2761" s="396"/>
      <c r="L2761" s="396"/>
      <c r="M2761" s="396"/>
      <c r="N2761" s="396"/>
      <c r="O2761" s="396"/>
      <c r="P2761" s="396"/>
      <c r="Q2761" s="396"/>
      <c r="R2761" s="396"/>
      <c r="S2761" s="396"/>
      <c r="T2761" s="396"/>
      <c r="U2761" s="388"/>
      <c r="V2761" s="396"/>
      <c r="W2761" s="388"/>
      <c r="X2761" s="396"/>
      <c r="Y2761" s="389"/>
      <c r="Z2761" s="396"/>
      <c r="AA2761" s="388"/>
      <c r="AB2761" s="390"/>
    </row>
    <row r="2762" spans="1:28">
      <c r="A2762" s="384" t="str">
        <f t="shared" ref="A2762:B2762" si="8848">A2755</f>
        <v>Lantai 2</v>
      </c>
      <c r="B2762" s="385">
        <f t="shared" si="8848"/>
        <v>5</v>
      </c>
      <c r="C2762" s="393" t="s">
        <v>202</v>
      </c>
      <c r="D2762" s="398">
        <f>VLOOKUP(D2755,'Detail Balok'!$C$10:$AU$140,4,FALSE)</f>
        <v>3</v>
      </c>
      <c r="E2762" s="388" t="s">
        <v>16</v>
      </c>
      <c r="F2762" s="388">
        <f>VLOOKUP(D2755,'Detail Balok'!$C$10:$AU$140,6,FALSE)</f>
        <v>16</v>
      </c>
      <c r="G2762" s="388"/>
      <c r="H2762" s="395"/>
      <c r="I2762" s="388" t="s">
        <v>203</v>
      </c>
      <c r="J2762" s="399">
        <f t="shared" ref="J2762" si="8849">+D2757/4/1000</f>
        <v>0.61875000000000002</v>
      </c>
      <c r="K2762" s="400" t="s">
        <v>204</v>
      </c>
      <c r="L2762" s="399">
        <f t="shared" ref="L2762" si="8850">MAX(VLOOKUP(F2762,N$6:P$15,3,FALSE)/1000,2/3*D2759/1000)+F$16*F2762/1000</f>
        <v>0.192</v>
      </c>
      <c r="M2762" s="399" t="s">
        <v>176</v>
      </c>
      <c r="N2762" s="399">
        <f t="shared" ref="N2762:N2764" si="8851">J2762+L2762</f>
        <v>0.81075000000000008</v>
      </c>
      <c r="O2762" s="399" t="s">
        <v>204</v>
      </c>
      <c r="P2762" s="389">
        <f t="shared" ref="P2762" si="8852">D2762-D2763</f>
        <v>0</v>
      </c>
      <c r="Q2762" s="399" t="s">
        <v>125</v>
      </c>
      <c r="R2762" s="399">
        <f t="shared" ref="R2762" si="8853">IF(P2762&gt;0,$F$18*F2762/1000,0)</f>
        <v>0</v>
      </c>
      <c r="S2762" s="399" t="s">
        <v>205</v>
      </c>
      <c r="T2762" s="399" t="s">
        <v>125</v>
      </c>
      <c r="U2762" s="401">
        <f t="shared" ref="U2762:U2764" si="8854">0.006165*F2762^2</f>
        <v>1.5782400000000001</v>
      </c>
      <c r="V2762" s="399"/>
      <c r="W2762" s="399"/>
      <c r="X2762" s="399" t="s">
        <v>125</v>
      </c>
      <c r="Y2762" s="389">
        <f t="shared" ref="Y2762" si="8855">D2761</f>
        <v>1</v>
      </c>
      <c r="Z2762" s="400" t="s">
        <v>176</v>
      </c>
      <c r="AA2762" s="402">
        <f t="shared" ref="AA2762" si="8856">IF(AA2765=0,(D2762*N2762+P2762*R2762)*U2762*Y2762,0)</f>
        <v>0</v>
      </c>
      <c r="AB2762" s="403"/>
    </row>
    <row r="2763" spans="1:28">
      <c r="A2763" s="384" t="str">
        <f t="shared" ref="A2763:B2763" si="8857">A2755</f>
        <v>Lantai 2</v>
      </c>
      <c r="B2763" s="385">
        <f t="shared" si="8857"/>
        <v>5</v>
      </c>
      <c r="C2763" s="393" t="s">
        <v>206</v>
      </c>
      <c r="D2763" s="398">
        <f>VLOOKUP(D2755,'Detail Balok'!$C$10:$AU$140,7,FALSE)</f>
        <v>3</v>
      </c>
      <c r="E2763" s="388" t="s">
        <v>16</v>
      </c>
      <c r="F2763" s="388">
        <f>VLOOKUP(D2755,'Detail Balok'!$C$10:$AU$140,9,FALSE)</f>
        <v>16</v>
      </c>
      <c r="G2763" s="388"/>
      <c r="H2763" s="395"/>
      <c r="I2763" s="388" t="s">
        <v>203</v>
      </c>
      <c r="J2763" s="399">
        <f t="shared" ref="J2763" si="8858">+D2757/2/1000</f>
        <v>1.2375</v>
      </c>
      <c r="K2763" s="400" t="s">
        <v>204</v>
      </c>
      <c r="L2763" s="399"/>
      <c r="M2763" s="399" t="s">
        <v>176</v>
      </c>
      <c r="N2763" s="399">
        <f t="shared" si="8851"/>
        <v>1.2375</v>
      </c>
      <c r="O2763" s="399" t="s">
        <v>204</v>
      </c>
      <c r="P2763" s="389">
        <f t="shared" ref="P2763" si="8859">MAX(D2763-D2762,D2763-D2764)</f>
        <v>0</v>
      </c>
      <c r="Q2763" s="399" t="s">
        <v>125</v>
      </c>
      <c r="R2763" s="399">
        <f t="shared" ref="R2763" si="8860">IF(P2763&gt;0,2*(1-2*$F$19-1/2)*D2758/1000,0)</f>
        <v>0</v>
      </c>
      <c r="S2763" s="399" t="s">
        <v>205</v>
      </c>
      <c r="T2763" s="399" t="s">
        <v>125</v>
      </c>
      <c r="U2763" s="401">
        <f t="shared" si="8854"/>
        <v>1.5782400000000001</v>
      </c>
      <c r="V2763" s="399"/>
      <c r="W2763" s="399"/>
      <c r="X2763" s="399" t="s">
        <v>125</v>
      </c>
      <c r="Y2763" s="389">
        <f t="shared" ref="Y2763" si="8861">D2761</f>
        <v>1</v>
      </c>
      <c r="Z2763" s="400" t="s">
        <v>176</v>
      </c>
      <c r="AA2763" s="402">
        <f t="shared" ref="AA2763" si="8862">IF(AA2765=0,(D2763*N2763+P2763*R2763)*U2763*Y2763,0)</f>
        <v>0</v>
      </c>
      <c r="AB2763" s="403"/>
    </row>
    <row r="2764" spans="1:28">
      <c r="A2764" s="384" t="str">
        <f t="shared" ref="A2764:B2764" si="8863">A2755</f>
        <v>Lantai 2</v>
      </c>
      <c r="B2764" s="385">
        <f t="shared" si="8863"/>
        <v>5</v>
      </c>
      <c r="C2764" s="393" t="s">
        <v>202</v>
      </c>
      <c r="D2764" s="398">
        <f>VLOOKUP(D2755,'Detail Balok'!$C$10:$AU$140,10,FALSE)</f>
        <v>3</v>
      </c>
      <c r="E2764" s="388" t="s">
        <v>16</v>
      </c>
      <c r="F2764" s="388">
        <f>VLOOKUP(D2755,'Detail Balok'!$C$10:$AU$140,12,FALSE)</f>
        <v>16</v>
      </c>
      <c r="G2764" s="388"/>
      <c r="H2764" s="395"/>
      <c r="I2764" s="388" t="s">
        <v>203</v>
      </c>
      <c r="J2764" s="399">
        <f t="shared" ref="J2764" si="8864">+D2757/4/1000</f>
        <v>0.61875000000000002</v>
      </c>
      <c r="K2764" s="400" t="s">
        <v>204</v>
      </c>
      <c r="L2764" s="399">
        <f t="shared" ref="L2764" si="8865">MAX(VLOOKUP(F2764,N$6:P$15,3,FALSE)/1000,2/3*D2759/1000)+F$16*F2764/1000</f>
        <v>0.192</v>
      </c>
      <c r="M2764" s="399" t="s">
        <v>176</v>
      </c>
      <c r="N2764" s="399">
        <f t="shared" si="8851"/>
        <v>0.81075000000000008</v>
      </c>
      <c r="O2764" s="399" t="s">
        <v>204</v>
      </c>
      <c r="P2764" s="389">
        <f t="shared" ref="P2764" si="8866">D2764-D2763</f>
        <v>0</v>
      </c>
      <c r="Q2764" s="399" t="s">
        <v>125</v>
      </c>
      <c r="R2764" s="399">
        <f t="shared" ref="R2764" si="8867">IF(P2764&gt;0,$F$18*F2764/1000,0)</f>
        <v>0</v>
      </c>
      <c r="S2764" s="399" t="s">
        <v>205</v>
      </c>
      <c r="T2764" s="399" t="s">
        <v>125</v>
      </c>
      <c r="U2764" s="401">
        <f t="shared" si="8854"/>
        <v>1.5782400000000001</v>
      </c>
      <c r="V2764" s="399"/>
      <c r="W2764" s="399"/>
      <c r="X2764" s="399" t="s">
        <v>125</v>
      </c>
      <c r="Y2764" s="389">
        <f t="shared" ref="Y2764" si="8868">D2761</f>
        <v>1</v>
      </c>
      <c r="Z2764" s="400" t="s">
        <v>176</v>
      </c>
      <c r="AA2764" s="402">
        <f t="shared" ref="AA2764" si="8869">IF(AA2765=0,(D2764*N2764+P2764*R2764)*U2764*Y2764,0)</f>
        <v>0</v>
      </c>
      <c r="AB2764" s="403"/>
    </row>
    <row r="2765" spans="1:28">
      <c r="A2765" s="384" t="str">
        <f t="shared" ref="A2765:B2765" si="8870">A2755</f>
        <v>Lantai 2</v>
      </c>
      <c r="B2765" s="385">
        <f t="shared" si="8870"/>
        <v>5</v>
      </c>
      <c r="C2765" s="393"/>
      <c r="D2765" s="398">
        <f t="shared" si="8673"/>
        <v>3</v>
      </c>
      <c r="E2765" s="388" t="s">
        <v>16</v>
      </c>
      <c r="F2765" s="388">
        <f t="shared" si="8674"/>
        <v>16</v>
      </c>
      <c r="G2765" s="388"/>
      <c r="H2765" s="395"/>
      <c r="I2765" s="388"/>
      <c r="J2765" s="396"/>
      <c r="K2765" s="396"/>
      <c r="L2765" s="404" t="s">
        <v>207</v>
      </c>
      <c r="M2765" s="399" t="s">
        <v>176</v>
      </c>
      <c r="N2765" s="399">
        <f t="shared" ref="N2765" si="8871">IF(AND(D2762=D2763,D2762=D2764,D2763=D2764,F2762=F2763,F2762=F2764,F2763=F2764),SUM(N2762:N2764),0)</f>
        <v>2.8590000000000004</v>
      </c>
      <c r="O2765" s="399" t="s">
        <v>204</v>
      </c>
      <c r="P2765" s="389">
        <f t="shared" ref="P2765" si="8872">IF(N2765&gt;12,ROUNDDOWN(N2765/12,0),0)</f>
        <v>0</v>
      </c>
      <c r="Q2765" s="399" t="s">
        <v>125</v>
      </c>
      <c r="R2765" s="399">
        <f t="shared" ref="R2765" si="8873">IF(P2765&gt;0,MAX(VLOOKUP(F2765,$D$6:$G$15,3,FALSE),600),0)/1000</f>
        <v>0</v>
      </c>
      <c r="S2765" s="396"/>
      <c r="T2765" s="396" t="s">
        <v>125</v>
      </c>
      <c r="U2765" s="401">
        <f t="shared" si="8678"/>
        <v>1.5782400000000001</v>
      </c>
      <c r="V2765" s="396" t="s">
        <v>125</v>
      </c>
      <c r="W2765" s="399">
        <f t="shared" ref="W2765" si="8874">D2765</f>
        <v>3</v>
      </c>
      <c r="X2765" s="399" t="s">
        <v>125</v>
      </c>
      <c r="Y2765" s="389">
        <f t="shared" si="8680"/>
        <v>1</v>
      </c>
      <c r="Z2765" s="400" t="s">
        <v>176</v>
      </c>
      <c r="AA2765" s="402">
        <f t="shared" ref="AA2765" si="8875">(N2765+P2765*R2765/1000)*U2765*W2765*Y2765</f>
        <v>13.536564480000003</v>
      </c>
      <c r="AB2765" s="390"/>
    </row>
    <row r="2766" spans="1:28">
      <c r="A2766" s="384"/>
      <c r="B2766" s="385"/>
      <c r="C2766" s="393"/>
      <c r="D2766" s="398"/>
      <c r="E2766" s="388"/>
      <c r="F2766" s="388"/>
      <c r="G2766" s="388"/>
      <c r="H2766" s="395"/>
      <c r="I2766" s="388"/>
      <c r="J2766" s="396"/>
      <c r="K2766" s="396"/>
      <c r="L2766" s="404"/>
      <c r="M2766" s="399"/>
      <c r="N2766" s="399"/>
      <c r="O2766" s="396"/>
      <c r="P2766" s="389"/>
      <c r="Q2766" s="396"/>
      <c r="R2766" s="396"/>
      <c r="S2766" s="396"/>
      <c r="T2766" s="396"/>
      <c r="U2766" s="401"/>
      <c r="V2766" s="396"/>
      <c r="W2766" s="399"/>
      <c r="X2766" s="396"/>
      <c r="Y2766" s="389"/>
      <c r="Z2766" s="396"/>
      <c r="AA2766" s="388"/>
      <c r="AB2766" s="390"/>
    </row>
    <row r="2767" spans="1:28">
      <c r="A2767" s="384" t="str">
        <f t="shared" ref="A2767:B2767" si="8876">A2755</f>
        <v>Lantai 2</v>
      </c>
      <c r="B2767" s="385">
        <f t="shared" si="8876"/>
        <v>5</v>
      </c>
      <c r="C2767" s="393" t="s">
        <v>208</v>
      </c>
      <c r="D2767" s="398">
        <f>VLOOKUP(D2755,'Detail Balok'!$C$10:$AU$140,13,FALSE)</f>
        <v>0</v>
      </c>
      <c r="E2767" s="388" t="s">
        <v>16</v>
      </c>
      <c r="F2767" s="388">
        <f>VLOOKUP(D2755,'Detail Balok'!$C$10:$AU$140,15,FALSE)</f>
        <v>8</v>
      </c>
      <c r="G2767" s="388"/>
      <c r="H2767" s="395"/>
      <c r="I2767" s="388"/>
      <c r="J2767" s="399">
        <f t="shared" ref="J2767" si="8877">+D2757/1000</f>
        <v>2.4750000000000001</v>
      </c>
      <c r="K2767" s="400" t="s">
        <v>204</v>
      </c>
      <c r="L2767" s="399">
        <f t="shared" ref="L2767" si="8878">2*$F$16*F2767/1000</f>
        <v>0.192</v>
      </c>
      <c r="M2767" s="399" t="s">
        <v>176</v>
      </c>
      <c r="N2767" s="399">
        <f t="shared" ref="N2767" si="8879">J2767+L2767</f>
        <v>2.6670000000000003</v>
      </c>
      <c r="O2767" s="399" t="s">
        <v>204</v>
      </c>
      <c r="P2767" s="389">
        <f t="shared" ref="P2767" si="8880">IF(N2767&gt;12,ROUNDDOWN(N2767/12,0),0)</f>
        <v>0</v>
      </c>
      <c r="Q2767" s="399" t="s">
        <v>125</v>
      </c>
      <c r="R2767" s="399">
        <f t="shared" ref="R2767" si="8881">IF(P2767&gt;0,MAX(VLOOKUP(F2767,$D$6:$G$15,3,FALSE),600),0)/1000</f>
        <v>0</v>
      </c>
      <c r="S2767" s="399"/>
      <c r="T2767" s="399" t="s">
        <v>125</v>
      </c>
      <c r="U2767" s="401">
        <f t="shared" ref="U2767" si="8882">0.006165*F2767^2</f>
        <v>0.39456000000000002</v>
      </c>
      <c r="V2767" s="399" t="s">
        <v>125</v>
      </c>
      <c r="W2767" s="399">
        <f t="shared" ref="W2767" si="8883">+D2767</f>
        <v>0</v>
      </c>
      <c r="X2767" s="399" t="s">
        <v>125</v>
      </c>
      <c r="Y2767" s="389">
        <f t="shared" ref="Y2767" si="8884">D2761</f>
        <v>1</v>
      </c>
      <c r="Z2767" s="400" t="s">
        <v>176</v>
      </c>
      <c r="AA2767" s="402">
        <f t="shared" ref="AA2767" si="8885">(N2767+P2767*R2767/1000)*U2767*W2767*Y2767</f>
        <v>0</v>
      </c>
      <c r="AB2767" s="403"/>
    </row>
    <row r="2768" spans="1:28">
      <c r="A2768" s="384"/>
      <c r="B2768" s="385"/>
      <c r="C2768" s="393"/>
      <c r="D2768" s="398"/>
      <c r="E2768" s="388"/>
      <c r="F2768" s="388"/>
      <c r="G2768" s="388"/>
      <c r="H2768" s="395"/>
      <c r="I2768" s="388"/>
      <c r="J2768" s="399"/>
      <c r="K2768" s="400"/>
      <c r="L2768" s="399"/>
      <c r="M2768" s="399"/>
      <c r="N2768" s="399"/>
      <c r="O2768" s="399"/>
      <c r="P2768" s="389"/>
      <c r="Q2768" s="399"/>
      <c r="R2768" s="399"/>
      <c r="S2768" s="399"/>
      <c r="T2768" s="399"/>
      <c r="U2768" s="401"/>
      <c r="V2768" s="399"/>
      <c r="W2768" s="399"/>
      <c r="X2768" s="399"/>
      <c r="Y2768" s="389"/>
      <c r="Z2768" s="400"/>
      <c r="AA2768" s="402"/>
      <c r="AB2768" s="403"/>
    </row>
    <row r="2769" spans="1:28">
      <c r="A2769" s="384"/>
      <c r="B2769" s="385"/>
      <c r="C2769" s="393"/>
      <c r="D2769" s="398"/>
      <c r="E2769" s="388"/>
      <c r="F2769" s="388"/>
      <c r="G2769" s="388"/>
      <c r="H2769" s="395"/>
      <c r="I2769" s="388"/>
      <c r="J2769" s="396"/>
      <c r="K2769" s="396"/>
      <c r="L2769" s="396"/>
      <c r="M2769" s="396"/>
      <c r="N2769" s="396"/>
      <c r="O2769" s="396"/>
      <c r="P2769" s="389"/>
      <c r="Q2769" s="396"/>
      <c r="R2769" s="396"/>
      <c r="S2769" s="396"/>
      <c r="T2769" s="396"/>
      <c r="U2769" s="401"/>
      <c r="V2769" s="396"/>
      <c r="W2769" s="399"/>
      <c r="X2769" s="396"/>
      <c r="Y2769" s="389"/>
      <c r="Z2769" s="396"/>
      <c r="AA2769" s="388"/>
      <c r="AB2769" s="390"/>
    </row>
    <row r="2770" spans="1:28">
      <c r="A2770" s="384" t="str">
        <f t="shared" ref="A2770:B2770" si="8886">A2755</f>
        <v>Lantai 2</v>
      </c>
      <c r="B2770" s="385">
        <f t="shared" si="8886"/>
        <v>5</v>
      </c>
      <c r="C2770" s="393" t="s">
        <v>209</v>
      </c>
      <c r="D2770" s="398">
        <f>VLOOKUP(D2755,'Detail Balok'!$C$10:$AU$140,22,FALSE)</f>
        <v>3</v>
      </c>
      <c r="E2770" s="388" t="s">
        <v>16</v>
      </c>
      <c r="F2770" s="388">
        <f>VLOOKUP(D2755,'Detail Balok'!$C$10:$AU$140,24,FALSE)</f>
        <v>16</v>
      </c>
      <c r="G2770" s="388"/>
      <c r="H2770" s="395"/>
      <c r="I2770" s="388" t="s">
        <v>203</v>
      </c>
      <c r="J2770" s="399">
        <f t="shared" si="8693"/>
        <v>0.61875000000000002</v>
      </c>
      <c r="K2770" s="400" t="s">
        <v>204</v>
      </c>
      <c r="L2770" s="399">
        <f t="shared" ref="L2770" si="8887">MAX(VLOOKUP(F2770,N$6:P$15,3,FALSE)/1000,2/3*D2760/1000)+F$16*F2770/1000</f>
        <v>0.192</v>
      </c>
      <c r="M2770" s="399" t="s">
        <v>176</v>
      </c>
      <c r="N2770" s="399">
        <f t="shared" ref="N2770:N2772" si="8888">J2770+L2770</f>
        <v>0.81075000000000008</v>
      </c>
      <c r="O2770" s="399" t="s">
        <v>204</v>
      </c>
      <c r="P2770" s="389">
        <f t="shared" ref="P2770" si="8889">D2770-D2771</f>
        <v>0</v>
      </c>
      <c r="Q2770" s="399" t="s">
        <v>125</v>
      </c>
      <c r="R2770" s="399">
        <f t="shared" ref="R2770" si="8890">IF(P2770&gt;0,$F$18*F2770/1000,0)</f>
        <v>0</v>
      </c>
      <c r="S2770" s="399" t="s">
        <v>205</v>
      </c>
      <c r="T2770" s="399" t="s">
        <v>125</v>
      </c>
      <c r="U2770" s="401">
        <f t="shared" ref="U2770:U2772" si="8891">0.006165*F2770^2</f>
        <v>1.5782400000000001</v>
      </c>
      <c r="V2770" s="399"/>
      <c r="W2770" s="399"/>
      <c r="X2770" s="399" t="s">
        <v>125</v>
      </c>
      <c r="Y2770" s="389">
        <f t="shared" ref="Y2770" si="8892">D2761</f>
        <v>1</v>
      </c>
      <c r="Z2770" s="400" t="s">
        <v>176</v>
      </c>
      <c r="AA2770" s="402">
        <f t="shared" ref="AA2770" si="8893">IF(AA2773=0,(D2770*N2770+P2770*R2770)*U2770*Y2770,0)</f>
        <v>0</v>
      </c>
      <c r="AB2770" s="403"/>
    </row>
    <row r="2771" spans="1:28">
      <c r="A2771" s="384" t="str">
        <f t="shared" ref="A2771:B2771" si="8894">A2755</f>
        <v>Lantai 2</v>
      </c>
      <c r="B2771" s="385">
        <f t="shared" si="8894"/>
        <v>5</v>
      </c>
      <c r="C2771" s="393" t="s">
        <v>210</v>
      </c>
      <c r="D2771" s="398">
        <f>VLOOKUP(D2755,'Detail Balok'!$C$10:$AU$140,25,FALSE)</f>
        <v>3</v>
      </c>
      <c r="E2771" s="388" t="s">
        <v>16</v>
      </c>
      <c r="F2771" s="388">
        <f>VLOOKUP(D2755,'Detail Balok'!$C$10:$AU$140,27,FALSE)</f>
        <v>16</v>
      </c>
      <c r="G2771" s="388"/>
      <c r="H2771" s="395"/>
      <c r="I2771" s="388" t="s">
        <v>203</v>
      </c>
      <c r="J2771" s="399">
        <f t="shared" si="8693"/>
        <v>1.2375</v>
      </c>
      <c r="K2771" s="400" t="s">
        <v>204</v>
      </c>
      <c r="L2771" s="399"/>
      <c r="M2771" s="399" t="s">
        <v>176</v>
      </c>
      <c r="N2771" s="399">
        <f t="shared" si="8888"/>
        <v>1.2375</v>
      </c>
      <c r="O2771" s="399" t="s">
        <v>204</v>
      </c>
      <c r="P2771" s="389">
        <f t="shared" ref="P2771" si="8895">MAX(D2771-D2770,D2771-D2772)</f>
        <v>0</v>
      </c>
      <c r="Q2771" s="399" t="s">
        <v>125</v>
      </c>
      <c r="R2771" s="399">
        <f t="shared" ref="R2771" si="8896">IF(P2771&gt;0,2*(1-2*$F$19-1/2)*D2758/1000,0)</f>
        <v>0</v>
      </c>
      <c r="S2771" s="399" t="s">
        <v>205</v>
      </c>
      <c r="T2771" s="399" t="s">
        <v>125</v>
      </c>
      <c r="U2771" s="401">
        <f t="shared" si="8891"/>
        <v>1.5782400000000001</v>
      </c>
      <c r="V2771" s="399"/>
      <c r="W2771" s="399"/>
      <c r="X2771" s="399" t="s">
        <v>125</v>
      </c>
      <c r="Y2771" s="389">
        <f t="shared" ref="Y2771" si="8897">D2761</f>
        <v>1</v>
      </c>
      <c r="Z2771" s="400" t="s">
        <v>176</v>
      </c>
      <c r="AA2771" s="402">
        <f t="shared" ref="AA2771" si="8898">IF(AA2773=0,(D2771*N2771+P2771*R2771)*U2771*Y2771,0)</f>
        <v>0</v>
      </c>
      <c r="AB2771" s="403"/>
    </row>
    <row r="2772" spans="1:28">
      <c r="A2772" s="384" t="str">
        <f t="shared" ref="A2772:B2772" si="8899">A2755</f>
        <v>Lantai 2</v>
      </c>
      <c r="B2772" s="385">
        <f t="shared" si="8899"/>
        <v>5</v>
      </c>
      <c r="C2772" s="393" t="s">
        <v>209</v>
      </c>
      <c r="D2772" s="398">
        <f>VLOOKUP(D2755,'Detail Balok'!$C$10:$AU$140,28,FALSE)</f>
        <v>3</v>
      </c>
      <c r="E2772" s="388" t="s">
        <v>16</v>
      </c>
      <c r="F2772" s="388">
        <f>VLOOKUP(D2755,'Detail Balok'!$C$10:$AU$140,30,FALSE)</f>
        <v>16</v>
      </c>
      <c r="G2772" s="388"/>
      <c r="H2772" s="395"/>
      <c r="I2772" s="388" t="s">
        <v>203</v>
      </c>
      <c r="J2772" s="399">
        <f t="shared" si="8693"/>
        <v>0.61875000000000002</v>
      </c>
      <c r="K2772" s="400" t="s">
        <v>204</v>
      </c>
      <c r="L2772" s="399">
        <f t="shared" ref="L2772" si="8900">MAX(VLOOKUP(F2772,N$6:P$15,3,FALSE)/1000,2/3*D2760/1000)+F$16*F2772/1000</f>
        <v>0.192</v>
      </c>
      <c r="M2772" s="399" t="s">
        <v>176</v>
      </c>
      <c r="N2772" s="399">
        <f t="shared" si="8888"/>
        <v>0.81075000000000008</v>
      </c>
      <c r="O2772" s="399" t="s">
        <v>204</v>
      </c>
      <c r="P2772" s="389">
        <f t="shared" ref="P2772" si="8901">D2772-D2771</f>
        <v>0</v>
      </c>
      <c r="Q2772" s="399" t="s">
        <v>125</v>
      </c>
      <c r="R2772" s="399">
        <f t="shared" ref="R2772" si="8902">IF(P2772&gt;0,$F$18*F2772/1000,0)</f>
        <v>0</v>
      </c>
      <c r="S2772" s="399" t="s">
        <v>205</v>
      </c>
      <c r="T2772" s="399" t="s">
        <v>125</v>
      </c>
      <c r="U2772" s="401">
        <f t="shared" si="8891"/>
        <v>1.5782400000000001</v>
      </c>
      <c r="V2772" s="399"/>
      <c r="W2772" s="399"/>
      <c r="X2772" s="399" t="s">
        <v>125</v>
      </c>
      <c r="Y2772" s="389">
        <f t="shared" ref="Y2772" si="8903">D2761</f>
        <v>1</v>
      </c>
      <c r="Z2772" s="400" t="s">
        <v>176</v>
      </c>
      <c r="AA2772" s="402">
        <f t="shared" ref="AA2772" si="8904">IF(AA2773=0,(D2772*N2772+P2772*R2772)*U2772*Y2772,0)</f>
        <v>0</v>
      </c>
      <c r="AB2772" s="403"/>
    </row>
    <row r="2773" spans="1:28">
      <c r="A2773" s="384" t="str">
        <f t="shared" ref="A2773:B2773" si="8905">A2755</f>
        <v>Lantai 2</v>
      </c>
      <c r="B2773" s="385">
        <f t="shared" si="8905"/>
        <v>5</v>
      </c>
      <c r="C2773" s="393"/>
      <c r="D2773" s="398">
        <f t="shared" si="8713"/>
        <v>3</v>
      </c>
      <c r="E2773" s="388" t="s">
        <v>16</v>
      </c>
      <c r="F2773" s="388">
        <f t="shared" si="8714"/>
        <v>16</v>
      </c>
      <c r="G2773" s="388"/>
      <c r="H2773" s="395"/>
      <c r="I2773" s="388"/>
      <c r="J2773" s="396"/>
      <c r="K2773" s="396"/>
      <c r="L2773" s="404" t="s">
        <v>207</v>
      </c>
      <c r="M2773" s="399" t="s">
        <v>176</v>
      </c>
      <c r="N2773" s="399">
        <f t="shared" ref="N2773" si="8906">IF(AND(D2770=D2771,D2770=D2772,D2771=D2772,F2770=F2771,F2770=F2772,F2771=F2772),SUM(N2770:N2772),0)</f>
        <v>2.8590000000000004</v>
      </c>
      <c r="O2773" s="399" t="s">
        <v>204</v>
      </c>
      <c r="P2773" s="389">
        <f t="shared" ref="P2773" si="8907">IF(N2773&gt;12,ROUNDDOWN(N2773/12,0),0)</f>
        <v>0</v>
      </c>
      <c r="Q2773" s="399" t="s">
        <v>125</v>
      </c>
      <c r="R2773" s="399">
        <f t="shared" ref="R2773" si="8908">IF(P2773&gt;0,MAX(VLOOKUP(F2773,$D$6:$G$15,3,FALSE),600),0)/1000</f>
        <v>0</v>
      </c>
      <c r="S2773" s="396"/>
      <c r="T2773" s="396" t="s">
        <v>125</v>
      </c>
      <c r="U2773" s="401">
        <f t="shared" si="8718"/>
        <v>1.5782400000000001</v>
      </c>
      <c r="V2773" s="396" t="s">
        <v>125</v>
      </c>
      <c r="W2773" s="399">
        <f t="shared" ref="W2773" si="8909">D2773</f>
        <v>3</v>
      </c>
      <c r="X2773" s="399" t="s">
        <v>125</v>
      </c>
      <c r="Y2773" s="389">
        <f t="shared" si="8720"/>
        <v>1</v>
      </c>
      <c r="Z2773" s="400" t="s">
        <v>176</v>
      </c>
      <c r="AA2773" s="402">
        <f t="shared" ref="AA2773" si="8910">(N2773+P2773*R2773/1000)*U2773*W2773*Y2773</f>
        <v>13.536564480000003</v>
      </c>
      <c r="AB2773" s="403"/>
    </row>
    <row r="2774" spans="1:28">
      <c r="A2774" s="384"/>
      <c r="B2774" s="385"/>
      <c r="C2774" s="393"/>
      <c r="D2774" s="394"/>
      <c r="E2774" s="388"/>
      <c r="F2774" s="388"/>
      <c r="G2774" s="388"/>
      <c r="H2774" s="395"/>
      <c r="I2774" s="388"/>
      <c r="J2774" s="399"/>
      <c r="K2774" s="396"/>
      <c r="L2774" s="396"/>
      <c r="M2774" s="396"/>
      <c r="N2774" s="396"/>
      <c r="O2774" s="396"/>
      <c r="P2774" s="389"/>
      <c r="Q2774" s="396"/>
      <c r="R2774" s="396"/>
      <c r="S2774" s="396"/>
      <c r="T2774" s="396"/>
      <c r="U2774" s="401"/>
      <c r="V2774" s="396"/>
      <c r="W2774" s="388"/>
      <c r="X2774" s="396"/>
      <c r="Y2774" s="389"/>
      <c r="Z2774" s="396"/>
      <c r="AA2774" s="388"/>
      <c r="AB2774" s="390"/>
    </row>
    <row r="2775" spans="1:28">
      <c r="A2775" s="384" t="str">
        <f t="shared" ref="A2775:B2775" si="8911">A2755</f>
        <v>Lantai 2</v>
      </c>
      <c r="B2775" s="385">
        <f t="shared" si="8911"/>
        <v>5</v>
      </c>
      <c r="C2775" s="393" t="s">
        <v>211</v>
      </c>
      <c r="D2775" s="398">
        <f>VLOOKUP(D2755,'Detail Balok'!$C$10:$AU$140,31,FALSE)</f>
        <v>0</v>
      </c>
      <c r="E2775" s="388" t="s">
        <v>16</v>
      </c>
      <c r="F2775" s="388">
        <f>VLOOKUP(D2755,'Detail Balok'!$C$10:$AU$140,33,FALSE)</f>
        <v>10</v>
      </c>
      <c r="G2775" s="405" t="s">
        <v>157</v>
      </c>
      <c r="H2775" s="395">
        <f>VLOOKUP(D2755,'Detail Balok'!$C$10:$AU$140,35,FALSE)</f>
        <v>100</v>
      </c>
      <c r="I2775" s="388"/>
      <c r="J2775" s="400">
        <f t="shared" ref="J2775" si="8912">(IF(D2775=0,(2*(D2756+G2756))-(F$5*8),IF(D2775=3,(2*(D2756+G2756))-(F$5*8)+(G2756-2*F$5),IF(D2775=4,(2*(D2756+G2756))-(F$5*8)+2*(G2756-2*F$5)))))/1000</f>
        <v>0.88</v>
      </c>
      <c r="K2775" s="400" t="s">
        <v>204</v>
      </c>
      <c r="L2775" s="399">
        <f t="shared" ref="L2775:L2777" si="8913">IF(D2775=0,2*MAX(6*F2775,75),(D2775-1)*2*MAX(6*F2775,75))/1000</f>
        <v>0.15</v>
      </c>
      <c r="M2775" s="399" t="s">
        <v>176</v>
      </c>
      <c r="N2775" s="399">
        <f t="shared" ref="N2775:N2777" si="8914">J2775+L2775</f>
        <v>1.03</v>
      </c>
      <c r="O2775" s="399"/>
      <c r="P2775" s="389"/>
      <c r="Q2775" s="399"/>
      <c r="R2775" s="399"/>
      <c r="S2775" s="399"/>
      <c r="T2775" s="399" t="s">
        <v>125</v>
      </c>
      <c r="U2775" s="401">
        <f t="shared" ref="U2775:U2777" si="8915">0.006165*F2775^2</f>
        <v>0.61650000000000005</v>
      </c>
      <c r="V2775" s="399" t="s">
        <v>125</v>
      </c>
      <c r="W2775" s="399">
        <f t="shared" ref="W2775" si="8916">IF(D2758&gt;4*G2756,ROUND(MAX(D2758/4,2*G2756)/H2775,0)+1,ROUND(D2758/H2775,0)+1)</f>
        <v>9</v>
      </c>
      <c r="X2775" s="399" t="s">
        <v>125</v>
      </c>
      <c r="Y2775" s="389">
        <f t="shared" ref="Y2775" si="8917">D2761</f>
        <v>1</v>
      </c>
      <c r="Z2775" s="400" t="s">
        <v>176</v>
      </c>
      <c r="AA2775" s="402">
        <f t="shared" ref="AA2775:AA2777" si="8918">N2775*U2775*W2775*Y2775</f>
        <v>5.7149550000000007</v>
      </c>
      <c r="AB2775" s="403"/>
    </row>
    <row r="2776" spans="1:28">
      <c r="A2776" s="384" t="str">
        <f t="shared" ref="A2776:B2776" si="8919">A2755</f>
        <v>Lantai 2</v>
      </c>
      <c r="B2776" s="385">
        <f t="shared" si="8919"/>
        <v>5</v>
      </c>
      <c r="C2776" s="393" t="s">
        <v>212</v>
      </c>
      <c r="D2776" s="398">
        <f>VLOOKUP(D2755,'Detail Balok'!$C$10:$AU$140,36,FALSE)</f>
        <v>0</v>
      </c>
      <c r="E2776" s="388" t="s">
        <v>16</v>
      </c>
      <c r="F2776" s="388">
        <f>VLOOKUP(D2755,'Detail Balok'!$C$10:$AU$140,38,FALSE)</f>
        <v>10</v>
      </c>
      <c r="G2776" s="405" t="s">
        <v>157</v>
      </c>
      <c r="H2776" s="395">
        <f>VLOOKUP(D2755,'Detail Balok'!$C$10:$AU$140,40,FALSE)</f>
        <v>100</v>
      </c>
      <c r="I2776" s="388"/>
      <c r="J2776" s="400">
        <f t="shared" ref="J2776" si="8920">(IF(D2776=0,(2*(D2756+G2756))-(F$5*8),IF(D2776=3,(2*(D2756+G2756))-(F$5*8)+(G2756-2*F$5),IF(D2776=4,(2*(D2756+G2756))-(F$5*8)+2*(G2756-2*F$5)))))/1000</f>
        <v>0.88</v>
      </c>
      <c r="K2776" s="400" t="s">
        <v>204</v>
      </c>
      <c r="L2776" s="399">
        <f t="shared" si="8913"/>
        <v>0.15</v>
      </c>
      <c r="M2776" s="399" t="s">
        <v>176</v>
      </c>
      <c r="N2776" s="399">
        <f t="shared" si="8914"/>
        <v>1.03</v>
      </c>
      <c r="O2776" s="399"/>
      <c r="P2776" s="389"/>
      <c r="Q2776" s="399"/>
      <c r="R2776" s="399"/>
      <c r="S2776" s="399"/>
      <c r="T2776" s="399" t="s">
        <v>125</v>
      </c>
      <c r="U2776" s="401">
        <f t="shared" si="8915"/>
        <v>0.61650000000000005</v>
      </c>
      <c r="V2776" s="399" t="s">
        <v>125</v>
      </c>
      <c r="W2776" s="399">
        <f t="shared" ref="W2776" si="8921">IF(D2758-MAX(D2758/4,2*G2756)*2&gt;0,ROUND((D2758-MAX(D2758/4,2*G2756)*2)/H2776,0),0)</f>
        <v>9</v>
      </c>
      <c r="X2776" s="399" t="s">
        <v>125</v>
      </c>
      <c r="Y2776" s="389">
        <f t="shared" ref="Y2776" si="8922">D2761</f>
        <v>1</v>
      </c>
      <c r="Z2776" s="400" t="s">
        <v>176</v>
      </c>
      <c r="AA2776" s="402">
        <f t="shared" si="8918"/>
        <v>5.7149550000000007</v>
      </c>
      <c r="AB2776" s="403"/>
    </row>
    <row r="2777" spans="1:28">
      <c r="A2777" s="384" t="str">
        <f t="shared" ref="A2777:B2777" si="8923">A2755</f>
        <v>Lantai 2</v>
      </c>
      <c r="B2777" s="385">
        <f t="shared" si="8923"/>
        <v>5</v>
      </c>
      <c r="C2777" s="393" t="s">
        <v>211</v>
      </c>
      <c r="D2777" s="398">
        <f>VLOOKUP(D2755,'Detail Balok'!$C$10:$AU$140,41,FALSE)</f>
        <v>0</v>
      </c>
      <c r="E2777" s="388" t="s">
        <v>16</v>
      </c>
      <c r="F2777" s="388">
        <f>VLOOKUP(D2755,'Detail Balok'!$C$10:$AU$140,43,FALSE)</f>
        <v>10</v>
      </c>
      <c r="G2777" s="405" t="s">
        <v>157</v>
      </c>
      <c r="H2777" s="395">
        <f>VLOOKUP(D2755,'Detail Balok'!$C$10:$AU$140,45,FALSE)</f>
        <v>100</v>
      </c>
      <c r="I2777" s="388"/>
      <c r="J2777" s="400">
        <f t="shared" ref="J2777" si="8924">(IF(D2777=0,(2*(D2756+G2756))-(F$5*8),IF(D2777=3,(2*(D2756+G2756))-(F$5*8)+(G2756-2*F$5),IF(D2777=4,(2*(D2756+G2756))-(F$5*8)+2*(G2756-2*F$5)))))/1000</f>
        <v>0.88</v>
      </c>
      <c r="K2777" s="400" t="s">
        <v>204</v>
      </c>
      <c r="L2777" s="399">
        <f t="shared" si="8913"/>
        <v>0.15</v>
      </c>
      <c r="M2777" s="399" t="s">
        <v>176</v>
      </c>
      <c r="N2777" s="399">
        <f t="shared" si="8914"/>
        <v>1.03</v>
      </c>
      <c r="O2777" s="399"/>
      <c r="P2777" s="389"/>
      <c r="Q2777" s="399"/>
      <c r="R2777" s="399"/>
      <c r="S2777" s="399"/>
      <c r="T2777" s="399" t="s">
        <v>125</v>
      </c>
      <c r="U2777" s="401">
        <f t="shared" si="8915"/>
        <v>0.61650000000000005</v>
      </c>
      <c r="V2777" s="399" t="s">
        <v>125</v>
      </c>
      <c r="W2777" s="399">
        <f t="shared" ref="W2777" si="8925">IF(D2758&gt;4*G2756,ROUND(MAX(D2758/4,2*G2756)/H2777,0)+1,0)</f>
        <v>9</v>
      </c>
      <c r="X2777" s="399" t="s">
        <v>125</v>
      </c>
      <c r="Y2777" s="389">
        <f t="shared" ref="Y2777" si="8926">D2761</f>
        <v>1</v>
      </c>
      <c r="Z2777" s="400" t="s">
        <v>176</v>
      </c>
      <c r="AA2777" s="402">
        <f t="shared" si="8918"/>
        <v>5.7149550000000007</v>
      </c>
      <c r="AB2777" s="403"/>
    </row>
    <row r="2778" spans="1:28">
      <c r="A2778" s="384"/>
      <c r="B2778" s="385"/>
      <c r="C2778" s="393"/>
      <c r="D2778" s="394"/>
      <c r="E2778" s="388"/>
      <c r="F2778" s="388"/>
      <c r="G2778" s="388"/>
      <c r="H2778" s="395"/>
      <c r="I2778" s="388"/>
      <c r="J2778" s="399"/>
      <c r="K2778" s="396"/>
      <c r="L2778" s="396"/>
      <c r="M2778" s="396"/>
      <c r="N2778" s="396"/>
      <c r="O2778" s="396"/>
      <c r="P2778" s="389"/>
      <c r="Q2778" s="396"/>
      <c r="R2778" s="396"/>
      <c r="S2778" s="396"/>
      <c r="T2778" s="396"/>
      <c r="U2778" s="401"/>
      <c r="V2778" s="396"/>
      <c r="W2778" s="388"/>
      <c r="X2778" s="396"/>
      <c r="Y2778" s="389"/>
      <c r="Z2778" s="396"/>
      <c r="AA2778" s="388"/>
      <c r="AB2778" s="390"/>
    </row>
    <row r="2779" spans="1:28">
      <c r="A2779" s="384" t="str">
        <f t="shared" ref="A2779:B2779" si="8927">A2755</f>
        <v>Lantai 2</v>
      </c>
      <c r="B2779" s="385">
        <f t="shared" si="8927"/>
        <v>5</v>
      </c>
      <c r="C2779" s="393" t="s">
        <v>213</v>
      </c>
      <c r="D2779" s="398">
        <f>VLOOKUP(D2755,'Detail Balok'!$C$10:$BJ$140,46,FALSE)</f>
        <v>0</v>
      </c>
      <c r="E2779" s="388" t="s">
        <v>16</v>
      </c>
      <c r="F2779" s="388">
        <f>VLOOKUP(D2755,'Detail Balok'!$C$10:$BJ$140,48,FALSE)</f>
        <v>0</v>
      </c>
      <c r="G2779" s="405" t="s">
        <v>157</v>
      </c>
      <c r="H2779" s="395">
        <f>VLOOKUP(D2755,'Detail Balok'!$C$10:$BJ$140,50,FALSE)</f>
        <v>100</v>
      </c>
      <c r="I2779" s="388"/>
      <c r="J2779" s="399">
        <f t="shared" ref="J2779" si="8928">(D2756-2*F$5)/1000</f>
        <v>0.12</v>
      </c>
      <c r="K2779" s="400" t="s">
        <v>204</v>
      </c>
      <c r="L2779" s="399">
        <f t="shared" ref="L2779:L2781" si="8929">IF(D2779=0,2*MAX(6*F2779,75),(D2779-1)*2*MAX(6*F2779,75))/1000</f>
        <v>0.15</v>
      </c>
      <c r="M2779" s="399" t="s">
        <v>176</v>
      </c>
      <c r="N2779" s="399">
        <f t="shared" ref="N2779:N2781" si="8930">J2779+L2779</f>
        <v>0.27</v>
      </c>
      <c r="O2779" s="399"/>
      <c r="P2779" s="399"/>
      <c r="Q2779" s="399"/>
      <c r="R2779" s="399"/>
      <c r="S2779" s="399"/>
      <c r="T2779" s="399" t="s">
        <v>125</v>
      </c>
      <c r="U2779" s="401">
        <f t="shared" ref="U2779:U2781" si="8931">0.006165*F2779^2</f>
        <v>0</v>
      </c>
      <c r="V2779" s="399" t="s">
        <v>125</v>
      </c>
      <c r="W2779" s="399">
        <f t="shared" si="8743"/>
        <v>9</v>
      </c>
      <c r="X2779" s="399" t="s">
        <v>125</v>
      </c>
      <c r="Y2779" s="389">
        <f t="shared" ref="Y2779" si="8932">D2765</f>
        <v>3</v>
      </c>
      <c r="Z2779" s="400" t="s">
        <v>176</v>
      </c>
      <c r="AA2779" s="402">
        <f t="shared" ref="AA2779:AA2781" si="8933">N2779*U2779*W2779*Y2779</f>
        <v>0</v>
      </c>
      <c r="AB2779" s="403"/>
    </row>
    <row r="2780" spans="1:28">
      <c r="A2780" s="384" t="str">
        <f t="shared" ref="A2780:B2780" si="8934">A2755</f>
        <v>Lantai 2</v>
      </c>
      <c r="B2780" s="385">
        <f t="shared" si="8934"/>
        <v>5</v>
      </c>
      <c r="C2780" s="393" t="s">
        <v>214</v>
      </c>
      <c r="D2780" s="398">
        <f>VLOOKUP(D2755,'Detail Balok'!$C$10:$BJ$140,51,FALSE)</f>
        <v>0</v>
      </c>
      <c r="E2780" s="388" t="s">
        <v>16</v>
      </c>
      <c r="F2780" s="388">
        <f>VLOOKUP(D2755,'Detail Balok'!$C$10:$BJ$140,53,FALSE)</f>
        <v>0</v>
      </c>
      <c r="G2780" s="405" t="s">
        <v>157</v>
      </c>
      <c r="H2780" s="395">
        <f>VLOOKUP(D2755,'Detail Balok'!$C$10:$BJ$140,55,FALSE)</f>
        <v>100</v>
      </c>
      <c r="I2780" s="388"/>
      <c r="J2780" s="399">
        <f t="shared" ref="J2780" si="8935">(D2756-2*F$5)/1000</f>
        <v>0.12</v>
      </c>
      <c r="K2780" s="400" t="s">
        <v>204</v>
      </c>
      <c r="L2780" s="399">
        <f t="shared" si="8929"/>
        <v>0.15</v>
      </c>
      <c r="M2780" s="399" t="s">
        <v>176</v>
      </c>
      <c r="N2780" s="399">
        <f t="shared" si="8930"/>
        <v>0.27</v>
      </c>
      <c r="O2780" s="399"/>
      <c r="P2780" s="399"/>
      <c r="Q2780" s="399"/>
      <c r="R2780" s="399"/>
      <c r="S2780" s="399"/>
      <c r="T2780" s="399" t="s">
        <v>125</v>
      </c>
      <c r="U2780" s="401">
        <f t="shared" si="8931"/>
        <v>0</v>
      </c>
      <c r="V2780" s="399" t="s">
        <v>125</v>
      </c>
      <c r="W2780" s="399">
        <f t="shared" si="8743"/>
        <v>9</v>
      </c>
      <c r="X2780" s="399" t="s">
        <v>125</v>
      </c>
      <c r="Y2780" s="389">
        <f t="shared" ref="Y2780" si="8936">D2765</f>
        <v>3</v>
      </c>
      <c r="Z2780" s="400" t="s">
        <v>176</v>
      </c>
      <c r="AA2780" s="402">
        <f t="shared" si="8933"/>
        <v>0</v>
      </c>
      <c r="AB2780" s="403"/>
    </row>
    <row r="2781" spans="1:28">
      <c r="A2781" s="384" t="str">
        <f t="shared" ref="A2781:B2781" si="8937">A2755</f>
        <v>Lantai 2</v>
      </c>
      <c r="B2781" s="385">
        <f t="shared" si="8937"/>
        <v>5</v>
      </c>
      <c r="C2781" s="393" t="s">
        <v>213</v>
      </c>
      <c r="D2781" s="398">
        <f>VLOOKUP(D2755,'Detail Balok'!$C$10:$BJ$140,56,FALSE)</f>
        <v>0</v>
      </c>
      <c r="E2781" s="388" t="s">
        <v>16</v>
      </c>
      <c r="F2781" s="388">
        <f>VLOOKUP(D2755,'Detail Balok'!$C$10:$BJ$140,58,FALSE)</f>
        <v>0</v>
      </c>
      <c r="G2781" s="405" t="s">
        <v>157</v>
      </c>
      <c r="H2781" s="395">
        <f>VLOOKUP(D2755,'Detail Balok'!$C$10:$BJ$140,60,FALSE)</f>
        <v>100</v>
      </c>
      <c r="I2781" s="388"/>
      <c r="J2781" s="399">
        <f t="shared" ref="J2781" si="8938">(D2756-2*F$5)/1000</f>
        <v>0.12</v>
      </c>
      <c r="K2781" s="400" t="s">
        <v>204</v>
      </c>
      <c r="L2781" s="399">
        <f t="shared" si="8929"/>
        <v>0.15</v>
      </c>
      <c r="M2781" s="399" t="s">
        <v>176</v>
      </c>
      <c r="N2781" s="399">
        <f t="shared" si="8930"/>
        <v>0.27</v>
      </c>
      <c r="O2781" s="399"/>
      <c r="P2781" s="399"/>
      <c r="Q2781" s="399"/>
      <c r="R2781" s="399"/>
      <c r="S2781" s="399"/>
      <c r="T2781" s="399" t="s">
        <v>125</v>
      </c>
      <c r="U2781" s="401">
        <f t="shared" si="8931"/>
        <v>0</v>
      </c>
      <c r="V2781" s="399" t="s">
        <v>125</v>
      </c>
      <c r="W2781" s="399">
        <f t="shared" si="8743"/>
        <v>9</v>
      </c>
      <c r="X2781" s="399" t="s">
        <v>125</v>
      </c>
      <c r="Y2781" s="389">
        <f t="shared" ref="Y2781" si="8939">D2765</f>
        <v>3</v>
      </c>
      <c r="Z2781" s="400" t="s">
        <v>176</v>
      </c>
      <c r="AA2781" s="402">
        <f t="shared" si="8933"/>
        <v>0</v>
      </c>
      <c r="AB2781" s="403"/>
    </row>
    <row r="2782" spans="1:28">
      <c r="A2782" s="391"/>
      <c r="B2782" s="392"/>
      <c r="C2782" s="392"/>
      <c r="D2782" s="394"/>
      <c r="E2782" s="388"/>
      <c r="F2782" s="388"/>
      <c r="G2782" s="388"/>
      <c r="H2782" s="395"/>
      <c r="I2782" s="388"/>
      <c r="J2782" s="402"/>
      <c r="K2782" s="388"/>
      <c r="L2782" s="388"/>
      <c r="M2782" s="388"/>
      <c r="N2782" s="388"/>
      <c r="O2782" s="388"/>
      <c r="P2782" s="388"/>
      <c r="Q2782" s="388"/>
      <c r="R2782" s="388"/>
      <c r="S2782" s="388"/>
      <c r="T2782" s="388"/>
      <c r="U2782" s="388"/>
      <c r="V2782" s="388"/>
      <c r="W2782" s="388"/>
      <c r="X2782" s="388"/>
      <c r="Y2782" s="389"/>
      <c r="Z2782" s="388"/>
      <c r="AA2782" s="402"/>
      <c r="AB2782" s="403"/>
    </row>
    <row r="2783" spans="1:28" ht="15.75" thickBot="1">
      <c r="A2783" s="406"/>
      <c r="B2783" s="407"/>
      <c r="C2783" s="407"/>
      <c r="D2783" s="408"/>
      <c r="E2783" s="409"/>
      <c r="F2783" s="409"/>
      <c r="G2783" s="409"/>
      <c r="H2783" s="410"/>
      <c r="I2783" s="409"/>
      <c r="J2783" s="409"/>
      <c r="K2783" s="409"/>
      <c r="L2783" s="409"/>
      <c r="M2783" s="409"/>
      <c r="N2783" s="409"/>
      <c r="O2783" s="409"/>
      <c r="P2783" s="409"/>
      <c r="Q2783" s="409"/>
      <c r="R2783" s="409"/>
      <c r="S2783" s="409"/>
      <c r="T2783" s="409"/>
      <c r="U2783" s="409"/>
      <c r="V2783" s="409"/>
      <c r="W2783" s="409"/>
      <c r="X2783" s="409"/>
      <c r="Y2783" s="411"/>
      <c r="Z2783" s="409"/>
      <c r="AA2783" s="412"/>
      <c r="AB2783" s="413"/>
    </row>
    <row r="2784" spans="1:28">
      <c r="A2784" s="377"/>
      <c r="B2784" s="378"/>
      <c r="C2784" s="378"/>
      <c r="D2784" s="379"/>
      <c r="E2784" s="380"/>
      <c r="F2784" s="380"/>
      <c r="G2784" s="380"/>
      <c r="H2784" s="381"/>
      <c r="I2784" s="380"/>
      <c r="J2784" s="380"/>
      <c r="K2784" s="380"/>
      <c r="L2784" s="380"/>
      <c r="M2784" s="380"/>
      <c r="N2784" s="380"/>
      <c r="O2784" s="380"/>
      <c r="P2784" s="380"/>
      <c r="Q2784" s="380"/>
      <c r="R2784" s="380"/>
      <c r="S2784" s="380"/>
      <c r="T2784" s="380"/>
      <c r="U2784" s="380"/>
      <c r="V2784" s="380"/>
      <c r="W2784" s="380"/>
      <c r="X2784" s="380"/>
      <c r="Y2784" s="382"/>
      <c r="Z2784" s="380"/>
      <c r="AA2784" s="380"/>
      <c r="AB2784" s="383"/>
    </row>
    <row r="2785" spans="1:28">
      <c r="A2785" s="384" t="str">
        <f t="shared" si="8752"/>
        <v>Lantai 2</v>
      </c>
      <c r="B2785" s="385">
        <f t="shared" si="8753"/>
        <v>6</v>
      </c>
      <c r="C2785" s="386" t="str">
        <f t="shared" ref="C2785" si="8940">CONCATENATE(A2785," no. ",B2785)</f>
        <v>Lantai 2 no. 6</v>
      </c>
      <c r="D2785" s="2562" t="str">
        <f>VLOOKUP(C2785,'Data Panjang Balok'!$C$9:$N$254,2,FALSE)</f>
        <v>B36-1</v>
      </c>
      <c r="E2785" s="2576"/>
      <c r="F2785" s="2576"/>
      <c r="G2785" s="2576"/>
      <c r="H2785" s="2577"/>
      <c r="I2785" s="387"/>
      <c r="J2785" s="388"/>
      <c r="K2785" s="388"/>
      <c r="L2785" s="388"/>
      <c r="M2785" s="388"/>
      <c r="N2785" s="388"/>
      <c r="O2785" s="388"/>
      <c r="P2785" s="388"/>
      <c r="Q2785" s="388"/>
      <c r="R2785" s="388"/>
      <c r="S2785" s="388"/>
      <c r="T2785" s="388"/>
      <c r="U2785" s="388"/>
      <c r="V2785" s="388"/>
      <c r="W2785" s="388"/>
      <c r="X2785" s="388"/>
      <c r="Y2785" s="389"/>
      <c r="Z2785" s="388"/>
      <c r="AA2785" s="388"/>
      <c r="AB2785" s="390"/>
    </row>
    <row r="2786" spans="1:28">
      <c r="A2786" s="391"/>
      <c r="B2786" s="392"/>
      <c r="C2786" s="393" t="s">
        <v>118</v>
      </c>
      <c r="D2786" s="2578">
        <f>VLOOKUP(D2785,'Detail Balok'!$C$10:$AU$140,2,FALSE)</f>
        <v>300</v>
      </c>
      <c r="E2786" s="2579"/>
      <c r="F2786" s="388" t="s">
        <v>125</v>
      </c>
      <c r="G2786" s="2579">
        <f>VLOOKUP(D2785,'Detail Balok'!$C$10:$AU$140,3,FALSE)</f>
        <v>600</v>
      </c>
      <c r="H2786" s="2580"/>
      <c r="I2786" s="388"/>
      <c r="J2786" s="396"/>
      <c r="K2786" s="396"/>
      <c r="L2786" s="396"/>
      <c r="M2786" s="396"/>
      <c r="N2786" s="396"/>
      <c r="O2786" s="396"/>
      <c r="P2786" s="396"/>
      <c r="Q2786" s="396"/>
      <c r="R2786" s="396"/>
      <c r="S2786" s="396"/>
      <c r="T2786" s="396"/>
      <c r="U2786" s="388"/>
      <c r="V2786" s="396"/>
      <c r="W2786" s="388"/>
      <c r="X2786" s="396"/>
      <c r="Y2786" s="389"/>
      <c r="Z2786" s="396"/>
      <c r="AA2786" s="388"/>
      <c r="AB2786" s="390"/>
    </row>
    <row r="2787" spans="1:28">
      <c r="A2787" s="391"/>
      <c r="B2787" s="392"/>
      <c r="C2787" s="393" t="s">
        <v>198</v>
      </c>
      <c r="D2787" s="2562">
        <f>VLOOKUP(C2785,'Data Panjang Balok'!$C$9:$N$254,4,FALSE)</f>
        <v>9000</v>
      </c>
      <c r="E2787" s="2563"/>
      <c r="F2787" s="2563"/>
      <c r="G2787" s="2563"/>
      <c r="H2787" s="2564"/>
      <c r="I2787" s="397"/>
      <c r="J2787" s="396"/>
      <c r="K2787" s="396"/>
      <c r="L2787" s="396"/>
      <c r="M2787" s="396"/>
      <c r="N2787" s="396"/>
      <c r="O2787" s="396"/>
      <c r="P2787" s="396"/>
      <c r="Q2787" s="396"/>
      <c r="R2787" s="396"/>
      <c r="S2787" s="396"/>
      <c r="T2787" s="396"/>
      <c r="U2787" s="388"/>
      <c r="V2787" s="396"/>
      <c r="W2787" s="388"/>
      <c r="X2787" s="396"/>
      <c r="Y2787" s="389"/>
      <c r="Z2787" s="396"/>
      <c r="AA2787" s="388"/>
      <c r="AB2787" s="390"/>
    </row>
    <row r="2788" spans="1:28">
      <c r="A2788" s="391"/>
      <c r="B2788" s="392"/>
      <c r="C2788" s="393" t="s">
        <v>199</v>
      </c>
      <c r="D2788" s="2562">
        <f>VLOOKUP(C2785,'Data Panjang Balok'!$C$9:$N$254,7,FALSE)</f>
        <v>9000</v>
      </c>
      <c r="E2788" s="2563"/>
      <c r="F2788" s="2563"/>
      <c r="G2788" s="2563"/>
      <c r="H2788" s="2564"/>
      <c r="I2788" s="397"/>
      <c r="J2788" s="396"/>
      <c r="K2788" s="396"/>
      <c r="L2788" s="396"/>
      <c r="M2788" s="396"/>
      <c r="N2788" s="396"/>
      <c r="O2788" s="396"/>
      <c r="P2788" s="396"/>
      <c r="Q2788" s="396"/>
      <c r="R2788" s="396"/>
      <c r="S2788" s="396"/>
      <c r="T2788" s="396"/>
      <c r="U2788" s="388"/>
      <c r="V2788" s="396"/>
      <c r="W2788" s="388"/>
      <c r="X2788" s="396"/>
      <c r="Y2788" s="389"/>
      <c r="Z2788" s="396"/>
      <c r="AA2788" s="388"/>
      <c r="AB2788" s="390"/>
    </row>
    <row r="2789" spans="1:28">
      <c r="A2789" s="391"/>
      <c r="B2789" s="392"/>
      <c r="C2789" s="393" t="s">
        <v>200</v>
      </c>
      <c r="D2789" s="2562">
        <f>VLOOKUP(C2785,'Data Panjang Balok'!$C$9:$N$254,9,FALSE)</f>
        <v>0</v>
      </c>
      <c r="E2789" s="2563"/>
      <c r="F2789" s="2563"/>
      <c r="G2789" s="2563"/>
      <c r="H2789" s="2564"/>
      <c r="I2789" s="397"/>
      <c r="J2789" s="396"/>
      <c r="K2789" s="396"/>
      <c r="L2789" s="396"/>
      <c r="M2789" s="396"/>
      <c r="N2789" s="396"/>
      <c r="O2789" s="396"/>
      <c r="P2789" s="396"/>
      <c r="Q2789" s="396"/>
      <c r="R2789" s="396"/>
      <c r="S2789" s="396"/>
      <c r="T2789" s="396"/>
      <c r="U2789" s="388"/>
      <c r="V2789" s="396"/>
      <c r="W2789" s="388"/>
      <c r="X2789" s="396"/>
      <c r="Y2789" s="389"/>
      <c r="Z2789" s="396"/>
      <c r="AA2789" s="388"/>
      <c r="AB2789" s="390"/>
    </row>
    <row r="2790" spans="1:28">
      <c r="A2790" s="391"/>
      <c r="B2790" s="392"/>
      <c r="C2790" s="393" t="s">
        <v>201</v>
      </c>
      <c r="D2790" s="2562">
        <f>VLOOKUP(C2785,'Data Panjang Balok'!$C$9:$N$254,10,FALSE)</f>
        <v>0</v>
      </c>
      <c r="E2790" s="2563"/>
      <c r="F2790" s="2563"/>
      <c r="G2790" s="2563"/>
      <c r="H2790" s="2564"/>
      <c r="I2790" s="397"/>
      <c r="J2790" s="396"/>
      <c r="K2790" s="396"/>
      <c r="L2790" s="396"/>
      <c r="M2790" s="396"/>
      <c r="N2790" s="396"/>
      <c r="O2790" s="396"/>
      <c r="P2790" s="396"/>
      <c r="Q2790" s="396"/>
      <c r="R2790" s="396"/>
      <c r="S2790" s="396"/>
      <c r="T2790" s="396"/>
      <c r="U2790" s="388"/>
      <c r="V2790" s="396"/>
      <c r="W2790" s="388"/>
      <c r="X2790" s="396"/>
      <c r="Y2790" s="389"/>
      <c r="Z2790" s="396"/>
      <c r="AA2790" s="388"/>
      <c r="AB2790" s="390"/>
    </row>
    <row r="2791" spans="1:28">
      <c r="A2791" s="391"/>
      <c r="B2791" s="392"/>
      <c r="C2791" s="393" t="s">
        <v>48</v>
      </c>
      <c r="D2791" s="2562">
        <f>VLOOKUP(C2785,'Data Panjang Balok'!$C$9:$N$254,3,FALSE)</f>
        <v>1</v>
      </c>
      <c r="E2791" s="2563"/>
      <c r="F2791" s="2563"/>
      <c r="G2791" s="2563"/>
      <c r="H2791" s="2564"/>
      <c r="I2791" s="397"/>
      <c r="J2791" s="396"/>
      <c r="K2791" s="396"/>
      <c r="L2791" s="396"/>
      <c r="M2791" s="396"/>
      <c r="N2791" s="396"/>
      <c r="O2791" s="396"/>
      <c r="P2791" s="396"/>
      <c r="Q2791" s="396"/>
      <c r="R2791" s="396"/>
      <c r="S2791" s="396"/>
      <c r="T2791" s="396"/>
      <c r="U2791" s="388"/>
      <c r="V2791" s="396"/>
      <c r="W2791" s="388"/>
      <c r="X2791" s="396"/>
      <c r="Y2791" s="389"/>
      <c r="Z2791" s="396"/>
      <c r="AA2791" s="388"/>
      <c r="AB2791" s="390"/>
    </row>
    <row r="2792" spans="1:28">
      <c r="A2792" s="384" t="str">
        <f t="shared" ref="A2792:B2792" si="8941">A2785</f>
        <v>Lantai 2</v>
      </c>
      <c r="B2792" s="385">
        <f t="shared" si="8941"/>
        <v>6</v>
      </c>
      <c r="C2792" s="393" t="s">
        <v>202</v>
      </c>
      <c r="D2792" s="398">
        <f>VLOOKUP(D2785,'Detail Balok'!$C$10:$AU$140,4,FALSE)</f>
        <v>5</v>
      </c>
      <c r="E2792" s="388" t="s">
        <v>16</v>
      </c>
      <c r="F2792" s="388">
        <f>VLOOKUP(D2785,'Detail Balok'!$C$10:$AU$140,6,FALSE)</f>
        <v>16</v>
      </c>
      <c r="G2792" s="388"/>
      <c r="H2792" s="395"/>
      <c r="I2792" s="388" t="s">
        <v>203</v>
      </c>
      <c r="J2792" s="399">
        <f t="shared" ref="J2792" si="8942">+D2787/4/1000</f>
        <v>2.25</v>
      </c>
      <c r="K2792" s="400" t="s">
        <v>204</v>
      </c>
      <c r="L2792" s="399">
        <f t="shared" ref="L2792" si="8943">MAX(VLOOKUP(F2792,N$6:P$15,3,FALSE)/1000,2/3*D2789/1000)+F$16*F2792/1000</f>
        <v>0.192</v>
      </c>
      <c r="M2792" s="399" t="s">
        <v>176</v>
      </c>
      <c r="N2792" s="399">
        <f t="shared" ref="N2792:N2794" si="8944">J2792+L2792</f>
        <v>2.4420000000000002</v>
      </c>
      <c r="O2792" s="399" t="s">
        <v>204</v>
      </c>
      <c r="P2792" s="389">
        <f t="shared" ref="P2792" si="8945">D2792-D2793</f>
        <v>0</v>
      </c>
      <c r="Q2792" s="399" t="s">
        <v>125</v>
      </c>
      <c r="R2792" s="399">
        <f t="shared" ref="R2792" si="8946">IF(P2792&gt;0,$F$18*F2792/1000,0)</f>
        <v>0</v>
      </c>
      <c r="S2792" s="399" t="s">
        <v>205</v>
      </c>
      <c r="T2792" s="399" t="s">
        <v>125</v>
      </c>
      <c r="U2792" s="401">
        <f t="shared" ref="U2792:U2794" si="8947">0.006165*F2792^2</f>
        <v>1.5782400000000001</v>
      </c>
      <c r="V2792" s="399"/>
      <c r="W2792" s="399"/>
      <c r="X2792" s="399" t="s">
        <v>125</v>
      </c>
      <c r="Y2792" s="389">
        <f t="shared" ref="Y2792" si="8948">D2791</f>
        <v>1</v>
      </c>
      <c r="Z2792" s="400" t="s">
        <v>176</v>
      </c>
      <c r="AA2792" s="402">
        <f t="shared" ref="AA2792" si="8949">IF(AA2795=0,(D2792*N2792+P2792*R2792)*U2792*Y2792,0)</f>
        <v>0</v>
      </c>
      <c r="AB2792" s="403"/>
    </row>
    <row r="2793" spans="1:28">
      <c r="A2793" s="384" t="str">
        <f t="shared" ref="A2793:B2793" si="8950">A2785</f>
        <v>Lantai 2</v>
      </c>
      <c r="B2793" s="385">
        <f t="shared" si="8950"/>
        <v>6</v>
      </c>
      <c r="C2793" s="393" t="s">
        <v>206</v>
      </c>
      <c r="D2793" s="398">
        <f>VLOOKUP(D2785,'Detail Balok'!$C$10:$AU$140,7,FALSE)</f>
        <v>5</v>
      </c>
      <c r="E2793" s="388" t="s">
        <v>16</v>
      </c>
      <c r="F2793" s="388">
        <f>VLOOKUP(D2785,'Detail Balok'!$C$10:$AU$140,9,FALSE)</f>
        <v>16</v>
      </c>
      <c r="G2793" s="388"/>
      <c r="H2793" s="395"/>
      <c r="I2793" s="388" t="s">
        <v>203</v>
      </c>
      <c r="J2793" s="399">
        <f t="shared" ref="J2793" si="8951">+D2787/2/1000</f>
        <v>4.5</v>
      </c>
      <c r="K2793" s="400" t="s">
        <v>204</v>
      </c>
      <c r="L2793" s="399"/>
      <c r="M2793" s="399" t="s">
        <v>176</v>
      </c>
      <c r="N2793" s="399">
        <f t="shared" si="8944"/>
        <v>4.5</v>
      </c>
      <c r="O2793" s="399" t="s">
        <v>204</v>
      </c>
      <c r="P2793" s="389">
        <f t="shared" ref="P2793" si="8952">MAX(D2793-D2792,D2793-D2794)</f>
        <v>0</v>
      </c>
      <c r="Q2793" s="399" t="s">
        <v>125</v>
      </c>
      <c r="R2793" s="399">
        <f t="shared" ref="R2793" si="8953">IF(P2793&gt;0,2*(1-2*$F$19-1/2)*D2788/1000,0)</f>
        <v>0</v>
      </c>
      <c r="S2793" s="399" t="s">
        <v>205</v>
      </c>
      <c r="T2793" s="399" t="s">
        <v>125</v>
      </c>
      <c r="U2793" s="401">
        <f t="shared" si="8947"/>
        <v>1.5782400000000001</v>
      </c>
      <c r="V2793" s="399"/>
      <c r="W2793" s="399"/>
      <c r="X2793" s="399" t="s">
        <v>125</v>
      </c>
      <c r="Y2793" s="389">
        <f t="shared" ref="Y2793" si="8954">D2791</f>
        <v>1</v>
      </c>
      <c r="Z2793" s="400" t="s">
        <v>176</v>
      </c>
      <c r="AA2793" s="402">
        <f t="shared" ref="AA2793" si="8955">IF(AA2795=0,(D2793*N2793+P2793*R2793)*U2793*Y2793,0)</f>
        <v>0</v>
      </c>
      <c r="AB2793" s="403"/>
    </row>
    <row r="2794" spans="1:28">
      <c r="A2794" s="384" t="str">
        <f t="shared" ref="A2794:B2794" si="8956">A2785</f>
        <v>Lantai 2</v>
      </c>
      <c r="B2794" s="385">
        <f t="shared" si="8956"/>
        <v>6</v>
      </c>
      <c r="C2794" s="393" t="s">
        <v>202</v>
      </c>
      <c r="D2794" s="398">
        <f>VLOOKUP(D2785,'Detail Balok'!$C$10:$AU$140,10,FALSE)</f>
        <v>5</v>
      </c>
      <c r="E2794" s="388" t="s">
        <v>16</v>
      </c>
      <c r="F2794" s="388">
        <f>VLOOKUP(D2785,'Detail Balok'!$C$10:$AU$140,12,FALSE)</f>
        <v>16</v>
      </c>
      <c r="G2794" s="388"/>
      <c r="H2794" s="395"/>
      <c r="I2794" s="388" t="s">
        <v>203</v>
      </c>
      <c r="J2794" s="399">
        <f t="shared" ref="J2794" si="8957">+D2787/4/1000</f>
        <v>2.25</v>
      </c>
      <c r="K2794" s="400" t="s">
        <v>204</v>
      </c>
      <c r="L2794" s="399">
        <f t="shared" ref="L2794" si="8958">MAX(VLOOKUP(F2794,N$6:P$15,3,FALSE)/1000,2/3*D2789/1000)+F$16*F2794/1000</f>
        <v>0.192</v>
      </c>
      <c r="M2794" s="399" t="s">
        <v>176</v>
      </c>
      <c r="N2794" s="399">
        <f t="shared" si="8944"/>
        <v>2.4420000000000002</v>
      </c>
      <c r="O2794" s="399" t="s">
        <v>204</v>
      </c>
      <c r="P2794" s="389">
        <f t="shared" ref="P2794" si="8959">D2794-D2793</f>
        <v>0</v>
      </c>
      <c r="Q2794" s="399" t="s">
        <v>125</v>
      </c>
      <c r="R2794" s="399">
        <f t="shared" ref="R2794" si="8960">IF(P2794&gt;0,$F$18*F2794/1000,0)</f>
        <v>0</v>
      </c>
      <c r="S2794" s="399" t="s">
        <v>205</v>
      </c>
      <c r="T2794" s="399" t="s">
        <v>125</v>
      </c>
      <c r="U2794" s="401">
        <f t="shared" si="8947"/>
        <v>1.5782400000000001</v>
      </c>
      <c r="V2794" s="399"/>
      <c r="W2794" s="399"/>
      <c r="X2794" s="399" t="s">
        <v>125</v>
      </c>
      <c r="Y2794" s="389">
        <f t="shared" ref="Y2794" si="8961">D2791</f>
        <v>1</v>
      </c>
      <c r="Z2794" s="400" t="s">
        <v>176</v>
      </c>
      <c r="AA2794" s="402">
        <f t="shared" ref="AA2794" si="8962">IF(AA2795=0,(D2794*N2794+P2794*R2794)*U2794*Y2794,0)</f>
        <v>0</v>
      </c>
      <c r="AB2794" s="403"/>
    </row>
    <row r="2795" spans="1:28">
      <c r="A2795" s="384" t="str">
        <f t="shared" ref="A2795:B2795" si="8963">A2785</f>
        <v>Lantai 2</v>
      </c>
      <c r="B2795" s="385">
        <f t="shared" si="8963"/>
        <v>6</v>
      </c>
      <c r="C2795" s="393"/>
      <c r="D2795" s="398">
        <f t="shared" ref="D2795:D2855" si="8964">IF(AND(D2792=D2793,D2793=D2794,D2792=D2794),D2792,0)</f>
        <v>5</v>
      </c>
      <c r="E2795" s="388" t="s">
        <v>16</v>
      </c>
      <c r="F2795" s="388">
        <f t="shared" ref="F2795:F2855" si="8965">IF(AND(F2792=F2793,F2792=F2794,F2793=F2794),F2792,0)</f>
        <v>16</v>
      </c>
      <c r="G2795" s="388"/>
      <c r="H2795" s="395"/>
      <c r="I2795" s="388"/>
      <c r="J2795" s="396"/>
      <c r="K2795" s="396"/>
      <c r="L2795" s="404" t="s">
        <v>207</v>
      </c>
      <c r="M2795" s="399" t="s">
        <v>176</v>
      </c>
      <c r="N2795" s="399">
        <f t="shared" ref="N2795" si="8966">IF(AND(D2792=D2793,D2792=D2794,D2793=D2794,F2792=F2793,F2792=F2794,F2793=F2794),SUM(N2792:N2794),0)</f>
        <v>9.3840000000000003</v>
      </c>
      <c r="O2795" s="399" t="s">
        <v>204</v>
      </c>
      <c r="P2795" s="389">
        <f t="shared" ref="P2795" si="8967">IF(N2795&gt;12,ROUNDDOWN(N2795/12,0),0)</f>
        <v>0</v>
      </c>
      <c r="Q2795" s="399" t="s">
        <v>125</v>
      </c>
      <c r="R2795" s="399">
        <f t="shared" ref="R2795" si="8968">IF(P2795&gt;0,MAX(VLOOKUP(F2795,$D$6:$G$15,3,FALSE),600),0)/1000</f>
        <v>0</v>
      </c>
      <c r="S2795" s="396"/>
      <c r="T2795" s="396" t="s">
        <v>125</v>
      </c>
      <c r="U2795" s="401">
        <f t="shared" ref="U2795:U2855" si="8969">U2794</f>
        <v>1.5782400000000001</v>
      </c>
      <c r="V2795" s="396" t="s">
        <v>125</v>
      </c>
      <c r="W2795" s="399">
        <f t="shared" ref="W2795" si="8970">D2795</f>
        <v>5</v>
      </c>
      <c r="X2795" s="399" t="s">
        <v>125</v>
      </c>
      <c r="Y2795" s="389">
        <f t="shared" ref="Y2795:Y2855" si="8971">Y2794</f>
        <v>1</v>
      </c>
      <c r="Z2795" s="400" t="s">
        <v>176</v>
      </c>
      <c r="AA2795" s="402">
        <f t="shared" ref="AA2795" si="8972">(N2795+P2795*R2795/1000)*U2795*W2795*Y2795</f>
        <v>74.051020800000003</v>
      </c>
      <c r="AB2795" s="390"/>
    </row>
    <row r="2796" spans="1:28">
      <c r="A2796" s="384"/>
      <c r="B2796" s="385"/>
      <c r="C2796" s="393"/>
      <c r="D2796" s="398"/>
      <c r="E2796" s="388"/>
      <c r="F2796" s="388"/>
      <c r="G2796" s="388"/>
      <c r="H2796" s="395"/>
      <c r="I2796" s="388"/>
      <c r="J2796" s="396"/>
      <c r="K2796" s="396"/>
      <c r="L2796" s="404"/>
      <c r="M2796" s="399"/>
      <c r="N2796" s="399"/>
      <c r="O2796" s="396"/>
      <c r="P2796" s="389"/>
      <c r="Q2796" s="396"/>
      <c r="R2796" s="396"/>
      <c r="S2796" s="396"/>
      <c r="T2796" s="396"/>
      <c r="U2796" s="401"/>
      <c r="V2796" s="396"/>
      <c r="W2796" s="399"/>
      <c r="X2796" s="396"/>
      <c r="Y2796" s="389"/>
      <c r="Z2796" s="396"/>
      <c r="AA2796" s="388"/>
      <c r="AB2796" s="390"/>
    </row>
    <row r="2797" spans="1:28">
      <c r="A2797" s="384" t="str">
        <f t="shared" ref="A2797:B2797" si="8973">A2785</f>
        <v>Lantai 2</v>
      </c>
      <c r="B2797" s="385">
        <f t="shared" si="8973"/>
        <v>6</v>
      </c>
      <c r="C2797" s="393" t="s">
        <v>208</v>
      </c>
      <c r="D2797" s="398">
        <f>VLOOKUP(D2785,'Detail Balok'!$C$10:$AU$140,13,FALSE)</f>
        <v>2</v>
      </c>
      <c r="E2797" s="388" t="s">
        <v>16</v>
      </c>
      <c r="F2797" s="388">
        <f>VLOOKUP(D2785,'Detail Balok'!$C$10:$AU$140,15,FALSE)</f>
        <v>10</v>
      </c>
      <c r="G2797" s="388"/>
      <c r="H2797" s="395"/>
      <c r="I2797" s="388"/>
      <c r="J2797" s="399">
        <f t="shared" ref="J2797" si="8974">+D2787/1000</f>
        <v>9</v>
      </c>
      <c r="K2797" s="400" t="s">
        <v>204</v>
      </c>
      <c r="L2797" s="399">
        <f t="shared" ref="L2797" si="8975">2*$F$16*F2797/1000</f>
        <v>0.24</v>
      </c>
      <c r="M2797" s="399" t="s">
        <v>176</v>
      </c>
      <c r="N2797" s="399">
        <f t="shared" ref="N2797" si="8976">J2797+L2797</f>
        <v>9.24</v>
      </c>
      <c r="O2797" s="399" t="s">
        <v>204</v>
      </c>
      <c r="P2797" s="389">
        <f t="shared" ref="P2797" si="8977">IF(N2797&gt;12,ROUNDDOWN(N2797/12,0),0)</f>
        <v>0</v>
      </c>
      <c r="Q2797" s="399" t="s">
        <v>125</v>
      </c>
      <c r="R2797" s="399">
        <f t="shared" ref="R2797" si="8978">IF(P2797&gt;0,MAX(VLOOKUP(F2797,$D$6:$G$15,3,FALSE),600),0)/1000</f>
        <v>0</v>
      </c>
      <c r="S2797" s="399"/>
      <c r="T2797" s="399" t="s">
        <v>125</v>
      </c>
      <c r="U2797" s="401">
        <f t="shared" ref="U2797" si="8979">0.006165*F2797^2</f>
        <v>0.61650000000000005</v>
      </c>
      <c r="V2797" s="399" t="s">
        <v>125</v>
      </c>
      <c r="W2797" s="399">
        <f t="shared" ref="W2797" si="8980">+D2797</f>
        <v>2</v>
      </c>
      <c r="X2797" s="399" t="s">
        <v>125</v>
      </c>
      <c r="Y2797" s="389">
        <f t="shared" ref="Y2797" si="8981">D2791</f>
        <v>1</v>
      </c>
      <c r="Z2797" s="400" t="s">
        <v>176</v>
      </c>
      <c r="AA2797" s="402">
        <f t="shared" ref="AA2797" si="8982">(N2797+P2797*R2797/1000)*U2797*W2797*Y2797</f>
        <v>11.392920000000002</v>
      </c>
      <c r="AB2797" s="403"/>
    </row>
    <row r="2798" spans="1:28">
      <c r="A2798" s="384"/>
      <c r="B2798" s="385"/>
      <c r="C2798" s="393"/>
      <c r="D2798" s="398"/>
      <c r="E2798" s="388"/>
      <c r="F2798" s="388"/>
      <c r="G2798" s="388"/>
      <c r="H2798" s="395"/>
      <c r="I2798" s="388"/>
      <c r="J2798" s="399"/>
      <c r="K2798" s="400"/>
      <c r="L2798" s="399"/>
      <c r="M2798" s="399"/>
      <c r="N2798" s="399"/>
      <c r="O2798" s="399"/>
      <c r="P2798" s="389"/>
      <c r="Q2798" s="399"/>
      <c r="R2798" s="399"/>
      <c r="S2798" s="399"/>
      <c r="T2798" s="399"/>
      <c r="U2798" s="401"/>
      <c r="V2798" s="399"/>
      <c r="W2798" s="399"/>
      <c r="X2798" s="399"/>
      <c r="Y2798" s="389"/>
      <c r="Z2798" s="400"/>
      <c r="AA2798" s="402"/>
      <c r="AB2798" s="403"/>
    </row>
    <row r="2799" spans="1:28">
      <c r="A2799" s="384"/>
      <c r="B2799" s="385"/>
      <c r="C2799" s="393"/>
      <c r="D2799" s="398"/>
      <c r="E2799" s="388"/>
      <c r="F2799" s="388"/>
      <c r="G2799" s="388"/>
      <c r="H2799" s="395"/>
      <c r="I2799" s="388"/>
      <c r="J2799" s="396"/>
      <c r="K2799" s="396"/>
      <c r="L2799" s="396"/>
      <c r="M2799" s="396"/>
      <c r="N2799" s="396"/>
      <c r="O2799" s="396"/>
      <c r="P2799" s="389"/>
      <c r="Q2799" s="396"/>
      <c r="R2799" s="396"/>
      <c r="S2799" s="396"/>
      <c r="T2799" s="396"/>
      <c r="U2799" s="401"/>
      <c r="V2799" s="396"/>
      <c r="W2799" s="399"/>
      <c r="X2799" s="396"/>
      <c r="Y2799" s="389"/>
      <c r="Z2799" s="396"/>
      <c r="AA2799" s="388"/>
      <c r="AB2799" s="390"/>
    </row>
    <row r="2800" spans="1:28">
      <c r="A2800" s="384" t="str">
        <f t="shared" ref="A2800:B2800" si="8983">A2785</f>
        <v>Lantai 2</v>
      </c>
      <c r="B2800" s="385">
        <f t="shared" si="8983"/>
        <v>6</v>
      </c>
      <c r="C2800" s="393" t="s">
        <v>209</v>
      </c>
      <c r="D2800" s="398">
        <f>VLOOKUP(D2785,'Detail Balok'!$C$10:$AU$140,22,FALSE)</f>
        <v>5</v>
      </c>
      <c r="E2800" s="388" t="s">
        <v>16</v>
      </c>
      <c r="F2800" s="388">
        <f>VLOOKUP(D2785,'Detail Balok'!$C$10:$AU$140,24,FALSE)</f>
        <v>16</v>
      </c>
      <c r="G2800" s="388"/>
      <c r="H2800" s="395"/>
      <c r="I2800" s="388" t="s">
        <v>203</v>
      </c>
      <c r="J2800" s="399">
        <f t="shared" ref="J2800:J2862" si="8984">+J2792</f>
        <v>2.25</v>
      </c>
      <c r="K2800" s="400" t="s">
        <v>204</v>
      </c>
      <c r="L2800" s="399">
        <f t="shared" ref="L2800" si="8985">MAX(VLOOKUP(F2800,N$6:P$15,3,FALSE)/1000,2/3*D2790/1000)+F$16*F2800/1000</f>
        <v>0.192</v>
      </c>
      <c r="M2800" s="399" t="s">
        <v>176</v>
      </c>
      <c r="N2800" s="399">
        <f t="shared" ref="N2800:N2802" si="8986">J2800+L2800</f>
        <v>2.4420000000000002</v>
      </c>
      <c r="O2800" s="399" t="s">
        <v>204</v>
      </c>
      <c r="P2800" s="389">
        <f t="shared" ref="P2800" si="8987">D2800-D2801</f>
        <v>0</v>
      </c>
      <c r="Q2800" s="399" t="s">
        <v>125</v>
      </c>
      <c r="R2800" s="399">
        <f t="shared" ref="R2800" si="8988">IF(P2800&gt;0,$F$18*F2800/1000,0)</f>
        <v>0</v>
      </c>
      <c r="S2800" s="399" t="s">
        <v>205</v>
      </c>
      <c r="T2800" s="399" t="s">
        <v>125</v>
      </c>
      <c r="U2800" s="401">
        <f t="shared" ref="U2800:U2802" si="8989">0.006165*F2800^2</f>
        <v>1.5782400000000001</v>
      </c>
      <c r="V2800" s="399"/>
      <c r="W2800" s="399"/>
      <c r="X2800" s="399" t="s">
        <v>125</v>
      </c>
      <c r="Y2800" s="389">
        <f t="shared" ref="Y2800" si="8990">D2791</f>
        <v>1</v>
      </c>
      <c r="Z2800" s="400" t="s">
        <v>176</v>
      </c>
      <c r="AA2800" s="402">
        <f t="shared" ref="AA2800" si="8991">IF(AA2803=0,(D2800*N2800+P2800*R2800)*U2800*Y2800,0)</f>
        <v>0</v>
      </c>
      <c r="AB2800" s="403"/>
    </row>
    <row r="2801" spans="1:28">
      <c r="A2801" s="384" t="str">
        <f t="shared" ref="A2801:B2801" si="8992">A2785</f>
        <v>Lantai 2</v>
      </c>
      <c r="B2801" s="385">
        <f t="shared" si="8992"/>
        <v>6</v>
      </c>
      <c r="C2801" s="393" t="s">
        <v>210</v>
      </c>
      <c r="D2801" s="398">
        <f>VLOOKUP(D2785,'Detail Balok'!$C$10:$AU$140,25,FALSE)</f>
        <v>5</v>
      </c>
      <c r="E2801" s="388" t="s">
        <v>16</v>
      </c>
      <c r="F2801" s="388">
        <f>VLOOKUP(D2785,'Detail Balok'!$C$10:$AU$140,27,FALSE)</f>
        <v>16</v>
      </c>
      <c r="G2801" s="388"/>
      <c r="H2801" s="395"/>
      <c r="I2801" s="388" t="s">
        <v>203</v>
      </c>
      <c r="J2801" s="399">
        <f t="shared" si="8984"/>
        <v>4.5</v>
      </c>
      <c r="K2801" s="400" t="s">
        <v>204</v>
      </c>
      <c r="L2801" s="399"/>
      <c r="M2801" s="399" t="s">
        <v>176</v>
      </c>
      <c r="N2801" s="399">
        <f t="shared" si="8986"/>
        <v>4.5</v>
      </c>
      <c r="O2801" s="399" t="s">
        <v>204</v>
      </c>
      <c r="P2801" s="389">
        <f t="shared" ref="P2801" si="8993">MAX(D2801-D2800,D2801-D2802)</f>
        <v>0</v>
      </c>
      <c r="Q2801" s="399" t="s">
        <v>125</v>
      </c>
      <c r="R2801" s="399">
        <f t="shared" ref="R2801" si="8994">IF(P2801&gt;0,2*(1-2*$F$19-1/2)*D2788/1000,0)</f>
        <v>0</v>
      </c>
      <c r="S2801" s="399" t="s">
        <v>205</v>
      </c>
      <c r="T2801" s="399" t="s">
        <v>125</v>
      </c>
      <c r="U2801" s="401">
        <f t="shared" si="8989"/>
        <v>1.5782400000000001</v>
      </c>
      <c r="V2801" s="399"/>
      <c r="W2801" s="399"/>
      <c r="X2801" s="399" t="s">
        <v>125</v>
      </c>
      <c r="Y2801" s="389">
        <f t="shared" ref="Y2801" si="8995">D2791</f>
        <v>1</v>
      </c>
      <c r="Z2801" s="400" t="s">
        <v>176</v>
      </c>
      <c r="AA2801" s="402">
        <f t="shared" ref="AA2801" si="8996">IF(AA2803=0,(D2801*N2801+P2801*R2801)*U2801*Y2801,0)</f>
        <v>0</v>
      </c>
      <c r="AB2801" s="403"/>
    </row>
    <row r="2802" spans="1:28">
      <c r="A2802" s="384" t="str">
        <f t="shared" ref="A2802:B2802" si="8997">A2785</f>
        <v>Lantai 2</v>
      </c>
      <c r="B2802" s="385">
        <f t="shared" si="8997"/>
        <v>6</v>
      </c>
      <c r="C2802" s="393" t="s">
        <v>209</v>
      </c>
      <c r="D2802" s="398">
        <f>VLOOKUP(D2785,'Detail Balok'!$C$10:$AU$140,28,FALSE)</f>
        <v>5</v>
      </c>
      <c r="E2802" s="388" t="s">
        <v>16</v>
      </c>
      <c r="F2802" s="388">
        <f>VLOOKUP(D2785,'Detail Balok'!$C$10:$AU$140,30,FALSE)</f>
        <v>16</v>
      </c>
      <c r="G2802" s="388"/>
      <c r="H2802" s="395"/>
      <c r="I2802" s="388" t="s">
        <v>203</v>
      </c>
      <c r="J2802" s="399">
        <f t="shared" si="8984"/>
        <v>2.25</v>
      </c>
      <c r="K2802" s="400" t="s">
        <v>204</v>
      </c>
      <c r="L2802" s="399">
        <f t="shared" ref="L2802" si="8998">MAX(VLOOKUP(F2802,N$6:P$15,3,FALSE)/1000,2/3*D2790/1000)+F$16*F2802/1000</f>
        <v>0.192</v>
      </c>
      <c r="M2802" s="399" t="s">
        <v>176</v>
      </c>
      <c r="N2802" s="399">
        <f t="shared" si="8986"/>
        <v>2.4420000000000002</v>
      </c>
      <c r="O2802" s="399" t="s">
        <v>204</v>
      </c>
      <c r="P2802" s="389">
        <f t="shared" ref="P2802" si="8999">D2802-D2801</f>
        <v>0</v>
      </c>
      <c r="Q2802" s="399" t="s">
        <v>125</v>
      </c>
      <c r="R2802" s="399">
        <f t="shared" ref="R2802" si="9000">IF(P2802&gt;0,$F$18*F2802/1000,0)</f>
        <v>0</v>
      </c>
      <c r="S2802" s="399" t="s">
        <v>205</v>
      </c>
      <c r="T2802" s="399" t="s">
        <v>125</v>
      </c>
      <c r="U2802" s="401">
        <f t="shared" si="8989"/>
        <v>1.5782400000000001</v>
      </c>
      <c r="V2802" s="399"/>
      <c r="W2802" s="399"/>
      <c r="X2802" s="399" t="s">
        <v>125</v>
      </c>
      <c r="Y2802" s="389">
        <f t="shared" ref="Y2802" si="9001">D2791</f>
        <v>1</v>
      </c>
      <c r="Z2802" s="400" t="s">
        <v>176</v>
      </c>
      <c r="AA2802" s="402">
        <f t="shared" ref="AA2802" si="9002">IF(AA2803=0,(D2802*N2802+P2802*R2802)*U2802*Y2802,0)</f>
        <v>0</v>
      </c>
      <c r="AB2802" s="403"/>
    </row>
    <row r="2803" spans="1:28">
      <c r="A2803" s="384" t="str">
        <f t="shared" ref="A2803:B2803" si="9003">A2785</f>
        <v>Lantai 2</v>
      </c>
      <c r="B2803" s="385">
        <f t="shared" si="9003"/>
        <v>6</v>
      </c>
      <c r="C2803" s="393"/>
      <c r="D2803" s="398">
        <f t="shared" ref="D2803:D2863" si="9004">IF(AND(D2800=D2801,D2801=D2802,D2800=D2802),D2800,0)</f>
        <v>5</v>
      </c>
      <c r="E2803" s="388" t="s">
        <v>16</v>
      </c>
      <c r="F2803" s="388">
        <f t="shared" ref="F2803:F2863" si="9005">IF(AND(F2800=F2801,F2800=F2802,F2801=F2802),F2800,0)</f>
        <v>16</v>
      </c>
      <c r="G2803" s="388"/>
      <c r="H2803" s="395"/>
      <c r="I2803" s="388"/>
      <c r="J2803" s="396"/>
      <c r="K2803" s="396"/>
      <c r="L2803" s="404" t="s">
        <v>207</v>
      </c>
      <c r="M2803" s="399" t="s">
        <v>176</v>
      </c>
      <c r="N2803" s="399">
        <f t="shared" ref="N2803" si="9006">IF(AND(D2800=D2801,D2800=D2802,D2801=D2802,F2800=F2801,F2800=F2802,F2801=F2802),SUM(N2800:N2802),0)</f>
        <v>9.3840000000000003</v>
      </c>
      <c r="O2803" s="399" t="s">
        <v>204</v>
      </c>
      <c r="P2803" s="389">
        <f t="shared" ref="P2803" si="9007">IF(N2803&gt;12,ROUNDDOWN(N2803/12,0),0)</f>
        <v>0</v>
      </c>
      <c r="Q2803" s="399" t="s">
        <v>125</v>
      </c>
      <c r="R2803" s="399">
        <f t="shared" ref="R2803" si="9008">IF(P2803&gt;0,MAX(VLOOKUP(F2803,$D$6:$G$15,3,FALSE),600),0)/1000</f>
        <v>0</v>
      </c>
      <c r="S2803" s="396"/>
      <c r="T2803" s="396" t="s">
        <v>125</v>
      </c>
      <c r="U2803" s="401">
        <f t="shared" ref="U2803:U2863" si="9009">U2802</f>
        <v>1.5782400000000001</v>
      </c>
      <c r="V2803" s="396" t="s">
        <v>125</v>
      </c>
      <c r="W2803" s="399">
        <f t="shared" ref="W2803" si="9010">D2803</f>
        <v>5</v>
      </c>
      <c r="X2803" s="399" t="s">
        <v>125</v>
      </c>
      <c r="Y2803" s="389">
        <f t="shared" ref="Y2803:Y2863" si="9011">Y2802</f>
        <v>1</v>
      </c>
      <c r="Z2803" s="400" t="s">
        <v>176</v>
      </c>
      <c r="AA2803" s="402">
        <f t="shared" ref="AA2803" si="9012">(N2803+P2803*R2803/1000)*U2803*W2803*Y2803</f>
        <v>74.051020800000003</v>
      </c>
      <c r="AB2803" s="403"/>
    </row>
    <row r="2804" spans="1:28">
      <c r="A2804" s="384"/>
      <c r="B2804" s="385"/>
      <c r="C2804" s="393"/>
      <c r="D2804" s="394"/>
      <c r="E2804" s="388"/>
      <c r="F2804" s="388"/>
      <c r="G2804" s="388"/>
      <c r="H2804" s="395"/>
      <c r="I2804" s="388"/>
      <c r="J2804" s="399"/>
      <c r="K2804" s="396"/>
      <c r="L2804" s="396"/>
      <c r="M2804" s="396"/>
      <c r="N2804" s="396"/>
      <c r="O2804" s="396"/>
      <c r="P2804" s="389"/>
      <c r="Q2804" s="396"/>
      <c r="R2804" s="396"/>
      <c r="S2804" s="396"/>
      <c r="T2804" s="396"/>
      <c r="U2804" s="401"/>
      <c r="V2804" s="396"/>
      <c r="W2804" s="388"/>
      <c r="X2804" s="396"/>
      <c r="Y2804" s="389"/>
      <c r="Z2804" s="396"/>
      <c r="AA2804" s="388"/>
      <c r="AB2804" s="390"/>
    </row>
    <row r="2805" spans="1:28">
      <c r="A2805" s="384" t="str">
        <f t="shared" ref="A2805:B2805" si="9013">A2785</f>
        <v>Lantai 2</v>
      </c>
      <c r="B2805" s="385">
        <f t="shared" si="9013"/>
        <v>6</v>
      </c>
      <c r="C2805" s="393" t="s">
        <v>211</v>
      </c>
      <c r="D2805" s="398">
        <f>VLOOKUP(D2785,'Detail Balok'!$C$10:$AU$140,31,FALSE)</f>
        <v>0</v>
      </c>
      <c r="E2805" s="388" t="s">
        <v>16</v>
      </c>
      <c r="F2805" s="388">
        <f>VLOOKUP(D2785,'Detail Balok'!$C$10:$AU$140,33,FALSE)</f>
        <v>10</v>
      </c>
      <c r="G2805" s="405" t="s">
        <v>157</v>
      </c>
      <c r="H2805" s="395">
        <f>VLOOKUP(D2785,'Detail Balok'!$C$10:$AU$140,35,FALSE)</f>
        <v>100</v>
      </c>
      <c r="I2805" s="388"/>
      <c r="J2805" s="400">
        <f t="shared" ref="J2805" si="9014">(IF(D2805=0,(2*(D2786+G2786))-(F$5*8),IF(D2805=3,(2*(D2786+G2786))-(F$5*8)+(G2786-2*F$5),IF(D2805=4,(2*(D2786+G2786))-(F$5*8)+2*(G2786-2*F$5)))))/1000</f>
        <v>1.48</v>
      </c>
      <c r="K2805" s="400" t="s">
        <v>204</v>
      </c>
      <c r="L2805" s="399">
        <f t="shared" ref="L2805:L2807" si="9015">IF(D2805=0,2*MAX(6*F2805,75),(D2805-1)*2*MAX(6*F2805,75))/1000</f>
        <v>0.15</v>
      </c>
      <c r="M2805" s="399" t="s">
        <v>176</v>
      </c>
      <c r="N2805" s="399">
        <f t="shared" ref="N2805:N2807" si="9016">J2805+L2805</f>
        <v>1.63</v>
      </c>
      <c r="O2805" s="399"/>
      <c r="P2805" s="389"/>
      <c r="Q2805" s="399"/>
      <c r="R2805" s="399"/>
      <c r="S2805" s="399"/>
      <c r="T2805" s="399" t="s">
        <v>125</v>
      </c>
      <c r="U2805" s="401">
        <f t="shared" ref="U2805:U2807" si="9017">0.006165*F2805^2</f>
        <v>0.61650000000000005</v>
      </c>
      <c r="V2805" s="399" t="s">
        <v>125</v>
      </c>
      <c r="W2805" s="399">
        <f t="shared" ref="W2805" si="9018">IF(D2788&gt;4*G2786,ROUND(MAX(D2788/4,2*G2786)/H2805,0)+1,ROUND(D2788/H2805,0)+1)</f>
        <v>24</v>
      </c>
      <c r="X2805" s="399" t="s">
        <v>125</v>
      </c>
      <c r="Y2805" s="389">
        <f t="shared" ref="Y2805" si="9019">D2791</f>
        <v>1</v>
      </c>
      <c r="Z2805" s="400" t="s">
        <v>176</v>
      </c>
      <c r="AA2805" s="402">
        <f t="shared" ref="AA2805:AA2807" si="9020">N2805*U2805*W2805*Y2805</f>
        <v>24.11748</v>
      </c>
      <c r="AB2805" s="403"/>
    </row>
    <row r="2806" spans="1:28">
      <c r="A2806" s="384" t="str">
        <f t="shared" ref="A2806:B2806" si="9021">A2785</f>
        <v>Lantai 2</v>
      </c>
      <c r="B2806" s="385">
        <f t="shared" si="9021"/>
        <v>6</v>
      </c>
      <c r="C2806" s="393" t="s">
        <v>212</v>
      </c>
      <c r="D2806" s="398">
        <f>VLOOKUP(D2785,'Detail Balok'!$C$10:$AU$140,36,FALSE)</f>
        <v>0</v>
      </c>
      <c r="E2806" s="388" t="s">
        <v>16</v>
      </c>
      <c r="F2806" s="388">
        <f>VLOOKUP(D2785,'Detail Balok'!$C$10:$AU$140,38,FALSE)</f>
        <v>10</v>
      </c>
      <c r="G2806" s="405" t="s">
        <v>157</v>
      </c>
      <c r="H2806" s="395">
        <f>VLOOKUP(D2785,'Detail Balok'!$C$10:$AU$140,40,FALSE)</f>
        <v>150</v>
      </c>
      <c r="I2806" s="388"/>
      <c r="J2806" s="400">
        <f t="shared" ref="J2806" si="9022">(IF(D2806=0,(2*(D2786+G2786))-(F$5*8),IF(D2806=3,(2*(D2786+G2786))-(F$5*8)+(G2786-2*F$5),IF(D2806=4,(2*(D2786+G2786))-(F$5*8)+2*(G2786-2*F$5)))))/1000</f>
        <v>1.48</v>
      </c>
      <c r="K2806" s="400" t="s">
        <v>204</v>
      </c>
      <c r="L2806" s="399">
        <f t="shared" si="9015"/>
        <v>0.15</v>
      </c>
      <c r="M2806" s="399" t="s">
        <v>176</v>
      </c>
      <c r="N2806" s="399">
        <f t="shared" si="9016"/>
        <v>1.63</v>
      </c>
      <c r="O2806" s="399"/>
      <c r="P2806" s="389"/>
      <c r="Q2806" s="399"/>
      <c r="R2806" s="399"/>
      <c r="S2806" s="399"/>
      <c r="T2806" s="399" t="s">
        <v>125</v>
      </c>
      <c r="U2806" s="401">
        <f t="shared" si="9017"/>
        <v>0.61650000000000005</v>
      </c>
      <c r="V2806" s="399" t="s">
        <v>125</v>
      </c>
      <c r="W2806" s="399">
        <f t="shared" ref="W2806" si="9023">IF(D2788-MAX(D2788/4,2*G2786)*2&gt;0,ROUND((D2788-MAX(D2788/4,2*G2786)*2)/H2806,0),0)</f>
        <v>30</v>
      </c>
      <c r="X2806" s="399" t="s">
        <v>125</v>
      </c>
      <c r="Y2806" s="389">
        <f t="shared" ref="Y2806" si="9024">D2791</f>
        <v>1</v>
      </c>
      <c r="Z2806" s="400" t="s">
        <v>176</v>
      </c>
      <c r="AA2806" s="402">
        <f t="shared" si="9020"/>
        <v>30.146850000000004</v>
      </c>
      <c r="AB2806" s="403"/>
    </row>
    <row r="2807" spans="1:28">
      <c r="A2807" s="384" t="str">
        <f t="shared" ref="A2807:B2807" si="9025">A2785</f>
        <v>Lantai 2</v>
      </c>
      <c r="B2807" s="385">
        <f t="shared" si="9025"/>
        <v>6</v>
      </c>
      <c r="C2807" s="393" t="s">
        <v>211</v>
      </c>
      <c r="D2807" s="398">
        <f>VLOOKUP(D2785,'Detail Balok'!$C$10:$AU$140,41,FALSE)</f>
        <v>0</v>
      </c>
      <c r="E2807" s="388" t="s">
        <v>16</v>
      </c>
      <c r="F2807" s="388">
        <f>VLOOKUP(D2785,'Detail Balok'!$C$10:$AU$140,43,FALSE)</f>
        <v>10</v>
      </c>
      <c r="G2807" s="405" t="s">
        <v>157</v>
      </c>
      <c r="H2807" s="395">
        <f>VLOOKUP(D2785,'Detail Balok'!$C$10:$AU$140,45,FALSE)</f>
        <v>100</v>
      </c>
      <c r="I2807" s="388"/>
      <c r="J2807" s="400">
        <f t="shared" ref="J2807" si="9026">(IF(D2807=0,(2*(D2786+G2786))-(F$5*8),IF(D2807=3,(2*(D2786+G2786))-(F$5*8)+(G2786-2*F$5),IF(D2807=4,(2*(D2786+G2786))-(F$5*8)+2*(G2786-2*F$5)))))/1000</f>
        <v>1.48</v>
      </c>
      <c r="K2807" s="400" t="s">
        <v>204</v>
      </c>
      <c r="L2807" s="399">
        <f t="shared" si="9015"/>
        <v>0.15</v>
      </c>
      <c r="M2807" s="399" t="s">
        <v>176</v>
      </c>
      <c r="N2807" s="399">
        <f t="shared" si="9016"/>
        <v>1.63</v>
      </c>
      <c r="O2807" s="399"/>
      <c r="P2807" s="389"/>
      <c r="Q2807" s="399"/>
      <c r="R2807" s="399"/>
      <c r="S2807" s="399"/>
      <c r="T2807" s="399" t="s">
        <v>125</v>
      </c>
      <c r="U2807" s="401">
        <f t="shared" si="9017"/>
        <v>0.61650000000000005</v>
      </c>
      <c r="V2807" s="399" t="s">
        <v>125</v>
      </c>
      <c r="W2807" s="399">
        <f t="shared" ref="W2807" si="9027">IF(D2788&gt;4*G2786,ROUND(MAX(D2788/4,2*G2786)/H2807,0)+1,0)</f>
        <v>24</v>
      </c>
      <c r="X2807" s="399" t="s">
        <v>125</v>
      </c>
      <c r="Y2807" s="389">
        <f t="shared" ref="Y2807" si="9028">D2791</f>
        <v>1</v>
      </c>
      <c r="Z2807" s="400" t="s">
        <v>176</v>
      </c>
      <c r="AA2807" s="402">
        <f t="shared" si="9020"/>
        <v>24.11748</v>
      </c>
      <c r="AB2807" s="403"/>
    </row>
    <row r="2808" spans="1:28">
      <c r="A2808" s="384"/>
      <c r="B2808" s="385"/>
      <c r="C2808" s="393"/>
      <c r="D2808" s="394"/>
      <c r="E2808" s="388"/>
      <c r="F2808" s="388"/>
      <c r="G2808" s="388"/>
      <c r="H2808" s="395"/>
      <c r="I2808" s="388"/>
      <c r="J2808" s="399"/>
      <c r="K2808" s="396"/>
      <c r="L2808" s="396"/>
      <c r="M2808" s="396"/>
      <c r="N2808" s="396"/>
      <c r="O2808" s="396"/>
      <c r="P2808" s="389"/>
      <c r="Q2808" s="396"/>
      <c r="R2808" s="396"/>
      <c r="S2808" s="396"/>
      <c r="T2808" s="396"/>
      <c r="U2808" s="401"/>
      <c r="V2808" s="396"/>
      <c r="W2808" s="388"/>
      <c r="X2808" s="396"/>
      <c r="Y2808" s="389"/>
      <c r="Z2808" s="396"/>
      <c r="AA2808" s="388"/>
      <c r="AB2808" s="390"/>
    </row>
    <row r="2809" spans="1:28">
      <c r="A2809" s="384" t="str">
        <f t="shared" ref="A2809:B2809" si="9029">A2785</f>
        <v>Lantai 2</v>
      </c>
      <c r="B2809" s="385">
        <f t="shared" si="9029"/>
        <v>6</v>
      </c>
      <c r="C2809" s="393" t="s">
        <v>213</v>
      </c>
      <c r="D2809" s="398">
        <f>VLOOKUP(D2785,'Detail Balok'!$C$10:$BJ$140,46,FALSE)</f>
        <v>0</v>
      </c>
      <c r="E2809" s="388" t="s">
        <v>16</v>
      </c>
      <c r="F2809" s="388">
        <f>VLOOKUP(D2785,'Detail Balok'!$C$10:$BJ$140,48,FALSE)</f>
        <v>0</v>
      </c>
      <c r="G2809" s="405" t="s">
        <v>157</v>
      </c>
      <c r="H2809" s="395">
        <f>VLOOKUP(D2785,'Detail Balok'!$C$10:$BJ$140,50,FALSE)</f>
        <v>100</v>
      </c>
      <c r="I2809" s="388"/>
      <c r="J2809" s="399">
        <f t="shared" ref="J2809" si="9030">(D2786-2*F$5)/1000</f>
        <v>0.22</v>
      </c>
      <c r="K2809" s="400" t="s">
        <v>204</v>
      </c>
      <c r="L2809" s="399">
        <f t="shared" ref="L2809:L2811" si="9031">IF(D2809=0,2*MAX(6*F2809,75),(D2809-1)*2*MAX(6*F2809,75))/1000</f>
        <v>0.15</v>
      </c>
      <c r="M2809" s="399" t="s">
        <v>176</v>
      </c>
      <c r="N2809" s="399">
        <f t="shared" ref="N2809:N2811" si="9032">J2809+L2809</f>
        <v>0.37</v>
      </c>
      <c r="O2809" s="399"/>
      <c r="P2809" s="399"/>
      <c r="Q2809" s="399"/>
      <c r="R2809" s="399"/>
      <c r="S2809" s="399"/>
      <c r="T2809" s="399" t="s">
        <v>125</v>
      </c>
      <c r="U2809" s="401">
        <f t="shared" ref="U2809:U2811" si="9033">0.006165*F2809^2</f>
        <v>0</v>
      </c>
      <c r="V2809" s="399" t="s">
        <v>125</v>
      </c>
      <c r="W2809" s="399">
        <f t="shared" ref="W2809:W2871" si="9034">W2805</f>
        <v>24</v>
      </c>
      <c r="X2809" s="399" t="s">
        <v>125</v>
      </c>
      <c r="Y2809" s="389">
        <f t="shared" ref="Y2809" si="9035">D2795</f>
        <v>5</v>
      </c>
      <c r="Z2809" s="400" t="s">
        <v>176</v>
      </c>
      <c r="AA2809" s="402">
        <f t="shared" ref="AA2809:AA2811" si="9036">N2809*U2809*W2809*Y2809</f>
        <v>0</v>
      </c>
      <c r="AB2809" s="403"/>
    </row>
    <row r="2810" spans="1:28">
      <c r="A2810" s="384" t="str">
        <f t="shared" ref="A2810:B2810" si="9037">A2785</f>
        <v>Lantai 2</v>
      </c>
      <c r="B2810" s="385">
        <f t="shared" si="9037"/>
        <v>6</v>
      </c>
      <c r="C2810" s="393" t="s">
        <v>214</v>
      </c>
      <c r="D2810" s="398">
        <f>VLOOKUP(D2785,'Detail Balok'!$C$10:$BJ$140,51,FALSE)</f>
        <v>0</v>
      </c>
      <c r="E2810" s="388" t="s">
        <v>16</v>
      </c>
      <c r="F2810" s="388">
        <f>VLOOKUP(D2785,'Detail Balok'!$C$10:$BJ$140,53,FALSE)</f>
        <v>0</v>
      </c>
      <c r="G2810" s="405" t="s">
        <v>157</v>
      </c>
      <c r="H2810" s="395">
        <f>VLOOKUP(D2785,'Detail Balok'!$C$10:$BJ$140,55,FALSE)</f>
        <v>100</v>
      </c>
      <c r="I2810" s="388"/>
      <c r="J2810" s="399">
        <f t="shared" ref="J2810" si="9038">(D2786-2*F$5)/1000</f>
        <v>0.22</v>
      </c>
      <c r="K2810" s="400" t="s">
        <v>204</v>
      </c>
      <c r="L2810" s="399">
        <f t="shared" si="9031"/>
        <v>0.15</v>
      </c>
      <c r="M2810" s="399" t="s">
        <v>176</v>
      </c>
      <c r="N2810" s="399">
        <f t="shared" si="9032"/>
        <v>0.37</v>
      </c>
      <c r="O2810" s="399"/>
      <c r="P2810" s="399"/>
      <c r="Q2810" s="399"/>
      <c r="R2810" s="399"/>
      <c r="S2810" s="399"/>
      <c r="T2810" s="399" t="s">
        <v>125</v>
      </c>
      <c r="U2810" s="401">
        <f t="shared" si="9033"/>
        <v>0</v>
      </c>
      <c r="V2810" s="399" t="s">
        <v>125</v>
      </c>
      <c r="W2810" s="399">
        <f t="shared" si="9034"/>
        <v>30</v>
      </c>
      <c r="X2810" s="399" t="s">
        <v>125</v>
      </c>
      <c r="Y2810" s="389">
        <f t="shared" ref="Y2810" si="9039">D2795</f>
        <v>5</v>
      </c>
      <c r="Z2810" s="400" t="s">
        <v>176</v>
      </c>
      <c r="AA2810" s="402">
        <f t="shared" si="9036"/>
        <v>0</v>
      </c>
      <c r="AB2810" s="403"/>
    </row>
    <row r="2811" spans="1:28">
      <c r="A2811" s="384" t="str">
        <f t="shared" ref="A2811:B2811" si="9040">A2785</f>
        <v>Lantai 2</v>
      </c>
      <c r="B2811" s="385">
        <f t="shared" si="9040"/>
        <v>6</v>
      </c>
      <c r="C2811" s="393" t="s">
        <v>213</v>
      </c>
      <c r="D2811" s="398">
        <f>VLOOKUP(D2785,'Detail Balok'!$C$10:$BJ$140,56,FALSE)</f>
        <v>0</v>
      </c>
      <c r="E2811" s="388" t="s">
        <v>16</v>
      </c>
      <c r="F2811" s="388">
        <f>VLOOKUP(D2785,'Detail Balok'!$C$10:$BJ$140,58,FALSE)</f>
        <v>0</v>
      </c>
      <c r="G2811" s="405" t="s">
        <v>157</v>
      </c>
      <c r="H2811" s="395">
        <f>VLOOKUP(D2785,'Detail Balok'!$C$10:$BJ$140,60,FALSE)</f>
        <v>100</v>
      </c>
      <c r="I2811" s="388"/>
      <c r="J2811" s="399">
        <f t="shared" ref="J2811" si="9041">(D2786-2*F$5)/1000</f>
        <v>0.22</v>
      </c>
      <c r="K2811" s="400" t="s">
        <v>204</v>
      </c>
      <c r="L2811" s="399">
        <f t="shared" si="9031"/>
        <v>0.15</v>
      </c>
      <c r="M2811" s="399" t="s">
        <v>176</v>
      </c>
      <c r="N2811" s="399">
        <f t="shared" si="9032"/>
        <v>0.37</v>
      </c>
      <c r="O2811" s="399"/>
      <c r="P2811" s="399"/>
      <c r="Q2811" s="399"/>
      <c r="R2811" s="399"/>
      <c r="S2811" s="399"/>
      <c r="T2811" s="399" t="s">
        <v>125</v>
      </c>
      <c r="U2811" s="401">
        <f t="shared" si="9033"/>
        <v>0</v>
      </c>
      <c r="V2811" s="399" t="s">
        <v>125</v>
      </c>
      <c r="W2811" s="399">
        <f t="shared" si="9034"/>
        <v>24</v>
      </c>
      <c r="X2811" s="399" t="s">
        <v>125</v>
      </c>
      <c r="Y2811" s="389">
        <f t="shared" ref="Y2811" si="9042">D2795</f>
        <v>5</v>
      </c>
      <c r="Z2811" s="400" t="s">
        <v>176</v>
      </c>
      <c r="AA2811" s="402">
        <f t="shared" si="9036"/>
        <v>0</v>
      </c>
      <c r="AB2811" s="403"/>
    </row>
    <row r="2812" spans="1:28">
      <c r="A2812" s="391"/>
      <c r="B2812" s="392"/>
      <c r="C2812" s="392"/>
      <c r="D2812" s="394"/>
      <c r="E2812" s="388"/>
      <c r="F2812" s="388"/>
      <c r="G2812" s="388"/>
      <c r="H2812" s="395"/>
      <c r="I2812" s="388"/>
      <c r="J2812" s="402"/>
      <c r="K2812" s="388"/>
      <c r="L2812" s="388"/>
      <c r="M2812" s="388"/>
      <c r="N2812" s="388"/>
      <c r="O2812" s="388"/>
      <c r="P2812" s="388"/>
      <c r="Q2812" s="388"/>
      <c r="R2812" s="388"/>
      <c r="S2812" s="388"/>
      <c r="T2812" s="388"/>
      <c r="U2812" s="388"/>
      <c r="V2812" s="388"/>
      <c r="W2812" s="388"/>
      <c r="X2812" s="388"/>
      <c r="Y2812" s="389"/>
      <c r="Z2812" s="388"/>
      <c r="AA2812" s="402"/>
      <c r="AB2812" s="403"/>
    </row>
    <row r="2813" spans="1:28" ht="15.75" thickBot="1">
      <c r="A2813" s="406"/>
      <c r="B2813" s="407"/>
      <c r="C2813" s="407"/>
      <c r="D2813" s="408"/>
      <c r="E2813" s="409"/>
      <c r="F2813" s="409"/>
      <c r="G2813" s="409"/>
      <c r="H2813" s="410"/>
      <c r="I2813" s="409"/>
      <c r="J2813" s="409"/>
      <c r="K2813" s="409"/>
      <c r="L2813" s="409"/>
      <c r="M2813" s="409"/>
      <c r="N2813" s="409"/>
      <c r="O2813" s="409"/>
      <c r="P2813" s="409"/>
      <c r="Q2813" s="409"/>
      <c r="R2813" s="409"/>
      <c r="S2813" s="409"/>
      <c r="T2813" s="409"/>
      <c r="U2813" s="409"/>
      <c r="V2813" s="409"/>
      <c r="W2813" s="409"/>
      <c r="X2813" s="409"/>
      <c r="Y2813" s="411"/>
      <c r="Z2813" s="409"/>
      <c r="AA2813" s="412"/>
      <c r="AB2813" s="413"/>
    </row>
    <row r="2814" spans="1:28">
      <c r="A2814" s="377"/>
      <c r="B2814" s="378"/>
      <c r="C2814" s="378"/>
      <c r="D2814" s="379"/>
      <c r="E2814" s="380"/>
      <c r="F2814" s="380"/>
      <c r="G2814" s="380"/>
      <c r="H2814" s="381"/>
      <c r="I2814" s="380"/>
      <c r="J2814" s="380"/>
      <c r="K2814" s="380"/>
      <c r="L2814" s="380"/>
      <c r="M2814" s="380"/>
      <c r="N2814" s="380"/>
      <c r="O2814" s="380"/>
      <c r="P2814" s="380"/>
      <c r="Q2814" s="380"/>
      <c r="R2814" s="380"/>
      <c r="S2814" s="380"/>
      <c r="T2814" s="380"/>
      <c r="U2814" s="380"/>
      <c r="V2814" s="380"/>
      <c r="W2814" s="380"/>
      <c r="X2814" s="380"/>
      <c r="Y2814" s="382"/>
      <c r="Z2814" s="380"/>
      <c r="AA2814" s="380"/>
      <c r="AB2814" s="383"/>
    </row>
    <row r="2815" spans="1:28">
      <c r="A2815" s="384" t="str">
        <f t="shared" ref="A2815:A2875" si="9043">A2785</f>
        <v>Lantai 2</v>
      </c>
      <c r="B2815" s="385">
        <f t="shared" ref="B2815:B2875" si="9044">B2785+1</f>
        <v>7</v>
      </c>
      <c r="C2815" s="386" t="str">
        <f t="shared" ref="C2815" si="9045">CONCATENATE(A2815," no. ",B2815)</f>
        <v>Lantai 2 no. 7</v>
      </c>
      <c r="D2815" s="2562" t="str">
        <f>VLOOKUP(C2815,'Data Panjang Balok'!$C$9:$N$254,2,FALSE)</f>
        <v>B24-2</v>
      </c>
      <c r="E2815" s="2576"/>
      <c r="F2815" s="2576"/>
      <c r="G2815" s="2576"/>
      <c r="H2815" s="2577"/>
      <c r="I2815" s="387"/>
      <c r="J2815" s="388"/>
      <c r="K2815" s="388"/>
      <c r="L2815" s="388"/>
      <c r="M2815" s="388"/>
      <c r="N2815" s="388"/>
      <c r="O2815" s="388"/>
      <c r="P2815" s="388"/>
      <c r="Q2815" s="388"/>
      <c r="R2815" s="388"/>
      <c r="S2815" s="388"/>
      <c r="T2815" s="388"/>
      <c r="U2815" s="388"/>
      <c r="V2815" s="388"/>
      <c r="W2815" s="388"/>
      <c r="X2815" s="388"/>
      <c r="Y2815" s="389"/>
      <c r="Z2815" s="388"/>
      <c r="AA2815" s="388"/>
      <c r="AB2815" s="390"/>
    </row>
    <row r="2816" spans="1:28">
      <c r="A2816" s="391"/>
      <c r="B2816" s="392"/>
      <c r="C2816" s="393" t="s">
        <v>118</v>
      </c>
      <c r="D2816" s="2578">
        <f>VLOOKUP(D2815,'Detail Balok'!$C$10:$AU$140,2,FALSE)</f>
        <v>200</v>
      </c>
      <c r="E2816" s="2579"/>
      <c r="F2816" s="388" t="s">
        <v>125</v>
      </c>
      <c r="G2816" s="2579">
        <f>VLOOKUP(D2815,'Detail Balok'!$C$10:$AU$140,3,FALSE)</f>
        <v>400</v>
      </c>
      <c r="H2816" s="2580"/>
      <c r="I2816" s="388"/>
      <c r="J2816" s="396"/>
      <c r="K2816" s="396"/>
      <c r="L2816" s="396"/>
      <c r="M2816" s="396"/>
      <c r="N2816" s="396"/>
      <c r="O2816" s="396"/>
      <c r="P2816" s="396"/>
      <c r="Q2816" s="396"/>
      <c r="R2816" s="396"/>
      <c r="S2816" s="396"/>
      <c r="T2816" s="396"/>
      <c r="U2816" s="388"/>
      <c r="V2816" s="396"/>
      <c r="W2816" s="388"/>
      <c r="X2816" s="396"/>
      <c r="Y2816" s="389"/>
      <c r="Z2816" s="396"/>
      <c r="AA2816" s="388"/>
      <c r="AB2816" s="390"/>
    </row>
    <row r="2817" spans="1:28">
      <c r="A2817" s="391"/>
      <c r="B2817" s="392"/>
      <c r="C2817" s="393" t="s">
        <v>198</v>
      </c>
      <c r="D2817" s="2562">
        <f>VLOOKUP(C2815,'Data Panjang Balok'!$C$9:$N$254,4,FALSE)</f>
        <v>2475</v>
      </c>
      <c r="E2817" s="2563"/>
      <c r="F2817" s="2563"/>
      <c r="G2817" s="2563"/>
      <c r="H2817" s="2564"/>
      <c r="I2817" s="397"/>
      <c r="J2817" s="396"/>
      <c r="K2817" s="396"/>
      <c r="L2817" s="396"/>
      <c r="M2817" s="396"/>
      <c r="N2817" s="396"/>
      <c r="O2817" s="396"/>
      <c r="P2817" s="396"/>
      <c r="Q2817" s="396"/>
      <c r="R2817" s="396"/>
      <c r="S2817" s="396"/>
      <c r="T2817" s="396"/>
      <c r="U2817" s="388"/>
      <c r="V2817" s="396"/>
      <c r="W2817" s="388"/>
      <c r="X2817" s="396"/>
      <c r="Y2817" s="389"/>
      <c r="Z2817" s="396"/>
      <c r="AA2817" s="388"/>
      <c r="AB2817" s="390"/>
    </row>
    <row r="2818" spans="1:28">
      <c r="A2818" s="391"/>
      <c r="B2818" s="392"/>
      <c r="C2818" s="393" t="s">
        <v>199</v>
      </c>
      <c r="D2818" s="2562">
        <f>VLOOKUP(C2815,'Data Panjang Balok'!$C$9:$N$254,7,FALSE)</f>
        <v>2475</v>
      </c>
      <c r="E2818" s="2563"/>
      <c r="F2818" s="2563"/>
      <c r="G2818" s="2563"/>
      <c r="H2818" s="2564"/>
      <c r="I2818" s="397"/>
      <c r="J2818" s="396"/>
      <c r="K2818" s="396"/>
      <c r="L2818" s="396"/>
      <c r="M2818" s="396"/>
      <c r="N2818" s="396"/>
      <c r="O2818" s="396"/>
      <c r="P2818" s="396"/>
      <c r="Q2818" s="396"/>
      <c r="R2818" s="396"/>
      <c r="S2818" s="396"/>
      <c r="T2818" s="396"/>
      <c r="U2818" s="388"/>
      <c r="V2818" s="396"/>
      <c r="W2818" s="388"/>
      <c r="X2818" s="396"/>
      <c r="Y2818" s="389"/>
      <c r="Z2818" s="396"/>
      <c r="AA2818" s="388"/>
      <c r="AB2818" s="390"/>
    </row>
    <row r="2819" spans="1:28">
      <c r="A2819" s="391"/>
      <c r="B2819" s="392"/>
      <c r="C2819" s="393" t="s">
        <v>200</v>
      </c>
      <c r="D2819" s="2562">
        <f>VLOOKUP(C2815,'Data Panjang Balok'!$C$9:$N$254,9,FALSE)</f>
        <v>0</v>
      </c>
      <c r="E2819" s="2563"/>
      <c r="F2819" s="2563"/>
      <c r="G2819" s="2563"/>
      <c r="H2819" s="2564"/>
      <c r="I2819" s="397"/>
      <c r="J2819" s="396"/>
      <c r="K2819" s="396"/>
      <c r="L2819" s="396"/>
      <c r="M2819" s="396"/>
      <c r="N2819" s="396"/>
      <c r="O2819" s="396"/>
      <c r="P2819" s="396"/>
      <c r="Q2819" s="396"/>
      <c r="R2819" s="396"/>
      <c r="S2819" s="396"/>
      <c r="T2819" s="396"/>
      <c r="U2819" s="388"/>
      <c r="V2819" s="396"/>
      <c r="W2819" s="388"/>
      <c r="X2819" s="396"/>
      <c r="Y2819" s="389"/>
      <c r="Z2819" s="396"/>
      <c r="AA2819" s="388"/>
      <c r="AB2819" s="390"/>
    </row>
    <row r="2820" spans="1:28">
      <c r="A2820" s="391"/>
      <c r="B2820" s="392"/>
      <c r="C2820" s="393" t="s">
        <v>201</v>
      </c>
      <c r="D2820" s="2562">
        <f>VLOOKUP(C2815,'Data Panjang Balok'!$C$9:$N$254,10,FALSE)</f>
        <v>0</v>
      </c>
      <c r="E2820" s="2563"/>
      <c r="F2820" s="2563"/>
      <c r="G2820" s="2563"/>
      <c r="H2820" s="2564"/>
      <c r="I2820" s="397"/>
      <c r="J2820" s="396"/>
      <c r="K2820" s="396"/>
      <c r="L2820" s="396"/>
      <c r="M2820" s="396"/>
      <c r="N2820" s="396"/>
      <c r="O2820" s="396"/>
      <c r="P2820" s="396"/>
      <c r="Q2820" s="396"/>
      <c r="R2820" s="396"/>
      <c r="S2820" s="396"/>
      <c r="T2820" s="396"/>
      <c r="U2820" s="388"/>
      <c r="V2820" s="396"/>
      <c r="W2820" s="388"/>
      <c r="X2820" s="396"/>
      <c r="Y2820" s="389"/>
      <c r="Z2820" s="396"/>
      <c r="AA2820" s="388"/>
      <c r="AB2820" s="390"/>
    </row>
    <row r="2821" spans="1:28">
      <c r="A2821" s="391"/>
      <c r="B2821" s="392"/>
      <c r="C2821" s="393" t="s">
        <v>48</v>
      </c>
      <c r="D2821" s="2562">
        <f>VLOOKUP(C2815,'Data Panjang Balok'!$C$9:$N$254,3,FALSE)</f>
        <v>1</v>
      </c>
      <c r="E2821" s="2563"/>
      <c r="F2821" s="2563"/>
      <c r="G2821" s="2563"/>
      <c r="H2821" s="2564"/>
      <c r="I2821" s="397"/>
      <c r="J2821" s="396"/>
      <c r="K2821" s="396"/>
      <c r="L2821" s="396"/>
      <c r="M2821" s="396"/>
      <c r="N2821" s="396"/>
      <c r="O2821" s="396"/>
      <c r="P2821" s="396"/>
      <c r="Q2821" s="396"/>
      <c r="R2821" s="396"/>
      <c r="S2821" s="396"/>
      <c r="T2821" s="396"/>
      <c r="U2821" s="388"/>
      <c r="V2821" s="396"/>
      <c r="W2821" s="388"/>
      <c r="X2821" s="396"/>
      <c r="Y2821" s="389"/>
      <c r="Z2821" s="396"/>
      <c r="AA2821" s="388"/>
      <c r="AB2821" s="390"/>
    </row>
    <row r="2822" spans="1:28">
      <c r="A2822" s="384" t="str">
        <f t="shared" ref="A2822:B2822" si="9046">A2815</f>
        <v>Lantai 2</v>
      </c>
      <c r="B2822" s="385">
        <f t="shared" si="9046"/>
        <v>7</v>
      </c>
      <c r="C2822" s="393" t="s">
        <v>202</v>
      </c>
      <c r="D2822" s="398">
        <f>VLOOKUP(D2815,'Detail Balok'!$C$10:$AU$140,4,FALSE)</f>
        <v>3</v>
      </c>
      <c r="E2822" s="388" t="s">
        <v>16</v>
      </c>
      <c r="F2822" s="388">
        <f>VLOOKUP(D2815,'Detail Balok'!$C$10:$AU$140,6,FALSE)</f>
        <v>16</v>
      </c>
      <c r="G2822" s="388"/>
      <c r="H2822" s="395"/>
      <c r="I2822" s="388" t="s">
        <v>203</v>
      </c>
      <c r="J2822" s="399">
        <f t="shared" ref="J2822" si="9047">+D2817/4/1000</f>
        <v>0.61875000000000002</v>
      </c>
      <c r="K2822" s="400" t="s">
        <v>204</v>
      </c>
      <c r="L2822" s="399">
        <f t="shared" ref="L2822" si="9048">MAX(VLOOKUP(F2822,N$6:P$15,3,FALSE)/1000,2/3*D2819/1000)+F$16*F2822/1000</f>
        <v>0.192</v>
      </c>
      <c r="M2822" s="399" t="s">
        <v>176</v>
      </c>
      <c r="N2822" s="399">
        <f t="shared" ref="N2822:N2824" si="9049">J2822+L2822</f>
        <v>0.81075000000000008</v>
      </c>
      <c r="O2822" s="399" t="s">
        <v>204</v>
      </c>
      <c r="P2822" s="389">
        <f t="shared" ref="P2822" si="9050">D2822-D2823</f>
        <v>0</v>
      </c>
      <c r="Q2822" s="399" t="s">
        <v>125</v>
      </c>
      <c r="R2822" s="399">
        <f t="shared" ref="R2822" si="9051">IF(P2822&gt;0,$F$18*F2822/1000,0)</f>
        <v>0</v>
      </c>
      <c r="S2822" s="399" t="s">
        <v>205</v>
      </c>
      <c r="T2822" s="399" t="s">
        <v>125</v>
      </c>
      <c r="U2822" s="401">
        <f t="shared" ref="U2822:U2824" si="9052">0.006165*F2822^2</f>
        <v>1.5782400000000001</v>
      </c>
      <c r="V2822" s="399"/>
      <c r="W2822" s="399"/>
      <c r="X2822" s="399" t="s">
        <v>125</v>
      </c>
      <c r="Y2822" s="389">
        <f t="shared" ref="Y2822" si="9053">D2821</f>
        <v>1</v>
      </c>
      <c r="Z2822" s="400" t="s">
        <v>176</v>
      </c>
      <c r="AA2822" s="402">
        <f t="shared" ref="AA2822" si="9054">IF(AA2825=0,(D2822*N2822+P2822*R2822)*U2822*Y2822,0)</f>
        <v>0</v>
      </c>
      <c r="AB2822" s="403"/>
    </row>
    <row r="2823" spans="1:28">
      <c r="A2823" s="384" t="str">
        <f t="shared" ref="A2823:B2823" si="9055">A2815</f>
        <v>Lantai 2</v>
      </c>
      <c r="B2823" s="385">
        <f t="shared" si="9055"/>
        <v>7</v>
      </c>
      <c r="C2823" s="393" t="s">
        <v>206</v>
      </c>
      <c r="D2823" s="398">
        <f>VLOOKUP(D2815,'Detail Balok'!$C$10:$AU$140,7,FALSE)</f>
        <v>3</v>
      </c>
      <c r="E2823" s="388" t="s">
        <v>16</v>
      </c>
      <c r="F2823" s="388">
        <f>VLOOKUP(D2815,'Detail Balok'!$C$10:$AU$140,9,FALSE)</f>
        <v>16</v>
      </c>
      <c r="G2823" s="388"/>
      <c r="H2823" s="395"/>
      <c r="I2823" s="388" t="s">
        <v>203</v>
      </c>
      <c r="J2823" s="399">
        <f t="shared" ref="J2823" si="9056">+D2817/2/1000</f>
        <v>1.2375</v>
      </c>
      <c r="K2823" s="400" t="s">
        <v>204</v>
      </c>
      <c r="L2823" s="399"/>
      <c r="M2823" s="399" t="s">
        <v>176</v>
      </c>
      <c r="N2823" s="399">
        <f t="shared" si="9049"/>
        <v>1.2375</v>
      </c>
      <c r="O2823" s="399" t="s">
        <v>204</v>
      </c>
      <c r="P2823" s="389">
        <f t="shared" ref="P2823" si="9057">MAX(D2823-D2822,D2823-D2824)</f>
        <v>0</v>
      </c>
      <c r="Q2823" s="399" t="s">
        <v>125</v>
      </c>
      <c r="R2823" s="399">
        <f t="shared" ref="R2823" si="9058">IF(P2823&gt;0,2*(1-2*$F$19-1/2)*D2818/1000,0)</f>
        <v>0</v>
      </c>
      <c r="S2823" s="399" t="s">
        <v>205</v>
      </c>
      <c r="T2823" s="399" t="s">
        <v>125</v>
      </c>
      <c r="U2823" s="401">
        <f t="shared" si="9052"/>
        <v>1.5782400000000001</v>
      </c>
      <c r="V2823" s="399"/>
      <c r="W2823" s="399"/>
      <c r="X2823" s="399" t="s">
        <v>125</v>
      </c>
      <c r="Y2823" s="389">
        <f t="shared" ref="Y2823" si="9059">D2821</f>
        <v>1</v>
      </c>
      <c r="Z2823" s="400" t="s">
        <v>176</v>
      </c>
      <c r="AA2823" s="402">
        <f t="shared" ref="AA2823" si="9060">IF(AA2825=0,(D2823*N2823+P2823*R2823)*U2823*Y2823,0)</f>
        <v>0</v>
      </c>
      <c r="AB2823" s="403"/>
    </row>
    <row r="2824" spans="1:28">
      <c r="A2824" s="384" t="str">
        <f t="shared" ref="A2824:B2824" si="9061">A2815</f>
        <v>Lantai 2</v>
      </c>
      <c r="B2824" s="385">
        <f t="shared" si="9061"/>
        <v>7</v>
      </c>
      <c r="C2824" s="393" t="s">
        <v>202</v>
      </c>
      <c r="D2824" s="398">
        <f>VLOOKUP(D2815,'Detail Balok'!$C$10:$AU$140,10,FALSE)</f>
        <v>3</v>
      </c>
      <c r="E2824" s="388" t="s">
        <v>16</v>
      </c>
      <c r="F2824" s="388">
        <f>VLOOKUP(D2815,'Detail Balok'!$C$10:$AU$140,12,FALSE)</f>
        <v>16</v>
      </c>
      <c r="G2824" s="388"/>
      <c r="H2824" s="395"/>
      <c r="I2824" s="388" t="s">
        <v>203</v>
      </c>
      <c r="J2824" s="399">
        <f t="shared" ref="J2824" si="9062">+D2817/4/1000</f>
        <v>0.61875000000000002</v>
      </c>
      <c r="K2824" s="400" t="s">
        <v>204</v>
      </c>
      <c r="L2824" s="399">
        <f t="shared" ref="L2824" si="9063">MAX(VLOOKUP(F2824,N$6:P$15,3,FALSE)/1000,2/3*D2819/1000)+F$16*F2824/1000</f>
        <v>0.192</v>
      </c>
      <c r="M2824" s="399" t="s">
        <v>176</v>
      </c>
      <c r="N2824" s="399">
        <f t="shared" si="9049"/>
        <v>0.81075000000000008</v>
      </c>
      <c r="O2824" s="399" t="s">
        <v>204</v>
      </c>
      <c r="P2824" s="389">
        <f t="shared" ref="P2824" si="9064">D2824-D2823</f>
        <v>0</v>
      </c>
      <c r="Q2824" s="399" t="s">
        <v>125</v>
      </c>
      <c r="R2824" s="399">
        <f t="shared" ref="R2824" si="9065">IF(P2824&gt;0,$F$18*F2824/1000,0)</f>
        <v>0</v>
      </c>
      <c r="S2824" s="399" t="s">
        <v>205</v>
      </c>
      <c r="T2824" s="399" t="s">
        <v>125</v>
      </c>
      <c r="U2824" s="401">
        <f t="shared" si="9052"/>
        <v>1.5782400000000001</v>
      </c>
      <c r="V2824" s="399"/>
      <c r="W2824" s="399"/>
      <c r="X2824" s="399" t="s">
        <v>125</v>
      </c>
      <c r="Y2824" s="389">
        <f t="shared" ref="Y2824" si="9066">D2821</f>
        <v>1</v>
      </c>
      <c r="Z2824" s="400" t="s">
        <v>176</v>
      </c>
      <c r="AA2824" s="402">
        <f t="shared" ref="AA2824" si="9067">IF(AA2825=0,(D2824*N2824+P2824*R2824)*U2824*Y2824,0)</f>
        <v>0</v>
      </c>
      <c r="AB2824" s="403"/>
    </row>
    <row r="2825" spans="1:28">
      <c r="A2825" s="384" t="str">
        <f t="shared" ref="A2825:B2825" si="9068">A2815</f>
        <v>Lantai 2</v>
      </c>
      <c r="B2825" s="385">
        <f t="shared" si="9068"/>
        <v>7</v>
      </c>
      <c r="C2825" s="393"/>
      <c r="D2825" s="398">
        <f t="shared" si="8964"/>
        <v>3</v>
      </c>
      <c r="E2825" s="388" t="s">
        <v>16</v>
      </c>
      <c r="F2825" s="388">
        <f t="shared" si="8965"/>
        <v>16</v>
      </c>
      <c r="G2825" s="388"/>
      <c r="H2825" s="395"/>
      <c r="I2825" s="388"/>
      <c r="J2825" s="396"/>
      <c r="K2825" s="396"/>
      <c r="L2825" s="404" t="s">
        <v>207</v>
      </c>
      <c r="M2825" s="399" t="s">
        <v>176</v>
      </c>
      <c r="N2825" s="399">
        <f t="shared" ref="N2825" si="9069">IF(AND(D2822=D2823,D2822=D2824,D2823=D2824,F2822=F2823,F2822=F2824,F2823=F2824),SUM(N2822:N2824),0)</f>
        <v>2.8590000000000004</v>
      </c>
      <c r="O2825" s="399" t="s">
        <v>204</v>
      </c>
      <c r="P2825" s="389">
        <f t="shared" ref="P2825" si="9070">IF(N2825&gt;12,ROUNDDOWN(N2825/12,0),0)</f>
        <v>0</v>
      </c>
      <c r="Q2825" s="399" t="s">
        <v>125</v>
      </c>
      <c r="R2825" s="399">
        <f t="shared" ref="R2825" si="9071">IF(P2825&gt;0,MAX(VLOOKUP(F2825,$D$6:$G$15,3,FALSE),600),0)/1000</f>
        <v>0</v>
      </c>
      <c r="S2825" s="396"/>
      <c r="T2825" s="396" t="s">
        <v>125</v>
      </c>
      <c r="U2825" s="401">
        <f t="shared" si="8969"/>
        <v>1.5782400000000001</v>
      </c>
      <c r="V2825" s="396" t="s">
        <v>125</v>
      </c>
      <c r="W2825" s="399">
        <f t="shared" ref="W2825" si="9072">D2825</f>
        <v>3</v>
      </c>
      <c r="X2825" s="399" t="s">
        <v>125</v>
      </c>
      <c r="Y2825" s="389">
        <f t="shared" si="8971"/>
        <v>1</v>
      </c>
      <c r="Z2825" s="400" t="s">
        <v>176</v>
      </c>
      <c r="AA2825" s="402">
        <f t="shared" ref="AA2825" si="9073">(N2825+P2825*R2825/1000)*U2825*W2825*Y2825</f>
        <v>13.536564480000003</v>
      </c>
      <c r="AB2825" s="390"/>
    </row>
    <row r="2826" spans="1:28">
      <c r="A2826" s="384"/>
      <c r="B2826" s="385"/>
      <c r="C2826" s="393"/>
      <c r="D2826" s="398"/>
      <c r="E2826" s="388"/>
      <c r="F2826" s="388"/>
      <c r="G2826" s="388"/>
      <c r="H2826" s="395"/>
      <c r="I2826" s="388"/>
      <c r="J2826" s="396"/>
      <c r="K2826" s="396"/>
      <c r="L2826" s="404"/>
      <c r="M2826" s="399"/>
      <c r="N2826" s="399"/>
      <c r="O2826" s="396"/>
      <c r="P2826" s="389"/>
      <c r="Q2826" s="396"/>
      <c r="R2826" s="396"/>
      <c r="S2826" s="396"/>
      <c r="T2826" s="396"/>
      <c r="U2826" s="401"/>
      <c r="V2826" s="396"/>
      <c r="W2826" s="399"/>
      <c r="X2826" s="396"/>
      <c r="Y2826" s="389"/>
      <c r="Z2826" s="396"/>
      <c r="AA2826" s="388"/>
      <c r="AB2826" s="390"/>
    </row>
    <row r="2827" spans="1:28">
      <c r="A2827" s="384" t="str">
        <f t="shared" ref="A2827:B2827" si="9074">A2815</f>
        <v>Lantai 2</v>
      </c>
      <c r="B2827" s="385">
        <f t="shared" si="9074"/>
        <v>7</v>
      </c>
      <c r="C2827" s="393" t="s">
        <v>208</v>
      </c>
      <c r="D2827" s="398">
        <f>VLOOKUP(D2815,'Detail Balok'!$C$10:$AU$140,13,FALSE)</f>
        <v>0</v>
      </c>
      <c r="E2827" s="388" t="s">
        <v>16</v>
      </c>
      <c r="F2827" s="388">
        <f>VLOOKUP(D2815,'Detail Balok'!$C$10:$AU$140,15,FALSE)</f>
        <v>8</v>
      </c>
      <c r="G2827" s="388"/>
      <c r="H2827" s="395"/>
      <c r="I2827" s="388"/>
      <c r="J2827" s="399">
        <f t="shared" ref="J2827" si="9075">+D2817/1000</f>
        <v>2.4750000000000001</v>
      </c>
      <c r="K2827" s="400" t="s">
        <v>204</v>
      </c>
      <c r="L2827" s="399">
        <f t="shared" ref="L2827" si="9076">2*$F$16*F2827/1000</f>
        <v>0.192</v>
      </c>
      <c r="M2827" s="399" t="s">
        <v>176</v>
      </c>
      <c r="N2827" s="399">
        <f t="shared" ref="N2827" si="9077">J2827+L2827</f>
        <v>2.6670000000000003</v>
      </c>
      <c r="O2827" s="399" t="s">
        <v>204</v>
      </c>
      <c r="P2827" s="389">
        <f t="shared" ref="P2827" si="9078">IF(N2827&gt;12,ROUNDDOWN(N2827/12,0),0)</f>
        <v>0</v>
      </c>
      <c r="Q2827" s="399" t="s">
        <v>125</v>
      </c>
      <c r="R2827" s="399">
        <f t="shared" ref="R2827" si="9079">IF(P2827&gt;0,MAX(VLOOKUP(F2827,$D$6:$G$15,3,FALSE),600),0)/1000</f>
        <v>0</v>
      </c>
      <c r="S2827" s="399"/>
      <c r="T2827" s="399" t="s">
        <v>125</v>
      </c>
      <c r="U2827" s="401">
        <f t="shared" ref="U2827" si="9080">0.006165*F2827^2</f>
        <v>0.39456000000000002</v>
      </c>
      <c r="V2827" s="399" t="s">
        <v>125</v>
      </c>
      <c r="W2827" s="399">
        <f t="shared" ref="W2827" si="9081">+D2827</f>
        <v>0</v>
      </c>
      <c r="X2827" s="399" t="s">
        <v>125</v>
      </c>
      <c r="Y2827" s="389">
        <f t="shared" ref="Y2827" si="9082">D2821</f>
        <v>1</v>
      </c>
      <c r="Z2827" s="400" t="s">
        <v>176</v>
      </c>
      <c r="AA2827" s="402">
        <f t="shared" ref="AA2827" si="9083">(N2827+P2827*R2827/1000)*U2827*W2827*Y2827</f>
        <v>0</v>
      </c>
      <c r="AB2827" s="403"/>
    </row>
    <row r="2828" spans="1:28">
      <c r="A2828" s="384"/>
      <c r="B2828" s="385"/>
      <c r="C2828" s="393"/>
      <c r="D2828" s="398"/>
      <c r="E2828" s="388"/>
      <c r="F2828" s="388"/>
      <c r="G2828" s="388"/>
      <c r="H2828" s="395"/>
      <c r="I2828" s="388"/>
      <c r="J2828" s="399"/>
      <c r="K2828" s="400"/>
      <c r="L2828" s="399"/>
      <c r="M2828" s="399"/>
      <c r="N2828" s="399"/>
      <c r="O2828" s="399"/>
      <c r="P2828" s="389"/>
      <c r="Q2828" s="399"/>
      <c r="R2828" s="399"/>
      <c r="S2828" s="399"/>
      <c r="T2828" s="399"/>
      <c r="U2828" s="401"/>
      <c r="V2828" s="399"/>
      <c r="W2828" s="399"/>
      <c r="X2828" s="399"/>
      <c r="Y2828" s="389"/>
      <c r="Z2828" s="400"/>
      <c r="AA2828" s="402"/>
      <c r="AB2828" s="403"/>
    </row>
    <row r="2829" spans="1:28">
      <c r="A2829" s="384"/>
      <c r="B2829" s="385"/>
      <c r="C2829" s="393"/>
      <c r="D2829" s="398"/>
      <c r="E2829" s="388"/>
      <c r="F2829" s="388"/>
      <c r="G2829" s="388"/>
      <c r="H2829" s="395"/>
      <c r="I2829" s="388"/>
      <c r="J2829" s="396"/>
      <c r="K2829" s="396"/>
      <c r="L2829" s="396"/>
      <c r="M2829" s="396"/>
      <c r="N2829" s="396"/>
      <c r="O2829" s="396"/>
      <c r="P2829" s="389"/>
      <c r="Q2829" s="396"/>
      <c r="R2829" s="396"/>
      <c r="S2829" s="396"/>
      <c r="T2829" s="396"/>
      <c r="U2829" s="401"/>
      <c r="V2829" s="396"/>
      <c r="W2829" s="399"/>
      <c r="X2829" s="396"/>
      <c r="Y2829" s="389"/>
      <c r="Z2829" s="396"/>
      <c r="AA2829" s="388"/>
      <c r="AB2829" s="390"/>
    </row>
    <row r="2830" spans="1:28">
      <c r="A2830" s="384" t="str">
        <f t="shared" ref="A2830:B2830" si="9084">A2815</f>
        <v>Lantai 2</v>
      </c>
      <c r="B2830" s="385">
        <f t="shared" si="9084"/>
        <v>7</v>
      </c>
      <c r="C2830" s="393" t="s">
        <v>209</v>
      </c>
      <c r="D2830" s="398">
        <f>VLOOKUP(D2815,'Detail Balok'!$C$10:$AU$140,22,FALSE)</f>
        <v>3</v>
      </c>
      <c r="E2830" s="388" t="s">
        <v>16</v>
      </c>
      <c r="F2830" s="388">
        <f>VLOOKUP(D2815,'Detail Balok'!$C$10:$AU$140,24,FALSE)</f>
        <v>16</v>
      </c>
      <c r="G2830" s="388"/>
      <c r="H2830" s="395"/>
      <c r="I2830" s="388" t="s">
        <v>203</v>
      </c>
      <c r="J2830" s="399">
        <f t="shared" si="8984"/>
        <v>0.61875000000000002</v>
      </c>
      <c r="K2830" s="400" t="s">
        <v>204</v>
      </c>
      <c r="L2830" s="399">
        <f t="shared" ref="L2830" si="9085">MAX(VLOOKUP(F2830,N$6:P$15,3,FALSE)/1000,2/3*D2820/1000)+F$16*F2830/1000</f>
        <v>0.192</v>
      </c>
      <c r="M2830" s="399" t="s">
        <v>176</v>
      </c>
      <c r="N2830" s="399">
        <f t="shared" ref="N2830:N2832" si="9086">J2830+L2830</f>
        <v>0.81075000000000008</v>
      </c>
      <c r="O2830" s="399" t="s">
        <v>204</v>
      </c>
      <c r="P2830" s="389">
        <f t="shared" ref="P2830" si="9087">D2830-D2831</f>
        <v>0</v>
      </c>
      <c r="Q2830" s="399" t="s">
        <v>125</v>
      </c>
      <c r="R2830" s="399">
        <f t="shared" ref="R2830" si="9088">IF(P2830&gt;0,$F$18*F2830/1000,0)</f>
        <v>0</v>
      </c>
      <c r="S2830" s="399" t="s">
        <v>205</v>
      </c>
      <c r="T2830" s="399" t="s">
        <v>125</v>
      </c>
      <c r="U2830" s="401">
        <f t="shared" ref="U2830:U2832" si="9089">0.006165*F2830^2</f>
        <v>1.5782400000000001</v>
      </c>
      <c r="V2830" s="399"/>
      <c r="W2830" s="399"/>
      <c r="X2830" s="399" t="s">
        <v>125</v>
      </c>
      <c r="Y2830" s="389">
        <f t="shared" ref="Y2830" si="9090">D2821</f>
        <v>1</v>
      </c>
      <c r="Z2830" s="400" t="s">
        <v>176</v>
      </c>
      <c r="AA2830" s="402">
        <f t="shared" ref="AA2830" si="9091">IF(AA2833=0,(D2830*N2830+P2830*R2830)*U2830*Y2830,0)</f>
        <v>0</v>
      </c>
      <c r="AB2830" s="403"/>
    </row>
    <row r="2831" spans="1:28">
      <c r="A2831" s="384" t="str">
        <f t="shared" ref="A2831:B2831" si="9092">A2815</f>
        <v>Lantai 2</v>
      </c>
      <c r="B2831" s="385">
        <f t="shared" si="9092"/>
        <v>7</v>
      </c>
      <c r="C2831" s="393" t="s">
        <v>210</v>
      </c>
      <c r="D2831" s="398">
        <f>VLOOKUP(D2815,'Detail Balok'!$C$10:$AU$140,25,FALSE)</f>
        <v>3</v>
      </c>
      <c r="E2831" s="388" t="s">
        <v>16</v>
      </c>
      <c r="F2831" s="388">
        <f>VLOOKUP(D2815,'Detail Balok'!$C$10:$AU$140,27,FALSE)</f>
        <v>16</v>
      </c>
      <c r="G2831" s="388"/>
      <c r="H2831" s="395"/>
      <c r="I2831" s="388" t="s">
        <v>203</v>
      </c>
      <c r="J2831" s="399">
        <f t="shared" si="8984"/>
        <v>1.2375</v>
      </c>
      <c r="K2831" s="400" t="s">
        <v>204</v>
      </c>
      <c r="L2831" s="399"/>
      <c r="M2831" s="399" t="s">
        <v>176</v>
      </c>
      <c r="N2831" s="399">
        <f t="shared" si="9086"/>
        <v>1.2375</v>
      </c>
      <c r="O2831" s="399" t="s">
        <v>204</v>
      </c>
      <c r="P2831" s="389">
        <f t="shared" ref="P2831" si="9093">MAX(D2831-D2830,D2831-D2832)</f>
        <v>0</v>
      </c>
      <c r="Q2831" s="399" t="s">
        <v>125</v>
      </c>
      <c r="R2831" s="399">
        <f t="shared" ref="R2831" si="9094">IF(P2831&gt;0,2*(1-2*$F$19-1/2)*D2818/1000,0)</f>
        <v>0</v>
      </c>
      <c r="S2831" s="399" t="s">
        <v>205</v>
      </c>
      <c r="T2831" s="399" t="s">
        <v>125</v>
      </c>
      <c r="U2831" s="401">
        <f t="shared" si="9089"/>
        <v>1.5782400000000001</v>
      </c>
      <c r="V2831" s="399"/>
      <c r="W2831" s="399"/>
      <c r="X2831" s="399" t="s">
        <v>125</v>
      </c>
      <c r="Y2831" s="389">
        <f t="shared" ref="Y2831" si="9095">D2821</f>
        <v>1</v>
      </c>
      <c r="Z2831" s="400" t="s">
        <v>176</v>
      </c>
      <c r="AA2831" s="402">
        <f t="shared" ref="AA2831" si="9096">IF(AA2833=0,(D2831*N2831+P2831*R2831)*U2831*Y2831,0)</f>
        <v>0</v>
      </c>
      <c r="AB2831" s="403"/>
    </row>
    <row r="2832" spans="1:28">
      <c r="A2832" s="384" t="str">
        <f t="shared" ref="A2832:B2832" si="9097">A2815</f>
        <v>Lantai 2</v>
      </c>
      <c r="B2832" s="385">
        <f t="shared" si="9097"/>
        <v>7</v>
      </c>
      <c r="C2832" s="393" t="s">
        <v>209</v>
      </c>
      <c r="D2832" s="398">
        <f>VLOOKUP(D2815,'Detail Balok'!$C$10:$AU$140,28,FALSE)</f>
        <v>3</v>
      </c>
      <c r="E2832" s="388" t="s">
        <v>16</v>
      </c>
      <c r="F2832" s="388">
        <f>VLOOKUP(D2815,'Detail Balok'!$C$10:$AU$140,30,FALSE)</f>
        <v>16</v>
      </c>
      <c r="G2832" s="388"/>
      <c r="H2832" s="395"/>
      <c r="I2832" s="388" t="s">
        <v>203</v>
      </c>
      <c r="J2832" s="399">
        <f t="shared" si="8984"/>
        <v>0.61875000000000002</v>
      </c>
      <c r="K2832" s="400" t="s">
        <v>204</v>
      </c>
      <c r="L2832" s="399">
        <f t="shared" ref="L2832" si="9098">MAX(VLOOKUP(F2832,N$6:P$15,3,FALSE)/1000,2/3*D2820/1000)+F$16*F2832/1000</f>
        <v>0.192</v>
      </c>
      <c r="M2832" s="399" t="s">
        <v>176</v>
      </c>
      <c r="N2832" s="399">
        <f t="shared" si="9086"/>
        <v>0.81075000000000008</v>
      </c>
      <c r="O2832" s="399" t="s">
        <v>204</v>
      </c>
      <c r="P2832" s="389">
        <f t="shared" ref="P2832" si="9099">D2832-D2831</f>
        <v>0</v>
      </c>
      <c r="Q2832" s="399" t="s">
        <v>125</v>
      </c>
      <c r="R2832" s="399">
        <f t="shared" ref="R2832" si="9100">IF(P2832&gt;0,$F$18*F2832/1000,0)</f>
        <v>0</v>
      </c>
      <c r="S2832" s="399" t="s">
        <v>205</v>
      </c>
      <c r="T2832" s="399" t="s">
        <v>125</v>
      </c>
      <c r="U2832" s="401">
        <f t="shared" si="9089"/>
        <v>1.5782400000000001</v>
      </c>
      <c r="V2832" s="399"/>
      <c r="W2832" s="399"/>
      <c r="X2832" s="399" t="s">
        <v>125</v>
      </c>
      <c r="Y2832" s="389">
        <f t="shared" ref="Y2832" si="9101">D2821</f>
        <v>1</v>
      </c>
      <c r="Z2832" s="400" t="s">
        <v>176</v>
      </c>
      <c r="AA2832" s="402">
        <f t="shared" ref="AA2832" si="9102">IF(AA2833=0,(D2832*N2832+P2832*R2832)*U2832*Y2832,0)</f>
        <v>0</v>
      </c>
      <c r="AB2832" s="403"/>
    </row>
    <row r="2833" spans="1:28">
      <c r="A2833" s="384" t="str">
        <f t="shared" ref="A2833:B2833" si="9103">A2815</f>
        <v>Lantai 2</v>
      </c>
      <c r="B2833" s="385">
        <f t="shared" si="9103"/>
        <v>7</v>
      </c>
      <c r="C2833" s="393"/>
      <c r="D2833" s="398">
        <f t="shared" si="9004"/>
        <v>3</v>
      </c>
      <c r="E2833" s="388" t="s">
        <v>16</v>
      </c>
      <c r="F2833" s="388">
        <f t="shared" si="9005"/>
        <v>16</v>
      </c>
      <c r="G2833" s="388"/>
      <c r="H2833" s="395"/>
      <c r="I2833" s="388"/>
      <c r="J2833" s="396"/>
      <c r="K2833" s="396"/>
      <c r="L2833" s="404" t="s">
        <v>207</v>
      </c>
      <c r="M2833" s="399" t="s">
        <v>176</v>
      </c>
      <c r="N2833" s="399">
        <f t="shared" ref="N2833" si="9104">IF(AND(D2830=D2831,D2830=D2832,D2831=D2832,F2830=F2831,F2830=F2832,F2831=F2832),SUM(N2830:N2832),0)</f>
        <v>2.8590000000000004</v>
      </c>
      <c r="O2833" s="399" t="s">
        <v>204</v>
      </c>
      <c r="P2833" s="389">
        <f t="shared" ref="P2833" si="9105">IF(N2833&gt;12,ROUNDDOWN(N2833/12,0),0)</f>
        <v>0</v>
      </c>
      <c r="Q2833" s="399" t="s">
        <v>125</v>
      </c>
      <c r="R2833" s="399">
        <f t="shared" ref="R2833" si="9106">IF(P2833&gt;0,MAX(VLOOKUP(F2833,$D$6:$G$15,3,FALSE),600),0)/1000</f>
        <v>0</v>
      </c>
      <c r="S2833" s="396"/>
      <c r="T2833" s="396" t="s">
        <v>125</v>
      </c>
      <c r="U2833" s="401">
        <f t="shared" si="9009"/>
        <v>1.5782400000000001</v>
      </c>
      <c r="V2833" s="396" t="s">
        <v>125</v>
      </c>
      <c r="W2833" s="399">
        <f t="shared" ref="W2833" si="9107">D2833</f>
        <v>3</v>
      </c>
      <c r="X2833" s="399" t="s">
        <v>125</v>
      </c>
      <c r="Y2833" s="389">
        <f t="shared" si="9011"/>
        <v>1</v>
      </c>
      <c r="Z2833" s="400" t="s">
        <v>176</v>
      </c>
      <c r="AA2833" s="402">
        <f t="shared" ref="AA2833" si="9108">(N2833+P2833*R2833/1000)*U2833*W2833*Y2833</f>
        <v>13.536564480000003</v>
      </c>
      <c r="AB2833" s="403"/>
    </row>
    <row r="2834" spans="1:28">
      <c r="A2834" s="384"/>
      <c r="B2834" s="385"/>
      <c r="C2834" s="393"/>
      <c r="D2834" s="394"/>
      <c r="E2834" s="388"/>
      <c r="F2834" s="388"/>
      <c r="G2834" s="388"/>
      <c r="H2834" s="395"/>
      <c r="I2834" s="388"/>
      <c r="J2834" s="399"/>
      <c r="K2834" s="396"/>
      <c r="L2834" s="396"/>
      <c r="M2834" s="396"/>
      <c r="N2834" s="396"/>
      <c r="O2834" s="396"/>
      <c r="P2834" s="389"/>
      <c r="Q2834" s="396"/>
      <c r="R2834" s="396"/>
      <c r="S2834" s="396"/>
      <c r="T2834" s="396"/>
      <c r="U2834" s="401"/>
      <c r="V2834" s="396"/>
      <c r="W2834" s="388"/>
      <c r="X2834" s="396"/>
      <c r="Y2834" s="389"/>
      <c r="Z2834" s="396"/>
      <c r="AA2834" s="388"/>
      <c r="AB2834" s="390"/>
    </row>
    <row r="2835" spans="1:28">
      <c r="A2835" s="384" t="str">
        <f t="shared" ref="A2835:B2835" si="9109">A2815</f>
        <v>Lantai 2</v>
      </c>
      <c r="B2835" s="385">
        <f t="shared" si="9109"/>
        <v>7</v>
      </c>
      <c r="C2835" s="393" t="s">
        <v>211</v>
      </c>
      <c r="D2835" s="398">
        <f>VLOOKUP(D2815,'Detail Balok'!$C$10:$AU$140,31,FALSE)</f>
        <v>0</v>
      </c>
      <c r="E2835" s="388" t="s">
        <v>16</v>
      </c>
      <c r="F2835" s="388">
        <f>VLOOKUP(D2815,'Detail Balok'!$C$10:$AU$140,33,FALSE)</f>
        <v>10</v>
      </c>
      <c r="G2835" s="405" t="s">
        <v>157</v>
      </c>
      <c r="H2835" s="395">
        <f>VLOOKUP(D2815,'Detail Balok'!$C$10:$AU$140,35,FALSE)</f>
        <v>100</v>
      </c>
      <c r="I2835" s="388"/>
      <c r="J2835" s="400">
        <f t="shared" ref="J2835" si="9110">(IF(D2835=0,(2*(D2816+G2816))-(F$5*8),IF(D2835=3,(2*(D2816+G2816))-(F$5*8)+(G2816-2*F$5),IF(D2835=4,(2*(D2816+G2816))-(F$5*8)+2*(G2816-2*F$5)))))/1000</f>
        <v>0.88</v>
      </c>
      <c r="K2835" s="400" t="s">
        <v>204</v>
      </c>
      <c r="L2835" s="399">
        <f t="shared" ref="L2835:L2837" si="9111">IF(D2835=0,2*MAX(6*F2835,75),(D2835-1)*2*MAX(6*F2835,75))/1000</f>
        <v>0.15</v>
      </c>
      <c r="M2835" s="399" t="s">
        <v>176</v>
      </c>
      <c r="N2835" s="399">
        <f t="shared" ref="N2835:N2837" si="9112">J2835+L2835</f>
        <v>1.03</v>
      </c>
      <c r="O2835" s="399"/>
      <c r="P2835" s="389"/>
      <c r="Q2835" s="399"/>
      <c r="R2835" s="399"/>
      <c r="S2835" s="399"/>
      <c r="T2835" s="399" t="s">
        <v>125</v>
      </c>
      <c r="U2835" s="401">
        <f t="shared" ref="U2835:U2837" si="9113">0.006165*F2835^2</f>
        <v>0.61650000000000005</v>
      </c>
      <c r="V2835" s="399" t="s">
        <v>125</v>
      </c>
      <c r="W2835" s="399">
        <f t="shared" ref="W2835" si="9114">IF(D2818&gt;4*G2816,ROUND(MAX(D2818/4,2*G2816)/H2835,0)+1,ROUND(D2818/H2835,0)+1)</f>
        <v>9</v>
      </c>
      <c r="X2835" s="399" t="s">
        <v>125</v>
      </c>
      <c r="Y2835" s="389">
        <f t="shared" ref="Y2835" si="9115">D2821</f>
        <v>1</v>
      </c>
      <c r="Z2835" s="400" t="s">
        <v>176</v>
      </c>
      <c r="AA2835" s="402">
        <f t="shared" ref="AA2835:AA2837" si="9116">N2835*U2835*W2835*Y2835</f>
        <v>5.7149550000000007</v>
      </c>
      <c r="AB2835" s="403"/>
    </row>
    <row r="2836" spans="1:28">
      <c r="A2836" s="384" t="str">
        <f t="shared" ref="A2836:B2836" si="9117">A2815</f>
        <v>Lantai 2</v>
      </c>
      <c r="B2836" s="385">
        <f t="shared" si="9117"/>
        <v>7</v>
      </c>
      <c r="C2836" s="393" t="s">
        <v>212</v>
      </c>
      <c r="D2836" s="398">
        <f>VLOOKUP(D2815,'Detail Balok'!$C$10:$AU$140,36,FALSE)</f>
        <v>0</v>
      </c>
      <c r="E2836" s="388" t="s">
        <v>16</v>
      </c>
      <c r="F2836" s="388">
        <f>VLOOKUP(D2815,'Detail Balok'!$C$10:$AU$140,38,FALSE)</f>
        <v>10</v>
      </c>
      <c r="G2836" s="405" t="s">
        <v>157</v>
      </c>
      <c r="H2836" s="395">
        <f>VLOOKUP(D2815,'Detail Balok'!$C$10:$AU$140,40,FALSE)</f>
        <v>200</v>
      </c>
      <c r="I2836" s="388"/>
      <c r="J2836" s="400">
        <f t="shared" ref="J2836" si="9118">(IF(D2836=0,(2*(D2816+G2816))-(F$5*8),IF(D2836=3,(2*(D2816+G2816))-(F$5*8)+(G2816-2*F$5),IF(D2836=4,(2*(D2816+G2816))-(F$5*8)+2*(G2816-2*F$5)))))/1000</f>
        <v>0.88</v>
      </c>
      <c r="K2836" s="400" t="s">
        <v>204</v>
      </c>
      <c r="L2836" s="399">
        <f t="shared" si="9111"/>
        <v>0.15</v>
      </c>
      <c r="M2836" s="399" t="s">
        <v>176</v>
      </c>
      <c r="N2836" s="399">
        <f t="shared" si="9112"/>
        <v>1.03</v>
      </c>
      <c r="O2836" s="399"/>
      <c r="P2836" s="389"/>
      <c r="Q2836" s="399"/>
      <c r="R2836" s="399"/>
      <c r="S2836" s="399"/>
      <c r="T2836" s="399" t="s">
        <v>125</v>
      </c>
      <c r="U2836" s="401">
        <f t="shared" si="9113"/>
        <v>0.61650000000000005</v>
      </c>
      <c r="V2836" s="399" t="s">
        <v>125</v>
      </c>
      <c r="W2836" s="399">
        <f t="shared" ref="W2836" si="9119">IF(D2818-MAX(D2818/4,2*G2816)*2&gt;0,ROUND((D2818-MAX(D2818/4,2*G2816)*2)/H2836,0),0)</f>
        <v>4</v>
      </c>
      <c r="X2836" s="399" t="s">
        <v>125</v>
      </c>
      <c r="Y2836" s="389">
        <f t="shared" ref="Y2836" si="9120">D2821</f>
        <v>1</v>
      </c>
      <c r="Z2836" s="400" t="s">
        <v>176</v>
      </c>
      <c r="AA2836" s="402">
        <f t="shared" si="9116"/>
        <v>2.5399800000000003</v>
      </c>
      <c r="AB2836" s="403"/>
    </row>
    <row r="2837" spans="1:28">
      <c r="A2837" s="384" t="str">
        <f t="shared" ref="A2837:B2837" si="9121">A2815</f>
        <v>Lantai 2</v>
      </c>
      <c r="B2837" s="385">
        <f t="shared" si="9121"/>
        <v>7</v>
      </c>
      <c r="C2837" s="393" t="s">
        <v>211</v>
      </c>
      <c r="D2837" s="398">
        <f>VLOOKUP(D2815,'Detail Balok'!$C$10:$AU$140,41,FALSE)</f>
        <v>0</v>
      </c>
      <c r="E2837" s="388" t="s">
        <v>16</v>
      </c>
      <c r="F2837" s="388">
        <f>VLOOKUP(D2815,'Detail Balok'!$C$10:$AU$140,43,FALSE)</f>
        <v>10</v>
      </c>
      <c r="G2837" s="405" t="s">
        <v>157</v>
      </c>
      <c r="H2837" s="395">
        <f>VLOOKUP(D2815,'Detail Balok'!$C$10:$AU$140,45,FALSE)</f>
        <v>100</v>
      </c>
      <c r="I2837" s="388"/>
      <c r="J2837" s="400">
        <f t="shared" ref="J2837" si="9122">(IF(D2837=0,(2*(D2816+G2816))-(F$5*8),IF(D2837=3,(2*(D2816+G2816))-(F$5*8)+(G2816-2*F$5),IF(D2837=4,(2*(D2816+G2816))-(F$5*8)+2*(G2816-2*F$5)))))/1000</f>
        <v>0.88</v>
      </c>
      <c r="K2837" s="400" t="s">
        <v>204</v>
      </c>
      <c r="L2837" s="399">
        <f t="shared" si="9111"/>
        <v>0.15</v>
      </c>
      <c r="M2837" s="399" t="s">
        <v>176</v>
      </c>
      <c r="N2837" s="399">
        <f t="shared" si="9112"/>
        <v>1.03</v>
      </c>
      <c r="O2837" s="399"/>
      <c r="P2837" s="389"/>
      <c r="Q2837" s="399"/>
      <c r="R2837" s="399"/>
      <c r="S2837" s="399"/>
      <c r="T2837" s="399" t="s">
        <v>125</v>
      </c>
      <c r="U2837" s="401">
        <f t="shared" si="9113"/>
        <v>0.61650000000000005</v>
      </c>
      <c r="V2837" s="399" t="s">
        <v>125</v>
      </c>
      <c r="W2837" s="399">
        <f t="shared" ref="W2837" si="9123">IF(D2818&gt;4*G2816,ROUND(MAX(D2818/4,2*G2816)/H2837,0)+1,0)</f>
        <v>9</v>
      </c>
      <c r="X2837" s="399" t="s">
        <v>125</v>
      </c>
      <c r="Y2837" s="389">
        <f t="shared" ref="Y2837" si="9124">D2821</f>
        <v>1</v>
      </c>
      <c r="Z2837" s="400" t="s">
        <v>176</v>
      </c>
      <c r="AA2837" s="402">
        <f t="shared" si="9116"/>
        <v>5.7149550000000007</v>
      </c>
      <c r="AB2837" s="403"/>
    </row>
    <row r="2838" spans="1:28">
      <c r="A2838" s="384"/>
      <c r="B2838" s="385"/>
      <c r="C2838" s="393"/>
      <c r="D2838" s="394"/>
      <c r="E2838" s="388"/>
      <c r="F2838" s="388"/>
      <c r="G2838" s="388"/>
      <c r="H2838" s="395"/>
      <c r="I2838" s="388"/>
      <c r="J2838" s="399"/>
      <c r="K2838" s="396"/>
      <c r="L2838" s="396"/>
      <c r="M2838" s="396"/>
      <c r="N2838" s="396"/>
      <c r="O2838" s="396"/>
      <c r="P2838" s="389"/>
      <c r="Q2838" s="396"/>
      <c r="R2838" s="396"/>
      <c r="S2838" s="396"/>
      <c r="T2838" s="396"/>
      <c r="U2838" s="401"/>
      <c r="V2838" s="396"/>
      <c r="W2838" s="388"/>
      <c r="X2838" s="396"/>
      <c r="Y2838" s="389"/>
      <c r="Z2838" s="396"/>
      <c r="AA2838" s="388"/>
      <c r="AB2838" s="390"/>
    </row>
    <row r="2839" spans="1:28">
      <c r="A2839" s="384" t="str">
        <f t="shared" ref="A2839:B2839" si="9125">A2815</f>
        <v>Lantai 2</v>
      </c>
      <c r="B2839" s="385">
        <f t="shared" si="9125"/>
        <v>7</v>
      </c>
      <c r="C2839" s="393" t="s">
        <v>213</v>
      </c>
      <c r="D2839" s="398">
        <f>VLOOKUP(D2815,'Detail Balok'!$C$10:$BJ$140,46,FALSE)</f>
        <v>0</v>
      </c>
      <c r="E2839" s="388" t="s">
        <v>16</v>
      </c>
      <c r="F2839" s="388">
        <f>VLOOKUP(D2815,'Detail Balok'!$C$10:$BJ$140,48,FALSE)</f>
        <v>0</v>
      </c>
      <c r="G2839" s="405" t="s">
        <v>157</v>
      </c>
      <c r="H2839" s="395">
        <f>VLOOKUP(D2815,'Detail Balok'!$C$10:$BJ$140,50,FALSE)</f>
        <v>100</v>
      </c>
      <c r="I2839" s="388"/>
      <c r="J2839" s="399">
        <f t="shared" ref="J2839" si="9126">(D2816-2*F$5)/1000</f>
        <v>0.12</v>
      </c>
      <c r="K2839" s="400" t="s">
        <v>204</v>
      </c>
      <c r="L2839" s="399">
        <f t="shared" ref="L2839:L2841" si="9127">IF(D2839=0,2*MAX(6*F2839,75),(D2839-1)*2*MAX(6*F2839,75))/1000</f>
        <v>0.15</v>
      </c>
      <c r="M2839" s="399" t="s">
        <v>176</v>
      </c>
      <c r="N2839" s="399">
        <f t="shared" ref="N2839:N2841" si="9128">J2839+L2839</f>
        <v>0.27</v>
      </c>
      <c r="O2839" s="399"/>
      <c r="P2839" s="399"/>
      <c r="Q2839" s="399"/>
      <c r="R2839" s="399"/>
      <c r="S2839" s="399"/>
      <c r="T2839" s="399" t="s">
        <v>125</v>
      </c>
      <c r="U2839" s="401">
        <f t="shared" ref="U2839:U2841" si="9129">0.006165*F2839^2</f>
        <v>0</v>
      </c>
      <c r="V2839" s="399" t="s">
        <v>125</v>
      </c>
      <c r="W2839" s="399">
        <f t="shared" si="9034"/>
        <v>9</v>
      </c>
      <c r="X2839" s="399" t="s">
        <v>125</v>
      </c>
      <c r="Y2839" s="389">
        <f t="shared" ref="Y2839" si="9130">D2825</f>
        <v>3</v>
      </c>
      <c r="Z2839" s="400" t="s">
        <v>176</v>
      </c>
      <c r="AA2839" s="402">
        <f t="shared" ref="AA2839:AA2841" si="9131">N2839*U2839*W2839*Y2839</f>
        <v>0</v>
      </c>
      <c r="AB2839" s="403"/>
    </row>
    <row r="2840" spans="1:28">
      <c r="A2840" s="384" t="str">
        <f t="shared" ref="A2840:B2840" si="9132">A2815</f>
        <v>Lantai 2</v>
      </c>
      <c r="B2840" s="385">
        <f t="shared" si="9132"/>
        <v>7</v>
      </c>
      <c r="C2840" s="393" t="s">
        <v>214</v>
      </c>
      <c r="D2840" s="398">
        <f>VLOOKUP(D2815,'Detail Balok'!$C$10:$BJ$140,51,FALSE)</f>
        <v>0</v>
      </c>
      <c r="E2840" s="388" t="s">
        <v>16</v>
      </c>
      <c r="F2840" s="388">
        <f>VLOOKUP(D2815,'Detail Balok'!$C$10:$BJ$140,53,FALSE)</f>
        <v>0</v>
      </c>
      <c r="G2840" s="405" t="s">
        <v>157</v>
      </c>
      <c r="H2840" s="395">
        <f>VLOOKUP(D2815,'Detail Balok'!$C$10:$BJ$140,55,FALSE)</f>
        <v>100</v>
      </c>
      <c r="I2840" s="388"/>
      <c r="J2840" s="399">
        <f t="shared" ref="J2840" si="9133">(D2816-2*F$5)/1000</f>
        <v>0.12</v>
      </c>
      <c r="K2840" s="400" t="s">
        <v>204</v>
      </c>
      <c r="L2840" s="399">
        <f t="shared" si="9127"/>
        <v>0.15</v>
      </c>
      <c r="M2840" s="399" t="s">
        <v>176</v>
      </c>
      <c r="N2840" s="399">
        <f t="shared" si="9128"/>
        <v>0.27</v>
      </c>
      <c r="O2840" s="399"/>
      <c r="P2840" s="399"/>
      <c r="Q2840" s="399"/>
      <c r="R2840" s="399"/>
      <c r="S2840" s="399"/>
      <c r="T2840" s="399" t="s">
        <v>125</v>
      </c>
      <c r="U2840" s="401">
        <f t="shared" si="9129"/>
        <v>0</v>
      </c>
      <c r="V2840" s="399" t="s">
        <v>125</v>
      </c>
      <c r="W2840" s="399">
        <f t="shared" si="9034"/>
        <v>4</v>
      </c>
      <c r="X2840" s="399" t="s">
        <v>125</v>
      </c>
      <c r="Y2840" s="389">
        <f t="shared" ref="Y2840" si="9134">D2825</f>
        <v>3</v>
      </c>
      <c r="Z2840" s="400" t="s">
        <v>176</v>
      </c>
      <c r="AA2840" s="402">
        <f t="shared" si="9131"/>
        <v>0</v>
      </c>
      <c r="AB2840" s="403"/>
    </row>
    <row r="2841" spans="1:28">
      <c r="A2841" s="384" t="str">
        <f t="shared" ref="A2841:B2841" si="9135">A2815</f>
        <v>Lantai 2</v>
      </c>
      <c r="B2841" s="385">
        <f t="shared" si="9135"/>
        <v>7</v>
      </c>
      <c r="C2841" s="393" t="s">
        <v>213</v>
      </c>
      <c r="D2841" s="398">
        <f>VLOOKUP(D2815,'Detail Balok'!$C$10:$BJ$140,56,FALSE)</f>
        <v>0</v>
      </c>
      <c r="E2841" s="388" t="s">
        <v>16</v>
      </c>
      <c r="F2841" s="388">
        <f>VLOOKUP(D2815,'Detail Balok'!$C$10:$BJ$140,58,FALSE)</f>
        <v>0</v>
      </c>
      <c r="G2841" s="405" t="s">
        <v>157</v>
      </c>
      <c r="H2841" s="395">
        <f>VLOOKUP(D2815,'Detail Balok'!$C$10:$BJ$140,60,FALSE)</f>
        <v>100</v>
      </c>
      <c r="I2841" s="388"/>
      <c r="J2841" s="399">
        <f t="shared" ref="J2841" si="9136">(D2816-2*F$5)/1000</f>
        <v>0.12</v>
      </c>
      <c r="K2841" s="400" t="s">
        <v>204</v>
      </c>
      <c r="L2841" s="399">
        <f t="shared" si="9127"/>
        <v>0.15</v>
      </c>
      <c r="M2841" s="399" t="s">
        <v>176</v>
      </c>
      <c r="N2841" s="399">
        <f t="shared" si="9128"/>
        <v>0.27</v>
      </c>
      <c r="O2841" s="399"/>
      <c r="P2841" s="399"/>
      <c r="Q2841" s="399"/>
      <c r="R2841" s="399"/>
      <c r="S2841" s="399"/>
      <c r="T2841" s="399" t="s">
        <v>125</v>
      </c>
      <c r="U2841" s="401">
        <f t="shared" si="9129"/>
        <v>0</v>
      </c>
      <c r="V2841" s="399" t="s">
        <v>125</v>
      </c>
      <c r="W2841" s="399">
        <f t="shared" si="9034"/>
        <v>9</v>
      </c>
      <c r="X2841" s="399" t="s">
        <v>125</v>
      </c>
      <c r="Y2841" s="389">
        <f t="shared" ref="Y2841" si="9137">D2825</f>
        <v>3</v>
      </c>
      <c r="Z2841" s="400" t="s">
        <v>176</v>
      </c>
      <c r="AA2841" s="402">
        <f t="shared" si="9131"/>
        <v>0</v>
      </c>
      <c r="AB2841" s="403"/>
    </row>
    <row r="2842" spans="1:28">
      <c r="A2842" s="391"/>
      <c r="B2842" s="392"/>
      <c r="C2842" s="392"/>
      <c r="D2842" s="394"/>
      <c r="E2842" s="388"/>
      <c r="F2842" s="388"/>
      <c r="G2842" s="388"/>
      <c r="H2842" s="395"/>
      <c r="I2842" s="388"/>
      <c r="J2842" s="402"/>
      <c r="K2842" s="388"/>
      <c r="L2842" s="388"/>
      <c r="M2842" s="388"/>
      <c r="N2842" s="388"/>
      <c r="O2842" s="388"/>
      <c r="P2842" s="388"/>
      <c r="Q2842" s="388"/>
      <c r="R2842" s="388"/>
      <c r="S2842" s="388"/>
      <c r="T2842" s="388"/>
      <c r="U2842" s="388"/>
      <c r="V2842" s="388"/>
      <c r="W2842" s="388"/>
      <c r="X2842" s="388"/>
      <c r="Y2842" s="389"/>
      <c r="Z2842" s="388"/>
      <c r="AA2842" s="402"/>
      <c r="AB2842" s="403"/>
    </row>
    <row r="2843" spans="1:28" ht="15.75" thickBot="1">
      <c r="A2843" s="406"/>
      <c r="B2843" s="407"/>
      <c r="C2843" s="407"/>
      <c r="D2843" s="408"/>
      <c r="E2843" s="409"/>
      <c r="F2843" s="409"/>
      <c r="G2843" s="409"/>
      <c r="H2843" s="410"/>
      <c r="I2843" s="409"/>
      <c r="J2843" s="409"/>
      <c r="K2843" s="409"/>
      <c r="L2843" s="409"/>
      <c r="M2843" s="409"/>
      <c r="N2843" s="409"/>
      <c r="O2843" s="409"/>
      <c r="P2843" s="409"/>
      <c r="Q2843" s="409"/>
      <c r="R2843" s="409"/>
      <c r="S2843" s="409"/>
      <c r="T2843" s="409"/>
      <c r="U2843" s="409"/>
      <c r="V2843" s="409"/>
      <c r="W2843" s="409"/>
      <c r="X2843" s="409"/>
      <c r="Y2843" s="411"/>
      <c r="Z2843" s="409"/>
      <c r="AA2843" s="412"/>
      <c r="AB2843" s="413"/>
    </row>
    <row r="2844" spans="1:28">
      <c r="A2844" s="377"/>
      <c r="B2844" s="378"/>
      <c r="C2844" s="378"/>
      <c r="D2844" s="379"/>
      <c r="E2844" s="380"/>
      <c r="F2844" s="380"/>
      <c r="G2844" s="380"/>
      <c r="H2844" s="381"/>
      <c r="I2844" s="380"/>
      <c r="J2844" s="380"/>
      <c r="K2844" s="380"/>
      <c r="L2844" s="380"/>
      <c r="M2844" s="380"/>
      <c r="N2844" s="380"/>
      <c r="O2844" s="380"/>
      <c r="P2844" s="380"/>
      <c r="Q2844" s="380"/>
      <c r="R2844" s="380"/>
      <c r="S2844" s="380"/>
      <c r="T2844" s="380"/>
      <c r="U2844" s="380"/>
      <c r="V2844" s="380"/>
      <c r="W2844" s="380"/>
      <c r="X2844" s="380"/>
      <c r="Y2844" s="382"/>
      <c r="Z2844" s="380"/>
      <c r="AA2844" s="380"/>
      <c r="AB2844" s="383"/>
    </row>
    <row r="2845" spans="1:28">
      <c r="A2845" s="384" t="str">
        <f t="shared" si="9043"/>
        <v>Lantai 2</v>
      </c>
      <c r="B2845" s="385">
        <f t="shared" si="9044"/>
        <v>8</v>
      </c>
      <c r="C2845" s="386" t="str">
        <f t="shared" ref="C2845" si="9138">CONCATENATE(A2845," no. ",B2845)</f>
        <v>Lantai 2 no. 8</v>
      </c>
      <c r="D2845" s="2562" t="str">
        <f>VLOOKUP(C2845,'Data Panjang Balok'!$C$9:$N$254,2,FALSE)</f>
        <v>B25-1</v>
      </c>
      <c r="E2845" s="2576"/>
      <c r="F2845" s="2576"/>
      <c r="G2845" s="2576"/>
      <c r="H2845" s="2577"/>
      <c r="I2845" s="387"/>
      <c r="J2845" s="388"/>
      <c r="K2845" s="388"/>
      <c r="L2845" s="388"/>
      <c r="M2845" s="388"/>
      <c r="N2845" s="388"/>
      <c r="O2845" s="388"/>
      <c r="P2845" s="388"/>
      <c r="Q2845" s="388"/>
      <c r="R2845" s="388"/>
      <c r="S2845" s="388"/>
      <c r="T2845" s="388"/>
      <c r="U2845" s="388"/>
      <c r="V2845" s="388"/>
      <c r="W2845" s="388"/>
      <c r="X2845" s="388"/>
      <c r="Y2845" s="389"/>
      <c r="Z2845" s="388"/>
      <c r="AA2845" s="388"/>
      <c r="AB2845" s="390"/>
    </row>
    <row r="2846" spans="1:28">
      <c r="A2846" s="391"/>
      <c r="B2846" s="392"/>
      <c r="C2846" s="393" t="s">
        <v>118</v>
      </c>
      <c r="D2846" s="2578">
        <f>VLOOKUP(D2845,'Detail Balok'!$C$10:$AU$140,2,FALSE)</f>
        <v>200</v>
      </c>
      <c r="E2846" s="2579"/>
      <c r="F2846" s="388" t="s">
        <v>125</v>
      </c>
      <c r="G2846" s="2579">
        <f>VLOOKUP(D2845,'Detail Balok'!$C$10:$AU$140,3,FALSE)</f>
        <v>500</v>
      </c>
      <c r="H2846" s="2580"/>
      <c r="I2846" s="388"/>
      <c r="J2846" s="396"/>
      <c r="K2846" s="396"/>
      <c r="L2846" s="396"/>
      <c r="M2846" s="396"/>
      <c r="N2846" s="396"/>
      <c r="O2846" s="396"/>
      <c r="P2846" s="396"/>
      <c r="Q2846" s="396"/>
      <c r="R2846" s="396"/>
      <c r="S2846" s="396"/>
      <c r="T2846" s="396"/>
      <c r="U2846" s="388"/>
      <c r="V2846" s="396"/>
      <c r="W2846" s="388"/>
      <c r="X2846" s="396"/>
      <c r="Y2846" s="389"/>
      <c r="Z2846" s="396"/>
      <c r="AA2846" s="388"/>
      <c r="AB2846" s="390"/>
    </row>
    <row r="2847" spans="1:28">
      <c r="A2847" s="391"/>
      <c r="B2847" s="392"/>
      <c r="C2847" s="393" t="s">
        <v>198</v>
      </c>
      <c r="D2847" s="2562">
        <f>VLOOKUP(C2845,'Data Panjang Balok'!$C$9:$N$254,4,FALSE)</f>
        <v>6075</v>
      </c>
      <c r="E2847" s="2563"/>
      <c r="F2847" s="2563"/>
      <c r="G2847" s="2563"/>
      <c r="H2847" s="2564"/>
      <c r="I2847" s="397"/>
      <c r="J2847" s="396"/>
      <c r="K2847" s="396"/>
      <c r="L2847" s="396"/>
      <c r="M2847" s="396"/>
      <c r="N2847" s="396"/>
      <c r="O2847" s="396"/>
      <c r="P2847" s="396"/>
      <c r="Q2847" s="396"/>
      <c r="R2847" s="396"/>
      <c r="S2847" s="396"/>
      <c r="T2847" s="396"/>
      <c r="U2847" s="388"/>
      <c r="V2847" s="396"/>
      <c r="W2847" s="388"/>
      <c r="X2847" s="396"/>
      <c r="Y2847" s="389"/>
      <c r="Z2847" s="396"/>
      <c r="AA2847" s="388"/>
      <c r="AB2847" s="390"/>
    </row>
    <row r="2848" spans="1:28">
      <c r="A2848" s="391"/>
      <c r="B2848" s="392"/>
      <c r="C2848" s="393" t="s">
        <v>199</v>
      </c>
      <c r="D2848" s="2562">
        <f>VLOOKUP(C2845,'Data Panjang Balok'!$C$9:$N$254,7,FALSE)</f>
        <v>6075</v>
      </c>
      <c r="E2848" s="2563"/>
      <c r="F2848" s="2563"/>
      <c r="G2848" s="2563"/>
      <c r="H2848" s="2564"/>
      <c r="I2848" s="397"/>
      <c r="J2848" s="396"/>
      <c r="K2848" s="396"/>
      <c r="L2848" s="396"/>
      <c r="M2848" s="396"/>
      <c r="N2848" s="396"/>
      <c r="O2848" s="396"/>
      <c r="P2848" s="396"/>
      <c r="Q2848" s="396"/>
      <c r="R2848" s="396"/>
      <c r="S2848" s="396"/>
      <c r="T2848" s="396"/>
      <c r="U2848" s="388"/>
      <c r="V2848" s="396"/>
      <c r="W2848" s="388"/>
      <c r="X2848" s="396"/>
      <c r="Y2848" s="389"/>
      <c r="Z2848" s="396"/>
      <c r="AA2848" s="388"/>
      <c r="AB2848" s="390"/>
    </row>
    <row r="2849" spans="1:28">
      <c r="A2849" s="391"/>
      <c r="B2849" s="392"/>
      <c r="C2849" s="393" t="s">
        <v>200</v>
      </c>
      <c r="D2849" s="2562">
        <f>VLOOKUP(C2845,'Data Panjang Balok'!$C$9:$N$254,9,FALSE)</f>
        <v>0</v>
      </c>
      <c r="E2849" s="2563"/>
      <c r="F2849" s="2563"/>
      <c r="G2849" s="2563"/>
      <c r="H2849" s="2564"/>
      <c r="I2849" s="397"/>
      <c r="J2849" s="396"/>
      <c r="K2849" s="396"/>
      <c r="L2849" s="396"/>
      <c r="M2849" s="396"/>
      <c r="N2849" s="396"/>
      <c r="O2849" s="396"/>
      <c r="P2849" s="396"/>
      <c r="Q2849" s="396"/>
      <c r="R2849" s="396"/>
      <c r="S2849" s="396"/>
      <c r="T2849" s="396"/>
      <c r="U2849" s="388"/>
      <c r="V2849" s="396"/>
      <c r="W2849" s="388"/>
      <c r="X2849" s="396"/>
      <c r="Y2849" s="389"/>
      <c r="Z2849" s="396"/>
      <c r="AA2849" s="388"/>
      <c r="AB2849" s="390"/>
    </row>
    <row r="2850" spans="1:28">
      <c r="A2850" s="391"/>
      <c r="B2850" s="392"/>
      <c r="C2850" s="393" t="s">
        <v>201</v>
      </c>
      <c r="D2850" s="2562">
        <f>VLOOKUP(C2845,'Data Panjang Balok'!$C$9:$N$254,10,FALSE)</f>
        <v>0</v>
      </c>
      <c r="E2850" s="2563"/>
      <c r="F2850" s="2563"/>
      <c r="G2850" s="2563"/>
      <c r="H2850" s="2564"/>
      <c r="I2850" s="397"/>
      <c r="J2850" s="396"/>
      <c r="K2850" s="396"/>
      <c r="L2850" s="396"/>
      <c r="M2850" s="396"/>
      <c r="N2850" s="396"/>
      <c r="O2850" s="396"/>
      <c r="P2850" s="396"/>
      <c r="Q2850" s="396"/>
      <c r="R2850" s="396"/>
      <c r="S2850" s="396"/>
      <c r="T2850" s="396"/>
      <c r="U2850" s="388"/>
      <c r="V2850" s="396"/>
      <c r="W2850" s="388"/>
      <c r="X2850" s="396"/>
      <c r="Y2850" s="389"/>
      <c r="Z2850" s="396"/>
      <c r="AA2850" s="388"/>
      <c r="AB2850" s="390"/>
    </row>
    <row r="2851" spans="1:28">
      <c r="A2851" s="391"/>
      <c r="B2851" s="392"/>
      <c r="C2851" s="393" t="s">
        <v>48</v>
      </c>
      <c r="D2851" s="2562">
        <f>VLOOKUP(C2845,'Data Panjang Balok'!$C$9:$N$254,3,FALSE)</f>
        <v>1</v>
      </c>
      <c r="E2851" s="2563"/>
      <c r="F2851" s="2563"/>
      <c r="G2851" s="2563"/>
      <c r="H2851" s="2564"/>
      <c r="I2851" s="397"/>
      <c r="J2851" s="396"/>
      <c r="K2851" s="396"/>
      <c r="L2851" s="396"/>
      <c r="M2851" s="396"/>
      <c r="N2851" s="396"/>
      <c r="O2851" s="396"/>
      <c r="P2851" s="396"/>
      <c r="Q2851" s="396"/>
      <c r="R2851" s="396"/>
      <c r="S2851" s="396"/>
      <c r="T2851" s="396"/>
      <c r="U2851" s="388"/>
      <c r="V2851" s="396"/>
      <c r="W2851" s="388"/>
      <c r="X2851" s="396"/>
      <c r="Y2851" s="389"/>
      <c r="Z2851" s="396"/>
      <c r="AA2851" s="388"/>
      <c r="AB2851" s="390"/>
    </row>
    <row r="2852" spans="1:28">
      <c r="A2852" s="384" t="str">
        <f t="shared" ref="A2852:B2852" si="9139">A2845</f>
        <v>Lantai 2</v>
      </c>
      <c r="B2852" s="385">
        <f t="shared" si="9139"/>
        <v>8</v>
      </c>
      <c r="C2852" s="393" t="s">
        <v>202</v>
      </c>
      <c r="D2852" s="398">
        <f>VLOOKUP(D2845,'Detail Balok'!$C$10:$AU$140,4,FALSE)</f>
        <v>4</v>
      </c>
      <c r="E2852" s="388" t="s">
        <v>16</v>
      </c>
      <c r="F2852" s="388">
        <f>VLOOKUP(D2845,'Detail Balok'!$C$10:$AU$140,6,FALSE)</f>
        <v>16</v>
      </c>
      <c r="G2852" s="388"/>
      <c r="H2852" s="395"/>
      <c r="I2852" s="388" t="s">
        <v>203</v>
      </c>
      <c r="J2852" s="399">
        <f t="shared" ref="J2852" si="9140">+D2847/4/1000</f>
        <v>1.51875</v>
      </c>
      <c r="K2852" s="400" t="s">
        <v>204</v>
      </c>
      <c r="L2852" s="399">
        <f t="shared" ref="L2852" si="9141">MAX(VLOOKUP(F2852,N$6:P$15,3,FALSE)/1000,2/3*D2849/1000)+F$16*F2852/1000</f>
        <v>0.192</v>
      </c>
      <c r="M2852" s="399" t="s">
        <v>176</v>
      </c>
      <c r="N2852" s="399">
        <f t="shared" ref="N2852:N2854" si="9142">J2852+L2852</f>
        <v>1.71075</v>
      </c>
      <c r="O2852" s="399" t="s">
        <v>204</v>
      </c>
      <c r="P2852" s="389">
        <f t="shared" ref="P2852" si="9143">D2852-D2853</f>
        <v>0</v>
      </c>
      <c r="Q2852" s="399" t="s">
        <v>125</v>
      </c>
      <c r="R2852" s="399">
        <f t="shared" ref="R2852" si="9144">IF(P2852&gt;0,$F$18*F2852/1000,0)</f>
        <v>0</v>
      </c>
      <c r="S2852" s="399" t="s">
        <v>205</v>
      </c>
      <c r="T2852" s="399" t="s">
        <v>125</v>
      </c>
      <c r="U2852" s="401">
        <f t="shared" ref="U2852:U2854" si="9145">0.006165*F2852^2</f>
        <v>1.5782400000000001</v>
      </c>
      <c r="V2852" s="399"/>
      <c r="W2852" s="399"/>
      <c r="X2852" s="399" t="s">
        <v>125</v>
      </c>
      <c r="Y2852" s="389">
        <f t="shared" ref="Y2852" si="9146">D2851</f>
        <v>1</v>
      </c>
      <c r="Z2852" s="400" t="s">
        <v>176</v>
      </c>
      <c r="AA2852" s="402">
        <f t="shared" ref="AA2852" si="9147">IF(AA2855=0,(D2852*N2852+P2852*R2852)*U2852*Y2852,0)</f>
        <v>0</v>
      </c>
      <c r="AB2852" s="403"/>
    </row>
    <row r="2853" spans="1:28">
      <c r="A2853" s="384" t="str">
        <f t="shared" ref="A2853:B2853" si="9148">A2845</f>
        <v>Lantai 2</v>
      </c>
      <c r="B2853" s="385">
        <f t="shared" si="9148"/>
        <v>8</v>
      </c>
      <c r="C2853" s="393" t="s">
        <v>206</v>
      </c>
      <c r="D2853" s="398">
        <f>VLOOKUP(D2845,'Detail Balok'!$C$10:$AU$140,7,FALSE)</f>
        <v>4</v>
      </c>
      <c r="E2853" s="388" t="s">
        <v>16</v>
      </c>
      <c r="F2853" s="388">
        <f>VLOOKUP(D2845,'Detail Balok'!$C$10:$AU$140,9,FALSE)</f>
        <v>16</v>
      </c>
      <c r="G2853" s="388"/>
      <c r="H2853" s="395"/>
      <c r="I2853" s="388" t="s">
        <v>203</v>
      </c>
      <c r="J2853" s="399">
        <f t="shared" ref="J2853" si="9149">+D2847/2/1000</f>
        <v>3.0375000000000001</v>
      </c>
      <c r="K2853" s="400" t="s">
        <v>204</v>
      </c>
      <c r="L2853" s="399"/>
      <c r="M2853" s="399" t="s">
        <v>176</v>
      </c>
      <c r="N2853" s="399">
        <f t="shared" si="9142"/>
        <v>3.0375000000000001</v>
      </c>
      <c r="O2853" s="399" t="s">
        <v>204</v>
      </c>
      <c r="P2853" s="389">
        <f t="shared" ref="P2853" si="9150">MAX(D2853-D2852,D2853-D2854)</f>
        <v>0</v>
      </c>
      <c r="Q2853" s="399" t="s">
        <v>125</v>
      </c>
      <c r="R2853" s="399">
        <f t="shared" ref="R2853" si="9151">IF(P2853&gt;0,2*(1-2*$F$19-1/2)*D2848/1000,0)</f>
        <v>0</v>
      </c>
      <c r="S2853" s="399" t="s">
        <v>205</v>
      </c>
      <c r="T2853" s="399" t="s">
        <v>125</v>
      </c>
      <c r="U2853" s="401">
        <f t="shared" si="9145"/>
        <v>1.5782400000000001</v>
      </c>
      <c r="V2853" s="399"/>
      <c r="W2853" s="399"/>
      <c r="X2853" s="399" t="s">
        <v>125</v>
      </c>
      <c r="Y2853" s="389">
        <f t="shared" ref="Y2853" si="9152">D2851</f>
        <v>1</v>
      </c>
      <c r="Z2853" s="400" t="s">
        <v>176</v>
      </c>
      <c r="AA2853" s="402">
        <f t="shared" ref="AA2853" si="9153">IF(AA2855=0,(D2853*N2853+P2853*R2853)*U2853*Y2853,0)</f>
        <v>0</v>
      </c>
      <c r="AB2853" s="403"/>
    </row>
    <row r="2854" spans="1:28">
      <c r="A2854" s="384" t="str">
        <f t="shared" ref="A2854:B2854" si="9154">A2845</f>
        <v>Lantai 2</v>
      </c>
      <c r="B2854" s="385">
        <f t="shared" si="9154"/>
        <v>8</v>
      </c>
      <c r="C2854" s="393" t="s">
        <v>202</v>
      </c>
      <c r="D2854" s="398">
        <f>VLOOKUP(D2845,'Detail Balok'!$C$10:$AU$140,10,FALSE)</f>
        <v>4</v>
      </c>
      <c r="E2854" s="388" t="s">
        <v>16</v>
      </c>
      <c r="F2854" s="388">
        <f>VLOOKUP(D2845,'Detail Balok'!$C$10:$AU$140,12,FALSE)</f>
        <v>16</v>
      </c>
      <c r="G2854" s="388"/>
      <c r="H2854" s="395"/>
      <c r="I2854" s="388" t="s">
        <v>203</v>
      </c>
      <c r="J2854" s="399">
        <f t="shared" ref="J2854" si="9155">+D2847/4/1000</f>
        <v>1.51875</v>
      </c>
      <c r="K2854" s="400" t="s">
        <v>204</v>
      </c>
      <c r="L2854" s="399">
        <f t="shared" ref="L2854" si="9156">MAX(VLOOKUP(F2854,N$6:P$15,3,FALSE)/1000,2/3*D2849/1000)+F$16*F2854/1000</f>
        <v>0.192</v>
      </c>
      <c r="M2854" s="399" t="s">
        <v>176</v>
      </c>
      <c r="N2854" s="399">
        <f t="shared" si="9142"/>
        <v>1.71075</v>
      </c>
      <c r="O2854" s="399" t="s">
        <v>204</v>
      </c>
      <c r="P2854" s="389">
        <f t="shared" ref="P2854" si="9157">D2854-D2853</f>
        <v>0</v>
      </c>
      <c r="Q2854" s="399" t="s">
        <v>125</v>
      </c>
      <c r="R2854" s="399">
        <f t="shared" ref="R2854" si="9158">IF(P2854&gt;0,$F$18*F2854/1000,0)</f>
        <v>0</v>
      </c>
      <c r="S2854" s="399" t="s">
        <v>205</v>
      </c>
      <c r="T2854" s="399" t="s">
        <v>125</v>
      </c>
      <c r="U2854" s="401">
        <f t="shared" si="9145"/>
        <v>1.5782400000000001</v>
      </c>
      <c r="V2854" s="399"/>
      <c r="W2854" s="399"/>
      <c r="X2854" s="399" t="s">
        <v>125</v>
      </c>
      <c r="Y2854" s="389">
        <f t="shared" ref="Y2854" si="9159">D2851</f>
        <v>1</v>
      </c>
      <c r="Z2854" s="400" t="s">
        <v>176</v>
      </c>
      <c r="AA2854" s="402">
        <f t="shared" ref="AA2854" si="9160">IF(AA2855=0,(D2854*N2854+P2854*R2854)*U2854*Y2854,0)</f>
        <v>0</v>
      </c>
      <c r="AB2854" s="403"/>
    </row>
    <row r="2855" spans="1:28">
      <c r="A2855" s="384" t="str">
        <f t="shared" ref="A2855:B2855" si="9161">A2845</f>
        <v>Lantai 2</v>
      </c>
      <c r="B2855" s="385">
        <f t="shared" si="9161"/>
        <v>8</v>
      </c>
      <c r="C2855" s="393"/>
      <c r="D2855" s="398">
        <f t="shared" si="8964"/>
        <v>4</v>
      </c>
      <c r="E2855" s="388" t="s">
        <v>16</v>
      </c>
      <c r="F2855" s="388">
        <f t="shared" si="8965"/>
        <v>16</v>
      </c>
      <c r="G2855" s="388"/>
      <c r="H2855" s="395"/>
      <c r="I2855" s="388"/>
      <c r="J2855" s="396"/>
      <c r="K2855" s="396"/>
      <c r="L2855" s="404" t="s">
        <v>207</v>
      </c>
      <c r="M2855" s="399" t="s">
        <v>176</v>
      </c>
      <c r="N2855" s="399">
        <f t="shared" ref="N2855" si="9162">IF(AND(D2852=D2853,D2852=D2854,D2853=D2854,F2852=F2853,F2852=F2854,F2853=F2854),SUM(N2852:N2854),0)</f>
        <v>6.4590000000000005</v>
      </c>
      <c r="O2855" s="399" t="s">
        <v>204</v>
      </c>
      <c r="P2855" s="389">
        <f t="shared" ref="P2855" si="9163">IF(N2855&gt;12,ROUNDDOWN(N2855/12,0),0)</f>
        <v>0</v>
      </c>
      <c r="Q2855" s="399" t="s">
        <v>125</v>
      </c>
      <c r="R2855" s="399">
        <f t="shared" ref="R2855" si="9164">IF(P2855&gt;0,MAX(VLOOKUP(F2855,$D$6:$G$15,3,FALSE),600),0)/1000</f>
        <v>0</v>
      </c>
      <c r="S2855" s="396"/>
      <c r="T2855" s="396" t="s">
        <v>125</v>
      </c>
      <c r="U2855" s="401">
        <f t="shared" si="8969"/>
        <v>1.5782400000000001</v>
      </c>
      <c r="V2855" s="396" t="s">
        <v>125</v>
      </c>
      <c r="W2855" s="399">
        <f t="shared" ref="W2855" si="9165">D2855</f>
        <v>4</v>
      </c>
      <c r="X2855" s="399" t="s">
        <v>125</v>
      </c>
      <c r="Y2855" s="389">
        <f t="shared" si="8971"/>
        <v>1</v>
      </c>
      <c r="Z2855" s="400" t="s">
        <v>176</v>
      </c>
      <c r="AA2855" s="402">
        <f t="shared" ref="AA2855" si="9166">(N2855+P2855*R2855/1000)*U2855*W2855*Y2855</f>
        <v>40.775408640000002</v>
      </c>
      <c r="AB2855" s="390"/>
    </row>
    <row r="2856" spans="1:28">
      <c r="A2856" s="384"/>
      <c r="B2856" s="385"/>
      <c r="C2856" s="393"/>
      <c r="D2856" s="398"/>
      <c r="E2856" s="388"/>
      <c r="F2856" s="388"/>
      <c r="G2856" s="388"/>
      <c r="H2856" s="395"/>
      <c r="I2856" s="388"/>
      <c r="J2856" s="396"/>
      <c r="K2856" s="396"/>
      <c r="L2856" s="404"/>
      <c r="M2856" s="399"/>
      <c r="N2856" s="399"/>
      <c r="O2856" s="396"/>
      <c r="P2856" s="389"/>
      <c r="Q2856" s="396"/>
      <c r="R2856" s="396"/>
      <c r="S2856" s="396"/>
      <c r="T2856" s="396"/>
      <c r="U2856" s="401"/>
      <c r="V2856" s="396"/>
      <c r="W2856" s="399"/>
      <c r="X2856" s="396"/>
      <c r="Y2856" s="389"/>
      <c r="Z2856" s="396"/>
      <c r="AA2856" s="388"/>
      <c r="AB2856" s="390"/>
    </row>
    <row r="2857" spans="1:28">
      <c r="A2857" s="384" t="str">
        <f t="shared" ref="A2857:B2857" si="9167">A2845</f>
        <v>Lantai 2</v>
      </c>
      <c r="B2857" s="385">
        <f t="shared" si="9167"/>
        <v>8</v>
      </c>
      <c r="C2857" s="393" t="s">
        <v>208</v>
      </c>
      <c r="D2857" s="398">
        <f>VLOOKUP(D2845,'Detail Balok'!$C$10:$AU$140,13,FALSE)</f>
        <v>2</v>
      </c>
      <c r="E2857" s="388" t="s">
        <v>16</v>
      </c>
      <c r="F2857" s="388">
        <f>VLOOKUP(D2845,'Detail Balok'!$C$10:$AU$140,15,FALSE)</f>
        <v>10</v>
      </c>
      <c r="G2857" s="388"/>
      <c r="H2857" s="395"/>
      <c r="I2857" s="388"/>
      <c r="J2857" s="399">
        <f t="shared" ref="J2857" si="9168">+D2847/1000</f>
        <v>6.0750000000000002</v>
      </c>
      <c r="K2857" s="400" t="s">
        <v>204</v>
      </c>
      <c r="L2857" s="399">
        <f t="shared" ref="L2857" si="9169">2*$F$16*F2857/1000</f>
        <v>0.24</v>
      </c>
      <c r="M2857" s="399" t="s">
        <v>176</v>
      </c>
      <c r="N2857" s="399">
        <f t="shared" ref="N2857" si="9170">J2857+L2857</f>
        <v>6.3150000000000004</v>
      </c>
      <c r="O2857" s="399" t="s">
        <v>204</v>
      </c>
      <c r="P2857" s="389">
        <f t="shared" ref="P2857" si="9171">IF(N2857&gt;12,ROUNDDOWN(N2857/12,0),0)</f>
        <v>0</v>
      </c>
      <c r="Q2857" s="399" t="s">
        <v>125</v>
      </c>
      <c r="R2857" s="399">
        <f t="shared" ref="R2857" si="9172">IF(P2857&gt;0,MAX(VLOOKUP(F2857,$D$6:$G$15,3,FALSE),600),0)/1000</f>
        <v>0</v>
      </c>
      <c r="S2857" s="399"/>
      <c r="T2857" s="399" t="s">
        <v>125</v>
      </c>
      <c r="U2857" s="401">
        <f t="shared" ref="U2857" si="9173">0.006165*F2857^2</f>
        <v>0.61650000000000005</v>
      </c>
      <c r="V2857" s="399" t="s">
        <v>125</v>
      </c>
      <c r="W2857" s="399">
        <f t="shared" ref="W2857" si="9174">+D2857</f>
        <v>2</v>
      </c>
      <c r="X2857" s="399" t="s">
        <v>125</v>
      </c>
      <c r="Y2857" s="389">
        <f t="shared" ref="Y2857" si="9175">D2851</f>
        <v>1</v>
      </c>
      <c r="Z2857" s="400" t="s">
        <v>176</v>
      </c>
      <c r="AA2857" s="402">
        <f t="shared" ref="AA2857" si="9176">(N2857+P2857*R2857/1000)*U2857*W2857*Y2857</f>
        <v>7.7863950000000015</v>
      </c>
      <c r="AB2857" s="403"/>
    </row>
    <row r="2858" spans="1:28">
      <c r="A2858" s="384"/>
      <c r="B2858" s="385"/>
      <c r="C2858" s="393"/>
      <c r="D2858" s="398"/>
      <c r="E2858" s="388"/>
      <c r="F2858" s="388"/>
      <c r="G2858" s="388"/>
      <c r="H2858" s="395"/>
      <c r="I2858" s="388"/>
      <c r="J2858" s="399"/>
      <c r="K2858" s="400"/>
      <c r="L2858" s="399"/>
      <c r="M2858" s="399"/>
      <c r="N2858" s="399"/>
      <c r="O2858" s="399"/>
      <c r="P2858" s="389"/>
      <c r="Q2858" s="399"/>
      <c r="R2858" s="399"/>
      <c r="S2858" s="399"/>
      <c r="T2858" s="399"/>
      <c r="U2858" s="401"/>
      <c r="V2858" s="399"/>
      <c r="W2858" s="399"/>
      <c r="X2858" s="399"/>
      <c r="Y2858" s="389"/>
      <c r="Z2858" s="400"/>
      <c r="AA2858" s="402"/>
      <c r="AB2858" s="403"/>
    </row>
    <row r="2859" spans="1:28">
      <c r="A2859" s="384"/>
      <c r="B2859" s="385"/>
      <c r="C2859" s="393"/>
      <c r="D2859" s="398"/>
      <c r="E2859" s="388"/>
      <c r="F2859" s="388"/>
      <c r="G2859" s="388"/>
      <c r="H2859" s="395"/>
      <c r="I2859" s="388"/>
      <c r="J2859" s="396"/>
      <c r="K2859" s="396"/>
      <c r="L2859" s="396"/>
      <c r="M2859" s="396"/>
      <c r="N2859" s="396"/>
      <c r="O2859" s="396"/>
      <c r="P2859" s="389"/>
      <c r="Q2859" s="396"/>
      <c r="R2859" s="396"/>
      <c r="S2859" s="396"/>
      <c r="T2859" s="396"/>
      <c r="U2859" s="401"/>
      <c r="V2859" s="396"/>
      <c r="W2859" s="399"/>
      <c r="X2859" s="396"/>
      <c r="Y2859" s="389"/>
      <c r="Z2859" s="396"/>
      <c r="AA2859" s="388"/>
      <c r="AB2859" s="390"/>
    </row>
    <row r="2860" spans="1:28">
      <c r="A2860" s="384" t="str">
        <f t="shared" ref="A2860:B2860" si="9177">A2845</f>
        <v>Lantai 2</v>
      </c>
      <c r="B2860" s="385">
        <f t="shared" si="9177"/>
        <v>8</v>
      </c>
      <c r="C2860" s="393" t="s">
        <v>209</v>
      </c>
      <c r="D2860" s="398">
        <f>VLOOKUP(D2845,'Detail Balok'!$C$10:$AU$140,22,FALSE)</f>
        <v>4</v>
      </c>
      <c r="E2860" s="388" t="s">
        <v>16</v>
      </c>
      <c r="F2860" s="388">
        <f>VLOOKUP(D2845,'Detail Balok'!$C$10:$AU$140,24,FALSE)</f>
        <v>16</v>
      </c>
      <c r="G2860" s="388"/>
      <c r="H2860" s="395"/>
      <c r="I2860" s="388" t="s">
        <v>203</v>
      </c>
      <c r="J2860" s="399">
        <f t="shared" si="8984"/>
        <v>1.51875</v>
      </c>
      <c r="K2860" s="400" t="s">
        <v>204</v>
      </c>
      <c r="L2860" s="399">
        <f t="shared" ref="L2860" si="9178">MAX(VLOOKUP(F2860,N$6:P$15,3,FALSE)/1000,2/3*D2850/1000)+F$16*F2860/1000</f>
        <v>0.192</v>
      </c>
      <c r="M2860" s="399" t="s">
        <v>176</v>
      </c>
      <c r="N2860" s="399">
        <f t="shared" ref="N2860:N2862" si="9179">J2860+L2860</f>
        <v>1.71075</v>
      </c>
      <c r="O2860" s="399" t="s">
        <v>204</v>
      </c>
      <c r="P2860" s="389">
        <f t="shared" ref="P2860" si="9180">D2860-D2861</f>
        <v>0</v>
      </c>
      <c r="Q2860" s="399" t="s">
        <v>125</v>
      </c>
      <c r="R2860" s="399">
        <f t="shared" ref="R2860" si="9181">IF(P2860&gt;0,$F$18*F2860/1000,0)</f>
        <v>0</v>
      </c>
      <c r="S2860" s="399" t="s">
        <v>205</v>
      </c>
      <c r="T2860" s="399" t="s">
        <v>125</v>
      </c>
      <c r="U2860" s="401">
        <f t="shared" ref="U2860:U2862" si="9182">0.006165*F2860^2</f>
        <v>1.5782400000000001</v>
      </c>
      <c r="V2860" s="399"/>
      <c r="W2860" s="399"/>
      <c r="X2860" s="399" t="s">
        <v>125</v>
      </c>
      <c r="Y2860" s="389">
        <f t="shared" ref="Y2860" si="9183">D2851</f>
        <v>1</v>
      </c>
      <c r="Z2860" s="400" t="s">
        <v>176</v>
      </c>
      <c r="AA2860" s="402">
        <f t="shared" ref="AA2860" si="9184">IF(AA2863=0,(D2860*N2860+P2860*R2860)*U2860*Y2860,0)</f>
        <v>0</v>
      </c>
      <c r="AB2860" s="403"/>
    </row>
    <row r="2861" spans="1:28">
      <c r="A2861" s="384" t="str">
        <f t="shared" ref="A2861:B2861" si="9185">A2845</f>
        <v>Lantai 2</v>
      </c>
      <c r="B2861" s="385">
        <f t="shared" si="9185"/>
        <v>8</v>
      </c>
      <c r="C2861" s="393" t="s">
        <v>210</v>
      </c>
      <c r="D2861" s="398">
        <f>VLOOKUP(D2845,'Detail Balok'!$C$10:$AU$140,25,FALSE)</f>
        <v>4</v>
      </c>
      <c r="E2861" s="388" t="s">
        <v>16</v>
      </c>
      <c r="F2861" s="388">
        <f>VLOOKUP(D2845,'Detail Balok'!$C$10:$AU$140,27,FALSE)</f>
        <v>16</v>
      </c>
      <c r="G2861" s="388"/>
      <c r="H2861" s="395"/>
      <c r="I2861" s="388" t="s">
        <v>203</v>
      </c>
      <c r="J2861" s="399">
        <f t="shared" si="8984"/>
        <v>3.0375000000000001</v>
      </c>
      <c r="K2861" s="400" t="s">
        <v>204</v>
      </c>
      <c r="L2861" s="399"/>
      <c r="M2861" s="399" t="s">
        <v>176</v>
      </c>
      <c r="N2861" s="399">
        <f t="shared" si="9179"/>
        <v>3.0375000000000001</v>
      </c>
      <c r="O2861" s="399" t="s">
        <v>204</v>
      </c>
      <c r="P2861" s="389">
        <f t="shared" ref="P2861" si="9186">MAX(D2861-D2860,D2861-D2862)</f>
        <v>0</v>
      </c>
      <c r="Q2861" s="399" t="s">
        <v>125</v>
      </c>
      <c r="R2861" s="399">
        <f t="shared" ref="R2861" si="9187">IF(P2861&gt;0,2*(1-2*$F$19-1/2)*D2848/1000,0)</f>
        <v>0</v>
      </c>
      <c r="S2861" s="399" t="s">
        <v>205</v>
      </c>
      <c r="T2861" s="399" t="s">
        <v>125</v>
      </c>
      <c r="U2861" s="401">
        <f t="shared" si="9182"/>
        <v>1.5782400000000001</v>
      </c>
      <c r="V2861" s="399"/>
      <c r="W2861" s="399"/>
      <c r="X2861" s="399" t="s">
        <v>125</v>
      </c>
      <c r="Y2861" s="389">
        <f t="shared" ref="Y2861" si="9188">D2851</f>
        <v>1</v>
      </c>
      <c r="Z2861" s="400" t="s">
        <v>176</v>
      </c>
      <c r="AA2861" s="402">
        <f t="shared" ref="AA2861" si="9189">IF(AA2863=0,(D2861*N2861+P2861*R2861)*U2861*Y2861,0)</f>
        <v>0</v>
      </c>
      <c r="AB2861" s="403"/>
    </row>
    <row r="2862" spans="1:28">
      <c r="A2862" s="384" t="str">
        <f t="shared" ref="A2862:B2862" si="9190">A2845</f>
        <v>Lantai 2</v>
      </c>
      <c r="B2862" s="385">
        <f t="shared" si="9190"/>
        <v>8</v>
      </c>
      <c r="C2862" s="393" t="s">
        <v>209</v>
      </c>
      <c r="D2862" s="398">
        <f>VLOOKUP(D2845,'Detail Balok'!$C$10:$AU$140,28,FALSE)</f>
        <v>4</v>
      </c>
      <c r="E2862" s="388" t="s">
        <v>16</v>
      </c>
      <c r="F2862" s="388">
        <f>VLOOKUP(D2845,'Detail Balok'!$C$10:$AU$140,30,FALSE)</f>
        <v>16</v>
      </c>
      <c r="G2862" s="388"/>
      <c r="H2862" s="395"/>
      <c r="I2862" s="388" t="s">
        <v>203</v>
      </c>
      <c r="J2862" s="399">
        <f t="shared" si="8984"/>
        <v>1.51875</v>
      </c>
      <c r="K2862" s="400" t="s">
        <v>204</v>
      </c>
      <c r="L2862" s="399">
        <f t="shared" ref="L2862" si="9191">MAX(VLOOKUP(F2862,N$6:P$15,3,FALSE)/1000,2/3*D2850/1000)+F$16*F2862/1000</f>
        <v>0.192</v>
      </c>
      <c r="M2862" s="399" t="s">
        <v>176</v>
      </c>
      <c r="N2862" s="399">
        <f t="shared" si="9179"/>
        <v>1.71075</v>
      </c>
      <c r="O2862" s="399" t="s">
        <v>204</v>
      </c>
      <c r="P2862" s="389">
        <f t="shared" ref="P2862" si="9192">D2862-D2861</f>
        <v>0</v>
      </c>
      <c r="Q2862" s="399" t="s">
        <v>125</v>
      </c>
      <c r="R2862" s="399">
        <f t="shared" ref="R2862" si="9193">IF(P2862&gt;0,$F$18*F2862/1000,0)</f>
        <v>0</v>
      </c>
      <c r="S2862" s="399" t="s">
        <v>205</v>
      </c>
      <c r="T2862" s="399" t="s">
        <v>125</v>
      </c>
      <c r="U2862" s="401">
        <f t="shared" si="9182"/>
        <v>1.5782400000000001</v>
      </c>
      <c r="V2862" s="399"/>
      <c r="W2862" s="399"/>
      <c r="X2862" s="399" t="s">
        <v>125</v>
      </c>
      <c r="Y2862" s="389">
        <f t="shared" ref="Y2862" si="9194">D2851</f>
        <v>1</v>
      </c>
      <c r="Z2862" s="400" t="s">
        <v>176</v>
      </c>
      <c r="AA2862" s="402">
        <f t="shared" ref="AA2862" si="9195">IF(AA2863=0,(D2862*N2862+P2862*R2862)*U2862*Y2862,0)</f>
        <v>0</v>
      </c>
      <c r="AB2862" s="403"/>
    </row>
    <row r="2863" spans="1:28">
      <c r="A2863" s="384" t="str">
        <f t="shared" ref="A2863:B2863" si="9196">A2845</f>
        <v>Lantai 2</v>
      </c>
      <c r="B2863" s="385">
        <f t="shared" si="9196"/>
        <v>8</v>
      </c>
      <c r="C2863" s="393"/>
      <c r="D2863" s="398">
        <f t="shared" si="9004"/>
        <v>4</v>
      </c>
      <c r="E2863" s="388" t="s">
        <v>16</v>
      </c>
      <c r="F2863" s="388">
        <f t="shared" si="9005"/>
        <v>16</v>
      </c>
      <c r="G2863" s="388"/>
      <c r="H2863" s="395"/>
      <c r="I2863" s="388"/>
      <c r="J2863" s="396"/>
      <c r="K2863" s="396"/>
      <c r="L2863" s="404" t="s">
        <v>207</v>
      </c>
      <c r="M2863" s="399" t="s">
        <v>176</v>
      </c>
      <c r="N2863" s="399">
        <f t="shared" ref="N2863" si="9197">IF(AND(D2860=D2861,D2860=D2862,D2861=D2862,F2860=F2861,F2860=F2862,F2861=F2862),SUM(N2860:N2862),0)</f>
        <v>6.4590000000000005</v>
      </c>
      <c r="O2863" s="399" t="s">
        <v>204</v>
      </c>
      <c r="P2863" s="389">
        <f t="shared" ref="P2863" si="9198">IF(N2863&gt;12,ROUNDDOWN(N2863/12,0),0)</f>
        <v>0</v>
      </c>
      <c r="Q2863" s="399" t="s">
        <v>125</v>
      </c>
      <c r="R2863" s="399">
        <f t="shared" ref="R2863" si="9199">IF(P2863&gt;0,MAX(VLOOKUP(F2863,$D$6:$G$15,3,FALSE),600),0)/1000</f>
        <v>0</v>
      </c>
      <c r="S2863" s="396"/>
      <c r="T2863" s="396" t="s">
        <v>125</v>
      </c>
      <c r="U2863" s="401">
        <f t="shared" si="9009"/>
        <v>1.5782400000000001</v>
      </c>
      <c r="V2863" s="396" t="s">
        <v>125</v>
      </c>
      <c r="W2863" s="399">
        <f t="shared" ref="W2863" si="9200">D2863</f>
        <v>4</v>
      </c>
      <c r="X2863" s="399" t="s">
        <v>125</v>
      </c>
      <c r="Y2863" s="389">
        <f t="shared" si="9011"/>
        <v>1</v>
      </c>
      <c r="Z2863" s="400" t="s">
        <v>176</v>
      </c>
      <c r="AA2863" s="402">
        <f t="shared" ref="AA2863" si="9201">(N2863+P2863*R2863/1000)*U2863*W2863*Y2863</f>
        <v>40.775408640000002</v>
      </c>
      <c r="AB2863" s="403"/>
    </row>
    <row r="2864" spans="1:28">
      <c r="A2864" s="384"/>
      <c r="B2864" s="385"/>
      <c r="C2864" s="393"/>
      <c r="D2864" s="394"/>
      <c r="E2864" s="388"/>
      <c r="F2864" s="388"/>
      <c r="G2864" s="388"/>
      <c r="H2864" s="395"/>
      <c r="I2864" s="388"/>
      <c r="J2864" s="399"/>
      <c r="K2864" s="396"/>
      <c r="L2864" s="396"/>
      <c r="M2864" s="396"/>
      <c r="N2864" s="396"/>
      <c r="O2864" s="396"/>
      <c r="P2864" s="389"/>
      <c r="Q2864" s="396"/>
      <c r="R2864" s="396"/>
      <c r="S2864" s="396"/>
      <c r="T2864" s="396"/>
      <c r="U2864" s="401"/>
      <c r="V2864" s="396"/>
      <c r="W2864" s="388"/>
      <c r="X2864" s="396"/>
      <c r="Y2864" s="389"/>
      <c r="Z2864" s="396"/>
      <c r="AA2864" s="388"/>
      <c r="AB2864" s="390"/>
    </row>
    <row r="2865" spans="1:28">
      <c r="A2865" s="384" t="str">
        <f t="shared" ref="A2865:B2865" si="9202">A2845</f>
        <v>Lantai 2</v>
      </c>
      <c r="B2865" s="385">
        <f t="shared" si="9202"/>
        <v>8</v>
      </c>
      <c r="C2865" s="393" t="s">
        <v>211</v>
      </c>
      <c r="D2865" s="398">
        <f>VLOOKUP(D2845,'Detail Balok'!$C$10:$AU$140,31,FALSE)</f>
        <v>0</v>
      </c>
      <c r="E2865" s="388" t="s">
        <v>16</v>
      </c>
      <c r="F2865" s="388">
        <f>VLOOKUP(D2845,'Detail Balok'!$C$10:$AU$140,33,FALSE)</f>
        <v>10</v>
      </c>
      <c r="G2865" s="405" t="s">
        <v>157</v>
      </c>
      <c r="H2865" s="395">
        <f>VLOOKUP(D2845,'Detail Balok'!$C$10:$AU$140,35,FALSE)</f>
        <v>150</v>
      </c>
      <c r="I2865" s="388"/>
      <c r="J2865" s="400">
        <f t="shared" ref="J2865" si="9203">(IF(D2865=0,(2*(D2846+G2846))-(F$5*8),IF(D2865=3,(2*(D2846+G2846))-(F$5*8)+(G2846-2*F$5),IF(D2865=4,(2*(D2846+G2846))-(F$5*8)+2*(G2846-2*F$5)))))/1000</f>
        <v>1.08</v>
      </c>
      <c r="K2865" s="400" t="s">
        <v>204</v>
      </c>
      <c r="L2865" s="399">
        <f t="shared" ref="L2865:L2867" si="9204">IF(D2865=0,2*MAX(6*F2865,75),(D2865-1)*2*MAX(6*F2865,75))/1000</f>
        <v>0.15</v>
      </c>
      <c r="M2865" s="399" t="s">
        <v>176</v>
      </c>
      <c r="N2865" s="399">
        <f t="shared" ref="N2865:N2867" si="9205">J2865+L2865</f>
        <v>1.23</v>
      </c>
      <c r="O2865" s="399"/>
      <c r="P2865" s="389"/>
      <c r="Q2865" s="399"/>
      <c r="R2865" s="399"/>
      <c r="S2865" s="399"/>
      <c r="T2865" s="399" t="s">
        <v>125</v>
      </c>
      <c r="U2865" s="401">
        <f t="shared" ref="U2865:U2867" si="9206">0.006165*F2865^2</f>
        <v>0.61650000000000005</v>
      </c>
      <c r="V2865" s="399" t="s">
        <v>125</v>
      </c>
      <c r="W2865" s="399">
        <f t="shared" ref="W2865" si="9207">IF(D2848&gt;4*G2846,ROUND(MAX(D2848/4,2*G2846)/H2865,0)+1,ROUND(D2848/H2865,0)+1)</f>
        <v>11</v>
      </c>
      <c r="X2865" s="399" t="s">
        <v>125</v>
      </c>
      <c r="Y2865" s="389">
        <f t="shared" ref="Y2865" si="9208">D2851</f>
        <v>1</v>
      </c>
      <c r="Z2865" s="400" t="s">
        <v>176</v>
      </c>
      <c r="AA2865" s="402">
        <f t="shared" ref="AA2865:AA2867" si="9209">N2865*U2865*W2865*Y2865</f>
        <v>8.3412450000000007</v>
      </c>
      <c r="AB2865" s="403"/>
    </row>
    <row r="2866" spans="1:28">
      <c r="A2866" s="384" t="str">
        <f t="shared" ref="A2866:B2866" si="9210">A2845</f>
        <v>Lantai 2</v>
      </c>
      <c r="B2866" s="385">
        <f t="shared" si="9210"/>
        <v>8</v>
      </c>
      <c r="C2866" s="393" t="s">
        <v>212</v>
      </c>
      <c r="D2866" s="398">
        <f>VLOOKUP(D2845,'Detail Balok'!$C$10:$AU$140,36,FALSE)</f>
        <v>0</v>
      </c>
      <c r="E2866" s="388" t="s">
        <v>16</v>
      </c>
      <c r="F2866" s="388">
        <f>VLOOKUP(D2845,'Detail Balok'!$C$10:$AU$140,38,FALSE)</f>
        <v>10</v>
      </c>
      <c r="G2866" s="405" t="s">
        <v>157</v>
      </c>
      <c r="H2866" s="395">
        <f>VLOOKUP(D2845,'Detail Balok'!$C$10:$AU$140,40,FALSE)</f>
        <v>200</v>
      </c>
      <c r="I2866" s="388"/>
      <c r="J2866" s="400">
        <f t="shared" ref="J2866" si="9211">(IF(D2866=0,(2*(D2846+G2846))-(F$5*8),IF(D2866=3,(2*(D2846+G2846))-(F$5*8)+(G2846-2*F$5),IF(D2866=4,(2*(D2846+G2846))-(F$5*8)+2*(G2846-2*F$5)))))/1000</f>
        <v>1.08</v>
      </c>
      <c r="K2866" s="400" t="s">
        <v>204</v>
      </c>
      <c r="L2866" s="399">
        <f t="shared" si="9204"/>
        <v>0.15</v>
      </c>
      <c r="M2866" s="399" t="s">
        <v>176</v>
      </c>
      <c r="N2866" s="399">
        <f t="shared" si="9205"/>
        <v>1.23</v>
      </c>
      <c r="O2866" s="399"/>
      <c r="P2866" s="389"/>
      <c r="Q2866" s="399"/>
      <c r="R2866" s="399"/>
      <c r="S2866" s="399"/>
      <c r="T2866" s="399" t="s">
        <v>125</v>
      </c>
      <c r="U2866" s="401">
        <f t="shared" si="9206"/>
        <v>0.61650000000000005</v>
      </c>
      <c r="V2866" s="399" t="s">
        <v>125</v>
      </c>
      <c r="W2866" s="399">
        <f t="shared" ref="W2866" si="9212">IF(D2848-MAX(D2848/4,2*G2846)*2&gt;0,ROUND((D2848-MAX(D2848/4,2*G2846)*2)/H2866,0),0)</f>
        <v>15</v>
      </c>
      <c r="X2866" s="399" t="s">
        <v>125</v>
      </c>
      <c r="Y2866" s="389">
        <f t="shared" ref="Y2866" si="9213">D2851</f>
        <v>1</v>
      </c>
      <c r="Z2866" s="400" t="s">
        <v>176</v>
      </c>
      <c r="AA2866" s="402">
        <f t="shared" si="9209"/>
        <v>11.374425</v>
      </c>
      <c r="AB2866" s="403"/>
    </row>
    <row r="2867" spans="1:28">
      <c r="A2867" s="384" t="str">
        <f t="shared" ref="A2867:B2867" si="9214">A2845</f>
        <v>Lantai 2</v>
      </c>
      <c r="B2867" s="385">
        <f t="shared" si="9214"/>
        <v>8</v>
      </c>
      <c r="C2867" s="393" t="s">
        <v>211</v>
      </c>
      <c r="D2867" s="398">
        <f>VLOOKUP(D2845,'Detail Balok'!$C$10:$AU$140,41,FALSE)</f>
        <v>0</v>
      </c>
      <c r="E2867" s="388" t="s">
        <v>16</v>
      </c>
      <c r="F2867" s="388">
        <f>VLOOKUP(D2845,'Detail Balok'!$C$10:$AU$140,43,FALSE)</f>
        <v>10</v>
      </c>
      <c r="G2867" s="405" t="s">
        <v>157</v>
      </c>
      <c r="H2867" s="395">
        <f>VLOOKUP(D2845,'Detail Balok'!$C$10:$AU$140,45,FALSE)</f>
        <v>150</v>
      </c>
      <c r="I2867" s="388"/>
      <c r="J2867" s="400">
        <f t="shared" ref="J2867" si="9215">(IF(D2867=0,(2*(D2846+G2846))-(F$5*8),IF(D2867=3,(2*(D2846+G2846))-(F$5*8)+(G2846-2*F$5),IF(D2867=4,(2*(D2846+G2846))-(F$5*8)+2*(G2846-2*F$5)))))/1000</f>
        <v>1.08</v>
      </c>
      <c r="K2867" s="400" t="s">
        <v>204</v>
      </c>
      <c r="L2867" s="399">
        <f t="shared" si="9204"/>
        <v>0.15</v>
      </c>
      <c r="M2867" s="399" t="s">
        <v>176</v>
      </c>
      <c r="N2867" s="399">
        <f t="shared" si="9205"/>
        <v>1.23</v>
      </c>
      <c r="O2867" s="399"/>
      <c r="P2867" s="389"/>
      <c r="Q2867" s="399"/>
      <c r="R2867" s="399"/>
      <c r="S2867" s="399"/>
      <c r="T2867" s="399" t="s">
        <v>125</v>
      </c>
      <c r="U2867" s="401">
        <f t="shared" si="9206"/>
        <v>0.61650000000000005</v>
      </c>
      <c r="V2867" s="399" t="s">
        <v>125</v>
      </c>
      <c r="W2867" s="399">
        <f t="shared" ref="W2867" si="9216">IF(D2848&gt;4*G2846,ROUND(MAX(D2848/4,2*G2846)/H2867,0)+1,0)</f>
        <v>11</v>
      </c>
      <c r="X2867" s="399" t="s">
        <v>125</v>
      </c>
      <c r="Y2867" s="389">
        <f t="shared" ref="Y2867" si="9217">D2851</f>
        <v>1</v>
      </c>
      <c r="Z2867" s="400" t="s">
        <v>176</v>
      </c>
      <c r="AA2867" s="402">
        <f t="shared" si="9209"/>
        <v>8.3412450000000007</v>
      </c>
      <c r="AB2867" s="403"/>
    </row>
    <row r="2868" spans="1:28">
      <c r="A2868" s="384"/>
      <c r="B2868" s="385"/>
      <c r="C2868" s="393"/>
      <c r="D2868" s="394"/>
      <c r="E2868" s="388"/>
      <c r="F2868" s="388"/>
      <c r="G2868" s="388"/>
      <c r="H2868" s="395"/>
      <c r="I2868" s="388"/>
      <c r="J2868" s="399"/>
      <c r="K2868" s="396"/>
      <c r="L2868" s="396"/>
      <c r="M2868" s="396"/>
      <c r="N2868" s="396"/>
      <c r="O2868" s="396"/>
      <c r="P2868" s="389"/>
      <c r="Q2868" s="396"/>
      <c r="R2868" s="396"/>
      <c r="S2868" s="396"/>
      <c r="T2868" s="396"/>
      <c r="U2868" s="401"/>
      <c r="V2868" s="396"/>
      <c r="W2868" s="388"/>
      <c r="X2868" s="396"/>
      <c r="Y2868" s="389"/>
      <c r="Z2868" s="396"/>
      <c r="AA2868" s="388"/>
      <c r="AB2868" s="390"/>
    </row>
    <row r="2869" spans="1:28">
      <c r="A2869" s="384" t="str">
        <f t="shared" ref="A2869:B2869" si="9218">A2845</f>
        <v>Lantai 2</v>
      </c>
      <c r="B2869" s="385">
        <f t="shared" si="9218"/>
        <v>8</v>
      </c>
      <c r="C2869" s="393" t="s">
        <v>213</v>
      </c>
      <c r="D2869" s="398">
        <f>VLOOKUP(D2845,'Detail Balok'!$C$10:$BJ$140,46,FALSE)</f>
        <v>0</v>
      </c>
      <c r="E2869" s="388" t="s">
        <v>16</v>
      </c>
      <c r="F2869" s="388">
        <f>VLOOKUP(D2845,'Detail Balok'!$C$10:$BJ$140,48,FALSE)</f>
        <v>0</v>
      </c>
      <c r="G2869" s="405" t="s">
        <v>157</v>
      </c>
      <c r="H2869" s="395">
        <f>VLOOKUP(D2845,'Detail Balok'!$C$10:$BJ$140,50,FALSE)</f>
        <v>100</v>
      </c>
      <c r="I2869" s="388"/>
      <c r="J2869" s="399">
        <f t="shared" ref="J2869" si="9219">(D2846-2*F$5)/1000</f>
        <v>0.12</v>
      </c>
      <c r="K2869" s="400" t="s">
        <v>204</v>
      </c>
      <c r="L2869" s="399">
        <f t="shared" ref="L2869:L2871" si="9220">IF(D2869=0,2*MAX(6*F2869,75),(D2869-1)*2*MAX(6*F2869,75))/1000</f>
        <v>0.15</v>
      </c>
      <c r="M2869" s="399" t="s">
        <v>176</v>
      </c>
      <c r="N2869" s="399">
        <f t="shared" ref="N2869:N2871" si="9221">J2869+L2869</f>
        <v>0.27</v>
      </c>
      <c r="O2869" s="399"/>
      <c r="P2869" s="399"/>
      <c r="Q2869" s="399"/>
      <c r="R2869" s="399"/>
      <c r="S2869" s="399"/>
      <c r="T2869" s="399" t="s">
        <v>125</v>
      </c>
      <c r="U2869" s="401">
        <f t="shared" ref="U2869:U2871" si="9222">0.006165*F2869^2</f>
        <v>0</v>
      </c>
      <c r="V2869" s="399" t="s">
        <v>125</v>
      </c>
      <c r="W2869" s="399">
        <f t="shared" si="9034"/>
        <v>11</v>
      </c>
      <c r="X2869" s="399" t="s">
        <v>125</v>
      </c>
      <c r="Y2869" s="389">
        <f t="shared" ref="Y2869" si="9223">D2855</f>
        <v>4</v>
      </c>
      <c r="Z2869" s="400" t="s">
        <v>176</v>
      </c>
      <c r="AA2869" s="402">
        <f t="shared" ref="AA2869:AA2871" si="9224">N2869*U2869*W2869*Y2869</f>
        <v>0</v>
      </c>
      <c r="AB2869" s="403"/>
    </row>
    <row r="2870" spans="1:28">
      <c r="A2870" s="384" t="str">
        <f t="shared" ref="A2870:B2870" si="9225">A2845</f>
        <v>Lantai 2</v>
      </c>
      <c r="B2870" s="385">
        <f t="shared" si="9225"/>
        <v>8</v>
      </c>
      <c r="C2870" s="393" t="s">
        <v>214</v>
      </c>
      <c r="D2870" s="398">
        <f>VLOOKUP(D2845,'Detail Balok'!$C$10:$BJ$140,51,FALSE)</f>
        <v>0</v>
      </c>
      <c r="E2870" s="388" t="s">
        <v>16</v>
      </c>
      <c r="F2870" s="388">
        <f>VLOOKUP(D2845,'Detail Balok'!$C$10:$BJ$140,53,FALSE)</f>
        <v>0</v>
      </c>
      <c r="G2870" s="405" t="s">
        <v>157</v>
      </c>
      <c r="H2870" s="395">
        <f>VLOOKUP(D2845,'Detail Balok'!$C$10:$BJ$140,55,FALSE)</f>
        <v>100</v>
      </c>
      <c r="I2870" s="388"/>
      <c r="J2870" s="399">
        <f t="shared" ref="J2870" si="9226">(D2846-2*F$5)/1000</f>
        <v>0.12</v>
      </c>
      <c r="K2870" s="400" t="s">
        <v>204</v>
      </c>
      <c r="L2870" s="399">
        <f t="shared" si="9220"/>
        <v>0.15</v>
      </c>
      <c r="M2870" s="399" t="s">
        <v>176</v>
      </c>
      <c r="N2870" s="399">
        <f t="shared" si="9221"/>
        <v>0.27</v>
      </c>
      <c r="O2870" s="399"/>
      <c r="P2870" s="399"/>
      <c r="Q2870" s="399"/>
      <c r="R2870" s="399"/>
      <c r="S2870" s="399"/>
      <c r="T2870" s="399" t="s">
        <v>125</v>
      </c>
      <c r="U2870" s="401">
        <f t="shared" si="9222"/>
        <v>0</v>
      </c>
      <c r="V2870" s="399" t="s">
        <v>125</v>
      </c>
      <c r="W2870" s="399">
        <f t="shared" si="9034"/>
        <v>15</v>
      </c>
      <c r="X2870" s="399" t="s">
        <v>125</v>
      </c>
      <c r="Y2870" s="389">
        <f t="shared" ref="Y2870" si="9227">D2855</f>
        <v>4</v>
      </c>
      <c r="Z2870" s="400" t="s">
        <v>176</v>
      </c>
      <c r="AA2870" s="402">
        <f t="shared" si="9224"/>
        <v>0</v>
      </c>
      <c r="AB2870" s="403"/>
    </row>
    <row r="2871" spans="1:28">
      <c r="A2871" s="384" t="str">
        <f t="shared" ref="A2871:B2871" si="9228">A2845</f>
        <v>Lantai 2</v>
      </c>
      <c r="B2871" s="385">
        <f t="shared" si="9228"/>
        <v>8</v>
      </c>
      <c r="C2871" s="393" t="s">
        <v>213</v>
      </c>
      <c r="D2871" s="398">
        <f>VLOOKUP(D2845,'Detail Balok'!$C$10:$BJ$140,56,FALSE)</f>
        <v>0</v>
      </c>
      <c r="E2871" s="388" t="s">
        <v>16</v>
      </c>
      <c r="F2871" s="388">
        <f>VLOOKUP(D2845,'Detail Balok'!$C$10:$BJ$140,58,FALSE)</f>
        <v>0</v>
      </c>
      <c r="G2871" s="405" t="s">
        <v>157</v>
      </c>
      <c r="H2871" s="395">
        <f>VLOOKUP(D2845,'Detail Balok'!$C$10:$BJ$140,60,FALSE)</f>
        <v>100</v>
      </c>
      <c r="I2871" s="388"/>
      <c r="J2871" s="399">
        <f t="shared" ref="J2871" si="9229">(D2846-2*F$5)/1000</f>
        <v>0.12</v>
      </c>
      <c r="K2871" s="400" t="s">
        <v>204</v>
      </c>
      <c r="L2871" s="399">
        <f t="shared" si="9220"/>
        <v>0.15</v>
      </c>
      <c r="M2871" s="399" t="s">
        <v>176</v>
      </c>
      <c r="N2871" s="399">
        <f t="shared" si="9221"/>
        <v>0.27</v>
      </c>
      <c r="O2871" s="399"/>
      <c r="P2871" s="399"/>
      <c r="Q2871" s="399"/>
      <c r="R2871" s="399"/>
      <c r="S2871" s="399"/>
      <c r="T2871" s="399" t="s">
        <v>125</v>
      </c>
      <c r="U2871" s="401">
        <f t="shared" si="9222"/>
        <v>0</v>
      </c>
      <c r="V2871" s="399" t="s">
        <v>125</v>
      </c>
      <c r="W2871" s="399">
        <f t="shared" si="9034"/>
        <v>11</v>
      </c>
      <c r="X2871" s="399" t="s">
        <v>125</v>
      </c>
      <c r="Y2871" s="389">
        <f t="shared" ref="Y2871" si="9230">D2855</f>
        <v>4</v>
      </c>
      <c r="Z2871" s="400" t="s">
        <v>176</v>
      </c>
      <c r="AA2871" s="402">
        <f t="shared" si="9224"/>
        <v>0</v>
      </c>
      <c r="AB2871" s="403"/>
    </row>
    <row r="2872" spans="1:28">
      <c r="A2872" s="391"/>
      <c r="B2872" s="392"/>
      <c r="C2872" s="392"/>
      <c r="D2872" s="394"/>
      <c r="E2872" s="388"/>
      <c r="F2872" s="388"/>
      <c r="G2872" s="388"/>
      <c r="H2872" s="395"/>
      <c r="I2872" s="388"/>
      <c r="J2872" s="402"/>
      <c r="K2872" s="388"/>
      <c r="L2872" s="388"/>
      <c r="M2872" s="388"/>
      <c r="N2872" s="388"/>
      <c r="O2872" s="388"/>
      <c r="P2872" s="388"/>
      <c r="Q2872" s="388"/>
      <c r="R2872" s="388"/>
      <c r="S2872" s="388"/>
      <c r="T2872" s="388"/>
      <c r="U2872" s="388"/>
      <c r="V2872" s="388"/>
      <c r="W2872" s="388"/>
      <c r="X2872" s="388"/>
      <c r="Y2872" s="389"/>
      <c r="Z2872" s="388"/>
      <c r="AA2872" s="402"/>
      <c r="AB2872" s="403"/>
    </row>
    <row r="2873" spans="1:28" ht="15.75" thickBot="1">
      <c r="A2873" s="406"/>
      <c r="B2873" s="407"/>
      <c r="C2873" s="407"/>
      <c r="D2873" s="408"/>
      <c r="E2873" s="409"/>
      <c r="F2873" s="409"/>
      <c r="G2873" s="409"/>
      <c r="H2873" s="410"/>
      <c r="I2873" s="409"/>
      <c r="J2873" s="409"/>
      <c r="K2873" s="409"/>
      <c r="L2873" s="409"/>
      <c r="M2873" s="409"/>
      <c r="N2873" s="409"/>
      <c r="O2873" s="409"/>
      <c r="P2873" s="409"/>
      <c r="Q2873" s="409"/>
      <c r="R2873" s="409"/>
      <c r="S2873" s="409"/>
      <c r="T2873" s="409"/>
      <c r="U2873" s="409"/>
      <c r="V2873" s="409"/>
      <c r="W2873" s="409"/>
      <c r="X2873" s="409"/>
      <c r="Y2873" s="411"/>
      <c r="Z2873" s="409"/>
      <c r="AA2873" s="412"/>
      <c r="AB2873" s="413"/>
    </row>
    <row r="2874" spans="1:28">
      <c r="A2874" s="377"/>
      <c r="B2874" s="378"/>
      <c r="C2874" s="378"/>
      <c r="D2874" s="379"/>
      <c r="E2874" s="380"/>
      <c r="F2874" s="380"/>
      <c r="G2874" s="380"/>
      <c r="H2874" s="381"/>
      <c r="I2874" s="380"/>
      <c r="J2874" s="380"/>
      <c r="K2874" s="380"/>
      <c r="L2874" s="380"/>
      <c r="M2874" s="380"/>
      <c r="N2874" s="380"/>
      <c r="O2874" s="380"/>
      <c r="P2874" s="380"/>
      <c r="Q2874" s="380"/>
      <c r="R2874" s="380"/>
      <c r="S2874" s="380"/>
      <c r="T2874" s="380"/>
      <c r="U2874" s="380"/>
      <c r="V2874" s="380"/>
      <c r="W2874" s="380"/>
      <c r="X2874" s="380"/>
      <c r="Y2874" s="382"/>
      <c r="Z2874" s="380"/>
      <c r="AA2874" s="380"/>
      <c r="AB2874" s="383"/>
    </row>
    <row r="2875" spans="1:28">
      <c r="A2875" s="384" t="str">
        <f t="shared" si="9043"/>
        <v>Lantai 2</v>
      </c>
      <c r="B2875" s="385">
        <f t="shared" si="9044"/>
        <v>9</v>
      </c>
      <c r="C2875" s="386" t="str">
        <f t="shared" ref="C2875" si="9231">CONCATENATE(A2875," no. ",B2875)</f>
        <v>Lantai 2 no. 9</v>
      </c>
      <c r="D2875" s="2562" t="str">
        <f>VLOOKUP(C2875,'Data Panjang Balok'!$C$9:$N$254,2,FALSE)</f>
        <v>B24-1</v>
      </c>
      <c r="E2875" s="2576"/>
      <c r="F2875" s="2576"/>
      <c r="G2875" s="2576"/>
      <c r="H2875" s="2577"/>
      <c r="I2875" s="387"/>
      <c r="J2875" s="388"/>
      <c r="K2875" s="388"/>
      <c r="L2875" s="388"/>
      <c r="M2875" s="388"/>
      <c r="N2875" s="388"/>
      <c r="O2875" s="388"/>
      <c r="P2875" s="388"/>
      <c r="Q2875" s="388"/>
      <c r="R2875" s="388"/>
      <c r="S2875" s="388"/>
      <c r="T2875" s="388"/>
      <c r="U2875" s="388"/>
      <c r="V2875" s="388"/>
      <c r="W2875" s="388"/>
      <c r="X2875" s="388"/>
      <c r="Y2875" s="389"/>
      <c r="Z2875" s="388"/>
      <c r="AA2875" s="388"/>
      <c r="AB2875" s="390"/>
    </row>
    <row r="2876" spans="1:28">
      <c r="A2876" s="391"/>
      <c r="B2876" s="392"/>
      <c r="C2876" s="393" t="s">
        <v>118</v>
      </c>
      <c r="D2876" s="2578">
        <f>VLOOKUP(D2875,'Detail Balok'!$C$10:$AU$140,2,FALSE)</f>
        <v>200</v>
      </c>
      <c r="E2876" s="2579"/>
      <c r="F2876" s="388" t="s">
        <v>125</v>
      </c>
      <c r="G2876" s="2579">
        <f>VLOOKUP(D2875,'Detail Balok'!$C$10:$AU$140,3,FALSE)</f>
        <v>400</v>
      </c>
      <c r="H2876" s="2580"/>
      <c r="I2876" s="388"/>
      <c r="J2876" s="396"/>
      <c r="K2876" s="396"/>
      <c r="L2876" s="396"/>
      <c r="M2876" s="396"/>
      <c r="N2876" s="396"/>
      <c r="O2876" s="396"/>
      <c r="P2876" s="396"/>
      <c r="Q2876" s="396"/>
      <c r="R2876" s="396"/>
      <c r="S2876" s="396"/>
      <c r="T2876" s="396"/>
      <c r="U2876" s="388"/>
      <c r="V2876" s="396"/>
      <c r="W2876" s="388"/>
      <c r="X2876" s="396"/>
      <c r="Y2876" s="389"/>
      <c r="Z2876" s="396"/>
      <c r="AA2876" s="388"/>
      <c r="AB2876" s="390"/>
    </row>
    <row r="2877" spans="1:28">
      <c r="A2877" s="391"/>
      <c r="B2877" s="392"/>
      <c r="C2877" s="393" t="s">
        <v>198</v>
      </c>
      <c r="D2877" s="2562">
        <f>VLOOKUP(C2875,'Data Panjang Balok'!$C$9:$N$254,4,FALSE)</f>
        <v>4075</v>
      </c>
      <c r="E2877" s="2563"/>
      <c r="F2877" s="2563"/>
      <c r="G2877" s="2563"/>
      <c r="H2877" s="2564"/>
      <c r="I2877" s="397"/>
      <c r="J2877" s="396"/>
      <c r="K2877" s="396"/>
      <c r="L2877" s="396"/>
      <c r="M2877" s="396"/>
      <c r="N2877" s="396"/>
      <c r="O2877" s="396"/>
      <c r="P2877" s="396"/>
      <c r="Q2877" s="396"/>
      <c r="R2877" s="396"/>
      <c r="S2877" s="396"/>
      <c r="T2877" s="396"/>
      <c r="U2877" s="388"/>
      <c r="V2877" s="396"/>
      <c r="W2877" s="388"/>
      <c r="X2877" s="396"/>
      <c r="Y2877" s="389"/>
      <c r="Z2877" s="396"/>
      <c r="AA2877" s="388"/>
      <c r="AB2877" s="390"/>
    </row>
    <row r="2878" spans="1:28">
      <c r="A2878" s="391"/>
      <c r="B2878" s="392"/>
      <c r="C2878" s="393" t="s">
        <v>199</v>
      </c>
      <c r="D2878" s="2562">
        <f>VLOOKUP(C2875,'Data Panjang Balok'!$C$9:$N$254,7,FALSE)</f>
        <v>4075</v>
      </c>
      <c r="E2878" s="2563"/>
      <c r="F2878" s="2563"/>
      <c r="G2878" s="2563"/>
      <c r="H2878" s="2564"/>
      <c r="I2878" s="397"/>
      <c r="J2878" s="396"/>
      <c r="K2878" s="396"/>
      <c r="L2878" s="396"/>
      <c r="M2878" s="396"/>
      <c r="N2878" s="396"/>
      <c r="O2878" s="396"/>
      <c r="P2878" s="396"/>
      <c r="Q2878" s="396"/>
      <c r="R2878" s="396"/>
      <c r="S2878" s="396"/>
      <c r="T2878" s="396"/>
      <c r="U2878" s="388"/>
      <c r="V2878" s="396"/>
      <c r="W2878" s="388"/>
      <c r="X2878" s="396"/>
      <c r="Y2878" s="389"/>
      <c r="Z2878" s="396"/>
      <c r="AA2878" s="388"/>
      <c r="AB2878" s="390"/>
    </row>
    <row r="2879" spans="1:28">
      <c r="A2879" s="391"/>
      <c r="B2879" s="392"/>
      <c r="C2879" s="393" t="s">
        <v>200</v>
      </c>
      <c r="D2879" s="2562">
        <f>VLOOKUP(C2875,'Data Panjang Balok'!$C$9:$N$254,9,FALSE)</f>
        <v>0</v>
      </c>
      <c r="E2879" s="2563"/>
      <c r="F2879" s="2563"/>
      <c r="G2879" s="2563"/>
      <c r="H2879" s="2564"/>
      <c r="I2879" s="397"/>
      <c r="J2879" s="396"/>
      <c r="K2879" s="396"/>
      <c r="L2879" s="396"/>
      <c r="M2879" s="396"/>
      <c r="N2879" s="396"/>
      <c r="O2879" s="396"/>
      <c r="P2879" s="396"/>
      <c r="Q2879" s="396"/>
      <c r="R2879" s="396"/>
      <c r="S2879" s="396"/>
      <c r="T2879" s="396"/>
      <c r="U2879" s="388"/>
      <c r="V2879" s="396"/>
      <c r="W2879" s="388"/>
      <c r="X2879" s="396"/>
      <c r="Y2879" s="389"/>
      <c r="Z2879" s="396"/>
      <c r="AA2879" s="388"/>
      <c r="AB2879" s="390"/>
    </row>
    <row r="2880" spans="1:28">
      <c r="A2880" s="391"/>
      <c r="B2880" s="392"/>
      <c r="C2880" s="393" t="s">
        <v>201</v>
      </c>
      <c r="D2880" s="2562">
        <f>VLOOKUP(C2875,'Data Panjang Balok'!$C$9:$N$254,10,FALSE)</f>
        <v>0</v>
      </c>
      <c r="E2880" s="2563"/>
      <c r="F2880" s="2563"/>
      <c r="G2880" s="2563"/>
      <c r="H2880" s="2564"/>
      <c r="I2880" s="397"/>
      <c r="J2880" s="396"/>
      <c r="K2880" s="396"/>
      <c r="L2880" s="396"/>
      <c r="M2880" s="396"/>
      <c r="N2880" s="396"/>
      <c r="O2880" s="396"/>
      <c r="P2880" s="396"/>
      <c r="Q2880" s="396"/>
      <c r="R2880" s="396"/>
      <c r="S2880" s="396"/>
      <c r="T2880" s="396"/>
      <c r="U2880" s="388"/>
      <c r="V2880" s="396"/>
      <c r="W2880" s="388"/>
      <c r="X2880" s="396"/>
      <c r="Y2880" s="389"/>
      <c r="Z2880" s="396"/>
      <c r="AA2880" s="388"/>
      <c r="AB2880" s="390"/>
    </row>
    <row r="2881" spans="1:28">
      <c r="A2881" s="391"/>
      <c r="B2881" s="392"/>
      <c r="C2881" s="393" t="s">
        <v>48</v>
      </c>
      <c r="D2881" s="2562">
        <f>VLOOKUP(C2875,'Data Panjang Balok'!$C$9:$N$254,3,FALSE)</f>
        <v>1</v>
      </c>
      <c r="E2881" s="2563"/>
      <c r="F2881" s="2563"/>
      <c r="G2881" s="2563"/>
      <c r="H2881" s="2564"/>
      <c r="I2881" s="397"/>
      <c r="J2881" s="396"/>
      <c r="K2881" s="396"/>
      <c r="L2881" s="396"/>
      <c r="M2881" s="396"/>
      <c r="N2881" s="396"/>
      <c r="O2881" s="396"/>
      <c r="P2881" s="396"/>
      <c r="Q2881" s="396"/>
      <c r="R2881" s="396"/>
      <c r="S2881" s="396"/>
      <c r="T2881" s="396"/>
      <c r="U2881" s="388"/>
      <c r="V2881" s="396"/>
      <c r="W2881" s="388"/>
      <c r="X2881" s="396"/>
      <c r="Y2881" s="389"/>
      <c r="Z2881" s="396"/>
      <c r="AA2881" s="388"/>
      <c r="AB2881" s="390"/>
    </row>
    <row r="2882" spans="1:28">
      <c r="A2882" s="384" t="str">
        <f t="shared" ref="A2882:B2882" si="9232">A2875</f>
        <v>Lantai 2</v>
      </c>
      <c r="B2882" s="385">
        <f t="shared" si="9232"/>
        <v>9</v>
      </c>
      <c r="C2882" s="393" t="s">
        <v>202</v>
      </c>
      <c r="D2882" s="398">
        <f>VLOOKUP(D2875,'Detail Balok'!$C$10:$AU$140,4,FALSE)</f>
        <v>3</v>
      </c>
      <c r="E2882" s="388" t="s">
        <v>16</v>
      </c>
      <c r="F2882" s="388">
        <f>VLOOKUP(D2875,'Detail Balok'!$C$10:$AU$140,6,FALSE)</f>
        <v>13</v>
      </c>
      <c r="G2882" s="388"/>
      <c r="H2882" s="395"/>
      <c r="I2882" s="388" t="s">
        <v>203</v>
      </c>
      <c r="J2882" s="399">
        <f t="shared" ref="J2882" si="9233">+D2877/4/1000</f>
        <v>1.01875</v>
      </c>
      <c r="K2882" s="400" t="s">
        <v>204</v>
      </c>
      <c r="L2882" s="399">
        <f t="shared" ref="L2882" si="9234">MAX(VLOOKUP(F2882,N$6:P$15,3,FALSE)/1000,2/3*D2879/1000)+F$16*F2882/1000</f>
        <v>0.156</v>
      </c>
      <c r="M2882" s="399" t="s">
        <v>176</v>
      </c>
      <c r="N2882" s="399">
        <f t="shared" ref="N2882:N2884" si="9235">J2882+L2882</f>
        <v>1.17475</v>
      </c>
      <c r="O2882" s="399" t="s">
        <v>204</v>
      </c>
      <c r="P2882" s="389">
        <f t="shared" ref="P2882" si="9236">D2882-D2883</f>
        <v>0</v>
      </c>
      <c r="Q2882" s="399" t="s">
        <v>125</v>
      </c>
      <c r="R2882" s="399">
        <f t="shared" ref="R2882" si="9237">IF(P2882&gt;0,$F$18*F2882/1000,0)</f>
        <v>0</v>
      </c>
      <c r="S2882" s="399" t="s">
        <v>205</v>
      </c>
      <c r="T2882" s="399" t="s">
        <v>125</v>
      </c>
      <c r="U2882" s="401">
        <f t="shared" ref="U2882:U2884" si="9238">0.006165*F2882^2</f>
        <v>1.041885</v>
      </c>
      <c r="V2882" s="399"/>
      <c r="W2882" s="399"/>
      <c r="X2882" s="399" t="s">
        <v>125</v>
      </c>
      <c r="Y2882" s="389">
        <f t="shared" ref="Y2882" si="9239">D2881</f>
        <v>1</v>
      </c>
      <c r="Z2882" s="400" t="s">
        <v>176</v>
      </c>
      <c r="AA2882" s="402">
        <f t="shared" ref="AA2882" si="9240">IF(AA2885=0,(D2882*N2882+P2882*R2882)*U2882*Y2882,0)</f>
        <v>0</v>
      </c>
      <c r="AB2882" s="403"/>
    </row>
    <row r="2883" spans="1:28">
      <c r="A2883" s="384" t="str">
        <f t="shared" ref="A2883:B2883" si="9241">A2875</f>
        <v>Lantai 2</v>
      </c>
      <c r="B2883" s="385">
        <f t="shared" si="9241"/>
        <v>9</v>
      </c>
      <c r="C2883" s="393" t="s">
        <v>206</v>
      </c>
      <c r="D2883" s="398">
        <f>VLOOKUP(D2875,'Detail Balok'!$C$10:$AU$140,7,FALSE)</f>
        <v>3</v>
      </c>
      <c r="E2883" s="388" t="s">
        <v>16</v>
      </c>
      <c r="F2883" s="388">
        <f>VLOOKUP(D2875,'Detail Balok'!$C$10:$AU$140,9,FALSE)</f>
        <v>13</v>
      </c>
      <c r="G2883" s="388"/>
      <c r="H2883" s="395"/>
      <c r="I2883" s="388" t="s">
        <v>203</v>
      </c>
      <c r="J2883" s="399">
        <f t="shared" ref="J2883" si="9242">+D2877/2/1000</f>
        <v>2.0375000000000001</v>
      </c>
      <c r="K2883" s="400" t="s">
        <v>204</v>
      </c>
      <c r="L2883" s="399"/>
      <c r="M2883" s="399" t="s">
        <v>176</v>
      </c>
      <c r="N2883" s="399">
        <f t="shared" si="9235"/>
        <v>2.0375000000000001</v>
      </c>
      <c r="O2883" s="399" t="s">
        <v>204</v>
      </c>
      <c r="P2883" s="389">
        <f t="shared" ref="P2883" si="9243">MAX(D2883-D2882,D2883-D2884)</f>
        <v>0</v>
      </c>
      <c r="Q2883" s="399" t="s">
        <v>125</v>
      </c>
      <c r="R2883" s="399">
        <f t="shared" ref="R2883" si="9244">IF(P2883&gt;0,2*(1-2*$F$19-1/2)*D2878/1000,0)</f>
        <v>0</v>
      </c>
      <c r="S2883" s="399" t="s">
        <v>205</v>
      </c>
      <c r="T2883" s="399" t="s">
        <v>125</v>
      </c>
      <c r="U2883" s="401">
        <f t="shared" si="9238"/>
        <v>1.041885</v>
      </c>
      <c r="V2883" s="399"/>
      <c r="W2883" s="399"/>
      <c r="X2883" s="399" t="s">
        <v>125</v>
      </c>
      <c r="Y2883" s="389">
        <f t="shared" ref="Y2883" si="9245">D2881</f>
        <v>1</v>
      </c>
      <c r="Z2883" s="400" t="s">
        <v>176</v>
      </c>
      <c r="AA2883" s="402">
        <f t="shared" ref="AA2883" si="9246">IF(AA2885=0,(D2883*N2883+P2883*R2883)*U2883*Y2883,0)</f>
        <v>0</v>
      </c>
      <c r="AB2883" s="403"/>
    </row>
    <row r="2884" spans="1:28">
      <c r="A2884" s="384" t="str">
        <f t="shared" ref="A2884:B2884" si="9247">A2875</f>
        <v>Lantai 2</v>
      </c>
      <c r="B2884" s="385">
        <f t="shared" si="9247"/>
        <v>9</v>
      </c>
      <c r="C2884" s="393" t="s">
        <v>202</v>
      </c>
      <c r="D2884" s="398">
        <f>VLOOKUP(D2875,'Detail Balok'!$C$10:$AU$140,10,FALSE)</f>
        <v>3</v>
      </c>
      <c r="E2884" s="388" t="s">
        <v>16</v>
      </c>
      <c r="F2884" s="388">
        <f>VLOOKUP(D2875,'Detail Balok'!$C$10:$AU$140,12,FALSE)</f>
        <v>13</v>
      </c>
      <c r="G2884" s="388"/>
      <c r="H2884" s="395"/>
      <c r="I2884" s="388" t="s">
        <v>203</v>
      </c>
      <c r="J2884" s="399">
        <f t="shared" ref="J2884" si="9248">+D2877/4/1000</f>
        <v>1.01875</v>
      </c>
      <c r="K2884" s="400" t="s">
        <v>204</v>
      </c>
      <c r="L2884" s="399">
        <f t="shared" ref="L2884" si="9249">MAX(VLOOKUP(F2884,N$6:P$15,3,FALSE)/1000,2/3*D2879/1000)+F$16*F2884/1000</f>
        <v>0.156</v>
      </c>
      <c r="M2884" s="399" t="s">
        <v>176</v>
      </c>
      <c r="N2884" s="399">
        <f t="shared" si="9235"/>
        <v>1.17475</v>
      </c>
      <c r="O2884" s="399" t="s">
        <v>204</v>
      </c>
      <c r="P2884" s="389">
        <f t="shared" ref="P2884" si="9250">D2884-D2883</f>
        <v>0</v>
      </c>
      <c r="Q2884" s="399" t="s">
        <v>125</v>
      </c>
      <c r="R2884" s="399">
        <f t="shared" ref="R2884" si="9251">IF(P2884&gt;0,$F$18*F2884/1000,0)</f>
        <v>0</v>
      </c>
      <c r="S2884" s="399" t="s">
        <v>205</v>
      </c>
      <c r="T2884" s="399" t="s">
        <v>125</v>
      </c>
      <c r="U2884" s="401">
        <f t="shared" si="9238"/>
        <v>1.041885</v>
      </c>
      <c r="V2884" s="399"/>
      <c r="W2884" s="399"/>
      <c r="X2884" s="399" t="s">
        <v>125</v>
      </c>
      <c r="Y2884" s="389">
        <f t="shared" ref="Y2884" si="9252">D2881</f>
        <v>1</v>
      </c>
      <c r="Z2884" s="400" t="s">
        <v>176</v>
      </c>
      <c r="AA2884" s="402">
        <f t="shared" ref="AA2884" si="9253">IF(AA2885=0,(D2884*N2884+P2884*R2884)*U2884*Y2884,0)</f>
        <v>0</v>
      </c>
      <c r="AB2884" s="403"/>
    </row>
    <row r="2885" spans="1:28">
      <c r="A2885" s="384" t="str">
        <f t="shared" ref="A2885:B2885" si="9254">A2875</f>
        <v>Lantai 2</v>
      </c>
      <c r="B2885" s="385">
        <f t="shared" si="9254"/>
        <v>9</v>
      </c>
      <c r="C2885" s="393"/>
      <c r="D2885" s="398">
        <f t="shared" ref="D2885:D2945" si="9255">IF(AND(D2882=D2883,D2883=D2884,D2882=D2884),D2882,0)</f>
        <v>3</v>
      </c>
      <c r="E2885" s="388" t="s">
        <v>16</v>
      </c>
      <c r="F2885" s="388">
        <f t="shared" ref="F2885:F2945" si="9256">IF(AND(F2882=F2883,F2882=F2884,F2883=F2884),F2882,0)</f>
        <v>13</v>
      </c>
      <c r="G2885" s="388"/>
      <c r="H2885" s="395"/>
      <c r="I2885" s="388"/>
      <c r="J2885" s="396"/>
      <c r="K2885" s="396"/>
      <c r="L2885" s="404" t="s">
        <v>207</v>
      </c>
      <c r="M2885" s="399" t="s">
        <v>176</v>
      </c>
      <c r="N2885" s="399">
        <f t="shared" ref="N2885" si="9257">IF(AND(D2882=D2883,D2882=D2884,D2883=D2884,F2882=F2883,F2882=F2884,F2883=F2884),SUM(N2882:N2884),0)</f>
        <v>4.3870000000000005</v>
      </c>
      <c r="O2885" s="399" t="s">
        <v>204</v>
      </c>
      <c r="P2885" s="389">
        <f t="shared" ref="P2885" si="9258">IF(N2885&gt;12,ROUNDDOWN(N2885/12,0),0)</f>
        <v>0</v>
      </c>
      <c r="Q2885" s="399" t="s">
        <v>125</v>
      </c>
      <c r="R2885" s="399">
        <f t="shared" ref="R2885" si="9259">IF(P2885&gt;0,MAX(VLOOKUP(F2885,$D$6:$G$15,3,FALSE),600),0)/1000</f>
        <v>0</v>
      </c>
      <c r="S2885" s="396"/>
      <c r="T2885" s="396" t="s">
        <v>125</v>
      </c>
      <c r="U2885" s="401">
        <f t="shared" ref="U2885:U2945" si="9260">U2884</f>
        <v>1.041885</v>
      </c>
      <c r="V2885" s="396" t="s">
        <v>125</v>
      </c>
      <c r="W2885" s="399">
        <f t="shared" ref="W2885" si="9261">D2885</f>
        <v>3</v>
      </c>
      <c r="X2885" s="399" t="s">
        <v>125</v>
      </c>
      <c r="Y2885" s="389">
        <f t="shared" ref="Y2885:Y2945" si="9262">Y2884</f>
        <v>1</v>
      </c>
      <c r="Z2885" s="400" t="s">
        <v>176</v>
      </c>
      <c r="AA2885" s="402">
        <f t="shared" ref="AA2885" si="9263">(N2885+P2885*R2885/1000)*U2885*W2885*Y2885</f>
        <v>13.712248485</v>
      </c>
      <c r="AB2885" s="390"/>
    </row>
    <row r="2886" spans="1:28">
      <c r="A2886" s="384"/>
      <c r="B2886" s="385"/>
      <c r="C2886" s="393"/>
      <c r="D2886" s="398"/>
      <c r="E2886" s="388"/>
      <c r="F2886" s="388"/>
      <c r="G2886" s="388"/>
      <c r="H2886" s="395"/>
      <c r="I2886" s="388"/>
      <c r="J2886" s="396"/>
      <c r="K2886" s="396"/>
      <c r="L2886" s="404"/>
      <c r="M2886" s="399"/>
      <c r="N2886" s="399"/>
      <c r="O2886" s="396"/>
      <c r="P2886" s="389"/>
      <c r="Q2886" s="396"/>
      <c r="R2886" s="396"/>
      <c r="S2886" s="396"/>
      <c r="T2886" s="396"/>
      <c r="U2886" s="401"/>
      <c r="V2886" s="396"/>
      <c r="W2886" s="399"/>
      <c r="X2886" s="396"/>
      <c r="Y2886" s="389"/>
      <c r="Z2886" s="396"/>
      <c r="AA2886" s="388"/>
      <c r="AB2886" s="390"/>
    </row>
    <row r="2887" spans="1:28">
      <c r="A2887" s="384" t="str">
        <f t="shared" ref="A2887:B2887" si="9264">A2875</f>
        <v>Lantai 2</v>
      </c>
      <c r="B2887" s="385">
        <f t="shared" si="9264"/>
        <v>9</v>
      </c>
      <c r="C2887" s="393" t="s">
        <v>208</v>
      </c>
      <c r="D2887" s="398">
        <f>VLOOKUP(D2875,'Detail Balok'!$C$10:$AU$140,13,FALSE)</f>
        <v>0</v>
      </c>
      <c r="E2887" s="388" t="s">
        <v>16</v>
      </c>
      <c r="F2887" s="388">
        <f>VLOOKUP(D2875,'Detail Balok'!$C$10:$AU$140,15,FALSE)</f>
        <v>8</v>
      </c>
      <c r="G2887" s="388"/>
      <c r="H2887" s="395"/>
      <c r="I2887" s="388"/>
      <c r="J2887" s="399">
        <f t="shared" ref="J2887" si="9265">+D2877/1000</f>
        <v>4.0750000000000002</v>
      </c>
      <c r="K2887" s="400" t="s">
        <v>204</v>
      </c>
      <c r="L2887" s="399">
        <f t="shared" ref="L2887" si="9266">2*$F$16*F2887/1000</f>
        <v>0.192</v>
      </c>
      <c r="M2887" s="399" t="s">
        <v>176</v>
      </c>
      <c r="N2887" s="399">
        <f t="shared" ref="N2887" si="9267">J2887+L2887</f>
        <v>4.2670000000000003</v>
      </c>
      <c r="O2887" s="399" t="s">
        <v>204</v>
      </c>
      <c r="P2887" s="389">
        <f t="shared" ref="P2887" si="9268">IF(N2887&gt;12,ROUNDDOWN(N2887/12,0),0)</f>
        <v>0</v>
      </c>
      <c r="Q2887" s="399" t="s">
        <v>125</v>
      </c>
      <c r="R2887" s="399">
        <f t="shared" ref="R2887" si="9269">IF(P2887&gt;0,MAX(VLOOKUP(F2887,$D$6:$G$15,3,FALSE),600),0)/1000</f>
        <v>0</v>
      </c>
      <c r="S2887" s="399"/>
      <c r="T2887" s="399" t="s">
        <v>125</v>
      </c>
      <c r="U2887" s="401">
        <f t="shared" ref="U2887" si="9270">0.006165*F2887^2</f>
        <v>0.39456000000000002</v>
      </c>
      <c r="V2887" s="399" t="s">
        <v>125</v>
      </c>
      <c r="W2887" s="399">
        <f t="shared" ref="W2887" si="9271">+D2887</f>
        <v>0</v>
      </c>
      <c r="X2887" s="399" t="s">
        <v>125</v>
      </c>
      <c r="Y2887" s="389">
        <f t="shared" ref="Y2887" si="9272">D2881</f>
        <v>1</v>
      </c>
      <c r="Z2887" s="400" t="s">
        <v>176</v>
      </c>
      <c r="AA2887" s="402">
        <f t="shared" ref="AA2887" si="9273">(N2887+P2887*R2887/1000)*U2887*W2887*Y2887</f>
        <v>0</v>
      </c>
      <c r="AB2887" s="403"/>
    </row>
    <row r="2888" spans="1:28">
      <c r="A2888" s="384"/>
      <c r="B2888" s="385"/>
      <c r="C2888" s="393"/>
      <c r="D2888" s="398"/>
      <c r="E2888" s="388"/>
      <c r="F2888" s="388"/>
      <c r="G2888" s="388"/>
      <c r="H2888" s="395"/>
      <c r="I2888" s="388"/>
      <c r="J2888" s="399"/>
      <c r="K2888" s="400"/>
      <c r="L2888" s="399"/>
      <c r="M2888" s="399"/>
      <c r="N2888" s="399"/>
      <c r="O2888" s="399"/>
      <c r="P2888" s="389"/>
      <c r="Q2888" s="399"/>
      <c r="R2888" s="399"/>
      <c r="S2888" s="399"/>
      <c r="T2888" s="399"/>
      <c r="U2888" s="401"/>
      <c r="V2888" s="399"/>
      <c r="W2888" s="399"/>
      <c r="X2888" s="399"/>
      <c r="Y2888" s="389"/>
      <c r="Z2888" s="400"/>
      <c r="AA2888" s="402"/>
      <c r="AB2888" s="403"/>
    </row>
    <row r="2889" spans="1:28">
      <c r="A2889" s="384"/>
      <c r="B2889" s="385"/>
      <c r="C2889" s="393"/>
      <c r="D2889" s="398"/>
      <c r="E2889" s="388"/>
      <c r="F2889" s="388"/>
      <c r="G2889" s="388"/>
      <c r="H2889" s="395"/>
      <c r="I2889" s="388"/>
      <c r="J2889" s="396"/>
      <c r="K2889" s="396"/>
      <c r="L2889" s="396"/>
      <c r="M2889" s="396"/>
      <c r="N2889" s="396"/>
      <c r="O2889" s="396"/>
      <c r="P2889" s="389"/>
      <c r="Q2889" s="396"/>
      <c r="R2889" s="396"/>
      <c r="S2889" s="396"/>
      <c r="T2889" s="396"/>
      <c r="U2889" s="401"/>
      <c r="V2889" s="396"/>
      <c r="W2889" s="399"/>
      <c r="X2889" s="396"/>
      <c r="Y2889" s="389"/>
      <c r="Z2889" s="396"/>
      <c r="AA2889" s="388"/>
      <c r="AB2889" s="390"/>
    </row>
    <row r="2890" spans="1:28">
      <c r="A2890" s="384" t="str">
        <f t="shared" ref="A2890:B2890" si="9274">A2875</f>
        <v>Lantai 2</v>
      </c>
      <c r="B2890" s="385">
        <f t="shared" si="9274"/>
        <v>9</v>
      </c>
      <c r="C2890" s="393" t="s">
        <v>209</v>
      </c>
      <c r="D2890" s="398">
        <f>VLOOKUP(D2875,'Detail Balok'!$C$10:$AU$140,22,FALSE)</f>
        <v>3</v>
      </c>
      <c r="E2890" s="388" t="s">
        <v>16</v>
      </c>
      <c r="F2890" s="388">
        <f>VLOOKUP(D2875,'Detail Balok'!$C$10:$AU$140,24,FALSE)</f>
        <v>13</v>
      </c>
      <c r="G2890" s="388"/>
      <c r="H2890" s="395"/>
      <c r="I2890" s="388" t="s">
        <v>203</v>
      </c>
      <c r="J2890" s="399">
        <f t="shared" ref="J2890:J2952" si="9275">+J2882</f>
        <v>1.01875</v>
      </c>
      <c r="K2890" s="400" t="s">
        <v>204</v>
      </c>
      <c r="L2890" s="399">
        <f t="shared" ref="L2890" si="9276">MAX(VLOOKUP(F2890,N$6:P$15,3,FALSE)/1000,2/3*D2880/1000)+F$16*F2890/1000</f>
        <v>0.156</v>
      </c>
      <c r="M2890" s="399" t="s">
        <v>176</v>
      </c>
      <c r="N2890" s="399">
        <f t="shared" ref="N2890:N2892" si="9277">J2890+L2890</f>
        <v>1.17475</v>
      </c>
      <c r="O2890" s="399" t="s">
        <v>204</v>
      </c>
      <c r="P2890" s="389">
        <f t="shared" ref="P2890" si="9278">D2890-D2891</f>
        <v>0</v>
      </c>
      <c r="Q2890" s="399" t="s">
        <v>125</v>
      </c>
      <c r="R2890" s="399">
        <f t="shared" ref="R2890" si="9279">IF(P2890&gt;0,$F$18*F2890/1000,0)</f>
        <v>0</v>
      </c>
      <c r="S2890" s="399" t="s">
        <v>205</v>
      </c>
      <c r="T2890" s="399" t="s">
        <v>125</v>
      </c>
      <c r="U2890" s="401">
        <f t="shared" ref="U2890:U2892" si="9280">0.006165*F2890^2</f>
        <v>1.041885</v>
      </c>
      <c r="V2890" s="399"/>
      <c r="W2890" s="399"/>
      <c r="X2890" s="399" t="s">
        <v>125</v>
      </c>
      <c r="Y2890" s="389">
        <f t="shared" ref="Y2890" si="9281">D2881</f>
        <v>1</v>
      </c>
      <c r="Z2890" s="400" t="s">
        <v>176</v>
      </c>
      <c r="AA2890" s="402">
        <f t="shared" ref="AA2890" si="9282">IF(AA2893=0,(D2890*N2890+P2890*R2890)*U2890*Y2890,0)</f>
        <v>0</v>
      </c>
      <c r="AB2890" s="403"/>
    </row>
    <row r="2891" spans="1:28">
      <c r="A2891" s="384" t="str">
        <f t="shared" ref="A2891:B2891" si="9283">A2875</f>
        <v>Lantai 2</v>
      </c>
      <c r="B2891" s="385">
        <f t="shared" si="9283"/>
        <v>9</v>
      </c>
      <c r="C2891" s="393" t="s">
        <v>210</v>
      </c>
      <c r="D2891" s="398">
        <f>VLOOKUP(D2875,'Detail Balok'!$C$10:$AU$140,25,FALSE)</f>
        <v>3</v>
      </c>
      <c r="E2891" s="388" t="s">
        <v>16</v>
      </c>
      <c r="F2891" s="388">
        <f>VLOOKUP(D2875,'Detail Balok'!$C$10:$AU$140,27,FALSE)</f>
        <v>13</v>
      </c>
      <c r="G2891" s="388"/>
      <c r="H2891" s="395"/>
      <c r="I2891" s="388" t="s">
        <v>203</v>
      </c>
      <c r="J2891" s="399">
        <f t="shared" si="9275"/>
        <v>2.0375000000000001</v>
      </c>
      <c r="K2891" s="400" t="s">
        <v>204</v>
      </c>
      <c r="L2891" s="399"/>
      <c r="M2891" s="399" t="s">
        <v>176</v>
      </c>
      <c r="N2891" s="399">
        <f t="shared" si="9277"/>
        <v>2.0375000000000001</v>
      </c>
      <c r="O2891" s="399" t="s">
        <v>204</v>
      </c>
      <c r="P2891" s="389">
        <f t="shared" ref="P2891" si="9284">MAX(D2891-D2890,D2891-D2892)</f>
        <v>0</v>
      </c>
      <c r="Q2891" s="399" t="s">
        <v>125</v>
      </c>
      <c r="R2891" s="399">
        <f t="shared" ref="R2891" si="9285">IF(P2891&gt;0,2*(1-2*$F$19-1/2)*D2878/1000,0)</f>
        <v>0</v>
      </c>
      <c r="S2891" s="399" t="s">
        <v>205</v>
      </c>
      <c r="T2891" s="399" t="s">
        <v>125</v>
      </c>
      <c r="U2891" s="401">
        <f t="shared" si="9280"/>
        <v>1.041885</v>
      </c>
      <c r="V2891" s="399"/>
      <c r="W2891" s="399"/>
      <c r="X2891" s="399" t="s">
        <v>125</v>
      </c>
      <c r="Y2891" s="389">
        <f t="shared" ref="Y2891" si="9286">D2881</f>
        <v>1</v>
      </c>
      <c r="Z2891" s="400" t="s">
        <v>176</v>
      </c>
      <c r="AA2891" s="402">
        <f t="shared" ref="AA2891" si="9287">IF(AA2893=0,(D2891*N2891+P2891*R2891)*U2891*Y2891,0)</f>
        <v>0</v>
      </c>
      <c r="AB2891" s="403"/>
    </row>
    <row r="2892" spans="1:28">
      <c r="A2892" s="384" t="str">
        <f t="shared" ref="A2892:B2892" si="9288">A2875</f>
        <v>Lantai 2</v>
      </c>
      <c r="B2892" s="385">
        <f t="shared" si="9288"/>
        <v>9</v>
      </c>
      <c r="C2892" s="393" t="s">
        <v>209</v>
      </c>
      <c r="D2892" s="398">
        <f>VLOOKUP(D2875,'Detail Balok'!$C$10:$AU$140,28,FALSE)</f>
        <v>3</v>
      </c>
      <c r="E2892" s="388" t="s">
        <v>16</v>
      </c>
      <c r="F2892" s="388">
        <f>VLOOKUP(D2875,'Detail Balok'!$C$10:$AU$140,30,FALSE)</f>
        <v>13</v>
      </c>
      <c r="G2892" s="388"/>
      <c r="H2892" s="395"/>
      <c r="I2892" s="388" t="s">
        <v>203</v>
      </c>
      <c r="J2892" s="399">
        <f t="shared" si="9275"/>
        <v>1.01875</v>
      </c>
      <c r="K2892" s="400" t="s">
        <v>204</v>
      </c>
      <c r="L2892" s="399">
        <f t="shared" ref="L2892" si="9289">MAX(VLOOKUP(F2892,N$6:P$15,3,FALSE)/1000,2/3*D2880/1000)+F$16*F2892/1000</f>
        <v>0.156</v>
      </c>
      <c r="M2892" s="399" t="s">
        <v>176</v>
      </c>
      <c r="N2892" s="399">
        <f t="shared" si="9277"/>
        <v>1.17475</v>
      </c>
      <c r="O2892" s="399" t="s">
        <v>204</v>
      </c>
      <c r="P2892" s="389">
        <f t="shared" ref="P2892" si="9290">D2892-D2891</f>
        <v>0</v>
      </c>
      <c r="Q2892" s="399" t="s">
        <v>125</v>
      </c>
      <c r="R2892" s="399">
        <f t="shared" ref="R2892" si="9291">IF(P2892&gt;0,$F$18*F2892/1000,0)</f>
        <v>0</v>
      </c>
      <c r="S2892" s="399" t="s">
        <v>205</v>
      </c>
      <c r="T2892" s="399" t="s">
        <v>125</v>
      </c>
      <c r="U2892" s="401">
        <f t="shared" si="9280"/>
        <v>1.041885</v>
      </c>
      <c r="V2892" s="399"/>
      <c r="W2892" s="399"/>
      <c r="X2892" s="399" t="s">
        <v>125</v>
      </c>
      <c r="Y2892" s="389">
        <f t="shared" ref="Y2892" si="9292">D2881</f>
        <v>1</v>
      </c>
      <c r="Z2892" s="400" t="s">
        <v>176</v>
      </c>
      <c r="AA2892" s="402">
        <f t="shared" ref="AA2892" si="9293">IF(AA2893=0,(D2892*N2892+P2892*R2892)*U2892*Y2892,0)</f>
        <v>0</v>
      </c>
      <c r="AB2892" s="403"/>
    </row>
    <row r="2893" spans="1:28">
      <c r="A2893" s="384" t="str">
        <f t="shared" ref="A2893:B2893" si="9294">A2875</f>
        <v>Lantai 2</v>
      </c>
      <c r="B2893" s="385">
        <f t="shared" si="9294"/>
        <v>9</v>
      </c>
      <c r="C2893" s="393"/>
      <c r="D2893" s="398">
        <f t="shared" ref="D2893:D2953" si="9295">IF(AND(D2890=D2891,D2891=D2892,D2890=D2892),D2890,0)</f>
        <v>3</v>
      </c>
      <c r="E2893" s="388" t="s">
        <v>16</v>
      </c>
      <c r="F2893" s="388">
        <f t="shared" ref="F2893:F2953" si="9296">IF(AND(F2890=F2891,F2890=F2892,F2891=F2892),F2890,0)</f>
        <v>13</v>
      </c>
      <c r="G2893" s="388"/>
      <c r="H2893" s="395"/>
      <c r="I2893" s="388"/>
      <c r="J2893" s="396"/>
      <c r="K2893" s="396"/>
      <c r="L2893" s="404" t="s">
        <v>207</v>
      </c>
      <c r="M2893" s="399" t="s">
        <v>176</v>
      </c>
      <c r="N2893" s="399">
        <f t="shared" ref="N2893" si="9297">IF(AND(D2890=D2891,D2890=D2892,D2891=D2892,F2890=F2891,F2890=F2892,F2891=F2892),SUM(N2890:N2892),0)</f>
        <v>4.3870000000000005</v>
      </c>
      <c r="O2893" s="399" t="s">
        <v>204</v>
      </c>
      <c r="P2893" s="389">
        <f t="shared" ref="P2893" si="9298">IF(N2893&gt;12,ROUNDDOWN(N2893/12,0),0)</f>
        <v>0</v>
      </c>
      <c r="Q2893" s="399" t="s">
        <v>125</v>
      </c>
      <c r="R2893" s="399">
        <f t="shared" ref="R2893" si="9299">IF(P2893&gt;0,MAX(VLOOKUP(F2893,$D$6:$G$15,3,FALSE),600),0)/1000</f>
        <v>0</v>
      </c>
      <c r="S2893" s="396"/>
      <c r="T2893" s="396" t="s">
        <v>125</v>
      </c>
      <c r="U2893" s="401">
        <f t="shared" ref="U2893:U2953" si="9300">U2892</f>
        <v>1.041885</v>
      </c>
      <c r="V2893" s="396" t="s">
        <v>125</v>
      </c>
      <c r="W2893" s="399">
        <f t="shared" ref="W2893" si="9301">D2893</f>
        <v>3</v>
      </c>
      <c r="X2893" s="399" t="s">
        <v>125</v>
      </c>
      <c r="Y2893" s="389">
        <f t="shared" ref="Y2893:Y2953" si="9302">Y2892</f>
        <v>1</v>
      </c>
      <c r="Z2893" s="400" t="s">
        <v>176</v>
      </c>
      <c r="AA2893" s="402">
        <f t="shared" ref="AA2893" si="9303">(N2893+P2893*R2893/1000)*U2893*W2893*Y2893</f>
        <v>13.712248485</v>
      </c>
      <c r="AB2893" s="403"/>
    </row>
    <row r="2894" spans="1:28">
      <c r="A2894" s="384"/>
      <c r="B2894" s="385"/>
      <c r="C2894" s="393"/>
      <c r="D2894" s="394"/>
      <c r="E2894" s="388"/>
      <c r="F2894" s="388"/>
      <c r="G2894" s="388"/>
      <c r="H2894" s="395"/>
      <c r="I2894" s="388"/>
      <c r="J2894" s="399"/>
      <c r="K2894" s="396"/>
      <c r="L2894" s="396"/>
      <c r="M2894" s="396"/>
      <c r="N2894" s="396"/>
      <c r="O2894" s="396"/>
      <c r="P2894" s="389"/>
      <c r="Q2894" s="396"/>
      <c r="R2894" s="396"/>
      <c r="S2894" s="396"/>
      <c r="T2894" s="396"/>
      <c r="U2894" s="401"/>
      <c r="V2894" s="396"/>
      <c r="W2894" s="388"/>
      <c r="X2894" s="396"/>
      <c r="Y2894" s="389"/>
      <c r="Z2894" s="396"/>
      <c r="AA2894" s="388"/>
      <c r="AB2894" s="390"/>
    </row>
    <row r="2895" spans="1:28">
      <c r="A2895" s="384" t="str">
        <f t="shared" ref="A2895:B2895" si="9304">A2875</f>
        <v>Lantai 2</v>
      </c>
      <c r="B2895" s="385">
        <f t="shared" si="9304"/>
        <v>9</v>
      </c>
      <c r="C2895" s="393" t="s">
        <v>211</v>
      </c>
      <c r="D2895" s="398">
        <f>VLOOKUP(D2875,'Detail Balok'!$C$10:$AU$140,31,FALSE)</f>
        <v>0</v>
      </c>
      <c r="E2895" s="388" t="s">
        <v>16</v>
      </c>
      <c r="F2895" s="388">
        <f>VLOOKUP(D2875,'Detail Balok'!$C$10:$AU$140,33,FALSE)</f>
        <v>10</v>
      </c>
      <c r="G2895" s="405" t="s">
        <v>157</v>
      </c>
      <c r="H2895" s="395">
        <f>VLOOKUP(D2875,'Detail Balok'!$C$10:$AU$140,35,FALSE)</f>
        <v>100</v>
      </c>
      <c r="I2895" s="388"/>
      <c r="J2895" s="400">
        <f t="shared" ref="J2895" si="9305">(IF(D2895=0,(2*(D2876+G2876))-(F$5*8),IF(D2895=3,(2*(D2876+G2876))-(F$5*8)+(G2876-2*F$5),IF(D2895=4,(2*(D2876+G2876))-(F$5*8)+2*(G2876-2*F$5)))))/1000</f>
        <v>0.88</v>
      </c>
      <c r="K2895" s="400" t="s">
        <v>204</v>
      </c>
      <c r="L2895" s="399">
        <f t="shared" ref="L2895:L2897" si="9306">IF(D2895=0,2*MAX(6*F2895,75),(D2895-1)*2*MAX(6*F2895,75))/1000</f>
        <v>0.15</v>
      </c>
      <c r="M2895" s="399" t="s">
        <v>176</v>
      </c>
      <c r="N2895" s="399">
        <f t="shared" ref="N2895:N2897" si="9307">J2895+L2895</f>
        <v>1.03</v>
      </c>
      <c r="O2895" s="399"/>
      <c r="P2895" s="389"/>
      <c r="Q2895" s="399"/>
      <c r="R2895" s="399"/>
      <c r="S2895" s="399"/>
      <c r="T2895" s="399" t="s">
        <v>125</v>
      </c>
      <c r="U2895" s="401">
        <f t="shared" ref="U2895:U2897" si="9308">0.006165*F2895^2</f>
        <v>0.61650000000000005</v>
      </c>
      <c r="V2895" s="399" t="s">
        <v>125</v>
      </c>
      <c r="W2895" s="399">
        <f t="shared" ref="W2895" si="9309">IF(D2878&gt;4*G2876,ROUND(MAX(D2878/4,2*G2876)/H2895,0)+1,ROUND(D2878/H2895,0)+1)</f>
        <v>11</v>
      </c>
      <c r="X2895" s="399" t="s">
        <v>125</v>
      </c>
      <c r="Y2895" s="389">
        <f t="shared" ref="Y2895" si="9310">D2881</f>
        <v>1</v>
      </c>
      <c r="Z2895" s="400" t="s">
        <v>176</v>
      </c>
      <c r="AA2895" s="402">
        <f t="shared" ref="AA2895:AA2897" si="9311">N2895*U2895*W2895*Y2895</f>
        <v>6.9849450000000006</v>
      </c>
      <c r="AB2895" s="403"/>
    </row>
    <row r="2896" spans="1:28">
      <c r="A2896" s="384" t="str">
        <f t="shared" ref="A2896:B2896" si="9312">A2875</f>
        <v>Lantai 2</v>
      </c>
      <c r="B2896" s="385">
        <f t="shared" si="9312"/>
        <v>9</v>
      </c>
      <c r="C2896" s="393" t="s">
        <v>212</v>
      </c>
      <c r="D2896" s="398">
        <f>VLOOKUP(D2875,'Detail Balok'!$C$10:$AU$140,36,FALSE)</f>
        <v>0</v>
      </c>
      <c r="E2896" s="388" t="s">
        <v>16</v>
      </c>
      <c r="F2896" s="388">
        <f>VLOOKUP(D2875,'Detail Balok'!$C$10:$AU$140,38,FALSE)</f>
        <v>10</v>
      </c>
      <c r="G2896" s="405" t="s">
        <v>157</v>
      </c>
      <c r="H2896" s="395">
        <f>VLOOKUP(D2875,'Detail Balok'!$C$10:$AU$140,40,FALSE)</f>
        <v>200</v>
      </c>
      <c r="I2896" s="388"/>
      <c r="J2896" s="400">
        <f t="shared" ref="J2896" si="9313">(IF(D2896=0,(2*(D2876+G2876))-(F$5*8),IF(D2896=3,(2*(D2876+G2876))-(F$5*8)+(G2876-2*F$5),IF(D2896=4,(2*(D2876+G2876))-(F$5*8)+2*(G2876-2*F$5)))))/1000</f>
        <v>0.88</v>
      </c>
      <c r="K2896" s="400" t="s">
        <v>204</v>
      </c>
      <c r="L2896" s="399">
        <f t="shared" si="9306"/>
        <v>0.15</v>
      </c>
      <c r="M2896" s="399" t="s">
        <v>176</v>
      </c>
      <c r="N2896" s="399">
        <f t="shared" si="9307"/>
        <v>1.03</v>
      </c>
      <c r="O2896" s="399"/>
      <c r="P2896" s="389"/>
      <c r="Q2896" s="399"/>
      <c r="R2896" s="399"/>
      <c r="S2896" s="399"/>
      <c r="T2896" s="399" t="s">
        <v>125</v>
      </c>
      <c r="U2896" s="401">
        <f t="shared" si="9308"/>
        <v>0.61650000000000005</v>
      </c>
      <c r="V2896" s="399" t="s">
        <v>125</v>
      </c>
      <c r="W2896" s="399">
        <f t="shared" ref="W2896" si="9314">IF(D2878-MAX(D2878/4,2*G2876)*2&gt;0,ROUND((D2878-MAX(D2878/4,2*G2876)*2)/H2896,0),0)</f>
        <v>10</v>
      </c>
      <c r="X2896" s="399" t="s">
        <v>125</v>
      </c>
      <c r="Y2896" s="389">
        <f t="shared" ref="Y2896" si="9315">D2881</f>
        <v>1</v>
      </c>
      <c r="Z2896" s="400" t="s">
        <v>176</v>
      </c>
      <c r="AA2896" s="402">
        <f t="shared" si="9311"/>
        <v>6.3499500000000006</v>
      </c>
      <c r="AB2896" s="403"/>
    </row>
    <row r="2897" spans="1:28">
      <c r="A2897" s="384" t="str">
        <f t="shared" ref="A2897:B2897" si="9316">A2875</f>
        <v>Lantai 2</v>
      </c>
      <c r="B2897" s="385">
        <f t="shared" si="9316"/>
        <v>9</v>
      </c>
      <c r="C2897" s="393" t="s">
        <v>211</v>
      </c>
      <c r="D2897" s="398">
        <f>VLOOKUP(D2875,'Detail Balok'!$C$10:$AU$140,41,FALSE)</f>
        <v>0</v>
      </c>
      <c r="E2897" s="388" t="s">
        <v>16</v>
      </c>
      <c r="F2897" s="388">
        <f>VLOOKUP(D2875,'Detail Balok'!$C$10:$AU$140,43,FALSE)</f>
        <v>10</v>
      </c>
      <c r="G2897" s="405" t="s">
        <v>157</v>
      </c>
      <c r="H2897" s="395">
        <f>VLOOKUP(D2875,'Detail Balok'!$C$10:$AU$140,45,FALSE)</f>
        <v>100</v>
      </c>
      <c r="I2897" s="388"/>
      <c r="J2897" s="400">
        <f t="shared" ref="J2897" si="9317">(IF(D2897=0,(2*(D2876+G2876))-(F$5*8),IF(D2897=3,(2*(D2876+G2876))-(F$5*8)+(G2876-2*F$5),IF(D2897=4,(2*(D2876+G2876))-(F$5*8)+2*(G2876-2*F$5)))))/1000</f>
        <v>0.88</v>
      </c>
      <c r="K2897" s="400" t="s">
        <v>204</v>
      </c>
      <c r="L2897" s="399">
        <f t="shared" si="9306"/>
        <v>0.15</v>
      </c>
      <c r="M2897" s="399" t="s">
        <v>176</v>
      </c>
      <c r="N2897" s="399">
        <f t="shared" si="9307"/>
        <v>1.03</v>
      </c>
      <c r="O2897" s="399"/>
      <c r="P2897" s="389"/>
      <c r="Q2897" s="399"/>
      <c r="R2897" s="399"/>
      <c r="S2897" s="399"/>
      <c r="T2897" s="399" t="s">
        <v>125</v>
      </c>
      <c r="U2897" s="401">
        <f t="shared" si="9308"/>
        <v>0.61650000000000005</v>
      </c>
      <c r="V2897" s="399" t="s">
        <v>125</v>
      </c>
      <c r="W2897" s="399">
        <f t="shared" ref="W2897" si="9318">IF(D2878&gt;4*G2876,ROUND(MAX(D2878/4,2*G2876)/H2897,0)+1,0)</f>
        <v>11</v>
      </c>
      <c r="X2897" s="399" t="s">
        <v>125</v>
      </c>
      <c r="Y2897" s="389">
        <f t="shared" ref="Y2897" si="9319">D2881</f>
        <v>1</v>
      </c>
      <c r="Z2897" s="400" t="s">
        <v>176</v>
      </c>
      <c r="AA2897" s="402">
        <f t="shared" si="9311"/>
        <v>6.9849450000000006</v>
      </c>
      <c r="AB2897" s="403"/>
    </row>
    <row r="2898" spans="1:28">
      <c r="A2898" s="384"/>
      <c r="B2898" s="385"/>
      <c r="C2898" s="393"/>
      <c r="D2898" s="394"/>
      <c r="E2898" s="388"/>
      <c r="F2898" s="388"/>
      <c r="G2898" s="388"/>
      <c r="H2898" s="395"/>
      <c r="I2898" s="388"/>
      <c r="J2898" s="399"/>
      <c r="K2898" s="396"/>
      <c r="L2898" s="396"/>
      <c r="M2898" s="396"/>
      <c r="N2898" s="396"/>
      <c r="O2898" s="396"/>
      <c r="P2898" s="389"/>
      <c r="Q2898" s="396"/>
      <c r="R2898" s="396"/>
      <c r="S2898" s="396"/>
      <c r="T2898" s="396"/>
      <c r="U2898" s="401"/>
      <c r="V2898" s="396"/>
      <c r="W2898" s="388"/>
      <c r="X2898" s="396"/>
      <c r="Y2898" s="389"/>
      <c r="Z2898" s="396"/>
      <c r="AA2898" s="388"/>
      <c r="AB2898" s="390"/>
    </row>
    <row r="2899" spans="1:28">
      <c r="A2899" s="384" t="str">
        <f t="shared" ref="A2899:B2899" si="9320">A2875</f>
        <v>Lantai 2</v>
      </c>
      <c r="B2899" s="385">
        <f t="shared" si="9320"/>
        <v>9</v>
      </c>
      <c r="C2899" s="393" t="s">
        <v>213</v>
      </c>
      <c r="D2899" s="398">
        <f>VLOOKUP(D2875,'Detail Balok'!$C$10:$BJ$140,46,FALSE)</f>
        <v>0</v>
      </c>
      <c r="E2899" s="388" t="s">
        <v>16</v>
      </c>
      <c r="F2899" s="388">
        <f>VLOOKUP(D2875,'Detail Balok'!$C$10:$BJ$140,48,FALSE)</f>
        <v>0</v>
      </c>
      <c r="G2899" s="405" t="s">
        <v>157</v>
      </c>
      <c r="H2899" s="395">
        <f>VLOOKUP(D2875,'Detail Balok'!$C$10:$BJ$140,50,FALSE)</f>
        <v>100</v>
      </c>
      <c r="I2899" s="388"/>
      <c r="J2899" s="399">
        <f t="shared" ref="J2899" si="9321">(D2876-2*F$5)/1000</f>
        <v>0.12</v>
      </c>
      <c r="K2899" s="400" t="s">
        <v>204</v>
      </c>
      <c r="L2899" s="399">
        <f t="shared" ref="L2899:L2901" si="9322">IF(D2899=0,2*MAX(6*F2899,75),(D2899-1)*2*MAX(6*F2899,75))/1000</f>
        <v>0.15</v>
      </c>
      <c r="M2899" s="399" t="s">
        <v>176</v>
      </c>
      <c r="N2899" s="399">
        <f t="shared" ref="N2899:N2901" si="9323">J2899+L2899</f>
        <v>0.27</v>
      </c>
      <c r="O2899" s="399"/>
      <c r="P2899" s="399"/>
      <c r="Q2899" s="399"/>
      <c r="R2899" s="399"/>
      <c r="S2899" s="399"/>
      <c r="T2899" s="399" t="s">
        <v>125</v>
      </c>
      <c r="U2899" s="401">
        <f t="shared" ref="U2899:U2901" si="9324">0.006165*F2899^2</f>
        <v>0</v>
      </c>
      <c r="V2899" s="399" t="s">
        <v>125</v>
      </c>
      <c r="W2899" s="399">
        <f t="shared" ref="W2899:W2961" si="9325">W2895</f>
        <v>11</v>
      </c>
      <c r="X2899" s="399" t="s">
        <v>125</v>
      </c>
      <c r="Y2899" s="389">
        <f t="shared" ref="Y2899" si="9326">D2885</f>
        <v>3</v>
      </c>
      <c r="Z2899" s="400" t="s">
        <v>176</v>
      </c>
      <c r="AA2899" s="402">
        <f t="shared" ref="AA2899:AA2901" si="9327">N2899*U2899*W2899*Y2899</f>
        <v>0</v>
      </c>
      <c r="AB2899" s="403"/>
    </row>
    <row r="2900" spans="1:28">
      <c r="A2900" s="384" t="str">
        <f t="shared" ref="A2900:B2900" si="9328">A2875</f>
        <v>Lantai 2</v>
      </c>
      <c r="B2900" s="385">
        <f t="shared" si="9328"/>
        <v>9</v>
      </c>
      <c r="C2900" s="393" t="s">
        <v>214</v>
      </c>
      <c r="D2900" s="398">
        <f>VLOOKUP(D2875,'Detail Balok'!$C$10:$BJ$140,51,FALSE)</f>
        <v>0</v>
      </c>
      <c r="E2900" s="388" t="s">
        <v>16</v>
      </c>
      <c r="F2900" s="388">
        <f>VLOOKUP(D2875,'Detail Balok'!$C$10:$BJ$140,53,FALSE)</f>
        <v>0</v>
      </c>
      <c r="G2900" s="405" t="s">
        <v>157</v>
      </c>
      <c r="H2900" s="395">
        <f>VLOOKUP(D2875,'Detail Balok'!$C$10:$BJ$140,55,FALSE)</f>
        <v>100</v>
      </c>
      <c r="I2900" s="388"/>
      <c r="J2900" s="399">
        <f t="shared" ref="J2900" si="9329">(D2876-2*F$5)/1000</f>
        <v>0.12</v>
      </c>
      <c r="K2900" s="400" t="s">
        <v>204</v>
      </c>
      <c r="L2900" s="399">
        <f t="shared" si="9322"/>
        <v>0.15</v>
      </c>
      <c r="M2900" s="399" t="s">
        <v>176</v>
      </c>
      <c r="N2900" s="399">
        <f t="shared" si="9323"/>
        <v>0.27</v>
      </c>
      <c r="O2900" s="399"/>
      <c r="P2900" s="399"/>
      <c r="Q2900" s="399"/>
      <c r="R2900" s="399"/>
      <c r="S2900" s="399"/>
      <c r="T2900" s="399" t="s">
        <v>125</v>
      </c>
      <c r="U2900" s="401">
        <f t="shared" si="9324"/>
        <v>0</v>
      </c>
      <c r="V2900" s="399" t="s">
        <v>125</v>
      </c>
      <c r="W2900" s="399">
        <f t="shared" si="9325"/>
        <v>10</v>
      </c>
      <c r="X2900" s="399" t="s">
        <v>125</v>
      </c>
      <c r="Y2900" s="389">
        <f t="shared" ref="Y2900" si="9330">D2885</f>
        <v>3</v>
      </c>
      <c r="Z2900" s="400" t="s">
        <v>176</v>
      </c>
      <c r="AA2900" s="402">
        <f t="shared" si="9327"/>
        <v>0</v>
      </c>
      <c r="AB2900" s="403"/>
    </row>
    <row r="2901" spans="1:28">
      <c r="A2901" s="384" t="str">
        <f t="shared" ref="A2901:B2901" si="9331">A2875</f>
        <v>Lantai 2</v>
      </c>
      <c r="B2901" s="385">
        <f t="shared" si="9331"/>
        <v>9</v>
      </c>
      <c r="C2901" s="393" t="s">
        <v>213</v>
      </c>
      <c r="D2901" s="398">
        <f>VLOOKUP(D2875,'Detail Balok'!$C$10:$BJ$140,56,FALSE)</f>
        <v>0</v>
      </c>
      <c r="E2901" s="388" t="s">
        <v>16</v>
      </c>
      <c r="F2901" s="388">
        <f>VLOOKUP(D2875,'Detail Balok'!$C$10:$BJ$140,58,FALSE)</f>
        <v>0</v>
      </c>
      <c r="G2901" s="405" t="s">
        <v>157</v>
      </c>
      <c r="H2901" s="395">
        <f>VLOOKUP(D2875,'Detail Balok'!$C$10:$BJ$140,60,FALSE)</f>
        <v>100</v>
      </c>
      <c r="I2901" s="388"/>
      <c r="J2901" s="399">
        <f t="shared" ref="J2901" si="9332">(D2876-2*F$5)/1000</f>
        <v>0.12</v>
      </c>
      <c r="K2901" s="400" t="s">
        <v>204</v>
      </c>
      <c r="L2901" s="399">
        <f t="shared" si="9322"/>
        <v>0.15</v>
      </c>
      <c r="M2901" s="399" t="s">
        <v>176</v>
      </c>
      <c r="N2901" s="399">
        <f t="shared" si="9323"/>
        <v>0.27</v>
      </c>
      <c r="O2901" s="399"/>
      <c r="P2901" s="399"/>
      <c r="Q2901" s="399"/>
      <c r="R2901" s="399"/>
      <c r="S2901" s="399"/>
      <c r="T2901" s="399" t="s">
        <v>125</v>
      </c>
      <c r="U2901" s="401">
        <f t="shared" si="9324"/>
        <v>0</v>
      </c>
      <c r="V2901" s="399" t="s">
        <v>125</v>
      </c>
      <c r="W2901" s="399">
        <f t="shared" si="9325"/>
        <v>11</v>
      </c>
      <c r="X2901" s="399" t="s">
        <v>125</v>
      </c>
      <c r="Y2901" s="389">
        <f t="shared" ref="Y2901" si="9333">D2885</f>
        <v>3</v>
      </c>
      <c r="Z2901" s="400" t="s">
        <v>176</v>
      </c>
      <c r="AA2901" s="402">
        <f t="shared" si="9327"/>
        <v>0</v>
      </c>
      <c r="AB2901" s="403"/>
    </row>
    <row r="2902" spans="1:28">
      <c r="A2902" s="391"/>
      <c r="B2902" s="392"/>
      <c r="C2902" s="392"/>
      <c r="D2902" s="394"/>
      <c r="E2902" s="388"/>
      <c r="F2902" s="388"/>
      <c r="G2902" s="388"/>
      <c r="H2902" s="395"/>
      <c r="I2902" s="388"/>
      <c r="J2902" s="402"/>
      <c r="K2902" s="388"/>
      <c r="L2902" s="388"/>
      <c r="M2902" s="388"/>
      <c r="N2902" s="388"/>
      <c r="O2902" s="388"/>
      <c r="P2902" s="388"/>
      <c r="Q2902" s="388"/>
      <c r="R2902" s="388"/>
      <c r="S2902" s="388"/>
      <c r="T2902" s="388"/>
      <c r="U2902" s="388"/>
      <c r="V2902" s="388"/>
      <c r="W2902" s="388"/>
      <c r="X2902" s="388"/>
      <c r="Y2902" s="389"/>
      <c r="Z2902" s="388"/>
      <c r="AA2902" s="402"/>
      <c r="AB2902" s="403"/>
    </row>
    <row r="2903" spans="1:28" ht="15.75" thickBot="1">
      <c r="A2903" s="406"/>
      <c r="B2903" s="407"/>
      <c r="C2903" s="407"/>
      <c r="D2903" s="408"/>
      <c r="E2903" s="409"/>
      <c r="F2903" s="409"/>
      <c r="G2903" s="409"/>
      <c r="H2903" s="410"/>
      <c r="I2903" s="409"/>
      <c r="J2903" s="409"/>
      <c r="K2903" s="409"/>
      <c r="L2903" s="409"/>
      <c r="M2903" s="409"/>
      <c r="N2903" s="409"/>
      <c r="O2903" s="409"/>
      <c r="P2903" s="409"/>
      <c r="Q2903" s="409"/>
      <c r="R2903" s="409"/>
      <c r="S2903" s="409"/>
      <c r="T2903" s="409"/>
      <c r="U2903" s="409"/>
      <c r="V2903" s="409"/>
      <c r="W2903" s="409"/>
      <c r="X2903" s="409"/>
      <c r="Y2903" s="411"/>
      <c r="Z2903" s="409"/>
      <c r="AA2903" s="412"/>
      <c r="AB2903" s="413"/>
    </row>
    <row r="2904" spans="1:28">
      <c r="A2904" s="377"/>
      <c r="B2904" s="378"/>
      <c r="C2904" s="378"/>
      <c r="D2904" s="379"/>
      <c r="E2904" s="380"/>
      <c r="F2904" s="380"/>
      <c r="G2904" s="380"/>
      <c r="H2904" s="381"/>
      <c r="I2904" s="380"/>
      <c r="J2904" s="380"/>
      <c r="K2904" s="380"/>
      <c r="L2904" s="380"/>
      <c r="M2904" s="380"/>
      <c r="N2904" s="380"/>
      <c r="O2904" s="380"/>
      <c r="P2904" s="380"/>
      <c r="Q2904" s="380"/>
      <c r="R2904" s="380"/>
      <c r="S2904" s="380"/>
      <c r="T2904" s="380"/>
      <c r="U2904" s="380"/>
      <c r="V2904" s="380"/>
      <c r="W2904" s="380"/>
      <c r="X2904" s="380"/>
      <c r="Y2904" s="382"/>
      <c r="Z2904" s="380"/>
      <c r="AA2904" s="380"/>
      <c r="AB2904" s="383"/>
    </row>
    <row r="2905" spans="1:28">
      <c r="A2905" s="384" t="str">
        <f t="shared" ref="A2905:A2965" si="9334">A2875</f>
        <v>Lantai 2</v>
      </c>
      <c r="B2905" s="385">
        <f t="shared" ref="B2905:B2965" si="9335">B2875+1</f>
        <v>10</v>
      </c>
      <c r="C2905" s="386" t="str">
        <f t="shared" ref="C2905" si="9336">CONCATENATE(A2905," no. ",B2905)</f>
        <v>Lantai 2 no. 10</v>
      </c>
      <c r="D2905" s="2562" t="str">
        <f>VLOOKUP(C2905,'Data Panjang Balok'!$C$9:$N$254,2,FALSE)</f>
        <v>B26-1</v>
      </c>
      <c r="E2905" s="2576"/>
      <c r="F2905" s="2576"/>
      <c r="G2905" s="2576"/>
      <c r="H2905" s="2577"/>
      <c r="I2905" s="387"/>
      <c r="J2905" s="388"/>
      <c r="K2905" s="388"/>
      <c r="L2905" s="388"/>
      <c r="M2905" s="388"/>
      <c r="N2905" s="388"/>
      <c r="O2905" s="388"/>
      <c r="P2905" s="388"/>
      <c r="Q2905" s="388"/>
      <c r="R2905" s="388"/>
      <c r="S2905" s="388"/>
      <c r="T2905" s="388"/>
      <c r="U2905" s="388"/>
      <c r="V2905" s="388"/>
      <c r="W2905" s="388"/>
      <c r="X2905" s="388"/>
      <c r="Y2905" s="389"/>
      <c r="Z2905" s="388"/>
      <c r="AA2905" s="388"/>
      <c r="AB2905" s="390"/>
    </row>
    <row r="2906" spans="1:28">
      <c r="A2906" s="391"/>
      <c r="B2906" s="392"/>
      <c r="C2906" s="393" t="s">
        <v>118</v>
      </c>
      <c r="D2906" s="2578">
        <f>VLOOKUP(D2905,'Detail Balok'!$C$10:$AU$140,2,FALSE)</f>
        <v>200</v>
      </c>
      <c r="E2906" s="2579"/>
      <c r="F2906" s="388" t="s">
        <v>125</v>
      </c>
      <c r="G2906" s="2579">
        <f>VLOOKUP(D2905,'Detail Balok'!$C$10:$AU$140,3,FALSE)</f>
        <v>600</v>
      </c>
      <c r="H2906" s="2580"/>
      <c r="I2906" s="388"/>
      <c r="J2906" s="396"/>
      <c r="K2906" s="396"/>
      <c r="L2906" s="396"/>
      <c r="M2906" s="396"/>
      <c r="N2906" s="396"/>
      <c r="O2906" s="396"/>
      <c r="P2906" s="396"/>
      <c r="Q2906" s="396"/>
      <c r="R2906" s="396"/>
      <c r="S2906" s="396"/>
      <c r="T2906" s="396"/>
      <c r="U2906" s="388"/>
      <c r="V2906" s="396"/>
      <c r="W2906" s="388"/>
      <c r="X2906" s="396"/>
      <c r="Y2906" s="389"/>
      <c r="Z2906" s="396"/>
      <c r="AA2906" s="388"/>
      <c r="AB2906" s="390"/>
    </row>
    <row r="2907" spans="1:28">
      <c r="A2907" s="391"/>
      <c r="B2907" s="392"/>
      <c r="C2907" s="393" t="s">
        <v>198</v>
      </c>
      <c r="D2907" s="2562">
        <f>VLOOKUP(C2905,'Data Panjang Balok'!$C$9:$N$254,4,FALSE)</f>
        <v>4000</v>
      </c>
      <c r="E2907" s="2563"/>
      <c r="F2907" s="2563"/>
      <c r="G2907" s="2563"/>
      <c r="H2907" s="2564"/>
      <c r="I2907" s="397"/>
      <c r="J2907" s="396"/>
      <c r="K2907" s="396"/>
      <c r="L2907" s="396"/>
      <c r="M2907" s="396"/>
      <c r="N2907" s="396"/>
      <c r="O2907" s="396"/>
      <c r="P2907" s="396"/>
      <c r="Q2907" s="396"/>
      <c r="R2907" s="396"/>
      <c r="S2907" s="396"/>
      <c r="T2907" s="396"/>
      <c r="U2907" s="388"/>
      <c r="V2907" s="396"/>
      <c r="W2907" s="388"/>
      <c r="X2907" s="396"/>
      <c r="Y2907" s="389"/>
      <c r="Z2907" s="396"/>
      <c r="AA2907" s="388"/>
      <c r="AB2907" s="390"/>
    </row>
    <row r="2908" spans="1:28">
      <c r="A2908" s="391"/>
      <c r="B2908" s="392"/>
      <c r="C2908" s="393" t="s">
        <v>199</v>
      </c>
      <c r="D2908" s="2562">
        <f>VLOOKUP(C2905,'Data Panjang Balok'!$C$9:$N$254,7,FALSE)</f>
        <v>4000</v>
      </c>
      <c r="E2908" s="2563"/>
      <c r="F2908" s="2563"/>
      <c r="G2908" s="2563"/>
      <c r="H2908" s="2564"/>
      <c r="I2908" s="397"/>
      <c r="J2908" s="396"/>
      <c r="K2908" s="396"/>
      <c r="L2908" s="396"/>
      <c r="M2908" s="396"/>
      <c r="N2908" s="396"/>
      <c r="O2908" s="396"/>
      <c r="P2908" s="396"/>
      <c r="Q2908" s="396"/>
      <c r="R2908" s="396"/>
      <c r="S2908" s="396"/>
      <c r="T2908" s="396"/>
      <c r="U2908" s="388"/>
      <c r="V2908" s="396"/>
      <c r="W2908" s="388"/>
      <c r="X2908" s="396"/>
      <c r="Y2908" s="389"/>
      <c r="Z2908" s="396"/>
      <c r="AA2908" s="388"/>
      <c r="AB2908" s="390"/>
    </row>
    <row r="2909" spans="1:28">
      <c r="A2909" s="391"/>
      <c r="B2909" s="392"/>
      <c r="C2909" s="393" t="s">
        <v>200</v>
      </c>
      <c r="D2909" s="2562">
        <f>VLOOKUP(C2905,'Data Panjang Balok'!$C$9:$N$254,9,FALSE)</f>
        <v>0</v>
      </c>
      <c r="E2909" s="2563"/>
      <c r="F2909" s="2563"/>
      <c r="G2909" s="2563"/>
      <c r="H2909" s="2564"/>
      <c r="I2909" s="397"/>
      <c r="J2909" s="396"/>
      <c r="K2909" s="396"/>
      <c r="L2909" s="396"/>
      <c r="M2909" s="396"/>
      <c r="N2909" s="396"/>
      <c r="O2909" s="396"/>
      <c r="P2909" s="396"/>
      <c r="Q2909" s="396"/>
      <c r="R2909" s="396"/>
      <c r="S2909" s="396"/>
      <c r="T2909" s="396"/>
      <c r="U2909" s="388"/>
      <c r="V2909" s="396"/>
      <c r="W2909" s="388"/>
      <c r="X2909" s="396"/>
      <c r="Y2909" s="389"/>
      <c r="Z2909" s="396"/>
      <c r="AA2909" s="388"/>
      <c r="AB2909" s="390"/>
    </row>
    <row r="2910" spans="1:28">
      <c r="A2910" s="391"/>
      <c r="B2910" s="392"/>
      <c r="C2910" s="393" t="s">
        <v>201</v>
      </c>
      <c r="D2910" s="2562">
        <f>VLOOKUP(C2905,'Data Panjang Balok'!$C$9:$N$254,10,FALSE)</f>
        <v>0</v>
      </c>
      <c r="E2910" s="2563"/>
      <c r="F2910" s="2563"/>
      <c r="G2910" s="2563"/>
      <c r="H2910" s="2564"/>
      <c r="I2910" s="397"/>
      <c r="J2910" s="396"/>
      <c r="K2910" s="396"/>
      <c r="L2910" s="396"/>
      <c r="M2910" s="396"/>
      <c r="N2910" s="396"/>
      <c r="O2910" s="396"/>
      <c r="P2910" s="396"/>
      <c r="Q2910" s="396"/>
      <c r="R2910" s="396"/>
      <c r="S2910" s="396"/>
      <c r="T2910" s="396"/>
      <c r="U2910" s="388"/>
      <c r="V2910" s="396"/>
      <c r="W2910" s="388"/>
      <c r="X2910" s="396"/>
      <c r="Y2910" s="389"/>
      <c r="Z2910" s="396"/>
      <c r="AA2910" s="388"/>
      <c r="AB2910" s="390"/>
    </row>
    <row r="2911" spans="1:28">
      <c r="A2911" s="391"/>
      <c r="B2911" s="392"/>
      <c r="C2911" s="393" t="s">
        <v>48</v>
      </c>
      <c r="D2911" s="2562">
        <f>VLOOKUP(C2905,'Data Panjang Balok'!$C$9:$N$254,3,FALSE)</f>
        <v>1</v>
      </c>
      <c r="E2911" s="2563"/>
      <c r="F2911" s="2563"/>
      <c r="G2911" s="2563"/>
      <c r="H2911" s="2564"/>
      <c r="I2911" s="397"/>
      <c r="J2911" s="396"/>
      <c r="K2911" s="396"/>
      <c r="L2911" s="396"/>
      <c r="M2911" s="396"/>
      <c r="N2911" s="396"/>
      <c r="O2911" s="396"/>
      <c r="P2911" s="396"/>
      <c r="Q2911" s="396"/>
      <c r="R2911" s="396"/>
      <c r="S2911" s="396"/>
      <c r="T2911" s="396"/>
      <c r="U2911" s="388"/>
      <c r="V2911" s="396"/>
      <c r="W2911" s="388"/>
      <c r="X2911" s="396"/>
      <c r="Y2911" s="389"/>
      <c r="Z2911" s="396"/>
      <c r="AA2911" s="388"/>
      <c r="AB2911" s="390"/>
    </row>
    <row r="2912" spans="1:28">
      <c r="A2912" s="384" t="str">
        <f t="shared" ref="A2912:B2912" si="9337">A2905</f>
        <v>Lantai 2</v>
      </c>
      <c r="B2912" s="385">
        <f t="shared" si="9337"/>
        <v>10</v>
      </c>
      <c r="C2912" s="393" t="s">
        <v>202</v>
      </c>
      <c r="D2912" s="398">
        <f>VLOOKUP(D2905,'Detail Balok'!$C$10:$AU$140,4,FALSE)</f>
        <v>4</v>
      </c>
      <c r="E2912" s="388" t="s">
        <v>16</v>
      </c>
      <c r="F2912" s="388">
        <f>VLOOKUP(D2905,'Detail Balok'!$C$10:$AU$140,6,FALSE)</f>
        <v>16</v>
      </c>
      <c r="G2912" s="388"/>
      <c r="H2912" s="395"/>
      <c r="I2912" s="388" t="s">
        <v>203</v>
      </c>
      <c r="J2912" s="399">
        <f t="shared" ref="J2912" si="9338">+D2907/4/1000</f>
        <v>1</v>
      </c>
      <c r="K2912" s="400" t="s">
        <v>204</v>
      </c>
      <c r="L2912" s="399">
        <f t="shared" ref="L2912" si="9339">MAX(VLOOKUP(F2912,N$6:P$15,3,FALSE)/1000,2/3*D2909/1000)+F$16*F2912/1000</f>
        <v>0.192</v>
      </c>
      <c r="M2912" s="399" t="s">
        <v>176</v>
      </c>
      <c r="N2912" s="399">
        <f t="shared" ref="N2912:N2914" si="9340">J2912+L2912</f>
        <v>1.1919999999999999</v>
      </c>
      <c r="O2912" s="399" t="s">
        <v>204</v>
      </c>
      <c r="P2912" s="389">
        <f t="shared" ref="P2912" si="9341">D2912-D2913</f>
        <v>1</v>
      </c>
      <c r="Q2912" s="399" t="s">
        <v>125</v>
      </c>
      <c r="R2912" s="399">
        <f t="shared" ref="R2912" si="9342">IF(P2912&gt;0,$F$18*F2912/1000,0)</f>
        <v>0.24</v>
      </c>
      <c r="S2912" s="399" t="s">
        <v>205</v>
      </c>
      <c r="T2912" s="399" t="s">
        <v>125</v>
      </c>
      <c r="U2912" s="401">
        <f t="shared" ref="U2912:U2914" si="9343">0.006165*F2912^2</f>
        <v>1.5782400000000001</v>
      </c>
      <c r="V2912" s="399"/>
      <c r="W2912" s="399"/>
      <c r="X2912" s="399" t="s">
        <v>125</v>
      </c>
      <c r="Y2912" s="389">
        <f t="shared" ref="Y2912" si="9344">D2911</f>
        <v>1</v>
      </c>
      <c r="Z2912" s="400" t="s">
        <v>176</v>
      </c>
      <c r="AA2912" s="402">
        <f t="shared" ref="AA2912" si="9345">IF(AA2915=0,(D2912*N2912+P2912*R2912)*U2912*Y2912,0)</f>
        <v>7.9038259200000001</v>
      </c>
      <c r="AB2912" s="403"/>
    </row>
    <row r="2913" spans="1:28">
      <c r="A2913" s="384" t="str">
        <f t="shared" ref="A2913:B2913" si="9346">A2905</f>
        <v>Lantai 2</v>
      </c>
      <c r="B2913" s="385">
        <f t="shared" si="9346"/>
        <v>10</v>
      </c>
      <c r="C2913" s="393" t="s">
        <v>206</v>
      </c>
      <c r="D2913" s="398">
        <f>VLOOKUP(D2905,'Detail Balok'!$C$10:$AU$140,7,FALSE)</f>
        <v>3</v>
      </c>
      <c r="E2913" s="388" t="s">
        <v>16</v>
      </c>
      <c r="F2913" s="388">
        <f>VLOOKUP(D2905,'Detail Balok'!$C$10:$AU$140,9,FALSE)</f>
        <v>16</v>
      </c>
      <c r="G2913" s="388"/>
      <c r="H2913" s="395"/>
      <c r="I2913" s="388" t="s">
        <v>203</v>
      </c>
      <c r="J2913" s="399">
        <f t="shared" ref="J2913" si="9347">+D2907/2/1000</f>
        <v>2</v>
      </c>
      <c r="K2913" s="400" t="s">
        <v>204</v>
      </c>
      <c r="L2913" s="399"/>
      <c r="M2913" s="399" t="s">
        <v>176</v>
      </c>
      <c r="N2913" s="399">
        <f t="shared" si="9340"/>
        <v>2</v>
      </c>
      <c r="O2913" s="399" t="s">
        <v>204</v>
      </c>
      <c r="P2913" s="389">
        <f t="shared" ref="P2913" si="9348">MAX(D2913-D2912,D2913-D2914)</f>
        <v>-1</v>
      </c>
      <c r="Q2913" s="399" t="s">
        <v>125</v>
      </c>
      <c r="R2913" s="399">
        <f t="shared" ref="R2913" si="9349">IF(P2913&gt;0,2*(1-2*$F$19-1/2)*D2908/1000,0)</f>
        <v>0</v>
      </c>
      <c r="S2913" s="399" t="s">
        <v>205</v>
      </c>
      <c r="T2913" s="399" t="s">
        <v>125</v>
      </c>
      <c r="U2913" s="401">
        <f t="shared" si="9343"/>
        <v>1.5782400000000001</v>
      </c>
      <c r="V2913" s="399"/>
      <c r="W2913" s="399"/>
      <c r="X2913" s="399" t="s">
        <v>125</v>
      </c>
      <c r="Y2913" s="389">
        <f t="shared" ref="Y2913" si="9350">D2911</f>
        <v>1</v>
      </c>
      <c r="Z2913" s="400" t="s">
        <v>176</v>
      </c>
      <c r="AA2913" s="402">
        <f t="shared" ref="AA2913" si="9351">IF(AA2915=0,(D2913*N2913+P2913*R2913)*U2913*Y2913,0)</f>
        <v>9.4694400000000005</v>
      </c>
      <c r="AB2913" s="403"/>
    </row>
    <row r="2914" spans="1:28">
      <c r="A2914" s="384" t="str">
        <f t="shared" ref="A2914:B2914" si="9352">A2905</f>
        <v>Lantai 2</v>
      </c>
      <c r="B2914" s="385">
        <f t="shared" si="9352"/>
        <v>10</v>
      </c>
      <c r="C2914" s="393" t="s">
        <v>202</v>
      </c>
      <c r="D2914" s="398">
        <f>VLOOKUP(D2905,'Detail Balok'!$C$10:$AU$140,10,FALSE)</f>
        <v>4</v>
      </c>
      <c r="E2914" s="388" t="s">
        <v>16</v>
      </c>
      <c r="F2914" s="388">
        <f>VLOOKUP(D2905,'Detail Balok'!$C$10:$AU$140,12,FALSE)</f>
        <v>16</v>
      </c>
      <c r="G2914" s="388"/>
      <c r="H2914" s="395"/>
      <c r="I2914" s="388" t="s">
        <v>203</v>
      </c>
      <c r="J2914" s="399">
        <f t="shared" ref="J2914" si="9353">+D2907/4/1000</f>
        <v>1</v>
      </c>
      <c r="K2914" s="400" t="s">
        <v>204</v>
      </c>
      <c r="L2914" s="399">
        <f t="shared" ref="L2914" si="9354">MAX(VLOOKUP(F2914,N$6:P$15,3,FALSE)/1000,2/3*D2909/1000)+F$16*F2914/1000</f>
        <v>0.192</v>
      </c>
      <c r="M2914" s="399" t="s">
        <v>176</v>
      </c>
      <c r="N2914" s="399">
        <f t="shared" si="9340"/>
        <v>1.1919999999999999</v>
      </c>
      <c r="O2914" s="399" t="s">
        <v>204</v>
      </c>
      <c r="P2914" s="389">
        <f t="shared" ref="P2914" si="9355">D2914-D2913</f>
        <v>1</v>
      </c>
      <c r="Q2914" s="399" t="s">
        <v>125</v>
      </c>
      <c r="R2914" s="399">
        <f t="shared" ref="R2914" si="9356">IF(P2914&gt;0,$F$18*F2914/1000,0)</f>
        <v>0.24</v>
      </c>
      <c r="S2914" s="399" t="s">
        <v>205</v>
      </c>
      <c r="T2914" s="399" t="s">
        <v>125</v>
      </c>
      <c r="U2914" s="401">
        <f t="shared" si="9343"/>
        <v>1.5782400000000001</v>
      </c>
      <c r="V2914" s="399"/>
      <c r="W2914" s="399"/>
      <c r="X2914" s="399" t="s">
        <v>125</v>
      </c>
      <c r="Y2914" s="389">
        <f t="shared" ref="Y2914" si="9357">D2911</f>
        <v>1</v>
      </c>
      <c r="Z2914" s="400" t="s">
        <v>176</v>
      </c>
      <c r="AA2914" s="402">
        <f t="shared" ref="AA2914" si="9358">IF(AA2915=0,(D2914*N2914+P2914*R2914)*U2914*Y2914,0)</f>
        <v>7.9038259200000001</v>
      </c>
      <c r="AB2914" s="403"/>
    </row>
    <row r="2915" spans="1:28">
      <c r="A2915" s="384" t="str">
        <f t="shared" ref="A2915:B2915" si="9359">A2905</f>
        <v>Lantai 2</v>
      </c>
      <c r="B2915" s="385">
        <f t="shared" si="9359"/>
        <v>10</v>
      </c>
      <c r="C2915" s="393"/>
      <c r="D2915" s="398">
        <f t="shared" si="9255"/>
        <v>0</v>
      </c>
      <c r="E2915" s="388" t="s">
        <v>16</v>
      </c>
      <c r="F2915" s="388">
        <f t="shared" si="9256"/>
        <v>16</v>
      </c>
      <c r="G2915" s="388"/>
      <c r="H2915" s="395"/>
      <c r="I2915" s="388"/>
      <c r="J2915" s="396"/>
      <c r="K2915" s="396"/>
      <c r="L2915" s="404" t="s">
        <v>207</v>
      </c>
      <c r="M2915" s="399" t="s">
        <v>176</v>
      </c>
      <c r="N2915" s="399">
        <f t="shared" ref="N2915" si="9360">IF(AND(D2912=D2913,D2912=D2914,D2913=D2914,F2912=F2913,F2912=F2914,F2913=F2914),SUM(N2912:N2914),0)</f>
        <v>0</v>
      </c>
      <c r="O2915" s="399" t="s">
        <v>204</v>
      </c>
      <c r="P2915" s="389">
        <f t="shared" ref="P2915" si="9361">IF(N2915&gt;12,ROUNDDOWN(N2915/12,0),0)</f>
        <v>0</v>
      </c>
      <c r="Q2915" s="399" t="s">
        <v>125</v>
      </c>
      <c r="R2915" s="399">
        <f t="shared" ref="R2915" si="9362">IF(P2915&gt;0,MAX(VLOOKUP(F2915,$D$6:$G$15,3,FALSE),600),0)/1000</f>
        <v>0</v>
      </c>
      <c r="S2915" s="396"/>
      <c r="T2915" s="396" t="s">
        <v>125</v>
      </c>
      <c r="U2915" s="401">
        <f t="shared" si="9260"/>
        <v>1.5782400000000001</v>
      </c>
      <c r="V2915" s="396" t="s">
        <v>125</v>
      </c>
      <c r="W2915" s="399">
        <f t="shared" ref="W2915" si="9363">D2915</f>
        <v>0</v>
      </c>
      <c r="X2915" s="399" t="s">
        <v>125</v>
      </c>
      <c r="Y2915" s="389">
        <f t="shared" si="9262"/>
        <v>1</v>
      </c>
      <c r="Z2915" s="400" t="s">
        <v>176</v>
      </c>
      <c r="AA2915" s="402">
        <f t="shared" ref="AA2915" si="9364">(N2915+P2915*R2915/1000)*U2915*W2915*Y2915</f>
        <v>0</v>
      </c>
      <c r="AB2915" s="390"/>
    </row>
    <row r="2916" spans="1:28">
      <c r="A2916" s="384"/>
      <c r="B2916" s="385"/>
      <c r="C2916" s="393"/>
      <c r="D2916" s="398"/>
      <c r="E2916" s="388"/>
      <c r="F2916" s="388"/>
      <c r="G2916" s="388"/>
      <c r="H2916" s="395"/>
      <c r="I2916" s="388"/>
      <c r="J2916" s="396"/>
      <c r="K2916" s="396"/>
      <c r="L2916" s="404"/>
      <c r="M2916" s="399"/>
      <c r="N2916" s="399"/>
      <c r="O2916" s="396"/>
      <c r="P2916" s="389"/>
      <c r="Q2916" s="396"/>
      <c r="R2916" s="396"/>
      <c r="S2916" s="396"/>
      <c r="T2916" s="396"/>
      <c r="U2916" s="401"/>
      <c r="V2916" s="396"/>
      <c r="W2916" s="399"/>
      <c r="X2916" s="396"/>
      <c r="Y2916" s="389"/>
      <c r="Z2916" s="396"/>
      <c r="AA2916" s="388"/>
      <c r="AB2916" s="390"/>
    </row>
    <row r="2917" spans="1:28">
      <c r="A2917" s="384" t="str">
        <f t="shared" ref="A2917:B2917" si="9365">A2905</f>
        <v>Lantai 2</v>
      </c>
      <c r="B2917" s="385">
        <f t="shared" si="9365"/>
        <v>10</v>
      </c>
      <c r="C2917" s="393" t="s">
        <v>208</v>
      </c>
      <c r="D2917" s="398">
        <f>VLOOKUP(D2905,'Detail Balok'!$C$10:$AU$140,13,FALSE)</f>
        <v>2</v>
      </c>
      <c r="E2917" s="388" t="s">
        <v>16</v>
      </c>
      <c r="F2917" s="388">
        <f>VLOOKUP(D2905,'Detail Balok'!$C$10:$AU$140,15,FALSE)</f>
        <v>10</v>
      </c>
      <c r="G2917" s="388"/>
      <c r="H2917" s="395"/>
      <c r="I2917" s="388"/>
      <c r="J2917" s="399">
        <f t="shared" ref="J2917" si="9366">+D2907/1000</f>
        <v>4</v>
      </c>
      <c r="K2917" s="400" t="s">
        <v>204</v>
      </c>
      <c r="L2917" s="399">
        <f t="shared" ref="L2917" si="9367">2*$F$16*F2917/1000</f>
        <v>0.24</v>
      </c>
      <c r="M2917" s="399" t="s">
        <v>176</v>
      </c>
      <c r="N2917" s="399">
        <f t="shared" ref="N2917" si="9368">J2917+L2917</f>
        <v>4.24</v>
      </c>
      <c r="O2917" s="399" t="s">
        <v>204</v>
      </c>
      <c r="P2917" s="389">
        <f t="shared" ref="P2917" si="9369">IF(N2917&gt;12,ROUNDDOWN(N2917/12,0),0)</f>
        <v>0</v>
      </c>
      <c r="Q2917" s="399" t="s">
        <v>125</v>
      </c>
      <c r="R2917" s="399">
        <f t="shared" ref="R2917" si="9370">IF(P2917&gt;0,MAX(VLOOKUP(F2917,$D$6:$G$15,3,FALSE),600),0)/1000</f>
        <v>0</v>
      </c>
      <c r="S2917" s="399"/>
      <c r="T2917" s="399" t="s">
        <v>125</v>
      </c>
      <c r="U2917" s="401">
        <f t="shared" ref="U2917" si="9371">0.006165*F2917^2</f>
        <v>0.61650000000000005</v>
      </c>
      <c r="V2917" s="399" t="s">
        <v>125</v>
      </c>
      <c r="W2917" s="399">
        <f t="shared" ref="W2917" si="9372">+D2917</f>
        <v>2</v>
      </c>
      <c r="X2917" s="399" t="s">
        <v>125</v>
      </c>
      <c r="Y2917" s="389">
        <f t="shared" ref="Y2917" si="9373">D2911</f>
        <v>1</v>
      </c>
      <c r="Z2917" s="400" t="s">
        <v>176</v>
      </c>
      <c r="AA2917" s="402">
        <f t="shared" ref="AA2917" si="9374">(N2917+P2917*R2917/1000)*U2917*W2917*Y2917</f>
        <v>5.227920000000001</v>
      </c>
      <c r="AB2917" s="403"/>
    </row>
    <row r="2918" spans="1:28">
      <c r="A2918" s="384"/>
      <c r="B2918" s="385"/>
      <c r="C2918" s="393"/>
      <c r="D2918" s="398"/>
      <c r="E2918" s="388"/>
      <c r="F2918" s="388"/>
      <c r="G2918" s="388"/>
      <c r="H2918" s="395"/>
      <c r="I2918" s="388"/>
      <c r="J2918" s="399"/>
      <c r="K2918" s="400"/>
      <c r="L2918" s="399"/>
      <c r="M2918" s="399"/>
      <c r="N2918" s="399"/>
      <c r="O2918" s="399"/>
      <c r="P2918" s="389"/>
      <c r="Q2918" s="399"/>
      <c r="R2918" s="399"/>
      <c r="S2918" s="399"/>
      <c r="T2918" s="399"/>
      <c r="U2918" s="401"/>
      <c r="V2918" s="399"/>
      <c r="W2918" s="399"/>
      <c r="X2918" s="399"/>
      <c r="Y2918" s="389"/>
      <c r="Z2918" s="400"/>
      <c r="AA2918" s="402"/>
      <c r="AB2918" s="403"/>
    </row>
    <row r="2919" spans="1:28">
      <c r="A2919" s="384"/>
      <c r="B2919" s="385"/>
      <c r="C2919" s="393"/>
      <c r="D2919" s="398"/>
      <c r="E2919" s="388"/>
      <c r="F2919" s="388"/>
      <c r="G2919" s="388"/>
      <c r="H2919" s="395"/>
      <c r="I2919" s="388"/>
      <c r="J2919" s="396"/>
      <c r="K2919" s="396"/>
      <c r="L2919" s="396"/>
      <c r="M2919" s="396"/>
      <c r="N2919" s="396"/>
      <c r="O2919" s="396"/>
      <c r="P2919" s="389"/>
      <c r="Q2919" s="396"/>
      <c r="R2919" s="396"/>
      <c r="S2919" s="396"/>
      <c r="T2919" s="396"/>
      <c r="U2919" s="401"/>
      <c r="V2919" s="396"/>
      <c r="W2919" s="399"/>
      <c r="X2919" s="396"/>
      <c r="Y2919" s="389"/>
      <c r="Z2919" s="396"/>
      <c r="AA2919" s="388"/>
      <c r="AB2919" s="390"/>
    </row>
    <row r="2920" spans="1:28">
      <c r="A2920" s="384" t="str">
        <f t="shared" ref="A2920:B2920" si="9375">A2905</f>
        <v>Lantai 2</v>
      </c>
      <c r="B2920" s="385">
        <f t="shared" si="9375"/>
        <v>10</v>
      </c>
      <c r="C2920" s="393" t="s">
        <v>209</v>
      </c>
      <c r="D2920" s="398">
        <f>VLOOKUP(D2905,'Detail Balok'!$C$10:$AU$140,22,FALSE)</f>
        <v>3</v>
      </c>
      <c r="E2920" s="388" t="s">
        <v>16</v>
      </c>
      <c r="F2920" s="388">
        <f>VLOOKUP(D2905,'Detail Balok'!$C$10:$AU$140,24,FALSE)</f>
        <v>16</v>
      </c>
      <c r="G2920" s="388"/>
      <c r="H2920" s="395"/>
      <c r="I2920" s="388" t="s">
        <v>203</v>
      </c>
      <c r="J2920" s="399">
        <f t="shared" si="9275"/>
        <v>1</v>
      </c>
      <c r="K2920" s="400" t="s">
        <v>204</v>
      </c>
      <c r="L2920" s="399">
        <f t="shared" ref="L2920" si="9376">MAX(VLOOKUP(F2920,N$6:P$15,3,FALSE)/1000,2/3*D2910/1000)+F$16*F2920/1000</f>
        <v>0.192</v>
      </c>
      <c r="M2920" s="399" t="s">
        <v>176</v>
      </c>
      <c r="N2920" s="399">
        <f t="shared" ref="N2920:N2922" si="9377">J2920+L2920</f>
        <v>1.1919999999999999</v>
      </c>
      <c r="O2920" s="399" t="s">
        <v>204</v>
      </c>
      <c r="P2920" s="389">
        <f t="shared" ref="P2920" si="9378">D2920-D2921</f>
        <v>-1</v>
      </c>
      <c r="Q2920" s="399" t="s">
        <v>125</v>
      </c>
      <c r="R2920" s="399">
        <f t="shared" ref="R2920" si="9379">IF(P2920&gt;0,$F$18*F2920/1000,0)</f>
        <v>0</v>
      </c>
      <c r="S2920" s="399" t="s">
        <v>205</v>
      </c>
      <c r="T2920" s="399" t="s">
        <v>125</v>
      </c>
      <c r="U2920" s="401">
        <f t="shared" ref="U2920:U2922" si="9380">0.006165*F2920^2</f>
        <v>1.5782400000000001</v>
      </c>
      <c r="V2920" s="399"/>
      <c r="W2920" s="399"/>
      <c r="X2920" s="399" t="s">
        <v>125</v>
      </c>
      <c r="Y2920" s="389">
        <f t="shared" ref="Y2920" si="9381">D2911</f>
        <v>1</v>
      </c>
      <c r="Z2920" s="400" t="s">
        <v>176</v>
      </c>
      <c r="AA2920" s="402">
        <f t="shared" ref="AA2920" si="9382">IF(AA2923=0,(D2920*N2920+P2920*R2920)*U2920*Y2920,0)</f>
        <v>5.6437862399999998</v>
      </c>
      <c r="AB2920" s="403"/>
    </row>
    <row r="2921" spans="1:28">
      <c r="A2921" s="384" t="str">
        <f t="shared" ref="A2921:B2921" si="9383">A2905</f>
        <v>Lantai 2</v>
      </c>
      <c r="B2921" s="385">
        <f t="shared" si="9383"/>
        <v>10</v>
      </c>
      <c r="C2921" s="393" t="s">
        <v>210</v>
      </c>
      <c r="D2921" s="398">
        <f>VLOOKUP(D2905,'Detail Balok'!$C$10:$AU$140,25,FALSE)</f>
        <v>4</v>
      </c>
      <c r="E2921" s="388" t="s">
        <v>16</v>
      </c>
      <c r="F2921" s="388">
        <f>VLOOKUP(D2905,'Detail Balok'!$C$10:$AU$140,27,FALSE)</f>
        <v>16</v>
      </c>
      <c r="G2921" s="388"/>
      <c r="H2921" s="395"/>
      <c r="I2921" s="388" t="s">
        <v>203</v>
      </c>
      <c r="J2921" s="399">
        <f t="shared" si="9275"/>
        <v>2</v>
      </c>
      <c r="K2921" s="400" t="s">
        <v>204</v>
      </c>
      <c r="L2921" s="399"/>
      <c r="M2921" s="399" t="s">
        <v>176</v>
      </c>
      <c r="N2921" s="399">
        <f t="shared" si="9377"/>
        <v>2</v>
      </c>
      <c r="O2921" s="399" t="s">
        <v>204</v>
      </c>
      <c r="P2921" s="389">
        <f t="shared" ref="P2921" si="9384">MAX(D2921-D2920,D2921-D2922)</f>
        <v>1</v>
      </c>
      <c r="Q2921" s="399" t="s">
        <v>125</v>
      </c>
      <c r="R2921" s="399">
        <f t="shared" ref="R2921" si="9385">IF(P2921&gt;0,2*(1-2*$F$19-1/2)*D2908/1000,0)</f>
        <v>0.79999999999999982</v>
      </c>
      <c r="S2921" s="399" t="s">
        <v>205</v>
      </c>
      <c r="T2921" s="399" t="s">
        <v>125</v>
      </c>
      <c r="U2921" s="401">
        <f t="shared" si="9380"/>
        <v>1.5782400000000001</v>
      </c>
      <c r="V2921" s="399"/>
      <c r="W2921" s="399"/>
      <c r="X2921" s="399" t="s">
        <v>125</v>
      </c>
      <c r="Y2921" s="389">
        <f t="shared" ref="Y2921" si="9386">D2911</f>
        <v>1</v>
      </c>
      <c r="Z2921" s="400" t="s">
        <v>176</v>
      </c>
      <c r="AA2921" s="402">
        <f t="shared" ref="AA2921" si="9387">IF(AA2923=0,(D2921*N2921+P2921*R2921)*U2921*Y2921,0)</f>
        <v>13.888512000000002</v>
      </c>
      <c r="AB2921" s="403"/>
    </row>
    <row r="2922" spans="1:28">
      <c r="A2922" s="384" t="str">
        <f t="shared" ref="A2922:B2922" si="9388">A2905</f>
        <v>Lantai 2</v>
      </c>
      <c r="B2922" s="385">
        <f t="shared" si="9388"/>
        <v>10</v>
      </c>
      <c r="C2922" s="393" t="s">
        <v>209</v>
      </c>
      <c r="D2922" s="398">
        <f>VLOOKUP(D2905,'Detail Balok'!$C$10:$AU$140,28,FALSE)</f>
        <v>3</v>
      </c>
      <c r="E2922" s="388" t="s">
        <v>16</v>
      </c>
      <c r="F2922" s="388">
        <f>VLOOKUP(D2905,'Detail Balok'!$C$10:$AU$140,30,FALSE)</f>
        <v>16</v>
      </c>
      <c r="G2922" s="388"/>
      <c r="H2922" s="395"/>
      <c r="I2922" s="388" t="s">
        <v>203</v>
      </c>
      <c r="J2922" s="399">
        <f t="shared" si="9275"/>
        <v>1</v>
      </c>
      <c r="K2922" s="400" t="s">
        <v>204</v>
      </c>
      <c r="L2922" s="399">
        <f t="shared" ref="L2922" si="9389">MAX(VLOOKUP(F2922,N$6:P$15,3,FALSE)/1000,2/3*D2910/1000)+F$16*F2922/1000</f>
        <v>0.192</v>
      </c>
      <c r="M2922" s="399" t="s">
        <v>176</v>
      </c>
      <c r="N2922" s="399">
        <f t="shared" si="9377"/>
        <v>1.1919999999999999</v>
      </c>
      <c r="O2922" s="399" t="s">
        <v>204</v>
      </c>
      <c r="P2922" s="389">
        <f t="shared" ref="P2922" si="9390">D2922-D2921</f>
        <v>-1</v>
      </c>
      <c r="Q2922" s="399" t="s">
        <v>125</v>
      </c>
      <c r="R2922" s="399">
        <f t="shared" ref="R2922" si="9391">IF(P2922&gt;0,$F$18*F2922/1000,0)</f>
        <v>0</v>
      </c>
      <c r="S2922" s="399" t="s">
        <v>205</v>
      </c>
      <c r="T2922" s="399" t="s">
        <v>125</v>
      </c>
      <c r="U2922" s="401">
        <f t="shared" si="9380"/>
        <v>1.5782400000000001</v>
      </c>
      <c r="V2922" s="399"/>
      <c r="W2922" s="399"/>
      <c r="X2922" s="399" t="s">
        <v>125</v>
      </c>
      <c r="Y2922" s="389">
        <f t="shared" ref="Y2922" si="9392">D2911</f>
        <v>1</v>
      </c>
      <c r="Z2922" s="400" t="s">
        <v>176</v>
      </c>
      <c r="AA2922" s="402">
        <f t="shared" ref="AA2922" si="9393">IF(AA2923=0,(D2922*N2922+P2922*R2922)*U2922*Y2922,0)</f>
        <v>5.6437862399999998</v>
      </c>
      <c r="AB2922" s="403"/>
    </row>
    <row r="2923" spans="1:28">
      <c r="A2923" s="384" t="str">
        <f t="shared" ref="A2923:B2923" si="9394">A2905</f>
        <v>Lantai 2</v>
      </c>
      <c r="B2923" s="385">
        <f t="shared" si="9394"/>
        <v>10</v>
      </c>
      <c r="C2923" s="393"/>
      <c r="D2923" s="398">
        <f t="shared" si="9295"/>
        <v>0</v>
      </c>
      <c r="E2923" s="388" t="s">
        <v>16</v>
      </c>
      <c r="F2923" s="388">
        <f t="shared" si="9296"/>
        <v>16</v>
      </c>
      <c r="G2923" s="388"/>
      <c r="H2923" s="395"/>
      <c r="I2923" s="388"/>
      <c r="J2923" s="396"/>
      <c r="K2923" s="396"/>
      <c r="L2923" s="404" t="s">
        <v>207</v>
      </c>
      <c r="M2923" s="399" t="s">
        <v>176</v>
      </c>
      <c r="N2923" s="399">
        <f t="shared" ref="N2923" si="9395">IF(AND(D2920=D2921,D2920=D2922,D2921=D2922,F2920=F2921,F2920=F2922,F2921=F2922),SUM(N2920:N2922),0)</f>
        <v>0</v>
      </c>
      <c r="O2923" s="399" t="s">
        <v>204</v>
      </c>
      <c r="P2923" s="389">
        <f t="shared" ref="P2923" si="9396">IF(N2923&gt;12,ROUNDDOWN(N2923/12,0),0)</f>
        <v>0</v>
      </c>
      <c r="Q2923" s="399" t="s">
        <v>125</v>
      </c>
      <c r="R2923" s="399">
        <f t="shared" ref="R2923" si="9397">IF(P2923&gt;0,MAX(VLOOKUP(F2923,$D$6:$G$15,3,FALSE),600),0)/1000</f>
        <v>0</v>
      </c>
      <c r="S2923" s="396"/>
      <c r="T2923" s="396" t="s">
        <v>125</v>
      </c>
      <c r="U2923" s="401">
        <f t="shared" si="9300"/>
        <v>1.5782400000000001</v>
      </c>
      <c r="V2923" s="396" t="s">
        <v>125</v>
      </c>
      <c r="W2923" s="399">
        <f t="shared" ref="W2923" si="9398">D2923</f>
        <v>0</v>
      </c>
      <c r="X2923" s="399" t="s">
        <v>125</v>
      </c>
      <c r="Y2923" s="389">
        <f t="shared" si="9302"/>
        <v>1</v>
      </c>
      <c r="Z2923" s="400" t="s">
        <v>176</v>
      </c>
      <c r="AA2923" s="402">
        <f t="shared" ref="AA2923" si="9399">(N2923+P2923*R2923/1000)*U2923*W2923*Y2923</f>
        <v>0</v>
      </c>
      <c r="AB2923" s="403"/>
    </row>
    <row r="2924" spans="1:28">
      <c r="A2924" s="384"/>
      <c r="B2924" s="385"/>
      <c r="C2924" s="393"/>
      <c r="D2924" s="394"/>
      <c r="E2924" s="388"/>
      <c r="F2924" s="388"/>
      <c r="G2924" s="388"/>
      <c r="H2924" s="395"/>
      <c r="I2924" s="388"/>
      <c r="J2924" s="399"/>
      <c r="K2924" s="396"/>
      <c r="L2924" s="396"/>
      <c r="M2924" s="396"/>
      <c r="N2924" s="396"/>
      <c r="O2924" s="396"/>
      <c r="P2924" s="389"/>
      <c r="Q2924" s="396"/>
      <c r="R2924" s="396"/>
      <c r="S2924" s="396"/>
      <c r="T2924" s="396"/>
      <c r="U2924" s="401"/>
      <c r="V2924" s="396"/>
      <c r="W2924" s="388"/>
      <c r="X2924" s="396"/>
      <c r="Y2924" s="389"/>
      <c r="Z2924" s="396"/>
      <c r="AA2924" s="388"/>
      <c r="AB2924" s="390"/>
    </row>
    <row r="2925" spans="1:28">
      <c r="A2925" s="384" t="str">
        <f t="shared" ref="A2925:B2925" si="9400">A2905</f>
        <v>Lantai 2</v>
      </c>
      <c r="B2925" s="385">
        <f t="shared" si="9400"/>
        <v>10</v>
      </c>
      <c r="C2925" s="393" t="s">
        <v>211</v>
      </c>
      <c r="D2925" s="398">
        <f>VLOOKUP(D2905,'Detail Balok'!$C$10:$AU$140,31,FALSE)</f>
        <v>0</v>
      </c>
      <c r="E2925" s="388" t="s">
        <v>16</v>
      </c>
      <c r="F2925" s="388">
        <f>VLOOKUP(D2905,'Detail Balok'!$C$10:$AU$140,33,FALSE)</f>
        <v>10</v>
      </c>
      <c r="G2925" s="405" t="s">
        <v>157</v>
      </c>
      <c r="H2925" s="395">
        <f>VLOOKUP(D2905,'Detail Balok'!$C$10:$AU$140,35,FALSE)</f>
        <v>100</v>
      </c>
      <c r="I2925" s="388"/>
      <c r="J2925" s="400">
        <f t="shared" ref="J2925" si="9401">(IF(D2925=0,(2*(D2906+G2906))-(F$5*8),IF(D2925=3,(2*(D2906+G2906))-(F$5*8)+(G2906-2*F$5),IF(D2925=4,(2*(D2906+G2906))-(F$5*8)+2*(G2906-2*F$5)))))/1000</f>
        <v>1.28</v>
      </c>
      <c r="K2925" s="400" t="s">
        <v>204</v>
      </c>
      <c r="L2925" s="399">
        <f t="shared" ref="L2925:L2927" si="9402">IF(D2925=0,2*MAX(6*F2925,75),(D2925-1)*2*MAX(6*F2925,75))/1000</f>
        <v>0.15</v>
      </c>
      <c r="M2925" s="399" t="s">
        <v>176</v>
      </c>
      <c r="N2925" s="399">
        <f t="shared" ref="N2925:N2927" si="9403">J2925+L2925</f>
        <v>1.43</v>
      </c>
      <c r="O2925" s="399"/>
      <c r="P2925" s="389"/>
      <c r="Q2925" s="399"/>
      <c r="R2925" s="399"/>
      <c r="S2925" s="399"/>
      <c r="T2925" s="399" t="s">
        <v>125</v>
      </c>
      <c r="U2925" s="401">
        <f t="shared" ref="U2925:U2927" si="9404">0.006165*F2925^2</f>
        <v>0.61650000000000005</v>
      </c>
      <c r="V2925" s="399" t="s">
        <v>125</v>
      </c>
      <c r="W2925" s="399">
        <f t="shared" ref="W2925" si="9405">IF(D2908&gt;4*G2906,ROUND(MAX(D2908/4,2*G2906)/H2925,0)+1,ROUND(D2908/H2925,0)+1)</f>
        <v>13</v>
      </c>
      <c r="X2925" s="399" t="s">
        <v>125</v>
      </c>
      <c r="Y2925" s="389">
        <f t="shared" ref="Y2925" si="9406">D2911</f>
        <v>1</v>
      </c>
      <c r="Z2925" s="400" t="s">
        <v>176</v>
      </c>
      <c r="AA2925" s="402">
        <f t="shared" ref="AA2925:AA2927" si="9407">N2925*U2925*W2925*Y2925</f>
        <v>11.460735</v>
      </c>
      <c r="AB2925" s="403"/>
    </row>
    <row r="2926" spans="1:28">
      <c r="A2926" s="384" t="str">
        <f t="shared" ref="A2926:B2926" si="9408">A2905</f>
        <v>Lantai 2</v>
      </c>
      <c r="B2926" s="385">
        <f t="shared" si="9408"/>
        <v>10</v>
      </c>
      <c r="C2926" s="393" t="s">
        <v>212</v>
      </c>
      <c r="D2926" s="398">
        <f>VLOOKUP(D2905,'Detail Balok'!$C$10:$AU$140,36,FALSE)</f>
        <v>0</v>
      </c>
      <c r="E2926" s="388" t="s">
        <v>16</v>
      </c>
      <c r="F2926" s="388">
        <f>VLOOKUP(D2905,'Detail Balok'!$C$10:$AU$140,38,FALSE)</f>
        <v>10</v>
      </c>
      <c r="G2926" s="405" t="s">
        <v>157</v>
      </c>
      <c r="H2926" s="395">
        <f>VLOOKUP(D2905,'Detail Balok'!$C$10:$AU$140,40,FALSE)</f>
        <v>150</v>
      </c>
      <c r="I2926" s="388"/>
      <c r="J2926" s="400">
        <f t="shared" ref="J2926" si="9409">(IF(D2926=0,(2*(D2906+G2906))-(F$5*8),IF(D2926=3,(2*(D2906+G2906))-(F$5*8)+(G2906-2*F$5),IF(D2926=4,(2*(D2906+G2906))-(F$5*8)+2*(G2906-2*F$5)))))/1000</f>
        <v>1.28</v>
      </c>
      <c r="K2926" s="400" t="s">
        <v>204</v>
      </c>
      <c r="L2926" s="399">
        <f t="shared" si="9402"/>
        <v>0.15</v>
      </c>
      <c r="M2926" s="399" t="s">
        <v>176</v>
      </c>
      <c r="N2926" s="399">
        <f t="shared" si="9403"/>
        <v>1.43</v>
      </c>
      <c r="O2926" s="399"/>
      <c r="P2926" s="389"/>
      <c r="Q2926" s="399"/>
      <c r="R2926" s="399"/>
      <c r="S2926" s="399"/>
      <c r="T2926" s="399" t="s">
        <v>125</v>
      </c>
      <c r="U2926" s="401">
        <f t="shared" si="9404"/>
        <v>0.61650000000000005</v>
      </c>
      <c r="V2926" s="399" t="s">
        <v>125</v>
      </c>
      <c r="W2926" s="399">
        <f t="shared" ref="W2926" si="9410">IF(D2908-MAX(D2908/4,2*G2906)*2&gt;0,ROUND((D2908-MAX(D2908/4,2*G2906)*2)/H2926,0),0)</f>
        <v>11</v>
      </c>
      <c r="X2926" s="399" t="s">
        <v>125</v>
      </c>
      <c r="Y2926" s="389">
        <f t="shared" ref="Y2926" si="9411">D2911</f>
        <v>1</v>
      </c>
      <c r="Z2926" s="400" t="s">
        <v>176</v>
      </c>
      <c r="AA2926" s="402">
        <f t="shared" si="9407"/>
        <v>9.6975449999999999</v>
      </c>
      <c r="AB2926" s="403"/>
    </row>
    <row r="2927" spans="1:28">
      <c r="A2927" s="384" t="str">
        <f t="shared" ref="A2927:B2927" si="9412">A2905</f>
        <v>Lantai 2</v>
      </c>
      <c r="B2927" s="385">
        <f t="shared" si="9412"/>
        <v>10</v>
      </c>
      <c r="C2927" s="393" t="s">
        <v>211</v>
      </c>
      <c r="D2927" s="398">
        <f>VLOOKUP(D2905,'Detail Balok'!$C$10:$AU$140,41,FALSE)</f>
        <v>0</v>
      </c>
      <c r="E2927" s="388" t="s">
        <v>16</v>
      </c>
      <c r="F2927" s="388">
        <f>VLOOKUP(D2905,'Detail Balok'!$C$10:$AU$140,43,FALSE)</f>
        <v>10</v>
      </c>
      <c r="G2927" s="405" t="s">
        <v>157</v>
      </c>
      <c r="H2927" s="395">
        <f>VLOOKUP(D2905,'Detail Balok'!$C$10:$AU$140,45,FALSE)</f>
        <v>100</v>
      </c>
      <c r="I2927" s="388"/>
      <c r="J2927" s="400">
        <f t="shared" ref="J2927" si="9413">(IF(D2927=0,(2*(D2906+G2906))-(F$5*8),IF(D2927=3,(2*(D2906+G2906))-(F$5*8)+(G2906-2*F$5),IF(D2927=4,(2*(D2906+G2906))-(F$5*8)+2*(G2906-2*F$5)))))/1000</f>
        <v>1.28</v>
      </c>
      <c r="K2927" s="400" t="s">
        <v>204</v>
      </c>
      <c r="L2927" s="399">
        <f t="shared" si="9402"/>
        <v>0.15</v>
      </c>
      <c r="M2927" s="399" t="s">
        <v>176</v>
      </c>
      <c r="N2927" s="399">
        <f t="shared" si="9403"/>
        <v>1.43</v>
      </c>
      <c r="O2927" s="399"/>
      <c r="P2927" s="389"/>
      <c r="Q2927" s="399"/>
      <c r="R2927" s="399"/>
      <c r="S2927" s="399"/>
      <c r="T2927" s="399" t="s">
        <v>125</v>
      </c>
      <c r="U2927" s="401">
        <f t="shared" si="9404"/>
        <v>0.61650000000000005</v>
      </c>
      <c r="V2927" s="399" t="s">
        <v>125</v>
      </c>
      <c r="W2927" s="399">
        <f t="shared" ref="W2927" si="9414">IF(D2908&gt;4*G2906,ROUND(MAX(D2908/4,2*G2906)/H2927,0)+1,0)</f>
        <v>13</v>
      </c>
      <c r="X2927" s="399" t="s">
        <v>125</v>
      </c>
      <c r="Y2927" s="389">
        <f t="shared" ref="Y2927" si="9415">D2911</f>
        <v>1</v>
      </c>
      <c r="Z2927" s="400" t="s">
        <v>176</v>
      </c>
      <c r="AA2927" s="402">
        <f t="shared" si="9407"/>
        <v>11.460735</v>
      </c>
      <c r="AB2927" s="403"/>
    </row>
    <row r="2928" spans="1:28">
      <c r="A2928" s="384"/>
      <c r="B2928" s="385"/>
      <c r="C2928" s="393"/>
      <c r="D2928" s="394"/>
      <c r="E2928" s="388"/>
      <c r="F2928" s="388"/>
      <c r="G2928" s="388"/>
      <c r="H2928" s="395"/>
      <c r="I2928" s="388"/>
      <c r="J2928" s="399"/>
      <c r="K2928" s="396"/>
      <c r="L2928" s="396"/>
      <c r="M2928" s="396"/>
      <c r="N2928" s="396"/>
      <c r="O2928" s="396"/>
      <c r="P2928" s="389"/>
      <c r="Q2928" s="396"/>
      <c r="R2928" s="396"/>
      <c r="S2928" s="396"/>
      <c r="T2928" s="396"/>
      <c r="U2928" s="401"/>
      <c r="V2928" s="396"/>
      <c r="W2928" s="388"/>
      <c r="X2928" s="396"/>
      <c r="Y2928" s="389"/>
      <c r="Z2928" s="396"/>
      <c r="AA2928" s="388"/>
      <c r="AB2928" s="390"/>
    </row>
    <row r="2929" spans="1:28">
      <c r="A2929" s="384" t="str">
        <f t="shared" ref="A2929:B2929" si="9416">A2905</f>
        <v>Lantai 2</v>
      </c>
      <c r="B2929" s="385">
        <f t="shared" si="9416"/>
        <v>10</v>
      </c>
      <c r="C2929" s="393" t="s">
        <v>213</v>
      </c>
      <c r="D2929" s="398">
        <f>VLOOKUP(D2905,'Detail Balok'!$C$10:$BJ$140,46,FALSE)</f>
        <v>0</v>
      </c>
      <c r="E2929" s="388" t="s">
        <v>16</v>
      </c>
      <c r="F2929" s="388">
        <f>VLOOKUP(D2905,'Detail Balok'!$C$10:$BJ$140,48,FALSE)</f>
        <v>0</v>
      </c>
      <c r="G2929" s="405" t="s">
        <v>157</v>
      </c>
      <c r="H2929" s="395">
        <f>VLOOKUP(D2905,'Detail Balok'!$C$10:$BJ$140,50,FALSE)</f>
        <v>100</v>
      </c>
      <c r="I2929" s="388"/>
      <c r="J2929" s="399">
        <f t="shared" ref="J2929" si="9417">(D2906-2*F$5)/1000</f>
        <v>0.12</v>
      </c>
      <c r="K2929" s="400" t="s">
        <v>204</v>
      </c>
      <c r="L2929" s="399">
        <f t="shared" ref="L2929:L2931" si="9418">IF(D2929=0,2*MAX(6*F2929,75),(D2929-1)*2*MAX(6*F2929,75))/1000</f>
        <v>0.15</v>
      </c>
      <c r="M2929" s="399" t="s">
        <v>176</v>
      </c>
      <c r="N2929" s="399">
        <f t="shared" ref="N2929:N2931" si="9419">J2929+L2929</f>
        <v>0.27</v>
      </c>
      <c r="O2929" s="399"/>
      <c r="P2929" s="399"/>
      <c r="Q2929" s="399"/>
      <c r="R2929" s="399"/>
      <c r="S2929" s="399"/>
      <c r="T2929" s="399" t="s">
        <v>125</v>
      </c>
      <c r="U2929" s="401">
        <f t="shared" ref="U2929:U2931" si="9420">0.006165*F2929^2</f>
        <v>0</v>
      </c>
      <c r="V2929" s="399" t="s">
        <v>125</v>
      </c>
      <c r="W2929" s="399">
        <f t="shared" si="9325"/>
        <v>13</v>
      </c>
      <c r="X2929" s="399" t="s">
        <v>125</v>
      </c>
      <c r="Y2929" s="389">
        <f t="shared" ref="Y2929" si="9421">D2915</f>
        <v>0</v>
      </c>
      <c r="Z2929" s="400" t="s">
        <v>176</v>
      </c>
      <c r="AA2929" s="402">
        <f t="shared" ref="AA2929:AA2931" si="9422">N2929*U2929*W2929*Y2929</f>
        <v>0</v>
      </c>
      <c r="AB2929" s="403"/>
    </row>
    <row r="2930" spans="1:28">
      <c r="A2930" s="384" t="str">
        <f t="shared" ref="A2930:B2930" si="9423">A2905</f>
        <v>Lantai 2</v>
      </c>
      <c r="B2930" s="385">
        <f t="shared" si="9423"/>
        <v>10</v>
      </c>
      <c r="C2930" s="393" t="s">
        <v>214</v>
      </c>
      <c r="D2930" s="398">
        <f>VLOOKUP(D2905,'Detail Balok'!$C$10:$BJ$140,51,FALSE)</f>
        <v>0</v>
      </c>
      <c r="E2930" s="388" t="s">
        <v>16</v>
      </c>
      <c r="F2930" s="388">
        <f>VLOOKUP(D2905,'Detail Balok'!$C$10:$BJ$140,53,FALSE)</f>
        <v>0</v>
      </c>
      <c r="G2930" s="405" t="s">
        <v>157</v>
      </c>
      <c r="H2930" s="395">
        <f>VLOOKUP(D2905,'Detail Balok'!$C$10:$BJ$140,55,FALSE)</f>
        <v>100</v>
      </c>
      <c r="I2930" s="388"/>
      <c r="J2930" s="399">
        <f t="shared" ref="J2930" si="9424">(D2906-2*F$5)/1000</f>
        <v>0.12</v>
      </c>
      <c r="K2930" s="400" t="s">
        <v>204</v>
      </c>
      <c r="L2930" s="399">
        <f t="shared" si="9418"/>
        <v>0.15</v>
      </c>
      <c r="M2930" s="399" t="s">
        <v>176</v>
      </c>
      <c r="N2930" s="399">
        <f t="shared" si="9419"/>
        <v>0.27</v>
      </c>
      <c r="O2930" s="399"/>
      <c r="P2930" s="399"/>
      <c r="Q2930" s="399"/>
      <c r="R2930" s="399"/>
      <c r="S2930" s="399"/>
      <c r="T2930" s="399" t="s">
        <v>125</v>
      </c>
      <c r="U2930" s="401">
        <f t="shared" si="9420"/>
        <v>0</v>
      </c>
      <c r="V2930" s="399" t="s">
        <v>125</v>
      </c>
      <c r="W2930" s="399">
        <f t="shared" si="9325"/>
        <v>11</v>
      </c>
      <c r="X2930" s="399" t="s">
        <v>125</v>
      </c>
      <c r="Y2930" s="389">
        <f t="shared" ref="Y2930" si="9425">D2915</f>
        <v>0</v>
      </c>
      <c r="Z2930" s="400" t="s">
        <v>176</v>
      </c>
      <c r="AA2930" s="402">
        <f t="shared" si="9422"/>
        <v>0</v>
      </c>
      <c r="AB2930" s="403"/>
    </row>
    <row r="2931" spans="1:28">
      <c r="A2931" s="384" t="str">
        <f t="shared" ref="A2931:B2931" si="9426">A2905</f>
        <v>Lantai 2</v>
      </c>
      <c r="B2931" s="385">
        <f t="shared" si="9426"/>
        <v>10</v>
      </c>
      <c r="C2931" s="393" t="s">
        <v>213</v>
      </c>
      <c r="D2931" s="398">
        <f>VLOOKUP(D2905,'Detail Balok'!$C$10:$BJ$140,56,FALSE)</f>
        <v>0</v>
      </c>
      <c r="E2931" s="388" t="s">
        <v>16</v>
      </c>
      <c r="F2931" s="388">
        <f>VLOOKUP(D2905,'Detail Balok'!$C$10:$BJ$140,58,FALSE)</f>
        <v>0</v>
      </c>
      <c r="G2931" s="405" t="s">
        <v>157</v>
      </c>
      <c r="H2931" s="395">
        <f>VLOOKUP(D2905,'Detail Balok'!$C$10:$BJ$140,60,FALSE)</f>
        <v>100</v>
      </c>
      <c r="I2931" s="388"/>
      <c r="J2931" s="399">
        <f t="shared" ref="J2931" si="9427">(D2906-2*F$5)/1000</f>
        <v>0.12</v>
      </c>
      <c r="K2931" s="400" t="s">
        <v>204</v>
      </c>
      <c r="L2931" s="399">
        <f t="shared" si="9418"/>
        <v>0.15</v>
      </c>
      <c r="M2931" s="399" t="s">
        <v>176</v>
      </c>
      <c r="N2931" s="399">
        <f t="shared" si="9419"/>
        <v>0.27</v>
      </c>
      <c r="O2931" s="399"/>
      <c r="P2931" s="399"/>
      <c r="Q2931" s="399"/>
      <c r="R2931" s="399"/>
      <c r="S2931" s="399"/>
      <c r="T2931" s="399" t="s">
        <v>125</v>
      </c>
      <c r="U2931" s="401">
        <f t="shared" si="9420"/>
        <v>0</v>
      </c>
      <c r="V2931" s="399" t="s">
        <v>125</v>
      </c>
      <c r="W2931" s="399">
        <f t="shared" si="9325"/>
        <v>13</v>
      </c>
      <c r="X2931" s="399" t="s">
        <v>125</v>
      </c>
      <c r="Y2931" s="389">
        <f t="shared" ref="Y2931" si="9428">D2915</f>
        <v>0</v>
      </c>
      <c r="Z2931" s="400" t="s">
        <v>176</v>
      </c>
      <c r="AA2931" s="402">
        <f t="shared" si="9422"/>
        <v>0</v>
      </c>
      <c r="AB2931" s="403"/>
    </row>
    <row r="2932" spans="1:28">
      <c r="A2932" s="391"/>
      <c r="B2932" s="392"/>
      <c r="C2932" s="392"/>
      <c r="D2932" s="394"/>
      <c r="E2932" s="388"/>
      <c r="F2932" s="388"/>
      <c r="G2932" s="388"/>
      <c r="H2932" s="395"/>
      <c r="I2932" s="388"/>
      <c r="J2932" s="402"/>
      <c r="K2932" s="388"/>
      <c r="L2932" s="388"/>
      <c r="M2932" s="388"/>
      <c r="N2932" s="388"/>
      <c r="O2932" s="388"/>
      <c r="P2932" s="388"/>
      <c r="Q2932" s="388"/>
      <c r="R2932" s="388"/>
      <c r="S2932" s="388"/>
      <c r="T2932" s="388"/>
      <c r="U2932" s="388"/>
      <c r="V2932" s="388"/>
      <c r="W2932" s="388"/>
      <c r="X2932" s="388"/>
      <c r="Y2932" s="389"/>
      <c r="Z2932" s="388"/>
      <c r="AA2932" s="402"/>
      <c r="AB2932" s="403"/>
    </row>
    <row r="2933" spans="1:28" ht="15.75" thickBot="1">
      <c r="A2933" s="406"/>
      <c r="B2933" s="407"/>
      <c r="C2933" s="407"/>
      <c r="D2933" s="408"/>
      <c r="E2933" s="409"/>
      <c r="F2933" s="409"/>
      <c r="G2933" s="409"/>
      <c r="H2933" s="410"/>
      <c r="I2933" s="409"/>
      <c r="J2933" s="409"/>
      <c r="K2933" s="409"/>
      <c r="L2933" s="409"/>
      <c r="M2933" s="409"/>
      <c r="N2933" s="409"/>
      <c r="O2933" s="409"/>
      <c r="P2933" s="409"/>
      <c r="Q2933" s="409"/>
      <c r="R2933" s="409"/>
      <c r="S2933" s="409"/>
      <c r="T2933" s="409"/>
      <c r="U2933" s="409"/>
      <c r="V2933" s="409"/>
      <c r="W2933" s="409"/>
      <c r="X2933" s="409"/>
      <c r="Y2933" s="411"/>
      <c r="Z2933" s="409"/>
      <c r="AA2933" s="412"/>
      <c r="AB2933" s="413"/>
    </row>
    <row r="2934" spans="1:28">
      <c r="A2934" s="377"/>
      <c r="B2934" s="378"/>
      <c r="C2934" s="378"/>
      <c r="D2934" s="379"/>
      <c r="E2934" s="380"/>
      <c r="F2934" s="380"/>
      <c r="G2934" s="380"/>
      <c r="H2934" s="381"/>
      <c r="I2934" s="380"/>
      <c r="J2934" s="380"/>
      <c r="K2934" s="380"/>
      <c r="L2934" s="380"/>
      <c r="M2934" s="380"/>
      <c r="N2934" s="380"/>
      <c r="O2934" s="380"/>
      <c r="P2934" s="380"/>
      <c r="Q2934" s="380"/>
      <c r="R2934" s="380"/>
      <c r="S2934" s="380"/>
      <c r="T2934" s="380"/>
      <c r="U2934" s="380"/>
      <c r="V2934" s="380"/>
      <c r="W2934" s="380"/>
      <c r="X2934" s="380"/>
      <c r="Y2934" s="382"/>
      <c r="Z2934" s="380"/>
      <c r="AA2934" s="380"/>
      <c r="AB2934" s="383"/>
    </row>
    <row r="2935" spans="1:28">
      <c r="A2935" s="384" t="str">
        <f t="shared" si="9334"/>
        <v>Lantai 2</v>
      </c>
      <c r="B2935" s="385">
        <f t="shared" si="9335"/>
        <v>11</v>
      </c>
      <c r="C2935" s="386" t="str">
        <f t="shared" ref="C2935" si="9429">CONCATENATE(A2935," no. ",B2935)</f>
        <v>Lantai 2 no. 11</v>
      </c>
      <c r="D2935" s="2562" t="str">
        <f>VLOOKUP(C2935,'Data Panjang Balok'!$C$9:$N$254,2,FALSE)</f>
        <v>B26-1</v>
      </c>
      <c r="E2935" s="2576"/>
      <c r="F2935" s="2576"/>
      <c r="G2935" s="2576"/>
      <c r="H2935" s="2577"/>
      <c r="I2935" s="387"/>
      <c r="J2935" s="388"/>
      <c r="K2935" s="388"/>
      <c r="L2935" s="388"/>
      <c r="M2935" s="388"/>
      <c r="N2935" s="388"/>
      <c r="O2935" s="388"/>
      <c r="P2935" s="388"/>
      <c r="Q2935" s="388"/>
      <c r="R2935" s="388"/>
      <c r="S2935" s="388"/>
      <c r="T2935" s="388"/>
      <c r="U2935" s="388"/>
      <c r="V2935" s="388"/>
      <c r="W2935" s="388"/>
      <c r="X2935" s="388"/>
      <c r="Y2935" s="389"/>
      <c r="Z2935" s="388"/>
      <c r="AA2935" s="388"/>
      <c r="AB2935" s="390"/>
    </row>
    <row r="2936" spans="1:28">
      <c r="A2936" s="391"/>
      <c r="B2936" s="392"/>
      <c r="C2936" s="393" t="s">
        <v>118</v>
      </c>
      <c r="D2936" s="2578">
        <f>VLOOKUP(D2935,'Detail Balok'!$C$10:$AU$140,2,FALSE)</f>
        <v>200</v>
      </c>
      <c r="E2936" s="2579"/>
      <c r="F2936" s="388" t="s">
        <v>125</v>
      </c>
      <c r="G2936" s="2579">
        <f>VLOOKUP(D2935,'Detail Balok'!$C$10:$AU$140,3,FALSE)</f>
        <v>600</v>
      </c>
      <c r="H2936" s="2580"/>
      <c r="I2936" s="388"/>
      <c r="J2936" s="396"/>
      <c r="K2936" s="396"/>
      <c r="L2936" s="396"/>
      <c r="M2936" s="396"/>
      <c r="N2936" s="396"/>
      <c r="O2936" s="396"/>
      <c r="P2936" s="396"/>
      <c r="Q2936" s="396"/>
      <c r="R2936" s="396"/>
      <c r="S2936" s="396"/>
      <c r="T2936" s="396"/>
      <c r="U2936" s="388"/>
      <c r="V2936" s="396"/>
      <c r="W2936" s="388"/>
      <c r="X2936" s="396"/>
      <c r="Y2936" s="389"/>
      <c r="Z2936" s="396"/>
      <c r="AA2936" s="388"/>
      <c r="AB2936" s="390"/>
    </row>
    <row r="2937" spans="1:28">
      <c r="A2937" s="391"/>
      <c r="B2937" s="392"/>
      <c r="C2937" s="393" t="s">
        <v>198</v>
      </c>
      <c r="D2937" s="2562">
        <f>VLOOKUP(C2935,'Data Panjang Balok'!$C$9:$N$254,4,FALSE)</f>
        <v>5175</v>
      </c>
      <c r="E2937" s="2563"/>
      <c r="F2937" s="2563"/>
      <c r="G2937" s="2563"/>
      <c r="H2937" s="2564"/>
      <c r="I2937" s="397"/>
      <c r="J2937" s="396"/>
      <c r="K2937" s="396"/>
      <c r="L2937" s="396"/>
      <c r="M2937" s="396"/>
      <c r="N2937" s="396"/>
      <c r="O2937" s="396"/>
      <c r="P2937" s="396"/>
      <c r="Q2937" s="396"/>
      <c r="R2937" s="396"/>
      <c r="S2937" s="396"/>
      <c r="T2937" s="396"/>
      <c r="U2937" s="388"/>
      <c r="V2937" s="396"/>
      <c r="W2937" s="388"/>
      <c r="X2937" s="396"/>
      <c r="Y2937" s="389"/>
      <c r="Z2937" s="396"/>
      <c r="AA2937" s="388"/>
      <c r="AB2937" s="390"/>
    </row>
    <row r="2938" spans="1:28">
      <c r="A2938" s="391"/>
      <c r="B2938" s="392"/>
      <c r="C2938" s="393" t="s">
        <v>199</v>
      </c>
      <c r="D2938" s="2562">
        <f>VLOOKUP(C2935,'Data Panjang Balok'!$C$9:$N$254,7,FALSE)</f>
        <v>5175</v>
      </c>
      <c r="E2938" s="2563"/>
      <c r="F2938" s="2563"/>
      <c r="G2938" s="2563"/>
      <c r="H2938" s="2564"/>
      <c r="I2938" s="397"/>
      <c r="J2938" s="396"/>
      <c r="K2938" s="396"/>
      <c r="L2938" s="396"/>
      <c r="M2938" s="396"/>
      <c r="N2938" s="396"/>
      <c r="O2938" s="396"/>
      <c r="P2938" s="396"/>
      <c r="Q2938" s="396"/>
      <c r="R2938" s="396"/>
      <c r="S2938" s="396"/>
      <c r="T2938" s="396"/>
      <c r="U2938" s="388"/>
      <c r="V2938" s="396"/>
      <c r="W2938" s="388"/>
      <c r="X2938" s="396"/>
      <c r="Y2938" s="389"/>
      <c r="Z2938" s="396"/>
      <c r="AA2938" s="388"/>
      <c r="AB2938" s="390"/>
    </row>
    <row r="2939" spans="1:28">
      <c r="A2939" s="391"/>
      <c r="B2939" s="392"/>
      <c r="C2939" s="393" t="s">
        <v>200</v>
      </c>
      <c r="D2939" s="2562">
        <f>VLOOKUP(C2935,'Data Panjang Balok'!$C$9:$N$254,9,FALSE)</f>
        <v>0</v>
      </c>
      <c r="E2939" s="2563"/>
      <c r="F2939" s="2563"/>
      <c r="G2939" s="2563"/>
      <c r="H2939" s="2564"/>
      <c r="I2939" s="397"/>
      <c r="J2939" s="396"/>
      <c r="K2939" s="396"/>
      <c r="L2939" s="396"/>
      <c r="M2939" s="396"/>
      <c r="N2939" s="396"/>
      <c r="O2939" s="396"/>
      <c r="P2939" s="396"/>
      <c r="Q2939" s="396"/>
      <c r="R2939" s="396"/>
      <c r="S2939" s="396"/>
      <c r="T2939" s="396"/>
      <c r="U2939" s="388"/>
      <c r="V2939" s="396"/>
      <c r="W2939" s="388"/>
      <c r="X2939" s="396"/>
      <c r="Y2939" s="389"/>
      <c r="Z2939" s="396"/>
      <c r="AA2939" s="388"/>
      <c r="AB2939" s="390"/>
    </row>
    <row r="2940" spans="1:28">
      <c r="A2940" s="391"/>
      <c r="B2940" s="392"/>
      <c r="C2940" s="393" t="s">
        <v>201</v>
      </c>
      <c r="D2940" s="2562">
        <f>VLOOKUP(C2935,'Data Panjang Balok'!$C$9:$N$254,10,FALSE)</f>
        <v>0</v>
      </c>
      <c r="E2940" s="2563"/>
      <c r="F2940" s="2563"/>
      <c r="G2940" s="2563"/>
      <c r="H2940" s="2564"/>
      <c r="I2940" s="397"/>
      <c r="J2940" s="396"/>
      <c r="K2940" s="396"/>
      <c r="L2940" s="396"/>
      <c r="M2940" s="396"/>
      <c r="N2940" s="396"/>
      <c r="O2940" s="396"/>
      <c r="P2940" s="396"/>
      <c r="Q2940" s="396"/>
      <c r="R2940" s="396"/>
      <c r="S2940" s="396"/>
      <c r="T2940" s="396"/>
      <c r="U2940" s="388"/>
      <c r="V2940" s="396"/>
      <c r="W2940" s="388"/>
      <c r="X2940" s="396"/>
      <c r="Y2940" s="389"/>
      <c r="Z2940" s="396"/>
      <c r="AA2940" s="388"/>
      <c r="AB2940" s="390"/>
    </row>
    <row r="2941" spans="1:28">
      <c r="A2941" s="391"/>
      <c r="B2941" s="392"/>
      <c r="C2941" s="393" t="s">
        <v>48</v>
      </c>
      <c r="D2941" s="2562">
        <f>VLOOKUP(C2935,'Data Panjang Balok'!$C$9:$N$254,3,FALSE)</f>
        <v>1</v>
      </c>
      <c r="E2941" s="2563"/>
      <c r="F2941" s="2563"/>
      <c r="G2941" s="2563"/>
      <c r="H2941" s="2564"/>
      <c r="I2941" s="397"/>
      <c r="J2941" s="396"/>
      <c r="K2941" s="396"/>
      <c r="L2941" s="396"/>
      <c r="M2941" s="396"/>
      <c r="N2941" s="396"/>
      <c r="O2941" s="396"/>
      <c r="P2941" s="396"/>
      <c r="Q2941" s="396"/>
      <c r="R2941" s="396"/>
      <c r="S2941" s="396"/>
      <c r="T2941" s="396"/>
      <c r="U2941" s="388"/>
      <c r="V2941" s="396"/>
      <c r="W2941" s="388"/>
      <c r="X2941" s="396"/>
      <c r="Y2941" s="389"/>
      <c r="Z2941" s="396"/>
      <c r="AA2941" s="388"/>
      <c r="AB2941" s="390"/>
    </row>
    <row r="2942" spans="1:28">
      <c r="A2942" s="384" t="str">
        <f t="shared" ref="A2942:B2942" si="9430">A2935</f>
        <v>Lantai 2</v>
      </c>
      <c r="B2942" s="385">
        <f t="shared" si="9430"/>
        <v>11</v>
      </c>
      <c r="C2942" s="393" t="s">
        <v>202</v>
      </c>
      <c r="D2942" s="398">
        <f>VLOOKUP(D2935,'Detail Balok'!$C$10:$AU$140,4,FALSE)</f>
        <v>4</v>
      </c>
      <c r="E2942" s="388" t="s">
        <v>16</v>
      </c>
      <c r="F2942" s="388">
        <f>VLOOKUP(D2935,'Detail Balok'!$C$10:$AU$140,6,FALSE)</f>
        <v>16</v>
      </c>
      <c r="G2942" s="388"/>
      <c r="H2942" s="395"/>
      <c r="I2942" s="388" t="s">
        <v>203</v>
      </c>
      <c r="J2942" s="399">
        <f t="shared" ref="J2942" si="9431">+D2937/4/1000</f>
        <v>1.29375</v>
      </c>
      <c r="K2942" s="400" t="s">
        <v>204</v>
      </c>
      <c r="L2942" s="399">
        <f t="shared" ref="L2942" si="9432">MAX(VLOOKUP(F2942,N$6:P$15,3,FALSE)/1000,2/3*D2939/1000)+F$16*F2942/1000</f>
        <v>0.192</v>
      </c>
      <c r="M2942" s="399" t="s">
        <v>176</v>
      </c>
      <c r="N2942" s="399">
        <f t="shared" ref="N2942:N2944" si="9433">J2942+L2942</f>
        <v>1.4857499999999999</v>
      </c>
      <c r="O2942" s="399" t="s">
        <v>204</v>
      </c>
      <c r="P2942" s="389">
        <f t="shared" ref="P2942" si="9434">D2942-D2943</f>
        <v>1</v>
      </c>
      <c r="Q2942" s="399" t="s">
        <v>125</v>
      </c>
      <c r="R2942" s="399">
        <f t="shared" ref="R2942" si="9435">IF(P2942&gt;0,$F$18*F2942/1000,0)</f>
        <v>0.24</v>
      </c>
      <c r="S2942" s="399" t="s">
        <v>205</v>
      </c>
      <c r="T2942" s="399" t="s">
        <v>125</v>
      </c>
      <c r="U2942" s="401">
        <f t="shared" ref="U2942:U2944" si="9436">0.006165*F2942^2</f>
        <v>1.5782400000000001</v>
      </c>
      <c r="V2942" s="399"/>
      <c r="W2942" s="399"/>
      <c r="X2942" s="399" t="s">
        <v>125</v>
      </c>
      <c r="Y2942" s="389">
        <f t="shared" ref="Y2942" si="9437">D2941</f>
        <v>1</v>
      </c>
      <c r="Z2942" s="400" t="s">
        <v>176</v>
      </c>
      <c r="AA2942" s="402">
        <f t="shared" ref="AA2942" si="9438">IF(AA2945=0,(D2942*N2942+P2942*R2942)*U2942*Y2942,0)</f>
        <v>9.7582579200000001</v>
      </c>
      <c r="AB2942" s="403"/>
    </row>
    <row r="2943" spans="1:28">
      <c r="A2943" s="384" t="str">
        <f t="shared" ref="A2943:B2943" si="9439">A2935</f>
        <v>Lantai 2</v>
      </c>
      <c r="B2943" s="385">
        <f t="shared" si="9439"/>
        <v>11</v>
      </c>
      <c r="C2943" s="393" t="s">
        <v>206</v>
      </c>
      <c r="D2943" s="398">
        <f>VLOOKUP(D2935,'Detail Balok'!$C$10:$AU$140,7,FALSE)</f>
        <v>3</v>
      </c>
      <c r="E2943" s="388" t="s">
        <v>16</v>
      </c>
      <c r="F2943" s="388">
        <f>VLOOKUP(D2935,'Detail Balok'!$C$10:$AU$140,9,FALSE)</f>
        <v>16</v>
      </c>
      <c r="G2943" s="388"/>
      <c r="H2943" s="395"/>
      <c r="I2943" s="388" t="s">
        <v>203</v>
      </c>
      <c r="J2943" s="399">
        <f t="shared" ref="J2943" si="9440">+D2937/2/1000</f>
        <v>2.5874999999999999</v>
      </c>
      <c r="K2943" s="400" t="s">
        <v>204</v>
      </c>
      <c r="L2943" s="399"/>
      <c r="M2943" s="399" t="s">
        <v>176</v>
      </c>
      <c r="N2943" s="399">
        <f t="shared" si="9433"/>
        <v>2.5874999999999999</v>
      </c>
      <c r="O2943" s="399" t="s">
        <v>204</v>
      </c>
      <c r="P2943" s="389">
        <f t="shared" ref="P2943" si="9441">MAX(D2943-D2942,D2943-D2944)</f>
        <v>-1</v>
      </c>
      <c r="Q2943" s="399" t="s">
        <v>125</v>
      </c>
      <c r="R2943" s="399">
        <f t="shared" ref="R2943" si="9442">IF(P2943&gt;0,2*(1-2*$F$19-1/2)*D2938/1000,0)</f>
        <v>0</v>
      </c>
      <c r="S2943" s="399" t="s">
        <v>205</v>
      </c>
      <c r="T2943" s="399" t="s">
        <v>125</v>
      </c>
      <c r="U2943" s="401">
        <f t="shared" si="9436"/>
        <v>1.5782400000000001</v>
      </c>
      <c r="V2943" s="399"/>
      <c r="W2943" s="399"/>
      <c r="X2943" s="399" t="s">
        <v>125</v>
      </c>
      <c r="Y2943" s="389">
        <f t="shared" ref="Y2943" si="9443">D2941</f>
        <v>1</v>
      </c>
      <c r="Z2943" s="400" t="s">
        <v>176</v>
      </c>
      <c r="AA2943" s="402">
        <f t="shared" ref="AA2943" si="9444">IF(AA2945=0,(D2943*N2943+P2943*R2943)*U2943*Y2943,0)</f>
        <v>12.251087999999999</v>
      </c>
      <c r="AB2943" s="403"/>
    </row>
    <row r="2944" spans="1:28">
      <c r="A2944" s="384" t="str">
        <f t="shared" ref="A2944:B2944" si="9445">A2935</f>
        <v>Lantai 2</v>
      </c>
      <c r="B2944" s="385">
        <f t="shared" si="9445"/>
        <v>11</v>
      </c>
      <c r="C2944" s="393" t="s">
        <v>202</v>
      </c>
      <c r="D2944" s="398">
        <f>VLOOKUP(D2935,'Detail Balok'!$C$10:$AU$140,10,FALSE)</f>
        <v>4</v>
      </c>
      <c r="E2944" s="388" t="s">
        <v>16</v>
      </c>
      <c r="F2944" s="388">
        <f>VLOOKUP(D2935,'Detail Balok'!$C$10:$AU$140,12,FALSE)</f>
        <v>16</v>
      </c>
      <c r="G2944" s="388"/>
      <c r="H2944" s="395"/>
      <c r="I2944" s="388" t="s">
        <v>203</v>
      </c>
      <c r="J2944" s="399">
        <f t="shared" ref="J2944" si="9446">+D2937/4/1000</f>
        <v>1.29375</v>
      </c>
      <c r="K2944" s="400" t="s">
        <v>204</v>
      </c>
      <c r="L2944" s="399">
        <f t="shared" ref="L2944" si="9447">MAX(VLOOKUP(F2944,N$6:P$15,3,FALSE)/1000,2/3*D2939/1000)+F$16*F2944/1000</f>
        <v>0.192</v>
      </c>
      <c r="M2944" s="399" t="s">
        <v>176</v>
      </c>
      <c r="N2944" s="399">
        <f t="shared" si="9433"/>
        <v>1.4857499999999999</v>
      </c>
      <c r="O2944" s="399" t="s">
        <v>204</v>
      </c>
      <c r="P2944" s="389">
        <f t="shared" ref="P2944" si="9448">D2944-D2943</f>
        <v>1</v>
      </c>
      <c r="Q2944" s="399" t="s">
        <v>125</v>
      </c>
      <c r="R2944" s="399">
        <f t="shared" ref="R2944" si="9449">IF(P2944&gt;0,$F$18*F2944/1000,0)</f>
        <v>0.24</v>
      </c>
      <c r="S2944" s="399" t="s">
        <v>205</v>
      </c>
      <c r="T2944" s="399" t="s">
        <v>125</v>
      </c>
      <c r="U2944" s="401">
        <f t="shared" si="9436"/>
        <v>1.5782400000000001</v>
      </c>
      <c r="V2944" s="399"/>
      <c r="W2944" s="399"/>
      <c r="X2944" s="399" t="s">
        <v>125</v>
      </c>
      <c r="Y2944" s="389">
        <f t="shared" ref="Y2944" si="9450">D2941</f>
        <v>1</v>
      </c>
      <c r="Z2944" s="400" t="s">
        <v>176</v>
      </c>
      <c r="AA2944" s="402">
        <f t="shared" ref="AA2944" si="9451">IF(AA2945=0,(D2944*N2944+P2944*R2944)*U2944*Y2944,0)</f>
        <v>9.7582579200000001</v>
      </c>
      <c r="AB2944" s="403"/>
    </row>
    <row r="2945" spans="1:28">
      <c r="A2945" s="384" t="str">
        <f t="shared" ref="A2945:B2945" si="9452">A2935</f>
        <v>Lantai 2</v>
      </c>
      <c r="B2945" s="385">
        <f t="shared" si="9452"/>
        <v>11</v>
      </c>
      <c r="C2945" s="393"/>
      <c r="D2945" s="398">
        <f t="shared" si="9255"/>
        <v>0</v>
      </c>
      <c r="E2945" s="388" t="s">
        <v>16</v>
      </c>
      <c r="F2945" s="388">
        <f t="shared" si="9256"/>
        <v>16</v>
      </c>
      <c r="G2945" s="388"/>
      <c r="H2945" s="395"/>
      <c r="I2945" s="388"/>
      <c r="J2945" s="396"/>
      <c r="K2945" s="396"/>
      <c r="L2945" s="404" t="s">
        <v>207</v>
      </c>
      <c r="M2945" s="399" t="s">
        <v>176</v>
      </c>
      <c r="N2945" s="399">
        <f t="shared" ref="N2945" si="9453">IF(AND(D2942=D2943,D2942=D2944,D2943=D2944,F2942=F2943,F2942=F2944,F2943=F2944),SUM(N2942:N2944),0)</f>
        <v>0</v>
      </c>
      <c r="O2945" s="399" t="s">
        <v>204</v>
      </c>
      <c r="P2945" s="389">
        <f t="shared" ref="P2945" si="9454">IF(N2945&gt;12,ROUNDDOWN(N2945/12,0),0)</f>
        <v>0</v>
      </c>
      <c r="Q2945" s="399" t="s">
        <v>125</v>
      </c>
      <c r="R2945" s="399">
        <f t="shared" ref="R2945" si="9455">IF(P2945&gt;0,MAX(VLOOKUP(F2945,$D$6:$G$15,3,FALSE),600),0)/1000</f>
        <v>0</v>
      </c>
      <c r="S2945" s="396"/>
      <c r="T2945" s="396" t="s">
        <v>125</v>
      </c>
      <c r="U2945" s="401">
        <f t="shared" si="9260"/>
        <v>1.5782400000000001</v>
      </c>
      <c r="V2945" s="396" t="s">
        <v>125</v>
      </c>
      <c r="W2945" s="399">
        <f t="shared" ref="W2945" si="9456">D2945</f>
        <v>0</v>
      </c>
      <c r="X2945" s="399" t="s">
        <v>125</v>
      </c>
      <c r="Y2945" s="389">
        <f t="shared" si="9262"/>
        <v>1</v>
      </c>
      <c r="Z2945" s="400" t="s">
        <v>176</v>
      </c>
      <c r="AA2945" s="402">
        <f t="shared" ref="AA2945" si="9457">(N2945+P2945*R2945/1000)*U2945*W2945*Y2945</f>
        <v>0</v>
      </c>
      <c r="AB2945" s="390"/>
    </row>
    <row r="2946" spans="1:28">
      <c r="A2946" s="384"/>
      <c r="B2946" s="385"/>
      <c r="C2946" s="393"/>
      <c r="D2946" s="398"/>
      <c r="E2946" s="388"/>
      <c r="F2946" s="388"/>
      <c r="G2946" s="388"/>
      <c r="H2946" s="395"/>
      <c r="I2946" s="388"/>
      <c r="J2946" s="396"/>
      <c r="K2946" s="396"/>
      <c r="L2946" s="404"/>
      <c r="M2946" s="399"/>
      <c r="N2946" s="399"/>
      <c r="O2946" s="396"/>
      <c r="P2946" s="389"/>
      <c r="Q2946" s="396"/>
      <c r="R2946" s="396"/>
      <c r="S2946" s="396"/>
      <c r="T2946" s="396"/>
      <c r="U2946" s="401"/>
      <c r="V2946" s="396"/>
      <c r="W2946" s="399"/>
      <c r="X2946" s="396"/>
      <c r="Y2946" s="389"/>
      <c r="Z2946" s="396"/>
      <c r="AA2946" s="388"/>
      <c r="AB2946" s="390"/>
    </row>
    <row r="2947" spans="1:28">
      <c r="A2947" s="384" t="str">
        <f t="shared" ref="A2947:B2947" si="9458">A2935</f>
        <v>Lantai 2</v>
      </c>
      <c r="B2947" s="385">
        <f t="shared" si="9458"/>
        <v>11</v>
      </c>
      <c r="C2947" s="393" t="s">
        <v>208</v>
      </c>
      <c r="D2947" s="398">
        <f>VLOOKUP(D2935,'Detail Balok'!$C$10:$AU$140,13,FALSE)</f>
        <v>2</v>
      </c>
      <c r="E2947" s="388" t="s">
        <v>16</v>
      </c>
      <c r="F2947" s="388">
        <f>VLOOKUP(D2935,'Detail Balok'!$C$10:$AU$140,15,FALSE)</f>
        <v>10</v>
      </c>
      <c r="G2947" s="388"/>
      <c r="H2947" s="395"/>
      <c r="I2947" s="388"/>
      <c r="J2947" s="399">
        <f t="shared" ref="J2947" si="9459">+D2937/1000</f>
        <v>5.1749999999999998</v>
      </c>
      <c r="K2947" s="400" t="s">
        <v>204</v>
      </c>
      <c r="L2947" s="399">
        <f t="shared" ref="L2947" si="9460">2*$F$16*F2947/1000</f>
        <v>0.24</v>
      </c>
      <c r="M2947" s="399" t="s">
        <v>176</v>
      </c>
      <c r="N2947" s="399">
        <f t="shared" ref="N2947" si="9461">J2947+L2947</f>
        <v>5.415</v>
      </c>
      <c r="O2947" s="399" t="s">
        <v>204</v>
      </c>
      <c r="P2947" s="389">
        <f t="shared" ref="P2947" si="9462">IF(N2947&gt;12,ROUNDDOWN(N2947/12,0),0)</f>
        <v>0</v>
      </c>
      <c r="Q2947" s="399" t="s">
        <v>125</v>
      </c>
      <c r="R2947" s="399">
        <f t="shared" ref="R2947" si="9463">IF(P2947&gt;0,MAX(VLOOKUP(F2947,$D$6:$G$15,3,FALSE),600),0)/1000</f>
        <v>0</v>
      </c>
      <c r="S2947" s="399"/>
      <c r="T2947" s="399" t="s">
        <v>125</v>
      </c>
      <c r="U2947" s="401">
        <f t="shared" ref="U2947" si="9464">0.006165*F2947^2</f>
        <v>0.61650000000000005</v>
      </c>
      <c r="V2947" s="399" t="s">
        <v>125</v>
      </c>
      <c r="W2947" s="399">
        <f t="shared" ref="W2947" si="9465">+D2947</f>
        <v>2</v>
      </c>
      <c r="X2947" s="399" t="s">
        <v>125</v>
      </c>
      <c r="Y2947" s="389">
        <f t="shared" ref="Y2947" si="9466">D2941</f>
        <v>1</v>
      </c>
      <c r="Z2947" s="400" t="s">
        <v>176</v>
      </c>
      <c r="AA2947" s="402">
        <f t="shared" ref="AA2947" si="9467">(N2947+P2947*R2947/1000)*U2947*W2947*Y2947</f>
        <v>6.6766950000000005</v>
      </c>
      <c r="AB2947" s="403"/>
    </row>
    <row r="2948" spans="1:28">
      <c r="A2948" s="384"/>
      <c r="B2948" s="385"/>
      <c r="C2948" s="393"/>
      <c r="D2948" s="398"/>
      <c r="E2948" s="388"/>
      <c r="F2948" s="388"/>
      <c r="G2948" s="388"/>
      <c r="H2948" s="395"/>
      <c r="I2948" s="388"/>
      <c r="J2948" s="399"/>
      <c r="K2948" s="400"/>
      <c r="L2948" s="399"/>
      <c r="M2948" s="399"/>
      <c r="N2948" s="399"/>
      <c r="O2948" s="399"/>
      <c r="P2948" s="389"/>
      <c r="Q2948" s="399"/>
      <c r="R2948" s="399"/>
      <c r="S2948" s="399"/>
      <c r="T2948" s="399"/>
      <c r="U2948" s="401"/>
      <c r="V2948" s="399"/>
      <c r="W2948" s="399"/>
      <c r="X2948" s="399"/>
      <c r="Y2948" s="389"/>
      <c r="Z2948" s="400"/>
      <c r="AA2948" s="402"/>
      <c r="AB2948" s="403"/>
    </row>
    <row r="2949" spans="1:28">
      <c r="A2949" s="384"/>
      <c r="B2949" s="385"/>
      <c r="C2949" s="393"/>
      <c r="D2949" s="398"/>
      <c r="E2949" s="388"/>
      <c r="F2949" s="388"/>
      <c r="G2949" s="388"/>
      <c r="H2949" s="395"/>
      <c r="I2949" s="388"/>
      <c r="J2949" s="396"/>
      <c r="K2949" s="396"/>
      <c r="L2949" s="396"/>
      <c r="M2949" s="396"/>
      <c r="N2949" s="396"/>
      <c r="O2949" s="396"/>
      <c r="P2949" s="389"/>
      <c r="Q2949" s="396"/>
      <c r="R2949" s="396"/>
      <c r="S2949" s="396"/>
      <c r="T2949" s="396"/>
      <c r="U2949" s="401"/>
      <c r="V2949" s="396"/>
      <c r="W2949" s="399"/>
      <c r="X2949" s="396"/>
      <c r="Y2949" s="389"/>
      <c r="Z2949" s="396"/>
      <c r="AA2949" s="388"/>
      <c r="AB2949" s="390"/>
    </row>
    <row r="2950" spans="1:28">
      <c r="A2950" s="384" t="str">
        <f t="shared" ref="A2950:B2950" si="9468">A2935</f>
        <v>Lantai 2</v>
      </c>
      <c r="B2950" s="385">
        <f t="shared" si="9468"/>
        <v>11</v>
      </c>
      <c r="C2950" s="393" t="s">
        <v>209</v>
      </c>
      <c r="D2950" s="398">
        <f>VLOOKUP(D2935,'Detail Balok'!$C$10:$AU$140,22,FALSE)</f>
        <v>3</v>
      </c>
      <c r="E2950" s="388" t="s">
        <v>16</v>
      </c>
      <c r="F2950" s="388">
        <f>VLOOKUP(D2935,'Detail Balok'!$C$10:$AU$140,24,FALSE)</f>
        <v>16</v>
      </c>
      <c r="G2950" s="388"/>
      <c r="H2950" s="395"/>
      <c r="I2950" s="388" t="s">
        <v>203</v>
      </c>
      <c r="J2950" s="399">
        <f t="shared" si="9275"/>
        <v>1.29375</v>
      </c>
      <c r="K2950" s="400" t="s">
        <v>204</v>
      </c>
      <c r="L2950" s="399">
        <f t="shared" ref="L2950" si="9469">MAX(VLOOKUP(F2950,N$6:P$15,3,FALSE)/1000,2/3*D2940/1000)+F$16*F2950/1000</f>
        <v>0.192</v>
      </c>
      <c r="M2950" s="399" t="s">
        <v>176</v>
      </c>
      <c r="N2950" s="399">
        <f t="shared" ref="N2950:N2952" si="9470">J2950+L2950</f>
        <v>1.4857499999999999</v>
      </c>
      <c r="O2950" s="399" t="s">
        <v>204</v>
      </c>
      <c r="P2950" s="389">
        <f t="shared" ref="P2950" si="9471">D2950-D2951</f>
        <v>-1</v>
      </c>
      <c r="Q2950" s="399" t="s">
        <v>125</v>
      </c>
      <c r="R2950" s="399">
        <f t="shared" ref="R2950" si="9472">IF(P2950&gt;0,$F$18*F2950/1000,0)</f>
        <v>0</v>
      </c>
      <c r="S2950" s="399" t="s">
        <v>205</v>
      </c>
      <c r="T2950" s="399" t="s">
        <v>125</v>
      </c>
      <c r="U2950" s="401">
        <f t="shared" ref="U2950:U2952" si="9473">0.006165*F2950^2</f>
        <v>1.5782400000000001</v>
      </c>
      <c r="V2950" s="399"/>
      <c r="W2950" s="399"/>
      <c r="X2950" s="399" t="s">
        <v>125</v>
      </c>
      <c r="Y2950" s="389">
        <f t="shared" ref="Y2950" si="9474">D2941</f>
        <v>1</v>
      </c>
      <c r="Z2950" s="400" t="s">
        <v>176</v>
      </c>
      <c r="AA2950" s="402">
        <f t="shared" ref="AA2950" si="9475">IF(AA2953=0,(D2950*N2950+P2950*R2950)*U2950*Y2950,0)</f>
        <v>7.034610240000001</v>
      </c>
      <c r="AB2950" s="403"/>
    </row>
    <row r="2951" spans="1:28">
      <c r="A2951" s="384" t="str">
        <f t="shared" ref="A2951:B2951" si="9476">A2935</f>
        <v>Lantai 2</v>
      </c>
      <c r="B2951" s="385">
        <f t="shared" si="9476"/>
        <v>11</v>
      </c>
      <c r="C2951" s="393" t="s">
        <v>210</v>
      </c>
      <c r="D2951" s="398">
        <f>VLOOKUP(D2935,'Detail Balok'!$C$10:$AU$140,25,FALSE)</f>
        <v>4</v>
      </c>
      <c r="E2951" s="388" t="s">
        <v>16</v>
      </c>
      <c r="F2951" s="388">
        <f>VLOOKUP(D2935,'Detail Balok'!$C$10:$AU$140,27,FALSE)</f>
        <v>16</v>
      </c>
      <c r="G2951" s="388"/>
      <c r="H2951" s="395"/>
      <c r="I2951" s="388" t="s">
        <v>203</v>
      </c>
      <c r="J2951" s="399">
        <f t="shared" si="9275"/>
        <v>2.5874999999999999</v>
      </c>
      <c r="K2951" s="400" t="s">
        <v>204</v>
      </c>
      <c r="L2951" s="399"/>
      <c r="M2951" s="399" t="s">
        <v>176</v>
      </c>
      <c r="N2951" s="399">
        <f t="shared" si="9470"/>
        <v>2.5874999999999999</v>
      </c>
      <c r="O2951" s="399" t="s">
        <v>204</v>
      </c>
      <c r="P2951" s="389">
        <f t="shared" ref="P2951" si="9477">MAX(D2951-D2950,D2951-D2952)</f>
        <v>1</v>
      </c>
      <c r="Q2951" s="399" t="s">
        <v>125</v>
      </c>
      <c r="R2951" s="399">
        <f t="shared" ref="R2951" si="9478">IF(P2951&gt;0,2*(1-2*$F$19-1/2)*D2938/1000,0)</f>
        <v>1.0349999999999997</v>
      </c>
      <c r="S2951" s="399" t="s">
        <v>205</v>
      </c>
      <c r="T2951" s="399" t="s">
        <v>125</v>
      </c>
      <c r="U2951" s="401">
        <f t="shared" si="9473"/>
        <v>1.5782400000000001</v>
      </c>
      <c r="V2951" s="399"/>
      <c r="W2951" s="399"/>
      <c r="X2951" s="399" t="s">
        <v>125</v>
      </c>
      <c r="Y2951" s="389">
        <f t="shared" ref="Y2951" si="9479">D2941</f>
        <v>1</v>
      </c>
      <c r="Z2951" s="400" t="s">
        <v>176</v>
      </c>
      <c r="AA2951" s="402">
        <f t="shared" ref="AA2951" si="9480">IF(AA2953=0,(D2951*N2951+P2951*R2951)*U2951*Y2951,0)</f>
        <v>17.9682624</v>
      </c>
      <c r="AB2951" s="403"/>
    </row>
    <row r="2952" spans="1:28">
      <c r="A2952" s="384" t="str">
        <f t="shared" ref="A2952:B2952" si="9481">A2935</f>
        <v>Lantai 2</v>
      </c>
      <c r="B2952" s="385">
        <f t="shared" si="9481"/>
        <v>11</v>
      </c>
      <c r="C2952" s="393" t="s">
        <v>209</v>
      </c>
      <c r="D2952" s="398">
        <f>VLOOKUP(D2935,'Detail Balok'!$C$10:$AU$140,28,FALSE)</f>
        <v>3</v>
      </c>
      <c r="E2952" s="388" t="s">
        <v>16</v>
      </c>
      <c r="F2952" s="388">
        <f>VLOOKUP(D2935,'Detail Balok'!$C$10:$AU$140,30,FALSE)</f>
        <v>16</v>
      </c>
      <c r="G2952" s="388"/>
      <c r="H2952" s="395"/>
      <c r="I2952" s="388" t="s">
        <v>203</v>
      </c>
      <c r="J2952" s="399">
        <f t="shared" si="9275"/>
        <v>1.29375</v>
      </c>
      <c r="K2952" s="400" t="s">
        <v>204</v>
      </c>
      <c r="L2952" s="399">
        <f t="shared" ref="L2952" si="9482">MAX(VLOOKUP(F2952,N$6:P$15,3,FALSE)/1000,2/3*D2940/1000)+F$16*F2952/1000</f>
        <v>0.192</v>
      </c>
      <c r="M2952" s="399" t="s">
        <v>176</v>
      </c>
      <c r="N2952" s="399">
        <f t="shared" si="9470"/>
        <v>1.4857499999999999</v>
      </c>
      <c r="O2952" s="399" t="s">
        <v>204</v>
      </c>
      <c r="P2952" s="389">
        <f t="shared" ref="P2952" si="9483">D2952-D2951</f>
        <v>-1</v>
      </c>
      <c r="Q2952" s="399" t="s">
        <v>125</v>
      </c>
      <c r="R2952" s="399">
        <f t="shared" ref="R2952" si="9484">IF(P2952&gt;0,$F$18*F2952/1000,0)</f>
        <v>0</v>
      </c>
      <c r="S2952" s="399" t="s">
        <v>205</v>
      </c>
      <c r="T2952" s="399" t="s">
        <v>125</v>
      </c>
      <c r="U2952" s="401">
        <f t="shared" si="9473"/>
        <v>1.5782400000000001</v>
      </c>
      <c r="V2952" s="399"/>
      <c r="W2952" s="399"/>
      <c r="X2952" s="399" t="s">
        <v>125</v>
      </c>
      <c r="Y2952" s="389">
        <f t="shared" ref="Y2952" si="9485">D2941</f>
        <v>1</v>
      </c>
      <c r="Z2952" s="400" t="s">
        <v>176</v>
      </c>
      <c r="AA2952" s="402">
        <f t="shared" ref="AA2952" si="9486">IF(AA2953=0,(D2952*N2952+P2952*R2952)*U2952*Y2952,0)</f>
        <v>7.034610240000001</v>
      </c>
      <c r="AB2952" s="403"/>
    </row>
    <row r="2953" spans="1:28">
      <c r="A2953" s="384" t="str">
        <f t="shared" ref="A2953:B2953" si="9487">A2935</f>
        <v>Lantai 2</v>
      </c>
      <c r="B2953" s="385">
        <f t="shared" si="9487"/>
        <v>11</v>
      </c>
      <c r="C2953" s="393"/>
      <c r="D2953" s="398">
        <f t="shared" si="9295"/>
        <v>0</v>
      </c>
      <c r="E2953" s="388" t="s">
        <v>16</v>
      </c>
      <c r="F2953" s="388">
        <f t="shared" si="9296"/>
        <v>16</v>
      </c>
      <c r="G2953" s="388"/>
      <c r="H2953" s="395"/>
      <c r="I2953" s="388"/>
      <c r="J2953" s="396"/>
      <c r="K2953" s="396"/>
      <c r="L2953" s="404" t="s">
        <v>207</v>
      </c>
      <c r="M2953" s="399" t="s">
        <v>176</v>
      </c>
      <c r="N2953" s="399">
        <f t="shared" ref="N2953" si="9488">IF(AND(D2950=D2951,D2950=D2952,D2951=D2952,F2950=F2951,F2950=F2952,F2951=F2952),SUM(N2950:N2952),0)</f>
        <v>0</v>
      </c>
      <c r="O2953" s="399" t="s">
        <v>204</v>
      </c>
      <c r="P2953" s="389">
        <f t="shared" ref="P2953" si="9489">IF(N2953&gt;12,ROUNDDOWN(N2953/12,0),0)</f>
        <v>0</v>
      </c>
      <c r="Q2953" s="399" t="s">
        <v>125</v>
      </c>
      <c r="R2953" s="399">
        <f t="shared" ref="R2953" si="9490">IF(P2953&gt;0,MAX(VLOOKUP(F2953,$D$6:$G$15,3,FALSE),600),0)/1000</f>
        <v>0</v>
      </c>
      <c r="S2953" s="396"/>
      <c r="T2953" s="396" t="s">
        <v>125</v>
      </c>
      <c r="U2953" s="401">
        <f t="shared" si="9300"/>
        <v>1.5782400000000001</v>
      </c>
      <c r="V2953" s="396" t="s">
        <v>125</v>
      </c>
      <c r="W2953" s="399">
        <f t="shared" ref="W2953" si="9491">D2953</f>
        <v>0</v>
      </c>
      <c r="X2953" s="399" t="s">
        <v>125</v>
      </c>
      <c r="Y2953" s="389">
        <f t="shared" si="9302"/>
        <v>1</v>
      </c>
      <c r="Z2953" s="400" t="s">
        <v>176</v>
      </c>
      <c r="AA2953" s="402">
        <f t="shared" ref="AA2953" si="9492">(N2953+P2953*R2953/1000)*U2953*W2953*Y2953</f>
        <v>0</v>
      </c>
      <c r="AB2953" s="403"/>
    </row>
    <row r="2954" spans="1:28">
      <c r="A2954" s="384"/>
      <c r="B2954" s="385"/>
      <c r="C2954" s="393"/>
      <c r="D2954" s="394"/>
      <c r="E2954" s="388"/>
      <c r="F2954" s="388"/>
      <c r="G2954" s="388"/>
      <c r="H2954" s="395"/>
      <c r="I2954" s="388"/>
      <c r="J2954" s="399"/>
      <c r="K2954" s="396"/>
      <c r="L2954" s="396"/>
      <c r="M2954" s="396"/>
      <c r="N2954" s="396"/>
      <c r="O2954" s="396"/>
      <c r="P2954" s="389"/>
      <c r="Q2954" s="396"/>
      <c r="R2954" s="396"/>
      <c r="S2954" s="396"/>
      <c r="T2954" s="396"/>
      <c r="U2954" s="401"/>
      <c r="V2954" s="396"/>
      <c r="W2954" s="388"/>
      <c r="X2954" s="396"/>
      <c r="Y2954" s="389"/>
      <c r="Z2954" s="396"/>
      <c r="AA2954" s="388"/>
      <c r="AB2954" s="390"/>
    </row>
    <row r="2955" spans="1:28">
      <c r="A2955" s="384" t="str">
        <f t="shared" ref="A2955:B2955" si="9493">A2935</f>
        <v>Lantai 2</v>
      </c>
      <c r="B2955" s="385">
        <f t="shared" si="9493"/>
        <v>11</v>
      </c>
      <c r="C2955" s="393" t="s">
        <v>211</v>
      </c>
      <c r="D2955" s="398">
        <f>VLOOKUP(D2935,'Detail Balok'!$C$10:$AU$140,31,FALSE)</f>
        <v>0</v>
      </c>
      <c r="E2955" s="388" t="s">
        <v>16</v>
      </c>
      <c r="F2955" s="388">
        <f>VLOOKUP(D2935,'Detail Balok'!$C$10:$AU$140,33,FALSE)</f>
        <v>10</v>
      </c>
      <c r="G2955" s="405" t="s">
        <v>157</v>
      </c>
      <c r="H2955" s="395">
        <f>VLOOKUP(D2935,'Detail Balok'!$C$10:$AU$140,35,FALSE)</f>
        <v>100</v>
      </c>
      <c r="I2955" s="388"/>
      <c r="J2955" s="400">
        <f t="shared" ref="J2955" si="9494">(IF(D2955=0,(2*(D2936+G2936))-(F$5*8),IF(D2955=3,(2*(D2936+G2936))-(F$5*8)+(G2936-2*F$5),IF(D2955=4,(2*(D2936+G2936))-(F$5*8)+2*(G2936-2*F$5)))))/1000</f>
        <v>1.28</v>
      </c>
      <c r="K2955" s="400" t="s">
        <v>204</v>
      </c>
      <c r="L2955" s="399">
        <f t="shared" ref="L2955:L2957" si="9495">IF(D2955=0,2*MAX(6*F2955,75),(D2955-1)*2*MAX(6*F2955,75))/1000</f>
        <v>0.15</v>
      </c>
      <c r="M2955" s="399" t="s">
        <v>176</v>
      </c>
      <c r="N2955" s="399">
        <f t="shared" ref="N2955:N2957" si="9496">J2955+L2955</f>
        <v>1.43</v>
      </c>
      <c r="O2955" s="399"/>
      <c r="P2955" s="389"/>
      <c r="Q2955" s="399"/>
      <c r="R2955" s="399"/>
      <c r="S2955" s="399"/>
      <c r="T2955" s="399" t="s">
        <v>125</v>
      </c>
      <c r="U2955" s="401">
        <f t="shared" ref="U2955:U2957" si="9497">0.006165*F2955^2</f>
        <v>0.61650000000000005</v>
      </c>
      <c r="V2955" s="399" t="s">
        <v>125</v>
      </c>
      <c r="W2955" s="399">
        <f t="shared" ref="W2955" si="9498">IF(D2938&gt;4*G2936,ROUND(MAX(D2938/4,2*G2936)/H2955,0)+1,ROUND(D2938/H2955,0)+1)</f>
        <v>14</v>
      </c>
      <c r="X2955" s="399" t="s">
        <v>125</v>
      </c>
      <c r="Y2955" s="389">
        <f t="shared" ref="Y2955" si="9499">D2941</f>
        <v>1</v>
      </c>
      <c r="Z2955" s="400" t="s">
        <v>176</v>
      </c>
      <c r="AA2955" s="402">
        <f t="shared" ref="AA2955:AA2957" si="9500">N2955*U2955*W2955*Y2955</f>
        <v>12.34233</v>
      </c>
      <c r="AB2955" s="403"/>
    </row>
    <row r="2956" spans="1:28">
      <c r="A2956" s="384" t="str">
        <f t="shared" ref="A2956:B2956" si="9501">A2935</f>
        <v>Lantai 2</v>
      </c>
      <c r="B2956" s="385">
        <f t="shared" si="9501"/>
        <v>11</v>
      </c>
      <c r="C2956" s="393" t="s">
        <v>212</v>
      </c>
      <c r="D2956" s="398">
        <f>VLOOKUP(D2935,'Detail Balok'!$C$10:$AU$140,36,FALSE)</f>
        <v>0</v>
      </c>
      <c r="E2956" s="388" t="s">
        <v>16</v>
      </c>
      <c r="F2956" s="388">
        <f>VLOOKUP(D2935,'Detail Balok'!$C$10:$AU$140,38,FALSE)</f>
        <v>10</v>
      </c>
      <c r="G2956" s="405" t="s">
        <v>157</v>
      </c>
      <c r="H2956" s="395">
        <f>VLOOKUP(D2935,'Detail Balok'!$C$10:$AU$140,40,FALSE)</f>
        <v>150</v>
      </c>
      <c r="I2956" s="388"/>
      <c r="J2956" s="400">
        <f t="shared" ref="J2956" si="9502">(IF(D2956=0,(2*(D2936+G2936))-(F$5*8),IF(D2956=3,(2*(D2936+G2936))-(F$5*8)+(G2936-2*F$5),IF(D2956=4,(2*(D2936+G2936))-(F$5*8)+2*(G2936-2*F$5)))))/1000</f>
        <v>1.28</v>
      </c>
      <c r="K2956" s="400" t="s">
        <v>204</v>
      </c>
      <c r="L2956" s="399">
        <f t="shared" si="9495"/>
        <v>0.15</v>
      </c>
      <c r="M2956" s="399" t="s">
        <v>176</v>
      </c>
      <c r="N2956" s="399">
        <f t="shared" si="9496"/>
        <v>1.43</v>
      </c>
      <c r="O2956" s="399"/>
      <c r="P2956" s="389"/>
      <c r="Q2956" s="399"/>
      <c r="R2956" s="399"/>
      <c r="S2956" s="399"/>
      <c r="T2956" s="399" t="s">
        <v>125</v>
      </c>
      <c r="U2956" s="401">
        <f t="shared" si="9497"/>
        <v>0.61650000000000005</v>
      </c>
      <c r="V2956" s="399" t="s">
        <v>125</v>
      </c>
      <c r="W2956" s="399">
        <f t="shared" ref="W2956" si="9503">IF(D2938-MAX(D2938/4,2*G2936)*2&gt;0,ROUND((D2938-MAX(D2938/4,2*G2936)*2)/H2956,0),0)</f>
        <v>17</v>
      </c>
      <c r="X2956" s="399" t="s">
        <v>125</v>
      </c>
      <c r="Y2956" s="389">
        <f t="shared" ref="Y2956" si="9504">D2941</f>
        <v>1</v>
      </c>
      <c r="Z2956" s="400" t="s">
        <v>176</v>
      </c>
      <c r="AA2956" s="402">
        <f t="shared" si="9500"/>
        <v>14.987115000000001</v>
      </c>
      <c r="AB2956" s="403"/>
    </row>
    <row r="2957" spans="1:28">
      <c r="A2957" s="384" t="str">
        <f t="shared" ref="A2957:B2957" si="9505">A2935</f>
        <v>Lantai 2</v>
      </c>
      <c r="B2957" s="385">
        <f t="shared" si="9505"/>
        <v>11</v>
      </c>
      <c r="C2957" s="393" t="s">
        <v>211</v>
      </c>
      <c r="D2957" s="398">
        <f>VLOOKUP(D2935,'Detail Balok'!$C$10:$AU$140,41,FALSE)</f>
        <v>0</v>
      </c>
      <c r="E2957" s="388" t="s">
        <v>16</v>
      </c>
      <c r="F2957" s="388">
        <f>VLOOKUP(D2935,'Detail Balok'!$C$10:$AU$140,43,FALSE)</f>
        <v>10</v>
      </c>
      <c r="G2957" s="405" t="s">
        <v>157</v>
      </c>
      <c r="H2957" s="395">
        <f>VLOOKUP(D2935,'Detail Balok'!$C$10:$AU$140,45,FALSE)</f>
        <v>100</v>
      </c>
      <c r="I2957" s="388"/>
      <c r="J2957" s="400">
        <f t="shared" ref="J2957" si="9506">(IF(D2957=0,(2*(D2936+G2936))-(F$5*8),IF(D2957=3,(2*(D2936+G2936))-(F$5*8)+(G2936-2*F$5),IF(D2957=4,(2*(D2936+G2936))-(F$5*8)+2*(G2936-2*F$5)))))/1000</f>
        <v>1.28</v>
      </c>
      <c r="K2957" s="400" t="s">
        <v>204</v>
      </c>
      <c r="L2957" s="399">
        <f t="shared" si="9495"/>
        <v>0.15</v>
      </c>
      <c r="M2957" s="399" t="s">
        <v>176</v>
      </c>
      <c r="N2957" s="399">
        <f t="shared" si="9496"/>
        <v>1.43</v>
      </c>
      <c r="O2957" s="399"/>
      <c r="P2957" s="389"/>
      <c r="Q2957" s="399"/>
      <c r="R2957" s="399"/>
      <c r="S2957" s="399"/>
      <c r="T2957" s="399" t="s">
        <v>125</v>
      </c>
      <c r="U2957" s="401">
        <f t="shared" si="9497"/>
        <v>0.61650000000000005</v>
      </c>
      <c r="V2957" s="399" t="s">
        <v>125</v>
      </c>
      <c r="W2957" s="399">
        <f t="shared" ref="W2957" si="9507">IF(D2938&gt;4*G2936,ROUND(MAX(D2938/4,2*G2936)/H2957,0)+1,0)</f>
        <v>14</v>
      </c>
      <c r="X2957" s="399" t="s">
        <v>125</v>
      </c>
      <c r="Y2957" s="389">
        <f t="shared" ref="Y2957" si="9508">D2941</f>
        <v>1</v>
      </c>
      <c r="Z2957" s="400" t="s">
        <v>176</v>
      </c>
      <c r="AA2957" s="402">
        <f t="shared" si="9500"/>
        <v>12.34233</v>
      </c>
      <c r="AB2957" s="403"/>
    </row>
    <row r="2958" spans="1:28">
      <c r="A2958" s="384"/>
      <c r="B2958" s="385"/>
      <c r="C2958" s="393"/>
      <c r="D2958" s="394"/>
      <c r="E2958" s="388"/>
      <c r="F2958" s="388"/>
      <c r="G2958" s="388"/>
      <c r="H2958" s="395"/>
      <c r="I2958" s="388"/>
      <c r="J2958" s="399"/>
      <c r="K2958" s="396"/>
      <c r="L2958" s="396"/>
      <c r="M2958" s="396"/>
      <c r="N2958" s="396"/>
      <c r="O2958" s="396"/>
      <c r="P2958" s="389"/>
      <c r="Q2958" s="396"/>
      <c r="R2958" s="396"/>
      <c r="S2958" s="396"/>
      <c r="T2958" s="396"/>
      <c r="U2958" s="401"/>
      <c r="V2958" s="396"/>
      <c r="W2958" s="388"/>
      <c r="X2958" s="396"/>
      <c r="Y2958" s="389"/>
      <c r="Z2958" s="396"/>
      <c r="AA2958" s="388"/>
      <c r="AB2958" s="390"/>
    </row>
    <row r="2959" spans="1:28">
      <c r="A2959" s="384" t="str">
        <f t="shared" ref="A2959:B2959" si="9509">A2935</f>
        <v>Lantai 2</v>
      </c>
      <c r="B2959" s="385">
        <f t="shared" si="9509"/>
        <v>11</v>
      </c>
      <c r="C2959" s="393" t="s">
        <v>213</v>
      </c>
      <c r="D2959" s="398">
        <f>VLOOKUP(D2935,'Detail Balok'!$C$10:$BJ$140,46,FALSE)</f>
        <v>0</v>
      </c>
      <c r="E2959" s="388" t="s">
        <v>16</v>
      </c>
      <c r="F2959" s="388">
        <f>VLOOKUP(D2935,'Detail Balok'!$C$10:$BJ$140,48,FALSE)</f>
        <v>0</v>
      </c>
      <c r="G2959" s="405" t="s">
        <v>157</v>
      </c>
      <c r="H2959" s="395">
        <f>VLOOKUP(D2935,'Detail Balok'!$C$10:$BJ$140,50,FALSE)</f>
        <v>100</v>
      </c>
      <c r="I2959" s="388"/>
      <c r="J2959" s="399">
        <f t="shared" ref="J2959" si="9510">(D2936-2*F$5)/1000</f>
        <v>0.12</v>
      </c>
      <c r="K2959" s="400" t="s">
        <v>204</v>
      </c>
      <c r="L2959" s="399">
        <f t="shared" ref="L2959:L2961" si="9511">IF(D2959=0,2*MAX(6*F2959,75),(D2959-1)*2*MAX(6*F2959,75))/1000</f>
        <v>0.15</v>
      </c>
      <c r="M2959" s="399" t="s">
        <v>176</v>
      </c>
      <c r="N2959" s="399">
        <f t="shared" ref="N2959:N2961" si="9512">J2959+L2959</f>
        <v>0.27</v>
      </c>
      <c r="O2959" s="399"/>
      <c r="P2959" s="399"/>
      <c r="Q2959" s="399"/>
      <c r="R2959" s="399"/>
      <c r="S2959" s="399"/>
      <c r="T2959" s="399" t="s">
        <v>125</v>
      </c>
      <c r="U2959" s="401">
        <f t="shared" ref="U2959:U2961" si="9513">0.006165*F2959^2</f>
        <v>0</v>
      </c>
      <c r="V2959" s="399" t="s">
        <v>125</v>
      </c>
      <c r="W2959" s="399">
        <f t="shared" si="9325"/>
        <v>14</v>
      </c>
      <c r="X2959" s="399" t="s">
        <v>125</v>
      </c>
      <c r="Y2959" s="389">
        <f t="shared" ref="Y2959" si="9514">D2945</f>
        <v>0</v>
      </c>
      <c r="Z2959" s="400" t="s">
        <v>176</v>
      </c>
      <c r="AA2959" s="402">
        <f t="shared" ref="AA2959:AA2961" si="9515">N2959*U2959*W2959*Y2959</f>
        <v>0</v>
      </c>
      <c r="AB2959" s="403"/>
    </row>
    <row r="2960" spans="1:28">
      <c r="A2960" s="384" t="str">
        <f t="shared" ref="A2960:B2960" si="9516">A2935</f>
        <v>Lantai 2</v>
      </c>
      <c r="B2960" s="385">
        <f t="shared" si="9516"/>
        <v>11</v>
      </c>
      <c r="C2960" s="393" t="s">
        <v>214</v>
      </c>
      <c r="D2960" s="398">
        <f>VLOOKUP(D2935,'Detail Balok'!$C$10:$BJ$140,51,FALSE)</f>
        <v>0</v>
      </c>
      <c r="E2960" s="388" t="s">
        <v>16</v>
      </c>
      <c r="F2960" s="388">
        <f>VLOOKUP(D2935,'Detail Balok'!$C$10:$BJ$140,53,FALSE)</f>
        <v>0</v>
      </c>
      <c r="G2960" s="405" t="s">
        <v>157</v>
      </c>
      <c r="H2960" s="395">
        <f>VLOOKUP(D2935,'Detail Balok'!$C$10:$BJ$140,55,FALSE)</f>
        <v>100</v>
      </c>
      <c r="I2960" s="388"/>
      <c r="J2960" s="399">
        <f t="shared" ref="J2960" si="9517">(D2936-2*F$5)/1000</f>
        <v>0.12</v>
      </c>
      <c r="K2960" s="400" t="s">
        <v>204</v>
      </c>
      <c r="L2960" s="399">
        <f t="shared" si="9511"/>
        <v>0.15</v>
      </c>
      <c r="M2960" s="399" t="s">
        <v>176</v>
      </c>
      <c r="N2960" s="399">
        <f t="shared" si="9512"/>
        <v>0.27</v>
      </c>
      <c r="O2960" s="399"/>
      <c r="P2960" s="399"/>
      <c r="Q2960" s="399"/>
      <c r="R2960" s="399"/>
      <c r="S2960" s="399"/>
      <c r="T2960" s="399" t="s">
        <v>125</v>
      </c>
      <c r="U2960" s="401">
        <f t="shared" si="9513"/>
        <v>0</v>
      </c>
      <c r="V2960" s="399" t="s">
        <v>125</v>
      </c>
      <c r="W2960" s="399">
        <f t="shared" si="9325"/>
        <v>17</v>
      </c>
      <c r="X2960" s="399" t="s">
        <v>125</v>
      </c>
      <c r="Y2960" s="389">
        <f t="shared" ref="Y2960" si="9518">D2945</f>
        <v>0</v>
      </c>
      <c r="Z2960" s="400" t="s">
        <v>176</v>
      </c>
      <c r="AA2960" s="402">
        <f t="shared" si="9515"/>
        <v>0</v>
      </c>
      <c r="AB2960" s="403"/>
    </row>
    <row r="2961" spans="1:28">
      <c r="A2961" s="384" t="str">
        <f t="shared" ref="A2961:B2961" si="9519">A2935</f>
        <v>Lantai 2</v>
      </c>
      <c r="B2961" s="385">
        <f t="shared" si="9519"/>
        <v>11</v>
      </c>
      <c r="C2961" s="393" t="s">
        <v>213</v>
      </c>
      <c r="D2961" s="398">
        <f>VLOOKUP(D2935,'Detail Balok'!$C$10:$BJ$140,56,FALSE)</f>
        <v>0</v>
      </c>
      <c r="E2961" s="388" t="s">
        <v>16</v>
      </c>
      <c r="F2961" s="388">
        <f>VLOOKUP(D2935,'Detail Balok'!$C$10:$BJ$140,58,FALSE)</f>
        <v>0</v>
      </c>
      <c r="G2961" s="405" t="s">
        <v>157</v>
      </c>
      <c r="H2961" s="395">
        <f>VLOOKUP(D2935,'Detail Balok'!$C$10:$BJ$140,60,FALSE)</f>
        <v>100</v>
      </c>
      <c r="I2961" s="388"/>
      <c r="J2961" s="399">
        <f t="shared" ref="J2961" si="9520">(D2936-2*F$5)/1000</f>
        <v>0.12</v>
      </c>
      <c r="K2961" s="400" t="s">
        <v>204</v>
      </c>
      <c r="L2961" s="399">
        <f t="shared" si="9511"/>
        <v>0.15</v>
      </c>
      <c r="M2961" s="399" t="s">
        <v>176</v>
      </c>
      <c r="N2961" s="399">
        <f t="shared" si="9512"/>
        <v>0.27</v>
      </c>
      <c r="O2961" s="399"/>
      <c r="P2961" s="399"/>
      <c r="Q2961" s="399"/>
      <c r="R2961" s="399"/>
      <c r="S2961" s="399"/>
      <c r="T2961" s="399" t="s">
        <v>125</v>
      </c>
      <c r="U2961" s="401">
        <f t="shared" si="9513"/>
        <v>0</v>
      </c>
      <c r="V2961" s="399" t="s">
        <v>125</v>
      </c>
      <c r="W2961" s="399">
        <f t="shared" si="9325"/>
        <v>14</v>
      </c>
      <c r="X2961" s="399" t="s">
        <v>125</v>
      </c>
      <c r="Y2961" s="389">
        <f t="shared" ref="Y2961" si="9521">D2945</f>
        <v>0</v>
      </c>
      <c r="Z2961" s="400" t="s">
        <v>176</v>
      </c>
      <c r="AA2961" s="402">
        <f t="shared" si="9515"/>
        <v>0</v>
      </c>
      <c r="AB2961" s="403"/>
    </row>
    <row r="2962" spans="1:28">
      <c r="A2962" s="391"/>
      <c r="B2962" s="392"/>
      <c r="C2962" s="392"/>
      <c r="D2962" s="394"/>
      <c r="E2962" s="388"/>
      <c r="F2962" s="388"/>
      <c r="G2962" s="388"/>
      <c r="H2962" s="395"/>
      <c r="I2962" s="388"/>
      <c r="J2962" s="402"/>
      <c r="K2962" s="388"/>
      <c r="L2962" s="388"/>
      <c r="M2962" s="388"/>
      <c r="N2962" s="388"/>
      <c r="O2962" s="388"/>
      <c r="P2962" s="388"/>
      <c r="Q2962" s="388"/>
      <c r="R2962" s="388"/>
      <c r="S2962" s="388"/>
      <c r="T2962" s="388"/>
      <c r="U2962" s="388"/>
      <c r="V2962" s="388"/>
      <c r="W2962" s="388"/>
      <c r="X2962" s="388"/>
      <c r="Y2962" s="389"/>
      <c r="Z2962" s="388"/>
      <c r="AA2962" s="402"/>
      <c r="AB2962" s="403"/>
    </row>
    <row r="2963" spans="1:28" ht="15.75" thickBot="1">
      <c r="A2963" s="406"/>
      <c r="B2963" s="407"/>
      <c r="C2963" s="407"/>
      <c r="D2963" s="408"/>
      <c r="E2963" s="409"/>
      <c r="F2963" s="409"/>
      <c r="G2963" s="409"/>
      <c r="H2963" s="410"/>
      <c r="I2963" s="409"/>
      <c r="J2963" s="409"/>
      <c r="K2963" s="409"/>
      <c r="L2963" s="409"/>
      <c r="M2963" s="409"/>
      <c r="N2963" s="409"/>
      <c r="O2963" s="409"/>
      <c r="P2963" s="409"/>
      <c r="Q2963" s="409"/>
      <c r="R2963" s="409"/>
      <c r="S2963" s="409"/>
      <c r="T2963" s="409"/>
      <c r="U2963" s="409"/>
      <c r="V2963" s="409"/>
      <c r="W2963" s="409"/>
      <c r="X2963" s="409"/>
      <c r="Y2963" s="411"/>
      <c r="Z2963" s="409"/>
      <c r="AA2963" s="412"/>
      <c r="AB2963" s="413"/>
    </row>
    <row r="2964" spans="1:28">
      <c r="A2964" s="377"/>
      <c r="B2964" s="378"/>
      <c r="C2964" s="378"/>
      <c r="D2964" s="379"/>
      <c r="E2964" s="380"/>
      <c r="F2964" s="380"/>
      <c r="G2964" s="380"/>
      <c r="H2964" s="381"/>
      <c r="I2964" s="380"/>
      <c r="J2964" s="380"/>
      <c r="K2964" s="380"/>
      <c r="L2964" s="380"/>
      <c r="M2964" s="380"/>
      <c r="N2964" s="380"/>
      <c r="O2964" s="380"/>
      <c r="P2964" s="380"/>
      <c r="Q2964" s="380"/>
      <c r="R2964" s="380"/>
      <c r="S2964" s="380"/>
      <c r="T2964" s="380"/>
      <c r="U2964" s="380"/>
      <c r="V2964" s="380"/>
      <c r="W2964" s="380"/>
      <c r="X2964" s="380"/>
      <c r="Y2964" s="382"/>
      <c r="Z2964" s="380"/>
      <c r="AA2964" s="380"/>
      <c r="AB2964" s="383"/>
    </row>
    <row r="2965" spans="1:28">
      <c r="A2965" s="384" t="str">
        <f t="shared" si="9334"/>
        <v>Lantai 2</v>
      </c>
      <c r="B2965" s="385">
        <f t="shared" si="9335"/>
        <v>12</v>
      </c>
      <c r="C2965" s="386" t="str">
        <f t="shared" ref="C2965" si="9522">CONCATENATE(A2965," no. ",B2965)</f>
        <v>Lantai 2 no. 12</v>
      </c>
      <c r="D2965" s="2562" t="str">
        <f>VLOOKUP(C2965,'Data Panjang Balok'!$C$9:$N$254,2,FALSE)</f>
        <v>B26-1</v>
      </c>
      <c r="E2965" s="2576"/>
      <c r="F2965" s="2576"/>
      <c r="G2965" s="2576"/>
      <c r="H2965" s="2577"/>
      <c r="I2965" s="387"/>
      <c r="J2965" s="388"/>
      <c r="K2965" s="388"/>
      <c r="L2965" s="388"/>
      <c r="M2965" s="388"/>
      <c r="N2965" s="388"/>
      <c r="O2965" s="388"/>
      <c r="P2965" s="388"/>
      <c r="Q2965" s="388"/>
      <c r="R2965" s="388"/>
      <c r="S2965" s="388"/>
      <c r="T2965" s="388"/>
      <c r="U2965" s="388"/>
      <c r="V2965" s="388"/>
      <c r="W2965" s="388"/>
      <c r="X2965" s="388"/>
      <c r="Y2965" s="389"/>
      <c r="Z2965" s="388"/>
      <c r="AA2965" s="388"/>
      <c r="AB2965" s="390"/>
    </row>
    <row r="2966" spans="1:28">
      <c r="A2966" s="391"/>
      <c r="B2966" s="392"/>
      <c r="C2966" s="393" t="s">
        <v>118</v>
      </c>
      <c r="D2966" s="2578">
        <f>VLOOKUP(D2965,'Detail Balok'!$C$10:$AU$140,2,FALSE)</f>
        <v>200</v>
      </c>
      <c r="E2966" s="2579"/>
      <c r="F2966" s="388" t="s">
        <v>125</v>
      </c>
      <c r="G2966" s="2579">
        <f>VLOOKUP(D2965,'Detail Balok'!$C$10:$AU$140,3,FALSE)</f>
        <v>600</v>
      </c>
      <c r="H2966" s="2580"/>
      <c r="I2966" s="388"/>
      <c r="J2966" s="396"/>
      <c r="K2966" s="396"/>
      <c r="L2966" s="396"/>
      <c r="M2966" s="396"/>
      <c r="N2966" s="396"/>
      <c r="O2966" s="396"/>
      <c r="P2966" s="396"/>
      <c r="Q2966" s="396"/>
      <c r="R2966" s="396"/>
      <c r="S2966" s="396"/>
      <c r="T2966" s="396"/>
      <c r="U2966" s="388"/>
      <c r="V2966" s="396"/>
      <c r="W2966" s="388"/>
      <c r="X2966" s="396"/>
      <c r="Y2966" s="389"/>
      <c r="Z2966" s="396"/>
      <c r="AA2966" s="388"/>
      <c r="AB2966" s="390"/>
    </row>
    <row r="2967" spans="1:28">
      <c r="A2967" s="391"/>
      <c r="B2967" s="392"/>
      <c r="C2967" s="393" t="s">
        <v>198</v>
      </c>
      <c r="D2967" s="2562">
        <f>VLOOKUP(C2965,'Data Panjang Balok'!$C$9:$N$254,4,FALSE)</f>
        <v>5900</v>
      </c>
      <c r="E2967" s="2563"/>
      <c r="F2967" s="2563"/>
      <c r="G2967" s="2563"/>
      <c r="H2967" s="2564"/>
      <c r="I2967" s="397"/>
      <c r="J2967" s="396"/>
      <c r="K2967" s="396"/>
      <c r="L2967" s="396"/>
      <c r="M2967" s="396"/>
      <c r="N2967" s="396"/>
      <c r="O2967" s="396"/>
      <c r="P2967" s="396"/>
      <c r="Q2967" s="396"/>
      <c r="R2967" s="396"/>
      <c r="S2967" s="396"/>
      <c r="T2967" s="396"/>
      <c r="U2967" s="388"/>
      <c r="V2967" s="396"/>
      <c r="W2967" s="388"/>
      <c r="X2967" s="396"/>
      <c r="Y2967" s="389"/>
      <c r="Z2967" s="396"/>
      <c r="AA2967" s="388"/>
      <c r="AB2967" s="390"/>
    </row>
    <row r="2968" spans="1:28">
      <c r="A2968" s="391"/>
      <c r="B2968" s="392"/>
      <c r="C2968" s="393" t="s">
        <v>199</v>
      </c>
      <c r="D2968" s="2562">
        <f>VLOOKUP(C2965,'Data Panjang Balok'!$C$9:$N$254,7,FALSE)</f>
        <v>5900</v>
      </c>
      <c r="E2968" s="2563"/>
      <c r="F2968" s="2563"/>
      <c r="G2968" s="2563"/>
      <c r="H2968" s="2564"/>
      <c r="I2968" s="397"/>
      <c r="J2968" s="396"/>
      <c r="K2968" s="396"/>
      <c r="L2968" s="396"/>
      <c r="M2968" s="396"/>
      <c r="N2968" s="396"/>
      <c r="O2968" s="396"/>
      <c r="P2968" s="396"/>
      <c r="Q2968" s="396"/>
      <c r="R2968" s="396"/>
      <c r="S2968" s="396"/>
      <c r="T2968" s="396"/>
      <c r="U2968" s="388"/>
      <c r="V2968" s="396"/>
      <c r="W2968" s="388"/>
      <c r="X2968" s="396"/>
      <c r="Y2968" s="389"/>
      <c r="Z2968" s="396"/>
      <c r="AA2968" s="388"/>
      <c r="AB2968" s="390"/>
    </row>
    <row r="2969" spans="1:28">
      <c r="A2969" s="391"/>
      <c r="B2969" s="392"/>
      <c r="C2969" s="393" t="s">
        <v>200</v>
      </c>
      <c r="D2969" s="2562">
        <f>VLOOKUP(C2965,'Data Panjang Balok'!$C$9:$N$254,9,FALSE)</f>
        <v>0</v>
      </c>
      <c r="E2969" s="2563"/>
      <c r="F2969" s="2563"/>
      <c r="G2969" s="2563"/>
      <c r="H2969" s="2564"/>
      <c r="I2969" s="397"/>
      <c r="J2969" s="396"/>
      <c r="K2969" s="396"/>
      <c r="L2969" s="396"/>
      <c r="M2969" s="396"/>
      <c r="N2969" s="396"/>
      <c r="O2969" s="396"/>
      <c r="P2969" s="396"/>
      <c r="Q2969" s="396"/>
      <c r="R2969" s="396"/>
      <c r="S2969" s="396"/>
      <c r="T2969" s="396"/>
      <c r="U2969" s="388"/>
      <c r="V2969" s="396"/>
      <c r="W2969" s="388"/>
      <c r="X2969" s="396"/>
      <c r="Y2969" s="389"/>
      <c r="Z2969" s="396"/>
      <c r="AA2969" s="388"/>
      <c r="AB2969" s="390"/>
    </row>
    <row r="2970" spans="1:28">
      <c r="A2970" s="391"/>
      <c r="B2970" s="392"/>
      <c r="C2970" s="393" t="s">
        <v>201</v>
      </c>
      <c r="D2970" s="2562">
        <f>VLOOKUP(C2965,'Data Panjang Balok'!$C$9:$N$254,10,FALSE)</f>
        <v>0</v>
      </c>
      <c r="E2970" s="2563"/>
      <c r="F2970" s="2563"/>
      <c r="G2970" s="2563"/>
      <c r="H2970" s="2564"/>
      <c r="I2970" s="397"/>
      <c r="J2970" s="396"/>
      <c r="K2970" s="396"/>
      <c r="L2970" s="396"/>
      <c r="M2970" s="396"/>
      <c r="N2970" s="396"/>
      <c r="O2970" s="396"/>
      <c r="P2970" s="396"/>
      <c r="Q2970" s="396"/>
      <c r="R2970" s="396"/>
      <c r="S2970" s="396"/>
      <c r="T2970" s="396"/>
      <c r="U2970" s="388"/>
      <c r="V2970" s="396"/>
      <c r="W2970" s="388"/>
      <c r="X2970" s="396"/>
      <c r="Y2970" s="389"/>
      <c r="Z2970" s="396"/>
      <c r="AA2970" s="388"/>
      <c r="AB2970" s="390"/>
    </row>
    <row r="2971" spans="1:28">
      <c r="A2971" s="391"/>
      <c r="B2971" s="392"/>
      <c r="C2971" s="393" t="s">
        <v>48</v>
      </c>
      <c r="D2971" s="2562">
        <f>VLOOKUP(C2965,'Data Panjang Balok'!$C$9:$N$254,3,FALSE)</f>
        <v>1</v>
      </c>
      <c r="E2971" s="2563"/>
      <c r="F2971" s="2563"/>
      <c r="G2971" s="2563"/>
      <c r="H2971" s="2564"/>
      <c r="I2971" s="397"/>
      <c r="J2971" s="396"/>
      <c r="K2971" s="396"/>
      <c r="L2971" s="396"/>
      <c r="M2971" s="396"/>
      <c r="N2971" s="396"/>
      <c r="O2971" s="396"/>
      <c r="P2971" s="396"/>
      <c r="Q2971" s="396"/>
      <c r="R2971" s="396"/>
      <c r="S2971" s="396"/>
      <c r="T2971" s="396"/>
      <c r="U2971" s="388"/>
      <c r="V2971" s="396"/>
      <c r="W2971" s="388"/>
      <c r="X2971" s="396"/>
      <c r="Y2971" s="389"/>
      <c r="Z2971" s="396"/>
      <c r="AA2971" s="388"/>
      <c r="AB2971" s="390"/>
    </row>
    <row r="2972" spans="1:28">
      <c r="A2972" s="384" t="str">
        <f t="shared" ref="A2972:B2972" si="9523">A2965</f>
        <v>Lantai 2</v>
      </c>
      <c r="B2972" s="385">
        <f t="shared" si="9523"/>
        <v>12</v>
      </c>
      <c r="C2972" s="393" t="s">
        <v>202</v>
      </c>
      <c r="D2972" s="398">
        <f>VLOOKUP(D2965,'Detail Balok'!$C$10:$AU$140,4,FALSE)</f>
        <v>4</v>
      </c>
      <c r="E2972" s="388" t="s">
        <v>16</v>
      </c>
      <c r="F2972" s="388">
        <f>VLOOKUP(D2965,'Detail Balok'!$C$10:$AU$140,6,FALSE)</f>
        <v>16</v>
      </c>
      <c r="G2972" s="388"/>
      <c r="H2972" s="395"/>
      <c r="I2972" s="388" t="s">
        <v>203</v>
      </c>
      <c r="J2972" s="399">
        <f t="shared" ref="J2972" si="9524">+D2967/4/1000</f>
        <v>1.4750000000000001</v>
      </c>
      <c r="K2972" s="400" t="s">
        <v>204</v>
      </c>
      <c r="L2972" s="399">
        <f t="shared" ref="L2972" si="9525">MAX(VLOOKUP(F2972,N$6:P$15,3,FALSE)/1000,2/3*D2969/1000)+F$16*F2972/1000</f>
        <v>0.192</v>
      </c>
      <c r="M2972" s="399" t="s">
        <v>176</v>
      </c>
      <c r="N2972" s="399">
        <f t="shared" ref="N2972:N2974" si="9526">J2972+L2972</f>
        <v>1.667</v>
      </c>
      <c r="O2972" s="399" t="s">
        <v>204</v>
      </c>
      <c r="P2972" s="389">
        <f t="shared" ref="P2972" si="9527">D2972-D2973</f>
        <v>1</v>
      </c>
      <c r="Q2972" s="399" t="s">
        <v>125</v>
      </c>
      <c r="R2972" s="399">
        <f t="shared" ref="R2972" si="9528">IF(P2972&gt;0,$F$18*F2972/1000,0)</f>
        <v>0.24</v>
      </c>
      <c r="S2972" s="399" t="s">
        <v>205</v>
      </c>
      <c r="T2972" s="399" t="s">
        <v>125</v>
      </c>
      <c r="U2972" s="401">
        <f t="shared" ref="U2972:U2974" si="9529">0.006165*F2972^2</f>
        <v>1.5782400000000001</v>
      </c>
      <c r="V2972" s="399"/>
      <c r="W2972" s="399"/>
      <c r="X2972" s="399" t="s">
        <v>125</v>
      </c>
      <c r="Y2972" s="389">
        <f t="shared" ref="Y2972" si="9530">D2971</f>
        <v>1</v>
      </c>
      <c r="Z2972" s="400" t="s">
        <v>176</v>
      </c>
      <c r="AA2972" s="402">
        <f t="shared" ref="AA2972" si="9531">IF(AA2975=0,(D2972*N2972+P2972*R2972)*U2972*Y2972,0)</f>
        <v>10.902481920000001</v>
      </c>
      <c r="AB2972" s="403"/>
    </row>
    <row r="2973" spans="1:28">
      <c r="A2973" s="384" t="str">
        <f t="shared" ref="A2973:B2973" si="9532">A2965</f>
        <v>Lantai 2</v>
      </c>
      <c r="B2973" s="385">
        <f t="shared" si="9532"/>
        <v>12</v>
      </c>
      <c r="C2973" s="393" t="s">
        <v>206</v>
      </c>
      <c r="D2973" s="398">
        <f>VLOOKUP(D2965,'Detail Balok'!$C$10:$AU$140,7,FALSE)</f>
        <v>3</v>
      </c>
      <c r="E2973" s="388" t="s">
        <v>16</v>
      </c>
      <c r="F2973" s="388">
        <f>VLOOKUP(D2965,'Detail Balok'!$C$10:$AU$140,9,FALSE)</f>
        <v>16</v>
      </c>
      <c r="G2973" s="388"/>
      <c r="H2973" s="395"/>
      <c r="I2973" s="388" t="s">
        <v>203</v>
      </c>
      <c r="J2973" s="399">
        <f t="shared" ref="J2973" si="9533">+D2967/2/1000</f>
        <v>2.95</v>
      </c>
      <c r="K2973" s="400" t="s">
        <v>204</v>
      </c>
      <c r="L2973" s="399"/>
      <c r="M2973" s="399" t="s">
        <v>176</v>
      </c>
      <c r="N2973" s="399">
        <f t="shared" si="9526"/>
        <v>2.95</v>
      </c>
      <c r="O2973" s="399" t="s">
        <v>204</v>
      </c>
      <c r="P2973" s="389">
        <f t="shared" ref="P2973" si="9534">MAX(D2973-D2972,D2973-D2974)</f>
        <v>-1</v>
      </c>
      <c r="Q2973" s="399" t="s">
        <v>125</v>
      </c>
      <c r="R2973" s="399">
        <f t="shared" ref="R2973" si="9535">IF(P2973&gt;0,2*(1-2*$F$19-1/2)*D2968/1000,0)</f>
        <v>0</v>
      </c>
      <c r="S2973" s="399" t="s">
        <v>205</v>
      </c>
      <c r="T2973" s="399" t="s">
        <v>125</v>
      </c>
      <c r="U2973" s="401">
        <f t="shared" si="9529"/>
        <v>1.5782400000000001</v>
      </c>
      <c r="V2973" s="399"/>
      <c r="W2973" s="399"/>
      <c r="X2973" s="399" t="s">
        <v>125</v>
      </c>
      <c r="Y2973" s="389">
        <f t="shared" ref="Y2973" si="9536">D2971</f>
        <v>1</v>
      </c>
      <c r="Z2973" s="400" t="s">
        <v>176</v>
      </c>
      <c r="AA2973" s="402">
        <f t="shared" ref="AA2973" si="9537">IF(AA2975=0,(D2973*N2973+P2973*R2973)*U2973*Y2973,0)</f>
        <v>13.967424000000003</v>
      </c>
      <c r="AB2973" s="403"/>
    </row>
    <row r="2974" spans="1:28">
      <c r="A2974" s="384" t="str">
        <f t="shared" ref="A2974:B2974" si="9538">A2965</f>
        <v>Lantai 2</v>
      </c>
      <c r="B2974" s="385">
        <f t="shared" si="9538"/>
        <v>12</v>
      </c>
      <c r="C2974" s="393" t="s">
        <v>202</v>
      </c>
      <c r="D2974" s="398">
        <f>VLOOKUP(D2965,'Detail Balok'!$C$10:$AU$140,10,FALSE)</f>
        <v>4</v>
      </c>
      <c r="E2974" s="388" t="s">
        <v>16</v>
      </c>
      <c r="F2974" s="388">
        <f>VLOOKUP(D2965,'Detail Balok'!$C$10:$AU$140,12,FALSE)</f>
        <v>16</v>
      </c>
      <c r="G2974" s="388"/>
      <c r="H2974" s="395"/>
      <c r="I2974" s="388" t="s">
        <v>203</v>
      </c>
      <c r="J2974" s="399">
        <f t="shared" ref="J2974" si="9539">+D2967/4/1000</f>
        <v>1.4750000000000001</v>
      </c>
      <c r="K2974" s="400" t="s">
        <v>204</v>
      </c>
      <c r="L2974" s="399">
        <f t="shared" ref="L2974" si="9540">MAX(VLOOKUP(F2974,N$6:P$15,3,FALSE)/1000,2/3*D2969/1000)+F$16*F2974/1000</f>
        <v>0.192</v>
      </c>
      <c r="M2974" s="399" t="s">
        <v>176</v>
      </c>
      <c r="N2974" s="399">
        <f t="shared" si="9526"/>
        <v>1.667</v>
      </c>
      <c r="O2974" s="399" t="s">
        <v>204</v>
      </c>
      <c r="P2974" s="389">
        <f t="shared" ref="P2974" si="9541">D2974-D2973</f>
        <v>1</v>
      </c>
      <c r="Q2974" s="399" t="s">
        <v>125</v>
      </c>
      <c r="R2974" s="399">
        <f t="shared" ref="R2974" si="9542">IF(P2974&gt;0,$F$18*F2974/1000,0)</f>
        <v>0.24</v>
      </c>
      <c r="S2974" s="399" t="s">
        <v>205</v>
      </c>
      <c r="T2974" s="399" t="s">
        <v>125</v>
      </c>
      <c r="U2974" s="401">
        <f t="shared" si="9529"/>
        <v>1.5782400000000001</v>
      </c>
      <c r="V2974" s="399"/>
      <c r="W2974" s="399"/>
      <c r="X2974" s="399" t="s">
        <v>125</v>
      </c>
      <c r="Y2974" s="389">
        <f t="shared" ref="Y2974" si="9543">D2971</f>
        <v>1</v>
      </c>
      <c r="Z2974" s="400" t="s">
        <v>176</v>
      </c>
      <c r="AA2974" s="402">
        <f t="shared" ref="AA2974" si="9544">IF(AA2975=0,(D2974*N2974+P2974*R2974)*U2974*Y2974,0)</f>
        <v>10.902481920000001</v>
      </c>
      <c r="AB2974" s="403"/>
    </row>
    <row r="2975" spans="1:28">
      <c r="A2975" s="384" t="str">
        <f t="shared" ref="A2975:B2975" si="9545">A2965</f>
        <v>Lantai 2</v>
      </c>
      <c r="B2975" s="385">
        <f t="shared" si="9545"/>
        <v>12</v>
      </c>
      <c r="C2975" s="393"/>
      <c r="D2975" s="398">
        <f t="shared" ref="D2975:D3035" si="9546">IF(AND(D2972=D2973,D2973=D2974,D2972=D2974),D2972,0)</f>
        <v>0</v>
      </c>
      <c r="E2975" s="388" t="s">
        <v>16</v>
      </c>
      <c r="F2975" s="388">
        <f t="shared" ref="F2975:F3035" si="9547">IF(AND(F2972=F2973,F2972=F2974,F2973=F2974),F2972,0)</f>
        <v>16</v>
      </c>
      <c r="G2975" s="388"/>
      <c r="H2975" s="395"/>
      <c r="I2975" s="388"/>
      <c r="J2975" s="396"/>
      <c r="K2975" s="396"/>
      <c r="L2975" s="404" t="s">
        <v>207</v>
      </c>
      <c r="M2975" s="399" t="s">
        <v>176</v>
      </c>
      <c r="N2975" s="399">
        <f t="shared" ref="N2975" si="9548">IF(AND(D2972=D2973,D2972=D2974,D2973=D2974,F2972=F2973,F2972=F2974,F2973=F2974),SUM(N2972:N2974),0)</f>
        <v>0</v>
      </c>
      <c r="O2975" s="399" t="s">
        <v>204</v>
      </c>
      <c r="P2975" s="389">
        <f t="shared" ref="P2975" si="9549">IF(N2975&gt;12,ROUNDDOWN(N2975/12,0),0)</f>
        <v>0</v>
      </c>
      <c r="Q2975" s="399" t="s">
        <v>125</v>
      </c>
      <c r="R2975" s="399">
        <f t="shared" ref="R2975" si="9550">IF(P2975&gt;0,MAX(VLOOKUP(F2975,$D$6:$G$15,3,FALSE),600),0)/1000</f>
        <v>0</v>
      </c>
      <c r="S2975" s="396"/>
      <c r="T2975" s="396" t="s">
        <v>125</v>
      </c>
      <c r="U2975" s="401">
        <f t="shared" ref="U2975:U3035" si="9551">U2974</f>
        <v>1.5782400000000001</v>
      </c>
      <c r="V2975" s="396" t="s">
        <v>125</v>
      </c>
      <c r="W2975" s="399">
        <f t="shared" ref="W2975" si="9552">D2975</f>
        <v>0</v>
      </c>
      <c r="X2975" s="399" t="s">
        <v>125</v>
      </c>
      <c r="Y2975" s="389">
        <f t="shared" ref="Y2975:Y3035" si="9553">Y2974</f>
        <v>1</v>
      </c>
      <c r="Z2975" s="400" t="s">
        <v>176</v>
      </c>
      <c r="AA2975" s="402">
        <f t="shared" ref="AA2975" si="9554">(N2975+P2975*R2975/1000)*U2975*W2975*Y2975</f>
        <v>0</v>
      </c>
      <c r="AB2975" s="390"/>
    </row>
    <row r="2976" spans="1:28">
      <c r="A2976" s="384"/>
      <c r="B2976" s="385"/>
      <c r="C2976" s="393"/>
      <c r="D2976" s="398"/>
      <c r="E2976" s="388"/>
      <c r="F2976" s="388"/>
      <c r="G2976" s="388"/>
      <c r="H2976" s="395"/>
      <c r="I2976" s="388"/>
      <c r="J2976" s="396"/>
      <c r="K2976" s="396"/>
      <c r="L2976" s="404"/>
      <c r="M2976" s="399"/>
      <c r="N2976" s="399"/>
      <c r="O2976" s="396"/>
      <c r="P2976" s="389"/>
      <c r="Q2976" s="396"/>
      <c r="R2976" s="396"/>
      <c r="S2976" s="396"/>
      <c r="T2976" s="396"/>
      <c r="U2976" s="401"/>
      <c r="V2976" s="396"/>
      <c r="W2976" s="399"/>
      <c r="X2976" s="396"/>
      <c r="Y2976" s="389"/>
      <c r="Z2976" s="396"/>
      <c r="AA2976" s="388"/>
      <c r="AB2976" s="390"/>
    </row>
    <row r="2977" spans="1:28">
      <c r="A2977" s="384" t="str">
        <f t="shared" ref="A2977:B2977" si="9555">A2965</f>
        <v>Lantai 2</v>
      </c>
      <c r="B2977" s="385">
        <f t="shared" si="9555"/>
        <v>12</v>
      </c>
      <c r="C2977" s="393" t="s">
        <v>208</v>
      </c>
      <c r="D2977" s="398">
        <f>VLOOKUP(D2965,'Detail Balok'!$C$10:$AU$140,13,FALSE)</f>
        <v>2</v>
      </c>
      <c r="E2977" s="388" t="s">
        <v>16</v>
      </c>
      <c r="F2977" s="388">
        <f>VLOOKUP(D2965,'Detail Balok'!$C$10:$AU$140,15,FALSE)</f>
        <v>10</v>
      </c>
      <c r="G2977" s="388"/>
      <c r="H2977" s="395"/>
      <c r="I2977" s="388"/>
      <c r="J2977" s="399">
        <f t="shared" ref="J2977" si="9556">+D2967/1000</f>
        <v>5.9</v>
      </c>
      <c r="K2977" s="400" t="s">
        <v>204</v>
      </c>
      <c r="L2977" s="399">
        <f t="shared" ref="L2977" si="9557">2*$F$16*F2977/1000</f>
        <v>0.24</v>
      </c>
      <c r="M2977" s="399" t="s">
        <v>176</v>
      </c>
      <c r="N2977" s="399">
        <f t="shared" ref="N2977" si="9558">J2977+L2977</f>
        <v>6.1400000000000006</v>
      </c>
      <c r="O2977" s="399" t="s">
        <v>204</v>
      </c>
      <c r="P2977" s="389">
        <f t="shared" ref="P2977" si="9559">IF(N2977&gt;12,ROUNDDOWN(N2977/12,0),0)</f>
        <v>0</v>
      </c>
      <c r="Q2977" s="399" t="s">
        <v>125</v>
      </c>
      <c r="R2977" s="399">
        <f t="shared" ref="R2977" si="9560">IF(P2977&gt;0,MAX(VLOOKUP(F2977,$D$6:$G$15,3,FALSE),600),0)/1000</f>
        <v>0</v>
      </c>
      <c r="S2977" s="399"/>
      <c r="T2977" s="399" t="s">
        <v>125</v>
      </c>
      <c r="U2977" s="401">
        <f t="shared" ref="U2977" si="9561">0.006165*F2977^2</f>
        <v>0.61650000000000005</v>
      </c>
      <c r="V2977" s="399" t="s">
        <v>125</v>
      </c>
      <c r="W2977" s="399">
        <f t="shared" ref="W2977" si="9562">+D2977</f>
        <v>2</v>
      </c>
      <c r="X2977" s="399" t="s">
        <v>125</v>
      </c>
      <c r="Y2977" s="389">
        <f t="shared" ref="Y2977" si="9563">D2971</f>
        <v>1</v>
      </c>
      <c r="Z2977" s="400" t="s">
        <v>176</v>
      </c>
      <c r="AA2977" s="402">
        <f t="shared" ref="AA2977" si="9564">(N2977+P2977*R2977/1000)*U2977*W2977*Y2977</f>
        <v>7.5706200000000017</v>
      </c>
      <c r="AB2977" s="403"/>
    </row>
    <row r="2978" spans="1:28">
      <c r="A2978" s="384"/>
      <c r="B2978" s="385"/>
      <c r="C2978" s="393"/>
      <c r="D2978" s="398"/>
      <c r="E2978" s="388"/>
      <c r="F2978" s="388"/>
      <c r="G2978" s="388"/>
      <c r="H2978" s="395"/>
      <c r="I2978" s="388"/>
      <c r="J2978" s="399"/>
      <c r="K2978" s="400"/>
      <c r="L2978" s="399"/>
      <c r="M2978" s="399"/>
      <c r="N2978" s="399"/>
      <c r="O2978" s="399"/>
      <c r="P2978" s="389"/>
      <c r="Q2978" s="399"/>
      <c r="R2978" s="399"/>
      <c r="S2978" s="399"/>
      <c r="T2978" s="399"/>
      <c r="U2978" s="401"/>
      <c r="V2978" s="399"/>
      <c r="W2978" s="399"/>
      <c r="X2978" s="399"/>
      <c r="Y2978" s="389"/>
      <c r="Z2978" s="400"/>
      <c r="AA2978" s="402"/>
      <c r="AB2978" s="403"/>
    </row>
    <row r="2979" spans="1:28">
      <c r="A2979" s="384"/>
      <c r="B2979" s="385"/>
      <c r="C2979" s="393"/>
      <c r="D2979" s="398"/>
      <c r="E2979" s="388"/>
      <c r="F2979" s="388"/>
      <c r="G2979" s="388"/>
      <c r="H2979" s="395"/>
      <c r="I2979" s="388"/>
      <c r="J2979" s="396"/>
      <c r="K2979" s="396"/>
      <c r="L2979" s="396"/>
      <c r="M2979" s="396"/>
      <c r="N2979" s="396"/>
      <c r="O2979" s="396"/>
      <c r="P2979" s="389"/>
      <c r="Q2979" s="396"/>
      <c r="R2979" s="396"/>
      <c r="S2979" s="396"/>
      <c r="T2979" s="396"/>
      <c r="U2979" s="401"/>
      <c r="V2979" s="396"/>
      <c r="W2979" s="399"/>
      <c r="X2979" s="396"/>
      <c r="Y2979" s="389"/>
      <c r="Z2979" s="396"/>
      <c r="AA2979" s="388"/>
      <c r="AB2979" s="390"/>
    </row>
    <row r="2980" spans="1:28">
      <c r="A2980" s="384" t="str">
        <f t="shared" ref="A2980:B2980" si="9565">A2965</f>
        <v>Lantai 2</v>
      </c>
      <c r="B2980" s="385">
        <f t="shared" si="9565"/>
        <v>12</v>
      </c>
      <c r="C2980" s="393" t="s">
        <v>209</v>
      </c>
      <c r="D2980" s="398">
        <f>VLOOKUP(D2965,'Detail Balok'!$C$10:$AU$140,22,FALSE)</f>
        <v>3</v>
      </c>
      <c r="E2980" s="388" t="s">
        <v>16</v>
      </c>
      <c r="F2980" s="388">
        <f>VLOOKUP(D2965,'Detail Balok'!$C$10:$AU$140,24,FALSE)</f>
        <v>16</v>
      </c>
      <c r="G2980" s="388"/>
      <c r="H2980" s="395"/>
      <c r="I2980" s="388" t="s">
        <v>203</v>
      </c>
      <c r="J2980" s="399">
        <f t="shared" ref="J2980:J3042" si="9566">+J2972</f>
        <v>1.4750000000000001</v>
      </c>
      <c r="K2980" s="400" t="s">
        <v>204</v>
      </c>
      <c r="L2980" s="399">
        <f t="shared" ref="L2980" si="9567">MAX(VLOOKUP(F2980,N$6:P$15,3,FALSE)/1000,2/3*D2970/1000)+F$16*F2980/1000</f>
        <v>0.192</v>
      </c>
      <c r="M2980" s="399" t="s">
        <v>176</v>
      </c>
      <c r="N2980" s="399">
        <f t="shared" ref="N2980:N2982" si="9568">J2980+L2980</f>
        <v>1.667</v>
      </c>
      <c r="O2980" s="399" t="s">
        <v>204</v>
      </c>
      <c r="P2980" s="389">
        <f t="shared" ref="P2980" si="9569">D2980-D2981</f>
        <v>-1</v>
      </c>
      <c r="Q2980" s="399" t="s">
        <v>125</v>
      </c>
      <c r="R2980" s="399">
        <f t="shared" ref="R2980" si="9570">IF(P2980&gt;0,$F$18*F2980/1000,0)</f>
        <v>0</v>
      </c>
      <c r="S2980" s="399" t="s">
        <v>205</v>
      </c>
      <c r="T2980" s="399" t="s">
        <v>125</v>
      </c>
      <c r="U2980" s="401">
        <f t="shared" ref="U2980:U2982" si="9571">0.006165*F2980^2</f>
        <v>1.5782400000000001</v>
      </c>
      <c r="V2980" s="399"/>
      <c r="W2980" s="399"/>
      <c r="X2980" s="399" t="s">
        <v>125</v>
      </c>
      <c r="Y2980" s="389">
        <f t="shared" ref="Y2980" si="9572">D2971</f>
        <v>1</v>
      </c>
      <c r="Z2980" s="400" t="s">
        <v>176</v>
      </c>
      <c r="AA2980" s="402">
        <f t="shared" ref="AA2980" si="9573">IF(AA2983=0,(D2980*N2980+P2980*R2980)*U2980*Y2980,0)</f>
        <v>7.8927782400000011</v>
      </c>
      <c r="AB2980" s="403"/>
    </row>
    <row r="2981" spans="1:28">
      <c r="A2981" s="384" t="str">
        <f t="shared" ref="A2981:B2981" si="9574">A2965</f>
        <v>Lantai 2</v>
      </c>
      <c r="B2981" s="385">
        <f t="shared" si="9574"/>
        <v>12</v>
      </c>
      <c r="C2981" s="393" t="s">
        <v>210</v>
      </c>
      <c r="D2981" s="398">
        <f>VLOOKUP(D2965,'Detail Balok'!$C$10:$AU$140,25,FALSE)</f>
        <v>4</v>
      </c>
      <c r="E2981" s="388" t="s">
        <v>16</v>
      </c>
      <c r="F2981" s="388">
        <f>VLOOKUP(D2965,'Detail Balok'!$C$10:$AU$140,27,FALSE)</f>
        <v>16</v>
      </c>
      <c r="G2981" s="388"/>
      <c r="H2981" s="395"/>
      <c r="I2981" s="388" t="s">
        <v>203</v>
      </c>
      <c r="J2981" s="399">
        <f t="shared" si="9566"/>
        <v>2.95</v>
      </c>
      <c r="K2981" s="400" t="s">
        <v>204</v>
      </c>
      <c r="L2981" s="399"/>
      <c r="M2981" s="399" t="s">
        <v>176</v>
      </c>
      <c r="N2981" s="399">
        <f t="shared" si="9568"/>
        <v>2.95</v>
      </c>
      <c r="O2981" s="399" t="s">
        <v>204</v>
      </c>
      <c r="P2981" s="389">
        <f t="shared" ref="P2981" si="9575">MAX(D2981-D2980,D2981-D2982)</f>
        <v>1</v>
      </c>
      <c r="Q2981" s="399" t="s">
        <v>125</v>
      </c>
      <c r="R2981" s="399">
        <f t="shared" ref="R2981" si="9576">IF(P2981&gt;0,2*(1-2*$F$19-1/2)*D2968/1000,0)</f>
        <v>1.1799999999999997</v>
      </c>
      <c r="S2981" s="399" t="s">
        <v>205</v>
      </c>
      <c r="T2981" s="399" t="s">
        <v>125</v>
      </c>
      <c r="U2981" s="401">
        <f t="shared" si="9571"/>
        <v>1.5782400000000001</v>
      </c>
      <c r="V2981" s="399"/>
      <c r="W2981" s="399"/>
      <c r="X2981" s="399" t="s">
        <v>125</v>
      </c>
      <c r="Y2981" s="389">
        <f t="shared" ref="Y2981" si="9577">D2971</f>
        <v>1</v>
      </c>
      <c r="Z2981" s="400" t="s">
        <v>176</v>
      </c>
      <c r="AA2981" s="402">
        <f t="shared" ref="AA2981" si="9578">IF(AA2983=0,(D2981*N2981+P2981*R2981)*U2981*Y2981,0)</f>
        <v>20.4855552</v>
      </c>
      <c r="AB2981" s="403"/>
    </row>
    <row r="2982" spans="1:28">
      <c r="A2982" s="384" t="str">
        <f t="shared" ref="A2982:B2982" si="9579">A2965</f>
        <v>Lantai 2</v>
      </c>
      <c r="B2982" s="385">
        <f t="shared" si="9579"/>
        <v>12</v>
      </c>
      <c r="C2982" s="393" t="s">
        <v>209</v>
      </c>
      <c r="D2982" s="398">
        <f>VLOOKUP(D2965,'Detail Balok'!$C$10:$AU$140,28,FALSE)</f>
        <v>3</v>
      </c>
      <c r="E2982" s="388" t="s">
        <v>16</v>
      </c>
      <c r="F2982" s="388">
        <f>VLOOKUP(D2965,'Detail Balok'!$C$10:$AU$140,30,FALSE)</f>
        <v>16</v>
      </c>
      <c r="G2982" s="388"/>
      <c r="H2982" s="395"/>
      <c r="I2982" s="388" t="s">
        <v>203</v>
      </c>
      <c r="J2982" s="399">
        <f t="shared" si="9566"/>
        <v>1.4750000000000001</v>
      </c>
      <c r="K2982" s="400" t="s">
        <v>204</v>
      </c>
      <c r="L2982" s="399">
        <f t="shared" ref="L2982" si="9580">MAX(VLOOKUP(F2982,N$6:P$15,3,FALSE)/1000,2/3*D2970/1000)+F$16*F2982/1000</f>
        <v>0.192</v>
      </c>
      <c r="M2982" s="399" t="s">
        <v>176</v>
      </c>
      <c r="N2982" s="399">
        <f t="shared" si="9568"/>
        <v>1.667</v>
      </c>
      <c r="O2982" s="399" t="s">
        <v>204</v>
      </c>
      <c r="P2982" s="389">
        <f t="shared" ref="P2982" si="9581">D2982-D2981</f>
        <v>-1</v>
      </c>
      <c r="Q2982" s="399" t="s">
        <v>125</v>
      </c>
      <c r="R2982" s="399">
        <f t="shared" ref="R2982" si="9582">IF(P2982&gt;0,$F$18*F2982/1000,0)</f>
        <v>0</v>
      </c>
      <c r="S2982" s="399" t="s">
        <v>205</v>
      </c>
      <c r="T2982" s="399" t="s">
        <v>125</v>
      </c>
      <c r="U2982" s="401">
        <f t="shared" si="9571"/>
        <v>1.5782400000000001</v>
      </c>
      <c r="V2982" s="399"/>
      <c r="W2982" s="399"/>
      <c r="X2982" s="399" t="s">
        <v>125</v>
      </c>
      <c r="Y2982" s="389">
        <f t="shared" ref="Y2982" si="9583">D2971</f>
        <v>1</v>
      </c>
      <c r="Z2982" s="400" t="s">
        <v>176</v>
      </c>
      <c r="AA2982" s="402">
        <f t="shared" ref="AA2982" si="9584">IF(AA2983=0,(D2982*N2982+P2982*R2982)*U2982*Y2982,0)</f>
        <v>7.8927782400000011</v>
      </c>
      <c r="AB2982" s="403"/>
    </row>
    <row r="2983" spans="1:28">
      <c r="A2983" s="384" t="str">
        <f t="shared" ref="A2983:B2983" si="9585">A2965</f>
        <v>Lantai 2</v>
      </c>
      <c r="B2983" s="385">
        <f t="shared" si="9585"/>
        <v>12</v>
      </c>
      <c r="C2983" s="393"/>
      <c r="D2983" s="398">
        <f t="shared" ref="D2983:D3043" si="9586">IF(AND(D2980=D2981,D2981=D2982,D2980=D2982),D2980,0)</f>
        <v>0</v>
      </c>
      <c r="E2983" s="388" t="s">
        <v>16</v>
      </c>
      <c r="F2983" s="388">
        <f t="shared" ref="F2983:F3043" si="9587">IF(AND(F2980=F2981,F2980=F2982,F2981=F2982),F2980,0)</f>
        <v>16</v>
      </c>
      <c r="G2983" s="388"/>
      <c r="H2983" s="395"/>
      <c r="I2983" s="388"/>
      <c r="J2983" s="396"/>
      <c r="K2983" s="396"/>
      <c r="L2983" s="404" t="s">
        <v>207</v>
      </c>
      <c r="M2983" s="399" t="s">
        <v>176</v>
      </c>
      <c r="N2983" s="399">
        <f t="shared" ref="N2983" si="9588">IF(AND(D2980=D2981,D2980=D2982,D2981=D2982,F2980=F2981,F2980=F2982,F2981=F2982),SUM(N2980:N2982),0)</f>
        <v>0</v>
      </c>
      <c r="O2983" s="399" t="s">
        <v>204</v>
      </c>
      <c r="P2983" s="389">
        <f t="shared" ref="P2983" si="9589">IF(N2983&gt;12,ROUNDDOWN(N2983/12,0),0)</f>
        <v>0</v>
      </c>
      <c r="Q2983" s="399" t="s">
        <v>125</v>
      </c>
      <c r="R2983" s="399">
        <f t="shared" ref="R2983" si="9590">IF(P2983&gt;0,MAX(VLOOKUP(F2983,$D$6:$G$15,3,FALSE),600),0)/1000</f>
        <v>0</v>
      </c>
      <c r="S2983" s="396"/>
      <c r="T2983" s="396" t="s">
        <v>125</v>
      </c>
      <c r="U2983" s="401">
        <f t="shared" ref="U2983:U3043" si="9591">U2982</f>
        <v>1.5782400000000001</v>
      </c>
      <c r="V2983" s="396" t="s">
        <v>125</v>
      </c>
      <c r="W2983" s="399">
        <f t="shared" ref="W2983" si="9592">D2983</f>
        <v>0</v>
      </c>
      <c r="X2983" s="399" t="s">
        <v>125</v>
      </c>
      <c r="Y2983" s="389">
        <f t="shared" ref="Y2983:Y3043" si="9593">Y2982</f>
        <v>1</v>
      </c>
      <c r="Z2983" s="400" t="s">
        <v>176</v>
      </c>
      <c r="AA2983" s="402">
        <f t="shared" ref="AA2983" si="9594">(N2983+P2983*R2983/1000)*U2983*W2983*Y2983</f>
        <v>0</v>
      </c>
      <c r="AB2983" s="403"/>
    </row>
    <row r="2984" spans="1:28">
      <c r="A2984" s="384"/>
      <c r="B2984" s="385"/>
      <c r="C2984" s="393"/>
      <c r="D2984" s="394"/>
      <c r="E2984" s="388"/>
      <c r="F2984" s="388"/>
      <c r="G2984" s="388"/>
      <c r="H2984" s="395"/>
      <c r="I2984" s="388"/>
      <c r="J2984" s="399"/>
      <c r="K2984" s="396"/>
      <c r="L2984" s="396"/>
      <c r="M2984" s="396"/>
      <c r="N2984" s="396"/>
      <c r="O2984" s="396"/>
      <c r="P2984" s="389"/>
      <c r="Q2984" s="396"/>
      <c r="R2984" s="396"/>
      <c r="S2984" s="396"/>
      <c r="T2984" s="396"/>
      <c r="U2984" s="401"/>
      <c r="V2984" s="396"/>
      <c r="W2984" s="388"/>
      <c r="X2984" s="396"/>
      <c r="Y2984" s="389"/>
      <c r="Z2984" s="396"/>
      <c r="AA2984" s="388"/>
      <c r="AB2984" s="390"/>
    </row>
    <row r="2985" spans="1:28">
      <c r="A2985" s="384" t="str">
        <f t="shared" ref="A2985:B2985" si="9595">A2965</f>
        <v>Lantai 2</v>
      </c>
      <c r="B2985" s="385">
        <f t="shared" si="9595"/>
        <v>12</v>
      </c>
      <c r="C2985" s="393" t="s">
        <v>211</v>
      </c>
      <c r="D2985" s="398">
        <f>VLOOKUP(D2965,'Detail Balok'!$C$10:$AU$140,31,FALSE)</f>
        <v>0</v>
      </c>
      <c r="E2985" s="388" t="s">
        <v>16</v>
      </c>
      <c r="F2985" s="388">
        <f>VLOOKUP(D2965,'Detail Balok'!$C$10:$AU$140,33,FALSE)</f>
        <v>10</v>
      </c>
      <c r="G2985" s="405" t="s">
        <v>157</v>
      </c>
      <c r="H2985" s="395">
        <f>VLOOKUP(D2965,'Detail Balok'!$C$10:$AU$140,35,FALSE)</f>
        <v>100</v>
      </c>
      <c r="I2985" s="388"/>
      <c r="J2985" s="400">
        <f t="shared" ref="J2985" si="9596">(IF(D2985=0,(2*(D2966+G2966))-(F$5*8),IF(D2985=3,(2*(D2966+G2966))-(F$5*8)+(G2966-2*F$5),IF(D2985=4,(2*(D2966+G2966))-(F$5*8)+2*(G2966-2*F$5)))))/1000</f>
        <v>1.28</v>
      </c>
      <c r="K2985" s="400" t="s">
        <v>204</v>
      </c>
      <c r="L2985" s="399">
        <f t="shared" ref="L2985:L2987" si="9597">IF(D2985=0,2*MAX(6*F2985,75),(D2985-1)*2*MAX(6*F2985,75))/1000</f>
        <v>0.15</v>
      </c>
      <c r="M2985" s="399" t="s">
        <v>176</v>
      </c>
      <c r="N2985" s="399">
        <f t="shared" ref="N2985:N2987" si="9598">J2985+L2985</f>
        <v>1.43</v>
      </c>
      <c r="O2985" s="399"/>
      <c r="P2985" s="389"/>
      <c r="Q2985" s="399"/>
      <c r="R2985" s="399"/>
      <c r="S2985" s="399"/>
      <c r="T2985" s="399" t="s">
        <v>125</v>
      </c>
      <c r="U2985" s="401">
        <f t="shared" ref="U2985:U2987" si="9599">0.006165*F2985^2</f>
        <v>0.61650000000000005</v>
      </c>
      <c r="V2985" s="399" t="s">
        <v>125</v>
      </c>
      <c r="W2985" s="399">
        <f t="shared" ref="W2985" si="9600">IF(D2968&gt;4*G2966,ROUND(MAX(D2968/4,2*G2966)/H2985,0)+1,ROUND(D2968/H2985,0)+1)</f>
        <v>16</v>
      </c>
      <c r="X2985" s="399" t="s">
        <v>125</v>
      </c>
      <c r="Y2985" s="389">
        <f t="shared" ref="Y2985" si="9601">D2971</f>
        <v>1</v>
      </c>
      <c r="Z2985" s="400" t="s">
        <v>176</v>
      </c>
      <c r="AA2985" s="402">
        <f t="shared" ref="AA2985:AA2987" si="9602">N2985*U2985*W2985*Y2985</f>
        <v>14.10552</v>
      </c>
      <c r="AB2985" s="403"/>
    </row>
    <row r="2986" spans="1:28">
      <c r="A2986" s="384" t="str">
        <f t="shared" ref="A2986:B2986" si="9603">A2965</f>
        <v>Lantai 2</v>
      </c>
      <c r="B2986" s="385">
        <f t="shared" si="9603"/>
        <v>12</v>
      </c>
      <c r="C2986" s="393" t="s">
        <v>212</v>
      </c>
      <c r="D2986" s="398">
        <f>VLOOKUP(D2965,'Detail Balok'!$C$10:$AU$140,36,FALSE)</f>
        <v>0</v>
      </c>
      <c r="E2986" s="388" t="s">
        <v>16</v>
      </c>
      <c r="F2986" s="388">
        <f>VLOOKUP(D2965,'Detail Balok'!$C$10:$AU$140,38,FALSE)</f>
        <v>10</v>
      </c>
      <c r="G2986" s="405" t="s">
        <v>157</v>
      </c>
      <c r="H2986" s="395">
        <f>VLOOKUP(D2965,'Detail Balok'!$C$10:$AU$140,40,FALSE)</f>
        <v>150</v>
      </c>
      <c r="I2986" s="388"/>
      <c r="J2986" s="400">
        <f t="shared" ref="J2986" si="9604">(IF(D2986=0,(2*(D2966+G2966))-(F$5*8),IF(D2986=3,(2*(D2966+G2966))-(F$5*8)+(G2966-2*F$5),IF(D2986=4,(2*(D2966+G2966))-(F$5*8)+2*(G2966-2*F$5)))))/1000</f>
        <v>1.28</v>
      </c>
      <c r="K2986" s="400" t="s">
        <v>204</v>
      </c>
      <c r="L2986" s="399">
        <f t="shared" si="9597"/>
        <v>0.15</v>
      </c>
      <c r="M2986" s="399" t="s">
        <v>176</v>
      </c>
      <c r="N2986" s="399">
        <f t="shared" si="9598"/>
        <v>1.43</v>
      </c>
      <c r="O2986" s="399"/>
      <c r="P2986" s="389"/>
      <c r="Q2986" s="399"/>
      <c r="R2986" s="399"/>
      <c r="S2986" s="399"/>
      <c r="T2986" s="399" t="s">
        <v>125</v>
      </c>
      <c r="U2986" s="401">
        <f t="shared" si="9599"/>
        <v>0.61650000000000005</v>
      </c>
      <c r="V2986" s="399" t="s">
        <v>125</v>
      </c>
      <c r="W2986" s="399">
        <f t="shared" ref="W2986" si="9605">IF(D2968-MAX(D2968/4,2*G2966)*2&gt;0,ROUND((D2968-MAX(D2968/4,2*G2966)*2)/H2986,0),0)</f>
        <v>20</v>
      </c>
      <c r="X2986" s="399" t="s">
        <v>125</v>
      </c>
      <c r="Y2986" s="389">
        <f t="shared" ref="Y2986" si="9606">D2971</f>
        <v>1</v>
      </c>
      <c r="Z2986" s="400" t="s">
        <v>176</v>
      </c>
      <c r="AA2986" s="402">
        <f t="shared" si="9602"/>
        <v>17.631900000000002</v>
      </c>
      <c r="AB2986" s="403"/>
    </row>
    <row r="2987" spans="1:28">
      <c r="A2987" s="384" t="str">
        <f t="shared" ref="A2987:B2987" si="9607">A2965</f>
        <v>Lantai 2</v>
      </c>
      <c r="B2987" s="385">
        <f t="shared" si="9607"/>
        <v>12</v>
      </c>
      <c r="C2987" s="393" t="s">
        <v>211</v>
      </c>
      <c r="D2987" s="398">
        <f>VLOOKUP(D2965,'Detail Balok'!$C$10:$AU$140,41,FALSE)</f>
        <v>0</v>
      </c>
      <c r="E2987" s="388" t="s">
        <v>16</v>
      </c>
      <c r="F2987" s="388">
        <f>VLOOKUP(D2965,'Detail Balok'!$C$10:$AU$140,43,FALSE)</f>
        <v>10</v>
      </c>
      <c r="G2987" s="405" t="s">
        <v>157</v>
      </c>
      <c r="H2987" s="395">
        <f>VLOOKUP(D2965,'Detail Balok'!$C$10:$AU$140,45,FALSE)</f>
        <v>100</v>
      </c>
      <c r="I2987" s="388"/>
      <c r="J2987" s="400">
        <f t="shared" ref="J2987" si="9608">(IF(D2987=0,(2*(D2966+G2966))-(F$5*8),IF(D2987=3,(2*(D2966+G2966))-(F$5*8)+(G2966-2*F$5),IF(D2987=4,(2*(D2966+G2966))-(F$5*8)+2*(G2966-2*F$5)))))/1000</f>
        <v>1.28</v>
      </c>
      <c r="K2987" s="400" t="s">
        <v>204</v>
      </c>
      <c r="L2987" s="399">
        <f t="shared" si="9597"/>
        <v>0.15</v>
      </c>
      <c r="M2987" s="399" t="s">
        <v>176</v>
      </c>
      <c r="N2987" s="399">
        <f t="shared" si="9598"/>
        <v>1.43</v>
      </c>
      <c r="O2987" s="399"/>
      <c r="P2987" s="389"/>
      <c r="Q2987" s="399"/>
      <c r="R2987" s="399"/>
      <c r="S2987" s="399"/>
      <c r="T2987" s="399" t="s">
        <v>125</v>
      </c>
      <c r="U2987" s="401">
        <f t="shared" si="9599"/>
        <v>0.61650000000000005</v>
      </c>
      <c r="V2987" s="399" t="s">
        <v>125</v>
      </c>
      <c r="W2987" s="399">
        <f t="shared" ref="W2987" si="9609">IF(D2968&gt;4*G2966,ROUND(MAX(D2968/4,2*G2966)/H2987,0)+1,0)</f>
        <v>16</v>
      </c>
      <c r="X2987" s="399" t="s">
        <v>125</v>
      </c>
      <c r="Y2987" s="389">
        <f t="shared" ref="Y2987" si="9610">D2971</f>
        <v>1</v>
      </c>
      <c r="Z2987" s="400" t="s">
        <v>176</v>
      </c>
      <c r="AA2987" s="402">
        <f t="shared" si="9602"/>
        <v>14.10552</v>
      </c>
      <c r="AB2987" s="403"/>
    </row>
    <row r="2988" spans="1:28">
      <c r="A2988" s="384"/>
      <c r="B2988" s="385"/>
      <c r="C2988" s="393"/>
      <c r="D2988" s="394"/>
      <c r="E2988" s="388"/>
      <c r="F2988" s="388"/>
      <c r="G2988" s="388"/>
      <c r="H2988" s="395"/>
      <c r="I2988" s="388"/>
      <c r="J2988" s="399"/>
      <c r="K2988" s="396"/>
      <c r="L2988" s="396"/>
      <c r="M2988" s="396"/>
      <c r="N2988" s="396"/>
      <c r="O2988" s="396"/>
      <c r="P2988" s="389"/>
      <c r="Q2988" s="396"/>
      <c r="R2988" s="396"/>
      <c r="S2988" s="396"/>
      <c r="T2988" s="396"/>
      <c r="U2988" s="401"/>
      <c r="V2988" s="396"/>
      <c r="W2988" s="388"/>
      <c r="X2988" s="396"/>
      <c r="Y2988" s="389"/>
      <c r="Z2988" s="396"/>
      <c r="AA2988" s="388"/>
      <c r="AB2988" s="390"/>
    </row>
    <row r="2989" spans="1:28">
      <c r="A2989" s="384" t="str">
        <f t="shared" ref="A2989:B2989" si="9611">A2965</f>
        <v>Lantai 2</v>
      </c>
      <c r="B2989" s="385">
        <f t="shared" si="9611"/>
        <v>12</v>
      </c>
      <c r="C2989" s="393" t="s">
        <v>213</v>
      </c>
      <c r="D2989" s="398">
        <f>VLOOKUP(D2965,'Detail Balok'!$C$10:$BJ$140,46,FALSE)</f>
        <v>0</v>
      </c>
      <c r="E2989" s="388" t="s">
        <v>16</v>
      </c>
      <c r="F2989" s="388">
        <f>VLOOKUP(D2965,'Detail Balok'!$C$10:$BJ$140,48,FALSE)</f>
        <v>0</v>
      </c>
      <c r="G2989" s="405" t="s">
        <v>157</v>
      </c>
      <c r="H2989" s="395">
        <f>VLOOKUP(D2965,'Detail Balok'!$C$10:$BJ$140,50,FALSE)</f>
        <v>100</v>
      </c>
      <c r="I2989" s="388"/>
      <c r="J2989" s="399">
        <f t="shared" ref="J2989" si="9612">(D2966-2*F$5)/1000</f>
        <v>0.12</v>
      </c>
      <c r="K2989" s="400" t="s">
        <v>204</v>
      </c>
      <c r="L2989" s="399">
        <f t="shared" ref="L2989:L2991" si="9613">IF(D2989=0,2*MAX(6*F2989,75),(D2989-1)*2*MAX(6*F2989,75))/1000</f>
        <v>0.15</v>
      </c>
      <c r="M2989" s="399" t="s">
        <v>176</v>
      </c>
      <c r="N2989" s="399">
        <f t="shared" ref="N2989:N2991" si="9614">J2989+L2989</f>
        <v>0.27</v>
      </c>
      <c r="O2989" s="399"/>
      <c r="P2989" s="399"/>
      <c r="Q2989" s="399"/>
      <c r="R2989" s="399"/>
      <c r="S2989" s="399"/>
      <c r="T2989" s="399" t="s">
        <v>125</v>
      </c>
      <c r="U2989" s="401">
        <f t="shared" ref="U2989:U2991" si="9615">0.006165*F2989^2</f>
        <v>0</v>
      </c>
      <c r="V2989" s="399" t="s">
        <v>125</v>
      </c>
      <c r="W2989" s="399">
        <f t="shared" ref="W2989:W3051" si="9616">W2985</f>
        <v>16</v>
      </c>
      <c r="X2989" s="399" t="s">
        <v>125</v>
      </c>
      <c r="Y2989" s="389">
        <f t="shared" ref="Y2989" si="9617">D2975</f>
        <v>0</v>
      </c>
      <c r="Z2989" s="400" t="s">
        <v>176</v>
      </c>
      <c r="AA2989" s="402">
        <f t="shared" ref="AA2989:AA2991" si="9618">N2989*U2989*W2989*Y2989</f>
        <v>0</v>
      </c>
      <c r="AB2989" s="403"/>
    </row>
    <row r="2990" spans="1:28">
      <c r="A2990" s="384" t="str">
        <f t="shared" ref="A2990:B2990" si="9619">A2965</f>
        <v>Lantai 2</v>
      </c>
      <c r="B2990" s="385">
        <f t="shared" si="9619"/>
        <v>12</v>
      </c>
      <c r="C2990" s="393" t="s">
        <v>214</v>
      </c>
      <c r="D2990" s="398">
        <f>VLOOKUP(D2965,'Detail Balok'!$C$10:$BJ$140,51,FALSE)</f>
        <v>0</v>
      </c>
      <c r="E2990" s="388" t="s">
        <v>16</v>
      </c>
      <c r="F2990" s="388">
        <f>VLOOKUP(D2965,'Detail Balok'!$C$10:$BJ$140,53,FALSE)</f>
        <v>0</v>
      </c>
      <c r="G2990" s="405" t="s">
        <v>157</v>
      </c>
      <c r="H2990" s="395">
        <f>VLOOKUP(D2965,'Detail Balok'!$C$10:$BJ$140,55,FALSE)</f>
        <v>100</v>
      </c>
      <c r="I2990" s="388"/>
      <c r="J2990" s="399">
        <f t="shared" ref="J2990" si="9620">(D2966-2*F$5)/1000</f>
        <v>0.12</v>
      </c>
      <c r="K2990" s="400" t="s">
        <v>204</v>
      </c>
      <c r="L2990" s="399">
        <f t="shared" si="9613"/>
        <v>0.15</v>
      </c>
      <c r="M2990" s="399" t="s">
        <v>176</v>
      </c>
      <c r="N2990" s="399">
        <f t="shared" si="9614"/>
        <v>0.27</v>
      </c>
      <c r="O2990" s="399"/>
      <c r="P2990" s="399"/>
      <c r="Q2990" s="399"/>
      <c r="R2990" s="399"/>
      <c r="S2990" s="399"/>
      <c r="T2990" s="399" t="s">
        <v>125</v>
      </c>
      <c r="U2990" s="401">
        <f t="shared" si="9615"/>
        <v>0</v>
      </c>
      <c r="V2990" s="399" t="s">
        <v>125</v>
      </c>
      <c r="W2990" s="399">
        <f t="shared" si="9616"/>
        <v>20</v>
      </c>
      <c r="X2990" s="399" t="s">
        <v>125</v>
      </c>
      <c r="Y2990" s="389">
        <f t="shared" ref="Y2990" si="9621">D2975</f>
        <v>0</v>
      </c>
      <c r="Z2990" s="400" t="s">
        <v>176</v>
      </c>
      <c r="AA2990" s="402">
        <f t="shared" si="9618"/>
        <v>0</v>
      </c>
      <c r="AB2990" s="403"/>
    </row>
    <row r="2991" spans="1:28">
      <c r="A2991" s="384" t="str">
        <f t="shared" ref="A2991:B2991" si="9622">A2965</f>
        <v>Lantai 2</v>
      </c>
      <c r="B2991" s="385">
        <f t="shared" si="9622"/>
        <v>12</v>
      </c>
      <c r="C2991" s="393" t="s">
        <v>213</v>
      </c>
      <c r="D2991" s="398">
        <f>VLOOKUP(D2965,'Detail Balok'!$C$10:$BJ$140,56,FALSE)</f>
        <v>0</v>
      </c>
      <c r="E2991" s="388" t="s">
        <v>16</v>
      </c>
      <c r="F2991" s="388">
        <f>VLOOKUP(D2965,'Detail Balok'!$C$10:$BJ$140,58,FALSE)</f>
        <v>0</v>
      </c>
      <c r="G2991" s="405" t="s">
        <v>157</v>
      </c>
      <c r="H2991" s="395">
        <f>VLOOKUP(D2965,'Detail Balok'!$C$10:$BJ$140,60,FALSE)</f>
        <v>100</v>
      </c>
      <c r="I2991" s="388"/>
      <c r="J2991" s="399">
        <f t="shared" ref="J2991" si="9623">(D2966-2*F$5)/1000</f>
        <v>0.12</v>
      </c>
      <c r="K2991" s="400" t="s">
        <v>204</v>
      </c>
      <c r="L2991" s="399">
        <f t="shared" si="9613"/>
        <v>0.15</v>
      </c>
      <c r="M2991" s="399" t="s">
        <v>176</v>
      </c>
      <c r="N2991" s="399">
        <f t="shared" si="9614"/>
        <v>0.27</v>
      </c>
      <c r="O2991" s="399"/>
      <c r="P2991" s="399"/>
      <c r="Q2991" s="399"/>
      <c r="R2991" s="399"/>
      <c r="S2991" s="399"/>
      <c r="T2991" s="399" t="s">
        <v>125</v>
      </c>
      <c r="U2991" s="401">
        <f t="shared" si="9615"/>
        <v>0</v>
      </c>
      <c r="V2991" s="399" t="s">
        <v>125</v>
      </c>
      <c r="W2991" s="399">
        <f t="shared" si="9616"/>
        <v>16</v>
      </c>
      <c r="X2991" s="399" t="s">
        <v>125</v>
      </c>
      <c r="Y2991" s="389">
        <f t="shared" ref="Y2991" si="9624">D2975</f>
        <v>0</v>
      </c>
      <c r="Z2991" s="400" t="s">
        <v>176</v>
      </c>
      <c r="AA2991" s="402">
        <f t="shared" si="9618"/>
        <v>0</v>
      </c>
      <c r="AB2991" s="403"/>
    </row>
    <row r="2992" spans="1:28">
      <c r="A2992" s="391"/>
      <c r="B2992" s="392"/>
      <c r="C2992" s="392"/>
      <c r="D2992" s="394"/>
      <c r="E2992" s="388"/>
      <c r="F2992" s="388"/>
      <c r="G2992" s="388"/>
      <c r="H2992" s="395"/>
      <c r="I2992" s="388"/>
      <c r="J2992" s="402"/>
      <c r="K2992" s="388"/>
      <c r="L2992" s="388"/>
      <c r="M2992" s="388"/>
      <c r="N2992" s="388"/>
      <c r="O2992" s="388"/>
      <c r="P2992" s="388"/>
      <c r="Q2992" s="388"/>
      <c r="R2992" s="388"/>
      <c r="S2992" s="388"/>
      <c r="T2992" s="388"/>
      <c r="U2992" s="388"/>
      <c r="V2992" s="388"/>
      <c r="W2992" s="388"/>
      <c r="X2992" s="388"/>
      <c r="Y2992" s="389"/>
      <c r="Z2992" s="388"/>
      <c r="AA2992" s="402"/>
      <c r="AB2992" s="403"/>
    </row>
    <row r="2993" spans="1:28" ht="15.75" thickBot="1">
      <c r="A2993" s="406"/>
      <c r="B2993" s="407"/>
      <c r="C2993" s="407"/>
      <c r="D2993" s="408"/>
      <c r="E2993" s="409"/>
      <c r="F2993" s="409"/>
      <c r="G2993" s="409"/>
      <c r="H2993" s="410"/>
      <c r="I2993" s="409"/>
      <c r="J2993" s="409"/>
      <c r="K2993" s="409"/>
      <c r="L2993" s="409"/>
      <c r="M2993" s="409"/>
      <c r="N2993" s="409"/>
      <c r="O2993" s="409"/>
      <c r="P2993" s="409"/>
      <c r="Q2993" s="409"/>
      <c r="R2993" s="409"/>
      <c r="S2993" s="409"/>
      <c r="T2993" s="409"/>
      <c r="U2993" s="409"/>
      <c r="V2993" s="409"/>
      <c r="W2993" s="409"/>
      <c r="X2993" s="409"/>
      <c r="Y2993" s="411"/>
      <c r="Z2993" s="409"/>
      <c r="AA2993" s="412"/>
      <c r="AB2993" s="413"/>
    </row>
    <row r="2994" spans="1:28">
      <c r="A2994" s="377"/>
      <c r="B2994" s="378"/>
      <c r="C2994" s="378"/>
      <c r="D2994" s="379"/>
      <c r="E2994" s="380"/>
      <c r="F2994" s="380"/>
      <c r="G2994" s="380"/>
      <c r="H2994" s="381"/>
      <c r="I2994" s="380"/>
      <c r="J2994" s="380"/>
      <c r="K2994" s="380"/>
      <c r="L2994" s="380"/>
      <c r="M2994" s="380"/>
      <c r="N2994" s="380"/>
      <c r="O2994" s="380"/>
      <c r="P2994" s="380"/>
      <c r="Q2994" s="380"/>
      <c r="R2994" s="380"/>
      <c r="S2994" s="380"/>
      <c r="T2994" s="380"/>
      <c r="U2994" s="380"/>
      <c r="V2994" s="380"/>
      <c r="W2994" s="380"/>
      <c r="X2994" s="380"/>
      <c r="Y2994" s="382"/>
      <c r="Z2994" s="380"/>
      <c r="AA2994" s="380"/>
      <c r="AB2994" s="383"/>
    </row>
    <row r="2995" spans="1:28">
      <c r="A2995" s="384" t="str">
        <f t="shared" ref="A2995:A3055" si="9625">A2965</f>
        <v>Lantai 2</v>
      </c>
      <c r="B2995" s="385">
        <f t="shared" ref="B2995:B3055" si="9626">B2965+1</f>
        <v>13</v>
      </c>
      <c r="C2995" s="386" t="str">
        <f t="shared" ref="C2995" si="9627">CONCATENATE(A2995," no. ",B2995)</f>
        <v>Lantai 2 no. 13</v>
      </c>
      <c r="D2995" s="2562" t="str">
        <f>VLOOKUP(C2995,'Data Panjang Balok'!$C$9:$N$254,2,FALSE)</f>
        <v>B23-1</v>
      </c>
      <c r="E2995" s="2576"/>
      <c r="F2995" s="2576"/>
      <c r="G2995" s="2576"/>
      <c r="H2995" s="2577"/>
      <c r="I2995" s="387"/>
      <c r="J2995" s="388"/>
      <c r="K2995" s="388"/>
      <c r="L2995" s="388"/>
      <c r="M2995" s="388"/>
      <c r="N2995" s="388"/>
      <c r="O2995" s="388"/>
      <c r="P2995" s="388"/>
      <c r="Q2995" s="388"/>
      <c r="R2995" s="388"/>
      <c r="S2995" s="388"/>
      <c r="T2995" s="388"/>
      <c r="U2995" s="388"/>
      <c r="V2995" s="388"/>
      <c r="W2995" s="388"/>
      <c r="X2995" s="388"/>
      <c r="Y2995" s="389"/>
      <c r="Z2995" s="388"/>
      <c r="AA2995" s="388"/>
      <c r="AB2995" s="390"/>
    </row>
    <row r="2996" spans="1:28">
      <c r="A2996" s="391"/>
      <c r="B2996" s="392"/>
      <c r="C2996" s="393" t="s">
        <v>118</v>
      </c>
      <c r="D2996" s="2578">
        <f>VLOOKUP(D2995,'Detail Balok'!$C$10:$AU$140,2,FALSE)</f>
        <v>200</v>
      </c>
      <c r="E2996" s="2579"/>
      <c r="F2996" s="388" t="s">
        <v>125</v>
      </c>
      <c r="G2996" s="2579">
        <f>VLOOKUP(D2995,'Detail Balok'!$C$10:$AU$140,3,FALSE)</f>
        <v>300</v>
      </c>
      <c r="H2996" s="2580"/>
      <c r="I2996" s="388"/>
      <c r="J2996" s="396"/>
      <c r="K2996" s="396"/>
      <c r="L2996" s="396"/>
      <c r="M2996" s="396"/>
      <c r="N2996" s="396"/>
      <c r="O2996" s="396"/>
      <c r="P2996" s="396"/>
      <c r="Q2996" s="396"/>
      <c r="R2996" s="396"/>
      <c r="S2996" s="396"/>
      <c r="T2996" s="396"/>
      <c r="U2996" s="388"/>
      <c r="V2996" s="396"/>
      <c r="W2996" s="388"/>
      <c r="X2996" s="396"/>
      <c r="Y2996" s="389"/>
      <c r="Z2996" s="396"/>
      <c r="AA2996" s="388"/>
      <c r="AB2996" s="390"/>
    </row>
    <row r="2997" spans="1:28">
      <c r="A2997" s="391"/>
      <c r="B2997" s="392"/>
      <c r="C2997" s="393" t="s">
        <v>198</v>
      </c>
      <c r="D2997" s="2562">
        <f>VLOOKUP(C2995,'Data Panjang Balok'!$C$9:$N$254,4,FALSE)</f>
        <v>2040</v>
      </c>
      <c r="E2997" s="2563"/>
      <c r="F2997" s="2563"/>
      <c r="G2997" s="2563"/>
      <c r="H2997" s="2564"/>
      <c r="I2997" s="397"/>
      <c r="J2997" s="396"/>
      <c r="K2997" s="396"/>
      <c r="L2997" s="396"/>
      <c r="M2997" s="396"/>
      <c r="N2997" s="396"/>
      <c r="O2997" s="396"/>
      <c r="P2997" s="396"/>
      <c r="Q2997" s="396"/>
      <c r="R2997" s="396"/>
      <c r="S2997" s="396"/>
      <c r="T2997" s="396"/>
      <c r="U2997" s="388"/>
      <c r="V2997" s="396"/>
      <c r="W2997" s="388"/>
      <c r="X2997" s="396"/>
      <c r="Y2997" s="389"/>
      <c r="Z2997" s="396"/>
      <c r="AA2997" s="388"/>
      <c r="AB2997" s="390"/>
    </row>
    <row r="2998" spans="1:28">
      <c r="A2998" s="391"/>
      <c r="B2998" s="392"/>
      <c r="C2998" s="393" t="s">
        <v>199</v>
      </c>
      <c r="D2998" s="2562">
        <f>VLOOKUP(C2995,'Data Panjang Balok'!$C$9:$N$254,7,FALSE)</f>
        <v>2040</v>
      </c>
      <c r="E2998" s="2563"/>
      <c r="F2998" s="2563"/>
      <c r="G2998" s="2563"/>
      <c r="H2998" s="2564"/>
      <c r="I2998" s="397"/>
      <c r="J2998" s="396"/>
      <c r="K2998" s="396"/>
      <c r="L2998" s="396"/>
      <c r="M2998" s="396"/>
      <c r="N2998" s="396"/>
      <c r="O2998" s="396"/>
      <c r="P2998" s="396"/>
      <c r="Q2998" s="396"/>
      <c r="R2998" s="396"/>
      <c r="S2998" s="396"/>
      <c r="T2998" s="396"/>
      <c r="U2998" s="388"/>
      <c r="V2998" s="396"/>
      <c r="W2998" s="388"/>
      <c r="X2998" s="396"/>
      <c r="Y2998" s="389"/>
      <c r="Z2998" s="396"/>
      <c r="AA2998" s="388"/>
      <c r="AB2998" s="390"/>
    </row>
    <row r="2999" spans="1:28">
      <c r="A2999" s="391"/>
      <c r="B2999" s="392"/>
      <c r="C2999" s="393" t="s">
        <v>200</v>
      </c>
      <c r="D2999" s="2562">
        <f>VLOOKUP(C2995,'Data Panjang Balok'!$C$9:$N$254,9,FALSE)</f>
        <v>0</v>
      </c>
      <c r="E2999" s="2563"/>
      <c r="F2999" s="2563"/>
      <c r="G2999" s="2563"/>
      <c r="H2999" s="2564"/>
      <c r="I2999" s="397"/>
      <c r="J2999" s="396"/>
      <c r="K2999" s="396"/>
      <c r="L2999" s="396"/>
      <c r="M2999" s="396"/>
      <c r="N2999" s="396"/>
      <c r="O2999" s="396"/>
      <c r="P2999" s="396"/>
      <c r="Q2999" s="396"/>
      <c r="R2999" s="396"/>
      <c r="S2999" s="396"/>
      <c r="T2999" s="396"/>
      <c r="U2999" s="388"/>
      <c r="V2999" s="396"/>
      <c r="W2999" s="388"/>
      <c r="X2999" s="396"/>
      <c r="Y2999" s="389"/>
      <c r="Z2999" s="396"/>
      <c r="AA2999" s="388"/>
      <c r="AB2999" s="390"/>
    </row>
    <row r="3000" spans="1:28">
      <c r="A3000" s="391"/>
      <c r="B3000" s="392"/>
      <c r="C3000" s="393" t="s">
        <v>201</v>
      </c>
      <c r="D3000" s="2562">
        <f>VLOOKUP(C2995,'Data Panjang Balok'!$C$9:$N$254,10,FALSE)</f>
        <v>0</v>
      </c>
      <c r="E3000" s="2563"/>
      <c r="F3000" s="2563"/>
      <c r="G3000" s="2563"/>
      <c r="H3000" s="2564"/>
      <c r="I3000" s="397"/>
      <c r="J3000" s="396"/>
      <c r="K3000" s="396"/>
      <c r="L3000" s="396"/>
      <c r="M3000" s="396"/>
      <c r="N3000" s="396"/>
      <c r="O3000" s="396"/>
      <c r="P3000" s="396"/>
      <c r="Q3000" s="396"/>
      <c r="R3000" s="396"/>
      <c r="S3000" s="396"/>
      <c r="T3000" s="396"/>
      <c r="U3000" s="388"/>
      <c r="V3000" s="396"/>
      <c r="W3000" s="388"/>
      <c r="X3000" s="396"/>
      <c r="Y3000" s="389"/>
      <c r="Z3000" s="396"/>
      <c r="AA3000" s="388"/>
      <c r="AB3000" s="390"/>
    </row>
    <row r="3001" spans="1:28">
      <c r="A3001" s="391"/>
      <c r="B3001" s="392"/>
      <c r="C3001" s="393" t="s">
        <v>48</v>
      </c>
      <c r="D3001" s="2562">
        <f>VLOOKUP(C2995,'Data Panjang Balok'!$C$9:$N$254,3,FALSE)</f>
        <v>1</v>
      </c>
      <c r="E3001" s="2563"/>
      <c r="F3001" s="2563"/>
      <c r="G3001" s="2563"/>
      <c r="H3001" s="2564"/>
      <c r="I3001" s="397"/>
      <c r="J3001" s="396"/>
      <c r="K3001" s="396"/>
      <c r="L3001" s="396"/>
      <c r="M3001" s="396"/>
      <c r="N3001" s="396"/>
      <c r="O3001" s="396"/>
      <c r="P3001" s="396"/>
      <c r="Q3001" s="396"/>
      <c r="R3001" s="396"/>
      <c r="S3001" s="396"/>
      <c r="T3001" s="396"/>
      <c r="U3001" s="388"/>
      <c r="V3001" s="396"/>
      <c r="W3001" s="388"/>
      <c r="X3001" s="396"/>
      <c r="Y3001" s="389"/>
      <c r="Z3001" s="396"/>
      <c r="AA3001" s="388"/>
      <c r="AB3001" s="390"/>
    </row>
    <row r="3002" spans="1:28">
      <c r="A3002" s="384" t="str">
        <f t="shared" ref="A3002:B3002" si="9628">A2995</f>
        <v>Lantai 2</v>
      </c>
      <c r="B3002" s="385">
        <f t="shared" si="9628"/>
        <v>13</v>
      </c>
      <c r="C3002" s="393" t="s">
        <v>202</v>
      </c>
      <c r="D3002" s="398">
        <f>VLOOKUP(D2995,'Detail Balok'!$C$10:$AU$140,4,FALSE)</f>
        <v>3</v>
      </c>
      <c r="E3002" s="388" t="s">
        <v>16</v>
      </c>
      <c r="F3002" s="388">
        <f>VLOOKUP(D2995,'Detail Balok'!$C$10:$AU$140,6,FALSE)</f>
        <v>13</v>
      </c>
      <c r="G3002" s="388"/>
      <c r="H3002" s="395"/>
      <c r="I3002" s="388" t="s">
        <v>203</v>
      </c>
      <c r="J3002" s="399">
        <f t="shared" ref="J3002" si="9629">+D2997/4/1000</f>
        <v>0.51</v>
      </c>
      <c r="K3002" s="400" t="s">
        <v>204</v>
      </c>
      <c r="L3002" s="399">
        <f t="shared" ref="L3002" si="9630">MAX(VLOOKUP(F3002,N$6:P$15,3,FALSE)/1000,2/3*D2999/1000)+F$16*F3002/1000</f>
        <v>0.156</v>
      </c>
      <c r="M3002" s="399" t="s">
        <v>176</v>
      </c>
      <c r="N3002" s="399">
        <f t="shared" ref="N3002:N3004" si="9631">J3002+L3002</f>
        <v>0.66600000000000004</v>
      </c>
      <c r="O3002" s="399" t="s">
        <v>204</v>
      </c>
      <c r="P3002" s="389">
        <f t="shared" ref="P3002" si="9632">D3002-D3003</f>
        <v>0</v>
      </c>
      <c r="Q3002" s="399" t="s">
        <v>125</v>
      </c>
      <c r="R3002" s="399">
        <f t="shared" ref="R3002" si="9633">IF(P3002&gt;0,$F$18*F3002/1000,0)</f>
        <v>0</v>
      </c>
      <c r="S3002" s="399" t="s">
        <v>205</v>
      </c>
      <c r="T3002" s="399" t="s">
        <v>125</v>
      </c>
      <c r="U3002" s="401">
        <f t="shared" ref="U3002:U3004" si="9634">0.006165*F3002^2</f>
        <v>1.041885</v>
      </c>
      <c r="V3002" s="399"/>
      <c r="W3002" s="399"/>
      <c r="X3002" s="399" t="s">
        <v>125</v>
      </c>
      <c r="Y3002" s="389">
        <f t="shared" ref="Y3002" si="9635">D3001</f>
        <v>1</v>
      </c>
      <c r="Z3002" s="400" t="s">
        <v>176</v>
      </c>
      <c r="AA3002" s="402">
        <f t="shared" ref="AA3002" si="9636">IF(AA3005=0,(D3002*N3002+P3002*R3002)*U3002*Y3002,0)</f>
        <v>0</v>
      </c>
      <c r="AB3002" s="403"/>
    </row>
    <row r="3003" spans="1:28">
      <c r="A3003" s="384" t="str">
        <f t="shared" ref="A3003:B3003" si="9637">A2995</f>
        <v>Lantai 2</v>
      </c>
      <c r="B3003" s="385">
        <f t="shared" si="9637"/>
        <v>13</v>
      </c>
      <c r="C3003" s="393" t="s">
        <v>206</v>
      </c>
      <c r="D3003" s="398">
        <f>VLOOKUP(D2995,'Detail Balok'!$C$10:$AU$140,7,FALSE)</f>
        <v>3</v>
      </c>
      <c r="E3003" s="388" t="s">
        <v>16</v>
      </c>
      <c r="F3003" s="388">
        <f>VLOOKUP(D2995,'Detail Balok'!$C$10:$AU$140,9,FALSE)</f>
        <v>13</v>
      </c>
      <c r="G3003" s="388"/>
      <c r="H3003" s="395"/>
      <c r="I3003" s="388" t="s">
        <v>203</v>
      </c>
      <c r="J3003" s="399">
        <f t="shared" ref="J3003" si="9638">+D2997/2/1000</f>
        <v>1.02</v>
      </c>
      <c r="K3003" s="400" t="s">
        <v>204</v>
      </c>
      <c r="L3003" s="399"/>
      <c r="M3003" s="399" t="s">
        <v>176</v>
      </c>
      <c r="N3003" s="399">
        <f t="shared" si="9631"/>
        <v>1.02</v>
      </c>
      <c r="O3003" s="399" t="s">
        <v>204</v>
      </c>
      <c r="P3003" s="389">
        <f t="shared" ref="P3003" si="9639">MAX(D3003-D3002,D3003-D3004)</f>
        <v>0</v>
      </c>
      <c r="Q3003" s="399" t="s">
        <v>125</v>
      </c>
      <c r="R3003" s="399">
        <f t="shared" ref="R3003" si="9640">IF(P3003&gt;0,2*(1-2*$F$19-1/2)*D2998/1000,0)</f>
        <v>0</v>
      </c>
      <c r="S3003" s="399" t="s">
        <v>205</v>
      </c>
      <c r="T3003" s="399" t="s">
        <v>125</v>
      </c>
      <c r="U3003" s="401">
        <f t="shared" si="9634"/>
        <v>1.041885</v>
      </c>
      <c r="V3003" s="399"/>
      <c r="W3003" s="399"/>
      <c r="X3003" s="399" t="s">
        <v>125</v>
      </c>
      <c r="Y3003" s="389">
        <f t="shared" ref="Y3003" si="9641">D3001</f>
        <v>1</v>
      </c>
      <c r="Z3003" s="400" t="s">
        <v>176</v>
      </c>
      <c r="AA3003" s="402">
        <f t="shared" ref="AA3003" si="9642">IF(AA3005=0,(D3003*N3003+P3003*R3003)*U3003*Y3003,0)</f>
        <v>0</v>
      </c>
      <c r="AB3003" s="403"/>
    </row>
    <row r="3004" spans="1:28">
      <c r="A3004" s="384" t="str">
        <f t="shared" ref="A3004:B3004" si="9643">A2995</f>
        <v>Lantai 2</v>
      </c>
      <c r="B3004" s="385">
        <f t="shared" si="9643"/>
        <v>13</v>
      </c>
      <c r="C3004" s="393" t="s">
        <v>202</v>
      </c>
      <c r="D3004" s="398">
        <f>VLOOKUP(D2995,'Detail Balok'!$C$10:$AU$140,10,FALSE)</f>
        <v>3</v>
      </c>
      <c r="E3004" s="388" t="s">
        <v>16</v>
      </c>
      <c r="F3004" s="388">
        <f>VLOOKUP(D2995,'Detail Balok'!$C$10:$AU$140,12,FALSE)</f>
        <v>13</v>
      </c>
      <c r="G3004" s="388"/>
      <c r="H3004" s="395"/>
      <c r="I3004" s="388" t="s">
        <v>203</v>
      </c>
      <c r="J3004" s="399">
        <f t="shared" ref="J3004" si="9644">+D2997/4/1000</f>
        <v>0.51</v>
      </c>
      <c r="K3004" s="400" t="s">
        <v>204</v>
      </c>
      <c r="L3004" s="399">
        <f t="shared" ref="L3004" si="9645">MAX(VLOOKUP(F3004,N$6:P$15,3,FALSE)/1000,2/3*D2999/1000)+F$16*F3004/1000</f>
        <v>0.156</v>
      </c>
      <c r="M3004" s="399" t="s">
        <v>176</v>
      </c>
      <c r="N3004" s="399">
        <f t="shared" si="9631"/>
        <v>0.66600000000000004</v>
      </c>
      <c r="O3004" s="399" t="s">
        <v>204</v>
      </c>
      <c r="P3004" s="389">
        <f t="shared" ref="P3004" si="9646">D3004-D3003</f>
        <v>0</v>
      </c>
      <c r="Q3004" s="399" t="s">
        <v>125</v>
      </c>
      <c r="R3004" s="399">
        <f t="shared" ref="R3004" si="9647">IF(P3004&gt;0,$F$18*F3004/1000,0)</f>
        <v>0</v>
      </c>
      <c r="S3004" s="399" t="s">
        <v>205</v>
      </c>
      <c r="T3004" s="399" t="s">
        <v>125</v>
      </c>
      <c r="U3004" s="401">
        <f t="shared" si="9634"/>
        <v>1.041885</v>
      </c>
      <c r="V3004" s="399"/>
      <c r="W3004" s="399"/>
      <c r="X3004" s="399" t="s">
        <v>125</v>
      </c>
      <c r="Y3004" s="389">
        <f t="shared" ref="Y3004" si="9648">D3001</f>
        <v>1</v>
      </c>
      <c r="Z3004" s="400" t="s">
        <v>176</v>
      </c>
      <c r="AA3004" s="402">
        <f t="shared" ref="AA3004" si="9649">IF(AA3005=0,(D3004*N3004+P3004*R3004)*U3004*Y3004,0)</f>
        <v>0</v>
      </c>
      <c r="AB3004" s="403"/>
    </row>
    <row r="3005" spans="1:28">
      <c r="A3005" s="384" t="str">
        <f t="shared" ref="A3005:B3005" si="9650">A2995</f>
        <v>Lantai 2</v>
      </c>
      <c r="B3005" s="385">
        <f t="shared" si="9650"/>
        <v>13</v>
      </c>
      <c r="C3005" s="393"/>
      <c r="D3005" s="398">
        <f t="shared" si="9546"/>
        <v>3</v>
      </c>
      <c r="E3005" s="388" t="s">
        <v>16</v>
      </c>
      <c r="F3005" s="388">
        <f t="shared" si="9547"/>
        <v>13</v>
      </c>
      <c r="G3005" s="388"/>
      <c r="H3005" s="395"/>
      <c r="I3005" s="388"/>
      <c r="J3005" s="396"/>
      <c r="K3005" s="396"/>
      <c r="L3005" s="404" t="s">
        <v>207</v>
      </c>
      <c r="M3005" s="399" t="s">
        <v>176</v>
      </c>
      <c r="N3005" s="399">
        <f t="shared" ref="N3005" si="9651">IF(AND(D3002=D3003,D3002=D3004,D3003=D3004,F3002=F3003,F3002=F3004,F3003=F3004),SUM(N3002:N3004),0)</f>
        <v>2.3519999999999999</v>
      </c>
      <c r="O3005" s="399" t="s">
        <v>204</v>
      </c>
      <c r="P3005" s="389">
        <f t="shared" ref="P3005" si="9652">IF(N3005&gt;12,ROUNDDOWN(N3005/12,0),0)</f>
        <v>0</v>
      </c>
      <c r="Q3005" s="399" t="s">
        <v>125</v>
      </c>
      <c r="R3005" s="399">
        <f t="shared" ref="R3005" si="9653">IF(P3005&gt;0,MAX(VLOOKUP(F3005,$D$6:$G$15,3,FALSE),600),0)/1000</f>
        <v>0</v>
      </c>
      <c r="S3005" s="396"/>
      <c r="T3005" s="396" t="s">
        <v>125</v>
      </c>
      <c r="U3005" s="401">
        <f t="shared" si="9551"/>
        <v>1.041885</v>
      </c>
      <c r="V3005" s="396" t="s">
        <v>125</v>
      </c>
      <c r="W3005" s="399">
        <f t="shared" ref="W3005" si="9654">D3005</f>
        <v>3</v>
      </c>
      <c r="X3005" s="399" t="s">
        <v>125</v>
      </c>
      <c r="Y3005" s="389">
        <f t="shared" si="9553"/>
        <v>1</v>
      </c>
      <c r="Z3005" s="400" t="s">
        <v>176</v>
      </c>
      <c r="AA3005" s="402">
        <f t="shared" ref="AA3005" si="9655">(N3005+P3005*R3005/1000)*U3005*W3005*Y3005</f>
        <v>7.3515405600000001</v>
      </c>
      <c r="AB3005" s="390"/>
    </row>
    <row r="3006" spans="1:28">
      <c r="A3006" s="384"/>
      <c r="B3006" s="385"/>
      <c r="C3006" s="393"/>
      <c r="D3006" s="398"/>
      <c r="E3006" s="388"/>
      <c r="F3006" s="388"/>
      <c r="G3006" s="388"/>
      <c r="H3006" s="395"/>
      <c r="I3006" s="388"/>
      <c r="J3006" s="396"/>
      <c r="K3006" s="396"/>
      <c r="L3006" s="404"/>
      <c r="M3006" s="399"/>
      <c r="N3006" s="399"/>
      <c r="O3006" s="396"/>
      <c r="P3006" s="389"/>
      <c r="Q3006" s="396"/>
      <c r="R3006" s="396"/>
      <c r="S3006" s="396"/>
      <c r="T3006" s="396"/>
      <c r="U3006" s="401"/>
      <c r="V3006" s="396"/>
      <c r="W3006" s="399"/>
      <c r="X3006" s="396"/>
      <c r="Y3006" s="389"/>
      <c r="Z3006" s="396"/>
      <c r="AA3006" s="388"/>
      <c r="AB3006" s="390"/>
    </row>
    <row r="3007" spans="1:28">
      <c r="A3007" s="384" t="str">
        <f t="shared" ref="A3007:B3007" si="9656">A2995</f>
        <v>Lantai 2</v>
      </c>
      <c r="B3007" s="385">
        <f t="shared" si="9656"/>
        <v>13</v>
      </c>
      <c r="C3007" s="393" t="s">
        <v>208</v>
      </c>
      <c r="D3007" s="398">
        <f>VLOOKUP(D2995,'Detail Balok'!$C$10:$AU$140,13,FALSE)</f>
        <v>0</v>
      </c>
      <c r="E3007" s="388" t="s">
        <v>16</v>
      </c>
      <c r="F3007" s="388">
        <f>VLOOKUP(D2995,'Detail Balok'!$C$10:$AU$140,15,FALSE)</f>
        <v>8</v>
      </c>
      <c r="G3007" s="388"/>
      <c r="H3007" s="395"/>
      <c r="I3007" s="388"/>
      <c r="J3007" s="399">
        <f t="shared" ref="J3007" si="9657">+D2997/1000</f>
        <v>2.04</v>
      </c>
      <c r="K3007" s="400" t="s">
        <v>204</v>
      </c>
      <c r="L3007" s="399">
        <f t="shared" ref="L3007" si="9658">2*$F$16*F3007/1000</f>
        <v>0.192</v>
      </c>
      <c r="M3007" s="399" t="s">
        <v>176</v>
      </c>
      <c r="N3007" s="399">
        <f t="shared" ref="N3007" si="9659">J3007+L3007</f>
        <v>2.2320000000000002</v>
      </c>
      <c r="O3007" s="399" t="s">
        <v>204</v>
      </c>
      <c r="P3007" s="389">
        <f t="shared" ref="P3007" si="9660">IF(N3007&gt;12,ROUNDDOWN(N3007/12,0),0)</f>
        <v>0</v>
      </c>
      <c r="Q3007" s="399" t="s">
        <v>125</v>
      </c>
      <c r="R3007" s="399">
        <f t="shared" ref="R3007" si="9661">IF(P3007&gt;0,MAX(VLOOKUP(F3007,$D$6:$G$15,3,FALSE),600),0)/1000</f>
        <v>0</v>
      </c>
      <c r="S3007" s="399"/>
      <c r="T3007" s="399" t="s">
        <v>125</v>
      </c>
      <c r="U3007" s="401">
        <f t="shared" ref="U3007" si="9662">0.006165*F3007^2</f>
        <v>0.39456000000000002</v>
      </c>
      <c r="V3007" s="399" t="s">
        <v>125</v>
      </c>
      <c r="W3007" s="399">
        <f t="shared" ref="W3007" si="9663">+D3007</f>
        <v>0</v>
      </c>
      <c r="X3007" s="399" t="s">
        <v>125</v>
      </c>
      <c r="Y3007" s="389">
        <f t="shared" ref="Y3007" si="9664">D3001</f>
        <v>1</v>
      </c>
      <c r="Z3007" s="400" t="s">
        <v>176</v>
      </c>
      <c r="AA3007" s="402">
        <f t="shared" ref="AA3007" si="9665">(N3007+P3007*R3007/1000)*U3007*W3007*Y3007</f>
        <v>0</v>
      </c>
      <c r="AB3007" s="403"/>
    </row>
    <row r="3008" spans="1:28">
      <c r="A3008" s="384"/>
      <c r="B3008" s="385"/>
      <c r="C3008" s="393"/>
      <c r="D3008" s="398"/>
      <c r="E3008" s="388"/>
      <c r="F3008" s="388"/>
      <c r="G3008" s="388"/>
      <c r="H3008" s="395"/>
      <c r="I3008" s="388"/>
      <c r="J3008" s="399"/>
      <c r="K3008" s="400"/>
      <c r="L3008" s="399"/>
      <c r="M3008" s="399"/>
      <c r="N3008" s="399"/>
      <c r="O3008" s="399"/>
      <c r="P3008" s="389"/>
      <c r="Q3008" s="399"/>
      <c r="R3008" s="399"/>
      <c r="S3008" s="399"/>
      <c r="T3008" s="399"/>
      <c r="U3008" s="401"/>
      <c r="V3008" s="399"/>
      <c r="W3008" s="399"/>
      <c r="X3008" s="399"/>
      <c r="Y3008" s="389"/>
      <c r="Z3008" s="400"/>
      <c r="AA3008" s="402"/>
      <c r="AB3008" s="403"/>
    </row>
    <row r="3009" spans="1:28">
      <c r="A3009" s="384"/>
      <c r="B3009" s="385"/>
      <c r="C3009" s="393"/>
      <c r="D3009" s="398"/>
      <c r="E3009" s="388"/>
      <c r="F3009" s="388"/>
      <c r="G3009" s="388"/>
      <c r="H3009" s="395"/>
      <c r="I3009" s="388"/>
      <c r="J3009" s="396"/>
      <c r="K3009" s="396"/>
      <c r="L3009" s="396"/>
      <c r="M3009" s="396"/>
      <c r="N3009" s="396"/>
      <c r="O3009" s="396"/>
      <c r="P3009" s="389"/>
      <c r="Q3009" s="396"/>
      <c r="R3009" s="396"/>
      <c r="S3009" s="396"/>
      <c r="T3009" s="396"/>
      <c r="U3009" s="401"/>
      <c r="V3009" s="396"/>
      <c r="W3009" s="399"/>
      <c r="X3009" s="396"/>
      <c r="Y3009" s="389"/>
      <c r="Z3009" s="396"/>
      <c r="AA3009" s="388"/>
      <c r="AB3009" s="390"/>
    </row>
    <row r="3010" spans="1:28">
      <c r="A3010" s="384" t="str">
        <f t="shared" ref="A3010:B3010" si="9666">A2995</f>
        <v>Lantai 2</v>
      </c>
      <c r="B3010" s="385">
        <f t="shared" si="9666"/>
        <v>13</v>
      </c>
      <c r="C3010" s="393" t="s">
        <v>209</v>
      </c>
      <c r="D3010" s="398">
        <f>VLOOKUP(D2995,'Detail Balok'!$C$10:$AU$140,22,FALSE)</f>
        <v>3</v>
      </c>
      <c r="E3010" s="388" t="s">
        <v>16</v>
      </c>
      <c r="F3010" s="388">
        <f>VLOOKUP(D2995,'Detail Balok'!$C$10:$AU$140,24,FALSE)</f>
        <v>13</v>
      </c>
      <c r="G3010" s="388"/>
      <c r="H3010" s="395"/>
      <c r="I3010" s="388" t="s">
        <v>203</v>
      </c>
      <c r="J3010" s="399">
        <f t="shared" si="9566"/>
        <v>0.51</v>
      </c>
      <c r="K3010" s="400" t="s">
        <v>204</v>
      </c>
      <c r="L3010" s="399">
        <f t="shared" ref="L3010" si="9667">MAX(VLOOKUP(F3010,N$6:P$15,3,FALSE)/1000,2/3*D3000/1000)+F$16*F3010/1000</f>
        <v>0.156</v>
      </c>
      <c r="M3010" s="399" t="s">
        <v>176</v>
      </c>
      <c r="N3010" s="399">
        <f t="shared" ref="N3010:N3012" si="9668">J3010+L3010</f>
        <v>0.66600000000000004</v>
      </c>
      <c r="O3010" s="399" t="s">
        <v>204</v>
      </c>
      <c r="P3010" s="389">
        <f t="shared" ref="P3010" si="9669">D3010-D3011</f>
        <v>0</v>
      </c>
      <c r="Q3010" s="399" t="s">
        <v>125</v>
      </c>
      <c r="R3010" s="399">
        <f t="shared" ref="R3010" si="9670">IF(P3010&gt;0,$F$18*F3010/1000,0)</f>
        <v>0</v>
      </c>
      <c r="S3010" s="399" t="s">
        <v>205</v>
      </c>
      <c r="T3010" s="399" t="s">
        <v>125</v>
      </c>
      <c r="U3010" s="401">
        <f t="shared" ref="U3010:U3012" si="9671">0.006165*F3010^2</f>
        <v>1.041885</v>
      </c>
      <c r="V3010" s="399"/>
      <c r="W3010" s="399"/>
      <c r="X3010" s="399" t="s">
        <v>125</v>
      </c>
      <c r="Y3010" s="389">
        <f t="shared" ref="Y3010" si="9672">D3001</f>
        <v>1</v>
      </c>
      <c r="Z3010" s="400" t="s">
        <v>176</v>
      </c>
      <c r="AA3010" s="402">
        <f t="shared" ref="AA3010" si="9673">IF(AA3013=0,(D3010*N3010+P3010*R3010)*U3010*Y3010,0)</f>
        <v>0</v>
      </c>
      <c r="AB3010" s="403"/>
    </row>
    <row r="3011" spans="1:28">
      <c r="A3011" s="384" t="str">
        <f t="shared" ref="A3011:B3011" si="9674">A2995</f>
        <v>Lantai 2</v>
      </c>
      <c r="B3011" s="385">
        <f t="shared" si="9674"/>
        <v>13</v>
      </c>
      <c r="C3011" s="393" t="s">
        <v>210</v>
      </c>
      <c r="D3011" s="398">
        <f>VLOOKUP(D2995,'Detail Balok'!$C$10:$AU$140,25,FALSE)</f>
        <v>3</v>
      </c>
      <c r="E3011" s="388" t="s">
        <v>16</v>
      </c>
      <c r="F3011" s="388">
        <f>VLOOKUP(D2995,'Detail Balok'!$C$10:$AU$140,27,FALSE)</f>
        <v>13</v>
      </c>
      <c r="G3011" s="388"/>
      <c r="H3011" s="395"/>
      <c r="I3011" s="388" t="s">
        <v>203</v>
      </c>
      <c r="J3011" s="399">
        <f t="shared" si="9566"/>
        <v>1.02</v>
      </c>
      <c r="K3011" s="400" t="s">
        <v>204</v>
      </c>
      <c r="L3011" s="399"/>
      <c r="M3011" s="399" t="s">
        <v>176</v>
      </c>
      <c r="N3011" s="399">
        <f t="shared" si="9668"/>
        <v>1.02</v>
      </c>
      <c r="O3011" s="399" t="s">
        <v>204</v>
      </c>
      <c r="P3011" s="389">
        <f t="shared" ref="P3011" si="9675">MAX(D3011-D3010,D3011-D3012)</f>
        <v>0</v>
      </c>
      <c r="Q3011" s="399" t="s">
        <v>125</v>
      </c>
      <c r="R3011" s="399">
        <f t="shared" ref="R3011" si="9676">IF(P3011&gt;0,2*(1-2*$F$19-1/2)*D2998/1000,0)</f>
        <v>0</v>
      </c>
      <c r="S3011" s="399" t="s">
        <v>205</v>
      </c>
      <c r="T3011" s="399" t="s">
        <v>125</v>
      </c>
      <c r="U3011" s="401">
        <f t="shared" si="9671"/>
        <v>1.041885</v>
      </c>
      <c r="V3011" s="399"/>
      <c r="W3011" s="399"/>
      <c r="X3011" s="399" t="s">
        <v>125</v>
      </c>
      <c r="Y3011" s="389">
        <f t="shared" ref="Y3011" si="9677">D3001</f>
        <v>1</v>
      </c>
      <c r="Z3011" s="400" t="s">
        <v>176</v>
      </c>
      <c r="AA3011" s="402">
        <f t="shared" ref="AA3011" si="9678">IF(AA3013=0,(D3011*N3011+P3011*R3011)*U3011*Y3011,0)</f>
        <v>0</v>
      </c>
      <c r="AB3011" s="403"/>
    </row>
    <row r="3012" spans="1:28">
      <c r="A3012" s="384" t="str">
        <f t="shared" ref="A3012:B3012" si="9679">A2995</f>
        <v>Lantai 2</v>
      </c>
      <c r="B3012" s="385">
        <f t="shared" si="9679"/>
        <v>13</v>
      </c>
      <c r="C3012" s="393" t="s">
        <v>209</v>
      </c>
      <c r="D3012" s="398">
        <f>VLOOKUP(D2995,'Detail Balok'!$C$10:$AU$140,28,FALSE)</f>
        <v>3</v>
      </c>
      <c r="E3012" s="388" t="s">
        <v>16</v>
      </c>
      <c r="F3012" s="388">
        <f>VLOOKUP(D2995,'Detail Balok'!$C$10:$AU$140,30,FALSE)</f>
        <v>13</v>
      </c>
      <c r="G3012" s="388"/>
      <c r="H3012" s="395"/>
      <c r="I3012" s="388" t="s">
        <v>203</v>
      </c>
      <c r="J3012" s="399">
        <f t="shared" si="9566"/>
        <v>0.51</v>
      </c>
      <c r="K3012" s="400" t="s">
        <v>204</v>
      </c>
      <c r="L3012" s="399">
        <f t="shared" ref="L3012" si="9680">MAX(VLOOKUP(F3012,N$6:P$15,3,FALSE)/1000,2/3*D3000/1000)+F$16*F3012/1000</f>
        <v>0.156</v>
      </c>
      <c r="M3012" s="399" t="s">
        <v>176</v>
      </c>
      <c r="N3012" s="399">
        <f t="shared" si="9668"/>
        <v>0.66600000000000004</v>
      </c>
      <c r="O3012" s="399" t="s">
        <v>204</v>
      </c>
      <c r="P3012" s="389">
        <f t="shared" ref="P3012" si="9681">D3012-D3011</f>
        <v>0</v>
      </c>
      <c r="Q3012" s="399" t="s">
        <v>125</v>
      </c>
      <c r="R3012" s="399">
        <f t="shared" ref="R3012" si="9682">IF(P3012&gt;0,$F$18*F3012/1000,0)</f>
        <v>0</v>
      </c>
      <c r="S3012" s="399" t="s">
        <v>205</v>
      </c>
      <c r="T3012" s="399" t="s">
        <v>125</v>
      </c>
      <c r="U3012" s="401">
        <f t="shared" si="9671"/>
        <v>1.041885</v>
      </c>
      <c r="V3012" s="399"/>
      <c r="W3012" s="399"/>
      <c r="X3012" s="399" t="s">
        <v>125</v>
      </c>
      <c r="Y3012" s="389">
        <f t="shared" ref="Y3012" si="9683">D3001</f>
        <v>1</v>
      </c>
      <c r="Z3012" s="400" t="s">
        <v>176</v>
      </c>
      <c r="AA3012" s="402">
        <f t="shared" ref="AA3012" si="9684">IF(AA3013=0,(D3012*N3012+P3012*R3012)*U3012*Y3012,0)</f>
        <v>0</v>
      </c>
      <c r="AB3012" s="403"/>
    </row>
    <row r="3013" spans="1:28">
      <c r="A3013" s="384" t="str">
        <f t="shared" ref="A3013:B3013" si="9685">A2995</f>
        <v>Lantai 2</v>
      </c>
      <c r="B3013" s="385">
        <f t="shared" si="9685"/>
        <v>13</v>
      </c>
      <c r="C3013" s="393"/>
      <c r="D3013" s="398">
        <f t="shared" si="9586"/>
        <v>3</v>
      </c>
      <c r="E3013" s="388" t="s">
        <v>16</v>
      </c>
      <c r="F3013" s="388">
        <f t="shared" si="9587"/>
        <v>13</v>
      </c>
      <c r="G3013" s="388"/>
      <c r="H3013" s="395"/>
      <c r="I3013" s="388"/>
      <c r="J3013" s="396"/>
      <c r="K3013" s="396"/>
      <c r="L3013" s="404" t="s">
        <v>207</v>
      </c>
      <c r="M3013" s="399" t="s">
        <v>176</v>
      </c>
      <c r="N3013" s="399">
        <f t="shared" ref="N3013" si="9686">IF(AND(D3010=D3011,D3010=D3012,D3011=D3012,F3010=F3011,F3010=F3012,F3011=F3012),SUM(N3010:N3012),0)</f>
        <v>2.3519999999999999</v>
      </c>
      <c r="O3013" s="399" t="s">
        <v>204</v>
      </c>
      <c r="P3013" s="389">
        <f t="shared" ref="P3013" si="9687">IF(N3013&gt;12,ROUNDDOWN(N3013/12,0),0)</f>
        <v>0</v>
      </c>
      <c r="Q3013" s="399" t="s">
        <v>125</v>
      </c>
      <c r="R3013" s="399">
        <f t="shared" ref="R3013" si="9688">IF(P3013&gt;0,MAX(VLOOKUP(F3013,$D$6:$G$15,3,FALSE),600),0)/1000</f>
        <v>0</v>
      </c>
      <c r="S3013" s="396"/>
      <c r="T3013" s="396" t="s">
        <v>125</v>
      </c>
      <c r="U3013" s="401">
        <f t="shared" si="9591"/>
        <v>1.041885</v>
      </c>
      <c r="V3013" s="396" t="s">
        <v>125</v>
      </c>
      <c r="W3013" s="399">
        <f t="shared" ref="W3013" si="9689">D3013</f>
        <v>3</v>
      </c>
      <c r="X3013" s="399" t="s">
        <v>125</v>
      </c>
      <c r="Y3013" s="389">
        <f t="shared" si="9593"/>
        <v>1</v>
      </c>
      <c r="Z3013" s="400" t="s">
        <v>176</v>
      </c>
      <c r="AA3013" s="402">
        <f t="shared" ref="AA3013" si="9690">(N3013+P3013*R3013/1000)*U3013*W3013*Y3013</f>
        <v>7.3515405600000001</v>
      </c>
      <c r="AB3013" s="403"/>
    </row>
    <row r="3014" spans="1:28">
      <c r="A3014" s="384"/>
      <c r="B3014" s="385"/>
      <c r="C3014" s="393"/>
      <c r="D3014" s="394"/>
      <c r="E3014" s="388"/>
      <c r="F3014" s="388"/>
      <c r="G3014" s="388"/>
      <c r="H3014" s="395"/>
      <c r="I3014" s="388"/>
      <c r="J3014" s="399"/>
      <c r="K3014" s="396"/>
      <c r="L3014" s="396"/>
      <c r="M3014" s="396"/>
      <c r="N3014" s="396"/>
      <c r="O3014" s="396"/>
      <c r="P3014" s="389"/>
      <c r="Q3014" s="396"/>
      <c r="R3014" s="396"/>
      <c r="S3014" s="396"/>
      <c r="T3014" s="396"/>
      <c r="U3014" s="401"/>
      <c r="V3014" s="396"/>
      <c r="W3014" s="388"/>
      <c r="X3014" s="396"/>
      <c r="Y3014" s="389"/>
      <c r="Z3014" s="396"/>
      <c r="AA3014" s="388"/>
      <c r="AB3014" s="390"/>
    </row>
    <row r="3015" spans="1:28">
      <c r="A3015" s="384" t="str">
        <f t="shared" ref="A3015:B3015" si="9691">A2995</f>
        <v>Lantai 2</v>
      </c>
      <c r="B3015" s="385">
        <f t="shared" si="9691"/>
        <v>13</v>
      </c>
      <c r="C3015" s="393" t="s">
        <v>211</v>
      </c>
      <c r="D3015" s="398">
        <f>VLOOKUP(D2995,'Detail Balok'!$C$10:$AU$140,31,FALSE)</f>
        <v>0</v>
      </c>
      <c r="E3015" s="388" t="s">
        <v>16</v>
      </c>
      <c r="F3015" s="388">
        <f>VLOOKUP(D2995,'Detail Balok'!$C$10:$AU$140,33,FALSE)</f>
        <v>10</v>
      </c>
      <c r="G3015" s="405" t="s">
        <v>157</v>
      </c>
      <c r="H3015" s="395">
        <f>VLOOKUP(D2995,'Detail Balok'!$C$10:$AU$140,35,FALSE)</f>
        <v>100</v>
      </c>
      <c r="I3015" s="388"/>
      <c r="J3015" s="400">
        <f t="shared" ref="J3015" si="9692">(IF(D3015=0,(2*(D2996+G2996))-(F$5*8),IF(D3015=3,(2*(D2996+G2996))-(F$5*8)+(G2996-2*F$5),IF(D3015=4,(2*(D2996+G2996))-(F$5*8)+2*(G2996-2*F$5)))))/1000</f>
        <v>0.68</v>
      </c>
      <c r="K3015" s="400" t="s">
        <v>204</v>
      </c>
      <c r="L3015" s="399">
        <f t="shared" ref="L3015:L3017" si="9693">IF(D3015=0,2*MAX(6*F3015,75),(D3015-1)*2*MAX(6*F3015,75))/1000</f>
        <v>0.15</v>
      </c>
      <c r="M3015" s="399" t="s">
        <v>176</v>
      </c>
      <c r="N3015" s="399">
        <f t="shared" ref="N3015:N3017" si="9694">J3015+L3015</f>
        <v>0.83000000000000007</v>
      </c>
      <c r="O3015" s="399"/>
      <c r="P3015" s="389"/>
      <c r="Q3015" s="399"/>
      <c r="R3015" s="399"/>
      <c r="S3015" s="399"/>
      <c r="T3015" s="399" t="s">
        <v>125</v>
      </c>
      <c r="U3015" s="401">
        <f t="shared" ref="U3015:U3017" si="9695">0.006165*F3015^2</f>
        <v>0.61650000000000005</v>
      </c>
      <c r="V3015" s="399" t="s">
        <v>125</v>
      </c>
      <c r="W3015" s="399">
        <f t="shared" ref="W3015" si="9696">IF(D2998&gt;4*G2996,ROUND(MAX(D2998/4,2*G2996)/H3015,0)+1,ROUND(D2998/H3015,0)+1)</f>
        <v>7</v>
      </c>
      <c r="X3015" s="399" t="s">
        <v>125</v>
      </c>
      <c r="Y3015" s="389">
        <f t="shared" ref="Y3015" si="9697">D3001</f>
        <v>1</v>
      </c>
      <c r="Z3015" s="400" t="s">
        <v>176</v>
      </c>
      <c r="AA3015" s="402">
        <f t="shared" ref="AA3015:AA3017" si="9698">N3015*U3015*W3015*Y3015</f>
        <v>3.581865000000001</v>
      </c>
      <c r="AB3015" s="403"/>
    </row>
    <row r="3016" spans="1:28">
      <c r="A3016" s="384" t="str">
        <f t="shared" ref="A3016:B3016" si="9699">A2995</f>
        <v>Lantai 2</v>
      </c>
      <c r="B3016" s="385">
        <f t="shared" si="9699"/>
        <v>13</v>
      </c>
      <c r="C3016" s="393" t="s">
        <v>212</v>
      </c>
      <c r="D3016" s="398">
        <f>VLOOKUP(D2995,'Detail Balok'!$C$10:$AU$140,36,FALSE)</f>
        <v>0</v>
      </c>
      <c r="E3016" s="388" t="s">
        <v>16</v>
      </c>
      <c r="F3016" s="388">
        <f>VLOOKUP(D2995,'Detail Balok'!$C$10:$AU$140,38,FALSE)</f>
        <v>10</v>
      </c>
      <c r="G3016" s="405" t="s">
        <v>157</v>
      </c>
      <c r="H3016" s="395">
        <f>VLOOKUP(D2995,'Detail Balok'!$C$10:$AU$140,40,FALSE)</f>
        <v>200</v>
      </c>
      <c r="I3016" s="388"/>
      <c r="J3016" s="400">
        <f t="shared" ref="J3016" si="9700">(IF(D3016=0,(2*(D2996+G2996))-(F$5*8),IF(D3016=3,(2*(D2996+G2996))-(F$5*8)+(G2996-2*F$5),IF(D3016=4,(2*(D2996+G2996))-(F$5*8)+2*(G2996-2*F$5)))))/1000</f>
        <v>0.68</v>
      </c>
      <c r="K3016" s="400" t="s">
        <v>204</v>
      </c>
      <c r="L3016" s="399">
        <f t="shared" si="9693"/>
        <v>0.15</v>
      </c>
      <c r="M3016" s="399" t="s">
        <v>176</v>
      </c>
      <c r="N3016" s="399">
        <f t="shared" si="9694"/>
        <v>0.83000000000000007</v>
      </c>
      <c r="O3016" s="399"/>
      <c r="P3016" s="389"/>
      <c r="Q3016" s="399"/>
      <c r="R3016" s="399"/>
      <c r="S3016" s="399"/>
      <c r="T3016" s="399" t="s">
        <v>125</v>
      </c>
      <c r="U3016" s="401">
        <f t="shared" si="9695"/>
        <v>0.61650000000000005</v>
      </c>
      <c r="V3016" s="399" t="s">
        <v>125</v>
      </c>
      <c r="W3016" s="399">
        <f t="shared" ref="W3016" si="9701">IF(D2998-MAX(D2998/4,2*G2996)*2&gt;0,ROUND((D2998-MAX(D2998/4,2*G2996)*2)/H3016,0),0)</f>
        <v>4</v>
      </c>
      <c r="X3016" s="399" t="s">
        <v>125</v>
      </c>
      <c r="Y3016" s="389">
        <f t="shared" ref="Y3016" si="9702">D3001</f>
        <v>1</v>
      </c>
      <c r="Z3016" s="400" t="s">
        <v>176</v>
      </c>
      <c r="AA3016" s="402">
        <f t="shared" si="9698"/>
        <v>2.0467800000000005</v>
      </c>
      <c r="AB3016" s="403"/>
    </row>
    <row r="3017" spans="1:28">
      <c r="A3017" s="384" t="str">
        <f t="shared" ref="A3017:B3017" si="9703">A2995</f>
        <v>Lantai 2</v>
      </c>
      <c r="B3017" s="385">
        <f t="shared" si="9703"/>
        <v>13</v>
      </c>
      <c r="C3017" s="393" t="s">
        <v>211</v>
      </c>
      <c r="D3017" s="398">
        <f>VLOOKUP(D2995,'Detail Balok'!$C$10:$AU$140,41,FALSE)</f>
        <v>0</v>
      </c>
      <c r="E3017" s="388" t="s">
        <v>16</v>
      </c>
      <c r="F3017" s="388">
        <f>VLOOKUP(D2995,'Detail Balok'!$C$10:$AU$140,43,FALSE)</f>
        <v>10</v>
      </c>
      <c r="G3017" s="405" t="s">
        <v>157</v>
      </c>
      <c r="H3017" s="395">
        <f>VLOOKUP(D2995,'Detail Balok'!$C$10:$AU$140,45,FALSE)</f>
        <v>100</v>
      </c>
      <c r="I3017" s="388"/>
      <c r="J3017" s="400">
        <f t="shared" ref="J3017" si="9704">(IF(D3017=0,(2*(D2996+G2996))-(F$5*8),IF(D3017=3,(2*(D2996+G2996))-(F$5*8)+(G2996-2*F$5),IF(D3017=4,(2*(D2996+G2996))-(F$5*8)+2*(G2996-2*F$5)))))/1000</f>
        <v>0.68</v>
      </c>
      <c r="K3017" s="400" t="s">
        <v>204</v>
      </c>
      <c r="L3017" s="399">
        <f t="shared" si="9693"/>
        <v>0.15</v>
      </c>
      <c r="M3017" s="399" t="s">
        <v>176</v>
      </c>
      <c r="N3017" s="399">
        <f t="shared" si="9694"/>
        <v>0.83000000000000007</v>
      </c>
      <c r="O3017" s="399"/>
      <c r="P3017" s="389"/>
      <c r="Q3017" s="399"/>
      <c r="R3017" s="399"/>
      <c r="S3017" s="399"/>
      <c r="T3017" s="399" t="s">
        <v>125</v>
      </c>
      <c r="U3017" s="401">
        <f t="shared" si="9695"/>
        <v>0.61650000000000005</v>
      </c>
      <c r="V3017" s="399" t="s">
        <v>125</v>
      </c>
      <c r="W3017" s="399">
        <f t="shared" ref="W3017" si="9705">IF(D2998&gt;4*G2996,ROUND(MAX(D2998/4,2*G2996)/H3017,0)+1,0)</f>
        <v>7</v>
      </c>
      <c r="X3017" s="399" t="s">
        <v>125</v>
      </c>
      <c r="Y3017" s="389">
        <f t="shared" ref="Y3017" si="9706">D3001</f>
        <v>1</v>
      </c>
      <c r="Z3017" s="400" t="s">
        <v>176</v>
      </c>
      <c r="AA3017" s="402">
        <f t="shared" si="9698"/>
        <v>3.581865000000001</v>
      </c>
      <c r="AB3017" s="403"/>
    </row>
    <row r="3018" spans="1:28">
      <c r="A3018" s="384"/>
      <c r="B3018" s="385"/>
      <c r="C3018" s="393"/>
      <c r="D3018" s="394"/>
      <c r="E3018" s="388"/>
      <c r="F3018" s="388"/>
      <c r="G3018" s="388"/>
      <c r="H3018" s="395"/>
      <c r="I3018" s="388"/>
      <c r="J3018" s="399"/>
      <c r="K3018" s="396"/>
      <c r="L3018" s="396"/>
      <c r="M3018" s="396"/>
      <c r="N3018" s="396"/>
      <c r="O3018" s="396"/>
      <c r="P3018" s="389"/>
      <c r="Q3018" s="396"/>
      <c r="R3018" s="396"/>
      <c r="S3018" s="396"/>
      <c r="T3018" s="396"/>
      <c r="U3018" s="401"/>
      <c r="V3018" s="396"/>
      <c r="W3018" s="388"/>
      <c r="X3018" s="396"/>
      <c r="Y3018" s="389"/>
      <c r="Z3018" s="396"/>
      <c r="AA3018" s="388"/>
      <c r="AB3018" s="390"/>
    </row>
    <row r="3019" spans="1:28">
      <c r="A3019" s="384" t="str">
        <f t="shared" ref="A3019:B3019" si="9707">A2995</f>
        <v>Lantai 2</v>
      </c>
      <c r="B3019" s="385">
        <f t="shared" si="9707"/>
        <v>13</v>
      </c>
      <c r="C3019" s="393" t="s">
        <v>213</v>
      </c>
      <c r="D3019" s="398">
        <f>VLOOKUP(D2995,'Detail Balok'!$C$10:$BJ$140,46,FALSE)</f>
        <v>0</v>
      </c>
      <c r="E3019" s="388" t="s">
        <v>16</v>
      </c>
      <c r="F3019" s="388">
        <f>VLOOKUP(D2995,'Detail Balok'!$C$10:$BJ$140,48,FALSE)</f>
        <v>0</v>
      </c>
      <c r="G3019" s="405" t="s">
        <v>157</v>
      </c>
      <c r="H3019" s="395">
        <f>VLOOKUP(D2995,'Detail Balok'!$C$10:$BJ$140,50,FALSE)</f>
        <v>100</v>
      </c>
      <c r="I3019" s="388"/>
      <c r="J3019" s="399">
        <f t="shared" ref="J3019" si="9708">(D2996-2*F$5)/1000</f>
        <v>0.12</v>
      </c>
      <c r="K3019" s="400" t="s">
        <v>204</v>
      </c>
      <c r="L3019" s="399">
        <f t="shared" ref="L3019:L3021" si="9709">IF(D3019=0,2*MAX(6*F3019,75),(D3019-1)*2*MAX(6*F3019,75))/1000</f>
        <v>0.15</v>
      </c>
      <c r="M3019" s="399" t="s">
        <v>176</v>
      </c>
      <c r="N3019" s="399">
        <f t="shared" ref="N3019:N3021" si="9710">J3019+L3019</f>
        <v>0.27</v>
      </c>
      <c r="O3019" s="399"/>
      <c r="P3019" s="399"/>
      <c r="Q3019" s="399"/>
      <c r="R3019" s="399"/>
      <c r="S3019" s="399"/>
      <c r="T3019" s="399" t="s">
        <v>125</v>
      </c>
      <c r="U3019" s="401">
        <f t="shared" ref="U3019:U3021" si="9711">0.006165*F3019^2</f>
        <v>0</v>
      </c>
      <c r="V3019" s="399" t="s">
        <v>125</v>
      </c>
      <c r="W3019" s="399">
        <f t="shared" si="9616"/>
        <v>7</v>
      </c>
      <c r="X3019" s="399" t="s">
        <v>125</v>
      </c>
      <c r="Y3019" s="389">
        <f t="shared" ref="Y3019" si="9712">D3005</f>
        <v>3</v>
      </c>
      <c r="Z3019" s="400" t="s">
        <v>176</v>
      </c>
      <c r="AA3019" s="402">
        <f t="shared" ref="AA3019:AA3021" si="9713">N3019*U3019*W3019*Y3019</f>
        <v>0</v>
      </c>
      <c r="AB3019" s="403"/>
    </row>
    <row r="3020" spans="1:28">
      <c r="A3020" s="384" t="str">
        <f t="shared" ref="A3020:B3020" si="9714">A2995</f>
        <v>Lantai 2</v>
      </c>
      <c r="B3020" s="385">
        <f t="shared" si="9714"/>
        <v>13</v>
      </c>
      <c r="C3020" s="393" t="s">
        <v>214</v>
      </c>
      <c r="D3020" s="398">
        <f>VLOOKUP(D2995,'Detail Balok'!$C$10:$BJ$140,51,FALSE)</f>
        <v>0</v>
      </c>
      <c r="E3020" s="388" t="s">
        <v>16</v>
      </c>
      <c r="F3020" s="388">
        <f>VLOOKUP(D2995,'Detail Balok'!$C$10:$BJ$140,53,FALSE)</f>
        <v>0</v>
      </c>
      <c r="G3020" s="405" t="s">
        <v>157</v>
      </c>
      <c r="H3020" s="395">
        <f>VLOOKUP(D2995,'Detail Balok'!$C$10:$BJ$140,55,FALSE)</f>
        <v>100</v>
      </c>
      <c r="I3020" s="388"/>
      <c r="J3020" s="399">
        <f t="shared" ref="J3020" si="9715">(D2996-2*F$5)/1000</f>
        <v>0.12</v>
      </c>
      <c r="K3020" s="400" t="s">
        <v>204</v>
      </c>
      <c r="L3020" s="399">
        <f t="shared" si="9709"/>
        <v>0.15</v>
      </c>
      <c r="M3020" s="399" t="s">
        <v>176</v>
      </c>
      <c r="N3020" s="399">
        <f t="shared" si="9710"/>
        <v>0.27</v>
      </c>
      <c r="O3020" s="399"/>
      <c r="P3020" s="399"/>
      <c r="Q3020" s="399"/>
      <c r="R3020" s="399"/>
      <c r="S3020" s="399"/>
      <c r="T3020" s="399" t="s">
        <v>125</v>
      </c>
      <c r="U3020" s="401">
        <f t="shared" si="9711"/>
        <v>0</v>
      </c>
      <c r="V3020" s="399" t="s">
        <v>125</v>
      </c>
      <c r="W3020" s="399">
        <f t="shared" si="9616"/>
        <v>4</v>
      </c>
      <c r="X3020" s="399" t="s">
        <v>125</v>
      </c>
      <c r="Y3020" s="389">
        <f t="shared" ref="Y3020" si="9716">D3005</f>
        <v>3</v>
      </c>
      <c r="Z3020" s="400" t="s">
        <v>176</v>
      </c>
      <c r="AA3020" s="402">
        <f t="shared" si="9713"/>
        <v>0</v>
      </c>
      <c r="AB3020" s="403"/>
    </row>
    <row r="3021" spans="1:28">
      <c r="A3021" s="384" t="str">
        <f t="shared" ref="A3021:B3021" si="9717">A2995</f>
        <v>Lantai 2</v>
      </c>
      <c r="B3021" s="385">
        <f t="shared" si="9717"/>
        <v>13</v>
      </c>
      <c r="C3021" s="393" t="s">
        <v>213</v>
      </c>
      <c r="D3021" s="398">
        <f>VLOOKUP(D2995,'Detail Balok'!$C$10:$BJ$140,56,FALSE)</f>
        <v>0</v>
      </c>
      <c r="E3021" s="388" t="s">
        <v>16</v>
      </c>
      <c r="F3021" s="388">
        <f>VLOOKUP(D2995,'Detail Balok'!$C$10:$BJ$140,58,FALSE)</f>
        <v>0</v>
      </c>
      <c r="G3021" s="405" t="s">
        <v>157</v>
      </c>
      <c r="H3021" s="395">
        <f>VLOOKUP(D2995,'Detail Balok'!$C$10:$BJ$140,60,FALSE)</f>
        <v>100</v>
      </c>
      <c r="I3021" s="388"/>
      <c r="J3021" s="399">
        <f t="shared" ref="J3021" si="9718">(D2996-2*F$5)/1000</f>
        <v>0.12</v>
      </c>
      <c r="K3021" s="400" t="s">
        <v>204</v>
      </c>
      <c r="L3021" s="399">
        <f t="shared" si="9709"/>
        <v>0.15</v>
      </c>
      <c r="M3021" s="399" t="s">
        <v>176</v>
      </c>
      <c r="N3021" s="399">
        <f t="shared" si="9710"/>
        <v>0.27</v>
      </c>
      <c r="O3021" s="399"/>
      <c r="P3021" s="399"/>
      <c r="Q3021" s="399"/>
      <c r="R3021" s="399"/>
      <c r="S3021" s="399"/>
      <c r="T3021" s="399" t="s">
        <v>125</v>
      </c>
      <c r="U3021" s="401">
        <f t="shared" si="9711"/>
        <v>0</v>
      </c>
      <c r="V3021" s="399" t="s">
        <v>125</v>
      </c>
      <c r="W3021" s="399">
        <f t="shared" si="9616"/>
        <v>7</v>
      </c>
      <c r="X3021" s="399" t="s">
        <v>125</v>
      </c>
      <c r="Y3021" s="389">
        <f t="shared" ref="Y3021" si="9719">D3005</f>
        <v>3</v>
      </c>
      <c r="Z3021" s="400" t="s">
        <v>176</v>
      </c>
      <c r="AA3021" s="402">
        <f t="shared" si="9713"/>
        <v>0</v>
      </c>
      <c r="AB3021" s="403"/>
    </row>
    <row r="3022" spans="1:28">
      <c r="A3022" s="391"/>
      <c r="B3022" s="392"/>
      <c r="C3022" s="392"/>
      <c r="D3022" s="394"/>
      <c r="E3022" s="388"/>
      <c r="F3022" s="388"/>
      <c r="G3022" s="388"/>
      <c r="H3022" s="395"/>
      <c r="I3022" s="388"/>
      <c r="J3022" s="402"/>
      <c r="K3022" s="388"/>
      <c r="L3022" s="388"/>
      <c r="M3022" s="388"/>
      <c r="N3022" s="388"/>
      <c r="O3022" s="388"/>
      <c r="P3022" s="388"/>
      <c r="Q3022" s="388"/>
      <c r="R3022" s="388"/>
      <c r="S3022" s="388"/>
      <c r="T3022" s="388"/>
      <c r="U3022" s="388"/>
      <c r="V3022" s="388"/>
      <c r="W3022" s="388"/>
      <c r="X3022" s="388"/>
      <c r="Y3022" s="389"/>
      <c r="Z3022" s="388"/>
      <c r="AA3022" s="402"/>
      <c r="AB3022" s="403"/>
    </row>
    <row r="3023" spans="1:28" ht="15.75" thickBot="1">
      <c r="A3023" s="406"/>
      <c r="B3023" s="407"/>
      <c r="C3023" s="407"/>
      <c r="D3023" s="408"/>
      <c r="E3023" s="409"/>
      <c r="F3023" s="409"/>
      <c r="G3023" s="409"/>
      <c r="H3023" s="410"/>
      <c r="I3023" s="409"/>
      <c r="J3023" s="409"/>
      <c r="K3023" s="409"/>
      <c r="L3023" s="409"/>
      <c r="M3023" s="409"/>
      <c r="N3023" s="409"/>
      <c r="O3023" s="409"/>
      <c r="P3023" s="409"/>
      <c r="Q3023" s="409"/>
      <c r="R3023" s="409"/>
      <c r="S3023" s="409"/>
      <c r="T3023" s="409"/>
      <c r="U3023" s="409"/>
      <c r="V3023" s="409"/>
      <c r="W3023" s="409"/>
      <c r="X3023" s="409"/>
      <c r="Y3023" s="411"/>
      <c r="Z3023" s="409"/>
      <c r="AA3023" s="412"/>
      <c r="AB3023" s="413"/>
    </row>
    <row r="3024" spans="1:28">
      <c r="A3024" s="377"/>
      <c r="B3024" s="378"/>
      <c r="C3024" s="378"/>
      <c r="D3024" s="379"/>
      <c r="E3024" s="380"/>
      <c r="F3024" s="380"/>
      <c r="G3024" s="380"/>
      <c r="H3024" s="381"/>
      <c r="I3024" s="380"/>
      <c r="J3024" s="380"/>
      <c r="K3024" s="380"/>
      <c r="L3024" s="380"/>
      <c r="M3024" s="380"/>
      <c r="N3024" s="380"/>
      <c r="O3024" s="380"/>
      <c r="P3024" s="380"/>
      <c r="Q3024" s="380"/>
      <c r="R3024" s="380"/>
      <c r="S3024" s="380"/>
      <c r="T3024" s="380"/>
      <c r="U3024" s="380"/>
      <c r="V3024" s="380"/>
      <c r="W3024" s="380"/>
      <c r="X3024" s="380"/>
      <c r="Y3024" s="382"/>
      <c r="Z3024" s="380"/>
      <c r="AA3024" s="380"/>
      <c r="AB3024" s="383"/>
    </row>
    <row r="3025" spans="1:28">
      <c r="A3025" s="384" t="str">
        <f t="shared" si="9625"/>
        <v>Lantai 2</v>
      </c>
      <c r="B3025" s="385">
        <f t="shared" si="9626"/>
        <v>14</v>
      </c>
      <c r="C3025" s="386" t="str">
        <f t="shared" ref="C3025" si="9720">CONCATENATE(A3025," no. ",B3025)</f>
        <v>Lantai 2 no. 14</v>
      </c>
      <c r="D3025" s="2562" t="str">
        <f>VLOOKUP(C3025,'Data Panjang Balok'!$C$9:$N$254,2,FALSE)</f>
        <v>B25-1</v>
      </c>
      <c r="E3025" s="2576"/>
      <c r="F3025" s="2576"/>
      <c r="G3025" s="2576"/>
      <c r="H3025" s="2577"/>
      <c r="I3025" s="387"/>
      <c r="J3025" s="388"/>
      <c r="K3025" s="388"/>
      <c r="L3025" s="388"/>
      <c r="M3025" s="388"/>
      <c r="N3025" s="388"/>
      <c r="O3025" s="388"/>
      <c r="P3025" s="388"/>
      <c r="Q3025" s="388"/>
      <c r="R3025" s="388"/>
      <c r="S3025" s="388"/>
      <c r="T3025" s="388"/>
      <c r="U3025" s="388"/>
      <c r="V3025" s="388"/>
      <c r="W3025" s="388"/>
      <c r="X3025" s="388"/>
      <c r="Y3025" s="389"/>
      <c r="Z3025" s="388"/>
      <c r="AA3025" s="388"/>
      <c r="AB3025" s="390"/>
    </row>
    <row r="3026" spans="1:28">
      <c r="A3026" s="391"/>
      <c r="B3026" s="392"/>
      <c r="C3026" s="393" t="s">
        <v>118</v>
      </c>
      <c r="D3026" s="2578">
        <f>VLOOKUP(D3025,'Detail Balok'!$C$10:$AU$140,2,FALSE)</f>
        <v>200</v>
      </c>
      <c r="E3026" s="2579"/>
      <c r="F3026" s="388" t="s">
        <v>125</v>
      </c>
      <c r="G3026" s="2579">
        <f>VLOOKUP(D3025,'Detail Balok'!$C$10:$AU$140,3,FALSE)</f>
        <v>500</v>
      </c>
      <c r="H3026" s="2580"/>
      <c r="I3026" s="388"/>
      <c r="J3026" s="396"/>
      <c r="K3026" s="396"/>
      <c r="L3026" s="396"/>
      <c r="M3026" s="396"/>
      <c r="N3026" s="396"/>
      <c r="O3026" s="396"/>
      <c r="P3026" s="396"/>
      <c r="Q3026" s="396"/>
      <c r="R3026" s="396"/>
      <c r="S3026" s="396"/>
      <c r="T3026" s="396"/>
      <c r="U3026" s="388"/>
      <c r="V3026" s="396"/>
      <c r="W3026" s="388"/>
      <c r="X3026" s="396"/>
      <c r="Y3026" s="389"/>
      <c r="Z3026" s="396"/>
      <c r="AA3026" s="388"/>
      <c r="AB3026" s="390"/>
    </row>
    <row r="3027" spans="1:28">
      <c r="A3027" s="391"/>
      <c r="B3027" s="392"/>
      <c r="C3027" s="393" t="s">
        <v>198</v>
      </c>
      <c r="D3027" s="2562">
        <f>VLOOKUP(C3025,'Data Panjang Balok'!$C$9:$N$254,4,FALSE)</f>
        <v>4000</v>
      </c>
      <c r="E3027" s="2563"/>
      <c r="F3027" s="2563"/>
      <c r="G3027" s="2563"/>
      <c r="H3027" s="2564"/>
      <c r="I3027" s="397"/>
      <c r="J3027" s="396"/>
      <c r="K3027" s="396"/>
      <c r="L3027" s="396"/>
      <c r="M3027" s="396"/>
      <c r="N3027" s="396"/>
      <c r="O3027" s="396"/>
      <c r="P3027" s="396"/>
      <c r="Q3027" s="396"/>
      <c r="R3027" s="396"/>
      <c r="S3027" s="396"/>
      <c r="T3027" s="396"/>
      <c r="U3027" s="388"/>
      <c r="V3027" s="396"/>
      <c r="W3027" s="388"/>
      <c r="X3027" s="396"/>
      <c r="Y3027" s="389"/>
      <c r="Z3027" s="396"/>
      <c r="AA3027" s="388"/>
      <c r="AB3027" s="390"/>
    </row>
    <row r="3028" spans="1:28">
      <c r="A3028" s="391"/>
      <c r="B3028" s="392"/>
      <c r="C3028" s="393" t="s">
        <v>199</v>
      </c>
      <c r="D3028" s="2562">
        <f>VLOOKUP(C3025,'Data Panjang Balok'!$C$9:$N$254,7,FALSE)</f>
        <v>4000</v>
      </c>
      <c r="E3028" s="2563"/>
      <c r="F3028" s="2563"/>
      <c r="G3028" s="2563"/>
      <c r="H3028" s="2564"/>
      <c r="I3028" s="397"/>
      <c r="J3028" s="396"/>
      <c r="K3028" s="396"/>
      <c r="L3028" s="396"/>
      <c r="M3028" s="396"/>
      <c r="N3028" s="396"/>
      <c r="O3028" s="396"/>
      <c r="P3028" s="396"/>
      <c r="Q3028" s="396"/>
      <c r="R3028" s="396"/>
      <c r="S3028" s="396"/>
      <c r="T3028" s="396"/>
      <c r="U3028" s="388"/>
      <c r="V3028" s="396"/>
      <c r="W3028" s="388"/>
      <c r="X3028" s="396"/>
      <c r="Y3028" s="389"/>
      <c r="Z3028" s="396"/>
      <c r="AA3028" s="388"/>
      <c r="AB3028" s="390"/>
    </row>
    <row r="3029" spans="1:28">
      <c r="A3029" s="391"/>
      <c r="B3029" s="392"/>
      <c r="C3029" s="393" t="s">
        <v>200</v>
      </c>
      <c r="D3029" s="2562">
        <f>VLOOKUP(C3025,'Data Panjang Balok'!$C$9:$N$254,9,FALSE)</f>
        <v>0</v>
      </c>
      <c r="E3029" s="2563"/>
      <c r="F3029" s="2563"/>
      <c r="G3029" s="2563"/>
      <c r="H3029" s="2564"/>
      <c r="I3029" s="397"/>
      <c r="J3029" s="396"/>
      <c r="K3029" s="396"/>
      <c r="L3029" s="396"/>
      <c r="M3029" s="396"/>
      <c r="N3029" s="396"/>
      <c r="O3029" s="396"/>
      <c r="P3029" s="396"/>
      <c r="Q3029" s="396"/>
      <c r="R3029" s="396"/>
      <c r="S3029" s="396"/>
      <c r="T3029" s="396"/>
      <c r="U3029" s="388"/>
      <c r="V3029" s="396"/>
      <c r="W3029" s="388"/>
      <c r="X3029" s="396"/>
      <c r="Y3029" s="389"/>
      <c r="Z3029" s="396"/>
      <c r="AA3029" s="388"/>
      <c r="AB3029" s="390"/>
    </row>
    <row r="3030" spans="1:28">
      <c r="A3030" s="391"/>
      <c r="B3030" s="392"/>
      <c r="C3030" s="393" t="s">
        <v>201</v>
      </c>
      <c r="D3030" s="2562">
        <f>VLOOKUP(C3025,'Data Panjang Balok'!$C$9:$N$254,10,FALSE)</f>
        <v>0</v>
      </c>
      <c r="E3030" s="2563"/>
      <c r="F3030" s="2563"/>
      <c r="G3030" s="2563"/>
      <c r="H3030" s="2564"/>
      <c r="I3030" s="397"/>
      <c r="J3030" s="396"/>
      <c r="K3030" s="396"/>
      <c r="L3030" s="396"/>
      <c r="M3030" s="396"/>
      <c r="N3030" s="396"/>
      <c r="O3030" s="396"/>
      <c r="P3030" s="396"/>
      <c r="Q3030" s="396"/>
      <c r="R3030" s="396"/>
      <c r="S3030" s="396"/>
      <c r="T3030" s="396"/>
      <c r="U3030" s="388"/>
      <c r="V3030" s="396"/>
      <c r="W3030" s="388"/>
      <c r="X3030" s="396"/>
      <c r="Y3030" s="389"/>
      <c r="Z3030" s="396"/>
      <c r="AA3030" s="388"/>
      <c r="AB3030" s="390"/>
    </row>
    <row r="3031" spans="1:28">
      <c r="A3031" s="391"/>
      <c r="B3031" s="392"/>
      <c r="C3031" s="393" t="s">
        <v>48</v>
      </c>
      <c r="D3031" s="2562">
        <f>VLOOKUP(C3025,'Data Panjang Balok'!$C$9:$N$254,3,FALSE)</f>
        <v>1</v>
      </c>
      <c r="E3031" s="2563"/>
      <c r="F3031" s="2563"/>
      <c r="G3031" s="2563"/>
      <c r="H3031" s="2564"/>
      <c r="I3031" s="397"/>
      <c r="J3031" s="396"/>
      <c r="K3031" s="396"/>
      <c r="L3031" s="396"/>
      <c r="M3031" s="396"/>
      <c r="N3031" s="396"/>
      <c r="O3031" s="396"/>
      <c r="P3031" s="396"/>
      <c r="Q3031" s="396"/>
      <c r="R3031" s="396"/>
      <c r="S3031" s="396"/>
      <c r="T3031" s="396"/>
      <c r="U3031" s="388"/>
      <c r="V3031" s="396"/>
      <c r="W3031" s="388"/>
      <c r="X3031" s="396"/>
      <c r="Y3031" s="389"/>
      <c r="Z3031" s="396"/>
      <c r="AA3031" s="388"/>
      <c r="AB3031" s="390"/>
    </row>
    <row r="3032" spans="1:28">
      <c r="A3032" s="384" t="str">
        <f t="shared" ref="A3032:B3032" si="9721">A3025</f>
        <v>Lantai 2</v>
      </c>
      <c r="B3032" s="385">
        <f t="shared" si="9721"/>
        <v>14</v>
      </c>
      <c r="C3032" s="393" t="s">
        <v>202</v>
      </c>
      <c r="D3032" s="398">
        <f>VLOOKUP(D3025,'Detail Balok'!$C$10:$AU$140,4,FALSE)</f>
        <v>4</v>
      </c>
      <c r="E3032" s="388" t="s">
        <v>16</v>
      </c>
      <c r="F3032" s="388">
        <f>VLOOKUP(D3025,'Detail Balok'!$C$10:$AU$140,6,FALSE)</f>
        <v>16</v>
      </c>
      <c r="G3032" s="388"/>
      <c r="H3032" s="395"/>
      <c r="I3032" s="388" t="s">
        <v>203</v>
      </c>
      <c r="J3032" s="399">
        <f t="shared" ref="J3032" si="9722">+D3027/4/1000</f>
        <v>1</v>
      </c>
      <c r="K3032" s="400" t="s">
        <v>204</v>
      </c>
      <c r="L3032" s="399">
        <f t="shared" ref="L3032" si="9723">MAX(VLOOKUP(F3032,N$6:P$15,3,FALSE)/1000,2/3*D3029/1000)+F$16*F3032/1000</f>
        <v>0.192</v>
      </c>
      <c r="M3032" s="399" t="s">
        <v>176</v>
      </c>
      <c r="N3032" s="399">
        <f t="shared" ref="N3032:N3034" si="9724">J3032+L3032</f>
        <v>1.1919999999999999</v>
      </c>
      <c r="O3032" s="399" t="s">
        <v>204</v>
      </c>
      <c r="P3032" s="389">
        <f t="shared" ref="P3032" si="9725">D3032-D3033</f>
        <v>0</v>
      </c>
      <c r="Q3032" s="399" t="s">
        <v>125</v>
      </c>
      <c r="R3032" s="399">
        <f t="shared" ref="R3032" si="9726">IF(P3032&gt;0,$F$18*F3032/1000,0)</f>
        <v>0</v>
      </c>
      <c r="S3032" s="399" t="s">
        <v>205</v>
      </c>
      <c r="T3032" s="399" t="s">
        <v>125</v>
      </c>
      <c r="U3032" s="401">
        <f t="shared" ref="U3032:U3034" si="9727">0.006165*F3032^2</f>
        <v>1.5782400000000001</v>
      </c>
      <c r="V3032" s="399"/>
      <c r="W3032" s="399"/>
      <c r="X3032" s="399" t="s">
        <v>125</v>
      </c>
      <c r="Y3032" s="389">
        <f t="shared" ref="Y3032" si="9728">D3031</f>
        <v>1</v>
      </c>
      <c r="Z3032" s="400" t="s">
        <v>176</v>
      </c>
      <c r="AA3032" s="402">
        <f t="shared" ref="AA3032" si="9729">IF(AA3035=0,(D3032*N3032+P3032*R3032)*U3032*Y3032,0)</f>
        <v>0</v>
      </c>
      <c r="AB3032" s="403"/>
    </row>
    <row r="3033" spans="1:28">
      <c r="A3033" s="384" t="str">
        <f t="shared" ref="A3033:B3033" si="9730">A3025</f>
        <v>Lantai 2</v>
      </c>
      <c r="B3033" s="385">
        <f t="shared" si="9730"/>
        <v>14</v>
      </c>
      <c r="C3033" s="393" t="s">
        <v>206</v>
      </c>
      <c r="D3033" s="398">
        <f>VLOOKUP(D3025,'Detail Balok'!$C$10:$AU$140,7,FALSE)</f>
        <v>4</v>
      </c>
      <c r="E3033" s="388" t="s">
        <v>16</v>
      </c>
      <c r="F3033" s="388">
        <f>VLOOKUP(D3025,'Detail Balok'!$C$10:$AU$140,9,FALSE)</f>
        <v>16</v>
      </c>
      <c r="G3033" s="388"/>
      <c r="H3033" s="395"/>
      <c r="I3033" s="388" t="s">
        <v>203</v>
      </c>
      <c r="J3033" s="399">
        <f t="shared" ref="J3033" si="9731">+D3027/2/1000</f>
        <v>2</v>
      </c>
      <c r="K3033" s="400" t="s">
        <v>204</v>
      </c>
      <c r="L3033" s="399"/>
      <c r="M3033" s="399" t="s">
        <v>176</v>
      </c>
      <c r="N3033" s="399">
        <f t="shared" si="9724"/>
        <v>2</v>
      </c>
      <c r="O3033" s="399" t="s">
        <v>204</v>
      </c>
      <c r="P3033" s="389">
        <f t="shared" ref="P3033" si="9732">MAX(D3033-D3032,D3033-D3034)</f>
        <v>0</v>
      </c>
      <c r="Q3033" s="399" t="s">
        <v>125</v>
      </c>
      <c r="R3033" s="399">
        <f t="shared" ref="R3033" si="9733">IF(P3033&gt;0,2*(1-2*$F$19-1/2)*D3028/1000,0)</f>
        <v>0</v>
      </c>
      <c r="S3033" s="399" t="s">
        <v>205</v>
      </c>
      <c r="T3033" s="399" t="s">
        <v>125</v>
      </c>
      <c r="U3033" s="401">
        <f t="shared" si="9727"/>
        <v>1.5782400000000001</v>
      </c>
      <c r="V3033" s="399"/>
      <c r="W3033" s="399"/>
      <c r="X3033" s="399" t="s">
        <v>125</v>
      </c>
      <c r="Y3033" s="389">
        <f t="shared" ref="Y3033" si="9734">D3031</f>
        <v>1</v>
      </c>
      <c r="Z3033" s="400" t="s">
        <v>176</v>
      </c>
      <c r="AA3033" s="402">
        <f t="shared" ref="AA3033" si="9735">IF(AA3035=0,(D3033*N3033+P3033*R3033)*U3033*Y3033,0)</f>
        <v>0</v>
      </c>
      <c r="AB3033" s="403"/>
    </row>
    <row r="3034" spans="1:28">
      <c r="A3034" s="384" t="str">
        <f t="shared" ref="A3034:B3034" si="9736">A3025</f>
        <v>Lantai 2</v>
      </c>
      <c r="B3034" s="385">
        <f t="shared" si="9736"/>
        <v>14</v>
      </c>
      <c r="C3034" s="393" t="s">
        <v>202</v>
      </c>
      <c r="D3034" s="398">
        <f>VLOOKUP(D3025,'Detail Balok'!$C$10:$AU$140,10,FALSE)</f>
        <v>4</v>
      </c>
      <c r="E3034" s="388" t="s">
        <v>16</v>
      </c>
      <c r="F3034" s="388">
        <f>VLOOKUP(D3025,'Detail Balok'!$C$10:$AU$140,12,FALSE)</f>
        <v>16</v>
      </c>
      <c r="G3034" s="388"/>
      <c r="H3034" s="395"/>
      <c r="I3034" s="388" t="s">
        <v>203</v>
      </c>
      <c r="J3034" s="399">
        <f t="shared" ref="J3034" si="9737">+D3027/4/1000</f>
        <v>1</v>
      </c>
      <c r="K3034" s="400" t="s">
        <v>204</v>
      </c>
      <c r="L3034" s="399">
        <f t="shared" ref="L3034" si="9738">MAX(VLOOKUP(F3034,N$6:P$15,3,FALSE)/1000,2/3*D3029/1000)+F$16*F3034/1000</f>
        <v>0.192</v>
      </c>
      <c r="M3034" s="399" t="s">
        <v>176</v>
      </c>
      <c r="N3034" s="399">
        <f t="shared" si="9724"/>
        <v>1.1919999999999999</v>
      </c>
      <c r="O3034" s="399" t="s">
        <v>204</v>
      </c>
      <c r="P3034" s="389">
        <f t="shared" ref="P3034" si="9739">D3034-D3033</f>
        <v>0</v>
      </c>
      <c r="Q3034" s="399" t="s">
        <v>125</v>
      </c>
      <c r="R3034" s="399">
        <f t="shared" ref="R3034" si="9740">IF(P3034&gt;0,$F$18*F3034/1000,0)</f>
        <v>0</v>
      </c>
      <c r="S3034" s="399" t="s">
        <v>205</v>
      </c>
      <c r="T3034" s="399" t="s">
        <v>125</v>
      </c>
      <c r="U3034" s="401">
        <f t="shared" si="9727"/>
        <v>1.5782400000000001</v>
      </c>
      <c r="V3034" s="399"/>
      <c r="W3034" s="399"/>
      <c r="X3034" s="399" t="s">
        <v>125</v>
      </c>
      <c r="Y3034" s="389">
        <f t="shared" ref="Y3034" si="9741">D3031</f>
        <v>1</v>
      </c>
      <c r="Z3034" s="400" t="s">
        <v>176</v>
      </c>
      <c r="AA3034" s="402">
        <f t="shared" ref="AA3034" si="9742">IF(AA3035=0,(D3034*N3034+P3034*R3034)*U3034*Y3034,0)</f>
        <v>0</v>
      </c>
      <c r="AB3034" s="403"/>
    </row>
    <row r="3035" spans="1:28">
      <c r="A3035" s="384" t="str">
        <f t="shared" ref="A3035:B3035" si="9743">A3025</f>
        <v>Lantai 2</v>
      </c>
      <c r="B3035" s="385">
        <f t="shared" si="9743"/>
        <v>14</v>
      </c>
      <c r="C3035" s="393"/>
      <c r="D3035" s="398">
        <f t="shared" si="9546"/>
        <v>4</v>
      </c>
      <c r="E3035" s="388" t="s">
        <v>16</v>
      </c>
      <c r="F3035" s="388">
        <f t="shared" si="9547"/>
        <v>16</v>
      </c>
      <c r="G3035" s="388"/>
      <c r="H3035" s="395"/>
      <c r="I3035" s="388"/>
      <c r="J3035" s="396"/>
      <c r="K3035" s="396"/>
      <c r="L3035" s="404" t="s">
        <v>207</v>
      </c>
      <c r="M3035" s="399" t="s">
        <v>176</v>
      </c>
      <c r="N3035" s="399">
        <f t="shared" ref="N3035" si="9744">IF(AND(D3032=D3033,D3032=D3034,D3033=D3034,F3032=F3033,F3032=F3034,F3033=F3034),SUM(N3032:N3034),0)</f>
        <v>4.3840000000000003</v>
      </c>
      <c r="O3035" s="399" t="s">
        <v>204</v>
      </c>
      <c r="P3035" s="389">
        <f t="shared" ref="P3035" si="9745">IF(N3035&gt;12,ROUNDDOWN(N3035/12,0),0)</f>
        <v>0</v>
      </c>
      <c r="Q3035" s="399" t="s">
        <v>125</v>
      </c>
      <c r="R3035" s="399">
        <f t="shared" ref="R3035" si="9746">IF(P3035&gt;0,MAX(VLOOKUP(F3035,$D$6:$G$15,3,FALSE),600),0)/1000</f>
        <v>0</v>
      </c>
      <c r="S3035" s="396"/>
      <c r="T3035" s="396" t="s">
        <v>125</v>
      </c>
      <c r="U3035" s="401">
        <f t="shared" si="9551"/>
        <v>1.5782400000000001</v>
      </c>
      <c r="V3035" s="396" t="s">
        <v>125</v>
      </c>
      <c r="W3035" s="399">
        <f t="shared" ref="W3035" si="9747">D3035</f>
        <v>4</v>
      </c>
      <c r="X3035" s="399" t="s">
        <v>125</v>
      </c>
      <c r="Y3035" s="389">
        <f t="shared" si="9553"/>
        <v>1</v>
      </c>
      <c r="Z3035" s="400" t="s">
        <v>176</v>
      </c>
      <c r="AA3035" s="402">
        <f t="shared" ref="AA3035" si="9748">(N3035+P3035*R3035/1000)*U3035*W3035*Y3035</f>
        <v>27.676016640000004</v>
      </c>
      <c r="AB3035" s="390"/>
    </row>
    <row r="3036" spans="1:28">
      <c r="A3036" s="384"/>
      <c r="B3036" s="385"/>
      <c r="C3036" s="393"/>
      <c r="D3036" s="398"/>
      <c r="E3036" s="388"/>
      <c r="F3036" s="388"/>
      <c r="G3036" s="388"/>
      <c r="H3036" s="395"/>
      <c r="I3036" s="388"/>
      <c r="J3036" s="396"/>
      <c r="K3036" s="396"/>
      <c r="L3036" s="404"/>
      <c r="M3036" s="399"/>
      <c r="N3036" s="399"/>
      <c r="O3036" s="396"/>
      <c r="P3036" s="389"/>
      <c r="Q3036" s="396"/>
      <c r="R3036" s="396"/>
      <c r="S3036" s="396"/>
      <c r="T3036" s="396"/>
      <c r="U3036" s="401"/>
      <c r="V3036" s="396"/>
      <c r="W3036" s="399"/>
      <c r="X3036" s="396"/>
      <c r="Y3036" s="389"/>
      <c r="Z3036" s="396"/>
      <c r="AA3036" s="388"/>
      <c r="AB3036" s="390"/>
    </row>
    <row r="3037" spans="1:28">
      <c r="A3037" s="384" t="str">
        <f t="shared" ref="A3037:B3037" si="9749">A3025</f>
        <v>Lantai 2</v>
      </c>
      <c r="B3037" s="385">
        <f t="shared" si="9749"/>
        <v>14</v>
      </c>
      <c r="C3037" s="393" t="s">
        <v>208</v>
      </c>
      <c r="D3037" s="398">
        <f>VLOOKUP(D3025,'Detail Balok'!$C$10:$AU$140,13,FALSE)</f>
        <v>2</v>
      </c>
      <c r="E3037" s="388" t="s">
        <v>16</v>
      </c>
      <c r="F3037" s="388">
        <f>VLOOKUP(D3025,'Detail Balok'!$C$10:$AU$140,15,FALSE)</f>
        <v>10</v>
      </c>
      <c r="G3037" s="388"/>
      <c r="H3037" s="395"/>
      <c r="I3037" s="388"/>
      <c r="J3037" s="399">
        <f t="shared" ref="J3037" si="9750">+D3027/1000</f>
        <v>4</v>
      </c>
      <c r="K3037" s="400" t="s">
        <v>204</v>
      </c>
      <c r="L3037" s="399">
        <f t="shared" ref="L3037" si="9751">2*$F$16*F3037/1000</f>
        <v>0.24</v>
      </c>
      <c r="M3037" s="399" t="s">
        <v>176</v>
      </c>
      <c r="N3037" s="399">
        <f t="shared" ref="N3037" si="9752">J3037+L3037</f>
        <v>4.24</v>
      </c>
      <c r="O3037" s="399" t="s">
        <v>204</v>
      </c>
      <c r="P3037" s="389">
        <f t="shared" ref="P3037" si="9753">IF(N3037&gt;12,ROUNDDOWN(N3037/12,0),0)</f>
        <v>0</v>
      </c>
      <c r="Q3037" s="399" t="s">
        <v>125</v>
      </c>
      <c r="R3037" s="399">
        <f t="shared" ref="R3037" si="9754">IF(P3037&gt;0,MAX(VLOOKUP(F3037,$D$6:$G$15,3,FALSE),600),0)/1000</f>
        <v>0</v>
      </c>
      <c r="S3037" s="399"/>
      <c r="T3037" s="399" t="s">
        <v>125</v>
      </c>
      <c r="U3037" s="401">
        <f t="shared" ref="U3037" si="9755">0.006165*F3037^2</f>
        <v>0.61650000000000005</v>
      </c>
      <c r="V3037" s="399" t="s">
        <v>125</v>
      </c>
      <c r="W3037" s="399">
        <f t="shared" ref="W3037" si="9756">+D3037</f>
        <v>2</v>
      </c>
      <c r="X3037" s="399" t="s">
        <v>125</v>
      </c>
      <c r="Y3037" s="389">
        <f t="shared" ref="Y3037" si="9757">D3031</f>
        <v>1</v>
      </c>
      <c r="Z3037" s="400" t="s">
        <v>176</v>
      </c>
      <c r="AA3037" s="402">
        <f t="shared" ref="AA3037" si="9758">(N3037+P3037*R3037/1000)*U3037*W3037*Y3037</f>
        <v>5.227920000000001</v>
      </c>
      <c r="AB3037" s="403"/>
    </row>
    <row r="3038" spans="1:28">
      <c r="A3038" s="384"/>
      <c r="B3038" s="385"/>
      <c r="C3038" s="393"/>
      <c r="D3038" s="398"/>
      <c r="E3038" s="388"/>
      <c r="F3038" s="388"/>
      <c r="G3038" s="388"/>
      <c r="H3038" s="395"/>
      <c r="I3038" s="388"/>
      <c r="J3038" s="399"/>
      <c r="K3038" s="400"/>
      <c r="L3038" s="399"/>
      <c r="M3038" s="399"/>
      <c r="N3038" s="399"/>
      <c r="O3038" s="399"/>
      <c r="P3038" s="389"/>
      <c r="Q3038" s="399"/>
      <c r="R3038" s="399"/>
      <c r="S3038" s="399"/>
      <c r="T3038" s="399"/>
      <c r="U3038" s="401"/>
      <c r="V3038" s="399"/>
      <c r="W3038" s="399"/>
      <c r="X3038" s="399"/>
      <c r="Y3038" s="389"/>
      <c r="Z3038" s="400"/>
      <c r="AA3038" s="402"/>
      <c r="AB3038" s="403"/>
    </row>
    <row r="3039" spans="1:28">
      <c r="A3039" s="384"/>
      <c r="B3039" s="385"/>
      <c r="C3039" s="393"/>
      <c r="D3039" s="398"/>
      <c r="E3039" s="388"/>
      <c r="F3039" s="388"/>
      <c r="G3039" s="388"/>
      <c r="H3039" s="395"/>
      <c r="I3039" s="388"/>
      <c r="J3039" s="396"/>
      <c r="K3039" s="396"/>
      <c r="L3039" s="396"/>
      <c r="M3039" s="396"/>
      <c r="N3039" s="396"/>
      <c r="O3039" s="396"/>
      <c r="P3039" s="389"/>
      <c r="Q3039" s="396"/>
      <c r="R3039" s="396"/>
      <c r="S3039" s="396"/>
      <c r="T3039" s="396"/>
      <c r="U3039" s="401"/>
      <c r="V3039" s="396"/>
      <c r="W3039" s="399"/>
      <c r="X3039" s="396"/>
      <c r="Y3039" s="389"/>
      <c r="Z3039" s="396"/>
      <c r="AA3039" s="388"/>
      <c r="AB3039" s="390"/>
    </row>
    <row r="3040" spans="1:28">
      <c r="A3040" s="384" t="str">
        <f t="shared" ref="A3040:B3040" si="9759">A3025</f>
        <v>Lantai 2</v>
      </c>
      <c r="B3040" s="385">
        <f t="shared" si="9759"/>
        <v>14</v>
      </c>
      <c r="C3040" s="393" t="s">
        <v>209</v>
      </c>
      <c r="D3040" s="398">
        <f>VLOOKUP(D3025,'Detail Balok'!$C$10:$AU$140,22,FALSE)</f>
        <v>4</v>
      </c>
      <c r="E3040" s="388" t="s">
        <v>16</v>
      </c>
      <c r="F3040" s="388">
        <f>VLOOKUP(D3025,'Detail Balok'!$C$10:$AU$140,24,FALSE)</f>
        <v>16</v>
      </c>
      <c r="G3040" s="388"/>
      <c r="H3040" s="395"/>
      <c r="I3040" s="388" t="s">
        <v>203</v>
      </c>
      <c r="J3040" s="399">
        <f t="shared" si="9566"/>
        <v>1</v>
      </c>
      <c r="K3040" s="400" t="s">
        <v>204</v>
      </c>
      <c r="L3040" s="399">
        <f t="shared" ref="L3040" si="9760">MAX(VLOOKUP(F3040,N$6:P$15,3,FALSE)/1000,2/3*D3030/1000)+F$16*F3040/1000</f>
        <v>0.192</v>
      </c>
      <c r="M3040" s="399" t="s">
        <v>176</v>
      </c>
      <c r="N3040" s="399">
        <f t="shared" ref="N3040:N3042" si="9761">J3040+L3040</f>
        <v>1.1919999999999999</v>
      </c>
      <c r="O3040" s="399" t="s">
        <v>204</v>
      </c>
      <c r="P3040" s="389">
        <f t="shared" ref="P3040" si="9762">D3040-D3041</f>
        <v>0</v>
      </c>
      <c r="Q3040" s="399" t="s">
        <v>125</v>
      </c>
      <c r="R3040" s="399">
        <f t="shared" ref="R3040" si="9763">IF(P3040&gt;0,$F$18*F3040/1000,0)</f>
        <v>0</v>
      </c>
      <c r="S3040" s="399" t="s">
        <v>205</v>
      </c>
      <c r="T3040" s="399" t="s">
        <v>125</v>
      </c>
      <c r="U3040" s="401">
        <f t="shared" ref="U3040:U3042" si="9764">0.006165*F3040^2</f>
        <v>1.5782400000000001</v>
      </c>
      <c r="V3040" s="399"/>
      <c r="W3040" s="399"/>
      <c r="X3040" s="399" t="s">
        <v>125</v>
      </c>
      <c r="Y3040" s="389">
        <f t="shared" ref="Y3040" si="9765">D3031</f>
        <v>1</v>
      </c>
      <c r="Z3040" s="400" t="s">
        <v>176</v>
      </c>
      <c r="AA3040" s="402">
        <f t="shared" ref="AA3040" si="9766">IF(AA3043=0,(D3040*N3040+P3040*R3040)*U3040*Y3040,0)</f>
        <v>0</v>
      </c>
      <c r="AB3040" s="403"/>
    </row>
    <row r="3041" spans="1:28">
      <c r="A3041" s="384" t="str">
        <f t="shared" ref="A3041:B3041" si="9767">A3025</f>
        <v>Lantai 2</v>
      </c>
      <c r="B3041" s="385">
        <f t="shared" si="9767"/>
        <v>14</v>
      </c>
      <c r="C3041" s="393" t="s">
        <v>210</v>
      </c>
      <c r="D3041" s="398">
        <f>VLOOKUP(D3025,'Detail Balok'!$C$10:$AU$140,25,FALSE)</f>
        <v>4</v>
      </c>
      <c r="E3041" s="388" t="s">
        <v>16</v>
      </c>
      <c r="F3041" s="388">
        <f>VLOOKUP(D3025,'Detail Balok'!$C$10:$AU$140,27,FALSE)</f>
        <v>16</v>
      </c>
      <c r="G3041" s="388"/>
      <c r="H3041" s="395"/>
      <c r="I3041" s="388" t="s">
        <v>203</v>
      </c>
      <c r="J3041" s="399">
        <f t="shared" si="9566"/>
        <v>2</v>
      </c>
      <c r="K3041" s="400" t="s">
        <v>204</v>
      </c>
      <c r="L3041" s="399"/>
      <c r="M3041" s="399" t="s">
        <v>176</v>
      </c>
      <c r="N3041" s="399">
        <f t="shared" si="9761"/>
        <v>2</v>
      </c>
      <c r="O3041" s="399" t="s">
        <v>204</v>
      </c>
      <c r="P3041" s="389">
        <f t="shared" ref="P3041" si="9768">MAX(D3041-D3040,D3041-D3042)</f>
        <v>0</v>
      </c>
      <c r="Q3041" s="399" t="s">
        <v>125</v>
      </c>
      <c r="R3041" s="399">
        <f t="shared" ref="R3041" si="9769">IF(P3041&gt;0,2*(1-2*$F$19-1/2)*D3028/1000,0)</f>
        <v>0</v>
      </c>
      <c r="S3041" s="399" t="s">
        <v>205</v>
      </c>
      <c r="T3041" s="399" t="s">
        <v>125</v>
      </c>
      <c r="U3041" s="401">
        <f t="shared" si="9764"/>
        <v>1.5782400000000001</v>
      </c>
      <c r="V3041" s="399"/>
      <c r="W3041" s="399"/>
      <c r="X3041" s="399" t="s">
        <v>125</v>
      </c>
      <c r="Y3041" s="389">
        <f t="shared" ref="Y3041" si="9770">D3031</f>
        <v>1</v>
      </c>
      <c r="Z3041" s="400" t="s">
        <v>176</v>
      </c>
      <c r="AA3041" s="402">
        <f t="shared" ref="AA3041" si="9771">IF(AA3043=0,(D3041*N3041+P3041*R3041)*U3041*Y3041,0)</f>
        <v>0</v>
      </c>
      <c r="AB3041" s="403"/>
    </row>
    <row r="3042" spans="1:28">
      <c r="A3042" s="384" t="str">
        <f t="shared" ref="A3042:B3042" si="9772">A3025</f>
        <v>Lantai 2</v>
      </c>
      <c r="B3042" s="385">
        <f t="shared" si="9772"/>
        <v>14</v>
      </c>
      <c r="C3042" s="393" t="s">
        <v>209</v>
      </c>
      <c r="D3042" s="398">
        <f>VLOOKUP(D3025,'Detail Balok'!$C$10:$AU$140,28,FALSE)</f>
        <v>4</v>
      </c>
      <c r="E3042" s="388" t="s">
        <v>16</v>
      </c>
      <c r="F3042" s="388">
        <f>VLOOKUP(D3025,'Detail Balok'!$C$10:$AU$140,30,FALSE)</f>
        <v>16</v>
      </c>
      <c r="G3042" s="388"/>
      <c r="H3042" s="395"/>
      <c r="I3042" s="388" t="s">
        <v>203</v>
      </c>
      <c r="J3042" s="399">
        <f t="shared" si="9566"/>
        <v>1</v>
      </c>
      <c r="K3042" s="400" t="s">
        <v>204</v>
      </c>
      <c r="L3042" s="399">
        <f t="shared" ref="L3042" si="9773">MAX(VLOOKUP(F3042,N$6:P$15,3,FALSE)/1000,2/3*D3030/1000)+F$16*F3042/1000</f>
        <v>0.192</v>
      </c>
      <c r="M3042" s="399" t="s">
        <v>176</v>
      </c>
      <c r="N3042" s="399">
        <f t="shared" si="9761"/>
        <v>1.1919999999999999</v>
      </c>
      <c r="O3042" s="399" t="s">
        <v>204</v>
      </c>
      <c r="P3042" s="389">
        <f t="shared" ref="P3042" si="9774">D3042-D3041</f>
        <v>0</v>
      </c>
      <c r="Q3042" s="399" t="s">
        <v>125</v>
      </c>
      <c r="R3042" s="399">
        <f t="shared" ref="R3042" si="9775">IF(P3042&gt;0,$F$18*F3042/1000,0)</f>
        <v>0</v>
      </c>
      <c r="S3042" s="399" t="s">
        <v>205</v>
      </c>
      <c r="T3042" s="399" t="s">
        <v>125</v>
      </c>
      <c r="U3042" s="401">
        <f t="shared" si="9764"/>
        <v>1.5782400000000001</v>
      </c>
      <c r="V3042" s="399"/>
      <c r="W3042" s="399"/>
      <c r="X3042" s="399" t="s">
        <v>125</v>
      </c>
      <c r="Y3042" s="389">
        <f t="shared" ref="Y3042" si="9776">D3031</f>
        <v>1</v>
      </c>
      <c r="Z3042" s="400" t="s">
        <v>176</v>
      </c>
      <c r="AA3042" s="402">
        <f t="shared" ref="AA3042" si="9777">IF(AA3043=0,(D3042*N3042+P3042*R3042)*U3042*Y3042,0)</f>
        <v>0</v>
      </c>
      <c r="AB3042" s="403"/>
    </row>
    <row r="3043" spans="1:28">
      <c r="A3043" s="384" t="str">
        <f t="shared" ref="A3043:B3043" si="9778">A3025</f>
        <v>Lantai 2</v>
      </c>
      <c r="B3043" s="385">
        <f t="shared" si="9778"/>
        <v>14</v>
      </c>
      <c r="C3043" s="393"/>
      <c r="D3043" s="398">
        <f t="shared" si="9586"/>
        <v>4</v>
      </c>
      <c r="E3043" s="388" t="s">
        <v>16</v>
      </c>
      <c r="F3043" s="388">
        <f t="shared" si="9587"/>
        <v>16</v>
      </c>
      <c r="G3043" s="388"/>
      <c r="H3043" s="395"/>
      <c r="I3043" s="388"/>
      <c r="J3043" s="396"/>
      <c r="K3043" s="396"/>
      <c r="L3043" s="404" t="s">
        <v>207</v>
      </c>
      <c r="M3043" s="399" t="s">
        <v>176</v>
      </c>
      <c r="N3043" s="399">
        <f t="shared" ref="N3043" si="9779">IF(AND(D3040=D3041,D3040=D3042,D3041=D3042,F3040=F3041,F3040=F3042,F3041=F3042),SUM(N3040:N3042),0)</f>
        <v>4.3840000000000003</v>
      </c>
      <c r="O3043" s="399" t="s">
        <v>204</v>
      </c>
      <c r="P3043" s="389">
        <f t="shared" ref="P3043" si="9780">IF(N3043&gt;12,ROUNDDOWN(N3043/12,0),0)</f>
        <v>0</v>
      </c>
      <c r="Q3043" s="399" t="s">
        <v>125</v>
      </c>
      <c r="R3043" s="399">
        <f t="shared" ref="R3043" si="9781">IF(P3043&gt;0,MAX(VLOOKUP(F3043,$D$6:$G$15,3,FALSE),600),0)/1000</f>
        <v>0</v>
      </c>
      <c r="S3043" s="396"/>
      <c r="T3043" s="396" t="s">
        <v>125</v>
      </c>
      <c r="U3043" s="401">
        <f t="shared" si="9591"/>
        <v>1.5782400000000001</v>
      </c>
      <c r="V3043" s="396" t="s">
        <v>125</v>
      </c>
      <c r="W3043" s="399">
        <f t="shared" ref="W3043" si="9782">D3043</f>
        <v>4</v>
      </c>
      <c r="X3043" s="399" t="s">
        <v>125</v>
      </c>
      <c r="Y3043" s="389">
        <f t="shared" si="9593"/>
        <v>1</v>
      </c>
      <c r="Z3043" s="400" t="s">
        <v>176</v>
      </c>
      <c r="AA3043" s="402">
        <f t="shared" ref="AA3043" si="9783">(N3043+P3043*R3043/1000)*U3043*W3043*Y3043</f>
        <v>27.676016640000004</v>
      </c>
      <c r="AB3043" s="403"/>
    </row>
    <row r="3044" spans="1:28">
      <c r="A3044" s="384"/>
      <c r="B3044" s="385"/>
      <c r="C3044" s="393"/>
      <c r="D3044" s="394"/>
      <c r="E3044" s="388"/>
      <c r="F3044" s="388"/>
      <c r="G3044" s="388"/>
      <c r="H3044" s="395"/>
      <c r="I3044" s="388"/>
      <c r="J3044" s="399"/>
      <c r="K3044" s="396"/>
      <c r="L3044" s="396"/>
      <c r="M3044" s="396"/>
      <c r="N3044" s="396"/>
      <c r="O3044" s="396"/>
      <c r="P3044" s="389"/>
      <c r="Q3044" s="396"/>
      <c r="R3044" s="396"/>
      <c r="S3044" s="396"/>
      <c r="T3044" s="396"/>
      <c r="U3044" s="401"/>
      <c r="V3044" s="396"/>
      <c r="W3044" s="388"/>
      <c r="X3044" s="396"/>
      <c r="Y3044" s="389"/>
      <c r="Z3044" s="396"/>
      <c r="AA3044" s="388"/>
      <c r="AB3044" s="390"/>
    </row>
    <row r="3045" spans="1:28">
      <c r="A3045" s="384" t="str">
        <f t="shared" ref="A3045:B3045" si="9784">A3025</f>
        <v>Lantai 2</v>
      </c>
      <c r="B3045" s="385">
        <f t="shared" si="9784"/>
        <v>14</v>
      </c>
      <c r="C3045" s="393" t="s">
        <v>211</v>
      </c>
      <c r="D3045" s="398">
        <f>VLOOKUP(D3025,'Detail Balok'!$C$10:$AU$140,31,FALSE)</f>
        <v>0</v>
      </c>
      <c r="E3045" s="388" t="s">
        <v>16</v>
      </c>
      <c r="F3045" s="388">
        <f>VLOOKUP(D3025,'Detail Balok'!$C$10:$AU$140,33,FALSE)</f>
        <v>10</v>
      </c>
      <c r="G3045" s="405" t="s">
        <v>157</v>
      </c>
      <c r="H3045" s="395">
        <f>VLOOKUP(D3025,'Detail Balok'!$C$10:$AU$140,35,FALSE)</f>
        <v>150</v>
      </c>
      <c r="I3045" s="388"/>
      <c r="J3045" s="400">
        <f t="shared" ref="J3045" si="9785">(IF(D3045=0,(2*(D3026+G3026))-(F$5*8),IF(D3045=3,(2*(D3026+G3026))-(F$5*8)+(G3026-2*F$5),IF(D3045=4,(2*(D3026+G3026))-(F$5*8)+2*(G3026-2*F$5)))))/1000</f>
        <v>1.08</v>
      </c>
      <c r="K3045" s="400" t="s">
        <v>204</v>
      </c>
      <c r="L3045" s="399">
        <f t="shared" ref="L3045:L3047" si="9786">IF(D3045=0,2*MAX(6*F3045,75),(D3045-1)*2*MAX(6*F3045,75))/1000</f>
        <v>0.15</v>
      </c>
      <c r="M3045" s="399" t="s">
        <v>176</v>
      </c>
      <c r="N3045" s="399">
        <f t="shared" ref="N3045:N3047" si="9787">J3045+L3045</f>
        <v>1.23</v>
      </c>
      <c r="O3045" s="399"/>
      <c r="P3045" s="389"/>
      <c r="Q3045" s="399"/>
      <c r="R3045" s="399"/>
      <c r="S3045" s="399"/>
      <c r="T3045" s="399" t="s">
        <v>125</v>
      </c>
      <c r="U3045" s="401">
        <f t="shared" ref="U3045:U3047" si="9788">0.006165*F3045^2</f>
        <v>0.61650000000000005</v>
      </c>
      <c r="V3045" s="399" t="s">
        <v>125</v>
      </c>
      <c r="W3045" s="399">
        <f t="shared" ref="W3045" si="9789">IF(D3028&gt;4*G3026,ROUND(MAX(D3028/4,2*G3026)/H3045,0)+1,ROUND(D3028/H3045,0)+1)</f>
        <v>8</v>
      </c>
      <c r="X3045" s="399" t="s">
        <v>125</v>
      </c>
      <c r="Y3045" s="389">
        <f t="shared" ref="Y3045" si="9790">D3031</f>
        <v>1</v>
      </c>
      <c r="Z3045" s="400" t="s">
        <v>176</v>
      </c>
      <c r="AA3045" s="402">
        <f t="shared" ref="AA3045:AA3047" si="9791">N3045*U3045*W3045*Y3045</f>
        <v>6.0663600000000004</v>
      </c>
      <c r="AB3045" s="403"/>
    </row>
    <row r="3046" spans="1:28">
      <c r="A3046" s="384" t="str">
        <f t="shared" ref="A3046:B3046" si="9792">A3025</f>
        <v>Lantai 2</v>
      </c>
      <c r="B3046" s="385">
        <f t="shared" si="9792"/>
        <v>14</v>
      </c>
      <c r="C3046" s="393" t="s">
        <v>212</v>
      </c>
      <c r="D3046" s="398">
        <f>VLOOKUP(D3025,'Detail Balok'!$C$10:$AU$140,36,FALSE)</f>
        <v>0</v>
      </c>
      <c r="E3046" s="388" t="s">
        <v>16</v>
      </c>
      <c r="F3046" s="388">
        <f>VLOOKUP(D3025,'Detail Balok'!$C$10:$AU$140,38,FALSE)</f>
        <v>10</v>
      </c>
      <c r="G3046" s="405" t="s">
        <v>157</v>
      </c>
      <c r="H3046" s="395">
        <f>VLOOKUP(D3025,'Detail Balok'!$C$10:$AU$140,40,FALSE)</f>
        <v>200</v>
      </c>
      <c r="I3046" s="388"/>
      <c r="J3046" s="400">
        <f t="shared" ref="J3046" si="9793">(IF(D3046=0,(2*(D3026+G3026))-(F$5*8),IF(D3046=3,(2*(D3026+G3026))-(F$5*8)+(G3026-2*F$5),IF(D3046=4,(2*(D3026+G3026))-(F$5*8)+2*(G3026-2*F$5)))))/1000</f>
        <v>1.08</v>
      </c>
      <c r="K3046" s="400" t="s">
        <v>204</v>
      </c>
      <c r="L3046" s="399">
        <f t="shared" si="9786"/>
        <v>0.15</v>
      </c>
      <c r="M3046" s="399" t="s">
        <v>176</v>
      </c>
      <c r="N3046" s="399">
        <f t="shared" si="9787"/>
        <v>1.23</v>
      </c>
      <c r="O3046" s="399"/>
      <c r="P3046" s="389"/>
      <c r="Q3046" s="399"/>
      <c r="R3046" s="399"/>
      <c r="S3046" s="399"/>
      <c r="T3046" s="399" t="s">
        <v>125</v>
      </c>
      <c r="U3046" s="401">
        <f t="shared" si="9788"/>
        <v>0.61650000000000005</v>
      </c>
      <c r="V3046" s="399" t="s">
        <v>125</v>
      </c>
      <c r="W3046" s="399">
        <f t="shared" ref="W3046" si="9794">IF(D3028-MAX(D3028/4,2*G3026)*2&gt;0,ROUND((D3028-MAX(D3028/4,2*G3026)*2)/H3046,0),0)</f>
        <v>10</v>
      </c>
      <c r="X3046" s="399" t="s">
        <v>125</v>
      </c>
      <c r="Y3046" s="389">
        <f t="shared" ref="Y3046" si="9795">D3031</f>
        <v>1</v>
      </c>
      <c r="Z3046" s="400" t="s">
        <v>176</v>
      </c>
      <c r="AA3046" s="402">
        <f t="shared" si="9791"/>
        <v>7.5829500000000003</v>
      </c>
      <c r="AB3046" s="403"/>
    </row>
    <row r="3047" spans="1:28">
      <c r="A3047" s="384" t="str">
        <f t="shared" ref="A3047:B3047" si="9796">A3025</f>
        <v>Lantai 2</v>
      </c>
      <c r="B3047" s="385">
        <f t="shared" si="9796"/>
        <v>14</v>
      </c>
      <c r="C3047" s="393" t="s">
        <v>211</v>
      </c>
      <c r="D3047" s="398">
        <f>VLOOKUP(D3025,'Detail Balok'!$C$10:$AU$140,41,FALSE)</f>
        <v>0</v>
      </c>
      <c r="E3047" s="388" t="s">
        <v>16</v>
      </c>
      <c r="F3047" s="388">
        <f>VLOOKUP(D3025,'Detail Balok'!$C$10:$AU$140,43,FALSE)</f>
        <v>10</v>
      </c>
      <c r="G3047" s="405" t="s">
        <v>157</v>
      </c>
      <c r="H3047" s="395">
        <f>VLOOKUP(D3025,'Detail Balok'!$C$10:$AU$140,45,FALSE)</f>
        <v>150</v>
      </c>
      <c r="I3047" s="388"/>
      <c r="J3047" s="400">
        <f t="shared" ref="J3047" si="9797">(IF(D3047=0,(2*(D3026+G3026))-(F$5*8),IF(D3047=3,(2*(D3026+G3026))-(F$5*8)+(G3026-2*F$5),IF(D3047=4,(2*(D3026+G3026))-(F$5*8)+2*(G3026-2*F$5)))))/1000</f>
        <v>1.08</v>
      </c>
      <c r="K3047" s="400" t="s">
        <v>204</v>
      </c>
      <c r="L3047" s="399">
        <f t="shared" si="9786"/>
        <v>0.15</v>
      </c>
      <c r="M3047" s="399" t="s">
        <v>176</v>
      </c>
      <c r="N3047" s="399">
        <f t="shared" si="9787"/>
        <v>1.23</v>
      </c>
      <c r="O3047" s="399"/>
      <c r="P3047" s="389"/>
      <c r="Q3047" s="399"/>
      <c r="R3047" s="399"/>
      <c r="S3047" s="399"/>
      <c r="T3047" s="399" t="s">
        <v>125</v>
      </c>
      <c r="U3047" s="401">
        <f t="shared" si="9788"/>
        <v>0.61650000000000005</v>
      </c>
      <c r="V3047" s="399" t="s">
        <v>125</v>
      </c>
      <c r="W3047" s="399">
        <f t="shared" ref="W3047" si="9798">IF(D3028&gt;4*G3026,ROUND(MAX(D3028/4,2*G3026)/H3047,0)+1,0)</f>
        <v>8</v>
      </c>
      <c r="X3047" s="399" t="s">
        <v>125</v>
      </c>
      <c r="Y3047" s="389">
        <f t="shared" ref="Y3047" si="9799">D3031</f>
        <v>1</v>
      </c>
      <c r="Z3047" s="400" t="s">
        <v>176</v>
      </c>
      <c r="AA3047" s="402">
        <f t="shared" si="9791"/>
        <v>6.0663600000000004</v>
      </c>
      <c r="AB3047" s="403"/>
    </row>
    <row r="3048" spans="1:28">
      <c r="A3048" s="384"/>
      <c r="B3048" s="385"/>
      <c r="C3048" s="393"/>
      <c r="D3048" s="394"/>
      <c r="E3048" s="388"/>
      <c r="F3048" s="388"/>
      <c r="G3048" s="388"/>
      <c r="H3048" s="395"/>
      <c r="I3048" s="388"/>
      <c r="J3048" s="399"/>
      <c r="K3048" s="396"/>
      <c r="L3048" s="396"/>
      <c r="M3048" s="396"/>
      <c r="N3048" s="396"/>
      <c r="O3048" s="396"/>
      <c r="P3048" s="389"/>
      <c r="Q3048" s="396"/>
      <c r="R3048" s="396"/>
      <c r="S3048" s="396"/>
      <c r="T3048" s="396"/>
      <c r="U3048" s="401"/>
      <c r="V3048" s="396"/>
      <c r="W3048" s="388"/>
      <c r="X3048" s="396"/>
      <c r="Y3048" s="389"/>
      <c r="Z3048" s="396"/>
      <c r="AA3048" s="388"/>
      <c r="AB3048" s="390"/>
    </row>
    <row r="3049" spans="1:28">
      <c r="A3049" s="384" t="str">
        <f t="shared" ref="A3049:B3049" si="9800">A3025</f>
        <v>Lantai 2</v>
      </c>
      <c r="B3049" s="385">
        <f t="shared" si="9800"/>
        <v>14</v>
      </c>
      <c r="C3049" s="393" t="s">
        <v>213</v>
      </c>
      <c r="D3049" s="398">
        <f>VLOOKUP(D3025,'Detail Balok'!$C$10:$BJ$140,46,FALSE)</f>
        <v>0</v>
      </c>
      <c r="E3049" s="388" t="s">
        <v>16</v>
      </c>
      <c r="F3049" s="388">
        <f>VLOOKUP(D3025,'Detail Balok'!$C$10:$BJ$140,48,FALSE)</f>
        <v>0</v>
      </c>
      <c r="G3049" s="405" t="s">
        <v>157</v>
      </c>
      <c r="H3049" s="395">
        <f>VLOOKUP(D3025,'Detail Balok'!$C$10:$BJ$140,50,FALSE)</f>
        <v>100</v>
      </c>
      <c r="I3049" s="388"/>
      <c r="J3049" s="399">
        <f t="shared" ref="J3049" si="9801">(D3026-2*F$5)/1000</f>
        <v>0.12</v>
      </c>
      <c r="K3049" s="400" t="s">
        <v>204</v>
      </c>
      <c r="L3049" s="399">
        <f t="shared" ref="L3049:L3051" si="9802">IF(D3049=0,2*MAX(6*F3049,75),(D3049-1)*2*MAX(6*F3049,75))/1000</f>
        <v>0.15</v>
      </c>
      <c r="M3049" s="399" t="s">
        <v>176</v>
      </c>
      <c r="N3049" s="399">
        <f t="shared" ref="N3049:N3051" si="9803">J3049+L3049</f>
        <v>0.27</v>
      </c>
      <c r="O3049" s="399"/>
      <c r="P3049" s="399"/>
      <c r="Q3049" s="399"/>
      <c r="R3049" s="399"/>
      <c r="S3049" s="399"/>
      <c r="T3049" s="399" t="s">
        <v>125</v>
      </c>
      <c r="U3049" s="401">
        <f t="shared" ref="U3049:U3051" si="9804">0.006165*F3049^2</f>
        <v>0</v>
      </c>
      <c r="V3049" s="399" t="s">
        <v>125</v>
      </c>
      <c r="W3049" s="399">
        <f t="shared" si="9616"/>
        <v>8</v>
      </c>
      <c r="X3049" s="399" t="s">
        <v>125</v>
      </c>
      <c r="Y3049" s="389">
        <f t="shared" ref="Y3049" si="9805">D3035</f>
        <v>4</v>
      </c>
      <c r="Z3049" s="400" t="s">
        <v>176</v>
      </c>
      <c r="AA3049" s="402">
        <f t="shared" ref="AA3049:AA3051" si="9806">N3049*U3049*W3049*Y3049</f>
        <v>0</v>
      </c>
      <c r="AB3049" s="403"/>
    </row>
    <row r="3050" spans="1:28">
      <c r="A3050" s="384" t="str">
        <f t="shared" ref="A3050:B3050" si="9807">A3025</f>
        <v>Lantai 2</v>
      </c>
      <c r="B3050" s="385">
        <f t="shared" si="9807"/>
        <v>14</v>
      </c>
      <c r="C3050" s="393" t="s">
        <v>214</v>
      </c>
      <c r="D3050" s="398">
        <f>VLOOKUP(D3025,'Detail Balok'!$C$10:$BJ$140,51,FALSE)</f>
        <v>0</v>
      </c>
      <c r="E3050" s="388" t="s">
        <v>16</v>
      </c>
      <c r="F3050" s="388">
        <f>VLOOKUP(D3025,'Detail Balok'!$C$10:$BJ$140,53,FALSE)</f>
        <v>0</v>
      </c>
      <c r="G3050" s="405" t="s">
        <v>157</v>
      </c>
      <c r="H3050" s="395">
        <f>VLOOKUP(D3025,'Detail Balok'!$C$10:$BJ$140,55,FALSE)</f>
        <v>100</v>
      </c>
      <c r="I3050" s="388"/>
      <c r="J3050" s="399">
        <f t="shared" ref="J3050" si="9808">(D3026-2*F$5)/1000</f>
        <v>0.12</v>
      </c>
      <c r="K3050" s="400" t="s">
        <v>204</v>
      </c>
      <c r="L3050" s="399">
        <f t="shared" si="9802"/>
        <v>0.15</v>
      </c>
      <c r="M3050" s="399" t="s">
        <v>176</v>
      </c>
      <c r="N3050" s="399">
        <f t="shared" si="9803"/>
        <v>0.27</v>
      </c>
      <c r="O3050" s="399"/>
      <c r="P3050" s="399"/>
      <c r="Q3050" s="399"/>
      <c r="R3050" s="399"/>
      <c r="S3050" s="399"/>
      <c r="T3050" s="399" t="s">
        <v>125</v>
      </c>
      <c r="U3050" s="401">
        <f t="shared" si="9804"/>
        <v>0</v>
      </c>
      <c r="V3050" s="399" t="s">
        <v>125</v>
      </c>
      <c r="W3050" s="399">
        <f t="shared" si="9616"/>
        <v>10</v>
      </c>
      <c r="X3050" s="399" t="s">
        <v>125</v>
      </c>
      <c r="Y3050" s="389">
        <f t="shared" ref="Y3050" si="9809">D3035</f>
        <v>4</v>
      </c>
      <c r="Z3050" s="400" t="s">
        <v>176</v>
      </c>
      <c r="AA3050" s="402">
        <f t="shared" si="9806"/>
        <v>0</v>
      </c>
      <c r="AB3050" s="403"/>
    </row>
    <row r="3051" spans="1:28">
      <c r="A3051" s="384" t="str">
        <f t="shared" ref="A3051:B3051" si="9810">A3025</f>
        <v>Lantai 2</v>
      </c>
      <c r="B3051" s="385">
        <f t="shared" si="9810"/>
        <v>14</v>
      </c>
      <c r="C3051" s="393" t="s">
        <v>213</v>
      </c>
      <c r="D3051" s="398">
        <f>VLOOKUP(D3025,'Detail Balok'!$C$10:$BJ$140,56,FALSE)</f>
        <v>0</v>
      </c>
      <c r="E3051" s="388" t="s">
        <v>16</v>
      </c>
      <c r="F3051" s="388">
        <f>VLOOKUP(D3025,'Detail Balok'!$C$10:$BJ$140,58,FALSE)</f>
        <v>0</v>
      </c>
      <c r="G3051" s="405" t="s">
        <v>157</v>
      </c>
      <c r="H3051" s="395">
        <f>VLOOKUP(D3025,'Detail Balok'!$C$10:$BJ$140,60,FALSE)</f>
        <v>100</v>
      </c>
      <c r="I3051" s="388"/>
      <c r="J3051" s="399">
        <f t="shared" ref="J3051" si="9811">(D3026-2*F$5)/1000</f>
        <v>0.12</v>
      </c>
      <c r="K3051" s="400" t="s">
        <v>204</v>
      </c>
      <c r="L3051" s="399">
        <f t="shared" si="9802"/>
        <v>0.15</v>
      </c>
      <c r="M3051" s="399" t="s">
        <v>176</v>
      </c>
      <c r="N3051" s="399">
        <f t="shared" si="9803"/>
        <v>0.27</v>
      </c>
      <c r="O3051" s="399"/>
      <c r="P3051" s="399"/>
      <c r="Q3051" s="399"/>
      <c r="R3051" s="399"/>
      <c r="S3051" s="399"/>
      <c r="T3051" s="399" t="s">
        <v>125</v>
      </c>
      <c r="U3051" s="401">
        <f t="shared" si="9804"/>
        <v>0</v>
      </c>
      <c r="V3051" s="399" t="s">
        <v>125</v>
      </c>
      <c r="W3051" s="399">
        <f t="shared" si="9616"/>
        <v>8</v>
      </c>
      <c r="X3051" s="399" t="s">
        <v>125</v>
      </c>
      <c r="Y3051" s="389">
        <f t="shared" ref="Y3051" si="9812">D3035</f>
        <v>4</v>
      </c>
      <c r="Z3051" s="400" t="s">
        <v>176</v>
      </c>
      <c r="AA3051" s="402">
        <f t="shared" si="9806"/>
        <v>0</v>
      </c>
      <c r="AB3051" s="403"/>
    </row>
    <row r="3052" spans="1:28">
      <c r="A3052" s="391"/>
      <c r="B3052" s="392"/>
      <c r="C3052" s="392"/>
      <c r="D3052" s="394"/>
      <c r="E3052" s="388"/>
      <c r="F3052" s="388"/>
      <c r="G3052" s="388"/>
      <c r="H3052" s="395"/>
      <c r="I3052" s="388"/>
      <c r="J3052" s="402"/>
      <c r="K3052" s="388"/>
      <c r="L3052" s="388"/>
      <c r="M3052" s="388"/>
      <c r="N3052" s="388"/>
      <c r="O3052" s="388"/>
      <c r="P3052" s="388"/>
      <c r="Q3052" s="388"/>
      <c r="R3052" s="388"/>
      <c r="S3052" s="388"/>
      <c r="T3052" s="388"/>
      <c r="U3052" s="388"/>
      <c r="V3052" s="388"/>
      <c r="W3052" s="388"/>
      <c r="X3052" s="388"/>
      <c r="Y3052" s="389"/>
      <c r="Z3052" s="388"/>
      <c r="AA3052" s="402"/>
      <c r="AB3052" s="403"/>
    </row>
    <row r="3053" spans="1:28" ht="15.75" thickBot="1">
      <c r="A3053" s="406"/>
      <c r="B3053" s="407"/>
      <c r="C3053" s="407"/>
      <c r="D3053" s="408"/>
      <c r="E3053" s="409"/>
      <c r="F3053" s="409"/>
      <c r="G3053" s="409"/>
      <c r="H3053" s="410"/>
      <c r="I3053" s="409"/>
      <c r="J3053" s="409"/>
      <c r="K3053" s="409"/>
      <c r="L3053" s="409"/>
      <c r="M3053" s="409"/>
      <c r="N3053" s="409"/>
      <c r="O3053" s="409"/>
      <c r="P3053" s="409"/>
      <c r="Q3053" s="409"/>
      <c r="R3053" s="409"/>
      <c r="S3053" s="409"/>
      <c r="T3053" s="409"/>
      <c r="U3053" s="409"/>
      <c r="V3053" s="409"/>
      <c r="W3053" s="409"/>
      <c r="X3053" s="409"/>
      <c r="Y3053" s="411"/>
      <c r="Z3053" s="409"/>
      <c r="AA3053" s="412"/>
      <c r="AB3053" s="413"/>
    </row>
    <row r="3054" spans="1:28">
      <c r="A3054" s="377"/>
      <c r="B3054" s="378"/>
      <c r="C3054" s="378"/>
      <c r="D3054" s="379"/>
      <c r="E3054" s="380"/>
      <c r="F3054" s="380"/>
      <c r="G3054" s="380"/>
      <c r="H3054" s="381"/>
      <c r="I3054" s="380"/>
      <c r="J3054" s="380"/>
      <c r="K3054" s="380"/>
      <c r="L3054" s="380"/>
      <c r="M3054" s="380"/>
      <c r="N3054" s="380"/>
      <c r="O3054" s="380"/>
      <c r="P3054" s="380"/>
      <c r="Q3054" s="380"/>
      <c r="R3054" s="380"/>
      <c r="S3054" s="380"/>
      <c r="T3054" s="380"/>
      <c r="U3054" s="380"/>
      <c r="V3054" s="380"/>
      <c r="W3054" s="380"/>
      <c r="X3054" s="380"/>
      <c r="Y3054" s="382"/>
      <c r="Z3054" s="380"/>
      <c r="AA3054" s="380"/>
      <c r="AB3054" s="383"/>
    </row>
    <row r="3055" spans="1:28">
      <c r="A3055" s="384" t="str">
        <f t="shared" si="9625"/>
        <v>Lantai 2</v>
      </c>
      <c r="B3055" s="385">
        <f t="shared" si="9626"/>
        <v>15</v>
      </c>
      <c r="C3055" s="386" t="str">
        <f t="shared" ref="C3055" si="9813">CONCATENATE(A3055," no. ",B3055)</f>
        <v>Lantai 2 no. 15</v>
      </c>
      <c r="D3055" s="2562" t="str">
        <f>VLOOKUP(C3055,'Data Panjang Balok'!$C$9:$N$254,2,FALSE)</f>
        <v>B25-1</v>
      </c>
      <c r="E3055" s="2576"/>
      <c r="F3055" s="2576"/>
      <c r="G3055" s="2576"/>
      <c r="H3055" s="2577"/>
      <c r="I3055" s="387"/>
      <c r="J3055" s="388"/>
      <c r="K3055" s="388"/>
      <c r="L3055" s="388"/>
      <c r="M3055" s="388"/>
      <c r="N3055" s="388"/>
      <c r="O3055" s="388"/>
      <c r="P3055" s="388"/>
      <c r="Q3055" s="388"/>
      <c r="R3055" s="388"/>
      <c r="S3055" s="388"/>
      <c r="T3055" s="388"/>
      <c r="U3055" s="388"/>
      <c r="V3055" s="388"/>
      <c r="W3055" s="388"/>
      <c r="X3055" s="388"/>
      <c r="Y3055" s="389"/>
      <c r="Z3055" s="388"/>
      <c r="AA3055" s="388"/>
      <c r="AB3055" s="390"/>
    </row>
    <row r="3056" spans="1:28">
      <c r="A3056" s="391"/>
      <c r="B3056" s="392"/>
      <c r="C3056" s="393" t="s">
        <v>118</v>
      </c>
      <c r="D3056" s="2578">
        <f>VLOOKUP(D3055,'Detail Balok'!$C$10:$AU$140,2,FALSE)</f>
        <v>200</v>
      </c>
      <c r="E3056" s="2579"/>
      <c r="F3056" s="388" t="s">
        <v>125</v>
      </c>
      <c r="G3056" s="2579">
        <f>VLOOKUP(D3055,'Detail Balok'!$C$10:$AU$140,3,FALSE)</f>
        <v>500</v>
      </c>
      <c r="H3056" s="2580"/>
      <c r="I3056" s="388"/>
      <c r="J3056" s="396"/>
      <c r="K3056" s="396"/>
      <c r="L3056" s="396"/>
      <c r="M3056" s="396"/>
      <c r="N3056" s="396"/>
      <c r="O3056" s="396"/>
      <c r="P3056" s="396"/>
      <c r="Q3056" s="396"/>
      <c r="R3056" s="396"/>
      <c r="S3056" s="396"/>
      <c r="T3056" s="396"/>
      <c r="U3056" s="388"/>
      <c r="V3056" s="396"/>
      <c r="W3056" s="388"/>
      <c r="X3056" s="396"/>
      <c r="Y3056" s="389"/>
      <c r="Z3056" s="396"/>
      <c r="AA3056" s="388"/>
      <c r="AB3056" s="390"/>
    </row>
    <row r="3057" spans="1:28">
      <c r="A3057" s="391"/>
      <c r="B3057" s="392"/>
      <c r="C3057" s="393" t="s">
        <v>198</v>
      </c>
      <c r="D3057" s="2562">
        <f>VLOOKUP(C3055,'Data Panjang Balok'!$C$9:$N$254,4,FALSE)</f>
        <v>5000</v>
      </c>
      <c r="E3057" s="2563"/>
      <c r="F3057" s="2563"/>
      <c r="G3057" s="2563"/>
      <c r="H3057" s="2564"/>
      <c r="I3057" s="397"/>
      <c r="J3057" s="396"/>
      <c r="K3057" s="396"/>
      <c r="L3057" s="396"/>
      <c r="M3057" s="396"/>
      <c r="N3057" s="396"/>
      <c r="O3057" s="396"/>
      <c r="P3057" s="396"/>
      <c r="Q3057" s="396"/>
      <c r="R3057" s="396"/>
      <c r="S3057" s="396"/>
      <c r="T3057" s="396"/>
      <c r="U3057" s="388"/>
      <c r="V3057" s="396"/>
      <c r="W3057" s="388"/>
      <c r="X3057" s="396"/>
      <c r="Y3057" s="389"/>
      <c r="Z3057" s="396"/>
      <c r="AA3057" s="388"/>
      <c r="AB3057" s="390"/>
    </row>
    <row r="3058" spans="1:28">
      <c r="A3058" s="391"/>
      <c r="B3058" s="392"/>
      <c r="C3058" s="393" t="s">
        <v>199</v>
      </c>
      <c r="D3058" s="2562">
        <f>VLOOKUP(C3055,'Data Panjang Balok'!$C$9:$N$254,7,FALSE)</f>
        <v>5000</v>
      </c>
      <c r="E3058" s="2563"/>
      <c r="F3058" s="2563"/>
      <c r="G3058" s="2563"/>
      <c r="H3058" s="2564"/>
      <c r="I3058" s="397"/>
      <c r="J3058" s="396"/>
      <c r="K3058" s="396"/>
      <c r="L3058" s="396"/>
      <c r="M3058" s="396"/>
      <c r="N3058" s="396"/>
      <c r="O3058" s="396"/>
      <c r="P3058" s="396"/>
      <c r="Q3058" s="396"/>
      <c r="R3058" s="396"/>
      <c r="S3058" s="396"/>
      <c r="T3058" s="396"/>
      <c r="U3058" s="388"/>
      <c r="V3058" s="396"/>
      <c r="W3058" s="388"/>
      <c r="X3058" s="396"/>
      <c r="Y3058" s="389"/>
      <c r="Z3058" s="396"/>
      <c r="AA3058" s="388"/>
      <c r="AB3058" s="390"/>
    </row>
    <row r="3059" spans="1:28">
      <c r="A3059" s="391"/>
      <c r="B3059" s="392"/>
      <c r="C3059" s="393" t="s">
        <v>200</v>
      </c>
      <c r="D3059" s="2562">
        <f>VLOOKUP(C3055,'Data Panjang Balok'!$C$9:$N$254,9,FALSE)</f>
        <v>0</v>
      </c>
      <c r="E3059" s="2563"/>
      <c r="F3059" s="2563"/>
      <c r="G3059" s="2563"/>
      <c r="H3059" s="2564"/>
      <c r="I3059" s="397"/>
      <c r="J3059" s="396"/>
      <c r="K3059" s="396"/>
      <c r="L3059" s="396"/>
      <c r="M3059" s="396"/>
      <c r="N3059" s="396"/>
      <c r="O3059" s="396"/>
      <c r="P3059" s="396"/>
      <c r="Q3059" s="396"/>
      <c r="R3059" s="396"/>
      <c r="S3059" s="396"/>
      <c r="T3059" s="396"/>
      <c r="U3059" s="388"/>
      <c r="V3059" s="396"/>
      <c r="W3059" s="388"/>
      <c r="X3059" s="396"/>
      <c r="Y3059" s="389"/>
      <c r="Z3059" s="396"/>
      <c r="AA3059" s="388"/>
      <c r="AB3059" s="390"/>
    </row>
    <row r="3060" spans="1:28">
      <c r="A3060" s="391"/>
      <c r="B3060" s="392"/>
      <c r="C3060" s="393" t="s">
        <v>201</v>
      </c>
      <c r="D3060" s="2562">
        <f>VLOOKUP(C3055,'Data Panjang Balok'!$C$9:$N$254,10,FALSE)</f>
        <v>0</v>
      </c>
      <c r="E3060" s="2563"/>
      <c r="F3060" s="2563"/>
      <c r="G3060" s="2563"/>
      <c r="H3060" s="2564"/>
      <c r="I3060" s="397"/>
      <c r="J3060" s="396"/>
      <c r="K3060" s="396"/>
      <c r="L3060" s="396"/>
      <c r="M3060" s="396"/>
      <c r="N3060" s="396"/>
      <c r="O3060" s="396"/>
      <c r="P3060" s="396"/>
      <c r="Q3060" s="396"/>
      <c r="R3060" s="396"/>
      <c r="S3060" s="396"/>
      <c r="T3060" s="396"/>
      <c r="U3060" s="388"/>
      <c r="V3060" s="396"/>
      <c r="W3060" s="388"/>
      <c r="X3060" s="396"/>
      <c r="Y3060" s="389"/>
      <c r="Z3060" s="396"/>
      <c r="AA3060" s="388"/>
      <c r="AB3060" s="390"/>
    </row>
    <row r="3061" spans="1:28">
      <c r="A3061" s="391"/>
      <c r="B3061" s="392"/>
      <c r="C3061" s="393" t="s">
        <v>48</v>
      </c>
      <c r="D3061" s="2562">
        <f>VLOOKUP(C3055,'Data Panjang Balok'!$C$9:$N$254,3,FALSE)</f>
        <v>1</v>
      </c>
      <c r="E3061" s="2563"/>
      <c r="F3061" s="2563"/>
      <c r="G3061" s="2563"/>
      <c r="H3061" s="2564"/>
      <c r="I3061" s="397"/>
      <c r="J3061" s="396"/>
      <c r="K3061" s="396"/>
      <c r="L3061" s="396"/>
      <c r="M3061" s="396"/>
      <c r="N3061" s="396"/>
      <c r="O3061" s="396"/>
      <c r="P3061" s="396"/>
      <c r="Q3061" s="396"/>
      <c r="R3061" s="396"/>
      <c r="S3061" s="396"/>
      <c r="T3061" s="396"/>
      <c r="U3061" s="388"/>
      <c r="V3061" s="396"/>
      <c r="W3061" s="388"/>
      <c r="X3061" s="396"/>
      <c r="Y3061" s="389"/>
      <c r="Z3061" s="396"/>
      <c r="AA3061" s="388"/>
      <c r="AB3061" s="390"/>
    </row>
    <row r="3062" spans="1:28">
      <c r="A3062" s="384" t="str">
        <f t="shared" ref="A3062:B3062" si="9814">A3055</f>
        <v>Lantai 2</v>
      </c>
      <c r="B3062" s="385">
        <f t="shared" si="9814"/>
        <v>15</v>
      </c>
      <c r="C3062" s="393" t="s">
        <v>202</v>
      </c>
      <c r="D3062" s="398">
        <f>VLOOKUP(D3055,'Detail Balok'!$C$10:$AU$140,4,FALSE)</f>
        <v>4</v>
      </c>
      <c r="E3062" s="388" t="s">
        <v>16</v>
      </c>
      <c r="F3062" s="388">
        <f>VLOOKUP(D3055,'Detail Balok'!$C$10:$AU$140,6,FALSE)</f>
        <v>16</v>
      </c>
      <c r="G3062" s="388"/>
      <c r="H3062" s="395"/>
      <c r="I3062" s="388" t="s">
        <v>203</v>
      </c>
      <c r="J3062" s="399">
        <f t="shared" ref="J3062" si="9815">+D3057/4/1000</f>
        <v>1.25</v>
      </c>
      <c r="K3062" s="400" t="s">
        <v>204</v>
      </c>
      <c r="L3062" s="399">
        <f t="shared" ref="L3062" si="9816">MAX(VLOOKUP(F3062,N$6:P$15,3,FALSE)/1000,2/3*D3059/1000)+F$16*F3062/1000</f>
        <v>0.192</v>
      </c>
      <c r="M3062" s="399" t="s">
        <v>176</v>
      </c>
      <c r="N3062" s="399">
        <f t="shared" ref="N3062:N3064" si="9817">J3062+L3062</f>
        <v>1.4419999999999999</v>
      </c>
      <c r="O3062" s="399" t="s">
        <v>204</v>
      </c>
      <c r="P3062" s="389">
        <f t="shared" ref="P3062" si="9818">D3062-D3063</f>
        <v>0</v>
      </c>
      <c r="Q3062" s="399" t="s">
        <v>125</v>
      </c>
      <c r="R3062" s="399">
        <f t="shared" ref="R3062" si="9819">IF(P3062&gt;0,$F$18*F3062/1000,0)</f>
        <v>0</v>
      </c>
      <c r="S3062" s="399" t="s">
        <v>205</v>
      </c>
      <c r="T3062" s="399" t="s">
        <v>125</v>
      </c>
      <c r="U3062" s="401">
        <f t="shared" ref="U3062:U3064" si="9820">0.006165*F3062^2</f>
        <v>1.5782400000000001</v>
      </c>
      <c r="V3062" s="399"/>
      <c r="W3062" s="399"/>
      <c r="X3062" s="399" t="s">
        <v>125</v>
      </c>
      <c r="Y3062" s="389">
        <f t="shared" ref="Y3062" si="9821">D3061</f>
        <v>1</v>
      </c>
      <c r="Z3062" s="400" t="s">
        <v>176</v>
      </c>
      <c r="AA3062" s="402">
        <f t="shared" ref="AA3062" si="9822">IF(AA3065=0,(D3062*N3062+P3062*R3062)*U3062*Y3062,0)</f>
        <v>0</v>
      </c>
      <c r="AB3062" s="403"/>
    </row>
    <row r="3063" spans="1:28">
      <c r="A3063" s="384" t="str">
        <f t="shared" ref="A3063:B3063" si="9823">A3055</f>
        <v>Lantai 2</v>
      </c>
      <c r="B3063" s="385">
        <f t="shared" si="9823"/>
        <v>15</v>
      </c>
      <c r="C3063" s="393" t="s">
        <v>206</v>
      </c>
      <c r="D3063" s="398">
        <f>VLOOKUP(D3055,'Detail Balok'!$C$10:$AU$140,7,FALSE)</f>
        <v>4</v>
      </c>
      <c r="E3063" s="388" t="s">
        <v>16</v>
      </c>
      <c r="F3063" s="388">
        <f>VLOOKUP(D3055,'Detail Balok'!$C$10:$AU$140,9,FALSE)</f>
        <v>16</v>
      </c>
      <c r="G3063" s="388"/>
      <c r="H3063" s="395"/>
      <c r="I3063" s="388" t="s">
        <v>203</v>
      </c>
      <c r="J3063" s="399">
        <f t="shared" ref="J3063" si="9824">+D3057/2/1000</f>
        <v>2.5</v>
      </c>
      <c r="K3063" s="400" t="s">
        <v>204</v>
      </c>
      <c r="L3063" s="399"/>
      <c r="M3063" s="399" t="s">
        <v>176</v>
      </c>
      <c r="N3063" s="399">
        <f t="shared" si="9817"/>
        <v>2.5</v>
      </c>
      <c r="O3063" s="399" t="s">
        <v>204</v>
      </c>
      <c r="P3063" s="389">
        <f t="shared" ref="P3063" si="9825">MAX(D3063-D3062,D3063-D3064)</f>
        <v>0</v>
      </c>
      <c r="Q3063" s="399" t="s">
        <v>125</v>
      </c>
      <c r="R3063" s="399">
        <f t="shared" ref="R3063" si="9826">IF(P3063&gt;0,2*(1-2*$F$19-1/2)*D3058/1000,0)</f>
        <v>0</v>
      </c>
      <c r="S3063" s="399" t="s">
        <v>205</v>
      </c>
      <c r="T3063" s="399" t="s">
        <v>125</v>
      </c>
      <c r="U3063" s="401">
        <f t="shared" si="9820"/>
        <v>1.5782400000000001</v>
      </c>
      <c r="V3063" s="399"/>
      <c r="W3063" s="399"/>
      <c r="X3063" s="399" t="s">
        <v>125</v>
      </c>
      <c r="Y3063" s="389">
        <f t="shared" ref="Y3063" si="9827">D3061</f>
        <v>1</v>
      </c>
      <c r="Z3063" s="400" t="s">
        <v>176</v>
      </c>
      <c r="AA3063" s="402">
        <f t="shared" ref="AA3063" si="9828">IF(AA3065=0,(D3063*N3063+P3063*R3063)*U3063*Y3063,0)</f>
        <v>0</v>
      </c>
      <c r="AB3063" s="403"/>
    </row>
    <row r="3064" spans="1:28">
      <c r="A3064" s="384" t="str">
        <f t="shared" ref="A3064:B3064" si="9829">A3055</f>
        <v>Lantai 2</v>
      </c>
      <c r="B3064" s="385">
        <f t="shared" si="9829"/>
        <v>15</v>
      </c>
      <c r="C3064" s="393" t="s">
        <v>202</v>
      </c>
      <c r="D3064" s="398">
        <f>VLOOKUP(D3055,'Detail Balok'!$C$10:$AU$140,10,FALSE)</f>
        <v>4</v>
      </c>
      <c r="E3064" s="388" t="s">
        <v>16</v>
      </c>
      <c r="F3064" s="388">
        <f>VLOOKUP(D3055,'Detail Balok'!$C$10:$AU$140,12,FALSE)</f>
        <v>16</v>
      </c>
      <c r="G3064" s="388"/>
      <c r="H3064" s="395"/>
      <c r="I3064" s="388" t="s">
        <v>203</v>
      </c>
      <c r="J3064" s="399">
        <f t="shared" ref="J3064" si="9830">+D3057/4/1000</f>
        <v>1.25</v>
      </c>
      <c r="K3064" s="400" t="s">
        <v>204</v>
      </c>
      <c r="L3064" s="399">
        <f t="shared" ref="L3064" si="9831">MAX(VLOOKUP(F3064,N$6:P$15,3,FALSE)/1000,2/3*D3059/1000)+F$16*F3064/1000</f>
        <v>0.192</v>
      </c>
      <c r="M3064" s="399" t="s">
        <v>176</v>
      </c>
      <c r="N3064" s="399">
        <f t="shared" si="9817"/>
        <v>1.4419999999999999</v>
      </c>
      <c r="O3064" s="399" t="s">
        <v>204</v>
      </c>
      <c r="P3064" s="389">
        <f t="shared" ref="P3064" si="9832">D3064-D3063</f>
        <v>0</v>
      </c>
      <c r="Q3064" s="399" t="s">
        <v>125</v>
      </c>
      <c r="R3064" s="399">
        <f t="shared" ref="R3064" si="9833">IF(P3064&gt;0,$F$18*F3064/1000,0)</f>
        <v>0</v>
      </c>
      <c r="S3064" s="399" t="s">
        <v>205</v>
      </c>
      <c r="T3064" s="399" t="s">
        <v>125</v>
      </c>
      <c r="U3064" s="401">
        <f t="shared" si="9820"/>
        <v>1.5782400000000001</v>
      </c>
      <c r="V3064" s="399"/>
      <c r="W3064" s="399"/>
      <c r="X3064" s="399" t="s">
        <v>125</v>
      </c>
      <c r="Y3064" s="389">
        <f t="shared" ref="Y3064" si="9834">D3061</f>
        <v>1</v>
      </c>
      <c r="Z3064" s="400" t="s">
        <v>176</v>
      </c>
      <c r="AA3064" s="402">
        <f t="shared" ref="AA3064" si="9835">IF(AA3065=0,(D3064*N3064+P3064*R3064)*U3064*Y3064,0)</f>
        <v>0</v>
      </c>
      <c r="AB3064" s="403"/>
    </row>
    <row r="3065" spans="1:28">
      <c r="A3065" s="384" t="str">
        <f t="shared" ref="A3065:B3065" si="9836">A3055</f>
        <v>Lantai 2</v>
      </c>
      <c r="B3065" s="385">
        <f t="shared" si="9836"/>
        <v>15</v>
      </c>
      <c r="C3065" s="393"/>
      <c r="D3065" s="398">
        <f t="shared" ref="D3065:D3125" si="9837">IF(AND(D3062=D3063,D3063=D3064,D3062=D3064),D3062,0)</f>
        <v>4</v>
      </c>
      <c r="E3065" s="388" t="s">
        <v>16</v>
      </c>
      <c r="F3065" s="388">
        <f t="shared" ref="F3065:F3125" si="9838">IF(AND(F3062=F3063,F3062=F3064,F3063=F3064),F3062,0)</f>
        <v>16</v>
      </c>
      <c r="G3065" s="388"/>
      <c r="H3065" s="395"/>
      <c r="I3065" s="388"/>
      <c r="J3065" s="396"/>
      <c r="K3065" s="396"/>
      <c r="L3065" s="404" t="s">
        <v>207</v>
      </c>
      <c r="M3065" s="399" t="s">
        <v>176</v>
      </c>
      <c r="N3065" s="399">
        <f t="shared" ref="N3065" si="9839">IF(AND(D3062=D3063,D3062=D3064,D3063=D3064,F3062=F3063,F3062=F3064,F3063=F3064),SUM(N3062:N3064),0)</f>
        <v>5.3840000000000003</v>
      </c>
      <c r="O3065" s="399" t="s">
        <v>204</v>
      </c>
      <c r="P3065" s="389">
        <f t="shared" ref="P3065" si="9840">IF(N3065&gt;12,ROUNDDOWN(N3065/12,0),0)</f>
        <v>0</v>
      </c>
      <c r="Q3065" s="399" t="s">
        <v>125</v>
      </c>
      <c r="R3065" s="399">
        <f t="shared" ref="R3065" si="9841">IF(P3065&gt;0,MAX(VLOOKUP(F3065,$D$6:$G$15,3,FALSE),600),0)/1000</f>
        <v>0</v>
      </c>
      <c r="S3065" s="396"/>
      <c r="T3065" s="396" t="s">
        <v>125</v>
      </c>
      <c r="U3065" s="401">
        <f t="shared" ref="U3065:U3125" si="9842">U3064</f>
        <v>1.5782400000000001</v>
      </c>
      <c r="V3065" s="396" t="s">
        <v>125</v>
      </c>
      <c r="W3065" s="399">
        <f t="shared" ref="W3065" si="9843">D3065</f>
        <v>4</v>
      </c>
      <c r="X3065" s="399" t="s">
        <v>125</v>
      </c>
      <c r="Y3065" s="389">
        <f t="shared" ref="Y3065:Y3125" si="9844">Y3064</f>
        <v>1</v>
      </c>
      <c r="Z3065" s="400" t="s">
        <v>176</v>
      </c>
      <c r="AA3065" s="402">
        <f t="shared" ref="AA3065" si="9845">(N3065+P3065*R3065/1000)*U3065*W3065*Y3065</f>
        <v>33.988976640000004</v>
      </c>
      <c r="AB3065" s="390"/>
    </row>
    <row r="3066" spans="1:28">
      <c r="A3066" s="384"/>
      <c r="B3066" s="385"/>
      <c r="C3066" s="393"/>
      <c r="D3066" s="398"/>
      <c r="E3066" s="388"/>
      <c r="F3066" s="388"/>
      <c r="G3066" s="388"/>
      <c r="H3066" s="395"/>
      <c r="I3066" s="388"/>
      <c r="J3066" s="396"/>
      <c r="K3066" s="396"/>
      <c r="L3066" s="404"/>
      <c r="M3066" s="399"/>
      <c r="N3066" s="399"/>
      <c r="O3066" s="396"/>
      <c r="P3066" s="389"/>
      <c r="Q3066" s="396"/>
      <c r="R3066" s="396"/>
      <c r="S3066" s="396"/>
      <c r="T3066" s="396"/>
      <c r="U3066" s="401"/>
      <c r="V3066" s="396"/>
      <c r="W3066" s="399"/>
      <c r="X3066" s="396"/>
      <c r="Y3066" s="389"/>
      <c r="Z3066" s="396"/>
      <c r="AA3066" s="388"/>
      <c r="AB3066" s="390"/>
    </row>
    <row r="3067" spans="1:28">
      <c r="A3067" s="384" t="str">
        <f t="shared" ref="A3067:B3067" si="9846">A3055</f>
        <v>Lantai 2</v>
      </c>
      <c r="B3067" s="385">
        <f t="shared" si="9846"/>
        <v>15</v>
      </c>
      <c r="C3067" s="393" t="s">
        <v>208</v>
      </c>
      <c r="D3067" s="398">
        <f>VLOOKUP(D3055,'Detail Balok'!$C$10:$AU$140,13,FALSE)</f>
        <v>2</v>
      </c>
      <c r="E3067" s="388" t="s">
        <v>16</v>
      </c>
      <c r="F3067" s="388">
        <f>VLOOKUP(D3055,'Detail Balok'!$C$10:$AU$140,15,FALSE)</f>
        <v>10</v>
      </c>
      <c r="G3067" s="388"/>
      <c r="H3067" s="395"/>
      <c r="I3067" s="388"/>
      <c r="J3067" s="399">
        <f t="shared" ref="J3067" si="9847">+D3057/1000</f>
        <v>5</v>
      </c>
      <c r="K3067" s="400" t="s">
        <v>204</v>
      </c>
      <c r="L3067" s="399">
        <f t="shared" ref="L3067" si="9848">2*$F$16*F3067/1000</f>
        <v>0.24</v>
      </c>
      <c r="M3067" s="399" t="s">
        <v>176</v>
      </c>
      <c r="N3067" s="399">
        <f t="shared" ref="N3067" si="9849">J3067+L3067</f>
        <v>5.24</v>
      </c>
      <c r="O3067" s="399" t="s">
        <v>204</v>
      </c>
      <c r="P3067" s="389">
        <f t="shared" ref="P3067" si="9850">IF(N3067&gt;12,ROUNDDOWN(N3067/12,0),0)</f>
        <v>0</v>
      </c>
      <c r="Q3067" s="399" t="s">
        <v>125</v>
      </c>
      <c r="R3067" s="399">
        <f t="shared" ref="R3067" si="9851">IF(P3067&gt;0,MAX(VLOOKUP(F3067,$D$6:$G$15,3,FALSE),600),0)/1000</f>
        <v>0</v>
      </c>
      <c r="S3067" s="399"/>
      <c r="T3067" s="399" t="s">
        <v>125</v>
      </c>
      <c r="U3067" s="401">
        <f t="shared" ref="U3067" si="9852">0.006165*F3067^2</f>
        <v>0.61650000000000005</v>
      </c>
      <c r="V3067" s="399" t="s">
        <v>125</v>
      </c>
      <c r="W3067" s="399">
        <f t="shared" ref="W3067" si="9853">+D3067</f>
        <v>2</v>
      </c>
      <c r="X3067" s="399" t="s">
        <v>125</v>
      </c>
      <c r="Y3067" s="389">
        <f t="shared" ref="Y3067" si="9854">D3061</f>
        <v>1</v>
      </c>
      <c r="Z3067" s="400" t="s">
        <v>176</v>
      </c>
      <c r="AA3067" s="402">
        <f t="shared" ref="AA3067" si="9855">(N3067+P3067*R3067/1000)*U3067*W3067*Y3067</f>
        <v>6.4609200000000007</v>
      </c>
      <c r="AB3067" s="403"/>
    </row>
    <row r="3068" spans="1:28">
      <c r="A3068" s="384"/>
      <c r="B3068" s="385"/>
      <c r="C3068" s="393"/>
      <c r="D3068" s="398"/>
      <c r="E3068" s="388"/>
      <c r="F3068" s="388"/>
      <c r="G3068" s="388"/>
      <c r="H3068" s="395"/>
      <c r="I3068" s="388"/>
      <c r="J3068" s="399"/>
      <c r="K3068" s="400"/>
      <c r="L3068" s="399"/>
      <c r="M3068" s="399"/>
      <c r="N3068" s="399"/>
      <c r="O3068" s="399"/>
      <c r="P3068" s="389"/>
      <c r="Q3068" s="399"/>
      <c r="R3068" s="399"/>
      <c r="S3068" s="399"/>
      <c r="T3068" s="399"/>
      <c r="U3068" s="401"/>
      <c r="V3068" s="399"/>
      <c r="W3068" s="399"/>
      <c r="X3068" s="399"/>
      <c r="Y3068" s="389"/>
      <c r="Z3068" s="400"/>
      <c r="AA3068" s="402"/>
      <c r="AB3068" s="403"/>
    </row>
    <row r="3069" spans="1:28">
      <c r="A3069" s="384"/>
      <c r="B3069" s="385"/>
      <c r="C3069" s="393"/>
      <c r="D3069" s="398"/>
      <c r="E3069" s="388"/>
      <c r="F3069" s="388"/>
      <c r="G3069" s="388"/>
      <c r="H3069" s="395"/>
      <c r="I3069" s="388"/>
      <c r="J3069" s="396"/>
      <c r="K3069" s="396"/>
      <c r="L3069" s="396"/>
      <c r="M3069" s="396"/>
      <c r="N3069" s="396"/>
      <c r="O3069" s="396"/>
      <c r="P3069" s="389"/>
      <c r="Q3069" s="396"/>
      <c r="R3069" s="396"/>
      <c r="S3069" s="396"/>
      <c r="T3069" s="396"/>
      <c r="U3069" s="401"/>
      <c r="V3069" s="396"/>
      <c r="W3069" s="399"/>
      <c r="X3069" s="396"/>
      <c r="Y3069" s="389"/>
      <c r="Z3069" s="396"/>
      <c r="AA3069" s="388"/>
      <c r="AB3069" s="390"/>
    </row>
    <row r="3070" spans="1:28">
      <c r="A3070" s="384" t="str">
        <f t="shared" ref="A3070:B3070" si="9856">A3055</f>
        <v>Lantai 2</v>
      </c>
      <c r="B3070" s="385">
        <f t="shared" si="9856"/>
        <v>15</v>
      </c>
      <c r="C3070" s="393" t="s">
        <v>209</v>
      </c>
      <c r="D3070" s="398">
        <f>VLOOKUP(D3055,'Detail Balok'!$C$10:$AU$140,22,FALSE)</f>
        <v>4</v>
      </c>
      <c r="E3070" s="388" t="s">
        <v>16</v>
      </c>
      <c r="F3070" s="388">
        <f>VLOOKUP(D3055,'Detail Balok'!$C$10:$AU$140,24,FALSE)</f>
        <v>16</v>
      </c>
      <c r="G3070" s="388"/>
      <c r="H3070" s="395"/>
      <c r="I3070" s="388" t="s">
        <v>203</v>
      </c>
      <c r="J3070" s="399">
        <f t="shared" ref="J3070:J3132" si="9857">+J3062</f>
        <v>1.25</v>
      </c>
      <c r="K3070" s="400" t="s">
        <v>204</v>
      </c>
      <c r="L3070" s="399">
        <f t="shared" ref="L3070" si="9858">MAX(VLOOKUP(F3070,N$6:P$15,3,FALSE)/1000,2/3*D3060/1000)+F$16*F3070/1000</f>
        <v>0.192</v>
      </c>
      <c r="M3070" s="399" t="s">
        <v>176</v>
      </c>
      <c r="N3070" s="399">
        <f t="shared" ref="N3070:N3072" si="9859">J3070+L3070</f>
        <v>1.4419999999999999</v>
      </c>
      <c r="O3070" s="399" t="s">
        <v>204</v>
      </c>
      <c r="P3070" s="389">
        <f t="shared" ref="P3070" si="9860">D3070-D3071</f>
        <v>0</v>
      </c>
      <c r="Q3070" s="399" t="s">
        <v>125</v>
      </c>
      <c r="R3070" s="399">
        <f t="shared" ref="R3070" si="9861">IF(P3070&gt;0,$F$18*F3070/1000,0)</f>
        <v>0</v>
      </c>
      <c r="S3070" s="399" t="s">
        <v>205</v>
      </c>
      <c r="T3070" s="399" t="s">
        <v>125</v>
      </c>
      <c r="U3070" s="401">
        <f t="shared" ref="U3070:U3072" si="9862">0.006165*F3070^2</f>
        <v>1.5782400000000001</v>
      </c>
      <c r="V3070" s="399"/>
      <c r="W3070" s="399"/>
      <c r="X3070" s="399" t="s">
        <v>125</v>
      </c>
      <c r="Y3070" s="389">
        <f t="shared" ref="Y3070" si="9863">D3061</f>
        <v>1</v>
      </c>
      <c r="Z3070" s="400" t="s">
        <v>176</v>
      </c>
      <c r="AA3070" s="402">
        <f t="shared" ref="AA3070" si="9864">IF(AA3073=0,(D3070*N3070+P3070*R3070)*U3070*Y3070,0)</f>
        <v>0</v>
      </c>
      <c r="AB3070" s="403"/>
    </row>
    <row r="3071" spans="1:28">
      <c r="A3071" s="384" t="str">
        <f t="shared" ref="A3071:B3071" si="9865">A3055</f>
        <v>Lantai 2</v>
      </c>
      <c r="B3071" s="385">
        <f t="shared" si="9865"/>
        <v>15</v>
      </c>
      <c r="C3071" s="393" t="s">
        <v>210</v>
      </c>
      <c r="D3071" s="398">
        <f>VLOOKUP(D3055,'Detail Balok'!$C$10:$AU$140,25,FALSE)</f>
        <v>4</v>
      </c>
      <c r="E3071" s="388" t="s">
        <v>16</v>
      </c>
      <c r="F3071" s="388">
        <f>VLOOKUP(D3055,'Detail Balok'!$C$10:$AU$140,27,FALSE)</f>
        <v>16</v>
      </c>
      <c r="G3071" s="388"/>
      <c r="H3071" s="395"/>
      <c r="I3071" s="388" t="s">
        <v>203</v>
      </c>
      <c r="J3071" s="399">
        <f t="shared" si="9857"/>
        <v>2.5</v>
      </c>
      <c r="K3071" s="400" t="s">
        <v>204</v>
      </c>
      <c r="L3071" s="399"/>
      <c r="M3071" s="399" t="s">
        <v>176</v>
      </c>
      <c r="N3071" s="399">
        <f t="shared" si="9859"/>
        <v>2.5</v>
      </c>
      <c r="O3071" s="399" t="s">
        <v>204</v>
      </c>
      <c r="P3071" s="389">
        <f t="shared" ref="P3071" si="9866">MAX(D3071-D3070,D3071-D3072)</f>
        <v>0</v>
      </c>
      <c r="Q3071" s="399" t="s">
        <v>125</v>
      </c>
      <c r="R3071" s="399">
        <f t="shared" ref="R3071" si="9867">IF(P3071&gt;0,2*(1-2*$F$19-1/2)*D3058/1000,0)</f>
        <v>0</v>
      </c>
      <c r="S3071" s="399" t="s">
        <v>205</v>
      </c>
      <c r="T3071" s="399" t="s">
        <v>125</v>
      </c>
      <c r="U3071" s="401">
        <f t="shared" si="9862"/>
        <v>1.5782400000000001</v>
      </c>
      <c r="V3071" s="399"/>
      <c r="W3071" s="399"/>
      <c r="X3071" s="399" t="s">
        <v>125</v>
      </c>
      <c r="Y3071" s="389">
        <f t="shared" ref="Y3071" si="9868">D3061</f>
        <v>1</v>
      </c>
      <c r="Z3071" s="400" t="s">
        <v>176</v>
      </c>
      <c r="AA3071" s="402">
        <f t="shared" ref="AA3071" si="9869">IF(AA3073=0,(D3071*N3071+P3071*R3071)*U3071*Y3071,0)</f>
        <v>0</v>
      </c>
      <c r="AB3071" s="403"/>
    </row>
    <row r="3072" spans="1:28">
      <c r="A3072" s="384" t="str">
        <f t="shared" ref="A3072:B3072" si="9870">A3055</f>
        <v>Lantai 2</v>
      </c>
      <c r="B3072" s="385">
        <f t="shared" si="9870"/>
        <v>15</v>
      </c>
      <c r="C3072" s="393" t="s">
        <v>209</v>
      </c>
      <c r="D3072" s="398">
        <f>VLOOKUP(D3055,'Detail Balok'!$C$10:$AU$140,28,FALSE)</f>
        <v>4</v>
      </c>
      <c r="E3072" s="388" t="s">
        <v>16</v>
      </c>
      <c r="F3072" s="388">
        <f>VLOOKUP(D3055,'Detail Balok'!$C$10:$AU$140,30,FALSE)</f>
        <v>16</v>
      </c>
      <c r="G3072" s="388"/>
      <c r="H3072" s="395"/>
      <c r="I3072" s="388" t="s">
        <v>203</v>
      </c>
      <c r="J3072" s="399">
        <f t="shared" si="9857"/>
        <v>1.25</v>
      </c>
      <c r="K3072" s="400" t="s">
        <v>204</v>
      </c>
      <c r="L3072" s="399">
        <f t="shared" ref="L3072" si="9871">MAX(VLOOKUP(F3072,N$6:P$15,3,FALSE)/1000,2/3*D3060/1000)+F$16*F3072/1000</f>
        <v>0.192</v>
      </c>
      <c r="M3072" s="399" t="s">
        <v>176</v>
      </c>
      <c r="N3072" s="399">
        <f t="shared" si="9859"/>
        <v>1.4419999999999999</v>
      </c>
      <c r="O3072" s="399" t="s">
        <v>204</v>
      </c>
      <c r="P3072" s="389">
        <f t="shared" ref="P3072" si="9872">D3072-D3071</f>
        <v>0</v>
      </c>
      <c r="Q3072" s="399" t="s">
        <v>125</v>
      </c>
      <c r="R3072" s="399">
        <f t="shared" ref="R3072" si="9873">IF(P3072&gt;0,$F$18*F3072/1000,0)</f>
        <v>0</v>
      </c>
      <c r="S3072" s="399" t="s">
        <v>205</v>
      </c>
      <c r="T3072" s="399" t="s">
        <v>125</v>
      </c>
      <c r="U3072" s="401">
        <f t="shared" si="9862"/>
        <v>1.5782400000000001</v>
      </c>
      <c r="V3072" s="399"/>
      <c r="W3072" s="399"/>
      <c r="X3072" s="399" t="s">
        <v>125</v>
      </c>
      <c r="Y3072" s="389">
        <f t="shared" ref="Y3072" si="9874">D3061</f>
        <v>1</v>
      </c>
      <c r="Z3072" s="400" t="s">
        <v>176</v>
      </c>
      <c r="AA3072" s="402">
        <f t="shared" ref="AA3072" si="9875">IF(AA3073=0,(D3072*N3072+P3072*R3072)*U3072*Y3072,0)</f>
        <v>0</v>
      </c>
      <c r="AB3072" s="403"/>
    </row>
    <row r="3073" spans="1:28">
      <c r="A3073" s="384" t="str">
        <f t="shared" ref="A3073:B3073" si="9876">A3055</f>
        <v>Lantai 2</v>
      </c>
      <c r="B3073" s="385">
        <f t="shared" si="9876"/>
        <v>15</v>
      </c>
      <c r="C3073" s="393"/>
      <c r="D3073" s="398">
        <f t="shared" ref="D3073:D3133" si="9877">IF(AND(D3070=D3071,D3071=D3072,D3070=D3072),D3070,0)</f>
        <v>4</v>
      </c>
      <c r="E3073" s="388" t="s">
        <v>16</v>
      </c>
      <c r="F3073" s="388">
        <f t="shared" ref="F3073:F3133" si="9878">IF(AND(F3070=F3071,F3070=F3072,F3071=F3072),F3070,0)</f>
        <v>16</v>
      </c>
      <c r="G3073" s="388"/>
      <c r="H3073" s="395"/>
      <c r="I3073" s="388"/>
      <c r="J3073" s="396"/>
      <c r="K3073" s="396"/>
      <c r="L3073" s="404" t="s">
        <v>207</v>
      </c>
      <c r="M3073" s="399" t="s">
        <v>176</v>
      </c>
      <c r="N3073" s="399">
        <f t="shared" ref="N3073" si="9879">IF(AND(D3070=D3071,D3070=D3072,D3071=D3072,F3070=F3071,F3070=F3072,F3071=F3072),SUM(N3070:N3072),0)</f>
        <v>5.3840000000000003</v>
      </c>
      <c r="O3073" s="399" t="s">
        <v>204</v>
      </c>
      <c r="P3073" s="389">
        <f t="shared" ref="P3073" si="9880">IF(N3073&gt;12,ROUNDDOWN(N3073/12,0),0)</f>
        <v>0</v>
      </c>
      <c r="Q3073" s="399" t="s">
        <v>125</v>
      </c>
      <c r="R3073" s="399">
        <f t="shared" ref="R3073" si="9881">IF(P3073&gt;0,MAX(VLOOKUP(F3073,$D$6:$G$15,3,FALSE),600),0)/1000</f>
        <v>0</v>
      </c>
      <c r="S3073" s="396"/>
      <c r="T3073" s="396" t="s">
        <v>125</v>
      </c>
      <c r="U3073" s="401">
        <f t="shared" ref="U3073:U3133" si="9882">U3072</f>
        <v>1.5782400000000001</v>
      </c>
      <c r="V3073" s="396" t="s">
        <v>125</v>
      </c>
      <c r="W3073" s="399">
        <f t="shared" ref="W3073" si="9883">D3073</f>
        <v>4</v>
      </c>
      <c r="X3073" s="399" t="s">
        <v>125</v>
      </c>
      <c r="Y3073" s="389">
        <f t="shared" ref="Y3073:Y3133" si="9884">Y3072</f>
        <v>1</v>
      </c>
      <c r="Z3073" s="400" t="s">
        <v>176</v>
      </c>
      <c r="AA3073" s="402">
        <f t="shared" ref="AA3073" si="9885">(N3073+P3073*R3073/1000)*U3073*W3073*Y3073</f>
        <v>33.988976640000004</v>
      </c>
      <c r="AB3073" s="403"/>
    </row>
    <row r="3074" spans="1:28">
      <c r="A3074" s="384"/>
      <c r="B3074" s="385"/>
      <c r="C3074" s="393"/>
      <c r="D3074" s="394"/>
      <c r="E3074" s="388"/>
      <c r="F3074" s="388"/>
      <c r="G3074" s="388"/>
      <c r="H3074" s="395"/>
      <c r="I3074" s="388"/>
      <c r="J3074" s="399"/>
      <c r="K3074" s="396"/>
      <c r="L3074" s="396"/>
      <c r="M3074" s="396"/>
      <c r="N3074" s="396"/>
      <c r="O3074" s="396"/>
      <c r="P3074" s="389"/>
      <c r="Q3074" s="396"/>
      <c r="R3074" s="396"/>
      <c r="S3074" s="396"/>
      <c r="T3074" s="396"/>
      <c r="U3074" s="401"/>
      <c r="V3074" s="396"/>
      <c r="W3074" s="388"/>
      <c r="X3074" s="396"/>
      <c r="Y3074" s="389"/>
      <c r="Z3074" s="396"/>
      <c r="AA3074" s="388"/>
      <c r="AB3074" s="390"/>
    </row>
    <row r="3075" spans="1:28">
      <c r="A3075" s="384" t="str">
        <f t="shared" ref="A3075:B3075" si="9886">A3055</f>
        <v>Lantai 2</v>
      </c>
      <c r="B3075" s="385">
        <f t="shared" si="9886"/>
        <v>15</v>
      </c>
      <c r="C3075" s="393" t="s">
        <v>211</v>
      </c>
      <c r="D3075" s="398">
        <f>VLOOKUP(D3055,'Detail Balok'!$C$10:$AU$140,31,FALSE)</f>
        <v>0</v>
      </c>
      <c r="E3075" s="388" t="s">
        <v>16</v>
      </c>
      <c r="F3075" s="388">
        <f>VLOOKUP(D3055,'Detail Balok'!$C$10:$AU$140,33,FALSE)</f>
        <v>10</v>
      </c>
      <c r="G3075" s="405" t="s">
        <v>157</v>
      </c>
      <c r="H3075" s="395">
        <f>VLOOKUP(D3055,'Detail Balok'!$C$10:$AU$140,35,FALSE)</f>
        <v>150</v>
      </c>
      <c r="I3075" s="388"/>
      <c r="J3075" s="400">
        <f t="shared" ref="J3075" si="9887">(IF(D3075=0,(2*(D3056+G3056))-(F$5*8),IF(D3075=3,(2*(D3056+G3056))-(F$5*8)+(G3056-2*F$5),IF(D3075=4,(2*(D3056+G3056))-(F$5*8)+2*(G3056-2*F$5)))))/1000</f>
        <v>1.08</v>
      </c>
      <c r="K3075" s="400" t="s">
        <v>204</v>
      </c>
      <c r="L3075" s="399">
        <f t="shared" ref="L3075:L3077" si="9888">IF(D3075=0,2*MAX(6*F3075,75),(D3075-1)*2*MAX(6*F3075,75))/1000</f>
        <v>0.15</v>
      </c>
      <c r="M3075" s="399" t="s">
        <v>176</v>
      </c>
      <c r="N3075" s="399">
        <f t="shared" ref="N3075:N3077" si="9889">J3075+L3075</f>
        <v>1.23</v>
      </c>
      <c r="O3075" s="399"/>
      <c r="P3075" s="389"/>
      <c r="Q3075" s="399"/>
      <c r="R3075" s="399"/>
      <c r="S3075" s="399"/>
      <c r="T3075" s="399" t="s">
        <v>125</v>
      </c>
      <c r="U3075" s="401">
        <f t="shared" ref="U3075:U3077" si="9890">0.006165*F3075^2</f>
        <v>0.61650000000000005</v>
      </c>
      <c r="V3075" s="399" t="s">
        <v>125</v>
      </c>
      <c r="W3075" s="399">
        <f t="shared" ref="W3075" si="9891">IF(D3058&gt;4*G3056,ROUND(MAX(D3058/4,2*G3056)/H3075,0)+1,ROUND(D3058/H3075,0)+1)</f>
        <v>9</v>
      </c>
      <c r="X3075" s="399" t="s">
        <v>125</v>
      </c>
      <c r="Y3075" s="389">
        <f t="shared" ref="Y3075" si="9892">D3061</f>
        <v>1</v>
      </c>
      <c r="Z3075" s="400" t="s">
        <v>176</v>
      </c>
      <c r="AA3075" s="402">
        <f t="shared" ref="AA3075:AA3077" si="9893">N3075*U3075*W3075*Y3075</f>
        <v>6.8246550000000008</v>
      </c>
      <c r="AB3075" s="403"/>
    </row>
    <row r="3076" spans="1:28">
      <c r="A3076" s="384" t="str">
        <f t="shared" ref="A3076:B3076" si="9894">A3055</f>
        <v>Lantai 2</v>
      </c>
      <c r="B3076" s="385">
        <f t="shared" si="9894"/>
        <v>15</v>
      </c>
      <c r="C3076" s="393" t="s">
        <v>212</v>
      </c>
      <c r="D3076" s="398">
        <f>VLOOKUP(D3055,'Detail Balok'!$C$10:$AU$140,36,FALSE)</f>
        <v>0</v>
      </c>
      <c r="E3076" s="388" t="s">
        <v>16</v>
      </c>
      <c r="F3076" s="388">
        <f>VLOOKUP(D3055,'Detail Balok'!$C$10:$AU$140,38,FALSE)</f>
        <v>10</v>
      </c>
      <c r="G3076" s="405" t="s">
        <v>157</v>
      </c>
      <c r="H3076" s="395">
        <f>VLOOKUP(D3055,'Detail Balok'!$C$10:$AU$140,40,FALSE)</f>
        <v>200</v>
      </c>
      <c r="I3076" s="388"/>
      <c r="J3076" s="400">
        <f t="shared" ref="J3076" si="9895">(IF(D3076=0,(2*(D3056+G3056))-(F$5*8),IF(D3076=3,(2*(D3056+G3056))-(F$5*8)+(G3056-2*F$5),IF(D3076=4,(2*(D3056+G3056))-(F$5*8)+2*(G3056-2*F$5)))))/1000</f>
        <v>1.08</v>
      </c>
      <c r="K3076" s="400" t="s">
        <v>204</v>
      </c>
      <c r="L3076" s="399">
        <f t="shared" si="9888"/>
        <v>0.15</v>
      </c>
      <c r="M3076" s="399" t="s">
        <v>176</v>
      </c>
      <c r="N3076" s="399">
        <f t="shared" si="9889"/>
        <v>1.23</v>
      </c>
      <c r="O3076" s="399"/>
      <c r="P3076" s="389"/>
      <c r="Q3076" s="399"/>
      <c r="R3076" s="399"/>
      <c r="S3076" s="399"/>
      <c r="T3076" s="399" t="s">
        <v>125</v>
      </c>
      <c r="U3076" s="401">
        <f t="shared" si="9890"/>
        <v>0.61650000000000005</v>
      </c>
      <c r="V3076" s="399" t="s">
        <v>125</v>
      </c>
      <c r="W3076" s="399">
        <f t="shared" ref="W3076" si="9896">IF(D3058-MAX(D3058/4,2*G3056)*2&gt;0,ROUND((D3058-MAX(D3058/4,2*G3056)*2)/H3076,0),0)</f>
        <v>13</v>
      </c>
      <c r="X3076" s="399" t="s">
        <v>125</v>
      </c>
      <c r="Y3076" s="389">
        <f t="shared" ref="Y3076" si="9897">D3061</f>
        <v>1</v>
      </c>
      <c r="Z3076" s="400" t="s">
        <v>176</v>
      </c>
      <c r="AA3076" s="402">
        <f t="shared" si="9893"/>
        <v>9.8578350000000015</v>
      </c>
      <c r="AB3076" s="403"/>
    </row>
    <row r="3077" spans="1:28">
      <c r="A3077" s="384" t="str">
        <f t="shared" ref="A3077:B3077" si="9898">A3055</f>
        <v>Lantai 2</v>
      </c>
      <c r="B3077" s="385">
        <f t="shared" si="9898"/>
        <v>15</v>
      </c>
      <c r="C3077" s="393" t="s">
        <v>211</v>
      </c>
      <c r="D3077" s="398">
        <f>VLOOKUP(D3055,'Detail Balok'!$C$10:$AU$140,41,FALSE)</f>
        <v>0</v>
      </c>
      <c r="E3077" s="388" t="s">
        <v>16</v>
      </c>
      <c r="F3077" s="388">
        <f>VLOOKUP(D3055,'Detail Balok'!$C$10:$AU$140,43,FALSE)</f>
        <v>10</v>
      </c>
      <c r="G3077" s="405" t="s">
        <v>157</v>
      </c>
      <c r="H3077" s="395">
        <f>VLOOKUP(D3055,'Detail Balok'!$C$10:$AU$140,45,FALSE)</f>
        <v>150</v>
      </c>
      <c r="I3077" s="388"/>
      <c r="J3077" s="400">
        <f t="shared" ref="J3077" si="9899">(IF(D3077=0,(2*(D3056+G3056))-(F$5*8),IF(D3077=3,(2*(D3056+G3056))-(F$5*8)+(G3056-2*F$5),IF(D3077=4,(2*(D3056+G3056))-(F$5*8)+2*(G3056-2*F$5)))))/1000</f>
        <v>1.08</v>
      </c>
      <c r="K3077" s="400" t="s">
        <v>204</v>
      </c>
      <c r="L3077" s="399">
        <f t="shared" si="9888"/>
        <v>0.15</v>
      </c>
      <c r="M3077" s="399" t="s">
        <v>176</v>
      </c>
      <c r="N3077" s="399">
        <f t="shared" si="9889"/>
        <v>1.23</v>
      </c>
      <c r="O3077" s="399"/>
      <c r="P3077" s="389"/>
      <c r="Q3077" s="399"/>
      <c r="R3077" s="399"/>
      <c r="S3077" s="399"/>
      <c r="T3077" s="399" t="s">
        <v>125</v>
      </c>
      <c r="U3077" s="401">
        <f t="shared" si="9890"/>
        <v>0.61650000000000005</v>
      </c>
      <c r="V3077" s="399" t="s">
        <v>125</v>
      </c>
      <c r="W3077" s="399">
        <f t="shared" ref="W3077" si="9900">IF(D3058&gt;4*G3056,ROUND(MAX(D3058/4,2*G3056)/H3077,0)+1,0)</f>
        <v>9</v>
      </c>
      <c r="X3077" s="399" t="s">
        <v>125</v>
      </c>
      <c r="Y3077" s="389">
        <f t="shared" ref="Y3077" si="9901">D3061</f>
        <v>1</v>
      </c>
      <c r="Z3077" s="400" t="s">
        <v>176</v>
      </c>
      <c r="AA3077" s="402">
        <f t="shared" si="9893"/>
        <v>6.8246550000000008</v>
      </c>
      <c r="AB3077" s="403"/>
    </row>
    <row r="3078" spans="1:28">
      <c r="A3078" s="384"/>
      <c r="B3078" s="385"/>
      <c r="C3078" s="393"/>
      <c r="D3078" s="394"/>
      <c r="E3078" s="388"/>
      <c r="F3078" s="388"/>
      <c r="G3078" s="388"/>
      <c r="H3078" s="395"/>
      <c r="I3078" s="388"/>
      <c r="J3078" s="399"/>
      <c r="K3078" s="396"/>
      <c r="L3078" s="396"/>
      <c r="M3078" s="396"/>
      <c r="N3078" s="396"/>
      <c r="O3078" s="396"/>
      <c r="P3078" s="389"/>
      <c r="Q3078" s="396"/>
      <c r="R3078" s="396"/>
      <c r="S3078" s="396"/>
      <c r="T3078" s="396"/>
      <c r="U3078" s="401"/>
      <c r="V3078" s="396"/>
      <c r="W3078" s="388"/>
      <c r="X3078" s="396"/>
      <c r="Y3078" s="389"/>
      <c r="Z3078" s="396"/>
      <c r="AA3078" s="388"/>
      <c r="AB3078" s="390"/>
    </row>
    <row r="3079" spans="1:28">
      <c r="A3079" s="384" t="str">
        <f t="shared" ref="A3079:B3079" si="9902">A3055</f>
        <v>Lantai 2</v>
      </c>
      <c r="B3079" s="385">
        <f t="shared" si="9902"/>
        <v>15</v>
      </c>
      <c r="C3079" s="393" t="s">
        <v>213</v>
      </c>
      <c r="D3079" s="398">
        <f>VLOOKUP(D3055,'Detail Balok'!$C$10:$BJ$140,46,FALSE)</f>
        <v>0</v>
      </c>
      <c r="E3079" s="388" t="s">
        <v>16</v>
      </c>
      <c r="F3079" s="388">
        <f>VLOOKUP(D3055,'Detail Balok'!$C$10:$BJ$140,48,FALSE)</f>
        <v>0</v>
      </c>
      <c r="G3079" s="405" t="s">
        <v>157</v>
      </c>
      <c r="H3079" s="395">
        <f>VLOOKUP(D3055,'Detail Balok'!$C$10:$BJ$140,50,FALSE)</f>
        <v>100</v>
      </c>
      <c r="I3079" s="388"/>
      <c r="J3079" s="399">
        <f t="shared" ref="J3079" si="9903">(D3056-2*F$5)/1000</f>
        <v>0.12</v>
      </c>
      <c r="K3079" s="400" t="s">
        <v>204</v>
      </c>
      <c r="L3079" s="399">
        <f t="shared" ref="L3079:L3081" si="9904">IF(D3079=0,2*MAX(6*F3079,75),(D3079-1)*2*MAX(6*F3079,75))/1000</f>
        <v>0.15</v>
      </c>
      <c r="M3079" s="399" t="s">
        <v>176</v>
      </c>
      <c r="N3079" s="399">
        <f t="shared" ref="N3079:N3081" si="9905">J3079+L3079</f>
        <v>0.27</v>
      </c>
      <c r="O3079" s="399"/>
      <c r="P3079" s="399"/>
      <c r="Q3079" s="399"/>
      <c r="R3079" s="399"/>
      <c r="S3079" s="399"/>
      <c r="T3079" s="399" t="s">
        <v>125</v>
      </c>
      <c r="U3079" s="401">
        <f t="shared" ref="U3079:U3081" si="9906">0.006165*F3079^2</f>
        <v>0</v>
      </c>
      <c r="V3079" s="399" t="s">
        <v>125</v>
      </c>
      <c r="W3079" s="399">
        <f t="shared" ref="W3079:W3141" si="9907">W3075</f>
        <v>9</v>
      </c>
      <c r="X3079" s="399" t="s">
        <v>125</v>
      </c>
      <c r="Y3079" s="389">
        <f t="shared" ref="Y3079" si="9908">D3065</f>
        <v>4</v>
      </c>
      <c r="Z3079" s="400" t="s">
        <v>176</v>
      </c>
      <c r="AA3079" s="402">
        <f t="shared" ref="AA3079:AA3081" si="9909">N3079*U3079*W3079*Y3079</f>
        <v>0</v>
      </c>
      <c r="AB3079" s="403"/>
    </row>
    <row r="3080" spans="1:28">
      <c r="A3080" s="384" t="str">
        <f t="shared" ref="A3080:B3080" si="9910">A3055</f>
        <v>Lantai 2</v>
      </c>
      <c r="B3080" s="385">
        <f t="shared" si="9910"/>
        <v>15</v>
      </c>
      <c r="C3080" s="393" t="s">
        <v>214</v>
      </c>
      <c r="D3080" s="398">
        <f>VLOOKUP(D3055,'Detail Balok'!$C$10:$BJ$140,51,FALSE)</f>
        <v>0</v>
      </c>
      <c r="E3080" s="388" t="s">
        <v>16</v>
      </c>
      <c r="F3080" s="388">
        <f>VLOOKUP(D3055,'Detail Balok'!$C$10:$BJ$140,53,FALSE)</f>
        <v>0</v>
      </c>
      <c r="G3080" s="405" t="s">
        <v>157</v>
      </c>
      <c r="H3080" s="395">
        <f>VLOOKUP(D3055,'Detail Balok'!$C$10:$BJ$140,55,FALSE)</f>
        <v>100</v>
      </c>
      <c r="I3080" s="388"/>
      <c r="J3080" s="399">
        <f t="shared" ref="J3080" si="9911">(D3056-2*F$5)/1000</f>
        <v>0.12</v>
      </c>
      <c r="K3080" s="400" t="s">
        <v>204</v>
      </c>
      <c r="L3080" s="399">
        <f t="shared" si="9904"/>
        <v>0.15</v>
      </c>
      <c r="M3080" s="399" t="s">
        <v>176</v>
      </c>
      <c r="N3080" s="399">
        <f t="shared" si="9905"/>
        <v>0.27</v>
      </c>
      <c r="O3080" s="399"/>
      <c r="P3080" s="399"/>
      <c r="Q3080" s="399"/>
      <c r="R3080" s="399"/>
      <c r="S3080" s="399"/>
      <c r="T3080" s="399" t="s">
        <v>125</v>
      </c>
      <c r="U3080" s="401">
        <f t="shared" si="9906"/>
        <v>0</v>
      </c>
      <c r="V3080" s="399" t="s">
        <v>125</v>
      </c>
      <c r="W3080" s="399">
        <f t="shared" si="9907"/>
        <v>13</v>
      </c>
      <c r="X3080" s="399" t="s">
        <v>125</v>
      </c>
      <c r="Y3080" s="389">
        <f t="shared" ref="Y3080" si="9912">D3065</f>
        <v>4</v>
      </c>
      <c r="Z3080" s="400" t="s">
        <v>176</v>
      </c>
      <c r="AA3080" s="402">
        <f t="shared" si="9909"/>
        <v>0</v>
      </c>
      <c r="AB3080" s="403"/>
    </row>
    <row r="3081" spans="1:28">
      <c r="A3081" s="384" t="str">
        <f t="shared" ref="A3081:B3081" si="9913">A3055</f>
        <v>Lantai 2</v>
      </c>
      <c r="B3081" s="385">
        <f t="shared" si="9913"/>
        <v>15</v>
      </c>
      <c r="C3081" s="393" t="s">
        <v>213</v>
      </c>
      <c r="D3081" s="398">
        <f>VLOOKUP(D3055,'Detail Balok'!$C$10:$BJ$140,56,FALSE)</f>
        <v>0</v>
      </c>
      <c r="E3081" s="388" t="s">
        <v>16</v>
      </c>
      <c r="F3081" s="388">
        <f>VLOOKUP(D3055,'Detail Balok'!$C$10:$BJ$140,58,FALSE)</f>
        <v>0</v>
      </c>
      <c r="G3081" s="405" t="s">
        <v>157</v>
      </c>
      <c r="H3081" s="395">
        <f>VLOOKUP(D3055,'Detail Balok'!$C$10:$BJ$140,60,FALSE)</f>
        <v>100</v>
      </c>
      <c r="I3081" s="388"/>
      <c r="J3081" s="399">
        <f t="shared" ref="J3081" si="9914">(D3056-2*F$5)/1000</f>
        <v>0.12</v>
      </c>
      <c r="K3081" s="400" t="s">
        <v>204</v>
      </c>
      <c r="L3081" s="399">
        <f t="shared" si="9904"/>
        <v>0.15</v>
      </c>
      <c r="M3081" s="399" t="s">
        <v>176</v>
      </c>
      <c r="N3081" s="399">
        <f t="shared" si="9905"/>
        <v>0.27</v>
      </c>
      <c r="O3081" s="399"/>
      <c r="P3081" s="399"/>
      <c r="Q3081" s="399"/>
      <c r="R3081" s="399"/>
      <c r="S3081" s="399"/>
      <c r="T3081" s="399" t="s">
        <v>125</v>
      </c>
      <c r="U3081" s="401">
        <f t="shared" si="9906"/>
        <v>0</v>
      </c>
      <c r="V3081" s="399" t="s">
        <v>125</v>
      </c>
      <c r="W3081" s="399">
        <f t="shared" si="9907"/>
        <v>9</v>
      </c>
      <c r="X3081" s="399" t="s">
        <v>125</v>
      </c>
      <c r="Y3081" s="389">
        <f t="shared" ref="Y3081" si="9915">D3065</f>
        <v>4</v>
      </c>
      <c r="Z3081" s="400" t="s">
        <v>176</v>
      </c>
      <c r="AA3081" s="402">
        <f t="shared" si="9909"/>
        <v>0</v>
      </c>
      <c r="AB3081" s="403"/>
    </row>
    <row r="3082" spans="1:28">
      <c r="A3082" s="391"/>
      <c r="B3082" s="392"/>
      <c r="C3082" s="392"/>
      <c r="D3082" s="394"/>
      <c r="E3082" s="388"/>
      <c r="F3082" s="388"/>
      <c r="G3082" s="388"/>
      <c r="H3082" s="395"/>
      <c r="I3082" s="388"/>
      <c r="J3082" s="402"/>
      <c r="K3082" s="388"/>
      <c r="L3082" s="388"/>
      <c r="M3082" s="388"/>
      <c r="N3082" s="388"/>
      <c r="O3082" s="388"/>
      <c r="P3082" s="388"/>
      <c r="Q3082" s="388"/>
      <c r="R3082" s="388"/>
      <c r="S3082" s="388"/>
      <c r="T3082" s="388"/>
      <c r="U3082" s="388"/>
      <c r="V3082" s="388"/>
      <c r="W3082" s="388"/>
      <c r="X3082" s="388"/>
      <c r="Y3082" s="389"/>
      <c r="Z3082" s="388"/>
      <c r="AA3082" s="402"/>
      <c r="AB3082" s="403"/>
    </row>
    <row r="3083" spans="1:28" ht="15.75" thickBot="1">
      <c r="A3083" s="406"/>
      <c r="B3083" s="407"/>
      <c r="C3083" s="407"/>
      <c r="D3083" s="408"/>
      <c r="E3083" s="409"/>
      <c r="F3083" s="409"/>
      <c r="G3083" s="409"/>
      <c r="H3083" s="410"/>
      <c r="I3083" s="409"/>
      <c r="J3083" s="409"/>
      <c r="K3083" s="409"/>
      <c r="L3083" s="409"/>
      <c r="M3083" s="409"/>
      <c r="N3083" s="409"/>
      <c r="O3083" s="409"/>
      <c r="P3083" s="409"/>
      <c r="Q3083" s="409"/>
      <c r="R3083" s="409"/>
      <c r="S3083" s="409"/>
      <c r="T3083" s="409"/>
      <c r="U3083" s="409"/>
      <c r="V3083" s="409"/>
      <c r="W3083" s="409"/>
      <c r="X3083" s="409"/>
      <c r="Y3083" s="411"/>
      <c r="Z3083" s="409"/>
      <c r="AA3083" s="412"/>
      <c r="AB3083" s="413"/>
    </row>
    <row r="3084" spans="1:28">
      <c r="A3084" s="377"/>
      <c r="B3084" s="378"/>
      <c r="C3084" s="378"/>
      <c r="D3084" s="379"/>
      <c r="E3084" s="380"/>
      <c r="F3084" s="380"/>
      <c r="G3084" s="380"/>
      <c r="H3084" s="381"/>
      <c r="I3084" s="380"/>
      <c r="J3084" s="380"/>
      <c r="K3084" s="380"/>
      <c r="L3084" s="380"/>
      <c r="M3084" s="380"/>
      <c r="N3084" s="380"/>
      <c r="O3084" s="380"/>
      <c r="P3084" s="380"/>
      <c r="Q3084" s="380"/>
      <c r="R3084" s="380"/>
      <c r="S3084" s="380"/>
      <c r="T3084" s="380"/>
      <c r="U3084" s="380"/>
      <c r="V3084" s="380"/>
      <c r="W3084" s="380"/>
      <c r="X3084" s="380"/>
      <c r="Y3084" s="382"/>
      <c r="Z3084" s="380"/>
      <c r="AA3084" s="380"/>
      <c r="AB3084" s="383"/>
    </row>
    <row r="3085" spans="1:28">
      <c r="A3085" s="384" t="str">
        <f t="shared" ref="A3085:A3145" si="9916">A3055</f>
        <v>Lantai 2</v>
      </c>
      <c r="B3085" s="385">
        <f t="shared" ref="B3085:B3145" si="9917">B3055+1</f>
        <v>16</v>
      </c>
      <c r="C3085" s="386" t="str">
        <f t="shared" ref="C3085" si="9918">CONCATENATE(A3085," no. ",B3085)</f>
        <v>Lantai 2 no. 16</v>
      </c>
      <c r="D3085" s="2562" t="str">
        <f>VLOOKUP(C3085,'Data Panjang Balok'!$C$9:$N$254,2,FALSE)</f>
        <v>B36-1</v>
      </c>
      <c r="E3085" s="2576"/>
      <c r="F3085" s="2576"/>
      <c r="G3085" s="2576"/>
      <c r="H3085" s="2577"/>
      <c r="I3085" s="387"/>
      <c r="J3085" s="388"/>
      <c r="K3085" s="388"/>
      <c r="L3085" s="388"/>
      <c r="M3085" s="388"/>
      <c r="N3085" s="388"/>
      <c r="O3085" s="388"/>
      <c r="P3085" s="388"/>
      <c r="Q3085" s="388"/>
      <c r="R3085" s="388"/>
      <c r="S3085" s="388"/>
      <c r="T3085" s="388"/>
      <c r="U3085" s="388"/>
      <c r="V3085" s="388"/>
      <c r="W3085" s="388"/>
      <c r="X3085" s="388"/>
      <c r="Y3085" s="389"/>
      <c r="Z3085" s="388"/>
      <c r="AA3085" s="388"/>
      <c r="AB3085" s="390"/>
    </row>
    <row r="3086" spans="1:28">
      <c r="A3086" s="391"/>
      <c r="B3086" s="392"/>
      <c r="C3086" s="393" t="s">
        <v>118</v>
      </c>
      <c r="D3086" s="2578">
        <f>VLOOKUP(D3085,'Detail Balok'!$C$10:$AU$140,2,FALSE)</f>
        <v>300</v>
      </c>
      <c r="E3086" s="2579"/>
      <c r="F3086" s="388" t="s">
        <v>125</v>
      </c>
      <c r="G3086" s="2579">
        <f>VLOOKUP(D3085,'Detail Balok'!$C$10:$AU$140,3,FALSE)</f>
        <v>600</v>
      </c>
      <c r="H3086" s="2580"/>
      <c r="I3086" s="388"/>
      <c r="J3086" s="396"/>
      <c r="K3086" s="396"/>
      <c r="L3086" s="396"/>
      <c r="M3086" s="396"/>
      <c r="N3086" s="396"/>
      <c r="O3086" s="396"/>
      <c r="P3086" s="396"/>
      <c r="Q3086" s="396"/>
      <c r="R3086" s="396"/>
      <c r="S3086" s="396"/>
      <c r="T3086" s="396"/>
      <c r="U3086" s="388"/>
      <c r="V3086" s="396"/>
      <c r="W3086" s="388"/>
      <c r="X3086" s="396"/>
      <c r="Y3086" s="389"/>
      <c r="Z3086" s="396"/>
      <c r="AA3086" s="388"/>
      <c r="AB3086" s="390"/>
    </row>
    <row r="3087" spans="1:28">
      <c r="A3087" s="391"/>
      <c r="B3087" s="392"/>
      <c r="C3087" s="393" t="s">
        <v>198</v>
      </c>
      <c r="D3087" s="2562">
        <f>VLOOKUP(C3085,'Data Panjang Balok'!$C$9:$N$254,4,FALSE)</f>
        <v>6075</v>
      </c>
      <c r="E3087" s="2563"/>
      <c r="F3087" s="2563"/>
      <c r="G3087" s="2563"/>
      <c r="H3087" s="2564"/>
      <c r="I3087" s="397"/>
      <c r="J3087" s="396"/>
      <c r="K3087" s="396"/>
      <c r="L3087" s="396"/>
      <c r="M3087" s="396"/>
      <c r="N3087" s="396"/>
      <c r="O3087" s="396"/>
      <c r="P3087" s="396"/>
      <c r="Q3087" s="396"/>
      <c r="R3087" s="396"/>
      <c r="S3087" s="396"/>
      <c r="T3087" s="396"/>
      <c r="U3087" s="388"/>
      <c r="V3087" s="396"/>
      <c r="W3087" s="388"/>
      <c r="X3087" s="396"/>
      <c r="Y3087" s="389"/>
      <c r="Z3087" s="396"/>
      <c r="AA3087" s="388"/>
      <c r="AB3087" s="390"/>
    </row>
    <row r="3088" spans="1:28">
      <c r="A3088" s="391"/>
      <c r="B3088" s="392"/>
      <c r="C3088" s="393" t="s">
        <v>199</v>
      </c>
      <c r="D3088" s="2562">
        <f>VLOOKUP(C3085,'Data Panjang Balok'!$C$9:$N$254,7,FALSE)</f>
        <v>6075</v>
      </c>
      <c r="E3088" s="2563"/>
      <c r="F3088" s="2563"/>
      <c r="G3088" s="2563"/>
      <c r="H3088" s="2564"/>
      <c r="I3088" s="397"/>
      <c r="J3088" s="396"/>
      <c r="K3088" s="396"/>
      <c r="L3088" s="396"/>
      <c r="M3088" s="396"/>
      <c r="N3088" s="396"/>
      <c r="O3088" s="396"/>
      <c r="P3088" s="396"/>
      <c r="Q3088" s="396"/>
      <c r="R3088" s="396"/>
      <c r="S3088" s="396"/>
      <c r="T3088" s="396"/>
      <c r="U3088" s="388"/>
      <c r="V3088" s="396"/>
      <c r="W3088" s="388"/>
      <c r="X3088" s="396"/>
      <c r="Y3088" s="389"/>
      <c r="Z3088" s="396"/>
      <c r="AA3088" s="388"/>
      <c r="AB3088" s="390"/>
    </row>
    <row r="3089" spans="1:28">
      <c r="A3089" s="391"/>
      <c r="B3089" s="392"/>
      <c r="C3089" s="393" t="s">
        <v>200</v>
      </c>
      <c r="D3089" s="2562">
        <f>VLOOKUP(C3085,'Data Panjang Balok'!$C$9:$N$254,9,FALSE)</f>
        <v>0</v>
      </c>
      <c r="E3089" s="2563"/>
      <c r="F3089" s="2563"/>
      <c r="G3089" s="2563"/>
      <c r="H3089" s="2564"/>
      <c r="I3089" s="397"/>
      <c r="J3089" s="396"/>
      <c r="K3089" s="396"/>
      <c r="L3089" s="396"/>
      <c r="M3089" s="396"/>
      <c r="N3089" s="396"/>
      <c r="O3089" s="396"/>
      <c r="P3089" s="396"/>
      <c r="Q3089" s="396"/>
      <c r="R3089" s="396"/>
      <c r="S3089" s="396"/>
      <c r="T3089" s="396"/>
      <c r="U3089" s="388"/>
      <c r="V3089" s="396"/>
      <c r="W3089" s="388"/>
      <c r="X3089" s="396"/>
      <c r="Y3089" s="389"/>
      <c r="Z3089" s="396"/>
      <c r="AA3089" s="388"/>
      <c r="AB3089" s="390"/>
    </row>
    <row r="3090" spans="1:28">
      <c r="A3090" s="391"/>
      <c r="B3090" s="392"/>
      <c r="C3090" s="393" t="s">
        <v>201</v>
      </c>
      <c r="D3090" s="2562">
        <f>VLOOKUP(C3085,'Data Panjang Balok'!$C$9:$N$254,10,FALSE)</f>
        <v>0</v>
      </c>
      <c r="E3090" s="2563"/>
      <c r="F3090" s="2563"/>
      <c r="G3090" s="2563"/>
      <c r="H3090" s="2564"/>
      <c r="I3090" s="397"/>
      <c r="J3090" s="396"/>
      <c r="K3090" s="396"/>
      <c r="L3090" s="396"/>
      <c r="M3090" s="396"/>
      <c r="N3090" s="396"/>
      <c r="O3090" s="396"/>
      <c r="P3090" s="396"/>
      <c r="Q3090" s="396"/>
      <c r="R3090" s="396"/>
      <c r="S3090" s="396"/>
      <c r="T3090" s="396"/>
      <c r="U3090" s="388"/>
      <c r="V3090" s="396"/>
      <c r="W3090" s="388"/>
      <c r="X3090" s="396"/>
      <c r="Y3090" s="389"/>
      <c r="Z3090" s="396"/>
      <c r="AA3090" s="388"/>
      <c r="AB3090" s="390"/>
    </row>
    <row r="3091" spans="1:28">
      <c r="A3091" s="391"/>
      <c r="B3091" s="392"/>
      <c r="C3091" s="393" t="s">
        <v>48</v>
      </c>
      <c r="D3091" s="2562">
        <f>VLOOKUP(C3085,'Data Panjang Balok'!$C$9:$N$254,3,FALSE)</f>
        <v>1</v>
      </c>
      <c r="E3091" s="2563"/>
      <c r="F3091" s="2563"/>
      <c r="G3091" s="2563"/>
      <c r="H3091" s="2564"/>
      <c r="I3091" s="397"/>
      <c r="J3091" s="396"/>
      <c r="K3091" s="396"/>
      <c r="L3091" s="396"/>
      <c r="M3091" s="396"/>
      <c r="N3091" s="396"/>
      <c r="O3091" s="396"/>
      <c r="P3091" s="396"/>
      <c r="Q3091" s="396"/>
      <c r="R3091" s="396"/>
      <c r="S3091" s="396"/>
      <c r="T3091" s="396"/>
      <c r="U3091" s="388"/>
      <c r="V3091" s="396"/>
      <c r="W3091" s="388"/>
      <c r="X3091" s="396"/>
      <c r="Y3091" s="389"/>
      <c r="Z3091" s="396"/>
      <c r="AA3091" s="388"/>
      <c r="AB3091" s="390"/>
    </row>
    <row r="3092" spans="1:28">
      <c r="A3092" s="384" t="str">
        <f t="shared" ref="A3092:B3092" si="9919">A3085</f>
        <v>Lantai 2</v>
      </c>
      <c r="B3092" s="385">
        <f t="shared" si="9919"/>
        <v>16</v>
      </c>
      <c r="C3092" s="393" t="s">
        <v>202</v>
      </c>
      <c r="D3092" s="398">
        <f>VLOOKUP(D3085,'Detail Balok'!$C$10:$AU$140,4,FALSE)</f>
        <v>5</v>
      </c>
      <c r="E3092" s="388" t="s">
        <v>16</v>
      </c>
      <c r="F3092" s="388">
        <f>VLOOKUP(D3085,'Detail Balok'!$C$10:$AU$140,6,FALSE)</f>
        <v>16</v>
      </c>
      <c r="G3092" s="388"/>
      <c r="H3092" s="395"/>
      <c r="I3092" s="388" t="s">
        <v>203</v>
      </c>
      <c r="J3092" s="399">
        <f t="shared" ref="J3092" si="9920">+D3087/4/1000</f>
        <v>1.51875</v>
      </c>
      <c r="K3092" s="400" t="s">
        <v>204</v>
      </c>
      <c r="L3092" s="399">
        <f t="shared" ref="L3092" si="9921">MAX(VLOOKUP(F3092,N$6:P$15,3,FALSE)/1000,2/3*D3089/1000)+F$16*F3092/1000</f>
        <v>0.192</v>
      </c>
      <c r="M3092" s="399" t="s">
        <v>176</v>
      </c>
      <c r="N3092" s="399">
        <f t="shared" ref="N3092:N3094" si="9922">J3092+L3092</f>
        <v>1.71075</v>
      </c>
      <c r="O3092" s="399" t="s">
        <v>204</v>
      </c>
      <c r="P3092" s="389">
        <f t="shared" ref="P3092" si="9923">D3092-D3093</f>
        <v>0</v>
      </c>
      <c r="Q3092" s="399" t="s">
        <v>125</v>
      </c>
      <c r="R3092" s="399">
        <f t="shared" ref="R3092" si="9924">IF(P3092&gt;0,$F$18*F3092/1000,0)</f>
        <v>0</v>
      </c>
      <c r="S3092" s="399" t="s">
        <v>205</v>
      </c>
      <c r="T3092" s="399" t="s">
        <v>125</v>
      </c>
      <c r="U3092" s="401">
        <f t="shared" ref="U3092:U3094" si="9925">0.006165*F3092^2</f>
        <v>1.5782400000000001</v>
      </c>
      <c r="V3092" s="399"/>
      <c r="W3092" s="399"/>
      <c r="X3092" s="399" t="s">
        <v>125</v>
      </c>
      <c r="Y3092" s="389">
        <f t="shared" ref="Y3092" si="9926">D3091</f>
        <v>1</v>
      </c>
      <c r="Z3092" s="400" t="s">
        <v>176</v>
      </c>
      <c r="AA3092" s="402">
        <f t="shared" ref="AA3092" si="9927">IF(AA3095=0,(D3092*N3092+P3092*R3092)*U3092*Y3092,0)</f>
        <v>0</v>
      </c>
      <c r="AB3092" s="403"/>
    </row>
    <row r="3093" spans="1:28">
      <c r="A3093" s="384" t="str">
        <f t="shared" ref="A3093:B3093" si="9928">A3085</f>
        <v>Lantai 2</v>
      </c>
      <c r="B3093" s="385">
        <f t="shared" si="9928"/>
        <v>16</v>
      </c>
      <c r="C3093" s="393" t="s">
        <v>206</v>
      </c>
      <c r="D3093" s="398">
        <f>VLOOKUP(D3085,'Detail Balok'!$C$10:$AU$140,7,FALSE)</f>
        <v>5</v>
      </c>
      <c r="E3093" s="388" t="s">
        <v>16</v>
      </c>
      <c r="F3093" s="388">
        <f>VLOOKUP(D3085,'Detail Balok'!$C$10:$AU$140,9,FALSE)</f>
        <v>16</v>
      </c>
      <c r="G3093" s="388"/>
      <c r="H3093" s="395"/>
      <c r="I3093" s="388" t="s">
        <v>203</v>
      </c>
      <c r="J3093" s="399">
        <f t="shared" ref="J3093" si="9929">+D3087/2/1000</f>
        <v>3.0375000000000001</v>
      </c>
      <c r="K3093" s="400" t="s">
        <v>204</v>
      </c>
      <c r="L3093" s="399"/>
      <c r="M3093" s="399" t="s">
        <v>176</v>
      </c>
      <c r="N3093" s="399">
        <f t="shared" si="9922"/>
        <v>3.0375000000000001</v>
      </c>
      <c r="O3093" s="399" t="s">
        <v>204</v>
      </c>
      <c r="P3093" s="389">
        <f t="shared" ref="P3093" si="9930">MAX(D3093-D3092,D3093-D3094)</f>
        <v>0</v>
      </c>
      <c r="Q3093" s="399" t="s">
        <v>125</v>
      </c>
      <c r="R3093" s="399">
        <f t="shared" ref="R3093" si="9931">IF(P3093&gt;0,2*(1-2*$F$19-1/2)*D3088/1000,0)</f>
        <v>0</v>
      </c>
      <c r="S3093" s="399" t="s">
        <v>205</v>
      </c>
      <c r="T3093" s="399" t="s">
        <v>125</v>
      </c>
      <c r="U3093" s="401">
        <f t="shared" si="9925"/>
        <v>1.5782400000000001</v>
      </c>
      <c r="V3093" s="399"/>
      <c r="W3093" s="399"/>
      <c r="X3093" s="399" t="s">
        <v>125</v>
      </c>
      <c r="Y3093" s="389">
        <f t="shared" ref="Y3093" si="9932">D3091</f>
        <v>1</v>
      </c>
      <c r="Z3093" s="400" t="s">
        <v>176</v>
      </c>
      <c r="AA3093" s="402">
        <f t="shared" ref="AA3093" si="9933">IF(AA3095=0,(D3093*N3093+P3093*R3093)*U3093*Y3093,0)</f>
        <v>0</v>
      </c>
      <c r="AB3093" s="403"/>
    </row>
    <row r="3094" spans="1:28">
      <c r="A3094" s="384" t="str">
        <f t="shared" ref="A3094:B3094" si="9934">A3085</f>
        <v>Lantai 2</v>
      </c>
      <c r="B3094" s="385">
        <f t="shared" si="9934"/>
        <v>16</v>
      </c>
      <c r="C3094" s="393" t="s">
        <v>202</v>
      </c>
      <c r="D3094" s="398">
        <f>VLOOKUP(D3085,'Detail Balok'!$C$10:$AU$140,10,FALSE)</f>
        <v>5</v>
      </c>
      <c r="E3094" s="388" t="s">
        <v>16</v>
      </c>
      <c r="F3094" s="388">
        <f>VLOOKUP(D3085,'Detail Balok'!$C$10:$AU$140,12,FALSE)</f>
        <v>16</v>
      </c>
      <c r="G3094" s="388"/>
      <c r="H3094" s="395"/>
      <c r="I3094" s="388" t="s">
        <v>203</v>
      </c>
      <c r="J3094" s="399">
        <f t="shared" ref="J3094" si="9935">+D3087/4/1000</f>
        <v>1.51875</v>
      </c>
      <c r="K3094" s="400" t="s">
        <v>204</v>
      </c>
      <c r="L3094" s="399">
        <f t="shared" ref="L3094" si="9936">MAX(VLOOKUP(F3094,N$6:P$15,3,FALSE)/1000,2/3*D3089/1000)+F$16*F3094/1000</f>
        <v>0.192</v>
      </c>
      <c r="M3094" s="399" t="s">
        <v>176</v>
      </c>
      <c r="N3094" s="399">
        <f t="shared" si="9922"/>
        <v>1.71075</v>
      </c>
      <c r="O3094" s="399" t="s">
        <v>204</v>
      </c>
      <c r="P3094" s="389">
        <f t="shared" ref="P3094" si="9937">D3094-D3093</f>
        <v>0</v>
      </c>
      <c r="Q3094" s="399" t="s">
        <v>125</v>
      </c>
      <c r="R3094" s="399">
        <f t="shared" ref="R3094" si="9938">IF(P3094&gt;0,$F$18*F3094/1000,0)</f>
        <v>0</v>
      </c>
      <c r="S3094" s="399" t="s">
        <v>205</v>
      </c>
      <c r="T3094" s="399" t="s">
        <v>125</v>
      </c>
      <c r="U3094" s="401">
        <f t="shared" si="9925"/>
        <v>1.5782400000000001</v>
      </c>
      <c r="V3094" s="399"/>
      <c r="W3094" s="399"/>
      <c r="X3094" s="399" t="s">
        <v>125</v>
      </c>
      <c r="Y3094" s="389">
        <f t="shared" ref="Y3094" si="9939">D3091</f>
        <v>1</v>
      </c>
      <c r="Z3094" s="400" t="s">
        <v>176</v>
      </c>
      <c r="AA3094" s="402">
        <f t="shared" ref="AA3094" si="9940">IF(AA3095=0,(D3094*N3094+P3094*R3094)*U3094*Y3094,0)</f>
        <v>0</v>
      </c>
      <c r="AB3094" s="403"/>
    </row>
    <row r="3095" spans="1:28">
      <c r="A3095" s="384" t="str">
        <f t="shared" ref="A3095:B3095" si="9941">A3085</f>
        <v>Lantai 2</v>
      </c>
      <c r="B3095" s="385">
        <f t="shared" si="9941"/>
        <v>16</v>
      </c>
      <c r="C3095" s="393"/>
      <c r="D3095" s="398">
        <f t="shared" si="9837"/>
        <v>5</v>
      </c>
      <c r="E3095" s="388" t="s">
        <v>16</v>
      </c>
      <c r="F3095" s="388">
        <f t="shared" si="9838"/>
        <v>16</v>
      </c>
      <c r="G3095" s="388"/>
      <c r="H3095" s="395"/>
      <c r="I3095" s="388"/>
      <c r="J3095" s="396"/>
      <c r="K3095" s="396"/>
      <c r="L3095" s="404" t="s">
        <v>207</v>
      </c>
      <c r="M3095" s="399" t="s">
        <v>176</v>
      </c>
      <c r="N3095" s="399">
        <f t="shared" ref="N3095" si="9942">IF(AND(D3092=D3093,D3092=D3094,D3093=D3094,F3092=F3093,F3092=F3094,F3093=F3094),SUM(N3092:N3094),0)</f>
        <v>6.4590000000000005</v>
      </c>
      <c r="O3095" s="399" t="s">
        <v>204</v>
      </c>
      <c r="P3095" s="389">
        <f t="shared" ref="P3095" si="9943">IF(N3095&gt;12,ROUNDDOWN(N3095/12,0),0)</f>
        <v>0</v>
      </c>
      <c r="Q3095" s="399" t="s">
        <v>125</v>
      </c>
      <c r="R3095" s="399">
        <f t="shared" ref="R3095" si="9944">IF(P3095&gt;0,MAX(VLOOKUP(F3095,$D$6:$G$15,3,FALSE),600),0)/1000</f>
        <v>0</v>
      </c>
      <c r="S3095" s="396"/>
      <c r="T3095" s="396" t="s">
        <v>125</v>
      </c>
      <c r="U3095" s="401">
        <f t="shared" si="9842"/>
        <v>1.5782400000000001</v>
      </c>
      <c r="V3095" s="396" t="s">
        <v>125</v>
      </c>
      <c r="W3095" s="399">
        <f t="shared" ref="W3095" si="9945">D3095</f>
        <v>5</v>
      </c>
      <c r="X3095" s="399" t="s">
        <v>125</v>
      </c>
      <c r="Y3095" s="389">
        <f t="shared" si="9844"/>
        <v>1</v>
      </c>
      <c r="Z3095" s="400" t="s">
        <v>176</v>
      </c>
      <c r="AA3095" s="402">
        <f t="shared" ref="AA3095" si="9946">(N3095+P3095*R3095/1000)*U3095*W3095*Y3095</f>
        <v>50.969260800000001</v>
      </c>
      <c r="AB3095" s="390"/>
    </row>
    <row r="3096" spans="1:28">
      <c r="A3096" s="384"/>
      <c r="B3096" s="385"/>
      <c r="C3096" s="393"/>
      <c r="D3096" s="398"/>
      <c r="E3096" s="388"/>
      <c r="F3096" s="388"/>
      <c r="G3096" s="388"/>
      <c r="H3096" s="395"/>
      <c r="I3096" s="388"/>
      <c r="J3096" s="396"/>
      <c r="K3096" s="396"/>
      <c r="L3096" s="404"/>
      <c r="M3096" s="399"/>
      <c r="N3096" s="399"/>
      <c r="O3096" s="396"/>
      <c r="P3096" s="389"/>
      <c r="Q3096" s="396"/>
      <c r="R3096" s="396"/>
      <c r="S3096" s="396"/>
      <c r="T3096" s="396"/>
      <c r="U3096" s="401"/>
      <c r="V3096" s="396"/>
      <c r="W3096" s="399"/>
      <c r="X3096" s="396"/>
      <c r="Y3096" s="389"/>
      <c r="Z3096" s="396"/>
      <c r="AA3096" s="388"/>
      <c r="AB3096" s="390"/>
    </row>
    <row r="3097" spans="1:28">
      <c r="A3097" s="384" t="str">
        <f t="shared" ref="A3097:B3097" si="9947">A3085</f>
        <v>Lantai 2</v>
      </c>
      <c r="B3097" s="385">
        <f t="shared" si="9947"/>
        <v>16</v>
      </c>
      <c r="C3097" s="393" t="s">
        <v>208</v>
      </c>
      <c r="D3097" s="398">
        <f>VLOOKUP(D3085,'Detail Balok'!$C$10:$AU$140,13,FALSE)</f>
        <v>2</v>
      </c>
      <c r="E3097" s="388" t="s">
        <v>16</v>
      </c>
      <c r="F3097" s="388">
        <f>VLOOKUP(D3085,'Detail Balok'!$C$10:$AU$140,15,FALSE)</f>
        <v>10</v>
      </c>
      <c r="G3097" s="388"/>
      <c r="H3097" s="395"/>
      <c r="I3097" s="388"/>
      <c r="J3097" s="399">
        <f t="shared" ref="J3097" si="9948">+D3087/1000</f>
        <v>6.0750000000000002</v>
      </c>
      <c r="K3097" s="400" t="s">
        <v>204</v>
      </c>
      <c r="L3097" s="399">
        <f t="shared" ref="L3097" si="9949">2*$F$16*F3097/1000</f>
        <v>0.24</v>
      </c>
      <c r="M3097" s="399" t="s">
        <v>176</v>
      </c>
      <c r="N3097" s="399">
        <f t="shared" ref="N3097" si="9950">J3097+L3097</f>
        <v>6.3150000000000004</v>
      </c>
      <c r="O3097" s="399" t="s">
        <v>204</v>
      </c>
      <c r="P3097" s="389">
        <f t="shared" ref="P3097" si="9951">IF(N3097&gt;12,ROUNDDOWN(N3097/12,0),0)</f>
        <v>0</v>
      </c>
      <c r="Q3097" s="399" t="s">
        <v>125</v>
      </c>
      <c r="R3097" s="399">
        <f t="shared" ref="R3097" si="9952">IF(P3097&gt;0,MAX(VLOOKUP(F3097,$D$6:$G$15,3,FALSE),600),0)/1000</f>
        <v>0</v>
      </c>
      <c r="S3097" s="399"/>
      <c r="T3097" s="399" t="s">
        <v>125</v>
      </c>
      <c r="U3097" s="401">
        <f t="shared" ref="U3097" si="9953">0.006165*F3097^2</f>
        <v>0.61650000000000005</v>
      </c>
      <c r="V3097" s="399" t="s">
        <v>125</v>
      </c>
      <c r="W3097" s="399">
        <f t="shared" ref="W3097" si="9954">+D3097</f>
        <v>2</v>
      </c>
      <c r="X3097" s="399" t="s">
        <v>125</v>
      </c>
      <c r="Y3097" s="389">
        <f t="shared" ref="Y3097" si="9955">D3091</f>
        <v>1</v>
      </c>
      <c r="Z3097" s="400" t="s">
        <v>176</v>
      </c>
      <c r="AA3097" s="402">
        <f t="shared" ref="AA3097" si="9956">(N3097+P3097*R3097/1000)*U3097*W3097*Y3097</f>
        <v>7.7863950000000015</v>
      </c>
      <c r="AB3097" s="403"/>
    </row>
    <row r="3098" spans="1:28">
      <c r="A3098" s="384"/>
      <c r="B3098" s="385"/>
      <c r="C3098" s="393"/>
      <c r="D3098" s="398"/>
      <c r="E3098" s="388"/>
      <c r="F3098" s="388"/>
      <c r="G3098" s="388"/>
      <c r="H3098" s="395"/>
      <c r="I3098" s="388"/>
      <c r="J3098" s="399"/>
      <c r="K3098" s="400"/>
      <c r="L3098" s="399"/>
      <c r="M3098" s="399"/>
      <c r="N3098" s="399"/>
      <c r="O3098" s="399"/>
      <c r="P3098" s="389"/>
      <c r="Q3098" s="399"/>
      <c r="R3098" s="399"/>
      <c r="S3098" s="399"/>
      <c r="T3098" s="399"/>
      <c r="U3098" s="401"/>
      <c r="V3098" s="399"/>
      <c r="W3098" s="399"/>
      <c r="X3098" s="399"/>
      <c r="Y3098" s="389"/>
      <c r="Z3098" s="400"/>
      <c r="AA3098" s="402"/>
      <c r="AB3098" s="403"/>
    </row>
    <row r="3099" spans="1:28">
      <c r="A3099" s="384"/>
      <c r="B3099" s="385"/>
      <c r="C3099" s="393"/>
      <c r="D3099" s="398"/>
      <c r="E3099" s="388"/>
      <c r="F3099" s="388"/>
      <c r="G3099" s="388"/>
      <c r="H3099" s="395"/>
      <c r="I3099" s="388"/>
      <c r="J3099" s="396"/>
      <c r="K3099" s="396"/>
      <c r="L3099" s="396"/>
      <c r="M3099" s="396"/>
      <c r="N3099" s="396"/>
      <c r="O3099" s="396"/>
      <c r="P3099" s="389"/>
      <c r="Q3099" s="396"/>
      <c r="R3099" s="396"/>
      <c r="S3099" s="396"/>
      <c r="T3099" s="396"/>
      <c r="U3099" s="401"/>
      <c r="V3099" s="396"/>
      <c r="W3099" s="399"/>
      <c r="X3099" s="396"/>
      <c r="Y3099" s="389"/>
      <c r="Z3099" s="396"/>
      <c r="AA3099" s="388"/>
      <c r="AB3099" s="390"/>
    </row>
    <row r="3100" spans="1:28">
      <c r="A3100" s="384" t="str">
        <f t="shared" ref="A3100:B3100" si="9957">A3085</f>
        <v>Lantai 2</v>
      </c>
      <c r="B3100" s="385">
        <f t="shared" si="9957"/>
        <v>16</v>
      </c>
      <c r="C3100" s="393" t="s">
        <v>209</v>
      </c>
      <c r="D3100" s="398">
        <f>VLOOKUP(D3085,'Detail Balok'!$C$10:$AU$140,22,FALSE)</f>
        <v>5</v>
      </c>
      <c r="E3100" s="388" t="s">
        <v>16</v>
      </c>
      <c r="F3100" s="388">
        <f>VLOOKUP(D3085,'Detail Balok'!$C$10:$AU$140,24,FALSE)</f>
        <v>16</v>
      </c>
      <c r="G3100" s="388"/>
      <c r="H3100" s="395"/>
      <c r="I3100" s="388" t="s">
        <v>203</v>
      </c>
      <c r="J3100" s="399">
        <f t="shared" si="9857"/>
        <v>1.51875</v>
      </c>
      <c r="K3100" s="400" t="s">
        <v>204</v>
      </c>
      <c r="L3100" s="399">
        <f t="shared" ref="L3100" si="9958">MAX(VLOOKUP(F3100,N$6:P$15,3,FALSE)/1000,2/3*D3090/1000)+F$16*F3100/1000</f>
        <v>0.192</v>
      </c>
      <c r="M3100" s="399" t="s">
        <v>176</v>
      </c>
      <c r="N3100" s="399">
        <f t="shared" ref="N3100:N3102" si="9959">J3100+L3100</f>
        <v>1.71075</v>
      </c>
      <c r="O3100" s="399" t="s">
        <v>204</v>
      </c>
      <c r="P3100" s="389">
        <f t="shared" ref="P3100" si="9960">D3100-D3101</f>
        <v>0</v>
      </c>
      <c r="Q3100" s="399" t="s">
        <v>125</v>
      </c>
      <c r="R3100" s="399">
        <f t="shared" ref="R3100" si="9961">IF(P3100&gt;0,$F$18*F3100/1000,0)</f>
        <v>0</v>
      </c>
      <c r="S3100" s="399" t="s">
        <v>205</v>
      </c>
      <c r="T3100" s="399" t="s">
        <v>125</v>
      </c>
      <c r="U3100" s="401">
        <f t="shared" ref="U3100:U3102" si="9962">0.006165*F3100^2</f>
        <v>1.5782400000000001</v>
      </c>
      <c r="V3100" s="399"/>
      <c r="W3100" s="399"/>
      <c r="X3100" s="399" t="s">
        <v>125</v>
      </c>
      <c r="Y3100" s="389">
        <f t="shared" ref="Y3100" si="9963">D3091</f>
        <v>1</v>
      </c>
      <c r="Z3100" s="400" t="s">
        <v>176</v>
      </c>
      <c r="AA3100" s="402">
        <f t="shared" ref="AA3100" si="9964">IF(AA3103=0,(D3100*N3100+P3100*R3100)*U3100*Y3100,0)</f>
        <v>0</v>
      </c>
      <c r="AB3100" s="403"/>
    </row>
    <row r="3101" spans="1:28">
      <c r="A3101" s="384" t="str">
        <f t="shared" ref="A3101:B3101" si="9965">A3085</f>
        <v>Lantai 2</v>
      </c>
      <c r="B3101" s="385">
        <f t="shared" si="9965"/>
        <v>16</v>
      </c>
      <c r="C3101" s="393" t="s">
        <v>210</v>
      </c>
      <c r="D3101" s="398">
        <f>VLOOKUP(D3085,'Detail Balok'!$C$10:$AU$140,25,FALSE)</f>
        <v>5</v>
      </c>
      <c r="E3101" s="388" t="s">
        <v>16</v>
      </c>
      <c r="F3101" s="388">
        <f>VLOOKUP(D3085,'Detail Balok'!$C$10:$AU$140,27,FALSE)</f>
        <v>16</v>
      </c>
      <c r="G3101" s="388"/>
      <c r="H3101" s="395"/>
      <c r="I3101" s="388" t="s">
        <v>203</v>
      </c>
      <c r="J3101" s="399">
        <f t="shared" si="9857"/>
        <v>3.0375000000000001</v>
      </c>
      <c r="K3101" s="400" t="s">
        <v>204</v>
      </c>
      <c r="L3101" s="399"/>
      <c r="M3101" s="399" t="s">
        <v>176</v>
      </c>
      <c r="N3101" s="399">
        <f t="shared" si="9959"/>
        <v>3.0375000000000001</v>
      </c>
      <c r="O3101" s="399" t="s">
        <v>204</v>
      </c>
      <c r="P3101" s="389">
        <f t="shared" ref="P3101" si="9966">MAX(D3101-D3100,D3101-D3102)</f>
        <v>0</v>
      </c>
      <c r="Q3101" s="399" t="s">
        <v>125</v>
      </c>
      <c r="R3101" s="399">
        <f t="shared" ref="R3101" si="9967">IF(P3101&gt;0,2*(1-2*$F$19-1/2)*D3088/1000,0)</f>
        <v>0</v>
      </c>
      <c r="S3101" s="399" t="s">
        <v>205</v>
      </c>
      <c r="T3101" s="399" t="s">
        <v>125</v>
      </c>
      <c r="U3101" s="401">
        <f t="shared" si="9962"/>
        <v>1.5782400000000001</v>
      </c>
      <c r="V3101" s="399"/>
      <c r="W3101" s="399"/>
      <c r="X3101" s="399" t="s">
        <v>125</v>
      </c>
      <c r="Y3101" s="389">
        <f t="shared" ref="Y3101" si="9968">D3091</f>
        <v>1</v>
      </c>
      <c r="Z3101" s="400" t="s">
        <v>176</v>
      </c>
      <c r="AA3101" s="402">
        <f t="shared" ref="AA3101" si="9969">IF(AA3103=0,(D3101*N3101+P3101*R3101)*U3101*Y3101,0)</f>
        <v>0</v>
      </c>
      <c r="AB3101" s="403"/>
    </row>
    <row r="3102" spans="1:28">
      <c r="A3102" s="384" t="str">
        <f t="shared" ref="A3102:B3102" si="9970">A3085</f>
        <v>Lantai 2</v>
      </c>
      <c r="B3102" s="385">
        <f t="shared" si="9970"/>
        <v>16</v>
      </c>
      <c r="C3102" s="393" t="s">
        <v>209</v>
      </c>
      <c r="D3102" s="398">
        <f>VLOOKUP(D3085,'Detail Balok'!$C$10:$AU$140,28,FALSE)</f>
        <v>5</v>
      </c>
      <c r="E3102" s="388" t="s">
        <v>16</v>
      </c>
      <c r="F3102" s="388">
        <f>VLOOKUP(D3085,'Detail Balok'!$C$10:$AU$140,30,FALSE)</f>
        <v>16</v>
      </c>
      <c r="G3102" s="388"/>
      <c r="H3102" s="395"/>
      <c r="I3102" s="388" t="s">
        <v>203</v>
      </c>
      <c r="J3102" s="399">
        <f t="shared" si="9857"/>
        <v>1.51875</v>
      </c>
      <c r="K3102" s="400" t="s">
        <v>204</v>
      </c>
      <c r="L3102" s="399">
        <f t="shared" ref="L3102" si="9971">MAX(VLOOKUP(F3102,N$6:P$15,3,FALSE)/1000,2/3*D3090/1000)+F$16*F3102/1000</f>
        <v>0.192</v>
      </c>
      <c r="M3102" s="399" t="s">
        <v>176</v>
      </c>
      <c r="N3102" s="399">
        <f t="shared" si="9959"/>
        <v>1.71075</v>
      </c>
      <c r="O3102" s="399" t="s">
        <v>204</v>
      </c>
      <c r="P3102" s="389">
        <f t="shared" ref="P3102" si="9972">D3102-D3101</f>
        <v>0</v>
      </c>
      <c r="Q3102" s="399" t="s">
        <v>125</v>
      </c>
      <c r="R3102" s="399">
        <f t="shared" ref="R3102" si="9973">IF(P3102&gt;0,$F$18*F3102/1000,0)</f>
        <v>0</v>
      </c>
      <c r="S3102" s="399" t="s">
        <v>205</v>
      </c>
      <c r="T3102" s="399" t="s">
        <v>125</v>
      </c>
      <c r="U3102" s="401">
        <f t="shared" si="9962"/>
        <v>1.5782400000000001</v>
      </c>
      <c r="V3102" s="399"/>
      <c r="W3102" s="399"/>
      <c r="X3102" s="399" t="s">
        <v>125</v>
      </c>
      <c r="Y3102" s="389">
        <f t="shared" ref="Y3102" si="9974">D3091</f>
        <v>1</v>
      </c>
      <c r="Z3102" s="400" t="s">
        <v>176</v>
      </c>
      <c r="AA3102" s="402">
        <f t="shared" ref="AA3102" si="9975">IF(AA3103=0,(D3102*N3102+P3102*R3102)*U3102*Y3102,0)</f>
        <v>0</v>
      </c>
      <c r="AB3102" s="403"/>
    </row>
    <row r="3103" spans="1:28">
      <c r="A3103" s="384" t="str">
        <f t="shared" ref="A3103:B3103" si="9976">A3085</f>
        <v>Lantai 2</v>
      </c>
      <c r="B3103" s="385">
        <f t="shared" si="9976"/>
        <v>16</v>
      </c>
      <c r="C3103" s="393"/>
      <c r="D3103" s="398">
        <f t="shared" si="9877"/>
        <v>5</v>
      </c>
      <c r="E3103" s="388" t="s">
        <v>16</v>
      </c>
      <c r="F3103" s="388">
        <f t="shared" si="9878"/>
        <v>16</v>
      </c>
      <c r="G3103" s="388"/>
      <c r="H3103" s="395"/>
      <c r="I3103" s="388"/>
      <c r="J3103" s="396"/>
      <c r="K3103" s="396"/>
      <c r="L3103" s="404" t="s">
        <v>207</v>
      </c>
      <c r="M3103" s="399" t="s">
        <v>176</v>
      </c>
      <c r="N3103" s="399">
        <f t="shared" ref="N3103" si="9977">IF(AND(D3100=D3101,D3100=D3102,D3101=D3102,F3100=F3101,F3100=F3102,F3101=F3102),SUM(N3100:N3102),0)</f>
        <v>6.4590000000000005</v>
      </c>
      <c r="O3103" s="399" t="s">
        <v>204</v>
      </c>
      <c r="P3103" s="389">
        <f t="shared" ref="P3103" si="9978">IF(N3103&gt;12,ROUNDDOWN(N3103/12,0),0)</f>
        <v>0</v>
      </c>
      <c r="Q3103" s="399" t="s">
        <v>125</v>
      </c>
      <c r="R3103" s="399">
        <f t="shared" ref="R3103" si="9979">IF(P3103&gt;0,MAX(VLOOKUP(F3103,$D$6:$G$15,3,FALSE),600),0)/1000</f>
        <v>0</v>
      </c>
      <c r="S3103" s="396"/>
      <c r="T3103" s="396" t="s">
        <v>125</v>
      </c>
      <c r="U3103" s="401">
        <f t="shared" si="9882"/>
        <v>1.5782400000000001</v>
      </c>
      <c r="V3103" s="396" t="s">
        <v>125</v>
      </c>
      <c r="W3103" s="399">
        <f t="shared" ref="W3103" si="9980">D3103</f>
        <v>5</v>
      </c>
      <c r="X3103" s="399" t="s">
        <v>125</v>
      </c>
      <c r="Y3103" s="389">
        <f t="shared" si="9884"/>
        <v>1</v>
      </c>
      <c r="Z3103" s="400" t="s">
        <v>176</v>
      </c>
      <c r="AA3103" s="402">
        <f t="shared" ref="AA3103" si="9981">(N3103+P3103*R3103/1000)*U3103*W3103*Y3103</f>
        <v>50.969260800000001</v>
      </c>
      <c r="AB3103" s="403"/>
    </row>
    <row r="3104" spans="1:28">
      <c r="A3104" s="384"/>
      <c r="B3104" s="385"/>
      <c r="C3104" s="393"/>
      <c r="D3104" s="394"/>
      <c r="E3104" s="388"/>
      <c r="F3104" s="388"/>
      <c r="G3104" s="388"/>
      <c r="H3104" s="395"/>
      <c r="I3104" s="388"/>
      <c r="J3104" s="399"/>
      <c r="K3104" s="396"/>
      <c r="L3104" s="396"/>
      <c r="M3104" s="396"/>
      <c r="N3104" s="396"/>
      <c r="O3104" s="396"/>
      <c r="P3104" s="389"/>
      <c r="Q3104" s="396"/>
      <c r="R3104" s="396"/>
      <c r="S3104" s="396"/>
      <c r="T3104" s="396"/>
      <c r="U3104" s="401"/>
      <c r="V3104" s="396"/>
      <c r="W3104" s="388"/>
      <c r="X3104" s="396"/>
      <c r="Y3104" s="389"/>
      <c r="Z3104" s="396"/>
      <c r="AA3104" s="388"/>
      <c r="AB3104" s="390"/>
    </row>
    <row r="3105" spans="1:28">
      <c r="A3105" s="384" t="str">
        <f t="shared" ref="A3105:B3105" si="9982">A3085</f>
        <v>Lantai 2</v>
      </c>
      <c r="B3105" s="385">
        <f t="shared" si="9982"/>
        <v>16</v>
      </c>
      <c r="C3105" s="393" t="s">
        <v>211</v>
      </c>
      <c r="D3105" s="398">
        <f>VLOOKUP(D3085,'Detail Balok'!$C$10:$AU$140,31,FALSE)</f>
        <v>0</v>
      </c>
      <c r="E3105" s="388" t="s">
        <v>16</v>
      </c>
      <c r="F3105" s="388">
        <f>VLOOKUP(D3085,'Detail Balok'!$C$10:$AU$140,33,FALSE)</f>
        <v>10</v>
      </c>
      <c r="G3105" s="405" t="s">
        <v>157</v>
      </c>
      <c r="H3105" s="395">
        <f>VLOOKUP(D3085,'Detail Balok'!$C$10:$AU$140,35,FALSE)</f>
        <v>100</v>
      </c>
      <c r="I3105" s="388"/>
      <c r="J3105" s="400">
        <f t="shared" ref="J3105" si="9983">(IF(D3105=0,(2*(D3086+G3086))-(F$5*8),IF(D3105=3,(2*(D3086+G3086))-(F$5*8)+(G3086-2*F$5),IF(D3105=4,(2*(D3086+G3086))-(F$5*8)+2*(G3086-2*F$5)))))/1000</f>
        <v>1.48</v>
      </c>
      <c r="K3105" s="400" t="s">
        <v>204</v>
      </c>
      <c r="L3105" s="399">
        <f t="shared" ref="L3105:L3107" si="9984">IF(D3105=0,2*MAX(6*F3105,75),(D3105-1)*2*MAX(6*F3105,75))/1000</f>
        <v>0.15</v>
      </c>
      <c r="M3105" s="399" t="s">
        <v>176</v>
      </c>
      <c r="N3105" s="399">
        <f t="shared" ref="N3105:N3107" si="9985">J3105+L3105</f>
        <v>1.63</v>
      </c>
      <c r="O3105" s="399"/>
      <c r="P3105" s="389"/>
      <c r="Q3105" s="399"/>
      <c r="R3105" s="399"/>
      <c r="S3105" s="399"/>
      <c r="T3105" s="399" t="s">
        <v>125</v>
      </c>
      <c r="U3105" s="401">
        <f t="shared" ref="U3105:U3107" si="9986">0.006165*F3105^2</f>
        <v>0.61650000000000005</v>
      </c>
      <c r="V3105" s="399" t="s">
        <v>125</v>
      </c>
      <c r="W3105" s="399">
        <f t="shared" ref="W3105" si="9987">IF(D3088&gt;4*G3086,ROUND(MAX(D3088/4,2*G3086)/H3105,0)+1,ROUND(D3088/H3105,0)+1)</f>
        <v>16</v>
      </c>
      <c r="X3105" s="399" t="s">
        <v>125</v>
      </c>
      <c r="Y3105" s="389">
        <f t="shared" ref="Y3105" si="9988">D3091</f>
        <v>1</v>
      </c>
      <c r="Z3105" s="400" t="s">
        <v>176</v>
      </c>
      <c r="AA3105" s="402">
        <f t="shared" ref="AA3105:AA3107" si="9989">N3105*U3105*W3105*Y3105</f>
        <v>16.078320000000001</v>
      </c>
      <c r="AB3105" s="403"/>
    </row>
    <row r="3106" spans="1:28">
      <c r="A3106" s="384" t="str">
        <f t="shared" ref="A3106:B3106" si="9990">A3085</f>
        <v>Lantai 2</v>
      </c>
      <c r="B3106" s="385">
        <f t="shared" si="9990"/>
        <v>16</v>
      </c>
      <c r="C3106" s="393" t="s">
        <v>212</v>
      </c>
      <c r="D3106" s="398">
        <f>VLOOKUP(D3085,'Detail Balok'!$C$10:$AU$140,36,FALSE)</f>
        <v>0</v>
      </c>
      <c r="E3106" s="388" t="s">
        <v>16</v>
      </c>
      <c r="F3106" s="388">
        <f>VLOOKUP(D3085,'Detail Balok'!$C$10:$AU$140,38,FALSE)</f>
        <v>10</v>
      </c>
      <c r="G3106" s="405" t="s">
        <v>157</v>
      </c>
      <c r="H3106" s="395">
        <f>VLOOKUP(D3085,'Detail Balok'!$C$10:$AU$140,40,FALSE)</f>
        <v>150</v>
      </c>
      <c r="I3106" s="388"/>
      <c r="J3106" s="400">
        <f t="shared" ref="J3106" si="9991">(IF(D3106=0,(2*(D3086+G3086))-(F$5*8),IF(D3106=3,(2*(D3086+G3086))-(F$5*8)+(G3086-2*F$5),IF(D3106=4,(2*(D3086+G3086))-(F$5*8)+2*(G3086-2*F$5)))))/1000</f>
        <v>1.48</v>
      </c>
      <c r="K3106" s="400" t="s">
        <v>204</v>
      </c>
      <c r="L3106" s="399">
        <f t="shared" si="9984"/>
        <v>0.15</v>
      </c>
      <c r="M3106" s="399" t="s">
        <v>176</v>
      </c>
      <c r="N3106" s="399">
        <f t="shared" si="9985"/>
        <v>1.63</v>
      </c>
      <c r="O3106" s="399"/>
      <c r="P3106" s="389"/>
      <c r="Q3106" s="399"/>
      <c r="R3106" s="399"/>
      <c r="S3106" s="399"/>
      <c r="T3106" s="399" t="s">
        <v>125</v>
      </c>
      <c r="U3106" s="401">
        <f t="shared" si="9986"/>
        <v>0.61650000000000005</v>
      </c>
      <c r="V3106" s="399" t="s">
        <v>125</v>
      </c>
      <c r="W3106" s="399">
        <f t="shared" ref="W3106" si="9992">IF(D3088-MAX(D3088/4,2*G3086)*2&gt;0,ROUND((D3088-MAX(D3088/4,2*G3086)*2)/H3106,0),0)</f>
        <v>20</v>
      </c>
      <c r="X3106" s="399" t="s">
        <v>125</v>
      </c>
      <c r="Y3106" s="389">
        <f t="shared" ref="Y3106" si="9993">D3091</f>
        <v>1</v>
      </c>
      <c r="Z3106" s="400" t="s">
        <v>176</v>
      </c>
      <c r="AA3106" s="402">
        <f t="shared" si="9989"/>
        <v>20.097900000000003</v>
      </c>
      <c r="AB3106" s="403"/>
    </row>
    <row r="3107" spans="1:28">
      <c r="A3107" s="384" t="str">
        <f t="shared" ref="A3107:B3107" si="9994">A3085</f>
        <v>Lantai 2</v>
      </c>
      <c r="B3107" s="385">
        <f t="shared" si="9994"/>
        <v>16</v>
      </c>
      <c r="C3107" s="393" t="s">
        <v>211</v>
      </c>
      <c r="D3107" s="398">
        <f>VLOOKUP(D3085,'Detail Balok'!$C$10:$AU$140,41,FALSE)</f>
        <v>0</v>
      </c>
      <c r="E3107" s="388" t="s">
        <v>16</v>
      </c>
      <c r="F3107" s="388">
        <f>VLOOKUP(D3085,'Detail Balok'!$C$10:$AU$140,43,FALSE)</f>
        <v>10</v>
      </c>
      <c r="G3107" s="405" t="s">
        <v>157</v>
      </c>
      <c r="H3107" s="395">
        <f>VLOOKUP(D3085,'Detail Balok'!$C$10:$AU$140,45,FALSE)</f>
        <v>100</v>
      </c>
      <c r="I3107" s="388"/>
      <c r="J3107" s="400">
        <f t="shared" ref="J3107" si="9995">(IF(D3107=0,(2*(D3086+G3086))-(F$5*8),IF(D3107=3,(2*(D3086+G3086))-(F$5*8)+(G3086-2*F$5),IF(D3107=4,(2*(D3086+G3086))-(F$5*8)+2*(G3086-2*F$5)))))/1000</f>
        <v>1.48</v>
      </c>
      <c r="K3107" s="400" t="s">
        <v>204</v>
      </c>
      <c r="L3107" s="399">
        <f t="shared" si="9984"/>
        <v>0.15</v>
      </c>
      <c r="M3107" s="399" t="s">
        <v>176</v>
      </c>
      <c r="N3107" s="399">
        <f t="shared" si="9985"/>
        <v>1.63</v>
      </c>
      <c r="O3107" s="399"/>
      <c r="P3107" s="389"/>
      <c r="Q3107" s="399"/>
      <c r="R3107" s="399"/>
      <c r="S3107" s="399"/>
      <c r="T3107" s="399" t="s">
        <v>125</v>
      </c>
      <c r="U3107" s="401">
        <f t="shared" si="9986"/>
        <v>0.61650000000000005</v>
      </c>
      <c r="V3107" s="399" t="s">
        <v>125</v>
      </c>
      <c r="W3107" s="399">
        <f t="shared" ref="W3107" si="9996">IF(D3088&gt;4*G3086,ROUND(MAX(D3088/4,2*G3086)/H3107,0)+1,0)</f>
        <v>16</v>
      </c>
      <c r="X3107" s="399" t="s">
        <v>125</v>
      </c>
      <c r="Y3107" s="389">
        <f t="shared" ref="Y3107" si="9997">D3091</f>
        <v>1</v>
      </c>
      <c r="Z3107" s="400" t="s">
        <v>176</v>
      </c>
      <c r="AA3107" s="402">
        <f t="shared" si="9989"/>
        <v>16.078320000000001</v>
      </c>
      <c r="AB3107" s="403"/>
    </row>
    <row r="3108" spans="1:28">
      <c r="A3108" s="384"/>
      <c r="B3108" s="385"/>
      <c r="C3108" s="393"/>
      <c r="D3108" s="394"/>
      <c r="E3108" s="388"/>
      <c r="F3108" s="388"/>
      <c r="G3108" s="388"/>
      <c r="H3108" s="395"/>
      <c r="I3108" s="388"/>
      <c r="J3108" s="399"/>
      <c r="K3108" s="396"/>
      <c r="L3108" s="396"/>
      <c r="M3108" s="396"/>
      <c r="N3108" s="396"/>
      <c r="O3108" s="396"/>
      <c r="P3108" s="389"/>
      <c r="Q3108" s="396"/>
      <c r="R3108" s="396"/>
      <c r="S3108" s="396"/>
      <c r="T3108" s="396"/>
      <c r="U3108" s="401"/>
      <c r="V3108" s="396"/>
      <c r="W3108" s="388"/>
      <c r="X3108" s="396"/>
      <c r="Y3108" s="389"/>
      <c r="Z3108" s="396"/>
      <c r="AA3108" s="388"/>
      <c r="AB3108" s="390"/>
    </row>
    <row r="3109" spans="1:28">
      <c r="A3109" s="384" t="str">
        <f t="shared" ref="A3109:B3109" si="9998">A3085</f>
        <v>Lantai 2</v>
      </c>
      <c r="B3109" s="385">
        <f t="shared" si="9998"/>
        <v>16</v>
      </c>
      <c r="C3109" s="393" t="s">
        <v>213</v>
      </c>
      <c r="D3109" s="398">
        <f>VLOOKUP(D3085,'Detail Balok'!$C$10:$BJ$140,46,FALSE)</f>
        <v>0</v>
      </c>
      <c r="E3109" s="388" t="s">
        <v>16</v>
      </c>
      <c r="F3109" s="388">
        <f>VLOOKUP(D3085,'Detail Balok'!$C$10:$BJ$140,48,FALSE)</f>
        <v>0</v>
      </c>
      <c r="G3109" s="405" t="s">
        <v>157</v>
      </c>
      <c r="H3109" s="395">
        <f>VLOOKUP(D3085,'Detail Balok'!$C$10:$BJ$140,50,FALSE)</f>
        <v>100</v>
      </c>
      <c r="I3109" s="388"/>
      <c r="J3109" s="399">
        <f t="shared" ref="J3109" si="9999">(D3086-2*F$5)/1000</f>
        <v>0.22</v>
      </c>
      <c r="K3109" s="400" t="s">
        <v>204</v>
      </c>
      <c r="L3109" s="399">
        <f t="shared" ref="L3109:L3111" si="10000">IF(D3109=0,2*MAX(6*F3109,75),(D3109-1)*2*MAX(6*F3109,75))/1000</f>
        <v>0.15</v>
      </c>
      <c r="M3109" s="399" t="s">
        <v>176</v>
      </c>
      <c r="N3109" s="399">
        <f t="shared" ref="N3109:N3111" si="10001">J3109+L3109</f>
        <v>0.37</v>
      </c>
      <c r="O3109" s="399"/>
      <c r="P3109" s="399"/>
      <c r="Q3109" s="399"/>
      <c r="R3109" s="399"/>
      <c r="S3109" s="399"/>
      <c r="T3109" s="399" t="s">
        <v>125</v>
      </c>
      <c r="U3109" s="401">
        <f t="shared" ref="U3109:U3111" si="10002">0.006165*F3109^2</f>
        <v>0</v>
      </c>
      <c r="V3109" s="399" t="s">
        <v>125</v>
      </c>
      <c r="W3109" s="399">
        <f t="shared" si="9907"/>
        <v>16</v>
      </c>
      <c r="X3109" s="399" t="s">
        <v>125</v>
      </c>
      <c r="Y3109" s="389">
        <f t="shared" ref="Y3109" si="10003">D3095</f>
        <v>5</v>
      </c>
      <c r="Z3109" s="400" t="s">
        <v>176</v>
      </c>
      <c r="AA3109" s="402">
        <f t="shared" ref="AA3109:AA3111" si="10004">N3109*U3109*W3109*Y3109</f>
        <v>0</v>
      </c>
      <c r="AB3109" s="403"/>
    </row>
    <row r="3110" spans="1:28">
      <c r="A3110" s="384" t="str">
        <f t="shared" ref="A3110:B3110" si="10005">A3085</f>
        <v>Lantai 2</v>
      </c>
      <c r="B3110" s="385">
        <f t="shared" si="10005"/>
        <v>16</v>
      </c>
      <c r="C3110" s="393" t="s">
        <v>214</v>
      </c>
      <c r="D3110" s="398">
        <f>VLOOKUP(D3085,'Detail Balok'!$C$10:$BJ$140,51,FALSE)</f>
        <v>0</v>
      </c>
      <c r="E3110" s="388" t="s">
        <v>16</v>
      </c>
      <c r="F3110" s="388">
        <f>VLOOKUP(D3085,'Detail Balok'!$C$10:$BJ$140,53,FALSE)</f>
        <v>0</v>
      </c>
      <c r="G3110" s="405" t="s">
        <v>157</v>
      </c>
      <c r="H3110" s="395">
        <f>VLOOKUP(D3085,'Detail Balok'!$C$10:$BJ$140,55,FALSE)</f>
        <v>100</v>
      </c>
      <c r="I3110" s="388"/>
      <c r="J3110" s="399">
        <f t="shared" ref="J3110" si="10006">(D3086-2*F$5)/1000</f>
        <v>0.22</v>
      </c>
      <c r="K3110" s="400" t="s">
        <v>204</v>
      </c>
      <c r="L3110" s="399">
        <f t="shared" si="10000"/>
        <v>0.15</v>
      </c>
      <c r="M3110" s="399" t="s">
        <v>176</v>
      </c>
      <c r="N3110" s="399">
        <f t="shared" si="10001"/>
        <v>0.37</v>
      </c>
      <c r="O3110" s="399"/>
      <c r="P3110" s="399"/>
      <c r="Q3110" s="399"/>
      <c r="R3110" s="399"/>
      <c r="S3110" s="399"/>
      <c r="T3110" s="399" t="s">
        <v>125</v>
      </c>
      <c r="U3110" s="401">
        <f t="shared" si="10002"/>
        <v>0</v>
      </c>
      <c r="V3110" s="399" t="s">
        <v>125</v>
      </c>
      <c r="W3110" s="399">
        <f t="shared" si="9907"/>
        <v>20</v>
      </c>
      <c r="X3110" s="399" t="s">
        <v>125</v>
      </c>
      <c r="Y3110" s="389">
        <f t="shared" ref="Y3110" si="10007">D3095</f>
        <v>5</v>
      </c>
      <c r="Z3110" s="400" t="s">
        <v>176</v>
      </c>
      <c r="AA3110" s="402">
        <f t="shared" si="10004"/>
        <v>0</v>
      </c>
      <c r="AB3110" s="403"/>
    </row>
    <row r="3111" spans="1:28">
      <c r="A3111" s="384" t="str">
        <f t="shared" ref="A3111:B3111" si="10008">A3085</f>
        <v>Lantai 2</v>
      </c>
      <c r="B3111" s="385">
        <f t="shared" si="10008"/>
        <v>16</v>
      </c>
      <c r="C3111" s="393" t="s">
        <v>213</v>
      </c>
      <c r="D3111" s="398">
        <f>VLOOKUP(D3085,'Detail Balok'!$C$10:$BJ$140,56,FALSE)</f>
        <v>0</v>
      </c>
      <c r="E3111" s="388" t="s">
        <v>16</v>
      </c>
      <c r="F3111" s="388">
        <f>VLOOKUP(D3085,'Detail Balok'!$C$10:$BJ$140,58,FALSE)</f>
        <v>0</v>
      </c>
      <c r="G3111" s="405" t="s">
        <v>157</v>
      </c>
      <c r="H3111" s="395">
        <f>VLOOKUP(D3085,'Detail Balok'!$C$10:$BJ$140,60,FALSE)</f>
        <v>100</v>
      </c>
      <c r="I3111" s="388"/>
      <c r="J3111" s="399">
        <f t="shared" ref="J3111" si="10009">(D3086-2*F$5)/1000</f>
        <v>0.22</v>
      </c>
      <c r="K3111" s="400" t="s">
        <v>204</v>
      </c>
      <c r="L3111" s="399">
        <f t="shared" si="10000"/>
        <v>0.15</v>
      </c>
      <c r="M3111" s="399" t="s">
        <v>176</v>
      </c>
      <c r="N3111" s="399">
        <f t="shared" si="10001"/>
        <v>0.37</v>
      </c>
      <c r="O3111" s="399"/>
      <c r="P3111" s="399"/>
      <c r="Q3111" s="399"/>
      <c r="R3111" s="399"/>
      <c r="S3111" s="399"/>
      <c r="T3111" s="399" t="s">
        <v>125</v>
      </c>
      <c r="U3111" s="401">
        <f t="shared" si="10002"/>
        <v>0</v>
      </c>
      <c r="V3111" s="399" t="s">
        <v>125</v>
      </c>
      <c r="W3111" s="399">
        <f t="shared" si="9907"/>
        <v>16</v>
      </c>
      <c r="X3111" s="399" t="s">
        <v>125</v>
      </c>
      <c r="Y3111" s="389">
        <f t="shared" ref="Y3111" si="10010">D3095</f>
        <v>5</v>
      </c>
      <c r="Z3111" s="400" t="s">
        <v>176</v>
      </c>
      <c r="AA3111" s="402">
        <f t="shared" si="10004"/>
        <v>0</v>
      </c>
      <c r="AB3111" s="403"/>
    </row>
    <row r="3112" spans="1:28">
      <c r="A3112" s="391"/>
      <c r="B3112" s="392"/>
      <c r="C3112" s="392"/>
      <c r="D3112" s="394"/>
      <c r="E3112" s="388"/>
      <c r="F3112" s="388"/>
      <c r="G3112" s="388"/>
      <c r="H3112" s="395"/>
      <c r="I3112" s="388"/>
      <c r="J3112" s="402"/>
      <c r="K3112" s="388"/>
      <c r="L3112" s="388"/>
      <c r="M3112" s="388"/>
      <c r="N3112" s="388"/>
      <c r="O3112" s="388"/>
      <c r="P3112" s="388"/>
      <c r="Q3112" s="388"/>
      <c r="R3112" s="388"/>
      <c r="S3112" s="388"/>
      <c r="T3112" s="388"/>
      <c r="U3112" s="388"/>
      <c r="V3112" s="388"/>
      <c r="W3112" s="388"/>
      <c r="X3112" s="388"/>
      <c r="Y3112" s="389"/>
      <c r="Z3112" s="388"/>
      <c r="AA3112" s="402"/>
      <c r="AB3112" s="403"/>
    </row>
    <row r="3113" spans="1:28" ht="15.75" thickBot="1">
      <c r="A3113" s="406"/>
      <c r="B3113" s="407"/>
      <c r="C3113" s="407"/>
      <c r="D3113" s="408"/>
      <c r="E3113" s="409"/>
      <c r="F3113" s="409"/>
      <c r="G3113" s="409"/>
      <c r="H3113" s="410"/>
      <c r="I3113" s="409"/>
      <c r="J3113" s="409"/>
      <c r="K3113" s="409"/>
      <c r="L3113" s="409"/>
      <c r="M3113" s="409"/>
      <c r="N3113" s="409"/>
      <c r="O3113" s="409"/>
      <c r="P3113" s="409"/>
      <c r="Q3113" s="409"/>
      <c r="R3113" s="409"/>
      <c r="S3113" s="409"/>
      <c r="T3113" s="409"/>
      <c r="U3113" s="409"/>
      <c r="V3113" s="409"/>
      <c r="W3113" s="409"/>
      <c r="X3113" s="409"/>
      <c r="Y3113" s="411"/>
      <c r="Z3113" s="409"/>
      <c r="AA3113" s="412"/>
      <c r="AB3113" s="413"/>
    </row>
    <row r="3114" spans="1:28">
      <c r="A3114" s="377"/>
      <c r="B3114" s="378"/>
      <c r="C3114" s="378"/>
      <c r="D3114" s="379"/>
      <c r="E3114" s="380"/>
      <c r="F3114" s="380"/>
      <c r="G3114" s="380"/>
      <c r="H3114" s="381"/>
      <c r="I3114" s="380"/>
      <c r="J3114" s="380"/>
      <c r="K3114" s="380"/>
      <c r="L3114" s="380"/>
      <c r="M3114" s="380"/>
      <c r="N3114" s="380"/>
      <c r="O3114" s="380"/>
      <c r="P3114" s="380"/>
      <c r="Q3114" s="380"/>
      <c r="R3114" s="380"/>
      <c r="S3114" s="380"/>
      <c r="T3114" s="380"/>
      <c r="U3114" s="380"/>
      <c r="V3114" s="380"/>
      <c r="W3114" s="380"/>
      <c r="X3114" s="380"/>
      <c r="Y3114" s="382"/>
      <c r="Z3114" s="380"/>
      <c r="AA3114" s="380"/>
      <c r="AB3114" s="383"/>
    </row>
    <row r="3115" spans="1:28">
      <c r="A3115" s="384" t="str">
        <f t="shared" si="9916"/>
        <v>Lantai 2</v>
      </c>
      <c r="B3115" s="385">
        <f t="shared" si="9917"/>
        <v>17</v>
      </c>
      <c r="C3115" s="386" t="str">
        <f t="shared" ref="C3115" si="10011">CONCATENATE(A3115," no. ",B3115)</f>
        <v>Lantai 2 no. 17</v>
      </c>
      <c r="D3115" s="2562" t="str">
        <f>VLOOKUP(C3115,'Data Panjang Balok'!$C$9:$N$254,2,FALSE)</f>
        <v>B24-2</v>
      </c>
      <c r="E3115" s="2576"/>
      <c r="F3115" s="2576"/>
      <c r="G3115" s="2576"/>
      <c r="H3115" s="2577"/>
      <c r="I3115" s="387"/>
      <c r="J3115" s="388"/>
      <c r="K3115" s="388"/>
      <c r="L3115" s="388"/>
      <c r="M3115" s="388"/>
      <c r="N3115" s="388"/>
      <c r="O3115" s="388"/>
      <c r="P3115" s="388"/>
      <c r="Q3115" s="388"/>
      <c r="R3115" s="388"/>
      <c r="S3115" s="388"/>
      <c r="T3115" s="388"/>
      <c r="U3115" s="388"/>
      <c r="V3115" s="388"/>
      <c r="W3115" s="388"/>
      <c r="X3115" s="388"/>
      <c r="Y3115" s="389"/>
      <c r="Z3115" s="388"/>
      <c r="AA3115" s="388"/>
      <c r="AB3115" s="390"/>
    </row>
    <row r="3116" spans="1:28">
      <c r="A3116" s="391"/>
      <c r="B3116" s="392"/>
      <c r="C3116" s="393" t="s">
        <v>118</v>
      </c>
      <c r="D3116" s="2578">
        <f>VLOOKUP(D3115,'Detail Balok'!$C$10:$AU$140,2,FALSE)</f>
        <v>200</v>
      </c>
      <c r="E3116" s="2579"/>
      <c r="F3116" s="388" t="s">
        <v>125</v>
      </c>
      <c r="G3116" s="2579">
        <f>VLOOKUP(D3115,'Detail Balok'!$C$10:$AU$140,3,FALSE)</f>
        <v>400</v>
      </c>
      <c r="H3116" s="2580"/>
      <c r="I3116" s="388"/>
      <c r="J3116" s="396"/>
      <c r="K3116" s="396"/>
      <c r="L3116" s="396"/>
      <c r="M3116" s="396"/>
      <c r="N3116" s="396"/>
      <c r="O3116" s="396"/>
      <c r="P3116" s="396"/>
      <c r="Q3116" s="396"/>
      <c r="R3116" s="396"/>
      <c r="S3116" s="396"/>
      <c r="T3116" s="396"/>
      <c r="U3116" s="388"/>
      <c r="V3116" s="396"/>
      <c r="W3116" s="388"/>
      <c r="X3116" s="396"/>
      <c r="Y3116" s="389"/>
      <c r="Z3116" s="396"/>
      <c r="AA3116" s="388"/>
      <c r="AB3116" s="390"/>
    </row>
    <row r="3117" spans="1:28">
      <c r="A3117" s="391"/>
      <c r="B3117" s="392"/>
      <c r="C3117" s="393" t="s">
        <v>198</v>
      </c>
      <c r="D3117" s="2562">
        <f>VLOOKUP(C3115,'Data Panjang Balok'!$C$9:$N$254,4,FALSE)</f>
        <v>4065</v>
      </c>
      <c r="E3117" s="2563"/>
      <c r="F3117" s="2563"/>
      <c r="G3117" s="2563"/>
      <c r="H3117" s="2564"/>
      <c r="I3117" s="397"/>
      <c r="J3117" s="396"/>
      <c r="K3117" s="396"/>
      <c r="L3117" s="396"/>
      <c r="M3117" s="396"/>
      <c r="N3117" s="396"/>
      <c r="O3117" s="396"/>
      <c r="P3117" s="396"/>
      <c r="Q3117" s="396"/>
      <c r="R3117" s="396"/>
      <c r="S3117" s="396"/>
      <c r="T3117" s="396"/>
      <c r="U3117" s="388"/>
      <c r="V3117" s="396"/>
      <c r="W3117" s="388"/>
      <c r="X3117" s="396"/>
      <c r="Y3117" s="389"/>
      <c r="Z3117" s="396"/>
      <c r="AA3117" s="388"/>
      <c r="AB3117" s="390"/>
    </row>
    <row r="3118" spans="1:28">
      <c r="A3118" s="391"/>
      <c r="B3118" s="392"/>
      <c r="C3118" s="393" t="s">
        <v>199</v>
      </c>
      <c r="D3118" s="2562">
        <f>VLOOKUP(C3115,'Data Panjang Balok'!$C$9:$N$254,7,FALSE)</f>
        <v>4065</v>
      </c>
      <c r="E3118" s="2563"/>
      <c r="F3118" s="2563"/>
      <c r="G3118" s="2563"/>
      <c r="H3118" s="2564"/>
      <c r="I3118" s="397"/>
      <c r="J3118" s="396"/>
      <c r="K3118" s="396"/>
      <c r="L3118" s="396"/>
      <c r="M3118" s="396"/>
      <c r="N3118" s="396"/>
      <c r="O3118" s="396"/>
      <c r="P3118" s="396"/>
      <c r="Q3118" s="396"/>
      <c r="R3118" s="396"/>
      <c r="S3118" s="396"/>
      <c r="T3118" s="396"/>
      <c r="U3118" s="388"/>
      <c r="V3118" s="396"/>
      <c r="W3118" s="388"/>
      <c r="X3118" s="396"/>
      <c r="Y3118" s="389"/>
      <c r="Z3118" s="396"/>
      <c r="AA3118" s="388"/>
      <c r="AB3118" s="390"/>
    </row>
    <row r="3119" spans="1:28">
      <c r="A3119" s="391"/>
      <c r="B3119" s="392"/>
      <c r="C3119" s="393" t="s">
        <v>200</v>
      </c>
      <c r="D3119" s="2562">
        <f>VLOOKUP(C3115,'Data Panjang Balok'!$C$9:$N$254,9,FALSE)</f>
        <v>0</v>
      </c>
      <c r="E3119" s="2563"/>
      <c r="F3119" s="2563"/>
      <c r="G3119" s="2563"/>
      <c r="H3119" s="2564"/>
      <c r="I3119" s="397"/>
      <c r="J3119" s="396"/>
      <c r="K3119" s="396"/>
      <c r="L3119" s="396"/>
      <c r="M3119" s="396"/>
      <c r="N3119" s="396"/>
      <c r="O3119" s="396"/>
      <c r="P3119" s="396"/>
      <c r="Q3119" s="396"/>
      <c r="R3119" s="396"/>
      <c r="S3119" s="396"/>
      <c r="T3119" s="396"/>
      <c r="U3119" s="388"/>
      <c r="V3119" s="396"/>
      <c r="W3119" s="388"/>
      <c r="X3119" s="396"/>
      <c r="Y3119" s="389"/>
      <c r="Z3119" s="396"/>
      <c r="AA3119" s="388"/>
      <c r="AB3119" s="390"/>
    </row>
    <row r="3120" spans="1:28">
      <c r="A3120" s="391"/>
      <c r="B3120" s="392"/>
      <c r="C3120" s="393" t="s">
        <v>201</v>
      </c>
      <c r="D3120" s="2562">
        <f>VLOOKUP(C3115,'Data Panjang Balok'!$C$9:$N$254,10,FALSE)</f>
        <v>0</v>
      </c>
      <c r="E3120" s="2563"/>
      <c r="F3120" s="2563"/>
      <c r="G3120" s="2563"/>
      <c r="H3120" s="2564"/>
      <c r="I3120" s="397"/>
      <c r="J3120" s="396"/>
      <c r="K3120" s="396"/>
      <c r="L3120" s="396"/>
      <c r="M3120" s="396"/>
      <c r="N3120" s="396"/>
      <c r="O3120" s="396"/>
      <c r="P3120" s="396"/>
      <c r="Q3120" s="396"/>
      <c r="R3120" s="396"/>
      <c r="S3120" s="396"/>
      <c r="T3120" s="396"/>
      <c r="U3120" s="388"/>
      <c r="V3120" s="396"/>
      <c r="W3120" s="388"/>
      <c r="X3120" s="396"/>
      <c r="Y3120" s="389"/>
      <c r="Z3120" s="396"/>
      <c r="AA3120" s="388"/>
      <c r="AB3120" s="390"/>
    </row>
    <row r="3121" spans="1:28">
      <c r="A3121" s="391"/>
      <c r="B3121" s="392"/>
      <c r="C3121" s="393" t="s">
        <v>48</v>
      </c>
      <c r="D3121" s="2562">
        <f>VLOOKUP(C3115,'Data Panjang Balok'!$C$9:$N$254,3,FALSE)</f>
        <v>1</v>
      </c>
      <c r="E3121" s="2563"/>
      <c r="F3121" s="2563"/>
      <c r="G3121" s="2563"/>
      <c r="H3121" s="2564"/>
      <c r="I3121" s="397"/>
      <c r="J3121" s="396"/>
      <c r="K3121" s="396"/>
      <c r="L3121" s="396"/>
      <c r="M3121" s="396"/>
      <c r="N3121" s="396"/>
      <c r="O3121" s="396"/>
      <c r="P3121" s="396"/>
      <c r="Q3121" s="396"/>
      <c r="R3121" s="396"/>
      <c r="S3121" s="396"/>
      <c r="T3121" s="396"/>
      <c r="U3121" s="388"/>
      <c r="V3121" s="396"/>
      <c r="W3121" s="388"/>
      <c r="X3121" s="396"/>
      <c r="Y3121" s="389"/>
      <c r="Z3121" s="396"/>
      <c r="AA3121" s="388"/>
      <c r="AB3121" s="390"/>
    </row>
    <row r="3122" spans="1:28">
      <c r="A3122" s="384" t="str">
        <f t="shared" ref="A3122:B3122" si="10012">A3115</f>
        <v>Lantai 2</v>
      </c>
      <c r="B3122" s="385">
        <f t="shared" si="10012"/>
        <v>17</v>
      </c>
      <c r="C3122" s="393" t="s">
        <v>202</v>
      </c>
      <c r="D3122" s="398">
        <f>VLOOKUP(D3115,'Detail Balok'!$C$10:$AU$140,4,FALSE)</f>
        <v>3</v>
      </c>
      <c r="E3122" s="388" t="s">
        <v>16</v>
      </c>
      <c r="F3122" s="388">
        <f>VLOOKUP(D3115,'Detail Balok'!$C$10:$AU$140,6,FALSE)</f>
        <v>16</v>
      </c>
      <c r="G3122" s="388"/>
      <c r="H3122" s="395"/>
      <c r="I3122" s="388" t="s">
        <v>203</v>
      </c>
      <c r="J3122" s="399">
        <f t="shared" ref="J3122" si="10013">+D3117/4/1000</f>
        <v>1.0162500000000001</v>
      </c>
      <c r="K3122" s="400" t="s">
        <v>204</v>
      </c>
      <c r="L3122" s="399">
        <f t="shared" ref="L3122" si="10014">MAX(VLOOKUP(F3122,N$6:P$15,3,FALSE)/1000,2/3*D3119/1000)+F$16*F3122/1000</f>
        <v>0.192</v>
      </c>
      <c r="M3122" s="399" t="s">
        <v>176</v>
      </c>
      <c r="N3122" s="399">
        <f t="shared" ref="N3122:N3124" si="10015">J3122+L3122</f>
        <v>1.20825</v>
      </c>
      <c r="O3122" s="399" t="s">
        <v>204</v>
      </c>
      <c r="P3122" s="389">
        <f t="shared" ref="P3122" si="10016">D3122-D3123</f>
        <v>0</v>
      </c>
      <c r="Q3122" s="399" t="s">
        <v>125</v>
      </c>
      <c r="R3122" s="399">
        <f t="shared" ref="R3122" si="10017">IF(P3122&gt;0,$F$18*F3122/1000,0)</f>
        <v>0</v>
      </c>
      <c r="S3122" s="399" t="s">
        <v>205</v>
      </c>
      <c r="T3122" s="399" t="s">
        <v>125</v>
      </c>
      <c r="U3122" s="401">
        <f t="shared" ref="U3122:U3124" si="10018">0.006165*F3122^2</f>
        <v>1.5782400000000001</v>
      </c>
      <c r="V3122" s="399"/>
      <c r="W3122" s="399"/>
      <c r="X3122" s="399" t="s">
        <v>125</v>
      </c>
      <c r="Y3122" s="389">
        <f t="shared" ref="Y3122" si="10019">D3121</f>
        <v>1</v>
      </c>
      <c r="Z3122" s="400" t="s">
        <v>176</v>
      </c>
      <c r="AA3122" s="402">
        <f t="shared" ref="AA3122" si="10020">IF(AA3125=0,(D3122*N3122+P3122*R3122)*U3122*Y3122,0)</f>
        <v>0</v>
      </c>
      <c r="AB3122" s="403"/>
    </row>
    <row r="3123" spans="1:28">
      <c r="A3123" s="384" t="str">
        <f t="shared" ref="A3123:B3123" si="10021">A3115</f>
        <v>Lantai 2</v>
      </c>
      <c r="B3123" s="385">
        <f t="shared" si="10021"/>
        <v>17</v>
      </c>
      <c r="C3123" s="393" t="s">
        <v>206</v>
      </c>
      <c r="D3123" s="398">
        <f>VLOOKUP(D3115,'Detail Balok'!$C$10:$AU$140,7,FALSE)</f>
        <v>3</v>
      </c>
      <c r="E3123" s="388" t="s">
        <v>16</v>
      </c>
      <c r="F3123" s="388">
        <f>VLOOKUP(D3115,'Detail Balok'!$C$10:$AU$140,9,FALSE)</f>
        <v>16</v>
      </c>
      <c r="G3123" s="388"/>
      <c r="H3123" s="395"/>
      <c r="I3123" s="388" t="s">
        <v>203</v>
      </c>
      <c r="J3123" s="399">
        <f t="shared" ref="J3123" si="10022">+D3117/2/1000</f>
        <v>2.0325000000000002</v>
      </c>
      <c r="K3123" s="400" t="s">
        <v>204</v>
      </c>
      <c r="L3123" s="399"/>
      <c r="M3123" s="399" t="s">
        <v>176</v>
      </c>
      <c r="N3123" s="399">
        <f t="shared" si="10015"/>
        <v>2.0325000000000002</v>
      </c>
      <c r="O3123" s="399" t="s">
        <v>204</v>
      </c>
      <c r="P3123" s="389">
        <f t="shared" ref="P3123" si="10023">MAX(D3123-D3122,D3123-D3124)</f>
        <v>0</v>
      </c>
      <c r="Q3123" s="399" t="s">
        <v>125</v>
      </c>
      <c r="R3123" s="399">
        <f t="shared" ref="R3123" si="10024">IF(P3123&gt;0,2*(1-2*$F$19-1/2)*D3118/1000,0)</f>
        <v>0</v>
      </c>
      <c r="S3123" s="399" t="s">
        <v>205</v>
      </c>
      <c r="T3123" s="399" t="s">
        <v>125</v>
      </c>
      <c r="U3123" s="401">
        <f t="shared" si="10018"/>
        <v>1.5782400000000001</v>
      </c>
      <c r="V3123" s="399"/>
      <c r="W3123" s="399"/>
      <c r="X3123" s="399" t="s">
        <v>125</v>
      </c>
      <c r="Y3123" s="389">
        <f t="shared" ref="Y3123" si="10025">D3121</f>
        <v>1</v>
      </c>
      <c r="Z3123" s="400" t="s">
        <v>176</v>
      </c>
      <c r="AA3123" s="402">
        <f t="shared" ref="AA3123" si="10026">IF(AA3125=0,(D3123*N3123+P3123*R3123)*U3123*Y3123,0)</f>
        <v>0</v>
      </c>
      <c r="AB3123" s="403"/>
    </row>
    <row r="3124" spans="1:28">
      <c r="A3124" s="384" t="str">
        <f t="shared" ref="A3124:B3124" si="10027">A3115</f>
        <v>Lantai 2</v>
      </c>
      <c r="B3124" s="385">
        <f t="shared" si="10027"/>
        <v>17</v>
      </c>
      <c r="C3124" s="393" t="s">
        <v>202</v>
      </c>
      <c r="D3124" s="398">
        <f>VLOOKUP(D3115,'Detail Balok'!$C$10:$AU$140,10,FALSE)</f>
        <v>3</v>
      </c>
      <c r="E3124" s="388" t="s">
        <v>16</v>
      </c>
      <c r="F3124" s="388">
        <f>VLOOKUP(D3115,'Detail Balok'!$C$10:$AU$140,12,FALSE)</f>
        <v>16</v>
      </c>
      <c r="G3124" s="388"/>
      <c r="H3124" s="395"/>
      <c r="I3124" s="388" t="s">
        <v>203</v>
      </c>
      <c r="J3124" s="399">
        <f t="shared" ref="J3124" si="10028">+D3117/4/1000</f>
        <v>1.0162500000000001</v>
      </c>
      <c r="K3124" s="400" t="s">
        <v>204</v>
      </c>
      <c r="L3124" s="399">
        <f t="shared" ref="L3124" si="10029">MAX(VLOOKUP(F3124,N$6:P$15,3,FALSE)/1000,2/3*D3119/1000)+F$16*F3124/1000</f>
        <v>0.192</v>
      </c>
      <c r="M3124" s="399" t="s">
        <v>176</v>
      </c>
      <c r="N3124" s="399">
        <f t="shared" si="10015"/>
        <v>1.20825</v>
      </c>
      <c r="O3124" s="399" t="s">
        <v>204</v>
      </c>
      <c r="P3124" s="389">
        <f t="shared" ref="P3124" si="10030">D3124-D3123</f>
        <v>0</v>
      </c>
      <c r="Q3124" s="399" t="s">
        <v>125</v>
      </c>
      <c r="R3124" s="399">
        <f t="shared" ref="R3124" si="10031">IF(P3124&gt;0,$F$18*F3124/1000,0)</f>
        <v>0</v>
      </c>
      <c r="S3124" s="399" t="s">
        <v>205</v>
      </c>
      <c r="T3124" s="399" t="s">
        <v>125</v>
      </c>
      <c r="U3124" s="401">
        <f t="shared" si="10018"/>
        <v>1.5782400000000001</v>
      </c>
      <c r="V3124" s="399"/>
      <c r="W3124" s="399"/>
      <c r="X3124" s="399" t="s">
        <v>125</v>
      </c>
      <c r="Y3124" s="389">
        <f t="shared" ref="Y3124" si="10032">D3121</f>
        <v>1</v>
      </c>
      <c r="Z3124" s="400" t="s">
        <v>176</v>
      </c>
      <c r="AA3124" s="402">
        <f t="shared" ref="AA3124" si="10033">IF(AA3125=0,(D3124*N3124+P3124*R3124)*U3124*Y3124,0)</f>
        <v>0</v>
      </c>
      <c r="AB3124" s="403"/>
    </row>
    <row r="3125" spans="1:28">
      <c r="A3125" s="384" t="str">
        <f t="shared" ref="A3125:B3125" si="10034">A3115</f>
        <v>Lantai 2</v>
      </c>
      <c r="B3125" s="385">
        <f t="shared" si="10034"/>
        <v>17</v>
      </c>
      <c r="C3125" s="393"/>
      <c r="D3125" s="398">
        <f t="shared" si="9837"/>
        <v>3</v>
      </c>
      <c r="E3125" s="388" t="s">
        <v>16</v>
      </c>
      <c r="F3125" s="388">
        <f t="shared" si="9838"/>
        <v>16</v>
      </c>
      <c r="G3125" s="388"/>
      <c r="H3125" s="395"/>
      <c r="I3125" s="388"/>
      <c r="J3125" s="396"/>
      <c r="K3125" s="396"/>
      <c r="L3125" s="404" t="s">
        <v>207</v>
      </c>
      <c r="M3125" s="399" t="s">
        <v>176</v>
      </c>
      <c r="N3125" s="399">
        <f t="shared" ref="N3125" si="10035">IF(AND(D3122=D3123,D3122=D3124,D3123=D3124,F3122=F3123,F3122=F3124,F3123=F3124),SUM(N3122:N3124),0)</f>
        <v>4.4489999999999998</v>
      </c>
      <c r="O3125" s="399" t="s">
        <v>204</v>
      </c>
      <c r="P3125" s="389">
        <f t="shared" ref="P3125" si="10036">IF(N3125&gt;12,ROUNDDOWN(N3125/12,0),0)</f>
        <v>0</v>
      </c>
      <c r="Q3125" s="399" t="s">
        <v>125</v>
      </c>
      <c r="R3125" s="399">
        <f t="shared" ref="R3125" si="10037">IF(P3125&gt;0,MAX(VLOOKUP(F3125,$D$6:$G$15,3,FALSE),600),0)/1000</f>
        <v>0</v>
      </c>
      <c r="S3125" s="396"/>
      <c r="T3125" s="396" t="s">
        <v>125</v>
      </c>
      <c r="U3125" s="401">
        <f t="shared" si="9842"/>
        <v>1.5782400000000001</v>
      </c>
      <c r="V3125" s="396" t="s">
        <v>125</v>
      </c>
      <c r="W3125" s="399">
        <f t="shared" ref="W3125" si="10038">D3125</f>
        <v>3</v>
      </c>
      <c r="X3125" s="399" t="s">
        <v>125</v>
      </c>
      <c r="Y3125" s="389">
        <f t="shared" si="9844"/>
        <v>1</v>
      </c>
      <c r="Z3125" s="400" t="s">
        <v>176</v>
      </c>
      <c r="AA3125" s="402">
        <f t="shared" ref="AA3125" si="10039">(N3125+P3125*R3125/1000)*U3125*W3125*Y3125</f>
        <v>21.06476928</v>
      </c>
      <c r="AB3125" s="390"/>
    </row>
    <row r="3126" spans="1:28">
      <c r="A3126" s="384"/>
      <c r="B3126" s="385"/>
      <c r="C3126" s="393"/>
      <c r="D3126" s="398"/>
      <c r="E3126" s="388"/>
      <c r="F3126" s="388"/>
      <c r="G3126" s="388"/>
      <c r="H3126" s="395"/>
      <c r="I3126" s="388"/>
      <c r="J3126" s="396"/>
      <c r="K3126" s="396"/>
      <c r="L3126" s="404"/>
      <c r="M3126" s="399"/>
      <c r="N3126" s="399"/>
      <c r="O3126" s="396"/>
      <c r="P3126" s="389"/>
      <c r="Q3126" s="396"/>
      <c r="R3126" s="396"/>
      <c r="S3126" s="396"/>
      <c r="T3126" s="396"/>
      <c r="U3126" s="401"/>
      <c r="V3126" s="396"/>
      <c r="W3126" s="399"/>
      <c r="X3126" s="396"/>
      <c r="Y3126" s="389"/>
      <c r="Z3126" s="396"/>
      <c r="AA3126" s="388"/>
      <c r="AB3126" s="390"/>
    </row>
    <row r="3127" spans="1:28">
      <c r="A3127" s="384" t="str">
        <f t="shared" ref="A3127:B3127" si="10040">A3115</f>
        <v>Lantai 2</v>
      </c>
      <c r="B3127" s="385">
        <f t="shared" si="10040"/>
        <v>17</v>
      </c>
      <c r="C3127" s="393" t="s">
        <v>208</v>
      </c>
      <c r="D3127" s="398">
        <f>VLOOKUP(D3115,'Detail Balok'!$C$10:$AU$140,13,FALSE)</f>
        <v>0</v>
      </c>
      <c r="E3127" s="388" t="s">
        <v>16</v>
      </c>
      <c r="F3127" s="388">
        <f>VLOOKUP(D3115,'Detail Balok'!$C$10:$AU$140,15,FALSE)</f>
        <v>8</v>
      </c>
      <c r="G3127" s="388"/>
      <c r="H3127" s="395"/>
      <c r="I3127" s="388"/>
      <c r="J3127" s="399">
        <f t="shared" ref="J3127" si="10041">+D3117/1000</f>
        <v>4.0650000000000004</v>
      </c>
      <c r="K3127" s="400" t="s">
        <v>204</v>
      </c>
      <c r="L3127" s="399">
        <f t="shared" ref="L3127" si="10042">2*$F$16*F3127/1000</f>
        <v>0.192</v>
      </c>
      <c r="M3127" s="399" t="s">
        <v>176</v>
      </c>
      <c r="N3127" s="399">
        <f t="shared" ref="N3127" si="10043">J3127+L3127</f>
        <v>4.2570000000000006</v>
      </c>
      <c r="O3127" s="399" t="s">
        <v>204</v>
      </c>
      <c r="P3127" s="389">
        <f t="shared" ref="P3127" si="10044">IF(N3127&gt;12,ROUNDDOWN(N3127/12,0),0)</f>
        <v>0</v>
      </c>
      <c r="Q3127" s="399" t="s">
        <v>125</v>
      </c>
      <c r="R3127" s="399">
        <f t="shared" ref="R3127" si="10045">IF(P3127&gt;0,MAX(VLOOKUP(F3127,$D$6:$G$15,3,FALSE),600),0)/1000</f>
        <v>0</v>
      </c>
      <c r="S3127" s="399"/>
      <c r="T3127" s="399" t="s">
        <v>125</v>
      </c>
      <c r="U3127" s="401">
        <f t="shared" ref="U3127" si="10046">0.006165*F3127^2</f>
        <v>0.39456000000000002</v>
      </c>
      <c r="V3127" s="399" t="s">
        <v>125</v>
      </c>
      <c r="W3127" s="399">
        <f t="shared" ref="W3127" si="10047">+D3127</f>
        <v>0</v>
      </c>
      <c r="X3127" s="399" t="s">
        <v>125</v>
      </c>
      <c r="Y3127" s="389">
        <f t="shared" ref="Y3127" si="10048">D3121</f>
        <v>1</v>
      </c>
      <c r="Z3127" s="400" t="s">
        <v>176</v>
      </c>
      <c r="AA3127" s="402">
        <f t="shared" ref="AA3127" si="10049">(N3127+P3127*R3127/1000)*U3127*W3127*Y3127</f>
        <v>0</v>
      </c>
      <c r="AB3127" s="403"/>
    </row>
    <row r="3128" spans="1:28">
      <c r="A3128" s="384"/>
      <c r="B3128" s="385"/>
      <c r="C3128" s="393"/>
      <c r="D3128" s="398"/>
      <c r="E3128" s="388"/>
      <c r="F3128" s="388"/>
      <c r="G3128" s="388"/>
      <c r="H3128" s="395"/>
      <c r="I3128" s="388"/>
      <c r="J3128" s="399"/>
      <c r="K3128" s="400"/>
      <c r="L3128" s="399"/>
      <c r="M3128" s="399"/>
      <c r="N3128" s="399"/>
      <c r="O3128" s="399"/>
      <c r="P3128" s="389"/>
      <c r="Q3128" s="399"/>
      <c r="R3128" s="399"/>
      <c r="S3128" s="399"/>
      <c r="T3128" s="399"/>
      <c r="U3128" s="401"/>
      <c r="V3128" s="399"/>
      <c r="W3128" s="399"/>
      <c r="X3128" s="399"/>
      <c r="Y3128" s="389"/>
      <c r="Z3128" s="400"/>
      <c r="AA3128" s="402"/>
      <c r="AB3128" s="403"/>
    </row>
    <row r="3129" spans="1:28">
      <c r="A3129" s="384"/>
      <c r="B3129" s="385"/>
      <c r="C3129" s="393"/>
      <c r="D3129" s="398"/>
      <c r="E3129" s="388"/>
      <c r="F3129" s="388"/>
      <c r="G3129" s="388"/>
      <c r="H3129" s="395"/>
      <c r="I3129" s="388"/>
      <c r="J3129" s="396"/>
      <c r="K3129" s="396"/>
      <c r="L3129" s="396"/>
      <c r="M3129" s="396"/>
      <c r="N3129" s="396"/>
      <c r="O3129" s="396"/>
      <c r="P3129" s="389"/>
      <c r="Q3129" s="396"/>
      <c r="R3129" s="396"/>
      <c r="S3129" s="396"/>
      <c r="T3129" s="396"/>
      <c r="U3129" s="401"/>
      <c r="V3129" s="396"/>
      <c r="W3129" s="399"/>
      <c r="X3129" s="396"/>
      <c r="Y3129" s="389"/>
      <c r="Z3129" s="396"/>
      <c r="AA3129" s="388"/>
      <c r="AB3129" s="390"/>
    </row>
    <row r="3130" spans="1:28">
      <c r="A3130" s="384" t="str">
        <f t="shared" ref="A3130:B3130" si="10050">A3115</f>
        <v>Lantai 2</v>
      </c>
      <c r="B3130" s="385">
        <f t="shared" si="10050"/>
        <v>17</v>
      </c>
      <c r="C3130" s="393" t="s">
        <v>209</v>
      </c>
      <c r="D3130" s="398">
        <f>VLOOKUP(D3115,'Detail Balok'!$C$10:$AU$140,22,FALSE)</f>
        <v>3</v>
      </c>
      <c r="E3130" s="388" t="s">
        <v>16</v>
      </c>
      <c r="F3130" s="388">
        <f>VLOOKUP(D3115,'Detail Balok'!$C$10:$AU$140,24,FALSE)</f>
        <v>16</v>
      </c>
      <c r="G3130" s="388"/>
      <c r="H3130" s="395"/>
      <c r="I3130" s="388" t="s">
        <v>203</v>
      </c>
      <c r="J3130" s="399">
        <f t="shared" si="9857"/>
        <v>1.0162500000000001</v>
      </c>
      <c r="K3130" s="400" t="s">
        <v>204</v>
      </c>
      <c r="L3130" s="399">
        <f t="shared" ref="L3130" si="10051">MAX(VLOOKUP(F3130,N$6:P$15,3,FALSE)/1000,2/3*D3120/1000)+F$16*F3130/1000</f>
        <v>0.192</v>
      </c>
      <c r="M3130" s="399" t="s">
        <v>176</v>
      </c>
      <c r="N3130" s="399">
        <f t="shared" ref="N3130:N3132" si="10052">J3130+L3130</f>
        <v>1.20825</v>
      </c>
      <c r="O3130" s="399" t="s">
        <v>204</v>
      </c>
      <c r="P3130" s="389">
        <f t="shared" ref="P3130" si="10053">D3130-D3131</f>
        <v>0</v>
      </c>
      <c r="Q3130" s="399" t="s">
        <v>125</v>
      </c>
      <c r="R3130" s="399">
        <f t="shared" ref="R3130" si="10054">IF(P3130&gt;0,$F$18*F3130/1000,0)</f>
        <v>0</v>
      </c>
      <c r="S3130" s="399" t="s">
        <v>205</v>
      </c>
      <c r="T3130" s="399" t="s">
        <v>125</v>
      </c>
      <c r="U3130" s="401">
        <f t="shared" ref="U3130:U3132" si="10055">0.006165*F3130^2</f>
        <v>1.5782400000000001</v>
      </c>
      <c r="V3130" s="399"/>
      <c r="W3130" s="399"/>
      <c r="X3130" s="399" t="s">
        <v>125</v>
      </c>
      <c r="Y3130" s="389">
        <f t="shared" ref="Y3130" si="10056">D3121</f>
        <v>1</v>
      </c>
      <c r="Z3130" s="400" t="s">
        <v>176</v>
      </c>
      <c r="AA3130" s="402">
        <f t="shared" ref="AA3130" si="10057">IF(AA3133=0,(D3130*N3130+P3130*R3130)*U3130*Y3130,0)</f>
        <v>0</v>
      </c>
      <c r="AB3130" s="403"/>
    </row>
    <row r="3131" spans="1:28">
      <c r="A3131" s="384" t="str">
        <f t="shared" ref="A3131:B3131" si="10058">A3115</f>
        <v>Lantai 2</v>
      </c>
      <c r="B3131" s="385">
        <f t="shared" si="10058"/>
        <v>17</v>
      </c>
      <c r="C3131" s="393" t="s">
        <v>210</v>
      </c>
      <c r="D3131" s="398">
        <f>VLOOKUP(D3115,'Detail Balok'!$C$10:$AU$140,25,FALSE)</f>
        <v>3</v>
      </c>
      <c r="E3131" s="388" t="s">
        <v>16</v>
      </c>
      <c r="F3131" s="388">
        <f>VLOOKUP(D3115,'Detail Balok'!$C$10:$AU$140,27,FALSE)</f>
        <v>16</v>
      </c>
      <c r="G3131" s="388"/>
      <c r="H3131" s="395"/>
      <c r="I3131" s="388" t="s">
        <v>203</v>
      </c>
      <c r="J3131" s="399">
        <f t="shared" si="9857"/>
        <v>2.0325000000000002</v>
      </c>
      <c r="K3131" s="400" t="s">
        <v>204</v>
      </c>
      <c r="L3131" s="399"/>
      <c r="M3131" s="399" t="s">
        <v>176</v>
      </c>
      <c r="N3131" s="399">
        <f t="shared" si="10052"/>
        <v>2.0325000000000002</v>
      </c>
      <c r="O3131" s="399" t="s">
        <v>204</v>
      </c>
      <c r="P3131" s="389">
        <f t="shared" ref="P3131" si="10059">MAX(D3131-D3130,D3131-D3132)</f>
        <v>0</v>
      </c>
      <c r="Q3131" s="399" t="s">
        <v>125</v>
      </c>
      <c r="R3131" s="399">
        <f t="shared" ref="R3131" si="10060">IF(P3131&gt;0,2*(1-2*$F$19-1/2)*D3118/1000,0)</f>
        <v>0</v>
      </c>
      <c r="S3131" s="399" t="s">
        <v>205</v>
      </c>
      <c r="T3131" s="399" t="s">
        <v>125</v>
      </c>
      <c r="U3131" s="401">
        <f t="shared" si="10055"/>
        <v>1.5782400000000001</v>
      </c>
      <c r="V3131" s="399"/>
      <c r="W3131" s="399"/>
      <c r="X3131" s="399" t="s">
        <v>125</v>
      </c>
      <c r="Y3131" s="389">
        <f t="shared" ref="Y3131" si="10061">D3121</f>
        <v>1</v>
      </c>
      <c r="Z3131" s="400" t="s">
        <v>176</v>
      </c>
      <c r="AA3131" s="402">
        <f t="shared" ref="AA3131" si="10062">IF(AA3133=0,(D3131*N3131+P3131*R3131)*U3131*Y3131,0)</f>
        <v>0</v>
      </c>
      <c r="AB3131" s="403"/>
    </row>
    <row r="3132" spans="1:28">
      <c r="A3132" s="384" t="str">
        <f t="shared" ref="A3132:B3132" si="10063">A3115</f>
        <v>Lantai 2</v>
      </c>
      <c r="B3132" s="385">
        <f t="shared" si="10063"/>
        <v>17</v>
      </c>
      <c r="C3132" s="393" t="s">
        <v>209</v>
      </c>
      <c r="D3132" s="398">
        <f>VLOOKUP(D3115,'Detail Balok'!$C$10:$AU$140,28,FALSE)</f>
        <v>3</v>
      </c>
      <c r="E3132" s="388" t="s">
        <v>16</v>
      </c>
      <c r="F3132" s="388">
        <f>VLOOKUP(D3115,'Detail Balok'!$C$10:$AU$140,30,FALSE)</f>
        <v>16</v>
      </c>
      <c r="G3132" s="388"/>
      <c r="H3132" s="395"/>
      <c r="I3132" s="388" t="s">
        <v>203</v>
      </c>
      <c r="J3132" s="399">
        <f t="shared" si="9857"/>
        <v>1.0162500000000001</v>
      </c>
      <c r="K3132" s="400" t="s">
        <v>204</v>
      </c>
      <c r="L3132" s="399">
        <f t="shared" ref="L3132" si="10064">MAX(VLOOKUP(F3132,N$6:P$15,3,FALSE)/1000,2/3*D3120/1000)+F$16*F3132/1000</f>
        <v>0.192</v>
      </c>
      <c r="M3132" s="399" t="s">
        <v>176</v>
      </c>
      <c r="N3132" s="399">
        <f t="shared" si="10052"/>
        <v>1.20825</v>
      </c>
      <c r="O3132" s="399" t="s">
        <v>204</v>
      </c>
      <c r="P3132" s="389">
        <f t="shared" ref="P3132" si="10065">D3132-D3131</f>
        <v>0</v>
      </c>
      <c r="Q3132" s="399" t="s">
        <v>125</v>
      </c>
      <c r="R3132" s="399">
        <f t="shared" ref="R3132" si="10066">IF(P3132&gt;0,$F$18*F3132/1000,0)</f>
        <v>0</v>
      </c>
      <c r="S3132" s="399" t="s">
        <v>205</v>
      </c>
      <c r="T3132" s="399" t="s">
        <v>125</v>
      </c>
      <c r="U3132" s="401">
        <f t="shared" si="10055"/>
        <v>1.5782400000000001</v>
      </c>
      <c r="V3132" s="399"/>
      <c r="W3132" s="399"/>
      <c r="X3132" s="399" t="s">
        <v>125</v>
      </c>
      <c r="Y3132" s="389">
        <f t="shared" ref="Y3132" si="10067">D3121</f>
        <v>1</v>
      </c>
      <c r="Z3132" s="400" t="s">
        <v>176</v>
      </c>
      <c r="AA3132" s="402">
        <f t="shared" ref="AA3132" si="10068">IF(AA3133=0,(D3132*N3132+P3132*R3132)*U3132*Y3132,0)</f>
        <v>0</v>
      </c>
      <c r="AB3132" s="403"/>
    </row>
    <row r="3133" spans="1:28">
      <c r="A3133" s="384" t="str">
        <f t="shared" ref="A3133:B3133" si="10069">A3115</f>
        <v>Lantai 2</v>
      </c>
      <c r="B3133" s="385">
        <f t="shared" si="10069"/>
        <v>17</v>
      </c>
      <c r="C3133" s="393"/>
      <c r="D3133" s="398">
        <f t="shared" si="9877"/>
        <v>3</v>
      </c>
      <c r="E3133" s="388" t="s">
        <v>16</v>
      </c>
      <c r="F3133" s="388">
        <f t="shared" si="9878"/>
        <v>16</v>
      </c>
      <c r="G3133" s="388"/>
      <c r="H3133" s="395"/>
      <c r="I3133" s="388"/>
      <c r="J3133" s="396"/>
      <c r="K3133" s="396"/>
      <c r="L3133" s="404" t="s">
        <v>207</v>
      </c>
      <c r="M3133" s="399" t="s">
        <v>176</v>
      </c>
      <c r="N3133" s="399">
        <f t="shared" ref="N3133" si="10070">IF(AND(D3130=D3131,D3130=D3132,D3131=D3132,F3130=F3131,F3130=F3132,F3131=F3132),SUM(N3130:N3132),0)</f>
        <v>4.4489999999999998</v>
      </c>
      <c r="O3133" s="399" t="s">
        <v>204</v>
      </c>
      <c r="P3133" s="389">
        <f t="shared" ref="P3133" si="10071">IF(N3133&gt;12,ROUNDDOWN(N3133/12,0),0)</f>
        <v>0</v>
      </c>
      <c r="Q3133" s="399" t="s">
        <v>125</v>
      </c>
      <c r="R3133" s="399">
        <f t="shared" ref="R3133" si="10072">IF(P3133&gt;0,MAX(VLOOKUP(F3133,$D$6:$G$15,3,FALSE),600),0)/1000</f>
        <v>0</v>
      </c>
      <c r="S3133" s="396"/>
      <c r="T3133" s="396" t="s">
        <v>125</v>
      </c>
      <c r="U3133" s="401">
        <f t="shared" si="9882"/>
        <v>1.5782400000000001</v>
      </c>
      <c r="V3133" s="396" t="s">
        <v>125</v>
      </c>
      <c r="W3133" s="399">
        <f t="shared" ref="W3133" si="10073">D3133</f>
        <v>3</v>
      </c>
      <c r="X3133" s="399" t="s">
        <v>125</v>
      </c>
      <c r="Y3133" s="389">
        <f t="shared" si="9884"/>
        <v>1</v>
      </c>
      <c r="Z3133" s="400" t="s">
        <v>176</v>
      </c>
      <c r="AA3133" s="402">
        <f t="shared" ref="AA3133" si="10074">(N3133+P3133*R3133/1000)*U3133*W3133*Y3133</f>
        <v>21.06476928</v>
      </c>
      <c r="AB3133" s="403"/>
    </row>
    <row r="3134" spans="1:28">
      <c r="A3134" s="384"/>
      <c r="B3134" s="385"/>
      <c r="C3134" s="393"/>
      <c r="D3134" s="394"/>
      <c r="E3134" s="388"/>
      <c r="F3134" s="388"/>
      <c r="G3134" s="388"/>
      <c r="H3134" s="395"/>
      <c r="I3134" s="388"/>
      <c r="J3134" s="399"/>
      <c r="K3134" s="396"/>
      <c r="L3134" s="396"/>
      <c r="M3134" s="396"/>
      <c r="N3134" s="396"/>
      <c r="O3134" s="396"/>
      <c r="P3134" s="389"/>
      <c r="Q3134" s="396"/>
      <c r="R3134" s="396"/>
      <c r="S3134" s="396"/>
      <c r="T3134" s="396"/>
      <c r="U3134" s="401"/>
      <c r="V3134" s="396"/>
      <c r="W3134" s="388"/>
      <c r="X3134" s="396"/>
      <c r="Y3134" s="389"/>
      <c r="Z3134" s="396"/>
      <c r="AA3134" s="388"/>
      <c r="AB3134" s="390"/>
    </row>
    <row r="3135" spans="1:28">
      <c r="A3135" s="384" t="str">
        <f t="shared" ref="A3135:B3135" si="10075">A3115</f>
        <v>Lantai 2</v>
      </c>
      <c r="B3135" s="385">
        <f t="shared" si="10075"/>
        <v>17</v>
      </c>
      <c r="C3135" s="393" t="s">
        <v>211</v>
      </c>
      <c r="D3135" s="398">
        <f>VLOOKUP(D3115,'Detail Balok'!$C$10:$AU$140,31,FALSE)</f>
        <v>0</v>
      </c>
      <c r="E3135" s="388" t="s">
        <v>16</v>
      </c>
      <c r="F3135" s="388">
        <f>VLOOKUP(D3115,'Detail Balok'!$C$10:$AU$140,33,FALSE)</f>
        <v>10</v>
      </c>
      <c r="G3135" s="405" t="s">
        <v>157</v>
      </c>
      <c r="H3135" s="395">
        <f>VLOOKUP(D3115,'Detail Balok'!$C$10:$AU$140,35,FALSE)</f>
        <v>100</v>
      </c>
      <c r="I3135" s="388"/>
      <c r="J3135" s="400">
        <f t="shared" ref="J3135" si="10076">(IF(D3135=0,(2*(D3116+G3116))-(F$5*8),IF(D3135=3,(2*(D3116+G3116))-(F$5*8)+(G3116-2*F$5),IF(D3135=4,(2*(D3116+G3116))-(F$5*8)+2*(G3116-2*F$5)))))/1000</f>
        <v>0.88</v>
      </c>
      <c r="K3135" s="400" t="s">
        <v>204</v>
      </c>
      <c r="L3135" s="399">
        <f t="shared" ref="L3135:L3137" si="10077">IF(D3135=0,2*MAX(6*F3135,75),(D3135-1)*2*MAX(6*F3135,75))/1000</f>
        <v>0.15</v>
      </c>
      <c r="M3135" s="399" t="s">
        <v>176</v>
      </c>
      <c r="N3135" s="399">
        <f t="shared" ref="N3135:N3137" si="10078">J3135+L3135</f>
        <v>1.03</v>
      </c>
      <c r="O3135" s="399"/>
      <c r="P3135" s="389"/>
      <c r="Q3135" s="399"/>
      <c r="R3135" s="399"/>
      <c r="S3135" s="399"/>
      <c r="T3135" s="399" t="s">
        <v>125</v>
      </c>
      <c r="U3135" s="401">
        <f t="shared" ref="U3135:U3137" si="10079">0.006165*F3135^2</f>
        <v>0.61650000000000005</v>
      </c>
      <c r="V3135" s="399" t="s">
        <v>125</v>
      </c>
      <c r="W3135" s="399">
        <f t="shared" ref="W3135" si="10080">IF(D3118&gt;4*G3116,ROUND(MAX(D3118/4,2*G3116)/H3135,0)+1,ROUND(D3118/H3135,0)+1)</f>
        <v>11</v>
      </c>
      <c r="X3135" s="399" t="s">
        <v>125</v>
      </c>
      <c r="Y3135" s="389">
        <f t="shared" ref="Y3135" si="10081">D3121</f>
        <v>1</v>
      </c>
      <c r="Z3135" s="400" t="s">
        <v>176</v>
      </c>
      <c r="AA3135" s="402">
        <f t="shared" ref="AA3135:AA3137" si="10082">N3135*U3135*W3135*Y3135</f>
        <v>6.9849450000000006</v>
      </c>
      <c r="AB3135" s="403"/>
    </row>
    <row r="3136" spans="1:28">
      <c r="A3136" s="384" t="str">
        <f t="shared" ref="A3136:B3136" si="10083">A3115</f>
        <v>Lantai 2</v>
      </c>
      <c r="B3136" s="385">
        <f t="shared" si="10083"/>
        <v>17</v>
      </c>
      <c r="C3136" s="393" t="s">
        <v>212</v>
      </c>
      <c r="D3136" s="398">
        <f>VLOOKUP(D3115,'Detail Balok'!$C$10:$AU$140,36,FALSE)</f>
        <v>0</v>
      </c>
      <c r="E3136" s="388" t="s">
        <v>16</v>
      </c>
      <c r="F3136" s="388">
        <f>VLOOKUP(D3115,'Detail Balok'!$C$10:$AU$140,38,FALSE)</f>
        <v>10</v>
      </c>
      <c r="G3136" s="405" t="s">
        <v>157</v>
      </c>
      <c r="H3136" s="395">
        <f>VLOOKUP(D3115,'Detail Balok'!$C$10:$AU$140,40,FALSE)</f>
        <v>200</v>
      </c>
      <c r="I3136" s="388"/>
      <c r="J3136" s="400">
        <f t="shared" ref="J3136" si="10084">(IF(D3136=0,(2*(D3116+G3116))-(F$5*8),IF(D3136=3,(2*(D3116+G3116))-(F$5*8)+(G3116-2*F$5),IF(D3136=4,(2*(D3116+G3116))-(F$5*8)+2*(G3116-2*F$5)))))/1000</f>
        <v>0.88</v>
      </c>
      <c r="K3136" s="400" t="s">
        <v>204</v>
      </c>
      <c r="L3136" s="399">
        <f t="shared" si="10077"/>
        <v>0.15</v>
      </c>
      <c r="M3136" s="399" t="s">
        <v>176</v>
      </c>
      <c r="N3136" s="399">
        <f t="shared" si="10078"/>
        <v>1.03</v>
      </c>
      <c r="O3136" s="399"/>
      <c r="P3136" s="389"/>
      <c r="Q3136" s="399"/>
      <c r="R3136" s="399"/>
      <c r="S3136" s="399"/>
      <c r="T3136" s="399" t="s">
        <v>125</v>
      </c>
      <c r="U3136" s="401">
        <f t="shared" si="10079"/>
        <v>0.61650000000000005</v>
      </c>
      <c r="V3136" s="399" t="s">
        <v>125</v>
      </c>
      <c r="W3136" s="399">
        <f t="shared" ref="W3136" si="10085">IF(D3118-MAX(D3118/4,2*G3116)*2&gt;0,ROUND((D3118-MAX(D3118/4,2*G3116)*2)/H3136,0),0)</f>
        <v>10</v>
      </c>
      <c r="X3136" s="399" t="s">
        <v>125</v>
      </c>
      <c r="Y3136" s="389">
        <f t="shared" ref="Y3136" si="10086">D3121</f>
        <v>1</v>
      </c>
      <c r="Z3136" s="400" t="s">
        <v>176</v>
      </c>
      <c r="AA3136" s="402">
        <f t="shared" si="10082"/>
        <v>6.3499500000000006</v>
      </c>
      <c r="AB3136" s="403"/>
    </row>
    <row r="3137" spans="1:28">
      <c r="A3137" s="384" t="str">
        <f t="shared" ref="A3137:B3137" si="10087">A3115</f>
        <v>Lantai 2</v>
      </c>
      <c r="B3137" s="385">
        <f t="shared" si="10087"/>
        <v>17</v>
      </c>
      <c r="C3137" s="393" t="s">
        <v>211</v>
      </c>
      <c r="D3137" s="398">
        <f>VLOOKUP(D3115,'Detail Balok'!$C$10:$AU$140,41,FALSE)</f>
        <v>0</v>
      </c>
      <c r="E3137" s="388" t="s">
        <v>16</v>
      </c>
      <c r="F3137" s="388">
        <f>VLOOKUP(D3115,'Detail Balok'!$C$10:$AU$140,43,FALSE)</f>
        <v>10</v>
      </c>
      <c r="G3137" s="405" t="s">
        <v>157</v>
      </c>
      <c r="H3137" s="395">
        <f>VLOOKUP(D3115,'Detail Balok'!$C$10:$AU$140,45,FALSE)</f>
        <v>100</v>
      </c>
      <c r="I3137" s="388"/>
      <c r="J3137" s="400">
        <f t="shared" ref="J3137" si="10088">(IF(D3137=0,(2*(D3116+G3116))-(F$5*8),IF(D3137=3,(2*(D3116+G3116))-(F$5*8)+(G3116-2*F$5),IF(D3137=4,(2*(D3116+G3116))-(F$5*8)+2*(G3116-2*F$5)))))/1000</f>
        <v>0.88</v>
      </c>
      <c r="K3137" s="400" t="s">
        <v>204</v>
      </c>
      <c r="L3137" s="399">
        <f t="shared" si="10077"/>
        <v>0.15</v>
      </c>
      <c r="M3137" s="399" t="s">
        <v>176</v>
      </c>
      <c r="N3137" s="399">
        <f t="shared" si="10078"/>
        <v>1.03</v>
      </c>
      <c r="O3137" s="399"/>
      <c r="P3137" s="389"/>
      <c r="Q3137" s="399"/>
      <c r="R3137" s="399"/>
      <c r="S3137" s="399"/>
      <c r="T3137" s="399" t="s">
        <v>125</v>
      </c>
      <c r="U3137" s="401">
        <f t="shared" si="10079"/>
        <v>0.61650000000000005</v>
      </c>
      <c r="V3137" s="399" t="s">
        <v>125</v>
      </c>
      <c r="W3137" s="399">
        <f t="shared" ref="W3137" si="10089">IF(D3118&gt;4*G3116,ROUND(MAX(D3118/4,2*G3116)/H3137,0)+1,0)</f>
        <v>11</v>
      </c>
      <c r="X3137" s="399" t="s">
        <v>125</v>
      </c>
      <c r="Y3137" s="389">
        <f t="shared" ref="Y3137" si="10090">D3121</f>
        <v>1</v>
      </c>
      <c r="Z3137" s="400" t="s">
        <v>176</v>
      </c>
      <c r="AA3137" s="402">
        <f t="shared" si="10082"/>
        <v>6.9849450000000006</v>
      </c>
      <c r="AB3137" s="403"/>
    </row>
    <row r="3138" spans="1:28">
      <c r="A3138" s="384"/>
      <c r="B3138" s="385"/>
      <c r="C3138" s="393"/>
      <c r="D3138" s="394"/>
      <c r="E3138" s="388"/>
      <c r="F3138" s="388"/>
      <c r="G3138" s="388"/>
      <c r="H3138" s="395"/>
      <c r="I3138" s="388"/>
      <c r="J3138" s="399"/>
      <c r="K3138" s="396"/>
      <c r="L3138" s="396"/>
      <c r="M3138" s="396"/>
      <c r="N3138" s="396"/>
      <c r="O3138" s="396"/>
      <c r="P3138" s="389"/>
      <c r="Q3138" s="396"/>
      <c r="R3138" s="396"/>
      <c r="S3138" s="396"/>
      <c r="T3138" s="396"/>
      <c r="U3138" s="401"/>
      <c r="V3138" s="396"/>
      <c r="W3138" s="388"/>
      <c r="X3138" s="396"/>
      <c r="Y3138" s="389"/>
      <c r="Z3138" s="396"/>
      <c r="AA3138" s="388"/>
      <c r="AB3138" s="390"/>
    </row>
    <row r="3139" spans="1:28">
      <c r="A3139" s="384" t="str">
        <f t="shared" ref="A3139:B3139" si="10091">A3115</f>
        <v>Lantai 2</v>
      </c>
      <c r="B3139" s="385">
        <f t="shared" si="10091"/>
        <v>17</v>
      </c>
      <c r="C3139" s="393" t="s">
        <v>213</v>
      </c>
      <c r="D3139" s="398">
        <f>VLOOKUP(D3115,'Detail Balok'!$C$10:$BJ$140,46,FALSE)</f>
        <v>0</v>
      </c>
      <c r="E3139" s="388" t="s">
        <v>16</v>
      </c>
      <c r="F3139" s="388">
        <f>VLOOKUP(D3115,'Detail Balok'!$C$10:$BJ$140,48,FALSE)</f>
        <v>0</v>
      </c>
      <c r="G3139" s="405" t="s">
        <v>157</v>
      </c>
      <c r="H3139" s="395">
        <f>VLOOKUP(D3115,'Detail Balok'!$C$10:$BJ$140,50,FALSE)</f>
        <v>100</v>
      </c>
      <c r="I3139" s="388"/>
      <c r="J3139" s="399">
        <f t="shared" ref="J3139" si="10092">(D3116-2*F$5)/1000</f>
        <v>0.12</v>
      </c>
      <c r="K3139" s="400" t="s">
        <v>204</v>
      </c>
      <c r="L3139" s="399">
        <f t="shared" ref="L3139:L3141" si="10093">IF(D3139=0,2*MAX(6*F3139,75),(D3139-1)*2*MAX(6*F3139,75))/1000</f>
        <v>0.15</v>
      </c>
      <c r="M3139" s="399" t="s">
        <v>176</v>
      </c>
      <c r="N3139" s="399">
        <f t="shared" ref="N3139:N3141" si="10094">J3139+L3139</f>
        <v>0.27</v>
      </c>
      <c r="O3139" s="399"/>
      <c r="P3139" s="399"/>
      <c r="Q3139" s="399"/>
      <c r="R3139" s="399"/>
      <c r="S3139" s="399"/>
      <c r="T3139" s="399" t="s">
        <v>125</v>
      </c>
      <c r="U3139" s="401">
        <f t="shared" ref="U3139:U3141" si="10095">0.006165*F3139^2</f>
        <v>0</v>
      </c>
      <c r="V3139" s="399" t="s">
        <v>125</v>
      </c>
      <c r="W3139" s="399">
        <f t="shared" si="9907"/>
        <v>11</v>
      </c>
      <c r="X3139" s="399" t="s">
        <v>125</v>
      </c>
      <c r="Y3139" s="389">
        <f t="shared" ref="Y3139" si="10096">D3125</f>
        <v>3</v>
      </c>
      <c r="Z3139" s="400" t="s">
        <v>176</v>
      </c>
      <c r="AA3139" s="402">
        <f t="shared" ref="AA3139:AA3141" si="10097">N3139*U3139*W3139*Y3139</f>
        <v>0</v>
      </c>
      <c r="AB3139" s="403"/>
    </row>
    <row r="3140" spans="1:28">
      <c r="A3140" s="384" t="str">
        <f t="shared" ref="A3140:B3140" si="10098">A3115</f>
        <v>Lantai 2</v>
      </c>
      <c r="B3140" s="385">
        <f t="shared" si="10098"/>
        <v>17</v>
      </c>
      <c r="C3140" s="393" t="s">
        <v>214</v>
      </c>
      <c r="D3140" s="398">
        <f>VLOOKUP(D3115,'Detail Balok'!$C$10:$BJ$140,51,FALSE)</f>
        <v>0</v>
      </c>
      <c r="E3140" s="388" t="s">
        <v>16</v>
      </c>
      <c r="F3140" s="388">
        <f>VLOOKUP(D3115,'Detail Balok'!$C$10:$BJ$140,53,FALSE)</f>
        <v>0</v>
      </c>
      <c r="G3140" s="405" t="s">
        <v>157</v>
      </c>
      <c r="H3140" s="395">
        <f>VLOOKUP(D3115,'Detail Balok'!$C$10:$BJ$140,55,FALSE)</f>
        <v>100</v>
      </c>
      <c r="I3140" s="388"/>
      <c r="J3140" s="399">
        <f t="shared" ref="J3140" si="10099">(D3116-2*F$5)/1000</f>
        <v>0.12</v>
      </c>
      <c r="K3140" s="400" t="s">
        <v>204</v>
      </c>
      <c r="L3140" s="399">
        <f t="shared" si="10093"/>
        <v>0.15</v>
      </c>
      <c r="M3140" s="399" t="s">
        <v>176</v>
      </c>
      <c r="N3140" s="399">
        <f t="shared" si="10094"/>
        <v>0.27</v>
      </c>
      <c r="O3140" s="399"/>
      <c r="P3140" s="399"/>
      <c r="Q3140" s="399"/>
      <c r="R3140" s="399"/>
      <c r="S3140" s="399"/>
      <c r="T3140" s="399" t="s">
        <v>125</v>
      </c>
      <c r="U3140" s="401">
        <f t="shared" si="10095"/>
        <v>0</v>
      </c>
      <c r="V3140" s="399" t="s">
        <v>125</v>
      </c>
      <c r="W3140" s="399">
        <f t="shared" si="9907"/>
        <v>10</v>
      </c>
      <c r="X3140" s="399" t="s">
        <v>125</v>
      </c>
      <c r="Y3140" s="389">
        <f t="shared" ref="Y3140" si="10100">D3125</f>
        <v>3</v>
      </c>
      <c r="Z3140" s="400" t="s">
        <v>176</v>
      </c>
      <c r="AA3140" s="402">
        <f t="shared" si="10097"/>
        <v>0</v>
      </c>
      <c r="AB3140" s="403"/>
    </row>
    <row r="3141" spans="1:28">
      <c r="A3141" s="384" t="str">
        <f t="shared" ref="A3141:B3141" si="10101">A3115</f>
        <v>Lantai 2</v>
      </c>
      <c r="B3141" s="385">
        <f t="shared" si="10101"/>
        <v>17</v>
      </c>
      <c r="C3141" s="393" t="s">
        <v>213</v>
      </c>
      <c r="D3141" s="398">
        <f>VLOOKUP(D3115,'Detail Balok'!$C$10:$BJ$140,56,FALSE)</f>
        <v>0</v>
      </c>
      <c r="E3141" s="388" t="s">
        <v>16</v>
      </c>
      <c r="F3141" s="388">
        <f>VLOOKUP(D3115,'Detail Balok'!$C$10:$BJ$140,58,FALSE)</f>
        <v>0</v>
      </c>
      <c r="G3141" s="405" t="s">
        <v>157</v>
      </c>
      <c r="H3141" s="395">
        <f>VLOOKUP(D3115,'Detail Balok'!$C$10:$BJ$140,60,FALSE)</f>
        <v>100</v>
      </c>
      <c r="I3141" s="388"/>
      <c r="J3141" s="399">
        <f t="shared" ref="J3141" si="10102">(D3116-2*F$5)/1000</f>
        <v>0.12</v>
      </c>
      <c r="K3141" s="400" t="s">
        <v>204</v>
      </c>
      <c r="L3141" s="399">
        <f t="shared" si="10093"/>
        <v>0.15</v>
      </c>
      <c r="M3141" s="399" t="s">
        <v>176</v>
      </c>
      <c r="N3141" s="399">
        <f t="shared" si="10094"/>
        <v>0.27</v>
      </c>
      <c r="O3141" s="399"/>
      <c r="P3141" s="399"/>
      <c r="Q3141" s="399"/>
      <c r="R3141" s="399"/>
      <c r="S3141" s="399"/>
      <c r="T3141" s="399" t="s">
        <v>125</v>
      </c>
      <c r="U3141" s="401">
        <f t="shared" si="10095"/>
        <v>0</v>
      </c>
      <c r="V3141" s="399" t="s">
        <v>125</v>
      </c>
      <c r="W3141" s="399">
        <f t="shared" si="9907"/>
        <v>11</v>
      </c>
      <c r="X3141" s="399" t="s">
        <v>125</v>
      </c>
      <c r="Y3141" s="389">
        <f t="shared" ref="Y3141" si="10103">D3125</f>
        <v>3</v>
      </c>
      <c r="Z3141" s="400" t="s">
        <v>176</v>
      </c>
      <c r="AA3141" s="402">
        <f t="shared" si="10097"/>
        <v>0</v>
      </c>
      <c r="AB3141" s="403"/>
    </row>
    <row r="3142" spans="1:28">
      <c r="A3142" s="391"/>
      <c r="B3142" s="392"/>
      <c r="C3142" s="392"/>
      <c r="D3142" s="394"/>
      <c r="E3142" s="388"/>
      <c r="F3142" s="388"/>
      <c r="G3142" s="388"/>
      <c r="H3142" s="395"/>
      <c r="I3142" s="388"/>
      <c r="J3142" s="402"/>
      <c r="K3142" s="388"/>
      <c r="L3142" s="388"/>
      <c r="M3142" s="388"/>
      <c r="N3142" s="388"/>
      <c r="O3142" s="388"/>
      <c r="P3142" s="388"/>
      <c r="Q3142" s="388"/>
      <c r="R3142" s="388"/>
      <c r="S3142" s="388"/>
      <c r="T3142" s="388"/>
      <c r="U3142" s="388"/>
      <c r="V3142" s="388"/>
      <c r="W3142" s="388"/>
      <c r="X3142" s="388"/>
      <c r="Y3142" s="389"/>
      <c r="Z3142" s="388"/>
      <c r="AA3142" s="402"/>
      <c r="AB3142" s="403"/>
    </row>
    <row r="3143" spans="1:28" ht="15.75" thickBot="1">
      <c r="A3143" s="406"/>
      <c r="B3143" s="407"/>
      <c r="C3143" s="407"/>
      <c r="D3143" s="408"/>
      <c r="E3143" s="409"/>
      <c r="F3143" s="409"/>
      <c r="G3143" s="409"/>
      <c r="H3143" s="410"/>
      <c r="I3143" s="409"/>
      <c r="J3143" s="409"/>
      <c r="K3143" s="409"/>
      <c r="L3143" s="409"/>
      <c r="M3143" s="409"/>
      <c r="N3143" s="409"/>
      <c r="O3143" s="409"/>
      <c r="P3143" s="409"/>
      <c r="Q3143" s="409"/>
      <c r="R3143" s="409"/>
      <c r="S3143" s="409"/>
      <c r="T3143" s="409"/>
      <c r="U3143" s="409"/>
      <c r="V3143" s="409"/>
      <c r="W3143" s="409"/>
      <c r="X3143" s="409"/>
      <c r="Y3143" s="411"/>
      <c r="Z3143" s="409"/>
      <c r="AA3143" s="412"/>
      <c r="AB3143" s="413"/>
    </row>
    <row r="3144" spans="1:28">
      <c r="A3144" s="377"/>
      <c r="B3144" s="378"/>
      <c r="C3144" s="378"/>
      <c r="D3144" s="379"/>
      <c r="E3144" s="380"/>
      <c r="F3144" s="380"/>
      <c r="G3144" s="380"/>
      <c r="H3144" s="381"/>
      <c r="I3144" s="380"/>
      <c r="J3144" s="380"/>
      <c r="K3144" s="380"/>
      <c r="L3144" s="380"/>
      <c r="M3144" s="380"/>
      <c r="N3144" s="380"/>
      <c r="O3144" s="380"/>
      <c r="P3144" s="380"/>
      <c r="Q3144" s="380"/>
      <c r="R3144" s="380"/>
      <c r="S3144" s="380"/>
      <c r="T3144" s="380"/>
      <c r="U3144" s="380"/>
      <c r="V3144" s="380"/>
      <c r="W3144" s="380"/>
      <c r="X3144" s="380"/>
      <c r="Y3144" s="382"/>
      <c r="Z3144" s="380"/>
      <c r="AA3144" s="380"/>
      <c r="AB3144" s="383"/>
    </row>
    <row r="3145" spans="1:28">
      <c r="A3145" s="384" t="str">
        <f t="shared" si="9916"/>
        <v>Lantai 2</v>
      </c>
      <c r="B3145" s="385">
        <f t="shared" si="9917"/>
        <v>18</v>
      </c>
      <c r="C3145" s="386" t="str">
        <f t="shared" ref="C3145" si="10104">CONCATENATE(A3145," no. ",B3145)</f>
        <v>Lantai 2 no. 18</v>
      </c>
      <c r="D3145" s="2562" t="str">
        <f>VLOOKUP(C3145,'Data Panjang Balok'!$C$9:$N$254,2,FALSE)</f>
        <v>B24-1</v>
      </c>
      <c r="E3145" s="2576"/>
      <c r="F3145" s="2576"/>
      <c r="G3145" s="2576"/>
      <c r="H3145" s="2577"/>
      <c r="I3145" s="387"/>
      <c r="J3145" s="388"/>
      <c r="K3145" s="388"/>
      <c r="L3145" s="388"/>
      <c r="M3145" s="388"/>
      <c r="N3145" s="388"/>
      <c r="O3145" s="388"/>
      <c r="P3145" s="388"/>
      <c r="Q3145" s="388"/>
      <c r="R3145" s="388"/>
      <c r="S3145" s="388"/>
      <c r="T3145" s="388"/>
      <c r="U3145" s="388"/>
      <c r="V3145" s="388"/>
      <c r="W3145" s="388"/>
      <c r="X3145" s="388"/>
      <c r="Y3145" s="389"/>
      <c r="Z3145" s="388"/>
      <c r="AA3145" s="388"/>
      <c r="AB3145" s="390"/>
    </row>
    <row r="3146" spans="1:28">
      <c r="A3146" s="391"/>
      <c r="B3146" s="392"/>
      <c r="C3146" s="393" t="s">
        <v>118</v>
      </c>
      <c r="D3146" s="2578">
        <f>VLOOKUP(D3145,'Detail Balok'!$C$10:$AU$140,2,FALSE)</f>
        <v>200</v>
      </c>
      <c r="E3146" s="2579"/>
      <c r="F3146" s="388" t="s">
        <v>125</v>
      </c>
      <c r="G3146" s="2579">
        <f>VLOOKUP(D3145,'Detail Balok'!$C$10:$AU$140,3,FALSE)</f>
        <v>400</v>
      </c>
      <c r="H3146" s="2580"/>
      <c r="I3146" s="388"/>
      <c r="J3146" s="396"/>
      <c r="K3146" s="396"/>
      <c r="L3146" s="396"/>
      <c r="M3146" s="396"/>
      <c r="N3146" s="396"/>
      <c r="O3146" s="396"/>
      <c r="P3146" s="396"/>
      <c r="Q3146" s="396"/>
      <c r="R3146" s="396"/>
      <c r="S3146" s="396"/>
      <c r="T3146" s="396"/>
      <c r="U3146" s="388"/>
      <c r="V3146" s="396"/>
      <c r="W3146" s="388"/>
      <c r="X3146" s="396"/>
      <c r="Y3146" s="389"/>
      <c r="Z3146" s="396"/>
      <c r="AA3146" s="388"/>
      <c r="AB3146" s="390"/>
    </row>
    <row r="3147" spans="1:28">
      <c r="A3147" s="391"/>
      <c r="B3147" s="392"/>
      <c r="C3147" s="393" t="s">
        <v>198</v>
      </c>
      <c r="D3147" s="2562">
        <f>VLOOKUP(C3145,'Data Panjang Balok'!$C$9:$N$254,4,FALSE)</f>
        <v>1855</v>
      </c>
      <c r="E3147" s="2563"/>
      <c r="F3147" s="2563"/>
      <c r="G3147" s="2563"/>
      <c r="H3147" s="2564"/>
      <c r="I3147" s="397"/>
      <c r="J3147" s="396"/>
      <c r="K3147" s="396"/>
      <c r="L3147" s="396"/>
      <c r="M3147" s="396"/>
      <c r="N3147" s="396"/>
      <c r="O3147" s="396"/>
      <c r="P3147" s="396"/>
      <c r="Q3147" s="396"/>
      <c r="R3147" s="396"/>
      <c r="S3147" s="396"/>
      <c r="T3147" s="396"/>
      <c r="U3147" s="388"/>
      <c r="V3147" s="396"/>
      <c r="W3147" s="388"/>
      <c r="X3147" s="396"/>
      <c r="Y3147" s="389"/>
      <c r="Z3147" s="396"/>
      <c r="AA3147" s="388"/>
      <c r="AB3147" s="390"/>
    </row>
    <row r="3148" spans="1:28">
      <c r="A3148" s="391"/>
      <c r="B3148" s="392"/>
      <c r="C3148" s="393" t="s">
        <v>199</v>
      </c>
      <c r="D3148" s="2562">
        <f>VLOOKUP(C3145,'Data Panjang Balok'!$C$9:$N$254,7,FALSE)</f>
        <v>1855</v>
      </c>
      <c r="E3148" s="2563"/>
      <c r="F3148" s="2563"/>
      <c r="G3148" s="2563"/>
      <c r="H3148" s="2564"/>
      <c r="I3148" s="397"/>
      <c r="J3148" s="396"/>
      <c r="K3148" s="396"/>
      <c r="L3148" s="396"/>
      <c r="M3148" s="396"/>
      <c r="N3148" s="396"/>
      <c r="O3148" s="396"/>
      <c r="P3148" s="396"/>
      <c r="Q3148" s="396"/>
      <c r="R3148" s="396"/>
      <c r="S3148" s="396"/>
      <c r="T3148" s="396"/>
      <c r="U3148" s="388"/>
      <c r="V3148" s="396"/>
      <c r="W3148" s="388"/>
      <c r="X3148" s="396"/>
      <c r="Y3148" s="389"/>
      <c r="Z3148" s="396"/>
      <c r="AA3148" s="388"/>
      <c r="AB3148" s="390"/>
    </row>
    <row r="3149" spans="1:28">
      <c r="A3149" s="391"/>
      <c r="B3149" s="392"/>
      <c r="C3149" s="393" t="s">
        <v>200</v>
      </c>
      <c r="D3149" s="2562">
        <f>VLOOKUP(C3145,'Data Panjang Balok'!$C$9:$N$254,9,FALSE)</f>
        <v>0</v>
      </c>
      <c r="E3149" s="2563"/>
      <c r="F3149" s="2563"/>
      <c r="G3149" s="2563"/>
      <c r="H3149" s="2564"/>
      <c r="I3149" s="397"/>
      <c r="J3149" s="396"/>
      <c r="K3149" s="396"/>
      <c r="L3149" s="396"/>
      <c r="M3149" s="396"/>
      <c r="N3149" s="396"/>
      <c r="O3149" s="396"/>
      <c r="P3149" s="396"/>
      <c r="Q3149" s="396"/>
      <c r="R3149" s="396"/>
      <c r="S3149" s="396"/>
      <c r="T3149" s="396"/>
      <c r="U3149" s="388"/>
      <c r="V3149" s="396"/>
      <c r="W3149" s="388"/>
      <c r="X3149" s="396"/>
      <c r="Y3149" s="389"/>
      <c r="Z3149" s="396"/>
      <c r="AA3149" s="388"/>
      <c r="AB3149" s="390"/>
    </row>
    <row r="3150" spans="1:28">
      <c r="A3150" s="391"/>
      <c r="B3150" s="392"/>
      <c r="C3150" s="393" t="s">
        <v>201</v>
      </c>
      <c r="D3150" s="2562">
        <f>VLOOKUP(C3145,'Data Panjang Balok'!$C$9:$N$254,10,FALSE)</f>
        <v>0</v>
      </c>
      <c r="E3150" s="2563"/>
      <c r="F3150" s="2563"/>
      <c r="G3150" s="2563"/>
      <c r="H3150" s="2564"/>
      <c r="I3150" s="397"/>
      <c r="J3150" s="396"/>
      <c r="K3150" s="396"/>
      <c r="L3150" s="396"/>
      <c r="M3150" s="396"/>
      <c r="N3150" s="396"/>
      <c r="O3150" s="396"/>
      <c r="P3150" s="396"/>
      <c r="Q3150" s="396"/>
      <c r="R3150" s="396"/>
      <c r="S3150" s="396"/>
      <c r="T3150" s="396"/>
      <c r="U3150" s="388"/>
      <c r="V3150" s="396"/>
      <c r="W3150" s="388"/>
      <c r="X3150" s="396"/>
      <c r="Y3150" s="389"/>
      <c r="Z3150" s="396"/>
      <c r="AA3150" s="388"/>
      <c r="AB3150" s="390"/>
    </row>
    <row r="3151" spans="1:28">
      <c r="A3151" s="391"/>
      <c r="B3151" s="392"/>
      <c r="C3151" s="393" t="s">
        <v>48</v>
      </c>
      <c r="D3151" s="2562">
        <f>VLOOKUP(C3145,'Data Panjang Balok'!$C$9:$N$254,3,FALSE)</f>
        <v>1</v>
      </c>
      <c r="E3151" s="2563"/>
      <c r="F3151" s="2563"/>
      <c r="G3151" s="2563"/>
      <c r="H3151" s="2564"/>
      <c r="I3151" s="397"/>
      <c r="J3151" s="396"/>
      <c r="K3151" s="396"/>
      <c r="L3151" s="396"/>
      <c r="M3151" s="396"/>
      <c r="N3151" s="396"/>
      <c r="O3151" s="396"/>
      <c r="P3151" s="396"/>
      <c r="Q3151" s="396"/>
      <c r="R3151" s="396"/>
      <c r="S3151" s="396"/>
      <c r="T3151" s="396"/>
      <c r="U3151" s="388"/>
      <c r="V3151" s="396"/>
      <c r="W3151" s="388"/>
      <c r="X3151" s="396"/>
      <c r="Y3151" s="389"/>
      <c r="Z3151" s="396"/>
      <c r="AA3151" s="388"/>
      <c r="AB3151" s="390"/>
    </row>
    <row r="3152" spans="1:28">
      <c r="A3152" s="384" t="str">
        <f t="shared" ref="A3152:B3152" si="10105">A3145</f>
        <v>Lantai 2</v>
      </c>
      <c r="B3152" s="385">
        <f t="shared" si="10105"/>
        <v>18</v>
      </c>
      <c r="C3152" s="393" t="s">
        <v>202</v>
      </c>
      <c r="D3152" s="398">
        <f>VLOOKUP(D3145,'Detail Balok'!$C$10:$AU$140,4,FALSE)</f>
        <v>3</v>
      </c>
      <c r="E3152" s="388" t="s">
        <v>16</v>
      </c>
      <c r="F3152" s="388">
        <f>VLOOKUP(D3145,'Detail Balok'!$C$10:$AU$140,6,FALSE)</f>
        <v>13</v>
      </c>
      <c r="G3152" s="388"/>
      <c r="H3152" s="395"/>
      <c r="I3152" s="388" t="s">
        <v>203</v>
      </c>
      <c r="J3152" s="399">
        <f t="shared" ref="J3152" si="10106">+D3147/4/1000</f>
        <v>0.46375</v>
      </c>
      <c r="K3152" s="400" t="s">
        <v>204</v>
      </c>
      <c r="L3152" s="399">
        <f t="shared" ref="L3152" si="10107">MAX(VLOOKUP(F3152,N$6:P$15,3,FALSE)/1000,2/3*D3149/1000)+F$16*F3152/1000</f>
        <v>0.156</v>
      </c>
      <c r="M3152" s="399" t="s">
        <v>176</v>
      </c>
      <c r="N3152" s="399">
        <f t="shared" ref="N3152:N3154" si="10108">J3152+L3152</f>
        <v>0.61975000000000002</v>
      </c>
      <c r="O3152" s="399" t="s">
        <v>204</v>
      </c>
      <c r="P3152" s="389">
        <f t="shared" ref="P3152" si="10109">D3152-D3153</f>
        <v>0</v>
      </c>
      <c r="Q3152" s="399" t="s">
        <v>125</v>
      </c>
      <c r="R3152" s="399">
        <f t="shared" ref="R3152" si="10110">IF(P3152&gt;0,$F$18*F3152/1000,0)</f>
        <v>0</v>
      </c>
      <c r="S3152" s="399" t="s">
        <v>205</v>
      </c>
      <c r="T3152" s="399" t="s">
        <v>125</v>
      </c>
      <c r="U3152" s="401">
        <f t="shared" ref="U3152:U3154" si="10111">0.006165*F3152^2</f>
        <v>1.041885</v>
      </c>
      <c r="V3152" s="399"/>
      <c r="W3152" s="399"/>
      <c r="X3152" s="399" t="s">
        <v>125</v>
      </c>
      <c r="Y3152" s="389">
        <f t="shared" ref="Y3152" si="10112">D3151</f>
        <v>1</v>
      </c>
      <c r="Z3152" s="400" t="s">
        <v>176</v>
      </c>
      <c r="AA3152" s="402">
        <f t="shared" ref="AA3152" si="10113">IF(AA3155=0,(D3152*N3152+P3152*R3152)*U3152*Y3152,0)</f>
        <v>0</v>
      </c>
      <c r="AB3152" s="403"/>
    </row>
    <row r="3153" spans="1:28">
      <c r="A3153" s="384" t="str">
        <f t="shared" ref="A3153:B3153" si="10114">A3145</f>
        <v>Lantai 2</v>
      </c>
      <c r="B3153" s="385">
        <f t="shared" si="10114"/>
        <v>18</v>
      </c>
      <c r="C3153" s="393" t="s">
        <v>206</v>
      </c>
      <c r="D3153" s="398">
        <f>VLOOKUP(D3145,'Detail Balok'!$C$10:$AU$140,7,FALSE)</f>
        <v>3</v>
      </c>
      <c r="E3153" s="388" t="s">
        <v>16</v>
      </c>
      <c r="F3153" s="388">
        <f>VLOOKUP(D3145,'Detail Balok'!$C$10:$AU$140,9,FALSE)</f>
        <v>13</v>
      </c>
      <c r="G3153" s="388"/>
      <c r="H3153" s="395"/>
      <c r="I3153" s="388" t="s">
        <v>203</v>
      </c>
      <c r="J3153" s="399">
        <f t="shared" ref="J3153" si="10115">+D3147/2/1000</f>
        <v>0.92749999999999999</v>
      </c>
      <c r="K3153" s="400" t="s">
        <v>204</v>
      </c>
      <c r="L3153" s="399"/>
      <c r="M3153" s="399" t="s">
        <v>176</v>
      </c>
      <c r="N3153" s="399">
        <f t="shared" si="10108"/>
        <v>0.92749999999999999</v>
      </c>
      <c r="O3153" s="399" t="s">
        <v>204</v>
      </c>
      <c r="P3153" s="389">
        <f t="shared" ref="P3153" si="10116">MAX(D3153-D3152,D3153-D3154)</f>
        <v>0</v>
      </c>
      <c r="Q3153" s="399" t="s">
        <v>125</v>
      </c>
      <c r="R3153" s="399">
        <f t="shared" ref="R3153" si="10117">IF(P3153&gt;0,2*(1-2*$F$19-1/2)*D3148/1000,0)</f>
        <v>0</v>
      </c>
      <c r="S3153" s="399" t="s">
        <v>205</v>
      </c>
      <c r="T3153" s="399" t="s">
        <v>125</v>
      </c>
      <c r="U3153" s="401">
        <f t="shared" si="10111"/>
        <v>1.041885</v>
      </c>
      <c r="V3153" s="399"/>
      <c r="W3153" s="399"/>
      <c r="X3153" s="399" t="s">
        <v>125</v>
      </c>
      <c r="Y3153" s="389">
        <f t="shared" ref="Y3153" si="10118">D3151</f>
        <v>1</v>
      </c>
      <c r="Z3153" s="400" t="s">
        <v>176</v>
      </c>
      <c r="AA3153" s="402">
        <f t="shared" ref="AA3153" si="10119">IF(AA3155=0,(D3153*N3153+P3153*R3153)*U3153*Y3153,0)</f>
        <v>0</v>
      </c>
      <c r="AB3153" s="403"/>
    </row>
    <row r="3154" spans="1:28">
      <c r="A3154" s="384" t="str">
        <f t="shared" ref="A3154:B3154" si="10120">A3145</f>
        <v>Lantai 2</v>
      </c>
      <c r="B3154" s="385">
        <f t="shared" si="10120"/>
        <v>18</v>
      </c>
      <c r="C3154" s="393" t="s">
        <v>202</v>
      </c>
      <c r="D3154" s="398">
        <f>VLOOKUP(D3145,'Detail Balok'!$C$10:$AU$140,10,FALSE)</f>
        <v>3</v>
      </c>
      <c r="E3154" s="388" t="s">
        <v>16</v>
      </c>
      <c r="F3154" s="388">
        <f>VLOOKUP(D3145,'Detail Balok'!$C$10:$AU$140,12,FALSE)</f>
        <v>13</v>
      </c>
      <c r="G3154" s="388"/>
      <c r="H3154" s="395"/>
      <c r="I3154" s="388" t="s">
        <v>203</v>
      </c>
      <c r="J3154" s="399">
        <f t="shared" ref="J3154" si="10121">+D3147/4/1000</f>
        <v>0.46375</v>
      </c>
      <c r="K3154" s="400" t="s">
        <v>204</v>
      </c>
      <c r="L3154" s="399">
        <f t="shared" ref="L3154" si="10122">MAX(VLOOKUP(F3154,N$6:P$15,3,FALSE)/1000,2/3*D3149/1000)+F$16*F3154/1000</f>
        <v>0.156</v>
      </c>
      <c r="M3154" s="399" t="s">
        <v>176</v>
      </c>
      <c r="N3154" s="399">
        <f t="shared" si="10108"/>
        <v>0.61975000000000002</v>
      </c>
      <c r="O3154" s="399" t="s">
        <v>204</v>
      </c>
      <c r="P3154" s="389">
        <f t="shared" ref="P3154" si="10123">D3154-D3153</f>
        <v>0</v>
      </c>
      <c r="Q3154" s="399" t="s">
        <v>125</v>
      </c>
      <c r="R3154" s="399">
        <f t="shared" ref="R3154" si="10124">IF(P3154&gt;0,$F$18*F3154/1000,0)</f>
        <v>0</v>
      </c>
      <c r="S3154" s="399" t="s">
        <v>205</v>
      </c>
      <c r="T3154" s="399" t="s">
        <v>125</v>
      </c>
      <c r="U3154" s="401">
        <f t="shared" si="10111"/>
        <v>1.041885</v>
      </c>
      <c r="V3154" s="399"/>
      <c r="W3154" s="399"/>
      <c r="X3154" s="399" t="s">
        <v>125</v>
      </c>
      <c r="Y3154" s="389">
        <f t="shared" ref="Y3154" si="10125">D3151</f>
        <v>1</v>
      </c>
      <c r="Z3154" s="400" t="s">
        <v>176</v>
      </c>
      <c r="AA3154" s="402">
        <f t="shared" ref="AA3154" si="10126">IF(AA3155=0,(D3154*N3154+P3154*R3154)*U3154*Y3154,0)</f>
        <v>0</v>
      </c>
      <c r="AB3154" s="403"/>
    </row>
    <row r="3155" spans="1:28">
      <c r="A3155" s="384" t="str">
        <f t="shared" ref="A3155:B3155" si="10127">A3145</f>
        <v>Lantai 2</v>
      </c>
      <c r="B3155" s="385">
        <f t="shared" si="10127"/>
        <v>18</v>
      </c>
      <c r="C3155" s="393"/>
      <c r="D3155" s="398">
        <f t="shared" ref="D3155:D3215" si="10128">IF(AND(D3152=D3153,D3153=D3154,D3152=D3154),D3152,0)</f>
        <v>3</v>
      </c>
      <c r="E3155" s="388" t="s">
        <v>16</v>
      </c>
      <c r="F3155" s="388">
        <f t="shared" ref="F3155:F3215" si="10129">IF(AND(F3152=F3153,F3152=F3154,F3153=F3154),F3152,0)</f>
        <v>13</v>
      </c>
      <c r="G3155" s="388"/>
      <c r="H3155" s="395"/>
      <c r="I3155" s="388"/>
      <c r="J3155" s="396"/>
      <c r="K3155" s="396"/>
      <c r="L3155" s="404" t="s">
        <v>207</v>
      </c>
      <c r="M3155" s="399" t="s">
        <v>176</v>
      </c>
      <c r="N3155" s="399">
        <f t="shared" ref="N3155" si="10130">IF(AND(D3152=D3153,D3152=D3154,D3153=D3154,F3152=F3153,F3152=F3154,F3153=F3154),SUM(N3152:N3154),0)</f>
        <v>2.1669999999999998</v>
      </c>
      <c r="O3155" s="399" t="s">
        <v>204</v>
      </c>
      <c r="P3155" s="389">
        <f t="shared" ref="P3155" si="10131">IF(N3155&gt;12,ROUNDDOWN(N3155/12,0),0)</f>
        <v>0</v>
      </c>
      <c r="Q3155" s="399" t="s">
        <v>125</v>
      </c>
      <c r="R3155" s="399">
        <f t="shared" ref="R3155" si="10132">IF(P3155&gt;0,MAX(VLOOKUP(F3155,$D$6:$G$15,3,FALSE),600),0)/1000</f>
        <v>0</v>
      </c>
      <c r="S3155" s="396"/>
      <c r="T3155" s="396" t="s">
        <v>125</v>
      </c>
      <c r="U3155" s="401">
        <f t="shared" ref="U3155:U3215" si="10133">U3154</f>
        <v>1.041885</v>
      </c>
      <c r="V3155" s="396" t="s">
        <v>125</v>
      </c>
      <c r="W3155" s="399">
        <f t="shared" ref="W3155" si="10134">D3155</f>
        <v>3</v>
      </c>
      <c r="X3155" s="399" t="s">
        <v>125</v>
      </c>
      <c r="Y3155" s="389">
        <f t="shared" ref="Y3155:Y3215" si="10135">Y3154</f>
        <v>1</v>
      </c>
      <c r="Z3155" s="400" t="s">
        <v>176</v>
      </c>
      <c r="AA3155" s="402">
        <f t="shared" ref="AA3155" si="10136">(N3155+P3155*R3155/1000)*U3155*W3155*Y3155</f>
        <v>6.773294384999998</v>
      </c>
      <c r="AB3155" s="390"/>
    </row>
    <row r="3156" spans="1:28">
      <c r="A3156" s="384"/>
      <c r="B3156" s="385"/>
      <c r="C3156" s="393"/>
      <c r="D3156" s="398"/>
      <c r="E3156" s="388"/>
      <c r="F3156" s="388"/>
      <c r="G3156" s="388"/>
      <c r="H3156" s="395"/>
      <c r="I3156" s="388"/>
      <c r="J3156" s="396"/>
      <c r="K3156" s="396"/>
      <c r="L3156" s="404"/>
      <c r="M3156" s="399"/>
      <c r="N3156" s="399"/>
      <c r="O3156" s="396"/>
      <c r="P3156" s="389"/>
      <c r="Q3156" s="396"/>
      <c r="R3156" s="396"/>
      <c r="S3156" s="396"/>
      <c r="T3156" s="396"/>
      <c r="U3156" s="401"/>
      <c r="V3156" s="396"/>
      <c r="W3156" s="399"/>
      <c r="X3156" s="396"/>
      <c r="Y3156" s="389"/>
      <c r="Z3156" s="396"/>
      <c r="AA3156" s="388"/>
      <c r="AB3156" s="390"/>
    </row>
    <row r="3157" spans="1:28">
      <c r="A3157" s="384" t="str">
        <f t="shared" ref="A3157:B3157" si="10137">A3145</f>
        <v>Lantai 2</v>
      </c>
      <c r="B3157" s="385">
        <f t="shared" si="10137"/>
        <v>18</v>
      </c>
      <c r="C3157" s="393" t="s">
        <v>208</v>
      </c>
      <c r="D3157" s="398">
        <f>VLOOKUP(D3145,'Detail Balok'!$C$10:$AU$140,13,FALSE)</f>
        <v>0</v>
      </c>
      <c r="E3157" s="388" t="s">
        <v>16</v>
      </c>
      <c r="F3157" s="388">
        <f>VLOOKUP(D3145,'Detail Balok'!$C$10:$AU$140,15,FALSE)</f>
        <v>8</v>
      </c>
      <c r="G3157" s="388"/>
      <c r="H3157" s="395"/>
      <c r="I3157" s="388"/>
      <c r="J3157" s="399">
        <f t="shared" ref="J3157" si="10138">+D3147/1000</f>
        <v>1.855</v>
      </c>
      <c r="K3157" s="400" t="s">
        <v>204</v>
      </c>
      <c r="L3157" s="399">
        <f t="shared" ref="L3157" si="10139">2*$F$16*F3157/1000</f>
        <v>0.192</v>
      </c>
      <c r="M3157" s="399" t="s">
        <v>176</v>
      </c>
      <c r="N3157" s="399">
        <f t="shared" ref="N3157" si="10140">J3157+L3157</f>
        <v>2.0470000000000002</v>
      </c>
      <c r="O3157" s="399" t="s">
        <v>204</v>
      </c>
      <c r="P3157" s="389">
        <f t="shared" ref="P3157" si="10141">IF(N3157&gt;12,ROUNDDOWN(N3157/12,0),0)</f>
        <v>0</v>
      </c>
      <c r="Q3157" s="399" t="s">
        <v>125</v>
      </c>
      <c r="R3157" s="399">
        <f t="shared" ref="R3157" si="10142">IF(P3157&gt;0,MAX(VLOOKUP(F3157,$D$6:$G$15,3,FALSE),600),0)/1000</f>
        <v>0</v>
      </c>
      <c r="S3157" s="399"/>
      <c r="T3157" s="399" t="s">
        <v>125</v>
      </c>
      <c r="U3157" s="401">
        <f t="shared" ref="U3157" si="10143">0.006165*F3157^2</f>
        <v>0.39456000000000002</v>
      </c>
      <c r="V3157" s="399" t="s">
        <v>125</v>
      </c>
      <c r="W3157" s="399">
        <f t="shared" ref="W3157" si="10144">+D3157</f>
        <v>0</v>
      </c>
      <c r="X3157" s="399" t="s">
        <v>125</v>
      </c>
      <c r="Y3157" s="389">
        <f t="shared" ref="Y3157" si="10145">D3151</f>
        <v>1</v>
      </c>
      <c r="Z3157" s="400" t="s">
        <v>176</v>
      </c>
      <c r="AA3157" s="402">
        <f t="shared" ref="AA3157" si="10146">(N3157+P3157*R3157/1000)*U3157*W3157*Y3157</f>
        <v>0</v>
      </c>
      <c r="AB3157" s="403"/>
    </row>
    <row r="3158" spans="1:28">
      <c r="A3158" s="384"/>
      <c r="B3158" s="385"/>
      <c r="C3158" s="393"/>
      <c r="D3158" s="398"/>
      <c r="E3158" s="388"/>
      <c r="F3158" s="388"/>
      <c r="G3158" s="388"/>
      <c r="H3158" s="395"/>
      <c r="I3158" s="388"/>
      <c r="J3158" s="399"/>
      <c r="K3158" s="400"/>
      <c r="L3158" s="399"/>
      <c r="M3158" s="399"/>
      <c r="N3158" s="399"/>
      <c r="O3158" s="399"/>
      <c r="P3158" s="389"/>
      <c r="Q3158" s="399"/>
      <c r="R3158" s="399"/>
      <c r="S3158" s="399"/>
      <c r="T3158" s="399"/>
      <c r="U3158" s="401"/>
      <c r="V3158" s="399"/>
      <c r="W3158" s="399"/>
      <c r="X3158" s="399"/>
      <c r="Y3158" s="389"/>
      <c r="Z3158" s="400"/>
      <c r="AA3158" s="402"/>
      <c r="AB3158" s="403"/>
    </row>
    <row r="3159" spans="1:28">
      <c r="A3159" s="384"/>
      <c r="B3159" s="385"/>
      <c r="C3159" s="393"/>
      <c r="D3159" s="398"/>
      <c r="E3159" s="388"/>
      <c r="F3159" s="388"/>
      <c r="G3159" s="388"/>
      <c r="H3159" s="395"/>
      <c r="I3159" s="388"/>
      <c r="J3159" s="396"/>
      <c r="K3159" s="396"/>
      <c r="L3159" s="396"/>
      <c r="M3159" s="396"/>
      <c r="N3159" s="396"/>
      <c r="O3159" s="396"/>
      <c r="P3159" s="389"/>
      <c r="Q3159" s="396"/>
      <c r="R3159" s="396"/>
      <c r="S3159" s="396"/>
      <c r="T3159" s="396"/>
      <c r="U3159" s="401"/>
      <c r="V3159" s="396"/>
      <c r="W3159" s="399"/>
      <c r="X3159" s="396"/>
      <c r="Y3159" s="389"/>
      <c r="Z3159" s="396"/>
      <c r="AA3159" s="388"/>
      <c r="AB3159" s="390"/>
    </row>
    <row r="3160" spans="1:28">
      <c r="A3160" s="384" t="str">
        <f t="shared" ref="A3160:B3160" si="10147">A3145</f>
        <v>Lantai 2</v>
      </c>
      <c r="B3160" s="385">
        <f t="shared" si="10147"/>
        <v>18</v>
      </c>
      <c r="C3160" s="393" t="s">
        <v>209</v>
      </c>
      <c r="D3160" s="398">
        <f>VLOOKUP(D3145,'Detail Balok'!$C$10:$AU$140,22,FALSE)</f>
        <v>3</v>
      </c>
      <c r="E3160" s="388" t="s">
        <v>16</v>
      </c>
      <c r="F3160" s="388">
        <f>VLOOKUP(D3145,'Detail Balok'!$C$10:$AU$140,24,FALSE)</f>
        <v>13</v>
      </c>
      <c r="G3160" s="388"/>
      <c r="H3160" s="395"/>
      <c r="I3160" s="388" t="s">
        <v>203</v>
      </c>
      <c r="J3160" s="399">
        <f t="shared" ref="J3160:J3222" si="10148">+J3152</f>
        <v>0.46375</v>
      </c>
      <c r="K3160" s="400" t="s">
        <v>204</v>
      </c>
      <c r="L3160" s="399">
        <f t="shared" ref="L3160" si="10149">MAX(VLOOKUP(F3160,N$6:P$15,3,FALSE)/1000,2/3*D3150/1000)+F$16*F3160/1000</f>
        <v>0.156</v>
      </c>
      <c r="M3160" s="399" t="s">
        <v>176</v>
      </c>
      <c r="N3160" s="399">
        <f t="shared" ref="N3160:N3162" si="10150">J3160+L3160</f>
        <v>0.61975000000000002</v>
      </c>
      <c r="O3160" s="399" t="s">
        <v>204</v>
      </c>
      <c r="P3160" s="389">
        <f t="shared" ref="P3160" si="10151">D3160-D3161</f>
        <v>0</v>
      </c>
      <c r="Q3160" s="399" t="s">
        <v>125</v>
      </c>
      <c r="R3160" s="399">
        <f t="shared" ref="R3160" si="10152">IF(P3160&gt;0,$F$18*F3160/1000,0)</f>
        <v>0</v>
      </c>
      <c r="S3160" s="399" t="s">
        <v>205</v>
      </c>
      <c r="T3160" s="399" t="s">
        <v>125</v>
      </c>
      <c r="U3160" s="401">
        <f t="shared" ref="U3160:U3162" si="10153">0.006165*F3160^2</f>
        <v>1.041885</v>
      </c>
      <c r="V3160" s="399"/>
      <c r="W3160" s="399"/>
      <c r="X3160" s="399" t="s">
        <v>125</v>
      </c>
      <c r="Y3160" s="389">
        <f t="shared" ref="Y3160" si="10154">D3151</f>
        <v>1</v>
      </c>
      <c r="Z3160" s="400" t="s">
        <v>176</v>
      </c>
      <c r="AA3160" s="402">
        <f t="shared" ref="AA3160" si="10155">IF(AA3163=0,(D3160*N3160+P3160*R3160)*U3160*Y3160,0)</f>
        <v>0</v>
      </c>
      <c r="AB3160" s="403"/>
    </row>
    <row r="3161" spans="1:28">
      <c r="A3161" s="384" t="str">
        <f t="shared" ref="A3161:B3161" si="10156">A3145</f>
        <v>Lantai 2</v>
      </c>
      <c r="B3161" s="385">
        <f t="shared" si="10156"/>
        <v>18</v>
      </c>
      <c r="C3161" s="393" t="s">
        <v>210</v>
      </c>
      <c r="D3161" s="398">
        <f>VLOOKUP(D3145,'Detail Balok'!$C$10:$AU$140,25,FALSE)</f>
        <v>3</v>
      </c>
      <c r="E3161" s="388" t="s">
        <v>16</v>
      </c>
      <c r="F3161" s="388">
        <f>VLOOKUP(D3145,'Detail Balok'!$C$10:$AU$140,27,FALSE)</f>
        <v>13</v>
      </c>
      <c r="G3161" s="388"/>
      <c r="H3161" s="395"/>
      <c r="I3161" s="388" t="s">
        <v>203</v>
      </c>
      <c r="J3161" s="399">
        <f t="shared" si="10148"/>
        <v>0.92749999999999999</v>
      </c>
      <c r="K3161" s="400" t="s">
        <v>204</v>
      </c>
      <c r="L3161" s="399"/>
      <c r="M3161" s="399" t="s">
        <v>176</v>
      </c>
      <c r="N3161" s="399">
        <f t="shared" si="10150"/>
        <v>0.92749999999999999</v>
      </c>
      <c r="O3161" s="399" t="s">
        <v>204</v>
      </c>
      <c r="P3161" s="389">
        <f t="shared" ref="P3161" si="10157">MAX(D3161-D3160,D3161-D3162)</f>
        <v>0</v>
      </c>
      <c r="Q3161" s="399" t="s">
        <v>125</v>
      </c>
      <c r="R3161" s="399">
        <f t="shared" ref="R3161" si="10158">IF(P3161&gt;0,2*(1-2*$F$19-1/2)*D3148/1000,0)</f>
        <v>0</v>
      </c>
      <c r="S3161" s="399" t="s">
        <v>205</v>
      </c>
      <c r="T3161" s="399" t="s">
        <v>125</v>
      </c>
      <c r="U3161" s="401">
        <f t="shared" si="10153"/>
        <v>1.041885</v>
      </c>
      <c r="V3161" s="399"/>
      <c r="W3161" s="399"/>
      <c r="X3161" s="399" t="s">
        <v>125</v>
      </c>
      <c r="Y3161" s="389">
        <f t="shared" ref="Y3161" si="10159">D3151</f>
        <v>1</v>
      </c>
      <c r="Z3161" s="400" t="s">
        <v>176</v>
      </c>
      <c r="AA3161" s="402">
        <f t="shared" ref="AA3161" si="10160">IF(AA3163=0,(D3161*N3161+P3161*R3161)*U3161*Y3161,0)</f>
        <v>0</v>
      </c>
      <c r="AB3161" s="403"/>
    </row>
    <row r="3162" spans="1:28">
      <c r="A3162" s="384" t="str">
        <f t="shared" ref="A3162:B3162" si="10161">A3145</f>
        <v>Lantai 2</v>
      </c>
      <c r="B3162" s="385">
        <f t="shared" si="10161"/>
        <v>18</v>
      </c>
      <c r="C3162" s="393" t="s">
        <v>209</v>
      </c>
      <c r="D3162" s="398">
        <f>VLOOKUP(D3145,'Detail Balok'!$C$10:$AU$140,28,FALSE)</f>
        <v>3</v>
      </c>
      <c r="E3162" s="388" t="s">
        <v>16</v>
      </c>
      <c r="F3162" s="388">
        <f>VLOOKUP(D3145,'Detail Balok'!$C$10:$AU$140,30,FALSE)</f>
        <v>13</v>
      </c>
      <c r="G3162" s="388"/>
      <c r="H3162" s="395"/>
      <c r="I3162" s="388" t="s">
        <v>203</v>
      </c>
      <c r="J3162" s="399">
        <f t="shared" si="10148"/>
        <v>0.46375</v>
      </c>
      <c r="K3162" s="400" t="s">
        <v>204</v>
      </c>
      <c r="L3162" s="399">
        <f t="shared" ref="L3162" si="10162">MAX(VLOOKUP(F3162,N$6:P$15,3,FALSE)/1000,2/3*D3150/1000)+F$16*F3162/1000</f>
        <v>0.156</v>
      </c>
      <c r="M3162" s="399" t="s">
        <v>176</v>
      </c>
      <c r="N3162" s="399">
        <f t="shared" si="10150"/>
        <v>0.61975000000000002</v>
      </c>
      <c r="O3162" s="399" t="s">
        <v>204</v>
      </c>
      <c r="P3162" s="389">
        <f t="shared" ref="P3162" si="10163">D3162-D3161</f>
        <v>0</v>
      </c>
      <c r="Q3162" s="399" t="s">
        <v>125</v>
      </c>
      <c r="R3162" s="399">
        <f t="shared" ref="R3162" si="10164">IF(P3162&gt;0,$F$18*F3162/1000,0)</f>
        <v>0</v>
      </c>
      <c r="S3162" s="399" t="s">
        <v>205</v>
      </c>
      <c r="T3162" s="399" t="s">
        <v>125</v>
      </c>
      <c r="U3162" s="401">
        <f t="shared" si="10153"/>
        <v>1.041885</v>
      </c>
      <c r="V3162" s="399"/>
      <c r="W3162" s="399"/>
      <c r="X3162" s="399" t="s">
        <v>125</v>
      </c>
      <c r="Y3162" s="389">
        <f t="shared" ref="Y3162" si="10165">D3151</f>
        <v>1</v>
      </c>
      <c r="Z3162" s="400" t="s">
        <v>176</v>
      </c>
      <c r="AA3162" s="402">
        <f t="shared" ref="AA3162" si="10166">IF(AA3163=0,(D3162*N3162+P3162*R3162)*U3162*Y3162,0)</f>
        <v>0</v>
      </c>
      <c r="AB3162" s="403"/>
    </row>
    <row r="3163" spans="1:28">
      <c r="A3163" s="384" t="str">
        <f t="shared" ref="A3163:B3163" si="10167">A3145</f>
        <v>Lantai 2</v>
      </c>
      <c r="B3163" s="385">
        <f t="shared" si="10167"/>
        <v>18</v>
      </c>
      <c r="C3163" s="393"/>
      <c r="D3163" s="398">
        <f t="shared" ref="D3163:D3223" si="10168">IF(AND(D3160=D3161,D3161=D3162,D3160=D3162),D3160,0)</f>
        <v>3</v>
      </c>
      <c r="E3163" s="388" t="s">
        <v>16</v>
      </c>
      <c r="F3163" s="388">
        <f t="shared" ref="F3163:F3223" si="10169">IF(AND(F3160=F3161,F3160=F3162,F3161=F3162),F3160,0)</f>
        <v>13</v>
      </c>
      <c r="G3163" s="388"/>
      <c r="H3163" s="395"/>
      <c r="I3163" s="388"/>
      <c r="J3163" s="396"/>
      <c r="K3163" s="396"/>
      <c r="L3163" s="404" t="s">
        <v>207</v>
      </c>
      <c r="M3163" s="399" t="s">
        <v>176</v>
      </c>
      <c r="N3163" s="399">
        <f t="shared" ref="N3163" si="10170">IF(AND(D3160=D3161,D3160=D3162,D3161=D3162,F3160=F3161,F3160=F3162,F3161=F3162),SUM(N3160:N3162),0)</f>
        <v>2.1669999999999998</v>
      </c>
      <c r="O3163" s="399" t="s">
        <v>204</v>
      </c>
      <c r="P3163" s="389">
        <f t="shared" ref="P3163" si="10171">IF(N3163&gt;12,ROUNDDOWN(N3163/12,0),0)</f>
        <v>0</v>
      </c>
      <c r="Q3163" s="399" t="s">
        <v>125</v>
      </c>
      <c r="R3163" s="399">
        <f t="shared" ref="R3163" si="10172">IF(P3163&gt;0,MAX(VLOOKUP(F3163,$D$6:$G$15,3,FALSE),600),0)/1000</f>
        <v>0</v>
      </c>
      <c r="S3163" s="396"/>
      <c r="T3163" s="396" t="s">
        <v>125</v>
      </c>
      <c r="U3163" s="401">
        <f t="shared" ref="U3163:U3223" si="10173">U3162</f>
        <v>1.041885</v>
      </c>
      <c r="V3163" s="396" t="s">
        <v>125</v>
      </c>
      <c r="W3163" s="399">
        <f t="shared" ref="W3163" si="10174">D3163</f>
        <v>3</v>
      </c>
      <c r="X3163" s="399" t="s">
        <v>125</v>
      </c>
      <c r="Y3163" s="389">
        <f t="shared" ref="Y3163:Y3223" si="10175">Y3162</f>
        <v>1</v>
      </c>
      <c r="Z3163" s="400" t="s">
        <v>176</v>
      </c>
      <c r="AA3163" s="402">
        <f t="shared" ref="AA3163" si="10176">(N3163+P3163*R3163/1000)*U3163*W3163*Y3163</f>
        <v>6.773294384999998</v>
      </c>
      <c r="AB3163" s="403"/>
    </row>
    <row r="3164" spans="1:28">
      <c r="A3164" s="384"/>
      <c r="B3164" s="385"/>
      <c r="C3164" s="393"/>
      <c r="D3164" s="394"/>
      <c r="E3164" s="388"/>
      <c r="F3164" s="388"/>
      <c r="G3164" s="388"/>
      <c r="H3164" s="395"/>
      <c r="I3164" s="388"/>
      <c r="J3164" s="399"/>
      <c r="K3164" s="396"/>
      <c r="L3164" s="396"/>
      <c r="M3164" s="396"/>
      <c r="N3164" s="396"/>
      <c r="O3164" s="396"/>
      <c r="P3164" s="389"/>
      <c r="Q3164" s="396"/>
      <c r="R3164" s="396"/>
      <c r="S3164" s="396"/>
      <c r="T3164" s="396"/>
      <c r="U3164" s="401"/>
      <c r="V3164" s="396"/>
      <c r="W3164" s="388"/>
      <c r="X3164" s="396"/>
      <c r="Y3164" s="389"/>
      <c r="Z3164" s="396"/>
      <c r="AA3164" s="388"/>
      <c r="AB3164" s="390"/>
    </row>
    <row r="3165" spans="1:28">
      <c r="A3165" s="384" t="str">
        <f t="shared" ref="A3165:B3165" si="10177">A3145</f>
        <v>Lantai 2</v>
      </c>
      <c r="B3165" s="385">
        <f t="shared" si="10177"/>
        <v>18</v>
      </c>
      <c r="C3165" s="393" t="s">
        <v>211</v>
      </c>
      <c r="D3165" s="398">
        <f>VLOOKUP(D3145,'Detail Balok'!$C$10:$AU$140,31,FALSE)</f>
        <v>0</v>
      </c>
      <c r="E3165" s="388" t="s">
        <v>16</v>
      </c>
      <c r="F3165" s="388">
        <f>VLOOKUP(D3145,'Detail Balok'!$C$10:$AU$140,33,FALSE)</f>
        <v>10</v>
      </c>
      <c r="G3165" s="405" t="s">
        <v>157</v>
      </c>
      <c r="H3165" s="395">
        <f>VLOOKUP(D3145,'Detail Balok'!$C$10:$AU$140,35,FALSE)</f>
        <v>100</v>
      </c>
      <c r="I3165" s="388"/>
      <c r="J3165" s="400">
        <f t="shared" ref="J3165" si="10178">(IF(D3165=0,(2*(D3146+G3146))-(F$5*8),IF(D3165=3,(2*(D3146+G3146))-(F$5*8)+(G3146-2*F$5),IF(D3165=4,(2*(D3146+G3146))-(F$5*8)+2*(G3146-2*F$5)))))/1000</f>
        <v>0.88</v>
      </c>
      <c r="K3165" s="400" t="s">
        <v>204</v>
      </c>
      <c r="L3165" s="399">
        <f t="shared" ref="L3165:L3167" si="10179">IF(D3165=0,2*MAX(6*F3165,75),(D3165-1)*2*MAX(6*F3165,75))/1000</f>
        <v>0.15</v>
      </c>
      <c r="M3165" s="399" t="s">
        <v>176</v>
      </c>
      <c r="N3165" s="399">
        <f t="shared" ref="N3165:N3167" si="10180">J3165+L3165</f>
        <v>1.03</v>
      </c>
      <c r="O3165" s="399"/>
      <c r="P3165" s="389"/>
      <c r="Q3165" s="399"/>
      <c r="R3165" s="399"/>
      <c r="S3165" s="399"/>
      <c r="T3165" s="399" t="s">
        <v>125</v>
      </c>
      <c r="U3165" s="401">
        <f t="shared" ref="U3165:U3167" si="10181">0.006165*F3165^2</f>
        <v>0.61650000000000005</v>
      </c>
      <c r="V3165" s="399" t="s">
        <v>125</v>
      </c>
      <c r="W3165" s="399">
        <f t="shared" ref="W3165" si="10182">IF(D3148&gt;4*G3146,ROUND(MAX(D3148/4,2*G3146)/H3165,0)+1,ROUND(D3148/H3165,0)+1)</f>
        <v>9</v>
      </c>
      <c r="X3165" s="399" t="s">
        <v>125</v>
      </c>
      <c r="Y3165" s="389">
        <f t="shared" ref="Y3165" si="10183">D3151</f>
        <v>1</v>
      </c>
      <c r="Z3165" s="400" t="s">
        <v>176</v>
      </c>
      <c r="AA3165" s="402">
        <f t="shared" ref="AA3165:AA3167" si="10184">N3165*U3165*W3165*Y3165</f>
        <v>5.7149550000000007</v>
      </c>
      <c r="AB3165" s="403"/>
    </row>
    <row r="3166" spans="1:28">
      <c r="A3166" s="384" t="str">
        <f t="shared" ref="A3166:B3166" si="10185">A3145</f>
        <v>Lantai 2</v>
      </c>
      <c r="B3166" s="385">
        <f t="shared" si="10185"/>
        <v>18</v>
      </c>
      <c r="C3166" s="393" t="s">
        <v>212</v>
      </c>
      <c r="D3166" s="398">
        <f>VLOOKUP(D3145,'Detail Balok'!$C$10:$AU$140,36,FALSE)</f>
        <v>0</v>
      </c>
      <c r="E3166" s="388" t="s">
        <v>16</v>
      </c>
      <c r="F3166" s="388">
        <f>VLOOKUP(D3145,'Detail Balok'!$C$10:$AU$140,38,FALSE)</f>
        <v>10</v>
      </c>
      <c r="G3166" s="405" t="s">
        <v>157</v>
      </c>
      <c r="H3166" s="395">
        <f>VLOOKUP(D3145,'Detail Balok'!$C$10:$AU$140,40,FALSE)</f>
        <v>200</v>
      </c>
      <c r="I3166" s="388"/>
      <c r="J3166" s="400">
        <f t="shared" ref="J3166" si="10186">(IF(D3166=0,(2*(D3146+G3146))-(F$5*8),IF(D3166=3,(2*(D3146+G3146))-(F$5*8)+(G3146-2*F$5),IF(D3166=4,(2*(D3146+G3146))-(F$5*8)+2*(G3146-2*F$5)))))/1000</f>
        <v>0.88</v>
      </c>
      <c r="K3166" s="400" t="s">
        <v>204</v>
      </c>
      <c r="L3166" s="399">
        <f t="shared" si="10179"/>
        <v>0.15</v>
      </c>
      <c r="M3166" s="399" t="s">
        <v>176</v>
      </c>
      <c r="N3166" s="399">
        <f t="shared" si="10180"/>
        <v>1.03</v>
      </c>
      <c r="O3166" s="399"/>
      <c r="P3166" s="389"/>
      <c r="Q3166" s="399"/>
      <c r="R3166" s="399"/>
      <c r="S3166" s="399"/>
      <c r="T3166" s="399" t="s">
        <v>125</v>
      </c>
      <c r="U3166" s="401">
        <f t="shared" si="10181"/>
        <v>0.61650000000000005</v>
      </c>
      <c r="V3166" s="399" t="s">
        <v>125</v>
      </c>
      <c r="W3166" s="399">
        <f t="shared" ref="W3166" si="10187">IF(D3148-MAX(D3148/4,2*G3146)*2&gt;0,ROUND((D3148-MAX(D3148/4,2*G3146)*2)/H3166,0),0)</f>
        <v>1</v>
      </c>
      <c r="X3166" s="399" t="s">
        <v>125</v>
      </c>
      <c r="Y3166" s="389">
        <f t="shared" ref="Y3166" si="10188">D3151</f>
        <v>1</v>
      </c>
      <c r="Z3166" s="400" t="s">
        <v>176</v>
      </c>
      <c r="AA3166" s="402">
        <f t="shared" si="10184"/>
        <v>0.63499500000000009</v>
      </c>
      <c r="AB3166" s="403"/>
    </row>
    <row r="3167" spans="1:28">
      <c r="A3167" s="384" t="str">
        <f t="shared" ref="A3167:B3167" si="10189">A3145</f>
        <v>Lantai 2</v>
      </c>
      <c r="B3167" s="385">
        <f t="shared" si="10189"/>
        <v>18</v>
      </c>
      <c r="C3167" s="393" t="s">
        <v>211</v>
      </c>
      <c r="D3167" s="398">
        <f>VLOOKUP(D3145,'Detail Balok'!$C$10:$AU$140,41,FALSE)</f>
        <v>0</v>
      </c>
      <c r="E3167" s="388" t="s">
        <v>16</v>
      </c>
      <c r="F3167" s="388">
        <f>VLOOKUP(D3145,'Detail Balok'!$C$10:$AU$140,43,FALSE)</f>
        <v>10</v>
      </c>
      <c r="G3167" s="405" t="s">
        <v>157</v>
      </c>
      <c r="H3167" s="395">
        <f>VLOOKUP(D3145,'Detail Balok'!$C$10:$AU$140,45,FALSE)</f>
        <v>100</v>
      </c>
      <c r="I3167" s="388"/>
      <c r="J3167" s="400">
        <f t="shared" ref="J3167" si="10190">(IF(D3167=0,(2*(D3146+G3146))-(F$5*8),IF(D3167=3,(2*(D3146+G3146))-(F$5*8)+(G3146-2*F$5),IF(D3167=4,(2*(D3146+G3146))-(F$5*8)+2*(G3146-2*F$5)))))/1000</f>
        <v>0.88</v>
      </c>
      <c r="K3167" s="400" t="s">
        <v>204</v>
      </c>
      <c r="L3167" s="399">
        <f t="shared" si="10179"/>
        <v>0.15</v>
      </c>
      <c r="M3167" s="399" t="s">
        <v>176</v>
      </c>
      <c r="N3167" s="399">
        <f t="shared" si="10180"/>
        <v>1.03</v>
      </c>
      <c r="O3167" s="399"/>
      <c r="P3167" s="389"/>
      <c r="Q3167" s="399"/>
      <c r="R3167" s="399"/>
      <c r="S3167" s="399"/>
      <c r="T3167" s="399" t="s">
        <v>125</v>
      </c>
      <c r="U3167" s="401">
        <f t="shared" si="10181"/>
        <v>0.61650000000000005</v>
      </c>
      <c r="V3167" s="399" t="s">
        <v>125</v>
      </c>
      <c r="W3167" s="399">
        <f t="shared" ref="W3167" si="10191">IF(D3148&gt;4*G3146,ROUND(MAX(D3148/4,2*G3146)/H3167,0)+1,0)</f>
        <v>9</v>
      </c>
      <c r="X3167" s="399" t="s">
        <v>125</v>
      </c>
      <c r="Y3167" s="389">
        <f t="shared" ref="Y3167" si="10192">D3151</f>
        <v>1</v>
      </c>
      <c r="Z3167" s="400" t="s">
        <v>176</v>
      </c>
      <c r="AA3167" s="402">
        <f t="shared" si="10184"/>
        <v>5.7149550000000007</v>
      </c>
      <c r="AB3167" s="403"/>
    </row>
    <row r="3168" spans="1:28">
      <c r="A3168" s="384"/>
      <c r="B3168" s="385"/>
      <c r="C3168" s="393"/>
      <c r="D3168" s="394"/>
      <c r="E3168" s="388"/>
      <c r="F3168" s="388"/>
      <c r="G3168" s="388"/>
      <c r="H3168" s="395"/>
      <c r="I3168" s="388"/>
      <c r="J3168" s="399"/>
      <c r="K3168" s="396"/>
      <c r="L3168" s="396"/>
      <c r="M3168" s="396"/>
      <c r="N3168" s="396"/>
      <c r="O3168" s="396"/>
      <c r="P3168" s="389"/>
      <c r="Q3168" s="396"/>
      <c r="R3168" s="396"/>
      <c r="S3168" s="396"/>
      <c r="T3168" s="396"/>
      <c r="U3168" s="401"/>
      <c r="V3168" s="396"/>
      <c r="W3168" s="388"/>
      <c r="X3168" s="396"/>
      <c r="Y3168" s="389"/>
      <c r="Z3168" s="396"/>
      <c r="AA3168" s="388"/>
      <c r="AB3168" s="390"/>
    </row>
    <row r="3169" spans="1:28">
      <c r="A3169" s="384" t="str">
        <f t="shared" ref="A3169:B3169" si="10193">A3145</f>
        <v>Lantai 2</v>
      </c>
      <c r="B3169" s="385">
        <f t="shared" si="10193"/>
        <v>18</v>
      </c>
      <c r="C3169" s="393" t="s">
        <v>213</v>
      </c>
      <c r="D3169" s="398">
        <f>VLOOKUP(D3145,'Detail Balok'!$C$10:$BJ$140,46,FALSE)</f>
        <v>0</v>
      </c>
      <c r="E3169" s="388" t="s">
        <v>16</v>
      </c>
      <c r="F3169" s="388">
        <f>VLOOKUP(D3145,'Detail Balok'!$C$10:$BJ$140,48,FALSE)</f>
        <v>0</v>
      </c>
      <c r="G3169" s="405" t="s">
        <v>157</v>
      </c>
      <c r="H3169" s="395">
        <f>VLOOKUP(D3145,'Detail Balok'!$C$10:$BJ$140,50,FALSE)</f>
        <v>100</v>
      </c>
      <c r="I3169" s="388"/>
      <c r="J3169" s="399">
        <f t="shared" ref="J3169" si="10194">(D3146-2*F$5)/1000</f>
        <v>0.12</v>
      </c>
      <c r="K3169" s="400" t="s">
        <v>204</v>
      </c>
      <c r="L3169" s="399">
        <f t="shared" ref="L3169:L3171" si="10195">IF(D3169=0,2*MAX(6*F3169,75),(D3169-1)*2*MAX(6*F3169,75))/1000</f>
        <v>0.15</v>
      </c>
      <c r="M3169" s="399" t="s">
        <v>176</v>
      </c>
      <c r="N3169" s="399">
        <f t="shared" ref="N3169:N3171" si="10196">J3169+L3169</f>
        <v>0.27</v>
      </c>
      <c r="O3169" s="399"/>
      <c r="P3169" s="399"/>
      <c r="Q3169" s="399"/>
      <c r="R3169" s="399"/>
      <c r="S3169" s="399"/>
      <c r="T3169" s="399" t="s">
        <v>125</v>
      </c>
      <c r="U3169" s="401">
        <f t="shared" ref="U3169:U3171" si="10197">0.006165*F3169^2</f>
        <v>0</v>
      </c>
      <c r="V3169" s="399" t="s">
        <v>125</v>
      </c>
      <c r="W3169" s="399">
        <f t="shared" ref="W3169:W3231" si="10198">W3165</f>
        <v>9</v>
      </c>
      <c r="X3169" s="399" t="s">
        <v>125</v>
      </c>
      <c r="Y3169" s="389">
        <f t="shared" ref="Y3169" si="10199">D3155</f>
        <v>3</v>
      </c>
      <c r="Z3169" s="400" t="s">
        <v>176</v>
      </c>
      <c r="AA3169" s="402">
        <f t="shared" ref="AA3169:AA3171" si="10200">N3169*U3169*W3169*Y3169</f>
        <v>0</v>
      </c>
      <c r="AB3169" s="403"/>
    </row>
    <row r="3170" spans="1:28">
      <c r="A3170" s="384" t="str">
        <f t="shared" ref="A3170:B3170" si="10201">A3145</f>
        <v>Lantai 2</v>
      </c>
      <c r="B3170" s="385">
        <f t="shared" si="10201"/>
        <v>18</v>
      </c>
      <c r="C3170" s="393" t="s">
        <v>214</v>
      </c>
      <c r="D3170" s="398">
        <f>VLOOKUP(D3145,'Detail Balok'!$C$10:$BJ$140,51,FALSE)</f>
        <v>0</v>
      </c>
      <c r="E3170" s="388" t="s">
        <v>16</v>
      </c>
      <c r="F3170" s="388">
        <f>VLOOKUP(D3145,'Detail Balok'!$C$10:$BJ$140,53,FALSE)</f>
        <v>0</v>
      </c>
      <c r="G3170" s="405" t="s">
        <v>157</v>
      </c>
      <c r="H3170" s="395">
        <f>VLOOKUP(D3145,'Detail Balok'!$C$10:$BJ$140,55,FALSE)</f>
        <v>100</v>
      </c>
      <c r="I3170" s="388"/>
      <c r="J3170" s="399">
        <f t="shared" ref="J3170" si="10202">(D3146-2*F$5)/1000</f>
        <v>0.12</v>
      </c>
      <c r="K3170" s="400" t="s">
        <v>204</v>
      </c>
      <c r="L3170" s="399">
        <f t="shared" si="10195"/>
        <v>0.15</v>
      </c>
      <c r="M3170" s="399" t="s">
        <v>176</v>
      </c>
      <c r="N3170" s="399">
        <f t="shared" si="10196"/>
        <v>0.27</v>
      </c>
      <c r="O3170" s="399"/>
      <c r="P3170" s="399"/>
      <c r="Q3170" s="399"/>
      <c r="R3170" s="399"/>
      <c r="S3170" s="399"/>
      <c r="T3170" s="399" t="s">
        <v>125</v>
      </c>
      <c r="U3170" s="401">
        <f t="shared" si="10197"/>
        <v>0</v>
      </c>
      <c r="V3170" s="399" t="s">
        <v>125</v>
      </c>
      <c r="W3170" s="399">
        <f t="shared" si="10198"/>
        <v>1</v>
      </c>
      <c r="X3170" s="399" t="s">
        <v>125</v>
      </c>
      <c r="Y3170" s="389">
        <f t="shared" ref="Y3170" si="10203">D3155</f>
        <v>3</v>
      </c>
      <c r="Z3170" s="400" t="s">
        <v>176</v>
      </c>
      <c r="AA3170" s="402">
        <f t="shared" si="10200"/>
        <v>0</v>
      </c>
      <c r="AB3170" s="403"/>
    </row>
    <row r="3171" spans="1:28">
      <c r="A3171" s="384" t="str">
        <f t="shared" ref="A3171:B3171" si="10204">A3145</f>
        <v>Lantai 2</v>
      </c>
      <c r="B3171" s="385">
        <f t="shared" si="10204"/>
        <v>18</v>
      </c>
      <c r="C3171" s="393" t="s">
        <v>213</v>
      </c>
      <c r="D3171" s="398">
        <f>VLOOKUP(D3145,'Detail Balok'!$C$10:$BJ$140,56,FALSE)</f>
        <v>0</v>
      </c>
      <c r="E3171" s="388" t="s">
        <v>16</v>
      </c>
      <c r="F3171" s="388">
        <f>VLOOKUP(D3145,'Detail Balok'!$C$10:$BJ$140,58,FALSE)</f>
        <v>0</v>
      </c>
      <c r="G3171" s="405" t="s">
        <v>157</v>
      </c>
      <c r="H3171" s="395">
        <f>VLOOKUP(D3145,'Detail Balok'!$C$10:$BJ$140,60,FALSE)</f>
        <v>100</v>
      </c>
      <c r="I3171" s="388"/>
      <c r="J3171" s="399">
        <f t="shared" ref="J3171" si="10205">(D3146-2*F$5)/1000</f>
        <v>0.12</v>
      </c>
      <c r="K3171" s="400" t="s">
        <v>204</v>
      </c>
      <c r="L3171" s="399">
        <f t="shared" si="10195"/>
        <v>0.15</v>
      </c>
      <c r="M3171" s="399" t="s">
        <v>176</v>
      </c>
      <c r="N3171" s="399">
        <f t="shared" si="10196"/>
        <v>0.27</v>
      </c>
      <c r="O3171" s="399"/>
      <c r="P3171" s="399"/>
      <c r="Q3171" s="399"/>
      <c r="R3171" s="399"/>
      <c r="S3171" s="399"/>
      <c r="T3171" s="399" t="s">
        <v>125</v>
      </c>
      <c r="U3171" s="401">
        <f t="shared" si="10197"/>
        <v>0</v>
      </c>
      <c r="V3171" s="399" t="s">
        <v>125</v>
      </c>
      <c r="W3171" s="399">
        <f t="shared" si="10198"/>
        <v>9</v>
      </c>
      <c r="X3171" s="399" t="s">
        <v>125</v>
      </c>
      <c r="Y3171" s="389">
        <f t="shared" ref="Y3171" si="10206">D3155</f>
        <v>3</v>
      </c>
      <c r="Z3171" s="400" t="s">
        <v>176</v>
      </c>
      <c r="AA3171" s="402">
        <f t="shared" si="10200"/>
        <v>0</v>
      </c>
      <c r="AB3171" s="403"/>
    </row>
    <row r="3172" spans="1:28">
      <c r="A3172" s="391"/>
      <c r="B3172" s="392"/>
      <c r="C3172" s="392"/>
      <c r="D3172" s="394"/>
      <c r="E3172" s="388"/>
      <c r="F3172" s="388"/>
      <c r="G3172" s="388"/>
      <c r="H3172" s="395"/>
      <c r="I3172" s="388"/>
      <c r="J3172" s="402"/>
      <c r="K3172" s="388"/>
      <c r="L3172" s="388"/>
      <c r="M3172" s="388"/>
      <c r="N3172" s="388"/>
      <c r="O3172" s="388"/>
      <c r="P3172" s="388"/>
      <c r="Q3172" s="388"/>
      <c r="R3172" s="388"/>
      <c r="S3172" s="388"/>
      <c r="T3172" s="388"/>
      <c r="U3172" s="388"/>
      <c r="V3172" s="388"/>
      <c r="W3172" s="388"/>
      <c r="X3172" s="388"/>
      <c r="Y3172" s="389"/>
      <c r="Z3172" s="388"/>
      <c r="AA3172" s="402"/>
      <c r="AB3172" s="403"/>
    </row>
    <row r="3173" spans="1:28" ht="15.75" thickBot="1">
      <c r="A3173" s="406"/>
      <c r="B3173" s="407"/>
      <c r="C3173" s="407"/>
      <c r="D3173" s="408"/>
      <c r="E3173" s="409"/>
      <c r="F3173" s="409"/>
      <c r="G3173" s="409"/>
      <c r="H3173" s="410"/>
      <c r="I3173" s="409"/>
      <c r="J3173" s="409"/>
      <c r="K3173" s="409"/>
      <c r="L3173" s="409"/>
      <c r="M3173" s="409"/>
      <c r="N3173" s="409"/>
      <c r="O3173" s="409"/>
      <c r="P3173" s="409"/>
      <c r="Q3173" s="409"/>
      <c r="R3173" s="409"/>
      <c r="S3173" s="409"/>
      <c r="T3173" s="409"/>
      <c r="U3173" s="409"/>
      <c r="V3173" s="409"/>
      <c r="W3173" s="409"/>
      <c r="X3173" s="409"/>
      <c r="Y3173" s="411"/>
      <c r="Z3173" s="409"/>
      <c r="AA3173" s="412"/>
      <c r="AB3173" s="413"/>
    </row>
    <row r="3174" spans="1:28">
      <c r="A3174" s="377"/>
      <c r="B3174" s="378"/>
      <c r="C3174" s="378"/>
      <c r="D3174" s="379"/>
      <c r="E3174" s="380"/>
      <c r="F3174" s="380"/>
      <c r="G3174" s="380"/>
      <c r="H3174" s="381"/>
      <c r="I3174" s="380"/>
      <c r="J3174" s="380"/>
      <c r="K3174" s="380"/>
      <c r="L3174" s="380"/>
      <c r="M3174" s="380"/>
      <c r="N3174" s="380"/>
      <c r="O3174" s="380"/>
      <c r="P3174" s="380"/>
      <c r="Q3174" s="380"/>
      <c r="R3174" s="380"/>
      <c r="S3174" s="380"/>
      <c r="T3174" s="380"/>
      <c r="U3174" s="380"/>
      <c r="V3174" s="380"/>
      <c r="W3174" s="380"/>
      <c r="X3174" s="380"/>
      <c r="Y3174" s="382"/>
      <c r="Z3174" s="380"/>
      <c r="AA3174" s="380"/>
      <c r="AB3174" s="383"/>
    </row>
    <row r="3175" spans="1:28">
      <c r="A3175" s="384" t="str">
        <f t="shared" ref="A3175:A3235" si="10207">A3145</f>
        <v>Lantai 2</v>
      </c>
      <c r="B3175" s="385">
        <f t="shared" ref="B3175:B3235" si="10208">B3145+1</f>
        <v>19</v>
      </c>
      <c r="C3175" s="386" t="str">
        <f t="shared" ref="C3175" si="10209">CONCATENATE(A3175," no. ",B3175)</f>
        <v>Lantai 2 no. 19</v>
      </c>
      <c r="D3175" s="2562" t="str">
        <f>VLOOKUP(C3175,'Data Panjang Balok'!$C$9:$N$254,2,FALSE)</f>
        <v>B23-1</v>
      </c>
      <c r="E3175" s="2576"/>
      <c r="F3175" s="2576"/>
      <c r="G3175" s="2576"/>
      <c r="H3175" s="2577"/>
      <c r="I3175" s="387"/>
      <c r="J3175" s="388"/>
      <c r="K3175" s="388"/>
      <c r="L3175" s="388"/>
      <c r="M3175" s="388"/>
      <c r="N3175" s="388"/>
      <c r="O3175" s="388"/>
      <c r="P3175" s="388"/>
      <c r="Q3175" s="388"/>
      <c r="R3175" s="388"/>
      <c r="S3175" s="388"/>
      <c r="T3175" s="388"/>
      <c r="U3175" s="388"/>
      <c r="V3175" s="388"/>
      <c r="W3175" s="388"/>
      <c r="X3175" s="388"/>
      <c r="Y3175" s="389"/>
      <c r="Z3175" s="388"/>
      <c r="AA3175" s="388"/>
      <c r="AB3175" s="390"/>
    </row>
    <row r="3176" spans="1:28">
      <c r="A3176" s="391"/>
      <c r="B3176" s="392"/>
      <c r="C3176" s="393" t="s">
        <v>118</v>
      </c>
      <c r="D3176" s="2578">
        <f>VLOOKUP(D3175,'Detail Balok'!$C$10:$AU$140,2,FALSE)</f>
        <v>200</v>
      </c>
      <c r="E3176" s="2579"/>
      <c r="F3176" s="388" t="s">
        <v>125</v>
      </c>
      <c r="G3176" s="2579">
        <f>VLOOKUP(D3175,'Detail Balok'!$C$10:$AU$140,3,FALSE)</f>
        <v>300</v>
      </c>
      <c r="H3176" s="2580"/>
      <c r="I3176" s="388"/>
      <c r="J3176" s="396"/>
      <c r="K3176" s="396"/>
      <c r="L3176" s="396"/>
      <c r="M3176" s="396"/>
      <c r="N3176" s="396"/>
      <c r="O3176" s="396"/>
      <c r="P3176" s="396"/>
      <c r="Q3176" s="396"/>
      <c r="R3176" s="396"/>
      <c r="S3176" s="396"/>
      <c r="T3176" s="396"/>
      <c r="U3176" s="388"/>
      <c r="V3176" s="396"/>
      <c r="W3176" s="388"/>
      <c r="X3176" s="396"/>
      <c r="Y3176" s="389"/>
      <c r="Z3176" s="396"/>
      <c r="AA3176" s="388"/>
      <c r="AB3176" s="390"/>
    </row>
    <row r="3177" spans="1:28">
      <c r="A3177" s="391"/>
      <c r="B3177" s="392"/>
      <c r="C3177" s="393" t="s">
        <v>198</v>
      </c>
      <c r="D3177" s="2562">
        <f>VLOOKUP(C3175,'Data Panjang Balok'!$C$9:$N$254,4,FALSE)</f>
        <v>2075</v>
      </c>
      <c r="E3177" s="2563"/>
      <c r="F3177" s="2563"/>
      <c r="G3177" s="2563"/>
      <c r="H3177" s="2564"/>
      <c r="I3177" s="397"/>
      <c r="J3177" s="396"/>
      <c r="K3177" s="396"/>
      <c r="L3177" s="396"/>
      <c r="M3177" s="396"/>
      <c r="N3177" s="396"/>
      <c r="O3177" s="396"/>
      <c r="P3177" s="396"/>
      <c r="Q3177" s="396"/>
      <c r="R3177" s="396"/>
      <c r="S3177" s="396"/>
      <c r="T3177" s="396"/>
      <c r="U3177" s="388"/>
      <c r="V3177" s="396"/>
      <c r="W3177" s="388"/>
      <c r="X3177" s="396"/>
      <c r="Y3177" s="389"/>
      <c r="Z3177" s="396"/>
      <c r="AA3177" s="388"/>
      <c r="AB3177" s="390"/>
    </row>
    <row r="3178" spans="1:28">
      <c r="A3178" s="391"/>
      <c r="B3178" s="392"/>
      <c r="C3178" s="393" t="s">
        <v>199</v>
      </c>
      <c r="D3178" s="2562">
        <f>VLOOKUP(C3175,'Data Panjang Balok'!$C$9:$N$254,7,FALSE)</f>
        <v>2075</v>
      </c>
      <c r="E3178" s="2563"/>
      <c r="F3178" s="2563"/>
      <c r="G3178" s="2563"/>
      <c r="H3178" s="2564"/>
      <c r="I3178" s="397"/>
      <c r="J3178" s="396"/>
      <c r="K3178" s="396"/>
      <c r="L3178" s="396"/>
      <c r="M3178" s="396"/>
      <c r="N3178" s="396"/>
      <c r="O3178" s="396"/>
      <c r="P3178" s="396"/>
      <c r="Q3178" s="396"/>
      <c r="R3178" s="396"/>
      <c r="S3178" s="396"/>
      <c r="T3178" s="396"/>
      <c r="U3178" s="388"/>
      <c r="V3178" s="396"/>
      <c r="W3178" s="388"/>
      <c r="X3178" s="396"/>
      <c r="Y3178" s="389"/>
      <c r="Z3178" s="396"/>
      <c r="AA3178" s="388"/>
      <c r="AB3178" s="390"/>
    </row>
    <row r="3179" spans="1:28">
      <c r="A3179" s="391"/>
      <c r="B3179" s="392"/>
      <c r="C3179" s="393" t="s">
        <v>200</v>
      </c>
      <c r="D3179" s="2562">
        <f>VLOOKUP(C3175,'Data Panjang Balok'!$C$9:$N$254,9,FALSE)</f>
        <v>0</v>
      </c>
      <c r="E3179" s="2563"/>
      <c r="F3179" s="2563"/>
      <c r="G3179" s="2563"/>
      <c r="H3179" s="2564"/>
      <c r="I3179" s="397"/>
      <c r="J3179" s="396"/>
      <c r="K3179" s="396"/>
      <c r="L3179" s="396"/>
      <c r="M3179" s="396"/>
      <c r="N3179" s="396"/>
      <c r="O3179" s="396"/>
      <c r="P3179" s="396"/>
      <c r="Q3179" s="396"/>
      <c r="R3179" s="396"/>
      <c r="S3179" s="396"/>
      <c r="T3179" s="396"/>
      <c r="U3179" s="388"/>
      <c r="V3179" s="396"/>
      <c r="W3179" s="388"/>
      <c r="X3179" s="396"/>
      <c r="Y3179" s="389"/>
      <c r="Z3179" s="396"/>
      <c r="AA3179" s="388"/>
      <c r="AB3179" s="390"/>
    </row>
    <row r="3180" spans="1:28">
      <c r="A3180" s="391"/>
      <c r="B3180" s="392"/>
      <c r="C3180" s="393" t="s">
        <v>201</v>
      </c>
      <c r="D3180" s="2562">
        <f>VLOOKUP(C3175,'Data Panjang Balok'!$C$9:$N$254,10,FALSE)</f>
        <v>0</v>
      </c>
      <c r="E3180" s="2563"/>
      <c r="F3180" s="2563"/>
      <c r="G3180" s="2563"/>
      <c r="H3180" s="2564"/>
      <c r="I3180" s="397"/>
      <c r="J3180" s="396"/>
      <c r="K3180" s="396"/>
      <c r="L3180" s="396"/>
      <c r="M3180" s="396"/>
      <c r="N3180" s="396"/>
      <c r="O3180" s="396"/>
      <c r="P3180" s="396"/>
      <c r="Q3180" s="396"/>
      <c r="R3180" s="396"/>
      <c r="S3180" s="396"/>
      <c r="T3180" s="396"/>
      <c r="U3180" s="388"/>
      <c r="V3180" s="396"/>
      <c r="W3180" s="388"/>
      <c r="X3180" s="396"/>
      <c r="Y3180" s="389"/>
      <c r="Z3180" s="396"/>
      <c r="AA3180" s="388"/>
      <c r="AB3180" s="390"/>
    </row>
    <row r="3181" spans="1:28">
      <c r="A3181" s="391"/>
      <c r="B3181" s="392"/>
      <c r="C3181" s="393" t="s">
        <v>48</v>
      </c>
      <c r="D3181" s="2562">
        <f>VLOOKUP(C3175,'Data Panjang Balok'!$C$9:$N$254,3,FALSE)</f>
        <v>1</v>
      </c>
      <c r="E3181" s="2563"/>
      <c r="F3181" s="2563"/>
      <c r="G3181" s="2563"/>
      <c r="H3181" s="2564"/>
      <c r="I3181" s="397"/>
      <c r="J3181" s="396"/>
      <c r="K3181" s="396"/>
      <c r="L3181" s="396"/>
      <c r="M3181" s="396"/>
      <c r="N3181" s="396"/>
      <c r="O3181" s="396"/>
      <c r="P3181" s="396"/>
      <c r="Q3181" s="396"/>
      <c r="R3181" s="396"/>
      <c r="S3181" s="396"/>
      <c r="T3181" s="396"/>
      <c r="U3181" s="388"/>
      <c r="V3181" s="396"/>
      <c r="W3181" s="388"/>
      <c r="X3181" s="396"/>
      <c r="Y3181" s="389"/>
      <c r="Z3181" s="396"/>
      <c r="AA3181" s="388"/>
      <c r="AB3181" s="390"/>
    </row>
    <row r="3182" spans="1:28">
      <c r="A3182" s="384" t="str">
        <f t="shared" ref="A3182:B3182" si="10210">A3175</f>
        <v>Lantai 2</v>
      </c>
      <c r="B3182" s="385">
        <f t="shared" si="10210"/>
        <v>19</v>
      </c>
      <c r="C3182" s="393" t="s">
        <v>202</v>
      </c>
      <c r="D3182" s="398">
        <f>VLOOKUP(D3175,'Detail Balok'!$C$10:$AU$140,4,FALSE)</f>
        <v>3</v>
      </c>
      <c r="E3182" s="388" t="s">
        <v>16</v>
      </c>
      <c r="F3182" s="388">
        <f>VLOOKUP(D3175,'Detail Balok'!$C$10:$AU$140,6,FALSE)</f>
        <v>13</v>
      </c>
      <c r="G3182" s="388"/>
      <c r="H3182" s="395"/>
      <c r="I3182" s="388" t="s">
        <v>203</v>
      </c>
      <c r="J3182" s="399">
        <f t="shared" ref="J3182" si="10211">+D3177/4/1000</f>
        <v>0.51875000000000004</v>
      </c>
      <c r="K3182" s="400" t="s">
        <v>204</v>
      </c>
      <c r="L3182" s="399">
        <f t="shared" ref="L3182" si="10212">MAX(VLOOKUP(F3182,N$6:P$15,3,FALSE)/1000,2/3*D3179/1000)+F$16*F3182/1000</f>
        <v>0.156</v>
      </c>
      <c r="M3182" s="399" t="s">
        <v>176</v>
      </c>
      <c r="N3182" s="399">
        <f t="shared" ref="N3182:N3184" si="10213">J3182+L3182</f>
        <v>0.67475000000000007</v>
      </c>
      <c r="O3182" s="399" t="s">
        <v>204</v>
      </c>
      <c r="P3182" s="389">
        <f t="shared" ref="P3182" si="10214">D3182-D3183</f>
        <v>0</v>
      </c>
      <c r="Q3182" s="399" t="s">
        <v>125</v>
      </c>
      <c r="R3182" s="399">
        <f t="shared" ref="R3182" si="10215">IF(P3182&gt;0,$F$18*F3182/1000,0)</f>
        <v>0</v>
      </c>
      <c r="S3182" s="399" t="s">
        <v>205</v>
      </c>
      <c r="T3182" s="399" t="s">
        <v>125</v>
      </c>
      <c r="U3182" s="401">
        <f t="shared" ref="U3182:U3184" si="10216">0.006165*F3182^2</f>
        <v>1.041885</v>
      </c>
      <c r="V3182" s="399"/>
      <c r="W3182" s="399"/>
      <c r="X3182" s="399" t="s">
        <v>125</v>
      </c>
      <c r="Y3182" s="389">
        <f t="shared" ref="Y3182" si="10217">D3181</f>
        <v>1</v>
      </c>
      <c r="Z3182" s="400" t="s">
        <v>176</v>
      </c>
      <c r="AA3182" s="402">
        <f t="shared" ref="AA3182" si="10218">IF(AA3185=0,(D3182*N3182+P3182*R3182)*U3182*Y3182,0)</f>
        <v>0</v>
      </c>
      <c r="AB3182" s="403"/>
    </row>
    <row r="3183" spans="1:28">
      <c r="A3183" s="384" t="str">
        <f t="shared" ref="A3183:B3183" si="10219">A3175</f>
        <v>Lantai 2</v>
      </c>
      <c r="B3183" s="385">
        <f t="shared" si="10219"/>
        <v>19</v>
      </c>
      <c r="C3183" s="393" t="s">
        <v>206</v>
      </c>
      <c r="D3183" s="398">
        <f>VLOOKUP(D3175,'Detail Balok'!$C$10:$AU$140,7,FALSE)</f>
        <v>3</v>
      </c>
      <c r="E3183" s="388" t="s">
        <v>16</v>
      </c>
      <c r="F3183" s="388">
        <f>VLOOKUP(D3175,'Detail Balok'!$C$10:$AU$140,9,FALSE)</f>
        <v>13</v>
      </c>
      <c r="G3183" s="388"/>
      <c r="H3183" s="395"/>
      <c r="I3183" s="388" t="s">
        <v>203</v>
      </c>
      <c r="J3183" s="399">
        <f t="shared" ref="J3183" si="10220">+D3177/2/1000</f>
        <v>1.0375000000000001</v>
      </c>
      <c r="K3183" s="400" t="s">
        <v>204</v>
      </c>
      <c r="L3183" s="399"/>
      <c r="M3183" s="399" t="s">
        <v>176</v>
      </c>
      <c r="N3183" s="399">
        <f t="shared" si="10213"/>
        <v>1.0375000000000001</v>
      </c>
      <c r="O3183" s="399" t="s">
        <v>204</v>
      </c>
      <c r="P3183" s="389">
        <f t="shared" ref="P3183" si="10221">MAX(D3183-D3182,D3183-D3184)</f>
        <v>0</v>
      </c>
      <c r="Q3183" s="399" t="s">
        <v>125</v>
      </c>
      <c r="R3183" s="399">
        <f t="shared" ref="R3183" si="10222">IF(P3183&gt;0,2*(1-2*$F$19-1/2)*D3178/1000,0)</f>
        <v>0</v>
      </c>
      <c r="S3183" s="399" t="s">
        <v>205</v>
      </c>
      <c r="T3183" s="399" t="s">
        <v>125</v>
      </c>
      <c r="U3183" s="401">
        <f t="shared" si="10216"/>
        <v>1.041885</v>
      </c>
      <c r="V3183" s="399"/>
      <c r="W3183" s="399"/>
      <c r="X3183" s="399" t="s">
        <v>125</v>
      </c>
      <c r="Y3183" s="389">
        <f t="shared" ref="Y3183" si="10223">D3181</f>
        <v>1</v>
      </c>
      <c r="Z3183" s="400" t="s">
        <v>176</v>
      </c>
      <c r="AA3183" s="402">
        <f t="shared" ref="AA3183" si="10224">IF(AA3185=0,(D3183*N3183+P3183*R3183)*U3183*Y3183,0)</f>
        <v>0</v>
      </c>
      <c r="AB3183" s="403"/>
    </row>
    <row r="3184" spans="1:28">
      <c r="A3184" s="384" t="str">
        <f t="shared" ref="A3184:B3184" si="10225">A3175</f>
        <v>Lantai 2</v>
      </c>
      <c r="B3184" s="385">
        <f t="shared" si="10225"/>
        <v>19</v>
      </c>
      <c r="C3184" s="393" t="s">
        <v>202</v>
      </c>
      <c r="D3184" s="398">
        <f>VLOOKUP(D3175,'Detail Balok'!$C$10:$AU$140,10,FALSE)</f>
        <v>3</v>
      </c>
      <c r="E3184" s="388" t="s">
        <v>16</v>
      </c>
      <c r="F3184" s="388">
        <f>VLOOKUP(D3175,'Detail Balok'!$C$10:$AU$140,12,FALSE)</f>
        <v>13</v>
      </c>
      <c r="G3184" s="388"/>
      <c r="H3184" s="395"/>
      <c r="I3184" s="388" t="s">
        <v>203</v>
      </c>
      <c r="J3184" s="399">
        <f t="shared" ref="J3184" si="10226">+D3177/4/1000</f>
        <v>0.51875000000000004</v>
      </c>
      <c r="K3184" s="400" t="s">
        <v>204</v>
      </c>
      <c r="L3184" s="399">
        <f t="shared" ref="L3184" si="10227">MAX(VLOOKUP(F3184,N$6:P$15,3,FALSE)/1000,2/3*D3179/1000)+F$16*F3184/1000</f>
        <v>0.156</v>
      </c>
      <c r="M3184" s="399" t="s">
        <v>176</v>
      </c>
      <c r="N3184" s="399">
        <f t="shared" si="10213"/>
        <v>0.67475000000000007</v>
      </c>
      <c r="O3184" s="399" t="s">
        <v>204</v>
      </c>
      <c r="P3184" s="389">
        <f t="shared" ref="P3184" si="10228">D3184-D3183</f>
        <v>0</v>
      </c>
      <c r="Q3184" s="399" t="s">
        <v>125</v>
      </c>
      <c r="R3184" s="399">
        <f t="shared" ref="R3184" si="10229">IF(P3184&gt;0,$F$18*F3184/1000,0)</f>
        <v>0</v>
      </c>
      <c r="S3184" s="399" t="s">
        <v>205</v>
      </c>
      <c r="T3184" s="399" t="s">
        <v>125</v>
      </c>
      <c r="U3184" s="401">
        <f t="shared" si="10216"/>
        <v>1.041885</v>
      </c>
      <c r="V3184" s="399"/>
      <c r="W3184" s="399"/>
      <c r="X3184" s="399" t="s">
        <v>125</v>
      </c>
      <c r="Y3184" s="389">
        <f t="shared" ref="Y3184" si="10230">D3181</f>
        <v>1</v>
      </c>
      <c r="Z3184" s="400" t="s">
        <v>176</v>
      </c>
      <c r="AA3184" s="402">
        <f t="shared" ref="AA3184" si="10231">IF(AA3185=0,(D3184*N3184+P3184*R3184)*U3184*Y3184,0)</f>
        <v>0</v>
      </c>
      <c r="AB3184" s="403"/>
    </row>
    <row r="3185" spans="1:28">
      <c r="A3185" s="384" t="str">
        <f t="shared" ref="A3185:B3185" si="10232">A3175</f>
        <v>Lantai 2</v>
      </c>
      <c r="B3185" s="385">
        <f t="shared" si="10232"/>
        <v>19</v>
      </c>
      <c r="C3185" s="393"/>
      <c r="D3185" s="398">
        <f t="shared" si="10128"/>
        <v>3</v>
      </c>
      <c r="E3185" s="388" t="s">
        <v>16</v>
      </c>
      <c r="F3185" s="388">
        <f t="shared" si="10129"/>
        <v>13</v>
      </c>
      <c r="G3185" s="388"/>
      <c r="H3185" s="395"/>
      <c r="I3185" s="388"/>
      <c r="J3185" s="396"/>
      <c r="K3185" s="396"/>
      <c r="L3185" s="404" t="s">
        <v>207</v>
      </c>
      <c r="M3185" s="399" t="s">
        <v>176</v>
      </c>
      <c r="N3185" s="399">
        <f t="shared" ref="N3185" si="10233">IF(AND(D3182=D3183,D3182=D3184,D3183=D3184,F3182=F3183,F3182=F3184,F3183=F3184),SUM(N3182:N3184),0)</f>
        <v>2.387</v>
      </c>
      <c r="O3185" s="399" t="s">
        <v>204</v>
      </c>
      <c r="P3185" s="389">
        <f t="shared" ref="P3185" si="10234">IF(N3185&gt;12,ROUNDDOWN(N3185/12,0),0)</f>
        <v>0</v>
      </c>
      <c r="Q3185" s="399" t="s">
        <v>125</v>
      </c>
      <c r="R3185" s="399">
        <f t="shared" ref="R3185" si="10235">IF(P3185&gt;0,MAX(VLOOKUP(F3185,$D$6:$G$15,3,FALSE),600),0)/1000</f>
        <v>0</v>
      </c>
      <c r="S3185" s="396"/>
      <c r="T3185" s="396" t="s">
        <v>125</v>
      </c>
      <c r="U3185" s="401">
        <f t="shared" si="10133"/>
        <v>1.041885</v>
      </c>
      <c r="V3185" s="396" t="s">
        <v>125</v>
      </c>
      <c r="W3185" s="399">
        <f t="shared" ref="W3185" si="10236">D3185</f>
        <v>3</v>
      </c>
      <c r="X3185" s="399" t="s">
        <v>125</v>
      </c>
      <c r="Y3185" s="389">
        <f t="shared" si="10135"/>
        <v>1</v>
      </c>
      <c r="Z3185" s="400" t="s">
        <v>176</v>
      </c>
      <c r="AA3185" s="402">
        <f t="shared" ref="AA3185" si="10237">(N3185+P3185*R3185/1000)*U3185*W3185*Y3185</f>
        <v>7.4609384849999998</v>
      </c>
      <c r="AB3185" s="390"/>
    </row>
    <row r="3186" spans="1:28">
      <c r="A3186" s="384"/>
      <c r="B3186" s="385"/>
      <c r="C3186" s="393"/>
      <c r="D3186" s="398"/>
      <c r="E3186" s="388"/>
      <c r="F3186" s="388"/>
      <c r="G3186" s="388"/>
      <c r="H3186" s="395"/>
      <c r="I3186" s="388"/>
      <c r="J3186" s="396"/>
      <c r="K3186" s="396"/>
      <c r="L3186" s="404"/>
      <c r="M3186" s="399"/>
      <c r="N3186" s="399"/>
      <c r="O3186" s="396"/>
      <c r="P3186" s="389"/>
      <c r="Q3186" s="396"/>
      <c r="R3186" s="396"/>
      <c r="S3186" s="396"/>
      <c r="T3186" s="396"/>
      <c r="U3186" s="401"/>
      <c r="V3186" s="396"/>
      <c r="W3186" s="399"/>
      <c r="X3186" s="396"/>
      <c r="Y3186" s="389"/>
      <c r="Z3186" s="396"/>
      <c r="AA3186" s="388"/>
      <c r="AB3186" s="390"/>
    </row>
    <row r="3187" spans="1:28">
      <c r="A3187" s="384" t="str">
        <f t="shared" ref="A3187:B3187" si="10238">A3175</f>
        <v>Lantai 2</v>
      </c>
      <c r="B3187" s="385">
        <f t="shared" si="10238"/>
        <v>19</v>
      </c>
      <c r="C3187" s="393" t="s">
        <v>208</v>
      </c>
      <c r="D3187" s="398">
        <f>VLOOKUP(D3175,'Detail Balok'!$C$10:$AU$140,13,FALSE)</f>
        <v>0</v>
      </c>
      <c r="E3187" s="388" t="s">
        <v>16</v>
      </c>
      <c r="F3187" s="388">
        <f>VLOOKUP(D3175,'Detail Balok'!$C$10:$AU$140,15,FALSE)</f>
        <v>8</v>
      </c>
      <c r="G3187" s="388"/>
      <c r="H3187" s="395"/>
      <c r="I3187" s="388"/>
      <c r="J3187" s="399">
        <f t="shared" ref="J3187" si="10239">+D3177/1000</f>
        <v>2.0750000000000002</v>
      </c>
      <c r="K3187" s="400" t="s">
        <v>204</v>
      </c>
      <c r="L3187" s="399">
        <f t="shared" ref="L3187" si="10240">2*$F$16*F3187/1000</f>
        <v>0.192</v>
      </c>
      <c r="M3187" s="399" t="s">
        <v>176</v>
      </c>
      <c r="N3187" s="399">
        <f t="shared" ref="N3187" si="10241">J3187+L3187</f>
        <v>2.2670000000000003</v>
      </c>
      <c r="O3187" s="399" t="s">
        <v>204</v>
      </c>
      <c r="P3187" s="389">
        <f t="shared" ref="P3187" si="10242">IF(N3187&gt;12,ROUNDDOWN(N3187/12,0),0)</f>
        <v>0</v>
      </c>
      <c r="Q3187" s="399" t="s">
        <v>125</v>
      </c>
      <c r="R3187" s="399">
        <f t="shared" ref="R3187" si="10243">IF(P3187&gt;0,MAX(VLOOKUP(F3187,$D$6:$G$15,3,FALSE),600),0)/1000</f>
        <v>0</v>
      </c>
      <c r="S3187" s="399"/>
      <c r="T3187" s="399" t="s">
        <v>125</v>
      </c>
      <c r="U3187" s="401">
        <f t="shared" ref="U3187" si="10244">0.006165*F3187^2</f>
        <v>0.39456000000000002</v>
      </c>
      <c r="V3187" s="399" t="s">
        <v>125</v>
      </c>
      <c r="W3187" s="399">
        <f t="shared" ref="W3187" si="10245">+D3187</f>
        <v>0</v>
      </c>
      <c r="X3187" s="399" t="s">
        <v>125</v>
      </c>
      <c r="Y3187" s="389">
        <f t="shared" ref="Y3187" si="10246">D3181</f>
        <v>1</v>
      </c>
      <c r="Z3187" s="400" t="s">
        <v>176</v>
      </c>
      <c r="AA3187" s="402">
        <f t="shared" ref="AA3187" si="10247">(N3187+P3187*R3187/1000)*U3187*W3187*Y3187</f>
        <v>0</v>
      </c>
      <c r="AB3187" s="403"/>
    </row>
    <row r="3188" spans="1:28">
      <c r="A3188" s="384"/>
      <c r="B3188" s="385"/>
      <c r="C3188" s="393"/>
      <c r="D3188" s="398"/>
      <c r="E3188" s="388"/>
      <c r="F3188" s="388"/>
      <c r="G3188" s="388"/>
      <c r="H3188" s="395"/>
      <c r="I3188" s="388"/>
      <c r="J3188" s="399"/>
      <c r="K3188" s="400"/>
      <c r="L3188" s="399"/>
      <c r="M3188" s="399"/>
      <c r="N3188" s="399"/>
      <c r="O3188" s="399"/>
      <c r="P3188" s="389"/>
      <c r="Q3188" s="399"/>
      <c r="R3188" s="399"/>
      <c r="S3188" s="399"/>
      <c r="T3188" s="399"/>
      <c r="U3188" s="401"/>
      <c r="V3188" s="399"/>
      <c r="W3188" s="399"/>
      <c r="X3188" s="399"/>
      <c r="Y3188" s="389"/>
      <c r="Z3188" s="400"/>
      <c r="AA3188" s="402"/>
      <c r="AB3188" s="403"/>
    </row>
    <row r="3189" spans="1:28">
      <c r="A3189" s="384"/>
      <c r="B3189" s="385"/>
      <c r="C3189" s="393"/>
      <c r="D3189" s="398"/>
      <c r="E3189" s="388"/>
      <c r="F3189" s="388"/>
      <c r="G3189" s="388"/>
      <c r="H3189" s="395"/>
      <c r="I3189" s="388"/>
      <c r="J3189" s="396"/>
      <c r="K3189" s="396"/>
      <c r="L3189" s="396"/>
      <c r="M3189" s="396"/>
      <c r="N3189" s="396"/>
      <c r="O3189" s="396"/>
      <c r="P3189" s="389"/>
      <c r="Q3189" s="396"/>
      <c r="R3189" s="396"/>
      <c r="S3189" s="396"/>
      <c r="T3189" s="396"/>
      <c r="U3189" s="401"/>
      <c r="V3189" s="396"/>
      <c r="W3189" s="399"/>
      <c r="X3189" s="396"/>
      <c r="Y3189" s="389"/>
      <c r="Z3189" s="396"/>
      <c r="AA3189" s="388"/>
      <c r="AB3189" s="390"/>
    </row>
    <row r="3190" spans="1:28">
      <c r="A3190" s="384" t="str">
        <f t="shared" ref="A3190:B3190" si="10248">A3175</f>
        <v>Lantai 2</v>
      </c>
      <c r="B3190" s="385">
        <f t="shared" si="10248"/>
        <v>19</v>
      </c>
      <c r="C3190" s="393" t="s">
        <v>209</v>
      </c>
      <c r="D3190" s="398">
        <f>VLOOKUP(D3175,'Detail Balok'!$C$10:$AU$140,22,FALSE)</f>
        <v>3</v>
      </c>
      <c r="E3190" s="388" t="s">
        <v>16</v>
      </c>
      <c r="F3190" s="388">
        <f>VLOOKUP(D3175,'Detail Balok'!$C$10:$AU$140,24,FALSE)</f>
        <v>13</v>
      </c>
      <c r="G3190" s="388"/>
      <c r="H3190" s="395"/>
      <c r="I3190" s="388" t="s">
        <v>203</v>
      </c>
      <c r="J3190" s="399">
        <f t="shared" si="10148"/>
        <v>0.51875000000000004</v>
      </c>
      <c r="K3190" s="400" t="s">
        <v>204</v>
      </c>
      <c r="L3190" s="399">
        <f t="shared" ref="L3190" si="10249">MAX(VLOOKUP(F3190,N$6:P$15,3,FALSE)/1000,2/3*D3180/1000)+F$16*F3190/1000</f>
        <v>0.156</v>
      </c>
      <c r="M3190" s="399" t="s">
        <v>176</v>
      </c>
      <c r="N3190" s="399">
        <f t="shared" ref="N3190:N3192" si="10250">J3190+L3190</f>
        <v>0.67475000000000007</v>
      </c>
      <c r="O3190" s="399" t="s">
        <v>204</v>
      </c>
      <c r="P3190" s="389">
        <f t="shared" ref="P3190" si="10251">D3190-D3191</f>
        <v>0</v>
      </c>
      <c r="Q3190" s="399" t="s">
        <v>125</v>
      </c>
      <c r="R3190" s="399">
        <f t="shared" ref="R3190" si="10252">IF(P3190&gt;0,$F$18*F3190/1000,0)</f>
        <v>0</v>
      </c>
      <c r="S3190" s="399" t="s">
        <v>205</v>
      </c>
      <c r="T3190" s="399" t="s">
        <v>125</v>
      </c>
      <c r="U3190" s="401">
        <f t="shared" ref="U3190:U3192" si="10253">0.006165*F3190^2</f>
        <v>1.041885</v>
      </c>
      <c r="V3190" s="399"/>
      <c r="W3190" s="399"/>
      <c r="X3190" s="399" t="s">
        <v>125</v>
      </c>
      <c r="Y3190" s="389">
        <f t="shared" ref="Y3190" si="10254">D3181</f>
        <v>1</v>
      </c>
      <c r="Z3190" s="400" t="s">
        <v>176</v>
      </c>
      <c r="AA3190" s="402">
        <f t="shared" ref="AA3190" si="10255">IF(AA3193=0,(D3190*N3190+P3190*R3190)*U3190*Y3190,0)</f>
        <v>0</v>
      </c>
      <c r="AB3190" s="403"/>
    </row>
    <row r="3191" spans="1:28">
      <c r="A3191" s="384" t="str">
        <f t="shared" ref="A3191:B3191" si="10256">A3175</f>
        <v>Lantai 2</v>
      </c>
      <c r="B3191" s="385">
        <f t="shared" si="10256"/>
        <v>19</v>
      </c>
      <c r="C3191" s="393" t="s">
        <v>210</v>
      </c>
      <c r="D3191" s="398">
        <f>VLOOKUP(D3175,'Detail Balok'!$C$10:$AU$140,25,FALSE)</f>
        <v>3</v>
      </c>
      <c r="E3191" s="388" t="s">
        <v>16</v>
      </c>
      <c r="F3191" s="388">
        <f>VLOOKUP(D3175,'Detail Balok'!$C$10:$AU$140,27,FALSE)</f>
        <v>13</v>
      </c>
      <c r="G3191" s="388"/>
      <c r="H3191" s="395"/>
      <c r="I3191" s="388" t="s">
        <v>203</v>
      </c>
      <c r="J3191" s="399">
        <f t="shared" si="10148"/>
        <v>1.0375000000000001</v>
      </c>
      <c r="K3191" s="400" t="s">
        <v>204</v>
      </c>
      <c r="L3191" s="399"/>
      <c r="M3191" s="399" t="s">
        <v>176</v>
      </c>
      <c r="N3191" s="399">
        <f t="shared" si="10250"/>
        <v>1.0375000000000001</v>
      </c>
      <c r="O3191" s="399" t="s">
        <v>204</v>
      </c>
      <c r="P3191" s="389">
        <f t="shared" ref="P3191" si="10257">MAX(D3191-D3190,D3191-D3192)</f>
        <v>0</v>
      </c>
      <c r="Q3191" s="399" t="s">
        <v>125</v>
      </c>
      <c r="R3191" s="399">
        <f t="shared" ref="R3191" si="10258">IF(P3191&gt;0,2*(1-2*$F$19-1/2)*D3178/1000,0)</f>
        <v>0</v>
      </c>
      <c r="S3191" s="399" t="s">
        <v>205</v>
      </c>
      <c r="T3191" s="399" t="s">
        <v>125</v>
      </c>
      <c r="U3191" s="401">
        <f t="shared" si="10253"/>
        <v>1.041885</v>
      </c>
      <c r="V3191" s="399"/>
      <c r="W3191" s="399"/>
      <c r="X3191" s="399" t="s">
        <v>125</v>
      </c>
      <c r="Y3191" s="389">
        <f t="shared" ref="Y3191" si="10259">D3181</f>
        <v>1</v>
      </c>
      <c r="Z3191" s="400" t="s">
        <v>176</v>
      </c>
      <c r="AA3191" s="402">
        <f t="shared" ref="AA3191" si="10260">IF(AA3193=0,(D3191*N3191+P3191*R3191)*U3191*Y3191,0)</f>
        <v>0</v>
      </c>
      <c r="AB3191" s="403"/>
    </row>
    <row r="3192" spans="1:28">
      <c r="A3192" s="384" t="str">
        <f t="shared" ref="A3192:B3192" si="10261">A3175</f>
        <v>Lantai 2</v>
      </c>
      <c r="B3192" s="385">
        <f t="shared" si="10261"/>
        <v>19</v>
      </c>
      <c r="C3192" s="393" t="s">
        <v>209</v>
      </c>
      <c r="D3192" s="398">
        <f>VLOOKUP(D3175,'Detail Balok'!$C$10:$AU$140,28,FALSE)</f>
        <v>3</v>
      </c>
      <c r="E3192" s="388" t="s">
        <v>16</v>
      </c>
      <c r="F3192" s="388">
        <f>VLOOKUP(D3175,'Detail Balok'!$C$10:$AU$140,30,FALSE)</f>
        <v>13</v>
      </c>
      <c r="G3192" s="388"/>
      <c r="H3192" s="395"/>
      <c r="I3192" s="388" t="s">
        <v>203</v>
      </c>
      <c r="J3192" s="399">
        <f t="shared" si="10148"/>
        <v>0.51875000000000004</v>
      </c>
      <c r="K3192" s="400" t="s">
        <v>204</v>
      </c>
      <c r="L3192" s="399">
        <f t="shared" ref="L3192" si="10262">MAX(VLOOKUP(F3192,N$6:P$15,3,FALSE)/1000,2/3*D3180/1000)+F$16*F3192/1000</f>
        <v>0.156</v>
      </c>
      <c r="M3192" s="399" t="s">
        <v>176</v>
      </c>
      <c r="N3192" s="399">
        <f t="shared" si="10250"/>
        <v>0.67475000000000007</v>
      </c>
      <c r="O3192" s="399" t="s">
        <v>204</v>
      </c>
      <c r="P3192" s="389">
        <f t="shared" ref="P3192" si="10263">D3192-D3191</f>
        <v>0</v>
      </c>
      <c r="Q3192" s="399" t="s">
        <v>125</v>
      </c>
      <c r="R3192" s="399">
        <f t="shared" ref="R3192" si="10264">IF(P3192&gt;0,$F$18*F3192/1000,0)</f>
        <v>0</v>
      </c>
      <c r="S3192" s="399" t="s">
        <v>205</v>
      </c>
      <c r="T3192" s="399" t="s">
        <v>125</v>
      </c>
      <c r="U3192" s="401">
        <f t="shared" si="10253"/>
        <v>1.041885</v>
      </c>
      <c r="V3192" s="399"/>
      <c r="W3192" s="399"/>
      <c r="X3192" s="399" t="s">
        <v>125</v>
      </c>
      <c r="Y3192" s="389">
        <f t="shared" ref="Y3192" si="10265">D3181</f>
        <v>1</v>
      </c>
      <c r="Z3192" s="400" t="s">
        <v>176</v>
      </c>
      <c r="AA3192" s="402">
        <f t="shared" ref="AA3192" si="10266">IF(AA3193=0,(D3192*N3192+P3192*R3192)*U3192*Y3192,0)</f>
        <v>0</v>
      </c>
      <c r="AB3192" s="403"/>
    </row>
    <row r="3193" spans="1:28">
      <c r="A3193" s="384" t="str">
        <f t="shared" ref="A3193:B3193" si="10267">A3175</f>
        <v>Lantai 2</v>
      </c>
      <c r="B3193" s="385">
        <f t="shared" si="10267"/>
        <v>19</v>
      </c>
      <c r="C3193" s="393"/>
      <c r="D3193" s="398">
        <f t="shared" si="10168"/>
        <v>3</v>
      </c>
      <c r="E3193" s="388" t="s">
        <v>16</v>
      </c>
      <c r="F3193" s="388">
        <f t="shared" si="10169"/>
        <v>13</v>
      </c>
      <c r="G3193" s="388"/>
      <c r="H3193" s="395"/>
      <c r="I3193" s="388"/>
      <c r="J3193" s="396"/>
      <c r="K3193" s="396"/>
      <c r="L3193" s="404" t="s">
        <v>207</v>
      </c>
      <c r="M3193" s="399" t="s">
        <v>176</v>
      </c>
      <c r="N3193" s="399">
        <f t="shared" ref="N3193" si="10268">IF(AND(D3190=D3191,D3190=D3192,D3191=D3192,F3190=F3191,F3190=F3192,F3191=F3192),SUM(N3190:N3192),0)</f>
        <v>2.387</v>
      </c>
      <c r="O3193" s="399" t="s">
        <v>204</v>
      </c>
      <c r="P3193" s="389">
        <f t="shared" ref="P3193" si="10269">IF(N3193&gt;12,ROUNDDOWN(N3193/12,0),0)</f>
        <v>0</v>
      </c>
      <c r="Q3193" s="399" t="s">
        <v>125</v>
      </c>
      <c r="R3193" s="399">
        <f t="shared" ref="R3193" si="10270">IF(P3193&gt;0,MAX(VLOOKUP(F3193,$D$6:$G$15,3,FALSE),600),0)/1000</f>
        <v>0</v>
      </c>
      <c r="S3193" s="396"/>
      <c r="T3193" s="396" t="s">
        <v>125</v>
      </c>
      <c r="U3193" s="401">
        <f t="shared" si="10173"/>
        <v>1.041885</v>
      </c>
      <c r="V3193" s="396" t="s">
        <v>125</v>
      </c>
      <c r="W3193" s="399">
        <f t="shared" ref="W3193" si="10271">D3193</f>
        <v>3</v>
      </c>
      <c r="X3193" s="399" t="s">
        <v>125</v>
      </c>
      <c r="Y3193" s="389">
        <f t="shared" si="10175"/>
        <v>1</v>
      </c>
      <c r="Z3193" s="400" t="s">
        <v>176</v>
      </c>
      <c r="AA3193" s="402">
        <f t="shared" ref="AA3193" si="10272">(N3193+P3193*R3193/1000)*U3193*W3193*Y3193</f>
        <v>7.4609384849999998</v>
      </c>
      <c r="AB3193" s="403"/>
    </row>
    <row r="3194" spans="1:28">
      <c r="A3194" s="384"/>
      <c r="B3194" s="385"/>
      <c r="C3194" s="393"/>
      <c r="D3194" s="394"/>
      <c r="E3194" s="388"/>
      <c r="F3194" s="388"/>
      <c r="G3194" s="388"/>
      <c r="H3194" s="395"/>
      <c r="I3194" s="388"/>
      <c r="J3194" s="399"/>
      <c r="K3194" s="396"/>
      <c r="L3194" s="396"/>
      <c r="M3194" s="396"/>
      <c r="N3194" s="396"/>
      <c r="O3194" s="396"/>
      <c r="P3194" s="389"/>
      <c r="Q3194" s="396"/>
      <c r="R3194" s="396"/>
      <c r="S3194" s="396"/>
      <c r="T3194" s="396"/>
      <c r="U3194" s="401"/>
      <c r="V3194" s="396"/>
      <c r="W3194" s="388"/>
      <c r="X3194" s="396"/>
      <c r="Y3194" s="389"/>
      <c r="Z3194" s="396"/>
      <c r="AA3194" s="388"/>
      <c r="AB3194" s="390"/>
    </row>
    <row r="3195" spans="1:28">
      <c r="A3195" s="384" t="str">
        <f t="shared" ref="A3195:B3195" si="10273">A3175</f>
        <v>Lantai 2</v>
      </c>
      <c r="B3195" s="385">
        <f t="shared" si="10273"/>
        <v>19</v>
      </c>
      <c r="C3195" s="393" t="s">
        <v>211</v>
      </c>
      <c r="D3195" s="398">
        <f>VLOOKUP(D3175,'Detail Balok'!$C$10:$AU$140,31,FALSE)</f>
        <v>0</v>
      </c>
      <c r="E3195" s="388" t="s">
        <v>16</v>
      </c>
      <c r="F3195" s="388">
        <f>VLOOKUP(D3175,'Detail Balok'!$C$10:$AU$140,33,FALSE)</f>
        <v>10</v>
      </c>
      <c r="G3195" s="405" t="s">
        <v>157</v>
      </c>
      <c r="H3195" s="395">
        <f>VLOOKUP(D3175,'Detail Balok'!$C$10:$AU$140,35,FALSE)</f>
        <v>100</v>
      </c>
      <c r="I3195" s="388"/>
      <c r="J3195" s="400">
        <f t="shared" ref="J3195" si="10274">(IF(D3195=0,(2*(D3176+G3176))-(F$5*8),IF(D3195=3,(2*(D3176+G3176))-(F$5*8)+(G3176-2*F$5),IF(D3195=4,(2*(D3176+G3176))-(F$5*8)+2*(G3176-2*F$5)))))/1000</f>
        <v>0.68</v>
      </c>
      <c r="K3195" s="400" t="s">
        <v>204</v>
      </c>
      <c r="L3195" s="399">
        <f t="shared" ref="L3195:L3197" si="10275">IF(D3195=0,2*MAX(6*F3195,75),(D3195-1)*2*MAX(6*F3195,75))/1000</f>
        <v>0.15</v>
      </c>
      <c r="M3195" s="399" t="s">
        <v>176</v>
      </c>
      <c r="N3195" s="399">
        <f t="shared" ref="N3195:N3197" si="10276">J3195+L3195</f>
        <v>0.83000000000000007</v>
      </c>
      <c r="O3195" s="399"/>
      <c r="P3195" s="389"/>
      <c r="Q3195" s="399"/>
      <c r="R3195" s="399"/>
      <c r="S3195" s="399"/>
      <c r="T3195" s="399" t="s">
        <v>125</v>
      </c>
      <c r="U3195" s="401">
        <f t="shared" ref="U3195:U3197" si="10277">0.006165*F3195^2</f>
        <v>0.61650000000000005</v>
      </c>
      <c r="V3195" s="399" t="s">
        <v>125</v>
      </c>
      <c r="W3195" s="399">
        <f t="shared" ref="W3195" si="10278">IF(D3178&gt;4*G3176,ROUND(MAX(D3178/4,2*G3176)/H3195,0)+1,ROUND(D3178/H3195,0)+1)</f>
        <v>7</v>
      </c>
      <c r="X3195" s="399" t="s">
        <v>125</v>
      </c>
      <c r="Y3195" s="389">
        <f t="shared" ref="Y3195" si="10279">D3181</f>
        <v>1</v>
      </c>
      <c r="Z3195" s="400" t="s">
        <v>176</v>
      </c>
      <c r="AA3195" s="402">
        <f t="shared" ref="AA3195:AA3197" si="10280">N3195*U3195*W3195*Y3195</f>
        <v>3.581865000000001</v>
      </c>
      <c r="AB3195" s="403"/>
    </row>
    <row r="3196" spans="1:28">
      <c r="A3196" s="384" t="str">
        <f t="shared" ref="A3196:B3196" si="10281">A3175</f>
        <v>Lantai 2</v>
      </c>
      <c r="B3196" s="385">
        <f t="shared" si="10281"/>
        <v>19</v>
      </c>
      <c r="C3196" s="393" t="s">
        <v>212</v>
      </c>
      <c r="D3196" s="398">
        <f>VLOOKUP(D3175,'Detail Balok'!$C$10:$AU$140,36,FALSE)</f>
        <v>0</v>
      </c>
      <c r="E3196" s="388" t="s">
        <v>16</v>
      </c>
      <c r="F3196" s="388">
        <f>VLOOKUP(D3175,'Detail Balok'!$C$10:$AU$140,38,FALSE)</f>
        <v>10</v>
      </c>
      <c r="G3196" s="405" t="s">
        <v>157</v>
      </c>
      <c r="H3196" s="395">
        <f>VLOOKUP(D3175,'Detail Balok'!$C$10:$AU$140,40,FALSE)</f>
        <v>200</v>
      </c>
      <c r="I3196" s="388"/>
      <c r="J3196" s="400">
        <f t="shared" ref="J3196" si="10282">(IF(D3196=0,(2*(D3176+G3176))-(F$5*8),IF(D3196=3,(2*(D3176+G3176))-(F$5*8)+(G3176-2*F$5),IF(D3196=4,(2*(D3176+G3176))-(F$5*8)+2*(G3176-2*F$5)))))/1000</f>
        <v>0.68</v>
      </c>
      <c r="K3196" s="400" t="s">
        <v>204</v>
      </c>
      <c r="L3196" s="399">
        <f t="shared" si="10275"/>
        <v>0.15</v>
      </c>
      <c r="M3196" s="399" t="s">
        <v>176</v>
      </c>
      <c r="N3196" s="399">
        <f t="shared" si="10276"/>
        <v>0.83000000000000007</v>
      </c>
      <c r="O3196" s="399"/>
      <c r="P3196" s="389"/>
      <c r="Q3196" s="399"/>
      <c r="R3196" s="399"/>
      <c r="S3196" s="399"/>
      <c r="T3196" s="399" t="s">
        <v>125</v>
      </c>
      <c r="U3196" s="401">
        <f t="shared" si="10277"/>
        <v>0.61650000000000005</v>
      </c>
      <c r="V3196" s="399" t="s">
        <v>125</v>
      </c>
      <c r="W3196" s="399">
        <f t="shared" ref="W3196" si="10283">IF(D3178-MAX(D3178/4,2*G3176)*2&gt;0,ROUND((D3178-MAX(D3178/4,2*G3176)*2)/H3196,0),0)</f>
        <v>4</v>
      </c>
      <c r="X3196" s="399" t="s">
        <v>125</v>
      </c>
      <c r="Y3196" s="389">
        <f t="shared" ref="Y3196" si="10284">D3181</f>
        <v>1</v>
      </c>
      <c r="Z3196" s="400" t="s">
        <v>176</v>
      </c>
      <c r="AA3196" s="402">
        <f t="shared" si="10280"/>
        <v>2.0467800000000005</v>
      </c>
      <c r="AB3196" s="403"/>
    </row>
    <row r="3197" spans="1:28">
      <c r="A3197" s="384" t="str">
        <f t="shared" ref="A3197:B3197" si="10285">A3175</f>
        <v>Lantai 2</v>
      </c>
      <c r="B3197" s="385">
        <f t="shared" si="10285"/>
        <v>19</v>
      </c>
      <c r="C3197" s="393" t="s">
        <v>211</v>
      </c>
      <c r="D3197" s="398">
        <f>VLOOKUP(D3175,'Detail Balok'!$C$10:$AU$140,41,FALSE)</f>
        <v>0</v>
      </c>
      <c r="E3197" s="388" t="s">
        <v>16</v>
      </c>
      <c r="F3197" s="388">
        <f>VLOOKUP(D3175,'Detail Balok'!$C$10:$AU$140,43,FALSE)</f>
        <v>10</v>
      </c>
      <c r="G3197" s="405" t="s">
        <v>157</v>
      </c>
      <c r="H3197" s="395">
        <f>VLOOKUP(D3175,'Detail Balok'!$C$10:$AU$140,45,FALSE)</f>
        <v>100</v>
      </c>
      <c r="I3197" s="388"/>
      <c r="J3197" s="400">
        <f t="shared" ref="J3197" si="10286">(IF(D3197=0,(2*(D3176+G3176))-(F$5*8),IF(D3197=3,(2*(D3176+G3176))-(F$5*8)+(G3176-2*F$5),IF(D3197=4,(2*(D3176+G3176))-(F$5*8)+2*(G3176-2*F$5)))))/1000</f>
        <v>0.68</v>
      </c>
      <c r="K3197" s="400" t="s">
        <v>204</v>
      </c>
      <c r="L3197" s="399">
        <f t="shared" si="10275"/>
        <v>0.15</v>
      </c>
      <c r="M3197" s="399" t="s">
        <v>176</v>
      </c>
      <c r="N3197" s="399">
        <f t="shared" si="10276"/>
        <v>0.83000000000000007</v>
      </c>
      <c r="O3197" s="399"/>
      <c r="P3197" s="389"/>
      <c r="Q3197" s="399"/>
      <c r="R3197" s="399"/>
      <c r="S3197" s="399"/>
      <c r="T3197" s="399" t="s">
        <v>125</v>
      </c>
      <c r="U3197" s="401">
        <f t="shared" si="10277"/>
        <v>0.61650000000000005</v>
      </c>
      <c r="V3197" s="399" t="s">
        <v>125</v>
      </c>
      <c r="W3197" s="399">
        <f t="shared" ref="W3197" si="10287">IF(D3178&gt;4*G3176,ROUND(MAX(D3178/4,2*G3176)/H3197,0)+1,0)</f>
        <v>7</v>
      </c>
      <c r="X3197" s="399" t="s">
        <v>125</v>
      </c>
      <c r="Y3197" s="389">
        <f t="shared" ref="Y3197" si="10288">D3181</f>
        <v>1</v>
      </c>
      <c r="Z3197" s="400" t="s">
        <v>176</v>
      </c>
      <c r="AA3197" s="402">
        <f t="shared" si="10280"/>
        <v>3.581865000000001</v>
      </c>
      <c r="AB3197" s="403"/>
    </row>
    <row r="3198" spans="1:28">
      <c r="A3198" s="384"/>
      <c r="B3198" s="385"/>
      <c r="C3198" s="393"/>
      <c r="D3198" s="394"/>
      <c r="E3198" s="388"/>
      <c r="F3198" s="388"/>
      <c r="G3198" s="388"/>
      <c r="H3198" s="395"/>
      <c r="I3198" s="388"/>
      <c r="J3198" s="399"/>
      <c r="K3198" s="396"/>
      <c r="L3198" s="396"/>
      <c r="M3198" s="396"/>
      <c r="N3198" s="396"/>
      <c r="O3198" s="396"/>
      <c r="P3198" s="389"/>
      <c r="Q3198" s="396"/>
      <c r="R3198" s="396"/>
      <c r="S3198" s="396"/>
      <c r="T3198" s="396"/>
      <c r="U3198" s="401"/>
      <c r="V3198" s="396"/>
      <c r="W3198" s="388"/>
      <c r="X3198" s="396"/>
      <c r="Y3198" s="389"/>
      <c r="Z3198" s="396"/>
      <c r="AA3198" s="388"/>
      <c r="AB3198" s="390"/>
    </row>
    <row r="3199" spans="1:28">
      <c r="A3199" s="384" t="str">
        <f t="shared" ref="A3199:B3199" si="10289">A3175</f>
        <v>Lantai 2</v>
      </c>
      <c r="B3199" s="385">
        <f t="shared" si="10289"/>
        <v>19</v>
      </c>
      <c r="C3199" s="393" t="s">
        <v>213</v>
      </c>
      <c r="D3199" s="398">
        <f>VLOOKUP(D3175,'Detail Balok'!$C$10:$BJ$140,46,FALSE)</f>
        <v>0</v>
      </c>
      <c r="E3199" s="388" t="s">
        <v>16</v>
      </c>
      <c r="F3199" s="388">
        <f>VLOOKUP(D3175,'Detail Balok'!$C$10:$BJ$140,48,FALSE)</f>
        <v>0</v>
      </c>
      <c r="G3199" s="405" t="s">
        <v>157</v>
      </c>
      <c r="H3199" s="395">
        <f>VLOOKUP(D3175,'Detail Balok'!$C$10:$BJ$140,50,FALSE)</f>
        <v>100</v>
      </c>
      <c r="I3199" s="388"/>
      <c r="J3199" s="399">
        <f t="shared" ref="J3199" si="10290">(D3176-2*F$5)/1000</f>
        <v>0.12</v>
      </c>
      <c r="K3199" s="400" t="s">
        <v>204</v>
      </c>
      <c r="L3199" s="399">
        <f t="shared" ref="L3199:L3201" si="10291">IF(D3199=0,2*MAX(6*F3199,75),(D3199-1)*2*MAX(6*F3199,75))/1000</f>
        <v>0.15</v>
      </c>
      <c r="M3199" s="399" t="s">
        <v>176</v>
      </c>
      <c r="N3199" s="399">
        <f t="shared" ref="N3199:N3201" si="10292">J3199+L3199</f>
        <v>0.27</v>
      </c>
      <c r="O3199" s="399"/>
      <c r="P3199" s="399"/>
      <c r="Q3199" s="399"/>
      <c r="R3199" s="399"/>
      <c r="S3199" s="399"/>
      <c r="T3199" s="399" t="s">
        <v>125</v>
      </c>
      <c r="U3199" s="401">
        <f t="shared" ref="U3199:U3201" si="10293">0.006165*F3199^2</f>
        <v>0</v>
      </c>
      <c r="V3199" s="399" t="s">
        <v>125</v>
      </c>
      <c r="W3199" s="399">
        <f t="shared" si="10198"/>
        <v>7</v>
      </c>
      <c r="X3199" s="399" t="s">
        <v>125</v>
      </c>
      <c r="Y3199" s="389">
        <f t="shared" ref="Y3199" si="10294">D3185</f>
        <v>3</v>
      </c>
      <c r="Z3199" s="400" t="s">
        <v>176</v>
      </c>
      <c r="AA3199" s="402">
        <f t="shared" ref="AA3199:AA3201" si="10295">N3199*U3199*W3199*Y3199</f>
        <v>0</v>
      </c>
      <c r="AB3199" s="403"/>
    </row>
    <row r="3200" spans="1:28">
      <c r="A3200" s="384" t="str">
        <f t="shared" ref="A3200:B3200" si="10296">A3175</f>
        <v>Lantai 2</v>
      </c>
      <c r="B3200" s="385">
        <f t="shared" si="10296"/>
        <v>19</v>
      </c>
      <c r="C3200" s="393" t="s">
        <v>214</v>
      </c>
      <c r="D3200" s="398">
        <f>VLOOKUP(D3175,'Detail Balok'!$C$10:$BJ$140,51,FALSE)</f>
        <v>0</v>
      </c>
      <c r="E3200" s="388" t="s">
        <v>16</v>
      </c>
      <c r="F3200" s="388">
        <f>VLOOKUP(D3175,'Detail Balok'!$C$10:$BJ$140,53,FALSE)</f>
        <v>0</v>
      </c>
      <c r="G3200" s="405" t="s">
        <v>157</v>
      </c>
      <c r="H3200" s="395">
        <f>VLOOKUP(D3175,'Detail Balok'!$C$10:$BJ$140,55,FALSE)</f>
        <v>100</v>
      </c>
      <c r="I3200" s="388"/>
      <c r="J3200" s="399">
        <f t="shared" ref="J3200" si="10297">(D3176-2*F$5)/1000</f>
        <v>0.12</v>
      </c>
      <c r="K3200" s="400" t="s">
        <v>204</v>
      </c>
      <c r="L3200" s="399">
        <f t="shared" si="10291"/>
        <v>0.15</v>
      </c>
      <c r="M3200" s="399" t="s">
        <v>176</v>
      </c>
      <c r="N3200" s="399">
        <f t="shared" si="10292"/>
        <v>0.27</v>
      </c>
      <c r="O3200" s="399"/>
      <c r="P3200" s="399"/>
      <c r="Q3200" s="399"/>
      <c r="R3200" s="399"/>
      <c r="S3200" s="399"/>
      <c r="T3200" s="399" t="s">
        <v>125</v>
      </c>
      <c r="U3200" s="401">
        <f t="shared" si="10293"/>
        <v>0</v>
      </c>
      <c r="V3200" s="399" t="s">
        <v>125</v>
      </c>
      <c r="W3200" s="399">
        <f t="shared" si="10198"/>
        <v>4</v>
      </c>
      <c r="X3200" s="399" t="s">
        <v>125</v>
      </c>
      <c r="Y3200" s="389">
        <f t="shared" ref="Y3200" si="10298">D3185</f>
        <v>3</v>
      </c>
      <c r="Z3200" s="400" t="s">
        <v>176</v>
      </c>
      <c r="AA3200" s="402">
        <f t="shared" si="10295"/>
        <v>0</v>
      </c>
      <c r="AB3200" s="403"/>
    </row>
    <row r="3201" spans="1:28">
      <c r="A3201" s="384" t="str">
        <f t="shared" ref="A3201:B3201" si="10299">A3175</f>
        <v>Lantai 2</v>
      </c>
      <c r="B3201" s="385">
        <f t="shared" si="10299"/>
        <v>19</v>
      </c>
      <c r="C3201" s="393" t="s">
        <v>213</v>
      </c>
      <c r="D3201" s="398">
        <f>VLOOKUP(D3175,'Detail Balok'!$C$10:$BJ$140,56,FALSE)</f>
        <v>0</v>
      </c>
      <c r="E3201" s="388" t="s">
        <v>16</v>
      </c>
      <c r="F3201" s="388">
        <f>VLOOKUP(D3175,'Detail Balok'!$C$10:$BJ$140,58,FALSE)</f>
        <v>0</v>
      </c>
      <c r="G3201" s="405" t="s">
        <v>157</v>
      </c>
      <c r="H3201" s="395">
        <f>VLOOKUP(D3175,'Detail Balok'!$C$10:$BJ$140,60,FALSE)</f>
        <v>100</v>
      </c>
      <c r="I3201" s="388"/>
      <c r="J3201" s="399">
        <f t="shared" ref="J3201" si="10300">(D3176-2*F$5)/1000</f>
        <v>0.12</v>
      </c>
      <c r="K3201" s="400" t="s">
        <v>204</v>
      </c>
      <c r="L3201" s="399">
        <f t="shared" si="10291"/>
        <v>0.15</v>
      </c>
      <c r="M3201" s="399" t="s">
        <v>176</v>
      </c>
      <c r="N3201" s="399">
        <f t="shared" si="10292"/>
        <v>0.27</v>
      </c>
      <c r="O3201" s="399"/>
      <c r="P3201" s="399"/>
      <c r="Q3201" s="399"/>
      <c r="R3201" s="399"/>
      <c r="S3201" s="399"/>
      <c r="T3201" s="399" t="s">
        <v>125</v>
      </c>
      <c r="U3201" s="401">
        <f t="shared" si="10293"/>
        <v>0</v>
      </c>
      <c r="V3201" s="399" t="s">
        <v>125</v>
      </c>
      <c r="W3201" s="399">
        <f t="shared" si="10198"/>
        <v>7</v>
      </c>
      <c r="X3201" s="399" t="s">
        <v>125</v>
      </c>
      <c r="Y3201" s="389">
        <f t="shared" ref="Y3201" si="10301">D3185</f>
        <v>3</v>
      </c>
      <c r="Z3201" s="400" t="s">
        <v>176</v>
      </c>
      <c r="AA3201" s="402">
        <f t="shared" si="10295"/>
        <v>0</v>
      </c>
      <c r="AB3201" s="403"/>
    </row>
    <row r="3202" spans="1:28">
      <c r="A3202" s="391"/>
      <c r="B3202" s="392"/>
      <c r="C3202" s="392"/>
      <c r="D3202" s="394"/>
      <c r="E3202" s="388"/>
      <c r="F3202" s="388"/>
      <c r="G3202" s="388"/>
      <c r="H3202" s="395"/>
      <c r="I3202" s="388"/>
      <c r="J3202" s="402"/>
      <c r="K3202" s="388"/>
      <c r="L3202" s="388"/>
      <c r="M3202" s="388"/>
      <c r="N3202" s="388"/>
      <c r="O3202" s="388"/>
      <c r="P3202" s="388"/>
      <c r="Q3202" s="388"/>
      <c r="R3202" s="388"/>
      <c r="S3202" s="388"/>
      <c r="T3202" s="388"/>
      <c r="U3202" s="388"/>
      <c r="V3202" s="388"/>
      <c r="W3202" s="388"/>
      <c r="X3202" s="388"/>
      <c r="Y3202" s="389"/>
      <c r="Z3202" s="388"/>
      <c r="AA3202" s="402"/>
      <c r="AB3202" s="403"/>
    </row>
    <row r="3203" spans="1:28" ht="15.75" thickBot="1">
      <c r="A3203" s="406"/>
      <c r="B3203" s="407"/>
      <c r="C3203" s="407"/>
      <c r="D3203" s="408"/>
      <c r="E3203" s="409"/>
      <c r="F3203" s="409"/>
      <c r="G3203" s="409"/>
      <c r="H3203" s="410"/>
      <c r="I3203" s="409"/>
      <c r="J3203" s="409"/>
      <c r="K3203" s="409"/>
      <c r="L3203" s="409"/>
      <c r="M3203" s="409"/>
      <c r="N3203" s="409"/>
      <c r="O3203" s="409"/>
      <c r="P3203" s="409"/>
      <c r="Q3203" s="409"/>
      <c r="R3203" s="409"/>
      <c r="S3203" s="409"/>
      <c r="T3203" s="409"/>
      <c r="U3203" s="409"/>
      <c r="V3203" s="409"/>
      <c r="W3203" s="409"/>
      <c r="X3203" s="409"/>
      <c r="Y3203" s="411"/>
      <c r="Z3203" s="409"/>
      <c r="AA3203" s="412"/>
      <c r="AB3203" s="413"/>
    </row>
    <row r="3204" spans="1:28">
      <c r="A3204" s="377"/>
      <c r="B3204" s="378"/>
      <c r="C3204" s="378"/>
      <c r="D3204" s="379"/>
      <c r="E3204" s="380"/>
      <c r="F3204" s="380"/>
      <c r="G3204" s="380"/>
      <c r="H3204" s="381"/>
      <c r="I3204" s="380"/>
      <c r="J3204" s="380"/>
      <c r="K3204" s="380"/>
      <c r="L3204" s="380"/>
      <c r="M3204" s="380"/>
      <c r="N3204" s="380"/>
      <c r="O3204" s="380"/>
      <c r="P3204" s="380"/>
      <c r="Q3204" s="380"/>
      <c r="R3204" s="380"/>
      <c r="S3204" s="380"/>
      <c r="T3204" s="380"/>
      <c r="U3204" s="380"/>
      <c r="V3204" s="380"/>
      <c r="W3204" s="380"/>
      <c r="X3204" s="380"/>
      <c r="Y3204" s="382"/>
      <c r="Z3204" s="380"/>
      <c r="AA3204" s="380"/>
      <c r="AB3204" s="383"/>
    </row>
    <row r="3205" spans="1:28">
      <c r="A3205" s="384" t="str">
        <f t="shared" si="10207"/>
        <v>Lantai 2</v>
      </c>
      <c r="B3205" s="385">
        <f t="shared" si="10208"/>
        <v>20</v>
      </c>
      <c r="C3205" s="386" t="str">
        <f t="shared" ref="C3205" si="10302">CONCATENATE(A3205," no. ",B3205)</f>
        <v>Lantai 2 no. 20</v>
      </c>
      <c r="D3205" s="2562" t="str">
        <f>VLOOKUP(C3205,'Data Panjang Balok'!$C$9:$N$254,2,FALSE)</f>
        <v>B24-2</v>
      </c>
      <c r="E3205" s="2576"/>
      <c r="F3205" s="2576"/>
      <c r="G3205" s="2576"/>
      <c r="H3205" s="2577"/>
      <c r="I3205" s="387"/>
      <c r="J3205" s="388"/>
      <c r="K3205" s="388"/>
      <c r="L3205" s="388"/>
      <c r="M3205" s="388"/>
      <c r="N3205" s="388"/>
      <c r="O3205" s="388"/>
      <c r="P3205" s="388"/>
      <c r="Q3205" s="388"/>
      <c r="R3205" s="388"/>
      <c r="S3205" s="388"/>
      <c r="T3205" s="388"/>
      <c r="U3205" s="388"/>
      <c r="V3205" s="388"/>
      <c r="W3205" s="388"/>
      <c r="X3205" s="388"/>
      <c r="Y3205" s="389"/>
      <c r="Z3205" s="388"/>
      <c r="AA3205" s="388"/>
      <c r="AB3205" s="390"/>
    </row>
    <row r="3206" spans="1:28">
      <c r="A3206" s="391"/>
      <c r="B3206" s="392"/>
      <c r="C3206" s="393" t="s">
        <v>118</v>
      </c>
      <c r="D3206" s="2578">
        <f>VLOOKUP(D3205,'Detail Balok'!$C$10:$AU$140,2,FALSE)</f>
        <v>200</v>
      </c>
      <c r="E3206" s="2579"/>
      <c r="F3206" s="388" t="s">
        <v>125</v>
      </c>
      <c r="G3206" s="2579">
        <f>VLOOKUP(D3205,'Detail Balok'!$C$10:$AU$140,3,FALSE)</f>
        <v>400</v>
      </c>
      <c r="H3206" s="2580"/>
      <c r="I3206" s="388"/>
      <c r="J3206" s="396"/>
      <c r="K3206" s="396"/>
      <c r="L3206" s="396"/>
      <c r="M3206" s="396"/>
      <c r="N3206" s="396"/>
      <c r="O3206" s="396"/>
      <c r="P3206" s="396"/>
      <c r="Q3206" s="396"/>
      <c r="R3206" s="396"/>
      <c r="S3206" s="396"/>
      <c r="T3206" s="396"/>
      <c r="U3206" s="388"/>
      <c r="V3206" s="396"/>
      <c r="W3206" s="388"/>
      <c r="X3206" s="396"/>
      <c r="Y3206" s="389"/>
      <c r="Z3206" s="396"/>
      <c r="AA3206" s="388"/>
      <c r="AB3206" s="390"/>
    </row>
    <row r="3207" spans="1:28">
      <c r="A3207" s="391"/>
      <c r="B3207" s="392"/>
      <c r="C3207" s="393" t="s">
        <v>198</v>
      </c>
      <c r="D3207" s="2562">
        <f>VLOOKUP(C3205,'Data Panjang Balok'!$C$9:$N$254,4,FALSE)</f>
        <v>3010</v>
      </c>
      <c r="E3207" s="2563"/>
      <c r="F3207" s="2563"/>
      <c r="G3207" s="2563"/>
      <c r="H3207" s="2564"/>
      <c r="I3207" s="397"/>
      <c r="J3207" s="396"/>
      <c r="K3207" s="396"/>
      <c r="L3207" s="396"/>
      <c r="M3207" s="396"/>
      <c r="N3207" s="396"/>
      <c r="O3207" s="396"/>
      <c r="P3207" s="396"/>
      <c r="Q3207" s="396"/>
      <c r="R3207" s="396"/>
      <c r="S3207" s="396"/>
      <c r="T3207" s="396"/>
      <c r="U3207" s="388"/>
      <c r="V3207" s="396"/>
      <c r="W3207" s="388"/>
      <c r="X3207" s="396"/>
      <c r="Y3207" s="389"/>
      <c r="Z3207" s="396"/>
      <c r="AA3207" s="388"/>
      <c r="AB3207" s="390"/>
    </row>
    <row r="3208" spans="1:28">
      <c r="A3208" s="391"/>
      <c r="B3208" s="392"/>
      <c r="C3208" s="393" t="s">
        <v>199</v>
      </c>
      <c r="D3208" s="2562">
        <f>VLOOKUP(C3205,'Data Panjang Balok'!$C$9:$N$254,7,FALSE)</f>
        <v>3010</v>
      </c>
      <c r="E3208" s="2563"/>
      <c r="F3208" s="2563"/>
      <c r="G3208" s="2563"/>
      <c r="H3208" s="2564"/>
      <c r="I3208" s="397"/>
      <c r="J3208" s="396"/>
      <c r="K3208" s="396"/>
      <c r="L3208" s="396"/>
      <c r="M3208" s="396"/>
      <c r="N3208" s="396"/>
      <c r="O3208" s="396"/>
      <c r="P3208" s="396"/>
      <c r="Q3208" s="396"/>
      <c r="R3208" s="396"/>
      <c r="S3208" s="396"/>
      <c r="T3208" s="396"/>
      <c r="U3208" s="388"/>
      <c r="V3208" s="396"/>
      <c r="W3208" s="388"/>
      <c r="X3208" s="396"/>
      <c r="Y3208" s="389"/>
      <c r="Z3208" s="396"/>
      <c r="AA3208" s="388"/>
      <c r="AB3208" s="390"/>
    </row>
    <row r="3209" spans="1:28">
      <c r="A3209" s="391"/>
      <c r="B3209" s="392"/>
      <c r="C3209" s="393" t="s">
        <v>200</v>
      </c>
      <c r="D3209" s="2562">
        <f>VLOOKUP(C3205,'Data Panjang Balok'!$C$9:$N$254,9,FALSE)</f>
        <v>0</v>
      </c>
      <c r="E3209" s="2563"/>
      <c r="F3209" s="2563"/>
      <c r="G3209" s="2563"/>
      <c r="H3209" s="2564"/>
      <c r="I3209" s="397"/>
      <c r="J3209" s="396"/>
      <c r="K3209" s="396"/>
      <c r="L3209" s="396"/>
      <c r="M3209" s="396"/>
      <c r="N3209" s="396"/>
      <c r="O3209" s="396"/>
      <c r="P3209" s="396"/>
      <c r="Q3209" s="396"/>
      <c r="R3209" s="396"/>
      <c r="S3209" s="396"/>
      <c r="T3209" s="396"/>
      <c r="U3209" s="388"/>
      <c r="V3209" s="396"/>
      <c r="W3209" s="388"/>
      <c r="X3209" s="396"/>
      <c r="Y3209" s="389"/>
      <c r="Z3209" s="396"/>
      <c r="AA3209" s="388"/>
      <c r="AB3209" s="390"/>
    </row>
    <row r="3210" spans="1:28">
      <c r="A3210" s="391"/>
      <c r="B3210" s="392"/>
      <c r="C3210" s="393" t="s">
        <v>201</v>
      </c>
      <c r="D3210" s="2562">
        <f>VLOOKUP(C3205,'Data Panjang Balok'!$C$9:$N$254,10,FALSE)</f>
        <v>0</v>
      </c>
      <c r="E3210" s="2563"/>
      <c r="F3210" s="2563"/>
      <c r="G3210" s="2563"/>
      <c r="H3210" s="2564"/>
      <c r="I3210" s="397"/>
      <c r="J3210" s="396"/>
      <c r="K3210" s="396"/>
      <c r="L3210" s="396"/>
      <c r="M3210" s="396"/>
      <c r="N3210" s="396"/>
      <c r="O3210" s="396"/>
      <c r="P3210" s="396"/>
      <c r="Q3210" s="396"/>
      <c r="R3210" s="396"/>
      <c r="S3210" s="396"/>
      <c r="T3210" s="396"/>
      <c r="U3210" s="388"/>
      <c r="V3210" s="396"/>
      <c r="W3210" s="388"/>
      <c r="X3210" s="396"/>
      <c r="Y3210" s="389"/>
      <c r="Z3210" s="396"/>
      <c r="AA3210" s="388"/>
      <c r="AB3210" s="390"/>
    </row>
    <row r="3211" spans="1:28">
      <c r="A3211" s="391"/>
      <c r="B3211" s="392"/>
      <c r="C3211" s="393" t="s">
        <v>48</v>
      </c>
      <c r="D3211" s="2562">
        <f>VLOOKUP(C3205,'Data Panjang Balok'!$C$9:$N$254,3,FALSE)</f>
        <v>1</v>
      </c>
      <c r="E3211" s="2563"/>
      <c r="F3211" s="2563"/>
      <c r="G3211" s="2563"/>
      <c r="H3211" s="2564"/>
      <c r="I3211" s="397"/>
      <c r="J3211" s="396"/>
      <c r="K3211" s="396"/>
      <c r="L3211" s="396"/>
      <c r="M3211" s="396"/>
      <c r="N3211" s="396"/>
      <c r="O3211" s="396"/>
      <c r="P3211" s="396"/>
      <c r="Q3211" s="396"/>
      <c r="R3211" s="396"/>
      <c r="S3211" s="396"/>
      <c r="T3211" s="396"/>
      <c r="U3211" s="388"/>
      <c r="V3211" s="396"/>
      <c r="W3211" s="388"/>
      <c r="X3211" s="396"/>
      <c r="Y3211" s="389"/>
      <c r="Z3211" s="396"/>
      <c r="AA3211" s="388"/>
      <c r="AB3211" s="390"/>
    </row>
    <row r="3212" spans="1:28">
      <c r="A3212" s="384" t="str">
        <f t="shared" ref="A3212:B3212" si="10303">A3205</f>
        <v>Lantai 2</v>
      </c>
      <c r="B3212" s="385">
        <f t="shared" si="10303"/>
        <v>20</v>
      </c>
      <c r="C3212" s="393" t="s">
        <v>202</v>
      </c>
      <c r="D3212" s="398">
        <f>VLOOKUP(D3205,'Detail Balok'!$C$10:$AU$140,4,FALSE)</f>
        <v>3</v>
      </c>
      <c r="E3212" s="388" t="s">
        <v>16</v>
      </c>
      <c r="F3212" s="388">
        <f>VLOOKUP(D3205,'Detail Balok'!$C$10:$AU$140,6,FALSE)</f>
        <v>16</v>
      </c>
      <c r="G3212" s="388"/>
      <c r="H3212" s="395"/>
      <c r="I3212" s="388" t="s">
        <v>203</v>
      </c>
      <c r="J3212" s="399">
        <f t="shared" ref="J3212" si="10304">+D3207/4/1000</f>
        <v>0.75249999999999995</v>
      </c>
      <c r="K3212" s="400" t="s">
        <v>204</v>
      </c>
      <c r="L3212" s="399">
        <f t="shared" ref="L3212" si="10305">MAX(VLOOKUP(F3212,N$6:P$15,3,FALSE)/1000,2/3*D3209/1000)+F$16*F3212/1000</f>
        <v>0.192</v>
      </c>
      <c r="M3212" s="399" t="s">
        <v>176</v>
      </c>
      <c r="N3212" s="399">
        <f t="shared" ref="N3212:N3214" si="10306">J3212+L3212</f>
        <v>0.9444999999999999</v>
      </c>
      <c r="O3212" s="399" t="s">
        <v>204</v>
      </c>
      <c r="P3212" s="389">
        <f t="shared" ref="P3212" si="10307">D3212-D3213</f>
        <v>0</v>
      </c>
      <c r="Q3212" s="399" t="s">
        <v>125</v>
      </c>
      <c r="R3212" s="399">
        <f t="shared" ref="R3212" si="10308">IF(P3212&gt;0,$F$18*F3212/1000,0)</f>
        <v>0</v>
      </c>
      <c r="S3212" s="399" t="s">
        <v>205</v>
      </c>
      <c r="T3212" s="399" t="s">
        <v>125</v>
      </c>
      <c r="U3212" s="401">
        <f t="shared" ref="U3212:U3214" si="10309">0.006165*F3212^2</f>
        <v>1.5782400000000001</v>
      </c>
      <c r="V3212" s="399"/>
      <c r="W3212" s="399"/>
      <c r="X3212" s="399" t="s">
        <v>125</v>
      </c>
      <c r="Y3212" s="389">
        <f t="shared" ref="Y3212" si="10310">D3211</f>
        <v>1</v>
      </c>
      <c r="Z3212" s="400" t="s">
        <v>176</v>
      </c>
      <c r="AA3212" s="402">
        <f t="shared" ref="AA3212" si="10311">IF(AA3215=0,(D3212*N3212+P3212*R3212)*U3212*Y3212,0)</f>
        <v>0</v>
      </c>
      <c r="AB3212" s="403"/>
    </row>
    <row r="3213" spans="1:28">
      <c r="A3213" s="384" t="str">
        <f t="shared" ref="A3213:B3213" si="10312">A3205</f>
        <v>Lantai 2</v>
      </c>
      <c r="B3213" s="385">
        <f t="shared" si="10312"/>
        <v>20</v>
      </c>
      <c r="C3213" s="393" t="s">
        <v>206</v>
      </c>
      <c r="D3213" s="398">
        <f>VLOOKUP(D3205,'Detail Balok'!$C$10:$AU$140,7,FALSE)</f>
        <v>3</v>
      </c>
      <c r="E3213" s="388" t="s">
        <v>16</v>
      </c>
      <c r="F3213" s="388">
        <f>VLOOKUP(D3205,'Detail Balok'!$C$10:$AU$140,9,FALSE)</f>
        <v>16</v>
      </c>
      <c r="G3213" s="388"/>
      <c r="H3213" s="395"/>
      <c r="I3213" s="388" t="s">
        <v>203</v>
      </c>
      <c r="J3213" s="399">
        <f t="shared" ref="J3213" si="10313">+D3207/2/1000</f>
        <v>1.5049999999999999</v>
      </c>
      <c r="K3213" s="400" t="s">
        <v>204</v>
      </c>
      <c r="L3213" s="399"/>
      <c r="M3213" s="399" t="s">
        <v>176</v>
      </c>
      <c r="N3213" s="399">
        <f t="shared" si="10306"/>
        <v>1.5049999999999999</v>
      </c>
      <c r="O3213" s="399" t="s">
        <v>204</v>
      </c>
      <c r="P3213" s="389">
        <f t="shared" ref="P3213" si="10314">MAX(D3213-D3212,D3213-D3214)</f>
        <v>0</v>
      </c>
      <c r="Q3213" s="399" t="s">
        <v>125</v>
      </c>
      <c r="R3213" s="399">
        <f t="shared" ref="R3213" si="10315">IF(P3213&gt;0,2*(1-2*$F$19-1/2)*D3208/1000,0)</f>
        <v>0</v>
      </c>
      <c r="S3213" s="399" t="s">
        <v>205</v>
      </c>
      <c r="T3213" s="399" t="s">
        <v>125</v>
      </c>
      <c r="U3213" s="401">
        <f t="shared" si="10309"/>
        <v>1.5782400000000001</v>
      </c>
      <c r="V3213" s="399"/>
      <c r="W3213" s="399"/>
      <c r="X3213" s="399" t="s">
        <v>125</v>
      </c>
      <c r="Y3213" s="389">
        <f t="shared" ref="Y3213" si="10316">D3211</f>
        <v>1</v>
      </c>
      <c r="Z3213" s="400" t="s">
        <v>176</v>
      </c>
      <c r="AA3213" s="402">
        <f t="shared" ref="AA3213" si="10317">IF(AA3215=0,(D3213*N3213+P3213*R3213)*U3213*Y3213,0)</f>
        <v>0</v>
      </c>
      <c r="AB3213" s="403"/>
    </row>
    <row r="3214" spans="1:28">
      <c r="A3214" s="384" t="str">
        <f t="shared" ref="A3214:B3214" si="10318">A3205</f>
        <v>Lantai 2</v>
      </c>
      <c r="B3214" s="385">
        <f t="shared" si="10318"/>
        <v>20</v>
      </c>
      <c r="C3214" s="393" t="s">
        <v>202</v>
      </c>
      <c r="D3214" s="398">
        <f>VLOOKUP(D3205,'Detail Balok'!$C$10:$AU$140,10,FALSE)</f>
        <v>3</v>
      </c>
      <c r="E3214" s="388" t="s">
        <v>16</v>
      </c>
      <c r="F3214" s="388">
        <f>VLOOKUP(D3205,'Detail Balok'!$C$10:$AU$140,12,FALSE)</f>
        <v>16</v>
      </c>
      <c r="G3214" s="388"/>
      <c r="H3214" s="395"/>
      <c r="I3214" s="388" t="s">
        <v>203</v>
      </c>
      <c r="J3214" s="399">
        <f t="shared" ref="J3214" si="10319">+D3207/4/1000</f>
        <v>0.75249999999999995</v>
      </c>
      <c r="K3214" s="400" t="s">
        <v>204</v>
      </c>
      <c r="L3214" s="399">
        <f t="shared" ref="L3214" si="10320">MAX(VLOOKUP(F3214,N$6:P$15,3,FALSE)/1000,2/3*D3209/1000)+F$16*F3214/1000</f>
        <v>0.192</v>
      </c>
      <c r="M3214" s="399" t="s">
        <v>176</v>
      </c>
      <c r="N3214" s="399">
        <f t="shared" si="10306"/>
        <v>0.9444999999999999</v>
      </c>
      <c r="O3214" s="399" t="s">
        <v>204</v>
      </c>
      <c r="P3214" s="389">
        <f t="shared" ref="P3214" si="10321">D3214-D3213</f>
        <v>0</v>
      </c>
      <c r="Q3214" s="399" t="s">
        <v>125</v>
      </c>
      <c r="R3214" s="399">
        <f t="shared" ref="R3214" si="10322">IF(P3214&gt;0,$F$18*F3214/1000,0)</f>
        <v>0</v>
      </c>
      <c r="S3214" s="399" t="s">
        <v>205</v>
      </c>
      <c r="T3214" s="399" t="s">
        <v>125</v>
      </c>
      <c r="U3214" s="401">
        <f t="shared" si="10309"/>
        <v>1.5782400000000001</v>
      </c>
      <c r="V3214" s="399"/>
      <c r="W3214" s="399"/>
      <c r="X3214" s="399" t="s">
        <v>125</v>
      </c>
      <c r="Y3214" s="389">
        <f t="shared" ref="Y3214" si="10323">D3211</f>
        <v>1</v>
      </c>
      <c r="Z3214" s="400" t="s">
        <v>176</v>
      </c>
      <c r="AA3214" s="402">
        <f t="shared" ref="AA3214" si="10324">IF(AA3215=0,(D3214*N3214+P3214*R3214)*U3214*Y3214,0)</f>
        <v>0</v>
      </c>
      <c r="AB3214" s="403"/>
    </row>
    <row r="3215" spans="1:28">
      <c r="A3215" s="384" t="str">
        <f t="shared" ref="A3215:B3215" si="10325">A3205</f>
        <v>Lantai 2</v>
      </c>
      <c r="B3215" s="385">
        <f t="shared" si="10325"/>
        <v>20</v>
      </c>
      <c r="C3215" s="393"/>
      <c r="D3215" s="398">
        <f t="shared" si="10128"/>
        <v>3</v>
      </c>
      <c r="E3215" s="388" t="s">
        <v>16</v>
      </c>
      <c r="F3215" s="388">
        <f t="shared" si="10129"/>
        <v>16</v>
      </c>
      <c r="G3215" s="388"/>
      <c r="H3215" s="395"/>
      <c r="I3215" s="388"/>
      <c r="J3215" s="396"/>
      <c r="K3215" s="396"/>
      <c r="L3215" s="404" t="s">
        <v>207</v>
      </c>
      <c r="M3215" s="399" t="s">
        <v>176</v>
      </c>
      <c r="N3215" s="399">
        <f t="shared" ref="N3215" si="10326">IF(AND(D3212=D3213,D3212=D3214,D3213=D3214,F3212=F3213,F3212=F3214,F3213=F3214),SUM(N3212:N3214),0)</f>
        <v>3.3939999999999992</v>
      </c>
      <c r="O3215" s="399" t="s">
        <v>204</v>
      </c>
      <c r="P3215" s="389">
        <f t="shared" ref="P3215" si="10327">IF(N3215&gt;12,ROUNDDOWN(N3215/12,0),0)</f>
        <v>0</v>
      </c>
      <c r="Q3215" s="399" t="s">
        <v>125</v>
      </c>
      <c r="R3215" s="399">
        <f t="shared" ref="R3215" si="10328">IF(P3215&gt;0,MAX(VLOOKUP(F3215,$D$6:$G$15,3,FALSE),600),0)/1000</f>
        <v>0</v>
      </c>
      <c r="S3215" s="396"/>
      <c r="T3215" s="396" t="s">
        <v>125</v>
      </c>
      <c r="U3215" s="401">
        <f t="shared" si="10133"/>
        <v>1.5782400000000001</v>
      </c>
      <c r="V3215" s="396" t="s">
        <v>125</v>
      </c>
      <c r="W3215" s="399">
        <f t="shared" ref="W3215" si="10329">D3215</f>
        <v>3</v>
      </c>
      <c r="X3215" s="399" t="s">
        <v>125</v>
      </c>
      <c r="Y3215" s="389">
        <f t="shared" si="10135"/>
        <v>1</v>
      </c>
      <c r="Z3215" s="400" t="s">
        <v>176</v>
      </c>
      <c r="AA3215" s="402">
        <f t="shared" ref="AA3215" si="10330">(N3215+P3215*R3215/1000)*U3215*W3215*Y3215</f>
        <v>16.069639679999998</v>
      </c>
      <c r="AB3215" s="390"/>
    </row>
    <row r="3216" spans="1:28">
      <c r="A3216" s="384"/>
      <c r="B3216" s="385"/>
      <c r="C3216" s="393"/>
      <c r="D3216" s="398"/>
      <c r="E3216" s="388"/>
      <c r="F3216" s="388"/>
      <c r="G3216" s="388"/>
      <c r="H3216" s="395"/>
      <c r="I3216" s="388"/>
      <c r="J3216" s="396"/>
      <c r="K3216" s="396"/>
      <c r="L3216" s="404"/>
      <c r="M3216" s="399"/>
      <c r="N3216" s="399"/>
      <c r="O3216" s="396"/>
      <c r="P3216" s="389"/>
      <c r="Q3216" s="396"/>
      <c r="R3216" s="396"/>
      <c r="S3216" s="396"/>
      <c r="T3216" s="396"/>
      <c r="U3216" s="401"/>
      <c r="V3216" s="396"/>
      <c r="W3216" s="399"/>
      <c r="X3216" s="396"/>
      <c r="Y3216" s="389"/>
      <c r="Z3216" s="396"/>
      <c r="AA3216" s="388"/>
      <c r="AB3216" s="390"/>
    </row>
    <row r="3217" spans="1:28">
      <c r="A3217" s="384" t="str">
        <f t="shared" ref="A3217:B3217" si="10331">A3205</f>
        <v>Lantai 2</v>
      </c>
      <c r="B3217" s="385">
        <f t="shared" si="10331"/>
        <v>20</v>
      </c>
      <c r="C3217" s="393" t="s">
        <v>208</v>
      </c>
      <c r="D3217" s="398">
        <f>VLOOKUP(D3205,'Detail Balok'!$C$10:$AU$140,13,FALSE)</f>
        <v>0</v>
      </c>
      <c r="E3217" s="388" t="s">
        <v>16</v>
      </c>
      <c r="F3217" s="388">
        <f>VLOOKUP(D3205,'Detail Balok'!$C$10:$AU$140,15,FALSE)</f>
        <v>8</v>
      </c>
      <c r="G3217" s="388"/>
      <c r="H3217" s="395"/>
      <c r="I3217" s="388"/>
      <c r="J3217" s="399">
        <f t="shared" ref="J3217" si="10332">+D3207/1000</f>
        <v>3.01</v>
      </c>
      <c r="K3217" s="400" t="s">
        <v>204</v>
      </c>
      <c r="L3217" s="399">
        <f t="shared" ref="L3217" si="10333">2*$F$16*F3217/1000</f>
        <v>0.192</v>
      </c>
      <c r="M3217" s="399" t="s">
        <v>176</v>
      </c>
      <c r="N3217" s="399">
        <f t="shared" ref="N3217" si="10334">J3217+L3217</f>
        <v>3.202</v>
      </c>
      <c r="O3217" s="399" t="s">
        <v>204</v>
      </c>
      <c r="P3217" s="389">
        <f t="shared" ref="P3217" si="10335">IF(N3217&gt;12,ROUNDDOWN(N3217/12,0),0)</f>
        <v>0</v>
      </c>
      <c r="Q3217" s="399" t="s">
        <v>125</v>
      </c>
      <c r="R3217" s="399">
        <f t="shared" ref="R3217" si="10336">IF(P3217&gt;0,MAX(VLOOKUP(F3217,$D$6:$G$15,3,FALSE),600),0)/1000</f>
        <v>0</v>
      </c>
      <c r="S3217" s="399"/>
      <c r="T3217" s="399" t="s">
        <v>125</v>
      </c>
      <c r="U3217" s="401">
        <f t="shared" ref="U3217" si="10337">0.006165*F3217^2</f>
        <v>0.39456000000000002</v>
      </c>
      <c r="V3217" s="399" t="s">
        <v>125</v>
      </c>
      <c r="W3217" s="399">
        <f t="shared" ref="W3217" si="10338">+D3217</f>
        <v>0</v>
      </c>
      <c r="X3217" s="399" t="s">
        <v>125</v>
      </c>
      <c r="Y3217" s="389">
        <f t="shared" ref="Y3217" si="10339">D3211</f>
        <v>1</v>
      </c>
      <c r="Z3217" s="400" t="s">
        <v>176</v>
      </c>
      <c r="AA3217" s="402">
        <f t="shared" ref="AA3217" si="10340">(N3217+P3217*R3217/1000)*U3217*W3217*Y3217</f>
        <v>0</v>
      </c>
      <c r="AB3217" s="403"/>
    </row>
    <row r="3218" spans="1:28">
      <c r="A3218" s="384"/>
      <c r="B3218" s="385"/>
      <c r="C3218" s="393"/>
      <c r="D3218" s="398"/>
      <c r="E3218" s="388"/>
      <c r="F3218" s="388"/>
      <c r="G3218" s="388"/>
      <c r="H3218" s="395"/>
      <c r="I3218" s="388"/>
      <c r="J3218" s="399"/>
      <c r="K3218" s="400"/>
      <c r="L3218" s="399"/>
      <c r="M3218" s="399"/>
      <c r="N3218" s="399"/>
      <c r="O3218" s="399"/>
      <c r="P3218" s="389"/>
      <c r="Q3218" s="399"/>
      <c r="R3218" s="399"/>
      <c r="S3218" s="399"/>
      <c r="T3218" s="399"/>
      <c r="U3218" s="401"/>
      <c r="V3218" s="399"/>
      <c r="W3218" s="399"/>
      <c r="X3218" s="399"/>
      <c r="Y3218" s="389"/>
      <c r="Z3218" s="400"/>
      <c r="AA3218" s="402"/>
      <c r="AB3218" s="403"/>
    </row>
    <row r="3219" spans="1:28">
      <c r="A3219" s="384"/>
      <c r="B3219" s="385"/>
      <c r="C3219" s="393"/>
      <c r="D3219" s="398"/>
      <c r="E3219" s="388"/>
      <c r="F3219" s="388"/>
      <c r="G3219" s="388"/>
      <c r="H3219" s="395"/>
      <c r="I3219" s="388"/>
      <c r="J3219" s="396"/>
      <c r="K3219" s="396"/>
      <c r="L3219" s="396"/>
      <c r="M3219" s="396"/>
      <c r="N3219" s="396"/>
      <c r="O3219" s="396"/>
      <c r="P3219" s="389"/>
      <c r="Q3219" s="396"/>
      <c r="R3219" s="396"/>
      <c r="S3219" s="396"/>
      <c r="T3219" s="396"/>
      <c r="U3219" s="401"/>
      <c r="V3219" s="396"/>
      <c r="W3219" s="399"/>
      <c r="X3219" s="396"/>
      <c r="Y3219" s="389"/>
      <c r="Z3219" s="396"/>
      <c r="AA3219" s="388"/>
      <c r="AB3219" s="390"/>
    </row>
    <row r="3220" spans="1:28">
      <c r="A3220" s="384" t="str">
        <f t="shared" ref="A3220:B3220" si="10341">A3205</f>
        <v>Lantai 2</v>
      </c>
      <c r="B3220" s="385">
        <f t="shared" si="10341"/>
        <v>20</v>
      </c>
      <c r="C3220" s="393" t="s">
        <v>209</v>
      </c>
      <c r="D3220" s="398">
        <f>VLOOKUP(D3205,'Detail Balok'!$C$10:$AU$140,22,FALSE)</f>
        <v>3</v>
      </c>
      <c r="E3220" s="388" t="s">
        <v>16</v>
      </c>
      <c r="F3220" s="388">
        <f>VLOOKUP(D3205,'Detail Balok'!$C$10:$AU$140,24,FALSE)</f>
        <v>16</v>
      </c>
      <c r="G3220" s="388"/>
      <c r="H3220" s="395"/>
      <c r="I3220" s="388" t="s">
        <v>203</v>
      </c>
      <c r="J3220" s="399">
        <f t="shared" si="10148"/>
        <v>0.75249999999999995</v>
      </c>
      <c r="K3220" s="400" t="s">
        <v>204</v>
      </c>
      <c r="L3220" s="399">
        <f t="shared" ref="L3220" si="10342">MAX(VLOOKUP(F3220,N$6:P$15,3,FALSE)/1000,2/3*D3210/1000)+F$16*F3220/1000</f>
        <v>0.192</v>
      </c>
      <c r="M3220" s="399" t="s">
        <v>176</v>
      </c>
      <c r="N3220" s="399">
        <f t="shared" ref="N3220:N3222" si="10343">J3220+L3220</f>
        <v>0.9444999999999999</v>
      </c>
      <c r="O3220" s="399" t="s">
        <v>204</v>
      </c>
      <c r="P3220" s="389">
        <f t="shared" ref="P3220" si="10344">D3220-D3221</f>
        <v>0</v>
      </c>
      <c r="Q3220" s="399" t="s">
        <v>125</v>
      </c>
      <c r="R3220" s="399">
        <f t="shared" ref="R3220" si="10345">IF(P3220&gt;0,$F$18*F3220/1000,0)</f>
        <v>0</v>
      </c>
      <c r="S3220" s="399" t="s">
        <v>205</v>
      </c>
      <c r="T3220" s="399" t="s">
        <v>125</v>
      </c>
      <c r="U3220" s="401">
        <f t="shared" ref="U3220:U3222" si="10346">0.006165*F3220^2</f>
        <v>1.5782400000000001</v>
      </c>
      <c r="V3220" s="399"/>
      <c r="W3220" s="399"/>
      <c r="X3220" s="399" t="s">
        <v>125</v>
      </c>
      <c r="Y3220" s="389">
        <f t="shared" ref="Y3220" si="10347">D3211</f>
        <v>1</v>
      </c>
      <c r="Z3220" s="400" t="s">
        <v>176</v>
      </c>
      <c r="AA3220" s="402">
        <f t="shared" ref="AA3220" si="10348">IF(AA3223=0,(D3220*N3220+P3220*R3220)*U3220*Y3220,0)</f>
        <v>0</v>
      </c>
      <c r="AB3220" s="403"/>
    </row>
    <row r="3221" spans="1:28">
      <c r="A3221" s="384" t="str">
        <f t="shared" ref="A3221:B3221" si="10349">A3205</f>
        <v>Lantai 2</v>
      </c>
      <c r="B3221" s="385">
        <f t="shared" si="10349"/>
        <v>20</v>
      </c>
      <c r="C3221" s="393" t="s">
        <v>210</v>
      </c>
      <c r="D3221" s="398">
        <f>VLOOKUP(D3205,'Detail Balok'!$C$10:$AU$140,25,FALSE)</f>
        <v>3</v>
      </c>
      <c r="E3221" s="388" t="s">
        <v>16</v>
      </c>
      <c r="F3221" s="388">
        <f>VLOOKUP(D3205,'Detail Balok'!$C$10:$AU$140,27,FALSE)</f>
        <v>16</v>
      </c>
      <c r="G3221" s="388"/>
      <c r="H3221" s="395"/>
      <c r="I3221" s="388" t="s">
        <v>203</v>
      </c>
      <c r="J3221" s="399">
        <f t="shared" si="10148"/>
        <v>1.5049999999999999</v>
      </c>
      <c r="K3221" s="400" t="s">
        <v>204</v>
      </c>
      <c r="L3221" s="399"/>
      <c r="M3221" s="399" t="s">
        <v>176</v>
      </c>
      <c r="N3221" s="399">
        <f t="shared" si="10343"/>
        <v>1.5049999999999999</v>
      </c>
      <c r="O3221" s="399" t="s">
        <v>204</v>
      </c>
      <c r="P3221" s="389">
        <f t="shared" ref="P3221" si="10350">MAX(D3221-D3220,D3221-D3222)</f>
        <v>0</v>
      </c>
      <c r="Q3221" s="399" t="s">
        <v>125</v>
      </c>
      <c r="R3221" s="399">
        <f t="shared" ref="R3221" si="10351">IF(P3221&gt;0,2*(1-2*$F$19-1/2)*D3208/1000,0)</f>
        <v>0</v>
      </c>
      <c r="S3221" s="399" t="s">
        <v>205</v>
      </c>
      <c r="T3221" s="399" t="s">
        <v>125</v>
      </c>
      <c r="U3221" s="401">
        <f t="shared" si="10346"/>
        <v>1.5782400000000001</v>
      </c>
      <c r="V3221" s="399"/>
      <c r="W3221" s="399"/>
      <c r="X3221" s="399" t="s">
        <v>125</v>
      </c>
      <c r="Y3221" s="389">
        <f t="shared" ref="Y3221" si="10352">D3211</f>
        <v>1</v>
      </c>
      <c r="Z3221" s="400" t="s">
        <v>176</v>
      </c>
      <c r="AA3221" s="402">
        <f t="shared" ref="AA3221" si="10353">IF(AA3223=0,(D3221*N3221+P3221*R3221)*U3221*Y3221,0)</f>
        <v>0</v>
      </c>
      <c r="AB3221" s="403"/>
    </row>
    <row r="3222" spans="1:28">
      <c r="A3222" s="384" t="str">
        <f t="shared" ref="A3222:B3222" si="10354">A3205</f>
        <v>Lantai 2</v>
      </c>
      <c r="B3222" s="385">
        <f t="shared" si="10354"/>
        <v>20</v>
      </c>
      <c r="C3222" s="393" t="s">
        <v>209</v>
      </c>
      <c r="D3222" s="398">
        <f>VLOOKUP(D3205,'Detail Balok'!$C$10:$AU$140,28,FALSE)</f>
        <v>3</v>
      </c>
      <c r="E3222" s="388" t="s">
        <v>16</v>
      </c>
      <c r="F3222" s="388">
        <f>VLOOKUP(D3205,'Detail Balok'!$C$10:$AU$140,30,FALSE)</f>
        <v>16</v>
      </c>
      <c r="G3222" s="388"/>
      <c r="H3222" s="395"/>
      <c r="I3222" s="388" t="s">
        <v>203</v>
      </c>
      <c r="J3222" s="399">
        <f t="shared" si="10148"/>
        <v>0.75249999999999995</v>
      </c>
      <c r="K3222" s="400" t="s">
        <v>204</v>
      </c>
      <c r="L3222" s="399">
        <f t="shared" ref="L3222" si="10355">MAX(VLOOKUP(F3222,N$6:P$15,3,FALSE)/1000,2/3*D3210/1000)+F$16*F3222/1000</f>
        <v>0.192</v>
      </c>
      <c r="M3222" s="399" t="s">
        <v>176</v>
      </c>
      <c r="N3222" s="399">
        <f t="shared" si="10343"/>
        <v>0.9444999999999999</v>
      </c>
      <c r="O3222" s="399" t="s">
        <v>204</v>
      </c>
      <c r="P3222" s="389">
        <f t="shared" ref="P3222" si="10356">D3222-D3221</f>
        <v>0</v>
      </c>
      <c r="Q3222" s="399" t="s">
        <v>125</v>
      </c>
      <c r="R3222" s="399">
        <f t="shared" ref="R3222" si="10357">IF(P3222&gt;0,$F$18*F3222/1000,0)</f>
        <v>0</v>
      </c>
      <c r="S3222" s="399" t="s">
        <v>205</v>
      </c>
      <c r="T3222" s="399" t="s">
        <v>125</v>
      </c>
      <c r="U3222" s="401">
        <f t="shared" si="10346"/>
        <v>1.5782400000000001</v>
      </c>
      <c r="V3222" s="399"/>
      <c r="W3222" s="399"/>
      <c r="X3222" s="399" t="s">
        <v>125</v>
      </c>
      <c r="Y3222" s="389">
        <f t="shared" ref="Y3222" si="10358">D3211</f>
        <v>1</v>
      </c>
      <c r="Z3222" s="400" t="s">
        <v>176</v>
      </c>
      <c r="AA3222" s="402">
        <f t="shared" ref="AA3222" si="10359">IF(AA3223=0,(D3222*N3222+P3222*R3222)*U3222*Y3222,0)</f>
        <v>0</v>
      </c>
      <c r="AB3222" s="403"/>
    </row>
    <row r="3223" spans="1:28">
      <c r="A3223" s="384" t="str">
        <f t="shared" ref="A3223:B3223" si="10360">A3205</f>
        <v>Lantai 2</v>
      </c>
      <c r="B3223" s="385">
        <f t="shared" si="10360"/>
        <v>20</v>
      </c>
      <c r="C3223" s="393"/>
      <c r="D3223" s="398">
        <f t="shared" si="10168"/>
        <v>3</v>
      </c>
      <c r="E3223" s="388" t="s">
        <v>16</v>
      </c>
      <c r="F3223" s="388">
        <f t="shared" si="10169"/>
        <v>16</v>
      </c>
      <c r="G3223" s="388"/>
      <c r="H3223" s="395"/>
      <c r="I3223" s="388"/>
      <c r="J3223" s="396"/>
      <c r="K3223" s="396"/>
      <c r="L3223" s="404" t="s">
        <v>207</v>
      </c>
      <c r="M3223" s="399" t="s">
        <v>176</v>
      </c>
      <c r="N3223" s="399">
        <f t="shared" ref="N3223" si="10361">IF(AND(D3220=D3221,D3220=D3222,D3221=D3222,F3220=F3221,F3220=F3222,F3221=F3222),SUM(N3220:N3222),0)</f>
        <v>3.3939999999999992</v>
      </c>
      <c r="O3223" s="399" t="s">
        <v>204</v>
      </c>
      <c r="P3223" s="389">
        <f t="shared" ref="P3223" si="10362">IF(N3223&gt;12,ROUNDDOWN(N3223/12,0),0)</f>
        <v>0</v>
      </c>
      <c r="Q3223" s="399" t="s">
        <v>125</v>
      </c>
      <c r="R3223" s="399">
        <f t="shared" ref="R3223" si="10363">IF(P3223&gt;0,MAX(VLOOKUP(F3223,$D$6:$G$15,3,FALSE),600),0)/1000</f>
        <v>0</v>
      </c>
      <c r="S3223" s="396"/>
      <c r="T3223" s="396" t="s">
        <v>125</v>
      </c>
      <c r="U3223" s="401">
        <f t="shared" si="10173"/>
        <v>1.5782400000000001</v>
      </c>
      <c r="V3223" s="396" t="s">
        <v>125</v>
      </c>
      <c r="W3223" s="399">
        <f t="shared" ref="W3223" si="10364">D3223</f>
        <v>3</v>
      </c>
      <c r="X3223" s="399" t="s">
        <v>125</v>
      </c>
      <c r="Y3223" s="389">
        <f t="shared" si="10175"/>
        <v>1</v>
      </c>
      <c r="Z3223" s="400" t="s">
        <v>176</v>
      </c>
      <c r="AA3223" s="402">
        <f t="shared" ref="AA3223" si="10365">(N3223+P3223*R3223/1000)*U3223*W3223*Y3223</f>
        <v>16.069639679999998</v>
      </c>
      <c r="AB3223" s="403"/>
    </row>
    <row r="3224" spans="1:28">
      <c r="A3224" s="384"/>
      <c r="B3224" s="385"/>
      <c r="C3224" s="393"/>
      <c r="D3224" s="394"/>
      <c r="E3224" s="388"/>
      <c r="F3224" s="388"/>
      <c r="G3224" s="388"/>
      <c r="H3224" s="395"/>
      <c r="I3224" s="388"/>
      <c r="J3224" s="399"/>
      <c r="K3224" s="396"/>
      <c r="L3224" s="396"/>
      <c r="M3224" s="396"/>
      <c r="N3224" s="396"/>
      <c r="O3224" s="396"/>
      <c r="P3224" s="389"/>
      <c r="Q3224" s="396"/>
      <c r="R3224" s="396"/>
      <c r="S3224" s="396"/>
      <c r="T3224" s="396"/>
      <c r="U3224" s="401"/>
      <c r="V3224" s="396"/>
      <c r="W3224" s="388"/>
      <c r="X3224" s="396"/>
      <c r="Y3224" s="389"/>
      <c r="Z3224" s="396"/>
      <c r="AA3224" s="388"/>
      <c r="AB3224" s="390"/>
    </row>
    <row r="3225" spans="1:28">
      <c r="A3225" s="384" t="str">
        <f t="shared" ref="A3225:B3225" si="10366">A3205</f>
        <v>Lantai 2</v>
      </c>
      <c r="B3225" s="385">
        <f t="shared" si="10366"/>
        <v>20</v>
      </c>
      <c r="C3225" s="393" t="s">
        <v>211</v>
      </c>
      <c r="D3225" s="398">
        <f>VLOOKUP(D3205,'Detail Balok'!$C$10:$AU$140,31,FALSE)</f>
        <v>0</v>
      </c>
      <c r="E3225" s="388" t="s">
        <v>16</v>
      </c>
      <c r="F3225" s="388">
        <f>VLOOKUP(D3205,'Detail Balok'!$C$10:$AU$140,33,FALSE)</f>
        <v>10</v>
      </c>
      <c r="G3225" s="405" t="s">
        <v>157</v>
      </c>
      <c r="H3225" s="395">
        <f>VLOOKUP(D3205,'Detail Balok'!$C$10:$AU$140,35,FALSE)</f>
        <v>100</v>
      </c>
      <c r="I3225" s="388"/>
      <c r="J3225" s="400">
        <f t="shared" ref="J3225" si="10367">(IF(D3225=0,(2*(D3206+G3206))-(F$5*8),IF(D3225=3,(2*(D3206+G3206))-(F$5*8)+(G3206-2*F$5),IF(D3225=4,(2*(D3206+G3206))-(F$5*8)+2*(G3206-2*F$5)))))/1000</f>
        <v>0.88</v>
      </c>
      <c r="K3225" s="400" t="s">
        <v>204</v>
      </c>
      <c r="L3225" s="399">
        <f t="shared" ref="L3225:L3227" si="10368">IF(D3225=0,2*MAX(6*F3225,75),(D3225-1)*2*MAX(6*F3225,75))/1000</f>
        <v>0.15</v>
      </c>
      <c r="M3225" s="399" t="s">
        <v>176</v>
      </c>
      <c r="N3225" s="399">
        <f t="shared" ref="N3225:N3227" si="10369">J3225+L3225</f>
        <v>1.03</v>
      </c>
      <c r="O3225" s="399"/>
      <c r="P3225" s="389"/>
      <c r="Q3225" s="399"/>
      <c r="R3225" s="399"/>
      <c r="S3225" s="399"/>
      <c r="T3225" s="399" t="s">
        <v>125</v>
      </c>
      <c r="U3225" s="401">
        <f t="shared" ref="U3225:U3227" si="10370">0.006165*F3225^2</f>
        <v>0.61650000000000005</v>
      </c>
      <c r="V3225" s="399" t="s">
        <v>125</v>
      </c>
      <c r="W3225" s="399">
        <f t="shared" ref="W3225" si="10371">IF(D3208&gt;4*G3206,ROUND(MAX(D3208/4,2*G3206)/H3225,0)+1,ROUND(D3208/H3225,0)+1)</f>
        <v>9</v>
      </c>
      <c r="X3225" s="399" t="s">
        <v>125</v>
      </c>
      <c r="Y3225" s="389">
        <f t="shared" ref="Y3225" si="10372">D3211</f>
        <v>1</v>
      </c>
      <c r="Z3225" s="400" t="s">
        <v>176</v>
      </c>
      <c r="AA3225" s="402">
        <f t="shared" ref="AA3225:AA3227" si="10373">N3225*U3225*W3225*Y3225</f>
        <v>5.7149550000000007</v>
      </c>
      <c r="AB3225" s="403"/>
    </row>
    <row r="3226" spans="1:28">
      <c r="A3226" s="384" t="str">
        <f t="shared" ref="A3226:B3226" si="10374">A3205</f>
        <v>Lantai 2</v>
      </c>
      <c r="B3226" s="385">
        <f t="shared" si="10374"/>
        <v>20</v>
      </c>
      <c r="C3226" s="393" t="s">
        <v>212</v>
      </c>
      <c r="D3226" s="398">
        <f>VLOOKUP(D3205,'Detail Balok'!$C$10:$AU$140,36,FALSE)</f>
        <v>0</v>
      </c>
      <c r="E3226" s="388" t="s">
        <v>16</v>
      </c>
      <c r="F3226" s="388">
        <f>VLOOKUP(D3205,'Detail Balok'!$C$10:$AU$140,38,FALSE)</f>
        <v>10</v>
      </c>
      <c r="G3226" s="405" t="s">
        <v>157</v>
      </c>
      <c r="H3226" s="395">
        <f>VLOOKUP(D3205,'Detail Balok'!$C$10:$AU$140,40,FALSE)</f>
        <v>200</v>
      </c>
      <c r="I3226" s="388"/>
      <c r="J3226" s="400">
        <f t="shared" ref="J3226" si="10375">(IF(D3226=0,(2*(D3206+G3206))-(F$5*8),IF(D3226=3,(2*(D3206+G3206))-(F$5*8)+(G3206-2*F$5),IF(D3226=4,(2*(D3206+G3206))-(F$5*8)+2*(G3206-2*F$5)))))/1000</f>
        <v>0.88</v>
      </c>
      <c r="K3226" s="400" t="s">
        <v>204</v>
      </c>
      <c r="L3226" s="399">
        <f t="shared" si="10368"/>
        <v>0.15</v>
      </c>
      <c r="M3226" s="399" t="s">
        <v>176</v>
      </c>
      <c r="N3226" s="399">
        <f t="shared" si="10369"/>
        <v>1.03</v>
      </c>
      <c r="O3226" s="399"/>
      <c r="P3226" s="389"/>
      <c r="Q3226" s="399"/>
      <c r="R3226" s="399"/>
      <c r="S3226" s="399"/>
      <c r="T3226" s="399" t="s">
        <v>125</v>
      </c>
      <c r="U3226" s="401">
        <f t="shared" si="10370"/>
        <v>0.61650000000000005</v>
      </c>
      <c r="V3226" s="399" t="s">
        <v>125</v>
      </c>
      <c r="W3226" s="399">
        <f t="shared" ref="W3226" si="10376">IF(D3208-MAX(D3208/4,2*G3206)*2&gt;0,ROUND((D3208-MAX(D3208/4,2*G3206)*2)/H3226,0),0)</f>
        <v>7</v>
      </c>
      <c r="X3226" s="399" t="s">
        <v>125</v>
      </c>
      <c r="Y3226" s="389">
        <f t="shared" ref="Y3226" si="10377">D3211</f>
        <v>1</v>
      </c>
      <c r="Z3226" s="400" t="s">
        <v>176</v>
      </c>
      <c r="AA3226" s="402">
        <f t="shared" si="10373"/>
        <v>4.4449650000000007</v>
      </c>
      <c r="AB3226" s="403"/>
    </row>
    <row r="3227" spans="1:28">
      <c r="A3227" s="384" t="str">
        <f t="shared" ref="A3227:B3227" si="10378">A3205</f>
        <v>Lantai 2</v>
      </c>
      <c r="B3227" s="385">
        <f t="shared" si="10378"/>
        <v>20</v>
      </c>
      <c r="C3227" s="393" t="s">
        <v>211</v>
      </c>
      <c r="D3227" s="398">
        <f>VLOOKUP(D3205,'Detail Balok'!$C$10:$AU$140,41,FALSE)</f>
        <v>0</v>
      </c>
      <c r="E3227" s="388" t="s">
        <v>16</v>
      </c>
      <c r="F3227" s="388">
        <f>VLOOKUP(D3205,'Detail Balok'!$C$10:$AU$140,43,FALSE)</f>
        <v>10</v>
      </c>
      <c r="G3227" s="405" t="s">
        <v>157</v>
      </c>
      <c r="H3227" s="395">
        <f>VLOOKUP(D3205,'Detail Balok'!$C$10:$AU$140,45,FALSE)</f>
        <v>100</v>
      </c>
      <c r="I3227" s="388"/>
      <c r="J3227" s="400">
        <f t="shared" ref="J3227" si="10379">(IF(D3227=0,(2*(D3206+G3206))-(F$5*8),IF(D3227=3,(2*(D3206+G3206))-(F$5*8)+(G3206-2*F$5),IF(D3227=4,(2*(D3206+G3206))-(F$5*8)+2*(G3206-2*F$5)))))/1000</f>
        <v>0.88</v>
      </c>
      <c r="K3227" s="400" t="s">
        <v>204</v>
      </c>
      <c r="L3227" s="399">
        <f t="shared" si="10368"/>
        <v>0.15</v>
      </c>
      <c r="M3227" s="399" t="s">
        <v>176</v>
      </c>
      <c r="N3227" s="399">
        <f t="shared" si="10369"/>
        <v>1.03</v>
      </c>
      <c r="O3227" s="399"/>
      <c r="P3227" s="389"/>
      <c r="Q3227" s="399"/>
      <c r="R3227" s="399"/>
      <c r="S3227" s="399"/>
      <c r="T3227" s="399" t="s">
        <v>125</v>
      </c>
      <c r="U3227" s="401">
        <f t="shared" si="10370"/>
        <v>0.61650000000000005</v>
      </c>
      <c r="V3227" s="399" t="s">
        <v>125</v>
      </c>
      <c r="W3227" s="399">
        <f t="shared" ref="W3227" si="10380">IF(D3208&gt;4*G3206,ROUND(MAX(D3208/4,2*G3206)/H3227,0)+1,0)</f>
        <v>9</v>
      </c>
      <c r="X3227" s="399" t="s">
        <v>125</v>
      </c>
      <c r="Y3227" s="389">
        <f t="shared" ref="Y3227" si="10381">D3211</f>
        <v>1</v>
      </c>
      <c r="Z3227" s="400" t="s">
        <v>176</v>
      </c>
      <c r="AA3227" s="402">
        <f t="shared" si="10373"/>
        <v>5.7149550000000007</v>
      </c>
      <c r="AB3227" s="403"/>
    </row>
    <row r="3228" spans="1:28">
      <c r="A3228" s="384"/>
      <c r="B3228" s="385"/>
      <c r="C3228" s="393"/>
      <c r="D3228" s="394"/>
      <c r="E3228" s="388"/>
      <c r="F3228" s="388"/>
      <c r="G3228" s="388"/>
      <c r="H3228" s="395"/>
      <c r="I3228" s="388"/>
      <c r="J3228" s="399"/>
      <c r="K3228" s="396"/>
      <c r="L3228" s="396"/>
      <c r="M3228" s="396"/>
      <c r="N3228" s="396"/>
      <c r="O3228" s="396"/>
      <c r="P3228" s="389"/>
      <c r="Q3228" s="396"/>
      <c r="R3228" s="396"/>
      <c r="S3228" s="396"/>
      <c r="T3228" s="396"/>
      <c r="U3228" s="401"/>
      <c r="V3228" s="396"/>
      <c r="W3228" s="388"/>
      <c r="X3228" s="396"/>
      <c r="Y3228" s="389"/>
      <c r="Z3228" s="396"/>
      <c r="AA3228" s="388"/>
      <c r="AB3228" s="390"/>
    </row>
    <row r="3229" spans="1:28">
      <c r="A3229" s="384" t="str">
        <f t="shared" ref="A3229:B3229" si="10382">A3205</f>
        <v>Lantai 2</v>
      </c>
      <c r="B3229" s="385">
        <f t="shared" si="10382"/>
        <v>20</v>
      </c>
      <c r="C3229" s="393" t="s">
        <v>213</v>
      </c>
      <c r="D3229" s="398">
        <f>VLOOKUP(D3205,'Detail Balok'!$C$10:$BJ$140,46,FALSE)</f>
        <v>0</v>
      </c>
      <c r="E3229" s="388" t="s">
        <v>16</v>
      </c>
      <c r="F3229" s="388">
        <f>VLOOKUP(D3205,'Detail Balok'!$C$10:$BJ$140,48,FALSE)</f>
        <v>0</v>
      </c>
      <c r="G3229" s="405" t="s">
        <v>157</v>
      </c>
      <c r="H3229" s="395">
        <f>VLOOKUP(D3205,'Detail Balok'!$C$10:$BJ$140,50,FALSE)</f>
        <v>100</v>
      </c>
      <c r="I3229" s="388"/>
      <c r="J3229" s="399">
        <f t="shared" ref="J3229" si="10383">(D3206-2*F$5)/1000</f>
        <v>0.12</v>
      </c>
      <c r="K3229" s="400" t="s">
        <v>204</v>
      </c>
      <c r="L3229" s="399">
        <f t="shared" ref="L3229:L3231" si="10384">IF(D3229=0,2*MAX(6*F3229,75),(D3229-1)*2*MAX(6*F3229,75))/1000</f>
        <v>0.15</v>
      </c>
      <c r="M3229" s="399" t="s">
        <v>176</v>
      </c>
      <c r="N3229" s="399">
        <f t="shared" ref="N3229:N3231" si="10385">J3229+L3229</f>
        <v>0.27</v>
      </c>
      <c r="O3229" s="399"/>
      <c r="P3229" s="399"/>
      <c r="Q3229" s="399"/>
      <c r="R3229" s="399"/>
      <c r="S3229" s="399"/>
      <c r="T3229" s="399" t="s">
        <v>125</v>
      </c>
      <c r="U3229" s="401">
        <f t="shared" ref="U3229:U3231" si="10386">0.006165*F3229^2</f>
        <v>0</v>
      </c>
      <c r="V3229" s="399" t="s">
        <v>125</v>
      </c>
      <c r="W3229" s="399">
        <f t="shared" si="10198"/>
        <v>9</v>
      </c>
      <c r="X3229" s="399" t="s">
        <v>125</v>
      </c>
      <c r="Y3229" s="389">
        <f t="shared" ref="Y3229" si="10387">D3215</f>
        <v>3</v>
      </c>
      <c r="Z3229" s="400" t="s">
        <v>176</v>
      </c>
      <c r="AA3229" s="402">
        <f t="shared" ref="AA3229:AA3231" si="10388">N3229*U3229*W3229*Y3229</f>
        <v>0</v>
      </c>
      <c r="AB3229" s="403"/>
    </row>
    <row r="3230" spans="1:28">
      <c r="A3230" s="384" t="str">
        <f t="shared" ref="A3230:B3230" si="10389">A3205</f>
        <v>Lantai 2</v>
      </c>
      <c r="B3230" s="385">
        <f t="shared" si="10389"/>
        <v>20</v>
      </c>
      <c r="C3230" s="393" t="s">
        <v>214</v>
      </c>
      <c r="D3230" s="398">
        <f>VLOOKUP(D3205,'Detail Balok'!$C$10:$BJ$140,51,FALSE)</f>
        <v>0</v>
      </c>
      <c r="E3230" s="388" t="s">
        <v>16</v>
      </c>
      <c r="F3230" s="388">
        <f>VLOOKUP(D3205,'Detail Balok'!$C$10:$BJ$140,53,FALSE)</f>
        <v>0</v>
      </c>
      <c r="G3230" s="405" t="s">
        <v>157</v>
      </c>
      <c r="H3230" s="395">
        <f>VLOOKUP(D3205,'Detail Balok'!$C$10:$BJ$140,55,FALSE)</f>
        <v>100</v>
      </c>
      <c r="I3230" s="388"/>
      <c r="J3230" s="399">
        <f t="shared" ref="J3230" si="10390">(D3206-2*F$5)/1000</f>
        <v>0.12</v>
      </c>
      <c r="K3230" s="400" t="s">
        <v>204</v>
      </c>
      <c r="L3230" s="399">
        <f t="shared" si="10384"/>
        <v>0.15</v>
      </c>
      <c r="M3230" s="399" t="s">
        <v>176</v>
      </c>
      <c r="N3230" s="399">
        <f t="shared" si="10385"/>
        <v>0.27</v>
      </c>
      <c r="O3230" s="399"/>
      <c r="P3230" s="399"/>
      <c r="Q3230" s="399"/>
      <c r="R3230" s="399"/>
      <c r="S3230" s="399"/>
      <c r="T3230" s="399" t="s">
        <v>125</v>
      </c>
      <c r="U3230" s="401">
        <f t="shared" si="10386"/>
        <v>0</v>
      </c>
      <c r="V3230" s="399" t="s">
        <v>125</v>
      </c>
      <c r="W3230" s="399">
        <f t="shared" si="10198"/>
        <v>7</v>
      </c>
      <c r="X3230" s="399" t="s">
        <v>125</v>
      </c>
      <c r="Y3230" s="389">
        <f t="shared" ref="Y3230" si="10391">D3215</f>
        <v>3</v>
      </c>
      <c r="Z3230" s="400" t="s">
        <v>176</v>
      </c>
      <c r="AA3230" s="402">
        <f t="shared" si="10388"/>
        <v>0</v>
      </c>
      <c r="AB3230" s="403"/>
    </row>
    <row r="3231" spans="1:28">
      <c r="A3231" s="384" t="str">
        <f t="shared" ref="A3231:B3231" si="10392">A3205</f>
        <v>Lantai 2</v>
      </c>
      <c r="B3231" s="385">
        <f t="shared" si="10392"/>
        <v>20</v>
      </c>
      <c r="C3231" s="393" t="s">
        <v>213</v>
      </c>
      <c r="D3231" s="398">
        <f>VLOOKUP(D3205,'Detail Balok'!$C$10:$BJ$140,56,FALSE)</f>
        <v>0</v>
      </c>
      <c r="E3231" s="388" t="s">
        <v>16</v>
      </c>
      <c r="F3231" s="388">
        <f>VLOOKUP(D3205,'Detail Balok'!$C$10:$BJ$140,58,FALSE)</f>
        <v>0</v>
      </c>
      <c r="G3231" s="405" t="s">
        <v>157</v>
      </c>
      <c r="H3231" s="395">
        <f>VLOOKUP(D3205,'Detail Balok'!$C$10:$BJ$140,60,FALSE)</f>
        <v>100</v>
      </c>
      <c r="I3231" s="388"/>
      <c r="J3231" s="399">
        <f t="shared" ref="J3231" si="10393">(D3206-2*F$5)/1000</f>
        <v>0.12</v>
      </c>
      <c r="K3231" s="400" t="s">
        <v>204</v>
      </c>
      <c r="L3231" s="399">
        <f t="shared" si="10384"/>
        <v>0.15</v>
      </c>
      <c r="M3231" s="399" t="s">
        <v>176</v>
      </c>
      <c r="N3231" s="399">
        <f t="shared" si="10385"/>
        <v>0.27</v>
      </c>
      <c r="O3231" s="399"/>
      <c r="P3231" s="399"/>
      <c r="Q3231" s="399"/>
      <c r="R3231" s="399"/>
      <c r="S3231" s="399"/>
      <c r="T3231" s="399" t="s">
        <v>125</v>
      </c>
      <c r="U3231" s="401">
        <f t="shared" si="10386"/>
        <v>0</v>
      </c>
      <c r="V3231" s="399" t="s">
        <v>125</v>
      </c>
      <c r="W3231" s="399">
        <f t="shared" si="10198"/>
        <v>9</v>
      </c>
      <c r="X3231" s="399" t="s">
        <v>125</v>
      </c>
      <c r="Y3231" s="389">
        <f t="shared" ref="Y3231" si="10394">D3215</f>
        <v>3</v>
      </c>
      <c r="Z3231" s="400" t="s">
        <v>176</v>
      </c>
      <c r="AA3231" s="402">
        <f t="shared" si="10388"/>
        <v>0</v>
      </c>
      <c r="AB3231" s="403"/>
    </row>
    <row r="3232" spans="1:28">
      <c r="A3232" s="391"/>
      <c r="B3232" s="392"/>
      <c r="C3232" s="392"/>
      <c r="D3232" s="394"/>
      <c r="E3232" s="388"/>
      <c r="F3232" s="388"/>
      <c r="G3232" s="388"/>
      <c r="H3232" s="395"/>
      <c r="I3232" s="388"/>
      <c r="J3232" s="402"/>
      <c r="K3232" s="388"/>
      <c r="L3232" s="388"/>
      <c r="M3232" s="388"/>
      <c r="N3232" s="388"/>
      <c r="O3232" s="388"/>
      <c r="P3232" s="388"/>
      <c r="Q3232" s="388"/>
      <c r="R3232" s="388"/>
      <c r="S3232" s="388"/>
      <c r="T3232" s="388"/>
      <c r="U3232" s="388"/>
      <c r="V3232" s="388"/>
      <c r="W3232" s="388"/>
      <c r="X3232" s="388"/>
      <c r="Y3232" s="389"/>
      <c r="Z3232" s="388"/>
      <c r="AA3232" s="402"/>
      <c r="AB3232" s="403"/>
    </row>
    <row r="3233" spans="1:28" ht="15.75" thickBot="1">
      <c r="A3233" s="406"/>
      <c r="B3233" s="407"/>
      <c r="C3233" s="407"/>
      <c r="D3233" s="408"/>
      <c r="E3233" s="409"/>
      <c r="F3233" s="409"/>
      <c r="G3233" s="409"/>
      <c r="H3233" s="410"/>
      <c r="I3233" s="409"/>
      <c r="J3233" s="409"/>
      <c r="K3233" s="409"/>
      <c r="L3233" s="409"/>
      <c r="M3233" s="409"/>
      <c r="N3233" s="409"/>
      <c r="O3233" s="409"/>
      <c r="P3233" s="409"/>
      <c r="Q3233" s="409"/>
      <c r="R3233" s="409"/>
      <c r="S3233" s="409"/>
      <c r="T3233" s="409"/>
      <c r="U3233" s="409"/>
      <c r="V3233" s="409"/>
      <c r="W3233" s="409"/>
      <c r="X3233" s="409"/>
      <c r="Y3233" s="411"/>
      <c r="Z3233" s="409"/>
      <c r="AA3233" s="412"/>
      <c r="AB3233" s="413"/>
    </row>
    <row r="3234" spans="1:28">
      <c r="A3234" s="377"/>
      <c r="B3234" s="378"/>
      <c r="C3234" s="378"/>
      <c r="D3234" s="379"/>
      <c r="E3234" s="380"/>
      <c r="F3234" s="380"/>
      <c r="G3234" s="380"/>
      <c r="H3234" s="381"/>
      <c r="I3234" s="380"/>
      <c r="J3234" s="380"/>
      <c r="K3234" s="380"/>
      <c r="L3234" s="380"/>
      <c r="M3234" s="380"/>
      <c r="N3234" s="380"/>
      <c r="O3234" s="380"/>
      <c r="P3234" s="380"/>
      <c r="Q3234" s="380"/>
      <c r="R3234" s="380"/>
      <c r="S3234" s="380"/>
      <c r="T3234" s="380"/>
      <c r="U3234" s="380"/>
      <c r="V3234" s="380"/>
      <c r="W3234" s="380"/>
      <c r="X3234" s="380"/>
      <c r="Y3234" s="382"/>
      <c r="Z3234" s="380"/>
      <c r="AA3234" s="380"/>
      <c r="AB3234" s="383"/>
    </row>
    <row r="3235" spans="1:28">
      <c r="A3235" s="384" t="str">
        <f t="shared" si="10207"/>
        <v>Lantai 2</v>
      </c>
      <c r="B3235" s="385">
        <f t="shared" si="10208"/>
        <v>21</v>
      </c>
      <c r="C3235" s="386" t="str">
        <f t="shared" ref="C3235" si="10395">CONCATENATE(A3235," no. ",B3235)</f>
        <v>Lantai 2 no. 21</v>
      </c>
      <c r="D3235" s="2562" t="str">
        <f>VLOOKUP(C3235,'Data Panjang Balok'!$C$9:$N$254,2,FALSE)</f>
        <v>B25-1</v>
      </c>
      <c r="E3235" s="2576"/>
      <c r="F3235" s="2576"/>
      <c r="G3235" s="2576"/>
      <c r="H3235" s="2577"/>
      <c r="I3235" s="387"/>
      <c r="J3235" s="388"/>
      <c r="K3235" s="388"/>
      <c r="L3235" s="388"/>
      <c r="M3235" s="388"/>
      <c r="N3235" s="388"/>
      <c r="O3235" s="388"/>
      <c r="P3235" s="388"/>
      <c r="Q3235" s="388"/>
      <c r="R3235" s="388"/>
      <c r="S3235" s="388"/>
      <c r="T3235" s="388"/>
      <c r="U3235" s="388"/>
      <c r="V3235" s="388"/>
      <c r="W3235" s="388"/>
      <c r="X3235" s="388"/>
      <c r="Y3235" s="389"/>
      <c r="Z3235" s="388"/>
      <c r="AA3235" s="388"/>
      <c r="AB3235" s="390"/>
    </row>
    <row r="3236" spans="1:28">
      <c r="A3236" s="391"/>
      <c r="B3236" s="392"/>
      <c r="C3236" s="393" t="s">
        <v>118</v>
      </c>
      <c r="D3236" s="2578">
        <f>VLOOKUP(D3235,'Detail Balok'!$C$10:$AU$140,2,FALSE)</f>
        <v>200</v>
      </c>
      <c r="E3236" s="2579"/>
      <c r="F3236" s="388" t="s">
        <v>125</v>
      </c>
      <c r="G3236" s="2579">
        <f>VLOOKUP(D3235,'Detail Balok'!$C$10:$AU$140,3,FALSE)</f>
        <v>500</v>
      </c>
      <c r="H3236" s="2580"/>
      <c r="I3236" s="388"/>
      <c r="J3236" s="396"/>
      <c r="K3236" s="396"/>
      <c r="L3236" s="396"/>
      <c r="M3236" s="396"/>
      <c r="N3236" s="396"/>
      <c r="O3236" s="396"/>
      <c r="P3236" s="396"/>
      <c r="Q3236" s="396"/>
      <c r="R3236" s="396"/>
      <c r="S3236" s="396"/>
      <c r="T3236" s="396"/>
      <c r="U3236" s="388"/>
      <c r="V3236" s="396"/>
      <c r="W3236" s="388"/>
      <c r="X3236" s="396"/>
      <c r="Y3236" s="389"/>
      <c r="Z3236" s="396"/>
      <c r="AA3236" s="388"/>
      <c r="AB3236" s="390"/>
    </row>
    <row r="3237" spans="1:28">
      <c r="A3237" s="391"/>
      <c r="B3237" s="392"/>
      <c r="C3237" s="393" t="s">
        <v>198</v>
      </c>
      <c r="D3237" s="2562">
        <f>VLOOKUP(C3235,'Data Panjang Balok'!$C$9:$N$254,4,FALSE)</f>
        <v>4075</v>
      </c>
      <c r="E3237" s="2563"/>
      <c r="F3237" s="2563"/>
      <c r="G3237" s="2563"/>
      <c r="H3237" s="2564"/>
      <c r="I3237" s="397"/>
      <c r="J3237" s="396"/>
      <c r="K3237" s="396"/>
      <c r="L3237" s="396"/>
      <c r="M3237" s="396"/>
      <c r="N3237" s="396"/>
      <c r="O3237" s="396"/>
      <c r="P3237" s="396"/>
      <c r="Q3237" s="396"/>
      <c r="R3237" s="396"/>
      <c r="S3237" s="396"/>
      <c r="T3237" s="396"/>
      <c r="U3237" s="388"/>
      <c r="V3237" s="396"/>
      <c r="W3237" s="388"/>
      <c r="X3237" s="396"/>
      <c r="Y3237" s="389"/>
      <c r="Z3237" s="396"/>
      <c r="AA3237" s="388"/>
      <c r="AB3237" s="390"/>
    </row>
    <row r="3238" spans="1:28">
      <c r="A3238" s="391"/>
      <c r="B3238" s="392"/>
      <c r="C3238" s="393" t="s">
        <v>199</v>
      </c>
      <c r="D3238" s="2562">
        <f>VLOOKUP(C3235,'Data Panjang Balok'!$C$9:$N$254,7,FALSE)</f>
        <v>4075</v>
      </c>
      <c r="E3238" s="2563"/>
      <c r="F3238" s="2563"/>
      <c r="G3238" s="2563"/>
      <c r="H3238" s="2564"/>
      <c r="I3238" s="397"/>
      <c r="J3238" s="396"/>
      <c r="K3238" s="396"/>
      <c r="L3238" s="396"/>
      <c r="M3238" s="396"/>
      <c r="N3238" s="396"/>
      <c r="O3238" s="396"/>
      <c r="P3238" s="396"/>
      <c r="Q3238" s="396"/>
      <c r="R3238" s="396"/>
      <c r="S3238" s="396"/>
      <c r="T3238" s="396"/>
      <c r="U3238" s="388"/>
      <c r="V3238" s="396"/>
      <c r="W3238" s="388"/>
      <c r="X3238" s="396"/>
      <c r="Y3238" s="389"/>
      <c r="Z3238" s="396"/>
      <c r="AA3238" s="388"/>
      <c r="AB3238" s="390"/>
    </row>
    <row r="3239" spans="1:28">
      <c r="A3239" s="391"/>
      <c r="B3239" s="392"/>
      <c r="C3239" s="393" t="s">
        <v>200</v>
      </c>
      <c r="D3239" s="2562">
        <f>VLOOKUP(C3235,'Data Panjang Balok'!$C$9:$N$254,9,FALSE)</f>
        <v>0</v>
      </c>
      <c r="E3239" s="2563"/>
      <c r="F3239" s="2563"/>
      <c r="G3239" s="2563"/>
      <c r="H3239" s="2564"/>
      <c r="I3239" s="397"/>
      <c r="J3239" s="396"/>
      <c r="K3239" s="396"/>
      <c r="L3239" s="396"/>
      <c r="M3239" s="396"/>
      <c r="N3239" s="396"/>
      <c r="O3239" s="396"/>
      <c r="P3239" s="396"/>
      <c r="Q3239" s="396"/>
      <c r="R3239" s="396"/>
      <c r="S3239" s="396"/>
      <c r="T3239" s="396"/>
      <c r="U3239" s="388"/>
      <c r="V3239" s="396"/>
      <c r="W3239" s="388"/>
      <c r="X3239" s="396"/>
      <c r="Y3239" s="389"/>
      <c r="Z3239" s="396"/>
      <c r="AA3239" s="388"/>
      <c r="AB3239" s="390"/>
    </row>
    <row r="3240" spans="1:28">
      <c r="A3240" s="391"/>
      <c r="B3240" s="392"/>
      <c r="C3240" s="393" t="s">
        <v>201</v>
      </c>
      <c r="D3240" s="2562">
        <f>VLOOKUP(C3235,'Data Panjang Balok'!$C$9:$N$254,10,FALSE)</f>
        <v>0</v>
      </c>
      <c r="E3240" s="2563"/>
      <c r="F3240" s="2563"/>
      <c r="G3240" s="2563"/>
      <c r="H3240" s="2564"/>
      <c r="I3240" s="397"/>
      <c r="J3240" s="396"/>
      <c r="K3240" s="396"/>
      <c r="L3240" s="396"/>
      <c r="M3240" s="396"/>
      <c r="N3240" s="396"/>
      <c r="O3240" s="396"/>
      <c r="P3240" s="396"/>
      <c r="Q3240" s="396"/>
      <c r="R3240" s="396"/>
      <c r="S3240" s="396"/>
      <c r="T3240" s="396"/>
      <c r="U3240" s="388"/>
      <c r="V3240" s="396"/>
      <c r="W3240" s="388"/>
      <c r="X3240" s="396"/>
      <c r="Y3240" s="389"/>
      <c r="Z3240" s="396"/>
      <c r="AA3240" s="388"/>
      <c r="AB3240" s="390"/>
    </row>
    <row r="3241" spans="1:28">
      <c r="A3241" s="391"/>
      <c r="B3241" s="392"/>
      <c r="C3241" s="393" t="s">
        <v>48</v>
      </c>
      <c r="D3241" s="2562">
        <f>VLOOKUP(C3235,'Data Panjang Balok'!$C$9:$N$254,3,FALSE)</f>
        <v>1</v>
      </c>
      <c r="E3241" s="2563"/>
      <c r="F3241" s="2563"/>
      <c r="G3241" s="2563"/>
      <c r="H3241" s="2564"/>
      <c r="I3241" s="397"/>
      <c r="J3241" s="396"/>
      <c r="K3241" s="396"/>
      <c r="L3241" s="396"/>
      <c r="M3241" s="396"/>
      <c r="N3241" s="396"/>
      <c r="O3241" s="396"/>
      <c r="P3241" s="396"/>
      <c r="Q3241" s="396"/>
      <c r="R3241" s="396"/>
      <c r="S3241" s="396"/>
      <c r="T3241" s="396"/>
      <c r="U3241" s="388"/>
      <c r="V3241" s="396"/>
      <c r="W3241" s="388"/>
      <c r="X3241" s="396"/>
      <c r="Y3241" s="389"/>
      <c r="Z3241" s="396"/>
      <c r="AA3241" s="388"/>
      <c r="AB3241" s="390"/>
    </row>
    <row r="3242" spans="1:28">
      <c r="A3242" s="384" t="str">
        <f t="shared" ref="A3242:B3242" si="10396">A3235</f>
        <v>Lantai 2</v>
      </c>
      <c r="B3242" s="385">
        <f t="shared" si="10396"/>
        <v>21</v>
      </c>
      <c r="C3242" s="393" t="s">
        <v>202</v>
      </c>
      <c r="D3242" s="398">
        <f>VLOOKUP(D3235,'Detail Balok'!$C$10:$AU$140,4,FALSE)</f>
        <v>4</v>
      </c>
      <c r="E3242" s="388" t="s">
        <v>16</v>
      </c>
      <c r="F3242" s="388">
        <f>VLOOKUP(D3235,'Detail Balok'!$C$10:$AU$140,6,FALSE)</f>
        <v>16</v>
      </c>
      <c r="G3242" s="388"/>
      <c r="H3242" s="395"/>
      <c r="I3242" s="388" t="s">
        <v>203</v>
      </c>
      <c r="J3242" s="399">
        <f t="shared" ref="J3242" si="10397">+D3237/4/1000</f>
        <v>1.01875</v>
      </c>
      <c r="K3242" s="400" t="s">
        <v>204</v>
      </c>
      <c r="L3242" s="399">
        <f t="shared" ref="L3242" si="10398">MAX(VLOOKUP(F3242,N$6:P$15,3,FALSE)/1000,2/3*D3239/1000)+F$16*F3242/1000</f>
        <v>0.192</v>
      </c>
      <c r="M3242" s="399" t="s">
        <v>176</v>
      </c>
      <c r="N3242" s="399">
        <f t="shared" ref="N3242:N3244" si="10399">J3242+L3242</f>
        <v>1.21075</v>
      </c>
      <c r="O3242" s="399" t="s">
        <v>204</v>
      </c>
      <c r="P3242" s="389">
        <f t="shared" ref="P3242" si="10400">D3242-D3243</f>
        <v>0</v>
      </c>
      <c r="Q3242" s="399" t="s">
        <v>125</v>
      </c>
      <c r="R3242" s="399">
        <f t="shared" ref="R3242" si="10401">IF(P3242&gt;0,$F$18*F3242/1000,0)</f>
        <v>0</v>
      </c>
      <c r="S3242" s="399" t="s">
        <v>205</v>
      </c>
      <c r="T3242" s="399" t="s">
        <v>125</v>
      </c>
      <c r="U3242" s="401">
        <f t="shared" ref="U3242:U3244" si="10402">0.006165*F3242^2</f>
        <v>1.5782400000000001</v>
      </c>
      <c r="V3242" s="399"/>
      <c r="W3242" s="399"/>
      <c r="X3242" s="399" t="s">
        <v>125</v>
      </c>
      <c r="Y3242" s="389">
        <f t="shared" ref="Y3242" si="10403">D3241</f>
        <v>1</v>
      </c>
      <c r="Z3242" s="400" t="s">
        <v>176</v>
      </c>
      <c r="AA3242" s="402">
        <f t="shared" ref="AA3242" si="10404">IF(AA3245=0,(D3242*N3242+P3242*R3242)*U3242*Y3242,0)</f>
        <v>0</v>
      </c>
      <c r="AB3242" s="403"/>
    </row>
    <row r="3243" spans="1:28">
      <c r="A3243" s="384" t="str">
        <f t="shared" ref="A3243:B3243" si="10405">A3235</f>
        <v>Lantai 2</v>
      </c>
      <c r="B3243" s="385">
        <f t="shared" si="10405"/>
        <v>21</v>
      </c>
      <c r="C3243" s="393" t="s">
        <v>206</v>
      </c>
      <c r="D3243" s="398">
        <f>VLOOKUP(D3235,'Detail Balok'!$C$10:$AU$140,7,FALSE)</f>
        <v>4</v>
      </c>
      <c r="E3243" s="388" t="s">
        <v>16</v>
      </c>
      <c r="F3243" s="388">
        <f>VLOOKUP(D3235,'Detail Balok'!$C$10:$AU$140,9,FALSE)</f>
        <v>16</v>
      </c>
      <c r="G3243" s="388"/>
      <c r="H3243" s="395"/>
      <c r="I3243" s="388" t="s">
        <v>203</v>
      </c>
      <c r="J3243" s="399">
        <f t="shared" ref="J3243" si="10406">+D3237/2/1000</f>
        <v>2.0375000000000001</v>
      </c>
      <c r="K3243" s="400" t="s">
        <v>204</v>
      </c>
      <c r="L3243" s="399"/>
      <c r="M3243" s="399" t="s">
        <v>176</v>
      </c>
      <c r="N3243" s="399">
        <f t="shared" si="10399"/>
        <v>2.0375000000000001</v>
      </c>
      <c r="O3243" s="399" t="s">
        <v>204</v>
      </c>
      <c r="P3243" s="389">
        <f t="shared" ref="P3243" si="10407">MAX(D3243-D3242,D3243-D3244)</f>
        <v>0</v>
      </c>
      <c r="Q3243" s="399" t="s">
        <v>125</v>
      </c>
      <c r="R3243" s="399">
        <f t="shared" ref="R3243" si="10408">IF(P3243&gt;0,2*(1-2*$F$19-1/2)*D3238/1000,0)</f>
        <v>0</v>
      </c>
      <c r="S3243" s="399" t="s">
        <v>205</v>
      </c>
      <c r="T3243" s="399" t="s">
        <v>125</v>
      </c>
      <c r="U3243" s="401">
        <f t="shared" si="10402"/>
        <v>1.5782400000000001</v>
      </c>
      <c r="V3243" s="399"/>
      <c r="W3243" s="399"/>
      <c r="X3243" s="399" t="s">
        <v>125</v>
      </c>
      <c r="Y3243" s="389">
        <f t="shared" ref="Y3243" si="10409">D3241</f>
        <v>1</v>
      </c>
      <c r="Z3243" s="400" t="s">
        <v>176</v>
      </c>
      <c r="AA3243" s="402">
        <f t="shared" ref="AA3243" si="10410">IF(AA3245=0,(D3243*N3243+P3243*R3243)*U3243*Y3243,0)</f>
        <v>0</v>
      </c>
      <c r="AB3243" s="403"/>
    </row>
    <row r="3244" spans="1:28">
      <c r="A3244" s="384" t="str">
        <f t="shared" ref="A3244:B3244" si="10411">A3235</f>
        <v>Lantai 2</v>
      </c>
      <c r="B3244" s="385">
        <f t="shared" si="10411"/>
        <v>21</v>
      </c>
      <c r="C3244" s="393" t="s">
        <v>202</v>
      </c>
      <c r="D3244" s="398">
        <f>VLOOKUP(D3235,'Detail Balok'!$C$10:$AU$140,10,FALSE)</f>
        <v>4</v>
      </c>
      <c r="E3244" s="388" t="s">
        <v>16</v>
      </c>
      <c r="F3244" s="388">
        <f>VLOOKUP(D3235,'Detail Balok'!$C$10:$AU$140,12,FALSE)</f>
        <v>16</v>
      </c>
      <c r="G3244" s="388"/>
      <c r="H3244" s="395"/>
      <c r="I3244" s="388" t="s">
        <v>203</v>
      </c>
      <c r="J3244" s="399">
        <f t="shared" ref="J3244" si="10412">+D3237/4/1000</f>
        <v>1.01875</v>
      </c>
      <c r="K3244" s="400" t="s">
        <v>204</v>
      </c>
      <c r="L3244" s="399">
        <f t="shared" ref="L3244" si="10413">MAX(VLOOKUP(F3244,N$6:P$15,3,FALSE)/1000,2/3*D3239/1000)+F$16*F3244/1000</f>
        <v>0.192</v>
      </c>
      <c r="M3244" s="399" t="s">
        <v>176</v>
      </c>
      <c r="N3244" s="399">
        <f t="shared" si="10399"/>
        <v>1.21075</v>
      </c>
      <c r="O3244" s="399" t="s">
        <v>204</v>
      </c>
      <c r="P3244" s="389">
        <f t="shared" ref="P3244" si="10414">D3244-D3243</f>
        <v>0</v>
      </c>
      <c r="Q3244" s="399" t="s">
        <v>125</v>
      </c>
      <c r="R3244" s="399">
        <f t="shared" ref="R3244" si="10415">IF(P3244&gt;0,$F$18*F3244/1000,0)</f>
        <v>0</v>
      </c>
      <c r="S3244" s="399" t="s">
        <v>205</v>
      </c>
      <c r="T3244" s="399" t="s">
        <v>125</v>
      </c>
      <c r="U3244" s="401">
        <f t="shared" si="10402"/>
        <v>1.5782400000000001</v>
      </c>
      <c r="V3244" s="399"/>
      <c r="W3244" s="399"/>
      <c r="X3244" s="399" t="s">
        <v>125</v>
      </c>
      <c r="Y3244" s="389">
        <f t="shared" ref="Y3244" si="10416">D3241</f>
        <v>1</v>
      </c>
      <c r="Z3244" s="400" t="s">
        <v>176</v>
      </c>
      <c r="AA3244" s="402">
        <f t="shared" ref="AA3244" si="10417">IF(AA3245=0,(D3244*N3244+P3244*R3244)*U3244*Y3244,0)</f>
        <v>0</v>
      </c>
      <c r="AB3244" s="403"/>
    </row>
    <row r="3245" spans="1:28">
      <c r="A3245" s="384" t="str">
        <f t="shared" ref="A3245:B3245" si="10418">A3235</f>
        <v>Lantai 2</v>
      </c>
      <c r="B3245" s="385">
        <f t="shared" si="10418"/>
        <v>21</v>
      </c>
      <c r="C3245" s="393"/>
      <c r="D3245" s="398">
        <f t="shared" ref="D3245" si="10419">IF(AND(D3242=D3243,D3243=D3244,D3242=D3244),D3242,0)</f>
        <v>4</v>
      </c>
      <c r="E3245" s="388" t="s">
        <v>16</v>
      </c>
      <c r="F3245" s="388">
        <f t="shared" ref="F3245" si="10420">IF(AND(F3242=F3243,F3242=F3244,F3243=F3244),F3242,0)</f>
        <v>16</v>
      </c>
      <c r="G3245" s="388"/>
      <c r="H3245" s="395"/>
      <c r="I3245" s="388"/>
      <c r="J3245" s="396"/>
      <c r="K3245" s="396"/>
      <c r="L3245" s="404" t="s">
        <v>207</v>
      </c>
      <c r="M3245" s="399" t="s">
        <v>176</v>
      </c>
      <c r="N3245" s="399">
        <f t="shared" ref="N3245" si="10421">IF(AND(D3242=D3243,D3242=D3244,D3243=D3244,F3242=F3243,F3242=F3244,F3243=F3244),SUM(N3242:N3244),0)</f>
        <v>4.4589999999999996</v>
      </c>
      <c r="O3245" s="399" t="s">
        <v>204</v>
      </c>
      <c r="P3245" s="389">
        <f t="shared" ref="P3245" si="10422">IF(N3245&gt;12,ROUNDDOWN(N3245/12,0),0)</f>
        <v>0</v>
      </c>
      <c r="Q3245" s="399" t="s">
        <v>125</v>
      </c>
      <c r="R3245" s="399">
        <f t="shared" ref="R3245" si="10423">IF(P3245&gt;0,MAX(VLOOKUP(F3245,$D$6:$G$15,3,FALSE),600),0)/1000</f>
        <v>0</v>
      </c>
      <c r="S3245" s="396"/>
      <c r="T3245" s="396" t="s">
        <v>125</v>
      </c>
      <c r="U3245" s="401">
        <f t="shared" ref="U3245" si="10424">U3244</f>
        <v>1.5782400000000001</v>
      </c>
      <c r="V3245" s="396" t="s">
        <v>125</v>
      </c>
      <c r="W3245" s="399">
        <f t="shared" ref="W3245" si="10425">D3245</f>
        <v>4</v>
      </c>
      <c r="X3245" s="399" t="s">
        <v>125</v>
      </c>
      <c r="Y3245" s="389">
        <f t="shared" ref="Y3245" si="10426">Y3244</f>
        <v>1</v>
      </c>
      <c r="Z3245" s="400" t="s">
        <v>176</v>
      </c>
      <c r="AA3245" s="402">
        <f t="shared" ref="AA3245" si="10427">(N3245+P3245*R3245/1000)*U3245*W3245*Y3245</f>
        <v>28.149488639999998</v>
      </c>
      <c r="AB3245" s="390"/>
    </row>
    <row r="3246" spans="1:28">
      <c r="A3246" s="384"/>
      <c r="B3246" s="385"/>
      <c r="C3246" s="393"/>
      <c r="D3246" s="398"/>
      <c r="E3246" s="388"/>
      <c r="F3246" s="388"/>
      <c r="G3246" s="388"/>
      <c r="H3246" s="395"/>
      <c r="I3246" s="388"/>
      <c r="J3246" s="396"/>
      <c r="K3246" s="396"/>
      <c r="L3246" s="404"/>
      <c r="M3246" s="399"/>
      <c r="N3246" s="399"/>
      <c r="O3246" s="396"/>
      <c r="P3246" s="389"/>
      <c r="Q3246" s="396"/>
      <c r="R3246" s="396"/>
      <c r="S3246" s="396"/>
      <c r="T3246" s="396"/>
      <c r="U3246" s="401"/>
      <c r="V3246" s="396"/>
      <c r="W3246" s="399"/>
      <c r="X3246" s="396"/>
      <c r="Y3246" s="389"/>
      <c r="Z3246" s="396"/>
      <c r="AA3246" s="388"/>
      <c r="AB3246" s="390"/>
    </row>
    <row r="3247" spans="1:28">
      <c r="A3247" s="384" t="str">
        <f t="shared" ref="A3247:B3247" si="10428">A3235</f>
        <v>Lantai 2</v>
      </c>
      <c r="B3247" s="385">
        <f t="shared" si="10428"/>
        <v>21</v>
      </c>
      <c r="C3247" s="393" t="s">
        <v>208</v>
      </c>
      <c r="D3247" s="398">
        <f>VLOOKUP(D3235,'Detail Balok'!$C$10:$AU$140,13,FALSE)</f>
        <v>2</v>
      </c>
      <c r="E3247" s="388" t="s">
        <v>16</v>
      </c>
      <c r="F3247" s="388">
        <f>VLOOKUP(D3235,'Detail Balok'!$C$10:$AU$140,15,FALSE)</f>
        <v>10</v>
      </c>
      <c r="G3247" s="388"/>
      <c r="H3247" s="395"/>
      <c r="I3247" s="388"/>
      <c r="J3247" s="399">
        <f t="shared" ref="J3247" si="10429">+D3237/1000</f>
        <v>4.0750000000000002</v>
      </c>
      <c r="K3247" s="400" t="s">
        <v>204</v>
      </c>
      <c r="L3247" s="399">
        <f t="shared" ref="L3247" si="10430">2*$F$16*F3247/1000</f>
        <v>0.24</v>
      </c>
      <c r="M3247" s="399" t="s">
        <v>176</v>
      </c>
      <c r="N3247" s="399">
        <f t="shared" ref="N3247" si="10431">J3247+L3247</f>
        <v>4.3150000000000004</v>
      </c>
      <c r="O3247" s="399" t="s">
        <v>204</v>
      </c>
      <c r="P3247" s="389">
        <f t="shared" ref="P3247" si="10432">IF(N3247&gt;12,ROUNDDOWN(N3247/12,0),0)</f>
        <v>0</v>
      </c>
      <c r="Q3247" s="399" t="s">
        <v>125</v>
      </c>
      <c r="R3247" s="399">
        <f t="shared" ref="R3247" si="10433">IF(P3247&gt;0,MAX(VLOOKUP(F3247,$D$6:$G$15,3,FALSE),600),0)/1000</f>
        <v>0</v>
      </c>
      <c r="S3247" s="399"/>
      <c r="T3247" s="399" t="s">
        <v>125</v>
      </c>
      <c r="U3247" s="401">
        <f t="shared" ref="U3247" si="10434">0.006165*F3247^2</f>
        <v>0.61650000000000005</v>
      </c>
      <c r="V3247" s="399" t="s">
        <v>125</v>
      </c>
      <c r="W3247" s="399">
        <f t="shared" ref="W3247" si="10435">+D3247</f>
        <v>2</v>
      </c>
      <c r="X3247" s="399" t="s">
        <v>125</v>
      </c>
      <c r="Y3247" s="389">
        <f t="shared" ref="Y3247" si="10436">D3241</f>
        <v>1</v>
      </c>
      <c r="Z3247" s="400" t="s">
        <v>176</v>
      </c>
      <c r="AA3247" s="402">
        <f t="shared" ref="AA3247" si="10437">(N3247+P3247*R3247/1000)*U3247*W3247*Y3247</f>
        <v>5.3203950000000013</v>
      </c>
      <c r="AB3247" s="403"/>
    </row>
    <row r="3248" spans="1:28">
      <c r="A3248" s="384"/>
      <c r="B3248" s="385"/>
      <c r="C3248" s="393"/>
      <c r="D3248" s="398"/>
      <c r="E3248" s="388"/>
      <c r="F3248" s="388"/>
      <c r="G3248" s="388"/>
      <c r="H3248" s="395"/>
      <c r="I3248" s="388"/>
      <c r="J3248" s="399"/>
      <c r="K3248" s="400"/>
      <c r="L3248" s="399"/>
      <c r="M3248" s="399"/>
      <c r="N3248" s="399"/>
      <c r="O3248" s="399"/>
      <c r="P3248" s="389"/>
      <c r="Q3248" s="399"/>
      <c r="R3248" s="399"/>
      <c r="S3248" s="399"/>
      <c r="T3248" s="399"/>
      <c r="U3248" s="401"/>
      <c r="V3248" s="399"/>
      <c r="W3248" s="399"/>
      <c r="X3248" s="399"/>
      <c r="Y3248" s="389"/>
      <c r="Z3248" s="400"/>
      <c r="AA3248" s="402"/>
      <c r="AB3248" s="403"/>
    </row>
    <row r="3249" spans="1:28">
      <c r="A3249" s="384"/>
      <c r="B3249" s="385"/>
      <c r="C3249" s="393"/>
      <c r="D3249" s="398"/>
      <c r="E3249" s="388"/>
      <c r="F3249" s="388"/>
      <c r="G3249" s="388"/>
      <c r="H3249" s="395"/>
      <c r="I3249" s="388"/>
      <c r="J3249" s="396"/>
      <c r="K3249" s="396"/>
      <c r="L3249" s="396"/>
      <c r="M3249" s="396"/>
      <c r="N3249" s="396"/>
      <c r="O3249" s="396"/>
      <c r="P3249" s="389"/>
      <c r="Q3249" s="396"/>
      <c r="R3249" s="396"/>
      <c r="S3249" s="396"/>
      <c r="T3249" s="396"/>
      <c r="U3249" s="401"/>
      <c r="V3249" s="396"/>
      <c r="W3249" s="399"/>
      <c r="X3249" s="396"/>
      <c r="Y3249" s="389"/>
      <c r="Z3249" s="396"/>
      <c r="AA3249" s="388"/>
      <c r="AB3249" s="390"/>
    </row>
    <row r="3250" spans="1:28">
      <c r="A3250" s="384" t="str">
        <f t="shared" ref="A3250:B3250" si="10438">A3235</f>
        <v>Lantai 2</v>
      </c>
      <c r="B3250" s="385">
        <f t="shared" si="10438"/>
        <v>21</v>
      </c>
      <c r="C3250" s="393" t="s">
        <v>209</v>
      </c>
      <c r="D3250" s="398">
        <f>VLOOKUP(D3235,'Detail Balok'!$C$10:$AU$140,22,FALSE)</f>
        <v>4</v>
      </c>
      <c r="E3250" s="388" t="s">
        <v>16</v>
      </c>
      <c r="F3250" s="388">
        <f>VLOOKUP(D3235,'Detail Balok'!$C$10:$AU$140,24,FALSE)</f>
        <v>16</v>
      </c>
      <c r="G3250" s="388"/>
      <c r="H3250" s="395"/>
      <c r="I3250" s="388" t="s">
        <v>203</v>
      </c>
      <c r="J3250" s="399">
        <f t="shared" ref="J3250:J3252" si="10439">+J3242</f>
        <v>1.01875</v>
      </c>
      <c r="K3250" s="400" t="s">
        <v>204</v>
      </c>
      <c r="L3250" s="399">
        <f t="shared" ref="L3250" si="10440">MAX(VLOOKUP(F3250,N$6:P$15,3,FALSE)/1000,2/3*D3240/1000)+F$16*F3250/1000</f>
        <v>0.192</v>
      </c>
      <c r="M3250" s="399" t="s">
        <v>176</v>
      </c>
      <c r="N3250" s="399">
        <f t="shared" ref="N3250:N3252" si="10441">J3250+L3250</f>
        <v>1.21075</v>
      </c>
      <c r="O3250" s="399" t="s">
        <v>204</v>
      </c>
      <c r="P3250" s="389">
        <f t="shared" ref="P3250" si="10442">D3250-D3251</f>
        <v>0</v>
      </c>
      <c r="Q3250" s="399" t="s">
        <v>125</v>
      </c>
      <c r="R3250" s="399">
        <f t="shared" ref="R3250" si="10443">IF(P3250&gt;0,$F$18*F3250/1000,0)</f>
        <v>0</v>
      </c>
      <c r="S3250" s="399" t="s">
        <v>205</v>
      </c>
      <c r="T3250" s="399" t="s">
        <v>125</v>
      </c>
      <c r="U3250" s="401">
        <f t="shared" ref="U3250:U3252" si="10444">0.006165*F3250^2</f>
        <v>1.5782400000000001</v>
      </c>
      <c r="V3250" s="399"/>
      <c r="W3250" s="399"/>
      <c r="X3250" s="399" t="s">
        <v>125</v>
      </c>
      <c r="Y3250" s="389">
        <f t="shared" ref="Y3250" si="10445">D3241</f>
        <v>1</v>
      </c>
      <c r="Z3250" s="400" t="s">
        <v>176</v>
      </c>
      <c r="AA3250" s="402">
        <f t="shared" ref="AA3250" si="10446">IF(AA3253=0,(D3250*N3250+P3250*R3250)*U3250*Y3250,0)</f>
        <v>0</v>
      </c>
      <c r="AB3250" s="403"/>
    </row>
    <row r="3251" spans="1:28">
      <c r="A3251" s="384" t="str">
        <f t="shared" ref="A3251:B3251" si="10447">A3235</f>
        <v>Lantai 2</v>
      </c>
      <c r="B3251" s="385">
        <f t="shared" si="10447"/>
        <v>21</v>
      </c>
      <c r="C3251" s="393" t="s">
        <v>210</v>
      </c>
      <c r="D3251" s="398">
        <f>VLOOKUP(D3235,'Detail Balok'!$C$10:$AU$140,25,FALSE)</f>
        <v>4</v>
      </c>
      <c r="E3251" s="388" t="s">
        <v>16</v>
      </c>
      <c r="F3251" s="388">
        <f>VLOOKUP(D3235,'Detail Balok'!$C$10:$AU$140,27,FALSE)</f>
        <v>16</v>
      </c>
      <c r="G3251" s="388"/>
      <c r="H3251" s="395"/>
      <c r="I3251" s="388" t="s">
        <v>203</v>
      </c>
      <c r="J3251" s="399">
        <f t="shared" si="10439"/>
        <v>2.0375000000000001</v>
      </c>
      <c r="K3251" s="400" t="s">
        <v>204</v>
      </c>
      <c r="L3251" s="399"/>
      <c r="M3251" s="399" t="s">
        <v>176</v>
      </c>
      <c r="N3251" s="399">
        <f t="shared" si="10441"/>
        <v>2.0375000000000001</v>
      </c>
      <c r="O3251" s="399" t="s">
        <v>204</v>
      </c>
      <c r="P3251" s="389">
        <f t="shared" ref="P3251" si="10448">MAX(D3251-D3250,D3251-D3252)</f>
        <v>0</v>
      </c>
      <c r="Q3251" s="399" t="s">
        <v>125</v>
      </c>
      <c r="R3251" s="399">
        <f t="shared" ref="R3251" si="10449">IF(P3251&gt;0,2*(1-2*$F$19-1/2)*D3238/1000,0)</f>
        <v>0</v>
      </c>
      <c r="S3251" s="399" t="s">
        <v>205</v>
      </c>
      <c r="T3251" s="399" t="s">
        <v>125</v>
      </c>
      <c r="U3251" s="401">
        <f t="shared" si="10444"/>
        <v>1.5782400000000001</v>
      </c>
      <c r="V3251" s="399"/>
      <c r="W3251" s="399"/>
      <c r="X3251" s="399" t="s">
        <v>125</v>
      </c>
      <c r="Y3251" s="389">
        <f t="shared" ref="Y3251" si="10450">D3241</f>
        <v>1</v>
      </c>
      <c r="Z3251" s="400" t="s">
        <v>176</v>
      </c>
      <c r="AA3251" s="402">
        <f t="shared" ref="AA3251" si="10451">IF(AA3253=0,(D3251*N3251+P3251*R3251)*U3251*Y3251,0)</f>
        <v>0</v>
      </c>
      <c r="AB3251" s="403"/>
    </row>
    <row r="3252" spans="1:28">
      <c r="A3252" s="384" t="str">
        <f t="shared" ref="A3252:B3252" si="10452">A3235</f>
        <v>Lantai 2</v>
      </c>
      <c r="B3252" s="385">
        <f t="shared" si="10452"/>
        <v>21</v>
      </c>
      <c r="C3252" s="393" t="s">
        <v>209</v>
      </c>
      <c r="D3252" s="398">
        <f>VLOOKUP(D3235,'Detail Balok'!$C$10:$AU$140,28,FALSE)</f>
        <v>4</v>
      </c>
      <c r="E3252" s="388" t="s">
        <v>16</v>
      </c>
      <c r="F3252" s="388">
        <f>VLOOKUP(D3235,'Detail Balok'!$C$10:$AU$140,30,FALSE)</f>
        <v>16</v>
      </c>
      <c r="G3252" s="388"/>
      <c r="H3252" s="395"/>
      <c r="I3252" s="388" t="s">
        <v>203</v>
      </c>
      <c r="J3252" s="399">
        <f t="shared" si="10439"/>
        <v>1.01875</v>
      </c>
      <c r="K3252" s="400" t="s">
        <v>204</v>
      </c>
      <c r="L3252" s="399">
        <f t="shared" ref="L3252" si="10453">MAX(VLOOKUP(F3252,N$6:P$15,3,FALSE)/1000,2/3*D3240/1000)+F$16*F3252/1000</f>
        <v>0.192</v>
      </c>
      <c r="M3252" s="399" t="s">
        <v>176</v>
      </c>
      <c r="N3252" s="399">
        <f t="shared" si="10441"/>
        <v>1.21075</v>
      </c>
      <c r="O3252" s="399" t="s">
        <v>204</v>
      </c>
      <c r="P3252" s="389">
        <f t="shared" ref="P3252" si="10454">D3252-D3251</f>
        <v>0</v>
      </c>
      <c r="Q3252" s="399" t="s">
        <v>125</v>
      </c>
      <c r="R3252" s="399">
        <f t="shared" ref="R3252" si="10455">IF(P3252&gt;0,$F$18*F3252/1000,0)</f>
        <v>0</v>
      </c>
      <c r="S3252" s="399" t="s">
        <v>205</v>
      </c>
      <c r="T3252" s="399" t="s">
        <v>125</v>
      </c>
      <c r="U3252" s="401">
        <f t="shared" si="10444"/>
        <v>1.5782400000000001</v>
      </c>
      <c r="V3252" s="399"/>
      <c r="W3252" s="399"/>
      <c r="X3252" s="399" t="s">
        <v>125</v>
      </c>
      <c r="Y3252" s="389">
        <f t="shared" ref="Y3252" si="10456">D3241</f>
        <v>1</v>
      </c>
      <c r="Z3252" s="400" t="s">
        <v>176</v>
      </c>
      <c r="AA3252" s="402">
        <f t="shared" ref="AA3252" si="10457">IF(AA3253=0,(D3252*N3252+P3252*R3252)*U3252*Y3252,0)</f>
        <v>0</v>
      </c>
      <c r="AB3252" s="403"/>
    </row>
    <row r="3253" spans="1:28">
      <c r="A3253" s="384" t="str">
        <f t="shared" ref="A3253:B3253" si="10458">A3235</f>
        <v>Lantai 2</v>
      </c>
      <c r="B3253" s="385">
        <f t="shared" si="10458"/>
        <v>21</v>
      </c>
      <c r="C3253" s="393"/>
      <c r="D3253" s="398">
        <f t="shared" ref="D3253" si="10459">IF(AND(D3250=D3251,D3251=D3252,D3250=D3252),D3250,0)</f>
        <v>4</v>
      </c>
      <c r="E3253" s="388" t="s">
        <v>16</v>
      </c>
      <c r="F3253" s="388">
        <f t="shared" ref="F3253" si="10460">IF(AND(F3250=F3251,F3250=F3252,F3251=F3252),F3250,0)</f>
        <v>16</v>
      </c>
      <c r="G3253" s="388"/>
      <c r="H3253" s="395"/>
      <c r="I3253" s="388"/>
      <c r="J3253" s="396"/>
      <c r="K3253" s="396"/>
      <c r="L3253" s="404" t="s">
        <v>207</v>
      </c>
      <c r="M3253" s="399" t="s">
        <v>176</v>
      </c>
      <c r="N3253" s="399">
        <f t="shared" ref="N3253" si="10461">IF(AND(D3250=D3251,D3250=D3252,D3251=D3252,F3250=F3251,F3250=F3252,F3251=F3252),SUM(N3250:N3252),0)</f>
        <v>4.4589999999999996</v>
      </c>
      <c r="O3253" s="399" t="s">
        <v>204</v>
      </c>
      <c r="P3253" s="389">
        <f t="shared" ref="P3253" si="10462">IF(N3253&gt;12,ROUNDDOWN(N3253/12,0),0)</f>
        <v>0</v>
      </c>
      <c r="Q3253" s="399" t="s">
        <v>125</v>
      </c>
      <c r="R3253" s="399">
        <f t="shared" ref="R3253" si="10463">IF(P3253&gt;0,MAX(VLOOKUP(F3253,$D$6:$G$15,3,FALSE),600),0)/1000</f>
        <v>0</v>
      </c>
      <c r="S3253" s="396"/>
      <c r="T3253" s="396" t="s">
        <v>125</v>
      </c>
      <c r="U3253" s="401">
        <f t="shared" ref="U3253" si="10464">U3252</f>
        <v>1.5782400000000001</v>
      </c>
      <c r="V3253" s="396" t="s">
        <v>125</v>
      </c>
      <c r="W3253" s="399">
        <f t="shared" ref="W3253" si="10465">D3253</f>
        <v>4</v>
      </c>
      <c r="X3253" s="399" t="s">
        <v>125</v>
      </c>
      <c r="Y3253" s="389">
        <f t="shared" ref="Y3253" si="10466">Y3252</f>
        <v>1</v>
      </c>
      <c r="Z3253" s="400" t="s">
        <v>176</v>
      </c>
      <c r="AA3253" s="402">
        <f t="shared" ref="AA3253" si="10467">(N3253+P3253*R3253/1000)*U3253*W3253*Y3253</f>
        <v>28.149488639999998</v>
      </c>
      <c r="AB3253" s="403"/>
    </row>
    <row r="3254" spans="1:28">
      <c r="A3254" s="384"/>
      <c r="B3254" s="385"/>
      <c r="C3254" s="393"/>
      <c r="D3254" s="394"/>
      <c r="E3254" s="388"/>
      <c r="F3254" s="388"/>
      <c r="G3254" s="388"/>
      <c r="H3254" s="395"/>
      <c r="I3254" s="388"/>
      <c r="J3254" s="399"/>
      <c r="K3254" s="396"/>
      <c r="L3254" s="396"/>
      <c r="M3254" s="396"/>
      <c r="N3254" s="396"/>
      <c r="O3254" s="396"/>
      <c r="P3254" s="389"/>
      <c r="Q3254" s="396"/>
      <c r="R3254" s="396"/>
      <c r="S3254" s="396"/>
      <c r="T3254" s="396"/>
      <c r="U3254" s="401"/>
      <c r="V3254" s="396"/>
      <c r="W3254" s="388"/>
      <c r="X3254" s="396"/>
      <c r="Y3254" s="389"/>
      <c r="Z3254" s="396"/>
      <c r="AA3254" s="388"/>
      <c r="AB3254" s="390"/>
    </row>
    <row r="3255" spans="1:28">
      <c r="A3255" s="384" t="str">
        <f t="shared" ref="A3255:B3255" si="10468">A3235</f>
        <v>Lantai 2</v>
      </c>
      <c r="B3255" s="385">
        <f t="shared" si="10468"/>
        <v>21</v>
      </c>
      <c r="C3255" s="393" t="s">
        <v>211</v>
      </c>
      <c r="D3255" s="398">
        <f>VLOOKUP(D3235,'Detail Balok'!$C$10:$AU$140,31,FALSE)</f>
        <v>0</v>
      </c>
      <c r="E3255" s="388" t="s">
        <v>16</v>
      </c>
      <c r="F3255" s="388">
        <f>VLOOKUP(D3235,'Detail Balok'!$C$10:$AU$140,33,FALSE)</f>
        <v>10</v>
      </c>
      <c r="G3255" s="405" t="s">
        <v>157</v>
      </c>
      <c r="H3255" s="395">
        <f>VLOOKUP(D3235,'Detail Balok'!$C$10:$AU$140,35,FALSE)</f>
        <v>150</v>
      </c>
      <c r="I3255" s="388"/>
      <c r="J3255" s="400">
        <f t="shared" ref="J3255" si="10469">(IF(D3255=0,(2*(D3236+G3236))-(F$5*8),IF(D3255=3,(2*(D3236+G3236))-(F$5*8)+(G3236-2*F$5),IF(D3255=4,(2*(D3236+G3236))-(F$5*8)+2*(G3236-2*F$5)))))/1000</f>
        <v>1.08</v>
      </c>
      <c r="K3255" s="400" t="s">
        <v>204</v>
      </c>
      <c r="L3255" s="399">
        <f t="shared" ref="L3255:L3257" si="10470">IF(D3255=0,2*MAX(6*F3255,75),(D3255-1)*2*MAX(6*F3255,75))/1000</f>
        <v>0.15</v>
      </c>
      <c r="M3255" s="399" t="s">
        <v>176</v>
      </c>
      <c r="N3255" s="399">
        <f t="shared" ref="N3255:N3257" si="10471">J3255+L3255</f>
        <v>1.23</v>
      </c>
      <c r="O3255" s="399"/>
      <c r="P3255" s="389"/>
      <c r="Q3255" s="399"/>
      <c r="R3255" s="399"/>
      <c r="S3255" s="399"/>
      <c r="T3255" s="399" t="s">
        <v>125</v>
      </c>
      <c r="U3255" s="401">
        <f t="shared" ref="U3255:U3257" si="10472">0.006165*F3255^2</f>
        <v>0.61650000000000005</v>
      </c>
      <c r="V3255" s="399" t="s">
        <v>125</v>
      </c>
      <c r="W3255" s="399">
        <f t="shared" ref="W3255" si="10473">IF(D3238&gt;4*G3236,ROUND(MAX(D3238/4,2*G3236)/H3255,0)+1,ROUND(D3238/H3255,0)+1)</f>
        <v>8</v>
      </c>
      <c r="X3255" s="399" t="s">
        <v>125</v>
      </c>
      <c r="Y3255" s="389">
        <f t="shared" ref="Y3255" si="10474">D3241</f>
        <v>1</v>
      </c>
      <c r="Z3255" s="400" t="s">
        <v>176</v>
      </c>
      <c r="AA3255" s="402">
        <f t="shared" ref="AA3255:AA3257" si="10475">N3255*U3255*W3255*Y3255</f>
        <v>6.0663600000000004</v>
      </c>
      <c r="AB3255" s="403"/>
    </row>
    <row r="3256" spans="1:28">
      <c r="A3256" s="384" t="str">
        <f t="shared" ref="A3256:B3256" si="10476">A3235</f>
        <v>Lantai 2</v>
      </c>
      <c r="B3256" s="385">
        <f t="shared" si="10476"/>
        <v>21</v>
      </c>
      <c r="C3256" s="393" t="s">
        <v>212</v>
      </c>
      <c r="D3256" s="398">
        <f>VLOOKUP(D3235,'Detail Balok'!$C$10:$AU$140,36,FALSE)</f>
        <v>0</v>
      </c>
      <c r="E3256" s="388" t="s">
        <v>16</v>
      </c>
      <c r="F3256" s="388">
        <f>VLOOKUP(D3235,'Detail Balok'!$C$10:$AU$140,38,FALSE)</f>
        <v>10</v>
      </c>
      <c r="G3256" s="405" t="s">
        <v>157</v>
      </c>
      <c r="H3256" s="395">
        <f>VLOOKUP(D3235,'Detail Balok'!$C$10:$AU$140,40,FALSE)</f>
        <v>200</v>
      </c>
      <c r="I3256" s="388"/>
      <c r="J3256" s="400">
        <f t="shared" ref="J3256" si="10477">(IF(D3256=0,(2*(D3236+G3236))-(F$5*8),IF(D3256=3,(2*(D3236+G3236))-(F$5*8)+(G3236-2*F$5),IF(D3256=4,(2*(D3236+G3236))-(F$5*8)+2*(G3236-2*F$5)))))/1000</f>
        <v>1.08</v>
      </c>
      <c r="K3256" s="400" t="s">
        <v>204</v>
      </c>
      <c r="L3256" s="399">
        <f t="shared" si="10470"/>
        <v>0.15</v>
      </c>
      <c r="M3256" s="399" t="s">
        <v>176</v>
      </c>
      <c r="N3256" s="399">
        <f t="shared" si="10471"/>
        <v>1.23</v>
      </c>
      <c r="O3256" s="399"/>
      <c r="P3256" s="389"/>
      <c r="Q3256" s="399"/>
      <c r="R3256" s="399"/>
      <c r="S3256" s="399"/>
      <c r="T3256" s="399" t="s">
        <v>125</v>
      </c>
      <c r="U3256" s="401">
        <f t="shared" si="10472"/>
        <v>0.61650000000000005</v>
      </c>
      <c r="V3256" s="399" t="s">
        <v>125</v>
      </c>
      <c r="W3256" s="399">
        <f t="shared" ref="W3256" si="10478">IF(D3238-MAX(D3238/4,2*G3236)*2&gt;0,ROUND((D3238-MAX(D3238/4,2*G3236)*2)/H3256,0),0)</f>
        <v>10</v>
      </c>
      <c r="X3256" s="399" t="s">
        <v>125</v>
      </c>
      <c r="Y3256" s="389">
        <f t="shared" ref="Y3256" si="10479">D3241</f>
        <v>1</v>
      </c>
      <c r="Z3256" s="400" t="s">
        <v>176</v>
      </c>
      <c r="AA3256" s="402">
        <f t="shared" si="10475"/>
        <v>7.5829500000000003</v>
      </c>
      <c r="AB3256" s="403"/>
    </row>
    <row r="3257" spans="1:28">
      <c r="A3257" s="384" t="str">
        <f t="shared" ref="A3257:B3257" si="10480">A3235</f>
        <v>Lantai 2</v>
      </c>
      <c r="B3257" s="385">
        <f t="shared" si="10480"/>
        <v>21</v>
      </c>
      <c r="C3257" s="393" t="s">
        <v>211</v>
      </c>
      <c r="D3257" s="398">
        <f>VLOOKUP(D3235,'Detail Balok'!$C$10:$AU$140,41,FALSE)</f>
        <v>0</v>
      </c>
      <c r="E3257" s="388" t="s">
        <v>16</v>
      </c>
      <c r="F3257" s="388">
        <f>VLOOKUP(D3235,'Detail Balok'!$C$10:$AU$140,43,FALSE)</f>
        <v>10</v>
      </c>
      <c r="G3257" s="405" t="s">
        <v>157</v>
      </c>
      <c r="H3257" s="395">
        <f>VLOOKUP(D3235,'Detail Balok'!$C$10:$AU$140,45,FALSE)</f>
        <v>150</v>
      </c>
      <c r="I3257" s="388"/>
      <c r="J3257" s="400">
        <f t="shared" ref="J3257" si="10481">(IF(D3257=0,(2*(D3236+G3236))-(F$5*8),IF(D3257=3,(2*(D3236+G3236))-(F$5*8)+(G3236-2*F$5),IF(D3257=4,(2*(D3236+G3236))-(F$5*8)+2*(G3236-2*F$5)))))/1000</f>
        <v>1.08</v>
      </c>
      <c r="K3257" s="400" t="s">
        <v>204</v>
      </c>
      <c r="L3257" s="399">
        <f t="shared" si="10470"/>
        <v>0.15</v>
      </c>
      <c r="M3257" s="399" t="s">
        <v>176</v>
      </c>
      <c r="N3257" s="399">
        <f t="shared" si="10471"/>
        <v>1.23</v>
      </c>
      <c r="O3257" s="399"/>
      <c r="P3257" s="389"/>
      <c r="Q3257" s="399"/>
      <c r="R3257" s="399"/>
      <c r="S3257" s="399"/>
      <c r="T3257" s="399" t="s">
        <v>125</v>
      </c>
      <c r="U3257" s="401">
        <f t="shared" si="10472"/>
        <v>0.61650000000000005</v>
      </c>
      <c r="V3257" s="399" t="s">
        <v>125</v>
      </c>
      <c r="W3257" s="399">
        <f t="shared" ref="W3257" si="10482">IF(D3238&gt;4*G3236,ROUND(MAX(D3238/4,2*G3236)/H3257,0)+1,0)</f>
        <v>8</v>
      </c>
      <c r="X3257" s="399" t="s">
        <v>125</v>
      </c>
      <c r="Y3257" s="389">
        <f t="shared" ref="Y3257" si="10483">D3241</f>
        <v>1</v>
      </c>
      <c r="Z3257" s="400" t="s">
        <v>176</v>
      </c>
      <c r="AA3257" s="402">
        <f t="shared" si="10475"/>
        <v>6.0663600000000004</v>
      </c>
      <c r="AB3257" s="403"/>
    </row>
    <row r="3258" spans="1:28">
      <c r="A3258" s="384"/>
      <c r="B3258" s="385"/>
      <c r="C3258" s="393"/>
      <c r="D3258" s="394"/>
      <c r="E3258" s="388"/>
      <c r="F3258" s="388"/>
      <c r="G3258" s="388"/>
      <c r="H3258" s="395"/>
      <c r="I3258" s="388"/>
      <c r="J3258" s="399"/>
      <c r="K3258" s="396"/>
      <c r="L3258" s="396"/>
      <c r="M3258" s="396"/>
      <c r="N3258" s="396"/>
      <c r="O3258" s="396"/>
      <c r="P3258" s="389"/>
      <c r="Q3258" s="396"/>
      <c r="R3258" s="396"/>
      <c r="S3258" s="396"/>
      <c r="T3258" s="396"/>
      <c r="U3258" s="401"/>
      <c r="V3258" s="396"/>
      <c r="W3258" s="388"/>
      <c r="X3258" s="396"/>
      <c r="Y3258" s="389"/>
      <c r="Z3258" s="396"/>
      <c r="AA3258" s="388"/>
      <c r="AB3258" s="390"/>
    </row>
    <row r="3259" spans="1:28">
      <c r="A3259" s="384" t="str">
        <f t="shared" ref="A3259:B3259" si="10484">A3235</f>
        <v>Lantai 2</v>
      </c>
      <c r="B3259" s="385">
        <f t="shared" si="10484"/>
        <v>21</v>
      </c>
      <c r="C3259" s="393" t="s">
        <v>213</v>
      </c>
      <c r="D3259" s="398">
        <f>VLOOKUP(D3235,'Detail Balok'!$C$10:$BJ$140,46,FALSE)</f>
        <v>0</v>
      </c>
      <c r="E3259" s="388" t="s">
        <v>16</v>
      </c>
      <c r="F3259" s="388">
        <f>VLOOKUP(D3235,'Detail Balok'!$C$10:$BJ$140,48,FALSE)</f>
        <v>0</v>
      </c>
      <c r="G3259" s="405" t="s">
        <v>157</v>
      </c>
      <c r="H3259" s="395">
        <f>VLOOKUP(D3235,'Detail Balok'!$C$10:$BJ$140,50,FALSE)</f>
        <v>100</v>
      </c>
      <c r="I3259" s="388"/>
      <c r="J3259" s="399">
        <f t="shared" ref="J3259" si="10485">(D3236-2*F$5)/1000</f>
        <v>0.12</v>
      </c>
      <c r="K3259" s="400" t="s">
        <v>204</v>
      </c>
      <c r="L3259" s="399">
        <f t="shared" ref="L3259:L3261" si="10486">IF(D3259=0,2*MAX(6*F3259,75),(D3259-1)*2*MAX(6*F3259,75))/1000</f>
        <v>0.15</v>
      </c>
      <c r="M3259" s="399" t="s">
        <v>176</v>
      </c>
      <c r="N3259" s="399">
        <f t="shared" ref="N3259:N3261" si="10487">J3259+L3259</f>
        <v>0.27</v>
      </c>
      <c r="O3259" s="399"/>
      <c r="P3259" s="399"/>
      <c r="Q3259" s="399"/>
      <c r="R3259" s="399"/>
      <c r="S3259" s="399"/>
      <c r="T3259" s="399" t="s">
        <v>125</v>
      </c>
      <c r="U3259" s="401">
        <f t="shared" ref="U3259:U3261" si="10488">0.006165*F3259^2</f>
        <v>0</v>
      </c>
      <c r="V3259" s="399" t="s">
        <v>125</v>
      </c>
      <c r="W3259" s="399">
        <f t="shared" ref="W3259:W3261" si="10489">W3255</f>
        <v>8</v>
      </c>
      <c r="X3259" s="399" t="s">
        <v>125</v>
      </c>
      <c r="Y3259" s="389">
        <f t="shared" ref="Y3259" si="10490">D3245</f>
        <v>4</v>
      </c>
      <c r="Z3259" s="400" t="s">
        <v>176</v>
      </c>
      <c r="AA3259" s="402">
        <f t="shared" ref="AA3259:AA3261" si="10491">N3259*U3259*W3259*Y3259</f>
        <v>0</v>
      </c>
      <c r="AB3259" s="403"/>
    </row>
    <row r="3260" spans="1:28">
      <c r="A3260" s="384" t="str">
        <f t="shared" ref="A3260:B3260" si="10492">A3235</f>
        <v>Lantai 2</v>
      </c>
      <c r="B3260" s="385">
        <f t="shared" si="10492"/>
        <v>21</v>
      </c>
      <c r="C3260" s="393" t="s">
        <v>214</v>
      </c>
      <c r="D3260" s="398">
        <f>VLOOKUP(D3235,'Detail Balok'!$C$10:$BJ$140,51,FALSE)</f>
        <v>0</v>
      </c>
      <c r="E3260" s="388" t="s">
        <v>16</v>
      </c>
      <c r="F3260" s="388">
        <f>VLOOKUP(D3235,'Detail Balok'!$C$10:$BJ$140,53,FALSE)</f>
        <v>0</v>
      </c>
      <c r="G3260" s="405" t="s">
        <v>157</v>
      </c>
      <c r="H3260" s="395">
        <f>VLOOKUP(D3235,'Detail Balok'!$C$10:$BJ$140,55,FALSE)</f>
        <v>100</v>
      </c>
      <c r="I3260" s="388"/>
      <c r="J3260" s="399">
        <f t="shared" ref="J3260" si="10493">(D3236-2*F$5)/1000</f>
        <v>0.12</v>
      </c>
      <c r="K3260" s="400" t="s">
        <v>204</v>
      </c>
      <c r="L3260" s="399">
        <f t="shared" si="10486"/>
        <v>0.15</v>
      </c>
      <c r="M3260" s="399" t="s">
        <v>176</v>
      </c>
      <c r="N3260" s="399">
        <f t="shared" si="10487"/>
        <v>0.27</v>
      </c>
      <c r="O3260" s="399"/>
      <c r="P3260" s="399"/>
      <c r="Q3260" s="399"/>
      <c r="R3260" s="399"/>
      <c r="S3260" s="399"/>
      <c r="T3260" s="399" t="s">
        <v>125</v>
      </c>
      <c r="U3260" s="401">
        <f t="shared" si="10488"/>
        <v>0</v>
      </c>
      <c r="V3260" s="399" t="s">
        <v>125</v>
      </c>
      <c r="W3260" s="399">
        <f t="shared" si="10489"/>
        <v>10</v>
      </c>
      <c r="X3260" s="399" t="s">
        <v>125</v>
      </c>
      <c r="Y3260" s="389">
        <f t="shared" ref="Y3260" si="10494">D3245</f>
        <v>4</v>
      </c>
      <c r="Z3260" s="400" t="s">
        <v>176</v>
      </c>
      <c r="AA3260" s="402">
        <f t="shared" si="10491"/>
        <v>0</v>
      </c>
      <c r="AB3260" s="403"/>
    </row>
    <row r="3261" spans="1:28">
      <c r="A3261" s="384" t="str">
        <f t="shared" ref="A3261:B3261" si="10495">A3235</f>
        <v>Lantai 2</v>
      </c>
      <c r="B3261" s="385">
        <f t="shared" si="10495"/>
        <v>21</v>
      </c>
      <c r="C3261" s="393" t="s">
        <v>213</v>
      </c>
      <c r="D3261" s="398">
        <f>VLOOKUP(D3235,'Detail Balok'!$C$10:$BJ$140,56,FALSE)</f>
        <v>0</v>
      </c>
      <c r="E3261" s="388" t="s">
        <v>16</v>
      </c>
      <c r="F3261" s="388">
        <f>VLOOKUP(D3235,'Detail Balok'!$C$10:$BJ$140,58,FALSE)</f>
        <v>0</v>
      </c>
      <c r="G3261" s="405" t="s">
        <v>157</v>
      </c>
      <c r="H3261" s="395">
        <f>VLOOKUP(D3235,'Detail Balok'!$C$10:$BJ$140,60,FALSE)</f>
        <v>100</v>
      </c>
      <c r="I3261" s="388"/>
      <c r="J3261" s="399">
        <f t="shared" ref="J3261" si="10496">(D3236-2*F$5)/1000</f>
        <v>0.12</v>
      </c>
      <c r="K3261" s="400" t="s">
        <v>204</v>
      </c>
      <c r="L3261" s="399">
        <f t="shared" si="10486"/>
        <v>0.15</v>
      </c>
      <c r="M3261" s="399" t="s">
        <v>176</v>
      </c>
      <c r="N3261" s="399">
        <f t="shared" si="10487"/>
        <v>0.27</v>
      </c>
      <c r="O3261" s="399"/>
      <c r="P3261" s="399"/>
      <c r="Q3261" s="399"/>
      <c r="R3261" s="399"/>
      <c r="S3261" s="399"/>
      <c r="T3261" s="399" t="s">
        <v>125</v>
      </c>
      <c r="U3261" s="401">
        <f t="shared" si="10488"/>
        <v>0</v>
      </c>
      <c r="V3261" s="399" t="s">
        <v>125</v>
      </c>
      <c r="W3261" s="399">
        <f t="shared" si="10489"/>
        <v>8</v>
      </c>
      <c r="X3261" s="399" t="s">
        <v>125</v>
      </c>
      <c r="Y3261" s="389">
        <f t="shared" ref="Y3261" si="10497">D3245</f>
        <v>4</v>
      </c>
      <c r="Z3261" s="400" t="s">
        <v>176</v>
      </c>
      <c r="AA3261" s="402">
        <f t="shared" si="10491"/>
        <v>0</v>
      </c>
      <c r="AB3261" s="403"/>
    </row>
    <row r="3262" spans="1:28">
      <c r="A3262" s="391"/>
      <c r="B3262" s="392"/>
      <c r="C3262" s="392"/>
      <c r="D3262" s="394"/>
      <c r="E3262" s="388"/>
      <c r="F3262" s="388"/>
      <c r="G3262" s="388"/>
      <c r="H3262" s="395"/>
      <c r="I3262" s="388"/>
      <c r="J3262" s="402"/>
      <c r="K3262" s="388"/>
      <c r="L3262" s="388"/>
      <c r="M3262" s="388"/>
      <c r="N3262" s="388"/>
      <c r="O3262" s="388"/>
      <c r="P3262" s="388"/>
      <c r="Q3262" s="388"/>
      <c r="R3262" s="388"/>
      <c r="S3262" s="388"/>
      <c r="T3262" s="388"/>
      <c r="U3262" s="388"/>
      <c r="V3262" s="388"/>
      <c r="W3262" s="388"/>
      <c r="X3262" s="388"/>
      <c r="Y3262" s="389"/>
      <c r="Z3262" s="388"/>
      <c r="AA3262" s="402"/>
      <c r="AB3262" s="403"/>
    </row>
    <row r="3263" spans="1:28" ht="15.75" thickBot="1">
      <c r="A3263" s="406"/>
      <c r="B3263" s="407"/>
      <c r="C3263" s="407"/>
      <c r="D3263" s="408"/>
      <c r="E3263" s="409"/>
      <c r="F3263" s="409"/>
      <c r="G3263" s="409"/>
      <c r="H3263" s="410"/>
      <c r="I3263" s="409"/>
      <c r="J3263" s="409"/>
      <c r="K3263" s="409"/>
      <c r="L3263" s="409"/>
      <c r="M3263" s="409"/>
      <c r="N3263" s="409"/>
      <c r="O3263" s="409"/>
      <c r="P3263" s="409"/>
      <c r="Q3263" s="409"/>
      <c r="R3263" s="409"/>
      <c r="S3263" s="409"/>
      <c r="T3263" s="409"/>
      <c r="U3263" s="409"/>
      <c r="V3263" s="409"/>
      <c r="W3263" s="409"/>
      <c r="X3263" s="409"/>
      <c r="Y3263" s="411"/>
      <c r="Z3263" s="409"/>
      <c r="AA3263" s="412"/>
      <c r="AB3263" s="413"/>
    </row>
    <row r="3264" spans="1:28">
      <c r="A3264" s="377"/>
      <c r="B3264" s="378"/>
      <c r="C3264" s="378"/>
      <c r="D3264" s="379"/>
      <c r="E3264" s="380"/>
      <c r="F3264" s="380"/>
      <c r="G3264" s="380"/>
      <c r="H3264" s="381"/>
      <c r="I3264" s="380"/>
      <c r="J3264" s="380"/>
      <c r="K3264" s="380"/>
      <c r="L3264" s="380"/>
      <c r="M3264" s="380"/>
      <c r="N3264" s="380"/>
      <c r="O3264" s="380"/>
      <c r="P3264" s="380"/>
      <c r="Q3264" s="380"/>
      <c r="R3264" s="380"/>
      <c r="S3264" s="380"/>
      <c r="T3264" s="380"/>
      <c r="U3264" s="380"/>
      <c r="V3264" s="380"/>
      <c r="W3264" s="380"/>
      <c r="X3264" s="380"/>
      <c r="Y3264" s="382"/>
      <c r="Z3264" s="380"/>
      <c r="AA3264" s="380"/>
      <c r="AB3264" s="383"/>
    </row>
    <row r="3265" spans="1:28">
      <c r="A3265" s="384" t="str">
        <f t="shared" ref="A3265:A3295" si="10498">A3235</f>
        <v>Lantai 2</v>
      </c>
      <c r="B3265" s="385">
        <f t="shared" ref="B3265:B3295" si="10499">B3235+1</f>
        <v>22</v>
      </c>
      <c r="C3265" s="386" t="str">
        <f t="shared" ref="C3265" si="10500">CONCATENATE(A3265," no. ",B3265)</f>
        <v>Lantai 2 no. 22</v>
      </c>
      <c r="D3265" s="2562" t="str">
        <f>VLOOKUP(C3265,'Data Panjang Balok'!$C$9:$N$254,2,FALSE)</f>
        <v>B24-1</v>
      </c>
      <c r="E3265" s="2576"/>
      <c r="F3265" s="2576"/>
      <c r="G3265" s="2576"/>
      <c r="H3265" s="2577"/>
      <c r="I3265" s="387"/>
      <c r="J3265" s="388"/>
      <c r="K3265" s="388"/>
      <c r="L3265" s="388"/>
      <c r="M3265" s="388"/>
      <c r="N3265" s="388"/>
      <c r="O3265" s="388"/>
      <c r="P3265" s="388"/>
      <c r="Q3265" s="388"/>
      <c r="R3265" s="388"/>
      <c r="S3265" s="388"/>
      <c r="T3265" s="388"/>
      <c r="U3265" s="388"/>
      <c r="V3265" s="388"/>
      <c r="W3265" s="388"/>
      <c r="X3265" s="388"/>
      <c r="Y3265" s="389"/>
      <c r="Z3265" s="388"/>
      <c r="AA3265" s="388"/>
      <c r="AB3265" s="390"/>
    </row>
    <row r="3266" spans="1:28">
      <c r="A3266" s="391"/>
      <c r="B3266" s="392"/>
      <c r="C3266" s="393" t="s">
        <v>118</v>
      </c>
      <c r="D3266" s="2578">
        <f>VLOOKUP(D3265,'Detail Balok'!$C$10:$AU$140,2,FALSE)</f>
        <v>200</v>
      </c>
      <c r="E3266" s="2579"/>
      <c r="F3266" s="388" t="s">
        <v>125</v>
      </c>
      <c r="G3266" s="2579">
        <f>VLOOKUP(D3265,'Detail Balok'!$C$10:$AU$140,3,FALSE)</f>
        <v>400</v>
      </c>
      <c r="H3266" s="2580"/>
      <c r="I3266" s="388"/>
      <c r="J3266" s="396"/>
      <c r="K3266" s="396"/>
      <c r="L3266" s="396"/>
      <c r="M3266" s="396"/>
      <c r="N3266" s="396"/>
      <c r="O3266" s="396"/>
      <c r="P3266" s="396"/>
      <c r="Q3266" s="396"/>
      <c r="R3266" s="396"/>
      <c r="S3266" s="396"/>
      <c r="T3266" s="396"/>
      <c r="U3266" s="388"/>
      <c r="V3266" s="396"/>
      <c r="W3266" s="388"/>
      <c r="X3266" s="396"/>
      <c r="Y3266" s="389"/>
      <c r="Z3266" s="396"/>
      <c r="AA3266" s="388"/>
      <c r="AB3266" s="390"/>
    </row>
    <row r="3267" spans="1:28">
      <c r="A3267" s="391"/>
      <c r="B3267" s="392"/>
      <c r="C3267" s="393" t="s">
        <v>198</v>
      </c>
      <c r="D3267" s="2562">
        <f>VLOOKUP(C3265,'Data Panjang Balok'!$C$9:$N$254,4,FALSE)</f>
        <v>1760</v>
      </c>
      <c r="E3267" s="2563"/>
      <c r="F3267" s="2563"/>
      <c r="G3267" s="2563"/>
      <c r="H3267" s="2564"/>
      <c r="I3267" s="397"/>
      <c r="J3267" s="396"/>
      <c r="K3267" s="396"/>
      <c r="L3267" s="396"/>
      <c r="M3267" s="396"/>
      <c r="N3267" s="396"/>
      <c r="O3267" s="396"/>
      <c r="P3267" s="396"/>
      <c r="Q3267" s="396"/>
      <c r="R3267" s="396"/>
      <c r="S3267" s="396"/>
      <c r="T3267" s="396"/>
      <c r="U3267" s="388"/>
      <c r="V3267" s="396"/>
      <c r="W3267" s="388"/>
      <c r="X3267" s="396"/>
      <c r="Y3267" s="389"/>
      <c r="Z3267" s="396"/>
      <c r="AA3267" s="388"/>
      <c r="AB3267" s="390"/>
    </row>
    <row r="3268" spans="1:28">
      <c r="A3268" s="391"/>
      <c r="B3268" s="392"/>
      <c r="C3268" s="393" t="s">
        <v>199</v>
      </c>
      <c r="D3268" s="2562">
        <f>VLOOKUP(C3265,'Data Panjang Balok'!$C$9:$N$254,7,FALSE)</f>
        <v>1760</v>
      </c>
      <c r="E3268" s="2563"/>
      <c r="F3268" s="2563"/>
      <c r="G3268" s="2563"/>
      <c r="H3268" s="2564"/>
      <c r="I3268" s="397"/>
      <c r="J3268" s="396"/>
      <c r="K3268" s="396"/>
      <c r="L3268" s="396"/>
      <c r="M3268" s="396"/>
      <c r="N3268" s="396"/>
      <c r="O3268" s="396"/>
      <c r="P3268" s="396"/>
      <c r="Q3268" s="396"/>
      <c r="R3268" s="396"/>
      <c r="S3268" s="396"/>
      <c r="T3268" s="396"/>
      <c r="U3268" s="388"/>
      <c r="V3268" s="396"/>
      <c r="W3268" s="388"/>
      <c r="X3268" s="396"/>
      <c r="Y3268" s="389"/>
      <c r="Z3268" s="396"/>
      <c r="AA3268" s="388"/>
      <c r="AB3268" s="390"/>
    </row>
    <row r="3269" spans="1:28">
      <c r="A3269" s="391"/>
      <c r="B3269" s="392"/>
      <c r="C3269" s="393" t="s">
        <v>200</v>
      </c>
      <c r="D3269" s="2562">
        <f>VLOOKUP(C3265,'Data Panjang Balok'!$C$9:$N$254,9,FALSE)</f>
        <v>0</v>
      </c>
      <c r="E3269" s="2563"/>
      <c r="F3269" s="2563"/>
      <c r="G3269" s="2563"/>
      <c r="H3269" s="2564"/>
      <c r="I3269" s="397"/>
      <c r="J3269" s="396"/>
      <c r="K3269" s="396"/>
      <c r="L3269" s="396"/>
      <c r="M3269" s="396"/>
      <c r="N3269" s="396"/>
      <c r="O3269" s="396"/>
      <c r="P3269" s="396"/>
      <c r="Q3269" s="396"/>
      <c r="R3269" s="396"/>
      <c r="S3269" s="396"/>
      <c r="T3269" s="396"/>
      <c r="U3269" s="388"/>
      <c r="V3269" s="396"/>
      <c r="W3269" s="388"/>
      <c r="X3269" s="396"/>
      <c r="Y3269" s="389"/>
      <c r="Z3269" s="396"/>
      <c r="AA3269" s="388"/>
      <c r="AB3269" s="390"/>
    </row>
    <row r="3270" spans="1:28">
      <c r="A3270" s="391"/>
      <c r="B3270" s="392"/>
      <c r="C3270" s="393" t="s">
        <v>201</v>
      </c>
      <c r="D3270" s="2562">
        <f>VLOOKUP(C3265,'Data Panjang Balok'!$C$9:$N$254,10,FALSE)</f>
        <v>0</v>
      </c>
      <c r="E3270" s="2563"/>
      <c r="F3270" s="2563"/>
      <c r="G3270" s="2563"/>
      <c r="H3270" s="2564"/>
      <c r="I3270" s="397"/>
      <c r="J3270" s="396"/>
      <c r="K3270" s="396"/>
      <c r="L3270" s="396"/>
      <c r="M3270" s="396"/>
      <c r="N3270" s="396"/>
      <c r="O3270" s="396"/>
      <c r="P3270" s="396"/>
      <c r="Q3270" s="396"/>
      <c r="R3270" s="396"/>
      <c r="S3270" s="396"/>
      <c r="T3270" s="396"/>
      <c r="U3270" s="388"/>
      <c r="V3270" s="396"/>
      <c r="W3270" s="388"/>
      <c r="X3270" s="396"/>
      <c r="Y3270" s="389"/>
      <c r="Z3270" s="396"/>
      <c r="AA3270" s="388"/>
      <c r="AB3270" s="390"/>
    </row>
    <row r="3271" spans="1:28">
      <c r="A3271" s="391"/>
      <c r="B3271" s="392"/>
      <c r="C3271" s="393" t="s">
        <v>48</v>
      </c>
      <c r="D3271" s="2562">
        <f>VLOOKUP(C3265,'Data Panjang Balok'!$C$9:$N$254,3,FALSE)</f>
        <v>1</v>
      </c>
      <c r="E3271" s="2563"/>
      <c r="F3271" s="2563"/>
      <c r="G3271" s="2563"/>
      <c r="H3271" s="2564"/>
      <c r="I3271" s="397"/>
      <c r="J3271" s="396"/>
      <c r="K3271" s="396"/>
      <c r="L3271" s="396"/>
      <c r="M3271" s="396"/>
      <c r="N3271" s="396"/>
      <c r="O3271" s="396"/>
      <c r="P3271" s="396"/>
      <c r="Q3271" s="396"/>
      <c r="R3271" s="396"/>
      <c r="S3271" s="396"/>
      <c r="T3271" s="396"/>
      <c r="U3271" s="388"/>
      <c r="V3271" s="396"/>
      <c r="W3271" s="388"/>
      <c r="X3271" s="396"/>
      <c r="Y3271" s="389"/>
      <c r="Z3271" s="396"/>
      <c r="AA3271" s="388"/>
      <c r="AB3271" s="390"/>
    </row>
    <row r="3272" spans="1:28">
      <c r="A3272" s="384" t="str">
        <f t="shared" ref="A3272:B3272" si="10501">A3265</f>
        <v>Lantai 2</v>
      </c>
      <c r="B3272" s="385">
        <f t="shared" si="10501"/>
        <v>22</v>
      </c>
      <c r="C3272" s="393" t="s">
        <v>202</v>
      </c>
      <c r="D3272" s="398">
        <f>VLOOKUP(D3265,'Detail Balok'!$C$10:$AU$140,4,FALSE)</f>
        <v>3</v>
      </c>
      <c r="E3272" s="388" t="s">
        <v>16</v>
      </c>
      <c r="F3272" s="388">
        <f>VLOOKUP(D3265,'Detail Balok'!$C$10:$AU$140,6,FALSE)</f>
        <v>13</v>
      </c>
      <c r="G3272" s="388"/>
      <c r="H3272" s="395"/>
      <c r="I3272" s="388" t="s">
        <v>203</v>
      </c>
      <c r="J3272" s="399">
        <f t="shared" ref="J3272" si="10502">+D3267/4/1000</f>
        <v>0.44</v>
      </c>
      <c r="K3272" s="400" t="s">
        <v>204</v>
      </c>
      <c r="L3272" s="399">
        <f t="shared" ref="L3272" si="10503">MAX(VLOOKUP(F3272,N$6:P$15,3,FALSE)/1000,2/3*D3269/1000)+F$16*F3272/1000</f>
        <v>0.156</v>
      </c>
      <c r="M3272" s="399" t="s">
        <v>176</v>
      </c>
      <c r="N3272" s="399">
        <f t="shared" ref="N3272:N3274" si="10504">J3272+L3272</f>
        <v>0.59599999999999997</v>
      </c>
      <c r="O3272" s="399" t="s">
        <v>204</v>
      </c>
      <c r="P3272" s="389">
        <f t="shared" ref="P3272" si="10505">D3272-D3273</f>
        <v>0</v>
      </c>
      <c r="Q3272" s="399" t="s">
        <v>125</v>
      </c>
      <c r="R3272" s="399">
        <f t="shared" ref="R3272" si="10506">IF(P3272&gt;0,$F$18*F3272/1000,0)</f>
        <v>0</v>
      </c>
      <c r="S3272" s="399" t="s">
        <v>205</v>
      </c>
      <c r="T3272" s="399" t="s">
        <v>125</v>
      </c>
      <c r="U3272" s="401">
        <f t="shared" ref="U3272:U3274" si="10507">0.006165*F3272^2</f>
        <v>1.041885</v>
      </c>
      <c r="V3272" s="399"/>
      <c r="W3272" s="399"/>
      <c r="X3272" s="399" t="s">
        <v>125</v>
      </c>
      <c r="Y3272" s="389">
        <f t="shared" ref="Y3272" si="10508">D3271</f>
        <v>1</v>
      </c>
      <c r="Z3272" s="400" t="s">
        <v>176</v>
      </c>
      <c r="AA3272" s="402">
        <f t="shared" ref="AA3272" si="10509">IF(AA3275=0,(D3272*N3272+P3272*R3272)*U3272*Y3272,0)</f>
        <v>0</v>
      </c>
      <c r="AB3272" s="403"/>
    </row>
    <row r="3273" spans="1:28">
      <c r="A3273" s="384" t="str">
        <f t="shared" ref="A3273:B3273" si="10510">A3265</f>
        <v>Lantai 2</v>
      </c>
      <c r="B3273" s="385">
        <f t="shared" si="10510"/>
        <v>22</v>
      </c>
      <c r="C3273" s="393" t="s">
        <v>206</v>
      </c>
      <c r="D3273" s="398">
        <f>VLOOKUP(D3265,'Detail Balok'!$C$10:$AU$140,7,FALSE)</f>
        <v>3</v>
      </c>
      <c r="E3273" s="388" t="s">
        <v>16</v>
      </c>
      <c r="F3273" s="388">
        <f>VLOOKUP(D3265,'Detail Balok'!$C$10:$AU$140,9,FALSE)</f>
        <v>13</v>
      </c>
      <c r="G3273" s="388"/>
      <c r="H3273" s="395"/>
      <c r="I3273" s="388" t="s">
        <v>203</v>
      </c>
      <c r="J3273" s="399">
        <f t="shared" ref="J3273" si="10511">+D3267/2/1000</f>
        <v>0.88</v>
      </c>
      <c r="K3273" s="400" t="s">
        <v>204</v>
      </c>
      <c r="L3273" s="399"/>
      <c r="M3273" s="399" t="s">
        <v>176</v>
      </c>
      <c r="N3273" s="399">
        <f t="shared" si="10504"/>
        <v>0.88</v>
      </c>
      <c r="O3273" s="399" t="s">
        <v>204</v>
      </c>
      <c r="P3273" s="389">
        <f t="shared" ref="P3273" si="10512">MAX(D3273-D3272,D3273-D3274)</f>
        <v>0</v>
      </c>
      <c r="Q3273" s="399" t="s">
        <v>125</v>
      </c>
      <c r="R3273" s="399">
        <f t="shared" ref="R3273" si="10513">IF(P3273&gt;0,2*(1-2*$F$19-1/2)*D3268/1000,0)</f>
        <v>0</v>
      </c>
      <c r="S3273" s="399" t="s">
        <v>205</v>
      </c>
      <c r="T3273" s="399" t="s">
        <v>125</v>
      </c>
      <c r="U3273" s="401">
        <f t="shared" si="10507"/>
        <v>1.041885</v>
      </c>
      <c r="V3273" s="399"/>
      <c r="W3273" s="399"/>
      <c r="X3273" s="399" t="s">
        <v>125</v>
      </c>
      <c r="Y3273" s="389">
        <f t="shared" ref="Y3273" si="10514">D3271</f>
        <v>1</v>
      </c>
      <c r="Z3273" s="400" t="s">
        <v>176</v>
      </c>
      <c r="AA3273" s="402">
        <f t="shared" ref="AA3273" si="10515">IF(AA3275=0,(D3273*N3273+P3273*R3273)*U3273*Y3273,0)</f>
        <v>0</v>
      </c>
      <c r="AB3273" s="403"/>
    </row>
    <row r="3274" spans="1:28">
      <c r="A3274" s="384" t="str">
        <f t="shared" ref="A3274:B3274" si="10516">A3265</f>
        <v>Lantai 2</v>
      </c>
      <c r="B3274" s="385">
        <f t="shared" si="10516"/>
        <v>22</v>
      </c>
      <c r="C3274" s="393" t="s">
        <v>202</v>
      </c>
      <c r="D3274" s="398">
        <f>VLOOKUP(D3265,'Detail Balok'!$C$10:$AU$140,10,FALSE)</f>
        <v>3</v>
      </c>
      <c r="E3274" s="388" t="s">
        <v>16</v>
      </c>
      <c r="F3274" s="388">
        <f>VLOOKUP(D3265,'Detail Balok'!$C$10:$AU$140,12,FALSE)</f>
        <v>13</v>
      </c>
      <c r="G3274" s="388"/>
      <c r="H3274" s="395"/>
      <c r="I3274" s="388" t="s">
        <v>203</v>
      </c>
      <c r="J3274" s="399">
        <f t="shared" ref="J3274" si="10517">+D3267/4/1000</f>
        <v>0.44</v>
      </c>
      <c r="K3274" s="400" t="s">
        <v>204</v>
      </c>
      <c r="L3274" s="399">
        <f t="shared" ref="L3274" si="10518">MAX(VLOOKUP(F3274,N$6:P$15,3,FALSE)/1000,2/3*D3269/1000)+F$16*F3274/1000</f>
        <v>0.156</v>
      </c>
      <c r="M3274" s="399" t="s">
        <v>176</v>
      </c>
      <c r="N3274" s="399">
        <f t="shared" si="10504"/>
        <v>0.59599999999999997</v>
      </c>
      <c r="O3274" s="399" t="s">
        <v>204</v>
      </c>
      <c r="P3274" s="389">
        <f t="shared" ref="P3274" si="10519">D3274-D3273</f>
        <v>0</v>
      </c>
      <c r="Q3274" s="399" t="s">
        <v>125</v>
      </c>
      <c r="R3274" s="399">
        <f t="shared" ref="R3274" si="10520">IF(P3274&gt;0,$F$18*F3274/1000,0)</f>
        <v>0</v>
      </c>
      <c r="S3274" s="399" t="s">
        <v>205</v>
      </c>
      <c r="T3274" s="399" t="s">
        <v>125</v>
      </c>
      <c r="U3274" s="401">
        <f t="shared" si="10507"/>
        <v>1.041885</v>
      </c>
      <c r="V3274" s="399"/>
      <c r="W3274" s="399"/>
      <c r="X3274" s="399" t="s">
        <v>125</v>
      </c>
      <c r="Y3274" s="389">
        <f t="shared" ref="Y3274" si="10521">D3271</f>
        <v>1</v>
      </c>
      <c r="Z3274" s="400" t="s">
        <v>176</v>
      </c>
      <c r="AA3274" s="402">
        <f t="shared" ref="AA3274" si="10522">IF(AA3275=0,(D3274*N3274+P3274*R3274)*U3274*Y3274,0)</f>
        <v>0</v>
      </c>
      <c r="AB3274" s="403"/>
    </row>
    <row r="3275" spans="1:28">
      <c r="A3275" s="384" t="str">
        <f t="shared" ref="A3275:B3275" si="10523">A3265</f>
        <v>Lantai 2</v>
      </c>
      <c r="B3275" s="385">
        <f t="shared" si="10523"/>
        <v>22</v>
      </c>
      <c r="C3275" s="393"/>
      <c r="D3275" s="398">
        <f t="shared" ref="D3275" si="10524">IF(AND(D3272=D3273,D3273=D3274,D3272=D3274),D3272,0)</f>
        <v>3</v>
      </c>
      <c r="E3275" s="388" t="s">
        <v>16</v>
      </c>
      <c r="F3275" s="388">
        <f t="shared" ref="F3275" si="10525">IF(AND(F3272=F3273,F3272=F3274,F3273=F3274),F3272,0)</f>
        <v>13</v>
      </c>
      <c r="G3275" s="388"/>
      <c r="H3275" s="395"/>
      <c r="I3275" s="388"/>
      <c r="J3275" s="396"/>
      <c r="K3275" s="396"/>
      <c r="L3275" s="404" t="s">
        <v>207</v>
      </c>
      <c r="M3275" s="399" t="s">
        <v>176</v>
      </c>
      <c r="N3275" s="399">
        <f t="shared" ref="N3275" si="10526">IF(AND(D3272=D3273,D3272=D3274,D3273=D3274,F3272=F3273,F3272=F3274,F3273=F3274),SUM(N3272:N3274),0)</f>
        <v>2.0720000000000001</v>
      </c>
      <c r="O3275" s="399" t="s">
        <v>204</v>
      </c>
      <c r="P3275" s="389">
        <f t="shared" ref="P3275" si="10527">IF(N3275&gt;12,ROUNDDOWN(N3275/12,0),0)</f>
        <v>0</v>
      </c>
      <c r="Q3275" s="399" t="s">
        <v>125</v>
      </c>
      <c r="R3275" s="399">
        <f t="shared" ref="R3275" si="10528">IF(P3275&gt;0,MAX(VLOOKUP(F3275,$D$6:$G$15,3,FALSE),600),0)/1000</f>
        <v>0</v>
      </c>
      <c r="S3275" s="396"/>
      <c r="T3275" s="396" t="s">
        <v>125</v>
      </c>
      <c r="U3275" s="401">
        <f t="shared" ref="U3275" si="10529">U3274</f>
        <v>1.041885</v>
      </c>
      <c r="V3275" s="396" t="s">
        <v>125</v>
      </c>
      <c r="W3275" s="399">
        <f t="shared" ref="W3275" si="10530">D3275</f>
        <v>3</v>
      </c>
      <c r="X3275" s="399" t="s">
        <v>125</v>
      </c>
      <c r="Y3275" s="389">
        <f t="shared" ref="Y3275" si="10531">Y3274</f>
        <v>1</v>
      </c>
      <c r="Z3275" s="400" t="s">
        <v>176</v>
      </c>
      <c r="AA3275" s="402">
        <f t="shared" ref="AA3275" si="10532">(N3275+P3275*R3275/1000)*U3275*W3275*Y3275</f>
        <v>6.4763571600000001</v>
      </c>
      <c r="AB3275" s="390"/>
    </row>
    <row r="3276" spans="1:28">
      <c r="A3276" s="384"/>
      <c r="B3276" s="385"/>
      <c r="C3276" s="393"/>
      <c r="D3276" s="398"/>
      <c r="E3276" s="388"/>
      <c r="F3276" s="388"/>
      <c r="G3276" s="388"/>
      <c r="H3276" s="395"/>
      <c r="I3276" s="388"/>
      <c r="J3276" s="396"/>
      <c r="K3276" s="396"/>
      <c r="L3276" s="404"/>
      <c r="M3276" s="399"/>
      <c r="N3276" s="399"/>
      <c r="O3276" s="396"/>
      <c r="P3276" s="389"/>
      <c r="Q3276" s="396"/>
      <c r="R3276" s="396"/>
      <c r="S3276" s="396"/>
      <c r="T3276" s="396"/>
      <c r="U3276" s="401"/>
      <c r="V3276" s="396"/>
      <c r="W3276" s="399"/>
      <c r="X3276" s="396"/>
      <c r="Y3276" s="389"/>
      <c r="Z3276" s="396"/>
      <c r="AA3276" s="388"/>
      <c r="AB3276" s="390"/>
    </row>
    <row r="3277" spans="1:28">
      <c r="A3277" s="384" t="str">
        <f t="shared" ref="A3277:B3277" si="10533">A3265</f>
        <v>Lantai 2</v>
      </c>
      <c r="B3277" s="385">
        <f t="shared" si="10533"/>
        <v>22</v>
      </c>
      <c r="C3277" s="393" t="s">
        <v>208</v>
      </c>
      <c r="D3277" s="398">
        <f>VLOOKUP(D3265,'Detail Balok'!$C$10:$AU$140,13,FALSE)</f>
        <v>0</v>
      </c>
      <c r="E3277" s="388" t="s">
        <v>16</v>
      </c>
      <c r="F3277" s="388">
        <f>VLOOKUP(D3265,'Detail Balok'!$C$10:$AU$140,15,FALSE)</f>
        <v>8</v>
      </c>
      <c r="G3277" s="388"/>
      <c r="H3277" s="395"/>
      <c r="I3277" s="388"/>
      <c r="J3277" s="399">
        <f t="shared" ref="J3277" si="10534">+D3267/1000</f>
        <v>1.76</v>
      </c>
      <c r="K3277" s="400" t="s">
        <v>204</v>
      </c>
      <c r="L3277" s="399">
        <f t="shared" ref="L3277" si="10535">2*$F$16*F3277/1000</f>
        <v>0.192</v>
      </c>
      <c r="M3277" s="399" t="s">
        <v>176</v>
      </c>
      <c r="N3277" s="399">
        <f t="shared" ref="N3277" si="10536">J3277+L3277</f>
        <v>1.952</v>
      </c>
      <c r="O3277" s="399" t="s">
        <v>204</v>
      </c>
      <c r="P3277" s="389">
        <f t="shared" ref="P3277" si="10537">IF(N3277&gt;12,ROUNDDOWN(N3277/12,0),0)</f>
        <v>0</v>
      </c>
      <c r="Q3277" s="399" t="s">
        <v>125</v>
      </c>
      <c r="R3277" s="399">
        <f t="shared" ref="R3277" si="10538">IF(P3277&gt;0,MAX(VLOOKUP(F3277,$D$6:$G$15,3,FALSE),600),0)/1000</f>
        <v>0</v>
      </c>
      <c r="S3277" s="399"/>
      <c r="T3277" s="399" t="s">
        <v>125</v>
      </c>
      <c r="U3277" s="401">
        <f t="shared" ref="U3277" si="10539">0.006165*F3277^2</f>
        <v>0.39456000000000002</v>
      </c>
      <c r="V3277" s="399" t="s">
        <v>125</v>
      </c>
      <c r="W3277" s="399">
        <f t="shared" ref="W3277" si="10540">+D3277</f>
        <v>0</v>
      </c>
      <c r="X3277" s="399" t="s">
        <v>125</v>
      </c>
      <c r="Y3277" s="389">
        <f t="shared" ref="Y3277" si="10541">D3271</f>
        <v>1</v>
      </c>
      <c r="Z3277" s="400" t="s">
        <v>176</v>
      </c>
      <c r="AA3277" s="402">
        <f t="shared" ref="AA3277" si="10542">(N3277+P3277*R3277/1000)*U3277*W3277*Y3277</f>
        <v>0</v>
      </c>
      <c r="AB3277" s="403"/>
    </row>
    <row r="3278" spans="1:28">
      <c r="A3278" s="384"/>
      <c r="B3278" s="385"/>
      <c r="C3278" s="393"/>
      <c r="D3278" s="398"/>
      <c r="E3278" s="388"/>
      <c r="F3278" s="388"/>
      <c r="G3278" s="388"/>
      <c r="H3278" s="395"/>
      <c r="I3278" s="388"/>
      <c r="J3278" s="399"/>
      <c r="K3278" s="400"/>
      <c r="L3278" s="399"/>
      <c r="M3278" s="399"/>
      <c r="N3278" s="399"/>
      <c r="O3278" s="399"/>
      <c r="P3278" s="389"/>
      <c r="Q3278" s="399"/>
      <c r="R3278" s="399"/>
      <c r="S3278" s="399"/>
      <c r="T3278" s="399"/>
      <c r="U3278" s="401"/>
      <c r="V3278" s="399"/>
      <c r="W3278" s="399"/>
      <c r="X3278" s="399"/>
      <c r="Y3278" s="389"/>
      <c r="Z3278" s="400"/>
      <c r="AA3278" s="402"/>
      <c r="AB3278" s="403"/>
    </row>
    <row r="3279" spans="1:28">
      <c r="A3279" s="384"/>
      <c r="B3279" s="385"/>
      <c r="C3279" s="393"/>
      <c r="D3279" s="398"/>
      <c r="E3279" s="388"/>
      <c r="F3279" s="388"/>
      <c r="G3279" s="388"/>
      <c r="H3279" s="395"/>
      <c r="I3279" s="388"/>
      <c r="J3279" s="396"/>
      <c r="K3279" s="396"/>
      <c r="L3279" s="396"/>
      <c r="M3279" s="396"/>
      <c r="N3279" s="396"/>
      <c r="O3279" s="396"/>
      <c r="P3279" s="389"/>
      <c r="Q3279" s="396"/>
      <c r="R3279" s="396"/>
      <c r="S3279" s="396"/>
      <c r="T3279" s="396"/>
      <c r="U3279" s="401"/>
      <c r="V3279" s="396"/>
      <c r="W3279" s="399"/>
      <c r="X3279" s="396"/>
      <c r="Y3279" s="389"/>
      <c r="Z3279" s="396"/>
      <c r="AA3279" s="388"/>
      <c r="AB3279" s="390"/>
    </row>
    <row r="3280" spans="1:28">
      <c r="A3280" s="384" t="str">
        <f t="shared" ref="A3280:B3280" si="10543">A3265</f>
        <v>Lantai 2</v>
      </c>
      <c r="B3280" s="385">
        <f t="shared" si="10543"/>
        <v>22</v>
      </c>
      <c r="C3280" s="393" t="s">
        <v>209</v>
      </c>
      <c r="D3280" s="398">
        <f>VLOOKUP(D3265,'Detail Balok'!$C$10:$AU$140,22,FALSE)</f>
        <v>3</v>
      </c>
      <c r="E3280" s="388" t="s">
        <v>16</v>
      </c>
      <c r="F3280" s="388">
        <f>VLOOKUP(D3265,'Detail Balok'!$C$10:$AU$140,24,FALSE)</f>
        <v>13</v>
      </c>
      <c r="G3280" s="388"/>
      <c r="H3280" s="395"/>
      <c r="I3280" s="388" t="s">
        <v>203</v>
      </c>
      <c r="J3280" s="399">
        <f t="shared" ref="J3280:J3282" si="10544">+J3272</f>
        <v>0.44</v>
      </c>
      <c r="K3280" s="400" t="s">
        <v>204</v>
      </c>
      <c r="L3280" s="399">
        <f t="shared" ref="L3280" si="10545">MAX(VLOOKUP(F3280,N$6:P$15,3,FALSE)/1000,2/3*D3270/1000)+F$16*F3280/1000</f>
        <v>0.156</v>
      </c>
      <c r="M3280" s="399" t="s">
        <v>176</v>
      </c>
      <c r="N3280" s="399">
        <f t="shared" ref="N3280:N3282" si="10546">J3280+L3280</f>
        <v>0.59599999999999997</v>
      </c>
      <c r="O3280" s="399" t="s">
        <v>204</v>
      </c>
      <c r="P3280" s="389">
        <f t="shared" ref="P3280" si="10547">D3280-D3281</f>
        <v>0</v>
      </c>
      <c r="Q3280" s="399" t="s">
        <v>125</v>
      </c>
      <c r="R3280" s="399">
        <f t="shared" ref="R3280" si="10548">IF(P3280&gt;0,$F$18*F3280/1000,0)</f>
        <v>0</v>
      </c>
      <c r="S3280" s="399" t="s">
        <v>205</v>
      </c>
      <c r="T3280" s="399" t="s">
        <v>125</v>
      </c>
      <c r="U3280" s="401">
        <f t="shared" ref="U3280:U3282" si="10549">0.006165*F3280^2</f>
        <v>1.041885</v>
      </c>
      <c r="V3280" s="399"/>
      <c r="W3280" s="399"/>
      <c r="X3280" s="399" t="s">
        <v>125</v>
      </c>
      <c r="Y3280" s="389">
        <f t="shared" ref="Y3280" si="10550">D3271</f>
        <v>1</v>
      </c>
      <c r="Z3280" s="400" t="s">
        <v>176</v>
      </c>
      <c r="AA3280" s="402">
        <f t="shared" ref="AA3280" si="10551">IF(AA3283=0,(D3280*N3280+P3280*R3280)*U3280*Y3280,0)</f>
        <v>0</v>
      </c>
      <c r="AB3280" s="403"/>
    </row>
    <row r="3281" spans="1:28">
      <c r="A3281" s="384" t="str">
        <f t="shared" ref="A3281:B3281" si="10552">A3265</f>
        <v>Lantai 2</v>
      </c>
      <c r="B3281" s="385">
        <f t="shared" si="10552"/>
        <v>22</v>
      </c>
      <c r="C3281" s="393" t="s">
        <v>210</v>
      </c>
      <c r="D3281" s="398">
        <f>VLOOKUP(D3265,'Detail Balok'!$C$10:$AU$140,25,FALSE)</f>
        <v>3</v>
      </c>
      <c r="E3281" s="388" t="s">
        <v>16</v>
      </c>
      <c r="F3281" s="388">
        <f>VLOOKUP(D3265,'Detail Balok'!$C$10:$AU$140,27,FALSE)</f>
        <v>13</v>
      </c>
      <c r="G3281" s="388"/>
      <c r="H3281" s="395"/>
      <c r="I3281" s="388" t="s">
        <v>203</v>
      </c>
      <c r="J3281" s="399">
        <f t="shared" si="10544"/>
        <v>0.88</v>
      </c>
      <c r="K3281" s="400" t="s">
        <v>204</v>
      </c>
      <c r="L3281" s="399"/>
      <c r="M3281" s="399" t="s">
        <v>176</v>
      </c>
      <c r="N3281" s="399">
        <f t="shared" si="10546"/>
        <v>0.88</v>
      </c>
      <c r="O3281" s="399" t="s">
        <v>204</v>
      </c>
      <c r="P3281" s="389">
        <f t="shared" ref="P3281" si="10553">MAX(D3281-D3280,D3281-D3282)</f>
        <v>0</v>
      </c>
      <c r="Q3281" s="399" t="s">
        <v>125</v>
      </c>
      <c r="R3281" s="399">
        <f t="shared" ref="R3281" si="10554">IF(P3281&gt;0,2*(1-2*$F$19-1/2)*D3268/1000,0)</f>
        <v>0</v>
      </c>
      <c r="S3281" s="399" t="s">
        <v>205</v>
      </c>
      <c r="T3281" s="399" t="s">
        <v>125</v>
      </c>
      <c r="U3281" s="401">
        <f t="shared" si="10549"/>
        <v>1.041885</v>
      </c>
      <c r="V3281" s="399"/>
      <c r="W3281" s="399"/>
      <c r="X3281" s="399" t="s">
        <v>125</v>
      </c>
      <c r="Y3281" s="389">
        <f t="shared" ref="Y3281" si="10555">D3271</f>
        <v>1</v>
      </c>
      <c r="Z3281" s="400" t="s">
        <v>176</v>
      </c>
      <c r="AA3281" s="402">
        <f t="shared" ref="AA3281" si="10556">IF(AA3283=0,(D3281*N3281+P3281*R3281)*U3281*Y3281,0)</f>
        <v>0</v>
      </c>
      <c r="AB3281" s="403"/>
    </row>
    <row r="3282" spans="1:28">
      <c r="A3282" s="384" t="str">
        <f t="shared" ref="A3282:B3282" si="10557">A3265</f>
        <v>Lantai 2</v>
      </c>
      <c r="B3282" s="385">
        <f t="shared" si="10557"/>
        <v>22</v>
      </c>
      <c r="C3282" s="393" t="s">
        <v>209</v>
      </c>
      <c r="D3282" s="398">
        <f>VLOOKUP(D3265,'Detail Balok'!$C$10:$AU$140,28,FALSE)</f>
        <v>3</v>
      </c>
      <c r="E3282" s="388" t="s">
        <v>16</v>
      </c>
      <c r="F3282" s="388">
        <f>VLOOKUP(D3265,'Detail Balok'!$C$10:$AU$140,30,FALSE)</f>
        <v>13</v>
      </c>
      <c r="G3282" s="388"/>
      <c r="H3282" s="395"/>
      <c r="I3282" s="388" t="s">
        <v>203</v>
      </c>
      <c r="J3282" s="399">
        <f t="shared" si="10544"/>
        <v>0.44</v>
      </c>
      <c r="K3282" s="400" t="s">
        <v>204</v>
      </c>
      <c r="L3282" s="399">
        <f t="shared" ref="L3282" si="10558">MAX(VLOOKUP(F3282,N$6:P$15,3,FALSE)/1000,2/3*D3270/1000)+F$16*F3282/1000</f>
        <v>0.156</v>
      </c>
      <c r="M3282" s="399" t="s">
        <v>176</v>
      </c>
      <c r="N3282" s="399">
        <f t="shared" si="10546"/>
        <v>0.59599999999999997</v>
      </c>
      <c r="O3282" s="399" t="s">
        <v>204</v>
      </c>
      <c r="P3282" s="389">
        <f t="shared" ref="P3282" si="10559">D3282-D3281</f>
        <v>0</v>
      </c>
      <c r="Q3282" s="399" t="s">
        <v>125</v>
      </c>
      <c r="R3282" s="399">
        <f t="shared" ref="R3282" si="10560">IF(P3282&gt;0,$F$18*F3282/1000,0)</f>
        <v>0</v>
      </c>
      <c r="S3282" s="399" t="s">
        <v>205</v>
      </c>
      <c r="T3282" s="399" t="s">
        <v>125</v>
      </c>
      <c r="U3282" s="401">
        <f t="shared" si="10549"/>
        <v>1.041885</v>
      </c>
      <c r="V3282" s="399"/>
      <c r="W3282" s="399"/>
      <c r="X3282" s="399" t="s">
        <v>125</v>
      </c>
      <c r="Y3282" s="389">
        <f t="shared" ref="Y3282" si="10561">D3271</f>
        <v>1</v>
      </c>
      <c r="Z3282" s="400" t="s">
        <v>176</v>
      </c>
      <c r="AA3282" s="402">
        <f t="shared" ref="AA3282" si="10562">IF(AA3283=0,(D3282*N3282+P3282*R3282)*U3282*Y3282,0)</f>
        <v>0</v>
      </c>
      <c r="AB3282" s="403"/>
    </row>
    <row r="3283" spans="1:28">
      <c r="A3283" s="384" t="str">
        <f t="shared" ref="A3283:B3283" si="10563">A3265</f>
        <v>Lantai 2</v>
      </c>
      <c r="B3283" s="385">
        <f t="shared" si="10563"/>
        <v>22</v>
      </c>
      <c r="C3283" s="393"/>
      <c r="D3283" s="398">
        <f t="shared" ref="D3283" si="10564">IF(AND(D3280=D3281,D3281=D3282,D3280=D3282),D3280,0)</f>
        <v>3</v>
      </c>
      <c r="E3283" s="388" t="s">
        <v>16</v>
      </c>
      <c r="F3283" s="388">
        <f t="shared" ref="F3283" si="10565">IF(AND(F3280=F3281,F3280=F3282,F3281=F3282),F3280,0)</f>
        <v>13</v>
      </c>
      <c r="G3283" s="388"/>
      <c r="H3283" s="395"/>
      <c r="I3283" s="388"/>
      <c r="J3283" s="396"/>
      <c r="K3283" s="396"/>
      <c r="L3283" s="404" t="s">
        <v>207</v>
      </c>
      <c r="M3283" s="399" t="s">
        <v>176</v>
      </c>
      <c r="N3283" s="399">
        <f t="shared" ref="N3283" si="10566">IF(AND(D3280=D3281,D3280=D3282,D3281=D3282,F3280=F3281,F3280=F3282,F3281=F3282),SUM(N3280:N3282),0)</f>
        <v>2.0720000000000001</v>
      </c>
      <c r="O3283" s="399" t="s">
        <v>204</v>
      </c>
      <c r="P3283" s="389">
        <f t="shared" ref="P3283" si="10567">IF(N3283&gt;12,ROUNDDOWN(N3283/12,0),0)</f>
        <v>0</v>
      </c>
      <c r="Q3283" s="399" t="s">
        <v>125</v>
      </c>
      <c r="R3283" s="399">
        <f t="shared" ref="R3283" si="10568">IF(P3283&gt;0,MAX(VLOOKUP(F3283,$D$6:$G$15,3,FALSE),600),0)/1000</f>
        <v>0</v>
      </c>
      <c r="S3283" s="396"/>
      <c r="T3283" s="396" t="s">
        <v>125</v>
      </c>
      <c r="U3283" s="401">
        <f t="shared" ref="U3283" si="10569">U3282</f>
        <v>1.041885</v>
      </c>
      <c r="V3283" s="396" t="s">
        <v>125</v>
      </c>
      <c r="W3283" s="399">
        <f t="shared" ref="W3283" si="10570">D3283</f>
        <v>3</v>
      </c>
      <c r="X3283" s="399" t="s">
        <v>125</v>
      </c>
      <c r="Y3283" s="389">
        <f t="shared" ref="Y3283" si="10571">Y3282</f>
        <v>1</v>
      </c>
      <c r="Z3283" s="400" t="s">
        <v>176</v>
      </c>
      <c r="AA3283" s="402">
        <f t="shared" ref="AA3283" si="10572">(N3283+P3283*R3283/1000)*U3283*W3283*Y3283</f>
        <v>6.4763571600000001</v>
      </c>
      <c r="AB3283" s="403"/>
    </row>
    <row r="3284" spans="1:28">
      <c r="A3284" s="384"/>
      <c r="B3284" s="385"/>
      <c r="C3284" s="393"/>
      <c r="D3284" s="394"/>
      <c r="E3284" s="388"/>
      <c r="F3284" s="388"/>
      <c r="G3284" s="388"/>
      <c r="H3284" s="395"/>
      <c r="I3284" s="388"/>
      <c r="J3284" s="399"/>
      <c r="K3284" s="396"/>
      <c r="L3284" s="396"/>
      <c r="M3284" s="396"/>
      <c r="N3284" s="396"/>
      <c r="O3284" s="396"/>
      <c r="P3284" s="389"/>
      <c r="Q3284" s="396"/>
      <c r="R3284" s="396"/>
      <c r="S3284" s="396"/>
      <c r="T3284" s="396"/>
      <c r="U3284" s="401"/>
      <c r="V3284" s="396"/>
      <c r="W3284" s="388"/>
      <c r="X3284" s="396"/>
      <c r="Y3284" s="389"/>
      <c r="Z3284" s="396"/>
      <c r="AA3284" s="388"/>
      <c r="AB3284" s="390"/>
    </row>
    <row r="3285" spans="1:28">
      <c r="A3285" s="384" t="str">
        <f t="shared" ref="A3285:B3285" si="10573">A3265</f>
        <v>Lantai 2</v>
      </c>
      <c r="B3285" s="385">
        <f t="shared" si="10573"/>
        <v>22</v>
      </c>
      <c r="C3285" s="393" t="s">
        <v>211</v>
      </c>
      <c r="D3285" s="398">
        <f>VLOOKUP(D3265,'Detail Balok'!$C$10:$AU$140,31,FALSE)</f>
        <v>0</v>
      </c>
      <c r="E3285" s="388" t="s">
        <v>16</v>
      </c>
      <c r="F3285" s="388">
        <f>VLOOKUP(D3265,'Detail Balok'!$C$10:$AU$140,33,FALSE)</f>
        <v>10</v>
      </c>
      <c r="G3285" s="405" t="s">
        <v>157</v>
      </c>
      <c r="H3285" s="395">
        <f>VLOOKUP(D3265,'Detail Balok'!$C$10:$AU$140,35,FALSE)</f>
        <v>100</v>
      </c>
      <c r="I3285" s="388"/>
      <c r="J3285" s="400">
        <f t="shared" ref="J3285" si="10574">(IF(D3285=0,(2*(D3266+G3266))-(F$5*8),IF(D3285=3,(2*(D3266+G3266))-(F$5*8)+(G3266-2*F$5),IF(D3285=4,(2*(D3266+G3266))-(F$5*8)+2*(G3266-2*F$5)))))/1000</f>
        <v>0.88</v>
      </c>
      <c r="K3285" s="400" t="s">
        <v>204</v>
      </c>
      <c r="L3285" s="399">
        <f t="shared" ref="L3285:L3287" si="10575">IF(D3285=0,2*MAX(6*F3285,75),(D3285-1)*2*MAX(6*F3285,75))/1000</f>
        <v>0.15</v>
      </c>
      <c r="M3285" s="399" t="s">
        <v>176</v>
      </c>
      <c r="N3285" s="399">
        <f t="shared" ref="N3285:N3287" si="10576">J3285+L3285</f>
        <v>1.03</v>
      </c>
      <c r="O3285" s="399"/>
      <c r="P3285" s="389"/>
      <c r="Q3285" s="399"/>
      <c r="R3285" s="399"/>
      <c r="S3285" s="399"/>
      <c r="T3285" s="399" t="s">
        <v>125</v>
      </c>
      <c r="U3285" s="401">
        <f t="shared" ref="U3285:U3287" si="10577">0.006165*F3285^2</f>
        <v>0.61650000000000005</v>
      </c>
      <c r="V3285" s="399" t="s">
        <v>125</v>
      </c>
      <c r="W3285" s="399">
        <f t="shared" ref="W3285" si="10578">IF(D3268&gt;4*G3266,ROUND(MAX(D3268/4,2*G3266)/H3285,0)+1,ROUND(D3268/H3285,0)+1)</f>
        <v>9</v>
      </c>
      <c r="X3285" s="399" t="s">
        <v>125</v>
      </c>
      <c r="Y3285" s="389">
        <f t="shared" ref="Y3285" si="10579">D3271</f>
        <v>1</v>
      </c>
      <c r="Z3285" s="400" t="s">
        <v>176</v>
      </c>
      <c r="AA3285" s="402">
        <f t="shared" ref="AA3285:AA3287" si="10580">N3285*U3285*W3285*Y3285</f>
        <v>5.7149550000000007</v>
      </c>
      <c r="AB3285" s="403"/>
    </row>
    <row r="3286" spans="1:28">
      <c r="A3286" s="384" t="str">
        <f t="shared" ref="A3286:B3286" si="10581">A3265</f>
        <v>Lantai 2</v>
      </c>
      <c r="B3286" s="385">
        <f t="shared" si="10581"/>
        <v>22</v>
      </c>
      <c r="C3286" s="393" t="s">
        <v>212</v>
      </c>
      <c r="D3286" s="398">
        <f>VLOOKUP(D3265,'Detail Balok'!$C$10:$AU$140,36,FALSE)</f>
        <v>0</v>
      </c>
      <c r="E3286" s="388" t="s">
        <v>16</v>
      </c>
      <c r="F3286" s="388">
        <f>VLOOKUP(D3265,'Detail Balok'!$C$10:$AU$140,38,FALSE)</f>
        <v>10</v>
      </c>
      <c r="G3286" s="405" t="s">
        <v>157</v>
      </c>
      <c r="H3286" s="395">
        <f>VLOOKUP(D3265,'Detail Balok'!$C$10:$AU$140,40,FALSE)</f>
        <v>200</v>
      </c>
      <c r="I3286" s="388"/>
      <c r="J3286" s="400">
        <f t="shared" ref="J3286" si="10582">(IF(D3286=0,(2*(D3266+G3266))-(F$5*8),IF(D3286=3,(2*(D3266+G3266))-(F$5*8)+(G3266-2*F$5),IF(D3286=4,(2*(D3266+G3266))-(F$5*8)+2*(G3266-2*F$5)))))/1000</f>
        <v>0.88</v>
      </c>
      <c r="K3286" s="400" t="s">
        <v>204</v>
      </c>
      <c r="L3286" s="399">
        <f t="shared" si="10575"/>
        <v>0.15</v>
      </c>
      <c r="M3286" s="399" t="s">
        <v>176</v>
      </c>
      <c r="N3286" s="399">
        <f t="shared" si="10576"/>
        <v>1.03</v>
      </c>
      <c r="O3286" s="399"/>
      <c r="P3286" s="389"/>
      <c r="Q3286" s="399"/>
      <c r="R3286" s="399"/>
      <c r="S3286" s="399"/>
      <c r="T3286" s="399" t="s">
        <v>125</v>
      </c>
      <c r="U3286" s="401">
        <f t="shared" si="10577"/>
        <v>0.61650000000000005</v>
      </c>
      <c r="V3286" s="399" t="s">
        <v>125</v>
      </c>
      <c r="W3286" s="399">
        <f t="shared" ref="W3286" si="10583">IF(D3268-MAX(D3268/4,2*G3266)*2&gt;0,ROUND((D3268-MAX(D3268/4,2*G3266)*2)/H3286,0),0)</f>
        <v>1</v>
      </c>
      <c r="X3286" s="399" t="s">
        <v>125</v>
      </c>
      <c r="Y3286" s="389">
        <f t="shared" ref="Y3286" si="10584">D3271</f>
        <v>1</v>
      </c>
      <c r="Z3286" s="400" t="s">
        <v>176</v>
      </c>
      <c r="AA3286" s="402">
        <f t="shared" si="10580"/>
        <v>0.63499500000000009</v>
      </c>
      <c r="AB3286" s="403"/>
    </row>
    <row r="3287" spans="1:28">
      <c r="A3287" s="384" t="str">
        <f t="shared" ref="A3287:B3287" si="10585">A3265</f>
        <v>Lantai 2</v>
      </c>
      <c r="B3287" s="385">
        <f t="shared" si="10585"/>
        <v>22</v>
      </c>
      <c r="C3287" s="393" t="s">
        <v>211</v>
      </c>
      <c r="D3287" s="398">
        <f>VLOOKUP(D3265,'Detail Balok'!$C$10:$AU$140,41,FALSE)</f>
        <v>0</v>
      </c>
      <c r="E3287" s="388" t="s">
        <v>16</v>
      </c>
      <c r="F3287" s="388">
        <f>VLOOKUP(D3265,'Detail Balok'!$C$10:$AU$140,43,FALSE)</f>
        <v>10</v>
      </c>
      <c r="G3287" s="405" t="s">
        <v>157</v>
      </c>
      <c r="H3287" s="395">
        <f>VLOOKUP(D3265,'Detail Balok'!$C$10:$AU$140,45,FALSE)</f>
        <v>100</v>
      </c>
      <c r="I3287" s="388"/>
      <c r="J3287" s="400">
        <f t="shared" ref="J3287" si="10586">(IF(D3287=0,(2*(D3266+G3266))-(F$5*8),IF(D3287=3,(2*(D3266+G3266))-(F$5*8)+(G3266-2*F$5),IF(D3287=4,(2*(D3266+G3266))-(F$5*8)+2*(G3266-2*F$5)))))/1000</f>
        <v>0.88</v>
      </c>
      <c r="K3287" s="400" t="s">
        <v>204</v>
      </c>
      <c r="L3287" s="399">
        <f t="shared" si="10575"/>
        <v>0.15</v>
      </c>
      <c r="M3287" s="399" t="s">
        <v>176</v>
      </c>
      <c r="N3287" s="399">
        <f t="shared" si="10576"/>
        <v>1.03</v>
      </c>
      <c r="O3287" s="399"/>
      <c r="P3287" s="389"/>
      <c r="Q3287" s="399"/>
      <c r="R3287" s="399"/>
      <c r="S3287" s="399"/>
      <c r="T3287" s="399" t="s">
        <v>125</v>
      </c>
      <c r="U3287" s="401">
        <f t="shared" si="10577"/>
        <v>0.61650000000000005</v>
      </c>
      <c r="V3287" s="399" t="s">
        <v>125</v>
      </c>
      <c r="W3287" s="399">
        <f t="shared" ref="W3287" si="10587">IF(D3268&gt;4*G3266,ROUND(MAX(D3268/4,2*G3266)/H3287,0)+1,0)</f>
        <v>9</v>
      </c>
      <c r="X3287" s="399" t="s">
        <v>125</v>
      </c>
      <c r="Y3287" s="389">
        <f t="shared" ref="Y3287" si="10588">D3271</f>
        <v>1</v>
      </c>
      <c r="Z3287" s="400" t="s">
        <v>176</v>
      </c>
      <c r="AA3287" s="402">
        <f t="shared" si="10580"/>
        <v>5.7149550000000007</v>
      </c>
      <c r="AB3287" s="403"/>
    </row>
    <row r="3288" spans="1:28">
      <c r="A3288" s="384"/>
      <c r="B3288" s="385"/>
      <c r="C3288" s="393"/>
      <c r="D3288" s="394"/>
      <c r="E3288" s="388"/>
      <c r="F3288" s="388"/>
      <c r="G3288" s="388"/>
      <c r="H3288" s="395"/>
      <c r="I3288" s="388"/>
      <c r="J3288" s="399"/>
      <c r="K3288" s="396"/>
      <c r="L3288" s="396"/>
      <c r="M3288" s="396"/>
      <c r="N3288" s="396"/>
      <c r="O3288" s="396"/>
      <c r="P3288" s="389"/>
      <c r="Q3288" s="396"/>
      <c r="R3288" s="396"/>
      <c r="S3288" s="396"/>
      <c r="T3288" s="396"/>
      <c r="U3288" s="401"/>
      <c r="V3288" s="396"/>
      <c r="W3288" s="388"/>
      <c r="X3288" s="396"/>
      <c r="Y3288" s="389"/>
      <c r="Z3288" s="396"/>
      <c r="AA3288" s="388"/>
      <c r="AB3288" s="390"/>
    </row>
    <row r="3289" spans="1:28">
      <c r="A3289" s="384" t="str">
        <f t="shared" ref="A3289:B3289" si="10589">A3265</f>
        <v>Lantai 2</v>
      </c>
      <c r="B3289" s="385">
        <f t="shared" si="10589"/>
        <v>22</v>
      </c>
      <c r="C3289" s="393" t="s">
        <v>213</v>
      </c>
      <c r="D3289" s="398">
        <f>VLOOKUP(D3265,'Detail Balok'!$C$10:$BJ$140,46,FALSE)</f>
        <v>0</v>
      </c>
      <c r="E3289" s="388" t="s">
        <v>16</v>
      </c>
      <c r="F3289" s="388">
        <f>VLOOKUP(D3265,'Detail Balok'!$C$10:$BJ$140,48,FALSE)</f>
        <v>0</v>
      </c>
      <c r="G3289" s="405" t="s">
        <v>157</v>
      </c>
      <c r="H3289" s="395">
        <f>VLOOKUP(D3265,'Detail Balok'!$C$10:$BJ$140,50,FALSE)</f>
        <v>100</v>
      </c>
      <c r="I3289" s="388"/>
      <c r="J3289" s="399">
        <f t="shared" ref="J3289" si="10590">(D3266-2*F$5)/1000</f>
        <v>0.12</v>
      </c>
      <c r="K3289" s="400" t="s">
        <v>204</v>
      </c>
      <c r="L3289" s="399">
        <f t="shared" ref="L3289:L3291" si="10591">IF(D3289=0,2*MAX(6*F3289,75),(D3289-1)*2*MAX(6*F3289,75))/1000</f>
        <v>0.15</v>
      </c>
      <c r="M3289" s="399" t="s">
        <v>176</v>
      </c>
      <c r="N3289" s="399">
        <f t="shared" ref="N3289:N3291" si="10592">J3289+L3289</f>
        <v>0.27</v>
      </c>
      <c r="O3289" s="399"/>
      <c r="P3289" s="399"/>
      <c r="Q3289" s="399"/>
      <c r="R3289" s="399"/>
      <c r="S3289" s="399"/>
      <c r="T3289" s="399" t="s">
        <v>125</v>
      </c>
      <c r="U3289" s="401">
        <f t="shared" ref="U3289:U3291" si="10593">0.006165*F3289^2</f>
        <v>0</v>
      </c>
      <c r="V3289" s="399" t="s">
        <v>125</v>
      </c>
      <c r="W3289" s="399">
        <f t="shared" ref="W3289:W3291" si="10594">W3285</f>
        <v>9</v>
      </c>
      <c r="X3289" s="399" t="s">
        <v>125</v>
      </c>
      <c r="Y3289" s="389">
        <f t="shared" ref="Y3289" si="10595">D3275</f>
        <v>3</v>
      </c>
      <c r="Z3289" s="400" t="s">
        <v>176</v>
      </c>
      <c r="AA3289" s="402">
        <f t="shared" ref="AA3289:AA3291" si="10596">N3289*U3289*W3289*Y3289</f>
        <v>0</v>
      </c>
      <c r="AB3289" s="403"/>
    </row>
    <row r="3290" spans="1:28">
      <c r="A3290" s="384" t="str">
        <f t="shared" ref="A3290:B3290" si="10597">A3265</f>
        <v>Lantai 2</v>
      </c>
      <c r="B3290" s="385">
        <f t="shared" si="10597"/>
        <v>22</v>
      </c>
      <c r="C3290" s="393" t="s">
        <v>214</v>
      </c>
      <c r="D3290" s="398">
        <f>VLOOKUP(D3265,'Detail Balok'!$C$10:$BJ$140,51,FALSE)</f>
        <v>0</v>
      </c>
      <c r="E3290" s="388" t="s">
        <v>16</v>
      </c>
      <c r="F3290" s="388">
        <f>VLOOKUP(D3265,'Detail Balok'!$C$10:$BJ$140,53,FALSE)</f>
        <v>0</v>
      </c>
      <c r="G3290" s="405" t="s">
        <v>157</v>
      </c>
      <c r="H3290" s="395">
        <f>VLOOKUP(D3265,'Detail Balok'!$C$10:$BJ$140,55,FALSE)</f>
        <v>100</v>
      </c>
      <c r="I3290" s="388"/>
      <c r="J3290" s="399">
        <f t="shared" ref="J3290" si="10598">(D3266-2*F$5)/1000</f>
        <v>0.12</v>
      </c>
      <c r="K3290" s="400" t="s">
        <v>204</v>
      </c>
      <c r="L3290" s="399">
        <f t="shared" si="10591"/>
        <v>0.15</v>
      </c>
      <c r="M3290" s="399" t="s">
        <v>176</v>
      </c>
      <c r="N3290" s="399">
        <f t="shared" si="10592"/>
        <v>0.27</v>
      </c>
      <c r="O3290" s="399"/>
      <c r="P3290" s="399"/>
      <c r="Q3290" s="399"/>
      <c r="R3290" s="399"/>
      <c r="S3290" s="399"/>
      <c r="T3290" s="399" t="s">
        <v>125</v>
      </c>
      <c r="U3290" s="401">
        <f t="shared" si="10593"/>
        <v>0</v>
      </c>
      <c r="V3290" s="399" t="s">
        <v>125</v>
      </c>
      <c r="W3290" s="399">
        <f t="shared" si="10594"/>
        <v>1</v>
      </c>
      <c r="X3290" s="399" t="s">
        <v>125</v>
      </c>
      <c r="Y3290" s="389">
        <f t="shared" ref="Y3290" si="10599">D3275</f>
        <v>3</v>
      </c>
      <c r="Z3290" s="400" t="s">
        <v>176</v>
      </c>
      <c r="AA3290" s="402">
        <f t="shared" si="10596"/>
        <v>0</v>
      </c>
      <c r="AB3290" s="403"/>
    </row>
    <row r="3291" spans="1:28">
      <c r="A3291" s="384" t="str">
        <f t="shared" ref="A3291:B3291" si="10600">A3265</f>
        <v>Lantai 2</v>
      </c>
      <c r="B3291" s="385">
        <f t="shared" si="10600"/>
        <v>22</v>
      </c>
      <c r="C3291" s="393" t="s">
        <v>213</v>
      </c>
      <c r="D3291" s="398">
        <f>VLOOKUP(D3265,'Detail Balok'!$C$10:$BJ$140,56,FALSE)</f>
        <v>0</v>
      </c>
      <c r="E3291" s="388" t="s">
        <v>16</v>
      </c>
      <c r="F3291" s="388">
        <f>VLOOKUP(D3265,'Detail Balok'!$C$10:$BJ$140,58,FALSE)</f>
        <v>0</v>
      </c>
      <c r="G3291" s="405" t="s">
        <v>157</v>
      </c>
      <c r="H3291" s="395">
        <f>VLOOKUP(D3265,'Detail Balok'!$C$10:$BJ$140,60,FALSE)</f>
        <v>100</v>
      </c>
      <c r="I3291" s="388"/>
      <c r="J3291" s="399">
        <f t="shared" ref="J3291" si="10601">(D3266-2*F$5)/1000</f>
        <v>0.12</v>
      </c>
      <c r="K3291" s="400" t="s">
        <v>204</v>
      </c>
      <c r="L3291" s="399">
        <f t="shared" si="10591"/>
        <v>0.15</v>
      </c>
      <c r="M3291" s="399" t="s">
        <v>176</v>
      </c>
      <c r="N3291" s="399">
        <f t="shared" si="10592"/>
        <v>0.27</v>
      </c>
      <c r="O3291" s="399"/>
      <c r="P3291" s="399"/>
      <c r="Q3291" s="399"/>
      <c r="R3291" s="399"/>
      <c r="S3291" s="399"/>
      <c r="T3291" s="399" t="s">
        <v>125</v>
      </c>
      <c r="U3291" s="401">
        <f t="shared" si="10593"/>
        <v>0</v>
      </c>
      <c r="V3291" s="399" t="s">
        <v>125</v>
      </c>
      <c r="W3291" s="399">
        <f t="shared" si="10594"/>
        <v>9</v>
      </c>
      <c r="X3291" s="399" t="s">
        <v>125</v>
      </c>
      <c r="Y3291" s="389">
        <f t="shared" ref="Y3291" si="10602">D3275</f>
        <v>3</v>
      </c>
      <c r="Z3291" s="400" t="s">
        <v>176</v>
      </c>
      <c r="AA3291" s="402">
        <f t="shared" si="10596"/>
        <v>0</v>
      </c>
      <c r="AB3291" s="403"/>
    </row>
    <row r="3292" spans="1:28">
      <c r="A3292" s="391"/>
      <c r="B3292" s="392"/>
      <c r="C3292" s="392"/>
      <c r="D3292" s="394"/>
      <c r="E3292" s="388"/>
      <c r="F3292" s="388"/>
      <c r="G3292" s="388"/>
      <c r="H3292" s="395"/>
      <c r="I3292" s="388"/>
      <c r="J3292" s="402"/>
      <c r="K3292" s="388"/>
      <c r="L3292" s="388"/>
      <c r="M3292" s="388"/>
      <c r="N3292" s="388"/>
      <c r="O3292" s="388"/>
      <c r="P3292" s="388"/>
      <c r="Q3292" s="388"/>
      <c r="R3292" s="388"/>
      <c r="S3292" s="388"/>
      <c r="T3292" s="388"/>
      <c r="U3292" s="388"/>
      <c r="V3292" s="388"/>
      <c r="W3292" s="388"/>
      <c r="X3292" s="388"/>
      <c r="Y3292" s="389"/>
      <c r="Z3292" s="388"/>
      <c r="AA3292" s="402"/>
      <c r="AB3292" s="403"/>
    </row>
    <row r="3293" spans="1:28" ht="15.75" thickBot="1">
      <c r="A3293" s="406"/>
      <c r="B3293" s="407"/>
      <c r="C3293" s="407"/>
      <c r="D3293" s="408"/>
      <c r="E3293" s="409"/>
      <c r="F3293" s="409"/>
      <c r="G3293" s="409"/>
      <c r="H3293" s="410"/>
      <c r="I3293" s="409"/>
      <c r="J3293" s="409"/>
      <c r="K3293" s="409"/>
      <c r="L3293" s="409"/>
      <c r="M3293" s="409"/>
      <c r="N3293" s="409"/>
      <c r="O3293" s="409"/>
      <c r="P3293" s="409"/>
      <c r="Q3293" s="409"/>
      <c r="R3293" s="409"/>
      <c r="S3293" s="409"/>
      <c r="T3293" s="409"/>
      <c r="U3293" s="409"/>
      <c r="V3293" s="409"/>
      <c r="W3293" s="409"/>
      <c r="X3293" s="409"/>
      <c r="Y3293" s="411"/>
      <c r="Z3293" s="409"/>
      <c r="AA3293" s="412"/>
      <c r="AB3293" s="413"/>
    </row>
    <row r="3294" spans="1:28">
      <c r="A3294" s="377"/>
      <c r="B3294" s="378"/>
      <c r="C3294" s="378"/>
      <c r="D3294" s="379"/>
      <c r="E3294" s="380"/>
      <c r="F3294" s="380"/>
      <c r="G3294" s="380"/>
      <c r="H3294" s="381"/>
      <c r="I3294" s="380"/>
      <c r="J3294" s="380"/>
      <c r="K3294" s="380"/>
      <c r="L3294" s="380"/>
      <c r="M3294" s="380"/>
      <c r="N3294" s="380"/>
      <c r="O3294" s="380"/>
      <c r="P3294" s="380"/>
      <c r="Q3294" s="380"/>
      <c r="R3294" s="380"/>
      <c r="S3294" s="380"/>
      <c r="T3294" s="380"/>
      <c r="U3294" s="380"/>
      <c r="V3294" s="380"/>
      <c r="W3294" s="380"/>
      <c r="X3294" s="380"/>
      <c r="Y3294" s="382"/>
      <c r="Z3294" s="380"/>
      <c r="AA3294" s="380"/>
      <c r="AB3294" s="383"/>
    </row>
    <row r="3295" spans="1:28">
      <c r="A3295" s="384" t="str">
        <f t="shared" si="10498"/>
        <v>Lantai 2</v>
      </c>
      <c r="B3295" s="385">
        <f t="shared" si="10499"/>
        <v>23</v>
      </c>
      <c r="C3295" s="386" t="str">
        <f t="shared" ref="C3295" si="10603">CONCATENATE(A3295," no. ",B3295)</f>
        <v>Lantai 2 no. 23</v>
      </c>
      <c r="D3295" s="2562" t="str">
        <f>VLOOKUP(C3295,'Data Panjang Balok'!$C$9:$N$254,2,FALSE)</f>
        <v>CL24-1</v>
      </c>
      <c r="E3295" s="2576"/>
      <c r="F3295" s="2576"/>
      <c r="G3295" s="2576"/>
      <c r="H3295" s="2577"/>
      <c r="I3295" s="387"/>
      <c r="J3295" s="388"/>
      <c r="K3295" s="388"/>
      <c r="L3295" s="388"/>
      <c r="M3295" s="388"/>
      <c r="N3295" s="388"/>
      <c r="O3295" s="388"/>
      <c r="P3295" s="388"/>
      <c r="Q3295" s="388"/>
      <c r="R3295" s="388"/>
      <c r="S3295" s="388"/>
      <c r="T3295" s="388"/>
      <c r="U3295" s="388"/>
      <c r="V3295" s="388"/>
      <c r="W3295" s="388"/>
      <c r="X3295" s="388"/>
      <c r="Y3295" s="389"/>
      <c r="Z3295" s="388"/>
      <c r="AA3295" s="388"/>
      <c r="AB3295" s="390"/>
    </row>
    <row r="3296" spans="1:28">
      <c r="A3296" s="391"/>
      <c r="B3296" s="392"/>
      <c r="C3296" s="393" t="s">
        <v>118</v>
      </c>
      <c r="D3296" s="2578">
        <f>VLOOKUP(D3295,'Detail Balok'!$C$10:$AU$140,2,FALSE)</f>
        <v>200</v>
      </c>
      <c r="E3296" s="2579"/>
      <c r="F3296" s="388" t="s">
        <v>125</v>
      </c>
      <c r="G3296" s="2579">
        <f>VLOOKUP(D3295,'Detail Balok'!$C$10:$AU$140,3,FALSE)</f>
        <v>400</v>
      </c>
      <c r="H3296" s="2580"/>
      <c r="I3296" s="388"/>
      <c r="J3296" s="396"/>
      <c r="K3296" s="396"/>
      <c r="L3296" s="396"/>
      <c r="M3296" s="396"/>
      <c r="N3296" s="396"/>
      <c r="O3296" s="396"/>
      <c r="P3296" s="396"/>
      <c r="Q3296" s="396"/>
      <c r="R3296" s="396"/>
      <c r="S3296" s="396"/>
      <c r="T3296" s="396"/>
      <c r="U3296" s="388"/>
      <c r="V3296" s="396"/>
      <c r="W3296" s="388"/>
      <c r="X3296" s="396"/>
      <c r="Y3296" s="389"/>
      <c r="Z3296" s="396"/>
      <c r="AA3296" s="388"/>
      <c r="AB3296" s="390"/>
    </row>
    <row r="3297" spans="1:28">
      <c r="A3297" s="391"/>
      <c r="B3297" s="392"/>
      <c r="C3297" s="393" t="s">
        <v>198</v>
      </c>
      <c r="D3297" s="2562">
        <f>VLOOKUP(C3295,'Data Panjang Balok'!$C$9:$N$254,4,FALSE)</f>
        <v>3010</v>
      </c>
      <c r="E3297" s="2563"/>
      <c r="F3297" s="2563"/>
      <c r="G3297" s="2563"/>
      <c r="H3297" s="2564"/>
      <c r="I3297" s="397"/>
      <c r="J3297" s="396"/>
      <c r="K3297" s="396"/>
      <c r="L3297" s="396"/>
      <c r="M3297" s="396"/>
      <c r="N3297" s="396"/>
      <c r="O3297" s="396"/>
      <c r="P3297" s="396"/>
      <c r="Q3297" s="396"/>
      <c r="R3297" s="396"/>
      <c r="S3297" s="396"/>
      <c r="T3297" s="396"/>
      <c r="U3297" s="388"/>
      <c r="V3297" s="396"/>
      <c r="W3297" s="388"/>
      <c r="X3297" s="396"/>
      <c r="Y3297" s="389"/>
      <c r="Z3297" s="396"/>
      <c r="AA3297" s="388"/>
      <c r="AB3297" s="390"/>
    </row>
    <row r="3298" spans="1:28">
      <c r="A3298" s="391"/>
      <c r="B3298" s="392"/>
      <c r="C3298" s="393" t="s">
        <v>199</v>
      </c>
      <c r="D3298" s="2562">
        <f>VLOOKUP(C3295,'Data Panjang Balok'!$C$9:$N$254,7,FALSE)</f>
        <v>3010</v>
      </c>
      <c r="E3298" s="2563"/>
      <c r="F3298" s="2563"/>
      <c r="G3298" s="2563"/>
      <c r="H3298" s="2564"/>
      <c r="I3298" s="397"/>
      <c r="J3298" s="396"/>
      <c r="K3298" s="396"/>
      <c r="L3298" s="396"/>
      <c r="M3298" s="396"/>
      <c r="N3298" s="396"/>
      <c r="O3298" s="396"/>
      <c r="P3298" s="396"/>
      <c r="Q3298" s="396"/>
      <c r="R3298" s="396"/>
      <c r="S3298" s="396"/>
      <c r="T3298" s="396"/>
      <c r="U3298" s="388"/>
      <c r="V3298" s="396"/>
      <c r="W3298" s="388"/>
      <c r="X3298" s="396"/>
      <c r="Y3298" s="389"/>
      <c r="Z3298" s="396"/>
      <c r="AA3298" s="388"/>
      <c r="AB3298" s="390"/>
    </row>
    <row r="3299" spans="1:28">
      <c r="A3299" s="391"/>
      <c r="B3299" s="392"/>
      <c r="C3299" s="393" t="s">
        <v>200</v>
      </c>
      <c r="D3299" s="2562">
        <f>VLOOKUP(C3295,'Data Panjang Balok'!$C$9:$N$254,9,FALSE)</f>
        <v>0</v>
      </c>
      <c r="E3299" s="2563"/>
      <c r="F3299" s="2563"/>
      <c r="G3299" s="2563"/>
      <c r="H3299" s="2564"/>
      <c r="I3299" s="397"/>
      <c r="J3299" s="396"/>
      <c r="K3299" s="396"/>
      <c r="L3299" s="396"/>
      <c r="M3299" s="396"/>
      <c r="N3299" s="396"/>
      <c r="O3299" s="396"/>
      <c r="P3299" s="396"/>
      <c r="Q3299" s="396"/>
      <c r="R3299" s="396"/>
      <c r="S3299" s="396"/>
      <c r="T3299" s="396"/>
      <c r="U3299" s="388"/>
      <c r="V3299" s="396"/>
      <c r="W3299" s="388"/>
      <c r="X3299" s="396"/>
      <c r="Y3299" s="389"/>
      <c r="Z3299" s="396"/>
      <c r="AA3299" s="388"/>
      <c r="AB3299" s="390"/>
    </row>
    <row r="3300" spans="1:28">
      <c r="A3300" s="391"/>
      <c r="B3300" s="392"/>
      <c r="C3300" s="393" t="s">
        <v>201</v>
      </c>
      <c r="D3300" s="2562">
        <f>VLOOKUP(C3295,'Data Panjang Balok'!$C$9:$N$254,10,FALSE)</f>
        <v>0</v>
      </c>
      <c r="E3300" s="2563"/>
      <c r="F3300" s="2563"/>
      <c r="G3300" s="2563"/>
      <c r="H3300" s="2564"/>
      <c r="I3300" s="397"/>
      <c r="J3300" s="396"/>
      <c r="K3300" s="396"/>
      <c r="L3300" s="396"/>
      <c r="M3300" s="396"/>
      <c r="N3300" s="396"/>
      <c r="O3300" s="396"/>
      <c r="P3300" s="396"/>
      <c r="Q3300" s="396"/>
      <c r="R3300" s="396"/>
      <c r="S3300" s="396"/>
      <c r="T3300" s="396"/>
      <c r="U3300" s="388"/>
      <c r="V3300" s="396"/>
      <c r="W3300" s="388"/>
      <c r="X3300" s="396"/>
      <c r="Y3300" s="389"/>
      <c r="Z3300" s="396"/>
      <c r="AA3300" s="388"/>
      <c r="AB3300" s="390"/>
    </row>
    <row r="3301" spans="1:28">
      <c r="A3301" s="391"/>
      <c r="B3301" s="392"/>
      <c r="C3301" s="393" t="s">
        <v>48</v>
      </c>
      <c r="D3301" s="2562">
        <f>VLOOKUP(C3295,'Data Panjang Balok'!$C$9:$N$254,3,FALSE)</f>
        <v>1</v>
      </c>
      <c r="E3301" s="2563"/>
      <c r="F3301" s="2563"/>
      <c r="G3301" s="2563"/>
      <c r="H3301" s="2564"/>
      <c r="I3301" s="397"/>
      <c r="J3301" s="396"/>
      <c r="K3301" s="396"/>
      <c r="L3301" s="396"/>
      <c r="M3301" s="396"/>
      <c r="N3301" s="396"/>
      <c r="O3301" s="396"/>
      <c r="P3301" s="396"/>
      <c r="Q3301" s="396"/>
      <c r="R3301" s="396"/>
      <c r="S3301" s="396"/>
      <c r="T3301" s="396"/>
      <c r="U3301" s="388"/>
      <c r="V3301" s="396"/>
      <c r="W3301" s="388"/>
      <c r="X3301" s="396"/>
      <c r="Y3301" s="389"/>
      <c r="Z3301" s="396"/>
      <c r="AA3301" s="388"/>
      <c r="AB3301" s="390"/>
    </row>
    <row r="3302" spans="1:28">
      <c r="A3302" s="384" t="str">
        <f t="shared" ref="A3302:B3302" si="10604">A3295</f>
        <v>Lantai 2</v>
      </c>
      <c r="B3302" s="385">
        <f t="shared" si="10604"/>
        <v>23</v>
      </c>
      <c r="C3302" s="393" t="s">
        <v>202</v>
      </c>
      <c r="D3302" s="398">
        <f>VLOOKUP(D3295,'Detail Balok'!$C$10:$AU$140,4,FALSE)</f>
        <v>3</v>
      </c>
      <c r="E3302" s="388" t="s">
        <v>16</v>
      </c>
      <c r="F3302" s="388">
        <f>VLOOKUP(D3295,'Detail Balok'!$C$10:$AU$140,6,FALSE)</f>
        <v>16</v>
      </c>
      <c r="G3302" s="388"/>
      <c r="H3302" s="395"/>
      <c r="I3302" s="388" t="s">
        <v>203</v>
      </c>
      <c r="J3302" s="399">
        <f t="shared" ref="J3302" si="10605">+D3297/4/1000</f>
        <v>0.75249999999999995</v>
      </c>
      <c r="K3302" s="400" t="s">
        <v>204</v>
      </c>
      <c r="L3302" s="399">
        <f t="shared" ref="L3302" si="10606">MAX(VLOOKUP(F3302,N$6:P$15,3,FALSE)/1000,2/3*D3299/1000)+F$16*F3302/1000</f>
        <v>0.192</v>
      </c>
      <c r="M3302" s="399" t="s">
        <v>176</v>
      </c>
      <c r="N3302" s="399">
        <f t="shared" ref="N3302:N3304" si="10607">J3302+L3302</f>
        <v>0.9444999999999999</v>
      </c>
      <c r="O3302" s="399" t="s">
        <v>204</v>
      </c>
      <c r="P3302" s="389">
        <f t="shared" ref="P3302" si="10608">D3302-D3303</f>
        <v>0</v>
      </c>
      <c r="Q3302" s="399" t="s">
        <v>125</v>
      </c>
      <c r="R3302" s="399">
        <f t="shared" ref="R3302" si="10609">IF(P3302&gt;0,$F$18*F3302/1000,0)</f>
        <v>0</v>
      </c>
      <c r="S3302" s="399" t="s">
        <v>205</v>
      </c>
      <c r="T3302" s="399" t="s">
        <v>125</v>
      </c>
      <c r="U3302" s="401">
        <f t="shared" ref="U3302:U3304" si="10610">0.006165*F3302^2</f>
        <v>1.5782400000000001</v>
      </c>
      <c r="V3302" s="399"/>
      <c r="W3302" s="399"/>
      <c r="X3302" s="399" t="s">
        <v>125</v>
      </c>
      <c r="Y3302" s="389">
        <f t="shared" ref="Y3302" si="10611">D3301</f>
        <v>1</v>
      </c>
      <c r="Z3302" s="400" t="s">
        <v>176</v>
      </c>
      <c r="AA3302" s="402">
        <f t="shared" ref="AA3302" si="10612">IF(AA3305=0,(D3302*N3302+P3302*R3302)*U3302*Y3302,0)</f>
        <v>0</v>
      </c>
      <c r="AB3302" s="403"/>
    </row>
    <row r="3303" spans="1:28">
      <c r="A3303" s="384" t="str">
        <f t="shared" ref="A3303:B3303" si="10613">A3295</f>
        <v>Lantai 2</v>
      </c>
      <c r="B3303" s="385">
        <f t="shared" si="10613"/>
        <v>23</v>
      </c>
      <c r="C3303" s="393" t="s">
        <v>206</v>
      </c>
      <c r="D3303" s="398">
        <f>VLOOKUP(D3295,'Detail Balok'!$C$10:$AU$140,7,FALSE)</f>
        <v>3</v>
      </c>
      <c r="E3303" s="388" t="s">
        <v>16</v>
      </c>
      <c r="F3303" s="388">
        <f>VLOOKUP(D3295,'Detail Balok'!$C$10:$AU$140,9,FALSE)</f>
        <v>16</v>
      </c>
      <c r="G3303" s="388"/>
      <c r="H3303" s="395"/>
      <c r="I3303" s="388" t="s">
        <v>203</v>
      </c>
      <c r="J3303" s="399">
        <f t="shared" ref="J3303" si="10614">+D3297/2/1000</f>
        <v>1.5049999999999999</v>
      </c>
      <c r="K3303" s="400" t="s">
        <v>204</v>
      </c>
      <c r="L3303" s="399"/>
      <c r="M3303" s="399" t="s">
        <v>176</v>
      </c>
      <c r="N3303" s="399">
        <f t="shared" si="10607"/>
        <v>1.5049999999999999</v>
      </c>
      <c r="O3303" s="399" t="s">
        <v>204</v>
      </c>
      <c r="P3303" s="389">
        <f t="shared" ref="P3303" si="10615">MAX(D3303-D3302,D3303-D3304)</f>
        <v>0</v>
      </c>
      <c r="Q3303" s="399" t="s">
        <v>125</v>
      </c>
      <c r="R3303" s="399">
        <f t="shared" ref="R3303" si="10616">IF(P3303&gt;0,2*(1-2*$F$19-1/2)*D3298/1000,0)</f>
        <v>0</v>
      </c>
      <c r="S3303" s="399" t="s">
        <v>205</v>
      </c>
      <c r="T3303" s="399" t="s">
        <v>125</v>
      </c>
      <c r="U3303" s="401">
        <f t="shared" si="10610"/>
        <v>1.5782400000000001</v>
      </c>
      <c r="V3303" s="399"/>
      <c r="W3303" s="399"/>
      <c r="X3303" s="399" t="s">
        <v>125</v>
      </c>
      <c r="Y3303" s="389">
        <f t="shared" ref="Y3303" si="10617">D3301</f>
        <v>1</v>
      </c>
      <c r="Z3303" s="400" t="s">
        <v>176</v>
      </c>
      <c r="AA3303" s="402">
        <f t="shared" ref="AA3303" si="10618">IF(AA3305=0,(D3303*N3303+P3303*R3303)*U3303*Y3303,0)</f>
        <v>0</v>
      </c>
      <c r="AB3303" s="403"/>
    </row>
    <row r="3304" spans="1:28">
      <c r="A3304" s="384" t="str">
        <f t="shared" ref="A3304:B3304" si="10619">A3295</f>
        <v>Lantai 2</v>
      </c>
      <c r="B3304" s="385">
        <f t="shared" si="10619"/>
        <v>23</v>
      </c>
      <c r="C3304" s="393" t="s">
        <v>202</v>
      </c>
      <c r="D3304" s="398">
        <f>VLOOKUP(D3295,'Detail Balok'!$C$10:$AU$140,10,FALSE)</f>
        <v>3</v>
      </c>
      <c r="E3304" s="388" t="s">
        <v>16</v>
      </c>
      <c r="F3304" s="388">
        <f>VLOOKUP(D3295,'Detail Balok'!$C$10:$AU$140,12,FALSE)</f>
        <v>16</v>
      </c>
      <c r="G3304" s="388"/>
      <c r="H3304" s="395"/>
      <c r="I3304" s="388" t="s">
        <v>203</v>
      </c>
      <c r="J3304" s="399">
        <f t="shared" ref="J3304" si="10620">+D3297/4/1000</f>
        <v>0.75249999999999995</v>
      </c>
      <c r="K3304" s="400" t="s">
        <v>204</v>
      </c>
      <c r="L3304" s="399">
        <f t="shared" ref="L3304" si="10621">MAX(VLOOKUP(F3304,N$6:P$15,3,FALSE)/1000,2/3*D3299/1000)+F$16*F3304/1000</f>
        <v>0.192</v>
      </c>
      <c r="M3304" s="399" t="s">
        <v>176</v>
      </c>
      <c r="N3304" s="399">
        <f t="shared" si="10607"/>
        <v>0.9444999999999999</v>
      </c>
      <c r="O3304" s="399" t="s">
        <v>204</v>
      </c>
      <c r="P3304" s="389">
        <f t="shared" ref="P3304" si="10622">D3304-D3303</f>
        <v>0</v>
      </c>
      <c r="Q3304" s="399" t="s">
        <v>125</v>
      </c>
      <c r="R3304" s="399">
        <f t="shared" ref="R3304" si="10623">IF(P3304&gt;0,$F$18*F3304/1000,0)</f>
        <v>0</v>
      </c>
      <c r="S3304" s="399" t="s">
        <v>205</v>
      </c>
      <c r="T3304" s="399" t="s">
        <v>125</v>
      </c>
      <c r="U3304" s="401">
        <f t="shared" si="10610"/>
        <v>1.5782400000000001</v>
      </c>
      <c r="V3304" s="399"/>
      <c r="W3304" s="399"/>
      <c r="X3304" s="399" t="s">
        <v>125</v>
      </c>
      <c r="Y3304" s="389">
        <f t="shared" ref="Y3304" si="10624">D3301</f>
        <v>1</v>
      </c>
      <c r="Z3304" s="400" t="s">
        <v>176</v>
      </c>
      <c r="AA3304" s="402">
        <f t="shared" ref="AA3304" si="10625">IF(AA3305=0,(D3304*N3304+P3304*R3304)*U3304*Y3304,0)</f>
        <v>0</v>
      </c>
      <c r="AB3304" s="403"/>
    </row>
    <row r="3305" spans="1:28">
      <c r="A3305" s="384" t="str">
        <f t="shared" ref="A3305:B3305" si="10626">A3295</f>
        <v>Lantai 2</v>
      </c>
      <c r="B3305" s="385">
        <f t="shared" si="10626"/>
        <v>23</v>
      </c>
      <c r="C3305" s="393"/>
      <c r="D3305" s="398">
        <f t="shared" ref="D3305:D3365" si="10627">IF(AND(D3302=D3303,D3303=D3304,D3302=D3304),D3302,0)</f>
        <v>3</v>
      </c>
      <c r="E3305" s="388" t="s">
        <v>16</v>
      </c>
      <c r="F3305" s="388">
        <f t="shared" ref="F3305:F3365" si="10628">IF(AND(F3302=F3303,F3302=F3304,F3303=F3304),F3302,0)</f>
        <v>16</v>
      </c>
      <c r="G3305" s="388"/>
      <c r="H3305" s="395"/>
      <c r="I3305" s="388"/>
      <c r="J3305" s="396"/>
      <c r="K3305" s="396"/>
      <c r="L3305" s="404" t="s">
        <v>207</v>
      </c>
      <c r="M3305" s="399" t="s">
        <v>176</v>
      </c>
      <c r="N3305" s="399">
        <f t="shared" ref="N3305" si="10629">IF(AND(D3302=D3303,D3302=D3304,D3303=D3304,F3302=F3303,F3302=F3304,F3303=F3304),SUM(N3302:N3304),0)</f>
        <v>3.3939999999999992</v>
      </c>
      <c r="O3305" s="399" t="s">
        <v>204</v>
      </c>
      <c r="P3305" s="389">
        <f t="shared" ref="P3305" si="10630">IF(N3305&gt;12,ROUNDDOWN(N3305/12,0),0)</f>
        <v>0</v>
      </c>
      <c r="Q3305" s="399" t="s">
        <v>125</v>
      </c>
      <c r="R3305" s="399">
        <f t="shared" ref="R3305" si="10631">IF(P3305&gt;0,MAX(VLOOKUP(F3305,$D$6:$G$15,3,FALSE),600),0)/1000</f>
        <v>0</v>
      </c>
      <c r="S3305" s="396"/>
      <c r="T3305" s="396" t="s">
        <v>125</v>
      </c>
      <c r="U3305" s="401">
        <f t="shared" ref="U3305:U3365" si="10632">U3304</f>
        <v>1.5782400000000001</v>
      </c>
      <c r="V3305" s="396" t="s">
        <v>125</v>
      </c>
      <c r="W3305" s="399">
        <f t="shared" ref="W3305" si="10633">D3305</f>
        <v>3</v>
      </c>
      <c r="X3305" s="399" t="s">
        <v>125</v>
      </c>
      <c r="Y3305" s="389">
        <f t="shared" ref="Y3305:Y3365" si="10634">Y3304</f>
        <v>1</v>
      </c>
      <c r="Z3305" s="400" t="s">
        <v>176</v>
      </c>
      <c r="AA3305" s="402">
        <f t="shared" ref="AA3305" si="10635">(N3305+P3305*R3305/1000)*U3305*W3305*Y3305</f>
        <v>16.069639679999998</v>
      </c>
      <c r="AB3305" s="390"/>
    </row>
    <row r="3306" spans="1:28">
      <c r="A3306" s="384"/>
      <c r="B3306" s="385"/>
      <c r="C3306" s="393"/>
      <c r="D3306" s="398"/>
      <c r="E3306" s="388"/>
      <c r="F3306" s="388"/>
      <c r="G3306" s="388"/>
      <c r="H3306" s="395"/>
      <c r="I3306" s="388"/>
      <c r="J3306" s="396"/>
      <c r="K3306" s="396"/>
      <c r="L3306" s="404"/>
      <c r="M3306" s="399"/>
      <c r="N3306" s="399"/>
      <c r="O3306" s="396"/>
      <c r="P3306" s="389"/>
      <c r="Q3306" s="396"/>
      <c r="R3306" s="396"/>
      <c r="S3306" s="396"/>
      <c r="T3306" s="396"/>
      <c r="U3306" s="401"/>
      <c r="V3306" s="396"/>
      <c r="W3306" s="399"/>
      <c r="X3306" s="396"/>
      <c r="Y3306" s="389"/>
      <c r="Z3306" s="396"/>
      <c r="AA3306" s="388"/>
      <c r="AB3306" s="390"/>
    </row>
    <row r="3307" spans="1:28">
      <c r="A3307" s="384" t="str">
        <f t="shared" ref="A3307:B3307" si="10636">A3295</f>
        <v>Lantai 2</v>
      </c>
      <c r="B3307" s="385">
        <f t="shared" si="10636"/>
        <v>23</v>
      </c>
      <c r="C3307" s="393" t="s">
        <v>208</v>
      </c>
      <c r="D3307" s="398">
        <f>VLOOKUP(D3295,'Detail Balok'!$C$10:$AU$140,13,FALSE)</f>
        <v>0</v>
      </c>
      <c r="E3307" s="388" t="s">
        <v>16</v>
      </c>
      <c r="F3307" s="388">
        <f>VLOOKUP(D3295,'Detail Balok'!$C$10:$AU$140,15,FALSE)</f>
        <v>8</v>
      </c>
      <c r="G3307" s="388"/>
      <c r="H3307" s="395"/>
      <c r="I3307" s="388"/>
      <c r="J3307" s="399">
        <f t="shared" ref="J3307" si="10637">+D3297/1000</f>
        <v>3.01</v>
      </c>
      <c r="K3307" s="400" t="s">
        <v>204</v>
      </c>
      <c r="L3307" s="399">
        <f t="shared" ref="L3307" si="10638">2*$F$16*F3307/1000</f>
        <v>0.192</v>
      </c>
      <c r="M3307" s="399" t="s">
        <v>176</v>
      </c>
      <c r="N3307" s="399">
        <f t="shared" ref="N3307" si="10639">J3307+L3307</f>
        <v>3.202</v>
      </c>
      <c r="O3307" s="399" t="s">
        <v>204</v>
      </c>
      <c r="P3307" s="389">
        <f t="shared" ref="P3307" si="10640">IF(N3307&gt;12,ROUNDDOWN(N3307/12,0),0)</f>
        <v>0</v>
      </c>
      <c r="Q3307" s="399" t="s">
        <v>125</v>
      </c>
      <c r="R3307" s="399">
        <f t="shared" ref="R3307" si="10641">IF(P3307&gt;0,MAX(VLOOKUP(F3307,$D$6:$G$15,3,FALSE),600),0)/1000</f>
        <v>0</v>
      </c>
      <c r="S3307" s="399"/>
      <c r="T3307" s="399" t="s">
        <v>125</v>
      </c>
      <c r="U3307" s="401">
        <f t="shared" ref="U3307" si="10642">0.006165*F3307^2</f>
        <v>0.39456000000000002</v>
      </c>
      <c r="V3307" s="399" t="s">
        <v>125</v>
      </c>
      <c r="W3307" s="399">
        <f t="shared" ref="W3307" si="10643">+D3307</f>
        <v>0</v>
      </c>
      <c r="X3307" s="399" t="s">
        <v>125</v>
      </c>
      <c r="Y3307" s="389">
        <f t="shared" ref="Y3307" si="10644">D3301</f>
        <v>1</v>
      </c>
      <c r="Z3307" s="400" t="s">
        <v>176</v>
      </c>
      <c r="AA3307" s="402">
        <f t="shared" ref="AA3307" si="10645">(N3307+P3307*R3307/1000)*U3307*W3307*Y3307</f>
        <v>0</v>
      </c>
      <c r="AB3307" s="403"/>
    </row>
    <row r="3308" spans="1:28">
      <c r="A3308" s="384"/>
      <c r="B3308" s="385"/>
      <c r="C3308" s="393"/>
      <c r="D3308" s="398"/>
      <c r="E3308" s="388"/>
      <c r="F3308" s="388"/>
      <c r="G3308" s="388"/>
      <c r="H3308" s="395"/>
      <c r="I3308" s="388"/>
      <c r="J3308" s="399"/>
      <c r="K3308" s="400"/>
      <c r="L3308" s="399"/>
      <c r="M3308" s="399"/>
      <c r="N3308" s="399"/>
      <c r="O3308" s="399"/>
      <c r="P3308" s="389"/>
      <c r="Q3308" s="399"/>
      <c r="R3308" s="399"/>
      <c r="S3308" s="399"/>
      <c r="T3308" s="399"/>
      <c r="U3308" s="401"/>
      <c r="V3308" s="399"/>
      <c r="W3308" s="399"/>
      <c r="X3308" s="399"/>
      <c r="Y3308" s="389"/>
      <c r="Z3308" s="400"/>
      <c r="AA3308" s="402"/>
      <c r="AB3308" s="403"/>
    </row>
    <row r="3309" spans="1:28">
      <c r="A3309" s="384"/>
      <c r="B3309" s="385"/>
      <c r="C3309" s="393"/>
      <c r="D3309" s="398"/>
      <c r="E3309" s="388"/>
      <c r="F3309" s="388"/>
      <c r="G3309" s="388"/>
      <c r="H3309" s="395"/>
      <c r="I3309" s="388"/>
      <c r="J3309" s="396"/>
      <c r="K3309" s="396"/>
      <c r="L3309" s="396"/>
      <c r="M3309" s="396"/>
      <c r="N3309" s="396"/>
      <c r="O3309" s="396"/>
      <c r="P3309" s="389"/>
      <c r="Q3309" s="396"/>
      <c r="R3309" s="396"/>
      <c r="S3309" s="396"/>
      <c r="T3309" s="396"/>
      <c r="U3309" s="401"/>
      <c r="V3309" s="396"/>
      <c r="W3309" s="399"/>
      <c r="X3309" s="396"/>
      <c r="Y3309" s="389"/>
      <c r="Z3309" s="396"/>
      <c r="AA3309" s="388"/>
      <c r="AB3309" s="390"/>
    </row>
    <row r="3310" spans="1:28">
      <c r="A3310" s="384" t="str">
        <f t="shared" ref="A3310:B3310" si="10646">A3295</f>
        <v>Lantai 2</v>
      </c>
      <c r="B3310" s="385">
        <f t="shared" si="10646"/>
        <v>23</v>
      </c>
      <c r="C3310" s="393" t="s">
        <v>209</v>
      </c>
      <c r="D3310" s="398">
        <f>VLOOKUP(D3295,'Detail Balok'!$C$10:$AU$140,22,FALSE)</f>
        <v>3</v>
      </c>
      <c r="E3310" s="388" t="s">
        <v>16</v>
      </c>
      <c r="F3310" s="388">
        <f>VLOOKUP(D3295,'Detail Balok'!$C$10:$AU$140,24,FALSE)</f>
        <v>16</v>
      </c>
      <c r="G3310" s="388"/>
      <c r="H3310" s="395"/>
      <c r="I3310" s="388" t="s">
        <v>203</v>
      </c>
      <c r="J3310" s="399">
        <f t="shared" ref="J3310:J3372" si="10647">+J3302</f>
        <v>0.75249999999999995</v>
      </c>
      <c r="K3310" s="400" t="s">
        <v>204</v>
      </c>
      <c r="L3310" s="399">
        <f t="shared" ref="L3310" si="10648">MAX(VLOOKUP(F3310,N$6:P$15,3,FALSE)/1000,2/3*D3300/1000)+F$16*F3310/1000</f>
        <v>0.192</v>
      </c>
      <c r="M3310" s="399" t="s">
        <v>176</v>
      </c>
      <c r="N3310" s="399">
        <f t="shared" ref="N3310:N3312" si="10649">J3310+L3310</f>
        <v>0.9444999999999999</v>
      </c>
      <c r="O3310" s="399" t="s">
        <v>204</v>
      </c>
      <c r="P3310" s="389">
        <f t="shared" ref="P3310" si="10650">D3310-D3311</f>
        <v>0</v>
      </c>
      <c r="Q3310" s="399" t="s">
        <v>125</v>
      </c>
      <c r="R3310" s="399">
        <f t="shared" ref="R3310" si="10651">IF(P3310&gt;0,$F$18*F3310/1000,0)</f>
        <v>0</v>
      </c>
      <c r="S3310" s="399" t="s">
        <v>205</v>
      </c>
      <c r="T3310" s="399" t="s">
        <v>125</v>
      </c>
      <c r="U3310" s="401">
        <f t="shared" ref="U3310:U3312" si="10652">0.006165*F3310^2</f>
        <v>1.5782400000000001</v>
      </c>
      <c r="V3310" s="399"/>
      <c r="W3310" s="399"/>
      <c r="X3310" s="399" t="s">
        <v>125</v>
      </c>
      <c r="Y3310" s="389">
        <f t="shared" ref="Y3310" si="10653">D3301</f>
        <v>1</v>
      </c>
      <c r="Z3310" s="400" t="s">
        <v>176</v>
      </c>
      <c r="AA3310" s="402">
        <f t="shared" ref="AA3310" si="10654">IF(AA3313=0,(D3310*N3310+P3310*R3310)*U3310*Y3310,0)</f>
        <v>0</v>
      </c>
      <c r="AB3310" s="403"/>
    </row>
    <row r="3311" spans="1:28">
      <c r="A3311" s="384" t="str">
        <f t="shared" ref="A3311:B3311" si="10655">A3295</f>
        <v>Lantai 2</v>
      </c>
      <c r="B3311" s="385">
        <f t="shared" si="10655"/>
        <v>23</v>
      </c>
      <c r="C3311" s="393" t="s">
        <v>210</v>
      </c>
      <c r="D3311" s="398">
        <f>VLOOKUP(D3295,'Detail Balok'!$C$10:$AU$140,25,FALSE)</f>
        <v>3</v>
      </c>
      <c r="E3311" s="388" t="s">
        <v>16</v>
      </c>
      <c r="F3311" s="388">
        <f>VLOOKUP(D3295,'Detail Balok'!$C$10:$AU$140,27,FALSE)</f>
        <v>16</v>
      </c>
      <c r="G3311" s="388"/>
      <c r="H3311" s="395"/>
      <c r="I3311" s="388" t="s">
        <v>203</v>
      </c>
      <c r="J3311" s="399">
        <f t="shared" si="10647"/>
        <v>1.5049999999999999</v>
      </c>
      <c r="K3311" s="400" t="s">
        <v>204</v>
      </c>
      <c r="L3311" s="399"/>
      <c r="M3311" s="399" t="s">
        <v>176</v>
      </c>
      <c r="N3311" s="399">
        <f t="shared" si="10649"/>
        <v>1.5049999999999999</v>
      </c>
      <c r="O3311" s="399" t="s">
        <v>204</v>
      </c>
      <c r="P3311" s="389">
        <f t="shared" ref="P3311" si="10656">MAX(D3311-D3310,D3311-D3312)</f>
        <v>0</v>
      </c>
      <c r="Q3311" s="399" t="s">
        <v>125</v>
      </c>
      <c r="R3311" s="399">
        <f t="shared" ref="R3311" si="10657">IF(P3311&gt;0,2*(1-2*$F$19-1/2)*D3298/1000,0)</f>
        <v>0</v>
      </c>
      <c r="S3311" s="399" t="s">
        <v>205</v>
      </c>
      <c r="T3311" s="399" t="s">
        <v>125</v>
      </c>
      <c r="U3311" s="401">
        <f t="shared" si="10652"/>
        <v>1.5782400000000001</v>
      </c>
      <c r="V3311" s="399"/>
      <c r="W3311" s="399"/>
      <c r="X3311" s="399" t="s">
        <v>125</v>
      </c>
      <c r="Y3311" s="389">
        <f t="shared" ref="Y3311" si="10658">D3301</f>
        <v>1</v>
      </c>
      <c r="Z3311" s="400" t="s">
        <v>176</v>
      </c>
      <c r="AA3311" s="402">
        <f t="shared" ref="AA3311" si="10659">IF(AA3313=0,(D3311*N3311+P3311*R3311)*U3311*Y3311,0)</f>
        <v>0</v>
      </c>
      <c r="AB3311" s="403"/>
    </row>
    <row r="3312" spans="1:28">
      <c r="A3312" s="384" t="str">
        <f t="shared" ref="A3312:B3312" si="10660">A3295</f>
        <v>Lantai 2</v>
      </c>
      <c r="B3312" s="385">
        <f t="shared" si="10660"/>
        <v>23</v>
      </c>
      <c r="C3312" s="393" t="s">
        <v>209</v>
      </c>
      <c r="D3312" s="398">
        <f>VLOOKUP(D3295,'Detail Balok'!$C$10:$AU$140,28,FALSE)</f>
        <v>3</v>
      </c>
      <c r="E3312" s="388" t="s">
        <v>16</v>
      </c>
      <c r="F3312" s="388">
        <f>VLOOKUP(D3295,'Detail Balok'!$C$10:$AU$140,30,FALSE)</f>
        <v>16</v>
      </c>
      <c r="G3312" s="388"/>
      <c r="H3312" s="395"/>
      <c r="I3312" s="388" t="s">
        <v>203</v>
      </c>
      <c r="J3312" s="399">
        <f t="shared" si="10647"/>
        <v>0.75249999999999995</v>
      </c>
      <c r="K3312" s="400" t="s">
        <v>204</v>
      </c>
      <c r="L3312" s="399">
        <f t="shared" ref="L3312" si="10661">MAX(VLOOKUP(F3312,N$6:P$15,3,FALSE)/1000,2/3*D3300/1000)+F$16*F3312/1000</f>
        <v>0.192</v>
      </c>
      <c r="M3312" s="399" t="s">
        <v>176</v>
      </c>
      <c r="N3312" s="399">
        <f t="shared" si="10649"/>
        <v>0.9444999999999999</v>
      </c>
      <c r="O3312" s="399" t="s">
        <v>204</v>
      </c>
      <c r="P3312" s="389">
        <f t="shared" ref="P3312" si="10662">D3312-D3311</f>
        <v>0</v>
      </c>
      <c r="Q3312" s="399" t="s">
        <v>125</v>
      </c>
      <c r="R3312" s="399">
        <f t="shared" ref="R3312" si="10663">IF(P3312&gt;0,$F$18*F3312/1000,0)</f>
        <v>0</v>
      </c>
      <c r="S3312" s="399" t="s">
        <v>205</v>
      </c>
      <c r="T3312" s="399" t="s">
        <v>125</v>
      </c>
      <c r="U3312" s="401">
        <f t="shared" si="10652"/>
        <v>1.5782400000000001</v>
      </c>
      <c r="V3312" s="399"/>
      <c r="W3312" s="399"/>
      <c r="X3312" s="399" t="s">
        <v>125</v>
      </c>
      <c r="Y3312" s="389">
        <f t="shared" ref="Y3312" si="10664">D3301</f>
        <v>1</v>
      </c>
      <c r="Z3312" s="400" t="s">
        <v>176</v>
      </c>
      <c r="AA3312" s="402">
        <f t="shared" ref="AA3312" si="10665">IF(AA3313=0,(D3312*N3312+P3312*R3312)*U3312*Y3312,0)</f>
        <v>0</v>
      </c>
      <c r="AB3312" s="403"/>
    </row>
    <row r="3313" spans="1:28">
      <c r="A3313" s="384" t="str">
        <f t="shared" ref="A3313:B3313" si="10666">A3295</f>
        <v>Lantai 2</v>
      </c>
      <c r="B3313" s="385">
        <f t="shared" si="10666"/>
        <v>23</v>
      </c>
      <c r="C3313" s="393"/>
      <c r="D3313" s="398">
        <f t="shared" ref="D3313:D3373" si="10667">IF(AND(D3310=D3311,D3311=D3312,D3310=D3312),D3310,0)</f>
        <v>3</v>
      </c>
      <c r="E3313" s="388" t="s">
        <v>16</v>
      </c>
      <c r="F3313" s="388">
        <f t="shared" ref="F3313:F3373" si="10668">IF(AND(F3310=F3311,F3310=F3312,F3311=F3312),F3310,0)</f>
        <v>16</v>
      </c>
      <c r="G3313" s="388"/>
      <c r="H3313" s="395"/>
      <c r="I3313" s="388"/>
      <c r="J3313" s="396"/>
      <c r="K3313" s="396"/>
      <c r="L3313" s="404" t="s">
        <v>207</v>
      </c>
      <c r="M3313" s="399" t="s">
        <v>176</v>
      </c>
      <c r="N3313" s="399">
        <f t="shared" ref="N3313" si="10669">IF(AND(D3310=D3311,D3310=D3312,D3311=D3312,F3310=F3311,F3310=F3312,F3311=F3312),SUM(N3310:N3312),0)</f>
        <v>3.3939999999999992</v>
      </c>
      <c r="O3313" s="399" t="s">
        <v>204</v>
      </c>
      <c r="P3313" s="389">
        <f t="shared" ref="P3313" si="10670">IF(N3313&gt;12,ROUNDDOWN(N3313/12,0),0)</f>
        <v>0</v>
      </c>
      <c r="Q3313" s="399" t="s">
        <v>125</v>
      </c>
      <c r="R3313" s="399">
        <f t="shared" ref="R3313" si="10671">IF(P3313&gt;0,MAX(VLOOKUP(F3313,$D$6:$G$15,3,FALSE),600),0)/1000</f>
        <v>0</v>
      </c>
      <c r="S3313" s="396"/>
      <c r="T3313" s="396" t="s">
        <v>125</v>
      </c>
      <c r="U3313" s="401">
        <f t="shared" ref="U3313:U3373" si="10672">U3312</f>
        <v>1.5782400000000001</v>
      </c>
      <c r="V3313" s="396" t="s">
        <v>125</v>
      </c>
      <c r="W3313" s="399">
        <f t="shared" ref="W3313" si="10673">D3313</f>
        <v>3</v>
      </c>
      <c r="X3313" s="399" t="s">
        <v>125</v>
      </c>
      <c r="Y3313" s="389">
        <f t="shared" ref="Y3313:Y3373" si="10674">Y3312</f>
        <v>1</v>
      </c>
      <c r="Z3313" s="400" t="s">
        <v>176</v>
      </c>
      <c r="AA3313" s="402">
        <f t="shared" ref="AA3313" si="10675">(N3313+P3313*R3313/1000)*U3313*W3313*Y3313</f>
        <v>16.069639679999998</v>
      </c>
      <c r="AB3313" s="403"/>
    </row>
    <row r="3314" spans="1:28">
      <c r="A3314" s="384"/>
      <c r="B3314" s="385"/>
      <c r="C3314" s="393"/>
      <c r="D3314" s="394"/>
      <c r="E3314" s="388"/>
      <c r="F3314" s="388"/>
      <c r="G3314" s="388"/>
      <c r="H3314" s="395"/>
      <c r="I3314" s="388"/>
      <c r="J3314" s="399"/>
      <c r="K3314" s="396"/>
      <c r="L3314" s="396"/>
      <c r="M3314" s="396"/>
      <c r="N3314" s="396"/>
      <c r="O3314" s="396"/>
      <c r="P3314" s="389"/>
      <c r="Q3314" s="396"/>
      <c r="R3314" s="396"/>
      <c r="S3314" s="396"/>
      <c r="T3314" s="396"/>
      <c r="U3314" s="401"/>
      <c r="V3314" s="396"/>
      <c r="W3314" s="388"/>
      <c r="X3314" s="396"/>
      <c r="Y3314" s="389"/>
      <c r="Z3314" s="396"/>
      <c r="AA3314" s="388"/>
      <c r="AB3314" s="390"/>
    </row>
    <row r="3315" spans="1:28">
      <c r="A3315" s="384" t="str">
        <f t="shared" ref="A3315:B3315" si="10676">A3295</f>
        <v>Lantai 2</v>
      </c>
      <c r="B3315" s="385">
        <f t="shared" si="10676"/>
        <v>23</v>
      </c>
      <c r="C3315" s="393" t="s">
        <v>211</v>
      </c>
      <c r="D3315" s="398">
        <f>VLOOKUP(D3295,'Detail Balok'!$C$10:$AU$140,31,FALSE)</f>
        <v>0</v>
      </c>
      <c r="E3315" s="388" t="s">
        <v>16</v>
      </c>
      <c r="F3315" s="388">
        <f>VLOOKUP(D3295,'Detail Balok'!$C$10:$AU$140,33,FALSE)</f>
        <v>10</v>
      </c>
      <c r="G3315" s="405" t="s">
        <v>157</v>
      </c>
      <c r="H3315" s="395">
        <f>VLOOKUP(D3295,'Detail Balok'!$C$10:$AU$140,35,FALSE)</f>
        <v>100</v>
      </c>
      <c r="I3315" s="388"/>
      <c r="J3315" s="400">
        <f t="shared" ref="J3315" si="10677">(IF(D3315=0,(2*(D3296+G3296))-(F$5*8),IF(D3315=3,(2*(D3296+G3296))-(F$5*8)+(G3296-2*F$5),IF(D3315=4,(2*(D3296+G3296))-(F$5*8)+2*(G3296-2*F$5)))))/1000</f>
        <v>0.88</v>
      </c>
      <c r="K3315" s="400" t="s">
        <v>204</v>
      </c>
      <c r="L3315" s="399">
        <f t="shared" ref="L3315:L3317" si="10678">IF(D3315=0,2*MAX(6*F3315,75),(D3315-1)*2*MAX(6*F3315,75))/1000</f>
        <v>0.15</v>
      </c>
      <c r="M3315" s="399" t="s">
        <v>176</v>
      </c>
      <c r="N3315" s="399">
        <f t="shared" ref="N3315:N3317" si="10679">J3315+L3315</f>
        <v>1.03</v>
      </c>
      <c r="O3315" s="399"/>
      <c r="P3315" s="389"/>
      <c r="Q3315" s="399"/>
      <c r="R3315" s="399"/>
      <c r="S3315" s="399"/>
      <c r="T3315" s="399" t="s">
        <v>125</v>
      </c>
      <c r="U3315" s="401">
        <f t="shared" ref="U3315:U3317" si="10680">0.006165*F3315^2</f>
        <v>0.61650000000000005</v>
      </c>
      <c r="V3315" s="399" t="s">
        <v>125</v>
      </c>
      <c r="W3315" s="399">
        <f t="shared" ref="W3315" si="10681">IF(D3298&gt;4*G3296,ROUND(MAX(D3298/4,2*G3296)/H3315,0)+1,ROUND(D3298/H3315,0)+1)</f>
        <v>9</v>
      </c>
      <c r="X3315" s="399" t="s">
        <v>125</v>
      </c>
      <c r="Y3315" s="389">
        <f t="shared" ref="Y3315" si="10682">D3301</f>
        <v>1</v>
      </c>
      <c r="Z3315" s="400" t="s">
        <v>176</v>
      </c>
      <c r="AA3315" s="402">
        <f t="shared" ref="AA3315:AA3317" si="10683">N3315*U3315*W3315*Y3315</f>
        <v>5.7149550000000007</v>
      </c>
      <c r="AB3315" s="403"/>
    </row>
    <row r="3316" spans="1:28">
      <c r="A3316" s="384" t="str">
        <f t="shared" ref="A3316:B3316" si="10684">A3295</f>
        <v>Lantai 2</v>
      </c>
      <c r="B3316" s="385">
        <f t="shared" si="10684"/>
        <v>23</v>
      </c>
      <c r="C3316" s="393" t="s">
        <v>212</v>
      </c>
      <c r="D3316" s="398">
        <f>VLOOKUP(D3295,'Detail Balok'!$C$10:$AU$140,36,FALSE)</f>
        <v>0</v>
      </c>
      <c r="E3316" s="388" t="s">
        <v>16</v>
      </c>
      <c r="F3316" s="388">
        <f>VLOOKUP(D3295,'Detail Balok'!$C$10:$AU$140,38,FALSE)</f>
        <v>10</v>
      </c>
      <c r="G3316" s="405" t="s">
        <v>157</v>
      </c>
      <c r="H3316" s="395">
        <f>VLOOKUP(D3295,'Detail Balok'!$C$10:$AU$140,40,FALSE)</f>
        <v>100</v>
      </c>
      <c r="I3316" s="388"/>
      <c r="J3316" s="400">
        <f t="shared" ref="J3316" si="10685">(IF(D3316=0,(2*(D3296+G3296))-(F$5*8),IF(D3316=3,(2*(D3296+G3296))-(F$5*8)+(G3296-2*F$5),IF(D3316=4,(2*(D3296+G3296))-(F$5*8)+2*(G3296-2*F$5)))))/1000</f>
        <v>0.88</v>
      </c>
      <c r="K3316" s="400" t="s">
        <v>204</v>
      </c>
      <c r="L3316" s="399">
        <f t="shared" si="10678"/>
        <v>0.15</v>
      </c>
      <c r="M3316" s="399" t="s">
        <v>176</v>
      </c>
      <c r="N3316" s="399">
        <f t="shared" si="10679"/>
        <v>1.03</v>
      </c>
      <c r="O3316" s="399"/>
      <c r="P3316" s="389"/>
      <c r="Q3316" s="399"/>
      <c r="R3316" s="399"/>
      <c r="S3316" s="399"/>
      <c r="T3316" s="399" t="s">
        <v>125</v>
      </c>
      <c r="U3316" s="401">
        <f t="shared" si="10680"/>
        <v>0.61650000000000005</v>
      </c>
      <c r="V3316" s="399" t="s">
        <v>125</v>
      </c>
      <c r="W3316" s="399">
        <f t="shared" ref="W3316" si="10686">IF(D3298-MAX(D3298/4,2*G3296)*2&gt;0,ROUND((D3298-MAX(D3298/4,2*G3296)*2)/H3316,0),0)</f>
        <v>14</v>
      </c>
      <c r="X3316" s="399" t="s">
        <v>125</v>
      </c>
      <c r="Y3316" s="389">
        <f t="shared" ref="Y3316" si="10687">D3301</f>
        <v>1</v>
      </c>
      <c r="Z3316" s="400" t="s">
        <v>176</v>
      </c>
      <c r="AA3316" s="402">
        <f t="shared" si="10683"/>
        <v>8.8899300000000014</v>
      </c>
      <c r="AB3316" s="403"/>
    </row>
    <row r="3317" spans="1:28">
      <c r="A3317" s="384" t="str">
        <f t="shared" ref="A3317:B3317" si="10688">A3295</f>
        <v>Lantai 2</v>
      </c>
      <c r="B3317" s="385">
        <f t="shared" si="10688"/>
        <v>23</v>
      </c>
      <c r="C3317" s="393" t="s">
        <v>211</v>
      </c>
      <c r="D3317" s="398">
        <f>VLOOKUP(D3295,'Detail Balok'!$C$10:$AU$140,41,FALSE)</f>
        <v>0</v>
      </c>
      <c r="E3317" s="388" t="s">
        <v>16</v>
      </c>
      <c r="F3317" s="388">
        <f>VLOOKUP(D3295,'Detail Balok'!$C$10:$AU$140,43,FALSE)</f>
        <v>10</v>
      </c>
      <c r="G3317" s="405" t="s">
        <v>157</v>
      </c>
      <c r="H3317" s="395">
        <f>VLOOKUP(D3295,'Detail Balok'!$C$10:$AU$140,45,FALSE)</f>
        <v>100</v>
      </c>
      <c r="I3317" s="388"/>
      <c r="J3317" s="400">
        <f t="shared" ref="J3317" si="10689">(IF(D3317=0,(2*(D3296+G3296))-(F$5*8),IF(D3317=3,(2*(D3296+G3296))-(F$5*8)+(G3296-2*F$5),IF(D3317=4,(2*(D3296+G3296))-(F$5*8)+2*(G3296-2*F$5)))))/1000</f>
        <v>0.88</v>
      </c>
      <c r="K3317" s="400" t="s">
        <v>204</v>
      </c>
      <c r="L3317" s="399">
        <f t="shared" si="10678"/>
        <v>0.15</v>
      </c>
      <c r="M3317" s="399" t="s">
        <v>176</v>
      </c>
      <c r="N3317" s="399">
        <f t="shared" si="10679"/>
        <v>1.03</v>
      </c>
      <c r="O3317" s="399"/>
      <c r="P3317" s="389"/>
      <c r="Q3317" s="399"/>
      <c r="R3317" s="399"/>
      <c r="S3317" s="399"/>
      <c r="T3317" s="399" t="s">
        <v>125</v>
      </c>
      <c r="U3317" s="401">
        <f t="shared" si="10680"/>
        <v>0.61650000000000005</v>
      </c>
      <c r="V3317" s="399" t="s">
        <v>125</v>
      </c>
      <c r="W3317" s="399">
        <f t="shared" ref="W3317" si="10690">IF(D3298&gt;4*G3296,ROUND(MAX(D3298/4,2*G3296)/H3317,0)+1,0)</f>
        <v>9</v>
      </c>
      <c r="X3317" s="399" t="s">
        <v>125</v>
      </c>
      <c r="Y3317" s="389">
        <f t="shared" ref="Y3317" si="10691">D3301</f>
        <v>1</v>
      </c>
      <c r="Z3317" s="400" t="s">
        <v>176</v>
      </c>
      <c r="AA3317" s="402">
        <f t="shared" si="10683"/>
        <v>5.7149550000000007</v>
      </c>
      <c r="AB3317" s="403"/>
    </row>
    <row r="3318" spans="1:28">
      <c r="A3318" s="384"/>
      <c r="B3318" s="385"/>
      <c r="C3318" s="393"/>
      <c r="D3318" s="394"/>
      <c r="E3318" s="388"/>
      <c r="F3318" s="388"/>
      <c r="G3318" s="388"/>
      <c r="H3318" s="395"/>
      <c r="I3318" s="388"/>
      <c r="J3318" s="399"/>
      <c r="K3318" s="396"/>
      <c r="L3318" s="396"/>
      <c r="M3318" s="396"/>
      <c r="N3318" s="396"/>
      <c r="O3318" s="396"/>
      <c r="P3318" s="389"/>
      <c r="Q3318" s="396"/>
      <c r="R3318" s="396"/>
      <c r="S3318" s="396"/>
      <c r="T3318" s="396"/>
      <c r="U3318" s="401"/>
      <c r="V3318" s="396"/>
      <c r="W3318" s="388"/>
      <c r="X3318" s="396"/>
      <c r="Y3318" s="389"/>
      <c r="Z3318" s="396"/>
      <c r="AA3318" s="388"/>
      <c r="AB3318" s="390"/>
    </row>
    <row r="3319" spans="1:28">
      <c r="A3319" s="384" t="str">
        <f t="shared" ref="A3319:B3319" si="10692">A3295</f>
        <v>Lantai 2</v>
      </c>
      <c r="B3319" s="385">
        <f t="shared" si="10692"/>
        <v>23</v>
      </c>
      <c r="C3319" s="393" t="s">
        <v>213</v>
      </c>
      <c r="D3319" s="398">
        <f>VLOOKUP(D3295,'Detail Balok'!$C$10:$BJ$140,46,FALSE)</f>
        <v>0</v>
      </c>
      <c r="E3319" s="388" t="s">
        <v>16</v>
      </c>
      <c r="F3319" s="388">
        <f>VLOOKUP(D3295,'Detail Balok'!$C$10:$BJ$140,48,FALSE)</f>
        <v>0</v>
      </c>
      <c r="G3319" s="405" t="s">
        <v>157</v>
      </c>
      <c r="H3319" s="395">
        <f>VLOOKUP(D3295,'Detail Balok'!$C$10:$BJ$140,50,FALSE)</f>
        <v>100</v>
      </c>
      <c r="I3319" s="388"/>
      <c r="J3319" s="399">
        <f t="shared" ref="J3319" si="10693">(D3296-2*F$5)/1000</f>
        <v>0.12</v>
      </c>
      <c r="K3319" s="400" t="s">
        <v>204</v>
      </c>
      <c r="L3319" s="399">
        <f t="shared" ref="L3319:L3321" si="10694">IF(D3319=0,2*MAX(6*F3319,75),(D3319-1)*2*MAX(6*F3319,75))/1000</f>
        <v>0.15</v>
      </c>
      <c r="M3319" s="399" t="s">
        <v>176</v>
      </c>
      <c r="N3319" s="399">
        <f t="shared" ref="N3319:N3321" si="10695">J3319+L3319</f>
        <v>0.27</v>
      </c>
      <c r="O3319" s="399"/>
      <c r="P3319" s="399"/>
      <c r="Q3319" s="399"/>
      <c r="R3319" s="399"/>
      <c r="S3319" s="399"/>
      <c r="T3319" s="399" t="s">
        <v>125</v>
      </c>
      <c r="U3319" s="401">
        <f t="shared" ref="U3319:U3321" si="10696">0.006165*F3319^2</f>
        <v>0</v>
      </c>
      <c r="V3319" s="399" t="s">
        <v>125</v>
      </c>
      <c r="W3319" s="399">
        <f t="shared" ref="W3319:W3381" si="10697">W3315</f>
        <v>9</v>
      </c>
      <c r="X3319" s="399" t="s">
        <v>125</v>
      </c>
      <c r="Y3319" s="389">
        <f t="shared" ref="Y3319" si="10698">D3305</f>
        <v>3</v>
      </c>
      <c r="Z3319" s="400" t="s">
        <v>176</v>
      </c>
      <c r="AA3319" s="402">
        <f t="shared" ref="AA3319:AA3321" si="10699">N3319*U3319*W3319*Y3319</f>
        <v>0</v>
      </c>
      <c r="AB3319" s="403"/>
    </row>
    <row r="3320" spans="1:28">
      <c r="A3320" s="384" t="str">
        <f t="shared" ref="A3320:B3320" si="10700">A3295</f>
        <v>Lantai 2</v>
      </c>
      <c r="B3320" s="385">
        <f t="shared" si="10700"/>
        <v>23</v>
      </c>
      <c r="C3320" s="393" t="s">
        <v>214</v>
      </c>
      <c r="D3320" s="398">
        <f>VLOOKUP(D3295,'Detail Balok'!$C$10:$BJ$140,51,FALSE)</f>
        <v>0</v>
      </c>
      <c r="E3320" s="388" t="s">
        <v>16</v>
      </c>
      <c r="F3320" s="388">
        <f>VLOOKUP(D3295,'Detail Balok'!$C$10:$BJ$140,53,FALSE)</f>
        <v>0</v>
      </c>
      <c r="G3320" s="405" t="s">
        <v>157</v>
      </c>
      <c r="H3320" s="395">
        <f>VLOOKUP(D3295,'Detail Balok'!$C$10:$BJ$140,55,FALSE)</f>
        <v>100</v>
      </c>
      <c r="I3320" s="388"/>
      <c r="J3320" s="399">
        <f t="shared" ref="J3320" si="10701">(D3296-2*F$5)/1000</f>
        <v>0.12</v>
      </c>
      <c r="K3320" s="400" t="s">
        <v>204</v>
      </c>
      <c r="L3320" s="399">
        <f t="shared" si="10694"/>
        <v>0.15</v>
      </c>
      <c r="M3320" s="399" t="s">
        <v>176</v>
      </c>
      <c r="N3320" s="399">
        <f t="shared" si="10695"/>
        <v>0.27</v>
      </c>
      <c r="O3320" s="399"/>
      <c r="P3320" s="399"/>
      <c r="Q3320" s="399"/>
      <c r="R3320" s="399"/>
      <c r="S3320" s="399"/>
      <c r="T3320" s="399" t="s">
        <v>125</v>
      </c>
      <c r="U3320" s="401">
        <f t="shared" si="10696"/>
        <v>0</v>
      </c>
      <c r="V3320" s="399" t="s">
        <v>125</v>
      </c>
      <c r="W3320" s="399">
        <f t="shared" si="10697"/>
        <v>14</v>
      </c>
      <c r="X3320" s="399" t="s">
        <v>125</v>
      </c>
      <c r="Y3320" s="389">
        <f t="shared" ref="Y3320" si="10702">D3305</f>
        <v>3</v>
      </c>
      <c r="Z3320" s="400" t="s">
        <v>176</v>
      </c>
      <c r="AA3320" s="402">
        <f t="shared" si="10699"/>
        <v>0</v>
      </c>
      <c r="AB3320" s="403"/>
    </row>
    <row r="3321" spans="1:28">
      <c r="A3321" s="384" t="str">
        <f t="shared" ref="A3321:B3321" si="10703">A3295</f>
        <v>Lantai 2</v>
      </c>
      <c r="B3321" s="385">
        <f t="shared" si="10703"/>
        <v>23</v>
      </c>
      <c r="C3321" s="393" t="s">
        <v>213</v>
      </c>
      <c r="D3321" s="398">
        <f>VLOOKUP(D3295,'Detail Balok'!$C$10:$BJ$140,56,FALSE)</f>
        <v>0</v>
      </c>
      <c r="E3321" s="388" t="s">
        <v>16</v>
      </c>
      <c r="F3321" s="388">
        <f>VLOOKUP(D3295,'Detail Balok'!$C$10:$BJ$140,58,FALSE)</f>
        <v>0</v>
      </c>
      <c r="G3321" s="405" t="s">
        <v>157</v>
      </c>
      <c r="H3321" s="395">
        <f>VLOOKUP(D3295,'Detail Balok'!$C$10:$BJ$140,60,FALSE)</f>
        <v>100</v>
      </c>
      <c r="I3321" s="388"/>
      <c r="J3321" s="399">
        <f t="shared" ref="J3321" si="10704">(D3296-2*F$5)/1000</f>
        <v>0.12</v>
      </c>
      <c r="K3321" s="400" t="s">
        <v>204</v>
      </c>
      <c r="L3321" s="399">
        <f t="shared" si="10694"/>
        <v>0.15</v>
      </c>
      <c r="M3321" s="399" t="s">
        <v>176</v>
      </c>
      <c r="N3321" s="399">
        <f t="shared" si="10695"/>
        <v>0.27</v>
      </c>
      <c r="O3321" s="399"/>
      <c r="P3321" s="399"/>
      <c r="Q3321" s="399"/>
      <c r="R3321" s="399"/>
      <c r="S3321" s="399"/>
      <c r="T3321" s="399" t="s">
        <v>125</v>
      </c>
      <c r="U3321" s="401">
        <f t="shared" si="10696"/>
        <v>0</v>
      </c>
      <c r="V3321" s="399" t="s">
        <v>125</v>
      </c>
      <c r="W3321" s="399">
        <f t="shared" si="10697"/>
        <v>9</v>
      </c>
      <c r="X3321" s="399" t="s">
        <v>125</v>
      </c>
      <c r="Y3321" s="389">
        <f t="shared" ref="Y3321" si="10705">D3305</f>
        <v>3</v>
      </c>
      <c r="Z3321" s="400" t="s">
        <v>176</v>
      </c>
      <c r="AA3321" s="402">
        <f t="shared" si="10699"/>
        <v>0</v>
      </c>
      <c r="AB3321" s="403"/>
    </row>
    <row r="3322" spans="1:28">
      <c r="A3322" s="391"/>
      <c r="B3322" s="392"/>
      <c r="C3322" s="392"/>
      <c r="D3322" s="394"/>
      <c r="E3322" s="388"/>
      <c r="F3322" s="388"/>
      <c r="G3322" s="388"/>
      <c r="H3322" s="395"/>
      <c r="I3322" s="388"/>
      <c r="J3322" s="402"/>
      <c r="K3322" s="388"/>
      <c r="L3322" s="388"/>
      <c r="M3322" s="388"/>
      <c r="N3322" s="388"/>
      <c r="O3322" s="388"/>
      <c r="P3322" s="388"/>
      <c r="Q3322" s="388"/>
      <c r="R3322" s="388"/>
      <c r="S3322" s="388"/>
      <c r="T3322" s="388"/>
      <c r="U3322" s="388"/>
      <c r="V3322" s="388"/>
      <c r="W3322" s="388"/>
      <c r="X3322" s="388"/>
      <c r="Y3322" s="389"/>
      <c r="Z3322" s="388"/>
      <c r="AA3322" s="402"/>
      <c r="AB3322" s="403"/>
    </row>
    <row r="3323" spans="1:28" ht="15.75" thickBot="1">
      <c r="A3323" s="406"/>
      <c r="B3323" s="407"/>
      <c r="C3323" s="407"/>
      <c r="D3323" s="408"/>
      <c r="E3323" s="409"/>
      <c r="F3323" s="409"/>
      <c r="G3323" s="409"/>
      <c r="H3323" s="410"/>
      <c r="I3323" s="409"/>
      <c r="J3323" s="409"/>
      <c r="K3323" s="409"/>
      <c r="L3323" s="409"/>
      <c r="M3323" s="409"/>
      <c r="N3323" s="409"/>
      <c r="O3323" s="409"/>
      <c r="P3323" s="409"/>
      <c r="Q3323" s="409"/>
      <c r="R3323" s="409"/>
      <c r="S3323" s="409"/>
      <c r="T3323" s="409"/>
      <c r="U3323" s="409"/>
      <c r="V3323" s="409"/>
      <c r="W3323" s="409"/>
      <c r="X3323" s="409"/>
      <c r="Y3323" s="411"/>
      <c r="Z3323" s="409"/>
      <c r="AA3323" s="412"/>
      <c r="AB3323" s="413"/>
    </row>
    <row r="3324" spans="1:28">
      <c r="A3324" s="377"/>
      <c r="B3324" s="378"/>
      <c r="C3324" s="378"/>
      <c r="D3324" s="379"/>
      <c r="E3324" s="380"/>
      <c r="F3324" s="380"/>
      <c r="G3324" s="380"/>
      <c r="H3324" s="381"/>
      <c r="I3324" s="380"/>
      <c r="J3324" s="380"/>
      <c r="K3324" s="380"/>
      <c r="L3324" s="380"/>
      <c r="M3324" s="380"/>
      <c r="N3324" s="380"/>
      <c r="O3324" s="380"/>
      <c r="P3324" s="380"/>
      <c r="Q3324" s="380"/>
      <c r="R3324" s="380"/>
      <c r="S3324" s="380"/>
      <c r="T3324" s="380"/>
      <c r="U3324" s="380"/>
      <c r="V3324" s="380"/>
      <c r="W3324" s="380"/>
      <c r="X3324" s="380"/>
      <c r="Y3324" s="382"/>
      <c r="Z3324" s="380"/>
      <c r="AA3324" s="380"/>
      <c r="AB3324" s="383"/>
    </row>
    <row r="3325" spans="1:28">
      <c r="A3325" s="384" t="str">
        <f t="shared" ref="A3325:A3385" si="10706">A3295</f>
        <v>Lantai 2</v>
      </c>
      <c r="B3325" s="385">
        <f t="shared" ref="B3325:B3385" si="10707">B3295+1</f>
        <v>24</v>
      </c>
      <c r="C3325" s="386" t="str">
        <f t="shared" ref="C3325" si="10708">CONCATENATE(A3325," no. ",B3325)</f>
        <v>Lantai 2 no. 24</v>
      </c>
      <c r="D3325" s="2562" t="str">
        <f>VLOOKUP(C3325,'Data Panjang Balok'!$C$9:$N$254,2,FALSE)</f>
        <v>B24-1</v>
      </c>
      <c r="E3325" s="2576"/>
      <c r="F3325" s="2576"/>
      <c r="G3325" s="2576"/>
      <c r="H3325" s="2577"/>
      <c r="I3325" s="387"/>
      <c r="J3325" s="388"/>
      <c r="K3325" s="388"/>
      <c r="L3325" s="388"/>
      <c r="M3325" s="388"/>
      <c r="N3325" s="388"/>
      <c r="O3325" s="388"/>
      <c r="P3325" s="388"/>
      <c r="Q3325" s="388"/>
      <c r="R3325" s="388"/>
      <c r="S3325" s="388"/>
      <c r="T3325" s="388"/>
      <c r="U3325" s="388"/>
      <c r="V3325" s="388"/>
      <c r="W3325" s="388"/>
      <c r="X3325" s="388"/>
      <c r="Y3325" s="389"/>
      <c r="Z3325" s="388"/>
      <c r="AA3325" s="388"/>
      <c r="AB3325" s="390"/>
    </row>
    <row r="3326" spans="1:28">
      <c r="A3326" s="391"/>
      <c r="B3326" s="392"/>
      <c r="C3326" s="393" t="s">
        <v>118</v>
      </c>
      <c r="D3326" s="2578">
        <f>VLOOKUP(D3325,'Detail Balok'!$C$10:$AU$140,2,FALSE)</f>
        <v>200</v>
      </c>
      <c r="E3326" s="2579"/>
      <c r="F3326" s="388" t="s">
        <v>125</v>
      </c>
      <c r="G3326" s="2579">
        <f>VLOOKUP(D3325,'Detail Balok'!$C$10:$AU$140,3,FALSE)</f>
        <v>400</v>
      </c>
      <c r="H3326" s="2580"/>
      <c r="I3326" s="388"/>
      <c r="J3326" s="396"/>
      <c r="K3326" s="396"/>
      <c r="L3326" s="396"/>
      <c r="M3326" s="396"/>
      <c r="N3326" s="396"/>
      <c r="O3326" s="396"/>
      <c r="P3326" s="396"/>
      <c r="Q3326" s="396"/>
      <c r="R3326" s="396"/>
      <c r="S3326" s="396"/>
      <c r="T3326" s="396"/>
      <c r="U3326" s="388"/>
      <c r="V3326" s="396"/>
      <c r="W3326" s="388"/>
      <c r="X3326" s="396"/>
      <c r="Y3326" s="389"/>
      <c r="Z3326" s="396"/>
      <c r="AA3326" s="388"/>
      <c r="AB3326" s="390"/>
    </row>
    <row r="3327" spans="1:28">
      <c r="A3327" s="391"/>
      <c r="B3327" s="392"/>
      <c r="C3327" s="393" t="s">
        <v>198</v>
      </c>
      <c r="D3327" s="2562">
        <f>VLOOKUP(C3325,'Data Panjang Balok'!$C$9:$N$254,4,FALSE)</f>
        <v>2800</v>
      </c>
      <c r="E3327" s="2563"/>
      <c r="F3327" s="2563"/>
      <c r="G3327" s="2563"/>
      <c r="H3327" s="2564"/>
      <c r="I3327" s="397"/>
      <c r="J3327" s="396"/>
      <c r="K3327" s="396"/>
      <c r="L3327" s="396"/>
      <c r="M3327" s="396"/>
      <c r="N3327" s="396"/>
      <c r="O3327" s="396"/>
      <c r="P3327" s="396"/>
      <c r="Q3327" s="396"/>
      <c r="R3327" s="396"/>
      <c r="S3327" s="396"/>
      <c r="T3327" s="396"/>
      <c r="U3327" s="388"/>
      <c r="V3327" s="396"/>
      <c r="W3327" s="388"/>
      <c r="X3327" s="396"/>
      <c r="Y3327" s="389"/>
      <c r="Z3327" s="396"/>
      <c r="AA3327" s="388"/>
      <c r="AB3327" s="390"/>
    </row>
    <row r="3328" spans="1:28">
      <c r="A3328" s="391"/>
      <c r="B3328" s="392"/>
      <c r="C3328" s="393" t="s">
        <v>199</v>
      </c>
      <c r="D3328" s="2562">
        <f>VLOOKUP(C3325,'Data Panjang Balok'!$C$9:$N$254,7,FALSE)</f>
        <v>2800</v>
      </c>
      <c r="E3328" s="2563"/>
      <c r="F3328" s="2563"/>
      <c r="G3328" s="2563"/>
      <c r="H3328" s="2564"/>
      <c r="I3328" s="397"/>
      <c r="J3328" s="396"/>
      <c r="K3328" s="396"/>
      <c r="L3328" s="396"/>
      <c r="M3328" s="396"/>
      <c r="N3328" s="396"/>
      <c r="O3328" s="396"/>
      <c r="P3328" s="396"/>
      <c r="Q3328" s="396"/>
      <c r="R3328" s="396"/>
      <c r="S3328" s="396"/>
      <c r="T3328" s="396"/>
      <c r="U3328" s="388"/>
      <c r="V3328" s="396"/>
      <c r="W3328" s="388"/>
      <c r="X3328" s="396"/>
      <c r="Y3328" s="389"/>
      <c r="Z3328" s="396"/>
      <c r="AA3328" s="388"/>
      <c r="AB3328" s="390"/>
    </row>
    <row r="3329" spans="1:28">
      <c r="A3329" s="391"/>
      <c r="B3329" s="392"/>
      <c r="C3329" s="393" t="s">
        <v>200</v>
      </c>
      <c r="D3329" s="2562">
        <f>VLOOKUP(C3325,'Data Panjang Balok'!$C$9:$N$254,9,FALSE)</f>
        <v>0</v>
      </c>
      <c r="E3329" s="2563"/>
      <c r="F3329" s="2563"/>
      <c r="G3329" s="2563"/>
      <c r="H3329" s="2564"/>
      <c r="I3329" s="397"/>
      <c r="J3329" s="396"/>
      <c r="K3329" s="396"/>
      <c r="L3329" s="396"/>
      <c r="M3329" s="396"/>
      <c r="N3329" s="396"/>
      <c r="O3329" s="396"/>
      <c r="P3329" s="396"/>
      <c r="Q3329" s="396"/>
      <c r="R3329" s="396"/>
      <c r="S3329" s="396"/>
      <c r="T3329" s="396"/>
      <c r="U3329" s="388"/>
      <c r="V3329" s="396"/>
      <c r="W3329" s="388"/>
      <c r="X3329" s="396"/>
      <c r="Y3329" s="389"/>
      <c r="Z3329" s="396"/>
      <c r="AA3329" s="388"/>
      <c r="AB3329" s="390"/>
    </row>
    <row r="3330" spans="1:28">
      <c r="A3330" s="391"/>
      <c r="B3330" s="392"/>
      <c r="C3330" s="393" t="s">
        <v>201</v>
      </c>
      <c r="D3330" s="2562">
        <f>VLOOKUP(C3325,'Data Panjang Balok'!$C$9:$N$254,10,FALSE)</f>
        <v>0</v>
      </c>
      <c r="E3330" s="2563"/>
      <c r="F3330" s="2563"/>
      <c r="G3330" s="2563"/>
      <c r="H3330" s="2564"/>
      <c r="I3330" s="397"/>
      <c r="J3330" s="396"/>
      <c r="K3330" s="396"/>
      <c r="L3330" s="396"/>
      <c r="M3330" s="396"/>
      <c r="N3330" s="396"/>
      <c r="O3330" s="396"/>
      <c r="P3330" s="396"/>
      <c r="Q3330" s="396"/>
      <c r="R3330" s="396"/>
      <c r="S3330" s="396"/>
      <c r="T3330" s="396"/>
      <c r="U3330" s="388"/>
      <c r="V3330" s="396"/>
      <c r="W3330" s="388"/>
      <c r="X3330" s="396"/>
      <c r="Y3330" s="389"/>
      <c r="Z3330" s="396"/>
      <c r="AA3330" s="388"/>
      <c r="AB3330" s="390"/>
    </row>
    <row r="3331" spans="1:28">
      <c r="A3331" s="391"/>
      <c r="B3331" s="392"/>
      <c r="C3331" s="393" t="s">
        <v>48</v>
      </c>
      <c r="D3331" s="2562">
        <f>VLOOKUP(C3325,'Data Panjang Balok'!$C$9:$N$254,3,FALSE)</f>
        <v>1</v>
      </c>
      <c r="E3331" s="2563"/>
      <c r="F3331" s="2563"/>
      <c r="G3331" s="2563"/>
      <c r="H3331" s="2564"/>
      <c r="I3331" s="397"/>
      <c r="J3331" s="396"/>
      <c r="K3331" s="396"/>
      <c r="L3331" s="396"/>
      <c r="M3331" s="396"/>
      <c r="N3331" s="396"/>
      <c r="O3331" s="396"/>
      <c r="P3331" s="396"/>
      <c r="Q3331" s="396"/>
      <c r="R3331" s="396"/>
      <c r="S3331" s="396"/>
      <c r="T3331" s="396"/>
      <c r="U3331" s="388"/>
      <c r="V3331" s="396"/>
      <c r="W3331" s="388"/>
      <c r="X3331" s="396"/>
      <c r="Y3331" s="389"/>
      <c r="Z3331" s="396"/>
      <c r="AA3331" s="388"/>
      <c r="AB3331" s="390"/>
    </row>
    <row r="3332" spans="1:28">
      <c r="A3332" s="384" t="str">
        <f t="shared" ref="A3332:B3332" si="10709">A3325</f>
        <v>Lantai 2</v>
      </c>
      <c r="B3332" s="385">
        <f t="shared" si="10709"/>
        <v>24</v>
      </c>
      <c r="C3332" s="393" t="s">
        <v>202</v>
      </c>
      <c r="D3332" s="398">
        <f>VLOOKUP(D3325,'Detail Balok'!$C$10:$AU$140,4,FALSE)</f>
        <v>3</v>
      </c>
      <c r="E3332" s="388" t="s">
        <v>16</v>
      </c>
      <c r="F3332" s="388">
        <f>VLOOKUP(D3325,'Detail Balok'!$C$10:$AU$140,6,FALSE)</f>
        <v>13</v>
      </c>
      <c r="G3332" s="388"/>
      <c r="H3332" s="395"/>
      <c r="I3332" s="388" t="s">
        <v>203</v>
      </c>
      <c r="J3332" s="399">
        <f t="shared" ref="J3332" si="10710">+D3327/4/1000</f>
        <v>0.7</v>
      </c>
      <c r="K3332" s="400" t="s">
        <v>204</v>
      </c>
      <c r="L3332" s="399">
        <f t="shared" ref="L3332" si="10711">MAX(VLOOKUP(F3332,N$6:P$15,3,FALSE)/1000,2/3*D3329/1000)+F$16*F3332/1000</f>
        <v>0.156</v>
      </c>
      <c r="M3332" s="399" t="s">
        <v>176</v>
      </c>
      <c r="N3332" s="399">
        <f t="shared" ref="N3332:N3334" si="10712">J3332+L3332</f>
        <v>0.85599999999999998</v>
      </c>
      <c r="O3332" s="399" t="s">
        <v>204</v>
      </c>
      <c r="P3332" s="389">
        <f t="shared" ref="P3332" si="10713">D3332-D3333</f>
        <v>0</v>
      </c>
      <c r="Q3332" s="399" t="s">
        <v>125</v>
      </c>
      <c r="R3332" s="399">
        <f t="shared" ref="R3332" si="10714">IF(P3332&gt;0,$F$18*F3332/1000,0)</f>
        <v>0</v>
      </c>
      <c r="S3332" s="399" t="s">
        <v>205</v>
      </c>
      <c r="T3332" s="399" t="s">
        <v>125</v>
      </c>
      <c r="U3332" s="401">
        <f t="shared" ref="U3332:U3334" si="10715">0.006165*F3332^2</f>
        <v>1.041885</v>
      </c>
      <c r="V3332" s="399"/>
      <c r="W3332" s="399"/>
      <c r="X3332" s="399" t="s">
        <v>125</v>
      </c>
      <c r="Y3332" s="389">
        <f t="shared" ref="Y3332" si="10716">D3331</f>
        <v>1</v>
      </c>
      <c r="Z3332" s="400" t="s">
        <v>176</v>
      </c>
      <c r="AA3332" s="402">
        <f t="shared" ref="AA3332" si="10717">IF(AA3335=0,(D3332*N3332+P3332*R3332)*U3332*Y3332,0)</f>
        <v>0</v>
      </c>
      <c r="AB3332" s="403"/>
    </row>
    <row r="3333" spans="1:28">
      <c r="A3333" s="384" t="str">
        <f t="shared" ref="A3333:B3333" si="10718">A3325</f>
        <v>Lantai 2</v>
      </c>
      <c r="B3333" s="385">
        <f t="shared" si="10718"/>
        <v>24</v>
      </c>
      <c r="C3333" s="393" t="s">
        <v>206</v>
      </c>
      <c r="D3333" s="398">
        <f>VLOOKUP(D3325,'Detail Balok'!$C$10:$AU$140,7,FALSE)</f>
        <v>3</v>
      </c>
      <c r="E3333" s="388" t="s">
        <v>16</v>
      </c>
      <c r="F3333" s="388">
        <f>VLOOKUP(D3325,'Detail Balok'!$C$10:$AU$140,9,FALSE)</f>
        <v>13</v>
      </c>
      <c r="G3333" s="388"/>
      <c r="H3333" s="395"/>
      <c r="I3333" s="388" t="s">
        <v>203</v>
      </c>
      <c r="J3333" s="399">
        <f t="shared" ref="J3333" si="10719">+D3327/2/1000</f>
        <v>1.4</v>
      </c>
      <c r="K3333" s="400" t="s">
        <v>204</v>
      </c>
      <c r="L3333" s="399"/>
      <c r="M3333" s="399" t="s">
        <v>176</v>
      </c>
      <c r="N3333" s="399">
        <f t="shared" si="10712"/>
        <v>1.4</v>
      </c>
      <c r="O3333" s="399" t="s">
        <v>204</v>
      </c>
      <c r="P3333" s="389">
        <f t="shared" ref="P3333" si="10720">MAX(D3333-D3332,D3333-D3334)</f>
        <v>0</v>
      </c>
      <c r="Q3333" s="399" t="s">
        <v>125</v>
      </c>
      <c r="R3333" s="399">
        <f t="shared" ref="R3333" si="10721">IF(P3333&gt;0,2*(1-2*$F$19-1/2)*D3328/1000,0)</f>
        <v>0</v>
      </c>
      <c r="S3333" s="399" t="s">
        <v>205</v>
      </c>
      <c r="T3333" s="399" t="s">
        <v>125</v>
      </c>
      <c r="U3333" s="401">
        <f t="shared" si="10715"/>
        <v>1.041885</v>
      </c>
      <c r="V3333" s="399"/>
      <c r="W3333" s="399"/>
      <c r="X3333" s="399" t="s">
        <v>125</v>
      </c>
      <c r="Y3333" s="389">
        <f t="shared" ref="Y3333" si="10722">D3331</f>
        <v>1</v>
      </c>
      <c r="Z3333" s="400" t="s">
        <v>176</v>
      </c>
      <c r="AA3333" s="402">
        <f t="shared" ref="AA3333" si="10723">IF(AA3335=0,(D3333*N3333+P3333*R3333)*U3333*Y3333,0)</f>
        <v>0</v>
      </c>
      <c r="AB3333" s="403"/>
    </row>
    <row r="3334" spans="1:28">
      <c r="A3334" s="384" t="str">
        <f t="shared" ref="A3334:B3334" si="10724">A3325</f>
        <v>Lantai 2</v>
      </c>
      <c r="B3334" s="385">
        <f t="shared" si="10724"/>
        <v>24</v>
      </c>
      <c r="C3334" s="393" t="s">
        <v>202</v>
      </c>
      <c r="D3334" s="398">
        <f>VLOOKUP(D3325,'Detail Balok'!$C$10:$AU$140,10,FALSE)</f>
        <v>3</v>
      </c>
      <c r="E3334" s="388" t="s">
        <v>16</v>
      </c>
      <c r="F3334" s="388">
        <f>VLOOKUP(D3325,'Detail Balok'!$C$10:$AU$140,12,FALSE)</f>
        <v>13</v>
      </c>
      <c r="G3334" s="388"/>
      <c r="H3334" s="395"/>
      <c r="I3334" s="388" t="s">
        <v>203</v>
      </c>
      <c r="J3334" s="399">
        <f t="shared" ref="J3334" si="10725">+D3327/4/1000</f>
        <v>0.7</v>
      </c>
      <c r="K3334" s="400" t="s">
        <v>204</v>
      </c>
      <c r="L3334" s="399">
        <f t="shared" ref="L3334" si="10726">MAX(VLOOKUP(F3334,N$6:P$15,3,FALSE)/1000,2/3*D3329/1000)+F$16*F3334/1000</f>
        <v>0.156</v>
      </c>
      <c r="M3334" s="399" t="s">
        <v>176</v>
      </c>
      <c r="N3334" s="399">
        <f t="shared" si="10712"/>
        <v>0.85599999999999998</v>
      </c>
      <c r="O3334" s="399" t="s">
        <v>204</v>
      </c>
      <c r="P3334" s="389">
        <f t="shared" ref="P3334" si="10727">D3334-D3333</f>
        <v>0</v>
      </c>
      <c r="Q3334" s="399" t="s">
        <v>125</v>
      </c>
      <c r="R3334" s="399">
        <f t="shared" ref="R3334" si="10728">IF(P3334&gt;0,$F$18*F3334/1000,0)</f>
        <v>0</v>
      </c>
      <c r="S3334" s="399" t="s">
        <v>205</v>
      </c>
      <c r="T3334" s="399" t="s">
        <v>125</v>
      </c>
      <c r="U3334" s="401">
        <f t="shared" si="10715"/>
        <v>1.041885</v>
      </c>
      <c r="V3334" s="399"/>
      <c r="W3334" s="399"/>
      <c r="X3334" s="399" t="s">
        <v>125</v>
      </c>
      <c r="Y3334" s="389">
        <f t="shared" ref="Y3334" si="10729">D3331</f>
        <v>1</v>
      </c>
      <c r="Z3334" s="400" t="s">
        <v>176</v>
      </c>
      <c r="AA3334" s="402">
        <f t="shared" ref="AA3334" si="10730">IF(AA3335=0,(D3334*N3334+P3334*R3334)*U3334*Y3334,0)</f>
        <v>0</v>
      </c>
      <c r="AB3334" s="403"/>
    </row>
    <row r="3335" spans="1:28">
      <c r="A3335" s="384" t="str">
        <f t="shared" ref="A3335:B3335" si="10731">A3325</f>
        <v>Lantai 2</v>
      </c>
      <c r="B3335" s="385">
        <f t="shared" si="10731"/>
        <v>24</v>
      </c>
      <c r="C3335" s="393"/>
      <c r="D3335" s="398">
        <f t="shared" si="10627"/>
        <v>3</v>
      </c>
      <c r="E3335" s="388" t="s">
        <v>16</v>
      </c>
      <c r="F3335" s="388">
        <f t="shared" si="10628"/>
        <v>13</v>
      </c>
      <c r="G3335" s="388"/>
      <c r="H3335" s="395"/>
      <c r="I3335" s="388"/>
      <c r="J3335" s="396"/>
      <c r="K3335" s="396"/>
      <c r="L3335" s="404" t="s">
        <v>207</v>
      </c>
      <c r="M3335" s="399" t="s">
        <v>176</v>
      </c>
      <c r="N3335" s="399">
        <f t="shared" ref="N3335" si="10732">IF(AND(D3332=D3333,D3332=D3334,D3333=D3334,F3332=F3333,F3332=F3334,F3333=F3334),SUM(N3332:N3334),0)</f>
        <v>3.1119999999999997</v>
      </c>
      <c r="O3335" s="399" t="s">
        <v>204</v>
      </c>
      <c r="P3335" s="389">
        <f t="shared" ref="P3335" si="10733">IF(N3335&gt;12,ROUNDDOWN(N3335/12,0),0)</f>
        <v>0</v>
      </c>
      <c r="Q3335" s="399" t="s">
        <v>125</v>
      </c>
      <c r="R3335" s="399">
        <f t="shared" ref="R3335" si="10734">IF(P3335&gt;0,MAX(VLOOKUP(F3335,$D$6:$G$15,3,FALSE),600),0)/1000</f>
        <v>0</v>
      </c>
      <c r="S3335" s="396"/>
      <c r="T3335" s="396" t="s">
        <v>125</v>
      </c>
      <c r="U3335" s="401">
        <f t="shared" si="10632"/>
        <v>1.041885</v>
      </c>
      <c r="V3335" s="396" t="s">
        <v>125</v>
      </c>
      <c r="W3335" s="399">
        <f t="shared" ref="W3335" si="10735">D3335</f>
        <v>3</v>
      </c>
      <c r="X3335" s="399" t="s">
        <v>125</v>
      </c>
      <c r="Y3335" s="389">
        <f t="shared" si="10634"/>
        <v>1</v>
      </c>
      <c r="Z3335" s="400" t="s">
        <v>176</v>
      </c>
      <c r="AA3335" s="402">
        <f t="shared" ref="AA3335" si="10736">(N3335+P3335*R3335/1000)*U3335*W3335*Y3335</f>
        <v>9.7270383599999981</v>
      </c>
      <c r="AB3335" s="390"/>
    </row>
    <row r="3336" spans="1:28">
      <c r="A3336" s="384"/>
      <c r="B3336" s="385"/>
      <c r="C3336" s="393"/>
      <c r="D3336" s="398"/>
      <c r="E3336" s="388"/>
      <c r="F3336" s="388"/>
      <c r="G3336" s="388"/>
      <c r="H3336" s="395"/>
      <c r="I3336" s="388"/>
      <c r="J3336" s="396"/>
      <c r="K3336" s="396"/>
      <c r="L3336" s="404"/>
      <c r="M3336" s="399"/>
      <c r="N3336" s="399"/>
      <c r="O3336" s="396"/>
      <c r="P3336" s="389"/>
      <c r="Q3336" s="396"/>
      <c r="R3336" s="396"/>
      <c r="S3336" s="396"/>
      <c r="T3336" s="396"/>
      <c r="U3336" s="401"/>
      <c r="V3336" s="396"/>
      <c r="W3336" s="399"/>
      <c r="X3336" s="396"/>
      <c r="Y3336" s="389"/>
      <c r="Z3336" s="396"/>
      <c r="AA3336" s="388"/>
      <c r="AB3336" s="390"/>
    </row>
    <row r="3337" spans="1:28">
      <c r="A3337" s="384" t="str">
        <f t="shared" ref="A3337:B3337" si="10737">A3325</f>
        <v>Lantai 2</v>
      </c>
      <c r="B3337" s="385">
        <f t="shared" si="10737"/>
        <v>24</v>
      </c>
      <c r="C3337" s="393" t="s">
        <v>208</v>
      </c>
      <c r="D3337" s="398">
        <f>VLOOKUP(D3325,'Detail Balok'!$C$10:$AU$140,13,FALSE)</f>
        <v>0</v>
      </c>
      <c r="E3337" s="388" t="s">
        <v>16</v>
      </c>
      <c r="F3337" s="388">
        <f>VLOOKUP(D3325,'Detail Balok'!$C$10:$AU$140,15,FALSE)</f>
        <v>8</v>
      </c>
      <c r="G3337" s="388"/>
      <c r="H3337" s="395"/>
      <c r="I3337" s="388"/>
      <c r="J3337" s="399">
        <f t="shared" ref="J3337" si="10738">+D3327/1000</f>
        <v>2.8</v>
      </c>
      <c r="K3337" s="400" t="s">
        <v>204</v>
      </c>
      <c r="L3337" s="399">
        <f t="shared" ref="L3337" si="10739">2*$F$16*F3337/1000</f>
        <v>0.192</v>
      </c>
      <c r="M3337" s="399" t="s">
        <v>176</v>
      </c>
      <c r="N3337" s="399">
        <f t="shared" ref="N3337" si="10740">J3337+L3337</f>
        <v>2.992</v>
      </c>
      <c r="O3337" s="399" t="s">
        <v>204</v>
      </c>
      <c r="P3337" s="389">
        <f t="shared" ref="P3337" si="10741">IF(N3337&gt;12,ROUNDDOWN(N3337/12,0),0)</f>
        <v>0</v>
      </c>
      <c r="Q3337" s="399" t="s">
        <v>125</v>
      </c>
      <c r="R3337" s="399">
        <f t="shared" ref="R3337" si="10742">IF(P3337&gt;0,MAX(VLOOKUP(F3337,$D$6:$G$15,3,FALSE),600),0)/1000</f>
        <v>0</v>
      </c>
      <c r="S3337" s="399"/>
      <c r="T3337" s="399" t="s">
        <v>125</v>
      </c>
      <c r="U3337" s="401">
        <f t="shared" ref="U3337" si="10743">0.006165*F3337^2</f>
        <v>0.39456000000000002</v>
      </c>
      <c r="V3337" s="399" t="s">
        <v>125</v>
      </c>
      <c r="W3337" s="399">
        <f t="shared" ref="W3337" si="10744">+D3337</f>
        <v>0</v>
      </c>
      <c r="X3337" s="399" t="s">
        <v>125</v>
      </c>
      <c r="Y3337" s="389">
        <f t="shared" ref="Y3337" si="10745">D3331</f>
        <v>1</v>
      </c>
      <c r="Z3337" s="400" t="s">
        <v>176</v>
      </c>
      <c r="AA3337" s="402">
        <f t="shared" ref="AA3337" si="10746">(N3337+P3337*R3337/1000)*U3337*W3337*Y3337</f>
        <v>0</v>
      </c>
      <c r="AB3337" s="403"/>
    </row>
    <row r="3338" spans="1:28">
      <c r="A3338" s="384"/>
      <c r="B3338" s="385"/>
      <c r="C3338" s="393"/>
      <c r="D3338" s="398"/>
      <c r="E3338" s="388"/>
      <c r="F3338" s="388"/>
      <c r="G3338" s="388"/>
      <c r="H3338" s="395"/>
      <c r="I3338" s="388"/>
      <c r="J3338" s="399"/>
      <c r="K3338" s="400"/>
      <c r="L3338" s="399"/>
      <c r="M3338" s="399"/>
      <c r="N3338" s="399"/>
      <c r="O3338" s="399"/>
      <c r="P3338" s="389"/>
      <c r="Q3338" s="399"/>
      <c r="R3338" s="399"/>
      <c r="S3338" s="399"/>
      <c r="T3338" s="399"/>
      <c r="U3338" s="401"/>
      <c r="V3338" s="399"/>
      <c r="W3338" s="399"/>
      <c r="X3338" s="399"/>
      <c r="Y3338" s="389"/>
      <c r="Z3338" s="400"/>
      <c r="AA3338" s="402"/>
      <c r="AB3338" s="403"/>
    </row>
    <row r="3339" spans="1:28">
      <c r="A3339" s="384"/>
      <c r="B3339" s="385"/>
      <c r="C3339" s="393"/>
      <c r="D3339" s="398"/>
      <c r="E3339" s="388"/>
      <c r="F3339" s="388"/>
      <c r="G3339" s="388"/>
      <c r="H3339" s="395"/>
      <c r="I3339" s="388"/>
      <c r="J3339" s="396"/>
      <c r="K3339" s="396"/>
      <c r="L3339" s="396"/>
      <c r="M3339" s="396"/>
      <c r="N3339" s="396"/>
      <c r="O3339" s="396"/>
      <c r="P3339" s="389"/>
      <c r="Q3339" s="396"/>
      <c r="R3339" s="396"/>
      <c r="S3339" s="396"/>
      <c r="T3339" s="396"/>
      <c r="U3339" s="401"/>
      <c r="V3339" s="396"/>
      <c r="W3339" s="399"/>
      <c r="X3339" s="396"/>
      <c r="Y3339" s="389"/>
      <c r="Z3339" s="396"/>
      <c r="AA3339" s="388"/>
      <c r="AB3339" s="390"/>
    </row>
    <row r="3340" spans="1:28">
      <c r="A3340" s="384" t="str">
        <f t="shared" ref="A3340:B3340" si="10747">A3325</f>
        <v>Lantai 2</v>
      </c>
      <c r="B3340" s="385">
        <f t="shared" si="10747"/>
        <v>24</v>
      </c>
      <c r="C3340" s="393" t="s">
        <v>209</v>
      </c>
      <c r="D3340" s="398">
        <f>VLOOKUP(D3325,'Detail Balok'!$C$10:$AU$140,22,FALSE)</f>
        <v>3</v>
      </c>
      <c r="E3340" s="388" t="s">
        <v>16</v>
      </c>
      <c r="F3340" s="388">
        <f>VLOOKUP(D3325,'Detail Balok'!$C$10:$AU$140,24,FALSE)</f>
        <v>13</v>
      </c>
      <c r="G3340" s="388"/>
      <c r="H3340" s="395"/>
      <c r="I3340" s="388" t="s">
        <v>203</v>
      </c>
      <c r="J3340" s="399">
        <f t="shared" si="10647"/>
        <v>0.7</v>
      </c>
      <c r="K3340" s="400" t="s">
        <v>204</v>
      </c>
      <c r="L3340" s="399">
        <f t="shared" ref="L3340" si="10748">MAX(VLOOKUP(F3340,N$6:P$15,3,FALSE)/1000,2/3*D3330/1000)+F$16*F3340/1000</f>
        <v>0.156</v>
      </c>
      <c r="M3340" s="399" t="s">
        <v>176</v>
      </c>
      <c r="N3340" s="399">
        <f t="shared" ref="N3340:N3342" si="10749">J3340+L3340</f>
        <v>0.85599999999999998</v>
      </c>
      <c r="O3340" s="399" t="s">
        <v>204</v>
      </c>
      <c r="P3340" s="389">
        <f t="shared" ref="P3340" si="10750">D3340-D3341</f>
        <v>0</v>
      </c>
      <c r="Q3340" s="399" t="s">
        <v>125</v>
      </c>
      <c r="R3340" s="399">
        <f t="shared" ref="R3340" si="10751">IF(P3340&gt;0,$F$18*F3340/1000,0)</f>
        <v>0</v>
      </c>
      <c r="S3340" s="399" t="s">
        <v>205</v>
      </c>
      <c r="T3340" s="399" t="s">
        <v>125</v>
      </c>
      <c r="U3340" s="401">
        <f t="shared" ref="U3340:U3342" si="10752">0.006165*F3340^2</f>
        <v>1.041885</v>
      </c>
      <c r="V3340" s="399"/>
      <c r="W3340" s="399"/>
      <c r="X3340" s="399" t="s">
        <v>125</v>
      </c>
      <c r="Y3340" s="389">
        <f t="shared" ref="Y3340" si="10753">D3331</f>
        <v>1</v>
      </c>
      <c r="Z3340" s="400" t="s">
        <v>176</v>
      </c>
      <c r="AA3340" s="402">
        <f t="shared" ref="AA3340" si="10754">IF(AA3343=0,(D3340*N3340+P3340*R3340)*U3340*Y3340,0)</f>
        <v>0</v>
      </c>
      <c r="AB3340" s="403"/>
    </row>
    <row r="3341" spans="1:28">
      <c r="A3341" s="384" t="str">
        <f t="shared" ref="A3341:B3341" si="10755">A3325</f>
        <v>Lantai 2</v>
      </c>
      <c r="B3341" s="385">
        <f t="shared" si="10755"/>
        <v>24</v>
      </c>
      <c r="C3341" s="393" t="s">
        <v>210</v>
      </c>
      <c r="D3341" s="398">
        <f>VLOOKUP(D3325,'Detail Balok'!$C$10:$AU$140,25,FALSE)</f>
        <v>3</v>
      </c>
      <c r="E3341" s="388" t="s">
        <v>16</v>
      </c>
      <c r="F3341" s="388">
        <f>VLOOKUP(D3325,'Detail Balok'!$C$10:$AU$140,27,FALSE)</f>
        <v>13</v>
      </c>
      <c r="G3341" s="388"/>
      <c r="H3341" s="395"/>
      <c r="I3341" s="388" t="s">
        <v>203</v>
      </c>
      <c r="J3341" s="399">
        <f t="shared" si="10647"/>
        <v>1.4</v>
      </c>
      <c r="K3341" s="400" t="s">
        <v>204</v>
      </c>
      <c r="L3341" s="399"/>
      <c r="M3341" s="399" t="s">
        <v>176</v>
      </c>
      <c r="N3341" s="399">
        <f t="shared" si="10749"/>
        <v>1.4</v>
      </c>
      <c r="O3341" s="399" t="s">
        <v>204</v>
      </c>
      <c r="P3341" s="389">
        <f t="shared" ref="P3341" si="10756">MAX(D3341-D3340,D3341-D3342)</f>
        <v>0</v>
      </c>
      <c r="Q3341" s="399" t="s">
        <v>125</v>
      </c>
      <c r="R3341" s="399">
        <f t="shared" ref="R3341" si="10757">IF(P3341&gt;0,2*(1-2*$F$19-1/2)*D3328/1000,0)</f>
        <v>0</v>
      </c>
      <c r="S3341" s="399" t="s">
        <v>205</v>
      </c>
      <c r="T3341" s="399" t="s">
        <v>125</v>
      </c>
      <c r="U3341" s="401">
        <f t="shared" si="10752"/>
        <v>1.041885</v>
      </c>
      <c r="V3341" s="399"/>
      <c r="W3341" s="399"/>
      <c r="X3341" s="399" t="s">
        <v>125</v>
      </c>
      <c r="Y3341" s="389">
        <f t="shared" ref="Y3341" si="10758">D3331</f>
        <v>1</v>
      </c>
      <c r="Z3341" s="400" t="s">
        <v>176</v>
      </c>
      <c r="AA3341" s="402">
        <f t="shared" ref="AA3341" si="10759">IF(AA3343=0,(D3341*N3341+P3341*R3341)*U3341*Y3341,0)</f>
        <v>0</v>
      </c>
      <c r="AB3341" s="403"/>
    </row>
    <row r="3342" spans="1:28">
      <c r="A3342" s="384" t="str">
        <f t="shared" ref="A3342:B3342" si="10760">A3325</f>
        <v>Lantai 2</v>
      </c>
      <c r="B3342" s="385">
        <f t="shared" si="10760"/>
        <v>24</v>
      </c>
      <c r="C3342" s="393" t="s">
        <v>209</v>
      </c>
      <c r="D3342" s="398">
        <f>VLOOKUP(D3325,'Detail Balok'!$C$10:$AU$140,28,FALSE)</f>
        <v>3</v>
      </c>
      <c r="E3342" s="388" t="s">
        <v>16</v>
      </c>
      <c r="F3342" s="388">
        <f>VLOOKUP(D3325,'Detail Balok'!$C$10:$AU$140,30,FALSE)</f>
        <v>13</v>
      </c>
      <c r="G3342" s="388"/>
      <c r="H3342" s="395"/>
      <c r="I3342" s="388" t="s">
        <v>203</v>
      </c>
      <c r="J3342" s="399">
        <f t="shared" si="10647"/>
        <v>0.7</v>
      </c>
      <c r="K3342" s="400" t="s">
        <v>204</v>
      </c>
      <c r="L3342" s="399">
        <f t="shared" ref="L3342" si="10761">MAX(VLOOKUP(F3342,N$6:P$15,3,FALSE)/1000,2/3*D3330/1000)+F$16*F3342/1000</f>
        <v>0.156</v>
      </c>
      <c r="M3342" s="399" t="s">
        <v>176</v>
      </c>
      <c r="N3342" s="399">
        <f t="shared" si="10749"/>
        <v>0.85599999999999998</v>
      </c>
      <c r="O3342" s="399" t="s">
        <v>204</v>
      </c>
      <c r="P3342" s="389">
        <f t="shared" ref="P3342" si="10762">D3342-D3341</f>
        <v>0</v>
      </c>
      <c r="Q3342" s="399" t="s">
        <v>125</v>
      </c>
      <c r="R3342" s="399">
        <f t="shared" ref="R3342" si="10763">IF(P3342&gt;0,$F$18*F3342/1000,0)</f>
        <v>0</v>
      </c>
      <c r="S3342" s="399" t="s">
        <v>205</v>
      </c>
      <c r="T3342" s="399" t="s">
        <v>125</v>
      </c>
      <c r="U3342" s="401">
        <f t="shared" si="10752"/>
        <v>1.041885</v>
      </c>
      <c r="V3342" s="399"/>
      <c r="W3342" s="399"/>
      <c r="X3342" s="399" t="s">
        <v>125</v>
      </c>
      <c r="Y3342" s="389">
        <f t="shared" ref="Y3342" si="10764">D3331</f>
        <v>1</v>
      </c>
      <c r="Z3342" s="400" t="s">
        <v>176</v>
      </c>
      <c r="AA3342" s="402">
        <f t="shared" ref="AA3342" si="10765">IF(AA3343=0,(D3342*N3342+P3342*R3342)*U3342*Y3342,0)</f>
        <v>0</v>
      </c>
      <c r="AB3342" s="403"/>
    </row>
    <row r="3343" spans="1:28">
      <c r="A3343" s="384" t="str">
        <f t="shared" ref="A3343:B3343" si="10766">A3325</f>
        <v>Lantai 2</v>
      </c>
      <c r="B3343" s="385">
        <f t="shared" si="10766"/>
        <v>24</v>
      </c>
      <c r="C3343" s="393"/>
      <c r="D3343" s="398">
        <f t="shared" si="10667"/>
        <v>3</v>
      </c>
      <c r="E3343" s="388" t="s">
        <v>16</v>
      </c>
      <c r="F3343" s="388">
        <f t="shared" si="10668"/>
        <v>13</v>
      </c>
      <c r="G3343" s="388"/>
      <c r="H3343" s="395"/>
      <c r="I3343" s="388"/>
      <c r="J3343" s="396"/>
      <c r="K3343" s="396"/>
      <c r="L3343" s="404" t="s">
        <v>207</v>
      </c>
      <c r="M3343" s="399" t="s">
        <v>176</v>
      </c>
      <c r="N3343" s="399">
        <f t="shared" ref="N3343" si="10767">IF(AND(D3340=D3341,D3340=D3342,D3341=D3342,F3340=F3341,F3340=F3342,F3341=F3342),SUM(N3340:N3342),0)</f>
        <v>3.1119999999999997</v>
      </c>
      <c r="O3343" s="399" t="s">
        <v>204</v>
      </c>
      <c r="P3343" s="389">
        <f t="shared" ref="P3343" si="10768">IF(N3343&gt;12,ROUNDDOWN(N3343/12,0),0)</f>
        <v>0</v>
      </c>
      <c r="Q3343" s="399" t="s">
        <v>125</v>
      </c>
      <c r="R3343" s="399">
        <f t="shared" ref="R3343" si="10769">IF(P3343&gt;0,MAX(VLOOKUP(F3343,$D$6:$G$15,3,FALSE),600),0)/1000</f>
        <v>0</v>
      </c>
      <c r="S3343" s="396"/>
      <c r="T3343" s="396" t="s">
        <v>125</v>
      </c>
      <c r="U3343" s="401">
        <f t="shared" si="10672"/>
        <v>1.041885</v>
      </c>
      <c r="V3343" s="396" t="s">
        <v>125</v>
      </c>
      <c r="W3343" s="399">
        <f t="shared" ref="W3343" si="10770">D3343</f>
        <v>3</v>
      </c>
      <c r="X3343" s="399" t="s">
        <v>125</v>
      </c>
      <c r="Y3343" s="389">
        <f t="shared" si="10674"/>
        <v>1</v>
      </c>
      <c r="Z3343" s="400" t="s">
        <v>176</v>
      </c>
      <c r="AA3343" s="402">
        <f t="shared" ref="AA3343" si="10771">(N3343+P3343*R3343/1000)*U3343*W3343*Y3343</f>
        <v>9.7270383599999981</v>
      </c>
      <c r="AB3343" s="403"/>
    </row>
    <row r="3344" spans="1:28">
      <c r="A3344" s="384"/>
      <c r="B3344" s="385"/>
      <c r="C3344" s="393"/>
      <c r="D3344" s="394"/>
      <c r="E3344" s="388"/>
      <c r="F3344" s="388"/>
      <c r="G3344" s="388"/>
      <c r="H3344" s="395"/>
      <c r="I3344" s="388"/>
      <c r="J3344" s="399"/>
      <c r="K3344" s="396"/>
      <c r="L3344" s="396"/>
      <c r="M3344" s="396"/>
      <c r="N3344" s="396"/>
      <c r="O3344" s="396"/>
      <c r="P3344" s="389"/>
      <c r="Q3344" s="396"/>
      <c r="R3344" s="396"/>
      <c r="S3344" s="396"/>
      <c r="T3344" s="396"/>
      <c r="U3344" s="401"/>
      <c r="V3344" s="396"/>
      <c r="W3344" s="388"/>
      <c r="X3344" s="396"/>
      <c r="Y3344" s="389"/>
      <c r="Z3344" s="396"/>
      <c r="AA3344" s="388"/>
      <c r="AB3344" s="390"/>
    </row>
    <row r="3345" spans="1:28">
      <c r="A3345" s="384" t="str">
        <f t="shared" ref="A3345:B3345" si="10772">A3325</f>
        <v>Lantai 2</v>
      </c>
      <c r="B3345" s="385">
        <f t="shared" si="10772"/>
        <v>24</v>
      </c>
      <c r="C3345" s="393" t="s">
        <v>211</v>
      </c>
      <c r="D3345" s="398">
        <f>VLOOKUP(D3325,'Detail Balok'!$C$10:$AU$140,31,FALSE)</f>
        <v>0</v>
      </c>
      <c r="E3345" s="388" t="s">
        <v>16</v>
      </c>
      <c r="F3345" s="388">
        <f>VLOOKUP(D3325,'Detail Balok'!$C$10:$AU$140,33,FALSE)</f>
        <v>10</v>
      </c>
      <c r="G3345" s="405" t="s">
        <v>157</v>
      </c>
      <c r="H3345" s="395">
        <f>VLOOKUP(D3325,'Detail Balok'!$C$10:$AU$140,35,FALSE)</f>
        <v>100</v>
      </c>
      <c r="I3345" s="388"/>
      <c r="J3345" s="400">
        <f t="shared" ref="J3345" si="10773">(IF(D3345=0,(2*(D3326+G3326))-(F$5*8),IF(D3345=3,(2*(D3326+G3326))-(F$5*8)+(G3326-2*F$5),IF(D3345=4,(2*(D3326+G3326))-(F$5*8)+2*(G3326-2*F$5)))))/1000</f>
        <v>0.88</v>
      </c>
      <c r="K3345" s="400" t="s">
        <v>204</v>
      </c>
      <c r="L3345" s="399">
        <f t="shared" ref="L3345:L3347" si="10774">IF(D3345=0,2*MAX(6*F3345,75),(D3345-1)*2*MAX(6*F3345,75))/1000</f>
        <v>0.15</v>
      </c>
      <c r="M3345" s="399" t="s">
        <v>176</v>
      </c>
      <c r="N3345" s="399">
        <f t="shared" ref="N3345:N3347" si="10775">J3345+L3345</f>
        <v>1.03</v>
      </c>
      <c r="O3345" s="399"/>
      <c r="P3345" s="389"/>
      <c r="Q3345" s="399"/>
      <c r="R3345" s="399"/>
      <c r="S3345" s="399"/>
      <c r="T3345" s="399" t="s">
        <v>125</v>
      </c>
      <c r="U3345" s="401">
        <f t="shared" ref="U3345:U3347" si="10776">0.006165*F3345^2</f>
        <v>0.61650000000000005</v>
      </c>
      <c r="V3345" s="399" t="s">
        <v>125</v>
      </c>
      <c r="W3345" s="399">
        <f t="shared" ref="W3345" si="10777">IF(D3328&gt;4*G3326,ROUND(MAX(D3328/4,2*G3326)/H3345,0)+1,ROUND(D3328/H3345,0)+1)</f>
        <v>9</v>
      </c>
      <c r="X3345" s="399" t="s">
        <v>125</v>
      </c>
      <c r="Y3345" s="389">
        <f t="shared" ref="Y3345" si="10778">D3331</f>
        <v>1</v>
      </c>
      <c r="Z3345" s="400" t="s">
        <v>176</v>
      </c>
      <c r="AA3345" s="402">
        <f t="shared" ref="AA3345:AA3347" si="10779">N3345*U3345*W3345*Y3345</f>
        <v>5.7149550000000007</v>
      </c>
      <c r="AB3345" s="403"/>
    </row>
    <row r="3346" spans="1:28">
      <c r="A3346" s="384" t="str">
        <f t="shared" ref="A3346:B3346" si="10780">A3325</f>
        <v>Lantai 2</v>
      </c>
      <c r="B3346" s="385">
        <f t="shared" si="10780"/>
        <v>24</v>
      </c>
      <c r="C3346" s="393" t="s">
        <v>212</v>
      </c>
      <c r="D3346" s="398">
        <f>VLOOKUP(D3325,'Detail Balok'!$C$10:$AU$140,36,FALSE)</f>
        <v>0</v>
      </c>
      <c r="E3346" s="388" t="s">
        <v>16</v>
      </c>
      <c r="F3346" s="388">
        <f>VLOOKUP(D3325,'Detail Balok'!$C$10:$AU$140,38,FALSE)</f>
        <v>10</v>
      </c>
      <c r="G3346" s="405" t="s">
        <v>157</v>
      </c>
      <c r="H3346" s="395">
        <f>VLOOKUP(D3325,'Detail Balok'!$C$10:$AU$140,40,FALSE)</f>
        <v>200</v>
      </c>
      <c r="I3346" s="388"/>
      <c r="J3346" s="400">
        <f t="shared" ref="J3346" si="10781">(IF(D3346=0,(2*(D3326+G3326))-(F$5*8),IF(D3346=3,(2*(D3326+G3326))-(F$5*8)+(G3326-2*F$5),IF(D3346=4,(2*(D3326+G3326))-(F$5*8)+2*(G3326-2*F$5)))))/1000</f>
        <v>0.88</v>
      </c>
      <c r="K3346" s="400" t="s">
        <v>204</v>
      </c>
      <c r="L3346" s="399">
        <f t="shared" si="10774"/>
        <v>0.15</v>
      </c>
      <c r="M3346" s="399" t="s">
        <v>176</v>
      </c>
      <c r="N3346" s="399">
        <f t="shared" si="10775"/>
        <v>1.03</v>
      </c>
      <c r="O3346" s="399"/>
      <c r="P3346" s="389"/>
      <c r="Q3346" s="399"/>
      <c r="R3346" s="399"/>
      <c r="S3346" s="399"/>
      <c r="T3346" s="399" t="s">
        <v>125</v>
      </c>
      <c r="U3346" s="401">
        <f t="shared" si="10776"/>
        <v>0.61650000000000005</v>
      </c>
      <c r="V3346" s="399" t="s">
        <v>125</v>
      </c>
      <c r="W3346" s="399">
        <f t="shared" ref="W3346" si="10782">IF(D3328-MAX(D3328/4,2*G3326)*2&gt;0,ROUND((D3328-MAX(D3328/4,2*G3326)*2)/H3346,0),0)</f>
        <v>6</v>
      </c>
      <c r="X3346" s="399" t="s">
        <v>125</v>
      </c>
      <c r="Y3346" s="389">
        <f t="shared" ref="Y3346" si="10783">D3331</f>
        <v>1</v>
      </c>
      <c r="Z3346" s="400" t="s">
        <v>176</v>
      </c>
      <c r="AA3346" s="402">
        <f t="shared" si="10779"/>
        <v>3.8099700000000007</v>
      </c>
      <c r="AB3346" s="403"/>
    </row>
    <row r="3347" spans="1:28">
      <c r="A3347" s="384" t="str">
        <f t="shared" ref="A3347:B3347" si="10784">A3325</f>
        <v>Lantai 2</v>
      </c>
      <c r="B3347" s="385">
        <f t="shared" si="10784"/>
        <v>24</v>
      </c>
      <c r="C3347" s="393" t="s">
        <v>211</v>
      </c>
      <c r="D3347" s="398">
        <f>VLOOKUP(D3325,'Detail Balok'!$C$10:$AU$140,41,FALSE)</f>
        <v>0</v>
      </c>
      <c r="E3347" s="388" t="s">
        <v>16</v>
      </c>
      <c r="F3347" s="388">
        <f>VLOOKUP(D3325,'Detail Balok'!$C$10:$AU$140,43,FALSE)</f>
        <v>10</v>
      </c>
      <c r="G3347" s="405" t="s">
        <v>157</v>
      </c>
      <c r="H3347" s="395">
        <f>VLOOKUP(D3325,'Detail Balok'!$C$10:$AU$140,45,FALSE)</f>
        <v>100</v>
      </c>
      <c r="I3347" s="388"/>
      <c r="J3347" s="400">
        <f t="shared" ref="J3347" si="10785">(IF(D3347=0,(2*(D3326+G3326))-(F$5*8),IF(D3347=3,(2*(D3326+G3326))-(F$5*8)+(G3326-2*F$5),IF(D3347=4,(2*(D3326+G3326))-(F$5*8)+2*(G3326-2*F$5)))))/1000</f>
        <v>0.88</v>
      </c>
      <c r="K3347" s="400" t="s">
        <v>204</v>
      </c>
      <c r="L3347" s="399">
        <f t="shared" si="10774"/>
        <v>0.15</v>
      </c>
      <c r="M3347" s="399" t="s">
        <v>176</v>
      </c>
      <c r="N3347" s="399">
        <f t="shared" si="10775"/>
        <v>1.03</v>
      </c>
      <c r="O3347" s="399"/>
      <c r="P3347" s="389"/>
      <c r="Q3347" s="399"/>
      <c r="R3347" s="399"/>
      <c r="S3347" s="399"/>
      <c r="T3347" s="399" t="s">
        <v>125</v>
      </c>
      <c r="U3347" s="401">
        <f t="shared" si="10776"/>
        <v>0.61650000000000005</v>
      </c>
      <c r="V3347" s="399" t="s">
        <v>125</v>
      </c>
      <c r="W3347" s="399">
        <f t="shared" ref="W3347" si="10786">IF(D3328&gt;4*G3326,ROUND(MAX(D3328/4,2*G3326)/H3347,0)+1,0)</f>
        <v>9</v>
      </c>
      <c r="X3347" s="399" t="s">
        <v>125</v>
      </c>
      <c r="Y3347" s="389">
        <f t="shared" ref="Y3347" si="10787">D3331</f>
        <v>1</v>
      </c>
      <c r="Z3347" s="400" t="s">
        <v>176</v>
      </c>
      <c r="AA3347" s="402">
        <f t="shared" si="10779"/>
        <v>5.7149550000000007</v>
      </c>
      <c r="AB3347" s="403"/>
    </row>
    <row r="3348" spans="1:28">
      <c r="A3348" s="384"/>
      <c r="B3348" s="385"/>
      <c r="C3348" s="393"/>
      <c r="D3348" s="394"/>
      <c r="E3348" s="388"/>
      <c r="F3348" s="388"/>
      <c r="G3348" s="388"/>
      <c r="H3348" s="395"/>
      <c r="I3348" s="388"/>
      <c r="J3348" s="399"/>
      <c r="K3348" s="396"/>
      <c r="L3348" s="396"/>
      <c r="M3348" s="396"/>
      <c r="N3348" s="396"/>
      <c r="O3348" s="396"/>
      <c r="P3348" s="389"/>
      <c r="Q3348" s="396"/>
      <c r="R3348" s="396"/>
      <c r="S3348" s="396"/>
      <c r="T3348" s="396"/>
      <c r="U3348" s="401"/>
      <c r="V3348" s="396"/>
      <c r="W3348" s="388"/>
      <c r="X3348" s="396"/>
      <c r="Y3348" s="389"/>
      <c r="Z3348" s="396"/>
      <c r="AA3348" s="388"/>
      <c r="AB3348" s="390"/>
    </row>
    <row r="3349" spans="1:28">
      <c r="A3349" s="384" t="str">
        <f t="shared" ref="A3349:B3349" si="10788">A3325</f>
        <v>Lantai 2</v>
      </c>
      <c r="B3349" s="385">
        <f t="shared" si="10788"/>
        <v>24</v>
      </c>
      <c r="C3349" s="393" t="s">
        <v>213</v>
      </c>
      <c r="D3349" s="398">
        <f>VLOOKUP(D3325,'Detail Balok'!$C$10:$BJ$140,46,FALSE)</f>
        <v>0</v>
      </c>
      <c r="E3349" s="388" t="s">
        <v>16</v>
      </c>
      <c r="F3349" s="388">
        <f>VLOOKUP(D3325,'Detail Balok'!$C$10:$BJ$140,48,FALSE)</f>
        <v>0</v>
      </c>
      <c r="G3349" s="405" t="s">
        <v>157</v>
      </c>
      <c r="H3349" s="395">
        <f>VLOOKUP(D3325,'Detail Balok'!$C$10:$BJ$140,50,FALSE)</f>
        <v>100</v>
      </c>
      <c r="I3349" s="388"/>
      <c r="J3349" s="399">
        <f t="shared" ref="J3349" si="10789">(D3326-2*F$5)/1000</f>
        <v>0.12</v>
      </c>
      <c r="K3349" s="400" t="s">
        <v>204</v>
      </c>
      <c r="L3349" s="399">
        <f t="shared" ref="L3349:L3351" si="10790">IF(D3349=0,2*MAX(6*F3349,75),(D3349-1)*2*MAX(6*F3349,75))/1000</f>
        <v>0.15</v>
      </c>
      <c r="M3349" s="399" t="s">
        <v>176</v>
      </c>
      <c r="N3349" s="399">
        <f t="shared" ref="N3349:N3351" si="10791">J3349+L3349</f>
        <v>0.27</v>
      </c>
      <c r="O3349" s="399"/>
      <c r="P3349" s="399"/>
      <c r="Q3349" s="399"/>
      <c r="R3349" s="399"/>
      <c r="S3349" s="399"/>
      <c r="T3349" s="399" t="s">
        <v>125</v>
      </c>
      <c r="U3349" s="401">
        <f t="shared" ref="U3349:U3351" si="10792">0.006165*F3349^2</f>
        <v>0</v>
      </c>
      <c r="V3349" s="399" t="s">
        <v>125</v>
      </c>
      <c r="W3349" s="399">
        <f t="shared" si="10697"/>
        <v>9</v>
      </c>
      <c r="X3349" s="399" t="s">
        <v>125</v>
      </c>
      <c r="Y3349" s="389">
        <f t="shared" ref="Y3349" si="10793">D3335</f>
        <v>3</v>
      </c>
      <c r="Z3349" s="400" t="s">
        <v>176</v>
      </c>
      <c r="AA3349" s="402">
        <f t="shared" ref="AA3349:AA3351" si="10794">N3349*U3349*W3349*Y3349</f>
        <v>0</v>
      </c>
      <c r="AB3349" s="403"/>
    </row>
    <row r="3350" spans="1:28">
      <c r="A3350" s="384" t="str">
        <f t="shared" ref="A3350:B3350" si="10795">A3325</f>
        <v>Lantai 2</v>
      </c>
      <c r="B3350" s="385">
        <f t="shared" si="10795"/>
        <v>24</v>
      </c>
      <c r="C3350" s="393" t="s">
        <v>214</v>
      </c>
      <c r="D3350" s="398">
        <f>VLOOKUP(D3325,'Detail Balok'!$C$10:$BJ$140,51,FALSE)</f>
        <v>0</v>
      </c>
      <c r="E3350" s="388" t="s">
        <v>16</v>
      </c>
      <c r="F3350" s="388">
        <f>VLOOKUP(D3325,'Detail Balok'!$C$10:$BJ$140,53,FALSE)</f>
        <v>0</v>
      </c>
      <c r="G3350" s="405" t="s">
        <v>157</v>
      </c>
      <c r="H3350" s="395">
        <f>VLOOKUP(D3325,'Detail Balok'!$C$10:$BJ$140,55,FALSE)</f>
        <v>100</v>
      </c>
      <c r="I3350" s="388"/>
      <c r="J3350" s="399">
        <f t="shared" ref="J3350" si="10796">(D3326-2*F$5)/1000</f>
        <v>0.12</v>
      </c>
      <c r="K3350" s="400" t="s">
        <v>204</v>
      </c>
      <c r="L3350" s="399">
        <f t="shared" si="10790"/>
        <v>0.15</v>
      </c>
      <c r="M3350" s="399" t="s">
        <v>176</v>
      </c>
      <c r="N3350" s="399">
        <f t="shared" si="10791"/>
        <v>0.27</v>
      </c>
      <c r="O3350" s="399"/>
      <c r="P3350" s="399"/>
      <c r="Q3350" s="399"/>
      <c r="R3350" s="399"/>
      <c r="S3350" s="399"/>
      <c r="T3350" s="399" t="s">
        <v>125</v>
      </c>
      <c r="U3350" s="401">
        <f t="shared" si="10792"/>
        <v>0</v>
      </c>
      <c r="V3350" s="399" t="s">
        <v>125</v>
      </c>
      <c r="W3350" s="399">
        <f t="shared" si="10697"/>
        <v>6</v>
      </c>
      <c r="X3350" s="399" t="s">
        <v>125</v>
      </c>
      <c r="Y3350" s="389">
        <f t="shared" ref="Y3350" si="10797">D3335</f>
        <v>3</v>
      </c>
      <c r="Z3350" s="400" t="s">
        <v>176</v>
      </c>
      <c r="AA3350" s="402">
        <f t="shared" si="10794"/>
        <v>0</v>
      </c>
      <c r="AB3350" s="403"/>
    </row>
    <row r="3351" spans="1:28">
      <c r="A3351" s="384" t="str">
        <f t="shared" ref="A3351:B3351" si="10798">A3325</f>
        <v>Lantai 2</v>
      </c>
      <c r="B3351" s="385">
        <f t="shared" si="10798"/>
        <v>24</v>
      </c>
      <c r="C3351" s="393" t="s">
        <v>213</v>
      </c>
      <c r="D3351" s="398">
        <f>VLOOKUP(D3325,'Detail Balok'!$C$10:$BJ$140,56,FALSE)</f>
        <v>0</v>
      </c>
      <c r="E3351" s="388" t="s">
        <v>16</v>
      </c>
      <c r="F3351" s="388">
        <f>VLOOKUP(D3325,'Detail Balok'!$C$10:$BJ$140,58,FALSE)</f>
        <v>0</v>
      </c>
      <c r="G3351" s="405" t="s">
        <v>157</v>
      </c>
      <c r="H3351" s="395">
        <f>VLOOKUP(D3325,'Detail Balok'!$C$10:$BJ$140,60,FALSE)</f>
        <v>100</v>
      </c>
      <c r="I3351" s="388"/>
      <c r="J3351" s="399">
        <f t="shared" ref="J3351" si="10799">(D3326-2*F$5)/1000</f>
        <v>0.12</v>
      </c>
      <c r="K3351" s="400" t="s">
        <v>204</v>
      </c>
      <c r="L3351" s="399">
        <f t="shared" si="10790"/>
        <v>0.15</v>
      </c>
      <c r="M3351" s="399" t="s">
        <v>176</v>
      </c>
      <c r="N3351" s="399">
        <f t="shared" si="10791"/>
        <v>0.27</v>
      </c>
      <c r="O3351" s="399"/>
      <c r="P3351" s="399"/>
      <c r="Q3351" s="399"/>
      <c r="R3351" s="399"/>
      <c r="S3351" s="399"/>
      <c r="T3351" s="399" t="s">
        <v>125</v>
      </c>
      <c r="U3351" s="401">
        <f t="shared" si="10792"/>
        <v>0</v>
      </c>
      <c r="V3351" s="399" t="s">
        <v>125</v>
      </c>
      <c r="W3351" s="399">
        <f t="shared" si="10697"/>
        <v>9</v>
      </c>
      <c r="X3351" s="399" t="s">
        <v>125</v>
      </c>
      <c r="Y3351" s="389">
        <f t="shared" ref="Y3351" si="10800">D3335</f>
        <v>3</v>
      </c>
      <c r="Z3351" s="400" t="s">
        <v>176</v>
      </c>
      <c r="AA3351" s="402">
        <f t="shared" si="10794"/>
        <v>0</v>
      </c>
      <c r="AB3351" s="403"/>
    </row>
    <row r="3352" spans="1:28">
      <c r="A3352" s="391"/>
      <c r="B3352" s="392"/>
      <c r="C3352" s="392"/>
      <c r="D3352" s="394"/>
      <c r="E3352" s="388"/>
      <c r="F3352" s="388"/>
      <c r="G3352" s="388"/>
      <c r="H3352" s="395"/>
      <c r="I3352" s="388"/>
      <c r="J3352" s="402"/>
      <c r="K3352" s="388"/>
      <c r="L3352" s="388"/>
      <c r="M3352" s="388"/>
      <c r="N3352" s="388"/>
      <c r="O3352" s="388"/>
      <c r="P3352" s="388"/>
      <c r="Q3352" s="388"/>
      <c r="R3352" s="388"/>
      <c r="S3352" s="388"/>
      <c r="T3352" s="388"/>
      <c r="U3352" s="388"/>
      <c r="V3352" s="388"/>
      <c r="W3352" s="388"/>
      <c r="X3352" s="388"/>
      <c r="Y3352" s="389"/>
      <c r="Z3352" s="388"/>
      <c r="AA3352" s="402"/>
      <c r="AB3352" s="403"/>
    </row>
    <row r="3353" spans="1:28" ht="15.75" thickBot="1">
      <c r="A3353" s="406"/>
      <c r="B3353" s="407"/>
      <c r="C3353" s="407"/>
      <c r="D3353" s="408"/>
      <c r="E3353" s="409"/>
      <c r="F3353" s="409"/>
      <c r="G3353" s="409"/>
      <c r="H3353" s="410"/>
      <c r="I3353" s="409"/>
      <c r="J3353" s="409"/>
      <c r="K3353" s="409"/>
      <c r="L3353" s="409"/>
      <c r="M3353" s="409"/>
      <c r="N3353" s="409"/>
      <c r="O3353" s="409"/>
      <c r="P3353" s="409"/>
      <c r="Q3353" s="409"/>
      <c r="R3353" s="409"/>
      <c r="S3353" s="409"/>
      <c r="T3353" s="409"/>
      <c r="U3353" s="409"/>
      <c r="V3353" s="409"/>
      <c r="W3353" s="409"/>
      <c r="X3353" s="409"/>
      <c r="Y3353" s="411"/>
      <c r="Z3353" s="409"/>
      <c r="AA3353" s="412"/>
      <c r="AB3353" s="413"/>
    </row>
    <row r="3354" spans="1:28">
      <c r="A3354" s="377"/>
      <c r="B3354" s="378"/>
      <c r="C3354" s="378"/>
      <c r="D3354" s="379"/>
      <c r="E3354" s="380"/>
      <c r="F3354" s="380"/>
      <c r="G3354" s="380"/>
      <c r="H3354" s="381"/>
      <c r="I3354" s="380"/>
      <c r="J3354" s="380"/>
      <c r="K3354" s="380"/>
      <c r="L3354" s="380"/>
      <c r="M3354" s="380"/>
      <c r="N3354" s="380"/>
      <c r="O3354" s="380"/>
      <c r="P3354" s="380"/>
      <c r="Q3354" s="380"/>
      <c r="R3354" s="380"/>
      <c r="S3354" s="380"/>
      <c r="T3354" s="380"/>
      <c r="U3354" s="380"/>
      <c r="V3354" s="380"/>
      <c r="W3354" s="380"/>
      <c r="X3354" s="380"/>
      <c r="Y3354" s="382"/>
      <c r="Z3354" s="380"/>
      <c r="AA3354" s="380"/>
      <c r="AB3354" s="383"/>
    </row>
    <row r="3355" spans="1:28">
      <c r="A3355" s="384" t="str">
        <f t="shared" si="10706"/>
        <v>Lantai 2</v>
      </c>
      <c r="B3355" s="385">
        <f t="shared" si="10707"/>
        <v>25</v>
      </c>
      <c r="C3355" s="386" t="str">
        <f t="shared" ref="C3355" si="10801">CONCATENATE(A3355," no. ",B3355)</f>
        <v>Lantai 2 no. 25</v>
      </c>
      <c r="D3355" s="2562" t="str">
        <f>VLOOKUP(C3355,'Data Panjang Balok'!$C$9:$N$254,2,FALSE)</f>
        <v>B24-1</v>
      </c>
      <c r="E3355" s="2576"/>
      <c r="F3355" s="2576"/>
      <c r="G3355" s="2576"/>
      <c r="H3355" s="2577"/>
      <c r="I3355" s="387"/>
      <c r="J3355" s="388"/>
      <c r="K3355" s="388"/>
      <c r="L3355" s="388"/>
      <c r="M3355" s="388"/>
      <c r="N3355" s="388"/>
      <c r="O3355" s="388"/>
      <c r="P3355" s="388"/>
      <c r="Q3355" s="388"/>
      <c r="R3355" s="388"/>
      <c r="S3355" s="388"/>
      <c r="T3355" s="388"/>
      <c r="U3355" s="388"/>
      <c r="V3355" s="388"/>
      <c r="W3355" s="388"/>
      <c r="X3355" s="388"/>
      <c r="Y3355" s="389"/>
      <c r="Z3355" s="388"/>
      <c r="AA3355" s="388"/>
      <c r="AB3355" s="390"/>
    </row>
    <row r="3356" spans="1:28">
      <c r="A3356" s="391"/>
      <c r="B3356" s="392"/>
      <c r="C3356" s="393" t="s">
        <v>118</v>
      </c>
      <c r="D3356" s="2578">
        <f>VLOOKUP(D3355,'Detail Balok'!$C$10:$AU$140,2,FALSE)</f>
        <v>200</v>
      </c>
      <c r="E3356" s="2579"/>
      <c r="F3356" s="388" t="s">
        <v>125</v>
      </c>
      <c r="G3356" s="2579">
        <f>VLOOKUP(D3355,'Detail Balok'!$C$10:$AU$140,3,FALSE)</f>
        <v>400</v>
      </c>
      <c r="H3356" s="2580"/>
      <c r="I3356" s="388"/>
      <c r="J3356" s="396"/>
      <c r="K3356" s="396"/>
      <c r="L3356" s="396"/>
      <c r="M3356" s="396"/>
      <c r="N3356" s="396"/>
      <c r="O3356" s="396"/>
      <c r="P3356" s="396"/>
      <c r="Q3356" s="396"/>
      <c r="R3356" s="396"/>
      <c r="S3356" s="396"/>
      <c r="T3356" s="396"/>
      <c r="U3356" s="388"/>
      <c r="V3356" s="396"/>
      <c r="W3356" s="388"/>
      <c r="X3356" s="396"/>
      <c r="Y3356" s="389"/>
      <c r="Z3356" s="396"/>
      <c r="AA3356" s="388"/>
      <c r="AB3356" s="390"/>
    </row>
    <row r="3357" spans="1:28">
      <c r="A3357" s="391"/>
      <c r="B3357" s="392"/>
      <c r="C3357" s="393" t="s">
        <v>198</v>
      </c>
      <c r="D3357" s="2562">
        <f>VLOOKUP(C3355,'Data Panjang Balok'!$C$9:$N$254,4,FALSE)</f>
        <v>5150</v>
      </c>
      <c r="E3357" s="2563"/>
      <c r="F3357" s="2563"/>
      <c r="G3357" s="2563"/>
      <c r="H3357" s="2564"/>
      <c r="I3357" s="397"/>
      <c r="J3357" s="396"/>
      <c r="K3357" s="396"/>
      <c r="L3357" s="396"/>
      <c r="M3357" s="396"/>
      <c r="N3357" s="396"/>
      <c r="O3357" s="396"/>
      <c r="P3357" s="396"/>
      <c r="Q3357" s="396"/>
      <c r="R3357" s="396"/>
      <c r="S3357" s="396"/>
      <c r="T3357" s="396"/>
      <c r="U3357" s="388"/>
      <c r="V3357" s="396"/>
      <c r="W3357" s="388"/>
      <c r="X3357" s="396"/>
      <c r="Y3357" s="389"/>
      <c r="Z3357" s="396"/>
      <c r="AA3357" s="388"/>
      <c r="AB3357" s="390"/>
    </row>
    <row r="3358" spans="1:28">
      <c r="A3358" s="391"/>
      <c r="B3358" s="392"/>
      <c r="C3358" s="393" t="s">
        <v>199</v>
      </c>
      <c r="D3358" s="2562">
        <f>VLOOKUP(C3355,'Data Panjang Balok'!$C$9:$N$254,7,FALSE)</f>
        <v>5150</v>
      </c>
      <c r="E3358" s="2563"/>
      <c r="F3358" s="2563"/>
      <c r="G3358" s="2563"/>
      <c r="H3358" s="2564"/>
      <c r="I3358" s="397"/>
      <c r="J3358" s="396"/>
      <c r="K3358" s="396"/>
      <c r="L3358" s="396"/>
      <c r="M3358" s="396"/>
      <c r="N3358" s="396"/>
      <c r="O3358" s="396"/>
      <c r="P3358" s="396"/>
      <c r="Q3358" s="396"/>
      <c r="R3358" s="396"/>
      <c r="S3358" s="396"/>
      <c r="T3358" s="396"/>
      <c r="U3358" s="388"/>
      <c r="V3358" s="396"/>
      <c r="W3358" s="388"/>
      <c r="X3358" s="396"/>
      <c r="Y3358" s="389"/>
      <c r="Z3358" s="396"/>
      <c r="AA3358" s="388"/>
      <c r="AB3358" s="390"/>
    </row>
    <row r="3359" spans="1:28">
      <c r="A3359" s="391"/>
      <c r="B3359" s="392"/>
      <c r="C3359" s="393" t="s">
        <v>200</v>
      </c>
      <c r="D3359" s="2562">
        <f>VLOOKUP(C3355,'Data Panjang Balok'!$C$9:$N$254,9,FALSE)</f>
        <v>0</v>
      </c>
      <c r="E3359" s="2563"/>
      <c r="F3359" s="2563"/>
      <c r="G3359" s="2563"/>
      <c r="H3359" s="2564"/>
      <c r="I3359" s="397"/>
      <c r="J3359" s="396"/>
      <c r="K3359" s="396"/>
      <c r="L3359" s="396"/>
      <c r="M3359" s="396"/>
      <c r="N3359" s="396"/>
      <c r="O3359" s="396"/>
      <c r="P3359" s="396"/>
      <c r="Q3359" s="396"/>
      <c r="R3359" s="396"/>
      <c r="S3359" s="396"/>
      <c r="T3359" s="396"/>
      <c r="U3359" s="388"/>
      <c r="V3359" s="396"/>
      <c r="W3359" s="388"/>
      <c r="X3359" s="396"/>
      <c r="Y3359" s="389"/>
      <c r="Z3359" s="396"/>
      <c r="AA3359" s="388"/>
      <c r="AB3359" s="390"/>
    </row>
    <row r="3360" spans="1:28">
      <c r="A3360" s="391"/>
      <c r="B3360" s="392"/>
      <c r="C3360" s="393" t="s">
        <v>201</v>
      </c>
      <c r="D3360" s="2562">
        <f>VLOOKUP(C3355,'Data Panjang Balok'!$C$9:$N$254,10,FALSE)</f>
        <v>0</v>
      </c>
      <c r="E3360" s="2563"/>
      <c r="F3360" s="2563"/>
      <c r="G3360" s="2563"/>
      <c r="H3360" s="2564"/>
      <c r="I3360" s="397"/>
      <c r="J3360" s="396"/>
      <c r="K3360" s="396"/>
      <c r="L3360" s="396"/>
      <c r="M3360" s="396"/>
      <c r="N3360" s="396"/>
      <c r="O3360" s="396"/>
      <c r="P3360" s="396"/>
      <c r="Q3360" s="396"/>
      <c r="R3360" s="396"/>
      <c r="S3360" s="396"/>
      <c r="T3360" s="396"/>
      <c r="U3360" s="388"/>
      <c r="V3360" s="396"/>
      <c r="W3360" s="388"/>
      <c r="X3360" s="396"/>
      <c r="Y3360" s="389"/>
      <c r="Z3360" s="396"/>
      <c r="AA3360" s="388"/>
      <c r="AB3360" s="390"/>
    </row>
    <row r="3361" spans="1:28">
      <c r="A3361" s="391"/>
      <c r="B3361" s="392"/>
      <c r="C3361" s="393" t="s">
        <v>48</v>
      </c>
      <c r="D3361" s="2562">
        <f>VLOOKUP(C3355,'Data Panjang Balok'!$C$9:$N$254,3,FALSE)</f>
        <v>1</v>
      </c>
      <c r="E3361" s="2563"/>
      <c r="F3361" s="2563"/>
      <c r="G3361" s="2563"/>
      <c r="H3361" s="2564"/>
      <c r="I3361" s="397"/>
      <c r="J3361" s="396"/>
      <c r="K3361" s="396"/>
      <c r="L3361" s="396"/>
      <c r="M3361" s="396"/>
      <c r="N3361" s="396"/>
      <c r="O3361" s="396"/>
      <c r="P3361" s="396"/>
      <c r="Q3361" s="396"/>
      <c r="R3361" s="396"/>
      <c r="S3361" s="396"/>
      <c r="T3361" s="396"/>
      <c r="U3361" s="388"/>
      <c r="V3361" s="396"/>
      <c r="W3361" s="388"/>
      <c r="X3361" s="396"/>
      <c r="Y3361" s="389"/>
      <c r="Z3361" s="396"/>
      <c r="AA3361" s="388"/>
      <c r="AB3361" s="390"/>
    </row>
    <row r="3362" spans="1:28">
      <c r="A3362" s="384" t="str">
        <f t="shared" ref="A3362:B3362" si="10802">A3355</f>
        <v>Lantai 2</v>
      </c>
      <c r="B3362" s="385">
        <f t="shared" si="10802"/>
        <v>25</v>
      </c>
      <c r="C3362" s="393" t="s">
        <v>202</v>
      </c>
      <c r="D3362" s="398">
        <f>VLOOKUP(D3355,'Detail Balok'!$C$10:$AU$140,4,FALSE)</f>
        <v>3</v>
      </c>
      <c r="E3362" s="388" t="s">
        <v>16</v>
      </c>
      <c r="F3362" s="388">
        <f>VLOOKUP(D3355,'Detail Balok'!$C$10:$AU$140,6,FALSE)</f>
        <v>13</v>
      </c>
      <c r="G3362" s="388"/>
      <c r="H3362" s="395"/>
      <c r="I3362" s="388" t="s">
        <v>203</v>
      </c>
      <c r="J3362" s="399">
        <f t="shared" ref="J3362" si="10803">+D3357/4/1000</f>
        <v>1.2875000000000001</v>
      </c>
      <c r="K3362" s="400" t="s">
        <v>204</v>
      </c>
      <c r="L3362" s="399">
        <f t="shared" ref="L3362" si="10804">MAX(VLOOKUP(F3362,N$6:P$15,3,FALSE)/1000,2/3*D3359/1000)+F$16*F3362/1000</f>
        <v>0.156</v>
      </c>
      <c r="M3362" s="399" t="s">
        <v>176</v>
      </c>
      <c r="N3362" s="399">
        <f t="shared" ref="N3362:N3364" si="10805">J3362+L3362</f>
        <v>1.4435</v>
      </c>
      <c r="O3362" s="399" t="s">
        <v>204</v>
      </c>
      <c r="P3362" s="389">
        <f t="shared" ref="P3362" si="10806">D3362-D3363</f>
        <v>0</v>
      </c>
      <c r="Q3362" s="399" t="s">
        <v>125</v>
      </c>
      <c r="R3362" s="399">
        <f t="shared" ref="R3362" si="10807">IF(P3362&gt;0,$F$18*F3362/1000,0)</f>
        <v>0</v>
      </c>
      <c r="S3362" s="399" t="s">
        <v>205</v>
      </c>
      <c r="T3362" s="399" t="s">
        <v>125</v>
      </c>
      <c r="U3362" s="401">
        <f t="shared" ref="U3362:U3364" si="10808">0.006165*F3362^2</f>
        <v>1.041885</v>
      </c>
      <c r="V3362" s="399"/>
      <c r="W3362" s="399"/>
      <c r="X3362" s="399" t="s">
        <v>125</v>
      </c>
      <c r="Y3362" s="389">
        <f t="shared" ref="Y3362" si="10809">D3361</f>
        <v>1</v>
      </c>
      <c r="Z3362" s="400" t="s">
        <v>176</v>
      </c>
      <c r="AA3362" s="402">
        <f t="shared" ref="AA3362" si="10810">IF(AA3365=0,(D3362*N3362+P3362*R3362)*U3362*Y3362,0)</f>
        <v>0</v>
      </c>
      <c r="AB3362" s="403"/>
    </row>
    <row r="3363" spans="1:28">
      <c r="A3363" s="384" t="str">
        <f t="shared" ref="A3363:B3363" si="10811">A3355</f>
        <v>Lantai 2</v>
      </c>
      <c r="B3363" s="385">
        <f t="shared" si="10811"/>
        <v>25</v>
      </c>
      <c r="C3363" s="393" t="s">
        <v>206</v>
      </c>
      <c r="D3363" s="398">
        <f>VLOOKUP(D3355,'Detail Balok'!$C$10:$AU$140,7,FALSE)</f>
        <v>3</v>
      </c>
      <c r="E3363" s="388" t="s">
        <v>16</v>
      </c>
      <c r="F3363" s="388">
        <f>VLOOKUP(D3355,'Detail Balok'!$C$10:$AU$140,9,FALSE)</f>
        <v>13</v>
      </c>
      <c r="G3363" s="388"/>
      <c r="H3363" s="395"/>
      <c r="I3363" s="388" t="s">
        <v>203</v>
      </c>
      <c r="J3363" s="399">
        <f t="shared" ref="J3363" si="10812">+D3357/2/1000</f>
        <v>2.5750000000000002</v>
      </c>
      <c r="K3363" s="400" t="s">
        <v>204</v>
      </c>
      <c r="L3363" s="399"/>
      <c r="M3363" s="399" t="s">
        <v>176</v>
      </c>
      <c r="N3363" s="399">
        <f t="shared" si="10805"/>
        <v>2.5750000000000002</v>
      </c>
      <c r="O3363" s="399" t="s">
        <v>204</v>
      </c>
      <c r="P3363" s="389">
        <f t="shared" ref="P3363" si="10813">MAX(D3363-D3362,D3363-D3364)</f>
        <v>0</v>
      </c>
      <c r="Q3363" s="399" t="s">
        <v>125</v>
      </c>
      <c r="R3363" s="399">
        <f t="shared" ref="R3363" si="10814">IF(P3363&gt;0,2*(1-2*$F$19-1/2)*D3358/1000,0)</f>
        <v>0</v>
      </c>
      <c r="S3363" s="399" t="s">
        <v>205</v>
      </c>
      <c r="T3363" s="399" t="s">
        <v>125</v>
      </c>
      <c r="U3363" s="401">
        <f t="shared" si="10808"/>
        <v>1.041885</v>
      </c>
      <c r="V3363" s="399"/>
      <c r="W3363" s="399"/>
      <c r="X3363" s="399" t="s">
        <v>125</v>
      </c>
      <c r="Y3363" s="389">
        <f t="shared" ref="Y3363" si="10815">D3361</f>
        <v>1</v>
      </c>
      <c r="Z3363" s="400" t="s">
        <v>176</v>
      </c>
      <c r="AA3363" s="402">
        <f t="shared" ref="AA3363" si="10816">IF(AA3365=0,(D3363*N3363+P3363*R3363)*U3363*Y3363,0)</f>
        <v>0</v>
      </c>
      <c r="AB3363" s="403"/>
    </row>
    <row r="3364" spans="1:28">
      <c r="A3364" s="384" t="str">
        <f t="shared" ref="A3364:B3364" si="10817">A3355</f>
        <v>Lantai 2</v>
      </c>
      <c r="B3364" s="385">
        <f t="shared" si="10817"/>
        <v>25</v>
      </c>
      <c r="C3364" s="393" t="s">
        <v>202</v>
      </c>
      <c r="D3364" s="398">
        <f>VLOOKUP(D3355,'Detail Balok'!$C$10:$AU$140,10,FALSE)</f>
        <v>3</v>
      </c>
      <c r="E3364" s="388" t="s">
        <v>16</v>
      </c>
      <c r="F3364" s="388">
        <f>VLOOKUP(D3355,'Detail Balok'!$C$10:$AU$140,12,FALSE)</f>
        <v>13</v>
      </c>
      <c r="G3364" s="388"/>
      <c r="H3364" s="395"/>
      <c r="I3364" s="388" t="s">
        <v>203</v>
      </c>
      <c r="J3364" s="399">
        <f t="shared" ref="J3364" si="10818">+D3357/4/1000</f>
        <v>1.2875000000000001</v>
      </c>
      <c r="K3364" s="400" t="s">
        <v>204</v>
      </c>
      <c r="L3364" s="399">
        <f t="shared" ref="L3364" si="10819">MAX(VLOOKUP(F3364,N$6:P$15,3,FALSE)/1000,2/3*D3359/1000)+F$16*F3364/1000</f>
        <v>0.156</v>
      </c>
      <c r="M3364" s="399" t="s">
        <v>176</v>
      </c>
      <c r="N3364" s="399">
        <f t="shared" si="10805"/>
        <v>1.4435</v>
      </c>
      <c r="O3364" s="399" t="s">
        <v>204</v>
      </c>
      <c r="P3364" s="389">
        <f t="shared" ref="P3364" si="10820">D3364-D3363</f>
        <v>0</v>
      </c>
      <c r="Q3364" s="399" t="s">
        <v>125</v>
      </c>
      <c r="R3364" s="399">
        <f t="shared" ref="R3364" si="10821">IF(P3364&gt;0,$F$18*F3364/1000,0)</f>
        <v>0</v>
      </c>
      <c r="S3364" s="399" t="s">
        <v>205</v>
      </c>
      <c r="T3364" s="399" t="s">
        <v>125</v>
      </c>
      <c r="U3364" s="401">
        <f t="shared" si="10808"/>
        <v>1.041885</v>
      </c>
      <c r="V3364" s="399"/>
      <c r="W3364" s="399"/>
      <c r="X3364" s="399" t="s">
        <v>125</v>
      </c>
      <c r="Y3364" s="389">
        <f t="shared" ref="Y3364" si="10822">D3361</f>
        <v>1</v>
      </c>
      <c r="Z3364" s="400" t="s">
        <v>176</v>
      </c>
      <c r="AA3364" s="402">
        <f t="shared" ref="AA3364" si="10823">IF(AA3365=0,(D3364*N3364+P3364*R3364)*U3364*Y3364,0)</f>
        <v>0</v>
      </c>
      <c r="AB3364" s="403"/>
    </row>
    <row r="3365" spans="1:28">
      <c r="A3365" s="384" t="str">
        <f t="shared" ref="A3365:B3365" si="10824">A3355</f>
        <v>Lantai 2</v>
      </c>
      <c r="B3365" s="385">
        <f t="shared" si="10824"/>
        <v>25</v>
      </c>
      <c r="C3365" s="393"/>
      <c r="D3365" s="398">
        <f t="shared" si="10627"/>
        <v>3</v>
      </c>
      <c r="E3365" s="388" t="s">
        <v>16</v>
      </c>
      <c r="F3365" s="388">
        <f t="shared" si="10628"/>
        <v>13</v>
      </c>
      <c r="G3365" s="388"/>
      <c r="H3365" s="395"/>
      <c r="I3365" s="388"/>
      <c r="J3365" s="396"/>
      <c r="K3365" s="396"/>
      <c r="L3365" s="404" t="s">
        <v>207</v>
      </c>
      <c r="M3365" s="399" t="s">
        <v>176</v>
      </c>
      <c r="N3365" s="399">
        <f t="shared" ref="N3365" si="10825">IF(AND(D3362=D3363,D3362=D3364,D3363=D3364,F3362=F3363,F3362=F3364,F3363=F3364),SUM(N3362:N3364),0)</f>
        <v>5.4620000000000006</v>
      </c>
      <c r="O3365" s="399" t="s">
        <v>204</v>
      </c>
      <c r="P3365" s="389">
        <f t="shared" ref="P3365" si="10826">IF(N3365&gt;12,ROUNDDOWN(N3365/12,0),0)</f>
        <v>0</v>
      </c>
      <c r="Q3365" s="399" t="s">
        <v>125</v>
      </c>
      <c r="R3365" s="399">
        <f t="shared" ref="R3365" si="10827">IF(P3365&gt;0,MAX(VLOOKUP(F3365,$D$6:$G$15,3,FALSE),600),0)/1000</f>
        <v>0</v>
      </c>
      <c r="S3365" s="396"/>
      <c r="T3365" s="396" t="s">
        <v>125</v>
      </c>
      <c r="U3365" s="401">
        <f t="shared" si="10632"/>
        <v>1.041885</v>
      </c>
      <c r="V3365" s="396" t="s">
        <v>125</v>
      </c>
      <c r="W3365" s="399">
        <f t="shared" ref="W3365" si="10828">D3365</f>
        <v>3</v>
      </c>
      <c r="X3365" s="399" t="s">
        <v>125</v>
      </c>
      <c r="Y3365" s="389">
        <f t="shared" si="10634"/>
        <v>1</v>
      </c>
      <c r="Z3365" s="400" t="s">
        <v>176</v>
      </c>
      <c r="AA3365" s="402">
        <f t="shared" ref="AA3365" si="10829">(N3365+P3365*R3365/1000)*U3365*W3365*Y3365</f>
        <v>17.072327610000002</v>
      </c>
      <c r="AB3365" s="390"/>
    </row>
    <row r="3366" spans="1:28">
      <c r="A3366" s="384"/>
      <c r="B3366" s="385"/>
      <c r="C3366" s="393"/>
      <c r="D3366" s="398"/>
      <c r="E3366" s="388"/>
      <c r="F3366" s="388"/>
      <c r="G3366" s="388"/>
      <c r="H3366" s="395"/>
      <c r="I3366" s="388"/>
      <c r="J3366" s="396"/>
      <c r="K3366" s="396"/>
      <c r="L3366" s="404"/>
      <c r="M3366" s="399"/>
      <c r="N3366" s="399"/>
      <c r="O3366" s="396"/>
      <c r="P3366" s="389"/>
      <c r="Q3366" s="396"/>
      <c r="R3366" s="396"/>
      <c r="S3366" s="396"/>
      <c r="T3366" s="396"/>
      <c r="U3366" s="401"/>
      <c r="V3366" s="396"/>
      <c r="W3366" s="399"/>
      <c r="X3366" s="396"/>
      <c r="Y3366" s="389"/>
      <c r="Z3366" s="396"/>
      <c r="AA3366" s="388"/>
      <c r="AB3366" s="390"/>
    </row>
    <row r="3367" spans="1:28">
      <c r="A3367" s="384" t="str">
        <f t="shared" ref="A3367:B3367" si="10830">A3355</f>
        <v>Lantai 2</v>
      </c>
      <c r="B3367" s="385">
        <f t="shared" si="10830"/>
        <v>25</v>
      </c>
      <c r="C3367" s="393" t="s">
        <v>208</v>
      </c>
      <c r="D3367" s="398">
        <f>VLOOKUP(D3355,'Detail Balok'!$C$10:$AU$140,13,FALSE)</f>
        <v>0</v>
      </c>
      <c r="E3367" s="388" t="s">
        <v>16</v>
      </c>
      <c r="F3367" s="388">
        <f>VLOOKUP(D3355,'Detail Balok'!$C$10:$AU$140,15,FALSE)</f>
        <v>8</v>
      </c>
      <c r="G3367" s="388"/>
      <c r="H3367" s="395"/>
      <c r="I3367" s="388"/>
      <c r="J3367" s="399">
        <f t="shared" ref="J3367" si="10831">+D3357/1000</f>
        <v>5.15</v>
      </c>
      <c r="K3367" s="400" t="s">
        <v>204</v>
      </c>
      <c r="L3367" s="399">
        <f t="shared" ref="L3367" si="10832">2*$F$16*F3367/1000</f>
        <v>0.192</v>
      </c>
      <c r="M3367" s="399" t="s">
        <v>176</v>
      </c>
      <c r="N3367" s="399">
        <f t="shared" ref="N3367" si="10833">J3367+L3367</f>
        <v>5.3420000000000005</v>
      </c>
      <c r="O3367" s="399" t="s">
        <v>204</v>
      </c>
      <c r="P3367" s="389">
        <f t="shared" ref="P3367" si="10834">IF(N3367&gt;12,ROUNDDOWN(N3367/12,0),0)</f>
        <v>0</v>
      </c>
      <c r="Q3367" s="399" t="s">
        <v>125</v>
      </c>
      <c r="R3367" s="399">
        <f t="shared" ref="R3367" si="10835">IF(P3367&gt;0,MAX(VLOOKUP(F3367,$D$6:$G$15,3,FALSE),600),0)/1000</f>
        <v>0</v>
      </c>
      <c r="S3367" s="399"/>
      <c r="T3367" s="399" t="s">
        <v>125</v>
      </c>
      <c r="U3367" s="401">
        <f t="shared" ref="U3367" si="10836">0.006165*F3367^2</f>
        <v>0.39456000000000002</v>
      </c>
      <c r="V3367" s="399" t="s">
        <v>125</v>
      </c>
      <c r="W3367" s="399">
        <f t="shared" ref="W3367" si="10837">+D3367</f>
        <v>0</v>
      </c>
      <c r="X3367" s="399" t="s">
        <v>125</v>
      </c>
      <c r="Y3367" s="389">
        <f t="shared" ref="Y3367" si="10838">D3361</f>
        <v>1</v>
      </c>
      <c r="Z3367" s="400" t="s">
        <v>176</v>
      </c>
      <c r="AA3367" s="402">
        <f t="shared" ref="AA3367" si="10839">(N3367+P3367*R3367/1000)*U3367*W3367*Y3367</f>
        <v>0</v>
      </c>
      <c r="AB3367" s="403"/>
    </row>
    <row r="3368" spans="1:28">
      <c r="A3368" s="384"/>
      <c r="B3368" s="385"/>
      <c r="C3368" s="393"/>
      <c r="D3368" s="398"/>
      <c r="E3368" s="388"/>
      <c r="F3368" s="388"/>
      <c r="G3368" s="388"/>
      <c r="H3368" s="395"/>
      <c r="I3368" s="388"/>
      <c r="J3368" s="399"/>
      <c r="K3368" s="400"/>
      <c r="L3368" s="399"/>
      <c r="M3368" s="399"/>
      <c r="N3368" s="399"/>
      <c r="O3368" s="399"/>
      <c r="P3368" s="389"/>
      <c r="Q3368" s="399"/>
      <c r="R3368" s="399"/>
      <c r="S3368" s="399"/>
      <c r="T3368" s="399"/>
      <c r="U3368" s="401"/>
      <c r="V3368" s="399"/>
      <c r="W3368" s="399"/>
      <c r="X3368" s="399"/>
      <c r="Y3368" s="389"/>
      <c r="Z3368" s="400"/>
      <c r="AA3368" s="402"/>
      <c r="AB3368" s="403"/>
    </row>
    <row r="3369" spans="1:28">
      <c r="A3369" s="384"/>
      <c r="B3369" s="385"/>
      <c r="C3369" s="393"/>
      <c r="D3369" s="398"/>
      <c r="E3369" s="388"/>
      <c r="F3369" s="388"/>
      <c r="G3369" s="388"/>
      <c r="H3369" s="395"/>
      <c r="I3369" s="388"/>
      <c r="J3369" s="396"/>
      <c r="K3369" s="396"/>
      <c r="L3369" s="396"/>
      <c r="M3369" s="396"/>
      <c r="N3369" s="396"/>
      <c r="O3369" s="396"/>
      <c r="P3369" s="389"/>
      <c r="Q3369" s="396"/>
      <c r="R3369" s="396"/>
      <c r="S3369" s="396"/>
      <c r="T3369" s="396"/>
      <c r="U3369" s="401"/>
      <c r="V3369" s="396"/>
      <c r="W3369" s="399"/>
      <c r="X3369" s="396"/>
      <c r="Y3369" s="389"/>
      <c r="Z3369" s="396"/>
      <c r="AA3369" s="388"/>
      <c r="AB3369" s="390"/>
    </row>
    <row r="3370" spans="1:28">
      <c r="A3370" s="384" t="str">
        <f t="shared" ref="A3370:B3370" si="10840">A3355</f>
        <v>Lantai 2</v>
      </c>
      <c r="B3370" s="385">
        <f t="shared" si="10840"/>
        <v>25</v>
      </c>
      <c r="C3370" s="393" t="s">
        <v>209</v>
      </c>
      <c r="D3370" s="398">
        <f>VLOOKUP(D3355,'Detail Balok'!$C$10:$AU$140,22,FALSE)</f>
        <v>3</v>
      </c>
      <c r="E3370" s="388" t="s">
        <v>16</v>
      </c>
      <c r="F3370" s="388">
        <f>VLOOKUP(D3355,'Detail Balok'!$C$10:$AU$140,24,FALSE)</f>
        <v>13</v>
      </c>
      <c r="G3370" s="388"/>
      <c r="H3370" s="395"/>
      <c r="I3370" s="388" t="s">
        <v>203</v>
      </c>
      <c r="J3370" s="399">
        <f t="shared" si="10647"/>
        <v>1.2875000000000001</v>
      </c>
      <c r="K3370" s="400" t="s">
        <v>204</v>
      </c>
      <c r="L3370" s="399">
        <f t="shared" ref="L3370" si="10841">MAX(VLOOKUP(F3370,N$6:P$15,3,FALSE)/1000,2/3*D3360/1000)+F$16*F3370/1000</f>
        <v>0.156</v>
      </c>
      <c r="M3370" s="399" t="s">
        <v>176</v>
      </c>
      <c r="N3370" s="399">
        <f t="shared" ref="N3370:N3372" si="10842">J3370+L3370</f>
        <v>1.4435</v>
      </c>
      <c r="O3370" s="399" t="s">
        <v>204</v>
      </c>
      <c r="P3370" s="389">
        <f t="shared" ref="P3370" si="10843">D3370-D3371</f>
        <v>0</v>
      </c>
      <c r="Q3370" s="399" t="s">
        <v>125</v>
      </c>
      <c r="R3370" s="399">
        <f t="shared" ref="R3370" si="10844">IF(P3370&gt;0,$F$18*F3370/1000,0)</f>
        <v>0</v>
      </c>
      <c r="S3370" s="399" t="s">
        <v>205</v>
      </c>
      <c r="T3370" s="399" t="s">
        <v>125</v>
      </c>
      <c r="U3370" s="401">
        <f t="shared" ref="U3370:U3372" si="10845">0.006165*F3370^2</f>
        <v>1.041885</v>
      </c>
      <c r="V3370" s="399"/>
      <c r="W3370" s="399"/>
      <c r="X3370" s="399" t="s">
        <v>125</v>
      </c>
      <c r="Y3370" s="389">
        <f t="shared" ref="Y3370" si="10846">D3361</f>
        <v>1</v>
      </c>
      <c r="Z3370" s="400" t="s">
        <v>176</v>
      </c>
      <c r="AA3370" s="402">
        <f t="shared" ref="AA3370" si="10847">IF(AA3373=0,(D3370*N3370+P3370*R3370)*U3370*Y3370,0)</f>
        <v>0</v>
      </c>
      <c r="AB3370" s="403"/>
    </row>
    <row r="3371" spans="1:28">
      <c r="A3371" s="384" t="str">
        <f t="shared" ref="A3371:B3371" si="10848">A3355</f>
        <v>Lantai 2</v>
      </c>
      <c r="B3371" s="385">
        <f t="shared" si="10848"/>
        <v>25</v>
      </c>
      <c r="C3371" s="393" t="s">
        <v>210</v>
      </c>
      <c r="D3371" s="398">
        <f>VLOOKUP(D3355,'Detail Balok'!$C$10:$AU$140,25,FALSE)</f>
        <v>3</v>
      </c>
      <c r="E3371" s="388" t="s">
        <v>16</v>
      </c>
      <c r="F3371" s="388">
        <f>VLOOKUP(D3355,'Detail Balok'!$C$10:$AU$140,27,FALSE)</f>
        <v>13</v>
      </c>
      <c r="G3371" s="388"/>
      <c r="H3371" s="395"/>
      <c r="I3371" s="388" t="s">
        <v>203</v>
      </c>
      <c r="J3371" s="399">
        <f t="shared" si="10647"/>
        <v>2.5750000000000002</v>
      </c>
      <c r="K3371" s="400" t="s">
        <v>204</v>
      </c>
      <c r="L3371" s="399"/>
      <c r="M3371" s="399" t="s">
        <v>176</v>
      </c>
      <c r="N3371" s="399">
        <f t="shared" si="10842"/>
        <v>2.5750000000000002</v>
      </c>
      <c r="O3371" s="399" t="s">
        <v>204</v>
      </c>
      <c r="P3371" s="389">
        <f t="shared" ref="P3371" si="10849">MAX(D3371-D3370,D3371-D3372)</f>
        <v>0</v>
      </c>
      <c r="Q3371" s="399" t="s">
        <v>125</v>
      </c>
      <c r="R3371" s="399">
        <f t="shared" ref="R3371" si="10850">IF(P3371&gt;0,2*(1-2*$F$19-1/2)*D3358/1000,0)</f>
        <v>0</v>
      </c>
      <c r="S3371" s="399" t="s">
        <v>205</v>
      </c>
      <c r="T3371" s="399" t="s">
        <v>125</v>
      </c>
      <c r="U3371" s="401">
        <f t="shared" si="10845"/>
        <v>1.041885</v>
      </c>
      <c r="V3371" s="399"/>
      <c r="W3371" s="399"/>
      <c r="X3371" s="399" t="s">
        <v>125</v>
      </c>
      <c r="Y3371" s="389">
        <f t="shared" ref="Y3371" si="10851">D3361</f>
        <v>1</v>
      </c>
      <c r="Z3371" s="400" t="s">
        <v>176</v>
      </c>
      <c r="AA3371" s="402">
        <f t="shared" ref="AA3371" si="10852">IF(AA3373=0,(D3371*N3371+P3371*R3371)*U3371*Y3371,0)</f>
        <v>0</v>
      </c>
      <c r="AB3371" s="403"/>
    </row>
    <row r="3372" spans="1:28">
      <c r="A3372" s="384" t="str">
        <f t="shared" ref="A3372:B3372" si="10853">A3355</f>
        <v>Lantai 2</v>
      </c>
      <c r="B3372" s="385">
        <f t="shared" si="10853"/>
        <v>25</v>
      </c>
      <c r="C3372" s="393" t="s">
        <v>209</v>
      </c>
      <c r="D3372" s="398">
        <f>VLOOKUP(D3355,'Detail Balok'!$C$10:$AU$140,28,FALSE)</f>
        <v>3</v>
      </c>
      <c r="E3372" s="388" t="s">
        <v>16</v>
      </c>
      <c r="F3372" s="388">
        <f>VLOOKUP(D3355,'Detail Balok'!$C$10:$AU$140,30,FALSE)</f>
        <v>13</v>
      </c>
      <c r="G3372" s="388"/>
      <c r="H3372" s="395"/>
      <c r="I3372" s="388" t="s">
        <v>203</v>
      </c>
      <c r="J3372" s="399">
        <f t="shared" si="10647"/>
        <v>1.2875000000000001</v>
      </c>
      <c r="K3372" s="400" t="s">
        <v>204</v>
      </c>
      <c r="L3372" s="399">
        <f t="shared" ref="L3372" si="10854">MAX(VLOOKUP(F3372,N$6:P$15,3,FALSE)/1000,2/3*D3360/1000)+F$16*F3372/1000</f>
        <v>0.156</v>
      </c>
      <c r="M3372" s="399" t="s">
        <v>176</v>
      </c>
      <c r="N3372" s="399">
        <f t="shared" si="10842"/>
        <v>1.4435</v>
      </c>
      <c r="O3372" s="399" t="s">
        <v>204</v>
      </c>
      <c r="P3372" s="389">
        <f t="shared" ref="P3372" si="10855">D3372-D3371</f>
        <v>0</v>
      </c>
      <c r="Q3372" s="399" t="s">
        <v>125</v>
      </c>
      <c r="R3372" s="399">
        <f t="shared" ref="R3372" si="10856">IF(P3372&gt;0,$F$18*F3372/1000,0)</f>
        <v>0</v>
      </c>
      <c r="S3372" s="399" t="s">
        <v>205</v>
      </c>
      <c r="T3372" s="399" t="s">
        <v>125</v>
      </c>
      <c r="U3372" s="401">
        <f t="shared" si="10845"/>
        <v>1.041885</v>
      </c>
      <c r="V3372" s="399"/>
      <c r="W3372" s="399"/>
      <c r="X3372" s="399" t="s">
        <v>125</v>
      </c>
      <c r="Y3372" s="389">
        <f t="shared" ref="Y3372" si="10857">D3361</f>
        <v>1</v>
      </c>
      <c r="Z3372" s="400" t="s">
        <v>176</v>
      </c>
      <c r="AA3372" s="402">
        <f t="shared" ref="AA3372" si="10858">IF(AA3373=0,(D3372*N3372+P3372*R3372)*U3372*Y3372,0)</f>
        <v>0</v>
      </c>
      <c r="AB3372" s="403"/>
    </row>
    <row r="3373" spans="1:28">
      <c r="A3373" s="384" t="str">
        <f t="shared" ref="A3373:B3373" si="10859">A3355</f>
        <v>Lantai 2</v>
      </c>
      <c r="B3373" s="385">
        <f t="shared" si="10859"/>
        <v>25</v>
      </c>
      <c r="C3373" s="393"/>
      <c r="D3373" s="398">
        <f t="shared" si="10667"/>
        <v>3</v>
      </c>
      <c r="E3373" s="388" t="s">
        <v>16</v>
      </c>
      <c r="F3373" s="388">
        <f t="shared" si="10668"/>
        <v>13</v>
      </c>
      <c r="G3373" s="388"/>
      <c r="H3373" s="395"/>
      <c r="I3373" s="388"/>
      <c r="J3373" s="396"/>
      <c r="K3373" s="396"/>
      <c r="L3373" s="404" t="s">
        <v>207</v>
      </c>
      <c r="M3373" s="399" t="s">
        <v>176</v>
      </c>
      <c r="N3373" s="399">
        <f t="shared" ref="N3373" si="10860">IF(AND(D3370=D3371,D3370=D3372,D3371=D3372,F3370=F3371,F3370=F3372,F3371=F3372),SUM(N3370:N3372),0)</f>
        <v>5.4620000000000006</v>
      </c>
      <c r="O3373" s="399" t="s">
        <v>204</v>
      </c>
      <c r="P3373" s="389">
        <f t="shared" ref="P3373" si="10861">IF(N3373&gt;12,ROUNDDOWN(N3373/12,0),0)</f>
        <v>0</v>
      </c>
      <c r="Q3373" s="399" t="s">
        <v>125</v>
      </c>
      <c r="R3373" s="399">
        <f t="shared" ref="R3373" si="10862">IF(P3373&gt;0,MAX(VLOOKUP(F3373,$D$6:$G$15,3,FALSE),600),0)/1000</f>
        <v>0</v>
      </c>
      <c r="S3373" s="396"/>
      <c r="T3373" s="396" t="s">
        <v>125</v>
      </c>
      <c r="U3373" s="401">
        <f t="shared" si="10672"/>
        <v>1.041885</v>
      </c>
      <c r="V3373" s="396" t="s">
        <v>125</v>
      </c>
      <c r="W3373" s="399">
        <f t="shared" ref="W3373" si="10863">D3373</f>
        <v>3</v>
      </c>
      <c r="X3373" s="399" t="s">
        <v>125</v>
      </c>
      <c r="Y3373" s="389">
        <f t="shared" si="10674"/>
        <v>1</v>
      </c>
      <c r="Z3373" s="400" t="s">
        <v>176</v>
      </c>
      <c r="AA3373" s="402">
        <f t="shared" ref="AA3373" si="10864">(N3373+P3373*R3373/1000)*U3373*W3373*Y3373</f>
        <v>17.072327610000002</v>
      </c>
      <c r="AB3373" s="403"/>
    </row>
    <row r="3374" spans="1:28">
      <c r="A3374" s="384"/>
      <c r="B3374" s="385"/>
      <c r="C3374" s="393"/>
      <c r="D3374" s="394"/>
      <c r="E3374" s="388"/>
      <c r="F3374" s="388"/>
      <c r="G3374" s="388"/>
      <c r="H3374" s="395"/>
      <c r="I3374" s="388"/>
      <c r="J3374" s="399"/>
      <c r="K3374" s="396"/>
      <c r="L3374" s="396"/>
      <c r="M3374" s="396"/>
      <c r="N3374" s="396"/>
      <c r="O3374" s="396"/>
      <c r="P3374" s="389"/>
      <c r="Q3374" s="396"/>
      <c r="R3374" s="396"/>
      <c r="S3374" s="396"/>
      <c r="T3374" s="396"/>
      <c r="U3374" s="401"/>
      <c r="V3374" s="396"/>
      <c r="W3374" s="388"/>
      <c r="X3374" s="396"/>
      <c r="Y3374" s="389"/>
      <c r="Z3374" s="396"/>
      <c r="AA3374" s="388"/>
      <c r="AB3374" s="390"/>
    </row>
    <row r="3375" spans="1:28">
      <c r="A3375" s="384" t="str">
        <f t="shared" ref="A3375:B3375" si="10865">A3355</f>
        <v>Lantai 2</v>
      </c>
      <c r="B3375" s="385">
        <f t="shared" si="10865"/>
        <v>25</v>
      </c>
      <c r="C3375" s="393" t="s">
        <v>211</v>
      </c>
      <c r="D3375" s="398">
        <f>VLOOKUP(D3355,'Detail Balok'!$C$10:$AU$140,31,FALSE)</f>
        <v>0</v>
      </c>
      <c r="E3375" s="388" t="s">
        <v>16</v>
      </c>
      <c r="F3375" s="388">
        <f>VLOOKUP(D3355,'Detail Balok'!$C$10:$AU$140,33,FALSE)</f>
        <v>10</v>
      </c>
      <c r="G3375" s="405" t="s">
        <v>157</v>
      </c>
      <c r="H3375" s="395">
        <f>VLOOKUP(D3355,'Detail Balok'!$C$10:$AU$140,35,FALSE)</f>
        <v>100</v>
      </c>
      <c r="I3375" s="388"/>
      <c r="J3375" s="400">
        <f t="shared" ref="J3375" si="10866">(IF(D3375=0,(2*(D3356+G3356))-(F$5*8),IF(D3375=3,(2*(D3356+G3356))-(F$5*8)+(G3356-2*F$5),IF(D3375=4,(2*(D3356+G3356))-(F$5*8)+2*(G3356-2*F$5)))))/1000</f>
        <v>0.88</v>
      </c>
      <c r="K3375" s="400" t="s">
        <v>204</v>
      </c>
      <c r="L3375" s="399">
        <f t="shared" ref="L3375:L3377" si="10867">IF(D3375=0,2*MAX(6*F3375,75),(D3375-1)*2*MAX(6*F3375,75))/1000</f>
        <v>0.15</v>
      </c>
      <c r="M3375" s="399" t="s">
        <v>176</v>
      </c>
      <c r="N3375" s="399">
        <f t="shared" ref="N3375:N3377" si="10868">J3375+L3375</f>
        <v>1.03</v>
      </c>
      <c r="O3375" s="399"/>
      <c r="P3375" s="389"/>
      <c r="Q3375" s="399"/>
      <c r="R3375" s="399"/>
      <c r="S3375" s="399"/>
      <c r="T3375" s="399" t="s">
        <v>125</v>
      </c>
      <c r="U3375" s="401">
        <f t="shared" ref="U3375:U3377" si="10869">0.006165*F3375^2</f>
        <v>0.61650000000000005</v>
      </c>
      <c r="V3375" s="399" t="s">
        <v>125</v>
      </c>
      <c r="W3375" s="399">
        <f t="shared" ref="W3375" si="10870">IF(D3358&gt;4*G3356,ROUND(MAX(D3358/4,2*G3356)/H3375,0)+1,ROUND(D3358/H3375,0)+1)</f>
        <v>14</v>
      </c>
      <c r="X3375" s="399" t="s">
        <v>125</v>
      </c>
      <c r="Y3375" s="389">
        <f t="shared" ref="Y3375" si="10871">D3361</f>
        <v>1</v>
      </c>
      <c r="Z3375" s="400" t="s">
        <v>176</v>
      </c>
      <c r="AA3375" s="402">
        <f t="shared" ref="AA3375:AA3377" si="10872">N3375*U3375*W3375*Y3375</f>
        <v>8.8899300000000014</v>
      </c>
      <c r="AB3375" s="403"/>
    </row>
    <row r="3376" spans="1:28">
      <c r="A3376" s="384" t="str">
        <f t="shared" ref="A3376:B3376" si="10873">A3355</f>
        <v>Lantai 2</v>
      </c>
      <c r="B3376" s="385">
        <f t="shared" si="10873"/>
        <v>25</v>
      </c>
      <c r="C3376" s="393" t="s">
        <v>212</v>
      </c>
      <c r="D3376" s="398">
        <f>VLOOKUP(D3355,'Detail Balok'!$C$10:$AU$140,36,FALSE)</f>
        <v>0</v>
      </c>
      <c r="E3376" s="388" t="s">
        <v>16</v>
      </c>
      <c r="F3376" s="388">
        <f>VLOOKUP(D3355,'Detail Balok'!$C$10:$AU$140,38,FALSE)</f>
        <v>10</v>
      </c>
      <c r="G3376" s="405" t="s">
        <v>157</v>
      </c>
      <c r="H3376" s="395">
        <f>VLOOKUP(D3355,'Detail Balok'!$C$10:$AU$140,40,FALSE)</f>
        <v>200</v>
      </c>
      <c r="I3376" s="388"/>
      <c r="J3376" s="400">
        <f t="shared" ref="J3376" si="10874">(IF(D3376=0,(2*(D3356+G3356))-(F$5*8),IF(D3376=3,(2*(D3356+G3356))-(F$5*8)+(G3356-2*F$5),IF(D3376=4,(2*(D3356+G3356))-(F$5*8)+2*(G3356-2*F$5)))))/1000</f>
        <v>0.88</v>
      </c>
      <c r="K3376" s="400" t="s">
        <v>204</v>
      </c>
      <c r="L3376" s="399">
        <f t="shared" si="10867"/>
        <v>0.15</v>
      </c>
      <c r="M3376" s="399" t="s">
        <v>176</v>
      </c>
      <c r="N3376" s="399">
        <f t="shared" si="10868"/>
        <v>1.03</v>
      </c>
      <c r="O3376" s="399"/>
      <c r="P3376" s="389"/>
      <c r="Q3376" s="399"/>
      <c r="R3376" s="399"/>
      <c r="S3376" s="399"/>
      <c r="T3376" s="399" t="s">
        <v>125</v>
      </c>
      <c r="U3376" s="401">
        <f t="shared" si="10869"/>
        <v>0.61650000000000005</v>
      </c>
      <c r="V3376" s="399" t="s">
        <v>125</v>
      </c>
      <c r="W3376" s="399">
        <f t="shared" ref="W3376" si="10875">IF(D3358-MAX(D3358/4,2*G3356)*2&gt;0,ROUND((D3358-MAX(D3358/4,2*G3356)*2)/H3376,0),0)</f>
        <v>13</v>
      </c>
      <c r="X3376" s="399" t="s">
        <v>125</v>
      </c>
      <c r="Y3376" s="389">
        <f t="shared" ref="Y3376" si="10876">D3361</f>
        <v>1</v>
      </c>
      <c r="Z3376" s="400" t="s">
        <v>176</v>
      </c>
      <c r="AA3376" s="402">
        <f t="shared" si="10872"/>
        <v>8.2549350000000015</v>
      </c>
      <c r="AB3376" s="403"/>
    </row>
    <row r="3377" spans="1:28">
      <c r="A3377" s="384" t="str">
        <f t="shared" ref="A3377:B3377" si="10877">A3355</f>
        <v>Lantai 2</v>
      </c>
      <c r="B3377" s="385">
        <f t="shared" si="10877"/>
        <v>25</v>
      </c>
      <c r="C3377" s="393" t="s">
        <v>211</v>
      </c>
      <c r="D3377" s="398">
        <f>VLOOKUP(D3355,'Detail Balok'!$C$10:$AU$140,41,FALSE)</f>
        <v>0</v>
      </c>
      <c r="E3377" s="388" t="s">
        <v>16</v>
      </c>
      <c r="F3377" s="388">
        <f>VLOOKUP(D3355,'Detail Balok'!$C$10:$AU$140,43,FALSE)</f>
        <v>10</v>
      </c>
      <c r="G3377" s="405" t="s">
        <v>157</v>
      </c>
      <c r="H3377" s="395">
        <f>VLOOKUP(D3355,'Detail Balok'!$C$10:$AU$140,45,FALSE)</f>
        <v>100</v>
      </c>
      <c r="I3377" s="388"/>
      <c r="J3377" s="400">
        <f t="shared" ref="J3377" si="10878">(IF(D3377=0,(2*(D3356+G3356))-(F$5*8),IF(D3377=3,(2*(D3356+G3356))-(F$5*8)+(G3356-2*F$5),IF(D3377=4,(2*(D3356+G3356))-(F$5*8)+2*(G3356-2*F$5)))))/1000</f>
        <v>0.88</v>
      </c>
      <c r="K3377" s="400" t="s">
        <v>204</v>
      </c>
      <c r="L3377" s="399">
        <f t="shared" si="10867"/>
        <v>0.15</v>
      </c>
      <c r="M3377" s="399" t="s">
        <v>176</v>
      </c>
      <c r="N3377" s="399">
        <f t="shared" si="10868"/>
        <v>1.03</v>
      </c>
      <c r="O3377" s="399"/>
      <c r="P3377" s="389"/>
      <c r="Q3377" s="399"/>
      <c r="R3377" s="399"/>
      <c r="S3377" s="399"/>
      <c r="T3377" s="399" t="s">
        <v>125</v>
      </c>
      <c r="U3377" s="401">
        <f t="shared" si="10869"/>
        <v>0.61650000000000005</v>
      </c>
      <c r="V3377" s="399" t="s">
        <v>125</v>
      </c>
      <c r="W3377" s="399">
        <f t="shared" ref="W3377" si="10879">IF(D3358&gt;4*G3356,ROUND(MAX(D3358/4,2*G3356)/H3377,0)+1,0)</f>
        <v>14</v>
      </c>
      <c r="X3377" s="399" t="s">
        <v>125</v>
      </c>
      <c r="Y3377" s="389">
        <f t="shared" ref="Y3377" si="10880">D3361</f>
        <v>1</v>
      </c>
      <c r="Z3377" s="400" t="s">
        <v>176</v>
      </c>
      <c r="AA3377" s="402">
        <f t="shared" si="10872"/>
        <v>8.8899300000000014</v>
      </c>
      <c r="AB3377" s="403"/>
    </row>
    <row r="3378" spans="1:28">
      <c r="A3378" s="384"/>
      <c r="B3378" s="385"/>
      <c r="C3378" s="393"/>
      <c r="D3378" s="394"/>
      <c r="E3378" s="388"/>
      <c r="F3378" s="388"/>
      <c r="G3378" s="388"/>
      <c r="H3378" s="395"/>
      <c r="I3378" s="388"/>
      <c r="J3378" s="399"/>
      <c r="K3378" s="396"/>
      <c r="L3378" s="396"/>
      <c r="M3378" s="396"/>
      <c r="N3378" s="396"/>
      <c r="O3378" s="396"/>
      <c r="P3378" s="389"/>
      <c r="Q3378" s="396"/>
      <c r="R3378" s="396"/>
      <c r="S3378" s="396"/>
      <c r="T3378" s="396"/>
      <c r="U3378" s="401"/>
      <c r="V3378" s="396"/>
      <c r="W3378" s="388"/>
      <c r="X3378" s="396"/>
      <c r="Y3378" s="389"/>
      <c r="Z3378" s="396"/>
      <c r="AA3378" s="388"/>
      <c r="AB3378" s="390"/>
    </row>
    <row r="3379" spans="1:28">
      <c r="A3379" s="384" t="str">
        <f t="shared" ref="A3379:B3379" si="10881">A3355</f>
        <v>Lantai 2</v>
      </c>
      <c r="B3379" s="385">
        <f t="shared" si="10881"/>
        <v>25</v>
      </c>
      <c r="C3379" s="393" t="s">
        <v>213</v>
      </c>
      <c r="D3379" s="398">
        <f>VLOOKUP(D3355,'Detail Balok'!$C$10:$BJ$140,46,FALSE)</f>
        <v>0</v>
      </c>
      <c r="E3379" s="388" t="s">
        <v>16</v>
      </c>
      <c r="F3379" s="388">
        <f>VLOOKUP(D3355,'Detail Balok'!$C$10:$BJ$140,48,FALSE)</f>
        <v>0</v>
      </c>
      <c r="G3379" s="405" t="s">
        <v>157</v>
      </c>
      <c r="H3379" s="395">
        <f>VLOOKUP(D3355,'Detail Balok'!$C$10:$BJ$140,50,FALSE)</f>
        <v>100</v>
      </c>
      <c r="I3379" s="388"/>
      <c r="J3379" s="399">
        <f t="shared" ref="J3379" si="10882">(D3356-2*F$5)/1000</f>
        <v>0.12</v>
      </c>
      <c r="K3379" s="400" t="s">
        <v>204</v>
      </c>
      <c r="L3379" s="399">
        <f t="shared" ref="L3379:L3381" si="10883">IF(D3379=0,2*MAX(6*F3379,75),(D3379-1)*2*MAX(6*F3379,75))/1000</f>
        <v>0.15</v>
      </c>
      <c r="M3379" s="399" t="s">
        <v>176</v>
      </c>
      <c r="N3379" s="399">
        <f t="shared" ref="N3379:N3381" si="10884">J3379+L3379</f>
        <v>0.27</v>
      </c>
      <c r="O3379" s="399"/>
      <c r="P3379" s="399"/>
      <c r="Q3379" s="399"/>
      <c r="R3379" s="399"/>
      <c r="S3379" s="399"/>
      <c r="T3379" s="399" t="s">
        <v>125</v>
      </c>
      <c r="U3379" s="401">
        <f t="shared" ref="U3379:U3381" si="10885">0.006165*F3379^2</f>
        <v>0</v>
      </c>
      <c r="V3379" s="399" t="s">
        <v>125</v>
      </c>
      <c r="W3379" s="399">
        <f t="shared" si="10697"/>
        <v>14</v>
      </c>
      <c r="X3379" s="399" t="s">
        <v>125</v>
      </c>
      <c r="Y3379" s="389">
        <f t="shared" ref="Y3379" si="10886">D3365</f>
        <v>3</v>
      </c>
      <c r="Z3379" s="400" t="s">
        <v>176</v>
      </c>
      <c r="AA3379" s="402">
        <f t="shared" ref="AA3379:AA3381" si="10887">N3379*U3379*W3379*Y3379</f>
        <v>0</v>
      </c>
      <c r="AB3379" s="403"/>
    </row>
    <row r="3380" spans="1:28">
      <c r="A3380" s="384" t="str">
        <f t="shared" ref="A3380:B3380" si="10888">A3355</f>
        <v>Lantai 2</v>
      </c>
      <c r="B3380" s="385">
        <f t="shared" si="10888"/>
        <v>25</v>
      </c>
      <c r="C3380" s="393" t="s">
        <v>214</v>
      </c>
      <c r="D3380" s="398">
        <f>VLOOKUP(D3355,'Detail Balok'!$C$10:$BJ$140,51,FALSE)</f>
        <v>0</v>
      </c>
      <c r="E3380" s="388" t="s">
        <v>16</v>
      </c>
      <c r="F3380" s="388">
        <f>VLOOKUP(D3355,'Detail Balok'!$C$10:$BJ$140,53,FALSE)</f>
        <v>0</v>
      </c>
      <c r="G3380" s="405" t="s">
        <v>157</v>
      </c>
      <c r="H3380" s="395">
        <f>VLOOKUP(D3355,'Detail Balok'!$C$10:$BJ$140,55,FALSE)</f>
        <v>100</v>
      </c>
      <c r="I3380" s="388"/>
      <c r="J3380" s="399">
        <f t="shared" ref="J3380" si="10889">(D3356-2*F$5)/1000</f>
        <v>0.12</v>
      </c>
      <c r="K3380" s="400" t="s">
        <v>204</v>
      </c>
      <c r="L3380" s="399">
        <f t="shared" si="10883"/>
        <v>0.15</v>
      </c>
      <c r="M3380" s="399" t="s">
        <v>176</v>
      </c>
      <c r="N3380" s="399">
        <f t="shared" si="10884"/>
        <v>0.27</v>
      </c>
      <c r="O3380" s="399"/>
      <c r="P3380" s="399"/>
      <c r="Q3380" s="399"/>
      <c r="R3380" s="399"/>
      <c r="S3380" s="399"/>
      <c r="T3380" s="399" t="s">
        <v>125</v>
      </c>
      <c r="U3380" s="401">
        <f t="shared" si="10885"/>
        <v>0</v>
      </c>
      <c r="V3380" s="399" t="s">
        <v>125</v>
      </c>
      <c r="W3380" s="399">
        <f t="shared" si="10697"/>
        <v>13</v>
      </c>
      <c r="X3380" s="399" t="s">
        <v>125</v>
      </c>
      <c r="Y3380" s="389">
        <f t="shared" ref="Y3380" si="10890">D3365</f>
        <v>3</v>
      </c>
      <c r="Z3380" s="400" t="s">
        <v>176</v>
      </c>
      <c r="AA3380" s="402">
        <f t="shared" si="10887"/>
        <v>0</v>
      </c>
      <c r="AB3380" s="403"/>
    </row>
    <row r="3381" spans="1:28">
      <c r="A3381" s="384" t="str">
        <f t="shared" ref="A3381:B3381" si="10891">A3355</f>
        <v>Lantai 2</v>
      </c>
      <c r="B3381" s="385">
        <f t="shared" si="10891"/>
        <v>25</v>
      </c>
      <c r="C3381" s="393" t="s">
        <v>213</v>
      </c>
      <c r="D3381" s="398">
        <f>VLOOKUP(D3355,'Detail Balok'!$C$10:$BJ$140,56,FALSE)</f>
        <v>0</v>
      </c>
      <c r="E3381" s="388" t="s">
        <v>16</v>
      </c>
      <c r="F3381" s="388">
        <f>VLOOKUP(D3355,'Detail Balok'!$C$10:$BJ$140,58,FALSE)</f>
        <v>0</v>
      </c>
      <c r="G3381" s="405" t="s">
        <v>157</v>
      </c>
      <c r="H3381" s="395">
        <f>VLOOKUP(D3355,'Detail Balok'!$C$10:$BJ$140,60,FALSE)</f>
        <v>100</v>
      </c>
      <c r="I3381" s="388"/>
      <c r="J3381" s="399">
        <f t="shared" ref="J3381" si="10892">(D3356-2*F$5)/1000</f>
        <v>0.12</v>
      </c>
      <c r="K3381" s="400" t="s">
        <v>204</v>
      </c>
      <c r="L3381" s="399">
        <f t="shared" si="10883"/>
        <v>0.15</v>
      </c>
      <c r="M3381" s="399" t="s">
        <v>176</v>
      </c>
      <c r="N3381" s="399">
        <f t="shared" si="10884"/>
        <v>0.27</v>
      </c>
      <c r="O3381" s="399"/>
      <c r="P3381" s="399"/>
      <c r="Q3381" s="399"/>
      <c r="R3381" s="399"/>
      <c r="S3381" s="399"/>
      <c r="T3381" s="399" t="s">
        <v>125</v>
      </c>
      <c r="U3381" s="401">
        <f t="shared" si="10885"/>
        <v>0</v>
      </c>
      <c r="V3381" s="399" t="s">
        <v>125</v>
      </c>
      <c r="W3381" s="399">
        <f t="shared" si="10697"/>
        <v>14</v>
      </c>
      <c r="X3381" s="399" t="s">
        <v>125</v>
      </c>
      <c r="Y3381" s="389">
        <f t="shared" ref="Y3381" si="10893">D3365</f>
        <v>3</v>
      </c>
      <c r="Z3381" s="400" t="s">
        <v>176</v>
      </c>
      <c r="AA3381" s="402">
        <f t="shared" si="10887"/>
        <v>0</v>
      </c>
      <c r="AB3381" s="403"/>
    </row>
    <row r="3382" spans="1:28">
      <c r="A3382" s="391"/>
      <c r="B3382" s="392"/>
      <c r="C3382" s="392"/>
      <c r="D3382" s="394"/>
      <c r="E3382" s="388"/>
      <c r="F3382" s="388"/>
      <c r="G3382" s="388"/>
      <c r="H3382" s="395"/>
      <c r="I3382" s="388"/>
      <c r="J3382" s="402"/>
      <c r="K3382" s="388"/>
      <c r="L3382" s="388"/>
      <c r="M3382" s="388"/>
      <c r="N3382" s="388"/>
      <c r="O3382" s="388"/>
      <c r="P3382" s="388"/>
      <c r="Q3382" s="388"/>
      <c r="R3382" s="388"/>
      <c r="S3382" s="388"/>
      <c r="T3382" s="388"/>
      <c r="U3382" s="388"/>
      <c r="V3382" s="388"/>
      <c r="W3382" s="388"/>
      <c r="X3382" s="388"/>
      <c r="Y3382" s="389"/>
      <c r="Z3382" s="388"/>
      <c r="AA3382" s="402"/>
      <c r="AB3382" s="403"/>
    </row>
    <row r="3383" spans="1:28" ht="15.75" thickBot="1">
      <c r="A3383" s="406"/>
      <c r="B3383" s="407"/>
      <c r="C3383" s="407"/>
      <c r="D3383" s="408"/>
      <c r="E3383" s="409"/>
      <c r="F3383" s="409"/>
      <c r="G3383" s="409"/>
      <c r="H3383" s="410"/>
      <c r="I3383" s="409"/>
      <c r="J3383" s="409"/>
      <c r="K3383" s="409"/>
      <c r="L3383" s="409"/>
      <c r="M3383" s="409"/>
      <c r="N3383" s="409"/>
      <c r="O3383" s="409"/>
      <c r="P3383" s="409"/>
      <c r="Q3383" s="409"/>
      <c r="R3383" s="409"/>
      <c r="S3383" s="409"/>
      <c r="T3383" s="409"/>
      <c r="U3383" s="409"/>
      <c r="V3383" s="409"/>
      <c r="W3383" s="409"/>
      <c r="X3383" s="409"/>
      <c r="Y3383" s="411"/>
      <c r="Z3383" s="409"/>
      <c r="AA3383" s="412"/>
      <c r="AB3383" s="413"/>
    </row>
    <row r="3384" spans="1:28">
      <c r="A3384" s="377"/>
      <c r="B3384" s="378"/>
      <c r="C3384" s="378"/>
      <c r="D3384" s="379"/>
      <c r="E3384" s="380"/>
      <c r="F3384" s="380"/>
      <c r="G3384" s="380"/>
      <c r="H3384" s="381"/>
      <c r="I3384" s="380"/>
      <c r="J3384" s="380"/>
      <c r="K3384" s="380"/>
      <c r="L3384" s="380"/>
      <c r="M3384" s="380"/>
      <c r="N3384" s="380"/>
      <c r="O3384" s="380"/>
      <c r="P3384" s="380"/>
      <c r="Q3384" s="380"/>
      <c r="R3384" s="380"/>
      <c r="S3384" s="380"/>
      <c r="T3384" s="380"/>
      <c r="U3384" s="380"/>
      <c r="V3384" s="380"/>
      <c r="W3384" s="380"/>
      <c r="X3384" s="380"/>
      <c r="Y3384" s="382"/>
      <c r="Z3384" s="380"/>
      <c r="AA3384" s="380"/>
      <c r="AB3384" s="383"/>
    </row>
    <row r="3385" spans="1:28">
      <c r="A3385" s="384" t="str">
        <f t="shared" si="10706"/>
        <v>Lantai 2</v>
      </c>
      <c r="B3385" s="385">
        <f t="shared" si="10707"/>
        <v>26</v>
      </c>
      <c r="C3385" s="386" t="str">
        <f t="shared" ref="C3385" si="10894">CONCATENATE(A3385," no. ",B3385)</f>
        <v>Lantai 2 no. 26</v>
      </c>
      <c r="D3385" s="2562" t="str">
        <f>VLOOKUP(C3385,'Data Panjang Balok'!$C$9:$N$254,2,FALSE)</f>
        <v>B26-1</v>
      </c>
      <c r="E3385" s="2576"/>
      <c r="F3385" s="2576"/>
      <c r="G3385" s="2576"/>
      <c r="H3385" s="2577"/>
      <c r="I3385" s="387"/>
      <c r="J3385" s="388"/>
      <c r="K3385" s="388"/>
      <c r="L3385" s="388"/>
      <c r="M3385" s="388"/>
      <c r="N3385" s="388"/>
      <c r="O3385" s="388"/>
      <c r="P3385" s="388"/>
      <c r="Q3385" s="388"/>
      <c r="R3385" s="388"/>
      <c r="S3385" s="388"/>
      <c r="T3385" s="388"/>
      <c r="U3385" s="388"/>
      <c r="V3385" s="388"/>
      <c r="W3385" s="388"/>
      <c r="X3385" s="388"/>
      <c r="Y3385" s="389"/>
      <c r="Z3385" s="388"/>
      <c r="AA3385" s="388"/>
      <c r="AB3385" s="390"/>
    </row>
    <row r="3386" spans="1:28">
      <c r="A3386" s="391"/>
      <c r="B3386" s="392"/>
      <c r="C3386" s="393" t="s">
        <v>118</v>
      </c>
      <c r="D3386" s="2578">
        <f>VLOOKUP(D3385,'Detail Balok'!$C$10:$AU$140,2,FALSE)</f>
        <v>200</v>
      </c>
      <c r="E3386" s="2579"/>
      <c r="F3386" s="388" t="s">
        <v>125</v>
      </c>
      <c r="G3386" s="2579">
        <f>VLOOKUP(D3385,'Detail Balok'!$C$10:$AU$140,3,FALSE)</f>
        <v>600</v>
      </c>
      <c r="H3386" s="2580"/>
      <c r="I3386" s="388"/>
      <c r="J3386" s="396"/>
      <c r="K3386" s="396"/>
      <c r="L3386" s="396"/>
      <c r="M3386" s="396"/>
      <c r="N3386" s="396"/>
      <c r="O3386" s="396"/>
      <c r="P3386" s="396"/>
      <c r="Q3386" s="396"/>
      <c r="R3386" s="396"/>
      <c r="S3386" s="396"/>
      <c r="T3386" s="396"/>
      <c r="U3386" s="388"/>
      <c r="V3386" s="396"/>
      <c r="W3386" s="388"/>
      <c r="X3386" s="396"/>
      <c r="Y3386" s="389"/>
      <c r="Z3386" s="396"/>
      <c r="AA3386" s="388"/>
      <c r="AB3386" s="390"/>
    </row>
    <row r="3387" spans="1:28">
      <c r="A3387" s="391"/>
      <c r="B3387" s="392"/>
      <c r="C3387" s="393" t="s">
        <v>198</v>
      </c>
      <c r="D3387" s="2562">
        <f>VLOOKUP(C3385,'Data Panjang Balok'!$C$9:$N$254,4,FALSE)</f>
        <v>6150</v>
      </c>
      <c r="E3387" s="2563"/>
      <c r="F3387" s="2563"/>
      <c r="G3387" s="2563"/>
      <c r="H3387" s="2564"/>
      <c r="I3387" s="397"/>
      <c r="J3387" s="396"/>
      <c r="K3387" s="396"/>
      <c r="L3387" s="396"/>
      <c r="M3387" s="396"/>
      <c r="N3387" s="396"/>
      <c r="O3387" s="396"/>
      <c r="P3387" s="396"/>
      <c r="Q3387" s="396"/>
      <c r="R3387" s="396"/>
      <c r="S3387" s="396"/>
      <c r="T3387" s="396"/>
      <c r="U3387" s="388"/>
      <c r="V3387" s="396"/>
      <c r="W3387" s="388"/>
      <c r="X3387" s="396"/>
      <c r="Y3387" s="389"/>
      <c r="Z3387" s="396"/>
      <c r="AA3387" s="388"/>
      <c r="AB3387" s="390"/>
    </row>
    <row r="3388" spans="1:28">
      <c r="A3388" s="391"/>
      <c r="B3388" s="392"/>
      <c r="C3388" s="393" t="s">
        <v>199</v>
      </c>
      <c r="D3388" s="2562">
        <f>VLOOKUP(C3385,'Data Panjang Balok'!$C$9:$N$254,7,FALSE)</f>
        <v>6150</v>
      </c>
      <c r="E3388" s="2563"/>
      <c r="F3388" s="2563"/>
      <c r="G3388" s="2563"/>
      <c r="H3388" s="2564"/>
      <c r="I3388" s="397"/>
      <c r="J3388" s="396"/>
      <c r="K3388" s="396"/>
      <c r="L3388" s="396"/>
      <c r="M3388" s="396"/>
      <c r="N3388" s="396"/>
      <c r="O3388" s="396"/>
      <c r="P3388" s="396"/>
      <c r="Q3388" s="396"/>
      <c r="R3388" s="396"/>
      <c r="S3388" s="396"/>
      <c r="T3388" s="396"/>
      <c r="U3388" s="388"/>
      <c r="V3388" s="396"/>
      <c r="W3388" s="388"/>
      <c r="X3388" s="396"/>
      <c r="Y3388" s="389"/>
      <c r="Z3388" s="396"/>
      <c r="AA3388" s="388"/>
      <c r="AB3388" s="390"/>
    </row>
    <row r="3389" spans="1:28">
      <c r="A3389" s="391"/>
      <c r="B3389" s="392"/>
      <c r="C3389" s="393" t="s">
        <v>200</v>
      </c>
      <c r="D3389" s="2562">
        <f>VLOOKUP(C3385,'Data Panjang Balok'!$C$9:$N$254,9,FALSE)</f>
        <v>0</v>
      </c>
      <c r="E3389" s="2563"/>
      <c r="F3389" s="2563"/>
      <c r="G3389" s="2563"/>
      <c r="H3389" s="2564"/>
      <c r="I3389" s="397"/>
      <c r="J3389" s="396"/>
      <c r="K3389" s="396"/>
      <c r="L3389" s="396"/>
      <c r="M3389" s="396"/>
      <c r="N3389" s="396"/>
      <c r="O3389" s="396"/>
      <c r="P3389" s="396"/>
      <c r="Q3389" s="396"/>
      <c r="R3389" s="396"/>
      <c r="S3389" s="396"/>
      <c r="T3389" s="396"/>
      <c r="U3389" s="388"/>
      <c r="V3389" s="396"/>
      <c r="W3389" s="388"/>
      <c r="X3389" s="396"/>
      <c r="Y3389" s="389"/>
      <c r="Z3389" s="396"/>
      <c r="AA3389" s="388"/>
      <c r="AB3389" s="390"/>
    </row>
    <row r="3390" spans="1:28">
      <c r="A3390" s="391"/>
      <c r="B3390" s="392"/>
      <c r="C3390" s="393" t="s">
        <v>201</v>
      </c>
      <c r="D3390" s="2562">
        <f>VLOOKUP(C3385,'Data Panjang Balok'!$C$9:$N$254,10,FALSE)</f>
        <v>0</v>
      </c>
      <c r="E3390" s="2563"/>
      <c r="F3390" s="2563"/>
      <c r="G3390" s="2563"/>
      <c r="H3390" s="2564"/>
      <c r="I3390" s="397"/>
      <c r="J3390" s="396"/>
      <c r="K3390" s="396"/>
      <c r="L3390" s="396"/>
      <c r="M3390" s="396"/>
      <c r="N3390" s="396"/>
      <c r="O3390" s="396"/>
      <c r="P3390" s="396"/>
      <c r="Q3390" s="396"/>
      <c r="R3390" s="396"/>
      <c r="S3390" s="396"/>
      <c r="T3390" s="396"/>
      <c r="U3390" s="388"/>
      <c r="V3390" s="396"/>
      <c r="W3390" s="388"/>
      <c r="X3390" s="396"/>
      <c r="Y3390" s="389"/>
      <c r="Z3390" s="396"/>
      <c r="AA3390" s="388"/>
      <c r="AB3390" s="390"/>
    </row>
    <row r="3391" spans="1:28">
      <c r="A3391" s="391"/>
      <c r="B3391" s="392"/>
      <c r="C3391" s="393" t="s">
        <v>48</v>
      </c>
      <c r="D3391" s="2562">
        <f>VLOOKUP(C3385,'Data Panjang Balok'!$C$9:$N$254,3,FALSE)</f>
        <v>1</v>
      </c>
      <c r="E3391" s="2563"/>
      <c r="F3391" s="2563"/>
      <c r="G3391" s="2563"/>
      <c r="H3391" s="2564"/>
      <c r="I3391" s="397"/>
      <c r="J3391" s="396"/>
      <c r="K3391" s="396"/>
      <c r="L3391" s="396"/>
      <c r="M3391" s="396"/>
      <c r="N3391" s="396"/>
      <c r="O3391" s="396"/>
      <c r="P3391" s="396"/>
      <c r="Q3391" s="396"/>
      <c r="R3391" s="396"/>
      <c r="S3391" s="396"/>
      <c r="T3391" s="396"/>
      <c r="U3391" s="388"/>
      <c r="V3391" s="396"/>
      <c r="W3391" s="388"/>
      <c r="X3391" s="396"/>
      <c r="Y3391" s="389"/>
      <c r="Z3391" s="396"/>
      <c r="AA3391" s="388"/>
      <c r="AB3391" s="390"/>
    </row>
    <row r="3392" spans="1:28">
      <c r="A3392" s="384" t="str">
        <f t="shared" ref="A3392:B3392" si="10895">A3385</f>
        <v>Lantai 2</v>
      </c>
      <c r="B3392" s="385">
        <f t="shared" si="10895"/>
        <v>26</v>
      </c>
      <c r="C3392" s="393" t="s">
        <v>202</v>
      </c>
      <c r="D3392" s="398">
        <f>VLOOKUP(D3385,'Detail Balok'!$C$10:$AU$140,4,FALSE)</f>
        <v>4</v>
      </c>
      <c r="E3392" s="388" t="s">
        <v>16</v>
      </c>
      <c r="F3392" s="388">
        <f>VLOOKUP(D3385,'Detail Balok'!$C$10:$AU$140,6,FALSE)</f>
        <v>16</v>
      </c>
      <c r="G3392" s="388"/>
      <c r="H3392" s="395"/>
      <c r="I3392" s="388" t="s">
        <v>203</v>
      </c>
      <c r="J3392" s="399">
        <f t="shared" ref="J3392" si="10896">+D3387/4/1000</f>
        <v>1.5375000000000001</v>
      </c>
      <c r="K3392" s="400" t="s">
        <v>204</v>
      </c>
      <c r="L3392" s="399">
        <f t="shared" ref="L3392" si="10897">MAX(VLOOKUP(F3392,N$6:P$15,3,FALSE)/1000,2/3*D3389/1000)+F$16*F3392/1000</f>
        <v>0.192</v>
      </c>
      <c r="M3392" s="399" t="s">
        <v>176</v>
      </c>
      <c r="N3392" s="399">
        <f t="shared" ref="N3392:N3394" si="10898">J3392+L3392</f>
        <v>1.7295</v>
      </c>
      <c r="O3392" s="399" t="s">
        <v>204</v>
      </c>
      <c r="P3392" s="389">
        <f t="shared" ref="P3392" si="10899">D3392-D3393</f>
        <v>1</v>
      </c>
      <c r="Q3392" s="399" t="s">
        <v>125</v>
      </c>
      <c r="R3392" s="399">
        <f t="shared" ref="R3392" si="10900">IF(P3392&gt;0,$F$18*F3392/1000,0)</f>
        <v>0.24</v>
      </c>
      <c r="S3392" s="399" t="s">
        <v>205</v>
      </c>
      <c r="T3392" s="399" t="s">
        <v>125</v>
      </c>
      <c r="U3392" s="401">
        <f t="shared" ref="U3392:U3394" si="10901">0.006165*F3392^2</f>
        <v>1.5782400000000001</v>
      </c>
      <c r="V3392" s="399"/>
      <c r="W3392" s="399"/>
      <c r="X3392" s="399" t="s">
        <v>125</v>
      </c>
      <c r="Y3392" s="389">
        <f t="shared" ref="Y3392" si="10902">D3391</f>
        <v>1</v>
      </c>
      <c r="Z3392" s="400" t="s">
        <v>176</v>
      </c>
      <c r="AA3392" s="402">
        <f t="shared" ref="AA3392" si="10903">IF(AA3395=0,(D3392*N3392+P3392*R3392)*U3392*Y3392,0)</f>
        <v>11.297041920000002</v>
      </c>
      <c r="AB3392" s="403"/>
    </row>
    <row r="3393" spans="1:28">
      <c r="A3393" s="384" t="str">
        <f t="shared" ref="A3393:B3393" si="10904">A3385</f>
        <v>Lantai 2</v>
      </c>
      <c r="B3393" s="385">
        <f t="shared" si="10904"/>
        <v>26</v>
      </c>
      <c r="C3393" s="393" t="s">
        <v>206</v>
      </c>
      <c r="D3393" s="398">
        <f>VLOOKUP(D3385,'Detail Balok'!$C$10:$AU$140,7,FALSE)</f>
        <v>3</v>
      </c>
      <c r="E3393" s="388" t="s">
        <v>16</v>
      </c>
      <c r="F3393" s="388">
        <f>VLOOKUP(D3385,'Detail Balok'!$C$10:$AU$140,9,FALSE)</f>
        <v>16</v>
      </c>
      <c r="G3393" s="388"/>
      <c r="H3393" s="395"/>
      <c r="I3393" s="388" t="s">
        <v>203</v>
      </c>
      <c r="J3393" s="399">
        <f t="shared" ref="J3393" si="10905">+D3387/2/1000</f>
        <v>3.0750000000000002</v>
      </c>
      <c r="K3393" s="400" t="s">
        <v>204</v>
      </c>
      <c r="L3393" s="399"/>
      <c r="M3393" s="399" t="s">
        <v>176</v>
      </c>
      <c r="N3393" s="399">
        <f t="shared" si="10898"/>
        <v>3.0750000000000002</v>
      </c>
      <c r="O3393" s="399" t="s">
        <v>204</v>
      </c>
      <c r="P3393" s="389">
        <f t="shared" ref="P3393" si="10906">MAX(D3393-D3392,D3393-D3394)</f>
        <v>-1</v>
      </c>
      <c r="Q3393" s="399" t="s">
        <v>125</v>
      </c>
      <c r="R3393" s="399">
        <f t="shared" ref="R3393" si="10907">IF(P3393&gt;0,2*(1-2*$F$19-1/2)*D3388/1000,0)</f>
        <v>0</v>
      </c>
      <c r="S3393" s="399" t="s">
        <v>205</v>
      </c>
      <c r="T3393" s="399" t="s">
        <v>125</v>
      </c>
      <c r="U3393" s="401">
        <f t="shared" si="10901"/>
        <v>1.5782400000000001</v>
      </c>
      <c r="V3393" s="399"/>
      <c r="W3393" s="399"/>
      <c r="X3393" s="399" t="s">
        <v>125</v>
      </c>
      <c r="Y3393" s="389">
        <f t="shared" ref="Y3393" si="10908">D3391</f>
        <v>1</v>
      </c>
      <c r="Z3393" s="400" t="s">
        <v>176</v>
      </c>
      <c r="AA3393" s="402">
        <f t="shared" ref="AA3393" si="10909">IF(AA3395=0,(D3393*N3393+P3393*R3393)*U3393*Y3393,0)</f>
        <v>14.559264000000002</v>
      </c>
      <c r="AB3393" s="403"/>
    </row>
    <row r="3394" spans="1:28">
      <c r="A3394" s="384" t="str">
        <f t="shared" ref="A3394:B3394" si="10910">A3385</f>
        <v>Lantai 2</v>
      </c>
      <c r="B3394" s="385">
        <f t="shared" si="10910"/>
        <v>26</v>
      </c>
      <c r="C3394" s="393" t="s">
        <v>202</v>
      </c>
      <c r="D3394" s="398">
        <f>VLOOKUP(D3385,'Detail Balok'!$C$10:$AU$140,10,FALSE)</f>
        <v>4</v>
      </c>
      <c r="E3394" s="388" t="s">
        <v>16</v>
      </c>
      <c r="F3394" s="388">
        <f>VLOOKUP(D3385,'Detail Balok'!$C$10:$AU$140,12,FALSE)</f>
        <v>16</v>
      </c>
      <c r="G3394" s="388"/>
      <c r="H3394" s="395"/>
      <c r="I3394" s="388" t="s">
        <v>203</v>
      </c>
      <c r="J3394" s="399">
        <f t="shared" ref="J3394" si="10911">+D3387/4/1000</f>
        <v>1.5375000000000001</v>
      </c>
      <c r="K3394" s="400" t="s">
        <v>204</v>
      </c>
      <c r="L3394" s="399">
        <f t="shared" ref="L3394" si="10912">MAX(VLOOKUP(F3394,N$6:P$15,3,FALSE)/1000,2/3*D3389/1000)+F$16*F3394/1000</f>
        <v>0.192</v>
      </c>
      <c r="M3394" s="399" t="s">
        <v>176</v>
      </c>
      <c r="N3394" s="399">
        <f t="shared" si="10898"/>
        <v>1.7295</v>
      </c>
      <c r="O3394" s="399" t="s">
        <v>204</v>
      </c>
      <c r="P3394" s="389">
        <f t="shared" ref="P3394" si="10913">D3394-D3393</f>
        <v>1</v>
      </c>
      <c r="Q3394" s="399" t="s">
        <v>125</v>
      </c>
      <c r="R3394" s="399">
        <f t="shared" ref="R3394" si="10914">IF(P3394&gt;0,$F$18*F3394/1000,0)</f>
        <v>0.24</v>
      </c>
      <c r="S3394" s="399" t="s">
        <v>205</v>
      </c>
      <c r="T3394" s="399" t="s">
        <v>125</v>
      </c>
      <c r="U3394" s="401">
        <f t="shared" si="10901"/>
        <v>1.5782400000000001</v>
      </c>
      <c r="V3394" s="399"/>
      <c r="W3394" s="399"/>
      <c r="X3394" s="399" t="s">
        <v>125</v>
      </c>
      <c r="Y3394" s="389">
        <f t="shared" ref="Y3394" si="10915">D3391</f>
        <v>1</v>
      </c>
      <c r="Z3394" s="400" t="s">
        <v>176</v>
      </c>
      <c r="AA3394" s="402">
        <f t="shared" ref="AA3394" si="10916">IF(AA3395=0,(D3394*N3394+P3394*R3394)*U3394*Y3394,0)</f>
        <v>11.297041920000002</v>
      </c>
      <c r="AB3394" s="403"/>
    </row>
    <row r="3395" spans="1:28">
      <c r="A3395" s="384" t="str">
        <f t="shared" ref="A3395:B3395" si="10917">A3385</f>
        <v>Lantai 2</v>
      </c>
      <c r="B3395" s="385">
        <f t="shared" si="10917"/>
        <v>26</v>
      </c>
      <c r="C3395" s="393"/>
      <c r="D3395" s="398">
        <f t="shared" ref="D3395:D3455" si="10918">IF(AND(D3392=D3393,D3393=D3394,D3392=D3394),D3392,0)</f>
        <v>0</v>
      </c>
      <c r="E3395" s="388" t="s">
        <v>16</v>
      </c>
      <c r="F3395" s="388">
        <f t="shared" ref="F3395:F3455" si="10919">IF(AND(F3392=F3393,F3392=F3394,F3393=F3394),F3392,0)</f>
        <v>16</v>
      </c>
      <c r="G3395" s="388"/>
      <c r="H3395" s="395"/>
      <c r="I3395" s="388"/>
      <c r="J3395" s="396"/>
      <c r="K3395" s="396"/>
      <c r="L3395" s="404" t="s">
        <v>207</v>
      </c>
      <c r="M3395" s="399" t="s">
        <v>176</v>
      </c>
      <c r="N3395" s="399">
        <f t="shared" ref="N3395" si="10920">IF(AND(D3392=D3393,D3392=D3394,D3393=D3394,F3392=F3393,F3392=F3394,F3393=F3394),SUM(N3392:N3394),0)</f>
        <v>0</v>
      </c>
      <c r="O3395" s="399" t="s">
        <v>204</v>
      </c>
      <c r="P3395" s="389">
        <f t="shared" ref="P3395" si="10921">IF(N3395&gt;12,ROUNDDOWN(N3395/12,0),0)</f>
        <v>0</v>
      </c>
      <c r="Q3395" s="399" t="s">
        <v>125</v>
      </c>
      <c r="R3395" s="399">
        <f t="shared" ref="R3395" si="10922">IF(P3395&gt;0,MAX(VLOOKUP(F3395,$D$6:$G$15,3,FALSE),600),0)/1000</f>
        <v>0</v>
      </c>
      <c r="S3395" s="396"/>
      <c r="T3395" s="396" t="s">
        <v>125</v>
      </c>
      <c r="U3395" s="401">
        <f t="shared" ref="U3395:U3455" si="10923">U3394</f>
        <v>1.5782400000000001</v>
      </c>
      <c r="V3395" s="396" t="s">
        <v>125</v>
      </c>
      <c r="W3395" s="399">
        <f t="shared" ref="W3395" si="10924">D3395</f>
        <v>0</v>
      </c>
      <c r="X3395" s="399" t="s">
        <v>125</v>
      </c>
      <c r="Y3395" s="389">
        <f t="shared" ref="Y3395:Y3455" si="10925">Y3394</f>
        <v>1</v>
      </c>
      <c r="Z3395" s="400" t="s">
        <v>176</v>
      </c>
      <c r="AA3395" s="402">
        <f t="shared" ref="AA3395" si="10926">(N3395+P3395*R3395/1000)*U3395*W3395*Y3395</f>
        <v>0</v>
      </c>
      <c r="AB3395" s="390"/>
    </row>
    <row r="3396" spans="1:28">
      <c r="A3396" s="384"/>
      <c r="B3396" s="385"/>
      <c r="C3396" s="393"/>
      <c r="D3396" s="398"/>
      <c r="E3396" s="388"/>
      <c r="F3396" s="388"/>
      <c r="G3396" s="388"/>
      <c r="H3396" s="395"/>
      <c r="I3396" s="388"/>
      <c r="J3396" s="396"/>
      <c r="K3396" s="396"/>
      <c r="L3396" s="404"/>
      <c r="M3396" s="399"/>
      <c r="N3396" s="399"/>
      <c r="O3396" s="396"/>
      <c r="P3396" s="389"/>
      <c r="Q3396" s="396"/>
      <c r="R3396" s="396"/>
      <c r="S3396" s="396"/>
      <c r="T3396" s="396"/>
      <c r="U3396" s="401"/>
      <c r="V3396" s="396"/>
      <c r="W3396" s="399"/>
      <c r="X3396" s="396"/>
      <c r="Y3396" s="389"/>
      <c r="Z3396" s="396"/>
      <c r="AA3396" s="388"/>
      <c r="AB3396" s="390"/>
    </row>
    <row r="3397" spans="1:28">
      <c r="A3397" s="384" t="str">
        <f t="shared" ref="A3397:B3397" si="10927">A3385</f>
        <v>Lantai 2</v>
      </c>
      <c r="B3397" s="385">
        <f t="shared" si="10927"/>
        <v>26</v>
      </c>
      <c r="C3397" s="393" t="s">
        <v>208</v>
      </c>
      <c r="D3397" s="398">
        <f>VLOOKUP(D3385,'Detail Balok'!$C$10:$AU$140,13,FALSE)</f>
        <v>2</v>
      </c>
      <c r="E3397" s="388" t="s">
        <v>16</v>
      </c>
      <c r="F3397" s="388">
        <f>VLOOKUP(D3385,'Detail Balok'!$C$10:$AU$140,15,FALSE)</f>
        <v>10</v>
      </c>
      <c r="G3397" s="388"/>
      <c r="H3397" s="395"/>
      <c r="I3397" s="388"/>
      <c r="J3397" s="399">
        <f t="shared" ref="J3397" si="10928">+D3387/1000</f>
        <v>6.15</v>
      </c>
      <c r="K3397" s="400" t="s">
        <v>204</v>
      </c>
      <c r="L3397" s="399">
        <f t="shared" ref="L3397" si="10929">2*$F$16*F3397/1000</f>
        <v>0.24</v>
      </c>
      <c r="M3397" s="399" t="s">
        <v>176</v>
      </c>
      <c r="N3397" s="399">
        <f t="shared" ref="N3397" si="10930">J3397+L3397</f>
        <v>6.3900000000000006</v>
      </c>
      <c r="O3397" s="399" t="s">
        <v>204</v>
      </c>
      <c r="P3397" s="389">
        <f t="shared" ref="P3397" si="10931">IF(N3397&gt;12,ROUNDDOWN(N3397/12,0),0)</f>
        <v>0</v>
      </c>
      <c r="Q3397" s="399" t="s">
        <v>125</v>
      </c>
      <c r="R3397" s="399">
        <f t="shared" ref="R3397" si="10932">IF(P3397&gt;0,MAX(VLOOKUP(F3397,$D$6:$G$15,3,FALSE),600),0)/1000</f>
        <v>0</v>
      </c>
      <c r="S3397" s="399"/>
      <c r="T3397" s="399" t="s">
        <v>125</v>
      </c>
      <c r="U3397" s="401">
        <f t="shared" ref="U3397" si="10933">0.006165*F3397^2</f>
        <v>0.61650000000000005</v>
      </c>
      <c r="V3397" s="399" t="s">
        <v>125</v>
      </c>
      <c r="W3397" s="399">
        <f t="shared" ref="W3397" si="10934">+D3397</f>
        <v>2</v>
      </c>
      <c r="X3397" s="399" t="s">
        <v>125</v>
      </c>
      <c r="Y3397" s="389">
        <f t="shared" ref="Y3397" si="10935">D3391</f>
        <v>1</v>
      </c>
      <c r="Z3397" s="400" t="s">
        <v>176</v>
      </c>
      <c r="AA3397" s="402">
        <f t="shared" ref="AA3397" si="10936">(N3397+P3397*R3397/1000)*U3397*W3397*Y3397</f>
        <v>7.8788700000000009</v>
      </c>
      <c r="AB3397" s="403"/>
    </row>
    <row r="3398" spans="1:28">
      <c r="A3398" s="384"/>
      <c r="B3398" s="385"/>
      <c r="C3398" s="393"/>
      <c r="D3398" s="398"/>
      <c r="E3398" s="388"/>
      <c r="F3398" s="388"/>
      <c r="G3398" s="388"/>
      <c r="H3398" s="395"/>
      <c r="I3398" s="388"/>
      <c r="J3398" s="399"/>
      <c r="K3398" s="400"/>
      <c r="L3398" s="399"/>
      <c r="M3398" s="399"/>
      <c r="N3398" s="399"/>
      <c r="O3398" s="399"/>
      <c r="P3398" s="389"/>
      <c r="Q3398" s="399"/>
      <c r="R3398" s="399"/>
      <c r="S3398" s="399"/>
      <c r="T3398" s="399"/>
      <c r="U3398" s="401"/>
      <c r="V3398" s="399"/>
      <c r="W3398" s="399"/>
      <c r="X3398" s="399"/>
      <c r="Y3398" s="389"/>
      <c r="Z3398" s="400"/>
      <c r="AA3398" s="402"/>
      <c r="AB3398" s="403"/>
    </row>
    <row r="3399" spans="1:28">
      <c r="A3399" s="384"/>
      <c r="B3399" s="385"/>
      <c r="C3399" s="393"/>
      <c r="D3399" s="398"/>
      <c r="E3399" s="388"/>
      <c r="F3399" s="388"/>
      <c r="G3399" s="388"/>
      <c r="H3399" s="395"/>
      <c r="I3399" s="388"/>
      <c r="J3399" s="396"/>
      <c r="K3399" s="396"/>
      <c r="L3399" s="396"/>
      <c r="M3399" s="396"/>
      <c r="N3399" s="396"/>
      <c r="O3399" s="396"/>
      <c r="P3399" s="389"/>
      <c r="Q3399" s="396"/>
      <c r="R3399" s="396"/>
      <c r="S3399" s="396"/>
      <c r="T3399" s="396"/>
      <c r="U3399" s="401"/>
      <c r="V3399" s="396"/>
      <c r="W3399" s="399"/>
      <c r="X3399" s="396"/>
      <c r="Y3399" s="389"/>
      <c r="Z3399" s="396"/>
      <c r="AA3399" s="388"/>
      <c r="AB3399" s="390"/>
    </row>
    <row r="3400" spans="1:28">
      <c r="A3400" s="384" t="str">
        <f t="shared" ref="A3400:B3400" si="10937">A3385</f>
        <v>Lantai 2</v>
      </c>
      <c r="B3400" s="385">
        <f t="shared" si="10937"/>
        <v>26</v>
      </c>
      <c r="C3400" s="393" t="s">
        <v>209</v>
      </c>
      <c r="D3400" s="398">
        <f>VLOOKUP(D3385,'Detail Balok'!$C$10:$AU$140,22,FALSE)</f>
        <v>3</v>
      </c>
      <c r="E3400" s="388" t="s">
        <v>16</v>
      </c>
      <c r="F3400" s="388">
        <f>VLOOKUP(D3385,'Detail Balok'!$C$10:$AU$140,24,FALSE)</f>
        <v>16</v>
      </c>
      <c r="G3400" s="388"/>
      <c r="H3400" s="395"/>
      <c r="I3400" s="388" t="s">
        <v>203</v>
      </c>
      <c r="J3400" s="399">
        <f t="shared" ref="J3400:J3462" si="10938">+J3392</f>
        <v>1.5375000000000001</v>
      </c>
      <c r="K3400" s="400" t="s">
        <v>204</v>
      </c>
      <c r="L3400" s="399">
        <f t="shared" ref="L3400" si="10939">MAX(VLOOKUP(F3400,N$6:P$15,3,FALSE)/1000,2/3*D3390/1000)+F$16*F3400/1000</f>
        <v>0.192</v>
      </c>
      <c r="M3400" s="399" t="s">
        <v>176</v>
      </c>
      <c r="N3400" s="399">
        <f t="shared" ref="N3400:N3402" si="10940">J3400+L3400</f>
        <v>1.7295</v>
      </c>
      <c r="O3400" s="399" t="s">
        <v>204</v>
      </c>
      <c r="P3400" s="389">
        <f t="shared" ref="P3400" si="10941">D3400-D3401</f>
        <v>-1</v>
      </c>
      <c r="Q3400" s="399" t="s">
        <v>125</v>
      </c>
      <c r="R3400" s="399">
        <f t="shared" ref="R3400" si="10942">IF(P3400&gt;0,$F$18*F3400/1000,0)</f>
        <v>0</v>
      </c>
      <c r="S3400" s="399" t="s">
        <v>205</v>
      </c>
      <c r="T3400" s="399" t="s">
        <v>125</v>
      </c>
      <c r="U3400" s="401">
        <f t="shared" ref="U3400:U3402" si="10943">0.006165*F3400^2</f>
        <v>1.5782400000000001</v>
      </c>
      <c r="V3400" s="399"/>
      <c r="W3400" s="399"/>
      <c r="X3400" s="399" t="s">
        <v>125</v>
      </c>
      <c r="Y3400" s="389">
        <f t="shared" ref="Y3400" si="10944">D3391</f>
        <v>1</v>
      </c>
      <c r="Z3400" s="400" t="s">
        <v>176</v>
      </c>
      <c r="AA3400" s="402">
        <f t="shared" ref="AA3400" si="10945">IF(AA3403=0,(D3400*N3400+P3400*R3400)*U3400*Y3400,0)</f>
        <v>8.1886982400000008</v>
      </c>
      <c r="AB3400" s="403"/>
    </row>
    <row r="3401" spans="1:28">
      <c r="A3401" s="384" t="str">
        <f t="shared" ref="A3401:B3401" si="10946">A3385</f>
        <v>Lantai 2</v>
      </c>
      <c r="B3401" s="385">
        <f t="shared" si="10946"/>
        <v>26</v>
      </c>
      <c r="C3401" s="393" t="s">
        <v>210</v>
      </c>
      <c r="D3401" s="398">
        <f>VLOOKUP(D3385,'Detail Balok'!$C$10:$AU$140,25,FALSE)</f>
        <v>4</v>
      </c>
      <c r="E3401" s="388" t="s">
        <v>16</v>
      </c>
      <c r="F3401" s="388">
        <f>VLOOKUP(D3385,'Detail Balok'!$C$10:$AU$140,27,FALSE)</f>
        <v>16</v>
      </c>
      <c r="G3401" s="388"/>
      <c r="H3401" s="395"/>
      <c r="I3401" s="388" t="s">
        <v>203</v>
      </c>
      <c r="J3401" s="399">
        <f t="shared" si="10938"/>
        <v>3.0750000000000002</v>
      </c>
      <c r="K3401" s="400" t="s">
        <v>204</v>
      </c>
      <c r="L3401" s="399"/>
      <c r="M3401" s="399" t="s">
        <v>176</v>
      </c>
      <c r="N3401" s="399">
        <f t="shared" si="10940"/>
        <v>3.0750000000000002</v>
      </c>
      <c r="O3401" s="399" t="s">
        <v>204</v>
      </c>
      <c r="P3401" s="389">
        <f t="shared" ref="P3401" si="10947">MAX(D3401-D3400,D3401-D3402)</f>
        <v>1</v>
      </c>
      <c r="Q3401" s="399" t="s">
        <v>125</v>
      </c>
      <c r="R3401" s="399">
        <f t="shared" ref="R3401" si="10948">IF(P3401&gt;0,2*(1-2*$F$19-1/2)*D3388/1000,0)</f>
        <v>1.2299999999999998</v>
      </c>
      <c r="S3401" s="399" t="s">
        <v>205</v>
      </c>
      <c r="T3401" s="399" t="s">
        <v>125</v>
      </c>
      <c r="U3401" s="401">
        <f t="shared" si="10943"/>
        <v>1.5782400000000001</v>
      </c>
      <c r="V3401" s="399"/>
      <c r="W3401" s="399"/>
      <c r="X3401" s="399" t="s">
        <v>125</v>
      </c>
      <c r="Y3401" s="389">
        <f t="shared" ref="Y3401" si="10949">D3391</f>
        <v>1</v>
      </c>
      <c r="Z3401" s="400" t="s">
        <v>176</v>
      </c>
      <c r="AA3401" s="402">
        <f t="shared" ref="AA3401" si="10950">IF(AA3403=0,(D3401*N3401+P3401*R3401)*U3401*Y3401,0)</f>
        <v>21.353587200000003</v>
      </c>
      <c r="AB3401" s="403"/>
    </row>
    <row r="3402" spans="1:28">
      <c r="A3402" s="384" t="str">
        <f t="shared" ref="A3402:B3402" si="10951">A3385</f>
        <v>Lantai 2</v>
      </c>
      <c r="B3402" s="385">
        <f t="shared" si="10951"/>
        <v>26</v>
      </c>
      <c r="C3402" s="393" t="s">
        <v>209</v>
      </c>
      <c r="D3402" s="398">
        <f>VLOOKUP(D3385,'Detail Balok'!$C$10:$AU$140,28,FALSE)</f>
        <v>3</v>
      </c>
      <c r="E3402" s="388" t="s">
        <v>16</v>
      </c>
      <c r="F3402" s="388">
        <f>VLOOKUP(D3385,'Detail Balok'!$C$10:$AU$140,30,FALSE)</f>
        <v>16</v>
      </c>
      <c r="G3402" s="388"/>
      <c r="H3402" s="395"/>
      <c r="I3402" s="388" t="s">
        <v>203</v>
      </c>
      <c r="J3402" s="399">
        <f t="shared" si="10938"/>
        <v>1.5375000000000001</v>
      </c>
      <c r="K3402" s="400" t="s">
        <v>204</v>
      </c>
      <c r="L3402" s="399">
        <f t="shared" ref="L3402" si="10952">MAX(VLOOKUP(F3402,N$6:P$15,3,FALSE)/1000,2/3*D3390/1000)+F$16*F3402/1000</f>
        <v>0.192</v>
      </c>
      <c r="M3402" s="399" t="s">
        <v>176</v>
      </c>
      <c r="N3402" s="399">
        <f t="shared" si="10940"/>
        <v>1.7295</v>
      </c>
      <c r="O3402" s="399" t="s">
        <v>204</v>
      </c>
      <c r="P3402" s="389">
        <f t="shared" ref="P3402" si="10953">D3402-D3401</f>
        <v>-1</v>
      </c>
      <c r="Q3402" s="399" t="s">
        <v>125</v>
      </c>
      <c r="R3402" s="399">
        <f t="shared" ref="R3402" si="10954">IF(P3402&gt;0,$F$18*F3402/1000,0)</f>
        <v>0</v>
      </c>
      <c r="S3402" s="399" t="s">
        <v>205</v>
      </c>
      <c r="T3402" s="399" t="s">
        <v>125</v>
      </c>
      <c r="U3402" s="401">
        <f t="shared" si="10943"/>
        <v>1.5782400000000001</v>
      </c>
      <c r="V3402" s="399"/>
      <c r="W3402" s="399"/>
      <c r="X3402" s="399" t="s">
        <v>125</v>
      </c>
      <c r="Y3402" s="389">
        <f t="shared" ref="Y3402" si="10955">D3391</f>
        <v>1</v>
      </c>
      <c r="Z3402" s="400" t="s">
        <v>176</v>
      </c>
      <c r="AA3402" s="402">
        <f t="shared" ref="AA3402" si="10956">IF(AA3403=0,(D3402*N3402+P3402*R3402)*U3402*Y3402,0)</f>
        <v>8.1886982400000008</v>
      </c>
      <c r="AB3402" s="403"/>
    </row>
    <row r="3403" spans="1:28">
      <c r="A3403" s="384" t="str">
        <f t="shared" ref="A3403:B3403" si="10957">A3385</f>
        <v>Lantai 2</v>
      </c>
      <c r="B3403" s="385">
        <f t="shared" si="10957"/>
        <v>26</v>
      </c>
      <c r="C3403" s="393"/>
      <c r="D3403" s="398">
        <f t="shared" ref="D3403:D3463" si="10958">IF(AND(D3400=D3401,D3401=D3402,D3400=D3402),D3400,0)</f>
        <v>0</v>
      </c>
      <c r="E3403" s="388" t="s">
        <v>16</v>
      </c>
      <c r="F3403" s="388">
        <f t="shared" ref="F3403:F3463" si="10959">IF(AND(F3400=F3401,F3400=F3402,F3401=F3402),F3400,0)</f>
        <v>16</v>
      </c>
      <c r="G3403" s="388"/>
      <c r="H3403" s="395"/>
      <c r="I3403" s="388"/>
      <c r="J3403" s="396"/>
      <c r="K3403" s="396"/>
      <c r="L3403" s="404" t="s">
        <v>207</v>
      </c>
      <c r="M3403" s="399" t="s">
        <v>176</v>
      </c>
      <c r="N3403" s="399">
        <f t="shared" ref="N3403" si="10960">IF(AND(D3400=D3401,D3400=D3402,D3401=D3402,F3400=F3401,F3400=F3402,F3401=F3402),SUM(N3400:N3402),0)</f>
        <v>0</v>
      </c>
      <c r="O3403" s="399" t="s">
        <v>204</v>
      </c>
      <c r="P3403" s="389">
        <f t="shared" ref="P3403" si="10961">IF(N3403&gt;12,ROUNDDOWN(N3403/12,0),0)</f>
        <v>0</v>
      </c>
      <c r="Q3403" s="399" t="s">
        <v>125</v>
      </c>
      <c r="R3403" s="399">
        <f t="shared" ref="R3403" si="10962">IF(P3403&gt;0,MAX(VLOOKUP(F3403,$D$6:$G$15,3,FALSE),600),0)/1000</f>
        <v>0</v>
      </c>
      <c r="S3403" s="396"/>
      <c r="T3403" s="396" t="s">
        <v>125</v>
      </c>
      <c r="U3403" s="401">
        <f t="shared" ref="U3403:U3463" si="10963">U3402</f>
        <v>1.5782400000000001</v>
      </c>
      <c r="V3403" s="396" t="s">
        <v>125</v>
      </c>
      <c r="W3403" s="399">
        <f t="shared" ref="W3403" si="10964">D3403</f>
        <v>0</v>
      </c>
      <c r="X3403" s="399" t="s">
        <v>125</v>
      </c>
      <c r="Y3403" s="389">
        <f t="shared" ref="Y3403:Y3463" si="10965">Y3402</f>
        <v>1</v>
      </c>
      <c r="Z3403" s="400" t="s">
        <v>176</v>
      </c>
      <c r="AA3403" s="402">
        <f t="shared" ref="AA3403" si="10966">(N3403+P3403*R3403/1000)*U3403*W3403*Y3403</f>
        <v>0</v>
      </c>
      <c r="AB3403" s="403"/>
    </row>
    <row r="3404" spans="1:28">
      <c r="A3404" s="384"/>
      <c r="B3404" s="385"/>
      <c r="C3404" s="393"/>
      <c r="D3404" s="394"/>
      <c r="E3404" s="388"/>
      <c r="F3404" s="388"/>
      <c r="G3404" s="388"/>
      <c r="H3404" s="395"/>
      <c r="I3404" s="388"/>
      <c r="J3404" s="399"/>
      <c r="K3404" s="396"/>
      <c r="L3404" s="396"/>
      <c r="M3404" s="396"/>
      <c r="N3404" s="396"/>
      <c r="O3404" s="396"/>
      <c r="P3404" s="389"/>
      <c r="Q3404" s="396"/>
      <c r="R3404" s="396"/>
      <c r="S3404" s="396"/>
      <c r="T3404" s="396"/>
      <c r="U3404" s="401"/>
      <c r="V3404" s="396"/>
      <c r="W3404" s="388"/>
      <c r="X3404" s="396"/>
      <c r="Y3404" s="389"/>
      <c r="Z3404" s="396"/>
      <c r="AA3404" s="388"/>
      <c r="AB3404" s="390"/>
    </row>
    <row r="3405" spans="1:28">
      <c r="A3405" s="384" t="str">
        <f t="shared" ref="A3405:B3405" si="10967">A3385</f>
        <v>Lantai 2</v>
      </c>
      <c r="B3405" s="385">
        <f t="shared" si="10967"/>
        <v>26</v>
      </c>
      <c r="C3405" s="393" t="s">
        <v>211</v>
      </c>
      <c r="D3405" s="398">
        <f>VLOOKUP(D3385,'Detail Balok'!$C$10:$AU$140,31,FALSE)</f>
        <v>0</v>
      </c>
      <c r="E3405" s="388" t="s">
        <v>16</v>
      </c>
      <c r="F3405" s="388">
        <f>VLOOKUP(D3385,'Detail Balok'!$C$10:$AU$140,33,FALSE)</f>
        <v>10</v>
      </c>
      <c r="G3405" s="405" t="s">
        <v>157</v>
      </c>
      <c r="H3405" s="395">
        <f>VLOOKUP(D3385,'Detail Balok'!$C$10:$AU$140,35,FALSE)</f>
        <v>100</v>
      </c>
      <c r="I3405" s="388"/>
      <c r="J3405" s="400">
        <f t="shared" ref="J3405" si="10968">(IF(D3405=0,(2*(D3386+G3386))-(F$5*8),IF(D3405=3,(2*(D3386+G3386))-(F$5*8)+(G3386-2*F$5),IF(D3405=4,(2*(D3386+G3386))-(F$5*8)+2*(G3386-2*F$5)))))/1000</f>
        <v>1.28</v>
      </c>
      <c r="K3405" s="400" t="s">
        <v>204</v>
      </c>
      <c r="L3405" s="399">
        <f t="shared" ref="L3405:L3407" si="10969">IF(D3405=0,2*MAX(6*F3405,75),(D3405-1)*2*MAX(6*F3405,75))/1000</f>
        <v>0.15</v>
      </c>
      <c r="M3405" s="399" t="s">
        <v>176</v>
      </c>
      <c r="N3405" s="399">
        <f t="shared" ref="N3405:N3407" si="10970">J3405+L3405</f>
        <v>1.43</v>
      </c>
      <c r="O3405" s="399"/>
      <c r="P3405" s="389"/>
      <c r="Q3405" s="399"/>
      <c r="R3405" s="399"/>
      <c r="S3405" s="399"/>
      <c r="T3405" s="399" t="s">
        <v>125</v>
      </c>
      <c r="U3405" s="401">
        <f t="shared" ref="U3405:U3407" si="10971">0.006165*F3405^2</f>
        <v>0.61650000000000005</v>
      </c>
      <c r="V3405" s="399" t="s">
        <v>125</v>
      </c>
      <c r="W3405" s="399">
        <f t="shared" ref="W3405" si="10972">IF(D3388&gt;4*G3386,ROUND(MAX(D3388/4,2*G3386)/H3405,0)+1,ROUND(D3388/H3405,0)+1)</f>
        <v>16</v>
      </c>
      <c r="X3405" s="399" t="s">
        <v>125</v>
      </c>
      <c r="Y3405" s="389">
        <f t="shared" ref="Y3405" si="10973">D3391</f>
        <v>1</v>
      </c>
      <c r="Z3405" s="400" t="s">
        <v>176</v>
      </c>
      <c r="AA3405" s="402">
        <f t="shared" ref="AA3405:AA3407" si="10974">N3405*U3405*W3405*Y3405</f>
        <v>14.10552</v>
      </c>
      <c r="AB3405" s="403"/>
    </row>
    <row r="3406" spans="1:28">
      <c r="A3406" s="384" t="str">
        <f t="shared" ref="A3406:B3406" si="10975">A3385</f>
        <v>Lantai 2</v>
      </c>
      <c r="B3406" s="385">
        <f t="shared" si="10975"/>
        <v>26</v>
      </c>
      <c r="C3406" s="393" t="s">
        <v>212</v>
      </c>
      <c r="D3406" s="398">
        <f>VLOOKUP(D3385,'Detail Balok'!$C$10:$AU$140,36,FALSE)</f>
        <v>0</v>
      </c>
      <c r="E3406" s="388" t="s">
        <v>16</v>
      </c>
      <c r="F3406" s="388">
        <f>VLOOKUP(D3385,'Detail Balok'!$C$10:$AU$140,38,FALSE)</f>
        <v>10</v>
      </c>
      <c r="G3406" s="405" t="s">
        <v>157</v>
      </c>
      <c r="H3406" s="395">
        <f>VLOOKUP(D3385,'Detail Balok'!$C$10:$AU$140,40,FALSE)</f>
        <v>150</v>
      </c>
      <c r="I3406" s="388"/>
      <c r="J3406" s="400">
        <f t="shared" ref="J3406" si="10976">(IF(D3406=0,(2*(D3386+G3386))-(F$5*8),IF(D3406=3,(2*(D3386+G3386))-(F$5*8)+(G3386-2*F$5),IF(D3406=4,(2*(D3386+G3386))-(F$5*8)+2*(G3386-2*F$5)))))/1000</f>
        <v>1.28</v>
      </c>
      <c r="K3406" s="400" t="s">
        <v>204</v>
      </c>
      <c r="L3406" s="399">
        <f t="shared" si="10969"/>
        <v>0.15</v>
      </c>
      <c r="M3406" s="399" t="s">
        <v>176</v>
      </c>
      <c r="N3406" s="399">
        <f t="shared" si="10970"/>
        <v>1.43</v>
      </c>
      <c r="O3406" s="399"/>
      <c r="P3406" s="389"/>
      <c r="Q3406" s="399"/>
      <c r="R3406" s="399"/>
      <c r="S3406" s="399"/>
      <c r="T3406" s="399" t="s">
        <v>125</v>
      </c>
      <c r="U3406" s="401">
        <f t="shared" si="10971"/>
        <v>0.61650000000000005</v>
      </c>
      <c r="V3406" s="399" t="s">
        <v>125</v>
      </c>
      <c r="W3406" s="399">
        <f t="shared" ref="W3406" si="10977">IF(D3388-MAX(D3388/4,2*G3386)*2&gt;0,ROUND((D3388-MAX(D3388/4,2*G3386)*2)/H3406,0),0)</f>
        <v>21</v>
      </c>
      <c r="X3406" s="399" t="s">
        <v>125</v>
      </c>
      <c r="Y3406" s="389">
        <f t="shared" ref="Y3406" si="10978">D3391</f>
        <v>1</v>
      </c>
      <c r="Z3406" s="400" t="s">
        <v>176</v>
      </c>
      <c r="AA3406" s="402">
        <f t="shared" si="10974"/>
        <v>18.513494999999999</v>
      </c>
      <c r="AB3406" s="403"/>
    </row>
    <row r="3407" spans="1:28">
      <c r="A3407" s="384" t="str">
        <f t="shared" ref="A3407:B3407" si="10979">A3385</f>
        <v>Lantai 2</v>
      </c>
      <c r="B3407" s="385">
        <f t="shared" si="10979"/>
        <v>26</v>
      </c>
      <c r="C3407" s="393" t="s">
        <v>211</v>
      </c>
      <c r="D3407" s="398">
        <f>VLOOKUP(D3385,'Detail Balok'!$C$10:$AU$140,41,FALSE)</f>
        <v>0</v>
      </c>
      <c r="E3407" s="388" t="s">
        <v>16</v>
      </c>
      <c r="F3407" s="388">
        <f>VLOOKUP(D3385,'Detail Balok'!$C$10:$AU$140,43,FALSE)</f>
        <v>10</v>
      </c>
      <c r="G3407" s="405" t="s">
        <v>157</v>
      </c>
      <c r="H3407" s="395">
        <f>VLOOKUP(D3385,'Detail Balok'!$C$10:$AU$140,45,FALSE)</f>
        <v>100</v>
      </c>
      <c r="I3407" s="388"/>
      <c r="J3407" s="400">
        <f t="shared" ref="J3407" si="10980">(IF(D3407=0,(2*(D3386+G3386))-(F$5*8),IF(D3407=3,(2*(D3386+G3386))-(F$5*8)+(G3386-2*F$5),IF(D3407=4,(2*(D3386+G3386))-(F$5*8)+2*(G3386-2*F$5)))))/1000</f>
        <v>1.28</v>
      </c>
      <c r="K3407" s="400" t="s">
        <v>204</v>
      </c>
      <c r="L3407" s="399">
        <f t="shared" si="10969"/>
        <v>0.15</v>
      </c>
      <c r="M3407" s="399" t="s">
        <v>176</v>
      </c>
      <c r="N3407" s="399">
        <f t="shared" si="10970"/>
        <v>1.43</v>
      </c>
      <c r="O3407" s="399"/>
      <c r="P3407" s="389"/>
      <c r="Q3407" s="399"/>
      <c r="R3407" s="399"/>
      <c r="S3407" s="399"/>
      <c r="T3407" s="399" t="s">
        <v>125</v>
      </c>
      <c r="U3407" s="401">
        <f t="shared" si="10971"/>
        <v>0.61650000000000005</v>
      </c>
      <c r="V3407" s="399" t="s">
        <v>125</v>
      </c>
      <c r="W3407" s="399">
        <f t="shared" ref="W3407" si="10981">IF(D3388&gt;4*G3386,ROUND(MAX(D3388/4,2*G3386)/H3407,0)+1,0)</f>
        <v>16</v>
      </c>
      <c r="X3407" s="399" t="s">
        <v>125</v>
      </c>
      <c r="Y3407" s="389">
        <f t="shared" ref="Y3407" si="10982">D3391</f>
        <v>1</v>
      </c>
      <c r="Z3407" s="400" t="s">
        <v>176</v>
      </c>
      <c r="AA3407" s="402">
        <f t="shared" si="10974"/>
        <v>14.10552</v>
      </c>
      <c r="AB3407" s="403"/>
    </row>
    <row r="3408" spans="1:28">
      <c r="A3408" s="384"/>
      <c r="B3408" s="385"/>
      <c r="C3408" s="393"/>
      <c r="D3408" s="394"/>
      <c r="E3408" s="388"/>
      <c r="F3408" s="388"/>
      <c r="G3408" s="388"/>
      <c r="H3408" s="395"/>
      <c r="I3408" s="388"/>
      <c r="J3408" s="399"/>
      <c r="K3408" s="396"/>
      <c r="L3408" s="396"/>
      <c r="M3408" s="396"/>
      <c r="N3408" s="396"/>
      <c r="O3408" s="396"/>
      <c r="P3408" s="389"/>
      <c r="Q3408" s="396"/>
      <c r="R3408" s="396"/>
      <c r="S3408" s="396"/>
      <c r="T3408" s="396"/>
      <c r="U3408" s="401"/>
      <c r="V3408" s="396"/>
      <c r="W3408" s="388"/>
      <c r="X3408" s="396"/>
      <c r="Y3408" s="389"/>
      <c r="Z3408" s="396"/>
      <c r="AA3408" s="388"/>
      <c r="AB3408" s="390"/>
    </row>
    <row r="3409" spans="1:28">
      <c r="A3409" s="384" t="str">
        <f t="shared" ref="A3409:B3409" si="10983">A3385</f>
        <v>Lantai 2</v>
      </c>
      <c r="B3409" s="385">
        <f t="shared" si="10983"/>
        <v>26</v>
      </c>
      <c r="C3409" s="393" t="s">
        <v>213</v>
      </c>
      <c r="D3409" s="398">
        <f>VLOOKUP(D3385,'Detail Balok'!$C$10:$BJ$140,46,FALSE)</f>
        <v>0</v>
      </c>
      <c r="E3409" s="388" t="s">
        <v>16</v>
      </c>
      <c r="F3409" s="388">
        <f>VLOOKUP(D3385,'Detail Balok'!$C$10:$BJ$140,48,FALSE)</f>
        <v>0</v>
      </c>
      <c r="G3409" s="405" t="s">
        <v>157</v>
      </c>
      <c r="H3409" s="395">
        <f>VLOOKUP(D3385,'Detail Balok'!$C$10:$BJ$140,50,FALSE)</f>
        <v>100</v>
      </c>
      <c r="I3409" s="388"/>
      <c r="J3409" s="399">
        <f t="shared" ref="J3409" si="10984">(D3386-2*F$5)/1000</f>
        <v>0.12</v>
      </c>
      <c r="K3409" s="400" t="s">
        <v>204</v>
      </c>
      <c r="L3409" s="399">
        <f t="shared" ref="L3409:L3411" si="10985">IF(D3409=0,2*MAX(6*F3409,75),(D3409-1)*2*MAX(6*F3409,75))/1000</f>
        <v>0.15</v>
      </c>
      <c r="M3409" s="399" t="s">
        <v>176</v>
      </c>
      <c r="N3409" s="399">
        <f t="shared" ref="N3409:N3411" si="10986">J3409+L3409</f>
        <v>0.27</v>
      </c>
      <c r="O3409" s="399"/>
      <c r="P3409" s="399"/>
      <c r="Q3409" s="399"/>
      <c r="R3409" s="399"/>
      <c r="S3409" s="399"/>
      <c r="T3409" s="399" t="s">
        <v>125</v>
      </c>
      <c r="U3409" s="401">
        <f t="shared" ref="U3409:U3411" si="10987">0.006165*F3409^2</f>
        <v>0</v>
      </c>
      <c r="V3409" s="399" t="s">
        <v>125</v>
      </c>
      <c r="W3409" s="399">
        <f t="shared" ref="W3409:W3471" si="10988">W3405</f>
        <v>16</v>
      </c>
      <c r="X3409" s="399" t="s">
        <v>125</v>
      </c>
      <c r="Y3409" s="389">
        <f t="shared" ref="Y3409" si="10989">D3395</f>
        <v>0</v>
      </c>
      <c r="Z3409" s="400" t="s">
        <v>176</v>
      </c>
      <c r="AA3409" s="402">
        <f t="shared" ref="AA3409:AA3411" si="10990">N3409*U3409*W3409*Y3409</f>
        <v>0</v>
      </c>
      <c r="AB3409" s="403"/>
    </row>
    <row r="3410" spans="1:28">
      <c r="A3410" s="384" t="str">
        <f t="shared" ref="A3410:B3410" si="10991">A3385</f>
        <v>Lantai 2</v>
      </c>
      <c r="B3410" s="385">
        <f t="shared" si="10991"/>
        <v>26</v>
      </c>
      <c r="C3410" s="393" t="s">
        <v>214</v>
      </c>
      <c r="D3410" s="398">
        <f>VLOOKUP(D3385,'Detail Balok'!$C$10:$BJ$140,51,FALSE)</f>
        <v>0</v>
      </c>
      <c r="E3410" s="388" t="s">
        <v>16</v>
      </c>
      <c r="F3410" s="388">
        <f>VLOOKUP(D3385,'Detail Balok'!$C$10:$BJ$140,53,FALSE)</f>
        <v>0</v>
      </c>
      <c r="G3410" s="405" t="s">
        <v>157</v>
      </c>
      <c r="H3410" s="395">
        <f>VLOOKUP(D3385,'Detail Balok'!$C$10:$BJ$140,55,FALSE)</f>
        <v>100</v>
      </c>
      <c r="I3410" s="388"/>
      <c r="J3410" s="399">
        <f t="shared" ref="J3410" si="10992">(D3386-2*F$5)/1000</f>
        <v>0.12</v>
      </c>
      <c r="K3410" s="400" t="s">
        <v>204</v>
      </c>
      <c r="L3410" s="399">
        <f t="shared" si="10985"/>
        <v>0.15</v>
      </c>
      <c r="M3410" s="399" t="s">
        <v>176</v>
      </c>
      <c r="N3410" s="399">
        <f t="shared" si="10986"/>
        <v>0.27</v>
      </c>
      <c r="O3410" s="399"/>
      <c r="P3410" s="399"/>
      <c r="Q3410" s="399"/>
      <c r="R3410" s="399"/>
      <c r="S3410" s="399"/>
      <c r="T3410" s="399" t="s">
        <v>125</v>
      </c>
      <c r="U3410" s="401">
        <f t="shared" si="10987"/>
        <v>0</v>
      </c>
      <c r="V3410" s="399" t="s">
        <v>125</v>
      </c>
      <c r="W3410" s="399">
        <f t="shared" si="10988"/>
        <v>21</v>
      </c>
      <c r="X3410" s="399" t="s">
        <v>125</v>
      </c>
      <c r="Y3410" s="389">
        <f t="shared" ref="Y3410" si="10993">D3395</f>
        <v>0</v>
      </c>
      <c r="Z3410" s="400" t="s">
        <v>176</v>
      </c>
      <c r="AA3410" s="402">
        <f t="shared" si="10990"/>
        <v>0</v>
      </c>
      <c r="AB3410" s="403"/>
    </row>
    <row r="3411" spans="1:28">
      <c r="A3411" s="384" t="str">
        <f t="shared" ref="A3411:B3411" si="10994">A3385</f>
        <v>Lantai 2</v>
      </c>
      <c r="B3411" s="385">
        <f t="shared" si="10994"/>
        <v>26</v>
      </c>
      <c r="C3411" s="393" t="s">
        <v>213</v>
      </c>
      <c r="D3411" s="398">
        <f>VLOOKUP(D3385,'Detail Balok'!$C$10:$BJ$140,56,FALSE)</f>
        <v>0</v>
      </c>
      <c r="E3411" s="388" t="s">
        <v>16</v>
      </c>
      <c r="F3411" s="388">
        <f>VLOOKUP(D3385,'Detail Balok'!$C$10:$BJ$140,58,FALSE)</f>
        <v>0</v>
      </c>
      <c r="G3411" s="405" t="s">
        <v>157</v>
      </c>
      <c r="H3411" s="395">
        <f>VLOOKUP(D3385,'Detail Balok'!$C$10:$BJ$140,60,FALSE)</f>
        <v>100</v>
      </c>
      <c r="I3411" s="388"/>
      <c r="J3411" s="399">
        <f t="shared" ref="J3411" si="10995">(D3386-2*F$5)/1000</f>
        <v>0.12</v>
      </c>
      <c r="K3411" s="400" t="s">
        <v>204</v>
      </c>
      <c r="L3411" s="399">
        <f t="shared" si="10985"/>
        <v>0.15</v>
      </c>
      <c r="M3411" s="399" t="s">
        <v>176</v>
      </c>
      <c r="N3411" s="399">
        <f t="shared" si="10986"/>
        <v>0.27</v>
      </c>
      <c r="O3411" s="399"/>
      <c r="P3411" s="399"/>
      <c r="Q3411" s="399"/>
      <c r="R3411" s="399"/>
      <c r="S3411" s="399"/>
      <c r="T3411" s="399" t="s">
        <v>125</v>
      </c>
      <c r="U3411" s="401">
        <f t="shared" si="10987"/>
        <v>0</v>
      </c>
      <c r="V3411" s="399" t="s">
        <v>125</v>
      </c>
      <c r="W3411" s="399">
        <f t="shared" si="10988"/>
        <v>16</v>
      </c>
      <c r="X3411" s="399" t="s">
        <v>125</v>
      </c>
      <c r="Y3411" s="389">
        <f t="shared" ref="Y3411" si="10996">D3395</f>
        <v>0</v>
      </c>
      <c r="Z3411" s="400" t="s">
        <v>176</v>
      </c>
      <c r="AA3411" s="402">
        <f t="shared" si="10990"/>
        <v>0</v>
      </c>
      <c r="AB3411" s="403"/>
    </row>
    <row r="3412" spans="1:28">
      <c r="A3412" s="391"/>
      <c r="B3412" s="392"/>
      <c r="C3412" s="392"/>
      <c r="D3412" s="394"/>
      <c r="E3412" s="388"/>
      <c r="F3412" s="388"/>
      <c r="G3412" s="388"/>
      <c r="H3412" s="395"/>
      <c r="I3412" s="388"/>
      <c r="J3412" s="402"/>
      <c r="K3412" s="388"/>
      <c r="L3412" s="388"/>
      <c r="M3412" s="388"/>
      <c r="N3412" s="388"/>
      <c r="O3412" s="388"/>
      <c r="P3412" s="388"/>
      <c r="Q3412" s="388"/>
      <c r="R3412" s="388"/>
      <c r="S3412" s="388"/>
      <c r="T3412" s="388"/>
      <c r="U3412" s="388"/>
      <c r="V3412" s="388"/>
      <c r="W3412" s="388"/>
      <c r="X3412" s="388"/>
      <c r="Y3412" s="389"/>
      <c r="Z3412" s="388"/>
      <c r="AA3412" s="402"/>
      <c r="AB3412" s="403"/>
    </row>
    <row r="3413" spans="1:28" ht="15.75" thickBot="1">
      <c r="A3413" s="406"/>
      <c r="B3413" s="407"/>
      <c r="C3413" s="407"/>
      <c r="D3413" s="408"/>
      <c r="E3413" s="409"/>
      <c r="F3413" s="409"/>
      <c r="G3413" s="409"/>
      <c r="H3413" s="410"/>
      <c r="I3413" s="409"/>
      <c r="J3413" s="409"/>
      <c r="K3413" s="409"/>
      <c r="L3413" s="409"/>
      <c r="M3413" s="409"/>
      <c r="N3413" s="409"/>
      <c r="O3413" s="409"/>
      <c r="P3413" s="409"/>
      <c r="Q3413" s="409"/>
      <c r="R3413" s="409"/>
      <c r="S3413" s="409"/>
      <c r="T3413" s="409"/>
      <c r="U3413" s="409"/>
      <c r="V3413" s="409"/>
      <c r="W3413" s="409"/>
      <c r="X3413" s="409"/>
      <c r="Y3413" s="411"/>
      <c r="Z3413" s="409"/>
      <c r="AA3413" s="412"/>
      <c r="AB3413" s="413"/>
    </row>
    <row r="3414" spans="1:28">
      <c r="A3414" s="377"/>
      <c r="B3414" s="378"/>
      <c r="C3414" s="378"/>
      <c r="D3414" s="379"/>
      <c r="E3414" s="380"/>
      <c r="F3414" s="380"/>
      <c r="G3414" s="380"/>
      <c r="H3414" s="381"/>
      <c r="I3414" s="380"/>
      <c r="J3414" s="380"/>
      <c r="K3414" s="380"/>
      <c r="L3414" s="380"/>
      <c r="M3414" s="380"/>
      <c r="N3414" s="380"/>
      <c r="O3414" s="380"/>
      <c r="P3414" s="380"/>
      <c r="Q3414" s="380"/>
      <c r="R3414" s="380"/>
      <c r="S3414" s="380"/>
      <c r="T3414" s="380"/>
      <c r="U3414" s="380"/>
      <c r="V3414" s="380"/>
      <c r="W3414" s="380"/>
      <c r="X3414" s="380"/>
      <c r="Y3414" s="382"/>
      <c r="Z3414" s="380"/>
      <c r="AA3414" s="380"/>
      <c r="AB3414" s="383"/>
    </row>
    <row r="3415" spans="1:28">
      <c r="A3415" s="384" t="str">
        <f t="shared" ref="A3415:A3475" si="10997">A3385</f>
        <v>Lantai 2</v>
      </c>
      <c r="B3415" s="385">
        <f t="shared" ref="B3415:B3475" si="10998">B3385+1</f>
        <v>27</v>
      </c>
      <c r="C3415" s="386" t="str">
        <f t="shared" ref="C3415" si="10999">CONCATENATE(A3415," no. ",B3415)</f>
        <v>Lantai 2 no. 27</v>
      </c>
      <c r="D3415" s="2562" t="str">
        <f>VLOOKUP(C3415,'Data Panjang Balok'!$C$9:$N$254,2,FALSE)</f>
        <v>B24-1</v>
      </c>
      <c r="E3415" s="2576"/>
      <c r="F3415" s="2576"/>
      <c r="G3415" s="2576"/>
      <c r="H3415" s="2577"/>
      <c r="I3415" s="387"/>
      <c r="J3415" s="388"/>
      <c r="K3415" s="388"/>
      <c r="L3415" s="388"/>
      <c r="M3415" s="388"/>
      <c r="N3415" s="388"/>
      <c r="O3415" s="388"/>
      <c r="P3415" s="388"/>
      <c r="Q3415" s="388"/>
      <c r="R3415" s="388"/>
      <c r="S3415" s="388"/>
      <c r="T3415" s="388"/>
      <c r="U3415" s="388"/>
      <c r="V3415" s="388"/>
      <c r="W3415" s="388"/>
      <c r="X3415" s="388"/>
      <c r="Y3415" s="389"/>
      <c r="Z3415" s="388"/>
      <c r="AA3415" s="388"/>
      <c r="AB3415" s="390"/>
    </row>
    <row r="3416" spans="1:28">
      <c r="A3416" s="391"/>
      <c r="B3416" s="392"/>
      <c r="C3416" s="393" t="s">
        <v>118</v>
      </c>
      <c r="D3416" s="2578">
        <f>VLOOKUP(D3415,'Detail Balok'!$C$10:$AU$140,2,FALSE)</f>
        <v>200</v>
      </c>
      <c r="E3416" s="2579"/>
      <c r="F3416" s="388" t="s">
        <v>125</v>
      </c>
      <c r="G3416" s="2579">
        <f>VLOOKUP(D3415,'Detail Balok'!$C$10:$AU$140,3,FALSE)</f>
        <v>400</v>
      </c>
      <c r="H3416" s="2580"/>
      <c r="I3416" s="388"/>
      <c r="J3416" s="396"/>
      <c r="K3416" s="396"/>
      <c r="L3416" s="396"/>
      <c r="M3416" s="396"/>
      <c r="N3416" s="396"/>
      <c r="O3416" s="396"/>
      <c r="P3416" s="396"/>
      <c r="Q3416" s="396"/>
      <c r="R3416" s="396"/>
      <c r="S3416" s="396"/>
      <c r="T3416" s="396"/>
      <c r="U3416" s="388"/>
      <c r="V3416" s="396"/>
      <c r="W3416" s="388"/>
      <c r="X3416" s="396"/>
      <c r="Y3416" s="389"/>
      <c r="Z3416" s="396"/>
      <c r="AA3416" s="388"/>
      <c r="AB3416" s="390"/>
    </row>
    <row r="3417" spans="1:28">
      <c r="A3417" s="391"/>
      <c r="B3417" s="392"/>
      <c r="C3417" s="393" t="s">
        <v>198</v>
      </c>
      <c r="D3417" s="2562">
        <f>VLOOKUP(C3415,'Data Panjang Balok'!$C$9:$N$254,4,FALSE)</f>
        <v>5050</v>
      </c>
      <c r="E3417" s="2563"/>
      <c r="F3417" s="2563"/>
      <c r="G3417" s="2563"/>
      <c r="H3417" s="2564"/>
      <c r="I3417" s="397"/>
      <c r="J3417" s="396"/>
      <c r="K3417" s="396"/>
      <c r="L3417" s="396"/>
      <c r="M3417" s="396"/>
      <c r="N3417" s="396"/>
      <c r="O3417" s="396"/>
      <c r="P3417" s="396"/>
      <c r="Q3417" s="396"/>
      <c r="R3417" s="396"/>
      <c r="S3417" s="396"/>
      <c r="T3417" s="396"/>
      <c r="U3417" s="388"/>
      <c r="V3417" s="396"/>
      <c r="W3417" s="388"/>
      <c r="X3417" s="396"/>
      <c r="Y3417" s="389"/>
      <c r="Z3417" s="396"/>
      <c r="AA3417" s="388"/>
      <c r="AB3417" s="390"/>
    </row>
    <row r="3418" spans="1:28">
      <c r="A3418" s="391"/>
      <c r="B3418" s="392"/>
      <c r="C3418" s="393" t="s">
        <v>199</v>
      </c>
      <c r="D3418" s="2562">
        <f>VLOOKUP(C3415,'Data Panjang Balok'!$C$9:$N$254,7,FALSE)</f>
        <v>5050</v>
      </c>
      <c r="E3418" s="2563"/>
      <c r="F3418" s="2563"/>
      <c r="G3418" s="2563"/>
      <c r="H3418" s="2564"/>
      <c r="I3418" s="397"/>
      <c r="J3418" s="396"/>
      <c r="K3418" s="396"/>
      <c r="L3418" s="396"/>
      <c r="M3418" s="396"/>
      <c r="N3418" s="396"/>
      <c r="O3418" s="396"/>
      <c r="P3418" s="396"/>
      <c r="Q3418" s="396"/>
      <c r="R3418" s="396"/>
      <c r="S3418" s="396"/>
      <c r="T3418" s="396"/>
      <c r="U3418" s="388"/>
      <c r="V3418" s="396"/>
      <c r="W3418" s="388"/>
      <c r="X3418" s="396"/>
      <c r="Y3418" s="389"/>
      <c r="Z3418" s="396"/>
      <c r="AA3418" s="388"/>
      <c r="AB3418" s="390"/>
    </row>
    <row r="3419" spans="1:28">
      <c r="A3419" s="391"/>
      <c r="B3419" s="392"/>
      <c r="C3419" s="393" t="s">
        <v>200</v>
      </c>
      <c r="D3419" s="2562">
        <f>VLOOKUP(C3415,'Data Panjang Balok'!$C$9:$N$254,9,FALSE)</f>
        <v>0</v>
      </c>
      <c r="E3419" s="2563"/>
      <c r="F3419" s="2563"/>
      <c r="G3419" s="2563"/>
      <c r="H3419" s="2564"/>
      <c r="I3419" s="397"/>
      <c r="J3419" s="396"/>
      <c r="K3419" s="396"/>
      <c r="L3419" s="396"/>
      <c r="M3419" s="396"/>
      <c r="N3419" s="396"/>
      <c r="O3419" s="396"/>
      <c r="P3419" s="396"/>
      <c r="Q3419" s="396"/>
      <c r="R3419" s="396"/>
      <c r="S3419" s="396"/>
      <c r="T3419" s="396"/>
      <c r="U3419" s="388"/>
      <c r="V3419" s="396"/>
      <c r="W3419" s="388"/>
      <c r="X3419" s="396"/>
      <c r="Y3419" s="389"/>
      <c r="Z3419" s="396"/>
      <c r="AA3419" s="388"/>
      <c r="AB3419" s="390"/>
    </row>
    <row r="3420" spans="1:28">
      <c r="A3420" s="391"/>
      <c r="B3420" s="392"/>
      <c r="C3420" s="393" t="s">
        <v>201</v>
      </c>
      <c r="D3420" s="2562">
        <f>VLOOKUP(C3415,'Data Panjang Balok'!$C$9:$N$254,10,FALSE)</f>
        <v>0</v>
      </c>
      <c r="E3420" s="2563"/>
      <c r="F3420" s="2563"/>
      <c r="G3420" s="2563"/>
      <c r="H3420" s="2564"/>
      <c r="I3420" s="397"/>
      <c r="J3420" s="396"/>
      <c r="K3420" s="396"/>
      <c r="L3420" s="396"/>
      <c r="M3420" s="396"/>
      <c r="N3420" s="396"/>
      <c r="O3420" s="396"/>
      <c r="P3420" s="396"/>
      <c r="Q3420" s="396"/>
      <c r="R3420" s="396"/>
      <c r="S3420" s="396"/>
      <c r="T3420" s="396"/>
      <c r="U3420" s="388"/>
      <c r="V3420" s="396"/>
      <c r="W3420" s="388"/>
      <c r="X3420" s="396"/>
      <c r="Y3420" s="389"/>
      <c r="Z3420" s="396"/>
      <c r="AA3420" s="388"/>
      <c r="AB3420" s="390"/>
    </row>
    <row r="3421" spans="1:28">
      <c r="A3421" s="391"/>
      <c r="B3421" s="392"/>
      <c r="C3421" s="393" t="s">
        <v>48</v>
      </c>
      <c r="D3421" s="2562">
        <f>VLOOKUP(C3415,'Data Panjang Balok'!$C$9:$N$254,3,FALSE)</f>
        <v>1</v>
      </c>
      <c r="E3421" s="2563"/>
      <c r="F3421" s="2563"/>
      <c r="G3421" s="2563"/>
      <c r="H3421" s="2564"/>
      <c r="I3421" s="397"/>
      <c r="J3421" s="396"/>
      <c r="K3421" s="396"/>
      <c r="L3421" s="396"/>
      <c r="M3421" s="396"/>
      <c r="N3421" s="396"/>
      <c r="O3421" s="396"/>
      <c r="P3421" s="396"/>
      <c r="Q3421" s="396"/>
      <c r="R3421" s="396"/>
      <c r="S3421" s="396"/>
      <c r="T3421" s="396"/>
      <c r="U3421" s="388"/>
      <c r="V3421" s="396"/>
      <c r="W3421" s="388"/>
      <c r="X3421" s="396"/>
      <c r="Y3421" s="389"/>
      <c r="Z3421" s="396"/>
      <c r="AA3421" s="388"/>
      <c r="AB3421" s="390"/>
    </row>
    <row r="3422" spans="1:28">
      <c r="A3422" s="384" t="str">
        <f t="shared" ref="A3422:B3422" si="11000">A3415</f>
        <v>Lantai 2</v>
      </c>
      <c r="B3422" s="385">
        <f t="shared" si="11000"/>
        <v>27</v>
      </c>
      <c r="C3422" s="393" t="s">
        <v>202</v>
      </c>
      <c r="D3422" s="398">
        <f>VLOOKUP(D3415,'Detail Balok'!$C$10:$AU$140,4,FALSE)</f>
        <v>3</v>
      </c>
      <c r="E3422" s="388" t="s">
        <v>16</v>
      </c>
      <c r="F3422" s="388">
        <f>VLOOKUP(D3415,'Detail Balok'!$C$10:$AU$140,6,FALSE)</f>
        <v>13</v>
      </c>
      <c r="G3422" s="388"/>
      <c r="H3422" s="395"/>
      <c r="I3422" s="388" t="s">
        <v>203</v>
      </c>
      <c r="J3422" s="399">
        <f t="shared" ref="J3422" si="11001">+D3417/4/1000</f>
        <v>1.2625</v>
      </c>
      <c r="K3422" s="400" t="s">
        <v>204</v>
      </c>
      <c r="L3422" s="399">
        <f t="shared" ref="L3422" si="11002">MAX(VLOOKUP(F3422,N$6:P$15,3,FALSE)/1000,2/3*D3419/1000)+F$16*F3422/1000</f>
        <v>0.156</v>
      </c>
      <c r="M3422" s="399" t="s">
        <v>176</v>
      </c>
      <c r="N3422" s="399">
        <f t="shared" ref="N3422:N3424" si="11003">J3422+L3422</f>
        <v>1.4184999999999999</v>
      </c>
      <c r="O3422" s="399" t="s">
        <v>204</v>
      </c>
      <c r="P3422" s="389">
        <f t="shared" ref="P3422" si="11004">D3422-D3423</f>
        <v>0</v>
      </c>
      <c r="Q3422" s="399" t="s">
        <v>125</v>
      </c>
      <c r="R3422" s="399">
        <f t="shared" ref="R3422" si="11005">IF(P3422&gt;0,$F$18*F3422/1000,0)</f>
        <v>0</v>
      </c>
      <c r="S3422" s="399" t="s">
        <v>205</v>
      </c>
      <c r="T3422" s="399" t="s">
        <v>125</v>
      </c>
      <c r="U3422" s="401">
        <f t="shared" ref="U3422:U3424" si="11006">0.006165*F3422^2</f>
        <v>1.041885</v>
      </c>
      <c r="V3422" s="399"/>
      <c r="W3422" s="399"/>
      <c r="X3422" s="399" t="s">
        <v>125</v>
      </c>
      <c r="Y3422" s="389">
        <f t="shared" ref="Y3422" si="11007">D3421</f>
        <v>1</v>
      </c>
      <c r="Z3422" s="400" t="s">
        <v>176</v>
      </c>
      <c r="AA3422" s="402">
        <f t="shared" ref="AA3422" si="11008">IF(AA3425=0,(D3422*N3422+P3422*R3422)*U3422*Y3422,0)</f>
        <v>0</v>
      </c>
      <c r="AB3422" s="403"/>
    </row>
    <row r="3423" spans="1:28">
      <c r="A3423" s="384" t="str">
        <f t="shared" ref="A3423:B3423" si="11009">A3415</f>
        <v>Lantai 2</v>
      </c>
      <c r="B3423" s="385">
        <f t="shared" si="11009"/>
        <v>27</v>
      </c>
      <c r="C3423" s="393" t="s">
        <v>206</v>
      </c>
      <c r="D3423" s="398">
        <f>VLOOKUP(D3415,'Detail Balok'!$C$10:$AU$140,7,FALSE)</f>
        <v>3</v>
      </c>
      <c r="E3423" s="388" t="s">
        <v>16</v>
      </c>
      <c r="F3423" s="388">
        <f>VLOOKUP(D3415,'Detail Balok'!$C$10:$AU$140,9,FALSE)</f>
        <v>13</v>
      </c>
      <c r="G3423" s="388"/>
      <c r="H3423" s="395"/>
      <c r="I3423" s="388" t="s">
        <v>203</v>
      </c>
      <c r="J3423" s="399">
        <f t="shared" ref="J3423" si="11010">+D3417/2/1000</f>
        <v>2.5249999999999999</v>
      </c>
      <c r="K3423" s="400" t="s">
        <v>204</v>
      </c>
      <c r="L3423" s="399"/>
      <c r="M3423" s="399" t="s">
        <v>176</v>
      </c>
      <c r="N3423" s="399">
        <f t="shared" si="11003"/>
        <v>2.5249999999999999</v>
      </c>
      <c r="O3423" s="399" t="s">
        <v>204</v>
      </c>
      <c r="P3423" s="389">
        <f t="shared" ref="P3423" si="11011">MAX(D3423-D3422,D3423-D3424)</f>
        <v>0</v>
      </c>
      <c r="Q3423" s="399" t="s">
        <v>125</v>
      </c>
      <c r="R3423" s="399">
        <f t="shared" ref="R3423" si="11012">IF(P3423&gt;0,2*(1-2*$F$19-1/2)*D3418/1000,0)</f>
        <v>0</v>
      </c>
      <c r="S3423" s="399" t="s">
        <v>205</v>
      </c>
      <c r="T3423" s="399" t="s">
        <v>125</v>
      </c>
      <c r="U3423" s="401">
        <f t="shared" si="11006"/>
        <v>1.041885</v>
      </c>
      <c r="V3423" s="399"/>
      <c r="W3423" s="399"/>
      <c r="X3423" s="399" t="s">
        <v>125</v>
      </c>
      <c r="Y3423" s="389">
        <f t="shared" ref="Y3423" si="11013">D3421</f>
        <v>1</v>
      </c>
      <c r="Z3423" s="400" t="s">
        <v>176</v>
      </c>
      <c r="AA3423" s="402">
        <f t="shared" ref="AA3423" si="11014">IF(AA3425=0,(D3423*N3423+P3423*R3423)*U3423*Y3423,0)</f>
        <v>0</v>
      </c>
      <c r="AB3423" s="403"/>
    </row>
    <row r="3424" spans="1:28">
      <c r="A3424" s="384" t="str">
        <f t="shared" ref="A3424:B3424" si="11015">A3415</f>
        <v>Lantai 2</v>
      </c>
      <c r="B3424" s="385">
        <f t="shared" si="11015"/>
        <v>27</v>
      </c>
      <c r="C3424" s="393" t="s">
        <v>202</v>
      </c>
      <c r="D3424" s="398">
        <f>VLOOKUP(D3415,'Detail Balok'!$C$10:$AU$140,10,FALSE)</f>
        <v>3</v>
      </c>
      <c r="E3424" s="388" t="s">
        <v>16</v>
      </c>
      <c r="F3424" s="388">
        <f>VLOOKUP(D3415,'Detail Balok'!$C$10:$AU$140,12,FALSE)</f>
        <v>13</v>
      </c>
      <c r="G3424" s="388"/>
      <c r="H3424" s="395"/>
      <c r="I3424" s="388" t="s">
        <v>203</v>
      </c>
      <c r="J3424" s="399">
        <f t="shared" ref="J3424" si="11016">+D3417/4/1000</f>
        <v>1.2625</v>
      </c>
      <c r="K3424" s="400" t="s">
        <v>204</v>
      </c>
      <c r="L3424" s="399">
        <f t="shared" ref="L3424" si="11017">MAX(VLOOKUP(F3424,N$6:P$15,3,FALSE)/1000,2/3*D3419/1000)+F$16*F3424/1000</f>
        <v>0.156</v>
      </c>
      <c r="M3424" s="399" t="s">
        <v>176</v>
      </c>
      <c r="N3424" s="399">
        <f t="shared" si="11003"/>
        <v>1.4184999999999999</v>
      </c>
      <c r="O3424" s="399" t="s">
        <v>204</v>
      </c>
      <c r="P3424" s="389">
        <f t="shared" ref="P3424" si="11018">D3424-D3423</f>
        <v>0</v>
      </c>
      <c r="Q3424" s="399" t="s">
        <v>125</v>
      </c>
      <c r="R3424" s="399">
        <f t="shared" ref="R3424" si="11019">IF(P3424&gt;0,$F$18*F3424/1000,0)</f>
        <v>0</v>
      </c>
      <c r="S3424" s="399" t="s">
        <v>205</v>
      </c>
      <c r="T3424" s="399" t="s">
        <v>125</v>
      </c>
      <c r="U3424" s="401">
        <f t="shared" si="11006"/>
        <v>1.041885</v>
      </c>
      <c r="V3424" s="399"/>
      <c r="W3424" s="399"/>
      <c r="X3424" s="399" t="s">
        <v>125</v>
      </c>
      <c r="Y3424" s="389">
        <f t="shared" ref="Y3424" si="11020">D3421</f>
        <v>1</v>
      </c>
      <c r="Z3424" s="400" t="s">
        <v>176</v>
      </c>
      <c r="AA3424" s="402">
        <f t="shared" ref="AA3424" si="11021">IF(AA3425=0,(D3424*N3424+P3424*R3424)*U3424*Y3424,0)</f>
        <v>0</v>
      </c>
      <c r="AB3424" s="403"/>
    </row>
    <row r="3425" spans="1:28">
      <c r="A3425" s="384" t="str">
        <f t="shared" ref="A3425:B3425" si="11022">A3415</f>
        <v>Lantai 2</v>
      </c>
      <c r="B3425" s="385">
        <f t="shared" si="11022"/>
        <v>27</v>
      </c>
      <c r="C3425" s="393"/>
      <c r="D3425" s="398">
        <f t="shared" si="10918"/>
        <v>3</v>
      </c>
      <c r="E3425" s="388" t="s">
        <v>16</v>
      </c>
      <c r="F3425" s="388">
        <f t="shared" si="10919"/>
        <v>13</v>
      </c>
      <c r="G3425" s="388"/>
      <c r="H3425" s="395"/>
      <c r="I3425" s="388"/>
      <c r="J3425" s="396"/>
      <c r="K3425" s="396"/>
      <c r="L3425" s="404" t="s">
        <v>207</v>
      </c>
      <c r="M3425" s="399" t="s">
        <v>176</v>
      </c>
      <c r="N3425" s="399">
        <f t="shared" ref="N3425" si="11023">IF(AND(D3422=D3423,D3422=D3424,D3423=D3424,F3422=F3423,F3422=F3424,F3423=F3424),SUM(N3422:N3424),0)</f>
        <v>5.3620000000000001</v>
      </c>
      <c r="O3425" s="399" t="s">
        <v>204</v>
      </c>
      <c r="P3425" s="389">
        <f t="shared" ref="P3425" si="11024">IF(N3425&gt;12,ROUNDDOWN(N3425/12,0),0)</f>
        <v>0</v>
      </c>
      <c r="Q3425" s="399" t="s">
        <v>125</v>
      </c>
      <c r="R3425" s="399">
        <f t="shared" ref="R3425" si="11025">IF(P3425&gt;0,MAX(VLOOKUP(F3425,$D$6:$G$15,3,FALSE),600),0)/1000</f>
        <v>0</v>
      </c>
      <c r="S3425" s="396"/>
      <c r="T3425" s="396" t="s">
        <v>125</v>
      </c>
      <c r="U3425" s="401">
        <f t="shared" si="10923"/>
        <v>1.041885</v>
      </c>
      <c r="V3425" s="396" t="s">
        <v>125</v>
      </c>
      <c r="W3425" s="399">
        <f t="shared" ref="W3425" si="11026">D3425</f>
        <v>3</v>
      </c>
      <c r="X3425" s="399" t="s">
        <v>125</v>
      </c>
      <c r="Y3425" s="389">
        <f t="shared" si="10925"/>
        <v>1</v>
      </c>
      <c r="Z3425" s="400" t="s">
        <v>176</v>
      </c>
      <c r="AA3425" s="402">
        <f t="shared" ref="AA3425" si="11027">(N3425+P3425*R3425/1000)*U3425*W3425*Y3425</f>
        <v>16.75976211</v>
      </c>
      <c r="AB3425" s="390"/>
    </row>
    <row r="3426" spans="1:28">
      <c r="A3426" s="384"/>
      <c r="B3426" s="385"/>
      <c r="C3426" s="393"/>
      <c r="D3426" s="398"/>
      <c r="E3426" s="388"/>
      <c r="F3426" s="388"/>
      <c r="G3426" s="388"/>
      <c r="H3426" s="395"/>
      <c r="I3426" s="388"/>
      <c r="J3426" s="396"/>
      <c r="K3426" s="396"/>
      <c r="L3426" s="404"/>
      <c r="M3426" s="399"/>
      <c r="N3426" s="399"/>
      <c r="O3426" s="396"/>
      <c r="P3426" s="389"/>
      <c r="Q3426" s="396"/>
      <c r="R3426" s="396"/>
      <c r="S3426" s="396"/>
      <c r="T3426" s="396"/>
      <c r="U3426" s="401"/>
      <c r="V3426" s="396"/>
      <c r="W3426" s="399"/>
      <c r="X3426" s="396"/>
      <c r="Y3426" s="389"/>
      <c r="Z3426" s="396"/>
      <c r="AA3426" s="388"/>
      <c r="AB3426" s="390"/>
    </row>
    <row r="3427" spans="1:28">
      <c r="A3427" s="384" t="str">
        <f t="shared" ref="A3427:B3427" si="11028">A3415</f>
        <v>Lantai 2</v>
      </c>
      <c r="B3427" s="385">
        <f t="shared" si="11028"/>
        <v>27</v>
      </c>
      <c r="C3427" s="393" t="s">
        <v>208</v>
      </c>
      <c r="D3427" s="398">
        <f>VLOOKUP(D3415,'Detail Balok'!$C$10:$AU$140,13,FALSE)</f>
        <v>0</v>
      </c>
      <c r="E3427" s="388" t="s">
        <v>16</v>
      </c>
      <c r="F3427" s="388">
        <f>VLOOKUP(D3415,'Detail Balok'!$C$10:$AU$140,15,FALSE)</f>
        <v>8</v>
      </c>
      <c r="G3427" s="388"/>
      <c r="H3427" s="395"/>
      <c r="I3427" s="388"/>
      <c r="J3427" s="399">
        <f t="shared" ref="J3427" si="11029">+D3417/1000</f>
        <v>5.05</v>
      </c>
      <c r="K3427" s="400" t="s">
        <v>204</v>
      </c>
      <c r="L3427" s="399">
        <f t="shared" ref="L3427" si="11030">2*$F$16*F3427/1000</f>
        <v>0.192</v>
      </c>
      <c r="M3427" s="399" t="s">
        <v>176</v>
      </c>
      <c r="N3427" s="399">
        <f t="shared" ref="N3427" si="11031">J3427+L3427</f>
        <v>5.242</v>
      </c>
      <c r="O3427" s="399" t="s">
        <v>204</v>
      </c>
      <c r="P3427" s="389">
        <f t="shared" ref="P3427" si="11032">IF(N3427&gt;12,ROUNDDOWN(N3427/12,0),0)</f>
        <v>0</v>
      </c>
      <c r="Q3427" s="399" t="s">
        <v>125</v>
      </c>
      <c r="R3427" s="399">
        <f t="shared" ref="R3427" si="11033">IF(P3427&gt;0,MAX(VLOOKUP(F3427,$D$6:$G$15,3,FALSE),600),0)/1000</f>
        <v>0</v>
      </c>
      <c r="S3427" s="399"/>
      <c r="T3427" s="399" t="s">
        <v>125</v>
      </c>
      <c r="U3427" s="401">
        <f t="shared" ref="U3427" si="11034">0.006165*F3427^2</f>
        <v>0.39456000000000002</v>
      </c>
      <c r="V3427" s="399" t="s">
        <v>125</v>
      </c>
      <c r="W3427" s="399">
        <f t="shared" ref="W3427" si="11035">+D3427</f>
        <v>0</v>
      </c>
      <c r="X3427" s="399" t="s">
        <v>125</v>
      </c>
      <c r="Y3427" s="389">
        <f t="shared" ref="Y3427" si="11036">D3421</f>
        <v>1</v>
      </c>
      <c r="Z3427" s="400" t="s">
        <v>176</v>
      </c>
      <c r="AA3427" s="402">
        <f t="shared" ref="AA3427" si="11037">(N3427+P3427*R3427/1000)*U3427*W3427*Y3427</f>
        <v>0</v>
      </c>
      <c r="AB3427" s="403"/>
    </row>
    <row r="3428" spans="1:28">
      <c r="A3428" s="384"/>
      <c r="B3428" s="385"/>
      <c r="C3428" s="393"/>
      <c r="D3428" s="398"/>
      <c r="E3428" s="388"/>
      <c r="F3428" s="388"/>
      <c r="G3428" s="388"/>
      <c r="H3428" s="395"/>
      <c r="I3428" s="388"/>
      <c r="J3428" s="399"/>
      <c r="K3428" s="400"/>
      <c r="L3428" s="399"/>
      <c r="M3428" s="399"/>
      <c r="N3428" s="399"/>
      <c r="O3428" s="399"/>
      <c r="P3428" s="389"/>
      <c r="Q3428" s="399"/>
      <c r="R3428" s="399"/>
      <c r="S3428" s="399"/>
      <c r="T3428" s="399"/>
      <c r="U3428" s="401"/>
      <c r="V3428" s="399"/>
      <c r="W3428" s="399"/>
      <c r="X3428" s="399"/>
      <c r="Y3428" s="389"/>
      <c r="Z3428" s="400"/>
      <c r="AA3428" s="402"/>
      <c r="AB3428" s="403"/>
    </row>
    <row r="3429" spans="1:28">
      <c r="A3429" s="384"/>
      <c r="B3429" s="385"/>
      <c r="C3429" s="393"/>
      <c r="D3429" s="398"/>
      <c r="E3429" s="388"/>
      <c r="F3429" s="388"/>
      <c r="G3429" s="388"/>
      <c r="H3429" s="395"/>
      <c r="I3429" s="388"/>
      <c r="J3429" s="396"/>
      <c r="K3429" s="396"/>
      <c r="L3429" s="396"/>
      <c r="M3429" s="396"/>
      <c r="N3429" s="396"/>
      <c r="O3429" s="396"/>
      <c r="P3429" s="389"/>
      <c r="Q3429" s="396"/>
      <c r="R3429" s="396"/>
      <c r="S3429" s="396"/>
      <c r="T3429" s="396"/>
      <c r="U3429" s="401"/>
      <c r="V3429" s="396"/>
      <c r="W3429" s="399"/>
      <c r="X3429" s="396"/>
      <c r="Y3429" s="389"/>
      <c r="Z3429" s="396"/>
      <c r="AA3429" s="388"/>
      <c r="AB3429" s="390"/>
    </row>
    <row r="3430" spans="1:28">
      <c r="A3430" s="384" t="str">
        <f t="shared" ref="A3430:B3430" si="11038">A3415</f>
        <v>Lantai 2</v>
      </c>
      <c r="B3430" s="385">
        <f t="shared" si="11038"/>
        <v>27</v>
      </c>
      <c r="C3430" s="393" t="s">
        <v>209</v>
      </c>
      <c r="D3430" s="398">
        <f>VLOOKUP(D3415,'Detail Balok'!$C$10:$AU$140,22,FALSE)</f>
        <v>3</v>
      </c>
      <c r="E3430" s="388" t="s">
        <v>16</v>
      </c>
      <c r="F3430" s="388">
        <f>VLOOKUP(D3415,'Detail Balok'!$C$10:$AU$140,24,FALSE)</f>
        <v>13</v>
      </c>
      <c r="G3430" s="388"/>
      <c r="H3430" s="395"/>
      <c r="I3430" s="388" t="s">
        <v>203</v>
      </c>
      <c r="J3430" s="399">
        <f t="shared" si="10938"/>
        <v>1.2625</v>
      </c>
      <c r="K3430" s="400" t="s">
        <v>204</v>
      </c>
      <c r="L3430" s="399">
        <f t="shared" ref="L3430" si="11039">MAX(VLOOKUP(F3430,N$6:P$15,3,FALSE)/1000,2/3*D3420/1000)+F$16*F3430/1000</f>
        <v>0.156</v>
      </c>
      <c r="M3430" s="399" t="s">
        <v>176</v>
      </c>
      <c r="N3430" s="399">
        <f t="shared" ref="N3430:N3432" si="11040">J3430+L3430</f>
        <v>1.4184999999999999</v>
      </c>
      <c r="O3430" s="399" t="s">
        <v>204</v>
      </c>
      <c r="P3430" s="389">
        <f t="shared" ref="P3430" si="11041">D3430-D3431</f>
        <v>0</v>
      </c>
      <c r="Q3430" s="399" t="s">
        <v>125</v>
      </c>
      <c r="R3430" s="399">
        <f t="shared" ref="R3430" si="11042">IF(P3430&gt;0,$F$18*F3430/1000,0)</f>
        <v>0</v>
      </c>
      <c r="S3430" s="399" t="s">
        <v>205</v>
      </c>
      <c r="T3430" s="399" t="s">
        <v>125</v>
      </c>
      <c r="U3430" s="401">
        <f t="shared" ref="U3430:U3432" si="11043">0.006165*F3430^2</f>
        <v>1.041885</v>
      </c>
      <c r="V3430" s="399"/>
      <c r="W3430" s="399"/>
      <c r="X3430" s="399" t="s">
        <v>125</v>
      </c>
      <c r="Y3430" s="389">
        <f t="shared" ref="Y3430" si="11044">D3421</f>
        <v>1</v>
      </c>
      <c r="Z3430" s="400" t="s">
        <v>176</v>
      </c>
      <c r="AA3430" s="402">
        <f t="shared" ref="AA3430" si="11045">IF(AA3433=0,(D3430*N3430+P3430*R3430)*U3430*Y3430,0)</f>
        <v>0</v>
      </c>
      <c r="AB3430" s="403"/>
    </row>
    <row r="3431" spans="1:28">
      <c r="A3431" s="384" t="str">
        <f t="shared" ref="A3431:B3431" si="11046">A3415</f>
        <v>Lantai 2</v>
      </c>
      <c r="B3431" s="385">
        <f t="shared" si="11046"/>
        <v>27</v>
      </c>
      <c r="C3431" s="393" t="s">
        <v>210</v>
      </c>
      <c r="D3431" s="398">
        <f>VLOOKUP(D3415,'Detail Balok'!$C$10:$AU$140,25,FALSE)</f>
        <v>3</v>
      </c>
      <c r="E3431" s="388" t="s">
        <v>16</v>
      </c>
      <c r="F3431" s="388">
        <f>VLOOKUP(D3415,'Detail Balok'!$C$10:$AU$140,27,FALSE)</f>
        <v>13</v>
      </c>
      <c r="G3431" s="388"/>
      <c r="H3431" s="395"/>
      <c r="I3431" s="388" t="s">
        <v>203</v>
      </c>
      <c r="J3431" s="399">
        <f t="shared" si="10938"/>
        <v>2.5249999999999999</v>
      </c>
      <c r="K3431" s="400" t="s">
        <v>204</v>
      </c>
      <c r="L3431" s="399"/>
      <c r="M3431" s="399" t="s">
        <v>176</v>
      </c>
      <c r="N3431" s="399">
        <f t="shared" si="11040"/>
        <v>2.5249999999999999</v>
      </c>
      <c r="O3431" s="399" t="s">
        <v>204</v>
      </c>
      <c r="P3431" s="389">
        <f t="shared" ref="P3431" si="11047">MAX(D3431-D3430,D3431-D3432)</f>
        <v>0</v>
      </c>
      <c r="Q3431" s="399" t="s">
        <v>125</v>
      </c>
      <c r="R3431" s="399">
        <f t="shared" ref="R3431" si="11048">IF(P3431&gt;0,2*(1-2*$F$19-1/2)*D3418/1000,0)</f>
        <v>0</v>
      </c>
      <c r="S3431" s="399" t="s">
        <v>205</v>
      </c>
      <c r="T3431" s="399" t="s">
        <v>125</v>
      </c>
      <c r="U3431" s="401">
        <f t="shared" si="11043"/>
        <v>1.041885</v>
      </c>
      <c r="V3431" s="399"/>
      <c r="W3431" s="399"/>
      <c r="X3431" s="399" t="s">
        <v>125</v>
      </c>
      <c r="Y3431" s="389">
        <f t="shared" ref="Y3431" si="11049">D3421</f>
        <v>1</v>
      </c>
      <c r="Z3431" s="400" t="s">
        <v>176</v>
      </c>
      <c r="AA3431" s="402">
        <f t="shared" ref="AA3431" si="11050">IF(AA3433=0,(D3431*N3431+P3431*R3431)*U3431*Y3431,0)</f>
        <v>0</v>
      </c>
      <c r="AB3431" s="403"/>
    </row>
    <row r="3432" spans="1:28">
      <c r="A3432" s="384" t="str">
        <f t="shared" ref="A3432:B3432" si="11051">A3415</f>
        <v>Lantai 2</v>
      </c>
      <c r="B3432" s="385">
        <f t="shared" si="11051"/>
        <v>27</v>
      </c>
      <c r="C3432" s="393" t="s">
        <v>209</v>
      </c>
      <c r="D3432" s="398">
        <f>VLOOKUP(D3415,'Detail Balok'!$C$10:$AU$140,28,FALSE)</f>
        <v>3</v>
      </c>
      <c r="E3432" s="388" t="s">
        <v>16</v>
      </c>
      <c r="F3432" s="388">
        <f>VLOOKUP(D3415,'Detail Balok'!$C$10:$AU$140,30,FALSE)</f>
        <v>13</v>
      </c>
      <c r="G3432" s="388"/>
      <c r="H3432" s="395"/>
      <c r="I3432" s="388" t="s">
        <v>203</v>
      </c>
      <c r="J3432" s="399">
        <f t="shared" si="10938"/>
        <v>1.2625</v>
      </c>
      <c r="K3432" s="400" t="s">
        <v>204</v>
      </c>
      <c r="L3432" s="399">
        <f t="shared" ref="L3432" si="11052">MAX(VLOOKUP(F3432,N$6:P$15,3,FALSE)/1000,2/3*D3420/1000)+F$16*F3432/1000</f>
        <v>0.156</v>
      </c>
      <c r="M3432" s="399" t="s">
        <v>176</v>
      </c>
      <c r="N3432" s="399">
        <f t="shared" si="11040"/>
        <v>1.4184999999999999</v>
      </c>
      <c r="O3432" s="399" t="s">
        <v>204</v>
      </c>
      <c r="P3432" s="389">
        <f t="shared" ref="P3432" si="11053">D3432-D3431</f>
        <v>0</v>
      </c>
      <c r="Q3432" s="399" t="s">
        <v>125</v>
      </c>
      <c r="R3432" s="399">
        <f t="shared" ref="R3432" si="11054">IF(P3432&gt;0,$F$18*F3432/1000,0)</f>
        <v>0</v>
      </c>
      <c r="S3432" s="399" t="s">
        <v>205</v>
      </c>
      <c r="T3432" s="399" t="s">
        <v>125</v>
      </c>
      <c r="U3432" s="401">
        <f t="shared" si="11043"/>
        <v>1.041885</v>
      </c>
      <c r="V3432" s="399"/>
      <c r="W3432" s="399"/>
      <c r="X3432" s="399" t="s">
        <v>125</v>
      </c>
      <c r="Y3432" s="389">
        <f t="shared" ref="Y3432" si="11055">D3421</f>
        <v>1</v>
      </c>
      <c r="Z3432" s="400" t="s">
        <v>176</v>
      </c>
      <c r="AA3432" s="402">
        <f t="shared" ref="AA3432" si="11056">IF(AA3433=0,(D3432*N3432+P3432*R3432)*U3432*Y3432,0)</f>
        <v>0</v>
      </c>
      <c r="AB3432" s="403"/>
    </row>
    <row r="3433" spans="1:28">
      <c r="A3433" s="384" t="str">
        <f t="shared" ref="A3433:B3433" si="11057">A3415</f>
        <v>Lantai 2</v>
      </c>
      <c r="B3433" s="385">
        <f t="shared" si="11057"/>
        <v>27</v>
      </c>
      <c r="C3433" s="393"/>
      <c r="D3433" s="398">
        <f t="shared" si="10958"/>
        <v>3</v>
      </c>
      <c r="E3433" s="388" t="s">
        <v>16</v>
      </c>
      <c r="F3433" s="388">
        <f t="shared" si="10959"/>
        <v>13</v>
      </c>
      <c r="G3433" s="388"/>
      <c r="H3433" s="395"/>
      <c r="I3433" s="388"/>
      <c r="J3433" s="396"/>
      <c r="K3433" s="396"/>
      <c r="L3433" s="404" t="s">
        <v>207</v>
      </c>
      <c r="M3433" s="399" t="s">
        <v>176</v>
      </c>
      <c r="N3433" s="399">
        <f t="shared" ref="N3433" si="11058">IF(AND(D3430=D3431,D3430=D3432,D3431=D3432,F3430=F3431,F3430=F3432,F3431=F3432),SUM(N3430:N3432),0)</f>
        <v>5.3620000000000001</v>
      </c>
      <c r="O3433" s="399" t="s">
        <v>204</v>
      </c>
      <c r="P3433" s="389">
        <f t="shared" ref="P3433" si="11059">IF(N3433&gt;12,ROUNDDOWN(N3433/12,0),0)</f>
        <v>0</v>
      </c>
      <c r="Q3433" s="399" t="s">
        <v>125</v>
      </c>
      <c r="R3433" s="399">
        <f t="shared" ref="R3433" si="11060">IF(P3433&gt;0,MAX(VLOOKUP(F3433,$D$6:$G$15,3,FALSE),600),0)/1000</f>
        <v>0</v>
      </c>
      <c r="S3433" s="396"/>
      <c r="T3433" s="396" t="s">
        <v>125</v>
      </c>
      <c r="U3433" s="401">
        <f t="shared" si="10963"/>
        <v>1.041885</v>
      </c>
      <c r="V3433" s="396" t="s">
        <v>125</v>
      </c>
      <c r="W3433" s="399">
        <f t="shared" ref="W3433" si="11061">D3433</f>
        <v>3</v>
      </c>
      <c r="X3433" s="399" t="s">
        <v>125</v>
      </c>
      <c r="Y3433" s="389">
        <f t="shared" si="10965"/>
        <v>1</v>
      </c>
      <c r="Z3433" s="400" t="s">
        <v>176</v>
      </c>
      <c r="AA3433" s="402">
        <f t="shared" ref="AA3433" si="11062">(N3433+P3433*R3433/1000)*U3433*W3433*Y3433</f>
        <v>16.75976211</v>
      </c>
      <c r="AB3433" s="403"/>
    </row>
    <row r="3434" spans="1:28">
      <c r="A3434" s="384"/>
      <c r="B3434" s="385"/>
      <c r="C3434" s="393"/>
      <c r="D3434" s="394"/>
      <c r="E3434" s="388"/>
      <c r="F3434" s="388"/>
      <c r="G3434" s="388"/>
      <c r="H3434" s="395"/>
      <c r="I3434" s="388"/>
      <c r="J3434" s="399"/>
      <c r="K3434" s="396"/>
      <c r="L3434" s="396"/>
      <c r="M3434" s="396"/>
      <c r="N3434" s="396"/>
      <c r="O3434" s="396"/>
      <c r="P3434" s="389"/>
      <c r="Q3434" s="396"/>
      <c r="R3434" s="396"/>
      <c r="S3434" s="396"/>
      <c r="T3434" s="396"/>
      <c r="U3434" s="401"/>
      <c r="V3434" s="396"/>
      <c r="W3434" s="388"/>
      <c r="X3434" s="396"/>
      <c r="Y3434" s="389"/>
      <c r="Z3434" s="396"/>
      <c r="AA3434" s="388"/>
      <c r="AB3434" s="390"/>
    </row>
    <row r="3435" spans="1:28">
      <c r="A3435" s="384" t="str">
        <f t="shared" ref="A3435:B3435" si="11063">A3415</f>
        <v>Lantai 2</v>
      </c>
      <c r="B3435" s="385">
        <f t="shared" si="11063"/>
        <v>27</v>
      </c>
      <c r="C3435" s="393" t="s">
        <v>211</v>
      </c>
      <c r="D3435" s="398">
        <f>VLOOKUP(D3415,'Detail Balok'!$C$10:$AU$140,31,FALSE)</f>
        <v>0</v>
      </c>
      <c r="E3435" s="388" t="s">
        <v>16</v>
      </c>
      <c r="F3435" s="388">
        <f>VLOOKUP(D3415,'Detail Balok'!$C$10:$AU$140,33,FALSE)</f>
        <v>10</v>
      </c>
      <c r="G3435" s="405" t="s">
        <v>157</v>
      </c>
      <c r="H3435" s="395">
        <f>VLOOKUP(D3415,'Detail Balok'!$C$10:$AU$140,35,FALSE)</f>
        <v>100</v>
      </c>
      <c r="I3435" s="388"/>
      <c r="J3435" s="400">
        <f t="shared" ref="J3435" si="11064">(IF(D3435=0,(2*(D3416+G3416))-(F$5*8),IF(D3435=3,(2*(D3416+G3416))-(F$5*8)+(G3416-2*F$5),IF(D3435=4,(2*(D3416+G3416))-(F$5*8)+2*(G3416-2*F$5)))))/1000</f>
        <v>0.88</v>
      </c>
      <c r="K3435" s="400" t="s">
        <v>204</v>
      </c>
      <c r="L3435" s="399">
        <f t="shared" ref="L3435:L3437" si="11065">IF(D3435=0,2*MAX(6*F3435,75),(D3435-1)*2*MAX(6*F3435,75))/1000</f>
        <v>0.15</v>
      </c>
      <c r="M3435" s="399" t="s">
        <v>176</v>
      </c>
      <c r="N3435" s="399">
        <f t="shared" ref="N3435:N3437" si="11066">J3435+L3435</f>
        <v>1.03</v>
      </c>
      <c r="O3435" s="399"/>
      <c r="P3435" s="389"/>
      <c r="Q3435" s="399"/>
      <c r="R3435" s="399"/>
      <c r="S3435" s="399"/>
      <c r="T3435" s="399" t="s">
        <v>125</v>
      </c>
      <c r="U3435" s="401">
        <f t="shared" ref="U3435:U3437" si="11067">0.006165*F3435^2</f>
        <v>0.61650000000000005</v>
      </c>
      <c r="V3435" s="399" t="s">
        <v>125</v>
      </c>
      <c r="W3435" s="399">
        <f t="shared" ref="W3435" si="11068">IF(D3418&gt;4*G3416,ROUND(MAX(D3418/4,2*G3416)/H3435,0)+1,ROUND(D3418/H3435,0)+1)</f>
        <v>14</v>
      </c>
      <c r="X3435" s="399" t="s">
        <v>125</v>
      </c>
      <c r="Y3435" s="389">
        <f t="shared" ref="Y3435" si="11069">D3421</f>
        <v>1</v>
      </c>
      <c r="Z3435" s="400" t="s">
        <v>176</v>
      </c>
      <c r="AA3435" s="402">
        <f t="shared" ref="AA3435:AA3437" si="11070">N3435*U3435*W3435*Y3435</f>
        <v>8.8899300000000014</v>
      </c>
      <c r="AB3435" s="403"/>
    </row>
    <row r="3436" spans="1:28">
      <c r="A3436" s="384" t="str">
        <f t="shared" ref="A3436:B3436" si="11071">A3415</f>
        <v>Lantai 2</v>
      </c>
      <c r="B3436" s="385">
        <f t="shared" si="11071"/>
        <v>27</v>
      </c>
      <c r="C3436" s="393" t="s">
        <v>212</v>
      </c>
      <c r="D3436" s="398">
        <f>VLOOKUP(D3415,'Detail Balok'!$C$10:$AU$140,36,FALSE)</f>
        <v>0</v>
      </c>
      <c r="E3436" s="388" t="s">
        <v>16</v>
      </c>
      <c r="F3436" s="388">
        <f>VLOOKUP(D3415,'Detail Balok'!$C$10:$AU$140,38,FALSE)</f>
        <v>10</v>
      </c>
      <c r="G3436" s="405" t="s">
        <v>157</v>
      </c>
      <c r="H3436" s="395">
        <f>VLOOKUP(D3415,'Detail Balok'!$C$10:$AU$140,40,FALSE)</f>
        <v>200</v>
      </c>
      <c r="I3436" s="388"/>
      <c r="J3436" s="400">
        <f t="shared" ref="J3436" si="11072">(IF(D3436=0,(2*(D3416+G3416))-(F$5*8),IF(D3436=3,(2*(D3416+G3416))-(F$5*8)+(G3416-2*F$5),IF(D3436=4,(2*(D3416+G3416))-(F$5*8)+2*(G3416-2*F$5)))))/1000</f>
        <v>0.88</v>
      </c>
      <c r="K3436" s="400" t="s">
        <v>204</v>
      </c>
      <c r="L3436" s="399">
        <f t="shared" si="11065"/>
        <v>0.15</v>
      </c>
      <c r="M3436" s="399" t="s">
        <v>176</v>
      </c>
      <c r="N3436" s="399">
        <f t="shared" si="11066"/>
        <v>1.03</v>
      </c>
      <c r="O3436" s="399"/>
      <c r="P3436" s="389"/>
      <c r="Q3436" s="399"/>
      <c r="R3436" s="399"/>
      <c r="S3436" s="399"/>
      <c r="T3436" s="399" t="s">
        <v>125</v>
      </c>
      <c r="U3436" s="401">
        <f t="shared" si="11067"/>
        <v>0.61650000000000005</v>
      </c>
      <c r="V3436" s="399" t="s">
        <v>125</v>
      </c>
      <c r="W3436" s="399">
        <f t="shared" ref="W3436" si="11073">IF(D3418-MAX(D3418/4,2*G3416)*2&gt;0,ROUND((D3418-MAX(D3418/4,2*G3416)*2)/H3436,0),0)</f>
        <v>13</v>
      </c>
      <c r="X3436" s="399" t="s">
        <v>125</v>
      </c>
      <c r="Y3436" s="389">
        <f t="shared" ref="Y3436" si="11074">D3421</f>
        <v>1</v>
      </c>
      <c r="Z3436" s="400" t="s">
        <v>176</v>
      </c>
      <c r="AA3436" s="402">
        <f t="shared" si="11070"/>
        <v>8.2549350000000015</v>
      </c>
      <c r="AB3436" s="403"/>
    </row>
    <row r="3437" spans="1:28">
      <c r="A3437" s="384" t="str">
        <f t="shared" ref="A3437:B3437" si="11075">A3415</f>
        <v>Lantai 2</v>
      </c>
      <c r="B3437" s="385">
        <f t="shared" si="11075"/>
        <v>27</v>
      </c>
      <c r="C3437" s="393" t="s">
        <v>211</v>
      </c>
      <c r="D3437" s="398">
        <f>VLOOKUP(D3415,'Detail Balok'!$C$10:$AU$140,41,FALSE)</f>
        <v>0</v>
      </c>
      <c r="E3437" s="388" t="s">
        <v>16</v>
      </c>
      <c r="F3437" s="388">
        <f>VLOOKUP(D3415,'Detail Balok'!$C$10:$AU$140,43,FALSE)</f>
        <v>10</v>
      </c>
      <c r="G3437" s="405" t="s">
        <v>157</v>
      </c>
      <c r="H3437" s="395">
        <f>VLOOKUP(D3415,'Detail Balok'!$C$10:$AU$140,45,FALSE)</f>
        <v>100</v>
      </c>
      <c r="I3437" s="388"/>
      <c r="J3437" s="400">
        <f t="shared" ref="J3437" si="11076">(IF(D3437=0,(2*(D3416+G3416))-(F$5*8),IF(D3437=3,(2*(D3416+G3416))-(F$5*8)+(G3416-2*F$5),IF(D3437=4,(2*(D3416+G3416))-(F$5*8)+2*(G3416-2*F$5)))))/1000</f>
        <v>0.88</v>
      </c>
      <c r="K3437" s="400" t="s">
        <v>204</v>
      </c>
      <c r="L3437" s="399">
        <f t="shared" si="11065"/>
        <v>0.15</v>
      </c>
      <c r="M3437" s="399" t="s">
        <v>176</v>
      </c>
      <c r="N3437" s="399">
        <f t="shared" si="11066"/>
        <v>1.03</v>
      </c>
      <c r="O3437" s="399"/>
      <c r="P3437" s="389"/>
      <c r="Q3437" s="399"/>
      <c r="R3437" s="399"/>
      <c r="S3437" s="399"/>
      <c r="T3437" s="399" t="s">
        <v>125</v>
      </c>
      <c r="U3437" s="401">
        <f t="shared" si="11067"/>
        <v>0.61650000000000005</v>
      </c>
      <c r="V3437" s="399" t="s">
        <v>125</v>
      </c>
      <c r="W3437" s="399">
        <f t="shared" ref="W3437" si="11077">IF(D3418&gt;4*G3416,ROUND(MAX(D3418/4,2*G3416)/H3437,0)+1,0)</f>
        <v>14</v>
      </c>
      <c r="X3437" s="399" t="s">
        <v>125</v>
      </c>
      <c r="Y3437" s="389">
        <f t="shared" ref="Y3437" si="11078">D3421</f>
        <v>1</v>
      </c>
      <c r="Z3437" s="400" t="s">
        <v>176</v>
      </c>
      <c r="AA3437" s="402">
        <f t="shared" si="11070"/>
        <v>8.8899300000000014</v>
      </c>
      <c r="AB3437" s="403"/>
    </row>
    <row r="3438" spans="1:28">
      <c r="A3438" s="384"/>
      <c r="B3438" s="385"/>
      <c r="C3438" s="393"/>
      <c r="D3438" s="394"/>
      <c r="E3438" s="388"/>
      <c r="F3438" s="388"/>
      <c r="G3438" s="388"/>
      <c r="H3438" s="395"/>
      <c r="I3438" s="388"/>
      <c r="J3438" s="399"/>
      <c r="K3438" s="396"/>
      <c r="L3438" s="396"/>
      <c r="M3438" s="396"/>
      <c r="N3438" s="396"/>
      <c r="O3438" s="396"/>
      <c r="P3438" s="389"/>
      <c r="Q3438" s="396"/>
      <c r="R3438" s="396"/>
      <c r="S3438" s="396"/>
      <c r="T3438" s="396"/>
      <c r="U3438" s="401"/>
      <c r="V3438" s="396"/>
      <c r="W3438" s="388"/>
      <c r="X3438" s="396"/>
      <c r="Y3438" s="389"/>
      <c r="Z3438" s="396"/>
      <c r="AA3438" s="388"/>
      <c r="AB3438" s="390"/>
    </row>
    <row r="3439" spans="1:28">
      <c r="A3439" s="384" t="str">
        <f t="shared" ref="A3439:B3439" si="11079">A3415</f>
        <v>Lantai 2</v>
      </c>
      <c r="B3439" s="385">
        <f t="shared" si="11079"/>
        <v>27</v>
      </c>
      <c r="C3439" s="393" t="s">
        <v>213</v>
      </c>
      <c r="D3439" s="398">
        <f>VLOOKUP(D3415,'Detail Balok'!$C$10:$BJ$140,46,FALSE)</f>
        <v>0</v>
      </c>
      <c r="E3439" s="388" t="s">
        <v>16</v>
      </c>
      <c r="F3439" s="388">
        <f>VLOOKUP(D3415,'Detail Balok'!$C$10:$BJ$140,48,FALSE)</f>
        <v>0</v>
      </c>
      <c r="G3439" s="405" t="s">
        <v>157</v>
      </c>
      <c r="H3439" s="395">
        <f>VLOOKUP(D3415,'Detail Balok'!$C$10:$BJ$140,50,FALSE)</f>
        <v>100</v>
      </c>
      <c r="I3439" s="388"/>
      <c r="J3439" s="399">
        <f t="shared" ref="J3439" si="11080">(D3416-2*F$5)/1000</f>
        <v>0.12</v>
      </c>
      <c r="K3439" s="400" t="s">
        <v>204</v>
      </c>
      <c r="L3439" s="399">
        <f t="shared" ref="L3439:L3441" si="11081">IF(D3439=0,2*MAX(6*F3439,75),(D3439-1)*2*MAX(6*F3439,75))/1000</f>
        <v>0.15</v>
      </c>
      <c r="M3439" s="399" t="s">
        <v>176</v>
      </c>
      <c r="N3439" s="399">
        <f t="shared" ref="N3439:N3441" si="11082">J3439+L3439</f>
        <v>0.27</v>
      </c>
      <c r="O3439" s="399"/>
      <c r="P3439" s="399"/>
      <c r="Q3439" s="399"/>
      <c r="R3439" s="399"/>
      <c r="S3439" s="399"/>
      <c r="T3439" s="399" t="s">
        <v>125</v>
      </c>
      <c r="U3439" s="401">
        <f t="shared" ref="U3439:U3441" si="11083">0.006165*F3439^2</f>
        <v>0</v>
      </c>
      <c r="V3439" s="399" t="s">
        <v>125</v>
      </c>
      <c r="W3439" s="399">
        <f t="shared" si="10988"/>
        <v>14</v>
      </c>
      <c r="X3439" s="399" t="s">
        <v>125</v>
      </c>
      <c r="Y3439" s="389">
        <f t="shared" ref="Y3439" si="11084">D3425</f>
        <v>3</v>
      </c>
      <c r="Z3439" s="400" t="s">
        <v>176</v>
      </c>
      <c r="AA3439" s="402">
        <f t="shared" ref="AA3439:AA3441" si="11085">N3439*U3439*W3439*Y3439</f>
        <v>0</v>
      </c>
      <c r="AB3439" s="403"/>
    </row>
    <row r="3440" spans="1:28">
      <c r="A3440" s="384" t="str">
        <f t="shared" ref="A3440:B3440" si="11086">A3415</f>
        <v>Lantai 2</v>
      </c>
      <c r="B3440" s="385">
        <f t="shared" si="11086"/>
        <v>27</v>
      </c>
      <c r="C3440" s="393" t="s">
        <v>214</v>
      </c>
      <c r="D3440" s="398">
        <f>VLOOKUP(D3415,'Detail Balok'!$C$10:$BJ$140,51,FALSE)</f>
        <v>0</v>
      </c>
      <c r="E3440" s="388" t="s">
        <v>16</v>
      </c>
      <c r="F3440" s="388">
        <f>VLOOKUP(D3415,'Detail Balok'!$C$10:$BJ$140,53,FALSE)</f>
        <v>0</v>
      </c>
      <c r="G3440" s="405" t="s">
        <v>157</v>
      </c>
      <c r="H3440" s="395">
        <f>VLOOKUP(D3415,'Detail Balok'!$C$10:$BJ$140,55,FALSE)</f>
        <v>100</v>
      </c>
      <c r="I3440" s="388"/>
      <c r="J3440" s="399">
        <f t="shared" ref="J3440" si="11087">(D3416-2*F$5)/1000</f>
        <v>0.12</v>
      </c>
      <c r="K3440" s="400" t="s">
        <v>204</v>
      </c>
      <c r="L3440" s="399">
        <f t="shared" si="11081"/>
        <v>0.15</v>
      </c>
      <c r="M3440" s="399" t="s">
        <v>176</v>
      </c>
      <c r="N3440" s="399">
        <f t="shared" si="11082"/>
        <v>0.27</v>
      </c>
      <c r="O3440" s="399"/>
      <c r="P3440" s="399"/>
      <c r="Q3440" s="399"/>
      <c r="R3440" s="399"/>
      <c r="S3440" s="399"/>
      <c r="T3440" s="399" t="s">
        <v>125</v>
      </c>
      <c r="U3440" s="401">
        <f t="shared" si="11083"/>
        <v>0</v>
      </c>
      <c r="V3440" s="399" t="s">
        <v>125</v>
      </c>
      <c r="W3440" s="399">
        <f t="shared" si="10988"/>
        <v>13</v>
      </c>
      <c r="X3440" s="399" t="s">
        <v>125</v>
      </c>
      <c r="Y3440" s="389">
        <f t="shared" ref="Y3440" si="11088">D3425</f>
        <v>3</v>
      </c>
      <c r="Z3440" s="400" t="s">
        <v>176</v>
      </c>
      <c r="AA3440" s="402">
        <f t="shared" si="11085"/>
        <v>0</v>
      </c>
      <c r="AB3440" s="403"/>
    </row>
    <row r="3441" spans="1:28">
      <c r="A3441" s="384" t="str">
        <f t="shared" ref="A3441:B3441" si="11089">A3415</f>
        <v>Lantai 2</v>
      </c>
      <c r="B3441" s="385">
        <f t="shared" si="11089"/>
        <v>27</v>
      </c>
      <c r="C3441" s="393" t="s">
        <v>213</v>
      </c>
      <c r="D3441" s="398">
        <f>VLOOKUP(D3415,'Detail Balok'!$C$10:$BJ$140,56,FALSE)</f>
        <v>0</v>
      </c>
      <c r="E3441" s="388" t="s">
        <v>16</v>
      </c>
      <c r="F3441" s="388">
        <f>VLOOKUP(D3415,'Detail Balok'!$C$10:$BJ$140,58,FALSE)</f>
        <v>0</v>
      </c>
      <c r="G3441" s="405" t="s">
        <v>157</v>
      </c>
      <c r="H3441" s="395">
        <f>VLOOKUP(D3415,'Detail Balok'!$C$10:$BJ$140,60,FALSE)</f>
        <v>100</v>
      </c>
      <c r="I3441" s="388"/>
      <c r="J3441" s="399">
        <f t="shared" ref="J3441" si="11090">(D3416-2*F$5)/1000</f>
        <v>0.12</v>
      </c>
      <c r="K3441" s="400" t="s">
        <v>204</v>
      </c>
      <c r="L3441" s="399">
        <f t="shared" si="11081"/>
        <v>0.15</v>
      </c>
      <c r="M3441" s="399" t="s">
        <v>176</v>
      </c>
      <c r="N3441" s="399">
        <f t="shared" si="11082"/>
        <v>0.27</v>
      </c>
      <c r="O3441" s="399"/>
      <c r="P3441" s="399"/>
      <c r="Q3441" s="399"/>
      <c r="R3441" s="399"/>
      <c r="S3441" s="399"/>
      <c r="T3441" s="399" t="s">
        <v>125</v>
      </c>
      <c r="U3441" s="401">
        <f t="shared" si="11083"/>
        <v>0</v>
      </c>
      <c r="V3441" s="399" t="s">
        <v>125</v>
      </c>
      <c r="W3441" s="399">
        <f t="shared" si="10988"/>
        <v>14</v>
      </c>
      <c r="X3441" s="399" t="s">
        <v>125</v>
      </c>
      <c r="Y3441" s="389">
        <f t="shared" ref="Y3441" si="11091">D3425</f>
        <v>3</v>
      </c>
      <c r="Z3441" s="400" t="s">
        <v>176</v>
      </c>
      <c r="AA3441" s="402">
        <f t="shared" si="11085"/>
        <v>0</v>
      </c>
      <c r="AB3441" s="403"/>
    </row>
    <row r="3442" spans="1:28">
      <c r="A3442" s="391"/>
      <c r="B3442" s="392"/>
      <c r="C3442" s="392"/>
      <c r="D3442" s="394"/>
      <c r="E3442" s="388"/>
      <c r="F3442" s="388"/>
      <c r="G3442" s="388"/>
      <c r="H3442" s="395"/>
      <c r="I3442" s="388"/>
      <c r="J3442" s="402"/>
      <c r="K3442" s="388"/>
      <c r="L3442" s="388"/>
      <c r="M3442" s="388"/>
      <c r="N3442" s="388"/>
      <c r="O3442" s="388"/>
      <c r="P3442" s="388"/>
      <c r="Q3442" s="388"/>
      <c r="R3442" s="388"/>
      <c r="S3442" s="388"/>
      <c r="T3442" s="388"/>
      <c r="U3442" s="388"/>
      <c r="V3442" s="388"/>
      <c r="W3442" s="388"/>
      <c r="X3442" s="388"/>
      <c r="Y3442" s="389"/>
      <c r="Z3442" s="388"/>
      <c r="AA3442" s="402"/>
      <c r="AB3442" s="403"/>
    </row>
    <row r="3443" spans="1:28" ht="15.75" thickBot="1">
      <c r="A3443" s="406"/>
      <c r="B3443" s="407"/>
      <c r="C3443" s="407"/>
      <c r="D3443" s="408"/>
      <c r="E3443" s="409"/>
      <c r="F3443" s="409"/>
      <c r="G3443" s="409"/>
      <c r="H3443" s="410"/>
      <c r="I3443" s="409"/>
      <c r="J3443" s="409"/>
      <c r="K3443" s="409"/>
      <c r="L3443" s="409"/>
      <c r="M3443" s="409"/>
      <c r="N3443" s="409"/>
      <c r="O3443" s="409"/>
      <c r="P3443" s="409"/>
      <c r="Q3443" s="409"/>
      <c r="R3443" s="409"/>
      <c r="S3443" s="409"/>
      <c r="T3443" s="409"/>
      <c r="U3443" s="409"/>
      <c r="V3443" s="409"/>
      <c r="W3443" s="409"/>
      <c r="X3443" s="409"/>
      <c r="Y3443" s="411"/>
      <c r="Z3443" s="409"/>
      <c r="AA3443" s="412"/>
      <c r="AB3443" s="413"/>
    </row>
    <row r="3444" spans="1:28">
      <c r="A3444" s="377"/>
      <c r="B3444" s="378"/>
      <c r="C3444" s="378"/>
      <c r="D3444" s="379"/>
      <c r="E3444" s="380"/>
      <c r="F3444" s="380"/>
      <c r="G3444" s="380"/>
      <c r="H3444" s="381"/>
      <c r="I3444" s="380"/>
      <c r="J3444" s="380"/>
      <c r="K3444" s="380"/>
      <c r="L3444" s="380"/>
      <c r="M3444" s="380"/>
      <c r="N3444" s="380"/>
      <c r="O3444" s="380"/>
      <c r="P3444" s="380"/>
      <c r="Q3444" s="380"/>
      <c r="R3444" s="380"/>
      <c r="S3444" s="380"/>
      <c r="T3444" s="380"/>
      <c r="U3444" s="380"/>
      <c r="V3444" s="380"/>
      <c r="W3444" s="380"/>
      <c r="X3444" s="380"/>
      <c r="Y3444" s="382"/>
      <c r="Z3444" s="380"/>
      <c r="AA3444" s="380"/>
      <c r="AB3444" s="383"/>
    </row>
    <row r="3445" spans="1:28">
      <c r="A3445" s="384" t="str">
        <f t="shared" si="10997"/>
        <v>Lantai 2</v>
      </c>
      <c r="B3445" s="385">
        <f t="shared" si="10998"/>
        <v>28</v>
      </c>
      <c r="C3445" s="386" t="str">
        <f t="shared" ref="C3445" si="11092">CONCATENATE(A3445," no. ",B3445)</f>
        <v>Lantai 2 no. 28</v>
      </c>
      <c r="D3445" s="2562" t="str">
        <f>VLOOKUP(C3445,'Data Panjang Balok'!$C$9:$N$254,2,FALSE)</f>
        <v>B24-1</v>
      </c>
      <c r="E3445" s="2576"/>
      <c r="F3445" s="2576"/>
      <c r="G3445" s="2576"/>
      <c r="H3445" s="2577"/>
      <c r="I3445" s="387"/>
      <c r="J3445" s="388"/>
      <c r="K3445" s="388"/>
      <c r="L3445" s="388"/>
      <c r="M3445" s="388"/>
      <c r="N3445" s="388"/>
      <c r="O3445" s="388"/>
      <c r="P3445" s="388"/>
      <c r="Q3445" s="388"/>
      <c r="R3445" s="388"/>
      <c r="S3445" s="388"/>
      <c r="T3445" s="388"/>
      <c r="U3445" s="388"/>
      <c r="V3445" s="388"/>
      <c r="W3445" s="388"/>
      <c r="X3445" s="388"/>
      <c r="Y3445" s="389"/>
      <c r="Z3445" s="388"/>
      <c r="AA3445" s="388"/>
      <c r="AB3445" s="390"/>
    </row>
    <row r="3446" spans="1:28">
      <c r="A3446" s="391"/>
      <c r="B3446" s="392"/>
      <c r="C3446" s="393" t="s">
        <v>118</v>
      </c>
      <c r="D3446" s="2578">
        <f>VLOOKUP(D3445,'Detail Balok'!$C$10:$AU$140,2,FALSE)</f>
        <v>200</v>
      </c>
      <c r="E3446" s="2579"/>
      <c r="F3446" s="388" t="s">
        <v>125</v>
      </c>
      <c r="G3446" s="2579">
        <f>VLOOKUP(D3445,'Detail Balok'!$C$10:$AU$140,3,FALSE)</f>
        <v>400</v>
      </c>
      <c r="H3446" s="2580"/>
      <c r="I3446" s="388"/>
      <c r="J3446" s="396"/>
      <c r="K3446" s="396"/>
      <c r="L3446" s="396"/>
      <c r="M3446" s="396"/>
      <c r="N3446" s="396"/>
      <c r="O3446" s="396"/>
      <c r="P3446" s="396"/>
      <c r="Q3446" s="396"/>
      <c r="R3446" s="396"/>
      <c r="S3446" s="396"/>
      <c r="T3446" s="396"/>
      <c r="U3446" s="388"/>
      <c r="V3446" s="396"/>
      <c r="W3446" s="388"/>
      <c r="X3446" s="396"/>
      <c r="Y3446" s="389"/>
      <c r="Z3446" s="396"/>
      <c r="AA3446" s="388"/>
      <c r="AB3446" s="390"/>
    </row>
    <row r="3447" spans="1:28">
      <c r="A3447" s="391"/>
      <c r="B3447" s="392"/>
      <c r="C3447" s="393" t="s">
        <v>198</v>
      </c>
      <c r="D3447" s="2562">
        <f>VLOOKUP(C3445,'Data Panjang Balok'!$C$9:$N$254,4,FALSE)</f>
        <v>5050</v>
      </c>
      <c r="E3447" s="2563"/>
      <c r="F3447" s="2563"/>
      <c r="G3447" s="2563"/>
      <c r="H3447" s="2564"/>
      <c r="I3447" s="397"/>
      <c r="J3447" s="396"/>
      <c r="K3447" s="396"/>
      <c r="L3447" s="396"/>
      <c r="M3447" s="396"/>
      <c r="N3447" s="396"/>
      <c r="O3447" s="396"/>
      <c r="P3447" s="396"/>
      <c r="Q3447" s="396"/>
      <c r="R3447" s="396"/>
      <c r="S3447" s="396"/>
      <c r="T3447" s="396"/>
      <c r="U3447" s="388"/>
      <c r="V3447" s="396"/>
      <c r="W3447" s="388"/>
      <c r="X3447" s="396"/>
      <c r="Y3447" s="389"/>
      <c r="Z3447" s="396"/>
      <c r="AA3447" s="388"/>
      <c r="AB3447" s="390"/>
    </row>
    <row r="3448" spans="1:28">
      <c r="A3448" s="391"/>
      <c r="B3448" s="392"/>
      <c r="C3448" s="393" t="s">
        <v>199</v>
      </c>
      <c r="D3448" s="2562">
        <f>VLOOKUP(C3445,'Data Panjang Balok'!$C$9:$N$254,7,FALSE)</f>
        <v>5050</v>
      </c>
      <c r="E3448" s="2563"/>
      <c r="F3448" s="2563"/>
      <c r="G3448" s="2563"/>
      <c r="H3448" s="2564"/>
      <c r="I3448" s="397"/>
      <c r="J3448" s="396"/>
      <c r="K3448" s="396"/>
      <c r="L3448" s="396"/>
      <c r="M3448" s="396"/>
      <c r="N3448" s="396"/>
      <c r="O3448" s="396"/>
      <c r="P3448" s="396"/>
      <c r="Q3448" s="396"/>
      <c r="R3448" s="396"/>
      <c r="S3448" s="396"/>
      <c r="T3448" s="396"/>
      <c r="U3448" s="388"/>
      <c r="V3448" s="396"/>
      <c r="W3448" s="388"/>
      <c r="X3448" s="396"/>
      <c r="Y3448" s="389"/>
      <c r="Z3448" s="396"/>
      <c r="AA3448" s="388"/>
      <c r="AB3448" s="390"/>
    </row>
    <row r="3449" spans="1:28">
      <c r="A3449" s="391"/>
      <c r="B3449" s="392"/>
      <c r="C3449" s="393" t="s">
        <v>200</v>
      </c>
      <c r="D3449" s="2562">
        <f>VLOOKUP(C3445,'Data Panjang Balok'!$C$9:$N$254,9,FALSE)</f>
        <v>0</v>
      </c>
      <c r="E3449" s="2563"/>
      <c r="F3449" s="2563"/>
      <c r="G3449" s="2563"/>
      <c r="H3449" s="2564"/>
      <c r="I3449" s="397"/>
      <c r="J3449" s="396"/>
      <c r="K3449" s="396"/>
      <c r="L3449" s="396"/>
      <c r="M3449" s="396"/>
      <c r="N3449" s="396"/>
      <c r="O3449" s="396"/>
      <c r="P3449" s="396"/>
      <c r="Q3449" s="396"/>
      <c r="R3449" s="396"/>
      <c r="S3449" s="396"/>
      <c r="T3449" s="396"/>
      <c r="U3449" s="388"/>
      <c r="V3449" s="396"/>
      <c r="W3449" s="388"/>
      <c r="X3449" s="396"/>
      <c r="Y3449" s="389"/>
      <c r="Z3449" s="396"/>
      <c r="AA3449" s="388"/>
      <c r="AB3449" s="390"/>
    </row>
    <row r="3450" spans="1:28">
      <c r="A3450" s="391"/>
      <c r="B3450" s="392"/>
      <c r="C3450" s="393" t="s">
        <v>201</v>
      </c>
      <c r="D3450" s="2562">
        <f>VLOOKUP(C3445,'Data Panjang Balok'!$C$9:$N$254,10,FALSE)</f>
        <v>0</v>
      </c>
      <c r="E3450" s="2563"/>
      <c r="F3450" s="2563"/>
      <c r="G3450" s="2563"/>
      <c r="H3450" s="2564"/>
      <c r="I3450" s="397"/>
      <c r="J3450" s="396"/>
      <c r="K3450" s="396"/>
      <c r="L3450" s="396"/>
      <c r="M3450" s="396"/>
      <c r="N3450" s="396"/>
      <c r="O3450" s="396"/>
      <c r="P3450" s="396"/>
      <c r="Q3450" s="396"/>
      <c r="R3450" s="396"/>
      <c r="S3450" s="396"/>
      <c r="T3450" s="396"/>
      <c r="U3450" s="388"/>
      <c r="V3450" s="396"/>
      <c r="W3450" s="388"/>
      <c r="X3450" s="396"/>
      <c r="Y3450" s="389"/>
      <c r="Z3450" s="396"/>
      <c r="AA3450" s="388"/>
      <c r="AB3450" s="390"/>
    </row>
    <row r="3451" spans="1:28">
      <c r="A3451" s="391"/>
      <c r="B3451" s="392"/>
      <c r="C3451" s="393" t="s">
        <v>48</v>
      </c>
      <c r="D3451" s="2562">
        <f>VLOOKUP(C3445,'Data Panjang Balok'!$C$9:$N$254,3,FALSE)</f>
        <v>1</v>
      </c>
      <c r="E3451" s="2563"/>
      <c r="F3451" s="2563"/>
      <c r="G3451" s="2563"/>
      <c r="H3451" s="2564"/>
      <c r="I3451" s="397"/>
      <c r="J3451" s="396"/>
      <c r="K3451" s="396"/>
      <c r="L3451" s="396"/>
      <c r="M3451" s="396"/>
      <c r="N3451" s="396"/>
      <c r="O3451" s="396"/>
      <c r="P3451" s="396"/>
      <c r="Q3451" s="396"/>
      <c r="R3451" s="396"/>
      <c r="S3451" s="396"/>
      <c r="T3451" s="396"/>
      <c r="U3451" s="388"/>
      <c r="V3451" s="396"/>
      <c r="W3451" s="388"/>
      <c r="X3451" s="396"/>
      <c r="Y3451" s="389"/>
      <c r="Z3451" s="396"/>
      <c r="AA3451" s="388"/>
      <c r="AB3451" s="390"/>
    </row>
    <row r="3452" spans="1:28">
      <c r="A3452" s="384" t="str">
        <f t="shared" ref="A3452:B3452" si="11093">A3445</f>
        <v>Lantai 2</v>
      </c>
      <c r="B3452" s="385">
        <f t="shared" si="11093"/>
        <v>28</v>
      </c>
      <c r="C3452" s="393" t="s">
        <v>202</v>
      </c>
      <c r="D3452" s="398">
        <f>VLOOKUP(D3445,'Detail Balok'!$C$10:$AU$140,4,FALSE)</f>
        <v>3</v>
      </c>
      <c r="E3452" s="388" t="s">
        <v>16</v>
      </c>
      <c r="F3452" s="388">
        <f>VLOOKUP(D3445,'Detail Balok'!$C$10:$AU$140,6,FALSE)</f>
        <v>13</v>
      </c>
      <c r="G3452" s="388"/>
      <c r="H3452" s="395"/>
      <c r="I3452" s="388" t="s">
        <v>203</v>
      </c>
      <c r="J3452" s="399">
        <f t="shared" ref="J3452" si="11094">+D3447/4/1000</f>
        <v>1.2625</v>
      </c>
      <c r="K3452" s="400" t="s">
        <v>204</v>
      </c>
      <c r="L3452" s="399">
        <f t="shared" ref="L3452" si="11095">MAX(VLOOKUP(F3452,N$6:P$15,3,FALSE)/1000,2/3*D3449/1000)+F$16*F3452/1000</f>
        <v>0.156</v>
      </c>
      <c r="M3452" s="399" t="s">
        <v>176</v>
      </c>
      <c r="N3452" s="399">
        <f t="shared" ref="N3452:N3454" si="11096">J3452+L3452</f>
        <v>1.4184999999999999</v>
      </c>
      <c r="O3452" s="399" t="s">
        <v>204</v>
      </c>
      <c r="P3452" s="389">
        <f t="shared" ref="P3452" si="11097">D3452-D3453</f>
        <v>0</v>
      </c>
      <c r="Q3452" s="399" t="s">
        <v>125</v>
      </c>
      <c r="R3452" s="399">
        <f t="shared" ref="R3452" si="11098">IF(P3452&gt;0,$F$18*F3452/1000,0)</f>
        <v>0</v>
      </c>
      <c r="S3452" s="399" t="s">
        <v>205</v>
      </c>
      <c r="T3452" s="399" t="s">
        <v>125</v>
      </c>
      <c r="U3452" s="401">
        <f t="shared" ref="U3452:U3454" si="11099">0.006165*F3452^2</f>
        <v>1.041885</v>
      </c>
      <c r="V3452" s="399"/>
      <c r="W3452" s="399"/>
      <c r="X3452" s="399" t="s">
        <v>125</v>
      </c>
      <c r="Y3452" s="389">
        <f t="shared" ref="Y3452" si="11100">D3451</f>
        <v>1</v>
      </c>
      <c r="Z3452" s="400" t="s">
        <v>176</v>
      </c>
      <c r="AA3452" s="402">
        <f t="shared" ref="AA3452" si="11101">IF(AA3455=0,(D3452*N3452+P3452*R3452)*U3452*Y3452,0)</f>
        <v>0</v>
      </c>
      <c r="AB3452" s="403"/>
    </row>
    <row r="3453" spans="1:28">
      <c r="A3453" s="384" t="str">
        <f t="shared" ref="A3453:B3453" si="11102">A3445</f>
        <v>Lantai 2</v>
      </c>
      <c r="B3453" s="385">
        <f t="shared" si="11102"/>
        <v>28</v>
      </c>
      <c r="C3453" s="393" t="s">
        <v>206</v>
      </c>
      <c r="D3453" s="398">
        <f>VLOOKUP(D3445,'Detail Balok'!$C$10:$AU$140,7,FALSE)</f>
        <v>3</v>
      </c>
      <c r="E3453" s="388" t="s">
        <v>16</v>
      </c>
      <c r="F3453" s="388">
        <f>VLOOKUP(D3445,'Detail Balok'!$C$10:$AU$140,9,FALSE)</f>
        <v>13</v>
      </c>
      <c r="G3453" s="388"/>
      <c r="H3453" s="395"/>
      <c r="I3453" s="388" t="s">
        <v>203</v>
      </c>
      <c r="J3453" s="399">
        <f t="shared" ref="J3453" si="11103">+D3447/2/1000</f>
        <v>2.5249999999999999</v>
      </c>
      <c r="K3453" s="400" t="s">
        <v>204</v>
      </c>
      <c r="L3453" s="399"/>
      <c r="M3453" s="399" t="s">
        <v>176</v>
      </c>
      <c r="N3453" s="399">
        <f t="shared" si="11096"/>
        <v>2.5249999999999999</v>
      </c>
      <c r="O3453" s="399" t="s">
        <v>204</v>
      </c>
      <c r="P3453" s="389">
        <f t="shared" ref="P3453" si="11104">MAX(D3453-D3452,D3453-D3454)</f>
        <v>0</v>
      </c>
      <c r="Q3453" s="399" t="s">
        <v>125</v>
      </c>
      <c r="R3453" s="399">
        <f t="shared" ref="R3453" si="11105">IF(P3453&gt;0,2*(1-2*$F$19-1/2)*D3448/1000,0)</f>
        <v>0</v>
      </c>
      <c r="S3453" s="399" t="s">
        <v>205</v>
      </c>
      <c r="T3453" s="399" t="s">
        <v>125</v>
      </c>
      <c r="U3453" s="401">
        <f t="shared" si="11099"/>
        <v>1.041885</v>
      </c>
      <c r="V3453" s="399"/>
      <c r="W3453" s="399"/>
      <c r="X3453" s="399" t="s">
        <v>125</v>
      </c>
      <c r="Y3453" s="389">
        <f t="shared" ref="Y3453" si="11106">D3451</f>
        <v>1</v>
      </c>
      <c r="Z3453" s="400" t="s">
        <v>176</v>
      </c>
      <c r="AA3453" s="402">
        <f t="shared" ref="AA3453" si="11107">IF(AA3455=0,(D3453*N3453+P3453*R3453)*U3453*Y3453,0)</f>
        <v>0</v>
      </c>
      <c r="AB3453" s="403"/>
    </row>
    <row r="3454" spans="1:28">
      <c r="A3454" s="384" t="str">
        <f t="shared" ref="A3454:B3454" si="11108">A3445</f>
        <v>Lantai 2</v>
      </c>
      <c r="B3454" s="385">
        <f t="shared" si="11108"/>
        <v>28</v>
      </c>
      <c r="C3454" s="393" t="s">
        <v>202</v>
      </c>
      <c r="D3454" s="398">
        <f>VLOOKUP(D3445,'Detail Balok'!$C$10:$AU$140,10,FALSE)</f>
        <v>3</v>
      </c>
      <c r="E3454" s="388" t="s">
        <v>16</v>
      </c>
      <c r="F3454" s="388">
        <f>VLOOKUP(D3445,'Detail Balok'!$C$10:$AU$140,12,FALSE)</f>
        <v>13</v>
      </c>
      <c r="G3454" s="388"/>
      <c r="H3454" s="395"/>
      <c r="I3454" s="388" t="s">
        <v>203</v>
      </c>
      <c r="J3454" s="399">
        <f t="shared" ref="J3454" si="11109">+D3447/4/1000</f>
        <v>1.2625</v>
      </c>
      <c r="K3454" s="400" t="s">
        <v>204</v>
      </c>
      <c r="L3454" s="399">
        <f t="shared" ref="L3454" si="11110">MAX(VLOOKUP(F3454,N$6:P$15,3,FALSE)/1000,2/3*D3449/1000)+F$16*F3454/1000</f>
        <v>0.156</v>
      </c>
      <c r="M3454" s="399" t="s">
        <v>176</v>
      </c>
      <c r="N3454" s="399">
        <f t="shared" si="11096"/>
        <v>1.4184999999999999</v>
      </c>
      <c r="O3454" s="399" t="s">
        <v>204</v>
      </c>
      <c r="P3454" s="389">
        <f t="shared" ref="P3454" si="11111">D3454-D3453</f>
        <v>0</v>
      </c>
      <c r="Q3454" s="399" t="s">
        <v>125</v>
      </c>
      <c r="R3454" s="399">
        <f t="shared" ref="R3454" si="11112">IF(P3454&gt;0,$F$18*F3454/1000,0)</f>
        <v>0</v>
      </c>
      <c r="S3454" s="399" t="s">
        <v>205</v>
      </c>
      <c r="T3454" s="399" t="s">
        <v>125</v>
      </c>
      <c r="U3454" s="401">
        <f t="shared" si="11099"/>
        <v>1.041885</v>
      </c>
      <c r="V3454" s="399"/>
      <c r="W3454" s="399"/>
      <c r="X3454" s="399" t="s">
        <v>125</v>
      </c>
      <c r="Y3454" s="389">
        <f t="shared" ref="Y3454" si="11113">D3451</f>
        <v>1</v>
      </c>
      <c r="Z3454" s="400" t="s">
        <v>176</v>
      </c>
      <c r="AA3454" s="402">
        <f t="shared" ref="AA3454" si="11114">IF(AA3455=0,(D3454*N3454+P3454*R3454)*U3454*Y3454,0)</f>
        <v>0</v>
      </c>
      <c r="AB3454" s="403"/>
    </row>
    <row r="3455" spans="1:28">
      <c r="A3455" s="384" t="str">
        <f t="shared" ref="A3455:B3455" si="11115">A3445</f>
        <v>Lantai 2</v>
      </c>
      <c r="B3455" s="385">
        <f t="shared" si="11115"/>
        <v>28</v>
      </c>
      <c r="C3455" s="393"/>
      <c r="D3455" s="398">
        <f t="shared" si="10918"/>
        <v>3</v>
      </c>
      <c r="E3455" s="388" t="s">
        <v>16</v>
      </c>
      <c r="F3455" s="388">
        <f t="shared" si="10919"/>
        <v>13</v>
      </c>
      <c r="G3455" s="388"/>
      <c r="H3455" s="395"/>
      <c r="I3455" s="388"/>
      <c r="J3455" s="396"/>
      <c r="K3455" s="396"/>
      <c r="L3455" s="404" t="s">
        <v>207</v>
      </c>
      <c r="M3455" s="399" t="s">
        <v>176</v>
      </c>
      <c r="N3455" s="399">
        <f t="shared" ref="N3455" si="11116">IF(AND(D3452=D3453,D3452=D3454,D3453=D3454,F3452=F3453,F3452=F3454,F3453=F3454),SUM(N3452:N3454),0)</f>
        <v>5.3620000000000001</v>
      </c>
      <c r="O3455" s="399" t="s">
        <v>204</v>
      </c>
      <c r="P3455" s="389">
        <f t="shared" ref="P3455" si="11117">IF(N3455&gt;12,ROUNDDOWN(N3455/12,0),0)</f>
        <v>0</v>
      </c>
      <c r="Q3455" s="399" t="s">
        <v>125</v>
      </c>
      <c r="R3455" s="399">
        <f t="shared" ref="R3455" si="11118">IF(P3455&gt;0,MAX(VLOOKUP(F3455,$D$6:$G$15,3,FALSE),600),0)/1000</f>
        <v>0</v>
      </c>
      <c r="S3455" s="396"/>
      <c r="T3455" s="396" t="s">
        <v>125</v>
      </c>
      <c r="U3455" s="401">
        <f t="shared" si="10923"/>
        <v>1.041885</v>
      </c>
      <c r="V3455" s="396" t="s">
        <v>125</v>
      </c>
      <c r="W3455" s="399">
        <f t="shared" ref="W3455" si="11119">D3455</f>
        <v>3</v>
      </c>
      <c r="X3455" s="399" t="s">
        <v>125</v>
      </c>
      <c r="Y3455" s="389">
        <f t="shared" si="10925"/>
        <v>1</v>
      </c>
      <c r="Z3455" s="400" t="s">
        <v>176</v>
      </c>
      <c r="AA3455" s="402">
        <f t="shared" ref="AA3455" si="11120">(N3455+P3455*R3455/1000)*U3455*W3455*Y3455</f>
        <v>16.75976211</v>
      </c>
      <c r="AB3455" s="390"/>
    </row>
    <row r="3456" spans="1:28">
      <c r="A3456" s="384"/>
      <c r="B3456" s="385"/>
      <c r="C3456" s="393"/>
      <c r="D3456" s="398"/>
      <c r="E3456" s="388"/>
      <c r="F3456" s="388"/>
      <c r="G3456" s="388"/>
      <c r="H3456" s="395"/>
      <c r="I3456" s="388"/>
      <c r="J3456" s="396"/>
      <c r="K3456" s="396"/>
      <c r="L3456" s="404"/>
      <c r="M3456" s="399"/>
      <c r="N3456" s="399"/>
      <c r="O3456" s="396"/>
      <c r="P3456" s="389"/>
      <c r="Q3456" s="396"/>
      <c r="R3456" s="396"/>
      <c r="S3456" s="396"/>
      <c r="T3456" s="396"/>
      <c r="U3456" s="401"/>
      <c r="V3456" s="396"/>
      <c r="W3456" s="399"/>
      <c r="X3456" s="396"/>
      <c r="Y3456" s="389"/>
      <c r="Z3456" s="396"/>
      <c r="AA3456" s="388"/>
      <c r="AB3456" s="390"/>
    </row>
    <row r="3457" spans="1:28">
      <c r="A3457" s="384" t="str">
        <f t="shared" ref="A3457:B3457" si="11121">A3445</f>
        <v>Lantai 2</v>
      </c>
      <c r="B3457" s="385">
        <f t="shared" si="11121"/>
        <v>28</v>
      </c>
      <c r="C3457" s="393" t="s">
        <v>208</v>
      </c>
      <c r="D3457" s="398">
        <f>VLOOKUP(D3445,'Detail Balok'!$C$10:$AU$140,13,FALSE)</f>
        <v>0</v>
      </c>
      <c r="E3457" s="388" t="s">
        <v>16</v>
      </c>
      <c r="F3457" s="388">
        <f>VLOOKUP(D3445,'Detail Balok'!$C$10:$AU$140,15,FALSE)</f>
        <v>8</v>
      </c>
      <c r="G3457" s="388"/>
      <c r="H3457" s="395"/>
      <c r="I3457" s="388"/>
      <c r="J3457" s="399">
        <f t="shared" ref="J3457" si="11122">+D3447/1000</f>
        <v>5.05</v>
      </c>
      <c r="K3457" s="400" t="s">
        <v>204</v>
      </c>
      <c r="L3457" s="399">
        <f t="shared" ref="L3457" si="11123">2*$F$16*F3457/1000</f>
        <v>0.192</v>
      </c>
      <c r="M3457" s="399" t="s">
        <v>176</v>
      </c>
      <c r="N3457" s="399">
        <f t="shared" ref="N3457" si="11124">J3457+L3457</f>
        <v>5.242</v>
      </c>
      <c r="O3457" s="399" t="s">
        <v>204</v>
      </c>
      <c r="P3457" s="389">
        <f t="shared" ref="P3457" si="11125">IF(N3457&gt;12,ROUNDDOWN(N3457/12,0),0)</f>
        <v>0</v>
      </c>
      <c r="Q3457" s="399" t="s">
        <v>125</v>
      </c>
      <c r="R3457" s="399">
        <f t="shared" ref="R3457" si="11126">IF(P3457&gt;0,MAX(VLOOKUP(F3457,$D$6:$G$15,3,FALSE),600),0)/1000</f>
        <v>0</v>
      </c>
      <c r="S3457" s="399"/>
      <c r="T3457" s="399" t="s">
        <v>125</v>
      </c>
      <c r="U3457" s="401">
        <f t="shared" ref="U3457" si="11127">0.006165*F3457^2</f>
        <v>0.39456000000000002</v>
      </c>
      <c r="V3457" s="399" t="s">
        <v>125</v>
      </c>
      <c r="W3457" s="399">
        <f t="shared" ref="W3457" si="11128">+D3457</f>
        <v>0</v>
      </c>
      <c r="X3457" s="399" t="s">
        <v>125</v>
      </c>
      <c r="Y3457" s="389">
        <f t="shared" ref="Y3457" si="11129">D3451</f>
        <v>1</v>
      </c>
      <c r="Z3457" s="400" t="s">
        <v>176</v>
      </c>
      <c r="AA3457" s="402">
        <f t="shared" ref="AA3457" si="11130">(N3457+P3457*R3457/1000)*U3457*W3457*Y3457</f>
        <v>0</v>
      </c>
      <c r="AB3457" s="403"/>
    </row>
    <row r="3458" spans="1:28">
      <c r="A3458" s="384"/>
      <c r="B3458" s="385"/>
      <c r="C3458" s="393"/>
      <c r="D3458" s="398"/>
      <c r="E3458" s="388"/>
      <c r="F3458" s="388"/>
      <c r="G3458" s="388"/>
      <c r="H3458" s="395"/>
      <c r="I3458" s="388"/>
      <c r="J3458" s="399"/>
      <c r="K3458" s="400"/>
      <c r="L3458" s="399"/>
      <c r="M3458" s="399"/>
      <c r="N3458" s="399"/>
      <c r="O3458" s="399"/>
      <c r="P3458" s="389"/>
      <c r="Q3458" s="399"/>
      <c r="R3458" s="399"/>
      <c r="S3458" s="399"/>
      <c r="T3458" s="399"/>
      <c r="U3458" s="401"/>
      <c r="V3458" s="399"/>
      <c r="W3458" s="399"/>
      <c r="X3458" s="399"/>
      <c r="Y3458" s="389"/>
      <c r="Z3458" s="400"/>
      <c r="AA3458" s="402"/>
      <c r="AB3458" s="403"/>
    </row>
    <row r="3459" spans="1:28">
      <c r="A3459" s="384"/>
      <c r="B3459" s="385"/>
      <c r="C3459" s="393"/>
      <c r="D3459" s="398"/>
      <c r="E3459" s="388"/>
      <c r="F3459" s="388"/>
      <c r="G3459" s="388"/>
      <c r="H3459" s="395"/>
      <c r="I3459" s="388"/>
      <c r="J3459" s="396"/>
      <c r="K3459" s="396"/>
      <c r="L3459" s="396"/>
      <c r="M3459" s="396"/>
      <c r="N3459" s="396"/>
      <c r="O3459" s="396"/>
      <c r="P3459" s="389"/>
      <c r="Q3459" s="396"/>
      <c r="R3459" s="396"/>
      <c r="S3459" s="396"/>
      <c r="T3459" s="396"/>
      <c r="U3459" s="401"/>
      <c r="V3459" s="396"/>
      <c r="W3459" s="399"/>
      <c r="X3459" s="396"/>
      <c r="Y3459" s="389"/>
      <c r="Z3459" s="396"/>
      <c r="AA3459" s="388"/>
      <c r="AB3459" s="390"/>
    </row>
    <row r="3460" spans="1:28">
      <c r="A3460" s="384" t="str">
        <f t="shared" ref="A3460:B3460" si="11131">A3445</f>
        <v>Lantai 2</v>
      </c>
      <c r="B3460" s="385">
        <f t="shared" si="11131"/>
        <v>28</v>
      </c>
      <c r="C3460" s="393" t="s">
        <v>209</v>
      </c>
      <c r="D3460" s="398">
        <f>VLOOKUP(D3445,'Detail Balok'!$C$10:$AU$140,22,FALSE)</f>
        <v>3</v>
      </c>
      <c r="E3460" s="388" t="s">
        <v>16</v>
      </c>
      <c r="F3460" s="388">
        <f>VLOOKUP(D3445,'Detail Balok'!$C$10:$AU$140,24,FALSE)</f>
        <v>13</v>
      </c>
      <c r="G3460" s="388"/>
      <c r="H3460" s="395"/>
      <c r="I3460" s="388" t="s">
        <v>203</v>
      </c>
      <c r="J3460" s="399">
        <f t="shared" si="10938"/>
        <v>1.2625</v>
      </c>
      <c r="K3460" s="400" t="s">
        <v>204</v>
      </c>
      <c r="L3460" s="399">
        <f t="shared" ref="L3460" si="11132">MAX(VLOOKUP(F3460,N$6:P$15,3,FALSE)/1000,2/3*D3450/1000)+F$16*F3460/1000</f>
        <v>0.156</v>
      </c>
      <c r="M3460" s="399" t="s">
        <v>176</v>
      </c>
      <c r="N3460" s="399">
        <f t="shared" ref="N3460:N3462" si="11133">J3460+L3460</f>
        <v>1.4184999999999999</v>
      </c>
      <c r="O3460" s="399" t="s">
        <v>204</v>
      </c>
      <c r="P3460" s="389">
        <f t="shared" ref="P3460" si="11134">D3460-D3461</f>
        <v>0</v>
      </c>
      <c r="Q3460" s="399" t="s">
        <v>125</v>
      </c>
      <c r="R3460" s="399">
        <f t="shared" ref="R3460" si="11135">IF(P3460&gt;0,$F$18*F3460/1000,0)</f>
        <v>0</v>
      </c>
      <c r="S3460" s="399" t="s">
        <v>205</v>
      </c>
      <c r="T3460" s="399" t="s">
        <v>125</v>
      </c>
      <c r="U3460" s="401">
        <f t="shared" ref="U3460:U3462" si="11136">0.006165*F3460^2</f>
        <v>1.041885</v>
      </c>
      <c r="V3460" s="399"/>
      <c r="W3460" s="399"/>
      <c r="X3460" s="399" t="s">
        <v>125</v>
      </c>
      <c r="Y3460" s="389">
        <f t="shared" ref="Y3460" si="11137">D3451</f>
        <v>1</v>
      </c>
      <c r="Z3460" s="400" t="s">
        <v>176</v>
      </c>
      <c r="AA3460" s="402">
        <f t="shared" ref="AA3460" si="11138">IF(AA3463=0,(D3460*N3460+P3460*R3460)*U3460*Y3460,0)</f>
        <v>0</v>
      </c>
      <c r="AB3460" s="403"/>
    </row>
    <row r="3461" spans="1:28">
      <c r="A3461" s="384" t="str">
        <f t="shared" ref="A3461:B3461" si="11139">A3445</f>
        <v>Lantai 2</v>
      </c>
      <c r="B3461" s="385">
        <f t="shared" si="11139"/>
        <v>28</v>
      </c>
      <c r="C3461" s="393" t="s">
        <v>210</v>
      </c>
      <c r="D3461" s="398">
        <f>VLOOKUP(D3445,'Detail Balok'!$C$10:$AU$140,25,FALSE)</f>
        <v>3</v>
      </c>
      <c r="E3461" s="388" t="s">
        <v>16</v>
      </c>
      <c r="F3461" s="388">
        <f>VLOOKUP(D3445,'Detail Balok'!$C$10:$AU$140,27,FALSE)</f>
        <v>13</v>
      </c>
      <c r="G3461" s="388"/>
      <c r="H3461" s="395"/>
      <c r="I3461" s="388" t="s">
        <v>203</v>
      </c>
      <c r="J3461" s="399">
        <f t="shared" si="10938"/>
        <v>2.5249999999999999</v>
      </c>
      <c r="K3461" s="400" t="s">
        <v>204</v>
      </c>
      <c r="L3461" s="399"/>
      <c r="M3461" s="399" t="s">
        <v>176</v>
      </c>
      <c r="N3461" s="399">
        <f t="shared" si="11133"/>
        <v>2.5249999999999999</v>
      </c>
      <c r="O3461" s="399" t="s">
        <v>204</v>
      </c>
      <c r="P3461" s="389">
        <f t="shared" ref="P3461" si="11140">MAX(D3461-D3460,D3461-D3462)</f>
        <v>0</v>
      </c>
      <c r="Q3461" s="399" t="s">
        <v>125</v>
      </c>
      <c r="R3461" s="399">
        <f t="shared" ref="R3461" si="11141">IF(P3461&gt;0,2*(1-2*$F$19-1/2)*D3448/1000,0)</f>
        <v>0</v>
      </c>
      <c r="S3461" s="399" t="s">
        <v>205</v>
      </c>
      <c r="T3461" s="399" t="s">
        <v>125</v>
      </c>
      <c r="U3461" s="401">
        <f t="shared" si="11136"/>
        <v>1.041885</v>
      </c>
      <c r="V3461" s="399"/>
      <c r="W3461" s="399"/>
      <c r="X3461" s="399" t="s">
        <v>125</v>
      </c>
      <c r="Y3461" s="389">
        <f t="shared" ref="Y3461" si="11142">D3451</f>
        <v>1</v>
      </c>
      <c r="Z3461" s="400" t="s">
        <v>176</v>
      </c>
      <c r="AA3461" s="402">
        <f t="shared" ref="AA3461" si="11143">IF(AA3463=0,(D3461*N3461+P3461*R3461)*U3461*Y3461,0)</f>
        <v>0</v>
      </c>
      <c r="AB3461" s="403"/>
    </row>
    <row r="3462" spans="1:28">
      <c r="A3462" s="384" t="str">
        <f t="shared" ref="A3462:B3462" si="11144">A3445</f>
        <v>Lantai 2</v>
      </c>
      <c r="B3462" s="385">
        <f t="shared" si="11144"/>
        <v>28</v>
      </c>
      <c r="C3462" s="393" t="s">
        <v>209</v>
      </c>
      <c r="D3462" s="398">
        <f>VLOOKUP(D3445,'Detail Balok'!$C$10:$AU$140,28,FALSE)</f>
        <v>3</v>
      </c>
      <c r="E3462" s="388" t="s">
        <v>16</v>
      </c>
      <c r="F3462" s="388">
        <f>VLOOKUP(D3445,'Detail Balok'!$C$10:$AU$140,30,FALSE)</f>
        <v>13</v>
      </c>
      <c r="G3462" s="388"/>
      <c r="H3462" s="395"/>
      <c r="I3462" s="388" t="s">
        <v>203</v>
      </c>
      <c r="J3462" s="399">
        <f t="shared" si="10938"/>
        <v>1.2625</v>
      </c>
      <c r="K3462" s="400" t="s">
        <v>204</v>
      </c>
      <c r="L3462" s="399">
        <f t="shared" ref="L3462" si="11145">MAX(VLOOKUP(F3462,N$6:P$15,3,FALSE)/1000,2/3*D3450/1000)+F$16*F3462/1000</f>
        <v>0.156</v>
      </c>
      <c r="M3462" s="399" t="s">
        <v>176</v>
      </c>
      <c r="N3462" s="399">
        <f t="shared" si="11133"/>
        <v>1.4184999999999999</v>
      </c>
      <c r="O3462" s="399" t="s">
        <v>204</v>
      </c>
      <c r="P3462" s="389">
        <f t="shared" ref="P3462" si="11146">D3462-D3461</f>
        <v>0</v>
      </c>
      <c r="Q3462" s="399" t="s">
        <v>125</v>
      </c>
      <c r="R3462" s="399">
        <f t="shared" ref="R3462" si="11147">IF(P3462&gt;0,$F$18*F3462/1000,0)</f>
        <v>0</v>
      </c>
      <c r="S3462" s="399" t="s">
        <v>205</v>
      </c>
      <c r="T3462" s="399" t="s">
        <v>125</v>
      </c>
      <c r="U3462" s="401">
        <f t="shared" si="11136"/>
        <v>1.041885</v>
      </c>
      <c r="V3462" s="399"/>
      <c r="W3462" s="399"/>
      <c r="X3462" s="399" t="s">
        <v>125</v>
      </c>
      <c r="Y3462" s="389">
        <f t="shared" ref="Y3462" si="11148">D3451</f>
        <v>1</v>
      </c>
      <c r="Z3462" s="400" t="s">
        <v>176</v>
      </c>
      <c r="AA3462" s="402">
        <f t="shared" ref="AA3462" si="11149">IF(AA3463=0,(D3462*N3462+P3462*R3462)*U3462*Y3462,0)</f>
        <v>0</v>
      </c>
      <c r="AB3462" s="403"/>
    </row>
    <row r="3463" spans="1:28">
      <c r="A3463" s="384" t="str">
        <f t="shared" ref="A3463:B3463" si="11150">A3445</f>
        <v>Lantai 2</v>
      </c>
      <c r="B3463" s="385">
        <f t="shared" si="11150"/>
        <v>28</v>
      </c>
      <c r="C3463" s="393"/>
      <c r="D3463" s="398">
        <f t="shared" si="10958"/>
        <v>3</v>
      </c>
      <c r="E3463" s="388" t="s">
        <v>16</v>
      </c>
      <c r="F3463" s="388">
        <f t="shared" si="10959"/>
        <v>13</v>
      </c>
      <c r="G3463" s="388"/>
      <c r="H3463" s="395"/>
      <c r="I3463" s="388"/>
      <c r="J3463" s="396"/>
      <c r="K3463" s="396"/>
      <c r="L3463" s="404" t="s">
        <v>207</v>
      </c>
      <c r="M3463" s="399" t="s">
        <v>176</v>
      </c>
      <c r="N3463" s="399">
        <f t="shared" ref="N3463" si="11151">IF(AND(D3460=D3461,D3460=D3462,D3461=D3462,F3460=F3461,F3460=F3462,F3461=F3462),SUM(N3460:N3462),0)</f>
        <v>5.3620000000000001</v>
      </c>
      <c r="O3463" s="399" t="s">
        <v>204</v>
      </c>
      <c r="P3463" s="389">
        <f t="shared" ref="P3463" si="11152">IF(N3463&gt;12,ROUNDDOWN(N3463/12,0),0)</f>
        <v>0</v>
      </c>
      <c r="Q3463" s="399" t="s">
        <v>125</v>
      </c>
      <c r="R3463" s="399">
        <f t="shared" ref="R3463" si="11153">IF(P3463&gt;0,MAX(VLOOKUP(F3463,$D$6:$G$15,3,FALSE),600),0)/1000</f>
        <v>0</v>
      </c>
      <c r="S3463" s="396"/>
      <c r="T3463" s="396" t="s">
        <v>125</v>
      </c>
      <c r="U3463" s="401">
        <f t="shared" si="10963"/>
        <v>1.041885</v>
      </c>
      <c r="V3463" s="396" t="s">
        <v>125</v>
      </c>
      <c r="W3463" s="399">
        <f t="shared" ref="W3463" si="11154">D3463</f>
        <v>3</v>
      </c>
      <c r="X3463" s="399" t="s">
        <v>125</v>
      </c>
      <c r="Y3463" s="389">
        <f t="shared" si="10965"/>
        <v>1</v>
      </c>
      <c r="Z3463" s="400" t="s">
        <v>176</v>
      </c>
      <c r="AA3463" s="402">
        <f t="shared" ref="AA3463" si="11155">(N3463+P3463*R3463/1000)*U3463*W3463*Y3463</f>
        <v>16.75976211</v>
      </c>
      <c r="AB3463" s="403"/>
    </row>
    <row r="3464" spans="1:28">
      <c r="A3464" s="384"/>
      <c r="B3464" s="385"/>
      <c r="C3464" s="393"/>
      <c r="D3464" s="394"/>
      <c r="E3464" s="388"/>
      <c r="F3464" s="388"/>
      <c r="G3464" s="388"/>
      <c r="H3464" s="395"/>
      <c r="I3464" s="388"/>
      <c r="J3464" s="399"/>
      <c r="K3464" s="396"/>
      <c r="L3464" s="396"/>
      <c r="M3464" s="396"/>
      <c r="N3464" s="396"/>
      <c r="O3464" s="396"/>
      <c r="P3464" s="389"/>
      <c r="Q3464" s="396"/>
      <c r="R3464" s="396"/>
      <c r="S3464" s="396"/>
      <c r="T3464" s="396"/>
      <c r="U3464" s="401"/>
      <c r="V3464" s="396"/>
      <c r="W3464" s="388"/>
      <c r="X3464" s="396"/>
      <c r="Y3464" s="389"/>
      <c r="Z3464" s="396"/>
      <c r="AA3464" s="388"/>
      <c r="AB3464" s="390"/>
    </row>
    <row r="3465" spans="1:28">
      <c r="A3465" s="384" t="str">
        <f t="shared" ref="A3465:B3465" si="11156">A3445</f>
        <v>Lantai 2</v>
      </c>
      <c r="B3465" s="385">
        <f t="shared" si="11156"/>
        <v>28</v>
      </c>
      <c r="C3465" s="393" t="s">
        <v>211</v>
      </c>
      <c r="D3465" s="398">
        <f>VLOOKUP(D3445,'Detail Balok'!$C$10:$AU$140,31,FALSE)</f>
        <v>0</v>
      </c>
      <c r="E3465" s="388" t="s">
        <v>16</v>
      </c>
      <c r="F3465" s="388">
        <f>VLOOKUP(D3445,'Detail Balok'!$C$10:$AU$140,33,FALSE)</f>
        <v>10</v>
      </c>
      <c r="G3465" s="405" t="s">
        <v>157</v>
      </c>
      <c r="H3465" s="395">
        <f>VLOOKUP(D3445,'Detail Balok'!$C$10:$AU$140,35,FALSE)</f>
        <v>100</v>
      </c>
      <c r="I3465" s="388"/>
      <c r="J3465" s="400">
        <f t="shared" ref="J3465" si="11157">(IF(D3465=0,(2*(D3446+G3446))-(F$5*8),IF(D3465=3,(2*(D3446+G3446))-(F$5*8)+(G3446-2*F$5),IF(D3465=4,(2*(D3446+G3446))-(F$5*8)+2*(G3446-2*F$5)))))/1000</f>
        <v>0.88</v>
      </c>
      <c r="K3465" s="400" t="s">
        <v>204</v>
      </c>
      <c r="L3465" s="399">
        <f t="shared" ref="L3465:L3467" si="11158">IF(D3465=0,2*MAX(6*F3465,75),(D3465-1)*2*MAX(6*F3465,75))/1000</f>
        <v>0.15</v>
      </c>
      <c r="M3465" s="399" t="s">
        <v>176</v>
      </c>
      <c r="N3465" s="399">
        <f t="shared" ref="N3465:N3467" si="11159">J3465+L3465</f>
        <v>1.03</v>
      </c>
      <c r="O3465" s="399"/>
      <c r="P3465" s="389"/>
      <c r="Q3465" s="399"/>
      <c r="R3465" s="399"/>
      <c r="S3465" s="399"/>
      <c r="T3465" s="399" t="s">
        <v>125</v>
      </c>
      <c r="U3465" s="401">
        <f t="shared" ref="U3465:U3467" si="11160">0.006165*F3465^2</f>
        <v>0.61650000000000005</v>
      </c>
      <c r="V3465" s="399" t="s">
        <v>125</v>
      </c>
      <c r="W3465" s="399">
        <f t="shared" ref="W3465" si="11161">IF(D3448&gt;4*G3446,ROUND(MAX(D3448/4,2*G3446)/H3465,0)+1,ROUND(D3448/H3465,0)+1)</f>
        <v>14</v>
      </c>
      <c r="X3465" s="399" t="s">
        <v>125</v>
      </c>
      <c r="Y3465" s="389">
        <f t="shared" ref="Y3465" si="11162">D3451</f>
        <v>1</v>
      </c>
      <c r="Z3465" s="400" t="s">
        <v>176</v>
      </c>
      <c r="AA3465" s="402">
        <f t="shared" ref="AA3465:AA3467" si="11163">N3465*U3465*W3465*Y3465</f>
        <v>8.8899300000000014</v>
      </c>
      <c r="AB3465" s="403"/>
    </row>
    <row r="3466" spans="1:28">
      <c r="A3466" s="384" t="str">
        <f t="shared" ref="A3466:B3466" si="11164">A3445</f>
        <v>Lantai 2</v>
      </c>
      <c r="B3466" s="385">
        <f t="shared" si="11164"/>
        <v>28</v>
      </c>
      <c r="C3466" s="393" t="s">
        <v>212</v>
      </c>
      <c r="D3466" s="398">
        <f>VLOOKUP(D3445,'Detail Balok'!$C$10:$AU$140,36,FALSE)</f>
        <v>0</v>
      </c>
      <c r="E3466" s="388" t="s">
        <v>16</v>
      </c>
      <c r="F3466" s="388">
        <f>VLOOKUP(D3445,'Detail Balok'!$C$10:$AU$140,38,FALSE)</f>
        <v>10</v>
      </c>
      <c r="G3466" s="405" t="s">
        <v>157</v>
      </c>
      <c r="H3466" s="395">
        <f>VLOOKUP(D3445,'Detail Balok'!$C$10:$AU$140,40,FALSE)</f>
        <v>200</v>
      </c>
      <c r="I3466" s="388"/>
      <c r="J3466" s="400">
        <f t="shared" ref="J3466" si="11165">(IF(D3466=0,(2*(D3446+G3446))-(F$5*8),IF(D3466=3,(2*(D3446+G3446))-(F$5*8)+(G3446-2*F$5),IF(D3466=4,(2*(D3446+G3446))-(F$5*8)+2*(G3446-2*F$5)))))/1000</f>
        <v>0.88</v>
      </c>
      <c r="K3466" s="400" t="s">
        <v>204</v>
      </c>
      <c r="L3466" s="399">
        <f t="shared" si="11158"/>
        <v>0.15</v>
      </c>
      <c r="M3466" s="399" t="s">
        <v>176</v>
      </c>
      <c r="N3466" s="399">
        <f t="shared" si="11159"/>
        <v>1.03</v>
      </c>
      <c r="O3466" s="399"/>
      <c r="P3466" s="389"/>
      <c r="Q3466" s="399"/>
      <c r="R3466" s="399"/>
      <c r="S3466" s="399"/>
      <c r="T3466" s="399" t="s">
        <v>125</v>
      </c>
      <c r="U3466" s="401">
        <f t="shared" si="11160"/>
        <v>0.61650000000000005</v>
      </c>
      <c r="V3466" s="399" t="s">
        <v>125</v>
      </c>
      <c r="W3466" s="399">
        <f t="shared" ref="W3466" si="11166">IF(D3448-MAX(D3448/4,2*G3446)*2&gt;0,ROUND((D3448-MAX(D3448/4,2*G3446)*2)/H3466,0),0)</f>
        <v>13</v>
      </c>
      <c r="X3466" s="399" t="s">
        <v>125</v>
      </c>
      <c r="Y3466" s="389">
        <f t="shared" ref="Y3466" si="11167">D3451</f>
        <v>1</v>
      </c>
      <c r="Z3466" s="400" t="s">
        <v>176</v>
      </c>
      <c r="AA3466" s="402">
        <f t="shared" si="11163"/>
        <v>8.2549350000000015</v>
      </c>
      <c r="AB3466" s="403"/>
    </row>
    <row r="3467" spans="1:28">
      <c r="A3467" s="384" t="str">
        <f t="shared" ref="A3467:B3467" si="11168">A3445</f>
        <v>Lantai 2</v>
      </c>
      <c r="B3467" s="385">
        <f t="shared" si="11168"/>
        <v>28</v>
      </c>
      <c r="C3467" s="393" t="s">
        <v>211</v>
      </c>
      <c r="D3467" s="398">
        <f>VLOOKUP(D3445,'Detail Balok'!$C$10:$AU$140,41,FALSE)</f>
        <v>0</v>
      </c>
      <c r="E3467" s="388" t="s">
        <v>16</v>
      </c>
      <c r="F3467" s="388">
        <f>VLOOKUP(D3445,'Detail Balok'!$C$10:$AU$140,43,FALSE)</f>
        <v>10</v>
      </c>
      <c r="G3467" s="405" t="s">
        <v>157</v>
      </c>
      <c r="H3467" s="395">
        <f>VLOOKUP(D3445,'Detail Balok'!$C$10:$AU$140,45,FALSE)</f>
        <v>100</v>
      </c>
      <c r="I3467" s="388"/>
      <c r="J3467" s="400">
        <f t="shared" ref="J3467" si="11169">(IF(D3467=0,(2*(D3446+G3446))-(F$5*8),IF(D3467=3,(2*(D3446+G3446))-(F$5*8)+(G3446-2*F$5),IF(D3467=4,(2*(D3446+G3446))-(F$5*8)+2*(G3446-2*F$5)))))/1000</f>
        <v>0.88</v>
      </c>
      <c r="K3467" s="400" t="s">
        <v>204</v>
      </c>
      <c r="L3467" s="399">
        <f t="shared" si="11158"/>
        <v>0.15</v>
      </c>
      <c r="M3467" s="399" t="s">
        <v>176</v>
      </c>
      <c r="N3467" s="399">
        <f t="shared" si="11159"/>
        <v>1.03</v>
      </c>
      <c r="O3467" s="399"/>
      <c r="P3467" s="389"/>
      <c r="Q3467" s="399"/>
      <c r="R3467" s="399"/>
      <c r="S3467" s="399"/>
      <c r="T3467" s="399" t="s">
        <v>125</v>
      </c>
      <c r="U3467" s="401">
        <f t="shared" si="11160"/>
        <v>0.61650000000000005</v>
      </c>
      <c r="V3467" s="399" t="s">
        <v>125</v>
      </c>
      <c r="W3467" s="399">
        <f t="shared" ref="W3467" si="11170">IF(D3448&gt;4*G3446,ROUND(MAX(D3448/4,2*G3446)/H3467,0)+1,0)</f>
        <v>14</v>
      </c>
      <c r="X3467" s="399" t="s">
        <v>125</v>
      </c>
      <c r="Y3467" s="389">
        <f t="shared" ref="Y3467" si="11171">D3451</f>
        <v>1</v>
      </c>
      <c r="Z3467" s="400" t="s">
        <v>176</v>
      </c>
      <c r="AA3467" s="402">
        <f t="shared" si="11163"/>
        <v>8.8899300000000014</v>
      </c>
      <c r="AB3467" s="403"/>
    </row>
    <row r="3468" spans="1:28">
      <c r="A3468" s="384"/>
      <c r="B3468" s="385"/>
      <c r="C3468" s="393"/>
      <c r="D3468" s="394"/>
      <c r="E3468" s="388"/>
      <c r="F3468" s="388"/>
      <c r="G3468" s="388"/>
      <c r="H3468" s="395"/>
      <c r="I3468" s="388"/>
      <c r="J3468" s="399"/>
      <c r="K3468" s="396"/>
      <c r="L3468" s="396"/>
      <c r="M3468" s="396"/>
      <c r="N3468" s="396"/>
      <c r="O3468" s="396"/>
      <c r="P3468" s="389"/>
      <c r="Q3468" s="396"/>
      <c r="R3468" s="396"/>
      <c r="S3468" s="396"/>
      <c r="T3468" s="396"/>
      <c r="U3468" s="401"/>
      <c r="V3468" s="396"/>
      <c r="W3468" s="388"/>
      <c r="X3468" s="396"/>
      <c r="Y3468" s="389"/>
      <c r="Z3468" s="396"/>
      <c r="AA3468" s="388"/>
      <c r="AB3468" s="390"/>
    </row>
    <row r="3469" spans="1:28">
      <c r="A3469" s="384" t="str">
        <f t="shared" ref="A3469:B3469" si="11172">A3445</f>
        <v>Lantai 2</v>
      </c>
      <c r="B3469" s="385">
        <f t="shared" si="11172"/>
        <v>28</v>
      </c>
      <c r="C3469" s="393" t="s">
        <v>213</v>
      </c>
      <c r="D3469" s="398">
        <f>VLOOKUP(D3445,'Detail Balok'!$C$10:$BJ$140,46,FALSE)</f>
        <v>0</v>
      </c>
      <c r="E3469" s="388" t="s">
        <v>16</v>
      </c>
      <c r="F3469" s="388">
        <f>VLOOKUP(D3445,'Detail Balok'!$C$10:$BJ$140,48,FALSE)</f>
        <v>0</v>
      </c>
      <c r="G3469" s="405" t="s">
        <v>157</v>
      </c>
      <c r="H3469" s="395">
        <f>VLOOKUP(D3445,'Detail Balok'!$C$10:$BJ$140,50,FALSE)</f>
        <v>100</v>
      </c>
      <c r="I3469" s="388"/>
      <c r="J3469" s="399">
        <f t="shared" ref="J3469" si="11173">(D3446-2*F$5)/1000</f>
        <v>0.12</v>
      </c>
      <c r="K3469" s="400" t="s">
        <v>204</v>
      </c>
      <c r="L3469" s="399">
        <f t="shared" ref="L3469:L3471" si="11174">IF(D3469=0,2*MAX(6*F3469,75),(D3469-1)*2*MAX(6*F3469,75))/1000</f>
        <v>0.15</v>
      </c>
      <c r="M3469" s="399" t="s">
        <v>176</v>
      </c>
      <c r="N3469" s="399">
        <f t="shared" ref="N3469:N3471" si="11175">J3469+L3469</f>
        <v>0.27</v>
      </c>
      <c r="O3469" s="399"/>
      <c r="P3469" s="399"/>
      <c r="Q3469" s="399"/>
      <c r="R3469" s="399"/>
      <c r="S3469" s="399"/>
      <c r="T3469" s="399" t="s">
        <v>125</v>
      </c>
      <c r="U3469" s="401">
        <f t="shared" ref="U3469:U3471" si="11176">0.006165*F3469^2</f>
        <v>0</v>
      </c>
      <c r="V3469" s="399" t="s">
        <v>125</v>
      </c>
      <c r="W3469" s="399">
        <f t="shared" si="10988"/>
        <v>14</v>
      </c>
      <c r="X3469" s="399" t="s">
        <v>125</v>
      </c>
      <c r="Y3469" s="389">
        <f t="shared" ref="Y3469" si="11177">D3455</f>
        <v>3</v>
      </c>
      <c r="Z3469" s="400" t="s">
        <v>176</v>
      </c>
      <c r="AA3469" s="402">
        <f t="shared" ref="AA3469:AA3471" si="11178">N3469*U3469*W3469*Y3469</f>
        <v>0</v>
      </c>
      <c r="AB3469" s="403"/>
    </row>
    <row r="3470" spans="1:28">
      <c r="A3470" s="384" t="str">
        <f t="shared" ref="A3470:B3470" si="11179">A3445</f>
        <v>Lantai 2</v>
      </c>
      <c r="B3470" s="385">
        <f t="shared" si="11179"/>
        <v>28</v>
      </c>
      <c r="C3470" s="393" t="s">
        <v>214</v>
      </c>
      <c r="D3470" s="398">
        <f>VLOOKUP(D3445,'Detail Balok'!$C$10:$BJ$140,51,FALSE)</f>
        <v>0</v>
      </c>
      <c r="E3470" s="388" t="s">
        <v>16</v>
      </c>
      <c r="F3470" s="388">
        <f>VLOOKUP(D3445,'Detail Balok'!$C$10:$BJ$140,53,FALSE)</f>
        <v>0</v>
      </c>
      <c r="G3470" s="405" t="s">
        <v>157</v>
      </c>
      <c r="H3470" s="395">
        <f>VLOOKUP(D3445,'Detail Balok'!$C$10:$BJ$140,55,FALSE)</f>
        <v>100</v>
      </c>
      <c r="I3470" s="388"/>
      <c r="J3470" s="399">
        <f t="shared" ref="J3470" si="11180">(D3446-2*F$5)/1000</f>
        <v>0.12</v>
      </c>
      <c r="K3470" s="400" t="s">
        <v>204</v>
      </c>
      <c r="L3470" s="399">
        <f t="shared" si="11174"/>
        <v>0.15</v>
      </c>
      <c r="M3470" s="399" t="s">
        <v>176</v>
      </c>
      <c r="N3470" s="399">
        <f t="shared" si="11175"/>
        <v>0.27</v>
      </c>
      <c r="O3470" s="399"/>
      <c r="P3470" s="399"/>
      <c r="Q3470" s="399"/>
      <c r="R3470" s="399"/>
      <c r="S3470" s="399"/>
      <c r="T3470" s="399" t="s">
        <v>125</v>
      </c>
      <c r="U3470" s="401">
        <f t="shared" si="11176"/>
        <v>0</v>
      </c>
      <c r="V3470" s="399" t="s">
        <v>125</v>
      </c>
      <c r="W3470" s="399">
        <f t="shared" si="10988"/>
        <v>13</v>
      </c>
      <c r="X3470" s="399" t="s">
        <v>125</v>
      </c>
      <c r="Y3470" s="389">
        <f t="shared" ref="Y3470" si="11181">D3455</f>
        <v>3</v>
      </c>
      <c r="Z3470" s="400" t="s">
        <v>176</v>
      </c>
      <c r="AA3470" s="402">
        <f t="shared" si="11178"/>
        <v>0</v>
      </c>
      <c r="AB3470" s="403"/>
    </row>
    <row r="3471" spans="1:28">
      <c r="A3471" s="384" t="str">
        <f t="shared" ref="A3471:B3471" si="11182">A3445</f>
        <v>Lantai 2</v>
      </c>
      <c r="B3471" s="385">
        <f t="shared" si="11182"/>
        <v>28</v>
      </c>
      <c r="C3471" s="393" t="s">
        <v>213</v>
      </c>
      <c r="D3471" s="398">
        <f>VLOOKUP(D3445,'Detail Balok'!$C$10:$BJ$140,56,FALSE)</f>
        <v>0</v>
      </c>
      <c r="E3471" s="388" t="s">
        <v>16</v>
      </c>
      <c r="F3471" s="388">
        <f>VLOOKUP(D3445,'Detail Balok'!$C$10:$BJ$140,58,FALSE)</f>
        <v>0</v>
      </c>
      <c r="G3471" s="405" t="s">
        <v>157</v>
      </c>
      <c r="H3471" s="395">
        <f>VLOOKUP(D3445,'Detail Balok'!$C$10:$BJ$140,60,FALSE)</f>
        <v>100</v>
      </c>
      <c r="I3471" s="388"/>
      <c r="J3471" s="399">
        <f t="shared" ref="J3471" si="11183">(D3446-2*F$5)/1000</f>
        <v>0.12</v>
      </c>
      <c r="K3471" s="400" t="s">
        <v>204</v>
      </c>
      <c r="L3471" s="399">
        <f t="shared" si="11174"/>
        <v>0.15</v>
      </c>
      <c r="M3471" s="399" t="s">
        <v>176</v>
      </c>
      <c r="N3471" s="399">
        <f t="shared" si="11175"/>
        <v>0.27</v>
      </c>
      <c r="O3471" s="399"/>
      <c r="P3471" s="399"/>
      <c r="Q3471" s="399"/>
      <c r="R3471" s="399"/>
      <c r="S3471" s="399"/>
      <c r="T3471" s="399" t="s">
        <v>125</v>
      </c>
      <c r="U3471" s="401">
        <f t="shared" si="11176"/>
        <v>0</v>
      </c>
      <c r="V3471" s="399" t="s">
        <v>125</v>
      </c>
      <c r="W3471" s="399">
        <f t="shared" si="10988"/>
        <v>14</v>
      </c>
      <c r="X3471" s="399" t="s">
        <v>125</v>
      </c>
      <c r="Y3471" s="389">
        <f t="shared" ref="Y3471" si="11184">D3455</f>
        <v>3</v>
      </c>
      <c r="Z3471" s="400" t="s">
        <v>176</v>
      </c>
      <c r="AA3471" s="402">
        <f t="shared" si="11178"/>
        <v>0</v>
      </c>
      <c r="AB3471" s="403"/>
    </row>
    <row r="3472" spans="1:28">
      <c r="A3472" s="391"/>
      <c r="B3472" s="392"/>
      <c r="C3472" s="392"/>
      <c r="D3472" s="394"/>
      <c r="E3472" s="388"/>
      <c r="F3472" s="388"/>
      <c r="G3472" s="388"/>
      <c r="H3472" s="395"/>
      <c r="I3472" s="388"/>
      <c r="J3472" s="402"/>
      <c r="K3472" s="388"/>
      <c r="L3472" s="388"/>
      <c r="M3472" s="388"/>
      <c r="N3472" s="388"/>
      <c r="O3472" s="388"/>
      <c r="P3472" s="388"/>
      <c r="Q3472" s="388"/>
      <c r="R3472" s="388"/>
      <c r="S3472" s="388"/>
      <c r="T3472" s="388"/>
      <c r="U3472" s="388"/>
      <c r="V3472" s="388"/>
      <c r="W3472" s="388"/>
      <c r="X3472" s="388"/>
      <c r="Y3472" s="389"/>
      <c r="Z3472" s="388"/>
      <c r="AA3472" s="402"/>
      <c r="AB3472" s="403"/>
    </row>
    <row r="3473" spans="1:28" ht="15.75" thickBot="1">
      <c r="A3473" s="406"/>
      <c r="B3473" s="407"/>
      <c r="C3473" s="407"/>
      <c r="D3473" s="408"/>
      <c r="E3473" s="409"/>
      <c r="F3473" s="409"/>
      <c r="G3473" s="409"/>
      <c r="H3473" s="410"/>
      <c r="I3473" s="409"/>
      <c r="J3473" s="409"/>
      <c r="K3473" s="409"/>
      <c r="L3473" s="409"/>
      <c r="M3473" s="409"/>
      <c r="N3473" s="409"/>
      <c r="O3473" s="409"/>
      <c r="P3473" s="409"/>
      <c r="Q3473" s="409"/>
      <c r="R3473" s="409"/>
      <c r="S3473" s="409"/>
      <c r="T3473" s="409"/>
      <c r="U3473" s="409"/>
      <c r="V3473" s="409"/>
      <c r="W3473" s="409"/>
      <c r="X3473" s="409"/>
      <c r="Y3473" s="411"/>
      <c r="Z3473" s="409"/>
      <c r="AA3473" s="412"/>
      <c r="AB3473" s="413"/>
    </row>
    <row r="3474" spans="1:28">
      <c r="A3474" s="377"/>
      <c r="B3474" s="378"/>
      <c r="C3474" s="378"/>
      <c r="D3474" s="379"/>
      <c r="E3474" s="380"/>
      <c r="F3474" s="380"/>
      <c r="G3474" s="380"/>
      <c r="H3474" s="381"/>
      <c r="I3474" s="380"/>
      <c r="J3474" s="380"/>
      <c r="K3474" s="380"/>
      <c r="L3474" s="380"/>
      <c r="M3474" s="380"/>
      <c r="N3474" s="380"/>
      <c r="O3474" s="380"/>
      <c r="P3474" s="380"/>
      <c r="Q3474" s="380"/>
      <c r="R3474" s="380"/>
      <c r="S3474" s="380"/>
      <c r="T3474" s="380"/>
      <c r="U3474" s="380"/>
      <c r="V3474" s="380"/>
      <c r="W3474" s="380"/>
      <c r="X3474" s="380"/>
      <c r="Y3474" s="382"/>
      <c r="Z3474" s="380"/>
      <c r="AA3474" s="380"/>
      <c r="AB3474" s="383"/>
    </row>
    <row r="3475" spans="1:28">
      <c r="A3475" s="384" t="str">
        <f t="shared" si="10997"/>
        <v>Lantai 2</v>
      </c>
      <c r="B3475" s="385">
        <f t="shared" si="10998"/>
        <v>29</v>
      </c>
      <c r="C3475" s="386" t="str">
        <f t="shared" ref="C3475" si="11185">CONCATENATE(A3475," no. ",B3475)</f>
        <v>Lantai 2 no. 29</v>
      </c>
      <c r="D3475" s="2562" t="str">
        <f>VLOOKUP(C3475,'Data Panjang Balok'!$C$9:$N$254,2,FALSE)</f>
        <v>B23-1</v>
      </c>
      <c r="E3475" s="2576"/>
      <c r="F3475" s="2576"/>
      <c r="G3475" s="2576"/>
      <c r="H3475" s="2577"/>
      <c r="I3475" s="387"/>
      <c r="J3475" s="388"/>
      <c r="K3475" s="388"/>
      <c r="L3475" s="388"/>
      <c r="M3475" s="388"/>
      <c r="N3475" s="388"/>
      <c r="O3475" s="388"/>
      <c r="P3475" s="388"/>
      <c r="Q3475" s="388"/>
      <c r="R3475" s="388"/>
      <c r="S3475" s="388"/>
      <c r="T3475" s="388"/>
      <c r="U3475" s="388"/>
      <c r="V3475" s="388"/>
      <c r="W3475" s="388"/>
      <c r="X3475" s="388"/>
      <c r="Y3475" s="389"/>
      <c r="Z3475" s="388"/>
      <c r="AA3475" s="388"/>
      <c r="AB3475" s="390"/>
    </row>
    <row r="3476" spans="1:28">
      <c r="A3476" s="391"/>
      <c r="B3476" s="392"/>
      <c r="C3476" s="393" t="s">
        <v>118</v>
      </c>
      <c r="D3476" s="2578">
        <f>VLOOKUP(D3475,'Detail Balok'!$C$10:$AU$140,2,FALSE)</f>
        <v>200</v>
      </c>
      <c r="E3476" s="2579"/>
      <c r="F3476" s="388" t="s">
        <v>125</v>
      </c>
      <c r="G3476" s="2579">
        <f>VLOOKUP(D3475,'Detail Balok'!$C$10:$AU$140,3,FALSE)</f>
        <v>300</v>
      </c>
      <c r="H3476" s="2580"/>
      <c r="I3476" s="388"/>
      <c r="J3476" s="396"/>
      <c r="K3476" s="396"/>
      <c r="L3476" s="396"/>
      <c r="M3476" s="396"/>
      <c r="N3476" s="396"/>
      <c r="O3476" s="396"/>
      <c r="P3476" s="396"/>
      <c r="Q3476" s="396"/>
      <c r="R3476" s="396"/>
      <c r="S3476" s="396"/>
      <c r="T3476" s="396"/>
      <c r="U3476" s="388"/>
      <c r="V3476" s="396"/>
      <c r="W3476" s="388"/>
      <c r="X3476" s="396"/>
      <c r="Y3476" s="389"/>
      <c r="Z3476" s="396"/>
      <c r="AA3476" s="388"/>
      <c r="AB3476" s="390"/>
    </row>
    <row r="3477" spans="1:28">
      <c r="A3477" s="391"/>
      <c r="B3477" s="392"/>
      <c r="C3477" s="393" t="s">
        <v>198</v>
      </c>
      <c r="D3477" s="2562">
        <f>VLOOKUP(C3475,'Data Panjang Balok'!$C$9:$N$254,4,FALSE)</f>
        <v>3075</v>
      </c>
      <c r="E3477" s="2563"/>
      <c r="F3477" s="2563"/>
      <c r="G3477" s="2563"/>
      <c r="H3477" s="2564"/>
      <c r="I3477" s="397"/>
      <c r="J3477" s="396"/>
      <c r="K3477" s="396"/>
      <c r="L3477" s="396"/>
      <c r="M3477" s="396"/>
      <c r="N3477" s="396"/>
      <c r="O3477" s="396"/>
      <c r="P3477" s="396"/>
      <c r="Q3477" s="396"/>
      <c r="R3477" s="396"/>
      <c r="S3477" s="396"/>
      <c r="T3477" s="396"/>
      <c r="U3477" s="388"/>
      <c r="V3477" s="396"/>
      <c r="W3477" s="388"/>
      <c r="X3477" s="396"/>
      <c r="Y3477" s="389"/>
      <c r="Z3477" s="396"/>
      <c r="AA3477" s="388"/>
      <c r="AB3477" s="390"/>
    </row>
    <row r="3478" spans="1:28">
      <c r="A3478" s="391"/>
      <c r="B3478" s="392"/>
      <c r="C3478" s="393" t="s">
        <v>199</v>
      </c>
      <c r="D3478" s="2562">
        <f>VLOOKUP(C3475,'Data Panjang Balok'!$C$9:$N$254,7,FALSE)</f>
        <v>3075</v>
      </c>
      <c r="E3478" s="2563"/>
      <c r="F3478" s="2563"/>
      <c r="G3478" s="2563"/>
      <c r="H3478" s="2564"/>
      <c r="I3478" s="397"/>
      <c r="J3478" s="396"/>
      <c r="K3478" s="396"/>
      <c r="L3478" s="396"/>
      <c r="M3478" s="396"/>
      <c r="N3478" s="396"/>
      <c r="O3478" s="396"/>
      <c r="P3478" s="396"/>
      <c r="Q3478" s="396"/>
      <c r="R3478" s="396"/>
      <c r="S3478" s="396"/>
      <c r="T3478" s="396"/>
      <c r="U3478" s="388"/>
      <c r="V3478" s="396"/>
      <c r="W3478" s="388"/>
      <c r="X3478" s="396"/>
      <c r="Y3478" s="389"/>
      <c r="Z3478" s="396"/>
      <c r="AA3478" s="388"/>
      <c r="AB3478" s="390"/>
    </row>
    <row r="3479" spans="1:28">
      <c r="A3479" s="391"/>
      <c r="B3479" s="392"/>
      <c r="C3479" s="393" t="s">
        <v>200</v>
      </c>
      <c r="D3479" s="2562">
        <f>VLOOKUP(C3475,'Data Panjang Balok'!$C$9:$N$254,9,FALSE)</f>
        <v>0</v>
      </c>
      <c r="E3479" s="2563"/>
      <c r="F3479" s="2563"/>
      <c r="G3479" s="2563"/>
      <c r="H3479" s="2564"/>
      <c r="I3479" s="397"/>
      <c r="J3479" s="396"/>
      <c r="K3479" s="396"/>
      <c r="L3479" s="396"/>
      <c r="M3479" s="396"/>
      <c r="N3479" s="396"/>
      <c r="O3479" s="396"/>
      <c r="P3479" s="396"/>
      <c r="Q3479" s="396"/>
      <c r="R3479" s="396"/>
      <c r="S3479" s="396"/>
      <c r="T3479" s="396"/>
      <c r="U3479" s="388"/>
      <c r="V3479" s="396"/>
      <c r="W3479" s="388"/>
      <c r="X3479" s="396"/>
      <c r="Y3479" s="389"/>
      <c r="Z3479" s="396"/>
      <c r="AA3479" s="388"/>
      <c r="AB3479" s="390"/>
    </row>
    <row r="3480" spans="1:28">
      <c r="A3480" s="391"/>
      <c r="B3480" s="392"/>
      <c r="C3480" s="393" t="s">
        <v>201</v>
      </c>
      <c r="D3480" s="2562">
        <f>VLOOKUP(C3475,'Data Panjang Balok'!$C$9:$N$254,10,FALSE)</f>
        <v>0</v>
      </c>
      <c r="E3480" s="2563"/>
      <c r="F3480" s="2563"/>
      <c r="G3480" s="2563"/>
      <c r="H3480" s="2564"/>
      <c r="I3480" s="397"/>
      <c r="J3480" s="396"/>
      <c r="K3480" s="396"/>
      <c r="L3480" s="396"/>
      <c r="M3480" s="396"/>
      <c r="N3480" s="396"/>
      <c r="O3480" s="396"/>
      <c r="P3480" s="396"/>
      <c r="Q3480" s="396"/>
      <c r="R3480" s="396"/>
      <c r="S3480" s="396"/>
      <c r="T3480" s="396"/>
      <c r="U3480" s="388"/>
      <c r="V3480" s="396"/>
      <c r="W3480" s="388"/>
      <c r="X3480" s="396"/>
      <c r="Y3480" s="389"/>
      <c r="Z3480" s="396"/>
      <c r="AA3480" s="388"/>
      <c r="AB3480" s="390"/>
    </row>
    <row r="3481" spans="1:28">
      <c r="A3481" s="391"/>
      <c r="B3481" s="392"/>
      <c r="C3481" s="393" t="s">
        <v>48</v>
      </c>
      <c r="D3481" s="2562">
        <f>VLOOKUP(C3475,'Data Panjang Balok'!$C$9:$N$254,3,FALSE)</f>
        <v>1</v>
      </c>
      <c r="E3481" s="2563"/>
      <c r="F3481" s="2563"/>
      <c r="G3481" s="2563"/>
      <c r="H3481" s="2564"/>
      <c r="I3481" s="397"/>
      <c r="J3481" s="396"/>
      <c r="K3481" s="396"/>
      <c r="L3481" s="396"/>
      <c r="M3481" s="396"/>
      <c r="N3481" s="396"/>
      <c r="O3481" s="396"/>
      <c r="P3481" s="396"/>
      <c r="Q3481" s="396"/>
      <c r="R3481" s="396"/>
      <c r="S3481" s="396"/>
      <c r="T3481" s="396"/>
      <c r="U3481" s="388"/>
      <c r="V3481" s="396"/>
      <c r="W3481" s="388"/>
      <c r="X3481" s="396"/>
      <c r="Y3481" s="389"/>
      <c r="Z3481" s="396"/>
      <c r="AA3481" s="388"/>
      <c r="AB3481" s="390"/>
    </row>
    <row r="3482" spans="1:28">
      <c r="A3482" s="384" t="str">
        <f t="shared" ref="A3482:B3482" si="11186">A3475</f>
        <v>Lantai 2</v>
      </c>
      <c r="B3482" s="385">
        <f t="shared" si="11186"/>
        <v>29</v>
      </c>
      <c r="C3482" s="393" t="s">
        <v>202</v>
      </c>
      <c r="D3482" s="398">
        <f>VLOOKUP(D3475,'Detail Balok'!$C$10:$AU$140,4,FALSE)</f>
        <v>3</v>
      </c>
      <c r="E3482" s="388" t="s">
        <v>16</v>
      </c>
      <c r="F3482" s="388">
        <f>VLOOKUP(D3475,'Detail Balok'!$C$10:$AU$140,6,FALSE)</f>
        <v>13</v>
      </c>
      <c r="G3482" s="388"/>
      <c r="H3482" s="395"/>
      <c r="I3482" s="388" t="s">
        <v>203</v>
      </c>
      <c r="J3482" s="399">
        <f t="shared" ref="J3482" si="11187">+D3477/4/1000</f>
        <v>0.76875000000000004</v>
      </c>
      <c r="K3482" s="400" t="s">
        <v>204</v>
      </c>
      <c r="L3482" s="399">
        <f t="shared" ref="L3482" si="11188">MAX(VLOOKUP(F3482,N$6:P$15,3,FALSE)/1000,2/3*D3479/1000)+F$16*F3482/1000</f>
        <v>0.156</v>
      </c>
      <c r="M3482" s="399" t="s">
        <v>176</v>
      </c>
      <c r="N3482" s="399">
        <f t="shared" ref="N3482:N3484" si="11189">J3482+L3482</f>
        <v>0.92475000000000007</v>
      </c>
      <c r="O3482" s="399" t="s">
        <v>204</v>
      </c>
      <c r="P3482" s="389">
        <f t="shared" ref="P3482" si="11190">D3482-D3483</f>
        <v>0</v>
      </c>
      <c r="Q3482" s="399" t="s">
        <v>125</v>
      </c>
      <c r="R3482" s="399">
        <f t="shared" ref="R3482" si="11191">IF(P3482&gt;0,$F$18*F3482/1000,0)</f>
        <v>0</v>
      </c>
      <c r="S3482" s="399" t="s">
        <v>205</v>
      </c>
      <c r="T3482" s="399" t="s">
        <v>125</v>
      </c>
      <c r="U3482" s="401">
        <f t="shared" ref="U3482:U3484" si="11192">0.006165*F3482^2</f>
        <v>1.041885</v>
      </c>
      <c r="V3482" s="399"/>
      <c r="W3482" s="399"/>
      <c r="X3482" s="399" t="s">
        <v>125</v>
      </c>
      <c r="Y3482" s="389">
        <f t="shared" ref="Y3482" si="11193">D3481</f>
        <v>1</v>
      </c>
      <c r="Z3482" s="400" t="s">
        <v>176</v>
      </c>
      <c r="AA3482" s="402">
        <f t="shared" ref="AA3482" si="11194">IF(AA3485=0,(D3482*N3482+P3482*R3482)*U3482*Y3482,0)</f>
        <v>0</v>
      </c>
      <c r="AB3482" s="403"/>
    </row>
    <row r="3483" spans="1:28">
      <c r="A3483" s="384" t="str">
        <f t="shared" ref="A3483:B3483" si="11195">A3475</f>
        <v>Lantai 2</v>
      </c>
      <c r="B3483" s="385">
        <f t="shared" si="11195"/>
        <v>29</v>
      </c>
      <c r="C3483" s="393" t="s">
        <v>206</v>
      </c>
      <c r="D3483" s="398">
        <f>VLOOKUP(D3475,'Detail Balok'!$C$10:$AU$140,7,FALSE)</f>
        <v>3</v>
      </c>
      <c r="E3483" s="388" t="s">
        <v>16</v>
      </c>
      <c r="F3483" s="388">
        <f>VLOOKUP(D3475,'Detail Balok'!$C$10:$AU$140,9,FALSE)</f>
        <v>13</v>
      </c>
      <c r="G3483" s="388"/>
      <c r="H3483" s="395"/>
      <c r="I3483" s="388" t="s">
        <v>203</v>
      </c>
      <c r="J3483" s="399">
        <f t="shared" ref="J3483" si="11196">+D3477/2/1000</f>
        <v>1.5375000000000001</v>
      </c>
      <c r="K3483" s="400" t="s">
        <v>204</v>
      </c>
      <c r="L3483" s="399"/>
      <c r="M3483" s="399" t="s">
        <v>176</v>
      </c>
      <c r="N3483" s="399">
        <f t="shared" si="11189"/>
        <v>1.5375000000000001</v>
      </c>
      <c r="O3483" s="399" t="s">
        <v>204</v>
      </c>
      <c r="P3483" s="389">
        <f t="shared" ref="P3483" si="11197">MAX(D3483-D3482,D3483-D3484)</f>
        <v>0</v>
      </c>
      <c r="Q3483" s="399" t="s">
        <v>125</v>
      </c>
      <c r="R3483" s="399">
        <f t="shared" ref="R3483" si="11198">IF(P3483&gt;0,2*(1-2*$F$19-1/2)*D3478/1000,0)</f>
        <v>0</v>
      </c>
      <c r="S3483" s="399" t="s">
        <v>205</v>
      </c>
      <c r="T3483" s="399" t="s">
        <v>125</v>
      </c>
      <c r="U3483" s="401">
        <f t="shared" si="11192"/>
        <v>1.041885</v>
      </c>
      <c r="V3483" s="399"/>
      <c r="W3483" s="399"/>
      <c r="X3483" s="399" t="s">
        <v>125</v>
      </c>
      <c r="Y3483" s="389">
        <f t="shared" ref="Y3483" si="11199">D3481</f>
        <v>1</v>
      </c>
      <c r="Z3483" s="400" t="s">
        <v>176</v>
      </c>
      <c r="AA3483" s="402">
        <f t="shared" ref="AA3483" si="11200">IF(AA3485=0,(D3483*N3483+P3483*R3483)*U3483*Y3483,0)</f>
        <v>0</v>
      </c>
      <c r="AB3483" s="403"/>
    </row>
    <row r="3484" spans="1:28">
      <c r="A3484" s="384" t="str">
        <f t="shared" ref="A3484:B3484" si="11201">A3475</f>
        <v>Lantai 2</v>
      </c>
      <c r="B3484" s="385">
        <f t="shared" si="11201"/>
        <v>29</v>
      </c>
      <c r="C3484" s="393" t="s">
        <v>202</v>
      </c>
      <c r="D3484" s="398">
        <f>VLOOKUP(D3475,'Detail Balok'!$C$10:$AU$140,10,FALSE)</f>
        <v>3</v>
      </c>
      <c r="E3484" s="388" t="s">
        <v>16</v>
      </c>
      <c r="F3484" s="388">
        <f>VLOOKUP(D3475,'Detail Balok'!$C$10:$AU$140,12,FALSE)</f>
        <v>13</v>
      </c>
      <c r="G3484" s="388"/>
      <c r="H3484" s="395"/>
      <c r="I3484" s="388" t="s">
        <v>203</v>
      </c>
      <c r="J3484" s="399">
        <f t="shared" ref="J3484" si="11202">+D3477/4/1000</f>
        <v>0.76875000000000004</v>
      </c>
      <c r="K3484" s="400" t="s">
        <v>204</v>
      </c>
      <c r="L3484" s="399">
        <f t="shared" ref="L3484" si="11203">MAX(VLOOKUP(F3484,N$6:P$15,3,FALSE)/1000,2/3*D3479/1000)+F$16*F3484/1000</f>
        <v>0.156</v>
      </c>
      <c r="M3484" s="399" t="s">
        <v>176</v>
      </c>
      <c r="N3484" s="399">
        <f t="shared" si="11189"/>
        <v>0.92475000000000007</v>
      </c>
      <c r="O3484" s="399" t="s">
        <v>204</v>
      </c>
      <c r="P3484" s="389">
        <f t="shared" ref="P3484" si="11204">D3484-D3483</f>
        <v>0</v>
      </c>
      <c r="Q3484" s="399" t="s">
        <v>125</v>
      </c>
      <c r="R3484" s="399">
        <f t="shared" ref="R3484" si="11205">IF(P3484&gt;0,$F$18*F3484/1000,0)</f>
        <v>0</v>
      </c>
      <c r="S3484" s="399" t="s">
        <v>205</v>
      </c>
      <c r="T3484" s="399" t="s">
        <v>125</v>
      </c>
      <c r="U3484" s="401">
        <f t="shared" si="11192"/>
        <v>1.041885</v>
      </c>
      <c r="V3484" s="399"/>
      <c r="W3484" s="399"/>
      <c r="X3484" s="399" t="s">
        <v>125</v>
      </c>
      <c r="Y3484" s="389">
        <f t="shared" ref="Y3484" si="11206">D3481</f>
        <v>1</v>
      </c>
      <c r="Z3484" s="400" t="s">
        <v>176</v>
      </c>
      <c r="AA3484" s="402">
        <f t="shared" ref="AA3484" si="11207">IF(AA3485=0,(D3484*N3484+P3484*R3484)*U3484*Y3484,0)</f>
        <v>0</v>
      </c>
      <c r="AB3484" s="403"/>
    </row>
    <row r="3485" spans="1:28">
      <c r="A3485" s="384" t="str">
        <f t="shared" ref="A3485:B3485" si="11208">A3475</f>
        <v>Lantai 2</v>
      </c>
      <c r="B3485" s="385">
        <f t="shared" si="11208"/>
        <v>29</v>
      </c>
      <c r="C3485" s="393"/>
      <c r="D3485" s="398">
        <f t="shared" ref="D3485:D3545" si="11209">IF(AND(D3482=D3483,D3483=D3484,D3482=D3484),D3482,0)</f>
        <v>3</v>
      </c>
      <c r="E3485" s="388" t="s">
        <v>16</v>
      </c>
      <c r="F3485" s="388">
        <f t="shared" ref="F3485:F3545" si="11210">IF(AND(F3482=F3483,F3482=F3484,F3483=F3484),F3482,0)</f>
        <v>13</v>
      </c>
      <c r="G3485" s="388"/>
      <c r="H3485" s="395"/>
      <c r="I3485" s="388"/>
      <c r="J3485" s="396"/>
      <c r="K3485" s="396"/>
      <c r="L3485" s="404" t="s">
        <v>207</v>
      </c>
      <c r="M3485" s="399" t="s">
        <v>176</v>
      </c>
      <c r="N3485" s="399">
        <f t="shared" ref="N3485" si="11211">IF(AND(D3482=D3483,D3482=D3484,D3483=D3484,F3482=F3483,F3482=F3484,F3483=F3484),SUM(N3482:N3484),0)</f>
        <v>3.387</v>
      </c>
      <c r="O3485" s="399" t="s">
        <v>204</v>
      </c>
      <c r="P3485" s="389">
        <f t="shared" ref="P3485" si="11212">IF(N3485&gt;12,ROUNDDOWN(N3485/12,0),0)</f>
        <v>0</v>
      </c>
      <c r="Q3485" s="399" t="s">
        <v>125</v>
      </c>
      <c r="R3485" s="399">
        <f t="shared" ref="R3485" si="11213">IF(P3485&gt;0,MAX(VLOOKUP(F3485,$D$6:$G$15,3,FALSE),600),0)/1000</f>
        <v>0</v>
      </c>
      <c r="S3485" s="396"/>
      <c r="T3485" s="396" t="s">
        <v>125</v>
      </c>
      <c r="U3485" s="401">
        <f t="shared" ref="U3485:U3545" si="11214">U3484</f>
        <v>1.041885</v>
      </c>
      <c r="V3485" s="396" t="s">
        <v>125</v>
      </c>
      <c r="W3485" s="399">
        <f t="shared" ref="W3485" si="11215">D3485</f>
        <v>3</v>
      </c>
      <c r="X3485" s="399" t="s">
        <v>125</v>
      </c>
      <c r="Y3485" s="389">
        <f t="shared" ref="Y3485:Y3545" si="11216">Y3484</f>
        <v>1</v>
      </c>
      <c r="Z3485" s="400" t="s">
        <v>176</v>
      </c>
      <c r="AA3485" s="402">
        <f t="shared" ref="AA3485" si="11217">(N3485+P3485*R3485/1000)*U3485*W3485*Y3485</f>
        <v>10.586593484999998</v>
      </c>
      <c r="AB3485" s="390"/>
    </row>
    <row r="3486" spans="1:28">
      <c r="A3486" s="384"/>
      <c r="B3486" s="385"/>
      <c r="C3486" s="393"/>
      <c r="D3486" s="398"/>
      <c r="E3486" s="388"/>
      <c r="F3486" s="388"/>
      <c r="G3486" s="388"/>
      <c r="H3486" s="395"/>
      <c r="I3486" s="388"/>
      <c r="J3486" s="396"/>
      <c r="K3486" s="396"/>
      <c r="L3486" s="404"/>
      <c r="M3486" s="399"/>
      <c r="N3486" s="399"/>
      <c r="O3486" s="396"/>
      <c r="P3486" s="389"/>
      <c r="Q3486" s="396"/>
      <c r="R3486" s="396"/>
      <c r="S3486" s="396"/>
      <c r="T3486" s="396"/>
      <c r="U3486" s="401"/>
      <c r="V3486" s="396"/>
      <c r="W3486" s="399"/>
      <c r="X3486" s="396"/>
      <c r="Y3486" s="389"/>
      <c r="Z3486" s="396"/>
      <c r="AA3486" s="388"/>
      <c r="AB3486" s="390"/>
    </row>
    <row r="3487" spans="1:28">
      <c r="A3487" s="384" t="str">
        <f t="shared" ref="A3487:B3487" si="11218">A3475</f>
        <v>Lantai 2</v>
      </c>
      <c r="B3487" s="385">
        <f t="shared" si="11218"/>
        <v>29</v>
      </c>
      <c r="C3487" s="393" t="s">
        <v>208</v>
      </c>
      <c r="D3487" s="398">
        <f>VLOOKUP(D3475,'Detail Balok'!$C$10:$AU$140,13,FALSE)</f>
        <v>0</v>
      </c>
      <c r="E3487" s="388" t="s">
        <v>16</v>
      </c>
      <c r="F3487" s="388">
        <f>VLOOKUP(D3475,'Detail Balok'!$C$10:$AU$140,15,FALSE)</f>
        <v>8</v>
      </c>
      <c r="G3487" s="388"/>
      <c r="H3487" s="395"/>
      <c r="I3487" s="388"/>
      <c r="J3487" s="399">
        <f t="shared" ref="J3487" si="11219">+D3477/1000</f>
        <v>3.0750000000000002</v>
      </c>
      <c r="K3487" s="400" t="s">
        <v>204</v>
      </c>
      <c r="L3487" s="399">
        <f t="shared" ref="L3487" si="11220">2*$F$16*F3487/1000</f>
        <v>0.192</v>
      </c>
      <c r="M3487" s="399" t="s">
        <v>176</v>
      </c>
      <c r="N3487" s="399">
        <f t="shared" ref="N3487" si="11221">J3487+L3487</f>
        <v>3.2670000000000003</v>
      </c>
      <c r="O3487" s="399" t="s">
        <v>204</v>
      </c>
      <c r="P3487" s="389">
        <f t="shared" ref="P3487" si="11222">IF(N3487&gt;12,ROUNDDOWN(N3487/12,0),0)</f>
        <v>0</v>
      </c>
      <c r="Q3487" s="399" t="s">
        <v>125</v>
      </c>
      <c r="R3487" s="399">
        <f t="shared" ref="R3487" si="11223">IF(P3487&gt;0,MAX(VLOOKUP(F3487,$D$6:$G$15,3,FALSE),600),0)/1000</f>
        <v>0</v>
      </c>
      <c r="S3487" s="399"/>
      <c r="T3487" s="399" t="s">
        <v>125</v>
      </c>
      <c r="U3487" s="401">
        <f t="shared" ref="U3487" si="11224">0.006165*F3487^2</f>
        <v>0.39456000000000002</v>
      </c>
      <c r="V3487" s="399" t="s">
        <v>125</v>
      </c>
      <c r="W3487" s="399">
        <f t="shared" ref="W3487" si="11225">+D3487</f>
        <v>0</v>
      </c>
      <c r="X3487" s="399" t="s">
        <v>125</v>
      </c>
      <c r="Y3487" s="389">
        <f t="shared" ref="Y3487" si="11226">D3481</f>
        <v>1</v>
      </c>
      <c r="Z3487" s="400" t="s">
        <v>176</v>
      </c>
      <c r="AA3487" s="402">
        <f t="shared" ref="AA3487" si="11227">(N3487+P3487*R3487/1000)*U3487*W3487*Y3487</f>
        <v>0</v>
      </c>
      <c r="AB3487" s="403"/>
    </row>
    <row r="3488" spans="1:28">
      <c r="A3488" s="384"/>
      <c r="B3488" s="385"/>
      <c r="C3488" s="393"/>
      <c r="D3488" s="398"/>
      <c r="E3488" s="388"/>
      <c r="F3488" s="388"/>
      <c r="G3488" s="388"/>
      <c r="H3488" s="395"/>
      <c r="I3488" s="388"/>
      <c r="J3488" s="399"/>
      <c r="K3488" s="400"/>
      <c r="L3488" s="399"/>
      <c r="M3488" s="399"/>
      <c r="N3488" s="399"/>
      <c r="O3488" s="399"/>
      <c r="P3488" s="389"/>
      <c r="Q3488" s="399"/>
      <c r="R3488" s="399"/>
      <c r="S3488" s="399"/>
      <c r="T3488" s="399"/>
      <c r="U3488" s="401"/>
      <c r="V3488" s="399"/>
      <c r="W3488" s="399"/>
      <c r="X3488" s="399"/>
      <c r="Y3488" s="389"/>
      <c r="Z3488" s="400"/>
      <c r="AA3488" s="402"/>
      <c r="AB3488" s="403"/>
    </row>
    <row r="3489" spans="1:28">
      <c r="A3489" s="384"/>
      <c r="B3489" s="385"/>
      <c r="C3489" s="393"/>
      <c r="D3489" s="398"/>
      <c r="E3489" s="388"/>
      <c r="F3489" s="388"/>
      <c r="G3489" s="388"/>
      <c r="H3489" s="395"/>
      <c r="I3489" s="388"/>
      <c r="J3489" s="396"/>
      <c r="K3489" s="396"/>
      <c r="L3489" s="396"/>
      <c r="M3489" s="396"/>
      <c r="N3489" s="396"/>
      <c r="O3489" s="396"/>
      <c r="P3489" s="389"/>
      <c r="Q3489" s="396"/>
      <c r="R3489" s="396"/>
      <c r="S3489" s="396"/>
      <c r="T3489" s="396"/>
      <c r="U3489" s="401"/>
      <c r="V3489" s="396"/>
      <c r="W3489" s="399"/>
      <c r="X3489" s="396"/>
      <c r="Y3489" s="389"/>
      <c r="Z3489" s="396"/>
      <c r="AA3489" s="388"/>
      <c r="AB3489" s="390"/>
    </row>
    <row r="3490" spans="1:28">
      <c r="A3490" s="384" t="str">
        <f t="shared" ref="A3490:B3490" si="11228">A3475</f>
        <v>Lantai 2</v>
      </c>
      <c r="B3490" s="385">
        <f t="shared" si="11228"/>
        <v>29</v>
      </c>
      <c r="C3490" s="393" t="s">
        <v>209</v>
      </c>
      <c r="D3490" s="398">
        <f>VLOOKUP(D3475,'Detail Balok'!$C$10:$AU$140,22,FALSE)</f>
        <v>3</v>
      </c>
      <c r="E3490" s="388" t="s">
        <v>16</v>
      </c>
      <c r="F3490" s="388">
        <f>VLOOKUP(D3475,'Detail Balok'!$C$10:$AU$140,24,FALSE)</f>
        <v>13</v>
      </c>
      <c r="G3490" s="388"/>
      <c r="H3490" s="395"/>
      <c r="I3490" s="388" t="s">
        <v>203</v>
      </c>
      <c r="J3490" s="399">
        <f t="shared" ref="J3490:J3552" si="11229">+J3482</f>
        <v>0.76875000000000004</v>
      </c>
      <c r="K3490" s="400" t="s">
        <v>204</v>
      </c>
      <c r="L3490" s="399">
        <f t="shared" ref="L3490" si="11230">MAX(VLOOKUP(F3490,N$6:P$15,3,FALSE)/1000,2/3*D3480/1000)+F$16*F3490/1000</f>
        <v>0.156</v>
      </c>
      <c r="M3490" s="399" t="s">
        <v>176</v>
      </c>
      <c r="N3490" s="399">
        <f t="shared" ref="N3490:N3492" si="11231">J3490+L3490</f>
        <v>0.92475000000000007</v>
      </c>
      <c r="O3490" s="399" t="s">
        <v>204</v>
      </c>
      <c r="P3490" s="389">
        <f t="shared" ref="P3490" si="11232">D3490-D3491</f>
        <v>0</v>
      </c>
      <c r="Q3490" s="399" t="s">
        <v>125</v>
      </c>
      <c r="R3490" s="399">
        <f t="shared" ref="R3490" si="11233">IF(P3490&gt;0,$F$18*F3490/1000,0)</f>
        <v>0</v>
      </c>
      <c r="S3490" s="399" t="s">
        <v>205</v>
      </c>
      <c r="T3490" s="399" t="s">
        <v>125</v>
      </c>
      <c r="U3490" s="401">
        <f t="shared" ref="U3490:U3492" si="11234">0.006165*F3490^2</f>
        <v>1.041885</v>
      </c>
      <c r="V3490" s="399"/>
      <c r="W3490" s="399"/>
      <c r="X3490" s="399" t="s">
        <v>125</v>
      </c>
      <c r="Y3490" s="389">
        <f t="shared" ref="Y3490" si="11235">D3481</f>
        <v>1</v>
      </c>
      <c r="Z3490" s="400" t="s">
        <v>176</v>
      </c>
      <c r="AA3490" s="402">
        <f t="shared" ref="AA3490" si="11236">IF(AA3493=0,(D3490*N3490+P3490*R3490)*U3490*Y3490,0)</f>
        <v>0</v>
      </c>
      <c r="AB3490" s="403"/>
    </row>
    <row r="3491" spans="1:28">
      <c r="A3491" s="384" t="str">
        <f t="shared" ref="A3491:B3491" si="11237">A3475</f>
        <v>Lantai 2</v>
      </c>
      <c r="B3491" s="385">
        <f t="shared" si="11237"/>
        <v>29</v>
      </c>
      <c r="C3491" s="393" t="s">
        <v>210</v>
      </c>
      <c r="D3491" s="398">
        <f>VLOOKUP(D3475,'Detail Balok'!$C$10:$AU$140,25,FALSE)</f>
        <v>3</v>
      </c>
      <c r="E3491" s="388" t="s">
        <v>16</v>
      </c>
      <c r="F3491" s="388">
        <f>VLOOKUP(D3475,'Detail Balok'!$C$10:$AU$140,27,FALSE)</f>
        <v>13</v>
      </c>
      <c r="G3491" s="388"/>
      <c r="H3491" s="395"/>
      <c r="I3491" s="388" t="s">
        <v>203</v>
      </c>
      <c r="J3491" s="399">
        <f t="shared" si="11229"/>
        <v>1.5375000000000001</v>
      </c>
      <c r="K3491" s="400" t="s">
        <v>204</v>
      </c>
      <c r="L3491" s="399"/>
      <c r="M3491" s="399" t="s">
        <v>176</v>
      </c>
      <c r="N3491" s="399">
        <f t="shared" si="11231"/>
        <v>1.5375000000000001</v>
      </c>
      <c r="O3491" s="399" t="s">
        <v>204</v>
      </c>
      <c r="P3491" s="389">
        <f t="shared" ref="P3491" si="11238">MAX(D3491-D3490,D3491-D3492)</f>
        <v>0</v>
      </c>
      <c r="Q3491" s="399" t="s">
        <v>125</v>
      </c>
      <c r="R3491" s="399">
        <f t="shared" ref="R3491" si="11239">IF(P3491&gt;0,2*(1-2*$F$19-1/2)*D3478/1000,0)</f>
        <v>0</v>
      </c>
      <c r="S3491" s="399" t="s">
        <v>205</v>
      </c>
      <c r="T3491" s="399" t="s">
        <v>125</v>
      </c>
      <c r="U3491" s="401">
        <f t="shared" si="11234"/>
        <v>1.041885</v>
      </c>
      <c r="V3491" s="399"/>
      <c r="W3491" s="399"/>
      <c r="X3491" s="399" t="s">
        <v>125</v>
      </c>
      <c r="Y3491" s="389">
        <f t="shared" ref="Y3491" si="11240">D3481</f>
        <v>1</v>
      </c>
      <c r="Z3491" s="400" t="s">
        <v>176</v>
      </c>
      <c r="AA3491" s="402">
        <f t="shared" ref="AA3491" si="11241">IF(AA3493=0,(D3491*N3491+P3491*R3491)*U3491*Y3491,0)</f>
        <v>0</v>
      </c>
      <c r="AB3491" s="403"/>
    </row>
    <row r="3492" spans="1:28">
      <c r="A3492" s="384" t="str">
        <f t="shared" ref="A3492:B3492" si="11242">A3475</f>
        <v>Lantai 2</v>
      </c>
      <c r="B3492" s="385">
        <f t="shared" si="11242"/>
        <v>29</v>
      </c>
      <c r="C3492" s="393" t="s">
        <v>209</v>
      </c>
      <c r="D3492" s="398">
        <f>VLOOKUP(D3475,'Detail Balok'!$C$10:$AU$140,28,FALSE)</f>
        <v>3</v>
      </c>
      <c r="E3492" s="388" t="s">
        <v>16</v>
      </c>
      <c r="F3492" s="388">
        <f>VLOOKUP(D3475,'Detail Balok'!$C$10:$AU$140,30,FALSE)</f>
        <v>13</v>
      </c>
      <c r="G3492" s="388"/>
      <c r="H3492" s="395"/>
      <c r="I3492" s="388" t="s">
        <v>203</v>
      </c>
      <c r="J3492" s="399">
        <f t="shared" si="11229"/>
        <v>0.76875000000000004</v>
      </c>
      <c r="K3492" s="400" t="s">
        <v>204</v>
      </c>
      <c r="L3492" s="399">
        <f t="shared" ref="L3492" si="11243">MAX(VLOOKUP(F3492,N$6:P$15,3,FALSE)/1000,2/3*D3480/1000)+F$16*F3492/1000</f>
        <v>0.156</v>
      </c>
      <c r="M3492" s="399" t="s">
        <v>176</v>
      </c>
      <c r="N3492" s="399">
        <f t="shared" si="11231"/>
        <v>0.92475000000000007</v>
      </c>
      <c r="O3492" s="399" t="s">
        <v>204</v>
      </c>
      <c r="P3492" s="389">
        <f t="shared" ref="P3492" si="11244">D3492-D3491</f>
        <v>0</v>
      </c>
      <c r="Q3492" s="399" t="s">
        <v>125</v>
      </c>
      <c r="R3492" s="399">
        <f t="shared" ref="R3492" si="11245">IF(P3492&gt;0,$F$18*F3492/1000,0)</f>
        <v>0</v>
      </c>
      <c r="S3492" s="399" t="s">
        <v>205</v>
      </c>
      <c r="T3492" s="399" t="s">
        <v>125</v>
      </c>
      <c r="U3492" s="401">
        <f t="shared" si="11234"/>
        <v>1.041885</v>
      </c>
      <c r="V3492" s="399"/>
      <c r="W3492" s="399"/>
      <c r="X3492" s="399" t="s">
        <v>125</v>
      </c>
      <c r="Y3492" s="389">
        <f t="shared" ref="Y3492" si="11246">D3481</f>
        <v>1</v>
      </c>
      <c r="Z3492" s="400" t="s">
        <v>176</v>
      </c>
      <c r="AA3492" s="402">
        <f t="shared" ref="AA3492" si="11247">IF(AA3493=0,(D3492*N3492+P3492*R3492)*U3492*Y3492,0)</f>
        <v>0</v>
      </c>
      <c r="AB3492" s="403"/>
    </row>
    <row r="3493" spans="1:28">
      <c r="A3493" s="384" t="str">
        <f t="shared" ref="A3493:B3493" si="11248">A3475</f>
        <v>Lantai 2</v>
      </c>
      <c r="B3493" s="385">
        <f t="shared" si="11248"/>
        <v>29</v>
      </c>
      <c r="C3493" s="393"/>
      <c r="D3493" s="398">
        <f t="shared" ref="D3493:D3553" si="11249">IF(AND(D3490=D3491,D3491=D3492,D3490=D3492),D3490,0)</f>
        <v>3</v>
      </c>
      <c r="E3493" s="388" t="s">
        <v>16</v>
      </c>
      <c r="F3493" s="388">
        <f t="shared" ref="F3493:F3553" si="11250">IF(AND(F3490=F3491,F3490=F3492,F3491=F3492),F3490,0)</f>
        <v>13</v>
      </c>
      <c r="G3493" s="388"/>
      <c r="H3493" s="395"/>
      <c r="I3493" s="388"/>
      <c r="J3493" s="396"/>
      <c r="K3493" s="396"/>
      <c r="L3493" s="404" t="s">
        <v>207</v>
      </c>
      <c r="M3493" s="399" t="s">
        <v>176</v>
      </c>
      <c r="N3493" s="399">
        <f t="shared" ref="N3493" si="11251">IF(AND(D3490=D3491,D3490=D3492,D3491=D3492,F3490=F3491,F3490=F3492,F3491=F3492),SUM(N3490:N3492),0)</f>
        <v>3.387</v>
      </c>
      <c r="O3493" s="399" t="s">
        <v>204</v>
      </c>
      <c r="P3493" s="389">
        <f t="shared" ref="P3493" si="11252">IF(N3493&gt;12,ROUNDDOWN(N3493/12,0),0)</f>
        <v>0</v>
      </c>
      <c r="Q3493" s="399" t="s">
        <v>125</v>
      </c>
      <c r="R3493" s="399">
        <f t="shared" ref="R3493" si="11253">IF(P3493&gt;0,MAX(VLOOKUP(F3493,$D$6:$G$15,3,FALSE),600),0)/1000</f>
        <v>0</v>
      </c>
      <c r="S3493" s="396"/>
      <c r="T3493" s="396" t="s">
        <v>125</v>
      </c>
      <c r="U3493" s="401">
        <f t="shared" ref="U3493:U3553" si="11254">U3492</f>
        <v>1.041885</v>
      </c>
      <c r="V3493" s="396" t="s">
        <v>125</v>
      </c>
      <c r="W3493" s="399">
        <f t="shared" ref="W3493" si="11255">D3493</f>
        <v>3</v>
      </c>
      <c r="X3493" s="399" t="s">
        <v>125</v>
      </c>
      <c r="Y3493" s="389">
        <f t="shared" ref="Y3493:Y3553" si="11256">Y3492</f>
        <v>1</v>
      </c>
      <c r="Z3493" s="400" t="s">
        <v>176</v>
      </c>
      <c r="AA3493" s="402">
        <f t="shared" ref="AA3493" si="11257">(N3493+P3493*R3493/1000)*U3493*W3493*Y3493</f>
        <v>10.586593484999998</v>
      </c>
      <c r="AB3493" s="403"/>
    </row>
    <row r="3494" spans="1:28">
      <c r="A3494" s="384"/>
      <c r="B3494" s="385"/>
      <c r="C3494" s="393"/>
      <c r="D3494" s="394"/>
      <c r="E3494" s="388"/>
      <c r="F3494" s="388"/>
      <c r="G3494" s="388"/>
      <c r="H3494" s="395"/>
      <c r="I3494" s="388"/>
      <c r="J3494" s="399"/>
      <c r="K3494" s="396"/>
      <c r="L3494" s="396"/>
      <c r="M3494" s="396"/>
      <c r="N3494" s="396"/>
      <c r="O3494" s="396"/>
      <c r="P3494" s="389"/>
      <c r="Q3494" s="396"/>
      <c r="R3494" s="396"/>
      <c r="S3494" s="396"/>
      <c r="T3494" s="396"/>
      <c r="U3494" s="401"/>
      <c r="V3494" s="396"/>
      <c r="W3494" s="388"/>
      <c r="X3494" s="396"/>
      <c r="Y3494" s="389"/>
      <c r="Z3494" s="396"/>
      <c r="AA3494" s="388"/>
      <c r="AB3494" s="390"/>
    </row>
    <row r="3495" spans="1:28">
      <c r="A3495" s="384" t="str">
        <f t="shared" ref="A3495:B3495" si="11258">A3475</f>
        <v>Lantai 2</v>
      </c>
      <c r="B3495" s="385">
        <f t="shared" si="11258"/>
        <v>29</v>
      </c>
      <c r="C3495" s="393" t="s">
        <v>211</v>
      </c>
      <c r="D3495" s="398">
        <f>VLOOKUP(D3475,'Detail Balok'!$C$10:$AU$140,31,FALSE)</f>
        <v>0</v>
      </c>
      <c r="E3495" s="388" t="s">
        <v>16</v>
      </c>
      <c r="F3495" s="388">
        <f>VLOOKUP(D3475,'Detail Balok'!$C$10:$AU$140,33,FALSE)</f>
        <v>10</v>
      </c>
      <c r="G3495" s="405" t="s">
        <v>157</v>
      </c>
      <c r="H3495" s="395">
        <f>VLOOKUP(D3475,'Detail Balok'!$C$10:$AU$140,35,FALSE)</f>
        <v>100</v>
      </c>
      <c r="I3495" s="388"/>
      <c r="J3495" s="400">
        <f t="shared" ref="J3495" si="11259">(IF(D3495=0,(2*(D3476+G3476))-(F$5*8),IF(D3495=3,(2*(D3476+G3476))-(F$5*8)+(G3476-2*F$5),IF(D3495=4,(2*(D3476+G3476))-(F$5*8)+2*(G3476-2*F$5)))))/1000</f>
        <v>0.68</v>
      </c>
      <c r="K3495" s="400" t="s">
        <v>204</v>
      </c>
      <c r="L3495" s="399">
        <f t="shared" ref="L3495:L3497" si="11260">IF(D3495=0,2*MAX(6*F3495,75),(D3495-1)*2*MAX(6*F3495,75))/1000</f>
        <v>0.15</v>
      </c>
      <c r="M3495" s="399" t="s">
        <v>176</v>
      </c>
      <c r="N3495" s="399">
        <f t="shared" ref="N3495:N3497" si="11261">J3495+L3495</f>
        <v>0.83000000000000007</v>
      </c>
      <c r="O3495" s="399"/>
      <c r="P3495" s="389"/>
      <c r="Q3495" s="399"/>
      <c r="R3495" s="399"/>
      <c r="S3495" s="399"/>
      <c r="T3495" s="399" t="s">
        <v>125</v>
      </c>
      <c r="U3495" s="401">
        <f t="shared" ref="U3495:U3497" si="11262">0.006165*F3495^2</f>
        <v>0.61650000000000005</v>
      </c>
      <c r="V3495" s="399" t="s">
        <v>125</v>
      </c>
      <c r="W3495" s="399">
        <f t="shared" ref="W3495" si="11263">IF(D3478&gt;4*G3476,ROUND(MAX(D3478/4,2*G3476)/H3495,0)+1,ROUND(D3478/H3495,0)+1)</f>
        <v>9</v>
      </c>
      <c r="X3495" s="399" t="s">
        <v>125</v>
      </c>
      <c r="Y3495" s="389">
        <f t="shared" ref="Y3495" si="11264">D3481</f>
        <v>1</v>
      </c>
      <c r="Z3495" s="400" t="s">
        <v>176</v>
      </c>
      <c r="AA3495" s="402">
        <f t="shared" ref="AA3495:AA3497" si="11265">N3495*U3495*W3495*Y3495</f>
        <v>4.6052550000000014</v>
      </c>
      <c r="AB3495" s="403"/>
    </row>
    <row r="3496" spans="1:28">
      <c r="A3496" s="384" t="str">
        <f t="shared" ref="A3496:B3496" si="11266">A3475</f>
        <v>Lantai 2</v>
      </c>
      <c r="B3496" s="385">
        <f t="shared" si="11266"/>
        <v>29</v>
      </c>
      <c r="C3496" s="393" t="s">
        <v>212</v>
      </c>
      <c r="D3496" s="398">
        <f>VLOOKUP(D3475,'Detail Balok'!$C$10:$AU$140,36,FALSE)</f>
        <v>0</v>
      </c>
      <c r="E3496" s="388" t="s">
        <v>16</v>
      </c>
      <c r="F3496" s="388">
        <f>VLOOKUP(D3475,'Detail Balok'!$C$10:$AU$140,38,FALSE)</f>
        <v>10</v>
      </c>
      <c r="G3496" s="405" t="s">
        <v>157</v>
      </c>
      <c r="H3496" s="395">
        <f>VLOOKUP(D3475,'Detail Balok'!$C$10:$AU$140,40,FALSE)</f>
        <v>200</v>
      </c>
      <c r="I3496" s="388"/>
      <c r="J3496" s="400">
        <f t="shared" ref="J3496" si="11267">(IF(D3496=0,(2*(D3476+G3476))-(F$5*8),IF(D3496=3,(2*(D3476+G3476))-(F$5*8)+(G3476-2*F$5),IF(D3496=4,(2*(D3476+G3476))-(F$5*8)+2*(G3476-2*F$5)))))/1000</f>
        <v>0.68</v>
      </c>
      <c r="K3496" s="400" t="s">
        <v>204</v>
      </c>
      <c r="L3496" s="399">
        <f t="shared" si="11260"/>
        <v>0.15</v>
      </c>
      <c r="M3496" s="399" t="s">
        <v>176</v>
      </c>
      <c r="N3496" s="399">
        <f t="shared" si="11261"/>
        <v>0.83000000000000007</v>
      </c>
      <c r="O3496" s="399"/>
      <c r="P3496" s="389"/>
      <c r="Q3496" s="399"/>
      <c r="R3496" s="399"/>
      <c r="S3496" s="399"/>
      <c r="T3496" s="399" t="s">
        <v>125</v>
      </c>
      <c r="U3496" s="401">
        <f t="shared" si="11262"/>
        <v>0.61650000000000005</v>
      </c>
      <c r="V3496" s="399" t="s">
        <v>125</v>
      </c>
      <c r="W3496" s="399">
        <f t="shared" ref="W3496" si="11268">IF(D3478-MAX(D3478/4,2*G3476)*2&gt;0,ROUND((D3478-MAX(D3478/4,2*G3476)*2)/H3496,0),0)</f>
        <v>8</v>
      </c>
      <c r="X3496" s="399" t="s">
        <v>125</v>
      </c>
      <c r="Y3496" s="389">
        <f t="shared" ref="Y3496" si="11269">D3481</f>
        <v>1</v>
      </c>
      <c r="Z3496" s="400" t="s">
        <v>176</v>
      </c>
      <c r="AA3496" s="402">
        <f t="shared" si="11265"/>
        <v>4.093560000000001</v>
      </c>
      <c r="AB3496" s="403"/>
    </row>
    <row r="3497" spans="1:28">
      <c r="A3497" s="384" t="str">
        <f t="shared" ref="A3497:B3497" si="11270">A3475</f>
        <v>Lantai 2</v>
      </c>
      <c r="B3497" s="385">
        <f t="shared" si="11270"/>
        <v>29</v>
      </c>
      <c r="C3497" s="393" t="s">
        <v>211</v>
      </c>
      <c r="D3497" s="398">
        <f>VLOOKUP(D3475,'Detail Balok'!$C$10:$AU$140,41,FALSE)</f>
        <v>0</v>
      </c>
      <c r="E3497" s="388" t="s">
        <v>16</v>
      </c>
      <c r="F3497" s="388">
        <f>VLOOKUP(D3475,'Detail Balok'!$C$10:$AU$140,43,FALSE)</f>
        <v>10</v>
      </c>
      <c r="G3497" s="405" t="s">
        <v>157</v>
      </c>
      <c r="H3497" s="395">
        <f>VLOOKUP(D3475,'Detail Balok'!$C$10:$AU$140,45,FALSE)</f>
        <v>100</v>
      </c>
      <c r="I3497" s="388"/>
      <c r="J3497" s="400">
        <f t="shared" ref="J3497" si="11271">(IF(D3497=0,(2*(D3476+G3476))-(F$5*8),IF(D3497=3,(2*(D3476+G3476))-(F$5*8)+(G3476-2*F$5),IF(D3497=4,(2*(D3476+G3476))-(F$5*8)+2*(G3476-2*F$5)))))/1000</f>
        <v>0.68</v>
      </c>
      <c r="K3497" s="400" t="s">
        <v>204</v>
      </c>
      <c r="L3497" s="399">
        <f t="shared" si="11260"/>
        <v>0.15</v>
      </c>
      <c r="M3497" s="399" t="s">
        <v>176</v>
      </c>
      <c r="N3497" s="399">
        <f t="shared" si="11261"/>
        <v>0.83000000000000007</v>
      </c>
      <c r="O3497" s="399"/>
      <c r="P3497" s="389"/>
      <c r="Q3497" s="399"/>
      <c r="R3497" s="399"/>
      <c r="S3497" s="399"/>
      <c r="T3497" s="399" t="s">
        <v>125</v>
      </c>
      <c r="U3497" s="401">
        <f t="shared" si="11262"/>
        <v>0.61650000000000005</v>
      </c>
      <c r="V3497" s="399" t="s">
        <v>125</v>
      </c>
      <c r="W3497" s="399">
        <f t="shared" ref="W3497" si="11272">IF(D3478&gt;4*G3476,ROUND(MAX(D3478/4,2*G3476)/H3497,0)+1,0)</f>
        <v>9</v>
      </c>
      <c r="X3497" s="399" t="s">
        <v>125</v>
      </c>
      <c r="Y3497" s="389">
        <f t="shared" ref="Y3497" si="11273">D3481</f>
        <v>1</v>
      </c>
      <c r="Z3497" s="400" t="s">
        <v>176</v>
      </c>
      <c r="AA3497" s="402">
        <f t="shared" si="11265"/>
        <v>4.6052550000000014</v>
      </c>
      <c r="AB3497" s="403"/>
    </row>
    <row r="3498" spans="1:28">
      <c r="A3498" s="384"/>
      <c r="B3498" s="385"/>
      <c r="C3498" s="393"/>
      <c r="D3498" s="394"/>
      <c r="E3498" s="388"/>
      <c r="F3498" s="388"/>
      <c r="G3498" s="388"/>
      <c r="H3498" s="395"/>
      <c r="I3498" s="388"/>
      <c r="J3498" s="399"/>
      <c r="K3498" s="396"/>
      <c r="L3498" s="396"/>
      <c r="M3498" s="396"/>
      <c r="N3498" s="396"/>
      <c r="O3498" s="396"/>
      <c r="P3498" s="389"/>
      <c r="Q3498" s="396"/>
      <c r="R3498" s="396"/>
      <c r="S3498" s="396"/>
      <c r="T3498" s="396"/>
      <c r="U3498" s="401"/>
      <c r="V3498" s="396"/>
      <c r="W3498" s="388"/>
      <c r="X3498" s="396"/>
      <c r="Y3498" s="389"/>
      <c r="Z3498" s="396"/>
      <c r="AA3498" s="388"/>
      <c r="AB3498" s="390"/>
    </row>
    <row r="3499" spans="1:28">
      <c r="A3499" s="384" t="str">
        <f t="shared" ref="A3499:B3499" si="11274">A3475</f>
        <v>Lantai 2</v>
      </c>
      <c r="B3499" s="385">
        <f t="shared" si="11274"/>
        <v>29</v>
      </c>
      <c r="C3499" s="393" t="s">
        <v>213</v>
      </c>
      <c r="D3499" s="398">
        <f>VLOOKUP(D3475,'Detail Balok'!$C$10:$BJ$140,46,FALSE)</f>
        <v>0</v>
      </c>
      <c r="E3499" s="388" t="s">
        <v>16</v>
      </c>
      <c r="F3499" s="388">
        <f>VLOOKUP(D3475,'Detail Balok'!$C$10:$BJ$140,48,FALSE)</f>
        <v>0</v>
      </c>
      <c r="G3499" s="405" t="s">
        <v>157</v>
      </c>
      <c r="H3499" s="395">
        <f>VLOOKUP(D3475,'Detail Balok'!$C$10:$BJ$140,50,FALSE)</f>
        <v>100</v>
      </c>
      <c r="I3499" s="388"/>
      <c r="J3499" s="399">
        <f t="shared" ref="J3499" si="11275">(D3476-2*F$5)/1000</f>
        <v>0.12</v>
      </c>
      <c r="K3499" s="400" t="s">
        <v>204</v>
      </c>
      <c r="L3499" s="399">
        <f t="shared" ref="L3499:L3501" si="11276">IF(D3499=0,2*MAX(6*F3499,75),(D3499-1)*2*MAX(6*F3499,75))/1000</f>
        <v>0.15</v>
      </c>
      <c r="M3499" s="399" t="s">
        <v>176</v>
      </c>
      <c r="N3499" s="399">
        <f t="shared" ref="N3499:N3501" si="11277">J3499+L3499</f>
        <v>0.27</v>
      </c>
      <c r="O3499" s="399"/>
      <c r="P3499" s="399"/>
      <c r="Q3499" s="399"/>
      <c r="R3499" s="399"/>
      <c r="S3499" s="399"/>
      <c r="T3499" s="399" t="s">
        <v>125</v>
      </c>
      <c r="U3499" s="401">
        <f t="shared" ref="U3499:U3501" si="11278">0.006165*F3499^2</f>
        <v>0</v>
      </c>
      <c r="V3499" s="399" t="s">
        <v>125</v>
      </c>
      <c r="W3499" s="399">
        <f t="shared" ref="W3499:W3561" si="11279">W3495</f>
        <v>9</v>
      </c>
      <c r="X3499" s="399" t="s">
        <v>125</v>
      </c>
      <c r="Y3499" s="389">
        <f t="shared" ref="Y3499" si="11280">D3485</f>
        <v>3</v>
      </c>
      <c r="Z3499" s="400" t="s">
        <v>176</v>
      </c>
      <c r="AA3499" s="402">
        <f t="shared" ref="AA3499:AA3501" si="11281">N3499*U3499*W3499*Y3499</f>
        <v>0</v>
      </c>
      <c r="AB3499" s="403"/>
    </row>
    <row r="3500" spans="1:28">
      <c r="A3500" s="384" t="str">
        <f t="shared" ref="A3500:B3500" si="11282">A3475</f>
        <v>Lantai 2</v>
      </c>
      <c r="B3500" s="385">
        <f t="shared" si="11282"/>
        <v>29</v>
      </c>
      <c r="C3500" s="393" t="s">
        <v>214</v>
      </c>
      <c r="D3500" s="398">
        <f>VLOOKUP(D3475,'Detail Balok'!$C$10:$BJ$140,51,FALSE)</f>
        <v>0</v>
      </c>
      <c r="E3500" s="388" t="s">
        <v>16</v>
      </c>
      <c r="F3500" s="388">
        <f>VLOOKUP(D3475,'Detail Balok'!$C$10:$BJ$140,53,FALSE)</f>
        <v>0</v>
      </c>
      <c r="G3500" s="405" t="s">
        <v>157</v>
      </c>
      <c r="H3500" s="395">
        <f>VLOOKUP(D3475,'Detail Balok'!$C$10:$BJ$140,55,FALSE)</f>
        <v>100</v>
      </c>
      <c r="I3500" s="388"/>
      <c r="J3500" s="399">
        <f t="shared" ref="J3500" si="11283">(D3476-2*F$5)/1000</f>
        <v>0.12</v>
      </c>
      <c r="K3500" s="400" t="s">
        <v>204</v>
      </c>
      <c r="L3500" s="399">
        <f t="shared" si="11276"/>
        <v>0.15</v>
      </c>
      <c r="M3500" s="399" t="s">
        <v>176</v>
      </c>
      <c r="N3500" s="399">
        <f t="shared" si="11277"/>
        <v>0.27</v>
      </c>
      <c r="O3500" s="399"/>
      <c r="P3500" s="399"/>
      <c r="Q3500" s="399"/>
      <c r="R3500" s="399"/>
      <c r="S3500" s="399"/>
      <c r="T3500" s="399" t="s">
        <v>125</v>
      </c>
      <c r="U3500" s="401">
        <f t="shared" si="11278"/>
        <v>0</v>
      </c>
      <c r="V3500" s="399" t="s">
        <v>125</v>
      </c>
      <c r="W3500" s="399">
        <f t="shared" si="11279"/>
        <v>8</v>
      </c>
      <c r="X3500" s="399" t="s">
        <v>125</v>
      </c>
      <c r="Y3500" s="389">
        <f t="shared" ref="Y3500" si="11284">D3485</f>
        <v>3</v>
      </c>
      <c r="Z3500" s="400" t="s">
        <v>176</v>
      </c>
      <c r="AA3500" s="402">
        <f t="shared" si="11281"/>
        <v>0</v>
      </c>
      <c r="AB3500" s="403"/>
    </row>
    <row r="3501" spans="1:28">
      <c r="A3501" s="384" t="str">
        <f t="shared" ref="A3501:B3501" si="11285">A3475</f>
        <v>Lantai 2</v>
      </c>
      <c r="B3501" s="385">
        <f t="shared" si="11285"/>
        <v>29</v>
      </c>
      <c r="C3501" s="393" t="s">
        <v>213</v>
      </c>
      <c r="D3501" s="398">
        <f>VLOOKUP(D3475,'Detail Balok'!$C$10:$BJ$140,56,FALSE)</f>
        <v>0</v>
      </c>
      <c r="E3501" s="388" t="s">
        <v>16</v>
      </c>
      <c r="F3501" s="388">
        <f>VLOOKUP(D3475,'Detail Balok'!$C$10:$BJ$140,58,FALSE)</f>
        <v>0</v>
      </c>
      <c r="G3501" s="405" t="s">
        <v>157</v>
      </c>
      <c r="H3501" s="395">
        <f>VLOOKUP(D3475,'Detail Balok'!$C$10:$BJ$140,60,FALSE)</f>
        <v>100</v>
      </c>
      <c r="I3501" s="388"/>
      <c r="J3501" s="399">
        <f t="shared" ref="J3501" si="11286">(D3476-2*F$5)/1000</f>
        <v>0.12</v>
      </c>
      <c r="K3501" s="400" t="s">
        <v>204</v>
      </c>
      <c r="L3501" s="399">
        <f t="shared" si="11276"/>
        <v>0.15</v>
      </c>
      <c r="M3501" s="399" t="s">
        <v>176</v>
      </c>
      <c r="N3501" s="399">
        <f t="shared" si="11277"/>
        <v>0.27</v>
      </c>
      <c r="O3501" s="399"/>
      <c r="P3501" s="399"/>
      <c r="Q3501" s="399"/>
      <c r="R3501" s="399"/>
      <c r="S3501" s="399"/>
      <c r="T3501" s="399" t="s">
        <v>125</v>
      </c>
      <c r="U3501" s="401">
        <f t="shared" si="11278"/>
        <v>0</v>
      </c>
      <c r="V3501" s="399" t="s">
        <v>125</v>
      </c>
      <c r="W3501" s="399">
        <f t="shared" si="11279"/>
        <v>9</v>
      </c>
      <c r="X3501" s="399" t="s">
        <v>125</v>
      </c>
      <c r="Y3501" s="389">
        <f t="shared" ref="Y3501" si="11287">D3485</f>
        <v>3</v>
      </c>
      <c r="Z3501" s="400" t="s">
        <v>176</v>
      </c>
      <c r="AA3501" s="402">
        <f t="shared" si="11281"/>
        <v>0</v>
      </c>
      <c r="AB3501" s="403"/>
    </row>
    <row r="3502" spans="1:28">
      <c r="A3502" s="391"/>
      <c r="B3502" s="392"/>
      <c r="C3502" s="392"/>
      <c r="D3502" s="394"/>
      <c r="E3502" s="388"/>
      <c r="F3502" s="388"/>
      <c r="G3502" s="388"/>
      <c r="H3502" s="395"/>
      <c r="I3502" s="388"/>
      <c r="J3502" s="402"/>
      <c r="K3502" s="388"/>
      <c r="L3502" s="388"/>
      <c r="M3502" s="388"/>
      <c r="N3502" s="388"/>
      <c r="O3502" s="388"/>
      <c r="P3502" s="388"/>
      <c r="Q3502" s="388"/>
      <c r="R3502" s="388"/>
      <c r="S3502" s="388"/>
      <c r="T3502" s="388"/>
      <c r="U3502" s="388"/>
      <c r="V3502" s="388"/>
      <c r="W3502" s="388"/>
      <c r="X3502" s="388"/>
      <c r="Y3502" s="389"/>
      <c r="Z3502" s="388"/>
      <c r="AA3502" s="402"/>
      <c r="AB3502" s="403"/>
    </row>
    <row r="3503" spans="1:28" ht="15.75" thickBot="1">
      <c r="A3503" s="406"/>
      <c r="B3503" s="407"/>
      <c r="C3503" s="407"/>
      <c r="D3503" s="408"/>
      <c r="E3503" s="409"/>
      <c r="F3503" s="409"/>
      <c r="G3503" s="409"/>
      <c r="H3503" s="410"/>
      <c r="I3503" s="409"/>
      <c r="J3503" s="409"/>
      <c r="K3503" s="409"/>
      <c r="L3503" s="409"/>
      <c r="M3503" s="409"/>
      <c r="N3503" s="409"/>
      <c r="O3503" s="409"/>
      <c r="P3503" s="409"/>
      <c r="Q3503" s="409"/>
      <c r="R3503" s="409"/>
      <c r="S3503" s="409"/>
      <c r="T3503" s="409"/>
      <c r="U3503" s="409"/>
      <c r="V3503" s="409"/>
      <c r="W3503" s="409"/>
      <c r="X3503" s="409"/>
      <c r="Y3503" s="411"/>
      <c r="Z3503" s="409"/>
      <c r="AA3503" s="412"/>
      <c r="AB3503" s="413"/>
    </row>
    <row r="3504" spans="1:28">
      <c r="A3504" s="377"/>
      <c r="B3504" s="378"/>
      <c r="C3504" s="378"/>
      <c r="D3504" s="379"/>
      <c r="E3504" s="380"/>
      <c r="F3504" s="380"/>
      <c r="G3504" s="380"/>
      <c r="H3504" s="381"/>
      <c r="I3504" s="380"/>
      <c r="J3504" s="380"/>
      <c r="K3504" s="380"/>
      <c r="L3504" s="380"/>
      <c r="M3504" s="380"/>
      <c r="N3504" s="380"/>
      <c r="O3504" s="380"/>
      <c r="P3504" s="380"/>
      <c r="Q3504" s="380"/>
      <c r="R3504" s="380"/>
      <c r="S3504" s="380"/>
      <c r="T3504" s="380"/>
      <c r="U3504" s="380"/>
      <c r="V3504" s="380"/>
      <c r="W3504" s="380"/>
      <c r="X3504" s="380"/>
      <c r="Y3504" s="382"/>
      <c r="Z3504" s="380"/>
      <c r="AA3504" s="380"/>
      <c r="AB3504" s="383"/>
    </row>
    <row r="3505" spans="1:28">
      <c r="A3505" s="384" t="str">
        <f t="shared" ref="A3505:A3565" si="11288">A3475</f>
        <v>Lantai 2</v>
      </c>
      <c r="B3505" s="385">
        <f t="shared" ref="B3505:B3565" si="11289">B3475+1</f>
        <v>30</v>
      </c>
      <c r="C3505" s="386" t="str">
        <f t="shared" ref="C3505" si="11290">CONCATENATE(A3505," no. ",B3505)</f>
        <v>Lantai 2 no. 30</v>
      </c>
      <c r="D3505" s="2562" t="str">
        <f>VLOOKUP(C3505,'Data Panjang Balok'!$C$9:$N$254,2,FALSE)</f>
        <v>B36-1</v>
      </c>
      <c r="E3505" s="2576"/>
      <c r="F3505" s="2576"/>
      <c r="G3505" s="2576"/>
      <c r="H3505" s="2577"/>
      <c r="I3505" s="387"/>
      <c r="J3505" s="388"/>
      <c r="K3505" s="388"/>
      <c r="L3505" s="388"/>
      <c r="M3505" s="388"/>
      <c r="N3505" s="388"/>
      <c r="O3505" s="388"/>
      <c r="P3505" s="388"/>
      <c r="Q3505" s="388"/>
      <c r="R3505" s="388"/>
      <c r="S3505" s="388"/>
      <c r="T3505" s="388"/>
      <c r="U3505" s="388"/>
      <c r="V3505" s="388"/>
      <c r="W3505" s="388"/>
      <c r="X3505" s="388"/>
      <c r="Y3505" s="389"/>
      <c r="Z3505" s="388"/>
      <c r="AA3505" s="388"/>
      <c r="AB3505" s="390"/>
    </row>
    <row r="3506" spans="1:28">
      <c r="A3506" s="391"/>
      <c r="B3506" s="392"/>
      <c r="C3506" s="393" t="s">
        <v>118</v>
      </c>
      <c r="D3506" s="2578">
        <f>VLOOKUP(D3505,'Detail Balok'!$C$10:$AU$140,2,FALSE)</f>
        <v>300</v>
      </c>
      <c r="E3506" s="2579"/>
      <c r="F3506" s="388" t="s">
        <v>125</v>
      </c>
      <c r="G3506" s="2579">
        <f>VLOOKUP(D3505,'Detail Balok'!$C$10:$AU$140,3,FALSE)</f>
        <v>600</v>
      </c>
      <c r="H3506" s="2580"/>
      <c r="I3506" s="388"/>
      <c r="J3506" s="396"/>
      <c r="K3506" s="396"/>
      <c r="L3506" s="396"/>
      <c r="M3506" s="396"/>
      <c r="N3506" s="396"/>
      <c r="O3506" s="396"/>
      <c r="P3506" s="396"/>
      <c r="Q3506" s="396"/>
      <c r="R3506" s="396"/>
      <c r="S3506" s="396"/>
      <c r="T3506" s="396"/>
      <c r="U3506" s="388"/>
      <c r="V3506" s="396"/>
      <c r="W3506" s="388"/>
      <c r="X3506" s="396"/>
      <c r="Y3506" s="389"/>
      <c r="Z3506" s="396"/>
      <c r="AA3506" s="388"/>
      <c r="AB3506" s="390"/>
    </row>
    <row r="3507" spans="1:28">
      <c r="A3507" s="391"/>
      <c r="B3507" s="392"/>
      <c r="C3507" s="393" t="s">
        <v>198</v>
      </c>
      <c r="D3507" s="2562">
        <f>VLOOKUP(C3505,'Data Panjang Balok'!$C$9:$N$254,4,FALSE)</f>
        <v>5585</v>
      </c>
      <c r="E3507" s="2563"/>
      <c r="F3507" s="2563"/>
      <c r="G3507" s="2563"/>
      <c r="H3507" s="2564"/>
      <c r="I3507" s="397"/>
      <c r="J3507" s="396"/>
      <c r="K3507" s="396"/>
      <c r="L3507" s="396"/>
      <c r="M3507" s="396"/>
      <c r="N3507" s="396"/>
      <c r="O3507" s="396"/>
      <c r="P3507" s="396"/>
      <c r="Q3507" s="396"/>
      <c r="R3507" s="396"/>
      <c r="S3507" s="396"/>
      <c r="T3507" s="396"/>
      <c r="U3507" s="388"/>
      <c r="V3507" s="396"/>
      <c r="W3507" s="388"/>
      <c r="X3507" s="396"/>
      <c r="Y3507" s="389"/>
      <c r="Z3507" s="396"/>
      <c r="AA3507" s="388"/>
      <c r="AB3507" s="390"/>
    </row>
    <row r="3508" spans="1:28">
      <c r="A3508" s="391"/>
      <c r="B3508" s="392"/>
      <c r="C3508" s="393" t="s">
        <v>199</v>
      </c>
      <c r="D3508" s="2562">
        <f>VLOOKUP(C3505,'Data Panjang Balok'!$C$9:$N$254,7,FALSE)</f>
        <v>5585</v>
      </c>
      <c r="E3508" s="2563"/>
      <c r="F3508" s="2563"/>
      <c r="G3508" s="2563"/>
      <c r="H3508" s="2564"/>
      <c r="I3508" s="397"/>
      <c r="J3508" s="396"/>
      <c r="K3508" s="396"/>
      <c r="L3508" s="396"/>
      <c r="M3508" s="396"/>
      <c r="N3508" s="396"/>
      <c r="O3508" s="396"/>
      <c r="P3508" s="396"/>
      <c r="Q3508" s="396"/>
      <c r="R3508" s="396"/>
      <c r="S3508" s="396"/>
      <c r="T3508" s="396"/>
      <c r="U3508" s="388"/>
      <c r="V3508" s="396"/>
      <c r="W3508" s="388"/>
      <c r="X3508" s="396"/>
      <c r="Y3508" s="389"/>
      <c r="Z3508" s="396"/>
      <c r="AA3508" s="388"/>
      <c r="AB3508" s="390"/>
    </row>
    <row r="3509" spans="1:28">
      <c r="A3509" s="391"/>
      <c r="B3509" s="392"/>
      <c r="C3509" s="393" t="s">
        <v>200</v>
      </c>
      <c r="D3509" s="2562">
        <f>VLOOKUP(C3505,'Data Panjang Balok'!$C$9:$N$254,9,FALSE)</f>
        <v>0</v>
      </c>
      <c r="E3509" s="2563"/>
      <c r="F3509" s="2563"/>
      <c r="G3509" s="2563"/>
      <c r="H3509" s="2564"/>
      <c r="I3509" s="397"/>
      <c r="J3509" s="396"/>
      <c r="K3509" s="396"/>
      <c r="L3509" s="396"/>
      <c r="M3509" s="396"/>
      <c r="N3509" s="396"/>
      <c r="O3509" s="396"/>
      <c r="P3509" s="396"/>
      <c r="Q3509" s="396"/>
      <c r="R3509" s="396"/>
      <c r="S3509" s="396"/>
      <c r="T3509" s="396"/>
      <c r="U3509" s="388"/>
      <c r="V3509" s="396"/>
      <c r="W3509" s="388"/>
      <c r="X3509" s="396"/>
      <c r="Y3509" s="389"/>
      <c r="Z3509" s="396"/>
      <c r="AA3509" s="388"/>
      <c r="AB3509" s="390"/>
    </row>
    <row r="3510" spans="1:28">
      <c r="A3510" s="391"/>
      <c r="B3510" s="392"/>
      <c r="C3510" s="393" t="s">
        <v>201</v>
      </c>
      <c r="D3510" s="2562">
        <f>VLOOKUP(C3505,'Data Panjang Balok'!$C$9:$N$254,10,FALSE)</f>
        <v>0</v>
      </c>
      <c r="E3510" s="2563"/>
      <c r="F3510" s="2563"/>
      <c r="G3510" s="2563"/>
      <c r="H3510" s="2564"/>
      <c r="I3510" s="397"/>
      <c r="J3510" s="396"/>
      <c r="K3510" s="396"/>
      <c r="L3510" s="396"/>
      <c r="M3510" s="396"/>
      <c r="N3510" s="396"/>
      <c r="O3510" s="396"/>
      <c r="P3510" s="396"/>
      <c r="Q3510" s="396"/>
      <c r="R3510" s="396"/>
      <c r="S3510" s="396"/>
      <c r="T3510" s="396"/>
      <c r="U3510" s="388"/>
      <c r="V3510" s="396"/>
      <c r="W3510" s="388"/>
      <c r="X3510" s="396"/>
      <c r="Y3510" s="389"/>
      <c r="Z3510" s="396"/>
      <c r="AA3510" s="388"/>
      <c r="AB3510" s="390"/>
    </row>
    <row r="3511" spans="1:28">
      <c r="A3511" s="391"/>
      <c r="B3511" s="392"/>
      <c r="C3511" s="393" t="s">
        <v>48</v>
      </c>
      <c r="D3511" s="2562">
        <f>VLOOKUP(C3505,'Data Panjang Balok'!$C$9:$N$254,3,FALSE)</f>
        <v>1</v>
      </c>
      <c r="E3511" s="2563"/>
      <c r="F3511" s="2563"/>
      <c r="G3511" s="2563"/>
      <c r="H3511" s="2564"/>
      <c r="I3511" s="397"/>
      <c r="J3511" s="396"/>
      <c r="K3511" s="396"/>
      <c r="L3511" s="396"/>
      <c r="M3511" s="396"/>
      <c r="N3511" s="396"/>
      <c r="O3511" s="396"/>
      <c r="P3511" s="396"/>
      <c r="Q3511" s="396"/>
      <c r="R3511" s="396"/>
      <c r="S3511" s="396"/>
      <c r="T3511" s="396"/>
      <c r="U3511" s="388"/>
      <c r="V3511" s="396"/>
      <c r="W3511" s="388"/>
      <c r="X3511" s="396"/>
      <c r="Y3511" s="389"/>
      <c r="Z3511" s="396"/>
      <c r="AA3511" s="388"/>
      <c r="AB3511" s="390"/>
    </row>
    <row r="3512" spans="1:28">
      <c r="A3512" s="384" t="str">
        <f t="shared" ref="A3512:B3512" si="11291">A3505</f>
        <v>Lantai 2</v>
      </c>
      <c r="B3512" s="385">
        <f t="shared" si="11291"/>
        <v>30</v>
      </c>
      <c r="C3512" s="393" t="s">
        <v>202</v>
      </c>
      <c r="D3512" s="398">
        <f>VLOOKUP(D3505,'Detail Balok'!$C$10:$AU$140,4,FALSE)</f>
        <v>5</v>
      </c>
      <c r="E3512" s="388" t="s">
        <v>16</v>
      </c>
      <c r="F3512" s="388">
        <f>VLOOKUP(D3505,'Detail Balok'!$C$10:$AU$140,6,FALSE)</f>
        <v>16</v>
      </c>
      <c r="G3512" s="388"/>
      <c r="H3512" s="395"/>
      <c r="I3512" s="388" t="s">
        <v>203</v>
      </c>
      <c r="J3512" s="399">
        <f t="shared" ref="J3512" si="11292">+D3507/4/1000</f>
        <v>1.39625</v>
      </c>
      <c r="K3512" s="400" t="s">
        <v>204</v>
      </c>
      <c r="L3512" s="399">
        <f t="shared" ref="L3512" si="11293">MAX(VLOOKUP(F3512,N$6:P$15,3,FALSE)/1000,2/3*D3509/1000)+F$16*F3512/1000</f>
        <v>0.192</v>
      </c>
      <c r="M3512" s="399" t="s">
        <v>176</v>
      </c>
      <c r="N3512" s="399">
        <f t="shared" ref="N3512:N3514" si="11294">J3512+L3512</f>
        <v>1.5882499999999999</v>
      </c>
      <c r="O3512" s="399" t="s">
        <v>204</v>
      </c>
      <c r="P3512" s="389">
        <f t="shared" ref="P3512" si="11295">D3512-D3513</f>
        <v>0</v>
      </c>
      <c r="Q3512" s="399" t="s">
        <v>125</v>
      </c>
      <c r="R3512" s="399">
        <f t="shared" ref="R3512" si="11296">IF(P3512&gt;0,$F$18*F3512/1000,0)</f>
        <v>0</v>
      </c>
      <c r="S3512" s="399" t="s">
        <v>205</v>
      </c>
      <c r="T3512" s="399" t="s">
        <v>125</v>
      </c>
      <c r="U3512" s="401">
        <f t="shared" ref="U3512:U3514" si="11297">0.006165*F3512^2</f>
        <v>1.5782400000000001</v>
      </c>
      <c r="V3512" s="399"/>
      <c r="W3512" s="399"/>
      <c r="X3512" s="399" t="s">
        <v>125</v>
      </c>
      <c r="Y3512" s="389">
        <f t="shared" ref="Y3512" si="11298">D3511</f>
        <v>1</v>
      </c>
      <c r="Z3512" s="400" t="s">
        <v>176</v>
      </c>
      <c r="AA3512" s="402">
        <f t="shared" ref="AA3512" si="11299">IF(AA3515=0,(D3512*N3512+P3512*R3512)*U3512*Y3512,0)</f>
        <v>0</v>
      </c>
      <c r="AB3512" s="403"/>
    </row>
    <row r="3513" spans="1:28">
      <c r="A3513" s="384" t="str">
        <f t="shared" ref="A3513:B3513" si="11300">A3505</f>
        <v>Lantai 2</v>
      </c>
      <c r="B3513" s="385">
        <f t="shared" si="11300"/>
        <v>30</v>
      </c>
      <c r="C3513" s="393" t="s">
        <v>206</v>
      </c>
      <c r="D3513" s="398">
        <f>VLOOKUP(D3505,'Detail Balok'!$C$10:$AU$140,7,FALSE)</f>
        <v>5</v>
      </c>
      <c r="E3513" s="388" t="s">
        <v>16</v>
      </c>
      <c r="F3513" s="388">
        <f>VLOOKUP(D3505,'Detail Balok'!$C$10:$AU$140,9,FALSE)</f>
        <v>16</v>
      </c>
      <c r="G3513" s="388"/>
      <c r="H3513" s="395"/>
      <c r="I3513" s="388" t="s">
        <v>203</v>
      </c>
      <c r="J3513" s="399">
        <f t="shared" ref="J3513" si="11301">+D3507/2/1000</f>
        <v>2.7925</v>
      </c>
      <c r="K3513" s="400" t="s">
        <v>204</v>
      </c>
      <c r="L3513" s="399"/>
      <c r="M3513" s="399" t="s">
        <v>176</v>
      </c>
      <c r="N3513" s="399">
        <f t="shared" si="11294"/>
        <v>2.7925</v>
      </c>
      <c r="O3513" s="399" t="s">
        <v>204</v>
      </c>
      <c r="P3513" s="389">
        <f t="shared" ref="P3513" si="11302">MAX(D3513-D3512,D3513-D3514)</f>
        <v>0</v>
      </c>
      <c r="Q3513" s="399" t="s">
        <v>125</v>
      </c>
      <c r="R3513" s="399">
        <f t="shared" ref="R3513" si="11303">IF(P3513&gt;0,2*(1-2*$F$19-1/2)*D3508/1000,0)</f>
        <v>0</v>
      </c>
      <c r="S3513" s="399" t="s">
        <v>205</v>
      </c>
      <c r="T3513" s="399" t="s">
        <v>125</v>
      </c>
      <c r="U3513" s="401">
        <f t="shared" si="11297"/>
        <v>1.5782400000000001</v>
      </c>
      <c r="V3513" s="399"/>
      <c r="W3513" s="399"/>
      <c r="X3513" s="399" t="s">
        <v>125</v>
      </c>
      <c r="Y3513" s="389">
        <f t="shared" ref="Y3513" si="11304">D3511</f>
        <v>1</v>
      </c>
      <c r="Z3513" s="400" t="s">
        <v>176</v>
      </c>
      <c r="AA3513" s="402">
        <f t="shared" ref="AA3513" si="11305">IF(AA3515=0,(D3513*N3513+P3513*R3513)*U3513*Y3513,0)</f>
        <v>0</v>
      </c>
      <c r="AB3513" s="403"/>
    </row>
    <row r="3514" spans="1:28">
      <c r="A3514" s="384" t="str">
        <f t="shared" ref="A3514:B3514" si="11306">A3505</f>
        <v>Lantai 2</v>
      </c>
      <c r="B3514" s="385">
        <f t="shared" si="11306"/>
        <v>30</v>
      </c>
      <c r="C3514" s="393" t="s">
        <v>202</v>
      </c>
      <c r="D3514" s="398">
        <f>VLOOKUP(D3505,'Detail Balok'!$C$10:$AU$140,10,FALSE)</f>
        <v>5</v>
      </c>
      <c r="E3514" s="388" t="s">
        <v>16</v>
      </c>
      <c r="F3514" s="388">
        <f>VLOOKUP(D3505,'Detail Balok'!$C$10:$AU$140,12,FALSE)</f>
        <v>16</v>
      </c>
      <c r="G3514" s="388"/>
      <c r="H3514" s="395"/>
      <c r="I3514" s="388" t="s">
        <v>203</v>
      </c>
      <c r="J3514" s="399">
        <f t="shared" ref="J3514" si="11307">+D3507/4/1000</f>
        <v>1.39625</v>
      </c>
      <c r="K3514" s="400" t="s">
        <v>204</v>
      </c>
      <c r="L3514" s="399">
        <f t="shared" ref="L3514" si="11308">MAX(VLOOKUP(F3514,N$6:P$15,3,FALSE)/1000,2/3*D3509/1000)+F$16*F3514/1000</f>
        <v>0.192</v>
      </c>
      <c r="M3514" s="399" t="s">
        <v>176</v>
      </c>
      <c r="N3514" s="399">
        <f t="shared" si="11294"/>
        <v>1.5882499999999999</v>
      </c>
      <c r="O3514" s="399" t="s">
        <v>204</v>
      </c>
      <c r="P3514" s="389">
        <f t="shared" ref="P3514" si="11309">D3514-D3513</f>
        <v>0</v>
      </c>
      <c r="Q3514" s="399" t="s">
        <v>125</v>
      </c>
      <c r="R3514" s="399">
        <f t="shared" ref="R3514" si="11310">IF(P3514&gt;0,$F$18*F3514/1000,0)</f>
        <v>0</v>
      </c>
      <c r="S3514" s="399" t="s">
        <v>205</v>
      </c>
      <c r="T3514" s="399" t="s">
        <v>125</v>
      </c>
      <c r="U3514" s="401">
        <f t="shared" si="11297"/>
        <v>1.5782400000000001</v>
      </c>
      <c r="V3514" s="399"/>
      <c r="W3514" s="399"/>
      <c r="X3514" s="399" t="s">
        <v>125</v>
      </c>
      <c r="Y3514" s="389">
        <f t="shared" ref="Y3514" si="11311">D3511</f>
        <v>1</v>
      </c>
      <c r="Z3514" s="400" t="s">
        <v>176</v>
      </c>
      <c r="AA3514" s="402">
        <f t="shared" ref="AA3514" si="11312">IF(AA3515=0,(D3514*N3514+P3514*R3514)*U3514*Y3514,0)</f>
        <v>0</v>
      </c>
      <c r="AB3514" s="403"/>
    </row>
    <row r="3515" spans="1:28">
      <c r="A3515" s="384" t="str">
        <f t="shared" ref="A3515:B3515" si="11313">A3505</f>
        <v>Lantai 2</v>
      </c>
      <c r="B3515" s="385">
        <f t="shared" si="11313"/>
        <v>30</v>
      </c>
      <c r="C3515" s="393"/>
      <c r="D3515" s="398">
        <f t="shared" si="11209"/>
        <v>5</v>
      </c>
      <c r="E3515" s="388" t="s">
        <v>16</v>
      </c>
      <c r="F3515" s="388">
        <f t="shared" si="11210"/>
        <v>16</v>
      </c>
      <c r="G3515" s="388"/>
      <c r="H3515" s="395"/>
      <c r="I3515" s="388"/>
      <c r="J3515" s="396"/>
      <c r="K3515" s="396"/>
      <c r="L3515" s="404" t="s">
        <v>207</v>
      </c>
      <c r="M3515" s="399" t="s">
        <v>176</v>
      </c>
      <c r="N3515" s="399">
        <f t="shared" ref="N3515" si="11314">IF(AND(D3512=D3513,D3512=D3514,D3513=D3514,F3512=F3513,F3512=F3514,F3513=F3514),SUM(N3512:N3514),0)</f>
        <v>5.9689999999999994</v>
      </c>
      <c r="O3515" s="399" t="s">
        <v>204</v>
      </c>
      <c r="P3515" s="389">
        <f t="shared" ref="P3515" si="11315">IF(N3515&gt;12,ROUNDDOWN(N3515/12,0),0)</f>
        <v>0</v>
      </c>
      <c r="Q3515" s="399" t="s">
        <v>125</v>
      </c>
      <c r="R3515" s="399">
        <f t="shared" ref="R3515" si="11316">IF(P3515&gt;0,MAX(VLOOKUP(F3515,$D$6:$G$15,3,FALSE),600),0)/1000</f>
        <v>0</v>
      </c>
      <c r="S3515" s="396"/>
      <c r="T3515" s="396" t="s">
        <v>125</v>
      </c>
      <c r="U3515" s="401">
        <f t="shared" si="11214"/>
        <v>1.5782400000000001</v>
      </c>
      <c r="V3515" s="396" t="s">
        <v>125</v>
      </c>
      <c r="W3515" s="399">
        <f t="shared" ref="W3515" si="11317">D3515</f>
        <v>5</v>
      </c>
      <c r="X3515" s="399" t="s">
        <v>125</v>
      </c>
      <c r="Y3515" s="389">
        <f t="shared" si="11216"/>
        <v>1</v>
      </c>
      <c r="Z3515" s="400" t="s">
        <v>176</v>
      </c>
      <c r="AA3515" s="402">
        <f t="shared" ref="AA3515" si="11318">(N3515+P3515*R3515/1000)*U3515*W3515*Y3515</f>
        <v>47.102572799999997</v>
      </c>
      <c r="AB3515" s="390"/>
    </row>
    <row r="3516" spans="1:28">
      <c r="A3516" s="384"/>
      <c r="B3516" s="385"/>
      <c r="C3516" s="393"/>
      <c r="D3516" s="398"/>
      <c r="E3516" s="388"/>
      <c r="F3516" s="388"/>
      <c r="G3516" s="388"/>
      <c r="H3516" s="395"/>
      <c r="I3516" s="388"/>
      <c r="J3516" s="396"/>
      <c r="K3516" s="396"/>
      <c r="L3516" s="404"/>
      <c r="M3516" s="399"/>
      <c r="N3516" s="399"/>
      <c r="O3516" s="396"/>
      <c r="P3516" s="389"/>
      <c r="Q3516" s="396"/>
      <c r="R3516" s="396"/>
      <c r="S3516" s="396"/>
      <c r="T3516" s="396"/>
      <c r="U3516" s="401"/>
      <c r="V3516" s="396"/>
      <c r="W3516" s="399"/>
      <c r="X3516" s="396"/>
      <c r="Y3516" s="389"/>
      <c r="Z3516" s="396"/>
      <c r="AA3516" s="388"/>
      <c r="AB3516" s="390"/>
    </row>
    <row r="3517" spans="1:28">
      <c r="A3517" s="384" t="str">
        <f t="shared" ref="A3517:B3517" si="11319">A3505</f>
        <v>Lantai 2</v>
      </c>
      <c r="B3517" s="385">
        <f t="shared" si="11319"/>
        <v>30</v>
      </c>
      <c r="C3517" s="393" t="s">
        <v>208</v>
      </c>
      <c r="D3517" s="398">
        <f>VLOOKUP(D3505,'Detail Balok'!$C$10:$AU$140,13,FALSE)</f>
        <v>2</v>
      </c>
      <c r="E3517" s="388" t="s">
        <v>16</v>
      </c>
      <c r="F3517" s="388">
        <f>VLOOKUP(D3505,'Detail Balok'!$C$10:$AU$140,15,FALSE)</f>
        <v>10</v>
      </c>
      <c r="G3517" s="388"/>
      <c r="H3517" s="395"/>
      <c r="I3517" s="388"/>
      <c r="J3517" s="399">
        <f t="shared" ref="J3517" si="11320">+D3507/1000</f>
        <v>5.585</v>
      </c>
      <c r="K3517" s="400" t="s">
        <v>204</v>
      </c>
      <c r="L3517" s="399">
        <f t="shared" ref="L3517" si="11321">2*$F$16*F3517/1000</f>
        <v>0.24</v>
      </c>
      <c r="M3517" s="399" t="s">
        <v>176</v>
      </c>
      <c r="N3517" s="399">
        <f t="shared" ref="N3517" si="11322">J3517+L3517</f>
        <v>5.8250000000000002</v>
      </c>
      <c r="O3517" s="399" t="s">
        <v>204</v>
      </c>
      <c r="P3517" s="389">
        <f t="shared" ref="P3517" si="11323">IF(N3517&gt;12,ROUNDDOWN(N3517/12,0),0)</f>
        <v>0</v>
      </c>
      <c r="Q3517" s="399" t="s">
        <v>125</v>
      </c>
      <c r="R3517" s="399">
        <f t="shared" ref="R3517" si="11324">IF(P3517&gt;0,MAX(VLOOKUP(F3517,$D$6:$G$15,3,FALSE),600),0)/1000</f>
        <v>0</v>
      </c>
      <c r="S3517" s="399"/>
      <c r="T3517" s="399" t="s">
        <v>125</v>
      </c>
      <c r="U3517" s="401">
        <f t="shared" ref="U3517" si="11325">0.006165*F3517^2</f>
        <v>0.61650000000000005</v>
      </c>
      <c r="V3517" s="399" t="s">
        <v>125</v>
      </c>
      <c r="W3517" s="399">
        <f t="shared" ref="W3517" si="11326">+D3517</f>
        <v>2</v>
      </c>
      <c r="X3517" s="399" t="s">
        <v>125</v>
      </c>
      <c r="Y3517" s="389">
        <f t="shared" ref="Y3517" si="11327">D3511</f>
        <v>1</v>
      </c>
      <c r="Z3517" s="400" t="s">
        <v>176</v>
      </c>
      <c r="AA3517" s="402">
        <f t="shared" ref="AA3517" si="11328">(N3517+P3517*R3517/1000)*U3517*W3517*Y3517</f>
        <v>7.1822250000000007</v>
      </c>
      <c r="AB3517" s="403"/>
    </row>
    <row r="3518" spans="1:28">
      <c r="A3518" s="384"/>
      <c r="B3518" s="385"/>
      <c r="C3518" s="393"/>
      <c r="D3518" s="398"/>
      <c r="E3518" s="388"/>
      <c r="F3518" s="388"/>
      <c r="G3518" s="388"/>
      <c r="H3518" s="395"/>
      <c r="I3518" s="388"/>
      <c r="J3518" s="399"/>
      <c r="K3518" s="400"/>
      <c r="L3518" s="399"/>
      <c r="M3518" s="399"/>
      <c r="N3518" s="399"/>
      <c r="O3518" s="399"/>
      <c r="P3518" s="389"/>
      <c r="Q3518" s="399"/>
      <c r="R3518" s="399"/>
      <c r="S3518" s="399"/>
      <c r="T3518" s="399"/>
      <c r="U3518" s="401"/>
      <c r="V3518" s="399"/>
      <c r="W3518" s="399"/>
      <c r="X3518" s="399"/>
      <c r="Y3518" s="389"/>
      <c r="Z3518" s="400"/>
      <c r="AA3518" s="402"/>
      <c r="AB3518" s="403"/>
    </row>
    <row r="3519" spans="1:28">
      <c r="A3519" s="384"/>
      <c r="B3519" s="385"/>
      <c r="C3519" s="393"/>
      <c r="D3519" s="398"/>
      <c r="E3519" s="388"/>
      <c r="F3519" s="388"/>
      <c r="G3519" s="388"/>
      <c r="H3519" s="395"/>
      <c r="I3519" s="388"/>
      <c r="J3519" s="396"/>
      <c r="K3519" s="396"/>
      <c r="L3519" s="396"/>
      <c r="M3519" s="396"/>
      <c r="N3519" s="396"/>
      <c r="O3519" s="396"/>
      <c r="P3519" s="389"/>
      <c r="Q3519" s="396"/>
      <c r="R3519" s="396"/>
      <c r="S3519" s="396"/>
      <c r="T3519" s="396"/>
      <c r="U3519" s="401"/>
      <c r="V3519" s="396"/>
      <c r="W3519" s="399"/>
      <c r="X3519" s="396"/>
      <c r="Y3519" s="389"/>
      <c r="Z3519" s="396"/>
      <c r="AA3519" s="388"/>
      <c r="AB3519" s="390"/>
    </row>
    <row r="3520" spans="1:28">
      <c r="A3520" s="384" t="str">
        <f t="shared" ref="A3520:B3520" si="11329">A3505</f>
        <v>Lantai 2</v>
      </c>
      <c r="B3520" s="385">
        <f t="shared" si="11329"/>
        <v>30</v>
      </c>
      <c r="C3520" s="393" t="s">
        <v>209</v>
      </c>
      <c r="D3520" s="398">
        <f>VLOOKUP(D3505,'Detail Balok'!$C$10:$AU$140,22,FALSE)</f>
        <v>5</v>
      </c>
      <c r="E3520" s="388" t="s">
        <v>16</v>
      </c>
      <c r="F3520" s="388">
        <f>VLOOKUP(D3505,'Detail Balok'!$C$10:$AU$140,24,FALSE)</f>
        <v>16</v>
      </c>
      <c r="G3520" s="388"/>
      <c r="H3520" s="395"/>
      <c r="I3520" s="388" t="s">
        <v>203</v>
      </c>
      <c r="J3520" s="399">
        <f t="shared" si="11229"/>
        <v>1.39625</v>
      </c>
      <c r="K3520" s="400" t="s">
        <v>204</v>
      </c>
      <c r="L3520" s="399">
        <f t="shared" ref="L3520" si="11330">MAX(VLOOKUP(F3520,N$6:P$15,3,FALSE)/1000,2/3*D3510/1000)+F$16*F3520/1000</f>
        <v>0.192</v>
      </c>
      <c r="M3520" s="399" t="s">
        <v>176</v>
      </c>
      <c r="N3520" s="399">
        <f t="shared" ref="N3520:N3522" si="11331">J3520+L3520</f>
        <v>1.5882499999999999</v>
      </c>
      <c r="O3520" s="399" t="s">
        <v>204</v>
      </c>
      <c r="P3520" s="389">
        <f t="shared" ref="P3520" si="11332">D3520-D3521</f>
        <v>0</v>
      </c>
      <c r="Q3520" s="399" t="s">
        <v>125</v>
      </c>
      <c r="R3520" s="399">
        <f t="shared" ref="R3520" si="11333">IF(P3520&gt;0,$F$18*F3520/1000,0)</f>
        <v>0</v>
      </c>
      <c r="S3520" s="399" t="s">
        <v>205</v>
      </c>
      <c r="T3520" s="399" t="s">
        <v>125</v>
      </c>
      <c r="U3520" s="401">
        <f t="shared" ref="U3520:U3522" si="11334">0.006165*F3520^2</f>
        <v>1.5782400000000001</v>
      </c>
      <c r="V3520" s="399"/>
      <c r="W3520" s="399"/>
      <c r="X3520" s="399" t="s">
        <v>125</v>
      </c>
      <c r="Y3520" s="389">
        <f t="shared" ref="Y3520" si="11335">D3511</f>
        <v>1</v>
      </c>
      <c r="Z3520" s="400" t="s">
        <v>176</v>
      </c>
      <c r="AA3520" s="402">
        <f t="shared" ref="AA3520" si="11336">IF(AA3523=0,(D3520*N3520+P3520*R3520)*U3520*Y3520,0)</f>
        <v>0</v>
      </c>
      <c r="AB3520" s="403"/>
    </row>
    <row r="3521" spans="1:28">
      <c r="A3521" s="384" t="str">
        <f t="shared" ref="A3521:B3521" si="11337">A3505</f>
        <v>Lantai 2</v>
      </c>
      <c r="B3521" s="385">
        <f t="shared" si="11337"/>
        <v>30</v>
      </c>
      <c r="C3521" s="393" t="s">
        <v>210</v>
      </c>
      <c r="D3521" s="398">
        <f>VLOOKUP(D3505,'Detail Balok'!$C$10:$AU$140,25,FALSE)</f>
        <v>5</v>
      </c>
      <c r="E3521" s="388" t="s">
        <v>16</v>
      </c>
      <c r="F3521" s="388">
        <f>VLOOKUP(D3505,'Detail Balok'!$C$10:$AU$140,27,FALSE)</f>
        <v>16</v>
      </c>
      <c r="G3521" s="388"/>
      <c r="H3521" s="395"/>
      <c r="I3521" s="388" t="s">
        <v>203</v>
      </c>
      <c r="J3521" s="399">
        <f t="shared" si="11229"/>
        <v>2.7925</v>
      </c>
      <c r="K3521" s="400" t="s">
        <v>204</v>
      </c>
      <c r="L3521" s="399"/>
      <c r="M3521" s="399" t="s">
        <v>176</v>
      </c>
      <c r="N3521" s="399">
        <f t="shared" si="11331"/>
        <v>2.7925</v>
      </c>
      <c r="O3521" s="399" t="s">
        <v>204</v>
      </c>
      <c r="P3521" s="389">
        <f t="shared" ref="P3521" si="11338">MAX(D3521-D3520,D3521-D3522)</f>
        <v>0</v>
      </c>
      <c r="Q3521" s="399" t="s">
        <v>125</v>
      </c>
      <c r="R3521" s="399">
        <f t="shared" ref="R3521" si="11339">IF(P3521&gt;0,2*(1-2*$F$19-1/2)*D3508/1000,0)</f>
        <v>0</v>
      </c>
      <c r="S3521" s="399" t="s">
        <v>205</v>
      </c>
      <c r="T3521" s="399" t="s">
        <v>125</v>
      </c>
      <c r="U3521" s="401">
        <f t="shared" si="11334"/>
        <v>1.5782400000000001</v>
      </c>
      <c r="V3521" s="399"/>
      <c r="W3521" s="399"/>
      <c r="X3521" s="399" t="s">
        <v>125</v>
      </c>
      <c r="Y3521" s="389">
        <f t="shared" ref="Y3521" si="11340">D3511</f>
        <v>1</v>
      </c>
      <c r="Z3521" s="400" t="s">
        <v>176</v>
      </c>
      <c r="AA3521" s="402">
        <f t="shared" ref="AA3521" si="11341">IF(AA3523=0,(D3521*N3521+P3521*R3521)*U3521*Y3521,0)</f>
        <v>0</v>
      </c>
      <c r="AB3521" s="403"/>
    </row>
    <row r="3522" spans="1:28">
      <c r="A3522" s="384" t="str">
        <f t="shared" ref="A3522:B3522" si="11342">A3505</f>
        <v>Lantai 2</v>
      </c>
      <c r="B3522" s="385">
        <f t="shared" si="11342"/>
        <v>30</v>
      </c>
      <c r="C3522" s="393" t="s">
        <v>209</v>
      </c>
      <c r="D3522" s="398">
        <f>VLOOKUP(D3505,'Detail Balok'!$C$10:$AU$140,28,FALSE)</f>
        <v>5</v>
      </c>
      <c r="E3522" s="388" t="s">
        <v>16</v>
      </c>
      <c r="F3522" s="388">
        <f>VLOOKUP(D3505,'Detail Balok'!$C$10:$AU$140,30,FALSE)</f>
        <v>16</v>
      </c>
      <c r="G3522" s="388"/>
      <c r="H3522" s="395"/>
      <c r="I3522" s="388" t="s">
        <v>203</v>
      </c>
      <c r="J3522" s="399">
        <f t="shared" si="11229"/>
        <v>1.39625</v>
      </c>
      <c r="K3522" s="400" t="s">
        <v>204</v>
      </c>
      <c r="L3522" s="399">
        <f t="shared" ref="L3522" si="11343">MAX(VLOOKUP(F3522,N$6:P$15,3,FALSE)/1000,2/3*D3510/1000)+F$16*F3522/1000</f>
        <v>0.192</v>
      </c>
      <c r="M3522" s="399" t="s">
        <v>176</v>
      </c>
      <c r="N3522" s="399">
        <f t="shared" si="11331"/>
        <v>1.5882499999999999</v>
      </c>
      <c r="O3522" s="399" t="s">
        <v>204</v>
      </c>
      <c r="P3522" s="389">
        <f t="shared" ref="P3522" si="11344">D3522-D3521</f>
        <v>0</v>
      </c>
      <c r="Q3522" s="399" t="s">
        <v>125</v>
      </c>
      <c r="R3522" s="399">
        <f t="shared" ref="R3522" si="11345">IF(P3522&gt;0,$F$18*F3522/1000,0)</f>
        <v>0</v>
      </c>
      <c r="S3522" s="399" t="s">
        <v>205</v>
      </c>
      <c r="T3522" s="399" t="s">
        <v>125</v>
      </c>
      <c r="U3522" s="401">
        <f t="shared" si="11334"/>
        <v>1.5782400000000001</v>
      </c>
      <c r="V3522" s="399"/>
      <c r="W3522" s="399"/>
      <c r="X3522" s="399" t="s">
        <v>125</v>
      </c>
      <c r="Y3522" s="389">
        <f t="shared" ref="Y3522" si="11346">D3511</f>
        <v>1</v>
      </c>
      <c r="Z3522" s="400" t="s">
        <v>176</v>
      </c>
      <c r="AA3522" s="402">
        <f t="shared" ref="AA3522" si="11347">IF(AA3523=0,(D3522*N3522+P3522*R3522)*U3522*Y3522,0)</f>
        <v>0</v>
      </c>
      <c r="AB3522" s="403"/>
    </row>
    <row r="3523" spans="1:28">
      <c r="A3523" s="384" t="str">
        <f t="shared" ref="A3523:B3523" si="11348">A3505</f>
        <v>Lantai 2</v>
      </c>
      <c r="B3523" s="385">
        <f t="shared" si="11348"/>
        <v>30</v>
      </c>
      <c r="C3523" s="393"/>
      <c r="D3523" s="398">
        <f t="shared" si="11249"/>
        <v>5</v>
      </c>
      <c r="E3523" s="388" t="s">
        <v>16</v>
      </c>
      <c r="F3523" s="388">
        <f t="shared" si="11250"/>
        <v>16</v>
      </c>
      <c r="G3523" s="388"/>
      <c r="H3523" s="395"/>
      <c r="I3523" s="388"/>
      <c r="J3523" s="396"/>
      <c r="K3523" s="396"/>
      <c r="L3523" s="404" t="s">
        <v>207</v>
      </c>
      <c r="M3523" s="399" t="s">
        <v>176</v>
      </c>
      <c r="N3523" s="399">
        <f t="shared" ref="N3523" si="11349">IF(AND(D3520=D3521,D3520=D3522,D3521=D3522,F3520=F3521,F3520=F3522,F3521=F3522),SUM(N3520:N3522),0)</f>
        <v>5.9689999999999994</v>
      </c>
      <c r="O3523" s="399" t="s">
        <v>204</v>
      </c>
      <c r="P3523" s="389">
        <f t="shared" ref="P3523" si="11350">IF(N3523&gt;12,ROUNDDOWN(N3523/12,0),0)</f>
        <v>0</v>
      </c>
      <c r="Q3523" s="399" t="s">
        <v>125</v>
      </c>
      <c r="R3523" s="399">
        <f t="shared" ref="R3523" si="11351">IF(P3523&gt;0,MAX(VLOOKUP(F3523,$D$6:$G$15,3,FALSE),600),0)/1000</f>
        <v>0</v>
      </c>
      <c r="S3523" s="396"/>
      <c r="T3523" s="396" t="s">
        <v>125</v>
      </c>
      <c r="U3523" s="401">
        <f t="shared" si="11254"/>
        <v>1.5782400000000001</v>
      </c>
      <c r="V3523" s="396" t="s">
        <v>125</v>
      </c>
      <c r="W3523" s="399">
        <f t="shared" ref="W3523" si="11352">D3523</f>
        <v>5</v>
      </c>
      <c r="X3523" s="399" t="s">
        <v>125</v>
      </c>
      <c r="Y3523" s="389">
        <f t="shared" si="11256"/>
        <v>1</v>
      </c>
      <c r="Z3523" s="400" t="s">
        <v>176</v>
      </c>
      <c r="AA3523" s="402">
        <f t="shared" ref="AA3523" si="11353">(N3523+P3523*R3523/1000)*U3523*W3523*Y3523</f>
        <v>47.102572799999997</v>
      </c>
      <c r="AB3523" s="403"/>
    </row>
    <row r="3524" spans="1:28">
      <c r="A3524" s="384"/>
      <c r="B3524" s="385"/>
      <c r="C3524" s="393"/>
      <c r="D3524" s="394"/>
      <c r="E3524" s="388"/>
      <c r="F3524" s="388"/>
      <c r="G3524" s="388"/>
      <c r="H3524" s="395"/>
      <c r="I3524" s="388"/>
      <c r="J3524" s="399"/>
      <c r="K3524" s="396"/>
      <c r="L3524" s="396"/>
      <c r="M3524" s="396"/>
      <c r="N3524" s="396"/>
      <c r="O3524" s="396"/>
      <c r="P3524" s="389"/>
      <c r="Q3524" s="396"/>
      <c r="R3524" s="396"/>
      <c r="S3524" s="396"/>
      <c r="T3524" s="396"/>
      <c r="U3524" s="401"/>
      <c r="V3524" s="396"/>
      <c r="W3524" s="388"/>
      <c r="X3524" s="396"/>
      <c r="Y3524" s="389"/>
      <c r="Z3524" s="396"/>
      <c r="AA3524" s="388"/>
      <c r="AB3524" s="390"/>
    </row>
    <row r="3525" spans="1:28">
      <c r="A3525" s="384" t="str">
        <f t="shared" ref="A3525:B3525" si="11354">A3505</f>
        <v>Lantai 2</v>
      </c>
      <c r="B3525" s="385">
        <f t="shared" si="11354"/>
        <v>30</v>
      </c>
      <c r="C3525" s="393" t="s">
        <v>211</v>
      </c>
      <c r="D3525" s="398">
        <f>VLOOKUP(D3505,'Detail Balok'!$C$10:$AU$140,31,FALSE)</f>
        <v>0</v>
      </c>
      <c r="E3525" s="388" t="s">
        <v>16</v>
      </c>
      <c r="F3525" s="388">
        <f>VLOOKUP(D3505,'Detail Balok'!$C$10:$AU$140,33,FALSE)</f>
        <v>10</v>
      </c>
      <c r="G3525" s="405" t="s">
        <v>157</v>
      </c>
      <c r="H3525" s="395">
        <f>VLOOKUP(D3505,'Detail Balok'!$C$10:$AU$140,35,FALSE)</f>
        <v>100</v>
      </c>
      <c r="I3525" s="388"/>
      <c r="J3525" s="400">
        <f t="shared" ref="J3525" si="11355">(IF(D3525=0,(2*(D3506+G3506))-(F$5*8),IF(D3525=3,(2*(D3506+G3506))-(F$5*8)+(G3506-2*F$5),IF(D3525=4,(2*(D3506+G3506))-(F$5*8)+2*(G3506-2*F$5)))))/1000</f>
        <v>1.48</v>
      </c>
      <c r="K3525" s="400" t="s">
        <v>204</v>
      </c>
      <c r="L3525" s="399">
        <f t="shared" ref="L3525:L3527" si="11356">IF(D3525=0,2*MAX(6*F3525,75),(D3525-1)*2*MAX(6*F3525,75))/1000</f>
        <v>0.15</v>
      </c>
      <c r="M3525" s="399" t="s">
        <v>176</v>
      </c>
      <c r="N3525" s="399">
        <f t="shared" ref="N3525:N3527" si="11357">J3525+L3525</f>
        <v>1.63</v>
      </c>
      <c r="O3525" s="399"/>
      <c r="P3525" s="389"/>
      <c r="Q3525" s="399"/>
      <c r="R3525" s="399"/>
      <c r="S3525" s="399"/>
      <c r="T3525" s="399" t="s">
        <v>125</v>
      </c>
      <c r="U3525" s="401">
        <f t="shared" ref="U3525:U3527" si="11358">0.006165*F3525^2</f>
        <v>0.61650000000000005</v>
      </c>
      <c r="V3525" s="399" t="s">
        <v>125</v>
      </c>
      <c r="W3525" s="399">
        <f t="shared" ref="W3525" si="11359">IF(D3508&gt;4*G3506,ROUND(MAX(D3508/4,2*G3506)/H3525,0)+1,ROUND(D3508/H3525,0)+1)</f>
        <v>15</v>
      </c>
      <c r="X3525" s="399" t="s">
        <v>125</v>
      </c>
      <c r="Y3525" s="389">
        <f t="shared" ref="Y3525" si="11360">D3511</f>
        <v>1</v>
      </c>
      <c r="Z3525" s="400" t="s">
        <v>176</v>
      </c>
      <c r="AA3525" s="402">
        <f t="shared" ref="AA3525:AA3527" si="11361">N3525*U3525*W3525*Y3525</f>
        <v>15.073425000000002</v>
      </c>
      <c r="AB3525" s="403"/>
    </row>
    <row r="3526" spans="1:28">
      <c r="A3526" s="384" t="str">
        <f t="shared" ref="A3526:B3526" si="11362">A3505</f>
        <v>Lantai 2</v>
      </c>
      <c r="B3526" s="385">
        <f t="shared" si="11362"/>
        <v>30</v>
      </c>
      <c r="C3526" s="393" t="s">
        <v>212</v>
      </c>
      <c r="D3526" s="398">
        <f>VLOOKUP(D3505,'Detail Balok'!$C$10:$AU$140,36,FALSE)</f>
        <v>0</v>
      </c>
      <c r="E3526" s="388" t="s">
        <v>16</v>
      </c>
      <c r="F3526" s="388">
        <f>VLOOKUP(D3505,'Detail Balok'!$C$10:$AU$140,38,FALSE)</f>
        <v>10</v>
      </c>
      <c r="G3526" s="405" t="s">
        <v>157</v>
      </c>
      <c r="H3526" s="395">
        <f>VLOOKUP(D3505,'Detail Balok'!$C$10:$AU$140,40,FALSE)</f>
        <v>150</v>
      </c>
      <c r="I3526" s="388"/>
      <c r="J3526" s="400">
        <f t="shared" ref="J3526" si="11363">(IF(D3526=0,(2*(D3506+G3506))-(F$5*8),IF(D3526=3,(2*(D3506+G3506))-(F$5*8)+(G3506-2*F$5),IF(D3526=4,(2*(D3506+G3506))-(F$5*8)+2*(G3506-2*F$5)))))/1000</f>
        <v>1.48</v>
      </c>
      <c r="K3526" s="400" t="s">
        <v>204</v>
      </c>
      <c r="L3526" s="399">
        <f t="shared" si="11356"/>
        <v>0.15</v>
      </c>
      <c r="M3526" s="399" t="s">
        <v>176</v>
      </c>
      <c r="N3526" s="399">
        <f t="shared" si="11357"/>
        <v>1.63</v>
      </c>
      <c r="O3526" s="399"/>
      <c r="P3526" s="389"/>
      <c r="Q3526" s="399"/>
      <c r="R3526" s="399"/>
      <c r="S3526" s="399"/>
      <c r="T3526" s="399" t="s">
        <v>125</v>
      </c>
      <c r="U3526" s="401">
        <f t="shared" si="11358"/>
        <v>0.61650000000000005</v>
      </c>
      <c r="V3526" s="399" t="s">
        <v>125</v>
      </c>
      <c r="W3526" s="399">
        <f t="shared" ref="W3526" si="11364">IF(D3508-MAX(D3508/4,2*G3506)*2&gt;0,ROUND((D3508-MAX(D3508/4,2*G3506)*2)/H3526,0),0)</f>
        <v>19</v>
      </c>
      <c r="X3526" s="399" t="s">
        <v>125</v>
      </c>
      <c r="Y3526" s="389">
        <f t="shared" ref="Y3526" si="11365">D3511</f>
        <v>1</v>
      </c>
      <c r="Z3526" s="400" t="s">
        <v>176</v>
      </c>
      <c r="AA3526" s="402">
        <f t="shared" si="11361"/>
        <v>19.093005000000002</v>
      </c>
      <c r="AB3526" s="403"/>
    </row>
    <row r="3527" spans="1:28">
      <c r="A3527" s="384" t="str">
        <f t="shared" ref="A3527:B3527" si="11366">A3505</f>
        <v>Lantai 2</v>
      </c>
      <c r="B3527" s="385">
        <f t="shared" si="11366"/>
        <v>30</v>
      </c>
      <c r="C3527" s="393" t="s">
        <v>211</v>
      </c>
      <c r="D3527" s="398">
        <f>VLOOKUP(D3505,'Detail Balok'!$C$10:$AU$140,41,FALSE)</f>
        <v>0</v>
      </c>
      <c r="E3527" s="388" t="s">
        <v>16</v>
      </c>
      <c r="F3527" s="388">
        <f>VLOOKUP(D3505,'Detail Balok'!$C$10:$AU$140,43,FALSE)</f>
        <v>10</v>
      </c>
      <c r="G3527" s="405" t="s">
        <v>157</v>
      </c>
      <c r="H3527" s="395">
        <f>VLOOKUP(D3505,'Detail Balok'!$C$10:$AU$140,45,FALSE)</f>
        <v>100</v>
      </c>
      <c r="I3527" s="388"/>
      <c r="J3527" s="400">
        <f t="shared" ref="J3527" si="11367">(IF(D3527=0,(2*(D3506+G3506))-(F$5*8),IF(D3527=3,(2*(D3506+G3506))-(F$5*8)+(G3506-2*F$5),IF(D3527=4,(2*(D3506+G3506))-(F$5*8)+2*(G3506-2*F$5)))))/1000</f>
        <v>1.48</v>
      </c>
      <c r="K3527" s="400" t="s">
        <v>204</v>
      </c>
      <c r="L3527" s="399">
        <f t="shared" si="11356"/>
        <v>0.15</v>
      </c>
      <c r="M3527" s="399" t="s">
        <v>176</v>
      </c>
      <c r="N3527" s="399">
        <f t="shared" si="11357"/>
        <v>1.63</v>
      </c>
      <c r="O3527" s="399"/>
      <c r="P3527" s="389"/>
      <c r="Q3527" s="399"/>
      <c r="R3527" s="399"/>
      <c r="S3527" s="399"/>
      <c r="T3527" s="399" t="s">
        <v>125</v>
      </c>
      <c r="U3527" s="401">
        <f t="shared" si="11358"/>
        <v>0.61650000000000005</v>
      </c>
      <c r="V3527" s="399" t="s">
        <v>125</v>
      </c>
      <c r="W3527" s="399">
        <f t="shared" ref="W3527" si="11368">IF(D3508&gt;4*G3506,ROUND(MAX(D3508/4,2*G3506)/H3527,0)+1,0)</f>
        <v>15</v>
      </c>
      <c r="X3527" s="399" t="s">
        <v>125</v>
      </c>
      <c r="Y3527" s="389">
        <f t="shared" ref="Y3527" si="11369">D3511</f>
        <v>1</v>
      </c>
      <c r="Z3527" s="400" t="s">
        <v>176</v>
      </c>
      <c r="AA3527" s="402">
        <f t="shared" si="11361"/>
        <v>15.073425000000002</v>
      </c>
      <c r="AB3527" s="403"/>
    </row>
    <row r="3528" spans="1:28">
      <c r="A3528" s="384"/>
      <c r="B3528" s="385"/>
      <c r="C3528" s="393"/>
      <c r="D3528" s="394"/>
      <c r="E3528" s="388"/>
      <c r="F3528" s="388"/>
      <c r="G3528" s="388"/>
      <c r="H3528" s="395"/>
      <c r="I3528" s="388"/>
      <c r="J3528" s="399"/>
      <c r="K3528" s="396"/>
      <c r="L3528" s="396"/>
      <c r="M3528" s="396"/>
      <c r="N3528" s="396"/>
      <c r="O3528" s="396"/>
      <c r="P3528" s="389"/>
      <c r="Q3528" s="396"/>
      <c r="R3528" s="396"/>
      <c r="S3528" s="396"/>
      <c r="T3528" s="396"/>
      <c r="U3528" s="401"/>
      <c r="V3528" s="396"/>
      <c r="W3528" s="388"/>
      <c r="X3528" s="396"/>
      <c r="Y3528" s="389"/>
      <c r="Z3528" s="396"/>
      <c r="AA3528" s="388"/>
      <c r="AB3528" s="390"/>
    </row>
    <row r="3529" spans="1:28">
      <c r="A3529" s="384" t="str">
        <f t="shared" ref="A3529:B3529" si="11370">A3505</f>
        <v>Lantai 2</v>
      </c>
      <c r="B3529" s="385">
        <f t="shared" si="11370"/>
        <v>30</v>
      </c>
      <c r="C3529" s="393" t="s">
        <v>213</v>
      </c>
      <c r="D3529" s="398">
        <f>VLOOKUP(D3505,'Detail Balok'!$C$10:$BJ$140,46,FALSE)</f>
        <v>0</v>
      </c>
      <c r="E3529" s="388" t="s">
        <v>16</v>
      </c>
      <c r="F3529" s="388">
        <f>VLOOKUP(D3505,'Detail Balok'!$C$10:$BJ$140,48,FALSE)</f>
        <v>0</v>
      </c>
      <c r="G3529" s="405" t="s">
        <v>157</v>
      </c>
      <c r="H3529" s="395">
        <f>VLOOKUP(D3505,'Detail Balok'!$C$10:$BJ$140,50,FALSE)</f>
        <v>100</v>
      </c>
      <c r="I3529" s="388"/>
      <c r="J3529" s="399">
        <f t="shared" ref="J3529" si="11371">(D3506-2*F$5)/1000</f>
        <v>0.22</v>
      </c>
      <c r="K3529" s="400" t="s">
        <v>204</v>
      </c>
      <c r="L3529" s="399">
        <f t="shared" ref="L3529:L3531" si="11372">IF(D3529=0,2*MAX(6*F3529,75),(D3529-1)*2*MAX(6*F3529,75))/1000</f>
        <v>0.15</v>
      </c>
      <c r="M3529" s="399" t="s">
        <v>176</v>
      </c>
      <c r="N3529" s="399">
        <f t="shared" ref="N3529:N3531" si="11373">J3529+L3529</f>
        <v>0.37</v>
      </c>
      <c r="O3529" s="399"/>
      <c r="P3529" s="399"/>
      <c r="Q3529" s="399"/>
      <c r="R3529" s="399"/>
      <c r="S3529" s="399"/>
      <c r="T3529" s="399" t="s">
        <v>125</v>
      </c>
      <c r="U3529" s="401">
        <f t="shared" ref="U3529:U3531" si="11374">0.006165*F3529^2</f>
        <v>0</v>
      </c>
      <c r="V3529" s="399" t="s">
        <v>125</v>
      </c>
      <c r="W3529" s="399">
        <f t="shared" si="11279"/>
        <v>15</v>
      </c>
      <c r="X3529" s="399" t="s">
        <v>125</v>
      </c>
      <c r="Y3529" s="389">
        <f t="shared" ref="Y3529" si="11375">D3515</f>
        <v>5</v>
      </c>
      <c r="Z3529" s="400" t="s">
        <v>176</v>
      </c>
      <c r="AA3529" s="402">
        <f t="shared" ref="AA3529:AA3531" si="11376">N3529*U3529*W3529*Y3529</f>
        <v>0</v>
      </c>
      <c r="AB3529" s="403"/>
    </row>
    <row r="3530" spans="1:28">
      <c r="A3530" s="384" t="str">
        <f t="shared" ref="A3530:B3530" si="11377">A3505</f>
        <v>Lantai 2</v>
      </c>
      <c r="B3530" s="385">
        <f t="shared" si="11377"/>
        <v>30</v>
      </c>
      <c r="C3530" s="393" t="s">
        <v>214</v>
      </c>
      <c r="D3530" s="398">
        <f>VLOOKUP(D3505,'Detail Balok'!$C$10:$BJ$140,51,FALSE)</f>
        <v>0</v>
      </c>
      <c r="E3530" s="388" t="s">
        <v>16</v>
      </c>
      <c r="F3530" s="388">
        <f>VLOOKUP(D3505,'Detail Balok'!$C$10:$BJ$140,53,FALSE)</f>
        <v>0</v>
      </c>
      <c r="G3530" s="405" t="s">
        <v>157</v>
      </c>
      <c r="H3530" s="395">
        <f>VLOOKUP(D3505,'Detail Balok'!$C$10:$BJ$140,55,FALSE)</f>
        <v>100</v>
      </c>
      <c r="I3530" s="388"/>
      <c r="J3530" s="399">
        <f t="shared" ref="J3530" si="11378">(D3506-2*F$5)/1000</f>
        <v>0.22</v>
      </c>
      <c r="K3530" s="400" t="s">
        <v>204</v>
      </c>
      <c r="L3530" s="399">
        <f t="shared" si="11372"/>
        <v>0.15</v>
      </c>
      <c r="M3530" s="399" t="s">
        <v>176</v>
      </c>
      <c r="N3530" s="399">
        <f t="shared" si="11373"/>
        <v>0.37</v>
      </c>
      <c r="O3530" s="399"/>
      <c r="P3530" s="399"/>
      <c r="Q3530" s="399"/>
      <c r="R3530" s="399"/>
      <c r="S3530" s="399"/>
      <c r="T3530" s="399" t="s">
        <v>125</v>
      </c>
      <c r="U3530" s="401">
        <f t="shared" si="11374"/>
        <v>0</v>
      </c>
      <c r="V3530" s="399" t="s">
        <v>125</v>
      </c>
      <c r="W3530" s="399">
        <f t="shared" si="11279"/>
        <v>19</v>
      </c>
      <c r="X3530" s="399" t="s">
        <v>125</v>
      </c>
      <c r="Y3530" s="389">
        <f t="shared" ref="Y3530" si="11379">D3515</f>
        <v>5</v>
      </c>
      <c r="Z3530" s="400" t="s">
        <v>176</v>
      </c>
      <c r="AA3530" s="402">
        <f t="shared" si="11376"/>
        <v>0</v>
      </c>
      <c r="AB3530" s="403"/>
    </row>
    <row r="3531" spans="1:28">
      <c r="A3531" s="384" t="str">
        <f t="shared" ref="A3531:B3531" si="11380">A3505</f>
        <v>Lantai 2</v>
      </c>
      <c r="B3531" s="385">
        <f t="shared" si="11380"/>
        <v>30</v>
      </c>
      <c r="C3531" s="393" t="s">
        <v>213</v>
      </c>
      <c r="D3531" s="398">
        <f>VLOOKUP(D3505,'Detail Balok'!$C$10:$BJ$140,56,FALSE)</f>
        <v>0</v>
      </c>
      <c r="E3531" s="388" t="s">
        <v>16</v>
      </c>
      <c r="F3531" s="388">
        <f>VLOOKUP(D3505,'Detail Balok'!$C$10:$BJ$140,58,FALSE)</f>
        <v>0</v>
      </c>
      <c r="G3531" s="405" t="s">
        <v>157</v>
      </c>
      <c r="H3531" s="395">
        <f>VLOOKUP(D3505,'Detail Balok'!$C$10:$BJ$140,60,FALSE)</f>
        <v>100</v>
      </c>
      <c r="I3531" s="388"/>
      <c r="J3531" s="399">
        <f t="shared" ref="J3531" si="11381">(D3506-2*F$5)/1000</f>
        <v>0.22</v>
      </c>
      <c r="K3531" s="400" t="s">
        <v>204</v>
      </c>
      <c r="L3531" s="399">
        <f t="shared" si="11372"/>
        <v>0.15</v>
      </c>
      <c r="M3531" s="399" t="s">
        <v>176</v>
      </c>
      <c r="N3531" s="399">
        <f t="shared" si="11373"/>
        <v>0.37</v>
      </c>
      <c r="O3531" s="399"/>
      <c r="P3531" s="399"/>
      <c r="Q3531" s="399"/>
      <c r="R3531" s="399"/>
      <c r="S3531" s="399"/>
      <c r="T3531" s="399" t="s">
        <v>125</v>
      </c>
      <c r="U3531" s="401">
        <f t="shared" si="11374"/>
        <v>0</v>
      </c>
      <c r="V3531" s="399" t="s">
        <v>125</v>
      </c>
      <c r="W3531" s="399">
        <f t="shared" si="11279"/>
        <v>15</v>
      </c>
      <c r="X3531" s="399" t="s">
        <v>125</v>
      </c>
      <c r="Y3531" s="389">
        <f t="shared" ref="Y3531" si="11382">D3515</f>
        <v>5</v>
      </c>
      <c r="Z3531" s="400" t="s">
        <v>176</v>
      </c>
      <c r="AA3531" s="402">
        <f t="shared" si="11376"/>
        <v>0</v>
      </c>
      <c r="AB3531" s="403"/>
    </row>
    <row r="3532" spans="1:28">
      <c r="A3532" s="391"/>
      <c r="B3532" s="392"/>
      <c r="C3532" s="392"/>
      <c r="D3532" s="394"/>
      <c r="E3532" s="388"/>
      <c r="F3532" s="388"/>
      <c r="G3532" s="388"/>
      <c r="H3532" s="395"/>
      <c r="I3532" s="388"/>
      <c r="J3532" s="402"/>
      <c r="K3532" s="388"/>
      <c r="L3532" s="388"/>
      <c r="M3532" s="388"/>
      <c r="N3532" s="388"/>
      <c r="O3532" s="388"/>
      <c r="P3532" s="388"/>
      <c r="Q3532" s="388"/>
      <c r="R3532" s="388"/>
      <c r="S3532" s="388"/>
      <c r="T3532" s="388"/>
      <c r="U3532" s="388"/>
      <c r="V3532" s="388"/>
      <c r="W3532" s="388"/>
      <c r="X3532" s="388"/>
      <c r="Y3532" s="389"/>
      <c r="Z3532" s="388"/>
      <c r="AA3532" s="402"/>
      <c r="AB3532" s="403"/>
    </row>
    <row r="3533" spans="1:28" ht="15.75" thickBot="1">
      <c r="A3533" s="406"/>
      <c r="B3533" s="407"/>
      <c r="C3533" s="407"/>
      <c r="D3533" s="408"/>
      <c r="E3533" s="409"/>
      <c r="F3533" s="409"/>
      <c r="G3533" s="409"/>
      <c r="H3533" s="410"/>
      <c r="I3533" s="409"/>
      <c r="J3533" s="409"/>
      <c r="K3533" s="409"/>
      <c r="L3533" s="409"/>
      <c r="M3533" s="409"/>
      <c r="N3533" s="409"/>
      <c r="O3533" s="409"/>
      <c r="P3533" s="409"/>
      <c r="Q3533" s="409"/>
      <c r="R3533" s="409"/>
      <c r="S3533" s="409"/>
      <c r="T3533" s="409"/>
      <c r="U3533" s="409"/>
      <c r="V3533" s="409"/>
      <c r="W3533" s="409"/>
      <c r="X3533" s="409"/>
      <c r="Y3533" s="411"/>
      <c r="Z3533" s="409"/>
      <c r="AA3533" s="412"/>
      <c r="AB3533" s="413"/>
    </row>
    <row r="3534" spans="1:28">
      <c r="A3534" s="377"/>
      <c r="B3534" s="378"/>
      <c r="C3534" s="378"/>
      <c r="D3534" s="379"/>
      <c r="E3534" s="380"/>
      <c r="F3534" s="380"/>
      <c r="G3534" s="380"/>
      <c r="H3534" s="381"/>
      <c r="I3534" s="380"/>
      <c r="J3534" s="380"/>
      <c r="K3534" s="380"/>
      <c r="L3534" s="380"/>
      <c r="M3534" s="380"/>
      <c r="N3534" s="380"/>
      <c r="O3534" s="380"/>
      <c r="P3534" s="380"/>
      <c r="Q3534" s="380"/>
      <c r="R3534" s="380"/>
      <c r="S3534" s="380"/>
      <c r="T3534" s="380"/>
      <c r="U3534" s="380"/>
      <c r="V3534" s="380"/>
      <c r="W3534" s="380"/>
      <c r="X3534" s="380"/>
      <c r="Y3534" s="382"/>
      <c r="Z3534" s="380"/>
      <c r="AA3534" s="380"/>
      <c r="AB3534" s="383"/>
    </row>
    <row r="3535" spans="1:28">
      <c r="A3535" s="384" t="str">
        <f t="shared" si="11288"/>
        <v>Lantai 2</v>
      </c>
      <c r="B3535" s="385">
        <f t="shared" si="11289"/>
        <v>31</v>
      </c>
      <c r="C3535" s="386" t="str">
        <f t="shared" ref="C3535" si="11383">CONCATENATE(A3535," no. ",B3535)</f>
        <v>Lantai 2 no. 31</v>
      </c>
      <c r="D3535" s="2562" t="str">
        <f>VLOOKUP(C3535,'Data Panjang Balok'!$C$9:$N$254,2,FALSE)</f>
        <v>B23-1</v>
      </c>
      <c r="E3535" s="2576"/>
      <c r="F3535" s="2576"/>
      <c r="G3535" s="2576"/>
      <c r="H3535" s="2577"/>
      <c r="I3535" s="387"/>
      <c r="J3535" s="388"/>
      <c r="K3535" s="388"/>
      <c r="L3535" s="388"/>
      <c r="M3535" s="388"/>
      <c r="N3535" s="388"/>
      <c r="O3535" s="388"/>
      <c r="P3535" s="388"/>
      <c r="Q3535" s="388"/>
      <c r="R3535" s="388"/>
      <c r="S3535" s="388"/>
      <c r="T3535" s="388"/>
      <c r="U3535" s="388"/>
      <c r="V3535" s="388"/>
      <c r="W3535" s="388"/>
      <c r="X3535" s="388"/>
      <c r="Y3535" s="389"/>
      <c r="Z3535" s="388"/>
      <c r="AA3535" s="388"/>
      <c r="AB3535" s="390"/>
    </row>
    <row r="3536" spans="1:28">
      <c r="A3536" s="391"/>
      <c r="B3536" s="392"/>
      <c r="C3536" s="393" t="s">
        <v>118</v>
      </c>
      <c r="D3536" s="2578">
        <f>VLOOKUP(D3535,'Detail Balok'!$C$10:$AU$140,2,FALSE)</f>
        <v>200</v>
      </c>
      <c r="E3536" s="2579"/>
      <c r="F3536" s="388" t="s">
        <v>125</v>
      </c>
      <c r="G3536" s="2579">
        <f>VLOOKUP(D3535,'Detail Balok'!$C$10:$AU$140,3,FALSE)</f>
        <v>300</v>
      </c>
      <c r="H3536" s="2580"/>
      <c r="I3536" s="388"/>
      <c r="J3536" s="396"/>
      <c r="K3536" s="396"/>
      <c r="L3536" s="396"/>
      <c r="M3536" s="396"/>
      <c r="N3536" s="396"/>
      <c r="O3536" s="396"/>
      <c r="P3536" s="396"/>
      <c r="Q3536" s="396"/>
      <c r="R3536" s="396"/>
      <c r="S3536" s="396"/>
      <c r="T3536" s="396"/>
      <c r="U3536" s="388"/>
      <c r="V3536" s="396"/>
      <c r="W3536" s="388"/>
      <c r="X3536" s="396"/>
      <c r="Y3536" s="389"/>
      <c r="Z3536" s="396"/>
      <c r="AA3536" s="388"/>
      <c r="AB3536" s="390"/>
    </row>
    <row r="3537" spans="1:28">
      <c r="A3537" s="391"/>
      <c r="B3537" s="392"/>
      <c r="C3537" s="393" t="s">
        <v>198</v>
      </c>
      <c r="D3537" s="2562">
        <f>VLOOKUP(C3535,'Data Panjang Balok'!$C$9:$N$254,4,FALSE)</f>
        <v>2650</v>
      </c>
      <c r="E3537" s="2563"/>
      <c r="F3537" s="2563"/>
      <c r="G3537" s="2563"/>
      <c r="H3537" s="2564"/>
      <c r="I3537" s="397"/>
      <c r="J3537" s="396"/>
      <c r="K3537" s="396"/>
      <c r="L3537" s="396"/>
      <c r="M3537" s="396"/>
      <c r="N3537" s="396"/>
      <c r="O3537" s="396"/>
      <c r="P3537" s="396"/>
      <c r="Q3537" s="396"/>
      <c r="R3537" s="396"/>
      <c r="S3537" s="396"/>
      <c r="T3537" s="396"/>
      <c r="U3537" s="388"/>
      <c r="V3537" s="396"/>
      <c r="W3537" s="388"/>
      <c r="X3537" s="396"/>
      <c r="Y3537" s="389"/>
      <c r="Z3537" s="396"/>
      <c r="AA3537" s="388"/>
      <c r="AB3537" s="390"/>
    </row>
    <row r="3538" spans="1:28">
      <c r="A3538" s="391"/>
      <c r="B3538" s="392"/>
      <c r="C3538" s="393" t="s">
        <v>199</v>
      </c>
      <c r="D3538" s="2562">
        <f>VLOOKUP(C3535,'Data Panjang Balok'!$C$9:$N$254,7,FALSE)</f>
        <v>2650</v>
      </c>
      <c r="E3538" s="2563"/>
      <c r="F3538" s="2563"/>
      <c r="G3538" s="2563"/>
      <c r="H3538" s="2564"/>
      <c r="I3538" s="397"/>
      <c r="J3538" s="396"/>
      <c r="K3538" s="396"/>
      <c r="L3538" s="396"/>
      <c r="M3538" s="396"/>
      <c r="N3538" s="396"/>
      <c r="O3538" s="396"/>
      <c r="P3538" s="396"/>
      <c r="Q3538" s="396"/>
      <c r="R3538" s="396"/>
      <c r="S3538" s="396"/>
      <c r="T3538" s="396"/>
      <c r="U3538" s="388"/>
      <c r="V3538" s="396"/>
      <c r="W3538" s="388"/>
      <c r="X3538" s="396"/>
      <c r="Y3538" s="389"/>
      <c r="Z3538" s="396"/>
      <c r="AA3538" s="388"/>
      <c r="AB3538" s="390"/>
    </row>
    <row r="3539" spans="1:28">
      <c r="A3539" s="391"/>
      <c r="B3539" s="392"/>
      <c r="C3539" s="393" t="s">
        <v>200</v>
      </c>
      <c r="D3539" s="2562">
        <f>VLOOKUP(C3535,'Data Panjang Balok'!$C$9:$N$254,9,FALSE)</f>
        <v>0</v>
      </c>
      <c r="E3539" s="2563"/>
      <c r="F3539" s="2563"/>
      <c r="G3539" s="2563"/>
      <c r="H3539" s="2564"/>
      <c r="I3539" s="397"/>
      <c r="J3539" s="396"/>
      <c r="K3539" s="396"/>
      <c r="L3539" s="396"/>
      <c r="M3539" s="396"/>
      <c r="N3539" s="396"/>
      <c r="O3539" s="396"/>
      <c r="P3539" s="396"/>
      <c r="Q3539" s="396"/>
      <c r="R3539" s="396"/>
      <c r="S3539" s="396"/>
      <c r="T3539" s="396"/>
      <c r="U3539" s="388"/>
      <c r="V3539" s="396"/>
      <c r="W3539" s="388"/>
      <c r="X3539" s="396"/>
      <c r="Y3539" s="389"/>
      <c r="Z3539" s="396"/>
      <c r="AA3539" s="388"/>
      <c r="AB3539" s="390"/>
    </row>
    <row r="3540" spans="1:28">
      <c r="A3540" s="391"/>
      <c r="B3540" s="392"/>
      <c r="C3540" s="393" t="s">
        <v>201</v>
      </c>
      <c r="D3540" s="2562">
        <f>VLOOKUP(C3535,'Data Panjang Balok'!$C$9:$N$254,10,FALSE)</f>
        <v>0</v>
      </c>
      <c r="E3540" s="2563"/>
      <c r="F3540" s="2563"/>
      <c r="G3540" s="2563"/>
      <c r="H3540" s="2564"/>
      <c r="I3540" s="397"/>
      <c r="J3540" s="396"/>
      <c r="K3540" s="396"/>
      <c r="L3540" s="396"/>
      <c r="M3540" s="396"/>
      <c r="N3540" s="396"/>
      <c r="O3540" s="396"/>
      <c r="P3540" s="396"/>
      <c r="Q3540" s="396"/>
      <c r="R3540" s="396"/>
      <c r="S3540" s="396"/>
      <c r="T3540" s="396"/>
      <c r="U3540" s="388"/>
      <c r="V3540" s="396"/>
      <c r="W3540" s="388"/>
      <c r="X3540" s="396"/>
      <c r="Y3540" s="389"/>
      <c r="Z3540" s="396"/>
      <c r="AA3540" s="388"/>
      <c r="AB3540" s="390"/>
    </row>
    <row r="3541" spans="1:28">
      <c r="A3541" s="391"/>
      <c r="B3541" s="392"/>
      <c r="C3541" s="393" t="s">
        <v>48</v>
      </c>
      <c r="D3541" s="2562">
        <f>VLOOKUP(C3535,'Data Panjang Balok'!$C$9:$N$254,3,FALSE)</f>
        <v>1</v>
      </c>
      <c r="E3541" s="2563"/>
      <c r="F3541" s="2563"/>
      <c r="G3541" s="2563"/>
      <c r="H3541" s="2564"/>
      <c r="I3541" s="397"/>
      <c r="J3541" s="396"/>
      <c r="K3541" s="396"/>
      <c r="L3541" s="396"/>
      <c r="M3541" s="396"/>
      <c r="N3541" s="396"/>
      <c r="O3541" s="396"/>
      <c r="P3541" s="396"/>
      <c r="Q3541" s="396"/>
      <c r="R3541" s="396"/>
      <c r="S3541" s="396"/>
      <c r="T3541" s="396"/>
      <c r="U3541" s="388"/>
      <c r="V3541" s="396"/>
      <c r="W3541" s="388"/>
      <c r="X3541" s="396"/>
      <c r="Y3541" s="389"/>
      <c r="Z3541" s="396"/>
      <c r="AA3541" s="388"/>
      <c r="AB3541" s="390"/>
    </row>
    <row r="3542" spans="1:28">
      <c r="A3542" s="384" t="str">
        <f t="shared" ref="A3542:B3542" si="11384">A3535</f>
        <v>Lantai 2</v>
      </c>
      <c r="B3542" s="385">
        <f t="shared" si="11384"/>
        <v>31</v>
      </c>
      <c r="C3542" s="393" t="s">
        <v>202</v>
      </c>
      <c r="D3542" s="398">
        <f>VLOOKUP(D3535,'Detail Balok'!$C$10:$AU$140,4,FALSE)</f>
        <v>3</v>
      </c>
      <c r="E3542" s="388" t="s">
        <v>16</v>
      </c>
      <c r="F3542" s="388">
        <f>VLOOKUP(D3535,'Detail Balok'!$C$10:$AU$140,6,FALSE)</f>
        <v>13</v>
      </c>
      <c r="G3542" s="388"/>
      <c r="H3542" s="395"/>
      <c r="I3542" s="388" t="s">
        <v>203</v>
      </c>
      <c r="J3542" s="399">
        <f t="shared" ref="J3542" si="11385">+D3537/4/1000</f>
        <v>0.66249999999999998</v>
      </c>
      <c r="K3542" s="400" t="s">
        <v>204</v>
      </c>
      <c r="L3542" s="399">
        <f t="shared" ref="L3542" si="11386">MAX(VLOOKUP(F3542,N$6:P$15,3,FALSE)/1000,2/3*D3539/1000)+F$16*F3542/1000</f>
        <v>0.156</v>
      </c>
      <c r="M3542" s="399" t="s">
        <v>176</v>
      </c>
      <c r="N3542" s="399">
        <f t="shared" ref="N3542:N3544" si="11387">J3542+L3542</f>
        <v>0.81850000000000001</v>
      </c>
      <c r="O3542" s="399" t="s">
        <v>204</v>
      </c>
      <c r="P3542" s="389">
        <f t="shared" ref="P3542" si="11388">D3542-D3543</f>
        <v>0</v>
      </c>
      <c r="Q3542" s="399" t="s">
        <v>125</v>
      </c>
      <c r="R3542" s="399">
        <f t="shared" ref="R3542" si="11389">IF(P3542&gt;0,$F$18*F3542/1000,0)</f>
        <v>0</v>
      </c>
      <c r="S3542" s="399" t="s">
        <v>205</v>
      </c>
      <c r="T3542" s="399" t="s">
        <v>125</v>
      </c>
      <c r="U3542" s="401">
        <f t="shared" ref="U3542:U3544" si="11390">0.006165*F3542^2</f>
        <v>1.041885</v>
      </c>
      <c r="V3542" s="399"/>
      <c r="W3542" s="399"/>
      <c r="X3542" s="399" t="s">
        <v>125</v>
      </c>
      <c r="Y3542" s="389">
        <f t="shared" ref="Y3542" si="11391">D3541</f>
        <v>1</v>
      </c>
      <c r="Z3542" s="400" t="s">
        <v>176</v>
      </c>
      <c r="AA3542" s="402">
        <f t="shared" ref="AA3542" si="11392">IF(AA3545=0,(D3542*N3542+P3542*R3542)*U3542*Y3542,0)</f>
        <v>0</v>
      </c>
      <c r="AB3542" s="403"/>
    </row>
    <row r="3543" spans="1:28">
      <c r="A3543" s="384" t="str">
        <f t="shared" ref="A3543:B3543" si="11393">A3535</f>
        <v>Lantai 2</v>
      </c>
      <c r="B3543" s="385">
        <f t="shared" si="11393"/>
        <v>31</v>
      </c>
      <c r="C3543" s="393" t="s">
        <v>206</v>
      </c>
      <c r="D3543" s="398">
        <f>VLOOKUP(D3535,'Detail Balok'!$C$10:$AU$140,7,FALSE)</f>
        <v>3</v>
      </c>
      <c r="E3543" s="388" t="s">
        <v>16</v>
      </c>
      <c r="F3543" s="388">
        <f>VLOOKUP(D3535,'Detail Balok'!$C$10:$AU$140,9,FALSE)</f>
        <v>13</v>
      </c>
      <c r="G3543" s="388"/>
      <c r="H3543" s="395"/>
      <c r="I3543" s="388" t="s">
        <v>203</v>
      </c>
      <c r="J3543" s="399">
        <f t="shared" ref="J3543" si="11394">+D3537/2/1000</f>
        <v>1.325</v>
      </c>
      <c r="K3543" s="400" t="s">
        <v>204</v>
      </c>
      <c r="L3543" s="399"/>
      <c r="M3543" s="399" t="s">
        <v>176</v>
      </c>
      <c r="N3543" s="399">
        <f t="shared" si="11387"/>
        <v>1.325</v>
      </c>
      <c r="O3543" s="399" t="s">
        <v>204</v>
      </c>
      <c r="P3543" s="389">
        <f t="shared" ref="P3543" si="11395">MAX(D3543-D3542,D3543-D3544)</f>
        <v>0</v>
      </c>
      <c r="Q3543" s="399" t="s">
        <v>125</v>
      </c>
      <c r="R3543" s="399">
        <f t="shared" ref="R3543" si="11396">IF(P3543&gt;0,2*(1-2*$F$19-1/2)*D3538/1000,0)</f>
        <v>0</v>
      </c>
      <c r="S3543" s="399" t="s">
        <v>205</v>
      </c>
      <c r="T3543" s="399" t="s">
        <v>125</v>
      </c>
      <c r="U3543" s="401">
        <f t="shared" si="11390"/>
        <v>1.041885</v>
      </c>
      <c r="V3543" s="399"/>
      <c r="W3543" s="399"/>
      <c r="X3543" s="399" t="s">
        <v>125</v>
      </c>
      <c r="Y3543" s="389">
        <f t="shared" ref="Y3543" si="11397">D3541</f>
        <v>1</v>
      </c>
      <c r="Z3543" s="400" t="s">
        <v>176</v>
      </c>
      <c r="AA3543" s="402">
        <f t="shared" ref="AA3543" si="11398">IF(AA3545=0,(D3543*N3543+P3543*R3543)*U3543*Y3543,0)</f>
        <v>0</v>
      </c>
      <c r="AB3543" s="403"/>
    </row>
    <row r="3544" spans="1:28">
      <c r="A3544" s="384" t="str">
        <f t="shared" ref="A3544:B3544" si="11399">A3535</f>
        <v>Lantai 2</v>
      </c>
      <c r="B3544" s="385">
        <f t="shared" si="11399"/>
        <v>31</v>
      </c>
      <c r="C3544" s="393" t="s">
        <v>202</v>
      </c>
      <c r="D3544" s="398">
        <f>VLOOKUP(D3535,'Detail Balok'!$C$10:$AU$140,10,FALSE)</f>
        <v>3</v>
      </c>
      <c r="E3544" s="388" t="s">
        <v>16</v>
      </c>
      <c r="F3544" s="388">
        <f>VLOOKUP(D3535,'Detail Balok'!$C$10:$AU$140,12,FALSE)</f>
        <v>13</v>
      </c>
      <c r="G3544" s="388"/>
      <c r="H3544" s="395"/>
      <c r="I3544" s="388" t="s">
        <v>203</v>
      </c>
      <c r="J3544" s="399">
        <f t="shared" ref="J3544" si="11400">+D3537/4/1000</f>
        <v>0.66249999999999998</v>
      </c>
      <c r="K3544" s="400" t="s">
        <v>204</v>
      </c>
      <c r="L3544" s="399">
        <f t="shared" ref="L3544" si="11401">MAX(VLOOKUP(F3544,N$6:P$15,3,FALSE)/1000,2/3*D3539/1000)+F$16*F3544/1000</f>
        <v>0.156</v>
      </c>
      <c r="M3544" s="399" t="s">
        <v>176</v>
      </c>
      <c r="N3544" s="399">
        <f t="shared" si="11387"/>
        <v>0.81850000000000001</v>
      </c>
      <c r="O3544" s="399" t="s">
        <v>204</v>
      </c>
      <c r="P3544" s="389">
        <f t="shared" ref="P3544" si="11402">D3544-D3543</f>
        <v>0</v>
      </c>
      <c r="Q3544" s="399" t="s">
        <v>125</v>
      </c>
      <c r="R3544" s="399">
        <f t="shared" ref="R3544" si="11403">IF(P3544&gt;0,$F$18*F3544/1000,0)</f>
        <v>0</v>
      </c>
      <c r="S3544" s="399" t="s">
        <v>205</v>
      </c>
      <c r="T3544" s="399" t="s">
        <v>125</v>
      </c>
      <c r="U3544" s="401">
        <f t="shared" si="11390"/>
        <v>1.041885</v>
      </c>
      <c r="V3544" s="399"/>
      <c r="W3544" s="399"/>
      <c r="X3544" s="399" t="s">
        <v>125</v>
      </c>
      <c r="Y3544" s="389">
        <f t="shared" ref="Y3544" si="11404">D3541</f>
        <v>1</v>
      </c>
      <c r="Z3544" s="400" t="s">
        <v>176</v>
      </c>
      <c r="AA3544" s="402">
        <f t="shared" ref="AA3544" si="11405">IF(AA3545=0,(D3544*N3544+P3544*R3544)*U3544*Y3544,0)</f>
        <v>0</v>
      </c>
      <c r="AB3544" s="403"/>
    </row>
    <row r="3545" spans="1:28">
      <c r="A3545" s="384" t="str">
        <f t="shared" ref="A3545:B3545" si="11406">A3535</f>
        <v>Lantai 2</v>
      </c>
      <c r="B3545" s="385">
        <f t="shared" si="11406"/>
        <v>31</v>
      </c>
      <c r="C3545" s="393"/>
      <c r="D3545" s="398">
        <f t="shared" si="11209"/>
        <v>3</v>
      </c>
      <c r="E3545" s="388" t="s">
        <v>16</v>
      </c>
      <c r="F3545" s="388">
        <f t="shared" si="11210"/>
        <v>13</v>
      </c>
      <c r="G3545" s="388"/>
      <c r="H3545" s="395"/>
      <c r="I3545" s="388"/>
      <c r="J3545" s="396"/>
      <c r="K3545" s="396"/>
      <c r="L3545" s="404" t="s">
        <v>207</v>
      </c>
      <c r="M3545" s="399" t="s">
        <v>176</v>
      </c>
      <c r="N3545" s="399">
        <f t="shared" ref="N3545" si="11407">IF(AND(D3542=D3543,D3542=D3544,D3543=D3544,F3542=F3543,F3542=F3544,F3543=F3544),SUM(N3542:N3544),0)</f>
        <v>2.9619999999999997</v>
      </c>
      <c r="O3545" s="399" t="s">
        <v>204</v>
      </c>
      <c r="P3545" s="389">
        <f t="shared" ref="P3545" si="11408">IF(N3545&gt;12,ROUNDDOWN(N3545/12,0),0)</f>
        <v>0</v>
      </c>
      <c r="Q3545" s="399" t="s">
        <v>125</v>
      </c>
      <c r="R3545" s="399">
        <f t="shared" ref="R3545" si="11409">IF(P3545&gt;0,MAX(VLOOKUP(F3545,$D$6:$G$15,3,FALSE),600),0)/1000</f>
        <v>0</v>
      </c>
      <c r="S3545" s="396"/>
      <c r="T3545" s="396" t="s">
        <v>125</v>
      </c>
      <c r="U3545" s="401">
        <f t="shared" si="11214"/>
        <v>1.041885</v>
      </c>
      <c r="V3545" s="396" t="s">
        <v>125</v>
      </c>
      <c r="W3545" s="399">
        <f t="shared" ref="W3545" si="11410">D3545</f>
        <v>3</v>
      </c>
      <c r="X3545" s="399" t="s">
        <v>125</v>
      </c>
      <c r="Y3545" s="389">
        <f t="shared" si="11216"/>
        <v>1</v>
      </c>
      <c r="Z3545" s="400" t="s">
        <v>176</v>
      </c>
      <c r="AA3545" s="402">
        <f t="shared" ref="AA3545" si="11411">(N3545+P3545*R3545/1000)*U3545*W3545*Y3545</f>
        <v>9.2581901099999993</v>
      </c>
      <c r="AB3545" s="390"/>
    </row>
    <row r="3546" spans="1:28">
      <c r="A3546" s="384"/>
      <c r="B3546" s="385"/>
      <c r="C3546" s="393"/>
      <c r="D3546" s="398"/>
      <c r="E3546" s="388"/>
      <c r="F3546" s="388"/>
      <c r="G3546" s="388"/>
      <c r="H3546" s="395"/>
      <c r="I3546" s="388"/>
      <c r="J3546" s="396"/>
      <c r="K3546" s="396"/>
      <c r="L3546" s="404"/>
      <c r="M3546" s="399"/>
      <c r="N3546" s="399"/>
      <c r="O3546" s="396"/>
      <c r="P3546" s="389"/>
      <c r="Q3546" s="396"/>
      <c r="R3546" s="396"/>
      <c r="S3546" s="396"/>
      <c r="T3546" s="396"/>
      <c r="U3546" s="401"/>
      <c r="V3546" s="396"/>
      <c r="W3546" s="399"/>
      <c r="X3546" s="396"/>
      <c r="Y3546" s="389"/>
      <c r="Z3546" s="396"/>
      <c r="AA3546" s="388"/>
      <c r="AB3546" s="390"/>
    </row>
    <row r="3547" spans="1:28">
      <c r="A3547" s="384" t="str">
        <f t="shared" ref="A3547:B3547" si="11412">A3535</f>
        <v>Lantai 2</v>
      </c>
      <c r="B3547" s="385">
        <f t="shared" si="11412"/>
        <v>31</v>
      </c>
      <c r="C3547" s="393" t="s">
        <v>208</v>
      </c>
      <c r="D3547" s="398">
        <f>VLOOKUP(D3535,'Detail Balok'!$C$10:$AU$140,13,FALSE)</f>
        <v>0</v>
      </c>
      <c r="E3547" s="388" t="s">
        <v>16</v>
      </c>
      <c r="F3547" s="388">
        <f>VLOOKUP(D3535,'Detail Balok'!$C$10:$AU$140,15,FALSE)</f>
        <v>8</v>
      </c>
      <c r="G3547" s="388"/>
      <c r="H3547" s="395"/>
      <c r="I3547" s="388"/>
      <c r="J3547" s="399">
        <f t="shared" ref="J3547" si="11413">+D3537/1000</f>
        <v>2.65</v>
      </c>
      <c r="K3547" s="400" t="s">
        <v>204</v>
      </c>
      <c r="L3547" s="399">
        <f t="shared" ref="L3547" si="11414">2*$F$16*F3547/1000</f>
        <v>0.192</v>
      </c>
      <c r="M3547" s="399" t="s">
        <v>176</v>
      </c>
      <c r="N3547" s="399">
        <f t="shared" ref="N3547" si="11415">J3547+L3547</f>
        <v>2.8420000000000001</v>
      </c>
      <c r="O3547" s="399" t="s">
        <v>204</v>
      </c>
      <c r="P3547" s="389">
        <f t="shared" ref="P3547" si="11416">IF(N3547&gt;12,ROUNDDOWN(N3547/12,0),0)</f>
        <v>0</v>
      </c>
      <c r="Q3547" s="399" t="s">
        <v>125</v>
      </c>
      <c r="R3547" s="399">
        <f t="shared" ref="R3547" si="11417">IF(P3547&gt;0,MAX(VLOOKUP(F3547,$D$6:$G$15,3,FALSE),600),0)/1000</f>
        <v>0</v>
      </c>
      <c r="S3547" s="399"/>
      <c r="T3547" s="399" t="s">
        <v>125</v>
      </c>
      <c r="U3547" s="401">
        <f t="shared" ref="U3547" si="11418">0.006165*F3547^2</f>
        <v>0.39456000000000002</v>
      </c>
      <c r="V3547" s="399" t="s">
        <v>125</v>
      </c>
      <c r="W3547" s="399">
        <f t="shared" ref="W3547" si="11419">+D3547</f>
        <v>0</v>
      </c>
      <c r="X3547" s="399" t="s">
        <v>125</v>
      </c>
      <c r="Y3547" s="389">
        <f t="shared" ref="Y3547" si="11420">D3541</f>
        <v>1</v>
      </c>
      <c r="Z3547" s="400" t="s">
        <v>176</v>
      </c>
      <c r="AA3547" s="402">
        <f t="shared" ref="AA3547" si="11421">(N3547+P3547*R3547/1000)*U3547*W3547*Y3547</f>
        <v>0</v>
      </c>
      <c r="AB3547" s="403"/>
    </row>
    <row r="3548" spans="1:28">
      <c r="A3548" s="384"/>
      <c r="B3548" s="385"/>
      <c r="C3548" s="393"/>
      <c r="D3548" s="398"/>
      <c r="E3548" s="388"/>
      <c r="F3548" s="388"/>
      <c r="G3548" s="388"/>
      <c r="H3548" s="395"/>
      <c r="I3548" s="388"/>
      <c r="J3548" s="399"/>
      <c r="K3548" s="400"/>
      <c r="L3548" s="399"/>
      <c r="M3548" s="399"/>
      <c r="N3548" s="399"/>
      <c r="O3548" s="399"/>
      <c r="P3548" s="389"/>
      <c r="Q3548" s="399"/>
      <c r="R3548" s="399"/>
      <c r="S3548" s="399"/>
      <c r="T3548" s="399"/>
      <c r="U3548" s="401"/>
      <c r="V3548" s="399"/>
      <c r="W3548" s="399"/>
      <c r="X3548" s="399"/>
      <c r="Y3548" s="389"/>
      <c r="Z3548" s="400"/>
      <c r="AA3548" s="402"/>
      <c r="AB3548" s="403"/>
    </row>
    <row r="3549" spans="1:28">
      <c r="A3549" s="384"/>
      <c r="B3549" s="385"/>
      <c r="C3549" s="393"/>
      <c r="D3549" s="398"/>
      <c r="E3549" s="388"/>
      <c r="F3549" s="388"/>
      <c r="G3549" s="388"/>
      <c r="H3549" s="395"/>
      <c r="I3549" s="388"/>
      <c r="J3549" s="396"/>
      <c r="K3549" s="396"/>
      <c r="L3549" s="396"/>
      <c r="M3549" s="396"/>
      <c r="N3549" s="396"/>
      <c r="O3549" s="396"/>
      <c r="P3549" s="389"/>
      <c r="Q3549" s="396"/>
      <c r="R3549" s="396"/>
      <c r="S3549" s="396"/>
      <c r="T3549" s="396"/>
      <c r="U3549" s="401"/>
      <c r="V3549" s="396"/>
      <c r="W3549" s="399"/>
      <c r="X3549" s="396"/>
      <c r="Y3549" s="389"/>
      <c r="Z3549" s="396"/>
      <c r="AA3549" s="388"/>
      <c r="AB3549" s="390"/>
    </row>
    <row r="3550" spans="1:28">
      <c r="A3550" s="384" t="str">
        <f t="shared" ref="A3550:B3550" si="11422">A3535</f>
        <v>Lantai 2</v>
      </c>
      <c r="B3550" s="385">
        <f t="shared" si="11422"/>
        <v>31</v>
      </c>
      <c r="C3550" s="393" t="s">
        <v>209</v>
      </c>
      <c r="D3550" s="398">
        <f>VLOOKUP(D3535,'Detail Balok'!$C$10:$AU$140,22,FALSE)</f>
        <v>3</v>
      </c>
      <c r="E3550" s="388" t="s">
        <v>16</v>
      </c>
      <c r="F3550" s="388">
        <f>VLOOKUP(D3535,'Detail Balok'!$C$10:$AU$140,24,FALSE)</f>
        <v>13</v>
      </c>
      <c r="G3550" s="388"/>
      <c r="H3550" s="395"/>
      <c r="I3550" s="388" t="s">
        <v>203</v>
      </c>
      <c r="J3550" s="399">
        <f t="shared" si="11229"/>
        <v>0.66249999999999998</v>
      </c>
      <c r="K3550" s="400" t="s">
        <v>204</v>
      </c>
      <c r="L3550" s="399">
        <f t="shared" ref="L3550" si="11423">MAX(VLOOKUP(F3550,N$6:P$15,3,FALSE)/1000,2/3*D3540/1000)+F$16*F3550/1000</f>
        <v>0.156</v>
      </c>
      <c r="M3550" s="399" t="s">
        <v>176</v>
      </c>
      <c r="N3550" s="399">
        <f t="shared" ref="N3550:N3552" si="11424">J3550+L3550</f>
        <v>0.81850000000000001</v>
      </c>
      <c r="O3550" s="399" t="s">
        <v>204</v>
      </c>
      <c r="P3550" s="389">
        <f t="shared" ref="P3550" si="11425">D3550-D3551</f>
        <v>0</v>
      </c>
      <c r="Q3550" s="399" t="s">
        <v>125</v>
      </c>
      <c r="R3550" s="399">
        <f t="shared" ref="R3550" si="11426">IF(P3550&gt;0,$F$18*F3550/1000,0)</f>
        <v>0</v>
      </c>
      <c r="S3550" s="399" t="s">
        <v>205</v>
      </c>
      <c r="T3550" s="399" t="s">
        <v>125</v>
      </c>
      <c r="U3550" s="401">
        <f t="shared" ref="U3550:U3552" si="11427">0.006165*F3550^2</f>
        <v>1.041885</v>
      </c>
      <c r="V3550" s="399"/>
      <c r="W3550" s="399"/>
      <c r="X3550" s="399" t="s">
        <v>125</v>
      </c>
      <c r="Y3550" s="389">
        <f t="shared" ref="Y3550" si="11428">D3541</f>
        <v>1</v>
      </c>
      <c r="Z3550" s="400" t="s">
        <v>176</v>
      </c>
      <c r="AA3550" s="402">
        <f t="shared" ref="AA3550" si="11429">IF(AA3553=0,(D3550*N3550+P3550*R3550)*U3550*Y3550,0)</f>
        <v>0</v>
      </c>
      <c r="AB3550" s="403"/>
    </row>
    <row r="3551" spans="1:28">
      <c r="A3551" s="384" t="str">
        <f t="shared" ref="A3551:B3551" si="11430">A3535</f>
        <v>Lantai 2</v>
      </c>
      <c r="B3551" s="385">
        <f t="shared" si="11430"/>
        <v>31</v>
      </c>
      <c r="C3551" s="393" t="s">
        <v>210</v>
      </c>
      <c r="D3551" s="398">
        <f>VLOOKUP(D3535,'Detail Balok'!$C$10:$AU$140,25,FALSE)</f>
        <v>3</v>
      </c>
      <c r="E3551" s="388" t="s">
        <v>16</v>
      </c>
      <c r="F3551" s="388">
        <f>VLOOKUP(D3535,'Detail Balok'!$C$10:$AU$140,27,FALSE)</f>
        <v>13</v>
      </c>
      <c r="G3551" s="388"/>
      <c r="H3551" s="395"/>
      <c r="I3551" s="388" t="s">
        <v>203</v>
      </c>
      <c r="J3551" s="399">
        <f t="shared" si="11229"/>
        <v>1.325</v>
      </c>
      <c r="K3551" s="400" t="s">
        <v>204</v>
      </c>
      <c r="L3551" s="399"/>
      <c r="M3551" s="399" t="s">
        <v>176</v>
      </c>
      <c r="N3551" s="399">
        <f t="shared" si="11424"/>
        <v>1.325</v>
      </c>
      <c r="O3551" s="399" t="s">
        <v>204</v>
      </c>
      <c r="P3551" s="389">
        <f t="shared" ref="P3551" si="11431">MAX(D3551-D3550,D3551-D3552)</f>
        <v>0</v>
      </c>
      <c r="Q3551" s="399" t="s">
        <v>125</v>
      </c>
      <c r="R3551" s="399">
        <f t="shared" ref="R3551" si="11432">IF(P3551&gt;0,2*(1-2*$F$19-1/2)*D3538/1000,0)</f>
        <v>0</v>
      </c>
      <c r="S3551" s="399" t="s">
        <v>205</v>
      </c>
      <c r="T3551" s="399" t="s">
        <v>125</v>
      </c>
      <c r="U3551" s="401">
        <f t="shared" si="11427"/>
        <v>1.041885</v>
      </c>
      <c r="V3551" s="399"/>
      <c r="W3551" s="399"/>
      <c r="X3551" s="399" t="s">
        <v>125</v>
      </c>
      <c r="Y3551" s="389">
        <f t="shared" ref="Y3551" si="11433">D3541</f>
        <v>1</v>
      </c>
      <c r="Z3551" s="400" t="s">
        <v>176</v>
      </c>
      <c r="AA3551" s="402">
        <f t="shared" ref="AA3551" si="11434">IF(AA3553=0,(D3551*N3551+P3551*R3551)*U3551*Y3551,0)</f>
        <v>0</v>
      </c>
      <c r="AB3551" s="403"/>
    </row>
    <row r="3552" spans="1:28">
      <c r="A3552" s="384" t="str">
        <f t="shared" ref="A3552:B3552" si="11435">A3535</f>
        <v>Lantai 2</v>
      </c>
      <c r="B3552" s="385">
        <f t="shared" si="11435"/>
        <v>31</v>
      </c>
      <c r="C3552" s="393" t="s">
        <v>209</v>
      </c>
      <c r="D3552" s="398">
        <f>VLOOKUP(D3535,'Detail Balok'!$C$10:$AU$140,28,FALSE)</f>
        <v>3</v>
      </c>
      <c r="E3552" s="388" t="s">
        <v>16</v>
      </c>
      <c r="F3552" s="388">
        <f>VLOOKUP(D3535,'Detail Balok'!$C$10:$AU$140,30,FALSE)</f>
        <v>13</v>
      </c>
      <c r="G3552" s="388"/>
      <c r="H3552" s="395"/>
      <c r="I3552" s="388" t="s">
        <v>203</v>
      </c>
      <c r="J3552" s="399">
        <f t="shared" si="11229"/>
        <v>0.66249999999999998</v>
      </c>
      <c r="K3552" s="400" t="s">
        <v>204</v>
      </c>
      <c r="L3552" s="399">
        <f t="shared" ref="L3552" si="11436">MAX(VLOOKUP(F3552,N$6:P$15,3,FALSE)/1000,2/3*D3540/1000)+F$16*F3552/1000</f>
        <v>0.156</v>
      </c>
      <c r="M3552" s="399" t="s">
        <v>176</v>
      </c>
      <c r="N3552" s="399">
        <f t="shared" si="11424"/>
        <v>0.81850000000000001</v>
      </c>
      <c r="O3552" s="399" t="s">
        <v>204</v>
      </c>
      <c r="P3552" s="389">
        <f t="shared" ref="P3552" si="11437">D3552-D3551</f>
        <v>0</v>
      </c>
      <c r="Q3552" s="399" t="s">
        <v>125</v>
      </c>
      <c r="R3552" s="399">
        <f t="shared" ref="R3552" si="11438">IF(P3552&gt;0,$F$18*F3552/1000,0)</f>
        <v>0</v>
      </c>
      <c r="S3552" s="399" t="s">
        <v>205</v>
      </c>
      <c r="T3552" s="399" t="s">
        <v>125</v>
      </c>
      <c r="U3552" s="401">
        <f t="shared" si="11427"/>
        <v>1.041885</v>
      </c>
      <c r="V3552" s="399"/>
      <c r="W3552" s="399"/>
      <c r="X3552" s="399" t="s">
        <v>125</v>
      </c>
      <c r="Y3552" s="389">
        <f t="shared" ref="Y3552" si="11439">D3541</f>
        <v>1</v>
      </c>
      <c r="Z3552" s="400" t="s">
        <v>176</v>
      </c>
      <c r="AA3552" s="402">
        <f t="shared" ref="AA3552" si="11440">IF(AA3553=0,(D3552*N3552+P3552*R3552)*U3552*Y3552,0)</f>
        <v>0</v>
      </c>
      <c r="AB3552" s="403"/>
    </row>
    <row r="3553" spans="1:28">
      <c r="A3553" s="384" t="str">
        <f t="shared" ref="A3553:B3553" si="11441">A3535</f>
        <v>Lantai 2</v>
      </c>
      <c r="B3553" s="385">
        <f t="shared" si="11441"/>
        <v>31</v>
      </c>
      <c r="C3553" s="393"/>
      <c r="D3553" s="398">
        <f t="shared" si="11249"/>
        <v>3</v>
      </c>
      <c r="E3553" s="388" t="s">
        <v>16</v>
      </c>
      <c r="F3553" s="388">
        <f t="shared" si="11250"/>
        <v>13</v>
      </c>
      <c r="G3553" s="388"/>
      <c r="H3553" s="395"/>
      <c r="I3553" s="388"/>
      <c r="J3553" s="396"/>
      <c r="K3553" s="396"/>
      <c r="L3553" s="404" t="s">
        <v>207</v>
      </c>
      <c r="M3553" s="399" t="s">
        <v>176</v>
      </c>
      <c r="N3553" s="399">
        <f t="shared" ref="N3553" si="11442">IF(AND(D3550=D3551,D3550=D3552,D3551=D3552,F3550=F3551,F3550=F3552,F3551=F3552),SUM(N3550:N3552),0)</f>
        <v>2.9619999999999997</v>
      </c>
      <c r="O3553" s="399" t="s">
        <v>204</v>
      </c>
      <c r="P3553" s="389">
        <f t="shared" ref="P3553" si="11443">IF(N3553&gt;12,ROUNDDOWN(N3553/12,0),0)</f>
        <v>0</v>
      </c>
      <c r="Q3553" s="399" t="s">
        <v>125</v>
      </c>
      <c r="R3553" s="399">
        <f t="shared" ref="R3553" si="11444">IF(P3553&gt;0,MAX(VLOOKUP(F3553,$D$6:$G$15,3,FALSE),600),0)/1000</f>
        <v>0</v>
      </c>
      <c r="S3553" s="396"/>
      <c r="T3553" s="396" t="s">
        <v>125</v>
      </c>
      <c r="U3553" s="401">
        <f t="shared" si="11254"/>
        <v>1.041885</v>
      </c>
      <c r="V3553" s="396" t="s">
        <v>125</v>
      </c>
      <c r="W3553" s="399">
        <f t="shared" ref="W3553" si="11445">D3553</f>
        <v>3</v>
      </c>
      <c r="X3553" s="399" t="s">
        <v>125</v>
      </c>
      <c r="Y3553" s="389">
        <f t="shared" si="11256"/>
        <v>1</v>
      </c>
      <c r="Z3553" s="400" t="s">
        <v>176</v>
      </c>
      <c r="AA3553" s="402">
        <f t="shared" ref="AA3553" si="11446">(N3553+P3553*R3553/1000)*U3553*W3553*Y3553</f>
        <v>9.2581901099999993</v>
      </c>
      <c r="AB3553" s="403"/>
    </row>
    <row r="3554" spans="1:28">
      <c r="A3554" s="384"/>
      <c r="B3554" s="385"/>
      <c r="C3554" s="393"/>
      <c r="D3554" s="394"/>
      <c r="E3554" s="388"/>
      <c r="F3554" s="388"/>
      <c r="G3554" s="388"/>
      <c r="H3554" s="395"/>
      <c r="I3554" s="388"/>
      <c r="J3554" s="399"/>
      <c r="K3554" s="396"/>
      <c r="L3554" s="396"/>
      <c r="M3554" s="396"/>
      <c r="N3554" s="396"/>
      <c r="O3554" s="396"/>
      <c r="P3554" s="389"/>
      <c r="Q3554" s="396"/>
      <c r="R3554" s="396"/>
      <c r="S3554" s="396"/>
      <c r="T3554" s="396"/>
      <c r="U3554" s="401"/>
      <c r="V3554" s="396"/>
      <c r="W3554" s="388"/>
      <c r="X3554" s="396"/>
      <c r="Y3554" s="389"/>
      <c r="Z3554" s="396"/>
      <c r="AA3554" s="388"/>
      <c r="AB3554" s="390"/>
    </row>
    <row r="3555" spans="1:28">
      <c r="A3555" s="384" t="str">
        <f t="shared" ref="A3555:B3555" si="11447">A3535</f>
        <v>Lantai 2</v>
      </c>
      <c r="B3555" s="385">
        <f t="shared" si="11447"/>
        <v>31</v>
      </c>
      <c r="C3555" s="393" t="s">
        <v>211</v>
      </c>
      <c r="D3555" s="398">
        <f>VLOOKUP(D3535,'Detail Balok'!$C$10:$AU$140,31,FALSE)</f>
        <v>0</v>
      </c>
      <c r="E3555" s="388" t="s">
        <v>16</v>
      </c>
      <c r="F3555" s="388">
        <f>VLOOKUP(D3535,'Detail Balok'!$C$10:$AU$140,33,FALSE)</f>
        <v>10</v>
      </c>
      <c r="G3555" s="405" t="s">
        <v>157</v>
      </c>
      <c r="H3555" s="395">
        <f>VLOOKUP(D3535,'Detail Balok'!$C$10:$AU$140,35,FALSE)</f>
        <v>100</v>
      </c>
      <c r="I3555" s="388"/>
      <c r="J3555" s="400">
        <f t="shared" ref="J3555" si="11448">(IF(D3555=0,(2*(D3536+G3536))-(F$5*8),IF(D3555=3,(2*(D3536+G3536))-(F$5*8)+(G3536-2*F$5),IF(D3555=4,(2*(D3536+G3536))-(F$5*8)+2*(G3536-2*F$5)))))/1000</f>
        <v>0.68</v>
      </c>
      <c r="K3555" s="400" t="s">
        <v>204</v>
      </c>
      <c r="L3555" s="399">
        <f t="shared" ref="L3555:L3557" si="11449">IF(D3555=0,2*MAX(6*F3555,75),(D3555-1)*2*MAX(6*F3555,75))/1000</f>
        <v>0.15</v>
      </c>
      <c r="M3555" s="399" t="s">
        <v>176</v>
      </c>
      <c r="N3555" s="399">
        <f t="shared" ref="N3555:N3557" si="11450">J3555+L3555</f>
        <v>0.83000000000000007</v>
      </c>
      <c r="O3555" s="399"/>
      <c r="P3555" s="389"/>
      <c r="Q3555" s="399"/>
      <c r="R3555" s="399"/>
      <c r="S3555" s="399"/>
      <c r="T3555" s="399" t="s">
        <v>125</v>
      </c>
      <c r="U3555" s="401">
        <f t="shared" ref="U3555:U3557" si="11451">0.006165*F3555^2</f>
        <v>0.61650000000000005</v>
      </c>
      <c r="V3555" s="399" t="s">
        <v>125</v>
      </c>
      <c r="W3555" s="399">
        <f t="shared" ref="W3555" si="11452">IF(D3538&gt;4*G3536,ROUND(MAX(D3538/4,2*G3536)/H3555,0)+1,ROUND(D3538/H3555,0)+1)</f>
        <v>8</v>
      </c>
      <c r="X3555" s="399" t="s">
        <v>125</v>
      </c>
      <c r="Y3555" s="389">
        <f t="shared" ref="Y3555" si="11453">D3541</f>
        <v>1</v>
      </c>
      <c r="Z3555" s="400" t="s">
        <v>176</v>
      </c>
      <c r="AA3555" s="402">
        <f t="shared" ref="AA3555:AA3557" si="11454">N3555*U3555*W3555*Y3555</f>
        <v>4.093560000000001</v>
      </c>
      <c r="AB3555" s="403"/>
    </row>
    <row r="3556" spans="1:28">
      <c r="A3556" s="384" t="str">
        <f t="shared" ref="A3556:B3556" si="11455">A3535</f>
        <v>Lantai 2</v>
      </c>
      <c r="B3556" s="385">
        <f t="shared" si="11455"/>
        <v>31</v>
      </c>
      <c r="C3556" s="393" t="s">
        <v>212</v>
      </c>
      <c r="D3556" s="398">
        <f>VLOOKUP(D3535,'Detail Balok'!$C$10:$AU$140,36,FALSE)</f>
        <v>0</v>
      </c>
      <c r="E3556" s="388" t="s">
        <v>16</v>
      </c>
      <c r="F3556" s="388">
        <f>VLOOKUP(D3535,'Detail Balok'!$C$10:$AU$140,38,FALSE)</f>
        <v>10</v>
      </c>
      <c r="G3556" s="405" t="s">
        <v>157</v>
      </c>
      <c r="H3556" s="395">
        <f>VLOOKUP(D3535,'Detail Balok'!$C$10:$AU$140,40,FALSE)</f>
        <v>200</v>
      </c>
      <c r="I3556" s="388"/>
      <c r="J3556" s="400">
        <f t="shared" ref="J3556" si="11456">(IF(D3556=0,(2*(D3536+G3536))-(F$5*8),IF(D3556=3,(2*(D3536+G3536))-(F$5*8)+(G3536-2*F$5),IF(D3556=4,(2*(D3536+G3536))-(F$5*8)+2*(G3536-2*F$5)))))/1000</f>
        <v>0.68</v>
      </c>
      <c r="K3556" s="400" t="s">
        <v>204</v>
      </c>
      <c r="L3556" s="399">
        <f t="shared" si="11449"/>
        <v>0.15</v>
      </c>
      <c r="M3556" s="399" t="s">
        <v>176</v>
      </c>
      <c r="N3556" s="399">
        <f t="shared" si="11450"/>
        <v>0.83000000000000007</v>
      </c>
      <c r="O3556" s="399"/>
      <c r="P3556" s="389"/>
      <c r="Q3556" s="399"/>
      <c r="R3556" s="399"/>
      <c r="S3556" s="399"/>
      <c r="T3556" s="399" t="s">
        <v>125</v>
      </c>
      <c r="U3556" s="401">
        <f t="shared" si="11451"/>
        <v>0.61650000000000005</v>
      </c>
      <c r="V3556" s="399" t="s">
        <v>125</v>
      </c>
      <c r="W3556" s="399">
        <f t="shared" ref="W3556" si="11457">IF(D3538-MAX(D3538/4,2*G3536)*2&gt;0,ROUND((D3538-MAX(D3538/4,2*G3536)*2)/H3556,0),0)</f>
        <v>7</v>
      </c>
      <c r="X3556" s="399" t="s">
        <v>125</v>
      </c>
      <c r="Y3556" s="389">
        <f t="shared" ref="Y3556" si="11458">D3541</f>
        <v>1</v>
      </c>
      <c r="Z3556" s="400" t="s">
        <v>176</v>
      </c>
      <c r="AA3556" s="402">
        <f t="shared" si="11454"/>
        <v>3.581865000000001</v>
      </c>
      <c r="AB3556" s="403"/>
    </row>
    <row r="3557" spans="1:28">
      <c r="A3557" s="384" t="str">
        <f t="shared" ref="A3557:B3557" si="11459">A3535</f>
        <v>Lantai 2</v>
      </c>
      <c r="B3557" s="385">
        <f t="shared" si="11459"/>
        <v>31</v>
      </c>
      <c r="C3557" s="393" t="s">
        <v>211</v>
      </c>
      <c r="D3557" s="398">
        <f>VLOOKUP(D3535,'Detail Balok'!$C$10:$AU$140,41,FALSE)</f>
        <v>0</v>
      </c>
      <c r="E3557" s="388" t="s">
        <v>16</v>
      </c>
      <c r="F3557" s="388">
        <f>VLOOKUP(D3535,'Detail Balok'!$C$10:$AU$140,43,FALSE)</f>
        <v>10</v>
      </c>
      <c r="G3557" s="405" t="s">
        <v>157</v>
      </c>
      <c r="H3557" s="395">
        <f>VLOOKUP(D3535,'Detail Balok'!$C$10:$AU$140,45,FALSE)</f>
        <v>100</v>
      </c>
      <c r="I3557" s="388"/>
      <c r="J3557" s="400">
        <f t="shared" ref="J3557" si="11460">(IF(D3557=0,(2*(D3536+G3536))-(F$5*8),IF(D3557=3,(2*(D3536+G3536))-(F$5*8)+(G3536-2*F$5),IF(D3557=4,(2*(D3536+G3536))-(F$5*8)+2*(G3536-2*F$5)))))/1000</f>
        <v>0.68</v>
      </c>
      <c r="K3557" s="400" t="s">
        <v>204</v>
      </c>
      <c r="L3557" s="399">
        <f t="shared" si="11449"/>
        <v>0.15</v>
      </c>
      <c r="M3557" s="399" t="s">
        <v>176</v>
      </c>
      <c r="N3557" s="399">
        <f t="shared" si="11450"/>
        <v>0.83000000000000007</v>
      </c>
      <c r="O3557" s="399"/>
      <c r="P3557" s="389"/>
      <c r="Q3557" s="399"/>
      <c r="R3557" s="399"/>
      <c r="S3557" s="399"/>
      <c r="T3557" s="399" t="s">
        <v>125</v>
      </c>
      <c r="U3557" s="401">
        <f t="shared" si="11451"/>
        <v>0.61650000000000005</v>
      </c>
      <c r="V3557" s="399" t="s">
        <v>125</v>
      </c>
      <c r="W3557" s="399">
        <f t="shared" ref="W3557" si="11461">IF(D3538&gt;4*G3536,ROUND(MAX(D3538/4,2*G3536)/H3557,0)+1,0)</f>
        <v>8</v>
      </c>
      <c r="X3557" s="399" t="s">
        <v>125</v>
      </c>
      <c r="Y3557" s="389">
        <f t="shared" ref="Y3557" si="11462">D3541</f>
        <v>1</v>
      </c>
      <c r="Z3557" s="400" t="s">
        <v>176</v>
      </c>
      <c r="AA3557" s="402">
        <f t="shared" si="11454"/>
        <v>4.093560000000001</v>
      </c>
      <c r="AB3557" s="403"/>
    </row>
    <row r="3558" spans="1:28">
      <c r="A3558" s="384"/>
      <c r="B3558" s="385"/>
      <c r="C3558" s="393"/>
      <c r="D3558" s="394"/>
      <c r="E3558" s="388"/>
      <c r="F3558" s="388"/>
      <c r="G3558" s="388"/>
      <c r="H3558" s="395"/>
      <c r="I3558" s="388"/>
      <c r="J3558" s="399"/>
      <c r="K3558" s="396"/>
      <c r="L3558" s="396"/>
      <c r="M3558" s="396"/>
      <c r="N3558" s="396"/>
      <c r="O3558" s="396"/>
      <c r="P3558" s="389"/>
      <c r="Q3558" s="396"/>
      <c r="R3558" s="396"/>
      <c r="S3558" s="396"/>
      <c r="T3558" s="396"/>
      <c r="U3558" s="401"/>
      <c r="V3558" s="396"/>
      <c r="W3558" s="388"/>
      <c r="X3558" s="396"/>
      <c r="Y3558" s="389"/>
      <c r="Z3558" s="396"/>
      <c r="AA3558" s="388"/>
      <c r="AB3558" s="390"/>
    </row>
    <row r="3559" spans="1:28">
      <c r="A3559" s="384" t="str">
        <f t="shared" ref="A3559:B3559" si="11463">A3535</f>
        <v>Lantai 2</v>
      </c>
      <c r="B3559" s="385">
        <f t="shared" si="11463"/>
        <v>31</v>
      </c>
      <c r="C3559" s="393" t="s">
        <v>213</v>
      </c>
      <c r="D3559" s="398">
        <f>VLOOKUP(D3535,'Detail Balok'!$C$10:$BJ$140,46,FALSE)</f>
        <v>0</v>
      </c>
      <c r="E3559" s="388" t="s">
        <v>16</v>
      </c>
      <c r="F3559" s="388">
        <f>VLOOKUP(D3535,'Detail Balok'!$C$10:$BJ$140,48,FALSE)</f>
        <v>0</v>
      </c>
      <c r="G3559" s="405" t="s">
        <v>157</v>
      </c>
      <c r="H3559" s="395">
        <f>VLOOKUP(D3535,'Detail Balok'!$C$10:$BJ$140,50,FALSE)</f>
        <v>100</v>
      </c>
      <c r="I3559" s="388"/>
      <c r="J3559" s="399">
        <f t="shared" ref="J3559" si="11464">(D3536-2*F$5)/1000</f>
        <v>0.12</v>
      </c>
      <c r="K3559" s="400" t="s">
        <v>204</v>
      </c>
      <c r="L3559" s="399">
        <f t="shared" ref="L3559:L3561" si="11465">IF(D3559=0,2*MAX(6*F3559,75),(D3559-1)*2*MAX(6*F3559,75))/1000</f>
        <v>0.15</v>
      </c>
      <c r="M3559" s="399" t="s">
        <v>176</v>
      </c>
      <c r="N3559" s="399">
        <f t="shared" ref="N3559:N3561" si="11466">J3559+L3559</f>
        <v>0.27</v>
      </c>
      <c r="O3559" s="399"/>
      <c r="P3559" s="399"/>
      <c r="Q3559" s="399"/>
      <c r="R3559" s="399"/>
      <c r="S3559" s="399"/>
      <c r="T3559" s="399" t="s">
        <v>125</v>
      </c>
      <c r="U3559" s="401">
        <f t="shared" ref="U3559:U3561" si="11467">0.006165*F3559^2</f>
        <v>0</v>
      </c>
      <c r="V3559" s="399" t="s">
        <v>125</v>
      </c>
      <c r="W3559" s="399">
        <f t="shared" si="11279"/>
        <v>8</v>
      </c>
      <c r="X3559" s="399" t="s">
        <v>125</v>
      </c>
      <c r="Y3559" s="389">
        <f t="shared" ref="Y3559" si="11468">D3545</f>
        <v>3</v>
      </c>
      <c r="Z3559" s="400" t="s">
        <v>176</v>
      </c>
      <c r="AA3559" s="402">
        <f t="shared" ref="AA3559:AA3561" si="11469">N3559*U3559*W3559*Y3559</f>
        <v>0</v>
      </c>
      <c r="AB3559" s="403"/>
    </row>
    <row r="3560" spans="1:28">
      <c r="A3560" s="384" t="str">
        <f t="shared" ref="A3560:B3560" si="11470">A3535</f>
        <v>Lantai 2</v>
      </c>
      <c r="B3560" s="385">
        <f t="shared" si="11470"/>
        <v>31</v>
      </c>
      <c r="C3560" s="393" t="s">
        <v>214</v>
      </c>
      <c r="D3560" s="398">
        <f>VLOOKUP(D3535,'Detail Balok'!$C$10:$BJ$140,51,FALSE)</f>
        <v>0</v>
      </c>
      <c r="E3560" s="388" t="s">
        <v>16</v>
      </c>
      <c r="F3560" s="388">
        <f>VLOOKUP(D3535,'Detail Balok'!$C$10:$BJ$140,53,FALSE)</f>
        <v>0</v>
      </c>
      <c r="G3560" s="405" t="s">
        <v>157</v>
      </c>
      <c r="H3560" s="395">
        <f>VLOOKUP(D3535,'Detail Balok'!$C$10:$BJ$140,55,FALSE)</f>
        <v>100</v>
      </c>
      <c r="I3560" s="388"/>
      <c r="J3560" s="399">
        <f t="shared" ref="J3560" si="11471">(D3536-2*F$5)/1000</f>
        <v>0.12</v>
      </c>
      <c r="K3560" s="400" t="s">
        <v>204</v>
      </c>
      <c r="L3560" s="399">
        <f t="shared" si="11465"/>
        <v>0.15</v>
      </c>
      <c r="M3560" s="399" t="s">
        <v>176</v>
      </c>
      <c r="N3560" s="399">
        <f t="shared" si="11466"/>
        <v>0.27</v>
      </c>
      <c r="O3560" s="399"/>
      <c r="P3560" s="399"/>
      <c r="Q3560" s="399"/>
      <c r="R3560" s="399"/>
      <c r="S3560" s="399"/>
      <c r="T3560" s="399" t="s">
        <v>125</v>
      </c>
      <c r="U3560" s="401">
        <f t="shared" si="11467"/>
        <v>0</v>
      </c>
      <c r="V3560" s="399" t="s">
        <v>125</v>
      </c>
      <c r="W3560" s="399">
        <f t="shared" si="11279"/>
        <v>7</v>
      </c>
      <c r="X3560" s="399" t="s">
        <v>125</v>
      </c>
      <c r="Y3560" s="389">
        <f t="shared" ref="Y3560" si="11472">D3545</f>
        <v>3</v>
      </c>
      <c r="Z3560" s="400" t="s">
        <v>176</v>
      </c>
      <c r="AA3560" s="402">
        <f t="shared" si="11469"/>
        <v>0</v>
      </c>
      <c r="AB3560" s="403"/>
    </row>
    <row r="3561" spans="1:28">
      <c r="A3561" s="384" t="str">
        <f t="shared" ref="A3561:B3561" si="11473">A3535</f>
        <v>Lantai 2</v>
      </c>
      <c r="B3561" s="385">
        <f t="shared" si="11473"/>
        <v>31</v>
      </c>
      <c r="C3561" s="393" t="s">
        <v>213</v>
      </c>
      <c r="D3561" s="398">
        <f>VLOOKUP(D3535,'Detail Balok'!$C$10:$BJ$140,56,FALSE)</f>
        <v>0</v>
      </c>
      <c r="E3561" s="388" t="s">
        <v>16</v>
      </c>
      <c r="F3561" s="388">
        <f>VLOOKUP(D3535,'Detail Balok'!$C$10:$BJ$140,58,FALSE)</f>
        <v>0</v>
      </c>
      <c r="G3561" s="405" t="s">
        <v>157</v>
      </c>
      <c r="H3561" s="395">
        <f>VLOOKUP(D3535,'Detail Balok'!$C$10:$BJ$140,60,FALSE)</f>
        <v>100</v>
      </c>
      <c r="I3561" s="388"/>
      <c r="J3561" s="399">
        <f t="shared" ref="J3561" si="11474">(D3536-2*F$5)/1000</f>
        <v>0.12</v>
      </c>
      <c r="K3561" s="400" t="s">
        <v>204</v>
      </c>
      <c r="L3561" s="399">
        <f t="shared" si="11465"/>
        <v>0.15</v>
      </c>
      <c r="M3561" s="399" t="s">
        <v>176</v>
      </c>
      <c r="N3561" s="399">
        <f t="shared" si="11466"/>
        <v>0.27</v>
      </c>
      <c r="O3561" s="399"/>
      <c r="P3561" s="399"/>
      <c r="Q3561" s="399"/>
      <c r="R3561" s="399"/>
      <c r="S3561" s="399"/>
      <c r="T3561" s="399" t="s">
        <v>125</v>
      </c>
      <c r="U3561" s="401">
        <f t="shared" si="11467"/>
        <v>0</v>
      </c>
      <c r="V3561" s="399" t="s">
        <v>125</v>
      </c>
      <c r="W3561" s="399">
        <f t="shared" si="11279"/>
        <v>8</v>
      </c>
      <c r="X3561" s="399" t="s">
        <v>125</v>
      </c>
      <c r="Y3561" s="389">
        <f t="shared" ref="Y3561" si="11475">D3545</f>
        <v>3</v>
      </c>
      <c r="Z3561" s="400" t="s">
        <v>176</v>
      </c>
      <c r="AA3561" s="402">
        <f t="shared" si="11469"/>
        <v>0</v>
      </c>
      <c r="AB3561" s="403"/>
    </row>
    <row r="3562" spans="1:28">
      <c r="A3562" s="391"/>
      <c r="B3562" s="392"/>
      <c r="C3562" s="392"/>
      <c r="D3562" s="394"/>
      <c r="E3562" s="388"/>
      <c r="F3562" s="388"/>
      <c r="G3562" s="388"/>
      <c r="H3562" s="395"/>
      <c r="I3562" s="388"/>
      <c r="J3562" s="402"/>
      <c r="K3562" s="388"/>
      <c r="L3562" s="388"/>
      <c r="M3562" s="388"/>
      <c r="N3562" s="388"/>
      <c r="O3562" s="388"/>
      <c r="P3562" s="388"/>
      <c r="Q3562" s="388"/>
      <c r="R3562" s="388"/>
      <c r="S3562" s="388"/>
      <c r="T3562" s="388"/>
      <c r="U3562" s="388"/>
      <c r="V3562" s="388"/>
      <c r="W3562" s="388"/>
      <c r="X3562" s="388"/>
      <c r="Y3562" s="389"/>
      <c r="Z3562" s="388"/>
      <c r="AA3562" s="402"/>
      <c r="AB3562" s="403"/>
    </row>
    <row r="3563" spans="1:28" ht="15.75" thickBot="1">
      <c r="A3563" s="406"/>
      <c r="B3563" s="407"/>
      <c r="C3563" s="407"/>
      <c r="D3563" s="408"/>
      <c r="E3563" s="409"/>
      <c r="F3563" s="409"/>
      <c r="G3563" s="409"/>
      <c r="H3563" s="410"/>
      <c r="I3563" s="409"/>
      <c r="J3563" s="409"/>
      <c r="K3563" s="409"/>
      <c r="L3563" s="409"/>
      <c r="M3563" s="409"/>
      <c r="N3563" s="409"/>
      <c r="O3563" s="409"/>
      <c r="P3563" s="409"/>
      <c r="Q3563" s="409"/>
      <c r="R3563" s="409"/>
      <c r="S3563" s="409"/>
      <c r="T3563" s="409"/>
      <c r="U3563" s="409"/>
      <c r="V3563" s="409"/>
      <c r="W3563" s="409"/>
      <c r="X3563" s="409"/>
      <c r="Y3563" s="411"/>
      <c r="Z3563" s="409"/>
      <c r="AA3563" s="412"/>
      <c r="AB3563" s="413"/>
    </row>
    <row r="3564" spans="1:28">
      <c r="A3564" s="377"/>
      <c r="B3564" s="378"/>
      <c r="C3564" s="378"/>
      <c r="D3564" s="379"/>
      <c r="E3564" s="380"/>
      <c r="F3564" s="380"/>
      <c r="G3564" s="380"/>
      <c r="H3564" s="381"/>
      <c r="I3564" s="380"/>
      <c r="J3564" s="380"/>
      <c r="K3564" s="380"/>
      <c r="L3564" s="380"/>
      <c r="M3564" s="380"/>
      <c r="N3564" s="380"/>
      <c r="O3564" s="380"/>
      <c r="P3564" s="380"/>
      <c r="Q3564" s="380"/>
      <c r="R3564" s="380"/>
      <c r="S3564" s="380"/>
      <c r="T3564" s="380"/>
      <c r="U3564" s="380"/>
      <c r="V3564" s="380"/>
      <c r="W3564" s="380"/>
      <c r="X3564" s="380"/>
      <c r="Y3564" s="382"/>
      <c r="Z3564" s="380"/>
      <c r="AA3564" s="380"/>
      <c r="AB3564" s="383"/>
    </row>
    <row r="3565" spans="1:28">
      <c r="A3565" s="384" t="str">
        <f t="shared" si="11288"/>
        <v>Lantai 2</v>
      </c>
      <c r="B3565" s="385">
        <f t="shared" si="11289"/>
        <v>32</v>
      </c>
      <c r="C3565" s="386" t="str">
        <f t="shared" ref="C3565" si="11476">CONCATENATE(A3565," no. ",B3565)</f>
        <v>Lantai 2 no. 32</v>
      </c>
      <c r="D3565" s="2562" t="str">
        <f>VLOOKUP(C3565,'Data Panjang Balok'!$C$9:$N$254,2,FALSE)</f>
        <v>B36-1</v>
      </c>
      <c r="E3565" s="2576"/>
      <c r="F3565" s="2576"/>
      <c r="G3565" s="2576"/>
      <c r="H3565" s="2577"/>
      <c r="I3565" s="387"/>
      <c r="J3565" s="388"/>
      <c r="K3565" s="388"/>
      <c r="L3565" s="388"/>
      <c r="M3565" s="388"/>
      <c r="N3565" s="388"/>
      <c r="O3565" s="388"/>
      <c r="P3565" s="388"/>
      <c r="Q3565" s="388"/>
      <c r="R3565" s="388"/>
      <c r="S3565" s="388"/>
      <c r="T3565" s="388"/>
      <c r="U3565" s="388"/>
      <c r="V3565" s="388"/>
      <c r="W3565" s="388"/>
      <c r="X3565" s="388"/>
      <c r="Y3565" s="389"/>
      <c r="Z3565" s="388"/>
      <c r="AA3565" s="388"/>
      <c r="AB3565" s="390"/>
    </row>
    <row r="3566" spans="1:28">
      <c r="A3566" s="391"/>
      <c r="B3566" s="392"/>
      <c r="C3566" s="393" t="s">
        <v>118</v>
      </c>
      <c r="D3566" s="2578">
        <f>VLOOKUP(D3565,'Detail Balok'!$C$10:$AU$140,2,FALSE)</f>
        <v>300</v>
      </c>
      <c r="E3566" s="2579"/>
      <c r="F3566" s="388" t="s">
        <v>125</v>
      </c>
      <c r="G3566" s="2579">
        <f>VLOOKUP(D3565,'Detail Balok'!$C$10:$AU$140,3,FALSE)</f>
        <v>600</v>
      </c>
      <c r="H3566" s="2580"/>
      <c r="I3566" s="388"/>
      <c r="J3566" s="396"/>
      <c r="K3566" s="396"/>
      <c r="L3566" s="396"/>
      <c r="M3566" s="396"/>
      <c r="N3566" s="396"/>
      <c r="O3566" s="396"/>
      <c r="P3566" s="396"/>
      <c r="Q3566" s="396"/>
      <c r="R3566" s="396"/>
      <c r="S3566" s="396"/>
      <c r="T3566" s="396"/>
      <c r="U3566" s="388"/>
      <c r="V3566" s="396"/>
      <c r="W3566" s="388"/>
      <c r="X3566" s="396"/>
      <c r="Y3566" s="389"/>
      <c r="Z3566" s="396"/>
      <c r="AA3566" s="388"/>
      <c r="AB3566" s="390"/>
    </row>
    <row r="3567" spans="1:28">
      <c r="A3567" s="391"/>
      <c r="B3567" s="392"/>
      <c r="C3567" s="393" t="s">
        <v>198</v>
      </c>
      <c r="D3567" s="2562">
        <f>VLOOKUP(C3565,'Data Panjang Balok'!$C$9:$N$254,4,FALSE)</f>
        <v>5325</v>
      </c>
      <c r="E3567" s="2563"/>
      <c r="F3567" s="2563"/>
      <c r="G3567" s="2563"/>
      <c r="H3567" s="2564"/>
      <c r="I3567" s="397"/>
      <c r="J3567" s="396"/>
      <c r="K3567" s="396"/>
      <c r="L3567" s="396"/>
      <c r="M3567" s="396"/>
      <c r="N3567" s="396"/>
      <c r="O3567" s="396"/>
      <c r="P3567" s="396"/>
      <c r="Q3567" s="396"/>
      <c r="R3567" s="396"/>
      <c r="S3567" s="396"/>
      <c r="T3567" s="396"/>
      <c r="U3567" s="388"/>
      <c r="V3567" s="396"/>
      <c r="W3567" s="388"/>
      <c r="X3567" s="396"/>
      <c r="Y3567" s="389"/>
      <c r="Z3567" s="396"/>
      <c r="AA3567" s="388"/>
      <c r="AB3567" s="390"/>
    </row>
    <row r="3568" spans="1:28">
      <c r="A3568" s="391"/>
      <c r="B3568" s="392"/>
      <c r="C3568" s="393" t="s">
        <v>199</v>
      </c>
      <c r="D3568" s="2562">
        <f>VLOOKUP(C3565,'Data Panjang Balok'!$C$9:$N$254,7,FALSE)</f>
        <v>5325</v>
      </c>
      <c r="E3568" s="2563"/>
      <c r="F3568" s="2563"/>
      <c r="G3568" s="2563"/>
      <c r="H3568" s="2564"/>
      <c r="I3568" s="397"/>
      <c r="J3568" s="396"/>
      <c r="K3568" s="396"/>
      <c r="L3568" s="396"/>
      <c r="M3568" s="396"/>
      <c r="N3568" s="396"/>
      <c r="O3568" s="396"/>
      <c r="P3568" s="396"/>
      <c r="Q3568" s="396"/>
      <c r="R3568" s="396"/>
      <c r="S3568" s="396"/>
      <c r="T3568" s="396"/>
      <c r="U3568" s="388"/>
      <c r="V3568" s="396"/>
      <c r="W3568" s="388"/>
      <c r="X3568" s="396"/>
      <c r="Y3568" s="389"/>
      <c r="Z3568" s="396"/>
      <c r="AA3568" s="388"/>
      <c r="AB3568" s="390"/>
    </row>
    <row r="3569" spans="1:28">
      <c r="A3569" s="391"/>
      <c r="B3569" s="392"/>
      <c r="C3569" s="393" t="s">
        <v>200</v>
      </c>
      <c r="D3569" s="2562">
        <f>VLOOKUP(C3565,'Data Panjang Balok'!$C$9:$N$254,9,FALSE)</f>
        <v>0</v>
      </c>
      <c r="E3569" s="2563"/>
      <c r="F3569" s="2563"/>
      <c r="G3569" s="2563"/>
      <c r="H3569" s="2564"/>
      <c r="I3569" s="397"/>
      <c r="J3569" s="396"/>
      <c r="K3569" s="396"/>
      <c r="L3569" s="396"/>
      <c r="M3569" s="396"/>
      <c r="N3569" s="396"/>
      <c r="O3569" s="396"/>
      <c r="P3569" s="396"/>
      <c r="Q3569" s="396"/>
      <c r="R3569" s="396"/>
      <c r="S3569" s="396"/>
      <c r="T3569" s="396"/>
      <c r="U3569" s="388"/>
      <c r="V3569" s="396"/>
      <c r="W3569" s="388"/>
      <c r="X3569" s="396"/>
      <c r="Y3569" s="389"/>
      <c r="Z3569" s="396"/>
      <c r="AA3569" s="388"/>
      <c r="AB3569" s="390"/>
    </row>
    <row r="3570" spans="1:28">
      <c r="A3570" s="391"/>
      <c r="B3570" s="392"/>
      <c r="C3570" s="393" t="s">
        <v>201</v>
      </c>
      <c r="D3570" s="2562">
        <f>VLOOKUP(C3565,'Data Panjang Balok'!$C$9:$N$254,10,FALSE)</f>
        <v>0</v>
      </c>
      <c r="E3570" s="2563"/>
      <c r="F3570" s="2563"/>
      <c r="G3570" s="2563"/>
      <c r="H3570" s="2564"/>
      <c r="I3570" s="397"/>
      <c r="J3570" s="396"/>
      <c r="K3570" s="396"/>
      <c r="L3570" s="396"/>
      <c r="M3570" s="396"/>
      <c r="N3570" s="396"/>
      <c r="O3570" s="396"/>
      <c r="P3570" s="396"/>
      <c r="Q3570" s="396"/>
      <c r="R3570" s="396"/>
      <c r="S3570" s="396"/>
      <c r="T3570" s="396"/>
      <c r="U3570" s="388"/>
      <c r="V3570" s="396"/>
      <c r="W3570" s="388"/>
      <c r="X3570" s="396"/>
      <c r="Y3570" s="389"/>
      <c r="Z3570" s="396"/>
      <c r="AA3570" s="388"/>
      <c r="AB3570" s="390"/>
    </row>
    <row r="3571" spans="1:28">
      <c r="A3571" s="391"/>
      <c r="B3571" s="392"/>
      <c r="C3571" s="393" t="s">
        <v>48</v>
      </c>
      <c r="D3571" s="2562">
        <f>VLOOKUP(C3565,'Data Panjang Balok'!$C$9:$N$254,3,FALSE)</f>
        <v>1</v>
      </c>
      <c r="E3571" s="2563"/>
      <c r="F3571" s="2563"/>
      <c r="G3571" s="2563"/>
      <c r="H3571" s="2564"/>
      <c r="I3571" s="397"/>
      <c r="J3571" s="396"/>
      <c r="K3571" s="396"/>
      <c r="L3571" s="396"/>
      <c r="M3571" s="396"/>
      <c r="N3571" s="396"/>
      <c r="O3571" s="396"/>
      <c r="P3571" s="396"/>
      <c r="Q3571" s="396"/>
      <c r="R3571" s="396"/>
      <c r="S3571" s="396"/>
      <c r="T3571" s="396"/>
      <c r="U3571" s="388"/>
      <c r="V3571" s="396"/>
      <c r="W3571" s="388"/>
      <c r="X3571" s="396"/>
      <c r="Y3571" s="389"/>
      <c r="Z3571" s="396"/>
      <c r="AA3571" s="388"/>
      <c r="AB3571" s="390"/>
    </row>
    <row r="3572" spans="1:28">
      <c r="A3572" s="384" t="str">
        <f t="shared" ref="A3572:B3572" si="11477">A3565</f>
        <v>Lantai 2</v>
      </c>
      <c r="B3572" s="385">
        <f t="shared" si="11477"/>
        <v>32</v>
      </c>
      <c r="C3572" s="393" t="s">
        <v>202</v>
      </c>
      <c r="D3572" s="398">
        <f>VLOOKUP(D3565,'Detail Balok'!$C$10:$AU$140,4,FALSE)</f>
        <v>5</v>
      </c>
      <c r="E3572" s="388" t="s">
        <v>16</v>
      </c>
      <c r="F3572" s="388">
        <f>VLOOKUP(D3565,'Detail Balok'!$C$10:$AU$140,6,FALSE)</f>
        <v>16</v>
      </c>
      <c r="G3572" s="388"/>
      <c r="H3572" s="395"/>
      <c r="I3572" s="388" t="s">
        <v>203</v>
      </c>
      <c r="J3572" s="399">
        <f t="shared" ref="J3572" si="11478">+D3567/4/1000</f>
        <v>1.33125</v>
      </c>
      <c r="K3572" s="400" t="s">
        <v>204</v>
      </c>
      <c r="L3572" s="399">
        <f t="shared" ref="L3572" si="11479">MAX(VLOOKUP(F3572,N$6:P$15,3,FALSE)/1000,2/3*D3569/1000)+F$16*F3572/1000</f>
        <v>0.192</v>
      </c>
      <c r="M3572" s="399" t="s">
        <v>176</v>
      </c>
      <c r="N3572" s="399">
        <f t="shared" ref="N3572:N3574" si="11480">J3572+L3572</f>
        <v>1.52325</v>
      </c>
      <c r="O3572" s="399" t="s">
        <v>204</v>
      </c>
      <c r="P3572" s="389">
        <f t="shared" ref="P3572" si="11481">D3572-D3573</f>
        <v>0</v>
      </c>
      <c r="Q3572" s="399" t="s">
        <v>125</v>
      </c>
      <c r="R3572" s="399">
        <f t="shared" ref="R3572" si="11482">IF(P3572&gt;0,$F$18*F3572/1000,0)</f>
        <v>0</v>
      </c>
      <c r="S3572" s="399" t="s">
        <v>205</v>
      </c>
      <c r="T3572" s="399" t="s">
        <v>125</v>
      </c>
      <c r="U3572" s="401">
        <f t="shared" ref="U3572:U3574" si="11483">0.006165*F3572^2</f>
        <v>1.5782400000000001</v>
      </c>
      <c r="V3572" s="399"/>
      <c r="W3572" s="399"/>
      <c r="X3572" s="399" t="s">
        <v>125</v>
      </c>
      <c r="Y3572" s="389">
        <f t="shared" ref="Y3572" si="11484">D3571</f>
        <v>1</v>
      </c>
      <c r="Z3572" s="400" t="s">
        <v>176</v>
      </c>
      <c r="AA3572" s="402">
        <f t="shared" ref="AA3572" si="11485">IF(AA3575=0,(D3572*N3572+P3572*R3572)*U3572*Y3572,0)</f>
        <v>0</v>
      </c>
      <c r="AB3572" s="403"/>
    </row>
    <row r="3573" spans="1:28">
      <c r="A3573" s="384" t="str">
        <f t="shared" ref="A3573:B3573" si="11486">A3565</f>
        <v>Lantai 2</v>
      </c>
      <c r="B3573" s="385">
        <f t="shared" si="11486"/>
        <v>32</v>
      </c>
      <c r="C3573" s="393" t="s">
        <v>206</v>
      </c>
      <c r="D3573" s="398">
        <f>VLOOKUP(D3565,'Detail Balok'!$C$10:$AU$140,7,FALSE)</f>
        <v>5</v>
      </c>
      <c r="E3573" s="388" t="s">
        <v>16</v>
      </c>
      <c r="F3573" s="388">
        <f>VLOOKUP(D3565,'Detail Balok'!$C$10:$AU$140,9,FALSE)</f>
        <v>16</v>
      </c>
      <c r="G3573" s="388"/>
      <c r="H3573" s="395"/>
      <c r="I3573" s="388" t="s">
        <v>203</v>
      </c>
      <c r="J3573" s="399">
        <f t="shared" ref="J3573" si="11487">+D3567/2/1000</f>
        <v>2.6625000000000001</v>
      </c>
      <c r="K3573" s="400" t="s">
        <v>204</v>
      </c>
      <c r="L3573" s="399"/>
      <c r="M3573" s="399" t="s">
        <v>176</v>
      </c>
      <c r="N3573" s="399">
        <f t="shared" si="11480"/>
        <v>2.6625000000000001</v>
      </c>
      <c r="O3573" s="399" t="s">
        <v>204</v>
      </c>
      <c r="P3573" s="389">
        <f t="shared" ref="P3573" si="11488">MAX(D3573-D3572,D3573-D3574)</f>
        <v>0</v>
      </c>
      <c r="Q3573" s="399" t="s">
        <v>125</v>
      </c>
      <c r="R3573" s="399">
        <f t="shared" ref="R3573" si="11489">IF(P3573&gt;0,2*(1-2*$F$19-1/2)*D3568/1000,0)</f>
        <v>0</v>
      </c>
      <c r="S3573" s="399" t="s">
        <v>205</v>
      </c>
      <c r="T3573" s="399" t="s">
        <v>125</v>
      </c>
      <c r="U3573" s="401">
        <f t="shared" si="11483"/>
        <v>1.5782400000000001</v>
      </c>
      <c r="V3573" s="399"/>
      <c r="W3573" s="399"/>
      <c r="X3573" s="399" t="s">
        <v>125</v>
      </c>
      <c r="Y3573" s="389">
        <f t="shared" ref="Y3573" si="11490">D3571</f>
        <v>1</v>
      </c>
      <c r="Z3573" s="400" t="s">
        <v>176</v>
      </c>
      <c r="AA3573" s="402">
        <f t="shared" ref="AA3573" si="11491">IF(AA3575=0,(D3573*N3573+P3573*R3573)*U3573*Y3573,0)</f>
        <v>0</v>
      </c>
      <c r="AB3573" s="403"/>
    </row>
    <row r="3574" spans="1:28">
      <c r="A3574" s="384" t="str">
        <f t="shared" ref="A3574:B3574" si="11492">A3565</f>
        <v>Lantai 2</v>
      </c>
      <c r="B3574" s="385">
        <f t="shared" si="11492"/>
        <v>32</v>
      </c>
      <c r="C3574" s="393" t="s">
        <v>202</v>
      </c>
      <c r="D3574" s="398">
        <f>VLOOKUP(D3565,'Detail Balok'!$C$10:$AU$140,10,FALSE)</f>
        <v>5</v>
      </c>
      <c r="E3574" s="388" t="s">
        <v>16</v>
      </c>
      <c r="F3574" s="388">
        <f>VLOOKUP(D3565,'Detail Balok'!$C$10:$AU$140,12,FALSE)</f>
        <v>16</v>
      </c>
      <c r="G3574" s="388"/>
      <c r="H3574" s="395"/>
      <c r="I3574" s="388" t="s">
        <v>203</v>
      </c>
      <c r="J3574" s="399">
        <f t="shared" ref="J3574" si="11493">+D3567/4/1000</f>
        <v>1.33125</v>
      </c>
      <c r="K3574" s="400" t="s">
        <v>204</v>
      </c>
      <c r="L3574" s="399">
        <f t="shared" ref="L3574" si="11494">MAX(VLOOKUP(F3574,N$6:P$15,3,FALSE)/1000,2/3*D3569/1000)+F$16*F3574/1000</f>
        <v>0.192</v>
      </c>
      <c r="M3574" s="399" t="s">
        <v>176</v>
      </c>
      <c r="N3574" s="399">
        <f t="shared" si="11480"/>
        <v>1.52325</v>
      </c>
      <c r="O3574" s="399" t="s">
        <v>204</v>
      </c>
      <c r="P3574" s="389">
        <f t="shared" ref="P3574" si="11495">D3574-D3573</f>
        <v>0</v>
      </c>
      <c r="Q3574" s="399" t="s">
        <v>125</v>
      </c>
      <c r="R3574" s="399">
        <f t="shared" ref="R3574" si="11496">IF(P3574&gt;0,$F$18*F3574/1000,0)</f>
        <v>0</v>
      </c>
      <c r="S3574" s="399" t="s">
        <v>205</v>
      </c>
      <c r="T3574" s="399" t="s">
        <v>125</v>
      </c>
      <c r="U3574" s="401">
        <f t="shared" si="11483"/>
        <v>1.5782400000000001</v>
      </c>
      <c r="V3574" s="399"/>
      <c r="W3574" s="399"/>
      <c r="X3574" s="399" t="s">
        <v>125</v>
      </c>
      <c r="Y3574" s="389">
        <f t="shared" ref="Y3574" si="11497">D3571</f>
        <v>1</v>
      </c>
      <c r="Z3574" s="400" t="s">
        <v>176</v>
      </c>
      <c r="AA3574" s="402">
        <f t="shared" ref="AA3574" si="11498">IF(AA3575=0,(D3574*N3574+P3574*R3574)*U3574*Y3574,0)</f>
        <v>0</v>
      </c>
      <c r="AB3574" s="403"/>
    </row>
    <row r="3575" spans="1:28">
      <c r="A3575" s="384" t="str">
        <f t="shared" ref="A3575:B3575" si="11499">A3565</f>
        <v>Lantai 2</v>
      </c>
      <c r="B3575" s="385">
        <f t="shared" si="11499"/>
        <v>32</v>
      </c>
      <c r="C3575" s="393"/>
      <c r="D3575" s="398">
        <f t="shared" ref="D3575:D3635" si="11500">IF(AND(D3572=D3573,D3573=D3574,D3572=D3574),D3572,0)</f>
        <v>5</v>
      </c>
      <c r="E3575" s="388" t="s">
        <v>16</v>
      </c>
      <c r="F3575" s="388">
        <f t="shared" ref="F3575:F3635" si="11501">IF(AND(F3572=F3573,F3572=F3574,F3573=F3574),F3572,0)</f>
        <v>16</v>
      </c>
      <c r="G3575" s="388"/>
      <c r="H3575" s="395"/>
      <c r="I3575" s="388"/>
      <c r="J3575" s="396"/>
      <c r="K3575" s="396"/>
      <c r="L3575" s="404" t="s">
        <v>207</v>
      </c>
      <c r="M3575" s="399" t="s">
        <v>176</v>
      </c>
      <c r="N3575" s="399">
        <f t="shared" ref="N3575" si="11502">IF(AND(D3572=D3573,D3572=D3574,D3573=D3574,F3572=F3573,F3572=F3574,F3573=F3574),SUM(N3572:N3574),0)</f>
        <v>5.7090000000000005</v>
      </c>
      <c r="O3575" s="399" t="s">
        <v>204</v>
      </c>
      <c r="P3575" s="389">
        <f t="shared" ref="P3575" si="11503">IF(N3575&gt;12,ROUNDDOWN(N3575/12,0),0)</f>
        <v>0</v>
      </c>
      <c r="Q3575" s="399" t="s">
        <v>125</v>
      </c>
      <c r="R3575" s="399">
        <f t="shared" ref="R3575" si="11504">IF(P3575&gt;0,MAX(VLOOKUP(F3575,$D$6:$G$15,3,FALSE),600),0)/1000</f>
        <v>0</v>
      </c>
      <c r="S3575" s="396"/>
      <c r="T3575" s="396" t="s">
        <v>125</v>
      </c>
      <c r="U3575" s="401">
        <f t="shared" ref="U3575:U3635" si="11505">U3574</f>
        <v>1.5782400000000001</v>
      </c>
      <c r="V3575" s="396" t="s">
        <v>125</v>
      </c>
      <c r="W3575" s="399">
        <f t="shared" ref="W3575" si="11506">D3575</f>
        <v>5</v>
      </c>
      <c r="X3575" s="399" t="s">
        <v>125</v>
      </c>
      <c r="Y3575" s="389">
        <f t="shared" ref="Y3575:Y3635" si="11507">Y3574</f>
        <v>1</v>
      </c>
      <c r="Z3575" s="400" t="s">
        <v>176</v>
      </c>
      <c r="AA3575" s="402">
        <f t="shared" ref="AA3575" si="11508">(N3575+P3575*R3575/1000)*U3575*W3575*Y3575</f>
        <v>45.050860800000009</v>
      </c>
      <c r="AB3575" s="390"/>
    </row>
    <row r="3576" spans="1:28">
      <c r="A3576" s="384"/>
      <c r="B3576" s="385"/>
      <c r="C3576" s="393"/>
      <c r="D3576" s="398"/>
      <c r="E3576" s="388"/>
      <c r="F3576" s="388"/>
      <c r="G3576" s="388"/>
      <c r="H3576" s="395"/>
      <c r="I3576" s="388"/>
      <c r="J3576" s="396"/>
      <c r="K3576" s="396"/>
      <c r="L3576" s="404"/>
      <c r="M3576" s="399"/>
      <c r="N3576" s="399"/>
      <c r="O3576" s="396"/>
      <c r="P3576" s="389"/>
      <c r="Q3576" s="396"/>
      <c r="R3576" s="396"/>
      <c r="S3576" s="396"/>
      <c r="T3576" s="396"/>
      <c r="U3576" s="401"/>
      <c r="V3576" s="396"/>
      <c r="W3576" s="399"/>
      <c r="X3576" s="396"/>
      <c r="Y3576" s="389"/>
      <c r="Z3576" s="396"/>
      <c r="AA3576" s="388"/>
      <c r="AB3576" s="390"/>
    </row>
    <row r="3577" spans="1:28">
      <c r="A3577" s="384" t="str">
        <f t="shared" ref="A3577:B3577" si="11509">A3565</f>
        <v>Lantai 2</v>
      </c>
      <c r="B3577" s="385">
        <f t="shared" si="11509"/>
        <v>32</v>
      </c>
      <c r="C3577" s="393" t="s">
        <v>208</v>
      </c>
      <c r="D3577" s="398">
        <f>VLOOKUP(D3565,'Detail Balok'!$C$10:$AU$140,13,FALSE)</f>
        <v>2</v>
      </c>
      <c r="E3577" s="388" t="s">
        <v>16</v>
      </c>
      <c r="F3577" s="388">
        <f>VLOOKUP(D3565,'Detail Balok'!$C$10:$AU$140,15,FALSE)</f>
        <v>10</v>
      </c>
      <c r="G3577" s="388"/>
      <c r="H3577" s="395"/>
      <c r="I3577" s="388"/>
      <c r="J3577" s="399">
        <f t="shared" ref="J3577" si="11510">+D3567/1000</f>
        <v>5.3250000000000002</v>
      </c>
      <c r="K3577" s="400" t="s">
        <v>204</v>
      </c>
      <c r="L3577" s="399">
        <f t="shared" ref="L3577" si="11511">2*$F$16*F3577/1000</f>
        <v>0.24</v>
      </c>
      <c r="M3577" s="399" t="s">
        <v>176</v>
      </c>
      <c r="N3577" s="399">
        <f t="shared" ref="N3577" si="11512">J3577+L3577</f>
        <v>5.5650000000000004</v>
      </c>
      <c r="O3577" s="399" t="s">
        <v>204</v>
      </c>
      <c r="P3577" s="389">
        <f t="shared" ref="P3577" si="11513">IF(N3577&gt;12,ROUNDDOWN(N3577/12,0),0)</f>
        <v>0</v>
      </c>
      <c r="Q3577" s="399" t="s">
        <v>125</v>
      </c>
      <c r="R3577" s="399">
        <f t="shared" ref="R3577" si="11514">IF(P3577&gt;0,MAX(VLOOKUP(F3577,$D$6:$G$15,3,FALSE),600),0)/1000</f>
        <v>0</v>
      </c>
      <c r="S3577" s="399"/>
      <c r="T3577" s="399" t="s">
        <v>125</v>
      </c>
      <c r="U3577" s="401">
        <f t="shared" ref="U3577" si="11515">0.006165*F3577^2</f>
        <v>0.61650000000000005</v>
      </c>
      <c r="V3577" s="399" t="s">
        <v>125</v>
      </c>
      <c r="W3577" s="399">
        <f t="shared" ref="W3577" si="11516">+D3577</f>
        <v>2</v>
      </c>
      <c r="X3577" s="399" t="s">
        <v>125</v>
      </c>
      <c r="Y3577" s="389">
        <f t="shared" ref="Y3577" si="11517">D3571</f>
        <v>1</v>
      </c>
      <c r="Z3577" s="400" t="s">
        <v>176</v>
      </c>
      <c r="AA3577" s="402">
        <f t="shared" ref="AA3577" si="11518">(N3577+P3577*R3577/1000)*U3577*W3577*Y3577</f>
        <v>6.8616450000000011</v>
      </c>
      <c r="AB3577" s="403"/>
    </row>
    <row r="3578" spans="1:28">
      <c r="A3578" s="384"/>
      <c r="B3578" s="385"/>
      <c r="C3578" s="393"/>
      <c r="D3578" s="398"/>
      <c r="E3578" s="388"/>
      <c r="F3578" s="388"/>
      <c r="G3578" s="388"/>
      <c r="H3578" s="395"/>
      <c r="I3578" s="388"/>
      <c r="J3578" s="399"/>
      <c r="K3578" s="400"/>
      <c r="L3578" s="399"/>
      <c r="M3578" s="399"/>
      <c r="N3578" s="399"/>
      <c r="O3578" s="399"/>
      <c r="P3578" s="389"/>
      <c r="Q3578" s="399"/>
      <c r="R3578" s="399"/>
      <c r="S3578" s="399"/>
      <c r="T3578" s="399"/>
      <c r="U3578" s="401"/>
      <c r="V3578" s="399"/>
      <c r="W3578" s="399"/>
      <c r="X3578" s="399"/>
      <c r="Y3578" s="389"/>
      <c r="Z3578" s="400"/>
      <c r="AA3578" s="402"/>
      <c r="AB3578" s="403"/>
    </row>
    <row r="3579" spans="1:28">
      <c r="A3579" s="384"/>
      <c r="B3579" s="385"/>
      <c r="C3579" s="393"/>
      <c r="D3579" s="398"/>
      <c r="E3579" s="388"/>
      <c r="F3579" s="388"/>
      <c r="G3579" s="388"/>
      <c r="H3579" s="395"/>
      <c r="I3579" s="388"/>
      <c r="J3579" s="396"/>
      <c r="K3579" s="396"/>
      <c r="L3579" s="396"/>
      <c r="M3579" s="396"/>
      <c r="N3579" s="396"/>
      <c r="O3579" s="396"/>
      <c r="P3579" s="389"/>
      <c r="Q3579" s="396"/>
      <c r="R3579" s="396"/>
      <c r="S3579" s="396"/>
      <c r="T3579" s="396"/>
      <c r="U3579" s="401"/>
      <c r="V3579" s="396"/>
      <c r="W3579" s="399"/>
      <c r="X3579" s="396"/>
      <c r="Y3579" s="389"/>
      <c r="Z3579" s="396"/>
      <c r="AA3579" s="388"/>
      <c r="AB3579" s="390"/>
    </row>
    <row r="3580" spans="1:28">
      <c r="A3580" s="384" t="str">
        <f t="shared" ref="A3580:B3580" si="11519">A3565</f>
        <v>Lantai 2</v>
      </c>
      <c r="B3580" s="385">
        <f t="shared" si="11519"/>
        <v>32</v>
      </c>
      <c r="C3580" s="393" t="s">
        <v>209</v>
      </c>
      <c r="D3580" s="398">
        <f>VLOOKUP(D3565,'Detail Balok'!$C$10:$AU$140,22,FALSE)</f>
        <v>5</v>
      </c>
      <c r="E3580" s="388" t="s">
        <v>16</v>
      </c>
      <c r="F3580" s="388">
        <f>VLOOKUP(D3565,'Detail Balok'!$C$10:$AU$140,24,FALSE)</f>
        <v>16</v>
      </c>
      <c r="G3580" s="388"/>
      <c r="H3580" s="395"/>
      <c r="I3580" s="388" t="s">
        <v>203</v>
      </c>
      <c r="J3580" s="399">
        <f t="shared" ref="J3580:J3642" si="11520">+J3572</f>
        <v>1.33125</v>
      </c>
      <c r="K3580" s="400" t="s">
        <v>204</v>
      </c>
      <c r="L3580" s="399">
        <f t="shared" ref="L3580" si="11521">MAX(VLOOKUP(F3580,N$6:P$15,3,FALSE)/1000,2/3*D3570/1000)+F$16*F3580/1000</f>
        <v>0.192</v>
      </c>
      <c r="M3580" s="399" t="s">
        <v>176</v>
      </c>
      <c r="N3580" s="399">
        <f t="shared" ref="N3580:N3582" si="11522">J3580+L3580</f>
        <v>1.52325</v>
      </c>
      <c r="O3580" s="399" t="s">
        <v>204</v>
      </c>
      <c r="P3580" s="389">
        <f t="shared" ref="P3580" si="11523">D3580-D3581</f>
        <v>0</v>
      </c>
      <c r="Q3580" s="399" t="s">
        <v>125</v>
      </c>
      <c r="R3580" s="399">
        <f t="shared" ref="R3580" si="11524">IF(P3580&gt;0,$F$18*F3580/1000,0)</f>
        <v>0</v>
      </c>
      <c r="S3580" s="399" t="s">
        <v>205</v>
      </c>
      <c r="T3580" s="399" t="s">
        <v>125</v>
      </c>
      <c r="U3580" s="401">
        <f t="shared" ref="U3580:U3582" si="11525">0.006165*F3580^2</f>
        <v>1.5782400000000001</v>
      </c>
      <c r="V3580" s="399"/>
      <c r="W3580" s="399"/>
      <c r="X3580" s="399" t="s">
        <v>125</v>
      </c>
      <c r="Y3580" s="389">
        <f t="shared" ref="Y3580" si="11526">D3571</f>
        <v>1</v>
      </c>
      <c r="Z3580" s="400" t="s">
        <v>176</v>
      </c>
      <c r="AA3580" s="402">
        <f t="shared" ref="AA3580" si="11527">IF(AA3583=0,(D3580*N3580+P3580*R3580)*U3580*Y3580,0)</f>
        <v>0</v>
      </c>
      <c r="AB3580" s="403"/>
    </row>
    <row r="3581" spans="1:28">
      <c r="A3581" s="384" t="str">
        <f t="shared" ref="A3581:B3581" si="11528">A3565</f>
        <v>Lantai 2</v>
      </c>
      <c r="B3581" s="385">
        <f t="shared" si="11528"/>
        <v>32</v>
      </c>
      <c r="C3581" s="393" t="s">
        <v>210</v>
      </c>
      <c r="D3581" s="398">
        <f>VLOOKUP(D3565,'Detail Balok'!$C$10:$AU$140,25,FALSE)</f>
        <v>5</v>
      </c>
      <c r="E3581" s="388" t="s">
        <v>16</v>
      </c>
      <c r="F3581" s="388">
        <f>VLOOKUP(D3565,'Detail Balok'!$C$10:$AU$140,27,FALSE)</f>
        <v>16</v>
      </c>
      <c r="G3581" s="388"/>
      <c r="H3581" s="395"/>
      <c r="I3581" s="388" t="s">
        <v>203</v>
      </c>
      <c r="J3581" s="399">
        <f t="shared" si="11520"/>
        <v>2.6625000000000001</v>
      </c>
      <c r="K3581" s="400" t="s">
        <v>204</v>
      </c>
      <c r="L3581" s="399"/>
      <c r="M3581" s="399" t="s">
        <v>176</v>
      </c>
      <c r="N3581" s="399">
        <f t="shared" si="11522"/>
        <v>2.6625000000000001</v>
      </c>
      <c r="O3581" s="399" t="s">
        <v>204</v>
      </c>
      <c r="P3581" s="389">
        <f t="shared" ref="P3581" si="11529">MAX(D3581-D3580,D3581-D3582)</f>
        <v>0</v>
      </c>
      <c r="Q3581" s="399" t="s">
        <v>125</v>
      </c>
      <c r="R3581" s="399">
        <f t="shared" ref="R3581" si="11530">IF(P3581&gt;0,2*(1-2*$F$19-1/2)*D3568/1000,0)</f>
        <v>0</v>
      </c>
      <c r="S3581" s="399" t="s">
        <v>205</v>
      </c>
      <c r="T3581" s="399" t="s">
        <v>125</v>
      </c>
      <c r="U3581" s="401">
        <f t="shared" si="11525"/>
        <v>1.5782400000000001</v>
      </c>
      <c r="V3581" s="399"/>
      <c r="W3581" s="399"/>
      <c r="X3581" s="399" t="s">
        <v>125</v>
      </c>
      <c r="Y3581" s="389">
        <f t="shared" ref="Y3581" si="11531">D3571</f>
        <v>1</v>
      </c>
      <c r="Z3581" s="400" t="s">
        <v>176</v>
      </c>
      <c r="AA3581" s="402">
        <f t="shared" ref="AA3581" si="11532">IF(AA3583=0,(D3581*N3581+P3581*R3581)*U3581*Y3581,0)</f>
        <v>0</v>
      </c>
      <c r="AB3581" s="403"/>
    </row>
    <row r="3582" spans="1:28">
      <c r="A3582" s="384" t="str">
        <f t="shared" ref="A3582:B3582" si="11533">A3565</f>
        <v>Lantai 2</v>
      </c>
      <c r="B3582" s="385">
        <f t="shared" si="11533"/>
        <v>32</v>
      </c>
      <c r="C3582" s="393" t="s">
        <v>209</v>
      </c>
      <c r="D3582" s="398">
        <f>VLOOKUP(D3565,'Detail Balok'!$C$10:$AU$140,28,FALSE)</f>
        <v>5</v>
      </c>
      <c r="E3582" s="388" t="s">
        <v>16</v>
      </c>
      <c r="F3582" s="388">
        <f>VLOOKUP(D3565,'Detail Balok'!$C$10:$AU$140,30,FALSE)</f>
        <v>16</v>
      </c>
      <c r="G3582" s="388"/>
      <c r="H3582" s="395"/>
      <c r="I3582" s="388" t="s">
        <v>203</v>
      </c>
      <c r="J3582" s="399">
        <f t="shared" si="11520"/>
        <v>1.33125</v>
      </c>
      <c r="K3582" s="400" t="s">
        <v>204</v>
      </c>
      <c r="L3582" s="399">
        <f t="shared" ref="L3582" si="11534">MAX(VLOOKUP(F3582,N$6:P$15,3,FALSE)/1000,2/3*D3570/1000)+F$16*F3582/1000</f>
        <v>0.192</v>
      </c>
      <c r="M3582" s="399" t="s">
        <v>176</v>
      </c>
      <c r="N3582" s="399">
        <f t="shared" si="11522"/>
        <v>1.52325</v>
      </c>
      <c r="O3582" s="399" t="s">
        <v>204</v>
      </c>
      <c r="P3582" s="389">
        <f t="shared" ref="P3582" si="11535">D3582-D3581</f>
        <v>0</v>
      </c>
      <c r="Q3582" s="399" t="s">
        <v>125</v>
      </c>
      <c r="R3582" s="399">
        <f t="shared" ref="R3582" si="11536">IF(P3582&gt;0,$F$18*F3582/1000,0)</f>
        <v>0</v>
      </c>
      <c r="S3582" s="399" t="s">
        <v>205</v>
      </c>
      <c r="T3582" s="399" t="s">
        <v>125</v>
      </c>
      <c r="U3582" s="401">
        <f t="shared" si="11525"/>
        <v>1.5782400000000001</v>
      </c>
      <c r="V3582" s="399"/>
      <c r="W3582" s="399"/>
      <c r="X3582" s="399" t="s">
        <v>125</v>
      </c>
      <c r="Y3582" s="389">
        <f t="shared" ref="Y3582" si="11537">D3571</f>
        <v>1</v>
      </c>
      <c r="Z3582" s="400" t="s">
        <v>176</v>
      </c>
      <c r="AA3582" s="402">
        <f t="shared" ref="AA3582" si="11538">IF(AA3583=0,(D3582*N3582+P3582*R3582)*U3582*Y3582,0)</f>
        <v>0</v>
      </c>
      <c r="AB3582" s="403"/>
    </row>
    <row r="3583" spans="1:28">
      <c r="A3583" s="384" t="str">
        <f t="shared" ref="A3583:B3583" si="11539">A3565</f>
        <v>Lantai 2</v>
      </c>
      <c r="B3583" s="385">
        <f t="shared" si="11539"/>
        <v>32</v>
      </c>
      <c r="C3583" s="393"/>
      <c r="D3583" s="398">
        <f t="shared" ref="D3583:D3643" si="11540">IF(AND(D3580=D3581,D3581=D3582,D3580=D3582),D3580,0)</f>
        <v>5</v>
      </c>
      <c r="E3583" s="388" t="s">
        <v>16</v>
      </c>
      <c r="F3583" s="388">
        <f t="shared" ref="F3583:F3643" si="11541">IF(AND(F3580=F3581,F3580=F3582,F3581=F3582),F3580,0)</f>
        <v>16</v>
      </c>
      <c r="G3583" s="388"/>
      <c r="H3583" s="395"/>
      <c r="I3583" s="388"/>
      <c r="J3583" s="396"/>
      <c r="K3583" s="396"/>
      <c r="L3583" s="404" t="s">
        <v>207</v>
      </c>
      <c r="M3583" s="399" t="s">
        <v>176</v>
      </c>
      <c r="N3583" s="399">
        <f t="shared" ref="N3583" si="11542">IF(AND(D3580=D3581,D3580=D3582,D3581=D3582,F3580=F3581,F3580=F3582,F3581=F3582),SUM(N3580:N3582),0)</f>
        <v>5.7090000000000005</v>
      </c>
      <c r="O3583" s="399" t="s">
        <v>204</v>
      </c>
      <c r="P3583" s="389">
        <f t="shared" ref="P3583" si="11543">IF(N3583&gt;12,ROUNDDOWN(N3583/12,0),0)</f>
        <v>0</v>
      </c>
      <c r="Q3583" s="399" t="s">
        <v>125</v>
      </c>
      <c r="R3583" s="399">
        <f t="shared" ref="R3583" si="11544">IF(P3583&gt;0,MAX(VLOOKUP(F3583,$D$6:$G$15,3,FALSE),600),0)/1000</f>
        <v>0</v>
      </c>
      <c r="S3583" s="396"/>
      <c r="T3583" s="396" t="s">
        <v>125</v>
      </c>
      <c r="U3583" s="401">
        <f t="shared" ref="U3583:U3643" si="11545">U3582</f>
        <v>1.5782400000000001</v>
      </c>
      <c r="V3583" s="396" t="s">
        <v>125</v>
      </c>
      <c r="W3583" s="399">
        <f t="shared" ref="W3583" si="11546">D3583</f>
        <v>5</v>
      </c>
      <c r="X3583" s="399" t="s">
        <v>125</v>
      </c>
      <c r="Y3583" s="389">
        <f t="shared" ref="Y3583:Y3643" si="11547">Y3582</f>
        <v>1</v>
      </c>
      <c r="Z3583" s="400" t="s">
        <v>176</v>
      </c>
      <c r="AA3583" s="402">
        <f t="shared" ref="AA3583" si="11548">(N3583+P3583*R3583/1000)*U3583*W3583*Y3583</f>
        <v>45.050860800000009</v>
      </c>
      <c r="AB3583" s="403"/>
    </row>
    <row r="3584" spans="1:28">
      <c r="A3584" s="384"/>
      <c r="B3584" s="385"/>
      <c r="C3584" s="393"/>
      <c r="D3584" s="394"/>
      <c r="E3584" s="388"/>
      <c r="F3584" s="388"/>
      <c r="G3584" s="388"/>
      <c r="H3584" s="395"/>
      <c r="I3584" s="388"/>
      <c r="J3584" s="399"/>
      <c r="K3584" s="396"/>
      <c r="L3584" s="396"/>
      <c r="M3584" s="396"/>
      <c r="N3584" s="396"/>
      <c r="O3584" s="396"/>
      <c r="P3584" s="389"/>
      <c r="Q3584" s="396"/>
      <c r="R3584" s="396"/>
      <c r="S3584" s="396"/>
      <c r="T3584" s="396"/>
      <c r="U3584" s="401"/>
      <c r="V3584" s="396"/>
      <c r="W3584" s="388"/>
      <c r="X3584" s="396"/>
      <c r="Y3584" s="389"/>
      <c r="Z3584" s="396"/>
      <c r="AA3584" s="388"/>
      <c r="AB3584" s="390"/>
    </row>
    <row r="3585" spans="1:28">
      <c r="A3585" s="384" t="str">
        <f t="shared" ref="A3585:B3585" si="11549">A3565</f>
        <v>Lantai 2</v>
      </c>
      <c r="B3585" s="385">
        <f t="shared" si="11549"/>
        <v>32</v>
      </c>
      <c r="C3585" s="393" t="s">
        <v>211</v>
      </c>
      <c r="D3585" s="398">
        <f>VLOOKUP(D3565,'Detail Balok'!$C$10:$AU$140,31,FALSE)</f>
        <v>0</v>
      </c>
      <c r="E3585" s="388" t="s">
        <v>16</v>
      </c>
      <c r="F3585" s="388">
        <f>VLOOKUP(D3565,'Detail Balok'!$C$10:$AU$140,33,FALSE)</f>
        <v>10</v>
      </c>
      <c r="G3585" s="405" t="s">
        <v>157</v>
      </c>
      <c r="H3585" s="395">
        <f>VLOOKUP(D3565,'Detail Balok'!$C$10:$AU$140,35,FALSE)</f>
        <v>100</v>
      </c>
      <c r="I3585" s="388"/>
      <c r="J3585" s="400">
        <f t="shared" ref="J3585" si="11550">(IF(D3585=0,(2*(D3566+G3566))-(F$5*8),IF(D3585=3,(2*(D3566+G3566))-(F$5*8)+(G3566-2*F$5),IF(D3585=4,(2*(D3566+G3566))-(F$5*8)+2*(G3566-2*F$5)))))/1000</f>
        <v>1.48</v>
      </c>
      <c r="K3585" s="400" t="s">
        <v>204</v>
      </c>
      <c r="L3585" s="399">
        <f t="shared" ref="L3585:L3587" si="11551">IF(D3585=0,2*MAX(6*F3585,75),(D3585-1)*2*MAX(6*F3585,75))/1000</f>
        <v>0.15</v>
      </c>
      <c r="M3585" s="399" t="s">
        <v>176</v>
      </c>
      <c r="N3585" s="399">
        <f t="shared" ref="N3585:N3587" si="11552">J3585+L3585</f>
        <v>1.63</v>
      </c>
      <c r="O3585" s="399"/>
      <c r="P3585" s="389"/>
      <c r="Q3585" s="399"/>
      <c r="R3585" s="399"/>
      <c r="S3585" s="399"/>
      <c r="T3585" s="399" t="s">
        <v>125</v>
      </c>
      <c r="U3585" s="401">
        <f t="shared" ref="U3585:U3587" si="11553">0.006165*F3585^2</f>
        <v>0.61650000000000005</v>
      </c>
      <c r="V3585" s="399" t="s">
        <v>125</v>
      </c>
      <c r="W3585" s="399">
        <f t="shared" ref="W3585" si="11554">IF(D3568&gt;4*G3566,ROUND(MAX(D3568/4,2*G3566)/H3585,0)+1,ROUND(D3568/H3585,0)+1)</f>
        <v>14</v>
      </c>
      <c r="X3585" s="399" t="s">
        <v>125</v>
      </c>
      <c r="Y3585" s="389">
        <f t="shared" ref="Y3585" si="11555">D3571</f>
        <v>1</v>
      </c>
      <c r="Z3585" s="400" t="s">
        <v>176</v>
      </c>
      <c r="AA3585" s="402">
        <f t="shared" ref="AA3585:AA3587" si="11556">N3585*U3585*W3585*Y3585</f>
        <v>14.068530000000001</v>
      </c>
      <c r="AB3585" s="403"/>
    </row>
    <row r="3586" spans="1:28">
      <c r="A3586" s="384" t="str">
        <f t="shared" ref="A3586:B3586" si="11557">A3565</f>
        <v>Lantai 2</v>
      </c>
      <c r="B3586" s="385">
        <f t="shared" si="11557"/>
        <v>32</v>
      </c>
      <c r="C3586" s="393" t="s">
        <v>212</v>
      </c>
      <c r="D3586" s="398">
        <f>VLOOKUP(D3565,'Detail Balok'!$C$10:$AU$140,36,FALSE)</f>
        <v>0</v>
      </c>
      <c r="E3586" s="388" t="s">
        <v>16</v>
      </c>
      <c r="F3586" s="388">
        <f>VLOOKUP(D3565,'Detail Balok'!$C$10:$AU$140,38,FALSE)</f>
        <v>10</v>
      </c>
      <c r="G3586" s="405" t="s">
        <v>157</v>
      </c>
      <c r="H3586" s="395">
        <f>VLOOKUP(D3565,'Detail Balok'!$C$10:$AU$140,40,FALSE)</f>
        <v>150</v>
      </c>
      <c r="I3586" s="388"/>
      <c r="J3586" s="400">
        <f t="shared" ref="J3586" si="11558">(IF(D3586=0,(2*(D3566+G3566))-(F$5*8),IF(D3586=3,(2*(D3566+G3566))-(F$5*8)+(G3566-2*F$5),IF(D3586=4,(2*(D3566+G3566))-(F$5*8)+2*(G3566-2*F$5)))))/1000</f>
        <v>1.48</v>
      </c>
      <c r="K3586" s="400" t="s">
        <v>204</v>
      </c>
      <c r="L3586" s="399">
        <f t="shared" si="11551"/>
        <v>0.15</v>
      </c>
      <c r="M3586" s="399" t="s">
        <v>176</v>
      </c>
      <c r="N3586" s="399">
        <f t="shared" si="11552"/>
        <v>1.63</v>
      </c>
      <c r="O3586" s="399"/>
      <c r="P3586" s="389"/>
      <c r="Q3586" s="399"/>
      <c r="R3586" s="399"/>
      <c r="S3586" s="399"/>
      <c r="T3586" s="399" t="s">
        <v>125</v>
      </c>
      <c r="U3586" s="401">
        <f t="shared" si="11553"/>
        <v>0.61650000000000005</v>
      </c>
      <c r="V3586" s="399" t="s">
        <v>125</v>
      </c>
      <c r="W3586" s="399">
        <f t="shared" ref="W3586" si="11559">IF(D3568-MAX(D3568/4,2*G3566)*2&gt;0,ROUND((D3568-MAX(D3568/4,2*G3566)*2)/H3586,0),0)</f>
        <v>18</v>
      </c>
      <c r="X3586" s="399" t="s">
        <v>125</v>
      </c>
      <c r="Y3586" s="389">
        <f t="shared" ref="Y3586" si="11560">D3571</f>
        <v>1</v>
      </c>
      <c r="Z3586" s="400" t="s">
        <v>176</v>
      </c>
      <c r="AA3586" s="402">
        <f t="shared" si="11556"/>
        <v>18.08811</v>
      </c>
      <c r="AB3586" s="403"/>
    </row>
    <row r="3587" spans="1:28">
      <c r="A3587" s="384" t="str">
        <f t="shared" ref="A3587:B3587" si="11561">A3565</f>
        <v>Lantai 2</v>
      </c>
      <c r="B3587" s="385">
        <f t="shared" si="11561"/>
        <v>32</v>
      </c>
      <c r="C3587" s="393" t="s">
        <v>211</v>
      </c>
      <c r="D3587" s="398">
        <f>VLOOKUP(D3565,'Detail Balok'!$C$10:$AU$140,41,FALSE)</f>
        <v>0</v>
      </c>
      <c r="E3587" s="388" t="s">
        <v>16</v>
      </c>
      <c r="F3587" s="388">
        <f>VLOOKUP(D3565,'Detail Balok'!$C$10:$AU$140,43,FALSE)</f>
        <v>10</v>
      </c>
      <c r="G3587" s="405" t="s">
        <v>157</v>
      </c>
      <c r="H3587" s="395">
        <f>VLOOKUP(D3565,'Detail Balok'!$C$10:$AU$140,45,FALSE)</f>
        <v>100</v>
      </c>
      <c r="I3587" s="388"/>
      <c r="J3587" s="400">
        <f t="shared" ref="J3587" si="11562">(IF(D3587=0,(2*(D3566+G3566))-(F$5*8),IF(D3587=3,(2*(D3566+G3566))-(F$5*8)+(G3566-2*F$5),IF(D3587=4,(2*(D3566+G3566))-(F$5*8)+2*(G3566-2*F$5)))))/1000</f>
        <v>1.48</v>
      </c>
      <c r="K3587" s="400" t="s">
        <v>204</v>
      </c>
      <c r="L3587" s="399">
        <f t="shared" si="11551"/>
        <v>0.15</v>
      </c>
      <c r="M3587" s="399" t="s">
        <v>176</v>
      </c>
      <c r="N3587" s="399">
        <f t="shared" si="11552"/>
        <v>1.63</v>
      </c>
      <c r="O3587" s="399"/>
      <c r="P3587" s="389"/>
      <c r="Q3587" s="399"/>
      <c r="R3587" s="399"/>
      <c r="S3587" s="399"/>
      <c r="T3587" s="399" t="s">
        <v>125</v>
      </c>
      <c r="U3587" s="401">
        <f t="shared" si="11553"/>
        <v>0.61650000000000005</v>
      </c>
      <c r="V3587" s="399" t="s">
        <v>125</v>
      </c>
      <c r="W3587" s="399">
        <f t="shared" ref="W3587" si="11563">IF(D3568&gt;4*G3566,ROUND(MAX(D3568/4,2*G3566)/H3587,0)+1,0)</f>
        <v>14</v>
      </c>
      <c r="X3587" s="399" t="s">
        <v>125</v>
      </c>
      <c r="Y3587" s="389">
        <f t="shared" ref="Y3587" si="11564">D3571</f>
        <v>1</v>
      </c>
      <c r="Z3587" s="400" t="s">
        <v>176</v>
      </c>
      <c r="AA3587" s="402">
        <f t="shared" si="11556"/>
        <v>14.068530000000001</v>
      </c>
      <c r="AB3587" s="403"/>
    </row>
    <row r="3588" spans="1:28">
      <c r="A3588" s="384"/>
      <c r="B3588" s="385"/>
      <c r="C3588" s="393"/>
      <c r="D3588" s="394"/>
      <c r="E3588" s="388"/>
      <c r="F3588" s="388"/>
      <c r="G3588" s="388"/>
      <c r="H3588" s="395"/>
      <c r="I3588" s="388"/>
      <c r="J3588" s="399"/>
      <c r="K3588" s="396"/>
      <c r="L3588" s="396"/>
      <c r="M3588" s="396"/>
      <c r="N3588" s="396"/>
      <c r="O3588" s="396"/>
      <c r="P3588" s="389"/>
      <c r="Q3588" s="396"/>
      <c r="R3588" s="396"/>
      <c r="S3588" s="396"/>
      <c r="T3588" s="396"/>
      <c r="U3588" s="401"/>
      <c r="V3588" s="396"/>
      <c r="W3588" s="388"/>
      <c r="X3588" s="396"/>
      <c r="Y3588" s="389"/>
      <c r="Z3588" s="396"/>
      <c r="AA3588" s="388"/>
      <c r="AB3588" s="390"/>
    </row>
    <row r="3589" spans="1:28">
      <c r="A3589" s="384" t="str">
        <f t="shared" ref="A3589:B3589" si="11565">A3565</f>
        <v>Lantai 2</v>
      </c>
      <c r="B3589" s="385">
        <f t="shared" si="11565"/>
        <v>32</v>
      </c>
      <c r="C3589" s="393" t="s">
        <v>213</v>
      </c>
      <c r="D3589" s="398">
        <f>VLOOKUP(D3565,'Detail Balok'!$C$10:$BJ$140,46,FALSE)</f>
        <v>0</v>
      </c>
      <c r="E3589" s="388" t="s">
        <v>16</v>
      </c>
      <c r="F3589" s="388">
        <f>VLOOKUP(D3565,'Detail Balok'!$C$10:$BJ$140,48,FALSE)</f>
        <v>0</v>
      </c>
      <c r="G3589" s="405" t="s">
        <v>157</v>
      </c>
      <c r="H3589" s="395">
        <f>VLOOKUP(D3565,'Detail Balok'!$C$10:$BJ$140,50,FALSE)</f>
        <v>100</v>
      </c>
      <c r="I3589" s="388"/>
      <c r="J3589" s="399">
        <f t="shared" ref="J3589" si="11566">(D3566-2*F$5)/1000</f>
        <v>0.22</v>
      </c>
      <c r="K3589" s="400" t="s">
        <v>204</v>
      </c>
      <c r="L3589" s="399">
        <f t="shared" ref="L3589:L3591" si="11567">IF(D3589=0,2*MAX(6*F3589,75),(D3589-1)*2*MAX(6*F3589,75))/1000</f>
        <v>0.15</v>
      </c>
      <c r="M3589" s="399" t="s">
        <v>176</v>
      </c>
      <c r="N3589" s="399">
        <f t="shared" ref="N3589:N3591" si="11568">J3589+L3589</f>
        <v>0.37</v>
      </c>
      <c r="O3589" s="399"/>
      <c r="P3589" s="399"/>
      <c r="Q3589" s="399"/>
      <c r="R3589" s="399"/>
      <c r="S3589" s="399"/>
      <c r="T3589" s="399" t="s">
        <v>125</v>
      </c>
      <c r="U3589" s="401">
        <f t="shared" ref="U3589:U3591" si="11569">0.006165*F3589^2</f>
        <v>0</v>
      </c>
      <c r="V3589" s="399" t="s">
        <v>125</v>
      </c>
      <c r="W3589" s="399">
        <f t="shared" ref="W3589:W3651" si="11570">W3585</f>
        <v>14</v>
      </c>
      <c r="X3589" s="399" t="s">
        <v>125</v>
      </c>
      <c r="Y3589" s="389">
        <f t="shared" ref="Y3589" si="11571">D3575</f>
        <v>5</v>
      </c>
      <c r="Z3589" s="400" t="s">
        <v>176</v>
      </c>
      <c r="AA3589" s="402">
        <f t="shared" ref="AA3589:AA3591" si="11572">N3589*U3589*W3589*Y3589</f>
        <v>0</v>
      </c>
      <c r="AB3589" s="403"/>
    </row>
    <row r="3590" spans="1:28">
      <c r="A3590" s="384" t="str">
        <f t="shared" ref="A3590:B3590" si="11573">A3565</f>
        <v>Lantai 2</v>
      </c>
      <c r="B3590" s="385">
        <f t="shared" si="11573"/>
        <v>32</v>
      </c>
      <c r="C3590" s="393" t="s">
        <v>214</v>
      </c>
      <c r="D3590" s="398">
        <f>VLOOKUP(D3565,'Detail Balok'!$C$10:$BJ$140,51,FALSE)</f>
        <v>0</v>
      </c>
      <c r="E3590" s="388" t="s">
        <v>16</v>
      </c>
      <c r="F3590" s="388">
        <f>VLOOKUP(D3565,'Detail Balok'!$C$10:$BJ$140,53,FALSE)</f>
        <v>0</v>
      </c>
      <c r="G3590" s="405" t="s">
        <v>157</v>
      </c>
      <c r="H3590" s="395">
        <f>VLOOKUP(D3565,'Detail Balok'!$C$10:$BJ$140,55,FALSE)</f>
        <v>100</v>
      </c>
      <c r="I3590" s="388"/>
      <c r="J3590" s="399">
        <f t="shared" ref="J3590" si="11574">(D3566-2*F$5)/1000</f>
        <v>0.22</v>
      </c>
      <c r="K3590" s="400" t="s">
        <v>204</v>
      </c>
      <c r="L3590" s="399">
        <f t="shared" si="11567"/>
        <v>0.15</v>
      </c>
      <c r="M3590" s="399" t="s">
        <v>176</v>
      </c>
      <c r="N3590" s="399">
        <f t="shared" si="11568"/>
        <v>0.37</v>
      </c>
      <c r="O3590" s="399"/>
      <c r="P3590" s="399"/>
      <c r="Q3590" s="399"/>
      <c r="R3590" s="399"/>
      <c r="S3590" s="399"/>
      <c r="T3590" s="399" t="s">
        <v>125</v>
      </c>
      <c r="U3590" s="401">
        <f t="shared" si="11569"/>
        <v>0</v>
      </c>
      <c r="V3590" s="399" t="s">
        <v>125</v>
      </c>
      <c r="W3590" s="399">
        <f t="shared" si="11570"/>
        <v>18</v>
      </c>
      <c r="X3590" s="399" t="s">
        <v>125</v>
      </c>
      <c r="Y3590" s="389">
        <f t="shared" ref="Y3590" si="11575">D3575</f>
        <v>5</v>
      </c>
      <c r="Z3590" s="400" t="s">
        <v>176</v>
      </c>
      <c r="AA3590" s="402">
        <f t="shared" si="11572"/>
        <v>0</v>
      </c>
      <c r="AB3590" s="403"/>
    </row>
    <row r="3591" spans="1:28">
      <c r="A3591" s="384" t="str">
        <f t="shared" ref="A3591:B3591" si="11576">A3565</f>
        <v>Lantai 2</v>
      </c>
      <c r="B3591" s="385">
        <f t="shared" si="11576"/>
        <v>32</v>
      </c>
      <c r="C3591" s="393" t="s">
        <v>213</v>
      </c>
      <c r="D3591" s="398">
        <f>VLOOKUP(D3565,'Detail Balok'!$C$10:$BJ$140,56,FALSE)</f>
        <v>0</v>
      </c>
      <c r="E3591" s="388" t="s">
        <v>16</v>
      </c>
      <c r="F3591" s="388">
        <f>VLOOKUP(D3565,'Detail Balok'!$C$10:$BJ$140,58,FALSE)</f>
        <v>0</v>
      </c>
      <c r="G3591" s="405" t="s">
        <v>157</v>
      </c>
      <c r="H3591" s="395">
        <f>VLOOKUP(D3565,'Detail Balok'!$C$10:$BJ$140,60,FALSE)</f>
        <v>100</v>
      </c>
      <c r="I3591" s="388"/>
      <c r="J3591" s="399">
        <f t="shared" ref="J3591" si="11577">(D3566-2*F$5)/1000</f>
        <v>0.22</v>
      </c>
      <c r="K3591" s="400" t="s">
        <v>204</v>
      </c>
      <c r="L3591" s="399">
        <f t="shared" si="11567"/>
        <v>0.15</v>
      </c>
      <c r="M3591" s="399" t="s">
        <v>176</v>
      </c>
      <c r="N3591" s="399">
        <f t="shared" si="11568"/>
        <v>0.37</v>
      </c>
      <c r="O3591" s="399"/>
      <c r="P3591" s="399"/>
      <c r="Q3591" s="399"/>
      <c r="R3591" s="399"/>
      <c r="S3591" s="399"/>
      <c r="T3591" s="399" t="s">
        <v>125</v>
      </c>
      <c r="U3591" s="401">
        <f t="shared" si="11569"/>
        <v>0</v>
      </c>
      <c r="V3591" s="399" t="s">
        <v>125</v>
      </c>
      <c r="W3591" s="399">
        <f t="shared" si="11570"/>
        <v>14</v>
      </c>
      <c r="X3591" s="399" t="s">
        <v>125</v>
      </c>
      <c r="Y3591" s="389">
        <f t="shared" ref="Y3591" si="11578">D3575</f>
        <v>5</v>
      </c>
      <c r="Z3591" s="400" t="s">
        <v>176</v>
      </c>
      <c r="AA3591" s="402">
        <f t="shared" si="11572"/>
        <v>0</v>
      </c>
      <c r="AB3591" s="403"/>
    </row>
    <row r="3592" spans="1:28">
      <c r="A3592" s="391"/>
      <c r="B3592" s="392"/>
      <c r="C3592" s="392"/>
      <c r="D3592" s="394"/>
      <c r="E3592" s="388"/>
      <c r="F3592" s="388"/>
      <c r="G3592" s="388"/>
      <c r="H3592" s="395"/>
      <c r="I3592" s="388"/>
      <c r="J3592" s="402"/>
      <c r="K3592" s="388"/>
      <c r="L3592" s="388"/>
      <c r="M3592" s="388"/>
      <c r="N3592" s="388"/>
      <c r="O3592" s="388"/>
      <c r="P3592" s="388"/>
      <c r="Q3592" s="388"/>
      <c r="R3592" s="388"/>
      <c r="S3592" s="388"/>
      <c r="T3592" s="388"/>
      <c r="U3592" s="388"/>
      <c r="V3592" s="388"/>
      <c r="W3592" s="388"/>
      <c r="X3592" s="388"/>
      <c r="Y3592" s="389"/>
      <c r="Z3592" s="388"/>
      <c r="AA3592" s="402"/>
      <c r="AB3592" s="403"/>
    </row>
    <row r="3593" spans="1:28" ht="15.75" thickBot="1">
      <c r="A3593" s="406"/>
      <c r="B3593" s="407"/>
      <c r="C3593" s="407"/>
      <c r="D3593" s="408"/>
      <c r="E3593" s="409"/>
      <c r="F3593" s="409"/>
      <c r="G3593" s="409"/>
      <c r="H3593" s="410"/>
      <c r="I3593" s="409"/>
      <c r="J3593" s="409"/>
      <c r="K3593" s="409"/>
      <c r="L3593" s="409"/>
      <c r="M3593" s="409"/>
      <c r="N3593" s="409"/>
      <c r="O3593" s="409"/>
      <c r="P3593" s="409"/>
      <c r="Q3593" s="409"/>
      <c r="R3593" s="409"/>
      <c r="S3593" s="409"/>
      <c r="T3593" s="409"/>
      <c r="U3593" s="409"/>
      <c r="V3593" s="409"/>
      <c r="W3593" s="409"/>
      <c r="X3593" s="409"/>
      <c r="Y3593" s="411"/>
      <c r="Z3593" s="409"/>
      <c r="AA3593" s="412"/>
      <c r="AB3593" s="413"/>
    </row>
    <row r="3594" spans="1:28">
      <c r="A3594" s="377"/>
      <c r="B3594" s="378"/>
      <c r="C3594" s="378"/>
      <c r="D3594" s="379"/>
      <c r="E3594" s="380"/>
      <c r="F3594" s="380"/>
      <c r="G3594" s="380"/>
      <c r="H3594" s="381"/>
      <c r="I3594" s="380"/>
      <c r="J3594" s="380"/>
      <c r="K3594" s="380"/>
      <c r="L3594" s="380"/>
      <c r="M3594" s="380"/>
      <c r="N3594" s="380"/>
      <c r="O3594" s="380"/>
      <c r="P3594" s="380"/>
      <c r="Q3594" s="380"/>
      <c r="R3594" s="380"/>
      <c r="S3594" s="380"/>
      <c r="T3594" s="380"/>
      <c r="U3594" s="380"/>
      <c r="V3594" s="380"/>
      <c r="W3594" s="380"/>
      <c r="X3594" s="380"/>
      <c r="Y3594" s="382"/>
      <c r="Z3594" s="380"/>
      <c r="AA3594" s="380"/>
      <c r="AB3594" s="383"/>
    </row>
    <row r="3595" spans="1:28">
      <c r="A3595" s="384" t="str">
        <f t="shared" ref="A3595:A3655" si="11579">A3565</f>
        <v>Lantai 2</v>
      </c>
      <c r="B3595" s="385">
        <f t="shared" ref="B3595:B3655" si="11580">B3565+1</f>
        <v>33</v>
      </c>
      <c r="C3595" s="386" t="str">
        <f t="shared" ref="C3595" si="11581">CONCATENATE(A3595," no. ",B3595)</f>
        <v>Lantai 2 no. 33</v>
      </c>
      <c r="D3595" s="2562" t="str">
        <f>VLOOKUP(C3595,'Data Panjang Balok'!$C$9:$N$254,2,FALSE)</f>
        <v>B24-1</v>
      </c>
      <c r="E3595" s="2576"/>
      <c r="F3595" s="2576"/>
      <c r="G3595" s="2576"/>
      <c r="H3595" s="2577"/>
      <c r="I3595" s="387"/>
      <c r="J3595" s="388"/>
      <c r="K3595" s="388"/>
      <c r="L3595" s="388"/>
      <c r="M3595" s="388"/>
      <c r="N3595" s="388"/>
      <c r="O3595" s="388"/>
      <c r="P3595" s="388"/>
      <c r="Q3595" s="388"/>
      <c r="R3595" s="388"/>
      <c r="S3595" s="388"/>
      <c r="T3595" s="388"/>
      <c r="U3595" s="388"/>
      <c r="V3595" s="388"/>
      <c r="W3595" s="388"/>
      <c r="X3595" s="388"/>
      <c r="Y3595" s="389"/>
      <c r="Z3595" s="388"/>
      <c r="AA3595" s="388"/>
      <c r="AB3595" s="390"/>
    </row>
    <row r="3596" spans="1:28">
      <c r="A3596" s="391"/>
      <c r="B3596" s="392"/>
      <c r="C3596" s="393" t="s">
        <v>118</v>
      </c>
      <c r="D3596" s="2578">
        <f>VLOOKUP(D3595,'Detail Balok'!$C$10:$AU$140,2,FALSE)</f>
        <v>200</v>
      </c>
      <c r="E3596" s="2579"/>
      <c r="F3596" s="388" t="s">
        <v>125</v>
      </c>
      <c r="G3596" s="2579">
        <f>VLOOKUP(D3595,'Detail Balok'!$C$10:$AU$140,3,FALSE)</f>
        <v>400</v>
      </c>
      <c r="H3596" s="2580"/>
      <c r="I3596" s="388"/>
      <c r="J3596" s="396"/>
      <c r="K3596" s="396"/>
      <c r="L3596" s="396"/>
      <c r="M3596" s="396"/>
      <c r="N3596" s="396"/>
      <c r="O3596" s="396"/>
      <c r="P3596" s="396"/>
      <c r="Q3596" s="396"/>
      <c r="R3596" s="396"/>
      <c r="S3596" s="396"/>
      <c r="T3596" s="396"/>
      <c r="U3596" s="388"/>
      <c r="V3596" s="396"/>
      <c r="W3596" s="388"/>
      <c r="X3596" s="396"/>
      <c r="Y3596" s="389"/>
      <c r="Z3596" s="396"/>
      <c r="AA3596" s="388"/>
      <c r="AB3596" s="390"/>
    </row>
    <row r="3597" spans="1:28">
      <c r="A3597" s="391"/>
      <c r="B3597" s="392"/>
      <c r="C3597" s="393" t="s">
        <v>198</v>
      </c>
      <c r="D3597" s="2562">
        <f>VLOOKUP(C3595,'Data Panjang Balok'!$C$9:$N$254,4,FALSE)</f>
        <v>3645</v>
      </c>
      <c r="E3597" s="2563"/>
      <c r="F3597" s="2563"/>
      <c r="G3597" s="2563"/>
      <c r="H3597" s="2564"/>
      <c r="I3597" s="397"/>
      <c r="J3597" s="396"/>
      <c r="K3597" s="396"/>
      <c r="L3597" s="396"/>
      <c r="M3597" s="396"/>
      <c r="N3597" s="396"/>
      <c r="O3597" s="396"/>
      <c r="P3597" s="396"/>
      <c r="Q3597" s="396"/>
      <c r="R3597" s="396"/>
      <c r="S3597" s="396"/>
      <c r="T3597" s="396"/>
      <c r="U3597" s="388"/>
      <c r="V3597" s="396"/>
      <c r="W3597" s="388"/>
      <c r="X3597" s="396"/>
      <c r="Y3597" s="389"/>
      <c r="Z3597" s="396"/>
      <c r="AA3597" s="388"/>
      <c r="AB3597" s="390"/>
    </row>
    <row r="3598" spans="1:28">
      <c r="A3598" s="391"/>
      <c r="B3598" s="392"/>
      <c r="C3598" s="393" t="s">
        <v>199</v>
      </c>
      <c r="D3598" s="2562">
        <f>VLOOKUP(C3595,'Data Panjang Balok'!$C$9:$N$254,7,FALSE)</f>
        <v>3645</v>
      </c>
      <c r="E3598" s="2563"/>
      <c r="F3598" s="2563"/>
      <c r="G3598" s="2563"/>
      <c r="H3598" s="2564"/>
      <c r="I3598" s="397"/>
      <c r="J3598" s="396"/>
      <c r="K3598" s="396"/>
      <c r="L3598" s="396"/>
      <c r="M3598" s="396"/>
      <c r="N3598" s="396"/>
      <c r="O3598" s="396"/>
      <c r="P3598" s="396"/>
      <c r="Q3598" s="396"/>
      <c r="R3598" s="396"/>
      <c r="S3598" s="396"/>
      <c r="T3598" s="396"/>
      <c r="U3598" s="388"/>
      <c r="V3598" s="396"/>
      <c r="W3598" s="388"/>
      <c r="X3598" s="396"/>
      <c r="Y3598" s="389"/>
      <c r="Z3598" s="396"/>
      <c r="AA3598" s="388"/>
      <c r="AB3598" s="390"/>
    </row>
    <row r="3599" spans="1:28">
      <c r="A3599" s="391"/>
      <c r="B3599" s="392"/>
      <c r="C3599" s="393" t="s">
        <v>200</v>
      </c>
      <c r="D3599" s="2562">
        <f>VLOOKUP(C3595,'Data Panjang Balok'!$C$9:$N$254,9,FALSE)</f>
        <v>0</v>
      </c>
      <c r="E3599" s="2563"/>
      <c r="F3599" s="2563"/>
      <c r="G3599" s="2563"/>
      <c r="H3599" s="2564"/>
      <c r="I3599" s="397"/>
      <c r="J3599" s="396"/>
      <c r="K3599" s="396"/>
      <c r="L3599" s="396"/>
      <c r="M3599" s="396"/>
      <c r="N3599" s="396"/>
      <c r="O3599" s="396"/>
      <c r="P3599" s="396"/>
      <c r="Q3599" s="396"/>
      <c r="R3599" s="396"/>
      <c r="S3599" s="396"/>
      <c r="T3599" s="396"/>
      <c r="U3599" s="388"/>
      <c r="V3599" s="396"/>
      <c r="W3599" s="388"/>
      <c r="X3599" s="396"/>
      <c r="Y3599" s="389"/>
      <c r="Z3599" s="396"/>
      <c r="AA3599" s="388"/>
      <c r="AB3599" s="390"/>
    </row>
    <row r="3600" spans="1:28">
      <c r="A3600" s="391"/>
      <c r="B3600" s="392"/>
      <c r="C3600" s="393" t="s">
        <v>201</v>
      </c>
      <c r="D3600" s="2562">
        <f>VLOOKUP(C3595,'Data Panjang Balok'!$C$9:$N$254,10,FALSE)</f>
        <v>0</v>
      </c>
      <c r="E3600" s="2563"/>
      <c r="F3600" s="2563"/>
      <c r="G3600" s="2563"/>
      <c r="H3600" s="2564"/>
      <c r="I3600" s="397"/>
      <c r="J3600" s="396"/>
      <c r="K3600" s="396"/>
      <c r="L3600" s="396"/>
      <c r="M3600" s="396"/>
      <c r="N3600" s="396"/>
      <c r="O3600" s="396"/>
      <c r="P3600" s="396"/>
      <c r="Q3600" s="396"/>
      <c r="R3600" s="396"/>
      <c r="S3600" s="396"/>
      <c r="T3600" s="396"/>
      <c r="U3600" s="388"/>
      <c r="V3600" s="396"/>
      <c r="W3600" s="388"/>
      <c r="X3600" s="396"/>
      <c r="Y3600" s="389"/>
      <c r="Z3600" s="396"/>
      <c r="AA3600" s="388"/>
      <c r="AB3600" s="390"/>
    </row>
    <row r="3601" spans="1:28">
      <c r="A3601" s="391"/>
      <c r="B3601" s="392"/>
      <c r="C3601" s="393" t="s">
        <v>48</v>
      </c>
      <c r="D3601" s="2562">
        <f>VLOOKUP(C3595,'Data Panjang Balok'!$C$9:$N$254,3,FALSE)</f>
        <v>1</v>
      </c>
      <c r="E3601" s="2563"/>
      <c r="F3601" s="2563"/>
      <c r="G3601" s="2563"/>
      <c r="H3601" s="2564"/>
      <c r="I3601" s="397"/>
      <c r="J3601" s="396"/>
      <c r="K3601" s="396"/>
      <c r="L3601" s="396"/>
      <c r="M3601" s="396"/>
      <c r="N3601" s="396"/>
      <c r="O3601" s="396"/>
      <c r="P3601" s="396"/>
      <c r="Q3601" s="396"/>
      <c r="R3601" s="396"/>
      <c r="S3601" s="396"/>
      <c r="T3601" s="396"/>
      <c r="U3601" s="388"/>
      <c r="V3601" s="396"/>
      <c r="W3601" s="388"/>
      <c r="X3601" s="396"/>
      <c r="Y3601" s="389"/>
      <c r="Z3601" s="396"/>
      <c r="AA3601" s="388"/>
      <c r="AB3601" s="390"/>
    </row>
    <row r="3602" spans="1:28">
      <c r="A3602" s="384" t="str">
        <f t="shared" ref="A3602:B3602" si="11582">A3595</f>
        <v>Lantai 2</v>
      </c>
      <c r="B3602" s="385">
        <f t="shared" si="11582"/>
        <v>33</v>
      </c>
      <c r="C3602" s="393" t="s">
        <v>202</v>
      </c>
      <c r="D3602" s="398">
        <f>VLOOKUP(D3595,'Detail Balok'!$C$10:$AU$140,4,FALSE)</f>
        <v>3</v>
      </c>
      <c r="E3602" s="388" t="s">
        <v>16</v>
      </c>
      <c r="F3602" s="388">
        <f>VLOOKUP(D3595,'Detail Balok'!$C$10:$AU$140,6,FALSE)</f>
        <v>13</v>
      </c>
      <c r="G3602" s="388"/>
      <c r="H3602" s="395"/>
      <c r="I3602" s="388" t="s">
        <v>203</v>
      </c>
      <c r="J3602" s="399">
        <f t="shared" ref="J3602" si="11583">+D3597/4/1000</f>
        <v>0.91125</v>
      </c>
      <c r="K3602" s="400" t="s">
        <v>204</v>
      </c>
      <c r="L3602" s="399">
        <f t="shared" ref="L3602" si="11584">MAX(VLOOKUP(F3602,N$6:P$15,3,FALSE)/1000,2/3*D3599/1000)+F$16*F3602/1000</f>
        <v>0.156</v>
      </c>
      <c r="M3602" s="399" t="s">
        <v>176</v>
      </c>
      <c r="N3602" s="399">
        <f t="shared" ref="N3602:N3604" si="11585">J3602+L3602</f>
        <v>1.06725</v>
      </c>
      <c r="O3602" s="399" t="s">
        <v>204</v>
      </c>
      <c r="P3602" s="389">
        <f t="shared" ref="P3602" si="11586">D3602-D3603</f>
        <v>0</v>
      </c>
      <c r="Q3602" s="399" t="s">
        <v>125</v>
      </c>
      <c r="R3602" s="399">
        <f t="shared" ref="R3602" si="11587">IF(P3602&gt;0,$F$18*F3602/1000,0)</f>
        <v>0</v>
      </c>
      <c r="S3602" s="399" t="s">
        <v>205</v>
      </c>
      <c r="T3602" s="399" t="s">
        <v>125</v>
      </c>
      <c r="U3602" s="401">
        <f t="shared" ref="U3602:U3604" si="11588">0.006165*F3602^2</f>
        <v>1.041885</v>
      </c>
      <c r="V3602" s="399"/>
      <c r="W3602" s="399"/>
      <c r="X3602" s="399" t="s">
        <v>125</v>
      </c>
      <c r="Y3602" s="389">
        <f t="shared" ref="Y3602" si="11589">D3601</f>
        <v>1</v>
      </c>
      <c r="Z3602" s="400" t="s">
        <v>176</v>
      </c>
      <c r="AA3602" s="402">
        <f t="shared" ref="AA3602" si="11590">IF(AA3605=0,(D3602*N3602+P3602*R3602)*U3602*Y3602,0)</f>
        <v>0</v>
      </c>
      <c r="AB3602" s="403"/>
    </row>
    <row r="3603" spans="1:28">
      <c r="A3603" s="384" t="str">
        <f t="shared" ref="A3603:B3603" si="11591">A3595</f>
        <v>Lantai 2</v>
      </c>
      <c r="B3603" s="385">
        <f t="shared" si="11591"/>
        <v>33</v>
      </c>
      <c r="C3603" s="393" t="s">
        <v>206</v>
      </c>
      <c r="D3603" s="398">
        <f>VLOOKUP(D3595,'Detail Balok'!$C$10:$AU$140,7,FALSE)</f>
        <v>3</v>
      </c>
      <c r="E3603" s="388" t="s">
        <v>16</v>
      </c>
      <c r="F3603" s="388">
        <f>VLOOKUP(D3595,'Detail Balok'!$C$10:$AU$140,9,FALSE)</f>
        <v>13</v>
      </c>
      <c r="G3603" s="388"/>
      <c r="H3603" s="395"/>
      <c r="I3603" s="388" t="s">
        <v>203</v>
      </c>
      <c r="J3603" s="399">
        <f t="shared" ref="J3603" si="11592">+D3597/2/1000</f>
        <v>1.8225</v>
      </c>
      <c r="K3603" s="400" t="s">
        <v>204</v>
      </c>
      <c r="L3603" s="399"/>
      <c r="M3603" s="399" t="s">
        <v>176</v>
      </c>
      <c r="N3603" s="399">
        <f t="shared" si="11585"/>
        <v>1.8225</v>
      </c>
      <c r="O3603" s="399" t="s">
        <v>204</v>
      </c>
      <c r="P3603" s="389">
        <f t="shared" ref="P3603" si="11593">MAX(D3603-D3602,D3603-D3604)</f>
        <v>0</v>
      </c>
      <c r="Q3603" s="399" t="s">
        <v>125</v>
      </c>
      <c r="R3603" s="399">
        <f t="shared" ref="R3603" si="11594">IF(P3603&gt;0,2*(1-2*$F$19-1/2)*D3598/1000,0)</f>
        <v>0</v>
      </c>
      <c r="S3603" s="399" t="s">
        <v>205</v>
      </c>
      <c r="T3603" s="399" t="s">
        <v>125</v>
      </c>
      <c r="U3603" s="401">
        <f t="shared" si="11588"/>
        <v>1.041885</v>
      </c>
      <c r="V3603" s="399"/>
      <c r="W3603" s="399"/>
      <c r="X3603" s="399" t="s">
        <v>125</v>
      </c>
      <c r="Y3603" s="389">
        <f t="shared" ref="Y3603" si="11595">D3601</f>
        <v>1</v>
      </c>
      <c r="Z3603" s="400" t="s">
        <v>176</v>
      </c>
      <c r="AA3603" s="402">
        <f t="shared" ref="AA3603" si="11596">IF(AA3605=0,(D3603*N3603+P3603*R3603)*U3603*Y3603,0)</f>
        <v>0</v>
      </c>
      <c r="AB3603" s="403"/>
    </row>
    <row r="3604" spans="1:28">
      <c r="A3604" s="384" t="str">
        <f t="shared" ref="A3604:B3604" si="11597">A3595</f>
        <v>Lantai 2</v>
      </c>
      <c r="B3604" s="385">
        <f t="shared" si="11597"/>
        <v>33</v>
      </c>
      <c r="C3604" s="393" t="s">
        <v>202</v>
      </c>
      <c r="D3604" s="398">
        <f>VLOOKUP(D3595,'Detail Balok'!$C$10:$AU$140,10,FALSE)</f>
        <v>3</v>
      </c>
      <c r="E3604" s="388" t="s">
        <v>16</v>
      </c>
      <c r="F3604" s="388">
        <f>VLOOKUP(D3595,'Detail Balok'!$C$10:$AU$140,12,FALSE)</f>
        <v>13</v>
      </c>
      <c r="G3604" s="388"/>
      <c r="H3604" s="395"/>
      <c r="I3604" s="388" t="s">
        <v>203</v>
      </c>
      <c r="J3604" s="399">
        <f t="shared" ref="J3604" si="11598">+D3597/4/1000</f>
        <v>0.91125</v>
      </c>
      <c r="K3604" s="400" t="s">
        <v>204</v>
      </c>
      <c r="L3604" s="399">
        <f t="shared" ref="L3604" si="11599">MAX(VLOOKUP(F3604,N$6:P$15,3,FALSE)/1000,2/3*D3599/1000)+F$16*F3604/1000</f>
        <v>0.156</v>
      </c>
      <c r="M3604" s="399" t="s">
        <v>176</v>
      </c>
      <c r="N3604" s="399">
        <f t="shared" si="11585"/>
        <v>1.06725</v>
      </c>
      <c r="O3604" s="399" t="s">
        <v>204</v>
      </c>
      <c r="P3604" s="389">
        <f t="shared" ref="P3604" si="11600">D3604-D3603</f>
        <v>0</v>
      </c>
      <c r="Q3604" s="399" t="s">
        <v>125</v>
      </c>
      <c r="R3604" s="399">
        <f t="shared" ref="R3604" si="11601">IF(P3604&gt;0,$F$18*F3604/1000,0)</f>
        <v>0</v>
      </c>
      <c r="S3604" s="399" t="s">
        <v>205</v>
      </c>
      <c r="T3604" s="399" t="s">
        <v>125</v>
      </c>
      <c r="U3604" s="401">
        <f t="shared" si="11588"/>
        <v>1.041885</v>
      </c>
      <c r="V3604" s="399"/>
      <c r="W3604" s="399"/>
      <c r="X3604" s="399" t="s">
        <v>125</v>
      </c>
      <c r="Y3604" s="389">
        <f t="shared" ref="Y3604" si="11602">D3601</f>
        <v>1</v>
      </c>
      <c r="Z3604" s="400" t="s">
        <v>176</v>
      </c>
      <c r="AA3604" s="402">
        <f t="shared" ref="AA3604" si="11603">IF(AA3605=0,(D3604*N3604+P3604*R3604)*U3604*Y3604,0)</f>
        <v>0</v>
      </c>
      <c r="AB3604" s="403"/>
    </row>
    <row r="3605" spans="1:28">
      <c r="A3605" s="384" t="str">
        <f t="shared" ref="A3605:B3605" si="11604">A3595</f>
        <v>Lantai 2</v>
      </c>
      <c r="B3605" s="385">
        <f t="shared" si="11604"/>
        <v>33</v>
      </c>
      <c r="C3605" s="393"/>
      <c r="D3605" s="398">
        <f t="shared" si="11500"/>
        <v>3</v>
      </c>
      <c r="E3605" s="388" t="s">
        <v>16</v>
      </c>
      <c r="F3605" s="388">
        <f t="shared" si="11501"/>
        <v>13</v>
      </c>
      <c r="G3605" s="388"/>
      <c r="H3605" s="395"/>
      <c r="I3605" s="388"/>
      <c r="J3605" s="396"/>
      <c r="K3605" s="396"/>
      <c r="L3605" s="404" t="s">
        <v>207</v>
      </c>
      <c r="M3605" s="399" t="s">
        <v>176</v>
      </c>
      <c r="N3605" s="399">
        <f t="shared" ref="N3605" si="11605">IF(AND(D3602=D3603,D3602=D3604,D3603=D3604,F3602=F3603,F3602=F3604,F3603=F3604),SUM(N3602:N3604),0)</f>
        <v>3.9570000000000003</v>
      </c>
      <c r="O3605" s="399" t="s">
        <v>204</v>
      </c>
      <c r="P3605" s="389">
        <f t="shared" ref="P3605" si="11606">IF(N3605&gt;12,ROUNDDOWN(N3605/12,0),0)</f>
        <v>0</v>
      </c>
      <c r="Q3605" s="399" t="s">
        <v>125</v>
      </c>
      <c r="R3605" s="399">
        <f t="shared" ref="R3605" si="11607">IF(P3605&gt;0,MAX(VLOOKUP(F3605,$D$6:$G$15,3,FALSE),600),0)/1000</f>
        <v>0</v>
      </c>
      <c r="S3605" s="396"/>
      <c r="T3605" s="396" t="s">
        <v>125</v>
      </c>
      <c r="U3605" s="401">
        <f t="shared" si="11505"/>
        <v>1.041885</v>
      </c>
      <c r="V3605" s="396" t="s">
        <v>125</v>
      </c>
      <c r="W3605" s="399">
        <f t="shared" ref="W3605" si="11608">D3605</f>
        <v>3</v>
      </c>
      <c r="X3605" s="399" t="s">
        <v>125</v>
      </c>
      <c r="Y3605" s="389">
        <f t="shared" si="11507"/>
        <v>1</v>
      </c>
      <c r="Z3605" s="400" t="s">
        <v>176</v>
      </c>
      <c r="AA3605" s="402">
        <f t="shared" ref="AA3605" si="11609">(N3605+P3605*R3605/1000)*U3605*W3605*Y3605</f>
        <v>12.368216835</v>
      </c>
      <c r="AB3605" s="390"/>
    </row>
    <row r="3606" spans="1:28">
      <c r="A3606" s="384"/>
      <c r="B3606" s="385"/>
      <c r="C3606" s="393"/>
      <c r="D3606" s="398"/>
      <c r="E3606" s="388"/>
      <c r="F3606" s="388"/>
      <c r="G3606" s="388"/>
      <c r="H3606" s="395"/>
      <c r="I3606" s="388"/>
      <c r="J3606" s="396"/>
      <c r="K3606" s="396"/>
      <c r="L3606" s="404"/>
      <c r="M3606" s="399"/>
      <c r="N3606" s="399"/>
      <c r="O3606" s="396"/>
      <c r="P3606" s="389"/>
      <c r="Q3606" s="396"/>
      <c r="R3606" s="396"/>
      <c r="S3606" s="396"/>
      <c r="T3606" s="396"/>
      <c r="U3606" s="401"/>
      <c r="V3606" s="396"/>
      <c r="W3606" s="399"/>
      <c r="X3606" s="396"/>
      <c r="Y3606" s="389"/>
      <c r="Z3606" s="396"/>
      <c r="AA3606" s="388"/>
      <c r="AB3606" s="390"/>
    </row>
    <row r="3607" spans="1:28">
      <c r="A3607" s="384" t="str">
        <f t="shared" ref="A3607:B3607" si="11610">A3595</f>
        <v>Lantai 2</v>
      </c>
      <c r="B3607" s="385">
        <f t="shared" si="11610"/>
        <v>33</v>
      </c>
      <c r="C3607" s="393" t="s">
        <v>208</v>
      </c>
      <c r="D3607" s="398">
        <f>VLOOKUP(D3595,'Detail Balok'!$C$10:$AU$140,13,FALSE)</f>
        <v>0</v>
      </c>
      <c r="E3607" s="388" t="s">
        <v>16</v>
      </c>
      <c r="F3607" s="388">
        <f>VLOOKUP(D3595,'Detail Balok'!$C$10:$AU$140,15,FALSE)</f>
        <v>8</v>
      </c>
      <c r="G3607" s="388"/>
      <c r="H3607" s="395"/>
      <c r="I3607" s="388"/>
      <c r="J3607" s="399">
        <f t="shared" ref="J3607" si="11611">+D3597/1000</f>
        <v>3.645</v>
      </c>
      <c r="K3607" s="400" t="s">
        <v>204</v>
      </c>
      <c r="L3607" s="399">
        <f t="shared" ref="L3607" si="11612">2*$F$16*F3607/1000</f>
        <v>0.192</v>
      </c>
      <c r="M3607" s="399" t="s">
        <v>176</v>
      </c>
      <c r="N3607" s="399">
        <f t="shared" ref="N3607" si="11613">J3607+L3607</f>
        <v>3.8370000000000002</v>
      </c>
      <c r="O3607" s="399" t="s">
        <v>204</v>
      </c>
      <c r="P3607" s="389">
        <f t="shared" ref="P3607" si="11614">IF(N3607&gt;12,ROUNDDOWN(N3607/12,0),0)</f>
        <v>0</v>
      </c>
      <c r="Q3607" s="399" t="s">
        <v>125</v>
      </c>
      <c r="R3607" s="399">
        <f t="shared" ref="R3607" si="11615">IF(P3607&gt;0,MAX(VLOOKUP(F3607,$D$6:$G$15,3,FALSE),600),0)/1000</f>
        <v>0</v>
      </c>
      <c r="S3607" s="399"/>
      <c r="T3607" s="399" t="s">
        <v>125</v>
      </c>
      <c r="U3607" s="401">
        <f t="shared" ref="U3607" si="11616">0.006165*F3607^2</f>
        <v>0.39456000000000002</v>
      </c>
      <c r="V3607" s="399" t="s">
        <v>125</v>
      </c>
      <c r="W3607" s="399">
        <f t="shared" ref="W3607" si="11617">+D3607</f>
        <v>0</v>
      </c>
      <c r="X3607" s="399" t="s">
        <v>125</v>
      </c>
      <c r="Y3607" s="389">
        <f t="shared" ref="Y3607" si="11618">D3601</f>
        <v>1</v>
      </c>
      <c r="Z3607" s="400" t="s">
        <v>176</v>
      </c>
      <c r="AA3607" s="402">
        <f t="shared" ref="AA3607" si="11619">(N3607+P3607*R3607/1000)*U3607*W3607*Y3607</f>
        <v>0</v>
      </c>
      <c r="AB3607" s="403"/>
    </row>
    <row r="3608" spans="1:28">
      <c r="A3608" s="384"/>
      <c r="B3608" s="385"/>
      <c r="C3608" s="393"/>
      <c r="D3608" s="398"/>
      <c r="E3608" s="388"/>
      <c r="F3608" s="388"/>
      <c r="G3608" s="388"/>
      <c r="H3608" s="395"/>
      <c r="I3608" s="388"/>
      <c r="J3608" s="399"/>
      <c r="K3608" s="400"/>
      <c r="L3608" s="399"/>
      <c r="M3608" s="399"/>
      <c r="N3608" s="399"/>
      <c r="O3608" s="399"/>
      <c r="P3608" s="389"/>
      <c r="Q3608" s="399"/>
      <c r="R3608" s="399"/>
      <c r="S3608" s="399"/>
      <c r="T3608" s="399"/>
      <c r="U3608" s="401"/>
      <c r="V3608" s="399"/>
      <c r="W3608" s="399"/>
      <c r="X3608" s="399"/>
      <c r="Y3608" s="389"/>
      <c r="Z3608" s="400"/>
      <c r="AA3608" s="402"/>
      <c r="AB3608" s="403"/>
    </row>
    <row r="3609" spans="1:28">
      <c r="A3609" s="384"/>
      <c r="B3609" s="385"/>
      <c r="C3609" s="393"/>
      <c r="D3609" s="398"/>
      <c r="E3609" s="388"/>
      <c r="F3609" s="388"/>
      <c r="G3609" s="388"/>
      <c r="H3609" s="395"/>
      <c r="I3609" s="388"/>
      <c r="J3609" s="396"/>
      <c r="K3609" s="396"/>
      <c r="L3609" s="396"/>
      <c r="M3609" s="396"/>
      <c r="N3609" s="396"/>
      <c r="O3609" s="396"/>
      <c r="P3609" s="389"/>
      <c r="Q3609" s="396"/>
      <c r="R3609" s="396"/>
      <c r="S3609" s="396"/>
      <c r="T3609" s="396"/>
      <c r="U3609" s="401"/>
      <c r="V3609" s="396"/>
      <c r="W3609" s="399"/>
      <c r="X3609" s="396"/>
      <c r="Y3609" s="389"/>
      <c r="Z3609" s="396"/>
      <c r="AA3609" s="388"/>
      <c r="AB3609" s="390"/>
    </row>
    <row r="3610" spans="1:28">
      <c r="A3610" s="384" t="str">
        <f t="shared" ref="A3610:B3610" si="11620">A3595</f>
        <v>Lantai 2</v>
      </c>
      <c r="B3610" s="385">
        <f t="shared" si="11620"/>
        <v>33</v>
      </c>
      <c r="C3610" s="393" t="s">
        <v>209</v>
      </c>
      <c r="D3610" s="398">
        <f>VLOOKUP(D3595,'Detail Balok'!$C$10:$AU$140,22,FALSE)</f>
        <v>3</v>
      </c>
      <c r="E3610" s="388" t="s">
        <v>16</v>
      </c>
      <c r="F3610" s="388">
        <f>VLOOKUP(D3595,'Detail Balok'!$C$10:$AU$140,24,FALSE)</f>
        <v>13</v>
      </c>
      <c r="G3610" s="388"/>
      <c r="H3610" s="395"/>
      <c r="I3610" s="388" t="s">
        <v>203</v>
      </c>
      <c r="J3610" s="399">
        <f t="shared" si="11520"/>
        <v>0.91125</v>
      </c>
      <c r="K3610" s="400" t="s">
        <v>204</v>
      </c>
      <c r="L3610" s="399">
        <f t="shared" ref="L3610" si="11621">MAX(VLOOKUP(F3610,N$6:P$15,3,FALSE)/1000,2/3*D3600/1000)+F$16*F3610/1000</f>
        <v>0.156</v>
      </c>
      <c r="M3610" s="399" t="s">
        <v>176</v>
      </c>
      <c r="N3610" s="399">
        <f t="shared" ref="N3610:N3612" si="11622">J3610+L3610</f>
        <v>1.06725</v>
      </c>
      <c r="O3610" s="399" t="s">
        <v>204</v>
      </c>
      <c r="P3610" s="389">
        <f t="shared" ref="P3610" si="11623">D3610-D3611</f>
        <v>0</v>
      </c>
      <c r="Q3610" s="399" t="s">
        <v>125</v>
      </c>
      <c r="R3610" s="399">
        <f t="shared" ref="R3610" si="11624">IF(P3610&gt;0,$F$18*F3610/1000,0)</f>
        <v>0</v>
      </c>
      <c r="S3610" s="399" t="s">
        <v>205</v>
      </c>
      <c r="T3610" s="399" t="s">
        <v>125</v>
      </c>
      <c r="U3610" s="401">
        <f t="shared" ref="U3610:U3612" si="11625">0.006165*F3610^2</f>
        <v>1.041885</v>
      </c>
      <c r="V3610" s="399"/>
      <c r="W3610" s="399"/>
      <c r="X3610" s="399" t="s">
        <v>125</v>
      </c>
      <c r="Y3610" s="389">
        <f t="shared" ref="Y3610" si="11626">D3601</f>
        <v>1</v>
      </c>
      <c r="Z3610" s="400" t="s">
        <v>176</v>
      </c>
      <c r="AA3610" s="402">
        <f t="shared" ref="AA3610" si="11627">IF(AA3613=0,(D3610*N3610+P3610*R3610)*U3610*Y3610,0)</f>
        <v>0</v>
      </c>
      <c r="AB3610" s="403"/>
    </row>
    <row r="3611" spans="1:28">
      <c r="A3611" s="384" t="str">
        <f t="shared" ref="A3611:B3611" si="11628">A3595</f>
        <v>Lantai 2</v>
      </c>
      <c r="B3611" s="385">
        <f t="shared" si="11628"/>
        <v>33</v>
      </c>
      <c r="C3611" s="393" t="s">
        <v>210</v>
      </c>
      <c r="D3611" s="398">
        <f>VLOOKUP(D3595,'Detail Balok'!$C$10:$AU$140,25,FALSE)</f>
        <v>3</v>
      </c>
      <c r="E3611" s="388" t="s">
        <v>16</v>
      </c>
      <c r="F3611" s="388">
        <f>VLOOKUP(D3595,'Detail Balok'!$C$10:$AU$140,27,FALSE)</f>
        <v>13</v>
      </c>
      <c r="G3611" s="388"/>
      <c r="H3611" s="395"/>
      <c r="I3611" s="388" t="s">
        <v>203</v>
      </c>
      <c r="J3611" s="399">
        <f t="shared" si="11520"/>
        <v>1.8225</v>
      </c>
      <c r="K3611" s="400" t="s">
        <v>204</v>
      </c>
      <c r="L3611" s="399"/>
      <c r="M3611" s="399" t="s">
        <v>176</v>
      </c>
      <c r="N3611" s="399">
        <f t="shared" si="11622"/>
        <v>1.8225</v>
      </c>
      <c r="O3611" s="399" t="s">
        <v>204</v>
      </c>
      <c r="P3611" s="389">
        <f t="shared" ref="P3611" si="11629">MAX(D3611-D3610,D3611-D3612)</f>
        <v>0</v>
      </c>
      <c r="Q3611" s="399" t="s">
        <v>125</v>
      </c>
      <c r="R3611" s="399">
        <f t="shared" ref="R3611" si="11630">IF(P3611&gt;0,2*(1-2*$F$19-1/2)*D3598/1000,0)</f>
        <v>0</v>
      </c>
      <c r="S3611" s="399" t="s">
        <v>205</v>
      </c>
      <c r="T3611" s="399" t="s">
        <v>125</v>
      </c>
      <c r="U3611" s="401">
        <f t="shared" si="11625"/>
        <v>1.041885</v>
      </c>
      <c r="V3611" s="399"/>
      <c r="W3611" s="399"/>
      <c r="X3611" s="399" t="s">
        <v>125</v>
      </c>
      <c r="Y3611" s="389">
        <f t="shared" ref="Y3611" si="11631">D3601</f>
        <v>1</v>
      </c>
      <c r="Z3611" s="400" t="s">
        <v>176</v>
      </c>
      <c r="AA3611" s="402">
        <f t="shared" ref="AA3611" si="11632">IF(AA3613=0,(D3611*N3611+P3611*R3611)*U3611*Y3611,0)</f>
        <v>0</v>
      </c>
      <c r="AB3611" s="403"/>
    </row>
    <row r="3612" spans="1:28">
      <c r="A3612" s="384" t="str">
        <f t="shared" ref="A3612:B3612" si="11633">A3595</f>
        <v>Lantai 2</v>
      </c>
      <c r="B3612" s="385">
        <f t="shared" si="11633"/>
        <v>33</v>
      </c>
      <c r="C3612" s="393" t="s">
        <v>209</v>
      </c>
      <c r="D3612" s="398">
        <f>VLOOKUP(D3595,'Detail Balok'!$C$10:$AU$140,28,FALSE)</f>
        <v>3</v>
      </c>
      <c r="E3612" s="388" t="s">
        <v>16</v>
      </c>
      <c r="F3612" s="388">
        <f>VLOOKUP(D3595,'Detail Balok'!$C$10:$AU$140,30,FALSE)</f>
        <v>13</v>
      </c>
      <c r="G3612" s="388"/>
      <c r="H3612" s="395"/>
      <c r="I3612" s="388" t="s">
        <v>203</v>
      </c>
      <c r="J3612" s="399">
        <f t="shared" si="11520"/>
        <v>0.91125</v>
      </c>
      <c r="K3612" s="400" t="s">
        <v>204</v>
      </c>
      <c r="L3612" s="399">
        <f t="shared" ref="L3612" si="11634">MAX(VLOOKUP(F3612,N$6:P$15,3,FALSE)/1000,2/3*D3600/1000)+F$16*F3612/1000</f>
        <v>0.156</v>
      </c>
      <c r="M3612" s="399" t="s">
        <v>176</v>
      </c>
      <c r="N3612" s="399">
        <f t="shared" si="11622"/>
        <v>1.06725</v>
      </c>
      <c r="O3612" s="399" t="s">
        <v>204</v>
      </c>
      <c r="P3612" s="389">
        <f t="shared" ref="P3612" si="11635">D3612-D3611</f>
        <v>0</v>
      </c>
      <c r="Q3612" s="399" t="s">
        <v>125</v>
      </c>
      <c r="R3612" s="399">
        <f t="shared" ref="R3612" si="11636">IF(P3612&gt;0,$F$18*F3612/1000,0)</f>
        <v>0</v>
      </c>
      <c r="S3612" s="399" t="s">
        <v>205</v>
      </c>
      <c r="T3612" s="399" t="s">
        <v>125</v>
      </c>
      <c r="U3612" s="401">
        <f t="shared" si="11625"/>
        <v>1.041885</v>
      </c>
      <c r="V3612" s="399"/>
      <c r="W3612" s="399"/>
      <c r="X3612" s="399" t="s">
        <v>125</v>
      </c>
      <c r="Y3612" s="389">
        <f t="shared" ref="Y3612" si="11637">D3601</f>
        <v>1</v>
      </c>
      <c r="Z3612" s="400" t="s">
        <v>176</v>
      </c>
      <c r="AA3612" s="402">
        <f t="shared" ref="AA3612" si="11638">IF(AA3613=0,(D3612*N3612+P3612*R3612)*U3612*Y3612,0)</f>
        <v>0</v>
      </c>
      <c r="AB3612" s="403"/>
    </row>
    <row r="3613" spans="1:28">
      <c r="A3613" s="384" t="str">
        <f t="shared" ref="A3613:B3613" si="11639">A3595</f>
        <v>Lantai 2</v>
      </c>
      <c r="B3613" s="385">
        <f t="shared" si="11639"/>
        <v>33</v>
      </c>
      <c r="C3613" s="393"/>
      <c r="D3613" s="398">
        <f t="shared" si="11540"/>
        <v>3</v>
      </c>
      <c r="E3613" s="388" t="s">
        <v>16</v>
      </c>
      <c r="F3613" s="388">
        <f t="shared" si="11541"/>
        <v>13</v>
      </c>
      <c r="G3613" s="388"/>
      <c r="H3613" s="395"/>
      <c r="I3613" s="388"/>
      <c r="J3613" s="396"/>
      <c r="K3613" s="396"/>
      <c r="L3613" s="404" t="s">
        <v>207</v>
      </c>
      <c r="M3613" s="399" t="s">
        <v>176</v>
      </c>
      <c r="N3613" s="399">
        <f t="shared" ref="N3613" si="11640">IF(AND(D3610=D3611,D3610=D3612,D3611=D3612,F3610=F3611,F3610=F3612,F3611=F3612),SUM(N3610:N3612),0)</f>
        <v>3.9570000000000003</v>
      </c>
      <c r="O3613" s="399" t="s">
        <v>204</v>
      </c>
      <c r="P3613" s="389">
        <f t="shared" ref="P3613" si="11641">IF(N3613&gt;12,ROUNDDOWN(N3613/12,0),0)</f>
        <v>0</v>
      </c>
      <c r="Q3613" s="399" t="s">
        <v>125</v>
      </c>
      <c r="R3613" s="399">
        <f t="shared" ref="R3613" si="11642">IF(P3613&gt;0,MAX(VLOOKUP(F3613,$D$6:$G$15,3,FALSE),600),0)/1000</f>
        <v>0</v>
      </c>
      <c r="S3613" s="396"/>
      <c r="T3613" s="396" t="s">
        <v>125</v>
      </c>
      <c r="U3613" s="401">
        <f t="shared" si="11545"/>
        <v>1.041885</v>
      </c>
      <c r="V3613" s="396" t="s">
        <v>125</v>
      </c>
      <c r="W3613" s="399">
        <f t="shared" ref="W3613" si="11643">D3613</f>
        <v>3</v>
      </c>
      <c r="X3613" s="399" t="s">
        <v>125</v>
      </c>
      <c r="Y3613" s="389">
        <f t="shared" si="11547"/>
        <v>1</v>
      </c>
      <c r="Z3613" s="400" t="s">
        <v>176</v>
      </c>
      <c r="AA3613" s="402">
        <f t="shared" ref="AA3613" si="11644">(N3613+P3613*R3613/1000)*U3613*W3613*Y3613</f>
        <v>12.368216835</v>
      </c>
      <c r="AB3613" s="403"/>
    </row>
    <row r="3614" spans="1:28">
      <c r="A3614" s="384"/>
      <c r="B3614" s="385"/>
      <c r="C3614" s="393"/>
      <c r="D3614" s="394"/>
      <c r="E3614" s="388"/>
      <c r="F3614" s="388"/>
      <c r="G3614" s="388"/>
      <c r="H3614" s="395"/>
      <c r="I3614" s="388"/>
      <c r="J3614" s="399"/>
      <c r="K3614" s="396"/>
      <c r="L3614" s="396"/>
      <c r="M3614" s="396"/>
      <c r="N3614" s="396"/>
      <c r="O3614" s="396"/>
      <c r="P3614" s="389"/>
      <c r="Q3614" s="396"/>
      <c r="R3614" s="396"/>
      <c r="S3614" s="396"/>
      <c r="T3614" s="396"/>
      <c r="U3614" s="401"/>
      <c r="V3614" s="396"/>
      <c r="W3614" s="388"/>
      <c r="X3614" s="396"/>
      <c r="Y3614" s="389"/>
      <c r="Z3614" s="396"/>
      <c r="AA3614" s="388"/>
      <c r="AB3614" s="390"/>
    </row>
    <row r="3615" spans="1:28">
      <c r="A3615" s="384" t="str">
        <f t="shared" ref="A3615:B3615" si="11645">A3595</f>
        <v>Lantai 2</v>
      </c>
      <c r="B3615" s="385">
        <f t="shared" si="11645"/>
        <v>33</v>
      </c>
      <c r="C3615" s="393" t="s">
        <v>211</v>
      </c>
      <c r="D3615" s="398">
        <f>VLOOKUP(D3595,'Detail Balok'!$C$10:$AU$140,31,FALSE)</f>
        <v>0</v>
      </c>
      <c r="E3615" s="388" t="s">
        <v>16</v>
      </c>
      <c r="F3615" s="388">
        <f>VLOOKUP(D3595,'Detail Balok'!$C$10:$AU$140,33,FALSE)</f>
        <v>10</v>
      </c>
      <c r="G3615" s="405" t="s">
        <v>157</v>
      </c>
      <c r="H3615" s="395">
        <f>VLOOKUP(D3595,'Detail Balok'!$C$10:$AU$140,35,FALSE)</f>
        <v>100</v>
      </c>
      <c r="I3615" s="388"/>
      <c r="J3615" s="400">
        <f t="shared" ref="J3615" si="11646">(IF(D3615=0,(2*(D3596+G3596))-(F$5*8),IF(D3615=3,(2*(D3596+G3596))-(F$5*8)+(G3596-2*F$5),IF(D3615=4,(2*(D3596+G3596))-(F$5*8)+2*(G3596-2*F$5)))))/1000</f>
        <v>0.88</v>
      </c>
      <c r="K3615" s="400" t="s">
        <v>204</v>
      </c>
      <c r="L3615" s="399">
        <f t="shared" ref="L3615:L3617" si="11647">IF(D3615=0,2*MAX(6*F3615,75),(D3615-1)*2*MAX(6*F3615,75))/1000</f>
        <v>0.15</v>
      </c>
      <c r="M3615" s="399" t="s">
        <v>176</v>
      </c>
      <c r="N3615" s="399">
        <f t="shared" ref="N3615:N3617" si="11648">J3615+L3615</f>
        <v>1.03</v>
      </c>
      <c r="O3615" s="399"/>
      <c r="P3615" s="389"/>
      <c r="Q3615" s="399"/>
      <c r="R3615" s="399"/>
      <c r="S3615" s="399"/>
      <c r="T3615" s="399" t="s">
        <v>125</v>
      </c>
      <c r="U3615" s="401">
        <f t="shared" ref="U3615:U3617" si="11649">0.006165*F3615^2</f>
        <v>0.61650000000000005</v>
      </c>
      <c r="V3615" s="399" t="s">
        <v>125</v>
      </c>
      <c r="W3615" s="399">
        <f t="shared" ref="W3615" si="11650">IF(D3598&gt;4*G3596,ROUND(MAX(D3598/4,2*G3596)/H3615,0)+1,ROUND(D3598/H3615,0)+1)</f>
        <v>10</v>
      </c>
      <c r="X3615" s="399" t="s">
        <v>125</v>
      </c>
      <c r="Y3615" s="389">
        <f t="shared" ref="Y3615" si="11651">D3601</f>
        <v>1</v>
      </c>
      <c r="Z3615" s="400" t="s">
        <v>176</v>
      </c>
      <c r="AA3615" s="402">
        <f t="shared" ref="AA3615:AA3617" si="11652">N3615*U3615*W3615*Y3615</f>
        <v>6.3499500000000006</v>
      </c>
      <c r="AB3615" s="403"/>
    </row>
    <row r="3616" spans="1:28">
      <c r="A3616" s="384" t="str">
        <f t="shared" ref="A3616:B3616" si="11653">A3595</f>
        <v>Lantai 2</v>
      </c>
      <c r="B3616" s="385">
        <f t="shared" si="11653"/>
        <v>33</v>
      </c>
      <c r="C3616" s="393" t="s">
        <v>212</v>
      </c>
      <c r="D3616" s="398">
        <f>VLOOKUP(D3595,'Detail Balok'!$C$10:$AU$140,36,FALSE)</f>
        <v>0</v>
      </c>
      <c r="E3616" s="388" t="s">
        <v>16</v>
      </c>
      <c r="F3616" s="388">
        <f>VLOOKUP(D3595,'Detail Balok'!$C$10:$AU$140,38,FALSE)</f>
        <v>10</v>
      </c>
      <c r="G3616" s="405" t="s">
        <v>157</v>
      </c>
      <c r="H3616" s="395">
        <f>VLOOKUP(D3595,'Detail Balok'!$C$10:$AU$140,40,FALSE)</f>
        <v>200</v>
      </c>
      <c r="I3616" s="388"/>
      <c r="J3616" s="400">
        <f t="shared" ref="J3616" si="11654">(IF(D3616=0,(2*(D3596+G3596))-(F$5*8),IF(D3616=3,(2*(D3596+G3596))-(F$5*8)+(G3596-2*F$5),IF(D3616=4,(2*(D3596+G3596))-(F$5*8)+2*(G3596-2*F$5)))))/1000</f>
        <v>0.88</v>
      </c>
      <c r="K3616" s="400" t="s">
        <v>204</v>
      </c>
      <c r="L3616" s="399">
        <f t="shared" si="11647"/>
        <v>0.15</v>
      </c>
      <c r="M3616" s="399" t="s">
        <v>176</v>
      </c>
      <c r="N3616" s="399">
        <f t="shared" si="11648"/>
        <v>1.03</v>
      </c>
      <c r="O3616" s="399"/>
      <c r="P3616" s="389"/>
      <c r="Q3616" s="399"/>
      <c r="R3616" s="399"/>
      <c r="S3616" s="399"/>
      <c r="T3616" s="399" t="s">
        <v>125</v>
      </c>
      <c r="U3616" s="401">
        <f t="shared" si="11649"/>
        <v>0.61650000000000005</v>
      </c>
      <c r="V3616" s="399" t="s">
        <v>125</v>
      </c>
      <c r="W3616" s="399">
        <f t="shared" ref="W3616" si="11655">IF(D3598-MAX(D3598/4,2*G3596)*2&gt;0,ROUND((D3598-MAX(D3598/4,2*G3596)*2)/H3616,0),0)</f>
        <v>9</v>
      </c>
      <c r="X3616" s="399" t="s">
        <v>125</v>
      </c>
      <c r="Y3616" s="389">
        <f t="shared" ref="Y3616" si="11656">D3601</f>
        <v>1</v>
      </c>
      <c r="Z3616" s="400" t="s">
        <v>176</v>
      </c>
      <c r="AA3616" s="402">
        <f t="shared" si="11652"/>
        <v>5.7149550000000007</v>
      </c>
      <c r="AB3616" s="403"/>
    </row>
    <row r="3617" spans="1:28">
      <c r="A3617" s="384" t="str">
        <f t="shared" ref="A3617:B3617" si="11657">A3595</f>
        <v>Lantai 2</v>
      </c>
      <c r="B3617" s="385">
        <f t="shared" si="11657"/>
        <v>33</v>
      </c>
      <c r="C3617" s="393" t="s">
        <v>211</v>
      </c>
      <c r="D3617" s="398">
        <f>VLOOKUP(D3595,'Detail Balok'!$C$10:$AU$140,41,FALSE)</f>
        <v>0</v>
      </c>
      <c r="E3617" s="388" t="s">
        <v>16</v>
      </c>
      <c r="F3617" s="388">
        <f>VLOOKUP(D3595,'Detail Balok'!$C$10:$AU$140,43,FALSE)</f>
        <v>10</v>
      </c>
      <c r="G3617" s="405" t="s">
        <v>157</v>
      </c>
      <c r="H3617" s="395">
        <f>VLOOKUP(D3595,'Detail Balok'!$C$10:$AU$140,45,FALSE)</f>
        <v>100</v>
      </c>
      <c r="I3617" s="388"/>
      <c r="J3617" s="400">
        <f t="shared" ref="J3617" si="11658">(IF(D3617=0,(2*(D3596+G3596))-(F$5*8),IF(D3617=3,(2*(D3596+G3596))-(F$5*8)+(G3596-2*F$5),IF(D3617=4,(2*(D3596+G3596))-(F$5*8)+2*(G3596-2*F$5)))))/1000</f>
        <v>0.88</v>
      </c>
      <c r="K3617" s="400" t="s">
        <v>204</v>
      </c>
      <c r="L3617" s="399">
        <f t="shared" si="11647"/>
        <v>0.15</v>
      </c>
      <c r="M3617" s="399" t="s">
        <v>176</v>
      </c>
      <c r="N3617" s="399">
        <f t="shared" si="11648"/>
        <v>1.03</v>
      </c>
      <c r="O3617" s="399"/>
      <c r="P3617" s="389"/>
      <c r="Q3617" s="399"/>
      <c r="R3617" s="399"/>
      <c r="S3617" s="399"/>
      <c r="T3617" s="399" t="s">
        <v>125</v>
      </c>
      <c r="U3617" s="401">
        <f t="shared" si="11649"/>
        <v>0.61650000000000005</v>
      </c>
      <c r="V3617" s="399" t="s">
        <v>125</v>
      </c>
      <c r="W3617" s="399">
        <f t="shared" ref="W3617" si="11659">IF(D3598&gt;4*G3596,ROUND(MAX(D3598/4,2*G3596)/H3617,0)+1,0)</f>
        <v>10</v>
      </c>
      <c r="X3617" s="399" t="s">
        <v>125</v>
      </c>
      <c r="Y3617" s="389">
        <f t="shared" ref="Y3617" si="11660">D3601</f>
        <v>1</v>
      </c>
      <c r="Z3617" s="400" t="s">
        <v>176</v>
      </c>
      <c r="AA3617" s="402">
        <f t="shared" si="11652"/>
        <v>6.3499500000000006</v>
      </c>
      <c r="AB3617" s="403"/>
    </row>
    <row r="3618" spans="1:28">
      <c r="A3618" s="384"/>
      <c r="B3618" s="385"/>
      <c r="C3618" s="393"/>
      <c r="D3618" s="394"/>
      <c r="E3618" s="388"/>
      <c r="F3618" s="388"/>
      <c r="G3618" s="388"/>
      <c r="H3618" s="395"/>
      <c r="I3618" s="388"/>
      <c r="J3618" s="399"/>
      <c r="K3618" s="396"/>
      <c r="L3618" s="396"/>
      <c r="M3618" s="396"/>
      <c r="N3618" s="396"/>
      <c r="O3618" s="396"/>
      <c r="P3618" s="389"/>
      <c r="Q3618" s="396"/>
      <c r="R3618" s="396"/>
      <c r="S3618" s="396"/>
      <c r="T3618" s="396"/>
      <c r="U3618" s="401"/>
      <c r="V3618" s="396"/>
      <c r="W3618" s="388"/>
      <c r="X3618" s="396"/>
      <c r="Y3618" s="389"/>
      <c r="Z3618" s="396"/>
      <c r="AA3618" s="388"/>
      <c r="AB3618" s="390"/>
    </row>
    <row r="3619" spans="1:28">
      <c r="A3619" s="384" t="str">
        <f t="shared" ref="A3619:B3619" si="11661">A3595</f>
        <v>Lantai 2</v>
      </c>
      <c r="B3619" s="385">
        <f t="shared" si="11661"/>
        <v>33</v>
      </c>
      <c r="C3619" s="393" t="s">
        <v>213</v>
      </c>
      <c r="D3619" s="398">
        <f>VLOOKUP(D3595,'Detail Balok'!$C$10:$BJ$140,46,FALSE)</f>
        <v>0</v>
      </c>
      <c r="E3619" s="388" t="s">
        <v>16</v>
      </c>
      <c r="F3619" s="388">
        <f>VLOOKUP(D3595,'Detail Balok'!$C$10:$BJ$140,48,FALSE)</f>
        <v>0</v>
      </c>
      <c r="G3619" s="405" t="s">
        <v>157</v>
      </c>
      <c r="H3619" s="395">
        <f>VLOOKUP(D3595,'Detail Balok'!$C$10:$BJ$140,50,FALSE)</f>
        <v>100</v>
      </c>
      <c r="I3619" s="388"/>
      <c r="J3619" s="399">
        <f t="shared" ref="J3619" si="11662">(D3596-2*F$5)/1000</f>
        <v>0.12</v>
      </c>
      <c r="K3619" s="400" t="s">
        <v>204</v>
      </c>
      <c r="L3619" s="399">
        <f t="shared" ref="L3619:L3621" si="11663">IF(D3619=0,2*MAX(6*F3619,75),(D3619-1)*2*MAX(6*F3619,75))/1000</f>
        <v>0.15</v>
      </c>
      <c r="M3619" s="399" t="s">
        <v>176</v>
      </c>
      <c r="N3619" s="399">
        <f t="shared" ref="N3619:N3621" si="11664">J3619+L3619</f>
        <v>0.27</v>
      </c>
      <c r="O3619" s="399"/>
      <c r="P3619" s="399"/>
      <c r="Q3619" s="399"/>
      <c r="R3619" s="399"/>
      <c r="S3619" s="399"/>
      <c r="T3619" s="399" t="s">
        <v>125</v>
      </c>
      <c r="U3619" s="401">
        <f t="shared" ref="U3619:U3621" si="11665">0.006165*F3619^2</f>
        <v>0</v>
      </c>
      <c r="V3619" s="399" t="s">
        <v>125</v>
      </c>
      <c r="W3619" s="399">
        <f t="shared" si="11570"/>
        <v>10</v>
      </c>
      <c r="X3619" s="399" t="s">
        <v>125</v>
      </c>
      <c r="Y3619" s="389">
        <f t="shared" ref="Y3619" si="11666">D3605</f>
        <v>3</v>
      </c>
      <c r="Z3619" s="400" t="s">
        <v>176</v>
      </c>
      <c r="AA3619" s="402">
        <f t="shared" ref="AA3619:AA3621" si="11667">N3619*U3619*W3619*Y3619</f>
        <v>0</v>
      </c>
      <c r="AB3619" s="403"/>
    </row>
    <row r="3620" spans="1:28">
      <c r="A3620" s="384" t="str">
        <f t="shared" ref="A3620:B3620" si="11668">A3595</f>
        <v>Lantai 2</v>
      </c>
      <c r="B3620" s="385">
        <f t="shared" si="11668"/>
        <v>33</v>
      </c>
      <c r="C3620" s="393" t="s">
        <v>214</v>
      </c>
      <c r="D3620" s="398">
        <f>VLOOKUP(D3595,'Detail Balok'!$C$10:$BJ$140,51,FALSE)</f>
        <v>0</v>
      </c>
      <c r="E3620" s="388" t="s">
        <v>16</v>
      </c>
      <c r="F3620" s="388">
        <f>VLOOKUP(D3595,'Detail Balok'!$C$10:$BJ$140,53,FALSE)</f>
        <v>0</v>
      </c>
      <c r="G3620" s="405" t="s">
        <v>157</v>
      </c>
      <c r="H3620" s="395">
        <f>VLOOKUP(D3595,'Detail Balok'!$C$10:$BJ$140,55,FALSE)</f>
        <v>100</v>
      </c>
      <c r="I3620" s="388"/>
      <c r="J3620" s="399">
        <f t="shared" ref="J3620" si="11669">(D3596-2*F$5)/1000</f>
        <v>0.12</v>
      </c>
      <c r="K3620" s="400" t="s">
        <v>204</v>
      </c>
      <c r="L3620" s="399">
        <f t="shared" si="11663"/>
        <v>0.15</v>
      </c>
      <c r="M3620" s="399" t="s">
        <v>176</v>
      </c>
      <c r="N3620" s="399">
        <f t="shared" si="11664"/>
        <v>0.27</v>
      </c>
      <c r="O3620" s="399"/>
      <c r="P3620" s="399"/>
      <c r="Q3620" s="399"/>
      <c r="R3620" s="399"/>
      <c r="S3620" s="399"/>
      <c r="T3620" s="399" t="s">
        <v>125</v>
      </c>
      <c r="U3620" s="401">
        <f t="shared" si="11665"/>
        <v>0</v>
      </c>
      <c r="V3620" s="399" t="s">
        <v>125</v>
      </c>
      <c r="W3620" s="399">
        <f t="shared" si="11570"/>
        <v>9</v>
      </c>
      <c r="X3620" s="399" t="s">
        <v>125</v>
      </c>
      <c r="Y3620" s="389">
        <f t="shared" ref="Y3620" si="11670">D3605</f>
        <v>3</v>
      </c>
      <c r="Z3620" s="400" t="s">
        <v>176</v>
      </c>
      <c r="AA3620" s="402">
        <f t="shared" si="11667"/>
        <v>0</v>
      </c>
      <c r="AB3620" s="403"/>
    </row>
    <row r="3621" spans="1:28">
      <c r="A3621" s="384" t="str">
        <f t="shared" ref="A3621:B3621" si="11671">A3595</f>
        <v>Lantai 2</v>
      </c>
      <c r="B3621" s="385">
        <f t="shared" si="11671"/>
        <v>33</v>
      </c>
      <c r="C3621" s="393" t="s">
        <v>213</v>
      </c>
      <c r="D3621" s="398">
        <f>VLOOKUP(D3595,'Detail Balok'!$C$10:$BJ$140,56,FALSE)</f>
        <v>0</v>
      </c>
      <c r="E3621" s="388" t="s">
        <v>16</v>
      </c>
      <c r="F3621" s="388">
        <f>VLOOKUP(D3595,'Detail Balok'!$C$10:$BJ$140,58,FALSE)</f>
        <v>0</v>
      </c>
      <c r="G3621" s="405" t="s">
        <v>157</v>
      </c>
      <c r="H3621" s="395">
        <f>VLOOKUP(D3595,'Detail Balok'!$C$10:$BJ$140,60,FALSE)</f>
        <v>100</v>
      </c>
      <c r="I3621" s="388"/>
      <c r="J3621" s="399">
        <f t="shared" ref="J3621" si="11672">(D3596-2*F$5)/1000</f>
        <v>0.12</v>
      </c>
      <c r="K3621" s="400" t="s">
        <v>204</v>
      </c>
      <c r="L3621" s="399">
        <f t="shared" si="11663"/>
        <v>0.15</v>
      </c>
      <c r="M3621" s="399" t="s">
        <v>176</v>
      </c>
      <c r="N3621" s="399">
        <f t="shared" si="11664"/>
        <v>0.27</v>
      </c>
      <c r="O3621" s="399"/>
      <c r="P3621" s="399"/>
      <c r="Q3621" s="399"/>
      <c r="R3621" s="399"/>
      <c r="S3621" s="399"/>
      <c r="T3621" s="399" t="s">
        <v>125</v>
      </c>
      <c r="U3621" s="401">
        <f t="shared" si="11665"/>
        <v>0</v>
      </c>
      <c r="V3621" s="399" t="s">
        <v>125</v>
      </c>
      <c r="W3621" s="399">
        <f t="shared" si="11570"/>
        <v>10</v>
      </c>
      <c r="X3621" s="399" t="s">
        <v>125</v>
      </c>
      <c r="Y3621" s="389">
        <f t="shared" ref="Y3621" si="11673">D3605</f>
        <v>3</v>
      </c>
      <c r="Z3621" s="400" t="s">
        <v>176</v>
      </c>
      <c r="AA3621" s="402">
        <f t="shared" si="11667"/>
        <v>0</v>
      </c>
      <c r="AB3621" s="403"/>
    </row>
    <row r="3622" spans="1:28">
      <c r="A3622" s="391"/>
      <c r="B3622" s="392"/>
      <c r="C3622" s="392"/>
      <c r="D3622" s="394"/>
      <c r="E3622" s="388"/>
      <c r="F3622" s="388"/>
      <c r="G3622" s="388"/>
      <c r="H3622" s="395"/>
      <c r="I3622" s="388"/>
      <c r="J3622" s="402"/>
      <c r="K3622" s="388"/>
      <c r="L3622" s="388"/>
      <c r="M3622" s="388"/>
      <c r="N3622" s="388"/>
      <c r="O3622" s="388"/>
      <c r="P3622" s="388"/>
      <c r="Q3622" s="388"/>
      <c r="R3622" s="388"/>
      <c r="S3622" s="388"/>
      <c r="T3622" s="388"/>
      <c r="U3622" s="388"/>
      <c r="V3622" s="388"/>
      <c r="W3622" s="388"/>
      <c r="X3622" s="388"/>
      <c r="Y3622" s="389"/>
      <c r="Z3622" s="388"/>
      <c r="AA3622" s="402"/>
      <c r="AB3622" s="403"/>
    </row>
    <row r="3623" spans="1:28" ht="15.75" thickBot="1">
      <c r="A3623" s="406"/>
      <c r="B3623" s="407"/>
      <c r="C3623" s="407"/>
      <c r="D3623" s="408"/>
      <c r="E3623" s="409"/>
      <c r="F3623" s="409"/>
      <c r="G3623" s="409"/>
      <c r="H3623" s="410"/>
      <c r="I3623" s="409"/>
      <c r="J3623" s="409"/>
      <c r="K3623" s="409"/>
      <c r="L3623" s="409"/>
      <c r="M3623" s="409"/>
      <c r="N3623" s="409"/>
      <c r="O3623" s="409"/>
      <c r="P3623" s="409"/>
      <c r="Q3623" s="409"/>
      <c r="R3623" s="409"/>
      <c r="S3623" s="409"/>
      <c r="T3623" s="409"/>
      <c r="U3623" s="409"/>
      <c r="V3623" s="409"/>
      <c r="W3623" s="409"/>
      <c r="X3623" s="409"/>
      <c r="Y3623" s="411"/>
      <c r="Z3623" s="409"/>
      <c r="AA3623" s="412"/>
      <c r="AB3623" s="413"/>
    </row>
    <row r="3624" spans="1:28">
      <c r="A3624" s="377"/>
      <c r="B3624" s="378"/>
      <c r="C3624" s="378"/>
      <c r="D3624" s="379"/>
      <c r="E3624" s="380"/>
      <c r="F3624" s="380"/>
      <c r="G3624" s="380"/>
      <c r="H3624" s="381"/>
      <c r="I3624" s="380"/>
      <c r="J3624" s="380"/>
      <c r="K3624" s="380"/>
      <c r="L3624" s="380"/>
      <c r="M3624" s="380"/>
      <c r="N3624" s="380"/>
      <c r="O3624" s="380"/>
      <c r="P3624" s="380"/>
      <c r="Q3624" s="380"/>
      <c r="R3624" s="380"/>
      <c r="S3624" s="380"/>
      <c r="T3624" s="380"/>
      <c r="U3624" s="380"/>
      <c r="V3624" s="380"/>
      <c r="W3624" s="380"/>
      <c r="X3624" s="380"/>
      <c r="Y3624" s="382"/>
      <c r="Z3624" s="380"/>
      <c r="AA3624" s="380"/>
      <c r="AB3624" s="383"/>
    </row>
    <row r="3625" spans="1:28">
      <c r="A3625" s="384" t="str">
        <f t="shared" si="11579"/>
        <v>Lantai 2</v>
      </c>
      <c r="B3625" s="385">
        <f t="shared" si="11580"/>
        <v>34</v>
      </c>
      <c r="C3625" s="386" t="str">
        <f t="shared" ref="C3625" si="11674">CONCATENATE(A3625," no. ",B3625)</f>
        <v>Lantai 2 no. 34</v>
      </c>
      <c r="D3625" s="2562" t="str">
        <f>VLOOKUP(C3625,'Data Panjang Balok'!$C$9:$N$254,2,FALSE)</f>
        <v>B24-1</v>
      </c>
      <c r="E3625" s="2576"/>
      <c r="F3625" s="2576"/>
      <c r="G3625" s="2576"/>
      <c r="H3625" s="2577"/>
      <c r="I3625" s="387"/>
      <c r="J3625" s="388"/>
      <c r="K3625" s="388"/>
      <c r="L3625" s="388"/>
      <c r="M3625" s="388"/>
      <c r="N3625" s="388"/>
      <c r="O3625" s="388"/>
      <c r="P3625" s="388"/>
      <c r="Q3625" s="388"/>
      <c r="R3625" s="388"/>
      <c r="S3625" s="388"/>
      <c r="T3625" s="388"/>
      <c r="U3625" s="388"/>
      <c r="V3625" s="388"/>
      <c r="W3625" s="388"/>
      <c r="X3625" s="388"/>
      <c r="Y3625" s="389"/>
      <c r="Z3625" s="388"/>
      <c r="AA3625" s="388"/>
      <c r="AB3625" s="390"/>
    </row>
    <row r="3626" spans="1:28">
      <c r="A3626" s="391"/>
      <c r="B3626" s="392"/>
      <c r="C3626" s="393" t="s">
        <v>118</v>
      </c>
      <c r="D3626" s="2578">
        <f>VLOOKUP(D3625,'Detail Balok'!$C$10:$AU$140,2,FALSE)</f>
        <v>200</v>
      </c>
      <c r="E3626" s="2579"/>
      <c r="F3626" s="388" t="s">
        <v>125</v>
      </c>
      <c r="G3626" s="2579">
        <f>VLOOKUP(D3625,'Detail Balok'!$C$10:$AU$140,3,FALSE)</f>
        <v>400</v>
      </c>
      <c r="H3626" s="2580"/>
      <c r="I3626" s="388"/>
      <c r="J3626" s="396"/>
      <c r="K3626" s="396"/>
      <c r="L3626" s="396"/>
      <c r="M3626" s="396"/>
      <c r="N3626" s="396"/>
      <c r="O3626" s="396"/>
      <c r="P3626" s="396"/>
      <c r="Q3626" s="396"/>
      <c r="R3626" s="396"/>
      <c r="S3626" s="396"/>
      <c r="T3626" s="396"/>
      <c r="U3626" s="388"/>
      <c r="V3626" s="396"/>
      <c r="W3626" s="388"/>
      <c r="X3626" s="396"/>
      <c r="Y3626" s="389"/>
      <c r="Z3626" s="396"/>
      <c r="AA3626" s="388"/>
      <c r="AB3626" s="390"/>
    </row>
    <row r="3627" spans="1:28">
      <c r="A3627" s="391"/>
      <c r="B3627" s="392"/>
      <c r="C3627" s="393" t="s">
        <v>198</v>
      </c>
      <c r="D3627" s="2562">
        <f>VLOOKUP(C3625,'Data Panjang Balok'!$C$9:$N$254,4,FALSE)</f>
        <v>3965</v>
      </c>
      <c r="E3627" s="2563"/>
      <c r="F3627" s="2563"/>
      <c r="G3627" s="2563"/>
      <c r="H3627" s="2564"/>
      <c r="I3627" s="397"/>
      <c r="J3627" s="396"/>
      <c r="K3627" s="396"/>
      <c r="L3627" s="396"/>
      <c r="M3627" s="396"/>
      <c r="N3627" s="396"/>
      <c r="O3627" s="396"/>
      <c r="P3627" s="396"/>
      <c r="Q3627" s="396"/>
      <c r="R3627" s="396"/>
      <c r="S3627" s="396"/>
      <c r="T3627" s="396"/>
      <c r="U3627" s="388"/>
      <c r="V3627" s="396"/>
      <c r="W3627" s="388"/>
      <c r="X3627" s="396"/>
      <c r="Y3627" s="389"/>
      <c r="Z3627" s="396"/>
      <c r="AA3627" s="388"/>
      <c r="AB3627" s="390"/>
    </row>
    <row r="3628" spans="1:28">
      <c r="A3628" s="391"/>
      <c r="B3628" s="392"/>
      <c r="C3628" s="393" t="s">
        <v>199</v>
      </c>
      <c r="D3628" s="2562">
        <f>VLOOKUP(C3625,'Data Panjang Balok'!$C$9:$N$254,7,FALSE)</f>
        <v>3965</v>
      </c>
      <c r="E3628" s="2563"/>
      <c r="F3628" s="2563"/>
      <c r="G3628" s="2563"/>
      <c r="H3628" s="2564"/>
      <c r="I3628" s="397"/>
      <c r="J3628" s="396"/>
      <c r="K3628" s="396"/>
      <c r="L3628" s="396"/>
      <c r="M3628" s="396"/>
      <c r="N3628" s="396"/>
      <c r="O3628" s="396"/>
      <c r="P3628" s="396"/>
      <c r="Q3628" s="396"/>
      <c r="R3628" s="396"/>
      <c r="S3628" s="396"/>
      <c r="T3628" s="396"/>
      <c r="U3628" s="388"/>
      <c r="V3628" s="396"/>
      <c r="W3628" s="388"/>
      <c r="X3628" s="396"/>
      <c r="Y3628" s="389"/>
      <c r="Z3628" s="396"/>
      <c r="AA3628" s="388"/>
      <c r="AB3628" s="390"/>
    </row>
    <row r="3629" spans="1:28">
      <c r="A3629" s="391"/>
      <c r="B3629" s="392"/>
      <c r="C3629" s="393" t="s">
        <v>200</v>
      </c>
      <c r="D3629" s="2562">
        <f>VLOOKUP(C3625,'Data Panjang Balok'!$C$9:$N$254,9,FALSE)</f>
        <v>0</v>
      </c>
      <c r="E3629" s="2563"/>
      <c r="F3629" s="2563"/>
      <c r="G3629" s="2563"/>
      <c r="H3629" s="2564"/>
      <c r="I3629" s="397"/>
      <c r="J3629" s="396"/>
      <c r="K3629" s="396"/>
      <c r="L3629" s="396"/>
      <c r="M3629" s="396"/>
      <c r="N3629" s="396"/>
      <c r="O3629" s="396"/>
      <c r="P3629" s="396"/>
      <c r="Q3629" s="396"/>
      <c r="R3629" s="396"/>
      <c r="S3629" s="396"/>
      <c r="T3629" s="396"/>
      <c r="U3629" s="388"/>
      <c r="V3629" s="396"/>
      <c r="W3629" s="388"/>
      <c r="X3629" s="396"/>
      <c r="Y3629" s="389"/>
      <c r="Z3629" s="396"/>
      <c r="AA3629" s="388"/>
      <c r="AB3629" s="390"/>
    </row>
    <row r="3630" spans="1:28">
      <c r="A3630" s="391"/>
      <c r="B3630" s="392"/>
      <c r="C3630" s="393" t="s">
        <v>201</v>
      </c>
      <c r="D3630" s="2562">
        <f>VLOOKUP(C3625,'Data Panjang Balok'!$C$9:$N$254,10,FALSE)</f>
        <v>0</v>
      </c>
      <c r="E3630" s="2563"/>
      <c r="F3630" s="2563"/>
      <c r="G3630" s="2563"/>
      <c r="H3630" s="2564"/>
      <c r="I3630" s="397"/>
      <c r="J3630" s="396"/>
      <c r="K3630" s="396"/>
      <c r="L3630" s="396"/>
      <c r="M3630" s="396"/>
      <c r="N3630" s="396"/>
      <c r="O3630" s="396"/>
      <c r="P3630" s="396"/>
      <c r="Q3630" s="396"/>
      <c r="R3630" s="396"/>
      <c r="S3630" s="396"/>
      <c r="T3630" s="396"/>
      <c r="U3630" s="388"/>
      <c r="V3630" s="396"/>
      <c r="W3630" s="388"/>
      <c r="X3630" s="396"/>
      <c r="Y3630" s="389"/>
      <c r="Z3630" s="396"/>
      <c r="AA3630" s="388"/>
      <c r="AB3630" s="390"/>
    </row>
    <row r="3631" spans="1:28">
      <c r="A3631" s="391"/>
      <c r="B3631" s="392"/>
      <c r="C3631" s="393" t="s">
        <v>48</v>
      </c>
      <c r="D3631" s="2562">
        <f>VLOOKUP(C3625,'Data Panjang Balok'!$C$9:$N$254,3,FALSE)</f>
        <v>1</v>
      </c>
      <c r="E3631" s="2563"/>
      <c r="F3631" s="2563"/>
      <c r="G3631" s="2563"/>
      <c r="H3631" s="2564"/>
      <c r="I3631" s="397"/>
      <c r="J3631" s="396"/>
      <c r="K3631" s="396"/>
      <c r="L3631" s="396"/>
      <c r="M3631" s="396"/>
      <c r="N3631" s="396"/>
      <c r="O3631" s="396"/>
      <c r="P3631" s="396"/>
      <c r="Q3631" s="396"/>
      <c r="R3631" s="396"/>
      <c r="S3631" s="396"/>
      <c r="T3631" s="396"/>
      <c r="U3631" s="388"/>
      <c r="V3631" s="396"/>
      <c r="W3631" s="388"/>
      <c r="X3631" s="396"/>
      <c r="Y3631" s="389"/>
      <c r="Z3631" s="396"/>
      <c r="AA3631" s="388"/>
      <c r="AB3631" s="390"/>
    </row>
    <row r="3632" spans="1:28">
      <c r="A3632" s="384" t="str">
        <f t="shared" ref="A3632:B3632" si="11675">A3625</f>
        <v>Lantai 2</v>
      </c>
      <c r="B3632" s="385">
        <f t="shared" si="11675"/>
        <v>34</v>
      </c>
      <c r="C3632" s="393" t="s">
        <v>202</v>
      </c>
      <c r="D3632" s="398">
        <f>VLOOKUP(D3625,'Detail Balok'!$C$10:$AU$140,4,FALSE)</f>
        <v>3</v>
      </c>
      <c r="E3632" s="388" t="s">
        <v>16</v>
      </c>
      <c r="F3632" s="388">
        <f>VLOOKUP(D3625,'Detail Balok'!$C$10:$AU$140,6,FALSE)</f>
        <v>13</v>
      </c>
      <c r="G3632" s="388"/>
      <c r="H3632" s="395"/>
      <c r="I3632" s="388" t="s">
        <v>203</v>
      </c>
      <c r="J3632" s="399">
        <f t="shared" ref="J3632" si="11676">+D3627/4/1000</f>
        <v>0.99124999999999996</v>
      </c>
      <c r="K3632" s="400" t="s">
        <v>204</v>
      </c>
      <c r="L3632" s="399">
        <f t="shared" ref="L3632" si="11677">MAX(VLOOKUP(F3632,N$6:P$15,3,FALSE)/1000,2/3*D3629/1000)+F$16*F3632/1000</f>
        <v>0.156</v>
      </c>
      <c r="M3632" s="399" t="s">
        <v>176</v>
      </c>
      <c r="N3632" s="399">
        <f t="shared" ref="N3632:N3634" si="11678">J3632+L3632</f>
        <v>1.1472499999999999</v>
      </c>
      <c r="O3632" s="399" t="s">
        <v>204</v>
      </c>
      <c r="P3632" s="389">
        <f t="shared" ref="P3632" si="11679">D3632-D3633</f>
        <v>0</v>
      </c>
      <c r="Q3632" s="399" t="s">
        <v>125</v>
      </c>
      <c r="R3632" s="399">
        <f t="shared" ref="R3632" si="11680">IF(P3632&gt;0,$F$18*F3632/1000,0)</f>
        <v>0</v>
      </c>
      <c r="S3632" s="399" t="s">
        <v>205</v>
      </c>
      <c r="T3632" s="399" t="s">
        <v>125</v>
      </c>
      <c r="U3632" s="401">
        <f t="shared" ref="U3632:U3634" si="11681">0.006165*F3632^2</f>
        <v>1.041885</v>
      </c>
      <c r="V3632" s="399"/>
      <c r="W3632" s="399"/>
      <c r="X3632" s="399" t="s">
        <v>125</v>
      </c>
      <c r="Y3632" s="389">
        <f t="shared" ref="Y3632" si="11682">D3631</f>
        <v>1</v>
      </c>
      <c r="Z3632" s="400" t="s">
        <v>176</v>
      </c>
      <c r="AA3632" s="402">
        <f t="shared" ref="AA3632" si="11683">IF(AA3635=0,(D3632*N3632+P3632*R3632)*U3632*Y3632,0)</f>
        <v>0</v>
      </c>
      <c r="AB3632" s="403"/>
    </row>
    <row r="3633" spans="1:28">
      <c r="A3633" s="384" t="str">
        <f t="shared" ref="A3633:B3633" si="11684">A3625</f>
        <v>Lantai 2</v>
      </c>
      <c r="B3633" s="385">
        <f t="shared" si="11684"/>
        <v>34</v>
      </c>
      <c r="C3633" s="393" t="s">
        <v>206</v>
      </c>
      <c r="D3633" s="398">
        <f>VLOOKUP(D3625,'Detail Balok'!$C$10:$AU$140,7,FALSE)</f>
        <v>3</v>
      </c>
      <c r="E3633" s="388" t="s">
        <v>16</v>
      </c>
      <c r="F3633" s="388">
        <f>VLOOKUP(D3625,'Detail Balok'!$C$10:$AU$140,9,FALSE)</f>
        <v>13</v>
      </c>
      <c r="G3633" s="388"/>
      <c r="H3633" s="395"/>
      <c r="I3633" s="388" t="s">
        <v>203</v>
      </c>
      <c r="J3633" s="399">
        <f t="shared" ref="J3633" si="11685">+D3627/2/1000</f>
        <v>1.9824999999999999</v>
      </c>
      <c r="K3633" s="400" t="s">
        <v>204</v>
      </c>
      <c r="L3633" s="399"/>
      <c r="M3633" s="399" t="s">
        <v>176</v>
      </c>
      <c r="N3633" s="399">
        <f t="shared" si="11678"/>
        <v>1.9824999999999999</v>
      </c>
      <c r="O3633" s="399" t="s">
        <v>204</v>
      </c>
      <c r="P3633" s="389">
        <f t="shared" ref="P3633" si="11686">MAX(D3633-D3632,D3633-D3634)</f>
        <v>0</v>
      </c>
      <c r="Q3633" s="399" t="s">
        <v>125</v>
      </c>
      <c r="R3633" s="399">
        <f t="shared" ref="R3633" si="11687">IF(P3633&gt;0,2*(1-2*$F$19-1/2)*D3628/1000,0)</f>
        <v>0</v>
      </c>
      <c r="S3633" s="399" t="s">
        <v>205</v>
      </c>
      <c r="T3633" s="399" t="s">
        <v>125</v>
      </c>
      <c r="U3633" s="401">
        <f t="shared" si="11681"/>
        <v>1.041885</v>
      </c>
      <c r="V3633" s="399"/>
      <c r="W3633" s="399"/>
      <c r="X3633" s="399" t="s">
        <v>125</v>
      </c>
      <c r="Y3633" s="389">
        <f t="shared" ref="Y3633" si="11688">D3631</f>
        <v>1</v>
      </c>
      <c r="Z3633" s="400" t="s">
        <v>176</v>
      </c>
      <c r="AA3633" s="402">
        <f t="shared" ref="AA3633" si="11689">IF(AA3635=0,(D3633*N3633+P3633*R3633)*U3633*Y3633,0)</f>
        <v>0</v>
      </c>
      <c r="AB3633" s="403"/>
    </row>
    <row r="3634" spans="1:28">
      <c r="A3634" s="384" t="str">
        <f t="shared" ref="A3634:B3634" si="11690">A3625</f>
        <v>Lantai 2</v>
      </c>
      <c r="B3634" s="385">
        <f t="shared" si="11690"/>
        <v>34</v>
      </c>
      <c r="C3634" s="393" t="s">
        <v>202</v>
      </c>
      <c r="D3634" s="398">
        <f>VLOOKUP(D3625,'Detail Balok'!$C$10:$AU$140,10,FALSE)</f>
        <v>3</v>
      </c>
      <c r="E3634" s="388" t="s">
        <v>16</v>
      </c>
      <c r="F3634" s="388">
        <f>VLOOKUP(D3625,'Detail Balok'!$C$10:$AU$140,12,FALSE)</f>
        <v>13</v>
      </c>
      <c r="G3634" s="388"/>
      <c r="H3634" s="395"/>
      <c r="I3634" s="388" t="s">
        <v>203</v>
      </c>
      <c r="J3634" s="399">
        <f t="shared" ref="J3634" si="11691">+D3627/4/1000</f>
        <v>0.99124999999999996</v>
      </c>
      <c r="K3634" s="400" t="s">
        <v>204</v>
      </c>
      <c r="L3634" s="399">
        <f t="shared" ref="L3634" si="11692">MAX(VLOOKUP(F3634,N$6:P$15,3,FALSE)/1000,2/3*D3629/1000)+F$16*F3634/1000</f>
        <v>0.156</v>
      </c>
      <c r="M3634" s="399" t="s">
        <v>176</v>
      </c>
      <c r="N3634" s="399">
        <f t="shared" si="11678"/>
        <v>1.1472499999999999</v>
      </c>
      <c r="O3634" s="399" t="s">
        <v>204</v>
      </c>
      <c r="P3634" s="389">
        <f t="shared" ref="P3634" si="11693">D3634-D3633</f>
        <v>0</v>
      </c>
      <c r="Q3634" s="399" t="s">
        <v>125</v>
      </c>
      <c r="R3634" s="399">
        <f t="shared" ref="R3634" si="11694">IF(P3634&gt;0,$F$18*F3634/1000,0)</f>
        <v>0</v>
      </c>
      <c r="S3634" s="399" t="s">
        <v>205</v>
      </c>
      <c r="T3634" s="399" t="s">
        <v>125</v>
      </c>
      <c r="U3634" s="401">
        <f t="shared" si="11681"/>
        <v>1.041885</v>
      </c>
      <c r="V3634" s="399"/>
      <c r="W3634" s="399"/>
      <c r="X3634" s="399" t="s">
        <v>125</v>
      </c>
      <c r="Y3634" s="389">
        <f t="shared" ref="Y3634" si="11695">D3631</f>
        <v>1</v>
      </c>
      <c r="Z3634" s="400" t="s">
        <v>176</v>
      </c>
      <c r="AA3634" s="402">
        <f t="shared" ref="AA3634" si="11696">IF(AA3635=0,(D3634*N3634+P3634*R3634)*U3634*Y3634,0)</f>
        <v>0</v>
      </c>
      <c r="AB3634" s="403"/>
    </row>
    <row r="3635" spans="1:28">
      <c r="A3635" s="384" t="str">
        <f t="shared" ref="A3635:B3635" si="11697">A3625</f>
        <v>Lantai 2</v>
      </c>
      <c r="B3635" s="385">
        <f t="shared" si="11697"/>
        <v>34</v>
      </c>
      <c r="C3635" s="393"/>
      <c r="D3635" s="398">
        <f t="shared" si="11500"/>
        <v>3</v>
      </c>
      <c r="E3635" s="388" t="s">
        <v>16</v>
      </c>
      <c r="F3635" s="388">
        <f t="shared" si="11501"/>
        <v>13</v>
      </c>
      <c r="G3635" s="388"/>
      <c r="H3635" s="395"/>
      <c r="I3635" s="388"/>
      <c r="J3635" s="396"/>
      <c r="K3635" s="396"/>
      <c r="L3635" s="404" t="s">
        <v>207</v>
      </c>
      <c r="M3635" s="399" t="s">
        <v>176</v>
      </c>
      <c r="N3635" s="399">
        <f t="shared" ref="N3635" si="11698">IF(AND(D3632=D3633,D3632=D3634,D3633=D3634,F3632=F3633,F3632=F3634,F3633=F3634),SUM(N3632:N3634),0)</f>
        <v>4.2769999999999992</v>
      </c>
      <c r="O3635" s="399" t="s">
        <v>204</v>
      </c>
      <c r="P3635" s="389">
        <f t="shared" ref="P3635" si="11699">IF(N3635&gt;12,ROUNDDOWN(N3635/12,0),0)</f>
        <v>0</v>
      </c>
      <c r="Q3635" s="399" t="s">
        <v>125</v>
      </c>
      <c r="R3635" s="399">
        <f t="shared" ref="R3635" si="11700">IF(P3635&gt;0,MAX(VLOOKUP(F3635,$D$6:$G$15,3,FALSE),600),0)/1000</f>
        <v>0</v>
      </c>
      <c r="S3635" s="396"/>
      <c r="T3635" s="396" t="s">
        <v>125</v>
      </c>
      <c r="U3635" s="401">
        <f t="shared" si="11505"/>
        <v>1.041885</v>
      </c>
      <c r="V3635" s="396" t="s">
        <v>125</v>
      </c>
      <c r="W3635" s="399">
        <f t="shared" ref="W3635" si="11701">D3635</f>
        <v>3</v>
      </c>
      <c r="X3635" s="399" t="s">
        <v>125</v>
      </c>
      <c r="Y3635" s="389">
        <f t="shared" si="11507"/>
        <v>1</v>
      </c>
      <c r="Z3635" s="400" t="s">
        <v>176</v>
      </c>
      <c r="AA3635" s="402">
        <f t="shared" ref="AA3635" si="11702">(N3635+P3635*R3635/1000)*U3635*W3635*Y3635</f>
        <v>13.368426434999998</v>
      </c>
      <c r="AB3635" s="390"/>
    </row>
    <row r="3636" spans="1:28">
      <c r="A3636" s="384"/>
      <c r="B3636" s="385"/>
      <c r="C3636" s="393"/>
      <c r="D3636" s="398"/>
      <c r="E3636" s="388"/>
      <c r="F3636" s="388"/>
      <c r="G3636" s="388"/>
      <c r="H3636" s="395"/>
      <c r="I3636" s="388"/>
      <c r="J3636" s="396"/>
      <c r="K3636" s="396"/>
      <c r="L3636" s="404"/>
      <c r="M3636" s="399"/>
      <c r="N3636" s="399"/>
      <c r="O3636" s="396"/>
      <c r="P3636" s="389"/>
      <c r="Q3636" s="396"/>
      <c r="R3636" s="396"/>
      <c r="S3636" s="396"/>
      <c r="T3636" s="396"/>
      <c r="U3636" s="401"/>
      <c r="V3636" s="396"/>
      <c r="W3636" s="399"/>
      <c r="X3636" s="396"/>
      <c r="Y3636" s="389"/>
      <c r="Z3636" s="396"/>
      <c r="AA3636" s="388"/>
      <c r="AB3636" s="390"/>
    </row>
    <row r="3637" spans="1:28">
      <c r="A3637" s="384" t="str">
        <f t="shared" ref="A3637:B3637" si="11703">A3625</f>
        <v>Lantai 2</v>
      </c>
      <c r="B3637" s="385">
        <f t="shared" si="11703"/>
        <v>34</v>
      </c>
      <c r="C3637" s="393" t="s">
        <v>208</v>
      </c>
      <c r="D3637" s="398">
        <f>VLOOKUP(D3625,'Detail Balok'!$C$10:$AU$140,13,FALSE)</f>
        <v>0</v>
      </c>
      <c r="E3637" s="388" t="s">
        <v>16</v>
      </c>
      <c r="F3637" s="388">
        <f>VLOOKUP(D3625,'Detail Balok'!$C$10:$AU$140,15,FALSE)</f>
        <v>8</v>
      </c>
      <c r="G3637" s="388"/>
      <c r="H3637" s="395"/>
      <c r="I3637" s="388"/>
      <c r="J3637" s="399">
        <f t="shared" ref="J3637" si="11704">+D3627/1000</f>
        <v>3.9649999999999999</v>
      </c>
      <c r="K3637" s="400" t="s">
        <v>204</v>
      </c>
      <c r="L3637" s="399">
        <f t="shared" ref="L3637" si="11705">2*$F$16*F3637/1000</f>
        <v>0.192</v>
      </c>
      <c r="M3637" s="399" t="s">
        <v>176</v>
      </c>
      <c r="N3637" s="399">
        <f t="shared" ref="N3637" si="11706">J3637+L3637</f>
        <v>4.157</v>
      </c>
      <c r="O3637" s="399" t="s">
        <v>204</v>
      </c>
      <c r="P3637" s="389">
        <f t="shared" ref="P3637" si="11707">IF(N3637&gt;12,ROUNDDOWN(N3637/12,0),0)</f>
        <v>0</v>
      </c>
      <c r="Q3637" s="399" t="s">
        <v>125</v>
      </c>
      <c r="R3637" s="399">
        <f t="shared" ref="R3637" si="11708">IF(P3637&gt;0,MAX(VLOOKUP(F3637,$D$6:$G$15,3,FALSE),600),0)/1000</f>
        <v>0</v>
      </c>
      <c r="S3637" s="399"/>
      <c r="T3637" s="399" t="s">
        <v>125</v>
      </c>
      <c r="U3637" s="401">
        <f t="shared" ref="U3637" si="11709">0.006165*F3637^2</f>
        <v>0.39456000000000002</v>
      </c>
      <c r="V3637" s="399" t="s">
        <v>125</v>
      </c>
      <c r="W3637" s="399">
        <f t="shared" ref="W3637" si="11710">+D3637</f>
        <v>0</v>
      </c>
      <c r="X3637" s="399" t="s">
        <v>125</v>
      </c>
      <c r="Y3637" s="389">
        <f t="shared" ref="Y3637" si="11711">D3631</f>
        <v>1</v>
      </c>
      <c r="Z3637" s="400" t="s">
        <v>176</v>
      </c>
      <c r="AA3637" s="402">
        <f t="shared" ref="AA3637" si="11712">(N3637+P3637*R3637/1000)*U3637*W3637*Y3637</f>
        <v>0</v>
      </c>
      <c r="AB3637" s="403"/>
    </row>
    <row r="3638" spans="1:28">
      <c r="A3638" s="384"/>
      <c r="B3638" s="385"/>
      <c r="C3638" s="393"/>
      <c r="D3638" s="398"/>
      <c r="E3638" s="388"/>
      <c r="F3638" s="388"/>
      <c r="G3638" s="388"/>
      <c r="H3638" s="395"/>
      <c r="I3638" s="388"/>
      <c r="J3638" s="399"/>
      <c r="K3638" s="400"/>
      <c r="L3638" s="399"/>
      <c r="M3638" s="399"/>
      <c r="N3638" s="399"/>
      <c r="O3638" s="399"/>
      <c r="P3638" s="389"/>
      <c r="Q3638" s="399"/>
      <c r="R3638" s="399"/>
      <c r="S3638" s="399"/>
      <c r="T3638" s="399"/>
      <c r="U3638" s="401"/>
      <c r="V3638" s="399"/>
      <c r="W3638" s="399"/>
      <c r="X3638" s="399"/>
      <c r="Y3638" s="389"/>
      <c r="Z3638" s="400"/>
      <c r="AA3638" s="402"/>
      <c r="AB3638" s="403"/>
    </row>
    <row r="3639" spans="1:28">
      <c r="A3639" s="384"/>
      <c r="B3639" s="385"/>
      <c r="C3639" s="393"/>
      <c r="D3639" s="398"/>
      <c r="E3639" s="388"/>
      <c r="F3639" s="388"/>
      <c r="G3639" s="388"/>
      <c r="H3639" s="395"/>
      <c r="I3639" s="388"/>
      <c r="J3639" s="396"/>
      <c r="K3639" s="396"/>
      <c r="L3639" s="396"/>
      <c r="M3639" s="396"/>
      <c r="N3639" s="396"/>
      <c r="O3639" s="396"/>
      <c r="P3639" s="389"/>
      <c r="Q3639" s="396"/>
      <c r="R3639" s="396"/>
      <c r="S3639" s="396"/>
      <c r="T3639" s="396"/>
      <c r="U3639" s="401"/>
      <c r="V3639" s="396"/>
      <c r="W3639" s="399"/>
      <c r="X3639" s="396"/>
      <c r="Y3639" s="389"/>
      <c r="Z3639" s="396"/>
      <c r="AA3639" s="388"/>
      <c r="AB3639" s="390"/>
    </row>
    <row r="3640" spans="1:28">
      <c r="A3640" s="384" t="str">
        <f t="shared" ref="A3640:B3640" si="11713">A3625</f>
        <v>Lantai 2</v>
      </c>
      <c r="B3640" s="385">
        <f t="shared" si="11713"/>
        <v>34</v>
      </c>
      <c r="C3640" s="393" t="s">
        <v>209</v>
      </c>
      <c r="D3640" s="398">
        <f>VLOOKUP(D3625,'Detail Balok'!$C$10:$AU$140,22,FALSE)</f>
        <v>3</v>
      </c>
      <c r="E3640" s="388" t="s">
        <v>16</v>
      </c>
      <c r="F3640" s="388">
        <f>VLOOKUP(D3625,'Detail Balok'!$C$10:$AU$140,24,FALSE)</f>
        <v>13</v>
      </c>
      <c r="G3640" s="388"/>
      <c r="H3640" s="395"/>
      <c r="I3640" s="388" t="s">
        <v>203</v>
      </c>
      <c r="J3640" s="399">
        <f t="shared" si="11520"/>
        <v>0.99124999999999996</v>
      </c>
      <c r="K3640" s="400" t="s">
        <v>204</v>
      </c>
      <c r="L3640" s="399">
        <f t="shared" ref="L3640" si="11714">MAX(VLOOKUP(F3640,N$6:P$15,3,FALSE)/1000,2/3*D3630/1000)+F$16*F3640/1000</f>
        <v>0.156</v>
      </c>
      <c r="M3640" s="399" t="s">
        <v>176</v>
      </c>
      <c r="N3640" s="399">
        <f t="shared" ref="N3640:N3642" si="11715">J3640+L3640</f>
        <v>1.1472499999999999</v>
      </c>
      <c r="O3640" s="399" t="s">
        <v>204</v>
      </c>
      <c r="P3640" s="389">
        <f t="shared" ref="P3640" si="11716">D3640-D3641</f>
        <v>0</v>
      </c>
      <c r="Q3640" s="399" t="s">
        <v>125</v>
      </c>
      <c r="R3640" s="399">
        <f t="shared" ref="R3640" si="11717">IF(P3640&gt;0,$F$18*F3640/1000,0)</f>
        <v>0</v>
      </c>
      <c r="S3640" s="399" t="s">
        <v>205</v>
      </c>
      <c r="T3640" s="399" t="s">
        <v>125</v>
      </c>
      <c r="U3640" s="401">
        <f t="shared" ref="U3640:U3642" si="11718">0.006165*F3640^2</f>
        <v>1.041885</v>
      </c>
      <c r="V3640" s="399"/>
      <c r="W3640" s="399"/>
      <c r="X3640" s="399" t="s">
        <v>125</v>
      </c>
      <c r="Y3640" s="389">
        <f t="shared" ref="Y3640" si="11719">D3631</f>
        <v>1</v>
      </c>
      <c r="Z3640" s="400" t="s">
        <v>176</v>
      </c>
      <c r="AA3640" s="402">
        <f t="shared" ref="AA3640" si="11720">IF(AA3643=0,(D3640*N3640+P3640*R3640)*U3640*Y3640,0)</f>
        <v>0</v>
      </c>
      <c r="AB3640" s="403"/>
    </row>
    <row r="3641" spans="1:28">
      <c r="A3641" s="384" t="str">
        <f t="shared" ref="A3641:B3641" si="11721">A3625</f>
        <v>Lantai 2</v>
      </c>
      <c r="B3641" s="385">
        <f t="shared" si="11721"/>
        <v>34</v>
      </c>
      <c r="C3641" s="393" t="s">
        <v>210</v>
      </c>
      <c r="D3641" s="398">
        <f>VLOOKUP(D3625,'Detail Balok'!$C$10:$AU$140,25,FALSE)</f>
        <v>3</v>
      </c>
      <c r="E3641" s="388" t="s">
        <v>16</v>
      </c>
      <c r="F3641" s="388">
        <f>VLOOKUP(D3625,'Detail Balok'!$C$10:$AU$140,27,FALSE)</f>
        <v>13</v>
      </c>
      <c r="G3641" s="388"/>
      <c r="H3641" s="395"/>
      <c r="I3641" s="388" t="s">
        <v>203</v>
      </c>
      <c r="J3641" s="399">
        <f t="shared" si="11520"/>
        <v>1.9824999999999999</v>
      </c>
      <c r="K3641" s="400" t="s">
        <v>204</v>
      </c>
      <c r="L3641" s="399"/>
      <c r="M3641" s="399" t="s">
        <v>176</v>
      </c>
      <c r="N3641" s="399">
        <f t="shared" si="11715"/>
        <v>1.9824999999999999</v>
      </c>
      <c r="O3641" s="399" t="s">
        <v>204</v>
      </c>
      <c r="P3641" s="389">
        <f t="shared" ref="P3641" si="11722">MAX(D3641-D3640,D3641-D3642)</f>
        <v>0</v>
      </c>
      <c r="Q3641" s="399" t="s">
        <v>125</v>
      </c>
      <c r="R3641" s="399">
        <f t="shared" ref="R3641" si="11723">IF(P3641&gt;0,2*(1-2*$F$19-1/2)*D3628/1000,0)</f>
        <v>0</v>
      </c>
      <c r="S3641" s="399" t="s">
        <v>205</v>
      </c>
      <c r="T3641" s="399" t="s">
        <v>125</v>
      </c>
      <c r="U3641" s="401">
        <f t="shared" si="11718"/>
        <v>1.041885</v>
      </c>
      <c r="V3641" s="399"/>
      <c r="W3641" s="399"/>
      <c r="X3641" s="399" t="s">
        <v>125</v>
      </c>
      <c r="Y3641" s="389">
        <f t="shared" ref="Y3641" si="11724">D3631</f>
        <v>1</v>
      </c>
      <c r="Z3641" s="400" t="s">
        <v>176</v>
      </c>
      <c r="AA3641" s="402">
        <f t="shared" ref="AA3641" si="11725">IF(AA3643=0,(D3641*N3641+P3641*R3641)*U3641*Y3641,0)</f>
        <v>0</v>
      </c>
      <c r="AB3641" s="403"/>
    </row>
    <row r="3642" spans="1:28">
      <c r="A3642" s="384" t="str">
        <f t="shared" ref="A3642:B3642" si="11726">A3625</f>
        <v>Lantai 2</v>
      </c>
      <c r="B3642" s="385">
        <f t="shared" si="11726"/>
        <v>34</v>
      </c>
      <c r="C3642" s="393" t="s">
        <v>209</v>
      </c>
      <c r="D3642" s="398">
        <f>VLOOKUP(D3625,'Detail Balok'!$C$10:$AU$140,28,FALSE)</f>
        <v>3</v>
      </c>
      <c r="E3642" s="388" t="s">
        <v>16</v>
      </c>
      <c r="F3642" s="388">
        <f>VLOOKUP(D3625,'Detail Balok'!$C$10:$AU$140,30,FALSE)</f>
        <v>13</v>
      </c>
      <c r="G3642" s="388"/>
      <c r="H3642" s="395"/>
      <c r="I3642" s="388" t="s">
        <v>203</v>
      </c>
      <c r="J3642" s="399">
        <f t="shared" si="11520"/>
        <v>0.99124999999999996</v>
      </c>
      <c r="K3642" s="400" t="s">
        <v>204</v>
      </c>
      <c r="L3642" s="399">
        <f t="shared" ref="L3642" si="11727">MAX(VLOOKUP(F3642,N$6:P$15,3,FALSE)/1000,2/3*D3630/1000)+F$16*F3642/1000</f>
        <v>0.156</v>
      </c>
      <c r="M3642" s="399" t="s">
        <v>176</v>
      </c>
      <c r="N3642" s="399">
        <f t="shared" si="11715"/>
        <v>1.1472499999999999</v>
      </c>
      <c r="O3642" s="399" t="s">
        <v>204</v>
      </c>
      <c r="P3642" s="389">
        <f t="shared" ref="P3642" si="11728">D3642-D3641</f>
        <v>0</v>
      </c>
      <c r="Q3642" s="399" t="s">
        <v>125</v>
      </c>
      <c r="R3642" s="399">
        <f t="shared" ref="R3642" si="11729">IF(P3642&gt;0,$F$18*F3642/1000,0)</f>
        <v>0</v>
      </c>
      <c r="S3642" s="399" t="s">
        <v>205</v>
      </c>
      <c r="T3642" s="399" t="s">
        <v>125</v>
      </c>
      <c r="U3642" s="401">
        <f t="shared" si="11718"/>
        <v>1.041885</v>
      </c>
      <c r="V3642" s="399"/>
      <c r="W3642" s="399"/>
      <c r="X3642" s="399" t="s">
        <v>125</v>
      </c>
      <c r="Y3642" s="389">
        <f t="shared" ref="Y3642" si="11730">D3631</f>
        <v>1</v>
      </c>
      <c r="Z3642" s="400" t="s">
        <v>176</v>
      </c>
      <c r="AA3642" s="402">
        <f t="shared" ref="AA3642" si="11731">IF(AA3643=0,(D3642*N3642+P3642*R3642)*U3642*Y3642,0)</f>
        <v>0</v>
      </c>
      <c r="AB3642" s="403"/>
    </row>
    <row r="3643" spans="1:28">
      <c r="A3643" s="384" t="str">
        <f t="shared" ref="A3643:B3643" si="11732">A3625</f>
        <v>Lantai 2</v>
      </c>
      <c r="B3643" s="385">
        <f t="shared" si="11732"/>
        <v>34</v>
      </c>
      <c r="C3643" s="393"/>
      <c r="D3643" s="398">
        <f t="shared" si="11540"/>
        <v>3</v>
      </c>
      <c r="E3643" s="388" t="s">
        <v>16</v>
      </c>
      <c r="F3643" s="388">
        <f t="shared" si="11541"/>
        <v>13</v>
      </c>
      <c r="G3643" s="388"/>
      <c r="H3643" s="395"/>
      <c r="I3643" s="388"/>
      <c r="J3643" s="396"/>
      <c r="K3643" s="396"/>
      <c r="L3643" s="404" t="s">
        <v>207</v>
      </c>
      <c r="M3643" s="399" t="s">
        <v>176</v>
      </c>
      <c r="N3643" s="399">
        <f t="shared" ref="N3643" si="11733">IF(AND(D3640=D3641,D3640=D3642,D3641=D3642,F3640=F3641,F3640=F3642,F3641=F3642),SUM(N3640:N3642),0)</f>
        <v>4.2769999999999992</v>
      </c>
      <c r="O3643" s="399" t="s">
        <v>204</v>
      </c>
      <c r="P3643" s="389">
        <f t="shared" ref="P3643" si="11734">IF(N3643&gt;12,ROUNDDOWN(N3643/12,0),0)</f>
        <v>0</v>
      </c>
      <c r="Q3643" s="399" t="s">
        <v>125</v>
      </c>
      <c r="R3643" s="399">
        <f t="shared" ref="R3643" si="11735">IF(P3643&gt;0,MAX(VLOOKUP(F3643,$D$6:$G$15,3,FALSE),600),0)/1000</f>
        <v>0</v>
      </c>
      <c r="S3643" s="396"/>
      <c r="T3643" s="396" t="s">
        <v>125</v>
      </c>
      <c r="U3643" s="401">
        <f t="shared" si="11545"/>
        <v>1.041885</v>
      </c>
      <c r="V3643" s="396" t="s">
        <v>125</v>
      </c>
      <c r="W3643" s="399">
        <f t="shared" ref="W3643" si="11736">D3643</f>
        <v>3</v>
      </c>
      <c r="X3643" s="399" t="s">
        <v>125</v>
      </c>
      <c r="Y3643" s="389">
        <f t="shared" si="11547"/>
        <v>1</v>
      </c>
      <c r="Z3643" s="400" t="s">
        <v>176</v>
      </c>
      <c r="AA3643" s="402">
        <f t="shared" ref="AA3643" si="11737">(N3643+P3643*R3643/1000)*U3643*W3643*Y3643</f>
        <v>13.368426434999998</v>
      </c>
      <c r="AB3643" s="403"/>
    </row>
    <row r="3644" spans="1:28">
      <c r="A3644" s="384"/>
      <c r="B3644" s="385"/>
      <c r="C3644" s="393"/>
      <c r="D3644" s="394"/>
      <c r="E3644" s="388"/>
      <c r="F3644" s="388"/>
      <c r="G3644" s="388"/>
      <c r="H3644" s="395"/>
      <c r="I3644" s="388"/>
      <c r="J3644" s="399"/>
      <c r="K3644" s="396"/>
      <c r="L3644" s="396"/>
      <c r="M3644" s="396"/>
      <c r="N3644" s="396"/>
      <c r="O3644" s="396"/>
      <c r="P3644" s="389"/>
      <c r="Q3644" s="396"/>
      <c r="R3644" s="396"/>
      <c r="S3644" s="396"/>
      <c r="T3644" s="396"/>
      <c r="U3644" s="401"/>
      <c r="V3644" s="396"/>
      <c r="W3644" s="388"/>
      <c r="X3644" s="396"/>
      <c r="Y3644" s="389"/>
      <c r="Z3644" s="396"/>
      <c r="AA3644" s="388"/>
      <c r="AB3644" s="390"/>
    </row>
    <row r="3645" spans="1:28">
      <c r="A3645" s="384" t="str">
        <f t="shared" ref="A3645:B3645" si="11738">A3625</f>
        <v>Lantai 2</v>
      </c>
      <c r="B3645" s="385">
        <f t="shared" si="11738"/>
        <v>34</v>
      </c>
      <c r="C3645" s="393" t="s">
        <v>211</v>
      </c>
      <c r="D3645" s="398">
        <f>VLOOKUP(D3625,'Detail Balok'!$C$10:$AU$140,31,FALSE)</f>
        <v>0</v>
      </c>
      <c r="E3645" s="388" t="s">
        <v>16</v>
      </c>
      <c r="F3645" s="388">
        <f>VLOOKUP(D3625,'Detail Balok'!$C$10:$AU$140,33,FALSE)</f>
        <v>10</v>
      </c>
      <c r="G3645" s="405" t="s">
        <v>157</v>
      </c>
      <c r="H3645" s="395">
        <f>VLOOKUP(D3625,'Detail Balok'!$C$10:$AU$140,35,FALSE)</f>
        <v>100</v>
      </c>
      <c r="I3645" s="388"/>
      <c r="J3645" s="400">
        <f t="shared" ref="J3645" si="11739">(IF(D3645=0,(2*(D3626+G3626))-(F$5*8),IF(D3645=3,(2*(D3626+G3626))-(F$5*8)+(G3626-2*F$5),IF(D3645=4,(2*(D3626+G3626))-(F$5*8)+2*(G3626-2*F$5)))))/1000</f>
        <v>0.88</v>
      </c>
      <c r="K3645" s="400" t="s">
        <v>204</v>
      </c>
      <c r="L3645" s="399">
        <f t="shared" ref="L3645:L3647" si="11740">IF(D3645=0,2*MAX(6*F3645,75),(D3645-1)*2*MAX(6*F3645,75))/1000</f>
        <v>0.15</v>
      </c>
      <c r="M3645" s="399" t="s">
        <v>176</v>
      </c>
      <c r="N3645" s="399">
        <f t="shared" ref="N3645:N3647" si="11741">J3645+L3645</f>
        <v>1.03</v>
      </c>
      <c r="O3645" s="399"/>
      <c r="P3645" s="389"/>
      <c r="Q3645" s="399"/>
      <c r="R3645" s="399"/>
      <c r="S3645" s="399"/>
      <c r="T3645" s="399" t="s">
        <v>125</v>
      </c>
      <c r="U3645" s="401">
        <f t="shared" ref="U3645:U3647" si="11742">0.006165*F3645^2</f>
        <v>0.61650000000000005</v>
      </c>
      <c r="V3645" s="399" t="s">
        <v>125</v>
      </c>
      <c r="W3645" s="399">
        <f t="shared" ref="W3645" si="11743">IF(D3628&gt;4*G3626,ROUND(MAX(D3628/4,2*G3626)/H3645,0)+1,ROUND(D3628/H3645,0)+1)</f>
        <v>11</v>
      </c>
      <c r="X3645" s="399" t="s">
        <v>125</v>
      </c>
      <c r="Y3645" s="389">
        <f t="shared" ref="Y3645" si="11744">D3631</f>
        <v>1</v>
      </c>
      <c r="Z3645" s="400" t="s">
        <v>176</v>
      </c>
      <c r="AA3645" s="402">
        <f t="shared" ref="AA3645:AA3647" si="11745">N3645*U3645*W3645*Y3645</f>
        <v>6.9849450000000006</v>
      </c>
      <c r="AB3645" s="403"/>
    </row>
    <row r="3646" spans="1:28">
      <c r="A3646" s="384" t="str">
        <f t="shared" ref="A3646:B3646" si="11746">A3625</f>
        <v>Lantai 2</v>
      </c>
      <c r="B3646" s="385">
        <f t="shared" si="11746"/>
        <v>34</v>
      </c>
      <c r="C3646" s="393" t="s">
        <v>212</v>
      </c>
      <c r="D3646" s="398">
        <f>VLOOKUP(D3625,'Detail Balok'!$C$10:$AU$140,36,FALSE)</f>
        <v>0</v>
      </c>
      <c r="E3646" s="388" t="s">
        <v>16</v>
      </c>
      <c r="F3646" s="388">
        <f>VLOOKUP(D3625,'Detail Balok'!$C$10:$AU$140,38,FALSE)</f>
        <v>10</v>
      </c>
      <c r="G3646" s="405" t="s">
        <v>157</v>
      </c>
      <c r="H3646" s="395">
        <f>VLOOKUP(D3625,'Detail Balok'!$C$10:$AU$140,40,FALSE)</f>
        <v>200</v>
      </c>
      <c r="I3646" s="388"/>
      <c r="J3646" s="400">
        <f t="shared" ref="J3646" si="11747">(IF(D3646=0,(2*(D3626+G3626))-(F$5*8),IF(D3646=3,(2*(D3626+G3626))-(F$5*8)+(G3626-2*F$5),IF(D3646=4,(2*(D3626+G3626))-(F$5*8)+2*(G3626-2*F$5)))))/1000</f>
        <v>0.88</v>
      </c>
      <c r="K3646" s="400" t="s">
        <v>204</v>
      </c>
      <c r="L3646" s="399">
        <f t="shared" si="11740"/>
        <v>0.15</v>
      </c>
      <c r="M3646" s="399" t="s">
        <v>176</v>
      </c>
      <c r="N3646" s="399">
        <f t="shared" si="11741"/>
        <v>1.03</v>
      </c>
      <c r="O3646" s="399"/>
      <c r="P3646" s="389"/>
      <c r="Q3646" s="399"/>
      <c r="R3646" s="399"/>
      <c r="S3646" s="399"/>
      <c r="T3646" s="399" t="s">
        <v>125</v>
      </c>
      <c r="U3646" s="401">
        <f t="shared" si="11742"/>
        <v>0.61650000000000005</v>
      </c>
      <c r="V3646" s="399" t="s">
        <v>125</v>
      </c>
      <c r="W3646" s="399">
        <f t="shared" ref="W3646" si="11748">IF(D3628-MAX(D3628/4,2*G3626)*2&gt;0,ROUND((D3628-MAX(D3628/4,2*G3626)*2)/H3646,0),0)</f>
        <v>10</v>
      </c>
      <c r="X3646" s="399" t="s">
        <v>125</v>
      </c>
      <c r="Y3646" s="389">
        <f t="shared" ref="Y3646" si="11749">D3631</f>
        <v>1</v>
      </c>
      <c r="Z3646" s="400" t="s">
        <v>176</v>
      </c>
      <c r="AA3646" s="402">
        <f t="shared" si="11745"/>
        <v>6.3499500000000006</v>
      </c>
      <c r="AB3646" s="403"/>
    </row>
    <row r="3647" spans="1:28">
      <c r="A3647" s="384" t="str">
        <f t="shared" ref="A3647:B3647" si="11750">A3625</f>
        <v>Lantai 2</v>
      </c>
      <c r="B3647" s="385">
        <f t="shared" si="11750"/>
        <v>34</v>
      </c>
      <c r="C3647" s="393" t="s">
        <v>211</v>
      </c>
      <c r="D3647" s="398">
        <f>VLOOKUP(D3625,'Detail Balok'!$C$10:$AU$140,41,FALSE)</f>
        <v>0</v>
      </c>
      <c r="E3647" s="388" t="s">
        <v>16</v>
      </c>
      <c r="F3647" s="388">
        <f>VLOOKUP(D3625,'Detail Balok'!$C$10:$AU$140,43,FALSE)</f>
        <v>10</v>
      </c>
      <c r="G3647" s="405" t="s">
        <v>157</v>
      </c>
      <c r="H3647" s="395">
        <f>VLOOKUP(D3625,'Detail Balok'!$C$10:$AU$140,45,FALSE)</f>
        <v>100</v>
      </c>
      <c r="I3647" s="388"/>
      <c r="J3647" s="400">
        <f t="shared" ref="J3647" si="11751">(IF(D3647=0,(2*(D3626+G3626))-(F$5*8),IF(D3647=3,(2*(D3626+G3626))-(F$5*8)+(G3626-2*F$5),IF(D3647=4,(2*(D3626+G3626))-(F$5*8)+2*(G3626-2*F$5)))))/1000</f>
        <v>0.88</v>
      </c>
      <c r="K3647" s="400" t="s">
        <v>204</v>
      </c>
      <c r="L3647" s="399">
        <f t="shared" si="11740"/>
        <v>0.15</v>
      </c>
      <c r="M3647" s="399" t="s">
        <v>176</v>
      </c>
      <c r="N3647" s="399">
        <f t="shared" si="11741"/>
        <v>1.03</v>
      </c>
      <c r="O3647" s="399"/>
      <c r="P3647" s="389"/>
      <c r="Q3647" s="399"/>
      <c r="R3647" s="399"/>
      <c r="S3647" s="399"/>
      <c r="T3647" s="399" t="s">
        <v>125</v>
      </c>
      <c r="U3647" s="401">
        <f t="shared" si="11742"/>
        <v>0.61650000000000005</v>
      </c>
      <c r="V3647" s="399" t="s">
        <v>125</v>
      </c>
      <c r="W3647" s="399">
        <f t="shared" ref="W3647" si="11752">IF(D3628&gt;4*G3626,ROUND(MAX(D3628/4,2*G3626)/H3647,0)+1,0)</f>
        <v>11</v>
      </c>
      <c r="X3647" s="399" t="s">
        <v>125</v>
      </c>
      <c r="Y3647" s="389">
        <f t="shared" ref="Y3647" si="11753">D3631</f>
        <v>1</v>
      </c>
      <c r="Z3647" s="400" t="s">
        <v>176</v>
      </c>
      <c r="AA3647" s="402">
        <f t="shared" si="11745"/>
        <v>6.9849450000000006</v>
      </c>
      <c r="AB3647" s="403"/>
    </row>
    <row r="3648" spans="1:28">
      <c r="A3648" s="384"/>
      <c r="B3648" s="385"/>
      <c r="C3648" s="393"/>
      <c r="D3648" s="394"/>
      <c r="E3648" s="388"/>
      <c r="F3648" s="388"/>
      <c r="G3648" s="388"/>
      <c r="H3648" s="395"/>
      <c r="I3648" s="388"/>
      <c r="J3648" s="399"/>
      <c r="K3648" s="396"/>
      <c r="L3648" s="396"/>
      <c r="M3648" s="396"/>
      <c r="N3648" s="396"/>
      <c r="O3648" s="396"/>
      <c r="P3648" s="389"/>
      <c r="Q3648" s="396"/>
      <c r="R3648" s="396"/>
      <c r="S3648" s="396"/>
      <c r="T3648" s="396"/>
      <c r="U3648" s="401"/>
      <c r="V3648" s="396"/>
      <c r="W3648" s="388"/>
      <c r="X3648" s="396"/>
      <c r="Y3648" s="389"/>
      <c r="Z3648" s="396"/>
      <c r="AA3648" s="388"/>
      <c r="AB3648" s="390"/>
    </row>
    <row r="3649" spans="1:28">
      <c r="A3649" s="384" t="str">
        <f t="shared" ref="A3649:B3649" si="11754">A3625</f>
        <v>Lantai 2</v>
      </c>
      <c r="B3649" s="385">
        <f t="shared" si="11754"/>
        <v>34</v>
      </c>
      <c r="C3649" s="393" t="s">
        <v>213</v>
      </c>
      <c r="D3649" s="398">
        <f>VLOOKUP(D3625,'Detail Balok'!$C$10:$BJ$140,46,FALSE)</f>
        <v>0</v>
      </c>
      <c r="E3649" s="388" t="s">
        <v>16</v>
      </c>
      <c r="F3649" s="388">
        <f>VLOOKUP(D3625,'Detail Balok'!$C$10:$BJ$140,48,FALSE)</f>
        <v>0</v>
      </c>
      <c r="G3649" s="405" t="s">
        <v>157</v>
      </c>
      <c r="H3649" s="395">
        <f>VLOOKUP(D3625,'Detail Balok'!$C$10:$BJ$140,50,FALSE)</f>
        <v>100</v>
      </c>
      <c r="I3649" s="388"/>
      <c r="J3649" s="399">
        <f t="shared" ref="J3649" si="11755">(D3626-2*F$5)/1000</f>
        <v>0.12</v>
      </c>
      <c r="K3649" s="400" t="s">
        <v>204</v>
      </c>
      <c r="L3649" s="399">
        <f t="shared" ref="L3649:L3651" si="11756">IF(D3649=0,2*MAX(6*F3649,75),(D3649-1)*2*MAX(6*F3649,75))/1000</f>
        <v>0.15</v>
      </c>
      <c r="M3649" s="399" t="s">
        <v>176</v>
      </c>
      <c r="N3649" s="399">
        <f t="shared" ref="N3649:N3651" si="11757">J3649+L3649</f>
        <v>0.27</v>
      </c>
      <c r="O3649" s="399"/>
      <c r="P3649" s="399"/>
      <c r="Q3649" s="399"/>
      <c r="R3649" s="399"/>
      <c r="S3649" s="399"/>
      <c r="T3649" s="399" t="s">
        <v>125</v>
      </c>
      <c r="U3649" s="401">
        <f t="shared" ref="U3649:U3651" si="11758">0.006165*F3649^2</f>
        <v>0</v>
      </c>
      <c r="V3649" s="399" t="s">
        <v>125</v>
      </c>
      <c r="W3649" s="399">
        <f t="shared" si="11570"/>
        <v>11</v>
      </c>
      <c r="X3649" s="399" t="s">
        <v>125</v>
      </c>
      <c r="Y3649" s="389">
        <f t="shared" ref="Y3649" si="11759">D3635</f>
        <v>3</v>
      </c>
      <c r="Z3649" s="400" t="s">
        <v>176</v>
      </c>
      <c r="AA3649" s="402">
        <f t="shared" ref="AA3649:AA3651" si="11760">N3649*U3649*W3649*Y3649</f>
        <v>0</v>
      </c>
      <c r="AB3649" s="403"/>
    </row>
    <row r="3650" spans="1:28">
      <c r="A3650" s="384" t="str">
        <f t="shared" ref="A3650:B3650" si="11761">A3625</f>
        <v>Lantai 2</v>
      </c>
      <c r="B3650" s="385">
        <f t="shared" si="11761"/>
        <v>34</v>
      </c>
      <c r="C3650" s="393" t="s">
        <v>214</v>
      </c>
      <c r="D3650" s="398">
        <f>VLOOKUP(D3625,'Detail Balok'!$C$10:$BJ$140,51,FALSE)</f>
        <v>0</v>
      </c>
      <c r="E3650" s="388" t="s">
        <v>16</v>
      </c>
      <c r="F3650" s="388">
        <f>VLOOKUP(D3625,'Detail Balok'!$C$10:$BJ$140,53,FALSE)</f>
        <v>0</v>
      </c>
      <c r="G3650" s="405" t="s">
        <v>157</v>
      </c>
      <c r="H3650" s="395">
        <f>VLOOKUP(D3625,'Detail Balok'!$C$10:$BJ$140,55,FALSE)</f>
        <v>100</v>
      </c>
      <c r="I3650" s="388"/>
      <c r="J3650" s="399">
        <f t="shared" ref="J3650" si="11762">(D3626-2*F$5)/1000</f>
        <v>0.12</v>
      </c>
      <c r="K3650" s="400" t="s">
        <v>204</v>
      </c>
      <c r="L3650" s="399">
        <f t="shared" si="11756"/>
        <v>0.15</v>
      </c>
      <c r="M3650" s="399" t="s">
        <v>176</v>
      </c>
      <c r="N3650" s="399">
        <f t="shared" si="11757"/>
        <v>0.27</v>
      </c>
      <c r="O3650" s="399"/>
      <c r="P3650" s="399"/>
      <c r="Q3650" s="399"/>
      <c r="R3650" s="399"/>
      <c r="S3650" s="399"/>
      <c r="T3650" s="399" t="s">
        <v>125</v>
      </c>
      <c r="U3650" s="401">
        <f t="shared" si="11758"/>
        <v>0</v>
      </c>
      <c r="V3650" s="399" t="s">
        <v>125</v>
      </c>
      <c r="W3650" s="399">
        <f t="shared" si="11570"/>
        <v>10</v>
      </c>
      <c r="X3650" s="399" t="s">
        <v>125</v>
      </c>
      <c r="Y3650" s="389">
        <f t="shared" ref="Y3650" si="11763">D3635</f>
        <v>3</v>
      </c>
      <c r="Z3650" s="400" t="s">
        <v>176</v>
      </c>
      <c r="AA3650" s="402">
        <f t="shared" si="11760"/>
        <v>0</v>
      </c>
      <c r="AB3650" s="403"/>
    </row>
    <row r="3651" spans="1:28">
      <c r="A3651" s="384" t="str">
        <f t="shared" ref="A3651:B3651" si="11764">A3625</f>
        <v>Lantai 2</v>
      </c>
      <c r="B3651" s="385">
        <f t="shared" si="11764"/>
        <v>34</v>
      </c>
      <c r="C3651" s="393" t="s">
        <v>213</v>
      </c>
      <c r="D3651" s="398">
        <f>VLOOKUP(D3625,'Detail Balok'!$C$10:$BJ$140,56,FALSE)</f>
        <v>0</v>
      </c>
      <c r="E3651" s="388" t="s">
        <v>16</v>
      </c>
      <c r="F3651" s="388">
        <f>VLOOKUP(D3625,'Detail Balok'!$C$10:$BJ$140,58,FALSE)</f>
        <v>0</v>
      </c>
      <c r="G3651" s="405" t="s">
        <v>157</v>
      </c>
      <c r="H3651" s="395">
        <f>VLOOKUP(D3625,'Detail Balok'!$C$10:$BJ$140,60,FALSE)</f>
        <v>100</v>
      </c>
      <c r="I3651" s="388"/>
      <c r="J3651" s="399">
        <f t="shared" ref="J3651" si="11765">(D3626-2*F$5)/1000</f>
        <v>0.12</v>
      </c>
      <c r="K3651" s="400" t="s">
        <v>204</v>
      </c>
      <c r="L3651" s="399">
        <f t="shared" si="11756"/>
        <v>0.15</v>
      </c>
      <c r="M3651" s="399" t="s">
        <v>176</v>
      </c>
      <c r="N3651" s="399">
        <f t="shared" si="11757"/>
        <v>0.27</v>
      </c>
      <c r="O3651" s="399"/>
      <c r="P3651" s="399"/>
      <c r="Q3651" s="399"/>
      <c r="R3651" s="399"/>
      <c r="S3651" s="399"/>
      <c r="T3651" s="399" t="s">
        <v>125</v>
      </c>
      <c r="U3651" s="401">
        <f t="shared" si="11758"/>
        <v>0</v>
      </c>
      <c r="V3651" s="399" t="s">
        <v>125</v>
      </c>
      <c r="W3651" s="399">
        <f t="shared" si="11570"/>
        <v>11</v>
      </c>
      <c r="X3651" s="399" t="s">
        <v>125</v>
      </c>
      <c r="Y3651" s="389">
        <f t="shared" ref="Y3651" si="11766">D3635</f>
        <v>3</v>
      </c>
      <c r="Z3651" s="400" t="s">
        <v>176</v>
      </c>
      <c r="AA3651" s="402">
        <f t="shared" si="11760"/>
        <v>0</v>
      </c>
      <c r="AB3651" s="403"/>
    </row>
    <row r="3652" spans="1:28">
      <c r="A3652" s="391"/>
      <c r="B3652" s="392"/>
      <c r="C3652" s="392"/>
      <c r="D3652" s="394"/>
      <c r="E3652" s="388"/>
      <c r="F3652" s="388"/>
      <c r="G3652" s="388"/>
      <c r="H3652" s="395"/>
      <c r="I3652" s="388"/>
      <c r="J3652" s="402"/>
      <c r="K3652" s="388"/>
      <c r="L3652" s="388"/>
      <c r="M3652" s="388"/>
      <c r="N3652" s="388"/>
      <c r="O3652" s="388"/>
      <c r="P3652" s="388"/>
      <c r="Q3652" s="388"/>
      <c r="R3652" s="388"/>
      <c r="S3652" s="388"/>
      <c r="T3652" s="388"/>
      <c r="U3652" s="388"/>
      <c r="V3652" s="388"/>
      <c r="W3652" s="388"/>
      <c r="X3652" s="388"/>
      <c r="Y3652" s="389"/>
      <c r="Z3652" s="388"/>
      <c r="AA3652" s="402"/>
      <c r="AB3652" s="403"/>
    </row>
    <row r="3653" spans="1:28" ht="15.75" thickBot="1">
      <c r="A3653" s="406"/>
      <c r="B3653" s="407"/>
      <c r="C3653" s="407"/>
      <c r="D3653" s="408"/>
      <c r="E3653" s="409"/>
      <c r="F3653" s="409"/>
      <c r="G3653" s="409"/>
      <c r="H3653" s="410"/>
      <c r="I3653" s="409"/>
      <c r="J3653" s="409"/>
      <c r="K3653" s="409"/>
      <c r="L3653" s="409"/>
      <c r="M3653" s="409"/>
      <c r="N3653" s="409"/>
      <c r="O3653" s="409"/>
      <c r="P3653" s="409"/>
      <c r="Q3653" s="409"/>
      <c r="R3653" s="409"/>
      <c r="S3653" s="409"/>
      <c r="T3653" s="409"/>
      <c r="U3653" s="409"/>
      <c r="V3653" s="409"/>
      <c r="W3653" s="409"/>
      <c r="X3653" s="409"/>
      <c r="Y3653" s="411"/>
      <c r="Z3653" s="409"/>
      <c r="AA3653" s="412"/>
      <c r="AB3653" s="413"/>
    </row>
    <row r="3654" spans="1:28">
      <c r="A3654" s="377"/>
      <c r="B3654" s="378"/>
      <c r="C3654" s="378"/>
      <c r="D3654" s="379"/>
      <c r="E3654" s="380"/>
      <c r="F3654" s="380"/>
      <c r="G3654" s="380"/>
      <c r="H3654" s="381"/>
      <c r="I3654" s="380"/>
      <c r="J3654" s="380"/>
      <c r="K3654" s="380"/>
      <c r="L3654" s="380"/>
      <c r="M3654" s="380"/>
      <c r="N3654" s="380"/>
      <c r="O3654" s="380"/>
      <c r="P3654" s="380"/>
      <c r="Q3654" s="380"/>
      <c r="R3654" s="380"/>
      <c r="S3654" s="380"/>
      <c r="T3654" s="380"/>
      <c r="U3654" s="380"/>
      <c r="V3654" s="380"/>
      <c r="W3654" s="380"/>
      <c r="X3654" s="380"/>
      <c r="Y3654" s="382"/>
      <c r="Z3654" s="380"/>
      <c r="AA3654" s="380"/>
      <c r="AB3654" s="383"/>
    </row>
    <row r="3655" spans="1:28">
      <c r="A3655" s="384" t="str">
        <f t="shared" si="11579"/>
        <v>Lantai 2</v>
      </c>
      <c r="B3655" s="385">
        <f t="shared" si="11580"/>
        <v>35</v>
      </c>
      <c r="C3655" s="386" t="str">
        <f t="shared" ref="C3655" si="11767">CONCATENATE(A3655," no. ",B3655)</f>
        <v>Lantai 2 no. 35</v>
      </c>
      <c r="D3655" s="2562" t="str">
        <f>VLOOKUP(C3655,'Data Panjang Balok'!$C$9:$N$254,2,FALSE)</f>
        <v>B25-1</v>
      </c>
      <c r="E3655" s="2576"/>
      <c r="F3655" s="2576"/>
      <c r="G3655" s="2576"/>
      <c r="H3655" s="2577"/>
      <c r="I3655" s="387"/>
      <c r="J3655" s="388"/>
      <c r="K3655" s="388"/>
      <c r="L3655" s="388"/>
      <c r="M3655" s="388"/>
      <c r="N3655" s="388"/>
      <c r="O3655" s="388"/>
      <c r="P3655" s="388"/>
      <c r="Q3655" s="388"/>
      <c r="R3655" s="388"/>
      <c r="S3655" s="388"/>
      <c r="T3655" s="388"/>
      <c r="U3655" s="388"/>
      <c r="V3655" s="388"/>
      <c r="W3655" s="388"/>
      <c r="X3655" s="388"/>
      <c r="Y3655" s="389"/>
      <c r="Z3655" s="388"/>
      <c r="AA3655" s="388"/>
      <c r="AB3655" s="390"/>
    </row>
    <row r="3656" spans="1:28">
      <c r="A3656" s="391"/>
      <c r="B3656" s="392"/>
      <c r="C3656" s="393" t="s">
        <v>118</v>
      </c>
      <c r="D3656" s="2578">
        <f>VLOOKUP(D3655,'Detail Balok'!$C$10:$AU$140,2,FALSE)</f>
        <v>200</v>
      </c>
      <c r="E3656" s="2579"/>
      <c r="F3656" s="388" t="s">
        <v>125</v>
      </c>
      <c r="G3656" s="2579">
        <f>VLOOKUP(D3655,'Detail Balok'!$C$10:$AU$140,3,FALSE)</f>
        <v>500</v>
      </c>
      <c r="H3656" s="2580"/>
      <c r="I3656" s="388"/>
      <c r="J3656" s="396"/>
      <c r="K3656" s="396"/>
      <c r="L3656" s="396"/>
      <c r="M3656" s="396"/>
      <c r="N3656" s="396"/>
      <c r="O3656" s="396"/>
      <c r="P3656" s="396"/>
      <c r="Q3656" s="396"/>
      <c r="R3656" s="396"/>
      <c r="S3656" s="396"/>
      <c r="T3656" s="396"/>
      <c r="U3656" s="388"/>
      <c r="V3656" s="396"/>
      <c r="W3656" s="388"/>
      <c r="X3656" s="396"/>
      <c r="Y3656" s="389"/>
      <c r="Z3656" s="396"/>
      <c r="AA3656" s="388"/>
      <c r="AB3656" s="390"/>
    </row>
    <row r="3657" spans="1:28">
      <c r="A3657" s="391"/>
      <c r="B3657" s="392"/>
      <c r="C3657" s="393" t="s">
        <v>198</v>
      </c>
      <c r="D3657" s="2562">
        <f>VLOOKUP(C3655,'Data Panjang Balok'!$C$9:$N$254,4,FALSE)</f>
        <v>4075</v>
      </c>
      <c r="E3657" s="2563"/>
      <c r="F3657" s="2563"/>
      <c r="G3657" s="2563"/>
      <c r="H3657" s="2564"/>
      <c r="I3657" s="397"/>
      <c r="J3657" s="396"/>
      <c r="K3657" s="396"/>
      <c r="L3657" s="396"/>
      <c r="M3657" s="396"/>
      <c r="N3657" s="396"/>
      <c r="O3657" s="396"/>
      <c r="P3657" s="396"/>
      <c r="Q3657" s="396"/>
      <c r="R3657" s="396"/>
      <c r="S3657" s="396"/>
      <c r="T3657" s="396"/>
      <c r="U3657" s="388"/>
      <c r="V3657" s="396"/>
      <c r="W3657" s="388"/>
      <c r="X3657" s="396"/>
      <c r="Y3657" s="389"/>
      <c r="Z3657" s="396"/>
      <c r="AA3657" s="388"/>
      <c r="AB3657" s="390"/>
    </row>
    <row r="3658" spans="1:28">
      <c r="A3658" s="391"/>
      <c r="B3658" s="392"/>
      <c r="C3658" s="393" t="s">
        <v>199</v>
      </c>
      <c r="D3658" s="2562">
        <f>VLOOKUP(C3655,'Data Panjang Balok'!$C$9:$N$254,7,FALSE)</f>
        <v>4075</v>
      </c>
      <c r="E3658" s="2563"/>
      <c r="F3658" s="2563"/>
      <c r="G3658" s="2563"/>
      <c r="H3658" s="2564"/>
      <c r="I3658" s="397"/>
      <c r="J3658" s="396"/>
      <c r="K3658" s="396"/>
      <c r="L3658" s="396"/>
      <c r="M3658" s="396"/>
      <c r="N3658" s="396"/>
      <c r="O3658" s="396"/>
      <c r="P3658" s="396"/>
      <c r="Q3658" s="396"/>
      <c r="R3658" s="396"/>
      <c r="S3658" s="396"/>
      <c r="T3658" s="396"/>
      <c r="U3658" s="388"/>
      <c r="V3658" s="396"/>
      <c r="W3658" s="388"/>
      <c r="X3658" s="396"/>
      <c r="Y3658" s="389"/>
      <c r="Z3658" s="396"/>
      <c r="AA3658" s="388"/>
      <c r="AB3658" s="390"/>
    </row>
    <row r="3659" spans="1:28">
      <c r="A3659" s="391"/>
      <c r="B3659" s="392"/>
      <c r="C3659" s="393" t="s">
        <v>200</v>
      </c>
      <c r="D3659" s="2562">
        <f>VLOOKUP(C3655,'Data Panjang Balok'!$C$9:$N$254,9,FALSE)</f>
        <v>0</v>
      </c>
      <c r="E3659" s="2563"/>
      <c r="F3659" s="2563"/>
      <c r="G3659" s="2563"/>
      <c r="H3659" s="2564"/>
      <c r="I3659" s="397"/>
      <c r="J3659" s="396"/>
      <c r="K3659" s="396"/>
      <c r="L3659" s="396"/>
      <c r="M3659" s="396"/>
      <c r="N3659" s="396"/>
      <c r="O3659" s="396"/>
      <c r="P3659" s="396"/>
      <c r="Q3659" s="396"/>
      <c r="R3659" s="396"/>
      <c r="S3659" s="396"/>
      <c r="T3659" s="396"/>
      <c r="U3659" s="388"/>
      <c r="V3659" s="396"/>
      <c r="W3659" s="388"/>
      <c r="X3659" s="396"/>
      <c r="Y3659" s="389"/>
      <c r="Z3659" s="396"/>
      <c r="AA3659" s="388"/>
      <c r="AB3659" s="390"/>
    </row>
    <row r="3660" spans="1:28">
      <c r="A3660" s="391"/>
      <c r="B3660" s="392"/>
      <c r="C3660" s="393" t="s">
        <v>201</v>
      </c>
      <c r="D3660" s="2562">
        <f>VLOOKUP(C3655,'Data Panjang Balok'!$C$9:$N$254,10,FALSE)</f>
        <v>0</v>
      </c>
      <c r="E3660" s="2563"/>
      <c r="F3660" s="2563"/>
      <c r="G3660" s="2563"/>
      <c r="H3660" s="2564"/>
      <c r="I3660" s="397"/>
      <c r="J3660" s="396"/>
      <c r="K3660" s="396"/>
      <c r="L3660" s="396"/>
      <c r="M3660" s="396"/>
      <c r="N3660" s="396"/>
      <c r="O3660" s="396"/>
      <c r="P3660" s="396"/>
      <c r="Q3660" s="396"/>
      <c r="R3660" s="396"/>
      <c r="S3660" s="396"/>
      <c r="T3660" s="396"/>
      <c r="U3660" s="388"/>
      <c r="V3660" s="396"/>
      <c r="W3660" s="388"/>
      <c r="X3660" s="396"/>
      <c r="Y3660" s="389"/>
      <c r="Z3660" s="396"/>
      <c r="AA3660" s="388"/>
      <c r="AB3660" s="390"/>
    </row>
    <row r="3661" spans="1:28">
      <c r="A3661" s="391"/>
      <c r="B3661" s="392"/>
      <c r="C3661" s="393" t="s">
        <v>48</v>
      </c>
      <c r="D3661" s="2562">
        <f>VLOOKUP(C3655,'Data Panjang Balok'!$C$9:$N$254,3,FALSE)</f>
        <v>1</v>
      </c>
      <c r="E3661" s="2563"/>
      <c r="F3661" s="2563"/>
      <c r="G3661" s="2563"/>
      <c r="H3661" s="2564"/>
      <c r="I3661" s="397"/>
      <c r="J3661" s="396"/>
      <c r="K3661" s="396"/>
      <c r="L3661" s="396"/>
      <c r="M3661" s="396"/>
      <c r="N3661" s="396"/>
      <c r="O3661" s="396"/>
      <c r="P3661" s="396"/>
      <c r="Q3661" s="396"/>
      <c r="R3661" s="396"/>
      <c r="S3661" s="396"/>
      <c r="T3661" s="396"/>
      <c r="U3661" s="388"/>
      <c r="V3661" s="396"/>
      <c r="W3661" s="388"/>
      <c r="X3661" s="396"/>
      <c r="Y3661" s="389"/>
      <c r="Z3661" s="396"/>
      <c r="AA3661" s="388"/>
      <c r="AB3661" s="390"/>
    </row>
    <row r="3662" spans="1:28">
      <c r="A3662" s="384" t="str">
        <f t="shared" ref="A3662:B3662" si="11768">A3655</f>
        <v>Lantai 2</v>
      </c>
      <c r="B3662" s="385">
        <f t="shared" si="11768"/>
        <v>35</v>
      </c>
      <c r="C3662" s="393" t="s">
        <v>202</v>
      </c>
      <c r="D3662" s="398">
        <f>VLOOKUP(D3655,'Detail Balok'!$C$10:$AU$140,4,FALSE)</f>
        <v>4</v>
      </c>
      <c r="E3662" s="388" t="s">
        <v>16</v>
      </c>
      <c r="F3662" s="388">
        <f>VLOOKUP(D3655,'Detail Balok'!$C$10:$AU$140,6,FALSE)</f>
        <v>16</v>
      </c>
      <c r="G3662" s="388"/>
      <c r="H3662" s="395"/>
      <c r="I3662" s="388" t="s">
        <v>203</v>
      </c>
      <c r="J3662" s="399">
        <f t="shared" ref="J3662" si="11769">+D3657/4/1000</f>
        <v>1.01875</v>
      </c>
      <c r="K3662" s="400" t="s">
        <v>204</v>
      </c>
      <c r="L3662" s="399">
        <f t="shared" ref="L3662" si="11770">MAX(VLOOKUP(F3662,N$6:P$15,3,FALSE)/1000,2/3*D3659/1000)+F$16*F3662/1000</f>
        <v>0.192</v>
      </c>
      <c r="M3662" s="399" t="s">
        <v>176</v>
      </c>
      <c r="N3662" s="399">
        <f t="shared" ref="N3662:N3664" si="11771">J3662+L3662</f>
        <v>1.21075</v>
      </c>
      <c r="O3662" s="399" t="s">
        <v>204</v>
      </c>
      <c r="P3662" s="389">
        <f t="shared" ref="P3662" si="11772">D3662-D3663</f>
        <v>0</v>
      </c>
      <c r="Q3662" s="399" t="s">
        <v>125</v>
      </c>
      <c r="R3662" s="399">
        <f t="shared" ref="R3662" si="11773">IF(P3662&gt;0,$F$18*F3662/1000,0)</f>
        <v>0</v>
      </c>
      <c r="S3662" s="399" t="s">
        <v>205</v>
      </c>
      <c r="T3662" s="399" t="s">
        <v>125</v>
      </c>
      <c r="U3662" s="401">
        <f t="shared" ref="U3662:U3664" si="11774">0.006165*F3662^2</f>
        <v>1.5782400000000001</v>
      </c>
      <c r="V3662" s="399"/>
      <c r="W3662" s="399"/>
      <c r="X3662" s="399" t="s">
        <v>125</v>
      </c>
      <c r="Y3662" s="389">
        <f t="shared" ref="Y3662" si="11775">D3661</f>
        <v>1</v>
      </c>
      <c r="Z3662" s="400" t="s">
        <v>176</v>
      </c>
      <c r="AA3662" s="402">
        <f t="shared" ref="AA3662" si="11776">IF(AA3665=0,(D3662*N3662+P3662*R3662)*U3662*Y3662,0)</f>
        <v>0</v>
      </c>
      <c r="AB3662" s="403"/>
    </row>
    <row r="3663" spans="1:28">
      <c r="A3663" s="384" t="str">
        <f t="shared" ref="A3663:B3663" si="11777">A3655</f>
        <v>Lantai 2</v>
      </c>
      <c r="B3663" s="385">
        <f t="shared" si="11777"/>
        <v>35</v>
      </c>
      <c r="C3663" s="393" t="s">
        <v>206</v>
      </c>
      <c r="D3663" s="398">
        <f>VLOOKUP(D3655,'Detail Balok'!$C$10:$AU$140,7,FALSE)</f>
        <v>4</v>
      </c>
      <c r="E3663" s="388" t="s">
        <v>16</v>
      </c>
      <c r="F3663" s="388">
        <f>VLOOKUP(D3655,'Detail Balok'!$C$10:$AU$140,9,FALSE)</f>
        <v>16</v>
      </c>
      <c r="G3663" s="388"/>
      <c r="H3663" s="395"/>
      <c r="I3663" s="388" t="s">
        <v>203</v>
      </c>
      <c r="J3663" s="399">
        <f t="shared" ref="J3663" si="11778">+D3657/2/1000</f>
        <v>2.0375000000000001</v>
      </c>
      <c r="K3663" s="400" t="s">
        <v>204</v>
      </c>
      <c r="L3663" s="399"/>
      <c r="M3663" s="399" t="s">
        <v>176</v>
      </c>
      <c r="N3663" s="399">
        <f t="shared" si="11771"/>
        <v>2.0375000000000001</v>
      </c>
      <c r="O3663" s="399" t="s">
        <v>204</v>
      </c>
      <c r="P3663" s="389">
        <f t="shared" ref="P3663" si="11779">MAX(D3663-D3662,D3663-D3664)</f>
        <v>0</v>
      </c>
      <c r="Q3663" s="399" t="s">
        <v>125</v>
      </c>
      <c r="R3663" s="399">
        <f t="shared" ref="R3663" si="11780">IF(P3663&gt;0,2*(1-2*$F$19-1/2)*D3658/1000,0)</f>
        <v>0</v>
      </c>
      <c r="S3663" s="399" t="s">
        <v>205</v>
      </c>
      <c r="T3663" s="399" t="s">
        <v>125</v>
      </c>
      <c r="U3663" s="401">
        <f t="shared" si="11774"/>
        <v>1.5782400000000001</v>
      </c>
      <c r="V3663" s="399"/>
      <c r="W3663" s="399"/>
      <c r="X3663" s="399" t="s">
        <v>125</v>
      </c>
      <c r="Y3663" s="389">
        <f t="shared" ref="Y3663" si="11781">D3661</f>
        <v>1</v>
      </c>
      <c r="Z3663" s="400" t="s">
        <v>176</v>
      </c>
      <c r="AA3663" s="402">
        <f t="shared" ref="AA3663" si="11782">IF(AA3665=0,(D3663*N3663+P3663*R3663)*U3663*Y3663,0)</f>
        <v>0</v>
      </c>
      <c r="AB3663" s="403"/>
    </row>
    <row r="3664" spans="1:28">
      <c r="A3664" s="384" t="str">
        <f t="shared" ref="A3664:B3664" si="11783">A3655</f>
        <v>Lantai 2</v>
      </c>
      <c r="B3664" s="385">
        <f t="shared" si="11783"/>
        <v>35</v>
      </c>
      <c r="C3664" s="393" t="s">
        <v>202</v>
      </c>
      <c r="D3664" s="398">
        <f>VLOOKUP(D3655,'Detail Balok'!$C$10:$AU$140,10,FALSE)</f>
        <v>4</v>
      </c>
      <c r="E3664" s="388" t="s">
        <v>16</v>
      </c>
      <c r="F3664" s="388">
        <f>VLOOKUP(D3655,'Detail Balok'!$C$10:$AU$140,12,FALSE)</f>
        <v>16</v>
      </c>
      <c r="G3664" s="388"/>
      <c r="H3664" s="395"/>
      <c r="I3664" s="388" t="s">
        <v>203</v>
      </c>
      <c r="J3664" s="399">
        <f t="shared" ref="J3664" si="11784">+D3657/4/1000</f>
        <v>1.01875</v>
      </c>
      <c r="K3664" s="400" t="s">
        <v>204</v>
      </c>
      <c r="L3664" s="399">
        <f t="shared" ref="L3664" si="11785">MAX(VLOOKUP(F3664,N$6:P$15,3,FALSE)/1000,2/3*D3659/1000)+F$16*F3664/1000</f>
        <v>0.192</v>
      </c>
      <c r="M3664" s="399" t="s">
        <v>176</v>
      </c>
      <c r="N3664" s="399">
        <f t="shared" si="11771"/>
        <v>1.21075</v>
      </c>
      <c r="O3664" s="399" t="s">
        <v>204</v>
      </c>
      <c r="P3664" s="389">
        <f t="shared" ref="P3664" si="11786">D3664-D3663</f>
        <v>0</v>
      </c>
      <c r="Q3664" s="399" t="s">
        <v>125</v>
      </c>
      <c r="R3664" s="399">
        <f t="shared" ref="R3664" si="11787">IF(P3664&gt;0,$F$18*F3664/1000,0)</f>
        <v>0</v>
      </c>
      <c r="S3664" s="399" t="s">
        <v>205</v>
      </c>
      <c r="T3664" s="399" t="s">
        <v>125</v>
      </c>
      <c r="U3664" s="401">
        <f t="shared" si="11774"/>
        <v>1.5782400000000001</v>
      </c>
      <c r="V3664" s="399"/>
      <c r="W3664" s="399"/>
      <c r="X3664" s="399" t="s">
        <v>125</v>
      </c>
      <c r="Y3664" s="389">
        <f t="shared" ref="Y3664" si="11788">D3661</f>
        <v>1</v>
      </c>
      <c r="Z3664" s="400" t="s">
        <v>176</v>
      </c>
      <c r="AA3664" s="402">
        <f t="shared" ref="AA3664" si="11789">IF(AA3665=0,(D3664*N3664+P3664*R3664)*U3664*Y3664,0)</f>
        <v>0</v>
      </c>
      <c r="AB3664" s="403"/>
    </row>
    <row r="3665" spans="1:28">
      <c r="A3665" s="384" t="str">
        <f t="shared" ref="A3665:B3665" si="11790">A3655</f>
        <v>Lantai 2</v>
      </c>
      <c r="B3665" s="385">
        <f t="shared" si="11790"/>
        <v>35</v>
      </c>
      <c r="C3665" s="393"/>
      <c r="D3665" s="398">
        <f t="shared" ref="D3665:D3725" si="11791">IF(AND(D3662=D3663,D3663=D3664,D3662=D3664),D3662,0)</f>
        <v>4</v>
      </c>
      <c r="E3665" s="388" t="s">
        <v>16</v>
      </c>
      <c r="F3665" s="388">
        <f t="shared" ref="F3665:F3725" si="11792">IF(AND(F3662=F3663,F3662=F3664,F3663=F3664),F3662,0)</f>
        <v>16</v>
      </c>
      <c r="G3665" s="388"/>
      <c r="H3665" s="395"/>
      <c r="I3665" s="388"/>
      <c r="J3665" s="396"/>
      <c r="K3665" s="396"/>
      <c r="L3665" s="404" t="s">
        <v>207</v>
      </c>
      <c r="M3665" s="399" t="s">
        <v>176</v>
      </c>
      <c r="N3665" s="399">
        <f t="shared" ref="N3665" si="11793">IF(AND(D3662=D3663,D3662=D3664,D3663=D3664,F3662=F3663,F3662=F3664,F3663=F3664),SUM(N3662:N3664),0)</f>
        <v>4.4589999999999996</v>
      </c>
      <c r="O3665" s="399" t="s">
        <v>204</v>
      </c>
      <c r="P3665" s="389">
        <f t="shared" ref="P3665" si="11794">IF(N3665&gt;12,ROUNDDOWN(N3665/12,0),0)</f>
        <v>0</v>
      </c>
      <c r="Q3665" s="399" t="s">
        <v>125</v>
      </c>
      <c r="R3665" s="399">
        <f t="shared" ref="R3665" si="11795">IF(P3665&gt;0,MAX(VLOOKUP(F3665,$D$6:$G$15,3,FALSE),600),0)/1000</f>
        <v>0</v>
      </c>
      <c r="S3665" s="396"/>
      <c r="T3665" s="396" t="s">
        <v>125</v>
      </c>
      <c r="U3665" s="401">
        <f t="shared" ref="U3665:U3725" si="11796">U3664</f>
        <v>1.5782400000000001</v>
      </c>
      <c r="V3665" s="396" t="s">
        <v>125</v>
      </c>
      <c r="W3665" s="399">
        <f t="shared" ref="W3665" si="11797">D3665</f>
        <v>4</v>
      </c>
      <c r="X3665" s="399" t="s">
        <v>125</v>
      </c>
      <c r="Y3665" s="389">
        <f t="shared" ref="Y3665:Y3725" si="11798">Y3664</f>
        <v>1</v>
      </c>
      <c r="Z3665" s="400" t="s">
        <v>176</v>
      </c>
      <c r="AA3665" s="402">
        <f t="shared" ref="AA3665" si="11799">(N3665+P3665*R3665/1000)*U3665*W3665*Y3665</f>
        <v>28.149488639999998</v>
      </c>
      <c r="AB3665" s="390"/>
    </row>
    <row r="3666" spans="1:28">
      <c r="A3666" s="384"/>
      <c r="B3666" s="385"/>
      <c r="C3666" s="393"/>
      <c r="D3666" s="398"/>
      <c r="E3666" s="388"/>
      <c r="F3666" s="388"/>
      <c r="G3666" s="388"/>
      <c r="H3666" s="395"/>
      <c r="I3666" s="388"/>
      <c r="J3666" s="396"/>
      <c r="K3666" s="396"/>
      <c r="L3666" s="404"/>
      <c r="M3666" s="399"/>
      <c r="N3666" s="399"/>
      <c r="O3666" s="396"/>
      <c r="P3666" s="389"/>
      <c r="Q3666" s="396"/>
      <c r="R3666" s="396"/>
      <c r="S3666" s="396"/>
      <c r="T3666" s="396"/>
      <c r="U3666" s="401"/>
      <c r="V3666" s="396"/>
      <c r="W3666" s="399"/>
      <c r="X3666" s="396"/>
      <c r="Y3666" s="389"/>
      <c r="Z3666" s="396"/>
      <c r="AA3666" s="388"/>
      <c r="AB3666" s="390"/>
    </row>
    <row r="3667" spans="1:28">
      <c r="A3667" s="384" t="str">
        <f t="shared" ref="A3667:B3667" si="11800">A3655</f>
        <v>Lantai 2</v>
      </c>
      <c r="B3667" s="385">
        <f t="shared" si="11800"/>
        <v>35</v>
      </c>
      <c r="C3667" s="393" t="s">
        <v>208</v>
      </c>
      <c r="D3667" s="398">
        <f>VLOOKUP(D3655,'Detail Balok'!$C$10:$AU$140,13,FALSE)</f>
        <v>2</v>
      </c>
      <c r="E3667" s="388" t="s">
        <v>16</v>
      </c>
      <c r="F3667" s="388">
        <f>VLOOKUP(D3655,'Detail Balok'!$C$10:$AU$140,15,FALSE)</f>
        <v>10</v>
      </c>
      <c r="G3667" s="388"/>
      <c r="H3667" s="395"/>
      <c r="I3667" s="388"/>
      <c r="J3667" s="399">
        <f t="shared" ref="J3667" si="11801">+D3657/1000</f>
        <v>4.0750000000000002</v>
      </c>
      <c r="K3667" s="400" t="s">
        <v>204</v>
      </c>
      <c r="L3667" s="399">
        <f t="shared" ref="L3667" si="11802">2*$F$16*F3667/1000</f>
        <v>0.24</v>
      </c>
      <c r="M3667" s="399" t="s">
        <v>176</v>
      </c>
      <c r="N3667" s="399">
        <f t="shared" ref="N3667" si="11803">J3667+L3667</f>
        <v>4.3150000000000004</v>
      </c>
      <c r="O3667" s="399" t="s">
        <v>204</v>
      </c>
      <c r="P3667" s="389">
        <f t="shared" ref="P3667" si="11804">IF(N3667&gt;12,ROUNDDOWN(N3667/12,0),0)</f>
        <v>0</v>
      </c>
      <c r="Q3667" s="399" t="s">
        <v>125</v>
      </c>
      <c r="R3667" s="399">
        <f t="shared" ref="R3667" si="11805">IF(P3667&gt;0,MAX(VLOOKUP(F3667,$D$6:$G$15,3,FALSE),600),0)/1000</f>
        <v>0</v>
      </c>
      <c r="S3667" s="399"/>
      <c r="T3667" s="399" t="s">
        <v>125</v>
      </c>
      <c r="U3667" s="401">
        <f t="shared" ref="U3667" si="11806">0.006165*F3667^2</f>
        <v>0.61650000000000005</v>
      </c>
      <c r="V3667" s="399" t="s">
        <v>125</v>
      </c>
      <c r="W3667" s="399">
        <f t="shared" ref="W3667" si="11807">+D3667</f>
        <v>2</v>
      </c>
      <c r="X3667" s="399" t="s">
        <v>125</v>
      </c>
      <c r="Y3667" s="389">
        <f t="shared" ref="Y3667" si="11808">D3661</f>
        <v>1</v>
      </c>
      <c r="Z3667" s="400" t="s">
        <v>176</v>
      </c>
      <c r="AA3667" s="402">
        <f t="shared" ref="AA3667" si="11809">(N3667+P3667*R3667/1000)*U3667*W3667*Y3667</f>
        <v>5.3203950000000013</v>
      </c>
      <c r="AB3667" s="403"/>
    </row>
    <row r="3668" spans="1:28">
      <c r="A3668" s="384"/>
      <c r="B3668" s="385"/>
      <c r="C3668" s="393"/>
      <c r="D3668" s="398"/>
      <c r="E3668" s="388"/>
      <c r="F3668" s="388"/>
      <c r="G3668" s="388"/>
      <c r="H3668" s="395"/>
      <c r="I3668" s="388"/>
      <c r="J3668" s="399"/>
      <c r="K3668" s="400"/>
      <c r="L3668" s="399"/>
      <c r="M3668" s="399"/>
      <c r="N3668" s="399"/>
      <c r="O3668" s="399"/>
      <c r="P3668" s="389"/>
      <c r="Q3668" s="399"/>
      <c r="R3668" s="399"/>
      <c r="S3668" s="399"/>
      <c r="T3668" s="399"/>
      <c r="U3668" s="401"/>
      <c r="V3668" s="399"/>
      <c r="W3668" s="399"/>
      <c r="X3668" s="399"/>
      <c r="Y3668" s="389"/>
      <c r="Z3668" s="400"/>
      <c r="AA3668" s="402"/>
      <c r="AB3668" s="403"/>
    </row>
    <row r="3669" spans="1:28">
      <c r="A3669" s="384"/>
      <c r="B3669" s="385"/>
      <c r="C3669" s="393"/>
      <c r="D3669" s="398"/>
      <c r="E3669" s="388"/>
      <c r="F3669" s="388"/>
      <c r="G3669" s="388"/>
      <c r="H3669" s="395"/>
      <c r="I3669" s="388"/>
      <c r="J3669" s="396"/>
      <c r="K3669" s="396"/>
      <c r="L3669" s="396"/>
      <c r="M3669" s="396"/>
      <c r="N3669" s="396"/>
      <c r="O3669" s="396"/>
      <c r="P3669" s="389"/>
      <c r="Q3669" s="396"/>
      <c r="R3669" s="396"/>
      <c r="S3669" s="396"/>
      <c r="T3669" s="396"/>
      <c r="U3669" s="401"/>
      <c r="V3669" s="396"/>
      <c r="W3669" s="399"/>
      <c r="X3669" s="396"/>
      <c r="Y3669" s="389"/>
      <c r="Z3669" s="396"/>
      <c r="AA3669" s="388"/>
      <c r="AB3669" s="390"/>
    </row>
    <row r="3670" spans="1:28">
      <c r="A3670" s="384" t="str">
        <f t="shared" ref="A3670:B3670" si="11810">A3655</f>
        <v>Lantai 2</v>
      </c>
      <c r="B3670" s="385">
        <f t="shared" si="11810"/>
        <v>35</v>
      </c>
      <c r="C3670" s="393" t="s">
        <v>209</v>
      </c>
      <c r="D3670" s="398">
        <f>VLOOKUP(D3655,'Detail Balok'!$C$10:$AU$140,22,FALSE)</f>
        <v>4</v>
      </c>
      <c r="E3670" s="388" t="s">
        <v>16</v>
      </c>
      <c r="F3670" s="388">
        <f>VLOOKUP(D3655,'Detail Balok'!$C$10:$AU$140,24,FALSE)</f>
        <v>16</v>
      </c>
      <c r="G3670" s="388"/>
      <c r="H3670" s="395"/>
      <c r="I3670" s="388" t="s">
        <v>203</v>
      </c>
      <c r="J3670" s="399">
        <f t="shared" ref="J3670:J3732" si="11811">+J3662</f>
        <v>1.01875</v>
      </c>
      <c r="K3670" s="400" t="s">
        <v>204</v>
      </c>
      <c r="L3670" s="399">
        <f t="shared" ref="L3670" si="11812">MAX(VLOOKUP(F3670,N$6:P$15,3,FALSE)/1000,2/3*D3660/1000)+F$16*F3670/1000</f>
        <v>0.192</v>
      </c>
      <c r="M3670" s="399" t="s">
        <v>176</v>
      </c>
      <c r="N3670" s="399">
        <f t="shared" ref="N3670:N3672" si="11813">J3670+L3670</f>
        <v>1.21075</v>
      </c>
      <c r="O3670" s="399" t="s">
        <v>204</v>
      </c>
      <c r="P3670" s="389">
        <f t="shared" ref="P3670" si="11814">D3670-D3671</f>
        <v>0</v>
      </c>
      <c r="Q3670" s="399" t="s">
        <v>125</v>
      </c>
      <c r="R3670" s="399">
        <f t="shared" ref="R3670" si="11815">IF(P3670&gt;0,$F$18*F3670/1000,0)</f>
        <v>0</v>
      </c>
      <c r="S3670" s="399" t="s">
        <v>205</v>
      </c>
      <c r="T3670" s="399" t="s">
        <v>125</v>
      </c>
      <c r="U3670" s="401">
        <f t="shared" ref="U3670:U3672" si="11816">0.006165*F3670^2</f>
        <v>1.5782400000000001</v>
      </c>
      <c r="V3670" s="399"/>
      <c r="W3670" s="399"/>
      <c r="X3670" s="399" t="s">
        <v>125</v>
      </c>
      <c r="Y3670" s="389">
        <f t="shared" ref="Y3670" si="11817">D3661</f>
        <v>1</v>
      </c>
      <c r="Z3670" s="400" t="s">
        <v>176</v>
      </c>
      <c r="AA3670" s="402">
        <f t="shared" ref="AA3670" si="11818">IF(AA3673=0,(D3670*N3670+P3670*R3670)*U3670*Y3670,0)</f>
        <v>0</v>
      </c>
      <c r="AB3670" s="403"/>
    </row>
    <row r="3671" spans="1:28">
      <c r="A3671" s="384" t="str">
        <f t="shared" ref="A3671:B3671" si="11819">A3655</f>
        <v>Lantai 2</v>
      </c>
      <c r="B3671" s="385">
        <f t="shared" si="11819"/>
        <v>35</v>
      </c>
      <c r="C3671" s="393" t="s">
        <v>210</v>
      </c>
      <c r="D3671" s="398">
        <f>VLOOKUP(D3655,'Detail Balok'!$C$10:$AU$140,25,FALSE)</f>
        <v>4</v>
      </c>
      <c r="E3671" s="388" t="s">
        <v>16</v>
      </c>
      <c r="F3671" s="388">
        <f>VLOOKUP(D3655,'Detail Balok'!$C$10:$AU$140,27,FALSE)</f>
        <v>16</v>
      </c>
      <c r="G3671" s="388"/>
      <c r="H3671" s="395"/>
      <c r="I3671" s="388" t="s">
        <v>203</v>
      </c>
      <c r="J3671" s="399">
        <f t="shared" si="11811"/>
        <v>2.0375000000000001</v>
      </c>
      <c r="K3671" s="400" t="s">
        <v>204</v>
      </c>
      <c r="L3671" s="399"/>
      <c r="M3671" s="399" t="s">
        <v>176</v>
      </c>
      <c r="N3671" s="399">
        <f t="shared" si="11813"/>
        <v>2.0375000000000001</v>
      </c>
      <c r="O3671" s="399" t="s">
        <v>204</v>
      </c>
      <c r="P3671" s="389">
        <f t="shared" ref="P3671" si="11820">MAX(D3671-D3670,D3671-D3672)</f>
        <v>0</v>
      </c>
      <c r="Q3671" s="399" t="s">
        <v>125</v>
      </c>
      <c r="R3671" s="399">
        <f t="shared" ref="R3671" si="11821">IF(P3671&gt;0,2*(1-2*$F$19-1/2)*D3658/1000,0)</f>
        <v>0</v>
      </c>
      <c r="S3671" s="399" t="s">
        <v>205</v>
      </c>
      <c r="T3671" s="399" t="s">
        <v>125</v>
      </c>
      <c r="U3671" s="401">
        <f t="shared" si="11816"/>
        <v>1.5782400000000001</v>
      </c>
      <c r="V3671" s="399"/>
      <c r="W3671" s="399"/>
      <c r="X3671" s="399" t="s">
        <v>125</v>
      </c>
      <c r="Y3671" s="389">
        <f t="shared" ref="Y3671" si="11822">D3661</f>
        <v>1</v>
      </c>
      <c r="Z3671" s="400" t="s">
        <v>176</v>
      </c>
      <c r="AA3671" s="402">
        <f t="shared" ref="AA3671" si="11823">IF(AA3673=0,(D3671*N3671+P3671*R3671)*U3671*Y3671,0)</f>
        <v>0</v>
      </c>
      <c r="AB3671" s="403"/>
    </row>
    <row r="3672" spans="1:28">
      <c r="A3672" s="384" t="str">
        <f t="shared" ref="A3672:B3672" si="11824">A3655</f>
        <v>Lantai 2</v>
      </c>
      <c r="B3672" s="385">
        <f t="shared" si="11824"/>
        <v>35</v>
      </c>
      <c r="C3672" s="393" t="s">
        <v>209</v>
      </c>
      <c r="D3672" s="398">
        <f>VLOOKUP(D3655,'Detail Balok'!$C$10:$AU$140,28,FALSE)</f>
        <v>4</v>
      </c>
      <c r="E3672" s="388" t="s">
        <v>16</v>
      </c>
      <c r="F3672" s="388">
        <f>VLOOKUP(D3655,'Detail Balok'!$C$10:$AU$140,30,FALSE)</f>
        <v>16</v>
      </c>
      <c r="G3672" s="388"/>
      <c r="H3672" s="395"/>
      <c r="I3672" s="388" t="s">
        <v>203</v>
      </c>
      <c r="J3672" s="399">
        <f t="shared" si="11811"/>
        <v>1.01875</v>
      </c>
      <c r="K3672" s="400" t="s">
        <v>204</v>
      </c>
      <c r="L3672" s="399">
        <f t="shared" ref="L3672" si="11825">MAX(VLOOKUP(F3672,N$6:P$15,3,FALSE)/1000,2/3*D3660/1000)+F$16*F3672/1000</f>
        <v>0.192</v>
      </c>
      <c r="M3672" s="399" t="s">
        <v>176</v>
      </c>
      <c r="N3672" s="399">
        <f t="shared" si="11813"/>
        <v>1.21075</v>
      </c>
      <c r="O3672" s="399" t="s">
        <v>204</v>
      </c>
      <c r="P3672" s="389">
        <f t="shared" ref="P3672" si="11826">D3672-D3671</f>
        <v>0</v>
      </c>
      <c r="Q3672" s="399" t="s">
        <v>125</v>
      </c>
      <c r="R3672" s="399">
        <f t="shared" ref="R3672" si="11827">IF(P3672&gt;0,$F$18*F3672/1000,0)</f>
        <v>0</v>
      </c>
      <c r="S3672" s="399" t="s">
        <v>205</v>
      </c>
      <c r="T3672" s="399" t="s">
        <v>125</v>
      </c>
      <c r="U3672" s="401">
        <f t="shared" si="11816"/>
        <v>1.5782400000000001</v>
      </c>
      <c r="V3672" s="399"/>
      <c r="W3672" s="399"/>
      <c r="X3672" s="399" t="s">
        <v>125</v>
      </c>
      <c r="Y3672" s="389">
        <f t="shared" ref="Y3672" si="11828">D3661</f>
        <v>1</v>
      </c>
      <c r="Z3672" s="400" t="s">
        <v>176</v>
      </c>
      <c r="AA3672" s="402">
        <f t="shared" ref="AA3672" si="11829">IF(AA3673=0,(D3672*N3672+P3672*R3672)*U3672*Y3672,0)</f>
        <v>0</v>
      </c>
      <c r="AB3672" s="403"/>
    </row>
    <row r="3673" spans="1:28">
      <c r="A3673" s="384" t="str">
        <f t="shared" ref="A3673:B3673" si="11830">A3655</f>
        <v>Lantai 2</v>
      </c>
      <c r="B3673" s="385">
        <f t="shared" si="11830"/>
        <v>35</v>
      </c>
      <c r="C3673" s="393"/>
      <c r="D3673" s="398">
        <f t="shared" ref="D3673:D3733" si="11831">IF(AND(D3670=D3671,D3671=D3672,D3670=D3672),D3670,0)</f>
        <v>4</v>
      </c>
      <c r="E3673" s="388" t="s">
        <v>16</v>
      </c>
      <c r="F3673" s="388">
        <f t="shared" ref="F3673:F3733" si="11832">IF(AND(F3670=F3671,F3670=F3672,F3671=F3672),F3670,0)</f>
        <v>16</v>
      </c>
      <c r="G3673" s="388"/>
      <c r="H3673" s="395"/>
      <c r="I3673" s="388"/>
      <c r="J3673" s="396"/>
      <c r="K3673" s="396"/>
      <c r="L3673" s="404" t="s">
        <v>207</v>
      </c>
      <c r="M3673" s="399" t="s">
        <v>176</v>
      </c>
      <c r="N3673" s="399">
        <f t="shared" ref="N3673" si="11833">IF(AND(D3670=D3671,D3670=D3672,D3671=D3672,F3670=F3671,F3670=F3672,F3671=F3672),SUM(N3670:N3672),0)</f>
        <v>4.4589999999999996</v>
      </c>
      <c r="O3673" s="399" t="s">
        <v>204</v>
      </c>
      <c r="P3673" s="389">
        <f t="shared" ref="P3673" si="11834">IF(N3673&gt;12,ROUNDDOWN(N3673/12,0),0)</f>
        <v>0</v>
      </c>
      <c r="Q3673" s="399" t="s">
        <v>125</v>
      </c>
      <c r="R3673" s="399">
        <f t="shared" ref="R3673" si="11835">IF(P3673&gt;0,MAX(VLOOKUP(F3673,$D$6:$G$15,3,FALSE),600),0)/1000</f>
        <v>0</v>
      </c>
      <c r="S3673" s="396"/>
      <c r="T3673" s="396" t="s">
        <v>125</v>
      </c>
      <c r="U3673" s="401">
        <f t="shared" ref="U3673:U3733" si="11836">U3672</f>
        <v>1.5782400000000001</v>
      </c>
      <c r="V3673" s="396" t="s">
        <v>125</v>
      </c>
      <c r="W3673" s="399">
        <f t="shared" ref="W3673" si="11837">D3673</f>
        <v>4</v>
      </c>
      <c r="X3673" s="399" t="s">
        <v>125</v>
      </c>
      <c r="Y3673" s="389">
        <f t="shared" ref="Y3673:Y3733" si="11838">Y3672</f>
        <v>1</v>
      </c>
      <c r="Z3673" s="400" t="s">
        <v>176</v>
      </c>
      <c r="AA3673" s="402">
        <f t="shared" ref="AA3673" si="11839">(N3673+P3673*R3673/1000)*U3673*W3673*Y3673</f>
        <v>28.149488639999998</v>
      </c>
      <c r="AB3673" s="403"/>
    </row>
    <row r="3674" spans="1:28">
      <c r="A3674" s="384"/>
      <c r="B3674" s="385"/>
      <c r="C3674" s="393"/>
      <c r="D3674" s="394"/>
      <c r="E3674" s="388"/>
      <c r="F3674" s="388"/>
      <c r="G3674" s="388"/>
      <c r="H3674" s="395"/>
      <c r="I3674" s="388"/>
      <c r="J3674" s="399"/>
      <c r="K3674" s="396"/>
      <c r="L3674" s="396"/>
      <c r="M3674" s="396"/>
      <c r="N3674" s="396"/>
      <c r="O3674" s="396"/>
      <c r="P3674" s="389"/>
      <c r="Q3674" s="396"/>
      <c r="R3674" s="396"/>
      <c r="S3674" s="396"/>
      <c r="T3674" s="396"/>
      <c r="U3674" s="401"/>
      <c r="V3674" s="396"/>
      <c r="W3674" s="388"/>
      <c r="X3674" s="396"/>
      <c r="Y3674" s="389"/>
      <c r="Z3674" s="396"/>
      <c r="AA3674" s="388"/>
      <c r="AB3674" s="390"/>
    </row>
    <row r="3675" spans="1:28">
      <c r="A3675" s="384" t="str">
        <f t="shared" ref="A3675:B3675" si="11840">A3655</f>
        <v>Lantai 2</v>
      </c>
      <c r="B3675" s="385">
        <f t="shared" si="11840"/>
        <v>35</v>
      </c>
      <c r="C3675" s="393" t="s">
        <v>211</v>
      </c>
      <c r="D3675" s="398">
        <f>VLOOKUP(D3655,'Detail Balok'!$C$10:$AU$140,31,FALSE)</f>
        <v>0</v>
      </c>
      <c r="E3675" s="388" t="s">
        <v>16</v>
      </c>
      <c r="F3675" s="388">
        <f>VLOOKUP(D3655,'Detail Balok'!$C$10:$AU$140,33,FALSE)</f>
        <v>10</v>
      </c>
      <c r="G3675" s="405" t="s">
        <v>157</v>
      </c>
      <c r="H3675" s="395">
        <f>VLOOKUP(D3655,'Detail Balok'!$C$10:$AU$140,35,FALSE)</f>
        <v>150</v>
      </c>
      <c r="I3675" s="388"/>
      <c r="J3675" s="400">
        <f t="shared" ref="J3675" si="11841">(IF(D3675=0,(2*(D3656+G3656))-(F$5*8),IF(D3675=3,(2*(D3656+G3656))-(F$5*8)+(G3656-2*F$5),IF(D3675=4,(2*(D3656+G3656))-(F$5*8)+2*(G3656-2*F$5)))))/1000</f>
        <v>1.08</v>
      </c>
      <c r="K3675" s="400" t="s">
        <v>204</v>
      </c>
      <c r="L3675" s="399">
        <f t="shared" ref="L3675:L3677" si="11842">IF(D3675=0,2*MAX(6*F3675,75),(D3675-1)*2*MAX(6*F3675,75))/1000</f>
        <v>0.15</v>
      </c>
      <c r="M3675" s="399" t="s">
        <v>176</v>
      </c>
      <c r="N3675" s="399">
        <f t="shared" ref="N3675:N3677" si="11843">J3675+L3675</f>
        <v>1.23</v>
      </c>
      <c r="O3675" s="399"/>
      <c r="P3675" s="389"/>
      <c r="Q3675" s="399"/>
      <c r="R3675" s="399"/>
      <c r="S3675" s="399"/>
      <c r="T3675" s="399" t="s">
        <v>125</v>
      </c>
      <c r="U3675" s="401">
        <f t="shared" ref="U3675:U3677" si="11844">0.006165*F3675^2</f>
        <v>0.61650000000000005</v>
      </c>
      <c r="V3675" s="399" t="s">
        <v>125</v>
      </c>
      <c r="W3675" s="399">
        <f t="shared" ref="W3675" si="11845">IF(D3658&gt;4*G3656,ROUND(MAX(D3658/4,2*G3656)/H3675,0)+1,ROUND(D3658/H3675,0)+1)</f>
        <v>8</v>
      </c>
      <c r="X3675" s="399" t="s">
        <v>125</v>
      </c>
      <c r="Y3675" s="389">
        <f t="shared" ref="Y3675" si="11846">D3661</f>
        <v>1</v>
      </c>
      <c r="Z3675" s="400" t="s">
        <v>176</v>
      </c>
      <c r="AA3675" s="402">
        <f t="shared" ref="AA3675:AA3677" si="11847">N3675*U3675*W3675*Y3675</f>
        <v>6.0663600000000004</v>
      </c>
      <c r="AB3675" s="403"/>
    </row>
    <row r="3676" spans="1:28">
      <c r="A3676" s="384" t="str">
        <f t="shared" ref="A3676:B3676" si="11848">A3655</f>
        <v>Lantai 2</v>
      </c>
      <c r="B3676" s="385">
        <f t="shared" si="11848"/>
        <v>35</v>
      </c>
      <c r="C3676" s="393" t="s">
        <v>212</v>
      </c>
      <c r="D3676" s="398">
        <f>VLOOKUP(D3655,'Detail Balok'!$C$10:$AU$140,36,FALSE)</f>
        <v>0</v>
      </c>
      <c r="E3676" s="388" t="s">
        <v>16</v>
      </c>
      <c r="F3676" s="388">
        <f>VLOOKUP(D3655,'Detail Balok'!$C$10:$AU$140,38,FALSE)</f>
        <v>10</v>
      </c>
      <c r="G3676" s="405" t="s">
        <v>157</v>
      </c>
      <c r="H3676" s="395">
        <f>VLOOKUP(D3655,'Detail Balok'!$C$10:$AU$140,40,FALSE)</f>
        <v>200</v>
      </c>
      <c r="I3676" s="388"/>
      <c r="J3676" s="400">
        <f t="shared" ref="J3676" si="11849">(IF(D3676=0,(2*(D3656+G3656))-(F$5*8),IF(D3676=3,(2*(D3656+G3656))-(F$5*8)+(G3656-2*F$5),IF(D3676=4,(2*(D3656+G3656))-(F$5*8)+2*(G3656-2*F$5)))))/1000</f>
        <v>1.08</v>
      </c>
      <c r="K3676" s="400" t="s">
        <v>204</v>
      </c>
      <c r="L3676" s="399">
        <f t="shared" si="11842"/>
        <v>0.15</v>
      </c>
      <c r="M3676" s="399" t="s">
        <v>176</v>
      </c>
      <c r="N3676" s="399">
        <f t="shared" si="11843"/>
        <v>1.23</v>
      </c>
      <c r="O3676" s="399"/>
      <c r="P3676" s="389"/>
      <c r="Q3676" s="399"/>
      <c r="R3676" s="399"/>
      <c r="S3676" s="399"/>
      <c r="T3676" s="399" t="s">
        <v>125</v>
      </c>
      <c r="U3676" s="401">
        <f t="shared" si="11844"/>
        <v>0.61650000000000005</v>
      </c>
      <c r="V3676" s="399" t="s">
        <v>125</v>
      </c>
      <c r="W3676" s="399">
        <f t="shared" ref="W3676" si="11850">IF(D3658-MAX(D3658/4,2*G3656)*2&gt;0,ROUND((D3658-MAX(D3658/4,2*G3656)*2)/H3676,0),0)</f>
        <v>10</v>
      </c>
      <c r="X3676" s="399" t="s">
        <v>125</v>
      </c>
      <c r="Y3676" s="389">
        <f t="shared" ref="Y3676" si="11851">D3661</f>
        <v>1</v>
      </c>
      <c r="Z3676" s="400" t="s">
        <v>176</v>
      </c>
      <c r="AA3676" s="402">
        <f t="shared" si="11847"/>
        <v>7.5829500000000003</v>
      </c>
      <c r="AB3676" s="403"/>
    </row>
    <row r="3677" spans="1:28">
      <c r="A3677" s="384" t="str">
        <f t="shared" ref="A3677:B3677" si="11852">A3655</f>
        <v>Lantai 2</v>
      </c>
      <c r="B3677" s="385">
        <f t="shared" si="11852"/>
        <v>35</v>
      </c>
      <c r="C3677" s="393" t="s">
        <v>211</v>
      </c>
      <c r="D3677" s="398">
        <f>VLOOKUP(D3655,'Detail Balok'!$C$10:$AU$140,41,FALSE)</f>
        <v>0</v>
      </c>
      <c r="E3677" s="388" t="s">
        <v>16</v>
      </c>
      <c r="F3677" s="388">
        <f>VLOOKUP(D3655,'Detail Balok'!$C$10:$AU$140,43,FALSE)</f>
        <v>10</v>
      </c>
      <c r="G3677" s="405" t="s">
        <v>157</v>
      </c>
      <c r="H3677" s="395">
        <f>VLOOKUP(D3655,'Detail Balok'!$C$10:$AU$140,45,FALSE)</f>
        <v>150</v>
      </c>
      <c r="I3677" s="388"/>
      <c r="J3677" s="400">
        <f t="shared" ref="J3677" si="11853">(IF(D3677=0,(2*(D3656+G3656))-(F$5*8),IF(D3677=3,(2*(D3656+G3656))-(F$5*8)+(G3656-2*F$5),IF(D3677=4,(2*(D3656+G3656))-(F$5*8)+2*(G3656-2*F$5)))))/1000</f>
        <v>1.08</v>
      </c>
      <c r="K3677" s="400" t="s">
        <v>204</v>
      </c>
      <c r="L3677" s="399">
        <f t="shared" si="11842"/>
        <v>0.15</v>
      </c>
      <c r="M3677" s="399" t="s">
        <v>176</v>
      </c>
      <c r="N3677" s="399">
        <f t="shared" si="11843"/>
        <v>1.23</v>
      </c>
      <c r="O3677" s="399"/>
      <c r="P3677" s="389"/>
      <c r="Q3677" s="399"/>
      <c r="R3677" s="399"/>
      <c r="S3677" s="399"/>
      <c r="T3677" s="399" t="s">
        <v>125</v>
      </c>
      <c r="U3677" s="401">
        <f t="shared" si="11844"/>
        <v>0.61650000000000005</v>
      </c>
      <c r="V3677" s="399" t="s">
        <v>125</v>
      </c>
      <c r="W3677" s="399">
        <f t="shared" ref="W3677" si="11854">IF(D3658&gt;4*G3656,ROUND(MAX(D3658/4,2*G3656)/H3677,0)+1,0)</f>
        <v>8</v>
      </c>
      <c r="X3677" s="399" t="s">
        <v>125</v>
      </c>
      <c r="Y3677" s="389">
        <f t="shared" ref="Y3677" si="11855">D3661</f>
        <v>1</v>
      </c>
      <c r="Z3677" s="400" t="s">
        <v>176</v>
      </c>
      <c r="AA3677" s="402">
        <f t="shared" si="11847"/>
        <v>6.0663600000000004</v>
      </c>
      <c r="AB3677" s="403"/>
    </row>
    <row r="3678" spans="1:28">
      <c r="A3678" s="384"/>
      <c r="B3678" s="385"/>
      <c r="C3678" s="393"/>
      <c r="D3678" s="394"/>
      <c r="E3678" s="388"/>
      <c r="F3678" s="388"/>
      <c r="G3678" s="388"/>
      <c r="H3678" s="395"/>
      <c r="I3678" s="388"/>
      <c r="J3678" s="399"/>
      <c r="K3678" s="396"/>
      <c r="L3678" s="396"/>
      <c r="M3678" s="396"/>
      <c r="N3678" s="396"/>
      <c r="O3678" s="396"/>
      <c r="P3678" s="389"/>
      <c r="Q3678" s="396"/>
      <c r="R3678" s="396"/>
      <c r="S3678" s="396"/>
      <c r="T3678" s="396"/>
      <c r="U3678" s="401"/>
      <c r="V3678" s="396"/>
      <c r="W3678" s="388"/>
      <c r="X3678" s="396"/>
      <c r="Y3678" s="389"/>
      <c r="Z3678" s="396"/>
      <c r="AA3678" s="388"/>
      <c r="AB3678" s="390"/>
    </row>
    <row r="3679" spans="1:28">
      <c r="A3679" s="384" t="str">
        <f t="shared" ref="A3679:B3679" si="11856">A3655</f>
        <v>Lantai 2</v>
      </c>
      <c r="B3679" s="385">
        <f t="shared" si="11856"/>
        <v>35</v>
      </c>
      <c r="C3679" s="393" t="s">
        <v>213</v>
      </c>
      <c r="D3679" s="398">
        <f>VLOOKUP(D3655,'Detail Balok'!$C$10:$BJ$140,46,FALSE)</f>
        <v>0</v>
      </c>
      <c r="E3679" s="388" t="s">
        <v>16</v>
      </c>
      <c r="F3679" s="388">
        <f>VLOOKUP(D3655,'Detail Balok'!$C$10:$BJ$140,48,FALSE)</f>
        <v>0</v>
      </c>
      <c r="G3679" s="405" t="s">
        <v>157</v>
      </c>
      <c r="H3679" s="395">
        <f>VLOOKUP(D3655,'Detail Balok'!$C$10:$BJ$140,50,FALSE)</f>
        <v>100</v>
      </c>
      <c r="I3679" s="388"/>
      <c r="J3679" s="399">
        <f t="shared" ref="J3679" si="11857">(D3656-2*F$5)/1000</f>
        <v>0.12</v>
      </c>
      <c r="K3679" s="400" t="s">
        <v>204</v>
      </c>
      <c r="L3679" s="399">
        <f t="shared" ref="L3679:L3681" si="11858">IF(D3679=0,2*MAX(6*F3679,75),(D3679-1)*2*MAX(6*F3679,75))/1000</f>
        <v>0.15</v>
      </c>
      <c r="M3679" s="399" t="s">
        <v>176</v>
      </c>
      <c r="N3679" s="399">
        <f t="shared" ref="N3679:N3681" si="11859">J3679+L3679</f>
        <v>0.27</v>
      </c>
      <c r="O3679" s="399"/>
      <c r="P3679" s="399"/>
      <c r="Q3679" s="399"/>
      <c r="R3679" s="399"/>
      <c r="S3679" s="399"/>
      <c r="T3679" s="399" t="s">
        <v>125</v>
      </c>
      <c r="U3679" s="401">
        <f t="shared" ref="U3679:U3681" si="11860">0.006165*F3679^2</f>
        <v>0</v>
      </c>
      <c r="V3679" s="399" t="s">
        <v>125</v>
      </c>
      <c r="W3679" s="399">
        <f t="shared" ref="W3679:W3741" si="11861">W3675</f>
        <v>8</v>
      </c>
      <c r="X3679" s="399" t="s">
        <v>125</v>
      </c>
      <c r="Y3679" s="389">
        <f t="shared" ref="Y3679" si="11862">D3665</f>
        <v>4</v>
      </c>
      <c r="Z3679" s="400" t="s">
        <v>176</v>
      </c>
      <c r="AA3679" s="402">
        <f t="shared" ref="AA3679:AA3681" si="11863">N3679*U3679*W3679*Y3679</f>
        <v>0</v>
      </c>
      <c r="AB3679" s="403"/>
    </row>
    <row r="3680" spans="1:28">
      <c r="A3680" s="384" t="str">
        <f t="shared" ref="A3680:B3680" si="11864">A3655</f>
        <v>Lantai 2</v>
      </c>
      <c r="B3680" s="385">
        <f t="shared" si="11864"/>
        <v>35</v>
      </c>
      <c r="C3680" s="393" t="s">
        <v>214</v>
      </c>
      <c r="D3680" s="398">
        <f>VLOOKUP(D3655,'Detail Balok'!$C$10:$BJ$140,51,FALSE)</f>
        <v>0</v>
      </c>
      <c r="E3680" s="388" t="s">
        <v>16</v>
      </c>
      <c r="F3680" s="388">
        <f>VLOOKUP(D3655,'Detail Balok'!$C$10:$BJ$140,53,FALSE)</f>
        <v>0</v>
      </c>
      <c r="G3680" s="405" t="s">
        <v>157</v>
      </c>
      <c r="H3680" s="395">
        <f>VLOOKUP(D3655,'Detail Balok'!$C$10:$BJ$140,55,FALSE)</f>
        <v>100</v>
      </c>
      <c r="I3680" s="388"/>
      <c r="J3680" s="399">
        <f t="shared" ref="J3680" si="11865">(D3656-2*F$5)/1000</f>
        <v>0.12</v>
      </c>
      <c r="K3680" s="400" t="s">
        <v>204</v>
      </c>
      <c r="L3680" s="399">
        <f t="shared" si="11858"/>
        <v>0.15</v>
      </c>
      <c r="M3680" s="399" t="s">
        <v>176</v>
      </c>
      <c r="N3680" s="399">
        <f t="shared" si="11859"/>
        <v>0.27</v>
      </c>
      <c r="O3680" s="399"/>
      <c r="P3680" s="399"/>
      <c r="Q3680" s="399"/>
      <c r="R3680" s="399"/>
      <c r="S3680" s="399"/>
      <c r="T3680" s="399" t="s">
        <v>125</v>
      </c>
      <c r="U3680" s="401">
        <f t="shared" si="11860"/>
        <v>0</v>
      </c>
      <c r="V3680" s="399" t="s">
        <v>125</v>
      </c>
      <c r="W3680" s="399">
        <f t="shared" si="11861"/>
        <v>10</v>
      </c>
      <c r="X3680" s="399" t="s">
        <v>125</v>
      </c>
      <c r="Y3680" s="389">
        <f t="shared" ref="Y3680" si="11866">D3665</f>
        <v>4</v>
      </c>
      <c r="Z3680" s="400" t="s">
        <v>176</v>
      </c>
      <c r="AA3680" s="402">
        <f t="shared" si="11863"/>
        <v>0</v>
      </c>
      <c r="AB3680" s="403"/>
    </row>
    <row r="3681" spans="1:28">
      <c r="A3681" s="384" t="str">
        <f t="shared" ref="A3681:B3681" si="11867">A3655</f>
        <v>Lantai 2</v>
      </c>
      <c r="B3681" s="385">
        <f t="shared" si="11867"/>
        <v>35</v>
      </c>
      <c r="C3681" s="393" t="s">
        <v>213</v>
      </c>
      <c r="D3681" s="398">
        <f>VLOOKUP(D3655,'Detail Balok'!$C$10:$BJ$140,56,FALSE)</f>
        <v>0</v>
      </c>
      <c r="E3681" s="388" t="s">
        <v>16</v>
      </c>
      <c r="F3681" s="388">
        <f>VLOOKUP(D3655,'Detail Balok'!$C$10:$BJ$140,58,FALSE)</f>
        <v>0</v>
      </c>
      <c r="G3681" s="405" t="s">
        <v>157</v>
      </c>
      <c r="H3681" s="395">
        <f>VLOOKUP(D3655,'Detail Balok'!$C$10:$BJ$140,60,FALSE)</f>
        <v>100</v>
      </c>
      <c r="I3681" s="388"/>
      <c r="J3681" s="399">
        <f t="shared" ref="J3681" si="11868">(D3656-2*F$5)/1000</f>
        <v>0.12</v>
      </c>
      <c r="K3681" s="400" t="s">
        <v>204</v>
      </c>
      <c r="L3681" s="399">
        <f t="shared" si="11858"/>
        <v>0.15</v>
      </c>
      <c r="M3681" s="399" t="s">
        <v>176</v>
      </c>
      <c r="N3681" s="399">
        <f t="shared" si="11859"/>
        <v>0.27</v>
      </c>
      <c r="O3681" s="399"/>
      <c r="P3681" s="399"/>
      <c r="Q3681" s="399"/>
      <c r="R3681" s="399"/>
      <c r="S3681" s="399"/>
      <c r="T3681" s="399" t="s">
        <v>125</v>
      </c>
      <c r="U3681" s="401">
        <f t="shared" si="11860"/>
        <v>0</v>
      </c>
      <c r="V3681" s="399" t="s">
        <v>125</v>
      </c>
      <c r="W3681" s="399">
        <f t="shared" si="11861"/>
        <v>8</v>
      </c>
      <c r="X3681" s="399" t="s">
        <v>125</v>
      </c>
      <c r="Y3681" s="389">
        <f t="shared" ref="Y3681" si="11869">D3665</f>
        <v>4</v>
      </c>
      <c r="Z3681" s="400" t="s">
        <v>176</v>
      </c>
      <c r="AA3681" s="402">
        <f t="shared" si="11863"/>
        <v>0</v>
      </c>
      <c r="AB3681" s="403"/>
    </row>
    <row r="3682" spans="1:28">
      <c r="A3682" s="391"/>
      <c r="B3682" s="392"/>
      <c r="C3682" s="392"/>
      <c r="D3682" s="394"/>
      <c r="E3682" s="388"/>
      <c r="F3682" s="388"/>
      <c r="G3682" s="388"/>
      <c r="H3682" s="395"/>
      <c r="I3682" s="388"/>
      <c r="J3682" s="402"/>
      <c r="K3682" s="388"/>
      <c r="L3682" s="388"/>
      <c r="M3682" s="388"/>
      <c r="N3682" s="388"/>
      <c r="O3682" s="388"/>
      <c r="P3682" s="388"/>
      <c r="Q3682" s="388"/>
      <c r="R3682" s="388"/>
      <c r="S3682" s="388"/>
      <c r="T3682" s="388"/>
      <c r="U3682" s="388"/>
      <c r="V3682" s="388"/>
      <c r="W3682" s="388"/>
      <c r="X3682" s="388"/>
      <c r="Y3682" s="389"/>
      <c r="Z3682" s="388"/>
      <c r="AA3682" s="402"/>
      <c r="AB3682" s="403"/>
    </row>
    <row r="3683" spans="1:28" ht="15.75" thickBot="1">
      <c r="A3683" s="406"/>
      <c r="B3683" s="407"/>
      <c r="C3683" s="407"/>
      <c r="D3683" s="408"/>
      <c r="E3683" s="409"/>
      <c r="F3683" s="409"/>
      <c r="G3683" s="409"/>
      <c r="H3683" s="410"/>
      <c r="I3683" s="409"/>
      <c r="J3683" s="409"/>
      <c r="K3683" s="409"/>
      <c r="L3683" s="409"/>
      <c r="M3683" s="409"/>
      <c r="N3683" s="409"/>
      <c r="O3683" s="409"/>
      <c r="P3683" s="409"/>
      <c r="Q3683" s="409"/>
      <c r="R3683" s="409"/>
      <c r="S3683" s="409"/>
      <c r="T3683" s="409"/>
      <c r="U3683" s="409"/>
      <c r="V3683" s="409"/>
      <c r="W3683" s="409"/>
      <c r="X3683" s="409"/>
      <c r="Y3683" s="411"/>
      <c r="Z3683" s="409"/>
      <c r="AA3683" s="412"/>
      <c r="AB3683" s="413"/>
    </row>
    <row r="3684" spans="1:28">
      <c r="A3684" s="377"/>
      <c r="B3684" s="378"/>
      <c r="C3684" s="378"/>
      <c r="D3684" s="379"/>
      <c r="E3684" s="380"/>
      <c r="F3684" s="380"/>
      <c r="G3684" s="380"/>
      <c r="H3684" s="381"/>
      <c r="I3684" s="380"/>
      <c r="J3684" s="380"/>
      <c r="K3684" s="380"/>
      <c r="L3684" s="380"/>
      <c r="M3684" s="380"/>
      <c r="N3684" s="380"/>
      <c r="O3684" s="380"/>
      <c r="P3684" s="380"/>
      <c r="Q3684" s="380"/>
      <c r="R3684" s="380"/>
      <c r="S3684" s="380"/>
      <c r="T3684" s="380"/>
      <c r="U3684" s="380"/>
      <c r="V3684" s="380"/>
      <c r="W3684" s="380"/>
      <c r="X3684" s="380"/>
      <c r="Y3684" s="382"/>
      <c r="Z3684" s="380"/>
      <c r="AA3684" s="380"/>
      <c r="AB3684" s="383"/>
    </row>
    <row r="3685" spans="1:28">
      <c r="A3685" s="384" t="str">
        <f t="shared" ref="A3685:A3745" si="11870">A3655</f>
        <v>Lantai 2</v>
      </c>
      <c r="B3685" s="385">
        <f t="shared" ref="B3685:B3745" si="11871">B3655+1</f>
        <v>36</v>
      </c>
      <c r="C3685" s="386" t="str">
        <f t="shared" ref="C3685" si="11872">CONCATENATE(A3685," no. ",B3685)</f>
        <v>Lantai 2 no. 36</v>
      </c>
      <c r="D3685" s="2562" t="str">
        <f>VLOOKUP(C3685,'Data Panjang Balok'!$C$9:$N$254,2,FALSE)</f>
        <v>B24-1</v>
      </c>
      <c r="E3685" s="2576"/>
      <c r="F3685" s="2576"/>
      <c r="G3685" s="2576"/>
      <c r="H3685" s="2577"/>
      <c r="I3685" s="387"/>
      <c r="J3685" s="388"/>
      <c r="K3685" s="388"/>
      <c r="L3685" s="388"/>
      <c r="M3685" s="388"/>
      <c r="N3685" s="388"/>
      <c r="O3685" s="388"/>
      <c r="P3685" s="388"/>
      <c r="Q3685" s="388"/>
      <c r="R3685" s="388"/>
      <c r="S3685" s="388"/>
      <c r="T3685" s="388"/>
      <c r="U3685" s="388"/>
      <c r="V3685" s="388"/>
      <c r="W3685" s="388"/>
      <c r="X3685" s="388"/>
      <c r="Y3685" s="389"/>
      <c r="Z3685" s="388"/>
      <c r="AA3685" s="388"/>
      <c r="AB3685" s="390"/>
    </row>
    <row r="3686" spans="1:28">
      <c r="A3686" s="391"/>
      <c r="B3686" s="392"/>
      <c r="C3686" s="393" t="s">
        <v>118</v>
      </c>
      <c r="D3686" s="2578">
        <f>VLOOKUP(D3685,'Detail Balok'!$C$10:$AU$140,2,FALSE)</f>
        <v>200</v>
      </c>
      <c r="E3686" s="2579"/>
      <c r="F3686" s="388" t="s">
        <v>125</v>
      </c>
      <c r="G3686" s="2579">
        <f>VLOOKUP(D3685,'Detail Balok'!$C$10:$AU$140,3,FALSE)</f>
        <v>400</v>
      </c>
      <c r="H3686" s="2580"/>
      <c r="I3686" s="388"/>
      <c r="J3686" s="396"/>
      <c r="K3686" s="396"/>
      <c r="L3686" s="396"/>
      <c r="M3686" s="396"/>
      <c r="N3686" s="396"/>
      <c r="O3686" s="396"/>
      <c r="P3686" s="396"/>
      <c r="Q3686" s="396"/>
      <c r="R3686" s="396"/>
      <c r="S3686" s="396"/>
      <c r="T3686" s="396"/>
      <c r="U3686" s="388"/>
      <c r="V3686" s="396"/>
      <c r="W3686" s="388"/>
      <c r="X3686" s="396"/>
      <c r="Y3686" s="389"/>
      <c r="Z3686" s="396"/>
      <c r="AA3686" s="388"/>
      <c r="AB3686" s="390"/>
    </row>
    <row r="3687" spans="1:28">
      <c r="A3687" s="391"/>
      <c r="B3687" s="392"/>
      <c r="C3687" s="393" t="s">
        <v>198</v>
      </c>
      <c r="D3687" s="2562">
        <f>VLOOKUP(C3685,'Data Panjang Balok'!$C$9:$N$254,4,FALSE)</f>
        <v>4000</v>
      </c>
      <c r="E3687" s="2563"/>
      <c r="F3687" s="2563"/>
      <c r="G3687" s="2563"/>
      <c r="H3687" s="2564"/>
      <c r="I3687" s="397"/>
      <c r="J3687" s="396"/>
      <c r="K3687" s="396"/>
      <c r="L3687" s="396"/>
      <c r="M3687" s="396"/>
      <c r="N3687" s="396"/>
      <c r="O3687" s="396"/>
      <c r="P3687" s="396"/>
      <c r="Q3687" s="396"/>
      <c r="R3687" s="396"/>
      <c r="S3687" s="396"/>
      <c r="T3687" s="396"/>
      <c r="U3687" s="388"/>
      <c r="V3687" s="396"/>
      <c r="W3687" s="388"/>
      <c r="X3687" s="396"/>
      <c r="Y3687" s="389"/>
      <c r="Z3687" s="396"/>
      <c r="AA3687" s="388"/>
      <c r="AB3687" s="390"/>
    </row>
    <row r="3688" spans="1:28">
      <c r="A3688" s="391"/>
      <c r="B3688" s="392"/>
      <c r="C3688" s="393" t="s">
        <v>199</v>
      </c>
      <c r="D3688" s="2562">
        <f>VLOOKUP(C3685,'Data Panjang Balok'!$C$9:$N$254,7,FALSE)</f>
        <v>4000</v>
      </c>
      <c r="E3688" s="2563"/>
      <c r="F3688" s="2563"/>
      <c r="G3688" s="2563"/>
      <c r="H3688" s="2564"/>
      <c r="I3688" s="397"/>
      <c r="J3688" s="396"/>
      <c r="K3688" s="396"/>
      <c r="L3688" s="396"/>
      <c r="M3688" s="396"/>
      <c r="N3688" s="396"/>
      <c r="O3688" s="396"/>
      <c r="P3688" s="396"/>
      <c r="Q3688" s="396"/>
      <c r="R3688" s="396"/>
      <c r="S3688" s="396"/>
      <c r="T3688" s="396"/>
      <c r="U3688" s="388"/>
      <c r="V3688" s="396"/>
      <c r="W3688" s="388"/>
      <c r="X3688" s="396"/>
      <c r="Y3688" s="389"/>
      <c r="Z3688" s="396"/>
      <c r="AA3688" s="388"/>
      <c r="AB3688" s="390"/>
    </row>
    <row r="3689" spans="1:28">
      <c r="A3689" s="391"/>
      <c r="B3689" s="392"/>
      <c r="C3689" s="393" t="s">
        <v>200</v>
      </c>
      <c r="D3689" s="2562">
        <f>VLOOKUP(C3685,'Data Panjang Balok'!$C$9:$N$254,9,FALSE)</f>
        <v>0</v>
      </c>
      <c r="E3689" s="2563"/>
      <c r="F3689" s="2563"/>
      <c r="G3689" s="2563"/>
      <c r="H3689" s="2564"/>
      <c r="I3689" s="397"/>
      <c r="J3689" s="396"/>
      <c r="K3689" s="396"/>
      <c r="L3689" s="396"/>
      <c r="M3689" s="396"/>
      <c r="N3689" s="396"/>
      <c r="O3689" s="396"/>
      <c r="P3689" s="396"/>
      <c r="Q3689" s="396"/>
      <c r="R3689" s="396"/>
      <c r="S3689" s="396"/>
      <c r="T3689" s="396"/>
      <c r="U3689" s="388"/>
      <c r="V3689" s="396"/>
      <c r="W3689" s="388"/>
      <c r="X3689" s="396"/>
      <c r="Y3689" s="389"/>
      <c r="Z3689" s="396"/>
      <c r="AA3689" s="388"/>
      <c r="AB3689" s="390"/>
    </row>
    <row r="3690" spans="1:28">
      <c r="A3690" s="391"/>
      <c r="B3690" s="392"/>
      <c r="C3690" s="393" t="s">
        <v>201</v>
      </c>
      <c r="D3690" s="2562">
        <f>VLOOKUP(C3685,'Data Panjang Balok'!$C$9:$N$254,10,FALSE)</f>
        <v>0</v>
      </c>
      <c r="E3690" s="2563"/>
      <c r="F3690" s="2563"/>
      <c r="G3690" s="2563"/>
      <c r="H3690" s="2564"/>
      <c r="I3690" s="397"/>
      <c r="J3690" s="396"/>
      <c r="K3690" s="396"/>
      <c r="L3690" s="396"/>
      <c r="M3690" s="396"/>
      <c r="N3690" s="396"/>
      <c r="O3690" s="396"/>
      <c r="P3690" s="396"/>
      <c r="Q3690" s="396"/>
      <c r="R3690" s="396"/>
      <c r="S3690" s="396"/>
      <c r="T3690" s="396"/>
      <c r="U3690" s="388"/>
      <c r="V3690" s="396"/>
      <c r="W3690" s="388"/>
      <c r="X3690" s="396"/>
      <c r="Y3690" s="389"/>
      <c r="Z3690" s="396"/>
      <c r="AA3690" s="388"/>
      <c r="AB3690" s="390"/>
    </row>
    <row r="3691" spans="1:28">
      <c r="A3691" s="391"/>
      <c r="B3691" s="392"/>
      <c r="C3691" s="393" t="s">
        <v>48</v>
      </c>
      <c r="D3691" s="2562">
        <f>VLOOKUP(C3685,'Data Panjang Balok'!$C$9:$N$254,3,FALSE)</f>
        <v>1</v>
      </c>
      <c r="E3691" s="2563"/>
      <c r="F3691" s="2563"/>
      <c r="G3691" s="2563"/>
      <c r="H3691" s="2564"/>
      <c r="I3691" s="397"/>
      <c r="J3691" s="396"/>
      <c r="K3691" s="396"/>
      <c r="L3691" s="396"/>
      <c r="M3691" s="396"/>
      <c r="N3691" s="396"/>
      <c r="O3691" s="396"/>
      <c r="P3691" s="396"/>
      <c r="Q3691" s="396"/>
      <c r="R3691" s="396"/>
      <c r="S3691" s="396"/>
      <c r="T3691" s="396"/>
      <c r="U3691" s="388"/>
      <c r="V3691" s="396"/>
      <c r="W3691" s="388"/>
      <c r="X3691" s="396"/>
      <c r="Y3691" s="389"/>
      <c r="Z3691" s="396"/>
      <c r="AA3691" s="388"/>
      <c r="AB3691" s="390"/>
    </row>
    <row r="3692" spans="1:28">
      <c r="A3692" s="384" t="str">
        <f t="shared" ref="A3692:B3692" si="11873">A3685</f>
        <v>Lantai 2</v>
      </c>
      <c r="B3692" s="385">
        <f t="shared" si="11873"/>
        <v>36</v>
      </c>
      <c r="C3692" s="393" t="s">
        <v>202</v>
      </c>
      <c r="D3692" s="398">
        <f>VLOOKUP(D3685,'Detail Balok'!$C$10:$AU$140,4,FALSE)</f>
        <v>3</v>
      </c>
      <c r="E3692" s="388" t="s">
        <v>16</v>
      </c>
      <c r="F3692" s="388">
        <f>VLOOKUP(D3685,'Detail Balok'!$C$10:$AU$140,6,FALSE)</f>
        <v>13</v>
      </c>
      <c r="G3692" s="388"/>
      <c r="H3692" s="395"/>
      <c r="I3692" s="388" t="s">
        <v>203</v>
      </c>
      <c r="J3692" s="399">
        <f t="shared" ref="J3692" si="11874">+D3687/4/1000</f>
        <v>1</v>
      </c>
      <c r="K3692" s="400" t="s">
        <v>204</v>
      </c>
      <c r="L3692" s="399">
        <f t="shared" ref="L3692" si="11875">MAX(VLOOKUP(F3692,N$6:P$15,3,FALSE)/1000,2/3*D3689/1000)+F$16*F3692/1000</f>
        <v>0.156</v>
      </c>
      <c r="M3692" s="399" t="s">
        <v>176</v>
      </c>
      <c r="N3692" s="399">
        <f t="shared" ref="N3692:N3694" si="11876">J3692+L3692</f>
        <v>1.1559999999999999</v>
      </c>
      <c r="O3692" s="399" t="s">
        <v>204</v>
      </c>
      <c r="P3692" s="389">
        <f t="shared" ref="P3692" si="11877">D3692-D3693</f>
        <v>0</v>
      </c>
      <c r="Q3692" s="399" t="s">
        <v>125</v>
      </c>
      <c r="R3692" s="399">
        <f t="shared" ref="R3692" si="11878">IF(P3692&gt;0,$F$18*F3692/1000,0)</f>
        <v>0</v>
      </c>
      <c r="S3692" s="399" t="s">
        <v>205</v>
      </c>
      <c r="T3692" s="399" t="s">
        <v>125</v>
      </c>
      <c r="U3692" s="401">
        <f t="shared" ref="U3692:U3694" si="11879">0.006165*F3692^2</f>
        <v>1.041885</v>
      </c>
      <c r="V3692" s="399"/>
      <c r="W3692" s="399"/>
      <c r="X3692" s="399" t="s">
        <v>125</v>
      </c>
      <c r="Y3692" s="389">
        <f t="shared" ref="Y3692" si="11880">D3691</f>
        <v>1</v>
      </c>
      <c r="Z3692" s="400" t="s">
        <v>176</v>
      </c>
      <c r="AA3692" s="402">
        <f t="shared" ref="AA3692" si="11881">IF(AA3695=0,(D3692*N3692+P3692*R3692)*U3692*Y3692,0)</f>
        <v>0</v>
      </c>
      <c r="AB3692" s="403"/>
    </row>
    <row r="3693" spans="1:28">
      <c r="A3693" s="384" t="str">
        <f t="shared" ref="A3693:B3693" si="11882">A3685</f>
        <v>Lantai 2</v>
      </c>
      <c r="B3693" s="385">
        <f t="shared" si="11882"/>
        <v>36</v>
      </c>
      <c r="C3693" s="393" t="s">
        <v>206</v>
      </c>
      <c r="D3693" s="398">
        <f>VLOOKUP(D3685,'Detail Balok'!$C$10:$AU$140,7,FALSE)</f>
        <v>3</v>
      </c>
      <c r="E3693" s="388" t="s">
        <v>16</v>
      </c>
      <c r="F3693" s="388">
        <f>VLOOKUP(D3685,'Detail Balok'!$C$10:$AU$140,9,FALSE)</f>
        <v>13</v>
      </c>
      <c r="G3693" s="388"/>
      <c r="H3693" s="395"/>
      <c r="I3693" s="388" t="s">
        <v>203</v>
      </c>
      <c r="J3693" s="399">
        <f t="shared" ref="J3693" si="11883">+D3687/2/1000</f>
        <v>2</v>
      </c>
      <c r="K3693" s="400" t="s">
        <v>204</v>
      </c>
      <c r="L3693" s="399"/>
      <c r="M3693" s="399" t="s">
        <v>176</v>
      </c>
      <c r="N3693" s="399">
        <f t="shared" si="11876"/>
        <v>2</v>
      </c>
      <c r="O3693" s="399" t="s">
        <v>204</v>
      </c>
      <c r="P3693" s="389">
        <f t="shared" ref="P3693" si="11884">MAX(D3693-D3692,D3693-D3694)</f>
        <v>0</v>
      </c>
      <c r="Q3693" s="399" t="s">
        <v>125</v>
      </c>
      <c r="R3693" s="399">
        <f t="shared" ref="R3693" si="11885">IF(P3693&gt;0,2*(1-2*$F$19-1/2)*D3688/1000,0)</f>
        <v>0</v>
      </c>
      <c r="S3693" s="399" t="s">
        <v>205</v>
      </c>
      <c r="T3693" s="399" t="s">
        <v>125</v>
      </c>
      <c r="U3693" s="401">
        <f t="shared" si="11879"/>
        <v>1.041885</v>
      </c>
      <c r="V3693" s="399"/>
      <c r="W3693" s="399"/>
      <c r="X3693" s="399" t="s">
        <v>125</v>
      </c>
      <c r="Y3693" s="389">
        <f t="shared" ref="Y3693" si="11886">D3691</f>
        <v>1</v>
      </c>
      <c r="Z3693" s="400" t="s">
        <v>176</v>
      </c>
      <c r="AA3693" s="402">
        <f t="shared" ref="AA3693" si="11887">IF(AA3695=0,(D3693*N3693+P3693*R3693)*U3693*Y3693,0)</f>
        <v>0</v>
      </c>
      <c r="AB3693" s="403"/>
    </row>
    <row r="3694" spans="1:28">
      <c r="A3694" s="384" t="str">
        <f t="shared" ref="A3694:B3694" si="11888">A3685</f>
        <v>Lantai 2</v>
      </c>
      <c r="B3694" s="385">
        <f t="shared" si="11888"/>
        <v>36</v>
      </c>
      <c r="C3694" s="393" t="s">
        <v>202</v>
      </c>
      <c r="D3694" s="398">
        <f>VLOOKUP(D3685,'Detail Balok'!$C$10:$AU$140,10,FALSE)</f>
        <v>3</v>
      </c>
      <c r="E3694" s="388" t="s">
        <v>16</v>
      </c>
      <c r="F3694" s="388">
        <f>VLOOKUP(D3685,'Detail Balok'!$C$10:$AU$140,12,FALSE)</f>
        <v>13</v>
      </c>
      <c r="G3694" s="388"/>
      <c r="H3694" s="395"/>
      <c r="I3694" s="388" t="s">
        <v>203</v>
      </c>
      <c r="J3694" s="399">
        <f t="shared" ref="J3694" si="11889">+D3687/4/1000</f>
        <v>1</v>
      </c>
      <c r="K3694" s="400" t="s">
        <v>204</v>
      </c>
      <c r="L3694" s="399">
        <f t="shared" ref="L3694" si="11890">MAX(VLOOKUP(F3694,N$6:P$15,3,FALSE)/1000,2/3*D3689/1000)+F$16*F3694/1000</f>
        <v>0.156</v>
      </c>
      <c r="M3694" s="399" t="s">
        <v>176</v>
      </c>
      <c r="N3694" s="399">
        <f t="shared" si="11876"/>
        <v>1.1559999999999999</v>
      </c>
      <c r="O3694" s="399" t="s">
        <v>204</v>
      </c>
      <c r="P3694" s="389">
        <f t="shared" ref="P3694" si="11891">D3694-D3693</f>
        <v>0</v>
      </c>
      <c r="Q3694" s="399" t="s">
        <v>125</v>
      </c>
      <c r="R3694" s="399">
        <f t="shared" ref="R3694" si="11892">IF(P3694&gt;0,$F$18*F3694/1000,0)</f>
        <v>0</v>
      </c>
      <c r="S3694" s="399" t="s">
        <v>205</v>
      </c>
      <c r="T3694" s="399" t="s">
        <v>125</v>
      </c>
      <c r="U3694" s="401">
        <f t="shared" si="11879"/>
        <v>1.041885</v>
      </c>
      <c r="V3694" s="399"/>
      <c r="W3694" s="399"/>
      <c r="X3694" s="399" t="s">
        <v>125</v>
      </c>
      <c r="Y3694" s="389">
        <f t="shared" ref="Y3694" si="11893">D3691</f>
        <v>1</v>
      </c>
      <c r="Z3694" s="400" t="s">
        <v>176</v>
      </c>
      <c r="AA3694" s="402">
        <f t="shared" ref="AA3694" si="11894">IF(AA3695=0,(D3694*N3694+P3694*R3694)*U3694*Y3694,0)</f>
        <v>0</v>
      </c>
      <c r="AB3694" s="403"/>
    </row>
    <row r="3695" spans="1:28">
      <c r="A3695" s="384" t="str">
        <f t="shared" ref="A3695:B3695" si="11895">A3685</f>
        <v>Lantai 2</v>
      </c>
      <c r="B3695" s="385">
        <f t="shared" si="11895"/>
        <v>36</v>
      </c>
      <c r="C3695" s="393"/>
      <c r="D3695" s="398">
        <f t="shared" si="11791"/>
        <v>3</v>
      </c>
      <c r="E3695" s="388" t="s">
        <v>16</v>
      </c>
      <c r="F3695" s="388">
        <f t="shared" si="11792"/>
        <v>13</v>
      </c>
      <c r="G3695" s="388"/>
      <c r="H3695" s="395"/>
      <c r="I3695" s="388"/>
      <c r="J3695" s="396"/>
      <c r="K3695" s="396"/>
      <c r="L3695" s="404" t="s">
        <v>207</v>
      </c>
      <c r="M3695" s="399" t="s">
        <v>176</v>
      </c>
      <c r="N3695" s="399">
        <f t="shared" ref="N3695" si="11896">IF(AND(D3692=D3693,D3692=D3694,D3693=D3694,F3692=F3693,F3692=F3694,F3693=F3694),SUM(N3692:N3694),0)</f>
        <v>4.3119999999999994</v>
      </c>
      <c r="O3695" s="399" t="s">
        <v>204</v>
      </c>
      <c r="P3695" s="389">
        <f t="shared" ref="P3695" si="11897">IF(N3695&gt;12,ROUNDDOWN(N3695/12,0),0)</f>
        <v>0</v>
      </c>
      <c r="Q3695" s="399" t="s">
        <v>125</v>
      </c>
      <c r="R3695" s="399">
        <f t="shared" ref="R3695" si="11898">IF(P3695&gt;0,MAX(VLOOKUP(F3695,$D$6:$G$15,3,FALSE),600),0)/1000</f>
        <v>0</v>
      </c>
      <c r="S3695" s="396"/>
      <c r="T3695" s="396" t="s">
        <v>125</v>
      </c>
      <c r="U3695" s="401">
        <f t="shared" si="11796"/>
        <v>1.041885</v>
      </c>
      <c r="V3695" s="396" t="s">
        <v>125</v>
      </c>
      <c r="W3695" s="399">
        <f t="shared" ref="W3695" si="11899">D3695</f>
        <v>3</v>
      </c>
      <c r="X3695" s="399" t="s">
        <v>125</v>
      </c>
      <c r="Y3695" s="389">
        <f t="shared" si="11798"/>
        <v>1</v>
      </c>
      <c r="Z3695" s="400" t="s">
        <v>176</v>
      </c>
      <c r="AA3695" s="402">
        <f t="shared" ref="AA3695" si="11900">(N3695+P3695*R3695/1000)*U3695*W3695*Y3695</f>
        <v>13.477824359999996</v>
      </c>
      <c r="AB3695" s="390"/>
    </row>
    <row r="3696" spans="1:28">
      <c r="A3696" s="384"/>
      <c r="B3696" s="385"/>
      <c r="C3696" s="393"/>
      <c r="D3696" s="398"/>
      <c r="E3696" s="388"/>
      <c r="F3696" s="388"/>
      <c r="G3696" s="388"/>
      <c r="H3696" s="395"/>
      <c r="I3696" s="388"/>
      <c r="J3696" s="396"/>
      <c r="K3696" s="396"/>
      <c r="L3696" s="404"/>
      <c r="M3696" s="399"/>
      <c r="N3696" s="399"/>
      <c r="O3696" s="396"/>
      <c r="P3696" s="389"/>
      <c r="Q3696" s="396"/>
      <c r="R3696" s="396"/>
      <c r="S3696" s="396"/>
      <c r="T3696" s="396"/>
      <c r="U3696" s="401"/>
      <c r="V3696" s="396"/>
      <c r="W3696" s="399"/>
      <c r="X3696" s="396"/>
      <c r="Y3696" s="389"/>
      <c r="Z3696" s="396"/>
      <c r="AA3696" s="388"/>
      <c r="AB3696" s="390"/>
    </row>
    <row r="3697" spans="1:28">
      <c r="A3697" s="384" t="str">
        <f t="shared" ref="A3697:B3697" si="11901">A3685</f>
        <v>Lantai 2</v>
      </c>
      <c r="B3697" s="385">
        <f t="shared" si="11901"/>
        <v>36</v>
      </c>
      <c r="C3697" s="393" t="s">
        <v>208</v>
      </c>
      <c r="D3697" s="398">
        <f>VLOOKUP(D3685,'Detail Balok'!$C$10:$AU$140,13,FALSE)</f>
        <v>0</v>
      </c>
      <c r="E3697" s="388" t="s">
        <v>16</v>
      </c>
      <c r="F3697" s="388">
        <f>VLOOKUP(D3685,'Detail Balok'!$C$10:$AU$140,15,FALSE)</f>
        <v>8</v>
      </c>
      <c r="G3697" s="388"/>
      <c r="H3697" s="395"/>
      <c r="I3697" s="388"/>
      <c r="J3697" s="399">
        <f t="shared" ref="J3697" si="11902">+D3687/1000</f>
        <v>4</v>
      </c>
      <c r="K3697" s="400" t="s">
        <v>204</v>
      </c>
      <c r="L3697" s="399">
        <f t="shared" ref="L3697" si="11903">2*$F$16*F3697/1000</f>
        <v>0.192</v>
      </c>
      <c r="M3697" s="399" t="s">
        <v>176</v>
      </c>
      <c r="N3697" s="399">
        <f t="shared" ref="N3697" si="11904">J3697+L3697</f>
        <v>4.1920000000000002</v>
      </c>
      <c r="O3697" s="399" t="s">
        <v>204</v>
      </c>
      <c r="P3697" s="389">
        <f t="shared" ref="P3697" si="11905">IF(N3697&gt;12,ROUNDDOWN(N3697/12,0),0)</f>
        <v>0</v>
      </c>
      <c r="Q3697" s="399" t="s">
        <v>125</v>
      </c>
      <c r="R3697" s="399">
        <f t="shared" ref="R3697" si="11906">IF(P3697&gt;0,MAX(VLOOKUP(F3697,$D$6:$G$15,3,FALSE),600),0)/1000</f>
        <v>0</v>
      </c>
      <c r="S3697" s="399"/>
      <c r="T3697" s="399" t="s">
        <v>125</v>
      </c>
      <c r="U3697" s="401">
        <f t="shared" ref="U3697" si="11907">0.006165*F3697^2</f>
        <v>0.39456000000000002</v>
      </c>
      <c r="V3697" s="399" t="s">
        <v>125</v>
      </c>
      <c r="W3697" s="399">
        <f t="shared" ref="W3697" si="11908">+D3697</f>
        <v>0</v>
      </c>
      <c r="X3697" s="399" t="s">
        <v>125</v>
      </c>
      <c r="Y3697" s="389">
        <f t="shared" ref="Y3697" si="11909">D3691</f>
        <v>1</v>
      </c>
      <c r="Z3697" s="400" t="s">
        <v>176</v>
      </c>
      <c r="AA3697" s="402">
        <f t="shared" ref="AA3697" si="11910">(N3697+P3697*R3697/1000)*U3697*W3697*Y3697</f>
        <v>0</v>
      </c>
      <c r="AB3697" s="403"/>
    </row>
    <row r="3698" spans="1:28">
      <c r="A3698" s="384"/>
      <c r="B3698" s="385"/>
      <c r="C3698" s="393"/>
      <c r="D3698" s="398"/>
      <c r="E3698" s="388"/>
      <c r="F3698" s="388"/>
      <c r="G3698" s="388"/>
      <c r="H3698" s="395"/>
      <c r="I3698" s="388"/>
      <c r="J3698" s="399"/>
      <c r="K3698" s="400"/>
      <c r="L3698" s="399"/>
      <c r="M3698" s="399"/>
      <c r="N3698" s="399"/>
      <c r="O3698" s="399"/>
      <c r="P3698" s="389"/>
      <c r="Q3698" s="399"/>
      <c r="R3698" s="399"/>
      <c r="S3698" s="399"/>
      <c r="T3698" s="399"/>
      <c r="U3698" s="401"/>
      <c r="V3698" s="399"/>
      <c r="W3698" s="399"/>
      <c r="X3698" s="399"/>
      <c r="Y3698" s="389"/>
      <c r="Z3698" s="400"/>
      <c r="AA3698" s="402"/>
      <c r="AB3698" s="403"/>
    </row>
    <row r="3699" spans="1:28">
      <c r="A3699" s="384"/>
      <c r="B3699" s="385"/>
      <c r="C3699" s="393"/>
      <c r="D3699" s="398"/>
      <c r="E3699" s="388"/>
      <c r="F3699" s="388"/>
      <c r="G3699" s="388"/>
      <c r="H3699" s="395"/>
      <c r="I3699" s="388"/>
      <c r="J3699" s="396"/>
      <c r="K3699" s="396"/>
      <c r="L3699" s="396"/>
      <c r="M3699" s="396"/>
      <c r="N3699" s="396"/>
      <c r="O3699" s="396"/>
      <c r="P3699" s="389"/>
      <c r="Q3699" s="396"/>
      <c r="R3699" s="396"/>
      <c r="S3699" s="396"/>
      <c r="T3699" s="396"/>
      <c r="U3699" s="401"/>
      <c r="V3699" s="396"/>
      <c r="W3699" s="399"/>
      <c r="X3699" s="396"/>
      <c r="Y3699" s="389"/>
      <c r="Z3699" s="396"/>
      <c r="AA3699" s="388"/>
      <c r="AB3699" s="390"/>
    </row>
    <row r="3700" spans="1:28">
      <c r="A3700" s="384" t="str">
        <f t="shared" ref="A3700:B3700" si="11911">A3685</f>
        <v>Lantai 2</v>
      </c>
      <c r="B3700" s="385">
        <f t="shared" si="11911"/>
        <v>36</v>
      </c>
      <c r="C3700" s="393" t="s">
        <v>209</v>
      </c>
      <c r="D3700" s="398">
        <f>VLOOKUP(D3685,'Detail Balok'!$C$10:$AU$140,22,FALSE)</f>
        <v>3</v>
      </c>
      <c r="E3700" s="388" t="s">
        <v>16</v>
      </c>
      <c r="F3700" s="388">
        <f>VLOOKUP(D3685,'Detail Balok'!$C$10:$AU$140,24,FALSE)</f>
        <v>13</v>
      </c>
      <c r="G3700" s="388"/>
      <c r="H3700" s="395"/>
      <c r="I3700" s="388" t="s">
        <v>203</v>
      </c>
      <c r="J3700" s="399">
        <f t="shared" si="11811"/>
        <v>1</v>
      </c>
      <c r="K3700" s="400" t="s">
        <v>204</v>
      </c>
      <c r="L3700" s="399">
        <f t="shared" ref="L3700" si="11912">MAX(VLOOKUP(F3700,N$6:P$15,3,FALSE)/1000,2/3*D3690/1000)+F$16*F3700/1000</f>
        <v>0.156</v>
      </c>
      <c r="M3700" s="399" t="s">
        <v>176</v>
      </c>
      <c r="N3700" s="399">
        <f t="shared" ref="N3700:N3702" si="11913">J3700+L3700</f>
        <v>1.1559999999999999</v>
      </c>
      <c r="O3700" s="399" t="s">
        <v>204</v>
      </c>
      <c r="P3700" s="389">
        <f t="shared" ref="P3700" si="11914">D3700-D3701</f>
        <v>0</v>
      </c>
      <c r="Q3700" s="399" t="s">
        <v>125</v>
      </c>
      <c r="R3700" s="399">
        <f t="shared" ref="R3700" si="11915">IF(P3700&gt;0,$F$18*F3700/1000,0)</f>
        <v>0</v>
      </c>
      <c r="S3700" s="399" t="s">
        <v>205</v>
      </c>
      <c r="T3700" s="399" t="s">
        <v>125</v>
      </c>
      <c r="U3700" s="401">
        <f t="shared" ref="U3700:U3702" si="11916">0.006165*F3700^2</f>
        <v>1.041885</v>
      </c>
      <c r="V3700" s="399"/>
      <c r="W3700" s="399"/>
      <c r="X3700" s="399" t="s">
        <v>125</v>
      </c>
      <c r="Y3700" s="389">
        <f t="shared" ref="Y3700" si="11917">D3691</f>
        <v>1</v>
      </c>
      <c r="Z3700" s="400" t="s">
        <v>176</v>
      </c>
      <c r="AA3700" s="402">
        <f t="shared" ref="AA3700" si="11918">IF(AA3703=0,(D3700*N3700+P3700*R3700)*U3700*Y3700,0)</f>
        <v>0</v>
      </c>
      <c r="AB3700" s="403"/>
    </row>
    <row r="3701" spans="1:28">
      <c r="A3701" s="384" t="str">
        <f t="shared" ref="A3701:B3701" si="11919">A3685</f>
        <v>Lantai 2</v>
      </c>
      <c r="B3701" s="385">
        <f t="shared" si="11919"/>
        <v>36</v>
      </c>
      <c r="C3701" s="393" t="s">
        <v>210</v>
      </c>
      <c r="D3701" s="398">
        <f>VLOOKUP(D3685,'Detail Balok'!$C$10:$AU$140,25,FALSE)</f>
        <v>3</v>
      </c>
      <c r="E3701" s="388" t="s">
        <v>16</v>
      </c>
      <c r="F3701" s="388">
        <f>VLOOKUP(D3685,'Detail Balok'!$C$10:$AU$140,27,FALSE)</f>
        <v>13</v>
      </c>
      <c r="G3701" s="388"/>
      <c r="H3701" s="395"/>
      <c r="I3701" s="388" t="s">
        <v>203</v>
      </c>
      <c r="J3701" s="399">
        <f t="shared" si="11811"/>
        <v>2</v>
      </c>
      <c r="K3701" s="400" t="s">
        <v>204</v>
      </c>
      <c r="L3701" s="399"/>
      <c r="M3701" s="399" t="s">
        <v>176</v>
      </c>
      <c r="N3701" s="399">
        <f t="shared" si="11913"/>
        <v>2</v>
      </c>
      <c r="O3701" s="399" t="s">
        <v>204</v>
      </c>
      <c r="P3701" s="389">
        <f t="shared" ref="P3701" si="11920">MAX(D3701-D3700,D3701-D3702)</f>
        <v>0</v>
      </c>
      <c r="Q3701" s="399" t="s">
        <v>125</v>
      </c>
      <c r="R3701" s="399">
        <f t="shared" ref="R3701" si="11921">IF(P3701&gt;0,2*(1-2*$F$19-1/2)*D3688/1000,0)</f>
        <v>0</v>
      </c>
      <c r="S3701" s="399" t="s">
        <v>205</v>
      </c>
      <c r="T3701" s="399" t="s">
        <v>125</v>
      </c>
      <c r="U3701" s="401">
        <f t="shared" si="11916"/>
        <v>1.041885</v>
      </c>
      <c r="V3701" s="399"/>
      <c r="W3701" s="399"/>
      <c r="X3701" s="399" t="s">
        <v>125</v>
      </c>
      <c r="Y3701" s="389">
        <f t="shared" ref="Y3701" si="11922">D3691</f>
        <v>1</v>
      </c>
      <c r="Z3701" s="400" t="s">
        <v>176</v>
      </c>
      <c r="AA3701" s="402">
        <f t="shared" ref="AA3701" si="11923">IF(AA3703=0,(D3701*N3701+P3701*R3701)*U3701*Y3701,0)</f>
        <v>0</v>
      </c>
      <c r="AB3701" s="403"/>
    </row>
    <row r="3702" spans="1:28">
      <c r="A3702" s="384" t="str">
        <f t="shared" ref="A3702:B3702" si="11924">A3685</f>
        <v>Lantai 2</v>
      </c>
      <c r="B3702" s="385">
        <f t="shared" si="11924"/>
        <v>36</v>
      </c>
      <c r="C3702" s="393" t="s">
        <v>209</v>
      </c>
      <c r="D3702" s="398">
        <f>VLOOKUP(D3685,'Detail Balok'!$C$10:$AU$140,28,FALSE)</f>
        <v>3</v>
      </c>
      <c r="E3702" s="388" t="s">
        <v>16</v>
      </c>
      <c r="F3702" s="388">
        <f>VLOOKUP(D3685,'Detail Balok'!$C$10:$AU$140,30,FALSE)</f>
        <v>13</v>
      </c>
      <c r="G3702" s="388"/>
      <c r="H3702" s="395"/>
      <c r="I3702" s="388" t="s">
        <v>203</v>
      </c>
      <c r="J3702" s="399">
        <f t="shared" si="11811"/>
        <v>1</v>
      </c>
      <c r="K3702" s="400" t="s">
        <v>204</v>
      </c>
      <c r="L3702" s="399">
        <f t="shared" ref="L3702" si="11925">MAX(VLOOKUP(F3702,N$6:P$15,3,FALSE)/1000,2/3*D3690/1000)+F$16*F3702/1000</f>
        <v>0.156</v>
      </c>
      <c r="M3702" s="399" t="s">
        <v>176</v>
      </c>
      <c r="N3702" s="399">
        <f t="shared" si="11913"/>
        <v>1.1559999999999999</v>
      </c>
      <c r="O3702" s="399" t="s">
        <v>204</v>
      </c>
      <c r="P3702" s="389">
        <f t="shared" ref="P3702" si="11926">D3702-D3701</f>
        <v>0</v>
      </c>
      <c r="Q3702" s="399" t="s">
        <v>125</v>
      </c>
      <c r="R3702" s="399">
        <f t="shared" ref="R3702" si="11927">IF(P3702&gt;0,$F$18*F3702/1000,0)</f>
        <v>0</v>
      </c>
      <c r="S3702" s="399" t="s">
        <v>205</v>
      </c>
      <c r="T3702" s="399" t="s">
        <v>125</v>
      </c>
      <c r="U3702" s="401">
        <f t="shared" si="11916"/>
        <v>1.041885</v>
      </c>
      <c r="V3702" s="399"/>
      <c r="W3702" s="399"/>
      <c r="X3702" s="399" t="s">
        <v>125</v>
      </c>
      <c r="Y3702" s="389">
        <f t="shared" ref="Y3702" si="11928">D3691</f>
        <v>1</v>
      </c>
      <c r="Z3702" s="400" t="s">
        <v>176</v>
      </c>
      <c r="AA3702" s="402">
        <f t="shared" ref="AA3702" si="11929">IF(AA3703=0,(D3702*N3702+P3702*R3702)*U3702*Y3702,0)</f>
        <v>0</v>
      </c>
      <c r="AB3702" s="403"/>
    </row>
    <row r="3703" spans="1:28">
      <c r="A3703" s="384" t="str">
        <f t="shared" ref="A3703:B3703" si="11930">A3685</f>
        <v>Lantai 2</v>
      </c>
      <c r="B3703" s="385">
        <f t="shared" si="11930"/>
        <v>36</v>
      </c>
      <c r="C3703" s="393"/>
      <c r="D3703" s="398">
        <f t="shared" si="11831"/>
        <v>3</v>
      </c>
      <c r="E3703" s="388" t="s">
        <v>16</v>
      </c>
      <c r="F3703" s="388">
        <f t="shared" si="11832"/>
        <v>13</v>
      </c>
      <c r="G3703" s="388"/>
      <c r="H3703" s="395"/>
      <c r="I3703" s="388"/>
      <c r="J3703" s="396"/>
      <c r="K3703" s="396"/>
      <c r="L3703" s="404" t="s">
        <v>207</v>
      </c>
      <c r="M3703" s="399" t="s">
        <v>176</v>
      </c>
      <c r="N3703" s="399">
        <f t="shared" ref="N3703" si="11931">IF(AND(D3700=D3701,D3700=D3702,D3701=D3702,F3700=F3701,F3700=F3702,F3701=F3702),SUM(N3700:N3702),0)</f>
        <v>4.3119999999999994</v>
      </c>
      <c r="O3703" s="399" t="s">
        <v>204</v>
      </c>
      <c r="P3703" s="389">
        <f t="shared" ref="P3703" si="11932">IF(N3703&gt;12,ROUNDDOWN(N3703/12,0),0)</f>
        <v>0</v>
      </c>
      <c r="Q3703" s="399" t="s">
        <v>125</v>
      </c>
      <c r="R3703" s="399">
        <f t="shared" ref="R3703" si="11933">IF(P3703&gt;0,MAX(VLOOKUP(F3703,$D$6:$G$15,3,FALSE),600),0)/1000</f>
        <v>0</v>
      </c>
      <c r="S3703" s="396"/>
      <c r="T3703" s="396" t="s">
        <v>125</v>
      </c>
      <c r="U3703" s="401">
        <f t="shared" si="11836"/>
        <v>1.041885</v>
      </c>
      <c r="V3703" s="396" t="s">
        <v>125</v>
      </c>
      <c r="W3703" s="399">
        <f t="shared" ref="W3703" si="11934">D3703</f>
        <v>3</v>
      </c>
      <c r="X3703" s="399" t="s">
        <v>125</v>
      </c>
      <c r="Y3703" s="389">
        <f t="shared" si="11838"/>
        <v>1</v>
      </c>
      <c r="Z3703" s="400" t="s">
        <v>176</v>
      </c>
      <c r="AA3703" s="402">
        <f t="shared" ref="AA3703" si="11935">(N3703+P3703*R3703/1000)*U3703*W3703*Y3703</f>
        <v>13.477824359999996</v>
      </c>
      <c r="AB3703" s="403"/>
    </row>
    <row r="3704" spans="1:28">
      <c r="A3704" s="384"/>
      <c r="B3704" s="385"/>
      <c r="C3704" s="393"/>
      <c r="D3704" s="394"/>
      <c r="E3704" s="388"/>
      <c r="F3704" s="388"/>
      <c r="G3704" s="388"/>
      <c r="H3704" s="395"/>
      <c r="I3704" s="388"/>
      <c r="J3704" s="399"/>
      <c r="K3704" s="396"/>
      <c r="L3704" s="396"/>
      <c r="M3704" s="396"/>
      <c r="N3704" s="396"/>
      <c r="O3704" s="396"/>
      <c r="P3704" s="389"/>
      <c r="Q3704" s="396"/>
      <c r="R3704" s="396"/>
      <c r="S3704" s="396"/>
      <c r="T3704" s="396"/>
      <c r="U3704" s="401"/>
      <c r="V3704" s="396"/>
      <c r="W3704" s="388"/>
      <c r="X3704" s="396"/>
      <c r="Y3704" s="389"/>
      <c r="Z3704" s="396"/>
      <c r="AA3704" s="388"/>
      <c r="AB3704" s="390"/>
    </row>
    <row r="3705" spans="1:28">
      <c r="A3705" s="384" t="str">
        <f t="shared" ref="A3705:B3705" si="11936">A3685</f>
        <v>Lantai 2</v>
      </c>
      <c r="B3705" s="385">
        <f t="shared" si="11936"/>
        <v>36</v>
      </c>
      <c r="C3705" s="393" t="s">
        <v>211</v>
      </c>
      <c r="D3705" s="398">
        <f>VLOOKUP(D3685,'Detail Balok'!$C$10:$AU$140,31,FALSE)</f>
        <v>0</v>
      </c>
      <c r="E3705" s="388" t="s">
        <v>16</v>
      </c>
      <c r="F3705" s="388">
        <f>VLOOKUP(D3685,'Detail Balok'!$C$10:$AU$140,33,FALSE)</f>
        <v>10</v>
      </c>
      <c r="G3705" s="405" t="s">
        <v>157</v>
      </c>
      <c r="H3705" s="395">
        <f>VLOOKUP(D3685,'Detail Balok'!$C$10:$AU$140,35,FALSE)</f>
        <v>100</v>
      </c>
      <c r="I3705" s="388"/>
      <c r="J3705" s="400">
        <f t="shared" ref="J3705" si="11937">(IF(D3705=0,(2*(D3686+G3686))-(F$5*8),IF(D3705=3,(2*(D3686+G3686))-(F$5*8)+(G3686-2*F$5),IF(D3705=4,(2*(D3686+G3686))-(F$5*8)+2*(G3686-2*F$5)))))/1000</f>
        <v>0.88</v>
      </c>
      <c r="K3705" s="400" t="s">
        <v>204</v>
      </c>
      <c r="L3705" s="399">
        <f t="shared" ref="L3705:L3707" si="11938">IF(D3705=0,2*MAX(6*F3705,75),(D3705-1)*2*MAX(6*F3705,75))/1000</f>
        <v>0.15</v>
      </c>
      <c r="M3705" s="399" t="s">
        <v>176</v>
      </c>
      <c r="N3705" s="399">
        <f t="shared" ref="N3705:N3707" si="11939">J3705+L3705</f>
        <v>1.03</v>
      </c>
      <c r="O3705" s="399"/>
      <c r="P3705" s="389"/>
      <c r="Q3705" s="399"/>
      <c r="R3705" s="399"/>
      <c r="S3705" s="399"/>
      <c r="T3705" s="399" t="s">
        <v>125</v>
      </c>
      <c r="U3705" s="401">
        <f t="shared" ref="U3705:U3707" si="11940">0.006165*F3705^2</f>
        <v>0.61650000000000005</v>
      </c>
      <c r="V3705" s="399" t="s">
        <v>125</v>
      </c>
      <c r="W3705" s="399">
        <f t="shared" ref="W3705" si="11941">IF(D3688&gt;4*G3686,ROUND(MAX(D3688/4,2*G3686)/H3705,0)+1,ROUND(D3688/H3705,0)+1)</f>
        <v>11</v>
      </c>
      <c r="X3705" s="399" t="s">
        <v>125</v>
      </c>
      <c r="Y3705" s="389">
        <f t="shared" ref="Y3705" si="11942">D3691</f>
        <v>1</v>
      </c>
      <c r="Z3705" s="400" t="s">
        <v>176</v>
      </c>
      <c r="AA3705" s="402">
        <f t="shared" ref="AA3705:AA3707" si="11943">N3705*U3705*W3705*Y3705</f>
        <v>6.9849450000000006</v>
      </c>
      <c r="AB3705" s="403"/>
    </row>
    <row r="3706" spans="1:28">
      <c r="A3706" s="384" t="str">
        <f t="shared" ref="A3706:B3706" si="11944">A3685</f>
        <v>Lantai 2</v>
      </c>
      <c r="B3706" s="385">
        <f t="shared" si="11944"/>
        <v>36</v>
      </c>
      <c r="C3706" s="393" t="s">
        <v>212</v>
      </c>
      <c r="D3706" s="398">
        <f>VLOOKUP(D3685,'Detail Balok'!$C$10:$AU$140,36,FALSE)</f>
        <v>0</v>
      </c>
      <c r="E3706" s="388" t="s">
        <v>16</v>
      </c>
      <c r="F3706" s="388">
        <f>VLOOKUP(D3685,'Detail Balok'!$C$10:$AU$140,38,FALSE)</f>
        <v>10</v>
      </c>
      <c r="G3706" s="405" t="s">
        <v>157</v>
      </c>
      <c r="H3706" s="395">
        <f>VLOOKUP(D3685,'Detail Balok'!$C$10:$AU$140,40,FALSE)</f>
        <v>200</v>
      </c>
      <c r="I3706" s="388"/>
      <c r="J3706" s="400">
        <f t="shared" ref="J3706" si="11945">(IF(D3706=0,(2*(D3686+G3686))-(F$5*8),IF(D3706=3,(2*(D3686+G3686))-(F$5*8)+(G3686-2*F$5),IF(D3706=4,(2*(D3686+G3686))-(F$5*8)+2*(G3686-2*F$5)))))/1000</f>
        <v>0.88</v>
      </c>
      <c r="K3706" s="400" t="s">
        <v>204</v>
      </c>
      <c r="L3706" s="399">
        <f t="shared" si="11938"/>
        <v>0.15</v>
      </c>
      <c r="M3706" s="399" t="s">
        <v>176</v>
      </c>
      <c r="N3706" s="399">
        <f t="shared" si="11939"/>
        <v>1.03</v>
      </c>
      <c r="O3706" s="399"/>
      <c r="P3706" s="389"/>
      <c r="Q3706" s="399"/>
      <c r="R3706" s="399"/>
      <c r="S3706" s="399"/>
      <c r="T3706" s="399" t="s">
        <v>125</v>
      </c>
      <c r="U3706" s="401">
        <f t="shared" si="11940"/>
        <v>0.61650000000000005</v>
      </c>
      <c r="V3706" s="399" t="s">
        <v>125</v>
      </c>
      <c r="W3706" s="399">
        <f t="shared" ref="W3706" si="11946">IF(D3688-MAX(D3688/4,2*G3686)*2&gt;0,ROUND((D3688-MAX(D3688/4,2*G3686)*2)/H3706,0),0)</f>
        <v>10</v>
      </c>
      <c r="X3706" s="399" t="s">
        <v>125</v>
      </c>
      <c r="Y3706" s="389">
        <f t="shared" ref="Y3706" si="11947">D3691</f>
        <v>1</v>
      </c>
      <c r="Z3706" s="400" t="s">
        <v>176</v>
      </c>
      <c r="AA3706" s="402">
        <f t="shared" si="11943"/>
        <v>6.3499500000000006</v>
      </c>
      <c r="AB3706" s="403"/>
    </row>
    <row r="3707" spans="1:28">
      <c r="A3707" s="384" t="str">
        <f t="shared" ref="A3707:B3707" si="11948">A3685</f>
        <v>Lantai 2</v>
      </c>
      <c r="B3707" s="385">
        <f t="shared" si="11948"/>
        <v>36</v>
      </c>
      <c r="C3707" s="393" t="s">
        <v>211</v>
      </c>
      <c r="D3707" s="398">
        <f>VLOOKUP(D3685,'Detail Balok'!$C$10:$AU$140,41,FALSE)</f>
        <v>0</v>
      </c>
      <c r="E3707" s="388" t="s">
        <v>16</v>
      </c>
      <c r="F3707" s="388">
        <f>VLOOKUP(D3685,'Detail Balok'!$C$10:$AU$140,43,FALSE)</f>
        <v>10</v>
      </c>
      <c r="G3707" s="405" t="s">
        <v>157</v>
      </c>
      <c r="H3707" s="395">
        <f>VLOOKUP(D3685,'Detail Balok'!$C$10:$AU$140,45,FALSE)</f>
        <v>100</v>
      </c>
      <c r="I3707" s="388"/>
      <c r="J3707" s="400">
        <f t="shared" ref="J3707" si="11949">(IF(D3707=0,(2*(D3686+G3686))-(F$5*8),IF(D3707=3,(2*(D3686+G3686))-(F$5*8)+(G3686-2*F$5),IF(D3707=4,(2*(D3686+G3686))-(F$5*8)+2*(G3686-2*F$5)))))/1000</f>
        <v>0.88</v>
      </c>
      <c r="K3707" s="400" t="s">
        <v>204</v>
      </c>
      <c r="L3707" s="399">
        <f t="shared" si="11938"/>
        <v>0.15</v>
      </c>
      <c r="M3707" s="399" t="s">
        <v>176</v>
      </c>
      <c r="N3707" s="399">
        <f t="shared" si="11939"/>
        <v>1.03</v>
      </c>
      <c r="O3707" s="399"/>
      <c r="P3707" s="389"/>
      <c r="Q3707" s="399"/>
      <c r="R3707" s="399"/>
      <c r="S3707" s="399"/>
      <c r="T3707" s="399" t="s">
        <v>125</v>
      </c>
      <c r="U3707" s="401">
        <f t="shared" si="11940"/>
        <v>0.61650000000000005</v>
      </c>
      <c r="V3707" s="399" t="s">
        <v>125</v>
      </c>
      <c r="W3707" s="399">
        <f t="shared" ref="W3707" si="11950">IF(D3688&gt;4*G3686,ROUND(MAX(D3688/4,2*G3686)/H3707,0)+1,0)</f>
        <v>11</v>
      </c>
      <c r="X3707" s="399" t="s">
        <v>125</v>
      </c>
      <c r="Y3707" s="389">
        <f t="shared" ref="Y3707" si="11951">D3691</f>
        <v>1</v>
      </c>
      <c r="Z3707" s="400" t="s">
        <v>176</v>
      </c>
      <c r="AA3707" s="402">
        <f t="shared" si="11943"/>
        <v>6.9849450000000006</v>
      </c>
      <c r="AB3707" s="403"/>
    </row>
    <row r="3708" spans="1:28">
      <c r="A3708" s="384"/>
      <c r="B3708" s="385"/>
      <c r="C3708" s="393"/>
      <c r="D3708" s="394"/>
      <c r="E3708" s="388"/>
      <c r="F3708" s="388"/>
      <c r="G3708" s="388"/>
      <c r="H3708" s="395"/>
      <c r="I3708" s="388"/>
      <c r="J3708" s="399"/>
      <c r="K3708" s="396"/>
      <c r="L3708" s="396"/>
      <c r="M3708" s="396"/>
      <c r="N3708" s="396"/>
      <c r="O3708" s="396"/>
      <c r="P3708" s="389"/>
      <c r="Q3708" s="396"/>
      <c r="R3708" s="396"/>
      <c r="S3708" s="396"/>
      <c r="T3708" s="396"/>
      <c r="U3708" s="401"/>
      <c r="V3708" s="396"/>
      <c r="W3708" s="388"/>
      <c r="X3708" s="396"/>
      <c r="Y3708" s="389"/>
      <c r="Z3708" s="396"/>
      <c r="AA3708" s="388"/>
      <c r="AB3708" s="390"/>
    </row>
    <row r="3709" spans="1:28">
      <c r="A3709" s="384" t="str">
        <f t="shared" ref="A3709:B3709" si="11952">A3685</f>
        <v>Lantai 2</v>
      </c>
      <c r="B3709" s="385">
        <f t="shared" si="11952"/>
        <v>36</v>
      </c>
      <c r="C3709" s="393" t="s">
        <v>213</v>
      </c>
      <c r="D3709" s="398">
        <f>VLOOKUP(D3685,'Detail Balok'!$C$10:$BJ$140,46,FALSE)</f>
        <v>0</v>
      </c>
      <c r="E3709" s="388" t="s">
        <v>16</v>
      </c>
      <c r="F3709" s="388">
        <f>VLOOKUP(D3685,'Detail Balok'!$C$10:$BJ$140,48,FALSE)</f>
        <v>0</v>
      </c>
      <c r="G3709" s="405" t="s">
        <v>157</v>
      </c>
      <c r="H3709" s="395">
        <f>VLOOKUP(D3685,'Detail Balok'!$C$10:$BJ$140,50,FALSE)</f>
        <v>100</v>
      </c>
      <c r="I3709" s="388"/>
      <c r="J3709" s="399">
        <f t="shared" ref="J3709" si="11953">(D3686-2*F$5)/1000</f>
        <v>0.12</v>
      </c>
      <c r="K3709" s="400" t="s">
        <v>204</v>
      </c>
      <c r="L3709" s="399">
        <f t="shared" ref="L3709:L3711" si="11954">IF(D3709=0,2*MAX(6*F3709,75),(D3709-1)*2*MAX(6*F3709,75))/1000</f>
        <v>0.15</v>
      </c>
      <c r="M3709" s="399" t="s">
        <v>176</v>
      </c>
      <c r="N3709" s="399">
        <f t="shared" ref="N3709:N3711" si="11955">J3709+L3709</f>
        <v>0.27</v>
      </c>
      <c r="O3709" s="399"/>
      <c r="P3709" s="399"/>
      <c r="Q3709" s="399"/>
      <c r="R3709" s="399"/>
      <c r="S3709" s="399"/>
      <c r="T3709" s="399" t="s">
        <v>125</v>
      </c>
      <c r="U3709" s="401">
        <f t="shared" ref="U3709:U3711" si="11956">0.006165*F3709^2</f>
        <v>0</v>
      </c>
      <c r="V3709" s="399" t="s">
        <v>125</v>
      </c>
      <c r="W3709" s="399">
        <f t="shared" si="11861"/>
        <v>11</v>
      </c>
      <c r="X3709" s="399" t="s">
        <v>125</v>
      </c>
      <c r="Y3709" s="389">
        <f t="shared" ref="Y3709" si="11957">D3695</f>
        <v>3</v>
      </c>
      <c r="Z3709" s="400" t="s">
        <v>176</v>
      </c>
      <c r="AA3709" s="402">
        <f t="shared" ref="AA3709:AA3711" si="11958">N3709*U3709*W3709*Y3709</f>
        <v>0</v>
      </c>
      <c r="AB3709" s="403"/>
    </row>
    <row r="3710" spans="1:28">
      <c r="A3710" s="384" t="str">
        <f t="shared" ref="A3710:B3710" si="11959">A3685</f>
        <v>Lantai 2</v>
      </c>
      <c r="B3710" s="385">
        <f t="shared" si="11959"/>
        <v>36</v>
      </c>
      <c r="C3710" s="393" t="s">
        <v>214</v>
      </c>
      <c r="D3710" s="398">
        <f>VLOOKUP(D3685,'Detail Balok'!$C$10:$BJ$140,51,FALSE)</f>
        <v>0</v>
      </c>
      <c r="E3710" s="388" t="s">
        <v>16</v>
      </c>
      <c r="F3710" s="388">
        <f>VLOOKUP(D3685,'Detail Balok'!$C$10:$BJ$140,53,FALSE)</f>
        <v>0</v>
      </c>
      <c r="G3710" s="405" t="s">
        <v>157</v>
      </c>
      <c r="H3710" s="395">
        <f>VLOOKUP(D3685,'Detail Balok'!$C$10:$BJ$140,55,FALSE)</f>
        <v>100</v>
      </c>
      <c r="I3710" s="388"/>
      <c r="J3710" s="399">
        <f t="shared" ref="J3710" si="11960">(D3686-2*F$5)/1000</f>
        <v>0.12</v>
      </c>
      <c r="K3710" s="400" t="s">
        <v>204</v>
      </c>
      <c r="L3710" s="399">
        <f t="shared" si="11954"/>
        <v>0.15</v>
      </c>
      <c r="M3710" s="399" t="s">
        <v>176</v>
      </c>
      <c r="N3710" s="399">
        <f t="shared" si="11955"/>
        <v>0.27</v>
      </c>
      <c r="O3710" s="399"/>
      <c r="P3710" s="399"/>
      <c r="Q3710" s="399"/>
      <c r="R3710" s="399"/>
      <c r="S3710" s="399"/>
      <c r="T3710" s="399" t="s">
        <v>125</v>
      </c>
      <c r="U3710" s="401">
        <f t="shared" si="11956"/>
        <v>0</v>
      </c>
      <c r="V3710" s="399" t="s">
        <v>125</v>
      </c>
      <c r="W3710" s="399">
        <f t="shared" si="11861"/>
        <v>10</v>
      </c>
      <c r="X3710" s="399" t="s">
        <v>125</v>
      </c>
      <c r="Y3710" s="389">
        <f t="shared" ref="Y3710" si="11961">D3695</f>
        <v>3</v>
      </c>
      <c r="Z3710" s="400" t="s">
        <v>176</v>
      </c>
      <c r="AA3710" s="402">
        <f t="shared" si="11958"/>
        <v>0</v>
      </c>
      <c r="AB3710" s="403"/>
    </row>
    <row r="3711" spans="1:28">
      <c r="A3711" s="384" t="str">
        <f t="shared" ref="A3711:B3711" si="11962">A3685</f>
        <v>Lantai 2</v>
      </c>
      <c r="B3711" s="385">
        <f t="shared" si="11962"/>
        <v>36</v>
      </c>
      <c r="C3711" s="393" t="s">
        <v>213</v>
      </c>
      <c r="D3711" s="398">
        <f>VLOOKUP(D3685,'Detail Balok'!$C$10:$BJ$140,56,FALSE)</f>
        <v>0</v>
      </c>
      <c r="E3711" s="388" t="s">
        <v>16</v>
      </c>
      <c r="F3711" s="388">
        <f>VLOOKUP(D3685,'Detail Balok'!$C$10:$BJ$140,58,FALSE)</f>
        <v>0</v>
      </c>
      <c r="G3711" s="405" t="s">
        <v>157</v>
      </c>
      <c r="H3711" s="395">
        <f>VLOOKUP(D3685,'Detail Balok'!$C$10:$BJ$140,60,FALSE)</f>
        <v>100</v>
      </c>
      <c r="I3711" s="388"/>
      <c r="J3711" s="399">
        <f t="shared" ref="J3711" si="11963">(D3686-2*F$5)/1000</f>
        <v>0.12</v>
      </c>
      <c r="K3711" s="400" t="s">
        <v>204</v>
      </c>
      <c r="L3711" s="399">
        <f t="shared" si="11954"/>
        <v>0.15</v>
      </c>
      <c r="M3711" s="399" t="s">
        <v>176</v>
      </c>
      <c r="N3711" s="399">
        <f t="shared" si="11955"/>
        <v>0.27</v>
      </c>
      <c r="O3711" s="399"/>
      <c r="P3711" s="399"/>
      <c r="Q3711" s="399"/>
      <c r="R3711" s="399"/>
      <c r="S3711" s="399"/>
      <c r="T3711" s="399" t="s">
        <v>125</v>
      </c>
      <c r="U3711" s="401">
        <f t="shared" si="11956"/>
        <v>0</v>
      </c>
      <c r="V3711" s="399" t="s">
        <v>125</v>
      </c>
      <c r="W3711" s="399">
        <f t="shared" si="11861"/>
        <v>11</v>
      </c>
      <c r="X3711" s="399" t="s">
        <v>125</v>
      </c>
      <c r="Y3711" s="389">
        <f t="shared" ref="Y3711" si="11964">D3695</f>
        <v>3</v>
      </c>
      <c r="Z3711" s="400" t="s">
        <v>176</v>
      </c>
      <c r="AA3711" s="402">
        <f t="shared" si="11958"/>
        <v>0</v>
      </c>
      <c r="AB3711" s="403"/>
    </row>
    <row r="3712" spans="1:28">
      <c r="A3712" s="391"/>
      <c r="B3712" s="392"/>
      <c r="C3712" s="392"/>
      <c r="D3712" s="394"/>
      <c r="E3712" s="388"/>
      <c r="F3712" s="388"/>
      <c r="G3712" s="388"/>
      <c r="H3712" s="395"/>
      <c r="I3712" s="388"/>
      <c r="J3712" s="402"/>
      <c r="K3712" s="388"/>
      <c r="L3712" s="388"/>
      <c r="M3712" s="388"/>
      <c r="N3712" s="388"/>
      <c r="O3712" s="388"/>
      <c r="P3712" s="388"/>
      <c r="Q3712" s="388"/>
      <c r="R3712" s="388"/>
      <c r="S3712" s="388"/>
      <c r="T3712" s="388"/>
      <c r="U3712" s="388"/>
      <c r="V3712" s="388"/>
      <c r="W3712" s="388"/>
      <c r="X3712" s="388"/>
      <c r="Y3712" s="389"/>
      <c r="Z3712" s="388"/>
      <c r="AA3712" s="402"/>
      <c r="AB3712" s="403"/>
    </row>
    <row r="3713" spans="1:28" ht="15.75" thickBot="1">
      <c r="A3713" s="406"/>
      <c r="B3713" s="407"/>
      <c r="C3713" s="407"/>
      <c r="D3713" s="408"/>
      <c r="E3713" s="409"/>
      <c r="F3713" s="409"/>
      <c r="G3713" s="409"/>
      <c r="H3713" s="410"/>
      <c r="I3713" s="409"/>
      <c r="J3713" s="409"/>
      <c r="K3713" s="409"/>
      <c r="L3713" s="409"/>
      <c r="M3713" s="409"/>
      <c r="N3713" s="409"/>
      <c r="O3713" s="409"/>
      <c r="P3713" s="409"/>
      <c r="Q3713" s="409"/>
      <c r="R3713" s="409"/>
      <c r="S3713" s="409"/>
      <c r="T3713" s="409"/>
      <c r="U3713" s="409"/>
      <c r="V3713" s="409"/>
      <c r="W3713" s="409"/>
      <c r="X3713" s="409"/>
      <c r="Y3713" s="411"/>
      <c r="Z3713" s="409"/>
      <c r="AA3713" s="412"/>
      <c r="AB3713" s="413"/>
    </row>
    <row r="3714" spans="1:28">
      <c r="A3714" s="377"/>
      <c r="B3714" s="378"/>
      <c r="C3714" s="378"/>
      <c r="D3714" s="379"/>
      <c r="E3714" s="380"/>
      <c r="F3714" s="380"/>
      <c r="G3714" s="380"/>
      <c r="H3714" s="381"/>
      <c r="I3714" s="380"/>
      <c r="J3714" s="380"/>
      <c r="K3714" s="380"/>
      <c r="L3714" s="380"/>
      <c r="M3714" s="380"/>
      <c r="N3714" s="380"/>
      <c r="O3714" s="380"/>
      <c r="P3714" s="380"/>
      <c r="Q3714" s="380"/>
      <c r="R3714" s="380"/>
      <c r="S3714" s="380"/>
      <c r="T3714" s="380"/>
      <c r="U3714" s="380"/>
      <c r="V3714" s="380"/>
      <c r="W3714" s="380"/>
      <c r="X3714" s="380"/>
      <c r="Y3714" s="382"/>
      <c r="Z3714" s="380"/>
      <c r="AA3714" s="380"/>
      <c r="AB3714" s="383"/>
    </row>
    <row r="3715" spans="1:28">
      <c r="A3715" s="384" t="str">
        <f t="shared" si="11870"/>
        <v>Lantai 2</v>
      </c>
      <c r="B3715" s="385">
        <f t="shared" si="11871"/>
        <v>37</v>
      </c>
      <c r="C3715" s="386" t="str">
        <f t="shared" ref="C3715" si="11965">CONCATENATE(A3715," no. ",B3715)</f>
        <v>Lantai 2 no. 37</v>
      </c>
      <c r="D3715" s="2562" t="str">
        <f>VLOOKUP(C3715,'Data Panjang Balok'!$C$9:$N$254,2,FALSE)</f>
        <v>B24-2</v>
      </c>
      <c r="E3715" s="2576"/>
      <c r="F3715" s="2576"/>
      <c r="G3715" s="2576"/>
      <c r="H3715" s="2577"/>
      <c r="I3715" s="387"/>
      <c r="J3715" s="388"/>
      <c r="K3715" s="388"/>
      <c r="L3715" s="388"/>
      <c r="M3715" s="388"/>
      <c r="N3715" s="388"/>
      <c r="O3715" s="388"/>
      <c r="P3715" s="388"/>
      <c r="Q3715" s="388"/>
      <c r="R3715" s="388"/>
      <c r="S3715" s="388"/>
      <c r="T3715" s="388"/>
      <c r="U3715" s="388"/>
      <c r="V3715" s="388"/>
      <c r="W3715" s="388"/>
      <c r="X3715" s="388"/>
      <c r="Y3715" s="389"/>
      <c r="Z3715" s="388"/>
      <c r="AA3715" s="388"/>
      <c r="AB3715" s="390"/>
    </row>
    <row r="3716" spans="1:28">
      <c r="A3716" s="391"/>
      <c r="B3716" s="392"/>
      <c r="C3716" s="393" t="s">
        <v>118</v>
      </c>
      <c r="D3716" s="2578">
        <f>VLOOKUP(D3715,'Detail Balok'!$C$10:$AU$140,2,FALSE)</f>
        <v>200</v>
      </c>
      <c r="E3716" s="2579"/>
      <c r="F3716" s="388" t="s">
        <v>125</v>
      </c>
      <c r="G3716" s="2579">
        <f>VLOOKUP(D3715,'Detail Balok'!$C$10:$AU$140,3,FALSE)</f>
        <v>400</v>
      </c>
      <c r="H3716" s="2580"/>
      <c r="I3716" s="388"/>
      <c r="J3716" s="396"/>
      <c r="K3716" s="396"/>
      <c r="L3716" s="396"/>
      <c r="M3716" s="396"/>
      <c r="N3716" s="396"/>
      <c r="O3716" s="396"/>
      <c r="P3716" s="396"/>
      <c r="Q3716" s="396"/>
      <c r="R3716" s="396"/>
      <c r="S3716" s="396"/>
      <c r="T3716" s="396"/>
      <c r="U3716" s="388"/>
      <c r="V3716" s="396"/>
      <c r="W3716" s="388"/>
      <c r="X3716" s="396"/>
      <c r="Y3716" s="389"/>
      <c r="Z3716" s="396"/>
      <c r="AA3716" s="388"/>
      <c r="AB3716" s="390"/>
    </row>
    <row r="3717" spans="1:28">
      <c r="A3717" s="391"/>
      <c r="B3717" s="392"/>
      <c r="C3717" s="393" t="s">
        <v>198</v>
      </c>
      <c r="D3717" s="2562">
        <f>VLOOKUP(C3715,'Data Panjang Balok'!$C$9:$N$254,4,FALSE)</f>
        <v>11275</v>
      </c>
      <c r="E3717" s="2563"/>
      <c r="F3717" s="2563"/>
      <c r="G3717" s="2563"/>
      <c r="H3717" s="2564"/>
      <c r="I3717" s="397"/>
      <c r="J3717" s="396"/>
      <c r="K3717" s="396"/>
      <c r="L3717" s="396"/>
      <c r="M3717" s="396"/>
      <c r="N3717" s="396"/>
      <c r="O3717" s="396"/>
      <c r="P3717" s="396"/>
      <c r="Q3717" s="396"/>
      <c r="R3717" s="396"/>
      <c r="S3717" s="396"/>
      <c r="T3717" s="396"/>
      <c r="U3717" s="388"/>
      <c r="V3717" s="396"/>
      <c r="W3717" s="388"/>
      <c r="X3717" s="396"/>
      <c r="Y3717" s="389"/>
      <c r="Z3717" s="396"/>
      <c r="AA3717" s="388"/>
      <c r="AB3717" s="390"/>
    </row>
    <row r="3718" spans="1:28">
      <c r="A3718" s="391"/>
      <c r="B3718" s="392"/>
      <c r="C3718" s="393" t="s">
        <v>199</v>
      </c>
      <c r="D3718" s="2562">
        <f>VLOOKUP(C3715,'Data Panjang Balok'!$C$9:$N$254,7,FALSE)</f>
        <v>11275</v>
      </c>
      <c r="E3718" s="2563"/>
      <c r="F3718" s="2563"/>
      <c r="G3718" s="2563"/>
      <c r="H3718" s="2564"/>
      <c r="I3718" s="397"/>
      <c r="J3718" s="396"/>
      <c r="K3718" s="396"/>
      <c r="L3718" s="396"/>
      <c r="M3718" s="396"/>
      <c r="N3718" s="396"/>
      <c r="O3718" s="396"/>
      <c r="P3718" s="396"/>
      <c r="Q3718" s="396"/>
      <c r="R3718" s="396"/>
      <c r="S3718" s="396"/>
      <c r="T3718" s="396"/>
      <c r="U3718" s="388"/>
      <c r="V3718" s="396"/>
      <c r="W3718" s="388"/>
      <c r="X3718" s="396"/>
      <c r="Y3718" s="389"/>
      <c r="Z3718" s="396"/>
      <c r="AA3718" s="388"/>
      <c r="AB3718" s="390"/>
    </row>
    <row r="3719" spans="1:28">
      <c r="A3719" s="391"/>
      <c r="B3719" s="392"/>
      <c r="C3719" s="393" t="s">
        <v>200</v>
      </c>
      <c r="D3719" s="2562">
        <f>VLOOKUP(C3715,'Data Panjang Balok'!$C$9:$N$254,9,FALSE)</f>
        <v>0</v>
      </c>
      <c r="E3719" s="2563"/>
      <c r="F3719" s="2563"/>
      <c r="G3719" s="2563"/>
      <c r="H3719" s="2564"/>
      <c r="I3719" s="397"/>
      <c r="J3719" s="396"/>
      <c r="K3719" s="396"/>
      <c r="L3719" s="396"/>
      <c r="M3719" s="396"/>
      <c r="N3719" s="396"/>
      <c r="O3719" s="396"/>
      <c r="P3719" s="396"/>
      <c r="Q3719" s="396"/>
      <c r="R3719" s="396"/>
      <c r="S3719" s="396"/>
      <c r="T3719" s="396"/>
      <c r="U3719" s="388"/>
      <c r="V3719" s="396"/>
      <c r="W3719" s="388"/>
      <c r="X3719" s="396"/>
      <c r="Y3719" s="389"/>
      <c r="Z3719" s="396"/>
      <c r="AA3719" s="388"/>
      <c r="AB3719" s="390"/>
    </row>
    <row r="3720" spans="1:28">
      <c r="A3720" s="391"/>
      <c r="B3720" s="392"/>
      <c r="C3720" s="393" t="s">
        <v>201</v>
      </c>
      <c r="D3720" s="2562">
        <f>VLOOKUP(C3715,'Data Panjang Balok'!$C$9:$N$254,10,FALSE)</f>
        <v>0</v>
      </c>
      <c r="E3720" s="2563"/>
      <c r="F3720" s="2563"/>
      <c r="G3720" s="2563"/>
      <c r="H3720" s="2564"/>
      <c r="I3720" s="397"/>
      <c r="J3720" s="396"/>
      <c r="K3720" s="396"/>
      <c r="L3720" s="396"/>
      <c r="M3720" s="396"/>
      <c r="N3720" s="396"/>
      <c r="O3720" s="396"/>
      <c r="P3720" s="396"/>
      <c r="Q3720" s="396"/>
      <c r="R3720" s="396"/>
      <c r="S3720" s="396"/>
      <c r="T3720" s="396"/>
      <c r="U3720" s="388"/>
      <c r="V3720" s="396"/>
      <c r="W3720" s="388"/>
      <c r="X3720" s="396"/>
      <c r="Y3720" s="389"/>
      <c r="Z3720" s="396"/>
      <c r="AA3720" s="388"/>
      <c r="AB3720" s="390"/>
    </row>
    <row r="3721" spans="1:28">
      <c r="A3721" s="391"/>
      <c r="B3721" s="392"/>
      <c r="C3721" s="393" t="s">
        <v>48</v>
      </c>
      <c r="D3721" s="2562">
        <f>VLOOKUP(C3715,'Data Panjang Balok'!$C$9:$N$254,3,FALSE)</f>
        <v>1</v>
      </c>
      <c r="E3721" s="2563"/>
      <c r="F3721" s="2563"/>
      <c r="G3721" s="2563"/>
      <c r="H3721" s="2564"/>
      <c r="I3721" s="397"/>
      <c r="J3721" s="396"/>
      <c r="K3721" s="396"/>
      <c r="L3721" s="396"/>
      <c r="M3721" s="396"/>
      <c r="N3721" s="396"/>
      <c r="O3721" s="396"/>
      <c r="P3721" s="396"/>
      <c r="Q3721" s="396"/>
      <c r="R3721" s="396"/>
      <c r="S3721" s="396"/>
      <c r="T3721" s="396"/>
      <c r="U3721" s="388"/>
      <c r="V3721" s="396"/>
      <c r="W3721" s="388"/>
      <c r="X3721" s="396"/>
      <c r="Y3721" s="389"/>
      <c r="Z3721" s="396"/>
      <c r="AA3721" s="388"/>
      <c r="AB3721" s="390"/>
    </row>
    <row r="3722" spans="1:28">
      <c r="A3722" s="384" t="str">
        <f t="shared" ref="A3722:B3722" si="11966">A3715</f>
        <v>Lantai 2</v>
      </c>
      <c r="B3722" s="385">
        <f t="shared" si="11966"/>
        <v>37</v>
      </c>
      <c r="C3722" s="393" t="s">
        <v>202</v>
      </c>
      <c r="D3722" s="398">
        <f>VLOOKUP(D3715,'Detail Balok'!$C$10:$AU$140,4,FALSE)</f>
        <v>3</v>
      </c>
      <c r="E3722" s="388" t="s">
        <v>16</v>
      </c>
      <c r="F3722" s="388">
        <f>VLOOKUP(D3715,'Detail Balok'!$C$10:$AU$140,6,FALSE)</f>
        <v>16</v>
      </c>
      <c r="G3722" s="388"/>
      <c r="H3722" s="395"/>
      <c r="I3722" s="388" t="s">
        <v>203</v>
      </c>
      <c r="J3722" s="399">
        <f t="shared" ref="J3722" si="11967">+D3717/4/1000</f>
        <v>2.8187500000000001</v>
      </c>
      <c r="K3722" s="400" t="s">
        <v>204</v>
      </c>
      <c r="L3722" s="399">
        <f t="shared" ref="L3722" si="11968">MAX(VLOOKUP(F3722,N$6:P$15,3,FALSE)/1000,2/3*D3719/1000)+F$16*F3722/1000</f>
        <v>0.192</v>
      </c>
      <c r="M3722" s="399" t="s">
        <v>176</v>
      </c>
      <c r="N3722" s="399">
        <f t="shared" ref="N3722:N3724" si="11969">J3722+L3722</f>
        <v>3.0107500000000003</v>
      </c>
      <c r="O3722" s="399" t="s">
        <v>204</v>
      </c>
      <c r="P3722" s="389">
        <f t="shared" ref="P3722" si="11970">D3722-D3723</f>
        <v>0</v>
      </c>
      <c r="Q3722" s="399" t="s">
        <v>125</v>
      </c>
      <c r="R3722" s="399">
        <f t="shared" ref="R3722" si="11971">IF(P3722&gt;0,$F$18*F3722/1000,0)</f>
        <v>0</v>
      </c>
      <c r="S3722" s="399" t="s">
        <v>205</v>
      </c>
      <c r="T3722" s="399" t="s">
        <v>125</v>
      </c>
      <c r="U3722" s="401">
        <f t="shared" ref="U3722:U3724" si="11972">0.006165*F3722^2</f>
        <v>1.5782400000000001</v>
      </c>
      <c r="V3722" s="399"/>
      <c r="W3722" s="399"/>
      <c r="X3722" s="399" t="s">
        <v>125</v>
      </c>
      <c r="Y3722" s="389">
        <f t="shared" ref="Y3722" si="11973">D3721</f>
        <v>1</v>
      </c>
      <c r="Z3722" s="400" t="s">
        <v>176</v>
      </c>
      <c r="AA3722" s="402">
        <f t="shared" ref="AA3722" si="11974">IF(AA3725=0,(D3722*N3722+P3722*R3722)*U3722*Y3722,0)</f>
        <v>0</v>
      </c>
      <c r="AB3722" s="403"/>
    </row>
    <row r="3723" spans="1:28">
      <c r="A3723" s="384" t="str">
        <f t="shared" ref="A3723:B3723" si="11975">A3715</f>
        <v>Lantai 2</v>
      </c>
      <c r="B3723" s="385">
        <f t="shared" si="11975"/>
        <v>37</v>
      </c>
      <c r="C3723" s="393" t="s">
        <v>206</v>
      </c>
      <c r="D3723" s="398">
        <f>VLOOKUP(D3715,'Detail Balok'!$C$10:$AU$140,7,FALSE)</f>
        <v>3</v>
      </c>
      <c r="E3723" s="388" t="s">
        <v>16</v>
      </c>
      <c r="F3723" s="388">
        <f>VLOOKUP(D3715,'Detail Balok'!$C$10:$AU$140,9,FALSE)</f>
        <v>16</v>
      </c>
      <c r="G3723" s="388"/>
      <c r="H3723" s="395"/>
      <c r="I3723" s="388" t="s">
        <v>203</v>
      </c>
      <c r="J3723" s="399">
        <f t="shared" ref="J3723" si="11976">+D3717/2/1000</f>
        <v>5.6375000000000002</v>
      </c>
      <c r="K3723" s="400" t="s">
        <v>204</v>
      </c>
      <c r="L3723" s="399"/>
      <c r="M3723" s="399" t="s">
        <v>176</v>
      </c>
      <c r="N3723" s="399">
        <f t="shared" si="11969"/>
        <v>5.6375000000000002</v>
      </c>
      <c r="O3723" s="399" t="s">
        <v>204</v>
      </c>
      <c r="P3723" s="389">
        <f t="shared" ref="P3723" si="11977">MAX(D3723-D3722,D3723-D3724)</f>
        <v>0</v>
      </c>
      <c r="Q3723" s="399" t="s">
        <v>125</v>
      </c>
      <c r="R3723" s="399">
        <f t="shared" ref="R3723" si="11978">IF(P3723&gt;0,2*(1-2*$F$19-1/2)*D3718/1000,0)</f>
        <v>0</v>
      </c>
      <c r="S3723" s="399" t="s">
        <v>205</v>
      </c>
      <c r="T3723" s="399" t="s">
        <v>125</v>
      </c>
      <c r="U3723" s="401">
        <f t="shared" si="11972"/>
        <v>1.5782400000000001</v>
      </c>
      <c r="V3723" s="399"/>
      <c r="W3723" s="399"/>
      <c r="X3723" s="399" t="s">
        <v>125</v>
      </c>
      <c r="Y3723" s="389">
        <f t="shared" ref="Y3723" si="11979">D3721</f>
        <v>1</v>
      </c>
      <c r="Z3723" s="400" t="s">
        <v>176</v>
      </c>
      <c r="AA3723" s="402">
        <f t="shared" ref="AA3723" si="11980">IF(AA3725=0,(D3723*N3723+P3723*R3723)*U3723*Y3723,0)</f>
        <v>0</v>
      </c>
      <c r="AB3723" s="403"/>
    </row>
    <row r="3724" spans="1:28">
      <c r="A3724" s="384" t="str">
        <f t="shared" ref="A3724:B3724" si="11981">A3715</f>
        <v>Lantai 2</v>
      </c>
      <c r="B3724" s="385">
        <f t="shared" si="11981"/>
        <v>37</v>
      </c>
      <c r="C3724" s="393" t="s">
        <v>202</v>
      </c>
      <c r="D3724" s="398">
        <f>VLOOKUP(D3715,'Detail Balok'!$C$10:$AU$140,10,FALSE)</f>
        <v>3</v>
      </c>
      <c r="E3724" s="388" t="s">
        <v>16</v>
      </c>
      <c r="F3724" s="388">
        <f>VLOOKUP(D3715,'Detail Balok'!$C$10:$AU$140,12,FALSE)</f>
        <v>16</v>
      </c>
      <c r="G3724" s="388"/>
      <c r="H3724" s="395"/>
      <c r="I3724" s="388" t="s">
        <v>203</v>
      </c>
      <c r="J3724" s="399">
        <f t="shared" ref="J3724" si="11982">+D3717/4/1000</f>
        <v>2.8187500000000001</v>
      </c>
      <c r="K3724" s="400" t="s">
        <v>204</v>
      </c>
      <c r="L3724" s="399">
        <f t="shared" ref="L3724" si="11983">MAX(VLOOKUP(F3724,N$6:P$15,3,FALSE)/1000,2/3*D3719/1000)+F$16*F3724/1000</f>
        <v>0.192</v>
      </c>
      <c r="M3724" s="399" t="s">
        <v>176</v>
      </c>
      <c r="N3724" s="399">
        <f t="shared" si="11969"/>
        <v>3.0107500000000003</v>
      </c>
      <c r="O3724" s="399" t="s">
        <v>204</v>
      </c>
      <c r="P3724" s="389">
        <f t="shared" ref="P3724" si="11984">D3724-D3723</f>
        <v>0</v>
      </c>
      <c r="Q3724" s="399" t="s">
        <v>125</v>
      </c>
      <c r="R3724" s="399">
        <f t="shared" ref="R3724" si="11985">IF(P3724&gt;0,$F$18*F3724/1000,0)</f>
        <v>0</v>
      </c>
      <c r="S3724" s="399" t="s">
        <v>205</v>
      </c>
      <c r="T3724" s="399" t="s">
        <v>125</v>
      </c>
      <c r="U3724" s="401">
        <f t="shared" si="11972"/>
        <v>1.5782400000000001</v>
      </c>
      <c r="V3724" s="399"/>
      <c r="W3724" s="399"/>
      <c r="X3724" s="399" t="s">
        <v>125</v>
      </c>
      <c r="Y3724" s="389">
        <f t="shared" ref="Y3724" si="11986">D3721</f>
        <v>1</v>
      </c>
      <c r="Z3724" s="400" t="s">
        <v>176</v>
      </c>
      <c r="AA3724" s="402">
        <f t="shared" ref="AA3724" si="11987">IF(AA3725=0,(D3724*N3724+P3724*R3724)*U3724*Y3724,0)</f>
        <v>0</v>
      </c>
      <c r="AB3724" s="403"/>
    </row>
    <row r="3725" spans="1:28">
      <c r="A3725" s="384" t="str">
        <f t="shared" ref="A3725:B3725" si="11988">A3715</f>
        <v>Lantai 2</v>
      </c>
      <c r="B3725" s="385">
        <f t="shared" si="11988"/>
        <v>37</v>
      </c>
      <c r="C3725" s="393"/>
      <c r="D3725" s="398">
        <f t="shared" si="11791"/>
        <v>3</v>
      </c>
      <c r="E3725" s="388" t="s">
        <v>16</v>
      </c>
      <c r="F3725" s="388">
        <f t="shared" si="11792"/>
        <v>16</v>
      </c>
      <c r="G3725" s="388"/>
      <c r="H3725" s="395"/>
      <c r="I3725" s="388"/>
      <c r="J3725" s="396"/>
      <c r="K3725" s="396"/>
      <c r="L3725" s="404" t="s">
        <v>207</v>
      </c>
      <c r="M3725" s="399" t="s">
        <v>176</v>
      </c>
      <c r="N3725" s="399">
        <f t="shared" ref="N3725" si="11989">IF(AND(D3722=D3723,D3722=D3724,D3723=D3724,F3722=F3723,F3722=F3724,F3723=F3724),SUM(N3722:N3724),0)</f>
        <v>11.659000000000001</v>
      </c>
      <c r="O3725" s="399" t="s">
        <v>204</v>
      </c>
      <c r="P3725" s="389">
        <f t="shared" ref="P3725" si="11990">IF(N3725&gt;12,ROUNDDOWN(N3725/12,0),0)</f>
        <v>0</v>
      </c>
      <c r="Q3725" s="399" t="s">
        <v>125</v>
      </c>
      <c r="R3725" s="399">
        <f t="shared" ref="R3725" si="11991">IF(P3725&gt;0,MAX(VLOOKUP(F3725,$D$6:$G$15,3,FALSE),600),0)/1000</f>
        <v>0</v>
      </c>
      <c r="S3725" s="396"/>
      <c r="T3725" s="396" t="s">
        <v>125</v>
      </c>
      <c r="U3725" s="401">
        <f t="shared" si="11796"/>
        <v>1.5782400000000001</v>
      </c>
      <c r="V3725" s="396" t="s">
        <v>125</v>
      </c>
      <c r="W3725" s="399">
        <f t="shared" ref="W3725" si="11992">D3725</f>
        <v>3</v>
      </c>
      <c r="X3725" s="399" t="s">
        <v>125</v>
      </c>
      <c r="Y3725" s="389">
        <f t="shared" si="11798"/>
        <v>1</v>
      </c>
      <c r="Z3725" s="400" t="s">
        <v>176</v>
      </c>
      <c r="AA3725" s="402">
        <f t="shared" ref="AA3725" si="11993">(N3725+P3725*R3725/1000)*U3725*W3725*Y3725</f>
        <v>55.202100480000013</v>
      </c>
      <c r="AB3725" s="390"/>
    </row>
    <row r="3726" spans="1:28">
      <c r="A3726" s="384"/>
      <c r="B3726" s="385"/>
      <c r="C3726" s="393"/>
      <c r="D3726" s="398"/>
      <c r="E3726" s="388"/>
      <c r="F3726" s="388"/>
      <c r="G3726" s="388"/>
      <c r="H3726" s="395"/>
      <c r="I3726" s="388"/>
      <c r="J3726" s="396"/>
      <c r="K3726" s="396"/>
      <c r="L3726" s="404"/>
      <c r="M3726" s="399"/>
      <c r="N3726" s="399"/>
      <c r="O3726" s="396"/>
      <c r="P3726" s="389"/>
      <c r="Q3726" s="396"/>
      <c r="R3726" s="396"/>
      <c r="S3726" s="396"/>
      <c r="T3726" s="396"/>
      <c r="U3726" s="401"/>
      <c r="V3726" s="396"/>
      <c r="W3726" s="399"/>
      <c r="X3726" s="396"/>
      <c r="Y3726" s="389"/>
      <c r="Z3726" s="396"/>
      <c r="AA3726" s="388"/>
      <c r="AB3726" s="390"/>
    </row>
    <row r="3727" spans="1:28">
      <c r="A3727" s="384" t="str">
        <f t="shared" ref="A3727:B3727" si="11994">A3715</f>
        <v>Lantai 2</v>
      </c>
      <c r="B3727" s="385">
        <f t="shared" si="11994"/>
        <v>37</v>
      </c>
      <c r="C3727" s="393" t="s">
        <v>208</v>
      </c>
      <c r="D3727" s="398">
        <f>VLOOKUP(D3715,'Detail Balok'!$C$10:$AU$140,13,FALSE)</f>
        <v>0</v>
      </c>
      <c r="E3727" s="388" t="s">
        <v>16</v>
      </c>
      <c r="F3727" s="388">
        <f>VLOOKUP(D3715,'Detail Balok'!$C$10:$AU$140,15,FALSE)</f>
        <v>8</v>
      </c>
      <c r="G3727" s="388"/>
      <c r="H3727" s="395"/>
      <c r="I3727" s="388"/>
      <c r="J3727" s="399">
        <f t="shared" ref="J3727" si="11995">+D3717/1000</f>
        <v>11.275</v>
      </c>
      <c r="K3727" s="400" t="s">
        <v>204</v>
      </c>
      <c r="L3727" s="399">
        <f t="shared" ref="L3727" si="11996">2*$F$16*F3727/1000</f>
        <v>0.192</v>
      </c>
      <c r="M3727" s="399" t="s">
        <v>176</v>
      </c>
      <c r="N3727" s="399">
        <f t="shared" ref="N3727" si="11997">J3727+L3727</f>
        <v>11.467000000000001</v>
      </c>
      <c r="O3727" s="399" t="s">
        <v>204</v>
      </c>
      <c r="P3727" s="389">
        <f t="shared" ref="P3727" si="11998">IF(N3727&gt;12,ROUNDDOWN(N3727/12,0),0)</f>
        <v>0</v>
      </c>
      <c r="Q3727" s="399" t="s">
        <v>125</v>
      </c>
      <c r="R3727" s="399">
        <f t="shared" ref="R3727" si="11999">IF(P3727&gt;0,MAX(VLOOKUP(F3727,$D$6:$G$15,3,FALSE),600),0)/1000</f>
        <v>0</v>
      </c>
      <c r="S3727" s="399"/>
      <c r="T3727" s="399" t="s">
        <v>125</v>
      </c>
      <c r="U3727" s="401">
        <f t="shared" ref="U3727" si="12000">0.006165*F3727^2</f>
        <v>0.39456000000000002</v>
      </c>
      <c r="V3727" s="399" t="s">
        <v>125</v>
      </c>
      <c r="W3727" s="399">
        <f t="shared" ref="W3727" si="12001">+D3727</f>
        <v>0</v>
      </c>
      <c r="X3727" s="399" t="s">
        <v>125</v>
      </c>
      <c r="Y3727" s="389">
        <f t="shared" ref="Y3727" si="12002">D3721</f>
        <v>1</v>
      </c>
      <c r="Z3727" s="400" t="s">
        <v>176</v>
      </c>
      <c r="AA3727" s="402">
        <f t="shared" ref="AA3727" si="12003">(N3727+P3727*R3727/1000)*U3727*W3727*Y3727</f>
        <v>0</v>
      </c>
      <c r="AB3727" s="403"/>
    </row>
    <row r="3728" spans="1:28">
      <c r="A3728" s="384"/>
      <c r="B3728" s="385"/>
      <c r="C3728" s="393"/>
      <c r="D3728" s="398"/>
      <c r="E3728" s="388"/>
      <c r="F3728" s="388"/>
      <c r="G3728" s="388"/>
      <c r="H3728" s="395"/>
      <c r="I3728" s="388"/>
      <c r="J3728" s="399"/>
      <c r="K3728" s="400"/>
      <c r="L3728" s="399"/>
      <c r="M3728" s="399"/>
      <c r="N3728" s="399"/>
      <c r="O3728" s="399"/>
      <c r="P3728" s="389"/>
      <c r="Q3728" s="399"/>
      <c r="R3728" s="399"/>
      <c r="S3728" s="399"/>
      <c r="T3728" s="399"/>
      <c r="U3728" s="401"/>
      <c r="V3728" s="399"/>
      <c r="W3728" s="399"/>
      <c r="X3728" s="399"/>
      <c r="Y3728" s="389"/>
      <c r="Z3728" s="400"/>
      <c r="AA3728" s="402"/>
      <c r="AB3728" s="403"/>
    </row>
    <row r="3729" spans="1:28">
      <c r="A3729" s="384"/>
      <c r="B3729" s="385"/>
      <c r="C3729" s="393"/>
      <c r="D3729" s="398"/>
      <c r="E3729" s="388"/>
      <c r="F3729" s="388"/>
      <c r="G3729" s="388"/>
      <c r="H3729" s="395"/>
      <c r="I3729" s="388"/>
      <c r="J3729" s="396"/>
      <c r="K3729" s="396"/>
      <c r="L3729" s="396"/>
      <c r="M3729" s="396"/>
      <c r="N3729" s="396"/>
      <c r="O3729" s="396"/>
      <c r="P3729" s="389"/>
      <c r="Q3729" s="396"/>
      <c r="R3729" s="396"/>
      <c r="S3729" s="396"/>
      <c r="T3729" s="396"/>
      <c r="U3729" s="401"/>
      <c r="V3729" s="396"/>
      <c r="W3729" s="399"/>
      <c r="X3729" s="396"/>
      <c r="Y3729" s="389"/>
      <c r="Z3729" s="396"/>
      <c r="AA3729" s="388"/>
      <c r="AB3729" s="390"/>
    </row>
    <row r="3730" spans="1:28">
      <c r="A3730" s="384" t="str">
        <f t="shared" ref="A3730:B3730" si="12004">A3715</f>
        <v>Lantai 2</v>
      </c>
      <c r="B3730" s="385">
        <f t="shared" si="12004"/>
        <v>37</v>
      </c>
      <c r="C3730" s="393" t="s">
        <v>209</v>
      </c>
      <c r="D3730" s="398">
        <f>VLOOKUP(D3715,'Detail Balok'!$C$10:$AU$140,22,FALSE)</f>
        <v>3</v>
      </c>
      <c r="E3730" s="388" t="s">
        <v>16</v>
      </c>
      <c r="F3730" s="388">
        <f>VLOOKUP(D3715,'Detail Balok'!$C$10:$AU$140,24,FALSE)</f>
        <v>16</v>
      </c>
      <c r="G3730" s="388"/>
      <c r="H3730" s="395"/>
      <c r="I3730" s="388" t="s">
        <v>203</v>
      </c>
      <c r="J3730" s="399">
        <f t="shared" si="11811"/>
        <v>2.8187500000000001</v>
      </c>
      <c r="K3730" s="400" t="s">
        <v>204</v>
      </c>
      <c r="L3730" s="399">
        <f t="shared" ref="L3730" si="12005">MAX(VLOOKUP(F3730,N$6:P$15,3,FALSE)/1000,2/3*D3720/1000)+F$16*F3730/1000</f>
        <v>0.192</v>
      </c>
      <c r="M3730" s="399" t="s">
        <v>176</v>
      </c>
      <c r="N3730" s="399">
        <f t="shared" ref="N3730:N3732" si="12006">J3730+L3730</f>
        <v>3.0107500000000003</v>
      </c>
      <c r="O3730" s="399" t="s">
        <v>204</v>
      </c>
      <c r="P3730" s="389">
        <f t="shared" ref="P3730" si="12007">D3730-D3731</f>
        <v>0</v>
      </c>
      <c r="Q3730" s="399" t="s">
        <v>125</v>
      </c>
      <c r="R3730" s="399">
        <f t="shared" ref="R3730" si="12008">IF(P3730&gt;0,$F$18*F3730/1000,0)</f>
        <v>0</v>
      </c>
      <c r="S3730" s="399" t="s">
        <v>205</v>
      </c>
      <c r="T3730" s="399" t="s">
        <v>125</v>
      </c>
      <c r="U3730" s="401">
        <f t="shared" ref="U3730:U3732" si="12009">0.006165*F3730^2</f>
        <v>1.5782400000000001</v>
      </c>
      <c r="V3730" s="399"/>
      <c r="W3730" s="399"/>
      <c r="X3730" s="399" t="s">
        <v>125</v>
      </c>
      <c r="Y3730" s="389">
        <f t="shared" ref="Y3730" si="12010">D3721</f>
        <v>1</v>
      </c>
      <c r="Z3730" s="400" t="s">
        <v>176</v>
      </c>
      <c r="AA3730" s="402">
        <f t="shared" ref="AA3730" si="12011">IF(AA3733=0,(D3730*N3730+P3730*R3730)*U3730*Y3730,0)</f>
        <v>0</v>
      </c>
      <c r="AB3730" s="403"/>
    </row>
    <row r="3731" spans="1:28">
      <c r="A3731" s="384" t="str">
        <f t="shared" ref="A3731:B3731" si="12012">A3715</f>
        <v>Lantai 2</v>
      </c>
      <c r="B3731" s="385">
        <f t="shared" si="12012"/>
        <v>37</v>
      </c>
      <c r="C3731" s="393" t="s">
        <v>210</v>
      </c>
      <c r="D3731" s="398">
        <f>VLOOKUP(D3715,'Detail Balok'!$C$10:$AU$140,25,FALSE)</f>
        <v>3</v>
      </c>
      <c r="E3731" s="388" t="s">
        <v>16</v>
      </c>
      <c r="F3731" s="388">
        <f>VLOOKUP(D3715,'Detail Balok'!$C$10:$AU$140,27,FALSE)</f>
        <v>16</v>
      </c>
      <c r="G3731" s="388"/>
      <c r="H3731" s="395"/>
      <c r="I3731" s="388" t="s">
        <v>203</v>
      </c>
      <c r="J3731" s="399">
        <f t="shared" si="11811"/>
        <v>5.6375000000000002</v>
      </c>
      <c r="K3731" s="400" t="s">
        <v>204</v>
      </c>
      <c r="L3731" s="399"/>
      <c r="M3731" s="399" t="s">
        <v>176</v>
      </c>
      <c r="N3731" s="399">
        <f t="shared" si="12006"/>
        <v>5.6375000000000002</v>
      </c>
      <c r="O3731" s="399" t="s">
        <v>204</v>
      </c>
      <c r="P3731" s="389">
        <f t="shared" ref="P3731" si="12013">MAX(D3731-D3730,D3731-D3732)</f>
        <v>0</v>
      </c>
      <c r="Q3731" s="399" t="s">
        <v>125</v>
      </c>
      <c r="R3731" s="399">
        <f t="shared" ref="R3731" si="12014">IF(P3731&gt;0,2*(1-2*$F$19-1/2)*D3718/1000,0)</f>
        <v>0</v>
      </c>
      <c r="S3731" s="399" t="s">
        <v>205</v>
      </c>
      <c r="T3731" s="399" t="s">
        <v>125</v>
      </c>
      <c r="U3731" s="401">
        <f t="shared" si="12009"/>
        <v>1.5782400000000001</v>
      </c>
      <c r="V3731" s="399"/>
      <c r="W3731" s="399"/>
      <c r="X3731" s="399" t="s">
        <v>125</v>
      </c>
      <c r="Y3731" s="389">
        <f t="shared" ref="Y3731" si="12015">D3721</f>
        <v>1</v>
      </c>
      <c r="Z3731" s="400" t="s">
        <v>176</v>
      </c>
      <c r="AA3731" s="402">
        <f t="shared" ref="AA3731" si="12016">IF(AA3733=0,(D3731*N3731+P3731*R3731)*U3731*Y3731,0)</f>
        <v>0</v>
      </c>
      <c r="AB3731" s="403"/>
    </row>
    <row r="3732" spans="1:28">
      <c r="A3732" s="384" t="str">
        <f t="shared" ref="A3732:B3732" si="12017">A3715</f>
        <v>Lantai 2</v>
      </c>
      <c r="B3732" s="385">
        <f t="shared" si="12017"/>
        <v>37</v>
      </c>
      <c r="C3732" s="393" t="s">
        <v>209</v>
      </c>
      <c r="D3732" s="398">
        <f>VLOOKUP(D3715,'Detail Balok'!$C$10:$AU$140,28,FALSE)</f>
        <v>3</v>
      </c>
      <c r="E3732" s="388" t="s">
        <v>16</v>
      </c>
      <c r="F3732" s="388">
        <f>VLOOKUP(D3715,'Detail Balok'!$C$10:$AU$140,30,FALSE)</f>
        <v>16</v>
      </c>
      <c r="G3732" s="388"/>
      <c r="H3732" s="395"/>
      <c r="I3732" s="388" t="s">
        <v>203</v>
      </c>
      <c r="J3732" s="399">
        <f t="shared" si="11811"/>
        <v>2.8187500000000001</v>
      </c>
      <c r="K3732" s="400" t="s">
        <v>204</v>
      </c>
      <c r="L3732" s="399">
        <f t="shared" ref="L3732" si="12018">MAX(VLOOKUP(F3732,N$6:P$15,3,FALSE)/1000,2/3*D3720/1000)+F$16*F3732/1000</f>
        <v>0.192</v>
      </c>
      <c r="M3732" s="399" t="s">
        <v>176</v>
      </c>
      <c r="N3732" s="399">
        <f t="shared" si="12006"/>
        <v>3.0107500000000003</v>
      </c>
      <c r="O3732" s="399" t="s">
        <v>204</v>
      </c>
      <c r="P3732" s="389">
        <f t="shared" ref="P3732" si="12019">D3732-D3731</f>
        <v>0</v>
      </c>
      <c r="Q3732" s="399" t="s">
        <v>125</v>
      </c>
      <c r="R3732" s="399">
        <f t="shared" ref="R3732" si="12020">IF(P3732&gt;0,$F$18*F3732/1000,0)</f>
        <v>0</v>
      </c>
      <c r="S3732" s="399" t="s">
        <v>205</v>
      </c>
      <c r="T3732" s="399" t="s">
        <v>125</v>
      </c>
      <c r="U3732" s="401">
        <f t="shared" si="12009"/>
        <v>1.5782400000000001</v>
      </c>
      <c r="V3732" s="399"/>
      <c r="W3732" s="399"/>
      <c r="X3732" s="399" t="s">
        <v>125</v>
      </c>
      <c r="Y3732" s="389">
        <f t="shared" ref="Y3732" si="12021">D3721</f>
        <v>1</v>
      </c>
      <c r="Z3732" s="400" t="s">
        <v>176</v>
      </c>
      <c r="AA3732" s="402">
        <f t="shared" ref="AA3732" si="12022">IF(AA3733=0,(D3732*N3732+P3732*R3732)*U3732*Y3732,0)</f>
        <v>0</v>
      </c>
      <c r="AB3732" s="403"/>
    </row>
    <row r="3733" spans="1:28">
      <c r="A3733" s="384" t="str">
        <f t="shared" ref="A3733:B3733" si="12023">A3715</f>
        <v>Lantai 2</v>
      </c>
      <c r="B3733" s="385">
        <f t="shared" si="12023"/>
        <v>37</v>
      </c>
      <c r="C3733" s="393"/>
      <c r="D3733" s="398">
        <f t="shared" si="11831"/>
        <v>3</v>
      </c>
      <c r="E3733" s="388" t="s">
        <v>16</v>
      </c>
      <c r="F3733" s="388">
        <f t="shared" si="11832"/>
        <v>16</v>
      </c>
      <c r="G3733" s="388"/>
      <c r="H3733" s="395"/>
      <c r="I3733" s="388"/>
      <c r="J3733" s="396"/>
      <c r="K3733" s="396"/>
      <c r="L3733" s="404" t="s">
        <v>207</v>
      </c>
      <c r="M3733" s="399" t="s">
        <v>176</v>
      </c>
      <c r="N3733" s="399">
        <f t="shared" ref="N3733" si="12024">IF(AND(D3730=D3731,D3730=D3732,D3731=D3732,F3730=F3731,F3730=F3732,F3731=F3732),SUM(N3730:N3732),0)</f>
        <v>11.659000000000001</v>
      </c>
      <c r="O3733" s="399" t="s">
        <v>204</v>
      </c>
      <c r="P3733" s="389">
        <f t="shared" ref="P3733" si="12025">IF(N3733&gt;12,ROUNDDOWN(N3733/12,0),0)</f>
        <v>0</v>
      </c>
      <c r="Q3733" s="399" t="s">
        <v>125</v>
      </c>
      <c r="R3733" s="399">
        <f t="shared" ref="R3733" si="12026">IF(P3733&gt;0,MAX(VLOOKUP(F3733,$D$6:$G$15,3,FALSE),600),0)/1000</f>
        <v>0</v>
      </c>
      <c r="S3733" s="396"/>
      <c r="T3733" s="396" t="s">
        <v>125</v>
      </c>
      <c r="U3733" s="401">
        <f t="shared" si="11836"/>
        <v>1.5782400000000001</v>
      </c>
      <c r="V3733" s="396" t="s">
        <v>125</v>
      </c>
      <c r="W3733" s="399">
        <f t="shared" ref="W3733" si="12027">D3733</f>
        <v>3</v>
      </c>
      <c r="X3733" s="399" t="s">
        <v>125</v>
      </c>
      <c r="Y3733" s="389">
        <f t="shared" si="11838"/>
        <v>1</v>
      </c>
      <c r="Z3733" s="400" t="s">
        <v>176</v>
      </c>
      <c r="AA3733" s="402">
        <f t="shared" ref="AA3733" si="12028">(N3733+P3733*R3733/1000)*U3733*W3733*Y3733</f>
        <v>55.202100480000013</v>
      </c>
      <c r="AB3733" s="403"/>
    </row>
    <row r="3734" spans="1:28">
      <c r="A3734" s="384"/>
      <c r="B3734" s="385"/>
      <c r="C3734" s="393"/>
      <c r="D3734" s="394"/>
      <c r="E3734" s="388"/>
      <c r="F3734" s="388"/>
      <c r="G3734" s="388"/>
      <c r="H3734" s="395"/>
      <c r="I3734" s="388"/>
      <c r="J3734" s="399"/>
      <c r="K3734" s="396"/>
      <c r="L3734" s="396"/>
      <c r="M3734" s="396"/>
      <c r="N3734" s="396"/>
      <c r="O3734" s="396"/>
      <c r="P3734" s="389"/>
      <c r="Q3734" s="396"/>
      <c r="R3734" s="396"/>
      <c r="S3734" s="396"/>
      <c r="T3734" s="396"/>
      <c r="U3734" s="401"/>
      <c r="V3734" s="396"/>
      <c r="W3734" s="388"/>
      <c r="X3734" s="396"/>
      <c r="Y3734" s="389"/>
      <c r="Z3734" s="396"/>
      <c r="AA3734" s="388"/>
      <c r="AB3734" s="390"/>
    </row>
    <row r="3735" spans="1:28">
      <c r="A3735" s="384" t="str">
        <f t="shared" ref="A3735:B3735" si="12029">A3715</f>
        <v>Lantai 2</v>
      </c>
      <c r="B3735" s="385">
        <f t="shared" si="12029"/>
        <v>37</v>
      </c>
      <c r="C3735" s="393" t="s">
        <v>211</v>
      </c>
      <c r="D3735" s="398">
        <f>VLOOKUP(D3715,'Detail Balok'!$C$10:$AU$140,31,FALSE)</f>
        <v>0</v>
      </c>
      <c r="E3735" s="388" t="s">
        <v>16</v>
      </c>
      <c r="F3735" s="388">
        <f>VLOOKUP(D3715,'Detail Balok'!$C$10:$AU$140,33,FALSE)</f>
        <v>10</v>
      </c>
      <c r="G3735" s="405" t="s">
        <v>157</v>
      </c>
      <c r="H3735" s="395">
        <f>VLOOKUP(D3715,'Detail Balok'!$C$10:$AU$140,35,FALSE)</f>
        <v>100</v>
      </c>
      <c r="I3735" s="388"/>
      <c r="J3735" s="400">
        <f t="shared" ref="J3735" si="12030">(IF(D3735=0,(2*(D3716+G3716))-(F$5*8),IF(D3735=3,(2*(D3716+G3716))-(F$5*8)+(G3716-2*F$5),IF(D3735=4,(2*(D3716+G3716))-(F$5*8)+2*(G3716-2*F$5)))))/1000</f>
        <v>0.88</v>
      </c>
      <c r="K3735" s="400" t="s">
        <v>204</v>
      </c>
      <c r="L3735" s="399">
        <f t="shared" ref="L3735:L3737" si="12031">IF(D3735=0,2*MAX(6*F3735,75),(D3735-1)*2*MAX(6*F3735,75))/1000</f>
        <v>0.15</v>
      </c>
      <c r="M3735" s="399" t="s">
        <v>176</v>
      </c>
      <c r="N3735" s="399">
        <f t="shared" ref="N3735:N3737" si="12032">J3735+L3735</f>
        <v>1.03</v>
      </c>
      <c r="O3735" s="399"/>
      <c r="P3735" s="389"/>
      <c r="Q3735" s="399"/>
      <c r="R3735" s="399"/>
      <c r="S3735" s="399"/>
      <c r="T3735" s="399" t="s">
        <v>125</v>
      </c>
      <c r="U3735" s="401">
        <f t="shared" ref="U3735:U3737" si="12033">0.006165*F3735^2</f>
        <v>0.61650000000000005</v>
      </c>
      <c r="V3735" s="399" t="s">
        <v>125</v>
      </c>
      <c r="W3735" s="399">
        <f t="shared" ref="W3735" si="12034">IF(D3718&gt;4*G3716,ROUND(MAX(D3718/4,2*G3716)/H3735,0)+1,ROUND(D3718/H3735,0)+1)</f>
        <v>29</v>
      </c>
      <c r="X3735" s="399" t="s">
        <v>125</v>
      </c>
      <c r="Y3735" s="389">
        <f t="shared" ref="Y3735" si="12035">D3721</f>
        <v>1</v>
      </c>
      <c r="Z3735" s="400" t="s">
        <v>176</v>
      </c>
      <c r="AA3735" s="402">
        <f t="shared" ref="AA3735:AA3737" si="12036">N3735*U3735*W3735*Y3735</f>
        <v>18.414855000000003</v>
      </c>
      <c r="AB3735" s="403"/>
    </row>
    <row r="3736" spans="1:28">
      <c r="A3736" s="384" t="str">
        <f t="shared" ref="A3736:B3736" si="12037">A3715</f>
        <v>Lantai 2</v>
      </c>
      <c r="B3736" s="385">
        <f t="shared" si="12037"/>
        <v>37</v>
      </c>
      <c r="C3736" s="393" t="s">
        <v>212</v>
      </c>
      <c r="D3736" s="398">
        <f>VLOOKUP(D3715,'Detail Balok'!$C$10:$AU$140,36,FALSE)</f>
        <v>0</v>
      </c>
      <c r="E3736" s="388" t="s">
        <v>16</v>
      </c>
      <c r="F3736" s="388">
        <f>VLOOKUP(D3715,'Detail Balok'!$C$10:$AU$140,38,FALSE)</f>
        <v>10</v>
      </c>
      <c r="G3736" s="405" t="s">
        <v>157</v>
      </c>
      <c r="H3736" s="395">
        <f>VLOOKUP(D3715,'Detail Balok'!$C$10:$AU$140,40,FALSE)</f>
        <v>200</v>
      </c>
      <c r="I3736" s="388"/>
      <c r="J3736" s="400">
        <f t="shared" ref="J3736" si="12038">(IF(D3736=0,(2*(D3716+G3716))-(F$5*8),IF(D3736=3,(2*(D3716+G3716))-(F$5*8)+(G3716-2*F$5),IF(D3736=4,(2*(D3716+G3716))-(F$5*8)+2*(G3716-2*F$5)))))/1000</f>
        <v>0.88</v>
      </c>
      <c r="K3736" s="400" t="s">
        <v>204</v>
      </c>
      <c r="L3736" s="399">
        <f t="shared" si="12031"/>
        <v>0.15</v>
      </c>
      <c r="M3736" s="399" t="s">
        <v>176</v>
      </c>
      <c r="N3736" s="399">
        <f t="shared" si="12032"/>
        <v>1.03</v>
      </c>
      <c r="O3736" s="399"/>
      <c r="P3736" s="389"/>
      <c r="Q3736" s="399"/>
      <c r="R3736" s="399"/>
      <c r="S3736" s="399"/>
      <c r="T3736" s="399" t="s">
        <v>125</v>
      </c>
      <c r="U3736" s="401">
        <f t="shared" si="12033"/>
        <v>0.61650000000000005</v>
      </c>
      <c r="V3736" s="399" t="s">
        <v>125</v>
      </c>
      <c r="W3736" s="399">
        <f t="shared" ref="W3736" si="12039">IF(D3718-MAX(D3718/4,2*G3716)*2&gt;0,ROUND((D3718-MAX(D3718/4,2*G3716)*2)/H3736,0),0)</f>
        <v>28</v>
      </c>
      <c r="X3736" s="399" t="s">
        <v>125</v>
      </c>
      <c r="Y3736" s="389">
        <f t="shared" ref="Y3736" si="12040">D3721</f>
        <v>1</v>
      </c>
      <c r="Z3736" s="400" t="s">
        <v>176</v>
      </c>
      <c r="AA3736" s="402">
        <f t="shared" si="12036"/>
        <v>17.779860000000003</v>
      </c>
      <c r="AB3736" s="403"/>
    </row>
    <row r="3737" spans="1:28">
      <c r="A3737" s="384" t="str">
        <f t="shared" ref="A3737:B3737" si="12041">A3715</f>
        <v>Lantai 2</v>
      </c>
      <c r="B3737" s="385">
        <f t="shared" si="12041"/>
        <v>37</v>
      </c>
      <c r="C3737" s="393" t="s">
        <v>211</v>
      </c>
      <c r="D3737" s="398">
        <f>VLOOKUP(D3715,'Detail Balok'!$C$10:$AU$140,41,FALSE)</f>
        <v>0</v>
      </c>
      <c r="E3737" s="388" t="s">
        <v>16</v>
      </c>
      <c r="F3737" s="388">
        <f>VLOOKUP(D3715,'Detail Balok'!$C$10:$AU$140,43,FALSE)</f>
        <v>10</v>
      </c>
      <c r="G3737" s="405" t="s">
        <v>157</v>
      </c>
      <c r="H3737" s="395">
        <f>VLOOKUP(D3715,'Detail Balok'!$C$10:$AU$140,45,FALSE)</f>
        <v>100</v>
      </c>
      <c r="I3737" s="388"/>
      <c r="J3737" s="400">
        <f t="shared" ref="J3737" si="12042">(IF(D3737=0,(2*(D3716+G3716))-(F$5*8),IF(D3737=3,(2*(D3716+G3716))-(F$5*8)+(G3716-2*F$5),IF(D3737=4,(2*(D3716+G3716))-(F$5*8)+2*(G3716-2*F$5)))))/1000</f>
        <v>0.88</v>
      </c>
      <c r="K3737" s="400" t="s">
        <v>204</v>
      </c>
      <c r="L3737" s="399">
        <f t="shared" si="12031"/>
        <v>0.15</v>
      </c>
      <c r="M3737" s="399" t="s">
        <v>176</v>
      </c>
      <c r="N3737" s="399">
        <f t="shared" si="12032"/>
        <v>1.03</v>
      </c>
      <c r="O3737" s="399"/>
      <c r="P3737" s="389"/>
      <c r="Q3737" s="399"/>
      <c r="R3737" s="399"/>
      <c r="S3737" s="399"/>
      <c r="T3737" s="399" t="s">
        <v>125</v>
      </c>
      <c r="U3737" s="401">
        <f t="shared" si="12033"/>
        <v>0.61650000000000005</v>
      </c>
      <c r="V3737" s="399" t="s">
        <v>125</v>
      </c>
      <c r="W3737" s="399">
        <f t="shared" ref="W3737" si="12043">IF(D3718&gt;4*G3716,ROUND(MAX(D3718/4,2*G3716)/H3737,0)+1,0)</f>
        <v>29</v>
      </c>
      <c r="X3737" s="399" t="s">
        <v>125</v>
      </c>
      <c r="Y3737" s="389">
        <f t="shared" ref="Y3737" si="12044">D3721</f>
        <v>1</v>
      </c>
      <c r="Z3737" s="400" t="s">
        <v>176</v>
      </c>
      <c r="AA3737" s="402">
        <f t="shared" si="12036"/>
        <v>18.414855000000003</v>
      </c>
      <c r="AB3737" s="403"/>
    </row>
    <row r="3738" spans="1:28">
      <c r="A3738" s="384"/>
      <c r="B3738" s="385"/>
      <c r="C3738" s="393"/>
      <c r="D3738" s="394"/>
      <c r="E3738" s="388"/>
      <c r="F3738" s="388"/>
      <c r="G3738" s="388"/>
      <c r="H3738" s="395"/>
      <c r="I3738" s="388"/>
      <c r="J3738" s="399"/>
      <c r="K3738" s="396"/>
      <c r="L3738" s="396"/>
      <c r="M3738" s="396"/>
      <c r="N3738" s="396"/>
      <c r="O3738" s="396"/>
      <c r="P3738" s="389"/>
      <c r="Q3738" s="396"/>
      <c r="R3738" s="396"/>
      <c r="S3738" s="396"/>
      <c r="T3738" s="396"/>
      <c r="U3738" s="401"/>
      <c r="V3738" s="396"/>
      <c r="W3738" s="388"/>
      <c r="X3738" s="396"/>
      <c r="Y3738" s="389"/>
      <c r="Z3738" s="396"/>
      <c r="AA3738" s="388"/>
      <c r="AB3738" s="390"/>
    </row>
    <row r="3739" spans="1:28">
      <c r="A3739" s="384" t="str">
        <f t="shared" ref="A3739:B3739" si="12045">A3715</f>
        <v>Lantai 2</v>
      </c>
      <c r="B3739" s="385">
        <f t="shared" si="12045"/>
        <v>37</v>
      </c>
      <c r="C3739" s="393" t="s">
        <v>213</v>
      </c>
      <c r="D3739" s="398">
        <f>VLOOKUP(D3715,'Detail Balok'!$C$10:$BJ$140,46,FALSE)</f>
        <v>0</v>
      </c>
      <c r="E3739" s="388" t="s">
        <v>16</v>
      </c>
      <c r="F3739" s="388">
        <f>VLOOKUP(D3715,'Detail Balok'!$C$10:$BJ$140,48,FALSE)</f>
        <v>0</v>
      </c>
      <c r="G3739" s="405" t="s">
        <v>157</v>
      </c>
      <c r="H3739" s="395">
        <f>VLOOKUP(D3715,'Detail Balok'!$C$10:$BJ$140,50,FALSE)</f>
        <v>100</v>
      </c>
      <c r="I3739" s="388"/>
      <c r="J3739" s="399">
        <f t="shared" ref="J3739" si="12046">(D3716-2*F$5)/1000</f>
        <v>0.12</v>
      </c>
      <c r="K3739" s="400" t="s">
        <v>204</v>
      </c>
      <c r="L3739" s="399">
        <f t="shared" ref="L3739:L3741" si="12047">IF(D3739=0,2*MAX(6*F3739,75),(D3739-1)*2*MAX(6*F3739,75))/1000</f>
        <v>0.15</v>
      </c>
      <c r="M3739" s="399" t="s">
        <v>176</v>
      </c>
      <c r="N3739" s="399">
        <f t="shared" ref="N3739:N3741" si="12048">J3739+L3739</f>
        <v>0.27</v>
      </c>
      <c r="O3739" s="399"/>
      <c r="P3739" s="399"/>
      <c r="Q3739" s="399"/>
      <c r="R3739" s="399"/>
      <c r="S3739" s="399"/>
      <c r="T3739" s="399" t="s">
        <v>125</v>
      </c>
      <c r="U3739" s="401">
        <f t="shared" ref="U3739:U3741" si="12049">0.006165*F3739^2</f>
        <v>0</v>
      </c>
      <c r="V3739" s="399" t="s">
        <v>125</v>
      </c>
      <c r="W3739" s="399">
        <f t="shared" si="11861"/>
        <v>29</v>
      </c>
      <c r="X3739" s="399" t="s">
        <v>125</v>
      </c>
      <c r="Y3739" s="389">
        <f t="shared" ref="Y3739" si="12050">D3725</f>
        <v>3</v>
      </c>
      <c r="Z3739" s="400" t="s">
        <v>176</v>
      </c>
      <c r="AA3739" s="402">
        <f t="shared" ref="AA3739:AA3741" si="12051">N3739*U3739*W3739*Y3739</f>
        <v>0</v>
      </c>
      <c r="AB3739" s="403"/>
    </row>
    <row r="3740" spans="1:28">
      <c r="A3740" s="384" t="str">
        <f t="shared" ref="A3740:B3740" si="12052">A3715</f>
        <v>Lantai 2</v>
      </c>
      <c r="B3740" s="385">
        <f t="shared" si="12052"/>
        <v>37</v>
      </c>
      <c r="C3740" s="393" t="s">
        <v>214</v>
      </c>
      <c r="D3740" s="398">
        <f>VLOOKUP(D3715,'Detail Balok'!$C$10:$BJ$140,51,FALSE)</f>
        <v>0</v>
      </c>
      <c r="E3740" s="388" t="s">
        <v>16</v>
      </c>
      <c r="F3740" s="388">
        <f>VLOOKUP(D3715,'Detail Balok'!$C$10:$BJ$140,53,FALSE)</f>
        <v>0</v>
      </c>
      <c r="G3740" s="405" t="s">
        <v>157</v>
      </c>
      <c r="H3740" s="395">
        <f>VLOOKUP(D3715,'Detail Balok'!$C$10:$BJ$140,55,FALSE)</f>
        <v>100</v>
      </c>
      <c r="I3740" s="388"/>
      <c r="J3740" s="399">
        <f t="shared" ref="J3740" si="12053">(D3716-2*F$5)/1000</f>
        <v>0.12</v>
      </c>
      <c r="K3740" s="400" t="s">
        <v>204</v>
      </c>
      <c r="L3740" s="399">
        <f t="shared" si="12047"/>
        <v>0.15</v>
      </c>
      <c r="M3740" s="399" t="s">
        <v>176</v>
      </c>
      <c r="N3740" s="399">
        <f t="shared" si="12048"/>
        <v>0.27</v>
      </c>
      <c r="O3740" s="399"/>
      <c r="P3740" s="399"/>
      <c r="Q3740" s="399"/>
      <c r="R3740" s="399"/>
      <c r="S3740" s="399"/>
      <c r="T3740" s="399" t="s">
        <v>125</v>
      </c>
      <c r="U3740" s="401">
        <f t="shared" si="12049"/>
        <v>0</v>
      </c>
      <c r="V3740" s="399" t="s">
        <v>125</v>
      </c>
      <c r="W3740" s="399">
        <f t="shared" si="11861"/>
        <v>28</v>
      </c>
      <c r="X3740" s="399" t="s">
        <v>125</v>
      </c>
      <c r="Y3740" s="389">
        <f t="shared" ref="Y3740" si="12054">D3725</f>
        <v>3</v>
      </c>
      <c r="Z3740" s="400" t="s">
        <v>176</v>
      </c>
      <c r="AA3740" s="402">
        <f t="shared" si="12051"/>
        <v>0</v>
      </c>
      <c r="AB3740" s="403"/>
    </row>
    <row r="3741" spans="1:28">
      <c r="A3741" s="384" t="str">
        <f t="shared" ref="A3741:B3741" si="12055">A3715</f>
        <v>Lantai 2</v>
      </c>
      <c r="B3741" s="385">
        <f t="shared" si="12055"/>
        <v>37</v>
      </c>
      <c r="C3741" s="393" t="s">
        <v>213</v>
      </c>
      <c r="D3741" s="398">
        <f>VLOOKUP(D3715,'Detail Balok'!$C$10:$BJ$140,56,FALSE)</f>
        <v>0</v>
      </c>
      <c r="E3741" s="388" t="s">
        <v>16</v>
      </c>
      <c r="F3741" s="388">
        <f>VLOOKUP(D3715,'Detail Balok'!$C$10:$BJ$140,58,FALSE)</f>
        <v>0</v>
      </c>
      <c r="G3741" s="405" t="s">
        <v>157</v>
      </c>
      <c r="H3741" s="395">
        <f>VLOOKUP(D3715,'Detail Balok'!$C$10:$BJ$140,60,FALSE)</f>
        <v>100</v>
      </c>
      <c r="I3741" s="388"/>
      <c r="J3741" s="399">
        <f t="shared" ref="J3741" si="12056">(D3716-2*F$5)/1000</f>
        <v>0.12</v>
      </c>
      <c r="K3741" s="400" t="s">
        <v>204</v>
      </c>
      <c r="L3741" s="399">
        <f t="shared" si="12047"/>
        <v>0.15</v>
      </c>
      <c r="M3741" s="399" t="s">
        <v>176</v>
      </c>
      <c r="N3741" s="399">
        <f t="shared" si="12048"/>
        <v>0.27</v>
      </c>
      <c r="O3741" s="399"/>
      <c r="P3741" s="399"/>
      <c r="Q3741" s="399"/>
      <c r="R3741" s="399"/>
      <c r="S3741" s="399"/>
      <c r="T3741" s="399" t="s">
        <v>125</v>
      </c>
      <c r="U3741" s="401">
        <f t="shared" si="12049"/>
        <v>0</v>
      </c>
      <c r="V3741" s="399" t="s">
        <v>125</v>
      </c>
      <c r="W3741" s="399">
        <f t="shared" si="11861"/>
        <v>29</v>
      </c>
      <c r="X3741" s="399" t="s">
        <v>125</v>
      </c>
      <c r="Y3741" s="389">
        <f t="shared" ref="Y3741" si="12057">D3725</f>
        <v>3</v>
      </c>
      <c r="Z3741" s="400" t="s">
        <v>176</v>
      </c>
      <c r="AA3741" s="402">
        <f t="shared" si="12051"/>
        <v>0</v>
      </c>
      <c r="AB3741" s="403"/>
    </row>
    <row r="3742" spans="1:28">
      <c r="A3742" s="391"/>
      <c r="B3742" s="392"/>
      <c r="C3742" s="392"/>
      <c r="D3742" s="394"/>
      <c r="E3742" s="388"/>
      <c r="F3742" s="388"/>
      <c r="G3742" s="388"/>
      <c r="H3742" s="395"/>
      <c r="I3742" s="388"/>
      <c r="J3742" s="402"/>
      <c r="K3742" s="388"/>
      <c r="L3742" s="388"/>
      <c r="M3742" s="388"/>
      <c r="N3742" s="388"/>
      <c r="O3742" s="388"/>
      <c r="P3742" s="388"/>
      <c r="Q3742" s="388"/>
      <c r="R3742" s="388"/>
      <c r="S3742" s="388"/>
      <c r="T3742" s="388"/>
      <c r="U3742" s="388"/>
      <c r="V3742" s="388"/>
      <c r="W3742" s="388"/>
      <c r="X3742" s="388"/>
      <c r="Y3742" s="389"/>
      <c r="Z3742" s="388"/>
      <c r="AA3742" s="402"/>
      <c r="AB3742" s="403"/>
    </row>
    <row r="3743" spans="1:28" ht="15.75" thickBot="1">
      <c r="A3743" s="406"/>
      <c r="B3743" s="407"/>
      <c r="C3743" s="407"/>
      <c r="D3743" s="408"/>
      <c r="E3743" s="409"/>
      <c r="F3743" s="409"/>
      <c r="G3743" s="409"/>
      <c r="H3743" s="410"/>
      <c r="I3743" s="409"/>
      <c r="J3743" s="409"/>
      <c r="K3743" s="409"/>
      <c r="L3743" s="409"/>
      <c r="M3743" s="409"/>
      <c r="N3743" s="409"/>
      <c r="O3743" s="409"/>
      <c r="P3743" s="409"/>
      <c r="Q3743" s="409"/>
      <c r="R3743" s="409"/>
      <c r="S3743" s="409"/>
      <c r="T3743" s="409"/>
      <c r="U3743" s="409"/>
      <c r="V3743" s="409"/>
      <c r="W3743" s="409"/>
      <c r="X3743" s="409"/>
      <c r="Y3743" s="411"/>
      <c r="Z3743" s="409"/>
      <c r="AA3743" s="412"/>
      <c r="AB3743" s="413"/>
    </row>
    <row r="3744" spans="1:28">
      <c r="A3744" s="377"/>
      <c r="B3744" s="378"/>
      <c r="C3744" s="378"/>
      <c r="D3744" s="379"/>
      <c r="E3744" s="380"/>
      <c r="F3744" s="380"/>
      <c r="G3744" s="380"/>
      <c r="H3744" s="381"/>
      <c r="I3744" s="380"/>
      <c r="J3744" s="380"/>
      <c r="K3744" s="380"/>
      <c r="L3744" s="380"/>
      <c r="M3744" s="380"/>
      <c r="N3744" s="380"/>
      <c r="O3744" s="380"/>
      <c r="P3744" s="380"/>
      <c r="Q3744" s="380"/>
      <c r="R3744" s="380"/>
      <c r="S3744" s="380"/>
      <c r="T3744" s="380"/>
      <c r="U3744" s="380"/>
      <c r="V3744" s="380"/>
      <c r="W3744" s="380"/>
      <c r="X3744" s="380"/>
      <c r="Y3744" s="382"/>
      <c r="Z3744" s="380"/>
      <c r="AA3744" s="380"/>
      <c r="AB3744" s="383"/>
    </row>
    <row r="3745" spans="1:28">
      <c r="A3745" s="384" t="str">
        <f t="shared" si="11870"/>
        <v>Lantai 2</v>
      </c>
      <c r="B3745" s="385">
        <f t="shared" si="11871"/>
        <v>38</v>
      </c>
      <c r="C3745" s="386" t="str">
        <f t="shared" ref="C3745" si="12058">CONCATENATE(A3745," no. ",B3745)</f>
        <v>Lantai 2 no. 38</v>
      </c>
      <c r="D3745" s="2562" t="str">
        <f>VLOOKUP(C3745,'Data Panjang Balok'!$C$9:$N$254,2,FALSE)</f>
        <v>B36-1</v>
      </c>
      <c r="E3745" s="2576"/>
      <c r="F3745" s="2576"/>
      <c r="G3745" s="2576"/>
      <c r="H3745" s="2577"/>
      <c r="I3745" s="387"/>
      <c r="J3745" s="388"/>
      <c r="K3745" s="388"/>
      <c r="L3745" s="388"/>
      <c r="M3745" s="388"/>
      <c r="N3745" s="388"/>
      <c r="O3745" s="388"/>
      <c r="P3745" s="388"/>
      <c r="Q3745" s="388"/>
      <c r="R3745" s="388"/>
      <c r="S3745" s="388"/>
      <c r="T3745" s="388"/>
      <c r="U3745" s="388"/>
      <c r="V3745" s="388"/>
      <c r="W3745" s="388"/>
      <c r="X3745" s="388"/>
      <c r="Y3745" s="389"/>
      <c r="Z3745" s="388"/>
      <c r="AA3745" s="388"/>
      <c r="AB3745" s="390"/>
    </row>
    <row r="3746" spans="1:28">
      <c r="A3746" s="391"/>
      <c r="B3746" s="392"/>
      <c r="C3746" s="393" t="s">
        <v>118</v>
      </c>
      <c r="D3746" s="2578">
        <f>VLOOKUP(D3745,'Detail Balok'!$C$10:$AU$140,2,FALSE)</f>
        <v>300</v>
      </c>
      <c r="E3746" s="2579"/>
      <c r="F3746" s="388" t="s">
        <v>125</v>
      </c>
      <c r="G3746" s="2579">
        <f>VLOOKUP(D3745,'Detail Balok'!$C$10:$AU$140,3,FALSE)</f>
        <v>600</v>
      </c>
      <c r="H3746" s="2580"/>
      <c r="I3746" s="388"/>
      <c r="J3746" s="396"/>
      <c r="K3746" s="396"/>
      <c r="L3746" s="396"/>
      <c r="M3746" s="396"/>
      <c r="N3746" s="396"/>
      <c r="O3746" s="396"/>
      <c r="P3746" s="396"/>
      <c r="Q3746" s="396"/>
      <c r="R3746" s="396"/>
      <c r="S3746" s="396"/>
      <c r="T3746" s="396"/>
      <c r="U3746" s="388"/>
      <c r="V3746" s="396"/>
      <c r="W3746" s="388"/>
      <c r="X3746" s="396"/>
      <c r="Y3746" s="389"/>
      <c r="Z3746" s="396"/>
      <c r="AA3746" s="388"/>
      <c r="AB3746" s="390"/>
    </row>
    <row r="3747" spans="1:28">
      <c r="A3747" s="391"/>
      <c r="B3747" s="392"/>
      <c r="C3747" s="393" t="s">
        <v>198</v>
      </c>
      <c r="D3747" s="2562">
        <f>VLOOKUP(C3745,'Data Panjang Balok'!$C$9:$N$254,4,FALSE)</f>
        <v>5950</v>
      </c>
      <c r="E3747" s="2563"/>
      <c r="F3747" s="2563"/>
      <c r="G3747" s="2563"/>
      <c r="H3747" s="2564"/>
      <c r="I3747" s="397"/>
      <c r="J3747" s="396"/>
      <c r="K3747" s="396"/>
      <c r="L3747" s="396"/>
      <c r="M3747" s="396"/>
      <c r="N3747" s="396"/>
      <c r="O3747" s="396"/>
      <c r="P3747" s="396"/>
      <c r="Q3747" s="396"/>
      <c r="R3747" s="396"/>
      <c r="S3747" s="396"/>
      <c r="T3747" s="396"/>
      <c r="U3747" s="388"/>
      <c r="V3747" s="396"/>
      <c r="W3747" s="388"/>
      <c r="X3747" s="396"/>
      <c r="Y3747" s="389"/>
      <c r="Z3747" s="396"/>
      <c r="AA3747" s="388"/>
      <c r="AB3747" s="390"/>
    </row>
    <row r="3748" spans="1:28">
      <c r="A3748" s="391"/>
      <c r="B3748" s="392"/>
      <c r="C3748" s="393" t="s">
        <v>199</v>
      </c>
      <c r="D3748" s="2562">
        <f>VLOOKUP(C3745,'Data Panjang Balok'!$C$9:$N$254,7,FALSE)</f>
        <v>5950</v>
      </c>
      <c r="E3748" s="2563"/>
      <c r="F3748" s="2563"/>
      <c r="G3748" s="2563"/>
      <c r="H3748" s="2564"/>
      <c r="I3748" s="397"/>
      <c r="J3748" s="396"/>
      <c r="K3748" s="396"/>
      <c r="L3748" s="396"/>
      <c r="M3748" s="396"/>
      <c r="N3748" s="396"/>
      <c r="O3748" s="396"/>
      <c r="P3748" s="396"/>
      <c r="Q3748" s="396"/>
      <c r="R3748" s="396"/>
      <c r="S3748" s="396"/>
      <c r="T3748" s="396"/>
      <c r="U3748" s="388"/>
      <c r="V3748" s="396"/>
      <c r="W3748" s="388"/>
      <c r="X3748" s="396"/>
      <c r="Y3748" s="389"/>
      <c r="Z3748" s="396"/>
      <c r="AA3748" s="388"/>
      <c r="AB3748" s="390"/>
    </row>
    <row r="3749" spans="1:28">
      <c r="A3749" s="391"/>
      <c r="B3749" s="392"/>
      <c r="C3749" s="393" t="s">
        <v>200</v>
      </c>
      <c r="D3749" s="2562">
        <f>VLOOKUP(C3745,'Data Panjang Balok'!$C$9:$N$254,9,FALSE)</f>
        <v>0</v>
      </c>
      <c r="E3749" s="2563"/>
      <c r="F3749" s="2563"/>
      <c r="G3749" s="2563"/>
      <c r="H3749" s="2564"/>
      <c r="I3749" s="397"/>
      <c r="J3749" s="396"/>
      <c r="K3749" s="396"/>
      <c r="L3749" s="396"/>
      <c r="M3749" s="396"/>
      <c r="N3749" s="396"/>
      <c r="O3749" s="396"/>
      <c r="P3749" s="396"/>
      <c r="Q3749" s="396"/>
      <c r="R3749" s="396"/>
      <c r="S3749" s="396"/>
      <c r="T3749" s="396"/>
      <c r="U3749" s="388"/>
      <c r="V3749" s="396"/>
      <c r="W3749" s="388"/>
      <c r="X3749" s="396"/>
      <c r="Y3749" s="389"/>
      <c r="Z3749" s="396"/>
      <c r="AA3749" s="388"/>
      <c r="AB3749" s="390"/>
    </row>
    <row r="3750" spans="1:28">
      <c r="A3750" s="391"/>
      <c r="B3750" s="392"/>
      <c r="C3750" s="393" t="s">
        <v>201</v>
      </c>
      <c r="D3750" s="2562">
        <f>VLOOKUP(C3745,'Data Panjang Balok'!$C$9:$N$254,10,FALSE)</f>
        <v>0</v>
      </c>
      <c r="E3750" s="2563"/>
      <c r="F3750" s="2563"/>
      <c r="G3750" s="2563"/>
      <c r="H3750" s="2564"/>
      <c r="I3750" s="397"/>
      <c r="J3750" s="396"/>
      <c r="K3750" s="396"/>
      <c r="L3750" s="396"/>
      <c r="M3750" s="396"/>
      <c r="N3750" s="396"/>
      <c r="O3750" s="396"/>
      <c r="P3750" s="396"/>
      <c r="Q3750" s="396"/>
      <c r="R3750" s="396"/>
      <c r="S3750" s="396"/>
      <c r="T3750" s="396"/>
      <c r="U3750" s="388"/>
      <c r="V3750" s="396"/>
      <c r="W3750" s="388"/>
      <c r="X3750" s="396"/>
      <c r="Y3750" s="389"/>
      <c r="Z3750" s="396"/>
      <c r="AA3750" s="388"/>
      <c r="AB3750" s="390"/>
    </row>
    <row r="3751" spans="1:28">
      <c r="A3751" s="391"/>
      <c r="B3751" s="392"/>
      <c r="C3751" s="393" t="s">
        <v>48</v>
      </c>
      <c r="D3751" s="2562">
        <f>VLOOKUP(C3745,'Data Panjang Balok'!$C$9:$N$254,3,FALSE)</f>
        <v>1</v>
      </c>
      <c r="E3751" s="2563"/>
      <c r="F3751" s="2563"/>
      <c r="G3751" s="2563"/>
      <c r="H3751" s="2564"/>
      <c r="I3751" s="397"/>
      <c r="J3751" s="396"/>
      <c r="K3751" s="396"/>
      <c r="L3751" s="396"/>
      <c r="M3751" s="396"/>
      <c r="N3751" s="396"/>
      <c r="O3751" s="396"/>
      <c r="P3751" s="396"/>
      <c r="Q3751" s="396"/>
      <c r="R3751" s="396"/>
      <c r="S3751" s="396"/>
      <c r="T3751" s="396"/>
      <c r="U3751" s="388"/>
      <c r="V3751" s="396"/>
      <c r="W3751" s="388"/>
      <c r="X3751" s="396"/>
      <c r="Y3751" s="389"/>
      <c r="Z3751" s="396"/>
      <c r="AA3751" s="388"/>
      <c r="AB3751" s="390"/>
    </row>
    <row r="3752" spans="1:28">
      <c r="A3752" s="384" t="str">
        <f t="shared" ref="A3752:B3752" si="12059">A3745</f>
        <v>Lantai 2</v>
      </c>
      <c r="B3752" s="385">
        <f t="shared" si="12059"/>
        <v>38</v>
      </c>
      <c r="C3752" s="393" t="s">
        <v>202</v>
      </c>
      <c r="D3752" s="398">
        <f>VLOOKUP(D3745,'Detail Balok'!$C$10:$AU$140,4,FALSE)</f>
        <v>5</v>
      </c>
      <c r="E3752" s="388" t="s">
        <v>16</v>
      </c>
      <c r="F3752" s="388">
        <f>VLOOKUP(D3745,'Detail Balok'!$C$10:$AU$140,6,FALSE)</f>
        <v>16</v>
      </c>
      <c r="G3752" s="388"/>
      <c r="H3752" s="395"/>
      <c r="I3752" s="388" t="s">
        <v>203</v>
      </c>
      <c r="J3752" s="399">
        <f t="shared" ref="J3752" si="12060">+D3747/4/1000</f>
        <v>1.4875</v>
      </c>
      <c r="K3752" s="400" t="s">
        <v>204</v>
      </c>
      <c r="L3752" s="399">
        <f t="shared" ref="L3752" si="12061">MAX(VLOOKUP(F3752,N$6:P$15,3,FALSE)/1000,2/3*D3749/1000)+F$16*F3752/1000</f>
        <v>0.192</v>
      </c>
      <c r="M3752" s="399" t="s">
        <v>176</v>
      </c>
      <c r="N3752" s="399">
        <f t="shared" ref="N3752:N3754" si="12062">J3752+L3752</f>
        <v>1.6795</v>
      </c>
      <c r="O3752" s="399" t="s">
        <v>204</v>
      </c>
      <c r="P3752" s="389">
        <f t="shared" ref="P3752" si="12063">D3752-D3753</f>
        <v>0</v>
      </c>
      <c r="Q3752" s="399" t="s">
        <v>125</v>
      </c>
      <c r="R3752" s="399">
        <f t="shared" ref="R3752" si="12064">IF(P3752&gt;0,$F$18*F3752/1000,0)</f>
        <v>0</v>
      </c>
      <c r="S3752" s="399" t="s">
        <v>205</v>
      </c>
      <c r="T3752" s="399" t="s">
        <v>125</v>
      </c>
      <c r="U3752" s="401">
        <f t="shared" ref="U3752:U3754" si="12065">0.006165*F3752^2</f>
        <v>1.5782400000000001</v>
      </c>
      <c r="V3752" s="399"/>
      <c r="W3752" s="399"/>
      <c r="X3752" s="399" t="s">
        <v>125</v>
      </c>
      <c r="Y3752" s="389">
        <f t="shared" ref="Y3752" si="12066">D3751</f>
        <v>1</v>
      </c>
      <c r="Z3752" s="400" t="s">
        <v>176</v>
      </c>
      <c r="AA3752" s="402">
        <f t="shared" ref="AA3752" si="12067">IF(AA3755=0,(D3752*N3752+P3752*R3752)*U3752*Y3752,0)</f>
        <v>0</v>
      </c>
      <c r="AB3752" s="403"/>
    </row>
    <row r="3753" spans="1:28">
      <c r="A3753" s="384" t="str">
        <f t="shared" ref="A3753:B3753" si="12068">A3745</f>
        <v>Lantai 2</v>
      </c>
      <c r="B3753" s="385">
        <f t="shared" si="12068"/>
        <v>38</v>
      </c>
      <c r="C3753" s="393" t="s">
        <v>206</v>
      </c>
      <c r="D3753" s="398">
        <f>VLOOKUP(D3745,'Detail Balok'!$C$10:$AU$140,7,FALSE)</f>
        <v>5</v>
      </c>
      <c r="E3753" s="388" t="s">
        <v>16</v>
      </c>
      <c r="F3753" s="388">
        <f>VLOOKUP(D3745,'Detail Balok'!$C$10:$AU$140,9,FALSE)</f>
        <v>16</v>
      </c>
      <c r="G3753" s="388"/>
      <c r="H3753" s="395"/>
      <c r="I3753" s="388" t="s">
        <v>203</v>
      </c>
      <c r="J3753" s="399">
        <f t="shared" ref="J3753" si="12069">+D3747/2/1000</f>
        <v>2.9750000000000001</v>
      </c>
      <c r="K3753" s="400" t="s">
        <v>204</v>
      </c>
      <c r="L3753" s="399"/>
      <c r="M3753" s="399" t="s">
        <v>176</v>
      </c>
      <c r="N3753" s="399">
        <f t="shared" si="12062"/>
        <v>2.9750000000000001</v>
      </c>
      <c r="O3753" s="399" t="s">
        <v>204</v>
      </c>
      <c r="P3753" s="389">
        <f t="shared" ref="P3753" si="12070">MAX(D3753-D3752,D3753-D3754)</f>
        <v>0</v>
      </c>
      <c r="Q3753" s="399" t="s">
        <v>125</v>
      </c>
      <c r="R3753" s="399">
        <f t="shared" ref="R3753" si="12071">IF(P3753&gt;0,2*(1-2*$F$19-1/2)*D3748/1000,0)</f>
        <v>0</v>
      </c>
      <c r="S3753" s="399" t="s">
        <v>205</v>
      </c>
      <c r="T3753" s="399" t="s">
        <v>125</v>
      </c>
      <c r="U3753" s="401">
        <f t="shared" si="12065"/>
        <v>1.5782400000000001</v>
      </c>
      <c r="V3753" s="399"/>
      <c r="W3753" s="399"/>
      <c r="X3753" s="399" t="s">
        <v>125</v>
      </c>
      <c r="Y3753" s="389">
        <f t="shared" ref="Y3753" si="12072">D3751</f>
        <v>1</v>
      </c>
      <c r="Z3753" s="400" t="s">
        <v>176</v>
      </c>
      <c r="AA3753" s="402">
        <f t="shared" ref="AA3753" si="12073">IF(AA3755=0,(D3753*N3753+P3753*R3753)*U3753*Y3753,0)</f>
        <v>0</v>
      </c>
      <c r="AB3753" s="403"/>
    </row>
    <row r="3754" spans="1:28">
      <c r="A3754" s="384" t="str">
        <f t="shared" ref="A3754:B3754" si="12074">A3745</f>
        <v>Lantai 2</v>
      </c>
      <c r="B3754" s="385">
        <f t="shared" si="12074"/>
        <v>38</v>
      </c>
      <c r="C3754" s="393" t="s">
        <v>202</v>
      </c>
      <c r="D3754" s="398">
        <f>VLOOKUP(D3745,'Detail Balok'!$C$10:$AU$140,10,FALSE)</f>
        <v>5</v>
      </c>
      <c r="E3754" s="388" t="s">
        <v>16</v>
      </c>
      <c r="F3754" s="388">
        <f>VLOOKUP(D3745,'Detail Balok'!$C$10:$AU$140,12,FALSE)</f>
        <v>16</v>
      </c>
      <c r="G3754" s="388"/>
      <c r="H3754" s="395"/>
      <c r="I3754" s="388" t="s">
        <v>203</v>
      </c>
      <c r="J3754" s="399">
        <f t="shared" ref="J3754" si="12075">+D3747/4/1000</f>
        <v>1.4875</v>
      </c>
      <c r="K3754" s="400" t="s">
        <v>204</v>
      </c>
      <c r="L3754" s="399">
        <f t="shared" ref="L3754" si="12076">MAX(VLOOKUP(F3754,N$6:P$15,3,FALSE)/1000,2/3*D3749/1000)+F$16*F3754/1000</f>
        <v>0.192</v>
      </c>
      <c r="M3754" s="399" t="s">
        <v>176</v>
      </c>
      <c r="N3754" s="399">
        <f t="shared" si="12062"/>
        <v>1.6795</v>
      </c>
      <c r="O3754" s="399" t="s">
        <v>204</v>
      </c>
      <c r="P3754" s="389">
        <f t="shared" ref="P3754" si="12077">D3754-D3753</f>
        <v>0</v>
      </c>
      <c r="Q3754" s="399" t="s">
        <v>125</v>
      </c>
      <c r="R3754" s="399">
        <f t="shared" ref="R3754" si="12078">IF(P3754&gt;0,$F$18*F3754/1000,0)</f>
        <v>0</v>
      </c>
      <c r="S3754" s="399" t="s">
        <v>205</v>
      </c>
      <c r="T3754" s="399" t="s">
        <v>125</v>
      </c>
      <c r="U3754" s="401">
        <f t="shared" si="12065"/>
        <v>1.5782400000000001</v>
      </c>
      <c r="V3754" s="399"/>
      <c r="W3754" s="399"/>
      <c r="X3754" s="399" t="s">
        <v>125</v>
      </c>
      <c r="Y3754" s="389">
        <f t="shared" ref="Y3754" si="12079">D3751</f>
        <v>1</v>
      </c>
      <c r="Z3754" s="400" t="s">
        <v>176</v>
      </c>
      <c r="AA3754" s="402">
        <f t="shared" ref="AA3754" si="12080">IF(AA3755=0,(D3754*N3754+P3754*R3754)*U3754*Y3754,0)</f>
        <v>0</v>
      </c>
      <c r="AB3754" s="403"/>
    </row>
    <row r="3755" spans="1:28">
      <c r="A3755" s="384" t="str">
        <f t="shared" ref="A3755:B3755" si="12081">A3745</f>
        <v>Lantai 2</v>
      </c>
      <c r="B3755" s="385">
        <f t="shared" si="12081"/>
        <v>38</v>
      </c>
      <c r="C3755" s="393"/>
      <c r="D3755" s="398">
        <f t="shared" ref="D3755:D3815" si="12082">IF(AND(D3752=D3753,D3753=D3754,D3752=D3754),D3752,0)</f>
        <v>5</v>
      </c>
      <c r="E3755" s="388" t="s">
        <v>16</v>
      </c>
      <c r="F3755" s="388">
        <f t="shared" ref="F3755:F3815" si="12083">IF(AND(F3752=F3753,F3752=F3754,F3753=F3754),F3752,0)</f>
        <v>16</v>
      </c>
      <c r="G3755" s="388"/>
      <c r="H3755" s="395"/>
      <c r="I3755" s="388"/>
      <c r="J3755" s="396"/>
      <c r="K3755" s="396"/>
      <c r="L3755" s="404" t="s">
        <v>207</v>
      </c>
      <c r="M3755" s="399" t="s">
        <v>176</v>
      </c>
      <c r="N3755" s="399">
        <f t="shared" ref="N3755" si="12084">IF(AND(D3752=D3753,D3752=D3754,D3753=D3754,F3752=F3753,F3752=F3754,F3753=F3754),SUM(N3752:N3754),0)</f>
        <v>6.3340000000000005</v>
      </c>
      <c r="O3755" s="399" t="s">
        <v>204</v>
      </c>
      <c r="P3755" s="389">
        <f t="shared" ref="P3755" si="12085">IF(N3755&gt;12,ROUNDDOWN(N3755/12,0),0)</f>
        <v>0</v>
      </c>
      <c r="Q3755" s="399" t="s">
        <v>125</v>
      </c>
      <c r="R3755" s="399">
        <f t="shared" ref="R3755" si="12086">IF(P3755&gt;0,MAX(VLOOKUP(F3755,$D$6:$G$15,3,FALSE),600),0)/1000</f>
        <v>0</v>
      </c>
      <c r="S3755" s="396"/>
      <c r="T3755" s="396" t="s">
        <v>125</v>
      </c>
      <c r="U3755" s="401">
        <f t="shared" ref="U3755:U3815" si="12087">U3754</f>
        <v>1.5782400000000001</v>
      </c>
      <c r="V3755" s="396" t="s">
        <v>125</v>
      </c>
      <c r="W3755" s="399">
        <f t="shared" ref="W3755" si="12088">D3755</f>
        <v>5</v>
      </c>
      <c r="X3755" s="399" t="s">
        <v>125</v>
      </c>
      <c r="Y3755" s="389">
        <f t="shared" ref="Y3755:Y3815" si="12089">Y3754</f>
        <v>1</v>
      </c>
      <c r="Z3755" s="400" t="s">
        <v>176</v>
      </c>
      <c r="AA3755" s="402">
        <f t="shared" ref="AA3755" si="12090">(N3755+P3755*R3755/1000)*U3755*W3755*Y3755</f>
        <v>49.982860800000005</v>
      </c>
      <c r="AB3755" s="390"/>
    </row>
    <row r="3756" spans="1:28">
      <c r="A3756" s="384"/>
      <c r="B3756" s="385"/>
      <c r="C3756" s="393"/>
      <c r="D3756" s="398"/>
      <c r="E3756" s="388"/>
      <c r="F3756" s="388"/>
      <c r="G3756" s="388"/>
      <c r="H3756" s="395"/>
      <c r="I3756" s="388"/>
      <c r="J3756" s="396"/>
      <c r="K3756" s="396"/>
      <c r="L3756" s="404"/>
      <c r="M3756" s="399"/>
      <c r="N3756" s="399"/>
      <c r="O3756" s="396"/>
      <c r="P3756" s="389"/>
      <c r="Q3756" s="396"/>
      <c r="R3756" s="396"/>
      <c r="S3756" s="396"/>
      <c r="T3756" s="396"/>
      <c r="U3756" s="401"/>
      <c r="V3756" s="396"/>
      <c r="W3756" s="399"/>
      <c r="X3756" s="396"/>
      <c r="Y3756" s="389"/>
      <c r="Z3756" s="396"/>
      <c r="AA3756" s="388"/>
      <c r="AB3756" s="390"/>
    </row>
    <row r="3757" spans="1:28">
      <c r="A3757" s="384" t="str">
        <f t="shared" ref="A3757:B3757" si="12091">A3745</f>
        <v>Lantai 2</v>
      </c>
      <c r="B3757" s="385">
        <f t="shared" si="12091"/>
        <v>38</v>
      </c>
      <c r="C3757" s="393" t="s">
        <v>208</v>
      </c>
      <c r="D3757" s="398">
        <f>VLOOKUP(D3745,'Detail Balok'!$C$10:$AU$140,13,FALSE)</f>
        <v>2</v>
      </c>
      <c r="E3757" s="388" t="s">
        <v>16</v>
      </c>
      <c r="F3757" s="388">
        <f>VLOOKUP(D3745,'Detail Balok'!$C$10:$AU$140,15,FALSE)</f>
        <v>10</v>
      </c>
      <c r="G3757" s="388"/>
      <c r="H3757" s="395"/>
      <c r="I3757" s="388"/>
      <c r="J3757" s="399">
        <f t="shared" ref="J3757" si="12092">+D3747/1000</f>
        <v>5.95</v>
      </c>
      <c r="K3757" s="400" t="s">
        <v>204</v>
      </c>
      <c r="L3757" s="399">
        <f t="shared" ref="L3757" si="12093">2*$F$16*F3757/1000</f>
        <v>0.24</v>
      </c>
      <c r="M3757" s="399" t="s">
        <v>176</v>
      </c>
      <c r="N3757" s="399">
        <f t="shared" ref="N3757" si="12094">J3757+L3757</f>
        <v>6.19</v>
      </c>
      <c r="O3757" s="399" t="s">
        <v>204</v>
      </c>
      <c r="P3757" s="389">
        <f t="shared" ref="P3757" si="12095">IF(N3757&gt;12,ROUNDDOWN(N3757/12,0),0)</f>
        <v>0</v>
      </c>
      <c r="Q3757" s="399" t="s">
        <v>125</v>
      </c>
      <c r="R3757" s="399">
        <f t="shared" ref="R3757" si="12096">IF(P3757&gt;0,MAX(VLOOKUP(F3757,$D$6:$G$15,3,FALSE),600),0)/1000</f>
        <v>0</v>
      </c>
      <c r="S3757" s="399"/>
      <c r="T3757" s="399" t="s">
        <v>125</v>
      </c>
      <c r="U3757" s="401">
        <f t="shared" ref="U3757" si="12097">0.006165*F3757^2</f>
        <v>0.61650000000000005</v>
      </c>
      <c r="V3757" s="399" t="s">
        <v>125</v>
      </c>
      <c r="W3757" s="399">
        <f t="shared" ref="W3757" si="12098">+D3757</f>
        <v>2</v>
      </c>
      <c r="X3757" s="399" t="s">
        <v>125</v>
      </c>
      <c r="Y3757" s="389">
        <f t="shared" ref="Y3757" si="12099">D3751</f>
        <v>1</v>
      </c>
      <c r="Z3757" s="400" t="s">
        <v>176</v>
      </c>
      <c r="AA3757" s="402">
        <f t="shared" ref="AA3757" si="12100">(N3757+P3757*R3757/1000)*U3757*W3757*Y3757</f>
        <v>7.632270000000001</v>
      </c>
      <c r="AB3757" s="403"/>
    </row>
    <row r="3758" spans="1:28">
      <c r="A3758" s="384"/>
      <c r="B3758" s="385"/>
      <c r="C3758" s="393"/>
      <c r="D3758" s="398"/>
      <c r="E3758" s="388"/>
      <c r="F3758" s="388"/>
      <c r="G3758" s="388"/>
      <c r="H3758" s="395"/>
      <c r="I3758" s="388"/>
      <c r="J3758" s="399"/>
      <c r="K3758" s="400"/>
      <c r="L3758" s="399"/>
      <c r="M3758" s="399"/>
      <c r="N3758" s="399"/>
      <c r="O3758" s="399"/>
      <c r="P3758" s="389"/>
      <c r="Q3758" s="399"/>
      <c r="R3758" s="399"/>
      <c r="S3758" s="399"/>
      <c r="T3758" s="399"/>
      <c r="U3758" s="401"/>
      <c r="V3758" s="399"/>
      <c r="W3758" s="399"/>
      <c r="X3758" s="399"/>
      <c r="Y3758" s="389"/>
      <c r="Z3758" s="400"/>
      <c r="AA3758" s="402"/>
      <c r="AB3758" s="403"/>
    </row>
    <row r="3759" spans="1:28">
      <c r="A3759" s="384"/>
      <c r="B3759" s="385"/>
      <c r="C3759" s="393"/>
      <c r="D3759" s="398"/>
      <c r="E3759" s="388"/>
      <c r="F3759" s="388"/>
      <c r="G3759" s="388"/>
      <c r="H3759" s="395"/>
      <c r="I3759" s="388"/>
      <c r="J3759" s="396"/>
      <c r="K3759" s="396"/>
      <c r="L3759" s="396"/>
      <c r="M3759" s="396"/>
      <c r="N3759" s="396"/>
      <c r="O3759" s="396"/>
      <c r="P3759" s="389"/>
      <c r="Q3759" s="396"/>
      <c r="R3759" s="396"/>
      <c r="S3759" s="396"/>
      <c r="T3759" s="396"/>
      <c r="U3759" s="401"/>
      <c r="V3759" s="396"/>
      <c r="W3759" s="399"/>
      <c r="X3759" s="396"/>
      <c r="Y3759" s="389"/>
      <c r="Z3759" s="396"/>
      <c r="AA3759" s="388"/>
      <c r="AB3759" s="390"/>
    </row>
    <row r="3760" spans="1:28">
      <c r="A3760" s="384" t="str">
        <f t="shared" ref="A3760:B3760" si="12101">A3745</f>
        <v>Lantai 2</v>
      </c>
      <c r="B3760" s="385">
        <f t="shared" si="12101"/>
        <v>38</v>
      </c>
      <c r="C3760" s="393" t="s">
        <v>209</v>
      </c>
      <c r="D3760" s="398">
        <f>VLOOKUP(D3745,'Detail Balok'!$C$10:$AU$140,22,FALSE)</f>
        <v>5</v>
      </c>
      <c r="E3760" s="388" t="s">
        <v>16</v>
      </c>
      <c r="F3760" s="388">
        <f>VLOOKUP(D3745,'Detail Balok'!$C$10:$AU$140,24,FALSE)</f>
        <v>16</v>
      </c>
      <c r="G3760" s="388"/>
      <c r="H3760" s="395"/>
      <c r="I3760" s="388" t="s">
        <v>203</v>
      </c>
      <c r="J3760" s="399">
        <f t="shared" ref="J3760:J3822" si="12102">+J3752</f>
        <v>1.4875</v>
      </c>
      <c r="K3760" s="400" t="s">
        <v>204</v>
      </c>
      <c r="L3760" s="399">
        <f t="shared" ref="L3760" si="12103">MAX(VLOOKUP(F3760,N$6:P$15,3,FALSE)/1000,2/3*D3750/1000)+F$16*F3760/1000</f>
        <v>0.192</v>
      </c>
      <c r="M3760" s="399" t="s">
        <v>176</v>
      </c>
      <c r="N3760" s="399">
        <f t="shared" ref="N3760:N3762" si="12104">J3760+L3760</f>
        <v>1.6795</v>
      </c>
      <c r="O3760" s="399" t="s">
        <v>204</v>
      </c>
      <c r="P3760" s="389">
        <f t="shared" ref="P3760" si="12105">D3760-D3761</f>
        <v>0</v>
      </c>
      <c r="Q3760" s="399" t="s">
        <v>125</v>
      </c>
      <c r="R3760" s="399">
        <f t="shared" ref="R3760" si="12106">IF(P3760&gt;0,$F$18*F3760/1000,0)</f>
        <v>0</v>
      </c>
      <c r="S3760" s="399" t="s">
        <v>205</v>
      </c>
      <c r="T3760" s="399" t="s">
        <v>125</v>
      </c>
      <c r="U3760" s="401">
        <f t="shared" ref="U3760:U3762" si="12107">0.006165*F3760^2</f>
        <v>1.5782400000000001</v>
      </c>
      <c r="V3760" s="399"/>
      <c r="W3760" s="399"/>
      <c r="X3760" s="399" t="s">
        <v>125</v>
      </c>
      <c r="Y3760" s="389">
        <f t="shared" ref="Y3760" si="12108">D3751</f>
        <v>1</v>
      </c>
      <c r="Z3760" s="400" t="s">
        <v>176</v>
      </c>
      <c r="AA3760" s="402">
        <f t="shared" ref="AA3760" si="12109">IF(AA3763=0,(D3760*N3760+P3760*R3760)*U3760*Y3760,0)</f>
        <v>0</v>
      </c>
      <c r="AB3760" s="403"/>
    </row>
    <row r="3761" spans="1:28">
      <c r="A3761" s="384" t="str">
        <f t="shared" ref="A3761:B3761" si="12110">A3745</f>
        <v>Lantai 2</v>
      </c>
      <c r="B3761" s="385">
        <f t="shared" si="12110"/>
        <v>38</v>
      </c>
      <c r="C3761" s="393" t="s">
        <v>210</v>
      </c>
      <c r="D3761" s="398">
        <f>VLOOKUP(D3745,'Detail Balok'!$C$10:$AU$140,25,FALSE)</f>
        <v>5</v>
      </c>
      <c r="E3761" s="388" t="s">
        <v>16</v>
      </c>
      <c r="F3761" s="388">
        <f>VLOOKUP(D3745,'Detail Balok'!$C$10:$AU$140,27,FALSE)</f>
        <v>16</v>
      </c>
      <c r="G3761" s="388"/>
      <c r="H3761" s="395"/>
      <c r="I3761" s="388" t="s">
        <v>203</v>
      </c>
      <c r="J3761" s="399">
        <f t="shared" si="12102"/>
        <v>2.9750000000000001</v>
      </c>
      <c r="K3761" s="400" t="s">
        <v>204</v>
      </c>
      <c r="L3761" s="399"/>
      <c r="M3761" s="399" t="s">
        <v>176</v>
      </c>
      <c r="N3761" s="399">
        <f t="shared" si="12104"/>
        <v>2.9750000000000001</v>
      </c>
      <c r="O3761" s="399" t="s">
        <v>204</v>
      </c>
      <c r="P3761" s="389">
        <f t="shared" ref="P3761" si="12111">MAX(D3761-D3760,D3761-D3762)</f>
        <v>0</v>
      </c>
      <c r="Q3761" s="399" t="s">
        <v>125</v>
      </c>
      <c r="R3761" s="399">
        <f t="shared" ref="R3761" si="12112">IF(P3761&gt;0,2*(1-2*$F$19-1/2)*D3748/1000,0)</f>
        <v>0</v>
      </c>
      <c r="S3761" s="399" t="s">
        <v>205</v>
      </c>
      <c r="T3761" s="399" t="s">
        <v>125</v>
      </c>
      <c r="U3761" s="401">
        <f t="shared" si="12107"/>
        <v>1.5782400000000001</v>
      </c>
      <c r="V3761" s="399"/>
      <c r="W3761" s="399"/>
      <c r="X3761" s="399" t="s">
        <v>125</v>
      </c>
      <c r="Y3761" s="389">
        <f t="shared" ref="Y3761" si="12113">D3751</f>
        <v>1</v>
      </c>
      <c r="Z3761" s="400" t="s">
        <v>176</v>
      </c>
      <c r="AA3761" s="402">
        <f t="shared" ref="AA3761" si="12114">IF(AA3763=0,(D3761*N3761+P3761*R3761)*U3761*Y3761,0)</f>
        <v>0</v>
      </c>
      <c r="AB3761" s="403"/>
    </row>
    <row r="3762" spans="1:28">
      <c r="A3762" s="384" t="str">
        <f t="shared" ref="A3762:B3762" si="12115">A3745</f>
        <v>Lantai 2</v>
      </c>
      <c r="B3762" s="385">
        <f t="shared" si="12115"/>
        <v>38</v>
      </c>
      <c r="C3762" s="393" t="s">
        <v>209</v>
      </c>
      <c r="D3762" s="398">
        <f>VLOOKUP(D3745,'Detail Balok'!$C$10:$AU$140,28,FALSE)</f>
        <v>5</v>
      </c>
      <c r="E3762" s="388" t="s">
        <v>16</v>
      </c>
      <c r="F3762" s="388">
        <f>VLOOKUP(D3745,'Detail Balok'!$C$10:$AU$140,30,FALSE)</f>
        <v>16</v>
      </c>
      <c r="G3762" s="388"/>
      <c r="H3762" s="395"/>
      <c r="I3762" s="388" t="s">
        <v>203</v>
      </c>
      <c r="J3762" s="399">
        <f t="shared" si="12102"/>
        <v>1.4875</v>
      </c>
      <c r="K3762" s="400" t="s">
        <v>204</v>
      </c>
      <c r="L3762" s="399">
        <f t="shared" ref="L3762" si="12116">MAX(VLOOKUP(F3762,N$6:P$15,3,FALSE)/1000,2/3*D3750/1000)+F$16*F3762/1000</f>
        <v>0.192</v>
      </c>
      <c r="M3762" s="399" t="s">
        <v>176</v>
      </c>
      <c r="N3762" s="399">
        <f t="shared" si="12104"/>
        <v>1.6795</v>
      </c>
      <c r="O3762" s="399" t="s">
        <v>204</v>
      </c>
      <c r="P3762" s="389">
        <f t="shared" ref="P3762" si="12117">D3762-D3761</f>
        <v>0</v>
      </c>
      <c r="Q3762" s="399" t="s">
        <v>125</v>
      </c>
      <c r="R3762" s="399">
        <f t="shared" ref="R3762" si="12118">IF(P3762&gt;0,$F$18*F3762/1000,0)</f>
        <v>0</v>
      </c>
      <c r="S3762" s="399" t="s">
        <v>205</v>
      </c>
      <c r="T3762" s="399" t="s">
        <v>125</v>
      </c>
      <c r="U3762" s="401">
        <f t="shared" si="12107"/>
        <v>1.5782400000000001</v>
      </c>
      <c r="V3762" s="399"/>
      <c r="W3762" s="399"/>
      <c r="X3762" s="399" t="s">
        <v>125</v>
      </c>
      <c r="Y3762" s="389">
        <f t="shared" ref="Y3762" si="12119">D3751</f>
        <v>1</v>
      </c>
      <c r="Z3762" s="400" t="s">
        <v>176</v>
      </c>
      <c r="AA3762" s="402">
        <f t="shared" ref="AA3762" si="12120">IF(AA3763=0,(D3762*N3762+P3762*R3762)*U3762*Y3762,0)</f>
        <v>0</v>
      </c>
      <c r="AB3762" s="403"/>
    </row>
    <row r="3763" spans="1:28">
      <c r="A3763" s="384" t="str">
        <f t="shared" ref="A3763:B3763" si="12121">A3745</f>
        <v>Lantai 2</v>
      </c>
      <c r="B3763" s="385">
        <f t="shared" si="12121"/>
        <v>38</v>
      </c>
      <c r="C3763" s="393"/>
      <c r="D3763" s="398">
        <f t="shared" ref="D3763:D3823" si="12122">IF(AND(D3760=D3761,D3761=D3762,D3760=D3762),D3760,0)</f>
        <v>5</v>
      </c>
      <c r="E3763" s="388" t="s">
        <v>16</v>
      </c>
      <c r="F3763" s="388">
        <f t="shared" ref="F3763:F3823" si="12123">IF(AND(F3760=F3761,F3760=F3762,F3761=F3762),F3760,0)</f>
        <v>16</v>
      </c>
      <c r="G3763" s="388"/>
      <c r="H3763" s="395"/>
      <c r="I3763" s="388"/>
      <c r="J3763" s="396"/>
      <c r="K3763" s="396"/>
      <c r="L3763" s="404" t="s">
        <v>207</v>
      </c>
      <c r="M3763" s="399" t="s">
        <v>176</v>
      </c>
      <c r="N3763" s="399">
        <f t="shared" ref="N3763" si="12124">IF(AND(D3760=D3761,D3760=D3762,D3761=D3762,F3760=F3761,F3760=F3762,F3761=F3762),SUM(N3760:N3762),0)</f>
        <v>6.3340000000000005</v>
      </c>
      <c r="O3763" s="399" t="s">
        <v>204</v>
      </c>
      <c r="P3763" s="389">
        <f t="shared" ref="P3763" si="12125">IF(N3763&gt;12,ROUNDDOWN(N3763/12,0),0)</f>
        <v>0</v>
      </c>
      <c r="Q3763" s="399" t="s">
        <v>125</v>
      </c>
      <c r="R3763" s="399">
        <f t="shared" ref="R3763" si="12126">IF(P3763&gt;0,MAX(VLOOKUP(F3763,$D$6:$G$15,3,FALSE),600),0)/1000</f>
        <v>0</v>
      </c>
      <c r="S3763" s="396"/>
      <c r="T3763" s="396" t="s">
        <v>125</v>
      </c>
      <c r="U3763" s="401">
        <f t="shared" ref="U3763:U3823" si="12127">U3762</f>
        <v>1.5782400000000001</v>
      </c>
      <c r="V3763" s="396" t="s">
        <v>125</v>
      </c>
      <c r="W3763" s="399">
        <f t="shared" ref="W3763" si="12128">D3763</f>
        <v>5</v>
      </c>
      <c r="X3763" s="399" t="s">
        <v>125</v>
      </c>
      <c r="Y3763" s="389">
        <f t="shared" ref="Y3763:Y3823" si="12129">Y3762</f>
        <v>1</v>
      </c>
      <c r="Z3763" s="400" t="s">
        <v>176</v>
      </c>
      <c r="AA3763" s="402">
        <f t="shared" ref="AA3763" si="12130">(N3763+P3763*R3763/1000)*U3763*W3763*Y3763</f>
        <v>49.982860800000005</v>
      </c>
      <c r="AB3763" s="403"/>
    </row>
    <row r="3764" spans="1:28">
      <c r="A3764" s="384"/>
      <c r="B3764" s="385"/>
      <c r="C3764" s="393"/>
      <c r="D3764" s="394"/>
      <c r="E3764" s="388"/>
      <c r="F3764" s="388"/>
      <c r="G3764" s="388"/>
      <c r="H3764" s="395"/>
      <c r="I3764" s="388"/>
      <c r="J3764" s="399"/>
      <c r="K3764" s="396"/>
      <c r="L3764" s="396"/>
      <c r="M3764" s="396"/>
      <c r="N3764" s="396"/>
      <c r="O3764" s="396"/>
      <c r="P3764" s="389"/>
      <c r="Q3764" s="396"/>
      <c r="R3764" s="396"/>
      <c r="S3764" s="396"/>
      <c r="T3764" s="396"/>
      <c r="U3764" s="401"/>
      <c r="V3764" s="396"/>
      <c r="W3764" s="388"/>
      <c r="X3764" s="396"/>
      <c r="Y3764" s="389"/>
      <c r="Z3764" s="396"/>
      <c r="AA3764" s="388"/>
      <c r="AB3764" s="390"/>
    </row>
    <row r="3765" spans="1:28">
      <c r="A3765" s="384" t="str">
        <f t="shared" ref="A3765:B3765" si="12131">A3745</f>
        <v>Lantai 2</v>
      </c>
      <c r="B3765" s="385">
        <f t="shared" si="12131"/>
        <v>38</v>
      </c>
      <c r="C3765" s="393" t="s">
        <v>211</v>
      </c>
      <c r="D3765" s="398">
        <f>VLOOKUP(D3745,'Detail Balok'!$C$10:$AU$140,31,FALSE)</f>
        <v>0</v>
      </c>
      <c r="E3765" s="388" t="s">
        <v>16</v>
      </c>
      <c r="F3765" s="388">
        <f>VLOOKUP(D3745,'Detail Balok'!$C$10:$AU$140,33,FALSE)</f>
        <v>10</v>
      </c>
      <c r="G3765" s="405" t="s">
        <v>157</v>
      </c>
      <c r="H3765" s="395">
        <f>VLOOKUP(D3745,'Detail Balok'!$C$10:$AU$140,35,FALSE)</f>
        <v>100</v>
      </c>
      <c r="I3765" s="388"/>
      <c r="J3765" s="400">
        <f t="shared" ref="J3765" si="12132">(IF(D3765=0,(2*(D3746+G3746))-(F$5*8),IF(D3765=3,(2*(D3746+G3746))-(F$5*8)+(G3746-2*F$5),IF(D3765=4,(2*(D3746+G3746))-(F$5*8)+2*(G3746-2*F$5)))))/1000</f>
        <v>1.48</v>
      </c>
      <c r="K3765" s="400" t="s">
        <v>204</v>
      </c>
      <c r="L3765" s="399">
        <f t="shared" ref="L3765:L3767" si="12133">IF(D3765=0,2*MAX(6*F3765,75),(D3765-1)*2*MAX(6*F3765,75))/1000</f>
        <v>0.15</v>
      </c>
      <c r="M3765" s="399" t="s">
        <v>176</v>
      </c>
      <c r="N3765" s="399">
        <f t="shared" ref="N3765:N3767" si="12134">J3765+L3765</f>
        <v>1.63</v>
      </c>
      <c r="O3765" s="399"/>
      <c r="P3765" s="389"/>
      <c r="Q3765" s="399"/>
      <c r="R3765" s="399"/>
      <c r="S3765" s="399"/>
      <c r="T3765" s="399" t="s">
        <v>125</v>
      </c>
      <c r="U3765" s="401">
        <f t="shared" ref="U3765:U3767" si="12135">0.006165*F3765^2</f>
        <v>0.61650000000000005</v>
      </c>
      <c r="V3765" s="399" t="s">
        <v>125</v>
      </c>
      <c r="W3765" s="399">
        <f t="shared" ref="W3765" si="12136">IF(D3748&gt;4*G3746,ROUND(MAX(D3748/4,2*G3746)/H3765,0)+1,ROUND(D3748/H3765,0)+1)</f>
        <v>16</v>
      </c>
      <c r="X3765" s="399" t="s">
        <v>125</v>
      </c>
      <c r="Y3765" s="389">
        <f t="shared" ref="Y3765" si="12137">D3751</f>
        <v>1</v>
      </c>
      <c r="Z3765" s="400" t="s">
        <v>176</v>
      </c>
      <c r="AA3765" s="402">
        <f t="shared" ref="AA3765:AA3767" si="12138">N3765*U3765*W3765*Y3765</f>
        <v>16.078320000000001</v>
      </c>
      <c r="AB3765" s="403"/>
    </row>
    <row r="3766" spans="1:28">
      <c r="A3766" s="384" t="str">
        <f t="shared" ref="A3766:B3766" si="12139">A3745</f>
        <v>Lantai 2</v>
      </c>
      <c r="B3766" s="385">
        <f t="shared" si="12139"/>
        <v>38</v>
      </c>
      <c r="C3766" s="393" t="s">
        <v>212</v>
      </c>
      <c r="D3766" s="398">
        <f>VLOOKUP(D3745,'Detail Balok'!$C$10:$AU$140,36,FALSE)</f>
        <v>0</v>
      </c>
      <c r="E3766" s="388" t="s">
        <v>16</v>
      </c>
      <c r="F3766" s="388">
        <f>VLOOKUP(D3745,'Detail Balok'!$C$10:$AU$140,38,FALSE)</f>
        <v>10</v>
      </c>
      <c r="G3766" s="405" t="s">
        <v>157</v>
      </c>
      <c r="H3766" s="395">
        <f>VLOOKUP(D3745,'Detail Balok'!$C$10:$AU$140,40,FALSE)</f>
        <v>150</v>
      </c>
      <c r="I3766" s="388"/>
      <c r="J3766" s="400">
        <f t="shared" ref="J3766" si="12140">(IF(D3766=0,(2*(D3746+G3746))-(F$5*8),IF(D3766=3,(2*(D3746+G3746))-(F$5*8)+(G3746-2*F$5),IF(D3766=4,(2*(D3746+G3746))-(F$5*8)+2*(G3746-2*F$5)))))/1000</f>
        <v>1.48</v>
      </c>
      <c r="K3766" s="400" t="s">
        <v>204</v>
      </c>
      <c r="L3766" s="399">
        <f t="shared" si="12133"/>
        <v>0.15</v>
      </c>
      <c r="M3766" s="399" t="s">
        <v>176</v>
      </c>
      <c r="N3766" s="399">
        <f t="shared" si="12134"/>
        <v>1.63</v>
      </c>
      <c r="O3766" s="399"/>
      <c r="P3766" s="389"/>
      <c r="Q3766" s="399"/>
      <c r="R3766" s="399"/>
      <c r="S3766" s="399"/>
      <c r="T3766" s="399" t="s">
        <v>125</v>
      </c>
      <c r="U3766" s="401">
        <f t="shared" si="12135"/>
        <v>0.61650000000000005</v>
      </c>
      <c r="V3766" s="399" t="s">
        <v>125</v>
      </c>
      <c r="W3766" s="399">
        <f t="shared" ref="W3766" si="12141">IF(D3748-MAX(D3748/4,2*G3746)*2&gt;0,ROUND((D3748-MAX(D3748/4,2*G3746)*2)/H3766,0),0)</f>
        <v>20</v>
      </c>
      <c r="X3766" s="399" t="s">
        <v>125</v>
      </c>
      <c r="Y3766" s="389">
        <f t="shared" ref="Y3766" si="12142">D3751</f>
        <v>1</v>
      </c>
      <c r="Z3766" s="400" t="s">
        <v>176</v>
      </c>
      <c r="AA3766" s="402">
        <f t="shared" si="12138"/>
        <v>20.097900000000003</v>
      </c>
      <c r="AB3766" s="403"/>
    </row>
    <row r="3767" spans="1:28">
      <c r="A3767" s="384" t="str">
        <f t="shared" ref="A3767:B3767" si="12143">A3745</f>
        <v>Lantai 2</v>
      </c>
      <c r="B3767" s="385">
        <f t="shared" si="12143"/>
        <v>38</v>
      </c>
      <c r="C3767" s="393" t="s">
        <v>211</v>
      </c>
      <c r="D3767" s="398">
        <f>VLOOKUP(D3745,'Detail Balok'!$C$10:$AU$140,41,FALSE)</f>
        <v>0</v>
      </c>
      <c r="E3767" s="388" t="s">
        <v>16</v>
      </c>
      <c r="F3767" s="388">
        <f>VLOOKUP(D3745,'Detail Balok'!$C$10:$AU$140,43,FALSE)</f>
        <v>10</v>
      </c>
      <c r="G3767" s="405" t="s">
        <v>157</v>
      </c>
      <c r="H3767" s="395">
        <f>VLOOKUP(D3745,'Detail Balok'!$C$10:$AU$140,45,FALSE)</f>
        <v>100</v>
      </c>
      <c r="I3767" s="388"/>
      <c r="J3767" s="400">
        <f t="shared" ref="J3767" si="12144">(IF(D3767=0,(2*(D3746+G3746))-(F$5*8),IF(D3767=3,(2*(D3746+G3746))-(F$5*8)+(G3746-2*F$5),IF(D3767=4,(2*(D3746+G3746))-(F$5*8)+2*(G3746-2*F$5)))))/1000</f>
        <v>1.48</v>
      </c>
      <c r="K3767" s="400" t="s">
        <v>204</v>
      </c>
      <c r="L3767" s="399">
        <f t="shared" si="12133"/>
        <v>0.15</v>
      </c>
      <c r="M3767" s="399" t="s">
        <v>176</v>
      </c>
      <c r="N3767" s="399">
        <f t="shared" si="12134"/>
        <v>1.63</v>
      </c>
      <c r="O3767" s="399"/>
      <c r="P3767" s="389"/>
      <c r="Q3767" s="399"/>
      <c r="R3767" s="399"/>
      <c r="S3767" s="399"/>
      <c r="T3767" s="399" t="s">
        <v>125</v>
      </c>
      <c r="U3767" s="401">
        <f t="shared" si="12135"/>
        <v>0.61650000000000005</v>
      </c>
      <c r="V3767" s="399" t="s">
        <v>125</v>
      </c>
      <c r="W3767" s="399">
        <f t="shared" ref="W3767" si="12145">IF(D3748&gt;4*G3746,ROUND(MAX(D3748/4,2*G3746)/H3767,0)+1,0)</f>
        <v>16</v>
      </c>
      <c r="X3767" s="399" t="s">
        <v>125</v>
      </c>
      <c r="Y3767" s="389">
        <f t="shared" ref="Y3767" si="12146">D3751</f>
        <v>1</v>
      </c>
      <c r="Z3767" s="400" t="s">
        <v>176</v>
      </c>
      <c r="AA3767" s="402">
        <f t="shared" si="12138"/>
        <v>16.078320000000001</v>
      </c>
      <c r="AB3767" s="403"/>
    </row>
    <row r="3768" spans="1:28">
      <c r="A3768" s="384"/>
      <c r="B3768" s="385"/>
      <c r="C3768" s="393"/>
      <c r="D3768" s="394"/>
      <c r="E3768" s="388"/>
      <c r="F3768" s="388"/>
      <c r="G3768" s="388"/>
      <c r="H3768" s="395"/>
      <c r="I3768" s="388"/>
      <c r="J3768" s="399"/>
      <c r="K3768" s="396"/>
      <c r="L3768" s="396"/>
      <c r="M3768" s="396"/>
      <c r="N3768" s="396"/>
      <c r="O3768" s="396"/>
      <c r="P3768" s="389"/>
      <c r="Q3768" s="396"/>
      <c r="R3768" s="396"/>
      <c r="S3768" s="396"/>
      <c r="T3768" s="396"/>
      <c r="U3768" s="401"/>
      <c r="V3768" s="396"/>
      <c r="W3768" s="388"/>
      <c r="X3768" s="396"/>
      <c r="Y3768" s="389"/>
      <c r="Z3768" s="396"/>
      <c r="AA3768" s="388"/>
      <c r="AB3768" s="390"/>
    </row>
    <row r="3769" spans="1:28">
      <c r="A3769" s="384" t="str">
        <f t="shared" ref="A3769:B3769" si="12147">A3745</f>
        <v>Lantai 2</v>
      </c>
      <c r="B3769" s="385">
        <f t="shared" si="12147"/>
        <v>38</v>
      </c>
      <c r="C3769" s="393" t="s">
        <v>213</v>
      </c>
      <c r="D3769" s="398">
        <f>VLOOKUP(D3745,'Detail Balok'!$C$10:$BJ$140,46,FALSE)</f>
        <v>0</v>
      </c>
      <c r="E3769" s="388" t="s">
        <v>16</v>
      </c>
      <c r="F3769" s="388">
        <f>VLOOKUP(D3745,'Detail Balok'!$C$10:$BJ$140,48,FALSE)</f>
        <v>0</v>
      </c>
      <c r="G3769" s="405" t="s">
        <v>157</v>
      </c>
      <c r="H3769" s="395">
        <f>VLOOKUP(D3745,'Detail Balok'!$C$10:$BJ$140,50,FALSE)</f>
        <v>100</v>
      </c>
      <c r="I3769" s="388"/>
      <c r="J3769" s="399">
        <f t="shared" ref="J3769" si="12148">(D3746-2*F$5)/1000</f>
        <v>0.22</v>
      </c>
      <c r="K3769" s="400" t="s">
        <v>204</v>
      </c>
      <c r="L3769" s="399">
        <f t="shared" ref="L3769:L3771" si="12149">IF(D3769=0,2*MAX(6*F3769,75),(D3769-1)*2*MAX(6*F3769,75))/1000</f>
        <v>0.15</v>
      </c>
      <c r="M3769" s="399" t="s">
        <v>176</v>
      </c>
      <c r="N3769" s="399">
        <f t="shared" ref="N3769:N3771" si="12150">J3769+L3769</f>
        <v>0.37</v>
      </c>
      <c r="O3769" s="399"/>
      <c r="P3769" s="399"/>
      <c r="Q3769" s="399"/>
      <c r="R3769" s="399"/>
      <c r="S3769" s="399"/>
      <c r="T3769" s="399" t="s">
        <v>125</v>
      </c>
      <c r="U3769" s="401">
        <f t="shared" ref="U3769:U3771" si="12151">0.006165*F3769^2</f>
        <v>0</v>
      </c>
      <c r="V3769" s="399" t="s">
        <v>125</v>
      </c>
      <c r="W3769" s="399">
        <f t="shared" ref="W3769:W3831" si="12152">W3765</f>
        <v>16</v>
      </c>
      <c r="X3769" s="399" t="s">
        <v>125</v>
      </c>
      <c r="Y3769" s="389">
        <f t="shared" ref="Y3769" si="12153">D3755</f>
        <v>5</v>
      </c>
      <c r="Z3769" s="400" t="s">
        <v>176</v>
      </c>
      <c r="AA3769" s="402">
        <f t="shared" ref="AA3769:AA3771" si="12154">N3769*U3769*W3769*Y3769</f>
        <v>0</v>
      </c>
      <c r="AB3769" s="403"/>
    </row>
    <row r="3770" spans="1:28">
      <c r="A3770" s="384" t="str">
        <f t="shared" ref="A3770:B3770" si="12155">A3745</f>
        <v>Lantai 2</v>
      </c>
      <c r="B3770" s="385">
        <f t="shared" si="12155"/>
        <v>38</v>
      </c>
      <c r="C3770" s="393" t="s">
        <v>214</v>
      </c>
      <c r="D3770" s="398">
        <f>VLOOKUP(D3745,'Detail Balok'!$C$10:$BJ$140,51,FALSE)</f>
        <v>0</v>
      </c>
      <c r="E3770" s="388" t="s">
        <v>16</v>
      </c>
      <c r="F3770" s="388">
        <f>VLOOKUP(D3745,'Detail Balok'!$C$10:$BJ$140,53,FALSE)</f>
        <v>0</v>
      </c>
      <c r="G3770" s="405" t="s">
        <v>157</v>
      </c>
      <c r="H3770" s="395">
        <f>VLOOKUP(D3745,'Detail Balok'!$C$10:$BJ$140,55,FALSE)</f>
        <v>100</v>
      </c>
      <c r="I3770" s="388"/>
      <c r="J3770" s="399">
        <f t="shared" ref="J3770" si="12156">(D3746-2*F$5)/1000</f>
        <v>0.22</v>
      </c>
      <c r="K3770" s="400" t="s">
        <v>204</v>
      </c>
      <c r="L3770" s="399">
        <f t="shared" si="12149"/>
        <v>0.15</v>
      </c>
      <c r="M3770" s="399" t="s">
        <v>176</v>
      </c>
      <c r="N3770" s="399">
        <f t="shared" si="12150"/>
        <v>0.37</v>
      </c>
      <c r="O3770" s="399"/>
      <c r="P3770" s="399"/>
      <c r="Q3770" s="399"/>
      <c r="R3770" s="399"/>
      <c r="S3770" s="399"/>
      <c r="T3770" s="399" t="s">
        <v>125</v>
      </c>
      <c r="U3770" s="401">
        <f t="shared" si="12151"/>
        <v>0</v>
      </c>
      <c r="V3770" s="399" t="s">
        <v>125</v>
      </c>
      <c r="W3770" s="399">
        <f t="shared" si="12152"/>
        <v>20</v>
      </c>
      <c r="X3770" s="399" t="s">
        <v>125</v>
      </c>
      <c r="Y3770" s="389">
        <f t="shared" ref="Y3770" si="12157">D3755</f>
        <v>5</v>
      </c>
      <c r="Z3770" s="400" t="s">
        <v>176</v>
      </c>
      <c r="AA3770" s="402">
        <f t="shared" si="12154"/>
        <v>0</v>
      </c>
      <c r="AB3770" s="403"/>
    </row>
    <row r="3771" spans="1:28">
      <c r="A3771" s="384" t="str">
        <f t="shared" ref="A3771:B3771" si="12158">A3745</f>
        <v>Lantai 2</v>
      </c>
      <c r="B3771" s="385">
        <f t="shared" si="12158"/>
        <v>38</v>
      </c>
      <c r="C3771" s="393" t="s">
        <v>213</v>
      </c>
      <c r="D3771" s="398">
        <f>VLOOKUP(D3745,'Detail Balok'!$C$10:$BJ$140,56,FALSE)</f>
        <v>0</v>
      </c>
      <c r="E3771" s="388" t="s">
        <v>16</v>
      </c>
      <c r="F3771" s="388">
        <f>VLOOKUP(D3745,'Detail Balok'!$C$10:$BJ$140,58,FALSE)</f>
        <v>0</v>
      </c>
      <c r="G3771" s="405" t="s">
        <v>157</v>
      </c>
      <c r="H3771" s="395">
        <f>VLOOKUP(D3745,'Detail Balok'!$C$10:$BJ$140,60,FALSE)</f>
        <v>100</v>
      </c>
      <c r="I3771" s="388"/>
      <c r="J3771" s="399">
        <f t="shared" ref="J3771" si="12159">(D3746-2*F$5)/1000</f>
        <v>0.22</v>
      </c>
      <c r="K3771" s="400" t="s">
        <v>204</v>
      </c>
      <c r="L3771" s="399">
        <f t="shared" si="12149"/>
        <v>0.15</v>
      </c>
      <c r="M3771" s="399" t="s">
        <v>176</v>
      </c>
      <c r="N3771" s="399">
        <f t="shared" si="12150"/>
        <v>0.37</v>
      </c>
      <c r="O3771" s="399"/>
      <c r="P3771" s="399"/>
      <c r="Q3771" s="399"/>
      <c r="R3771" s="399"/>
      <c r="S3771" s="399"/>
      <c r="T3771" s="399" t="s">
        <v>125</v>
      </c>
      <c r="U3771" s="401">
        <f t="shared" si="12151"/>
        <v>0</v>
      </c>
      <c r="V3771" s="399" t="s">
        <v>125</v>
      </c>
      <c r="W3771" s="399">
        <f t="shared" si="12152"/>
        <v>16</v>
      </c>
      <c r="X3771" s="399" t="s">
        <v>125</v>
      </c>
      <c r="Y3771" s="389">
        <f t="shared" ref="Y3771" si="12160">D3755</f>
        <v>5</v>
      </c>
      <c r="Z3771" s="400" t="s">
        <v>176</v>
      </c>
      <c r="AA3771" s="402">
        <f t="shared" si="12154"/>
        <v>0</v>
      </c>
      <c r="AB3771" s="403"/>
    </row>
    <row r="3772" spans="1:28">
      <c r="A3772" s="391"/>
      <c r="B3772" s="392"/>
      <c r="C3772" s="392"/>
      <c r="D3772" s="394"/>
      <c r="E3772" s="388"/>
      <c r="F3772" s="388"/>
      <c r="G3772" s="388"/>
      <c r="H3772" s="395"/>
      <c r="I3772" s="388"/>
      <c r="J3772" s="402"/>
      <c r="K3772" s="388"/>
      <c r="L3772" s="388"/>
      <c r="M3772" s="388"/>
      <c r="N3772" s="388"/>
      <c r="O3772" s="388"/>
      <c r="P3772" s="388"/>
      <c r="Q3772" s="388"/>
      <c r="R3772" s="388"/>
      <c r="S3772" s="388"/>
      <c r="T3772" s="388"/>
      <c r="U3772" s="388"/>
      <c r="V3772" s="388"/>
      <c r="W3772" s="388"/>
      <c r="X3772" s="388"/>
      <c r="Y3772" s="389"/>
      <c r="Z3772" s="388"/>
      <c r="AA3772" s="402"/>
      <c r="AB3772" s="403"/>
    </row>
    <row r="3773" spans="1:28" ht="15.75" thickBot="1">
      <c r="A3773" s="406"/>
      <c r="B3773" s="407"/>
      <c r="C3773" s="407"/>
      <c r="D3773" s="408"/>
      <c r="E3773" s="409"/>
      <c r="F3773" s="409"/>
      <c r="G3773" s="409"/>
      <c r="H3773" s="410"/>
      <c r="I3773" s="409"/>
      <c r="J3773" s="409"/>
      <c r="K3773" s="409"/>
      <c r="L3773" s="409"/>
      <c r="M3773" s="409"/>
      <c r="N3773" s="409"/>
      <c r="O3773" s="409"/>
      <c r="P3773" s="409"/>
      <c r="Q3773" s="409"/>
      <c r="R3773" s="409"/>
      <c r="S3773" s="409"/>
      <c r="T3773" s="409"/>
      <c r="U3773" s="409"/>
      <c r="V3773" s="409"/>
      <c r="W3773" s="409"/>
      <c r="X3773" s="409"/>
      <c r="Y3773" s="411"/>
      <c r="Z3773" s="409"/>
      <c r="AA3773" s="412"/>
      <c r="AB3773" s="413"/>
    </row>
    <row r="3774" spans="1:28">
      <c r="A3774" s="377"/>
      <c r="B3774" s="378"/>
      <c r="C3774" s="378"/>
      <c r="D3774" s="379"/>
      <c r="E3774" s="380"/>
      <c r="F3774" s="380"/>
      <c r="G3774" s="380"/>
      <c r="H3774" s="381"/>
      <c r="I3774" s="380"/>
      <c r="J3774" s="380"/>
      <c r="K3774" s="380"/>
      <c r="L3774" s="380"/>
      <c r="M3774" s="380"/>
      <c r="N3774" s="380"/>
      <c r="O3774" s="380"/>
      <c r="P3774" s="380"/>
      <c r="Q3774" s="380"/>
      <c r="R3774" s="380"/>
      <c r="S3774" s="380"/>
      <c r="T3774" s="380"/>
      <c r="U3774" s="380"/>
      <c r="V3774" s="380"/>
      <c r="W3774" s="380"/>
      <c r="X3774" s="380"/>
      <c r="Y3774" s="382"/>
      <c r="Z3774" s="380"/>
      <c r="AA3774" s="380"/>
      <c r="AB3774" s="383"/>
    </row>
    <row r="3775" spans="1:28">
      <c r="A3775" s="384" t="str">
        <f t="shared" ref="A3775:A3835" si="12161">A3745</f>
        <v>Lantai 2</v>
      </c>
      <c r="B3775" s="385">
        <f t="shared" ref="B3775:B3835" si="12162">B3745+1</f>
        <v>39</v>
      </c>
      <c r="C3775" s="386" t="str">
        <f t="shared" ref="C3775" si="12163">CONCATENATE(A3775," no. ",B3775)</f>
        <v>Lantai 2 no. 39</v>
      </c>
      <c r="D3775" s="2562" t="str">
        <f>VLOOKUP(C3775,'Data Panjang Balok'!$C$9:$N$254,2,FALSE)</f>
        <v>B25-1</v>
      </c>
      <c r="E3775" s="2576"/>
      <c r="F3775" s="2576"/>
      <c r="G3775" s="2576"/>
      <c r="H3775" s="2577"/>
      <c r="I3775" s="387"/>
      <c r="J3775" s="388"/>
      <c r="K3775" s="388"/>
      <c r="L3775" s="388"/>
      <c r="M3775" s="388"/>
      <c r="N3775" s="388"/>
      <c r="O3775" s="388"/>
      <c r="P3775" s="388"/>
      <c r="Q3775" s="388"/>
      <c r="R3775" s="388"/>
      <c r="S3775" s="388"/>
      <c r="T3775" s="388"/>
      <c r="U3775" s="388"/>
      <c r="V3775" s="388"/>
      <c r="W3775" s="388"/>
      <c r="X3775" s="388"/>
      <c r="Y3775" s="389"/>
      <c r="Z3775" s="388"/>
      <c r="AA3775" s="388"/>
      <c r="AB3775" s="390"/>
    </row>
    <row r="3776" spans="1:28">
      <c r="A3776" s="391"/>
      <c r="B3776" s="392"/>
      <c r="C3776" s="393" t="s">
        <v>118</v>
      </c>
      <c r="D3776" s="2578">
        <f>VLOOKUP(D3775,'Detail Balok'!$C$10:$AU$140,2,FALSE)</f>
        <v>200</v>
      </c>
      <c r="E3776" s="2579"/>
      <c r="F3776" s="388" t="s">
        <v>125</v>
      </c>
      <c r="G3776" s="2579">
        <f>VLOOKUP(D3775,'Detail Balok'!$C$10:$AU$140,3,FALSE)</f>
        <v>500</v>
      </c>
      <c r="H3776" s="2580"/>
      <c r="I3776" s="388"/>
      <c r="J3776" s="396"/>
      <c r="K3776" s="396"/>
      <c r="L3776" s="396"/>
      <c r="M3776" s="396"/>
      <c r="N3776" s="396"/>
      <c r="O3776" s="396"/>
      <c r="P3776" s="396"/>
      <c r="Q3776" s="396"/>
      <c r="R3776" s="396"/>
      <c r="S3776" s="396"/>
      <c r="T3776" s="396"/>
      <c r="U3776" s="388"/>
      <c r="V3776" s="396"/>
      <c r="W3776" s="388"/>
      <c r="X3776" s="396"/>
      <c r="Y3776" s="389"/>
      <c r="Z3776" s="396"/>
      <c r="AA3776" s="388"/>
      <c r="AB3776" s="390"/>
    </row>
    <row r="3777" spans="1:28">
      <c r="A3777" s="391"/>
      <c r="B3777" s="392"/>
      <c r="C3777" s="393" t="s">
        <v>198</v>
      </c>
      <c r="D3777" s="2562">
        <f>VLOOKUP(C3775,'Data Panjang Balok'!$C$9:$N$254,4,FALSE)</f>
        <v>4250</v>
      </c>
      <c r="E3777" s="2563"/>
      <c r="F3777" s="2563"/>
      <c r="G3777" s="2563"/>
      <c r="H3777" s="2564"/>
      <c r="I3777" s="397"/>
      <c r="J3777" s="396"/>
      <c r="K3777" s="396"/>
      <c r="L3777" s="396"/>
      <c r="M3777" s="396"/>
      <c r="N3777" s="396"/>
      <c r="O3777" s="396"/>
      <c r="P3777" s="396"/>
      <c r="Q3777" s="396"/>
      <c r="R3777" s="396"/>
      <c r="S3777" s="396"/>
      <c r="T3777" s="396"/>
      <c r="U3777" s="388"/>
      <c r="V3777" s="396"/>
      <c r="W3777" s="388"/>
      <c r="X3777" s="396"/>
      <c r="Y3777" s="389"/>
      <c r="Z3777" s="396"/>
      <c r="AA3777" s="388"/>
      <c r="AB3777" s="390"/>
    </row>
    <row r="3778" spans="1:28">
      <c r="A3778" s="391"/>
      <c r="B3778" s="392"/>
      <c r="C3778" s="393" t="s">
        <v>199</v>
      </c>
      <c r="D3778" s="2562">
        <f>VLOOKUP(C3775,'Data Panjang Balok'!$C$9:$N$254,7,FALSE)</f>
        <v>4250</v>
      </c>
      <c r="E3778" s="2563"/>
      <c r="F3778" s="2563"/>
      <c r="G3778" s="2563"/>
      <c r="H3778" s="2564"/>
      <c r="I3778" s="397"/>
      <c r="J3778" s="396"/>
      <c r="K3778" s="396"/>
      <c r="L3778" s="396"/>
      <c r="M3778" s="396"/>
      <c r="N3778" s="396"/>
      <c r="O3778" s="396"/>
      <c r="P3778" s="396"/>
      <c r="Q3778" s="396"/>
      <c r="R3778" s="396"/>
      <c r="S3778" s="396"/>
      <c r="T3778" s="396"/>
      <c r="U3778" s="388"/>
      <c r="V3778" s="396"/>
      <c r="W3778" s="388"/>
      <c r="X3778" s="396"/>
      <c r="Y3778" s="389"/>
      <c r="Z3778" s="396"/>
      <c r="AA3778" s="388"/>
      <c r="AB3778" s="390"/>
    </row>
    <row r="3779" spans="1:28">
      <c r="A3779" s="391"/>
      <c r="B3779" s="392"/>
      <c r="C3779" s="393" t="s">
        <v>200</v>
      </c>
      <c r="D3779" s="2562">
        <f>VLOOKUP(C3775,'Data Panjang Balok'!$C$9:$N$254,9,FALSE)</f>
        <v>0</v>
      </c>
      <c r="E3779" s="2563"/>
      <c r="F3779" s="2563"/>
      <c r="G3779" s="2563"/>
      <c r="H3779" s="2564"/>
      <c r="I3779" s="397"/>
      <c r="J3779" s="396"/>
      <c r="K3779" s="396"/>
      <c r="L3779" s="396"/>
      <c r="M3779" s="396"/>
      <c r="N3779" s="396"/>
      <c r="O3779" s="396"/>
      <c r="P3779" s="396"/>
      <c r="Q3779" s="396"/>
      <c r="R3779" s="396"/>
      <c r="S3779" s="396"/>
      <c r="T3779" s="396"/>
      <c r="U3779" s="388"/>
      <c r="V3779" s="396"/>
      <c r="W3779" s="388"/>
      <c r="X3779" s="396"/>
      <c r="Y3779" s="389"/>
      <c r="Z3779" s="396"/>
      <c r="AA3779" s="388"/>
      <c r="AB3779" s="390"/>
    </row>
    <row r="3780" spans="1:28">
      <c r="A3780" s="391"/>
      <c r="B3780" s="392"/>
      <c r="C3780" s="393" t="s">
        <v>201</v>
      </c>
      <c r="D3780" s="2562">
        <f>VLOOKUP(C3775,'Data Panjang Balok'!$C$9:$N$254,10,FALSE)</f>
        <v>0</v>
      </c>
      <c r="E3780" s="2563"/>
      <c r="F3780" s="2563"/>
      <c r="G3780" s="2563"/>
      <c r="H3780" s="2564"/>
      <c r="I3780" s="397"/>
      <c r="J3780" s="396"/>
      <c r="K3780" s="396"/>
      <c r="L3780" s="396"/>
      <c r="M3780" s="396"/>
      <c r="N3780" s="396"/>
      <c r="O3780" s="396"/>
      <c r="P3780" s="396"/>
      <c r="Q3780" s="396"/>
      <c r="R3780" s="396"/>
      <c r="S3780" s="396"/>
      <c r="T3780" s="396"/>
      <c r="U3780" s="388"/>
      <c r="V3780" s="396"/>
      <c r="W3780" s="388"/>
      <c r="X3780" s="396"/>
      <c r="Y3780" s="389"/>
      <c r="Z3780" s="396"/>
      <c r="AA3780" s="388"/>
      <c r="AB3780" s="390"/>
    </row>
    <row r="3781" spans="1:28">
      <c r="A3781" s="391"/>
      <c r="B3781" s="392"/>
      <c r="C3781" s="393" t="s">
        <v>48</v>
      </c>
      <c r="D3781" s="2562">
        <f>VLOOKUP(C3775,'Data Panjang Balok'!$C$9:$N$254,3,FALSE)</f>
        <v>1</v>
      </c>
      <c r="E3781" s="2563"/>
      <c r="F3781" s="2563"/>
      <c r="G3781" s="2563"/>
      <c r="H3781" s="2564"/>
      <c r="I3781" s="397"/>
      <c r="J3781" s="396"/>
      <c r="K3781" s="396"/>
      <c r="L3781" s="396"/>
      <c r="M3781" s="396"/>
      <c r="N3781" s="396"/>
      <c r="O3781" s="396"/>
      <c r="P3781" s="396"/>
      <c r="Q3781" s="396"/>
      <c r="R3781" s="396"/>
      <c r="S3781" s="396"/>
      <c r="T3781" s="396"/>
      <c r="U3781" s="388"/>
      <c r="V3781" s="396"/>
      <c r="W3781" s="388"/>
      <c r="X3781" s="396"/>
      <c r="Y3781" s="389"/>
      <c r="Z3781" s="396"/>
      <c r="AA3781" s="388"/>
      <c r="AB3781" s="390"/>
    </row>
    <row r="3782" spans="1:28">
      <c r="A3782" s="384" t="str">
        <f t="shared" ref="A3782:B3782" si="12164">A3775</f>
        <v>Lantai 2</v>
      </c>
      <c r="B3782" s="385">
        <f t="shared" si="12164"/>
        <v>39</v>
      </c>
      <c r="C3782" s="393" t="s">
        <v>202</v>
      </c>
      <c r="D3782" s="398">
        <f>VLOOKUP(D3775,'Detail Balok'!$C$10:$AU$140,4,FALSE)</f>
        <v>4</v>
      </c>
      <c r="E3782" s="388" t="s">
        <v>16</v>
      </c>
      <c r="F3782" s="388">
        <f>VLOOKUP(D3775,'Detail Balok'!$C$10:$AU$140,6,FALSE)</f>
        <v>16</v>
      </c>
      <c r="G3782" s="388"/>
      <c r="H3782" s="395"/>
      <c r="I3782" s="388" t="s">
        <v>203</v>
      </c>
      <c r="J3782" s="399">
        <f t="shared" ref="J3782" si="12165">+D3777/4/1000</f>
        <v>1.0625</v>
      </c>
      <c r="K3782" s="400" t="s">
        <v>204</v>
      </c>
      <c r="L3782" s="399">
        <f t="shared" ref="L3782" si="12166">MAX(VLOOKUP(F3782,N$6:P$15,3,FALSE)/1000,2/3*D3779/1000)+F$16*F3782/1000</f>
        <v>0.192</v>
      </c>
      <c r="M3782" s="399" t="s">
        <v>176</v>
      </c>
      <c r="N3782" s="399">
        <f t="shared" ref="N3782:N3784" si="12167">J3782+L3782</f>
        <v>1.2544999999999999</v>
      </c>
      <c r="O3782" s="399" t="s">
        <v>204</v>
      </c>
      <c r="P3782" s="389">
        <f t="shared" ref="P3782" si="12168">D3782-D3783</f>
        <v>0</v>
      </c>
      <c r="Q3782" s="399" t="s">
        <v>125</v>
      </c>
      <c r="R3782" s="399">
        <f t="shared" ref="R3782" si="12169">IF(P3782&gt;0,$F$18*F3782/1000,0)</f>
        <v>0</v>
      </c>
      <c r="S3782" s="399" t="s">
        <v>205</v>
      </c>
      <c r="T3782" s="399" t="s">
        <v>125</v>
      </c>
      <c r="U3782" s="401">
        <f t="shared" ref="U3782:U3784" si="12170">0.006165*F3782^2</f>
        <v>1.5782400000000001</v>
      </c>
      <c r="V3782" s="399"/>
      <c r="W3782" s="399"/>
      <c r="X3782" s="399" t="s">
        <v>125</v>
      </c>
      <c r="Y3782" s="389">
        <f t="shared" ref="Y3782" si="12171">D3781</f>
        <v>1</v>
      </c>
      <c r="Z3782" s="400" t="s">
        <v>176</v>
      </c>
      <c r="AA3782" s="402">
        <f t="shared" ref="AA3782" si="12172">IF(AA3785=0,(D3782*N3782+P3782*R3782)*U3782*Y3782,0)</f>
        <v>0</v>
      </c>
      <c r="AB3782" s="403"/>
    </row>
    <row r="3783" spans="1:28">
      <c r="A3783" s="384" t="str">
        <f t="shared" ref="A3783:B3783" si="12173">A3775</f>
        <v>Lantai 2</v>
      </c>
      <c r="B3783" s="385">
        <f t="shared" si="12173"/>
        <v>39</v>
      </c>
      <c r="C3783" s="393" t="s">
        <v>206</v>
      </c>
      <c r="D3783" s="398">
        <f>VLOOKUP(D3775,'Detail Balok'!$C$10:$AU$140,7,FALSE)</f>
        <v>4</v>
      </c>
      <c r="E3783" s="388" t="s">
        <v>16</v>
      </c>
      <c r="F3783" s="388">
        <f>VLOOKUP(D3775,'Detail Balok'!$C$10:$AU$140,9,FALSE)</f>
        <v>16</v>
      </c>
      <c r="G3783" s="388"/>
      <c r="H3783" s="395"/>
      <c r="I3783" s="388" t="s">
        <v>203</v>
      </c>
      <c r="J3783" s="399">
        <f t="shared" ref="J3783" si="12174">+D3777/2/1000</f>
        <v>2.125</v>
      </c>
      <c r="K3783" s="400" t="s">
        <v>204</v>
      </c>
      <c r="L3783" s="399"/>
      <c r="M3783" s="399" t="s">
        <v>176</v>
      </c>
      <c r="N3783" s="399">
        <f t="shared" si="12167"/>
        <v>2.125</v>
      </c>
      <c r="O3783" s="399" t="s">
        <v>204</v>
      </c>
      <c r="P3783" s="389">
        <f t="shared" ref="P3783" si="12175">MAX(D3783-D3782,D3783-D3784)</f>
        <v>0</v>
      </c>
      <c r="Q3783" s="399" t="s">
        <v>125</v>
      </c>
      <c r="R3783" s="399">
        <f t="shared" ref="R3783" si="12176">IF(P3783&gt;0,2*(1-2*$F$19-1/2)*D3778/1000,0)</f>
        <v>0</v>
      </c>
      <c r="S3783" s="399" t="s">
        <v>205</v>
      </c>
      <c r="T3783" s="399" t="s">
        <v>125</v>
      </c>
      <c r="U3783" s="401">
        <f t="shared" si="12170"/>
        <v>1.5782400000000001</v>
      </c>
      <c r="V3783" s="399"/>
      <c r="W3783" s="399"/>
      <c r="X3783" s="399" t="s">
        <v>125</v>
      </c>
      <c r="Y3783" s="389">
        <f t="shared" ref="Y3783" si="12177">D3781</f>
        <v>1</v>
      </c>
      <c r="Z3783" s="400" t="s">
        <v>176</v>
      </c>
      <c r="AA3783" s="402">
        <f t="shared" ref="AA3783" si="12178">IF(AA3785=0,(D3783*N3783+P3783*R3783)*U3783*Y3783,0)</f>
        <v>0</v>
      </c>
      <c r="AB3783" s="403"/>
    </row>
    <row r="3784" spans="1:28">
      <c r="A3784" s="384" t="str">
        <f t="shared" ref="A3784:B3784" si="12179">A3775</f>
        <v>Lantai 2</v>
      </c>
      <c r="B3784" s="385">
        <f t="shared" si="12179"/>
        <v>39</v>
      </c>
      <c r="C3784" s="393" t="s">
        <v>202</v>
      </c>
      <c r="D3784" s="398">
        <f>VLOOKUP(D3775,'Detail Balok'!$C$10:$AU$140,10,FALSE)</f>
        <v>4</v>
      </c>
      <c r="E3784" s="388" t="s">
        <v>16</v>
      </c>
      <c r="F3784" s="388">
        <f>VLOOKUP(D3775,'Detail Balok'!$C$10:$AU$140,12,FALSE)</f>
        <v>16</v>
      </c>
      <c r="G3784" s="388"/>
      <c r="H3784" s="395"/>
      <c r="I3784" s="388" t="s">
        <v>203</v>
      </c>
      <c r="J3784" s="399">
        <f t="shared" ref="J3784" si="12180">+D3777/4/1000</f>
        <v>1.0625</v>
      </c>
      <c r="K3784" s="400" t="s">
        <v>204</v>
      </c>
      <c r="L3784" s="399">
        <f t="shared" ref="L3784" si="12181">MAX(VLOOKUP(F3784,N$6:P$15,3,FALSE)/1000,2/3*D3779/1000)+F$16*F3784/1000</f>
        <v>0.192</v>
      </c>
      <c r="M3784" s="399" t="s">
        <v>176</v>
      </c>
      <c r="N3784" s="399">
        <f t="shared" si="12167"/>
        <v>1.2544999999999999</v>
      </c>
      <c r="O3784" s="399" t="s">
        <v>204</v>
      </c>
      <c r="P3784" s="389">
        <f t="shared" ref="P3784" si="12182">D3784-D3783</f>
        <v>0</v>
      </c>
      <c r="Q3784" s="399" t="s">
        <v>125</v>
      </c>
      <c r="R3784" s="399">
        <f t="shared" ref="R3784" si="12183">IF(P3784&gt;0,$F$18*F3784/1000,0)</f>
        <v>0</v>
      </c>
      <c r="S3784" s="399" t="s">
        <v>205</v>
      </c>
      <c r="T3784" s="399" t="s">
        <v>125</v>
      </c>
      <c r="U3784" s="401">
        <f t="shared" si="12170"/>
        <v>1.5782400000000001</v>
      </c>
      <c r="V3784" s="399"/>
      <c r="W3784" s="399"/>
      <c r="X3784" s="399" t="s">
        <v>125</v>
      </c>
      <c r="Y3784" s="389">
        <f t="shared" ref="Y3784" si="12184">D3781</f>
        <v>1</v>
      </c>
      <c r="Z3784" s="400" t="s">
        <v>176</v>
      </c>
      <c r="AA3784" s="402">
        <f t="shared" ref="AA3784" si="12185">IF(AA3785=0,(D3784*N3784+P3784*R3784)*U3784*Y3784,0)</f>
        <v>0</v>
      </c>
      <c r="AB3784" s="403"/>
    </row>
    <row r="3785" spans="1:28">
      <c r="A3785" s="384" t="str">
        <f t="shared" ref="A3785:B3785" si="12186">A3775</f>
        <v>Lantai 2</v>
      </c>
      <c r="B3785" s="385">
        <f t="shared" si="12186"/>
        <v>39</v>
      </c>
      <c r="C3785" s="393"/>
      <c r="D3785" s="398">
        <f t="shared" si="12082"/>
        <v>4</v>
      </c>
      <c r="E3785" s="388" t="s">
        <v>16</v>
      </c>
      <c r="F3785" s="388">
        <f t="shared" si="12083"/>
        <v>16</v>
      </c>
      <c r="G3785" s="388"/>
      <c r="H3785" s="395"/>
      <c r="I3785" s="388"/>
      <c r="J3785" s="396"/>
      <c r="K3785" s="396"/>
      <c r="L3785" s="404" t="s">
        <v>207</v>
      </c>
      <c r="M3785" s="399" t="s">
        <v>176</v>
      </c>
      <c r="N3785" s="399">
        <f t="shared" ref="N3785" si="12187">IF(AND(D3782=D3783,D3782=D3784,D3783=D3784,F3782=F3783,F3782=F3784,F3783=F3784),SUM(N3782:N3784),0)</f>
        <v>4.6340000000000003</v>
      </c>
      <c r="O3785" s="399" t="s">
        <v>204</v>
      </c>
      <c r="P3785" s="389">
        <f t="shared" ref="P3785" si="12188">IF(N3785&gt;12,ROUNDDOWN(N3785/12,0),0)</f>
        <v>0</v>
      </c>
      <c r="Q3785" s="399" t="s">
        <v>125</v>
      </c>
      <c r="R3785" s="399">
        <f t="shared" ref="R3785" si="12189">IF(P3785&gt;0,MAX(VLOOKUP(F3785,$D$6:$G$15,3,FALSE),600),0)/1000</f>
        <v>0</v>
      </c>
      <c r="S3785" s="396"/>
      <c r="T3785" s="396" t="s">
        <v>125</v>
      </c>
      <c r="U3785" s="401">
        <f t="shared" si="12087"/>
        <v>1.5782400000000001</v>
      </c>
      <c r="V3785" s="396" t="s">
        <v>125</v>
      </c>
      <c r="W3785" s="399">
        <f t="shared" ref="W3785" si="12190">D3785</f>
        <v>4</v>
      </c>
      <c r="X3785" s="399" t="s">
        <v>125</v>
      </c>
      <c r="Y3785" s="389">
        <f t="shared" si="12089"/>
        <v>1</v>
      </c>
      <c r="Z3785" s="400" t="s">
        <v>176</v>
      </c>
      <c r="AA3785" s="402">
        <f t="shared" ref="AA3785" si="12191">(N3785+P3785*R3785/1000)*U3785*W3785*Y3785</f>
        <v>29.254256640000005</v>
      </c>
      <c r="AB3785" s="390"/>
    </row>
    <row r="3786" spans="1:28">
      <c r="A3786" s="384"/>
      <c r="B3786" s="385"/>
      <c r="C3786" s="393"/>
      <c r="D3786" s="398"/>
      <c r="E3786" s="388"/>
      <c r="F3786" s="388"/>
      <c r="G3786" s="388"/>
      <c r="H3786" s="395"/>
      <c r="I3786" s="388"/>
      <c r="J3786" s="396"/>
      <c r="K3786" s="396"/>
      <c r="L3786" s="404"/>
      <c r="M3786" s="399"/>
      <c r="N3786" s="399"/>
      <c r="O3786" s="396"/>
      <c r="P3786" s="389"/>
      <c r="Q3786" s="396"/>
      <c r="R3786" s="396"/>
      <c r="S3786" s="396"/>
      <c r="T3786" s="396"/>
      <c r="U3786" s="401"/>
      <c r="V3786" s="396"/>
      <c r="W3786" s="399"/>
      <c r="X3786" s="396"/>
      <c r="Y3786" s="389"/>
      <c r="Z3786" s="396"/>
      <c r="AA3786" s="388"/>
      <c r="AB3786" s="390"/>
    </row>
    <row r="3787" spans="1:28">
      <c r="A3787" s="384" t="str">
        <f t="shared" ref="A3787:B3787" si="12192">A3775</f>
        <v>Lantai 2</v>
      </c>
      <c r="B3787" s="385">
        <f t="shared" si="12192"/>
        <v>39</v>
      </c>
      <c r="C3787" s="393" t="s">
        <v>208</v>
      </c>
      <c r="D3787" s="398">
        <f>VLOOKUP(D3775,'Detail Balok'!$C$10:$AU$140,13,FALSE)</f>
        <v>2</v>
      </c>
      <c r="E3787" s="388" t="s">
        <v>16</v>
      </c>
      <c r="F3787" s="388">
        <f>VLOOKUP(D3775,'Detail Balok'!$C$10:$AU$140,15,FALSE)</f>
        <v>10</v>
      </c>
      <c r="G3787" s="388"/>
      <c r="H3787" s="395"/>
      <c r="I3787" s="388"/>
      <c r="J3787" s="399">
        <f t="shared" ref="J3787" si="12193">+D3777/1000</f>
        <v>4.25</v>
      </c>
      <c r="K3787" s="400" t="s">
        <v>204</v>
      </c>
      <c r="L3787" s="399">
        <f t="shared" ref="L3787" si="12194">2*$F$16*F3787/1000</f>
        <v>0.24</v>
      </c>
      <c r="M3787" s="399" t="s">
        <v>176</v>
      </c>
      <c r="N3787" s="399">
        <f t="shared" ref="N3787" si="12195">J3787+L3787</f>
        <v>4.49</v>
      </c>
      <c r="O3787" s="399" t="s">
        <v>204</v>
      </c>
      <c r="P3787" s="389">
        <f t="shared" ref="P3787" si="12196">IF(N3787&gt;12,ROUNDDOWN(N3787/12,0),0)</f>
        <v>0</v>
      </c>
      <c r="Q3787" s="399" t="s">
        <v>125</v>
      </c>
      <c r="R3787" s="399">
        <f t="shared" ref="R3787" si="12197">IF(P3787&gt;0,MAX(VLOOKUP(F3787,$D$6:$G$15,3,FALSE),600),0)/1000</f>
        <v>0</v>
      </c>
      <c r="S3787" s="399"/>
      <c r="T3787" s="399" t="s">
        <v>125</v>
      </c>
      <c r="U3787" s="401">
        <f t="shared" ref="U3787" si="12198">0.006165*F3787^2</f>
        <v>0.61650000000000005</v>
      </c>
      <c r="V3787" s="399" t="s">
        <v>125</v>
      </c>
      <c r="W3787" s="399">
        <f t="shared" ref="W3787" si="12199">+D3787</f>
        <v>2</v>
      </c>
      <c r="X3787" s="399" t="s">
        <v>125</v>
      </c>
      <c r="Y3787" s="389">
        <f t="shared" ref="Y3787" si="12200">D3781</f>
        <v>1</v>
      </c>
      <c r="Z3787" s="400" t="s">
        <v>176</v>
      </c>
      <c r="AA3787" s="402">
        <f t="shared" ref="AA3787" si="12201">(N3787+P3787*R3787/1000)*U3787*W3787*Y3787</f>
        <v>5.5361700000000003</v>
      </c>
      <c r="AB3787" s="403"/>
    </row>
    <row r="3788" spans="1:28">
      <c r="A3788" s="384"/>
      <c r="B3788" s="385"/>
      <c r="C3788" s="393"/>
      <c r="D3788" s="398"/>
      <c r="E3788" s="388"/>
      <c r="F3788" s="388"/>
      <c r="G3788" s="388"/>
      <c r="H3788" s="395"/>
      <c r="I3788" s="388"/>
      <c r="J3788" s="399"/>
      <c r="K3788" s="400"/>
      <c r="L3788" s="399"/>
      <c r="M3788" s="399"/>
      <c r="N3788" s="399"/>
      <c r="O3788" s="399"/>
      <c r="P3788" s="389"/>
      <c r="Q3788" s="399"/>
      <c r="R3788" s="399"/>
      <c r="S3788" s="399"/>
      <c r="T3788" s="399"/>
      <c r="U3788" s="401"/>
      <c r="V3788" s="399"/>
      <c r="W3788" s="399"/>
      <c r="X3788" s="399"/>
      <c r="Y3788" s="389"/>
      <c r="Z3788" s="400"/>
      <c r="AA3788" s="402"/>
      <c r="AB3788" s="403"/>
    </row>
    <row r="3789" spans="1:28">
      <c r="A3789" s="384"/>
      <c r="B3789" s="385"/>
      <c r="C3789" s="393"/>
      <c r="D3789" s="398"/>
      <c r="E3789" s="388"/>
      <c r="F3789" s="388"/>
      <c r="G3789" s="388"/>
      <c r="H3789" s="395"/>
      <c r="I3789" s="388"/>
      <c r="J3789" s="396"/>
      <c r="K3789" s="396"/>
      <c r="L3789" s="396"/>
      <c r="M3789" s="396"/>
      <c r="N3789" s="396"/>
      <c r="O3789" s="396"/>
      <c r="P3789" s="389"/>
      <c r="Q3789" s="396"/>
      <c r="R3789" s="396"/>
      <c r="S3789" s="396"/>
      <c r="T3789" s="396"/>
      <c r="U3789" s="401"/>
      <c r="V3789" s="396"/>
      <c r="W3789" s="399"/>
      <c r="X3789" s="396"/>
      <c r="Y3789" s="389"/>
      <c r="Z3789" s="396"/>
      <c r="AA3789" s="388"/>
      <c r="AB3789" s="390"/>
    </row>
    <row r="3790" spans="1:28">
      <c r="A3790" s="384" t="str">
        <f t="shared" ref="A3790:B3790" si="12202">A3775</f>
        <v>Lantai 2</v>
      </c>
      <c r="B3790" s="385">
        <f t="shared" si="12202"/>
        <v>39</v>
      </c>
      <c r="C3790" s="393" t="s">
        <v>209</v>
      </c>
      <c r="D3790" s="398">
        <f>VLOOKUP(D3775,'Detail Balok'!$C$10:$AU$140,22,FALSE)</f>
        <v>4</v>
      </c>
      <c r="E3790" s="388" t="s">
        <v>16</v>
      </c>
      <c r="F3790" s="388">
        <f>VLOOKUP(D3775,'Detail Balok'!$C$10:$AU$140,24,FALSE)</f>
        <v>16</v>
      </c>
      <c r="G3790" s="388"/>
      <c r="H3790" s="395"/>
      <c r="I3790" s="388" t="s">
        <v>203</v>
      </c>
      <c r="J3790" s="399">
        <f t="shared" si="12102"/>
        <v>1.0625</v>
      </c>
      <c r="K3790" s="400" t="s">
        <v>204</v>
      </c>
      <c r="L3790" s="399">
        <f t="shared" ref="L3790" si="12203">MAX(VLOOKUP(F3790,N$6:P$15,3,FALSE)/1000,2/3*D3780/1000)+F$16*F3790/1000</f>
        <v>0.192</v>
      </c>
      <c r="M3790" s="399" t="s">
        <v>176</v>
      </c>
      <c r="N3790" s="399">
        <f t="shared" ref="N3790:N3792" si="12204">J3790+L3790</f>
        <v>1.2544999999999999</v>
      </c>
      <c r="O3790" s="399" t="s">
        <v>204</v>
      </c>
      <c r="P3790" s="389">
        <f t="shared" ref="P3790" si="12205">D3790-D3791</f>
        <v>0</v>
      </c>
      <c r="Q3790" s="399" t="s">
        <v>125</v>
      </c>
      <c r="R3790" s="399">
        <f t="shared" ref="R3790" si="12206">IF(P3790&gt;0,$F$18*F3790/1000,0)</f>
        <v>0</v>
      </c>
      <c r="S3790" s="399" t="s">
        <v>205</v>
      </c>
      <c r="T3790" s="399" t="s">
        <v>125</v>
      </c>
      <c r="U3790" s="401">
        <f t="shared" ref="U3790:U3792" si="12207">0.006165*F3790^2</f>
        <v>1.5782400000000001</v>
      </c>
      <c r="V3790" s="399"/>
      <c r="W3790" s="399"/>
      <c r="X3790" s="399" t="s">
        <v>125</v>
      </c>
      <c r="Y3790" s="389">
        <f t="shared" ref="Y3790" si="12208">D3781</f>
        <v>1</v>
      </c>
      <c r="Z3790" s="400" t="s">
        <v>176</v>
      </c>
      <c r="AA3790" s="402">
        <f t="shared" ref="AA3790" si="12209">IF(AA3793=0,(D3790*N3790+P3790*R3790)*U3790*Y3790,0)</f>
        <v>0</v>
      </c>
      <c r="AB3790" s="403"/>
    </row>
    <row r="3791" spans="1:28">
      <c r="A3791" s="384" t="str">
        <f t="shared" ref="A3791:B3791" si="12210">A3775</f>
        <v>Lantai 2</v>
      </c>
      <c r="B3791" s="385">
        <f t="shared" si="12210"/>
        <v>39</v>
      </c>
      <c r="C3791" s="393" t="s">
        <v>210</v>
      </c>
      <c r="D3791" s="398">
        <f>VLOOKUP(D3775,'Detail Balok'!$C$10:$AU$140,25,FALSE)</f>
        <v>4</v>
      </c>
      <c r="E3791" s="388" t="s">
        <v>16</v>
      </c>
      <c r="F3791" s="388">
        <f>VLOOKUP(D3775,'Detail Balok'!$C$10:$AU$140,27,FALSE)</f>
        <v>16</v>
      </c>
      <c r="G3791" s="388"/>
      <c r="H3791" s="395"/>
      <c r="I3791" s="388" t="s">
        <v>203</v>
      </c>
      <c r="J3791" s="399">
        <f t="shared" si="12102"/>
        <v>2.125</v>
      </c>
      <c r="K3791" s="400" t="s">
        <v>204</v>
      </c>
      <c r="L3791" s="399"/>
      <c r="M3791" s="399" t="s">
        <v>176</v>
      </c>
      <c r="N3791" s="399">
        <f t="shared" si="12204"/>
        <v>2.125</v>
      </c>
      <c r="O3791" s="399" t="s">
        <v>204</v>
      </c>
      <c r="P3791" s="389">
        <f t="shared" ref="P3791" si="12211">MAX(D3791-D3790,D3791-D3792)</f>
        <v>0</v>
      </c>
      <c r="Q3791" s="399" t="s">
        <v>125</v>
      </c>
      <c r="R3791" s="399">
        <f t="shared" ref="R3791" si="12212">IF(P3791&gt;0,2*(1-2*$F$19-1/2)*D3778/1000,0)</f>
        <v>0</v>
      </c>
      <c r="S3791" s="399" t="s">
        <v>205</v>
      </c>
      <c r="T3791" s="399" t="s">
        <v>125</v>
      </c>
      <c r="U3791" s="401">
        <f t="shared" si="12207"/>
        <v>1.5782400000000001</v>
      </c>
      <c r="V3791" s="399"/>
      <c r="W3791" s="399"/>
      <c r="X3791" s="399" t="s">
        <v>125</v>
      </c>
      <c r="Y3791" s="389">
        <f t="shared" ref="Y3791" si="12213">D3781</f>
        <v>1</v>
      </c>
      <c r="Z3791" s="400" t="s">
        <v>176</v>
      </c>
      <c r="AA3791" s="402">
        <f t="shared" ref="AA3791" si="12214">IF(AA3793=0,(D3791*N3791+P3791*R3791)*U3791*Y3791,0)</f>
        <v>0</v>
      </c>
      <c r="AB3791" s="403"/>
    </row>
    <row r="3792" spans="1:28">
      <c r="A3792" s="384" t="str">
        <f t="shared" ref="A3792:B3792" si="12215">A3775</f>
        <v>Lantai 2</v>
      </c>
      <c r="B3792" s="385">
        <f t="shared" si="12215"/>
        <v>39</v>
      </c>
      <c r="C3792" s="393" t="s">
        <v>209</v>
      </c>
      <c r="D3792" s="398">
        <f>VLOOKUP(D3775,'Detail Balok'!$C$10:$AU$140,28,FALSE)</f>
        <v>4</v>
      </c>
      <c r="E3792" s="388" t="s">
        <v>16</v>
      </c>
      <c r="F3792" s="388">
        <f>VLOOKUP(D3775,'Detail Balok'!$C$10:$AU$140,30,FALSE)</f>
        <v>16</v>
      </c>
      <c r="G3792" s="388"/>
      <c r="H3792" s="395"/>
      <c r="I3792" s="388" t="s">
        <v>203</v>
      </c>
      <c r="J3792" s="399">
        <f t="shared" si="12102"/>
        <v>1.0625</v>
      </c>
      <c r="K3792" s="400" t="s">
        <v>204</v>
      </c>
      <c r="L3792" s="399">
        <f t="shared" ref="L3792" si="12216">MAX(VLOOKUP(F3792,N$6:P$15,3,FALSE)/1000,2/3*D3780/1000)+F$16*F3792/1000</f>
        <v>0.192</v>
      </c>
      <c r="M3792" s="399" t="s">
        <v>176</v>
      </c>
      <c r="N3792" s="399">
        <f t="shared" si="12204"/>
        <v>1.2544999999999999</v>
      </c>
      <c r="O3792" s="399" t="s">
        <v>204</v>
      </c>
      <c r="P3792" s="389">
        <f t="shared" ref="P3792" si="12217">D3792-D3791</f>
        <v>0</v>
      </c>
      <c r="Q3792" s="399" t="s">
        <v>125</v>
      </c>
      <c r="R3792" s="399">
        <f t="shared" ref="R3792" si="12218">IF(P3792&gt;0,$F$18*F3792/1000,0)</f>
        <v>0</v>
      </c>
      <c r="S3792" s="399" t="s">
        <v>205</v>
      </c>
      <c r="T3792" s="399" t="s">
        <v>125</v>
      </c>
      <c r="U3792" s="401">
        <f t="shared" si="12207"/>
        <v>1.5782400000000001</v>
      </c>
      <c r="V3792" s="399"/>
      <c r="W3792" s="399"/>
      <c r="X3792" s="399" t="s">
        <v>125</v>
      </c>
      <c r="Y3792" s="389">
        <f t="shared" ref="Y3792" si="12219">D3781</f>
        <v>1</v>
      </c>
      <c r="Z3792" s="400" t="s">
        <v>176</v>
      </c>
      <c r="AA3792" s="402">
        <f t="shared" ref="AA3792" si="12220">IF(AA3793=0,(D3792*N3792+P3792*R3792)*U3792*Y3792,0)</f>
        <v>0</v>
      </c>
      <c r="AB3792" s="403"/>
    </row>
    <row r="3793" spans="1:28">
      <c r="A3793" s="384" t="str">
        <f t="shared" ref="A3793:B3793" si="12221">A3775</f>
        <v>Lantai 2</v>
      </c>
      <c r="B3793" s="385">
        <f t="shared" si="12221"/>
        <v>39</v>
      </c>
      <c r="C3793" s="393"/>
      <c r="D3793" s="398">
        <f t="shared" si="12122"/>
        <v>4</v>
      </c>
      <c r="E3793" s="388" t="s">
        <v>16</v>
      </c>
      <c r="F3793" s="388">
        <f t="shared" si="12123"/>
        <v>16</v>
      </c>
      <c r="G3793" s="388"/>
      <c r="H3793" s="395"/>
      <c r="I3793" s="388"/>
      <c r="J3793" s="396"/>
      <c r="K3793" s="396"/>
      <c r="L3793" s="404" t="s">
        <v>207</v>
      </c>
      <c r="M3793" s="399" t="s">
        <v>176</v>
      </c>
      <c r="N3793" s="399">
        <f t="shared" ref="N3793" si="12222">IF(AND(D3790=D3791,D3790=D3792,D3791=D3792,F3790=F3791,F3790=F3792,F3791=F3792),SUM(N3790:N3792),0)</f>
        <v>4.6340000000000003</v>
      </c>
      <c r="O3793" s="399" t="s">
        <v>204</v>
      </c>
      <c r="P3793" s="389">
        <f t="shared" ref="P3793" si="12223">IF(N3793&gt;12,ROUNDDOWN(N3793/12,0),0)</f>
        <v>0</v>
      </c>
      <c r="Q3793" s="399" t="s">
        <v>125</v>
      </c>
      <c r="R3793" s="399">
        <f t="shared" ref="R3793" si="12224">IF(P3793&gt;0,MAX(VLOOKUP(F3793,$D$6:$G$15,3,FALSE),600),0)/1000</f>
        <v>0</v>
      </c>
      <c r="S3793" s="396"/>
      <c r="T3793" s="396" t="s">
        <v>125</v>
      </c>
      <c r="U3793" s="401">
        <f t="shared" si="12127"/>
        <v>1.5782400000000001</v>
      </c>
      <c r="V3793" s="396" t="s">
        <v>125</v>
      </c>
      <c r="W3793" s="399">
        <f t="shared" ref="W3793" si="12225">D3793</f>
        <v>4</v>
      </c>
      <c r="X3793" s="399" t="s">
        <v>125</v>
      </c>
      <c r="Y3793" s="389">
        <f t="shared" si="12129"/>
        <v>1</v>
      </c>
      <c r="Z3793" s="400" t="s">
        <v>176</v>
      </c>
      <c r="AA3793" s="402">
        <f t="shared" ref="AA3793" si="12226">(N3793+P3793*R3793/1000)*U3793*W3793*Y3793</f>
        <v>29.254256640000005</v>
      </c>
      <c r="AB3793" s="403"/>
    </row>
    <row r="3794" spans="1:28">
      <c r="A3794" s="384"/>
      <c r="B3794" s="385"/>
      <c r="C3794" s="393"/>
      <c r="D3794" s="394"/>
      <c r="E3794" s="388"/>
      <c r="F3794" s="388"/>
      <c r="G3794" s="388"/>
      <c r="H3794" s="395"/>
      <c r="I3794" s="388"/>
      <c r="J3794" s="399"/>
      <c r="K3794" s="396"/>
      <c r="L3794" s="396"/>
      <c r="M3794" s="396"/>
      <c r="N3794" s="396"/>
      <c r="O3794" s="396"/>
      <c r="P3794" s="389"/>
      <c r="Q3794" s="396"/>
      <c r="R3794" s="396"/>
      <c r="S3794" s="396"/>
      <c r="T3794" s="396"/>
      <c r="U3794" s="401"/>
      <c r="V3794" s="396"/>
      <c r="W3794" s="388"/>
      <c r="X3794" s="396"/>
      <c r="Y3794" s="389"/>
      <c r="Z3794" s="396"/>
      <c r="AA3794" s="388"/>
      <c r="AB3794" s="390"/>
    </row>
    <row r="3795" spans="1:28">
      <c r="A3795" s="384" t="str">
        <f t="shared" ref="A3795:B3795" si="12227">A3775</f>
        <v>Lantai 2</v>
      </c>
      <c r="B3795" s="385">
        <f t="shared" si="12227"/>
        <v>39</v>
      </c>
      <c r="C3795" s="393" t="s">
        <v>211</v>
      </c>
      <c r="D3795" s="398">
        <f>VLOOKUP(D3775,'Detail Balok'!$C$10:$AU$140,31,FALSE)</f>
        <v>0</v>
      </c>
      <c r="E3795" s="388" t="s">
        <v>16</v>
      </c>
      <c r="F3795" s="388">
        <f>VLOOKUP(D3775,'Detail Balok'!$C$10:$AU$140,33,FALSE)</f>
        <v>10</v>
      </c>
      <c r="G3795" s="405" t="s">
        <v>157</v>
      </c>
      <c r="H3795" s="395">
        <f>VLOOKUP(D3775,'Detail Balok'!$C$10:$AU$140,35,FALSE)</f>
        <v>150</v>
      </c>
      <c r="I3795" s="388"/>
      <c r="J3795" s="400">
        <f t="shared" ref="J3795" si="12228">(IF(D3795=0,(2*(D3776+G3776))-(F$5*8),IF(D3795=3,(2*(D3776+G3776))-(F$5*8)+(G3776-2*F$5),IF(D3795=4,(2*(D3776+G3776))-(F$5*8)+2*(G3776-2*F$5)))))/1000</f>
        <v>1.08</v>
      </c>
      <c r="K3795" s="400" t="s">
        <v>204</v>
      </c>
      <c r="L3795" s="399">
        <f t="shared" ref="L3795:L3797" si="12229">IF(D3795=0,2*MAX(6*F3795,75),(D3795-1)*2*MAX(6*F3795,75))/1000</f>
        <v>0.15</v>
      </c>
      <c r="M3795" s="399" t="s">
        <v>176</v>
      </c>
      <c r="N3795" s="399">
        <f t="shared" ref="N3795:N3797" si="12230">J3795+L3795</f>
        <v>1.23</v>
      </c>
      <c r="O3795" s="399"/>
      <c r="P3795" s="389"/>
      <c r="Q3795" s="399"/>
      <c r="R3795" s="399"/>
      <c r="S3795" s="399"/>
      <c r="T3795" s="399" t="s">
        <v>125</v>
      </c>
      <c r="U3795" s="401">
        <f t="shared" ref="U3795:U3797" si="12231">0.006165*F3795^2</f>
        <v>0.61650000000000005</v>
      </c>
      <c r="V3795" s="399" t="s">
        <v>125</v>
      </c>
      <c r="W3795" s="399">
        <f t="shared" ref="W3795" si="12232">IF(D3778&gt;4*G3776,ROUND(MAX(D3778/4,2*G3776)/H3795,0)+1,ROUND(D3778/H3795,0)+1)</f>
        <v>8</v>
      </c>
      <c r="X3795" s="399" t="s">
        <v>125</v>
      </c>
      <c r="Y3795" s="389">
        <f t="shared" ref="Y3795" si="12233">D3781</f>
        <v>1</v>
      </c>
      <c r="Z3795" s="400" t="s">
        <v>176</v>
      </c>
      <c r="AA3795" s="402">
        <f t="shared" ref="AA3795:AA3797" si="12234">N3795*U3795*W3795*Y3795</f>
        <v>6.0663600000000004</v>
      </c>
      <c r="AB3795" s="403"/>
    </row>
    <row r="3796" spans="1:28">
      <c r="A3796" s="384" t="str">
        <f t="shared" ref="A3796:B3796" si="12235">A3775</f>
        <v>Lantai 2</v>
      </c>
      <c r="B3796" s="385">
        <f t="shared" si="12235"/>
        <v>39</v>
      </c>
      <c r="C3796" s="393" t="s">
        <v>212</v>
      </c>
      <c r="D3796" s="398">
        <f>VLOOKUP(D3775,'Detail Balok'!$C$10:$AU$140,36,FALSE)</f>
        <v>0</v>
      </c>
      <c r="E3796" s="388" t="s">
        <v>16</v>
      </c>
      <c r="F3796" s="388">
        <f>VLOOKUP(D3775,'Detail Balok'!$C$10:$AU$140,38,FALSE)</f>
        <v>10</v>
      </c>
      <c r="G3796" s="405" t="s">
        <v>157</v>
      </c>
      <c r="H3796" s="395">
        <f>VLOOKUP(D3775,'Detail Balok'!$C$10:$AU$140,40,FALSE)</f>
        <v>200</v>
      </c>
      <c r="I3796" s="388"/>
      <c r="J3796" s="400">
        <f t="shared" ref="J3796" si="12236">(IF(D3796=0,(2*(D3776+G3776))-(F$5*8),IF(D3796=3,(2*(D3776+G3776))-(F$5*8)+(G3776-2*F$5),IF(D3796=4,(2*(D3776+G3776))-(F$5*8)+2*(G3776-2*F$5)))))/1000</f>
        <v>1.08</v>
      </c>
      <c r="K3796" s="400" t="s">
        <v>204</v>
      </c>
      <c r="L3796" s="399">
        <f t="shared" si="12229"/>
        <v>0.15</v>
      </c>
      <c r="M3796" s="399" t="s">
        <v>176</v>
      </c>
      <c r="N3796" s="399">
        <f t="shared" si="12230"/>
        <v>1.23</v>
      </c>
      <c r="O3796" s="399"/>
      <c r="P3796" s="389"/>
      <c r="Q3796" s="399"/>
      <c r="R3796" s="399"/>
      <c r="S3796" s="399"/>
      <c r="T3796" s="399" t="s">
        <v>125</v>
      </c>
      <c r="U3796" s="401">
        <f t="shared" si="12231"/>
        <v>0.61650000000000005</v>
      </c>
      <c r="V3796" s="399" t="s">
        <v>125</v>
      </c>
      <c r="W3796" s="399">
        <f t="shared" ref="W3796" si="12237">IF(D3778-MAX(D3778/4,2*G3776)*2&gt;0,ROUND((D3778-MAX(D3778/4,2*G3776)*2)/H3796,0),0)</f>
        <v>11</v>
      </c>
      <c r="X3796" s="399" t="s">
        <v>125</v>
      </c>
      <c r="Y3796" s="389">
        <f t="shared" ref="Y3796" si="12238">D3781</f>
        <v>1</v>
      </c>
      <c r="Z3796" s="400" t="s">
        <v>176</v>
      </c>
      <c r="AA3796" s="402">
        <f t="shared" si="12234"/>
        <v>8.3412450000000007</v>
      </c>
      <c r="AB3796" s="403"/>
    </row>
    <row r="3797" spans="1:28">
      <c r="A3797" s="384" t="str">
        <f t="shared" ref="A3797:B3797" si="12239">A3775</f>
        <v>Lantai 2</v>
      </c>
      <c r="B3797" s="385">
        <f t="shared" si="12239"/>
        <v>39</v>
      </c>
      <c r="C3797" s="393" t="s">
        <v>211</v>
      </c>
      <c r="D3797" s="398">
        <f>VLOOKUP(D3775,'Detail Balok'!$C$10:$AU$140,41,FALSE)</f>
        <v>0</v>
      </c>
      <c r="E3797" s="388" t="s">
        <v>16</v>
      </c>
      <c r="F3797" s="388">
        <f>VLOOKUP(D3775,'Detail Balok'!$C$10:$AU$140,43,FALSE)</f>
        <v>10</v>
      </c>
      <c r="G3797" s="405" t="s">
        <v>157</v>
      </c>
      <c r="H3797" s="395">
        <f>VLOOKUP(D3775,'Detail Balok'!$C$10:$AU$140,45,FALSE)</f>
        <v>150</v>
      </c>
      <c r="I3797" s="388"/>
      <c r="J3797" s="400">
        <f t="shared" ref="J3797" si="12240">(IF(D3797=0,(2*(D3776+G3776))-(F$5*8),IF(D3797=3,(2*(D3776+G3776))-(F$5*8)+(G3776-2*F$5),IF(D3797=4,(2*(D3776+G3776))-(F$5*8)+2*(G3776-2*F$5)))))/1000</f>
        <v>1.08</v>
      </c>
      <c r="K3797" s="400" t="s">
        <v>204</v>
      </c>
      <c r="L3797" s="399">
        <f t="shared" si="12229"/>
        <v>0.15</v>
      </c>
      <c r="M3797" s="399" t="s">
        <v>176</v>
      </c>
      <c r="N3797" s="399">
        <f t="shared" si="12230"/>
        <v>1.23</v>
      </c>
      <c r="O3797" s="399"/>
      <c r="P3797" s="389"/>
      <c r="Q3797" s="399"/>
      <c r="R3797" s="399"/>
      <c r="S3797" s="399"/>
      <c r="T3797" s="399" t="s">
        <v>125</v>
      </c>
      <c r="U3797" s="401">
        <f t="shared" si="12231"/>
        <v>0.61650000000000005</v>
      </c>
      <c r="V3797" s="399" t="s">
        <v>125</v>
      </c>
      <c r="W3797" s="399">
        <f t="shared" ref="W3797" si="12241">IF(D3778&gt;4*G3776,ROUND(MAX(D3778/4,2*G3776)/H3797,0)+1,0)</f>
        <v>8</v>
      </c>
      <c r="X3797" s="399" t="s">
        <v>125</v>
      </c>
      <c r="Y3797" s="389">
        <f t="shared" ref="Y3797" si="12242">D3781</f>
        <v>1</v>
      </c>
      <c r="Z3797" s="400" t="s">
        <v>176</v>
      </c>
      <c r="AA3797" s="402">
        <f t="shared" si="12234"/>
        <v>6.0663600000000004</v>
      </c>
      <c r="AB3797" s="403"/>
    </row>
    <row r="3798" spans="1:28">
      <c r="A3798" s="384"/>
      <c r="B3798" s="385"/>
      <c r="C3798" s="393"/>
      <c r="D3798" s="394"/>
      <c r="E3798" s="388"/>
      <c r="F3798" s="388"/>
      <c r="G3798" s="388"/>
      <c r="H3798" s="395"/>
      <c r="I3798" s="388"/>
      <c r="J3798" s="399"/>
      <c r="K3798" s="396"/>
      <c r="L3798" s="396"/>
      <c r="M3798" s="396"/>
      <c r="N3798" s="396"/>
      <c r="O3798" s="396"/>
      <c r="P3798" s="389"/>
      <c r="Q3798" s="396"/>
      <c r="R3798" s="396"/>
      <c r="S3798" s="396"/>
      <c r="T3798" s="396"/>
      <c r="U3798" s="401"/>
      <c r="V3798" s="396"/>
      <c r="W3798" s="388"/>
      <c r="X3798" s="396"/>
      <c r="Y3798" s="389"/>
      <c r="Z3798" s="396"/>
      <c r="AA3798" s="388"/>
      <c r="AB3798" s="390"/>
    </row>
    <row r="3799" spans="1:28">
      <c r="A3799" s="384" t="str">
        <f t="shared" ref="A3799:B3799" si="12243">A3775</f>
        <v>Lantai 2</v>
      </c>
      <c r="B3799" s="385">
        <f t="shared" si="12243"/>
        <v>39</v>
      </c>
      <c r="C3799" s="393" t="s">
        <v>213</v>
      </c>
      <c r="D3799" s="398">
        <f>VLOOKUP(D3775,'Detail Balok'!$C$10:$BJ$140,46,FALSE)</f>
        <v>0</v>
      </c>
      <c r="E3799" s="388" t="s">
        <v>16</v>
      </c>
      <c r="F3799" s="388">
        <f>VLOOKUP(D3775,'Detail Balok'!$C$10:$BJ$140,48,FALSE)</f>
        <v>0</v>
      </c>
      <c r="G3799" s="405" t="s">
        <v>157</v>
      </c>
      <c r="H3799" s="395">
        <f>VLOOKUP(D3775,'Detail Balok'!$C$10:$BJ$140,50,FALSE)</f>
        <v>100</v>
      </c>
      <c r="I3799" s="388"/>
      <c r="J3799" s="399">
        <f t="shared" ref="J3799" si="12244">(D3776-2*F$5)/1000</f>
        <v>0.12</v>
      </c>
      <c r="K3799" s="400" t="s">
        <v>204</v>
      </c>
      <c r="L3799" s="399">
        <f t="shared" ref="L3799:L3801" si="12245">IF(D3799=0,2*MAX(6*F3799,75),(D3799-1)*2*MAX(6*F3799,75))/1000</f>
        <v>0.15</v>
      </c>
      <c r="M3799" s="399" t="s">
        <v>176</v>
      </c>
      <c r="N3799" s="399">
        <f t="shared" ref="N3799:N3801" si="12246">J3799+L3799</f>
        <v>0.27</v>
      </c>
      <c r="O3799" s="399"/>
      <c r="P3799" s="399"/>
      <c r="Q3799" s="399"/>
      <c r="R3799" s="399"/>
      <c r="S3799" s="399"/>
      <c r="T3799" s="399" t="s">
        <v>125</v>
      </c>
      <c r="U3799" s="401">
        <f t="shared" ref="U3799:U3801" si="12247">0.006165*F3799^2</f>
        <v>0</v>
      </c>
      <c r="V3799" s="399" t="s">
        <v>125</v>
      </c>
      <c r="W3799" s="399">
        <f t="shared" si="12152"/>
        <v>8</v>
      </c>
      <c r="X3799" s="399" t="s">
        <v>125</v>
      </c>
      <c r="Y3799" s="389">
        <f t="shared" ref="Y3799" si="12248">D3785</f>
        <v>4</v>
      </c>
      <c r="Z3799" s="400" t="s">
        <v>176</v>
      </c>
      <c r="AA3799" s="402">
        <f t="shared" ref="AA3799:AA3801" si="12249">N3799*U3799*W3799*Y3799</f>
        <v>0</v>
      </c>
      <c r="AB3799" s="403"/>
    </row>
    <row r="3800" spans="1:28">
      <c r="A3800" s="384" t="str">
        <f t="shared" ref="A3800:B3800" si="12250">A3775</f>
        <v>Lantai 2</v>
      </c>
      <c r="B3800" s="385">
        <f t="shared" si="12250"/>
        <v>39</v>
      </c>
      <c r="C3800" s="393" t="s">
        <v>214</v>
      </c>
      <c r="D3800" s="398">
        <f>VLOOKUP(D3775,'Detail Balok'!$C$10:$BJ$140,51,FALSE)</f>
        <v>0</v>
      </c>
      <c r="E3800" s="388" t="s">
        <v>16</v>
      </c>
      <c r="F3800" s="388">
        <f>VLOOKUP(D3775,'Detail Balok'!$C$10:$BJ$140,53,FALSE)</f>
        <v>0</v>
      </c>
      <c r="G3800" s="405" t="s">
        <v>157</v>
      </c>
      <c r="H3800" s="395">
        <f>VLOOKUP(D3775,'Detail Balok'!$C$10:$BJ$140,55,FALSE)</f>
        <v>100</v>
      </c>
      <c r="I3800" s="388"/>
      <c r="J3800" s="399">
        <f t="shared" ref="J3800" si="12251">(D3776-2*F$5)/1000</f>
        <v>0.12</v>
      </c>
      <c r="K3800" s="400" t="s">
        <v>204</v>
      </c>
      <c r="L3800" s="399">
        <f t="shared" si="12245"/>
        <v>0.15</v>
      </c>
      <c r="M3800" s="399" t="s">
        <v>176</v>
      </c>
      <c r="N3800" s="399">
        <f t="shared" si="12246"/>
        <v>0.27</v>
      </c>
      <c r="O3800" s="399"/>
      <c r="P3800" s="399"/>
      <c r="Q3800" s="399"/>
      <c r="R3800" s="399"/>
      <c r="S3800" s="399"/>
      <c r="T3800" s="399" t="s">
        <v>125</v>
      </c>
      <c r="U3800" s="401">
        <f t="shared" si="12247"/>
        <v>0</v>
      </c>
      <c r="V3800" s="399" t="s">
        <v>125</v>
      </c>
      <c r="W3800" s="399">
        <f t="shared" si="12152"/>
        <v>11</v>
      </c>
      <c r="X3800" s="399" t="s">
        <v>125</v>
      </c>
      <c r="Y3800" s="389">
        <f t="shared" ref="Y3800" si="12252">D3785</f>
        <v>4</v>
      </c>
      <c r="Z3800" s="400" t="s">
        <v>176</v>
      </c>
      <c r="AA3800" s="402">
        <f t="shared" si="12249"/>
        <v>0</v>
      </c>
      <c r="AB3800" s="403"/>
    </row>
    <row r="3801" spans="1:28">
      <c r="A3801" s="384" t="str">
        <f t="shared" ref="A3801:B3801" si="12253">A3775</f>
        <v>Lantai 2</v>
      </c>
      <c r="B3801" s="385">
        <f t="shared" si="12253"/>
        <v>39</v>
      </c>
      <c r="C3801" s="393" t="s">
        <v>213</v>
      </c>
      <c r="D3801" s="398">
        <f>VLOOKUP(D3775,'Detail Balok'!$C$10:$BJ$140,56,FALSE)</f>
        <v>0</v>
      </c>
      <c r="E3801" s="388" t="s">
        <v>16</v>
      </c>
      <c r="F3801" s="388">
        <f>VLOOKUP(D3775,'Detail Balok'!$C$10:$BJ$140,58,FALSE)</f>
        <v>0</v>
      </c>
      <c r="G3801" s="405" t="s">
        <v>157</v>
      </c>
      <c r="H3801" s="395">
        <f>VLOOKUP(D3775,'Detail Balok'!$C$10:$BJ$140,60,FALSE)</f>
        <v>100</v>
      </c>
      <c r="I3801" s="388"/>
      <c r="J3801" s="399">
        <f t="shared" ref="J3801" si="12254">(D3776-2*F$5)/1000</f>
        <v>0.12</v>
      </c>
      <c r="K3801" s="400" t="s">
        <v>204</v>
      </c>
      <c r="L3801" s="399">
        <f t="shared" si="12245"/>
        <v>0.15</v>
      </c>
      <c r="M3801" s="399" t="s">
        <v>176</v>
      </c>
      <c r="N3801" s="399">
        <f t="shared" si="12246"/>
        <v>0.27</v>
      </c>
      <c r="O3801" s="399"/>
      <c r="P3801" s="399"/>
      <c r="Q3801" s="399"/>
      <c r="R3801" s="399"/>
      <c r="S3801" s="399"/>
      <c r="T3801" s="399" t="s">
        <v>125</v>
      </c>
      <c r="U3801" s="401">
        <f t="shared" si="12247"/>
        <v>0</v>
      </c>
      <c r="V3801" s="399" t="s">
        <v>125</v>
      </c>
      <c r="W3801" s="399">
        <f t="shared" si="12152"/>
        <v>8</v>
      </c>
      <c r="X3801" s="399" t="s">
        <v>125</v>
      </c>
      <c r="Y3801" s="389">
        <f t="shared" ref="Y3801" si="12255">D3785</f>
        <v>4</v>
      </c>
      <c r="Z3801" s="400" t="s">
        <v>176</v>
      </c>
      <c r="AA3801" s="402">
        <f t="shared" si="12249"/>
        <v>0</v>
      </c>
      <c r="AB3801" s="403"/>
    </row>
    <row r="3802" spans="1:28">
      <c r="A3802" s="391"/>
      <c r="B3802" s="392"/>
      <c r="C3802" s="392"/>
      <c r="D3802" s="394"/>
      <c r="E3802" s="388"/>
      <c r="F3802" s="388"/>
      <c r="G3802" s="388"/>
      <c r="H3802" s="395"/>
      <c r="I3802" s="388"/>
      <c r="J3802" s="402"/>
      <c r="K3802" s="388"/>
      <c r="L3802" s="388"/>
      <c r="M3802" s="388"/>
      <c r="N3802" s="388"/>
      <c r="O3802" s="388"/>
      <c r="P3802" s="388"/>
      <c r="Q3802" s="388"/>
      <c r="R3802" s="388"/>
      <c r="S3802" s="388"/>
      <c r="T3802" s="388"/>
      <c r="U3802" s="388"/>
      <c r="V3802" s="388"/>
      <c r="W3802" s="388"/>
      <c r="X3802" s="388"/>
      <c r="Y3802" s="389"/>
      <c r="Z3802" s="388"/>
      <c r="AA3802" s="402"/>
      <c r="AB3802" s="403"/>
    </row>
    <row r="3803" spans="1:28" ht="15.75" thickBot="1">
      <c r="A3803" s="406"/>
      <c r="B3803" s="407"/>
      <c r="C3803" s="407"/>
      <c r="D3803" s="408"/>
      <c r="E3803" s="409"/>
      <c r="F3803" s="409"/>
      <c r="G3803" s="409"/>
      <c r="H3803" s="410"/>
      <c r="I3803" s="409"/>
      <c r="J3803" s="409"/>
      <c r="K3803" s="409"/>
      <c r="L3803" s="409"/>
      <c r="M3803" s="409"/>
      <c r="N3803" s="409"/>
      <c r="O3803" s="409"/>
      <c r="P3803" s="409"/>
      <c r="Q3803" s="409"/>
      <c r="R3803" s="409"/>
      <c r="S3803" s="409"/>
      <c r="T3803" s="409"/>
      <c r="U3803" s="409"/>
      <c r="V3803" s="409"/>
      <c r="W3803" s="409"/>
      <c r="X3803" s="409"/>
      <c r="Y3803" s="411"/>
      <c r="Z3803" s="409"/>
      <c r="AA3803" s="412"/>
      <c r="AB3803" s="413"/>
    </row>
    <row r="3804" spans="1:28">
      <c r="A3804" s="377"/>
      <c r="B3804" s="378"/>
      <c r="C3804" s="378"/>
      <c r="D3804" s="379"/>
      <c r="E3804" s="380"/>
      <c r="F3804" s="380"/>
      <c r="G3804" s="380"/>
      <c r="H3804" s="381"/>
      <c r="I3804" s="380"/>
      <c r="J3804" s="380"/>
      <c r="K3804" s="380"/>
      <c r="L3804" s="380"/>
      <c r="M3804" s="380"/>
      <c r="N3804" s="380"/>
      <c r="O3804" s="380"/>
      <c r="P3804" s="380"/>
      <c r="Q3804" s="380"/>
      <c r="R3804" s="380"/>
      <c r="S3804" s="380"/>
      <c r="T3804" s="380"/>
      <c r="U3804" s="380"/>
      <c r="V3804" s="380"/>
      <c r="W3804" s="380"/>
      <c r="X3804" s="380"/>
      <c r="Y3804" s="382"/>
      <c r="Z3804" s="380"/>
      <c r="AA3804" s="380"/>
      <c r="AB3804" s="383"/>
    </row>
    <row r="3805" spans="1:28">
      <c r="A3805" s="384" t="str">
        <f t="shared" si="12161"/>
        <v>Lantai 2</v>
      </c>
      <c r="B3805" s="385">
        <f t="shared" si="12162"/>
        <v>40</v>
      </c>
      <c r="C3805" s="386" t="str">
        <f t="shared" ref="C3805" si="12256">CONCATENATE(A3805," no. ",B3805)</f>
        <v>Lantai 2 no. 40</v>
      </c>
      <c r="D3805" s="2562" t="str">
        <f>VLOOKUP(C3805,'Data Panjang Balok'!$C$9:$N$254,2,FALSE)</f>
        <v>B25-1</v>
      </c>
      <c r="E3805" s="2576"/>
      <c r="F3805" s="2576"/>
      <c r="G3805" s="2576"/>
      <c r="H3805" s="2577"/>
      <c r="I3805" s="387"/>
      <c r="J3805" s="388"/>
      <c r="K3805" s="388"/>
      <c r="L3805" s="388"/>
      <c r="M3805" s="388"/>
      <c r="N3805" s="388"/>
      <c r="O3805" s="388"/>
      <c r="P3805" s="388"/>
      <c r="Q3805" s="388"/>
      <c r="R3805" s="388"/>
      <c r="S3805" s="388"/>
      <c r="T3805" s="388"/>
      <c r="U3805" s="388"/>
      <c r="V3805" s="388"/>
      <c r="W3805" s="388"/>
      <c r="X3805" s="388"/>
      <c r="Y3805" s="389"/>
      <c r="Z3805" s="388"/>
      <c r="AA3805" s="388"/>
      <c r="AB3805" s="390"/>
    </row>
    <row r="3806" spans="1:28">
      <c r="A3806" s="391"/>
      <c r="B3806" s="392"/>
      <c r="C3806" s="393" t="s">
        <v>118</v>
      </c>
      <c r="D3806" s="2578">
        <f>VLOOKUP(D3805,'Detail Balok'!$C$10:$AU$140,2,FALSE)</f>
        <v>200</v>
      </c>
      <c r="E3806" s="2579"/>
      <c r="F3806" s="388" t="s">
        <v>125</v>
      </c>
      <c r="G3806" s="2579">
        <f>VLOOKUP(D3805,'Detail Balok'!$C$10:$AU$140,3,FALSE)</f>
        <v>500</v>
      </c>
      <c r="H3806" s="2580"/>
      <c r="I3806" s="388"/>
      <c r="J3806" s="396"/>
      <c r="K3806" s="396"/>
      <c r="L3806" s="396"/>
      <c r="M3806" s="396"/>
      <c r="N3806" s="396"/>
      <c r="O3806" s="396"/>
      <c r="P3806" s="396"/>
      <c r="Q3806" s="396"/>
      <c r="R3806" s="396"/>
      <c r="S3806" s="396"/>
      <c r="T3806" s="396"/>
      <c r="U3806" s="388"/>
      <c r="V3806" s="396"/>
      <c r="W3806" s="388"/>
      <c r="X3806" s="396"/>
      <c r="Y3806" s="389"/>
      <c r="Z3806" s="396"/>
      <c r="AA3806" s="388"/>
      <c r="AB3806" s="390"/>
    </row>
    <row r="3807" spans="1:28">
      <c r="A3807" s="391"/>
      <c r="B3807" s="392"/>
      <c r="C3807" s="393" t="s">
        <v>198</v>
      </c>
      <c r="D3807" s="2562">
        <f>VLOOKUP(C3805,'Data Panjang Balok'!$C$9:$N$254,4,FALSE)</f>
        <v>1600</v>
      </c>
      <c r="E3807" s="2563"/>
      <c r="F3807" s="2563"/>
      <c r="G3807" s="2563"/>
      <c r="H3807" s="2564"/>
      <c r="I3807" s="397"/>
      <c r="J3807" s="396"/>
      <c r="K3807" s="396"/>
      <c r="L3807" s="396"/>
      <c r="M3807" s="396"/>
      <c r="N3807" s="396"/>
      <c r="O3807" s="396"/>
      <c r="P3807" s="396"/>
      <c r="Q3807" s="396"/>
      <c r="R3807" s="396"/>
      <c r="S3807" s="396"/>
      <c r="T3807" s="396"/>
      <c r="U3807" s="388"/>
      <c r="V3807" s="396"/>
      <c r="W3807" s="388"/>
      <c r="X3807" s="396"/>
      <c r="Y3807" s="389"/>
      <c r="Z3807" s="396"/>
      <c r="AA3807" s="388"/>
      <c r="AB3807" s="390"/>
    </row>
    <row r="3808" spans="1:28">
      <c r="A3808" s="391"/>
      <c r="B3808" s="392"/>
      <c r="C3808" s="393" t="s">
        <v>199</v>
      </c>
      <c r="D3808" s="2562">
        <f>VLOOKUP(C3805,'Data Panjang Balok'!$C$9:$N$254,7,FALSE)</f>
        <v>1600</v>
      </c>
      <c r="E3808" s="2563"/>
      <c r="F3808" s="2563"/>
      <c r="G3808" s="2563"/>
      <c r="H3808" s="2564"/>
      <c r="I3808" s="397"/>
      <c r="J3808" s="396"/>
      <c r="K3808" s="396"/>
      <c r="L3808" s="396"/>
      <c r="M3808" s="396"/>
      <c r="N3808" s="396"/>
      <c r="O3808" s="396"/>
      <c r="P3808" s="396"/>
      <c r="Q3808" s="396"/>
      <c r="R3808" s="396"/>
      <c r="S3808" s="396"/>
      <c r="T3808" s="396"/>
      <c r="U3808" s="388"/>
      <c r="V3808" s="396"/>
      <c r="W3808" s="388"/>
      <c r="X3808" s="396"/>
      <c r="Y3808" s="389"/>
      <c r="Z3808" s="396"/>
      <c r="AA3808" s="388"/>
      <c r="AB3808" s="390"/>
    </row>
    <row r="3809" spans="1:28">
      <c r="A3809" s="391"/>
      <c r="B3809" s="392"/>
      <c r="C3809" s="393" t="s">
        <v>200</v>
      </c>
      <c r="D3809" s="2562">
        <f>VLOOKUP(C3805,'Data Panjang Balok'!$C$9:$N$254,9,FALSE)</f>
        <v>0</v>
      </c>
      <c r="E3809" s="2563"/>
      <c r="F3809" s="2563"/>
      <c r="G3809" s="2563"/>
      <c r="H3809" s="2564"/>
      <c r="I3809" s="397"/>
      <c r="J3809" s="396"/>
      <c r="K3809" s="396"/>
      <c r="L3809" s="396"/>
      <c r="M3809" s="396"/>
      <c r="N3809" s="396"/>
      <c r="O3809" s="396"/>
      <c r="P3809" s="396"/>
      <c r="Q3809" s="396"/>
      <c r="R3809" s="396"/>
      <c r="S3809" s="396"/>
      <c r="T3809" s="396"/>
      <c r="U3809" s="388"/>
      <c r="V3809" s="396"/>
      <c r="W3809" s="388"/>
      <c r="X3809" s="396"/>
      <c r="Y3809" s="389"/>
      <c r="Z3809" s="396"/>
      <c r="AA3809" s="388"/>
      <c r="AB3809" s="390"/>
    </row>
    <row r="3810" spans="1:28">
      <c r="A3810" s="391"/>
      <c r="B3810" s="392"/>
      <c r="C3810" s="393" t="s">
        <v>201</v>
      </c>
      <c r="D3810" s="2562">
        <f>VLOOKUP(C3805,'Data Panjang Balok'!$C$9:$N$254,10,FALSE)</f>
        <v>0</v>
      </c>
      <c r="E3810" s="2563"/>
      <c r="F3810" s="2563"/>
      <c r="G3810" s="2563"/>
      <c r="H3810" s="2564"/>
      <c r="I3810" s="397"/>
      <c r="J3810" s="396"/>
      <c r="K3810" s="396"/>
      <c r="L3810" s="396"/>
      <c r="M3810" s="396"/>
      <c r="N3810" s="396"/>
      <c r="O3810" s="396"/>
      <c r="P3810" s="396"/>
      <c r="Q3810" s="396"/>
      <c r="R3810" s="396"/>
      <c r="S3810" s="396"/>
      <c r="T3810" s="396"/>
      <c r="U3810" s="388"/>
      <c r="V3810" s="396"/>
      <c r="W3810" s="388"/>
      <c r="X3810" s="396"/>
      <c r="Y3810" s="389"/>
      <c r="Z3810" s="396"/>
      <c r="AA3810" s="388"/>
      <c r="AB3810" s="390"/>
    </row>
    <row r="3811" spans="1:28">
      <c r="A3811" s="391"/>
      <c r="B3811" s="392"/>
      <c r="C3811" s="393" t="s">
        <v>48</v>
      </c>
      <c r="D3811" s="2562">
        <f>VLOOKUP(C3805,'Data Panjang Balok'!$C$9:$N$254,3,FALSE)</f>
        <v>1</v>
      </c>
      <c r="E3811" s="2563"/>
      <c r="F3811" s="2563"/>
      <c r="G3811" s="2563"/>
      <c r="H3811" s="2564"/>
      <c r="I3811" s="397"/>
      <c r="J3811" s="396"/>
      <c r="K3811" s="396"/>
      <c r="L3811" s="396"/>
      <c r="M3811" s="396"/>
      <c r="N3811" s="396"/>
      <c r="O3811" s="396"/>
      <c r="P3811" s="396"/>
      <c r="Q3811" s="396"/>
      <c r="R3811" s="396"/>
      <c r="S3811" s="396"/>
      <c r="T3811" s="396"/>
      <c r="U3811" s="388"/>
      <c r="V3811" s="396"/>
      <c r="W3811" s="388"/>
      <c r="X3811" s="396"/>
      <c r="Y3811" s="389"/>
      <c r="Z3811" s="396"/>
      <c r="AA3811" s="388"/>
      <c r="AB3811" s="390"/>
    </row>
    <row r="3812" spans="1:28">
      <c r="A3812" s="384" t="str">
        <f t="shared" ref="A3812:B3812" si="12257">A3805</f>
        <v>Lantai 2</v>
      </c>
      <c r="B3812" s="385">
        <f t="shared" si="12257"/>
        <v>40</v>
      </c>
      <c r="C3812" s="393" t="s">
        <v>202</v>
      </c>
      <c r="D3812" s="398">
        <f>VLOOKUP(D3805,'Detail Balok'!$C$10:$AU$140,4,FALSE)</f>
        <v>4</v>
      </c>
      <c r="E3812" s="388" t="s">
        <v>16</v>
      </c>
      <c r="F3812" s="388">
        <f>VLOOKUP(D3805,'Detail Balok'!$C$10:$AU$140,6,FALSE)</f>
        <v>16</v>
      </c>
      <c r="G3812" s="388"/>
      <c r="H3812" s="395"/>
      <c r="I3812" s="388" t="s">
        <v>203</v>
      </c>
      <c r="J3812" s="399">
        <f t="shared" ref="J3812" si="12258">+D3807/4/1000</f>
        <v>0.4</v>
      </c>
      <c r="K3812" s="400" t="s">
        <v>204</v>
      </c>
      <c r="L3812" s="399">
        <f t="shared" ref="L3812" si="12259">MAX(VLOOKUP(F3812,N$6:P$15,3,FALSE)/1000,2/3*D3809/1000)+F$16*F3812/1000</f>
        <v>0.192</v>
      </c>
      <c r="M3812" s="399" t="s">
        <v>176</v>
      </c>
      <c r="N3812" s="399">
        <f t="shared" ref="N3812:N3814" si="12260">J3812+L3812</f>
        <v>0.59200000000000008</v>
      </c>
      <c r="O3812" s="399" t="s">
        <v>204</v>
      </c>
      <c r="P3812" s="389">
        <f t="shared" ref="P3812" si="12261">D3812-D3813</f>
        <v>0</v>
      </c>
      <c r="Q3812" s="399" t="s">
        <v>125</v>
      </c>
      <c r="R3812" s="399">
        <f t="shared" ref="R3812" si="12262">IF(P3812&gt;0,$F$18*F3812/1000,0)</f>
        <v>0</v>
      </c>
      <c r="S3812" s="399" t="s">
        <v>205</v>
      </c>
      <c r="T3812" s="399" t="s">
        <v>125</v>
      </c>
      <c r="U3812" s="401">
        <f t="shared" ref="U3812:U3814" si="12263">0.006165*F3812^2</f>
        <v>1.5782400000000001</v>
      </c>
      <c r="V3812" s="399"/>
      <c r="W3812" s="399"/>
      <c r="X3812" s="399" t="s">
        <v>125</v>
      </c>
      <c r="Y3812" s="389">
        <f t="shared" ref="Y3812" si="12264">D3811</f>
        <v>1</v>
      </c>
      <c r="Z3812" s="400" t="s">
        <v>176</v>
      </c>
      <c r="AA3812" s="402">
        <f t="shared" ref="AA3812" si="12265">IF(AA3815=0,(D3812*N3812+P3812*R3812)*U3812*Y3812,0)</f>
        <v>0</v>
      </c>
      <c r="AB3812" s="403"/>
    </row>
    <row r="3813" spans="1:28">
      <c r="A3813" s="384" t="str">
        <f t="shared" ref="A3813:B3813" si="12266">A3805</f>
        <v>Lantai 2</v>
      </c>
      <c r="B3813" s="385">
        <f t="shared" si="12266"/>
        <v>40</v>
      </c>
      <c r="C3813" s="393" t="s">
        <v>206</v>
      </c>
      <c r="D3813" s="398">
        <f>VLOOKUP(D3805,'Detail Balok'!$C$10:$AU$140,7,FALSE)</f>
        <v>4</v>
      </c>
      <c r="E3813" s="388" t="s">
        <v>16</v>
      </c>
      <c r="F3813" s="388">
        <f>VLOOKUP(D3805,'Detail Balok'!$C$10:$AU$140,9,FALSE)</f>
        <v>16</v>
      </c>
      <c r="G3813" s="388"/>
      <c r="H3813" s="395"/>
      <c r="I3813" s="388" t="s">
        <v>203</v>
      </c>
      <c r="J3813" s="399">
        <f t="shared" ref="J3813" si="12267">+D3807/2/1000</f>
        <v>0.8</v>
      </c>
      <c r="K3813" s="400" t="s">
        <v>204</v>
      </c>
      <c r="L3813" s="399"/>
      <c r="M3813" s="399" t="s">
        <v>176</v>
      </c>
      <c r="N3813" s="399">
        <f t="shared" si="12260"/>
        <v>0.8</v>
      </c>
      <c r="O3813" s="399" t="s">
        <v>204</v>
      </c>
      <c r="P3813" s="389">
        <f t="shared" ref="P3813" si="12268">MAX(D3813-D3812,D3813-D3814)</f>
        <v>0</v>
      </c>
      <c r="Q3813" s="399" t="s">
        <v>125</v>
      </c>
      <c r="R3813" s="399">
        <f t="shared" ref="R3813" si="12269">IF(P3813&gt;0,2*(1-2*$F$19-1/2)*D3808/1000,0)</f>
        <v>0</v>
      </c>
      <c r="S3813" s="399" t="s">
        <v>205</v>
      </c>
      <c r="T3813" s="399" t="s">
        <v>125</v>
      </c>
      <c r="U3813" s="401">
        <f t="shared" si="12263"/>
        <v>1.5782400000000001</v>
      </c>
      <c r="V3813" s="399"/>
      <c r="W3813" s="399"/>
      <c r="X3813" s="399" t="s">
        <v>125</v>
      </c>
      <c r="Y3813" s="389">
        <f t="shared" ref="Y3813" si="12270">D3811</f>
        <v>1</v>
      </c>
      <c r="Z3813" s="400" t="s">
        <v>176</v>
      </c>
      <c r="AA3813" s="402">
        <f t="shared" ref="AA3813" si="12271">IF(AA3815=0,(D3813*N3813+P3813*R3813)*U3813*Y3813,0)</f>
        <v>0</v>
      </c>
      <c r="AB3813" s="403"/>
    </row>
    <row r="3814" spans="1:28">
      <c r="A3814" s="384" t="str">
        <f t="shared" ref="A3814:B3814" si="12272">A3805</f>
        <v>Lantai 2</v>
      </c>
      <c r="B3814" s="385">
        <f t="shared" si="12272"/>
        <v>40</v>
      </c>
      <c r="C3814" s="393" t="s">
        <v>202</v>
      </c>
      <c r="D3814" s="398">
        <f>VLOOKUP(D3805,'Detail Balok'!$C$10:$AU$140,10,FALSE)</f>
        <v>4</v>
      </c>
      <c r="E3814" s="388" t="s">
        <v>16</v>
      </c>
      <c r="F3814" s="388">
        <f>VLOOKUP(D3805,'Detail Balok'!$C$10:$AU$140,12,FALSE)</f>
        <v>16</v>
      </c>
      <c r="G3814" s="388"/>
      <c r="H3814" s="395"/>
      <c r="I3814" s="388" t="s">
        <v>203</v>
      </c>
      <c r="J3814" s="399">
        <f t="shared" ref="J3814" si="12273">+D3807/4/1000</f>
        <v>0.4</v>
      </c>
      <c r="K3814" s="400" t="s">
        <v>204</v>
      </c>
      <c r="L3814" s="399">
        <f t="shared" ref="L3814" si="12274">MAX(VLOOKUP(F3814,N$6:P$15,3,FALSE)/1000,2/3*D3809/1000)+F$16*F3814/1000</f>
        <v>0.192</v>
      </c>
      <c r="M3814" s="399" t="s">
        <v>176</v>
      </c>
      <c r="N3814" s="399">
        <f t="shared" si="12260"/>
        <v>0.59200000000000008</v>
      </c>
      <c r="O3814" s="399" t="s">
        <v>204</v>
      </c>
      <c r="P3814" s="389">
        <f t="shared" ref="P3814" si="12275">D3814-D3813</f>
        <v>0</v>
      </c>
      <c r="Q3814" s="399" t="s">
        <v>125</v>
      </c>
      <c r="R3814" s="399">
        <f t="shared" ref="R3814" si="12276">IF(P3814&gt;0,$F$18*F3814/1000,0)</f>
        <v>0</v>
      </c>
      <c r="S3814" s="399" t="s">
        <v>205</v>
      </c>
      <c r="T3814" s="399" t="s">
        <v>125</v>
      </c>
      <c r="U3814" s="401">
        <f t="shared" si="12263"/>
        <v>1.5782400000000001</v>
      </c>
      <c r="V3814" s="399"/>
      <c r="W3814" s="399"/>
      <c r="X3814" s="399" t="s">
        <v>125</v>
      </c>
      <c r="Y3814" s="389">
        <f t="shared" ref="Y3814" si="12277">D3811</f>
        <v>1</v>
      </c>
      <c r="Z3814" s="400" t="s">
        <v>176</v>
      </c>
      <c r="AA3814" s="402">
        <f t="shared" ref="AA3814" si="12278">IF(AA3815=0,(D3814*N3814+P3814*R3814)*U3814*Y3814,0)</f>
        <v>0</v>
      </c>
      <c r="AB3814" s="403"/>
    </row>
    <row r="3815" spans="1:28">
      <c r="A3815" s="384" t="str">
        <f t="shared" ref="A3815:B3815" si="12279">A3805</f>
        <v>Lantai 2</v>
      </c>
      <c r="B3815" s="385">
        <f t="shared" si="12279"/>
        <v>40</v>
      </c>
      <c r="C3815" s="393"/>
      <c r="D3815" s="398">
        <f t="shared" si="12082"/>
        <v>4</v>
      </c>
      <c r="E3815" s="388" t="s">
        <v>16</v>
      </c>
      <c r="F3815" s="388">
        <f t="shared" si="12083"/>
        <v>16</v>
      </c>
      <c r="G3815" s="388"/>
      <c r="H3815" s="395"/>
      <c r="I3815" s="388"/>
      <c r="J3815" s="396"/>
      <c r="K3815" s="396"/>
      <c r="L3815" s="404" t="s">
        <v>207</v>
      </c>
      <c r="M3815" s="399" t="s">
        <v>176</v>
      </c>
      <c r="N3815" s="399">
        <f t="shared" ref="N3815" si="12280">IF(AND(D3812=D3813,D3812=D3814,D3813=D3814,F3812=F3813,F3812=F3814,F3813=F3814),SUM(N3812:N3814),0)</f>
        <v>1.9840000000000002</v>
      </c>
      <c r="O3815" s="399" t="s">
        <v>204</v>
      </c>
      <c r="P3815" s="389">
        <f t="shared" ref="P3815" si="12281">IF(N3815&gt;12,ROUNDDOWN(N3815/12,0),0)</f>
        <v>0</v>
      </c>
      <c r="Q3815" s="399" t="s">
        <v>125</v>
      </c>
      <c r="R3815" s="399">
        <f t="shared" ref="R3815" si="12282">IF(P3815&gt;0,MAX(VLOOKUP(F3815,$D$6:$G$15,3,FALSE),600),0)/1000</f>
        <v>0</v>
      </c>
      <c r="S3815" s="396"/>
      <c r="T3815" s="396" t="s">
        <v>125</v>
      </c>
      <c r="U3815" s="401">
        <f t="shared" si="12087"/>
        <v>1.5782400000000001</v>
      </c>
      <c r="V3815" s="396" t="s">
        <v>125</v>
      </c>
      <c r="W3815" s="399">
        <f t="shared" ref="W3815" si="12283">D3815</f>
        <v>4</v>
      </c>
      <c r="X3815" s="399" t="s">
        <v>125</v>
      </c>
      <c r="Y3815" s="389">
        <f t="shared" si="12089"/>
        <v>1</v>
      </c>
      <c r="Z3815" s="400" t="s">
        <v>176</v>
      </c>
      <c r="AA3815" s="402">
        <f t="shared" ref="AA3815" si="12284">(N3815+P3815*R3815/1000)*U3815*W3815*Y3815</f>
        <v>12.524912640000002</v>
      </c>
      <c r="AB3815" s="390"/>
    </row>
    <row r="3816" spans="1:28">
      <c r="A3816" s="384"/>
      <c r="B3816" s="385"/>
      <c r="C3816" s="393"/>
      <c r="D3816" s="398"/>
      <c r="E3816" s="388"/>
      <c r="F3816" s="388"/>
      <c r="G3816" s="388"/>
      <c r="H3816" s="395"/>
      <c r="I3816" s="388"/>
      <c r="J3816" s="396"/>
      <c r="K3816" s="396"/>
      <c r="L3816" s="404"/>
      <c r="M3816" s="399"/>
      <c r="N3816" s="399"/>
      <c r="O3816" s="396"/>
      <c r="P3816" s="389"/>
      <c r="Q3816" s="396"/>
      <c r="R3816" s="396"/>
      <c r="S3816" s="396"/>
      <c r="T3816" s="396"/>
      <c r="U3816" s="401"/>
      <c r="V3816" s="396"/>
      <c r="W3816" s="399"/>
      <c r="X3816" s="396"/>
      <c r="Y3816" s="389"/>
      <c r="Z3816" s="396"/>
      <c r="AA3816" s="388"/>
      <c r="AB3816" s="390"/>
    </row>
    <row r="3817" spans="1:28">
      <c r="A3817" s="384" t="str">
        <f t="shared" ref="A3817:B3817" si="12285">A3805</f>
        <v>Lantai 2</v>
      </c>
      <c r="B3817" s="385">
        <f t="shared" si="12285"/>
        <v>40</v>
      </c>
      <c r="C3817" s="393" t="s">
        <v>208</v>
      </c>
      <c r="D3817" s="398">
        <f>VLOOKUP(D3805,'Detail Balok'!$C$10:$AU$140,13,FALSE)</f>
        <v>2</v>
      </c>
      <c r="E3817" s="388" t="s">
        <v>16</v>
      </c>
      <c r="F3817" s="388">
        <f>VLOOKUP(D3805,'Detail Balok'!$C$10:$AU$140,15,FALSE)</f>
        <v>10</v>
      </c>
      <c r="G3817" s="388"/>
      <c r="H3817" s="395"/>
      <c r="I3817" s="388"/>
      <c r="J3817" s="399">
        <f t="shared" ref="J3817" si="12286">+D3807/1000</f>
        <v>1.6</v>
      </c>
      <c r="K3817" s="400" t="s">
        <v>204</v>
      </c>
      <c r="L3817" s="399">
        <f t="shared" ref="L3817" si="12287">2*$F$16*F3817/1000</f>
        <v>0.24</v>
      </c>
      <c r="M3817" s="399" t="s">
        <v>176</v>
      </c>
      <c r="N3817" s="399">
        <f t="shared" ref="N3817" si="12288">J3817+L3817</f>
        <v>1.84</v>
      </c>
      <c r="O3817" s="399" t="s">
        <v>204</v>
      </c>
      <c r="P3817" s="389">
        <f t="shared" ref="P3817" si="12289">IF(N3817&gt;12,ROUNDDOWN(N3817/12,0),0)</f>
        <v>0</v>
      </c>
      <c r="Q3817" s="399" t="s">
        <v>125</v>
      </c>
      <c r="R3817" s="399">
        <f t="shared" ref="R3817" si="12290">IF(P3817&gt;0,MAX(VLOOKUP(F3817,$D$6:$G$15,3,FALSE),600),0)/1000</f>
        <v>0</v>
      </c>
      <c r="S3817" s="399"/>
      <c r="T3817" s="399" t="s">
        <v>125</v>
      </c>
      <c r="U3817" s="401">
        <f t="shared" ref="U3817" si="12291">0.006165*F3817^2</f>
        <v>0.61650000000000005</v>
      </c>
      <c r="V3817" s="399" t="s">
        <v>125</v>
      </c>
      <c r="W3817" s="399">
        <f t="shared" ref="W3817" si="12292">+D3817</f>
        <v>2</v>
      </c>
      <c r="X3817" s="399" t="s">
        <v>125</v>
      </c>
      <c r="Y3817" s="389">
        <f t="shared" ref="Y3817" si="12293">D3811</f>
        <v>1</v>
      </c>
      <c r="Z3817" s="400" t="s">
        <v>176</v>
      </c>
      <c r="AA3817" s="402">
        <f t="shared" ref="AA3817" si="12294">(N3817+P3817*R3817/1000)*U3817*W3817*Y3817</f>
        <v>2.2687200000000001</v>
      </c>
      <c r="AB3817" s="403"/>
    </row>
    <row r="3818" spans="1:28">
      <c r="A3818" s="384"/>
      <c r="B3818" s="385"/>
      <c r="C3818" s="393"/>
      <c r="D3818" s="398"/>
      <c r="E3818" s="388"/>
      <c r="F3818" s="388"/>
      <c r="G3818" s="388"/>
      <c r="H3818" s="395"/>
      <c r="I3818" s="388"/>
      <c r="J3818" s="399"/>
      <c r="K3818" s="400"/>
      <c r="L3818" s="399"/>
      <c r="M3818" s="399"/>
      <c r="N3818" s="399"/>
      <c r="O3818" s="399"/>
      <c r="P3818" s="389"/>
      <c r="Q3818" s="399"/>
      <c r="R3818" s="399"/>
      <c r="S3818" s="399"/>
      <c r="T3818" s="399"/>
      <c r="U3818" s="401"/>
      <c r="V3818" s="399"/>
      <c r="W3818" s="399"/>
      <c r="X3818" s="399"/>
      <c r="Y3818" s="389"/>
      <c r="Z3818" s="400"/>
      <c r="AA3818" s="402"/>
      <c r="AB3818" s="403"/>
    </row>
    <row r="3819" spans="1:28">
      <c r="A3819" s="384"/>
      <c r="B3819" s="385"/>
      <c r="C3819" s="393"/>
      <c r="D3819" s="398"/>
      <c r="E3819" s="388"/>
      <c r="F3819" s="388"/>
      <c r="G3819" s="388"/>
      <c r="H3819" s="395"/>
      <c r="I3819" s="388"/>
      <c r="J3819" s="396"/>
      <c r="K3819" s="396"/>
      <c r="L3819" s="396"/>
      <c r="M3819" s="396"/>
      <c r="N3819" s="396"/>
      <c r="O3819" s="396"/>
      <c r="P3819" s="389"/>
      <c r="Q3819" s="396"/>
      <c r="R3819" s="396"/>
      <c r="S3819" s="396"/>
      <c r="T3819" s="396"/>
      <c r="U3819" s="401"/>
      <c r="V3819" s="396"/>
      <c r="W3819" s="399"/>
      <c r="X3819" s="396"/>
      <c r="Y3819" s="389"/>
      <c r="Z3819" s="396"/>
      <c r="AA3819" s="388"/>
      <c r="AB3819" s="390"/>
    </row>
    <row r="3820" spans="1:28">
      <c r="A3820" s="384" t="str">
        <f t="shared" ref="A3820:B3820" si="12295">A3805</f>
        <v>Lantai 2</v>
      </c>
      <c r="B3820" s="385">
        <f t="shared" si="12295"/>
        <v>40</v>
      </c>
      <c r="C3820" s="393" t="s">
        <v>209</v>
      </c>
      <c r="D3820" s="398">
        <f>VLOOKUP(D3805,'Detail Balok'!$C$10:$AU$140,22,FALSE)</f>
        <v>4</v>
      </c>
      <c r="E3820" s="388" t="s">
        <v>16</v>
      </c>
      <c r="F3820" s="388">
        <f>VLOOKUP(D3805,'Detail Balok'!$C$10:$AU$140,24,FALSE)</f>
        <v>16</v>
      </c>
      <c r="G3820" s="388"/>
      <c r="H3820" s="395"/>
      <c r="I3820" s="388" t="s">
        <v>203</v>
      </c>
      <c r="J3820" s="399">
        <f t="shared" si="12102"/>
        <v>0.4</v>
      </c>
      <c r="K3820" s="400" t="s">
        <v>204</v>
      </c>
      <c r="L3820" s="399">
        <f t="shared" ref="L3820" si="12296">MAX(VLOOKUP(F3820,N$6:P$15,3,FALSE)/1000,2/3*D3810/1000)+F$16*F3820/1000</f>
        <v>0.192</v>
      </c>
      <c r="M3820" s="399" t="s">
        <v>176</v>
      </c>
      <c r="N3820" s="399">
        <f t="shared" ref="N3820:N3822" si="12297">J3820+L3820</f>
        <v>0.59200000000000008</v>
      </c>
      <c r="O3820" s="399" t="s">
        <v>204</v>
      </c>
      <c r="P3820" s="389">
        <f t="shared" ref="P3820" si="12298">D3820-D3821</f>
        <v>0</v>
      </c>
      <c r="Q3820" s="399" t="s">
        <v>125</v>
      </c>
      <c r="R3820" s="399">
        <f t="shared" ref="R3820" si="12299">IF(P3820&gt;0,$F$18*F3820/1000,0)</f>
        <v>0</v>
      </c>
      <c r="S3820" s="399" t="s">
        <v>205</v>
      </c>
      <c r="T3820" s="399" t="s">
        <v>125</v>
      </c>
      <c r="U3820" s="401">
        <f t="shared" ref="U3820:U3822" si="12300">0.006165*F3820^2</f>
        <v>1.5782400000000001</v>
      </c>
      <c r="V3820" s="399"/>
      <c r="W3820" s="399"/>
      <c r="X3820" s="399" t="s">
        <v>125</v>
      </c>
      <c r="Y3820" s="389">
        <f t="shared" ref="Y3820" si="12301">D3811</f>
        <v>1</v>
      </c>
      <c r="Z3820" s="400" t="s">
        <v>176</v>
      </c>
      <c r="AA3820" s="402">
        <f t="shared" ref="AA3820" si="12302">IF(AA3823=0,(D3820*N3820+P3820*R3820)*U3820*Y3820,0)</f>
        <v>0</v>
      </c>
      <c r="AB3820" s="403"/>
    </row>
    <row r="3821" spans="1:28">
      <c r="A3821" s="384" t="str">
        <f t="shared" ref="A3821:B3821" si="12303">A3805</f>
        <v>Lantai 2</v>
      </c>
      <c r="B3821" s="385">
        <f t="shared" si="12303"/>
        <v>40</v>
      </c>
      <c r="C3821" s="393" t="s">
        <v>210</v>
      </c>
      <c r="D3821" s="398">
        <f>VLOOKUP(D3805,'Detail Balok'!$C$10:$AU$140,25,FALSE)</f>
        <v>4</v>
      </c>
      <c r="E3821" s="388" t="s">
        <v>16</v>
      </c>
      <c r="F3821" s="388">
        <f>VLOOKUP(D3805,'Detail Balok'!$C$10:$AU$140,27,FALSE)</f>
        <v>16</v>
      </c>
      <c r="G3821" s="388"/>
      <c r="H3821" s="395"/>
      <c r="I3821" s="388" t="s">
        <v>203</v>
      </c>
      <c r="J3821" s="399">
        <f t="shared" si="12102"/>
        <v>0.8</v>
      </c>
      <c r="K3821" s="400" t="s">
        <v>204</v>
      </c>
      <c r="L3821" s="399"/>
      <c r="M3821" s="399" t="s">
        <v>176</v>
      </c>
      <c r="N3821" s="399">
        <f t="shared" si="12297"/>
        <v>0.8</v>
      </c>
      <c r="O3821" s="399" t="s">
        <v>204</v>
      </c>
      <c r="P3821" s="389">
        <f t="shared" ref="P3821" si="12304">MAX(D3821-D3820,D3821-D3822)</f>
        <v>0</v>
      </c>
      <c r="Q3821" s="399" t="s">
        <v>125</v>
      </c>
      <c r="R3821" s="399">
        <f t="shared" ref="R3821" si="12305">IF(P3821&gt;0,2*(1-2*$F$19-1/2)*D3808/1000,0)</f>
        <v>0</v>
      </c>
      <c r="S3821" s="399" t="s">
        <v>205</v>
      </c>
      <c r="T3821" s="399" t="s">
        <v>125</v>
      </c>
      <c r="U3821" s="401">
        <f t="shared" si="12300"/>
        <v>1.5782400000000001</v>
      </c>
      <c r="V3821" s="399"/>
      <c r="W3821" s="399"/>
      <c r="X3821" s="399" t="s">
        <v>125</v>
      </c>
      <c r="Y3821" s="389">
        <f t="shared" ref="Y3821" si="12306">D3811</f>
        <v>1</v>
      </c>
      <c r="Z3821" s="400" t="s">
        <v>176</v>
      </c>
      <c r="AA3821" s="402">
        <f t="shared" ref="AA3821" si="12307">IF(AA3823=0,(D3821*N3821+P3821*R3821)*U3821*Y3821,0)</f>
        <v>0</v>
      </c>
      <c r="AB3821" s="403"/>
    </row>
    <row r="3822" spans="1:28">
      <c r="A3822" s="384" t="str">
        <f t="shared" ref="A3822:B3822" si="12308">A3805</f>
        <v>Lantai 2</v>
      </c>
      <c r="B3822" s="385">
        <f t="shared" si="12308"/>
        <v>40</v>
      </c>
      <c r="C3822" s="393" t="s">
        <v>209</v>
      </c>
      <c r="D3822" s="398">
        <f>VLOOKUP(D3805,'Detail Balok'!$C$10:$AU$140,28,FALSE)</f>
        <v>4</v>
      </c>
      <c r="E3822" s="388" t="s">
        <v>16</v>
      </c>
      <c r="F3822" s="388">
        <f>VLOOKUP(D3805,'Detail Balok'!$C$10:$AU$140,30,FALSE)</f>
        <v>16</v>
      </c>
      <c r="G3822" s="388"/>
      <c r="H3822" s="395"/>
      <c r="I3822" s="388" t="s">
        <v>203</v>
      </c>
      <c r="J3822" s="399">
        <f t="shared" si="12102"/>
        <v>0.4</v>
      </c>
      <c r="K3822" s="400" t="s">
        <v>204</v>
      </c>
      <c r="L3822" s="399">
        <f t="shared" ref="L3822" si="12309">MAX(VLOOKUP(F3822,N$6:P$15,3,FALSE)/1000,2/3*D3810/1000)+F$16*F3822/1000</f>
        <v>0.192</v>
      </c>
      <c r="M3822" s="399" t="s">
        <v>176</v>
      </c>
      <c r="N3822" s="399">
        <f t="shared" si="12297"/>
        <v>0.59200000000000008</v>
      </c>
      <c r="O3822" s="399" t="s">
        <v>204</v>
      </c>
      <c r="P3822" s="389">
        <f t="shared" ref="P3822" si="12310">D3822-D3821</f>
        <v>0</v>
      </c>
      <c r="Q3822" s="399" t="s">
        <v>125</v>
      </c>
      <c r="R3822" s="399">
        <f t="shared" ref="R3822" si="12311">IF(P3822&gt;0,$F$18*F3822/1000,0)</f>
        <v>0</v>
      </c>
      <c r="S3822" s="399" t="s">
        <v>205</v>
      </c>
      <c r="T3822" s="399" t="s">
        <v>125</v>
      </c>
      <c r="U3822" s="401">
        <f t="shared" si="12300"/>
        <v>1.5782400000000001</v>
      </c>
      <c r="V3822" s="399"/>
      <c r="W3822" s="399"/>
      <c r="X3822" s="399" t="s">
        <v>125</v>
      </c>
      <c r="Y3822" s="389">
        <f t="shared" ref="Y3822" si="12312">D3811</f>
        <v>1</v>
      </c>
      <c r="Z3822" s="400" t="s">
        <v>176</v>
      </c>
      <c r="AA3822" s="402">
        <f t="shared" ref="AA3822" si="12313">IF(AA3823=0,(D3822*N3822+P3822*R3822)*U3822*Y3822,0)</f>
        <v>0</v>
      </c>
      <c r="AB3822" s="403"/>
    </row>
    <row r="3823" spans="1:28">
      <c r="A3823" s="384" t="str">
        <f t="shared" ref="A3823:B3823" si="12314">A3805</f>
        <v>Lantai 2</v>
      </c>
      <c r="B3823" s="385">
        <f t="shared" si="12314"/>
        <v>40</v>
      </c>
      <c r="C3823" s="393"/>
      <c r="D3823" s="398">
        <f t="shared" si="12122"/>
        <v>4</v>
      </c>
      <c r="E3823" s="388" t="s">
        <v>16</v>
      </c>
      <c r="F3823" s="388">
        <f t="shared" si="12123"/>
        <v>16</v>
      </c>
      <c r="G3823" s="388"/>
      <c r="H3823" s="395"/>
      <c r="I3823" s="388"/>
      <c r="J3823" s="396"/>
      <c r="K3823" s="396"/>
      <c r="L3823" s="404" t="s">
        <v>207</v>
      </c>
      <c r="M3823" s="399" t="s">
        <v>176</v>
      </c>
      <c r="N3823" s="399">
        <f t="shared" ref="N3823" si="12315">IF(AND(D3820=D3821,D3820=D3822,D3821=D3822,F3820=F3821,F3820=F3822,F3821=F3822),SUM(N3820:N3822),0)</f>
        <v>1.9840000000000002</v>
      </c>
      <c r="O3823" s="399" t="s">
        <v>204</v>
      </c>
      <c r="P3823" s="389">
        <f t="shared" ref="P3823" si="12316">IF(N3823&gt;12,ROUNDDOWN(N3823/12,0),0)</f>
        <v>0</v>
      </c>
      <c r="Q3823" s="399" t="s">
        <v>125</v>
      </c>
      <c r="R3823" s="399">
        <f t="shared" ref="R3823" si="12317">IF(P3823&gt;0,MAX(VLOOKUP(F3823,$D$6:$G$15,3,FALSE),600),0)/1000</f>
        <v>0</v>
      </c>
      <c r="S3823" s="396"/>
      <c r="T3823" s="396" t="s">
        <v>125</v>
      </c>
      <c r="U3823" s="401">
        <f t="shared" si="12127"/>
        <v>1.5782400000000001</v>
      </c>
      <c r="V3823" s="396" t="s">
        <v>125</v>
      </c>
      <c r="W3823" s="399">
        <f t="shared" ref="W3823" si="12318">D3823</f>
        <v>4</v>
      </c>
      <c r="X3823" s="399" t="s">
        <v>125</v>
      </c>
      <c r="Y3823" s="389">
        <f t="shared" si="12129"/>
        <v>1</v>
      </c>
      <c r="Z3823" s="400" t="s">
        <v>176</v>
      </c>
      <c r="AA3823" s="402">
        <f t="shared" ref="AA3823" si="12319">(N3823+P3823*R3823/1000)*U3823*W3823*Y3823</f>
        <v>12.524912640000002</v>
      </c>
      <c r="AB3823" s="403"/>
    </row>
    <row r="3824" spans="1:28">
      <c r="A3824" s="384"/>
      <c r="B3824" s="385"/>
      <c r="C3824" s="393"/>
      <c r="D3824" s="394"/>
      <c r="E3824" s="388"/>
      <c r="F3824" s="388"/>
      <c r="G3824" s="388"/>
      <c r="H3824" s="395"/>
      <c r="I3824" s="388"/>
      <c r="J3824" s="399"/>
      <c r="K3824" s="396"/>
      <c r="L3824" s="396"/>
      <c r="M3824" s="396"/>
      <c r="N3824" s="396"/>
      <c r="O3824" s="396"/>
      <c r="P3824" s="389"/>
      <c r="Q3824" s="396"/>
      <c r="R3824" s="396"/>
      <c r="S3824" s="396"/>
      <c r="T3824" s="396"/>
      <c r="U3824" s="401"/>
      <c r="V3824" s="396"/>
      <c r="W3824" s="388"/>
      <c r="X3824" s="396"/>
      <c r="Y3824" s="389"/>
      <c r="Z3824" s="396"/>
      <c r="AA3824" s="388"/>
      <c r="AB3824" s="390"/>
    </row>
    <row r="3825" spans="1:28">
      <c r="A3825" s="384" t="str">
        <f t="shared" ref="A3825:B3825" si="12320">A3805</f>
        <v>Lantai 2</v>
      </c>
      <c r="B3825" s="385">
        <f t="shared" si="12320"/>
        <v>40</v>
      </c>
      <c r="C3825" s="393" t="s">
        <v>211</v>
      </c>
      <c r="D3825" s="398">
        <f>VLOOKUP(D3805,'Detail Balok'!$C$10:$AU$140,31,FALSE)</f>
        <v>0</v>
      </c>
      <c r="E3825" s="388" t="s">
        <v>16</v>
      </c>
      <c r="F3825" s="388">
        <f>VLOOKUP(D3805,'Detail Balok'!$C$10:$AU$140,33,FALSE)</f>
        <v>10</v>
      </c>
      <c r="G3825" s="405" t="s">
        <v>157</v>
      </c>
      <c r="H3825" s="395">
        <f>VLOOKUP(D3805,'Detail Balok'!$C$10:$AU$140,35,FALSE)</f>
        <v>150</v>
      </c>
      <c r="I3825" s="388"/>
      <c r="J3825" s="400">
        <f t="shared" ref="J3825" si="12321">(IF(D3825=0,(2*(D3806+G3806))-(F$5*8),IF(D3825=3,(2*(D3806+G3806))-(F$5*8)+(G3806-2*F$5),IF(D3825=4,(2*(D3806+G3806))-(F$5*8)+2*(G3806-2*F$5)))))/1000</f>
        <v>1.08</v>
      </c>
      <c r="K3825" s="400" t="s">
        <v>204</v>
      </c>
      <c r="L3825" s="399">
        <f t="shared" ref="L3825:L3827" si="12322">IF(D3825=0,2*MAX(6*F3825,75),(D3825-1)*2*MAX(6*F3825,75))/1000</f>
        <v>0.15</v>
      </c>
      <c r="M3825" s="399" t="s">
        <v>176</v>
      </c>
      <c r="N3825" s="399">
        <f t="shared" ref="N3825:N3827" si="12323">J3825+L3825</f>
        <v>1.23</v>
      </c>
      <c r="O3825" s="399"/>
      <c r="P3825" s="389"/>
      <c r="Q3825" s="399"/>
      <c r="R3825" s="399"/>
      <c r="S3825" s="399"/>
      <c r="T3825" s="399" t="s">
        <v>125</v>
      </c>
      <c r="U3825" s="401">
        <f t="shared" ref="U3825:U3827" si="12324">0.006165*F3825^2</f>
        <v>0.61650000000000005</v>
      </c>
      <c r="V3825" s="399" t="s">
        <v>125</v>
      </c>
      <c r="W3825" s="399">
        <f t="shared" ref="W3825" si="12325">IF(D3808&gt;4*G3806,ROUND(MAX(D3808/4,2*G3806)/H3825,0)+1,ROUND(D3808/H3825,0)+1)</f>
        <v>12</v>
      </c>
      <c r="X3825" s="399" t="s">
        <v>125</v>
      </c>
      <c r="Y3825" s="389">
        <f t="shared" ref="Y3825" si="12326">D3811</f>
        <v>1</v>
      </c>
      <c r="Z3825" s="400" t="s">
        <v>176</v>
      </c>
      <c r="AA3825" s="402">
        <f t="shared" ref="AA3825:AA3827" si="12327">N3825*U3825*W3825*Y3825</f>
        <v>9.0995400000000011</v>
      </c>
      <c r="AB3825" s="403"/>
    </row>
    <row r="3826" spans="1:28">
      <c r="A3826" s="384" t="str">
        <f t="shared" ref="A3826:B3826" si="12328">A3805</f>
        <v>Lantai 2</v>
      </c>
      <c r="B3826" s="385">
        <f t="shared" si="12328"/>
        <v>40</v>
      </c>
      <c r="C3826" s="393" t="s">
        <v>212</v>
      </c>
      <c r="D3826" s="398">
        <f>VLOOKUP(D3805,'Detail Balok'!$C$10:$AU$140,36,FALSE)</f>
        <v>0</v>
      </c>
      <c r="E3826" s="388" t="s">
        <v>16</v>
      </c>
      <c r="F3826" s="388">
        <f>VLOOKUP(D3805,'Detail Balok'!$C$10:$AU$140,38,FALSE)</f>
        <v>10</v>
      </c>
      <c r="G3826" s="405" t="s">
        <v>157</v>
      </c>
      <c r="H3826" s="395">
        <f>VLOOKUP(D3805,'Detail Balok'!$C$10:$AU$140,40,FALSE)</f>
        <v>200</v>
      </c>
      <c r="I3826" s="388"/>
      <c r="J3826" s="400">
        <f t="shared" ref="J3826" si="12329">(IF(D3826=0,(2*(D3806+G3806))-(F$5*8),IF(D3826=3,(2*(D3806+G3806))-(F$5*8)+(G3806-2*F$5),IF(D3826=4,(2*(D3806+G3806))-(F$5*8)+2*(G3806-2*F$5)))))/1000</f>
        <v>1.08</v>
      </c>
      <c r="K3826" s="400" t="s">
        <v>204</v>
      </c>
      <c r="L3826" s="399">
        <f t="shared" si="12322"/>
        <v>0.15</v>
      </c>
      <c r="M3826" s="399" t="s">
        <v>176</v>
      </c>
      <c r="N3826" s="399">
        <f t="shared" si="12323"/>
        <v>1.23</v>
      </c>
      <c r="O3826" s="399"/>
      <c r="P3826" s="389"/>
      <c r="Q3826" s="399"/>
      <c r="R3826" s="399"/>
      <c r="S3826" s="399"/>
      <c r="T3826" s="399" t="s">
        <v>125</v>
      </c>
      <c r="U3826" s="401">
        <f t="shared" si="12324"/>
        <v>0.61650000000000005</v>
      </c>
      <c r="V3826" s="399" t="s">
        <v>125</v>
      </c>
      <c r="W3826" s="399">
        <f t="shared" ref="W3826" si="12330">IF(D3808-MAX(D3808/4,2*G3806)*2&gt;0,ROUND((D3808-MAX(D3808/4,2*G3806)*2)/H3826,0),0)</f>
        <v>0</v>
      </c>
      <c r="X3826" s="399" t="s">
        <v>125</v>
      </c>
      <c r="Y3826" s="389">
        <f t="shared" ref="Y3826" si="12331">D3811</f>
        <v>1</v>
      </c>
      <c r="Z3826" s="400" t="s">
        <v>176</v>
      </c>
      <c r="AA3826" s="402">
        <f t="shared" si="12327"/>
        <v>0</v>
      </c>
      <c r="AB3826" s="403"/>
    </row>
    <row r="3827" spans="1:28">
      <c r="A3827" s="384" t="str">
        <f t="shared" ref="A3827:B3827" si="12332">A3805</f>
        <v>Lantai 2</v>
      </c>
      <c r="B3827" s="385">
        <f t="shared" si="12332"/>
        <v>40</v>
      </c>
      <c r="C3827" s="393" t="s">
        <v>211</v>
      </c>
      <c r="D3827" s="398">
        <f>VLOOKUP(D3805,'Detail Balok'!$C$10:$AU$140,41,FALSE)</f>
        <v>0</v>
      </c>
      <c r="E3827" s="388" t="s">
        <v>16</v>
      </c>
      <c r="F3827" s="388">
        <f>VLOOKUP(D3805,'Detail Balok'!$C$10:$AU$140,43,FALSE)</f>
        <v>10</v>
      </c>
      <c r="G3827" s="405" t="s">
        <v>157</v>
      </c>
      <c r="H3827" s="395">
        <f>VLOOKUP(D3805,'Detail Balok'!$C$10:$AU$140,45,FALSE)</f>
        <v>150</v>
      </c>
      <c r="I3827" s="388"/>
      <c r="J3827" s="400">
        <f t="shared" ref="J3827" si="12333">(IF(D3827=0,(2*(D3806+G3806))-(F$5*8),IF(D3827=3,(2*(D3806+G3806))-(F$5*8)+(G3806-2*F$5),IF(D3827=4,(2*(D3806+G3806))-(F$5*8)+2*(G3806-2*F$5)))))/1000</f>
        <v>1.08</v>
      </c>
      <c r="K3827" s="400" t="s">
        <v>204</v>
      </c>
      <c r="L3827" s="399">
        <f t="shared" si="12322"/>
        <v>0.15</v>
      </c>
      <c r="M3827" s="399" t="s">
        <v>176</v>
      </c>
      <c r="N3827" s="399">
        <f t="shared" si="12323"/>
        <v>1.23</v>
      </c>
      <c r="O3827" s="399"/>
      <c r="P3827" s="389"/>
      <c r="Q3827" s="399"/>
      <c r="R3827" s="399"/>
      <c r="S3827" s="399"/>
      <c r="T3827" s="399" t="s">
        <v>125</v>
      </c>
      <c r="U3827" s="401">
        <f t="shared" si="12324"/>
        <v>0.61650000000000005</v>
      </c>
      <c r="V3827" s="399" t="s">
        <v>125</v>
      </c>
      <c r="W3827" s="399">
        <f t="shared" ref="W3827" si="12334">IF(D3808&gt;4*G3806,ROUND(MAX(D3808/4,2*G3806)/H3827,0)+1,0)</f>
        <v>0</v>
      </c>
      <c r="X3827" s="399" t="s">
        <v>125</v>
      </c>
      <c r="Y3827" s="389">
        <f t="shared" ref="Y3827" si="12335">D3811</f>
        <v>1</v>
      </c>
      <c r="Z3827" s="400" t="s">
        <v>176</v>
      </c>
      <c r="AA3827" s="402">
        <f t="shared" si="12327"/>
        <v>0</v>
      </c>
      <c r="AB3827" s="403"/>
    </row>
    <row r="3828" spans="1:28">
      <c r="A3828" s="384"/>
      <c r="B3828" s="385"/>
      <c r="C3828" s="393"/>
      <c r="D3828" s="394"/>
      <c r="E3828" s="388"/>
      <c r="F3828" s="388"/>
      <c r="G3828" s="388"/>
      <c r="H3828" s="395"/>
      <c r="I3828" s="388"/>
      <c r="J3828" s="399"/>
      <c r="K3828" s="396"/>
      <c r="L3828" s="396"/>
      <c r="M3828" s="396"/>
      <c r="N3828" s="396"/>
      <c r="O3828" s="396"/>
      <c r="P3828" s="389"/>
      <c r="Q3828" s="396"/>
      <c r="R3828" s="396"/>
      <c r="S3828" s="396"/>
      <c r="T3828" s="396"/>
      <c r="U3828" s="401"/>
      <c r="V3828" s="396"/>
      <c r="W3828" s="388"/>
      <c r="X3828" s="396"/>
      <c r="Y3828" s="389"/>
      <c r="Z3828" s="396"/>
      <c r="AA3828" s="388"/>
      <c r="AB3828" s="390"/>
    </row>
    <row r="3829" spans="1:28">
      <c r="A3829" s="384" t="str">
        <f t="shared" ref="A3829:B3829" si="12336">A3805</f>
        <v>Lantai 2</v>
      </c>
      <c r="B3829" s="385">
        <f t="shared" si="12336"/>
        <v>40</v>
      </c>
      <c r="C3829" s="393" t="s">
        <v>213</v>
      </c>
      <c r="D3829" s="398">
        <f>VLOOKUP(D3805,'Detail Balok'!$C$10:$BJ$140,46,FALSE)</f>
        <v>0</v>
      </c>
      <c r="E3829" s="388" t="s">
        <v>16</v>
      </c>
      <c r="F3829" s="388">
        <f>VLOOKUP(D3805,'Detail Balok'!$C$10:$BJ$140,48,FALSE)</f>
        <v>0</v>
      </c>
      <c r="G3829" s="405" t="s">
        <v>157</v>
      </c>
      <c r="H3829" s="395">
        <f>VLOOKUP(D3805,'Detail Balok'!$C$10:$BJ$140,50,FALSE)</f>
        <v>100</v>
      </c>
      <c r="I3829" s="388"/>
      <c r="J3829" s="399">
        <f t="shared" ref="J3829" si="12337">(D3806-2*F$5)/1000</f>
        <v>0.12</v>
      </c>
      <c r="K3829" s="400" t="s">
        <v>204</v>
      </c>
      <c r="L3829" s="399">
        <f t="shared" ref="L3829:L3831" si="12338">IF(D3829=0,2*MAX(6*F3829,75),(D3829-1)*2*MAX(6*F3829,75))/1000</f>
        <v>0.15</v>
      </c>
      <c r="M3829" s="399" t="s">
        <v>176</v>
      </c>
      <c r="N3829" s="399">
        <f t="shared" ref="N3829:N3831" si="12339">J3829+L3829</f>
        <v>0.27</v>
      </c>
      <c r="O3829" s="399"/>
      <c r="P3829" s="399"/>
      <c r="Q3829" s="399"/>
      <c r="R3829" s="399"/>
      <c r="S3829" s="399"/>
      <c r="T3829" s="399" t="s">
        <v>125</v>
      </c>
      <c r="U3829" s="401">
        <f t="shared" ref="U3829:U3831" si="12340">0.006165*F3829^2</f>
        <v>0</v>
      </c>
      <c r="V3829" s="399" t="s">
        <v>125</v>
      </c>
      <c r="W3829" s="399">
        <f t="shared" si="12152"/>
        <v>12</v>
      </c>
      <c r="X3829" s="399" t="s">
        <v>125</v>
      </c>
      <c r="Y3829" s="389">
        <f t="shared" ref="Y3829" si="12341">D3815</f>
        <v>4</v>
      </c>
      <c r="Z3829" s="400" t="s">
        <v>176</v>
      </c>
      <c r="AA3829" s="402">
        <f t="shared" ref="AA3829:AA3831" si="12342">N3829*U3829*W3829*Y3829</f>
        <v>0</v>
      </c>
      <c r="AB3829" s="403"/>
    </row>
    <row r="3830" spans="1:28">
      <c r="A3830" s="384" t="str">
        <f t="shared" ref="A3830:B3830" si="12343">A3805</f>
        <v>Lantai 2</v>
      </c>
      <c r="B3830" s="385">
        <f t="shared" si="12343"/>
        <v>40</v>
      </c>
      <c r="C3830" s="393" t="s">
        <v>214</v>
      </c>
      <c r="D3830" s="398">
        <f>VLOOKUP(D3805,'Detail Balok'!$C$10:$BJ$140,51,FALSE)</f>
        <v>0</v>
      </c>
      <c r="E3830" s="388" t="s">
        <v>16</v>
      </c>
      <c r="F3830" s="388">
        <f>VLOOKUP(D3805,'Detail Balok'!$C$10:$BJ$140,53,FALSE)</f>
        <v>0</v>
      </c>
      <c r="G3830" s="405" t="s">
        <v>157</v>
      </c>
      <c r="H3830" s="395">
        <f>VLOOKUP(D3805,'Detail Balok'!$C$10:$BJ$140,55,FALSE)</f>
        <v>100</v>
      </c>
      <c r="I3830" s="388"/>
      <c r="J3830" s="399">
        <f t="shared" ref="J3830" si="12344">(D3806-2*F$5)/1000</f>
        <v>0.12</v>
      </c>
      <c r="K3830" s="400" t="s">
        <v>204</v>
      </c>
      <c r="L3830" s="399">
        <f t="shared" si="12338"/>
        <v>0.15</v>
      </c>
      <c r="M3830" s="399" t="s">
        <v>176</v>
      </c>
      <c r="N3830" s="399">
        <f t="shared" si="12339"/>
        <v>0.27</v>
      </c>
      <c r="O3830" s="399"/>
      <c r="P3830" s="399"/>
      <c r="Q3830" s="399"/>
      <c r="R3830" s="399"/>
      <c r="S3830" s="399"/>
      <c r="T3830" s="399" t="s">
        <v>125</v>
      </c>
      <c r="U3830" s="401">
        <f t="shared" si="12340"/>
        <v>0</v>
      </c>
      <c r="V3830" s="399" t="s">
        <v>125</v>
      </c>
      <c r="W3830" s="399">
        <f t="shared" si="12152"/>
        <v>0</v>
      </c>
      <c r="X3830" s="399" t="s">
        <v>125</v>
      </c>
      <c r="Y3830" s="389">
        <f t="shared" ref="Y3830" si="12345">D3815</f>
        <v>4</v>
      </c>
      <c r="Z3830" s="400" t="s">
        <v>176</v>
      </c>
      <c r="AA3830" s="402">
        <f t="shared" si="12342"/>
        <v>0</v>
      </c>
      <c r="AB3830" s="403"/>
    </row>
    <row r="3831" spans="1:28">
      <c r="A3831" s="384" t="str">
        <f t="shared" ref="A3831:B3831" si="12346">A3805</f>
        <v>Lantai 2</v>
      </c>
      <c r="B3831" s="385">
        <f t="shared" si="12346"/>
        <v>40</v>
      </c>
      <c r="C3831" s="393" t="s">
        <v>213</v>
      </c>
      <c r="D3831" s="398">
        <f>VLOOKUP(D3805,'Detail Balok'!$C$10:$BJ$140,56,FALSE)</f>
        <v>0</v>
      </c>
      <c r="E3831" s="388" t="s">
        <v>16</v>
      </c>
      <c r="F3831" s="388">
        <f>VLOOKUP(D3805,'Detail Balok'!$C$10:$BJ$140,58,FALSE)</f>
        <v>0</v>
      </c>
      <c r="G3831" s="405" t="s">
        <v>157</v>
      </c>
      <c r="H3831" s="395">
        <f>VLOOKUP(D3805,'Detail Balok'!$C$10:$BJ$140,60,FALSE)</f>
        <v>100</v>
      </c>
      <c r="I3831" s="388"/>
      <c r="J3831" s="399">
        <f t="shared" ref="J3831" si="12347">(D3806-2*F$5)/1000</f>
        <v>0.12</v>
      </c>
      <c r="K3831" s="400" t="s">
        <v>204</v>
      </c>
      <c r="L3831" s="399">
        <f t="shared" si="12338"/>
        <v>0.15</v>
      </c>
      <c r="M3831" s="399" t="s">
        <v>176</v>
      </c>
      <c r="N3831" s="399">
        <f t="shared" si="12339"/>
        <v>0.27</v>
      </c>
      <c r="O3831" s="399"/>
      <c r="P3831" s="399"/>
      <c r="Q3831" s="399"/>
      <c r="R3831" s="399"/>
      <c r="S3831" s="399"/>
      <c r="T3831" s="399" t="s">
        <v>125</v>
      </c>
      <c r="U3831" s="401">
        <f t="shared" si="12340"/>
        <v>0</v>
      </c>
      <c r="V3831" s="399" t="s">
        <v>125</v>
      </c>
      <c r="W3831" s="399">
        <f t="shared" si="12152"/>
        <v>0</v>
      </c>
      <c r="X3831" s="399" t="s">
        <v>125</v>
      </c>
      <c r="Y3831" s="389">
        <f t="shared" ref="Y3831" si="12348">D3815</f>
        <v>4</v>
      </c>
      <c r="Z3831" s="400" t="s">
        <v>176</v>
      </c>
      <c r="AA3831" s="402">
        <f t="shared" si="12342"/>
        <v>0</v>
      </c>
      <c r="AB3831" s="403"/>
    </row>
    <row r="3832" spans="1:28">
      <c r="A3832" s="391"/>
      <c r="B3832" s="392"/>
      <c r="C3832" s="392"/>
      <c r="D3832" s="394"/>
      <c r="E3832" s="388"/>
      <c r="F3832" s="388"/>
      <c r="G3832" s="388"/>
      <c r="H3832" s="395"/>
      <c r="I3832" s="388"/>
      <c r="J3832" s="402"/>
      <c r="K3832" s="388"/>
      <c r="L3832" s="388"/>
      <c r="M3832" s="388"/>
      <c r="N3832" s="388"/>
      <c r="O3832" s="388"/>
      <c r="P3832" s="388"/>
      <c r="Q3832" s="388"/>
      <c r="R3832" s="388"/>
      <c r="S3832" s="388"/>
      <c r="T3832" s="388"/>
      <c r="U3832" s="388"/>
      <c r="V3832" s="388"/>
      <c r="W3832" s="388"/>
      <c r="X3832" s="388"/>
      <c r="Y3832" s="389"/>
      <c r="Z3832" s="388"/>
      <c r="AA3832" s="402"/>
      <c r="AB3832" s="403"/>
    </row>
    <row r="3833" spans="1:28" ht="15.75" thickBot="1">
      <c r="A3833" s="406"/>
      <c r="B3833" s="407"/>
      <c r="C3833" s="407"/>
      <c r="D3833" s="408"/>
      <c r="E3833" s="409"/>
      <c r="F3833" s="409"/>
      <c r="G3833" s="409"/>
      <c r="H3833" s="410"/>
      <c r="I3833" s="409"/>
      <c r="J3833" s="409"/>
      <c r="K3833" s="409"/>
      <c r="L3833" s="409"/>
      <c r="M3833" s="409"/>
      <c r="N3833" s="409"/>
      <c r="O3833" s="409"/>
      <c r="P3833" s="409"/>
      <c r="Q3833" s="409"/>
      <c r="R3833" s="409"/>
      <c r="S3833" s="409"/>
      <c r="T3833" s="409"/>
      <c r="U3833" s="409"/>
      <c r="V3833" s="409"/>
      <c r="W3833" s="409"/>
      <c r="X3833" s="409"/>
      <c r="Y3833" s="411"/>
      <c r="Z3833" s="409"/>
      <c r="AA3833" s="412"/>
      <c r="AB3833" s="413"/>
    </row>
    <row r="3834" spans="1:28">
      <c r="A3834" s="377"/>
      <c r="B3834" s="378"/>
      <c r="C3834" s="378"/>
      <c r="D3834" s="379"/>
      <c r="E3834" s="380"/>
      <c r="F3834" s="380"/>
      <c r="G3834" s="380"/>
      <c r="H3834" s="381"/>
      <c r="I3834" s="380"/>
      <c r="J3834" s="380"/>
      <c r="K3834" s="380"/>
      <c r="L3834" s="380"/>
      <c r="M3834" s="380"/>
      <c r="N3834" s="380"/>
      <c r="O3834" s="380"/>
      <c r="P3834" s="380"/>
      <c r="Q3834" s="380"/>
      <c r="R3834" s="380"/>
      <c r="S3834" s="380"/>
      <c r="T3834" s="380"/>
      <c r="U3834" s="380"/>
      <c r="V3834" s="380"/>
      <c r="W3834" s="380"/>
      <c r="X3834" s="380"/>
      <c r="Y3834" s="382"/>
      <c r="Z3834" s="380"/>
      <c r="AA3834" s="380"/>
      <c r="AB3834" s="383"/>
    </row>
    <row r="3835" spans="1:28">
      <c r="A3835" s="384" t="str">
        <f t="shared" si="12161"/>
        <v>Lantai 2</v>
      </c>
      <c r="B3835" s="385">
        <f t="shared" si="12162"/>
        <v>41</v>
      </c>
      <c r="C3835" s="386" t="str">
        <f t="shared" ref="C3835" si="12349">CONCATENATE(A3835," no. ",B3835)</f>
        <v>Lantai 2 no. 41</v>
      </c>
      <c r="D3835" s="2562" t="str">
        <f>VLOOKUP(C3835,'Data Panjang Balok'!$C$9:$N$254,2,FALSE)</f>
        <v>B25-1</v>
      </c>
      <c r="E3835" s="2576"/>
      <c r="F3835" s="2576"/>
      <c r="G3835" s="2576"/>
      <c r="H3835" s="2577"/>
      <c r="I3835" s="387"/>
      <c r="J3835" s="388"/>
      <c r="K3835" s="388"/>
      <c r="L3835" s="388"/>
      <c r="M3835" s="388"/>
      <c r="N3835" s="388"/>
      <c r="O3835" s="388"/>
      <c r="P3835" s="388"/>
      <c r="Q3835" s="388"/>
      <c r="R3835" s="388"/>
      <c r="S3835" s="388"/>
      <c r="T3835" s="388"/>
      <c r="U3835" s="388"/>
      <c r="V3835" s="388"/>
      <c r="W3835" s="388"/>
      <c r="X3835" s="388"/>
      <c r="Y3835" s="389"/>
      <c r="Z3835" s="388"/>
      <c r="AA3835" s="388"/>
      <c r="AB3835" s="390"/>
    </row>
    <row r="3836" spans="1:28">
      <c r="A3836" s="391"/>
      <c r="B3836" s="392"/>
      <c r="C3836" s="393" t="s">
        <v>118</v>
      </c>
      <c r="D3836" s="2578">
        <f>VLOOKUP(D3835,'Detail Balok'!$C$10:$AU$140,2,FALSE)</f>
        <v>200</v>
      </c>
      <c r="E3836" s="2579"/>
      <c r="F3836" s="388" t="s">
        <v>125</v>
      </c>
      <c r="G3836" s="2579">
        <f>VLOOKUP(D3835,'Detail Balok'!$C$10:$AU$140,3,FALSE)</f>
        <v>500</v>
      </c>
      <c r="H3836" s="2580"/>
      <c r="I3836" s="388"/>
      <c r="J3836" s="396"/>
      <c r="K3836" s="396"/>
      <c r="L3836" s="396"/>
      <c r="M3836" s="396"/>
      <c r="N3836" s="396"/>
      <c r="O3836" s="396"/>
      <c r="P3836" s="396"/>
      <c r="Q3836" s="396"/>
      <c r="R3836" s="396"/>
      <c r="S3836" s="396"/>
      <c r="T3836" s="396"/>
      <c r="U3836" s="388"/>
      <c r="V3836" s="396"/>
      <c r="W3836" s="388"/>
      <c r="X3836" s="396"/>
      <c r="Y3836" s="389"/>
      <c r="Z3836" s="396"/>
      <c r="AA3836" s="388"/>
      <c r="AB3836" s="390"/>
    </row>
    <row r="3837" spans="1:28">
      <c r="A3837" s="391"/>
      <c r="B3837" s="392"/>
      <c r="C3837" s="393" t="s">
        <v>198</v>
      </c>
      <c r="D3837" s="2562">
        <f>VLOOKUP(C3835,'Data Panjang Balok'!$C$9:$N$254,4,FALSE)</f>
        <v>22000</v>
      </c>
      <c r="E3837" s="2563"/>
      <c r="F3837" s="2563"/>
      <c r="G3837" s="2563"/>
      <c r="H3837" s="2564"/>
      <c r="I3837" s="397"/>
      <c r="J3837" s="396"/>
      <c r="K3837" s="396"/>
      <c r="L3837" s="396"/>
      <c r="M3837" s="396"/>
      <c r="N3837" s="396"/>
      <c r="O3837" s="396"/>
      <c r="P3837" s="396"/>
      <c r="Q3837" s="396"/>
      <c r="R3837" s="396"/>
      <c r="S3837" s="396"/>
      <c r="T3837" s="396"/>
      <c r="U3837" s="388"/>
      <c r="V3837" s="396"/>
      <c r="W3837" s="388"/>
      <c r="X3837" s="396"/>
      <c r="Y3837" s="389"/>
      <c r="Z3837" s="396"/>
      <c r="AA3837" s="388"/>
      <c r="AB3837" s="390"/>
    </row>
    <row r="3838" spans="1:28">
      <c r="A3838" s="391"/>
      <c r="B3838" s="392"/>
      <c r="C3838" s="393" t="s">
        <v>199</v>
      </c>
      <c r="D3838" s="2562">
        <f>VLOOKUP(C3835,'Data Panjang Balok'!$C$9:$N$254,7,FALSE)</f>
        <v>22000</v>
      </c>
      <c r="E3838" s="2563"/>
      <c r="F3838" s="2563"/>
      <c r="G3838" s="2563"/>
      <c r="H3838" s="2564"/>
      <c r="I3838" s="397"/>
      <c r="J3838" s="396"/>
      <c r="K3838" s="396"/>
      <c r="L3838" s="396"/>
      <c r="M3838" s="396"/>
      <c r="N3838" s="396"/>
      <c r="O3838" s="396"/>
      <c r="P3838" s="396"/>
      <c r="Q3838" s="396"/>
      <c r="R3838" s="396"/>
      <c r="S3838" s="396"/>
      <c r="T3838" s="396"/>
      <c r="U3838" s="388"/>
      <c r="V3838" s="396"/>
      <c r="W3838" s="388"/>
      <c r="X3838" s="396"/>
      <c r="Y3838" s="389"/>
      <c r="Z3838" s="396"/>
      <c r="AA3838" s="388"/>
      <c r="AB3838" s="390"/>
    </row>
    <row r="3839" spans="1:28">
      <c r="A3839" s="391"/>
      <c r="B3839" s="392"/>
      <c r="C3839" s="393" t="s">
        <v>200</v>
      </c>
      <c r="D3839" s="2562">
        <f>VLOOKUP(C3835,'Data Panjang Balok'!$C$9:$N$254,9,FALSE)</f>
        <v>0</v>
      </c>
      <c r="E3839" s="2563"/>
      <c r="F3839" s="2563"/>
      <c r="G3839" s="2563"/>
      <c r="H3839" s="2564"/>
      <c r="I3839" s="397"/>
      <c r="J3839" s="396"/>
      <c r="K3839" s="396"/>
      <c r="L3839" s="396"/>
      <c r="M3839" s="396"/>
      <c r="N3839" s="396"/>
      <c r="O3839" s="396"/>
      <c r="P3839" s="396"/>
      <c r="Q3839" s="396"/>
      <c r="R3839" s="396"/>
      <c r="S3839" s="396"/>
      <c r="T3839" s="396"/>
      <c r="U3839" s="388"/>
      <c r="V3839" s="396"/>
      <c r="W3839" s="388"/>
      <c r="X3839" s="396"/>
      <c r="Y3839" s="389"/>
      <c r="Z3839" s="396"/>
      <c r="AA3839" s="388"/>
      <c r="AB3839" s="390"/>
    </row>
    <row r="3840" spans="1:28">
      <c r="A3840" s="391"/>
      <c r="B3840" s="392"/>
      <c r="C3840" s="393" t="s">
        <v>201</v>
      </c>
      <c r="D3840" s="2562">
        <f>VLOOKUP(C3835,'Data Panjang Balok'!$C$9:$N$254,10,FALSE)</f>
        <v>0</v>
      </c>
      <c r="E3840" s="2563"/>
      <c r="F3840" s="2563"/>
      <c r="G3840" s="2563"/>
      <c r="H3840" s="2564"/>
      <c r="I3840" s="397"/>
      <c r="J3840" s="396"/>
      <c r="K3840" s="396"/>
      <c r="L3840" s="396"/>
      <c r="M3840" s="396"/>
      <c r="N3840" s="396"/>
      <c r="O3840" s="396"/>
      <c r="P3840" s="396"/>
      <c r="Q3840" s="396"/>
      <c r="R3840" s="396"/>
      <c r="S3840" s="396"/>
      <c r="T3840" s="396"/>
      <c r="U3840" s="388"/>
      <c r="V3840" s="396"/>
      <c r="W3840" s="388"/>
      <c r="X3840" s="396"/>
      <c r="Y3840" s="389"/>
      <c r="Z3840" s="396"/>
      <c r="AA3840" s="388"/>
      <c r="AB3840" s="390"/>
    </row>
    <row r="3841" spans="1:28">
      <c r="A3841" s="391"/>
      <c r="B3841" s="392"/>
      <c r="C3841" s="393" t="s">
        <v>48</v>
      </c>
      <c r="D3841" s="2562">
        <f>VLOOKUP(C3835,'Data Panjang Balok'!$C$9:$N$254,3,FALSE)</f>
        <v>1</v>
      </c>
      <c r="E3841" s="2563"/>
      <c r="F3841" s="2563"/>
      <c r="G3841" s="2563"/>
      <c r="H3841" s="2564"/>
      <c r="I3841" s="397"/>
      <c r="J3841" s="396"/>
      <c r="K3841" s="396"/>
      <c r="L3841" s="396"/>
      <c r="M3841" s="396"/>
      <c r="N3841" s="396"/>
      <c r="O3841" s="396"/>
      <c r="P3841" s="396"/>
      <c r="Q3841" s="396"/>
      <c r="R3841" s="396"/>
      <c r="S3841" s="396"/>
      <c r="T3841" s="396"/>
      <c r="U3841" s="388"/>
      <c r="V3841" s="396"/>
      <c r="W3841" s="388"/>
      <c r="X3841" s="396"/>
      <c r="Y3841" s="389"/>
      <c r="Z3841" s="396"/>
      <c r="AA3841" s="388"/>
      <c r="AB3841" s="390"/>
    </row>
    <row r="3842" spans="1:28">
      <c r="A3842" s="384" t="str">
        <f t="shared" ref="A3842:B3842" si="12350">A3835</f>
        <v>Lantai 2</v>
      </c>
      <c r="B3842" s="385">
        <f t="shared" si="12350"/>
        <v>41</v>
      </c>
      <c r="C3842" s="393" t="s">
        <v>202</v>
      </c>
      <c r="D3842" s="398">
        <f>VLOOKUP(D3835,'Detail Balok'!$C$10:$AU$140,4,FALSE)</f>
        <v>4</v>
      </c>
      <c r="E3842" s="388" t="s">
        <v>16</v>
      </c>
      <c r="F3842" s="388">
        <f>VLOOKUP(D3835,'Detail Balok'!$C$10:$AU$140,6,FALSE)</f>
        <v>16</v>
      </c>
      <c r="G3842" s="388"/>
      <c r="H3842" s="395"/>
      <c r="I3842" s="388" t="s">
        <v>203</v>
      </c>
      <c r="J3842" s="399">
        <f t="shared" ref="J3842" si="12351">+D3837/4/1000</f>
        <v>5.5</v>
      </c>
      <c r="K3842" s="400" t="s">
        <v>204</v>
      </c>
      <c r="L3842" s="399">
        <f t="shared" ref="L3842" si="12352">MAX(VLOOKUP(F3842,N$6:P$15,3,FALSE)/1000,2/3*D3839/1000)+F$16*F3842/1000</f>
        <v>0.192</v>
      </c>
      <c r="M3842" s="399" t="s">
        <v>176</v>
      </c>
      <c r="N3842" s="399">
        <f t="shared" ref="N3842:N3844" si="12353">J3842+L3842</f>
        <v>5.6920000000000002</v>
      </c>
      <c r="O3842" s="399" t="s">
        <v>204</v>
      </c>
      <c r="P3842" s="389">
        <f t="shared" ref="P3842" si="12354">D3842-D3843</f>
        <v>0</v>
      </c>
      <c r="Q3842" s="399" t="s">
        <v>125</v>
      </c>
      <c r="R3842" s="399">
        <f t="shared" ref="R3842" si="12355">IF(P3842&gt;0,$F$18*F3842/1000,0)</f>
        <v>0</v>
      </c>
      <c r="S3842" s="399" t="s">
        <v>205</v>
      </c>
      <c r="T3842" s="399" t="s">
        <v>125</v>
      </c>
      <c r="U3842" s="401">
        <f t="shared" ref="U3842:U3844" si="12356">0.006165*F3842^2</f>
        <v>1.5782400000000001</v>
      </c>
      <c r="V3842" s="399"/>
      <c r="W3842" s="399"/>
      <c r="X3842" s="399" t="s">
        <v>125</v>
      </c>
      <c r="Y3842" s="389">
        <f t="shared" ref="Y3842" si="12357">D3841</f>
        <v>1</v>
      </c>
      <c r="Z3842" s="400" t="s">
        <v>176</v>
      </c>
      <c r="AA3842" s="402">
        <f t="shared" ref="AA3842" si="12358">IF(AA3845=0,(D3842*N3842+P3842*R3842)*U3842*Y3842,0)</f>
        <v>0</v>
      </c>
      <c r="AB3842" s="403"/>
    </row>
    <row r="3843" spans="1:28">
      <c r="A3843" s="384" t="str">
        <f t="shared" ref="A3843:B3843" si="12359">A3835</f>
        <v>Lantai 2</v>
      </c>
      <c r="B3843" s="385">
        <f t="shared" si="12359"/>
        <v>41</v>
      </c>
      <c r="C3843" s="393" t="s">
        <v>206</v>
      </c>
      <c r="D3843" s="398">
        <f>VLOOKUP(D3835,'Detail Balok'!$C$10:$AU$140,7,FALSE)</f>
        <v>4</v>
      </c>
      <c r="E3843" s="388" t="s">
        <v>16</v>
      </c>
      <c r="F3843" s="388">
        <f>VLOOKUP(D3835,'Detail Balok'!$C$10:$AU$140,9,FALSE)</f>
        <v>16</v>
      </c>
      <c r="G3843" s="388"/>
      <c r="H3843" s="395"/>
      <c r="I3843" s="388" t="s">
        <v>203</v>
      </c>
      <c r="J3843" s="399">
        <f t="shared" ref="J3843" si="12360">+D3837/2/1000</f>
        <v>11</v>
      </c>
      <c r="K3843" s="400" t="s">
        <v>204</v>
      </c>
      <c r="L3843" s="399"/>
      <c r="M3843" s="399" t="s">
        <v>176</v>
      </c>
      <c r="N3843" s="399">
        <f t="shared" si="12353"/>
        <v>11</v>
      </c>
      <c r="O3843" s="399" t="s">
        <v>204</v>
      </c>
      <c r="P3843" s="389">
        <f t="shared" ref="P3843" si="12361">MAX(D3843-D3842,D3843-D3844)</f>
        <v>0</v>
      </c>
      <c r="Q3843" s="399" t="s">
        <v>125</v>
      </c>
      <c r="R3843" s="399">
        <f t="shared" ref="R3843" si="12362">IF(P3843&gt;0,2*(1-2*$F$19-1/2)*D3838/1000,0)</f>
        <v>0</v>
      </c>
      <c r="S3843" s="399" t="s">
        <v>205</v>
      </c>
      <c r="T3843" s="399" t="s">
        <v>125</v>
      </c>
      <c r="U3843" s="401">
        <f t="shared" si="12356"/>
        <v>1.5782400000000001</v>
      </c>
      <c r="V3843" s="399"/>
      <c r="W3843" s="399"/>
      <c r="X3843" s="399" t="s">
        <v>125</v>
      </c>
      <c r="Y3843" s="389">
        <f t="shared" ref="Y3843" si="12363">D3841</f>
        <v>1</v>
      </c>
      <c r="Z3843" s="400" t="s">
        <v>176</v>
      </c>
      <c r="AA3843" s="402">
        <f t="shared" ref="AA3843" si="12364">IF(AA3845=0,(D3843*N3843+P3843*R3843)*U3843*Y3843,0)</f>
        <v>0</v>
      </c>
      <c r="AB3843" s="403"/>
    </row>
    <row r="3844" spans="1:28">
      <c r="A3844" s="384" t="str">
        <f t="shared" ref="A3844:B3844" si="12365">A3835</f>
        <v>Lantai 2</v>
      </c>
      <c r="B3844" s="385">
        <f t="shared" si="12365"/>
        <v>41</v>
      </c>
      <c r="C3844" s="393" t="s">
        <v>202</v>
      </c>
      <c r="D3844" s="398">
        <f>VLOOKUP(D3835,'Detail Balok'!$C$10:$AU$140,10,FALSE)</f>
        <v>4</v>
      </c>
      <c r="E3844" s="388" t="s">
        <v>16</v>
      </c>
      <c r="F3844" s="388">
        <f>VLOOKUP(D3835,'Detail Balok'!$C$10:$AU$140,12,FALSE)</f>
        <v>16</v>
      </c>
      <c r="G3844" s="388"/>
      <c r="H3844" s="395"/>
      <c r="I3844" s="388" t="s">
        <v>203</v>
      </c>
      <c r="J3844" s="399">
        <f t="shared" ref="J3844" si="12366">+D3837/4/1000</f>
        <v>5.5</v>
      </c>
      <c r="K3844" s="400" t="s">
        <v>204</v>
      </c>
      <c r="L3844" s="399">
        <f t="shared" ref="L3844" si="12367">MAX(VLOOKUP(F3844,N$6:P$15,3,FALSE)/1000,2/3*D3839/1000)+F$16*F3844/1000</f>
        <v>0.192</v>
      </c>
      <c r="M3844" s="399" t="s">
        <v>176</v>
      </c>
      <c r="N3844" s="399">
        <f t="shared" si="12353"/>
        <v>5.6920000000000002</v>
      </c>
      <c r="O3844" s="399" t="s">
        <v>204</v>
      </c>
      <c r="P3844" s="389">
        <f t="shared" ref="P3844" si="12368">D3844-D3843</f>
        <v>0</v>
      </c>
      <c r="Q3844" s="399" t="s">
        <v>125</v>
      </c>
      <c r="R3844" s="399">
        <f t="shared" ref="R3844" si="12369">IF(P3844&gt;0,$F$18*F3844/1000,0)</f>
        <v>0</v>
      </c>
      <c r="S3844" s="399" t="s">
        <v>205</v>
      </c>
      <c r="T3844" s="399" t="s">
        <v>125</v>
      </c>
      <c r="U3844" s="401">
        <f t="shared" si="12356"/>
        <v>1.5782400000000001</v>
      </c>
      <c r="V3844" s="399"/>
      <c r="W3844" s="399"/>
      <c r="X3844" s="399" t="s">
        <v>125</v>
      </c>
      <c r="Y3844" s="389">
        <f t="shared" ref="Y3844" si="12370">D3841</f>
        <v>1</v>
      </c>
      <c r="Z3844" s="400" t="s">
        <v>176</v>
      </c>
      <c r="AA3844" s="402">
        <f t="shared" ref="AA3844" si="12371">IF(AA3845=0,(D3844*N3844+P3844*R3844)*U3844*Y3844,0)</f>
        <v>0</v>
      </c>
      <c r="AB3844" s="403"/>
    </row>
    <row r="3845" spans="1:28">
      <c r="A3845" s="384" t="str">
        <f t="shared" ref="A3845:B3845" si="12372">A3835</f>
        <v>Lantai 2</v>
      </c>
      <c r="B3845" s="385">
        <f t="shared" si="12372"/>
        <v>41</v>
      </c>
      <c r="C3845" s="393"/>
      <c r="D3845" s="398">
        <f t="shared" ref="D3845" si="12373">IF(AND(D3842=D3843,D3843=D3844,D3842=D3844),D3842,0)</f>
        <v>4</v>
      </c>
      <c r="E3845" s="388" t="s">
        <v>16</v>
      </c>
      <c r="F3845" s="388">
        <f t="shared" ref="F3845" si="12374">IF(AND(F3842=F3843,F3842=F3844,F3843=F3844),F3842,0)</f>
        <v>16</v>
      </c>
      <c r="G3845" s="388"/>
      <c r="H3845" s="395"/>
      <c r="I3845" s="388"/>
      <c r="J3845" s="396"/>
      <c r="K3845" s="396"/>
      <c r="L3845" s="404" t="s">
        <v>207</v>
      </c>
      <c r="M3845" s="399" t="s">
        <v>176</v>
      </c>
      <c r="N3845" s="399">
        <f t="shared" ref="N3845" si="12375">IF(AND(D3842=D3843,D3842=D3844,D3843=D3844,F3842=F3843,F3842=F3844,F3843=F3844),SUM(N3842:N3844),0)</f>
        <v>22.384</v>
      </c>
      <c r="O3845" s="399" t="s">
        <v>204</v>
      </c>
      <c r="P3845" s="389">
        <f t="shared" ref="P3845" si="12376">IF(N3845&gt;12,ROUNDDOWN(N3845/12,0),0)</f>
        <v>1</v>
      </c>
      <c r="Q3845" s="399" t="s">
        <v>125</v>
      </c>
      <c r="R3845" s="399">
        <f t="shared" ref="R3845" si="12377">IF(P3845&gt;0,MAX(VLOOKUP(F3845,$D$6:$G$15,3,FALSE),600),0)/1000</f>
        <v>0.8</v>
      </c>
      <c r="S3845" s="396"/>
      <c r="T3845" s="396" t="s">
        <v>125</v>
      </c>
      <c r="U3845" s="401">
        <f t="shared" ref="U3845" si="12378">U3844</f>
        <v>1.5782400000000001</v>
      </c>
      <c r="V3845" s="396" t="s">
        <v>125</v>
      </c>
      <c r="W3845" s="399">
        <f t="shared" ref="W3845" si="12379">D3845</f>
        <v>4</v>
      </c>
      <c r="X3845" s="399" t="s">
        <v>125</v>
      </c>
      <c r="Y3845" s="389">
        <f t="shared" ref="Y3845" si="12380">Y3844</f>
        <v>1</v>
      </c>
      <c r="Z3845" s="400" t="s">
        <v>176</v>
      </c>
      <c r="AA3845" s="402">
        <f t="shared" ref="AA3845" si="12381">(N3845+P3845*R3845/1000)*U3845*W3845*Y3845</f>
        <v>141.31434700800003</v>
      </c>
      <c r="AB3845" s="390"/>
    </row>
    <row r="3846" spans="1:28">
      <c r="A3846" s="384"/>
      <c r="B3846" s="385"/>
      <c r="C3846" s="393"/>
      <c r="D3846" s="398"/>
      <c r="E3846" s="388"/>
      <c r="F3846" s="388"/>
      <c r="G3846" s="388"/>
      <c r="H3846" s="395"/>
      <c r="I3846" s="388"/>
      <c r="J3846" s="396"/>
      <c r="K3846" s="396"/>
      <c r="L3846" s="404"/>
      <c r="M3846" s="399"/>
      <c r="N3846" s="399"/>
      <c r="O3846" s="396"/>
      <c r="P3846" s="389"/>
      <c r="Q3846" s="396"/>
      <c r="R3846" s="396"/>
      <c r="S3846" s="396"/>
      <c r="T3846" s="396"/>
      <c r="U3846" s="401"/>
      <c r="V3846" s="396"/>
      <c r="W3846" s="399"/>
      <c r="X3846" s="396"/>
      <c r="Y3846" s="389"/>
      <c r="Z3846" s="396"/>
      <c r="AA3846" s="388"/>
      <c r="AB3846" s="390"/>
    </row>
    <row r="3847" spans="1:28">
      <c r="A3847" s="384" t="str">
        <f t="shared" ref="A3847:B3847" si="12382">A3835</f>
        <v>Lantai 2</v>
      </c>
      <c r="B3847" s="385">
        <f t="shared" si="12382"/>
        <v>41</v>
      </c>
      <c r="C3847" s="393" t="s">
        <v>208</v>
      </c>
      <c r="D3847" s="398">
        <f>VLOOKUP(D3835,'Detail Balok'!$C$10:$AU$140,13,FALSE)</f>
        <v>2</v>
      </c>
      <c r="E3847" s="388" t="s">
        <v>16</v>
      </c>
      <c r="F3847" s="388">
        <f>VLOOKUP(D3835,'Detail Balok'!$C$10:$AU$140,15,FALSE)</f>
        <v>10</v>
      </c>
      <c r="G3847" s="388"/>
      <c r="H3847" s="395"/>
      <c r="I3847" s="388"/>
      <c r="J3847" s="399">
        <f t="shared" ref="J3847" si="12383">+D3837/1000</f>
        <v>22</v>
      </c>
      <c r="K3847" s="400" t="s">
        <v>204</v>
      </c>
      <c r="L3847" s="399">
        <f t="shared" ref="L3847" si="12384">2*$F$16*F3847/1000</f>
        <v>0.24</v>
      </c>
      <c r="M3847" s="399" t="s">
        <v>176</v>
      </c>
      <c r="N3847" s="399">
        <f t="shared" ref="N3847" si="12385">J3847+L3847</f>
        <v>22.24</v>
      </c>
      <c r="O3847" s="399" t="s">
        <v>204</v>
      </c>
      <c r="P3847" s="389">
        <f t="shared" ref="P3847" si="12386">IF(N3847&gt;12,ROUNDDOWN(N3847/12,0),0)</f>
        <v>1</v>
      </c>
      <c r="Q3847" s="399" t="s">
        <v>125</v>
      </c>
      <c r="R3847" s="399">
        <f t="shared" ref="R3847" si="12387">IF(P3847&gt;0,MAX(VLOOKUP(F3847,$D$6:$G$15,3,FALSE),600),0)/1000</f>
        <v>0.6</v>
      </c>
      <c r="S3847" s="399"/>
      <c r="T3847" s="399" t="s">
        <v>125</v>
      </c>
      <c r="U3847" s="401">
        <f t="shared" ref="U3847" si="12388">0.006165*F3847^2</f>
        <v>0.61650000000000005</v>
      </c>
      <c r="V3847" s="399" t="s">
        <v>125</v>
      </c>
      <c r="W3847" s="399">
        <f t="shared" ref="W3847" si="12389">+D3847</f>
        <v>2</v>
      </c>
      <c r="X3847" s="399" t="s">
        <v>125</v>
      </c>
      <c r="Y3847" s="389">
        <f t="shared" ref="Y3847" si="12390">D3841</f>
        <v>1</v>
      </c>
      <c r="Z3847" s="400" t="s">
        <v>176</v>
      </c>
      <c r="AA3847" s="402">
        <f t="shared" ref="AA3847" si="12391">(N3847+P3847*R3847/1000)*U3847*W3847*Y3847</f>
        <v>27.422659799999998</v>
      </c>
      <c r="AB3847" s="403"/>
    </row>
    <row r="3848" spans="1:28">
      <c r="A3848" s="384"/>
      <c r="B3848" s="385"/>
      <c r="C3848" s="393"/>
      <c r="D3848" s="398"/>
      <c r="E3848" s="388"/>
      <c r="F3848" s="388"/>
      <c r="G3848" s="388"/>
      <c r="H3848" s="395"/>
      <c r="I3848" s="388"/>
      <c r="J3848" s="399"/>
      <c r="K3848" s="400"/>
      <c r="L3848" s="399"/>
      <c r="M3848" s="399"/>
      <c r="N3848" s="399"/>
      <c r="O3848" s="399"/>
      <c r="P3848" s="389"/>
      <c r="Q3848" s="399"/>
      <c r="R3848" s="399"/>
      <c r="S3848" s="399"/>
      <c r="T3848" s="399"/>
      <c r="U3848" s="401"/>
      <c r="V3848" s="399"/>
      <c r="W3848" s="399"/>
      <c r="X3848" s="399"/>
      <c r="Y3848" s="389"/>
      <c r="Z3848" s="400"/>
      <c r="AA3848" s="402"/>
      <c r="AB3848" s="403"/>
    </row>
    <row r="3849" spans="1:28">
      <c r="A3849" s="384"/>
      <c r="B3849" s="385"/>
      <c r="C3849" s="393"/>
      <c r="D3849" s="398"/>
      <c r="E3849" s="388"/>
      <c r="F3849" s="388"/>
      <c r="G3849" s="388"/>
      <c r="H3849" s="395"/>
      <c r="I3849" s="388"/>
      <c r="J3849" s="396"/>
      <c r="K3849" s="396"/>
      <c r="L3849" s="396"/>
      <c r="M3849" s="396"/>
      <c r="N3849" s="396"/>
      <c r="O3849" s="396"/>
      <c r="P3849" s="389"/>
      <c r="Q3849" s="396"/>
      <c r="R3849" s="396"/>
      <c r="S3849" s="396"/>
      <c r="T3849" s="396"/>
      <c r="U3849" s="401"/>
      <c r="V3849" s="396"/>
      <c r="W3849" s="399"/>
      <c r="X3849" s="396"/>
      <c r="Y3849" s="389"/>
      <c r="Z3849" s="396"/>
      <c r="AA3849" s="388"/>
      <c r="AB3849" s="390"/>
    </row>
    <row r="3850" spans="1:28">
      <c r="A3850" s="384" t="str">
        <f t="shared" ref="A3850:B3850" si="12392">A3835</f>
        <v>Lantai 2</v>
      </c>
      <c r="B3850" s="385">
        <f t="shared" si="12392"/>
        <v>41</v>
      </c>
      <c r="C3850" s="393" t="s">
        <v>209</v>
      </c>
      <c r="D3850" s="398">
        <f>VLOOKUP(D3835,'Detail Balok'!$C$10:$AU$140,22,FALSE)</f>
        <v>4</v>
      </c>
      <c r="E3850" s="388" t="s">
        <v>16</v>
      </c>
      <c r="F3850" s="388">
        <f>VLOOKUP(D3835,'Detail Balok'!$C$10:$AU$140,24,FALSE)</f>
        <v>16</v>
      </c>
      <c r="G3850" s="388"/>
      <c r="H3850" s="395"/>
      <c r="I3850" s="388" t="s">
        <v>203</v>
      </c>
      <c r="J3850" s="399">
        <f t="shared" ref="J3850:J3852" si="12393">+J3842</f>
        <v>5.5</v>
      </c>
      <c r="K3850" s="400" t="s">
        <v>204</v>
      </c>
      <c r="L3850" s="399">
        <f t="shared" ref="L3850" si="12394">MAX(VLOOKUP(F3850,N$6:P$15,3,FALSE)/1000,2/3*D3840/1000)+F$16*F3850/1000</f>
        <v>0.192</v>
      </c>
      <c r="M3850" s="399" t="s">
        <v>176</v>
      </c>
      <c r="N3850" s="399">
        <f t="shared" ref="N3850:N3852" si="12395">J3850+L3850</f>
        <v>5.6920000000000002</v>
      </c>
      <c r="O3850" s="399" t="s">
        <v>204</v>
      </c>
      <c r="P3850" s="389">
        <f t="shared" ref="P3850" si="12396">D3850-D3851</f>
        <v>0</v>
      </c>
      <c r="Q3850" s="399" t="s">
        <v>125</v>
      </c>
      <c r="R3850" s="399">
        <f t="shared" ref="R3850" si="12397">IF(P3850&gt;0,$F$18*F3850/1000,0)</f>
        <v>0</v>
      </c>
      <c r="S3850" s="399" t="s">
        <v>205</v>
      </c>
      <c r="T3850" s="399" t="s">
        <v>125</v>
      </c>
      <c r="U3850" s="401">
        <f t="shared" ref="U3850:U3852" si="12398">0.006165*F3850^2</f>
        <v>1.5782400000000001</v>
      </c>
      <c r="V3850" s="399"/>
      <c r="W3850" s="399"/>
      <c r="X3850" s="399" t="s">
        <v>125</v>
      </c>
      <c r="Y3850" s="389">
        <f t="shared" ref="Y3850" si="12399">D3841</f>
        <v>1</v>
      </c>
      <c r="Z3850" s="400" t="s">
        <v>176</v>
      </c>
      <c r="AA3850" s="402">
        <f t="shared" ref="AA3850" si="12400">IF(AA3853=0,(D3850*N3850+P3850*R3850)*U3850*Y3850,0)</f>
        <v>0</v>
      </c>
      <c r="AB3850" s="403"/>
    </row>
    <row r="3851" spans="1:28">
      <c r="A3851" s="384" t="str">
        <f t="shared" ref="A3851:B3851" si="12401">A3835</f>
        <v>Lantai 2</v>
      </c>
      <c r="B3851" s="385">
        <f t="shared" si="12401"/>
        <v>41</v>
      </c>
      <c r="C3851" s="393" t="s">
        <v>210</v>
      </c>
      <c r="D3851" s="398">
        <f>VLOOKUP(D3835,'Detail Balok'!$C$10:$AU$140,25,FALSE)</f>
        <v>4</v>
      </c>
      <c r="E3851" s="388" t="s">
        <v>16</v>
      </c>
      <c r="F3851" s="388">
        <f>VLOOKUP(D3835,'Detail Balok'!$C$10:$AU$140,27,FALSE)</f>
        <v>16</v>
      </c>
      <c r="G3851" s="388"/>
      <c r="H3851" s="395"/>
      <c r="I3851" s="388" t="s">
        <v>203</v>
      </c>
      <c r="J3851" s="399">
        <f t="shared" si="12393"/>
        <v>11</v>
      </c>
      <c r="K3851" s="400" t="s">
        <v>204</v>
      </c>
      <c r="L3851" s="399"/>
      <c r="M3851" s="399" t="s">
        <v>176</v>
      </c>
      <c r="N3851" s="399">
        <f t="shared" si="12395"/>
        <v>11</v>
      </c>
      <c r="O3851" s="399" t="s">
        <v>204</v>
      </c>
      <c r="P3851" s="389">
        <f t="shared" ref="P3851" si="12402">MAX(D3851-D3850,D3851-D3852)</f>
        <v>0</v>
      </c>
      <c r="Q3851" s="399" t="s">
        <v>125</v>
      </c>
      <c r="R3851" s="399">
        <f t="shared" ref="R3851" si="12403">IF(P3851&gt;0,2*(1-2*$F$19-1/2)*D3838/1000,0)</f>
        <v>0</v>
      </c>
      <c r="S3851" s="399" t="s">
        <v>205</v>
      </c>
      <c r="T3851" s="399" t="s">
        <v>125</v>
      </c>
      <c r="U3851" s="401">
        <f t="shared" si="12398"/>
        <v>1.5782400000000001</v>
      </c>
      <c r="V3851" s="399"/>
      <c r="W3851" s="399"/>
      <c r="X3851" s="399" t="s">
        <v>125</v>
      </c>
      <c r="Y3851" s="389">
        <f t="shared" ref="Y3851" si="12404">D3841</f>
        <v>1</v>
      </c>
      <c r="Z3851" s="400" t="s">
        <v>176</v>
      </c>
      <c r="AA3851" s="402">
        <f t="shared" ref="AA3851" si="12405">IF(AA3853=0,(D3851*N3851+P3851*R3851)*U3851*Y3851,0)</f>
        <v>0</v>
      </c>
      <c r="AB3851" s="403"/>
    </row>
    <row r="3852" spans="1:28">
      <c r="A3852" s="384" t="str">
        <f t="shared" ref="A3852:B3852" si="12406">A3835</f>
        <v>Lantai 2</v>
      </c>
      <c r="B3852" s="385">
        <f t="shared" si="12406"/>
        <v>41</v>
      </c>
      <c r="C3852" s="393" t="s">
        <v>209</v>
      </c>
      <c r="D3852" s="398">
        <f>VLOOKUP(D3835,'Detail Balok'!$C$10:$AU$140,28,FALSE)</f>
        <v>4</v>
      </c>
      <c r="E3852" s="388" t="s">
        <v>16</v>
      </c>
      <c r="F3852" s="388">
        <f>VLOOKUP(D3835,'Detail Balok'!$C$10:$AU$140,30,FALSE)</f>
        <v>16</v>
      </c>
      <c r="G3852" s="388"/>
      <c r="H3852" s="395"/>
      <c r="I3852" s="388" t="s">
        <v>203</v>
      </c>
      <c r="J3852" s="399">
        <f t="shared" si="12393"/>
        <v>5.5</v>
      </c>
      <c r="K3852" s="400" t="s">
        <v>204</v>
      </c>
      <c r="L3852" s="399">
        <f t="shared" ref="L3852" si="12407">MAX(VLOOKUP(F3852,N$6:P$15,3,FALSE)/1000,2/3*D3840/1000)+F$16*F3852/1000</f>
        <v>0.192</v>
      </c>
      <c r="M3852" s="399" t="s">
        <v>176</v>
      </c>
      <c r="N3852" s="399">
        <f t="shared" si="12395"/>
        <v>5.6920000000000002</v>
      </c>
      <c r="O3852" s="399" t="s">
        <v>204</v>
      </c>
      <c r="P3852" s="389">
        <f t="shared" ref="P3852" si="12408">D3852-D3851</f>
        <v>0</v>
      </c>
      <c r="Q3852" s="399" t="s">
        <v>125</v>
      </c>
      <c r="R3852" s="399">
        <f t="shared" ref="R3852" si="12409">IF(P3852&gt;0,$F$18*F3852/1000,0)</f>
        <v>0</v>
      </c>
      <c r="S3852" s="399" t="s">
        <v>205</v>
      </c>
      <c r="T3852" s="399" t="s">
        <v>125</v>
      </c>
      <c r="U3852" s="401">
        <f t="shared" si="12398"/>
        <v>1.5782400000000001</v>
      </c>
      <c r="V3852" s="399"/>
      <c r="W3852" s="399"/>
      <c r="X3852" s="399" t="s">
        <v>125</v>
      </c>
      <c r="Y3852" s="389">
        <f t="shared" ref="Y3852" si="12410">D3841</f>
        <v>1</v>
      </c>
      <c r="Z3852" s="400" t="s">
        <v>176</v>
      </c>
      <c r="AA3852" s="402">
        <f t="shared" ref="AA3852" si="12411">IF(AA3853=0,(D3852*N3852+P3852*R3852)*U3852*Y3852,0)</f>
        <v>0</v>
      </c>
      <c r="AB3852" s="403"/>
    </row>
    <row r="3853" spans="1:28">
      <c r="A3853" s="384" t="str">
        <f t="shared" ref="A3853:B3853" si="12412">A3835</f>
        <v>Lantai 2</v>
      </c>
      <c r="B3853" s="385">
        <f t="shared" si="12412"/>
        <v>41</v>
      </c>
      <c r="C3853" s="393"/>
      <c r="D3853" s="398">
        <f t="shared" ref="D3853" si="12413">IF(AND(D3850=D3851,D3851=D3852,D3850=D3852),D3850,0)</f>
        <v>4</v>
      </c>
      <c r="E3853" s="388" t="s">
        <v>16</v>
      </c>
      <c r="F3853" s="388">
        <f t="shared" ref="F3853" si="12414">IF(AND(F3850=F3851,F3850=F3852,F3851=F3852),F3850,0)</f>
        <v>16</v>
      </c>
      <c r="G3853" s="388"/>
      <c r="H3853" s="395"/>
      <c r="I3853" s="388"/>
      <c r="J3853" s="396"/>
      <c r="K3853" s="396"/>
      <c r="L3853" s="404" t="s">
        <v>207</v>
      </c>
      <c r="M3853" s="399" t="s">
        <v>176</v>
      </c>
      <c r="N3853" s="399">
        <f t="shared" ref="N3853" si="12415">IF(AND(D3850=D3851,D3850=D3852,D3851=D3852,F3850=F3851,F3850=F3852,F3851=F3852),SUM(N3850:N3852),0)</f>
        <v>22.384</v>
      </c>
      <c r="O3853" s="399" t="s">
        <v>204</v>
      </c>
      <c r="P3853" s="389">
        <f t="shared" ref="P3853" si="12416">IF(N3853&gt;12,ROUNDDOWN(N3853/12,0),0)</f>
        <v>1</v>
      </c>
      <c r="Q3853" s="399" t="s">
        <v>125</v>
      </c>
      <c r="R3853" s="399">
        <f t="shared" ref="R3853" si="12417">IF(P3853&gt;0,MAX(VLOOKUP(F3853,$D$6:$G$15,3,FALSE),600),0)/1000</f>
        <v>0.8</v>
      </c>
      <c r="S3853" s="396"/>
      <c r="T3853" s="396" t="s">
        <v>125</v>
      </c>
      <c r="U3853" s="401">
        <f t="shared" ref="U3853" si="12418">U3852</f>
        <v>1.5782400000000001</v>
      </c>
      <c r="V3853" s="396" t="s">
        <v>125</v>
      </c>
      <c r="W3853" s="399">
        <f t="shared" ref="W3853" si="12419">D3853</f>
        <v>4</v>
      </c>
      <c r="X3853" s="399" t="s">
        <v>125</v>
      </c>
      <c r="Y3853" s="389">
        <f t="shared" ref="Y3853" si="12420">Y3852</f>
        <v>1</v>
      </c>
      <c r="Z3853" s="400" t="s">
        <v>176</v>
      </c>
      <c r="AA3853" s="402">
        <f t="shared" ref="AA3853" si="12421">(N3853+P3853*R3853/1000)*U3853*W3853*Y3853</f>
        <v>141.31434700800003</v>
      </c>
      <c r="AB3853" s="403"/>
    </row>
    <row r="3854" spans="1:28">
      <c r="A3854" s="384"/>
      <c r="B3854" s="385"/>
      <c r="C3854" s="393"/>
      <c r="D3854" s="394"/>
      <c r="E3854" s="388"/>
      <c r="F3854" s="388"/>
      <c r="G3854" s="388"/>
      <c r="H3854" s="395"/>
      <c r="I3854" s="388"/>
      <c r="J3854" s="399"/>
      <c r="K3854" s="396"/>
      <c r="L3854" s="396"/>
      <c r="M3854" s="396"/>
      <c r="N3854" s="396"/>
      <c r="O3854" s="396"/>
      <c r="P3854" s="389"/>
      <c r="Q3854" s="396"/>
      <c r="R3854" s="396"/>
      <c r="S3854" s="396"/>
      <c r="T3854" s="396"/>
      <c r="U3854" s="401"/>
      <c r="V3854" s="396"/>
      <c r="W3854" s="388"/>
      <c r="X3854" s="396"/>
      <c r="Y3854" s="389"/>
      <c r="Z3854" s="396"/>
      <c r="AA3854" s="388"/>
      <c r="AB3854" s="390"/>
    </row>
    <row r="3855" spans="1:28">
      <c r="A3855" s="384" t="str">
        <f t="shared" ref="A3855:B3855" si="12422">A3835</f>
        <v>Lantai 2</v>
      </c>
      <c r="B3855" s="385">
        <f t="shared" si="12422"/>
        <v>41</v>
      </c>
      <c r="C3855" s="393" t="s">
        <v>211</v>
      </c>
      <c r="D3855" s="398">
        <f>VLOOKUP(D3835,'Detail Balok'!$C$10:$AU$140,31,FALSE)</f>
        <v>0</v>
      </c>
      <c r="E3855" s="388" t="s">
        <v>16</v>
      </c>
      <c r="F3855" s="388">
        <f>VLOOKUP(D3835,'Detail Balok'!$C$10:$AU$140,33,FALSE)</f>
        <v>10</v>
      </c>
      <c r="G3855" s="405" t="s">
        <v>157</v>
      </c>
      <c r="H3855" s="395">
        <f>VLOOKUP(D3835,'Detail Balok'!$C$10:$AU$140,35,FALSE)</f>
        <v>150</v>
      </c>
      <c r="I3855" s="388"/>
      <c r="J3855" s="400">
        <f t="shared" ref="J3855" si="12423">(IF(D3855=0,(2*(D3836+G3836))-(F$5*8),IF(D3855=3,(2*(D3836+G3836))-(F$5*8)+(G3836-2*F$5),IF(D3855=4,(2*(D3836+G3836))-(F$5*8)+2*(G3836-2*F$5)))))/1000</f>
        <v>1.08</v>
      </c>
      <c r="K3855" s="400" t="s">
        <v>204</v>
      </c>
      <c r="L3855" s="399">
        <f t="shared" ref="L3855:L3857" si="12424">IF(D3855=0,2*MAX(6*F3855,75),(D3855-1)*2*MAX(6*F3855,75))/1000</f>
        <v>0.15</v>
      </c>
      <c r="M3855" s="399" t="s">
        <v>176</v>
      </c>
      <c r="N3855" s="399">
        <f t="shared" ref="N3855:N3857" si="12425">J3855+L3855</f>
        <v>1.23</v>
      </c>
      <c r="O3855" s="399"/>
      <c r="P3855" s="389"/>
      <c r="Q3855" s="399"/>
      <c r="R3855" s="399"/>
      <c r="S3855" s="399"/>
      <c r="T3855" s="399" t="s">
        <v>125</v>
      </c>
      <c r="U3855" s="401">
        <f t="shared" ref="U3855:U3857" si="12426">0.006165*F3855^2</f>
        <v>0.61650000000000005</v>
      </c>
      <c r="V3855" s="399" t="s">
        <v>125</v>
      </c>
      <c r="W3855" s="399">
        <f t="shared" ref="W3855" si="12427">IF(D3838&gt;4*G3836,ROUND(MAX(D3838/4,2*G3836)/H3855,0)+1,ROUND(D3838/H3855,0)+1)</f>
        <v>38</v>
      </c>
      <c r="X3855" s="399" t="s">
        <v>125</v>
      </c>
      <c r="Y3855" s="389">
        <f t="shared" ref="Y3855" si="12428">D3841</f>
        <v>1</v>
      </c>
      <c r="Z3855" s="400" t="s">
        <v>176</v>
      </c>
      <c r="AA3855" s="402">
        <f t="shared" ref="AA3855:AA3857" si="12429">N3855*U3855*W3855*Y3855</f>
        <v>28.81521</v>
      </c>
      <c r="AB3855" s="403"/>
    </row>
    <row r="3856" spans="1:28">
      <c r="A3856" s="384" t="str">
        <f t="shared" ref="A3856:B3856" si="12430">A3835</f>
        <v>Lantai 2</v>
      </c>
      <c r="B3856" s="385">
        <f t="shared" si="12430"/>
        <v>41</v>
      </c>
      <c r="C3856" s="393" t="s">
        <v>212</v>
      </c>
      <c r="D3856" s="398">
        <f>VLOOKUP(D3835,'Detail Balok'!$C$10:$AU$140,36,FALSE)</f>
        <v>0</v>
      </c>
      <c r="E3856" s="388" t="s">
        <v>16</v>
      </c>
      <c r="F3856" s="388">
        <f>VLOOKUP(D3835,'Detail Balok'!$C$10:$AU$140,38,FALSE)</f>
        <v>10</v>
      </c>
      <c r="G3856" s="405" t="s">
        <v>157</v>
      </c>
      <c r="H3856" s="395">
        <f>VLOOKUP(D3835,'Detail Balok'!$C$10:$AU$140,40,FALSE)</f>
        <v>200</v>
      </c>
      <c r="I3856" s="388"/>
      <c r="J3856" s="400">
        <f t="shared" ref="J3856" si="12431">(IF(D3856=0,(2*(D3836+G3836))-(F$5*8),IF(D3856=3,(2*(D3836+G3836))-(F$5*8)+(G3836-2*F$5),IF(D3856=4,(2*(D3836+G3836))-(F$5*8)+2*(G3836-2*F$5)))))/1000</f>
        <v>1.08</v>
      </c>
      <c r="K3856" s="400" t="s">
        <v>204</v>
      </c>
      <c r="L3856" s="399">
        <f t="shared" si="12424"/>
        <v>0.15</v>
      </c>
      <c r="M3856" s="399" t="s">
        <v>176</v>
      </c>
      <c r="N3856" s="399">
        <f t="shared" si="12425"/>
        <v>1.23</v>
      </c>
      <c r="O3856" s="399"/>
      <c r="P3856" s="389"/>
      <c r="Q3856" s="399"/>
      <c r="R3856" s="399"/>
      <c r="S3856" s="399"/>
      <c r="T3856" s="399" t="s">
        <v>125</v>
      </c>
      <c r="U3856" s="401">
        <f t="shared" si="12426"/>
        <v>0.61650000000000005</v>
      </c>
      <c r="V3856" s="399" t="s">
        <v>125</v>
      </c>
      <c r="W3856" s="399">
        <f t="shared" ref="W3856" si="12432">IF(D3838-MAX(D3838/4,2*G3836)*2&gt;0,ROUND((D3838-MAX(D3838/4,2*G3836)*2)/H3856,0),0)</f>
        <v>55</v>
      </c>
      <c r="X3856" s="399" t="s">
        <v>125</v>
      </c>
      <c r="Y3856" s="389">
        <f t="shared" ref="Y3856" si="12433">D3841</f>
        <v>1</v>
      </c>
      <c r="Z3856" s="400" t="s">
        <v>176</v>
      </c>
      <c r="AA3856" s="402">
        <f t="shared" si="12429"/>
        <v>41.706225000000003</v>
      </c>
      <c r="AB3856" s="403"/>
    </row>
    <row r="3857" spans="1:28">
      <c r="A3857" s="384" t="str">
        <f t="shared" ref="A3857:B3857" si="12434">A3835</f>
        <v>Lantai 2</v>
      </c>
      <c r="B3857" s="385">
        <f t="shared" si="12434"/>
        <v>41</v>
      </c>
      <c r="C3857" s="393" t="s">
        <v>211</v>
      </c>
      <c r="D3857" s="398">
        <f>VLOOKUP(D3835,'Detail Balok'!$C$10:$AU$140,41,FALSE)</f>
        <v>0</v>
      </c>
      <c r="E3857" s="388" t="s">
        <v>16</v>
      </c>
      <c r="F3857" s="388">
        <f>VLOOKUP(D3835,'Detail Balok'!$C$10:$AU$140,43,FALSE)</f>
        <v>10</v>
      </c>
      <c r="G3857" s="405" t="s">
        <v>157</v>
      </c>
      <c r="H3857" s="395">
        <f>VLOOKUP(D3835,'Detail Balok'!$C$10:$AU$140,45,FALSE)</f>
        <v>150</v>
      </c>
      <c r="I3857" s="388"/>
      <c r="J3857" s="400">
        <f t="shared" ref="J3857" si="12435">(IF(D3857=0,(2*(D3836+G3836))-(F$5*8),IF(D3857=3,(2*(D3836+G3836))-(F$5*8)+(G3836-2*F$5),IF(D3857=4,(2*(D3836+G3836))-(F$5*8)+2*(G3836-2*F$5)))))/1000</f>
        <v>1.08</v>
      </c>
      <c r="K3857" s="400" t="s">
        <v>204</v>
      </c>
      <c r="L3857" s="399">
        <f t="shared" si="12424"/>
        <v>0.15</v>
      </c>
      <c r="M3857" s="399" t="s">
        <v>176</v>
      </c>
      <c r="N3857" s="399">
        <f t="shared" si="12425"/>
        <v>1.23</v>
      </c>
      <c r="O3857" s="399"/>
      <c r="P3857" s="389"/>
      <c r="Q3857" s="399"/>
      <c r="R3857" s="399"/>
      <c r="S3857" s="399"/>
      <c r="T3857" s="399" t="s">
        <v>125</v>
      </c>
      <c r="U3857" s="401">
        <f t="shared" si="12426"/>
        <v>0.61650000000000005</v>
      </c>
      <c r="V3857" s="399" t="s">
        <v>125</v>
      </c>
      <c r="W3857" s="399">
        <f t="shared" ref="W3857" si="12436">IF(D3838&gt;4*G3836,ROUND(MAX(D3838/4,2*G3836)/H3857,0)+1,0)</f>
        <v>38</v>
      </c>
      <c r="X3857" s="399" t="s">
        <v>125</v>
      </c>
      <c r="Y3857" s="389">
        <f t="shared" ref="Y3857" si="12437">D3841</f>
        <v>1</v>
      </c>
      <c r="Z3857" s="400" t="s">
        <v>176</v>
      </c>
      <c r="AA3857" s="402">
        <f t="shared" si="12429"/>
        <v>28.81521</v>
      </c>
      <c r="AB3857" s="403"/>
    </row>
    <row r="3858" spans="1:28">
      <c r="A3858" s="384"/>
      <c r="B3858" s="385"/>
      <c r="C3858" s="393"/>
      <c r="D3858" s="394"/>
      <c r="E3858" s="388"/>
      <c r="F3858" s="388"/>
      <c r="G3858" s="388"/>
      <c r="H3858" s="395"/>
      <c r="I3858" s="388"/>
      <c r="J3858" s="399"/>
      <c r="K3858" s="396"/>
      <c r="L3858" s="396"/>
      <c r="M3858" s="396"/>
      <c r="N3858" s="396"/>
      <c r="O3858" s="396"/>
      <c r="P3858" s="389"/>
      <c r="Q3858" s="396"/>
      <c r="R3858" s="396"/>
      <c r="S3858" s="396"/>
      <c r="T3858" s="396"/>
      <c r="U3858" s="401"/>
      <c r="V3858" s="396"/>
      <c r="W3858" s="388"/>
      <c r="X3858" s="396"/>
      <c r="Y3858" s="389"/>
      <c r="Z3858" s="396"/>
      <c r="AA3858" s="388"/>
      <c r="AB3858" s="390"/>
    </row>
    <row r="3859" spans="1:28">
      <c r="A3859" s="384" t="str">
        <f t="shared" ref="A3859:B3859" si="12438">A3835</f>
        <v>Lantai 2</v>
      </c>
      <c r="B3859" s="385">
        <f t="shared" si="12438"/>
        <v>41</v>
      </c>
      <c r="C3859" s="393" t="s">
        <v>213</v>
      </c>
      <c r="D3859" s="398">
        <f>VLOOKUP(D3835,'Detail Balok'!$C$10:$BJ$140,46,FALSE)</f>
        <v>0</v>
      </c>
      <c r="E3859" s="388" t="s">
        <v>16</v>
      </c>
      <c r="F3859" s="388">
        <f>VLOOKUP(D3835,'Detail Balok'!$C$10:$BJ$140,48,FALSE)</f>
        <v>0</v>
      </c>
      <c r="G3859" s="405" t="s">
        <v>157</v>
      </c>
      <c r="H3859" s="395">
        <f>VLOOKUP(D3835,'Detail Balok'!$C$10:$BJ$140,50,FALSE)</f>
        <v>100</v>
      </c>
      <c r="I3859" s="388"/>
      <c r="J3859" s="399">
        <f t="shared" ref="J3859" si="12439">(D3836-2*F$5)/1000</f>
        <v>0.12</v>
      </c>
      <c r="K3859" s="400" t="s">
        <v>204</v>
      </c>
      <c r="L3859" s="399">
        <f t="shared" ref="L3859:L3861" si="12440">IF(D3859=0,2*MAX(6*F3859,75),(D3859-1)*2*MAX(6*F3859,75))/1000</f>
        <v>0.15</v>
      </c>
      <c r="M3859" s="399" t="s">
        <v>176</v>
      </c>
      <c r="N3859" s="399">
        <f t="shared" ref="N3859:N3861" si="12441">J3859+L3859</f>
        <v>0.27</v>
      </c>
      <c r="O3859" s="399"/>
      <c r="P3859" s="399"/>
      <c r="Q3859" s="399"/>
      <c r="R3859" s="399"/>
      <c r="S3859" s="399"/>
      <c r="T3859" s="399" t="s">
        <v>125</v>
      </c>
      <c r="U3859" s="401">
        <f t="shared" ref="U3859:U3861" si="12442">0.006165*F3859^2</f>
        <v>0</v>
      </c>
      <c r="V3859" s="399" t="s">
        <v>125</v>
      </c>
      <c r="W3859" s="399">
        <f t="shared" ref="W3859:W3861" si="12443">W3855</f>
        <v>38</v>
      </c>
      <c r="X3859" s="399" t="s">
        <v>125</v>
      </c>
      <c r="Y3859" s="389">
        <f t="shared" ref="Y3859" si="12444">D3845</f>
        <v>4</v>
      </c>
      <c r="Z3859" s="400" t="s">
        <v>176</v>
      </c>
      <c r="AA3859" s="402">
        <f t="shared" ref="AA3859:AA3861" si="12445">N3859*U3859*W3859*Y3859</f>
        <v>0</v>
      </c>
      <c r="AB3859" s="403"/>
    </row>
    <row r="3860" spans="1:28">
      <c r="A3860" s="384" t="str">
        <f t="shared" ref="A3860:B3860" si="12446">A3835</f>
        <v>Lantai 2</v>
      </c>
      <c r="B3860" s="385">
        <f t="shared" si="12446"/>
        <v>41</v>
      </c>
      <c r="C3860" s="393" t="s">
        <v>214</v>
      </c>
      <c r="D3860" s="398">
        <f>VLOOKUP(D3835,'Detail Balok'!$C$10:$BJ$140,51,FALSE)</f>
        <v>0</v>
      </c>
      <c r="E3860" s="388" t="s">
        <v>16</v>
      </c>
      <c r="F3860" s="388">
        <f>VLOOKUP(D3835,'Detail Balok'!$C$10:$BJ$140,53,FALSE)</f>
        <v>0</v>
      </c>
      <c r="G3860" s="405" t="s">
        <v>157</v>
      </c>
      <c r="H3860" s="395">
        <f>VLOOKUP(D3835,'Detail Balok'!$C$10:$BJ$140,55,FALSE)</f>
        <v>100</v>
      </c>
      <c r="I3860" s="388"/>
      <c r="J3860" s="399">
        <f t="shared" ref="J3860" si="12447">(D3836-2*F$5)/1000</f>
        <v>0.12</v>
      </c>
      <c r="K3860" s="400" t="s">
        <v>204</v>
      </c>
      <c r="L3860" s="399">
        <f t="shared" si="12440"/>
        <v>0.15</v>
      </c>
      <c r="M3860" s="399" t="s">
        <v>176</v>
      </c>
      <c r="N3860" s="399">
        <f t="shared" si="12441"/>
        <v>0.27</v>
      </c>
      <c r="O3860" s="399"/>
      <c r="P3860" s="399"/>
      <c r="Q3860" s="399"/>
      <c r="R3860" s="399"/>
      <c r="S3860" s="399"/>
      <c r="T3860" s="399" t="s">
        <v>125</v>
      </c>
      <c r="U3860" s="401">
        <f t="shared" si="12442"/>
        <v>0</v>
      </c>
      <c r="V3860" s="399" t="s">
        <v>125</v>
      </c>
      <c r="W3860" s="399">
        <f t="shared" si="12443"/>
        <v>55</v>
      </c>
      <c r="X3860" s="399" t="s">
        <v>125</v>
      </c>
      <c r="Y3860" s="389">
        <f t="shared" ref="Y3860" si="12448">D3845</f>
        <v>4</v>
      </c>
      <c r="Z3860" s="400" t="s">
        <v>176</v>
      </c>
      <c r="AA3860" s="402">
        <f t="shared" si="12445"/>
        <v>0</v>
      </c>
      <c r="AB3860" s="403"/>
    </row>
    <row r="3861" spans="1:28">
      <c r="A3861" s="384" t="str">
        <f t="shared" ref="A3861:B3861" si="12449">A3835</f>
        <v>Lantai 2</v>
      </c>
      <c r="B3861" s="385">
        <f t="shared" si="12449"/>
        <v>41</v>
      </c>
      <c r="C3861" s="393" t="s">
        <v>213</v>
      </c>
      <c r="D3861" s="398">
        <f>VLOOKUP(D3835,'Detail Balok'!$C$10:$BJ$140,56,FALSE)</f>
        <v>0</v>
      </c>
      <c r="E3861" s="388" t="s">
        <v>16</v>
      </c>
      <c r="F3861" s="388">
        <f>VLOOKUP(D3835,'Detail Balok'!$C$10:$BJ$140,58,FALSE)</f>
        <v>0</v>
      </c>
      <c r="G3861" s="405" t="s">
        <v>157</v>
      </c>
      <c r="H3861" s="395">
        <f>VLOOKUP(D3835,'Detail Balok'!$C$10:$BJ$140,60,FALSE)</f>
        <v>100</v>
      </c>
      <c r="I3861" s="388"/>
      <c r="J3861" s="399">
        <f t="shared" ref="J3861" si="12450">(D3836-2*F$5)/1000</f>
        <v>0.12</v>
      </c>
      <c r="K3861" s="400" t="s">
        <v>204</v>
      </c>
      <c r="L3861" s="399">
        <f t="shared" si="12440"/>
        <v>0.15</v>
      </c>
      <c r="M3861" s="399" t="s">
        <v>176</v>
      </c>
      <c r="N3861" s="399">
        <f t="shared" si="12441"/>
        <v>0.27</v>
      </c>
      <c r="O3861" s="399"/>
      <c r="P3861" s="399"/>
      <c r="Q3861" s="399"/>
      <c r="R3861" s="399"/>
      <c r="S3861" s="399"/>
      <c r="T3861" s="399" t="s">
        <v>125</v>
      </c>
      <c r="U3861" s="401">
        <f t="shared" si="12442"/>
        <v>0</v>
      </c>
      <c r="V3861" s="399" t="s">
        <v>125</v>
      </c>
      <c r="W3861" s="399">
        <f t="shared" si="12443"/>
        <v>38</v>
      </c>
      <c r="X3861" s="399" t="s">
        <v>125</v>
      </c>
      <c r="Y3861" s="389">
        <f t="shared" ref="Y3861" si="12451">D3845</f>
        <v>4</v>
      </c>
      <c r="Z3861" s="400" t="s">
        <v>176</v>
      </c>
      <c r="AA3861" s="402">
        <f t="shared" si="12445"/>
        <v>0</v>
      </c>
      <c r="AB3861" s="403"/>
    </row>
    <row r="3862" spans="1:28">
      <c r="A3862" s="391"/>
      <c r="B3862" s="392"/>
      <c r="C3862" s="392"/>
      <c r="D3862" s="394"/>
      <c r="E3862" s="388"/>
      <c r="F3862" s="388"/>
      <c r="G3862" s="388"/>
      <c r="H3862" s="395"/>
      <c r="I3862" s="388"/>
      <c r="J3862" s="402"/>
      <c r="K3862" s="388"/>
      <c r="L3862" s="388"/>
      <c r="M3862" s="388"/>
      <c r="N3862" s="388"/>
      <c r="O3862" s="388"/>
      <c r="P3862" s="388"/>
      <c r="Q3862" s="388"/>
      <c r="R3862" s="388"/>
      <c r="S3862" s="388"/>
      <c r="T3862" s="388"/>
      <c r="U3862" s="388"/>
      <c r="V3862" s="388"/>
      <c r="W3862" s="388"/>
      <c r="X3862" s="388"/>
      <c r="Y3862" s="389"/>
      <c r="Z3862" s="388"/>
      <c r="AA3862" s="402"/>
      <c r="AB3862" s="403"/>
    </row>
    <row r="3863" spans="1:28" ht="15.75" thickBot="1">
      <c r="A3863" s="406"/>
      <c r="B3863" s="407"/>
      <c r="C3863" s="407"/>
      <c r="D3863" s="408"/>
      <c r="E3863" s="409"/>
      <c r="F3863" s="409"/>
      <c r="G3863" s="409"/>
      <c r="H3863" s="410"/>
      <c r="I3863" s="409"/>
      <c r="J3863" s="409"/>
      <c r="K3863" s="409"/>
      <c r="L3863" s="409"/>
      <c r="M3863" s="409"/>
      <c r="N3863" s="409"/>
      <c r="O3863" s="409"/>
      <c r="P3863" s="409"/>
      <c r="Q3863" s="409"/>
      <c r="R3863" s="409"/>
      <c r="S3863" s="409"/>
      <c r="T3863" s="409"/>
      <c r="U3863" s="409"/>
      <c r="V3863" s="409"/>
      <c r="W3863" s="409"/>
      <c r="X3863" s="409"/>
      <c r="Y3863" s="411"/>
      <c r="Z3863" s="409"/>
      <c r="AA3863" s="412"/>
      <c r="AB3863" s="413"/>
    </row>
    <row r="3864" spans="1:28">
      <c r="A3864" s="377"/>
      <c r="B3864" s="378"/>
      <c r="C3864" s="378"/>
      <c r="D3864" s="379"/>
      <c r="E3864" s="380"/>
      <c r="F3864" s="380"/>
      <c r="G3864" s="380"/>
      <c r="H3864" s="381"/>
      <c r="I3864" s="380"/>
      <c r="J3864" s="380"/>
      <c r="K3864" s="380"/>
      <c r="L3864" s="380"/>
      <c r="M3864" s="380"/>
      <c r="N3864" s="380"/>
      <c r="O3864" s="380"/>
      <c r="P3864" s="380"/>
      <c r="Q3864" s="380"/>
      <c r="R3864" s="380"/>
      <c r="S3864" s="380"/>
      <c r="T3864" s="380"/>
      <c r="U3864" s="380"/>
      <c r="V3864" s="380"/>
      <c r="W3864" s="380"/>
      <c r="X3864" s="380"/>
      <c r="Y3864" s="382"/>
      <c r="Z3864" s="380"/>
      <c r="AA3864" s="380"/>
      <c r="AB3864" s="383"/>
    </row>
    <row r="3865" spans="1:28">
      <c r="A3865" s="384" t="str">
        <f t="shared" ref="A3865:A3895" si="12452">A3835</f>
        <v>Lantai 2</v>
      </c>
      <c r="B3865" s="385">
        <f t="shared" ref="B3865:B3895" si="12453">B3835+1</f>
        <v>42</v>
      </c>
      <c r="C3865" s="386" t="str">
        <f t="shared" ref="C3865" si="12454">CONCATENATE(A3865," no. ",B3865)</f>
        <v>Lantai 2 no. 42</v>
      </c>
      <c r="D3865" s="2562" t="str">
        <f>VLOOKUP(C3865,'Data Panjang Balok'!$C$9:$N$254,2,FALSE)</f>
        <v>CL24-1</v>
      </c>
      <c r="E3865" s="2576"/>
      <c r="F3865" s="2576"/>
      <c r="G3865" s="2576"/>
      <c r="H3865" s="2577"/>
      <c r="I3865" s="387"/>
      <c r="J3865" s="388"/>
      <c r="K3865" s="388"/>
      <c r="L3865" s="388"/>
      <c r="M3865" s="388"/>
      <c r="N3865" s="388"/>
      <c r="O3865" s="388"/>
      <c r="P3865" s="388"/>
      <c r="Q3865" s="388"/>
      <c r="R3865" s="388"/>
      <c r="S3865" s="388"/>
      <c r="T3865" s="388"/>
      <c r="U3865" s="388"/>
      <c r="V3865" s="388"/>
      <c r="W3865" s="388"/>
      <c r="X3865" s="388"/>
      <c r="Y3865" s="389"/>
      <c r="Z3865" s="388"/>
      <c r="AA3865" s="388"/>
      <c r="AB3865" s="390"/>
    </row>
    <row r="3866" spans="1:28">
      <c r="A3866" s="391"/>
      <c r="B3866" s="392"/>
      <c r="C3866" s="393" t="s">
        <v>118</v>
      </c>
      <c r="D3866" s="2578">
        <f>VLOOKUP(D3865,'Detail Balok'!$C$10:$AU$140,2,FALSE)</f>
        <v>200</v>
      </c>
      <c r="E3866" s="2579"/>
      <c r="F3866" s="388" t="s">
        <v>125</v>
      </c>
      <c r="G3866" s="2579">
        <f>VLOOKUP(D3865,'Detail Balok'!$C$10:$AU$140,3,FALSE)</f>
        <v>400</v>
      </c>
      <c r="H3866" s="2580"/>
      <c r="I3866" s="388"/>
      <c r="J3866" s="396"/>
      <c r="K3866" s="396"/>
      <c r="L3866" s="396"/>
      <c r="M3866" s="396"/>
      <c r="N3866" s="396"/>
      <c r="O3866" s="396"/>
      <c r="P3866" s="396"/>
      <c r="Q3866" s="396"/>
      <c r="R3866" s="396"/>
      <c r="S3866" s="396"/>
      <c r="T3866" s="396"/>
      <c r="U3866" s="388"/>
      <c r="V3866" s="396"/>
      <c r="W3866" s="388"/>
      <c r="X3866" s="396"/>
      <c r="Y3866" s="389"/>
      <c r="Z3866" s="396"/>
      <c r="AA3866" s="388"/>
      <c r="AB3866" s="390"/>
    </row>
    <row r="3867" spans="1:28">
      <c r="A3867" s="391"/>
      <c r="B3867" s="392"/>
      <c r="C3867" s="393" t="s">
        <v>198</v>
      </c>
      <c r="D3867" s="2562">
        <f>VLOOKUP(C3865,'Data Panjang Balok'!$C$9:$N$254,4,FALSE)</f>
        <v>3090</v>
      </c>
      <c r="E3867" s="2563"/>
      <c r="F3867" s="2563"/>
      <c r="G3867" s="2563"/>
      <c r="H3867" s="2564"/>
      <c r="I3867" s="397"/>
      <c r="J3867" s="396"/>
      <c r="K3867" s="396"/>
      <c r="L3867" s="396"/>
      <c r="M3867" s="396"/>
      <c r="N3867" s="396"/>
      <c r="O3867" s="396"/>
      <c r="P3867" s="396"/>
      <c r="Q3867" s="396"/>
      <c r="R3867" s="396"/>
      <c r="S3867" s="396"/>
      <c r="T3867" s="396"/>
      <c r="U3867" s="388"/>
      <c r="V3867" s="396"/>
      <c r="W3867" s="388"/>
      <c r="X3867" s="396"/>
      <c r="Y3867" s="389"/>
      <c r="Z3867" s="396"/>
      <c r="AA3867" s="388"/>
      <c r="AB3867" s="390"/>
    </row>
    <row r="3868" spans="1:28">
      <c r="A3868" s="391"/>
      <c r="B3868" s="392"/>
      <c r="C3868" s="393" t="s">
        <v>199</v>
      </c>
      <c r="D3868" s="2562">
        <f>VLOOKUP(C3865,'Data Panjang Balok'!$C$9:$N$254,7,FALSE)</f>
        <v>3090</v>
      </c>
      <c r="E3868" s="2563"/>
      <c r="F3868" s="2563"/>
      <c r="G3868" s="2563"/>
      <c r="H3868" s="2564"/>
      <c r="I3868" s="397"/>
      <c r="J3868" s="396"/>
      <c r="K3868" s="396"/>
      <c r="L3868" s="396"/>
      <c r="M3868" s="396"/>
      <c r="N3868" s="396"/>
      <c r="O3868" s="396"/>
      <c r="P3868" s="396"/>
      <c r="Q3868" s="396"/>
      <c r="R3868" s="396"/>
      <c r="S3868" s="396"/>
      <c r="T3868" s="396"/>
      <c r="U3868" s="388"/>
      <c r="V3868" s="396"/>
      <c r="W3868" s="388"/>
      <c r="X3868" s="396"/>
      <c r="Y3868" s="389"/>
      <c r="Z3868" s="396"/>
      <c r="AA3868" s="388"/>
      <c r="AB3868" s="390"/>
    </row>
    <row r="3869" spans="1:28">
      <c r="A3869" s="391"/>
      <c r="B3869" s="392"/>
      <c r="C3869" s="393" t="s">
        <v>200</v>
      </c>
      <c r="D3869" s="2562">
        <f>VLOOKUP(C3865,'Data Panjang Balok'!$C$9:$N$254,9,FALSE)</f>
        <v>0</v>
      </c>
      <c r="E3869" s="2563"/>
      <c r="F3869" s="2563"/>
      <c r="G3869" s="2563"/>
      <c r="H3869" s="2564"/>
      <c r="I3869" s="397"/>
      <c r="J3869" s="396"/>
      <c r="K3869" s="396"/>
      <c r="L3869" s="396"/>
      <c r="M3869" s="396"/>
      <c r="N3869" s="396"/>
      <c r="O3869" s="396"/>
      <c r="P3869" s="396"/>
      <c r="Q3869" s="396"/>
      <c r="R3869" s="396"/>
      <c r="S3869" s="396"/>
      <c r="T3869" s="396"/>
      <c r="U3869" s="388"/>
      <c r="V3869" s="396"/>
      <c r="W3869" s="388"/>
      <c r="X3869" s="396"/>
      <c r="Y3869" s="389"/>
      <c r="Z3869" s="396"/>
      <c r="AA3869" s="388"/>
      <c r="AB3869" s="390"/>
    </row>
    <row r="3870" spans="1:28">
      <c r="A3870" s="391"/>
      <c r="B3870" s="392"/>
      <c r="C3870" s="393" t="s">
        <v>201</v>
      </c>
      <c r="D3870" s="2562">
        <f>VLOOKUP(C3865,'Data Panjang Balok'!$C$9:$N$254,10,FALSE)</f>
        <v>0</v>
      </c>
      <c r="E3870" s="2563"/>
      <c r="F3870" s="2563"/>
      <c r="G3870" s="2563"/>
      <c r="H3870" s="2564"/>
      <c r="I3870" s="397"/>
      <c r="J3870" s="396"/>
      <c r="K3870" s="396"/>
      <c r="L3870" s="396"/>
      <c r="M3870" s="396"/>
      <c r="N3870" s="396"/>
      <c r="O3870" s="396"/>
      <c r="P3870" s="396"/>
      <c r="Q3870" s="396"/>
      <c r="R3870" s="396"/>
      <c r="S3870" s="396"/>
      <c r="T3870" s="396"/>
      <c r="U3870" s="388"/>
      <c r="V3870" s="396"/>
      <c r="W3870" s="388"/>
      <c r="X3870" s="396"/>
      <c r="Y3870" s="389"/>
      <c r="Z3870" s="396"/>
      <c r="AA3870" s="388"/>
      <c r="AB3870" s="390"/>
    </row>
    <row r="3871" spans="1:28">
      <c r="A3871" s="391"/>
      <c r="B3871" s="392"/>
      <c r="C3871" s="393" t="s">
        <v>48</v>
      </c>
      <c r="D3871" s="2562">
        <f>VLOOKUP(C3865,'Data Panjang Balok'!$C$9:$N$254,3,FALSE)</f>
        <v>1</v>
      </c>
      <c r="E3871" s="2563"/>
      <c r="F3871" s="2563"/>
      <c r="G3871" s="2563"/>
      <c r="H3871" s="2564"/>
      <c r="I3871" s="397"/>
      <c r="J3871" s="396"/>
      <c r="K3871" s="396"/>
      <c r="L3871" s="396"/>
      <c r="M3871" s="396"/>
      <c r="N3871" s="396"/>
      <c r="O3871" s="396"/>
      <c r="P3871" s="396"/>
      <c r="Q3871" s="396"/>
      <c r="R3871" s="396"/>
      <c r="S3871" s="396"/>
      <c r="T3871" s="396"/>
      <c r="U3871" s="388"/>
      <c r="V3871" s="396"/>
      <c r="W3871" s="388"/>
      <c r="X3871" s="396"/>
      <c r="Y3871" s="389"/>
      <c r="Z3871" s="396"/>
      <c r="AA3871" s="388"/>
      <c r="AB3871" s="390"/>
    </row>
    <row r="3872" spans="1:28">
      <c r="A3872" s="384" t="str">
        <f t="shared" ref="A3872:B3872" si="12455">A3865</f>
        <v>Lantai 2</v>
      </c>
      <c r="B3872" s="385">
        <f t="shared" si="12455"/>
        <v>42</v>
      </c>
      <c r="C3872" s="393" t="s">
        <v>202</v>
      </c>
      <c r="D3872" s="398">
        <f>VLOOKUP(D3865,'Detail Balok'!$C$10:$AU$140,4,FALSE)</f>
        <v>3</v>
      </c>
      <c r="E3872" s="388" t="s">
        <v>16</v>
      </c>
      <c r="F3872" s="388">
        <f>VLOOKUP(D3865,'Detail Balok'!$C$10:$AU$140,6,FALSE)</f>
        <v>16</v>
      </c>
      <c r="G3872" s="388"/>
      <c r="H3872" s="395"/>
      <c r="I3872" s="388" t="s">
        <v>203</v>
      </c>
      <c r="J3872" s="399">
        <f t="shared" ref="J3872" si="12456">+D3867/4/1000</f>
        <v>0.77249999999999996</v>
      </c>
      <c r="K3872" s="400" t="s">
        <v>204</v>
      </c>
      <c r="L3872" s="399">
        <f t="shared" ref="L3872" si="12457">MAX(VLOOKUP(F3872,N$6:P$15,3,FALSE)/1000,2/3*D3869/1000)+F$16*F3872/1000</f>
        <v>0.192</v>
      </c>
      <c r="M3872" s="399" t="s">
        <v>176</v>
      </c>
      <c r="N3872" s="399">
        <f t="shared" ref="N3872:N3874" si="12458">J3872+L3872</f>
        <v>0.96449999999999991</v>
      </c>
      <c r="O3872" s="399" t="s">
        <v>204</v>
      </c>
      <c r="P3872" s="389">
        <f t="shared" ref="P3872" si="12459">D3872-D3873</f>
        <v>0</v>
      </c>
      <c r="Q3872" s="399" t="s">
        <v>125</v>
      </c>
      <c r="R3872" s="399">
        <f t="shared" ref="R3872" si="12460">IF(P3872&gt;0,$F$18*F3872/1000,0)</f>
        <v>0</v>
      </c>
      <c r="S3872" s="399" t="s">
        <v>205</v>
      </c>
      <c r="T3872" s="399" t="s">
        <v>125</v>
      </c>
      <c r="U3872" s="401">
        <f t="shared" ref="U3872:U3874" si="12461">0.006165*F3872^2</f>
        <v>1.5782400000000001</v>
      </c>
      <c r="V3872" s="399"/>
      <c r="W3872" s="399"/>
      <c r="X3872" s="399" t="s">
        <v>125</v>
      </c>
      <c r="Y3872" s="389">
        <f t="shared" ref="Y3872" si="12462">D3871</f>
        <v>1</v>
      </c>
      <c r="Z3872" s="400" t="s">
        <v>176</v>
      </c>
      <c r="AA3872" s="402">
        <f t="shared" ref="AA3872" si="12463">IF(AA3875=0,(D3872*N3872+P3872*R3872)*U3872*Y3872,0)</f>
        <v>0</v>
      </c>
      <c r="AB3872" s="403"/>
    </row>
    <row r="3873" spans="1:28">
      <c r="A3873" s="384" t="str">
        <f t="shared" ref="A3873:B3873" si="12464">A3865</f>
        <v>Lantai 2</v>
      </c>
      <c r="B3873" s="385">
        <f t="shared" si="12464"/>
        <v>42</v>
      </c>
      <c r="C3873" s="393" t="s">
        <v>206</v>
      </c>
      <c r="D3873" s="398">
        <f>VLOOKUP(D3865,'Detail Balok'!$C$10:$AU$140,7,FALSE)</f>
        <v>3</v>
      </c>
      <c r="E3873" s="388" t="s">
        <v>16</v>
      </c>
      <c r="F3873" s="388">
        <f>VLOOKUP(D3865,'Detail Balok'!$C$10:$AU$140,9,FALSE)</f>
        <v>16</v>
      </c>
      <c r="G3873" s="388"/>
      <c r="H3873" s="395"/>
      <c r="I3873" s="388" t="s">
        <v>203</v>
      </c>
      <c r="J3873" s="399">
        <f t="shared" ref="J3873" si="12465">+D3867/2/1000</f>
        <v>1.5449999999999999</v>
      </c>
      <c r="K3873" s="400" t="s">
        <v>204</v>
      </c>
      <c r="L3873" s="399"/>
      <c r="M3873" s="399" t="s">
        <v>176</v>
      </c>
      <c r="N3873" s="399">
        <f t="shared" si="12458"/>
        <v>1.5449999999999999</v>
      </c>
      <c r="O3873" s="399" t="s">
        <v>204</v>
      </c>
      <c r="P3873" s="389">
        <f t="shared" ref="P3873" si="12466">MAX(D3873-D3872,D3873-D3874)</f>
        <v>0</v>
      </c>
      <c r="Q3873" s="399" t="s">
        <v>125</v>
      </c>
      <c r="R3873" s="399">
        <f t="shared" ref="R3873" si="12467">IF(P3873&gt;0,2*(1-2*$F$19-1/2)*D3868/1000,0)</f>
        <v>0</v>
      </c>
      <c r="S3873" s="399" t="s">
        <v>205</v>
      </c>
      <c r="T3873" s="399" t="s">
        <v>125</v>
      </c>
      <c r="U3873" s="401">
        <f t="shared" si="12461"/>
        <v>1.5782400000000001</v>
      </c>
      <c r="V3873" s="399"/>
      <c r="W3873" s="399"/>
      <c r="X3873" s="399" t="s">
        <v>125</v>
      </c>
      <c r="Y3873" s="389">
        <f t="shared" ref="Y3873" si="12468">D3871</f>
        <v>1</v>
      </c>
      <c r="Z3873" s="400" t="s">
        <v>176</v>
      </c>
      <c r="AA3873" s="402">
        <f t="shared" ref="AA3873" si="12469">IF(AA3875=0,(D3873*N3873+P3873*R3873)*U3873*Y3873,0)</f>
        <v>0</v>
      </c>
      <c r="AB3873" s="403"/>
    </row>
    <row r="3874" spans="1:28">
      <c r="A3874" s="384" t="str">
        <f t="shared" ref="A3874:B3874" si="12470">A3865</f>
        <v>Lantai 2</v>
      </c>
      <c r="B3874" s="385">
        <f t="shared" si="12470"/>
        <v>42</v>
      </c>
      <c r="C3874" s="393" t="s">
        <v>202</v>
      </c>
      <c r="D3874" s="398">
        <f>VLOOKUP(D3865,'Detail Balok'!$C$10:$AU$140,10,FALSE)</f>
        <v>3</v>
      </c>
      <c r="E3874" s="388" t="s">
        <v>16</v>
      </c>
      <c r="F3874" s="388">
        <f>VLOOKUP(D3865,'Detail Balok'!$C$10:$AU$140,12,FALSE)</f>
        <v>16</v>
      </c>
      <c r="G3874" s="388"/>
      <c r="H3874" s="395"/>
      <c r="I3874" s="388" t="s">
        <v>203</v>
      </c>
      <c r="J3874" s="399">
        <f t="shared" ref="J3874" si="12471">+D3867/4/1000</f>
        <v>0.77249999999999996</v>
      </c>
      <c r="K3874" s="400" t="s">
        <v>204</v>
      </c>
      <c r="L3874" s="399">
        <f t="shared" ref="L3874" si="12472">MAX(VLOOKUP(F3874,N$6:P$15,3,FALSE)/1000,2/3*D3869/1000)+F$16*F3874/1000</f>
        <v>0.192</v>
      </c>
      <c r="M3874" s="399" t="s">
        <v>176</v>
      </c>
      <c r="N3874" s="399">
        <f t="shared" si="12458"/>
        <v>0.96449999999999991</v>
      </c>
      <c r="O3874" s="399" t="s">
        <v>204</v>
      </c>
      <c r="P3874" s="389">
        <f t="shared" ref="P3874" si="12473">D3874-D3873</f>
        <v>0</v>
      </c>
      <c r="Q3874" s="399" t="s">
        <v>125</v>
      </c>
      <c r="R3874" s="399">
        <f t="shared" ref="R3874" si="12474">IF(P3874&gt;0,$F$18*F3874/1000,0)</f>
        <v>0</v>
      </c>
      <c r="S3874" s="399" t="s">
        <v>205</v>
      </c>
      <c r="T3874" s="399" t="s">
        <v>125</v>
      </c>
      <c r="U3874" s="401">
        <f t="shared" si="12461"/>
        <v>1.5782400000000001</v>
      </c>
      <c r="V3874" s="399"/>
      <c r="W3874" s="399"/>
      <c r="X3874" s="399" t="s">
        <v>125</v>
      </c>
      <c r="Y3874" s="389">
        <f t="shared" ref="Y3874" si="12475">D3871</f>
        <v>1</v>
      </c>
      <c r="Z3874" s="400" t="s">
        <v>176</v>
      </c>
      <c r="AA3874" s="402">
        <f t="shared" ref="AA3874" si="12476">IF(AA3875=0,(D3874*N3874+P3874*R3874)*U3874*Y3874,0)</f>
        <v>0</v>
      </c>
      <c r="AB3874" s="403"/>
    </row>
    <row r="3875" spans="1:28">
      <c r="A3875" s="384" t="str">
        <f t="shared" ref="A3875:B3875" si="12477">A3865</f>
        <v>Lantai 2</v>
      </c>
      <c r="B3875" s="385">
        <f t="shared" si="12477"/>
        <v>42</v>
      </c>
      <c r="C3875" s="393"/>
      <c r="D3875" s="398">
        <f t="shared" ref="D3875" si="12478">IF(AND(D3872=D3873,D3873=D3874,D3872=D3874),D3872,0)</f>
        <v>3</v>
      </c>
      <c r="E3875" s="388" t="s">
        <v>16</v>
      </c>
      <c r="F3875" s="388">
        <f t="shared" ref="F3875" si="12479">IF(AND(F3872=F3873,F3872=F3874,F3873=F3874),F3872,0)</f>
        <v>16</v>
      </c>
      <c r="G3875" s="388"/>
      <c r="H3875" s="395"/>
      <c r="I3875" s="388"/>
      <c r="J3875" s="396"/>
      <c r="K3875" s="396"/>
      <c r="L3875" s="404" t="s">
        <v>207</v>
      </c>
      <c r="M3875" s="399" t="s">
        <v>176</v>
      </c>
      <c r="N3875" s="399">
        <f t="shared" ref="N3875" si="12480">IF(AND(D3872=D3873,D3872=D3874,D3873=D3874,F3872=F3873,F3872=F3874,F3873=F3874),SUM(N3872:N3874),0)</f>
        <v>3.4740000000000002</v>
      </c>
      <c r="O3875" s="399" t="s">
        <v>204</v>
      </c>
      <c r="P3875" s="389">
        <f t="shared" ref="P3875" si="12481">IF(N3875&gt;12,ROUNDDOWN(N3875/12,0),0)</f>
        <v>0</v>
      </c>
      <c r="Q3875" s="399" t="s">
        <v>125</v>
      </c>
      <c r="R3875" s="399">
        <f t="shared" ref="R3875" si="12482">IF(P3875&gt;0,MAX(VLOOKUP(F3875,$D$6:$G$15,3,FALSE),600),0)/1000</f>
        <v>0</v>
      </c>
      <c r="S3875" s="396"/>
      <c r="T3875" s="396" t="s">
        <v>125</v>
      </c>
      <c r="U3875" s="401">
        <f t="shared" ref="U3875" si="12483">U3874</f>
        <v>1.5782400000000001</v>
      </c>
      <c r="V3875" s="396" t="s">
        <v>125</v>
      </c>
      <c r="W3875" s="399">
        <f t="shared" ref="W3875" si="12484">D3875</f>
        <v>3</v>
      </c>
      <c r="X3875" s="399" t="s">
        <v>125</v>
      </c>
      <c r="Y3875" s="389">
        <f t="shared" ref="Y3875" si="12485">Y3874</f>
        <v>1</v>
      </c>
      <c r="Z3875" s="400" t="s">
        <v>176</v>
      </c>
      <c r="AA3875" s="402">
        <f t="shared" ref="AA3875" si="12486">(N3875+P3875*R3875/1000)*U3875*W3875*Y3875</f>
        <v>16.448417280000001</v>
      </c>
      <c r="AB3875" s="390"/>
    </row>
    <row r="3876" spans="1:28">
      <c r="A3876" s="384"/>
      <c r="B3876" s="385"/>
      <c r="C3876" s="393"/>
      <c r="D3876" s="398"/>
      <c r="E3876" s="388"/>
      <c r="F3876" s="388"/>
      <c r="G3876" s="388"/>
      <c r="H3876" s="395"/>
      <c r="I3876" s="388"/>
      <c r="J3876" s="396"/>
      <c r="K3876" s="396"/>
      <c r="L3876" s="404"/>
      <c r="M3876" s="399"/>
      <c r="N3876" s="399"/>
      <c r="O3876" s="396"/>
      <c r="P3876" s="389"/>
      <c r="Q3876" s="396"/>
      <c r="R3876" s="396"/>
      <c r="S3876" s="396"/>
      <c r="T3876" s="396"/>
      <c r="U3876" s="401"/>
      <c r="V3876" s="396"/>
      <c r="W3876" s="399"/>
      <c r="X3876" s="396"/>
      <c r="Y3876" s="389"/>
      <c r="Z3876" s="396"/>
      <c r="AA3876" s="388"/>
      <c r="AB3876" s="390"/>
    </row>
    <row r="3877" spans="1:28">
      <c r="A3877" s="384" t="str">
        <f t="shared" ref="A3877:B3877" si="12487">A3865</f>
        <v>Lantai 2</v>
      </c>
      <c r="B3877" s="385">
        <f t="shared" si="12487"/>
        <v>42</v>
      </c>
      <c r="C3877" s="393" t="s">
        <v>208</v>
      </c>
      <c r="D3877" s="398">
        <f>VLOOKUP(D3865,'Detail Balok'!$C$10:$AU$140,13,FALSE)</f>
        <v>0</v>
      </c>
      <c r="E3877" s="388" t="s">
        <v>16</v>
      </c>
      <c r="F3877" s="388">
        <f>VLOOKUP(D3865,'Detail Balok'!$C$10:$AU$140,15,FALSE)</f>
        <v>8</v>
      </c>
      <c r="G3877" s="388"/>
      <c r="H3877" s="395"/>
      <c r="I3877" s="388"/>
      <c r="J3877" s="399">
        <f t="shared" ref="J3877" si="12488">+D3867/1000</f>
        <v>3.09</v>
      </c>
      <c r="K3877" s="400" t="s">
        <v>204</v>
      </c>
      <c r="L3877" s="399">
        <f t="shared" ref="L3877" si="12489">2*$F$16*F3877/1000</f>
        <v>0.192</v>
      </c>
      <c r="M3877" s="399" t="s">
        <v>176</v>
      </c>
      <c r="N3877" s="399">
        <f t="shared" ref="N3877" si="12490">J3877+L3877</f>
        <v>3.282</v>
      </c>
      <c r="O3877" s="399" t="s">
        <v>204</v>
      </c>
      <c r="P3877" s="389">
        <f t="shared" ref="P3877" si="12491">IF(N3877&gt;12,ROUNDDOWN(N3877/12,0),0)</f>
        <v>0</v>
      </c>
      <c r="Q3877" s="399" t="s">
        <v>125</v>
      </c>
      <c r="R3877" s="399">
        <f t="shared" ref="R3877" si="12492">IF(P3877&gt;0,MAX(VLOOKUP(F3877,$D$6:$G$15,3,FALSE),600),0)/1000</f>
        <v>0</v>
      </c>
      <c r="S3877" s="399"/>
      <c r="T3877" s="399" t="s">
        <v>125</v>
      </c>
      <c r="U3877" s="401">
        <f t="shared" ref="U3877" si="12493">0.006165*F3877^2</f>
        <v>0.39456000000000002</v>
      </c>
      <c r="V3877" s="399" t="s">
        <v>125</v>
      </c>
      <c r="W3877" s="399">
        <f t="shared" ref="W3877" si="12494">+D3877</f>
        <v>0</v>
      </c>
      <c r="X3877" s="399" t="s">
        <v>125</v>
      </c>
      <c r="Y3877" s="389">
        <f t="shared" ref="Y3877" si="12495">D3871</f>
        <v>1</v>
      </c>
      <c r="Z3877" s="400" t="s">
        <v>176</v>
      </c>
      <c r="AA3877" s="402">
        <f t="shared" ref="AA3877" si="12496">(N3877+P3877*R3877/1000)*U3877*W3877*Y3877</f>
        <v>0</v>
      </c>
      <c r="AB3877" s="403"/>
    </row>
    <row r="3878" spans="1:28">
      <c r="A3878" s="384"/>
      <c r="B3878" s="385"/>
      <c r="C3878" s="393"/>
      <c r="D3878" s="398"/>
      <c r="E3878" s="388"/>
      <c r="F3878" s="388"/>
      <c r="G3878" s="388"/>
      <c r="H3878" s="395"/>
      <c r="I3878" s="388"/>
      <c r="J3878" s="399"/>
      <c r="K3878" s="400"/>
      <c r="L3878" s="399"/>
      <c r="M3878" s="399"/>
      <c r="N3878" s="399"/>
      <c r="O3878" s="399"/>
      <c r="P3878" s="389"/>
      <c r="Q3878" s="399"/>
      <c r="R3878" s="399"/>
      <c r="S3878" s="399"/>
      <c r="T3878" s="399"/>
      <c r="U3878" s="401"/>
      <c r="V3878" s="399"/>
      <c r="W3878" s="399"/>
      <c r="X3878" s="399"/>
      <c r="Y3878" s="389"/>
      <c r="Z3878" s="400"/>
      <c r="AA3878" s="402"/>
      <c r="AB3878" s="403"/>
    </row>
    <row r="3879" spans="1:28">
      <c r="A3879" s="384"/>
      <c r="B3879" s="385"/>
      <c r="C3879" s="393"/>
      <c r="D3879" s="398"/>
      <c r="E3879" s="388"/>
      <c r="F3879" s="388"/>
      <c r="G3879" s="388"/>
      <c r="H3879" s="395"/>
      <c r="I3879" s="388"/>
      <c r="J3879" s="396"/>
      <c r="K3879" s="396"/>
      <c r="L3879" s="396"/>
      <c r="M3879" s="396"/>
      <c r="N3879" s="396"/>
      <c r="O3879" s="396"/>
      <c r="P3879" s="389"/>
      <c r="Q3879" s="396"/>
      <c r="R3879" s="396"/>
      <c r="S3879" s="396"/>
      <c r="T3879" s="396"/>
      <c r="U3879" s="401"/>
      <c r="V3879" s="396"/>
      <c r="W3879" s="399"/>
      <c r="X3879" s="396"/>
      <c r="Y3879" s="389"/>
      <c r="Z3879" s="396"/>
      <c r="AA3879" s="388"/>
      <c r="AB3879" s="390"/>
    </row>
    <row r="3880" spans="1:28">
      <c r="A3880" s="384" t="str">
        <f t="shared" ref="A3880:B3880" si="12497">A3865</f>
        <v>Lantai 2</v>
      </c>
      <c r="B3880" s="385">
        <f t="shared" si="12497"/>
        <v>42</v>
      </c>
      <c r="C3880" s="393" t="s">
        <v>209</v>
      </c>
      <c r="D3880" s="398">
        <f>VLOOKUP(D3865,'Detail Balok'!$C$10:$AU$140,22,FALSE)</f>
        <v>3</v>
      </c>
      <c r="E3880" s="388" t="s">
        <v>16</v>
      </c>
      <c r="F3880" s="388">
        <f>VLOOKUP(D3865,'Detail Balok'!$C$10:$AU$140,24,FALSE)</f>
        <v>16</v>
      </c>
      <c r="G3880" s="388"/>
      <c r="H3880" s="395"/>
      <c r="I3880" s="388" t="s">
        <v>203</v>
      </c>
      <c r="J3880" s="399">
        <f t="shared" ref="J3880:J3882" si="12498">+J3872</f>
        <v>0.77249999999999996</v>
      </c>
      <c r="K3880" s="400" t="s">
        <v>204</v>
      </c>
      <c r="L3880" s="399">
        <f t="shared" ref="L3880" si="12499">MAX(VLOOKUP(F3880,N$6:P$15,3,FALSE)/1000,2/3*D3870/1000)+F$16*F3880/1000</f>
        <v>0.192</v>
      </c>
      <c r="M3880" s="399" t="s">
        <v>176</v>
      </c>
      <c r="N3880" s="399">
        <f t="shared" ref="N3880:N3882" si="12500">J3880+L3880</f>
        <v>0.96449999999999991</v>
      </c>
      <c r="O3880" s="399" t="s">
        <v>204</v>
      </c>
      <c r="P3880" s="389">
        <f t="shared" ref="P3880" si="12501">D3880-D3881</f>
        <v>0</v>
      </c>
      <c r="Q3880" s="399" t="s">
        <v>125</v>
      </c>
      <c r="R3880" s="399">
        <f t="shared" ref="R3880" si="12502">IF(P3880&gt;0,$F$18*F3880/1000,0)</f>
        <v>0</v>
      </c>
      <c r="S3880" s="399" t="s">
        <v>205</v>
      </c>
      <c r="T3880" s="399" t="s">
        <v>125</v>
      </c>
      <c r="U3880" s="401">
        <f t="shared" ref="U3880:U3882" si="12503">0.006165*F3880^2</f>
        <v>1.5782400000000001</v>
      </c>
      <c r="V3880" s="399"/>
      <c r="W3880" s="399"/>
      <c r="X3880" s="399" t="s">
        <v>125</v>
      </c>
      <c r="Y3880" s="389">
        <f t="shared" ref="Y3880" si="12504">D3871</f>
        <v>1</v>
      </c>
      <c r="Z3880" s="400" t="s">
        <v>176</v>
      </c>
      <c r="AA3880" s="402">
        <f t="shared" ref="AA3880" si="12505">IF(AA3883=0,(D3880*N3880+P3880*R3880)*U3880*Y3880,0)</f>
        <v>0</v>
      </c>
      <c r="AB3880" s="403"/>
    </row>
    <row r="3881" spans="1:28">
      <c r="A3881" s="384" t="str">
        <f t="shared" ref="A3881:B3881" si="12506">A3865</f>
        <v>Lantai 2</v>
      </c>
      <c r="B3881" s="385">
        <f t="shared" si="12506"/>
        <v>42</v>
      </c>
      <c r="C3881" s="393" t="s">
        <v>210</v>
      </c>
      <c r="D3881" s="398">
        <f>VLOOKUP(D3865,'Detail Balok'!$C$10:$AU$140,25,FALSE)</f>
        <v>3</v>
      </c>
      <c r="E3881" s="388" t="s">
        <v>16</v>
      </c>
      <c r="F3881" s="388">
        <f>VLOOKUP(D3865,'Detail Balok'!$C$10:$AU$140,27,FALSE)</f>
        <v>16</v>
      </c>
      <c r="G3881" s="388"/>
      <c r="H3881" s="395"/>
      <c r="I3881" s="388" t="s">
        <v>203</v>
      </c>
      <c r="J3881" s="399">
        <f t="shared" si="12498"/>
        <v>1.5449999999999999</v>
      </c>
      <c r="K3881" s="400" t="s">
        <v>204</v>
      </c>
      <c r="L3881" s="399"/>
      <c r="M3881" s="399" t="s">
        <v>176</v>
      </c>
      <c r="N3881" s="399">
        <f t="shared" si="12500"/>
        <v>1.5449999999999999</v>
      </c>
      <c r="O3881" s="399" t="s">
        <v>204</v>
      </c>
      <c r="P3881" s="389">
        <f t="shared" ref="P3881" si="12507">MAX(D3881-D3880,D3881-D3882)</f>
        <v>0</v>
      </c>
      <c r="Q3881" s="399" t="s">
        <v>125</v>
      </c>
      <c r="R3881" s="399">
        <f t="shared" ref="R3881" si="12508">IF(P3881&gt;0,2*(1-2*$F$19-1/2)*D3868/1000,0)</f>
        <v>0</v>
      </c>
      <c r="S3881" s="399" t="s">
        <v>205</v>
      </c>
      <c r="T3881" s="399" t="s">
        <v>125</v>
      </c>
      <c r="U3881" s="401">
        <f t="shared" si="12503"/>
        <v>1.5782400000000001</v>
      </c>
      <c r="V3881" s="399"/>
      <c r="W3881" s="399"/>
      <c r="X3881" s="399" t="s">
        <v>125</v>
      </c>
      <c r="Y3881" s="389">
        <f t="shared" ref="Y3881" si="12509">D3871</f>
        <v>1</v>
      </c>
      <c r="Z3881" s="400" t="s">
        <v>176</v>
      </c>
      <c r="AA3881" s="402">
        <f t="shared" ref="AA3881" si="12510">IF(AA3883=0,(D3881*N3881+P3881*R3881)*U3881*Y3881,0)</f>
        <v>0</v>
      </c>
      <c r="AB3881" s="403"/>
    </row>
    <row r="3882" spans="1:28">
      <c r="A3882" s="384" t="str">
        <f t="shared" ref="A3882:B3882" si="12511">A3865</f>
        <v>Lantai 2</v>
      </c>
      <c r="B3882" s="385">
        <f t="shared" si="12511"/>
        <v>42</v>
      </c>
      <c r="C3882" s="393" t="s">
        <v>209</v>
      </c>
      <c r="D3882" s="398">
        <f>VLOOKUP(D3865,'Detail Balok'!$C$10:$AU$140,28,FALSE)</f>
        <v>3</v>
      </c>
      <c r="E3882" s="388" t="s">
        <v>16</v>
      </c>
      <c r="F3882" s="388">
        <f>VLOOKUP(D3865,'Detail Balok'!$C$10:$AU$140,30,FALSE)</f>
        <v>16</v>
      </c>
      <c r="G3882" s="388"/>
      <c r="H3882" s="395"/>
      <c r="I3882" s="388" t="s">
        <v>203</v>
      </c>
      <c r="J3882" s="399">
        <f t="shared" si="12498"/>
        <v>0.77249999999999996</v>
      </c>
      <c r="K3882" s="400" t="s">
        <v>204</v>
      </c>
      <c r="L3882" s="399">
        <f t="shared" ref="L3882" si="12512">MAX(VLOOKUP(F3882,N$6:P$15,3,FALSE)/1000,2/3*D3870/1000)+F$16*F3882/1000</f>
        <v>0.192</v>
      </c>
      <c r="M3882" s="399" t="s">
        <v>176</v>
      </c>
      <c r="N3882" s="399">
        <f t="shared" si="12500"/>
        <v>0.96449999999999991</v>
      </c>
      <c r="O3882" s="399" t="s">
        <v>204</v>
      </c>
      <c r="P3882" s="389">
        <f t="shared" ref="P3882" si="12513">D3882-D3881</f>
        <v>0</v>
      </c>
      <c r="Q3882" s="399" t="s">
        <v>125</v>
      </c>
      <c r="R3882" s="399">
        <f t="shared" ref="R3882" si="12514">IF(P3882&gt;0,$F$18*F3882/1000,0)</f>
        <v>0</v>
      </c>
      <c r="S3882" s="399" t="s">
        <v>205</v>
      </c>
      <c r="T3882" s="399" t="s">
        <v>125</v>
      </c>
      <c r="U3882" s="401">
        <f t="shared" si="12503"/>
        <v>1.5782400000000001</v>
      </c>
      <c r="V3882" s="399"/>
      <c r="W3882" s="399"/>
      <c r="X3882" s="399" t="s">
        <v>125</v>
      </c>
      <c r="Y3882" s="389">
        <f t="shared" ref="Y3882" si="12515">D3871</f>
        <v>1</v>
      </c>
      <c r="Z3882" s="400" t="s">
        <v>176</v>
      </c>
      <c r="AA3882" s="402">
        <f t="shared" ref="AA3882" si="12516">IF(AA3883=0,(D3882*N3882+P3882*R3882)*U3882*Y3882,0)</f>
        <v>0</v>
      </c>
      <c r="AB3882" s="403"/>
    </row>
    <row r="3883" spans="1:28">
      <c r="A3883" s="384" t="str">
        <f t="shared" ref="A3883:B3883" si="12517">A3865</f>
        <v>Lantai 2</v>
      </c>
      <c r="B3883" s="385">
        <f t="shared" si="12517"/>
        <v>42</v>
      </c>
      <c r="C3883" s="393"/>
      <c r="D3883" s="398">
        <f t="shared" ref="D3883" si="12518">IF(AND(D3880=D3881,D3881=D3882,D3880=D3882),D3880,0)</f>
        <v>3</v>
      </c>
      <c r="E3883" s="388" t="s">
        <v>16</v>
      </c>
      <c r="F3883" s="388">
        <f t="shared" ref="F3883" si="12519">IF(AND(F3880=F3881,F3880=F3882,F3881=F3882),F3880,0)</f>
        <v>16</v>
      </c>
      <c r="G3883" s="388"/>
      <c r="H3883" s="395"/>
      <c r="I3883" s="388"/>
      <c r="J3883" s="396"/>
      <c r="K3883" s="396"/>
      <c r="L3883" s="404" t="s">
        <v>207</v>
      </c>
      <c r="M3883" s="399" t="s">
        <v>176</v>
      </c>
      <c r="N3883" s="399">
        <f t="shared" ref="N3883" si="12520">IF(AND(D3880=D3881,D3880=D3882,D3881=D3882,F3880=F3881,F3880=F3882,F3881=F3882),SUM(N3880:N3882),0)</f>
        <v>3.4740000000000002</v>
      </c>
      <c r="O3883" s="399" t="s">
        <v>204</v>
      </c>
      <c r="P3883" s="389">
        <f t="shared" ref="P3883" si="12521">IF(N3883&gt;12,ROUNDDOWN(N3883/12,0),0)</f>
        <v>0</v>
      </c>
      <c r="Q3883" s="399" t="s">
        <v>125</v>
      </c>
      <c r="R3883" s="399">
        <f t="shared" ref="R3883" si="12522">IF(P3883&gt;0,MAX(VLOOKUP(F3883,$D$6:$G$15,3,FALSE),600),0)/1000</f>
        <v>0</v>
      </c>
      <c r="S3883" s="396"/>
      <c r="T3883" s="396" t="s">
        <v>125</v>
      </c>
      <c r="U3883" s="401">
        <f t="shared" ref="U3883" si="12523">U3882</f>
        <v>1.5782400000000001</v>
      </c>
      <c r="V3883" s="396" t="s">
        <v>125</v>
      </c>
      <c r="W3883" s="399">
        <f t="shared" ref="W3883" si="12524">D3883</f>
        <v>3</v>
      </c>
      <c r="X3883" s="399" t="s">
        <v>125</v>
      </c>
      <c r="Y3883" s="389">
        <f t="shared" ref="Y3883" si="12525">Y3882</f>
        <v>1</v>
      </c>
      <c r="Z3883" s="400" t="s">
        <v>176</v>
      </c>
      <c r="AA3883" s="402">
        <f t="shared" ref="AA3883" si="12526">(N3883+P3883*R3883/1000)*U3883*W3883*Y3883</f>
        <v>16.448417280000001</v>
      </c>
      <c r="AB3883" s="403"/>
    </row>
    <row r="3884" spans="1:28">
      <c r="A3884" s="384"/>
      <c r="B3884" s="385"/>
      <c r="C3884" s="393"/>
      <c r="D3884" s="394"/>
      <c r="E3884" s="388"/>
      <c r="F3884" s="388"/>
      <c r="G3884" s="388"/>
      <c r="H3884" s="395"/>
      <c r="I3884" s="388"/>
      <c r="J3884" s="399"/>
      <c r="K3884" s="396"/>
      <c r="L3884" s="396"/>
      <c r="M3884" s="396"/>
      <c r="N3884" s="396"/>
      <c r="O3884" s="396"/>
      <c r="P3884" s="389"/>
      <c r="Q3884" s="396"/>
      <c r="R3884" s="396"/>
      <c r="S3884" s="396"/>
      <c r="T3884" s="396"/>
      <c r="U3884" s="401"/>
      <c r="V3884" s="396"/>
      <c r="W3884" s="388"/>
      <c r="X3884" s="396"/>
      <c r="Y3884" s="389"/>
      <c r="Z3884" s="396"/>
      <c r="AA3884" s="388"/>
      <c r="AB3884" s="390"/>
    </row>
    <row r="3885" spans="1:28">
      <c r="A3885" s="384" t="str">
        <f t="shared" ref="A3885:B3885" si="12527">A3865</f>
        <v>Lantai 2</v>
      </c>
      <c r="B3885" s="385">
        <f t="shared" si="12527"/>
        <v>42</v>
      </c>
      <c r="C3885" s="393" t="s">
        <v>211</v>
      </c>
      <c r="D3885" s="398">
        <f>VLOOKUP(D3865,'Detail Balok'!$C$10:$AU$140,31,FALSE)</f>
        <v>0</v>
      </c>
      <c r="E3885" s="388" t="s">
        <v>16</v>
      </c>
      <c r="F3885" s="388">
        <f>VLOOKUP(D3865,'Detail Balok'!$C$10:$AU$140,33,FALSE)</f>
        <v>10</v>
      </c>
      <c r="G3885" s="405" t="s">
        <v>157</v>
      </c>
      <c r="H3885" s="395">
        <f>VLOOKUP(D3865,'Detail Balok'!$C$10:$AU$140,35,FALSE)</f>
        <v>100</v>
      </c>
      <c r="I3885" s="388"/>
      <c r="J3885" s="400">
        <f t="shared" ref="J3885" si="12528">(IF(D3885=0,(2*(D3866+G3866))-(F$5*8),IF(D3885=3,(2*(D3866+G3866))-(F$5*8)+(G3866-2*F$5),IF(D3885=4,(2*(D3866+G3866))-(F$5*8)+2*(G3866-2*F$5)))))/1000</f>
        <v>0.88</v>
      </c>
      <c r="K3885" s="400" t="s">
        <v>204</v>
      </c>
      <c r="L3885" s="399">
        <f t="shared" ref="L3885:L3887" si="12529">IF(D3885=0,2*MAX(6*F3885,75),(D3885-1)*2*MAX(6*F3885,75))/1000</f>
        <v>0.15</v>
      </c>
      <c r="M3885" s="399" t="s">
        <v>176</v>
      </c>
      <c r="N3885" s="399">
        <f t="shared" ref="N3885:N3887" si="12530">J3885+L3885</f>
        <v>1.03</v>
      </c>
      <c r="O3885" s="399"/>
      <c r="P3885" s="389"/>
      <c r="Q3885" s="399"/>
      <c r="R3885" s="399"/>
      <c r="S3885" s="399"/>
      <c r="T3885" s="399" t="s">
        <v>125</v>
      </c>
      <c r="U3885" s="401">
        <f t="shared" ref="U3885:U3887" si="12531">0.006165*F3885^2</f>
        <v>0.61650000000000005</v>
      </c>
      <c r="V3885" s="399" t="s">
        <v>125</v>
      </c>
      <c r="W3885" s="399">
        <f t="shared" ref="W3885" si="12532">IF(D3868&gt;4*G3866,ROUND(MAX(D3868/4,2*G3866)/H3885,0)+1,ROUND(D3868/H3885,0)+1)</f>
        <v>9</v>
      </c>
      <c r="X3885" s="399" t="s">
        <v>125</v>
      </c>
      <c r="Y3885" s="389">
        <f t="shared" ref="Y3885" si="12533">D3871</f>
        <v>1</v>
      </c>
      <c r="Z3885" s="400" t="s">
        <v>176</v>
      </c>
      <c r="AA3885" s="402">
        <f t="shared" ref="AA3885:AA3887" si="12534">N3885*U3885*W3885*Y3885</f>
        <v>5.7149550000000007</v>
      </c>
      <c r="AB3885" s="403"/>
    </row>
    <row r="3886" spans="1:28">
      <c r="A3886" s="384" t="str">
        <f t="shared" ref="A3886:B3886" si="12535">A3865</f>
        <v>Lantai 2</v>
      </c>
      <c r="B3886" s="385">
        <f t="shared" si="12535"/>
        <v>42</v>
      </c>
      <c r="C3886" s="393" t="s">
        <v>212</v>
      </c>
      <c r="D3886" s="398">
        <f>VLOOKUP(D3865,'Detail Balok'!$C$10:$AU$140,36,FALSE)</f>
        <v>0</v>
      </c>
      <c r="E3886" s="388" t="s">
        <v>16</v>
      </c>
      <c r="F3886" s="388">
        <f>VLOOKUP(D3865,'Detail Balok'!$C$10:$AU$140,38,FALSE)</f>
        <v>10</v>
      </c>
      <c r="G3886" s="405" t="s">
        <v>157</v>
      </c>
      <c r="H3886" s="395">
        <f>VLOOKUP(D3865,'Detail Balok'!$C$10:$AU$140,40,FALSE)</f>
        <v>100</v>
      </c>
      <c r="I3886" s="388"/>
      <c r="J3886" s="400">
        <f t="shared" ref="J3886" si="12536">(IF(D3886=0,(2*(D3866+G3866))-(F$5*8),IF(D3886=3,(2*(D3866+G3866))-(F$5*8)+(G3866-2*F$5),IF(D3886=4,(2*(D3866+G3866))-(F$5*8)+2*(G3866-2*F$5)))))/1000</f>
        <v>0.88</v>
      </c>
      <c r="K3886" s="400" t="s">
        <v>204</v>
      </c>
      <c r="L3886" s="399">
        <f t="shared" si="12529"/>
        <v>0.15</v>
      </c>
      <c r="M3886" s="399" t="s">
        <v>176</v>
      </c>
      <c r="N3886" s="399">
        <f t="shared" si="12530"/>
        <v>1.03</v>
      </c>
      <c r="O3886" s="399"/>
      <c r="P3886" s="389"/>
      <c r="Q3886" s="399"/>
      <c r="R3886" s="399"/>
      <c r="S3886" s="399"/>
      <c r="T3886" s="399" t="s">
        <v>125</v>
      </c>
      <c r="U3886" s="401">
        <f t="shared" si="12531"/>
        <v>0.61650000000000005</v>
      </c>
      <c r="V3886" s="399" t="s">
        <v>125</v>
      </c>
      <c r="W3886" s="399">
        <f t="shared" ref="W3886" si="12537">IF(D3868-MAX(D3868/4,2*G3866)*2&gt;0,ROUND((D3868-MAX(D3868/4,2*G3866)*2)/H3886,0),0)</f>
        <v>15</v>
      </c>
      <c r="X3886" s="399" t="s">
        <v>125</v>
      </c>
      <c r="Y3886" s="389">
        <f t="shared" ref="Y3886" si="12538">D3871</f>
        <v>1</v>
      </c>
      <c r="Z3886" s="400" t="s">
        <v>176</v>
      </c>
      <c r="AA3886" s="402">
        <f t="shared" si="12534"/>
        <v>9.5249250000000014</v>
      </c>
      <c r="AB3886" s="403"/>
    </row>
    <row r="3887" spans="1:28">
      <c r="A3887" s="384" t="str">
        <f t="shared" ref="A3887:B3887" si="12539">A3865</f>
        <v>Lantai 2</v>
      </c>
      <c r="B3887" s="385">
        <f t="shared" si="12539"/>
        <v>42</v>
      </c>
      <c r="C3887" s="393" t="s">
        <v>211</v>
      </c>
      <c r="D3887" s="398">
        <f>VLOOKUP(D3865,'Detail Balok'!$C$10:$AU$140,41,FALSE)</f>
        <v>0</v>
      </c>
      <c r="E3887" s="388" t="s">
        <v>16</v>
      </c>
      <c r="F3887" s="388">
        <f>VLOOKUP(D3865,'Detail Balok'!$C$10:$AU$140,43,FALSE)</f>
        <v>10</v>
      </c>
      <c r="G3887" s="405" t="s">
        <v>157</v>
      </c>
      <c r="H3887" s="395">
        <f>VLOOKUP(D3865,'Detail Balok'!$C$10:$AU$140,45,FALSE)</f>
        <v>100</v>
      </c>
      <c r="I3887" s="388"/>
      <c r="J3887" s="400">
        <f t="shared" ref="J3887" si="12540">(IF(D3887=0,(2*(D3866+G3866))-(F$5*8),IF(D3887=3,(2*(D3866+G3866))-(F$5*8)+(G3866-2*F$5),IF(D3887=4,(2*(D3866+G3866))-(F$5*8)+2*(G3866-2*F$5)))))/1000</f>
        <v>0.88</v>
      </c>
      <c r="K3887" s="400" t="s">
        <v>204</v>
      </c>
      <c r="L3887" s="399">
        <f t="shared" si="12529"/>
        <v>0.15</v>
      </c>
      <c r="M3887" s="399" t="s">
        <v>176</v>
      </c>
      <c r="N3887" s="399">
        <f t="shared" si="12530"/>
        <v>1.03</v>
      </c>
      <c r="O3887" s="399"/>
      <c r="P3887" s="389"/>
      <c r="Q3887" s="399"/>
      <c r="R3887" s="399"/>
      <c r="S3887" s="399"/>
      <c r="T3887" s="399" t="s">
        <v>125</v>
      </c>
      <c r="U3887" s="401">
        <f t="shared" si="12531"/>
        <v>0.61650000000000005</v>
      </c>
      <c r="V3887" s="399" t="s">
        <v>125</v>
      </c>
      <c r="W3887" s="399">
        <f t="shared" ref="W3887" si="12541">IF(D3868&gt;4*G3866,ROUND(MAX(D3868/4,2*G3866)/H3887,0)+1,0)</f>
        <v>9</v>
      </c>
      <c r="X3887" s="399" t="s">
        <v>125</v>
      </c>
      <c r="Y3887" s="389">
        <f t="shared" ref="Y3887" si="12542">D3871</f>
        <v>1</v>
      </c>
      <c r="Z3887" s="400" t="s">
        <v>176</v>
      </c>
      <c r="AA3887" s="402">
        <f t="shared" si="12534"/>
        <v>5.7149550000000007</v>
      </c>
      <c r="AB3887" s="403"/>
    </row>
    <row r="3888" spans="1:28">
      <c r="A3888" s="384"/>
      <c r="B3888" s="385"/>
      <c r="C3888" s="393"/>
      <c r="D3888" s="394"/>
      <c r="E3888" s="388"/>
      <c r="F3888" s="388"/>
      <c r="G3888" s="388"/>
      <c r="H3888" s="395"/>
      <c r="I3888" s="388"/>
      <c r="J3888" s="399"/>
      <c r="K3888" s="396"/>
      <c r="L3888" s="396"/>
      <c r="M3888" s="396"/>
      <c r="N3888" s="396"/>
      <c r="O3888" s="396"/>
      <c r="P3888" s="389"/>
      <c r="Q3888" s="396"/>
      <c r="R3888" s="396"/>
      <c r="S3888" s="396"/>
      <c r="T3888" s="396"/>
      <c r="U3888" s="401"/>
      <c r="V3888" s="396"/>
      <c r="W3888" s="388"/>
      <c r="X3888" s="396"/>
      <c r="Y3888" s="389"/>
      <c r="Z3888" s="396"/>
      <c r="AA3888" s="388"/>
      <c r="AB3888" s="390"/>
    </row>
    <row r="3889" spans="1:28">
      <c r="A3889" s="384" t="str">
        <f t="shared" ref="A3889:B3889" si="12543">A3865</f>
        <v>Lantai 2</v>
      </c>
      <c r="B3889" s="385">
        <f t="shared" si="12543"/>
        <v>42</v>
      </c>
      <c r="C3889" s="393" t="s">
        <v>213</v>
      </c>
      <c r="D3889" s="398">
        <f>VLOOKUP(D3865,'Detail Balok'!$C$10:$BJ$140,46,FALSE)</f>
        <v>0</v>
      </c>
      <c r="E3889" s="388" t="s">
        <v>16</v>
      </c>
      <c r="F3889" s="388">
        <f>VLOOKUP(D3865,'Detail Balok'!$C$10:$BJ$140,48,FALSE)</f>
        <v>0</v>
      </c>
      <c r="G3889" s="405" t="s">
        <v>157</v>
      </c>
      <c r="H3889" s="395">
        <f>VLOOKUP(D3865,'Detail Balok'!$C$10:$BJ$140,50,FALSE)</f>
        <v>100</v>
      </c>
      <c r="I3889" s="388"/>
      <c r="J3889" s="399">
        <f t="shared" ref="J3889" si="12544">(D3866-2*F$5)/1000</f>
        <v>0.12</v>
      </c>
      <c r="K3889" s="400" t="s">
        <v>204</v>
      </c>
      <c r="L3889" s="399">
        <f t="shared" ref="L3889:L3891" si="12545">IF(D3889=0,2*MAX(6*F3889,75),(D3889-1)*2*MAX(6*F3889,75))/1000</f>
        <v>0.15</v>
      </c>
      <c r="M3889" s="399" t="s">
        <v>176</v>
      </c>
      <c r="N3889" s="399">
        <f t="shared" ref="N3889:N3891" si="12546">J3889+L3889</f>
        <v>0.27</v>
      </c>
      <c r="O3889" s="399"/>
      <c r="P3889" s="399"/>
      <c r="Q3889" s="399"/>
      <c r="R3889" s="399"/>
      <c r="S3889" s="399"/>
      <c r="T3889" s="399" t="s">
        <v>125</v>
      </c>
      <c r="U3889" s="401">
        <f t="shared" ref="U3889:U3891" si="12547">0.006165*F3889^2</f>
        <v>0</v>
      </c>
      <c r="V3889" s="399" t="s">
        <v>125</v>
      </c>
      <c r="W3889" s="399">
        <f t="shared" ref="W3889:W3891" si="12548">W3885</f>
        <v>9</v>
      </c>
      <c r="X3889" s="399" t="s">
        <v>125</v>
      </c>
      <c r="Y3889" s="389">
        <f t="shared" ref="Y3889" si="12549">D3875</f>
        <v>3</v>
      </c>
      <c r="Z3889" s="400" t="s">
        <v>176</v>
      </c>
      <c r="AA3889" s="402">
        <f t="shared" ref="AA3889:AA3891" si="12550">N3889*U3889*W3889*Y3889</f>
        <v>0</v>
      </c>
      <c r="AB3889" s="403"/>
    </row>
    <row r="3890" spans="1:28">
      <c r="A3890" s="384" t="str">
        <f t="shared" ref="A3890:B3890" si="12551">A3865</f>
        <v>Lantai 2</v>
      </c>
      <c r="B3890" s="385">
        <f t="shared" si="12551"/>
        <v>42</v>
      </c>
      <c r="C3890" s="393" t="s">
        <v>214</v>
      </c>
      <c r="D3890" s="398">
        <f>VLOOKUP(D3865,'Detail Balok'!$C$10:$BJ$140,51,FALSE)</f>
        <v>0</v>
      </c>
      <c r="E3890" s="388" t="s">
        <v>16</v>
      </c>
      <c r="F3890" s="388">
        <f>VLOOKUP(D3865,'Detail Balok'!$C$10:$BJ$140,53,FALSE)</f>
        <v>0</v>
      </c>
      <c r="G3890" s="405" t="s">
        <v>157</v>
      </c>
      <c r="H3890" s="395">
        <f>VLOOKUP(D3865,'Detail Balok'!$C$10:$BJ$140,55,FALSE)</f>
        <v>100</v>
      </c>
      <c r="I3890" s="388"/>
      <c r="J3890" s="399">
        <f t="shared" ref="J3890" si="12552">(D3866-2*F$5)/1000</f>
        <v>0.12</v>
      </c>
      <c r="K3890" s="400" t="s">
        <v>204</v>
      </c>
      <c r="L3890" s="399">
        <f t="shared" si="12545"/>
        <v>0.15</v>
      </c>
      <c r="M3890" s="399" t="s">
        <v>176</v>
      </c>
      <c r="N3890" s="399">
        <f t="shared" si="12546"/>
        <v>0.27</v>
      </c>
      <c r="O3890" s="399"/>
      <c r="P3890" s="399"/>
      <c r="Q3890" s="399"/>
      <c r="R3890" s="399"/>
      <c r="S3890" s="399"/>
      <c r="T3890" s="399" t="s">
        <v>125</v>
      </c>
      <c r="U3890" s="401">
        <f t="shared" si="12547"/>
        <v>0</v>
      </c>
      <c r="V3890" s="399" t="s">
        <v>125</v>
      </c>
      <c r="W3890" s="399">
        <f t="shared" si="12548"/>
        <v>15</v>
      </c>
      <c r="X3890" s="399" t="s">
        <v>125</v>
      </c>
      <c r="Y3890" s="389">
        <f t="shared" ref="Y3890" si="12553">D3875</f>
        <v>3</v>
      </c>
      <c r="Z3890" s="400" t="s">
        <v>176</v>
      </c>
      <c r="AA3890" s="402">
        <f t="shared" si="12550"/>
        <v>0</v>
      </c>
      <c r="AB3890" s="403"/>
    </row>
    <row r="3891" spans="1:28">
      <c r="A3891" s="384" t="str">
        <f t="shared" ref="A3891:B3891" si="12554">A3865</f>
        <v>Lantai 2</v>
      </c>
      <c r="B3891" s="385">
        <f t="shared" si="12554"/>
        <v>42</v>
      </c>
      <c r="C3891" s="393" t="s">
        <v>213</v>
      </c>
      <c r="D3891" s="398">
        <f>VLOOKUP(D3865,'Detail Balok'!$C$10:$BJ$140,56,FALSE)</f>
        <v>0</v>
      </c>
      <c r="E3891" s="388" t="s">
        <v>16</v>
      </c>
      <c r="F3891" s="388">
        <f>VLOOKUP(D3865,'Detail Balok'!$C$10:$BJ$140,58,FALSE)</f>
        <v>0</v>
      </c>
      <c r="G3891" s="405" t="s">
        <v>157</v>
      </c>
      <c r="H3891" s="395">
        <f>VLOOKUP(D3865,'Detail Balok'!$C$10:$BJ$140,60,FALSE)</f>
        <v>100</v>
      </c>
      <c r="I3891" s="388"/>
      <c r="J3891" s="399">
        <f t="shared" ref="J3891" si="12555">(D3866-2*F$5)/1000</f>
        <v>0.12</v>
      </c>
      <c r="K3891" s="400" t="s">
        <v>204</v>
      </c>
      <c r="L3891" s="399">
        <f t="shared" si="12545"/>
        <v>0.15</v>
      </c>
      <c r="M3891" s="399" t="s">
        <v>176</v>
      </c>
      <c r="N3891" s="399">
        <f t="shared" si="12546"/>
        <v>0.27</v>
      </c>
      <c r="O3891" s="399"/>
      <c r="P3891" s="399"/>
      <c r="Q3891" s="399"/>
      <c r="R3891" s="399"/>
      <c r="S3891" s="399"/>
      <c r="T3891" s="399" t="s">
        <v>125</v>
      </c>
      <c r="U3891" s="401">
        <f t="shared" si="12547"/>
        <v>0</v>
      </c>
      <c r="V3891" s="399" t="s">
        <v>125</v>
      </c>
      <c r="W3891" s="399">
        <f t="shared" si="12548"/>
        <v>9</v>
      </c>
      <c r="X3891" s="399" t="s">
        <v>125</v>
      </c>
      <c r="Y3891" s="389">
        <f t="shared" ref="Y3891" si="12556">D3875</f>
        <v>3</v>
      </c>
      <c r="Z3891" s="400" t="s">
        <v>176</v>
      </c>
      <c r="AA3891" s="402">
        <f t="shared" si="12550"/>
        <v>0</v>
      </c>
      <c r="AB3891" s="403"/>
    </row>
    <row r="3892" spans="1:28">
      <c r="A3892" s="391"/>
      <c r="B3892" s="392"/>
      <c r="C3892" s="392"/>
      <c r="D3892" s="394"/>
      <c r="E3892" s="388"/>
      <c r="F3892" s="388"/>
      <c r="G3892" s="388"/>
      <c r="H3892" s="395"/>
      <c r="I3892" s="388"/>
      <c r="J3892" s="402"/>
      <c r="K3892" s="388"/>
      <c r="L3892" s="388"/>
      <c r="M3892" s="388"/>
      <c r="N3892" s="388"/>
      <c r="O3892" s="388"/>
      <c r="P3892" s="388"/>
      <c r="Q3892" s="388"/>
      <c r="R3892" s="388"/>
      <c r="S3892" s="388"/>
      <c r="T3892" s="388"/>
      <c r="U3892" s="388"/>
      <c r="V3892" s="388"/>
      <c r="W3892" s="388"/>
      <c r="X3892" s="388"/>
      <c r="Y3892" s="389"/>
      <c r="Z3892" s="388"/>
      <c r="AA3892" s="402"/>
      <c r="AB3892" s="403"/>
    </row>
    <row r="3893" spans="1:28" ht="15.75" thickBot="1">
      <c r="A3893" s="406"/>
      <c r="B3893" s="407"/>
      <c r="C3893" s="407"/>
      <c r="D3893" s="408"/>
      <c r="E3893" s="409"/>
      <c r="F3893" s="409"/>
      <c r="G3893" s="409"/>
      <c r="H3893" s="410"/>
      <c r="I3893" s="409"/>
      <c r="J3893" s="409"/>
      <c r="K3893" s="409"/>
      <c r="L3893" s="409"/>
      <c r="M3893" s="409"/>
      <c r="N3893" s="409"/>
      <c r="O3893" s="409"/>
      <c r="P3893" s="409"/>
      <c r="Q3893" s="409"/>
      <c r="R3893" s="409"/>
      <c r="S3893" s="409"/>
      <c r="T3893" s="409"/>
      <c r="U3893" s="409"/>
      <c r="V3893" s="409"/>
      <c r="W3893" s="409"/>
      <c r="X3893" s="409"/>
      <c r="Y3893" s="411"/>
      <c r="Z3893" s="409"/>
      <c r="AA3893" s="412"/>
      <c r="AB3893" s="413"/>
    </row>
    <row r="3894" spans="1:28">
      <c r="A3894" s="377"/>
      <c r="B3894" s="378"/>
      <c r="C3894" s="378"/>
      <c r="D3894" s="379"/>
      <c r="E3894" s="380"/>
      <c r="F3894" s="380"/>
      <c r="G3894" s="380"/>
      <c r="H3894" s="381"/>
      <c r="I3894" s="380"/>
      <c r="J3894" s="380"/>
      <c r="K3894" s="380"/>
      <c r="L3894" s="380"/>
      <c r="M3894" s="380"/>
      <c r="N3894" s="380"/>
      <c r="O3894" s="380"/>
      <c r="P3894" s="380"/>
      <c r="Q3894" s="380"/>
      <c r="R3894" s="380"/>
      <c r="S3894" s="380"/>
      <c r="T3894" s="380"/>
      <c r="U3894" s="380"/>
      <c r="V3894" s="380"/>
      <c r="W3894" s="380"/>
      <c r="X3894" s="380"/>
      <c r="Y3894" s="382"/>
      <c r="Z3894" s="380"/>
      <c r="AA3894" s="380"/>
      <c r="AB3894" s="383"/>
    </row>
    <row r="3895" spans="1:28">
      <c r="A3895" s="384" t="str">
        <f t="shared" si="12452"/>
        <v>Lantai 2</v>
      </c>
      <c r="B3895" s="385">
        <f t="shared" si="12453"/>
        <v>43</v>
      </c>
      <c r="C3895" s="386" t="str">
        <f t="shared" ref="C3895" si="12557">CONCATENATE(A3895," no. ",B3895)</f>
        <v>Lantai 2 no. 43</v>
      </c>
      <c r="D3895" s="2562" t="str">
        <f>VLOOKUP(C3895,'Data Panjang Balok'!$C$9:$N$254,2,FALSE)</f>
        <v>CL24-1</v>
      </c>
      <c r="E3895" s="2576"/>
      <c r="F3895" s="2576"/>
      <c r="G3895" s="2576"/>
      <c r="H3895" s="2577"/>
      <c r="I3895" s="387"/>
      <c r="J3895" s="388"/>
      <c r="K3895" s="388"/>
      <c r="L3895" s="388"/>
      <c r="M3895" s="388"/>
      <c r="N3895" s="388"/>
      <c r="O3895" s="388"/>
      <c r="P3895" s="388"/>
      <c r="Q3895" s="388"/>
      <c r="R3895" s="388"/>
      <c r="S3895" s="388"/>
      <c r="T3895" s="388"/>
      <c r="U3895" s="388"/>
      <c r="V3895" s="388"/>
      <c r="W3895" s="388"/>
      <c r="X3895" s="388"/>
      <c r="Y3895" s="389"/>
      <c r="Z3895" s="388"/>
      <c r="AA3895" s="388"/>
      <c r="AB3895" s="390"/>
    </row>
    <row r="3896" spans="1:28">
      <c r="A3896" s="391"/>
      <c r="B3896" s="392"/>
      <c r="C3896" s="393" t="s">
        <v>118</v>
      </c>
      <c r="D3896" s="2578">
        <f>VLOOKUP(D3895,'Detail Balok'!$C$10:$AU$140,2,FALSE)</f>
        <v>200</v>
      </c>
      <c r="E3896" s="2579"/>
      <c r="F3896" s="388" t="s">
        <v>125</v>
      </c>
      <c r="G3896" s="2579">
        <f>VLOOKUP(D3895,'Detail Balok'!$C$10:$AU$140,3,FALSE)</f>
        <v>400</v>
      </c>
      <c r="H3896" s="2580"/>
      <c r="I3896" s="388"/>
      <c r="J3896" s="396"/>
      <c r="K3896" s="396"/>
      <c r="L3896" s="396"/>
      <c r="M3896" s="396"/>
      <c r="N3896" s="396"/>
      <c r="O3896" s="396"/>
      <c r="P3896" s="396"/>
      <c r="Q3896" s="396"/>
      <c r="R3896" s="396"/>
      <c r="S3896" s="396"/>
      <c r="T3896" s="396"/>
      <c r="U3896" s="388"/>
      <c r="V3896" s="396"/>
      <c r="W3896" s="388"/>
      <c r="X3896" s="396"/>
      <c r="Y3896" s="389"/>
      <c r="Z3896" s="396"/>
      <c r="AA3896" s="388"/>
      <c r="AB3896" s="390"/>
    </row>
    <row r="3897" spans="1:28">
      <c r="A3897" s="391"/>
      <c r="B3897" s="392"/>
      <c r="C3897" s="393" t="s">
        <v>198</v>
      </c>
      <c r="D3897" s="2562">
        <f>VLOOKUP(C3895,'Data Panjang Balok'!$C$9:$N$254,4,FALSE)</f>
        <v>3090</v>
      </c>
      <c r="E3897" s="2563"/>
      <c r="F3897" s="2563"/>
      <c r="G3897" s="2563"/>
      <c r="H3897" s="2564"/>
      <c r="I3897" s="397"/>
      <c r="J3897" s="396"/>
      <c r="K3897" s="396"/>
      <c r="L3897" s="396"/>
      <c r="M3897" s="396"/>
      <c r="N3897" s="396"/>
      <c r="O3897" s="396"/>
      <c r="P3897" s="396"/>
      <c r="Q3897" s="396"/>
      <c r="R3897" s="396"/>
      <c r="S3897" s="396"/>
      <c r="T3897" s="396"/>
      <c r="U3897" s="388"/>
      <c r="V3897" s="396"/>
      <c r="W3897" s="388"/>
      <c r="X3897" s="396"/>
      <c r="Y3897" s="389"/>
      <c r="Z3897" s="396"/>
      <c r="AA3897" s="388"/>
      <c r="AB3897" s="390"/>
    </row>
    <row r="3898" spans="1:28">
      <c r="A3898" s="391"/>
      <c r="B3898" s="392"/>
      <c r="C3898" s="393" t="s">
        <v>199</v>
      </c>
      <c r="D3898" s="2562">
        <f>VLOOKUP(C3895,'Data Panjang Balok'!$C$9:$N$254,7,FALSE)</f>
        <v>3090</v>
      </c>
      <c r="E3898" s="2563"/>
      <c r="F3898" s="2563"/>
      <c r="G3898" s="2563"/>
      <c r="H3898" s="2564"/>
      <c r="I3898" s="397"/>
      <c r="J3898" s="396"/>
      <c r="K3898" s="396"/>
      <c r="L3898" s="396"/>
      <c r="M3898" s="396"/>
      <c r="N3898" s="396"/>
      <c r="O3898" s="396"/>
      <c r="P3898" s="396"/>
      <c r="Q3898" s="396"/>
      <c r="R3898" s="396"/>
      <c r="S3898" s="396"/>
      <c r="T3898" s="396"/>
      <c r="U3898" s="388"/>
      <c r="V3898" s="396"/>
      <c r="W3898" s="388"/>
      <c r="X3898" s="396"/>
      <c r="Y3898" s="389"/>
      <c r="Z3898" s="396"/>
      <c r="AA3898" s="388"/>
      <c r="AB3898" s="390"/>
    </row>
    <row r="3899" spans="1:28">
      <c r="A3899" s="391"/>
      <c r="B3899" s="392"/>
      <c r="C3899" s="393" t="s">
        <v>200</v>
      </c>
      <c r="D3899" s="2562">
        <f>VLOOKUP(C3895,'Data Panjang Balok'!$C$9:$N$254,9,FALSE)</f>
        <v>0</v>
      </c>
      <c r="E3899" s="2563"/>
      <c r="F3899" s="2563"/>
      <c r="G3899" s="2563"/>
      <c r="H3899" s="2564"/>
      <c r="I3899" s="397"/>
      <c r="J3899" s="396"/>
      <c r="K3899" s="396"/>
      <c r="L3899" s="396"/>
      <c r="M3899" s="396"/>
      <c r="N3899" s="396"/>
      <c r="O3899" s="396"/>
      <c r="P3899" s="396"/>
      <c r="Q3899" s="396"/>
      <c r="R3899" s="396"/>
      <c r="S3899" s="396"/>
      <c r="T3899" s="396"/>
      <c r="U3899" s="388"/>
      <c r="V3899" s="396"/>
      <c r="W3899" s="388"/>
      <c r="X3899" s="396"/>
      <c r="Y3899" s="389"/>
      <c r="Z3899" s="396"/>
      <c r="AA3899" s="388"/>
      <c r="AB3899" s="390"/>
    </row>
    <row r="3900" spans="1:28">
      <c r="A3900" s="391"/>
      <c r="B3900" s="392"/>
      <c r="C3900" s="393" t="s">
        <v>201</v>
      </c>
      <c r="D3900" s="2562">
        <f>VLOOKUP(C3895,'Data Panjang Balok'!$C$9:$N$254,10,FALSE)</f>
        <v>0</v>
      </c>
      <c r="E3900" s="2563"/>
      <c r="F3900" s="2563"/>
      <c r="G3900" s="2563"/>
      <c r="H3900" s="2564"/>
      <c r="I3900" s="397"/>
      <c r="J3900" s="396"/>
      <c r="K3900" s="396"/>
      <c r="L3900" s="396"/>
      <c r="M3900" s="396"/>
      <c r="N3900" s="396"/>
      <c r="O3900" s="396"/>
      <c r="P3900" s="396"/>
      <c r="Q3900" s="396"/>
      <c r="R3900" s="396"/>
      <c r="S3900" s="396"/>
      <c r="T3900" s="396"/>
      <c r="U3900" s="388"/>
      <c r="V3900" s="396"/>
      <c r="W3900" s="388"/>
      <c r="X3900" s="396"/>
      <c r="Y3900" s="389"/>
      <c r="Z3900" s="396"/>
      <c r="AA3900" s="388"/>
      <c r="AB3900" s="390"/>
    </row>
    <row r="3901" spans="1:28">
      <c r="A3901" s="391"/>
      <c r="B3901" s="392"/>
      <c r="C3901" s="393" t="s">
        <v>48</v>
      </c>
      <c r="D3901" s="2562">
        <f>VLOOKUP(C3895,'Data Panjang Balok'!$C$9:$N$254,3,FALSE)</f>
        <v>1</v>
      </c>
      <c r="E3901" s="2563"/>
      <c r="F3901" s="2563"/>
      <c r="G3901" s="2563"/>
      <c r="H3901" s="2564"/>
      <c r="I3901" s="397"/>
      <c r="J3901" s="396"/>
      <c r="K3901" s="396"/>
      <c r="L3901" s="396"/>
      <c r="M3901" s="396"/>
      <c r="N3901" s="396"/>
      <c r="O3901" s="396"/>
      <c r="P3901" s="396"/>
      <c r="Q3901" s="396"/>
      <c r="R3901" s="396"/>
      <c r="S3901" s="396"/>
      <c r="T3901" s="396"/>
      <c r="U3901" s="388"/>
      <c r="V3901" s="396"/>
      <c r="W3901" s="388"/>
      <c r="X3901" s="396"/>
      <c r="Y3901" s="389"/>
      <c r="Z3901" s="396"/>
      <c r="AA3901" s="388"/>
      <c r="AB3901" s="390"/>
    </row>
    <row r="3902" spans="1:28">
      <c r="A3902" s="384" t="str">
        <f t="shared" ref="A3902:B3902" si="12558">A3895</f>
        <v>Lantai 2</v>
      </c>
      <c r="B3902" s="385">
        <f t="shared" si="12558"/>
        <v>43</v>
      </c>
      <c r="C3902" s="393" t="s">
        <v>202</v>
      </c>
      <c r="D3902" s="398">
        <f>VLOOKUP(D3895,'Detail Balok'!$C$10:$AU$140,4,FALSE)</f>
        <v>3</v>
      </c>
      <c r="E3902" s="388" t="s">
        <v>16</v>
      </c>
      <c r="F3902" s="388">
        <f>VLOOKUP(D3895,'Detail Balok'!$C$10:$AU$140,6,FALSE)</f>
        <v>16</v>
      </c>
      <c r="G3902" s="388"/>
      <c r="H3902" s="395"/>
      <c r="I3902" s="388" t="s">
        <v>203</v>
      </c>
      <c r="J3902" s="399">
        <f t="shared" ref="J3902" si="12559">+D3897/4/1000</f>
        <v>0.77249999999999996</v>
      </c>
      <c r="K3902" s="400" t="s">
        <v>204</v>
      </c>
      <c r="L3902" s="399">
        <f t="shared" ref="L3902" si="12560">MAX(VLOOKUP(F3902,N$6:P$15,3,FALSE)/1000,2/3*D3899/1000)+F$16*F3902/1000</f>
        <v>0.192</v>
      </c>
      <c r="M3902" s="399" t="s">
        <v>176</v>
      </c>
      <c r="N3902" s="399">
        <f t="shared" ref="N3902:N3904" si="12561">J3902+L3902</f>
        <v>0.96449999999999991</v>
      </c>
      <c r="O3902" s="399" t="s">
        <v>204</v>
      </c>
      <c r="P3902" s="389">
        <f t="shared" ref="P3902" si="12562">D3902-D3903</f>
        <v>0</v>
      </c>
      <c r="Q3902" s="399" t="s">
        <v>125</v>
      </c>
      <c r="R3902" s="399">
        <f t="shared" ref="R3902" si="12563">IF(P3902&gt;0,$F$18*F3902/1000,0)</f>
        <v>0</v>
      </c>
      <c r="S3902" s="399" t="s">
        <v>205</v>
      </c>
      <c r="T3902" s="399" t="s">
        <v>125</v>
      </c>
      <c r="U3902" s="401">
        <f t="shared" ref="U3902:U3904" si="12564">0.006165*F3902^2</f>
        <v>1.5782400000000001</v>
      </c>
      <c r="V3902" s="399"/>
      <c r="W3902" s="399"/>
      <c r="X3902" s="399" t="s">
        <v>125</v>
      </c>
      <c r="Y3902" s="389">
        <f t="shared" ref="Y3902" si="12565">D3901</f>
        <v>1</v>
      </c>
      <c r="Z3902" s="400" t="s">
        <v>176</v>
      </c>
      <c r="AA3902" s="402">
        <f t="shared" ref="AA3902" si="12566">IF(AA3905=0,(D3902*N3902+P3902*R3902)*U3902*Y3902,0)</f>
        <v>0</v>
      </c>
      <c r="AB3902" s="403"/>
    </row>
    <row r="3903" spans="1:28">
      <c r="A3903" s="384" t="str">
        <f t="shared" ref="A3903:B3903" si="12567">A3895</f>
        <v>Lantai 2</v>
      </c>
      <c r="B3903" s="385">
        <f t="shared" si="12567"/>
        <v>43</v>
      </c>
      <c r="C3903" s="393" t="s">
        <v>206</v>
      </c>
      <c r="D3903" s="398">
        <f>VLOOKUP(D3895,'Detail Balok'!$C$10:$AU$140,7,FALSE)</f>
        <v>3</v>
      </c>
      <c r="E3903" s="388" t="s">
        <v>16</v>
      </c>
      <c r="F3903" s="388">
        <f>VLOOKUP(D3895,'Detail Balok'!$C$10:$AU$140,9,FALSE)</f>
        <v>16</v>
      </c>
      <c r="G3903" s="388"/>
      <c r="H3903" s="395"/>
      <c r="I3903" s="388" t="s">
        <v>203</v>
      </c>
      <c r="J3903" s="399">
        <f t="shared" ref="J3903" si="12568">+D3897/2/1000</f>
        <v>1.5449999999999999</v>
      </c>
      <c r="K3903" s="400" t="s">
        <v>204</v>
      </c>
      <c r="L3903" s="399"/>
      <c r="M3903" s="399" t="s">
        <v>176</v>
      </c>
      <c r="N3903" s="399">
        <f t="shared" si="12561"/>
        <v>1.5449999999999999</v>
      </c>
      <c r="O3903" s="399" t="s">
        <v>204</v>
      </c>
      <c r="P3903" s="389">
        <f t="shared" ref="P3903" si="12569">MAX(D3903-D3902,D3903-D3904)</f>
        <v>0</v>
      </c>
      <c r="Q3903" s="399" t="s">
        <v>125</v>
      </c>
      <c r="R3903" s="399">
        <f t="shared" ref="R3903" si="12570">IF(P3903&gt;0,2*(1-2*$F$19-1/2)*D3898/1000,0)</f>
        <v>0</v>
      </c>
      <c r="S3903" s="399" t="s">
        <v>205</v>
      </c>
      <c r="T3903" s="399" t="s">
        <v>125</v>
      </c>
      <c r="U3903" s="401">
        <f t="shared" si="12564"/>
        <v>1.5782400000000001</v>
      </c>
      <c r="V3903" s="399"/>
      <c r="W3903" s="399"/>
      <c r="X3903" s="399" t="s">
        <v>125</v>
      </c>
      <c r="Y3903" s="389">
        <f t="shared" ref="Y3903" si="12571">D3901</f>
        <v>1</v>
      </c>
      <c r="Z3903" s="400" t="s">
        <v>176</v>
      </c>
      <c r="AA3903" s="402">
        <f t="shared" ref="AA3903" si="12572">IF(AA3905=0,(D3903*N3903+P3903*R3903)*U3903*Y3903,0)</f>
        <v>0</v>
      </c>
      <c r="AB3903" s="403"/>
    </row>
    <row r="3904" spans="1:28">
      <c r="A3904" s="384" t="str">
        <f t="shared" ref="A3904:B3904" si="12573">A3895</f>
        <v>Lantai 2</v>
      </c>
      <c r="B3904" s="385">
        <f t="shared" si="12573"/>
        <v>43</v>
      </c>
      <c r="C3904" s="393" t="s">
        <v>202</v>
      </c>
      <c r="D3904" s="398">
        <f>VLOOKUP(D3895,'Detail Balok'!$C$10:$AU$140,10,FALSE)</f>
        <v>3</v>
      </c>
      <c r="E3904" s="388" t="s">
        <v>16</v>
      </c>
      <c r="F3904" s="388">
        <f>VLOOKUP(D3895,'Detail Balok'!$C$10:$AU$140,12,FALSE)</f>
        <v>16</v>
      </c>
      <c r="G3904" s="388"/>
      <c r="H3904" s="395"/>
      <c r="I3904" s="388" t="s">
        <v>203</v>
      </c>
      <c r="J3904" s="399">
        <f t="shared" ref="J3904" si="12574">+D3897/4/1000</f>
        <v>0.77249999999999996</v>
      </c>
      <c r="K3904" s="400" t="s">
        <v>204</v>
      </c>
      <c r="L3904" s="399">
        <f t="shared" ref="L3904" si="12575">MAX(VLOOKUP(F3904,N$6:P$15,3,FALSE)/1000,2/3*D3899/1000)+F$16*F3904/1000</f>
        <v>0.192</v>
      </c>
      <c r="M3904" s="399" t="s">
        <v>176</v>
      </c>
      <c r="N3904" s="399">
        <f t="shared" si="12561"/>
        <v>0.96449999999999991</v>
      </c>
      <c r="O3904" s="399" t="s">
        <v>204</v>
      </c>
      <c r="P3904" s="389">
        <f t="shared" ref="P3904" si="12576">D3904-D3903</f>
        <v>0</v>
      </c>
      <c r="Q3904" s="399" t="s">
        <v>125</v>
      </c>
      <c r="R3904" s="399">
        <f t="shared" ref="R3904" si="12577">IF(P3904&gt;0,$F$18*F3904/1000,0)</f>
        <v>0</v>
      </c>
      <c r="S3904" s="399" t="s">
        <v>205</v>
      </c>
      <c r="T3904" s="399" t="s">
        <v>125</v>
      </c>
      <c r="U3904" s="401">
        <f t="shared" si="12564"/>
        <v>1.5782400000000001</v>
      </c>
      <c r="V3904" s="399"/>
      <c r="W3904" s="399"/>
      <c r="X3904" s="399" t="s">
        <v>125</v>
      </c>
      <c r="Y3904" s="389">
        <f t="shared" ref="Y3904" si="12578">D3901</f>
        <v>1</v>
      </c>
      <c r="Z3904" s="400" t="s">
        <v>176</v>
      </c>
      <c r="AA3904" s="402">
        <f t="shared" ref="AA3904" si="12579">IF(AA3905=0,(D3904*N3904+P3904*R3904)*U3904*Y3904,0)</f>
        <v>0</v>
      </c>
      <c r="AB3904" s="403"/>
    </row>
    <row r="3905" spans="1:28">
      <c r="A3905" s="384" t="str">
        <f t="shared" ref="A3905:B3905" si="12580">A3895</f>
        <v>Lantai 2</v>
      </c>
      <c r="B3905" s="385">
        <f t="shared" si="12580"/>
        <v>43</v>
      </c>
      <c r="C3905" s="393"/>
      <c r="D3905" s="398">
        <f t="shared" ref="D3905:D3965" si="12581">IF(AND(D3902=D3903,D3903=D3904,D3902=D3904),D3902,0)</f>
        <v>3</v>
      </c>
      <c r="E3905" s="388" t="s">
        <v>16</v>
      </c>
      <c r="F3905" s="388">
        <f t="shared" ref="F3905:F3965" si="12582">IF(AND(F3902=F3903,F3902=F3904,F3903=F3904),F3902,0)</f>
        <v>16</v>
      </c>
      <c r="G3905" s="388"/>
      <c r="H3905" s="395"/>
      <c r="I3905" s="388"/>
      <c r="J3905" s="396"/>
      <c r="K3905" s="396"/>
      <c r="L3905" s="404" t="s">
        <v>207</v>
      </c>
      <c r="M3905" s="399" t="s">
        <v>176</v>
      </c>
      <c r="N3905" s="399">
        <f t="shared" ref="N3905" si="12583">IF(AND(D3902=D3903,D3902=D3904,D3903=D3904,F3902=F3903,F3902=F3904,F3903=F3904),SUM(N3902:N3904),0)</f>
        <v>3.4740000000000002</v>
      </c>
      <c r="O3905" s="399" t="s">
        <v>204</v>
      </c>
      <c r="P3905" s="389">
        <f t="shared" ref="P3905" si="12584">IF(N3905&gt;12,ROUNDDOWN(N3905/12,0),0)</f>
        <v>0</v>
      </c>
      <c r="Q3905" s="399" t="s">
        <v>125</v>
      </c>
      <c r="R3905" s="399">
        <f t="shared" ref="R3905" si="12585">IF(P3905&gt;0,MAX(VLOOKUP(F3905,$D$6:$G$15,3,FALSE),600),0)/1000</f>
        <v>0</v>
      </c>
      <c r="S3905" s="396"/>
      <c r="T3905" s="396" t="s">
        <v>125</v>
      </c>
      <c r="U3905" s="401">
        <f t="shared" ref="U3905:U3965" si="12586">U3904</f>
        <v>1.5782400000000001</v>
      </c>
      <c r="V3905" s="396" t="s">
        <v>125</v>
      </c>
      <c r="W3905" s="399">
        <f t="shared" ref="W3905" si="12587">D3905</f>
        <v>3</v>
      </c>
      <c r="X3905" s="399" t="s">
        <v>125</v>
      </c>
      <c r="Y3905" s="389">
        <f t="shared" ref="Y3905:Y3965" si="12588">Y3904</f>
        <v>1</v>
      </c>
      <c r="Z3905" s="400" t="s">
        <v>176</v>
      </c>
      <c r="AA3905" s="402">
        <f t="shared" ref="AA3905" si="12589">(N3905+P3905*R3905/1000)*U3905*W3905*Y3905</f>
        <v>16.448417280000001</v>
      </c>
      <c r="AB3905" s="390"/>
    </row>
    <row r="3906" spans="1:28">
      <c r="A3906" s="384"/>
      <c r="B3906" s="385"/>
      <c r="C3906" s="393"/>
      <c r="D3906" s="398"/>
      <c r="E3906" s="388"/>
      <c r="F3906" s="388"/>
      <c r="G3906" s="388"/>
      <c r="H3906" s="395"/>
      <c r="I3906" s="388"/>
      <c r="J3906" s="396"/>
      <c r="K3906" s="396"/>
      <c r="L3906" s="404"/>
      <c r="M3906" s="399"/>
      <c r="N3906" s="399"/>
      <c r="O3906" s="396"/>
      <c r="P3906" s="389"/>
      <c r="Q3906" s="396"/>
      <c r="R3906" s="396"/>
      <c r="S3906" s="396"/>
      <c r="T3906" s="396"/>
      <c r="U3906" s="401"/>
      <c r="V3906" s="396"/>
      <c r="W3906" s="399"/>
      <c r="X3906" s="396"/>
      <c r="Y3906" s="389"/>
      <c r="Z3906" s="396"/>
      <c r="AA3906" s="388"/>
      <c r="AB3906" s="390"/>
    </row>
    <row r="3907" spans="1:28">
      <c r="A3907" s="384" t="str">
        <f t="shared" ref="A3907:B3907" si="12590">A3895</f>
        <v>Lantai 2</v>
      </c>
      <c r="B3907" s="385">
        <f t="shared" si="12590"/>
        <v>43</v>
      </c>
      <c r="C3907" s="393" t="s">
        <v>208</v>
      </c>
      <c r="D3907" s="398">
        <f>VLOOKUP(D3895,'Detail Balok'!$C$10:$AU$140,13,FALSE)</f>
        <v>0</v>
      </c>
      <c r="E3907" s="388" t="s">
        <v>16</v>
      </c>
      <c r="F3907" s="388">
        <f>VLOOKUP(D3895,'Detail Balok'!$C$10:$AU$140,15,FALSE)</f>
        <v>8</v>
      </c>
      <c r="G3907" s="388"/>
      <c r="H3907" s="395"/>
      <c r="I3907" s="388"/>
      <c r="J3907" s="399">
        <f t="shared" ref="J3907" si="12591">+D3897/1000</f>
        <v>3.09</v>
      </c>
      <c r="K3907" s="400" t="s">
        <v>204</v>
      </c>
      <c r="L3907" s="399">
        <f t="shared" ref="L3907" si="12592">2*$F$16*F3907/1000</f>
        <v>0.192</v>
      </c>
      <c r="M3907" s="399" t="s">
        <v>176</v>
      </c>
      <c r="N3907" s="399">
        <f t="shared" ref="N3907" si="12593">J3907+L3907</f>
        <v>3.282</v>
      </c>
      <c r="O3907" s="399" t="s">
        <v>204</v>
      </c>
      <c r="P3907" s="389">
        <f t="shared" ref="P3907" si="12594">IF(N3907&gt;12,ROUNDDOWN(N3907/12,0),0)</f>
        <v>0</v>
      </c>
      <c r="Q3907" s="399" t="s">
        <v>125</v>
      </c>
      <c r="R3907" s="399">
        <f t="shared" ref="R3907" si="12595">IF(P3907&gt;0,MAX(VLOOKUP(F3907,$D$6:$G$15,3,FALSE),600),0)/1000</f>
        <v>0</v>
      </c>
      <c r="S3907" s="399"/>
      <c r="T3907" s="399" t="s">
        <v>125</v>
      </c>
      <c r="U3907" s="401">
        <f t="shared" ref="U3907" si="12596">0.006165*F3907^2</f>
        <v>0.39456000000000002</v>
      </c>
      <c r="V3907" s="399" t="s">
        <v>125</v>
      </c>
      <c r="W3907" s="399">
        <f t="shared" ref="W3907" si="12597">+D3907</f>
        <v>0</v>
      </c>
      <c r="X3907" s="399" t="s">
        <v>125</v>
      </c>
      <c r="Y3907" s="389">
        <f t="shared" ref="Y3907" si="12598">D3901</f>
        <v>1</v>
      </c>
      <c r="Z3907" s="400" t="s">
        <v>176</v>
      </c>
      <c r="AA3907" s="402">
        <f t="shared" ref="AA3907" si="12599">(N3907+P3907*R3907/1000)*U3907*W3907*Y3907</f>
        <v>0</v>
      </c>
      <c r="AB3907" s="403"/>
    </row>
    <row r="3908" spans="1:28">
      <c r="A3908" s="384"/>
      <c r="B3908" s="385"/>
      <c r="C3908" s="393"/>
      <c r="D3908" s="398"/>
      <c r="E3908" s="388"/>
      <c r="F3908" s="388"/>
      <c r="G3908" s="388"/>
      <c r="H3908" s="395"/>
      <c r="I3908" s="388"/>
      <c r="J3908" s="399"/>
      <c r="K3908" s="400"/>
      <c r="L3908" s="399"/>
      <c r="M3908" s="399"/>
      <c r="N3908" s="399"/>
      <c r="O3908" s="399"/>
      <c r="P3908" s="389"/>
      <c r="Q3908" s="399"/>
      <c r="R3908" s="399"/>
      <c r="S3908" s="399"/>
      <c r="T3908" s="399"/>
      <c r="U3908" s="401"/>
      <c r="V3908" s="399"/>
      <c r="W3908" s="399"/>
      <c r="X3908" s="399"/>
      <c r="Y3908" s="389"/>
      <c r="Z3908" s="400"/>
      <c r="AA3908" s="402"/>
      <c r="AB3908" s="403"/>
    </row>
    <row r="3909" spans="1:28">
      <c r="A3909" s="384"/>
      <c r="B3909" s="385"/>
      <c r="C3909" s="393"/>
      <c r="D3909" s="398"/>
      <c r="E3909" s="388"/>
      <c r="F3909" s="388"/>
      <c r="G3909" s="388"/>
      <c r="H3909" s="395"/>
      <c r="I3909" s="388"/>
      <c r="J3909" s="396"/>
      <c r="K3909" s="396"/>
      <c r="L3909" s="396"/>
      <c r="M3909" s="396"/>
      <c r="N3909" s="396"/>
      <c r="O3909" s="396"/>
      <c r="P3909" s="389"/>
      <c r="Q3909" s="396"/>
      <c r="R3909" s="396"/>
      <c r="S3909" s="396"/>
      <c r="T3909" s="396"/>
      <c r="U3909" s="401"/>
      <c r="V3909" s="396"/>
      <c r="W3909" s="399"/>
      <c r="X3909" s="396"/>
      <c r="Y3909" s="389"/>
      <c r="Z3909" s="396"/>
      <c r="AA3909" s="388"/>
      <c r="AB3909" s="390"/>
    </row>
    <row r="3910" spans="1:28">
      <c r="A3910" s="384" t="str">
        <f t="shared" ref="A3910:B3910" si="12600">A3895</f>
        <v>Lantai 2</v>
      </c>
      <c r="B3910" s="385">
        <f t="shared" si="12600"/>
        <v>43</v>
      </c>
      <c r="C3910" s="393" t="s">
        <v>209</v>
      </c>
      <c r="D3910" s="398">
        <f>VLOOKUP(D3895,'Detail Balok'!$C$10:$AU$140,22,FALSE)</f>
        <v>3</v>
      </c>
      <c r="E3910" s="388" t="s">
        <v>16</v>
      </c>
      <c r="F3910" s="388">
        <f>VLOOKUP(D3895,'Detail Balok'!$C$10:$AU$140,24,FALSE)</f>
        <v>16</v>
      </c>
      <c r="G3910" s="388"/>
      <c r="H3910" s="395"/>
      <c r="I3910" s="388" t="s">
        <v>203</v>
      </c>
      <c r="J3910" s="399">
        <f t="shared" ref="J3910:J3972" si="12601">+J3902</f>
        <v>0.77249999999999996</v>
      </c>
      <c r="K3910" s="400" t="s">
        <v>204</v>
      </c>
      <c r="L3910" s="399">
        <f t="shared" ref="L3910" si="12602">MAX(VLOOKUP(F3910,N$6:P$15,3,FALSE)/1000,2/3*D3900/1000)+F$16*F3910/1000</f>
        <v>0.192</v>
      </c>
      <c r="M3910" s="399" t="s">
        <v>176</v>
      </c>
      <c r="N3910" s="399">
        <f t="shared" ref="N3910:N3912" si="12603">J3910+L3910</f>
        <v>0.96449999999999991</v>
      </c>
      <c r="O3910" s="399" t="s">
        <v>204</v>
      </c>
      <c r="P3910" s="389">
        <f t="shared" ref="P3910" si="12604">D3910-D3911</f>
        <v>0</v>
      </c>
      <c r="Q3910" s="399" t="s">
        <v>125</v>
      </c>
      <c r="R3910" s="399">
        <f t="shared" ref="R3910" si="12605">IF(P3910&gt;0,$F$18*F3910/1000,0)</f>
        <v>0</v>
      </c>
      <c r="S3910" s="399" t="s">
        <v>205</v>
      </c>
      <c r="T3910" s="399" t="s">
        <v>125</v>
      </c>
      <c r="U3910" s="401">
        <f t="shared" ref="U3910:U3912" si="12606">0.006165*F3910^2</f>
        <v>1.5782400000000001</v>
      </c>
      <c r="V3910" s="399"/>
      <c r="W3910" s="399"/>
      <c r="X3910" s="399" t="s">
        <v>125</v>
      </c>
      <c r="Y3910" s="389">
        <f t="shared" ref="Y3910" si="12607">D3901</f>
        <v>1</v>
      </c>
      <c r="Z3910" s="400" t="s">
        <v>176</v>
      </c>
      <c r="AA3910" s="402">
        <f t="shared" ref="AA3910" si="12608">IF(AA3913=0,(D3910*N3910+P3910*R3910)*U3910*Y3910,0)</f>
        <v>0</v>
      </c>
      <c r="AB3910" s="403"/>
    </row>
    <row r="3911" spans="1:28">
      <c r="A3911" s="384" t="str">
        <f t="shared" ref="A3911:B3911" si="12609">A3895</f>
        <v>Lantai 2</v>
      </c>
      <c r="B3911" s="385">
        <f t="shared" si="12609"/>
        <v>43</v>
      </c>
      <c r="C3911" s="393" t="s">
        <v>210</v>
      </c>
      <c r="D3911" s="398">
        <f>VLOOKUP(D3895,'Detail Balok'!$C$10:$AU$140,25,FALSE)</f>
        <v>3</v>
      </c>
      <c r="E3911" s="388" t="s">
        <v>16</v>
      </c>
      <c r="F3911" s="388">
        <f>VLOOKUP(D3895,'Detail Balok'!$C$10:$AU$140,27,FALSE)</f>
        <v>16</v>
      </c>
      <c r="G3911" s="388"/>
      <c r="H3911" s="395"/>
      <c r="I3911" s="388" t="s">
        <v>203</v>
      </c>
      <c r="J3911" s="399">
        <f t="shared" si="12601"/>
        <v>1.5449999999999999</v>
      </c>
      <c r="K3911" s="400" t="s">
        <v>204</v>
      </c>
      <c r="L3911" s="399"/>
      <c r="M3911" s="399" t="s">
        <v>176</v>
      </c>
      <c r="N3911" s="399">
        <f t="shared" si="12603"/>
        <v>1.5449999999999999</v>
      </c>
      <c r="O3911" s="399" t="s">
        <v>204</v>
      </c>
      <c r="P3911" s="389">
        <f t="shared" ref="P3911" si="12610">MAX(D3911-D3910,D3911-D3912)</f>
        <v>0</v>
      </c>
      <c r="Q3911" s="399" t="s">
        <v>125</v>
      </c>
      <c r="R3911" s="399">
        <f t="shared" ref="R3911" si="12611">IF(P3911&gt;0,2*(1-2*$F$19-1/2)*D3898/1000,0)</f>
        <v>0</v>
      </c>
      <c r="S3911" s="399" t="s">
        <v>205</v>
      </c>
      <c r="T3911" s="399" t="s">
        <v>125</v>
      </c>
      <c r="U3911" s="401">
        <f t="shared" si="12606"/>
        <v>1.5782400000000001</v>
      </c>
      <c r="V3911" s="399"/>
      <c r="W3911" s="399"/>
      <c r="X3911" s="399" t="s">
        <v>125</v>
      </c>
      <c r="Y3911" s="389">
        <f t="shared" ref="Y3911" si="12612">D3901</f>
        <v>1</v>
      </c>
      <c r="Z3911" s="400" t="s">
        <v>176</v>
      </c>
      <c r="AA3911" s="402">
        <f t="shared" ref="AA3911" si="12613">IF(AA3913=0,(D3911*N3911+P3911*R3911)*U3911*Y3911,0)</f>
        <v>0</v>
      </c>
      <c r="AB3911" s="403"/>
    </row>
    <row r="3912" spans="1:28">
      <c r="A3912" s="384" t="str">
        <f t="shared" ref="A3912:B3912" si="12614">A3895</f>
        <v>Lantai 2</v>
      </c>
      <c r="B3912" s="385">
        <f t="shared" si="12614"/>
        <v>43</v>
      </c>
      <c r="C3912" s="393" t="s">
        <v>209</v>
      </c>
      <c r="D3912" s="398">
        <f>VLOOKUP(D3895,'Detail Balok'!$C$10:$AU$140,28,FALSE)</f>
        <v>3</v>
      </c>
      <c r="E3912" s="388" t="s">
        <v>16</v>
      </c>
      <c r="F3912" s="388">
        <f>VLOOKUP(D3895,'Detail Balok'!$C$10:$AU$140,30,FALSE)</f>
        <v>16</v>
      </c>
      <c r="G3912" s="388"/>
      <c r="H3912" s="395"/>
      <c r="I3912" s="388" t="s">
        <v>203</v>
      </c>
      <c r="J3912" s="399">
        <f t="shared" si="12601"/>
        <v>0.77249999999999996</v>
      </c>
      <c r="K3912" s="400" t="s">
        <v>204</v>
      </c>
      <c r="L3912" s="399">
        <f t="shared" ref="L3912" si="12615">MAX(VLOOKUP(F3912,N$6:P$15,3,FALSE)/1000,2/3*D3900/1000)+F$16*F3912/1000</f>
        <v>0.192</v>
      </c>
      <c r="M3912" s="399" t="s">
        <v>176</v>
      </c>
      <c r="N3912" s="399">
        <f t="shared" si="12603"/>
        <v>0.96449999999999991</v>
      </c>
      <c r="O3912" s="399" t="s">
        <v>204</v>
      </c>
      <c r="P3912" s="389">
        <f t="shared" ref="P3912" si="12616">D3912-D3911</f>
        <v>0</v>
      </c>
      <c r="Q3912" s="399" t="s">
        <v>125</v>
      </c>
      <c r="R3912" s="399">
        <f t="shared" ref="R3912" si="12617">IF(P3912&gt;0,$F$18*F3912/1000,0)</f>
        <v>0</v>
      </c>
      <c r="S3912" s="399" t="s">
        <v>205</v>
      </c>
      <c r="T3912" s="399" t="s">
        <v>125</v>
      </c>
      <c r="U3912" s="401">
        <f t="shared" si="12606"/>
        <v>1.5782400000000001</v>
      </c>
      <c r="V3912" s="399"/>
      <c r="W3912" s="399"/>
      <c r="X3912" s="399" t="s">
        <v>125</v>
      </c>
      <c r="Y3912" s="389">
        <f t="shared" ref="Y3912" si="12618">D3901</f>
        <v>1</v>
      </c>
      <c r="Z3912" s="400" t="s">
        <v>176</v>
      </c>
      <c r="AA3912" s="402">
        <f t="shared" ref="AA3912" si="12619">IF(AA3913=0,(D3912*N3912+P3912*R3912)*U3912*Y3912,0)</f>
        <v>0</v>
      </c>
      <c r="AB3912" s="403"/>
    </row>
    <row r="3913" spans="1:28">
      <c r="A3913" s="384" t="str">
        <f t="shared" ref="A3913:B3913" si="12620">A3895</f>
        <v>Lantai 2</v>
      </c>
      <c r="B3913" s="385">
        <f t="shared" si="12620"/>
        <v>43</v>
      </c>
      <c r="C3913" s="393"/>
      <c r="D3913" s="398">
        <f t="shared" ref="D3913:D3973" si="12621">IF(AND(D3910=D3911,D3911=D3912,D3910=D3912),D3910,0)</f>
        <v>3</v>
      </c>
      <c r="E3913" s="388" t="s">
        <v>16</v>
      </c>
      <c r="F3913" s="388">
        <f t="shared" ref="F3913:F3973" si="12622">IF(AND(F3910=F3911,F3910=F3912,F3911=F3912),F3910,0)</f>
        <v>16</v>
      </c>
      <c r="G3913" s="388"/>
      <c r="H3913" s="395"/>
      <c r="I3913" s="388"/>
      <c r="J3913" s="396"/>
      <c r="K3913" s="396"/>
      <c r="L3913" s="404" t="s">
        <v>207</v>
      </c>
      <c r="M3913" s="399" t="s">
        <v>176</v>
      </c>
      <c r="N3913" s="399">
        <f t="shared" ref="N3913" si="12623">IF(AND(D3910=D3911,D3910=D3912,D3911=D3912,F3910=F3911,F3910=F3912,F3911=F3912),SUM(N3910:N3912),0)</f>
        <v>3.4740000000000002</v>
      </c>
      <c r="O3913" s="399" t="s">
        <v>204</v>
      </c>
      <c r="P3913" s="389">
        <f t="shared" ref="P3913" si="12624">IF(N3913&gt;12,ROUNDDOWN(N3913/12,0),0)</f>
        <v>0</v>
      </c>
      <c r="Q3913" s="399" t="s">
        <v>125</v>
      </c>
      <c r="R3913" s="399">
        <f t="shared" ref="R3913" si="12625">IF(P3913&gt;0,MAX(VLOOKUP(F3913,$D$6:$G$15,3,FALSE),600),0)/1000</f>
        <v>0</v>
      </c>
      <c r="S3913" s="396"/>
      <c r="T3913" s="396" t="s">
        <v>125</v>
      </c>
      <c r="U3913" s="401">
        <f t="shared" ref="U3913:U3973" si="12626">U3912</f>
        <v>1.5782400000000001</v>
      </c>
      <c r="V3913" s="396" t="s">
        <v>125</v>
      </c>
      <c r="W3913" s="399">
        <f t="shared" ref="W3913" si="12627">D3913</f>
        <v>3</v>
      </c>
      <c r="X3913" s="399" t="s">
        <v>125</v>
      </c>
      <c r="Y3913" s="389">
        <f t="shared" ref="Y3913:Y3973" si="12628">Y3912</f>
        <v>1</v>
      </c>
      <c r="Z3913" s="400" t="s">
        <v>176</v>
      </c>
      <c r="AA3913" s="402">
        <f t="shared" ref="AA3913" si="12629">(N3913+P3913*R3913/1000)*U3913*W3913*Y3913</f>
        <v>16.448417280000001</v>
      </c>
      <c r="AB3913" s="403"/>
    </row>
    <row r="3914" spans="1:28">
      <c r="A3914" s="384"/>
      <c r="B3914" s="385"/>
      <c r="C3914" s="393"/>
      <c r="D3914" s="394"/>
      <c r="E3914" s="388"/>
      <c r="F3914" s="388"/>
      <c r="G3914" s="388"/>
      <c r="H3914" s="395"/>
      <c r="I3914" s="388"/>
      <c r="J3914" s="399"/>
      <c r="K3914" s="396"/>
      <c r="L3914" s="396"/>
      <c r="M3914" s="396"/>
      <c r="N3914" s="396"/>
      <c r="O3914" s="396"/>
      <c r="P3914" s="389"/>
      <c r="Q3914" s="396"/>
      <c r="R3914" s="396"/>
      <c r="S3914" s="396"/>
      <c r="T3914" s="396"/>
      <c r="U3914" s="401"/>
      <c r="V3914" s="396"/>
      <c r="W3914" s="388"/>
      <c r="X3914" s="396"/>
      <c r="Y3914" s="389"/>
      <c r="Z3914" s="396"/>
      <c r="AA3914" s="388"/>
      <c r="AB3914" s="390"/>
    </row>
    <row r="3915" spans="1:28">
      <c r="A3915" s="384" t="str">
        <f t="shared" ref="A3915:B3915" si="12630">A3895</f>
        <v>Lantai 2</v>
      </c>
      <c r="B3915" s="385">
        <f t="shared" si="12630"/>
        <v>43</v>
      </c>
      <c r="C3915" s="393" t="s">
        <v>211</v>
      </c>
      <c r="D3915" s="398">
        <f>VLOOKUP(D3895,'Detail Balok'!$C$10:$AU$140,31,FALSE)</f>
        <v>0</v>
      </c>
      <c r="E3915" s="388" t="s">
        <v>16</v>
      </c>
      <c r="F3915" s="388">
        <f>VLOOKUP(D3895,'Detail Balok'!$C$10:$AU$140,33,FALSE)</f>
        <v>10</v>
      </c>
      <c r="G3915" s="405" t="s">
        <v>157</v>
      </c>
      <c r="H3915" s="395">
        <f>VLOOKUP(D3895,'Detail Balok'!$C$10:$AU$140,35,FALSE)</f>
        <v>100</v>
      </c>
      <c r="I3915" s="388"/>
      <c r="J3915" s="400">
        <f t="shared" ref="J3915" si="12631">(IF(D3915=0,(2*(D3896+G3896))-(F$5*8),IF(D3915=3,(2*(D3896+G3896))-(F$5*8)+(G3896-2*F$5),IF(D3915=4,(2*(D3896+G3896))-(F$5*8)+2*(G3896-2*F$5)))))/1000</f>
        <v>0.88</v>
      </c>
      <c r="K3915" s="400" t="s">
        <v>204</v>
      </c>
      <c r="L3915" s="399">
        <f t="shared" ref="L3915:L3917" si="12632">IF(D3915=0,2*MAX(6*F3915,75),(D3915-1)*2*MAX(6*F3915,75))/1000</f>
        <v>0.15</v>
      </c>
      <c r="M3915" s="399" t="s">
        <v>176</v>
      </c>
      <c r="N3915" s="399">
        <f t="shared" ref="N3915:N3917" si="12633">J3915+L3915</f>
        <v>1.03</v>
      </c>
      <c r="O3915" s="399"/>
      <c r="P3915" s="389"/>
      <c r="Q3915" s="399"/>
      <c r="R3915" s="399"/>
      <c r="S3915" s="399"/>
      <c r="T3915" s="399" t="s">
        <v>125</v>
      </c>
      <c r="U3915" s="401">
        <f t="shared" ref="U3915:U3917" si="12634">0.006165*F3915^2</f>
        <v>0.61650000000000005</v>
      </c>
      <c r="V3915" s="399" t="s">
        <v>125</v>
      </c>
      <c r="W3915" s="399">
        <f t="shared" ref="W3915" si="12635">IF(D3898&gt;4*G3896,ROUND(MAX(D3898/4,2*G3896)/H3915,0)+1,ROUND(D3898/H3915,0)+1)</f>
        <v>9</v>
      </c>
      <c r="X3915" s="399" t="s">
        <v>125</v>
      </c>
      <c r="Y3915" s="389">
        <f t="shared" ref="Y3915" si="12636">D3901</f>
        <v>1</v>
      </c>
      <c r="Z3915" s="400" t="s">
        <v>176</v>
      </c>
      <c r="AA3915" s="402">
        <f t="shared" ref="AA3915:AA3917" si="12637">N3915*U3915*W3915*Y3915</f>
        <v>5.7149550000000007</v>
      </c>
      <c r="AB3915" s="403"/>
    </row>
    <row r="3916" spans="1:28">
      <c r="A3916" s="384" t="str">
        <f t="shared" ref="A3916:B3916" si="12638">A3895</f>
        <v>Lantai 2</v>
      </c>
      <c r="B3916" s="385">
        <f t="shared" si="12638"/>
        <v>43</v>
      </c>
      <c r="C3916" s="393" t="s">
        <v>212</v>
      </c>
      <c r="D3916" s="398">
        <f>VLOOKUP(D3895,'Detail Balok'!$C$10:$AU$140,36,FALSE)</f>
        <v>0</v>
      </c>
      <c r="E3916" s="388" t="s">
        <v>16</v>
      </c>
      <c r="F3916" s="388">
        <f>VLOOKUP(D3895,'Detail Balok'!$C$10:$AU$140,38,FALSE)</f>
        <v>10</v>
      </c>
      <c r="G3916" s="405" t="s">
        <v>157</v>
      </c>
      <c r="H3916" s="395">
        <f>VLOOKUP(D3895,'Detail Balok'!$C$10:$AU$140,40,FALSE)</f>
        <v>100</v>
      </c>
      <c r="I3916" s="388"/>
      <c r="J3916" s="400">
        <f t="shared" ref="J3916" si="12639">(IF(D3916=0,(2*(D3896+G3896))-(F$5*8),IF(D3916=3,(2*(D3896+G3896))-(F$5*8)+(G3896-2*F$5),IF(D3916=4,(2*(D3896+G3896))-(F$5*8)+2*(G3896-2*F$5)))))/1000</f>
        <v>0.88</v>
      </c>
      <c r="K3916" s="400" t="s">
        <v>204</v>
      </c>
      <c r="L3916" s="399">
        <f t="shared" si="12632"/>
        <v>0.15</v>
      </c>
      <c r="M3916" s="399" t="s">
        <v>176</v>
      </c>
      <c r="N3916" s="399">
        <f t="shared" si="12633"/>
        <v>1.03</v>
      </c>
      <c r="O3916" s="399"/>
      <c r="P3916" s="389"/>
      <c r="Q3916" s="399"/>
      <c r="R3916" s="399"/>
      <c r="S3916" s="399"/>
      <c r="T3916" s="399" t="s">
        <v>125</v>
      </c>
      <c r="U3916" s="401">
        <f t="shared" si="12634"/>
        <v>0.61650000000000005</v>
      </c>
      <c r="V3916" s="399" t="s">
        <v>125</v>
      </c>
      <c r="W3916" s="399">
        <f t="shared" ref="W3916" si="12640">IF(D3898-MAX(D3898/4,2*G3896)*2&gt;0,ROUND((D3898-MAX(D3898/4,2*G3896)*2)/H3916,0),0)</f>
        <v>15</v>
      </c>
      <c r="X3916" s="399" t="s">
        <v>125</v>
      </c>
      <c r="Y3916" s="389">
        <f t="shared" ref="Y3916" si="12641">D3901</f>
        <v>1</v>
      </c>
      <c r="Z3916" s="400" t="s">
        <v>176</v>
      </c>
      <c r="AA3916" s="402">
        <f t="shared" si="12637"/>
        <v>9.5249250000000014</v>
      </c>
      <c r="AB3916" s="403"/>
    </row>
    <row r="3917" spans="1:28">
      <c r="A3917" s="384" t="str">
        <f t="shared" ref="A3917:B3917" si="12642">A3895</f>
        <v>Lantai 2</v>
      </c>
      <c r="B3917" s="385">
        <f t="shared" si="12642"/>
        <v>43</v>
      </c>
      <c r="C3917" s="393" t="s">
        <v>211</v>
      </c>
      <c r="D3917" s="398">
        <f>VLOOKUP(D3895,'Detail Balok'!$C$10:$AU$140,41,FALSE)</f>
        <v>0</v>
      </c>
      <c r="E3917" s="388" t="s">
        <v>16</v>
      </c>
      <c r="F3917" s="388">
        <f>VLOOKUP(D3895,'Detail Balok'!$C$10:$AU$140,43,FALSE)</f>
        <v>10</v>
      </c>
      <c r="G3917" s="405" t="s">
        <v>157</v>
      </c>
      <c r="H3917" s="395">
        <f>VLOOKUP(D3895,'Detail Balok'!$C$10:$AU$140,45,FALSE)</f>
        <v>100</v>
      </c>
      <c r="I3917" s="388"/>
      <c r="J3917" s="400">
        <f t="shared" ref="J3917" si="12643">(IF(D3917=0,(2*(D3896+G3896))-(F$5*8),IF(D3917=3,(2*(D3896+G3896))-(F$5*8)+(G3896-2*F$5),IF(D3917=4,(2*(D3896+G3896))-(F$5*8)+2*(G3896-2*F$5)))))/1000</f>
        <v>0.88</v>
      </c>
      <c r="K3917" s="400" t="s">
        <v>204</v>
      </c>
      <c r="L3917" s="399">
        <f t="shared" si="12632"/>
        <v>0.15</v>
      </c>
      <c r="M3917" s="399" t="s">
        <v>176</v>
      </c>
      <c r="N3917" s="399">
        <f t="shared" si="12633"/>
        <v>1.03</v>
      </c>
      <c r="O3917" s="399"/>
      <c r="P3917" s="389"/>
      <c r="Q3917" s="399"/>
      <c r="R3917" s="399"/>
      <c r="S3917" s="399"/>
      <c r="T3917" s="399" t="s">
        <v>125</v>
      </c>
      <c r="U3917" s="401">
        <f t="shared" si="12634"/>
        <v>0.61650000000000005</v>
      </c>
      <c r="V3917" s="399" t="s">
        <v>125</v>
      </c>
      <c r="W3917" s="399">
        <f t="shared" ref="W3917" si="12644">IF(D3898&gt;4*G3896,ROUND(MAX(D3898/4,2*G3896)/H3917,0)+1,0)</f>
        <v>9</v>
      </c>
      <c r="X3917" s="399" t="s">
        <v>125</v>
      </c>
      <c r="Y3917" s="389">
        <f t="shared" ref="Y3917" si="12645">D3901</f>
        <v>1</v>
      </c>
      <c r="Z3917" s="400" t="s">
        <v>176</v>
      </c>
      <c r="AA3917" s="402">
        <f t="shared" si="12637"/>
        <v>5.7149550000000007</v>
      </c>
      <c r="AB3917" s="403"/>
    </row>
    <row r="3918" spans="1:28">
      <c r="A3918" s="384"/>
      <c r="B3918" s="385"/>
      <c r="C3918" s="393"/>
      <c r="D3918" s="394"/>
      <c r="E3918" s="388"/>
      <c r="F3918" s="388"/>
      <c r="G3918" s="388"/>
      <c r="H3918" s="395"/>
      <c r="I3918" s="388"/>
      <c r="J3918" s="399"/>
      <c r="K3918" s="396"/>
      <c r="L3918" s="396"/>
      <c r="M3918" s="396"/>
      <c r="N3918" s="396"/>
      <c r="O3918" s="396"/>
      <c r="P3918" s="389"/>
      <c r="Q3918" s="396"/>
      <c r="R3918" s="396"/>
      <c r="S3918" s="396"/>
      <c r="T3918" s="396"/>
      <c r="U3918" s="401"/>
      <c r="V3918" s="396"/>
      <c r="W3918" s="388"/>
      <c r="X3918" s="396"/>
      <c r="Y3918" s="389"/>
      <c r="Z3918" s="396"/>
      <c r="AA3918" s="388"/>
      <c r="AB3918" s="390"/>
    </row>
    <row r="3919" spans="1:28">
      <c r="A3919" s="384" t="str">
        <f t="shared" ref="A3919:B3919" si="12646">A3895</f>
        <v>Lantai 2</v>
      </c>
      <c r="B3919" s="385">
        <f t="shared" si="12646"/>
        <v>43</v>
      </c>
      <c r="C3919" s="393" t="s">
        <v>213</v>
      </c>
      <c r="D3919" s="398">
        <f>VLOOKUP(D3895,'Detail Balok'!$C$10:$BJ$140,46,FALSE)</f>
        <v>0</v>
      </c>
      <c r="E3919" s="388" t="s">
        <v>16</v>
      </c>
      <c r="F3919" s="388">
        <f>VLOOKUP(D3895,'Detail Balok'!$C$10:$BJ$140,48,FALSE)</f>
        <v>0</v>
      </c>
      <c r="G3919" s="405" t="s">
        <v>157</v>
      </c>
      <c r="H3919" s="395">
        <f>VLOOKUP(D3895,'Detail Balok'!$C$10:$BJ$140,50,FALSE)</f>
        <v>100</v>
      </c>
      <c r="I3919" s="388"/>
      <c r="J3919" s="399">
        <f t="shared" ref="J3919" si="12647">(D3896-2*F$5)/1000</f>
        <v>0.12</v>
      </c>
      <c r="K3919" s="400" t="s">
        <v>204</v>
      </c>
      <c r="L3919" s="399">
        <f t="shared" ref="L3919:L3921" si="12648">IF(D3919=0,2*MAX(6*F3919,75),(D3919-1)*2*MAX(6*F3919,75))/1000</f>
        <v>0.15</v>
      </c>
      <c r="M3919" s="399" t="s">
        <v>176</v>
      </c>
      <c r="N3919" s="399">
        <f t="shared" ref="N3919:N3921" si="12649">J3919+L3919</f>
        <v>0.27</v>
      </c>
      <c r="O3919" s="399"/>
      <c r="P3919" s="399"/>
      <c r="Q3919" s="399"/>
      <c r="R3919" s="399"/>
      <c r="S3919" s="399"/>
      <c r="T3919" s="399" t="s">
        <v>125</v>
      </c>
      <c r="U3919" s="401">
        <f t="shared" ref="U3919:U3921" si="12650">0.006165*F3919^2</f>
        <v>0</v>
      </c>
      <c r="V3919" s="399" t="s">
        <v>125</v>
      </c>
      <c r="W3919" s="399">
        <f t="shared" ref="W3919:W3981" si="12651">W3915</f>
        <v>9</v>
      </c>
      <c r="X3919" s="399" t="s">
        <v>125</v>
      </c>
      <c r="Y3919" s="389">
        <f t="shared" ref="Y3919" si="12652">D3905</f>
        <v>3</v>
      </c>
      <c r="Z3919" s="400" t="s">
        <v>176</v>
      </c>
      <c r="AA3919" s="402">
        <f t="shared" ref="AA3919:AA3921" si="12653">N3919*U3919*W3919*Y3919</f>
        <v>0</v>
      </c>
      <c r="AB3919" s="403"/>
    </row>
    <row r="3920" spans="1:28">
      <c r="A3920" s="384" t="str">
        <f t="shared" ref="A3920:B3920" si="12654">A3895</f>
        <v>Lantai 2</v>
      </c>
      <c r="B3920" s="385">
        <f t="shared" si="12654"/>
        <v>43</v>
      </c>
      <c r="C3920" s="393" t="s">
        <v>214</v>
      </c>
      <c r="D3920" s="398">
        <f>VLOOKUP(D3895,'Detail Balok'!$C$10:$BJ$140,51,FALSE)</f>
        <v>0</v>
      </c>
      <c r="E3920" s="388" t="s">
        <v>16</v>
      </c>
      <c r="F3920" s="388">
        <f>VLOOKUP(D3895,'Detail Balok'!$C$10:$BJ$140,53,FALSE)</f>
        <v>0</v>
      </c>
      <c r="G3920" s="405" t="s">
        <v>157</v>
      </c>
      <c r="H3920" s="395">
        <f>VLOOKUP(D3895,'Detail Balok'!$C$10:$BJ$140,55,FALSE)</f>
        <v>100</v>
      </c>
      <c r="I3920" s="388"/>
      <c r="J3920" s="399">
        <f t="shared" ref="J3920" si="12655">(D3896-2*F$5)/1000</f>
        <v>0.12</v>
      </c>
      <c r="K3920" s="400" t="s">
        <v>204</v>
      </c>
      <c r="L3920" s="399">
        <f t="shared" si="12648"/>
        <v>0.15</v>
      </c>
      <c r="M3920" s="399" t="s">
        <v>176</v>
      </c>
      <c r="N3920" s="399">
        <f t="shared" si="12649"/>
        <v>0.27</v>
      </c>
      <c r="O3920" s="399"/>
      <c r="P3920" s="399"/>
      <c r="Q3920" s="399"/>
      <c r="R3920" s="399"/>
      <c r="S3920" s="399"/>
      <c r="T3920" s="399" t="s">
        <v>125</v>
      </c>
      <c r="U3920" s="401">
        <f t="shared" si="12650"/>
        <v>0</v>
      </c>
      <c r="V3920" s="399" t="s">
        <v>125</v>
      </c>
      <c r="W3920" s="399">
        <f t="shared" si="12651"/>
        <v>15</v>
      </c>
      <c r="X3920" s="399" t="s">
        <v>125</v>
      </c>
      <c r="Y3920" s="389">
        <f t="shared" ref="Y3920" si="12656">D3905</f>
        <v>3</v>
      </c>
      <c r="Z3920" s="400" t="s">
        <v>176</v>
      </c>
      <c r="AA3920" s="402">
        <f t="shared" si="12653"/>
        <v>0</v>
      </c>
      <c r="AB3920" s="403"/>
    </row>
    <row r="3921" spans="1:28">
      <c r="A3921" s="384" t="str">
        <f t="shared" ref="A3921:B3921" si="12657">A3895</f>
        <v>Lantai 2</v>
      </c>
      <c r="B3921" s="385">
        <f t="shared" si="12657"/>
        <v>43</v>
      </c>
      <c r="C3921" s="393" t="s">
        <v>213</v>
      </c>
      <c r="D3921" s="398">
        <f>VLOOKUP(D3895,'Detail Balok'!$C$10:$BJ$140,56,FALSE)</f>
        <v>0</v>
      </c>
      <c r="E3921" s="388" t="s">
        <v>16</v>
      </c>
      <c r="F3921" s="388">
        <f>VLOOKUP(D3895,'Detail Balok'!$C$10:$BJ$140,58,FALSE)</f>
        <v>0</v>
      </c>
      <c r="G3921" s="405" t="s">
        <v>157</v>
      </c>
      <c r="H3921" s="395">
        <f>VLOOKUP(D3895,'Detail Balok'!$C$10:$BJ$140,60,FALSE)</f>
        <v>100</v>
      </c>
      <c r="I3921" s="388"/>
      <c r="J3921" s="399">
        <f t="shared" ref="J3921" si="12658">(D3896-2*F$5)/1000</f>
        <v>0.12</v>
      </c>
      <c r="K3921" s="400" t="s">
        <v>204</v>
      </c>
      <c r="L3921" s="399">
        <f t="shared" si="12648"/>
        <v>0.15</v>
      </c>
      <c r="M3921" s="399" t="s">
        <v>176</v>
      </c>
      <c r="N3921" s="399">
        <f t="shared" si="12649"/>
        <v>0.27</v>
      </c>
      <c r="O3921" s="399"/>
      <c r="P3921" s="399"/>
      <c r="Q3921" s="399"/>
      <c r="R3921" s="399"/>
      <c r="S3921" s="399"/>
      <c r="T3921" s="399" t="s">
        <v>125</v>
      </c>
      <c r="U3921" s="401">
        <f t="shared" si="12650"/>
        <v>0</v>
      </c>
      <c r="V3921" s="399" t="s">
        <v>125</v>
      </c>
      <c r="W3921" s="399">
        <f t="shared" si="12651"/>
        <v>9</v>
      </c>
      <c r="X3921" s="399" t="s">
        <v>125</v>
      </c>
      <c r="Y3921" s="389">
        <f t="shared" ref="Y3921" si="12659">D3905</f>
        <v>3</v>
      </c>
      <c r="Z3921" s="400" t="s">
        <v>176</v>
      </c>
      <c r="AA3921" s="402">
        <f t="shared" si="12653"/>
        <v>0</v>
      </c>
      <c r="AB3921" s="403"/>
    </row>
    <row r="3922" spans="1:28">
      <c r="A3922" s="391"/>
      <c r="B3922" s="392"/>
      <c r="C3922" s="392"/>
      <c r="D3922" s="394"/>
      <c r="E3922" s="388"/>
      <c r="F3922" s="388"/>
      <c r="G3922" s="388"/>
      <c r="H3922" s="395"/>
      <c r="I3922" s="388"/>
      <c r="J3922" s="402"/>
      <c r="K3922" s="388"/>
      <c r="L3922" s="388"/>
      <c r="M3922" s="388"/>
      <c r="N3922" s="388"/>
      <c r="O3922" s="388"/>
      <c r="P3922" s="388"/>
      <c r="Q3922" s="388"/>
      <c r="R3922" s="388"/>
      <c r="S3922" s="388"/>
      <c r="T3922" s="388"/>
      <c r="U3922" s="388"/>
      <c r="V3922" s="388"/>
      <c r="W3922" s="388"/>
      <c r="X3922" s="388"/>
      <c r="Y3922" s="389"/>
      <c r="Z3922" s="388"/>
      <c r="AA3922" s="402"/>
      <c r="AB3922" s="403"/>
    </row>
    <row r="3923" spans="1:28" ht="15.75" thickBot="1">
      <c r="A3923" s="406"/>
      <c r="B3923" s="407"/>
      <c r="C3923" s="407"/>
      <c r="D3923" s="408"/>
      <c r="E3923" s="409"/>
      <c r="F3923" s="409"/>
      <c r="G3923" s="409"/>
      <c r="H3923" s="410"/>
      <c r="I3923" s="409"/>
      <c r="J3923" s="409"/>
      <c r="K3923" s="409"/>
      <c r="L3923" s="409"/>
      <c r="M3923" s="409"/>
      <c r="N3923" s="409"/>
      <c r="O3923" s="409"/>
      <c r="P3923" s="409"/>
      <c r="Q3923" s="409"/>
      <c r="R3923" s="409"/>
      <c r="S3923" s="409"/>
      <c r="T3923" s="409"/>
      <c r="U3923" s="409"/>
      <c r="V3923" s="409"/>
      <c r="W3923" s="409"/>
      <c r="X3923" s="409"/>
      <c r="Y3923" s="411"/>
      <c r="Z3923" s="409"/>
      <c r="AA3923" s="412"/>
      <c r="AB3923" s="413"/>
    </row>
    <row r="3924" spans="1:28">
      <c r="A3924" s="377"/>
      <c r="B3924" s="378"/>
      <c r="C3924" s="378"/>
      <c r="D3924" s="379"/>
      <c r="E3924" s="380"/>
      <c r="F3924" s="380"/>
      <c r="G3924" s="380"/>
      <c r="H3924" s="381"/>
      <c r="I3924" s="380"/>
      <c r="J3924" s="380"/>
      <c r="K3924" s="380"/>
      <c r="L3924" s="380"/>
      <c r="M3924" s="380"/>
      <c r="N3924" s="380"/>
      <c r="O3924" s="380"/>
      <c r="P3924" s="380"/>
      <c r="Q3924" s="380"/>
      <c r="R3924" s="380"/>
      <c r="S3924" s="380"/>
      <c r="T3924" s="380"/>
      <c r="U3924" s="380"/>
      <c r="V3924" s="380"/>
      <c r="W3924" s="380"/>
      <c r="X3924" s="380"/>
      <c r="Y3924" s="382"/>
      <c r="Z3924" s="380"/>
      <c r="AA3924" s="380"/>
      <c r="AB3924" s="383"/>
    </row>
    <row r="3925" spans="1:28">
      <c r="A3925" s="384" t="str">
        <f t="shared" ref="A3925:A3985" si="12660">A3895</f>
        <v>Lantai 2</v>
      </c>
      <c r="B3925" s="385">
        <f t="shared" ref="B3925:B3985" si="12661">B3895+1</f>
        <v>44</v>
      </c>
      <c r="C3925" s="386" t="str">
        <f t="shared" ref="C3925" si="12662">CONCATENATE(A3925," no. ",B3925)</f>
        <v>Lantai 2 no. 44</v>
      </c>
      <c r="D3925" s="2562" t="str">
        <f>VLOOKUP(C3925,'Data Panjang Balok'!$C$9:$N$254,2,FALSE)</f>
        <v>B25-1</v>
      </c>
      <c r="E3925" s="2576"/>
      <c r="F3925" s="2576"/>
      <c r="G3925" s="2576"/>
      <c r="H3925" s="2577"/>
      <c r="I3925" s="387"/>
      <c r="J3925" s="388"/>
      <c r="K3925" s="388"/>
      <c r="L3925" s="388"/>
      <c r="M3925" s="388"/>
      <c r="N3925" s="388"/>
      <c r="O3925" s="388"/>
      <c r="P3925" s="388"/>
      <c r="Q3925" s="388"/>
      <c r="R3925" s="388"/>
      <c r="S3925" s="388"/>
      <c r="T3925" s="388"/>
      <c r="U3925" s="388"/>
      <c r="V3925" s="388"/>
      <c r="W3925" s="388"/>
      <c r="X3925" s="388"/>
      <c r="Y3925" s="389"/>
      <c r="Z3925" s="388"/>
      <c r="AA3925" s="388"/>
      <c r="AB3925" s="390"/>
    </row>
    <row r="3926" spans="1:28">
      <c r="A3926" s="391"/>
      <c r="B3926" s="392"/>
      <c r="C3926" s="393" t="s">
        <v>118</v>
      </c>
      <c r="D3926" s="2578">
        <f>VLOOKUP(D3925,'Detail Balok'!$C$10:$AU$140,2,FALSE)</f>
        <v>200</v>
      </c>
      <c r="E3926" s="2579"/>
      <c r="F3926" s="388" t="s">
        <v>125</v>
      </c>
      <c r="G3926" s="2579">
        <f>VLOOKUP(D3925,'Detail Balok'!$C$10:$AU$140,3,FALSE)</f>
        <v>500</v>
      </c>
      <c r="H3926" s="2580"/>
      <c r="I3926" s="388"/>
      <c r="J3926" s="396"/>
      <c r="K3926" s="396"/>
      <c r="L3926" s="396"/>
      <c r="M3926" s="396"/>
      <c r="N3926" s="396"/>
      <c r="O3926" s="396"/>
      <c r="P3926" s="396"/>
      <c r="Q3926" s="396"/>
      <c r="R3926" s="396"/>
      <c r="S3926" s="396"/>
      <c r="T3926" s="396"/>
      <c r="U3926" s="388"/>
      <c r="V3926" s="396"/>
      <c r="W3926" s="388"/>
      <c r="X3926" s="396"/>
      <c r="Y3926" s="389"/>
      <c r="Z3926" s="396"/>
      <c r="AA3926" s="388"/>
      <c r="AB3926" s="390"/>
    </row>
    <row r="3927" spans="1:28">
      <c r="A3927" s="391"/>
      <c r="B3927" s="392"/>
      <c r="C3927" s="393" t="s">
        <v>198</v>
      </c>
      <c r="D3927" s="2562">
        <f>VLOOKUP(C3925,'Data Panjang Balok'!$C$9:$N$254,4,FALSE)</f>
        <v>6080</v>
      </c>
      <c r="E3927" s="2563"/>
      <c r="F3927" s="2563"/>
      <c r="G3927" s="2563"/>
      <c r="H3927" s="2564"/>
      <c r="I3927" s="397"/>
      <c r="J3927" s="396"/>
      <c r="K3927" s="396"/>
      <c r="L3927" s="396"/>
      <c r="M3927" s="396"/>
      <c r="N3927" s="396"/>
      <c r="O3927" s="396"/>
      <c r="P3927" s="396"/>
      <c r="Q3927" s="396"/>
      <c r="R3927" s="396"/>
      <c r="S3927" s="396"/>
      <c r="T3927" s="396"/>
      <c r="U3927" s="388"/>
      <c r="V3927" s="396"/>
      <c r="W3927" s="388"/>
      <c r="X3927" s="396"/>
      <c r="Y3927" s="389"/>
      <c r="Z3927" s="396"/>
      <c r="AA3927" s="388"/>
      <c r="AB3927" s="390"/>
    </row>
    <row r="3928" spans="1:28">
      <c r="A3928" s="391"/>
      <c r="B3928" s="392"/>
      <c r="C3928" s="393" t="s">
        <v>199</v>
      </c>
      <c r="D3928" s="2562">
        <f>VLOOKUP(C3925,'Data Panjang Balok'!$C$9:$N$254,7,FALSE)</f>
        <v>6080</v>
      </c>
      <c r="E3928" s="2563"/>
      <c r="F3928" s="2563"/>
      <c r="G3928" s="2563"/>
      <c r="H3928" s="2564"/>
      <c r="I3928" s="397"/>
      <c r="J3928" s="396"/>
      <c r="K3928" s="396"/>
      <c r="L3928" s="396"/>
      <c r="M3928" s="396"/>
      <c r="N3928" s="396"/>
      <c r="O3928" s="396"/>
      <c r="P3928" s="396"/>
      <c r="Q3928" s="396"/>
      <c r="R3928" s="396"/>
      <c r="S3928" s="396"/>
      <c r="T3928" s="396"/>
      <c r="U3928" s="388"/>
      <c r="V3928" s="396"/>
      <c r="W3928" s="388"/>
      <c r="X3928" s="396"/>
      <c r="Y3928" s="389"/>
      <c r="Z3928" s="396"/>
      <c r="AA3928" s="388"/>
      <c r="AB3928" s="390"/>
    </row>
    <row r="3929" spans="1:28">
      <c r="A3929" s="391"/>
      <c r="B3929" s="392"/>
      <c r="C3929" s="393" t="s">
        <v>200</v>
      </c>
      <c r="D3929" s="2562">
        <f>VLOOKUP(C3925,'Data Panjang Balok'!$C$9:$N$254,9,FALSE)</f>
        <v>0</v>
      </c>
      <c r="E3929" s="2563"/>
      <c r="F3929" s="2563"/>
      <c r="G3929" s="2563"/>
      <c r="H3929" s="2564"/>
      <c r="I3929" s="397"/>
      <c r="J3929" s="396"/>
      <c r="K3929" s="396"/>
      <c r="L3929" s="396"/>
      <c r="M3929" s="396"/>
      <c r="N3929" s="396"/>
      <c r="O3929" s="396"/>
      <c r="P3929" s="396"/>
      <c r="Q3929" s="396"/>
      <c r="R3929" s="396"/>
      <c r="S3929" s="396"/>
      <c r="T3929" s="396"/>
      <c r="U3929" s="388"/>
      <c r="V3929" s="396"/>
      <c r="W3929" s="388"/>
      <c r="X3929" s="396"/>
      <c r="Y3929" s="389"/>
      <c r="Z3929" s="396"/>
      <c r="AA3929" s="388"/>
      <c r="AB3929" s="390"/>
    </row>
    <row r="3930" spans="1:28">
      <c r="A3930" s="391"/>
      <c r="B3930" s="392"/>
      <c r="C3930" s="393" t="s">
        <v>201</v>
      </c>
      <c r="D3930" s="2562">
        <f>VLOOKUP(C3925,'Data Panjang Balok'!$C$9:$N$254,10,FALSE)</f>
        <v>0</v>
      </c>
      <c r="E3930" s="2563"/>
      <c r="F3930" s="2563"/>
      <c r="G3930" s="2563"/>
      <c r="H3930" s="2564"/>
      <c r="I3930" s="397"/>
      <c r="J3930" s="396"/>
      <c r="K3930" s="396"/>
      <c r="L3930" s="396"/>
      <c r="M3930" s="396"/>
      <c r="N3930" s="396"/>
      <c r="O3930" s="396"/>
      <c r="P3930" s="396"/>
      <c r="Q3930" s="396"/>
      <c r="R3930" s="396"/>
      <c r="S3930" s="396"/>
      <c r="T3930" s="396"/>
      <c r="U3930" s="388"/>
      <c r="V3930" s="396"/>
      <c r="W3930" s="388"/>
      <c r="X3930" s="396"/>
      <c r="Y3930" s="389"/>
      <c r="Z3930" s="396"/>
      <c r="AA3930" s="388"/>
      <c r="AB3930" s="390"/>
    </row>
    <row r="3931" spans="1:28">
      <c r="A3931" s="391"/>
      <c r="B3931" s="392"/>
      <c r="C3931" s="393" t="s">
        <v>48</v>
      </c>
      <c r="D3931" s="2562">
        <f>VLOOKUP(C3925,'Data Panjang Balok'!$C$9:$N$254,3,FALSE)</f>
        <v>1</v>
      </c>
      <c r="E3931" s="2563"/>
      <c r="F3931" s="2563"/>
      <c r="G3931" s="2563"/>
      <c r="H3931" s="2564"/>
      <c r="I3931" s="397"/>
      <c r="J3931" s="396"/>
      <c r="K3931" s="396"/>
      <c r="L3931" s="396"/>
      <c r="M3931" s="396"/>
      <c r="N3931" s="396"/>
      <c r="O3931" s="396"/>
      <c r="P3931" s="396"/>
      <c r="Q3931" s="396"/>
      <c r="R3931" s="396"/>
      <c r="S3931" s="396"/>
      <c r="T3931" s="396"/>
      <c r="U3931" s="388"/>
      <c r="V3931" s="396"/>
      <c r="W3931" s="388"/>
      <c r="X3931" s="396"/>
      <c r="Y3931" s="389"/>
      <c r="Z3931" s="396"/>
      <c r="AA3931" s="388"/>
      <c r="AB3931" s="390"/>
    </row>
    <row r="3932" spans="1:28">
      <c r="A3932" s="384" t="str">
        <f t="shared" ref="A3932:B3932" si="12663">A3925</f>
        <v>Lantai 2</v>
      </c>
      <c r="B3932" s="385">
        <f t="shared" si="12663"/>
        <v>44</v>
      </c>
      <c r="C3932" s="393" t="s">
        <v>202</v>
      </c>
      <c r="D3932" s="398">
        <f>VLOOKUP(D3925,'Detail Balok'!$C$10:$AU$140,4,FALSE)</f>
        <v>4</v>
      </c>
      <c r="E3932" s="388" t="s">
        <v>16</v>
      </c>
      <c r="F3932" s="388">
        <f>VLOOKUP(D3925,'Detail Balok'!$C$10:$AU$140,6,FALSE)</f>
        <v>16</v>
      </c>
      <c r="G3932" s="388"/>
      <c r="H3932" s="395"/>
      <c r="I3932" s="388" t="s">
        <v>203</v>
      </c>
      <c r="J3932" s="399">
        <f t="shared" ref="J3932" si="12664">+D3927/4/1000</f>
        <v>1.52</v>
      </c>
      <c r="K3932" s="400" t="s">
        <v>204</v>
      </c>
      <c r="L3932" s="399">
        <f t="shared" ref="L3932" si="12665">MAX(VLOOKUP(F3932,N$6:P$15,3,FALSE)/1000,2/3*D3929/1000)+F$16*F3932/1000</f>
        <v>0.192</v>
      </c>
      <c r="M3932" s="399" t="s">
        <v>176</v>
      </c>
      <c r="N3932" s="399">
        <f t="shared" ref="N3932:N3934" si="12666">J3932+L3932</f>
        <v>1.712</v>
      </c>
      <c r="O3932" s="399" t="s">
        <v>204</v>
      </c>
      <c r="P3932" s="389">
        <f t="shared" ref="P3932" si="12667">D3932-D3933</f>
        <v>0</v>
      </c>
      <c r="Q3932" s="399" t="s">
        <v>125</v>
      </c>
      <c r="R3932" s="399">
        <f t="shared" ref="R3932" si="12668">IF(P3932&gt;0,$F$18*F3932/1000,0)</f>
        <v>0</v>
      </c>
      <c r="S3932" s="399" t="s">
        <v>205</v>
      </c>
      <c r="T3932" s="399" t="s">
        <v>125</v>
      </c>
      <c r="U3932" s="401">
        <f t="shared" ref="U3932:U3934" si="12669">0.006165*F3932^2</f>
        <v>1.5782400000000001</v>
      </c>
      <c r="V3932" s="399"/>
      <c r="W3932" s="399"/>
      <c r="X3932" s="399" t="s">
        <v>125</v>
      </c>
      <c r="Y3932" s="389">
        <f t="shared" ref="Y3932" si="12670">D3931</f>
        <v>1</v>
      </c>
      <c r="Z3932" s="400" t="s">
        <v>176</v>
      </c>
      <c r="AA3932" s="402">
        <f t="shared" ref="AA3932" si="12671">IF(AA3935=0,(D3932*N3932+P3932*R3932)*U3932*Y3932,0)</f>
        <v>0</v>
      </c>
      <c r="AB3932" s="403"/>
    </row>
    <row r="3933" spans="1:28">
      <c r="A3933" s="384" t="str">
        <f t="shared" ref="A3933:B3933" si="12672">A3925</f>
        <v>Lantai 2</v>
      </c>
      <c r="B3933" s="385">
        <f t="shared" si="12672"/>
        <v>44</v>
      </c>
      <c r="C3933" s="393" t="s">
        <v>206</v>
      </c>
      <c r="D3933" s="398">
        <f>VLOOKUP(D3925,'Detail Balok'!$C$10:$AU$140,7,FALSE)</f>
        <v>4</v>
      </c>
      <c r="E3933" s="388" t="s">
        <v>16</v>
      </c>
      <c r="F3933" s="388">
        <f>VLOOKUP(D3925,'Detail Balok'!$C$10:$AU$140,9,FALSE)</f>
        <v>16</v>
      </c>
      <c r="G3933" s="388"/>
      <c r="H3933" s="395"/>
      <c r="I3933" s="388" t="s">
        <v>203</v>
      </c>
      <c r="J3933" s="399">
        <f t="shared" ref="J3933" si="12673">+D3927/2/1000</f>
        <v>3.04</v>
      </c>
      <c r="K3933" s="400" t="s">
        <v>204</v>
      </c>
      <c r="L3933" s="399"/>
      <c r="M3933" s="399" t="s">
        <v>176</v>
      </c>
      <c r="N3933" s="399">
        <f t="shared" si="12666"/>
        <v>3.04</v>
      </c>
      <c r="O3933" s="399" t="s">
        <v>204</v>
      </c>
      <c r="P3933" s="389">
        <f t="shared" ref="P3933" si="12674">MAX(D3933-D3932,D3933-D3934)</f>
        <v>0</v>
      </c>
      <c r="Q3933" s="399" t="s">
        <v>125</v>
      </c>
      <c r="R3933" s="399">
        <f t="shared" ref="R3933" si="12675">IF(P3933&gt;0,2*(1-2*$F$19-1/2)*D3928/1000,0)</f>
        <v>0</v>
      </c>
      <c r="S3933" s="399" t="s">
        <v>205</v>
      </c>
      <c r="T3933" s="399" t="s">
        <v>125</v>
      </c>
      <c r="U3933" s="401">
        <f t="shared" si="12669"/>
        <v>1.5782400000000001</v>
      </c>
      <c r="V3933" s="399"/>
      <c r="W3933" s="399"/>
      <c r="X3933" s="399" t="s">
        <v>125</v>
      </c>
      <c r="Y3933" s="389">
        <f t="shared" ref="Y3933" si="12676">D3931</f>
        <v>1</v>
      </c>
      <c r="Z3933" s="400" t="s">
        <v>176</v>
      </c>
      <c r="AA3933" s="402">
        <f t="shared" ref="AA3933" si="12677">IF(AA3935=0,(D3933*N3933+P3933*R3933)*U3933*Y3933,0)</f>
        <v>0</v>
      </c>
      <c r="AB3933" s="403"/>
    </row>
    <row r="3934" spans="1:28">
      <c r="A3934" s="384" t="str">
        <f t="shared" ref="A3934:B3934" si="12678">A3925</f>
        <v>Lantai 2</v>
      </c>
      <c r="B3934" s="385">
        <f t="shared" si="12678"/>
        <v>44</v>
      </c>
      <c r="C3934" s="393" t="s">
        <v>202</v>
      </c>
      <c r="D3934" s="398">
        <f>VLOOKUP(D3925,'Detail Balok'!$C$10:$AU$140,10,FALSE)</f>
        <v>4</v>
      </c>
      <c r="E3934" s="388" t="s">
        <v>16</v>
      </c>
      <c r="F3934" s="388">
        <f>VLOOKUP(D3925,'Detail Balok'!$C$10:$AU$140,12,FALSE)</f>
        <v>16</v>
      </c>
      <c r="G3934" s="388"/>
      <c r="H3934" s="395"/>
      <c r="I3934" s="388" t="s">
        <v>203</v>
      </c>
      <c r="J3934" s="399">
        <f t="shared" ref="J3934" si="12679">+D3927/4/1000</f>
        <v>1.52</v>
      </c>
      <c r="K3934" s="400" t="s">
        <v>204</v>
      </c>
      <c r="L3934" s="399">
        <f t="shared" ref="L3934" si="12680">MAX(VLOOKUP(F3934,N$6:P$15,3,FALSE)/1000,2/3*D3929/1000)+F$16*F3934/1000</f>
        <v>0.192</v>
      </c>
      <c r="M3934" s="399" t="s">
        <v>176</v>
      </c>
      <c r="N3934" s="399">
        <f t="shared" si="12666"/>
        <v>1.712</v>
      </c>
      <c r="O3934" s="399" t="s">
        <v>204</v>
      </c>
      <c r="P3934" s="389">
        <f t="shared" ref="P3934" si="12681">D3934-D3933</f>
        <v>0</v>
      </c>
      <c r="Q3934" s="399" t="s">
        <v>125</v>
      </c>
      <c r="R3934" s="399">
        <f t="shared" ref="R3934" si="12682">IF(P3934&gt;0,$F$18*F3934/1000,0)</f>
        <v>0</v>
      </c>
      <c r="S3934" s="399" t="s">
        <v>205</v>
      </c>
      <c r="T3934" s="399" t="s">
        <v>125</v>
      </c>
      <c r="U3934" s="401">
        <f t="shared" si="12669"/>
        <v>1.5782400000000001</v>
      </c>
      <c r="V3934" s="399"/>
      <c r="W3934" s="399"/>
      <c r="X3934" s="399" t="s">
        <v>125</v>
      </c>
      <c r="Y3934" s="389">
        <f t="shared" ref="Y3934" si="12683">D3931</f>
        <v>1</v>
      </c>
      <c r="Z3934" s="400" t="s">
        <v>176</v>
      </c>
      <c r="AA3934" s="402">
        <f t="shared" ref="AA3934" si="12684">IF(AA3935=0,(D3934*N3934+P3934*R3934)*U3934*Y3934,0)</f>
        <v>0</v>
      </c>
      <c r="AB3934" s="403"/>
    </row>
    <row r="3935" spans="1:28">
      <c r="A3935" s="384" t="str">
        <f t="shared" ref="A3935:B3935" si="12685">A3925</f>
        <v>Lantai 2</v>
      </c>
      <c r="B3935" s="385">
        <f t="shared" si="12685"/>
        <v>44</v>
      </c>
      <c r="C3935" s="393"/>
      <c r="D3935" s="398">
        <f t="shared" si="12581"/>
        <v>4</v>
      </c>
      <c r="E3935" s="388" t="s">
        <v>16</v>
      </c>
      <c r="F3935" s="388">
        <f t="shared" si="12582"/>
        <v>16</v>
      </c>
      <c r="G3935" s="388"/>
      <c r="H3935" s="395"/>
      <c r="I3935" s="388"/>
      <c r="J3935" s="396"/>
      <c r="K3935" s="396"/>
      <c r="L3935" s="404" t="s">
        <v>207</v>
      </c>
      <c r="M3935" s="399" t="s">
        <v>176</v>
      </c>
      <c r="N3935" s="399">
        <f t="shared" ref="N3935" si="12686">IF(AND(D3932=D3933,D3932=D3934,D3933=D3934,F3932=F3933,F3932=F3934,F3933=F3934),SUM(N3932:N3934),0)</f>
        <v>6.4639999999999995</v>
      </c>
      <c r="O3935" s="399" t="s">
        <v>204</v>
      </c>
      <c r="P3935" s="389">
        <f t="shared" ref="P3935" si="12687">IF(N3935&gt;12,ROUNDDOWN(N3935/12,0),0)</f>
        <v>0</v>
      </c>
      <c r="Q3935" s="399" t="s">
        <v>125</v>
      </c>
      <c r="R3935" s="399">
        <f t="shared" ref="R3935" si="12688">IF(P3935&gt;0,MAX(VLOOKUP(F3935,$D$6:$G$15,3,FALSE),600),0)/1000</f>
        <v>0</v>
      </c>
      <c r="S3935" s="396"/>
      <c r="T3935" s="396" t="s">
        <v>125</v>
      </c>
      <c r="U3935" s="401">
        <f t="shared" si="12586"/>
        <v>1.5782400000000001</v>
      </c>
      <c r="V3935" s="396" t="s">
        <v>125</v>
      </c>
      <c r="W3935" s="399">
        <f t="shared" ref="W3935" si="12689">D3935</f>
        <v>4</v>
      </c>
      <c r="X3935" s="399" t="s">
        <v>125</v>
      </c>
      <c r="Y3935" s="389">
        <f t="shared" si="12588"/>
        <v>1</v>
      </c>
      <c r="Z3935" s="400" t="s">
        <v>176</v>
      </c>
      <c r="AA3935" s="402">
        <f t="shared" ref="AA3935" si="12690">(N3935+P3935*R3935/1000)*U3935*W3935*Y3935</f>
        <v>40.80697344</v>
      </c>
      <c r="AB3935" s="390"/>
    </row>
    <row r="3936" spans="1:28">
      <c r="A3936" s="384"/>
      <c r="B3936" s="385"/>
      <c r="C3936" s="393"/>
      <c r="D3936" s="398"/>
      <c r="E3936" s="388"/>
      <c r="F3936" s="388"/>
      <c r="G3936" s="388"/>
      <c r="H3936" s="395"/>
      <c r="I3936" s="388"/>
      <c r="J3936" s="396"/>
      <c r="K3936" s="396"/>
      <c r="L3936" s="404"/>
      <c r="M3936" s="399"/>
      <c r="N3936" s="399"/>
      <c r="O3936" s="396"/>
      <c r="P3936" s="389"/>
      <c r="Q3936" s="396"/>
      <c r="R3936" s="396"/>
      <c r="S3936" s="396"/>
      <c r="T3936" s="396"/>
      <c r="U3936" s="401"/>
      <c r="V3936" s="396"/>
      <c r="W3936" s="399"/>
      <c r="X3936" s="396"/>
      <c r="Y3936" s="389"/>
      <c r="Z3936" s="396"/>
      <c r="AA3936" s="388"/>
      <c r="AB3936" s="390"/>
    </row>
    <row r="3937" spans="1:28">
      <c r="A3937" s="384" t="str">
        <f t="shared" ref="A3937:B3937" si="12691">A3925</f>
        <v>Lantai 2</v>
      </c>
      <c r="B3937" s="385">
        <f t="shared" si="12691"/>
        <v>44</v>
      </c>
      <c r="C3937" s="393" t="s">
        <v>208</v>
      </c>
      <c r="D3937" s="398">
        <f>VLOOKUP(D3925,'Detail Balok'!$C$10:$AU$140,13,FALSE)</f>
        <v>2</v>
      </c>
      <c r="E3937" s="388" t="s">
        <v>16</v>
      </c>
      <c r="F3937" s="388">
        <f>VLOOKUP(D3925,'Detail Balok'!$C$10:$AU$140,15,FALSE)</f>
        <v>10</v>
      </c>
      <c r="G3937" s="388"/>
      <c r="H3937" s="395"/>
      <c r="I3937" s="388"/>
      <c r="J3937" s="399">
        <f t="shared" ref="J3937" si="12692">+D3927/1000</f>
        <v>6.08</v>
      </c>
      <c r="K3937" s="400" t="s">
        <v>204</v>
      </c>
      <c r="L3937" s="399">
        <f t="shared" ref="L3937" si="12693">2*$F$16*F3937/1000</f>
        <v>0.24</v>
      </c>
      <c r="M3937" s="399" t="s">
        <v>176</v>
      </c>
      <c r="N3937" s="399">
        <f t="shared" ref="N3937" si="12694">J3937+L3937</f>
        <v>6.32</v>
      </c>
      <c r="O3937" s="399" t="s">
        <v>204</v>
      </c>
      <c r="P3937" s="389">
        <f t="shared" ref="P3937" si="12695">IF(N3937&gt;12,ROUNDDOWN(N3937/12,0),0)</f>
        <v>0</v>
      </c>
      <c r="Q3937" s="399" t="s">
        <v>125</v>
      </c>
      <c r="R3937" s="399">
        <f t="shared" ref="R3937" si="12696">IF(P3937&gt;0,MAX(VLOOKUP(F3937,$D$6:$G$15,3,FALSE),600),0)/1000</f>
        <v>0</v>
      </c>
      <c r="S3937" s="399"/>
      <c r="T3937" s="399" t="s">
        <v>125</v>
      </c>
      <c r="U3937" s="401">
        <f t="shared" ref="U3937" si="12697">0.006165*F3937^2</f>
        <v>0.61650000000000005</v>
      </c>
      <c r="V3937" s="399" t="s">
        <v>125</v>
      </c>
      <c r="W3937" s="399">
        <f t="shared" ref="W3937" si="12698">+D3937</f>
        <v>2</v>
      </c>
      <c r="X3937" s="399" t="s">
        <v>125</v>
      </c>
      <c r="Y3937" s="389">
        <f t="shared" ref="Y3937" si="12699">D3931</f>
        <v>1</v>
      </c>
      <c r="Z3937" s="400" t="s">
        <v>176</v>
      </c>
      <c r="AA3937" s="402">
        <f t="shared" ref="AA3937" si="12700">(N3937+P3937*R3937/1000)*U3937*W3937*Y3937</f>
        <v>7.7925600000000008</v>
      </c>
      <c r="AB3937" s="403"/>
    </row>
    <row r="3938" spans="1:28">
      <c r="A3938" s="384"/>
      <c r="B3938" s="385"/>
      <c r="C3938" s="393"/>
      <c r="D3938" s="398"/>
      <c r="E3938" s="388"/>
      <c r="F3938" s="388"/>
      <c r="G3938" s="388"/>
      <c r="H3938" s="395"/>
      <c r="I3938" s="388"/>
      <c r="J3938" s="399"/>
      <c r="K3938" s="400"/>
      <c r="L3938" s="399"/>
      <c r="M3938" s="399"/>
      <c r="N3938" s="399"/>
      <c r="O3938" s="399"/>
      <c r="P3938" s="389"/>
      <c r="Q3938" s="399"/>
      <c r="R3938" s="399"/>
      <c r="S3938" s="399"/>
      <c r="T3938" s="399"/>
      <c r="U3938" s="401"/>
      <c r="V3938" s="399"/>
      <c r="W3938" s="399"/>
      <c r="X3938" s="399"/>
      <c r="Y3938" s="389"/>
      <c r="Z3938" s="400"/>
      <c r="AA3938" s="402"/>
      <c r="AB3938" s="403"/>
    </row>
    <row r="3939" spans="1:28">
      <c r="A3939" s="384"/>
      <c r="B3939" s="385"/>
      <c r="C3939" s="393"/>
      <c r="D3939" s="398"/>
      <c r="E3939" s="388"/>
      <c r="F3939" s="388"/>
      <c r="G3939" s="388"/>
      <c r="H3939" s="395"/>
      <c r="I3939" s="388"/>
      <c r="J3939" s="396"/>
      <c r="K3939" s="396"/>
      <c r="L3939" s="396"/>
      <c r="M3939" s="396"/>
      <c r="N3939" s="396"/>
      <c r="O3939" s="396"/>
      <c r="P3939" s="389"/>
      <c r="Q3939" s="396"/>
      <c r="R3939" s="396"/>
      <c r="S3939" s="396"/>
      <c r="T3939" s="396"/>
      <c r="U3939" s="401"/>
      <c r="V3939" s="396"/>
      <c r="W3939" s="399"/>
      <c r="X3939" s="396"/>
      <c r="Y3939" s="389"/>
      <c r="Z3939" s="396"/>
      <c r="AA3939" s="388"/>
      <c r="AB3939" s="390"/>
    </row>
    <row r="3940" spans="1:28">
      <c r="A3940" s="384" t="str">
        <f t="shared" ref="A3940:B3940" si="12701">A3925</f>
        <v>Lantai 2</v>
      </c>
      <c r="B3940" s="385">
        <f t="shared" si="12701"/>
        <v>44</v>
      </c>
      <c r="C3940" s="393" t="s">
        <v>209</v>
      </c>
      <c r="D3940" s="398">
        <f>VLOOKUP(D3925,'Detail Balok'!$C$10:$AU$140,22,FALSE)</f>
        <v>4</v>
      </c>
      <c r="E3940" s="388" t="s">
        <v>16</v>
      </c>
      <c r="F3940" s="388">
        <f>VLOOKUP(D3925,'Detail Balok'!$C$10:$AU$140,24,FALSE)</f>
        <v>16</v>
      </c>
      <c r="G3940" s="388"/>
      <c r="H3940" s="395"/>
      <c r="I3940" s="388" t="s">
        <v>203</v>
      </c>
      <c r="J3940" s="399">
        <f t="shared" si="12601"/>
        <v>1.52</v>
      </c>
      <c r="K3940" s="400" t="s">
        <v>204</v>
      </c>
      <c r="L3940" s="399">
        <f t="shared" ref="L3940" si="12702">MAX(VLOOKUP(F3940,N$6:P$15,3,FALSE)/1000,2/3*D3930/1000)+F$16*F3940/1000</f>
        <v>0.192</v>
      </c>
      <c r="M3940" s="399" t="s">
        <v>176</v>
      </c>
      <c r="N3940" s="399">
        <f t="shared" ref="N3940:N3942" si="12703">J3940+L3940</f>
        <v>1.712</v>
      </c>
      <c r="O3940" s="399" t="s">
        <v>204</v>
      </c>
      <c r="P3940" s="389">
        <f t="shared" ref="P3940" si="12704">D3940-D3941</f>
        <v>0</v>
      </c>
      <c r="Q3940" s="399" t="s">
        <v>125</v>
      </c>
      <c r="R3940" s="399">
        <f t="shared" ref="R3940" si="12705">IF(P3940&gt;0,$F$18*F3940/1000,0)</f>
        <v>0</v>
      </c>
      <c r="S3940" s="399" t="s">
        <v>205</v>
      </c>
      <c r="T3940" s="399" t="s">
        <v>125</v>
      </c>
      <c r="U3940" s="401">
        <f t="shared" ref="U3940:U3942" si="12706">0.006165*F3940^2</f>
        <v>1.5782400000000001</v>
      </c>
      <c r="V3940" s="399"/>
      <c r="W3940" s="399"/>
      <c r="X3940" s="399" t="s">
        <v>125</v>
      </c>
      <c r="Y3940" s="389">
        <f t="shared" ref="Y3940" si="12707">D3931</f>
        <v>1</v>
      </c>
      <c r="Z3940" s="400" t="s">
        <v>176</v>
      </c>
      <c r="AA3940" s="402">
        <f t="shared" ref="AA3940" si="12708">IF(AA3943=0,(D3940*N3940+P3940*R3940)*U3940*Y3940,0)</f>
        <v>0</v>
      </c>
      <c r="AB3940" s="403"/>
    </row>
    <row r="3941" spans="1:28">
      <c r="A3941" s="384" t="str">
        <f t="shared" ref="A3941:B3941" si="12709">A3925</f>
        <v>Lantai 2</v>
      </c>
      <c r="B3941" s="385">
        <f t="shared" si="12709"/>
        <v>44</v>
      </c>
      <c r="C3941" s="393" t="s">
        <v>210</v>
      </c>
      <c r="D3941" s="398">
        <f>VLOOKUP(D3925,'Detail Balok'!$C$10:$AU$140,25,FALSE)</f>
        <v>4</v>
      </c>
      <c r="E3941" s="388" t="s">
        <v>16</v>
      </c>
      <c r="F3941" s="388">
        <f>VLOOKUP(D3925,'Detail Balok'!$C$10:$AU$140,27,FALSE)</f>
        <v>16</v>
      </c>
      <c r="G3941" s="388"/>
      <c r="H3941" s="395"/>
      <c r="I3941" s="388" t="s">
        <v>203</v>
      </c>
      <c r="J3941" s="399">
        <f t="shared" si="12601"/>
        <v>3.04</v>
      </c>
      <c r="K3941" s="400" t="s">
        <v>204</v>
      </c>
      <c r="L3941" s="399"/>
      <c r="M3941" s="399" t="s">
        <v>176</v>
      </c>
      <c r="N3941" s="399">
        <f t="shared" si="12703"/>
        <v>3.04</v>
      </c>
      <c r="O3941" s="399" t="s">
        <v>204</v>
      </c>
      <c r="P3941" s="389">
        <f t="shared" ref="P3941" si="12710">MAX(D3941-D3940,D3941-D3942)</f>
        <v>0</v>
      </c>
      <c r="Q3941" s="399" t="s">
        <v>125</v>
      </c>
      <c r="R3941" s="399">
        <f t="shared" ref="R3941" si="12711">IF(P3941&gt;0,2*(1-2*$F$19-1/2)*D3928/1000,0)</f>
        <v>0</v>
      </c>
      <c r="S3941" s="399" t="s">
        <v>205</v>
      </c>
      <c r="T3941" s="399" t="s">
        <v>125</v>
      </c>
      <c r="U3941" s="401">
        <f t="shared" si="12706"/>
        <v>1.5782400000000001</v>
      </c>
      <c r="V3941" s="399"/>
      <c r="W3941" s="399"/>
      <c r="X3941" s="399" t="s">
        <v>125</v>
      </c>
      <c r="Y3941" s="389">
        <f t="shared" ref="Y3941" si="12712">D3931</f>
        <v>1</v>
      </c>
      <c r="Z3941" s="400" t="s">
        <v>176</v>
      </c>
      <c r="AA3941" s="402">
        <f t="shared" ref="AA3941" si="12713">IF(AA3943=0,(D3941*N3941+P3941*R3941)*U3941*Y3941,0)</f>
        <v>0</v>
      </c>
      <c r="AB3941" s="403"/>
    </row>
    <row r="3942" spans="1:28">
      <c r="A3942" s="384" t="str">
        <f t="shared" ref="A3942:B3942" si="12714">A3925</f>
        <v>Lantai 2</v>
      </c>
      <c r="B3942" s="385">
        <f t="shared" si="12714"/>
        <v>44</v>
      </c>
      <c r="C3942" s="393" t="s">
        <v>209</v>
      </c>
      <c r="D3942" s="398">
        <f>VLOOKUP(D3925,'Detail Balok'!$C$10:$AU$140,28,FALSE)</f>
        <v>4</v>
      </c>
      <c r="E3942" s="388" t="s">
        <v>16</v>
      </c>
      <c r="F3942" s="388">
        <f>VLOOKUP(D3925,'Detail Balok'!$C$10:$AU$140,30,FALSE)</f>
        <v>16</v>
      </c>
      <c r="G3942" s="388"/>
      <c r="H3942" s="395"/>
      <c r="I3942" s="388" t="s">
        <v>203</v>
      </c>
      <c r="J3942" s="399">
        <f t="shared" si="12601"/>
        <v>1.52</v>
      </c>
      <c r="K3942" s="400" t="s">
        <v>204</v>
      </c>
      <c r="L3942" s="399">
        <f t="shared" ref="L3942" si="12715">MAX(VLOOKUP(F3942,N$6:P$15,3,FALSE)/1000,2/3*D3930/1000)+F$16*F3942/1000</f>
        <v>0.192</v>
      </c>
      <c r="M3942" s="399" t="s">
        <v>176</v>
      </c>
      <c r="N3942" s="399">
        <f t="shared" si="12703"/>
        <v>1.712</v>
      </c>
      <c r="O3942" s="399" t="s">
        <v>204</v>
      </c>
      <c r="P3942" s="389">
        <f t="shared" ref="P3942" si="12716">D3942-D3941</f>
        <v>0</v>
      </c>
      <c r="Q3942" s="399" t="s">
        <v>125</v>
      </c>
      <c r="R3942" s="399">
        <f t="shared" ref="R3942" si="12717">IF(P3942&gt;0,$F$18*F3942/1000,0)</f>
        <v>0</v>
      </c>
      <c r="S3942" s="399" t="s">
        <v>205</v>
      </c>
      <c r="T3942" s="399" t="s">
        <v>125</v>
      </c>
      <c r="U3942" s="401">
        <f t="shared" si="12706"/>
        <v>1.5782400000000001</v>
      </c>
      <c r="V3942" s="399"/>
      <c r="W3942" s="399"/>
      <c r="X3942" s="399" t="s">
        <v>125</v>
      </c>
      <c r="Y3942" s="389">
        <f t="shared" ref="Y3942" si="12718">D3931</f>
        <v>1</v>
      </c>
      <c r="Z3942" s="400" t="s">
        <v>176</v>
      </c>
      <c r="AA3942" s="402">
        <f t="shared" ref="AA3942" si="12719">IF(AA3943=0,(D3942*N3942+P3942*R3942)*U3942*Y3942,0)</f>
        <v>0</v>
      </c>
      <c r="AB3942" s="403"/>
    </row>
    <row r="3943" spans="1:28">
      <c r="A3943" s="384" t="str">
        <f t="shared" ref="A3943:B3943" si="12720">A3925</f>
        <v>Lantai 2</v>
      </c>
      <c r="B3943" s="385">
        <f t="shared" si="12720"/>
        <v>44</v>
      </c>
      <c r="C3943" s="393"/>
      <c r="D3943" s="398">
        <f t="shared" si="12621"/>
        <v>4</v>
      </c>
      <c r="E3943" s="388" t="s">
        <v>16</v>
      </c>
      <c r="F3943" s="388">
        <f t="shared" si="12622"/>
        <v>16</v>
      </c>
      <c r="G3943" s="388"/>
      <c r="H3943" s="395"/>
      <c r="I3943" s="388"/>
      <c r="J3943" s="396"/>
      <c r="K3943" s="396"/>
      <c r="L3943" s="404" t="s">
        <v>207</v>
      </c>
      <c r="M3943" s="399" t="s">
        <v>176</v>
      </c>
      <c r="N3943" s="399">
        <f t="shared" ref="N3943" si="12721">IF(AND(D3940=D3941,D3940=D3942,D3941=D3942,F3940=F3941,F3940=F3942,F3941=F3942),SUM(N3940:N3942),0)</f>
        <v>6.4639999999999995</v>
      </c>
      <c r="O3943" s="399" t="s">
        <v>204</v>
      </c>
      <c r="P3943" s="389">
        <f t="shared" ref="P3943" si="12722">IF(N3943&gt;12,ROUNDDOWN(N3943/12,0),0)</f>
        <v>0</v>
      </c>
      <c r="Q3943" s="399" t="s">
        <v>125</v>
      </c>
      <c r="R3943" s="399">
        <f t="shared" ref="R3943" si="12723">IF(P3943&gt;0,MAX(VLOOKUP(F3943,$D$6:$G$15,3,FALSE),600),0)/1000</f>
        <v>0</v>
      </c>
      <c r="S3943" s="396"/>
      <c r="T3943" s="396" t="s">
        <v>125</v>
      </c>
      <c r="U3943" s="401">
        <f t="shared" si="12626"/>
        <v>1.5782400000000001</v>
      </c>
      <c r="V3943" s="396" t="s">
        <v>125</v>
      </c>
      <c r="W3943" s="399">
        <f t="shared" ref="W3943" si="12724">D3943</f>
        <v>4</v>
      </c>
      <c r="X3943" s="399" t="s">
        <v>125</v>
      </c>
      <c r="Y3943" s="389">
        <f t="shared" si="12628"/>
        <v>1</v>
      </c>
      <c r="Z3943" s="400" t="s">
        <v>176</v>
      </c>
      <c r="AA3943" s="402">
        <f t="shared" ref="AA3943" si="12725">(N3943+P3943*R3943/1000)*U3943*W3943*Y3943</f>
        <v>40.80697344</v>
      </c>
      <c r="AB3943" s="403"/>
    </row>
    <row r="3944" spans="1:28">
      <c r="A3944" s="384"/>
      <c r="B3944" s="385"/>
      <c r="C3944" s="393"/>
      <c r="D3944" s="394"/>
      <c r="E3944" s="388"/>
      <c r="F3944" s="388"/>
      <c r="G3944" s="388"/>
      <c r="H3944" s="395"/>
      <c r="I3944" s="388"/>
      <c r="J3944" s="399"/>
      <c r="K3944" s="396"/>
      <c r="L3944" s="396"/>
      <c r="M3944" s="396"/>
      <c r="N3944" s="396"/>
      <c r="O3944" s="396"/>
      <c r="P3944" s="389"/>
      <c r="Q3944" s="396"/>
      <c r="R3944" s="396"/>
      <c r="S3944" s="396"/>
      <c r="T3944" s="396"/>
      <c r="U3944" s="401"/>
      <c r="V3944" s="396"/>
      <c r="W3944" s="388"/>
      <c r="X3944" s="396"/>
      <c r="Y3944" s="389"/>
      <c r="Z3944" s="396"/>
      <c r="AA3944" s="388"/>
      <c r="AB3944" s="390"/>
    </row>
    <row r="3945" spans="1:28">
      <c r="A3945" s="384" t="str">
        <f t="shared" ref="A3945:B3945" si="12726">A3925</f>
        <v>Lantai 2</v>
      </c>
      <c r="B3945" s="385">
        <f t="shared" si="12726"/>
        <v>44</v>
      </c>
      <c r="C3945" s="393" t="s">
        <v>211</v>
      </c>
      <c r="D3945" s="398">
        <f>VLOOKUP(D3925,'Detail Balok'!$C$10:$AU$140,31,FALSE)</f>
        <v>0</v>
      </c>
      <c r="E3945" s="388" t="s">
        <v>16</v>
      </c>
      <c r="F3945" s="388">
        <f>VLOOKUP(D3925,'Detail Balok'!$C$10:$AU$140,33,FALSE)</f>
        <v>10</v>
      </c>
      <c r="G3945" s="405" t="s">
        <v>157</v>
      </c>
      <c r="H3945" s="395">
        <f>VLOOKUP(D3925,'Detail Balok'!$C$10:$AU$140,35,FALSE)</f>
        <v>150</v>
      </c>
      <c r="I3945" s="388"/>
      <c r="J3945" s="400">
        <f t="shared" ref="J3945" si="12727">(IF(D3945=0,(2*(D3926+G3926))-(F$5*8),IF(D3945=3,(2*(D3926+G3926))-(F$5*8)+(G3926-2*F$5),IF(D3945=4,(2*(D3926+G3926))-(F$5*8)+2*(G3926-2*F$5)))))/1000</f>
        <v>1.08</v>
      </c>
      <c r="K3945" s="400" t="s">
        <v>204</v>
      </c>
      <c r="L3945" s="399">
        <f t="shared" ref="L3945:L3947" si="12728">IF(D3945=0,2*MAX(6*F3945,75),(D3945-1)*2*MAX(6*F3945,75))/1000</f>
        <v>0.15</v>
      </c>
      <c r="M3945" s="399" t="s">
        <v>176</v>
      </c>
      <c r="N3945" s="399">
        <f t="shared" ref="N3945:N3947" si="12729">J3945+L3945</f>
        <v>1.23</v>
      </c>
      <c r="O3945" s="399"/>
      <c r="P3945" s="389"/>
      <c r="Q3945" s="399"/>
      <c r="R3945" s="399"/>
      <c r="S3945" s="399"/>
      <c r="T3945" s="399" t="s">
        <v>125</v>
      </c>
      <c r="U3945" s="401">
        <f t="shared" ref="U3945:U3947" si="12730">0.006165*F3945^2</f>
        <v>0.61650000000000005</v>
      </c>
      <c r="V3945" s="399" t="s">
        <v>125</v>
      </c>
      <c r="W3945" s="399">
        <f t="shared" ref="W3945" si="12731">IF(D3928&gt;4*G3926,ROUND(MAX(D3928/4,2*G3926)/H3945,0)+1,ROUND(D3928/H3945,0)+1)</f>
        <v>11</v>
      </c>
      <c r="X3945" s="399" t="s">
        <v>125</v>
      </c>
      <c r="Y3945" s="389">
        <f t="shared" ref="Y3945" si="12732">D3931</f>
        <v>1</v>
      </c>
      <c r="Z3945" s="400" t="s">
        <v>176</v>
      </c>
      <c r="AA3945" s="402">
        <f t="shared" ref="AA3945:AA3947" si="12733">N3945*U3945*W3945*Y3945</f>
        <v>8.3412450000000007</v>
      </c>
      <c r="AB3945" s="403"/>
    </row>
    <row r="3946" spans="1:28">
      <c r="A3946" s="384" t="str">
        <f t="shared" ref="A3946:B3946" si="12734">A3925</f>
        <v>Lantai 2</v>
      </c>
      <c r="B3946" s="385">
        <f t="shared" si="12734"/>
        <v>44</v>
      </c>
      <c r="C3946" s="393" t="s">
        <v>212</v>
      </c>
      <c r="D3946" s="398">
        <f>VLOOKUP(D3925,'Detail Balok'!$C$10:$AU$140,36,FALSE)</f>
        <v>0</v>
      </c>
      <c r="E3946" s="388" t="s">
        <v>16</v>
      </c>
      <c r="F3946" s="388">
        <f>VLOOKUP(D3925,'Detail Balok'!$C$10:$AU$140,38,FALSE)</f>
        <v>10</v>
      </c>
      <c r="G3946" s="405" t="s">
        <v>157</v>
      </c>
      <c r="H3946" s="395">
        <f>VLOOKUP(D3925,'Detail Balok'!$C$10:$AU$140,40,FALSE)</f>
        <v>200</v>
      </c>
      <c r="I3946" s="388"/>
      <c r="J3946" s="400">
        <f t="shared" ref="J3946" si="12735">(IF(D3946=0,(2*(D3926+G3926))-(F$5*8),IF(D3946=3,(2*(D3926+G3926))-(F$5*8)+(G3926-2*F$5),IF(D3946=4,(2*(D3926+G3926))-(F$5*8)+2*(G3926-2*F$5)))))/1000</f>
        <v>1.08</v>
      </c>
      <c r="K3946" s="400" t="s">
        <v>204</v>
      </c>
      <c r="L3946" s="399">
        <f t="shared" si="12728"/>
        <v>0.15</v>
      </c>
      <c r="M3946" s="399" t="s">
        <v>176</v>
      </c>
      <c r="N3946" s="399">
        <f t="shared" si="12729"/>
        <v>1.23</v>
      </c>
      <c r="O3946" s="399"/>
      <c r="P3946" s="389"/>
      <c r="Q3946" s="399"/>
      <c r="R3946" s="399"/>
      <c r="S3946" s="399"/>
      <c r="T3946" s="399" t="s">
        <v>125</v>
      </c>
      <c r="U3946" s="401">
        <f t="shared" si="12730"/>
        <v>0.61650000000000005</v>
      </c>
      <c r="V3946" s="399" t="s">
        <v>125</v>
      </c>
      <c r="W3946" s="399">
        <f t="shared" ref="W3946" si="12736">IF(D3928-MAX(D3928/4,2*G3926)*2&gt;0,ROUND((D3928-MAX(D3928/4,2*G3926)*2)/H3946,0),0)</f>
        <v>15</v>
      </c>
      <c r="X3946" s="399" t="s">
        <v>125</v>
      </c>
      <c r="Y3946" s="389">
        <f t="shared" ref="Y3946" si="12737">D3931</f>
        <v>1</v>
      </c>
      <c r="Z3946" s="400" t="s">
        <v>176</v>
      </c>
      <c r="AA3946" s="402">
        <f t="shared" si="12733"/>
        <v>11.374425</v>
      </c>
      <c r="AB3946" s="403"/>
    </row>
    <row r="3947" spans="1:28">
      <c r="A3947" s="384" t="str">
        <f t="shared" ref="A3947:B3947" si="12738">A3925</f>
        <v>Lantai 2</v>
      </c>
      <c r="B3947" s="385">
        <f t="shared" si="12738"/>
        <v>44</v>
      </c>
      <c r="C3947" s="393" t="s">
        <v>211</v>
      </c>
      <c r="D3947" s="398">
        <f>VLOOKUP(D3925,'Detail Balok'!$C$10:$AU$140,41,FALSE)</f>
        <v>0</v>
      </c>
      <c r="E3947" s="388" t="s">
        <v>16</v>
      </c>
      <c r="F3947" s="388">
        <f>VLOOKUP(D3925,'Detail Balok'!$C$10:$AU$140,43,FALSE)</f>
        <v>10</v>
      </c>
      <c r="G3947" s="405" t="s">
        <v>157</v>
      </c>
      <c r="H3947" s="395">
        <f>VLOOKUP(D3925,'Detail Balok'!$C$10:$AU$140,45,FALSE)</f>
        <v>150</v>
      </c>
      <c r="I3947" s="388"/>
      <c r="J3947" s="400">
        <f t="shared" ref="J3947" si="12739">(IF(D3947=0,(2*(D3926+G3926))-(F$5*8),IF(D3947=3,(2*(D3926+G3926))-(F$5*8)+(G3926-2*F$5),IF(D3947=4,(2*(D3926+G3926))-(F$5*8)+2*(G3926-2*F$5)))))/1000</f>
        <v>1.08</v>
      </c>
      <c r="K3947" s="400" t="s">
        <v>204</v>
      </c>
      <c r="L3947" s="399">
        <f t="shared" si="12728"/>
        <v>0.15</v>
      </c>
      <c r="M3947" s="399" t="s">
        <v>176</v>
      </c>
      <c r="N3947" s="399">
        <f t="shared" si="12729"/>
        <v>1.23</v>
      </c>
      <c r="O3947" s="399"/>
      <c r="P3947" s="389"/>
      <c r="Q3947" s="399"/>
      <c r="R3947" s="399"/>
      <c r="S3947" s="399"/>
      <c r="T3947" s="399" t="s">
        <v>125</v>
      </c>
      <c r="U3947" s="401">
        <f t="shared" si="12730"/>
        <v>0.61650000000000005</v>
      </c>
      <c r="V3947" s="399" t="s">
        <v>125</v>
      </c>
      <c r="W3947" s="399">
        <f t="shared" ref="W3947" si="12740">IF(D3928&gt;4*G3926,ROUND(MAX(D3928/4,2*G3926)/H3947,0)+1,0)</f>
        <v>11</v>
      </c>
      <c r="X3947" s="399" t="s">
        <v>125</v>
      </c>
      <c r="Y3947" s="389">
        <f t="shared" ref="Y3947" si="12741">D3931</f>
        <v>1</v>
      </c>
      <c r="Z3947" s="400" t="s">
        <v>176</v>
      </c>
      <c r="AA3947" s="402">
        <f t="shared" si="12733"/>
        <v>8.3412450000000007</v>
      </c>
      <c r="AB3947" s="403"/>
    </row>
    <row r="3948" spans="1:28">
      <c r="A3948" s="384"/>
      <c r="B3948" s="385"/>
      <c r="C3948" s="393"/>
      <c r="D3948" s="394"/>
      <c r="E3948" s="388"/>
      <c r="F3948" s="388"/>
      <c r="G3948" s="388"/>
      <c r="H3948" s="395"/>
      <c r="I3948" s="388"/>
      <c r="J3948" s="399"/>
      <c r="K3948" s="396"/>
      <c r="L3948" s="396"/>
      <c r="M3948" s="396"/>
      <c r="N3948" s="396"/>
      <c r="O3948" s="396"/>
      <c r="P3948" s="389"/>
      <c r="Q3948" s="396"/>
      <c r="R3948" s="396"/>
      <c r="S3948" s="396"/>
      <c r="T3948" s="396"/>
      <c r="U3948" s="401"/>
      <c r="V3948" s="396"/>
      <c r="W3948" s="388"/>
      <c r="X3948" s="396"/>
      <c r="Y3948" s="389"/>
      <c r="Z3948" s="396"/>
      <c r="AA3948" s="388"/>
      <c r="AB3948" s="390"/>
    </row>
    <row r="3949" spans="1:28">
      <c r="A3949" s="384" t="str">
        <f t="shared" ref="A3949:B3949" si="12742">A3925</f>
        <v>Lantai 2</v>
      </c>
      <c r="B3949" s="385">
        <f t="shared" si="12742"/>
        <v>44</v>
      </c>
      <c r="C3949" s="393" t="s">
        <v>213</v>
      </c>
      <c r="D3949" s="398">
        <f>VLOOKUP(D3925,'Detail Balok'!$C$10:$BJ$140,46,FALSE)</f>
        <v>0</v>
      </c>
      <c r="E3949" s="388" t="s">
        <v>16</v>
      </c>
      <c r="F3949" s="388">
        <f>VLOOKUP(D3925,'Detail Balok'!$C$10:$BJ$140,48,FALSE)</f>
        <v>0</v>
      </c>
      <c r="G3949" s="405" t="s">
        <v>157</v>
      </c>
      <c r="H3949" s="395">
        <f>VLOOKUP(D3925,'Detail Balok'!$C$10:$BJ$140,50,FALSE)</f>
        <v>100</v>
      </c>
      <c r="I3949" s="388"/>
      <c r="J3949" s="399">
        <f t="shared" ref="J3949" si="12743">(D3926-2*F$5)/1000</f>
        <v>0.12</v>
      </c>
      <c r="K3949" s="400" t="s">
        <v>204</v>
      </c>
      <c r="L3949" s="399">
        <f t="shared" ref="L3949:L3951" si="12744">IF(D3949=0,2*MAX(6*F3949,75),(D3949-1)*2*MAX(6*F3949,75))/1000</f>
        <v>0.15</v>
      </c>
      <c r="M3949" s="399" t="s">
        <v>176</v>
      </c>
      <c r="N3949" s="399">
        <f t="shared" ref="N3949:N3951" si="12745">J3949+L3949</f>
        <v>0.27</v>
      </c>
      <c r="O3949" s="399"/>
      <c r="P3949" s="399"/>
      <c r="Q3949" s="399"/>
      <c r="R3949" s="399"/>
      <c r="S3949" s="399"/>
      <c r="T3949" s="399" t="s">
        <v>125</v>
      </c>
      <c r="U3949" s="401">
        <f t="shared" ref="U3949:U3951" si="12746">0.006165*F3949^2</f>
        <v>0</v>
      </c>
      <c r="V3949" s="399" t="s">
        <v>125</v>
      </c>
      <c r="W3949" s="399">
        <f t="shared" si="12651"/>
        <v>11</v>
      </c>
      <c r="X3949" s="399" t="s">
        <v>125</v>
      </c>
      <c r="Y3949" s="389">
        <f t="shared" ref="Y3949" si="12747">D3935</f>
        <v>4</v>
      </c>
      <c r="Z3949" s="400" t="s">
        <v>176</v>
      </c>
      <c r="AA3949" s="402">
        <f t="shared" ref="AA3949:AA3951" si="12748">N3949*U3949*W3949*Y3949</f>
        <v>0</v>
      </c>
      <c r="AB3949" s="403"/>
    </row>
    <row r="3950" spans="1:28">
      <c r="A3950" s="384" t="str">
        <f t="shared" ref="A3950:B3950" si="12749">A3925</f>
        <v>Lantai 2</v>
      </c>
      <c r="B3950" s="385">
        <f t="shared" si="12749"/>
        <v>44</v>
      </c>
      <c r="C3950" s="393" t="s">
        <v>214</v>
      </c>
      <c r="D3950" s="398">
        <f>VLOOKUP(D3925,'Detail Balok'!$C$10:$BJ$140,51,FALSE)</f>
        <v>0</v>
      </c>
      <c r="E3950" s="388" t="s">
        <v>16</v>
      </c>
      <c r="F3950" s="388">
        <f>VLOOKUP(D3925,'Detail Balok'!$C$10:$BJ$140,53,FALSE)</f>
        <v>0</v>
      </c>
      <c r="G3950" s="405" t="s">
        <v>157</v>
      </c>
      <c r="H3950" s="395">
        <f>VLOOKUP(D3925,'Detail Balok'!$C$10:$BJ$140,55,FALSE)</f>
        <v>100</v>
      </c>
      <c r="I3950" s="388"/>
      <c r="J3950" s="399">
        <f t="shared" ref="J3950" si="12750">(D3926-2*F$5)/1000</f>
        <v>0.12</v>
      </c>
      <c r="K3950" s="400" t="s">
        <v>204</v>
      </c>
      <c r="L3950" s="399">
        <f t="shared" si="12744"/>
        <v>0.15</v>
      </c>
      <c r="M3950" s="399" t="s">
        <v>176</v>
      </c>
      <c r="N3950" s="399">
        <f t="shared" si="12745"/>
        <v>0.27</v>
      </c>
      <c r="O3950" s="399"/>
      <c r="P3950" s="399"/>
      <c r="Q3950" s="399"/>
      <c r="R3950" s="399"/>
      <c r="S3950" s="399"/>
      <c r="T3950" s="399" t="s">
        <v>125</v>
      </c>
      <c r="U3950" s="401">
        <f t="shared" si="12746"/>
        <v>0</v>
      </c>
      <c r="V3950" s="399" t="s">
        <v>125</v>
      </c>
      <c r="W3950" s="399">
        <f t="shared" si="12651"/>
        <v>15</v>
      </c>
      <c r="X3950" s="399" t="s">
        <v>125</v>
      </c>
      <c r="Y3950" s="389">
        <f t="shared" ref="Y3950" si="12751">D3935</f>
        <v>4</v>
      </c>
      <c r="Z3950" s="400" t="s">
        <v>176</v>
      </c>
      <c r="AA3950" s="402">
        <f t="shared" si="12748"/>
        <v>0</v>
      </c>
      <c r="AB3950" s="403"/>
    </row>
    <row r="3951" spans="1:28">
      <c r="A3951" s="384" t="str">
        <f t="shared" ref="A3951:B3951" si="12752">A3925</f>
        <v>Lantai 2</v>
      </c>
      <c r="B3951" s="385">
        <f t="shared" si="12752"/>
        <v>44</v>
      </c>
      <c r="C3951" s="393" t="s">
        <v>213</v>
      </c>
      <c r="D3951" s="398">
        <f>VLOOKUP(D3925,'Detail Balok'!$C$10:$BJ$140,56,FALSE)</f>
        <v>0</v>
      </c>
      <c r="E3951" s="388" t="s">
        <v>16</v>
      </c>
      <c r="F3951" s="388">
        <f>VLOOKUP(D3925,'Detail Balok'!$C$10:$BJ$140,58,FALSE)</f>
        <v>0</v>
      </c>
      <c r="G3951" s="405" t="s">
        <v>157</v>
      </c>
      <c r="H3951" s="395">
        <f>VLOOKUP(D3925,'Detail Balok'!$C$10:$BJ$140,60,FALSE)</f>
        <v>100</v>
      </c>
      <c r="I3951" s="388"/>
      <c r="J3951" s="399">
        <f t="shared" ref="J3951" si="12753">(D3926-2*F$5)/1000</f>
        <v>0.12</v>
      </c>
      <c r="K3951" s="400" t="s">
        <v>204</v>
      </c>
      <c r="L3951" s="399">
        <f t="shared" si="12744"/>
        <v>0.15</v>
      </c>
      <c r="M3951" s="399" t="s">
        <v>176</v>
      </c>
      <c r="N3951" s="399">
        <f t="shared" si="12745"/>
        <v>0.27</v>
      </c>
      <c r="O3951" s="399"/>
      <c r="P3951" s="399"/>
      <c r="Q3951" s="399"/>
      <c r="R3951" s="399"/>
      <c r="S3951" s="399"/>
      <c r="T3951" s="399" t="s">
        <v>125</v>
      </c>
      <c r="U3951" s="401">
        <f t="shared" si="12746"/>
        <v>0</v>
      </c>
      <c r="V3951" s="399" t="s">
        <v>125</v>
      </c>
      <c r="W3951" s="399">
        <f t="shared" si="12651"/>
        <v>11</v>
      </c>
      <c r="X3951" s="399" t="s">
        <v>125</v>
      </c>
      <c r="Y3951" s="389">
        <f t="shared" ref="Y3951" si="12754">D3935</f>
        <v>4</v>
      </c>
      <c r="Z3951" s="400" t="s">
        <v>176</v>
      </c>
      <c r="AA3951" s="402">
        <f t="shared" si="12748"/>
        <v>0</v>
      </c>
      <c r="AB3951" s="403"/>
    </row>
    <row r="3952" spans="1:28">
      <c r="A3952" s="391"/>
      <c r="B3952" s="392"/>
      <c r="C3952" s="392"/>
      <c r="D3952" s="394"/>
      <c r="E3952" s="388"/>
      <c r="F3952" s="388"/>
      <c r="G3952" s="388"/>
      <c r="H3952" s="395"/>
      <c r="I3952" s="388"/>
      <c r="J3952" s="402"/>
      <c r="K3952" s="388"/>
      <c r="L3952" s="388"/>
      <c r="M3952" s="388"/>
      <c r="N3952" s="388"/>
      <c r="O3952" s="388"/>
      <c r="P3952" s="388"/>
      <c r="Q3952" s="388"/>
      <c r="R3952" s="388"/>
      <c r="S3952" s="388"/>
      <c r="T3952" s="388"/>
      <c r="U3952" s="388"/>
      <c r="V3952" s="388"/>
      <c r="W3952" s="388"/>
      <c r="X3952" s="388"/>
      <c r="Y3952" s="389"/>
      <c r="Z3952" s="388"/>
      <c r="AA3952" s="402"/>
      <c r="AB3952" s="403"/>
    </row>
    <row r="3953" spans="1:28" ht="15.75" thickBot="1">
      <c r="A3953" s="406"/>
      <c r="B3953" s="407"/>
      <c r="C3953" s="407"/>
      <c r="D3953" s="408"/>
      <c r="E3953" s="409"/>
      <c r="F3953" s="409"/>
      <c r="G3953" s="409"/>
      <c r="H3953" s="410"/>
      <c r="I3953" s="409"/>
      <c r="J3953" s="409"/>
      <c r="K3953" s="409"/>
      <c r="L3953" s="409"/>
      <c r="M3953" s="409"/>
      <c r="N3953" s="409"/>
      <c r="O3953" s="409"/>
      <c r="P3953" s="409"/>
      <c r="Q3953" s="409"/>
      <c r="R3953" s="409"/>
      <c r="S3953" s="409"/>
      <c r="T3953" s="409"/>
      <c r="U3953" s="409"/>
      <c r="V3953" s="409"/>
      <c r="W3953" s="409"/>
      <c r="X3953" s="409"/>
      <c r="Y3953" s="411"/>
      <c r="Z3953" s="409"/>
      <c r="AA3953" s="412"/>
      <c r="AB3953" s="413"/>
    </row>
    <row r="3954" spans="1:28">
      <c r="A3954" s="377"/>
      <c r="B3954" s="378"/>
      <c r="C3954" s="378"/>
      <c r="D3954" s="379"/>
      <c r="E3954" s="380"/>
      <c r="F3954" s="380"/>
      <c r="G3954" s="380"/>
      <c r="H3954" s="381"/>
      <c r="I3954" s="380"/>
      <c r="J3954" s="380"/>
      <c r="K3954" s="380"/>
      <c r="L3954" s="380"/>
      <c r="M3954" s="380"/>
      <c r="N3954" s="380"/>
      <c r="O3954" s="380"/>
      <c r="P3954" s="380"/>
      <c r="Q3954" s="380"/>
      <c r="R3954" s="380"/>
      <c r="S3954" s="380"/>
      <c r="T3954" s="380"/>
      <c r="U3954" s="380"/>
      <c r="V3954" s="380"/>
      <c r="W3954" s="380"/>
      <c r="X3954" s="380"/>
      <c r="Y3954" s="382"/>
      <c r="Z3954" s="380"/>
      <c r="AA3954" s="380"/>
      <c r="AB3954" s="383"/>
    </row>
    <row r="3955" spans="1:28">
      <c r="A3955" s="384" t="str">
        <f t="shared" si="12660"/>
        <v>Lantai 2</v>
      </c>
      <c r="B3955" s="385">
        <f t="shared" si="12661"/>
        <v>45</v>
      </c>
      <c r="C3955" s="386" t="str">
        <f t="shared" ref="C3955" si="12755">CONCATENATE(A3955," no. ",B3955)</f>
        <v>Lantai 2 no. 45</v>
      </c>
      <c r="D3955" s="2562" t="str">
        <f>VLOOKUP(C3955,'Data Panjang Balok'!$C$9:$N$254,2,FALSE)</f>
        <v>B24-1</v>
      </c>
      <c r="E3955" s="2576"/>
      <c r="F3955" s="2576"/>
      <c r="G3955" s="2576"/>
      <c r="H3955" s="2577"/>
      <c r="I3955" s="387"/>
      <c r="J3955" s="388"/>
      <c r="K3955" s="388"/>
      <c r="L3955" s="388"/>
      <c r="M3955" s="388"/>
      <c r="N3955" s="388"/>
      <c r="O3955" s="388"/>
      <c r="P3955" s="388"/>
      <c r="Q3955" s="388"/>
      <c r="R3955" s="388"/>
      <c r="S3955" s="388"/>
      <c r="T3955" s="388"/>
      <c r="U3955" s="388"/>
      <c r="V3955" s="388"/>
      <c r="W3955" s="388"/>
      <c r="X3955" s="388"/>
      <c r="Y3955" s="389"/>
      <c r="Z3955" s="388"/>
      <c r="AA3955" s="388"/>
      <c r="AB3955" s="390"/>
    </row>
    <row r="3956" spans="1:28">
      <c r="A3956" s="391"/>
      <c r="B3956" s="392"/>
      <c r="C3956" s="393" t="s">
        <v>118</v>
      </c>
      <c r="D3956" s="2578">
        <f>VLOOKUP(D3955,'Detail Balok'!$C$10:$AU$140,2,FALSE)</f>
        <v>200</v>
      </c>
      <c r="E3956" s="2579"/>
      <c r="F3956" s="388" t="s">
        <v>125</v>
      </c>
      <c r="G3956" s="2579">
        <f>VLOOKUP(D3955,'Detail Balok'!$C$10:$AU$140,3,FALSE)</f>
        <v>400</v>
      </c>
      <c r="H3956" s="2580"/>
      <c r="I3956" s="388"/>
      <c r="J3956" s="396"/>
      <c r="K3956" s="396"/>
      <c r="L3956" s="396"/>
      <c r="M3956" s="396"/>
      <c r="N3956" s="396"/>
      <c r="O3956" s="396"/>
      <c r="P3956" s="396"/>
      <c r="Q3956" s="396"/>
      <c r="R3956" s="396"/>
      <c r="S3956" s="396"/>
      <c r="T3956" s="396"/>
      <c r="U3956" s="388"/>
      <c r="V3956" s="396"/>
      <c r="W3956" s="388"/>
      <c r="X3956" s="396"/>
      <c r="Y3956" s="389"/>
      <c r="Z3956" s="396"/>
      <c r="AA3956" s="388"/>
      <c r="AB3956" s="390"/>
    </row>
    <row r="3957" spans="1:28">
      <c r="A3957" s="391"/>
      <c r="B3957" s="392"/>
      <c r="C3957" s="393" t="s">
        <v>198</v>
      </c>
      <c r="D3957" s="2562">
        <f>VLOOKUP(C3955,'Data Panjang Balok'!$C$9:$N$254,4,FALSE)</f>
        <v>2125</v>
      </c>
      <c r="E3957" s="2563"/>
      <c r="F3957" s="2563"/>
      <c r="G3957" s="2563"/>
      <c r="H3957" s="2564"/>
      <c r="I3957" s="397"/>
      <c r="J3957" s="396"/>
      <c r="K3957" s="396"/>
      <c r="L3957" s="396"/>
      <c r="M3957" s="396"/>
      <c r="N3957" s="396"/>
      <c r="O3957" s="396"/>
      <c r="P3957" s="396"/>
      <c r="Q3957" s="396"/>
      <c r="R3957" s="396"/>
      <c r="S3957" s="396"/>
      <c r="T3957" s="396"/>
      <c r="U3957" s="388"/>
      <c r="V3957" s="396"/>
      <c r="W3957" s="388"/>
      <c r="X3957" s="396"/>
      <c r="Y3957" s="389"/>
      <c r="Z3957" s="396"/>
      <c r="AA3957" s="388"/>
      <c r="AB3957" s="390"/>
    </row>
    <row r="3958" spans="1:28">
      <c r="A3958" s="391"/>
      <c r="B3958" s="392"/>
      <c r="C3958" s="393" t="s">
        <v>199</v>
      </c>
      <c r="D3958" s="2562">
        <f>VLOOKUP(C3955,'Data Panjang Balok'!$C$9:$N$254,7,FALSE)</f>
        <v>2125</v>
      </c>
      <c r="E3958" s="2563"/>
      <c r="F3958" s="2563"/>
      <c r="G3958" s="2563"/>
      <c r="H3958" s="2564"/>
      <c r="I3958" s="397"/>
      <c r="J3958" s="396"/>
      <c r="K3958" s="396"/>
      <c r="L3958" s="396"/>
      <c r="M3958" s="396"/>
      <c r="N3958" s="396"/>
      <c r="O3958" s="396"/>
      <c r="P3958" s="396"/>
      <c r="Q3958" s="396"/>
      <c r="R3958" s="396"/>
      <c r="S3958" s="396"/>
      <c r="T3958" s="396"/>
      <c r="U3958" s="388"/>
      <c r="V3958" s="396"/>
      <c r="W3958" s="388"/>
      <c r="X3958" s="396"/>
      <c r="Y3958" s="389"/>
      <c r="Z3958" s="396"/>
      <c r="AA3958" s="388"/>
      <c r="AB3958" s="390"/>
    </row>
    <row r="3959" spans="1:28">
      <c r="A3959" s="391"/>
      <c r="B3959" s="392"/>
      <c r="C3959" s="393" t="s">
        <v>200</v>
      </c>
      <c r="D3959" s="2562">
        <f>VLOOKUP(C3955,'Data Panjang Balok'!$C$9:$N$254,9,FALSE)</f>
        <v>0</v>
      </c>
      <c r="E3959" s="2563"/>
      <c r="F3959" s="2563"/>
      <c r="G3959" s="2563"/>
      <c r="H3959" s="2564"/>
      <c r="I3959" s="397"/>
      <c r="J3959" s="396"/>
      <c r="K3959" s="396"/>
      <c r="L3959" s="396"/>
      <c r="M3959" s="396"/>
      <c r="N3959" s="396"/>
      <c r="O3959" s="396"/>
      <c r="P3959" s="396"/>
      <c r="Q3959" s="396"/>
      <c r="R3959" s="396"/>
      <c r="S3959" s="396"/>
      <c r="T3959" s="396"/>
      <c r="U3959" s="388"/>
      <c r="V3959" s="396"/>
      <c r="W3959" s="388"/>
      <c r="X3959" s="396"/>
      <c r="Y3959" s="389"/>
      <c r="Z3959" s="396"/>
      <c r="AA3959" s="388"/>
      <c r="AB3959" s="390"/>
    </row>
    <row r="3960" spans="1:28">
      <c r="A3960" s="391"/>
      <c r="B3960" s="392"/>
      <c r="C3960" s="393" t="s">
        <v>201</v>
      </c>
      <c r="D3960" s="2562">
        <f>VLOOKUP(C3955,'Data Panjang Balok'!$C$9:$N$254,10,FALSE)</f>
        <v>0</v>
      </c>
      <c r="E3960" s="2563"/>
      <c r="F3960" s="2563"/>
      <c r="G3960" s="2563"/>
      <c r="H3960" s="2564"/>
      <c r="I3960" s="397"/>
      <c r="J3960" s="396"/>
      <c r="K3960" s="396"/>
      <c r="L3960" s="396"/>
      <c r="M3960" s="396"/>
      <c r="N3960" s="396"/>
      <c r="O3960" s="396"/>
      <c r="P3960" s="396"/>
      <c r="Q3960" s="396"/>
      <c r="R3960" s="396"/>
      <c r="S3960" s="396"/>
      <c r="T3960" s="396"/>
      <c r="U3960" s="388"/>
      <c r="V3960" s="396"/>
      <c r="W3960" s="388"/>
      <c r="X3960" s="396"/>
      <c r="Y3960" s="389"/>
      <c r="Z3960" s="396"/>
      <c r="AA3960" s="388"/>
      <c r="AB3960" s="390"/>
    </row>
    <row r="3961" spans="1:28">
      <c r="A3961" s="391"/>
      <c r="B3961" s="392"/>
      <c r="C3961" s="393" t="s">
        <v>48</v>
      </c>
      <c r="D3961" s="2562">
        <f>VLOOKUP(C3955,'Data Panjang Balok'!$C$9:$N$254,3,FALSE)</f>
        <v>1</v>
      </c>
      <c r="E3961" s="2563"/>
      <c r="F3961" s="2563"/>
      <c r="G3961" s="2563"/>
      <c r="H3961" s="2564"/>
      <c r="I3961" s="397"/>
      <c r="J3961" s="396"/>
      <c r="K3961" s="396"/>
      <c r="L3961" s="396"/>
      <c r="M3961" s="396"/>
      <c r="N3961" s="396"/>
      <c r="O3961" s="396"/>
      <c r="P3961" s="396"/>
      <c r="Q3961" s="396"/>
      <c r="R3961" s="396"/>
      <c r="S3961" s="396"/>
      <c r="T3961" s="396"/>
      <c r="U3961" s="388"/>
      <c r="V3961" s="396"/>
      <c r="W3961" s="388"/>
      <c r="X3961" s="396"/>
      <c r="Y3961" s="389"/>
      <c r="Z3961" s="396"/>
      <c r="AA3961" s="388"/>
      <c r="AB3961" s="390"/>
    </row>
    <row r="3962" spans="1:28">
      <c r="A3962" s="384" t="str">
        <f t="shared" ref="A3962:B3962" si="12756">A3955</f>
        <v>Lantai 2</v>
      </c>
      <c r="B3962" s="385">
        <f t="shared" si="12756"/>
        <v>45</v>
      </c>
      <c r="C3962" s="393" t="s">
        <v>202</v>
      </c>
      <c r="D3962" s="398">
        <f>VLOOKUP(D3955,'Detail Balok'!$C$10:$AU$140,4,FALSE)</f>
        <v>3</v>
      </c>
      <c r="E3962" s="388" t="s">
        <v>16</v>
      </c>
      <c r="F3962" s="388">
        <f>VLOOKUP(D3955,'Detail Balok'!$C$10:$AU$140,6,FALSE)</f>
        <v>13</v>
      </c>
      <c r="G3962" s="388"/>
      <c r="H3962" s="395"/>
      <c r="I3962" s="388" t="s">
        <v>203</v>
      </c>
      <c r="J3962" s="399">
        <f t="shared" ref="J3962" si="12757">+D3957/4/1000</f>
        <v>0.53125</v>
      </c>
      <c r="K3962" s="400" t="s">
        <v>204</v>
      </c>
      <c r="L3962" s="399">
        <f t="shared" ref="L3962" si="12758">MAX(VLOOKUP(F3962,N$6:P$15,3,FALSE)/1000,2/3*D3959/1000)+F$16*F3962/1000</f>
        <v>0.156</v>
      </c>
      <c r="M3962" s="399" t="s">
        <v>176</v>
      </c>
      <c r="N3962" s="399">
        <f t="shared" ref="N3962:N3964" si="12759">J3962+L3962</f>
        <v>0.68725000000000003</v>
      </c>
      <c r="O3962" s="399" t="s">
        <v>204</v>
      </c>
      <c r="P3962" s="389">
        <f t="shared" ref="P3962" si="12760">D3962-D3963</f>
        <v>0</v>
      </c>
      <c r="Q3962" s="399" t="s">
        <v>125</v>
      </c>
      <c r="R3962" s="399">
        <f t="shared" ref="R3962" si="12761">IF(P3962&gt;0,$F$18*F3962/1000,0)</f>
        <v>0</v>
      </c>
      <c r="S3962" s="399" t="s">
        <v>205</v>
      </c>
      <c r="T3962" s="399" t="s">
        <v>125</v>
      </c>
      <c r="U3962" s="401">
        <f t="shared" ref="U3962:U3964" si="12762">0.006165*F3962^2</f>
        <v>1.041885</v>
      </c>
      <c r="V3962" s="399"/>
      <c r="W3962" s="399"/>
      <c r="X3962" s="399" t="s">
        <v>125</v>
      </c>
      <c r="Y3962" s="389">
        <f t="shared" ref="Y3962" si="12763">D3961</f>
        <v>1</v>
      </c>
      <c r="Z3962" s="400" t="s">
        <v>176</v>
      </c>
      <c r="AA3962" s="402">
        <f t="shared" ref="AA3962" si="12764">IF(AA3965=0,(D3962*N3962+P3962*R3962)*U3962*Y3962,0)</f>
        <v>0</v>
      </c>
      <c r="AB3962" s="403"/>
    </row>
    <row r="3963" spans="1:28">
      <c r="A3963" s="384" t="str">
        <f t="shared" ref="A3963:B3963" si="12765">A3955</f>
        <v>Lantai 2</v>
      </c>
      <c r="B3963" s="385">
        <f t="shared" si="12765"/>
        <v>45</v>
      </c>
      <c r="C3963" s="393" t="s">
        <v>206</v>
      </c>
      <c r="D3963" s="398">
        <f>VLOOKUP(D3955,'Detail Balok'!$C$10:$AU$140,7,FALSE)</f>
        <v>3</v>
      </c>
      <c r="E3963" s="388" t="s">
        <v>16</v>
      </c>
      <c r="F3963" s="388">
        <f>VLOOKUP(D3955,'Detail Balok'!$C$10:$AU$140,9,FALSE)</f>
        <v>13</v>
      </c>
      <c r="G3963" s="388"/>
      <c r="H3963" s="395"/>
      <c r="I3963" s="388" t="s">
        <v>203</v>
      </c>
      <c r="J3963" s="399">
        <f t="shared" ref="J3963" si="12766">+D3957/2/1000</f>
        <v>1.0625</v>
      </c>
      <c r="K3963" s="400" t="s">
        <v>204</v>
      </c>
      <c r="L3963" s="399"/>
      <c r="M3963" s="399" t="s">
        <v>176</v>
      </c>
      <c r="N3963" s="399">
        <f t="shared" si="12759"/>
        <v>1.0625</v>
      </c>
      <c r="O3963" s="399" t="s">
        <v>204</v>
      </c>
      <c r="P3963" s="389">
        <f t="shared" ref="P3963" si="12767">MAX(D3963-D3962,D3963-D3964)</f>
        <v>0</v>
      </c>
      <c r="Q3963" s="399" t="s">
        <v>125</v>
      </c>
      <c r="R3963" s="399">
        <f t="shared" ref="R3963" si="12768">IF(P3963&gt;0,2*(1-2*$F$19-1/2)*D3958/1000,0)</f>
        <v>0</v>
      </c>
      <c r="S3963" s="399" t="s">
        <v>205</v>
      </c>
      <c r="T3963" s="399" t="s">
        <v>125</v>
      </c>
      <c r="U3963" s="401">
        <f t="shared" si="12762"/>
        <v>1.041885</v>
      </c>
      <c r="V3963" s="399"/>
      <c r="W3963" s="399"/>
      <c r="X3963" s="399" t="s">
        <v>125</v>
      </c>
      <c r="Y3963" s="389">
        <f t="shared" ref="Y3963" si="12769">D3961</f>
        <v>1</v>
      </c>
      <c r="Z3963" s="400" t="s">
        <v>176</v>
      </c>
      <c r="AA3963" s="402">
        <f t="shared" ref="AA3963" si="12770">IF(AA3965=0,(D3963*N3963+P3963*R3963)*U3963*Y3963,0)</f>
        <v>0</v>
      </c>
      <c r="AB3963" s="403"/>
    </row>
    <row r="3964" spans="1:28">
      <c r="A3964" s="384" t="str">
        <f t="shared" ref="A3964:B3964" si="12771">A3955</f>
        <v>Lantai 2</v>
      </c>
      <c r="B3964" s="385">
        <f t="shared" si="12771"/>
        <v>45</v>
      </c>
      <c r="C3964" s="393" t="s">
        <v>202</v>
      </c>
      <c r="D3964" s="398">
        <f>VLOOKUP(D3955,'Detail Balok'!$C$10:$AU$140,10,FALSE)</f>
        <v>3</v>
      </c>
      <c r="E3964" s="388" t="s">
        <v>16</v>
      </c>
      <c r="F3964" s="388">
        <f>VLOOKUP(D3955,'Detail Balok'!$C$10:$AU$140,12,FALSE)</f>
        <v>13</v>
      </c>
      <c r="G3964" s="388"/>
      <c r="H3964" s="395"/>
      <c r="I3964" s="388" t="s">
        <v>203</v>
      </c>
      <c r="J3964" s="399">
        <f t="shared" ref="J3964" si="12772">+D3957/4/1000</f>
        <v>0.53125</v>
      </c>
      <c r="K3964" s="400" t="s">
        <v>204</v>
      </c>
      <c r="L3964" s="399">
        <f t="shared" ref="L3964" si="12773">MAX(VLOOKUP(F3964,N$6:P$15,3,FALSE)/1000,2/3*D3959/1000)+F$16*F3964/1000</f>
        <v>0.156</v>
      </c>
      <c r="M3964" s="399" t="s">
        <v>176</v>
      </c>
      <c r="N3964" s="399">
        <f t="shared" si="12759"/>
        <v>0.68725000000000003</v>
      </c>
      <c r="O3964" s="399" t="s">
        <v>204</v>
      </c>
      <c r="P3964" s="389">
        <f t="shared" ref="P3964" si="12774">D3964-D3963</f>
        <v>0</v>
      </c>
      <c r="Q3964" s="399" t="s">
        <v>125</v>
      </c>
      <c r="R3964" s="399">
        <f t="shared" ref="R3964" si="12775">IF(P3964&gt;0,$F$18*F3964/1000,0)</f>
        <v>0</v>
      </c>
      <c r="S3964" s="399" t="s">
        <v>205</v>
      </c>
      <c r="T3964" s="399" t="s">
        <v>125</v>
      </c>
      <c r="U3964" s="401">
        <f t="shared" si="12762"/>
        <v>1.041885</v>
      </c>
      <c r="V3964" s="399"/>
      <c r="W3964" s="399"/>
      <c r="X3964" s="399" t="s">
        <v>125</v>
      </c>
      <c r="Y3964" s="389">
        <f t="shared" ref="Y3964" si="12776">D3961</f>
        <v>1</v>
      </c>
      <c r="Z3964" s="400" t="s">
        <v>176</v>
      </c>
      <c r="AA3964" s="402">
        <f t="shared" ref="AA3964" si="12777">IF(AA3965=0,(D3964*N3964+P3964*R3964)*U3964*Y3964,0)</f>
        <v>0</v>
      </c>
      <c r="AB3964" s="403"/>
    </row>
    <row r="3965" spans="1:28">
      <c r="A3965" s="384" t="str">
        <f t="shared" ref="A3965:B3965" si="12778">A3955</f>
        <v>Lantai 2</v>
      </c>
      <c r="B3965" s="385">
        <f t="shared" si="12778"/>
        <v>45</v>
      </c>
      <c r="C3965" s="393"/>
      <c r="D3965" s="398">
        <f t="shared" si="12581"/>
        <v>3</v>
      </c>
      <c r="E3965" s="388" t="s">
        <v>16</v>
      </c>
      <c r="F3965" s="388">
        <f t="shared" si="12582"/>
        <v>13</v>
      </c>
      <c r="G3965" s="388"/>
      <c r="H3965" s="395"/>
      <c r="I3965" s="388"/>
      <c r="J3965" s="396"/>
      <c r="K3965" s="396"/>
      <c r="L3965" s="404" t="s">
        <v>207</v>
      </c>
      <c r="M3965" s="399" t="s">
        <v>176</v>
      </c>
      <c r="N3965" s="399">
        <f t="shared" ref="N3965" si="12779">IF(AND(D3962=D3963,D3962=D3964,D3963=D3964,F3962=F3963,F3962=F3964,F3963=F3964),SUM(N3962:N3964),0)</f>
        <v>2.4370000000000003</v>
      </c>
      <c r="O3965" s="399" t="s">
        <v>204</v>
      </c>
      <c r="P3965" s="389">
        <f t="shared" ref="P3965" si="12780">IF(N3965&gt;12,ROUNDDOWN(N3965/12,0),0)</f>
        <v>0</v>
      </c>
      <c r="Q3965" s="399" t="s">
        <v>125</v>
      </c>
      <c r="R3965" s="399">
        <f t="shared" ref="R3965" si="12781">IF(P3965&gt;0,MAX(VLOOKUP(F3965,$D$6:$G$15,3,FALSE),600),0)/1000</f>
        <v>0</v>
      </c>
      <c r="S3965" s="396"/>
      <c r="T3965" s="396" t="s">
        <v>125</v>
      </c>
      <c r="U3965" s="401">
        <f t="shared" si="12586"/>
        <v>1.041885</v>
      </c>
      <c r="V3965" s="396" t="s">
        <v>125</v>
      </c>
      <c r="W3965" s="399">
        <f t="shared" ref="W3965" si="12782">D3965</f>
        <v>3</v>
      </c>
      <c r="X3965" s="399" t="s">
        <v>125</v>
      </c>
      <c r="Y3965" s="389">
        <f t="shared" si="12588"/>
        <v>1</v>
      </c>
      <c r="Z3965" s="400" t="s">
        <v>176</v>
      </c>
      <c r="AA3965" s="402">
        <f t="shared" ref="AA3965" si="12783">(N3965+P3965*R3965/1000)*U3965*W3965*Y3965</f>
        <v>7.6172212350000006</v>
      </c>
      <c r="AB3965" s="390"/>
    </row>
    <row r="3966" spans="1:28">
      <c r="A3966" s="384"/>
      <c r="B3966" s="385"/>
      <c r="C3966" s="393"/>
      <c r="D3966" s="398"/>
      <c r="E3966" s="388"/>
      <c r="F3966" s="388"/>
      <c r="G3966" s="388"/>
      <c r="H3966" s="395"/>
      <c r="I3966" s="388"/>
      <c r="J3966" s="396"/>
      <c r="K3966" s="396"/>
      <c r="L3966" s="404"/>
      <c r="M3966" s="399"/>
      <c r="N3966" s="399"/>
      <c r="O3966" s="396"/>
      <c r="P3966" s="389"/>
      <c r="Q3966" s="396"/>
      <c r="R3966" s="396"/>
      <c r="S3966" s="396"/>
      <c r="T3966" s="396"/>
      <c r="U3966" s="401"/>
      <c r="V3966" s="396"/>
      <c r="W3966" s="399"/>
      <c r="X3966" s="396"/>
      <c r="Y3966" s="389"/>
      <c r="Z3966" s="396"/>
      <c r="AA3966" s="388"/>
      <c r="AB3966" s="390"/>
    </row>
    <row r="3967" spans="1:28">
      <c r="A3967" s="384" t="str">
        <f t="shared" ref="A3967:B3967" si="12784">A3955</f>
        <v>Lantai 2</v>
      </c>
      <c r="B3967" s="385">
        <f t="shared" si="12784"/>
        <v>45</v>
      </c>
      <c r="C3967" s="393" t="s">
        <v>208</v>
      </c>
      <c r="D3967" s="398">
        <f>VLOOKUP(D3955,'Detail Balok'!$C$10:$AU$140,13,FALSE)</f>
        <v>0</v>
      </c>
      <c r="E3967" s="388" t="s">
        <v>16</v>
      </c>
      <c r="F3967" s="388">
        <f>VLOOKUP(D3955,'Detail Balok'!$C$10:$AU$140,15,FALSE)</f>
        <v>8</v>
      </c>
      <c r="G3967" s="388"/>
      <c r="H3967" s="395"/>
      <c r="I3967" s="388"/>
      <c r="J3967" s="399">
        <f t="shared" ref="J3967" si="12785">+D3957/1000</f>
        <v>2.125</v>
      </c>
      <c r="K3967" s="400" t="s">
        <v>204</v>
      </c>
      <c r="L3967" s="399">
        <f t="shared" ref="L3967" si="12786">2*$F$16*F3967/1000</f>
        <v>0.192</v>
      </c>
      <c r="M3967" s="399" t="s">
        <v>176</v>
      </c>
      <c r="N3967" s="399">
        <f t="shared" ref="N3967" si="12787">J3967+L3967</f>
        <v>2.3170000000000002</v>
      </c>
      <c r="O3967" s="399" t="s">
        <v>204</v>
      </c>
      <c r="P3967" s="389">
        <f t="shared" ref="P3967" si="12788">IF(N3967&gt;12,ROUNDDOWN(N3967/12,0),0)</f>
        <v>0</v>
      </c>
      <c r="Q3967" s="399" t="s">
        <v>125</v>
      </c>
      <c r="R3967" s="399">
        <f t="shared" ref="R3967" si="12789">IF(P3967&gt;0,MAX(VLOOKUP(F3967,$D$6:$G$15,3,FALSE),600),0)/1000</f>
        <v>0</v>
      </c>
      <c r="S3967" s="399"/>
      <c r="T3967" s="399" t="s">
        <v>125</v>
      </c>
      <c r="U3967" s="401">
        <f t="shared" ref="U3967" si="12790">0.006165*F3967^2</f>
        <v>0.39456000000000002</v>
      </c>
      <c r="V3967" s="399" t="s">
        <v>125</v>
      </c>
      <c r="W3967" s="399">
        <f t="shared" ref="W3967" si="12791">+D3967</f>
        <v>0</v>
      </c>
      <c r="X3967" s="399" t="s">
        <v>125</v>
      </c>
      <c r="Y3967" s="389">
        <f t="shared" ref="Y3967" si="12792">D3961</f>
        <v>1</v>
      </c>
      <c r="Z3967" s="400" t="s">
        <v>176</v>
      </c>
      <c r="AA3967" s="402">
        <f t="shared" ref="AA3967" si="12793">(N3967+P3967*R3967/1000)*U3967*W3967*Y3967</f>
        <v>0</v>
      </c>
      <c r="AB3967" s="403"/>
    </row>
    <row r="3968" spans="1:28">
      <c r="A3968" s="384"/>
      <c r="B3968" s="385"/>
      <c r="C3968" s="393"/>
      <c r="D3968" s="398"/>
      <c r="E3968" s="388"/>
      <c r="F3968" s="388"/>
      <c r="G3968" s="388"/>
      <c r="H3968" s="395"/>
      <c r="I3968" s="388"/>
      <c r="J3968" s="399"/>
      <c r="K3968" s="400"/>
      <c r="L3968" s="399"/>
      <c r="M3968" s="399"/>
      <c r="N3968" s="399"/>
      <c r="O3968" s="399"/>
      <c r="P3968" s="389"/>
      <c r="Q3968" s="399"/>
      <c r="R3968" s="399"/>
      <c r="S3968" s="399"/>
      <c r="T3968" s="399"/>
      <c r="U3968" s="401"/>
      <c r="V3968" s="399"/>
      <c r="W3968" s="399"/>
      <c r="X3968" s="399"/>
      <c r="Y3968" s="389"/>
      <c r="Z3968" s="400"/>
      <c r="AA3968" s="402"/>
      <c r="AB3968" s="403"/>
    </row>
    <row r="3969" spans="1:28">
      <c r="A3969" s="384"/>
      <c r="B3969" s="385"/>
      <c r="C3969" s="393"/>
      <c r="D3969" s="398"/>
      <c r="E3969" s="388"/>
      <c r="F3969" s="388"/>
      <c r="G3969" s="388"/>
      <c r="H3969" s="395"/>
      <c r="I3969" s="388"/>
      <c r="J3969" s="396"/>
      <c r="K3969" s="396"/>
      <c r="L3969" s="396"/>
      <c r="M3969" s="396"/>
      <c r="N3969" s="396"/>
      <c r="O3969" s="396"/>
      <c r="P3969" s="389"/>
      <c r="Q3969" s="396"/>
      <c r="R3969" s="396"/>
      <c r="S3969" s="396"/>
      <c r="T3969" s="396"/>
      <c r="U3969" s="401"/>
      <c r="V3969" s="396"/>
      <c r="W3969" s="399"/>
      <c r="X3969" s="396"/>
      <c r="Y3969" s="389"/>
      <c r="Z3969" s="396"/>
      <c r="AA3969" s="388"/>
      <c r="AB3969" s="390"/>
    </row>
    <row r="3970" spans="1:28">
      <c r="A3970" s="384" t="str">
        <f t="shared" ref="A3970:B3970" si="12794">A3955</f>
        <v>Lantai 2</v>
      </c>
      <c r="B3970" s="385">
        <f t="shared" si="12794"/>
        <v>45</v>
      </c>
      <c r="C3970" s="393" t="s">
        <v>209</v>
      </c>
      <c r="D3970" s="398">
        <f>VLOOKUP(D3955,'Detail Balok'!$C$10:$AU$140,22,FALSE)</f>
        <v>3</v>
      </c>
      <c r="E3970" s="388" t="s">
        <v>16</v>
      </c>
      <c r="F3970" s="388">
        <f>VLOOKUP(D3955,'Detail Balok'!$C$10:$AU$140,24,FALSE)</f>
        <v>13</v>
      </c>
      <c r="G3970" s="388"/>
      <c r="H3970" s="395"/>
      <c r="I3970" s="388" t="s">
        <v>203</v>
      </c>
      <c r="J3970" s="399">
        <f t="shared" si="12601"/>
        <v>0.53125</v>
      </c>
      <c r="K3970" s="400" t="s">
        <v>204</v>
      </c>
      <c r="L3970" s="399">
        <f t="shared" ref="L3970" si="12795">MAX(VLOOKUP(F3970,N$6:P$15,3,FALSE)/1000,2/3*D3960/1000)+F$16*F3970/1000</f>
        <v>0.156</v>
      </c>
      <c r="M3970" s="399" t="s">
        <v>176</v>
      </c>
      <c r="N3970" s="399">
        <f t="shared" ref="N3970:N3972" si="12796">J3970+L3970</f>
        <v>0.68725000000000003</v>
      </c>
      <c r="O3970" s="399" t="s">
        <v>204</v>
      </c>
      <c r="P3970" s="389">
        <f t="shared" ref="P3970" si="12797">D3970-D3971</f>
        <v>0</v>
      </c>
      <c r="Q3970" s="399" t="s">
        <v>125</v>
      </c>
      <c r="R3970" s="399">
        <f t="shared" ref="R3970" si="12798">IF(P3970&gt;0,$F$18*F3970/1000,0)</f>
        <v>0</v>
      </c>
      <c r="S3970" s="399" t="s">
        <v>205</v>
      </c>
      <c r="T3970" s="399" t="s">
        <v>125</v>
      </c>
      <c r="U3970" s="401">
        <f t="shared" ref="U3970:U3972" si="12799">0.006165*F3970^2</f>
        <v>1.041885</v>
      </c>
      <c r="V3970" s="399"/>
      <c r="W3970" s="399"/>
      <c r="X3970" s="399" t="s">
        <v>125</v>
      </c>
      <c r="Y3970" s="389">
        <f t="shared" ref="Y3970" si="12800">D3961</f>
        <v>1</v>
      </c>
      <c r="Z3970" s="400" t="s">
        <v>176</v>
      </c>
      <c r="AA3970" s="402">
        <f t="shared" ref="AA3970" si="12801">IF(AA3973=0,(D3970*N3970+P3970*R3970)*U3970*Y3970,0)</f>
        <v>0</v>
      </c>
      <c r="AB3970" s="403"/>
    </row>
    <row r="3971" spans="1:28">
      <c r="A3971" s="384" t="str">
        <f t="shared" ref="A3971:B3971" si="12802">A3955</f>
        <v>Lantai 2</v>
      </c>
      <c r="B3971" s="385">
        <f t="shared" si="12802"/>
        <v>45</v>
      </c>
      <c r="C3971" s="393" t="s">
        <v>210</v>
      </c>
      <c r="D3971" s="398">
        <f>VLOOKUP(D3955,'Detail Balok'!$C$10:$AU$140,25,FALSE)</f>
        <v>3</v>
      </c>
      <c r="E3971" s="388" t="s">
        <v>16</v>
      </c>
      <c r="F3971" s="388">
        <f>VLOOKUP(D3955,'Detail Balok'!$C$10:$AU$140,27,FALSE)</f>
        <v>13</v>
      </c>
      <c r="G3971" s="388"/>
      <c r="H3971" s="395"/>
      <c r="I3971" s="388" t="s">
        <v>203</v>
      </c>
      <c r="J3971" s="399">
        <f t="shared" si="12601"/>
        <v>1.0625</v>
      </c>
      <c r="K3971" s="400" t="s">
        <v>204</v>
      </c>
      <c r="L3971" s="399"/>
      <c r="M3971" s="399" t="s">
        <v>176</v>
      </c>
      <c r="N3971" s="399">
        <f t="shared" si="12796"/>
        <v>1.0625</v>
      </c>
      <c r="O3971" s="399" t="s">
        <v>204</v>
      </c>
      <c r="P3971" s="389">
        <f t="shared" ref="P3971" si="12803">MAX(D3971-D3970,D3971-D3972)</f>
        <v>0</v>
      </c>
      <c r="Q3971" s="399" t="s">
        <v>125</v>
      </c>
      <c r="R3971" s="399">
        <f t="shared" ref="R3971" si="12804">IF(P3971&gt;0,2*(1-2*$F$19-1/2)*D3958/1000,0)</f>
        <v>0</v>
      </c>
      <c r="S3971" s="399" t="s">
        <v>205</v>
      </c>
      <c r="T3971" s="399" t="s">
        <v>125</v>
      </c>
      <c r="U3971" s="401">
        <f t="shared" si="12799"/>
        <v>1.041885</v>
      </c>
      <c r="V3971" s="399"/>
      <c r="W3971" s="399"/>
      <c r="X3971" s="399" t="s">
        <v>125</v>
      </c>
      <c r="Y3971" s="389">
        <f t="shared" ref="Y3971" si="12805">D3961</f>
        <v>1</v>
      </c>
      <c r="Z3971" s="400" t="s">
        <v>176</v>
      </c>
      <c r="AA3971" s="402">
        <f t="shared" ref="AA3971" si="12806">IF(AA3973=0,(D3971*N3971+P3971*R3971)*U3971*Y3971,0)</f>
        <v>0</v>
      </c>
      <c r="AB3971" s="403"/>
    </row>
    <row r="3972" spans="1:28">
      <c r="A3972" s="384" t="str">
        <f t="shared" ref="A3972:B3972" si="12807">A3955</f>
        <v>Lantai 2</v>
      </c>
      <c r="B3972" s="385">
        <f t="shared" si="12807"/>
        <v>45</v>
      </c>
      <c r="C3972" s="393" t="s">
        <v>209</v>
      </c>
      <c r="D3972" s="398">
        <f>VLOOKUP(D3955,'Detail Balok'!$C$10:$AU$140,28,FALSE)</f>
        <v>3</v>
      </c>
      <c r="E3972" s="388" t="s">
        <v>16</v>
      </c>
      <c r="F3972" s="388">
        <f>VLOOKUP(D3955,'Detail Balok'!$C$10:$AU$140,30,FALSE)</f>
        <v>13</v>
      </c>
      <c r="G3972" s="388"/>
      <c r="H3972" s="395"/>
      <c r="I3972" s="388" t="s">
        <v>203</v>
      </c>
      <c r="J3972" s="399">
        <f t="shared" si="12601"/>
        <v>0.53125</v>
      </c>
      <c r="K3972" s="400" t="s">
        <v>204</v>
      </c>
      <c r="L3972" s="399">
        <f t="shared" ref="L3972" si="12808">MAX(VLOOKUP(F3972,N$6:P$15,3,FALSE)/1000,2/3*D3960/1000)+F$16*F3972/1000</f>
        <v>0.156</v>
      </c>
      <c r="M3972" s="399" t="s">
        <v>176</v>
      </c>
      <c r="N3972" s="399">
        <f t="shared" si="12796"/>
        <v>0.68725000000000003</v>
      </c>
      <c r="O3972" s="399" t="s">
        <v>204</v>
      </c>
      <c r="P3972" s="389">
        <f t="shared" ref="P3972" si="12809">D3972-D3971</f>
        <v>0</v>
      </c>
      <c r="Q3972" s="399" t="s">
        <v>125</v>
      </c>
      <c r="R3972" s="399">
        <f t="shared" ref="R3972" si="12810">IF(P3972&gt;0,$F$18*F3972/1000,0)</f>
        <v>0</v>
      </c>
      <c r="S3972" s="399" t="s">
        <v>205</v>
      </c>
      <c r="T3972" s="399" t="s">
        <v>125</v>
      </c>
      <c r="U3972" s="401">
        <f t="shared" si="12799"/>
        <v>1.041885</v>
      </c>
      <c r="V3972" s="399"/>
      <c r="W3972" s="399"/>
      <c r="X3972" s="399" t="s">
        <v>125</v>
      </c>
      <c r="Y3972" s="389">
        <f t="shared" ref="Y3972" si="12811">D3961</f>
        <v>1</v>
      </c>
      <c r="Z3972" s="400" t="s">
        <v>176</v>
      </c>
      <c r="AA3972" s="402">
        <f t="shared" ref="AA3972" si="12812">IF(AA3973=0,(D3972*N3972+P3972*R3972)*U3972*Y3972,0)</f>
        <v>0</v>
      </c>
      <c r="AB3972" s="403"/>
    </row>
    <row r="3973" spans="1:28">
      <c r="A3973" s="384" t="str">
        <f t="shared" ref="A3973:B3973" si="12813">A3955</f>
        <v>Lantai 2</v>
      </c>
      <c r="B3973" s="385">
        <f t="shared" si="12813"/>
        <v>45</v>
      </c>
      <c r="C3973" s="393"/>
      <c r="D3973" s="398">
        <f t="shared" si="12621"/>
        <v>3</v>
      </c>
      <c r="E3973" s="388" t="s">
        <v>16</v>
      </c>
      <c r="F3973" s="388">
        <f t="shared" si="12622"/>
        <v>13</v>
      </c>
      <c r="G3973" s="388"/>
      <c r="H3973" s="395"/>
      <c r="I3973" s="388"/>
      <c r="J3973" s="396"/>
      <c r="K3973" s="396"/>
      <c r="L3973" s="404" t="s">
        <v>207</v>
      </c>
      <c r="M3973" s="399" t="s">
        <v>176</v>
      </c>
      <c r="N3973" s="399">
        <f t="shared" ref="N3973" si="12814">IF(AND(D3970=D3971,D3970=D3972,D3971=D3972,F3970=F3971,F3970=F3972,F3971=F3972),SUM(N3970:N3972),0)</f>
        <v>2.4370000000000003</v>
      </c>
      <c r="O3973" s="399" t="s">
        <v>204</v>
      </c>
      <c r="P3973" s="389">
        <f t="shared" ref="P3973" si="12815">IF(N3973&gt;12,ROUNDDOWN(N3973/12,0),0)</f>
        <v>0</v>
      </c>
      <c r="Q3973" s="399" t="s">
        <v>125</v>
      </c>
      <c r="R3973" s="399">
        <f t="shared" ref="R3973" si="12816">IF(P3973&gt;0,MAX(VLOOKUP(F3973,$D$6:$G$15,3,FALSE),600),0)/1000</f>
        <v>0</v>
      </c>
      <c r="S3973" s="396"/>
      <c r="T3973" s="396" t="s">
        <v>125</v>
      </c>
      <c r="U3973" s="401">
        <f t="shared" si="12626"/>
        <v>1.041885</v>
      </c>
      <c r="V3973" s="396" t="s">
        <v>125</v>
      </c>
      <c r="W3973" s="399">
        <f t="shared" ref="W3973" si="12817">D3973</f>
        <v>3</v>
      </c>
      <c r="X3973" s="399" t="s">
        <v>125</v>
      </c>
      <c r="Y3973" s="389">
        <f t="shared" si="12628"/>
        <v>1</v>
      </c>
      <c r="Z3973" s="400" t="s">
        <v>176</v>
      </c>
      <c r="AA3973" s="402">
        <f t="shared" ref="AA3973" si="12818">(N3973+P3973*R3973/1000)*U3973*W3973*Y3973</f>
        <v>7.6172212350000006</v>
      </c>
      <c r="AB3973" s="403"/>
    </row>
    <row r="3974" spans="1:28">
      <c r="A3974" s="384"/>
      <c r="B3974" s="385"/>
      <c r="C3974" s="393"/>
      <c r="D3974" s="394"/>
      <c r="E3974" s="388"/>
      <c r="F3974" s="388"/>
      <c r="G3974" s="388"/>
      <c r="H3974" s="395"/>
      <c r="I3974" s="388"/>
      <c r="J3974" s="399"/>
      <c r="K3974" s="396"/>
      <c r="L3974" s="396"/>
      <c r="M3974" s="396"/>
      <c r="N3974" s="396"/>
      <c r="O3974" s="396"/>
      <c r="P3974" s="389"/>
      <c r="Q3974" s="396"/>
      <c r="R3974" s="396"/>
      <c r="S3974" s="396"/>
      <c r="T3974" s="396"/>
      <c r="U3974" s="401"/>
      <c r="V3974" s="396"/>
      <c r="W3974" s="388"/>
      <c r="X3974" s="396"/>
      <c r="Y3974" s="389"/>
      <c r="Z3974" s="396"/>
      <c r="AA3974" s="388"/>
      <c r="AB3974" s="390"/>
    </row>
    <row r="3975" spans="1:28">
      <c r="A3975" s="384" t="str">
        <f t="shared" ref="A3975:B3975" si="12819">A3955</f>
        <v>Lantai 2</v>
      </c>
      <c r="B3975" s="385">
        <f t="shared" si="12819"/>
        <v>45</v>
      </c>
      <c r="C3975" s="393" t="s">
        <v>211</v>
      </c>
      <c r="D3975" s="398">
        <f>VLOOKUP(D3955,'Detail Balok'!$C$10:$AU$140,31,FALSE)</f>
        <v>0</v>
      </c>
      <c r="E3975" s="388" t="s">
        <v>16</v>
      </c>
      <c r="F3975" s="388">
        <f>VLOOKUP(D3955,'Detail Balok'!$C$10:$AU$140,33,FALSE)</f>
        <v>10</v>
      </c>
      <c r="G3975" s="405" t="s">
        <v>157</v>
      </c>
      <c r="H3975" s="395">
        <f>VLOOKUP(D3955,'Detail Balok'!$C$10:$AU$140,35,FALSE)</f>
        <v>100</v>
      </c>
      <c r="I3975" s="388"/>
      <c r="J3975" s="400">
        <f t="shared" ref="J3975" si="12820">(IF(D3975=0,(2*(D3956+G3956))-(F$5*8),IF(D3975=3,(2*(D3956+G3956))-(F$5*8)+(G3956-2*F$5),IF(D3975=4,(2*(D3956+G3956))-(F$5*8)+2*(G3956-2*F$5)))))/1000</f>
        <v>0.88</v>
      </c>
      <c r="K3975" s="400" t="s">
        <v>204</v>
      </c>
      <c r="L3975" s="399">
        <f t="shared" ref="L3975:L3977" si="12821">IF(D3975=0,2*MAX(6*F3975,75),(D3975-1)*2*MAX(6*F3975,75))/1000</f>
        <v>0.15</v>
      </c>
      <c r="M3975" s="399" t="s">
        <v>176</v>
      </c>
      <c r="N3975" s="399">
        <f t="shared" ref="N3975:N3977" si="12822">J3975+L3975</f>
        <v>1.03</v>
      </c>
      <c r="O3975" s="399"/>
      <c r="P3975" s="389"/>
      <c r="Q3975" s="399"/>
      <c r="R3975" s="399"/>
      <c r="S3975" s="399"/>
      <c r="T3975" s="399" t="s">
        <v>125</v>
      </c>
      <c r="U3975" s="401">
        <f t="shared" ref="U3975:U3977" si="12823">0.006165*F3975^2</f>
        <v>0.61650000000000005</v>
      </c>
      <c r="V3975" s="399" t="s">
        <v>125</v>
      </c>
      <c r="W3975" s="399">
        <f t="shared" ref="W3975" si="12824">IF(D3958&gt;4*G3956,ROUND(MAX(D3958/4,2*G3956)/H3975,0)+1,ROUND(D3958/H3975,0)+1)</f>
        <v>9</v>
      </c>
      <c r="X3975" s="399" t="s">
        <v>125</v>
      </c>
      <c r="Y3975" s="389">
        <f t="shared" ref="Y3975" si="12825">D3961</f>
        <v>1</v>
      </c>
      <c r="Z3975" s="400" t="s">
        <v>176</v>
      </c>
      <c r="AA3975" s="402">
        <f t="shared" ref="AA3975:AA3977" si="12826">N3975*U3975*W3975*Y3975</f>
        <v>5.7149550000000007</v>
      </c>
      <c r="AB3975" s="403"/>
    </row>
    <row r="3976" spans="1:28">
      <c r="A3976" s="384" t="str">
        <f t="shared" ref="A3976:B3976" si="12827">A3955</f>
        <v>Lantai 2</v>
      </c>
      <c r="B3976" s="385">
        <f t="shared" si="12827"/>
        <v>45</v>
      </c>
      <c r="C3976" s="393" t="s">
        <v>212</v>
      </c>
      <c r="D3976" s="398">
        <f>VLOOKUP(D3955,'Detail Balok'!$C$10:$AU$140,36,FALSE)</f>
        <v>0</v>
      </c>
      <c r="E3976" s="388" t="s">
        <v>16</v>
      </c>
      <c r="F3976" s="388">
        <f>VLOOKUP(D3955,'Detail Balok'!$C$10:$AU$140,38,FALSE)</f>
        <v>10</v>
      </c>
      <c r="G3976" s="405" t="s">
        <v>157</v>
      </c>
      <c r="H3976" s="395">
        <f>VLOOKUP(D3955,'Detail Balok'!$C$10:$AU$140,40,FALSE)</f>
        <v>200</v>
      </c>
      <c r="I3976" s="388"/>
      <c r="J3976" s="400">
        <f t="shared" ref="J3976" si="12828">(IF(D3976=0,(2*(D3956+G3956))-(F$5*8),IF(D3976=3,(2*(D3956+G3956))-(F$5*8)+(G3956-2*F$5),IF(D3976=4,(2*(D3956+G3956))-(F$5*8)+2*(G3956-2*F$5)))))/1000</f>
        <v>0.88</v>
      </c>
      <c r="K3976" s="400" t="s">
        <v>204</v>
      </c>
      <c r="L3976" s="399">
        <f t="shared" si="12821"/>
        <v>0.15</v>
      </c>
      <c r="M3976" s="399" t="s">
        <v>176</v>
      </c>
      <c r="N3976" s="399">
        <f t="shared" si="12822"/>
        <v>1.03</v>
      </c>
      <c r="O3976" s="399"/>
      <c r="P3976" s="389"/>
      <c r="Q3976" s="399"/>
      <c r="R3976" s="399"/>
      <c r="S3976" s="399"/>
      <c r="T3976" s="399" t="s">
        <v>125</v>
      </c>
      <c r="U3976" s="401">
        <f t="shared" si="12823"/>
        <v>0.61650000000000005</v>
      </c>
      <c r="V3976" s="399" t="s">
        <v>125</v>
      </c>
      <c r="W3976" s="399">
        <f t="shared" ref="W3976" si="12829">IF(D3958-MAX(D3958/4,2*G3956)*2&gt;0,ROUND((D3958-MAX(D3958/4,2*G3956)*2)/H3976,0),0)</f>
        <v>3</v>
      </c>
      <c r="X3976" s="399" t="s">
        <v>125</v>
      </c>
      <c r="Y3976" s="389">
        <f t="shared" ref="Y3976" si="12830">D3961</f>
        <v>1</v>
      </c>
      <c r="Z3976" s="400" t="s">
        <v>176</v>
      </c>
      <c r="AA3976" s="402">
        <f t="shared" si="12826"/>
        <v>1.9049850000000004</v>
      </c>
      <c r="AB3976" s="403"/>
    </row>
    <row r="3977" spans="1:28">
      <c r="A3977" s="384" t="str">
        <f t="shared" ref="A3977:B3977" si="12831">A3955</f>
        <v>Lantai 2</v>
      </c>
      <c r="B3977" s="385">
        <f t="shared" si="12831"/>
        <v>45</v>
      </c>
      <c r="C3977" s="393" t="s">
        <v>211</v>
      </c>
      <c r="D3977" s="398">
        <f>VLOOKUP(D3955,'Detail Balok'!$C$10:$AU$140,41,FALSE)</f>
        <v>0</v>
      </c>
      <c r="E3977" s="388" t="s">
        <v>16</v>
      </c>
      <c r="F3977" s="388">
        <f>VLOOKUP(D3955,'Detail Balok'!$C$10:$AU$140,43,FALSE)</f>
        <v>10</v>
      </c>
      <c r="G3977" s="405" t="s">
        <v>157</v>
      </c>
      <c r="H3977" s="395">
        <f>VLOOKUP(D3955,'Detail Balok'!$C$10:$AU$140,45,FALSE)</f>
        <v>100</v>
      </c>
      <c r="I3977" s="388"/>
      <c r="J3977" s="400">
        <f t="shared" ref="J3977" si="12832">(IF(D3977=0,(2*(D3956+G3956))-(F$5*8),IF(D3977=3,(2*(D3956+G3956))-(F$5*8)+(G3956-2*F$5),IF(D3977=4,(2*(D3956+G3956))-(F$5*8)+2*(G3956-2*F$5)))))/1000</f>
        <v>0.88</v>
      </c>
      <c r="K3977" s="400" t="s">
        <v>204</v>
      </c>
      <c r="L3977" s="399">
        <f t="shared" si="12821"/>
        <v>0.15</v>
      </c>
      <c r="M3977" s="399" t="s">
        <v>176</v>
      </c>
      <c r="N3977" s="399">
        <f t="shared" si="12822"/>
        <v>1.03</v>
      </c>
      <c r="O3977" s="399"/>
      <c r="P3977" s="389"/>
      <c r="Q3977" s="399"/>
      <c r="R3977" s="399"/>
      <c r="S3977" s="399"/>
      <c r="T3977" s="399" t="s">
        <v>125</v>
      </c>
      <c r="U3977" s="401">
        <f t="shared" si="12823"/>
        <v>0.61650000000000005</v>
      </c>
      <c r="V3977" s="399" t="s">
        <v>125</v>
      </c>
      <c r="W3977" s="399">
        <f t="shared" ref="W3977" si="12833">IF(D3958&gt;4*G3956,ROUND(MAX(D3958/4,2*G3956)/H3977,0)+1,0)</f>
        <v>9</v>
      </c>
      <c r="X3977" s="399" t="s">
        <v>125</v>
      </c>
      <c r="Y3977" s="389">
        <f t="shared" ref="Y3977" si="12834">D3961</f>
        <v>1</v>
      </c>
      <c r="Z3977" s="400" t="s">
        <v>176</v>
      </c>
      <c r="AA3977" s="402">
        <f t="shared" si="12826"/>
        <v>5.7149550000000007</v>
      </c>
      <c r="AB3977" s="403"/>
    </row>
    <row r="3978" spans="1:28">
      <c r="A3978" s="384"/>
      <c r="B3978" s="385"/>
      <c r="C3978" s="393"/>
      <c r="D3978" s="394"/>
      <c r="E3978" s="388"/>
      <c r="F3978" s="388"/>
      <c r="G3978" s="388"/>
      <c r="H3978" s="395"/>
      <c r="I3978" s="388"/>
      <c r="J3978" s="399"/>
      <c r="K3978" s="396"/>
      <c r="L3978" s="396"/>
      <c r="M3978" s="396"/>
      <c r="N3978" s="396"/>
      <c r="O3978" s="396"/>
      <c r="P3978" s="389"/>
      <c r="Q3978" s="396"/>
      <c r="R3978" s="396"/>
      <c r="S3978" s="396"/>
      <c r="T3978" s="396"/>
      <c r="U3978" s="401"/>
      <c r="V3978" s="396"/>
      <c r="W3978" s="388"/>
      <c r="X3978" s="396"/>
      <c r="Y3978" s="389"/>
      <c r="Z3978" s="396"/>
      <c r="AA3978" s="388"/>
      <c r="AB3978" s="390"/>
    </row>
    <row r="3979" spans="1:28">
      <c r="A3979" s="384" t="str">
        <f t="shared" ref="A3979:B3979" si="12835">A3955</f>
        <v>Lantai 2</v>
      </c>
      <c r="B3979" s="385">
        <f t="shared" si="12835"/>
        <v>45</v>
      </c>
      <c r="C3979" s="393" t="s">
        <v>213</v>
      </c>
      <c r="D3979" s="398">
        <f>VLOOKUP(D3955,'Detail Balok'!$C$10:$BJ$140,46,FALSE)</f>
        <v>0</v>
      </c>
      <c r="E3979" s="388" t="s">
        <v>16</v>
      </c>
      <c r="F3979" s="388">
        <f>VLOOKUP(D3955,'Detail Balok'!$C$10:$BJ$140,48,FALSE)</f>
        <v>0</v>
      </c>
      <c r="G3979" s="405" t="s">
        <v>157</v>
      </c>
      <c r="H3979" s="395">
        <f>VLOOKUP(D3955,'Detail Balok'!$C$10:$BJ$140,50,FALSE)</f>
        <v>100</v>
      </c>
      <c r="I3979" s="388"/>
      <c r="J3979" s="399">
        <f t="shared" ref="J3979" si="12836">(D3956-2*F$5)/1000</f>
        <v>0.12</v>
      </c>
      <c r="K3979" s="400" t="s">
        <v>204</v>
      </c>
      <c r="L3979" s="399">
        <f t="shared" ref="L3979:L3981" si="12837">IF(D3979=0,2*MAX(6*F3979,75),(D3979-1)*2*MAX(6*F3979,75))/1000</f>
        <v>0.15</v>
      </c>
      <c r="M3979" s="399" t="s">
        <v>176</v>
      </c>
      <c r="N3979" s="399">
        <f t="shared" ref="N3979:N3981" si="12838">J3979+L3979</f>
        <v>0.27</v>
      </c>
      <c r="O3979" s="399"/>
      <c r="P3979" s="399"/>
      <c r="Q3979" s="399"/>
      <c r="R3979" s="399"/>
      <c r="S3979" s="399"/>
      <c r="T3979" s="399" t="s">
        <v>125</v>
      </c>
      <c r="U3979" s="401">
        <f t="shared" ref="U3979:U3981" si="12839">0.006165*F3979^2</f>
        <v>0</v>
      </c>
      <c r="V3979" s="399" t="s">
        <v>125</v>
      </c>
      <c r="W3979" s="399">
        <f t="shared" si="12651"/>
        <v>9</v>
      </c>
      <c r="X3979" s="399" t="s">
        <v>125</v>
      </c>
      <c r="Y3979" s="389">
        <f t="shared" ref="Y3979" si="12840">D3965</f>
        <v>3</v>
      </c>
      <c r="Z3979" s="400" t="s">
        <v>176</v>
      </c>
      <c r="AA3979" s="402">
        <f t="shared" ref="AA3979:AA3981" si="12841">N3979*U3979*W3979*Y3979</f>
        <v>0</v>
      </c>
      <c r="AB3979" s="403"/>
    </row>
    <row r="3980" spans="1:28">
      <c r="A3980" s="384" t="str">
        <f t="shared" ref="A3980:B3980" si="12842">A3955</f>
        <v>Lantai 2</v>
      </c>
      <c r="B3980" s="385">
        <f t="shared" si="12842"/>
        <v>45</v>
      </c>
      <c r="C3980" s="393" t="s">
        <v>214</v>
      </c>
      <c r="D3980" s="398">
        <f>VLOOKUP(D3955,'Detail Balok'!$C$10:$BJ$140,51,FALSE)</f>
        <v>0</v>
      </c>
      <c r="E3980" s="388" t="s">
        <v>16</v>
      </c>
      <c r="F3980" s="388">
        <f>VLOOKUP(D3955,'Detail Balok'!$C$10:$BJ$140,53,FALSE)</f>
        <v>0</v>
      </c>
      <c r="G3980" s="405" t="s">
        <v>157</v>
      </c>
      <c r="H3980" s="395">
        <f>VLOOKUP(D3955,'Detail Balok'!$C$10:$BJ$140,55,FALSE)</f>
        <v>100</v>
      </c>
      <c r="I3980" s="388"/>
      <c r="J3980" s="399">
        <f t="shared" ref="J3980" si="12843">(D3956-2*F$5)/1000</f>
        <v>0.12</v>
      </c>
      <c r="K3980" s="400" t="s">
        <v>204</v>
      </c>
      <c r="L3980" s="399">
        <f t="shared" si="12837"/>
        <v>0.15</v>
      </c>
      <c r="M3980" s="399" t="s">
        <v>176</v>
      </c>
      <c r="N3980" s="399">
        <f t="shared" si="12838"/>
        <v>0.27</v>
      </c>
      <c r="O3980" s="399"/>
      <c r="P3980" s="399"/>
      <c r="Q3980" s="399"/>
      <c r="R3980" s="399"/>
      <c r="S3980" s="399"/>
      <c r="T3980" s="399" t="s">
        <v>125</v>
      </c>
      <c r="U3980" s="401">
        <f t="shared" si="12839"/>
        <v>0</v>
      </c>
      <c r="V3980" s="399" t="s">
        <v>125</v>
      </c>
      <c r="W3980" s="399">
        <f t="shared" si="12651"/>
        <v>3</v>
      </c>
      <c r="X3980" s="399" t="s">
        <v>125</v>
      </c>
      <c r="Y3980" s="389">
        <f t="shared" ref="Y3980" si="12844">D3965</f>
        <v>3</v>
      </c>
      <c r="Z3980" s="400" t="s">
        <v>176</v>
      </c>
      <c r="AA3980" s="402">
        <f t="shared" si="12841"/>
        <v>0</v>
      </c>
      <c r="AB3980" s="403"/>
    </row>
    <row r="3981" spans="1:28">
      <c r="A3981" s="384" t="str">
        <f t="shared" ref="A3981:B3981" si="12845">A3955</f>
        <v>Lantai 2</v>
      </c>
      <c r="B3981" s="385">
        <f t="shared" si="12845"/>
        <v>45</v>
      </c>
      <c r="C3981" s="393" t="s">
        <v>213</v>
      </c>
      <c r="D3981" s="398">
        <f>VLOOKUP(D3955,'Detail Balok'!$C$10:$BJ$140,56,FALSE)</f>
        <v>0</v>
      </c>
      <c r="E3981" s="388" t="s">
        <v>16</v>
      </c>
      <c r="F3981" s="388">
        <f>VLOOKUP(D3955,'Detail Balok'!$C$10:$BJ$140,58,FALSE)</f>
        <v>0</v>
      </c>
      <c r="G3981" s="405" t="s">
        <v>157</v>
      </c>
      <c r="H3981" s="395">
        <f>VLOOKUP(D3955,'Detail Balok'!$C$10:$BJ$140,60,FALSE)</f>
        <v>100</v>
      </c>
      <c r="I3981" s="388"/>
      <c r="J3981" s="399">
        <f t="shared" ref="J3981" si="12846">(D3956-2*F$5)/1000</f>
        <v>0.12</v>
      </c>
      <c r="K3981" s="400" t="s">
        <v>204</v>
      </c>
      <c r="L3981" s="399">
        <f t="shared" si="12837"/>
        <v>0.15</v>
      </c>
      <c r="M3981" s="399" t="s">
        <v>176</v>
      </c>
      <c r="N3981" s="399">
        <f t="shared" si="12838"/>
        <v>0.27</v>
      </c>
      <c r="O3981" s="399"/>
      <c r="P3981" s="399"/>
      <c r="Q3981" s="399"/>
      <c r="R3981" s="399"/>
      <c r="S3981" s="399"/>
      <c r="T3981" s="399" t="s">
        <v>125</v>
      </c>
      <c r="U3981" s="401">
        <f t="shared" si="12839"/>
        <v>0</v>
      </c>
      <c r="V3981" s="399" t="s">
        <v>125</v>
      </c>
      <c r="W3981" s="399">
        <f t="shared" si="12651"/>
        <v>9</v>
      </c>
      <c r="X3981" s="399" t="s">
        <v>125</v>
      </c>
      <c r="Y3981" s="389">
        <f t="shared" ref="Y3981" si="12847">D3965</f>
        <v>3</v>
      </c>
      <c r="Z3981" s="400" t="s">
        <v>176</v>
      </c>
      <c r="AA3981" s="402">
        <f t="shared" si="12841"/>
        <v>0</v>
      </c>
      <c r="AB3981" s="403"/>
    </row>
    <row r="3982" spans="1:28">
      <c r="A3982" s="391"/>
      <c r="B3982" s="392"/>
      <c r="C3982" s="392"/>
      <c r="D3982" s="394"/>
      <c r="E3982" s="388"/>
      <c r="F3982" s="388"/>
      <c r="G3982" s="388"/>
      <c r="H3982" s="395"/>
      <c r="I3982" s="388"/>
      <c r="J3982" s="402"/>
      <c r="K3982" s="388"/>
      <c r="L3982" s="388"/>
      <c r="M3982" s="388"/>
      <c r="N3982" s="388"/>
      <c r="O3982" s="388"/>
      <c r="P3982" s="388"/>
      <c r="Q3982" s="388"/>
      <c r="R3982" s="388"/>
      <c r="S3982" s="388"/>
      <c r="T3982" s="388"/>
      <c r="U3982" s="388"/>
      <c r="V3982" s="388"/>
      <c r="W3982" s="388"/>
      <c r="X3982" s="388"/>
      <c r="Y3982" s="389"/>
      <c r="Z3982" s="388"/>
      <c r="AA3982" s="402"/>
      <c r="AB3982" s="403"/>
    </row>
    <row r="3983" spans="1:28" ht="15.75" thickBot="1">
      <c r="A3983" s="406"/>
      <c r="B3983" s="407"/>
      <c r="C3983" s="407"/>
      <c r="D3983" s="408"/>
      <c r="E3983" s="409"/>
      <c r="F3983" s="409"/>
      <c r="G3983" s="409"/>
      <c r="H3983" s="410"/>
      <c r="I3983" s="409"/>
      <c r="J3983" s="409"/>
      <c r="K3983" s="409"/>
      <c r="L3983" s="409"/>
      <c r="M3983" s="409"/>
      <c r="N3983" s="409"/>
      <c r="O3983" s="409"/>
      <c r="P3983" s="409"/>
      <c r="Q3983" s="409"/>
      <c r="R3983" s="409"/>
      <c r="S3983" s="409"/>
      <c r="T3983" s="409"/>
      <c r="U3983" s="409"/>
      <c r="V3983" s="409"/>
      <c r="W3983" s="409"/>
      <c r="X3983" s="409"/>
      <c r="Y3983" s="411"/>
      <c r="Z3983" s="409"/>
      <c r="AA3983" s="412"/>
      <c r="AB3983" s="413"/>
    </row>
    <row r="3984" spans="1:28">
      <c r="A3984" s="377"/>
      <c r="B3984" s="378"/>
      <c r="C3984" s="378"/>
      <c r="D3984" s="379"/>
      <c r="E3984" s="380"/>
      <c r="F3984" s="380"/>
      <c r="G3984" s="380"/>
      <c r="H3984" s="381"/>
      <c r="I3984" s="380"/>
      <c r="J3984" s="380"/>
      <c r="K3984" s="380"/>
      <c r="L3984" s="380"/>
      <c r="M3984" s="380"/>
      <c r="N3984" s="380"/>
      <c r="O3984" s="380"/>
      <c r="P3984" s="380"/>
      <c r="Q3984" s="380"/>
      <c r="R3984" s="380"/>
      <c r="S3984" s="380"/>
      <c r="T3984" s="380"/>
      <c r="U3984" s="380"/>
      <c r="V3984" s="380"/>
      <c r="W3984" s="380"/>
      <c r="X3984" s="380"/>
      <c r="Y3984" s="382"/>
      <c r="Z3984" s="380"/>
      <c r="AA3984" s="380"/>
      <c r="AB3984" s="383"/>
    </row>
    <row r="3985" spans="1:28">
      <c r="A3985" s="384" t="str">
        <f t="shared" si="12660"/>
        <v>Lantai 2</v>
      </c>
      <c r="B3985" s="385">
        <f t="shared" si="12661"/>
        <v>46</v>
      </c>
      <c r="C3985" s="386" t="str">
        <f t="shared" ref="C3985" si="12848">CONCATENATE(A3985," no. ",B3985)</f>
        <v>Lantai 2 no. 46</v>
      </c>
      <c r="D3985" s="2562" t="str">
        <f>VLOOKUP(C3985,'Data Panjang Balok'!$C$9:$N$254,2,FALSE)</f>
        <v>B24-1</v>
      </c>
      <c r="E3985" s="2576"/>
      <c r="F3985" s="2576"/>
      <c r="G3985" s="2576"/>
      <c r="H3985" s="2577"/>
      <c r="I3985" s="387"/>
      <c r="J3985" s="388"/>
      <c r="K3985" s="388"/>
      <c r="L3985" s="388"/>
      <c r="M3985" s="388"/>
      <c r="N3985" s="388"/>
      <c r="O3985" s="388"/>
      <c r="P3985" s="388"/>
      <c r="Q3985" s="388"/>
      <c r="R3985" s="388"/>
      <c r="S3985" s="388"/>
      <c r="T3985" s="388"/>
      <c r="U3985" s="388"/>
      <c r="V3985" s="388"/>
      <c r="W3985" s="388"/>
      <c r="X3985" s="388"/>
      <c r="Y3985" s="389"/>
      <c r="Z3985" s="388"/>
      <c r="AA3985" s="388"/>
      <c r="AB3985" s="390"/>
    </row>
    <row r="3986" spans="1:28">
      <c r="A3986" s="391"/>
      <c r="B3986" s="392"/>
      <c r="C3986" s="393" t="s">
        <v>118</v>
      </c>
      <c r="D3986" s="2578">
        <f>VLOOKUP(D3985,'Detail Balok'!$C$10:$AU$140,2,FALSE)</f>
        <v>200</v>
      </c>
      <c r="E3986" s="2579"/>
      <c r="F3986" s="388" t="s">
        <v>125</v>
      </c>
      <c r="G3986" s="2579">
        <f>VLOOKUP(D3985,'Detail Balok'!$C$10:$AU$140,3,FALSE)</f>
        <v>400</v>
      </c>
      <c r="H3986" s="2580"/>
      <c r="I3986" s="388"/>
      <c r="J3986" s="396"/>
      <c r="K3986" s="396"/>
      <c r="L3986" s="396"/>
      <c r="M3986" s="396"/>
      <c r="N3986" s="396"/>
      <c r="O3986" s="396"/>
      <c r="P3986" s="396"/>
      <c r="Q3986" s="396"/>
      <c r="R3986" s="396"/>
      <c r="S3986" s="396"/>
      <c r="T3986" s="396"/>
      <c r="U3986" s="388"/>
      <c r="V3986" s="396"/>
      <c r="W3986" s="388"/>
      <c r="X3986" s="396"/>
      <c r="Y3986" s="389"/>
      <c r="Z3986" s="396"/>
      <c r="AA3986" s="388"/>
      <c r="AB3986" s="390"/>
    </row>
    <row r="3987" spans="1:28">
      <c r="A3987" s="391"/>
      <c r="B3987" s="392"/>
      <c r="C3987" s="393" t="s">
        <v>198</v>
      </c>
      <c r="D3987" s="2562">
        <f>VLOOKUP(C3985,'Data Panjang Balok'!$C$9:$N$254,4,FALSE)</f>
        <v>900</v>
      </c>
      <c r="E3987" s="2563"/>
      <c r="F3987" s="2563"/>
      <c r="G3987" s="2563"/>
      <c r="H3987" s="2564"/>
      <c r="I3987" s="397"/>
      <c r="J3987" s="396"/>
      <c r="K3987" s="396"/>
      <c r="L3987" s="396"/>
      <c r="M3987" s="396"/>
      <c r="N3987" s="396"/>
      <c r="O3987" s="396"/>
      <c r="P3987" s="396"/>
      <c r="Q3987" s="396"/>
      <c r="R3987" s="396"/>
      <c r="S3987" s="396"/>
      <c r="T3987" s="396"/>
      <c r="U3987" s="388"/>
      <c r="V3987" s="396"/>
      <c r="W3987" s="388"/>
      <c r="X3987" s="396"/>
      <c r="Y3987" s="389"/>
      <c r="Z3987" s="396"/>
      <c r="AA3987" s="388"/>
      <c r="AB3987" s="390"/>
    </row>
    <row r="3988" spans="1:28">
      <c r="A3988" s="391"/>
      <c r="B3988" s="392"/>
      <c r="C3988" s="393" t="s">
        <v>199</v>
      </c>
      <c r="D3988" s="2562">
        <f>VLOOKUP(C3985,'Data Panjang Balok'!$C$9:$N$254,7,FALSE)</f>
        <v>900</v>
      </c>
      <c r="E3988" s="2563"/>
      <c r="F3988" s="2563"/>
      <c r="G3988" s="2563"/>
      <c r="H3988" s="2564"/>
      <c r="I3988" s="397"/>
      <c r="J3988" s="396"/>
      <c r="K3988" s="396"/>
      <c r="L3988" s="396"/>
      <c r="M3988" s="396"/>
      <c r="N3988" s="396"/>
      <c r="O3988" s="396"/>
      <c r="P3988" s="396"/>
      <c r="Q3988" s="396"/>
      <c r="R3988" s="396"/>
      <c r="S3988" s="396"/>
      <c r="T3988" s="396"/>
      <c r="U3988" s="388"/>
      <c r="V3988" s="396"/>
      <c r="W3988" s="388"/>
      <c r="X3988" s="396"/>
      <c r="Y3988" s="389"/>
      <c r="Z3988" s="396"/>
      <c r="AA3988" s="388"/>
      <c r="AB3988" s="390"/>
    </row>
    <row r="3989" spans="1:28">
      <c r="A3989" s="391"/>
      <c r="B3989" s="392"/>
      <c r="C3989" s="393" t="s">
        <v>200</v>
      </c>
      <c r="D3989" s="2562">
        <f>VLOOKUP(C3985,'Data Panjang Balok'!$C$9:$N$254,9,FALSE)</f>
        <v>0</v>
      </c>
      <c r="E3989" s="2563"/>
      <c r="F3989" s="2563"/>
      <c r="G3989" s="2563"/>
      <c r="H3989" s="2564"/>
      <c r="I3989" s="397"/>
      <c r="J3989" s="396"/>
      <c r="K3989" s="396"/>
      <c r="L3989" s="396"/>
      <c r="M3989" s="396"/>
      <c r="N3989" s="396"/>
      <c r="O3989" s="396"/>
      <c r="P3989" s="396"/>
      <c r="Q3989" s="396"/>
      <c r="R3989" s="396"/>
      <c r="S3989" s="396"/>
      <c r="T3989" s="396"/>
      <c r="U3989" s="388"/>
      <c r="V3989" s="396"/>
      <c r="W3989" s="388"/>
      <c r="X3989" s="396"/>
      <c r="Y3989" s="389"/>
      <c r="Z3989" s="396"/>
      <c r="AA3989" s="388"/>
      <c r="AB3989" s="390"/>
    </row>
    <row r="3990" spans="1:28">
      <c r="A3990" s="391"/>
      <c r="B3990" s="392"/>
      <c r="C3990" s="393" t="s">
        <v>201</v>
      </c>
      <c r="D3990" s="2562">
        <f>VLOOKUP(C3985,'Data Panjang Balok'!$C$9:$N$254,10,FALSE)</f>
        <v>0</v>
      </c>
      <c r="E3990" s="2563"/>
      <c r="F3990" s="2563"/>
      <c r="G3990" s="2563"/>
      <c r="H3990" s="2564"/>
      <c r="I3990" s="397"/>
      <c r="J3990" s="396"/>
      <c r="K3990" s="396"/>
      <c r="L3990" s="396"/>
      <c r="M3990" s="396"/>
      <c r="N3990" s="396"/>
      <c r="O3990" s="396"/>
      <c r="P3990" s="396"/>
      <c r="Q3990" s="396"/>
      <c r="R3990" s="396"/>
      <c r="S3990" s="396"/>
      <c r="T3990" s="396"/>
      <c r="U3990" s="388"/>
      <c r="V3990" s="396"/>
      <c r="W3990" s="388"/>
      <c r="X3990" s="396"/>
      <c r="Y3990" s="389"/>
      <c r="Z3990" s="396"/>
      <c r="AA3990" s="388"/>
      <c r="AB3990" s="390"/>
    </row>
    <row r="3991" spans="1:28">
      <c r="A3991" s="391"/>
      <c r="B3991" s="392"/>
      <c r="C3991" s="393" t="s">
        <v>48</v>
      </c>
      <c r="D3991" s="2562">
        <f>VLOOKUP(C3985,'Data Panjang Balok'!$C$9:$N$254,3,FALSE)</f>
        <v>1</v>
      </c>
      <c r="E3991" s="2563"/>
      <c r="F3991" s="2563"/>
      <c r="G3991" s="2563"/>
      <c r="H3991" s="2564"/>
      <c r="I3991" s="397"/>
      <c r="J3991" s="396"/>
      <c r="K3991" s="396"/>
      <c r="L3991" s="396"/>
      <c r="M3991" s="396"/>
      <c r="N3991" s="396"/>
      <c r="O3991" s="396"/>
      <c r="P3991" s="396"/>
      <c r="Q3991" s="396"/>
      <c r="R3991" s="396"/>
      <c r="S3991" s="396"/>
      <c r="T3991" s="396"/>
      <c r="U3991" s="388"/>
      <c r="V3991" s="396"/>
      <c r="W3991" s="388"/>
      <c r="X3991" s="396"/>
      <c r="Y3991" s="389"/>
      <c r="Z3991" s="396"/>
      <c r="AA3991" s="388"/>
      <c r="AB3991" s="390"/>
    </row>
    <row r="3992" spans="1:28">
      <c r="A3992" s="384" t="str">
        <f t="shared" ref="A3992:B3992" si="12849">A3985</f>
        <v>Lantai 2</v>
      </c>
      <c r="B3992" s="385">
        <f t="shared" si="12849"/>
        <v>46</v>
      </c>
      <c r="C3992" s="393" t="s">
        <v>202</v>
      </c>
      <c r="D3992" s="398">
        <f>VLOOKUP(D3985,'Detail Balok'!$C$10:$AU$140,4,FALSE)</f>
        <v>3</v>
      </c>
      <c r="E3992" s="388" t="s">
        <v>16</v>
      </c>
      <c r="F3992" s="388">
        <f>VLOOKUP(D3985,'Detail Balok'!$C$10:$AU$140,6,FALSE)</f>
        <v>13</v>
      </c>
      <c r="G3992" s="388"/>
      <c r="H3992" s="395"/>
      <c r="I3992" s="388" t="s">
        <v>203</v>
      </c>
      <c r="J3992" s="399">
        <f t="shared" ref="J3992" si="12850">+D3987/4/1000</f>
        <v>0.22500000000000001</v>
      </c>
      <c r="K3992" s="400" t="s">
        <v>204</v>
      </c>
      <c r="L3992" s="399">
        <f t="shared" ref="L3992" si="12851">MAX(VLOOKUP(F3992,N$6:P$15,3,FALSE)/1000,2/3*D3989/1000)+F$16*F3992/1000</f>
        <v>0.156</v>
      </c>
      <c r="M3992" s="399" t="s">
        <v>176</v>
      </c>
      <c r="N3992" s="399">
        <f t="shared" ref="N3992:N3994" si="12852">J3992+L3992</f>
        <v>0.38100000000000001</v>
      </c>
      <c r="O3992" s="399" t="s">
        <v>204</v>
      </c>
      <c r="P3992" s="389">
        <f t="shared" ref="P3992" si="12853">D3992-D3993</f>
        <v>0</v>
      </c>
      <c r="Q3992" s="399" t="s">
        <v>125</v>
      </c>
      <c r="R3992" s="399">
        <f t="shared" ref="R3992" si="12854">IF(P3992&gt;0,$F$18*F3992/1000,0)</f>
        <v>0</v>
      </c>
      <c r="S3992" s="399" t="s">
        <v>205</v>
      </c>
      <c r="T3992" s="399" t="s">
        <v>125</v>
      </c>
      <c r="U3992" s="401">
        <f t="shared" ref="U3992:U3994" si="12855">0.006165*F3992^2</f>
        <v>1.041885</v>
      </c>
      <c r="V3992" s="399"/>
      <c r="W3992" s="399"/>
      <c r="X3992" s="399" t="s">
        <v>125</v>
      </c>
      <c r="Y3992" s="389">
        <f t="shared" ref="Y3992" si="12856">D3991</f>
        <v>1</v>
      </c>
      <c r="Z3992" s="400" t="s">
        <v>176</v>
      </c>
      <c r="AA3992" s="402">
        <f t="shared" ref="AA3992" si="12857">IF(AA3995=0,(D3992*N3992+P3992*R3992)*U3992*Y3992,0)</f>
        <v>0</v>
      </c>
      <c r="AB3992" s="403"/>
    </row>
    <row r="3993" spans="1:28">
      <c r="A3993" s="384" t="str">
        <f t="shared" ref="A3993:B3993" si="12858">A3985</f>
        <v>Lantai 2</v>
      </c>
      <c r="B3993" s="385">
        <f t="shared" si="12858"/>
        <v>46</v>
      </c>
      <c r="C3993" s="393" t="s">
        <v>206</v>
      </c>
      <c r="D3993" s="398">
        <f>VLOOKUP(D3985,'Detail Balok'!$C$10:$AU$140,7,FALSE)</f>
        <v>3</v>
      </c>
      <c r="E3993" s="388" t="s">
        <v>16</v>
      </c>
      <c r="F3993" s="388">
        <f>VLOOKUP(D3985,'Detail Balok'!$C$10:$AU$140,9,FALSE)</f>
        <v>13</v>
      </c>
      <c r="G3993" s="388"/>
      <c r="H3993" s="395"/>
      <c r="I3993" s="388" t="s">
        <v>203</v>
      </c>
      <c r="J3993" s="399">
        <f t="shared" ref="J3993" si="12859">+D3987/2/1000</f>
        <v>0.45</v>
      </c>
      <c r="K3993" s="400" t="s">
        <v>204</v>
      </c>
      <c r="L3993" s="399"/>
      <c r="M3993" s="399" t="s">
        <v>176</v>
      </c>
      <c r="N3993" s="399">
        <f t="shared" si="12852"/>
        <v>0.45</v>
      </c>
      <c r="O3993" s="399" t="s">
        <v>204</v>
      </c>
      <c r="P3993" s="389">
        <f t="shared" ref="P3993" si="12860">MAX(D3993-D3992,D3993-D3994)</f>
        <v>0</v>
      </c>
      <c r="Q3993" s="399" t="s">
        <v>125</v>
      </c>
      <c r="R3993" s="399">
        <f t="shared" ref="R3993" si="12861">IF(P3993&gt;0,2*(1-2*$F$19-1/2)*D3988/1000,0)</f>
        <v>0</v>
      </c>
      <c r="S3993" s="399" t="s">
        <v>205</v>
      </c>
      <c r="T3993" s="399" t="s">
        <v>125</v>
      </c>
      <c r="U3993" s="401">
        <f t="shared" si="12855"/>
        <v>1.041885</v>
      </c>
      <c r="V3993" s="399"/>
      <c r="W3993" s="399"/>
      <c r="X3993" s="399" t="s">
        <v>125</v>
      </c>
      <c r="Y3993" s="389">
        <f t="shared" ref="Y3993" si="12862">D3991</f>
        <v>1</v>
      </c>
      <c r="Z3993" s="400" t="s">
        <v>176</v>
      </c>
      <c r="AA3993" s="402">
        <f t="shared" ref="AA3993" si="12863">IF(AA3995=0,(D3993*N3993+P3993*R3993)*U3993*Y3993,0)</f>
        <v>0</v>
      </c>
      <c r="AB3993" s="403"/>
    </row>
    <row r="3994" spans="1:28">
      <c r="A3994" s="384" t="str">
        <f t="shared" ref="A3994:B3994" si="12864">A3985</f>
        <v>Lantai 2</v>
      </c>
      <c r="B3994" s="385">
        <f t="shared" si="12864"/>
        <v>46</v>
      </c>
      <c r="C3994" s="393" t="s">
        <v>202</v>
      </c>
      <c r="D3994" s="398">
        <f>VLOOKUP(D3985,'Detail Balok'!$C$10:$AU$140,10,FALSE)</f>
        <v>3</v>
      </c>
      <c r="E3994" s="388" t="s">
        <v>16</v>
      </c>
      <c r="F3994" s="388">
        <f>VLOOKUP(D3985,'Detail Balok'!$C$10:$AU$140,12,FALSE)</f>
        <v>13</v>
      </c>
      <c r="G3994" s="388"/>
      <c r="H3994" s="395"/>
      <c r="I3994" s="388" t="s">
        <v>203</v>
      </c>
      <c r="J3994" s="399">
        <f t="shared" ref="J3994" si="12865">+D3987/4/1000</f>
        <v>0.22500000000000001</v>
      </c>
      <c r="K3994" s="400" t="s">
        <v>204</v>
      </c>
      <c r="L3994" s="399">
        <f t="shared" ref="L3994" si="12866">MAX(VLOOKUP(F3994,N$6:P$15,3,FALSE)/1000,2/3*D3989/1000)+F$16*F3994/1000</f>
        <v>0.156</v>
      </c>
      <c r="M3994" s="399" t="s">
        <v>176</v>
      </c>
      <c r="N3994" s="399">
        <f t="shared" si="12852"/>
        <v>0.38100000000000001</v>
      </c>
      <c r="O3994" s="399" t="s">
        <v>204</v>
      </c>
      <c r="P3994" s="389">
        <f t="shared" ref="P3994" si="12867">D3994-D3993</f>
        <v>0</v>
      </c>
      <c r="Q3994" s="399" t="s">
        <v>125</v>
      </c>
      <c r="R3994" s="399">
        <f t="shared" ref="R3994" si="12868">IF(P3994&gt;0,$F$18*F3994/1000,0)</f>
        <v>0</v>
      </c>
      <c r="S3994" s="399" t="s">
        <v>205</v>
      </c>
      <c r="T3994" s="399" t="s">
        <v>125</v>
      </c>
      <c r="U3994" s="401">
        <f t="shared" si="12855"/>
        <v>1.041885</v>
      </c>
      <c r="V3994" s="399"/>
      <c r="W3994" s="399"/>
      <c r="X3994" s="399" t="s">
        <v>125</v>
      </c>
      <c r="Y3994" s="389">
        <f t="shared" ref="Y3994" si="12869">D3991</f>
        <v>1</v>
      </c>
      <c r="Z3994" s="400" t="s">
        <v>176</v>
      </c>
      <c r="AA3994" s="402">
        <f t="shared" ref="AA3994" si="12870">IF(AA3995=0,(D3994*N3994+P3994*R3994)*U3994*Y3994,0)</f>
        <v>0</v>
      </c>
      <c r="AB3994" s="403"/>
    </row>
    <row r="3995" spans="1:28">
      <c r="A3995" s="384" t="str">
        <f t="shared" ref="A3995:B3995" si="12871">A3985</f>
        <v>Lantai 2</v>
      </c>
      <c r="B3995" s="385">
        <f t="shared" si="12871"/>
        <v>46</v>
      </c>
      <c r="C3995" s="393"/>
      <c r="D3995" s="398">
        <f t="shared" ref="D3995:D4055" si="12872">IF(AND(D3992=D3993,D3993=D3994,D3992=D3994),D3992,0)</f>
        <v>3</v>
      </c>
      <c r="E3995" s="388" t="s">
        <v>16</v>
      </c>
      <c r="F3995" s="388">
        <f t="shared" ref="F3995:F4055" si="12873">IF(AND(F3992=F3993,F3992=F3994,F3993=F3994),F3992,0)</f>
        <v>13</v>
      </c>
      <c r="G3995" s="388"/>
      <c r="H3995" s="395"/>
      <c r="I3995" s="388"/>
      <c r="J3995" s="396"/>
      <c r="K3995" s="396"/>
      <c r="L3995" s="404" t="s">
        <v>207</v>
      </c>
      <c r="M3995" s="399" t="s">
        <v>176</v>
      </c>
      <c r="N3995" s="399">
        <f t="shared" ref="N3995" si="12874">IF(AND(D3992=D3993,D3992=D3994,D3993=D3994,F3992=F3993,F3992=F3994,F3993=F3994),SUM(N3992:N3994),0)</f>
        <v>1.212</v>
      </c>
      <c r="O3995" s="399" t="s">
        <v>204</v>
      </c>
      <c r="P3995" s="389">
        <f t="shared" ref="P3995" si="12875">IF(N3995&gt;12,ROUNDDOWN(N3995/12,0),0)</f>
        <v>0</v>
      </c>
      <c r="Q3995" s="399" t="s">
        <v>125</v>
      </c>
      <c r="R3995" s="399">
        <f t="shared" ref="R3995" si="12876">IF(P3995&gt;0,MAX(VLOOKUP(F3995,$D$6:$G$15,3,FALSE),600),0)/1000</f>
        <v>0</v>
      </c>
      <c r="S3995" s="396"/>
      <c r="T3995" s="396" t="s">
        <v>125</v>
      </c>
      <c r="U3995" s="401">
        <f t="shared" ref="U3995:U4055" si="12877">U3994</f>
        <v>1.041885</v>
      </c>
      <c r="V3995" s="396" t="s">
        <v>125</v>
      </c>
      <c r="W3995" s="399">
        <f t="shared" ref="W3995" si="12878">D3995</f>
        <v>3</v>
      </c>
      <c r="X3995" s="399" t="s">
        <v>125</v>
      </c>
      <c r="Y3995" s="389">
        <f t="shared" ref="Y3995:Y4055" si="12879">Y3994</f>
        <v>1</v>
      </c>
      <c r="Z3995" s="400" t="s">
        <v>176</v>
      </c>
      <c r="AA3995" s="402">
        <f t="shared" ref="AA3995" si="12880">(N3995+P3995*R3995/1000)*U3995*W3995*Y3995</f>
        <v>3.78829386</v>
      </c>
      <c r="AB3995" s="390"/>
    </row>
    <row r="3996" spans="1:28">
      <c r="A3996" s="384"/>
      <c r="B3996" s="385"/>
      <c r="C3996" s="393"/>
      <c r="D3996" s="398"/>
      <c r="E3996" s="388"/>
      <c r="F3996" s="388"/>
      <c r="G3996" s="388"/>
      <c r="H3996" s="395"/>
      <c r="I3996" s="388"/>
      <c r="J3996" s="396"/>
      <c r="K3996" s="396"/>
      <c r="L3996" s="404"/>
      <c r="M3996" s="399"/>
      <c r="N3996" s="399"/>
      <c r="O3996" s="396"/>
      <c r="P3996" s="389"/>
      <c r="Q3996" s="396"/>
      <c r="R3996" s="396"/>
      <c r="S3996" s="396"/>
      <c r="T3996" s="396"/>
      <c r="U3996" s="401"/>
      <c r="V3996" s="396"/>
      <c r="W3996" s="399"/>
      <c r="X3996" s="396"/>
      <c r="Y3996" s="389"/>
      <c r="Z3996" s="396"/>
      <c r="AA3996" s="388"/>
      <c r="AB3996" s="390"/>
    </row>
    <row r="3997" spans="1:28">
      <c r="A3997" s="384" t="str">
        <f t="shared" ref="A3997:B3997" si="12881">A3985</f>
        <v>Lantai 2</v>
      </c>
      <c r="B3997" s="385">
        <f t="shared" si="12881"/>
        <v>46</v>
      </c>
      <c r="C3997" s="393" t="s">
        <v>208</v>
      </c>
      <c r="D3997" s="398">
        <f>VLOOKUP(D3985,'Detail Balok'!$C$10:$AU$140,13,FALSE)</f>
        <v>0</v>
      </c>
      <c r="E3997" s="388" t="s">
        <v>16</v>
      </c>
      <c r="F3997" s="388">
        <f>VLOOKUP(D3985,'Detail Balok'!$C$10:$AU$140,15,FALSE)</f>
        <v>8</v>
      </c>
      <c r="G3997" s="388"/>
      <c r="H3997" s="395"/>
      <c r="I3997" s="388"/>
      <c r="J3997" s="399">
        <f t="shared" ref="J3997" si="12882">+D3987/1000</f>
        <v>0.9</v>
      </c>
      <c r="K3997" s="400" t="s">
        <v>204</v>
      </c>
      <c r="L3997" s="399">
        <f t="shared" ref="L3997" si="12883">2*$F$16*F3997/1000</f>
        <v>0.192</v>
      </c>
      <c r="M3997" s="399" t="s">
        <v>176</v>
      </c>
      <c r="N3997" s="399">
        <f t="shared" ref="N3997" si="12884">J3997+L3997</f>
        <v>1.0920000000000001</v>
      </c>
      <c r="O3997" s="399" t="s">
        <v>204</v>
      </c>
      <c r="P3997" s="389">
        <f t="shared" ref="P3997" si="12885">IF(N3997&gt;12,ROUNDDOWN(N3997/12,0),0)</f>
        <v>0</v>
      </c>
      <c r="Q3997" s="399" t="s">
        <v>125</v>
      </c>
      <c r="R3997" s="399">
        <f t="shared" ref="R3997" si="12886">IF(P3997&gt;0,MAX(VLOOKUP(F3997,$D$6:$G$15,3,FALSE),600),0)/1000</f>
        <v>0</v>
      </c>
      <c r="S3997" s="399"/>
      <c r="T3997" s="399" t="s">
        <v>125</v>
      </c>
      <c r="U3997" s="401">
        <f t="shared" ref="U3997" si="12887">0.006165*F3997^2</f>
        <v>0.39456000000000002</v>
      </c>
      <c r="V3997" s="399" t="s">
        <v>125</v>
      </c>
      <c r="W3997" s="399">
        <f t="shared" ref="W3997" si="12888">+D3997</f>
        <v>0</v>
      </c>
      <c r="X3997" s="399" t="s">
        <v>125</v>
      </c>
      <c r="Y3997" s="389">
        <f t="shared" ref="Y3997" si="12889">D3991</f>
        <v>1</v>
      </c>
      <c r="Z3997" s="400" t="s">
        <v>176</v>
      </c>
      <c r="AA3997" s="402">
        <f t="shared" ref="AA3997" si="12890">(N3997+P3997*R3997/1000)*U3997*W3997*Y3997</f>
        <v>0</v>
      </c>
      <c r="AB3997" s="403"/>
    </row>
    <row r="3998" spans="1:28">
      <c r="A3998" s="384"/>
      <c r="B3998" s="385"/>
      <c r="C3998" s="393"/>
      <c r="D3998" s="398"/>
      <c r="E3998" s="388"/>
      <c r="F3998" s="388"/>
      <c r="G3998" s="388"/>
      <c r="H3998" s="395"/>
      <c r="I3998" s="388"/>
      <c r="J3998" s="399"/>
      <c r="K3998" s="400"/>
      <c r="L3998" s="399"/>
      <c r="M3998" s="399"/>
      <c r="N3998" s="399"/>
      <c r="O3998" s="399"/>
      <c r="P3998" s="389"/>
      <c r="Q3998" s="399"/>
      <c r="R3998" s="399"/>
      <c r="S3998" s="399"/>
      <c r="T3998" s="399"/>
      <c r="U3998" s="401"/>
      <c r="V3998" s="399"/>
      <c r="W3998" s="399"/>
      <c r="X3998" s="399"/>
      <c r="Y3998" s="389"/>
      <c r="Z3998" s="400"/>
      <c r="AA3998" s="402"/>
      <c r="AB3998" s="403"/>
    </row>
    <row r="3999" spans="1:28">
      <c r="A3999" s="384"/>
      <c r="B3999" s="385"/>
      <c r="C3999" s="393"/>
      <c r="D3999" s="398"/>
      <c r="E3999" s="388"/>
      <c r="F3999" s="388"/>
      <c r="G3999" s="388"/>
      <c r="H3999" s="395"/>
      <c r="I3999" s="388"/>
      <c r="J3999" s="396"/>
      <c r="K3999" s="396"/>
      <c r="L3999" s="396"/>
      <c r="M3999" s="396"/>
      <c r="N3999" s="396"/>
      <c r="O3999" s="396"/>
      <c r="P3999" s="389"/>
      <c r="Q3999" s="396"/>
      <c r="R3999" s="396"/>
      <c r="S3999" s="396"/>
      <c r="T3999" s="396"/>
      <c r="U3999" s="401"/>
      <c r="V3999" s="396"/>
      <c r="W3999" s="399"/>
      <c r="X3999" s="396"/>
      <c r="Y3999" s="389"/>
      <c r="Z3999" s="396"/>
      <c r="AA3999" s="388"/>
      <c r="AB3999" s="390"/>
    </row>
    <row r="4000" spans="1:28">
      <c r="A4000" s="384" t="str">
        <f t="shared" ref="A4000:B4000" si="12891">A3985</f>
        <v>Lantai 2</v>
      </c>
      <c r="B4000" s="385">
        <f t="shared" si="12891"/>
        <v>46</v>
      </c>
      <c r="C4000" s="393" t="s">
        <v>209</v>
      </c>
      <c r="D4000" s="398">
        <f>VLOOKUP(D3985,'Detail Balok'!$C$10:$AU$140,22,FALSE)</f>
        <v>3</v>
      </c>
      <c r="E4000" s="388" t="s">
        <v>16</v>
      </c>
      <c r="F4000" s="388">
        <f>VLOOKUP(D3985,'Detail Balok'!$C$10:$AU$140,24,FALSE)</f>
        <v>13</v>
      </c>
      <c r="G4000" s="388"/>
      <c r="H4000" s="395"/>
      <c r="I4000" s="388" t="s">
        <v>203</v>
      </c>
      <c r="J4000" s="399">
        <f t="shared" ref="J4000:J4062" si="12892">+J3992</f>
        <v>0.22500000000000001</v>
      </c>
      <c r="K4000" s="400" t="s">
        <v>204</v>
      </c>
      <c r="L4000" s="399">
        <f t="shared" ref="L4000" si="12893">MAX(VLOOKUP(F4000,N$6:P$15,3,FALSE)/1000,2/3*D3990/1000)+F$16*F4000/1000</f>
        <v>0.156</v>
      </c>
      <c r="M4000" s="399" t="s">
        <v>176</v>
      </c>
      <c r="N4000" s="399">
        <f t="shared" ref="N4000:N4002" si="12894">J4000+L4000</f>
        <v>0.38100000000000001</v>
      </c>
      <c r="O4000" s="399" t="s">
        <v>204</v>
      </c>
      <c r="P4000" s="389">
        <f t="shared" ref="P4000" si="12895">D4000-D4001</f>
        <v>0</v>
      </c>
      <c r="Q4000" s="399" t="s">
        <v>125</v>
      </c>
      <c r="R4000" s="399">
        <f t="shared" ref="R4000" si="12896">IF(P4000&gt;0,$F$18*F4000/1000,0)</f>
        <v>0</v>
      </c>
      <c r="S4000" s="399" t="s">
        <v>205</v>
      </c>
      <c r="T4000" s="399" t="s">
        <v>125</v>
      </c>
      <c r="U4000" s="401">
        <f t="shared" ref="U4000:U4002" si="12897">0.006165*F4000^2</f>
        <v>1.041885</v>
      </c>
      <c r="V4000" s="399"/>
      <c r="W4000" s="399"/>
      <c r="X4000" s="399" t="s">
        <v>125</v>
      </c>
      <c r="Y4000" s="389">
        <f t="shared" ref="Y4000" si="12898">D3991</f>
        <v>1</v>
      </c>
      <c r="Z4000" s="400" t="s">
        <v>176</v>
      </c>
      <c r="AA4000" s="402">
        <f t="shared" ref="AA4000" si="12899">IF(AA4003=0,(D4000*N4000+P4000*R4000)*U4000*Y4000,0)</f>
        <v>0</v>
      </c>
      <c r="AB4000" s="403"/>
    </row>
    <row r="4001" spans="1:28">
      <c r="A4001" s="384" t="str">
        <f t="shared" ref="A4001:B4001" si="12900">A3985</f>
        <v>Lantai 2</v>
      </c>
      <c r="B4001" s="385">
        <f t="shared" si="12900"/>
        <v>46</v>
      </c>
      <c r="C4001" s="393" t="s">
        <v>210</v>
      </c>
      <c r="D4001" s="398">
        <f>VLOOKUP(D3985,'Detail Balok'!$C$10:$AU$140,25,FALSE)</f>
        <v>3</v>
      </c>
      <c r="E4001" s="388" t="s">
        <v>16</v>
      </c>
      <c r="F4001" s="388">
        <f>VLOOKUP(D3985,'Detail Balok'!$C$10:$AU$140,27,FALSE)</f>
        <v>13</v>
      </c>
      <c r="G4001" s="388"/>
      <c r="H4001" s="395"/>
      <c r="I4001" s="388" t="s">
        <v>203</v>
      </c>
      <c r="J4001" s="399">
        <f t="shared" si="12892"/>
        <v>0.45</v>
      </c>
      <c r="K4001" s="400" t="s">
        <v>204</v>
      </c>
      <c r="L4001" s="399"/>
      <c r="M4001" s="399" t="s">
        <v>176</v>
      </c>
      <c r="N4001" s="399">
        <f t="shared" si="12894"/>
        <v>0.45</v>
      </c>
      <c r="O4001" s="399" t="s">
        <v>204</v>
      </c>
      <c r="P4001" s="389">
        <f t="shared" ref="P4001" si="12901">MAX(D4001-D4000,D4001-D4002)</f>
        <v>0</v>
      </c>
      <c r="Q4001" s="399" t="s">
        <v>125</v>
      </c>
      <c r="R4001" s="399">
        <f t="shared" ref="R4001" si="12902">IF(P4001&gt;0,2*(1-2*$F$19-1/2)*D3988/1000,0)</f>
        <v>0</v>
      </c>
      <c r="S4001" s="399" t="s">
        <v>205</v>
      </c>
      <c r="T4001" s="399" t="s">
        <v>125</v>
      </c>
      <c r="U4001" s="401">
        <f t="shared" si="12897"/>
        <v>1.041885</v>
      </c>
      <c r="V4001" s="399"/>
      <c r="W4001" s="399"/>
      <c r="X4001" s="399" t="s">
        <v>125</v>
      </c>
      <c r="Y4001" s="389">
        <f t="shared" ref="Y4001" si="12903">D3991</f>
        <v>1</v>
      </c>
      <c r="Z4001" s="400" t="s">
        <v>176</v>
      </c>
      <c r="AA4001" s="402">
        <f t="shared" ref="AA4001" si="12904">IF(AA4003=0,(D4001*N4001+P4001*R4001)*U4001*Y4001,0)</f>
        <v>0</v>
      </c>
      <c r="AB4001" s="403"/>
    </row>
    <row r="4002" spans="1:28">
      <c r="A4002" s="384" t="str">
        <f t="shared" ref="A4002:B4002" si="12905">A3985</f>
        <v>Lantai 2</v>
      </c>
      <c r="B4002" s="385">
        <f t="shared" si="12905"/>
        <v>46</v>
      </c>
      <c r="C4002" s="393" t="s">
        <v>209</v>
      </c>
      <c r="D4002" s="398">
        <f>VLOOKUP(D3985,'Detail Balok'!$C$10:$AU$140,28,FALSE)</f>
        <v>3</v>
      </c>
      <c r="E4002" s="388" t="s">
        <v>16</v>
      </c>
      <c r="F4002" s="388">
        <f>VLOOKUP(D3985,'Detail Balok'!$C$10:$AU$140,30,FALSE)</f>
        <v>13</v>
      </c>
      <c r="G4002" s="388"/>
      <c r="H4002" s="395"/>
      <c r="I4002" s="388" t="s">
        <v>203</v>
      </c>
      <c r="J4002" s="399">
        <f t="shared" si="12892"/>
        <v>0.22500000000000001</v>
      </c>
      <c r="K4002" s="400" t="s">
        <v>204</v>
      </c>
      <c r="L4002" s="399">
        <f t="shared" ref="L4002" si="12906">MAX(VLOOKUP(F4002,N$6:P$15,3,FALSE)/1000,2/3*D3990/1000)+F$16*F4002/1000</f>
        <v>0.156</v>
      </c>
      <c r="M4002" s="399" t="s">
        <v>176</v>
      </c>
      <c r="N4002" s="399">
        <f t="shared" si="12894"/>
        <v>0.38100000000000001</v>
      </c>
      <c r="O4002" s="399" t="s">
        <v>204</v>
      </c>
      <c r="P4002" s="389">
        <f t="shared" ref="P4002" si="12907">D4002-D4001</f>
        <v>0</v>
      </c>
      <c r="Q4002" s="399" t="s">
        <v>125</v>
      </c>
      <c r="R4002" s="399">
        <f t="shared" ref="R4002" si="12908">IF(P4002&gt;0,$F$18*F4002/1000,0)</f>
        <v>0</v>
      </c>
      <c r="S4002" s="399" t="s">
        <v>205</v>
      </c>
      <c r="T4002" s="399" t="s">
        <v>125</v>
      </c>
      <c r="U4002" s="401">
        <f t="shared" si="12897"/>
        <v>1.041885</v>
      </c>
      <c r="V4002" s="399"/>
      <c r="W4002" s="399"/>
      <c r="X4002" s="399" t="s">
        <v>125</v>
      </c>
      <c r="Y4002" s="389">
        <f t="shared" ref="Y4002" si="12909">D3991</f>
        <v>1</v>
      </c>
      <c r="Z4002" s="400" t="s">
        <v>176</v>
      </c>
      <c r="AA4002" s="402">
        <f t="shared" ref="AA4002" si="12910">IF(AA4003=0,(D4002*N4002+P4002*R4002)*U4002*Y4002,0)</f>
        <v>0</v>
      </c>
      <c r="AB4002" s="403"/>
    </row>
    <row r="4003" spans="1:28">
      <c r="A4003" s="384" t="str">
        <f t="shared" ref="A4003:B4003" si="12911">A3985</f>
        <v>Lantai 2</v>
      </c>
      <c r="B4003" s="385">
        <f t="shared" si="12911"/>
        <v>46</v>
      </c>
      <c r="C4003" s="393"/>
      <c r="D4003" s="398">
        <f t="shared" ref="D4003:D4063" si="12912">IF(AND(D4000=D4001,D4001=D4002,D4000=D4002),D4000,0)</f>
        <v>3</v>
      </c>
      <c r="E4003" s="388" t="s">
        <v>16</v>
      </c>
      <c r="F4003" s="388">
        <f t="shared" ref="F4003:F4063" si="12913">IF(AND(F4000=F4001,F4000=F4002,F4001=F4002),F4000,0)</f>
        <v>13</v>
      </c>
      <c r="G4003" s="388"/>
      <c r="H4003" s="395"/>
      <c r="I4003" s="388"/>
      <c r="J4003" s="396"/>
      <c r="K4003" s="396"/>
      <c r="L4003" s="404" t="s">
        <v>207</v>
      </c>
      <c r="M4003" s="399" t="s">
        <v>176</v>
      </c>
      <c r="N4003" s="399">
        <f t="shared" ref="N4003" si="12914">IF(AND(D4000=D4001,D4000=D4002,D4001=D4002,F4000=F4001,F4000=F4002,F4001=F4002),SUM(N4000:N4002),0)</f>
        <v>1.212</v>
      </c>
      <c r="O4003" s="399" t="s">
        <v>204</v>
      </c>
      <c r="P4003" s="389">
        <f t="shared" ref="P4003" si="12915">IF(N4003&gt;12,ROUNDDOWN(N4003/12,0),0)</f>
        <v>0</v>
      </c>
      <c r="Q4003" s="399" t="s">
        <v>125</v>
      </c>
      <c r="R4003" s="399">
        <f t="shared" ref="R4003" si="12916">IF(P4003&gt;0,MAX(VLOOKUP(F4003,$D$6:$G$15,3,FALSE),600),0)/1000</f>
        <v>0</v>
      </c>
      <c r="S4003" s="396"/>
      <c r="T4003" s="396" t="s">
        <v>125</v>
      </c>
      <c r="U4003" s="401">
        <f t="shared" ref="U4003:U4063" si="12917">U4002</f>
        <v>1.041885</v>
      </c>
      <c r="V4003" s="396" t="s">
        <v>125</v>
      </c>
      <c r="W4003" s="399">
        <f t="shared" ref="W4003" si="12918">D4003</f>
        <v>3</v>
      </c>
      <c r="X4003" s="399" t="s">
        <v>125</v>
      </c>
      <c r="Y4003" s="389">
        <f t="shared" ref="Y4003:Y4063" si="12919">Y4002</f>
        <v>1</v>
      </c>
      <c r="Z4003" s="400" t="s">
        <v>176</v>
      </c>
      <c r="AA4003" s="402">
        <f t="shared" ref="AA4003" si="12920">(N4003+P4003*R4003/1000)*U4003*W4003*Y4003</f>
        <v>3.78829386</v>
      </c>
      <c r="AB4003" s="403"/>
    </row>
    <row r="4004" spans="1:28">
      <c r="A4004" s="384"/>
      <c r="B4004" s="385"/>
      <c r="C4004" s="393"/>
      <c r="D4004" s="394"/>
      <c r="E4004" s="388"/>
      <c r="F4004" s="388"/>
      <c r="G4004" s="388"/>
      <c r="H4004" s="395"/>
      <c r="I4004" s="388"/>
      <c r="J4004" s="399"/>
      <c r="K4004" s="396"/>
      <c r="L4004" s="396"/>
      <c r="M4004" s="396"/>
      <c r="N4004" s="396"/>
      <c r="O4004" s="396"/>
      <c r="P4004" s="389"/>
      <c r="Q4004" s="396"/>
      <c r="R4004" s="396"/>
      <c r="S4004" s="396"/>
      <c r="T4004" s="396"/>
      <c r="U4004" s="401"/>
      <c r="V4004" s="396"/>
      <c r="W4004" s="388"/>
      <c r="X4004" s="396"/>
      <c r="Y4004" s="389"/>
      <c r="Z4004" s="396"/>
      <c r="AA4004" s="388"/>
      <c r="AB4004" s="390"/>
    </row>
    <row r="4005" spans="1:28">
      <c r="A4005" s="384" t="str">
        <f t="shared" ref="A4005:B4005" si="12921">A3985</f>
        <v>Lantai 2</v>
      </c>
      <c r="B4005" s="385">
        <f t="shared" si="12921"/>
        <v>46</v>
      </c>
      <c r="C4005" s="393" t="s">
        <v>211</v>
      </c>
      <c r="D4005" s="398">
        <f>VLOOKUP(D3985,'Detail Balok'!$C$10:$AU$140,31,FALSE)</f>
        <v>0</v>
      </c>
      <c r="E4005" s="388" t="s">
        <v>16</v>
      </c>
      <c r="F4005" s="388">
        <f>VLOOKUP(D3985,'Detail Balok'!$C$10:$AU$140,33,FALSE)</f>
        <v>10</v>
      </c>
      <c r="G4005" s="405" t="s">
        <v>157</v>
      </c>
      <c r="H4005" s="395">
        <f>VLOOKUP(D3985,'Detail Balok'!$C$10:$AU$140,35,FALSE)</f>
        <v>100</v>
      </c>
      <c r="I4005" s="388"/>
      <c r="J4005" s="400">
        <f t="shared" ref="J4005" si="12922">(IF(D4005=0,(2*(D3986+G3986))-(F$5*8),IF(D4005=3,(2*(D3986+G3986))-(F$5*8)+(G3986-2*F$5),IF(D4005=4,(2*(D3986+G3986))-(F$5*8)+2*(G3986-2*F$5)))))/1000</f>
        <v>0.88</v>
      </c>
      <c r="K4005" s="400" t="s">
        <v>204</v>
      </c>
      <c r="L4005" s="399">
        <f t="shared" ref="L4005:L4007" si="12923">IF(D4005=0,2*MAX(6*F4005,75),(D4005-1)*2*MAX(6*F4005,75))/1000</f>
        <v>0.15</v>
      </c>
      <c r="M4005" s="399" t="s">
        <v>176</v>
      </c>
      <c r="N4005" s="399">
        <f t="shared" ref="N4005:N4007" si="12924">J4005+L4005</f>
        <v>1.03</v>
      </c>
      <c r="O4005" s="399"/>
      <c r="P4005" s="389"/>
      <c r="Q4005" s="399"/>
      <c r="R4005" s="399"/>
      <c r="S4005" s="399"/>
      <c r="T4005" s="399" t="s">
        <v>125</v>
      </c>
      <c r="U4005" s="401">
        <f t="shared" ref="U4005:U4007" si="12925">0.006165*F4005^2</f>
        <v>0.61650000000000005</v>
      </c>
      <c r="V4005" s="399" t="s">
        <v>125</v>
      </c>
      <c r="W4005" s="399">
        <f t="shared" ref="W4005" si="12926">IF(D3988&gt;4*G3986,ROUND(MAX(D3988/4,2*G3986)/H4005,0)+1,ROUND(D3988/H4005,0)+1)</f>
        <v>10</v>
      </c>
      <c r="X4005" s="399" t="s">
        <v>125</v>
      </c>
      <c r="Y4005" s="389">
        <f t="shared" ref="Y4005" si="12927">D3991</f>
        <v>1</v>
      </c>
      <c r="Z4005" s="400" t="s">
        <v>176</v>
      </c>
      <c r="AA4005" s="402">
        <f t="shared" ref="AA4005:AA4007" si="12928">N4005*U4005*W4005*Y4005</f>
        <v>6.3499500000000006</v>
      </c>
      <c r="AB4005" s="403"/>
    </row>
    <row r="4006" spans="1:28">
      <c r="A4006" s="384" t="str">
        <f t="shared" ref="A4006:B4006" si="12929">A3985</f>
        <v>Lantai 2</v>
      </c>
      <c r="B4006" s="385">
        <f t="shared" si="12929"/>
        <v>46</v>
      </c>
      <c r="C4006" s="393" t="s">
        <v>212</v>
      </c>
      <c r="D4006" s="398">
        <f>VLOOKUP(D3985,'Detail Balok'!$C$10:$AU$140,36,FALSE)</f>
        <v>0</v>
      </c>
      <c r="E4006" s="388" t="s">
        <v>16</v>
      </c>
      <c r="F4006" s="388">
        <f>VLOOKUP(D3985,'Detail Balok'!$C$10:$AU$140,38,FALSE)</f>
        <v>10</v>
      </c>
      <c r="G4006" s="405" t="s">
        <v>157</v>
      </c>
      <c r="H4006" s="395">
        <f>VLOOKUP(D3985,'Detail Balok'!$C$10:$AU$140,40,FALSE)</f>
        <v>200</v>
      </c>
      <c r="I4006" s="388"/>
      <c r="J4006" s="400">
        <f t="shared" ref="J4006" si="12930">(IF(D4006=0,(2*(D3986+G3986))-(F$5*8),IF(D4006=3,(2*(D3986+G3986))-(F$5*8)+(G3986-2*F$5),IF(D4006=4,(2*(D3986+G3986))-(F$5*8)+2*(G3986-2*F$5)))))/1000</f>
        <v>0.88</v>
      </c>
      <c r="K4006" s="400" t="s">
        <v>204</v>
      </c>
      <c r="L4006" s="399">
        <f t="shared" si="12923"/>
        <v>0.15</v>
      </c>
      <c r="M4006" s="399" t="s">
        <v>176</v>
      </c>
      <c r="N4006" s="399">
        <f t="shared" si="12924"/>
        <v>1.03</v>
      </c>
      <c r="O4006" s="399"/>
      <c r="P4006" s="389"/>
      <c r="Q4006" s="399"/>
      <c r="R4006" s="399"/>
      <c r="S4006" s="399"/>
      <c r="T4006" s="399" t="s">
        <v>125</v>
      </c>
      <c r="U4006" s="401">
        <f t="shared" si="12925"/>
        <v>0.61650000000000005</v>
      </c>
      <c r="V4006" s="399" t="s">
        <v>125</v>
      </c>
      <c r="W4006" s="399">
        <f t="shared" ref="W4006" si="12931">IF(D3988-MAX(D3988/4,2*G3986)*2&gt;0,ROUND((D3988-MAX(D3988/4,2*G3986)*2)/H4006,0),0)</f>
        <v>0</v>
      </c>
      <c r="X4006" s="399" t="s">
        <v>125</v>
      </c>
      <c r="Y4006" s="389">
        <f t="shared" ref="Y4006" si="12932">D3991</f>
        <v>1</v>
      </c>
      <c r="Z4006" s="400" t="s">
        <v>176</v>
      </c>
      <c r="AA4006" s="402">
        <f t="shared" si="12928"/>
        <v>0</v>
      </c>
      <c r="AB4006" s="403"/>
    </row>
    <row r="4007" spans="1:28">
      <c r="A4007" s="384" t="str">
        <f t="shared" ref="A4007:B4007" si="12933">A3985</f>
        <v>Lantai 2</v>
      </c>
      <c r="B4007" s="385">
        <f t="shared" si="12933"/>
        <v>46</v>
      </c>
      <c r="C4007" s="393" t="s">
        <v>211</v>
      </c>
      <c r="D4007" s="398">
        <f>VLOOKUP(D3985,'Detail Balok'!$C$10:$AU$140,41,FALSE)</f>
        <v>0</v>
      </c>
      <c r="E4007" s="388" t="s">
        <v>16</v>
      </c>
      <c r="F4007" s="388">
        <f>VLOOKUP(D3985,'Detail Balok'!$C$10:$AU$140,43,FALSE)</f>
        <v>10</v>
      </c>
      <c r="G4007" s="405" t="s">
        <v>157</v>
      </c>
      <c r="H4007" s="395">
        <f>VLOOKUP(D3985,'Detail Balok'!$C$10:$AU$140,45,FALSE)</f>
        <v>100</v>
      </c>
      <c r="I4007" s="388"/>
      <c r="J4007" s="400">
        <f t="shared" ref="J4007" si="12934">(IF(D4007=0,(2*(D3986+G3986))-(F$5*8),IF(D4007=3,(2*(D3986+G3986))-(F$5*8)+(G3986-2*F$5),IF(D4007=4,(2*(D3986+G3986))-(F$5*8)+2*(G3986-2*F$5)))))/1000</f>
        <v>0.88</v>
      </c>
      <c r="K4007" s="400" t="s">
        <v>204</v>
      </c>
      <c r="L4007" s="399">
        <f t="shared" si="12923"/>
        <v>0.15</v>
      </c>
      <c r="M4007" s="399" t="s">
        <v>176</v>
      </c>
      <c r="N4007" s="399">
        <f t="shared" si="12924"/>
        <v>1.03</v>
      </c>
      <c r="O4007" s="399"/>
      <c r="P4007" s="389"/>
      <c r="Q4007" s="399"/>
      <c r="R4007" s="399"/>
      <c r="S4007" s="399"/>
      <c r="T4007" s="399" t="s">
        <v>125</v>
      </c>
      <c r="U4007" s="401">
        <f t="shared" si="12925"/>
        <v>0.61650000000000005</v>
      </c>
      <c r="V4007" s="399" t="s">
        <v>125</v>
      </c>
      <c r="W4007" s="399">
        <f t="shared" ref="W4007" si="12935">IF(D3988&gt;4*G3986,ROUND(MAX(D3988/4,2*G3986)/H4007,0)+1,0)</f>
        <v>0</v>
      </c>
      <c r="X4007" s="399" t="s">
        <v>125</v>
      </c>
      <c r="Y4007" s="389">
        <f t="shared" ref="Y4007" si="12936">D3991</f>
        <v>1</v>
      </c>
      <c r="Z4007" s="400" t="s">
        <v>176</v>
      </c>
      <c r="AA4007" s="402">
        <f t="shared" si="12928"/>
        <v>0</v>
      </c>
      <c r="AB4007" s="403"/>
    </row>
    <row r="4008" spans="1:28">
      <c r="A4008" s="384"/>
      <c r="B4008" s="385"/>
      <c r="C4008" s="393"/>
      <c r="D4008" s="394"/>
      <c r="E4008" s="388"/>
      <c r="F4008" s="388"/>
      <c r="G4008" s="388"/>
      <c r="H4008" s="395"/>
      <c r="I4008" s="388"/>
      <c r="J4008" s="399"/>
      <c r="K4008" s="396"/>
      <c r="L4008" s="396"/>
      <c r="M4008" s="396"/>
      <c r="N4008" s="396"/>
      <c r="O4008" s="396"/>
      <c r="P4008" s="389"/>
      <c r="Q4008" s="396"/>
      <c r="R4008" s="396"/>
      <c r="S4008" s="396"/>
      <c r="T4008" s="396"/>
      <c r="U4008" s="401"/>
      <c r="V4008" s="396"/>
      <c r="W4008" s="388"/>
      <c r="X4008" s="396"/>
      <c r="Y4008" s="389"/>
      <c r="Z4008" s="396"/>
      <c r="AA4008" s="388"/>
      <c r="AB4008" s="390"/>
    </row>
    <row r="4009" spans="1:28">
      <c r="A4009" s="384" t="str">
        <f t="shared" ref="A4009:B4009" si="12937">A3985</f>
        <v>Lantai 2</v>
      </c>
      <c r="B4009" s="385">
        <f t="shared" si="12937"/>
        <v>46</v>
      </c>
      <c r="C4009" s="393" t="s">
        <v>213</v>
      </c>
      <c r="D4009" s="398">
        <f>VLOOKUP(D3985,'Detail Balok'!$C$10:$BJ$140,46,FALSE)</f>
        <v>0</v>
      </c>
      <c r="E4009" s="388" t="s">
        <v>16</v>
      </c>
      <c r="F4009" s="388">
        <f>VLOOKUP(D3985,'Detail Balok'!$C$10:$BJ$140,48,FALSE)</f>
        <v>0</v>
      </c>
      <c r="G4009" s="405" t="s">
        <v>157</v>
      </c>
      <c r="H4009" s="395">
        <f>VLOOKUP(D3985,'Detail Balok'!$C$10:$BJ$140,50,FALSE)</f>
        <v>100</v>
      </c>
      <c r="I4009" s="388"/>
      <c r="J4009" s="399">
        <f t="shared" ref="J4009" si="12938">(D3986-2*F$5)/1000</f>
        <v>0.12</v>
      </c>
      <c r="K4009" s="400" t="s">
        <v>204</v>
      </c>
      <c r="L4009" s="399">
        <f t="shared" ref="L4009:L4011" si="12939">IF(D4009=0,2*MAX(6*F4009,75),(D4009-1)*2*MAX(6*F4009,75))/1000</f>
        <v>0.15</v>
      </c>
      <c r="M4009" s="399" t="s">
        <v>176</v>
      </c>
      <c r="N4009" s="399">
        <f t="shared" ref="N4009:N4011" si="12940">J4009+L4009</f>
        <v>0.27</v>
      </c>
      <c r="O4009" s="399"/>
      <c r="P4009" s="399"/>
      <c r="Q4009" s="399"/>
      <c r="R4009" s="399"/>
      <c r="S4009" s="399"/>
      <c r="T4009" s="399" t="s">
        <v>125</v>
      </c>
      <c r="U4009" s="401">
        <f t="shared" ref="U4009:U4011" si="12941">0.006165*F4009^2</f>
        <v>0</v>
      </c>
      <c r="V4009" s="399" t="s">
        <v>125</v>
      </c>
      <c r="W4009" s="399">
        <f t="shared" ref="W4009:W4071" si="12942">W4005</f>
        <v>10</v>
      </c>
      <c r="X4009" s="399" t="s">
        <v>125</v>
      </c>
      <c r="Y4009" s="389">
        <f t="shared" ref="Y4009" si="12943">D3995</f>
        <v>3</v>
      </c>
      <c r="Z4009" s="400" t="s">
        <v>176</v>
      </c>
      <c r="AA4009" s="402">
        <f t="shared" ref="AA4009:AA4011" si="12944">N4009*U4009*W4009*Y4009</f>
        <v>0</v>
      </c>
      <c r="AB4009" s="403"/>
    </row>
    <row r="4010" spans="1:28">
      <c r="A4010" s="384" t="str">
        <f t="shared" ref="A4010:B4010" si="12945">A3985</f>
        <v>Lantai 2</v>
      </c>
      <c r="B4010" s="385">
        <f t="shared" si="12945"/>
        <v>46</v>
      </c>
      <c r="C4010" s="393" t="s">
        <v>214</v>
      </c>
      <c r="D4010" s="398">
        <f>VLOOKUP(D3985,'Detail Balok'!$C$10:$BJ$140,51,FALSE)</f>
        <v>0</v>
      </c>
      <c r="E4010" s="388" t="s">
        <v>16</v>
      </c>
      <c r="F4010" s="388">
        <f>VLOOKUP(D3985,'Detail Balok'!$C$10:$BJ$140,53,FALSE)</f>
        <v>0</v>
      </c>
      <c r="G4010" s="405" t="s">
        <v>157</v>
      </c>
      <c r="H4010" s="395">
        <f>VLOOKUP(D3985,'Detail Balok'!$C$10:$BJ$140,55,FALSE)</f>
        <v>100</v>
      </c>
      <c r="I4010" s="388"/>
      <c r="J4010" s="399">
        <f t="shared" ref="J4010" si="12946">(D3986-2*F$5)/1000</f>
        <v>0.12</v>
      </c>
      <c r="K4010" s="400" t="s">
        <v>204</v>
      </c>
      <c r="L4010" s="399">
        <f t="shared" si="12939"/>
        <v>0.15</v>
      </c>
      <c r="M4010" s="399" t="s">
        <v>176</v>
      </c>
      <c r="N4010" s="399">
        <f t="shared" si="12940"/>
        <v>0.27</v>
      </c>
      <c r="O4010" s="399"/>
      <c r="P4010" s="399"/>
      <c r="Q4010" s="399"/>
      <c r="R4010" s="399"/>
      <c r="S4010" s="399"/>
      <c r="T4010" s="399" t="s">
        <v>125</v>
      </c>
      <c r="U4010" s="401">
        <f t="shared" si="12941"/>
        <v>0</v>
      </c>
      <c r="V4010" s="399" t="s">
        <v>125</v>
      </c>
      <c r="W4010" s="399">
        <f t="shared" si="12942"/>
        <v>0</v>
      </c>
      <c r="X4010" s="399" t="s">
        <v>125</v>
      </c>
      <c r="Y4010" s="389">
        <f t="shared" ref="Y4010" si="12947">D3995</f>
        <v>3</v>
      </c>
      <c r="Z4010" s="400" t="s">
        <v>176</v>
      </c>
      <c r="AA4010" s="402">
        <f t="shared" si="12944"/>
        <v>0</v>
      </c>
      <c r="AB4010" s="403"/>
    </row>
    <row r="4011" spans="1:28">
      <c r="A4011" s="384" t="str">
        <f t="shared" ref="A4011:B4011" si="12948">A3985</f>
        <v>Lantai 2</v>
      </c>
      <c r="B4011" s="385">
        <f t="shared" si="12948"/>
        <v>46</v>
      </c>
      <c r="C4011" s="393" t="s">
        <v>213</v>
      </c>
      <c r="D4011" s="398">
        <f>VLOOKUP(D3985,'Detail Balok'!$C$10:$BJ$140,56,FALSE)</f>
        <v>0</v>
      </c>
      <c r="E4011" s="388" t="s">
        <v>16</v>
      </c>
      <c r="F4011" s="388">
        <f>VLOOKUP(D3985,'Detail Balok'!$C$10:$BJ$140,58,FALSE)</f>
        <v>0</v>
      </c>
      <c r="G4011" s="405" t="s">
        <v>157</v>
      </c>
      <c r="H4011" s="395">
        <f>VLOOKUP(D3985,'Detail Balok'!$C$10:$BJ$140,60,FALSE)</f>
        <v>100</v>
      </c>
      <c r="I4011" s="388"/>
      <c r="J4011" s="399">
        <f t="shared" ref="J4011" si="12949">(D3986-2*F$5)/1000</f>
        <v>0.12</v>
      </c>
      <c r="K4011" s="400" t="s">
        <v>204</v>
      </c>
      <c r="L4011" s="399">
        <f t="shared" si="12939"/>
        <v>0.15</v>
      </c>
      <c r="M4011" s="399" t="s">
        <v>176</v>
      </c>
      <c r="N4011" s="399">
        <f t="shared" si="12940"/>
        <v>0.27</v>
      </c>
      <c r="O4011" s="399"/>
      <c r="P4011" s="399"/>
      <c r="Q4011" s="399"/>
      <c r="R4011" s="399"/>
      <c r="S4011" s="399"/>
      <c r="T4011" s="399" t="s">
        <v>125</v>
      </c>
      <c r="U4011" s="401">
        <f t="shared" si="12941"/>
        <v>0</v>
      </c>
      <c r="V4011" s="399" t="s">
        <v>125</v>
      </c>
      <c r="W4011" s="399">
        <f t="shared" si="12942"/>
        <v>0</v>
      </c>
      <c r="X4011" s="399" t="s">
        <v>125</v>
      </c>
      <c r="Y4011" s="389">
        <f t="shared" ref="Y4011" si="12950">D3995</f>
        <v>3</v>
      </c>
      <c r="Z4011" s="400" t="s">
        <v>176</v>
      </c>
      <c r="AA4011" s="402">
        <f t="shared" si="12944"/>
        <v>0</v>
      </c>
      <c r="AB4011" s="403"/>
    </row>
    <row r="4012" spans="1:28">
      <c r="A4012" s="391"/>
      <c r="B4012" s="392"/>
      <c r="C4012" s="392"/>
      <c r="D4012" s="394"/>
      <c r="E4012" s="388"/>
      <c r="F4012" s="388"/>
      <c r="G4012" s="388"/>
      <c r="H4012" s="395"/>
      <c r="I4012" s="388"/>
      <c r="J4012" s="402"/>
      <c r="K4012" s="388"/>
      <c r="L4012" s="388"/>
      <c r="M4012" s="388"/>
      <c r="N4012" s="388"/>
      <c r="O4012" s="388"/>
      <c r="P4012" s="388"/>
      <c r="Q4012" s="388"/>
      <c r="R4012" s="388"/>
      <c r="S4012" s="388"/>
      <c r="T4012" s="388"/>
      <c r="U4012" s="388"/>
      <c r="V4012" s="388"/>
      <c r="W4012" s="388"/>
      <c r="X4012" s="388"/>
      <c r="Y4012" s="389"/>
      <c r="Z4012" s="388"/>
      <c r="AA4012" s="402"/>
      <c r="AB4012" s="403"/>
    </row>
    <row r="4013" spans="1:28" ht="15.75" thickBot="1">
      <c r="A4013" s="406"/>
      <c r="B4013" s="407"/>
      <c r="C4013" s="407"/>
      <c r="D4013" s="408"/>
      <c r="E4013" s="409"/>
      <c r="F4013" s="409"/>
      <c r="G4013" s="409"/>
      <c r="H4013" s="410"/>
      <c r="I4013" s="409"/>
      <c r="J4013" s="409"/>
      <c r="K4013" s="409"/>
      <c r="L4013" s="409"/>
      <c r="M4013" s="409"/>
      <c r="N4013" s="409"/>
      <c r="O4013" s="409"/>
      <c r="P4013" s="409"/>
      <c r="Q4013" s="409"/>
      <c r="R4013" s="409"/>
      <c r="S4013" s="409"/>
      <c r="T4013" s="409"/>
      <c r="U4013" s="409"/>
      <c r="V4013" s="409"/>
      <c r="W4013" s="409"/>
      <c r="X4013" s="409"/>
      <c r="Y4013" s="411"/>
      <c r="Z4013" s="409"/>
      <c r="AA4013" s="412"/>
      <c r="AB4013" s="413"/>
    </row>
    <row r="4014" spans="1:28">
      <c r="A4014" s="377"/>
      <c r="B4014" s="378"/>
      <c r="C4014" s="378"/>
      <c r="D4014" s="379"/>
      <c r="E4014" s="380"/>
      <c r="F4014" s="380"/>
      <c r="G4014" s="380"/>
      <c r="H4014" s="381"/>
      <c r="I4014" s="380"/>
      <c r="J4014" s="380"/>
      <c r="K4014" s="380"/>
      <c r="L4014" s="380"/>
      <c r="M4014" s="380"/>
      <c r="N4014" s="380"/>
      <c r="O4014" s="380"/>
      <c r="P4014" s="380"/>
      <c r="Q4014" s="380"/>
      <c r="R4014" s="380"/>
      <c r="S4014" s="380"/>
      <c r="T4014" s="380"/>
      <c r="U4014" s="380"/>
      <c r="V4014" s="380"/>
      <c r="W4014" s="380"/>
      <c r="X4014" s="380"/>
      <c r="Y4014" s="382"/>
      <c r="Z4014" s="380"/>
      <c r="AA4014" s="380"/>
      <c r="AB4014" s="383"/>
    </row>
    <row r="4015" spans="1:28">
      <c r="A4015" s="384" t="str">
        <f t="shared" ref="A4015:A4075" si="12951">A3985</f>
        <v>Lantai 2</v>
      </c>
      <c r="B4015" s="385">
        <f t="shared" ref="B4015:B4075" si="12952">B3985+1</f>
        <v>47</v>
      </c>
      <c r="C4015" s="386" t="str">
        <f t="shared" ref="C4015" si="12953">CONCATENATE(A4015," no. ",B4015)</f>
        <v>Lantai 2 no. 47</v>
      </c>
      <c r="D4015" s="2562" t="str">
        <f>VLOOKUP(C4015,'Data Panjang Balok'!$C$9:$N$254,2,FALSE)</f>
        <v>B24-1</v>
      </c>
      <c r="E4015" s="2576"/>
      <c r="F4015" s="2576"/>
      <c r="G4015" s="2576"/>
      <c r="H4015" s="2577"/>
      <c r="I4015" s="387"/>
      <c r="J4015" s="388"/>
      <c r="K4015" s="388"/>
      <c r="L4015" s="388"/>
      <c r="M4015" s="388"/>
      <c r="N4015" s="388"/>
      <c r="O4015" s="388"/>
      <c r="P4015" s="388"/>
      <c r="Q4015" s="388"/>
      <c r="R4015" s="388"/>
      <c r="S4015" s="388"/>
      <c r="T4015" s="388"/>
      <c r="U4015" s="388"/>
      <c r="V4015" s="388"/>
      <c r="W4015" s="388"/>
      <c r="X4015" s="388"/>
      <c r="Y4015" s="389"/>
      <c r="Z4015" s="388"/>
      <c r="AA4015" s="388"/>
      <c r="AB4015" s="390"/>
    </row>
    <row r="4016" spans="1:28">
      <c r="A4016" s="391"/>
      <c r="B4016" s="392"/>
      <c r="C4016" s="393" t="s">
        <v>118</v>
      </c>
      <c r="D4016" s="2578">
        <f>VLOOKUP(D4015,'Detail Balok'!$C$10:$AU$140,2,FALSE)</f>
        <v>200</v>
      </c>
      <c r="E4016" s="2579"/>
      <c r="F4016" s="388" t="s">
        <v>125</v>
      </c>
      <c r="G4016" s="2579">
        <f>VLOOKUP(D4015,'Detail Balok'!$C$10:$AU$140,3,FALSE)</f>
        <v>400</v>
      </c>
      <c r="H4016" s="2580"/>
      <c r="I4016" s="388"/>
      <c r="J4016" s="396"/>
      <c r="K4016" s="396"/>
      <c r="L4016" s="396"/>
      <c r="M4016" s="396"/>
      <c r="N4016" s="396"/>
      <c r="O4016" s="396"/>
      <c r="P4016" s="396"/>
      <c r="Q4016" s="396"/>
      <c r="R4016" s="396"/>
      <c r="S4016" s="396"/>
      <c r="T4016" s="396"/>
      <c r="U4016" s="388"/>
      <c r="V4016" s="396"/>
      <c r="W4016" s="388"/>
      <c r="X4016" s="396"/>
      <c r="Y4016" s="389"/>
      <c r="Z4016" s="396"/>
      <c r="AA4016" s="388"/>
      <c r="AB4016" s="390"/>
    </row>
    <row r="4017" spans="1:28">
      <c r="A4017" s="391"/>
      <c r="B4017" s="392"/>
      <c r="C4017" s="393" t="s">
        <v>198</v>
      </c>
      <c r="D4017" s="2562">
        <f>VLOOKUP(C4015,'Data Panjang Balok'!$C$9:$N$254,4,FALSE)</f>
        <v>2125</v>
      </c>
      <c r="E4017" s="2563"/>
      <c r="F4017" s="2563"/>
      <c r="G4017" s="2563"/>
      <c r="H4017" s="2564"/>
      <c r="I4017" s="397"/>
      <c r="J4017" s="396"/>
      <c r="K4017" s="396"/>
      <c r="L4017" s="396"/>
      <c r="M4017" s="396"/>
      <c r="N4017" s="396"/>
      <c r="O4017" s="396"/>
      <c r="P4017" s="396"/>
      <c r="Q4017" s="396"/>
      <c r="R4017" s="396"/>
      <c r="S4017" s="396"/>
      <c r="T4017" s="396"/>
      <c r="U4017" s="388"/>
      <c r="V4017" s="396"/>
      <c r="W4017" s="388"/>
      <c r="X4017" s="396"/>
      <c r="Y4017" s="389"/>
      <c r="Z4017" s="396"/>
      <c r="AA4017" s="388"/>
      <c r="AB4017" s="390"/>
    </row>
    <row r="4018" spans="1:28">
      <c r="A4018" s="391"/>
      <c r="B4018" s="392"/>
      <c r="C4018" s="393" t="s">
        <v>199</v>
      </c>
      <c r="D4018" s="2562">
        <f>VLOOKUP(C4015,'Data Panjang Balok'!$C$9:$N$254,7,FALSE)</f>
        <v>2125</v>
      </c>
      <c r="E4018" s="2563"/>
      <c r="F4018" s="2563"/>
      <c r="G4018" s="2563"/>
      <c r="H4018" s="2564"/>
      <c r="I4018" s="397"/>
      <c r="J4018" s="396"/>
      <c r="K4018" s="396"/>
      <c r="L4018" s="396"/>
      <c r="M4018" s="396"/>
      <c r="N4018" s="396"/>
      <c r="O4018" s="396"/>
      <c r="P4018" s="396"/>
      <c r="Q4018" s="396"/>
      <c r="R4018" s="396"/>
      <c r="S4018" s="396"/>
      <c r="T4018" s="396"/>
      <c r="U4018" s="388"/>
      <c r="V4018" s="396"/>
      <c r="W4018" s="388"/>
      <c r="X4018" s="396"/>
      <c r="Y4018" s="389"/>
      <c r="Z4018" s="396"/>
      <c r="AA4018" s="388"/>
      <c r="AB4018" s="390"/>
    </row>
    <row r="4019" spans="1:28">
      <c r="A4019" s="391"/>
      <c r="B4019" s="392"/>
      <c r="C4019" s="393" t="s">
        <v>200</v>
      </c>
      <c r="D4019" s="2562">
        <f>VLOOKUP(C4015,'Data Panjang Balok'!$C$9:$N$254,9,FALSE)</f>
        <v>0</v>
      </c>
      <c r="E4019" s="2563"/>
      <c r="F4019" s="2563"/>
      <c r="G4019" s="2563"/>
      <c r="H4019" s="2564"/>
      <c r="I4019" s="397"/>
      <c r="J4019" s="396"/>
      <c r="K4019" s="396"/>
      <c r="L4019" s="396"/>
      <c r="M4019" s="396"/>
      <c r="N4019" s="396"/>
      <c r="O4019" s="396"/>
      <c r="P4019" s="396"/>
      <c r="Q4019" s="396"/>
      <c r="R4019" s="396"/>
      <c r="S4019" s="396"/>
      <c r="T4019" s="396"/>
      <c r="U4019" s="388"/>
      <c r="V4019" s="396"/>
      <c r="W4019" s="388"/>
      <c r="X4019" s="396"/>
      <c r="Y4019" s="389"/>
      <c r="Z4019" s="396"/>
      <c r="AA4019" s="388"/>
      <c r="AB4019" s="390"/>
    </row>
    <row r="4020" spans="1:28">
      <c r="A4020" s="391"/>
      <c r="B4020" s="392"/>
      <c r="C4020" s="393" t="s">
        <v>201</v>
      </c>
      <c r="D4020" s="2562">
        <f>VLOOKUP(C4015,'Data Panjang Balok'!$C$9:$N$254,10,FALSE)</f>
        <v>0</v>
      </c>
      <c r="E4020" s="2563"/>
      <c r="F4020" s="2563"/>
      <c r="G4020" s="2563"/>
      <c r="H4020" s="2564"/>
      <c r="I4020" s="397"/>
      <c r="J4020" s="396"/>
      <c r="K4020" s="396"/>
      <c r="L4020" s="396"/>
      <c r="M4020" s="396"/>
      <c r="N4020" s="396"/>
      <c r="O4020" s="396"/>
      <c r="P4020" s="396"/>
      <c r="Q4020" s="396"/>
      <c r="R4020" s="396"/>
      <c r="S4020" s="396"/>
      <c r="T4020" s="396"/>
      <c r="U4020" s="388"/>
      <c r="V4020" s="396"/>
      <c r="W4020" s="388"/>
      <c r="X4020" s="396"/>
      <c r="Y4020" s="389"/>
      <c r="Z4020" s="396"/>
      <c r="AA4020" s="388"/>
      <c r="AB4020" s="390"/>
    </row>
    <row r="4021" spans="1:28">
      <c r="A4021" s="391"/>
      <c r="B4021" s="392"/>
      <c r="C4021" s="393" t="s">
        <v>48</v>
      </c>
      <c r="D4021" s="2562">
        <f>VLOOKUP(C4015,'Data Panjang Balok'!$C$9:$N$254,3,FALSE)</f>
        <v>1</v>
      </c>
      <c r="E4021" s="2563"/>
      <c r="F4021" s="2563"/>
      <c r="G4021" s="2563"/>
      <c r="H4021" s="2564"/>
      <c r="I4021" s="397"/>
      <c r="J4021" s="396"/>
      <c r="K4021" s="396"/>
      <c r="L4021" s="396"/>
      <c r="M4021" s="396"/>
      <c r="N4021" s="396"/>
      <c r="O4021" s="396"/>
      <c r="P4021" s="396"/>
      <c r="Q4021" s="396"/>
      <c r="R4021" s="396"/>
      <c r="S4021" s="396"/>
      <c r="T4021" s="396"/>
      <c r="U4021" s="388"/>
      <c r="V4021" s="396"/>
      <c r="W4021" s="388"/>
      <c r="X4021" s="396"/>
      <c r="Y4021" s="389"/>
      <c r="Z4021" s="396"/>
      <c r="AA4021" s="388"/>
      <c r="AB4021" s="390"/>
    </row>
    <row r="4022" spans="1:28">
      <c r="A4022" s="384" t="str">
        <f t="shared" ref="A4022:B4022" si="12954">A4015</f>
        <v>Lantai 2</v>
      </c>
      <c r="B4022" s="385">
        <f t="shared" si="12954"/>
        <v>47</v>
      </c>
      <c r="C4022" s="393" t="s">
        <v>202</v>
      </c>
      <c r="D4022" s="398">
        <f>VLOOKUP(D4015,'Detail Balok'!$C$10:$AU$140,4,FALSE)</f>
        <v>3</v>
      </c>
      <c r="E4022" s="388" t="s">
        <v>16</v>
      </c>
      <c r="F4022" s="388">
        <f>VLOOKUP(D4015,'Detail Balok'!$C$10:$AU$140,6,FALSE)</f>
        <v>13</v>
      </c>
      <c r="G4022" s="388"/>
      <c r="H4022" s="395"/>
      <c r="I4022" s="388" t="s">
        <v>203</v>
      </c>
      <c r="J4022" s="399">
        <f t="shared" ref="J4022" si="12955">+D4017/4/1000</f>
        <v>0.53125</v>
      </c>
      <c r="K4022" s="400" t="s">
        <v>204</v>
      </c>
      <c r="L4022" s="399">
        <f t="shared" ref="L4022" si="12956">MAX(VLOOKUP(F4022,N$6:P$15,3,FALSE)/1000,2/3*D4019/1000)+F$16*F4022/1000</f>
        <v>0.156</v>
      </c>
      <c r="M4022" s="399" t="s">
        <v>176</v>
      </c>
      <c r="N4022" s="399">
        <f t="shared" ref="N4022:N4024" si="12957">J4022+L4022</f>
        <v>0.68725000000000003</v>
      </c>
      <c r="O4022" s="399" t="s">
        <v>204</v>
      </c>
      <c r="P4022" s="389">
        <f t="shared" ref="P4022" si="12958">D4022-D4023</f>
        <v>0</v>
      </c>
      <c r="Q4022" s="399" t="s">
        <v>125</v>
      </c>
      <c r="R4022" s="399">
        <f t="shared" ref="R4022" si="12959">IF(P4022&gt;0,$F$18*F4022/1000,0)</f>
        <v>0</v>
      </c>
      <c r="S4022" s="399" t="s">
        <v>205</v>
      </c>
      <c r="T4022" s="399" t="s">
        <v>125</v>
      </c>
      <c r="U4022" s="401">
        <f t="shared" ref="U4022:U4024" si="12960">0.006165*F4022^2</f>
        <v>1.041885</v>
      </c>
      <c r="V4022" s="399"/>
      <c r="W4022" s="399"/>
      <c r="X4022" s="399" t="s">
        <v>125</v>
      </c>
      <c r="Y4022" s="389">
        <f t="shared" ref="Y4022" si="12961">D4021</f>
        <v>1</v>
      </c>
      <c r="Z4022" s="400" t="s">
        <v>176</v>
      </c>
      <c r="AA4022" s="402">
        <f t="shared" ref="AA4022" si="12962">IF(AA4025=0,(D4022*N4022+P4022*R4022)*U4022*Y4022,0)</f>
        <v>0</v>
      </c>
      <c r="AB4022" s="403"/>
    </row>
    <row r="4023" spans="1:28">
      <c r="A4023" s="384" t="str">
        <f t="shared" ref="A4023:B4023" si="12963">A4015</f>
        <v>Lantai 2</v>
      </c>
      <c r="B4023" s="385">
        <f t="shared" si="12963"/>
        <v>47</v>
      </c>
      <c r="C4023" s="393" t="s">
        <v>206</v>
      </c>
      <c r="D4023" s="398">
        <f>VLOOKUP(D4015,'Detail Balok'!$C$10:$AU$140,7,FALSE)</f>
        <v>3</v>
      </c>
      <c r="E4023" s="388" t="s">
        <v>16</v>
      </c>
      <c r="F4023" s="388">
        <f>VLOOKUP(D4015,'Detail Balok'!$C$10:$AU$140,9,FALSE)</f>
        <v>13</v>
      </c>
      <c r="G4023" s="388"/>
      <c r="H4023" s="395"/>
      <c r="I4023" s="388" t="s">
        <v>203</v>
      </c>
      <c r="J4023" s="399">
        <f t="shared" ref="J4023" si="12964">+D4017/2/1000</f>
        <v>1.0625</v>
      </c>
      <c r="K4023" s="400" t="s">
        <v>204</v>
      </c>
      <c r="L4023" s="399"/>
      <c r="M4023" s="399" t="s">
        <v>176</v>
      </c>
      <c r="N4023" s="399">
        <f t="shared" si="12957"/>
        <v>1.0625</v>
      </c>
      <c r="O4023" s="399" t="s">
        <v>204</v>
      </c>
      <c r="P4023" s="389">
        <f t="shared" ref="P4023" si="12965">MAX(D4023-D4022,D4023-D4024)</f>
        <v>0</v>
      </c>
      <c r="Q4023" s="399" t="s">
        <v>125</v>
      </c>
      <c r="R4023" s="399">
        <f t="shared" ref="R4023" si="12966">IF(P4023&gt;0,2*(1-2*$F$19-1/2)*D4018/1000,0)</f>
        <v>0</v>
      </c>
      <c r="S4023" s="399" t="s">
        <v>205</v>
      </c>
      <c r="T4023" s="399" t="s">
        <v>125</v>
      </c>
      <c r="U4023" s="401">
        <f t="shared" si="12960"/>
        <v>1.041885</v>
      </c>
      <c r="V4023" s="399"/>
      <c r="W4023" s="399"/>
      <c r="X4023" s="399" t="s">
        <v>125</v>
      </c>
      <c r="Y4023" s="389">
        <f t="shared" ref="Y4023" si="12967">D4021</f>
        <v>1</v>
      </c>
      <c r="Z4023" s="400" t="s">
        <v>176</v>
      </c>
      <c r="AA4023" s="402">
        <f t="shared" ref="AA4023" si="12968">IF(AA4025=0,(D4023*N4023+P4023*R4023)*U4023*Y4023,0)</f>
        <v>0</v>
      </c>
      <c r="AB4023" s="403"/>
    </row>
    <row r="4024" spans="1:28">
      <c r="A4024" s="384" t="str">
        <f t="shared" ref="A4024:B4024" si="12969">A4015</f>
        <v>Lantai 2</v>
      </c>
      <c r="B4024" s="385">
        <f t="shared" si="12969"/>
        <v>47</v>
      </c>
      <c r="C4024" s="393" t="s">
        <v>202</v>
      </c>
      <c r="D4024" s="398">
        <f>VLOOKUP(D4015,'Detail Balok'!$C$10:$AU$140,10,FALSE)</f>
        <v>3</v>
      </c>
      <c r="E4024" s="388" t="s">
        <v>16</v>
      </c>
      <c r="F4024" s="388">
        <f>VLOOKUP(D4015,'Detail Balok'!$C$10:$AU$140,12,FALSE)</f>
        <v>13</v>
      </c>
      <c r="G4024" s="388"/>
      <c r="H4024" s="395"/>
      <c r="I4024" s="388" t="s">
        <v>203</v>
      </c>
      <c r="J4024" s="399">
        <f t="shared" ref="J4024" si="12970">+D4017/4/1000</f>
        <v>0.53125</v>
      </c>
      <c r="K4024" s="400" t="s">
        <v>204</v>
      </c>
      <c r="L4024" s="399">
        <f t="shared" ref="L4024" si="12971">MAX(VLOOKUP(F4024,N$6:P$15,3,FALSE)/1000,2/3*D4019/1000)+F$16*F4024/1000</f>
        <v>0.156</v>
      </c>
      <c r="M4024" s="399" t="s">
        <v>176</v>
      </c>
      <c r="N4024" s="399">
        <f t="shared" si="12957"/>
        <v>0.68725000000000003</v>
      </c>
      <c r="O4024" s="399" t="s">
        <v>204</v>
      </c>
      <c r="P4024" s="389">
        <f t="shared" ref="P4024" si="12972">D4024-D4023</f>
        <v>0</v>
      </c>
      <c r="Q4024" s="399" t="s">
        <v>125</v>
      </c>
      <c r="R4024" s="399">
        <f t="shared" ref="R4024" si="12973">IF(P4024&gt;0,$F$18*F4024/1000,0)</f>
        <v>0</v>
      </c>
      <c r="S4024" s="399" t="s">
        <v>205</v>
      </c>
      <c r="T4024" s="399" t="s">
        <v>125</v>
      </c>
      <c r="U4024" s="401">
        <f t="shared" si="12960"/>
        <v>1.041885</v>
      </c>
      <c r="V4024" s="399"/>
      <c r="W4024" s="399"/>
      <c r="X4024" s="399" t="s">
        <v>125</v>
      </c>
      <c r="Y4024" s="389">
        <f t="shared" ref="Y4024" si="12974">D4021</f>
        <v>1</v>
      </c>
      <c r="Z4024" s="400" t="s">
        <v>176</v>
      </c>
      <c r="AA4024" s="402">
        <f t="shared" ref="AA4024" si="12975">IF(AA4025=0,(D4024*N4024+P4024*R4024)*U4024*Y4024,0)</f>
        <v>0</v>
      </c>
      <c r="AB4024" s="403"/>
    </row>
    <row r="4025" spans="1:28">
      <c r="A4025" s="384" t="str">
        <f t="shared" ref="A4025:B4025" si="12976">A4015</f>
        <v>Lantai 2</v>
      </c>
      <c r="B4025" s="385">
        <f t="shared" si="12976"/>
        <v>47</v>
      </c>
      <c r="C4025" s="393"/>
      <c r="D4025" s="398">
        <f t="shared" si="12872"/>
        <v>3</v>
      </c>
      <c r="E4025" s="388" t="s">
        <v>16</v>
      </c>
      <c r="F4025" s="388">
        <f t="shared" si="12873"/>
        <v>13</v>
      </c>
      <c r="G4025" s="388"/>
      <c r="H4025" s="395"/>
      <c r="I4025" s="388"/>
      <c r="J4025" s="396"/>
      <c r="K4025" s="396"/>
      <c r="L4025" s="404" t="s">
        <v>207</v>
      </c>
      <c r="M4025" s="399" t="s">
        <v>176</v>
      </c>
      <c r="N4025" s="399">
        <f t="shared" ref="N4025" si="12977">IF(AND(D4022=D4023,D4022=D4024,D4023=D4024,F4022=F4023,F4022=F4024,F4023=F4024),SUM(N4022:N4024),0)</f>
        <v>2.4370000000000003</v>
      </c>
      <c r="O4025" s="399" t="s">
        <v>204</v>
      </c>
      <c r="P4025" s="389">
        <f t="shared" ref="P4025" si="12978">IF(N4025&gt;12,ROUNDDOWN(N4025/12,0),0)</f>
        <v>0</v>
      </c>
      <c r="Q4025" s="399" t="s">
        <v>125</v>
      </c>
      <c r="R4025" s="399">
        <f t="shared" ref="R4025" si="12979">IF(P4025&gt;0,MAX(VLOOKUP(F4025,$D$6:$G$15,3,FALSE),600),0)/1000</f>
        <v>0</v>
      </c>
      <c r="S4025" s="396"/>
      <c r="T4025" s="396" t="s">
        <v>125</v>
      </c>
      <c r="U4025" s="401">
        <f t="shared" si="12877"/>
        <v>1.041885</v>
      </c>
      <c r="V4025" s="396" t="s">
        <v>125</v>
      </c>
      <c r="W4025" s="399">
        <f t="shared" ref="W4025" si="12980">D4025</f>
        <v>3</v>
      </c>
      <c r="X4025" s="399" t="s">
        <v>125</v>
      </c>
      <c r="Y4025" s="389">
        <f t="shared" si="12879"/>
        <v>1</v>
      </c>
      <c r="Z4025" s="400" t="s">
        <v>176</v>
      </c>
      <c r="AA4025" s="402">
        <f t="shared" ref="AA4025" si="12981">(N4025+P4025*R4025/1000)*U4025*W4025*Y4025</f>
        <v>7.6172212350000006</v>
      </c>
      <c r="AB4025" s="390"/>
    </row>
    <row r="4026" spans="1:28">
      <c r="A4026" s="384"/>
      <c r="B4026" s="385"/>
      <c r="C4026" s="393"/>
      <c r="D4026" s="398"/>
      <c r="E4026" s="388"/>
      <c r="F4026" s="388"/>
      <c r="G4026" s="388"/>
      <c r="H4026" s="395"/>
      <c r="I4026" s="388"/>
      <c r="J4026" s="396"/>
      <c r="K4026" s="396"/>
      <c r="L4026" s="404"/>
      <c r="M4026" s="399"/>
      <c r="N4026" s="399"/>
      <c r="O4026" s="396"/>
      <c r="P4026" s="389"/>
      <c r="Q4026" s="396"/>
      <c r="R4026" s="396"/>
      <c r="S4026" s="396"/>
      <c r="T4026" s="396"/>
      <c r="U4026" s="401"/>
      <c r="V4026" s="396"/>
      <c r="W4026" s="399"/>
      <c r="X4026" s="396"/>
      <c r="Y4026" s="389"/>
      <c r="Z4026" s="396"/>
      <c r="AA4026" s="388"/>
      <c r="AB4026" s="390"/>
    </row>
    <row r="4027" spans="1:28">
      <c r="A4027" s="384" t="str">
        <f t="shared" ref="A4027:B4027" si="12982">A4015</f>
        <v>Lantai 2</v>
      </c>
      <c r="B4027" s="385">
        <f t="shared" si="12982"/>
        <v>47</v>
      </c>
      <c r="C4027" s="393" t="s">
        <v>208</v>
      </c>
      <c r="D4027" s="398">
        <f>VLOOKUP(D4015,'Detail Balok'!$C$10:$AU$140,13,FALSE)</f>
        <v>0</v>
      </c>
      <c r="E4027" s="388" t="s">
        <v>16</v>
      </c>
      <c r="F4027" s="388">
        <f>VLOOKUP(D4015,'Detail Balok'!$C$10:$AU$140,15,FALSE)</f>
        <v>8</v>
      </c>
      <c r="G4027" s="388"/>
      <c r="H4027" s="395"/>
      <c r="I4027" s="388"/>
      <c r="J4027" s="399">
        <f t="shared" ref="J4027" si="12983">+D4017/1000</f>
        <v>2.125</v>
      </c>
      <c r="K4027" s="400" t="s">
        <v>204</v>
      </c>
      <c r="L4027" s="399">
        <f t="shared" ref="L4027" si="12984">2*$F$16*F4027/1000</f>
        <v>0.192</v>
      </c>
      <c r="M4027" s="399" t="s">
        <v>176</v>
      </c>
      <c r="N4027" s="399">
        <f t="shared" ref="N4027" si="12985">J4027+L4027</f>
        <v>2.3170000000000002</v>
      </c>
      <c r="O4027" s="399" t="s">
        <v>204</v>
      </c>
      <c r="P4027" s="389">
        <f t="shared" ref="P4027" si="12986">IF(N4027&gt;12,ROUNDDOWN(N4027/12,0),0)</f>
        <v>0</v>
      </c>
      <c r="Q4027" s="399" t="s">
        <v>125</v>
      </c>
      <c r="R4027" s="399">
        <f t="shared" ref="R4027" si="12987">IF(P4027&gt;0,MAX(VLOOKUP(F4027,$D$6:$G$15,3,FALSE),600),0)/1000</f>
        <v>0</v>
      </c>
      <c r="S4027" s="399"/>
      <c r="T4027" s="399" t="s">
        <v>125</v>
      </c>
      <c r="U4027" s="401">
        <f t="shared" ref="U4027" si="12988">0.006165*F4027^2</f>
        <v>0.39456000000000002</v>
      </c>
      <c r="V4027" s="399" t="s">
        <v>125</v>
      </c>
      <c r="W4027" s="399">
        <f t="shared" ref="W4027" si="12989">+D4027</f>
        <v>0</v>
      </c>
      <c r="X4027" s="399" t="s">
        <v>125</v>
      </c>
      <c r="Y4027" s="389">
        <f t="shared" ref="Y4027" si="12990">D4021</f>
        <v>1</v>
      </c>
      <c r="Z4027" s="400" t="s">
        <v>176</v>
      </c>
      <c r="AA4027" s="402">
        <f t="shared" ref="AA4027" si="12991">(N4027+P4027*R4027/1000)*U4027*W4027*Y4027</f>
        <v>0</v>
      </c>
      <c r="AB4027" s="403"/>
    </row>
    <row r="4028" spans="1:28">
      <c r="A4028" s="384"/>
      <c r="B4028" s="385"/>
      <c r="C4028" s="393"/>
      <c r="D4028" s="398"/>
      <c r="E4028" s="388"/>
      <c r="F4028" s="388"/>
      <c r="G4028" s="388"/>
      <c r="H4028" s="395"/>
      <c r="I4028" s="388"/>
      <c r="J4028" s="399"/>
      <c r="K4028" s="400"/>
      <c r="L4028" s="399"/>
      <c r="M4028" s="399"/>
      <c r="N4028" s="399"/>
      <c r="O4028" s="399"/>
      <c r="P4028" s="389"/>
      <c r="Q4028" s="399"/>
      <c r="R4028" s="399"/>
      <c r="S4028" s="399"/>
      <c r="T4028" s="399"/>
      <c r="U4028" s="401"/>
      <c r="V4028" s="399"/>
      <c r="W4028" s="399"/>
      <c r="X4028" s="399"/>
      <c r="Y4028" s="389"/>
      <c r="Z4028" s="400"/>
      <c r="AA4028" s="402"/>
      <c r="AB4028" s="403"/>
    </row>
    <row r="4029" spans="1:28">
      <c r="A4029" s="384"/>
      <c r="B4029" s="385"/>
      <c r="C4029" s="393"/>
      <c r="D4029" s="398"/>
      <c r="E4029" s="388"/>
      <c r="F4029" s="388"/>
      <c r="G4029" s="388"/>
      <c r="H4029" s="395"/>
      <c r="I4029" s="388"/>
      <c r="J4029" s="396"/>
      <c r="K4029" s="396"/>
      <c r="L4029" s="396"/>
      <c r="M4029" s="396"/>
      <c r="N4029" s="396"/>
      <c r="O4029" s="396"/>
      <c r="P4029" s="389"/>
      <c r="Q4029" s="396"/>
      <c r="R4029" s="396"/>
      <c r="S4029" s="396"/>
      <c r="T4029" s="396"/>
      <c r="U4029" s="401"/>
      <c r="V4029" s="396"/>
      <c r="W4029" s="399"/>
      <c r="X4029" s="396"/>
      <c r="Y4029" s="389"/>
      <c r="Z4029" s="396"/>
      <c r="AA4029" s="388"/>
      <c r="AB4029" s="390"/>
    </row>
    <row r="4030" spans="1:28">
      <c r="A4030" s="384" t="str">
        <f t="shared" ref="A4030:B4030" si="12992">A4015</f>
        <v>Lantai 2</v>
      </c>
      <c r="B4030" s="385">
        <f t="shared" si="12992"/>
        <v>47</v>
      </c>
      <c r="C4030" s="393" t="s">
        <v>209</v>
      </c>
      <c r="D4030" s="398">
        <f>VLOOKUP(D4015,'Detail Balok'!$C$10:$AU$140,22,FALSE)</f>
        <v>3</v>
      </c>
      <c r="E4030" s="388" t="s">
        <v>16</v>
      </c>
      <c r="F4030" s="388">
        <f>VLOOKUP(D4015,'Detail Balok'!$C$10:$AU$140,24,FALSE)</f>
        <v>13</v>
      </c>
      <c r="G4030" s="388"/>
      <c r="H4030" s="395"/>
      <c r="I4030" s="388" t="s">
        <v>203</v>
      </c>
      <c r="J4030" s="399">
        <f t="shared" si="12892"/>
        <v>0.53125</v>
      </c>
      <c r="K4030" s="400" t="s">
        <v>204</v>
      </c>
      <c r="L4030" s="399">
        <f t="shared" ref="L4030" si="12993">MAX(VLOOKUP(F4030,N$6:P$15,3,FALSE)/1000,2/3*D4020/1000)+F$16*F4030/1000</f>
        <v>0.156</v>
      </c>
      <c r="M4030" s="399" t="s">
        <v>176</v>
      </c>
      <c r="N4030" s="399">
        <f t="shared" ref="N4030:N4032" si="12994">J4030+L4030</f>
        <v>0.68725000000000003</v>
      </c>
      <c r="O4030" s="399" t="s">
        <v>204</v>
      </c>
      <c r="P4030" s="389">
        <f t="shared" ref="P4030" si="12995">D4030-D4031</f>
        <v>0</v>
      </c>
      <c r="Q4030" s="399" t="s">
        <v>125</v>
      </c>
      <c r="R4030" s="399">
        <f t="shared" ref="R4030" si="12996">IF(P4030&gt;0,$F$18*F4030/1000,0)</f>
        <v>0</v>
      </c>
      <c r="S4030" s="399" t="s">
        <v>205</v>
      </c>
      <c r="T4030" s="399" t="s">
        <v>125</v>
      </c>
      <c r="U4030" s="401">
        <f t="shared" ref="U4030:U4032" si="12997">0.006165*F4030^2</f>
        <v>1.041885</v>
      </c>
      <c r="V4030" s="399"/>
      <c r="W4030" s="399"/>
      <c r="X4030" s="399" t="s">
        <v>125</v>
      </c>
      <c r="Y4030" s="389">
        <f t="shared" ref="Y4030" si="12998">D4021</f>
        <v>1</v>
      </c>
      <c r="Z4030" s="400" t="s">
        <v>176</v>
      </c>
      <c r="AA4030" s="402">
        <f t="shared" ref="AA4030" si="12999">IF(AA4033=0,(D4030*N4030+P4030*R4030)*U4030*Y4030,0)</f>
        <v>0</v>
      </c>
      <c r="AB4030" s="403"/>
    </row>
    <row r="4031" spans="1:28">
      <c r="A4031" s="384" t="str">
        <f t="shared" ref="A4031:B4031" si="13000">A4015</f>
        <v>Lantai 2</v>
      </c>
      <c r="B4031" s="385">
        <f t="shared" si="13000"/>
        <v>47</v>
      </c>
      <c r="C4031" s="393" t="s">
        <v>210</v>
      </c>
      <c r="D4031" s="398">
        <f>VLOOKUP(D4015,'Detail Balok'!$C$10:$AU$140,25,FALSE)</f>
        <v>3</v>
      </c>
      <c r="E4031" s="388" t="s">
        <v>16</v>
      </c>
      <c r="F4031" s="388">
        <f>VLOOKUP(D4015,'Detail Balok'!$C$10:$AU$140,27,FALSE)</f>
        <v>13</v>
      </c>
      <c r="G4031" s="388"/>
      <c r="H4031" s="395"/>
      <c r="I4031" s="388" t="s">
        <v>203</v>
      </c>
      <c r="J4031" s="399">
        <f t="shared" si="12892"/>
        <v>1.0625</v>
      </c>
      <c r="K4031" s="400" t="s">
        <v>204</v>
      </c>
      <c r="L4031" s="399"/>
      <c r="M4031" s="399" t="s">
        <v>176</v>
      </c>
      <c r="N4031" s="399">
        <f t="shared" si="12994"/>
        <v>1.0625</v>
      </c>
      <c r="O4031" s="399" t="s">
        <v>204</v>
      </c>
      <c r="P4031" s="389">
        <f t="shared" ref="P4031" si="13001">MAX(D4031-D4030,D4031-D4032)</f>
        <v>0</v>
      </c>
      <c r="Q4031" s="399" t="s">
        <v>125</v>
      </c>
      <c r="R4031" s="399">
        <f t="shared" ref="R4031" si="13002">IF(P4031&gt;0,2*(1-2*$F$19-1/2)*D4018/1000,0)</f>
        <v>0</v>
      </c>
      <c r="S4031" s="399" t="s">
        <v>205</v>
      </c>
      <c r="T4031" s="399" t="s">
        <v>125</v>
      </c>
      <c r="U4031" s="401">
        <f t="shared" si="12997"/>
        <v>1.041885</v>
      </c>
      <c r="V4031" s="399"/>
      <c r="W4031" s="399"/>
      <c r="X4031" s="399" t="s">
        <v>125</v>
      </c>
      <c r="Y4031" s="389">
        <f t="shared" ref="Y4031" si="13003">D4021</f>
        <v>1</v>
      </c>
      <c r="Z4031" s="400" t="s">
        <v>176</v>
      </c>
      <c r="AA4031" s="402">
        <f t="shared" ref="AA4031" si="13004">IF(AA4033=0,(D4031*N4031+P4031*R4031)*U4031*Y4031,0)</f>
        <v>0</v>
      </c>
      <c r="AB4031" s="403"/>
    </row>
    <row r="4032" spans="1:28">
      <c r="A4032" s="384" t="str">
        <f t="shared" ref="A4032:B4032" si="13005">A4015</f>
        <v>Lantai 2</v>
      </c>
      <c r="B4032" s="385">
        <f t="shared" si="13005"/>
        <v>47</v>
      </c>
      <c r="C4032" s="393" t="s">
        <v>209</v>
      </c>
      <c r="D4032" s="398">
        <f>VLOOKUP(D4015,'Detail Balok'!$C$10:$AU$140,28,FALSE)</f>
        <v>3</v>
      </c>
      <c r="E4032" s="388" t="s">
        <v>16</v>
      </c>
      <c r="F4032" s="388">
        <f>VLOOKUP(D4015,'Detail Balok'!$C$10:$AU$140,30,FALSE)</f>
        <v>13</v>
      </c>
      <c r="G4032" s="388"/>
      <c r="H4032" s="395"/>
      <c r="I4032" s="388" t="s">
        <v>203</v>
      </c>
      <c r="J4032" s="399">
        <f t="shared" si="12892"/>
        <v>0.53125</v>
      </c>
      <c r="K4032" s="400" t="s">
        <v>204</v>
      </c>
      <c r="L4032" s="399">
        <f t="shared" ref="L4032" si="13006">MAX(VLOOKUP(F4032,N$6:P$15,3,FALSE)/1000,2/3*D4020/1000)+F$16*F4032/1000</f>
        <v>0.156</v>
      </c>
      <c r="M4032" s="399" t="s">
        <v>176</v>
      </c>
      <c r="N4032" s="399">
        <f t="shared" si="12994"/>
        <v>0.68725000000000003</v>
      </c>
      <c r="O4032" s="399" t="s">
        <v>204</v>
      </c>
      <c r="P4032" s="389">
        <f t="shared" ref="P4032" si="13007">D4032-D4031</f>
        <v>0</v>
      </c>
      <c r="Q4032" s="399" t="s">
        <v>125</v>
      </c>
      <c r="R4032" s="399">
        <f t="shared" ref="R4032" si="13008">IF(P4032&gt;0,$F$18*F4032/1000,0)</f>
        <v>0</v>
      </c>
      <c r="S4032" s="399" t="s">
        <v>205</v>
      </c>
      <c r="T4032" s="399" t="s">
        <v>125</v>
      </c>
      <c r="U4032" s="401">
        <f t="shared" si="12997"/>
        <v>1.041885</v>
      </c>
      <c r="V4032" s="399"/>
      <c r="W4032" s="399"/>
      <c r="X4032" s="399" t="s">
        <v>125</v>
      </c>
      <c r="Y4032" s="389">
        <f t="shared" ref="Y4032" si="13009">D4021</f>
        <v>1</v>
      </c>
      <c r="Z4032" s="400" t="s">
        <v>176</v>
      </c>
      <c r="AA4032" s="402">
        <f t="shared" ref="AA4032" si="13010">IF(AA4033=0,(D4032*N4032+P4032*R4032)*U4032*Y4032,0)</f>
        <v>0</v>
      </c>
      <c r="AB4032" s="403"/>
    </row>
    <row r="4033" spans="1:28">
      <c r="A4033" s="384" t="str">
        <f t="shared" ref="A4033:B4033" si="13011">A4015</f>
        <v>Lantai 2</v>
      </c>
      <c r="B4033" s="385">
        <f t="shared" si="13011"/>
        <v>47</v>
      </c>
      <c r="C4033" s="393"/>
      <c r="D4033" s="398">
        <f t="shared" si="12912"/>
        <v>3</v>
      </c>
      <c r="E4033" s="388" t="s">
        <v>16</v>
      </c>
      <c r="F4033" s="388">
        <f t="shared" si="12913"/>
        <v>13</v>
      </c>
      <c r="G4033" s="388"/>
      <c r="H4033" s="395"/>
      <c r="I4033" s="388"/>
      <c r="J4033" s="396"/>
      <c r="K4033" s="396"/>
      <c r="L4033" s="404" t="s">
        <v>207</v>
      </c>
      <c r="M4033" s="399" t="s">
        <v>176</v>
      </c>
      <c r="N4033" s="399">
        <f t="shared" ref="N4033" si="13012">IF(AND(D4030=D4031,D4030=D4032,D4031=D4032,F4030=F4031,F4030=F4032,F4031=F4032),SUM(N4030:N4032),0)</f>
        <v>2.4370000000000003</v>
      </c>
      <c r="O4033" s="399" t="s">
        <v>204</v>
      </c>
      <c r="P4033" s="389">
        <f t="shared" ref="P4033" si="13013">IF(N4033&gt;12,ROUNDDOWN(N4033/12,0),0)</f>
        <v>0</v>
      </c>
      <c r="Q4033" s="399" t="s">
        <v>125</v>
      </c>
      <c r="R4033" s="399">
        <f t="shared" ref="R4033" si="13014">IF(P4033&gt;0,MAX(VLOOKUP(F4033,$D$6:$G$15,3,FALSE),600),0)/1000</f>
        <v>0</v>
      </c>
      <c r="S4033" s="396"/>
      <c r="T4033" s="396" t="s">
        <v>125</v>
      </c>
      <c r="U4033" s="401">
        <f t="shared" si="12917"/>
        <v>1.041885</v>
      </c>
      <c r="V4033" s="396" t="s">
        <v>125</v>
      </c>
      <c r="W4033" s="399">
        <f t="shared" ref="W4033" si="13015">D4033</f>
        <v>3</v>
      </c>
      <c r="X4033" s="399" t="s">
        <v>125</v>
      </c>
      <c r="Y4033" s="389">
        <f t="shared" si="12919"/>
        <v>1</v>
      </c>
      <c r="Z4033" s="400" t="s">
        <v>176</v>
      </c>
      <c r="AA4033" s="402">
        <f t="shared" ref="AA4033" si="13016">(N4033+P4033*R4033/1000)*U4033*W4033*Y4033</f>
        <v>7.6172212350000006</v>
      </c>
      <c r="AB4033" s="403"/>
    </row>
    <row r="4034" spans="1:28">
      <c r="A4034" s="384"/>
      <c r="B4034" s="385"/>
      <c r="C4034" s="393"/>
      <c r="D4034" s="394"/>
      <c r="E4034" s="388"/>
      <c r="F4034" s="388"/>
      <c r="G4034" s="388"/>
      <c r="H4034" s="395"/>
      <c r="I4034" s="388"/>
      <c r="J4034" s="399"/>
      <c r="K4034" s="396"/>
      <c r="L4034" s="396"/>
      <c r="M4034" s="396"/>
      <c r="N4034" s="396"/>
      <c r="O4034" s="396"/>
      <c r="P4034" s="389"/>
      <c r="Q4034" s="396"/>
      <c r="R4034" s="396"/>
      <c r="S4034" s="396"/>
      <c r="T4034" s="396"/>
      <c r="U4034" s="401"/>
      <c r="V4034" s="396"/>
      <c r="W4034" s="388"/>
      <c r="X4034" s="396"/>
      <c r="Y4034" s="389"/>
      <c r="Z4034" s="396"/>
      <c r="AA4034" s="388"/>
      <c r="AB4034" s="390"/>
    </row>
    <row r="4035" spans="1:28">
      <c r="A4035" s="384" t="str">
        <f t="shared" ref="A4035:B4035" si="13017">A4015</f>
        <v>Lantai 2</v>
      </c>
      <c r="B4035" s="385">
        <f t="shared" si="13017"/>
        <v>47</v>
      </c>
      <c r="C4035" s="393" t="s">
        <v>211</v>
      </c>
      <c r="D4035" s="398">
        <f>VLOOKUP(D4015,'Detail Balok'!$C$10:$AU$140,31,FALSE)</f>
        <v>0</v>
      </c>
      <c r="E4035" s="388" t="s">
        <v>16</v>
      </c>
      <c r="F4035" s="388">
        <f>VLOOKUP(D4015,'Detail Balok'!$C$10:$AU$140,33,FALSE)</f>
        <v>10</v>
      </c>
      <c r="G4035" s="405" t="s">
        <v>157</v>
      </c>
      <c r="H4035" s="395">
        <f>VLOOKUP(D4015,'Detail Balok'!$C$10:$AU$140,35,FALSE)</f>
        <v>100</v>
      </c>
      <c r="I4035" s="388"/>
      <c r="J4035" s="400">
        <f t="shared" ref="J4035" si="13018">(IF(D4035=0,(2*(D4016+G4016))-(F$5*8),IF(D4035=3,(2*(D4016+G4016))-(F$5*8)+(G4016-2*F$5),IF(D4035=4,(2*(D4016+G4016))-(F$5*8)+2*(G4016-2*F$5)))))/1000</f>
        <v>0.88</v>
      </c>
      <c r="K4035" s="400" t="s">
        <v>204</v>
      </c>
      <c r="L4035" s="399">
        <f t="shared" ref="L4035:L4037" si="13019">IF(D4035=0,2*MAX(6*F4035,75),(D4035-1)*2*MAX(6*F4035,75))/1000</f>
        <v>0.15</v>
      </c>
      <c r="M4035" s="399" t="s">
        <v>176</v>
      </c>
      <c r="N4035" s="399">
        <f t="shared" ref="N4035:N4037" si="13020">J4035+L4035</f>
        <v>1.03</v>
      </c>
      <c r="O4035" s="399"/>
      <c r="P4035" s="389"/>
      <c r="Q4035" s="399"/>
      <c r="R4035" s="399"/>
      <c r="S4035" s="399"/>
      <c r="T4035" s="399" t="s">
        <v>125</v>
      </c>
      <c r="U4035" s="401">
        <f t="shared" ref="U4035:U4037" si="13021">0.006165*F4035^2</f>
        <v>0.61650000000000005</v>
      </c>
      <c r="V4035" s="399" t="s">
        <v>125</v>
      </c>
      <c r="W4035" s="399">
        <f t="shared" ref="W4035" si="13022">IF(D4018&gt;4*G4016,ROUND(MAX(D4018/4,2*G4016)/H4035,0)+1,ROUND(D4018/H4035,0)+1)</f>
        <v>9</v>
      </c>
      <c r="X4035" s="399" t="s">
        <v>125</v>
      </c>
      <c r="Y4035" s="389">
        <f t="shared" ref="Y4035" si="13023">D4021</f>
        <v>1</v>
      </c>
      <c r="Z4035" s="400" t="s">
        <v>176</v>
      </c>
      <c r="AA4035" s="402">
        <f t="shared" ref="AA4035:AA4037" si="13024">N4035*U4035*W4035*Y4035</f>
        <v>5.7149550000000007</v>
      </c>
      <c r="AB4035" s="403"/>
    </row>
    <row r="4036" spans="1:28">
      <c r="A4036" s="384" t="str">
        <f t="shared" ref="A4036:B4036" si="13025">A4015</f>
        <v>Lantai 2</v>
      </c>
      <c r="B4036" s="385">
        <f t="shared" si="13025"/>
        <v>47</v>
      </c>
      <c r="C4036" s="393" t="s">
        <v>212</v>
      </c>
      <c r="D4036" s="398">
        <f>VLOOKUP(D4015,'Detail Balok'!$C$10:$AU$140,36,FALSE)</f>
        <v>0</v>
      </c>
      <c r="E4036" s="388" t="s">
        <v>16</v>
      </c>
      <c r="F4036" s="388">
        <f>VLOOKUP(D4015,'Detail Balok'!$C$10:$AU$140,38,FALSE)</f>
        <v>10</v>
      </c>
      <c r="G4036" s="405" t="s">
        <v>157</v>
      </c>
      <c r="H4036" s="395">
        <f>VLOOKUP(D4015,'Detail Balok'!$C$10:$AU$140,40,FALSE)</f>
        <v>200</v>
      </c>
      <c r="I4036" s="388"/>
      <c r="J4036" s="400">
        <f t="shared" ref="J4036" si="13026">(IF(D4036=0,(2*(D4016+G4016))-(F$5*8),IF(D4036=3,(2*(D4016+G4016))-(F$5*8)+(G4016-2*F$5),IF(D4036=4,(2*(D4016+G4016))-(F$5*8)+2*(G4016-2*F$5)))))/1000</f>
        <v>0.88</v>
      </c>
      <c r="K4036" s="400" t="s">
        <v>204</v>
      </c>
      <c r="L4036" s="399">
        <f t="shared" si="13019"/>
        <v>0.15</v>
      </c>
      <c r="M4036" s="399" t="s">
        <v>176</v>
      </c>
      <c r="N4036" s="399">
        <f t="shared" si="13020"/>
        <v>1.03</v>
      </c>
      <c r="O4036" s="399"/>
      <c r="P4036" s="389"/>
      <c r="Q4036" s="399"/>
      <c r="R4036" s="399"/>
      <c r="S4036" s="399"/>
      <c r="T4036" s="399" t="s">
        <v>125</v>
      </c>
      <c r="U4036" s="401">
        <f t="shared" si="13021"/>
        <v>0.61650000000000005</v>
      </c>
      <c r="V4036" s="399" t="s">
        <v>125</v>
      </c>
      <c r="W4036" s="399">
        <f t="shared" ref="W4036" si="13027">IF(D4018-MAX(D4018/4,2*G4016)*2&gt;0,ROUND((D4018-MAX(D4018/4,2*G4016)*2)/H4036,0),0)</f>
        <v>3</v>
      </c>
      <c r="X4036" s="399" t="s">
        <v>125</v>
      </c>
      <c r="Y4036" s="389">
        <f t="shared" ref="Y4036" si="13028">D4021</f>
        <v>1</v>
      </c>
      <c r="Z4036" s="400" t="s">
        <v>176</v>
      </c>
      <c r="AA4036" s="402">
        <f t="shared" si="13024"/>
        <v>1.9049850000000004</v>
      </c>
      <c r="AB4036" s="403"/>
    </row>
    <row r="4037" spans="1:28">
      <c r="A4037" s="384" t="str">
        <f t="shared" ref="A4037:B4037" si="13029">A4015</f>
        <v>Lantai 2</v>
      </c>
      <c r="B4037" s="385">
        <f t="shared" si="13029"/>
        <v>47</v>
      </c>
      <c r="C4037" s="393" t="s">
        <v>211</v>
      </c>
      <c r="D4037" s="398">
        <f>VLOOKUP(D4015,'Detail Balok'!$C$10:$AU$140,41,FALSE)</f>
        <v>0</v>
      </c>
      <c r="E4037" s="388" t="s">
        <v>16</v>
      </c>
      <c r="F4037" s="388">
        <f>VLOOKUP(D4015,'Detail Balok'!$C$10:$AU$140,43,FALSE)</f>
        <v>10</v>
      </c>
      <c r="G4037" s="405" t="s">
        <v>157</v>
      </c>
      <c r="H4037" s="395">
        <f>VLOOKUP(D4015,'Detail Balok'!$C$10:$AU$140,45,FALSE)</f>
        <v>100</v>
      </c>
      <c r="I4037" s="388"/>
      <c r="J4037" s="400">
        <f t="shared" ref="J4037" si="13030">(IF(D4037=0,(2*(D4016+G4016))-(F$5*8),IF(D4037=3,(2*(D4016+G4016))-(F$5*8)+(G4016-2*F$5),IF(D4037=4,(2*(D4016+G4016))-(F$5*8)+2*(G4016-2*F$5)))))/1000</f>
        <v>0.88</v>
      </c>
      <c r="K4037" s="400" t="s">
        <v>204</v>
      </c>
      <c r="L4037" s="399">
        <f t="shared" si="13019"/>
        <v>0.15</v>
      </c>
      <c r="M4037" s="399" t="s">
        <v>176</v>
      </c>
      <c r="N4037" s="399">
        <f t="shared" si="13020"/>
        <v>1.03</v>
      </c>
      <c r="O4037" s="399"/>
      <c r="P4037" s="389"/>
      <c r="Q4037" s="399"/>
      <c r="R4037" s="399"/>
      <c r="S4037" s="399"/>
      <c r="T4037" s="399" t="s">
        <v>125</v>
      </c>
      <c r="U4037" s="401">
        <f t="shared" si="13021"/>
        <v>0.61650000000000005</v>
      </c>
      <c r="V4037" s="399" t="s">
        <v>125</v>
      </c>
      <c r="W4037" s="399">
        <f t="shared" ref="W4037" si="13031">IF(D4018&gt;4*G4016,ROUND(MAX(D4018/4,2*G4016)/H4037,0)+1,0)</f>
        <v>9</v>
      </c>
      <c r="X4037" s="399" t="s">
        <v>125</v>
      </c>
      <c r="Y4037" s="389">
        <f t="shared" ref="Y4037" si="13032">D4021</f>
        <v>1</v>
      </c>
      <c r="Z4037" s="400" t="s">
        <v>176</v>
      </c>
      <c r="AA4037" s="402">
        <f t="shared" si="13024"/>
        <v>5.7149550000000007</v>
      </c>
      <c r="AB4037" s="403"/>
    </row>
    <row r="4038" spans="1:28">
      <c r="A4038" s="384"/>
      <c r="B4038" s="385"/>
      <c r="C4038" s="393"/>
      <c r="D4038" s="394"/>
      <c r="E4038" s="388"/>
      <c r="F4038" s="388"/>
      <c r="G4038" s="388"/>
      <c r="H4038" s="395"/>
      <c r="I4038" s="388"/>
      <c r="J4038" s="399"/>
      <c r="K4038" s="396"/>
      <c r="L4038" s="396"/>
      <c r="M4038" s="396"/>
      <c r="N4038" s="396"/>
      <c r="O4038" s="396"/>
      <c r="P4038" s="389"/>
      <c r="Q4038" s="396"/>
      <c r="R4038" s="396"/>
      <c r="S4038" s="396"/>
      <c r="T4038" s="396"/>
      <c r="U4038" s="401"/>
      <c r="V4038" s="396"/>
      <c r="W4038" s="388"/>
      <c r="X4038" s="396"/>
      <c r="Y4038" s="389"/>
      <c r="Z4038" s="396"/>
      <c r="AA4038" s="388"/>
      <c r="AB4038" s="390"/>
    </row>
    <row r="4039" spans="1:28">
      <c r="A4039" s="384" t="str">
        <f t="shared" ref="A4039:B4039" si="13033">A4015</f>
        <v>Lantai 2</v>
      </c>
      <c r="B4039" s="385">
        <f t="shared" si="13033"/>
        <v>47</v>
      </c>
      <c r="C4039" s="393" t="s">
        <v>213</v>
      </c>
      <c r="D4039" s="398">
        <f>VLOOKUP(D4015,'Detail Balok'!$C$10:$BJ$140,46,FALSE)</f>
        <v>0</v>
      </c>
      <c r="E4039" s="388" t="s">
        <v>16</v>
      </c>
      <c r="F4039" s="388">
        <f>VLOOKUP(D4015,'Detail Balok'!$C$10:$BJ$140,48,FALSE)</f>
        <v>0</v>
      </c>
      <c r="G4039" s="405" t="s">
        <v>157</v>
      </c>
      <c r="H4039" s="395">
        <f>VLOOKUP(D4015,'Detail Balok'!$C$10:$BJ$140,50,FALSE)</f>
        <v>100</v>
      </c>
      <c r="I4039" s="388"/>
      <c r="J4039" s="399">
        <f t="shared" ref="J4039" si="13034">(D4016-2*F$5)/1000</f>
        <v>0.12</v>
      </c>
      <c r="K4039" s="400" t="s">
        <v>204</v>
      </c>
      <c r="L4039" s="399">
        <f t="shared" ref="L4039:L4041" si="13035">IF(D4039=0,2*MAX(6*F4039,75),(D4039-1)*2*MAX(6*F4039,75))/1000</f>
        <v>0.15</v>
      </c>
      <c r="M4039" s="399" t="s">
        <v>176</v>
      </c>
      <c r="N4039" s="399">
        <f t="shared" ref="N4039:N4041" si="13036">J4039+L4039</f>
        <v>0.27</v>
      </c>
      <c r="O4039" s="399"/>
      <c r="P4039" s="399"/>
      <c r="Q4039" s="399"/>
      <c r="R4039" s="399"/>
      <c r="S4039" s="399"/>
      <c r="T4039" s="399" t="s">
        <v>125</v>
      </c>
      <c r="U4039" s="401">
        <f t="shared" ref="U4039:U4041" si="13037">0.006165*F4039^2</f>
        <v>0</v>
      </c>
      <c r="V4039" s="399" t="s">
        <v>125</v>
      </c>
      <c r="W4039" s="399">
        <f t="shared" si="12942"/>
        <v>9</v>
      </c>
      <c r="X4039" s="399" t="s">
        <v>125</v>
      </c>
      <c r="Y4039" s="389">
        <f t="shared" ref="Y4039" si="13038">D4025</f>
        <v>3</v>
      </c>
      <c r="Z4039" s="400" t="s">
        <v>176</v>
      </c>
      <c r="AA4039" s="402">
        <f t="shared" ref="AA4039:AA4041" si="13039">N4039*U4039*W4039*Y4039</f>
        <v>0</v>
      </c>
      <c r="AB4039" s="403"/>
    </row>
    <row r="4040" spans="1:28">
      <c r="A4040" s="384" t="str">
        <f t="shared" ref="A4040:B4040" si="13040">A4015</f>
        <v>Lantai 2</v>
      </c>
      <c r="B4040" s="385">
        <f t="shared" si="13040"/>
        <v>47</v>
      </c>
      <c r="C4040" s="393" t="s">
        <v>214</v>
      </c>
      <c r="D4040" s="398">
        <f>VLOOKUP(D4015,'Detail Balok'!$C$10:$BJ$140,51,FALSE)</f>
        <v>0</v>
      </c>
      <c r="E4040" s="388" t="s">
        <v>16</v>
      </c>
      <c r="F4040" s="388">
        <f>VLOOKUP(D4015,'Detail Balok'!$C$10:$BJ$140,53,FALSE)</f>
        <v>0</v>
      </c>
      <c r="G4040" s="405" t="s">
        <v>157</v>
      </c>
      <c r="H4040" s="395">
        <f>VLOOKUP(D4015,'Detail Balok'!$C$10:$BJ$140,55,FALSE)</f>
        <v>100</v>
      </c>
      <c r="I4040" s="388"/>
      <c r="J4040" s="399">
        <f t="shared" ref="J4040" si="13041">(D4016-2*F$5)/1000</f>
        <v>0.12</v>
      </c>
      <c r="K4040" s="400" t="s">
        <v>204</v>
      </c>
      <c r="L4040" s="399">
        <f t="shared" si="13035"/>
        <v>0.15</v>
      </c>
      <c r="M4040" s="399" t="s">
        <v>176</v>
      </c>
      <c r="N4040" s="399">
        <f t="shared" si="13036"/>
        <v>0.27</v>
      </c>
      <c r="O4040" s="399"/>
      <c r="P4040" s="399"/>
      <c r="Q4040" s="399"/>
      <c r="R4040" s="399"/>
      <c r="S4040" s="399"/>
      <c r="T4040" s="399" t="s">
        <v>125</v>
      </c>
      <c r="U4040" s="401">
        <f t="shared" si="13037"/>
        <v>0</v>
      </c>
      <c r="V4040" s="399" t="s">
        <v>125</v>
      </c>
      <c r="W4040" s="399">
        <f t="shared" si="12942"/>
        <v>3</v>
      </c>
      <c r="X4040" s="399" t="s">
        <v>125</v>
      </c>
      <c r="Y4040" s="389">
        <f t="shared" ref="Y4040" si="13042">D4025</f>
        <v>3</v>
      </c>
      <c r="Z4040" s="400" t="s">
        <v>176</v>
      </c>
      <c r="AA4040" s="402">
        <f t="shared" si="13039"/>
        <v>0</v>
      </c>
      <c r="AB4040" s="403"/>
    </row>
    <row r="4041" spans="1:28">
      <c r="A4041" s="384" t="str">
        <f t="shared" ref="A4041:B4041" si="13043">A4015</f>
        <v>Lantai 2</v>
      </c>
      <c r="B4041" s="385">
        <f t="shared" si="13043"/>
        <v>47</v>
      </c>
      <c r="C4041" s="393" t="s">
        <v>213</v>
      </c>
      <c r="D4041" s="398">
        <f>VLOOKUP(D4015,'Detail Balok'!$C$10:$BJ$140,56,FALSE)</f>
        <v>0</v>
      </c>
      <c r="E4041" s="388" t="s">
        <v>16</v>
      </c>
      <c r="F4041" s="388">
        <f>VLOOKUP(D4015,'Detail Balok'!$C$10:$BJ$140,58,FALSE)</f>
        <v>0</v>
      </c>
      <c r="G4041" s="405" t="s">
        <v>157</v>
      </c>
      <c r="H4041" s="395">
        <f>VLOOKUP(D4015,'Detail Balok'!$C$10:$BJ$140,60,FALSE)</f>
        <v>100</v>
      </c>
      <c r="I4041" s="388"/>
      <c r="J4041" s="399">
        <f t="shared" ref="J4041" si="13044">(D4016-2*F$5)/1000</f>
        <v>0.12</v>
      </c>
      <c r="K4041" s="400" t="s">
        <v>204</v>
      </c>
      <c r="L4041" s="399">
        <f t="shared" si="13035"/>
        <v>0.15</v>
      </c>
      <c r="M4041" s="399" t="s">
        <v>176</v>
      </c>
      <c r="N4041" s="399">
        <f t="shared" si="13036"/>
        <v>0.27</v>
      </c>
      <c r="O4041" s="399"/>
      <c r="P4041" s="399"/>
      <c r="Q4041" s="399"/>
      <c r="R4041" s="399"/>
      <c r="S4041" s="399"/>
      <c r="T4041" s="399" t="s">
        <v>125</v>
      </c>
      <c r="U4041" s="401">
        <f t="shared" si="13037"/>
        <v>0</v>
      </c>
      <c r="V4041" s="399" t="s">
        <v>125</v>
      </c>
      <c r="W4041" s="399">
        <f t="shared" si="12942"/>
        <v>9</v>
      </c>
      <c r="X4041" s="399" t="s">
        <v>125</v>
      </c>
      <c r="Y4041" s="389">
        <f t="shared" ref="Y4041" si="13045">D4025</f>
        <v>3</v>
      </c>
      <c r="Z4041" s="400" t="s">
        <v>176</v>
      </c>
      <c r="AA4041" s="402">
        <f t="shared" si="13039"/>
        <v>0</v>
      </c>
      <c r="AB4041" s="403"/>
    </row>
    <row r="4042" spans="1:28">
      <c r="A4042" s="391"/>
      <c r="B4042" s="392"/>
      <c r="C4042" s="392"/>
      <c r="D4042" s="394"/>
      <c r="E4042" s="388"/>
      <c r="F4042" s="388"/>
      <c r="G4042" s="388"/>
      <c r="H4042" s="395"/>
      <c r="I4042" s="388"/>
      <c r="J4042" s="402"/>
      <c r="K4042" s="388"/>
      <c r="L4042" s="388"/>
      <c r="M4042" s="388"/>
      <c r="N4042" s="388"/>
      <c r="O4042" s="388"/>
      <c r="P4042" s="388"/>
      <c r="Q4042" s="388"/>
      <c r="R4042" s="388"/>
      <c r="S4042" s="388"/>
      <c r="T4042" s="388"/>
      <c r="U4042" s="388"/>
      <c r="V4042" s="388"/>
      <c r="W4042" s="388"/>
      <c r="X4042" s="388"/>
      <c r="Y4042" s="389"/>
      <c r="Z4042" s="388"/>
      <c r="AA4042" s="402"/>
      <c r="AB4042" s="403"/>
    </row>
    <row r="4043" spans="1:28" ht="15.75" thickBot="1">
      <c r="A4043" s="406"/>
      <c r="B4043" s="407"/>
      <c r="C4043" s="407"/>
      <c r="D4043" s="408"/>
      <c r="E4043" s="409"/>
      <c r="F4043" s="409"/>
      <c r="G4043" s="409"/>
      <c r="H4043" s="410"/>
      <c r="I4043" s="409"/>
      <c r="J4043" s="409"/>
      <c r="K4043" s="409"/>
      <c r="L4043" s="409"/>
      <c r="M4043" s="409"/>
      <c r="N4043" s="409"/>
      <c r="O4043" s="409"/>
      <c r="P4043" s="409"/>
      <c r="Q4043" s="409"/>
      <c r="R4043" s="409"/>
      <c r="S4043" s="409"/>
      <c r="T4043" s="409"/>
      <c r="U4043" s="409"/>
      <c r="V4043" s="409"/>
      <c r="W4043" s="409"/>
      <c r="X4043" s="409"/>
      <c r="Y4043" s="411"/>
      <c r="Z4043" s="409"/>
      <c r="AA4043" s="412"/>
      <c r="AB4043" s="413"/>
    </row>
    <row r="4044" spans="1:28">
      <c r="A4044" s="377"/>
      <c r="B4044" s="378"/>
      <c r="C4044" s="378"/>
      <c r="D4044" s="379"/>
      <c r="E4044" s="380"/>
      <c r="F4044" s="380"/>
      <c r="G4044" s="380"/>
      <c r="H4044" s="381"/>
      <c r="I4044" s="380"/>
      <c r="J4044" s="380"/>
      <c r="K4044" s="380"/>
      <c r="L4044" s="380"/>
      <c r="M4044" s="380"/>
      <c r="N4044" s="380"/>
      <c r="O4044" s="380"/>
      <c r="P4044" s="380"/>
      <c r="Q4044" s="380"/>
      <c r="R4044" s="380"/>
      <c r="S4044" s="380"/>
      <c r="T4044" s="380"/>
      <c r="U4044" s="380"/>
      <c r="V4044" s="380"/>
      <c r="W4044" s="380"/>
      <c r="X4044" s="380"/>
      <c r="Y4044" s="382"/>
      <c r="Z4044" s="380"/>
      <c r="AA4044" s="380"/>
      <c r="AB4044" s="383"/>
    </row>
    <row r="4045" spans="1:28">
      <c r="A4045" s="384" t="str">
        <f t="shared" si="12951"/>
        <v>Lantai 2</v>
      </c>
      <c r="B4045" s="385">
        <f t="shared" si="12952"/>
        <v>48</v>
      </c>
      <c r="C4045" s="386" t="str">
        <f t="shared" ref="C4045" si="13046">CONCATENATE(A4045," no. ",B4045)</f>
        <v>Lantai 2 no. 48</v>
      </c>
      <c r="D4045" s="2562" t="str">
        <f>VLOOKUP(C4045,'Data Panjang Balok'!$C$9:$N$254,2,FALSE)</f>
        <v>B24-1</v>
      </c>
      <c r="E4045" s="2576"/>
      <c r="F4045" s="2576"/>
      <c r="G4045" s="2576"/>
      <c r="H4045" s="2577"/>
      <c r="I4045" s="387"/>
      <c r="J4045" s="388"/>
      <c r="K4045" s="388"/>
      <c r="L4045" s="388"/>
      <c r="M4045" s="388"/>
      <c r="N4045" s="388"/>
      <c r="O4045" s="388"/>
      <c r="P4045" s="388"/>
      <c r="Q4045" s="388"/>
      <c r="R4045" s="388"/>
      <c r="S4045" s="388"/>
      <c r="T4045" s="388"/>
      <c r="U4045" s="388"/>
      <c r="V4045" s="388"/>
      <c r="W4045" s="388"/>
      <c r="X4045" s="388"/>
      <c r="Y4045" s="389"/>
      <c r="Z4045" s="388"/>
      <c r="AA4045" s="388"/>
      <c r="AB4045" s="390"/>
    </row>
    <row r="4046" spans="1:28">
      <c r="A4046" s="391"/>
      <c r="B4046" s="392"/>
      <c r="C4046" s="393" t="s">
        <v>118</v>
      </c>
      <c r="D4046" s="2578">
        <f>VLOOKUP(D4045,'Detail Balok'!$C$10:$AU$140,2,FALSE)</f>
        <v>200</v>
      </c>
      <c r="E4046" s="2579"/>
      <c r="F4046" s="388" t="s">
        <v>125</v>
      </c>
      <c r="G4046" s="2579">
        <f>VLOOKUP(D4045,'Detail Balok'!$C$10:$AU$140,3,FALSE)</f>
        <v>400</v>
      </c>
      <c r="H4046" s="2580"/>
      <c r="I4046" s="388"/>
      <c r="J4046" s="396"/>
      <c r="K4046" s="396"/>
      <c r="L4046" s="396"/>
      <c r="M4046" s="396"/>
      <c r="N4046" s="396"/>
      <c r="O4046" s="396"/>
      <c r="P4046" s="396"/>
      <c r="Q4046" s="396"/>
      <c r="R4046" s="396"/>
      <c r="S4046" s="396"/>
      <c r="T4046" s="396"/>
      <c r="U4046" s="388"/>
      <c r="V4046" s="396"/>
      <c r="W4046" s="388"/>
      <c r="X4046" s="396"/>
      <c r="Y4046" s="389"/>
      <c r="Z4046" s="396"/>
      <c r="AA4046" s="388"/>
      <c r="AB4046" s="390"/>
    </row>
    <row r="4047" spans="1:28">
      <c r="A4047" s="391"/>
      <c r="B4047" s="392"/>
      <c r="C4047" s="393" t="s">
        <v>198</v>
      </c>
      <c r="D4047" s="2562">
        <f>VLOOKUP(C4045,'Data Panjang Balok'!$C$9:$N$254,4,FALSE)</f>
        <v>900</v>
      </c>
      <c r="E4047" s="2563"/>
      <c r="F4047" s="2563"/>
      <c r="G4047" s="2563"/>
      <c r="H4047" s="2564"/>
      <c r="I4047" s="397"/>
      <c r="J4047" s="396"/>
      <c r="K4047" s="396"/>
      <c r="L4047" s="396"/>
      <c r="M4047" s="396"/>
      <c r="N4047" s="396"/>
      <c r="O4047" s="396"/>
      <c r="P4047" s="396"/>
      <c r="Q4047" s="396"/>
      <c r="R4047" s="396"/>
      <c r="S4047" s="396"/>
      <c r="T4047" s="396"/>
      <c r="U4047" s="388"/>
      <c r="V4047" s="396"/>
      <c r="W4047" s="388"/>
      <c r="X4047" s="396"/>
      <c r="Y4047" s="389"/>
      <c r="Z4047" s="396"/>
      <c r="AA4047" s="388"/>
      <c r="AB4047" s="390"/>
    </row>
    <row r="4048" spans="1:28">
      <c r="A4048" s="391"/>
      <c r="B4048" s="392"/>
      <c r="C4048" s="393" t="s">
        <v>199</v>
      </c>
      <c r="D4048" s="2562">
        <f>VLOOKUP(C4045,'Data Panjang Balok'!$C$9:$N$254,7,FALSE)</f>
        <v>900</v>
      </c>
      <c r="E4048" s="2563"/>
      <c r="F4048" s="2563"/>
      <c r="G4048" s="2563"/>
      <c r="H4048" s="2564"/>
      <c r="I4048" s="397"/>
      <c r="J4048" s="396"/>
      <c r="K4048" s="396"/>
      <c r="L4048" s="396"/>
      <c r="M4048" s="396"/>
      <c r="N4048" s="396"/>
      <c r="O4048" s="396"/>
      <c r="P4048" s="396"/>
      <c r="Q4048" s="396"/>
      <c r="R4048" s="396"/>
      <c r="S4048" s="396"/>
      <c r="T4048" s="396"/>
      <c r="U4048" s="388"/>
      <c r="V4048" s="396"/>
      <c r="W4048" s="388"/>
      <c r="X4048" s="396"/>
      <c r="Y4048" s="389"/>
      <c r="Z4048" s="396"/>
      <c r="AA4048" s="388"/>
      <c r="AB4048" s="390"/>
    </row>
    <row r="4049" spans="1:28">
      <c r="A4049" s="391"/>
      <c r="B4049" s="392"/>
      <c r="C4049" s="393" t="s">
        <v>200</v>
      </c>
      <c r="D4049" s="2562">
        <f>VLOOKUP(C4045,'Data Panjang Balok'!$C$9:$N$254,9,FALSE)</f>
        <v>0</v>
      </c>
      <c r="E4049" s="2563"/>
      <c r="F4049" s="2563"/>
      <c r="G4049" s="2563"/>
      <c r="H4049" s="2564"/>
      <c r="I4049" s="397"/>
      <c r="J4049" s="396"/>
      <c r="K4049" s="396"/>
      <c r="L4049" s="396"/>
      <c r="M4049" s="396"/>
      <c r="N4049" s="396"/>
      <c r="O4049" s="396"/>
      <c r="P4049" s="396"/>
      <c r="Q4049" s="396"/>
      <c r="R4049" s="396"/>
      <c r="S4049" s="396"/>
      <c r="T4049" s="396"/>
      <c r="U4049" s="388"/>
      <c r="V4049" s="396"/>
      <c r="W4049" s="388"/>
      <c r="X4049" s="396"/>
      <c r="Y4049" s="389"/>
      <c r="Z4049" s="396"/>
      <c r="AA4049" s="388"/>
      <c r="AB4049" s="390"/>
    </row>
    <row r="4050" spans="1:28">
      <c r="A4050" s="391"/>
      <c r="B4050" s="392"/>
      <c r="C4050" s="393" t="s">
        <v>201</v>
      </c>
      <c r="D4050" s="2562">
        <f>VLOOKUP(C4045,'Data Panjang Balok'!$C$9:$N$254,10,FALSE)</f>
        <v>0</v>
      </c>
      <c r="E4050" s="2563"/>
      <c r="F4050" s="2563"/>
      <c r="G4050" s="2563"/>
      <c r="H4050" s="2564"/>
      <c r="I4050" s="397"/>
      <c r="J4050" s="396"/>
      <c r="K4050" s="396"/>
      <c r="L4050" s="396"/>
      <c r="M4050" s="396"/>
      <c r="N4050" s="396"/>
      <c r="O4050" s="396"/>
      <c r="P4050" s="396"/>
      <c r="Q4050" s="396"/>
      <c r="R4050" s="396"/>
      <c r="S4050" s="396"/>
      <c r="T4050" s="396"/>
      <c r="U4050" s="388"/>
      <c r="V4050" s="396"/>
      <c r="W4050" s="388"/>
      <c r="X4050" s="396"/>
      <c r="Y4050" s="389"/>
      <c r="Z4050" s="396"/>
      <c r="AA4050" s="388"/>
      <c r="AB4050" s="390"/>
    </row>
    <row r="4051" spans="1:28">
      <c r="A4051" s="391"/>
      <c r="B4051" s="392"/>
      <c r="C4051" s="393" t="s">
        <v>48</v>
      </c>
      <c r="D4051" s="2562">
        <f>VLOOKUP(C4045,'Data Panjang Balok'!$C$9:$N$254,3,FALSE)</f>
        <v>1</v>
      </c>
      <c r="E4051" s="2563"/>
      <c r="F4051" s="2563"/>
      <c r="G4051" s="2563"/>
      <c r="H4051" s="2564"/>
      <c r="I4051" s="397"/>
      <c r="J4051" s="396"/>
      <c r="K4051" s="396"/>
      <c r="L4051" s="396"/>
      <c r="M4051" s="396"/>
      <c r="N4051" s="396"/>
      <c r="O4051" s="396"/>
      <c r="P4051" s="396"/>
      <c r="Q4051" s="396"/>
      <c r="R4051" s="396"/>
      <c r="S4051" s="396"/>
      <c r="T4051" s="396"/>
      <c r="U4051" s="388"/>
      <c r="V4051" s="396"/>
      <c r="W4051" s="388"/>
      <c r="X4051" s="396"/>
      <c r="Y4051" s="389"/>
      <c r="Z4051" s="396"/>
      <c r="AA4051" s="388"/>
      <c r="AB4051" s="390"/>
    </row>
    <row r="4052" spans="1:28">
      <c r="A4052" s="384" t="str">
        <f t="shared" ref="A4052:B4052" si="13047">A4045</f>
        <v>Lantai 2</v>
      </c>
      <c r="B4052" s="385">
        <f t="shared" si="13047"/>
        <v>48</v>
      </c>
      <c r="C4052" s="393" t="s">
        <v>202</v>
      </c>
      <c r="D4052" s="398">
        <f>VLOOKUP(D4045,'Detail Balok'!$C$10:$AU$140,4,FALSE)</f>
        <v>3</v>
      </c>
      <c r="E4052" s="388" t="s">
        <v>16</v>
      </c>
      <c r="F4052" s="388">
        <f>VLOOKUP(D4045,'Detail Balok'!$C$10:$AU$140,6,FALSE)</f>
        <v>13</v>
      </c>
      <c r="G4052" s="388"/>
      <c r="H4052" s="395"/>
      <c r="I4052" s="388" t="s">
        <v>203</v>
      </c>
      <c r="J4052" s="399">
        <f t="shared" ref="J4052" si="13048">+D4047/4/1000</f>
        <v>0.22500000000000001</v>
      </c>
      <c r="K4052" s="400" t="s">
        <v>204</v>
      </c>
      <c r="L4052" s="399">
        <f t="shared" ref="L4052" si="13049">MAX(VLOOKUP(F4052,N$6:P$15,3,FALSE)/1000,2/3*D4049/1000)+F$16*F4052/1000</f>
        <v>0.156</v>
      </c>
      <c r="M4052" s="399" t="s">
        <v>176</v>
      </c>
      <c r="N4052" s="399">
        <f t="shared" ref="N4052:N4054" si="13050">J4052+L4052</f>
        <v>0.38100000000000001</v>
      </c>
      <c r="O4052" s="399" t="s">
        <v>204</v>
      </c>
      <c r="P4052" s="389">
        <f t="shared" ref="P4052" si="13051">D4052-D4053</f>
        <v>0</v>
      </c>
      <c r="Q4052" s="399" t="s">
        <v>125</v>
      </c>
      <c r="R4052" s="399">
        <f t="shared" ref="R4052" si="13052">IF(P4052&gt;0,$F$18*F4052/1000,0)</f>
        <v>0</v>
      </c>
      <c r="S4052" s="399" t="s">
        <v>205</v>
      </c>
      <c r="T4052" s="399" t="s">
        <v>125</v>
      </c>
      <c r="U4052" s="401">
        <f t="shared" ref="U4052:U4054" si="13053">0.006165*F4052^2</f>
        <v>1.041885</v>
      </c>
      <c r="V4052" s="399"/>
      <c r="W4052" s="399"/>
      <c r="X4052" s="399" t="s">
        <v>125</v>
      </c>
      <c r="Y4052" s="389">
        <f t="shared" ref="Y4052" si="13054">D4051</f>
        <v>1</v>
      </c>
      <c r="Z4052" s="400" t="s">
        <v>176</v>
      </c>
      <c r="AA4052" s="402">
        <f t="shared" ref="AA4052" si="13055">IF(AA4055=0,(D4052*N4052+P4052*R4052)*U4052*Y4052,0)</f>
        <v>0</v>
      </c>
      <c r="AB4052" s="403"/>
    </row>
    <row r="4053" spans="1:28">
      <c r="A4053" s="384" t="str">
        <f t="shared" ref="A4053:B4053" si="13056">A4045</f>
        <v>Lantai 2</v>
      </c>
      <c r="B4053" s="385">
        <f t="shared" si="13056"/>
        <v>48</v>
      </c>
      <c r="C4053" s="393" t="s">
        <v>206</v>
      </c>
      <c r="D4053" s="398">
        <f>VLOOKUP(D4045,'Detail Balok'!$C$10:$AU$140,7,FALSE)</f>
        <v>3</v>
      </c>
      <c r="E4053" s="388" t="s">
        <v>16</v>
      </c>
      <c r="F4053" s="388">
        <f>VLOOKUP(D4045,'Detail Balok'!$C$10:$AU$140,9,FALSE)</f>
        <v>13</v>
      </c>
      <c r="G4053" s="388"/>
      <c r="H4053" s="395"/>
      <c r="I4053" s="388" t="s">
        <v>203</v>
      </c>
      <c r="J4053" s="399">
        <f t="shared" ref="J4053" si="13057">+D4047/2/1000</f>
        <v>0.45</v>
      </c>
      <c r="K4053" s="400" t="s">
        <v>204</v>
      </c>
      <c r="L4053" s="399"/>
      <c r="M4053" s="399" t="s">
        <v>176</v>
      </c>
      <c r="N4053" s="399">
        <f t="shared" si="13050"/>
        <v>0.45</v>
      </c>
      <c r="O4053" s="399" t="s">
        <v>204</v>
      </c>
      <c r="P4053" s="389">
        <f t="shared" ref="P4053" si="13058">MAX(D4053-D4052,D4053-D4054)</f>
        <v>0</v>
      </c>
      <c r="Q4053" s="399" t="s">
        <v>125</v>
      </c>
      <c r="R4053" s="399">
        <f t="shared" ref="R4053" si="13059">IF(P4053&gt;0,2*(1-2*$F$19-1/2)*D4048/1000,0)</f>
        <v>0</v>
      </c>
      <c r="S4053" s="399" t="s">
        <v>205</v>
      </c>
      <c r="T4053" s="399" t="s">
        <v>125</v>
      </c>
      <c r="U4053" s="401">
        <f t="shared" si="13053"/>
        <v>1.041885</v>
      </c>
      <c r="V4053" s="399"/>
      <c r="W4053" s="399"/>
      <c r="X4053" s="399" t="s">
        <v>125</v>
      </c>
      <c r="Y4053" s="389">
        <f t="shared" ref="Y4053" si="13060">D4051</f>
        <v>1</v>
      </c>
      <c r="Z4053" s="400" t="s">
        <v>176</v>
      </c>
      <c r="AA4053" s="402">
        <f t="shared" ref="AA4053" si="13061">IF(AA4055=0,(D4053*N4053+P4053*R4053)*U4053*Y4053,0)</f>
        <v>0</v>
      </c>
      <c r="AB4053" s="403"/>
    </row>
    <row r="4054" spans="1:28">
      <c r="A4054" s="384" t="str">
        <f t="shared" ref="A4054:B4054" si="13062">A4045</f>
        <v>Lantai 2</v>
      </c>
      <c r="B4054" s="385">
        <f t="shared" si="13062"/>
        <v>48</v>
      </c>
      <c r="C4054" s="393" t="s">
        <v>202</v>
      </c>
      <c r="D4054" s="398">
        <f>VLOOKUP(D4045,'Detail Balok'!$C$10:$AU$140,10,FALSE)</f>
        <v>3</v>
      </c>
      <c r="E4054" s="388" t="s">
        <v>16</v>
      </c>
      <c r="F4054" s="388">
        <f>VLOOKUP(D4045,'Detail Balok'!$C$10:$AU$140,12,FALSE)</f>
        <v>13</v>
      </c>
      <c r="G4054" s="388"/>
      <c r="H4054" s="395"/>
      <c r="I4054" s="388" t="s">
        <v>203</v>
      </c>
      <c r="J4054" s="399">
        <f t="shared" ref="J4054" si="13063">+D4047/4/1000</f>
        <v>0.22500000000000001</v>
      </c>
      <c r="K4054" s="400" t="s">
        <v>204</v>
      </c>
      <c r="L4054" s="399">
        <f t="shared" ref="L4054" si="13064">MAX(VLOOKUP(F4054,N$6:P$15,3,FALSE)/1000,2/3*D4049/1000)+F$16*F4054/1000</f>
        <v>0.156</v>
      </c>
      <c r="M4054" s="399" t="s">
        <v>176</v>
      </c>
      <c r="N4054" s="399">
        <f t="shared" si="13050"/>
        <v>0.38100000000000001</v>
      </c>
      <c r="O4054" s="399" t="s">
        <v>204</v>
      </c>
      <c r="P4054" s="389">
        <f t="shared" ref="P4054" si="13065">D4054-D4053</f>
        <v>0</v>
      </c>
      <c r="Q4054" s="399" t="s">
        <v>125</v>
      </c>
      <c r="R4054" s="399">
        <f t="shared" ref="R4054" si="13066">IF(P4054&gt;0,$F$18*F4054/1000,0)</f>
        <v>0</v>
      </c>
      <c r="S4054" s="399" t="s">
        <v>205</v>
      </c>
      <c r="T4054" s="399" t="s">
        <v>125</v>
      </c>
      <c r="U4054" s="401">
        <f t="shared" si="13053"/>
        <v>1.041885</v>
      </c>
      <c r="V4054" s="399"/>
      <c r="W4054" s="399"/>
      <c r="X4054" s="399" t="s">
        <v>125</v>
      </c>
      <c r="Y4054" s="389">
        <f t="shared" ref="Y4054" si="13067">D4051</f>
        <v>1</v>
      </c>
      <c r="Z4054" s="400" t="s">
        <v>176</v>
      </c>
      <c r="AA4054" s="402">
        <f t="shared" ref="AA4054" si="13068">IF(AA4055=0,(D4054*N4054+P4054*R4054)*U4054*Y4054,0)</f>
        <v>0</v>
      </c>
      <c r="AB4054" s="403"/>
    </row>
    <row r="4055" spans="1:28">
      <c r="A4055" s="384" t="str">
        <f t="shared" ref="A4055:B4055" si="13069">A4045</f>
        <v>Lantai 2</v>
      </c>
      <c r="B4055" s="385">
        <f t="shared" si="13069"/>
        <v>48</v>
      </c>
      <c r="C4055" s="393"/>
      <c r="D4055" s="398">
        <f t="shared" si="12872"/>
        <v>3</v>
      </c>
      <c r="E4055" s="388" t="s">
        <v>16</v>
      </c>
      <c r="F4055" s="388">
        <f t="shared" si="12873"/>
        <v>13</v>
      </c>
      <c r="G4055" s="388"/>
      <c r="H4055" s="395"/>
      <c r="I4055" s="388"/>
      <c r="J4055" s="396"/>
      <c r="K4055" s="396"/>
      <c r="L4055" s="404" t="s">
        <v>207</v>
      </c>
      <c r="M4055" s="399" t="s">
        <v>176</v>
      </c>
      <c r="N4055" s="399">
        <f t="shared" ref="N4055" si="13070">IF(AND(D4052=D4053,D4052=D4054,D4053=D4054,F4052=F4053,F4052=F4054,F4053=F4054),SUM(N4052:N4054),0)</f>
        <v>1.212</v>
      </c>
      <c r="O4055" s="399" t="s">
        <v>204</v>
      </c>
      <c r="P4055" s="389">
        <f t="shared" ref="P4055" si="13071">IF(N4055&gt;12,ROUNDDOWN(N4055/12,0),0)</f>
        <v>0</v>
      </c>
      <c r="Q4055" s="399" t="s">
        <v>125</v>
      </c>
      <c r="R4055" s="399">
        <f t="shared" ref="R4055" si="13072">IF(P4055&gt;0,MAX(VLOOKUP(F4055,$D$6:$G$15,3,FALSE),600),0)/1000</f>
        <v>0</v>
      </c>
      <c r="S4055" s="396"/>
      <c r="T4055" s="396" t="s">
        <v>125</v>
      </c>
      <c r="U4055" s="401">
        <f t="shared" si="12877"/>
        <v>1.041885</v>
      </c>
      <c r="V4055" s="396" t="s">
        <v>125</v>
      </c>
      <c r="W4055" s="399">
        <f t="shared" ref="W4055" si="13073">D4055</f>
        <v>3</v>
      </c>
      <c r="X4055" s="399" t="s">
        <v>125</v>
      </c>
      <c r="Y4055" s="389">
        <f t="shared" si="12879"/>
        <v>1</v>
      </c>
      <c r="Z4055" s="400" t="s">
        <v>176</v>
      </c>
      <c r="AA4055" s="402">
        <f t="shared" ref="AA4055" si="13074">(N4055+P4055*R4055/1000)*U4055*W4055*Y4055</f>
        <v>3.78829386</v>
      </c>
      <c r="AB4055" s="390"/>
    </row>
    <row r="4056" spans="1:28">
      <c r="A4056" s="384"/>
      <c r="B4056" s="385"/>
      <c r="C4056" s="393"/>
      <c r="D4056" s="398"/>
      <c r="E4056" s="388"/>
      <c r="F4056" s="388"/>
      <c r="G4056" s="388"/>
      <c r="H4056" s="395"/>
      <c r="I4056" s="388"/>
      <c r="J4056" s="396"/>
      <c r="K4056" s="396"/>
      <c r="L4056" s="404"/>
      <c r="M4056" s="399"/>
      <c r="N4056" s="399"/>
      <c r="O4056" s="396"/>
      <c r="P4056" s="389"/>
      <c r="Q4056" s="396"/>
      <c r="R4056" s="396"/>
      <c r="S4056" s="396"/>
      <c r="T4056" s="396"/>
      <c r="U4056" s="401"/>
      <c r="V4056" s="396"/>
      <c r="W4056" s="399"/>
      <c r="X4056" s="396"/>
      <c r="Y4056" s="389"/>
      <c r="Z4056" s="396"/>
      <c r="AA4056" s="388"/>
      <c r="AB4056" s="390"/>
    </row>
    <row r="4057" spans="1:28">
      <c r="A4057" s="384" t="str">
        <f t="shared" ref="A4057:B4057" si="13075">A4045</f>
        <v>Lantai 2</v>
      </c>
      <c r="B4057" s="385">
        <f t="shared" si="13075"/>
        <v>48</v>
      </c>
      <c r="C4057" s="393" t="s">
        <v>208</v>
      </c>
      <c r="D4057" s="398">
        <f>VLOOKUP(D4045,'Detail Balok'!$C$10:$AU$140,13,FALSE)</f>
        <v>0</v>
      </c>
      <c r="E4057" s="388" t="s">
        <v>16</v>
      </c>
      <c r="F4057" s="388">
        <f>VLOOKUP(D4045,'Detail Balok'!$C$10:$AU$140,15,FALSE)</f>
        <v>8</v>
      </c>
      <c r="G4057" s="388"/>
      <c r="H4057" s="395"/>
      <c r="I4057" s="388"/>
      <c r="J4057" s="399">
        <f t="shared" ref="J4057" si="13076">+D4047/1000</f>
        <v>0.9</v>
      </c>
      <c r="K4057" s="400" t="s">
        <v>204</v>
      </c>
      <c r="L4057" s="399">
        <f t="shared" ref="L4057" si="13077">2*$F$16*F4057/1000</f>
        <v>0.192</v>
      </c>
      <c r="M4057" s="399" t="s">
        <v>176</v>
      </c>
      <c r="N4057" s="399">
        <f t="shared" ref="N4057" si="13078">J4057+L4057</f>
        <v>1.0920000000000001</v>
      </c>
      <c r="O4057" s="399" t="s">
        <v>204</v>
      </c>
      <c r="P4057" s="389">
        <f t="shared" ref="P4057" si="13079">IF(N4057&gt;12,ROUNDDOWN(N4057/12,0),0)</f>
        <v>0</v>
      </c>
      <c r="Q4057" s="399" t="s">
        <v>125</v>
      </c>
      <c r="R4057" s="399">
        <f t="shared" ref="R4057" si="13080">IF(P4057&gt;0,MAX(VLOOKUP(F4057,$D$6:$G$15,3,FALSE),600),0)/1000</f>
        <v>0</v>
      </c>
      <c r="S4057" s="399"/>
      <c r="T4057" s="399" t="s">
        <v>125</v>
      </c>
      <c r="U4057" s="401">
        <f t="shared" ref="U4057" si="13081">0.006165*F4057^2</f>
        <v>0.39456000000000002</v>
      </c>
      <c r="V4057" s="399" t="s">
        <v>125</v>
      </c>
      <c r="W4057" s="399">
        <f t="shared" ref="W4057" si="13082">+D4057</f>
        <v>0</v>
      </c>
      <c r="X4057" s="399" t="s">
        <v>125</v>
      </c>
      <c r="Y4057" s="389">
        <f t="shared" ref="Y4057" si="13083">D4051</f>
        <v>1</v>
      </c>
      <c r="Z4057" s="400" t="s">
        <v>176</v>
      </c>
      <c r="AA4057" s="402">
        <f t="shared" ref="AA4057" si="13084">(N4057+P4057*R4057/1000)*U4057*W4057*Y4057</f>
        <v>0</v>
      </c>
      <c r="AB4057" s="403"/>
    </row>
    <row r="4058" spans="1:28">
      <c r="A4058" s="384"/>
      <c r="B4058" s="385"/>
      <c r="C4058" s="393"/>
      <c r="D4058" s="398"/>
      <c r="E4058" s="388"/>
      <c r="F4058" s="388"/>
      <c r="G4058" s="388"/>
      <c r="H4058" s="395"/>
      <c r="I4058" s="388"/>
      <c r="J4058" s="399"/>
      <c r="K4058" s="400"/>
      <c r="L4058" s="399"/>
      <c r="M4058" s="399"/>
      <c r="N4058" s="399"/>
      <c r="O4058" s="399"/>
      <c r="P4058" s="389"/>
      <c r="Q4058" s="399"/>
      <c r="R4058" s="399"/>
      <c r="S4058" s="399"/>
      <c r="T4058" s="399"/>
      <c r="U4058" s="401"/>
      <c r="V4058" s="399"/>
      <c r="W4058" s="399"/>
      <c r="X4058" s="399"/>
      <c r="Y4058" s="389"/>
      <c r="Z4058" s="400"/>
      <c r="AA4058" s="402"/>
      <c r="AB4058" s="403"/>
    </row>
    <row r="4059" spans="1:28">
      <c r="A4059" s="384"/>
      <c r="B4059" s="385"/>
      <c r="C4059" s="393"/>
      <c r="D4059" s="398"/>
      <c r="E4059" s="388"/>
      <c r="F4059" s="388"/>
      <c r="G4059" s="388"/>
      <c r="H4059" s="395"/>
      <c r="I4059" s="388"/>
      <c r="J4059" s="396"/>
      <c r="K4059" s="396"/>
      <c r="L4059" s="396"/>
      <c r="M4059" s="396"/>
      <c r="N4059" s="396"/>
      <c r="O4059" s="396"/>
      <c r="P4059" s="389"/>
      <c r="Q4059" s="396"/>
      <c r="R4059" s="396"/>
      <c r="S4059" s="396"/>
      <c r="T4059" s="396"/>
      <c r="U4059" s="401"/>
      <c r="V4059" s="396"/>
      <c r="W4059" s="399"/>
      <c r="X4059" s="396"/>
      <c r="Y4059" s="389"/>
      <c r="Z4059" s="396"/>
      <c r="AA4059" s="388"/>
      <c r="AB4059" s="390"/>
    </row>
    <row r="4060" spans="1:28">
      <c r="A4060" s="384" t="str">
        <f t="shared" ref="A4060:B4060" si="13085">A4045</f>
        <v>Lantai 2</v>
      </c>
      <c r="B4060" s="385">
        <f t="shared" si="13085"/>
        <v>48</v>
      </c>
      <c r="C4060" s="393" t="s">
        <v>209</v>
      </c>
      <c r="D4060" s="398">
        <f>VLOOKUP(D4045,'Detail Balok'!$C$10:$AU$140,22,FALSE)</f>
        <v>3</v>
      </c>
      <c r="E4060" s="388" t="s">
        <v>16</v>
      </c>
      <c r="F4060" s="388">
        <f>VLOOKUP(D4045,'Detail Balok'!$C$10:$AU$140,24,FALSE)</f>
        <v>13</v>
      </c>
      <c r="G4060" s="388"/>
      <c r="H4060" s="395"/>
      <c r="I4060" s="388" t="s">
        <v>203</v>
      </c>
      <c r="J4060" s="399">
        <f t="shared" si="12892"/>
        <v>0.22500000000000001</v>
      </c>
      <c r="K4060" s="400" t="s">
        <v>204</v>
      </c>
      <c r="L4060" s="399">
        <f t="shared" ref="L4060" si="13086">MAX(VLOOKUP(F4060,N$6:P$15,3,FALSE)/1000,2/3*D4050/1000)+F$16*F4060/1000</f>
        <v>0.156</v>
      </c>
      <c r="M4060" s="399" t="s">
        <v>176</v>
      </c>
      <c r="N4060" s="399">
        <f t="shared" ref="N4060:N4062" si="13087">J4060+L4060</f>
        <v>0.38100000000000001</v>
      </c>
      <c r="O4060" s="399" t="s">
        <v>204</v>
      </c>
      <c r="P4060" s="389">
        <f t="shared" ref="P4060" si="13088">D4060-D4061</f>
        <v>0</v>
      </c>
      <c r="Q4060" s="399" t="s">
        <v>125</v>
      </c>
      <c r="R4060" s="399">
        <f t="shared" ref="R4060" si="13089">IF(P4060&gt;0,$F$18*F4060/1000,0)</f>
        <v>0</v>
      </c>
      <c r="S4060" s="399" t="s">
        <v>205</v>
      </c>
      <c r="T4060" s="399" t="s">
        <v>125</v>
      </c>
      <c r="U4060" s="401">
        <f t="shared" ref="U4060:U4062" si="13090">0.006165*F4060^2</f>
        <v>1.041885</v>
      </c>
      <c r="V4060" s="399"/>
      <c r="W4060" s="399"/>
      <c r="X4060" s="399" t="s">
        <v>125</v>
      </c>
      <c r="Y4060" s="389">
        <f t="shared" ref="Y4060" si="13091">D4051</f>
        <v>1</v>
      </c>
      <c r="Z4060" s="400" t="s">
        <v>176</v>
      </c>
      <c r="AA4060" s="402">
        <f t="shared" ref="AA4060" si="13092">IF(AA4063=0,(D4060*N4060+P4060*R4060)*U4060*Y4060,0)</f>
        <v>0</v>
      </c>
      <c r="AB4060" s="403"/>
    </row>
    <row r="4061" spans="1:28">
      <c r="A4061" s="384" t="str">
        <f t="shared" ref="A4061:B4061" si="13093">A4045</f>
        <v>Lantai 2</v>
      </c>
      <c r="B4061" s="385">
        <f t="shared" si="13093"/>
        <v>48</v>
      </c>
      <c r="C4061" s="393" t="s">
        <v>210</v>
      </c>
      <c r="D4061" s="398">
        <f>VLOOKUP(D4045,'Detail Balok'!$C$10:$AU$140,25,FALSE)</f>
        <v>3</v>
      </c>
      <c r="E4061" s="388" t="s">
        <v>16</v>
      </c>
      <c r="F4061" s="388">
        <f>VLOOKUP(D4045,'Detail Balok'!$C$10:$AU$140,27,FALSE)</f>
        <v>13</v>
      </c>
      <c r="G4061" s="388"/>
      <c r="H4061" s="395"/>
      <c r="I4061" s="388" t="s">
        <v>203</v>
      </c>
      <c r="J4061" s="399">
        <f t="shared" si="12892"/>
        <v>0.45</v>
      </c>
      <c r="K4061" s="400" t="s">
        <v>204</v>
      </c>
      <c r="L4061" s="399"/>
      <c r="M4061" s="399" t="s">
        <v>176</v>
      </c>
      <c r="N4061" s="399">
        <f t="shared" si="13087"/>
        <v>0.45</v>
      </c>
      <c r="O4061" s="399" t="s">
        <v>204</v>
      </c>
      <c r="P4061" s="389">
        <f t="shared" ref="P4061" si="13094">MAX(D4061-D4060,D4061-D4062)</f>
        <v>0</v>
      </c>
      <c r="Q4061" s="399" t="s">
        <v>125</v>
      </c>
      <c r="R4061" s="399">
        <f t="shared" ref="R4061" si="13095">IF(P4061&gt;0,2*(1-2*$F$19-1/2)*D4048/1000,0)</f>
        <v>0</v>
      </c>
      <c r="S4061" s="399" t="s">
        <v>205</v>
      </c>
      <c r="T4061" s="399" t="s">
        <v>125</v>
      </c>
      <c r="U4061" s="401">
        <f t="shared" si="13090"/>
        <v>1.041885</v>
      </c>
      <c r="V4061" s="399"/>
      <c r="W4061" s="399"/>
      <c r="X4061" s="399" t="s">
        <v>125</v>
      </c>
      <c r="Y4061" s="389">
        <f t="shared" ref="Y4061" si="13096">D4051</f>
        <v>1</v>
      </c>
      <c r="Z4061" s="400" t="s">
        <v>176</v>
      </c>
      <c r="AA4061" s="402">
        <f t="shared" ref="AA4061" si="13097">IF(AA4063=0,(D4061*N4061+P4061*R4061)*U4061*Y4061,0)</f>
        <v>0</v>
      </c>
      <c r="AB4061" s="403"/>
    </row>
    <row r="4062" spans="1:28">
      <c r="A4062" s="384" t="str">
        <f t="shared" ref="A4062:B4062" si="13098">A4045</f>
        <v>Lantai 2</v>
      </c>
      <c r="B4062" s="385">
        <f t="shared" si="13098"/>
        <v>48</v>
      </c>
      <c r="C4062" s="393" t="s">
        <v>209</v>
      </c>
      <c r="D4062" s="398">
        <f>VLOOKUP(D4045,'Detail Balok'!$C$10:$AU$140,28,FALSE)</f>
        <v>3</v>
      </c>
      <c r="E4062" s="388" t="s">
        <v>16</v>
      </c>
      <c r="F4062" s="388">
        <f>VLOOKUP(D4045,'Detail Balok'!$C$10:$AU$140,30,FALSE)</f>
        <v>13</v>
      </c>
      <c r="G4062" s="388"/>
      <c r="H4062" s="395"/>
      <c r="I4062" s="388" t="s">
        <v>203</v>
      </c>
      <c r="J4062" s="399">
        <f t="shared" si="12892"/>
        <v>0.22500000000000001</v>
      </c>
      <c r="K4062" s="400" t="s">
        <v>204</v>
      </c>
      <c r="L4062" s="399">
        <f t="shared" ref="L4062" si="13099">MAX(VLOOKUP(F4062,N$6:P$15,3,FALSE)/1000,2/3*D4050/1000)+F$16*F4062/1000</f>
        <v>0.156</v>
      </c>
      <c r="M4062" s="399" t="s">
        <v>176</v>
      </c>
      <c r="N4062" s="399">
        <f t="shared" si="13087"/>
        <v>0.38100000000000001</v>
      </c>
      <c r="O4062" s="399" t="s">
        <v>204</v>
      </c>
      <c r="P4062" s="389">
        <f t="shared" ref="P4062" si="13100">D4062-D4061</f>
        <v>0</v>
      </c>
      <c r="Q4062" s="399" t="s">
        <v>125</v>
      </c>
      <c r="R4062" s="399">
        <f t="shared" ref="R4062" si="13101">IF(P4062&gt;0,$F$18*F4062/1000,0)</f>
        <v>0</v>
      </c>
      <c r="S4062" s="399" t="s">
        <v>205</v>
      </c>
      <c r="T4062" s="399" t="s">
        <v>125</v>
      </c>
      <c r="U4062" s="401">
        <f t="shared" si="13090"/>
        <v>1.041885</v>
      </c>
      <c r="V4062" s="399"/>
      <c r="W4062" s="399"/>
      <c r="X4062" s="399" t="s">
        <v>125</v>
      </c>
      <c r="Y4062" s="389">
        <f t="shared" ref="Y4062" si="13102">D4051</f>
        <v>1</v>
      </c>
      <c r="Z4062" s="400" t="s">
        <v>176</v>
      </c>
      <c r="AA4062" s="402">
        <f t="shared" ref="AA4062" si="13103">IF(AA4063=0,(D4062*N4062+P4062*R4062)*U4062*Y4062,0)</f>
        <v>0</v>
      </c>
      <c r="AB4062" s="403"/>
    </row>
    <row r="4063" spans="1:28">
      <c r="A4063" s="384" t="str">
        <f t="shared" ref="A4063:B4063" si="13104">A4045</f>
        <v>Lantai 2</v>
      </c>
      <c r="B4063" s="385">
        <f t="shared" si="13104"/>
        <v>48</v>
      </c>
      <c r="C4063" s="393"/>
      <c r="D4063" s="398">
        <f t="shared" si="12912"/>
        <v>3</v>
      </c>
      <c r="E4063" s="388" t="s">
        <v>16</v>
      </c>
      <c r="F4063" s="388">
        <f t="shared" si="12913"/>
        <v>13</v>
      </c>
      <c r="G4063" s="388"/>
      <c r="H4063" s="395"/>
      <c r="I4063" s="388"/>
      <c r="J4063" s="396"/>
      <c r="K4063" s="396"/>
      <c r="L4063" s="404" t="s">
        <v>207</v>
      </c>
      <c r="M4063" s="399" t="s">
        <v>176</v>
      </c>
      <c r="N4063" s="399">
        <f t="shared" ref="N4063" si="13105">IF(AND(D4060=D4061,D4060=D4062,D4061=D4062,F4060=F4061,F4060=F4062,F4061=F4062),SUM(N4060:N4062),0)</f>
        <v>1.212</v>
      </c>
      <c r="O4063" s="399" t="s">
        <v>204</v>
      </c>
      <c r="P4063" s="389">
        <f t="shared" ref="P4063" si="13106">IF(N4063&gt;12,ROUNDDOWN(N4063/12,0),0)</f>
        <v>0</v>
      </c>
      <c r="Q4063" s="399" t="s">
        <v>125</v>
      </c>
      <c r="R4063" s="399">
        <f t="shared" ref="R4063" si="13107">IF(P4063&gt;0,MAX(VLOOKUP(F4063,$D$6:$G$15,3,FALSE),600),0)/1000</f>
        <v>0</v>
      </c>
      <c r="S4063" s="396"/>
      <c r="T4063" s="396" t="s">
        <v>125</v>
      </c>
      <c r="U4063" s="401">
        <f t="shared" si="12917"/>
        <v>1.041885</v>
      </c>
      <c r="V4063" s="396" t="s">
        <v>125</v>
      </c>
      <c r="W4063" s="399">
        <f t="shared" ref="W4063" si="13108">D4063</f>
        <v>3</v>
      </c>
      <c r="X4063" s="399" t="s">
        <v>125</v>
      </c>
      <c r="Y4063" s="389">
        <f t="shared" si="12919"/>
        <v>1</v>
      </c>
      <c r="Z4063" s="400" t="s">
        <v>176</v>
      </c>
      <c r="AA4063" s="402">
        <f t="shared" ref="AA4063" si="13109">(N4063+P4063*R4063/1000)*U4063*W4063*Y4063</f>
        <v>3.78829386</v>
      </c>
      <c r="AB4063" s="403"/>
    </row>
    <row r="4064" spans="1:28">
      <c r="A4064" s="384"/>
      <c r="B4064" s="385"/>
      <c r="C4064" s="393"/>
      <c r="D4064" s="394"/>
      <c r="E4064" s="388"/>
      <c r="F4064" s="388"/>
      <c r="G4064" s="388"/>
      <c r="H4064" s="395"/>
      <c r="I4064" s="388"/>
      <c r="J4064" s="399"/>
      <c r="K4064" s="396"/>
      <c r="L4064" s="396"/>
      <c r="M4064" s="396"/>
      <c r="N4064" s="396"/>
      <c r="O4064" s="396"/>
      <c r="P4064" s="389"/>
      <c r="Q4064" s="396"/>
      <c r="R4064" s="396"/>
      <c r="S4064" s="396"/>
      <c r="T4064" s="396"/>
      <c r="U4064" s="401"/>
      <c r="V4064" s="396"/>
      <c r="W4064" s="388"/>
      <c r="X4064" s="396"/>
      <c r="Y4064" s="389"/>
      <c r="Z4064" s="396"/>
      <c r="AA4064" s="388"/>
      <c r="AB4064" s="390"/>
    </row>
    <row r="4065" spans="1:28">
      <c r="A4065" s="384" t="str">
        <f t="shared" ref="A4065:B4065" si="13110">A4045</f>
        <v>Lantai 2</v>
      </c>
      <c r="B4065" s="385">
        <f t="shared" si="13110"/>
        <v>48</v>
      </c>
      <c r="C4065" s="393" t="s">
        <v>211</v>
      </c>
      <c r="D4065" s="398">
        <f>VLOOKUP(D4045,'Detail Balok'!$C$10:$AU$140,31,FALSE)</f>
        <v>0</v>
      </c>
      <c r="E4065" s="388" t="s">
        <v>16</v>
      </c>
      <c r="F4065" s="388">
        <f>VLOOKUP(D4045,'Detail Balok'!$C$10:$AU$140,33,FALSE)</f>
        <v>10</v>
      </c>
      <c r="G4065" s="405" t="s">
        <v>157</v>
      </c>
      <c r="H4065" s="395">
        <f>VLOOKUP(D4045,'Detail Balok'!$C$10:$AU$140,35,FALSE)</f>
        <v>100</v>
      </c>
      <c r="I4065" s="388"/>
      <c r="J4065" s="400">
        <f t="shared" ref="J4065" si="13111">(IF(D4065=0,(2*(D4046+G4046))-(F$5*8),IF(D4065=3,(2*(D4046+G4046))-(F$5*8)+(G4046-2*F$5),IF(D4065=4,(2*(D4046+G4046))-(F$5*8)+2*(G4046-2*F$5)))))/1000</f>
        <v>0.88</v>
      </c>
      <c r="K4065" s="400" t="s">
        <v>204</v>
      </c>
      <c r="L4065" s="399">
        <f t="shared" ref="L4065:L4067" si="13112">IF(D4065=0,2*MAX(6*F4065,75),(D4065-1)*2*MAX(6*F4065,75))/1000</f>
        <v>0.15</v>
      </c>
      <c r="M4065" s="399" t="s">
        <v>176</v>
      </c>
      <c r="N4065" s="399">
        <f t="shared" ref="N4065:N4067" si="13113">J4065+L4065</f>
        <v>1.03</v>
      </c>
      <c r="O4065" s="399"/>
      <c r="P4065" s="389"/>
      <c r="Q4065" s="399"/>
      <c r="R4065" s="399"/>
      <c r="S4065" s="399"/>
      <c r="T4065" s="399" t="s">
        <v>125</v>
      </c>
      <c r="U4065" s="401">
        <f t="shared" ref="U4065:U4067" si="13114">0.006165*F4065^2</f>
        <v>0.61650000000000005</v>
      </c>
      <c r="V4065" s="399" t="s">
        <v>125</v>
      </c>
      <c r="W4065" s="399">
        <f t="shared" ref="W4065" si="13115">IF(D4048&gt;4*G4046,ROUND(MAX(D4048/4,2*G4046)/H4065,0)+1,ROUND(D4048/H4065,0)+1)</f>
        <v>10</v>
      </c>
      <c r="X4065" s="399" t="s">
        <v>125</v>
      </c>
      <c r="Y4065" s="389">
        <f t="shared" ref="Y4065" si="13116">D4051</f>
        <v>1</v>
      </c>
      <c r="Z4065" s="400" t="s">
        <v>176</v>
      </c>
      <c r="AA4065" s="402">
        <f t="shared" ref="AA4065:AA4067" si="13117">N4065*U4065*W4065*Y4065</f>
        <v>6.3499500000000006</v>
      </c>
      <c r="AB4065" s="403"/>
    </row>
    <row r="4066" spans="1:28">
      <c r="A4066" s="384" t="str">
        <f t="shared" ref="A4066:B4066" si="13118">A4045</f>
        <v>Lantai 2</v>
      </c>
      <c r="B4066" s="385">
        <f t="shared" si="13118"/>
        <v>48</v>
      </c>
      <c r="C4066" s="393" t="s">
        <v>212</v>
      </c>
      <c r="D4066" s="398">
        <f>VLOOKUP(D4045,'Detail Balok'!$C$10:$AU$140,36,FALSE)</f>
        <v>0</v>
      </c>
      <c r="E4066" s="388" t="s">
        <v>16</v>
      </c>
      <c r="F4066" s="388">
        <f>VLOOKUP(D4045,'Detail Balok'!$C$10:$AU$140,38,FALSE)</f>
        <v>10</v>
      </c>
      <c r="G4066" s="405" t="s">
        <v>157</v>
      </c>
      <c r="H4066" s="395">
        <f>VLOOKUP(D4045,'Detail Balok'!$C$10:$AU$140,40,FALSE)</f>
        <v>200</v>
      </c>
      <c r="I4066" s="388"/>
      <c r="J4066" s="400">
        <f t="shared" ref="J4066" si="13119">(IF(D4066=0,(2*(D4046+G4046))-(F$5*8),IF(D4066=3,(2*(D4046+G4046))-(F$5*8)+(G4046-2*F$5),IF(D4066=4,(2*(D4046+G4046))-(F$5*8)+2*(G4046-2*F$5)))))/1000</f>
        <v>0.88</v>
      </c>
      <c r="K4066" s="400" t="s">
        <v>204</v>
      </c>
      <c r="L4066" s="399">
        <f t="shared" si="13112"/>
        <v>0.15</v>
      </c>
      <c r="M4066" s="399" t="s">
        <v>176</v>
      </c>
      <c r="N4066" s="399">
        <f t="shared" si="13113"/>
        <v>1.03</v>
      </c>
      <c r="O4066" s="399"/>
      <c r="P4066" s="389"/>
      <c r="Q4066" s="399"/>
      <c r="R4066" s="399"/>
      <c r="S4066" s="399"/>
      <c r="T4066" s="399" t="s">
        <v>125</v>
      </c>
      <c r="U4066" s="401">
        <f t="shared" si="13114"/>
        <v>0.61650000000000005</v>
      </c>
      <c r="V4066" s="399" t="s">
        <v>125</v>
      </c>
      <c r="W4066" s="399">
        <f t="shared" ref="W4066" si="13120">IF(D4048-MAX(D4048/4,2*G4046)*2&gt;0,ROUND((D4048-MAX(D4048/4,2*G4046)*2)/H4066,0),0)</f>
        <v>0</v>
      </c>
      <c r="X4066" s="399" t="s">
        <v>125</v>
      </c>
      <c r="Y4066" s="389">
        <f t="shared" ref="Y4066" si="13121">D4051</f>
        <v>1</v>
      </c>
      <c r="Z4066" s="400" t="s">
        <v>176</v>
      </c>
      <c r="AA4066" s="402">
        <f t="shared" si="13117"/>
        <v>0</v>
      </c>
      <c r="AB4066" s="403"/>
    </row>
    <row r="4067" spans="1:28">
      <c r="A4067" s="384" t="str">
        <f t="shared" ref="A4067:B4067" si="13122">A4045</f>
        <v>Lantai 2</v>
      </c>
      <c r="B4067" s="385">
        <f t="shared" si="13122"/>
        <v>48</v>
      </c>
      <c r="C4067" s="393" t="s">
        <v>211</v>
      </c>
      <c r="D4067" s="398">
        <f>VLOOKUP(D4045,'Detail Balok'!$C$10:$AU$140,41,FALSE)</f>
        <v>0</v>
      </c>
      <c r="E4067" s="388" t="s">
        <v>16</v>
      </c>
      <c r="F4067" s="388">
        <f>VLOOKUP(D4045,'Detail Balok'!$C$10:$AU$140,43,FALSE)</f>
        <v>10</v>
      </c>
      <c r="G4067" s="405" t="s">
        <v>157</v>
      </c>
      <c r="H4067" s="395">
        <f>VLOOKUP(D4045,'Detail Balok'!$C$10:$AU$140,45,FALSE)</f>
        <v>100</v>
      </c>
      <c r="I4067" s="388"/>
      <c r="J4067" s="400">
        <f t="shared" ref="J4067" si="13123">(IF(D4067=0,(2*(D4046+G4046))-(F$5*8),IF(D4067=3,(2*(D4046+G4046))-(F$5*8)+(G4046-2*F$5),IF(D4067=4,(2*(D4046+G4046))-(F$5*8)+2*(G4046-2*F$5)))))/1000</f>
        <v>0.88</v>
      </c>
      <c r="K4067" s="400" t="s">
        <v>204</v>
      </c>
      <c r="L4067" s="399">
        <f t="shared" si="13112"/>
        <v>0.15</v>
      </c>
      <c r="M4067" s="399" t="s">
        <v>176</v>
      </c>
      <c r="N4067" s="399">
        <f t="shared" si="13113"/>
        <v>1.03</v>
      </c>
      <c r="O4067" s="399"/>
      <c r="P4067" s="389"/>
      <c r="Q4067" s="399"/>
      <c r="R4067" s="399"/>
      <c r="S4067" s="399"/>
      <c r="T4067" s="399" t="s">
        <v>125</v>
      </c>
      <c r="U4067" s="401">
        <f t="shared" si="13114"/>
        <v>0.61650000000000005</v>
      </c>
      <c r="V4067" s="399" t="s">
        <v>125</v>
      </c>
      <c r="W4067" s="399">
        <f t="shared" ref="W4067" si="13124">IF(D4048&gt;4*G4046,ROUND(MAX(D4048/4,2*G4046)/H4067,0)+1,0)</f>
        <v>0</v>
      </c>
      <c r="X4067" s="399" t="s">
        <v>125</v>
      </c>
      <c r="Y4067" s="389">
        <f t="shared" ref="Y4067" si="13125">D4051</f>
        <v>1</v>
      </c>
      <c r="Z4067" s="400" t="s">
        <v>176</v>
      </c>
      <c r="AA4067" s="402">
        <f t="shared" si="13117"/>
        <v>0</v>
      </c>
      <c r="AB4067" s="403"/>
    </row>
    <row r="4068" spans="1:28">
      <c r="A4068" s="384"/>
      <c r="B4068" s="385"/>
      <c r="C4068" s="393"/>
      <c r="D4068" s="394"/>
      <c r="E4068" s="388"/>
      <c r="F4068" s="388"/>
      <c r="G4068" s="388"/>
      <c r="H4068" s="395"/>
      <c r="I4068" s="388"/>
      <c r="J4068" s="399"/>
      <c r="K4068" s="396"/>
      <c r="L4068" s="396"/>
      <c r="M4068" s="396"/>
      <c r="N4068" s="396"/>
      <c r="O4068" s="396"/>
      <c r="P4068" s="389"/>
      <c r="Q4068" s="396"/>
      <c r="R4068" s="396"/>
      <c r="S4068" s="396"/>
      <c r="T4068" s="396"/>
      <c r="U4068" s="401"/>
      <c r="V4068" s="396"/>
      <c r="W4068" s="388"/>
      <c r="X4068" s="396"/>
      <c r="Y4068" s="389"/>
      <c r="Z4068" s="396"/>
      <c r="AA4068" s="388"/>
      <c r="AB4068" s="390"/>
    </row>
    <row r="4069" spans="1:28">
      <c r="A4069" s="384" t="str">
        <f t="shared" ref="A4069:B4069" si="13126">A4045</f>
        <v>Lantai 2</v>
      </c>
      <c r="B4069" s="385">
        <f t="shared" si="13126"/>
        <v>48</v>
      </c>
      <c r="C4069" s="393" t="s">
        <v>213</v>
      </c>
      <c r="D4069" s="398">
        <f>VLOOKUP(D4045,'Detail Balok'!$C$10:$BJ$140,46,FALSE)</f>
        <v>0</v>
      </c>
      <c r="E4069" s="388" t="s">
        <v>16</v>
      </c>
      <c r="F4069" s="388">
        <f>VLOOKUP(D4045,'Detail Balok'!$C$10:$BJ$140,48,FALSE)</f>
        <v>0</v>
      </c>
      <c r="G4069" s="405" t="s">
        <v>157</v>
      </c>
      <c r="H4069" s="395">
        <f>VLOOKUP(D4045,'Detail Balok'!$C$10:$BJ$140,50,FALSE)</f>
        <v>100</v>
      </c>
      <c r="I4069" s="388"/>
      <c r="J4069" s="399">
        <f t="shared" ref="J4069" si="13127">(D4046-2*F$5)/1000</f>
        <v>0.12</v>
      </c>
      <c r="K4069" s="400" t="s">
        <v>204</v>
      </c>
      <c r="L4069" s="399">
        <f t="shared" ref="L4069:L4071" si="13128">IF(D4069=0,2*MAX(6*F4069,75),(D4069-1)*2*MAX(6*F4069,75))/1000</f>
        <v>0.15</v>
      </c>
      <c r="M4069" s="399" t="s">
        <v>176</v>
      </c>
      <c r="N4069" s="399">
        <f t="shared" ref="N4069:N4071" si="13129">J4069+L4069</f>
        <v>0.27</v>
      </c>
      <c r="O4069" s="399"/>
      <c r="P4069" s="399"/>
      <c r="Q4069" s="399"/>
      <c r="R4069" s="399"/>
      <c r="S4069" s="399"/>
      <c r="T4069" s="399" t="s">
        <v>125</v>
      </c>
      <c r="U4069" s="401">
        <f t="shared" ref="U4069:U4071" si="13130">0.006165*F4069^2</f>
        <v>0</v>
      </c>
      <c r="V4069" s="399" t="s">
        <v>125</v>
      </c>
      <c r="W4069" s="399">
        <f t="shared" si="12942"/>
        <v>10</v>
      </c>
      <c r="X4069" s="399" t="s">
        <v>125</v>
      </c>
      <c r="Y4069" s="389">
        <f t="shared" ref="Y4069" si="13131">D4055</f>
        <v>3</v>
      </c>
      <c r="Z4069" s="400" t="s">
        <v>176</v>
      </c>
      <c r="AA4069" s="402">
        <f t="shared" ref="AA4069:AA4071" si="13132">N4069*U4069*W4069*Y4069</f>
        <v>0</v>
      </c>
      <c r="AB4069" s="403"/>
    </row>
    <row r="4070" spans="1:28">
      <c r="A4070" s="384" t="str">
        <f t="shared" ref="A4070:B4070" si="13133">A4045</f>
        <v>Lantai 2</v>
      </c>
      <c r="B4070" s="385">
        <f t="shared" si="13133"/>
        <v>48</v>
      </c>
      <c r="C4070" s="393" t="s">
        <v>214</v>
      </c>
      <c r="D4070" s="398">
        <f>VLOOKUP(D4045,'Detail Balok'!$C$10:$BJ$140,51,FALSE)</f>
        <v>0</v>
      </c>
      <c r="E4070" s="388" t="s">
        <v>16</v>
      </c>
      <c r="F4070" s="388">
        <f>VLOOKUP(D4045,'Detail Balok'!$C$10:$BJ$140,53,FALSE)</f>
        <v>0</v>
      </c>
      <c r="G4070" s="405" t="s">
        <v>157</v>
      </c>
      <c r="H4070" s="395">
        <f>VLOOKUP(D4045,'Detail Balok'!$C$10:$BJ$140,55,FALSE)</f>
        <v>100</v>
      </c>
      <c r="I4070" s="388"/>
      <c r="J4070" s="399">
        <f t="shared" ref="J4070" si="13134">(D4046-2*F$5)/1000</f>
        <v>0.12</v>
      </c>
      <c r="K4070" s="400" t="s">
        <v>204</v>
      </c>
      <c r="L4070" s="399">
        <f t="shared" si="13128"/>
        <v>0.15</v>
      </c>
      <c r="M4070" s="399" t="s">
        <v>176</v>
      </c>
      <c r="N4070" s="399">
        <f t="shared" si="13129"/>
        <v>0.27</v>
      </c>
      <c r="O4070" s="399"/>
      <c r="P4070" s="399"/>
      <c r="Q4070" s="399"/>
      <c r="R4070" s="399"/>
      <c r="S4070" s="399"/>
      <c r="T4070" s="399" t="s">
        <v>125</v>
      </c>
      <c r="U4070" s="401">
        <f t="shared" si="13130"/>
        <v>0</v>
      </c>
      <c r="V4070" s="399" t="s">
        <v>125</v>
      </c>
      <c r="W4070" s="399">
        <f t="shared" si="12942"/>
        <v>0</v>
      </c>
      <c r="X4070" s="399" t="s">
        <v>125</v>
      </c>
      <c r="Y4070" s="389">
        <f t="shared" ref="Y4070" si="13135">D4055</f>
        <v>3</v>
      </c>
      <c r="Z4070" s="400" t="s">
        <v>176</v>
      </c>
      <c r="AA4070" s="402">
        <f t="shared" si="13132"/>
        <v>0</v>
      </c>
      <c r="AB4070" s="403"/>
    </row>
    <row r="4071" spans="1:28">
      <c r="A4071" s="384" t="str">
        <f t="shared" ref="A4071:B4071" si="13136">A4045</f>
        <v>Lantai 2</v>
      </c>
      <c r="B4071" s="385">
        <f t="shared" si="13136"/>
        <v>48</v>
      </c>
      <c r="C4071" s="393" t="s">
        <v>213</v>
      </c>
      <c r="D4071" s="398">
        <f>VLOOKUP(D4045,'Detail Balok'!$C$10:$BJ$140,56,FALSE)</f>
        <v>0</v>
      </c>
      <c r="E4071" s="388" t="s">
        <v>16</v>
      </c>
      <c r="F4071" s="388">
        <f>VLOOKUP(D4045,'Detail Balok'!$C$10:$BJ$140,58,FALSE)</f>
        <v>0</v>
      </c>
      <c r="G4071" s="405" t="s">
        <v>157</v>
      </c>
      <c r="H4071" s="395">
        <f>VLOOKUP(D4045,'Detail Balok'!$C$10:$BJ$140,60,FALSE)</f>
        <v>100</v>
      </c>
      <c r="I4071" s="388"/>
      <c r="J4071" s="399">
        <f t="shared" ref="J4071" si="13137">(D4046-2*F$5)/1000</f>
        <v>0.12</v>
      </c>
      <c r="K4071" s="400" t="s">
        <v>204</v>
      </c>
      <c r="L4071" s="399">
        <f t="shared" si="13128"/>
        <v>0.15</v>
      </c>
      <c r="M4071" s="399" t="s">
        <v>176</v>
      </c>
      <c r="N4071" s="399">
        <f t="shared" si="13129"/>
        <v>0.27</v>
      </c>
      <c r="O4071" s="399"/>
      <c r="P4071" s="399"/>
      <c r="Q4071" s="399"/>
      <c r="R4071" s="399"/>
      <c r="S4071" s="399"/>
      <c r="T4071" s="399" t="s">
        <v>125</v>
      </c>
      <c r="U4071" s="401">
        <f t="shared" si="13130"/>
        <v>0</v>
      </c>
      <c r="V4071" s="399" t="s">
        <v>125</v>
      </c>
      <c r="W4071" s="399">
        <f t="shared" si="12942"/>
        <v>0</v>
      </c>
      <c r="X4071" s="399" t="s">
        <v>125</v>
      </c>
      <c r="Y4071" s="389">
        <f t="shared" ref="Y4071" si="13138">D4055</f>
        <v>3</v>
      </c>
      <c r="Z4071" s="400" t="s">
        <v>176</v>
      </c>
      <c r="AA4071" s="402">
        <f t="shared" si="13132"/>
        <v>0</v>
      </c>
      <c r="AB4071" s="403"/>
    </row>
    <row r="4072" spans="1:28">
      <c r="A4072" s="391"/>
      <c r="B4072" s="392"/>
      <c r="C4072" s="392"/>
      <c r="D4072" s="394"/>
      <c r="E4072" s="388"/>
      <c r="F4072" s="388"/>
      <c r="G4072" s="388"/>
      <c r="H4072" s="395"/>
      <c r="I4072" s="388"/>
      <c r="J4072" s="402"/>
      <c r="K4072" s="388"/>
      <c r="L4072" s="388"/>
      <c r="M4072" s="388"/>
      <c r="N4072" s="388"/>
      <c r="O4072" s="388"/>
      <c r="P4072" s="388"/>
      <c r="Q4072" s="388"/>
      <c r="R4072" s="388"/>
      <c r="S4072" s="388"/>
      <c r="T4072" s="388"/>
      <c r="U4072" s="388"/>
      <c r="V4072" s="388"/>
      <c r="W4072" s="388"/>
      <c r="X4072" s="388"/>
      <c r="Y4072" s="389"/>
      <c r="Z4072" s="388"/>
      <c r="AA4072" s="402"/>
      <c r="AB4072" s="403"/>
    </row>
    <row r="4073" spans="1:28" ht="15.75" thickBot="1">
      <c r="A4073" s="406"/>
      <c r="B4073" s="407"/>
      <c r="C4073" s="407"/>
      <c r="D4073" s="408"/>
      <c r="E4073" s="409"/>
      <c r="F4073" s="409"/>
      <c r="G4073" s="409"/>
      <c r="H4073" s="410"/>
      <c r="I4073" s="409"/>
      <c r="J4073" s="409"/>
      <c r="K4073" s="409"/>
      <c r="L4073" s="409"/>
      <c r="M4073" s="409"/>
      <c r="N4073" s="409"/>
      <c r="O4073" s="409"/>
      <c r="P4073" s="409"/>
      <c r="Q4073" s="409"/>
      <c r="R4073" s="409"/>
      <c r="S4073" s="409"/>
      <c r="T4073" s="409"/>
      <c r="U4073" s="409"/>
      <c r="V4073" s="409"/>
      <c r="W4073" s="409"/>
      <c r="X4073" s="409"/>
      <c r="Y4073" s="411"/>
      <c r="Z4073" s="409"/>
      <c r="AA4073" s="412"/>
      <c r="AB4073" s="413"/>
    </row>
    <row r="4074" spans="1:28">
      <c r="A4074" s="377"/>
      <c r="B4074" s="378"/>
      <c r="C4074" s="378"/>
      <c r="D4074" s="379"/>
      <c r="E4074" s="380"/>
      <c r="F4074" s="380"/>
      <c r="G4074" s="380"/>
      <c r="H4074" s="381"/>
      <c r="I4074" s="380"/>
      <c r="J4074" s="380"/>
      <c r="K4074" s="380"/>
      <c r="L4074" s="380"/>
      <c r="M4074" s="380"/>
      <c r="N4074" s="380"/>
      <c r="O4074" s="380"/>
      <c r="P4074" s="380"/>
      <c r="Q4074" s="380"/>
      <c r="R4074" s="380"/>
      <c r="S4074" s="380"/>
      <c r="T4074" s="380"/>
      <c r="U4074" s="380"/>
      <c r="V4074" s="380"/>
      <c r="W4074" s="380"/>
      <c r="X4074" s="380"/>
      <c r="Y4074" s="382"/>
      <c r="Z4074" s="380"/>
      <c r="AA4074" s="380"/>
      <c r="AB4074" s="383"/>
    </row>
    <row r="4075" spans="1:28">
      <c r="A4075" s="384" t="str">
        <f t="shared" si="12951"/>
        <v>Lantai 2</v>
      </c>
      <c r="B4075" s="385">
        <f t="shared" si="12952"/>
        <v>49</v>
      </c>
      <c r="C4075" s="386" t="str">
        <f t="shared" ref="C4075" si="13139">CONCATENATE(A4075," no. ",B4075)</f>
        <v>Lantai 2 no. 49</v>
      </c>
      <c r="D4075" s="2562" t="str">
        <f>VLOOKUP(C4075,'Data Panjang Balok'!$C$9:$N$254,2,FALSE)</f>
        <v>B25-1</v>
      </c>
      <c r="E4075" s="2576"/>
      <c r="F4075" s="2576"/>
      <c r="G4075" s="2576"/>
      <c r="H4075" s="2577"/>
      <c r="I4075" s="387"/>
      <c r="J4075" s="388"/>
      <c r="K4075" s="388"/>
      <c r="L4075" s="388"/>
      <c r="M4075" s="388"/>
      <c r="N4075" s="388"/>
      <c r="O4075" s="388"/>
      <c r="P4075" s="388"/>
      <c r="Q4075" s="388"/>
      <c r="R4075" s="388"/>
      <c r="S4075" s="388"/>
      <c r="T4075" s="388"/>
      <c r="U4075" s="388"/>
      <c r="V4075" s="388"/>
      <c r="W4075" s="388"/>
      <c r="X4075" s="388"/>
      <c r="Y4075" s="389"/>
      <c r="Z4075" s="388"/>
      <c r="AA4075" s="388"/>
      <c r="AB4075" s="390"/>
    </row>
    <row r="4076" spans="1:28">
      <c r="A4076" s="391"/>
      <c r="B4076" s="392"/>
      <c r="C4076" s="393" t="s">
        <v>118</v>
      </c>
      <c r="D4076" s="2578">
        <f>VLOOKUP(D4075,'Detail Balok'!$C$10:$AU$140,2,FALSE)</f>
        <v>200</v>
      </c>
      <c r="E4076" s="2579"/>
      <c r="F4076" s="388" t="s">
        <v>125</v>
      </c>
      <c r="G4076" s="2579">
        <f>VLOOKUP(D4075,'Detail Balok'!$C$10:$AU$140,3,FALSE)</f>
        <v>500</v>
      </c>
      <c r="H4076" s="2580"/>
      <c r="I4076" s="388"/>
      <c r="J4076" s="396"/>
      <c r="K4076" s="396"/>
      <c r="L4076" s="396"/>
      <c r="M4076" s="396"/>
      <c r="N4076" s="396"/>
      <c r="O4076" s="396"/>
      <c r="P4076" s="396"/>
      <c r="Q4076" s="396"/>
      <c r="R4076" s="396"/>
      <c r="S4076" s="396"/>
      <c r="T4076" s="396"/>
      <c r="U4076" s="388"/>
      <c r="V4076" s="396"/>
      <c r="W4076" s="388"/>
      <c r="X4076" s="396"/>
      <c r="Y4076" s="389"/>
      <c r="Z4076" s="396"/>
      <c r="AA4076" s="388"/>
      <c r="AB4076" s="390"/>
    </row>
    <row r="4077" spans="1:28">
      <c r="A4077" s="391"/>
      <c r="B4077" s="392"/>
      <c r="C4077" s="393" t="s">
        <v>198</v>
      </c>
      <c r="D4077" s="2562">
        <f>VLOOKUP(C4075,'Data Panjang Balok'!$C$9:$N$254,4,FALSE)</f>
        <v>4805</v>
      </c>
      <c r="E4077" s="2563"/>
      <c r="F4077" s="2563"/>
      <c r="G4077" s="2563"/>
      <c r="H4077" s="2564"/>
      <c r="I4077" s="397"/>
      <c r="J4077" s="396"/>
      <c r="K4077" s="396"/>
      <c r="L4077" s="396"/>
      <c r="M4077" s="396"/>
      <c r="N4077" s="396"/>
      <c r="O4077" s="396"/>
      <c r="P4077" s="396"/>
      <c r="Q4077" s="396"/>
      <c r="R4077" s="396"/>
      <c r="S4077" s="396"/>
      <c r="T4077" s="396"/>
      <c r="U4077" s="388"/>
      <c r="V4077" s="396"/>
      <c r="W4077" s="388"/>
      <c r="X4077" s="396"/>
      <c r="Y4077" s="389"/>
      <c r="Z4077" s="396"/>
      <c r="AA4077" s="388"/>
      <c r="AB4077" s="390"/>
    </row>
    <row r="4078" spans="1:28">
      <c r="A4078" s="391"/>
      <c r="B4078" s="392"/>
      <c r="C4078" s="393" t="s">
        <v>199</v>
      </c>
      <c r="D4078" s="2562">
        <f>VLOOKUP(C4075,'Data Panjang Balok'!$C$9:$N$254,7,FALSE)</f>
        <v>4805</v>
      </c>
      <c r="E4078" s="2563"/>
      <c r="F4078" s="2563"/>
      <c r="G4078" s="2563"/>
      <c r="H4078" s="2564"/>
      <c r="I4078" s="397"/>
      <c r="J4078" s="396"/>
      <c r="K4078" s="396"/>
      <c r="L4078" s="396"/>
      <c r="M4078" s="396"/>
      <c r="N4078" s="396"/>
      <c r="O4078" s="396"/>
      <c r="P4078" s="396"/>
      <c r="Q4078" s="396"/>
      <c r="R4078" s="396"/>
      <c r="S4078" s="396"/>
      <c r="T4078" s="396"/>
      <c r="U4078" s="388"/>
      <c r="V4078" s="396"/>
      <c r="W4078" s="388"/>
      <c r="X4078" s="396"/>
      <c r="Y4078" s="389"/>
      <c r="Z4078" s="396"/>
      <c r="AA4078" s="388"/>
      <c r="AB4078" s="390"/>
    </row>
    <row r="4079" spans="1:28">
      <c r="A4079" s="391"/>
      <c r="B4079" s="392"/>
      <c r="C4079" s="393" t="s">
        <v>200</v>
      </c>
      <c r="D4079" s="2562">
        <f>VLOOKUP(C4075,'Data Panjang Balok'!$C$9:$N$254,9,FALSE)</f>
        <v>0</v>
      </c>
      <c r="E4079" s="2563"/>
      <c r="F4079" s="2563"/>
      <c r="G4079" s="2563"/>
      <c r="H4079" s="2564"/>
      <c r="I4079" s="397"/>
      <c r="J4079" s="396"/>
      <c r="K4079" s="396"/>
      <c r="L4079" s="396"/>
      <c r="M4079" s="396"/>
      <c r="N4079" s="396"/>
      <c r="O4079" s="396"/>
      <c r="P4079" s="396"/>
      <c r="Q4079" s="396"/>
      <c r="R4079" s="396"/>
      <c r="S4079" s="396"/>
      <c r="T4079" s="396"/>
      <c r="U4079" s="388"/>
      <c r="V4079" s="396"/>
      <c r="W4079" s="388"/>
      <c r="X4079" s="396"/>
      <c r="Y4079" s="389"/>
      <c r="Z4079" s="396"/>
      <c r="AA4079" s="388"/>
      <c r="AB4079" s="390"/>
    </row>
    <row r="4080" spans="1:28">
      <c r="A4080" s="391"/>
      <c r="B4080" s="392"/>
      <c r="C4080" s="393" t="s">
        <v>201</v>
      </c>
      <c r="D4080" s="2562">
        <f>VLOOKUP(C4075,'Data Panjang Balok'!$C$9:$N$254,10,FALSE)</f>
        <v>0</v>
      </c>
      <c r="E4080" s="2563"/>
      <c r="F4080" s="2563"/>
      <c r="G4080" s="2563"/>
      <c r="H4080" s="2564"/>
      <c r="I4080" s="397"/>
      <c r="J4080" s="396"/>
      <c r="K4080" s="396"/>
      <c r="L4080" s="396"/>
      <c r="M4080" s="396"/>
      <c r="N4080" s="396"/>
      <c r="O4080" s="396"/>
      <c r="P4080" s="396"/>
      <c r="Q4080" s="396"/>
      <c r="R4080" s="396"/>
      <c r="S4080" s="396"/>
      <c r="T4080" s="396"/>
      <c r="U4080" s="388"/>
      <c r="V4080" s="396"/>
      <c r="W4080" s="388"/>
      <c r="X4080" s="396"/>
      <c r="Y4080" s="389"/>
      <c r="Z4080" s="396"/>
      <c r="AA4080" s="388"/>
      <c r="AB4080" s="390"/>
    </row>
    <row r="4081" spans="1:28">
      <c r="A4081" s="391"/>
      <c r="B4081" s="392"/>
      <c r="C4081" s="393" t="s">
        <v>48</v>
      </c>
      <c r="D4081" s="2562">
        <f>VLOOKUP(C4075,'Data Panjang Balok'!$C$9:$N$254,3,FALSE)</f>
        <v>1</v>
      </c>
      <c r="E4081" s="2563"/>
      <c r="F4081" s="2563"/>
      <c r="G4081" s="2563"/>
      <c r="H4081" s="2564"/>
      <c r="I4081" s="397"/>
      <c r="J4081" s="396"/>
      <c r="K4081" s="396"/>
      <c r="L4081" s="396"/>
      <c r="M4081" s="396"/>
      <c r="N4081" s="396"/>
      <c r="O4081" s="396"/>
      <c r="P4081" s="396"/>
      <c r="Q4081" s="396"/>
      <c r="R4081" s="396"/>
      <c r="S4081" s="396"/>
      <c r="T4081" s="396"/>
      <c r="U4081" s="388"/>
      <c r="V4081" s="396"/>
      <c r="W4081" s="388"/>
      <c r="X4081" s="396"/>
      <c r="Y4081" s="389"/>
      <c r="Z4081" s="396"/>
      <c r="AA4081" s="388"/>
      <c r="AB4081" s="390"/>
    </row>
    <row r="4082" spans="1:28">
      <c r="A4082" s="384" t="str">
        <f t="shared" ref="A4082:B4082" si="13140">A4075</f>
        <v>Lantai 2</v>
      </c>
      <c r="B4082" s="385">
        <f t="shared" si="13140"/>
        <v>49</v>
      </c>
      <c r="C4082" s="393" t="s">
        <v>202</v>
      </c>
      <c r="D4082" s="398">
        <f>VLOOKUP(D4075,'Detail Balok'!$C$10:$AU$140,4,FALSE)</f>
        <v>4</v>
      </c>
      <c r="E4082" s="388" t="s">
        <v>16</v>
      </c>
      <c r="F4082" s="388">
        <f>VLOOKUP(D4075,'Detail Balok'!$C$10:$AU$140,6,FALSE)</f>
        <v>16</v>
      </c>
      <c r="G4082" s="388"/>
      <c r="H4082" s="395"/>
      <c r="I4082" s="388" t="s">
        <v>203</v>
      </c>
      <c r="J4082" s="399">
        <f t="shared" ref="J4082" si="13141">+D4077/4/1000</f>
        <v>1.2012499999999999</v>
      </c>
      <c r="K4082" s="400" t="s">
        <v>204</v>
      </c>
      <c r="L4082" s="399">
        <f t="shared" ref="L4082" si="13142">MAX(VLOOKUP(F4082,N$6:P$15,3,FALSE)/1000,2/3*D4079/1000)+F$16*F4082/1000</f>
        <v>0.192</v>
      </c>
      <c r="M4082" s="399" t="s">
        <v>176</v>
      </c>
      <c r="N4082" s="399">
        <f t="shared" ref="N4082:N4084" si="13143">J4082+L4082</f>
        <v>1.3932499999999999</v>
      </c>
      <c r="O4082" s="399" t="s">
        <v>204</v>
      </c>
      <c r="P4082" s="389">
        <f t="shared" ref="P4082" si="13144">D4082-D4083</f>
        <v>0</v>
      </c>
      <c r="Q4082" s="399" t="s">
        <v>125</v>
      </c>
      <c r="R4082" s="399">
        <f t="shared" ref="R4082" si="13145">IF(P4082&gt;0,$F$18*F4082/1000,0)</f>
        <v>0</v>
      </c>
      <c r="S4082" s="399" t="s">
        <v>205</v>
      </c>
      <c r="T4082" s="399" t="s">
        <v>125</v>
      </c>
      <c r="U4082" s="401">
        <f t="shared" ref="U4082:U4084" si="13146">0.006165*F4082^2</f>
        <v>1.5782400000000001</v>
      </c>
      <c r="V4082" s="399"/>
      <c r="W4082" s="399"/>
      <c r="X4082" s="399" t="s">
        <v>125</v>
      </c>
      <c r="Y4082" s="389">
        <f t="shared" ref="Y4082" si="13147">D4081</f>
        <v>1</v>
      </c>
      <c r="Z4082" s="400" t="s">
        <v>176</v>
      </c>
      <c r="AA4082" s="402">
        <f t="shared" ref="AA4082" si="13148">IF(AA4085=0,(D4082*N4082+P4082*R4082)*U4082*Y4082,0)</f>
        <v>0</v>
      </c>
      <c r="AB4082" s="403"/>
    </row>
    <row r="4083" spans="1:28">
      <c r="A4083" s="384" t="str">
        <f t="shared" ref="A4083:B4083" si="13149">A4075</f>
        <v>Lantai 2</v>
      </c>
      <c r="B4083" s="385">
        <f t="shared" si="13149"/>
        <v>49</v>
      </c>
      <c r="C4083" s="393" t="s">
        <v>206</v>
      </c>
      <c r="D4083" s="398">
        <f>VLOOKUP(D4075,'Detail Balok'!$C$10:$AU$140,7,FALSE)</f>
        <v>4</v>
      </c>
      <c r="E4083" s="388" t="s">
        <v>16</v>
      </c>
      <c r="F4083" s="388">
        <f>VLOOKUP(D4075,'Detail Balok'!$C$10:$AU$140,9,FALSE)</f>
        <v>16</v>
      </c>
      <c r="G4083" s="388"/>
      <c r="H4083" s="395"/>
      <c r="I4083" s="388" t="s">
        <v>203</v>
      </c>
      <c r="J4083" s="399">
        <f t="shared" ref="J4083" si="13150">+D4077/2/1000</f>
        <v>2.4024999999999999</v>
      </c>
      <c r="K4083" s="400" t="s">
        <v>204</v>
      </c>
      <c r="L4083" s="399"/>
      <c r="M4083" s="399" t="s">
        <v>176</v>
      </c>
      <c r="N4083" s="399">
        <f t="shared" si="13143"/>
        <v>2.4024999999999999</v>
      </c>
      <c r="O4083" s="399" t="s">
        <v>204</v>
      </c>
      <c r="P4083" s="389">
        <f t="shared" ref="P4083" si="13151">MAX(D4083-D4082,D4083-D4084)</f>
        <v>0</v>
      </c>
      <c r="Q4083" s="399" t="s">
        <v>125</v>
      </c>
      <c r="R4083" s="399">
        <f t="shared" ref="R4083" si="13152">IF(P4083&gt;0,2*(1-2*$F$19-1/2)*D4078/1000,0)</f>
        <v>0</v>
      </c>
      <c r="S4083" s="399" t="s">
        <v>205</v>
      </c>
      <c r="T4083" s="399" t="s">
        <v>125</v>
      </c>
      <c r="U4083" s="401">
        <f t="shared" si="13146"/>
        <v>1.5782400000000001</v>
      </c>
      <c r="V4083" s="399"/>
      <c r="W4083" s="399"/>
      <c r="X4083" s="399" t="s">
        <v>125</v>
      </c>
      <c r="Y4083" s="389">
        <f t="shared" ref="Y4083" si="13153">D4081</f>
        <v>1</v>
      </c>
      <c r="Z4083" s="400" t="s">
        <v>176</v>
      </c>
      <c r="AA4083" s="402">
        <f t="shared" ref="AA4083" si="13154">IF(AA4085=0,(D4083*N4083+P4083*R4083)*U4083*Y4083,0)</f>
        <v>0</v>
      </c>
      <c r="AB4083" s="403"/>
    </row>
    <row r="4084" spans="1:28">
      <c r="A4084" s="384" t="str">
        <f t="shared" ref="A4084:B4084" si="13155">A4075</f>
        <v>Lantai 2</v>
      </c>
      <c r="B4084" s="385">
        <f t="shared" si="13155"/>
        <v>49</v>
      </c>
      <c r="C4084" s="393" t="s">
        <v>202</v>
      </c>
      <c r="D4084" s="398">
        <f>VLOOKUP(D4075,'Detail Balok'!$C$10:$AU$140,10,FALSE)</f>
        <v>4</v>
      </c>
      <c r="E4084" s="388" t="s">
        <v>16</v>
      </c>
      <c r="F4084" s="388">
        <f>VLOOKUP(D4075,'Detail Balok'!$C$10:$AU$140,12,FALSE)</f>
        <v>16</v>
      </c>
      <c r="G4084" s="388"/>
      <c r="H4084" s="395"/>
      <c r="I4084" s="388" t="s">
        <v>203</v>
      </c>
      <c r="J4084" s="399">
        <f t="shared" ref="J4084" si="13156">+D4077/4/1000</f>
        <v>1.2012499999999999</v>
      </c>
      <c r="K4084" s="400" t="s">
        <v>204</v>
      </c>
      <c r="L4084" s="399">
        <f t="shared" ref="L4084" si="13157">MAX(VLOOKUP(F4084,N$6:P$15,3,FALSE)/1000,2/3*D4079/1000)+F$16*F4084/1000</f>
        <v>0.192</v>
      </c>
      <c r="M4084" s="399" t="s">
        <v>176</v>
      </c>
      <c r="N4084" s="399">
        <f t="shared" si="13143"/>
        <v>1.3932499999999999</v>
      </c>
      <c r="O4084" s="399" t="s">
        <v>204</v>
      </c>
      <c r="P4084" s="389">
        <f t="shared" ref="P4084" si="13158">D4084-D4083</f>
        <v>0</v>
      </c>
      <c r="Q4084" s="399" t="s">
        <v>125</v>
      </c>
      <c r="R4084" s="399">
        <f t="shared" ref="R4084" si="13159">IF(P4084&gt;0,$F$18*F4084/1000,0)</f>
        <v>0</v>
      </c>
      <c r="S4084" s="399" t="s">
        <v>205</v>
      </c>
      <c r="T4084" s="399" t="s">
        <v>125</v>
      </c>
      <c r="U4084" s="401">
        <f t="shared" si="13146"/>
        <v>1.5782400000000001</v>
      </c>
      <c r="V4084" s="399"/>
      <c r="W4084" s="399"/>
      <c r="X4084" s="399" t="s">
        <v>125</v>
      </c>
      <c r="Y4084" s="389">
        <f t="shared" ref="Y4084" si="13160">D4081</f>
        <v>1</v>
      </c>
      <c r="Z4084" s="400" t="s">
        <v>176</v>
      </c>
      <c r="AA4084" s="402">
        <f t="shared" ref="AA4084" si="13161">IF(AA4085=0,(D4084*N4084+P4084*R4084)*U4084*Y4084,0)</f>
        <v>0</v>
      </c>
      <c r="AB4084" s="403"/>
    </row>
    <row r="4085" spans="1:28">
      <c r="A4085" s="384" t="str">
        <f t="shared" ref="A4085:B4085" si="13162">A4075</f>
        <v>Lantai 2</v>
      </c>
      <c r="B4085" s="385">
        <f t="shared" si="13162"/>
        <v>49</v>
      </c>
      <c r="C4085" s="393"/>
      <c r="D4085" s="398">
        <f t="shared" ref="D4085:D4145" si="13163">IF(AND(D4082=D4083,D4083=D4084,D4082=D4084),D4082,0)</f>
        <v>4</v>
      </c>
      <c r="E4085" s="388" t="s">
        <v>16</v>
      </c>
      <c r="F4085" s="388">
        <f t="shared" ref="F4085:F4145" si="13164">IF(AND(F4082=F4083,F4082=F4084,F4083=F4084),F4082,0)</f>
        <v>16</v>
      </c>
      <c r="G4085" s="388"/>
      <c r="H4085" s="395"/>
      <c r="I4085" s="388"/>
      <c r="J4085" s="396"/>
      <c r="K4085" s="396"/>
      <c r="L4085" s="404" t="s">
        <v>207</v>
      </c>
      <c r="M4085" s="399" t="s">
        <v>176</v>
      </c>
      <c r="N4085" s="399">
        <f t="shared" ref="N4085" si="13165">IF(AND(D4082=D4083,D4082=D4084,D4083=D4084,F4082=F4083,F4082=F4084,F4083=F4084),SUM(N4082:N4084),0)</f>
        <v>5.1890000000000001</v>
      </c>
      <c r="O4085" s="399" t="s">
        <v>204</v>
      </c>
      <c r="P4085" s="389">
        <f t="shared" ref="P4085" si="13166">IF(N4085&gt;12,ROUNDDOWN(N4085/12,0),0)</f>
        <v>0</v>
      </c>
      <c r="Q4085" s="399" t="s">
        <v>125</v>
      </c>
      <c r="R4085" s="399">
        <f t="shared" ref="R4085" si="13167">IF(P4085&gt;0,MAX(VLOOKUP(F4085,$D$6:$G$15,3,FALSE),600),0)/1000</f>
        <v>0</v>
      </c>
      <c r="S4085" s="396"/>
      <c r="T4085" s="396" t="s">
        <v>125</v>
      </c>
      <c r="U4085" s="401">
        <f t="shared" ref="U4085:U4145" si="13168">U4084</f>
        <v>1.5782400000000001</v>
      </c>
      <c r="V4085" s="396" t="s">
        <v>125</v>
      </c>
      <c r="W4085" s="399">
        <f t="shared" ref="W4085" si="13169">D4085</f>
        <v>4</v>
      </c>
      <c r="X4085" s="399" t="s">
        <v>125</v>
      </c>
      <c r="Y4085" s="389">
        <f t="shared" ref="Y4085:Y4145" si="13170">Y4084</f>
        <v>1</v>
      </c>
      <c r="Z4085" s="400" t="s">
        <v>176</v>
      </c>
      <c r="AA4085" s="402">
        <f t="shared" ref="AA4085" si="13171">(N4085+P4085*R4085/1000)*U4085*W4085*Y4085</f>
        <v>32.757949440000004</v>
      </c>
      <c r="AB4085" s="390"/>
    </row>
    <row r="4086" spans="1:28">
      <c r="A4086" s="384"/>
      <c r="B4086" s="385"/>
      <c r="C4086" s="393"/>
      <c r="D4086" s="398"/>
      <c r="E4086" s="388"/>
      <c r="F4086" s="388"/>
      <c r="G4086" s="388"/>
      <c r="H4086" s="395"/>
      <c r="I4086" s="388"/>
      <c r="J4086" s="396"/>
      <c r="K4086" s="396"/>
      <c r="L4086" s="404"/>
      <c r="M4086" s="399"/>
      <c r="N4086" s="399"/>
      <c r="O4086" s="396"/>
      <c r="P4086" s="389"/>
      <c r="Q4086" s="396"/>
      <c r="R4086" s="396"/>
      <c r="S4086" s="396"/>
      <c r="T4086" s="396"/>
      <c r="U4086" s="401"/>
      <c r="V4086" s="396"/>
      <c r="W4086" s="399"/>
      <c r="X4086" s="396"/>
      <c r="Y4086" s="389"/>
      <c r="Z4086" s="396"/>
      <c r="AA4086" s="388"/>
      <c r="AB4086" s="390"/>
    </row>
    <row r="4087" spans="1:28">
      <c r="A4087" s="384" t="str">
        <f t="shared" ref="A4087:B4087" si="13172">A4075</f>
        <v>Lantai 2</v>
      </c>
      <c r="B4087" s="385">
        <f t="shared" si="13172"/>
        <v>49</v>
      </c>
      <c r="C4087" s="393" t="s">
        <v>208</v>
      </c>
      <c r="D4087" s="398">
        <f>VLOOKUP(D4075,'Detail Balok'!$C$10:$AU$140,13,FALSE)</f>
        <v>2</v>
      </c>
      <c r="E4087" s="388" t="s">
        <v>16</v>
      </c>
      <c r="F4087" s="388">
        <f>VLOOKUP(D4075,'Detail Balok'!$C$10:$AU$140,15,FALSE)</f>
        <v>10</v>
      </c>
      <c r="G4087" s="388"/>
      <c r="H4087" s="395"/>
      <c r="I4087" s="388"/>
      <c r="J4087" s="399">
        <f t="shared" ref="J4087" si="13173">+D4077/1000</f>
        <v>4.8049999999999997</v>
      </c>
      <c r="K4087" s="400" t="s">
        <v>204</v>
      </c>
      <c r="L4087" s="399">
        <f t="shared" ref="L4087" si="13174">2*$F$16*F4087/1000</f>
        <v>0.24</v>
      </c>
      <c r="M4087" s="399" t="s">
        <v>176</v>
      </c>
      <c r="N4087" s="399">
        <f t="shared" ref="N4087" si="13175">J4087+L4087</f>
        <v>5.0449999999999999</v>
      </c>
      <c r="O4087" s="399" t="s">
        <v>204</v>
      </c>
      <c r="P4087" s="389">
        <f t="shared" ref="P4087" si="13176">IF(N4087&gt;12,ROUNDDOWN(N4087/12,0),0)</f>
        <v>0</v>
      </c>
      <c r="Q4087" s="399" t="s">
        <v>125</v>
      </c>
      <c r="R4087" s="399">
        <f t="shared" ref="R4087" si="13177">IF(P4087&gt;0,MAX(VLOOKUP(F4087,$D$6:$G$15,3,FALSE),600),0)/1000</f>
        <v>0</v>
      </c>
      <c r="S4087" s="399"/>
      <c r="T4087" s="399" t="s">
        <v>125</v>
      </c>
      <c r="U4087" s="401">
        <f t="shared" ref="U4087" si="13178">0.006165*F4087^2</f>
        <v>0.61650000000000005</v>
      </c>
      <c r="V4087" s="399" t="s">
        <v>125</v>
      </c>
      <c r="W4087" s="399">
        <f t="shared" ref="W4087" si="13179">+D4087</f>
        <v>2</v>
      </c>
      <c r="X4087" s="399" t="s">
        <v>125</v>
      </c>
      <c r="Y4087" s="389">
        <f t="shared" ref="Y4087" si="13180">D4081</f>
        <v>1</v>
      </c>
      <c r="Z4087" s="400" t="s">
        <v>176</v>
      </c>
      <c r="AA4087" s="402">
        <f t="shared" ref="AA4087" si="13181">(N4087+P4087*R4087/1000)*U4087*W4087*Y4087</f>
        <v>6.220485</v>
      </c>
      <c r="AB4087" s="403"/>
    </row>
    <row r="4088" spans="1:28">
      <c r="A4088" s="384"/>
      <c r="B4088" s="385"/>
      <c r="C4088" s="393"/>
      <c r="D4088" s="398"/>
      <c r="E4088" s="388"/>
      <c r="F4088" s="388"/>
      <c r="G4088" s="388"/>
      <c r="H4088" s="395"/>
      <c r="I4088" s="388"/>
      <c r="J4088" s="399"/>
      <c r="K4088" s="400"/>
      <c r="L4088" s="399"/>
      <c r="M4088" s="399"/>
      <c r="N4088" s="399"/>
      <c r="O4088" s="399"/>
      <c r="P4088" s="389"/>
      <c r="Q4088" s="399"/>
      <c r="R4088" s="399"/>
      <c r="S4088" s="399"/>
      <c r="T4088" s="399"/>
      <c r="U4088" s="401"/>
      <c r="V4088" s="399"/>
      <c r="W4088" s="399"/>
      <c r="X4088" s="399"/>
      <c r="Y4088" s="389"/>
      <c r="Z4088" s="400"/>
      <c r="AA4088" s="402"/>
      <c r="AB4088" s="403"/>
    </row>
    <row r="4089" spans="1:28">
      <c r="A4089" s="384"/>
      <c r="B4089" s="385"/>
      <c r="C4089" s="393"/>
      <c r="D4089" s="398"/>
      <c r="E4089" s="388"/>
      <c r="F4089" s="388"/>
      <c r="G4089" s="388"/>
      <c r="H4089" s="395"/>
      <c r="I4089" s="388"/>
      <c r="J4089" s="396"/>
      <c r="K4089" s="396"/>
      <c r="L4089" s="396"/>
      <c r="M4089" s="396"/>
      <c r="N4089" s="396"/>
      <c r="O4089" s="396"/>
      <c r="P4089" s="389"/>
      <c r="Q4089" s="396"/>
      <c r="R4089" s="396"/>
      <c r="S4089" s="396"/>
      <c r="T4089" s="396"/>
      <c r="U4089" s="401"/>
      <c r="V4089" s="396"/>
      <c r="W4089" s="399"/>
      <c r="X4089" s="396"/>
      <c r="Y4089" s="389"/>
      <c r="Z4089" s="396"/>
      <c r="AA4089" s="388"/>
      <c r="AB4089" s="390"/>
    </row>
    <row r="4090" spans="1:28">
      <c r="A4090" s="384" t="str">
        <f t="shared" ref="A4090:B4090" si="13182">A4075</f>
        <v>Lantai 2</v>
      </c>
      <c r="B4090" s="385">
        <f t="shared" si="13182"/>
        <v>49</v>
      </c>
      <c r="C4090" s="393" t="s">
        <v>209</v>
      </c>
      <c r="D4090" s="398">
        <f>VLOOKUP(D4075,'Detail Balok'!$C$10:$AU$140,22,FALSE)</f>
        <v>4</v>
      </c>
      <c r="E4090" s="388" t="s">
        <v>16</v>
      </c>
      <c r="F4090" s="388">
        <f>VLOOKUP(D4075,'Detail Balok'!$C$10:$AU$140,24,FALSE)</f>
        <v>16</v>
      </c>
      <c r="G4090" s="388"/>
      <c r="H4090" s="395"/>
      <c r="I4090" s="388" t="s">
        <v>203</v>
      </c>
      <c r="J4090" s="399">
        <f t="shared" ref="J4090:J4152" si="13183">+J4082</f>
        <v>1.2012499999999999</v>
      </c>
      <c r="K4090" s="400" t="s">
        <v>204</v>
      </c>
      <c r="L4090" s="399">
        <f t="shared" ref="L4090" si="13184">MAX(VLOOKUP(F4090,N$6:P$15,3,FALSE)/1000,2/3*D4080/1000)+F$16*F4090/1000</f>
        <v>0.192</v>
      </c>
      <c r="M4090" s="399" t="s">
        <v>176</v>
      </c>
      <c r="N4090" s="399">
        <f t="shared" ref="N4090:N4092" si="13185">J4090+L4090</f>
        <v>1.3932499999999999</v>
      </c>
      <c r="O4090" s="399" t="s">
        <v>204</v>
      </c>
      <c r="P4090" s="389">
        <f t="shared" ref="P4090" si="13186">D4090-D4091</f>
        <v>0</v>
      </c>
      <c r="Q4090" s="399" t="s">
        <v>125</v>
      </c>
      <c r="R4090" s="399">
        <f t="shared" ref="R4090" si="13187">IF(P4090&gt;0,$F$18*F4090/1000,0)</f>
        <v>0</v>
      </c>
      <c r="S4090" s="399" t="s">
        <v>205</v>
      </c>
      <c r="T4090" s="399" t="s">
        <v>125</v>
      </c>
      <c r="U4090" s="401">
        <f t="shared" ref="U4090:U4092" si="13188">0.006165*F4090^2</f>
        <v>1.5782400000000001</v>
      </c>
      <c r="V4090" s="399"/>
      <c r="W4090" s="399"/>
      <c r="X4090" s="399" t="s">
        <v>125</v>
      </c>
      <c r="Y4090" s="389">
        <f t="shared" ref="Y4090" si="13189">D4081</f>
        <v>1</v>
      </c>
      <c r="Z4090" s="400" t="s">
        <v>176</v>
      </c>
      <c r="AA4090" s="402">
        <f t="shared" ref="AA4090" si="13190">IF(AA4093=0,(D4090*N4090+P4090*R4090)*U4090*Y4090,0)</f>
        <v>0</v>
      </c>
      <c r="AB4090" s="403"/>
    </row>
    <row r="4091" spans="1:28">
      <c r="A4091" s="384" t="str">
        <f t="shared" ref="A4091:B4091" si="13191">A4075</f>
        <v>Lantai 2</v>
      </c>
      <c r="B4091" s="385">
        <f t="shared" si="13191"/>
        <v>49</v>
      </c>
      <c r="C4091" s="393" t="s">
        <v>210</v>
      </c>
      <c r="D4091" s="398">
        <f>VLOOKUP(D4075,'Detail Balok'!$C$10:$AU$140,25,FALSE)</f>
        <v>4</v>
      </c>
      <c r="E4091" s="388" t="s">
        <v>16</v>
      </c>
      <c r="F4091" s="388">
        <f>VLOOKUP(D4075,'Detail Balok'!$C$10:$AU$140,27,FALSE)</f>
        <v>16</v>
      </c>
      <c r="G4091" s="388"/>
      <c r="H4091" s="395"/>
      <c r="I4091" s="388" t="s">
        <v>203</v>
      </c>
      <c r="J4091" s="399">
        <f t="shared" si="13183"/>
        <v>2.4024999999999999</v>
      </c>
      <c r="K4091" s="400" t="s">
        <v>204</v>
      </c>
      <c r="L4091" s="399"/>
      <c r="M4091" s="399" t="s">
        <v>176</v>
      </c>
      <c r="N4091" s="399">
        <f t="shared" si="13185"/>
        <v>2.4024999999999999</v>
      </c>
      <c r="O4091" s="399" t="s">
        <v>204</v>
      </c>
      <c r="P4091" s="389">
        <f t="shared" ref="P4091" si="13192">MAX(D4091-D4090,D4091-D4092)</f>
        <v>0</v>
      </c>
      <c r="Q4091" s="399" t="s">
        <v>125</v>
      </c>
      <c r="R4091" s="399">
        <f t="shared" ref="R4091" si="13193">IF(P4091&gt;0,2*(1-2*$F$19-1/2)*D4078/1000,0)</f>
        <v>0</v>
      </c>
      <c r="S4091" s="399" t="s">
        <v>205</v>
      </c>
      <c r="T4091" s="399" t="s">
        <v>125</v>
      </c>
      <c r="U4091" s="401">
        <f t="shared" si="13188"/>
        <v>1.5782400000000001</v>
      </c>
      <c r="V4091" s="399"/>
      <c r="W4091" s="399"/>
      <c r="X4091" s="399" t="s">
        <v>125</v>
      </c>
      <c r="Y4091" s="389">
        <f t="shared" ref="Y4091" si="13194">D4081</f>
        <v>1</v>
      </c>
      <c r="Z4091" s="400" t="s">
        <v>176</v>
      </c>
      <c r="AA4091" s="402">
        <f t="shared" ref="AA4091" si="13195">IF(AA4093=0,(D4091*N4091+P4091*R4091)*U4091*Y4091,0)</f>
        <v>0</v>
      </c>
      <c r="AB4091" s="403"/>
    </row>
    <row r="4092" spans="1:28">
      <c r="A4092" s="384" t="str">
        <f t="shared" ref="A4092:B4092" si="13196">A4075</f>
        <v>Lantai 2</v>
      </c>
      <c r="B4092" s="385">
        <f t="shared" si="13196"/>
        <v>49</v>
      </c>
      <c r="C4092" s="393" t="s">
        <v>209</v>
      </c>
      <c r="D4092" s="398">
        <f>VLOOKUP(D4075,'Detail Balok'!$C$10:$AU$140,28,FALSE)</f>
        <v>4</v>
      </c>
      <c r="E4092" s="388" t="s">
        <v>16</v>
      </c>
      <c r="F4092" s="388">
        <f>VLOOKUP(D4075,'Detail Balok'!$C$10:$AU$140,30,FALSE)</f>
        <v>16</v>
      </c>
      <c r="G4092" s="388"/>
      <c r="H4092" s="395"/>
      <c r="I4092" s="388" t="s">
        <v>203</v>
      </c>
      <c r="J4092" s="399">
        <f t="shared" si="13183"/>
        <v>1.2012499999999999</v>
      </c>
      <c r="K4092" s="400" t="s">
        <v>204</v>
      </c>
      <c r="L4092" s="399">
        <f t="shared" ref="L4092" si="13197">MAX(VLOOKUP(F4092,N$6:P$15,3,FALSE)/1000,2/3*D4080/1000)+F$16*F4092/1000</f>
        <v>0.192</v>
      </c>
      <c r="M4092" s="399" t="s">
        <v>176</v>
      </c>
      <c r="N4092" s="399">
        <f t="shared" si="13185"/>
        <v>1.3932499999999999</v>
      </c>
      <c r="O4092" s="399" t="s">
        <v>204</v>
      </c>
      <c r="P4092" s="389">
        <f t="shared" ref="P4092" si="13198">D4092-D4091</f>
        <v>0</v>
      </c>
      <c r="Q4092" s="399" t="s">
        <v>125</v>
      </c>
      <c r="R4092" s="399">
        <f t="shared" ref="R4092" si="13199">IF(P4092&gt;0,$F$18*F4092/1000,0)</f>
        <v>0</v>
      </c>
      <c r="S4092" s="399" t="s">
        <v>205</v>
      </c>
      <c r="T4092" s="399" t="s">
        <v>125</v>
      </c>
      <c r="U4092" s="401">
        <f t="shared" si="13188"/>
        <v>1.5782400000000001</v>
      </c>
      <c r="V4092" s="399"/>
      <c r="W4092" s="399"/>
      <c r="X4092" s="399" t="s">
        <v>125</v>
      </c>
      <c r="Y4092" s="389">
        <f t="shared" ref="Y4092" si="13200">D4081</f>
        <v>1</v>
      </c>
      <c r="Z4092" s="400" t="s">
        <v>176</v>
      </c>
      <c r="AA4092" s="402">
        <f t="shared" ref="AA4092" si="13201">IF(AA4093=0,(D4092*N4092+P4092*R4092)*U4092*Y4092,0)</f>
        <v>0</v>
      </c>
      <c r="AB4092" s="403"/>
    </row>
    <row r="4093" spans="1:28">
      <c r="A4093" s="384" t="str">
        <f t="shared" ref="A4093:B4093" si="13202">A4075</f>
        <v>Lantai 2</v>
      </c>
      <c r="B4093" s="385">
        <f t="shared" si="13202"/>
        <v>49</v>
      </c>
      <c r="C4093" s="393"/>
      <c r="D4093" s="398">
        <f t="shared" ref="D4093:D4153" si="13203">IF(AND(D4090=D4091,D4091=D4092,D4090=D4092),D4090,0)</f>
        <v>4</v>
      </c>
      <c r="E4093" s="388" t="s">
        <v>16</v>
      </c>
      <c r="F4093" s="388">
        <f t="shared" ref="F4093:F4153" si="13204">IF(AND(F4090=F4091,F4090=F4092,F4091=F4092),F4090,0)</f>
        <v>16</v>
      </c>
      <c r="G4093" s="388"/>
      <c r="H4093" s="395"/>
      <c r="I4093" s="388"/>
      <c r="J4093" s="396"/>
      <c r="K4093" s="396"/>
      <c r="L4093" s="404" t="s">
        <v>207</v>
      </c>
      <c r="M4093" s="399" t="s">
        <v>176</v>
      </c>
      <c r="N4093" s="399">
        <f t="shared" ref="N4093" si="13205">IF(AND(D4090=D4091,D4090=D4092,D4091=D4092,F4090=F4091,F4090=F4092,F4091=F4092),SUM(N4090:N4092),0)</f>
        <v>5.1890000000000001</v>
      </c>
      <c r="O4093" s="399" t="s">
        <v>204</v>
      </c>
      <c r="P4093" s="389">
        <f t="shared" ref="P4093" si="13206">IF(N4093&gt;12,ROUNDDOWN(N4093/12,0),0)</f>
        <v>0</v>
      </c>
      <c r="Q4093" s="399" t="s">
        <v>125</v>
      </c>
      <c r="R4093" s="399">
        <f t="shared" ref="R4093" si="13207">IF(P4093&gt;0,MAX(VLOOKUP(F4093,$D$6:$G$15,3,FALSE),600),0)/1000</f>
        <v>0</v>
      </c>
      <c r="S4093" s="396"/>
      <c r="T4093" s="396" t="s">
        <v>125</v>
      </c>
      <c r="U4093" s="401">
        <f t="shared" ref="U4093:U4153" si="13208">U4092</f>
        <v>1.5782400000000001</v>
      </c>
      <c r="V4093" s="396" t="s">
        <v>125</v>
      </c>
      <c r="W4093" s="399">
        <f t="shared" ref="W4093" si="13209">D4093</f>
        <v>4</v>
      </c>
      <c r="X4093" s="399" t="s">
        <v>125</v>
      </c>
      <c r="Y4093" s="389">
        <f t="shared" ref="Y4093:Y4153" si="13210">Y4092</f>
        <v>1</v>
      </c>
      <c r="Z4093" s="400" t="s">
        <v>176</v>
      </c>
      <c r="AA4093" s="402">
        <f t="shared" ref="AA4093" si="13211">(N4093+P4093*R4093/1000)*U4093*W4093*Y4093</f>
        <v>32.757949440000004</v>
      </c>
      <c r="AB4093" s="403"/>
    </row>
    <row r="4094" spans="1:28">
      <c r="A4094" s="384"/>
      <c r="B4094" s="385"/>
      <c r="C4094" s="393"/>
      <c r="D4094" s="394"/>
      <c r="E4094" s="388"/>
      <c r="F4094" s="388"/>
      <c r="G4094" s="388"/>
      <c r="H4094" s="395"/>
      <c r="I4094" s="388"/>
      <c r="J4094" s="399"/>
      <c r="K4094" s="396"/>
      <c r="L4094" s="396"/>
      <c r="M4094" s="396"/>
      <c r="N4094" s="396"/>
      <c r="O4094" s="396"/>
      <c r="P4094" s="389"/>
      <c r="Q4094" s="396"/>
      <c r="R4094" s="396"/>
      <c r="S4094" s="396"/>
      <c r="T4094" s="396"/>
      <c r="U4094" s="401"/>
      <c r="V4094" s="396"/>
      <c r="W4094" s="388"/>
      <c r="X4094" s="396"/>
      <c r="Y4094" s="389"/>
      <c r="Z4094" s="396"/>
      <c r="AA4094" s="388"/>
      <c r="AB4094" s="390"/>
    </row>
    <row r="4095" spans="1:28">
      <c r="A4095" s="384" t="str">
        <f t="shared" ref="A4095:B4095" si="13212">A4075</f>
        <v>Lantai 2</v>
      </c>
      <c r="B4095" s="385">
        <f t="shared" si="13212"/>
        <v>49</v>
      </c>
      <c r="C4095" s="393" t="s">
        <v>211</v>
      </c>
      <c r="D4095" s="398">
        <f>VLOOKUP(D4075,'Detail Balok'!$C$10:$AU$140,31,FALSE)</f>
        <v>0</v>
      </c>
      <c r="E4095" s="388" t="s">
        <v>16</v>
      </c>
      <c r="F4095" s="388">
        <f>VLOOKUP(D4075,'Detail Balok'!$C$10:$AU$140,33,FALSE)</f>
        <v>10</v>
      </c>
      <c r="G4095" s="405" t="s">
        <v>157</v>
      </c>
      <c r="H4095" s="395">
        <f>VLOOKUP(D4075,'Detail Balok'!$C$10:$AU$140,35,FALSE)</f>
        <v>150</v>
      </c>
      <c r="I4095" s="388"/>
      <c r="J4095" s="400">
        <f t="shared" ref="J4095" si="13213">(IF(D4095=0,(2*(D4076+G4076))-(F$5*8),IF(D4095=3,(2*(D4076+G4076))-(F$5*8)+(G4076-2*F$5),IF(D4095=4,(2*(D4076+G4076))-(F$5*8)+2*(G4076-2*F$5)))))/1000</f>
        <v>1.08</v>
      </c>
      <c r="K4095" s="400" t="s">
        <v>204</v>
      </c>
      <c r="L4095" s="399">
        <f t="shared" ref="L4095:L4097" si="13214">IF(D4095=0,2*MAX(6*F4095,75),(D4095-1)*2*MAX(6*F4095,75))/1000</f>
        <v>0.15</v>
      </c>
      <c r="M4095" s="399" t="s">
        <v>176</v>
      </c>
      <c r="N4095" s="399">
        <f t="shared" ref="N4095:N4097" si="13215">J4095+L4095</f>
        <v>1.23</v>
      </c>
      <c r="O4095" s="399"/>
      <c r="P4095" s="389"/>
      <c r="Q4095" s="399"/>
      <c r="R4095" s="399"/>
      <c r="S4095" s="399"/>
      <c r="T4095" s="399" t="s">
        <v>125</v>
      </c>
      <c r="U4095" s="401">
        <f t="shared" ref="U4095:U4097" si="13216">0.006165*F4095^2</f>
        <v>0.61650000000000005</v>
      </c>
      <c r="V4095" s="399" t="s">
        <v>125</v>
      </c>
      <c r="W4095" s="399">
        <f t="shared" ref="W4095" si="13217">IF(D4078&gt;4*G4076,ROUND(MAX(D4078/4,2*G4076)/H4095,0)+1,ROUND(D4078/H4095,0)+1)</f>
        <v>9</v>
      </c>
      <c r="X4095" s="399" t="s">
        <v>125</v>
      </c>
      <c r="Y4095" s="389">
        <f t="shared" ref="Y4095" si="13218">D4081</f>
        <v>1</v>
      </c>
      <c r="Z4095" s="400" t="s">
        <v>176</v>
      </c>
      <c r="AA4095" s="402">
        <f t="shared" ref="AA4095:AA4097" si="13219">N4095*U4095*W4095*Y4095</f>
        <v>6.8246550000000008</v>
      </c>
      <c r="AB4095" s="403"/>
    </row>
    <row r="4096" spans="1:28">
      <c r="A4096" s="384" t="str">
        <f t="shared" ref="A4096:B4096" si="13220">A4075</f>
        <v>Lantai 2</v>
      </c>
      <c r="B4096" s="385">
        <f t="shared" si="13220"/>
        <v>49</v>
      </c>
      <c r="C4096" s="393" t="s">
        <v>212</v>
      </c>
      <c r="D4096" s="398">
        <f>VLOOKUP(D4075,'Detail Balok'!$C$10:$AU$140,36,FALSE)</f>
        <v>0</v>
      </c>
      <c r="E4096" s="388" t="s">
        <v>16</v>
      </c>
      <c r="F4096" s="388">
        <f>VLOOKUP(D4075,'Detail Balok'!$C$10:$AU$140,38,FALSE)</f>
        <v>10</v>
      </c>
      <c r="G4096" s="405" t="s">
        <v>157</v>
      </c>
      <c r="H4096" s="395">
        <f>VLOOKUP(D4075,'Detail Balok'!$C$10:$AU$140,40,FALSE)</f>
        <v>200</v>
      </c>
      <c r="I4096" s="388"/>
      <c r="J4096" s="400">
        <f t="shared" ref="J4096" si="13221">(IF(D4096=0,(2*(D4076+G4076))-(F$5*8),IF(D4096=3,(2*(D4076+G4076))-(F$5*8)+(G4076-2*F$5),IF(D4096=4,(2*(D4076+G4076))-(F$5*8)+2*(G4076-2*F$5)))))/1000</f>
        <v>1.08</v>
      </c>
      <c r="K4096" s="400" t="s">
        <v>204</v>
      </c>
      <c r="L4096" s="399">
        <f t="shared" si="13214"/>
        <v>0.15</v>
      </c>
      <c r="M4096" s="399" t="s">
        <v>176</v>
      </c>
      <c r="N4096" s="399">
        <f t="shared" si="13215"/>
        <v>1.23</v>
      </c>
      <c r="O4096" s="399"/>
      <c r="P4096" s="389"/>
      <c r="Q4096" s="399"/>
      <c r="R4096" s="399"/>
      <c r="S4096" s="399"/>
      <c r="T4096" s="399" t="s">
        <v>125</v>
      </c>
      <c r="U4096" s="401">
        <f t="shared" si="13216"/>
        <v>0.61650000000000005</v>
      </c>
      <c r="V4096" s="399" t="s">
        <v>125</v>
      </c>
      <c r="W4096" s="399">
        <f t="shared" ref="W4096" si="13222">IF(D4078-MAX(D4078/4,2*G4076)*2&gt;0,ROUND((D4078-MAX(D4078/4,2*G4076)*2)/H4096,0),0)</f>
        <v>12</v>
      </c>
      <c r="X4096" s="399" t="s">
        <v>125</v>
      </c>
      <c r="Y4096" s="389">
        <f t="shared" ref="Y4096" si="13223">D4081</f>
        <v>1</v>
      </c>
      <c r="Z4096" s="400" t="s">
        <v>176</v>
      </c>
      <c r="AA4096" s="402">
        <f t="shared" si="13219"/>
        <v>9.0995400000000011</v>
      </c>
      <c r="AB4096" s="403"/>
    </row>
    <row r="4097" spans="1:28">
      <c r="A4097" s="384" t="str">
        <f t="shared" ref="A4097:B4097" si="13224">A4075</f>
        <v>Lantai 2</v>
      </c>
      <c r="B4097" s="385">
        <f t="shared" si="13224"/>
        <v>49</v>
      </c>
      <c r="C4097" s="393" t="s">
        <v>211</v>
      </c>
      <c r="D4097" s="398">
        <f>VLOOKUP(D4075,'Detail Balok'!$C$10:$AU$140,41,FALSE)</f>
        <v>0</v>
      </c>
      <c r="E4097" s="388" t="s">
        <v>16</v>
      </c>
      <c r="F4097" s="388">
        <f>VLOOKUP(D4075,'Detail Balok'!$C$10:$AU$140,43,FALSE)</f>
        <v>10</v>
      </c>
      <c r="G4097" s="405" t="s">
        <v>157</v>
      </c>
      <c r="H4097" s="395">
        <f>VLOOKUP(D4075,'Detail Balok'!$C$10:$AU$140,45,FALSE)</f>
        <v>150</v>
      </c>
      <c r="I4097" s="388"/>
      <c r="J4097" s="400">
        <f t="shared" ref="J4097" si="13225">(IF(D4097=0,(2*(D4076+G4076))-(F$5*8),IF(D4097=3,(2*(D4076+G4076))-(F$5*8)+(G4076-2*F$5),IF(D4097=4,(2*(D4076+G4076))-(F$5*8)+2*(G4076-2*F$5)))))/1000</f>
        <v>1.08</v>
      </c>
      <c r="K4097" s="400" t="s">
        <v>204</v>
      </c>
      <c r="L4097" s="399">
        <f t="shared" si="13214"/>
        <v>0.15</v>
      </c>
      <c r="M4097" s="399" t="s">
        <v>176</v>
      </c>
      <c r="N4097" s="399">
        <f t="shared" si="13215"/>
        <v>1.23</v>
      </c>
      <c r="O4097" s="399"/>
      <c r="P4097" s="389"/>
      <c r="Q4097" s="399"/>
      <c r="R4097" s="399"/>
      <c r="S4097" s="399"/>
      <c r="T4097" s="399" t="s">
        <v>125</v>
      </c>
      <c r="U4097" s="401">
        <f t="shared" si="13216"/>
        <v>0.61650000000000005</v>
      </c>
      <c r="V4097" s="399" t="s">
        <v>125</v>
      </c>
      <c r="W4097" s="399">
        <f t="shared" ref="W4097" si="13226">IF(D4078&gt;4*G4076,ROUND(MAX(D4078/4,2*G4076)/H4097,0)+1,0)</f>
        <v>9</v>
      </c>
      <c r="X4097" s="399" t="s">
        <v>125</v>
      </c>
      <c r="Y4097" s="389">
        <f t="shared" ref="Y4097" si="13227">D4081</f>
        <v>1</v>
      </c>
      <c r="Z4097" s="400" t="s">
        <v>176</v>
      </c>
      <c r="AA4097" s="402">
        <f t="shared" si="13219"/>
        <v>6.8246550000000008</v>
      </c>
      <c r="AB4097" s="403"/>
    </row>
    <row r="4098" spans="1:28">
      <c r="A4098" s="384"/>
      <c r="B4098" s="385"/>
      <c r="C4098" s="393"/>
      <c r="D4098" s="394"/>
      <c r="E4098" s="388"/>
      <c r="F4098" s="388"/>
      <c r="G4098" s="388"/>
      <c r="H4098" s="395"/>
      <c r="I4098" s="388"/>
      <c r="J4098" s="399"/>
      <c r="K4098" s="396"/>
      <c r="L4098" s="396"/>
      <c r="M4098" s="396"/>
      <c r="N4098" s="396"/>
      <c r="O4098" s="396"/>
      <c r="P4098" s="389"/>
      <c r="Q4098" s="396"/>
      <c r="R4098" s="396"/>
      <c r="S4098" s="396"/>
      <c r="T4098" s="396"/>
      <c r="U4098" s="401"/>
      <c r="V4098" s="396"/>
      <c r="W4098" s="388"/>
      <c r="X4098" s="396"/>
      <c r="Y4098" s="389"/>
      <c r="Z4098" s="396"/>
      <c r="AA4098" s="388"/>
      <c r="AB4098" s="390"/>
    </row>
    <row r="4099" spans="1:28">
      <c r="A4099" s="384" t="str">
        <f t="shared" ref="A4099:B4099" si="13228">A4075</f>
        <v>Lantai 2</v>
      </c>
      <c r="B4099" s="385">
        <f t="shared" si="13228"/>
        <v>49</v>
      </c>
      <c r="C4099" s="393" t="s">
        <v>213</v>
      </c>
      <c r="D4099" s="398">
        <f>VLOOKUP(D4075,'Detail Balok'!$C$10:$BJ$140,46,FALSE)</f>
        <v>0</v>
      </c>
      <c r="E4099" s="388" t="s">
        <v>16</v>
      </c>
      <c r="F4099" s="388">
        <f>VLOOKUP(D4075,'Detail Balok'!$C$10:$BJ$140,48,FALSE)</f>
        <v>0</v>
      </c>
      <c r="G4099" s="405" t="s">
        <v>157</v>
      </c>
      <c r="H4099" s="395">
        <f>VLOOKUP(D4075,'Detail Balok'!$C$10:$BJ$140,50,FALSE)</f>
        <v>100</v>
      </c>
      <c r="I4099" s="388"/>
      <c r="J4099" s="399">
        <f t="shared" ref="J4099" si="13229">(D4076-2*F$5)/1000</f>
        <v>0.12</v>
      </c>
      <c r="K4099" s="400" t="s">
        <v>204</v>
      </c>
      <c r="L4099" s="399">
        <f t="shared" ref="L4099:L4101" si="13230">IF(D4099=0,2*MAX(6*F4099,75),(D4099-1)*2*MAX(6*F4099,75))/1000</f>
        <v>0.15</v>
      </c>
      <c r="M4099" s="399" t="s">
        <v>176</v>
      </c>
      <c r="N4099" s="399">
        <f t="shared" ref="N4099:N4101" si="13231">J4099+L4099</f>
        <v>0.27</v>
      </c>
      <c r="O4099" s="399"/>
      <c r="P4099" s="399"/>
      <c r="Q4099" s="399"/>
      <c r="R4099" s="399"/>
      <c r="S4099" s="399"/>
      <c r="T4099" s="399" t="s">
        <v>125</v>
      </c>
      <c r="U4099" s="401">
        <f t="shared" ref="U4099:U4101" si="13232">0.006165*F4099^2</f>
        <v>0</v>
      </c>
      <c r="V4099" s="399" t="s">
        <v>125</v>
      </c>
      <c r="W4099" s="399">
        <f t="shared" ref="W4099:W4161" si="13233">W4095</f>
        <v>9</v>
      </c>
      <c r="X4099" s="399" t="s">
        <v>125</v>
      </c>
      <c r="Y4099" s="389">
        <f t="shared" ref="Y4099" si="13234">D4085</f>
        <v>4</v>
      </c>
      <c r="Z4099" s="400" t="s">
        <v>176</v>
      </c>
      <c r="AA4099" s="402">
        <f t="shared" ref="AA4099:AA4101" si="13235">N4099*U4099*W4099*Y4099</f>
        <v>0</v>
      </c>
      <c r="AB4099" s="403"/>
    </row>
    <row r="4100" spans="1:28">
      <c r="A4100" s="384" t="str">
        <f t="shared" ref="A4100:B4100" si="13236">A4075</f>
        <v>Lantai 2</v>
      </c>
      <c r="B4100" s="385">
        <f t="shared" si="13236"/>
        <v>49</v>
      </c>
      <c r="C4100" s="393" t="s">
        <v>214</v>
      </c>
      <c r="D4100" s="398">
        <f>VLOOKUP(D4075,'Detail Balok'!$C$10:$BJ$140,51,FALSE)</f>
        <v>0</v>
      </c>
      <c r="E4100" s="388" t="s">
        <v>16</v>
      </c>
      <c r="F4100" s="388">
        <f>VLOOKUP(D4075,'Detail Balok'!$C$10:$BJ$140,53,FALSE)</f>
        <v>0</v>
      </c>
      <c r="G4100" s="405" t="s">
        <v>157</v>
      </c>
      <c r="H4100" s="395">
        <f>VLOOKUP(D4075,'Detail Balok'!$C$10:$BJ$140,55,FALSE)</f>
        <v>100</v>
      </c>
      <c r="I4100" s="388"/>
      <c r="J4100" s="399">
        <f t="shared" ref="J4100" si="13237">(D4076-2*F$5)/1000</f>
        <v>0.12</v>
      </c>
      <c r="K4100" s="400" t="s">
        <v>204</v>
      </c>
      <c r="L4100" s="399">
        <f t="shared" si="13230"/>
        <v>0.15</v>
      </c>
      <c r="M4100" s="399" t="s">
        <v>176</v>
      </c>
      <c r="N4100" s="399">
        <f t="shared" si="13231"/>
        <v>0.27</v>
      </c>
      <c r="O4100" s="399"/>
      <c r="P4100" s="399"/>
      <c r="Q4100" s="399"/>
      <c r="R4100" s="399"/>
      <c r="S4100" s="399"/>
      <c r="T4100" s="399" t="s">
        <v>125</v>
      </c>
      <c r="U4100" s="401">
        <f t="shared" si="13232"/>
        <v>0</v>
      </c>
      <c r="V4100" s="399" t="s">
        <v>125</v>
      </c>
      <c r="W4100" s="399">
        <f t="shared" si="13233"/>
        <v>12</v>
      </c>
      <c r="X4100" s="399" t="s">
        <v>125</v>
      </c>
      <c r="Y4100" s="389">
        <f t="shared" ref="Y4100" si="13238">D4085</f>
        <v>4</v>
      </c>
      <c r="Z4100" s="400" t="s">
        <v>176</v>
      </c>
      <c r="AA4100" s="402">
        <f t="shared" si="13235"/>
        <v>0</v>
      </c>
      <c r="AB4100" s="403"/>
    </row>
    <row r="4101" spans="1:28">
      <c r="A4101" s="384" t="str">
        <f t="shared" ref="A4101:B4101" si="13239">A4075</f>
        <v>Lantai 2</v>
      </c>
      <c r="B4101" s="385">
        <f t="shared" si="13239"/>
        <v>49</v>
      </c>
      <c r="C4101" s="393" t="s">
        <v>213</v>
      </c>
      <c r="D4101" s="398">
        <f>VLOOKUP(D4075,'Detail Balok'!$C$10:$BJ$140,56,FALSE)</f>
        <v>0</v>
      </c>
      <c r="E4101" s="388" t="s">
        <v>16</v>
      </c>
      <c r="F4101" s="388">
        <f>VLOOKUP(D4075,'Detail Balok'!$C$10:$BJ$140,58,FALSE)</f>
        <v>0</v>
      </c>
      <c r="G4101" s="405" t="s">
        <v>157</v>
      </c>
      <c r="H4101" s="395">
        <f>VLOOKUP(D4075,'Detail Balok'!$C$10:$BJ$140,60,FALSE)</f>
        <v>100</v>
      </c>
      <c r="I4101" s="388"/>
      <c r="J4101" s="399">
        <f t="shared" ref="J4101" si="13240">(D4076-2*F$5)/1000</f>
        <v>0.12</v>
      </c>
      <c r="K4101" s="400" t="s">
        <v>204</v>
      </c>
      <c r="L4101" s="399">
        <f t="shared" si="13230"/>
        <v>0.15</v>
      </c>
      <c r="M4101" s="399" t="s">
        <v>176</v>
      </c>
      <c r="N4101" s="399">
        <f t="shared" si="13231"/>
        <v>0.27</v>
      </c>
      <c r="O4101" s="399"/>
      <c r="P4101" s="399"/>
      <c r="Q4101" s="399"/>
      <c r="R4101" s="399"/>
      <c r="S4101" s="399"/>
      <c r="T4101" s="399" t="s">
        <v>125</v>
      </c>
      <c r="U4101" s="401">
        <f t="shared" si="13232"/>
        <v>0</v>
      </c>
      <c r="V4101" s="399" t="s">
        <v>125</v>
      </c>
      <c r="W4101" s="399">
        <f t="shared" si="13233"/>
        <v>9</v>
      </c>
      <c r="X4101" s="399" t="s">
        <v>125</v>
      </c>
      <c r="Y4101" s="389">
        <f t="shared" ref="Y4101" si="13241">D4085</f>
        <v>4</v>
      </c>
      <c r="Z4101" s="400" t="s">
        <v>176</v>
      </c>
      <c r="AA4101" s="402">
        <f t="shared" si="13235"/>
        <v>0</v>
      </c>
      <c r="AB4101" s="403"/>
    </row>
    <row r="4102" spans="1:28">
      <c r="A4102" s="391"/>
      <c r="B4102" s="392"/>
      <c r="C4102" s="392"/>
      <c r="D4102" s="394"/>
      <c r="E4102" s="388"/>
      <c r="F4102" s="388"/>
      <c r="G4102" s="388"/>
      <c r="H4102" s="395"/>
      <c r="I4102" s="388"/>
      <c r="J4102" s="402"/>
      <c r="K4102" s="388"/>
      <c r="L4102" s="388"/>
      <c r="M4102" s="388"/>
      <c r="N4102" s="388"/>
      <c r="O4102" s="388"/>
      <c r="P4102" s="388"/>
      <c r="Q4102" s="388"/>
      <c r="R4102" s="388"/>
      <c r="S4102" s="388"/>
      <c r="T4102" s="388"/>
      <c r="U4102" s="388"/>
      <c r="V4102" s="388"/>
      <c r="W4102" s="388"/>
      <c r="X4102" s="388"/>
      <c r="Y4102" s="389"/>
      <c r="Z4102" s="388"/>
      <c r="AA4102" s="402"/>
      <c r="AB4102" s="403"/>
    </row>
    <row r="4103" spans="1:28" ht="15.75" thickBot="1">
      <c r="A4103" s="406"/>
      <c r="B4103" s="407"/>
      <c r="C4103" s="407"/>
      <c r="D4103" s="408"/>
      <c r="E4103" s="409"/>
      <c r="F4103" s="409"/>
      <c r="G4103" s="409"/>
      <c r="H4103" s="410"/>
      <c r="I4103" s="409"/>
      <c r="J4103" s="409"/>
      <c r="K4103" s="409"/>
      <c r="L4103" s="409"/>
      <c r="M4103" s="409"/>
      <c r="N4103" s="409"/>
      <c r="O4103" s="409"/>
      <c r="P4103" s="409"/>
      <c r="Q4103" s="409"/>
      <c r="R4103" s="409"/>
      <c r="S4103" s="409"/>
      <c r="T4103" s="409"/>
      <c r="U4103" s="409"/>
      <c r="V4103" s="409"/>
      <c r="W4103" s="409"/>
      <c r="X4103" s="409"/>
      <c r="Y4103" s="411"/>
      <c r="Z4103" s="409"/>
      <c r="AA4103" s="412"/>
      <c r="AB4103" s="413"/>
    </row>
    <row r="4104" spans="1:28">
      <c r="A4104" s="377"/>
      <c r="B4104" s="378"/>
      <c r="C4104" s="378"/>
      <c r="D4104" s="379"/>
      <c r="E4104" s="380"/>
      <c r="F4104" s="380"/>
      <c r="G4104" s="380"/>
      <c r="H4104" s="381"/>
      <c r="I4104" s="380"/>
      <c r="J4104" s="380"/>
      <c r="K4104" s="380"/>
      <c r="L4104" s="380"/>
      <c r="M4104" s="380"/>
      <c r="N4104" s="380"/>
      <c r="O4104" s="380"/>
      <c r="P4104" s="380"/>
      <c r="Q4104" s="380"/>
      <c r="R4104" s="380"/>
      <c r="S4104" s="380"/>
      <c r="T4104" s="380"/>
      <c r="U4104" s="380"/>
      <c r="V4104" s="380"/>
      <c r="W4104" s="380"/>
      <c r="X4104" s="380"/>
      <c r="Y4104" s="382"/>
      <c r="Z4104" s="380"/>
      <c r="AA4104" s="380"/>
      <c r="AB4104" s="383"/>
    </row>
    <row r="4105" spans="1:28">
      <c r="A4105" s="384" t="str">
        <f t="shared" ref="A4105:A4165" si="13242">A4075</f>
        <v>Lantai 2</v>
      </c>
      <c r="B4105" s="385">
        <f t="shared" ref="B4105:B4165" si="13243">B4075+1</f>
        <v>50</v>
      </c>
      <c r="C4105" s="386" t="str">
        <f t="shared" ref="C4105" si="13244">CONCATENATE(A4105," no. ",B4105)</f>
        <v>Lantai 2 no. 50</v>
      </c>
      <c r="D4105" s="2562" t="str">
        <f>VLOOKUP(C4105,'Data Panjang Balok'!$C$9:$N$254,2,FALSE)</f>
        <v>B25-1</v>
      </c>
      <c r="E4105" s="2576"/>
      <c r="F4105" s="2576"/>
      <c r="G4105" s="2576"/>
      <c r="H4105" s="2577"/>
      <c r="I4105" s="387"/>
      <c r="J4105" s="388"/>
      <c r="K4105" s="388"/>
      <c r="L4105" s="388"/>
      <c r="M4105" s="388"/>
      <c r="N4105" s="388"/>
      <c r="O4105" s="388"/>
      <c r="P4105" s="388"/>
      <c r="Q4105" s="388"/>
      <c r="R4105" s="388"/>
      <c r="S4105" s="388"/>
      <c r="T4105" s="388"/>
      <c r="U4105" s="388"/>
      <c r="V4105" s="388"/>
      <c r="W4105" s="388"/>
      <c r="X4105" s="388"/>
      <c r="Y4105" s="389"/>
      <c r="Z4105" s="388"/>
      <c r="AA4105" s="388"/>
      <c r="AB4105" s="390"/>
    </row>
    <row r="4106" spans="1:28">
      <c r="A4106" s="391"/>
      <c r="B4106" s="392"/>
      <c r="C4106" s="393" t="s">
        <v>118</v>
      </c>
      <c r="D4106" s="2578">
        <f>VLOOKUP(D4105,'Detail Balok'!$C$10:$AU$140,2,FALSE)</f>
        <v>200</v>
      </c>
      <c r="E4106" s="2579"/>
      <c r="F4106" s="388" t="s">
        <v>125</v>
      </c>
      <c r="G4106" s="2579">
        <f>VLOOKUP(D4105,'Detail Balok'!$C$10:$AU$140,3,FALSE)</f>
        <v>500</v>
      </c>
      <c r="H4106" s="2580"/>
      <c r="I4106" s="388"/>
      <c r="J4106" s="396"/>
      <c r="K4106" s="396"/>
      <c r="L4106" s="396"/>
      <c r="M4106" s="396"/>
      <c r="N4106" s="396"/>
      <c r="O4106" s="396"/>
      <c r="P4106" s="396"/>
      <c r="Q4106" s="396"/>
      <c r="R4106" s="396"/>
      <c r="S4106" s="396"/>
      <c r="T4106" s="396"/>
      <c r="U4106" s="388"/>
      <c r="V4106" s="396"/>
      <c r="W4106" s="388"/>
      <c r="X4106" s="396"/>
      <c r="Y4106" s="389"/>
      <c r="Z4106" s="396"/>
      <c r="AA4106" s="388"/>
      <c r="AB4106" s="390"/>
    </row>
    <row r="4107" spans="1:28">
      <c r="A4107" s="391"/>
      <c r="B4107" s="392"/>
      <c r="C4107" s="393" t="s">
        <v>198</v>
      </c>
      <c r="D4107" s="2562">
        <f>VLOOKUP(C4105,'Data Panjang Balok'!$C$9:$N$254,4,FALSE)</f>
        <v>6650</v>
      </c>
      <c r="E4107" s="2563"/>
      <c r="F4107" s="2563"/>
      <c r="G4107" s="2563"/>
      <c r="H4107" s="2564"/>
      <c r="I4107" s="397"/>
      <c r="J4107" s="396"/>
      <c r="K4107" s="396"/>
      <c r="L4107" s="396"/>
      <c r="M4107" s="396"/>
      <c r="N4107" s="396"/>
      <c r="O4107" s="396"/>
      <c r="P4107" s="396"/>
      <c r="Q4107" s="396"/>
      <c r="R4107" s="396"/>
      <c r="S4107" s="396"/>
      <c r="T4107" s="396"/>
      <c r="U4107" s="388"/>
      <c r="V4107" s="396"/>
      <c r="W4107" s="388"/>
      <c r="X4107" s="396"/>
      <c r="Y4107" s="389"/>
      <c r="Z4107" s="396"/>
      <c r="AA4107" s="388"/>
      <c r="AB4107" s="390"/>
    </row>
    <row r="4108" spans="1:28">
      <c r="A4108" s="391"/>
      <c r="B4108" s="392"/>
      <c r="C4108" s="393" t="s">
        <v>199</v>
      </c>
      <c r="D4108" s="2562">
        <f>VLOOKUP(C4105,'Data Panjang Balok'!$C$9:$N$254,7,FALSE)</f>
        <v>6650</v>
      </c>
      <c r="E4108" s="2563"/>
      <c r="F4108" s="2563"/>
      <c r="G4108" s="2563"/>
      <c r="H4108" s="2564"/>
      <c r="I4108" s="397"/>
      <c r="J4108" s="396"/>
      <c r="K4108" s="396"/>
      <c r="L4108" s="396"/>
      <c r="M4108" s="396"/>
      <c r="N4108" s="396"/>
      <c r="O4108" s="396"/>
      <c r="P4108" s="396"/>
      <c r="Q4108" s="396"/>
      <c r="R4108" s="396"/>
      <c r="S4108" s="396"/>
      <c r="T4108" s="396"/>
      <c r="U4108" s="388"/>
      <c r="V4108" s="396"/>
      <c r="W4108" s="388"/>
      <c r="X4108" s="396"/>
      <c r="Y4108" s="389"/>
      <c r="Z4108" s="396"/>
      <c r="AA4108" s="388"/>
      <c r="AB4108" s="390"/>
    </row>
    <row r="4109" spans="1:28">
      <c r="A4109" s="391"/>
      <c r="B4109" s="392"/>
      <c r="C4109" s="393" t="s">
        <v>200</v>
      </c>
      <c r="D4109" s="2562">
        <f>VLOOKUP(C4105,'Data Panjang Balok'!$C$9:$N$254,9,FALSE)</f>
        <v>0</v>
      </c>
      <c r="E4109" s="2563"/>
      <c r="F4109" s="2563"/>
      <c r="G4109" s="2563"/>
      <c r="H4109" s="2564"/>
      <c r="I4109" s="397"/>
      <c r="J4109" s="396"/>
      <c r="K4109" s="396"/>
      <c r="L4109" s="396"/>
      <c r="M4109" s="396"/>
      <c r="N4109" s="396"/>
      <c r="O4109" s="396"/>
      <c r="P4109" s="396"/>
      <c r="Q4109" s="396"/>
      <c r="R4109" s="396"/>
      <c r="S4109" s="396"/>
      <c r="T4109" s="396"/>
      <c r="U4109" s="388"/>
      <c r="V4109" s="396"/>
      <c r="W4109" s="388"/>
      <c r="X4109" s="396"/>
      <c r="Y4109" s="389"/>
      <c r="Z4109" s="396"/>
      <c r="AA4109" s="388"/>
      <c r="AB4109" s="390"/>
    </row>
    <row r="4110" spans="1:28">
      <c r="A4110" s="391"/>
      <c r="B4110" s="392"/>
      <c r="C4110" s="393" t="s">
        <v>201</v>
      </c>
      <c r="D4110" s="2562">
        <f>VLOOKUP(C4105,'Data Panjang Balok'!$C$9:$N$254,10,FALSE)</f>
        <v>0</v>
      </c>
      <c r="E4110" s="2563"/>
      <c r="F4110" s="2563"/>
      <c r="G4110" s="2563"/>
      <c r="H4110" s="2564"/>
      <c r="I4110" s="397"/>
      <c r="J4110" s="396"/>
      <c r="K4110" s="396"/>
      <c r="L4110" s="396"/>
      <c r="M4110" s="396"/>
      <c r="N4110" s="396"/>
      <c r="O4110" s="396"/>
      <c r="P4110" s="396"/>
      <c r="Q4110" s="396"/>
      <c r="R4110" s="396"/>
      <c r="S4110" s="396"/>
      <c r="T4110" s="396"/>
      <c r="U4110" s="388"/>
      <c r="V4110" s="396"/>
      <c r="W4110" s="388"/>
      <c r="X4110" s="396"/>
      <c r="Y4110" s="389"/>
      <c r="Z4110" s="396"/>
      <c r="AA4110" s="388"/>
      <c r="AB4110" s="390"/>
    </row>
    <row r="4111" spans="1:28">
      <c r="A4111" s="391"/>
      <c r="B4111" s="392"/>
      <c r="C4111" s="393" t="s">
        <v>48</v>
      </c>
      <c r="D4111" s="2562">
        <f>VLOOKUP(C4105,'Data Panjang Balok'!$C$9:$N$254,3,FALSE)</f>
        <v>1</v>
      </c>
      <c r="E4111" s="2563"/>
      <c r="F4111" s="2563"/>
      <c r="G4111" s="2563"/>
      <c r="H4111" s="2564"/>
      <c r="I4111" s="397"/>
      <c r="J4111" s="396"/>
      <c r="K4111" s="396"/>
      <c r="L4111" s="396"/>
      <c r="M4111" s="396"/>
      <c r="N4111" s="396"/>
      <c r="O4111" s="396"/>
      <c r="P4111" s="396"/>
      <c r="Q4111" s="396"/>
      <c r="R4111" s="396"/>
      <c r="S4111" s="396"/>
      <c r="T4111" s="396"/>
      <c r="U4111" s="388"/>
      <c r="V4111" s="396"/>
      <c r="W4111" s="388"/>
      <c r="X4111" s="396"/>
      <c r="Y4111" s="389"/>
      <c r="Z4111" s="396"/>
      <c r="AA4111" s="388"/>
      <c r="AB4111" s="390"/>
    </row>
    <row r="4112" spans="1:28">
      <c r="A4112" s="384" t="str">
        <f t="shared" ref="A4112:B4112" si="13245">A4105</f>
        <v>Lantai 2</v>
      </c>
      <c r="B4112" s="385">
        <f t="shared" si="13245"/>
        <v>50</v>
      </c>
      <c r="C4112" s="393" t="s">
        <v>202</v>
      </c>
      <c r="D4112" s="398">
        <f>VLOOKUP(D4105,'Detail Balok'!$C$10:$AU$140,4,FALSE)</f>
        <v>4</v>
      </c>
      <c r="E4112" s="388" t="s">
        <v>16</v>
      </c>
      <c r="F4112" s="388">
        <f>VLOOKUP(D4105,'Detail Balok'!$C$10:$AU$140,6,FALSE)</f>
        <v>16</v>
      </c>
      <c r="G4112" s="388"/>
      <c r="H4112" s="395"/>
      <c r="I4112" s="388" t="s">
        <v>203</v>
      </c>
      <c r="J4112" s="399">
        <f t="shared" ref="J4112" si="13246">+D4107/4/1000</f>
        <v>1.6625000000000001</v>
      </c>
      <c r="K4112" s="400" t="s">
        <v>204</v>
      </c>
      <c r="L4112" s="399">
        <f t="shared" ref="L4112" si="13247">MAX(VLOOKUP(F4112,N$6:P$15,3,FALSE)/1000,2/3*D4109/1000)+F$16*F4112/1000</f>
        <v>0.192</v>
      </c>
      <c r="M4112" s="399" t="s">
        <v>176</v>
      </c>
      <c r="N4112" s="399">
        <f t="shared" ref="N4112:N4114" si="13248">J4112+L4112</f>
        <v>1.8545</v>
      </c>
      <c r="O4112" s="399" t="s">
        <v>204</v>
      </c>
      <c r="P4112" s="389">
        <f t="shared" ref="P4112" si="13249">D4112-D4113</f>
        <v>0</v>
      </c>
      <c r="Q4112" s="399" t="s">
        <v>125</v>
      </c>
      <c r="R4112" s="399">
        <f t="shared" ref="R4112" si="13250">IF(P4112&gt;0,$F$18*F4112/1000,0)</f>
        <v>0</v>
      </c>
      <c r="S4112" s="399" t="s">
        <v>205</v>
      </c>
      <c r="T4112" s="399" t="s">
        <v>125</v>
      </c>
      <c r="U4112" s="401">
        <f t="shared" ref="U4112:U4114" si="13251">0.006165*F4112^2</f>
        <v>1.5782400000000001</v>
      </c>
      <c r="V4112" s="399"/>
      <c r="W4112" s="399"/>
      <c r="X4112" s="399" t="s">
        <v>125</v>
      </c>
      <c r="Y4112" s="389">
        <f t="shared" ref="Y4112" si="13252">D4111</f>
        <v>1</v>
      </c>
      <c r="Z4112" s="400" t="s">
        <v>176</v>
      </c>
      <c r="AA4112" s="402">
        <f t="shared" ref="AA4112" si="13253">IF(AA4115=0,(D4112*N4112+P4112*R4112)*U4112*Y4112,0)</f>
        <v>0</v>
      </c>
      <c r="AB4112" s="403"/>
    </row>
    <row r="4113" spans="1:28">
      <c r="A4113" s="384" t="str">
        <f t="shared" ref="A4113:B4113" si="13254">A4105</f>
        <v>Lantai 2</v>
      </c>
      <c r="B4113" s="385">
        <f t="shared" si="13254"/>
        <v>50</v>
      </c>
      <c r="C4113" s="393" t="s">
        <v>206</v>
      </c>
      <c r="D4113" s="398">
        <f>VLOOKUP(D4105,'Detail Balok'!$C$10:$AU$140,7,FALSE)</f>
        <v>4</v>
      </c>
      <c r="E4113" s="388" t="s">
        <v>16</v>
      </c>
      <c r="F4113" s="388">
        <f>VLOOKUP(D4105,'Detail Balok'!$C$10:$AU$140,9,FALSE)</f>
        <v>16</v>
      </c>
      <c r="G4113" s="388"/>
      <c r="H4113" s="395"/>
      <c r="I4113" s="388" t="s">
        <v>203</v>
      </c>
      <c r="J4113" s="399">
        <f t="shared" ref="J4113" si="13255">+D4107/2/1000</f>
        <v>3.3250000000000002</v>
      </c>
      <c r="K4113" s="400" t="s">
        <v>204</v>
      </c>
      <c r="L4113" s="399"/>
      <c r="M4113" s="399" t="s">
        <v>176</v>
      </c>
      <c r="N4113" s="399">
        <f t="shared" si="13248"/>
        <v>3.3250000000000002</v>
      </c>
      <c r="O4113" s="399" t="s">
        <v>204</v>
      </c>
      <c r="P4113" s="389">
        <f t="shared" ref="P4113" si="13256">MAX(D4113-D4112,D4113-D4114)</f>
        <v>0</v>
      </c>
      <c r="Q4113" s="399" t="s">
        <v>125</v>
      </c>
      <c r="R4113" s="399">
        <f t="shared" ref="R4113" si="13257">IF(P4113&gt;0,2*(1-2*$F$19-1/2)*D4108/1000,0)</f>
        <v>0</v>
      </c>
      <c r="S4113" s="399" t="s">
        <v>205</v>
      </c>
      <c r="T4113" s="399" t="s">
        <v>125</v>
      </c>
      <c r="U4113" s="401">
        <f t="shared" si="13251"/>
        <v>1.5782400000000001</v>
      </c>
      <c r="V4113" s="399"/>
      <c r="W4113" s="399"/>
      <c r="X4113" s="399" t="s">
        <v>125</v>
      </c>
      <c r="Y4113" s="389">
        <f t="shared" ref="Y4113" si="13258">D4111</f>
        <v>1</v>
      </c>
      <c r="Z4113" s="400" t="s">
        <v>176</v>
      </c>
      <c r="AA4113" s="402">
        <f t="shared" ref="AA4113" si="13259">IF(AA4115=0,(D4113*N4113+P4113*R4113)*U4113*Y4113,0)</f>
        <v>0</v>
      </c>
      <c r="AB4113" s="403"/>
    </row>
    <row r="4114" spans="1:28">
      <c r="A4114" s="384" t="str">
        <f t="shared" ref="A4114:B4114" si="13260">A4105</f>
        <v>Lantai 2</v>
      </c>
      <c r="B4114" s="385">
        <f t="shared" si="13260"/>
        <v>50</v>
      </c>
      <c r="C4114" s="393" t="s">
        <v>202</v>
      </c>
      <c r="D4114" s="398">
        <f>VLOOKUP(D4105,'Detail Balok'!$C$10:$AU$140,10,FALSE)</f>
        <v>4</v>
      </c>
      <c r="E4114" s="388" t="s">
        <v>16</v>
      </c>
      <c r="F4114" s="388">
        <f>VLOOKUP(D4105,'Detail Balok'!$C$10:$AU$140,12,FALSE)</f>
        <v>16</v>
      </c>
      <c r="G4114" s="388"/>
      <c r="H4114" s="395"/>
      <c r="I4114" s="388" t="s">
        <v>203</v>
      </c>
      <c r="J4114" s="399">
        <f t="shared" ref="J4114" si="13261">+D4107/4/1000</f>
        <v>1.6625000000000001</v>
      </c>
      <c r="K4114" s="400" t="s">
        <v>204</v>
      </c>
      <c r="L4114" s="399">
        <f t="shared" ref="L4114" si="13262">MAX(VLOOKUP(F4114,N$6:P$15,3,FALSE)/1000,2/3*D4109/1000)+F$16*F4114/1000</f>
        <v>0.192</v>
      </c>
      <c r="M4114" s="399" t="s">
        <v>176</v>
      </c>
      <c r="N4114" s="399">
        <f t="shared" si="13248"/>
        <v>1.8545</v>
      </c>
      <c r="O4114" s="399" t="s">
        <v>204</v>
      </c>
      <c r="P4114" s="389">
        <f t="shared" ref="P4114" si="13263">D4114-D4113</f>
        <v>0</v>
      </c>
      <c r="Q4114" s="399" t="s">
        <v>125</v>
      </c>
      <c r="R4114" s="399">
        <f t="shared" ref="R4114" si="13264">IF(P4114&gt;0,$F$18*F4114/1000,0)</f>
        <v>0</v>
      </c>
      <c r="S4114" s="399" t="s">
        <v>205</v>
      </c>
      <c r="T4114" s="399" t="s">
        <v>125</v>
      </c>
      <c r="U4114" s="401">
        <f t="shared" si="13251"/>
        <v>1.5782400000000001</v>
      </c>
      <c r="V4114" s="399"/>
      <c r="W4114" s="399"/>
      <c r="X4114" s="399" t="s">
        <v>125</v>
      </c>
      <c r="Y4114" s="389">
        <f t="shared" ref="Y4114" si="13265">D4111</f>
        <v>1</v>
      </c>
      <c r="Z4114" s="400" t="s">
        <v>176</v>
      </c>
      <c r="AA4114" s="402">
        <f t="shared" ref="AA4114" si="13266">IF(AA4115=0,(D4114*N4114+P4114*R4114)*U4114*Y4114,0)</f>
        <v>0</v>
      </c>
      <c r="AB4114" s="403"/>
    </row>
    <row r="4115" spans="1:28">
      <c r="A4115" s="384" t="str">
        <f t="shared" ref="A4115:B4115" si="13267">A4105</f>
        <v>Lantai 2</v>
      </c>
      <c r="B4115" s="385">
        <f t="shared" si="13267"/>
        <v>50</v>
      </c>
      <c r="C4115" s="393"/>
      <c r="D4115" s="398">
        <f t="shared" si="13163"/>
        <v>4</v>
      </c>
      <c r="E4115" s="388" t="s">
        <v>16</v>
      </c>
      <c r="F4115" s="388">
        <f t="shared" si="13164"/>
        <v>16</v>
      </c>
      <c r="G4115" s="388"/>
      <c r="H4115" s="395"/>
      <c r="I4115" s="388"/>
      <c r="J4115" s="396"/>
      <c r="K4115" s="396"/>
      <c r="L4115" s="404" t="s">
        <v>207</v>
      </c>
      <c r="M4115" s="399" t="s">
        <v>176</v>
      </c>
      <c r="N4115" s="399">
        <f t="shared" ref="N4115" si="13268">IF(AND(D4112=D4113,D4112=D4114,D4113=D4114,F4112=F4113,F4112=F4114,F4113=F4114),SUM(N4112:N4114),0)</f>
        <v>7.0339999999999998</v>
      </c>
      <c r="O4115" s="399" t="s">
        <v>204</v>
      </c>
      <c r="P4115" s="389">
        <f t="shared" ref="P4115" si="13269">IF(N4115&gt;12,ROUNDDOWN(N4115/12,0),0)</f>
        <v>0</v>
      </c>
      <c r="Q4115" s="399" t="s">
        <v>125</v>
      </c>
      <c r="R4115" s="399">
        <f t="shared" ref="R4115" si="13270">IF(P4115&gt;0,MAX(VLOOKUP(F4115,$D$6:$G$15,3,FALSE),600),0)/1000</f>
        <v>0</v>
      </c>
      <c r="S4115" s="396"/>
      <c r="T4115" s="396" t="s">
        <v>125</v>
      </c>
      <c r="U4115" s="401">
        <f t="shared" si="13168"/>
        <v>1.5782400000000001</v>
      </c>
      <c r="V4115" s="396" t="s">
        <v>125</v>
      </c>
      <c r="W4115" s="399">
        <f t="shared" ref="W4115" si="13271">D4115</f>
        <v>4</v>
      </c>
      <c r="X4115" s="399" t="s">
        <v>125</v>
      </c>
      <c r="Y4115" s="389">
        <f t="shared" si="13170"/>
        <v>1</v>
      </c>
      <c r="Z4115" s="400" t="s">
        <v>176</v>
      </c>
      <c r="AA4115" s="402">
        <f t="shared" ref="AA4115" si="13272">(N4115+P4115*R4115/1000)*U4115*W4115*Y4115</f>
        <v>44.405360639999998</v>
      </c>
      <c r="AB4115" s="390"/>
    </row>
    <row r="4116" spans="1:28">
      <c r="A4116" s="384"/>
      <c r="B4116" s="385"/>
      <c r="C4116" s="393"/>
      <c r="D4116" s="398"/>
      <c r="E4116" s="388"/>
      <c r="F4116" s="388"/>
      <c r="G4116" s="388"/>
      <c r="H4116" s="395"/>
      <c r="I4116" s="388"/>
      <c r="J4116" s="396"/>
      <c r="K4116" s="396"/>
      <c r="L4116" s="404"/>
      <c r="M4116" s="399"/>
      <c r="N4116" s="399"/>
      <c r="O4116" s="396"/>
      <c r="P4116" s="389"/>
      <c r="Q4116" s="396"/>
      <c r="R4116" s="396"/>
      <c r="S4116" s="396"/>
      <c r="T4116" s="396"/>
      <c r="U4116" s="401"/>
      <c r="V4116" s="396"/>
      <c r="W4116" s="399"/>
      <c r="X4116" s="396"/>
      <c r="Y4116" s="389"/>
      <c r="Z4116" s="396"/>
      <c r="AA4116" s="388"/>
      <c r="AB4116" s="390"/>
    </row>
    <row r="4117" spans="1:28">
      <c r="A4117" s="384" t="str">
        <f t="shared" ref="A4117:B4117" si="13273">A4105</f>
        <v>Lantai 2</v>
      </c>
      <c r="B4117" s="385">
        <f t="shared" si="13273"/>
        <v>50</v>
      </c>
      <c r="C4117" s="393" t="s">
        <v>208</v>
      </c>
      <c r="D4117" s="398">
        <f>VLOOKUP(D4105,'Detail Balok'!$C$10:$AU$140,13,FALSE)</f>
        <v>2</v>
      </c>
      <c r="E4117" s="388" t="s">
        <v>16</v>
      </c>
      <c r="F4117" s="388">
        <f>VLOOKUP(D4105,'Detail Balok'!$C$10:$AU$140,15,FALSE)</f>
        <v>10</v>
      </c>
      <c r="G4117" s="388"/>
      <c r="H4117" s="395"/>
      <c r="I4117" s="388"/>
      <c r="J4117" s="399">
        <f t="shared" ref="J4117" si="13274">+D4107/1000</f>
        <v>6.65</v>
      </c>
      <c r="K4117" s="400" t="s">
        <v>204</v>
      </c>
      <c r="L4117" s="399">
        <f t="shared" ref="L4117" si="13275">2*$F$16*F4117/1000</f>
        <v>0.24</v>
      </c>
      <c r="M4117" s="399" t="s">
        <v>176</v>
      </c>
      <c r="N4117" s="399">
        <f t="shared" ref="N4117" si="13276">J4117+L4117</f>
        <v>6.8900000000000006</v>
      </c>
      <c r="O4117" s="399" t="s">
        <v>204</v>
      </c>
      <c r="P4117" s="389">
        <f t="shared" ref="P4117" si="13277">IF(N4117&gt;12,ROUNDDOWN(N4117/12,0),0)</f>
        <v>0</v>
      </c>
      <c r="Q4117" s="399" t="s">
        <v>125</v>
      </c>
      <c r="R4117" s="399">
        <f t="shared" ref="R4117" si="13278">IF(P4117&gt;0,MAX(VLOOKUP(F4117,$D$6:$G$15,3,FALSE),600),0)/1000</f>
        <v>0</v>
      </c>
      <c r="S4117" s="399"/>
      <c r="T4117" s="399" t="s">
        <v>125</v>
      </c>
      <c r="U4117" s="401">
        <f t="shared" ref="U4117" si="13279">0.006165*F4117^2</f>
        <v>0.61650000000000005</v>
      </c>
      <c r="V4117" s="399" t="s">
        <v>125</v>
      </c>
      <c r="W4117" s="399">
        <f t="shared" ref="W4117" si="13280">+D4117</f>
        <v>2</v>
      </c>
      <c r="X4117" s="399" t="s">
        <v>125</v>
      </c>
      <c r="Y4117" s="389">
        <f t="shared" ref="Y4117" si="13281">D4111</f>
        <v>1</v>
      </c>
      <c r="Z4117" s="400" t="s">
        <v>176</v>
      </c>
      <c r="AA4117" s="402">
        <f t="shared" ref="AA4117" si="13282">(N4117+P4117*R4117/1000)*U4117*W4117*Y4117</f>
        <v>8.4953700000000012</v>
      </c>
      <c r="AB4117" s="403"/>
    </row>
    <row r="4118" spans="1:28">
      <c r="A4118" s="384"/>
      <c r="B4118" s="385"/>
      <c r="C4118" s="393"/>
      <c r="D4118" s="398"/>
      <c r="E4118" s="388"/>
      <c r="F4118" s="388"/>
      <c r="G4118" s="388"/>
      <c r="H4118" s="395"/>
      <c r="I4118" s="388"/>
      <c r="J4118" s="399"/>
      <c r="K4118" s="400"/>
      <c r="L4118" s="399"/>
      <c r="M4118" s="399"/>
      <c r="N4118" s="399"/>
      <c r="O4118" s="399"/>
      <c r="P4118" s="389"/>
      <c r="Q4118" s="399"/>
      <c r="R4118" s="399"/>
      <c r="S4118" s="399"/>
      <c r="T4118" s="399"/>
      <c r="U4118" s="401"/>
      <c r="V4118" s="399"/>
      <c r="W4118" s="399"/>
      <c r="X4118" s="399"/>
      <c r="Y4118" s="389"/>
      <c r="Z4118" s="400"/>
      <c r="AA4118" s="402"/>
      <c r="AB4118" s="403"/>
    </row>
    <row r="4119" spans="1:28">
      <c r="A4119" s="384"/>
      <c r="B4119" s="385"/>
      <c r="C4119" s="393"/>
      <c r="D4119" s="398"/>
      <c r="E4119" s="388"/>
      <c r="F4119" s="388"/>
      <c r="G4119" s="388"/>
      <c r="H4119" s="395"/>
      <c r="I4119" s="388"/>
      <c r="J4119" s="396"/>
      <c r="K4119" s="396"/>
      <c r="L4119" s="396"/>
      <c r="M4119" s="396"/>
      <c r="N4119" s="396"/>
      <c r="O4119" s="396"/>
      <c r="P4119" s="389"/>
      <c r="Q4119" s="396"/>
      <c r="R4119" s="396"/>
      <c r="S4119" s="396"/>
      <c r="T4119" s="396"/>
      <c r="U4119" s="401"/>
      <c r="V4119" s="396"/>
      <c r="W4119" s="399"/>
      <c r="X4119" s="396"/>
      <c r="Y4119" s="389"/>
      <c r="Z4119" s="396"/>
      <c r="AA4119" s="388"/>
      <c r="AB4119" s="390"/>
    </row>
    <row r="4120" spans="1:28">
      <c r="A4120" s="384" t="str">
        <f t="shared" ref="A4120:B4120" si="13283">A4105</f>
        <v>Lantai 2</v>
      </c>
      <c r="B4120" s="385">
        <f t="shared" si="13283"/>
        <v>50</v>
      </c>
      <c r="C4120" s="393" t="s">
        <v>209</v>
      </c>
      <c r="D4120" s="398">
        <f>VLOOKUP(D4105,'Detail Balok'!$C$10:$AU$140,22,FALSE)</f>
        <v>4</v>
      </c>
      <c r="E4120" s="388" t="s">
        <v>16</v>
      </c>
      <c r="F4120" s="388">
        <f>VLOOKUP(D4105,'Detail Balok'!$C$10:$AU$140,24,FALSE)</f>
        <v>16</v>
      </c>
      <c r="G4120" s="388"/>
      <c r="H4120" s="395"/>
      <c r="I4120" s="388" t="s">
        <v>203</v>
      </c>
      <c r="J4120" s="399">
        <f t="shared" si="13183"/>
        <v>1.6625000000000001</v>
      </c>
      <c r="K4120" s="400" t="s">
        <v>204</v>
      </c>
      <c r="L4120" s="399">
        <f t="shared" ref="L4120" si="13284">MAX(VLOOKUP(F4120,N$6:P$15,3,FALSE)/1000,2/3*D4110/1000)+F$16*F4120/1000</f>
        <v>0.192</v>
      </c>
      <c r="M4120" s="399" t="s">
        <v>176</v>
      </c>
      <c r="N4120" s="399">
        <f t="shared" ref="N4120:N4122" si="13285">J4120+L4120</f>
        <v>1.8545</v>
      </c>
      <c r="O4120" s="399" t="s">
        <v>204</v>
      </c>
      <c r="P4120" s="389">
        <f t="shared" ref="P4120" si="13286">D4120-D4121</f>
        <v>0</v>
      </c>
      <c r="Q4120" s="399" t="s">
        <v>125</v>
      </c>
      <c r="R4120" s="399">
        <f t="shared" ref="R4120" si="13287">IF(P4120&gt;0,$F$18*F4120/1000,0)</f>
        <v>0</v>
      </c>
      <c r="S4120" s="399" t="s">
        <v>205</v>
      </c>
      <c r="T4120" s="399" t="s">
        <v>125</v>
      </c>
      <c r="U4120" s="401">
        <f t="shared" ref="U4120:U4122" si="13288">0.006165*F4120^2</f>
        <v>1.5782400000000001</v>
      </c>
      <c r="V4120" s="399"/>
      <c r="W4120" s="399"/>
      <c r="X4120" s="399" t="s">
        <v>125</v>
      </c>
      <c r="Y4120" s="389">
        <f t="shared" ref="Y4120" si="13289">D4111</f>
        <v>1</v>
      </c>
      <c r="Z4120" s="400" t="s">
        <v>176</v>
      </c>
      <c r="AA4120" s="402">
        <f t="shared" ref="AA4120" si="13290">IF(AA4123=0,(D4120*N4120+P4120*R4120)*U4120*Y4120,0)</f>
        <v>0</v>
      </c>
      <c r="AB4120" s="403"/>
    </row>
    <row r="4121" spans="1:28">
      <c r="A4121" s="384" t="str">
        <f t="shared" ref="A4121:B4121" si="13291">A4105</f>
        <v>Lantai 2</v>
      </c>
      <c r="B4121" s="385">
        <f t="shared" si="13291"/>
        <v>50</v>
      </c>
      <c r="C4121" s="393" t="s">
        <v>210</v>
      </c>
      <c r="D4121" s="398">
        <f>VLOOKUP(D4105,'Detail Balok'!$C$10:$AU$140,25,FALSE)</f>
        <v>4</v>
      </c>
      <c r="E4121" s="388" t="s">
        <v>16</v>
      </c>
      <c r="F4121" s="388">
        <f>VLOOKUP(D4105,'Detail Balok'!$C$10:$AU$140,27,FALSE)</f>
        <v>16</v>
      </c>
      <c r="G4121" s="388"/>
      <c r="H4121" s="395"/>
      <c r="I4121" s="388" t="s">
        <v>203</v>
      </c>
      <c r="J4121" s="399">
        <f t="shared" si="13183"/>
        <v>3.3250000000000002</v>
      </c>
      <c r="K4121" s="400" t="s">
        <v>204</v>
      </c>
      <c r="L4121" s="399"/>
      <c r="M4121" s="399" t="s">
        <v>176</v>
      </c>
      <c r="N4121" s="399">
        <f t="shared" si="13285"/>
        <v>3.3250000000000002</v>
      </c>
      <c r="O4121" s="399" t="s">
        <v>204</v>
      </c>
      <c r="P4121" s="389">
        <f t="shared" ref="P4121" si="13292">MAX(D4121-D4120,D4121-D4122)</f>
        <v>0</v>
      </c>
      <c r="Q4121" s="399" t="s">
        <v>125</v>
      </c>
      <c r="R4121" s="399">
        <f t="shared" ref="R4121" si="13293">IF(P4121&gt;0,2*(1-2*$F$19-1/2)*D4108/1000,0)</f>
        <v>0</v>
      </c>
      <c r="S4121" s="399" t="s">
        <v>205</v>
      </c>
      <c r="T4121" s="399" t="s">
        <v>125</v>
      </c>
      <c r="U4121" s="401">
        <f t="shared" si="13288"/>
        <v>1.5782400000000001</v>
      </c>
      <c r="V4121" s="399"/>
      <c r="W4121" s="399"/>
      <c r="X4121" s="399" t="s">
        <v>125</v>
      </c>
      <c r="Y4121" s="389">
        <f t="shared" ref="Y4121" si="13294">D4111</f>
        <v>1</v>
      </c>
      <c r="Z4121" s="400" t="s">
        <v>176</v>
      </c>
      <c r="AA4121" s="402">
        <f t="shared" ref="AA4121" si="13295">IF(AA4123=0,(D4121*N4121+P4121*R4121)*U4121*Y4121,0)</f>
        <v>0</v>
      </c>
      <c r="AB4121" s="403"/>
    </row>
    <row r="4122" spans="1:28">
      <c r="A4122" s="384" t="str">
        <f t="shared" ref="A4122:B4122" si="13296">A4105</f>
        <v>Lantai 2</v>
      </c>
      <c r="B4122" s="385">
        <f t="shared" si="13296"/>
        <v>50</v>
      </c>
      <c r="C4122" s="393" t="s">
        <v>209</v>
      </c>
      <c r="D4122" s="398">
        <f>VLOOKUP(D4105,'Detail Balok'!$C$10:$AU$140,28,FALSE)</f>
        <v>4</v>
      </c>
      <c r="E4122" s="388" t="s">
        <v>16</v>
      </c>
      <c r="F4122" s="388">
        <f>VLOOKUP(D4105,'Detail Balok'!$C$10:$AU$140,30,FALSE)</f>
        <v>16</v>
      </c>
      <c r="G4122" s="388"/>
      <c r="H4122" s="395"/>
      <c r="I4122" s="388" t="s">
        <v>203</v>
      </c>
      <c r="J4122" s="399">
        <f t="shared" si="13183"/>
        <v>1.6625000000000001</v>
      </c>
      <c r="K4122" s="400" t="s">
        <v>204</v>
      </c>
      <c r="L4122" s="399">
        <f t="shared" ref="L4122" si="13297">MAX(VLOOKUP(F4122,N$6:P$15,3,FALSE)/1000,2/3*D4110/1000)+F$16*F4122/1000</f>
        <v>0.192</v>
      </c>
      <c r="M4122" s="399" t="s">
        <v>176</v>
      </c>
      <c r="N4122" s="399">
        <f t="shared" si="13285"/>
        <v>1.8545</v>
      </c>
      <c r="O4122" s="399" t="s">
        <v>204</v>
      </c>
      <c r="P4122" s="389">
        <f t="shared" ref="P4122" si="13298">D4122-D4121</f>
        <v>0</v>
      </c>
      <c r="Q4122" s="399" t="s">
        <v>125</v>
      </c>
      <c r="R4122" s="399">
        <f t="shared" ref="R4122" si="13299">IF(P4122&gt;0,$F$18*F4122/1000,0)</f>
        <v>0</v>
      </c>
      <c r="S4122" s="399" t="s">
        <v>205</v>
      </c>
      <c r="T4122" s="399" t="s">
        <v>125</v>
      </c>
      <c r="U4122" s="401">
        <f t="shared" si="13288"/>
        <v>1.5782400000000001</v>
      </c>
      <c r="V4122" s="399"/>
      <c r="W4122" s="399"/>
      <c r="X4122" s="399" t="s">
        <v>125</v>
      </c>
      <c r="Y4122" s="389">
        <f t="shared" ref="Y4122" si="13300">D4111</f>
        <v>1</v>
      </c>
      <c r="Z4122" s="400" t="s">
        <v>176</v>
      </c>
      <c r="AA4122" s="402">
        <f t="shared" ref="AA4122" si="13301">IF(AA4123=0,(D4122*N4122+P4122*R4122)*U4122*Y4122,0)</f>
        <v>0</v>
      </c>
      <c r="AB4122" s="403"/>
    </row>
    <row r="4123" spans="1:28">
      <c r="A4123" s="384" t="str">
        <f t="shared" ref="A4123:B4123" si="13302">A4105</f>
        <v>Lantai 2</v>
      </c>
      <c r="B4123" s="385">
        <f t="shared" si="13302"/>
        <v>50</v>
      </c>
      <c r="C4123" s="393"/>
      <c r="D4123" s="398">
        <f t="shared" si="13203"/>
        <v>4</v>
      </c>
      <c r="E4123" s="388" t="s">
        <v>16</v>
      </c>
      <c r="F4123" s="388">
        <f t="shared" si="13204"/>
        <v>16</v>
      </c>
      <c r="G4123" s="388"/>
      <c r="H4123" s="395"/>
      <c r="I4123" s="388"/>
      <c r="J4123" s="396"/>
      <c r="K4123" s="396"/>
      <c r="L4123" s="404" t="s">
        <v>207</v>
      </c>
      <c r="M4123" s="399" t="s">
        <v>176</v>
      </c>
      <c r="N4123" s="399">
        <f t="shared" ref="N4123" si="13303">IF(AND(D4120=D4121,D4120=D4122,D4121=D4122,F4120=F4121,F4120=F4122,F4121=F4122),SUM(N4120:N4122),0)</f>
        <v>7.0339999999999998</v>
      </c>
      <c r="O4123" s="399" t="s">
        <v>204</v>
      </c>
      <c r="P4123" s="389">
        <f t="shared" ref="P4123" si="13304">IF(N4123&gt;12,ROUNDDOWN(N4123/12,0),0)</f>
        <v>0</v>
      </c>
      <c r="Q4123" s="399" t="s">
        <v>125</v>
      </c>
      <c r="R4123" s="399">
        <f t="shared" ref="R4123" si="13305">IF(P4123&gt;0,MAX(VLOOKUP(F4123,$D$6:$G$15,3,FALSE),600),0)/1000</f>
        <v>0</v>
      </c>
      <c r="S4123" s="396"/>
      <c r="T4123" s="396" t="s">
        <v>125</v>
      </c>
      <c r="U4123" s="401">
        <f t="shared" si="13208"/>
        <v>1.5782400000000001</v>
      </c>
      <c r="V4123" s="396" t="s">
        <v>125</v>
      </c>
      <c r="W4123" s="399">
        <f t="shared" ref="W4123" si="13306">D4123</f>
        <v>4</v>
      </c>
      <c r="X4123" s="399" t="s">
        <v>125</v>
      </c>
      <c r="Y4123" s="389">
        <f t="shared" si="13210"/>
        <v>1</v>
      </c>
      <c r="Z4123" s="400" t="s">
        <v>176</v>
      </c>
      <c r="AA4123" s="402">
        <f t="shared" ref="AA4123" si="13307">(N4123+P4123*R4123/1000)*U4123*W4123*Y4123</f>
        <v>44.405360639999998</v>
      </c>
      <c r="AB4123" s="403"/>
    </row>
    <row r="4124" spans="1:28">
      <c r="A4124" s="384"/>
      <c r="B4124" s="385"/>
      <c r="C4124" s="393"/>
      <c r="D4124" s="394"/>
      <c r="E4124" s="388"/>
      <c r="F4124" s="388"/>
      <c r="G4124" s="388"/>
      <c r="H4124" s="395"/>
      <c r="I4124" s="388"/>
      <c r="J4124" s="399"/>
      <c r="K4124" s="396"/>
      <c r="L4124" s="396"/>
      <c r="M4124" s="396"/>
      <c r="N4124" s="396"/>
      <c r="O4124" s="396"/>
      <c r="P4124" s="389"/>
      <c r="Q4124" s="396"/>
      <c r="R4124" s="396"/>
      <c r="S4124" s="396"/>
      <c r="T4124" s="396"/>
      <c r="U4124" s="401"/>
      <c r="V4124" s="396"/>
      <c r="W4124" s="388"/>
      <c r="X4124" s="396"/>
      <c r="Y4124" s="389"/>
      <c r="Z4124" s="396"/>
      <c r="AA4124" s="388"/>
      <c r="AB4124" s="390"/>
    </row>
    <row r="4125" spans="1:28">
      <c r="A4125" s="384" t="str">
        <f t="shared" ref="A4125:B4125" si="13308">A4105</f>
        <v>Lantai 2</v>
      </c>
      <c r="B4125" s="385">
        <f t="shared" si="13308"/>
        <v>50</v>
      </c>
      <c r="C4125" s="393" t="s">
        <v>211</v>
      </c>
      <c r="D4125" s="398">
        <f>VLOOKUP(D4105,'Detail Balok'!$C$10:$AU$140,31,FALSE)</f>
        <v>0</v>
      </c>
      <c r="E4125" s="388" t="s">
        <v>16</v>
      </c>
      <c r="F4125" s="388">
        <f>VLOOKUP(D4105,'Detail Balok'!$C$10:$AU$140,33,FALSE)</f>
        <v>10</v>
      </c>
      <c r="G4125" s="405" t="s">
        <v>157</v>
      </c>
      <c r="H4125" s="395">
        <f>VLOOKUP(D4105,'Detail Balok'!$C$10:$AU$140,35,FALSE)</f>
        <v>150</v>
      </c>
      <c r="I4125" s="388"/>
      <c r="J4125" s="400">
        <f t="shared" ref="J4125" si="13309">(IF(D4125=0,(2*(D4106+G4106))-(F$5*8),IF(D4125=3,(2*(D4106+G4106))-(F$5*8)+(G4106-2*F$5),IF(D4125=4,(2*(D4106+G4106))-(F$5*8)+2*(G4106-2*F$5)))))/1000</f>
        <v>1.08</v>
      </c>
      <c r="K4125" s="400" t="s">
        <v>204</v>
      </c>
      <c r="L4125" s="399">
        <f t="shared" ref="L4125:L4127" si="13310">IF(D4125=0,2*MAX(6*F4125,75),(D4125-1)*2*MAX(6*F4125,75))/1000</f>
        <v>0.15</v>
      </c>
      <c r="M4125" s="399" t="s">
        <v>176</v>
      </c>
      <c r="N4125" s="399">
        <f t="shared" ref="N4125:N4127" si="13311">J4125+L4125</f>
        <v>1.23</v>
      </c>
      <c r="O4125" s="399"/>
      <c r="P4125" s="389"/>
      <c r="Q4125" s="399"/>
      <c r="R4125" s="399"/>
      <c r="S4125" s="399"/>
      <c r="T4125" s="399" t="s">
        <v>125</v>
      </c>
      <c r="U4125" s="401">
        <f t="shared" ref="U4125:U4127" si="13312">0.006165*F4125^2</f>
        <v>0.61650000000000005</v>
      </c>
      <c r="V4125" s="399" t="s">
        <v>125</v>
      </c>
      <c r="W4125" s="399">
        <f t="shared" ref="W4125" si="13313">IF(D4108&gt;4*G4106,ROUND(MAX(D4108/4,2*G4106)/H4125,0)+1,ROUND(D4108/H4125,0)+1)</f>
        <v>12</v>
      </c>
      <c r="X4125" s="399" t="s">
        <v>125</v>
      </c>
      <c r="Y4125" s="389">
        <f t="shared" ref="Y4125" si="13314">D4111</f>
        <v>1</v>
      </c>
      <c r="Z4125" s="400" t="s">
        <v>176</v>
      </c>
      <c r="AA4125" s="402">
        <f t="shared" ref="AA4125:AA4127" si="13315">N4125*U4125*W4125*Y4125</f>
        <v>9.0995400000000011</v>
      </c>
      <c r="AB4125" s="403"/>
    </row>
    <row r="4126" spans="1:28">
      <c r="A4126" s="384" t="str">
        <f t="shared" ref="A4126:B4126" si="13316">A4105</f>
        <v>Lantai 2</v>
      </c>
      <c r="B4126" s="385">
        <f t="shared" si="13316"/>
        <v>50</v>
      </c>
      <c r="C4126" s="393" t="s">
        <v>212</v>
      </c>
      <c r="D4126" s="398">
        <f>VLOOKUP(D4105,'Detail Balok'!$C$10:$AU$140,36,FALSE)</f>
        <v>0</v>
      </c>
      <c r="E4126" s="388" t="s">
        <v>16</v>
      </c>
      <c r="F4126" s="388">
        <f>VLOOKUP(D4105,'Detail Balok'!$C$10:$AU$140,38,FALSE)</f>
        <v>10</v>
      </c>
      <c r="G4126" s="405" t="s">
        <v>157</v>
      </c>
      <c r="H4126" s="395">
        <f>VLOOKUP(D4105,'Detail Balok'!$C$10:$AU$140,40,FALSE)</f>
        <v>200</v>
      </c>
      <c r="I4126" s="388"/>
      <c r="J4126" s="400">
        <f t="shared" ref="J4126" si="13317">(IF(D4126=0,(2*(D4106+G4106))-(F$5*8),IF(D4126=3,(2*(D4106+G4106))-(F$5*8)+(G4106-2*F$5),IF(D4126=4,(2*(D4106+G4106))-(F$5*8)+2*(G4106-2*F$5)))))/1000</f>
        <v>1.08</v>
      </c>
      <c r="K4126" s="400" t="s">
        <v>204</v>
      </c>
      <c r="L4126" s="399">
        <f t="shared" si="13310"/>
        <v>0.15</v>
      </c>
      <c r="M4126" s="399" t="s">
        <v>176</v>
      </c>
      <c r="N4126" s="399">
        <f t="shared" si="13311"/>
        <v>1.23</v>
      </c>
      <c r="O4126" s="399"/>
      <c r="P4126" s="389"/>
      <c r="Q4126" s="399"/>
      <c r="R4126" s="399"/>
      <c r="S4126" s="399"/>
      <c r="T4126" s="399" t="s">
        <v>125</v>
      </c>
      <c r="U4126" s="401">
        <f t="shared" si="13312"/>
        <v>0.61650000000000005</v>
      </c>
      <c r="V4126" s="399" t="s">
        <v>125</v>
      </c>
      <c r="W4126" s="399">
        <f t="shared" ref="W4126" si="13318">IF(D4108-MAX(D4108/4,2*G4106)*2&gt;0,ROUND((D4108-MAX(D4108/4,2*G4106)*2)/H4126,0),0)</f>
        <v>17</v>
      </c>
      <c r="X4126" s="399" t="s">
        <v>125</v>
      </c>
      <c r="Y4126" s="389">
        <f t="shared" ref="Y4126" si="13319">D4111</f>
        <v>1</v>
      </c>
      <c r="Z4126" s="400" t="s">
        <v>176</v>
      </c>
      <c r="AA4126" s="402">
        <f t="shared" si="13315"/>
        <v>12.891015000000001</v>
      </c>
      <c r="AB4126" s="403"/>
    </row>
    <row r="4127" spans="1:28">
      <c r="A4127" s="384" t="str">
        <f t="shared" ref="A4127:B4127" si="13320">A4105</f>
        <v>Lantai 2</v>
      </c>
      <c r="B4127" s="385">
        <f t="shared" si="13320"/>
        <v>50</v>
      </c>
      <c r="C4127" s="393" t="s">
        <v>211</v>
      </c>
      <c r="D4127" s="398">
        <f>VLOOKUP(D4105,'Detail Balok'!$C$10:$AU$140,41,FALSE)</f>
        <v>0</v>
      </c>
      <c r="E4127" s="388" t="s">
        <v>16</v>
      </c>
      <c r="F4127" s="388">
        <f>VLOOKUP(D4105,'Detail Balok'!$C$10:$AU$140,43,FALSE)</f>
        <v>10</v>
      </c>
      <c r="G4127" s="405" t="s">
        <v>157</v>
      </c>
      <c r="H4127" s="395">
        <f>VLOOKUP(D4105,'Detail Balok'!$C$10:$AU$140,45,FALSE)</f>
        <v>150</v>
      </c>
      <c r="I4127" s="388"/>
      <c r="J4127" s="400">
        <f t="shared" ref="J4127" si="13321">(IF(D4127=0,(2*(D4106+G4106))-(F$5*8),IF(D4127=3,(2*(D4106+G4106))-(F$5*8)+(G4106-2*F$5),IF(D4127=4,(2*(D4106+G4106))-(F$5*8)+2*(G4106-2*F$5)))))/1000</f>
        <v>1.08</v>
      </c>
      <c r="K4127" s="400" t="s">
        <v>204</v>
      </c>
      <c r="L4127" s="399">
        <f t="shared" si="13310"/>
        <v>0.15</v>
      </c>
      <c r="M4127" s="399" t="s">
        <v>176</v>
      </c>
      <c r="N4127" s="399">
        <f t="shared" si="13311"/>
        <v>1.23</v>
      </c>
      <c r="O4127" s="399"/>
      <c r="P4127" s="389"/>
      <c r="Q4127" s="399"/>
      <c r="R4127" s="399"/>
      <c r="S4127" s="399"/>
      <c r="T4127" s="399" t="s">
        <v>125</v>
      </c>
      <c r="U4127" s="401">
        <f t="shared" si="13312"/>
        <v>0.61650000000000005</v>
      </c>
      <c r="V4127" s="399" t="s">
        <v>125</v>
      </c>
      <c r="W4127" s="399">
        <f t="shared" ref="W4127" si="13322">IF(D4108&gt;4*G4106,ROUND(MAX(D4108/4,2*G4106)/H4127,0)+1,0)</f>
        <v>12</v>
      </c>
      <c r="X4127" s="399" t="s">
        <v>125</v>
      </c>
      <c r="Y4127" s="389">
        <f t="shared" ref="Y4127" si="13323">D4111</f>
        <v>1</v>
      </c>
      <c r="Z4127" s="400" t="s">
        <v>176</v>
      </c>
      <c r="AA4127" s="402">
        <f t="shared" si="13315"/>
        <v>9.0995400000000011</v>
      </c>
      <c r="AB4127" s="403"/>
    </row>
    <row r="4128" spans="1:28">
      <c r="A4128" s="384"/>
      <c r="B4128" s="385"/>
      <c r="C4128" s="393"/>
      <c r="D4128" s="394"/>
      <c r="E4128" s="388"/>
      <c r="F4128" s="388"/>
      <c r="G4128" s="388"/>
      <c r="H4128" s="395"/>
      <c r="I4128" s="388"/>
      <c r="J4128" s="399"/>
      <c r="K4128" s="396"/>
      <c r="L4128" s="396"/>
      <c r="M4128" s="396"/>
      <c r="N4128" s="396"/>
      <c r="O4128" s="396"/>
      <c r="P4128" s="389"/>
      <c r="Q4128" s="396"/>
      <c r="R4128" s="396"/>
      <c r="S4128" s="396"/>
      <c r="T4128" s="396"/>
      <c r="U4128" s="401"/>
      <c r="V4128" s="396"/>
      <c r="W4128" s="388"/>
      <c r="X4128" s="396"/>
      <c r="Y4128" s="389"/>
      <c r="Z4128" s="396"/>
      <c r="AA4128" s="388"/>
      <c r="AB4128" s="390"/>
    </row>
    <row r="4129" spans="1:28">
      <c r="A4129" s="384" t="str">
        <f t="shared" ref="A4129:B4129" si="13324">A4105</f>
        <v>Lantai 2</v>
      </c>
      <c r="B4129" s="385">
        <f t="shared" si="13324"/>
        <v>50</v>
      </c>
      <c r="C4129" s="393" t="s">
        <v>213</v>
      </c>
      <c r="D4129" s="398">
        <f>VLOOKUP(D4105,'Detail Balok'!$C$10:$BJ$140,46,FALSE)</f>
        <v>0</v>
      </c>
      <c r="E4129" s="388" t="s">
        <v>16</v>
      </c>
      <c r="F4129" s="388">
        <f>VLOOKUP(D4105,'Detail Balok'!$C$10:$BJ$140,48,FALSE)</f>
        <v>0</v>
      </c>
      <c r="G4129" s="405" t="s">
        <v>157</v>
      </c>
      <c r="H4129" s="395">
        <f>VLOOKUP(D4105,'Detail Balok'!$C$10:$BJ$140,50,FALSE)</f>
        <v>100</v>
      </c>
      <c r="I4129" s="388"/>
      <c r="J4129" s="399">
        <f t="shared" ref="J4129" si="13325">(D4106-2*F$5)/1000</f>
        <v>0.12</v>
      </c>
      <c r="K4129" s="400" t="s">
        <v>204</v>
      </c>
      <c r="L4129" s="399">
        <f t="shared" ref="L4129:L4131" si="13326">IF(D4129=0,2*MAX(6*F4129,75),(D4129-1)*2*MAX(6*F4129,75))/1000</f>
        <v>0.15</v>
      </c>
      <c r="M4129" s="399" t="s">
        <v>176</v>
      </c>
      <c r="N4129" s="399">
        <f t="shared" ref="N4129:N4131" si="13327">J4129+L4129</f>
        <v>0.27</v>
      </c>
      <c r="O4129" s="399"/>
      <c r="P4129" s="399"/>
      <c r="Q4129" s="399"/>
      <c r="R4129" s="399"/>
      <c r="S4129" s="399"/>
      <c r="T4129" s="399" t="s">
        <v>125</v>
      </c>
      <c r="U4129" s="401">
        <f t="shared" ref="U4129:U4131" si="13328">0.006165*F4129^2</f>
        <v>0</v>
      </c>
      <c r="V4129" s="399" t="s">
        <v>125</v>
      </c>
      <c r="W4129" s="399">
        <f t="shared" si="13233"/>
        <v>12</v>
      </c>
      <c r="X4129" s="399" t="s">
        <v>125</v>
      </c>
      <c r="Y4129" s="389">
        <f t="shared" ref="Y4129" si="13329">D4115</f>
        <v>4</v>
      </c>
      <c r="Z4129" s="400" t="s">
        <v>176</v>
      </c>
      <c r="AA4129" s="402">
        <f t="shared" ref="AA4129:AA4131" si="13330">N4129*U4129*W4129*Y4129</f>
        <v>0</v>
      </c>
      <c r="AB4129" s="403"/>
    </row>
    <row r="4130" spans="1:28">
      <c r="A4130" s="384" t="str">
        <f t="shared" ref="A4130:B4130" si="13331">A4105</f>
        <v>Lantai 2</v>
      </c>
      <c r="B4130" s="385">
        <f t="shared" si="13331"/>
        <v>50</v>
      </c>
      <c r="C4130" s="393" t="s">
        <v>214</v>
      </c>
      <c r="D4130" s="398">
        <f>VLOOKUP(D4105,'Detail Balok'!$C$10:$BJ$140,51,FALSE)</f>
        <v>0</v>
      </c>
      <c r="E4130" s="388" t="s">
        <v>16</v>
      </c>
      <c r="F4130" s="388">
        <f>VLOOKUP(D4105,'Detail Balok'!$C$10:$BJ$140,53,FALSE)</f>
        <v>0</v>
      </c>
      <c r="G4130" s="405" t="s">
        <v>157</v>
      </c>
      <c r="H4130" s="395">
        <f>VLOOKUP(D4105,'Detail Balok'!$C$10:$BJ$140,55,FALSE)</f>
        <v>100</v>
      </c>
      <c r="I4130" s="388"/>
      <c r="J4130" s="399">
        <f t="shared" ref="J4130" si="13332">(D4106-2*F$5)/1000</f>
        <v>0.12</v>
      </c>
      <c r="K4130" s="400" t="s">
        <v>204</v>
      </c>
      <c r="L4130" s="399">
        <f t="shared" si="13326"/>
        <v>0.15</v>
      </c>
      <c r="M4130" s="399" t="s">
        <v>176</v>
      </c>
      <c r="N4130" s="399">
        <f t="shared" si="13327"/>
        <v>0.27</v>
      </c>
      <c r="O4130" s="399"/>
      <c r="P4130" s="399"/>
      <c r="Q4130" s="399"/>
      <c r="R4130" s="399"/>
      <c r="S4130" s="399"/>
      <c r="T4130" s="399" t="s">
        <v>125</v>
      </c>
      <c r="U4130" s="401">
        <f t="shared" si="13328"/>
        <v>0</v>
      </c>
      <c r="V4130" s="399" t="s">
        <v>125</v>
      </c>
      <c r="W4130" s="399">
        <f t="shared" si="13233"/>
        <v>17</v>
      </c>
      <c r="X4130" s="399" t="s">
        <v>125</v>
      </c>
      <c r="Y4130" s="389">
        <f t="shared" ref="Y4130" si="13333">D4115</f>
        <v>4</v>
      </c>
      <c r="Z4130" s="400" t="s">
        <v>176</v>
      </c>
      <c r="AA4130" s="402">
        <f t="shared" si="13330"/>
        <v>0</v>
      </c>
      <c r="AB4130" s="403"/>
    </row>
    <row r="4131" spans="1:28">
      <c r="A4131" s="384" t="str">
        <f t="shared" ref="A4131:B4131" si="13334">A4105</f>
        <v>Lantai 2</v>
      </c>
      <c r="B4131" s="385">
        <f t="shared" si="13334"/>
        <v>50</v>
      </c>
      <c r="C4131" s="393" t="s">
        <v>213</v>
      </c>
      <c r="D4131" s="398">
        <f>VLOOKUP(D4105,'Detail Balok'!$C$10:$BJ$140,56,FALSE)</f>
        <v>0</v>
      </c>
      <c r="E4131" s="388" t="s">
        <v>16</v>
      </c>
      <c r="F4131" s="388">
        <f>VLOOKUP(D4105,'Detail Balok'!$C$10:$BJ$140,58,FALSE)</f>
        <v>0</v>
      </c>
      <c r="G4131" s="405" t="s">
        <v>157</v>
      </c>
      <c r="H4131" s="395">
        <f>VLOOKUP(D4105,'Detail Balok'!$C$10:$BJ$140,60,FALSE)</f>
        <v>100</v>
      </c>
      <c r="I4131" s="388"/>
      <c r="J4131" s="399">
        <f t="shared" ref="J4131" si="13335">(D4106-2*F$5)/1000</f>
        <v>0.12</v>
      </c>
      <c r="K4131" s="400" t="s">
        <v>204</v>
      </c>
      <c r="L4131" s="399">
        <f t="shared" si="13326"/>
        <v>0.15</v>
      </c>
      <c r="M4131" s="399" t="s">
        <v>176</v>
      </c>
      <c r="N4131" s="399">
        <f t="shared" si="13327"/>
        <v>0.27</v>
      </c>
      <c r="O4131" s="399"/>
      <c r="P4131" s="399"/>
      <c r="Q4131" s="399"/>
      <c r="R4131" s="399"/>
      <c r="S4131" s="399"/>
      <c r="T4131" s="399" t="s">
        <v>125</v>
      </c>
      <c r="U4131" s="401">
        <f t="shared" si="13328"/>
        <v>0</v>
      </c>
      <c r="V4131" s="399" t="s">
        <v>125</v>
      </c>
      <c r="W4131" s="399">
        <f t="shared" si="13233"/>
        <v>12</v>
      </c>
      <c r="X4131" s="399" t="s">
        <v>125</v>
      </c>
      <c r="Y4131" s="389">
        <f t="shared" ref="Y4131" si="13336">D4115</f>
        <v>4</v>
      </c>
      <c r="Z4131" s="400" t="s">
        <v>176</v>
      </c>
      <c r="AA4131" s="402">
        <f t="shared" si="13330"/>
        <v>0</v>
      </c>
      <c r="AB4131" s="403"/>
    </row>
    <row r="4132" spans="1:28">
      <c r="A4132" s="391"/>
      <c r="B4132" s="392"/>
      <c r="C4132" s="392"/>
      <c r="D4132" s="394"/>
      <c r="E4132" s="388"/>
      <c r="F4132" s="388"/>
      <c r="G4132" s="388"/>
      <c r="H4132" s="395"/>
      <c r="I4132" s="388"/>
      <c r="J4132" s="402"/>
      <c r="K4132" s="388"/>
      <c r="L4132" s="388"/>
      <c r="M4132" s="388"/>
      <c r="N4132" s="388"/>
      <c r="O4132" s="388"/>
      <c r="P4132" s="388"/>
      <c r="Q4132" s="388"/>
      <c r="R4132" s="388"/>
      <c r="S4132" s="388"/>
      <c r="T4132" s="388"/>
      <c r="U4132" s="388"/>
      <c r="V4132" s="388"/>
      <c r="W4132" s="388"/>
      <c r="X4132" s="388"/>
      <c r="Y4132" s="389"/>
      <c r="Z4132" s="388"/>
      <c r="AA4132" s="402"/>
      <c r="AB4132" s="403"/>
    </row>
    <row r="4133" spans="1:28" ht="15.75" thickBot="1">
      <c r="A4133" s="406"/>
      <c r="B4133" s="407"/>
      <c r="C4133" s="407"/>
      <c r="D4133" s="408"/>
      <c r="E4133" s="409"/>
      <c r="F4133" s="409"/>
      <c r="G4133" s="409"/>
      <c r="H4133" s="410"/>
      <c r="I4133" s="409"/>
      <c r="J4133" s="409"/>
      <c r="K4133" s="409"/>
      <c r="L4133" s="409"/>
      <c r="M4133" s="409"/>
      <c r="N4133" s="409"/>
      <c r="O4133" s="409"/>
      <c r="P4133" s="409"/>
      <c r="Q4133" s="409"/>
      <c r="R4133" s="409"/>
      <c r="S4133" s="409"/>
      <c r="T4133" s="409"/>
      <c r="U4133" s="409"/>
      <c r="V4133" s="409"/>
      <c r="W4133" s="409"/>
      <c r="X4133" s="409"/>
      <c r="Y4133" s="411"/>
      <c r="Z4133" s="409"/>
      <c r="AA4133" s="412"/>
      <c r="AB4133" s="413"/>
    </row>
    <row r="4134" spans="1:28">
      <c r="A4134" s="377"/>
      <c r="B4134" s="378"/>
      <c r="C4134" s="378"/>
      <c r="D4134" s="379"/>
      <c r="E4134" s="380"/>
      <c r="F4134" s="380"/>
      <c r="G4134" s="380"/>
      <c r="H4134" s="381"/>
      <c r="I4134" s="380"/>
      <c r="J4134" s="380"/>
      <c r="K4134" s="380"/>
      <c r="L4134" s="380"/>
      <c r="M4134" s="380"/>
      <c r="N4134" s="380"/>
      <c r="O4134" s="380"/>
      <c r="P4134" s="380"/>
      <c r="Q4134" s="380"/>
      <c r="R4134" s="380"/>
      <c r="S4134" s="380"/>
      <c r="T4134" s="380"/>
      <c r="U4134" s="380"/>
      <c r="V4134" s="380"/>
      <c r="W4134" s="380"/>
      <c r="X4134" s="380"/>
      <c r="Y4134" s="382"/>
      <c r="Z4134" s="380"/>
      <c r="AA4134" s="380"/>
      <c r="AB4134" s="383"/>
    </row>
    <row r="4135" spans="1:28">
      <c r="A4135" s="384" t="str">
        <f t="shared" si="13242"/>
        <v>Lantai 2</v>
      </c>
      <c r="B4135" s="385">
        <f t="shared" si="13243"/>
        <v>51</v>
      </c>
      <c r="C4135" s="386" t="str">
        <f t="shared" ref="C4135" si="13337">CONCATENATE(A4135," no. ",B4135)</f>
        <v>Lantai 2 no. 51</v>
      </c>
      <c r="D4135" s="2562" t="str">
        <f>VLOOKUP(C4135,'Data Panjang Balok'!$C$9:$N$254,2,FALSE)</f>
        <v>B25-1</v>
      </c>
      <c r="E4135" s="2576"/>
      <c r="F4135" s="2576"/>
      <c r="G4135" s="2576"/>
      <c r="H4135" s="2577"/>
      <c r="I4135" s="387"/>
      <c r="J4135" s="388"/>
      <c r="K4135" s="388"/>
      <c r="L4135" s="388"/>
      <c r="M4135" s="388"/>
      <c r="N4135" s="388"/>
      <c r="O4135" s="388"/>
      <c r="P4135" s="388"/>
      <c r="Q4135" s="388"/>
      <c r="R4135" s="388"/>
      <c r="S4135" s="388"/>
      <c r="T4135" s="388"/>
      <c r="U4135" s="388"/>
      <c r="V4135" s="388"/>
      <c r="W4135" s="388"/>
      <c r="X4135" s="388"/>
      <c r="Y4135" s="389"/>
      <c r="Z4135" s="388"/>
      <c r="AA4135" s="388"/>
      <c r="AB4135" s="390"/>
    </row>
    <row r="4136" spans="1:28">
      <c r="A4136" s="391"/>
      <c r="B4136" s="392"/>
      <c r="C4136" s="393" t="s">
        <v>118</v>
      </c>
      <c r="D4136" s="2578">
        <f>VLOOKUP(D4135,'Detail Balok'!$C$10:$AU$140,2,FALSE)</f>
        <v>200</v>
      </c>
      <c r="E4136" s="2579"/>
      <c r="F4136" s="388" t="s">
        <v>125</v>
      </c>
      <c r="G4136" s="2579">
        <f>VLOOKUP(D4135,'Detail Balok'!$C$10:$AU$140,3,FALSE)</f>
        <v>500</v>
      </c>
      <c r="H4136" s="2580"/>
      <c r="I4136" s="388"/>
      <c r="J4136" s="396"/>
      <c r="K4136" s="396"/>
      <c r="L4136" s="396"/>
      <c r="M4136" s="396"/>
      <c r="N4136" s="396"/>
      <c r="O4136" s="396"/>
      <c r="P4136" s="396"/>
      <c r="Q4136" s="396"/>
      <c r="R4136" s="396"/>
      <c r="S4136" s="396"/>
      <c r="T4136" s="396"/>
      <c r="U4136" s="388"/>
      <c r="V4136" s="396"/>
      <c r="W4136" s="388"/>
      <c r="X4136" s="396"/>
      <c r="Y4136" s="389"/>
      <c r="Z4136" s="396"/>
      <c r="AA4136" s="388"/>
      <c r="AB4136" s="390"/>
    </row>
    <row r="4137" spans="1:28">
      <c r="A4137" s="391"/>
      <c r="B4137" s="392"/>
      <c r="C4137" s="393" t="s">
        <v>198</v>
      </c>
      <c r="D4137" s="2562">
        <f>VLOOKUP(C4135,'Data Panjang Balok'!$C$9:$N$254,4,FALSE)</f>
        <v>6650</v>
      </c>
      <c r="E4137" s="2563"/>
      <c r="F4137" s="2563"/>
      <c r="G4137" s="2563"/>
      <c r="H4137" s="2564"/>
      <c r="I4137" s="397"/>
      <c r="J4137" s="396"/>
      <c r="K4137" s="396"/>
      <c r="L4137" s="396"/>
      <c r="M4137" s="396"/>
      <c r="N4137" s="396"/>
      <c r="O4137" s="396"/>
      <c r="P4137" s="396"/>
      <c r="Q4137" s="396"/>
      <c r="R4137" s="396"/>
      <c r="S4137" s="396"/>
      <c r="T4137" s="396"/>
      <c r="U4137" s="388"/>
      <c r="V4137" s="396"/>
      <c r="W4137" s="388"/>
      <c r="X4137" s="396"/>
      <c r="Y4137" s="389"/>
      <c r="Z4137" s="396"/>
      <c r="AA4137" s="388"/>
      <c r="AB4137" s="390"/>
    </row>
    <row r="4138" spans="1:28">
      <c r="A4138" s="391"/>
      <c r="B4138" s="392"/>
      <c r="C4138" s="393" t="s">
        <v>199</v>
      </c>
      <c r="D4138" s="2562">
        <f>VLOOKUP(C4135,'Data Panjang Balok'!$C$9:$N$254,7,FALSE)</f>
        <v>6650</v>
      </c>
      <c r="E4138" s="2563"/>
      <c r="F4138" s="2563"/>
      <c r="G4138" s="2563"/>
      <c r="H4138" s="2564"/>
      <c r="I4138" s="397"/>
      <c r="J4138" s="396"/>
      <c r="K4138" s="396"/>
      <c r="L4138" s="396"/>
      <c r="M4138" s="396"/>
      <c r="N4138" s="396"/>
      <c r="O4138" s="396"/>
      <c r="P4138" s="396"/>
      <c r="Q4138" s="396"/>
      <c r="R4138" s="396"/>
      <c r="S4138" s="396"/>
      <c r="T4138" s="396"/>
      <c r="U4138" s="388"/>
      <c r="V4138" s="396"/>
      <c r="W4138" s="388"/>
      <c r="X4138" s="396"/>
      <c r="Y4138" s="389"/>
      <c r="Z4138" s="396"/>
      <c r="AA4138" s="388"/>
      <c r="AB4138" s="390"/>
    </row>
    <row r="4139" spans="1:28">
      <c r="A4139" s="391"/>
      <c r="B4139" s="392"/>
      <c r="C4139" s="393" t="s">
        <v>200</v>
      </c>
      <c r="D4139" s="2562">
        <f>VLOOKUP(C4135,'Data Panjang Balok'!$C$9:$N$254,9,FALSE)</f>
        <v>0</v>
      </c>
      <c r="E4139" s="2563"/>
      <c r="F4139" s="2563"/>
      <c r="G4139" s="2563"/>
      <c r="H4139" s="2564"/>
      <c r="I4139" s="397"/>
      <c r="J4139" s="396"/>
      <c r="K4139" s="396"/>
      <c r="L4139" s="396"/>
      <c r="M4139" s="396"/>
      <c r="N4139" s="396"/>
      <c r="O4139" s="396"/>
      <c r="P4139" s="396"/>
      <c r="Q4139" s="396"/>
      <c r="R4139" s="396"/>
      <c r="S4139" s="396"/>
      <c r="T4139" s="396"/>
      <c r="U4139" s="388"/>
      <c r="V4139" s="396"/>
      <c r="W4139" s="388"/>
      <c r="X4139" s="396"/>
      <c r="Y4139" s="389"/>
      <c r="Z4139" s="396"/>
      <c r="AA4139" s="388"/>
      <c r="AB4139" s="390"/>
    </row>
    <row r="4140" spans="1:28">
      <c r="A4140" s="391"/>
      <c r="B4140" s="392"/>
      <c r="C4140" s="393" t="s">
        <v>201</v>
      </c>
      <c r="D4140" s="2562">
        <f>VLOOKUP(C4135,'Data Panjang Balok'!$C$9:$N$254,10,FALSE)</f>
        <v>0</v>
      </c>
      <c r="E4140" s="2563"/>
      <c r="F4140" s="2563"/>
      <c r="G4140" s="2563"/>
      <c r="H4140" s="2564"/>
      <c r="I4140" s="397"/>
      <c r="J4140" s="396"/>
      <c r="K4140" s="396"/>
      <c r="L4140" s="396"/>
      <c r="M4140" s="396"/>
      <c r="N4140" s="396"/>
      <c r="O4140" s="396"/>
      <c r="P4140" s="396"/>
      <c r="Q4140" s="396"/>
      <c r="R4140" s="396"/>
      <c r="S4140" s="396"/>
      <c r="T4140" s="396"/>
      <c r="U4140" s="388"/>
      <c r="V4140" s="396"/>
      <c r="W4140" s="388"/>
      <c r="X4140" s="396"/>
      <c r="Y4140" s="389"/>
      <c r="Z4140" s="396"/>
      <c r="AA4140" s="388"/>
      <c r="AB4140" s="390"/>
    </row>
    <row r="4141" spans="1:28">
      <c r="A4141" s="391"/>
      <c r="B4141" s="392"/>
      <c r="C4141" s="393" t="s">
        <v>48</v>
      </c>
      <c r="D4141" s="2562">
        <f>VLOOKUP(C4135,'Data Panjang Balok'!$C$9:$N$254,3,FALSE)</f>
        <v>1</v>
      </c>
      <c r="E4141" s="2563"/>
      <c r="F4141" s="2563"/>
      <c r="G4141" s="2563"/>
      <c r="H4141" s="2564"/>
      <c r="I4141" s="397"/>
      <c r="J4141" s="396"/>
      <c r="K4141" s="396"/>
      <c r="L4141" s="396"/>
      <c r="M4141" s="396"/>
      <c r="N4141" s="396"/>
      <c r="O4141" s="396"/>
      <c r="P4141" s="396"/>
      <c r="Q4141" s="396"/>
      <c r="R4141" s="396"/>
      <c r="S4141" s="396"/>
      <c r="T4141" s="396"/>
      <c r="U4141" s="388"/>
      <c r="V4141" s="396"/>
      <c r="W4141" s="388"/>
      <c r="X4141" s="396"/>
      <c r="Y4141" s="389"/>
      <c r="Z4141" s="396"/>
      <c r="AA4141" s="388"/>
      <c r="AB4141" s="390"/>
    </row>
    <row r="4142" spans="1:28">
      <c r="A4142" s="384" t="str">
        <f t="shared" ref="A4142:B4142" si="13338">A4135</f>
        <v>Lantai 2</v>
      </c>
      <c r="B4142" s="385">
        <f t="shared" si="13338"/>
        <v>51</v>
      </c>
      <c r="C4142" s="393" t="s">
        <v>202</v>
      </c>
      <c r="D4142" s="398">
        <f>VLOOKUP(D4135,'Detail Balok'!$C$10:$AU$140,4,FALSE)</f>
        <v>4</v>
      </c>
      <c r="E4142" s="388" t="s">
        <v>16</v>
      </c>
      <c r="F4142" s="388">
        <f>VLOOKUP(D4135,'Detail Balok'!$C$10:$AU$140,6,FALSE)</f>
        <v>16</v>
      </c>
      <c r="G4142" s="388"/>
      <c r="H4142" s="395"/>
      <c r="I4142" s="388" t="s">
        <v>203</v>
      </c>
      <c r="J4142" s="399">
        <f t="shared" ref="J4142" si="13339">+D4137/4/1000</f>
        <v>1.6625000000000001</v>
      </c>
      <c r="K4142" s="400" t="s">
        <v>204</v>
      </c>
      <c r="L4142" s="399">
        <f t="shared" ref="L4142" si="13340">MAX(VLOOKUP(F4142,N$6:P$15,3,FALSE)/1000,2/3*D4139/1000)+F$16*F4142/1000</f>
        <v>0.192</v>
      </c>
      <c r="M4142" s="399" t="s">
        <v>176</v>
      </c>
      <c r="N4142" s="399">
        <f t="shared" ref="N4142:N4144" si="13341">J4142+L4142</f>
        <v>1.8545</v>
      </c>
      <c r="O4142" s="399" t="s">
        <v>204</v>
      </c>
      <c r="P4142" s="389">
        <f t="shared" ref="P4142" si="13342">D4142-D4143</f>
        <v>0</v>
      </c>
      <c r="Q4142" s="399" t="s">
        <v>125</v>
      </c>
      <c r="R4142" s="399">
        <f t="shared" ref="R4142" si="13343">IF(P4142&gt;0,$F$18*F4142/1000,0)</f>
        <v>0</v>
      </c>
      <c r="S4142" s="399" t="s">
        <v>205</v>
      </c>
      <c r="T4142" s="399" t="s">
        <v>125</v>
      </c>
      <c r="U4142" s="401">
        <f t="shared" ref="U4142:U4144" si="13344">0.006165*F4142^2</f>
        <v>1.5782400000000001</v>
      </c>
      <c r="V4142" s="399"/>
      <c r="W4142" s="399"/>
      <c r="X4142" s="399" t="s">
        <v>125</v>
      </c>
      <c r="Y4142" s="389">
        <f t="shared" ref="Y4142" si="13345">D4141</f>
        <v>1</v>
      </c>
      <c r="Z4142" s="400" t="s">
        <v>176</v>
      </c>
      <c r="AA4142" s="402">
        <f t="shared" ref="AA4142" si="13346">IF(AA4145=0,(D4142*N4142+P4142*R4142)*U4142*Y4142,0)</f>
        <v>0</v>
      </c>
      <c r="AB4142" s="403"/>
    </row>
    <row r="4143" spans="1:28">
      <c r="A4143" s="384" t="str">
        <f t="shared" ref="A4143:B4143" si="13347">A4135</f>
        <v>Lantai 2</v>
      </c>
      <c r="B4143" s="385">
        <f t="shared" si="13347"/>
        <v>51</v>
      </c>
      <c r="C4143" s="393" t="s">
        <v>206</v>
      </c>
      <c r="D4143" s="398">
        <f>VLOOKUP(D4135,'Detail Balok'!$C$10:$AU$140,7,FALSE)</f>
        <v>4</v>
      </c>
      <c r="E4143" s="388" t="s">
        <v>16</v>
      </c>
      <c r="F4143" s="388">
        <f>VLOOKUP(D4135,'Detail Balok'!$C$10:$AU$140,9,FALSE)</f>
        <v>16</v>
      </c>
      <c r="G4143" s="388"/>
      <c r="H4143" s="395"/>
      <c r="I4143" s="388" t="s">
        <v>203</v>
      </c>
      <c r="J4143" s="399">
        <f t="shared" ref="J4143" si="13348">+D4137/2/1000</f>
        <v>3.3250000000000002</v>
      </c>
      <c r="K4143" s="400" t="s">
        <v>204</v>
      </c>
      <c r="L4143" s="399"/>
      <c r="M4143" s="399" t="s">
        <v>176</v>
      </c>
      <c r="N4143" s="399">
        <f t="shared" si="13341"/>
        <v>3.3250000000000002</v>
      </c>
      <c r="O4143" s="399" t="s">
        <v>204</v>
      </c>
      <c r="P4143" s="389">
        <f t="shared" ref="P4143" si="13349">MAX(D4143-D4142,D4143-D4144)</f>
        <v>0</v>
      </c>
      <c r="Q4143" s="399" t="s">
        <v>125</v>
      </c>
      <c r="R4143" s="399">
        <f t="shared" ref="R4143" si="13350">IF(P4143&gt;0,2*(1-2*$F$19-1/2)*D4138/1000,0)</f>
        <v>0</v>
      </c>
      <c r="S4143" s="399" t="s">
        <v>205</v>
      </c>
      <c r="T4143" s="399" t="s">
        <v>125</v>
      </c>
      <c r="U4143" s="401">
        <f t="shared" si="13344"/>
        <v>1.5782400000000001</v>
      </c>
      <c r="V4143" s="399"/>
      <c r="W4143" s="399"/>
      <c r="X4143" s="399" t="s">
        <v>125</v>
      </c>
      <c r="Y4143" s="389">
        <f t="shared" ref="Y4143" si="13351">D4141</f>
        <v>1</v>
      </c>
      <c r="Z4143" s="400" t="s">
        <v>176</v>
      </c>
      <c r="AA4143" s="402">
        <f t="shared" ref="AA4143" si="13352">IF(AA4145=0,(D4143*N4143+P4143*R4143)*U4143*Y4143,0)</f>
        <v>0</v>
      </c>
      <c r="AB4143" s="403"/>
    </row>
    <row r="4144" spans="1:28">
      <c r="A4144" s="384" t="str">
        <f t="shared" ref="A4144:B4144" si="13353">A4135</f>
        <v>Lantai 2</v>
      </c>
      <c r="B4144" s="385">
        <f t="shared" si="13353"/>
        <v>51</v>
      </c>
      <c r="C4144" s="393" t="s">
        <v>202</v>
      </c>
      <c r="D4144" s="398">
        <f>VLOOKUP(D4135,'Detail Balok'!$C$10:$AU$140,10,FALSE)</f>
        <v>4</v>
      </c>
      <c r="E4144" s="388" t="s">
        <v>16</v>
      </c>
      <c r="F4144" s="388">
        <f>VLOOKUP(D4135,'Detail Balok'!$C$10:$AU$140,12,FALSE)</f>
        <v>16</v>
      </c>
      <c r="G4144" s="388"/>
      <c r="H4144" s="395"/>
      <c r="I4144" s="388" t="s">
        <v>203</v>
      </c>
      <c r="J4144" s="399">
        <f t="shared" ref="J4144" si="13354">+D4137/4/1000</f>
        <v>1.6625000000000001</v>
      </c>
      <c r="K4144" s="400" t="s">
        <v>204</v>
      </c>
      <c r="L4144" s="399">
        <f t="shared" ref="L4144" si="13355">MAX(VLOOKUP(F4144,N$6:P$15,3,FALSE)/1000,2/3*D4139/1000)+F$16*F4144/1000</f>
        <v>0.192</v>
      </c>
      <c r="M4144" s="399" t="s">
        <v>176</v>
      </c>
      <c r="N4144" s="399">
        <f t="shared" si="13341"/>
        <v>1.8545</v>
      </c>
      <c r="O4144" s="399" t="s">
        <v>204</v>
      </c>
      <c r="P4144" s="389">
        <f t="shared" ref="P4144" si="13356">D4144-D4143</f>
        <v>0</v>
      </c>
      <c r="Q4144" s="399" t="s">
        <v>125</v>
      </c>
      <c r="R4144" s="399">
        <f t="shared" ref="R4144" si="13357">IF(P4144&gt;0,$F$18*F4144/1000,0)</f>
        <v>0</v>
      </c>
      <c r="S4144" s="399" t="s">
        <v>205</v>
      </c>
      <c r="T4144" s="399" t="s">
        <v>125</v>
      </c>
      <c r="U4144" s="401">
        <f t="shared" si="13344"/>
        <v>1.5782400000000001</v>
      </c>
      <c r="V4144" s="399"/>
      <c r="W4144" s="399"/>
      <c r="X4144" s="399" t="s">
        <v>125</v>
      </c>
      <c r="Y4144" s="389">
        <f t="shared" ref="Y4144" si="13358">D4141</f>
        <v>1</v>
      </c>
      <c r="Z4144" s="400" t="s">
        <v>176</v>
      </c>
      <c r="AA4144" s="402">
        <f t="shared" ref="AA4144" si="13359">IF(AA4145=0,(D4144*N4144+P4144*R4144)*U4144*Y4144,0)</f>
        <v>0</v>
      </c>
      <c r="AB4144" s="403"/>
    </row>
    <row r="4145" spans="1:28">
      <c r="A4145" s="384" t="str">
        <f t="shared" ref="A4145:B4145" si="13360">A4135</f>
        <v>Lantai 2</v>
      </c>
      <c r="B4145" s="385">
        <f t="shared" si="13360"/>
        <v>51</v>
      </c>
      <c r="C4145" s="393"/>
      <c r="D4145" s="398">
        <f t="shared" si="13163"/>
        <v>4</v>
      </c>
      <c r="E4145" s="388" t="s">
        <v>16</v>
      </c>
      <c r="F4145" s="388">
        <f t="shared" si="13164"/>
        <v>16</v>
      </c>
      <c r="G4145" s="388"/>
      <c r="H4145" s="395"/>
      <c r="I4145" s="388"/>
      <c r="J4145" s="396"/>
      <c r="K4145" s="396"/>
      <c r="L4145" s="404" t="s">
        <v>207</v>
      </c>
      <c r="M4145" s="399" t="s">
        <v>176</v>
      </c>
      <c r="N4145" s="399">
        <f t="shared" ref="N4145" si="13361">IF(AND(D4142=D4143,D4142=D4144,D4143=D4144,F4142=F4143,F4142=F4144,F4143=F4144),SUM(N4142:N4144),0)</f>
        <v>7.0339999999999998</v>
      </c>
      <c r="O4145" s="399" t="s">
        <v>204</v>
      </c>
      <c r="P4145" s="389">
        <f t="shared" ref="P4145" si="13362">IF(N4145&gt;12,ROUNDDOWN(N4145/12,0),0)</f>
        <v>0</v>
      </c>
      <c r="Q4145" s="399" t="s">
        <v>125</v>
      </c>
      <c r="R4145" s="399">
        <f t="shared" ref="R4145" si="13363">IF(P4145&gt;0,MAX(VLOOKUP(F4145,$D$6:$G$15,3,FALSE),600),0)/1000</f>
        <v>0</v>
      </c>
      <c r="S4145" s="396"/>
      <c r="T4145" s="396" t="s">
        <v>125</v>
      </c>
      <c r="U4145" s="401">
        <f t="shared" si="13168"/>
        <v>1.5782400000000001</v>
      </c>
      <c r="V4145" s="396" t="s">
        <v>125</v>
      </c>
      <c r="W4145" s="399">
        <f t="shared" ref="W4145" si="13364">D4145</f>
        <v>4</v>
      </c>
      <c r="X4145" s="399" t="s">
        <v>125</v>
      </c>
      <c r="Y4145" s="389">
        <f t="shared" si="13170"/>
        <v>1</v>
      </c>
      <c r="Z4145" s="400" t="s">
        <v>176</v>
      </c>
      <c r="AA4145" s="402">
        <f t="shared" ref="AA4145" si="13365">(N4145+P4145*R4145/1000)*U4145*W4145*Y4145</f>
        <v>44.405360639999998</v>
      </c>
      <c r="AB4145" s="390"/>
    </row>
    <row r="4146" spans="1:28">
      <c r="A4146" s="384"/>
      <c r="B4146" s="385"/>
      <c r="C4146" s="393"/>
      <c r="D4146" s="398"/>
      <c r="E4146" s="388"/>
      <c r="F4146" s="388"/>
      <c r="G4146" s="388"/>
      <c r="H4146" s="395"/>
      <c r="I4146" s="388"/>
      <c r="J4146" s="396"/>
      <c r="K4146" s="396"/>
      <c r="L4146" s="404"/>
      <c r="M4146" s="399"/>
      <c r="N4146" s="399"/>
      <c r="O4146" s="396"/>
      <c r="P4146" s="389"/>
      <c r="Q4146" s="396"/>
      <c r="R4146" s="396"/>
      <c r="S4146" s="396"/>
      <c r="T4146" s="396"/>
      <c r="U4146" s="401"/>
      <c r="V4146" s="396"/>
      <c r="W4146" s="399"/>
      <c r="X4146" s="396"/>
      <c r="Y4146" s="389"/>
      <c r="Z4146" s="396"/>
      <c r="AA4146" s="388"/>
      <c r="AB4146" s="390"/>
    </row>
    <row r="4147" spans="1:28">
      <c r="A4147" s="384" t="str">
        <f t="shared" ref="A4147:B4147" si="13366">A4135</f>
        <v>Lantai 2</v>
      </c>
      <c r="B4147" s="385">
        <f t="shared" si="13366"/>
        <v>51</v>
      </c>
      <c r="C4147" s="393" t="s">
        <v>208</v>
      </c>
      <c r="D4147" s="398">
        <f>VLOOKUP(D4135,'Detail Balok'!$C$10:$AU$140,13,FALSE)</f>
        <v>2</v>
      </c>
      <c r="E4147" s="388" t="s">
        <v>16</v>
      </c>
      <c r="F4147" s="388">
        <f>VLOOKUP(D4135,'Detail Balok'!$C$10:$AU$140,15,FALSE)</f>
        <v>10</v>
      </c>
      <c r="G4147" s="388"/>
      <c r="H4147" s="395"/>
      <c r="I4147" s="388"/>
      <c r="J4147" s="399">
        <f t="shared" ref="J4147" si="13367">+D4137/1000</f>
        <v>6.65</v>
      </c>
      <c r="K4147" s="400" t="s">
        <v>204</v>
      </c>
      <c r="L4147" s="399">
        <f t="shared" ref="L4147" si="13368">2*$F$16*F4147/1000</f>
        <v>0.24</v>
      </c>
      <c r="M4147" s="399" t="s">
        <v>176</v>
      </c>
      <c r="N4147" s="399">
        <f t="shared" ref="N4147" si="13369">J4147+L4147</f>
        <v>6.8900000000000006</v>
      </c>
      <c r="O4147" s="399" t="s">
        <v>204</v>
      </c>
      <c r="P4147" s="389">
        <f t="shared" ref="P4147" si="13370">IF(N4147&gt;12,ROUNDDOWN(N4147/12,0),0)</f>
        <v>0</v>
      </c>
      <c r="Q4147" s="399" t="s">
        <v>125</v>
      </c>
      <c r="R4147" s="399">
        <f t="shared" ref="R4147" si="13371">IF(P4147&gt;0,MAX(VLOOKUP(F4147,$D$6:$G$15,3,FALSE),600),0)/1000</f>
        <v>0</v>
      </c>
      <c r="S4147" s="399"/>
      <c r="T4147" s="399" t="s">
        <v>125</v>
      </c>
      <c r="U4147" s="401">
        <f t="shared" ref="U4147" si="13372">0.006165*F4147^2</f>
        <v>0.61650000000000005</v>
      </c>
      <c r="V4147" s="399" t="s">
        <v>125</v>
      </c>
      <c r="W4147" s="399">
        <f t="shared" ref="W4147" si="13373">+D4147</f>
        <v>2</v>
      </c>
      <c r="X4147" s="399" t="s">
        <v>125</v>
      </c>
      <c r="Y4147" s="389">
        <f t="shared" ref="Y4147" si="13374">D4141</f>
        <v>1</v>
      </c>
      <c r="Z4147" s="400" t="s">
        <v>176</v>
      </c>
      <c r="AA4147" s="402">
        <f t="shared" ref="AA4147" si="13375">(N4147+P4147*R4147/1000)*U4147*W4147*Y4147</f>
        <v>8.4953700000000012</v>
      </c>
      <c r="AB4147" s="403"/>
    </row>
    <row r="4148" spans="1:28">
      <c r="A4148" s="384"/>
      <c r="B4148" s="385"/>
      <c r="C4148" s="393"/>
      <c r="D4148" s="398"/>
      <c r="E4148" s="388"/>
      <c r="F4148" s="388"/>
      <c r="G4148" s="388"/>
      <c r="H4148" s="395"/>
      <c r="I4148" s="388"/>
      <c r="J4148" s="399"/>
      <c r="K4148" s="400"/>
      <c r="L4148" s="399"/>
      <c r="M4148" s="399"/>
      <c r="N4148" s="399"/>
      <c r="O4148" s="399"/>
      <c r="P4148" s="389"/>
      <c r="Q4148" s="399"/>
      <c r="R4148" s="399"/>
      <c r="S4148" s="399"/>
      <c r="T4148" s="399"/>
      <c r="U4148" s="401"/>
      <c r="V4148" s="399"/>
      <c r="W4148" s="399"/>
      <c r="X4148" s="399"/>
      <c r="Y4148" s="389"/>
      <c r="Z4148" s="400"/>
      <c r="AA4148" s="402"/>
      <c r="AB4148" s="403"/>
    </row>
    <row r="4149" spans="1:28">
      <c r="A4149" s="384"/>
      <c r="B4149" s="385"/>
      <c r="C4149" s="393"/>
      <c r="D4149" s="398"/>
      <c r="E4149" s="388"/>
      <c r="F4149" s="388"/>
      <c r="G4149" s="388"/>
      <c r="H4149" s="395"/>
      <c r="I4149" s="388"/>
      <c r="J4149" s="396"/>
      <c r="K4149" s="396"/>
      <c r="L4149" s="396"/>
      <c r="M4149" s="396"/>
      <c r="N4149" s="396"/>
      <c r="O4149" s="396"/>
      <c r="P4149" s="389"/>
      <c r="Q4149" s="396"/>
      <c r="R4149" s="396"/>
      <c r="S4149" s="396"/>
      <c r="T4149" s="396"/>
      <c r="U4149" s="401"/>
      <c r="V4149" s="396"/>
      <c r="W4149" s="399"/>
      <c r="X4149" s="396"/>
      <c r="Y4149" s="389"/>
      <c r="Z4149" s="396"/>
      <c r="AA4149" s="388"/>
      <c r="AB4149" s="390"/>
    </row>
    <row r="4150" spans="1:28">
      <c r="A4150" s="384" t="str">
        <f t="shared" ref="A4150:B4150" si="13376">A4135</f>
        <v>Lantai 2</v>
      </c>
      <c r="B4150" s="385">
        <f t="shared" si="13376"/>
        <v>51</v>
      </c>
      <c r="C4150" s="393" t="s">
        <v>209</v>
      </c>
      <c r="D4150" s="398">
        <f>VLOOKUP(D4135,'Detail Balok'!$C$10:$AU$140,22,FALSE)</f>
        <v>4</v>
      </c>
      <c r="E4150" s="388" t="s">
        <v>16</v>
      </c>
      <c r="F4150" s="388">
        <f>VLOOKUP(D4135,'Detail Balok'!$C$10:$AU$140,24,FALSE)</f>
        <v>16</v>
      </c>
      <c r="G4150" s="388"/>
      <c r="H4150" s="395"/>
      <c r="I4150" s="388" t="s">
        <v>203</v>
      </c>
      <c r="J4150" s="399">
        <f t="shared" si="13183"/>
        <v>1.6625000000000001</v>
      </c>
      <c r="K4150" s="400" t="s">
        <v>204</v>
      </c>
      <c r="L4150" s="399">
        <f t="shared" ref="L4150" si="13377">MAX(VLOOKUP(F4150,N$6:P$15,3,FALSE)/1000,2/3*D4140/1000)+F$16*F4150/1000</f>
        <v>0.192</v>
      </c>
      <c r="M4150" s="399" t="s">
        <v>176</v>
      </c>
      <c r="N4150" s="399">
        <f t="shared" ref="N4150:N4152" si="13378">J4150+L4150</f>
        <v>1.8545</v>
      </c>
      <c r="O4150" s="399" t="s">
        <v>204</v>
      </c>
      <c r="P4150" s="389">
        <f t="shared" ref="P4150" si="13379">D4150-D4151</f>
        <v>0</v>
      </c>
      <c r="Q4150" s="399" t="s">
        <v>125</v>
      </c>
      <c r="R4150" s="399">
        <f t="shared" ref="R4150" si="13380">IF(P4150&gt;0,$F$18*F4150/1000,0)</f>
        <v>0</v>
      </c>
      <c r="S4150" s="399" t="s">
        <v>205</v>
      </c>
      <c r="T4150" s="399" t="s">
        <v>125</v>
      </c>
      <c r="U4150" s="401">
        <f t="shared" ref="U4150:U4152" si="13381">0.006165*F4150^2</f>
        <v>1.5782400000000001</v>
      </c>
      <c r="V4150" s="399"/>
      <c r="W4150" s="399"/>
      <c r="X4150" s="399" t="s">
        <v>125</v>
      </c>
      <c r="Y4150" s="389">
        <f t="shared" ref="Y4150" si="13382">D4141</f>
        <v>1</v>
      </c>
      <c r="Z4150" s="400" t="s">
        <v>176</v>
      </c>
      <c r="AA4150" s="402">
        <f t="shared" ref="AA4150" si="13383">IF(AA4153=0,(D4150*N4150+P4150*R4150)*U4150*Y4150,0)</f>
        <v>0</v>
      </c>
      <c r="AB4150" s="403"/>
    </row>
    <row r="4151" spans="1:28">
      <c r="A4151" s="384" t="str">
        <f t="shared" ref="A4151:B4151" si="13384">A4135</f>
        <v>Lantai 2</v>
      </c>
      <c r="B4151" s="385">
        <f t="shared" si="13384"/>
        <v>51</v>
      </c>
      <c r="C4151" s="393" t="s">
        <v>210</v>
      </c>
      <c r="D4151" s="398">
        <f>VLOOKUP(D4135,'Detail Balok'!$C$10:$AU$140,25,FALSE)</f>
        <v>4</v>
      </c>
      <c r="E4151" s="388" t="s">
        <v>16</v>
      </c>
      <c r="F4151" s="388">
        <f>VLOOKUP(D4135,'Detail Balok'!$C$10:$AU$140,27,FALSE)</f>
        <v>16</v>
      </c>
      <c r="G4151" s="388"/>
      <c r="H4151" s="395"/>
      <c r="I4151" s="388" t="s">
        <v>203</v>
      </c>
      <c r="J4151" s="399">
        <f t="shared" si="13183"/>
        <v>3.3250000000000002</v>
      </c>
      <c r="K4151" s="400" t="s">
        <v>204</v>
      </c>
      <c r="L4151" s="399"/>
      <c r="M4151" s="399" t="s">
        <v>176</v>
      </c>
      <c r="N4151" s="399">
        <f t="shared" si="13378"/>
        <v>3.3250000000000002</v>
      </c>
      <c r="O4151" s="399" t="s">
        <v>204</v>
      </c>
      <c r="P4151" s="389">
        <f t="shared" ref="P4151" si="13385">MAX(D4151-D4150,D4151-D4152)</f>
        <v>0</v>
      </c>
      <c r="Q4151" s="399" t="s">
        <v>125</v>
      </c>
      <c r="R4151" s="399">
        <f t="shared" ref="R4151" si="13386">IF(P4151&gt;0,2*(1-2*$F$19-1/2)*D4138/1000,0)</f>
        <v>0</v>
      </c>
      <c r="S4151" s="399" t="s">
        <v>205</v>
      </c>
      <c r="T4151" s="399" t="s">
        <v>125</v>
      </c>
      <c r="U4151" s="401">
        <f t="shared" si="13381"/>
        <v>1.5782400000000001</v>
      </c>
      <c r="V4151" s="399"/>
      <c r="W4151" s="399"/>
      <c r="X4151" s="399" t="s">
        <v>125</v>
      </c>
      <c r="Y4151" s="389">
        <f t="shared" ref="Y4151" si="13387">D4141</f>
        <v>1</v>
      </c>
      <c r="Z4151" s="400" t="s">
        <v>176</v>
      </c>
      <c r="AA4151" s="402">
        <f t="shared" ref="AA4151" si="13388">IF(AA4153=0,(D4151*N4151+P4151*R4151)*U4151*Y4151,0)</f>
        <v>0</v>
      </c>
      <c r="AB4151" s="403"/>
    </row>
    <row r="4152" spans="1:28">
      <c r="A4152" s="384" t="str">
        <f t="shared" ref="A4152:B4152" si="13389">A4135</f>
        <v>Lantai 2</v>
      </c>
      <c r="B4152" s="385">
        <f t="shared" si="13389"/>
        <v>51</v>
      </c>
      <c r="C4152" s="393" t="s">
        <v>209</v>
      </c>
      <c r="D4152" s="398">
        <f>VLOOKUP(D4135,'Detail Balok'!$C$10:$AU$140,28,FALSE)</f>
        <v>4</v>
      </c>
      <c r="E4152" s="388" t="s">
        <v>16</v>
      </c>
      <c r="F4152" s="388">
        <f>VLOOKUP(D4135,'Detail Balok'!$C$10:$AU$140,30,FALSE)</f>
        <v>16</v>
      </c>
      <c r="G4152" s="388"/>
      <c r="H4152" s="395"/>
      <c r="I4152" s="388" t="s">
        <v>203</v>
      </c>
      <c r="J4152" s="399">
        <f t="shared" si="13183"/>
        <v>1.6625000000000001</v>
      </c>
      <c r="K4152" s="400" t="s">
        <v>204</v>
      </c>
      <c r="L4152" s="399">
        <f t="shared" ref="L4152" si="13390">MAX(VLOOKUP(F4152,N$6:P$15,3,FALSE)/1000,2/3*D4140/1000)+F$16*F4152/1000</f>
        <v>0.192</v>
      </c>
      <c r="M4152" s="399" t="s">
        <v>176</v>
      </c>
      <c r="N4152" s="399">
        <f t="shared" si="13378"/>
        <v>1.8545</v>
      </c>
      <c r="O4152" s="399" t="s">
        <v>204</v>
      </c>
      <c r="P4152" s="389">
        <f t="shared" ref="P4152" si="13391">D4152-D4151</f>
        <v>0</v>
      </c>
      <c r="Q4152" s="399" t="s">
        <v>125</v>
      </c>
      <c r="R4152" s="399">
        <f t="shared" ref="R4152" si="13392">IF(P4152&gt;0,$F$18*F4152/1000,0)</f>
        <v>0</v>
      </c>
      <c r="S4152" s="399" t="s">
        <v>205</v>
      </c>
      <c r="T4152" s="399" t="s">
        <v>125</v>
      </c>
      <c r="U4152" s="401">
        <f t="shared" si="13381"/>
        <v>1.5782400000000001</v>
      </c>
      <c r="V4152" s="399"/>
      <c r="W4152" s="399"/>
      <c r="X4152" s="399" t="s">
        <v>125</v>
      </c>
      <c r="Y4152" s="389">
        <f t="shared" ref="Y4152" si="13393">D4141</f>
        <v>1</v>
      </c>
      <c r="Z4152" s="400" t="s">
        <v>176</v>
      </c>
      <c r="AA4152" s="402">
        <f t="shared" ref="AA4152" si="13394">IF(AA4153=0,(D4152*N4152+P4152*R4152)*U4152*Y4152,0)</f>
        <v>0</v>
      </c>
      <c r="AB4152" s="403"/>
    </row>
    <row r="4153" spans="1:28">
      <c r="A4153" s="384" t="str">
        <f t="shared" ref="A4153:B4153" si="13395">A4135</f>
        <v>Lantai 2</v>
      </c>
      <c r="B4153" s="385">
        <f t="shared" si="13395"/>
        <v>51</v>
      </c>
      <c r="C4153" s="393"/>
      <c r="D4153" s="398">
        <f t="shared" si="13203"/>
        <v>4</v>
      </c>
      <c r="E4153" s="388" t="s">
        <v>16</v>
      </c>
      <c r="F4153" s="388">
        <f t="shared" si="13204"/>
        <v>16</v>
      </c>
      <c r="G4153" s="388"/>
      <c r="H4153" s="395"/>
      <c r="I4153" s="388"/>
      <c r="J4153" s="396"/>
      <c r="K4153" s="396"/>
      <c r="L4153" s="404" t="s">
        <v>207</v>
      </c>
      <c r="M4153" s="399" t="s">
        <v>176</v>
      </c>
      <c r="N4153" s="399">
        <f t="shared" ref="N4153" si="13396">IF(AND(D4150=D4151,D4150=D4152,D4151=D4152,F4150=F4151,F4150=F4152,F4151=F4152),SUM(N4150:N4152),0)</f>
        <v>7.0339999999999998</v>
      </c>
      <c r="O4153" s="399" t="s">
        <v>204</v>
      </c>
      <c r="P4153" s="389">
        <f t="shared" ref="P4153" si="13397">IF(N4153&gt;12,ROUNDDOWN(N4153/12,0),0)</f>
        <v>0</v>
      </c>
      <c r="Q4153" s="399" t="s">
        <v>125</v>
      </c>
      <c r="R4153" s="399">
        <f t="shared" ref="R4153" si="13398">IF(P4153&gt;0,MAX(VLOOKUP(F4153,$D$6:$G$15,3,FALSE),600),0)/1000</f>
        <v>0</v>
      </c>
      <c r="S4153" s="396"/>
      <c r="T4153" s="396" t="s">
        <v>125</v>
      </c>
      <c r="U4153" s="401">
        <f t="shared" si="13208"/>
        <v>1.5782400000000001</v>
      </c>
      <c r="V4153" s="396" t="s">
        <v>125</v>
      </c>
      <c r="W4153" s="399">
        <f t="shared" ref="W4153" si="13399">D4153</f>
        <v>4</v>
      </c>
      <c r="X4153" s="399" t="s">
        <v>125</v>
      </c>
      <c r="Y4153" s="389">
        <f t="shared" si="13210"/>
        <v>1</v>
      </c>
      <c r="Z4153" s="400" t="s">
        <v>176</v>
      </c>
      <c r="AA4153" s="402">
        <f t="shared" ref="AA4153" si="13400">(N4153+P4153*R4153/1000)*U4153*W4153*Y4153</f>
        <v>44.405360639999998</v>
      </c>
      <c r="AB4153" s="403"/>
    </row>
    <row r="4154" spans="1:28">
      <c r="A4154" s="384"/>
      <c r="B4154" s="385"/>
      <c r="C4154" s="393"/>
      <c r="D4154" s="394"/>
      <c r="E4154" s="388"/>
      <c r="F4154" s="388"/>
      <c r="G4154" s="388"/>
      <c r="H4154" s="395"/>
      <c r="I4154" s="388"/>
      <c r="J4154" s="399"/>
      <c r="K4154" s="396"/>
      <c r="L4154" s="396"/>
      <c r="M4154" s="396"/>
      <c r="N4154" s="396"/>
      <c r="O4154" s="396"/>
      <c r="P4154" s="389"/>
      <c r="Q4154" s="396"/>
      <c r="R4154" s="396"/>
      <c r="S4154" s="396"/>
      <c r="T4154" s="396"/>
      <c r="U4154" s="401"/>
      <c r="V4154" s="396"/>
      <c r="W4154" s="388"/>
      <c r="X4154" s="396"/>
      <c r="Y4154" s="389"/>
      <c r="Z4154" s="396"/>
      <c r="AA4154" s="388"/>
      <c r="AB4154" s="390"/>
    </row>
    <row r="4155" spans="1:28">
      <c r="A4155" s="384" t="str">
        <f t="shared" ref="A4155:B4155" si="13401">A4135</f>
        <v>Lantai 2</v>
      </c>
      <c r="B4155" s="385">
        <f t="shared" si="13401"/>
        <v>51</v>
      </c>
      <c r="C4155" s="393" t="s">
        <v>211</v>
      </c>
      <c r="D4155" s="398">
        <f>VLOOKUP(D4135,'Detail Balok'!$C$10:$AU$140,31,FALSE)</f>
        <v>0</v>
      </c>
      <c r="E4155" s="388" t="s">
        <v>16</v>
      </c>
      <c r="F4155" s="388">
        <f>VLOOKUP(D4135,'Detail Balok'!$C$10:$AU$140,33,FALSE)</f>
        <v>10</v>
      </c>
      <c r="G4155" s="405" t="s">
        <v>157</v>
      </c>
      <c r="H4155" s="395">
        <f>VLOOKUP(D4135,'Detail Balok'!$C$10:$AU$140,35,FALSE)</f>
        <v>150</v>
      </c>
      <c r="I4155" s="388"/>
      <c r="J4155" s="400">
        <f t="shared" ref="J4155" si="13402">(IF(D4155=0,(2*(D4136+G4136))-(F$5*8),IF(D4155=3,(2*(D4136+G4136))-(F$5*8)+(G4136-2*F$5),IF(D4155=4,(2*(D4136+G4136))-(F$5*8)+2*(G4136-2*F$5)))))/1000</f>
        <v>1.08</v>
      </c>
      <c r="K4155" s="400" t="s">
        <v>204</v>
      </c>
      <c r="L4155" s="399">
        <f t="shared" ref="L4155:L4157" si="13403">IF(D4155=0,2*MAX(6*F4155,75),(D4155-1)*2*MAX(6*F4155,75))/1000</f>
        <v>0.15</v>
      </c>
      <c r="M4155" s="399" t="s">
        <v>176</v>
      </c>
      <c r="N4155" s="399">
        <f t="shared" ref="N4155:N4157" si="13404">J4155+L4155</f>
        <v>1.23</v>
      </c>
      <c r="O4155" s="399"/>
      <c r="P4155" s="389"/>
      <c r="Q4155" s="399"/>
      <c r="R4155" s="399"/>
      <c r="S4155" s="399"/>
      <c r="T4155" s="399" t="s">
        <v>125</v>
      </c>
      <c r="U4155" s="401">
        <f t="shared" ref="U4155:U4157" si="13405">0.006165*F4155^2</f>
        <v>0.61650000000000005</v>
      </c>
      <c r="V4155" s="399" t="s">
        <v>125</v>
      </c>
      <c r="W4155" s="399">
        <f t="shared" ref="W4155" si="13406">IF(D4138&gt;4*G4136,ROUND(MAX(D4138/4,2*G4136)/H4155,0)+1,ROUND(D4138/H4155,0)+1)</f>
        <v>12</v>
      </c>
      <c r="X4155" s="399" t="s">
        <v>125</v>
      </c>
      <c r="Y4155" s="389">
        <f t="shared" ref="Y4155" si="13407">D4141</f>
        <v>1</v>
      </c>
      <c r="Z4155" s="400" t="s">
        <v>176</v>
      </c>
      <c r="AA4155" s="402">
        <f t="shared" ref="AA4155:AA4157" si="13408">N4155*U4155*W4155*Y4155</f>
        <v>9.0995400000000011</v>
      </c>
      <c r="AB4155" s="403"/>
    </row>
    <row r="4156" spans="1:28">
      <c r="A4156" s="384" t="str">
        <f t="shared" ref="A4156:B4156" si="13409">A4135</f>
        <v>Lantai 2</v>
      </c>
      <c r="B4156" s="385">
        <f t="shared" si="13409"/>
        <v>51</v>
      </c>
      <c r="C4156" s="393" t="s">
        <v>212</v>
      </c>
      <c r="D4156" s="398">
        <f>VLOOKUP(D4135,'Detail Balok'!$C$10:$AU$140,36,FALSE)</f>
        <v>0</v>
      </c>
      <c r="E4156" s="388" t="s">
        <v>16</v>
      </c>
      <c r="F4156" s="388">
        <f>VLOOKUP(D4135,'Detail Balok'!$C$10:$AU$140,38,FALSE)</f>
        <v>10</v>
      </c>
      <c r="G4156" s="405" t="s">
        <v>157</v>
      </c>
      <c r="H4156" s="395">
        <f>VLOOKUP(D4135,'Detail Balok'!$C$10:$AU$140,40,FALSE)</f>
        <v>200</v>
      </c>
      <c r="I4156" s="388"/>
      <c r="J4156" s="400">
        <f t="shared" ref="J4156" si="13410">(IF(D4156=0,(2*(D4136+G4136))-(F$5*8),IF(D4156=3,(2*(D4136+G4136))-(F$5*8)+(G4136-2*F$5),IF(D4156=4,(2*(D4136+G4136))-(F$5*8)+2*(G4136-2*F$5)))))/1000</f>
        <v>1.08</v>
      </c>
      <c r="K4156" s="400" t="s">
        <v>204</v>
      </c>
      <c r="L4156" s="399">
        <f t="shared" si="13403"/>
        <v>0.15</v>
      </c>
      <c r="M4156" s="399" t="s">
        <v>176</v>
      </c>
      <c r="N4156" s="399">
        <f t="shared" si="13404"/>
        <v>1.23</v>
      </c>
      <c r="O4156" s="399"/>
      <c r="P4156" s="389"/>
      <c r="Q4156" s="399"/>
      <c r="R4156" s="399"/>
      <c r="S4156" s="399"/>
      <c r="T4156" s="399" t="s">
        <v>125</v>
      </c>
      <c r="U4156" s="401">
        <f t="shared" si="13405"/>
        <v>0.61650000000000005</v>
      </c>
      <c r="V4156" s="399" t="s">
        <v>125</v>
      </c>
      <c r="W4156" s="399">
        <f t="shared" ref="W4156" si="13411">IF(D4138-MAX(D4138/4,2*G4136)*2&gt;0,ROUND((D4138-MAX(D4138/4,2*G4136)*2)/H4156,0),0)</f>
        <v>17</v>
      </c>
      <c r="X4156" s="399" t="s">
        <v>125</v>
      </c>
      <c r="Y4156" s="389">
        <f t="shared" ref="Y4156" si="13412">D4141</f>
        <v>1</v>
      </c>
      <c r="Z4156" s="400" t="s">
        <v>176</v>
      </c>
      <c r="AA4156" s="402">
        <f t="shared" si="13408"/>
        <v>12.891015000000001</v>
      </c>
      <c r="AB4156" s="403"/>
    </row>
    <row r="4157" spans="1:28">
      <c r="A4157" s="384" t="str">
        <f t="shared" ref="A4157:B4157" si="13413">A4135</f>
        <v>Lantai 2</v>
      </c>
      <c r="B4157" s="385">
        <f t="shared" si="13413"/>
        <v>51</v>
      </c>
      <c r="C4157" s="393" t="s">
        <v>211</v>
      </c>
      <c r="D4157" s="398">
        <f>VLOOKUP(D4135,'Detail Balok'!$C$10:$AU$140,41,FALSE)</f>
        <v>0</v>
      </c>
      <c r="E4157" s="388" t="s">
        <v>16</v>
      </c>
      <c r="F4157" s="388">
        <f>VLOOKUP(D4135,'Detail Balok'!$C$10:$AU$140,43,FALSE)</f>
        <v>10</v>
      </c>
      <c r="G4157" s="405" t="s">
        <v>157</v>
      </c>
      <c r="H4157" s="395">
        <f>VLOOKUP(D4135,'Detail Balok'!$C$10:$AU$140,45,FALSE)</f>
        <v>150</v>
      </c>
      <c r="I4157" s="388"/>
      <c r="J4157" s="400">
        <f t="shared" ref="J4157" si="13414">(IF(D4157=0,(2*(D4136+G4136))-(F$5*8),IF(D4157=3,(2*(D4136+G4136))-(F$5*8)+(G4136-2*F$5),IF(D4157=4,(2*(D4136+G4136))-(F$5*8)+2*(G4136-2*F$5)))))/1000</f>
        <v>1.08</v>
      </c>
      <c r="K4157" s="400" t="s">
        <v>204</v>
      </c>
      <c r="L4157" s="399">
        <f t="shared" si="13403"/>
        <v>0.15</v>
      </c>
      <c r="M4157" s="399" t="s">
        <v>176</v>
      </c>
      <c r="N4157" s="399">
        <f t="shared" si="13404"/>
        <v>1.23</v>
      </c>
      <c r="O4157" s="399"/>
      <c r="P4157" s="389"/>
      <c r="Q4157" s="399"/>
      <c r="R4157" s="399"/>
      <c r="S4157" s="399"/>
      <c r="T4157" s="399" t="s">
        <v>125</v>
      </c>
      <c r="U4157" s="401">
        <f t="shared" si="13405"/>
        <v>0.61650000000000005</v>
      </c>
      <c r="V4157" s="399" t="s">
        <v>125</v>
      </c>
      <c r="W4157" s="399">
        <f t="shared" ref="W4157" si="13415">IF(D4138&gt;4*G4136,ROUND(MAX(D4138/4,2*G4136)/H4157,0)+1,0)</f>
        <v>12</v>
      </c>
      <c r="X4157" s="399" t="s">
        <v>125</v>
      </c>
      <c r="Y4157" s="389">
        <f t="shared" ref="Y4157" si="13416">D4141</f>
        <v>1</v>
      </c>
      <c r="Z4157" s="400" t="s">
        <v>176</v>
      </c>
      <c r="AA4157" s="402">
        <f t="shared" si="13408"/>
        <v>9.0995400000000011</v>
      </c>
      <c r="AB4157" s="403"/>
    </row>
    <row r="4158" spans="1:28">
      <c r="A4158" s="384"/>
      <c r="B4158" s="385"/>
      <c r="C4158" s="393"/>
      <c r="D4158" s="394"/>
      <c r="E4158" s="388"/>
      <c r="F4158" s="388"/>
      <c r="G4158" s="388"/>
      <c r="H4158" s="395"/>
      <c r="I4158" s="388"/>
      <c r="J4158" s="399"/>
      <c r="K4158" s="396"/>
      <c r="L4158" s="396"/>
      <c r="M4158" s="396"/>
      <c r="N4158" s="396"/>
      <c r="O4158" s="396"/>
      <c r="P4158" s="389"/>
      <c r="Q4158" s="396"/>
      <c r="R4158" s="396"/>
      <c r="S4158" s="396"/>
      <c r="T4158" s="396"/>
      <c r="U4158" s="401"/>
      <c r="V4158" s="396"/>
      <c r="W4158" s="388"/>
      <c r="X4158" s="396"/>
      <c r="Y4158" s="389"/>
      <c r="Z4158" s="396"/>
      <c r="AA4158" s="388"/>
      <c r="AB4158" s="390"/>
    </row>
    <row r="4159" spans="1:28">
      <c r="A4159" s="384" t="str">
        <f t="shared" ref="A4159:B4159" si="13417">A4135</f>
        <v>Lantai 2</v>
      </c>
      <c r="B4159" s="385">
        <f t="shared" si="13417"/>
        <v>51</v>
      </c>
      <c r="C4159" s="393" t="s">
        <v>213</v>
      </c>
      <c r="D4159" s="398">
        <f>VLOOKUP(D4135,'Detail Balok'!$C$10:$BJ$140,46,FALSE)</f>
        <v>0</v>
      </c>
      <c r="E4159" s="388" t="s">
        <v>16</v>
      </c>
      <c r="F4159" s="388">
        <f>VLOOKUP(D4135,'Detail Balok'!$C$10:$BJ$140,48,FALSE)</f>
        <v>0</v>
      </c>
      <c r="G4159" s="405" t="s">
        <v>157</v>
      </c>
      <c r="H4159" s="395">
        <f>VLOOKUP(D4135,'Detail Balok'!$C$10:$BJ$140,50,FALSE)</f>
        <v>100</v>
      </c>
      <c r="I4159" s="388"/>
      <c r="J4159" s="399">
        <f t="shared" ref="J4159" si="13418">(D4136-2*F$5)/1000</f>
        <v>0.12</v>
      </c>
      <c r="K4159" s="400" t="s">
        <v>204</v>
      </c>
      <c r="L4159" s="399">
        <f t="shared" ref="L4159:L4161" si="13419">IF(D4159=0,2*MAX(6*F4159,75),(D4159-1)*2*MAX(6*F4159,75))/1000</f>
        <v>0.15</v>
      </c>
      <c r="M4159" s="399" t="s">
        <v>176</v>
      </c>
      <c r="N4159" s="399">
        <f t="shared" ref="N4159:N4161" si="13420">J4159+L4159</f>
        <v>0.27</v>
      </c>
      <c r="O4159" s="399"/>
      <c r="P4159" s="399"/>
      <c r="Q4159" s="399"/>
      <c r="R4159" s="399"/>
      <c r="S4159" s="399"/>
      <c r="T4159" s="399" t="s">
        <v>125</v>
      </c>
      <c r="U4159" s="401">
        <f t="shared" ref="U4159:U4161" si="13421">0.006165*F4159^2</f>
        <v>0</v>
      </c>
      <c r="V4159" s="399" t="s">
        <v>125</v>
      </c>
      <c r="W4159" s="399">
        <f t="shared" si="13233"/>
        <v>12</v>
      </c>
      <c r="X4159" s="399" t="s">
        <v>125</v>
      </c>
      <c r="Y4159" s="389">
        <f t="shared" ref="Y4159" si="13422">D4145</f>
        <v>4</v>
      </c>
      <c r="Z4159" s="400" t="s">
        <v>176</v>
      </c>
      <c r="AA4159" s="402">
        <f t="shared" ref="AA4159:AA4161" si="13423">N4159*U4159*W4159*Y4159</f>
        <v>0</v>
      </c>
      <c r="AB4159" s="403"/>
    </row>
    <row r="4160" spans="1:28">
      <c r="A4160" s="384" t="str">
        <f t="shared" ref="A4160:B4160" si="13424">A4135</f>
        <v>Lantai 2</v>
      </c>
      <c r="B4160" s="385">
        <f t="shared" si="13424"/>
        <v>51</v>
      </c>
      <c r="C4160" s="393" t="s">
        <v>214</v>
      </c>
      <c r="D4160" s="398">
        <f>VLOOKUP(D4135,'Detail Balok'!$C$10:$BJ$140,51,FALSE)</f>
        <v>0</v>
      </c>
      <c r="E4160" s="388" t="s">
        <v>16</v>
      </c>
      <c r="F4160" s="388">
        <f>VLOOKUP(D4135,'Detail Balok'!$C$10:$BJ$140,53,FALSE)</f>
        <v>0</v>
      </c>
      <c r="G4160" s="405" t="s">
        <v>157</v>
      </c>
      <c r="H4160" s="395">
        <f>VLOOKUP(D4135,'Detail Balok'!$C$10:$BJ$140,55,FALSE)</f>
        <v>100</v>
      </c>
      <c r="I4160" s="388"/>
      <c r="J4160" s="399">
        <f t="shared" ref="J4160" si="13425">(D4136-2*F$5)/1000</f>
        <v>0.12</v>
      </c>
      <c r="K4160" s="400" t="s">
        <v>204</v>
      </c>
      <c r="L4160" s="399">
        <f t="shared" si="13419"/>
        <v>0.15</v>
      </c>
      <c r="M4160" s="399" t="s">
        <v>176</v>
      </c>
      <c r="N4160" s="399">
        <f t="shared" si="13420"/>
        <v>0.27</v>
      </c>
      <c r="O4160" s="399"/>
      <c r="P4160" s="399"/>
      <c r="Q4160" s="399"/>
      <c r="R4160" s="399"/>
      <c r="S4160" s="399"/>
      <c r="T4160" s="399" t="s">
        <v>125</v>
      </c>
      <c r="U4160" s="401">
        <f t="shared" si="13421"/>
        <v>0</v>
      </c>
      <c r="V4160" s="399" t="s">
        <v>125</v>
      </c>
      <c r="W4160" s="399">
        <f t="shared" si="13233"/>
        <v>17</v>
      </c>
      <c r="X4160" s="399" t="s">
        <v>125</v>
      </c>
      <c r="Y4160" s="389">
        <f t="shared" ref="Y4160" si="13426">D4145</f>
        <v>4</v>
      </c>
      <c r="Z4160" s="400" t="s">
        <v>176</v>
      </c>
      <c r="AA4160" s="402">
        <f t="shared" si="13423"/>
        <v>0</v>
      </c>
      <c r="AB4160" s="403"/>
    </row>
    <row r="4161" spans="1:28">
      <c r="A4161" s="384" t="str">
        <f t="shared" ref="A4161:B4161" si="13427">A4135</f>
        <v>Lantai 2</v>
      </c>
      <c r="B4161" s="385">
        <f t="shared" si="13427"/>
        <v>51</v>
      </c>
      <c r="C4161" s="393" t="s">
        <v>213</v>
      </c>
      <c r="D4161" s="398">
        <f>VLOOKUP(D4135,'Detail Balok'!$C$10:$BJ$140,56,FALSE)</f>
        <v>0</v>
      </c>
      <c r="E4161" s="388" t="s">
        <v>16</v>
      </c>
      <c r="F4161" s="388">
        <f>VLOOKUP(D4135,'Detail Balok'!$C$10:$BJ$140,58,FALSE)</f>
        <v>0</v>
      </c>
      <c r="G4161" s="405" t="s">
        <v>157</v>
      </c>
      <c r="H4161" s="395">
        <f>VLOOKUP(D4135,'Detail Balok'!$C$10:$BJ$140,60,FALSE)</f>
        <v>100</v>
      </c>
      <c r="I4161" s="388"/>
      <c r="J4161" s="399">
        <f t="shared" ref="J4161" si="13428">(D4136-2*F$5)/1000</f>
        <v>0.12</v>
      </c>
      <c r="K4161" s="400" t="s">
        <v>204</v>
      </c>
      <c r="L4161" s="399">
        <f t="shared" si="13419"/>
        <v>0.15</v>
      </c>
      <c r="M4161" s="399" t="s">
        <v>176</v>
      </c>
      <c r="N4161" s="399">
        <f t="shared" si="13420"/>
        <v>0.27</v>
      </c>
      <c r="O4161" s="399"/>
      <c r="P4161" s="399"/>
      <c r="Q4161" s="399"/>
      <c r="R4161" s="399"/>
      <c r="S4161" s="399"/>
      <c r="T4161" s="399" t="s">
        <v>125</v>
      </c>
      <c r="U4161" s="401">
        <f t="shared" si="13421"/>
        <v>0</v>
      </c>
      <c r="V4161" s="399" t="s">
        <v>125</v>
      </c>
      <c r="W4161" s="399">
        <f t="shared" si="13233"/>
        <v>12</v>
      </c>
      <c r="X4161" s="399" t="s">
        <v>125</v>
      </c>
      <c r="Y4161" s="389">
        <f t="shared" ref="Y4161" si="13429">D4145</f>
        <v>4</v>
      </c>
      <c r="Z4161" s="400" t="s">
        <v>176</v>
      </c>
      <c r="AA4161" s="402">
        <f t="shared" si="13423"/>
        <v>0</v>
      </c>
      <c r="AB4161" s="403"/>
    </row>
    <row r="4162" spans="1:28">
      <c r="A4162" s="391"/>
      <c r="B4162" s="392"/>
      <c r="C4162" s="392"/>
      <c r="D4162" s="394"/>
      <c r="E4162" s="388"/>
      <c r="F4162" s="388"/>
      <c r="G4162" s="388"/>
      <c r="H4162" s="395"/>
      <c r="I4162" s="388"/>
      <c r="J4162" s="402"/>
      <c r="K4162" s="388"/>
      <c r="L4162" s="388"/>
      <c r="M4162" s="388"/>
      <c r="N4162" s="388"/>
      <c r="O4162" s="388"/>
      <c r="P4162" s="388"/>
      <c r="Q4162" s="388"/>
      <c r="R4162" s="388"/>
      <c r="S4162" s="388"/>
      <c r="T4162" s="388"/>
      <c r="U4162" s="388"/>
      <c r="V4162" s="388"/>
      <c r="W4162" s="388"/>
      <c r="X4162" s="388"/>
      <c r="Y4162" s="389"/>
      <c r="Z4162" s="388"/>
      <c r="AA4162" s="402"/>
      <c r="AB4162" s="403"/>
    </row>
    <row r="4163" spans="1:28" ht="15.75" thickBot="1">
      <c r="A4163" s="406"/>
      <c r="B4163" s="407"/>
      <c r="C4163" s="407"/>
      <c r="D4163" s="408"/>
      <c r="E4163" s="409"/>
      <c r="F4163" s="409"/>
      <c r="G4163" s="409"/>
      <c r="H4163" s="410"/>
      <c r="I4163" s="409"/>
      <c r="J4163" s="409"/>
      <c r="K4163" s="409"/>
      <c r="L4163" s="409"/>
      <c r="M4163" s="409"/>
      <c r="N4163" s="409"/>
      <c r="O4163" s="409"/>
      <c r="P4163" s="409"/>
      <c r="Q4163" s="409"/>
      <c r="R4163" s="409"/>
      <c r="S4163" s="409"/>
      <c r="T4163" s="409"/>
      <c r="U4163" s="409"/>
      <c r="V4163" s="409"/>
      <c r="W4163" s="409"/>
      <c r="X4163" s="409"/>
      <c r="Y4163" s="411"/>
      <c r="Z4163" s="409"/>
      <c r="AA4163" s="412"/>
      <c r="AB4163" s="413"/>
    </row>
    <row r="4164" spans="1:28">
      <c r="A4164" s="377"/>
      <c r="B4164" s="378"/>
      <c r="C4164" s="378"/>
      <c r="D4164" s="379"/>
      <c r="E4164" s="380"/>
      <c r="F4164" s="380"/>
      <c r="G4164" s="380"/>
      <c r="H4164" s="381"/>
      <c r="I4164" s="380"/>
      <c r="J4164" s="380"/>
      <c r="K4164" s="380"/>
      <c r="L4164" s="380"/>
      <c r="M4164" s="380"/>
      <c r="N4164" s="380"/>
      <c r="O4164" s="380"/>
      <c r="P4164" s="380"/>
      <c r="Q4164" s="380"/>
      <c r="R4164" s="380"/>
      <c r="S4164" s="380"/>
      <c r="T4164" s="380"/>
      <c r="U4164" s="380"/>
      <c r="V4164" s="380"/>
      <c r="W4164" s="380"/>
      <c r="X4164" s="380"/>
      <c r="Y4164" s="382"/>
      <c r="Z4164" s="380"/>
      <c r="AA4164" s="380"/>
      <c r="AB4164" s="383"/>
    </row>
    <row r="4165" spans="1:28">
      <c r="A4165" s="384" t="str">
        <f t="shared" si="13242"/>
        <v>Lantai 2</v>
      </c>
      <c r="B4165" s="385">
        <f t="shared" si="13243"/>
        <v>52</v>
      </c>
      <c r="C4165" s="386" t="str">
        <f t="shared" ref="C4165" si="13430">CONCATENATE(A4165," no. ",B4165)</f>
        <v>Lantai 2 no. 52</v>
      </c>
      <c r="D4165" s="2562" t="str">
        <f>VLOOKUP(C4165,'Data Panjang Balok'!$C$9:$N$254,2,FALSE)</f>
        <v>B25-1</v>
      </c>
      <c r="E4165" s="2576"/>
      <c r="F4165" s="2576"/>
      <c r="G4165" s="2576"/>
      <c r="H4165" s="2577"/>
      <c r="I4165" s="387"/>
      <c r="J4165" s="388"/>
      <c r="K4165" s="388"/>
      <c r="L4165" s="388"/>
      <c r="M4165" s="388"/>
      <c r="N4165" s="388"/>
      <c r="O4165" s="388"/>
      <c r="P4165" s="388"/>
      <c r="Q4165" s="388"/>
      <c r="R4165" s="388"/>
      <c r="S4165" s="388"/>
      <c r="T4165" s="388"/>
      <c r="U4165" s="388"/>
      <c r="V4165" s="388"/>
      <c r="W4165" s="388"/>
      <c r="X4165" s="388"/>
      <c r="Y4165" s="389"/>
      <c r="Z4165" s="388"/>
      <c r="AA4165" s="388"/>
      <c r="AB4165" s="390"/>
    </row>
    <row r="4166" spans="1:28">
      <c r="A4166" s="391"/>
      <c r="B4166" s="392"/>
      <c r="C4166" s="393" t="s">
        <v>118</v>
      </c>
      <c r="D4166" s="2578">
        <f>VLOOKUP(D4165,'Detail Balok'!$C$10:$AU$140,2,FALSE)</f>
        <v>200</v>
      </c>
      <c r="E4166" s="2579"/>
      <c r="F4166" s="388" t="s">
        <v>125</v>
      </c>
      <c r="G4166" s="2579">
        <f>VLOOKUP(D4165,'Detail Balok'!$C$10:$AU$140,3,FALSE)</f>
        <v>500</v>
      </c>
      <c r="H4166" s="2580"/>
      <c r="I4166" s="388"/>
      <c r="J4166" s="396"/>
      <c r="K4166" s="396"/>
      <c r="L4166" s="396"/>
      <c r="M4166" s="396"/>
      <c r="N4166" s="396"/>
      <c r="O4166" s="396"/>
      <c r="P4166" s="396"/>
      <c r="Q4166" s="396"/>
      <c r="R4166" s="396"/>
      <c r="S4166" s="396"/>
      <c r="T4166" s="396"/>
      <c r="U4166" s="388"/>
      <c r="V4166" s="396"/>
      <c r="W4166" s="388"/>
      <c r="X4166" s="396"/>
      <c r="Y4166" s="389"/>
      <c r="Z4166" s="396"/>
      <c r="AA4166" s="388"/>
      <c r="AB4166" s="390"/>
    </row>
    <row r="4167" spans="1:28">
      <c r="A4167" s="391"/>
      <c r="B4167" s="392"/>
      <c r="C4167" s="393" t="s">
        <v>198</v>
      </c>
      <c r="D4167" s="2562">
        <f>VLOOKUP(C4165,'Data Panjang Balok'!$C$9:$N$254,4,FALSE)</f>
        <v>4805</v>
      </c>
      <c r="E4167" s="2563"/>
      <c r="F4167" s="2563"/>
      <c r="G4167" s="2563"/>
      <c r="H4167" s="2564"/>
      <c r="I4167" s="397"/>
      <c r="J4167" s="396"/>
      <c r="K4167" s="396"/>
      <c r="L4167" s="396"/>
      <c r="M4167" s="396"/>
      <c r="N4167" s="396"/>
      <c r="O4167" s="396"/>
      <c r="P4167" s="396"/>
      <c r="Q4167" s="396"/>
      <c r="R4167" s="396"/>
      <c r="S4167" s="396"/>
      <c r="T4167" s="396"/>
      <c r="U4167" s="388"/>
      <c r="V4167" s="396"/>
      <c r="W4167" s="388"/>
      <c r="X4167" s="396"/>
      <c r="Y4167" s="389"/>
      <c r="Z4167" s="396"/>
      <c r="AA4167" s="388"/>
      <c r="AB4167" s="390"/>
    </row>
    <row r="4168" spans="1:28">
      <c r="A4168" s="391"/>
      <c r="B4168" s="392"/>
      <c r="C4168" s="393" t="s">
        <v>199</v>
      </c>
      <c r="D4168" s="2562">
        <f>VLOOKUP(C4165,'Data Panjang Balok'!$C$9:$N$254,7,FALSE)</f>
        <v>4805</v>
      </c>
      <c r="E4168" s="2563"/>
      <c r="F4168" s="2563"/>
      <c r="G4168" s="2563"/>
      <c r="H4168" s="2564"/>
      <c r="I4168" s="397"/>
      <c r="J4168" s="396"/>
      <c r="K4168" s="396"/>
      <c r="L4168" s="396"/>
      <c r="M4168" s="396"/>
      <c r="N4168" s="396"/>
      <c r="O4168" s="396"/>
      <c r="P4168" s="396"/>
      <c r="Q4168" s="396"/>
      <c r="R4168" s="396"/>
      <c r="S4168" s="396"/>
      <c r="T4168" s="396"/>
      <c r="U4168" s="388"/>
      <c r="V4168" s="396"/>
      <c r="W4168" s="388"/>
      <c r="X4168" s="396"/>
      <c r="Y4168" s="389"/>
      <c r="Z4168" s="396"/>
      <c r="AA4168" s="388"/>
      <c r="AB4168" s="390"/>
    </row>
    <row r="4169" spans="1:28">
      <c r="A4169" s="391"/>
      <c r="B4169" s="392"/>
      <c r="C4169" s="393" t="s">
        <v>200</v>
      </c>
      <c r="D4169" s="2562">
        <f>VLOOKUP(C4165,'Data Panjang Balok'!$C$9:$N$254,9,FALSE)</f>
        <v>0</v>
      </c>
      <c r="E4169" s="2563"/>
      <c r="F4169" s="2563"/>
      <c r="G4169" s="2563"/>
      <c r="H4169" s="2564"/>
      <c r="I4169" s="397"/>
      <c r="J4169" s="396"/>
      <c r="K4169" s="396"/>
      <c r="L4169" s="396"/>
      <c r="M4169" s="396"/>
      <c r="N4169" s="396"/>
      <c r="O4169" s="396"/>
      <c r="P4169" s="396"/>
      <c r="Q4169" s="396"/>
      <c r="R4169" s="396"/>
      <c r="S4169" s="396"/>
      <c r="T4169" s="396"/>
      <c r="U4169" s="388"/>
      <c r="V4169" s="396"/>
      <c r="W4169" s="388"/>
      <c r="X4169" s="396"/>
      <c r="Y4169" s="389"/>
      <c r="Z4169" s="396"/>
      <c r="AA4169" s="388"/>
      <c r="AB4169" s="390"/>
    </row>
    <row r="4170" spans="1:28">
      <c r="A4170" s="391"/>
      <c r="B4170" s="392"/>
      <c r="C4170" s="393" t="s">
        <v>201</v>
      </c>
      <c r="D4170" s="2562">
        <f>VLOOKUP(C4165,'Data Panjang Balok'!$C$9:$N$254,10,FALSE)</f>
        <v>0</v>
      </c>
      <c r="E4170" s="2563"/>
      <c r="F4170" s="2563"/>
      <c r="G4170" s="2563"/>
      <c r="H4170" s="2564"/>
      <c r="I4170" s="397"/>
      <c r="J4170" s="396"/>
      <c r="K4170" s="396"/>
      <c r="L4170" s="396"/>
      <c r="M4170" s="396"/>
      <c r="N4170" s="396"/>
      <c r="O4170" s="396"/>
      <c r="P4170" s="396"/>
      <c r="Q4170" s="396"/>
      <c r="R4170" s="396"/>
      <c r="S4170" s="396"/>
      <c r="T4170" s="396"/>
      <c r="U4170" s="388"/>
      <c r="V4170" s="396"/>
      <c r="W4170" s="388"/>
      <c r="X4170" s="396"/>
      <c r="Y4170" s="389"/>
      <c r="Z4170" s="396"/>
      <c r="AA4170" s="388"/>
      <c r="AB4170" s="390"/>
    </row>
    <row r="4171" spans="1:28">
      <c r="A4171" s="391"/>
      <c r="B4171" s="392"/>
      <c r="C4171" s="393" t="s">
        <v>48</v>
      </c>
      <c r="D4171" s="2562">
        <f>VLOOKUP(C4165,'Data Panjang Balok'!$C$9:$N$254,3,FALSE)</f>
        <v>1</v>
      </c>
      <c r="E4171" s="2563"/>
      <c r="F4171" s="2563"/>
      <c r="G4171" s="2563"/>
      <c r="H4171" s="2564"/>
      <c r="I4171" s="397"/>
      <c r="J4171" s="396"/>
      <c r="K4171" s="396"/>
      <c r="L4171" s="396"/>
      <c r="M4171" s="396"/>
      <c r="N4171" s="396"/>
      <c r="O4171" s="396"/>
      <c r="P4171" s="396"/>
      <c r="Q4171" s="396"/>
      <c r="R4171" s="396"/>
      <c r="S4171" s="396"/>
      <c r="T4171" s="396"/>
      <c r="U4171" s="388"/>
      <c r="V4171" s="396"/>
      <c r="W4171" s="388"/>
      <c r="X4171" s="396"/>
      <c r="Y4171" s="389"/>
      <c r="Z4171" s="396"/>
      <c r="AA4171" s="388"/>
      <c r="AB4171" s="390"/>
    </row>
    <row r="4172" spans="1:28">
      <c r="A4172" s="384" t="str">
        <f t="shared" ref="A4172:B4172" si="13431">A4165</f>
        <v>Lantai 2</v>
      </c>
      <c r="B4172" s="385">
        <f t="shared" si="13431"/>
        <v>52</v>
      </c>
      <c r="C4172" s="393" t="s">
        <v>202</v>
      </c>
      <c r="D4172" s="398">
        <f>VLOOKUP(D4165,'Detail Balok'!$C$10:$AU$140,4,FALSE)</f>
        <v>4</v>
      </c>
      <c r="E4172" s="388" t="s">
        <v>16</v>
      </c>
      <c r="F4172" s="388">
        <f>VLOOKUP(D4165,'Detail Balok'!$C$10:$AU$140,6,FALSE)</f>
        <v>16</v>
      </c>
      <c r="G4172" s="388"/>
      <c r="H4172" s="395"/>
      <c r="I4172" s="388" t="s">
        <v>203</v>
      </c>
      <c r="J4172" s="399">
        <f t="shared" ref="J4172" si="13432">+D4167/4/1000</f>
        <v>1.2012499999999999</v>
      </c>
      <c r="K4172" s="400" t="s">
        <v>204</v>
      </c>
      <c r="L4172" s="399">
        <f t="shared" ref="L4172" si="13433">MAX(VLOOKUP(F4172,N$6:P$15,3,FALSE)/1000,2/3*D4169/1000)+F$16*F4172/1000</f>
        <v>0.192</v>
      </c>
      <c r="M4172" s="399" t="s">
        <v>176</v>
      </c>
      <c r="N4172" s="399">
        <f t="shared" ref="N4172:N4174" si="13434">J4172+L4172</f>
        <v>1.3932499999999999</v>
      </c>
      <c r="O4172" s="399" t="s">
        <v>204</v>
      </c>
      <c r="P4172" s="389">
        <f t="shared" ref="P4172" si="13435">D4172-D4173</f>
        <v>0</v>
      </c>
      <c r="Q4172" s="399" t="s">
        <v>125</v>
      </c>
      <c r="R4172" s="399">
        <f t="shared" ref="R4172" si="13436">IF(P4172&gt;0,$F$18*F4172/1000,0)</f>
        <v>0</v>
      </c>
      <c r="S4172" s="399" t="s">
        <v>205</v>
      </c>
      <c r="T4172" s="399" t="s">
        <v>125</v>
      </c>
      <c r="U4172" s="401">
        <f t="shared" ref="U4172:U4174" si="13437">0.006165*F4172^2</f>
        <v>1.5782400000000001</v>
      </c>
      <c r="V4172" s="399"/>
      <c r="W4172" s="399"/>
      <c r="X4172" s="399" t="s">
        <v>125</v>
      </c>
      <c r="Y4172" s="389">
        <f t="shared" ref="Y4172" si="13438">D4171</f>
        <v>1</v>
      </c>
      <c r="Z4172" s="400" t="s">
        <v>176</v>
      </c>
      <c r="AA4172" s="402">
        <f t="shared" ref="AA4172" si="13439">IF(AA4175=0,(D4172*N4172+P4172*R4172)*U4172*Y4172,0)</f>
        <v>0</v>
      </c>
      <c r="AB4172" s="403"/>
    </row>
    <row r="4173" spans="1:28">
      <c r="A4173" s="384" t="str">
        <f t="shared" ref="A4173:B4173" si="13440">A4165</f>
        <v>Lantai 2</v>
      </c>
      <c r="B4173" s="385">
        <f t="shared" si="13440"/>
        <v>52</v>
      </c>
      <c r="C4173" s="393" t="s">
        <v>206</v>
      </c>
      <c r="D4173" s="398">
        <f>VLOOKUP(D4165,'Detail Balok'!$C$10:$AU$140,7,FALSE)</f>
        <v>4</v>
      </c>
      <c r="E4173" s="388" t="s">
        <v>16</v>
      </c>
      <c r="F4173" s="388">
        <f>VLOOKUP(D4165,'Detail Balok'!$C$10:$AU$140,9,FALSE)</f>
        <v>16</v>
      </c>
      <c r="G4173" s="388"/>
      <c r="H4173" s="395"/>
      <c r="I4173" s="388" t="s">
        <v>203</v>
      </c>
      <c r="J4173" s="399">
        <f t="shared" ref="J4173" si="13441">+D4167/2/1000</f>
        <v>2.4024999999999999</v>
      </c>
      <c r="K4173" s="400" t="s">
        <v>204</v>
      </c>
      <c r="L4173" s="399"/>
      <c r="M4173" s="399" t="s">
        <v>176</v>
      </c>
      <c r="N4173" s="399">
        <f t="shared" si="13434"/>
        <v>2.4024999999999999</v>
      </c>
      <c r="O4173" s="399" t="s">
        <v>204</v>
      </c>
      <c r="P4173" s="389">
        <f t="shared" ref="P4173" si="13442">MAX(D4173-D4172,D4173-D4174)</f>
        <v>0</v>
      </c>
      <c r="Q4173" s="399" t="s">
        <v>125</v>
      </c>
      <c r="R4173" s="399">
        <f t="shared" ref="R4173" si="13443">IF(P4173&gt;0,2*(1-2*$F$19-1/2)*D4168/1000,0)</f>
        <v>0</v>
      </c>
      <c r="S4173" s="399" t="s">
        <v>205</v>
      </c>
      <c r="T4173" s="399" t="s">
        <v>125</v>
      </c>
      <c r="U4173" s="401">
        <f t="shared" si="13437"/>
        <v>1.5782400000000001</v>
      </c>
      <c r="V4173" s="399"/>
      <c r="W4173" s="399"/>
      <c r="X4173" s="399" t="s">
        <v>125</v>
      </c>
      <c r="Y4173" s="389">
        <f t="shared" ref="Y4173" si="13444">D4171</f>
        <v>1</v>
      </c>
      <c r="Z4173" s="400" t="s">
        <v>176</v>
      </c>
      <c r="AA4173" s="402">
        <f t="shared" ref="AA4173" si="13445">IF(AA4175=0,(D4173*N4173+P4173*R4173)*U4173*Y4173,0)</f>
        <v>0</v>
      </c>
      <c r="AB4173" s="403"/>
    </row>
    <row r="4174" spans="1:28">
      <c r="A4174" s="384" t="str">
        <f t="shared" ref="A4174:B4174" si="13446">A4165</f>
        <v>Lantai 2</v>
      </c>
      <c r="B4174" s="385">
        <f t="shared" si="13446"/>
        <v>52</v>
      </c>
      <c r="C4174" s="393" t="s">
        <v>202</v>
      </c>
      <c r="D4174" s="398">
        <f>VLOOKUP(D4165,'Detail Balok'!$C$10:$AU$140,10,FALSE)</f>
        <v>4</v>
      </c>
      <c r="E4174" s="388" t="s">
        <v>16</v>
      </c>
      <c r="F4174" s="388">
        <f>VLOOKUP(D4165,'Detail Balok'!$C$10:$AU$140,12,FALSE)</f>
        <v>16</v>
      </c>
      <c r="G4174" s="388"/>
      <c r="H4174" s="395"/>
      <c r="I4174" s="388" t="s">
        <v>203</v>
      </c>
      <c r="J4174" s="399">
        <f t="shared" ref="J4174" si="13447">+D4167/4/1000</f>
        <v>1.2012499999999999</v>
      </c>
      <c r="K4174" s="400" t="s">
        <v>204</v>
      </c>
      <c r="L4174" s="399">
        <f t="shared" ref="L4174" si="13448">MAX(VLOOKUP(F4174,N$6:P$15,3,FALSE)/1000,2/3*D4169/1000)+F$16*F4174/1000</f>
        <v>0.192</v>
      </c>
      <c r="M4174" s="399" t="s">
        <v>176</v>
      </c>
      <c r="N4174" s="399">
        <f t="shared" si="13434"/>
        <v>1.3932499999999999</v>
      </c>
      <c r="O4174" s="399" t="s">
        <v>204</v>
      </c>
      <c r="P4174" s="389">
        <f t="shared" ref="P4174" si="13449">D4174-D4173</f>
        <v>0</v>
      </c>
      <c r="Q4174" s="399" t="s">
        <v>125</v>
      </c>
      <c r="R4174" s="399">
        <f t="shared" ref="R4174" si="13450">IF(P4174&gt;0,$F$18*F4174/1000,0)</f>
        <v>0</v>
      </c>
      <c r="S4174" s="399" t="s">
        <v>205</v>
      </c>
      <c r="T4174" s="399" t="s">
        <v>125</v>
      </c>
      <c r="U4174" s="401">
        <f t="shared" si="13437"/>
        <v>1.5782400000000001</v>
      </c>
      <c r="V4174" s="399"/>
      <c r="W4174" s="399"/>
      <c r="X4174" s="399" t="s">
        <v>125</v>
      </c>
      <c r="Y4174" s="389">
        <f t="shared" ref="Y4174" si="13451">D4171</f>
        <v>1</v>
      </c>
      <c r="Z4174" s="400" t="s">
        <v>176</v>
      </c>
      <c r="AA4174" s="402">
        <f t="shared" ref="AA4174" si="13452">IF(AA4175=0,(D4174*N4174+P4174*R4174)*U4174*Y4174,0)</f>
        <v>0</v>
      </c>
      <c r="AB4174" s="403"/>
    </row>
    <row r="4175" spans="1:28">
      <c r="A4175" s="384" t="str">
        <f t="shared" ref="A4175:B4175" si="13453">A4165</f>
        <v>Lantai 2</v>
      </c>
      <c r="B4175" s="385">
        <f t="shared" si="13453"/>
        <v>52</v>
      </c>
      <c r="C4175" s="393"/>
      <c r="D4175" s="398">
        <f t="shared" ref="D4175:D4235" si="13454">IF(AND(D4172=D4173,D4173=D4174,D4172=D4174),D4172,0)</f>
        <v>4</v>
      </c>
      <c r="E4175" s="388" t="s">
        <v>16</v>
      </c>
      <c r="F4175" s="388">
        <f t="shared" ref="F4175:F4235" si="13455">IF(AND(F4172=F4173,F4172=F4174,F4173=F4174),F4172,0)</f>
        <v>16</v>
      </c>
      <c r="G4175" s="388"/>
      <c r="H4175" s="395"/>
      <c r="I4175" s="388"/>
      <c r="J4175" s="396"/>
      <c r="K4175" s="396"/>
      <c r="L4175" s="404" t="s">
        <v>207</v>
      </c>
      <c r="M4175" s="399" t="s">
        <v>176</v>
      </c>
      <c r="N4175" s="399">
        <f t="shared" ref="N4175" si="13456">IF(AND(D4172=D4173,D4172=D4174,D4173=D4174,F4172=F4173,F4172=F4174,F4173=F4174),SUM(N4172:N4174),0)</f>
        <v>5.1890000000000001</v>
      </c>
      <c r="O4175" s="399" t="s">
        <v>204</v>
      </c>
      <c r="P4175" s="389">
        <f t="shared" ref="P4175" si="13457">IF(N4175&gt;12,ROUNDDOWN(N4175/12,0),0)</f>
        <v>0</v>
      </c>
      <c r="Q4175" s="399" t="s">
        <v>125</v>
      </c>
      <c r="R4175" s="399">
        <f t="shared" ref="R4175" si="13458">IF(P4175&gt;0,MAX(VLOOKUP(F4175,$D$6:$G$15,3,FALSE),600),0)/1000</f>
        <v>0</v>
      </c>
      <c r="S4175" s="396"/>
      <c r="T4175" s="396" t="s">
        <v>125</v>
      </c>
      <c r="U4175" s="401">
        <f t="shared" ref="U4175:U4235" si="13459">U4174</f>
        <v>1.5782400000000001</v>
      </c>
      <c r="V4175" s="396" t="s">
        <v>125</v>
      </c>
      <c r="W4175" s="399">
        <f t="shared" ref="W4175" si="13460">D4175</f>
        <v>4</v>
      </c>
      <c r="X4175" s="399" t="s">
        <v>125</v>
      </c>
      <c r="Y4175" s="389">
        <f t="shared" ref="Y4175:Y4235" si="13461">Y4174</f>
        <v>1</v>
      </c>
      <c r="Z4175" s="400" t="s">
        <v>176</v>
      </c>
      <c r="AA4175" s="402">
        <f t="shared" ref="AA4175" si="13462">(N4175+P4175*R4175/1000)*U4175*W4175*Y4175</f>
        <v>32.757949440000004</v>
      </c>
      <c r="AB4175" s="390"/>
    </row>
    <row r="4176" spans="1:28">
      <c r="A4176" s="384"/>
      <c r="B4176" s="385"/>
      <c r="C4176" s="393"/>
      <c r="D4176" s="398"/>
      <c r="E4176" s="388"/>
      <c r="F4176" s="388"/>
      <c r="G4176" s="388"/>
      <c r="H4176" s="395"/>
      <c r="I4176" s="388"/>
      <c r="J4176" s="396"/>
      <c r="K4176" s="396"/>
      <c r="L4176" s="404"/>
      <c r="M4176" s="399"/>
      <c r="N4176" s="399"/>
      <c r="O4176" s="396"/>
      <c r="P4176" s="389"/>
      <c r="Q4176" s="396"/>
      <c r="R4176" s="396"/>
      <c r="S4176" s="396"/>
      <c r="T4176" s="396"/>
      <c r="U4176" s="401"/>
      <c r="V4176" s="396"/>
      <c r="W4176" s="399"/>
      <c r="X4176" s="396"/>
      <c r="Y4176" s="389"/>
      <c r="Z4176" s="396"/>
      <c r="AA4176" s="388"/>
      <c r="AB4176" s="390"/>
    </row>
    <row r="4177" spans="1:28">
      <c r="A4177" s="384" t="str">
        <f t="shared" ref="A4177:B4177" si="13463">A4165</f>
        <v>Lantai 2</v>
      </c>
      <c r="B4177" s="385">
        <f t="shared" si="13463"/>
        <v>52</v>
      </c>
      <c r="C4177" s="393" t="s">
        <v>208</v>
      </c>
      <c r="D4177" s="398">
        <f>VLOOKUP(D4165,'Detail Balok'!$C$10:$AU$140,13,FALSE)</f>
        <v>2</v>
      </c>
      <c r="E4177" s="388" t="s">
        <v>16</v>
      </c>
      <c r="F4177" s="388">
        <f>VLOOKUP(D4165,'Detail Balok'!$C$10:$AU$140,15,FALSE)</f>
        <v>10</v>
      </c>
      <c r="G4177" s="388"/>
      <c r="H4177" s="395"/>
      <c r="I4177" s="388"/>
      <c r="J4177" s="399">
        <f t="shared" ref="J4177" si="13464">+D4167/1000</f>
        <v>4.8049999999999997</v>
      </c>
      <c r="K4177" s="400" t="s">
        <v>204</v>
      </c>
      <c r="L4177" s="399">
        <f t="shared" ref="L4177" si="13465">2*$F$16*F4177/1000</f>
        <v>0.24</v>
      </c>
      <c r="M4177" s="399" t="s">
        <v>176</v>
      </c>
      <c r="N4177" s="399">
        <f t="shared" ref="N4177" si="13466">J4177+L4177</f>
        <v>5.0449999999999999</v>
      </c>
      <c r="O4177" s="399" t="s">
        <v>204</v>
      </c>
      <c r="P4177" s="389">
        <f t="shared" ref="P4177" si="13467">IF(N4177&gt;12,ROUNDDOWN(N4177/12,0),0)</f>
        <v>0</v>
      </c>
      <c r="Q4177" s="399" t="s">
        <v>125</v>
      </c>
      <c r="R4177" s="399">
        <f t="shared" ref="R4177" si="13468">IF(P4177&gt;0,MAX(VLOOKUP(F4177,$D$6:$G$15,3,FALSE),600),0)/1000</f>
        <v>0</v>
      </c>
      <c r="S4177" s="399"/>
      <c r="T4177" s="399" t="s">
        <v>125</v>
      </c>
      <c r="U4177" s="401">
        <f t="shared" ref="U4177" si="13469">0.006165*F4177^2</f>
        <v>0.61650000000000005</v>
      </c>
      <c r="V4177" s="399" t="s">
        <v>125</v>
      </c>
      <c r="W4177" s="399">
        <f t="shared" ref="W4177" si="13470">+D4177</f>
        <v>2</v>
      </c>
      <c r="X4177" s="399" t="s">
        <v>125</v>
      </c>
      <c r="Y4177" s="389">
        <f t="shared" ref="Y4177" si="13471">D4171</f>
        <v>1</v>
      </c>
      <c r="Z4177" s="400" t="s">
        <v>176</v>
      </c>
      <c r="AA4177" s="402">
        <f t="shared" ref="AA4177" si="13472">(N4177+P4177*R4177/1000)*U4177*W4177*Y4177</f>
        <v>6.220485</v>
      </c>
      <c r="AB4177" s="403"/>
    </row>
    <row r="4178" spans="1:28">
      <c r="A4178" s="384"/>
      <c r="B4178" s="385"/>
      <c r="C4178" s="393"/>
      <c r="D4178" s="398"/>
      <c r="E4178" s="388"/>
      <c r="F4178" s="388"/>
      <c r="G4178" s="388"/>
      <c r="H4178" s="395"/>
      <c r="I4178" s="388"/>
      <c r="J4178" s="399"/>
      <c r="K4178" s="400"/>
      <c r="L4178" s="399"/>
      <c r="M4178" s="399"/>
      <c r="N4178" s="399"/>
      <c r="O4178" s="399"/>
      <c r="P4178" s="389"/>
      <c r="Q4178" s="399"/>
      <c r="R4178" s="399"/>
      <c r="S4178" s="399"/>
      <c r="T4178" s="399"/>
      <c r="U4178" s="401"/>
      <c r="V4178" s="399"/>
      <c r="W4178" s="399"/>
      <c r="X4178" s="399"/>
      <c r="Y4178" s="389"/>
      <c r="Z4178" s="400"/>
      <c r="AA4178" s="402"/>
      <c r="AB4178" s="403"/>
    </row>
    <row r="4179" spans="1:28">
      <c r="A4179" s="384"/>
      <c r="B4179" s="385"/>
      <c r="C4179" s="393"/>
      <c r="D4179" s="398"/>
      <c r="E4179" s="388"/>
      <c r="F4179" s="388"/>
      <c r="G4179" s="388"/>
      <c r="H4179" s="395"/>
      <c r="I4179" s="388"/>
      <c r="J4179" s="396"/>
      <c r="K4179" s="396"/>
      <c r="L4179" s="396"/>
      <c r="M4179" s="396"/>
      <c r="N4179" s="396"/>
      <c r="O4179" s="396"/>
      <c r="P4179" s="389"/>
      <c r="Q4179" s="396"/>
      <c r="R4179" s="396"/>
      <c r="S4179" s="396"/>
      <c r="T4179" s="396"/>
      <c r="U4179" s="401"/>
      <c r="V4179" s="396"/>
      <c r="W4179" s="399"/>
      <c r="X4179" s="396"/>
      <c r="Y4179" s="389"/>
      <c r="Z4179" s="396"/>
      <c r="AA4179" s="388"/>
      <c r="AB4179" s="390"/>
    </row>
    <row r="4180" spans="1:28">
      <c r="A4180" s="384" t="str">
        <f t="shared" ref="A4180:B4180" si="13473">A4165</f>
        <v>Lantai 2</v>
      </c>
      <c r="B4180" s="385">
        <f t="shared" si="13473"/>
        <v>52</v>
      </c>
      <c r="C4180" s="393" t="s">
        <v>209</v>
      </c>
      <c r="D4180" s="398">
        <f>VLOOKUP(D4165,'Detail Balok'!$C$10:$AU$140,22,FALSE)</f>
        <v>4</v>
      </c>
      <c r="E4180" s="388" t="s">
        <v>16</v>
      </c>
      <c r="F4180" s="388">
        <f>VLOOKUP(D4165,'Detail Balok'!$C$10:$AU$140,24,FALSE)</f>
        <v>16</v>
      </c>
      <c r="G4180" s="388"/>
      <c r="H4180" s="395"/>
      <c r="I4180" s="388" t="s">
        <v>203</v>
      </c>
      <c r="J4180" s="399">
        <f t="shared" ref="J4180:J4242" si="13474">+J4172</f>
        <v>1.2012499999999999</v>
      </c>
      <c r="K4180" s="400" t="s">
        <v>204</v>
      </c>
      <c r="L4180" s="399">
        <f t="shared" ref="L4180" si="13475">MAX(VLOOKUP(F4180,N$6:P$15,3,FALSE)/1000,2/3*D4170/1000)+F$16*F4180/1000</f>
        <v>0.192</v>
      </c>
      <c r="M4180" s="399" t="s">
        <v>176</v>
      </c>
      <c r="N4180" s="399">
        <f t="shared" ref="N4180:N4182" si="13476">J4180+L4180</f>
        <v>1.3932499999999999</v>
      </c>
      <c r="O4180" s="399" t="s">
        <v>204</v>
      </c>
      <c r="P4180" s="389">
        <f t="shared" ref="P4180" si="13477">D4180-D4181</f>
        <v>0</v>
      </c>
      <c r="Q4180" s="399" t="s">
        <v>125</v>
      </c>
      <c r="R4180" s="399">
        <f t="shared" ref="R4180" si="13478">IF(P4180&gt;0,$F$18*F4180/1000,0)</f>
        <v>0</v>
      </c>
      <c r="S4180" s="399" t="s">
        <v>205</v>
      </c>
      <c r="T4180" s="399" t="s">
        <v>125</v>
      </c>
      <c r="U4180" s="401">
        <f t="shared" ref="U4180:U4182" si="13479">0.006165*F4180^2</f>
        <v>1.5782400000000001</v>
      </c>
      <c r="V4180" s="399"/>
      <c r="W4180" s="399"/>
      <c r="X4180" s="399" t="s">
        <v>125</v>
      </c>
      <c r="Y4180" s="389">
        <f t="shared" ref="Y4180" si="13480">D4171</f>
        <v>1</v>
      </c>
      <c r="Z4180" s="400" t="s">
        <v>176</v>
      </c>
      <c r="AA4180" s="402">
        <f t="shared" ref="AA4180" si="13481">IF(AA4183=0,(D4180*N4180+P4180*R4180)*U4180*Y4180,0)</f>
        <v>0</v>
      </c>
      <c r="AB4180" s="403"/>
    </row>
    <row r="4181" spans="1:28">
      <c r="A4181" s="384" t="str">
        <f t="shared" ref="A4181:B4181" si="13482">A4165</f>
        <v>Lantai 2</v>
      </c>
      <c r="B4181" s="385">
        <f t="shared" si="13482"/>
        <v>52</v>
      </c>
      <c r="C4181" s="393" t="s">
        <v>210</v>
      </c>
      <c r="D4181" s="398">
        <f>VLOOKUP(D4165,'Detail Balok'!$C$10:$AU$140,25,FALSE)</f>
        <v>4</v>
      </c>
      <c r="E4181" s="388" t="s">
        <v>16</v>
      </c>
      <c r="F4181" s="388">
        <f>VLOOKUP(D4165,'Detail Balok'!$C$10:$AU$140,27,FALSE)</f>
        <v>16</v>
      </c>
      <c r="G4181" s="388"/>
      <c r="H4181" s="395"/>
      <c r="I4181" s="388" t="s">
        <v>203</v>
      </c>
      <c r="J4181" s="399">
        <f t="shared" si="13474"/>
        <v>2.4024999999999999</v>
      </c>
      <c r="K4181" s="400" t="s">
        <v>204</v>
      </c>
      <c r="L4181" s="399"/>
      <c r="M4181" s="399" t="s">
        <v>176</v>
      </c>
      <c r="N4181" s="399">
        <f t="shared" si="13476"/>
        <v>2.4024999999999999</v>
      </c>
      <c r="O4181" s="399" t="s">
        <v>204</v>
      </c>
      <c r="P4181" s="389">
        <f t="shared" ref="P4181" si="13483">MAX(D4181-D4180,D4181-D4182)</f>
        <v>0</v>
      </c>
      <c r="Q4181" s="399" t="s">
        <v>125</v>
      </c>
      <c r="R4181" s="399">
        <f t="shared" ref="R4181" si="13484">IF(P4181&gt;0,2*(1-2*$F$19-1/2)*D4168/1000,0)</f>
        <v>0</v>
      </c>
      <c r="S4181" s="399" t="s">
        <v>205</v>
      </c>
      <c r="T4181" s="399" t="s">
        <v>125</v>
      </c>
      <c r="U4181" s="401">
        <f t="shared" si="13479"/>
        <v>1.5782400000000001</v>
      </c>
      <c r="V4181" s="399"/>
      <c r="W4181" s="399"/>
      <c r="X4181" s="399" t="s">
        <v>125</v>
      </c>
      <c r="Y4181" s="389">
        <f t="shared" ref="Y4181" si="13485">D4171</f>
        <v>1</v>
      </c>
      <c r="Z4181" s="400" t="s">
        <v>176</v>
      </c>
      <c r="AA4181" s="402">
        <f t="shared" ref="AA4181" si="13486">IF(AA4183=0,(D4181*N4181+P4181*R4181)*U4181*Y4181,0)</f>
        <v>0</v>
      </c>
      <c r="AB4181" s="403"/>
    </row>
    <row r="4182" spans="1:28">
      <c r="A4182" s="384" t="str">
        <f t="shared" ref="A4182:B4182" si="13487">A4165</f>
        <v>Lantai 2</v>
      </c>
      <c r="B4182" s="385">
        <f t="shared" si="13487"/>
        <v>52</v>
      </c>
      <c r="C4182" s="393" t="s">
        <v>209</v>
      </c>
      <c r="D4182" s="398">
        <f>VLOOKUP(D4165,'Detail Balok'!$C$10:$AU$140,28,FALSE)</f>
        <v>4</v>
      </c>
      <c r="E4182" s="388" t="s">
        <v>16</v>
      </c>
      <c r="F4182" s="388">
        <f>VLOOKUP(D4165,'Detail Balok'!$C$10:$AU$140,30,FALSE)</f>
        <v>16</v>
      </c>
      <c r="G4182" s="388"/>
      <c r="H4182" s="395"/>
      <c r="I4182" s="388" t="s">
        <v>203</v>
      </c>
      <c r="J4182" s="399">
        <f t="shared" si="13474"/>
        <v>1.2012499999999999</v>
      </c>
      <c r="K4182" s="400" t="s">
        <v>204</v>
      </c>
      <c r="L4182" s="399">
        <f t="shared" ref="L4182" si="13488">MAX(VLOOKUP(F4182,N$6:P$15,3,FALSE)/1000,2/3*D4170/1000)+F$16*F4182/1000</f>
        <v>0.192</v>
      </c>
      <c r="M4182" s="399" t="s">
        <v>176</v>
      </c>
      <c r="N4182" s="399">
        <f t="shared" si="13476"/>
        <v>1.3932499999999999</v>
      </c>
      <c r="O4182" s="399" t="s">
        <v>204</v>
      </c>
      <c r="P4182" s="389">
        <f t="shared" ref="P4182" si="13489">D4182-D4181</f>
        <v>0</v>
      </c>
      <c r="Q4182" s="399" t="s">
        <v>125</v>
      </c>
      <c r="R4182" s="399">
        <f t="shared" ref="R4182" si="13490">IF(P4182&gt;0,$F$18*F4182/1000,0)</f>
        <v>0</v>
      </c>
      <c r="S4182" s="399" t="s">
        <v>205</v>
      </c>
      <c r="T4182" s="399" t="s">
        <v>125</v>
      </c>
      <c r="U4182" s="401">
        <f t="shared" si="13479"/>
        <v>1.5782400000000001</v>
      </c>
      <c r="V4182" s="399"/>
      <c r="W4182" s="399"/>
      <c r="X4182" s="399" t="s">
        <v>125</v>
      </c>
      <c r="Y4182" s="389">
        <f t="shared" ref="Y4182" si="13491">D4171</f>
        <v>1</v>
      </c>
      <c r="Z4182" s="400" t="s">
        <v>176</v>
      </c>
      <c r="AA4182" s="402">
        <f t="shared" ref="AA4182" si="13492">IF(AA4183=0,(D4182*N4182+P4182*R4182)*U4182*Y4182,0)</f>
        <v>0</v>
      </c>
      <c r="AB4182" s="403"/>
    </row>
    <row r="4183" spans="1:28">
      <c r="A4183" s="384" t="str">
        <f t="shared" ref="A4183:B4183" si="13493">A4165</f>
        <v>Lantai 2</v>
      </c>
      <c r="B4183" s="385">
        <f t="shared" si="13493"/>
        <v>52</v>
      </c>
      <c r="C4183" s="393"/>
      <c r="D4183" s="398">
        <f t="shared" ref="D4183:D4243" si="13494">IF(AND(D4180=D4181,D4181=D4182,D4180=D4182),D4180,0)</f>
        <v>4</v>
      </c>
      <c r="E4183" s="388" t="s">
        <v>16</v>
      </c>
      <c r="F4183" s="388">
        <f t="shared" ref="F4183:F4243" si="13495">IF(AND(F4180=F4181,F4180=F4182,F4181=F4182),F4180,0)</f>
        <v>16</v>
      </c>
      <c r="G4183" s="388"/>
      <c r="H4183" s="395"/>
      <c r="I4183" s="388"/>
      <c r="J4183" s="396"/>
      <c r="K4183" s="396"/>
      <c r="L4183" s="404" t="s">
        <v>207</v>
      </c>
      <c r="M4183" s="399" t="s">
        <v>176</v>
      </c>
      <c r="N4183" s="399">
        <f t="shared" ref="N4183" si="13496">IF(AND(D4180=D4181,D4180=D4182,D4181=D4182,F4180=F4181,F4180=F4182,F4181=F4182),SUM(N4180:N4182),0)</f>
        <v>5.1890000000000001</v>
      </c>
      <c r="O4183" s="399" t="s">
        <v>204</v>
      </c>
      <c r="P4183" s="389">
        <f t="shared" ref="P4183" si="13497">IF(N4183&gt;12,ROUNDDOWN(N4183/12,0),0)</f>
        <v>0</v>
      </c>
      <c r="Q4183" s="399" t="s">
        <v>125</v>
      </c>
      <c r="R4183" s="399">
        <f t="shared" ref="R4183" si="13498">IF(P4183&gt;0,MAX(VLOOKUP(F4183,$D$6:$G$15,3,FALSE),600),0)/1000</f>
        <v>0</v>
      </c>
      <c r="S4183" s="396"/>
      <c r="T4183" s="396" t="s">
        <v>125</v>
      </c>
      <c r="U4183" s="401">
        <f t="shared" ref="U4183:U4243" si="13499">U4182</f>
        <v>1.5782400000000001</v>
      </c>
      <c r="V4183" s="396" t="s">
        <v>125</v>
      </c>
      <c r="W4183" s="399">
        <f t="shared" ref="W4183" si="13500">D4183</f>
        <v>4</v>
      </c>
      <c r="X4183" s="399" t="s">
        <v>125</v>
      </c>
      <c r="Y4183" s="389">
        <f t="shared" ref="Y4183:Y4243" si="13501">Y4182</f>
        <v>1</v>
      </c>
      <c r="Z4183" s="400" t="s">
        <v>176</v>
      </c>
      <c r="AA4183" s="402">
        <f t="shared" ref="AA4183" si="13502">(N4183+P4183*R4183/1000)*U4183*W4183*Y4183</f>
        <v>32.757949440000004</v>
      </c>
      <c r="AB4183" s="403"/>
    </row>
    <row r="4184" spans="1:28">
      <c r="A4184" s="384"/>
      <c r="B4184" s="385"/>
      <c r="C4184" s="393"/>
      <c r="D4184" s="394"/>
      <c r="E4184" s="388"/>
      <c r="F4184" s="388"/>
      <c r="G4184" s="388"/>
      <c r="H4184" s="395"/>
      <c r="I4184" s="388"/>
      <c r="J4184" s="399"/>
      <c r="K4184" s="396"/>
      <c r="L4184" s="396"/>
      <c r="M4184" s="396"/>
      <c r="N4184" s="396"/>
      <c r="O4184" s="396"/>
      <c r="P4184" s="389"/>
      <c r="Q4184" s="396"/>
      <c r="R4184" s="396"/>
      <c r="S4184" s="396"/>
      <c r="T4184" s="396"/>
      <c r="U4184" s="401"/>
      <c r="V4184" s="396"/>
      <c r="W4184" s="388"/>
      <c r="X4184" s="396"/>
      <c r="Y4184" s="389"/>
      <c r="Z4184" s="396"/>
      <c r="AA4184" s="388"/>
      <c r="AB4184" s="390"/>
    </row>
    <row r="4185" spans="1:28">
      <c r="A4185" s="384" t="str">
        <f t="shared" ref="A4185:B4185" si="13503">A4165</f>
        <v>Lantai 2</v>
      </c>
      <c r="B4185" s="385">
        <f t="shared" si="13503"/>
        <v>52</v>
      </c>
      <c r="C4185" s="393" t="s">
        <v>211</v>
      </c>
      <c r="D4185" s="398">
        <f>VLOOKUP(D4165,'Detail Balok'!$C$10:$AU$140,31,FALSE)</f>
        <v>0</v>
      </c>
      <c r="E4185" s="388" t="s">
        <v>16</v>
      </c>
      <c r="F4185" s="388">
        <f>VLOOKUP(D4165,'Detail Balok'!$C$10:$AU$140,33,FALSE)</f>
        <v>10</v>
      </c>
      <c r="G4185" s="405" t="s">
        <v>157</v>
      </c>
      <c r="H4185" s="395">
        <f>VLOOKUP(D4165,'Detail Balok'!$C$10:$AU$140,35,FALSE)</f>
        <v>150</v>
      </c>
      <c r="I4185" s="388"/>
      <c r="J4185" s="400">
        <f t="shared" ref="J4185" si="13504">(IF(D4185=0,(2*(D4166+G4166))-(F$5*8),IF(D4185=3,(2*(D4166+G4166))-(F$5*8)+(G4166-2*F$5),IF(D4185=4,(2*(D4166+G4166))-(F$5*8)+2*(G4166-2*F$5)))))/1000</f>
        <v>1.08</v>
      </c>
      <c r="K4185" s="400" t="s">
        <v>204</v>
      </c>
      <c r="L4185" s="399">
        <f t="shared" ref="L4185:L4187" si="13505">IF(D4185=0,2*MAX(6*F4185,75),(D4185-1)*2*MAX(6*F4185,75))/1000</f>
        <v>0.15</v>
      </c>
      <c r="M4185" s="399" t="s">
        <v>176</v>
      </c>
      <c r="N4185" s="399">
        <f t="shared" ref="N4185:N4187" si="13506">J4185+L4185</f>
        <v>1.23</v>
      </c>
      <c r="O4185" s="399"/>
      <c r="P4185" s="389"/>
      <c r="Q4185" s="399"/>
      <c r="R4185" s="399"/>
      <c r="S4185" s="399"/>
      <c r="T4185" s="399" t="s">
        <v>125</v>
      </c>
      <c r="U4185" s="401">
        <f t="shared" ref="U4185:U4187" si="13507">0.006165*F4185^2</f>
        <v>0.61650000000000005</v>
      </c>
      <c r="V4185" s="399" t="s">
        <v>125</v>
      </c>
      <c r="W4185" s="399">
        <f t="shared" ref="W4185" si="13508">IF(D4168&gt;4*G4166,ROUND(MAX(D4168/4,2*G4166)/H4185,0)+1,ROUND(D4168/H4185,0)+1)</f>
        <v>9</v>
      </c>
      <c r="X4185" s="399" t="s">
        <v>125</v>
      </c>
      <c r="Y4185" s="389">
        <f t="shared" ref="Y4185" si="13509">D4171</f>
        <v>1</v>
      </c>
      <c r="Z4185" s="400" t="s">
        <v>176</v>
      </c>
      <c r="AA4185" s="402">
        <f t="shared" ref="AA4185:AA4187" si="13510">N4185*U4185*W4185*Y4185</f>
        <v>6.8246550000000008</v>
      </c>
      <c r="AB4185" s="403"/>
    </row>
    <row r="4186" spans="1:28">
      <c r="A4186" s="384" t="str">
        <f t="shared" ref="A4186:B4186" si="13511">A4165</f>
        <v>Lantai 2</v>
      </c>
      <c r="B4186" s="385">
        <f t="shared" si="13511"/>
        <v>52</v>
      </c>
      <c r="C4186" s="393" t="s">
        <v>212</v>
      </c>
      <c r="D4186" s="398">
        <f>VLOOKUP(D4165,'Detail Balok'!$C$10:$AU$140,36,FALSE)</f>
        <v>0</v>
      </c>
      <c r="E4186" s="388" t="s">
        <v>16</v>
      </c>
      <c r="F4186" s="388">
        <f>VLOOKUP(D4165,'Detail Balok'!$C$10:$AU$140,38,FALSE)</f>
        <v>10</v>
      </c>
      <c r="G4186" s="405" t="s">
        <v>157</v>
      </c>
      <c r="H4186" s="395">
        <f>VLOOKUP(D4165,'Detail Balok'!$C$10:$AU$140,40,FALSE)</f>
        <v>200</v>
      </c>
      <c r="I4186" s="388"/>
      <c r="J4186" s="400">
        <f t="shared" ref="J4186" si="13512">(IF(D4186=0,(2*(D4166+G4166))-(F$5*8),IF(D4186=3,(2*(D4166+G4166))-(F$5*8)+(G4166-2*F$5),IF(D4186=4,(2*(D4166+G4166))-(F$5*8)+2*(G4166-2*F$5)))))/1000</f>
        <v>1.08</v>
      </c>
      <c r="K4186" s="400" t="s">
        <v>204</v>
      </c>
      <c r="L4186" s="399">
        <f t="shared" si="13505"/>
        <v>0.15</v>
      </c>
      <c r="M4186" s="399" t="s">
        <v>176</v>
      </c>
      <c r="N4186" s="399">
        <f t="shared" si="13506"/>
        <v>1.23</v>
      </c>
      <c r="O4186" s="399"/>
      <c r="P4186" s="389"/>
      <c r="Q4186" s="399"/>
      <c r="R4186" s="399"/>
      <c r="S4186" s="399"/>
      <c r="T4186" s="399" t="s">
        <v>125</v>
      </c>
      <c r="U4186" s="401">
        <f t="shared" si="13507"/>
        <v>0.61650000000000005</v>
      </c>
      <c r="V4186" s="399" t="s">
        <v>125</v>
      </c>
      <c r="W4186" s="399">
        <f t="shared" ref="W4186" si="13513">IF(D4168-MAX(D4168/4,2*G4166)*2&gt;0,ROUND((D4168-MAX(D4168/4,2*G4166)*2)/H4186,0),0)</f>
        <v>12</v>
      </c>
      <c r="X4186" s="399" t="s">
        <v>125</v>
      </c>
      <c r="Y4186" s="389">
        <f t="shared" ref="Y4186" si="13514">D4171</f>
        <v>1</v>
      </c>
      <c r="Z4186" s="400" t="s">
        <v>176</v>
      </c>
      <c r="AA4186" s="402">
        <f t="shared" si="13510"/>
        <v>9.0995400000000011</v>
      </c>
      <c r="AB4186" s="403"/>
    </row>
    <row r="4187" spans="1:28">
      <c r="A4187" s="384" t="str">
        <f t="shared" ref="A4187:B4187" si="13515">A4165</f>
        <v>Lantai 2</v>
      </c>
      <c r="B4187" s="385">
        <f t="shared" si="13515"/>
        <v>52</v>
      </c>
      <c r="C4187" s="393" t="s">
        <v>211</v>
      </c>
      <c r="D4187" s="398">
        <f>VLOOKUP(D4165,'Detail Balok'!$C$10:$AU$140,41,FALSE)</f>
        <v>0</v>
      </c>
      <c r="E4187" s="388" t="s">
        <v>16</v>
      </c>
      <c r="F4187" s="388">
        <f>VLOOKUP(D4165,'Detail Balok'!$C$10:$AU$140,43,FALSE)</f>
        <v>10</v>
      </c>
      <c r="G4187" s="405" t="s">
        <v>157</v>
      </c>
      <c r="H4187" s="395">
        <f>VLOOKUP(D4165,'Detail Balok'!$C$10:$AU$140,45,FALSE)</f>
        <v>150</v>
      </c>
      <c r="I4187" s="388"/>
      <c r="J4187" s="400">
        <f t="shared" ref="J4187" si="13516">(IF(D4187=0,(2*(D4166+G4166))-(F$5*8),IF(D4187=3,(2*(D4166+G4166))-(F$5*8)+(G4166-2*F$5),IF(D4187=4,(2*(D4166+G4166))-(F$5*8)+2*(G4166-2*F$5)))))/1000</f>
        <v>1.08</v>
      </c>
      <c r="K4187" s="400" t="s">
        <v>204</v>
      </c>
      <c r="L4187" s="399">
        <f t="shared" si="13505"/>
        <v>0.15</v>
      </c>
      <c r="M4187" s="399" t="s">
        <v>176</v>
      </c>
      <c r="N4187" s="399">
        <f t="shared" si="13506"/>
        <v>1.23</v>
      </c>
      <c r="O4187" s="399"/>
      <c r="P4187" s="389"/>
      <c r="Q4187" s="399"/>
      <c r="R4187" s="399"/>
      <c r="S4187" s="399"/>
      <c r="T4187" s="399" t="s">
        <v>125</v>
      </c>
      <c r="U4187" s="401">
        <f t="shared" si="13507"/>
        <v>0.61650000000000005</v>
      </c>
      <c r="V4187" s="399" t="s">
        <v>125</v>
      </c>
      <c r="W4187" s="399">
        <f t="shared" ref="W4187" si="13517">IF(D4168&gt;4*G4166,ROUND(MAX(D4168/4,2*G4166)/H4187,0)+1,0)</f>
        <v>9</v>
      </c>
      <c r="X4187" s="399" t="s">
        <v>125</v>
      </c>
      <c r="Y4187" s="389">
        <f t="shared" ref="Y4187" si="13518">D4171</f>
        <v>1</v>
      </c>
      <c r="Z4187" s="400" t="s">
        <v>176</v>
      </c>
      <c r="AA4187" s="402">
        <f t="shared" si="13510"/>
        <v>6.8246550000000008</v>
      </c>
      <c r="AB4187" s="403"/>
    </row>
    <row r="4188" spans="1:28">
      <c r="A4188" s="384"/>
      <c r="B4188" s="385"/>
      <c r="C4188" s="393"/>
      <c r="D4188" s="394"/>
      <c r="E4188" s="388"/>
      <c r="F4188" s="388"/>
      <c r="G4188" s="388"/>
      <c r="H4188" s="395"/>
      <c r="I4188" s="388"/>
      <c r="J4188" s="399"/>
      <c r="K4188" s="396"/>
      <c r="L4188" s="396"/>
      <c r="M4188" s="396"/>
      <c r="N4188" s="396"/>
      <c r="O4188" s="396"/>
      <c r="P4188" s="389"/>
      <c r="Q4188" s="396"/>
      <c r="R4188" s="396"/>
      <c r="S4188" s="396"/>
      <c r="T4188" s="396"/>
      <c r="U4188" s="401"/>
      <c r="V4188" s="396"/>
      <c r="W4188" s="388"/>
      <c r="X4188" s="396"/>
      <c r="Y4188" s="389"/>
      <c r="Z4188" s="396"/>
      <c r="AA4188" s="388"/>
      <c r="AB4188" s="390"/>
    </row>
    <row r="4189" spans="1:28">
      <c r="A4189" s="384" t="str">
        <f t="shared" ref="A4189:B4189" si="13519">A4165</f>
        <v>Lantai 2</v>
      </c>
      <c r="B4189" s="385">
        <f t="shared" si="13519"/>
        <v>52</v>
      </c>
      <c r="C4189" s="393" t="s">
        <v>213</v>
      </c>
      <c r="D4189" s="398">
        <f>VLOOKUP(D4165,'Detail Balok'!$C$10:$BJ$140,46,FALSE)</f>
        <v>0</v>
      </c>
      <c r="E4189" s="388" t="s">
        <v>16</v>
      </c>
      <c r="F4189" s="388">
        <f>VLOOKUP(D4165,'Detail Balok'!$C$10:$BJ$140,48,FALSE)</f>
        <v>0</v>
      </c>
      <c r="G4189" s="405" t="s">
        <v>157</v>
      </c>
      <c r="H4189" s="395">
        <f>VLOOKUP(D4165,'Detail Balok'!$C$10:$BJ$140,50,FALSE)</f>
        <v>100</v>
      </c>
      <c r="I4189" s="388"/>
      <c r="J4189" s="399">
        <f t="shared" ref="J4189" si="13520">(D4166-2*F$5)/1000</f>
        <v>0.12</v>
      </c>
      <c r="K4189" s="400" t="s">
        <v>204</v>
      </c>
      <c r="L4189" s="399">
        <f t="shared" ref="L4189:L4191" si="13521">IF(D4189=0,2*MAX(6*F4189,75),(D4189-1)*2*MAX(6*F4189,75))/1000</f>
        <v>0.15</v>
      </c>
      <c r="M4189" s="399" t="s">
        <v>176</v>
      </c>
      <c r="N4189" s="399">
        <f t="shared" ref="N4189:N4191" si="13522">J4189+L4189</f>
        <v>0.27</v>
      </c>
      <c r="O4189" s="399"/>
      <c r="P4189" s="399"/>
      <c r="Q4189" s="399"/>
      <c r="R4189" s="399"/>
      <c r="S4189" s="399"/>
      <c r="T4189" s="399" t="s">
        <v>125</v>
      </c>
      <c r="U4189" s="401">
        <f t="shared" ref="U4189:U4191" si="13523">0.006165*F4189^2</f>
        <v>0</v>
      </c>
      <c r="V4189" s="399" t="s">
        <v>125</v>
      </c>
      <c r="W4189" s="399">
        <f t="shared" ref="W4189:W4251" si="13524">W4185</f>
        <v>9</v>
      </c>
      <c r="X4189" s="399" t="s">
        <v>125</v>
      </c>
      <c r="Y4189" s="389">
        <f t="shared" ref="Y4189" si="13525">D4175</f>
        <v>4</v>
      </c>
      <c r="Z4189" s="400" t="s">
        <v>176</v>
      </c>
      <c r="AA4189" s="402">
        <f t="shared" ref="AA4189:AA4191" si="13526">N4189*U4189*W4189*Y4189</f>
        <v>0</v>
      </c>
      <c r="AB4189" s="403"/>
    </row>
    <row r="4190" spans="1:28">
      <c r="A4190" s="384" t="str">
        <f t="shared" ref="A4190:B4190" si="13527">A4165</f>
        <v>Lantai 2</v>
      </c>
      <c r="B4190" s="385">
        <f t="shared" si="13527"/>
        <v>52</v>
      </c>
      <c r="C4190" s="393" t="s">
        <v>214</v>
      </c>
      <c r="D4190" s="398">
        <f>VLOOKUP(D4165,'Detail Balok'!$C$10:$BJ$140,51,FALSE)</f>
        <v>0</v>
      </c>
      <c r="E4190" s="388" t="s">
        <v>16</v>
      </c>
      <c r="F4190" s="388">
        <f>VLOOKUP(D4165,'Detail Balok'!$C$10:$BJ$140,53,FALSE)</f>
        <v>0</v>
      </c>
      <c r="G4190" s="405" t="s">
        <v>157</v>
      </c>
      <c r="H4190" s="395">
        <f>VLOOKUP(D4165,'Detail Balok'!$C$10:$BJ$140,55,FALSE)</f>
        <v>100</v>
      </c>
      <c r="I4190" s="388"/>
      <c r="J4190" s="399">
        <f t="shared" ref="J4190" si="13528">(D4166-2*F$5)/1000</f>
        <v>0.12</v>
      </c>
      <c r="K4190" s="400" t="s">
        <v>204</v>
      </c>
      <c r="L4190" s="399">
        <f t="shared" si="13521"/>
        <v>0.15</v>
      </c>
      <c r="M4190" s="399" t="s">
        <v>176</v>
      </c>
      <c r="N4190" s="399">
        <f t="shared" si="13522"/>
        <v>0.27</v>
      </c>
      <c r="O4190" s="399"/>
      <c r="P4190" s="399"/>
      <c r="Q4190" s="399"/>
      <c r="R4190" s="399"/>
      <c r="S4190" s="399"/>
      <c r="T4190" s="399" t="s">
        <v>125</v>
      </c>
      <c r="U4190" s="401">
        <f t="shared" si="13523"/>
        <v>0</v>
      </c>
      <c r="V4190" s="399" t="s">
        <v>125</v>
      </c>
      <c r="W4190" s="399">
        <f t="shared" si="13524"/>
        <v>12</v>
      </c>
      <c r="X4190" s="399" t="s">
        <v>125</v>
      </c>
      <c r="Y4190" s="389">
        <f t="shared" ref="Y4190" si="13529">D4175</f>
        <v>4</v>
      </c>
      <c r="Z4190" s="400" t="s">
        <v>176</v>
      </c>
      <c r="AA4190" s="402">
        <f t="shared" si="13526"/>
        <v>0</v>
      </c>
      <c r="AB4190" s="403"/>
    </row>
    <row r="4191" spans="1:28">
      <c r="A4191" s="384" t="str">
        <f t="shared" ref="A4191:B4191" si="13530">A4165</f>
        <v>Lantai 2</v>
      </c>
      <c r="B4191" s="385">
        <f t="shared" si="13530"/>
        <v>52</v>
      </c>
      <c r="C4191" s="393" t="s">
        <v>213</v>
      </c>
      <c r="D4191" s="398">
        <f>VLOOKUP(D4165,'Detail Balok'!$C$10:$BJ$140,56,FALSE)</f>
        <v>0</v>
      </c>
      <c r="E4191" s="388" t="s">
        <v>16</v>
      </c>
      <c r="F4191" s="388">
        <f>VLOOKUP(D4165,'Detail Balok'!$C$10:$BJ$140,58,FALSE)</f>
        <v>0</v>
      </c>
      <c r="G4191" s="405" t="s">
        <v>157</v>
      </c>
      <c r="H4191" s="395">
        <f>VLOOKUP(D4165,'Detail Balok'!$C$10:$BJ$140,60,FALSE)</f>
        <v>100</v>
      </c>
      <c r="I4191" s="388"/>
      <c r="J4191" s="399">
        <f t="shared" ref="J4191" si="13531">(D4166-2*F$5)/1000</f>
        <v>0.12</v>
      </c>
      <c r="K4191" s="400" t="s">
        <v>204</v>
      </c>
      <c r="L4191" s="399">
        <f t="shared" si="13521"/>
        <v>0.15</v>
      </c>
      <c r="M4191" s="399" t="s">
        <v>176</v>
      </c>
      <c r="N4191" s="399">
        <f t="shared" si="13522"/>
        <v>0.27</v>
      </c>
      <c r="O4191" s="399"/>
      <c r="P4191" s="399"/>
      <c r="Q4191" s="399"/>
      <c r="R4191" s="399"/>
      <c r="S4191" s="399"/>
      <c r="T4191" s="399" t="s">
        <v>125</v>
      </c>
      <c r="U4191" s="401">
        <f t="shared" si="13523"/>
        <v>0</v>
      </c>
      <c r="V4191" s="399" t="s">
        <v>125</v>
      </c>
      <c r="W4191" s="399">
        <f t="shared" si="13524"/>
        <v>9</v>
      </c>
      <c r="X4191" s="399" t="s">
        <v>125</v>
      </c>
      <c r="Y4191" s="389">
        <f t="shared" ref="Y4191" si="13532">D4175</f>
        <v>4</v>
      </c>
      <c r="Z4191" s="400" t="s">
        <v>176</v>
      </c>
      <c r="AA4191" s="402">
        <f t="shared" si="13526"/>
        <v>0</v>
      </c>
      <c r="AB4191" s="403"/>
    </row>
    <row r="4192" spans="1:28">
      <c r="A4192" s="391"/>
      <c r="B4192" s="392"/>
      <c r="C4192" s="392"/>
      <c r="D4192" s="394"/>
      <c r="E4192" s="388"/>
      <c r="F4192" s="388"/>
      <c r="G4192" s="388"/>
      <c r="H4192" s="395"/>
      <c r="I4192" s="388"/>
      <c r="J4192" s="402"/>
      <c r="K4192" s="388"/>
      <c r="L4192" s="388"/>
      <c r="M4192" s="388"/>
      <c r="N4192" s="388"/>
      <c r="O4192" s="388"/>
      <c r="P4192" s="388"/>
      <c r="Q4192" s="388"/>
      <c r="R4192" s="388"/>
      <c r="S4192" s="388"/>
      <c r="T4192" s="388"/>
      <c r="U4192" s="388"/>
      <c r="V4192" s="388"/>
      <c r="W4192" s="388"/>
      <c r="X4192" s="388"/>
      <c r="Y4192" s="389"/>
      <c r="Z4192" s="388"/>
      <c r="AA4192" s="402"/>
      <c r="AB4192" s="403"/>
    </row>
    <row r="4193" spans="1:28" ht="15.75" thickBot="1">
      <c r="A4193" s="406"/>
      <c r="B4193" s="407"/>
      <c r="C4193" s="407"/>
      <c r="D4193" s="408"/>
      <c r="E4193" s="409"/>
      <c r="F4193" s="409"/>
      <c r="G4193" s="409"/>
      <c r="H4193" s="410"/>
      <c r="I4193" s="409"/>
      <c r="J4193" s="409"/>
      <c r="K4193" s="409"/>
      <c r="L4193" s="409"/>
      <c r="M4193" s="409"/>
      <c r="N4193" s="409"/>
      <c r="O4193" s="409"/>
      <c r="P4193" s="409"/>
      <c r="Q4193" s="409"/>
      <c r="R4193" s="409"/>
      <c r="S4193" s="409"/>
      <c r="T4193" s="409"/>
      <c r="U4193" s="409"/>
      <c r="V4193" s="409"/>
      <c r="W4193" s="409"/>
      <c r="X4193" s="409"/>
      <c r="Y4193" s="411"/>
      <c r="Z4193" s="409"/>
      <c r="AA4193" s="412"/>
      <c r="AB4193" s="413"/>
    </row>
    <row r="4194" spans="1:28">
      <c r="A4194" s="377"/>
      <c r="B4194" s="378"/>
      <c r="C4194" s="378"/>
      <c r="D4194" s="379"/>
      <c r="E4194" s="380"/>
      <c r="F4194" s="380"/>
      <c r="G4194" s="380"/>
      <c r="H4194" s="381"/>
      <c r="I4194" s="380"/>
      <c r="J4194" s="380"/>
      <c r="K4194" s="380"/>
      <c r="L4194" s="380"/>
      <c r="M4194" s="380"/>
      <c r="N4194" s="380"/>
      <c r="O4194" s="380"/>
      <c r="P4194" s="380"/>
      <c r="Q4194" s="380"/>
      <c r="R4194" s="380"/>
      <c r="S4194" s="380"/>
      <c r="T4194" s="380"/>
      <c r="U4194" s="380"/>
      <c r="V4194" s="380"/>
      <c r="W4194" s="380"/>
      <c r="X4194" s="380"/>
      <c r="Y4194" s="382"/>
      <c r="Z4194" s="380"/>
      <c r="AA4194" s="380"/>
      <c r="AB4194" s="383"/>
    </row>
    <row r="4195" spans="1:28">
      <c r="A4195" s="384" t="str">
        <f t="shared" ref="A4195:A4255" si="13533">A4165</f>
        <v>Lantai 2</v>
      </c>
      <c r="B4195" s="385">
        <f t="shared" ref="B4195:B4255" si="13534">B4165+1</f>
        <v>53</v>
      </c>
      <c r="C4195" s="386" t="str">
        <f t="shared" ref="C4195" si="13535">CONCATENATE(A4195," no. ",B4195)</f>
        <v>Lantai 2 no. 53</v>
      </c>
      <c r="D4195" s="2562" t="str">
        <f>VLOOKUP(C4195,'Data Panjang Balok'!$C$9:$N$254,2,FALSE)</f>
        <v>B24-1</v>
      </c>
      <c r="E4195" s="2576"/>
      <c r="F4195" s="2576"/>
      <c r="G4195" s="2576"/>
      <c r="H4195" s="2577"/>
      <c r="I4195" s="387"/>
      <c r="J4195" s="388"/>
      <c r="K4195" s="388"/>
      <c r="L4195" s="388"/>
      <c r="M4195" s="388"/>
      <c r="N4195" s="388"/>
      <c r="O4195" s="388"/>
      <c r="P4195" s="388"/>
      <c r="Q4195" s="388"/>
      <c r="R4195" s="388"/>
      <c r="S4195" s="388"/>
      <c r="T4195" s="388"/>
      <c r="U4195" s="388"/>
      <c r="V4195" s="388"/>
      <c r="W4195" s="388"/>
      <c r="X4195" s="388"/>
      <c r="Y4195" s="389"/>
      <c r="Z4195" s="388"/>
      <c r="AA4195" s="388"/>
      <c r="AB4195" s="390"/>
    </row>
    <row r="4196" spans="1:28">
      <c r="A4196" s="391"/>
      <c r="B4196" s="392"/>
      <c r="C4196" s="393" t="s">
        <v>118</v>
      </c>
      <c r="D4196" s="2578">
        <f>VLOOKUP(D4195,'Detail Balok'!$C$10:$AU$140,2,FALSE)</f>
        <v>200</v>
      </c>
      <c r="E4196" s="2579"/>
      <c r="F4196" s="388" t="s">
        <v>125</v>
      </c>
      <c r="G4196" s="2579">
        <f>VLOOKUP(D4195,'Detail Balok'!$C$10:$AU$140,3,FALSE)</f>
        <v>400</v>
      </c>
      <c r="H4196" s="2580"/>
      <c r="I4196" s="388"/>
      <c r="J4196" s="396"/>
      <c r="K4196" s="396"/>
      <c r="L4196" s="396"/>
      <c r="M4196" s="396"/>
      <c r="N4196" s="396"/>
      <c r="O4196" s="396"/>
      <c r="P4196" s="396"/>
      <c r="Q4196" s="396"/>
      <c r="R4196" s="396"/>
      <c r="S4196" s="396"/>
      <c r="T4196" s="396"/>
      <c r="U4196" s="388"/>
      <c r="V4196" s="396"/>
      <c r="W4196" s="388"/>
      <c r="X4196" s="396"/>
      <c r="Y4196" s="389"/>
      <c r="Z4196" s="396"/>
      <c r="AA4196" s="388"/>
      <c r="AB4196" s="390"/>
    </row>
    <row r="4197" spans="1:28">
      <c r="A4197" s="391"/>
      <c r="B4197" s="392"/>
      <c r="C4197" s="393" t="s">
        <v>198</v>
      </c>
      <c r="D4197" s="2562">
        <f>VLOOKUP(C4195,'Data Panjang Balok'!$C$9:$N$254,4,FALSE)</f>
        <v>2755</v>
      </c>
      <c r="E4197" s="2563"/>
      <c r="F4197" s="2563"/>
      <c r="G4197" s="2563"/>
      <c r="H4197" s="2564"/>
      <c r="I4197" s="397"/>
      <c r="J4197" s="396"/>
      <c r="K4197" s="396"/>
      <c r="L4197" s="396"/>
      <c r="M4197" s="396"/>
      <c r="N4197" s="396"/>
      <c r="O4197" s="396"/>
      <c r="P4197" s="396"/>
      <c r="Q4197" s="396"/>
      <c r="R4197" s="396"/>
      <c r="S4197" s="396"/>
      <c r="T4197" s="396"/>
      <c r="U4197" s="388"/>
      <c r="V4197" s="396"/>
      <c r="W4197" s="388"/>
      <c r="X4197" s="396"/>
      <c r="Y4197" s="389"/>
      <c r="Z4197" s="396"/>
      <c r="AA4197" s="388"/>
      <c r="AB4197" s="390"/>
    </row>
    <row r="4198" spans="1:28">
      <c r="A4198" s="391"/>
      <c r="B4198" s="392"/>
      <c r="C4198" s="393" t="s">
        <v>199</v>
      </c>
      <c r="D4198" s="2562">
        <f>VLOOKUP(C4195,'Data Panjang Balok'!$C$9:$N$254,7,FALSE)</f>
        <v>2755</v>
      </c>
      <c r="E4198" s="2563"/>
      <c r="F4198" s="2563"/>
      <c r="G4198" s="2563"/>
      <c r="H4198" s="2564"/>
      <c r="I4198" s="397"/>
      <c r="J4198" s="396"/>
      <c r="K4198" s="396"/>
      <c r="L4198" s="396"/>
      <c r="M4198" s="396"/>
      <c r="N4198" s="396"/>
      <c r="O4198" s="396"/>
      <c r="P4198" s="396"/>
      <c r="Q4198" s="396"/>
      <c r="R4198" s="396"/>
      <c r="S4198" s="396"/>
      <c r="T4198" s="396"/>
      <c r="U4198" s="388"/>
      <c r="V4198" s="396"/>
      <c r="W4198" s="388"/>
      <c r="X4198" s="396"/>
      <c r="Y4198" s="389"/>
      <c r="Z4198" s="396"/>
      <c r="AA4198" s="388"/>
      <c r="AB4198" s="390"/>
    </row>
    <row r="4199" spans="1:28">
      <c r="A4199" s="391"/>
      <c r="B4199" s="392"/>
      <c r="C4199" s="393" t="s">
        <v>200</v>
      </c>
      <c r="D4199" s="2562">
        <f>VLOOKUP(C4195,'Data Panjang Balok'!$C$9:$N$254,9,FALSE)</f>
        <v>0</v>
      </c>
      <c r="E4199" s="2563"/>
      <c r="F4199" s="2563"/>
      <c r="G4199" s="2563"/>
      <c r="H4199" s="2564"/>
      <c r="I4199" s="397"/>
      <c r="J4199" s="396"/>
      <c r="K4199" s="396"/>
      <c r="L4199" s="396"/>
      <c r="M4199" s="396"/>
      <c r="N4199" s="396"/>
      <c r="O4199" s="396"/>
      <c r="P4199" s="396"/>
      <c r="Q4199" s="396"/>
      <c r="R4199" s="396"/>
      <c r="S4199" s="396"/>
      <c r="T4199" s="396"/>
      <c r="U4199" s="388"/>
      <c r="V4199" s="396"/>
      <c r="W4199" s="388"/>
      <c r="X4199" s="396"/>
      <c r="Y4199" s="389"/>
      <c r="Z4199" s="396"/>
      <c r="AA4199" s="388"/>
      <c r="AB4199" s="390"/>
    </row>
    <row r="4200" spans="1:28">
      <c r="A4200" s="391"/>
      <c r="B4200" s="392"/>
      <c r="C4200" s="393" t="s">
        <v>201</v>
      </c>
      <c r="D4200" s="2562">
        <f>VLOOKUP(C4195,'Data Panjang Balok'!$C$9:$N$254,10,FALSE)</f>
        <v>0</v>
      </c>
      <c r="E4200" s="2563"/>
      <c r="F4200" s="2563"/>
      <c r="G4200" s="2563"/>
      <c r="H4200" s="2564"/>
      <c r="I4200" s="397"/>
      <c r="J4200" s="396"/>
      <c r="K4200" s="396"/>
      <c r="L4200" s="396"/>
      <c r="M4200" s="396"/>
      <c r="N4200" s="396"/>
      <c r="O4200" s="396"/>
      <c r="P4200" s="396"/>
      <c r="Q4200" s="396"/>
      <c r="R4200" s="396"/>
      <c r="S4200" s="396"/>
      <c r="T4200" s="396"/>
      <c r="U4200" s="388"/>
      <c r="V4200" s="396"/>
      <c r="W4200" s="388"/>
      <c r="X4200" s="396"/>
      <c r="Y4200" s="389"/>
      <c r="Z4200" s="396"/>
      <c r="AA4200" s="388"/>
      <c r="AB4200" s="390"/>
    </row>
    <row r="4201" spans="1:28">
      <c r="A4201" s="391"/>
      <c r="B4201" s="392"/>
      <c r="C4201" s="393" t="s">
        <v>48</v>
      </c>
      <c r="D4201" s="2562">
        <f>VLOOKUP(C4195,'Data Panjang Balok'!$C$9:$N$254,3,FALSE)</f>
        <v>1</v>
      </c>
      <c r="E4201" s="2563"/>
      <c r="F4201" s="2563"/>
      <c r="G4201" s="2563"/>
      <c r="H4201" s="2564"/>
      <c r="I4201" s="397"/>
      <c r="J4201" s="396"/>
      <c r="K4201" s="396"/>
      <c r="L4201" s="396"/>
      <c r="M4201" s="396"/>
      <c r="N4201" s="396"/>
      <c r="O4201" s="396"/>
      <c r="P4201" s="396"/>
      <c r="Q4201" s="396"/>
      <c r="R4201" s="396"/>
      <c r="S4201" s="396"/>
      <c r="T4201" s="396"/>
      <c r="U4201" s="388"/>
      <c r="V4201" s="396"/>
      <c r="W4201" s="388"/>
      <c r="X4201" s="396"/>
      <c r="Y4201" s="389"/>
      <c r="Z4201" s="396"/>
      <c r="AA4201" s="388"/>
      <c r="AB4201" s="390"/>
    </row>
    <row r="4202" spans="1:28">
      <c r="A4202" s="384" t="str">
        <f t="shared" ref="A4202:B4202" si="13536">A4195</f>
        <v>Lantai 2</v>
      </c>
      <c r="B4202" s="385">
        <f t="shared" si="13536"/>
        <v>53</v>
      </c>
      <c r="C4202" s="393" t="s">
        <v>202</v>
      </c>
      <c r="D4202" s="398">
        <f>VLOOKUP(D4195,'Detail Balok'!$C$10:$AU$140,4,FALSE)</f>
        <v>3</v>
      </c>
      <c r="E4202" s="388" t="s">
        <v>16</v>
      </c>
      <c r="F4202" s="388">
        <f>VLOOKUP(D4195,'Detail Balok'!$C$10:$AU$140,6,FALSE)</f>
        <v>13</v>
      </c>
      <c r="G4202" s="388"/>
      <c r="H4202" s="395"/>
      <c r="I4202" s="388" t="s">
        <v>203</v>
      </c>
      <c r="J4202" s="399">
        <f t="shared" ref="J4202" si="13537">+D4197/4/1000</f>
        <v>0.68874999999999997</v>
      </c>
      <c r="K4202" s="400" t="s">
        <v>204</v>
      </c>
      <c r="L4202" s="399">
        <f t="shared" ref="L4202" si="13538">MAX(VLOOKUP(F4202,N$6:P$15,3,FALSE)/1000,2/3*D4199/1000)+F$16*F4202/1000</f>
        <v>0.156</v>
      </c>
      <c r="M4202" s="399" t="s">
        <v>176</v>
      </c>
      <c r="N4202" s="399">
        <f t="shared" ref="N4202:N4204" si="13539">J4202+L4202</f>
        <v>0.84475</v>
      </c>
      <c r="O4202" s="399" t="s">
        <v>204</v>
      </c>
      <c r="P4202" s="389">
        <f t="shared" ref="P4202" si="13540">D4202-D4203</f>
        <v>0</v>
      </c>
      <c r="Q4202" s="399" t="s">
        <v>125</v>
      </c>
      <c r="R4202" s="399">
        <f t="shared" ref="R4202" si="13541">IF(P4202&gt;0,$F$18*F4202/1000,0)</f>
        <v>0</v>
      </c>
      <c r="S4202" s="399" t="s">
        <v>205</v>
      </c>
      <c r="T4202" s="399" t="s">
        <v>125</v>
      </c>
      <c r="U4202" s="401">
        <f t="shared" ref="U4202:U4204" si="13542">0.006165*F4202^2</f>
        <v>1.041885</v>
      </c>
      <c r="V4202" s="399"/>
      <c r="W4202" s="399"/>
      <c r="X4202" s="399" t="s">
        <v>125</v>
      </c>
      <c r="Y4202" s="389">
        <f t="shared" ref="Y4202" si="13543">D4201</f>
        <v>1</v>
      </c>
      <c r="Z4202" s="400" t="s">
        <v>176</v>
      </c>
      <c r="AA4202" s="402">
        <f t="shared" ref="AA4202" si="13544">IF(AA4205=0,(D4202*N4202+P4202*R4202)*U4202*Y4202,0)</f>
        <v>0</v>
      </c>
      <c r="AB4202" s="403"/>
    </row>
    <row r="4203" spans="1:28">
      <c r="A4203" s="384" t="str">
        <f t="shared" ref="A4203:B4203" si="13545">A4195</f>
        <v>Lantai 2</v>
      </c>
      <c r="B4203" s="385">
        <f t="shared" si="13545"/>
        <v>53</v>
      </c>
      <c r="C4203" s="393" t="s">
        <v>206</v>
      </c>
      <c r="D4203" s="398">
        <f>VLOOKUP(D4195,'Detail Balok'!$C$10:$AU$140,7,FALSE)</f>
        <v>3</v>
      </c>
      <c r="E4203" s="388" t="s">
        <v>16</v>
      </c>
      <c r="F4203" s="388">
        <f>VLOOKUP(D4195,'Detail Balok'!$C$10:$AU$140,9,FALSE)</f>
        <v>13</v>
      </c>
      <c r="G4203" s="388"/>
      <c r="H4203" s="395"/>
      <c r="I4203" s="388" t="s">
        <v>203</v>
      </c>
      <c r="J4203" s="399">
        <f t="shared" ref="J4203" si="13546">+D4197/2/1000</f>
        <v>1.3774999999999999</v>
      </c>
      <c r="K4203" s="400" t="s">
        <v>204</v>
      </c>
      <c r="L4203" s="399"/>
      <c r="M4203" s="399" t="s">
        <v>176</v>
      </c>
      <c r="N4203" s="399">
        <f t="shared" si="13539"/>
        <v>1.3774999999999999</v>
      </c>
      <c r="O4203" s="399" t="s">
        <v>204</v>
      </c>
      <c r="P4203" s="389">
        <f t="shared" ref="P4203" si="13547">MAX(D4203-D4202,D4203-D4204)</f>
        <v>0</v>
      </c>
      <c r="Q4203" s="399" t="s">
        <v>125</v>
      </c>
      <c r="R4203" s="399">
        <f t="shared" ref="R4203" si="13548">IF(P4203&gt;0,2*(1-2*$F$19-1/2)*D4198/1000,0)</f>
        <v>0</v>
      </c>
      <c r="S4203" s="399" t="s">
        <v>205</v>
      </c>
      <c r="T4203" s="399" t="s">
        <v>125</v>
      </c>
      <c r="U4203" s="401">
        <f t="shared" si="13542"/>
        <v>1.041885</v>
      </c>
      <c r="V4203" s="399"/>
      <c r="W4203" s="399"/>
      <c r="X4203" s="399" t="s">
        <v>125</v>
      </c>
      <c r="Y4203" s="389">
        <f t="shared" ref="Y4203" si="13549">D4201</f>
        <v>1</v>
      </c>
      <c r="Z4203" s="400" t="s">
        <v>176</v>
      </c>
      <c r="AA4203" s="402">
        <f t="shared" ref="AA4203" si="13550">IF(AA4205=0,(D4203*N4203+P4203*R4203)*U4203*Y4203,0)</f>
        <v>0</v>
      </c>
      <c r="AB4203" s="403"/>
    </row>
    <row r="4204" spans="1:28">
      <c r="A4204" s="384" t="str">
        <f t="shared" ref="A4204:B4204" si="13551">A4195</f>
        <v>Lantai 2</v>
      </c>
      <c r="B4204" s="385">
        <f t="shared" si="13551"/>
        <v>53</v>
      </c>
      <c r="C4204" s="393" t="s">
        <v>202</v>
      </c>
      <c r="D4204" s="398">
        <f>VLOOKUP(D4195,'Detail Balok'!$C$10:$AU$140,10,FALSE)</f>
        <v>3</v>
      </c>
      <c r="E4204" s="388" t="s">
        <v>16</v>
      </c>
      <c r="F4204" s="388">
        <f>VLOOKUP(D4195,'Detail Balok'!$C$10:$AU$140,12,FALSE)</f>
        <v>13</v>
      </c>
      <c r="G4204" s="388"/>
      <c r="H4204" s="395"/>
      <c r="I4204" s="388" t="s">
        <v>203</v>
      </c>
      <c r="J4204" s="399">
        <f t="shared" ref="J4204" si="13552">+D4197/4/1000</f>
        <v>0.68874999999999997</v>
      </c>
      <c r="K4204" s="400" t="s">
        <v>204</v>
      </c>
      <c r="L4204" s="399">
        <f t="shared" ref="L4204" si="13553">MAX(VLOOKUP(F4204,N$6:P$15,3,FALSE)/1000,2/3*D4199/1000)+F$16*F4204/1000</f>
        <v>0.156</v>
      </c>
      <c r="M4204" s="399" t="s">
        <v>176</v>
      </c>
      <c r="N4204" s="399">
        <f t="shared" si="13539"/>
        <v>0.84475</v>
      </c>
      <c r="O4204" s="399" t="s">
        <v>204</v>
      </c>
      <c r="P4204" s="389">
        <f t="shared" ref="P4204" si="13554">D4204-D4203</f>
        <v>0</v>
      </c>
      <c r="Q4204" s="399" t="s">
        <v>125</v>
      </c>
      <c r="R4204" s="399">
        <f t="shared" ref="R4204" si="13555">IF(P4204&gt;0,$F$18*F4204/1000,0)</f>
        <v>0</v>
      </c>
      <c r="S4204" s="399" t="s">
        <v>205</v>
      </c>
      <c r="T4204" s="399" t="s">
        <v>125</v>
      </c>
      <c r="U4204" s="401">
        <f t="shared" si="13542"/>
        <v>1.041885</v>
      </c>
      <c r="V4204" s="399"/>
      <c r="W4204" s="399"/>
      <c r="X4204" s="399" t="s">
        <v>125</v>
      </c>
      <c r="Y4204" s="389">
        <f t="shared" ref="Y4204" si="13556">D4201</f>
        <v>1</v>
      </c>
      <c r="Z4204" s="400" t="s">
        <v>176</v>
      </c>
      <c r="AA4204" s="402">
        <f t="shared" ref="AA4204" si="13557">IF(AA4205=0,(D4204*N4204+P4204*R4204)*U4204*Y4204,0)</f>
        <v>0</v>
      </c>
      <c r="AB4204" s="403"/>
    </row>
    <row r="4205" spans="1:28">
      <c r="A4205" s="384" t="str">
        <f t="shared" ref="A4205:B4205" si="13558">A4195</f>
        <v>Lantai 2</v>
      </c>
      <c r="B4205" s="385">
        <f t="shared" si="13558"/>
        <v>53</v>
      </c>
      <c r="C4205" s="393"/>
      <c r="D4205" s="398">
        <f t="shared" si="13454"/>
        <v>3</v>
      </c>
      <c r="E4205" s="388" t="s">
        <v>16</v>
      </c>
      <c r="F4205" s="388">
        <f t="shared" si="13455"/>
        <v>13</v>
      </c>
      <c r="G4205" s="388"/>
      <c r="H4205" s="395"/>
      <c r="I4205" s="388"/>
      <c r="J4205" s="396"/>
      <c r="K4205" s="396"/>
      <c r="L4205" s="404" t="s">
        <v>207</v>
      </c>
      <c r="M4205" s="399" t="s">
        <v>176</v>
      </c>
      <c r="N4205" s="399">
        <f t="shared" ref="N4205" si="13559">IF(AND(D4202=D4203,D4202=D4204,D4203=D4204,F4202=F4203,F4202=F4204,F4203=F4204),SUM(N4202:N4204),0)</f>
        <v>3.0669999999999997</v>
      </c>
      <c r="O4205" s="399" t="s">
        <v>204</v>
      </c>
      <c r="P4205" s="389">
        <f t="shared" ref="P4205" si="13560">IF(N4205&gt;12,ROUNDDOWN(N4205/12,0),0)</f>
        <v>0</v>
      </c>
      <c r="Q4205" s="399" t="s">
        <v>125</v>
      </c>
      <c r="R4205" s="399">
        <f t="shared" ref="R4205" si="13561">IF(P4205&gt;0,MAX(VLOOKUP(F4205,$D$6:$G$15,3,FALSE),600),0)/1000</f>
        <v>0</v>
      </c>
      <c r="S4205" s="396"/>
      <c r="T4205" s="396" t="s">
        <v>125</v>
      </c>
      <c r="U4205" s="401">
        <f t="shared" si="13459"/>
        <v>1.041885</v>
      </c>
      <c r="V4205" s="396" t="s">
        <v>125</v>
      </c>
      <c r="W4205" s="399">
        <f t="shared" ref="W4205" si="13562">D4205</f>
        <v>3</v>
      </c>
      <c r="X4205" s="399" t="s">
        <v>125</v>
      </c>
      <c r="Y4205" s="389">
        <f t="shared" si="13461"/>
        <v>1</v>
      </c>
      <c r="Z4205" s="400" t="s">
        <v>176</v>
      </c>
      <c r="AA4205" s="402">
        <f t="shared" ref="AA4205" si="13563">(N4205+P4205*R4205/1000)*U4205*W4205*Y4205</f>
        <v>9.5863838849999983</v>
      </c>
      <c r="AB4205" s="390"/>
    </row>
    <row r="4206" spans="1:28">
      <c r="A4206" s="384"/>
      <c r="B4206" s="385"/>
      <c r="C4206" s="393"/>
      <c r="D4206" s="398"/>
      <c r="E4206" s="388"/>
      <c r="F4206" s="388"/>
      <c r="G4206" s="388"/>
      <c r="H4206" s="395"/>
      <c r="I4206" s="388"/>
      <c r="J4206" s="396"/>
      <c r="K4206" s="396"/>
      <c r="L4206" s="404"/>
      <c r="M4206" s="399"/>
      <c r="N4206" s="399"/>
      <c r="O4206" s="396"/>
      <c r="P4206" s="389"/>
      <c r="Q4206" s="396"/>
      <c r="R4206" s="396"/>
      <c r="S4206" s="396"/>
      <c r="T4206" s="396"/>
      <c r="U4206" s="401"/>
      <c r="V4206" s="396"/>
      <c r="W4206" s="399"/>
      <c r="X4206" s="396"/>
      <c r="Y4206" s="389"/>
      <c r="Z4206" s="396"/>
      <c r="AA4206" s="388"/>
      <c r="AB4206" s="390"/>
    </row>
    <row r="4207" spans="1:28">
      <c r="A4207" s="384" t="str">
        <f t="shared" ref="A4207:B4207" si="13564">A4195</f>
        <v>Lantai 2</v>
      </c>
      <c r="B4207" s="385">
        <f t="shared" si="13564"/>
        <v>53</v>
      </c>
      <c r="C4207" s="393" t="s">
        <v>208</v>
      </c>
      <c r="D4207" s="398">
        <f>VLOOKUP(D4195,'Detail Balok'!$C$10:$AU$140,13,FALSE)</f>
        <v>0</v>
      </c>
      <c r="E4207" s="388" t="s">
        <v>16</v>
      </c>
      <c r="F4207" s="388">
        <f>VLOOKUP(D4195,'Detail Balok'!$C$10:$AU$140,15,FALSE)</f>
        <v>8</v>
      </c>
      <c r="G4207" s="388"/>
      <c r="H4207" s="395"/>
      <c r="I4207" s="388"/>
      <c r="J4207" s="399">
        <f t="shared" ref="J4207" si="13565">+D4197/1000</f>
        <v>2.7549999999999999</v>
      </c>
      <c r="K4207" s="400" t="s">
        <v>204</v>
      </c>
      <c r="L4207" s="399">
        <f t="shared" ref="L4207" si="13566">2*$F$16*F4207/1000</f>
        <v>0.192</v>
      </c>
      <c r="M4207" s="399" t="s">
        <v>176</v>
      </c>
      <c r="N4207" s="399">
        <f t="shared" ref="N4207" si="13567">J4207+L4207</f>
        <v>2.9470000000000001</v>
      </c>
      <c r="O4207" s="399" t="s">
        <v>204</v>
      </c>
      <c r="P4207" s="389">
        <f t="shared" ref="P4207" si="13568">IF(N4207&gt;12,ROUNDDOWN(N4207/12,0),0)</f>
        <v>0</v>
      </c>
      <c r="Q4207" s="399" t="s">
        <v>125</v>
      </c>
      <c r="R4207" s="399">
        <f t="shared" ref="R4207" si="13569">IF(P4207&gt;0,MAX(VLOOKUP(F4207,$D$6:$G$15,3,FALSE),600),0)/1000</f>
        <v>0</v>
      </c>
      <c r="S4207" s="399"/>
      <c r="T4207" s="399" t="s">
        <v>125</v>
      </c>
      <c r="U4207" s="401">
        <f t="shared" ref="U4207" si="13570">0.006165*F4207^2</f>
        <v>0.39456000000000002</v>
      </c>
      <c r="V4207" s="399" t="s">
        <v>125</v>
      </c>
      <c r="W4207" s="399">
        <f t="shared" ref="W4207" si="13571">+D4207</f>
        <v>0</v>
      </c>
      <c r="X4207" s="399" t="s">
        <v>125</v>
      </c>
      <c r="Y4207" s="389">
        <f t="shared" ref="Y4207" si="13572">D4201</f>
        <v>1</v>
      </c>
      <c r="Z4207" s="400" t="s">
        <v>176</v>
      </c>
      <c r="AA4207" s="402">
        <f t="shared" ref="AA4207" si="13573">(N4207+P4207*R4207/1000)*U4207*W4207*Y4207</f>
        <v>0</v>
      </c>
      <c r="AB4207" s="403"/>
    </row>
    <row r="4208" spans="1:28">
      <c r="A4208" s="384"/>
      <c r="B4208" s="385"/>
      <c r="C4208" s="393"/>
      <c r="D4208" s="398"/>
      <c r="E4208" s="388"/>
      <c r="F4208" s="388"/>
      <c r="G4208" s="388"/>
      <c r="H4208" s="395"/>
      <c r="I4208" s="388"/>
      <c r="J4208" s="399"/>
      <c r="K4208" s="400"/>
      <c r="L4208" s="399"/>
      <c r="M4208" s="399"/>
      <c r="N4208" s="399"/>
      <c r="O4208" s="399"/>
      <c r="P4208" s="389"/>
      <c r="Q4208" s="399"/>
      <c r="R4208" s="399"/>
      <c r="S4208" s="399"/>
      <c r="T4208" s="399"/>
      <c r="U4208" s="401"/>
      <c r="V4208" s="399"/>
      <c r="W4208" s="399"/>
      <c r="X4208" s="399"/>
      <c r="Y4208" s="389"/>
      <c r="Z4208" s="400"/>
      <c r="AA4208" s="402"/>
      <c r="AB4208" s="403"/>
    </row>
    <row r="4209" spans="1:28">
      <c r="A4209" s="384"/>
      <c r="B4209" s="385"/>
      <c r="C4209" s="393"/>
      <c r="D4209" s="398"/>
      <c r="E4209" s="388"/>
      <c r="F4209" s="388"/>
      <c r="G4209" s="388"/>
      <c r="H4209" s="395"/>
      <c r="I4209" s="388"/>
      <c r="J4209" s="396"/>
      <c r="K4209" s="396"/>
      <c r="L4209" s="396"/>
      <c r="M4209" s="396"/>
      <c r="N4209" s="396"/>
      <c r="O4209" s="396"/>
      <c r="P4209" s="389"/>
      <c r="Q4209" s="396"/>
      <c r="R4209" s="396"/>
      <c r="S4209" s="396"/>
      <c r="T4209" s="396"/>
      <c r="U4209" s="401"/>
      <c r="V4209" s="396"/>
      <c r="W4209" s="399"/>
      <c r="X4209" s="396"/>
      <c r="Y4209" s="389"/>
      <c r="Z4209" s="396"/>
      <c r="AA4209" s="388"/>
      <c r="AB4209" s="390"/>
    </row>
    <row r="4210" spans="1:28">
      <c r="A4210" s="384" t="str">
        <f t="shared" ref="A4210:B4210" si="13574">A4195</f>
        <v>Lantai 2</v>
      </c>
      <c r="B4210" s="385">
        <f t="shared" si="13574"/>
        <v>53</v>
      </c>
      <c r="C4210" s="393" t="s">
        <v>209</v>
      </c>
      <c r="D4210" s="398">
        <f>VLOOKUP(D4195,'Detail Balok'!$C$10:$AU$140,22,FALSE)</f>
        <v>3</v>
      </c>
      <c r="E4210" s="388" t="s">
        <v>16</v>
      </c>
      <c r="F4210" s="388">
        <f>VLOOKUP(D4195,'Detail Balok'!$C$10:$AU$140,24,FALSE)</f>
        <v>13</v>
      </c>
      <c r="G4210" s="388"/>
      <c r="H4210" s="395"/>
      <c r="I4210" s="388" t="s">
        <v>203</v>
      </c>
      <c r="J4210" s="399">
        <f t="shared" si="13474"/>
        <v>0.68874999999999997</v>
      </c>
      <c r="K4210" s="400" t="s">
        <v>204</v>
      </c>
      <c r="L4210" s="399">
        <f t="shared" ref="L4210" si="13575">MAX(VLOOKUP(F4210,N$6:P$15,3,FALSE)/1000,2/3*D4200/1000)+F$16*F4210/1000</f>
        <v>0.156</v>
      </c>
      <c r="M4210" s="399" t="s">
        <v>176</v>
      </c>
      <c r="N4210" s="399">
        <f t="shared" ref="N4210:N4212" si="13576">J4210+L4210</f>
        <v>0.84475</v>
      </c>
      <c r="O4210" s="399" t="s">
        <v>204</v>
      </c>
      <c r="P4210" s="389">
        <f t="shared" ref="P4210" si="13577">D4210-D4211</f>
        <v>0</v>
      </c>
      <c r="Q4210" s="399" t="s">
        <v>125</v>
      </c>
      <c r="R4210" s="399">
        <f t="shared" ref="R4210" si="13578">IF(P4210&gt;0,$F$18*F4210/1000,0)</f>
        <v>0</v>
      </c>
      <c r="S4210" s="399" t="s">
        <v>205</v>
      </c>
      <c r="T4210" s="399" t="s">
        <v>125</v>
      </c>
      <c r="U4210" s="401">
        <f t="shared" ref="U4210:U4212" si="13579">0.006165*F4210^2</f>
        <v>1.041885</v>
      </c>
      <c r="V4210" s="399"/>
      <c r="W4210" s="399"/>
      <c r="X4210" s="399" t="s">
        <v>125</v>
      </c>
      <c r="Y4210" s="389">
        <f t="shared" ref="Y4210" si="13580">D4201</f>
        <v>1</v>
      </c>
      <c r="Z4210" s="400" t="s">
        <v>176</v>
      </c>
      <c r="AA4210" s="402">
        <f t="shared" ref="AA4210" si="13581">IF(AA4213=0,(D4210*N4210+P4210*R4210)*U4210*Y4210,0)</f>
        <v>0</v>
      </c>
      <c r="AB4210" s="403"/>
    </row>
    <row r="4211" spans="1:28">
      <c r="A4211" s="384" t="str">
        <f t="shared" ref="A4211:B4211" si="13582">A4195</f>
        <v>Lantai 2</v>
      </c>
      <c r="B4211" s="385">
        <f t="shared" si="13582"/>
        <v>53</v>
      </c>
      <c r="C4211" s="393" t="s">
        <v>210</v>
      </c>
      <c r="D4211" s="398">
        <f>VLOOKUP(D4195,'Detail Balok'!$C$10:$AU$140,25,FALSE)</f>
        <v>3</v>
      </c>
      <c r="E4211" s="388" t="s">
        <v>16</v>
      </c>
      <c r="F4211" s="388">
        <f>VLOOKUP(D4195,'Detail Balok'!$C$10:$AU$140,27,FALSE)</f>
        <v>13</v>
      </c>
      <c r="G4211" s="388"/>
      <c r="H4211" s="395"/>
      <c r="I4211" s="388" t="s">
        <v>203</v>
      </c>
      <c r="J4211" s="399">
        <f t="shared" si="13474"/>
        <v>1.3774999999999999</v>
      </c>
      <c r="K4211" s="400" t="s">
        <v>204</v>
      </c>
      <c r="L4211" s="399"/>
      <c r="M4211" s="399" t="s">
        <v>176</v>
      </c>
      <c r="N4211" s="399">
        <f t="shared" si="13576"/>
        <v>1.3774999999999999</v>
      </c>
      <c r="O4211" s="399" t="s">
        <v>204</v>
      </c>
      <c r="P4211" s="389">
        <f t="shared" ref="P4211" si="13583">MAX(D4211-D4210,D4211-D4212)</f>
        <v>0</v>
      </c>
      <c r="Q4211" s="399" t="s">
        <v>125</v>
      </c>
      <c r="R4211" s="399">
        <f t="shared" ref="R4211" si="13584">IF(P4211&gt;0,2*(1-2*$F$19-1/2)*D4198/1000,0)</f>
        <v>0</v>
      </c>
      <c r="S4211" s="399" t="s">
        <v>205</v>
      </c>
      <c r="T4211" s="399" t="s">
        <v>125</v>
      </c>
      <c r="U4211" s="401">
        <f t="shared" si="13579"/>
        <v>1.041885</v>
      </c>
      <c r="V4211" s="399"/>
      <c r="W4211" s="399"/>
      <c r="X4211" s="399" t="s">
        <v>125</v>
      </c>
      <c r="Y4211" s="389">
        <f t="shared" ref="Y4211" si="13585">D4201</f>
        <v>1</v>
      </c>
      <c r="Z4211" s="400" t="s">
        <v>176</v>
      </c>
      <c r="AA4211" s="402">
        <f t="shared" ref="AA4211" si="13586">IF(AA4213=0,(D4211*N4211+P4211*R4211)*U4211*Y4211,0)</f>
        <v>0</v>
      </c>
      <c r="AB4211" s="403"/>
    </row>
    <row r="4212" spans="1:28">
      <c r="A4212" s="384" t="str">
        <f t="shared" ref="A4212:B4212" si="13587">A4195</f>
        <v>Lantai 2</v>
      </c>
      <c r="B4212" s="385">
        <f t="shared" si="13587"/>
        <v>53</v>
      </c>
      <c r="C4212" s="393" t="s">
        <v>209</v>
      </c>
      <c r="D4212" s="398">
        <f>VLOOKUP(D4195,'Detail Balok'!$C$10:$AU$140,28,FALSE)</f>
        <v>3</v>
      </c>
      <c r="E4212" s="388" t="s">
        <v>16</v>
      </c>
      <c r="F4212" s="388">
        <f>VLOOKUP(D4195,'Detail Balok'!$C$10:$AU$140,30,FALSE)</f>
        <v>13</v>
      </c>
      <c r="G4212" s="388"/>
      <c r="H4212" s="395"/>
      <c r="I4212" s="388" t="s">
        <v>203</v>
      </c>
      <c r="J4212" s="399">
        <f t="shared" si="13474"/>
        <v>0.68874999999999997</v>
      </c>
      <c r="K4212" s="400" t="s">
        <v>204</v>
      </c>
      <c r="L4212" s="399">
        <f t="shared" ref="L4212" si="13588">MAX(VLOOKUP(F4212,N$6:P$15,3,FALSE)/1000,2/3*D4200/1000)+F$16*F4212/1000</f>
        <v>0.156</v>
      </c>
      <c r="M4212" s="399" t="s">
        <v>176</v>
      </c>
      <c r="N4212" s="399">
        <f t="shared" si="13576"/>
        <v>0.84475</v>
      </c>
      <c r="O4212" s="399" t="s">
        <v>204</v>
      </c>
      <c r="P4212" s="389">
        <f t="shared" ref="P4212" si="13589">D4212-D4211</f>
        <v>0</v>
      </c>
      <c r="Q4212" s="399" t="s">
        <v>125</v>
      </c>
      <c r="R4212" s="399">
        <f t="shared" ref="R4212" si="13590">IF(P4212&gt;0,$F$18*F4212/1000,0)</f>
        <v>0</v>
      </c>
      <c r="S4212" s="399" t="s">
        <v>205</v>
      </c>
      <c r="T4212" s="399" t="s">
        <v>125</v>
      </c>
      <c r="U4212" s="401">
        <f t="shared" si="13579"/>
        <v>1.041885</v>
      </c>
      <c r="V4212" s="399"/>
      <c r="W4212" s="399"/>
      <c r="X4212" s="399" t="s">
        <v>125</v>
      </c>
      <c r="Y4212" s="389">
        <f t="shared" ref="Y4212" si="13591">D4201</f>
        <v>1</v>
      </c>
      <c r="Z4212" s="400" t="s">
        <v>176</v>
      </c>
      <c r="AA4212" s="402">
        <f t="shared" ref="AA4212" si="13592">IF(AA4213=0,(D4212*N4212+P4212*R4212)*U4212*Y4212,0)</f>
        <v>0</v>
      </c>
      <c r="AB4212" s="403"/>
    </row>
    <row r="4213" spans="1:28">
      <c r="A4213" s="384" t="str">
        <f t="shared" ref="A4213:B4213" si="13593">A4195</f>
        <v>Lantai 2</v>
      </c>
      <c r="B4213" s="385">
        <f t="shared" si="13593"/>
        <v>53</v>
      </c>
      <c r="C4213" s="393"/>
      <c r="D4213" s="398">
        <f t="shared" si="13494"/>
        <v>3</v>
      </c>
      <c r="E4213" s="388" t="s">
        <v>16</v>
      </c>
      <c r="F4213" s="388">
        <f t="shared" si="13495"/>
        <v>13</v>
      </c>
      <c r="G4213" s="388"/>
      <c r="H4213" s="395"/>
      <c r="I4213" s="388"/>
      <c r="J4213" s="396"/>
      <c r="K4213" s="396"/>
      <c r="L4213" s="404" t="s">
        <v>207</v>
      </c>
      <c r="M4213" s="399" t="s">
        <v>176</v>
      </c>
      <c r="N4213" s="399">
        <f t="shared" ref="N4213" si="13594">IF(AND(D4210=D4211,D4210=D4212,D4211=D4212,F4210=F4211,F4210=F4212,F4211=F4212),SUM(N4210:N4212),0)</f>
        <v>3.0669999999999997</v>
      </c>
      <c r="O4213" s="399" t="s">
        <v>204</v>
      </c>
      <c r="P4213" s="389">
        <f t="shared" ref="P4213" si="13595">IF(N4213&gt;12,ROUNDDOWN(N4213/12,0),0)</f>
        <v>0</v>
      </c>
      <c r="Q4213" s="399" t="s">
        <v>125</v>
      </c>
      <c r="R4213" s="399">
        <f t="shared" ref="R4213" si="13596">IF(P4213&gt;0,MAX(VLOOKUP(F4213,$D$6:$G$15,3,FALSE),600),0)/1000</f>
        <v>0</v>
      </c>
      <c r="S4213" s="396"/>
      <c r="T4213" s="396" t="s">
        <v>125</v>
      </c>
      <c r="U4213" s="401">
        <f t="shared" si="13499"/>
        <v>1.041885</v>
      </c>
      <c r="V4213" s="396" t="s">
        <v>125</v>
      </c>
      <c r="W4213" s="399">
        <f t="shared" ref="W4213" si="13597">D4213</f>
        <v>3</v>
      </c>
      <c r="X4213" s="399" t="s">
        <v>125</v>
      </c>
      <c r="Y4213" s="389">
        <f t="shared" si="13501"/>
        <v>1</v>
      </c>
      <c r="Z4213" s="400" t="s">
        <v>176</v>
      </c>
      <c r="AA4213" s="402">
        <f t="shared" ref="AA4213" si="13598">(N4213+P4213*R4213/1000)*U4213*W4213*Y4213</f>
        <v>9.5863838849999983</v>
      </c>
      <c r="AB4213" s="403"/>
    </row>
    <row r="4214" spans="1:28">
      <c r="A4214" s="384"/>
      <c r="B4214" s="385"/>
      <c r="C4214" s="393"/>
      <c r="D4214" s="394"/>
      <c r="E4214" s="388"/>
      <c r="F4214" s="388"/>
      <c r="G4214" s="388"/>
      <c r="H4214" s="395"/>
      <c r="I4214" s="388"/>
      <c r="J4214" s="399"/>
      <c r="K4214" s="396"/>
      <c r="L4214" s="396"/>
      <c r="M4214" s="396"/>
      <c r="N4214" s="396"/>
      <c r="O4214" s="396"/>
      <c r="P4214" s="389"/>
      <c r="Q4214" s="396"/>
      <c r="R4214" s="396"/>
      <c r="S4214" s="396"/>
      <c r="T4214" s="396"/>
      <c r="U4214" s="401"/>
      <c r="V4214" s="396"/>
      <c r="W4214" s="388"/>
      <c r="X4214" s="396"/>
      <c r="Y4214" s="389"/>
      <c r="Z4214" s="396"/>
      <c r="AA4214" s="388"/>
      <c r="AB4214" s="390"/>
    </row>
    <row r="4215" spans="1:28">
      <c r="A4215" s="384" t="str">
        <f t="shared" ref="A4215:B4215" si="13599">A4195</f>
        <v>Lantai 2</v>
      </c>
      <c r="B4215" s="385">
        <f t="shared" si="13599"/>
        <v>53</v>
      </c>
      <c r="C4215" s="393" t="s">
        <v>211</v>
      </c>
      <c r="D4215" s="398">
        <f>VLOOKUP(D4195,'Detail Balok'!$C$10:$AU$140,31,FALSE)</f>
        <v>0</v>
      </c>
      <c r="E4215" s="388" t="s">
        <v>16</v>
      </c>
      <c r="F4215" s="388">
        <f>VLOOKUP(D4195,'Detail Balok'!$C$10:$AU$140,33,FALSE)</f>
        <v>10</v>
      </c>
      <c r="G4215" s="405" t="s">
        <v>157</v>
      </c>
      <c r="H4215" s="395">
        <f>VLOOKUP(D4195,'Detail Balok'!$C$10:$AU$140,35,FALSE)</f>
        <v>100</v>
      </c>
      <c r="I4215" s="388"/>
      <c r="J4215" s="400">
        <f t="shared" ref="J4215" si="13600">(IF(D4215=0,(2*(D4196+G4196))-(F$5*8),IF(D4215=3,(2*(D4196+G4196))-(F$5*8)+(G4196-2*F$5),IF(D4215=4,(2*(D4196+G4196))-(F$5*8)+2*(G4196-2*F$5)))))/1000</f>
        <v>0.88</v>
      </c>
      <c r="K4215" s="400" t="s">
        <v>204</v>
      </c>
      <c r="L4215" s="399">
        <f t="shared" ref="L4215:L4217" si="13601">IF(D4215=0,2*MAX(6*F4215,75),(D4215-1)*2*MAX(6*F4215,75))/1000</f>
        <v>0.15</v>
      </c>
      <c r="M4215" s="399" t="s">
        <v>176</v>
      </c>
      <c r="N4215" s="399">
        <f t="shared" ref="N4215:N4217" si="13602">J4215+L4215</f>
        <v>1.03</v>
      </c>
      <c r="O4215" s="399"/>
      <c r="P4215" s="389"/>
      <c r="Q4215" s="399"/>
      <c r="R4215" s="399"/>
      <c r="S4215" s="399"/>
      <c r="T4215" s="399" t="s">
        <v>125</v>
      </c>
      <c r="U4215" s="401">
        <f t="shared" ref="U4215:U4217" si="13603">0.006165*F4215^2</f>
        <v>0.61650000000000005</v>
      </c>
      <c r="V4215" s="399" t="s">
        <v>125</v>
      </c>
      <c r="W4215" s="399">
        <f t="shared" ref="W4215" si="13604">IF(D4198&gt;4*G4196,ROUND(MAX(D4198/4,2*G4196)/H4215,0)+1,ROUND(D4198/H4215,0)+1)</f>
        <v>9</v>
      </c>
      <c r="X4215" s="399" t="s">
        <v>125</v>
      </c>
      <c r="Y4215" s="389">
        <f t="shared" ref="Y4215" si="13605">D4201</f>
        <v>1</v>
      </c>
      <c r="Z4215" s="400" t="s">
        <v>176</v>
      </c>
      <c r="AA4215" s="402">
        <f t="shared" ref="AA4215:AA4217" si="13606">N4215*U4215*W4215*Y4215</f>
        <v>5.7149550000000007</v>
      </c>
      <c r="AB4215" s="403"/>
    </row>
    <row r="4216" spans="1:28">
      <c r="A4216" s="384" t="str">
        <f t="shared" ref="A4216:B4216" si="13607">A4195</f>
        <v>Lantai 2</v>
      </c>
      <c r="B4216" s="385">
        <f t="shared" si="13607"/>
        <v>53</v>
      </c>
      <c r="C4216" s="393" t="s">
        <v>212</v>
      </c>
      <c r="D4216" s="398">
        <f>VLOOKUP(D4195,'Detail Balok'!$C$10:$AU$140,36,FALSE)</f>
        <v>0</v>
      </c>
      <c r="E4216" s="388" t="s">
        <v>16</v>
      </c>
      <c r="F4216" s="388">
        <f>VLOOKUP(D4195,'Detail Balok'!$C$10:$AU$140,38,FALSE)</f>
        <v>10</v>
      </c>
      <c r="G4216" s="405" t="s">
        <v>157</v>
      </c>
      <c r="H4216" s="395">
        <f>VLOOKUP(D4195,'Detail Balok'!$C$10:$AU$140,40,FALSE)</f>
        <v>200</v>
      </c>
      <c r="I4216" s="388"/>
      <c r="J4216" s="400">
        <f t="shared" ref="J4216" si="13608">(IF(D4216=0,(2*(D4196+G4196))-(F$5*8),IF(D4216=3,(2*(D4196+G4196))-(F$5*8)+(G4196-2*F$5),IF(D4216=4,(2*(D4196+G4196))-(F$5*8)+2*(G4196-2*F$5)))))/1000</f>
        <v>0.88</v>
      </c>
      <c r="K4216" s="400" t="s">
        <v>204</v>
      </c>
      <c r="L4216" s="399">
        <f t="shared" si="13601"/>
        <v>0.15</v>
      </c>
      <c r="M4216" s="399" t="s">
        <v>176</v>
      </c>
      <c r="N4216" s="399">
        <f t="shared" si="13602"/>
        <v>1.03</v>
      </c>
      <c r="O4216" s="399"/>
      <c r="P4216" s="389"/>
      <c r="Q4216" s="399"/>
      <c r="R4216" s="399"/>
      <c r="S4216" s="399"/>
      <c r="T4216" s="399" t="s">
        <v>125</v>
      </c>
      <c r="U4216" s="401">
        <f t="shared" si="13603"/>
        <v>0.61650000000000005</v>
      </c>
      <c r="V4216" s="399" t="s">
        <v>125</v>
      </c>
      <c r="W4216" s="399">
        <f t="shared" ref="W4216" si="13609">IF(D4198-MAX(D4198/4,2*G4196)*2&gt;0,ROUND((D4198-MAX(D4198/4,2*G4196)*2)/H4216,0),0)</f>
        <v>6</v>
      </c>
      <c r="X4216" s="399" t="s">
        <v>125</v>
      </c>
      <c r="Y4216" s="389">
        <f t="shared" ref="Y4216" si="13610">D4201</f>
        <v>1</v>
      </c>
      <c r="Z4216" s="400" t="s">
        <v>176</v>
      </c>
      <c r="AA4216" s="402">
        <f t="shared" si="13606"/>
        <v>3.8099700000000007</v>
      </c>
      <c r="AB4216" s="403"/>
    </row>
    <row r="4217" spans="1:28">
      <c r="A4217" s="384" t="str">
        <f t="shared" ref="A4217:B4217" si="13611">A4195</f>
        <v>Lantai 2</v>
      </c>
      <c r="B4217" s="385">
        <f t="shared" si="13611"/>
        <v>53</v>
      </c>
      <c r="C4217" s="393" t="s">
        <v>211</v>
      </c>
      <c r="D4217" s="398">
        <f>VLOOKUP(D4195,'Detail Balok'!$C$10:$AU$140,41,FALSE)</f>
        <v>0</v>
      </c>
      <c r="E4217" s="388" t="s">
        <v>16</v>
      </c>
      <c r="F4217" s="388">
        <f>VLOOKUP(D4195,'Detail Balok'!$C$10:$AU$140,43,FALSE)</f>
        <v>10</v>
      </c>
      <c r="G4217" s="405" t="s">
        <v>157</v>
      </c>
      <c r="H4217" s="395">
        <f>VLOOKUP(D4195,'Detail Balok'!$C$10:$AU$140,45,FALSE)</f>
        <v>100</v>
      </c>
      <c r="I4217" s="388"/>
      <c r="J4217" s="400">
        <f t="shared" ref="J4217" si="13612">(IF(D4217=0,(2*(D4196+G4196))-(F$5*8),IF(D4217=3,(2*(D4196+G4196))-(F$5*8)+(G4196-2*F$5),IF(D4217=4,(2*(D4196+G4196))-(F$5*8)+2*(G4196-2*F$5)))))/1000</f>
        <v>0.88</v>
      </c>
      <c r="K4217" s="400" t="s">
        <v>204</v>
      </c>
      <c r="L4217" s="399">
        <f t="shared" si="13601"/>
        <v>0.15</v>
      </c>
      <c r="M4217" s="399" t="s">
        <v>176</v>
      </c>
      <c r="N4217" s="399">
        <f t="shared" si="13602"/>
        <v>1.03</v>
      </c>
      <c r="O4217" s="399"/>
      <c r="P4217" s="389"/>
      <c r="Q4217" s="399"/>
      <c r="R4217" s="399"/>
      <c r="S4217" s="399"/>
      <c r="T4217" s="399" t="s">
        <v>125</v>
      </c>
      <c r="U4217" s="401">
        <f t="shared" si="13603"/>
        <v>0.61650000000000005</v>
      </c>
      <c r="V4217" s="399" t="s">
        <v>125</v>
      </c>
      <c r="W4217" s="399">
        <f t="shared" ref="W4217" si="13613">IF(D4198&gt;4*G4196,ROUND(MAX(D4198/4,2*G4196)/H4217,0)+1,0)</f>
        <v>9</v>
      </c>
      <c r="X4217" s="399" t="s">
        <v>125</v>
      </c>
      <c r="Y4217" s="389">
        <f t="shared" ref="Y4217" si="13614">D4201</f>
        <v>1</v>
      </c>
      <c r="Z4217" s="400" t="s">
        <v>176</v>
      </c>
      <c r="AA4217" s="402">
        <f t="shared" si="13606"/>
        <v>5.7149550000000007</v>
      </c>
      <c r="AB4217" s="403"/>
    </row>
    <row r="4218" spans="1:28">
      <c r="A4218" s="384"/>
      <c r="B4218" s="385"/>
      <c r="C4218" s="393"/>
      <c r="D4218" s="394"/>
      <c r="E4218" s="388"/>
      <c r="F4218" s="388"/>
      <c r="G4218" s="388"/>
      <c r="H4218" s="395"/>
      <c r="I4218" s="388"/>
      <c r="J4218" s="399"/>
      <c r="K4218" s="396"/>
      <c r="L4218" s="396"/>
      <c r="M4218" s="396"/>
      <c r="N4218" s="396"/>
      <c r="O4218" s="396"/>
      <c r="P4218" s="389"/>
      <c r="Q4218" s="396"/>
      <c r="R4218" s="396"/>
      <c r="S4218" s="396"/>
      <c r="T4218" s="396"/>
      <c r="U4218" s="401"/>
      <c r="V4218" s="396"/>
      <c r="W4218" s="388"/>
      <c r="X4218" s="396"/>
      <c r="Y4218" s="389"/>
      <c r="Z4218" s="396"/>
      <c r="AA4218" s="388"/>
      <c r="AB4218" s="390"/>
    </row>
    <row r="4219" spans="1:28">
      <c r="A4219" s="384" t="str">
        <f t="shared" ref="A4219:B4219" si="13615">A4195</f>
        <v>Lantai 2</v>
      </c>
      <c r="B4219" s="385">
        <f t="shared" si="13615"/>
        <v>53</v>
      </c>
      <c r="C4219" s="393" t="s">
        <v>213</v>
      </c>
      <c r="D4219" s="398">
        <f>VLOOKUP(D4195,'Detail Balok'!$C$10:$BJ$140,46,FALSE)</f>
        <v>0</v>
      </c>
      <c r="E4219" s="388" t="s">
        <v>16</v>
      </c>
      <c r="F4219" s="388">
        <f>VLOOKUP(D4195,'Detail Balok'!$C$10:$BJ$140,48,FALSE)</f>
        <v>0</v>
      </c>
      <c r="G4219" s="405" t="s">
        <v>157</v>
      </c>
      <c r="H4219" s="395">
        <f>VLOOKUP(D4195,'Detail Balok'!$C$10:$BJ$140,50,FALSE)</f>
        <v>100</v>
      </c>
      <c r="I4219" s="388"/>
      <c r="J4219" s="399">
        <f t="shared" ref="J4219" si="13616">(D4196-2*F$5)/1000</f>
        <v>0.12</v>
      </c>
      <c r="K4219" s="400" t="s">
        <v>204</v>
      </c>
      <c r="L4219" s="399">
        <f t="shared" ref="L4219:L4221" si="13617">IF(D4219=0,2*MAX(6*F4219,75),(D4219-1)*2*MAX(6*F4219,75))/1000</f>
        <v>0.15</v>
      </c>
      <c r="M4219" s="399" t="s">
        <v>176</v>
      </c>
      <c r="N4219" s="399">
        <f t="shared" ref="N4219:N4221" si="13618">J4219+L4219</f>
        <v>0.27</v>
      </c>
      <c r="O4219" s="399"/>
      <c r="P4219" s="399"/>
      <c r="Q4219" s="399"/>
      <c r="R4219" s="399"/>
      <c r="S4219" s="399"/>
      <c r="T4219" s="399" t="s">
        <v>125</v>
      </c>
      <c r="U4219" s="401">
        <f t="shared" ref="U4219:U4221" si="13619">0.006165*F4219^2</f>
        <v>0</v>
      </c>
      <c r="V4219" s="399" t="s">
        <v>125</v>
      </c>
      <c r="W4219" s="399">
        <f t="shared" si="13524"/>
        <v>9</v>
      </c>
      <c r="X4219" s="399" t="s">
        <v>125</v>
      </c>
      <c r="Y4219" s="389">
        <f t="shared" ref="Y4219" si="13620">D4205</f>
        <v>3</v>
      </c>
      <c r="Z4219" s="400" t="s">
        <v>176</v>
      </c>
      <c r="AA4219" s="402">
        <f t="shared" ref="AA4219:AA4221" si="13621">N4219*U4219*W4219*Y4219</f>
        <v>0</v>
      </c>
      <c r="AB4219" s="403"/>
    </row>
    <row r="4220" spans="1:28">
      <c r="A4220" s="384" t="str">
        <f t="shared" ref="A4220:B4220" si="13622">A4195</f>
        <v>Lantai 2</v>
      </c>
      <c r="B4220" s="385">
        <f t="shared" si="13622"/>
        <v>53</v>
      </c>
      <c r="C4220" s="393" t="s">
        <v>214</v>
      </c>
      <c r="D4220" s="398">
        <f>VLOOKUP(D4195,'Detail Balok'!$C$10:$BJ$140,51,FALSE)</f>
        <v>0</v>
      </c>
      <c r="E4220" s="388" t="s">
        <v>16</v>
      </c>
      <c r="F4220" s="388">
        <f>VLOOKUP(D4195,'Detail Balok'!$C$10:$BJ$140,53,FALSE)</f>
        <v>0</v>
      </c>
      <c r="G4220" s="405" t="s">
        <v>157</v>
      </c>
      <c r="H4220" s="395">
        <f>VLOOKUP(D4195,'Detail Balok'!$C$10:$BJ$140,55,FALSE)</f>
        <v>100</v>
      </c>
      <c r="I4220" s="388"/>
      <c r="J4220" s="399">
        <f t="shared" ref="J4220" si="13623">(D4196-2*F$5)/1000</f>
        <v>0.12</v>
      </c>
      <c r="K4220" s="400" t="s">
        <v>204</v>
      </c>
      <c r="L4220" s="399">
        <f t="shared" si="13617"/>
        <v>0.15</v>
      </c>
      <c r="M4220" s="399" t="s">
        <v>176</v>
      </c>
      <c r="N4220" s="399">
        <f t="shared" si="13618"/>
        <v>0.27</v>
      </c>
      <c r="O4220" s="399"/>
      <c r="P4220" s="399"/>
      <c r="Q4220" s="399"/>
      <c r="R4220" s="399"/>
      <c r="S4220" s="399"/>
      <c r="T4220" s="399" t="s">
        <v>125</v>
      </c>
      <c r="U4220" s="401">
        <f t="shared" si="13619"/>
        <v>0</v>
      </c>
      <c r="V4220" s="399" t="s">
        <v>125</v>
      </c>
      <c r="W4220" s="399">
        <f t="shared" si="13524"/>
        <v>6</v>
      </c>
      <c r="X4220" s="399" t="s">
        <v>125</v>
      </c>
      <c r="Y4220" s="389">
        <f t="shared" ref="Y4220" si="13624">D4205</f>
        <v>3</v>
      </c>
      <c r="Z4220" s="400" t="s">
        <v>176</v>
      </c>
      <c r="AA4220" s="402">
        <f t="shared" si="13621"/>
        <v>0</v>
      </c>
      <c r="AB4220" s="403"/>
    </row>
    <row r="4221" spans="1:28">
      <c r="A4221" s="384" t="str">
        <f t="shared" ref="A4221:B4221" si="13625">A4195</f>
        <v>Lantai 2</v>
      </c>
      <c r="B4221" s="385">
        <f t="shared" si="13625"/>
        <v>53</v>
      </c>
      <c r="C4221" s="393" t="s">
        <v>213</v>
      </c>
      <c r="D4221" s="398">
        <f>VLOOKUP(D4195,'Detail Balok'!$C$10:$BJ$140,56,FALSE)</f>
        <v>0</v>
      </c>
      <c r="E4221" s="388" t="s">
        <v>16</v>
      </c>
      <c r="F4221" s="388">
        <f>VLOOKUP(D4195,'Detail Balok'!$C$10:$BJ$140,58,FALSE)</f>
        <v>0</v>
      </c>
      <c r="G4221" s="405" t="s">
        <v>157</v>
      </c>
      <c r="H4221" s="395">
        <f>VLOOKUP(D4195,'Detail Balok'!$C$10:$BJ$140,60,FALSE)</f>
        <v>100</v>
      </c>
      <c r="I4221" s="388"/>
      <c r="J4221" s="399">
        <f t="shared" ref="J4221" si="13626">(D4196-2*F$5)/1000</f>
        <v>0.12</v>
      </c>
      <c r="K4221" s="400" t="s">
        <v>204</v>
      </c>
      <c r="L4221" s="399">
        <f t="shared" si="13617"/>
        <v>0.15</v>
      </c>
      <c r="M4221" s="399" t="s">
        <v>176</v>
      </c>
      <c r="N4221" s="399">
        <f t="shared" si="13618"/>
        <v>0.27</v>
      </c>
      <c r="O4221" s="399"/>
      <c r="P4221" s="399"/>
      <c r="Q4221" s="399"/>
      <c r="R4221" s="399"/>
      <c r="S4221" s="399"/>
      <c r="T4221" s="399" t="s">
        <v>125</v>
      </c>
      <c r="U4221" s="401">
        <f t="shared" si="13619"/>
        <v>0</v>
      </c>
      <c r="V4221" s="399" t="s">
        <v>125</v>
      </c>
      <c r="W4221" s="399">
        <f t="shared" si="13524"/>
        <v>9</v>
      </c>
      <c r="X4221" s="399" t="s">
        <v>125</v>
      </c>
      <c r="Y4221" s="389">
        <f t="shared" ref="Y4221" si="13627">D4205</f>
        <v>3</v>
      </c>
      <c r="Z4221" s="400" t="s">
        <v>176</v>
      </c>
      <c r="AA4221" s="402">
        <f t="shared" si="13621"/>
        <v>0</v>
      </c>
      <c r="AB4221" s="403"/>
    </row>
    <row r="4222" spans="1:28">
      <c r="A4222" s="391"/>
      <c r="B4222" s="392"/>
      <c r="C4222" s="392"/>
      <c r="D4222" s="394"/>
      <c r="E4222" s="388"/>
      <c r="F4222" s="388"/>
      <c r="G4222" s="388"/>
      <c r="H4222" s="395"/>
      <c r="I4222" s="388"/>
      <c r="J4222" s="402"/>
      <c r="K4222" s="388"/>
      <c r="L4222" s="388"/>
      <c r="M4222" s="388"/>
      <c r="N4222" s="388"/>
      <c r="O4222" s="388"/>
      <c r="P4222" s="388"/>
      <c r="Q4222" s="388"/>
      <c r="R4222" s="388"/>
      <c r="S4222" s="388"/>
      <c r="T4222" s="388"/>
      <c r="U4222" s="388"/>
      <c r="V4222" s="388"/>
      <c r="W4222" s="388"/>
      <c r="X4222" s="388"/>
      <c r="Y4222" s="389"/>
      <c r="Z4222" s="388"/>
      <c r="AA4222" s="402"/>
      <c r="AB4222" s="403"/>
    </row>
    <row r="4223" spans="1:28" ht="15.75" thickBot="1">
      <c r="A4223" s="406"/>
      <c r="B4223" s="407"/>
      <c r="C4223" s="407"/>
      <c r="D4223" s="408"/>
      <c r="E4223" s="409"/>
      <c r="F4223" s="409"/>
      <c r="G4223" s="409"/>
      <c r="H4223" s="410"/>
      <c r="I4223" s="409"/>
      <c r="J4223" s="409"/>
      <c r="K4223" s="409"/>
      <c r="L4223" s="409"/>
      <c r="M4223" s="409"/>
      <c r="N4223" s="409"/>
      <c r="O4223" s="409"/>
      <c r="P4223" s="409"/>
      <c r="Q4223" s="409"/>
      <c r="R4223" s="409"/>
      <c r="S4223" s="409"/>
      <c r="T4223" s="409"/>
      <c r="U4223" s="409"/>
      <c r="V4223" s="409"/>
      <c r="W4223" s="409"/>
      <c r="X4223" s="409"/>
      <c r="Y4223" s="411"/>
      <c r="Z4223" s="409"/>
      <c r="AA4223" s="412"/>
      <c r="AB4223" s="413"/>
    </row>
    <row r="4224" spans="1:28">
      <c r="A4224" s="377"/>
      <c r="B4224" s="378"/>
      <c r="C4224" s="378"/>
      <c r="D4224" s="379"/>
      <c r="E4224" s="380"/>
      <c r="F4224" s="380"/>
      <c r="G4224" s="380"/>
      <c r="H4224" s="381"/>
      <c r="I4224" s="380"/>
      <c r="J4224" s="380"/>
      <c r="K4224" s="380"/>
      <c r="L4224" s="380"/>
      <c r="M4224" s="380"/>
      <c r="N4224" s="380"/>
      <c r="O4224" s="380"/>
      <c r="P4224" s="380"/>
      <c r="Q4224" s="380"/>
      <c r="R4224" s="380"/>
      <c r="S4224" s="380"/>
      <c r="T4224" s="380"/>
      <c r="U4224" s="380"/>
      <c r="V4224" s="380"/>
      <c r="W4224" s="380"/>
      <c r="X4224" s="380"/>
      <c r="Y4224" s="382"/>
      <c r="Z4224" s="380"/>
      <c r="AA4224" s="380"/>
      <c r="AB4224" s="383"/>
    </row>
    <row r="4225" spans="1:28">
      <c r="A4225" s="384" t="str">
        <f t="shared" si="13533"/>
        <v>Lantai 2</v>
      </c>
      <c r="B4225" s="385">
        <f t="shared" si="13534"/>
        <v>54</v>
      </c>
      <c r="C4225" s="386" t="str">
        <f t="shared" ref="C4225" si="13628">CONCATENATE(A4225," no. ",B4225)</f>
        <v>Lantai 2 no. 54</v>
      </c>
      <c r="D4225" s="2562" t="str">
        <f>VLOOKUP(C4225,'Data Panjang Balok'!$C$9:$N$254,2,FALSE)</f>
        <v>CL24-1</v>
      </c>
      <c r="E4225" s="2576"/>
      <c r="F4225" s="2576"/>
      <c r="G4225" s="2576"/>
      <c r="H4225" s="2577"/>
      <c r="I4225" s="387"/>
      <c r="J4225" s="388"/>
      <c r="K4225" s="388"/>
      <c r="L4225" s="388"/>
      <c r="M4225" s="388"/>
      <c r="N4225" s="388"/>
      <c r="O4225" s="388"/>
      <c r="P4225" s="388"/>
      <c r="Q4225" s="388"/>
      <c r="R4225" s="388"/>
      <c r="S4225" s="388"/>
      <c r="T4225" s="388"/>
      <c r="U4225" s="388"/>
      <c r="V4225" s="388"/>
      <c r="W4225" s="388"/>
      <c r="X4225" s="388"/>
      <c r="Y4225" s="389"/>
      <c r="Z4225" s="388"/>
      <c r="AA4225" s="388"/>
      <c r="AB4225" s="390"/>
    </row>
    <row r="4226" spans="1:28">
      <c r="A4226" s="391"/>
      <c r="B4226" s="392"/>
      <c r="C4226" s="393" t="s">
        <v>118</v>
      </c>
      <c r="D4226" s="2578">
        <f>VLOOKUP(D4225,'Detail Balok'!$C$10:$AU$140,2,FALSE)</f>
        <v>200</v>
      </c>
      <c r="E4226" s="2579"/>
      <c r="F4226" s="388" t="s">
        <v>125</v>
      </c>
      <c r="G4226" s="2579">
        <f>VLOOKUP(D4225,'Detail Balok'!$C$10:$AU$140,3,FALSE)</f>
        <v>400</v>
      </c>
      <c r="H4226" s="2580"/>
      <c r="I4226" s="388"/>
      <c r="J4226" s="396"/>
      <c r="K4226" s="396"/>
      <c r="L4226" s="396"/>
      <c r="M4226" s="396"/>
      <c r="N4226" s="396"/>
      <c r="O4226" s="396"/>
      <c r="P4226" s="396"/>
      <c r="Q4226" s="396"/>
      <c r="R4226" s="396"/>
      <c r="S4226" s="396"/>
      <c r="T4226" s="396"/>
      <c r="U4226" s="388"/>
      <c r="V4226" s="396"/>
      <c r="W4226" s="388"/>
      <c r="X4226" s="396"/>
      <c r="Y4226" s="389"/>
      <c r="Z4226" s="396"/>
      <c r="AA4226" s="388"/>
      <c r="AB4226" s="390"/>
    </row>
    <row r="4227" spans="1:28">
      <c r="A4227" s="391"/>
      <c r="B4227" s="392"/>
      <c r="C4227" s="393" t="s">
        <v>198</v>
      </c>
      <c r="D4227" s="2562">
        <f>VLOOKUP(C4225,'Data Panjang Balok'!$C$9:$N$254,4,FALSE)</f>
        <v>2100</v>
      </c>
      <c r="E4227" s="2563"/>
      <c r="F4227" s="2563"/>
      <c r="G4227" s="2563"/>
      <c r="H4227" s="2564"/>
      <c r="I4227" s="397"/>
      <c r="J4227" s="396"/>
      <c r="K4227" s="396"/>
      <c r="L4227" s="396"/>
      <c r="M4227" s="396"/>
      <c r="N4227" s="396"/>
      <c r="O4227" s="396"/>
      <c r="P4227" s="396"/>
      <c r="Q4227" s="396"/>
      <c r="R4227" s="396"/>
      <c r="S4227" s="396"/>
      <c r="T4227" s="396"/>
      <c r="U4227" s="388"/>
      <c r="V4227" s="396"/>
      <c r="W4227" s="388"/>
      <c r="X4227" s="396"/>
      <c r="Y4227" s="389"/>
      <c r="Z4227" s="396"/>
      <c r="AA4227" s="388"/>
      <c r="AB4227" s="390"/>
    </row>
    <row r="4228" spans="1:28">
      <c r="A4228" s="391"/>
      <c r="B4228" s="392"/>
      <c r="C4228" s="393" t="s">
        <v>199</v>
      </c>
      <c r="D4228" s="2562">
        <f>VLOOKUP(C4225,'Data Panjang Balok'!$C$9:$N$254,7,FALSE)</f>
        <v>2100</v>
      </c>
      <c r="E4228" s="2563"/>
      <c r="F4228" s="2563"/>
      <c r="G4228" s="2563"/>
      <c r="H4228" s="2564"/>
      <c r="I4228" s="397"/>
      <c r="J4228" s="396"/>
      <c r="K4228" s="396"/>
      <c r="L4228" s="396"/>
      <c r="M4228" s="396"/>
      <c r="N4228" s="396"/>
      <c r="O4228" s="396"/>
      <c r="P4228" s="396"/>
      <c r="Q4228" s="396"/>
      <c r="R4228" s="396"/>
      <c r="S4228" s="396"/>
      <c r="T4228" s="396"/>
      <c r="U4228" s="388"/>
      <c r="V4228" s="396"/>
      <c r="W4228" s="388"/>
      <c r="X4228" s="396"/>
      <c r="Y4228" s="389"/>
      <c r="Z4228" s="396"/>
      <c r="AA4228" s="388"/>
      <c r="AB4228" s="390"/>
    </row>
    <row r="4229" spans="1:28">
      <c r="A4229" s="391"/>
      <c r="B4229" s="392"/>
      <c r="C4229" s="393" t="s">
        <v>200</v>
      </c>
      <c r="D4229" s="2562">
        <f>VLOOKUP(C4225,'Data Panjang Balok'!$C$9:$N$254,9,FALSE)</f>
        <v>0</v>
      </c>
      <c r="E4229" s="2563"/>
      <c r="F4229" s="2563"/>
      <c r="G4229" s="2563"/>
      <c r="H4229" s="2564"/>
      <c r="I4229" s="397"/>
      <c r="J4229" s="396"/>
      <c r="K4229" s="396"/>
      <c r="L4229" s="396"/>
      <c r="M4229" s="396"/>
      <c r="N4229" s="396"/>
      <c r="O4229" s="396"/>
      <c r="P4229" s="396"/>
      <c r="Q4229" s="396"/>
      <c r="R4229" s="396"/>
      <c r="S4229" s="396"/>
      <c r="T4229" s="396"/>
      <c r="U4229" s="388"/>
      <c r="V4229" s="396"/>
      <c r="W4229" s="388"/>
      <c r="X4229" s="396"/>
      <c r="Y4229" s="389"/>
      <c r="Z4229" s="396"/>
      <c r="AA4229" s="388"/>
      <c r="AB4229" s="390"/>
    </row>
    <row r="4230" spans="1:28">
      <c r="A4230" s="391"/>
      <c r="B4230" s="392"/>
      <c r="C4230" s="393" t="s">
        <v>201</v>
      </c>
      <c r="D4230" s="2562">
        <f>VLOOKUP(C4225,'Data Panjang Balok'!$C$9:$N$254,10,FALSE)</f>
        <v>0</v>
      </c>
      <c r="E4230" s="2563"/>
      <c r="F4230" s="2563"/>
      <c r="G4230" s="2563"/>
      <c r="H4230" s="2564"/>
      <c r="I4230" s="397"/>
      <c r="J4230" s="396"/>
      <c r="K4230" s="396"/>
      <c r="L4230" s="396"/>
      <c r="M4230" s="396"/>
      <c r="N4230" s="396"/>
      <c r="O4230" s="396"/>
      <c r="P4230" s="396"/>
      <c r="Q4230" s="396"/>
      <c r="R4230" s="396"/>
      <c r="S4230" s="396"/>
      <c r="T4230" s="396"/>
      <c r="U4230" s="388"/>
      <c r="V4230" s="396"/>
      <c r="W4230" s="388"/>
      <c r="X4230" s="396"/>
      <c r="Y4230" s="389"/>
      <c r="Z4230" s="396"/>
      <c r="AA4230" s="388"/>
      <c r="AB4230" s="390"/>
    </row>
    <row r="4231" spans="1:28">
      <c r="A4231" s="391"/>
      <c r="B4231" s="392"/>
      <c r="C4231" s="393" t="s">
        <v>48</v>
      </c>
      <c r="D4231" s="2562">
        <f>VLOOKUP(C4225,'Data Panjang Balok'!$C$9:$N$254,3,FALSE)</f>
        <v>1</v>
      </c>
      <c r="E4231" s="2563"/>
      <c r="F4231" s="2563"/>
      <c r="G4231" s="2563"/>
      <c r="H4231" s="2564"/>
      <c r="I4231" s="397"/>
      <c r="J4231" s="396"/>
      <c r="K4231" s="396"/>
      <c r="L4231" s="396"/>
      <c r="M4231" s="396"/>
      <c r="N4231" s="396"/>
      <c r="O4231" s="396"/>
      <c r="P4231" s="396"/>
      <c r="Q4231" s="396"/>
      <c r="R4231" s="396"/>
      <c r="S4231" s="396"/>
      <c r="T4231" s="396"/>
      <c r="U4231" s="388"/>
      <c r="V4231" s="396"/>
      <c r="W4231" s="388"/>
      <c r="X4231" s="396"/>
      <c r="Y4231" s="389"/>
      <c r="Z4231" s="396"/>
      <c r="AA4231" s="388"/>
      <c r="AB4231" s="390"/>
    </row>
    <row r="4232" spans="1:28">
      <c r="A4232" s="384" t="str">
        <f t="shared" ref="A4232:B4232" si="13629">A4225</f>
        <v>Lantai 2</v>
      </c>
      <c r="B4232" s="385">
        <f t="shared" si="13629"/>
        <v>54</v>
      </c>
      <c r="C4232" s="393" t="s">
        <v>202</v>
      </c>
      <c r="D4232" s="398">
        <f>VLOOKUP(D4225,'Detail Balok'!$C$10:$AU$140,4,FALSE)</f>
        <v>3</v>
      </c>
      <c r="E4232" s="388" t="s">
        <v>16</v>
      </c>
      <c r="F4232" s="388">
        <f>VLOOKUP(D4225,'Detail Balok'!$C$10:$AU$140,6,FALSE)</f>
        <v>16</v>
      </c>
      <c r="G4232" s="388"/>
      <c r="H4232" s="395"/>
      <c r="I4232" s="388" t="s">
        <v>203</v>
      </c>
      <c r="J4232" s="399">
        <f t="shared" ref="J4232" si="13630">+D4227/4/1000</f>
        <v>0.52500000000000002</v>
      </c>
      <c r="K4232" s="400" t="s">
        <v>204</v>
      </c>
      <c r="L4232" s="399">
        <f t="shared" ref="L4232" si="13631">MAX(VLOOKUP(F4232,N$6:P$15,3,FALSE)/1000,2/3*D4229/1000)+F$16*F4232/1000</f>
        <v>0.192</v>
      </c>
      <c r="M4232" s="399" t="s">
        <v>176</v>
      </c>
      <c r="N4232" s="399">
        <f t="shared" ref="N4232:N4234" si="13632">J4232+L4232</f>
        <v>0.71700000000000008</v>
      </c>
      <c r="O4232" s="399" t="s">
        <v>204</v>
      </c>
      <c r="P4232" s="389">
        <f t="shared" ref="P4232" si="13633">D4232-D4233</f>
        <v>0</v>
      </c>
      <c r="Q4232" s="399" t="s">
        <v>125</v>
      </c>
      <c r="R4232" s="399">
        <f t="shared" ref="R4232" si="13634">IF(P4232&gt;0,$F$18*F4232/1000,0)</f>
        <v>0</v>
      </c>
      <c r="S4232" s="399" t="s">
        <v>205</v>
      </c>
      <c r="T4232" s="399" t="s">
        <v>125</v>
      </c>
      <c r="U4232" s="401">
        <f t="shared" ref="U4232:U4234" si="13635">0.006165*F4232^2</f>
        <v>1.5782400000000001</v>
      </c>
      <c r="V4232" s="399"/>
      <c r="W4232" s="399"/>
      <c r="X4232" s="399" t="s">
        <v>125</v>
      </c>
      <c r="Y4232" s="389">
        <f t="shared" ref="Y4232" si="13636">D4231</f>
        <v>1</v>
      </c>
      <c r="Z4232" s="400" t="s">
        <v>176</v>
      </c>
      <c r="AA4232" s="402">
        <f t="shared" ref="AA4232" si="13637">IF(AA4235=0,(D4232*N4232+P4232*R4232)*U4232*Y4232,0)</f>
        <v>0</v>
      </c>
      <c r="AB4232" s="403"/>
    </row>
    <row r="4233" spans="1:28">
      <c r="A4233" s="384" t="str">
        <f t="shared" ref="A4233:B4233" si="13638">A4225</f>
        <v>Lantai 2</v>
      </c>
      <c r="B4233" s="385">
        <f t="shared" si="13638"/>
        <v>54</v>
      </c>
      <c r="C4233" s="393" t="s">
        <v>206</v>
      </c>
      <c r="D4233" s="398">
        <f>VLOOKUP(D4225,'Detail Balok'!$C$10:$AU$140,7,FALSE)</f>
        <v>3</v>
      </c>
      <c r="E4233" s="388" t="s">
        <v>16</v>
      </c>
      <c r="F4233" s="388">
        <f>VLOOKUP(D4225,'Detail Balok'!$C$10:$AU$140,9,FALSE)</f>
        <v>16</v>
      </c>
      <c r="G4233" s="388"/>
      <c r="H4233" s="395"/>
      <c r="I4233" s="388" t="s">
        <v>203</v>
      </c>
      <c r="J4233" s="399">
        <f t="shared" ref="J4233" si="13639">+D4227/2/1000</f>
        <v>1.05</v>
      </c>
      <c r="K4233" s="400" t="s">
        <v>204</v>
      </c>
      <c r="L4233" s="399"/>
      <c r="M4233" s="399" t="s">
        <v>176</v>
      </c>
      <c r="N4233" s="399">
        <f t="shared" si="13632"/>
        <v>1.05</v>
      </c>
      <c r="O4233" s="399" t="s">
        <v>204</v>
      </c>
      <c r="P4233" s="389">
        <f t="shared" ref="P4233" si="13640">MAX(D4233-D4232,D4233-D4234)</f>
        <v>0</v>
      </c>
      <c r="Q4233" s="399" t="s">
        <v>125</v>
      </c>
      <c r="R4233" s="399">
        <f t="shared" ref="R4233" si="13641">IF(P4233&gt;0,2*(1-2*$F$19-1/2)*D4228/1000,0)</f>
        <v>0</v>
      </c>
      <c r="S4233" s="399" t="s">
        <v>205</v>
      </c>
      <c r="T4233" s="399" t="s">
        <v>125</v>
      </c>
      <c r="U4233" s="401">
        <f t="shared" si="13635"/>
        <v>1.5782400000000001</v>
      </c>
      <c r="V4233" s="399"/>
      <c r="W4233" s="399"/>
      <c r="X4233" s="399" t="s">
        <v>125</v>
      </c>
      <c r="Y4233" s="389">
        <f t="shared" ref="Y4233" si="13642">D4231</f>
        <v>1</v>
      </c>
      <c r="Z4233" s="400" t="s">
        <v>176</v>
      </c>
      <c r="AA4233" s="402">
        <f t="shared" ref="AA4233" si="13643">IF(AA4235=0,(D4233*N4233+P4233*R4233)*U4233*Y4233,0)</f>
        <v>0</v>
      </c>
      <c r="AB4233" s="403"/>
    </row>
    <row r="4234" spans="1:28">
      <c r="A4234" s="384" t="str">
        <f t="shared" ref="A4234:B4234" si="13644">A4225</f>
        <v>Lantai 2</v>
      </c>
      <c r="B4234" s="385">
        <f t="shared" si="13644"/>
        <v>54</v>
      </c>
      <c r="C4234" s="393" t="s">
        <v>202</v>
      </c>
      <c r="D4234" s="398">
        <f>VLOOKUP(D4225,'Detail Balok'!$C$10:$AU$140,10,FALSE)</f>
        <v>3</v>
      </c>
      <c r="E4234" s="388" t="s">
        <v>16</v>
      </c>
      <c r="F4234" s="388">
        <f>VLOOKUP(D4225,'Detail Balok'!$C$10:$AU$140,12,FALSE)</f>
        <v>16</v>
      </c>
      <c r="G4234" s="388"/>
      <c r="H4234" s="395"/>
      <c r="I4234" s="388" t="s">
        <v>203</v>
      </c>
      <c r="J4234" s="399">
        <f t="shared" ref="J4234" si="13645">+D4227/4/1000</f>
        <v>0.52500000000000002</v>
      </c>
      <c r="K4234" s="400" t="s">
        <v>204</v>
      </c>
      <c r="L4234" s="399">
        <f t="shared" ref="L4234" si="13646">MAX(VLOOKUP(F4234,N$6:P$15,3,FALSE)/1000,2/3*D4229/1000)+F$16*F4234/1000</f>
        <v>0.192</v>
      </c>
      <c r="M4234" s="399" t="s">
        <v>176</v>
      </c>
      <c r="N4234" s="399">
        <f t="shared" si="13632"/>
        <v>0.71700000000000008</v>
      </c>
      <c r="O4234" s="399" t="s">
        <v>204</v>
      </c>
      <c r="P4234" s="389">
        <f t="shared" ref="P4234" si="13647">D4234-D4233</f>
        <v>0</v>
      </c>
      <c r="Q4234" s="399" t="s">
        <v>125</v>
      </c>
      <c r="R4234" s="399">
        <f t="shared" ref="R4234" si="13648">IF(P4234&gt;0,$F$18*F4234/1000,0)</f>
        <v>0</v>
      </c>
      <c r="S4234" s="399" t="s">
        <v>205</v>
      </c>
      <c r="T4234" s="399" t="s">
        <v>125</v>
      </c>
      <c r="U4234" s="401">
        <f t="shared" si="13635"/>
        <v>1.5782400000000001</v>
      </c>
      <c r="V4234" s="399"/>
      <c r="W4234" s="399"/>
      <c r="X4234" s="399" t="s">
        <v>125</v>
      </c>
      <c r="Y4234" s="389">
        <f t="shared" ref="Y4234" si="13649">D4231</f>
        <v>1</v>
      </c>
      <c r="Z4234" s="400" t="s">
        <v>176</v>
      </c>
      <c r="AA4234" s="402">
        <f t="shared" ref="AA4234" si="13650">IF(AA4235=0,(D4234*N4234+P4234*R4234)*U4234*Y4234,0)</f>
        <v>0</v>
      </c>
      <c r="AB4234" s="403"/>
    </row>
    <row r="4235" spans="1:28">
      <c r="A4235" s="384" t="str">
        <f t="shared" ref="A4235:B4235" si="13651">A4225</f>
        <v>Lantai 2</v>
      </c>
      <c r="B4235" s="385">
        <f t="shared" si="13651"/>
        <v>54</v>
      </c>
      <c r="C4235" s="393"/>
      <c r="D4235" s="398">
        <f t="shared" si="13454"/>
        <v>3</v>
      </c>
      <c r="E4235" s="388" t="s">
        <v>16</v>
      </c>
      <c r="F4235" s="388">
        <f t="shared" si="13455"/>
        <v>16</v>
      </c>
      <c r="G4235" s="388"/>
      <c r="H4235" s="395"/>
      <c r="I4235" s="388"/>
      <c r="J4235" s="396"/>
      <c r="K4235" s="396"/>
      <c r="L4235" s="404" t="s">
        <v>207</v>
      </c>
      <c r="M4235" s="399" t="s">
        <v>176</v>
      </c>
      <c r="N4235" s="399">
        <f t="shared" ref="N4235" si="13652">IF(AND(D4232=D4233,D4232=D4234,D4233=D4234,F4232=F4233,F4232=F4234,F4233=F4234),SUM(N4232:N4234),0)</f>
        <v>2.484</v>
      </c>
      <c r="O4235" s="399" t="s">
        <v>204</v>
      </c>
      <c r="P4235" s="389">
        <f t="shared" ref="P4235" si="13653">IF(N4235&gt;12,ROUNDDOWN(N4235/12,0),0)</f>
        <v>0</v>
      </c>
      <c r="Q4235" s="399" t="s">
        <v>125</v>
      </c>
      <c r="R4235" s="399">
        <f t="shared" ref="R4235" si="13654">IF(P4235&gt;0,MAX(VLOOKUP(F4235,$D$6:$G$15,3,FALSE),600),0)/1000</f>
        <v>0</v>
      </c>
      <c r="S4235" s="396"/>
      <c r="T4235" s="396" t="s">
        <v>125</v>
      </c>
      <c r="U4235" s="401">
        <f t="shared" si="13459"/>
        <v>1.5782400000000001</v>
      </c>
      <c r="V4235" s="396" t="s">
        <v>125</v>
      </c>
      <c r="W4235" s="399">
        <f t="shared" ref="W4235" si="13655">D4235</f>
        <v>3</v>
      </c>
      <c r="X4235" s="399" t="s">
        <v>125</v>
      </c>
      <c r="Y4235" s="389">
        <f t="shared" si="13461"/>
        <v>1</v>
      </c>
      <c r="Z4235" s="400" t="s">
        <v>176</v>
      </c>
      <c r="AA4235" s="402">
        <f t="shared" ref="AA4235" si="13656">(N4235+P4235*R4235/1000)*U4235*W4235*Y4235</f>
        <v>11.761044480000001</v>
      </c>
      <c r="AB4235" s="390"/>
    </row>
    <row r="4236" spans="1:28">
      <c r="A4236" s="384"/>
      <c r="B4236" s="385"/>
      <c r="C4236" s="393"/>
      <c r="D4236" s="398"/>
      <c r="E4236" s="388"/>
      <c r="F4236" s="388"/>
      <c r="G4236" s="388"/>
      <c r="H4236" s="395"/>
      <c r="I4236" s="388"/>
      <c r="J4236" s="396"/>
      <c r="K4236" s="396"/>
      <c r="L4236" s="404"/>
      <c r="M4236" s="399"/>
      <c r="N4236" s="399"/>
      <c r="O4236" s="396"/>
      <c r="P4236" s="389"/>
      <c r="Q4236" s="396"/>
      <c r="R4236" s="396"/>
      <c r="S4236" s="396"/>
      <c r="T4236" s="396"/>
      <c r="U4236" s="401"/>
      <c r="V4236" s="396"/>
      <c r="W4236" s="399"/>
      <c r="X4236" s="396"/>
      <c r="Y4236" s="389"/>
      <c r="Z4236" s="396"/>
      <c r="AA4236" s="388"/>
      <c r="AB4236" s="390"/>
    </row>
    <row r="4237" spans="1:28">
      <c r="A4237" s="384" t="str">
        <f t="shared" ref="A4237:B4237" si="13657">A4225</f>
        <v>Lantai 2</v>
      </c>
      <c r="B4237" s="385">
        <f t="shared" si="13657"/>
        <v>54</v>
      </c>
      <c r="C4237" s="393" t="s">
        <v>208</v>
      </c>
      <c r="D4237" s="398">
        <f>VLOOKUP(D4225,'Detail Balok'!$C$10:$AU$140,13,FALSE)</f>
        <v>0</v>
      </c>
      <c r="E4237" s="388" t="s">
        <v>16</v>
      </c>
      <c r="F4237" s="388">
        <f>VLOOKUP(D4225,'Detail Balok'!$C$10:$AU$140,15,FALSE)</f>
        <v>8</v>
      </c>
      <c r="G4237" s="388"/>
      <c r="H4237" s="395"/>
      <c r="I4237" s="388"/>
      <c r="J4237" s="399">
        <f t="shared" ref="J4237" si="13658">+D4227/1000</f>
        <v>2.1</v>
      </c>
      <c r="K4237" s="400" t="s">
        <v>204</v>
      </c>
      <c r="L4237" s="399">
        <f t="shared" ref="L4237" si="13659">2*$F$16*F4237/1000</f>
        <v>0.192</v>
      </c>
      <c r="M4237" s="399" t="s">
        <v>176</v>
      </c>
      <c r="N4237" s="399">
        <f t="shared" ref="N4237" si="13660">J4237+L4237</f>
        <v>2.2920000000000003</v>
      </c>
      <c r="O4237" s="399" t="s">
        <v>204</v>
      </c>
      <c r="P4237" s="389">
        <f t="shared" ref="P4237" si="13661">IF(N4237&gt;12,ROUNDDOWN(N4237/12,0),0)</f>
        <v>0</v>
      </c>
      <c r="Q4237" s="399" t="s">
        <v>125</v>
      </c>
      <c r="R4237" s="399">
        <f t="shared" ref="R4237" si="13662">IF(P4237&gt;0,MAX(VLOOKUP(F4237,$D$6:$G$15,3,FALSE),600),0)/1000</f>
        <v>0</v>
      </c>
      <c r="S4237" s="399"/>
      <c r="T4237" s="399" t="s">
        <v>125</v>
      </c>
      <c r="U4237" s="401">
        <f t="shared" ref="U4237" si="13663">0.006165*F4237^2</f>
        <v>0.39456000000000002</v>
      </c>
      <c r="V4237" s="399" t="s">
        <v>125</v>
      </c>
      <c r="W4237" s="399">
        <f t="shared" ref="W4237" si="13664">+D4237</f>
        <v>0</v>
      </c>
      <c r="X4237" s="399" t="s">
        <v>125</v>
      </c>
      <c r="Y4237" s="389">
        <f t="shared" ref="Y4237" si="13665">D4231</f>
        <v>1</v>
      </c>
      <c r="Z4237" s="400" t="s">
        <v>176</v>
      </c>
      <c r="AA4237" s="402">
        <f t="shared" ref="AA4237" si="13666">(N4237+P4237*R4237/1000)*U4237*W4237*Y4237</f>
        <v>0</v>
      </c>
      <c r="AB4237" s="403"/>
    </row>
    <row r="4238" spans="1:28">
      <c r="A4238" s="384"/>
      <c r="B4238" s="385"/>
      <c r="C4238" s="393"/>
      <c r="D4238" s="398"/>
      <c r="E4238" s="388"/>
      <c r="F4238" s="388"/>
      <c r="G4238" s="388"/>
      <c r="H4238" s="395"/>
      <c r="I4238" s="388"/>
      <c r="J4238" s="399"/>
      <c r="K4238" s="400"/>
      <c r="L4238" s="399"/>
      <c r="M4238" s="399"/>
      <c r="N4238" s="399"/>
      <c r="O4238" s="399"/>
      <c r="P4238" s="389"/>
      <c r="Q4238" s="399"/>
      <c r="R4238" s="399"/>
      <c r="S4238" s="399"/>
      <c r="T4238" s="399"/>
      <c r="U4238" s="401"/>
      <c r="V4238" s="399"/>
      <c r="W4238" s="399"/>
      <c r="X4238" s="399"/>
      <c r="Y4238" s="389"/>
      <c r="Z4238" s="400"/>
      <c r="AA4238" s="402"/>
      <c r="AB4238" s="403"/>
    </row>
    <row r="4239" spans="1:28">
      <c r="A4239" s="384"/>
      <c r="B4239" s="385"/>
      <c r="C4239" s="393"/>
      <c r="D4239" s="398"/>
      <c r="E4239" s="388"/>
      <c r="F4239" s="388"/>
      <c r="G4239" s="388"/>
      <c r="H4239" s="395"/>
      <c r="I4239" s="388"/>
      <c r="J4239" s="396"/>
      <c r="K4239" s="396"/>
      <c r="L4239" s="396"/>
      <c r="M4239" s="396"/>
      <c r="N4239" s="396"/>
      <c r="O4239" s="396"/>
      <c r="P4239" s="389"/>
      <c r="Q4239" s="396"/>
      <c r="R4239" s="396"/>
      <c r="S4239" s="396"/>
      <c r="T4239" s="396"/>
      <c r="U4239" s="401"/>
      <c r="V4239" s="396"/>
      <c r="W4239" s="399"/>
      <c r="X4239" s="396"/>
      <c r="Y4239" s="389"/>
      <c r="Z4239" s="396"/>
      <c r="AA4239" s="388"/>
      <c r="AB4239" s="390"/>
    </row>
    <row r="4240" spans="1:28">
      <c r="A4240" s="384" t="str">
        <f t="shared" ref="A4240:B4240" si="13667">A4225</f>
        <v>Lantai 2</v>
      </c>
      <c r="B4240" s="385">
        <f t="shared" si="13667"/>
        <v>54</v>
      </c>
      <c r="C4240" s="393" t="s">
        <v>209</v>
      </c>
      <c r="D4240" s="398">
        <f>VLOOKUP(D4225,'Detail Balok'!$C$10:$AU$140,22,FALSE)</f>
        <v>3</v>
      </c>
      <c r="E4240" s="388" t="s">
        <v>16</v>
      </c>
      <c r="F4240" s="388">
        <f>VLOOKUP(D4225,'Detail Balok'!$C$10:$AU$140,24,FALSE)</f>
        <v>16</v>
      </c>
      <c r="G4240" s="388"/>
      <c r="H4240" s="395"/>
      <c r="I4240" s="388" t="s">
        <v>203</v>
      </c>
      <c r="J4240" s="399">
        <f t="shared" si="13474"/>
        <v>0.52500000000000002</v>
      </c>
      <c r="K4240" s="400" t="s">
        <v>204</v>
      </c>
      <c r="L4240" s="399">
        <f t="shared" ref="L4240" si="13668">MAX(VLOOKUP(F4240,N$6:P$15,3,FALSE)/1000,2/3*D4230/1000)+F$16*F4240/1000</f>
        <v>0.192</v>
      </c>
      <c r="M4240" s="399" t="s">
        <v>176</v>
      </c>
      <c r="N4240" s="399">
        <f t="shared" ref="N4240:N4242" si="13669">J4240+L4240</f>
        <v>0.71700000000000008</v>
      </c>
      <c r="O4240" s="399" t="s">
        <v>204</v>
      </c>
      <c r="P4240" s="389">
        <f t="shared" ref="P4240" si="13670">D4240-D4241</f>
        <v>0</v>
      </c>
      <c r="Q4240" s="399" t="s">
        <v>125</v>
      </c>
      <c r="R4240" s="399">
        <f t="shared" ref="R4240" si="13671">IF(P4240&gt;0,$F$18*F4240/1000,0)</f>
        <v>0</v>
      </c>
      <c r="S4240" s="399" t="s">
        <v>205</v>
      </c>
      <c r="T4240" s="399" t="s">
        <v>125</v>
      </c>
      <c r="U4240" s="401">
        <f t="shared" ref="U4240:U4242" si="13672">0.006165*F4240^2</f>
        <v>1.5782400000000001</v>
      </c>
      <c r="V4240" s="399"/>
      <c r="W4240" s="399"/>
      <c r="X4240" s="399" t="s">
        <v>125</v>
      </c>
      <c r="Y4240" s="389">
        <f t="shared" ref="Y4240" si="13673">D4231</f>
        <v>1</v>
      </c>
      <c r="Z4240" s="400" t="s">
        <v>176</v>
      </c>
      <c r="AA4240" s="402">
        <f t="shared" ref="AA4240" si="13674">IF(AA4243=0,(D4240*N4240+P4240*R4240)*U4240*Y4240,0)</f>
        <v>0</v>
      </c>
      <c r="AB4240" s="403"/>
    </row>
    <row r="4241" spans="1:28">
      <c r="A4241" s="384" t="str">
        <f t="shared" ref="A4241:B4241" si="13675">A4225</f>
        <v>Lantai 2</v>
      </c>
      <c r="B4241" s="385">
        <f t="shared" si="13675"/>
        <v>54</v>
      </c>
      <c r="C4241" s="393" t="s">
        <v>210</v>
      </c>
      <c r="D4241" s="398">
        <f>VLOOKUP(D4225,'Detail Balok'!$C$10:$AU$140,25,FALSE)</f>
        <v>3</v>
      </c>
      <c r="E4241" s="388" t="s">
        <v>16</v>
      </c>
      <c r="F4241" s="388">
        <f>VLOOKUP(D4225,'Detail Balok'!$C$10:$AU$140,27,FALSE)</f>
        <v>16</v>
      </c>
      <c r="G4241" s="388"/>
      <c r="H4241" s="395"/>
      <c r="I4241" s="388" t="s">
        <v>203</v>
      </c>
      <c r="J4241" s="399">
        <f t="shared" si="13474"/>
        <v>1.05</v>
      </c>
      <c r="K4241" s="400" t="s">
        <v>204</v>
      </c>
      <c r="L4241" s="399"/>
      <c r="M4241" s="399" t="s">
        <v>176</v>
      </c>
      <c r="N4241" s="399">
        <f t="shared" si="13669"/>
        <v>1.05</v>
      </c>
      <c r="O4241" s="399" t="s">
        <v>204</v>
      </c>
      <c r="P4241" s="389">
        <f t="shared" ref="P4241" si="13676">MAX(D4241-D4240,D4241-D4242)</f>
        <v>0</v>
      </c>
      <c r="Q4241" s="399" t="s">
        <v>125</v>
      </c>
      <c r="R4241" s="399">
        <f t="shared" ref="R4241" si="13677">IF(P4241&gt;0,2*(1-2*$F$19-1/2)*D4228/1000,0)</f>
        <v>0</v>
      </c>
      <c r="S4241" s="399" t="s">
        <v>205</v>
      </c>
      <c r="T4241" s="399" t="s">
        <v>125</v>
      </c>
      <c r="U4241" s="401">
        <f t="shared" si="13672"/>
        <v>1.5782400000000001</v>
      </c>
      <c r="V4241" s="399"/>
      <c r="W4241" s="399"/>
      <c r="X4241" s="399" t="s">
        <v>125</v>
      </c>
      <c r="Y4241" s="389">
        <f t="shared" ref="Y4241" si="13678">D4231</f>
        <v>1</v>
      </c>
      <c r="Z4241" s="400" t="s">
        <v>176</v>
      </c>
      <c r="AA4241" s="402">
        <f t="shared" ref="AA4241" si="13679">IF(AA4243=0,(D4241*N4241+P4241*R4241)*U4241*Y4241,0)</f>
        <v>0</v>
      </c>
      <c r="AB4241" s="403"/>
    </row>
    <row r="4242" spans="1:28">
      <c r="A4242" s="384" t="str">
        <f t="shared" ref="A4242:B4242" si="13680">A4225</f>
        <v>Lantai 2</v>
      </c>
      <c r="B4242" s="385">
        <f t="shared" si="13680"/>
        <v>54</v>
      </c>
      <c r="C4242" s="393" t="s">
        <v>209</v>
      </c>
      <c r="D4242" s="398">
        <f>VLOOKUP(D4225,'Detail Balok'!$C$10:$AU$140,28,FALSE)</f>
        <v>3</v>
      </c>
      <c r="E4242" s="388" t="s">
        <v>16</v>
      </c>
      <c r="F4242" s="388">
        <f>VLOOKUP(D4225,'Detail Balok'!$C$10:$AU$140,30,FALSE)</f>
        <v>16</v>
      </c>
      <c r="G4242" s="388"/>
      <c r="H4242" s="395"/>
      <c r="I4242" s="388" t="s">
        <v>203</v>
      </c>
      <c r="J4242" s="399">
        <f t="shared" si="13474"/>
        <v>0.52500000000000002</v>
      </c>
      <c r="K4242" s="400" t="s">
        <v>204</v>
      </c>
      <c r="L4242" s="399">
        <f t="shared" ref="L4242" si="13681">MAX(VLOOKUP(F4242,N$6:P$15,3,FALSE)/1000,2/3*D4230/1000)+F$16*F4242/1000</f>
        <v>0.192</v>
      </c>
      <c r="M4242" s="399" t="s">
        <v>176</v>
      </c>
      <c r="N4242" s="399">
        <f t="shared" si="13669"/>
        <v>0.71700000000000008</v>
      </c>
      <c r="O4242" s="399" t="s">
        <v>204</v>
      </c>
      <c r="P4242" s="389">
        <f t="shared" ref="P4242" si="13682">D4242-D4241</f>
        <v>0</v>
      </c>
      <c r="Q4242" s="399" t="s">
        <v>125</v>
      </c>
      <c r="R4242" s="399">
        <f t="shared" ref="R4242" si="13683">IF(P4242&gt;0,$F$18*F4242/1000,0)</f>
        <v>0</v>
      </c>
      <c r="S4242" s="399" t="s">
        <v>205</v>
      </c>
      <c r="T4242" s="399" t="s">
        <v>125</v>
      </c>
      <c r="U4242" s="401">
        <f t="shared" si="13672"/>
        <v>1.5782400000000001</v>
      </c>
      <c r="V4242" s="399"/>
      <c r="W4242" s="399"/>
      <c r="X4242" s="399" t="s">
        <v>125</v>
      </c>
      <c r="Y4242" s="389">
        <f t="shared" ref="Y4242" si="13684">D4231</f>
        <v>1</v>
      </c>
      <c r="Z4242" s="400" t="s">
        <v>176</v>
      </c>
      <c r="AA4242" s="402">
        <f t="shared" ref="AA4242" si="13685">IF(AA4243=0,(D4242*N4242+P4242*R4242)*U4242*Y4242,0)</f>
        <v>0</v>
      </c>
      <c r="AB4242" s="403"/>
    </row>
    <row r="4243" spans="1:28">
      <c r="A4243" s="384" t="str">
        <f t="shared" ref="A4243:B4243" si="13686">A4225</f>
        <v>Lantai 2</v>
      </c>
      <c r="B4243" s="385">
        <f t="shared" si="13686"/>
        <v>54</v>
      </c>
      <c r="C4243" s="393"/>
      <c r="D4243" s="398">
        <f t="shared" si="13494"/>
        <v>3</v>
      </c>
      <c r="E4243" s="388" t="s">
        <v>16</v>
      </c>
      <c r="F4243" s="388">
        <f t="shared" si="13495"/>
        <v>16</v>
      </c>
      <c r="G4243" s="388"/>
      <c r="H4243" s="395"/>
      <c r="I4243" s="388"/>
      <c r="J4243" s="396"/>
      <c r="K4243" s="396"/>
      <c r="L4243" s="404" t="s">
        <v>207</v>
      </c>
      <c r="M4243" s="399" t="s">
        <v>176</v>
      </c>
      <c r="N4243" s="399">
        <f t="shared" ref="N4243" si="13687">IF(AND(D4240=D4241,D4240=D4242,D4241=D4242,F4240=F4241,F4240=F4242,F4241=F4242),SUM(N4240:N4242),0)</f>
        <v>2.484</v>
      </c>
      <c r="O4243" s="399" t="s">
        <v>204</v>
      </c>
      <c r="P4243" s="389">
        <f t="shared" ref="P4243" si="13688">IF(N4243&gt;12,ROUNDDOWN(N4243/12,0),0)</f>
        <v>0</v>
      </c>
      <c r="Q4243" s="399" t="s">
        <v>125</v>
      </c>
      <c r="R4243" s="399">
        <f t="shared" ref="R4243" si="13689">IF(P4243&gt;0,MAX(VLOOKUP(F4243,$D$6:$G$15,3,FALSE),600),0)/1000</f>
        <v>0</v>
      </c>
      <c r="S4243" s="396"/>
      <c r="T4243" s="396" t="s">
        <v>125</v>
      </c>
      <c r="U4243" s="401">
        <f t="shared" si="13499"/>
        <v>1.5782400000000001</v>
      </c>
      <c r="V4243" s="396" t="s">
        <v>125</v>
      </c>
      <c r="W4243" s="399">
        <f t="shared" ref="W4243" si="13690">D4243</f>
        <v>3</v>
      </c>
      <c r="X4243" s="399" t="s">
        <v>125</v>
      </c>
      <c r="Y4243" s="389">
        <f t="shared" si="13501"/>
        <v>1</v>
      </c>
      <c r="Z4243" s="400" t="s">
        <v>176</v>
      </c>
      <c r="AA4243" s="402">
        <f t="shared" ref="AA4243" si="13691">(N4243+P4243*R4243/1000)*U4243*W4243*Y4243</f>
        <v>11.761044480000001</v>
      </c>
      <c r="AB4243" s="403"/>
    </row>
    <row r="4244" spans="1:28">
      <c r="A4244" s="384"/>
      <c r="B4244" s="385"/>
      <c r="C4244" s="393"/>
      <c r="D4244" s="394"/>
      <c r="E4244" s="388"/>
      <c r="F4244" s="388"/>
      <c r="G4244" s="388"/>
      <c r="H4244" s="395"/>
      <c r="I4244" s="388"/>
      <c r="J4244" s="399"/>
      <c r="K4244" s="396"/>
      <c r="L4244" s="396"/>
      <c r="M4244" s="396"/>
      <c r="N4244" s="396"/>
      <c r="O4244" s="396"/>
      <c r="P4244" s="389"/>
      <c r="Q4244" s="396"/>
      <c r="R4244" s="396"/>
      <c r="S4244" s="396"/>
      <c r="T4244" s="396"/>
      <c r="U4244" s="401"/>
      <c r="V4244" s="396"/>
      <c r="W4244" s="388"/>
      <c r="X4244" s="396"/>
      <c r="Y4244" s="389"/>
      <c r="Z4244" s="396"/>
      <c r="AA4244" s="388"/>
      <c r="AB4244" s="390"/>
    </row>
    <row r="4245" spans="1:28">
      <c r="A4245" s="384" t="str">
        <f t="shared" ref="A4245:B4245" si="13692">A4225</f>
        <v>Lantai 2</v>
      </c>
      <c r="B4245" s="385">
        <f t="shared" si="13692"/>
        <v>54</v>
      </c>
      <c r="C4245" s="393" t="s">
        <v>211</v>
      </c>
      <c r="D4245" s="398">
        <f>VLOOKUP(D4225,'Detail Balok'!$C$10:$AU$140,31,FALSE)</f>
        <v>0</v>
      </c>
      <c r="E4245" s="388" t="s">
        <v>16</v>
      </c>
      <c r="F4245" s="388">
        <f>VLOOKUP(D4225,'Detail Balok'!$C$10:$AU$140,33,FALSE)</f>
        <v>10</v>
      </c>
      <c r="G4245" s="405" t="s">
        <v>157</v>
      </c>
      <c r="H4245" s="395">
        <f>VLOOKUP(D4225,'Detail Balok'!$C$10:$AU$140,35,FALSE)</f>
        <v>100</v>
      </c>
      <c r="I4245" s="388"/>
      <c r="J4245" s="400">
        <f t="shared" ref="J4245" si="13693">(IF(D4245=0,(2*(D4226+G4226))-(F$5*8),IF(D4245=3,(2*(D4226+G4226))-(F$5*8)+(G4226-2*F$5),IF(D4245=4,(2*(D4226+G4226))-(F$5*8)+2*(G4226-2*F$5)))))/1000</f>
        <v>0.88</v>
      </c>
      <c r="K4245" s="400" t="s">
        <v>204</v>
      </c>
      <c r="L4245" s="399">
        <f t="shared" ref="L4245:L4247" si="13694">IF(D4245=0,2*MAX(6*F4245,75),(D4245-1)*2*MAX(6*F4245,75))/1000</f>
        <v>0.15</v>
      </c>
      <c r="M4245" s="399" t="s">
        <v>176</v>
      </c>
      <c r="N4245" s="399">
        <f t="shared" ref="N4245:N4247" si="13695">J4245+L4245</f>
        <v>1.03</v>
      </c>
      <c r="O4245" s="399"/>
      <c r="P4245" s="389"/>
      <c r="Q4245" s="399"/>
      <c r="R4245" s="399"/>
      <c r="S4245" s="399"/>
      <c r="T4245" s="399" t="s">
        <v>125</v>
      </c>
      <c r="U4245" s="401">
        <f t="shared" ref="U4245:U4247" si="13696">0.006165*F4245^2</f>
        <v>0.61650000000000005</v>
      </c>
      <c r="V4245" s="399" t="s">
        <v>125</v>
      </c>
      <c r="W4245" s="399">
        <f t="shared" ref="W4245" si="13697">IF(D4228&gt;4*G4226,ROUND(MAX(D4228/4,2*G4226)/H4245,0)+1,ROUND(D4228/H4245,0)+1)</f>
        <v>9</v>
      </c>
      <c r="X4245" s="399" t="s">
        <v>125</v>
      </c>
      <c r="Y4245" s="389">
        <f t="shared" ref="Y4245" si="13698">D4231</f>
        <v>1</v>
      </c>
      <c r="Z4245" s="400" t="s">
        <v>176</v>
      </c>
      <c r="AA4245" s="402">
        <f t="shared" ref="AA4245:AA4247" si="13699">N4245*U4245*W4245*Y4245</f>
        <v>5.7149550000000007</v>
      </c>
      <c r="AB4245" s="403"/>
    </row>
    <row r="4246" spans="1:28">
      <c r="A4246" s="384" t="str">
        <f t="shared" ref="A4246:B4246" si="13700">A4225</f>
        <v>Lantai 2</v>
      </c>
      <c r="B4246" s="385">
        <f t="shared" si="13700"/>
        <v>54</v>
      </c>
      <c r="C4246" s="393" t="s">
        <v>212</v>
      </c>
      <c r="D4246" s="398">
        <f>VLOOKUP(D4225,'Detail Balok'!$C$10:$AU$140,36,FALSE)</f>
        <v>0</v>
      </c>
      <c r="E4246" s="388" t="s">
        <v>16</v>
      </c>
      <c r="F4246" s="388">
        <f>VLOOKUP(D4225,'Detail Balok'!$C$10:$AU$140,38,FALSE)</f>
        <v>10</v>
      </c>
      <c r="G4246" s="405" t="s">
        <v>157</v>
      </c>
      <c r="H4246" s="395">
        <f>VLOOKUP(D4225,'Detail Balok'!$C$10:$AU$140,40,FALSE)</f>
        <v>100</v>
      </c>
      <c r="I4246" s="388"/>
      <c r="J4246" s="400">
        <f t="shared" ref="J4246" si="13701">(IF(D4246=0,(2*(D4226+G4226))-(F$5*8),IF(D4246=3,(2*(D4226+G4226))-(F$5*8)+(G4226-2*F$5),IF(D4246=4,(2*(D4226+G4226))-(F$5*8)+2*(G4226-2*F$5)))))/1000</f>
        <v>0.88</v>
      </c>
      <c r="K4246" s="400" t="s">
        <v>204</v>
      </c>
      <c r="L4246" s="399">
        <f t="shared" si="13694"/>
        <v>0.15</v>
      </c>
      <c r="M4246" s="399" t="s">
        <v>176</v>
      </c>
      <c r="N4246" s="399">
        <f t="shared" si="13695"/>
        <v>1.03</v>
      </c>
      <c r="O4246" s="399"/>
      <c r="P4246" s="389"/>
      <c r="Q4246" s="399"/>
      <c r="R4246" s="399"/>
      <c r="S4246" s="399"/>
      <c r="T4246" s="399" t="s">
        <v>125</v>
      </c>
      <c r="U4246" s="401">
        <f t="shared" si="13696"/>
        <v>0.61650000000000005</v>
      </c>
      <c r="V4246" s="399" t="s">
        <v>125</v>
      </c>
      <c r="W4246" s="399">
        <f t="shared" ref="W4246" si="13702">IF(D4228-MAX(D4228/4,2*G4226)*2&gt;0,ROUND((D4228-MAX(D4228/4,2*G4226)*2)/H4246,0),0)</f>
        <v>5</v>
      </c>
      <c r="X4246" s="399" t="s">
        <v>125</v>
      </c>
      <c r="Y4246" s="389">
        <f t="shared" ref="Y4246" si="13703">D4231</f>
        <v>1</v>
      </c>
      <c r="Z4246" s="400" t="s">
        <v>176</v>
      </c>
      <c r="AA4246" s="402">
        <f t="shared" si="13699"/>
        <v>3.1749750000000003</v>
      </c>
      <c r="AB4246" s="403"/>
    </row>
    <row r="4247" spans="1:28">
      <c r="A4247" s="384" t="str">
        <f t="shared" ref="A4247:B4247" si="13704">A4225</f>
        <v>Lantai 2</v>
      </c>
      <c r="B4247" s="385">
        <f t="shared" si="13704"/>
        <v>54</v>
      </c>
      <c r="C4247" s="393" t="s">
        <v>211</v>
      </c>
      <c r="D4247" s="398">
        <f>VLOOKUP(D4225,'Detail Balok'!$C$10:$AU$140,41,FALSE)</f>
        <v>0</v>
      </c>
      <c r="E4247" s="388" t="s">
        <v>16</v>
      </c>
      <c r="F4247" s="388">
        <f>VLOOKUP(D4225,'Detail Balok'!$C$10:$AU$140,43,FALSE)</f>
        <v>10</v>
      </c>
      <c r="G4247" s="405" t="s">
        <v>157</v>
      </c>
      <c r="H4247" s="395">
        <f>VLOOKUP(D4225,'Detail Balok'!$C$10:$AU$140,45,FALSE)</f>
        <v>100</v>
      </c>
      <c r="I4247" s="388"/>
      <c r="J4247" s="400">
        <f t="shared" ref="J4247" si="13705">(IF(D4247=0,(2*(D4226+G4226))-(F$5*8),IF(D4247=3,(2*(D4226+G4226))-(F$5*8)+(G4226-2*F$5),IF(D4247=4,(2*(D4226+G4226))-(F$5*8)+2*(G4226-2*F$5)))))/1000</f>
        <v>0.88</v>
      </c>
      <c r="K4247" s="400" t="s">
        <v>204</v>
      </c>
      <c r="L4247" s="399">
        <f t="shared" si="13694"/>
        <v>0.15</v>
      </c>
      <c r="M4247" s="399" t="s">
        <v>176</v>
      </c>
      <c r="N4247" s="399">
        <f t="shared" si="13695"/>
        <v>1.03</v>
      </c>
      <c r="O4247" s="399"/>
      <c r="P4247" s="389"/>
      <c r="Q4247" s="399"/>
      <c r="R4247" s="399"/>
      <c r="S4247" s="399"/>
      <c r="T4247" s="399" t="s">
        <v>125</v>
      </c>
      <c r="U4247" s="401">
        <f t="shared" si="13696"/>
        <v>0.61650000000000005</v>
      </c>
      <c r="V4247" s="399" t="s">
        <v>125</v>
      </c>
      <c r="W4247" s="399">
        <f t="shared" ref="W4247" si="13706">IF(D4228&gt;4*G4226,ROUND(MAX(D4228/4,2*G4226)/H4247,0)+1,0)</f>
        <v>9</v>
      </c>
      <c r="X4247" s="399" t="s">
        <v>125</v>
      </c>
      <c r="Y4247" s="389">
        <f t="shared" ref="Y4247" si="13707">D4231</f>
        <v>1</v>
      </c>
      <c r="Z4247" s="400" t="s">
        <v>176</v>
      </c>
      <c r="AA4247" s="402">
        <f t="shared" si="13699"/>
        <v>5.7149550000000007</v>
      </c>
      <c r="AB4247" s="403"/>
    </row>
    <row r="4248" spans="1:28">
      <c r="A4248" s="384"/>
      <c r="B4248" s="385"/>
      <c r="C4248" s="393"/>
      <c r="D4248" s="394"/>
      <c r="E4248" s="388"/>
      <c r="F4248" s="388"/>
      <c r="G4248" s="388"/>
      <c r="H4248" s="395"/>
      <c r="I4248" s="388"/>
      <c r="J4248" s="399"/>
      <c r="K4248" s="396"/>
      <c r="L4248" s="396"/>
      <c r="M4248" s="396"/>
      <c r="N4248" s="396"/>
      <c r="O4248" s="396"/>
      <c r="P4248" s="389"/>
      <c r="Q4248" s="396"/>
      <c r="R4248" s="396"/>
      <c r="S4248" s="396"/>
      <c r="T4248" s="396"/>
      <c r="U4248" s="401"/>
      <c r="V4248" s="396"/>
      <c r="W4248" s="388"/>
      <c r="X4248" s="396"/>
      <c r="Y4248" s="389"/>
      <c r="Z4248" s="396"/>
      <c r="AA4248" s="388"/>
      <c r="AB4248" s="390"/>
    </row>
    <row r="4249" spans="1:28">
      <c r="A4249" s="384" t="str">
        <f t="shared" ref="A4249:B4249" si="13708">A4225</f>
        <v>Lantai 2</v>
      </c>
      <c r="B4249" s="385">
        <f t="shared" si="13708"/>
        <v>54</v>
      </c>
      <c r="C4249" s="393" t="s">
        <v>213</v>
      </c>
      <c r="D4249" s="398">
        <f>VLOOKUP(D4225,'Detail Balok'!$C$10:$BJ$140,46,FALSE)</f>
        <v>0</v>
      </c>
      <c r="E4249" s="388" t="s">
        <v>16</v>
      </c>
      <c r="F4249" s="388">
        <f>VLOOKUP(D4225,'Detail Balok'!$C$10:$BJ$140,48,FALSE)</f>
        <v>0</v>
      </c>
      <c r="G4249" s="405" t="s">
        <v>157</v>
      </c>
      <c r="H4249" s="395">
        <f>VLOOKUP(D4225,'Detail Balok'!$C$10:$BJ$140,50,FALSE)</f>
        <v>100</v>
      </c>
      <c r="I4249" s="388"/>
      <c r="J4249" s="399">
        <f t="shared" ref="J4249" si="13709">(D4226-2*F$5)/1000</f>
        <v>0.12</v>
      </c>
      <c r="K4249" s="400" t="s">
        <v>204</v>
      </c>
      <c r="L4249" s="399">
        <f t="shared" ref="L4249:L4251" si="13710">IF(D4249=0,2*MAX(6*F4249,75),(D4249-1)*2*MAX(6*F4249,75))/1000</f>
        <v>0.15</v>
      </c>
      <c r="M4249" s="399" t="s">
        <v>176</v>
      </c>
      <c r="N4249" s="399">
        <f t="shared" ref="N4249:N4251" si="13711">J4249+L4249</f>
        <v>0.27</v>
      </c>
      <c r="O4249" s="399"/>
      <c r="P4249" s="399"/>
      <c r="Q4249" s="399"/>
      <c r="R4249" s="399"/>
      <c r="S4249" s="399"/>
      <c r="T4249" s="399" t="s">
        <v>125</v>
      </c>
      <c r="U4249" s="401">
        <f t="shared" ref="U4249:U4251" si="13712">0.006165*F4249^2</f>
        <v>0</v>
      </c>
      <c r="V4249" s="399" t="s">
        <v>125</v>
      </c>
      <c r="W4249" s="399">
        <f t="shared" si="13524"/>
        <v>9</v>
      </c>
      <c r="X4249" s="399" t="s">
        <v>125</v>
      </c>
      <c r="Y4249" s="389">
        <f t="shared" ref="Y4249" si="13713">D4235</f>
        <v>3</v>
      </c>
      <c r="Z4249" s="400" t="s">
        <v>176</v>
      </c>
      <c r="AA4249" s="402">
        <f t="shared" ref="AA4249:AA4251" si="13714">N4249*U4249*W4249*Y4249</f>
        <v>0</v>
      </c>
      <c r="AB4249" s="403"/>
    </row>
    <row r="4250" spans="1:28">
      <c r="A4250" s="384" t="str">
        <f t="shared" ref="A4250:B4250" si="13715">A4225</f>
        <v>Lantai 2</v>
      </c>
      <c r="B4250" s="385">
        <f t="shared" si="13715"/>
        <v>54</v>
      </c>
      <c r="C4250" s="393" t="s">
        <v>214</v>
      </c>
      <c r="D4250" s="398">
        <f>VLOOKUP(D4225,'Detail Balok'!$C$10:$BJ$140,51,FALSE)</f>
        <v>0</v>
      </c>
      <c r="E4250" s="388" t="s">
        <v>16</v>
      </c>
      <c r="F4250" s="388">
        <f>VLOOKUP(D4225,'Detail Balok'!$C$10:$BJ$140,53,FALSE)</f>
        <v>0</v>
      </c>
      <c r="G4250" s="405" t="s">
        <v>157</v>
      </c>
      <c r="H4250" s="395">
        <f>VLOOKUP(D4225,'Detail Balok'!$C$10:$BJ$140,55,FALSE)</f>
        <v>100</v>
      </c>
      <c r="I4250" s="388"/>
      <c r="J4250" s="399">
        <f t="shared" ref="J4250" si="13716">(D4226-2*F$5)/1000</f>
        <v>0.12</v>
      </c>
      <c r="K4250" s="400" t="s">
        <v>204</v>
      </c>
      <c r="L4250" s="399">
        <f t="shared" si="13710"/>
        <v>0.15</v>
      </c>
      <c r="M4250" s="399" t="s">
        <v>176</v>
      </c>
      <c r="N4250" s="399">
        <f t="shared" si="13711"/>
        <v>0.27</v>
      </c>
      <c r="O4250" s="399"/>
      <c r="P4250" s="399"/>
      <c r="Q4250" s="399"/>
      <c r="R4250" s="399"/>
      <c r="S4250" s="399"/>
      <c r="T4250" s="399" t="s">
        <v>125</v>
      </c>
      <c r="U4250" s="401">
        <f t="shared" si="13712"/>
        <v>0</v>
      </c>
      <c r="V4250" s="399" t="s">
        <v>125</v>
      </c>
      <c r="W4250" s="399">
        <f t="shared" si="13524"/>
        <v>5</v>
      </c>
      <c r="X4250" s="399" t="s">
        <v>125</v>
      </c>
      <c r="Y4250" s="389">
        <f t="shared" ref="Y4250" si="13717">D4235</f>
        <v>3</v>
      </c>
      <c r="Z4250" s="400" t="s">
        <v>176</v>
      </c>
      <c r="AA4250" s="402">
        <f t="shared" si="13714"/>
        <v>0</v>
      </c>
      <c r="AB4250" s="403"/>
    </row>
    <row r="4251" spans="1:28">
      <c r="A4251" s="384" t="str">
        <f t="shared" ref="A4251:B4251" si="13718">A4225</f>
        <v>Lantai 2</v>
      </c>
      <c r="B4251" s="385">
        <f t="shared" si="13718"/>
        <v>54</v>
      </c>
      <c r="C4251" s="393" t="s">
        <v>213</v>
      </c>
      <c r="D4251" s="398">
        <f>VLOOKUP(D4225,'Detail Balok'!$C$10:$BJ$140,56,FALSE)</f>
        <v>0</v>
      </c>
      <c r="E4251" s="388" t="s">
        <v>16</v>
      </c>
      <c r="F4251" s="388">
        <f>VLOOKUP(D4225,'Detail Balok'!$C$10:$BJ$140,58,FALSE)</f>
        <v>0</v>
      </c>
      <c r="G4251" s="405" t="s">
        <v>157</v>
      </c>
      <c r="H4251" s="395">
        <f>VLOOKUP(D4225,'Detail Balok'!$C$10:$BJ$140,60,FALSE)</f>
        <v>100</v>
      </c>
      <c r="I4251" s="388"/>
      <c r="J4251" s="399">
        <f t="shared" ref="J4251" si="13719">(D4226-2*F$5)/1000</f>
        <v>0.12</v>
      </c>
      <c r="K4251" s="400" t="s">
        <v>204</v>
      </c>
      <c r="L4251" s="399">
        <f t="shared" si="13710"/>
        <v>0.15</v>
      </c>
      <c r="M4251" s="399" t="s">
        <v>176</v>
      </c>
      <c r="N4251" s="399">
        <f t="shared" si="13711"/>
        <v>0.27</v>
      </c>
      <c r="O4251" s="399"/>
      <c r="P4251" s="399"/>
      <c r="Q4251" s="399"/>
      <c r="R4251" s="399"/>
      <c r="S4251" s="399"/>
      <c r="T4251" s="399" t="s">
        <v>125</v>
      </c>
      <c r="U4251" s="401">
        <f t="shared" si="13712"/>
        <v>0</v>
      </c>
      <c r="V4251" s="399" t="s">
        <v>125</v>
      </c>
      <c r="W4251" s="399">
        <f t="shared" si="13524"/>
        <v>9</v>
      </c>
      <c r="X4251" s="399" t="s">
        <v>125</v>
      </c>
      <c r="Y4251" s="389">
        <f t="shared" ref="Y4251" si="13720">D4235</f>
        <v>3</v>
      </c>
      <c r="Z4251" s="400" t="s">
        <v>176</v>
      </c>
      <c r="AA4251" s="402">
        <f t="shared" si="13714"/>
        <v>0</v>
      </c>
      <c r="AB4251" s="403"/>
    </row>
    <row r="4252" spans="1:28">
      <c r="A4252" s="391"/>
      <c r="B4252" s="392"/>
      <c r="C4252" s="392"/>
      <c r="D4252" s="394"/>
      <c r="E4252" s="388"/>
      <c r="F4252" s="388"/>
      <c r="G4252" s="388"/>
      <c r="H4252" s="395"/>
      <c r="I4252" s="388"/>
      <c r="J4252" s="402"/>
      <c r="K4252" s="388"/>
      <c r="L4252" s="388"/>
      <c r="M4252" s="388"/>
      <c r="N4252" s="388"/>
      <c r="O4252" s="388"/>
      <c r="P4252" s="388"/>
      <c r="Q4252" s="388"/>
      <c r="R4252" s="388"/>
      <c r="S4252" s="388"/>
      <c r="T4252" s="388"/>
      <c r="U4252" s="388"/>
      <c r="V4252" s="388"/>
      <c r="W4252" s="388"/>
      <c r="X4252" s="388"/>
      <c r="Y4252" s="389"/>
      <c r="Z4252" s="388"/>
      <c r="AA4252" s="402"/>
      <c r="AB4252" s="403"/>
    </row>
    <row r="4253" spans="1:28" ht="15.75" thickBot="1">
      <c r="A4253" s="406"/>
      <c r="B4253" s="407"/>
      <c r="C4253" s="407"/>
      <c r="D4253" s="408"/>
      <c r="E4253" s="409"/>
      <c r="F4253" s="409"/>
      <c r="G4253" s="409"/>
      <c r="H4253" s="410"/>
      <c r="I4253" s="409"/>
      <c r="J4253" s="409"/>
      <c r="K4253" s="409"/>
      <c r="L4253" s="409"/>
      <c r="M4253" s="409"/>
      <c r="N4253" s="409"/>
      <c r="O4253" s="409"/>
      <c r="P4253" s="409"/>
      <c r="Q4253" s="409"/>
      <c r="R4253" s="409"/>
      <c r="S4253" s="409"/>
      <c r="T4253" s="409"/>
      <c r="U4253" s="409"/>
      <c r="V4253" s="409"/>
      <c r="W4253" s="409"/>
      <c r="X4253" s="409"/>
      <c r="Y4253" s="411"/>
      <c r="Z4253" s="409"/>
      <c r="AA4253" s="412"/>
      <c r="AB4253" s="413"/>
    </row>
    <row r="4254" spans="1:28">
      <c r="A4254" s="377"/>
      <c r="B4254" s="378"/>
      <c r="C4254" s="378"/>
      <c r="D4254" s="379"/>
      <c r="E4254" s="380"/>
      <c r="F4254" s="380"/>
      <c r="G4254" s="380"/>
      <c r="H4254" s="381"/>
      <c r="I4254" s="380"/>
      <c r="J4254" s="380"/>
      <c r="K4254" s="380"/>
      <c r="L4254" s="380"/>
      <c r="M4254" s="380"/>
      <c r="N4254" s="380"/>
      <c r="O4254" s="380"/>
      <c r="P4254" s="380"/>
      <c r="Q4254" s="380"/>
      <c r="R4254" s="380"/>
      <c r="S4254" s="380"/>
      <c r="T4254" s="380"/>
      <c r="U4254" s="380"/>
      <c r="V4254" s="380"/>
      <c r="W4254" s="380"/>
      <c r="X4254" s="380"/>
      <c r="Y4254" s="382"/>
      <c r="Z4254" s="380"/>
      <c r="AA4254" s="380"/>
      <c r="AB4254" s="383"/>
    </row>
    <row r="4255" spans="1:28">
      <c r="A4255" s="384" t="str">
        <f t="shared" si="13533"/>
        <v>Lantai 2</v>
      </c>
      <c r="B4255" s="385">
        <f t="shared" si="13534"/>
        <v>55</v>
      </c>
      <c r="C4255" s="386" t="str">
        <f t="shared" ref="C4255" si="13721">CONCATENATE(A4255," no. ",B4255)</f>
        <v>Lantai 2 no. 55</v>
      </c>
      <c r="D4255" s="2562" t="str">
        <f>VLOOKUP(C4255,'Data Panjang Balok'!$C$9:$N$254,2,FALSE)</f>
        <v>CL24-1</v>
      </c>
      <c r="E4255" s="2576"/>
      <c r="F4255" s="2576"/>
      <c r="G4255" s="2576"/>
      <c r="H4255" s="2577"/>
      <c r="I4255" s="387"/>
      <c r="J4255" s="388"/>
      <c r="K4255" s="388"/>
      <c r="L4255" s="388"/>
      <c r="M4255" s="388"/>
      <c r="N4255" s="388"/>
      <c r="O4255" s="388"/>
      <c r="P4255" s="388"/>
      <c r="Q4255" s="388"/>
      <c r="R4255" s="388"/>
      <c r="S4255" s="388"/>
      <c r="T4255" s="388"/>
      <c r="U4255" s="388"/>
      <c r="V4255" s="388"/>
      <c r="W4255" s="388"/>
      <c r="X4255" s="388"/>
      <c r="Y4255" s="389"/>
      <c r="Z4255" s="388"/>
      <c r="AA4255" s="388"/>
      <c r="AB4255" s="390"/>
    </row>
    <row r="4256" spans="1:28">
      <c r="A4256" s="391"/>
      <c r="B4256" s="392"/>
      <c r="C4256" s="393" t="s">
        <v>118</v>
      </c>
      <c r="D4256" s="2578">
        <f>VLOOKUP(D4255,'Detail Balok'!$C$10:$AU$140,2,FALSE)</f>
        <v>200</v>
      </c>
      <c r="E4256" s="2579"/>
      <c r="F4256" s="388" t="s">
        <v>125</v>
      </c>
      <c r="G4256" s="2579">
        <f>VLOOKUP(D4255,'Detail Balok'!$C$10:$AU$140,3,FALSE)</f>
        <v>400</v>
      </c>
      <c r="H4256" s="2580"/>
      <c r="I4256" s="388"/>
      <c r="J4256" s="396"/>
      <c r="K4256" s="396"/>
      <c r="L4256" s="396"/>
      <c r="M4256" s="396"/>
      <c r="N4256" s="396"/>
      <c r="O4256" s="396"/>
      <c r="P4256" s="396"/>
      <c r="Q4256" s="396"/>
      <c r="R4256" s="396"/>
      <c r="S4256" s="396"/>
      <c r="T4256" s="396"/>
      <c r="U4256" s="388"/>
      <c r="V4256" s="396"/>
      <c r="W4256" s="388"/>
      <c r="X4256" s="396"/>
      <c r="Y4256" s="389"/>
      <c r="Z4256" s="396"/>
      <c r="AA4256" s="388"/>
      <c r="AB4256" s="390"/>
    </row>
    <row r="4257" spans="1:28">
      <c r="A4257" s="391"/>
      <c r="B4257" s="392"/>
      <c r="C4257" s="393" t="s">
        <v>198</v>
      </c>
      <c r="D4257" s="2562">
        <f>VLOOKUP(C4255,'Data Panjang Balok'!$C$9:$N$254,4,FALSE)</f>
        <v>2100</v>
      </c>
      <c r="E4257" s="2563"/>
      <c r="F4257" s="2563"/>
      <c r="G4257" s="2563"/>
      <c r="H4257" s="2564"/>
      <c r="I4257" s="397"/>
      <c r="J4257" s="396"/>
      <c r="K4257" s="396"/>
      <c r="L4257" s="396"/>
      <c r="M4257" s="396"/>
      <c r="N4257" s="396"/>
      <c r="O4257" s="396"/>
      <c r="P4257" s="396"/>
      <c r="Q4257" s="396"/>
      <c r="R4257" s="396"/>
      <c r="S4257" s="396"/>
      <c r="T4257" s="396"/>
      <c r="U4257" s="388"/>
      <c r="V4257" s="396"/>
      <c r="W4257" s="388"/>
      <c r="X4257" s="396"/>
      <c r="Y4257" s="389"/>
      <c r="Z4257" s="396"/>
      <c r="AA4257" s="388"/>
      <c r="AB4257" s="390"/>
    </row>
    <row r="4258" spans="1:28">
      <c r="A4258" s="391"/>
      <c r="B4258" s="392"/>
      <c r="C4258" s="393" t="s">
        <v>199</v>
      </c>
      <c r="D4258" s="2562">
        <f>VLOOKUP(C4255,'Data Panjang Balok'!$C$9:$N$254,7,FALSE)</f>
        <v>2100</v>
      </c>
      <c r="E4258" s="2563"/>
      <c r="F4258" s="2563"/>
      <c r="G4258" s="2563"/>
      <c r="H4258" s="2564"/>
      <c r="I4258" s="397"/>
      <c r="J4258" s="396"/>
      <c r="K4258" s="396"/>
      <c r="L4258" s="396"/>
      <c r="M4258" s="396"/>
      <c r="N4258" s="396"/>
      <c r="O4258" s="396"/>
      <c r="P4258" s="396"/>
      <c r="Q4258" s="396"/>
      <c r="R4258" s="396"/>
      <c r="S4258" s="396"/>
      <c r="T4258" s="396"/>
      <c r="U4258" s="388"/>
      <c r="V4258" s="396"/>
      <c r="W4258" s="388"/>
      <c r="X4258" s="396"/>
      <c r="Y4258" s="389"/>
      <c r="Z4258" s="396"/>
      <c r="AA4258" s="388"/>
      <c r="AB4258" s="390"/>
    </row>
    <row r="4259" spans="1:28">
      <c r="A4259" s="391"/>
      <c r="B4259" s="392"/>
      <c r="C4259" s="393" t="s">
        <v>200</v>
      </c>
      <c r="D4259" s="2562">
        <f>VLOOKUP(C4255,'Data Panjang Balok'!$C$9:$N$254,9,FALSE)</f>
        <v>0</v>
      </c>
      <c r="E4259" s="2563"/>
      <c r="F4259" s="2563"/>
      <c r="G4259" s="2563"/>
      <c r="H4259" s="2564"/>
      <c r="I4259" s="397"/>
      <c r="J4259" s="396"/>
      <c r="K4259" s="396"/>
      <c r="L4259" s="396"/>
      <c r="M4259" s="396"/>
      <c r="N4259" s="396"/>
      <c r="O4259" s="396"/>
      <c r="P4259" s="396"/>
      <c r="Q4259" s="396"/>
      <c r="R4259" s="396"/>
      <c r="S4259" s="396"/>
      <c r="T4259" s="396"/>
      <c r="U4259" s="388"/>
      <c r="V4259" s="396"/>
      <c r="W4259" s="388"/>
      <c r="X4259" s="396"/>
      <c r="Y4259" s="389"/>
      <c r="Z4259" s="396"/>
      <c r="AA4259" s="388"/>
      <c r="AB4259" s="390"/>
    </row>
    <row r="4260" spans="1:28">
      <c r="A4260" s="391"/>
      <c r="B4260" s="392"/>
      <c r="C4260" s="393" t="s">
        <v>201</v>
      </c>
      <c r="D4260" s="2562">
        <f>VLOOKUP(C4255,'Data Panjang Balok'!$C$9:$N$254,10,FALSE)</f>
        <v>0</v>
      </c>
      <c r="E4260" s="2563"/>
      <c r="F4260" s="2563"/>
      <c r="G4260" s="2563"/>
      <c r="H4260" s="2564"/>
      <c r="I4260" s="397"/>
      <c r="J4260" s="396"/>
      <c r="K4260" s="396"/>
      <c r="L4260" s="396"/>
      <c r="M4260" s="396"/>
      <c r="N4260" s="396"/>
      <c r="O4260" s="396"/>
      <c r="P4260" s="396"/>
      <c r="Q4260" s="396"/>
      <c r="R4260" s="396"/>
      <c r="S4260" s="396"/>
      <c r="T4260" s="396"/>
      <c r="U4260" s="388"/>
      <c r="V4260" s="396"/>
      <c r="W4260" s="388"/>
      <c r="X4260" s="396"/>
      <c r="Y4260" s="389"/>
      <c r="Z4260" s="396"/>
      <c r="AA4260" s="388"/>
      <c r="AB4260" s="390"/>
    </row>
    <row r="4261" spans="1:28">
      <c r="A4261" s="391"/>
      <c r="B4261" s="392"/>
      <c r="C4261" s="393" t="s">
        <v>48</v>
      </c>
      <c r="D4261" s="2562">
        <f>VLOOKUP(C4255,'Data Panjang Balok'!$C$9:$N$254,3,FALSE)</f>
        <v>1</v>
      </c>
      <c r="E4261" s="2563"/>
      <c r="F4261" s="2563"/>
      <c r="G4261" s="2563"/>
      <c r="H4261" s="2564"/>
      <c r="I4261" s="397"/>
      <c r="J4261" s="396"/>
      <c r="K4261" s="396"/>
      <c r="L4261" s="396"/>
      <c r="M4261" s="396"/>
      <c r="N4261" s="396"/>
      <c r="O4261" s="396"/>
      <c r="P4261" s="396"/>
      <c r="Q4261" s="396"/>
      <c r="R4261" s="396"/>
      <c r="S4261" s="396"/>
      <c r="T4261" s="396"/>
      <c r="U4261" s="388"/>
      <c r="V4261" s="396"/>
      <c r="W4261" s="388"/>
      <c r="X4261" s="396"/>
      <c r="Y4261" s="389"/>
      <c r="Z4261" s="396"/>
      <c r="AA4261" s="388"/>
      <c r="AB4261" s="390"/>
    </row>
    <row r="4262" spans="1:28">
      <c r="A4262" s="384" t="str">
        <f t="shared" ref="A4262:B4262" si="13722">A4255</f>
        <v>Lantai 2</v>
      </c>
      <c r="B4262" s="385">
        <f t="shared" si="13722"/>
        <v>55</v>
      </c>
      <c r="C4262" s="393" t="s">
        <v>202</v>
      </c>
      <c r="D4262" s="398">
        <f>VLOOKUP(D4255,'Detail Balok'!$C$10:$AU$140,4,FALSE)</f>
        <v>3</v>
      </c>
      <c r="E4262" s="388" t="s">
        <v>16</v>
      </c>
      <c r="F4262" s="388">
        <f>VLOOKUP(D4255,'Detail Balok'!$C$10:$AU$140,6,FALSE)</f>
        <v>16</v>
      </c>
      <c r="G4262" s="388"/>
      <c r="H4262" s="395"/>
      <c r="I4262" s="388" t="s">
        <v>203</v>
      </c>
      <c r="J4262" s="399">
        <f t="shared" ref="J4262" si="13723">+D4257/4/1000</f>
        <v>0.52500000000000002</v>
      </c>
      <c r="K4262" s="400" t="s">
        <v>204</v>
      </c>
      <c r="L4262" s="399">
        <f t="shared" ref="L4262" si="13724">MAX(VLOOKUP(F4262,N$6:P$15,3,FALSE)/1000,2/3*D4259/1000)+F$16*F4262/1000</f>
        <v>0.192</v>
      </c>
      <c r="M4262" s="399" t="s">
        <v>176</v>
      </c>
      <c r="N4262" s="399">
        <f t="shared" ref="N4262:N4264" si="13725">J4262+L4262</f>
        <v>0.71700000000000008</v>
      </c>
      <c r="O4262" s="399" t="s">
        <v>204</v>
      </c>
      <c r="P4262" s="389">
        <f t="shared" ref="P4262" si="13726">D4262-D4263</f>
        <v>0</v>
      </c>
      <c r="Q4262" s="399" t="s">
        <v>125</v>
      </c>
      <c r="R4262" s="399">
        <f t="shared" ref="R4262" si="13727">IF(P4262&gt;0,$F$18*F4262/1000,0)</f>
        <v>0</v>
      </c>
      <c r="S4262" s="399" t="s">
        <v>205</v>
      </c>
      <c r="T4262" s="399" t="s">
        <v>125</v>
      </c>
      <c r="U4262" s="401">
        <f t="shared" ref="U4262:U4264" si="13728">0.006165*F4262^2</f>
        <v>1.5782400000000001</v>
      </c>
      <c r="V4262" s="399"/>
      <c r="W4262" s="399"/>
      <c r="X4262" s="399" t="s">
        <v>125</v>
      </c>
      <c r="Y4262" s="389">
        <f t="shared" ref="Y4262" si="13729">D4261</f>
        <v>1</v>
      </c>
      <c r="Z4262" s="400" t="s">
        <v>176</v>
      </c>
      <c r="AA4262" s="402">
        <f t="shared" ref="AA4262" si="13730">IF(AA4265=0,(D4262*N4262+P4262*R4262)*U4262*Y4262,0)</f>
        <v>0</v>
      </c>
      <c r="AB4262" s="403"/>
    </row>
    <row r="4263" spans="1:28">
      <c r="A4263" s="384" t="str">
        <f t="shared" ref="A4263:B4263" si="13731">A4255</f>
        <v>Lantai 2</v>
      </c>
      <c r="B4263" s="385">
        <f t="shared" si="13731"/>
        <v>55</v>
      </c>
      <c r="C4263" s="393" t="s">
        <v>206</v>
      </c>
      <c r="D4263" s="398">
        <f>VLOOKUP(D4255,'Detail Balok'!$C$10:$AU$140,7,FALSE)</f>
        <v>3</v>
      </c>
      <c r="E4263" s="388" t="s">
        <v>16</v>
      </c>
      <c r="F4263" s="388">
        <f>VLOOKUP(D4255,'Detail Balok'!$C$10:$AU$140,9,FALSE)</f>
        <v>16</v>
      </c>
      <c r="G4263" s="388"/>
      <c r="H4263" s="395"/>
      <c r="I4263" s="388" t="s">
        <v>203</v>
      </c>
      <c r="J4263" s="399">
        <f t="shared" ref="J4263" si="13732">+D4257/2/1000</f>
        <v>1.05</v>
      </c>
      <c r="K4263" s="400" t="s">
        <v>204</v>
      </c>
      <c r="L4263" s="399"/>
      <c r="M4263" s="399" t="s">
        <v>176</v>
      </c>
      <c r="N4263" s="399">
        <f t="shared" si="13725"/>
        <v>1.05</v>
      </c>
      <c r="O4263" s="399" t="s">
        <v>204</v>
      </c>
      <c r="P4263" s="389">
        <f t="shared" ref="P4263" si="13733">MAX(D4263-D4262,D4263-D4264)</f>
        <v>0</v>
      </c>
      <c r="Q4263" s="399" t="s">
        <v>125</v>
      </c>
      <c r="R4263" s="399">
        <f t="shared" ref="R4263" si="13734">IF(P4263&gt;0,2*(1-2*$F$19-1/2)*D4258/1000,0)</f>
        <v>0</v>
      </c>
      <c r="S4263" s="399" t="s">
        <v>205</v>
      </c>
      <c r="T4263" s="399" t="s">
        <v>125</v>
      </c>
      <c r="U4263" s="401">
        <f t="shared" si="13728"/>
        <v>1.5782400000000001</v>
      </c>
      <c r="V4263" s="399"/>
      <c r="W4263" s="399"/>
      <c r="X4263" s="399" t="s">
        <v>125</v>
      </c>
      <c r="Y4263" s="389">
        <f t="shared" ref="Y4263" si="13735">D4261</f>
        <v>1</v>
      </c>
      <c r="Z4263" s="400" t="s">
        <v>176</v>
      </c>
      <c r="AA4263" s="402">
        <f t="shared" ref="AA4263" si="13736">IF(AA4265=0,(D4263*N4263+P4263*R4263)*U4263*Y4263,0)</f>
        <v>0</v>
      </c>
      <c r="AB4263" s="403"/>
    </row>
    <row r="4264" spans="1:28">
      <c r="A4264" s="384" t="str">
        <f t="shared" ref="A4264:B4264" si="13737">A4255</f>
        <v>Lantai 2</v>
      </c>
      <c r="B4264" s="385">
        <f t="shared" si="13737"/>
        <v>55</v>
      </c>
      <c r="C4264" s="393" t="s">
        <v>202</v>
      </c>
      <c r="D4264" s="398">
        <f>VLOOKUP(D4255,'Detail Balok'!$C$10:$AU$140,10,FALSE)</f>
        <v>3</v>
      </c>
      <c r="E4264" s="388" t="s">
        <v>16</v>
      </c>
      <c r="F4264" s="388">
        <f>VLOOKUP(D4255,'Detail Balok'!$C$10:$AU$140,12,FALSE)</f>
        <v>16</v>
      </c>
      <c r="G4264" s="388"/>
      <c r="H4264" s="395"/>
      <c r="I4264" s="388" t="s">
        <v>203</v>
      </c>
      <c r="J4264" s="399">
        <f t="shared" ref="J4264" si="13738">+D4257/4/1000</f>
        <v>0.52500000000000002</v>
      </c>
      <c r="K4264" s="400" t="s">
        <v>204</v>
      </c>
      <c r="L4264" s="399">
        <f t="shared" ref="L4264" si="13739">MAX(VLOOKUP(F4264,N$6:P$15,3,FALSE)/1000,2/3*D4259/1000)+F$16*F4264/1000</f>
        <v>0.192</v>
      </c>
      <c r="M4264" s="399" t="s">
        <v>176</v>
      </c>
      <c r="N4264" s="399">
        <f t="shared" si="13725"/>
        <v>0.71700000000000008</v>
      </c>
      <c r="O4264" s="399" t="s">
        <v>204</v>
      </c>
      <c r="P4264" s="389">
        <f t="shared" ref="P4264" si="13740">D4264-D4263</f>
        <v>0</v>
      </c>
      <c r="Q4264" s="399" t="s">
        <v>125</v>
      </c>
      <c r="R4264" s="399">
        <f t="shared" ref="R4264" si="13741">IF(P4264&gt;0,$F$18*F4264/1000,0)</f>
        <v>0</v>
      </c>
      <c r="S4264" s="399" t="s">
        <v>205</v>
      </c>
      <c r="T4264" s="399" t="s">
        <v>125</v>
      </c>
      <c r="U4264" s="401">
        <f t="shared" si="13728"/>
        <v>1.5782400000000001</v>
      </c>
      <c r="V4264" s="399"/>
      <c r="W4264" s="399"/>
      <c r="X4264" s="399" t="s">
        <v>125</v>
      </c>
      <c r="Y4264" s="389">
        <f t="shared" ref="Y4264" si="13742">D4261</f>
        <v>1</v>
      </c>
      <c r="Z4264" s="400" t="s">
        <v>176</v>
      </c>
      <c r="AA4264" s="402">
        <f t="shared" ref="AA4264" si="13743">IF(AA4265=0,(D4264*N4264+P4264*R4264)*U4264*Y4264,0)</f>
        <v>0</v>
      </c>
      <c r="AB4264" s="403"/>
    </row>
    <row r="4265" spans="1:28">
      <c r="A4265" s="384" t="str">
        <f t="shared" ref="A4265:B4265" si="13744">A4255</f>
        <v>Lantai 2</v>
      </c>
      <c r="B4265" s="385">
        <f t="shared" si="13744"/>
        <v>55</v>
      </c>
      <c r="C4265" s="393"/>
      <c r="D4265" s="398">
        <f t="shared" ref="D4265" si="13745">IF(AND(D4262=D4263,D4263=D4264,D4262=D4264),D4262,0)</f>
        <v>3</v>
      </c>
      <c r="E4265" s="388" t="s">
        <v>16</v>
      </c>
      <c r="F4265" s="388">
        <f t="shared" ref="F4265" si="13746">IF(AND(F4262=F4263,F4262=F4264,F4263=F4264),F4262,0)</f>
        <v>16</v>
      </c>
      <c r="G4265" s="388"/>
      <c r="H4265" s="395"/>
      <c r="I4265" s="388"/>
      <c r="J4265" s="396"/>
      <c r="K4265" s="396"/>
      <c r="L4265" s="404" t="s">
        <v>207</v>
      </c>
      <c r="M4265" s="399" t="s">
        <v>176</v>
      </c>
      <c r="N4265" s="399">
        <f t="shared" ref="N4265" si="13747">IF(AND(D4262=D4263,D4262=D4264,D4263=D4264,F4262=F4263,F4262=F4264,F4263=F4264),SUM(N4262:N4264),0)</f>
        <v>2.484</v>
      </c>
      <c r="O4265" s="399" t="s">
        <v>204</v>
      </c>
      <c r="P4265" s="389">
        <f t="shared" ref="P4265" si="13748">IF(N4265&gt;12,ROUNDDOWN(N4265/12,0),0)</f>
        <v>0</v>
      </c>
      <c r="Q4265" s="399" t="s">
        <v>125</v>
      </c>
      <c r="R4265" s="399">
        <f t="shared" ref="R4265" si="13749">IF(P4265&gt;0,MAX(VLOOKUP(F4265,$D$6:$G$15,3,FALSE),600),0)/1000</f>
        <v>0</v>
      </c>
      <c r="S4265" s="396"/>
      <c r="T4265" s="396" t="s">
        <v>125</v>
      </c>
      <c r="U4265" s="401">
        <f t="shared" ref="U4265" si="13750">U4264</f>
        <v>1.5782400000000001</v>
      </c>
      <c r="V4265" s="396" t="s">
        <v>125</v>
      </c>
      <c r="W4265" s="399">
        <f t="shared" ref="W4265" si="13751">D4265</f>
        <v>3</v>
      </c>
      <c r="X4265" s="399" t="s">
        <v>125</v>
      </c>
      <c r="Y4265" s="389">
        <f t="shared" ref="Y4265" si="13752">Y4264</f>
        <v>1</v>
      </c>
      <c r="Z4265" s="400" t="s">
        <v>176</v>
      </c>
      <c r="AA4265" s="402">
        <f t="shared" ref="AA4265" si="13753">(N4265+P4265*R4265/1000)*U4265*W4265*Y4265</f>
        <v>11.761044480000001</v>
      </c>
      <c r="AB4265" s="390"/>
    </row>
    <row r="4266" spans="1:28">
      <c r="A4266" s="384"/>
      <c r="B4266" s="385"/>
      <c r="C4266" s="393"/>
      <c r="D4266" s="398"/>
      <c r="E4266" s="388"/>
      <c r="F4266" s="388"/>
      <c r="G4266" s="388"/>
      <c r="H4266" s="395"/>
      <c r="I4266" s="388"/>
      <c r="J4266" s="396"/>
      <c r="K4266" s="396"/>
      <c r="L4266" s="404"/>
      <c r="M4266" s="399"/>
      <c r="N4266" s="399"/>
      <c r="O4266" s="396"/>
      <c r="P4266" s="389"/>
      <c r="Q4266" s="396"/>
      <c r="R4266" s="396"/>
      <c r="S4266" s="396"/>
      <c r="T4266" s="396"/>
      <c r="U4266" s="401"/>
      <c r="V4266" s="396"/>
      <c r="W4266" s="399"/>
      <c r="X4266" s="396"/>
      <c r="Y4266" s="389"/>
      <c r="Z4266" s="396"/>
      <c r="AA4266" s="388"/>
      <c r="AB4266" s="390"/>
    </row>
    <row r="4267" spans="1:28">
      <c r="A4267" s="384" t="str">
        <f t="shared" ref="A4267:B4267" si="13754">A4255</f>
        <v>Lantai 2</v>
      </c>
      <c r="B4267" s="385">
        <f t="shared" si="13754"/>
        <v>55</v>
      </c>
      <c r="C4267" s="393" t="s">
        <v>208</v>
      </c>
      <c r="D4267" s="398">
        <f>VLOOKUP(D4255,'Detail Balok'!$C$10:$AU$140,13,FALSE)</f>
        <v>0</v>
      </c>
      <c r="E4267" s="388" t="s">
        <v>16</v>
      </c>
      <c r="F4267" s="388">
        <f>VLOOKUP(D4255,'Detail Balok'!$C$10:$AU$140,15,FALSE)</f>
        <v>8</v>
      </c>
      <c r="G4267" s="388"/>
      <c r="H4267" s="395"/>
      <c r="I4267" s="388"/>
      <c r="J4267" s="399">
        <f t="shared" ref="J4267" si="13755">+D4257/1000</f>
        <v>2.1</v>
      </c>
      <c r="K4267" s="400" t="s">
        <v>204</v>
      </c>
      <c r="L4267" s="399">
        <f t="shared" ref="L4267" si="13756">2*$F$16*F4267/1000</f>
        <v>0.192</v>
      </c>
      <c r="M4267" s="399" t="s">
        <v>176</v>
      </c>
      <c r="N4267" s="399">
        <f t="shared" ref="N4267" si="13757">J4267+L4267</f>
        <v>2.2920000000000003</v>
      </c>
      <c r="O4267" s="399" t="s">
        <v>204</v>
      </c>
      <c r="P4267" s="389">
        <f t="shared" ref="P4267" si="13758">IF(N4267&gt;12,ROUNDDOWN(N4267/12,0),0)</f>
        <v>0</v>
      </c>
      <c r="Q4267" s="399" t="s">
        <v>125</v>
      </c>
      <c r="R4267" s="399">
        <f t="shared" ref="R4267" si="13759">IF(P4267&gt;0,MAX(VLOOKUP(F4267,$D$6:$G$15,3,FALSE),600),0)/1000</f>
        <v>0</v>
      </c>
      <c r="S4267" s="399"/>
      <c r="T4267" s="399" t="s">
        <v>125</v>
      </c>
      <c r="U4267" s="401">
        <f t="shared" ref="U4267" si="13760">0.006165*F4267^2</f>
        <v>0.39456000000000002</v>
      </c>
      <c r="V4267" s="399" t="s">
        <v>125</v>
      </c>
      <c r="W4267" s="399">
        <f t="shared" ref="W4267" si="13761">+D4267</f>
        <v>0</v>
      </c>
      <c r="X4267" s="399" t="s">
        <v>125</v>
      </c>
      <c r="Y4267" s="389">
        <f t="shared" ref="Y4267" si="13762">D4261</f>
        <v>1</v>
      </c>
      <c r="Z4267" s="400" t="s">
        <v>176</v>
      </c>
      <c r="AA4267" s="402">
        <f t="shared" ref="AA4267" si="13763">(N4267+P4267*R4267/1000)*U4267*W4267*Y4267</f>
        <v>0</v>
      </c>
      <c r="AB4267" s="403"/>
    </row>
    <row r="4268" spans="1:28">
      <c r="A4268" s="384"/>
      <c r="B4268" s="385"/>
      <c r="C4268" s="393"/>
      <c r="D4268" s="398"/>
      <c r="E4268" s="388"/>
      <c r="F4268" s="388"/>
      <c r="G4268" s="388"/>
      <c r="H4268" s="395"/>
      <c r="I4268" s="388"/>
      <c r="J4268" s="399"/>
      <c r="K4268" s="400"/>
      <c r="L4268" s="399"/>
      <c r="M4268" s="399"/>
      <c r="N4268" s="399"/>
      <c r="O4268" s="399"/>
      <c r="P4268" s="389"/>
      <c r="Q4268" s="399"/>
      <c r="R4268" s="399"/>
      <c r="S4268" s="399"/>
      <c r="T4268" s="399"/>
      <c r="U4268" s="401"/>
      <c r="V4268" s="399"/>
      <c r="W4268" s="399"/>
      <c r="X4268" s="399"/>
      <c r="Y4268" s="389"/>
      <c r="Z4268" s="400"/>
      <c r="AA4268" s="402"/>
      <c r="AB4268" s="403"/>
    </row>
    <row r="4269" spans="1:28">
      <c r="A4269" s="384"/>
      <c r="B4269" s="385"/>
      <c r="C4269" s="393"/>
      <c r="D4269" s="398"/>
      <c r="E4269" s="388"/>
      <c r="F4269" s="388"/>
      <c r="G4269" s="388"/>
      <c r="H4269" s="395"/>
      <c r="I4269" s="388"/>
      <c r="J4269" s="396"/>
      <c r="K4269" s="396"/>
      <c r="L4269" s="396"/>
      <c r="M4269" s="396"/>
      <c r="N4269" s="396"/>
      <c r="O4269" s="396"/>
      <c r="P4269" s="389"/>
      <c r="Q4269" s="396"/>
      <c r="R4269" s="396"/>
      <c r="S4269" s="396"/>
      <c r="T4269" s="396"/>
      <c r="U4269" s="401"/>
      <c r="V4269" s="396"/>
      <c r="W4269" s="399"/>
      <c r="X4269" s="396"/>
      <c r="Y4269" s="389"/>
      <c r="Z4269" s="396"/>
      <c r="AA4269" s="388"/>
      <c r="AB4269" s="390"/>
    </row>
    <row r="4270" spans="1:28">
      <c r="A4270" s="384" t="str">
        <f t="shared" ref="A4270:B4270" si="13764">A4255</f>
        <v>Lantai 2</v>
      </c>
      <c r="B4270" s="385">
        <f t="shared" si="13764"/>
        <v>55</v>
      </c>
      <c r="C4270" s="393" t="s">
        <v>209</v>
      </c>
      <c r="D4270" s="398">
        <f>VLOOKUP(D4255,'Detail Balok'!$C$10:$AU$140,22,FALSE)</f>
        <v>3</v>
      </c>
      <c r="E4270" s="388" t="s">
        <v>16</v>
      </c>
      <c r="F4270" s="388">
        <f>VLOOKUP(D4255,'Detail Balok'!$C$10:$AU$140,24,FALSE)</f>
        <v>16</v>
      </c>
      <c r="G4270" s="388"/>
      <c r="H4270" s="395"/>
      <c r="I4270" s="388" t="s">
        <v>203</v>
      </c>
      <c r="J4270" s="399">
        <f t="shared" ref="J4270:J4272" si="13765">+J4262</f>
        <v>0.52500000000000002</v>
      </c>
      <c r="K4270" s="400" t="s">
        <v>204</v>
      </c>
      <c r="L4270" s="399">
        <f t="shared" ref="L4270" si="13766">MAX(VLOOKUP(F4270,N$6:P$15,3,FALSE)/1000,2/3*D4260/1000)+F$16*F4270/1000</f>
        <v>0.192</v>
      </c>
      <c r="M4270" s="399" t="s">
        <v>176</v>
      </c>
      <c r="N4270" s="399">
        <f t="shared" ref="N4270:N4272" si="13767">J4270+L4270</f>
        <v>0.71700000000000008</v>
      </c>
      <c r="O4270" s="399" t="s">
        <v>204</v>
      </c>
      <c r="P4270" s="389">
        <f t="shared" ref="P4270" si="13768">D4270-D4271</f>
        <v>0</v>
      </c>
      <c r="Q4270" s="399" t="s">
        <v>125</v>
      </c>
      <c r="R4270" s="399">
        <f t="shared" ref="R4270" si="13769">IF(P4270&gt;0,$F$18*F4270/1000,0)</f>
        <v>0</v>
      </c>
      <c r="S4270" s="399" t="s">
        <v>205</v>
      </c>
      <c r="T4270" s="399" t="s">
        <v>125</v>
      </c>
      <c r="U4270" s="401">
        <f t="shared" ref="U4270:U4272" si="13770">0.006165*F4270^2</f>
        <v>1.5782400000000001</v>
      </c>
      <c r="V4270" s="399"/>
      <c r="W4270" s="399"/>
      <c r="X4270" s="399" t="s">
        <v>125</v>
      </c>
      <c r="Y4270" s="389">
        <f t="shared" ref="Y4270" si="13771">D4261</f>
        <v>1</v>
      </c>
      <c r="Z4270" s="400" t="s">
        <v>176</v>
      </c>
      <c r="AA4270" s="402">
        <f t="shared" ref="AA4270" si="13772">IF(AA4273=0,(D4270*N4270+P4270*R4270)*U4270*Y4270,0)</f>
        <v>0</v>
      </c>
      <c r="AB4270" s="403"/>
    </row>
    <row r="4271" spans="1:28">
      <c r="A4271" s="384" t="str">
        <f t="shared" ref="A4271:B4271" si="13773">A4255</f>
        <v>Lantai 2</v>
      </c>
      <c r="B4271" s="385">
        <f t="shared" si="13773"/>
        <v>55</v>
      </c>
      <c r="C4271" s="393" t="s">
        <v>210</v>
      </c>
      <c r="D4271" s="398">
        <f>VLOOKUP(D4255,'Detail Balok'!$C$10:$AU$140,25,FALSE)</f>
        <v>3</v>
      </c>
      <c r="E4271" s="388" t="s">
        <v>16</v>
      </c>
      <c r="F4271" s="388">
        <f>VLOOKUP(D4255,'Detail Balok'!$C$10:$AU$140,27,FALSE)</f>
        <v>16</v>
      </c>
      <c r="G4271" s="388"/>
      <c r="H4271" s="395"/>
      <c r="I4271" s="388" t="s">
        <v>203</v>
      </c>
      <c r="J4271" s="399">
        <f t="shared" si="13765"/>
        <v>1.05</v>
      </c>
      <c r="K4271" s="400" t="s">
        <v>204</v>
      </c>
      <c r="L4271" s="399"/>
      <c r="M4271" s="399" t="s">
        <v>176</v>
      </c>
      <c r="N4271" s="399">
        <f t="shared" si="13767"/>
        <v>1.05</v>
      </c>
      <c r="O4271" s="399" t="s">
        <v>204</v>
      </c>
      <c r="P4271" s="389">
        <f t="shared" ref="P4271" si="13774">MAX(D4271-D4270,D4271-D4272)</f>
        <v>0</v>
      </c>
      <c r="Q4271" s="399" t="s">
        <v>125</v>
      </c>
      <c r="R4271" s="399">
        <f t="shared" ref="R4271" si="13775">IF(P4271&gt;0,2*(1-2*$F$19-1/2)*D4258/1000,0)</f>
        <v>0</v>
      </c>
      <c r="S4271" s="399" t="s">
        <v>205</v>
      </c>
      <c r="T4271" s="399" t="s">
        <v>125</v>
      </c>
      <c r="U4271" s="401">
        <f t="shared" si="13770"/>
        <v>1.5782400000000001</v>
      </c>
      <c r="V4271" s="399"/>
      <c r="W4271" s="399"/>
      <c r="X4271" s="399" t="s">
        <v>125</v>
      </c>
      <c r="Y4271" s="389">
        <f t="shared" ref="Y4271" si="13776">D4261</f>
        <v>1</v>
      </c>
      <c r="Z4271" s="400" t="s">
        <v>176</v>
      </c>
      <c r="AA4271" s="402">
        <f t="shared" ref="AA4271" si="13777">IF(AA4273=0,(D4271*N4271+P4271*R4271)*U4271*Y4271,0)</f>
        <v>0</v>
      </c>
      <c r="AB4271" s="403"/>
    </row>
    <row r="4272" spans="1:28">
      <c r="A4272" s="384" t="str">
        <f t="shared" ref="A4272:B4272" si="13778">A4255</f>
        <v>Lantai 2</v>
      </c>
      <c r="B4272" s="385">
        <f t="shared" si="13778"/>
        <v>55</v>
      </c>
      <c r="C4272" s="393" t="s">
        <v>209</v>
      </c>
      <c r="D4272" s="398">
        <f>VLOOKUP(D4255,'Detail Balok'!$C$10:$AU$140,28,FALSE)</f>
        <v>3</v>
      </c>
      <c r="E4272" s="388" t="s">
        <v>16</v>
      </c>
      <c r="F4272" s="388">
        <f>VLOOKUP(D4255,'Detail Balok'!$C$10:$AU$140,30,FALSE)</f>
        <v>16</v>
      </c>
      <c r="G4272" s="388"/>
      <c r="H4272" s="395"/>
      <c r="I4272" s="388" t="s">
        <v>203</v>
      </c>
      <c r="J4272" s="399">
        <f t="shared" si="13765"/>
        <v>0.52500000000000002</v>
      </c>
      <c r="K4272" s="400" t="s">
        <v>204</v>
      </c>
      <c r="L4272" s="399">
        <f t="shared" ref="L4272" si="13779">MAX(VLOOKUP(F4272,N$6:P$15,3,FALSE)/1000,2/3*D4260/1000)+F$16*F4272/1000</f>
        <v>0.192</v>
      </c>
      <c r="M4272" s="399" t="s">
        <v>176</v>
      </c>
      <c r="N4272" s="399">
        <f t="shared" si="13767"/>
        <v>0.71700000000000008</v>
      </c>
      <c r="O4272" s="399" t="s">
        <v>204</v>
      </c>
      <c r="P4272" s="389">
        <f t="shared" ref="P4272" si="13780">D4272-D4271</f>
        <v>0</v>
      </c>
      <c r="Q4272" s="399" t="s">
        <v>125</v>
      </c>
      <c r="R4272" s="399">
        <f t="shared" ref="R4272" si="13781">IF(P4272&gt;0,$F$18*F4272/1000,0)</f>
        <v>0</v>
      </c>
      <c r="S4272" s="399" t="s">
        <v>205</v>
      </c>
      <c r="T4272" s="399" t="s">
        <v>125</v>
      </c>
      <c r="U4272" s="401">
        <f t="shared" si="13770"/>
        <v>1.5782400000000001</v>
      </c>
      <c r="V4272" s="399"/>
      <c r="W4272" s="399"/>
      <c r="X4272" s="399" t="s">
        <v>125</v>
      </c>
      <c r="Y4272" s="389">
        <f t="shared" ref="Y4272" si="13782">D4261</f>
        <v>1</v>
      </c>
      <c r="Z4272" s="400" t="s">
        <v>176</v>
      </c>
      <c r="AA4272" s="402">
        <f t="shared" ref="AA4272" si="13783">IF(AA4273=0,(D4272*N4272+P4272*R4272)*U4272*Y4272,0)</f>
        <v>0</v>
      </c>
      <c r="AB4272" s="403"/>
    </row>
    <row r="4273" spans="1:28">
      <c r="A4273" s="384" t="str">
        <f t="shared" ref="A4273:B4273" si="13784">A4255</f>
        <v>Lantai 2</v>
      </c>
      <c r="B4273" s="385">
        <f t="shared" si="13784"/>
        <v>55</v>
      </c>
      <c r="C4273" s="393"/>
      <c r="D4273" s="398">
        <f t="shared" ref="D4273" si="13785">IF(AND(D4270=D4271,D4271=D4272,D4270=D4272),D4270,0)</f>
        <v>3</v>
      </c>
      <c r="E4273" s="388" t="s">
        <v>16</v>
      </c>
      <c r="F4273" s="388">
        <f t="shared" ref="F4273" si="13786">IF(AND(F4270=F4271,F4270=F4272,F4271=F4272),F4270,0)</f>
        <v>16</v>
      </c>
      <c r="G4273" s="388"/>
      <c r="H4273" s="395"/>
      <c r="I4273" s="388"/>
      <c r="J4273" s="396"/>
      <c r="K4273" s="396"/>
      <c r="L4273" s="404" t="s">
        <v>207</v>
      </c>
      <c r="M4273" s="399" t="s">
        <v>176</v>
      </c>
      <c r="N4273" s="399">
        <f t="shared" ref="N4273" si="13787">IF(AND(D4270=D4271,D4270=D4272,D4271=D4272,F4270=F4271,F4270=F4272,F4271=F4272),SUM(N4270:N4272),0)</f>
        <v>2.484</v>
      </c>
      <c r="O4273" s="399" t="s">
        <v>204</v>
      </c>
      <c r="P4273" s="389">
        <f t="shared" ref="P4273" si="13788">IF(N4273&gt;12,ROUNDDOWN(N4273/12,0),0)</f>
        <v>0</v>
      </c>
      <c r="Q4273" s="399" t="s">
        <v>125</v>
      </c>
      <c r="R4273" s="399">
        <f t="shared" ref="R4273" si="13789">IF(P4273&gt;0,MAX(VLOOKUP(F4273,$D$6:$G$15,3,FALSE),600),0)/1000</f>
        <v>0</v>
      </c>
      <c r="S4273" s="396"/>
      <c r="T4273" s="396" t="s">
        <v>125</v>
      </c>
      <c r="U4273" s="401">
        <f t="shared" ref="U4273" si="13790">U4272</f>
        <v>1.5782400000000001</v>
      </c>
      <c r="V4273" s="396" t="s">
        <v>125</v>
      </c>
      <c r="W4273" s="399">
        <f t="shared" ref="W4273" si="13791">D4273</f>
        <v>3</v>
      </c>
      <c r="X4273" s="399" t="s">
        <v>125</v>
      </c>
      <c r="Y4273" s="389">
        <f t="shared" ref="Y4273" si="13792">Y4272</f>
        <v>1</v>
      </c>
      <c r="Z4273" s="400" t="s">
        <v>176</v>
      </c>
      <c r="AA4273" s="402">
        <f t="shared" ref="AA4273" si="13793">(N4273+P4273*R4273/1000)*U4273*W4273*Y4273</f>
        <v>11.761044480000001</v>
      </c>
      <c r="AB4273" s="403"/>
    </row>
    <row r="4274" spans="1:28">
      <c r="A4274" s="384"/>
      <c r="B4274" s="385"/>
      <c r="C4274" s="393"/>
      <c r="D4274" s="394"/>
      <c r="E4274" s="388"/>
      <c r="F4274" s="388"/>
      <c r="G4274" s="388"/>
      <c r="H4274" s="395"/>
      <c r="I4274" s="388"/>
      <c r="J4274" s="399"/>
      <c r="K4274" s="396"/>
      <c r="L4274" s="396"/>
      <c r="M4274" s="396"/>
      <c r="N4274" s="396"/>
      <c r="O4274" s="396"/>
      <c r="P4274" s="389"/>
      <c r="Q4274" s="396"/>
      <c r="R4274" s="396"/>
      <c r="S4274" s="396"/>
      <c r="T4274" s="396"/>
      <c r="U4274" s="401"/>
      <c r="V4274" s="396"/>
      <c r="W4274" s="388"/>
      <c r="X4274" s="396"/>
      <c r="Y4274" s="389"/>
      <c r="Z4274" s="396"/>
      <c r="AA4274" s="388"/>
      <c r="AB4274" s="390"/>
    </row>
    <row r="4275" spans="1:28">
      <c r="A4275" s="384" t="str">
        <f t="shared" ref="A4275:B4275" si="13794">A4255</f>
        <v>Lantai 2</v>
      </c>
      <c r="B4275" s="385">
        <f t="shared" si="13794"/>
        <v>55</v>
      </c>
      <c r="C4275" s="393" t="s">
        <v>211</v>
      </c>
      <c r="D4275" s="398">
        <f>VLOOKUP(D4255,'Detail Balok'!$C$10:$AU$140,31,FALSE)</f>
        <v>0</v>
      </c>
      <c r="E4275" s="388" t="s">
        <v>16</v>
      </c>
      <c r="F4275" s="388">
        <f>VLOOKUP(D4255,'Detail Balok'!$C$10:$AU$140,33,FALSE)</f>
        <v>10</v>
      </c>
      <c r="G4275" s="405" t="s">
        <v>157</v>
      </c>
      <c r="H4275" s="395">
        <f>VLOOKUP(D4255,'Detail Balok'!$C$10:$AU$140,35,FALSE)</f>
        <v>100</v>
      </c>
      <c r="I4275" s="388"/>
      <c r="J4275" s="400">
        <f t="shared" ref="J4275" si="13795">(IF(D4275=0,(2*(D4256+G4256))-(F$5*8),IF(D4275=3,(2*(D4256+G4256))-(F$5*8)+(G4256-2*F$5),IF(D4275=4,(2*(D4256+G4256))-(F$5*8)+2*(G4256-2*F$5)))))/1000</f>
        <v>0.88</v>
      </c>
      <c r="K4275" s="400" t="s">
        <v>204</v>
      </c>
      <c r="L4275" s="399">
        <f t="shared" ref="L4275:L4277" si="13796">IF(D4275=0,2*MAX(6*F4275,75),(D4275-1)*2*MAX(6*F4275,75))/1000</f>
        <v>0.15</v>
      </c>
      <c r="M4275" s="399" t="s">
        <v>176</v>
      </c>
      <c r="N4275" s="399">
        <f t="shared" ref="N4275:N4277" si="13797">J4275+L4275</f>
        <v>1.03</v>
      </c>
      <c r="O4275" s="399"/>
      <c r="P4275" s="389"/>
      <c r="Q4275" s="399"/>
      <c r="R4275" s="399"/>
      <c r="S4275" s="399"/>
      <c r="T4275" s="399" t="s">
        <v>125</v>
      </c>
      <c r="U4275" s="401">
        <f t="shared" ref="U4275:U4277" si="13798">0.006165*F4275^2</f>
        <v>0.61650000000000005</v>
      </c>
      <c r="V4275" s="399" t="s">
        <v>125</v>
      </c>
      <c r="W4275" s="399">
        <f t="shared" ref="W4275" si="13799">IF(D4258&gt;4*G4256,ROUND(MAX(D4258/4,2*G4256)/H4275,0)+1,ROUND(D4258/H4275,0)+1)</f>
        <v>9</v>
      </c>
      <c r="X4275" s="399" t="s">
        <v>125</v>
      </c>
      <c r="Y4275" s="389">
        <f t="shared" ref="Y4275" si="13800">D4261</f>
        <v>1</v>
      </c>
      <c r="Z4275" s="400" t="s">
        <v>176</v>
      </c>
      <c r="AA4275" s="402">
        <f t="shared" ref="AA4275:AA4277" si="13801">N4275*U4275*W4275*Y4275</f>
        <v>5.7149550000000007</v>
      </c>
      <c r="AB4275" s="403"/>
    </row>
    <row r="4276" spans="1:28">
      <c r="A4276" s="384" t="str">
        <f t="shared" ref="A4276:B4276" si="13802">A4255</f>
        <v>Lantai 2</v>
      </c>
      <c r="B4276" s="385">
        <f t="shared" si="13802"/>
        <v>55</v>
      </c>
      <c r="C4276" s="393" t="s">
        <v>212</v>
      </c>
      <c r="D4276" s="398">
        <f>VLOOKUP(D4255,'Detail Balok'!$C$10:$AU$140,36,FALSE)</f>
        <v>0</v>
      </c>
      <c r="E4276" s="388" t="s">
        <v>16</v>
      </c>
      <c r="F4276" s="388">
        <f>VLOOKUP(D4255,'Detail Balok'!$C$10:$AU$140,38,FALSE)</f>
        <v>10</v>
      </c>
      <c r="G4276" s="405" t="s">
        <v>157</v>
      </c>
      <c r="H4276" s="395">
        <f>VLOOKUP(D4255,'Detail Balok'!$C$10:$AU$140,40,FALSE)</f>
        <v>100</v>
      </c>
      <c r="I4276" s="388"/>
      <c r="J4276" s="400">
        <f t="shared" ref="J4276" si="13803">(IF(D4276=0,(2*(D4256+G4256))-(F$5*8),IF(D4276=3,(2*(D4256+G4256))-(F$5*8)+(G4256-2*F$5),IF(D4276=4,(2*(D4256+G4256))-(F$5*8)+2*(G4256-2*F$5)))))/1000</f>
        <v>0.88</v>
      </c>
      <c r="K4276" s="400" t="s">
        <v>204</v>
      </c>
      <c r="L4276" s="399">
        <f t="shared" si="13796"/>
        <v>0.15</v>
      </c>
      <c r="M4276" s="399" t="s">
        <v>176</v>
      </c>
      <c r="N4276" s="399">
        <f t="shared" si="13797"/>
        <v>1.03</v>
      </c>
      <c r="O4276" s="399"/>
      <c r="P4276" s="389"/>
      <c r="Q4276" s="399"/>
      <c r="R4276" s="399"/>
      <c r="S4276" s="399"/>
      <c r="T4276" s="399" t="s">
        <v>125</v>
      </c>
      <c r="U4276" s="401">
        <f t="shared" si="13798"/>
        <v>0.61650000000000005</v>
      </c>
      <c r="V4276" s="399" t="s">
        <v>125</v>
      </c>
      <c r="W4276" s="399">
        <f t="shared" ref="W4276" si="13804">IF(D4258-MAX(D4258/4,2*G4256)*2&gt;0,ROUND((D4258-MAX(D4258/4,2*G4256)*2)/H4276,0),0)</f>
        <v>5</v>
      </c>
      <c r="X4276" s="399" t="s">
        <v>125</v>
      </c>
      <c r="Y4276" s="389">
        <f t="shared" ref="Y4276" si="13805">D4261</f>
        <v>1</v>
      </c>
      <c r="Z4276" s="400" t="s">
        <v>176</v>
      </c>
      <c r="AA4276" s="402">
        <f t="shared" si="13801"/>
        <v>3.1749750000000003</v>
      </c>
      <c r="AB4276" s="403"/>
    </row>
    <row r="4277" spans="1:28">
      <c r="A4277" s="384" t="str">
        <f t="shared" ref="A4277:B4277" si="13806">A4255</f>
        <v>Lantai 2</v>
      </c>
      <c r="B4277" s="385">
        <f t="shared" si="13806"/>
        <v>55</v>
      </c>
      <c r="C4277" s="393" t="s">
        <v>211</v>
      </c>
      <c r="D4277" s="398">
        <f>VLOOKUP(D4255,'Detail Balok'!$C$10:$AU$140,41,FALSE)</f>
        <v>0</v>
      </c>
      <c r="E4277" s="388" t="s">
        <v>16</v>
      </c>
      <c r="F4277" s="388">
        <f>VLOOKUP(D4255,'Detail Balok'!$C$10:$AU$140,43,FALSE)</f>
        <v>10</v>
      </c>
      <c r="G4277" s="405" t="s">
        <v>157</v>
      </c>
      <c r="H4277" s="395">
        <f>VLOOKUP(D4255,'Detail Balok'!$C$10:$AU$140,45,FALSE)</f>
        <v>100</v>
      </c>
      <c r="I4277" s="388"/>
      <c r="J4277" s="400">
        <f t="shared" ref="J4277" si="13807">(IF(D4277=0,(2*(D4256+G4256))-(F$5*8),IF(D4277=3,(2*(D4256+G4256))-(F$5*8)+(G4256-2*F$5),IF(D4277=4,(2*(D4256+G4256))-(F$5*8)+2*(G4256-2*F$5)))))/1000</f>
        <v>0.88</v>
      </c>
      <c r="K4277" s="400" t="s">
        <v>204</v>
      </c>
      <c r="L4277" s="399">
        <f t="shared" si="13796"/>
        <v>0.15</v>
      </c>
      <c r="M4277" s="399" t="s">
        <v>176</v>
      </c>
      <c r="N4277" s="399">
        <f t="shared" si="13797"/>
        <v>1.03</v>
      </c>
      <c r="O4277" s="399"/>
      <c r="P4277" s="389"/>
      <c r="Q4277" s="399"/>
      <c r="R4277" s="399"/>
      <c r="S4277" s="399"/>
      <c r="T4277" s="399" t="s">
        <v>125</v>
      </c>
      <c r="U4277" s="401">
        <f t="shared" si="13798"/>
        <v>0.61650000000000005</v>
      </c>
      <c r="V4277" s="399" t="s">
        <v>125</v>
      </c>
      <c r="W4277" s="399">
        <f t="shared" ref="W4277" si="13808">IF(D4258&gt;4*G4256,ROUND(MAX(D4258/4,2*G4256)/H4277,0)+1,0)</f>
        <v>9</v>
      </c>
      <c r="X4277" s="399" t="s">
        <v>125</v>
      </c>
      <c r="Y4277" s="389">
        <f t="shared" ref="Y4277" si="13809">D4261</f>
        <v>1</v>
      </c>
      <c r="Z4277" s="400" t="s">
        <v>176</v>
      </c>
      <c r="AA4277" s="402">
        <f t="shared" si="13801"/>
        <v>5.7149550000000007</v>
      </c>
      <c r="AB4277" s="403"/>
    </row>
    <row r="4278" spans="1:28">
      <c r="A4278" s="384"/>
      <c r="B4278" s="385"/>
      <c r="C4278" s="393"/>
      <c r="D4278" s="394"/>
      <c r="E4278" s="388"/>
      <c r="F4278" s="388"/>
      <c r="G4278" s="388"/>
      <c r="H4278" s="395"/>
      <c r="I4278" s="388"/>
      <c r="J4278" s="399"/>
      <c r="K4278" s="396"/>
      <c r="L4278" s="396"/>
      <c r="M4278" s="396"/>
      <c r="N4278" s="396"/>
      <c r="O4278" s="396"/>
      <c r="P4278" s="389"/>
      <c r="Q4278" s="396"/>
      <c r="R4278" s="396"/>
      <c r="S4278" s="396"/>
      <c r="T4278" s="396"/>
      <c r="U4278" s="401"/>
      <c r="V4278" s="396"/>
      <c r="W4278" s="388"/>
      <c r="X4278" s="396"/>
      <c r="Y4278" s="389"/>
      <c r="Z4278" s="396"/>
      <c r="AA4278" s="388"/>
      <c r="AB4278" s="390"/>
    </row>
    <row r="4279" spans="1:28">
      <c r="A4279" s="384" t="str">
        <f t="shared" ref="A4279:B4279" si="13810">A4255</f>
        <v>Lantai 2</v>
      </c>
      <c r="B4279" s="385">
        <f t="shared" si="13810"/>
        <v>55</v>
      </c>
      <c r="C4279" s="393" t="s">
        <v>213</v>
      </c>
      <c r="D4279" s="398">
        <f>VLOOKUP(D4255,'Detail Balok'!$C$10:$BJ$140,46,FALSE)</f>
        <v>0</v>
      </c>
      <c r="E4279" s="388" t="s">
        <v>16</v>
      </c>
      <c r="F4279" s="388">
        <f>VLOOKUP(D4255,'Detail Balok'!$C$10:$BJ$140,48,FALSE)</f>
        <v>0</v>
      </c>
      <c r="G4279" s="405" t="s">
        <v>157</v>
      </c>
      <c r="H4279" s="395">
        <f>VLOOKUP(D4255,'Detail Balok'!$C$10:$BJ$140,50,FALSE)</f>
        <v>100</v>
      </c>
      <c r="I4279" s="388"/>
      <c r="J4279" s="399">
        <f t="shared" ref="J4279" si="13811">(D4256-2*F$5)/1000</f>
        <v>0.12</v>
      </c>
      <c r="K4279" s="400" t="s">
        <v>204</v>
      </c>
      <c r="L4279" s="399">
        <f t="shared" ref="L4279:L4281" si="13812">IF(D4279=0,2*MAX(6*F4279,75),(D4279-1)*2*MAX(6*F4279,75))/1000</f>
        <v>0.15</v>
      </c>
      <c r="M4279" s="399" t="s">
        <v>176</v>
      </c>
      <c r="N4279" s="399">
        <f t="shared" ref="N4279:N4281" si="13813">J4279+L4279</f>
        <v>0.27</v>
      </c>
      <c r="O4279" s="399"/>
      <c r="P4279" s="399"/>
      <c r="Q4279" s="399"/>
      <c r="R4279" s="399"/>
      <c r="S4279" s="399"/>
      <c r="T4279" s="399" t="s">
        <v>125</v>
      </c>
      <c r="U4279" s="401">
        <f t="shared" ref="U4279:U4281" si="13814">0.006165*F4279^2</f>
        <v>0</v>
      </c>
      <c r="V4279" s="399" t="s">
        <v>125</v>
      </c>
      <c r="W4279" s="399">
        <f t="shared" ref="W4279:W4281" si="13815">W4275</f>
        <v>9</v>
      </c>
      <c r="X4279" s="399" t="s">
        <v>125</v>
      </c>
      <c r="Y4279" s="389">
        <f t="shared" ref="Y4279" si="13816">D4265</f>
        <v>3</v>
      </c>
      <c r="Z4279" s="400" t="s">
        <v>176</v>
      </c>
      <c r="AA4279" s="402">
        <f t="shared" ref="AA4279:AA4281" si="13817">N4279*U4279*W4279*Y4279</f>
        <v>0</v>
      </c>
      <c r="AB4279" s="403"/>
    </row>
    <row r="4280" spans="1:28">
      <c r="A4280" s="384" t="str">
        <f t="shared" ref="A4280:B4280" si="13818">A4255</f>
        <v>Lantai 2</v>
      </c>
      <c r="B4280" s="385">
        <f t="shared" si="13818"/>
        <v>55</v>
      </c>
      <c r="C4280" s="393" t="s">
        <v>214</v>
      </c>
      <c r="D4280" s="398">
        <f>VLOOKUP(D4255,'Detail Balok'!$C$10:$BJ$140,51,FALSE)</f>
        <v>0</v>
      </c>
      <c r="E4280" s="388" t="s">
        <v>16</v>
      </c>
      <c r="F4280" s="388">
        <f>VLOOKUP(D4255,'Detail Balok'!$C$10:$BJ$140,53,FALSE)</f>
        <v>0</v>
      </c>
      <c r="G4280" s="405" t="s">
        <v>157</v>
      </c>
      <c r="H4280" s="395">
        <f>VLOOKUP(D4255,'Detail Balok'!$C$10:$BJ$140,55,FALSE)</f>
        <v>100</v>
      </c>
      <c r="I4280" s="388"/>
      <c r="J4280" s="399">
        <f t="shared" ref="J4280" si="13819">(D4256-2*F$5)/1000</f>
        <v>0.12</v>
      </c>
      <c r="K4280" s="400" t="s">
        <v>204</v>
      </c>
      <c r="L4280" s="399">
        <f t="shared" si="13812"/>
        <v>0.15</v>
      </c>
      <c r="M4280" s="399" t="s">
        <v>176</v>
      </c>
      <c r="N4280" s="399">
        <f t="shared" si="13813"/>
        <v>0.27</v>
      </c>
      <c r="O4280" s="399"/>
      <c r="P4280" s="399"/>
      <c r="Q4280" s="399"/>
      <c r="R4280" s="399"/>
      <c r="S4280" s="399"/>
      <c r="T4280" s="399" t="s">
        <v>125</v>
      </c>
      <c r="U4280" s="401">
        <f t="shared" si="13814"/>
        <v>0</v>
      </c>
      <c r="V4280" s="399" t="s">
        <v>125</v>
      </c>
      <c r="W4280" s="399">
        <f t="shared" si="13815"/>
        <v>5</v>
      </c>
      <c r="X4280" s="399" t="s">
        <v>125</v>
      </c>
      <c r="Y4280" s="389">
        <f t="shared" ref="Y4280" si="13820">D4265</f>
        <v>3</v>
      </c>
      <c r="Z4280" s="400" t="s">
        <v>176</v>
      </c>
      <c r="AA4280" s="402">
        <f t="shared" si="13817"/>
        <v>0</v>
      </c>
      <c r="AB4280" s="403"/>
    </row>
    <row r="4281" spans="1:28">
      <c r="A4281" s="384" t="str">
        <f t="shared" ref="A4281:B4281" si="13821">A4255</f>
        <v>Lantai 2</v>
      </c>
      <c r="B4281" s="385">
        <f t="shared" si="13821"/>
        <v>55</v>
      </c>
      <c r="C4281" s="393" t="s">
        <v>213</v>
      </c>
      <c r="D4281" s="398">
        <f>VLOOKUP(D4255,'Detail Balok'!$C$10:$BJ$140,56,FALSE)</f>
        <v>0</v>
      </c>
      <c r="E4281" s="388" t="s">
        <v>16</v>
      </c>
      <c r="F4281" s="388">
        <f>VLOOKUP(D4255,'Detail Balok'!$C$10:$BJ$140,58,FALSE)</f>
        <v>0</v>
      </c>
      <c r="G4281" s="405" t="s">
        <v>157</v>
      </c>
      <c r="H4281" s="395">
        <f>VLOOKUP(D4255,'Detail Balok'!$C$10:$BJ$140,60,FALSE)</f>
        <v>100</v>
      </c>
      <c r="I4281" s="388"/>
      <c r="J4281" s="399">
        <f t="shared" ref="J4281" si="13822">(D4256-2*F$5)/1000</f>
        <v>0.12</v>
      </c>
      <c r="K4281" s="400" t="s">
        <v>204</v>
      </c>
      <c r="L4281" s="399">
        <f t="shared" si="13812"/>
        <v>0.15</v>
      </c>
      <c r="M4281" s="399" t="s">
        <v>176</v>
      </c>
      <c r="N4281" s="399">
        <f t="shared" si="13813"/>
        <v>0.27</v>
      </c>
      <c r="O4281" s="399"/>
      <c r="P4281" s="399"/>
      <c r="Q4281" s="399"/>
      <c r="R4281" s="399"/>
      <c r="S4281" s="399"/>
      <c r="T4281" s="399" t="s">
        <v>125</v>
      </c>
      <c r="U4281" s="401">
        <f t="shared" si="13814"/>
        <v>0</v>
      </c>
      <c r="V4281" s="399" t="s">
        <v>125</v>
      </c>
      <c r="W4281" s="399">
        <f t="shared" si="13815"/>
        <v>9</v>
      </c>
      <c r="X4281" s="399" t="s">
        <v>125</v>
      </c>
      <c r="Y4281" s="389">
        <f t="shared" ref="Y4281" si="13823">D4265</f>
        <v>3</v>
      </c>
      <c r="Z4281" s="400" t="s">
        <v>176</v>
      </c>
      <c r="AA4281" s="402">
        <f t="shared" si="13817"/>
        <v>0</v>
      </c>
      <c r="AB4281" s="403"/>
    </row>
    <row r="4282" spans="1:28">
      <c r="A4282" s="391"/>
      <c r="B4282" s="392"/>
      <c r="C4282" s="392"/>
      <c r="D4282" s="394"/>
      <c r="E4282" s="388"/>
      <c r="F4282" s="388"/>
      <c r="G4282" s="388"/>
      <c r="H4282" s="395"/>
      <c r="I4282" s="388"/>
      <c r="J4282" s="402"/>
      <c r="K4282" s="388"/>
      <c r="L4282" s="388"/>
      <c r="M4282" s="388"/>
      <c r="N4282" s="388"/>
      <c r="O4282" s="388"/>
      <c r="P4282" s="388"/>
      <c r="Q4282" s="388"/>
      <c r="R4282" s="388"/>
      <c r="S4282" s="388"/>
      <c r="T4282" s="388"/>
      <c r="U4282" s="388"/>
      <c r="V4282" s="388"/>
      <c r="W4282" s="388"/>
      <c r="X4282" s="388"/>
      <c r="Y4282" s="389"/>
      <c r="Z4282" s="388"/>
      <c r="AA4282" s="402"/>
      <c r="AB4282" s="403"/>
    </row>
    <row r="4283" spans="1:28" ht="15.75" thickBot="1">
      <c r="A4283" s="406"/>
      <c r="B4283" s="407"/>
      <c r="C4283" s="407"/>
      <c r="D4283" s="408"/>
      <c r="E4283" s="409"/>
      <c r="F4283" s="409"/>
      <c r="G4283" s="409"/>
      <c r="H4283" s="410"/>
      <c r="I4283" s="409"/>
      <c r="J4283" s="409"/>
      <c r="K4283" s="409"/>
      <c r="L4283" s="409"/>
      <c r="M4283" s="409"/>
      <c r="N4283" s="409"/>
      <c r="O4283" s="409"/>
      <c r="P4283" s="409"/>
      <c r="Q4283" s="409"/>
      <c r="R4283" s="409"/>
      <c r="S4283" s="409"/>
      <c r="T4283" s="409"/>
      <c r="U4283" s="409"/>
      <c r="V4283" s="409"/>
      <c r="W4283" s="409"/>
      <c r="X4283" s="409"/>
      <c r="Y4283" s="411"/>
      <c r="Z4283" s="409"/>
      <c r="AA4283" s="412"/>
      <c r="AB4283" s="413"/>
    </row>
    <row r="4284" spans="1:28">
      <c r="A4284" s="377"/>
      <c r="B4284" s="378"/>
      <c r="C4284" s="378"/>
      <c r="D4284" s="379"/>
      <c r="E4284" s="380"/>
      <c r="F4284" s="380"/>
      <c r="G4284" s="380"/>
      <c r="H4284" s="381"/>
      <c r="I4284" s="380"/>
      <c r="J4284" s="380"/>
      <c r="K4284" s="380"/>
      <c r="L4284" s="380"/>
      <c r="M4284" s="380"/>
      <c r="N4284" s="380"/>
      <c r="O4284" s="380"/>
      <c r="P4284" s="380"/>
      <c r="Q4284" s="380"/>
      <c r="R4284" s="380"/>
      <c r="S4284" s="380"/>
      <c r="T4284" s="380"/>
      <c r="U4284" s="380"/>
      <c r="V4284" s="380"/>
      <c r="W4284" s="380"/>
      <c r="X4284" s="380"/>
      <c r="Y4284" s="382"/>
      <c r="Z4284" s="380"/>
      <c r="AA4284" s="380"/>
      <c r="AB4284" s="383"/>
    </row>
    <row r="4285" spans="1:28">
      <c r="A4285" s="384" t="s">
        <v>219</v>
      </c>
      <c r="B4285" s="385">
        <v>1</v>
      </c>
      <c r="C4285" s="386" t="str">
        <f t="shared" ref="C4285" si="13824">CONCATENATE(A4285," no. ",B4285)</f>
        <v>Lantai 3 no. 1</v>
      </c>
      <c r="D4285" s="2562" t="str">
        <f>VLOOKUP(C4285,'Data Panjang Balok'!$C$9:$N$254,2,FALSE)</f>
        <v>B24-1</v>
      </c>
      <c r="E4285" s="2576"/>
      <c r="F4285" s="2576"/>
      <c r="G4285" s="2576"/>
      <c r="H4285" s="2577"/>
      <c r="I4285" s="387"/>
      <c r="J4285" s="388"/>
      <c r="K4285" s="388"/>
      <c r="L4285" s="388"/>
      <c r="M4285" s="388"/>
      <c r="N4285" s="388"/>
      <c r="O4285" s="388"/>
      <c r="P4285" s="388"/>
      <c r="Q4285" s="388"/>
      <c r="R4285" s="388"/>
      <c r="S4285" s="388"/>
      <c r="T4285" s="388"/>
      <c r="U4285" s="388"/>
      <c r="V4285" s="388"/>
      <c r="W4285" s="388"/>
      <c r="X4285" s="388"/>
      <c r="Y4285" s="389"/>
      <c r="Z4285" s="388"/>
      <c r="AA4285" s="388"/>
      <c r="AB4285" s="390"/>
    </row>
    <row r="4286" spans="1:28">
      <c r="A4286" s="391"/>
      <c r="B4286" s="392"/>
      <c r="C4286" s="393" t="s">
        <v>118</v>
      </c>
      <c r="D4286" s="2578">
        <f>VLOOKUP(D4285,'Detail Balok'!$C$10:$AU$140,2,FALSE)</f>
        <v>200</v>
      </c>
      <c r="E4286" s="2579"/>
      <c r="F4286" s="388" t="s">
        <v>125</v>
      </c>
      <c r="G4286" s="2579">
        <f>VLOOKUP(D4285,'Detail Balok'!$C$10:$AU$140,3,FALSE)</f>
        <v>400</v>
      </c>
      <c r="H4286" s="2580"/>
      <c r="I4286" s="388"/>
      <c r="J4286" s="396"/>
      <c r="K4286" s="396"/>
      <c r="L4286" s="396"/>
      <c r="M4286" s="396"/>
      <c r="N4286" s="396"/>
      <c r="O4286" s="396"/>
      <c r="P4286" s="396"/>
      <c r="Q4286" s="396"/>
      <c r="R4286" s="396"/>
      <c r="S4286" s="396"/>
      <c r="T4286" s="396"/>
      <c r="U4286" s="388"/>
      <c r="V4286" s="396"/>
      <c r="W4286" s="388"/>
      <c r="X4286" s="396"/>
      <c r="Y4286" s="389"/>
      <c r="Z4286" s="396"/>
      <c r="AA4286" s="388"/>
      <c r="AB4286" s="390"/>
    </row>
    <row r="4287" spans="1:28">
      <c r="A4287" s="391"/>
      <c r="B4287" s="392"/>
      <c r="C4287" s="393" t="s">
        <v>198</v>
      </c>
      <c r="D4287" s="2562">
        <f>VLOOKUP(C4285,'Data Panjang Balok'!$C$9:$N$254,4,FALSE)</f>
        <v>9250</v>
      </c>
      <c r="E4287" s="2563"/>
      <c r="F4287" s="2563"/>
      <c r="G4287" s="2563"/>
      <c r="H4287" s="2564"/>
      <c r="I4287" s="397"/>
      <c r="J4287" s="396"/>
      <c r="K4287" s="396"/>
      <c r="L4287" s="396"/>
      <c r="M4287" s="396"/>
      <c r="N4287" s="396"/>
      <c r="O4287" s="396"/>
      <c r="P4287" s="396"/>
      <c r="Q4287" s="396"/>
      <c r="R4287" s="396"/>
      <c r="S4287" s="396"/>
      <c r="T4287" s="396"/>
      <c r="U4287" s="388"/>
      <c r="V4287" s="396"/>
      <c r="W4287" s="388"/>
      <c r="X4287" s="396"/>
      <c r="Y4287" s="389"/>
      <c r="Z4287" s="396"/>
      <c r="AA4287" s="388"/>
      <c r="AB4287" s="390"/>
    </row>
    <row r="4288" spans="1:28">
      <c r="A4288" s="391"/>
      <c r="B4288" s="392"/>
      <c r="C4288" s="393" t="s">
        <v>199</v>
      </c>
      <c r="D4288" s="2562">
        <f>VLOOKUP(C4285,'Data Panjang Balok'!$C$9:$N$254,7,FALSE)</f>
        <v>9250</v>
      </c>
      <c r="E4288" s="2563"/>
      <c r="F4288" s="2563"/>
      <c r="G4288" s="2563"/>
      <c r="H4288" s="2564"/>
      <c r="I4288" s="397"/>
      <c r="J4288" s="396"/>
      <c r="K4288" s="396"/>
      <c r="L4288" s="396"/>
      <c r="M4288" s="396"/>
      <c r="N4288" s="396"/>
      <c r="O4288" s="396"/>
      <c r="P4288" s="396"/>
      <c r="Q4288" s="396"/>
      <c r="R4288" s="396"/>
      <c r="S4288" s="396"/>
      <c r="T4288" s="396"/>
      <c r="U4288" s="388"/>
      <c r="V4288" s="396"/>
      <c r="W4288" s="388"/>
      <c r="X4288" s="396"/>
      <c r="Y4288" s="389"/>
      <c r="Z4288" s="396"/>
      <c r="AA4288" s="388"/>
      <c r="AB4288" s="390"/>
    </row>
    <row r="4289" spans="1:28">
      <c r="A4289" s="391"/>
      <c r="B4289" s="392"/>
      <c r="C4289" s="393" t="s">
        <v>200</v>
      </c>
      <c r="D4289" s="2562">
        <f>VLOOKUP(C4285,'Data Panjang Balok'!$C$9:$N$254,9,FALSE)</f>
        <v>0</v>
      </c>
      <c r="E4289" s="2563"/>
      <c r="F4289" s="2563"/>
      <c r="G4289" s="2563"/>
      <c r="H4289" s="2564"/>
      <c r="I4289" s="397"/>
      <c r="J4289" s="396"/>
      <c r="K4289" s="396"/>
      <c r="L4289" s="396"/>
      <c r="M4289" s="396"/>
      <c r="N4289" s="396"/>
      <c r="O4289" s="396"/>
      <c r="P4289" s="396"/>
      <c r="Q4289" s="396"/>
      <c r="R4289" s="396"/>
      <c r="S4289" s="396"/>
      <c r="T4289" s="396"/>
      <c r="U4289" s="388"/>
      <c r="V4289" s="396"/>
      <c r="W4289" s="388"/>
      <c r="X4289" s="396"/>
      <c r="Y4289" s="389"/>
      <c r="Z4289" s="396"/>
      <c r="AA4289" s="388"/>
      <c r="AB4289" s="390"/>
    </row>
    <row r="4290" spans="1:28">
      <c r="A4290" s="391"/>
      <c r="B4290" s="392"/>
      <c r="C4290" s="393" t="s">
        <v>201</v>
      </c>
      <c r="D4290" s="2562">
        <f>VLOOKUP(C4285,'Data Panjang Balok'!$C$9:$N$254,10,FALSE)</f>
        <v>0</v>
      </c>
      <c r="E4290" s="2563"/>
      <c r="F4290" s="2563"/>
      <c r="G4290" s="2563"/>
      <c r="H4290" s="2564"/>
      <c r="I4290" s="397"/>
      <c r="J4290" s="396"/>
      <c r="K4290" s="396"/>
      <c r="L4290" s="396"/>
      <c r="M4290" s="396"/>
      <c r="N4290" s="396"/>
      <c r="O4290" s="396"/>
      <c r="P4290" s="396"/>
      <c r="Q4290" s="396"/>
      <c r="R4290" s="396"/>
      <c r="S4290" s="396"/>
      <c r="T4290" s="396"/>
      <c r="U4290" s="388"/>
      <c r="V4290" s="396"/>
      <c r="W4290" s="388"/>
      <c r="X4290" s="396"/>
      <c r="Y4290" s="389"/>
      <c r="Z4290" s="396"/>
      <c r="AA4290" s="388"/>
      <c r="AB4290" s="390"/>
    </row>
    <row r="4291" spans="1:28">
      <c r="A4291" s="391"/>
      <c r="B4291" s="392"/>
      <c r="C4291" s="393" t="s">
        <v>48</v>
      </c>
      <c r="D4291" s="2562">
        <f>VLOOKUP(C4285,'Data Panjang Balok'!$C$9:$N$254,3,FALSE)</f>
        <v>1</v>
      </c>
      <c r="E4291" s="2563"/>
      <c r="F4291" s="2563"/>
      <c r="G4291" s="2563"/>
      <c r="H4291" s="2564"/>
      <c r="I4291" s="397"/>
      <c r="J4291" s="396"/>
      <c r="K4291" s="396"/>
      <c r="L4291" s="396"/>
      <c r="M4291" s="396"/>
      <c r="N4291" s="396"/>
      <c r="O4291" s="396"/>
      <c r="P4291" s="396"/>
      <c r="Q4291" s="396"/>
      <c r="R4291" s="396"/>
      <c r="S4291" s="396"/>
      <c r="T4291" s="396"/>
      <c r="U4291" s="388"/>
      <c r="V4291" s="396"/>
      <c r="W4291" s="388"/>
      <c r="X4291" s="396"/>
      <c r="Y4291" s="389"/>
      <c r="Z4291" s="396"/>
      <c r="AA4291" s="388"/>
      <c r="AB4291" s="390"/>
    </row>
    <row r="4292" spans="1:28">
      <c r="A4292" s="384" t="str">
        <f t="shared" ref="A4292:B4292" si="13825">A4285</f>
        <v>Lantai 3</v>
      </c>
      <c r="B4292" s="385">
        <f t="shared" si="13825"/>
        <v>1</v>
      </c>
      <c r="C4292" s="393" t="s">
        <v>202</v>
      </c>
      <c r="D4292" s="398">
        <f>VLOOKUP(D4285,'Detail Balok'!$C$10:$AU$140,4,FALSE)</f>
        <v>3</v>
      </c>
      <c r="E4292" s="388" t="s">
        <v>16</v>
      </c>
      <c r="F4292" s="388">
        <f>VLOOKUP(D4285,'Detail Balok'!$C$10:$AU$140,6,FALSE)</f>
        <v>13</v>
      </c>
      <c r="G4292" s="388"/>
      <c r="H4292" s="395"/>
      <c r="I4292" s="388" t="s">
        <v>203</v>
      </c>
      <c r="J4292" s="399">
        <f t="shared" ref="J4292" si="13826">+D4287/4/1000</f>
        <v>2.3125</v>
      </c>
      <c r="K4292" s="400" t="s">
        <v>204</v>
      </c>
      <c r="L4292" s="399">
        <f t="shared" ref="L4292" si="13827">MAX(VLOOKUP(F4292,N$6:P$15,3,FALSE)/1000,2/3*D4289/1000)+F$16*F4292/1000</f>
        <v>0.156</v>
      </c>
      <c r="M4292" s="399" t="s">
        <v>176</v>
      </c>
      <c r="N4292" s="399">
        <f t="shared" ref="N4292:N4294" si="13828">J4292+L4292</f>
        <v>2.4685000000000001</v>
      </c>
      <c r="O4292" s="399" t="s">
        <v>204</v>
      </c>
      <c r="P4292" s="389">
        <f t="shared" ref="P4292" si="13829">D4292-D4293</f>
        <v>0</v>
      </c>
      <c r="Q4292" s="399" t="s">
        <v>125</v>
      </c>
      <c r="R4292" s="399">
        <f t="shared" ref="R4292" si="13830">IF(P4292&gt;0,$F$18*F4292/1000,0)</f>
        <v>0</v>
      </c>
      <c r="S4292" s="399" t="s">
        <v>205</v>
      </c>
      <c r="T4292" s="399" t="s">
        <v>125</v>
      </c>
      <c r="U4292" s="401">
        <f t="shared" ref="U4292:U4294" si="13831">0.006165*F4292^2</f>
        <v>1.041885</v>
      </c>
      <c r="V4292" s="399"/>
      <c r="W4292" s="399"/>
      <c r="X4292" s="399" t="s">
        <v>125</v>
      </c>
      <c r="Y4292" s="389">
        <f t="shared" ref="Y4292" si="13832">D4291</f>
        <v>1</v>
      </c>
      <c r="Z4292" s="400" t="s">
        <v>176</v>
      </c>
      <c r="AA4292" s="402">
        <f t="shared" ref="AA4292" si="13833">IF(AA4295=0,(D4292*N4292+P4292*R4292)*U4292*Y4292,0)</f>
        <v>0</v>
      </c>
      <c r="AB4292" s="403"/>
    </row>
    <row r="4293" spans="1:28">
      <c r="A4293" s="384" t="str">
        <f t="shared" ref="A4293:B4293" si="13834">A4285</f>
        <v>Lantai 3</v>
      </c>
      <c r="B4293" s="385">
        <f t="shared" si="13834"/>
        <v>1</v>
      </c>
      <c r="C4293" s="393" t="s">
        <v>206</v>
      </c>
      <c r="D4293" s="398">
        <f>VLOOKUP(D4285,'Detail Balok'!$C$10:$AU$140,7,FALSE)</f>
        <v>3</v>
      </c>
      <c r="E4293" s="388" t="s">
        <v>16</v>
      </c>
      <c r="F4293" s="388">
        <f>VLOOKUP(D4285,'Detail Balok'!$C$10:$AU$140,9,FALSE)</f>
        <v>13</v>
      </c>
      <c r="G4293" s="388"/>
      <c r="H4293" s="395"/>
      <c r="I4293" s="388" t="s">
        <v>203</v>
      </c>
      <c r="J4293" s="399">
        <f t="shared" ref="J4293" si="13835">+D4287/2/1000</f>
        <v>4.625</v>
      </c>
      <c r="K4293" s="400" t="s">
        <v>204</v>
      </c>
      <c r="L4293" s="399"/>
      <c r="M4293" s="399" t="s">
        <v>176</v>
      </c>
      <c r="N4293" s="399">
        <f t="shared" si="13828"/>
        <v>4.625</v>
      </c>
      <c r="O4293" s="399" t="s">
        <v>204</v>
      </c>
      <c r="P4293" s="389">
        <f t="shared" ref="P4293" si="13836">MAX(D4293-D4292,D4293-D4294)</f>
        <v>0</v>
      </c>
      <c r="Q4293" s="399" t="s">
        <v>125</v>
      </c>
      <c r="R4293" s="399">
        <f t="shared" ref="R4293" si="13837">IF(P4293&gt;0,2*(1-2*$F$19-1/2)*D4288/1000,0)</f>
        <v>0</v>
      </c>
      <c r="S4293" s="399" t="s">
        <v>205</v>
      </c>
      <c r="T4293" s="399" t="s">
        <v>125</v>
      </c>
      <c r="U4293" s="401">
        <f t="shared" si="13831"/>
        <v>1.041885</v>
      </c>
      <c r="V4293" s="399"/>
      <c r="W4293" s="399"/>
      <c r="X4293" s="399" t="s">
        <v>125</v>
      </c>
      <c r="Y4293" s="389">
        <f t="shared" ref="Y4293" si="13838">D4291</f>
        <v>1</v>
      </c>
      <c r="Z4293" s="400" t="s">
        <v>176</v>
      </c>
      <c r="AA4293" s="402">
        <f t="shared" ref="AA4293" si="13839">IF(AA4295=0,(D4293*N4293+P4293*R4293)*U4293*Y4293,0)</f>
        <v>0</v>
      </c>
      <c r="AB4293" s="403"/>
    </row>
    <row r="4294" spans="1:28">
      <c r="A4294" s="384" t="str">
        <f t="shared" ref="A4294:B4294" si="13840">A4285</f>
        <v>Lantai 3</v>
      </c>
      <c r="B4294" s="385">
        <f t="shared" si="13840"/>
        <v>1</v>
      </c>
      <c r="C4294" s="393" t="s">
        <v>202</v>
      </c>
      <c r="D4294" s="398">
        <f>VLOOKUP(D4285,'Detail Balok'!$C$10:$AU$140,10,FALSE)</f>
        <v>3</v>
      </c>
      <c r="E4294" s="388" t="s">
        <v>16</v>
      </c>
      <c r="F4294" s="388">
        <f>VLOOKUP(D4285,'Detail Balok'!$C$10:$AU$140,12,FALSE)</f>
        <v>13</v>
      </c>
      <c r="G4294" s="388"/>
      <c r="H4294" s="395"/>
      <c r="I4294" s="388" t="s">
        <v>203</v>
      </c>
      <c r="J4294" s="399">
        <f t="shared" ref="J4294" si="13841">+D4287/4/1000</f>
        <v>2.3125</v>
      </c>
      <c r="K4294" s="400" t="s">
        <v>204</v>
      </c>
      <c r="L4294" s="399">
        <f t="shared" ref="L4294" si="13842">MAX(VLOOKUP(F4294,N$6:P$15,3,FALSE)/1000,2/3*D4289/1000)+F$16*F4294/1000</f>
        <v>0.156</v>
      </c>
      <c r="M4294" s="399" t="s">
        <v>176</v>
      </c>
      <c r="N4294" s="399">
        <f t="shared" si="13828"/>
        <v>2.4685000000000001</v>
      </c>
      <c r="O4294" s="399" t="s">
        <v>204</v>
      </c>
      <c r="P4294" s="389">
        <f t="shared" ref="P4294" si="13843">D4294-D4293</f>
        <v>0</v>
      </c>
      <c r="Q4294" s="399" t="s">
        <v>125</v>
      </c>
      <c r="R4294" s="399">
        <f t="shared" ref="R4294" si="13844">IF(P4294&gt;0,$F$18*F4294/1000,0)</f>
        <v>0</v>
      </c>
      <c r="S4294" s="399" t="s">
        <v>205</v>
      </c>
      <c r="T4294" s="399" t="s">
        <v>125</v>
      </c>
      <c r="U4294" s="401">
        <f t="shared" si="13831"/>
        <v>1.041885</v>
      </c>
      <c r="V4294" s="399"/>
      <c r="W4294" s="399"/>
      <c r="X4294" s="399" t="s">
        <v>125</v>
      </c>
      <c r="Y4294" s="389">
        <f t="shared" ref="Y4294" si="13845">D4291</f>
        <v>1</v>
      </c>
      <c r="Z4294" s="400" t="s">
        <v>176</v>
      </c>
      <c r="AA4294" s="402">
        <f t="shared" ref="AA4294" si="13846">IF(AA4295=0,(D4294*N4294+P4294*R4294)*U4294*Y4294,0)</f>
        <v>0</v>
      </c>
      <c r="AB4294" s="403"/>
    </row>
    <row r="4295" spans="1:28">
      <c r="A4295" s="384" t="str">
        <f t="shared" ref="A4295:B4295" si="13847">A4285</f>
        <v>Lantai 3</v>
      </c>
      <c r="B4295" s="385">
        <f t="shared" si="13847"/>
        <v>1</v>
      </c>
      <c r="C4295" s="393"/>
      <c r="D4295" s="398">
        <f t="shared" ref="D4295:D4325" si="13848">IF(AND(D4292=D4293,D4293=D4294,D4292=D4294),D4292,0)</f>
        <v>3</v>
      </c>
      <c r="E4295" s="388" t="s">
        <v>16</v>
      </c>
      <c r="F4295" s="388">
        <f t="shared" ref="F4295:F4325" si="13849">IF(AND(F4292=F4293,F4292=F4294,F4293=F4294),F4292,0)</f>
        <v>13</v>
      </c>
      <c r="G4295" s="388"/>
      <c r="H4295" s="395"/>
      <c r="I4295" s="388"/>
      <c r="J4295" s="396"/>
      <c r="K4295" s="396"/>
      <c r="L4295" s="404" t="s">
        <v>207</v>
      </c>
      <c r="M4295" s="399" t="s">
        <v>176</v>
      </c>
      <c r="N4295" s="399">
        <f t="shared" ref="N4295" si="13850">IF(AND(D4292=D4293,D4292=D4294,D4293=D4294,F4292=F4293,F4292=F4294,F4293=F4294),SUM(N4292:N4294),0)</f>
        <v>9.5620000000000012</v>
      </c>
      <c r="O4295" s="399" t="s">
        <v>204</v>
      </c>
      <c r="P4295" s="389">
        <f t="shared" ref="P4295" si="13851">IF(N4295&gt;12,ROUNDDOWN(N4295/12,0),0)</f>
        <v>0</v>
      </c>
      <c r="Q4295" s="399" t="s">
        <v>125</v>
      </c>
      <c r="R4295" s="399">
        <f t="shared" ref="R4295" si="13852">IF(P4295&gt;0,MAX(VLOOKUP(F4295,$D$6:$G$15,3,FALSE),600),0)/1000</f>
        <v>0</v>
      </c>
      <c r="S4295" s="396"/>
      <c r="T4295" s="396" t="s">
        <v>125</v>
      </c>
      <c r="U4295" s="401">
        <f t="shared" ref="U4295:U4325" si="13853">U4294</f>
        <v>1.041885</v>
      </c>
      <c r="V4295" s="396" t="s">
        <v>125</v>
      </c>
      <c r="W4295" s="399">
        <f t="shared" ref="W4295" si="13854">D4295</f>
        <v>3</v>
      </c>
      <c r="X4295" s="399" t="s">
        <v>125</v>
      </c>
      <c r="Y4295" s="389">
        <f t="shared" ref="Y4295:Y4325" si="13855">Y4294</f>
        <v>1</v>
      </c>
      <c r="Z4295" s="400" t="s">
        <v>176</v>
      </c>
      <c r="AA4295" s="402">
        <f t="shared" ref="AA4295" si="13856">(N4295+P4295*R4295/1000)*U4295*W4295*Y4295</f>
        <v>29.887513110000004</v>
      </c>
      <c r="AB4295" s="390"/>
    </row>
    <row r="4296" spans="1:28">
      <c r="A4296" s="384"/>
      <c r="B4296" s="385"/>
      <c r="C4296" s="393"/>
      <c r="D4296" s="398"/>
      <c r="E4296" s="388"/>
      <c r="F4296" s="388"/>
      <c r="G4296" s="388"/>
      <c r="H4296" s="395"/>
      <c r="I4296" s="388"/>
      <c r="J4296" s="396"/>
      <c r="K4296" s="396"/>
      <c r="L4296" s="404"/>
      <c r="M4296" s="399"/>
      <c r="N4296" s="399"/>
      <c r="O4296" s="396"/>
      <c r="P4296" s="389"/>
      <c r="Q4296" s="396"/>
      <c r="R4296" s="396"/>
      <c r="S4296" s="396"/>
      <c r="T4296" s="396"/>
      <c r="U4296" s="401"/>
      <c r="V4296" s="396"/>
      <c r="W4296" s="399"/>
      <c r="X4296" s="396"/>
      <c r="Y4296" s="389"/>
      <c r="Z4296" s="396"/>
      <c r="AA4296" s="388"/>
      <c r="AB4296" s="390"/>
    </row>
    <row r="4297" spans="1:28">
      <c r="A4297" s="384" t="str">
        <f t="shared" ref="A4297:B4297" si="13857">A4285</f>
        <v>Lantai 3</v>
      </c>
      <c r="B4297" s="385">
        <f t="shared" si="13857"/>
        <v>1</v>
      </c>
      <c r="C4297" s="393" t="s">
        <v>208</v>
      </c>
      <c r="D4297" s="398">
        <f>VLOOKUP(D4285,'Detail Balok'!$C$10:$AU$140,13,FALSE)</f>
        <v>0</v>
      </c>
      <c r="E4297" s="388" t="s">
        <v>16</v>
      </c>
      <c r="F4297" s="388">
        <f>VLOOKUP(D4285,'Detail Balok'!$C$10:$AU$140,15,FALSE)</f>
        <v>8</v>
      </c>
      <c r="G4297" s="388"/>
      <c r="H4297" s="395"/>
      <c r="I4297" s="388"/>
      <c r="J4297" s="399">
        <f t="shared" ref="J4297" si="13858">+D4287/1000</f>
        <v>9.25</v>
      </c>
      <c r="K4297" s="400" t="s">
        <v>204</v>
      </c>
      <c r="L4297" s="399">
        <f t="shared" ref="L4297" si="13859">2*$F$16*F4297/1000</f>
        <v>0.192</v>
      </c>
      <c r="M4297" s="399" t="s">
        <v>176</v>
      </c>
      <c r="N4297" s="399">
        <f t="shared" ref="N4297" si="13860">J4297+L4297</f>
        <v>9.4420000000000002</v>
      </c>
      <c r="O4297" s="399" t="s">
        <v>204</v>
      </c>
      <c r="P4297" s="389">
        <f t="shared" ref="P4297" si="13861">IF(N4297&gt;12,ROUNDDOWN(N4297/12,0),0)</f>
        <v>0</v>
      </c>
      <c r="Q4297" s="399" t="s">
        <v>125</v>
      </c>
      <c r="R4297" s="399">
        <f t="shared" ref="R4297" si="13862">IF(P4297&gt;0,MAX(VLOOKUP(F4297,$D$6:$G$15,3,FALSE),600),0)/1000</f>
        <v>0</v>
      </c>
      <c r="S4297" s="399"/>
      <c r="T4297" s="399" t="s">
        <v>125</v>
      </c>
      <c r="U4297" s="401">
        <f t="shared" ref="U4297" si="13863">0.006165*F4297^2</f>
        <v>0.39456000000000002</v>
      </c>
      <c r="V4297" s="399" t="s">
        <v>125</v>
      </c>
      <c r="W4297" s="399">
        <f t="shared" ref="W4297" si="13864">+D4297</f>
        <v>0</v>
      </c>
      <c r="X4297" s="399" t="s">
        <v>125</v>
      </c>
      <c r="Y4297" s="389">
        <f t="shared" ref="Y4297" si="13865">D4291</f>
        <v>1</v>
      </c>
      <c r="Z4297" s="400" t="s">
        <v>176</v>
      </c>
      <c r="AA4297" s="402">
        <f t="shared" ref="AA4297" si="13866">(N4297+P4297*R4297/1000)*U4297*W4297*Y4297</f>
        <v>0</v>
      </c>
      <c r="AB4297" s="403"/>
    </row>
    <row r="4298" spans="1:28">
      <c r="A4298" s="384"/>
      <c r="B4298" s="385"/>
      <c r="C4298" s="393"/>
      <c r="D4298" s="398"/>
      <c r="E4298" s="388"/>
      <c r="F4298" s="388"/>
      <c r="G4298" s="388"/>
      <c r="H4298" s="395"/>
      <c r="I4298" s="388"/>
      <c r="J4298" s="399"/>
      <c r="K4298" s="400"/>
      <c r="L4298" s="399"/>
      <c r="M4298" s="399"/>
      <c r="N4298" s="399"/>
      <c r="O4298" s="399"/>
      <c r="P4298" s="389"/>
      <c r="Q4298" s="399"/>
      <c r="R4298" s="399"/>
      <c r="S4298" s="399"/>
      <c r="T4298" s="399"/>
      <c r="U4298" s="401"/>
      <c r="V4298" s="399"/>
      <c r="W4298" s="399"/>
      <c r="X4298" s="399"/>
      <c r="Y4298" s="389"/>
      <c r="Z4298" s="400"/>
      <c r="AA4298" s="402"/>
      <c r="AB4298" s="403"/>
    </row>
    <row r="4299" spans="1:28">
      <c r="A4299" s="384"/>
      <c r="B4299" s="385"/>
      <c r="C4299" s="393"/>
      <c r="D4299" s="398"/>
      <c r="E4299" s="388"/>
      <c r="F4299" s="388"/>
      <c r="G4299" s="388"/>
      <c r="H4299" s="395"/>
      <c r="I4299" s="388"/>
      <c r="J4299" s="396"/>
      <c r="K4299" s="396"/>
      <c r="L4299" s="396"/>
      <c r="M4299" s="396"/>
      <c r="N4299" s="396"/>
      <c r="O4299" s="396"/>
      <c r="P4299" s="389"/>
      <c r="Q4299" s="396"/>
      <c r="R4299" s="396"/>
      <c r="S4299" s="396"/>
      <c r="T4299" s="396"/>
      <c r="U4299" s="401"/>
      <c r="V4299" s="396"/>
      <c r="W4299" s="399"/>
      <c r="X4299" s="396"/>
      <c r="Y4299" s="389"/>
      <c r="Z4299" s="396"/>
      <c r="AA4299" s="388"/>
      <c r="AB4299" s="390"/>
    </row>
    <row r="4300" spans="1:28">
      <c r="A4300" s="384" t="str">
        <f t="shared" ref="A4300:B4300" si="13867">A4285</f>
        <v>Lantai 3</v>
      </c>
      <c r="B4300" s="385">
        <f t="shared" si="13867"/>
        <v>1</v>
      </c>
      <c r="C4300" s="393" t="s">
        <v>209</v>
      </c>
      <c r="D4300" s="398">
        <f>VLOOKUP(D4285,'Detail Balok'!$C$10:$AU$140,22,FALSE)</f>
        <v>3</v>
      </c>
      <c r="E4300" s="388" t="s">
        <v>16</v>
      </c>
      <c r="F4300" s="388">
        <f>VLOOKUP(D4285,'Detail Balok'!$C$10:$AU$140,24,FALSE)</f>
        <v>13</v>
      </c>
      <c r="G4300" s="388"/>
      <c r="H4300" s="395"/>
      <c r="I4300" s="388" t="s">
        <v>203</v>
      </c>
      <c r="J4300" s="399">
        <f t="shared" ref="J4300:J4332" si="13868">+J4292</f>
        <v>2.3125</v>
      </c>
      <c r="K4300" s="400" t="s">
        <v>204</v>
      </c>
      <c r="L4300" s="399">
        <f t="shared" ref="L4300" si="13869">MAX(VLOOKUP(F4300,N$6:P$15,3,FALSE)/1000,2/3*D4290/1000)+F$16*F4300/1000</f>
        <v>0.156</v>
      </c>
      <c r="M4300" s="399" t="s">
        <v>176</v>
      </c>
      <c r="N4300" s="399">
        <f t="shared" ref="N4300:N4302" si="13870">J4300+L4300</f>
        <v>2.4685000000000001</v>
      </c>
      <c r="O4300" s="399" t="s">
        <v>204</v>
      </c>
      <c r="P4300" s="389">
        <f t="shared" ref="P4300" si="13871">D4300-D4301</f>
        <v>0</v>
      </c>
      <c r="Q4300" s="399" t="s">
        <v>125</v>
      </c>
      <c r="R4300" s="399">
        <f t="shared" ref="R4300" si="13872">IF(P4300&gt;0,$F$18*F4300/1000,0)</f>
        <v>0</v>
      </c>
      <c r="S4300" s="399" t="s">
        <v>205</v>
      </c>
      <c r="T4300" s="399" t="s">
        <v>125</v>
      </c>
      <c r="U4300" s="401">
        <f t="shared" ref="U4300:U4302" si="13873">0.006165*F4300^2</f>
        <v>1.041885</v>
      </c>
      <c r="V4300" s="399"/>
      <c r="W4300" s="399"/>
      <c r="X4300" s="399" t="s">
        <v>125</v>
      </c>
      <c r="Y4300" s="389">
        <f t="shared" ref="Y4300" si="13874">D4291</f>
        <v>1</v>
      </c>
      <c r="Z4300" s="400" t="s">
        <v>176</v>
      </c>
      <c r="AA4300" s="402">
        <f t="shared" ref="AA4300" si="13875">IF(AA4303=0,(D4300*N4300+P4300*R4300)*U4300*Y4300,0)</f>
        <v>0</v>
      </c>
      <c r="AB4300" s="403"/>
    </row>
    <row r="4301" spans="1:28">
      <c r="A4301" s="384" t="str">
        <f t="shared" ref="A4301:B4301" si="13876">A4285</f>
        <v>Lantai 3</v>
      </c>
      <c r="B4301" s="385">
        <f t="shared" si="13876"/>
        <v>1</v>
      </c>
      <c r="C4301" s="393" t="s">
        <v>210</v>
      </c>
      <c r="D4301" s="398">
        <f>VLOOKUP(D4285,'Detail Balok'!$C$10:$AU$140,25,FALSE)</f>
        <v>3</v>
      </c>
      <c r="E4301" s="388" t="s">
        <v>16</v>
      </c>
      <c r="F4301" s="388">
        <f>VLOOKUP(D4285,'Detail Balok'!$C$10:$AU$140,27,FALSE)</f>
        <v>13</v>
      </c>
      <c r="G4301" s="388"/>
      <c r="H4301" s="395"/>
      <c r="I4301" s="388" t="s">
        <v>203</v>
      </c>
      <c r="J4301" s="399">
        <f t="shared" si="13868"/>
        <v>4.625</v>
      </c>
      <c r="K4301" s="400" t="s">
        <v>204</v>
      </c>
      <c r="L4301" s="399"/>
      <c r="M4301" s="399" t="s">
        <v>176</v>
      </c>
      <c r="N4301" s="399">
        <f t="shared" si="13870"/>
        <v>4.625</v>
      </c>
      <c r="O4301" s="399" t="s">
        <v>204</v>
      </c>
      <c r="P4301" s="389">
        <f t="shared" ref="P4301" si="13877">MAX(D4301-D4300,D4301-D4302)</f>
        <v>0</v>
      </c>
      <c r="Q4301" s="399" t="s">
        <v>125</v>
      </c>
      <c r="R4301" s="399">
        <f t="shared" ref="R4301" si="13878">IF(P4301&gt;0,2*(1-2*$F$19-1/2)*D4288/1000,0)</f>
        <v>0</v>
      </c>
      <c r="S4301" s="399" t="s">
        <v>205</v>
      </c>
      <c r="T4301" s="399" t="s">
        <v>125</v>
      </c>
      <c r="U4301" s="401">
        <f t="shared" si="13873"/>
        <v>1.041885</v>
      </c>
      <c r="V4301" s="399"/>
      <c r="W4301" s="399"/>
      <c r="X4301" s="399" t="s">
        <v>125</v>
      </c>
      <c r="Y4301" s="389">
        <f t="shared" ref="Y4301" si="13879">D4291</f>
        <v>1</v>
      </c>
      <c r="Z4301" s="400" t="s">
        <v>176</v>
      </c>
      <c r="AA4301" s="402">
        <f t="shared" ref="AA4301" si="13880">IF(AA4303=0,(D4301*N4301+P4301*R4301)*U4301*Y4301,0)</f>
        <v>0</v>
      </c>
      <c r="AB4301" s="403"/>
    </row>
    <row r="4302" spans="1:28">
      <c r="A4302" s="384" t="str">
        <f t="shared" ref="A4302:B4302" si="13881">A4285</f>
        <v>Lantai 3</v>
      </c>
      <c r="B4302" s="385">
        <f t="shared" si="13881"/>
        <v>1</v>
      </c>
      <c r="C4302" s="393" t="s">
        <v>209</v>
      </c>
      <c r="D4302" s="398">
        <f>VLOOKUP(D4285,'Detail Balok'!$C$10:$AU$140,28,FALSE)</f>
        <v>3</v>
      </c>
      <c r="E4302" s="388" t="s">
        <v>16</v>
      </c>
      <c r="F4302" s="388">
        <f>VLOOKUP(D4285,'Detail Balok'!$C$10:$AU$140,30,FALSE)</f>
        <v>13</v>
      </c>
      <c r="G4302" s="388"/>
      <c r="H4302" s="395"/>
      <c r="I4302" s="388" t="s">
        <v>203</v>
      </c>
      <c r="J4302" s="399">
        <f t="shared" si="13868"/>
        <v>2.3125</v>
      </c>
      <c r="K4302" s="400" t="s">
        <v>204</v>
      </c>
      <c r="L4302" s="399">
        <f t="shared" ref="L4302" si="13882">MAX(VLOOKUP(F4302,N$6:P$15,3,FALSE)/1000,2/3*D4290/1000)+F$16*F4302/1000</f>
        <v>0.156</v>
      </c>
      <c r="M4302" s="399" t="s">
        <v>176</v>
      </c>
      <c r="N4302" s="399">
        <f t="shared" si="13870"/>
        <v>2.4685000000000001</v>
      </c>
      <c r="O4302" s="399" t="s">
        <v>204</v>
      </c>
      <c r="P4302" s="389">
        <f t="shared" ref="P4302" si="13883">D4302-D4301</f>
        <v>0</v>
      </c>
      <c r="Q4302" s="399" t="s">
        <v>125</v>
      </c>
      <c r="R4302" s="399">
        <f t="shared" ref="R4302" si="13884">IF(P4302&gt;0,$F$18*F4302/1000,0)</f>
        <v>0</v>
      </c>
      <c r="S4302" s="399" t="s">
        <v>205</v>
      </c>
      <c r="T4302" s="399" t="s">
        <v>125</v>
      </c>
      <c r="U4302" s="401">
        <f t="shared" si="13873"/>
        <v>1.041885</v>
      </c>
      <c r="V4302" s="399"/>
      <c r="W4302" s="399"/>
      <c r="X4302" s="399" t="s">
        <v>125</v>
      </c>
      <c r="Y4302" s="389">
        <f t="shared" ref="Y4302" si="13885">D4291</f>
        <v>1</v>
      </c>
      <c r="Z4302" s="400" t="s">
        <v>176</v>
      </c>
      <c r="AA4302" s="402">
        <f t="shared" ref="AA4302" si="13886">IF(AA4303=0,(D4302*N4302+P4302*R4302)*U4302*Y4302,0)</f>
        <v>0</v>
      </c>
      <c r="AB4302" s="403"/>
    </row>
    <row r="4303" spans="1:28">
      <c r="A4303" s="384" t="str">
        <f t="shared" ref="A4303:B4303" si="13887">A4285</f>
        <v>Lantai 3</v>
      </c>
      <c r="B4303" s="385">
        <f t="shared" si="13887"/>
        <v>1</v>
      </c>
      <c r="C4303" s="393"/>
      <c r="D4303" s="398">
        <f t="shared" ref="D4303:D4333" si="13888">IF(AND(D4300=D4301,D4301=D4302,D4300=D4302),D4300,0)</f>
        <v>3</v>
      </c>
      <c r="E4303" s="388" t="s">
        <v>16</v>
      </c>
      <c r="F4303" s="388">
        <f t="shared" ref="F4303:F4333" si="13889">IF(AND(F4300=F4301,F4300=F4302,F4301=F4302),F4300,0)</f>
        <v>13</v>
      </c>
      <c r="G4303" s="388"/>
      <c r="H4303" s="395"/>
      <c r="I4303" s="388"/>
      <c r="J4303" s="396"/>
      <c r="K4303" s="396"/>
      <c r="L4303" s="404" t="s">
        <v>207</v>
      </c>
      <c r="M4303" s="399" t="s">
        <v>176</v>
      </c>
      <c r="N4303" s="399">
        <f t="shared" ref="N4303" si="13890">IF(AND(D4300=D4301,D4300=D4302,D4301=D4302,F4300=F4301,F4300=F4302,F4301=F4302),SUM(N4300:N4302),0)</f>
        <v>9.5620000000000012</v>
      </c>
      <c r="O4303" s="399" t="s">
        <v>204</v>
      </c>
      <c r="P4303" s="389">
        <f t="shared" ref="P4303" si="13891">IF(N4303&gt;12,ROUNDDOWN(N4303/12,0),0)</f>
        <v>0</v>
      </c>
      <c r="Q4303" s="399" t="s">
        <v>125</v>
      </c>
      <c r="R4303" s="399">
        <f t="shared" ref="R4303" si="13892">IF(P4303&gt;0,MAX(VLOOKUP(F4303,$D$6:$G$15,3,FALSE),600),0)/1000</f>
        <v>0</v>
      </c>
      <c r="S4303" s="396"/>
      <c r="T4303" s="396" t="s">
        <v>125</v>
      </c>
      <c r="U4303" s="401">
        <f t="shared" ref="U4303:U4333" si="13893">U4302</f>
        <v>1.041885</v>
      </c>
      <c r="V4303" s="396" t="s">
        <v>125</v>
      </c>
      <c r="W4303" s="399">
        <f t="shared" ref="W4303" si="13894">D4303</f>
        <v>3</v>
      </c>
      <c r="X4303" s="399" t="s">
        <v>125</v>
      </c>
      <c r="Y4303" s="389">
        <f t="shared" ref="Y4303:Y4333" si="13895">Y4302</f>
        <v>1</v>
      </c>
      <c r="Z4303" s="400" t="s">
        <v>176</v>
      </c>
      <c r="AA4303" s="402">
        <f t="shared" ref="AA4303" si="13896">(N4303+P4303*R4303/1000)*U4303*W4303*Y4303</f>
        <v>29.887513110000004</v>
      </c>
      <c r="AB4303" s="403"/>
    </row>
    <row r="4304" spans="1:28">
      <c r="A4304" s="384"/>
      <c r="B4304" s="385"/>
      <c r="C4304" s="393"/>
      <c r="D4304" s="394"/>
      <c r="E4304" s="388"/>
      <c r="F4304" s="388"/>
      <c r="G4304" s="388"/>
      <c r="H4304" s="395"/>
      <c r="I4304" s="388"/>
      <c r="J4304" s="399"/>
      <c r="K4304" s="396"/>
      <c r="L4304" s="396"/>
      <c r="M4304" s="396"/>
      <c r="N4304" s="396"/>
      <c r="O4304" s="396"/>
      <c r="P4304" s="389"/>
      <c r="Q4304" s="396"/>
      <c r="R4304" s="396"/>
      <c r="S4304" s="396"/>
      <c r="T4304" s="396"/>
      <c r="U4304" s="401"/>
      <c r="V4304" s="396"/>
      <c r="W4304" s="388"/>
      <c r="X4304" s="396"/>
      <c r="Y4304" s="389"/>
      <c r="Z4304" s="396"/>
      <c r="AA4304" s="388"/>
      <c r="AB4304" s="390"/>
    </row>
    <row r="4305" spans="1:28">
      <c r="A4305" s="384" t="str">
        <f t="shared" ref="A4305:B4305" si="13897">A4285</f>
        <v>Lantai 3</v>
      </c>
      <c r="B4305" s="385">
        <f t="shared" si="13897"/>
        <v>1</v>
      </c>
      <c r="C4305" s="393" t="s">
        <v>211</v>
      </c>
      <c r="D4305" s="398">
        <f>VLOOKUP(D4285,'Detail Balok'!$C$10:$AU$140,31,FALSE)</f>
        <v>0</v>
      </c>
      <c r="E4305" s="388" t="s">
        <v>16</v>
      </c>
      <c r="F4305" s="388">
        <f>VLOOKUP(D4285,'Detail Balok'!$C$10:$AU$140,33,FALSE)</f>
        <v>10</v>
      </c>
      <c r="G4305" s="405" t="s">
        <v>157</v>
      </c>
      <c r="H4305" s="395">
        <f>VLOOKUP(D4285,'Detail Balok'!$C$10:$AU$140,35,FALSE)</f>
        <v>100</v>
      </c>
      <c r="I4305" s="388"/>
      <c r="J4305" s="400">
        <f t="shared" ref="J4305" si="13898">(IF(D4305=0,(2*(D4286+G4286))-(F$5*8),IF(D4305=3,(2*(D4286+G4286))-(F$5*8)+(G4286-2*F$5),IF(D4305=4,(2*(D4286+G4286))-(F$5*8)+2*(G4286-2*F$5)))))/1000</f>
        <v>0.88</v>
      </c>
      <c r="K4305" s="400" t="s">
        <v>204</v>
      </c>
      <c r="L4305" s="399">
        <f t="shared" ref="L4305:L4307" si="13899">IF(D4305=0,2*MAX(6*F4305,75),(D4305-1)*2*MAX(6*F4305,75))/1000</f>
        <v>0.15</v>
      </c>
      <c r="M4305" s="399" t="s">
        <v>176</v>
      </c>
      <c r="N4305" s="399">
        <f t="shared" ref="N4305:N4307" si="13900">J4305+L4305</f>
        <v>1.03</v>
      </c>
      <c r="O4305" s="399"/>
      <c r="P4305" s="389"/>
      <c r="Q4305" s="399"/>
      <c r="R4305" s="399"/>
      <c r="S4305" s="399"/>
      <c r="T4305" s="399" t="s">
        <v>125</v>
      </c>
      <c r="U4305" s="401">
        <f t="shared" ref="U4305:U4307" si="13901">0.006165*F4305^2</f>
        <v>0.61650000000000005</v>
      </c>
      <c r="V4305" s="399" t="s">
        <v>125</v>
      </c>
      <c r="W4305" s="399">
        <f t="shared" ref="W4305" si="13902">IF(D4288&gt;4*G4286,ROUND(MAX(D4288/4,2*G4286)/H4305,0)+1,ROUND(D4288/H4305,0)+1)</f>
        <v>24</v>
      </c>
      <c r="X4305" s="399" t="s">
        <v>125</v>
      </c>
      <c r="Y4305" s="389">
        <f t="shared" ref="Y4305" si="13903">D4291</f>
        <v>1</v>
      </c>
      <c r="Z4305" s="400" t="s">
        <v>176</v>
      </c>
      <c r="AA4305" s="402">
        <f t="shared" ref="AA4305:AA4307" si="13904">N4305*U4305*W4305*Y4305</f>
        <v>15.239880000000003</v>
      </c>
      <c r="AB4305" s="403"/>
    </row>
    <row r="4306" spans="1:28">
      <c r="A4306" s="384" t="str">
        <f t="shared" ref="A4306:B4306" si="13905">A4285</f>
        <v>Lantai 3</v>
      </c>
      <c r="B4306" s="385">
        <f t="shared" si="13905"/>
        <v>1</v>
      </c>
      <c r="C4306" s="393" t="s">
        <v>212</v>
      </c>
      <c r="D4306" s="398">
        <f>VLOOKUP(D4285,'Detail Balok'!$C$10:$AU$140,36,FALSE)</f>
        <v>0</v>
      </c>
      <c r="E4306" s="388" t="s">
        <v>16</v>
      </c>
      <c r="F4306" s="388">
        <f>VLOOKUP(D4285,'Detail Balok'!$C$10:$AU$140,38,FALSE)</f>
        <v>10</v>
      </c>
      <c r="G4306" s="405" t="s">
        <v>157</v>
      </c>
      <c r="H4306" s="395">
        <f>VLOOKUP(D4285,'Detail Balok'!$C$10:$AU$140,40,FALSE)</f>
        <v>200</v>
      </c>
      <c r="I4306" s="388"/>
      <c r="J4306" s="400">
        <f t="shared" ref="J4306" si="13906">(IF(D4306=0,(2*(D4286+G4286))-(F$5*8),IF(D4306=3,(2*(D4286+G4286))-(F$5*8)+(G4286-2*F$5),IF(D4306=4,(2*(D4286+G4286))-(F$5*8)+2*(G4286-2*F$5)))))/1000</f>
        <v>0.88</v>
      </c>
      <c r="K4306" s="400" t="s">
        <v>204</v>
      </c>
      <c r="L4306" s="399">
        <f t="shared" si="13899"/>
        <v>0.15</v>
      </c>
      <c r="M4306" s="399" t="s">
        <v>176</v>
      </c>
      <c r="N4306" s="399">
        <f t="shared" si="13900"/>
        <v>1.03</v>
      </c>
      <c r="O4306" s="399"/>
      <c r="P4306" s="389"/>
      <c r="Q4306" s="399"/>
      <c r="R4306" s="399"/>
      <c r="S4306" s="399"/>
      <c r="T4306" s="399" t="s">
        <v>125</v>
      </c>
      <c r="U4306" s="401">
        <f t="shared" si="13901"/>
        <v>0.61650000000000005</v>
      </c>
      <c r="V4306" s="399" t="s">
        <v>125</v>
      </c>
      <c r="W4306" s="399">
        <f t="shared" ref="W4306" si="13907">IF(D4288-MAX(D4288/4,2*G4286)*2&gt;0,ROUND((D4288-MAX(D4288/4,2*G4286)*2)/H4306,0),0)</f>
        <v>23</v>
      </c>
      <c r="X4306" s="399" t="s">
        <v>125</v>
      </c>
      <c r="Y4306" s="389">
        <f t="shared" ref="Y4306" si="13908">D4291</f>
        <v>1</v>
      </c>
      <c r="Z4306" s="400" t="s">
        <v>176</v>
      </c>
      <c r="AA4306" s="402">
        <f t="shared" si="13904"/>
        <v>14.604885000000001</v>
      </c>
      <c r="AB4306" s="403"/>
    </row>
    <row r="4307" spans="1:28">
      <c r="A4307" s="384" t="str">
        <f t="shared" ref="A4307:B4307" si="13909">A4285</f>
        <v>Lantai 3</v>
      </c>
      <c r="B4307" s="385">
        <f t="shared" si="13909"/>
        <v>1</v>
      </c>
      <c r="C4307" s="393" t="s">
        <v>211</v>
      </c>
      <c r="D4307" s="398">
        <f>VLOOKUP(D4285,'Detail Balok'!$C$10:$AU$140,41,FALSE)</f>
        <v>0</v>
      </c>
      <c r="E4307" s="388" t="s">
        <v>16</v>
      </c>
      <c r="F4307" s="388">
        <f>VLOOKUP(D4285,'Detail Balok'!$C$10:$AU$140,43,FALSE)</f>
        <v>10</v>
      </c>
      <c r="G4307" s="405" t="s">
        <v>157</v>
      </c>
      <c r="H4307" s="395">
        <f>VLOOKUP(D4285,'Detail Balok'!$C$10:$AU$140,45,FALSE)</f>
        <v>100</v>
      </c>
      <c r="I4307" s="388"/>
      <c r="J4307" s="400">
        <f t="shared" ref="J4307" si="13910">(IF(D4307=0,(2*(D4286+G4286))-(F$5*8),IF(D4307=3,(2*(D4286+G4286))-(F$5*8)+(G4286-2*F$5),IF(D4307=4,(2*(D4286+G4286))-(F$5*8)+2*(G4286-2*F$5)))))/1000</f>
        <v>0.88</v>
      </c>
      <c r="K4307" s="400" t="s">
        <v>204</v>
      </c>
      <c r="L4307" s="399">
        <f t="shared" si="13899"/>
        <v>0.15</v>
      </c>
      <c r="M4307" s="399" t="s">
        <v>176</v>
      </c>
      <c r="N4307" s="399">
        <f t="shared" si="13900"/>
        <v>1.03</v>
      </c>
      <c r="O4307" s="399"/>
      <c r="P4307" s="389"/>
      <c r="Q4307" s="399"/>
      <c r="R4307" s="399"/>
      <c r="S4307" s="399"/>
      <c r="T4307" s="399" t="s">
        <v>125</v>
      </c>
      <c r="U4307" s="401">
        <f t="shared" si="13901"/>
        <v>0.61650000000000005</v>
      </c>
      <c r="V4307" s="399" t="s">
        <v>125</v>
      </c>
      <c r="W4307" s="399">
        <f t="shared" ref="W4307" si="13911">IF(D4288&gt;4*G4286,ROUND(MAX(D4288/4,2*G4286)/H4307,0)+1,0)</f>
        <v>24</v>
      </c>
      <c r="X4307" s="399" t="s">
        <v>125</v>
      </c>
      <c r="Y4307" s="389">
        <f t="shared" ref="Y4307" si="13912">D4291</f>
        <v>1</v>
      </c>
      <c r="Z4307" s="400" t="s">
        <v>176</v>
      </c>
      <c r="AA4307" s="402">
        <f t="shared" si="13904"/>
        <v>15.239880000000003</v>
      </c>
      <c r="AB4307" s="403"/>
    </row>
    <row r="4308" spans="1:28">
      <c r="A4308" s="384"/>
      <c r="B4308" s="385"/>
      <c r="C4308" s="393"/>
      <c r="D4308" s="394"/>
      <c r="E4308" s="388"/>
      <c r="F4308" s="388"/>
      <c r="G4308" s="388"/>
      <c r="H4308" s="395"/>
      <c r="I4308" s="388"/>
      <c r="J4308" s="399"/>
      <c r="K4308" s="396"/>
      <c r="L4308" s="396"/>
      <c r="M4308" s="396"/>
      <c r="N4308" s="396"/>
      <c r="O4308" s="396"/>
      <c r="P4308" s="389"/>
      <c r="Q4308" s="396"/>
      <c r="R4308" s="396"/>
      <c r="S4308" s="396"/>
      <c r="T4308" s="396"/>
      <c r="U4308" s="401"/>
      <c r="V4308" s="396"/>
      <c r="W4308" s="388"/>
      <c r="X4308" s="396"/>
      <c r="Y4308" s="389"/>
      <c r="Z4308" s="396"/>
      <c r="AA4308" s="388"/>
      <c r="AB4308" s="390"/>
    </row>
    <row r="4309" spans="1:28">
      <c r="A4309" s="384" t="str">
        <f t="shared" ref="A4309:B4309" si="13913">A4285</f>
        <v>Lantai 3</v>
      </c>
      <c r="B4309" s="385">
        <f t="shared" si="13913"/>
        <v>1</v>
      </c>
      <c r="C4309" s="393" t="s">
        <v>213</v>
      </c>
      <c r="D4309" s="398">
        <f>VLOOKUP(D4285,'Detail Balok'!$C$10:$BJ$140,46,FALSE)</f>
        <v>0</v>
      </c>
      <c r="E4309" s="388" t="s">
        <v>16</v>
      </c>
      <c r="F4309" s="388">
        <f>VLOOKUP(D4285,'Detail Balok'!$C$10:$BJ$140,48,FALSE)</f>
        <v>0</v>
      </c>
      <c r="G4309" s="405" t="s">
        <v>157</v>
      </c>
      <c r="H4309" s="395">
        <f>VLOOKUP(D4285,'Detail Balok'!$C$10:$BJ$140,50,FALSE)</f>
        <v>100</v>
      </c>
      <c r="I4309" s="388"/>
      <c r="J4309" s="399">
        <f t="shared" ref="J4309" si="13914">(D4286-2*F$5)/1000</f>
        <v>0.12</v>
      </c>
      <c r="K4309" s="400" t="s">
        <v>204</v>
      </c>
      <c r="L4309" s="399">
        <f t="shared" ref="L4309:L4311" si="13915">IF(D4309=0,2*MAX(6*F4309,75),(D4309-1)*2*MAX(6*F4309,75))/1000</f>
        <v>0.15</v>
      </c>
      <c r="M4309" s="399" t="s">
        <v>176</v>
      </c>
      <c r="N4309" s="399">
        <f t="shared" ref="N4309:N4311" si="13916">J4309+L4309</f>
        <v>0.27</v>
      </c>
      <c r="O4309" s="399"/>
      <c r="P4309" s="399"/>
      <c r="Q4309" s="399"/>
      <c r="R4309" s="399"/>
      <c r="S4309" s="399"/>
      <c r="T4309" s="399" t="s">
        <v>125</v>
      </c>
      <c r="U4309" s="401">
        <f t="shared" ref="U4309:U4311" si="13917">0.006165*F4309^2</f>
        <v>0</v>
      </c>
      <c r="V4309" s="399" t="s">
        <v>125</v>
      </c>
      <c r="W4309" s="399">
        <f t="shared" ref="W4309:W4341" si="13918">W4305</f>
        <v>24</v>
      </c>
      <c r="X4309" s="399" t="s">
        <v>125</v>
      </c>
      <c r="Y4309" s="389">
        <f t="shared" ref="Y4309" si="13919">D4295</f>
        <v>3</v>
      </c>
      <c r="Z4309" s="400" t="s">
        <v>176</v>
      </c>
      <c r="AA4309" s="402">
        <f t="shared" ref="AA4309:AA4311" si="13920">N4309*U4309*W4309*Y4309</f>
        <v>0</v>
      </c>
      <c r="AB4309" s="403"/>
    </row>
    <row r="4310" spans="1:28">
      <c r="A4310" s="384" t="str">
        <f t="shared" ref="A4310:B4310" si="13921">A4285</f>
        <v>Lantai 3</v>
      </c>
      <c r="B4310" s="385">
        <f t="shared" si="13921"/>
        <v>1</v>
      </c>
      <c r="C4310" s="393" t="s">
        <v>214</v>
      </c>
      <c r="D4310" s="398">
        <f>VLOOKUP(D4285,'Detail Balok'!$C$10:$BJ$140,51,FALSE)</f>
        <v>0</v>
      </c>
      <c r="E4310" s="388" t="s">
        <v>16</v>
      </c>
      <c r="F4310" s="388">
        <f>VLOOKUP(D4285,'Detail Balok'!$C$10:$BJ$140,53,FALSE)</f>
        <v>0</v>
      </c>
      <c r="G4310" s="405" t="s">
        <v>157</v>
      </c>
      <c r="H4310" s="395">
        <f>VLOOKUP(D4285,'Detail Balok'!$C$10:$BJ$140,55,FALSE)</f>
        <v>100</v>
      </c>
      <c r="I4310" s="388"/>
      <c r="J4310" s="399">
        <f t="shared" ref="J4310" si="13922">(D4286-2*F$5)/1000</f>
        <v>0.12</v>
      </c>
      <c r="K4310" s="400" t="s">
        <v>204</v>
      </c>
      <c r="L4310" s="399">
        <f t="shared" si="13915"/>
        <v>0.15</v>
      </c>
      <c r="M4310" s="399" t="s">
        <v>176</v>
      </c>
      <c r="N4310" s="399">
        <f t="shared" si="13916"/>
        <v>0.27</v>
      </c>
      <c r="O4310" s="399"/>
      <c r="P4310" s="399"/>
      <c r="Q4310" s="399"/>
      <c r="R4310" s="399"/>
      <c r="S4310" s="399"/>
      <c r="T4310" s="399" t="s">
        <v>125</v>
      </c>
      <c r="U4310" s="401">
        <f t="shared" si="13917"/>
        <v>0</v>
      </c>
      <c r="V4310" s="399" t="s">
        <v>125</v>
      </c>
      <c r="W4310" s="399">
        <f t="shared" si="13918"/>
        <v>23</v>
      </c>
      <c r="X4310" s="399" t="s">
        <v>125</v>
      </c>
      <c r="Y4310" s="389">
        <f t="shared" ref="Y4310" si="13923">D4295</f>
        <v>3</v>
      </c>
      <c r="Z4310" s="400" t="s">
        <v>176</v>
      </c>
      <c r="AA4310" s="402">
        <f t="shared" si="13920"/>
        <v>0</v>
      </c>
      <c r="AB4310" s="403"/>
    </row>
    <row r="4311" spans="1:28">
      <c r="A4311" s="384" t="str">
        <f t="shared" ref="A4311:B4311" si="13924">A4285</f>
        <v>Lantai 3</v>
      </c>
      <c r="B4311" s="385">
        <f t="shared" si="13924"/>
        <v>1</v>
      </c>
      <c r="C4311" s="393" t="s">
        <v>213</v>
      </c>
      <c r="D4311" s="398">
        <f>VLOOKUP(D4285,'Detail Balok'!$C$10:$BJ$140,56,FALSE)</f>
        <v>0</v>
      </c>
      <c r="E4311" s="388" t="s">
        <v>16</v>
      </c>
      <c r="F4311" s="388">
        <f>VLOOKUP(D4285,'Detail Balok'!$C$10:$BJ$140,58,FALSE)</f>
        <v>0</v>
      </c>
      <c r="G4311" s="405" t="s">
        <v>157</v>
      </c>
      <c r="H4311" s="395">
        <f>VLOOKUP(D4285,'Detail Balok'!$C$10:$BJ$140,60,FALSE)</f>
        <v>100</v>
      </c>
      <c r="I4311" s="388"/>
      <c r="J4311" s="399">
        <f t="shared" ref="J4311" si="13925">(D4286-2*F$5)/1000</f>
        <v>0.12</v>
      </c>
      <c r="K4311" s="400" t="s">
        <v>204</v>
      </c>
      <c r="L4311" s="399">
        <f t="shared" si="13915"/>
        <v>0.15</v>
      </c>
      <c r="M4311" s="399" t="s">
        <v>176</v>
      </c>
      <c r="N4311" s="399">
        <f t="shared" si="13916"/>
        <v>0.27</v>
      </c>
      <c r="O4311" s="399"/>
      <c r="P4311" s="399"/>
      <c r="Q4311" s="399"/>
      <c r="R4311" s="399"/>
      <c r="S4311" s="399"/>
      <c r="T4311" s="399" t="s">
        <v>125</v>
      </c>
      <c r="U4311" s="401">
        <f t="shared" si="13917"/>
        <v>0</v>
      </c>
      <c r="V4311" s="399" t="s">
        <v>125</v>
      </c>
      <c r="W4311" s="399">
        <f t="shared" si="13918"/>
        <v>24</v>
      </c>
      <c r="X4311" s="399" t="s">
        <v>125</v>
      </c>
      <c r="Y4311" s="389">
        <f t="shared" ref="Y4311" si="13926">D4295</f>
        <v>3</v>
      </c>
      <c r="Z4311" s="400" t="s">
        <v>176</v>
      </c>
      <c r="AA4311" s="402">
        <f t="shared" si="13920"/>
        <v>0</v>
      </c>
      <c r="AB4311" s="403"/>
    </row>
    <row r="4312" spans="1:28">
      <c r="A4312" s="391"/>
      <c r="B4312" s="392"/>
      <c r="C4312" s="392"/>
      <c r="D4312" s="394"/>
      <c r="E4312" s="388"/>
      <c r="F4312" s="388"/>
      <c r="G4312" s="388"/>
      <c r="H4312" s="395"/>
      <c r="I4312" s="388"/>
      <c r="J4312" s="402"/>
      <c r="K4312" s="388"/>
      <c r="L4312" s="388"/>
      <c r="M4312" s="388"/>
      <c r="N4312" s="388"/>
      <c r="O4312" s="388"/>
      <c r="P4312" s="388"/>
      <c r="Q4312" s="388"/>
      <c r="R4312" s="388"/>
      <c r="S4312" s="388"/>
      <c r="T4312" s="388"/>
      <c r="U4312" s="388"/>
      <c r="V4312" s="388"/>
      <c r="W4312" s="388"/>
      <c r="X4312" s="388"/>
      <c r="Y4312" s="389"/>
      <c r="Z4312" s="388"/>
      <c r="AA4312" s="402"/>
      <c r="AB4312" s="403"/>
    </row>
    <row r="4313" spans="1:28" ht="15.75" thickBot="1">
      <c r="A4313" s="406"/>
      <c r="B4313" s="407"/>
      <c r="C4313" s="407"/>
      <c r="D4313" s="408"/>
      <c r="E4313" s="409"/>
      <c r="F4313" s="409"/>
      <c r="G4313" s="409"/>
      <c r="H4313" s="410"/>
      <c r="I4313" s="409"/>
      <c r="J4313" s="409"/>
      <c r="K4313" s="409"/>
      <c r="L4313" s="409"/>
      <c r="M4313" s="409"/>
      <c r="N4313" s="409"/>
      <c r="O4313" s="409"/>
      <c r="P4313" s="409"/>
      <c r="Q4313" s="409"/>
      <c r="R4313" s="409"/>
      <c r="S4313" s="409"/>
      <c r="T4313" s="409"/>
      <c r="U4313" s="409"/>
      <c r="V4313" s="409"/>
      <c r="W4313" s="409"/>
      <c r="X4313" s="409"/>
      <c r="Y4313" s="411"/>
      <c r="Z4313" s="409"/>
      <c r="AA4313" s="412"/>
      <c r="AB4313" s="413"/>
    </row>
    <row r="4314" spans="1:28">
      <c r="A4314" s="377"/>
      <c r="B4314" s="378"/>
      <c r="C4314" s="378"/>
      <c r="D4314" s="379"/>
      <c r="E4314" s="380"/>
      <c r="F4314" s="380"/>
      <c r="G4314" s="380"/>
      <c r="H4314" s="381"/>
      <c r="I4314" s="380"/>
      <c r="J4314" s="380"/>
      <c r="K4314" s="380"/>
      <c r="L4314" s="380"/>
      <c r="M4314" s="380"/>
      <c r="N4314" s="380"/>
      <c r="O4314" s="380"/>
      <c r="P4314" s="380"/>
      <c r="Q4314" s="380"/>
      <c r="R4314" s="380"/>
      <c r="S4314" s="380"/>
      <c r="T4314" s="380"/>
      <c r="U4314" s="380"/>
      <c r="V4314" s="380"/>
      <c r="W4314" s="380"/>
      <c r="X4314" s="380"/>
      <c r="Y4314" s="382"/>
      <c r="Z4314" s="380"/>
      <c r="AA4314" s="380"/>
      <c r="AB4314" s="383"/>
    </row>
    <row r="4315" spans="1:28">
      <c r="A4315" s="384" t="str">
        <f t="shared" ref="A4315:A4345" si="13927">A4285</f>
        <v>Lantai 3</v>
      </c>
      <c r="B4315" s="385">
        <f t="shared" ref="B4315:B4345" si="13928">B4285+1</f>
        <v>2</v>
      </c>
      <c r="C4315" s="386" t="str">
        <f t="shared" ref="C4315" si="13929">CONCATENATE(A4315," no. ",B4315)</f>
        <v>Lantai 3 no. 2</v>
      </c>
      <c r="D4315" s="2562" t="str">
        <f>VLOOKUP(C4315,'Data Panjang Balok'!$C$9:$N$254,2,FALSE)</f>
        <v>B24-2</v>
      </c>
      <c r="E4315" s="2576"/>
      <c r="F4315" s="2576"/>
      <c r="G4315" s="2576"/>
      <c r="H4315" s="2577"/>
      <c r="I4315" s="387"/>
      <c r="J4315" s="388"/>
      <c r="K4315" s="388"/>
      <c r="L4315" s="388"/>
      <c r="M4315" s="388"/>
      <c r="N4315" s="388"/>
      <c r="O4315" s="388"/>
      <c r="P4315" s="388"/>
      <c r="Q4315" s="388"/>
      <c r="R4315" s="388"/>
      <c r="S4315" s="388"/>
      <c r="T4315" s="388"/>
      <c r="U4315" s="388"/>
      <c r="V4315" s="388"/>
      <c r="W4315" s="388"/>
      <c r="X4315" s="388"/>
      <c r="Y4315" s="389"/>
      <c r="Z4315" s="388"/>
      <c r="AA4315" s="388"/>
      <c r="AB4315" s="390"/>
    </row>
    <row r="4316" spans="1:28">
      <c r="A4316" s="391"/>
      <c r="B4316" s="392"/>
      <c r="C4316" s="393" t="s">
        <v>118</v>
      </c>
      <c r="D4316" s="2578">
        <f>VLOOKUP(D4315,'Detail Balok'!$C$10:$AU$140,2,FALSE)</f>
        <v>200</v>
      </c>
      <c r="E4316" s="2579"/>
      <c r="F4316" s="388" t="s">
        <v>125</v>
      </c>
      <c r="G4316" s="2579">
        <f>VLOOKUP(D4315,'Detail Balok'!$C$10:$AU$140,3,FALSE)</f>
        <v>400</v>
      </c>
      <c r="H4316" s="2580"/>
      <c r="I4316" s="388"/>
      <c r="J4316" s="396"/>
      <c r="K4316" s="396"/>
      <c r="L4316" s="396"/>
      <c r="M4316" s="396"/>
      <c r="N4316" s="396"/>
      <c r="O4316" s="396"/>
      <c r="P4316" s="396"/>
      <c r="Q4316" s="396"/>
      <c r="R4316" s="396"/>
      <c r="S4316" s="396"/>
      <c r="T4316" s="396"/>
      <c r="U4316" s="388"/>
      <c r="V4316" s="396"/>
      <c r="W4316" s="388"/>
      <c r="X4316" s="396"/>
      <c r="Y4316" s="389"/>
      <c r="Z4316" s="396"/>
      <c r="AA4316" s="388"/>
      <c r="AB4316" s="390"/>
    </row>
    <row r="4317" spans="1:28">
      <c r="A4317" s="391"/>
      <c r="B4317" s="392"/>
      <c r="C4317" s="393" t="s">
        <v>198</v>
      </c>
      <c r="D4317" s="2562">
        <f>VLOOKUP(C4315,'Data Panjang Balok'!$C$9:$N$254,4,FALSE)</f>
        <v>9000</v>
      </c>
      <c r="E4317" s="2563"/>
      <c r="F4317" s="2563"/>
      <c r="G4317" s="2563"/>
      <c r="H4317" s="2564"/>
      <c r="I4317" s="397"/>
      <c r="J4317" s="396"/>
      <c r="K4317" s="396"/>
      <c r="L4317" s="396"/>
      <c r="M4317" s="396"/>
      <c r="N4317" s="396"/>
      <c r="O4317" s="396"/>
      <c r="P4317" s="396"/>
      <c r="Q4317" s="396"/>
      <c r="R4317" s="396"/>
      <c r="S4317" s="396"/>
      <c r="T4317" s="396"/>
      <c r="U4317" s="388"/>
      <c r="V4317" s="396"/>
      <c r="W4317" s="388"/>
      <c r="X4317" s="396"/>
      <c r="Y4317" s="389"/>
      <c r="Z4317" s="396"/>
      <c r="AA4317" s="388"/>
      <c r="AB4317" s="390"/>
    </row>
    <row r="4318" spans="1:28">
      <c r="A4318" s="391"/>
      <c r="B4318" s="392"/>
      <c r="C4318" s="393" t="s">
        <v>199</v>
      </c>
      <c r="D4318" s="2562">
        <f>VLOOKUP(C4315,'Data Panjang Balok'!$C$9:$N$254,7,FALSE)</f>
        <v>9000</v>
      </c>
      <c r="E4318" s="2563"/>
      <c r="F4318" s="2563"/>
      <c r="G4318" s="2563"/>
      <c r="H4318" s="2564"/>
      <c r="I4318" s="397"/>
      <c r="J4318" s="396"/>
      <c r="K4318" s="396"/>
      <c r="L4318" s="396"/>
      <c r="M4318" s="396"/>
      <c r="N4318" s="396"/>
      <c r="O4318" s="396"/>
      <c r="P4318" s="396"/>
      <c r="Q4318" s="396"/>
      <c r="R4318" s="396"/>
      <c r="S4318" s="396"/>
      <c r="T4318" s="396"/>
      <c r="U4318" s="388"/>
      <c r="V4318" s="396"/>
      <c r="W4318" s="388"/>
      <c r="X4318" s="396"/>
      <c r="Y4318" s="389"/>
      <c r="Z4318" s="396"/>
      <c r="AA4318" s="388"/>
      <c r="AB4318" s="390"/>
    </row>
    <row r="4319" spans="1:28">
      <c r="A4319" s="391"/>
      <c r="B4319" s="392"/>
      <c r="C4319" s="393" t="s">
        <v>200</v>
      </c>
      <c r="D4319" s="2562">
        <f>VLOOKUP(C4315,'Data Panjang Balok'!$C$9:$N$254,9,FALSE)</f>
        <v>0</v>
      </c>
      <c r="E4319" s="2563"/>
      <c r="F4319" s="2563"/>
      <c r="G4319" s="2563"/>
      <c r="H4319" s="2564"/>
      <c r="I4319" s="397"/>
      <c r="J4319" s="396"/>
      <c r="K4319" s="396"/>
      <c r="L4319" s="396"/>
      <c r="M4319" s="396"/>
      <c r="N4319" s="396"/>
      <c r="O4319" s="396"/>
      <c r="P4319" s="396"/>
      <c r="Q4319" s="396"/>
      <c r="R4319" s="396"/>
      <c r="S4319" s="396"/>
      <c r="T4319" s="396"/>
      <c r="U4319" s="388"/>
      <c r="V4319" s="396"/>
      <c r="W4319" s="388"/>
      <c r="X4319" s="396"/>
      <c r="Y4319" s="389"/>
      <c r="Z4319" s="396"/>
      <c r="AA4319" s="388"/>
      <c r="AB4319" s="390"/>
    </row>
    <row r="4320" spans="1:28">
      <c r="A4320" s="391"/>
      <c r="B4320" s="392"/>
      <c r="C4320" s="393" t="s">
        <v>201</v>
      </c>
      <c r="D4320" s="2562">
        <f>VLOOKUP(C4315,'Data Panjang Balok'!$C$9:$N$254,10,FALSE)</f>
        <v>0</v>
      </c>
      <c r="E4320" s="2563"/>
      <c r="F4320" s="2563"/>
      <c r="G4320" s="2563"/>
      <c r="H4320" s="2564"/>
      <c r="I4320" s="397"/>
      <c r="J4320" s="396"/>
      <c r="K4320" s="396"/>
      <c r="L4320" s="396"/>
      <c r="M4320" s="396"/>
      <c r="N4320" s="396"/>
      <c r="O4320" s="396"/>
      <c r="P4320" s="396"/>
      <c r="Q4320" s="396"/>
      <c r="R4320" s="396"/>
      <c r="S4320" s="396"/>
      <c r="T4320" s="396"/>
      <c r="U4320" s="388"/>
      <c r="V4320" s="396"/>
      <c r="W4320" s="388"/>
      <c r="X4320" s="396"/>
      <c r="Y4320" s="389"/>
      <c r="Z4320" s="396"/>
      <c r="AA4320" s="388"/>
      <c r="AB4320" s="390"/>
    </row>
    <row r="4321" spans="1:28">
      <c r="A4321" s="391"/>
      <c r="B4321" s="392"/>
      <c r="C4321" s="393" t="s">
        <v>48</v>
      </c>
      <c r="D4321" s="2562">
        <f>VLOOKUP(C4315,'Data Panjang Balok'!$C$9:$N$254,3,FALSE)</f>
        <v>1</v>
      </c>
      <c r="E4321" s="2563"/>
      <c r="F4321" s="2563"/>
      <c r="G4321" s="2563"/>
      <c r="H4321" s="2564"/>
      <c r="I4321" s="397"/>
      <c r="J4321" s="396"/>
      <c r="K4321" s="396"/>
      <c r="L4321" s="396"/>
      <c r="M4321" s="396"/>
      <c r="N4321" s="396"/>
      <c r="O4321" s="396"/>
      <c r="P4321" s="396"/>
      <c r="Q4321" s="396"/>
      <c r="R4321" s="396"/>
      <c r="S4321" s="396"/>
      <c r="T4321" s="396"/>
      <c r="U4321" s="388"/>
      <c r="V4321" s="396"/>
      <c r="W4321" s="388"/>
      <c r="X4321" s="396"/>
      <c r="Y4321" s="389"/>
      <c r="Z4321" s="396"/>
      <c r="AA4321" s="388"/>
      <c r="AB4321" s="390"/>
    </row>
    <row r="4322" spans="1:28">
      <c r="A4322" s="384" t="str">
        <f t="shared" ref="A4322:B4322" si="13930">A4315</f>
        <v>Lantai 3</v>
      </c>
      <c r="B4322" s="385">
        <f t="shared" si="13930"/>
        <v>2</v>
      </c>
      <c r="C4322" s="393" t="s">
        <v>202</v>
      </c>
      <c r="D4322" s="398">
        <f>VLOOKUP(D4315,'Detail Balok'!$C$10:$AU$140,4,FALSE)</f>
        <v>3</v>
      </c>
      <c r="E4322" s="388" t="s">
        <v>16</v>
      </c>
      <c r="F4322" s="388">
        <f>VLOOKUP(D4315,'Detail Balok'!$C$10:$AU$140,6,FALSE)</f>
        <v>16</v>
      </c>
      <c r="G4322" s="388"/>
      <c r="H4322" s="395"/>
      <c r="I4322" s="388" t="s">
        <v>203</v>
      </c>
      <c r="J4322" s="399">
        <f t="shared" ref="J4322" si="13931">+D4317/4/1000</f>
        <v>2.25</v>
      </c>
      <c r="K4322" s="400" t="s">
        <v>204</v>
      </c>
      <c r="L4322" s="399">
        <f t="shared" ref="L4322" si="13932">MAX(VLOOKUP(F4322,N$6:P$15,3,FALSE)/1000,2/3*D4319/1000)+F$16*F4322/1000</f>
        <v>0.192</v>
      </c>
      <c r="M4322" s="399" t="s">
        <v>176</v>
      </c>
      <c r="N4322" s="399">
        <f t="shared" ref="N4322:N4324" si="13933">J4322+L4322</f>
        <v>2.4420000000000002</v>
      </c>
      <c r="O4322" s="399" t="s">
        <v>204</v>
      </c>
      <c r="P4322" s="389">
        <f t="shared" ref="P4322" si="13934">D4322-D4323</f>
        <v>0</v>
      </c>
      <c r="Q4322" s="399" t="s">
        <v>125</v>
      </c>
      <c r="R4322" s="399">
        <f t="shared" ref="R4322" si="13935">IF(P4322&gt;0,$F$18*F4322/1000,0)</f>
        <v>0</v>
      </c>
      <c r="S4322" s="399" t="s">
        <v>205</v>
      </c>
      <c r="T4322" s="399" t="s">
        <v>125</v>
      </c>
      <c r="U4322" s="401">
        <f t="shared" ref="U4322:U4324" si="13936">0.006165*F4322^2</f>
        <v>1.5782400000000001</v>
      </c>
      <c r="V4322" s="399"/>
      <c r="W4322" s="399"/>
      <c r="X4322" s="399" t="s">
        <v>125</v>
      </c>
      <c r="Y4322" s="389">
        <f t="shared" ref="Y4322" si="13937">D4321</f>
        <v>1</v>
      </c>
      <c r="Z4322" s="400" t="s">
        <v>176</v>
      </c>
      <c r="AA4322" s="402">
        <f t="shared" ref="AA4322" si="13938">IF(AA4325=0,(D4322*N4322+P4322*R4322)*U4322*Y4322,0)</f>
        <v>0</v>
      </c>
      <c r="AB4322" s="403"/>
    </row>
    <row r="4323" spans="1:28">
      <c r="A4323" s="384" t="str">
        <f t="shared" ref="A4323:B4323" si="13939">A4315</f>
        <v>Lantai 3</v>
      </c>
      <c r="B4323" s="385">
        <f t="shared" si="13939"/>
        <v>2</v>
      </c>
      <c r="C4323" s="393" t="s">
        <v>206</v>
      </c>
      <c r="D4323" s="398">
        <f>VLOOKUP(D4315,'Detail Balok'!$C$10:$AU$140,7,FALSE)</f>
        <v>3</v>
      </c>
      <c r="E4323" s="388" t="s">
        <v>16</v>
      </c>
      <c r="F4323" s="388">
        <f>VLOOKUP(D4315,'Detail Balok'!$C$10:$AU$140,9,FALSE)</f>
        <v>16</v>
      </c>
      <c r="G4323" s="388"/>
      <c r="H4323" s="395"/>
      <c r="I4323" s="388" t="s">
        <v>203</v>
      </c>
      <c r="J4323" s="399">
        <f t="shared" ref="J4323" si="13940">+D4317/2/1000</f>
        <v>4.5</v>
      </c>
      <c r="K4323" s="400" t="s">
        <v>204</v>
      </c>
      <c r="L4323" s="399"/>
      <c r="M4323" s="399" t="s">
        <v>176</v>
      </c>
      <c r="N4323" s="399">
        <f t="shared" si="13933"/>
        <v>4.5</v>
      </c>
      <c r="O4323" s="399" t="s">
        <v>204</v>
      </c>
      <c r="P4323" s="389">
        <f t="shared" ref="P4323" si="13941">MAX(D4323-D4322,D4323-D4324)</f>
        <v>0</v>
      </c>
      <c r="Q4323" s="399" t="s">
        <v>125</v>
      </c>
      <c r="R4323" s="399">
        <f t="shared" ref="R4323" si="13942">IF(P4323&gt;0,2*(1-2*$F$19-1/2)*D4318/1000,0)</f>
        <v>0</v>
      </c>
      <c r="S4323" s="399" t="s">
        <v>205</v>
      </c>
      <c r="T4323" s="399" t="s">
        <v>125</v>
      </c>
      <c r="U4323" s="401">
        <f t="shared" si="13936"/>
        <v>1.5782400000000001</v>
      </c>
      <c r="V4323" s="399"/>
      <c r="W4323" s="399"/>
      <c r="X4323" s="399" t="s">
        <v>125</v>
      </c>
      <c r="Y4323" s="389">
        <f t="shared" ref="Y4323" si="13943">D4321</f>
        <v>1</v>
      </c>
      <c r="Z4323" s="400" t="s">
        <v>176</v>
      </c>
      <c r="AA4323" s="402">
        <f t="shared" ref="AA4323" si="13944">IF(AA4325=0,(D4323*N4323+P4323*R4323)*U4323*Y4323,0)</f>
        <v>0</v>
      </c>
      <c r="AB4323" s="403"/>
    </row>
    <row r="4324" spans="1:28">
      <c r="A4324" s="384" t="str">
        <f t="shared" ref="A4324:B4324" si="13945">A4315</f>
        <v>Lantai 3</v>
      </c>
      <c r="B4324" s="385">
        <f t="shared" si="13945"/>
        <v>2</v>
      </c>
      <c r="C4324" s="393" t="s">
        <v>202</v>
      </c>
      <c r="D4324" s="398">
        <f>VLOOKUP(D4315,'Detail Balok'!$C$10:$AU$140,10,FALSE)</f>
        <v>3</v>
      </c>
      <c r="E4324" s="388" t="s">
        <v>16</v>
      </c>
      <c r="F4324" s="388">
        <f>VLOOKUP(D4315,'Detail Balok'!$C$10:$AU$140,12,FALSE)</f>
        <v>16</v>
      </c>
      <c r="G4324" s="388"/>
      <c r="H4324" s="395"/>
      <c r="I4324" s="388" t="s">
        <v>203</v>
      </c>
      <c r="J4324" s="399">
        <f t="shared" ref="J4324" si="13946">+D4317/4/1000</f>
        <v>2.25</v>
      </c>
      <c r="K4324" s="400" t="s">
        <v>204</v>
      </c>
      <c r="L4324" s="399">
        <f t="shared" ref="L4324" si="13947">MAX(VLOOKUP(F4324,N$6:P$15,3,FALSE)/1000,2/3*D4319/1000)+F$16*F4324/1000</f>
        <v>0.192</v>
      </c>
      <c r="M4324" s="399" t="s">
        <v>176</v>
      </c>
      <c r="N4324" s="399">
        <f t="shared" si="13933"/>
        <v>2.4420000000000002</v>
      </c>
      <c r="O4324" s="399" t="s">
        <v>204</v>
      </c>
      <c r="P4324" s="389">
        <f t="shared" ref="P4324" si="13948">D4324-D4323</f>
        <v>0</v>
      </c>
      <c r="Q4324" s="399" t="s">
        <v>125</v>
      </c>
      <c r="R4324" s="399">
        <f t="shared" ref="R4324" si="13949">IF(P4324&gt;0,$F$18*F4324/1000,0)</f>
        <v>0</v>
      </c>
      <c r="S4324" s="399" t="s">
        <v>205</v>
      </c>
      <c r="T4324" s="399" t="s">
        <v>125</v>
      </c>
      <c r="U4324" s="401">
        <f t="shared" si="13936"/>
        <v>1.5782400000000001</v>
      </c>
      <c r="V4324" s="399"/>
      <c r="W4324" s="399"/>
      <c r="X4324" s="399" t="s">
        <v>125</v>
      </c>
      <c r="Y4324" s="389">
        <f t="shared" ref="Y4324" si="13950">D4321</f>
        <v>1</v>
      </c>
      <c r="Z4324" s="400" t="s">
        <v>176</v>
      </c>
      <c r="AA4324" s="402">
        <f t="shared" ref="AA4324" si="13951">IF(AA4325=0,(D4324*N4324+P4324*R4324)*U4324*Y4324,0)</f>
        <v>0</v>
      </c>
      <c r="AB4324" s="403"/>
    </row>
    <row r="4325" spans="1:28">
      <c r="A4325" s="384" t="str">
        <f t="shared" ref="A4325:B4325" si="13952">A4315</f>
        <v>Lantai 3</v>
      </c>
      <c r="B4325" s="385">
        <f t="shared" si="13952"/>
        <v>2</v>
      </c>
      <c r="C4325" s="393"/>
      <c r="D4325" s="398">
        <f t="shared" si="13848"/>
        <v>3</v>
      </c>
      <c r="E4325" s="388" t="s">
        <v>16</v>
      </c>
      <c r="F4325" s="388">
        <f t="shared" si="13849"/>
        <v>16</v>
      </c>
      <c r="G4325" s="388"/>
      <c r="H4325" s="395"/>
      <c r="I4325" s="388"/>
      <c r="J4325" s="396"/>
      <c r="K4325" s="396"/>
      <c r="L4325" s="404" t="s">
        <v>207</v>
      </c>
      <c r="M4325" s="399" t="s">
        <v>176</v>
      </c>
      <c r="N4325" s="399">
        <f t="shared" ref="N4325" si="13953">IF(AND(D4322=D4323,D4322=D4324,D4323=D4324,F4322=F4323,F4322=F4324,F4323=F4324),SUM(N4322:N4324),0)</f>
        <v>9.3840000000000003</v>
      </c>
      <c r="O4325" s="399" t="s">
        <v>204</v>
      </c>
      <c r="P4325" s="389">
        <f t="shared" ref="P4325" si="13954">IF(N4325&gt;12,ROUNDDOWN(N4325/12,0),0)</f>
        <v>0</v>
      </c>
      <c r="Q4325" s="399" t="s">
        <v>125</v>
      </c>
      <c r="R4325" s="399">
        <f t="shared" ref="R4325" si="13955">IF(P4325&gt;0,MAX(VLOOKUP(F4325,$D$6:$G$15,3,FALSE),600),0)/1000</f>
        <v>0</v>
      </c>
      <c r="S4325" s="396"/>
      <c r="T4325" s="396" t="s">
        <v>125</v>
      </c>
      <c r="U4325" s="401">
        <f t="shared" si="13853"/>
        <v>1.5782400000000001</v>
      </c>
      <c r="V4325" s="396" t="s">
        <v>125</v>
      </c>
      <c r="W4325" s="399">
        <f t="shared" ref="W4325" si="13956">D4325</f>
        <v>3</v>
      </c>
      <c r="X4325" s="399" t="s">
        <v>125</v>
      </c>
      <c r="Y4325" s="389">
        <f t="shared" si="13855"/>
        <v>1</v>
      </c>
      <c r="Z4325" s="400" t="s">
        <v>176</v>
      </c>
      <c r="AA4325" s="402">
        <f t="shared" ref="AA4325" si="13957">(N4325+P4325*R4325/1000)*U4325*W4325*Y4325</f>
        <v>44.430612480000008</v>
      </c>
      <c r="AB4325" s="390"/>
    </row>
    <row r="4326" spans="1:28">
      <c r="A4326" s="384"/>
      <c r="B4326" s="385"/>
      <c r="C4326" s="393"/>
      <c r="D4326" s="398"/>
      <c r="E4326" s="388"/>
      <c r="F4326" s="388"/>
      <c r="G4326" s="388"/>
      <c r="H4326" s="395"/>
      <c r="I4326" s="388"/>
      <c r="J4326" s="396"/>
      <c r="K4326" s="396"/>
      <c r="L4326" s="404"/>
      <c r="M4326" s="399"/>
      <c r="N4326" s="399"/>
      <c r="O4326" s="396"/>
      <c r="P4326" s="389"/>
      <c r="Q4326" s="396"/>
      <c r="R4326" s="396"/>
      <c r="S4326" s="396"/>
      <c r="T4326" s="396"/>
      <c r="U4326" s="401"/>
      <c r="V4326" s="396"/>
      <c r="W4326" s="399"/>
      <c r="X4326" s="396"/>
      <c r="Y4326" s="389"/>
      <c r="Z4326" s="396"/>
      <c r="AA4326" s="388"/>
      <c r="AB4326" s="390"/>
    </row>
    <row r="4327" spans="1:28">
      <c r="A4327" s="384" t="str">
        <f t="shared" ref="A4327:B4327" si="13958">A4315</f>
        <v>Lantai 3</v>
      </c>
      <c r="B4327" s="385">
        <f t="shared" si="13958"/>
        <v>2</v>
      </c>
      <c r="C4327" s="393" t="s">
        <v>208</v>
      </c>
      <c r="D4327" s="398">
        <f>VLOOKUP(D4315,'Detail Balok'!$C$10:$AU$140,13,FALSE)</f>
        <v>0</v>
      </c>
      <c r="E4327" s="388" t="s">
        <v>16</v>
      </c>
      <c r="F4327" s="388">
        <f>VLOOKUP(D4315,'Detail Balok'!$C$10:$AU$140,15,FALSE)</f>
        <v>8</v>
      </c>
      <c r="G4327" s="388"/>
      <c r="H4327" s="395"/>
      <c r="I4327" s="388"/>
      <c r="J4327" s="399">
        <f t="shared" ref="J4327" si="13959">+D4317/1000</f>
        <v>9</v>
      </c>
      <c r="K4327" s="400" t="s">
        <v>204</v>
      </c>
      <c r="L4327" s="399">
        <f t="shared" ref="L4327" si="13960">2*$F$16*F4327/1000</f>
        <v>0.192</v>
      </c>
      <c r="M4327" s="399" t="s">
        <v>176</v>
      </c>
      <c r="N4327" s="399">
        <f t="shared" ref="N4327" si="13961">J4327+L4327</f>
        <v>9.1920000000000002</v>
      </c>
      <c r="O4327" s="399" t="s">
        <v>204</v>
      </c>
      <c r="P4327" s="389">
        <f t="shared" ref="P4327" si="13962">IF(N4327&gt;12,ROUNDDOWN(N4327/12,0),0)</f>
        <v>0</v>
      </c>
      <c r="Q4327" s="399" t="s">
        <v>125</v>
      </c>
      <c r="R4327" s="399">
        <f t="shared" ref="R4327" si="13963">IF(P4327&gt;0,MAX(VLOOKUP(F4327,$D$6:$G$15,3,FALSE),600),0)/1000</f>
        <v>0</v>
      </c>
      <c r="S4327" s="399"/>
      <c r="T4327" s="399" t="s">
        <v>125</v>
      </c>
      <c r="U4327" s="401">
        <f t="shared" ref="U4327" si="13964">0.006165*F4327^2</f>
        <v>0.39456000000000002</v>
      </c>
      <c r="V4327" s="399" t="s">
        <v>125</v>
      </c>
      <c r="W4327" s="399">
        <f t="shared" ref="W4327" si="13965">+D4327</f>
        <v>0</v>
      </c>
      <c r="X4327" s="399" t="s">
        <v>125</v>
      </c>
      <c r="Y4327" s="389">
        <f t="shared" ref="Y4327" si="13966">D4321</f>
        <v>1</v>
      </c>
      <c r="Z4327" s="400" t="s">
        <v>176</v>
      </c>
      <c r="AA4327" s="402">
        <f t="shared" ref="AA4327" si="13967">(N4327+P4327*R4327/1000)*U4327*W4327*Y4327</f>
        <v>0</v>
      </c>
      <c r="AB4327" s="403"/>
    </row>
    <row r="4328" spans="1:28">
      <c r="A4328" s="384"/>
      <c r="B4328" s="385"/>
      <c r="C4328" s="393"/>
      <c r="D4328" s="398"/>
      <c r="E4328" s="388"/>
      <c r="F4328" s="388"/>
      <c r="G4328" s="388"/>
      <c r="H4328" s="395"/>
      <c r="I4328" s="388"/>
      <c r="J4328" s="399"/>
      <c r="K4328" s="400"/>
      <c r="L4328" s="399"/>
      <c r="M4328" s="399"/>
      <c r="N4328" s="399"/>
      <c r="O4328" s="399"/>
      <c r="P4328" s="389"/>
      <c r="Q4328" s="399"/>
      <c r="R4328" s="399"/>
      <c r="S4328" s="399"/>
      <c r="T4328" s="399"/>
      <c r="U4328" s="401"/>
      <c r="V4328" s="399"/>
      <c r="W4328" s="399"/>
      <c r="X4328" s="399"/>
      <c r="Y4328" s="389"/>
      <c r="Z4328" s="400"/>
      <c r="AA4328" s="402"/>
      <c r="AB4328" s="403"/>
    </row>
    <row r="4329" spans="1:28">
      <c r="A4329" s="384"/>
      <c r="B4329" s="385"/>
      <c r="C4329" s="393"/>
      <c r="D4329" s="398"/>
      <c r="E4329" s="388"/>
      <c r="F4329" s="388"/>
      <c r="G4329" s="388"/>
      <c r="H4329" s="395"/>
      <c r="I4329" s="388"/>
      <c r="J4329" s="396"/>
      <c r="K4329" s="396"/>
      <c r="L4329" s="396"/>
      <c r="M4329" s="396"/>
      <c r="N4329" s="396"/>
      <c r="O4329" s="396"/>
      <c r="P4329" s="389"/>
      <c r="Q4329" s="396"/>
      <c r="R4329" s="396"/>
      <c r="S4329" s="396"/>
      <c r="T4329" s="396"/>
      <c r="U4329" s="401"/>
      <c r="V4329" s="396"/>
      <c r="W4329" s="399"/>
      <c r="X4329" s="396"/>
      <c r="Y4329" s="389"/>
      <c r="Z4329" s="396"/>
      <c r="AA4329" s="388"/>
      <c r="AB4329" s="390"/>
    </row>
    <row r="4330" spans="1:28">
      <c r="A4330" s="384" t="str">
        <f t="shared" ref="A4330:B4330" si="13968">A4315</f>
        <v>Lantai 3</v>
      </c>
      <c r="B4330" s="385">
        <f t="shared" si="13968"/>
        <v>2</v>
      </c>
      <c r="C4330" s="393" t="s">
        <v>209</v>
      </c>
      <c r="D4330" s="398">
        <f>VLOOKUP(D4315,'Detail Balok'!$C$10:$AU$140,22,FALSE)</f>
        <v>3</v>
      </c>
      <c r="E4330" s="388" t="s">
        <v>16</v>
      </c>
      <c r="F4330" s="388">
        <f>VLOOKUP(D4315,'Detail Balok'!$C$10:$AU$140,24,FALSE)</f>
        <v>16</v>
      </c>
      <c r="G4330" s="388"/>
      <c r="H4330" s="395"/>
      <c r="I4330" s="388" t="s">
        <v>203</v>
      </c>
      <c r="J4330" s="399">
        <f t="shared" si="13868"/>
        <v>2.25</v>
      </c>
      <c r="K4330" s="400" t="s">
        <v>204</v>
      </c>
      <c r="L4330" s="399">
        <f t="shared" ref="L4330" si="13969">MAX(VLOOKUP(F4330,N$6:P$15,3,FALSE)/1000,2/3*D4320/1000)+F$16*F4330/1000</f>
        <v>0.192</v>
      </c>
      <c r="M4330" s="399" t="s">
        <v>176</v>
      </c>
      <c r="N4330" s="399">
        <f t="shared" ref="N4330:N4332" si="13970">J4330+L4330</f>
        <v>2.4420000000000002</v>
      </c>
      <c r="O4330" s="399" t="s">
        <v>204</v>
      </c>
      <c r="P4330" s="389">
        <f t="shared" ref="P4330" si="13971">D4330-D4331</f>
        <v>0</v>
      </c>
      <c r="Q4330" s="399" t="s">
        <v>125</v>
      </c>
      <c r="R4330" s="399">
        <f t="shared" ref="R4330" si="13972">IF(P4330&gt;0,$F$18*F4330/1000,0)</f>
        <v>0</v>
      </c>
      <c r="S4330" s="399" t="s">
        <v>205</v>
      </c>
      <c r="T4330" s="399" t="s">
        <v>125</v>
      </c>
      <c r="U4330" s="401">
        <f t="shared" ref="U4330:U4332" si="13973">0.006165*F4330^2</f>
        <v>1.5782400000000001</v>
      </c>
      <c r="V4330" s="399"/>
      <c r="W4330" s="399"/>
      <c r="X4330" s="399" t="s">
        <v>125</v>
      </c>
      <c r="Y4330" s="389">
        <f t="shared" ref="Y4330" si="13974">D4321</f>
        <v>1</v>
      </c>
      <c r="Z4330" s="400" t="s">
        <v>176</v>
      </c>
      <c r="AA4330" s="402">
        <f t="shared" ref="AA4330" si="13975">IF(AA4333=0,(D4330*N4330+P4330*R4330)*U4330*Y4330,0)</f>
        <v>0</v>
      </c>
      <c r="AB4330" s="403"/>
    </row>
    <row r="4331" spans="1:28">
      <c r="A4331" s="384" t="str">
        <f t="shared" ref="A4331:B4331" si="13976">A4315</f>
        <v>Lantai 3</v>
      </c>
      <c r="B4331" s="385">
        <f t="shared" si="13976"/>
        <v>2</v>
      </c>
      <c r="C4331" s="393" t="s">
        <v>210</v>
      </c>
      <c r="D4331" s="398">
        <f>VLOOKUP(D4315,'Detail Balok'!$C$10:$AU$140,25,FALSE)</f>
        <v>3</v>
      </c>
      <c r="E4331" s="388" t="s">
        <v>16</v>
      </c>
      <c r="F4331" s="388">
        <f>VLOOKUP(D4315,'Detail Balok'!$C$10:$AU$140,27,FALSE)</f>
        <v>16</v>
      </c>
      <c r="G4331" s="388"/>
      <c r="H4331" s="395"/>
      <c r="I4331" s="388" t="s">
        <v>203</v>
      </c>
      <c r="J4331" s="399">
        <f t="shared" si="13868"/>
        <v>4.5</v>
      </c>
      <c r="K4331" s="400" t="s">
        <v>204</v>
      </c>
      <c r="L4331" s="399"/>
      <c r="M4331" s="399" t="s">
        <v>176</v>
      </c>
      <c r="N4331" s="399">
        <f t="shared" si="13970"/>
        <v>4.5</v>
      </c>
      <c r="O4331" s="399" t="s">
        <v>204</v>
      </c>
      <c r="P4331" s="389">
        <f t="shared" ref="P4331" si="13977">MAX(D4331-D4330,D4331-D4332)</f>
        <v>0</v>
      </c>
      <c r="Q4331" s="399" t="s">
        <v>125</v>
      </c>
      <c r="R4331" s="399">
        <f t="shared" ref="R4331" si="13978">IF(P4331&gt;0,2*(1-2*$F$19-1/2)*D4318/1000,0)</f>
        <v>0</v>
      </c>
      <c r="S4331" s="399" t="s">
        <v>205</v>
      </c>
      <c r="T4331" s="399" t="s">
        <v>125</v>
      </c>
      <c r="U4331" s="401">
        <f t="shared" si="13973"/>
        <v>1.5782400000000001</v>
      </c>
      <c r="V4331" s="399"/>
      <c r="W4331" s="399"/>
      <c r="X4331" s="399" t="s">
        <v>125</v>
      </c>
      <c r="Y4331" s="389">
        <f t="shared" ref="Y4331" si="13979">D4321</f>
        <v>1</v>
      </c>
      <c r="Z4331" s="400" t="s">
        <v>176</v>
      </c>
      <c r="AA4331" s="402">
        <f t="shared" ref="AA4331" si="13980">IF(AA4333=0,(D4331*N4331+P4331*R4331)*U4331*Y4331,0)</f>
        <v>0</v>
      </c>
      <c r="AB4331" s="403"/>
    </row>
    <row r="4332" spans="1:28">
      <c r="A4332" s="384" t="str">
        <f t="shared" ref="A4332:B4332" si="13981">A4315</f>
        <v>Lantai 3</v>
      </c>
      <c r="B4332" s="385">
        <f t="shared" si="13981"/>
        <v>2</v>
      </c>
      <c r="C4332" s="393" t="s">
        <v>209</v>
      </c>
      <c r="D4332" s="398">
        <f>VLOOKUP(D4315,'Detail Balok'!$C$10:$AU$140,28,FALSE)</f>
        <v>3</v>
      </c>
      <c r="E4332" s="388" t="s">
        <v>16</v>
      </c>
      <c r="F4332" s="388">
        <f>VLOOKUP(D4315,'Detail Balok'!$C$10:$AU$140,30,FALSE)</f>
        <v>16</v>
      </c>
      <c r="G4332" s="388"/>
      <c r="H4332" s="395"/>
      <c r="I4332" s="388" t="s">
        <v>203</v>
      </c>
      <c r="J4332" s="399">
        <f t="shared" si="13868"/>
        <v>2.25</v>
      </c>
      <c r="K4332" s="400" t="s">
        <v>204</v>
      </c>
      <c r="L4332" s="399">
        <f t="shared" ref="L4332" si="13982">MAX(VLOOKUP(F4332,N$6:P$15,3,FALSE)/1000,2/3*D4320/1000)+F$16*F4332/1000</f>
        <v>0.192</v>
      </c>
      <c r="M4332" s="399" t="s">
        <v>176</v>
      </c>
      <c r="N4332" s="399">
        <f t="shared" si="13970"/>
        <v>2.4420000000000002</v>
      </c>
      <c r="O4332" s="399" t="s">
        <v>204</v>
      </c>
      <c r="P4332" s="389">
        <f t="shared" ref="P4332" si="13983">D4332-D4331</f>
        <v>0</v>
      </c>
      <c r="Q4332" s="399" t="s">
        <v>125</v>
      </c>
      <c r="R4332" s="399">
        <f t="shared" ref="R4332" si="13984">IF(P4332&gt;0,$F$18*F4332/1000,0)</f>
        <v>0</v>
      </c>
      <c r="S4332" s="399" t="s">
        <v>205</v>
      </c>
      <c r="T4332" s="399" t="s">
        <v>125</v>
      </c>
      <c r="U4332" s="401">
        <f t="shared" si="13973"/>
        <v>1.5782400000000001</v>
      </c>
      <c r="V4332" s="399"/>
      <c r="W4332" s="399"/>
      <c r="X4332" s="399" t="s">
        <v>125</v>
      </c>
      <c r="Y4332" s="389">
        <f t="shared" ref="Y4332" si="13985">D4321</f>
        <v>1</v>
      </c>
      <c r="Z4332" s="400" t="s">
        <v>176</v>
      </c>
      <c r="AA4332" s="402">
        <f t="shared" ref="AA4332" si="13986">IF(AA4333=0,(D4332*N4332+P4332*R4332)*U4332*Y4332,0)</f>
        <v>0</v>
      </c>
      <c r="AB4332" s="403"/>
    </row>
    <row r="4333" spans="1:28">
      <c r="A4333" s="384" t="str">
        <f t="shared" ref="A4333:B4333" si="13987">A4315</f>
        <v>Lantai 3</v>
      </c>
      <c r="B4333" s="385">
        <f t="shared" si="13987"/>
        <v>2</v>
      </c>
      <c r="C4333" s="393"/>
      <c r="D4333" s="398">
        <f t="shared" si="13888"/>
        <v>3</v>
      </c>
      <c r="E4333" s="388" t="s">
        <v>16</v>
      </c>
      <c r="F4333" s="388">
        <f t="shared" si="13889"/>
        <v>16</v>
      </c>
      <c r="G4333" s="388"/>
      <c r="H4333" s="395"/>
      <c r="I4333" s="388"/>
      <c r="J4333" s="396"/>
      <c r="K4333" s="396"/>
      <c r="L4333" s="404" t="s">
        <v>207</v>
      </c>
      <c r="M4333" s="399" t="s">
        <v>176</v>
      </c>
      <c r="N4333" s="399">
        <f t="shared" ref="N4333" si="13988">IF(AND(D4330=D4331,D4330=D4332,D4331=D4332,F4330=F4331,F4330=F4332,F4331=F4332),SUM(N4330:N4332),0)</f>
        <v>9.3840000000000003</v>
      </c>
      <c r="O4333" s="399" t="s">
        <v>204</v>
      </c>
      <c r="P4333" s="389">
        <f t="shared" ref="P4333" si="13989">IF(N4333&gt;12,ROUNDDOWN(N4333/12,0),0)</f>
        <v>0</v>
      </c>
      <c r="Q4333" s="399" t="s">
        <v>125</v>
      </c>
      <c r="R4333" s="399">
        <f t="shared" ref="R4333" si="13990">IF(P4333&gt;0,MAX(VLOOKUP(F4333,$D$6:$G$15,3,FALSE),600),0)/1000</f>
        <v>0</v>
      </c>
      <c r="S4333" s="396"/>
      <c r="T4333" s="396" t="s">
        <v>125</v>
      </c>
      <c r="U4333" s="401">
        <f t="shared" si="13893"/>
        <v>1.5782400000000001</v>
      </c>
      <c r="V4333" s="396" t="s">
        <v>125</v>
      </c>
      <c r="W4333" s="399">
        <f t="shared" ref="W4333" si="13991">D4333</f>
        <v>3</v>
      </c>
      <c r="X4333" s="399" t="s">
        <v>125</v>
      </c>
      <c r="Y4333" s="389">
        <f t="shared" si="13895"/>
        <v>1</v>
      </c>
      <c r="Z4333" s="400" t="s">
        <v>176</v>
      </c>
      <c r="AA4333" s="402">
        <f t="shared" ref="AA4333" si="13992">(N4333+P4333*R4333/1000)*U4333*W4333*Y4333</f>
        <v>44.430612480000008</v>
      </c>
      <c r="AB4333" s="403"/>
    </row>
    <row r="4334" spans="1:28">
      <c r="A4334" s="384"/>
      <c r="B4334" s="385"/>
      <c r="C4334" s="393"/>
      <c r="D4334" s="394"/>
      <c r="E4334" s="388"/>
      <c r="F4334" s="388"/>
      <c r="G4334" s="388"/>
      <c r="H4334" s="395"/>
      <c r="I4334" s="388"/>
      <c r="J4334" s="399"/>
      <c r="K4334" s="396"/>
      <c r="L4334" s="396"/>
      <c r="M4334" s="396"/>
      <c r="N4334" s="396"/>
      <c r="O4334" s="396"/>
      <c r="P4334" s="389"/>
      <c r="Q4334" s="396"/>
      <c r="R4334" s="396"/>
      <c r="S4334" s="396"/>
      <c r="T4334" s="396"/>
      <c r="U4334" s="401"/>
      <c r="V4334" s="396"/>
      <c r="W4334" s="388"/>
      <c r="X4334" s="396"/>
      <c r="Y4334" s="389"/>
      <c r="Z4334" s="396"/>
      <c r="AA4334" s="388"/>
      <c r="AB4334" s="390"/>
    </row>
    <row r="4335" spans="1:28">
      <c r="A4335" s="384" t="str">
        <f t="shared" ref="A4335:B4335" si="13993">A4315</f>
        <v>Lantai 3</v>
      </c>
      <c r="B4335" s="385">
        <f t="shared" si="13993"/>
        <v>2</v>
      </c>
      <c r="C4335" s="393" t="s">
        <v>211</v>
      </c>
      <c r="D4335" s="398">
        <f>VLOOKUP(D4315,'Detail Balok'!$C$10:$AU$140,31,FALSE)</f>
        <v>0</v>
      </c>
      <c r="E4335" s="388" t="s">
        <v>16</v>
      </c>
      <c r="F4335" s="388">
        <f>VLOOKUP(D4315,'Detail Balok'!$C$10:$AU$140,33,FALSE)</f>
        <v>10</v>
      </c>
      <c r="G4335" s="405" t="s">
        <v>157</v>
      </c>
      <c r="H4335" s="395">
        <f>VLOOKUP(D4315,'Detail Balok'!$C$10:$AU$140,35,FALSE)</f>
        <v>100</v>
      </c>
      <c r="I4335" s="388"/>
      <c r="J4335" s="400">
        <f t="shared" ref="J4335" si="13994">(IF(D4335=0,(2*(D4316+G4316))-(F$5*8),IF(D4335=3,(2*(D4316+G4316))-(F$5*8)+(G4316-2*F$5),IF(D4335=4,(2*(D4316+G4316))-(F$5*8)+2*(G4316-2*F$5)))))/1000</f>
        <v>0.88</v>
      </c>
      <c r="K4335" s="400" t="s">
        <v>204</v>
      </c>
      <c r="L4335" s="399">
        <f t="shared" ref="L4335:L4337" si="13995">IF(D4335=0,2*MAX(6*F4335,75),(D4335-1)*2*MAX(6*F4335,75))/1000</f>
        <v>0.15</v>
      </c>
      <c r="M4335" s="399" t="s">
        <v>176</v>
      </c>
      <c r="N4335" s="399">
        <f t="shared" ref="N4335:N4337" si="13996">J4335+L4335</f>
        <v>1.03</v>
      </c>
      <c r="O4335" s="399"/>
      <c r="P4335" s="389"/>
      <c r="Q4335" s="399"/>
      <c r="R4335" s="399"/>
      <c r="S4335" s="399"/>
      <c r="T4335" s="399" t="s">
        <v>125</v>
      </c>
      <c r="U4335" s="401">
        <f t="shared" ref="U4335:U4337" si="13997">0.006165*F4335^2</f>
        <v>0.61650000000000005</v>
      </c>
      <c r="V4335" s="399" t="s">
        <v>125</v>
      </c>
      <c r="W4335" s="399">
        <f t="shared" ref="W4335" si="13998">IF(D4318&gt;4*G4316,ROUND(MAX(D4318/4,2*G4316)/H4335,0)+1,ROUND(D4318/H4335,0)+1)</f>
        <v>24</v>
      </c>
      <c r="X4335" s="399" t="s">
        <v>125</v>
      </c>
      <c r="Y4335" s="389">
        <f t="shared" ref="Y4335" si="13999">D4321</f>
        <v>1</v>
      </c>
      <c r="Z4335" s="400" t="s">
        <v>176</v>
      </c>
      <c r="AA4335" s="402">
        <f t="shared" ref="AA4335:AA4337" si="14000">N4335*U4335*W4335*Y4335</f>
        <v>15.239880000000003</v>
      </c>
      <c r="AB4335" s="403"/>
    </row>
    <row r="4336" spans="1:28">
      <c r="A4336" s="384" t="str">
        <f t="shared" ref="A4336:B4336" si="14001">A4315</f>
        <v>Lantai 3</v>
      </c>
      <c r="B4336" s="385">
        <f t="shared" si="14001"/>
        <v>2</v>
      </c>
      <c r="C4336" s="393" t="s">
        <v>212</v>
      </c>
      <c r="D4336" s="398">
        <f>VLOOKUP(D4315,'Detail Balok'!$C$10:$AU$140,36,FALSE)</f>
        <v>0</v>
      </c>
      <c r="E4336" s="388" t="s">
        <v>16</v>
      </c>
      <c r="F4336" s="388">
        <f>VLOOKUP(D4315,'Detail Balok'!$C$10:$AU$140,38,FALSE)</f>
        <v>10</v>
      </c>
      <c r="G4336" s="405" t="s">
        <v>157</v>
      </c>
      <c r="H4336" s="395">
        <f>VLOOKUP(D4315,'Detail Balok'!$C$10:$AU$140,40,FALSE)</f>
        <v>200</v>
      </c>
      <c r="I4336" s="388"/>
      <c r="J4336" s="400">
        <f t="shared" ref="J4336" si="14002">(IF(D4336=0,(2*(D4316+G4316))-(F$5*8),IF(D4336=3,(2*(D4316+G4316))-(F$5*8)+(G4316-2*F$5),IF(D4336=4,(2*(D4316+G4316))-(F$5*8)+2*(G4316-2*F$5)))))/1000</f>
        <v>0.88</v>
      </c>
      <c r="K4336" s="400" t="s">
        <v>204</v>
      </c>
      <c r="L4336" s="399">
        <f t="shared" si="13995"/>
        <v>0.15</v>
      </c>
      <c r="M4336" s="399" t="s">
        <v>176</v>
      </c>
      <c r="N4336" s="399">
        <f t="shared" si="13996"/>
        <v>1.03</v>
      </c>
      <c r="O4336" s="399"/>
      <c r="P4336" s="389"/>
      <c r="Q4336" s="399"/>
      <c r="R4336" s="399"/>
      <c r="S4336" s="399"/>
      <c r="T4336" s="399" t="s">
        <v>125</v>
      </c>
      <c r="U4336" s="401">
        <f t="shared" si="13997"/>
        <v>0.61650000000000005</v>
      </c>
      <c r="V4336" s="399" t="s">
        <v>125</v>
      </c>
      <c r="W4336" s="399">
        <f t="shared" ref="W4336" si="14003">IF(D4318-MAX(D4318/4,2*G4316)*2&gt;0,ROUND((D4318-MAX(D4318/4,2*G4316)*2)/H4336,0),0)</f>
        <v>23</v>
      </c>
      <c r="X4336" s="399" t="s">
        <v>125</v>
      </c>
      <c r="Y4336" s="389">
        <f t="shared" ref="Y4336" si="14004">D4321</f>
        <v>1</v>
      </c>
      <c r="Z4336" s="400" t="s">
        <v>176</v>
      </c>
      <c r="AA4336" s="402">
        <f t="shared" si="14000"/>
        <v>14.604885000000001</v>
      </c>
      <c r="AB4336" s="403"/>
    </row>
    <row r="4337" spans="1:28">
      <c r="A4337" s="384" t="str">
        <f t="shared" ref="A4337:B4337" si="14005">A4315</f>
        <v>Lantai 3</v>
      </c>
      <c r="B4337" s="385">
        <f t="shared" si="14005"/>
        <v>2</v>
      </c>
      <c r="C4337" s="393" t="s">
        <v>211</v>
      </c>
      <c r="D4337" s="398">
        <f>VLOOKUP(D4315,'Detail Balok'!$C$10:$AU$140,41,FALSE)</f>
        <v>0</v>
      </c>
      <c r="E4337" s="388" t="s">
        <v>16</v>
      </c>
      <c r="F4337" s="388">
        <f>VLOOKUP(D4315,'Detail Balok'!$C$10:$AU$140,43,FALSE)</f>
        <v>10</v>
      </c>
      <c r="G4337" s="405" t="s">
        <v>157</v>
      </c>
      <c r="H4337" s="395">
        <f>VLOOKUP(D4315,'Detail Balok'!$C$10:$AU$140,45,FALSE)</f>
        <v>100</v>
      </c>
      <c r="I4337" s="388"/>
      <c r="J4337" s="400">
        <f t="shared" ref="J4337" si="14006">(IF(D4337=0,(2*(D4316+G4316))-(F$5*8),IF(D4337=3,(2*(D4316+G4316))-(F$5*8)+(G4316-2*F$5),IF(D4337=4,(2*(D4316+G4316))-(F$5*8)+2*(G4316-2*F$5)))))/1000</f>
        <v>0.88</v>
      </c>
      <c r="K4337" s="400" t="s">
        <v>204</v>
      </c>
      <c r="L4337" s="399">
        <f t="shared" si="13995"/>
        <v>0.15</v>
      </c>
      <c r="M4337" s="399" t="s">
        <v>176</v>
      </c>
      <c r="N4337" s="399">
        <f t="shared" si="13996"/>
        <v>1.03</v>
      </c>
      <c r="O4337" s="399"/>
      <c r="P4337" s="389"/>
      <c r="Q4337" s="399"/>
      <c r="R4337" s="399"/>
      <c r="S4337" s="399"/>
      <c r="T4337" s="399" t="s">
        <v>125</v>
      </c>
      <c r="U4337" s="401">
        <f t="shared" si="13997"/>
        <v>0.61650000000000005</v>
      </c>
      <c r="V4337" s="399" t="s">
        <v>125</v>
      </c>
      <c r="W4337" s="399">
        <f t="shared" ref="W4337" si="14007">IF(D4318&gt;4*G4316,ROUND(MAX(D4318/4,2*G4316)/H4337,0)+1,0)</f>
        <v>24</v>
      </c>
      <c r="X4337" s="399" t="s">
        <v>125</v>
      </c>
      <c r="Y4337" s="389">
        <f t="shared" ref="Y4337" si="14008">D4321</f>
        <v>1</v>
      </c>
      <c r="Z4337" s="400" t="s">
        <v>176</v>
      </c>
      <c r="AA4337" s="402">
        <f t="shared" si="14000"/>
        <v>15.239880000000003</v>
      </c>
      <c r="AB4337" s="403"/>
    </row>
    <row r="4338" spans="1:28">
      <c r="A4338" s="384"/>
      <c r="B4338" s="385"/>
      <c r="C4338" s="393"/>
      <c r="D4338" s="394"/>
      <c r="E4338" s="388"/>
      <c r="F4338" s="388"/>
      <c r="G4338" s="388"/>
      <c r="H4338" s="395"/>
      <c r="I4338" s="388"/>
      <c r="J4338" s="399"/>
      <c r="K4338" s="396"/>
      <c r="L4338" s="396"/>
      <c r="M4338" s="396"/>
      <c r="N4338" s="396"/>
      <c r="O4338" s="396"/>
      <c r="P4338" s="389"/>
      <c r="Q4338" s="396"/>
      <c r="R4338" s="396"/>
      <c r="S4338" s="396"/>
      <c r="T4338" s="396"/>
      <c r="U4338" s="401"/>
      <c r="V4338" s="396"/>
      <c r="W4338" s="388"/>
      <c r="X4338" s="396"/>
      <c r="Y4338" s="389"/>
      <c r="Z4338" s="396"/>
      <c r="AA4338" s="388"/>
      <c r="AB4338" s="390"/>
    </row>
    <row r="4339" spans="1:28">
      <c r="A4339" s="384" t="str">
        <f t="shared" ref="A4339:B4339" si="14009">A4315</f>
        <v>Lantai 3</v>
      </c>
      <c r="B4339" s="385">
        <f t="shared" si="14009"/>
        <v>2</v>
      </c>
      <c r="C4339" s="393" t="s">
        <v>213</v>
      </c>
      <c r="D4339" s="398">
        <f>VLOOKUP(D4315,'Detail Balok'!$C$10:$BJ$140,46,FALSE)</f>
        <v>0</v>
      </c>
      <c r="E4339" s="388" t="s">
        <v>16</v>
      </c>
      <c r="F4339" s="388">
        <f>VLOOKUP(D4315,'Detail Balok'!$C$10:$BJ$140,48,FALSE)</f>
        <v>0</v>
      </c>
      <c r="G4339" s="405" t="s">
        <v>157</v>
      </c>
      <c r="H4339" s="395">
        <f>VLOOKUP(D4315,'Detail Balok'!$C$10:$BJ$140,50,FALSE)</f>
        <v>100</v>
      </c>
      <c r="I4339" s="388"/>
      <c r="J4339" s="399">
        <f t="shared" ref="J4339" si="14010">(D4316-2*F$5)/1000</f>
        <v>0.12</v>
      </c>
      <c r="K4339" s="400" t="s">
        <v>204</v>
      </c>
      <c r="L4339" s="399">
        <f t="shared" ref="L4339:L4341" si="14011">IF(D4339=0,2*MAX(6*F4339,75),(D4339-1)*2*MAX(6*F4339,75))/1000</f>
        <v>0.15</v>
      </c>
      <c r="M4339" s="399" t="s">
        <v>176</v>
      </c>
      <c r="N4339" s="399">
        <f t="shared" ref="N4339:N4341" si="14012">J4339+L4339</f>
        <v>0.27</v>
      </c>
      <c r="O4339" s="399"/>
      <c r="P4339" s="399"/>
      <c r="Q4339" s="399"/>
      <c r="R4339" s="399"/>
      <c r="S4339" s="399"/>
      <c r="T4339" s="399" t="s">
        <v>125</v>
      </c>
      <c r="U4339" s="401">
        <f t="shared" ref="U4339:U4341" si="14013">0.006165*F4339^2</f>
        <v>0</v>
      </c>
      <c r="V4339" s="399" t="s">
        <v>125</v>
      </c>
      <c r="W4339" s="399">
        <f t="shared" si="13918"/>
        <v>24</v>
      </c>
      <c r="X4339" s="399" t="s">
        <v>125</v>
      </c>
      <c r="Y4339" s="389">
        <f t="shared" ref="Y4339" si="14014">D4325</f>
        <v>3</v>
      </c>
      <c r="Z4339" s="400" t="s">
        <v>176</v>
      </c>
      <c r="AA4339" s="402">
        <f t="shared" ref="AA4339:AA4341" si="14015">N4339*U4339*W4339*Y4339</f>
        <v>0</v>
      </c>
      <c r="AB4339" s="403"/>
    </row>
    <row r="4340" spans="1:28">
      <c r="A4340" s="384" t="str">
        <f t="shared" ref="A4340:B4340" si="14016">A4315</f>
        <v>Lantai 3</v>
      </c>
      <c r="B4340" s="385">
        <f t="shared" si="14016"/>
        <v>2</v>
      </c>
      <c r="C4340" s="393" t="s">
        <v>214</v>
      </c>
      <c r="D4340" s="398">
        <f>VLOOKUP(D4315,'Detail Balok'!$C$10:$BJ$140,51,FALSE)</f>
        <v>0</v>
      </c>
      <c r="E4340" s="388" t="s">
        <v>16</v>
      </c>
      <c r="F4340" s="388">
        <f>VLOOKUP(D4315,'Detail Balok'!$C$10:$BJ$140,53,FALSE)</f>
        <v>0</v>
      </c>
      <c r="G4340" s="405" t="s">
        <v>157</v>
      </c>
      <c r="H4340" s="395">
        <f>VLOOKUP(D4315,'Detail Balok'!$C$10:$BJ$140,55,FALSE)</f>
        <v>100</v>
      </c>
      <c r="I4340" s="388"/>
      <c r="J4340" s="399">
        <f t="shared" ref="J4340" si="14017">(D4316-2*F$5)/1000</f>
        <v>0.12</v>
      </c>
      <c r="K4340" s="400" t="s">
        <v>204</v>
      </c>
      <c r="L4340" s="399">
        <f t="shared" si="14011"/>
        <v>0.15</v>
      </c>
      <c r="M4340" s="399" t="s">
        <v>176</v>
      </c>
      <c r="N4340" s="399">
        <f t="shared" si="14012"/>
        <v>0.27</v>
      </c>
      <c r="O4340" s="399"/>
      <c r="P4340" s="399"/>
      <c r="Q4340" s="399"/>
      <c r="R4340" s="399"/>
      <c r="S4340" s="399"/>
      <c r="T4340" s="399" t="s">
        <v>125</v>
      </c>
      <c r="U4340" s="401">
        <f t="shared" si="14013"/>
        <v>0</v>
      </c>
      <c r="V4340" s="399" t="s">
        <v>125</v>
      </c>
      <c r="W4340" s="399">
        <f t="shared" si="13918"/>
        <v>23</v>
      </c>
      <c r="X4340" s="399" t="s">
        <v>125</v>
      </c>
      <c r="Y4340" s="389">
        <f t="shared" ref="Y4340" si="14018">D4325</f>
        <v>3</v>
      </c>
      <c r="Z4340" s="400" t="s">
        <v>176</v>
      </c>
      <c r="AA4340" s="402">
        <f t="shared" si="14015"/>
        <v>0</v>
      </c>
      <c r="AB4340" s="403"/>
    </row>
    <row r="4341" spans="1:28">
      <c r="A4341" s="384" t="str">
        <f t="shared" ref="A4341:B4341" si="14019">A4315</f>
        <v>Lantai 3</v>
      </c>
      <c r="B4341" s="385">
        <f t="shared" si="14019"/>
        <v>2</v>
      </c>
      <c r="C4341" s="393" t="s">
        <v>213</v>
      </c>
      <c r="D4341" s="398">
        <f>VLOOKUP(D4315,'Detail Balok'!$C$10:$BJ$140,56,FALSE)</f>
        <v>0</v>
      </c>
      <c r="E4341" s="388" t="s">
        <v>16</v>
      </c>
      <c r="F4341" s="388">
        <f>VLOOKUP(D4315,'Detail Balok'!$C$10:$BJ$140,58,FALSE)</f>
        <v>0</v>
      </c>
      <c r="G4341" s="405" t="s">
        <v>157</v>
      </c>
      <c r="H4341" s="395">
        <f>VLOOKUP(D4315,'Detail Balok'!$C$10:$BJ$140,60,FALSE)</f>
        <v>100</v>
      </c>
      <c r="I4341" s="388"/>
      <c r="J4341" s="399">
        <f t="shared" ref="J4341" si="14020">(D4316-2*F$5)/1000</f>
        <v>0.12</v>
      </c>
      <c r="K4341" s="400" t="s">
        <v>204</v>
      </c>
      <c r="L4341" s="399">
        <f t="shared" si="14011"/>
        <v>0.15</v>
      </c>
      <c r="M4341" s="399" t="s">
        <v>176</v>
      </c>
      <c r="N4341" s="399">
        <f t="shared" si="14012"/>
        <v>0.27</v>
      </c>
      <c r="O4341" s="399"/>
      <c r="P4341" s="399"/>
      <c r="Q4341" s="399"/>
      <c r="R4341" s="399"/>
      <c r="S4341" s="399"/>
      <c r="T4341" s="399" t="s">
        <v>125</v>
      </c>
      <c r="U4341" s="401">
        <f t="shared" si="14013"/>
        <v>0</v>
      </c>
      <c r="V4341" s="399" t="s">
        <v>125</v>
      </c>
      <c r="W4341" s="399">
        <f t="shared" si="13918"/>
        <v>24</v>
      </c>
      <c r="X4341" s="399" t="s">
        <v>125</v>
      </c>
      <c r="Y4341" s="389">
        <f t="shared" ref="Y4341" si="14021">D4325</f>
        <v>3</v>
      </c>
      <c r="Z4341" s="400" t="s">
        <v>176</v>
      </c>
      <c r="AA4341" s="402">
        <f t="shared" si="14015"/>
        <v>0</v>
      </c>
      <c r="AB4341" s="403"/>
    </row>
    <row r="4342" spans="1:28">
      <c r="A4342" s="391"/>
      <c r="B4342" s="392"/>
      <c r="C4342" s="392"/>
      <c r="D4342" s="394"/>
      <c r="E4342" s="388"/>
      <c r="F4342" s="388"/>
      <c r="G4342" s="388"/>
      <c r="H4342" s="395"/>
      <c r="I4342" s="388"/>
      <c r="J4342" s="402"/>
      <c r="K4342" s="388"/>
      <c r="L4342" s="388"/>
      <c r="M4342" s="388"/>
      <c r="N4342" s="388"/>
      <c r="O4342" s="388"/>
      <c r="P4342" s="388"/>
      <c r="Q4342" s="388"/>
      <c r="R4342" s="388"/>
      <c r="S4342" s="388"/>
      <c r="T4342" s="388"/>
      <c r="U4342" s="388"/>
      <c r="V4342" s="388"/>
      <c r="W4342" s="388"/>
      <c r="X4342" s="388"/>
      <c r="Y4342" s="389"/>
      <c r="Z4342" s="388"/>
      <c r="AA4342" s="402"/>
      <c r="AB4342" s="403"/>
    </row>
    <row r="4343" spans="1:28" ht="15.75" thickBot="1">
      <c r="A4343" s="406"/>
      <c r="B4343" s="407"/>
      <c r="C4343" s="407"/>
      <c r="D4343" s="408"/>
      <c r="E4343" s="409"/>
      <c r="F4343" s="409"/>
      <c r="G4343" s="409"/>
      <c r="H4343" s="410"/>
      <c r="I4343" s="409"/>
      <c r="J4343" s="409"/>
      <c r="K4343" s="409"/>
      <c r="L4343" s="409"/>
      <c r="M4343" s="409"/>
      <c r="N4343" s="409"/>
      <c r="O4343" s="409"/>
      <c r="P4343" s="409"/>
      <c r="Q4343" s="409"/>
      <c r="R4343" s="409"/>
      <c r="S4343" s="409"/>
      <c r="T4343" s="409"/>
      <c r="U4343" s="409"/>
      <c r="V4343" s="409"/>
      <c r="W4343" s="409"/>
      <c r="X4343" s="409"/>
      <c r="Y4343" s="411"/>
      <c r="Z4343" s="409"/>
      <c r="AA4343" s="412"/>
      <c r="AB4343" s="413"/>
    </row>
    <row r="4344" spans="1:28">
      <c r="A4344" s="377"/>
      <c r="B4344" s="378"/>
      <c r="C4344" s="378"/>
      <c r="D4344" s="379"/>
      <c r="E4344" s="380"/>
      <c r="F4344" s="380"/>
      <c r="G4344" s="380"/>
      <c r="H4344" s="381"/>
      <c r="I4344" s="380"/>
      <c r="J4344" s="380"/>
      <c r="K4344" s="380"/>
      <c r="L4344" s="380"/>
      <c r="M4344" s="380"/>
      <c r="N4344" s="380"/>
      <c r="O4344" s="380"/>
      <c r="P4344" s="380"/>
      <c r="Q4344" s="380"/>
      <c r="R4344" s="380"/>
      <c r="S4344" s="380"/>
      <c r="T4344" s="380"/>
      <c r="U4344" s="380"/>
      <c r="V4344" s="380"/>
      <c r="W4344" s="380"/>
      <c r="X4344" s="380"/>
      <c r="Y4344" s="382"/>
      <c r="Z4344" s="380"/>
      <c r="AA4344" s="380"/>
      <c r="AB4344" s="383"/>
    </row>
    <row r="4345" spans="1:28">
      <c r="A4345" s="384" t="str">
        <f t="shared" si="13927"/>
        <v>Lantai 3</v>
      </c>
      <c r="B4345" s="385">
        <f t="shared" si="13928"/>
        <v>3</v>
      </c>
      <c r="C4345" s="386" t="str">
        <f t="shared" ref="C4345" si="14022">CONCATENATE(A4345," no. ",B4345)</f>
        <v>Lantai 3 no. 3</v>
      </c>
      <c r="D4345" s="2562" t="str">
        <f>VLOOKUP(C4345,'Data Panjang Balok'!$C$9:$N$254,2,FALSE)</f>
        <v>CL24-1</v>
      </c>
      <c r="E4345" s="2576"/>
      <c r="F4345" s="2576"/>
      <c r="G4345" s="2576"/>
      <c r="H4345" s="2577"/>
      <c r="I4345" s="387"/>
      <c r="J4345" s="388"/>
      <c r="K4345" s="388"/>
      <c r="L4345" s="388"/>
      <c r="M4345" s="388"/>
      <c r="N4345" s="388"/>
      <c r="O4345" s="388"/>
      <c r="P4345" s="388"/>
      <c r="Q4345" s="388"/>
      <c r="R4345" s="388"/>
      <c r="S4345" s="388"/>
      <c r="T4345" s="388"/>
      <c r="U4345" s="388"/>
      <c r="V4345" s="388"/>
      <c r="W4345" s="388"/>
      <c r="X4345" s="388"/>
      <c r="Y4345" s="389"/>
      <c r="Z4345" s="388"/>
      <c r="AA4345" s="388"/>
      <c r="AB4345" s="390"/>
    </row>
    <row r="4346" spans="1:28">
      <c r="A4346" s="391"/>
      <c r="B4346" s="392"/>
      <c r="C4346" s="393" t="s">
        <v>118</v>
      </c>
      <c r="D4346" s="2578">
        <f>VLOOKUP(D4345,'Detail Balok'!$C$10:$AU$140,2,FALSE)</f>
        <v>200</v>
      </c>
      <c r="E4346" s="2579"/>
      <c r="F4346" s="388" t="s">
        <v>125</v>
      </c>
      <c r="G4346" s="2579">
        <f>VLOOKUP(D4345,'Detail Balok'!$C$10:$AU$140,3,FALSE)</f>
        <v>400</v>
      </c>
      <c r="H4346" s="2580"/>
      <c r="I4346" s="388"/>
      <c r="J4346" s="396"/>
      <c r="K4346" s="396"/>
      <c r="L4346" s="396"/>
      <c r="M4346" s="396"/>
      <c r="N4346" s="396"/>
      <c r="O4346" s="396"/>
      <c r="P4346" s="396"/>
      <c r="Q4346" s="396"/>
      <c r="R4346" s="396"/>
      <c r="S4346" s="396"/>
      <c r="T4346" s="396"/>
      <c r="U4346" s="388"/>
      <c r="V4346" s="396"/>
      <c r="W4346" s="388"/>
      <c r="X4346" s="396"/>
      <c r="Y4346" s="389"/>
      <c r="Z4346" s="396"/>
      <c r="AA4346" s="388"/>
      <c r="AB4346" s="390"/>
    </row>
    <row r="4347" spans="1:28">
      <c r="A4347" s="391"/>
      <c r="B4347" s="392"/>
      <c r="C4347" s="393" t="s">
        <v>198</v>
      </c>
      <c r="D4347" s="2562">
        <f>VLOOKUP(C4345,'Data Panjang Balok'!$C$9:$N$254,4,FALSE)</f>
        <v>1075</v>
      </c>
      <c r="E4347" s="2563"/>
      <c r="F4347" s="2563"/>
      <c r="G4347" s="2563"/>
      <c r="H4347" s="2564"/>
      <c r="I4347" s="397"/>
      <c r="J4347" s="396"/>
      <c r="K4347" s="396"/>
      <c r="L4347" s="396"/>
      <c r="M4347" s="396"/>
      <c r="N4347" s="396"/>
      <c r="O4347" s="396"/>
      <c r="P4347" s="396"/>
      <c r="Q4347" s="396"/>
      <c r="R4347" s="396"/>
      <c r="S4347" s="396"/>
      <c r="T4347" s="396"/>
      <c r="U4347" s="388"/>
      <c r="V4347" s="396"/>
      <c r="W4347" s="388"/>
      <c r="X4347" s="396"/>
      <c r="Y4347" s="389"/>
      <c r="Z4347" s="396"/>
      <c r="AA4347" s="388"/>
      <c r="AB4347" s="390"/>
    </row>
    <row r="4348" spans="1:28">
      <c r="A4348" s="391"/>
      <c r="B4348" s="392"/>
      <c r="C4348" s="393" t="s">
        <v>199</v>
      </c>
      <c r="D4348" s="2562">
        <f>VLOOKUP(C4345,'Data Panjang Balok'!$C$9:$N$254,7,FALSE)</f>
        <v>1075</v>
      </c>
      <c r="E4348" s="2563"/>
      <c r="F4348" s="2563"/>
      <c r="G4348" s="2563"/>
      <c r="H4348" s="2564"/>
      <c r="I4348" s="397"/>
      <c r="J4348" s="396"/>
      <c r="K4348" s="396"/>
      <c r="L4348" s="396"/>
      <c r="M4348" s="396"/>
      <c r="N4348" s="396"/>
      <c r="O4348" s="396"/>
      <c r="P4348" s="396"/>
      <c r="Q4348" s="396"/>
      <c r="R4348" s="396"/>
      <c r="S4348" s="396"/>
      <c r="T4348" s="396"/>
      <c r="U4348" s="388"/>
      <c r="V4348" s="396"/>
      <c r="W4348" s="388"/>
      <c r="X4348" s="396"/>
      <c r="Y4348" s="389"/>
      <c r="Z4348" s="396"/>
      <c r="AA4348" s="388"/>
      <c r="AB4348" s="390"/>
    </row>
    <row r="4349" spans="1:28">
      <c r="A4349" s="391"/>
      <c r="B4349" s="392"/>
      <c r="C4349" s="393" t="s">
        <v>200</v>
      </c>
      <c r="D4349" s="2562">
        <f>VLOOKUP(C4345,'Data Panjang Balok'!$C$9:$N$254,9,FALSE)</f>
        <v>0</v>
      </c>
      <c r="E4349" s="2563"/>
      <c r="F4349" s="2563"/>
      <c r="G4349" s="2563"/>
      <c r="H4349" s="2564"/>
      <c r="I4349" s="397"/>
      <c r="J4349" s="396"/>
      <c r="K4349" s="396"/>
      <c r="L4349" s="396"/>
      <c r="M4349" s="396"/>
      <c r="N4349" s="396"/>
      <c r="O4349" s="396"/>
      <c r="P4349" s="396"/>
      <c r="Q4349" s="396"/>
      <c r="R4349" s="396"/>
      <c r="S4349" s="396"/>
      <c r="T4349" s="396"/>
      <c r="U4349" s="388"/>
      <c r="V4349" s="396"/>
      <c r="W4349" s="388"/>
      <c r="X4349" s="396"/>
      <c r="Y4349" s="389"/>
      <c r="Z4349" s="396"/>
      <c r="AA4349" s="388"/>
      <c r="AB4349" s="390"/>
    </row>
    <row r="4350" spans="1:28">
      <c r="A4350" s="391"/>
      <c r="B4350" s="392"/>
      <c r="C4350" s="393" t="s">
        <v>201</v>
      </c>
      <c r="D4350" s="2562">
        <f>VLOOKUP(C4345,'Data Panjang Balok'!$C$9:$N$254,10,FALSE)</f>
        <v>0</v>
      </c>
      <c r="E4350" s="2563"/>
      <c r="F4350" s="2563"/>
      <c r="G4350" s="2563"/>
      <c r="H4350" s="2564"/>
      <c r="I4350" s="397"/>
      <c r="J4350" s="396"/>
      <c r="K4350" s="396"/>
      <c r="L4350" s="396"/>
      <c r="M4350" s="396"/>
      <c r="N4350" s="396"/>
      <c r="O4350" s="396"/>
      <c r="P4350" s="396"/>
      <c r="Q4350" s="396"/>
      <c r="R4350" s="396"/>
      <c r="S4350" s="396"/>
      <c r="T4350" s="396"/>
      <c r="U4350" s="388"/>
      <c r="V4350" s="396"/>
      <c r="W4350" s="388"/>
      <c r="X4350" s="396"/>
      <c r="Y4350" s="389"/>
      <c r="Z4350" s="396"/>
      <c r="AA4350" s="388"/>
      <c r="AB4350" s="390"/>
    </row>
    <row r="4351" spans="1:28">
      <c r="A4351" s="391"/>
      <c r="B4351" s="392"/>
      <c r="C4351" s="393" t="s">
        <v>48</v>
      </c>
      <c r="D4351" s="2562">
        <f>VLOOKUP(C4345,'Data Panjang Balok'!$C$9:$N$254,3,FALSE)</f>
        <v>1</v>
      </c>
      <c r="E4351" s="2563"/>
      <c r="F4351" s="2563"/>
      <c r="G4351" s="2563"/>
      <c r="H4351" s="2564"/>
      <c r="I4351" s="397"/>
      <c r="J4351" s="396"/>
      <c r="K4351" s="396"/>
      <c r="L4351" s="396"/>
      <c r="M4351" s="396"/>
      <c r="N4351" s="396"/>
      <c r="O4351" s="396"/>
      <c r="P4351" s="396"/>
      <c r="Q4351" s="396"/>
      <c r="R4351" s="396"/>
      <c r="S4351" s="396"/>
      <c r="T4351" s="396"/>
      <c r="U4351" s="388"/>
      <c r="V4351" s="396"/>
      <c r="W4351" s="388"/>
      <c r="X4351" s="396"/>
      <c r="Y4351" s="389"/>
      <c r="Z4351" s="396"/>
      <c r="AA4351" s="388"/>
      <c r="AB4351" s="390"/>
    </row>
    <row r="4352" spans="1:28">
      <c r="A4352" s="384" t="str">
        <f t="shared" ref="A4352:B4352" si="14023">A4345</f>
        <v>Lantai 3</v>
      </c>
      <c r="B4352" s="385">
        <f t="shared" si="14023"/>
        <v>3</v>
      </c>
      <c r="C4352" s="393" t="s">
        <v>202</v>
      </c>
      <c r="D4352" s="398">
        <f>VLOOKUP(D4345,'Detail Balok'!$C$10:$AU$140,4,FALSE)</f>
        <v>3</v>
      </c>
      <c r="E4352" s="388" t="s">
        <v>16</v>
      </c>
      <c r="F4352" s="388">
        <f>VLOOKUP(D4345,'Detail Balok'!$C$10:$AU$140,6,FALSE)</f>
        <v>16</v>
      </c>
      <c r="G4352" s="388"/>
      <c r="H4352" s="395"/>
      <c r="I4352" s="388" t="s">
        <v>203</v>
      </c>
      <c r="J4352" s="399">
        <f t="shared" ref="J4352" si="14024">+D4347/4/1000</f>
        <v>0.26874999999999999</v>
      </c>
      <c r="K4352" s="400" t="s">
        <v>204</v>
      </c>
      <c r="L4352" s="399">
        <f t="shared" ref="L4352" si="14025">MAX(VLOOKUP(F4352,N$6:P$15,3,FALSE)/1000,2/3*D4349/1000)+F$16*F4352/1000</f>
        <v>0.192</v>
      </c>
      <c r="M4352" s="399" t="s">
        <v>176</v>
      </c>
      <c r="N4352" s="399">
        <f t="shared" ref="N4352:N4354" si="14026">J4352+L4352</f>
        <v>0.46074999999999999</v>
      </c>
      <c r="O4352" s="399" t="s">
        <v>204</v>
      </c>
      <c r="P4352" s="389">
        <f t="shared" ref="P4352" si="14027">D4352-D4353</f>
        <v>0</v>
      </c>
      <c r="Q4352" s="399" t="s">
        <v>125</v>
      </c>
      <c r="R4352" s="399">
        <f t="shared" ref="R4352" si="14028">IF(P4352&gt;0,$F$18*F4352/1000,0)</f>
        <v>0</v>
      </c>
      <c r="S4352" s="399" t="s">
        <v>205</v>
      </c>
      <c r="T4352" s="399" t="s">
        <v>125</v>
      </c>
      <c r="U4352" s="401">
        <f t="shared" ref="U4352:U4354" si="14029">0.006165*F4352^2</f>
        <v>1.5782400000000001</v>
      </c>
      <c r="V4352" s="399"/>
      <c r="W4352" s="399"/>
      <c r="X4352" s="399" t="s">
        <v>125</v>
      </c>
      <c r="Y4352" s="389">
        <f t="shared" ref="Y4352" si="14030">D4351</f>
        <v>1</v>
      </c>
      <c r="Z4352" s="400" t="s">
        <v>176</v>
      </c>
      <c r="AA4352" s="402">
        <f t="shared" ref="AA4352" si="14031">IF(AA4355=0,(D4352*N4352+P4352*R4352)*U4352*Y4352,0)</f>
        <v>0</v>
      </c>
      <c r="AB4352" s="403"/>
    </row>
    <row r="4353" spans="1:28">
      <c r="A4353" s="384" t="str">
        <f t="shared" ref="A4353:B4353" si="14032">A4345</f>
        <v>Lantai 3</v>
      </c>
      <c r="B4353" s="385">
        <f t="shared" si="14032"/>
        <v>3</v>
      </c>
      <c r="C4353" s="393" t="s">
        <v>206</v>
      </c>
      <c r="D4353" s="398">
        <f>VLOOKUP(D4345,'Detail Balok'!$C$10:$AU$140,7,FALSE)</f>
        <v>3</v>
      </c>
      <c r="E4353" s="388" t="s">
        <v>16</v>
      </c>
      <c r="F4353" s="388">
        <f>VLOOKUP(D4345,'Detail Balok'!$C$10:$AU$140,9,FALSE)</f>
        <v>16</v>
      </c>
      <c r="G4353" s="388"/>
      <c r="H4353" s="395"/>
      <c r="I4353" s="388" t="s">
        <v>203</v>
      </c>
      <c r="J4353" s="399">
        <f t="shared" ref="J4353" si="14033">+D4347/2/1000</f>
        <v>0.53749999999999998</v>
      </c>
      <c r="K4353" s="400" t="s">
        <v>204</v>
      </c>
      <c r="L4353" s="399"/>
      <c r="M4353" s="399" t="s">
        <v>176</v>
      </c>
      <c r="N4353" s="399">
        <f t="shared" si="14026"/>
        <v>0.53749999999999998</v>
      </c>
      <c r="O4353" s="399" t="s">
        <v>204</v>
      </c>
      <c r="P4353" s="389">
        <f t="shared" ref="P4353" si="14034">MAX(D4353-D4352,D4353-D4354)</f>
        <v>0</v>
      </c>
      <c r="Q4353" s="399" t="s">
        <v>125</v>
      </c>
      <c r="R4353" s="399">
        <f t="shared" ref="R4353" si="14035">IF(P4353&gt;0,2*(1-2*$F$19-1/2)*D4348/1000,0)</f>
        <v>0</v>
      </c>
      <c r="S4353" s="399" t="s">
        <v>205</v>
      </c>
      <c r="T4353" s="399" t="s">
        <v>125</v>
      </c>
      <c r="U4353" s="401">
        <f t="shared" si="14029"/>
        <v>1.5782400000000001</v>
      </c>
      <c r="V4353" s="399"/>
      <c r="W4353" s="399"/>
      <c r="X4353" s="399" t="s">
        <v>125</v>
      </c>
      <c r="Y4353" s="389">
        <f t="shared" ref="Y4353" si="14036">D4351</f>
        <v>1</v>
      </c>
      <c r="Z4353" s="400" t="s">
        <v>176</v>
      </c>
      <c r="AA4353" s="402">
        <f t="shared" ref="AA4353" si="14037">IF(AA4355=0,(D4353*N4353+P4353*R4353)*U4353*Y4353,0)</f>
        <v>0</v>
      </c>
      <c r="AB4353" s="403"/>
    </row>
    <row r="4354" spans="1:28">
      <c r="A4354" s="384" t="str">
        <f t="shared" ref="A4354:B4354" si="14038">A4345</f>
        <v>Lantai 3</v>
      </c>
      <c r="B4354" s="385">
        <f t="shared" si="14038"/>
        <v>3</v>
      </c>
      <c r="C4354" s="393" t="s">
        <v>202</v>
      </c>
      <c r="D4354" s="398">
        <f>VLOOKUP(D4345,'Detail Balok'!$C$10:$AU$140,10,FALSE)</f>
        <v>3</v>
      </c>
      <c r="E4354" s="388" t="s">
        <v>16</v>
      </c>
      <c r="F4354" s="388">
        <f>VLOOKUP(D4345,'Detail Balok'!$C$10:$AU$140,12,FALSE)</f>
        <v>16</v>
      </c>
      <c r="G4354" s="388"/>
      <c r="H4354" s="395"/>
      <c r="I4354" s="388" t="s">
        <v>203</v>
      </c>
      <c r="J4354" s="399">
        <f t="shared" ref="J4354" si="14039">+D4347/4/1000</f>
        <v>0.26874999999999999</v>
      </c>
      <c r="K4354" s="400" t="s">
        <v>204</v>
      </c>
      <c r="L4354" s="399">
        <f t="shared" ref="L4354" si="14040">MAX(VLOOKUP(F4354,N$6:P$15,3,FALSE)/1000,2/3*D4349/1000)+F$16*F4354/1000</f>
        <v>0.192</v>
      </c>
      <c r="M4354" s="399" t="s">
        <v>176</v>
      </c>
      <c r="N4354" s="399">
        <f t="shared" si="14026"/>
        <v>0.46074999999999999</v>
      </c>
      <c r="O4354" s="399" t="s">
        <v>204</v>
      </c>
      <c r="P4354" s="389">
        <f t="shared" ref="P4354" si="14041">D4354-D4353</f>
        <v>0</v>
      </c>
      <c r="Q4354" s="399" t="s">
        <v>125</v>
      </c>
      <c r="R4354" s="399">
        <f t="shared" ref="R4354" si="14042">IF(P4354&gt;0,$F$18*F4354/1000,0)</f>
        <v>0</v>
      </c>
      <c r="S4354" s="399" t="s">
        <v>205</v>
      </c>
      <c r="T4354" s="399" t="s">
        <v>125</v>
      </c>
      <c r="U4354" s="401">
        <f t="shared" si="14029"/>
        <v>1.5782400000000001</v>
      </c>
      <c r="V4354" s="399"/>
      <c r="W4354" s="399"/>
      <c r="X4354" s="399" t="s">
        <v>125</v>
      </c>
      <c r="Y4354" s="389">
        <f t="shared" ref="Y4354" si="14043">D4351</f>
        <v>1</v>
      </c>
      <c r="Z4354" s="400" t="s">
        <v>176</v>
      </c>
      <c r="AA4354" s="402">
        <f t="shared" ref="AA4354" si="14044">IF(AA4355=0,(D4354*N4354+P4354*R4354)*U4354*Y4354,0)</f>
        <v>0</v>
      </c>
      <c r="AB4354" s="403"/>
    </row>
    <row r="4355" spans="1:28">
      <c r="A4355" s="384" t="str">
        <f t="shared" ref="A4355:B4355" si="14045">A4345</f>
        <v>Lantai 3</v>
      </c>
      <c r="B4355" s="385">
        <f t="shared" si="14045"/>
        <v>3</v>
      </c>
      <c r="C4355" s="393"/>
      <c r="D4355" s="398">
        <f t="shared" ref="D4355:D4415" si="14046">IF(AND(D4352=D4353,D4353=D4354,D4352=D4354),D4352,0)</f>
        <v>3</v>
      </c>
      <c r="E4355" s="388" t="s">
        <v>16</v>
      </c>
      <c r="F4355" s="388">
        <f t="shared" ref="F4355:F4415" si="14047">IF(AND(F4352=F4353,F4352=F4354,F4353=F4354),F4352,0)</f>
        <v>16</v>
      </c>
      <c r="G4355" s="388"/>
      <c r="H4355" s="395"/>
      <c r="I4355" s="388"/>
      <c r="J4355" s="396"/>
      <c r="K4355" s="396"/>
      <c r="L4355" s="404" t="s">
        <v>207</v>
      </c>
      <c r="M4355" s="399" t="s">
        <v>176</v>
      </c>
      <c r="N4355" s="399">
        <f t="shared" ref="N4355" si="14048">IF(AND(D4352=D4353,D4352=D4354,D4353=D4354,F4352=F4353,F4352=F4354,F4353=F4354),SUM(N4352:N4354),0)</f>
        <v>1.4590000000000001</v>
      </c>
      <c r="O4355" s="399" t="s">
        <v>204</v>
      </c>
      <c r="P4355" s="389">
        <f t="shared" ref="P4355" si="14049">IF(N4355&gt;12,ROUNDDOWN(N4355/12,0),0)</f>
        <v>0</v>
      </c>
      <c r="Q4355" s="399" t="s">
        <v>125</v>
      </c>
      <c r="R4355" s="399">
        <f t="shared" ref="R4355" si="14050">IF(P4355&gt;0,MAX(VLOOKUP(F4355,$D$6:$G$15,3,FALSE),600),0)/1000</f>
        <v>0</v>
      </c>
      <c r="S4355" s="396"/>
      <c r="T4355" s="396" t="s">
        <v>125</v>
      </c>
      <c r="U4355" s="401">
        <f t="shared" ref="U4355:U4415" si="14051">U4354</f>
        <v>1.5782400000000001</v>
      </c>
      <c r="V4355" s="396" t="s">
        <v>125</v>
      </c>
      <c r="W4355" s="399">
        <f t="shared" ref="W4355" si="14052">D4355</f>
        <v>3</v>
      </c>
      <c r="X4355" s="399" t="s">
        <v>125</v>
      </c>
      <c r="Y4355" s="389">
        <f t="shared" ref="Y4355:Y4415" si="14053">Y4354</f>
        <v>1</v>
      </c>
      <c r="Z4355" s="400" t="s">
        <v>176</v>
      </c>
      <c r="AA4355" s="402">
        <f t="shared" ref="AA4355" si="14054">(N4355+P4355*R4355/1000)*U4355*W4355*Y4355</f>
        <v>6.9079564800000002</v>
      </c>
      <c r="AB4355" s="390"/>
    </row>
    <row r="4356" spans="1:28">
      <c r="A4356" s="384"/>
      <c r="B4356" s="385"/>
      <c r="C4356" s="393"/>
      <c r="D4356" s="398"/>
      <c r="E4356" s="388"/>
      <c r="F4356" s="388"/>
      <c r="G4356" s="388"/>
      <c r="H4356" s="395"/>
      <c r="I4356" s="388"/>
      <c r="J4356" s="396"/>
      <c r="K4356" s="396"/>
      <c r="L4356" s="404"/>
      <c r="M4356" s="399"/>
      <c r="N4356" s="399"/>
      <c r="O4356" s="396"/>
      <c r="P4356" s="389"/>
      <c r="Q4356" s="396"/>
      <c r="R4356" s="396"/>
      <c r="S4356" s="396"/>
      <c r="T4356" s="396"/>
      <c r="U4356" s="401"/>
      <c r="V4356" s="396"/>
      <c r="W4356" s="399"/>
      <c r="X4356" s="396"/>
      <c r="Y4356" s="389"/>
      <c r="Z4356" s="396"/>
      <c r="AA4356" s="388"/>
      <c r="AB4356" s="390"/>
    </row>
    <row r="4357" spans="1:28">
      <c r="A4357" s="384" t="str">
        <f t="shared" ref="A4357:B4357" si="14055">A4345</f>
        <v>Lantai 3</v>
      </c>
      <c r="B4357" s="385">
        <f t="shared" si="14055"/>
        <v>3</v>
      </c>
      <c r="C4357" s="393" t="s">
        <v>208</v>
      </c>
      <c r="D4357" s="398">
        <f>VLOOKUP(D4345,'Detail Balok'!$C$10:$AU$140,13,FALSE)</f>
        <v>0</v>
      </c>
      <c r="E4357" s="388" t="s">
        <v>16</v>
      </c>
      <c r="F4357" s="388">
        <f>VLOOKUP(D4345,'Detail Balok'!$C$10:$AU$140,15,FALSE)</f>
        <v>8</v>
      </c>
      <c r="G4357" s="388"/>
      <c r="H4357" s="395"/>
      <c r="I4357" s="388"/>
      <c r="J4357" s="399">
        <f t="shared" ref="J4357" si="14056">+D4347/1000</f>
        <v>1.075</v>
      </c>
      <c r="K4357" s="400" t="s">
        <v>204</v>
      </c>
      <c r="L4357" s="399">
        <f t="shared" ref="L4357" si="14057">2*$F$16*F4357/1000</f>
        <v>0.192</v>
      </c>
      <c r="M4357" s="399" t="s">
        <v>176</v>
      </c>
      <c r="N4357" s="399">
        <f t="shared" ref="N4357" si="14058">J4357+L4357</f>
        <v>1.2669999999999999</v>
      </c>
      <c r="O4357" s="399" t="s">
        <v>204</v>
      </c>
      <c r="P4357" s="389">
        <f t="shared" ref="P4357" si="14059">IF(N4357&gt;12,ROUNDDOWN(N4357/12,0),0)</f>
        <v>0</v>
      </c>
      <c r="Q4357" s="399" t="s">
        <v>125</v>
      </c>
      <c r="R4357" s="399">
        <f t="shared" ref="R4357" si="14060">IF(P4357&gt;0,MAX(VLOOKUP(F4357,$D$6:$G$15,3,FALSE),600),0)/1000</f>
        <v>0</v>
      </c>
      <c r="S4357" s="399"/>
      <c r="T4357" s="399" t="s">
        <v>125</v>
      </c>
      <c r="U4357" s="401">
        <f t="shared" ref="U4357" si="14061">0.006165*F4357^2</f>
        <v>0.39456000000000002</v>
      </c>
      <c r="V4357" s="399" t="s">
        <v>125</v>
      </c>
      <c r="W4357" s="399">
        <f t="shared" ref="W4357" si="14062">+D4357</f>
        <v>0</v>
      </c>
      <c r="X4357" s="399" t="s">
        <v>125</v>
      </c>
      <c r="Y4357" s="389">
        <f t="shared" ref="Y4357" si="14063">D4351</f>
        <v>1</v>
      </c>
      <c r="Z4357" s="400" t="s">
        <v>176</v>
      </c>
      <c r="AA4357" s="402">
        <f t="shared" ref="AA4357" si="14064">(N4357+P4357*R4357/1000)*U4357*W4357*Y4357</f>
        <v>0</v>
      </c>
      <c r="AB4357" s="403"/>
    </row>
    <row r="4358" spans="1:28">
      <c r="A4358" s="384"/>
      <c r="B4358" s="385"/>
      <c r="C4358" s="393"/>
      <c r="D4358" s="398"/>
      <c r="E4358" s="388"/>
      <c r="F4358" s="388"/>
      <c r="G4358" s="388"/>
      <c r="H4358" s="395"/>
      <c r="I4358" s="388"/>
      <c r="J4358" s="399"/>
      <c r="K4358" s="400"/>
      <c r="L4358" s="399"/>
      <c r="M4358" s="399"/>
      <c r="N4358" s="399"/>
      <c r="O4358" s="399"/>
      <c r="P4358" s="389"/>
      <c r="Q4358" s="399"/>
      <c r="R4358" s="399"/>
      <c r="S4358" s="399"/>
      <c r="T4358" s="399"/>
      <c r="U4358" s="401"/>
      <c r="V4358" s="399"/>
      <c r="W4358" s="399"/>
      <c r="X4358" s="399"/>
      <c r="Y4358" s="389"/>
      <c r="Z4358" s="400"/>
      <c r="AA4358" s="402"/>
      <c r="AB4358" s="403"/>
    </row>
    <row r="4359" spans="1:28">
      <c r="A4359" s="384"/>
      <c r="B4359" s="385"/>
      <c r="C4359" s="393"/>
      <c r="D4359" s="398"/>
      <c r="E4359" s="388"/>
      <c r="F4359" s="388"/>
      <c r="G4359" s="388"/>
      <c r="H4359" s="395"/>
      <c r="I4359" s="388"/>
      <c r="J4359" s="396"/>
      <c r="K4359" s="396"/>
      <c r="L4359" s="396"/>
      <c r="M4359" s="396"/>
      <c r="N4359" s="396"/>
      <c r="O4359" s="396"/>
      <c r="P4359" s="389"/>
      <c r="Q4359" s="396"/>
      <c r="R4359" s="396"/>
      <c r="S4359" s="396"/>
      <c r="T4359" s="396"/>
      <c r="U4359" s="401"/>
      <c r="V4359" s="396"/>
      <c r="W4359" s="399"/>
      <c r="X4359" s="396"/>
      <c r="Y4359" s="389"/>
      <c r="Z4359" s="396"/>
      <c r="AA4359" s="388"/>
      <c r="AB4359" s="390"/>
    </row>
    <row r="4360" spans="1:28">
      <c r="A4360" s="384" t="str">
        <f t="shared" ref="A4360:B4360" si="14065">A4345</f>
        <v>Lantai 3</v>
      </c>
      <c r="B4360" s="385">
        <f t="shared" si="14065"/>
        <v>3</v>
      </c>
      <c r="C4360" s="393" t="s">
        <v>209</v>
      </c>
      <c r="D4360" s="398">
        <f>VLOOKUP(D4345,'Detail Balok'!$C$10:$AU$140,22,FALSE)</f>
        <v>3</v>
      </c>
      <c r="E4360" s="388" t="s">
        <v>16</v>
      </c>
      <c r="F4360" s="388">
        <f>VLOOKUP(D4345,'Detail Balok'!$C$10:$AU$140,24,FALSE)</f>
        <v>16</v>
      </c>
      <c r="G4360" s="388"/>
      <c r="H4360" s="395"/>
      <c r="I4360" s="388" t="s">
        <v>203</v>
      </c>
      <c r="J4360" s="399">
        <f t="shared" ref="J4360:J4422" si="14066">+J4352</f>
        <v>0.26874999999999999</v>
      </c>
      <c r="K4360" s="400" t="s">
        <v>204</v>
      </c>
      <c r="L4360" s="399">
        <f t="shared" ref="L4360" si="14067">MAX(VLOOKUP(F4360,N$6:P$15,3,FALSE)/1000,2/3*D4350/1000)+F$16*F4360/1000</f>
        <v>0.192</v>
      </c>
      <c r="M4360" s="399" t="s">
        <v>176</v>
      </c>
      <c r="N4360" s="399">
        <f t="shared" ref="N4360:N4362" si="14068">J4360+L4360</f>
        <v>0.46074999999999999</v>
      </c>
      <c r="O4360" s="399" t="s">
        <v>204</v>
      </c>
      <c r="P4360" s="389">
        <f t="shared" ref="P4360" si="14069">D4360-D4361</f>
        <v>0</v>
      </c>
      <c r="Q4360" s="399" t="s">
        <v>125</v>
      </c>
      <c r="R4360" s="399">
        <f t="shared" ref="R4360" si="14070">IF(P4360&gt;0,$F$18*F4360/1000,0)</f>
        <v>0</v>
      </c>
      <c r="S4360" s="399" t="s">
        <v>205</v>
      </c>
      <c r="T4360" s="399" t="s">
        <v>125</v>
      </c>
      <c r="U4360" s="401">
        <f t="shared" ref="U4360:U4362" si="14071">0.006165*F4360^2</f>
        <v>1.5782400000000001</v>
      </c>
      <c r="V4360" s="399"/>
      <c r="W4360" s="399"/>
      <c r="X4360" s="399" t="s">
        <v>125</v>
      </c>
      <c r="Y4360" s="389">
        <f t="shared" ref="Y4360" si="14072">D4351</f>
        <v>1</v>
      </c>
      <c r="Z4360" s="400" t="s">
        <v>176</v>
      </c>
      <c r="AA4360" s="402">
        <f t="shared" ref="AA4360" si="14073">IF(AA4363=0,(D4360*N4360+P4360*R4360)*U4360*Y4360,0)</f>
        <v>0</v>
      </c>
      <c r="AB4360" s="403"/>
    </row>
    <row r="4361" spans="1:28">
      <c r="A4361" s="384" t="str">
        <f t="shared" ref="A4361:B4361" si="14074">A4345</f>
        <v>Lantai 3</v>
      </c>
      <c r="B4361" s="385">
        <f t="shared" si="14074"/>
        <v>3</v>
      </c>
      <c r="C4361" s="393" t="s">
        <v>210</v>
      </c>
      <c r="D4361" s="398">
        <f>VLOOKUP(D4345,'Detail Balok'!$C$10:$AU$140,25,FALSE)</f>
        <v>3</v>
      </c>
      <c r="E4361" s="388" t="s">
        <v>16</v>
      </c>
      <c r="F4361" s="388">
        <f>VLOOKUP(D4345,'Detail Balok'!$C$10:$AU$140,27,FALSE)</f>
        <v>16</v>
      </c>
      <c r="G4361" s="388"/>
      <c r="H4361" s="395"/>
      <c r="I4361" s="388" t="s">
        <v>203</v>
      </c>
      <c r="J4361" s="399">
        <f t="shared" si="14066"/>
        <v>0.53749999999999998</v>
      </c>
      <c r="K4361" s="400" t="s">
        <v>204</v>
      </c>
      <c r="L4361" s="399"/>
      <c r="M4361" s="399" t="s">
        <v>176</v>
      </c>
      <c r="N4361" s="399">
        <f t="shared" si="14068"/>
        <v>0.53749999999999998</v>
      </c>
      <c r="O4361" s="399" t="s">
        <v>204</v>
      </c>
      <c r="P4361" s="389">
        <f t="shared" ref="P4361" si="14075">MAX(D4361-D4360,D4361-D4362)</f>
        <v>0</v>
      </c>
      <c r="Q4361" s="399" t="s">
        <v>125</v>
      </c>
      <c r="R4361" s="399">
        <f t="shared" ref="R4361" si="14076">IF(P4361&gt;0,2*(1-2*$F$19-1/2)*D4348/1000,0)</f>
        <v>0</v>
      </c>
      <c r="S4361" s="399" t="s">
        <v>205</v>
      </c>
      <c r="T4361" s="399" t="s">
        <v>125</v>
      </c>
      <c r="U4361" s="401">
        <f t="shared" si="14071"/>
        <v>1.5782400000000001</v>
      </c>
      <c r="V4361" s="399"/>
      <c r="W4361" s="399"/>
      <c r="X4361" s="399" t="s">
        <v>125</v>
      </c>
      <c r="Y4361" s="389">
        <f t="shared" ref="Y4361" si="14077">D4351</f>
        <v>1</v>
      </c>
      <c r="Z4361" s="400" t="s">
        <v>176</v>
      </c>
      <c r="AA4361" s="402">
        <f t="shared" ref="AA4361" si="14078">IF(AA4363=0,(D4361*N4361+P4361*R4361)*U4361*Y4361,0)</f>
        <v>0</v>
      </c>
      <c r="AB4361" s="403"/>
    </row>
    <row r="4362" spans="1:28">
      <c r="A4362" s="384" t="str">
        <f t="shared" ref="A4362:B4362" si="14079">A4345</f>
        <v>Lantai 3</v>
      </c>
      <c r="B4362" s="385">
        <f t="shared" si="14079"/>
        <v>3</v>
      </c>
      <c r="C4362" s="393" t="s">
        <v>209</v>
      </c>
      <c r="D4362" s="398">
        <f>VLOOKUP(D4345,'Detail Balok'!$C$10:$AU$140,28,FALSE)</f>
        <v>3</v>
      </c>
      <c r="E4362" s="388" t="s">
        <v>16</v>
      </c>
      <c r="F4362" s="388">
        <f>VLOOKUP(D4345,'Detail Balok'!$C$10:$AU$140,30,FALSE)</f>
        <v>16</v>
      </c>
      <c r="G4362" s="388"/>
      <c r="H4362" s="395"/>
      <c r="I4362" s="388" t="s">
        <v>203</v>
      </c>
      <c r="J4362" s="399">
        <f t="shared" si="14066"/>
        <v>0.26874999999999999</v>
      </c>
      <c r="K4362" s="400" t="s">
        <v>204</v>
      </c>
      <c r="L4362" s="399">
        <f t="shared" ref="L4362" si="14080">MAX(VLOOKUP(F4362,N$6:P$15,3,FALSE)/1000,2/3*D4350/1000)+F$16*F4362/1000</f>
        <v>0.192</v>
      </c>
      <c r="M4362" s="399" t="s">
        <v>176</v>
      </c>
      <c r="N4362" s="399">
        <f t="shared" si="14068"/>
        <v>0.46074999999999999</v>
      </c>
      <c r="O4362" s="399" t="s">
        <v>204</v>
      </c>
      <c r="P4362" s="389">
        <f t="shared" ref="P4362" si="14081">D4362-D4361</f>
        <v>0</v>
      </c>
      <c r="Q4362" s="399" t="s">
        <v>125</v>
      </c>
      <c r="R4362" s="399">
        <f t="shared" ref="R4362" si="14082">IF(P4362&gt;0,$F$18*F4362/1000,0)</f>
        <v>0</v>
      </c>
      <c r="S4362" s="399" t="s">
        <v>205</v>
      </c>
      <c r="T4362" s="399" t="s">
        <v>125</v>
      </c>
      <c r="U4362" s="401">
        <f t="shared" si="14071"/>
        <v>1.5782400000000001</v>
      </c>
      <c r="V4362" s="399"/>
      <c r="W4362" s="399"/>
      <c r="X4362" s="399" t="s">
        <v>125</v>
      </c>
      <c r="Y4362" s="389">
        <f t="shared" ref="Y4362" si="14083">D4351</f>
        <v>1</v>
      </c>
      <c r="Z4362" s="400" t="s">
        <v>176</v>
      </c>
      <c r="AA4362" s="402">
        <f t="shared" ref="AA4362" si="14084">IF(AA4363=0,(D4362*N4362+P4362*R4362)*U4362*Y4362,0)</f>
        <v>0</v>
      </c>
      <c r="AB4362" s="403"/>
    </row>
    <row r="4363" spans="1:28">
      <c r="A4363" s="384" t="str">
        <f t="shared" ref="A4363:B4363" si="14085">A4345</f>
        <v>Lantai 3</v>
      </c>
      <c r="B4363" s="385">
        <f t="shared" si="14085"/>
        <v>3</v>
      </c>
      <c r="C4363" s="393"/>
      <c r="D4363" s="398">
        <f t="shared" ref="D4363:D4423" si="14086">IF(AND(D4360=D4361,D4361=D4362,D4360=D4362),D4360,0)</f>
        <v>3</v>
      </c>
      <c r="E4363" s="388" t="s">
        <v>16</v>
      </c>
      <c r="F4363" s="388">
        <f t="shared" ref="F4363:F4423" si="14087">IF(AND(F4360=F4361,F4360=F4362,F4361=F4362),F4360,0)</f>
        <v>16</v>
      </c>
      <c r="G4363" s="388"/>
      <c r="H4363" s="395"/>
      <c r="I4363" s="388"/>
      <c r="J4363" s="396"/>
      <c r="K4363" s="396"/>
      <c r="L4363" s="404" t="s">
        <v>207</v>
      </c>
      <c r="M4363" s="399" t="s">
        <v>176</v>
      </c>
      <c r="N4363" s="399">
        <f t="shared" ref="N4363" si="14088">IF(AND(D4360=D4361,D4360=D4362,D4361=D4362,F4360=F4361,F4360=F4362,F4361=F4362),SUM(N4360:N4362),0)</f>
        <v>1.4590000000000001</v>
      </c>
      <c r="O4363" s="399" t="s">
        <v>204</v>
      </c>
      <c r="P4363" s="389">
        <f t="shared" ref="P4363" si="14089">IF(N4363&gt;12,ROUNDDOWN(N4363/12,0),0)</f>
        <v>0</v>
      </c>
      <c r="Q4363" s="399" t="s">
        <v>125</v>
      </c>
      <c r="R4363" s="399">
        <f t="shared" ref="R4363" si="14090">IF(P4363&gt;0,MAX(VLOOKUP(F4363,$D$6:$G$15,3,FALSE),600),0)/1000</f>
        <v>0</v>
      </c>
      <c r="S4363" s="396"/>
      <c r="T4363" s="396" t="s">
        <v>125</v>
      </c>
      <c r="U4363" s="401">
        <f t="shared" ref="U4363:U4423" si="14091">U4362</f>
        <v>1.5782400000000001</v>
      </c>
      <c r="V4363" s="396" t="s">
        <v>125</v>
      </c>
      <c r="W4363" s="399">
        <f t="shared" ref="W4363" si="14092">D4363</f>
        <v>3</v>
      </c>
      <c r="X4363" s="399" t="s">
        <v>125</v>
      </c>
      <c r="Y4363" s="389">
        <f t="shared" ref="Y4363:Y4423" si="14093">Y4362</f>
        <v>1</v>
      </c>
      <c r="Z4363" s="400" t="s">
        <v>176</v>
      </c>
      <c r="AA4363" s="402">
        <f t="shared" ref="AA4363" si="14094">(N4363+P4363*R4363/1000)*U4363*W4363*Y4363</f>
        <v>6.9079564800000002</v>
      </c>
      <c r="AB4363" s="403"/>
    </row>
    <row r="4364" spans="1:28">
      <c r="A4364" s="384"/>
      <c r="B4364" s="385"/>
      <c r="C4364" s="393"/>
      <c r="D4364" s="394"/>
      <c r="E4364" s="388"/>
      <c r="F4364" s="388"/>
      <c r="G4364" s="388"/>
      <c r="H4364" s="395"/>
      <c r="I4364" s="388"/>
      <c r="J4364" s="399"/>
      <c r="K4364" s="396"/>
      <c r="L4364" s="396"/>
      <c r="M4364" s="396"/>
      <c r="N4364" s="396"/>
      <c r="O4364" s="396"/>
      <c r="P4364" s="389"/>
      <c r="Q4364" s="396"/>
      <c r="R4364" s="396"/>
      <c r="S4364" s="396"/>
      <c r="T4364" s="396"/>
      <c r="U4364" s="401"/>
      <c r="V4364" s="396"/>
      <c r="W4364" s="388"/>
      <c r="X4364" s="396"/>
      <c r="Y4364" s="389"/>
      <c r="Z4364" s="396"/>
      <c r="AA4364" s="388"/>
      <c r="AB4364" s="390"/>
    </row>
    <row r="4365" spans="1:28">
      <c r="A4365" s="384" t="str">
        <f t="shared" ref="A4365:B4365" si="14095">A4345</f>
        <v>Lantai 3</v>
      </c>
      <c r="B4365" s="385">
        <f t="shared" si="14095"/>
        <v>3</v>
      </c>
      <c r="C4365" s="393" t="s">
        <v>211</v>
      </c>
      <c r="D4365" s="398">
        <f>VLOOKUP(D4345,'Detail Balok'!$C$10:$AU$140,31,FALSE)</f>
        <v>0</v>
      </c>
      <c r="E4365" s="388" t="s">
        <v>16</v>
      </c>
      <c r="F4365" s="388">
        <f>VLOOKUP(D4345,'Detail Balok'!$C$10:$AU$140,33,FALSE)</f>
        <v>10</v>
      </c>
      <c r="G4365" s="405" t="s">
        <v>157</v>
      </c>
      <c r="H4365" s="395">
        <f>VLOOKUP(D4345,'Detail Balok'!$C$10:$AU$140,35,FALSE)</f>
        <v>100</v>
      </c>
      <c r="I4365" s="388"/>
      <c r="J4365" s="400">
        <f t="shared" ref="J4365" si="14096">(IF(D4365=0,(2*(D4346+G4346))-(F$5*8),IF(D4365=3,(2*(D4346+G4346))-(F$5*8)+(G4346-2*F$5),IF(D4365=4,(2*(D4346+G4346))-(F$5*8)+2*(G4346-2*F$5)))))/1000</f>
        <v>0.88</v>
      </c>
      <c r="K4365" s="400" t="s">
        <v>204</v>
      </c>
      <c r="L4365" s="399">
        <f t="shared" ref="L4365:L4367" si="14097">IF(D4365=0,2*MAX(6*F4365,75),(D4365-1)*2*MAX(6*F4365,75))/1000</f>
        <v>0.15</v>
      </c>
      <c r="M4365" s="399" t="s">
        <v>176</v>
      </c>
      <c r="N4365" s="399">
        <f t="shared" ref="N4365:N4367" si="14098">J4365+L4365</f>
        <v>1.03</v>
      </c>
      <c r="O4365" s="399"/>
      <c r="P4365" s="389"/>
      <c r="Q4365" s="399"/>
      <c r="R4365" s="399"/>
      <c r="S4365" s="399"/>
      <c r="T4365" s="399" t="s">
        <v>125</v>
      </c>
      <c r="U4365" s="401">
        <f t="shared" ref="U4365:U4367" si="14099">0.006165*F4365^2</f>
        <v>0.61650000000000005</v>
      </c>
      <c r="V4365" s="399" t="s">
        <v>125</v>
      </c>
      <c r="W4365" s="399">
        <f t="shared" ref="W4365" si="14100">IF(D4348&gt;4*G4346,ROUND(MAX(D4348/4,2*G4346)/H4365,0)+1,ROUND(D4348/H4365,0)+1)</f>
        <v>12</v>
      </c>
      <c r="X4365" s="399" t="s">
        <v>125</v>
      </c>
      <c r="Y4365" s="389">
        <f t="shared" ref="Y4365" si="14101">D4351</f>
        <v>1</v>
      </c>
      <c r="Z4365" s="400" t="s">
        <v>176</v>
      </c>
      <c r="AA4365" s="402">
        <f t="shared" ref="AA4365:AA4367" si="14102">N4365*U4365*W4365*Y4365</f>
        <v>7.6199400000000015</v>
      </c>
      <c r="AB4365" s="403"/>
    </row>
    <row r="4366" spans="1:28">
      <c r="A4366" s="384" t="str">
        <f t="shared" ref="A4366:B4366" si="14103">A4345</f>
        <v>Lantai 3</v>
      </c>
      <c r="B4366" s="385">
        <f t="shared" si="14103"/>
        <v>3</v>
      </c>
      <c r="C4366" s="393" t="s">
        <v>212</v>
      </c>
      <c r="D4366" s="398">
        <f>VLOOKUP(D4345,'Detail Balok'!$C$10:$AU$140,36,FALSE)</f>
        <v>0</v>
      </c>
      <c r="E4366" s="388" t="s">
        <v>16</v>
      </c>
      <c r="F4366" s="388">
        <f>VLOOKUP(D4345,'Detail Balok'!$C$10:$AU$140,38,FALSE)</f>
        <v>10</v>
      </c>
      <c r="G4366" s="405" t="s">
        <v>157</v>
      </c>
      <c r="H4366" s="395">
        <f>VLOOKUP(D4345,'Detail Balok'!$C$10:$AU$140,40,FALSE)</f>
        <v>100</v>
      </c>
      <c r="I4366" s="388"/>
      <c r="J4366" s="400">
        <f t="shared" ref="J4366" si="14104">(IF(D4366=0,(2*(D4346+G4346))-(F$5*8),IF(D4366=3,(2*(D4346+G4346))-(F$5*8)+(G4346-2*F$5),IF(D4366=4,(2*(D4346+G4346))-(F$5*8)+2*(G4346-2*F$5)))))/1000</f>
        <v>0.88</v>
      </c>
      <c r="K4366" s="400" t="s">
        <v>204</v>
      </c>
      <c r="L4366" s="399">
        <f t="shared" si="14097"/>
        <v>0.15</v>
      </c>
      <c r="M4366" s="399" t="s">
        <v>176</v>
      </c>
      <c r="N4366" s="399">
        <f t="shared" si="14098"/>
        <v>1.03</v>
      </c>
      <c r="O4366" s="399"/>
      <c r="P4366" s="389"/>
      <c r="Q4366" s="399"/>
      <c r="R4366" s="399"/>
      <c r="S4366" s="399"/>
      <c r="T4366" s="399" t="s">
        <v>125</v>
      </c>
      <c r="U4366" s="401">
        <f t="shared" si="14099"/>
        <v>0.61650000000000005</v>
      </c>
      <c r="V4366" s="399" t="s">
        <v>125</v>
      </c>
      <c r="W4366" s="399">
        <f t="shared" ref="W4366" si="14105">IF(D4348-MAX(D4348/4,2*G4346)*2&gt;0,ROUND((D4348-MAX(D4348/4,2*G4346)*2)/H4366,0),0)</f>
        <v>0</v>
      </c>
      <c r="X4366" s="399" t="s">
        <v>125</v>
      </c>
      <c r="Y4366" s="389">
        <f t="shared" ref="Y4366" si="14106">D4351</f>
        <v>1</v>
      </c>
      <c r="Z4366" s="400" t="s">
        <v>176</v>
      </c>
      <c r="AA4366" s="402">
        <f t="shared" si="14102"/>
        <v>0</v>
      </c>
      <c r="AB4366" s="403"/>
    </row>
    <row r="4367" spans="1:28">
      <c r="A4367" s="384" t="str">
        <f t="shared" ref="A4367:B4367" si="14107">A4345</f>
        <v>Lantai 3</v>
      </c>
      <c r="B4367" s="385">
        <f t="shared" si="14107"/>
        <v>3</v>
      </c>
      <c r="C4367" s="393" t="s">
        <v>211</v>
      </c>
      <c r="D4367" s="398">
        <f>VLOOKUP(D4345,'Detail Balok'!$C$10:$AU$140,41,FALSE)</f>
        <v>0</v>
      </c>
      <c r="E4367" s="388" t="s">
        <v>16</v>
      </c>
      <c r="F4367" s="388">
        <f>VLOOKUP(D4345,'Detail Balok'!$C$10:$AU$140,43,FALSE)</f>
        <v>10</v>
      </c>
      <c r="G4367" s="405" t="s">
        <v>157</v>
      </c>
      <c r="H4367" s="395">
        <f>VLOOKUP(D4345,'Detail Balok'!$C$10:$AU$140,45,FALSE)</f>
        <v>100</v>
      </c>
      <c r="I4367" s="388"/>
      <c r="J4367" s="400">
        <f t="shared" ref="J4367" si="14108">(IF(D4367=0,(2*(D4346+G4346))-(F$5*8),IF(D4367=3,(2*(D4346+G4346))-(F$5*8)+(G4346-2*F$5),IF(D4367=4,(2*(D4346+G4346))-(F$5*8)+2*(G4346-2*F$5)))))/1000</f>
        <v>0.88</v>
      </c>
      <c r="K4367" s="400" t="s">
        <v>204</v>
      </c>
      <c r="L4367" s="399">
        <f t="shared" si="14097"/>
        <v>0.15</v>
      </c>
      <c r="M4367" s="399" t="s">
        <v>176</v>
      </c>
      <c r="N4367" s="399">
        <f t="shared" si="14098"/>
        <v>1.03</v>
      </c>
      <c r="O4367" s="399"/>
      <c r="P4367" s="389"/>
      <c r="Q4367" s="399"/>
      <c r="R4367" s="399"/>
      <c r="S4367" s="399"/>
      <c r="T4367" s="399" t="s">
        <v>125</v>
      </c>
      <c r="U4367" s="401">
        <f t="shared" si="14099"/>
        <v>0.61650000000000005</v>
      </c>
      <c r="V4367" s="399" t="s">
        <v>125</v>
      </c>
      <c r="W4367" s="399">
        <f t="shared" ref="W4367" si="14109">IF(D4348&gt;4*G4346,ROUND(MAX(D4348/4,2*G4346)/H4367,0)+1,0)</f>
        <v>0</v>
      </c>
      <c r="X4367" s="399" t="s">
        <v>125</v>
      </c>
      <c r="Y4367" s="389">
        <f t="shared" ref="Y4367" si="14110">D4351</f>
        <v>1</v>
      </c>
      <c r="Z4367" s="400" t="s">
        <v>176</v>
      </c>
      <c r="AA4367" s="402">
        <f t="shared" si="14102"/>
        <v>0</v>
      </c>
      <c r="AB4367" s="403"/>
    </row>
    <row r="4368" spans="1:28">
      <c r="A4368" s="384"/>
      <c r="B4368" s="385"/>
      <c r="C4368" s="393"/>
      <c r="D4368" s="394"/>
      <c r="E4368" s="388"/>
      <c r="F4368" s="388"/>
      <c r="G4368" s="388"/>
      <c r="H4368" s="395"/>
      <c r="I4368" s="388"/>
      <c r="J4368" s="399"/>
      <c r="K4368" s="396"/>
      <c r="L4368" s="396"/>
      <c r="M4368" s="396"/>
      <c r="N4368" s="396"/>
      <c r="O4368" s="396"/>
      <c r="P4368" s="389"/>
      <c r="Q4368" s="396"/>
      <c r="R4368" s="396"/>
      <c r="S4368" s="396"/>
      <c r="T4368" s="396"/>
      <c r="U4368" s="401"/>
      <c r="V4368" s="396"/>
      <c r="W4368" s="388"/>
      <c r="X4368" s="396"/>
      <c r="Y4368" s="389"/>
      <c r="Z4368" s="396"/>
      <c r="AA4368" s="388"/>
      <c r="AB4368" s="390"/>
    </row>
    <row r="4369" spans="1:28">
      <c r="A4369" s="384" t="str">
        <f t="shared" ref="A4369:B4369" si="14111">A4345</f>
        <v>Lantai 3</v>
      </c>
      <c r="B4369" s="385">
        <f t="shared" si="14111"/>
        <v>3</v>
      </c>
      <c r="C4369" s="393" t="s">
        <v>213</v>
      </c>
      <c r="D4369" s="398">
        <f>VLOOKUP(D4345,'Detail Balok'!$C$10:$BJ$140,46,FALSE)</f>
        <v>0</v>
      </c>
      <c r="E4369" s="388" t="s">
        <v>16</v>
      </c>
      <c r="F4369" s="388">
        <f>VLOOKUP(D4345,'Detail Balok'!$C$10:$BJ$140,48,FALSE)</f>
        <v>0</v>
      </c>
      <c r="G4369" s="405" t="s">
        <v>157</v>
      </c>
      <c r="H4369" s="395">
        <f>VLOOKUP(D4345,'Detail Balok'!$C$10:$BJ$140,50,FALSE)</f>
        <v>100</v>
      </c>
      <c r="I4369" s="388"/>
      <c r="J4369" s="399">
        <f t="shared" ref="J4369" si="14112">(D4346-2*F$5)/1000</f>
        <v>0.12</v>
      </c>
      <c r="K4369" s="400" t="s">
        <v>204</v>
      </c>
      <c r="L4369" s="399">
        <f t="shared" ref="L4369:L4371" si="14113">IF(D4369=0,2*MAX(6*F4369,75),(D4369-1)*2*MAX(6*F4369,75))/1000</f>
        <v>0.15</v>
      </c>
      <c r="M4369" s="399" t="s">
        <v>176</v>
      </c>
      <c r="N4369" s="399">
        <f t="shared" ref="N4369:N4371" si="14114">J4369+L4369</f>
        <v>0.27</v>
      </c>
      <c r="O4369" s="399"/>
      <c r="P4369" s="399"/>
      <c r="Q4369" s="399"/>
      <c r="R4369" s="399"/>
      <c r="S4369" s="399"/>
      <c r="T4369" s="399" t="s">
        <v>125</v>
      </c>
      <c r="U4369" s="401">
        <f t="shared" ref="U4369:U4371" si="14115">0.006165*F4369^2</f>
        <v>0</v>
      </c>
      <c r="V4369" s="399" t="s">
        <v>125</v>
      </c>
      <c r="W4369" s="399">
        <f t="shared" ref="W4369:W4431" si="14116">W4365</f>
        <v>12</v>
      </c>
      <c r="X4369" s="399" t="s">
        <v>125</v>
      </c>
      <c r="Y4369" s="389">
        <f t="shared" ref="Y4369" si="14117">D4355</f>
        <v>3</v>
      </c>
      <c r="Z4369" s="400" t="s">
        <v>176</v>
      </c>
      <c r="AA4369" s="402">
        <f t="shared" ref="AA4369:AA4371" si="14118">N4369*U4369*W4369*Y4369</f>
        <v>0</v>
      </c>
      <c r="AB4369" s="403"/>
    </row>
    <row r="4370" spans="1:28">
      <c r="A4370" s="384" t="str">
        <f t="shared" ref="A4370:B4370" si="14119">A4345</f>
        <v>Lantai 3</v>
      </c>
      <c r="B4370" s="385">
        <f t="shared" si="14119"/>
        <v>3</v>
      </c>
      <c r="C4370" s="393" t="s">
        <v>214</v>
      </c>
      <c r="D4370" s="398">
        <f>VLOOKUP(D4345,'Detail Balok'!$C$10:$BJ$140,51,FALSE)</f>
        <v>0</v>
      </c>
      <c r="E4370" s="388" t="s">
        <v>16</v>
      </c>
      <c r="F4370" s="388">
        <f>VLOOKUP(D4345,'Detail Balok'!$C$10:$BJ$140,53,FALSE)</f>
        <v>0</v>
      </c>
      <c r="G4370" s="405" t="s">
        <v>157</v>
      </c>
      <c r="H4370" s="395">
        <f>VLOOKUP(D4345,'Detail Balok'!$C$10:$BJ$140,55,FALSE)</f>
        <v>100</v>
      </c>
      <c r="I4370" s="388"/>
      <c r="J4370" s="399">
        <f t="shared" ref="J4370" si="14120">(D4346-2*F$5)/1000</f>
        <v>0.12</v>
      </c>
      <c r="K4370" s="400" t="s">
        <v>204</v>
      </c>
      <c r="L4370" s="399">
        <f t="shared" si="14113"/>
        <v>0.15</v>
      </c>
      <c r="M4370" s="399" t="s">
        <v>176</v>
      </c>
      <c r="N4370" s="399">
        <f t="shared" si="14114"/>
        <v>0.27</v>
      </c>
      <c r="O4370" s="399"/>
      <c r="P4370" s="399"/>
      <c r="Q4370" s="399"/>
      <c r="R4370" s="399"/>
      <c r="S4370" s="399"/>
      <c r="T4370" s="399" t="s">
        <v>125</v>
      </c>
      <c r="U4370" s="401">
        <f t="shared" si="14115"/>
        <v>0</v>
      </c>
      <c r="V4370" s="399" t="s">
        <v>125</v>
      </c>
      <c r="W4370" s="399">
        <f t="shared" si="14116"/>
        <v>0</v>
      </c>
      <c r="X4370" s="399" t="s">
        <v>125</v>
      </c>
      <c r="Y4370" s="389">
        <f t="shared" ref="Y4370" si="14121">D4355</f>
        <v>3</v>
      </c>
      <c r="Z4370" s="400" t="s">
        <v>176</v>
      </c>
      <c r="AA4370" s="402">
        <f t="shared" si="14118"/>
        <v>0</v>
      </c>
      <c r="AB4370" s="403"/>
    </row>
    <row r="4371" spans="1:28">
      <c r="A4371" s="384" t="str">
        <f t="shared" ref="A4371:B4371" si="14122">A4345</f>
        <v>Lantai 3</v>
      </c>
      <c r="B4371" s="385">
        <f t="shared" si="14122"/>
        <v>3</v>
      </c>
      <c r="C4371" s="393" t="s">
        <v>213</v>
      </c>
      <c r="D4371" s="398">
        <f>VLOOKUP(D4345,'Detail Balok'!$C$10:$BJ$140,56,FALSE)</f>
        <v>0</v>
      </c>
      <c r="E4371" s="388" t="s">
        <v>16</v>
      </c>
      <c r="F4371" s="388">
        <f>VLOOKUP(D4345,'Detail Balok'!$C$10:$BJ$140,58,FALSE)</f>
        <v>0</v>
      </c>
      <c r="G4371" s="405" t="s">
        <v>157</v>
      </c>
      <c r="H4371" s="395">
        <f>VLOOKUP(D4345,'Detail Balok'!$C$10:$BJ$140,60,FALSE)</f>
        <v>100</v>
      </c>
      <c r="I4371" s="388"/>
      <c r="J4371" s="399">
        <f t="shared" ref="J4371" si="14123">(D4346-2*F$5)/1000</f>
        <v>0.12</v>
      </c>
      <c r="K4371" s="400" t="s">
        <v>204</v>
      </c>
      <c r="L4371" s="399">
        <f t="shared" si="14113"/>
        <v>0.15</v>
      </c>
      <c r="M4371" s="399" t="s">
        <v>176</v>
      </c>
      <c r="N4371" s="399">
        <f t="shared" si="14114"/>
        <v>0.27</v>
      </c>
      <c r="O4371" s="399"/>
      <c r="P4371" s="399"/>
      <c r="Q4371" s="399"/>
      <c r="R4371" s="399"/>
      <c r="S4371" s="399"/>
      <c r="T4371" s="399" t="s">
        <v>125</v>
      </c>
      <c r="U4371" s="401">
        <f t="shared" si="14115"/>
        <v>0</v>
      </c>
      <c r="V4371" s="399" t="s">
        <v>125</v>
      </c>
      <c r="W4371" s="399">
        <f t="shared" si="14116"/>
        <v>0</v>
      </c>
      <c r="X4371" s="399" t="s">
        <v>125</v>
      </c>
      <c r="Y4371" s="389">
        <f t="shared" ref="Y4371" si="14124">D4355</f>
        <v>3</v>
      </c>
      <c r="Z4371" s="400" t="s">
        <v>176</v>
      </c>
      <c r="AA4371" s="402">
        <f t="shared" si="14118"/>
        <v>0</v>
      </c>
      <c r="AB4371" s="403"/>
    </row>
    <row r="4372" spans="1:28">
      <c r="A4372" s="391"/>
      <c r="B4372" s="392"/>
      <c r="C4372" s="392"/>
      <c r="D4372" s="394"/>
      <c r="E4372" s="388"/>
      <c r="F4372" s="388"/>
      <c r="G4372" s="388"/>
      <c r="H4372" s="395"/>
      <c r="I4372" s="388"/>
      <c r="J4372" s="402"/>
      <c r="K4372" s="388"/>
      <c r="L4372" s="388"/>
      <c r="M4372" s="388"/>
      <c r="N4372" s="388"/>
      <c r="O4372" s="388"/>
      <c r="P4372" s="388"/>
      <c r="Q4372" s="388"/>
      <c r="R4372" s="388"/>
      <c r="S4372" s="388"/>
      <c r="T4372" s="388"/>
      <c r="U4372" s="388"/>
      <c r="V4372" s="388"/>
      <c r="W4372" s="388"/>
      <c r="X4372" s="388"/>
      <c r="Y4372" s="389"/>
      <c r="Z4372" s="388"/>
      <c r="AA4372" s="402"/>
      <c r="AB4372" s="403"/>
    </row>
    <row r="4373" spans="1:28" ht="15.75" thickBot="1">
      <c r="A4373" s="406"/>
      <c r="B4373" s="407"/>
      <c r="C4373" s="407"/>
      <c r="D4373" s="408"/>
      <c r="E4373" s="409"/>
      <c r="F4373" s="409"/>
      <c r="G4373" s="409"/>
      <c r="H4373" s="410"/>
      <c r="I4373" s="409"/>
      <c r="J4373" s="409"/>
      <c r="K4373" s="409"/>
      <c r="L4373" s="409"/>
      <c r="M4373" s="409"/>
      <c r="N4373" s="409"/>
      <c r="O4373" s="409"/>
      <c r="P4373" s="409"/>
      <c r="Q4373" s="409"/>
      <c r="R4373" s="409"/>
      <c r="S4373" s="409"/>
      <c r="T4373" s="409"/>
      <c r="U4373" s="409"/>
      <c r="V4373" s="409"/>
      <c r="W4373" s="409"/>
      <c r="X4373" s="409"/>
      <c r="Y4373" s="411"/>
      <c r="Z4373" s="409"/>
      <c r="AA4373" s="412"/>
      <c r="AB4373" s="413"/>
    </row>
    <row r="4374" spans="1:28">
      <c r="A4374" s="377"/>
      <c r="B4374" s="378"/>
      <c r="C4374" s="378"/>
      <c r="D4374" s="379"/>
      <c r="E4374" s="380"/>
      <c r="F4374" s="380"/>
      <c r="G4374" s="380"/>
      <c r="H4374" s="381"/>
      <c r="I4374" s="380"/>
      <c r="J4374" s="380"/>
      <c r="K4374" s="380"/>
      <c r="L4374" s="380"/>
      <c r="M4374" s="380"/>
      <c r="N4374" s="380"/>
      <c r="O4374" s="380"/>
      <c r="P4374" s="380"/>
      <c r="Q4374" s="380"/>
      <c r="R4374" s="380"/>
      <c r="S4374" s="380"/>
      <c r="T4374" s="380"/>
      <c r="U4374" s="380"/>
      <c r="V4374" s="380"/>
      <c r="W4374" s="380"/>
      <c r="X4374" s="380"/>
      <c r="Y4374" s="382"/>
      <c r="Z4374" s="380"/>
      <c r="AA4374" s="380"/>
      <c r="AB4374" s="383"/>
    </row>
    <row r="4375" spans="1:28">
      <c r="A4375" s="384" t="str">
        <f t="shared" ref="A4375:A4435" si="14125">A4345</f>
        <v>Lantai 3</v>
      </c>
      <c r="B4375" s="385">
        <f t="shared" ref="B4375:B4435" si="14126">B4345+1</f>
        <v>4</v>
      </c>
      <c r="C4375" s="386" t="str">
        <f t="shared" ref="C4375" si="14127">CONCATENATE(A4375," no. ",B4375)</f>
        <v>Lantai 3 no. 4</v>
      </c>
      <c r="D4375" s="2562" t="str">
        <f>VLOOKUP(C4375,'Data Panjang Balok'!$C$9:$N$254,2,FALSE)</f>
        <v>CL24-1</v>
      </c>
      <c r="E4375" s="2576"/>
      <c r="F4375" s="2576"/>
      <c r="G4375" s="2576"/>
      <c r="H4375" s="2577"/>
      <c r="I4375" s="387"/>
      <c r="J4375" s="388"/>
      <c r="K4375" s="388"/>
      <c r="L4375" s="388"/>
      <c r="M4375" s="388"/>
      <c r="N4375" s="388"/>
      <c r="O4375" s="388"/>
      <c r="P4375" s="388"/>
      <c r="Q4375" s="388"/>
      <c r="R4375" s="388"/>
      <c r="S4375" s="388"/>
      <c r="T4375" s="388"/>
      <c r="U4375" s="388"/>
      <c r="V4375" s="388"/>
      <c r="W4375" s="388"/>
      <c r="X4375" s="388"/>
      <c r="Y4375" s="389"/>
      <c r="Z4375" s="388"/>
      <c r="AA4375" s="388"/>
      <c r="AB4375" s="390"/>
    </row>
    <row r="4376" spans="1:28">
      <c r="A4376" s="391"/>
      <c r="B4376" s="392"/>
      <c r="C4376" s="393" t="s">
        <v>118</v>
      </c>
      <c r="D4376" s="2578">
        <f>VLOOKUP(D4375,'Detail Balok'!$C$10:$AU$140,2,FALSE)</f>
        <v>200</v>
      </c>
      <c r="E4376" s="2579"/>
      <c r="F4376" s="388" t="s">
        <v>125</v>
      </c>
      <c r="G4376" s="2579">
        <f>VLOOKUP(D4375,'Detail Balok'!$C$10:$AU$140,3,FALSE)</f>
        <v>400</v>
      </c>
      <c r="H4376" s="2580"/>
      <c r="I4376" s="388"/>
      <c r="J4376" s="396"/>
      <c r="K4376" s="396"/>
      <c r="L4376" s="396"/>
      <c r="M4376" s="396"/>
      <c r="N4376" s="396"/>
      <c r="O4376" s="396"/>
      <c r="P4376" s="396"/>
      <c r="Q4376" s="396"/>
      <c r="R4376" s="396"/>
      <c r="S4376" s="396"/>
      <c r="T4376" s="396"/>
      <c r="U4376" s="388"/>
      <c r="V4376" s="396"/>
      <c r="W4376" s="388"/>
      <c r="X4376" s="396"/>
      <c r="Y4376" s="389"/>
      <c r="Z4376" s="396"/>
      <c r="AA4376" s="388"/>
      <c r="AB4376" s="390"/>
    </row>
    <row r="4377" spans="1:28">
      <c r="A4377" s="391"/>
      <c r="B4377" s="392"/>
      <c r="C4377" s="393" t="s">
        <v>198</v>
      </c>
      <c r="D4377" s="2562">
        <f>VLOOKUP(C4375,'Data Panjang Balok'!$C$9:$N$254,4,FALSE)</f>
        <v>1075</v>
      </c>
      <c r="E4377" s="2563"/>
      <c r="F4377" s="2563"/>
      <c r="G4377" s="2563"/>
      <c r="H4377" s="2564"/>
      <c r="I4377" s="397"/>
      <c r="J4377" s="396"/>
      <c r="K4377" s="396"/>
      <c r="L4377" s="396"/>
      <c r="M4377" s="396"/>
      <c r="N4377" s="396"/>
      <c r="O4377" s="396"/>
      <c r="P4377" s="396"/>
      <c r="Q4377" s="396"/>
      <c r="R4377" s="396"/>
      <c r="S4377" s="396"/>
      <c r="T4377" s="396"/>
      <c r="U4377" s="388"/>
      <c r="V4377" s="396"/>
      <c r="W4377" s="388"/>
      <c r="X4377" s="396"/>
      <c r="Y4377" s="389"/>
      <c r="Z4377" s="396"/>
      <c r="AA4377" s="388"/>
      <c r="AB4377" s="390"/>
    </row>
    <row r="4378" spans="1:28">
      <c r="A4378" s="391"/>
      <c r="B4378" s="392"/>
      <c r="C4378" s="393" t="s">
        <v>199</v>
      </c>
      <c r="D4378" s="2562">
        <f>VLOOKUP(C4375,'Data Panjang Balok'!$C$9:$N$254,7,FALSE)</f>
        <v>1075</v>
      </c>
      <c r="E4378" s="2563"/>
      <c r="F4378" s="2563"/>
      <c r="G4378" s="2563"/>
      <c r="H4378" s="2564"/>
      <c r="I4378" s="397"/>
      <c r="J4378" s="396"/>
      <c r="K4378" s="396"/>
      <c r="L4378" s="396"/>
      <c r="M4378" s="396"/>
      <c r="N4378" s="396"/>
      <c r="O4378" s="396"/>
      <c r="P4378" s="396"/>
      <c r="Q4378" s="396"/>
      <c r="R4378" s="396"/>
      <c r="S4378" s="396"/>
      <c r="T4378" s="396"/>
      <c r="U4378" s="388"/>
      <c r="V4378" s="396"/>
      <c r="W4378" s="388"/>
      <c r="X4378" s="396"/>
      <c r="Y4378" s="389"/>
      <c r="Z4378" s="396"/>
      <c r="AA4378" s="388"/>
      <c r="AB4378" s="390"/>
    </row>
    <row r="4379" spans="1:28">
      <c r="A4379" s="391"/>
      <c r="B4379" s="392"/>
      <c r="C4379" s="393" t="s">
        <v>200</v>
      </c>
      <c r="D4379" s="2562">
        <f>VLOOKUP(C4375,'Data Panjang Balok'!$C$9:$N$254,9,FALSE)</f>
        <v>0</v>
      </c>
      <c r="E4379" s="2563"/>
      <c r="F4379" s="2563"/>
      <c r="G4379" s="2563"/>
      <c r="H4379" s="2564"/>
      <c r="I4379" s="397"/>
      <c r="J4379" s="396"/>
      <c r="K4379" s="396"/>
      <c r="L4379" s="396"/>
      <c r="M4379" s="396"/>
      <c r="N4379" s="396"/>
      <c r="O4379" s="396"/>
      <c r="P4379" s="396"/>
      <c r="Q4379" s="396"/>
      <c r="R4379" s="396"/>
      <c r="S4379" s="396"/>
      <c r="T4379" s="396"/>
      <c r="U4379" s="388"/>
      <c r="V4379" s="396"/>
      <c r="W4379" s="388"/>
      <c r="X4379" s="396"/>
      <c r="Y4379" s="389"/>
      <c r="Z4379" s="396"/>
      <c r="AA4379" s="388"/>
      <c r="AB4379" s="390"/>
    </row>
    <row r="4380" spans="1:28">
      <c r="A4380" s="391"/>
      <c r="B4380" s="392"/>
      <c r="C4380" s="393" t="s">
        <v>201</v>
      </c>
      <c r="D4380" s="2562">
        <f>VLOOKUP(C4375,'Data Panjang Balok'!$C$9:$N$254,10,FALSE)</f>
        <v>0</v>
      </c>
      <c r="E4380" s="2563"/>
      <c r="F4380" s="2563"/>
      <c r="G4380" s="2563"/>
      <c r="H4380" s="2564"/>
      <c r="I4380" s="397"/>
      <c r="J4380" s="396"/>
      <c r="K4380" s="396"/>
      <c r="L4380" s="396"/>
      <c r="M4380" s="396"/>
      <c r="N4380" s="396"/>
      <c r="O4380" s="396"/>
      <c r="P4380" s="396"/>
      <c r="Q4380" s="396"/>
      <c r="R4380" s="396"/>
      <c r="S4380" s="396"/>
      <c r="T4380" s="396"/>
      <c r="U4380" s="388"/>
      <c r="V4380" s="396"/>
      <c r="W4380" s="388"/>
      <c r="X4380" s="396"/>
      <c r="Y4380" s="389"/>
      <c r="Z4380" s="396"/>
      <c r="AA4380" s="388"/>
      <c r="AB4380" s="390"/>
    </row>
    <row r="4381" spans="1:28">
      <c r="A4381" s="391"/>
      <c r="B4381" s="392"/>
      <c r="C4381" s="393" t="s">
        <v>48</v>
      </c>
      <c r="D4381" s="2562">
        <f>VLOOKUP(C4375,'Data Panjang Balok'!$C$9:$N$254,3,FALSE)</f>
        <v>1</v>
      </c>
      <c r="E4381" s="2563"/>
      <c r="F4381" s="2563"/>
      <c r="G4381" s="2563"/>
      <c r="H4381" s="2564"/>
      <c r="I4381" s="397"/>
      <c r="J4381" s="396"/>
      <c r="K4381" s="396"/>
      <c r="L4381" s="396"/>
      <c r="M4381" s="396"/>
      <c r="N4381" s="396"/>
      <c r="O4381" s="396"/>
      <c r="P4381" s="396"/>
      <c r="Q4381" s="396"/>
      <c r="R4381" s="396"/>
      <c r="S4381" s="396"/>
      <c r="T4381" s="396"/>
      <c r="U4381" s="388"/>
      <c r="V4381" s="396"/>
      <c r="W4381" s="388"/>
      <c r="X4381" s="396"/>
      <c r="Y4381" s="389"/>
      <c r="Z4381" s="396"/>
      <c r="AA4381" s="388"/>
      <c r="AB4381" s="390"/>
    </row>
    <row r="4382" spans="1:28">
      <c r="A4382" s="384" t="str">
        <f t="shared" ref="A4382:B4382" si="14128">A4375</f>
        <v>Lantai 3</v>
      </c>
      <c r="B4382" s="385">
        <f t="shared" si="14128"/>
        <v>4</v>
      </c>
      <c r="C4382" s="393" t="s">
        <v>202</v>
      </c>
      <c r="D4382" s="398">
        <f>VLOOKUP(D4375,'Detail Balok'!$C$10:$AU$140,4,FALSE)</f>
        <v>3</v>
      </c>
      <c r="E4382" s="388" t="s">
        <v>16</v>
      </c>
      <c r="F4382" s="388">
        <f>VLOOKUP(D4375,'Detail Balok'!$C$10:$AU$140,6,FALSE)</f>
        <v>16</v>
      </c>
      <c r="G4382" s="388"/>
      <c r="H4382" s="395"/>
      <c r="I4382" s="388" t="s">
        <v>203</v>
      </c>
      <c r="J4382" s="399">
        <f t="shared" ref="J4382" si="14129">+D4377/4/1000</f>
        <v>0.26874999999999999</v>
      </c>
      <c r="K4382" s="400" t="s">
        <v>204</v>
      </c>
      <c r="L4382" s="399">
        <f t="shared" ref="L4382" si="14130">MAX(VLOOKUP(F4382,N$6:P$15,3,FALSE)/1000,2/3*D4379/1000)+F$16*F4382/1000</f>
        <v>0.192</v>
      </c>
      <c r="M4382" s="399" t="s">
        <v>176</v>
      </c>
      <c r="N4382" s="399">
        <f t="shared" ref="N4382:N4384" si="14131">J4382+L4382</f>
        <v>0.46074999999999999</v>
      </c>
      <c r="O4382" s="399" t="s">
        <v>204</v>
      </c>
      <c r="P4382" s="389">
        <f t="shared" ref="P4382" si="14132">D4382-D4383</f>
        <v>0</v>
      </c>
      <c r="Q4382" s="399" t="s">
        <v>125</v>
      </c>
      <c r="R4382" s="399">
        <f t="shared" ref="R4382" si="14133">IF(P4382&gt;0,$F$18*F4382/1000,0)</f>
        <v>0</v>
      </c>
      <c r="S4382" s="399" t="s">
        <v>205</v>
      </c>
      <c r="T4382" s="399" t="s">
        <v>125</v>
      </c>
      <c r="U4382" s="401">
        <f t="shared" ref="U4382:U4384" si="14134">0.006165*F4382^2</f>
        <v>1.5782400000000001</v>
      </c>
      <c r="V4382" s="399"/>
      <c r="W4382" s="399"/>
      <c r="X4382" s="399" t="s">
        <v>125</v>
      </c>
      <c r="Y4382" s="389">
        <f t="shared" ref="Y4382" si="14135">D4381</f>
        <v>1</v>
      </c>
      <c r="Z4382" s="400" t="s">
        <v>176</v>
      </c>
      <c r="AA4382" s="402">
        <f t="shared" ref="AA4382" si="14136">IF(AA4385=0,(D4382*N4382+P4382*R4382)*U4382*Y4382,0)</f>
        <v>0</v>
      </c>
      <c r="AB4382" s="403"/>
    </row>
    <row r="4383" spans="1:28">
      <c r="A4383" s="384" t="str">
        <f t="shared" ref="A4383:B4383" si="14137">A4375</f>
        <v>Lantai 3</v>
      </c>
      <c r="B4383" s="385">
        <f t="shared" si="14137"/>
        <v>4</v>
      </c>
      <c r="C4383" s="393" t="s">
        <v>206</v>
      </c>
      <c r="D4383" s="398">
        <f>VLOOKUP(D4375,'Detail Balok'!$C$10:$AU$140,7,FALSE)</f>
        <v>3</v>
      </c>
      <c r="E4383" s="388" t="s">
        <v>16</v>
      </c>
      <c r="F4383" s="388">
        <f>VLOOKUP(D4375,'Detail Balok'!$C$10:$AU$140,9,FALSE)</f>
        <v>16</v>
      </c>
      <c r="G4383" s="388"/>
      <c r="H4383" s="395"/>
      <c r="I4383" s="388" t="s">
        <v>203</v>
      </c>
      <c r="J4383" s="399">
        <f t="shared" ref="J4383" si="14138">+D4377/2/1000</f>
        <v>0.53749999999999998</v>
      </c>
      <c r="K4383" s="400" t="s">
        <v>204</v>
      </c>
      <c r="L4383" s="399"/>
      <c r="M4383" s="399" t="s">
        <v>176</v>
      </c>
      <c r="N4383" s="399">
        <f t="shared" si="14131"/>
        <v>0.53749999999999998</v>
      </c>
      <c r="O4383" s="399" t="s">
        <v>204</v>
      </c>
      <c r="P4383" s="389">
        <f t="shared" ref="P4383" si="14139">MAX(D4383-D4382,D4383-D4384)</f>
        <v>0</v>
      </c>
      <c r="Q4383" s="399" t="s">
        <v>125</v>
      </c>
      <c r="R4383" s="399">
        <f t="shared" ref="R4383" si="14140">IF(P4383&gt;0,2*(1-2*$F$19-1/2)*D4378/1000,0)</f>
        <v>0</v>
      </c>
      <c r="S4383" s="399" t="s">
        <v>205</v>
      </c>
      <c r="T4383" s="399" t="s">
        <v>125</v>
      </c>
      <c r="U4383" s="401">
        <f t="shared" si="14134"/>
        <v>1.5782400000000001</v>
      </c>
      <c r="V4383" s="399"/>
      <c r="W4383" s="399"/>
      <c r="X4383" s="399" t="s">
        <v>125</v>
      </c>
      <c r="Y4383" s="389">
        <f t="shared" ref="Y4383" si="14141">D4381</f>
        <v>1</v>
      </c>
      <c r="Z4383" s="400" t="s">
        <v>176</v>
      </c>
      <c r="AA4383" s="402">
        <f t="shared" ref="AA4383" si="14142">IF(AA4385=0,(D4383*N4383+P4383*R4383)*U4383*Y4383,0)</f>
        <v>0</v>
      </c>
      <c r="AB4383" s="403"/>
    </row>
    <row r="4384" spans="1:28">
      <c r="A4384" s="384" t="str">
        <f t="shared" ref="A4384:B4384" si="14143">A4375</f>
        <v>Lantai 3</v>
      </c>
      <c r="B4384" s="385">
        <f t="shared" si="14143"/>
        <v>4</v>
      </c>
      <c r="C4384" s="393" t="s">
        <v>202</v>
      </c>
      <c r="D4384" s="398">
        <f>VLOOKUP(D4375,'Detail Balok'!$C$10:$AU$140,10,FALSE)</f>
        <v>3</v>
      </c>
      <c r="E4384" s="388" t="s">
        <v>16</v>
      </c>
      <c r="F4384" s="388">
        <f>VLOOKUP(D4375,'Detail Balok'!$C$10:$AU$140,12,FALSE)</f>
        <v>16</v>
      </c>
      <c r="G4384" s="388"/>
      <c r="H4384" s="395"/>
      <c r="I4384" s="388" t="s">
        <v>203</v>
      </c>
      <c r="J4384" s="399">
        <f t="shared" ref="J4384" si="14144">+D4377/4/1000</f>
        <v>0.26874999999999999</v>
      </c>
      <c r="K4384" s="400" t="s">
        <v>204</v>
      </c>
      <c r="L4384" s="399">
        <f t="shared" ref="L4384" si="14145">MAX(VLOOKUP(F4384,N$6:P$15,3,FALSE)/1000,2/3*D4379/1000)+F$16*F4384/1000</f>
        <v>0.192</v>
      </c>
      <c r="M4384" s="399" t="s">
        <v>176</v>
      </c>
      <c r="N4384" s="399">
        <f t="shared" si="14131"/>
        <v>0.46074999999999999</v>
      </c>
      <c r="O4384" s="399" t="s">
        <v>204</v>
      </c>
      <c r="P4384" s="389">
        <f t="shared" ref="P4384" si="14146">D4384-D4383</f>
        <v>0</v>
      </c>
      <c r="Q4384" s="399" t="s">
        <v>125</v>
      </c>
      <c r="R4384" s="399">
        <f t="shared" ref="R4384" si="14147">IF(P4384&gt;0,$F$18*F4384/1000,0)</f>
        <v>0</v>
      </c>
      <c r="S4384" s="399" t="s">
        <v>205</v>
      </c>
      <c r="T4384" s="399" t="s">
        <v>125</v>
      </c>
      <c r="U4384" s="401">
        <f t="shared" si="14134"/>
        <v>1.5782400000000001</v>
      </c>
      <c r="V4384" s="399"/>
      <c r="W4384" s="399"/>
      <c r="X4384" s="399" t="s">
        <v>125</v>
      </c>
      <c r="Y4384" s="389">
        <f t="shared" ref="Y4384" si="14148">D4381</f>
        <v>1</v>
      </c>
      <c r="Z4384" s="400" t="s">
        <v>176</v>
      </c>
      <c r="AA4384" s="402">
        <f t="shared" ref="AA4384" si="14149">IF(AA4385=0,(D4384*N4384+P4384*R4384)*U4384*Y4384,0)</f>
        <v>0</v>
      </c>
      <c r="AB4384" s="403"/>
    </row>
    <row r="4385" spans="1:28">
      <c r="A4385" s="384" t="str">
        <f t="shared" ref="A4385:B4385" si="14150">A4375</f>
        <v>Lantai 3</v>
      </c>
      <c r="B4385" s="385">
        <f t="shared" si="14150"/>
        <v>4</v>
      </c>
      <c r="C4385" s="393"/>
      <c r="D4385" s="398">
        <f t="shared" si="14046"/>
        <v>3</v>
      </c>
      <c r="E4385" s="388" t="s">
        <v>16</v>
      </c>
      <c r="F4385" s="388">
        <f t="shared" si="14047"/>
        <v>16</v>
      </c>
      <c r="G4385" s="388"/>
      <c r="H4385" s="395"/>
      <c r="I4385" s="388"/>
      <c r="J4385" s="396"/>
      <c r="K4385" s="396"/>
      <c r="L4385" s="404" t="s">
        <v>207</v>
      </c>
      <c r="M4385" s="399" t="s">
        <v>176</v>
      </c>
      <c r="N4385" s="399">
        <f t="shared" ref="N4385" si="14151">IF(AND(D4382=D4383,D4382=D4384,D4383=D4384,F4382=F4383,F4382=F4384,F4383=F4384),SUM(N4382:N4384),0)</f>
        <v>1.4590000000000001</v>
      </c>
      <c r="O4385" s="399" t="s">
        <v>204</v>
      </c>
      <c r="P4385" s="389">
        <f t="shared" ref="P4385" si="14152">IF(N4385&gt;12,ROUNDDOWN(N4385/12,0),0)</f>
        <v>0</v>
      </c>
      <c r="Q4385" s="399" t="s">
        <v>125</v>
      </c>
      <c r="R4385" s="399">
        <f t="shared" ref="R4385" si="14153">IF(P4385&gt;0,MAX(VLOOKUP(F4385,$D$6:$G$15,3,FALSE),600),0)/1000</f>
        <v>0</v>
      </c>
      <c r="S4385" s="396"/>
      <c r="T4385" s="396" t="s">
        <v>125</v>
      </c>
      <c r="U4385" s="401">
        <f t="shared" si="14051"/>
        <v>1.5782400000000001</v>
      </c>
      <c r="V4385" s="396" t="s">
        <v>125</v>
      </c>
      <c r="W4385" s="399">
        <f t="shared" ref="W4385" si="14154">D4385</f>
        <v>3</v>
      </c>
      <c r="X4385" s="399" t="s">
        <v>125</v>
      </c>
      <c r="Y4385" s="389">
        <f t="shared" si="14053"/>
        <v>1</v>
      </c>
      <c r="Z4385" s="400" t="s">
        <v>176</v>
      </c>
      <c r="AA4385" s="402">
        <f t="shared" ref="AA4385" si="14155">(N4385+P4385*R4385/1000)*U4385*W4385*Y4385</f>
        <v>6.9079564800000002</v>
      </c>
      <c r="AB4385" s="390"/>
    </row>
    <row r="4386" spans="1:28">
      <c r="A4386" s="384"/>
      <c r="B4386" s="385"/>
      <c r="C4386" s="393"/>
      <c r="D4386" s="398"/>
      <c r="E4386" s="388"/>
      <c r="F4386" s="388"/>
      <c r="G4386" s="388"/>
      <c r="H4386" s="395"/>
      <c r="I4386" s="388"/>
      <c r="J4386" s="396"/>
      <c r="K4386" s="396"/>
      <c r="L4386" s="404"/>
      <c r="M4386" s="399"/>
      <c r="N4386" s="399"/>
      <c r="O4386" s="396"/>
      <c r="P4386" s="389"/>
      <c r="Q4386" s="396"/>
      <c r="R4386" s="396"/>
      <c r="S4386" s="396"/>
      <c r="T4386" s="396"/>
      <c r="U4386" s="401"/>
      <c r="V4386" s="396"/>
      <c r="W4386" s="399"/>
      <c r="X4386" s="396"/>
      <c r="Y4386" s="389"/>
      <c r="Z4386" s="396"/>
      <c r="AA4386" s="388"/>
      <c r="AB4386" s="390"/>
    </row>
    <row r="4387" spans="1:28">
      <c r="A4387" s="384" t="str">
        <f t="shared" ref="A4387:B4387" si="14156">A4375</f>
        <v>Lantai 3</v>
      </c>
      <c r="B4387" s="385">
        <f t="shared" si="14156"/>
        <v>4</v>
      </c>
      <c r="C4387" s="393" t="s">
        <v>208</v>
      </c>
      <c r="D4387" s="398">
        <f>VLOOKUP(D4375,'Detail Balok'!$C$10:$AU$140,13,FALSE)</f>
        <v>0</v>
      </c>
      <c r="E4387" s="388" t="s">
        <v>16</v>
      </c>
      <c r="F4387" s="388">
        <f>VLOOKUP(D4375,'Detail Balok'!$C$10:$AU$140,15,FALSE)</f>
        <v>8</v>
      </c>
      <c r="G4387" s="388"/>
      <c r="H4387" s="395"/>
      <c r="I4387" s="388"/>
      <c r="J4387" s="399">
        <f t="shared" ref="J4387" si="14157">+D4377/1000</f>
        <v>1.075</v>
      </c>
      <c r="K4387" s="400" t="s">
        <v>204</v>
      </c>
      <c r="L4387" s="399">
        <f t="shared" ref="L4387" si="14158">2*$F$16*F4387/1000</f>
        <v>0.192</v>
      </c>
      <c r="M4387" s="399" t="s">
        <v>176</v>
      </c>
      <c r="N4387" s="399">
        <f t="shared" ref="N4387" si="14159">J4387+L4387</f>
        <v>1.2669999999999999</v>
      </c>
      <c r="O4387" s="399" t="s">
        <v>204</v>
      </c>
      <c r="P4387" s="389">
        <f t="shared" ref="P4387" si="14160">IF(N4387&gt;12,ROUNDDOWN(N4387/12,0),0)</f>
        <v>0</v>
      </c>
      <c r="Q4387" s="399" t="s">
        <v>125</v>
      </c>
      <c r="R4387" s="399">
        <f t="shared" ref="R4387" si="14161">IF(P4387&gt;0,MAX(VLOOKUP(F4387,$D$6:$G$15,3,FALSE),600),0)/1000</f>
        <v>0</v>
      </c>
      <c r="S4387" s="399"/>
      <c r="T4387" s="399" t="s">
        <v>125</v>
      </c>
      <c r="U4387" s="401">
        <f t="shared" ref="U4387" si="14162">0.006165*F4387^2</f>
        <v>0.39456000000000002</v>
      </c>
      <c r="V4387" s="399" t="s">
        <v>125</v>
      </c>
      <c r="W4387" s="399">
        <f t="shared" ref="W4387" si="14163">+D4387</f>
        <v>0</v>
      </c>
      <c r="X4387" s="399" t="s">
        <v>125</v>
      </c>
      <c r="Y4387" s="389">
        <f t="shared" ref="Y4387" si="14164">D4381</f>
        <v>1</v>
      </c>
      <c r="Z4387" s="400" t="s">
        <v>176</v>
      </c>
      <c r="AA4387" s="402">
        <f t="shared" ref="AA4387" si="14165">(N4387+P4387*R4387/1000)*U4387*W4387*Y4387</f>
        <v>0</v>
      </c>
      <c r="AB4387" s="403"/>
    </row>
    <row r="4388" spans="1:28">
      <c r="A4388" s="384"/>
      <c r="B4388" s="385"/>
      <c r="C4388" s="393"/>
      <c r="D4388" s="398"/>
      <c r="E4388" s="388"/>
      <c r="F4388" s="388"/>
      <c r="G4388" s="388"/>
      <c r="H4388" s="395"/>
      <c r="I4388" s="388"/>
      <c r="J4388" s="399"/>
      <c r="K4388" s="400"/>
      <c r="L4388" s="399"/>
      <c r="M4388" s="399"/>
      <c r="N4388" s="399"/>
      <c r="O4388" s="399"/>
      <c r="P4388" s="389"/>
      <c r="Q4388" s="399"/>
      <c r="R4388" s="399"/>
      <c r="S4388" s="399"/>
      <c r="T4388" s="399"/>
      <c r="U4388" s="401"/>
      <c r="V4388" s="399"/>
      <c r="W4388" s="399"/>
      <c r="X4388" s="399"/>
      <c r="Y4388" s="389"/>
      <c r="Z4388" s="400"/>
      <c r="AA4388" s="402"/>
      <c r="AB4388" s="403"/>
    </row>
    <row r="4389" spans="1:28">
      <c r="A4389" s="384"/>
      <c r="B4389" s="385"/>
      <c r="C4389" s="393"/>
      <c r="D4389" s="398"/>
      <c r="E4389" s="388"/>
      <c r="F4389" s="388"/>
      <c r="G4389" s="388"/>
      <c r="H4389" s="395"/>
      <c r="I4389" s="388"/>
      <c r="J4389" s="396"/>
      <c r="K4389" s="396"/>
      <c r="L4389" s="396"/>
      <c r="M4389" s="396"/>
      <c r="N4389" s="396"/>
      <c r="O4389" s="396"/>
      <c r="P4389" s="389"/>
      <c r="Q4389" s="396"/>
      <c r="R4389" s="396"/>
      <c r="S4389" s="396"/>
      <c r="T4389" s="396"/>
      <c r="U4389" s="401"/>
      <c r="V4389" s="396"/>
      <c r="W4389" s="399"/>
      <c r="X4389" s="396"/>
      <c r="Y4389" s="389"/>
      <c r="Z4389" s="396"/>
      <c r="AA4389" s="388"/>
      <c r="AB4389" s="390"/>
    </row>
    <row r="4390" spans="1:28">
      <c r="A4390" s="384" t="str">
        <f t="shared" ref="A4390:B4390" si="14166">A4375</f>
        <v>Lantai 3</v>
      </c>
      <c r="B4390" s="385">
        <f t="shared" si="14166"/>
        <v>4</v>
      </c>
      <c r="C4390" s="393" t="s">
        <v>209</v>
      </c>
      <c r="D4390" s="398">
        <f>VLOOKUP(D4375,'Detail Balok'!$C$10:$AU$140,22,FALSE)</f>
        <v>3</v>
      </c>
      <c r="E4390" s="388" t="s">
        <v>16</v>
      </c>
      <c r="F4390" s="388">
        <f>VLOOKUP(D4375,'Detail Balok'!$C$10:$AU$140,24,FALSE)</f>
        <v>16</v>
      </c>
      <c r="G4390" s="388"/>
      <c r="H4390" s="395"/>
      <c r="I4390" s="388" t="s">
        <v>203</v>
      </c>
      <c r="J4390" s="399">
        <f t="shared" si="14066"/>
        <v>0.26874999999999999</v>
      </c>
      <c r="K4390" s="400" t="s">
        <v>204</v>
      </c>
      <c r="L4390" s="399">
        <f t="shared" ref="L4390" si="14167">MAX(VLOOKUP(F4390,N$6:P$15,3,FALSE)/1000,2/3*D4380/1000)+F$16*F4390/1000</f>
        <v>0.192</v>
      </c>
      <c r="M4390" s="399" t="s">
        <v>176</v>
      </c>
      <c r="N4390" s="399">
        <f t="shared" ref="N4390:N4392" si="14168">J4390+L4390</f>
        <v>0.46074999999999999</v>
      </c>
      <c r="O4390" s="399" t="s">
        <v>204</v>
      </c>
      <c r="P4390" s="389">
        <f t="shared" ref="P4390" si="14169">D4390-D4391</f>
        <v>0</v>
      </c>
      <c r="Q4390" s="399" t="s">
        <v>125</v>
      </c>
      <c r="R4390" s="399">
        <f t="shared" ref="R4390" si="14170">IF(P4390&gt;0,$F$18*F4390/1000,0)</f>
        <v>0</v>
      </c>
      <c r="S4390" s="399" t="s">
        <v>205</v>
      </c>
      <c r="T4390" s="399" t="s">
        <v>125</v>
      </c>
      <c r="U4390" s="401">
        <f t="shared" ref="U4390:U4392" si="14171">0.006165*F4390^2</f>
        <v>1.5782400000000001</v>
      </c>
      <c r="V4390" s="399"/>
      <c r="W4390" s="399"/>
      <c r="X4390" s="399" t="s">
        <v>125</v>
      </c>
      <c r="Y4390" s="389">
        <f t="shared" ref="Y4390" si="14172">D4381</f>
        <v>1</v>
      </c>
      <c r="Z4390" s="400" t="s">
        <v>176</v>
      </c>
      <c r="AA4390" s="402">
        <f t="shared" ref="AA4390" si="14173">IF(AA4393=0,(D4390*N4390+P4390*R4390)*U4390*Y4390,0)</f>
        <v>0</v>
      </c>
      <c r="AB4390" s="403"/>
    </row>
    <row r="4391" spans="1:28">
      <c r="A4391" s="384" t="str">
        <f t="shared" ref="A4391:B4391" si="14174">A4375</f>
        <v>Lantai 3</v>
      </c>
      <c r="B4391" s="385">
        <f t="shared" si="14174"/>
        <v>4</v>
      </c>
      <c r="C4391" s="393" t="s">
        <v>210</v>
      </c>
      <c r="D4391" s="398">
        <f>VLOOKUP(D4375,'Detail Balok'!$C$10:$AU$140,25,FALSE)</f>
        <v>3</v>
      </c>
      <c r="E4391" s="388" t="s">
        <v>16</v>
      </c>
      <c r="F4391" s="388">
        <f>VLOOKUP(D4375,'Detail Balok'!$C$10:$AU$140,27,FALSE)</f>
        <v>16</v>
      </c>
      <c r="G4391" s="388"/>
      <c r="H4391" s="395"/>
      <c r="I4391" s="388" t="s">
        <v>203</v>
      </c>
      <c r="J4391" s="399">
        <f t="shared" si="14066"/>
        <v>0.53749999999999998</v>
      </c>
      <c r="K4391" s="400" t="s">
        <v>204</v>
      </c>
      <c r="L4391" s="399"/>
      <c r="M4391" s="399" t="s">
        <v>176</v>
      </c>
      <c r="N4391" s="399">
        <f t="shared" si="14168"/>
        <v>0.53749999999999998</v>
      </c>
      <c r="O4391" s="399" t="s">
        <v>204</v>
      </c>
      <c r="P4391" s="389">
        <f t="shared" ref="P4391" si="14175">MAX(D4391-D4390,D4391-D4392)</f>
        <v>0</v>
      </c>
      <c r="Q4391" s="399" t="s">
        <v>125</v>
      </c>
      <c r="R4391" s="399">
        <f t="shared" ref="R4391" si="14176">IF(P4391&gt;0,2*(1-2*$F$19-1/2)*D4378/1000,0)</f>
        <v>0</v>
      </c>
      <c r="S4391" s="399" t="s">
        <v>205</v>
      </c>
      <c r="T4391" s="399" t="s">
        <v>125</v>
      </c>
      <c r="U4391" s="401">
        <f t="shared" si="14171"/>
        <v>1.5782400000000001</v>
      </c>
      <c r="V4391" s="399"/>
      <c r="W4391" s="399"/>
      <c r="X4391" s="399" t="s">
        <v>125</v>
      </c>
      <c r="Y4391" s="389">
        <f t="shared" ref="Y4391" si="14177">D4381</f>
        <v>1</v>
      </c>
      <c r="Z4391" s="400" t="s">
        <v>176</v>
      </c>
      <c r="AA4391" s="402">
        <f t="shared" ref="AA4391" si="14178">IF(AA4393=0,(D4391*N4391+P4391*R4391)*U4391*Y4391,0)</f>
        <v>0</v>
      </c>
      <c r="AB4391" s="403"/>
    </row>
    <row r="4392" spans="1:28">
      <c r="A4392" s="384" t="str">
        <f t="shared" ref="A4392:B4392" si="14179">A4375</f>
        <v>Lantai 3</v>
      </c>
      <c r="B4392" s="385">
        <f t="shared" si="14179"/>
        <v>4</v>
      </c>
      <c r="C4392" s="393" t="s">
        <v>209</v>
      </c>
      <c r="D4392" s="398">
        <f>VLOOKUP(D4375,'Detail Balok'!$C$10:$AU$140,28,FALSE)</f>
        <v>3</v>
      </c>
      <c r="E4392" s="388" t="s">
        <v>16</v>
      </c>
      <c r="F4392" s="388">
        <f>VLOOKUP(D4375,'Detail Balok'!$C$10:$AU$140,30,FALSE)</f>
        <v>16</v>
      </c>
      <c r="G4392" s="388"/>
      <c r="H4392" s="395"/>
      <c r="I4392" s="388" t="s">
        <v>203</v>
      </c>
      <c r="J4392" s="399">
        <f t="shared" si="14066"/>
        <v>0.26874999999999999</v>
      </c>
      <c r="K4392" s="400" t="s">
        <v>204</v>
      </c>
      <c r="L4392" s="399">
        <f t="shared" ref="L4392" si="14180">MAX(VLOOKUP(F4392,N$6:P$15,3,FALSE)/1000,2/3*D4380/1000)+F$16*F4392/1000</f>
        <v>0.192</v>
      </c>
      <c r="M4392" s="399" t="s">
        <v>176</v>
      </c>
      <c r="N4392" s="399">
        <f t="shared" si="14168"/>
        <v>0.46074999999999999</v>
      </c>
      <c r="O4392" s="399" t="s">
        <v>204</v>
      </c>
      <c r="P4392" s="389">
        <f t="shared" ref="P4392" si="14181">D4392-D4391</f>
        <v>0</v>
      </c>
      <c r="Q4392" s="399" t="s">
        <v>125</v>
      </c>
      <c r="R4392" s="399">
        <f t="shared" ref="R4392" si="14182">IF(P4392&gt;0,$F$18*F4392/1000,0)</f>
        <v>0</v>
      </c>
      <c r="S4392" s="399" t="s">
        <v>205</v>
      </c>
      <c r="T4392" s="399" t="s">
        <v>125</v>
      </c>
      <c r="U4392" s="401">
        <f t="shared" si="14171"/>
        <v>1.5782400000000001</v>
      </c>
      <c r="V4392" s="399"/>
      <c r="W4392" s="399"/>
      <c r="X4392" s="399" t="s">
        <v>125</v>
      </c>
      <c r="Y4392" s="389">
        <f t="shared" ref="Y4392" si="14183">D4381</f>
        <v>1</v>
      </c>
      <c r="Z4392" s="400" t="s">
        <v>176</v>
      </c>
      <c r="AA4392" s="402">
        <f t="shared" ref="AA4392" si="14184">IF(AA4393=0,(D4392*N4392+P4392*R4392)*U4392*Y4392,0)</f>
        <v>0</v>
      </c>
      <c r="AB4392" s="403"/>
    </row>
    <row r="4393" spans="1:28">
      <c r="A4393" s="384" t="str">
        <f t="shared" ref="A4393:B4393" si="14185">A4375</f>
        <v>Lantai 3</v>
      </c>
      <c r="B4393" s="385">
        <f t="shared" si="14185"/>
        <v>4</v>
      </c>
      <c r="C4393" s="393"/>
      <c r="D4393" s="398">
        <f t="shared" si="14086"/>
        <v>3</v>
      </c>
      <c r="E4393" s="388" t="s">
        <v>16</v>
      </c>
      <c r="F4393" s="388">
        <f t="shared" si="14087"/>
        <v>16</v>
      </c>
      <c r="G4393" s="388"/>
      <c r="H4393" s="395"/>
      <c r="I4393" s="388"/>
      <c r="J4393" s="396"/>
      <c r="K4393" s="396"/>
      <c r="L4393" s="404" t="s">
        <v>207</v>
      </c>
      <c r="M4393" s="399" t="s">
        <v>176</v>
      </c>
      <c r="N4393" s="399">
        <f t="shared" ref="N4393" si="14186">IF(AND(D4390=D4391,D4390=D4392,D4391=D4392,F4390=F4391,F4390=F4392,F4391=F4392),SUM(N4390:N4392),0)</f>
        <v>1.4590000000000001</v>
      </c>
      <c r="O4393" s="399" t="s">
        <v>204</v>
      </c>
      <c r="P4393" s="389">
        <f t="shared" ref="P4393" si="14187">IF(N4393&gt;12,ROUNDDOWN(N4393/12,0),0)</f>
        <v>0</v>
      </c>
      <c r="Q4393" s="399" t="s">
        <v>125</v>
      </c>
      <c r="R4393" s="399">
        <f t="shared" ref="R4393" si="14188">IF(P4393&gt;0,MAX(VLOOKUP(F4393,$D$6:$G$15,3,FALSE),600),0)/1000</f>
        <v>0</v>
      </c>
      <c r="S4393" s="396"/>
      <c r="T4393" s="396" t="s">
        <v>125</v>
      </c>
      <c r="U4393" s="401">
        <f t="shared" si="14091"/>
        <v>1.5782400000000001</v>
      </c>
      <c r="V4393" s="396" t="s">
        <v>125</v>
      </c>
      <c r="W4393" s="399">
        <f t="shared" ref="W4393" si="14189">D4393</f>
        <v>3</v>
      </c>
      <c r="X4393" s="399" t="s">
        <v>125</v>
      </c>
      <c r="Y4393" s="389">
        <f t="shared" si="14093"/>
        <v>1</v>
      </c>
      <c r="Z4393" s="400" t="s">
        <v>176</v>
      </c>
      <c r="AA4393" s="402">
        <f t="shared" ref="AA4393" si="14190">(N4393+P4393*R4393/1000)*U4393*W4393*Y4393</f>
        <v>6.9079564800000002</v>
      </c>
      <c r="AB4393" s="403"/>
    </row>
    <row r="4394" spans="1:28">
      <c r="A4394" s="384"/>
      <c r="B4394" s="385"/>
      <c r="C4394" s="393"/>
      <c r="D4394" s="394"/>
      <c r="E4394" s="388"/>
      <c r="F4394" s="388"/>
      <c r="G4394" s="388"/>
      <c r="H4394" s="395"/>
      <c r="I4394" s="388"/>
      <c r="J4394" s="399"/>
      <c r="K4394" s="396"/>
      <c r="L4394" s="396"/>
      <c r="M4394" s="396"/>
      <c r="N4394" s="396"/>
      <c r="O4394" s="396"/>
      <c r="P4394" s="389"/>
      <c r="Q4394" s="396"/>
      <c r="R4394" s="396"/>
      <c r="S4394" s="396"/>
      <c r="T4394" s="396"/>
      <c r="U4394" s="401"/>
      <c r="V4394" s="396"/>
      <c r="W4394" s="388"/>
      <c r="X4394" s="396"/>
      <c r="Y4394" s="389"/>
      <c r="Z4394" s="396"/>
      <c r="AA4394" s="388"/>
      <c r="AB4394" s="390"/>
    </row>
    <row r="4395" spans="1:28">
      <c r="A4395" s="384" t="str">
        <f t="shared" ref="A4395:B4395" si="14191">A4375</f>
        <v>Lantai 3</v>
      </c>
      <c r="B4395" s="385">
        <f t="shared" si="14191"/>
        <v>4</v>
      </c>
      <c r="C4395" s="393" t="s">
        <v>211</v>
      </c>
      <c r="D4395" s="398">
        <f>VLOOKUP(D4375,'Detail Balok'!$C$10:$AU$140,31,FALSE)</f>
        <v>0</v>
      </c>
      <c r="E4395" s="388" t="s">
        <v>16</v>
      </c>
      <c r="F4395" s="388">
        <f>VLOOKUP(D4375,'Detail Balok'!$C$10:$AU$140,33,FALSE)</f>
        <v>10</v>
      </c>
      <c r="G4395" s="405" t="s">
        <v>157</v>
      </c>
      <c r="H4395" s="395">
        <f>VLOOKUP(D4375,'Detail Balok'!$C$10:$AU$140,35,FALSE)</f>
        <v>100</v>
      </c>
      <c r="I4395" s="388"/>
      <c r="J4395" s="400">
        <f t="shared" ref="J4395" si="14192">(IF(D4395=0,(2*(D4376+G4376))-(F$5*8),IF(D4395=3,(2*(D4376+G4376))-(F$5*8)+(G4376-2*F$5),IF(D4395=4,(2*(D4376+G4376))-(F$5*8)+2*(G4376-2*F$5)))))/1000</f>
        <v>0.88</v>
      </c>
      <c r="K4395" s="400" t="s">
        <v>204</v>
      </c>
      <c r="L4395" s="399">
        <f t="shared" ref="L4395:L4397" si="14193">IF(D4395=0,2*MAX(6*F4395,75),(D4395-1)*2*MAX(6*F4395,75))/1000</f>
        <v>0.15</v>
      </c>
      <c r="M4395" s="399" t="s">
        <v>176</v>
      </c>
      <c r="N4395" s="399">
        <f t="shared" ref="N4395:N4397" si="14194">J4395+L4395</f>
        <v>1.03</v>
      </c>
      <c r="O4395" s="399"/>
      <c r="P4395" s="389"/>
      <c r="Q4395" s="399"/>
      <c r="R4395" s="399"/>
      <c r="S4395" s="399"/>
      <c r="T4395" s="399" t="s">
        <v>125</v>
      </c>
      <c r="U4395" s="401">
        <f t="shared" ref="U4395:U4397" si="14195">0.006165*F4395^2</f>
        <v>0.61650000000000005</v>
      </c>
      <c r="V4395" s="399" t="s">
        <v>125</v>
      </c>
      <c r="W4395" s="399">
        <f t="shared" ref="W4395" si="14196">IF(D4378&gt;4*G4376,ROUND(MAX(D4378/4,2*G4376)/H4395,0)+1,ROUND(D4378/H4395,0)+1)</f>
        <v>12</v>
      </c>
      <c r="X4395" s="399" t="s">
        <v>125</v>
      </c>
      <c r="Y4395" s="389">
        <f t="shared" ref="Y4395" si="14197">D4381</f>
        <v>1</v>
      </c>
      <c r="Z4395" s="400" t="s">
        <v>176</v>
      </c>
      <c r="AA4395" s="402">
        <f t="shared" ref="AA4395:AA4397" si="14198">N4395*U4395*W4395*Y4395</f>
        <v>7.6199400000000015</v>
      </c>
      <c r="AB4395" s="403"/>
    </row>
    <row r="4396" spans="1:28">
      <c r="A4396" s="384" t="str">
        <f t="shared" ref="A4396:B4396" si="14199">A4375</f>
        <v>Lantai 3</v>
      </c>
      <c r="B4396" s="385">
        <f t="shared" si="14199"/>
        <v>4</v>
      </c>
      <c r="C4396" s="393" t="s">
        <v>212</v>
      </c>
      <c r="D4396" s="398">
        <f>VLOOKUP(D4375,'Detail Balok'!$C$10:$AU$140,36,FALSE)</f>
        <v>0</v>
      </c>
      <c r="E4396" s="388" t="s">
        <v>16</v>
      </c>
      <c r="F4396" s="388">
        <f>VLOOKUP(D4375,'Detail Balok'!$C$10:$AU$140,38,FALSE)</f>
        <v>10</v>
      </c>
      <c r="G4396" s="405" t="s">
        <v>157</v>
      </c>
      <c r="H4396" s="395">
        <f>VLOOKUP(D4375,'Detail Balok'!$C$10:$AU$140,40,FALSE)</f>
        <v>100</v>
      </c>
      <c r="I4396" s="388"/>
      <c r="J4396" s="400">
        <f t="shared" ref="J4396" si="14200">(IF(D4396=0,(2*(D4376+G4376))-(F$5*8),IF(D4396=3,(2*(D4376+G4376))-(F$5*8)+(G4376-2*F$5),IF(D4396=4,(2*(D4376+G4376))-(F$5*8)+2*(G4376-2*F$5)))))/1000</f>
        <v>0.88</v>
      </c>
      <c r="K4396" s="400" t="s">
        <v>204</v>
      </c>
      <c r="L4396" s="399">
        <f t="shared" si="14193"/>
        <v>0.15</v>
      </c>
      <c r="M4396" s="399" t="s">
        <v>176</v>
      </c>
      <c r="N4396" s="399">
        <f t="shared" si="14194"/>
        <v>1.03</v>
      </c>
      <c r="O4396" s="399"/>
      <c r="P4396" s="389"/>
      <c r="Q4396" s="399"/>
      <c r="R4396" s="399"/>
      <c r="S4396" s="399"/>
      <c r="T4396" s="399" t="s">
        <v>125</v>
      </c>
      <c r="U4396" s="401">
        <f t="shared" si="14195"/>
        <v>0.61650000000000005</v>
      </c>
      <c r="V4396" s="399" t="s">
        <v>125</v>
      </c>
      <c r="W4396" s="399">
        <f t="shared" ref="W4396" si="14201">IF(D4378-MAX(D4378/4,2*G4376)*2&gt;0,ROUND((D4378-MAX(D4378/4,2*G4376)*2)/H4396,0),0)</f>
        <v>0</v>
      </c>
      <c r="X4396" s="399" t="s">
        <v>125</v>
      </c>
      <c r="Y4396" s="389">
        <f t="shared" ref="Y4396" si="14202">D4381</f>
        <v>1</v>
      </c>
      <c r="Z4396" s="400" t="s">
        <v>176</v>
      </c>
      <c r="AA4396" s="402">
        <f t="shared" si="14198"/>
        <v>0</v>
      </c>
      <c r="AB4396" s="403"/>
    </row>
    <row r="4397" spans="1:28">
      <c r="A4397" s="384" t="str">
        <f t="shared" ref="A4397:B4397" si="14203">A4375</f>
        <v>Lantai 3</v>
      </c>
      <c r="B4397" s="385">
        <f t="shared" si="14203"/>
        <v>4</v>
      </c>
      <c r="C4397" s="393" t="s">
        <v>211</v>
      </c>
      <c r="D4397" s="398">
        <f>VLOOKUP(D4375,'Detail Balok'!$C$10:$AU$140,41,FALSE)</f>
        <v>0</v>
      </c>
      <c r="E4397" s="388" t="s">
        <v>16</v>
      </c>
      <c r="F4397" s="388">
        <f>VLOOKUP(D4375,'Detail Balok'!$C$10:$AU$140,43,FALSE)</f>
        <v>10</v>
      </c>
      <c r="G4397" s="405" t="s">
        <v>157</v>
      </c>
      <c r="H4397" s="395">
        <f>VLOOKUP(D4375,'Detail Balok'!$C$10:$AU$140,45,FALSE)</f>
        <v>100</v>
      </c>
      <c r="I4397" s="388"/>
      <c r="J4397" s="400">
        <f t="shared" ref="J4397" si="14204">(IF(D4397=0,(2*(D4376+G4376))-(F$5*8),IF(D4397=3,(2*(D4376+G4376))-(F$5*8)+(G4376-2*F$5),IF(D4397=4,(2*(D4376+G4376))-(F$5*8)+2*(G4376-2*F$5)))))/1000</f>
        <v>0.88</v>
      </c>
      <c r="K4397" s="400" t="s">
        <v>204</v>
      </c>
      <c r="L4397" s="399">
        <f t="shared" si="14193"/>
        <v>0.15</v>
      </c>
      <c r="M4397" s="399" t="s">
        <v>176</v>
      </c>
      <c r="N4397" s="399">
        <f t="shared" si="14194"/>
        <v>1.03</v>
      </c>
      <c r="O4397" s="399"/>
      <c r="P4397" s="389"/>
      <c r="Q4397" s="399"/>
      <c r="R4397" s="399"/>
      <c r="S4397" s="399"/>
      <c r="T4397" s="399" t="s">
        <v>125</v>
      </c>
      <c r="U4397" s="401">
        <f t="shared" si="14195"/>
        <v>0.61650000000000005</v>
      </c>
      <c r="V4397" s="399" t="s">
        <v>125</v>
      </c>
      <c r="W4397" s="399">
        <f t="shared" ref="W4397" si="14205">IF(D4378&gt;4*G4376,ROUND(MAX(D4378/4,2*G4376)/H4397,0)+1,0)</f>
        <v>0</v>
      </c>
      <c r="X4397" s="399" t="s">
        <v>125</v>
      </c>
      <c r="Y4397" s="389">
        <f t="shared" ref="Y4397" si="14206">D4381</f>
        <v>1</v>
      </c>
      <c r="Z4397" s="400" t="s">
        <v>176</v>
      </c>
      <c r="AA4397" s="402">
        <f t="shared" si="14198"/>
        <v>0</v>
      </c>
      <c r="AB4397" s="403"/>
    </row>
    <row r="4398" spans="1:28">
      <c r="A4398" s="384"/>
      <c r="B4398" s="385"/>
      <c r="C4398" s="393"/>
      <c r="D4398" s="394"/>
      <c r="E4398" s="388"/>
      <c r="F4398" s="388"/>
      <c r="G4398" s="388"/>
      <c r="H4398" s="395"/>
      <c r="I4398" s="388"/>
      <c r="J4398" s="399"/>
      <c r="K4398" s="396"/>
      <c r="L4398" s="396"/>
      <c r="M4398" s="396"/>
      <c r="N4398" s="396"/>
      <c r="O4398" s="396"/>
      <c r="P4398" s="389"/>
      <c r="Q4398" s="396"/>
      <c r="R4398" s="396"/>
      <c r="S4398" s="396"/>
      <c r="T4398" s="396"/>
      <c r="U4398" s="401"/>
      <c r="V4398" s="396"/>
      <c r="W4398" s="388"/>
      <c r="X4398" s="396"/>
      <c r="Y4398" s="389"/>
      <c r="Z4398" s="396"/>
      <c r="AA4398" s="388"/>
      <c r="AB4398" s="390"/>
    </row>
    <row r="4399" spans="1:28">
      <c r="A4399" s="384" t="str">
        <f t="shared" ref="A4399:B4399" si="14207">A4375</f>
        <v>Lantai 3</v>
      </c>
      <c r="B4399" s="385">
        <f t="shared" si="14207"/>
        <v>4</v>
      </c>
      <c r="C4399" s="393" t="s">
        <v>213</v>
      </c>
      <c r="D4399" s="398">
        <f>VLOOKUP(D4375,'Detail Balok'!$C$10:$BJ$140,46,FALSE)</f>
        <v>0</v>
      </c>
      <c r="E4399" s="388" t="s">
        <v>16</v>
      </c>
      <c r="F4399" s="388">
        <f>VLOOKUP(D4375,'Detail Balok'!$C$10:$BJ$140,48,FALSE)</f>
        <v>0</v>
      </c>
      <c r="G4399" s="405" t="s">
        <v>157</v>
      </c>
      <c r="H4399" s="395">
        <f>VLOOKUP(D4375,'Detail Balok'!$C$10:$BJ$140,50,FALSE)</f>
        <v>100</v>
      </c>
      <c r="I4399" s="388"/>
      <c r="J4399" s="399">
        <f t="shared" ref="J4399" si="14208">(D4376-2*F$5)/1000</f>
        <v>0.12</v>
      </c>
      <c r="K4399" s="400" t="s">
        <v>204</v>
      </c>
      <c r="L4399" s="399">
        <f t="shared" ref="L4399:L4401" si="14209">IF(D4399=0,2*MAX(6*F4399,75),(D4399-1)*2*MAX(6*F4399,75))/1000</f>
        <v>0.15</v>
      </c>
      <c r="M4399" s="399" t="s">
        <v>176</v>
      </c>
      <c r="N4399" s="399">
        <f t="shared" ref="N4399:N4401" si="14210">J4399+L4399</f>
        <v>0.27</v>
      </c>
      <c r="O4399" s="399"/>
      <c r="P4399" s="399"/>
      <c r="Q4399" s="399"/>
      <c r="R4399" s="399"/>
      <c r="S4399" s="399"/>
      <c r="T4399" s="399" t="s">
        <v>125</v>
      </c>
      <c r="U4399" s="401">
        <f t="shared" ref="U4399:U4401" si="14211">0.006165*F4399^2</f>
        <v>0</v>
      </c>
      <c r="V4399" s="399" t="s">
        <v>125</v>
      </c>
      <c r="W4399" s="399">
        <f t="shared" si="14116"/>
        <v>12</v>
      </c>
      <c r="X4399" s="399" t="s">
        <v>125</v>
      </c>
      <c r="Y4399" s="389">
        <f t="shared" ref="Y4399" si="14212">D4385</f>
        <v>3</v>
      </c>
      <c r="Z4399" s="400" t="s">
        <v>176</v>
      </c>
      <c r="AA4399" s="402">
        <f t="shared" ref="AA4399:AA4401" si="14213">N4399*U4399*W4399*Y4399</f>
        <v>0</v>
      </c>
      <c r="AB4399" s="403"/>
    </row>
    <row r="4400" spans="1:28">
      <c r="A4400" s="384" t="str">
        <f t="shared" ref="A4400:B4400" si="14214">A4375</f>
        <v>Lantai 3</v>
      </c>
      <c r="B4400" s="385">
        <f t="shared" si="14214"/>
        <v>4</v>
      </c>
      <c r="C4400" s="393" t="s">
        <v>214</v>
      </c>
      <c r="D4400" s="398">
        <f>VLOOKUP(D4375,'Detail Balok'!$C$10:$BJ$140,51,FALSE)</f>
        <v>0</v>
      </c>
      <c r="E4400" s="388" t="s">
        <v>16</v>
      </c>
      <c r="F4400" s="388">
        <f>VLOOKUP(D4375,'Detail Balok'!$C$10:$BJ$140,53,FALSE)</f>
        <v>0</v>
      </c>
      <c r="G4400" s="405" t="s">
        <v>157</v>
      </c>
      <c r="H4400" s="395">
        <f>VLOOKUP(D4375,'Detail Balok'!$C$10:$BJ$140,55,FALSE)</f>
        <v>100</v>
      </c>
      <c r="I4400" s="388"/>
      <c r="J4400" s="399">
        <f t="shared" ref="J4400" si="14215">(D4376-2*F$5)/1000</f>
        <v>0.12</v>
      </c>
      <c r="K4400" s="400" t="s">
        <v>204</v>
      </c>
      <c r="L4400" s="399">
        <f t="shared" si="14209"/>
        <v>0.15</v>
      </c>
      <c r="M4400" s="399" t="s">
        <v>176</v>
      </c>
      <c r="N4400" s="399">
        <f t="shared" si="14210"/>
        <v>0.27</v>
      </c>
      <c r="O4400" s="399"/>
      <c r="P4400" s="399"/>
      <c r="Q4400" s="399"/>
      <c r="R4400" s="399"/>
      <c r="S4400" s="399"/>
      <c r="T4400" s="399" t="s">
        <v>125</v>
      </c>
      <c r="U4400" s="401">
        <f t="shared" si="14211"/>
        <v>0</v>
      </c>
      <c r="V4400" s="399" t="s">
        <v>125</v>
      </c>
      <c r="W4400" s="399">
        <f t="shared" si="14116"/>
        <v>0</v>
      </c>
      <c r="X4400" s="399" t="s">
        <v>125</v>
      </c>
      <c r="Y4400" s="389">
        <f t="shared" ref="Y4400" si="14216">D4385</f>
        <v>3</v>
      </c>
      <c r="Z4400" s="400" t="s">
        <v>176</v>
      </c>
      <c r="AA4400" s="402">
        <f t="shared" si="14213"/>
        <v>0</v>
      </c>
      <c r="AB4400" s="403"/>
    </row>
    <row r="4401" spans="1:28">
      <c r="A4401" s="384" t="str">
        <f t="shared" ref="A4401:B4401" si="14217">A4375</f>
        <v>Lantai 3</v>
      </c>
      <c r="B4401" s="385">
        <f t="shared" si="14217"/>
        <v>4</v>
      </c>
      <c r="C4401" s="393" t="s">
        <v>213</v>
      </c>
      <c r="D4401" s="398">
        <f>VLOOKUP(D4375,'Detail Balok'!$C$10:$BJ$140,56,FALSE)</f>
        <v>0</v>
      </c>
      <c r="E4401" s="388" t="s">
        <v>16</v>
      </c>
      <c r="F4401" s="388">
        <f>VLOOKUP(D4375,'Detail Balok'!$C$10:$BJ$140,58,FALSE)</f>
        <v>0</v>
      </c>
      <c r="G4401" s="405" t="s">
        <v>157</v>
      </c>
      <c r="H4401" s="395">
        <f>VLOOKUP(D4375,'Detail Balok'!$C$10:$BJ$140,60,FALSE)</f>
        <v>100</v>
      </c>
      <c r="I4401" s="388"/>
      <c r="J4401" s="399">
        <f t="shared" ref="J4401" si="14218">(D4376-2*F$5)/1000</f>
        <v>0.12</v>
      </c>
      <c r="K4401" s="400" t="s">
        <v>204</v>
      </c>
      <c r="L4401" s="399">
        <f t="shared" si="14209"/>
        <v>0.15</v>
      </c>
      <c r="M4401" s="399" t="s">
        <v>176</v>
      </c>
      <c r="N4401" s="399">
        <f t="shared" si="14210"/>
        <v>0.27</v>
      </c>
      <c r="O4401" s="399"/>
      <c r="P4401" s="399"/>
      <c r="Q4401" s="399"/>
      <c r="R4401" s="399"/>
      <c r="S4401" s="399"/>
      <c r="T4401" s="399" t="s">
        <v>125</v>
      </c>
      <c r="U4401" s="401">
        <f t="shared" si="14211"/>
        <v>0</v>
      </c>
      <c r="V4401" s="399" t="s">
        <v>125</v>
      </c>
      <c r="W4401" s="399">
        <f t="shared" si="14116"/>
        <v>0</v>
      </c>
      <c r="X4401" s="399" t="s">
        <v>125</v>
      </c>
      <c r="Y4401" s="389">
        <f t="shared" ref="Y4401" si="14219">D4385</f>
        <v>3</v>
      </c>
      <c r="Z4401" s="400" t="s">
        <v>176</v>
      </c>
      <c r="AA4401" s="402">
        <f t="shared" si="14213"/>
        <v>0</v>
      </c>
      <c r="AB4401" s="403"/>
    </row>
    <row r="4402" spans="1:28">
      <c r="A4402" s="391"/>
      <c r="B4402" s="392"/>
      <c r="C4402" s="392"/>
      <c r="D4402" s="394"/>
      <c r="E4402" s="388"/>
      <c r="F4402" s="388"/>
      <c r="G4402" s="388"/>
      <c r="H4402" s="395"/>
      <c r="I4402" s="388"/>
      <c r="J4402" s="402"/>
      <c r="K4402" s="388"/>
      <c r="L4402" s="388"/>
      <c r="M4402" s="388"/>
      <c r="N4402" s="388"/>
      <c r="O4402" s="388"/>
      <c r="P4402" s="388"/>
      <c r="Q4402" s="388"/>
      <c r="R4402" s="388"/>
      <c r="S4402" s="388"/>
      <c r="T4402" s="388"/>
      <c r="U4402" s="388"/>
      <c r="V4402" s="388"/>
      <c r="W4402" s="388"/>
      <c r="X4402" s="388"/>
      <c r="Y4402" s="389"/>
      <c r="Z4402" s="388"/>
      <c r="AA4402" s="402"/>
      <c r="AB4402" s="403"/>
    </row>
    <row r="4403" spans="1:28" ht="15.75" thickBot="1">
      <c r="A4403" s="406"/>
      <c r="B4403" s="407"/>
      <c r="C4403" s="407"/>
      <c r="D4403" s="408"/>
      <c r="E4403" s="409"/>
      <c r="F4403" s="409"/>
      <c r="G4403" s="409"/>
      <c r="H4403" s="410"/>
      <c r="I4403" s="409"/>
      <c r="J4403" s="409"/>
      <c r="K4403" s="409"/>
      <c r="L4403" s="409"/>
      <c r="M4403" s="409"/>
      <c r="N4403" s="409"/>
      <c r="O4403" s="409"/>
      <c r="P4403" s="409"/>
      <c r="Q4403" s="409"/>
      <c r="R4403" s="409"/>
      <c r="S4403" s="409"/>
      <c r="T4403" s="409"/>
      <c r="U4403" s="409"/>
      <c r="V4403" s="409"/>
      <c r="W4403" s="409"/>
      <c r="X4403" s="409"/>
      <c r="Y4403" s="411"/>
      <c r="Z4403" s="409"/>
      <c r="AA4403" s="412"/>
      <c r="AB4403" s="413"/>
    </row>
    <row r="4404" spans="1:28">
      <c r="A4404" s="377"/>
      <c r="B4404" s="378"/>
      <c r="C4404" s="378"/>
      <c r="D4404" s="379"/>
      <c r="E4404" s="380"/>
      <c r="F4404" s="380"/>
      <c r="G4404" s="380"/>
      <c r="H4404" s="381"/>
      <c r="I4404" s="380"/>
      <c r="J4404" s="380"/>
      <c r="K4404" s="380"/>
      <c r="L4404" s="380"/>
      <c r="M4404" s="380"/>
      <c r="N4404" s="380"/>
      <c r="O4404" s="380"/>
      <c r="P4404" s="380"/>
      <c r="Q4404" s="380"/>
      <c r="R4404" s="380"/>
      <c r="S4404" s="380"/>
      <c r="T4404" s="380"/>
      <c r="U4404" s="380"/>
      <c r="V4404" s="380"/>
      <c r="W4404" s="380"/>
      <c r="X4404" s="380"/>
      <c r="Y4404" s="382"/>
      <c r="Z4404" s="380"/>
      <c r="AA4404" s="380"/>
      <c r="AB4404" s="383"/>
    </row>
    <row r="4405" spans="1:28">
      <c r="A4405" s="384" t="str">
        <f t="shared" si="14125"/>
        <v>Lantai 3</v>
      </c>
      <c r="B4405" s="385">
        <f t="shared" si="14126"/>
        <v>5</v>
      </c>
      <c r="C4405" s="386" t="str">
        <f t="shared" ref="C4405" si="14220">CONCATENATE(A4405," no. ",B4405)</f>
        <v>Lantai 3 no. 5</v>
      </c>
      <c r="D4405" s="2562" t="str">
        <f>VLOOKUP(C4405,'Data Panjang Balok'!$C$9:$N$254,2,FALSE)</f>
        <v>B24-2</v>
      </c>
      <c r="E4405" s="2576"/>
      <c r="F4405" s="2576"/>
      <c r="G4405" s="2576"/>
      <c r="H4405" s="2577"/>
      <c r="I4405" s="387"/>
      <c r="J4405" s="388"/>
      <c r="K4405" s="388"/>
      <c r="L4405" s="388"/>
      <c r="M4405" s="388"/>
      <c r="N4405" s="388"/>
      <c r="O4405" s="388"/>
      <c r="P4405" s="388"/>
      <c r="Q4405" s="388"/>
      <c r="R4405" s="388"/>
      <c r="S4405" s="388"/>
      <c r="T4405" s="388"/>
      <c r="U4405" s="388"/>
      <c r="V4405" s="388"/>
      <c r="W4405" s="388"/>
      <c r="X4405" s="388"/>
      <c r="Y4405" s="389"/>
      <c r="Z4405" s="388"/>
      <c r="AA4405" s="388"/>
      <c r="AB4405" s="390"/>
    </row>
    <row r="4406" spans="1:28">
      <c r="A4406" s="391"/>
      <c r="B4406" s="392"/>
      <c r="C4406" s="393" t="s">
        <v>118</v>
      </c>
      <c r="D4406" s="2578">
        <f>VLOOKUP(D4405,'Detail Balok'!$C$10:$AU$140,2,FALSE)</f>
        <v>200</v>
      </c>
      <c r="E4406" s="2579"/>
      <c r="F4406" s="388" t="s">
        <v>125</v>
      </c>
      <c r="G4406" s="2579">
        <f>VLOOKUP(D4405,'Detail Balok'!$C$10:$AU$140,3,FALSE)</f>
        <v>400</v>
      </c>
      <c r="H4406" s="2580"/>
      <c r="I4406" s="388"/>
      <c r="J4406" s="396"/>
      <c r="K4406" s="396"/>
      <c r="L4406" s="396"/>
      <c r="M4406" s="396"/>
      <c r="N4406" s="396"/>
      <c r="O4406" s="396"/>
      <c r="P4406" s="396"/>
      <c r="Q4406" s="396"/>
      <c r="R4406" s="396"/>
      <c r="S4406" s="396"/>
      <c r="T4406" s="396"/>
      <c r="U4406" s="388"/>
      <c r="V4406" s="396"/>
      <c r="W4406" s="388"/>
      <c r="X4406" s="396"/>
      <c r="Y4406" s="389"/>
      <c r="Z4406" s="396"/>
      <c r="AA4406" s="388"/>
      <c r="AB4406" s="390"/>
    </row>
    <row r="4407" spans="1:28">
      <c r="A4407" s="391"/>
      <c r="B4407" s="392"/>
      <c r="C4407" s="393" t="s">
        <v>198</v>
      </c>
      <c r="D4407" s="2562">
        <f>VLOOKUP(C4405,'Data Panjang Balok'!$C$9:$N$254,4,FALSE)</f>
        <v>9075</v>
      </c>
      <c r="E4407" s="2563"/>
      <c r="F4407" s="2563"/>
      <c r="G4407" s="2563"/>
      <c r="H4407" s="2564"/>
      <c r="I4407" s="397"/>
      <c r="J4407" s="396"/>
      <c r="K4407" s="396"/>
      <c r="L4407" s="396"/>
      <c r="M4407" s="396"/>
      <c r="N4407" s="396"/>
      <c r="O4407" s="396"/>
      <c r="P4407" s="396"/>
      <c r="Q4407" s="396"/>
      <c r="R4407" s="396"/>
      <c r="S4407" s="396"/>
      <c r="T4407" s="396"/>
      <c r="U4407" s="388"/>
      <c r="V4407" s="396"/>
      <c r="W4407" s="388"/>
      <c r="X4407" s="396"/>
      <c r="Y4407" s="389"/>
      <c r="Z4407" s="396"/>
      <c r="AA4407" s="388"/>
      <c r="AB4407" s="390"/>
    </row>
    <row r="4408" spans="1:28">
      <c r="A4408" s="391"/>
      <c r="B4408" s="392"/>
      <c r="C4408" s="393" t="s">
        <v>199</v>
      </c>
      <c r="D4408" s="2562">
        <f>VLOOKUP(C4405,'Data Panjang Balok'!$C$9:$N$254,7,FALSE)</f>
        <v>9075</v>
      </c>
      <c r="E4408" s="2563"/>
      <c r="F4408" s="2563"/>
      <c r="G4408" s="2563"/>
      <c r="H4408" s="2564"/>
      <c r="I4408" s="397"/>
      <c r="J4408" s="396"/>
      <c r="K4408" s="396"/>
      <c r="L4408" s="396"/>
      <c r="M4408" s="396"/>
      <c r="N4408" s="396"/>
      <c r="O4408" s="396"/>
      <c r="P4408" s="396"/>
      <c r="Q4408" s="396"/>
      <c r="R4408" s="396"/>
      <c r="S4408" s="396"/>
      <c r="T4408" s="396"/>
      <c r="U4408" s="388"/>
      <c r="V4408" s="396"/>
      <c r="W4408" s="388"/>
      <c r="X4408" s="396"/>
      <c r="Y4408" s="389"/>
      <c r="Z4408" s="396"/>
      <c r="AA4408" s="388"/>
      <c r="AB4408" s="390"/>
    </row>
    <row r="4409" spans="1:28">
      <c r="A4409" s="391"/>
      <c r="B4409" s="392"/>
      <c r="C4409" s="393" t="s">
        <v>200</v>
      </c>
      <c r="D4409" s="2562">
        <f>VLOOKUP(C4405,'Data Panjang Balok'!$C$9:$N$254,9,FALSE)</f>
        <v>0</v>
      </c>
      <c r="E4409" s="2563"/>
      <c r="F4409" s="2563"/>
      <c r="G4409" s="2563"/>
      <c r="H4409" s="2564"/>
      <c r="I4409" s="397"/>
      <c r="J4409" s="396"/>
      <c r="K4409" s="396"/>
      <c r="L4409" s="396"/>
      <c r="M4409" s="396"/>
      <c r="N4409" s="396"/>
      <c r="O4409" s="396"/>
      <c r="P4409" s="396"/>
      <c r="Q4409" s="396"/>
      <c r="R4409" s="396"/>
      <c r="S4409" s="396"/>
      <c r="T4409" s="396"/>
      <c r="U4409" s="388"/>
      <c r="V4409" s="396"/>
      <c r="W4409" s="388"/>
      <c r="X4409" s="396"/>
      <c r="Y4409" s="389"/>
      <c r="Z4409" s="396"/>
      <c r="AA4409" s="388"/>
      <c r="AB4409" s="390"/>
    </row>
    <row r="4410" spans="1:28">
      <c r="A4410" s="391"/>
      <c r="B4410" s="392"/>
      <c r="C4410" s="393" t="s">
        <v>201</v>
      </c>
      <c r="D4410" s="2562">
        <f>VLOOKUP(C4405,'Data Panjang Balok'!$C$9:$N$254,10,FALSE)</f>
        <v>0</v>
      </c>
      <c r="E4410" s="2563"/>
      <c r="F4410" s="2563"/>
      <c r="G4410" s="2563"/>
      <c r="H4410" s="2564"/>
      <c r="I4410" s="397"/>
      <c r="J4410" s="396"/>
      <c r="K4410" s="396"/>
      <c r="L4410" s="396"/>
      <c r="M4410" s="396"/>
      <c r="N4410" s="396"/>
      <c r="O4410" s="396"/>
      <c r="P4410" s="396"/>
      <c r="Q4410" s="396"/>
      <c r="R4410" s="396"/>
      <c r="S4410" s="396"/>
      <c r="T4410" s="396"/>
      <c r="U4410" s="388"/>
      <c r="V4410" s="396"/>
      <c r="W4410" s="388"/>
      <c r="X4410" s="396"/>
      <c r="Y4410" s="389"/>
      <c r="Z4410" s="396"/>
      <c r="AA4410" s="388"/>
      <c r="AB4410" s="390"/>
    </row>
    <row r="4411" spans="1:28">
      <c r="A4411" s="391"/>
      <c r="B4411" s="392"/>
      <c r="C4411" s="393" t="s">
        <v>48</v>
      </c>
      <c r="D4411" s="2562">
        <f>VLOOKUP(C4405,'Data Panjang Balok'!$C$9:$N$254,3,FALSE)</f>
        <v>1</v>
      </c>
      <c r="E4411" s="2563"/>
      <c r="F4411" s="2563"/>
      <c r="G4411" s="2563"/>
      <c r="H4411" s="2564"/>
      <c r="I4411" s="397"/>
      <c r="J4411" s="396"/>
      <c r="K4411" s="396"/>
      <c r="L4411" s="396"/>
      <c r="M4411" s="396"/>
      <c r="N4411" s="396"/>
      <c r="O4411" s="396"/>
      <c r="P4411" s="396"/>
      <c r="Q4411" s="396"/>
      <c r="R4411" s="396"/>
      <c r="S4411" s="396"/>
      <c r="T4411" s="396"/>
      <c r="U4411" s="388"/>
      <c r="V4411" s="396"/>
      <c r="W4411" s="388"/>
      <c r="X4411" s="396"/>
      <c r="Y4411" s="389"/>
      <c r="Z4411" s="396"/>
      <c r="AA4411" s="388"/>
      <c r="AB4411" s="390"/>
    </row>
    <row r="4412" spans="1:28">
      <c r="A4412" s="384" t="str">
        <f t="shared" ref="A4412:B4412" si="14221">A4405</f>
        <v>Lantai 3</v>
      </c>
      <c r="B4412" s="385">
        <f t="shared" si="14221"/>
        <v>5</v>
      </c>
      <c r="C4412" s="393" t="s">
        <v>202</v>
      </c>
      <c r="D4412" s="398">
        <f>VLOOKUP(D4405,'Detail Balok'!$C$10:$AU$140,4,FALSE)</f>
        <v>3</v>
      </c>
      <c r="E4412" s="388" t="s">
        <v>16</v>
      </c>
      <c r="F4412" s="388">
        <f>VLOOKUP(D4405,'Detail Balok'!$C$10:$AU$140,6,FALSE)</f>
        <v>16</v>
      </c>
      <c r="G4412" s="388"/>
      <c r="H4412" s="395"/>
      <c r="I4412" s="388" t="s">
        <v>203</v>
      </c>
      <c r="J4412" s="399">
        <f t="shared" ref="J4412" si="14222">+D4407/4/1000</f>
        <v>2.2687499999999998</v>
      </c>
      <c r="K4412" s="400" t="s">
        <v>204</v>
      </c>
      <c r="L4412" s="399">
        <f t="shared" ref="L4412" si="14223">MAX(VLOOKUP(F4412,N$6:P$15,3,FALSE)/1000,2/3*D4409/1000)+F$16*F4412/1000</f>
        <v>0.192</v>
      </c>
      <c r="M4412" s="399" t="s">
        <v>176</v>
      </c>
      <c r="N4412" s="399">
        <f t="shared" ref="N4412:N4414" si="14224">J4412+L4412</f>
        <v>2.46075</v>
      </c>
      <c r="O4412" s="399" t="s">
        <v>204</v>
      </c>
      <c r="P4412" s="389">
        <f t="shared" ref="P4412" si="14225">D4412-D4413</f>
        <v>0</v>
      </c>
      <c r="Q4412" s="399" t="s">
        <v>125</v>
      </c>
      <c r="R4412" s="399">
        <f t="shared" ref="R4412" si="14226">IF(P4412&gt;0,$F$18*F4412/1000,0)</f>
        <v>0</v>
      </c>
      <c r="S4412" s="399" t="s">
        <v>205</v>
      </c>
      <c r="T4412" s="399" t="s">
        <v>125</v>
      </c>
      <c r="U4412" s="401">
        <f t="shared" ref="U4412:U4414" si="14227">0.006165*F4412^2</f>
        <v>1.5782400000000001</v>
      </c>
      <c r="V4412" s="399"/>
      <c r="W4412" s="399"/>
      <c r="X4412" s="399" t="s">
        <v>125</v>
      </c>
      <c r="Y4412" s="389">
        <f t="shared" ref="Y4412" si="14228">D4411</f>
        <v>1</v>
      </c>
      <c r="Z4412" s="400" t="s">
        <v>176</v>
      </c>
      <c r="AA4412" s="402">
        <f t="shared" ref="AA4412" si="14229">IF(AA4415=0,(D4412*N4412+P4412*R4412)*U4412*Y4412,0)</f>
        <v>0</v>
      </c>
      <c r="AB4412" s="403"/>
    </row>
    <row r="4413" spans="1:28">
      <c r="A4413" s="384" t="str">
        <f t="shared" ref="A4413:B4413" si="14230">A4405</f>
        <v>Lantai 3</v>
      </c>
      <c r="B4413" s="385">
        <f t="shared" si="14230"/>
        <v>5</v>
      </c>
      <c r="C4413" s="393" t="s">
        <v>206</v>
      </c>
      <c r="D4413" s="398">
        <f>VLOOKUP(D4405,'Detail Balok'!$C$10:$AU$140,7,FALSE)</f>
        <v>3</v>
      </c>
      <c r="E4413" s="388" t="s">
        <v>16</v>
      </c>
      <c r="F4413" s="388">
        <f>VLOOKUP(D4405,'Detail Balok'!$C$10:$AU$140,9,FALSE)</f>
        <v>16</v>
      </c>
      <c r="G4413" s="388"/>
      <c r="H4413" s="395"/>
      <c r="I4413" s="388" t="s">
        <v>203</v>
      </c>
      <c r="J4413" s="399">
        <f t="shared" ref="J4413" si="14231">+D4407/2/1000</f>
        <v>4.5374999999999996</v>
      </c>
      <c r="K4413" s="400" t="s">
        <v>204</v>
      </c>
      <c r="L4413" s="399"/>
      <c r="M4413" s="399" t="s">
        <v>176</v>
      </c>
      <c r="N4413" s="399">
        <f t="shared" si="14224"/>
        <v>4.5374999999999996</v>
      </c>
      <c r="O4413" s="399" t="s">
        <v>204</v>
      </c>
      <c r="P4413" s="389">
        <f t="shared" ref="P4413" si="14232">MAX(D4413-D4412,D4413-D4414)</f>
        <v>0</v>
      </c>
      <c r="Q4413" s="399" t="s">
        <v>125</v>
      </c>
      <c r="R4413" s="399">
        <f t="shared" ref="R4413" si="14233">IF(P4413&gt;0,2*(1-2*$F$19-1/2)*D4408/1000,0)</f>
        <v>0</v>
      </c>
      <c r="S4413" s="399" t="s">
        <v>205</v>
      </c>
      <c r="T4413" s="399" t="s">
        <v>125</v>
      </c>
      <c r="U4413" s="401">
        <f t="shared" si="14227"/>
        <v>1.5782400000000001</v>
      </c>
      <c r="V4413" s="399"/>
      <c r="W4413" s="399"/>
      <c r="X4413" s="399" t="s">
        <v>125</v>
      </c>
      <c r="Y4413" s="389">
        <f t="shared" ref="Y4413" si="14234">D4411</f>
        <v>1</v>
      </c>
      <c r="Z4413" s="400" t="s">
        <v>176</v>
      </c>
      <c r="AA4413" s="402">
        <f t="shared" ref="AA4413" si="14235">IF(AA4415=0,(D4413*N4413+P4413*R4413)*U4413*Y4413,0)</f>
        <v>0</v>
      </c>
      <c r="AB4413" s="403"/>
    </row>
    <row r="4414" spans="1:28">
      <c r="A4414" s="384" t="str">
        <f t="shared" ref="A4414:B4414" si="14236">A4405</f>
        <v>Lantai 3</v>
      </c>
      <c r="B4414" s="385">
        <f t="shared" si="14236"/>
        <v>5</v>
      </c>
      <c r="C4414" s="393" t="s">
        <v>202</v>
      </c>
      <c r="D4414" s="398">
        <f>VLOOKUP(D4405,'Detail Balok'!$C$10:$AU$140,10,FALSE)</f>
        <v>3</v>
      </c>
      <c r="E4414" s="388" t="s">
        <v>16</v>
      </c>
      <c r="F4414" s="388">
        <f>VLOOKUP(D4405,'Detail Balok'!$C$10:$AU$140,12,FALSE)</f>
        <v>16</v>
      </c>
      <c r="G4414" s="388"/>
      <c r="H4414" s="395"/>
      <c r="I4414" s="388" t="s">
        <v>203</v>
      </c>
      <c r="J4414" s="399">
        <f t="shared" ref="J4414" si="14237">+D4407/4/1000</f>
        <v>2.2687499999999998</v>
      </c>
      <c r="K4414" s="400" t="s">
        <v>204</v>
      </c>
      <c r="L4414" s="399">
        <f t="shared" ref="L4414" si="14238">MAX(VLOOKUP(F4414,N$6:P$15,3,FALSE)/1000,2/3*D4409/1000)+F$16*F4414/1000</f>
        <v>0.192</v>
      </c>
      <c r="M4414" s="399" t="s">
        <v>176</v>
      </c>
      <c r="N4414" s="399">
        <f t="shared" si="14224"/>
        <v>2.46075</v>
      </c>
      <c r="O4414" s="399" t="s">
        <v>204</v>
      </c>
      <c r="P4414" s="389">
        <f t="shared" ref="P4414" si="14239">D4414-D4413</f>
        <v>0</v>
      </c>
      <c r="Q4414" s="399" t="s">
        <v>125</v>
      </c>
      <c r="R4414" s="399">
        <f t="shared" ref="R4414" si="14240">IF(P4414&gt;0,$F$18*F4414/1000,0)</f>
        <v>0</v>
      </c>
      <c r="S4414" s="399" t="s">
        <v>205</v>
      </c>
      <c r="T4414" s="399" t="s">
        <v>125</v>
      </c>
      <c r="U4414" s="401">
        <f t="shared" si="14227"/>
        <v>1.5782400000000001</v>
      </c>
      <c r="V4414" s="399"/>
      <c r="W4414" s="399"/>
      <c r="X4414" s="399" t="s">
        <v>125</v>
      </c>
      <c r="Y4414" s="389">
        <f t="shared" ref="Y4414" si="14241">D4411</f>
        <v>1</v>
      </c>
      <c r="Z4414" s="400" t="s">
        <v>176</v>
      </c>
      <c r="AA4414" s="402">
        <f t="shared" ref="AA4414" si="14242">IF(AA4415=0,(D4414*N4414+P4414*R4414)*U4414*Y4414,0)</f>
        <v>0</v>
      </c>
      <c r="AB4414" s="403"/>
    </row>
    <row r="4415" spans="1:28">
      <c r="A4415" s="384" t="str">
        <f t="shared" ref="A4415:B4415" si="14243">A4405</f>
        <v>Lantai 3</v>
      </c>
      <c r="B4415" s="385">
        <f t="shared" si="14243"/>
        <v>5</v>
      </c>
      <c r="C4415" s="393"/>
      <c r="D4415" s="398">
        <f t="shared" si="14046"/>
        <v>3</v>
      </c>
      <c r="E4415" s="388" t="s">
        <v>16</v>
      </c>
      <c r="F4415" s="388">
        <f t="shared" si="14047"/>
        <v>16</v>
      </c>
      <c r="G4415" s="388"/>
      <c r="H4415" s="395"/>
      <c r="I4415" s="388"/>
      <c r="J4415" s="396"/>
      <c r="K4415" s="396"/>
      <c r="L4415" s="404" t="s">
        <v>207</v>
      </c>
      <c r="M4415" s="399" t="s">
        <v>176</v>
      </c>
      <c r="N4415" s="399">
        <f t="shared" ref="N4415" si="14244">IF(AND(D4412=D4413,D4412=D4414,D4413=D4414,F4412=F4413,F4412=F4414,F4413=F4414),SUM(N4412:N4414),0)</f>
        <v>9.4589999999999996</v>
      </c>
      <c r="O4415" s="399" t="s">
        <v>204</v>
      </c>
      <c r="P4415" s="389">
        <f t="shared" ref="P4415" si="14245">IF(N4415&gt;12,ROUNDDOWN(N4415/12,0),0)</f>
        <v>0</v>
      </c>
      <c r="Q4415" s="399" t="s">
        <v>125</v>
      </c>
      <c r="R4415" s="399">
        <f t="shared" ref="R4415" si="14246">IF(P4415&gt;0,MAX(VLOOKUP(F4415,$D$6:$G$15,3,FALSE),600),0)/1000</f>
        <v>0</v>
      </c>
      <c r="S4415" s="396"/>
      <c r="T4415" s="396" t="s">
        <v>125</v>
      </c>
      <c r="U4415" s="401">
        <f t="shared" si="14051"/>
        <v>1.5782400000000001</v>
      </c>
      <c r="V4415" s="396" t="s">
        <v>125</v>
      </c>
      <c r="W4415" s="399">
        <f t="shared" ref="W4415" si="14247">D4415</f>
        <v>3</v>
      </c>
      <c r="X4415" s="399" t="s">
        <v>125</v>
      </c>
      <c r="Y4415" s="389">
        <f t="shared" si="14053"/>
        <v>1</v>
      </c>
      <c r="Z4415" s="400" t="s">
        <v>176</v>
      </c>
      <c r="AA4415" s="402">
        <f t="shared" ref="AA4415" si="14248">(N4415+P4415*R4415/1000)*U4415*W4415*Y4415</f>
        <v>44.785716479999998</v>
      </c>
      <c r="AB4415" s="390"/>
    </row>
    <row r="4416" spans="1:28">
      <c r="A4416" s="384"/>
      <c r="B4416" s="385"/>
      <c r="C4416" s="393"/>
      <c r="D4416" s="398"/>
      <c r="E4416" s="388"/>
      <c r="F4416" s="388"/>
      <c r="G4416" s="388"/>
      <c r="H4416" s="395"/>
      <c r="I4416" s="388"/>
      <c r="J4416" s="396"/>
      <c r="K4416" s="396"/>
      <c r="L4416" s="404"/>
      <c r="M4416" s="399"/>
      <c r="N4416" s="399"/>
      <c r="O4416" s="396"/>
      <c r="P4416" s="389"/>
      <c r="Q4416" s="396"/>
      <c r="R4416" s="396"/>
      <c r="S4416" s="396"/>
      <c r="T4416" s="396"/>
      <c r="U4416" s="401"/>
      <c r="V4416" s="396"/>
      <c r="W4416" s="399"/>
      <c r="X4416" s="396"/>
      <c r="Y4416" s="389"/>
      <c r="Z4416" s="396"/>
      <c r="AA4416" s="388"/>
      <c r="AB4416" s="390"/>
    </row>
    <row r="4417" spans="1:28">
      <c r="A4417" s="384" t="str">
        <f t="shared" ref="A4417:B4417" si="14249">A4405</f>
        <v>Lantai 3</v>
      </c>
      <c r="B4417" s="385">
        <f t="shared" si="14249"/>
        <v>5</v>
      </c>
      <c r="C4417" s="393" t="s">
        <v>208</v>
      </c>
      <c r="D4417" s="398">
        <f>VLOOKUP(D4405,'Detail Balok'!$C$10:$AU$140,13,FALSE)</f>
        <v>0</v>
      </c>
      <c r="E4417" s="388" t="s">
        <v>16</v>
      </c>
      <c r="F4417" s="388">
        <f>VLOOKUP(D4405,'Detail Balok'!$C$10:$AU$140,15,FALSE)</f>
        <v>8</v>
      </c>
      <c r="G4417" s="388"/>
      <c r="H4417" s="395"/>
      <c r="I4417" s="388"/>
      <c r="J4417" s="399">
        <f t="shared" ref="J4417" si="14250">+D4407/1000</f>
        <v>9.0749999999999993</v>
      </c>
      <c r="K4417" s="400" t="s">
        <v>204</v>
      </c>
      <c r="L4417" s="399">
        <f t="shared" ref="L4417" si="14251">2*$F$16*F4417/1000</f>
        <v>0.192</v>
      </c>
      <c r="M4417" s="399" t="s">
        <v>176</v>
      </c>
      <c r="N4417" s="399">
        <f t="shared" ref="N4417" si="14252">J4417+L4417</f>
        <v>9.2669999999999995</v>
      </c>
      <c r="O4417" s="399" t="s">
        <v>204</v>
      </c>
      <c r="P4417" s="389">
        <f t="shared" ref="P4417" si="14253">IF(N4417&gt;12,ROUNDDOWN(N4417/12,0),0)</f>
        <v>0</v>
      </c>
      <c r="Q4417" s="399" t="s">
        <v>125</v>
      </c>
      <c r="R4417" s="399">
        <f t="shared" ref="R4417" si="14254">IF(P4417&gt;0,MAX(VLOOKUP(F4417,$D$6:$G$15,3,FALSE),600),0)/1000</f>
        <v>0</v>
      </c>
      <c r="S4417" s="399"/>
      <c r="T4417" s="399" t="s">
        <v>125</v>
      </c>
      <c r="U4417" s="401">
        <f t="shared" ref="U4417" si="14255">0.006165*F4417^2</f>
        <v>0.39456000000000002</v>
      </c>
      <c r="V4417" s="399" t="s">
        <v>125</v>
      </c>
      <c r="W4417" s="399">
        <f t="shared" ref="W4417" si="14256">+D4417</f>
        <v>0</v>
      </c>
      <c r="X4417" s="399" t="s">
        <v>125</v>
      </c>
      <c r="Y4417" s="389">
        <f t="shared" ref="Y4417" si="14257">D4411</f>
        <v>1</v>
      </c>
      <c r="Z4417" s="400" t="s">
        <v>176</v>
      </c>
      <c r="AA4417" s="402">
        <f t="shared" ref="AA4417" si="14258">(N4417+P4417*R4417/1000)*U4417*W4417*Y4417</f>
        <v>0</v>
      </c>
      <c r="AB4417" s="403"/>
    </row>
    <row r="4418" spans="1:28">
      <c r="A4418" s="384"/>
      <c r="B4418" s="385"/>
      <c r="C4418" s="393"/>
      <c r="D4418" s="398"/>
      <c r="E4418" s="388"/>
      <c r="F4418" s="388"/>
      <c r="G4418" s="388"/>
      <c r="H4418" s="395"/>
      <c r="I4418" s="388"/>
      <c r="J4418" s="399"/>
      <c r="K4418" s="400"/>
      <c r="L4418" s="399"/>
      <c r="M4418" s="399"/>
      <c r="N4418" s="399"/>
      <c r="O4418" s="399"/>
      <c r="P4418" s="389"/>
      <c r="Q4418" s="399"/>
      <c r="R4418" s="399"/>
      <c r="S4418" s="399"/>
      <c r="T4418" s="399"/>
      <c r="U4418" s="401"/>
      <c r="V4418" s="399"/>
      <c r="W4418" s="399"/>
      <c r="X4418" s="399"/>
      <c r="Y4418" s="389"/>
      <c r="Z4418" s="400"/>
      <c r="AA4418" s="402"/>
      <c r="AB4418" s="403"/>
    </row>
    <row r="4419" spans="1:28">
      <c r="A4419" s="384"/>
      <c r="B4419" s="385"/>
      <c r="C4419" s="393"/>
      <c r="D4419" s="398"/>
      <c r="E4419" s="388"/>
      <c r="F4419" s="388"/>
      <c r="G4419" s="388"/>
      <c r="H4419" s="395"/>
      <c r="I4419" s="388"/>
      <c r="J4419" s="396"/>
      <c r="K4419" s="396"/>
      <c r="L4419" s="396"/>
      <c r="M4419" s="396"/>
      <c r="N4419" s="396"/>
      <c r="O4419" s="396"/>
      <c r="P4419" s="389"/>
      <c r="Q4419" s="396"/>
      <c r="R4419" s="396"/>
      <c r="S4419" s="396"/>
      <c r="T4419" s="396"/>
      <c r="U4419" s="401"/>
      <c r="V4419" s="396"/>
      <c r="W4419" s="399"/>
      <c r="X4419" s="396"/>
      <c r="Y4419" s="389"/>
      <c r="Z4419" s="396"/>
      <c r="AA4419" s="388"/>
      <c r="AB4419" s="390"/>
    </row>
    <row r="4420" spans="1:28">
      <c r="A4420" s="384" t="str">
        <f t="shared" ref="A4420:B4420" si="14259">A4405</f>
        <v>Lantai 3</v>
      </c>
      <c r="B4420" s="385">
        <f t="shared" si="14259"/>
        <v>5</v>
      </c>
      <c r="C4420" s="393" t="s">
        <v>209</v>
      </c>
      <c r="D4420" s="398">
        <f>VLOOKUP(D4405,'Detail Balok'!$C$10:$AU$140,22,FALSE)</f>
        <v>3</v>
      </c>
      <c r="E4420" s="388" t="s">
        <v>16</v>
      </c>
      <c r="F4420" s="388">
        <f>VLOOKUP(D4405,'Detail Balok'!$C$10:$AU$140,24,FALSE)</f>
        <v>16</v>
      </c>
      <c r="G4420" s="388"/>
      <c r="H4420" s="395"/>
      <c r="I4420" s="388" t="s">
        <v>203</v>
      </c>
      <c r="J4420" s="399">
        <f t="shared" si="14066"/>
        <v>2.2687499999999998</v>
      </c>
      <c r="K4420" s="400" t="s">
        <v>204</v>
      </c>
      <c r="L4420" s="399">
        <f t="shared" ref="L4420" si="14260">MAX(VLOOKUP(F4420,N$6:P$15,3,FALSE)/1000,2/3*D4410/1000)+F$16*F4420/1000</f>
        <v>0.192</v>
      </c>
      <c r="M4420" s="399" t="s">
        <v>176</v>
      </c>
      <c r="N4420" s="399">
        <f t="shared" ref="N4420:N4422" si="14261">J4420+L4420</f>
        <v>2.46075</v>
      </c>
      <c r="O4420" s="399" t="s">
        <v>204</v>
      </c>
      <c r="P4420" s="389">
        <f t="shared" ref="P4420" si="14262">D4420-D4421</f>
        <v>0</v>
      </c>
      <c r="Q4420" s="399" t="s">
        <v>125</v>
      </c>
      <c r="R4420" s="399">
        <f t="shared" ref="R4420" si="14263">IF(P4420&gt;0,$F$18*F4420/1000,0)</f>
        <v>0</v>
      </c>
      <c r="S4420" s="399" t="s">
        <v>205</v>
      </c>
      <c r="T4420" s="399" t="s">
        <v>125</v>
      </c>
      <c r="U4420" s="401">
        <f t="shared" ref="U4420:U4422" si="14264">0.006165*F4420^2</f>
        <v>1.5782400000000001</v>
      </c>
      <c r="V4420" s="399"/>
      <c r="W4420" s="399"/>
      <c r="X4420" s="399" t="s">
        <v>125</v>
      </c>
      <c r="Y4420" s="389">
        <f t="shared" ref="Y4420" si="14265">D4411</f>
        <v>1</v>
      </c>
      <c r="Z4420" s="400" t="s">
        <v>176</v>
      </c>
      <c r="AA4420" s="402">
        <f t="shared" ref="AA4420" si="14266">IF(AA4423=0,(D4420*N4420+P4420*R4420)*U4420*Y4420,0)</f>
        <v>0</v>
      </c>
      <c r="AB4420" s="403"/>
    </row>
    <row r="4421" spans="1:28">
      <c r="A4421" s="384" t="str">
        <f t="shared" ref="A4421:B4421" si="14267">A4405</f>
        <v>Lantai 3</v>
      </c>
      <c r="B4421" s="385">
        <f t="shared" si="14267"/>
        <v>5</v>
      </c>
      <c r="C4421" s="393" t="s">
        <v>210</v>
      </c>
      <c r="D4421" s="398">
        <f>VLOOKUP(D4405,'Detail Balok'!$C$10:$AU$140,25,FALSE)</f>
        <v>3</v>
      </c>
      <c r="E4421" s="388" t="s">
        <v>16</v>
      </c>
      <c r="F4421" s="388">
        <f>VLOOKUP(D4405,'Detail Balok'!$C$10:$AU$140,27,FALSE)</f>
        <v>16</v>
      </c>
      <c r="G4421" s="388"/>
      <c r="H4421" s="395"/>
      <c r="I4421" s="388" t="s">
        <v>203</v>
      </c>
      <c r="J4421" s="399">
        <f t="shared" si="14066"/>
        <v>4.5374999999999996</v>
      </c>
      <c r="K4421" s="400" t="s">
        <v>204</v>
      </c>
      <c r="L4421" s="399"/>
      <c r="M4421" s="399" t="s">
        <v>176</v>
      </c>
      <c r="N4421" s="399">
        <f t="shared" si="14261"/>
        <v>4.5374999999999996</v>
      </c>
      <c r="O4421" s="399" t="s">
        <v>204</v>
      </c>
      <c r="P4421" s="389">
        <f t="shared" ref="P4421" si="14268">MAX(D4421-D4420,D4421-D4422)</f>
        <v>0</v>
      </c>
      <c r="Q4421" s="399" t="s">
        <v>125</v>
      </c>
      <c r="R4421" s="399">
        <f t="shared" ref="R4421" si="14269">IF(P4421&gt;0,2*(1-2*$F$19-1/2)*D4408/1000,0)</f>
        <v>0</v>
      </c>
      <c r="S4421" s="399" t="s">
        <v>205</v>
      </c>
      <c r="T4421" s="399" t="s">
        <v>125</v>
      </c>
      <c r="U4421" s="401">
        <f t="shared" si="14264"/>
        <v>1.5782400000000001</v>
      </c>
      <c r="V4421" s="399"/>
      <c r="W4421" s="399"/>
      <c r="X4421" s="399" t="s">
        <v>125</v>
      </c>
      <c r="Y4421" s="389">
        <f t="shared" ref="Y4421" si="14270">D4411</f>
        <v>1</v>
      </c>
      <c r="Z4421" s="400" t="s">
        <v>176</v>
      </c>
      <c r="AA4421" s="402">
        <f t="shared" ref="AA4421" si="14271">IF(AA4423=0,(D4421*N4421+P4421*R4421)*U4421*Y4421,0)</f>
        <v>0</v>
      </c>
      <c r="AB4421" s="403"/>
    </row>
    <row r="4422" spans="1:28">
      <c r="A4422" s="384" t="str">
        <f t="shared" ref="A4422:B4422" si="14272">A4405</f>
        <v>Lantai 3</v>
      </c>
      <c r="B4422" s="385">
        <f t="shared" si="14272"/>
        <v>5</v>
      </c>
      <c r="C4422" s="393" t="s">
        <v>209</v>
      </c>
      <c r="D4422" s="398">
        <f>VLOOKUP(D4405,'Detail Balok'!$C$10:$AU$140,28,FALSE)</f>
        <v>3</v>
      </c>
      <c r="E4422" s="388" t="s">
        <v>16</v>
      </c>
      <c r="F4422" s="388">
        <f>VLOOKUP(D4405,'Detail Balok'!$C$10:$AU$140,30,FALSE)</f>
        <v>16</v>
      </c>
      <c r="G4422" s="388"/>
      <c r="H4422" s="395"/>
      <c r="I4422" s="388" t="s">
        <v>203</v>
      </c>
      <c r="J4422" s="399">
        <f t="shared" si="14066"/>
        <v>2.2687499999999998</v>
      </c>
      <c r="K4422" s="400" t="s">
        <v>204</v>
      </c>
      <c r="L4422" s="399">
        <f t="shared" ref="L4422" si="14273">MAX(VLOOKUP(F4422,N$6:P$15,3,FALSE)/1000,2/3*D4410/1000)+F$16*F4422/1000</f>
        <v>0.192</v>
      </c>
      <c r="M4422" s="399" t="s">
        <v>176</v>
      </c>
      <c r="N4422" s="399">
        <f t="shared" si="14261"/>
        <v>2.46075</v>
      </c>
      <c r="O4422" s="399" t="s">
        <v>204</v>
      </c>
      <c r="P4422" s="389">
        <f t="shared" ref="P4422" si="14274">D4422-D4421</f>
        <v>0</v>
      </c>
      <c r="Q4422" s="399" t="s">
        <v>125</v>
      </c>
      <c r="R4422" s="399">
        <f t="shared" ref="R4422" si="14275">IF(P4422&gt;0,$F$18*F4422/1000,0)</f>
        <v>0</v>
      </c>
      <c r="S4422" s="399" t="s">
        <v>205</v>
      </c>
      <c r="T4422" s="399" t="s">
        <v>125</v>
      </c>
      <c r="U4422" s="401">
        <f t="shared" si="14264"/>
        <v>1.5782400000000001</v>
      </c>
      <c r="V4422" s="399"/>
      <c r="W4422" s="399"/>
      <c r="X4422" s="399" t="s">
        <v>125</v>
      </c>
      <c r="Y4422" s="389">
        <f t="shared" ref="Y4422" si="14276">D4411</f>
        <v>1</v>
      </c>
      <c r="Z4422" s="400" t="s">
        <v>176</v>
      </c>
      <c r="AA4422" s="402">
        <f t="shared" ref="AA4422" si="14277">IF(AA4423=0,(D4422*N4422+P4422*R4422)*U4422*Y4422,0)</f>
        <v>0</v>
      </c>
      <c r="AB4422" s="403"/>
    </row>
    <row r="4423" spans="1:28">
      <c r="A4423" s="384" t="str">
        <f t="shared" ref="A4423:B4423" si="14278">A4405</f>
        <v>Lantai 3</v>
      </c>
      <c r="B4423" s="385">
        <f t="shared" si="14278"/>
        <v>5</v>
      </c>
      <c r="C4423" s="393"/>
      <c r="D4423" s="398">
        <f t="shared" si="14086"/>
        <v>3</v>
      </c>
      <c r="E4423" s="388" t="s">
        <v>16</v>
      </c>
      <c r="F4423" s="388">
        <f t="shared" si="14087"/>
        <v>16</v>
      </c>
      <c r="G4423" s="388"/>
      <c r="H4423" s="395"/>
      <c r="I4423" s="388"/>
      <c r="J4423" s="396"/>
      <c r="K4423" s="396"/>
      <c r="L4423" s="404" t="s">
        <v>207</v>
      </c>
      <c r="M4423" s="399" t="s">
        <v>176</v>
      </c>
      <c r="N4423" s="399">
        <f t="shared" ref="N4423" si="14279">IF(AND(D4420=D4421,D4420=D4422,D4421=D4422,F4420=F4421,F4420=F4422,F4421=F4422),SUM(N4420:N4422),0)</f>
        <v>9.4589999999999996</v>
      </c>
      <c r="O4423" s="399" t="s">
        <v>204</v>
      </c>
      <c r="P4423" s="389">
        <f t="shared" ref="P4423" si="14280">IF(N4423&gt;12,ROUNDDOWN(N4423/12,0),0)</f>
        <v>0</v>
      </c>
      <c r="Q4423" s="399" t="s">
        <v>125</v>
      </c>
      <c r="R4423" s="399">
        <f t="shared" ref="R4423" si="14281">IF(P4423&gt;0,MAX(VLOOKUP(F4423,$D$6:$G$15,3,FALSE),600),0)/1000</f>
        <v>0</v>
      </c>
      <c r="S4423" s="396"/>
      <c r="T4423" s="396" t="s">
        <v>125</v>
      </c>
      <c r="U4423" s="401">
        <f t="shared" si="14091"/>
        <v>1.5782400000000001</v>
      </c>
      <c r="V4423" s="396" t="s">
        <v>125</v>
      </c>
      <c r="W4423" s="399">
        <f t="shared" ref="W4423" si="14282">D4423</f>
        <v>3</v>
      </c>
      <c r="X4423" s="399" t="s">
        <v>125</v>
      </c>
      <c r="Y4423" s="389">
        <f t="shared" si="14093"/>
        <v>1</v>
      </c>
      <c r="Z4423" s="400" t="s">
        <v>176</v>
      </c>
      <c r="AA4423" s="402">
        <f t="shared" ref="AA4423" si="14283">(N4423+P4423*R4423/1000)*U4423*W4423*Y4423</f>
        <v>44.785716479999998</v>
      </c>
      <c r="AB4423" s="403"/>
    </row>
    <row r="4424" spans="1:28">
      <c r="A4424" s="384"/>
      <c r="B4424" s="385"/>
      <c r="C4424" s="393"/>
      <c r="D4424" s="394"/>
      <c r="E4424" s="388"/>
      <c r="F4424" s="388"/>
      <c r="G4424" s="388"/>
      <c r="H4424" s="395"/>
      <c r="I4424" s="388"/>
      <c r="J4424" s="399"/>
      <c r="K4424" s="396"/>
      <c r="L4424" s="396"/>
      <c r="M4424" s="396"/>
      <c r="N4424" s="396"/>
      <c r="O4424" s="396"/>
      <c r="P4424" s="389"/>
      <c r="Q4424" s="396"/>
      <c r="R4424" s="396"/>
      <c r="S4424" s="396"/>
      <c r="T4424" s="396"/>
      <c r="U4424" s="401"/>
      <c r="V4424" s="396"/>
      <c r="W4424" s="388"/>
      <c r="X4424" s="396"/>
      <c r="Y4424" s="389"/>
      <c r="Z4424" s="396"/>
      <c r="AA4424" s="388"/>
      <c r="AB4424" s="390"/>
    </row>
    <row r="4425" spans="1:28">
      <c r="A4425" s="384" t="str">
        <f t="shared" ref="A4425:B4425" si="14284">A4405</f>
        <v>Lantai 3</v>
      </c>
      <c r="B4425" s="385">
        <f t="shared" si="14284"/>
        <v>5</v>
      </c>
      <c r="C4425" s="393" t="s">
        <v>211</v>
      </c>
      <c r="D4425" s="398">
        <f>VLOOKUP(D4405,'Detail Balok'!$C$10:$AU$140,31,FALSE)</f>
        <v>0</v>
      </c>
      <c r="E4425" s="388" t="s">
        <v>16</v>
      </c>
      <c r="F4425" s="388">
        <f>VLOOKUP(D4405,'Detail Balok'!$C$10:$AU$140,33,FALSE)</f>
        <v>10</v>
      </c>
      <c r="G4425" s="405" t="s">
        <v>157</v>
      </c>
      <c r="H4425" s="395">
        <f>VLOOKUP(D4405,'Detail Balok'!$C$10:$AU$140,35,FALSE)</f>
        <v>100</v>
      </c>
      <c r="I4425" s="388"/>
      <c r="J4425" s="400">
        <f t="shared" ref="J4425" si="14285">(IF(D4425=0,(2*(D4406+G4406))-(F$5*8),IF(D4425=3,(2*(D4406+G4406))-(F$5*8)+(G4406-2*F$5),IF(D4425=4,(2*(D4406+G4406))-(F$5*8)+2*(G4406-2*F$5)))))/1000</f>
        <v>0.88</v>
      </c>
      <c r="K4425" s="400" t="s">
        <v>204</v>
      </c>
      <c r="L4425" s="399">
        <f t="shared" ref="L4425:L4427" si="14286">IF(D4425=0,2*MAX(6*F4425,75),(D4425-1)*2*MAX(6*F4425,75))/1000</f>
        <v>0.15</v>
      </c>
      <c r="M4425" s="399" t="s">
        <v>176</v>
      </c>
      <c r="N4425" s="399">
        <f t="shared" ref="N4425:N4427" si="14287">J4425+L4425</f>
        <v>1.03</v>
      </c>
      <c r="O4425" s="399"/>
      <c r="P4425" s="389"/>
      <c r="Q4425" s="399"/>
      <c r="R4425" s="399"/>
      <c r="S4425" s="399"/>
      <c r="T4425" s="399" t="s">
        <v>125</v>
      </c>
      <c r="U4425" s="401">
        <f t="shared" ref="U4425:U4427" si="14288">0.006165*F4425^2</f>
        <v>0.61650000000000005</v>
      </c>
      <c r="V4425" s="399" t="s">
        <v>125</v>
      </c>
      <c r="W4425" s="399">
        <f t="shared" ref="W4425" si="14289">IF(D4408&gt;4*G4406,ROUND(MAX(D4408/4,2*G4406)/H4425,0)+1,ROUND(D4408/H4425,0)+1)</f>
        <v>24</v>
      </c>
      <c r="X4425" s="399" t="s">
        <v>125</v>
      </c>
      <c r="Y4425" s="389">
        <f t="shared" ref="Y4425" si="14290">D4411</f>
        <v>1</v>
      </c>
      <c r="Z4425" s="400" t="s">
        <v>176</v>
      </c>
      <c r="AA4425" s="402">
        <f t="shared" ref="AA4425:AA4427" si="14291">N4425*U4425*W4425*Y4425</f>
        <v>15.239880000000003</v>
      </c>
      <c r="AB4425" s="403"/>
    </row>
    <row r="4426" spans="1:28">
      <c r="A4426" s="384" t="str">
        <f t="shared" ref="A4426:B4426" si="14292">A4405</f>
        <v>Lantai 3</v>
      </c>
      <c r="B4426" s="385">
        <f t="shared" si="14292"/>
        <v>5</v>
      </c>
      <c r="C4426" s="393" t="s">
        <v>212</v>
      </c>
      <c r="D4426" s="398">
        <f>VLOOKUP(D4405,'Detail Balok'!$C$10:$AU$140,36,FALSE)</f>
        <v>0</v>
      </c>
      <c r="E4426" s="388" t="s">
        <v>16</v>
      </c>
      <c r="F4426" s="388">
        <f>VLOOKUP(D4405,'Detail Balok'!$C$10:$AU$140,38,FALSE)</f>
        <v>10</v>
      </c>
      <c r="G4426" s="405" t="s">
        <v>157</v>
      </c>
      <c r="H4426" s="395">
        <f>VLOOKUP(D4405,'Detail Balok'!$C$10:$AU$140,40,FALSE)</f>
        <v>200</v>
      </c>
      <c r="I4426" s="388"/>
      <c r="J4426" s="400">
        <f t="shared" ref="J4426" si="14293">(IF(D4426=0,(2*(D4406+G4406))-(F$5*8),IF(D4426=3,(2*(D4406+G4406))-(F$5*8)+(G4406-2*F$5),IF(D4426=4,(2*(D4406+G4406))-(F$5*8)+2*(G4406-2*F$5)))))/1000</f>
        <v>0.88</v>
      </c>
      <c r="K4426" s="400" t="s">
        <v>204</v>
      </c>
      <c r="L4426" s="399">
        <f t="shared" si="14286"/>
        <v>0.15</v>
      </c>
      <c r="M4426" s="399" t="s">
        <v>176</v>
      </c>
      <c r="N4426" s="399">
        <f t="shared" si="14287"/>
        <v>1.03</v>
      </c>
      <c r="O4426" s="399"/>
      <c r="P4426" s="389"/>
      <c r="Q4426" s="399"/>
      <c r="R4426" s="399"/>
      <c r="S4426" s="399"/>
      <c r="T4426" s="399" t="s">
        <v>125</v>
      </c>
      <c r="U4426" s="401">
        <f t="shared" si="14288"/>
        <v>0.61650000000000005</v>
      </c>
      <c r="V4426" s="399" t="s">
        <v>125</v>
      </c>
      <c r="W4426" s="399">
        <f t="shared" ref="W4426" si="14294">IF(D4408-MAX(D4408/4,2*G4406)*2&gt;0,ROUND((D4408-MAX(D4408/4,2*G4406)*2)/H4426,0),0)</f>
        <v>23</v>
      </c>
      <c r="X4426" s="399" t="s">
        <v>125</v>
      </c>
      <c r="Y4426" s="389">
        <f t="shared" ref="Y4426" si="14295">D4411</f>
        <v>1</v>
      </c>
      <c r="Z4426" s="400" t="s">
        <v>176</v>
      </c>
      <c r="AA4426" s="402">
        <f t="shared" si="14291"/>
        <v>14.604885000000001</v>
      </c>
      <c r="AB4426" s="403"/>
    </row>
    <row r="4427" spans="1:28">
      <c r="A4427" s="384" t="str">
        <f t="shared" ref="A4427:B4427" si="14296">A4405</f>
        <v>Lantai 3</v>
      </c>
      <c r="B4427" s="385">
        <f t="shared" si="14296"/>
        <v>5</v>
      </c>
      <c r="C4427" s="393" t="s">
        <v>211</v>
      </c>
      <c r="D4427" s="398">
        <f>VLOOKUP(D4405,'Detail Balok'!$C$10:$AU$140,41,FALSE)</f>
        <v>0</v>
      </c>
      <c r="E4427" s="388" t="s">
        <v>16</v>
      </c>
      <c r="F4427" s="388">
        <f>VLOOKUP(D4405,'Detail Balok'!$C$10:$AU$140,43,FALSE)</f>
        <v>10</v>
      </c>
      <c r="G4427" s="405" t="s">
        <v>157</v>
      </c>
      <c r="H4427" s="395">
        <f>VLOOKUP(D4405,'Detail Balok'!$C$10:$AU$140,45,FALSE)</f>
        <v>100</v>
      </c>
      <c r="I4427" s="388"/>
      <c r="J4427" s="400">
        <f t="shared" ref="J4427" si="14297">(IF(D4427=0,(2*(D4406+G4406))-(F$5*8),IF(D4427=3,(2*(D4406+G4406))-(F$5*8)+(G4406-2*F$5),IF(D4427=4,(2*(D4406+G4406))-(F$5*8)+2*(G4406-2*F$5)))))/1000</f>
        <v>0.88</v>
      </c>
      <c r="K4427" s="400" t="s">
        <v>204</v>
      </c>
      <c r="L4427" s="399">
        <f t="shared" si="14286"/>
        <v>0.15</v>
      </c>
      <c r="M4427" s="399" t="s">
        <v>176</v>
      </c>
      <c r="N4427" s="399">
        <f t="shared" si="14287"/>
        <v>1.03</v>
      </c>
      <c r="O4427" s="399"/>
      <c r="P4427" s="389"/>
      <c r="Q4427" s="399"/>
      <c r="R4427" s="399"/>
      <c r="S4427" s="399"/>
      <c r="T4427" s="399" t="s">
        <v>125</v>
      </c>
      <c r="U4427" s="401">
        <f t="shared" si="14288"/>
        <v>0.61650000000000005</v>
      </c>
      <c r="V4427" s="399" t="s">
        <v>125</v>
      </c>
      <c r="W4427" s="399">
        <f t="shared" ref="W4427" si="14298">IF(D4408&gt;4*G4406,ROUND(MAX(D4408/4,2*G4406)/H4427,0)+1,0)</f>
        <v>24</v>
      </c>
      <c r="X4427" s="399" t="s">
        <v>125</v>
      </c>
      <c r="Y4427" s="389">
        <f t="shared" ref="Y4427" si="14299">D4411</f>
        <v>1</v>
      </c>
      <c r="Z4427" s="400" t="s">
        <v>176</v>
      </c>
      <c r="AA4427" s="402">
        <f t="shared" si="14291"/>
        <v>15.239880000000003</v>
      </c>
      <c r="AB4427" s="403"/>
    </row>
    <row r="4428" spans="1:28">
      <c r="A4428" s="384"/>
      <c r="B4428" s="385"/>
      <c r="C4428" s="393"/>
      <c r="D4428" s="394"/>
      <c r="E4428" s="388"/>
      <c r="F4428" s="388"/>
      <c r="G4428" s="388"/>
      <c r="H4428" s="395"/>
      <c r="I4428" s="388"/>
      <c r="J4428" s="399"/>
      <c r="K4428" s="396"/>
      <c r="L4428" s="396"/>
      <c r="M4428" s="396"/>
      <c r="N4428" s="396"/>
      <c r="O4428" s="396"/>
      <c r="P4428" s="389"/>
      <c r="Q4428" s="396"/>
      <c r="R4428" s="396"/>
      <c r="S4428" s="396"/>
      <c r="T4428" s="396"/>
      <c r="U4428" s="401"/>
      <c r="V4428" s="396"/>
      <c r="W4428" s="388"/>
      <c r="X4428" s="396"/>
      <c r="Y4428" s="389"/>
      <c r="Z4428" s="396"/>
      <c r="AA4428" s="388"/>
      <c r="AB4428" s="390"/>
    </row>
    <row r="4429" spans="1:28">
      <c r="A4429" s="384" t="str">
        <f t="shared" ref="A4429:B4429" si="14300">A4405</f>
        <v>Lantai 3</v>
      </c>
      <c r="B4429" s="385">
        <f t="shared" si="14300"/>
        <v>5</v>
      </c>
      <c r="C4429" s="393" t="s">
        <v>213</v>
      </c>
      <c r="D4429" s="398">
        <f>VLOOKUP(D4405,'Detail Balok'!$C$10:$BJ$140,46,FALSE)</f>
        <v>0</v>
      </c>
      <c r="E4429" s="388" t="s">
        <v>16</v>
      </c>
      <c r="F4429" s="388">
        <f>VLOOKUP(D4405,'Detail Balok'!$C$10:$BJ$140,48,FALSE)</f>
        <v>0</v>
      </c>
      <c r="G4429" s="405" t="s">
        <v>157</v>
      </c>
      <c r="H4429" s="395">
        <f>VLOOKUP(D4405,'Detail Balok'!$C$10:$BJ$140,50,FALSE)</f>
        <v>100</v>
      </c>
      <c r="I4429" s="388"/>
      <c r="J4429" s="399">
        <f t="shared" ref="J4429" si="14301">(D4406-2*F$5)/1000</f>
        <v>0.12</v>
      </c>
      <c r="K4429" s="400" t="s">
        <v>204</v>
      </c>
      <c r="L4429" s="399">
        <f t="shared" ref="L4429:L4431" si="14302">IF(D4429=0,2*MAX(6*F4429,75),(D4429-1)*2*MAX(6*F4429,75))/1000</f>
        <v>0.15</v>
      </c>
      <c r="M4429" s="399" t="s">
        <v>176</v>
      </c>
      <c r="N4429" s="399">
        <f t="shared" ref="N4429:N4431" si="14303">J4429+L4429</f>
        <v>0.27</v>
      </c>
      <c r="O4429" s="399"/>
      <c r="P4429" s="399"/>
      <c r="Q4429" s="399"/>
      <c r="R4429" s="399"/>
      <c r="S4429" s="399"/>
      <c r="T4429" s="399" t="s">
        <v>125</v>
      </c>
      <c r="U4429" s="401">
        <f t="shared" ref="U4429:U4431" si="14304">0.006165*F4429^2</f>
        <v>0</v>
      </c>
      <c r="V4429" s="399" t="s">
        <v>125</v>
      </c>
      <c r="W4429" s="399">
        <f t="shared" si="14116"/>
        <v>24</v>
      </c>
      <c r="X4429" s="399" t="s">
        <v>125</v>
      </c>
      <c r="Y4429" s="389">
        <f t="shared" ref="Y4429" si="14305">D4415</f>
        <v>3</v>
      </c>
      <c r="Z4429" s="400" t="s">
        <v>176</v>
      </c>
      <c r="AA4429" s="402">
        <f t="shared" ref="AA4429:AA4431" si="14306">N4429*U4429*W4429*Y4429</f>
        <v>0</v>
      </c>
      <c r="AB4429" s="403"/>
    </row>
    <row r="4430" spans="1:28">
      <c r="A4430" s="384" t="str">
        <f t="shared" ref="A4430:B4430" si="14307">A4405</f>
        <v>Lantai 3</v>
      </c>
      <c r="B4430" s="385">
        <f t="shared" si="14307"/>
        <v>5</v>
      </c>
      <c r="C4430" s="393" t="s">
        <v>214</v>
      </c>
      <c r="D4430" s="398">
        <f>VLOOKUP(D4405,'Detail Balok'!$C$10:$BJ$140,51,FALSE)</f>
        <v>0</v>
      </c>
      <c r="E4430" s="388" t="s">
        <v>16</v>
      </c>
      <c r="F4430" s="388">
        <f>VLOOKUP(D4405,'Detail Balok'!$C$10:$BJ$140,53,FALSE)</f>
        <v>0</v>
      </c>
      <c r="G4430" s="405" t="s">
        <v>157</v>
      </c>
      <c r="H4430" s="395">
        <f>VLOOKUP(D4405,'Detail Balok'!$C$10:$BJ$140,55,FALSE)</f>
        <v>100</v>
      </c>
      <c r="I4430" s="388"/>
      <c r="J4430" s="399">
        <f t="shared" ref="J4430" si="14308">(D4406-2*F$5)/1000</f>
        <v>0.12</v>
      </c>
      <c r="K4430" s="400" t="s">
        <v>204</v>
      </c>
      <c r="L4430" s="399">
        <f t="shared" si="14302"/>
        <v>0.15</v>
      </c>
      <c r="M4430" s="399" t="s">
        <v>176</v>
      </c>
      <c r="N4430" s="399">
        <f t="shared" si="14303"/>
        <v>0.27</v>
      </c>
      <c r="O4430" s="399"/>
      <c r="P4430" s="399"/>
      <c r="Q4430" s="399"/>
      <c r="R4430" s="399"/>
      <c r="S4430" s="399"/>
      <c r="T4430" s="399" t="s">
        <v>125</v>
      </c>
      <c r="U4430" s="401">
        <f t="shared" si="14304"/>
        <v>0</v>
      </c>
      <c r="V4430" s="399" t="s">
        <v>125</v>
      </c>
      <c r="W4430" s="399">
        <f t="shared" si="14116"/>
        <v>23</v>
      </c>
      <c r="X4430" s="399" t="s">
        <v>125</v>
      </c>
      <c r="Y4430" s="389">
        <f t="shared" ref="Y4430" si="14309">D4415</f>
        <v>3</v>
      </c>
      <c r="Z4430" s="400" t="s">
        <v>176</v>
      </c>
      <c r="AA4430" s="402">
        <f t="shared" si="14306"/>
        <v>0</v>
      </c>
      <c r="AB4430" s="403"/>
    </row>
    <row r="4431" spans="1:28">
      <c r="A4431" s="384" t="str">
        <f t="shared" ref="A4431:B4431" si="14310">A4405</f>
        <v>Lantai 3</v>
      </c>
      <c r="B4431" s="385">
        <f t="shared" si="14310"/>
        <v>5</v>
      </c>
      <c r="C4431" s="393" t="s">
        <v>213</v>
      </c>
      <c r="D4431" s="398">
        <f>VLOOKUP(D4405,'Detail Balok'!$C$10:$BJ$140,56,FALSE)</f>
        <v>0</v>
      </c>
      <c r="E4431" s="388" t="s">
        <v>16</v>
      </c>
      <c r="F4431" s="388">
        <f>VLOOKUP(D4405,'Detail Balok'!$C$10:$BJ$140,58,FALSE)</f>
        <v>0</v>
      </c>
      <c r="G4431" s="405" t="s">
        <v>157</v>
      </c>
      <c r="H4431" s="395">
        <f>VLOOKUP(D4405,'Detail Balok'!$C$10:$BJ$140,60,FALSE)</f>
        <v>100</v>
      </c>
      <c r="I4431" s="388"/>
      <c r="J4431" s="399">
        <f t="shared" ref="J4431" si="14311">(D4406-2*F$5)/1000</f>
        <v>0.12</v>
      </c>
      <c r="K4431" s="400" t="s">
        <v>204</v>
      </c>
      <c r="L4431" s="399">
        <f t="shared" si="14302"/>
        <v>0.15</v>
      </c>
      <c r="M4431" s="399" t="s">
        <v>176</v>
      </c>
      <c r="N4431" s="399">
        <f t="shared" si="14303"/>
        <v>0.27</v>
      </c>
      <c r="O4431" s="399"/>
      <c r="P4431" s="399"/>
      <c r="Q4431" s="399"/>
      <c r="R4431" s="399"/>
      <c r="S4431" s="399"/>
      <c r="T4431" s="399" t="s">
        <v>125</v>
      </c>
      <c r="U4431" s="401">
        <f t="shared" si="14304"/>
        <v>0</v>
      </c>
      <c r="V4431" s="399" t="s">
        <v>125</v>
      </c>
      <c r="W4431" s="399">
        <f t="shared" si="14116"/>
        <v>24</v>
      </c>
      <c r="X4431" s="399" t="s">
        <v>125</v>
      </c>
      <c r="Y4431" s="389">
        <f t="shared" ref="Y4431" si="14312">D4415</f>
        <v>3</v>
      </c>
      <c r="Z4431" s="400" t="s">
        <v>176</v>
      </c>
      <c r="AA4431" s="402">
        <f t="shared" si="14306"/>
        <v>0</v>
      </c>
      <c r="AB4431" s="403"/>
    </row>
    <row r="4432" spans="1:28">
      <c r="A4432" s="391"/>
      <c r="B4432" s="392"/>
      <c r="C4432" s="392"/>
      <c r="D4432" s="394"/>
      <c r="E4432" s="388"/>
      <c r="F4432" s="388"/>
      <c r="G4432" s="388"/>
      <c r="H4432" s="395"/>
      <c r="I4432" s="388"/>
      <c r="J4432" s="402"/>
      <c r="K4432" s="388"/>
      <c r="L4432" s="388"/>
      <c r="M4432" s="388"/>
      <c r="N4432" s="388"/>
      <c r="O4432" s="388"/>
      <c r="P4432" s="388"/>
      <c r="Q4432" s="388"/>
      <c r="R4432" s="388"/>
      <c r="S4432" s="388"/>
      <c r="T4432" s="388"/>
      <c r="U4432" s="388"/>
      <c r="V4432" s="388"/>
      <c r="W4432" s="388"/>
      <c r="X4432" s="388"/>
      <c r="Y4432" s="389"/>
      <c r="Z4432" s="388"/>
      <c r="AA4432" s="402"/>
      <c r="AB4432" s="403"/>
    </row>
    <row r="4433" spans="1:28" ht="15.75" thickBot="1">
      <c r="A4433" s="406"/>
      <c r="B4433" s="407"/>
      <c r="C4433" s="407"/>
      <c r="D4433" s="408"/>
      <c r="E4433" s="409"/>
      <c r="F4433" s="409"/>
      <c r="G4433" s="409"/>
      <c r="H4433" s="410"/>
      <c r="I4433" s="409"/>
      <c r="J4433" s="409"/>
      <c r="K4433" s="409"/>
      <c r="L4433" s="409"/>
      <c r="M4433" s="409"/>
      <c r="N4433" s="409"/>
      <c r="O4433" s="409"/>
      <c r="P4433" s="409"/>
      <c r="Q4433" s="409"/>
      <c r="R4433" s="409"/>
      <c r="S4433" s="409"/>
      <c r="T4433" s="409"/>
      <c r="U4433" s="409"/>
      <c r="V4433" s="409"/>
      <c r="W4433" s="409"/>
      <c r="X4433" s="409"/>
      <c r="Y4433" s="411"/>
      <c r="Z4433" s="409"/>
      <c r="AA4433" s="412"/>
      <c r="AB4433" s="413"/>
    </row>
    <row r="4434" spans="1:28">
      <c r="A4434" s="377"/>
      <c r="B4434" s="378"/>
      <c r="C4434" s="378"/>
      <c r="D4434" s="379"/>
      <c r="E4434" s="380"/>
      <c r="F4434" s="380"/>
      <c r="G4434" s="380"/>
      <c r="H4434" s="381"/>
      <c r="I4434" s="380"/>
      <c r="J4434" s="380"/>
      <c r="K4434" s="380"/>
      <c r="L4434" s="380"/>
      <c r="M4434" s="380"/>
      <c r="N4434" s="380"/>
      <c r="O4434" s="380"/>
      <c r="P4434" s="380"/>
      <c r="Q4434" s="380"/>
      <c r="R4434" s="380"/>
      <c r="S4434" s="380"/>
      <c r="T4434" s="380"/>
      <c r="U4434" s="380"/>
      <c r="V4434" s="380"/>
      <c r="W4434" s="380"/>
      <c r="X4434" s="380"/>
      <c r="Y4434" s="382"/>
      <c r="Z4434" s="380"/>
      <c r="AA4434" s="380"/>
      <c r="AB4434" s="383"/>
    </row>
    <row r="4435" spans="1:28">
      <c r="A4435" s="384" t="str">
        <f t="shared" si="14125"/>
        <v>Lantai 3</v>
      </c>
      <c r="B4435" s="385">
        <f t="shared" si="14126"/>
        <v>6</v>
      </c>
      <c r="C4435" s="386" t="str">
        <f t="shared" ref="C4435" si="14313">CONCATENATE(A4435," no. ",B4435)</f>
        <v>Lantai 3 no. 6</v>
      </c>
      <c r="D4435" s="2562" t="str">
        <f>VLOOKUP(C4435,'Data Panjang Balok'!$C$9:$N$254,2,FALSE)</f>
        <v>B26-1</v>
      </c>
      <c r="E4435" s="2576"/>
      <c r="F4435" s="2576"/>
      <c r="G4435" s="2576"/>
      <c r="H4435" s="2577"/>
      <c r="I4435" s="387"/>
      <c r="J4435" s="388"/>
      <c r="K4435" s="388"/>
      <c r="L4435" s="388"/>
      <c r="M4435" s="388"/>
      <c r="N4435" s="388"/>
      <c r="O4435" s="388"/>
      <c r="P4435" s="388"/>
      <c r="Q4435" s="388"/>
      <c r="R4435" s="388"/>
      <c r="S4435" s="388"/>
      <c r="T4435" s="388"/>
      <c r="U4435" s="388"/>
      <c r="V4435" s="388"/>
      <c r="W4435" s="388"/>
      <c r="X4435" s="388"/>
      <c r="Y4435" s="389"/>
      <c r="Z4435" s="388"/>
      <c r="AA4435" s="388"/>
      <c r="AB4435" s="390"/>
    </row>
    <row r="4436" spans="1:28">
      <c r="A4436" s="391"/>
      <c r="B4436" s="392"/>
      <c r="C4436" s="393" t="s">
        <v>118</v>
      </c>
      <c r="D4436" s="2578">
        <f>VLOOKUP(D4435,'Detail Balok'!$C$10:$AU$140,2,FALSE)</f>
        <v>200</v>
      </c>
      <c r="E4436" s="2579"/>
      <c r="F4436" s="388" t="s">
        <v>125</v>
      </c>
      <c r="G4436" s="2579">
        <f>VLOOKUP(D4435,'Detail Balok'!$C$10:$AU$140,3,FALSE)</f>
        <v>600</v>
      </c>
      <c r="H4436" s="2580"/>
      <c r="I4436" s="388"/>
      <c r="J4436" s="396"/>
      <c r="K4436" s="396"/>
      <c r="L4436" s="396"/>
      <c r="M4436" s="396"/>
      <c r="N4436" s="396"/>
      <c r="O4436" s="396"/>
      <c r="P4436" s="396"/>
      <c r="Q4436" s="396"/>
      <c r="R4436" s="396"/>
      <c r="S4436" s="396"/>
      <c r="T4436" s="396"/>
      <c r="U4436" s="388"/>
      <c r="V4436" s="396"/>
      <c r="W4436" s="388"/>
      <c r="X4436" s="396"/>
      <c r="Y4436" s="389"/>
      <c r="Z4436" s="396"/>
      <c r="AA4436" s="388"/>
      <c r="AB4436" s="390"/>
    </row>
    <row r="4437" spans="1:28">
      <c r="A4437" s="391"/>
      <c r="B4437" s="392"/>
      <c r="C4437" s="393" t="s">
        <v>198</v>
      </c>
      <c r="D4437" s="2562">
        <f>VLOOKUP(C4435,'Data Panjang Balok'!$C$9:$N$254,4,FALSE)</f>
        <v>9000</v>
      </c>
      <c r="E4437" s="2563"/>
      <c r="F4437" s="2563"/>
      <c r="G4437" s="2563"/>
      <c r="H4437" s="2564"/>
      <c r="I4437" s="397"/>
      <c r="J4437" s="396"/>
      <c r="K4437" s="396"/>
      <c r="L4437" s="396"/>
      <c r="M4437" s="396"/>
      <c r="N4437" s="396"/>
      <c r="O4437" s="396"/>
      <c r="P4437" s="396"/>
      <c r="Q4437" s="396"/>
      <c r="R4437" s="396"/>
      <c r="S4437" s="396"/>
      <c r="T4437" s="396"/>
      <c r="U4437" s="388"/>
      <c r="V4437" s="396"/>
      <c r="W4437" s="388"/>
      <c r="X4437" s="396"/>
      <c r="Y4437" s="389"/>
      <c r="Z4437" s="396"/>
      <c r="AA4437" s="388"/>
      <c r="AB4437" s="390"/>
    </row>
    <row r="4438" spans="1:28">
      <c r="A4438" s="391"/>
      <c r="B4438" s="392"/>
      <c r="C4438" s="393" t="s">
        <v>199</v>
      </c>
      <c r="D4438" s="2562">
        <f>VLOOKUP(C4435,'Data Panjang Balok'!$C$9:$N$254,7,FALSE)</f>
        <v>9000</v>
      </c>
      <c r="E4438" s="2563"/>
      <c r="F4438" s="2563"/>
      <c r="G4438" s="2563"/>
      <c r="H4438" s="2564"/>
      <c r="I4438" s="397"/>
      <c r="J4438" s="396"/>
      <c r="K4438" s="396"/>
      <c r="L4438" s="396"/>
      <c r="M4438" s="396"/>
      <c r="N4438" s="396"/>
      <c r="O4438" s="396"/>
      <c r="P4438" s="396"/>
      <c r="Q4438" s="396"/>
      <c r="R4438" s="396"/>
      <c r="S4438" s="396"/>
      <c r="T4438" s="396"/>
      <c r="U4438" s="388"/>
      <c r="V4438" s="396"/>
      <c r="W4438" s="388"/>
      <c r="X4438" s="396"/>
      <c r="Y4438" s="389"/>
      <c r="Z4438" s="396"/>
      <c r="AA4438" s="388"/>
      <c r="AB4438" s="390"/>
    </row>
    <row r="4439" spans="1:28">
      <c r="A4439" s="391"/>
      <c r="B4439" s="392"/>
      <c r="C4439" s="393" t="s">
        <v>200</v>
      </c>
      <c r="D4439" s="2562">
        <f>VLOOKUP(C4435,'Data Panjang Balok'!$C$9:$N$254,9,FALSE)</f>
        <v>0</v>
      </c>
      <c r="E4439" s="2563"/>
      <c r="F4439" s="2563"/>
      <c r="G4439" s="2563"/>
      <c r="H4439" s="2564"/>
      <c r="I4439" s="397"/>
      <c r="J4439" s="396"/>
      <c r="K4439" s="396"/>
      <c r="L4439" s="396"/>
      <c r="M4439" s="396"/>
      <c r="N4439" s="396"/>
      <c r="O4439" s="396"/>
      <c r="P4439" s="396"/>
      <c r="Q4439" s="396"/>
      <c r="R4439" s="396"/>
      <c r="S4439" s="396"/>
      <c r="T4439" s="396"/>
      <c r="U4439" s="388"/>
      <c r="V4439" s="396"/>
      <c r="W4439" s="388"/>
      <c r="X4439" s="396"/>
      <c r="Y4439" s="389"/>
      <c r="Z4439" s="396"/>
      <c r="AA4439" s="388"/>
      <c r="AB4439" s="390"/>
    </row>
    <row r="4440" spans="1:28">
      <c r="A4440" s="391"/>
      <c r="B4440" s="392"/>
      <c r="C4440" s="393" t="s">
        <v>201</v>
      </c>
      <c r="D4440" s="2562">
        <f>VLOOKUP(C4435,'Data Panjang Balok'!$C$9:$N$254,10,FALSE)</f>
        <v>0</v>
      </c>
      <c r="E4440" s="2563"/>
      <c r="F4440" s="2563"/>
      <c r="G4440" s="2563"/>
      <c r="H4440" s="2564"/>
      <c r="I4440" s="397"/>
      <c r="J4440" s="396"/>
      <c r="K4440" s="396"/>
      <c r="L4440" s="396"/>
      <c r="M4440" s="396"/>
      <c r="N4440" s="396"/>
      <c r="O4440" s="396"/>
      <c r="P4440" s="396"/>
      <c r="Q4440" s="396"/>
      <c r="R4440" s="396"/>
      <c r="S4440" s="396"/>
      <c r="T4440" s="396"/>
      <c r="U4440" s="388"/>
      <c r="V4440" s="396"/>
      <c r="W4440" s="388"/>
      <c r="X4440" s="396"/>
      <c r="Y4440" s="389"/>
      <c r="Z4440" s="396"/>
      <c r="AA4440" s="388"/>
      <c r="AB4440" s="390"/>
    </row>
    <row r="4441" spans="1:28">
      <c r="A4441" s="391"/>
      <c r="B4441" s="392"/>
      <c r="C4441" s="393" t="s">
        <v>48</v>
      </c>
      <c r="D4441" s="2562">
        <f>VLOOKUP(C4435,'Data Panjang Balok'!$C$9:$N$254,3,FALSE)</f>
        <v>1</v>
      </c>
      <c r="E4441" s="2563"/>
      <c r="F4441" s="2563"/>
      <c r="G4441" s="2563"/>
      <c r="H4441" s="2564"/>
      <c r="I4441" s="397"/>
      <c r="J4441" s="396"/>
      <c r="K4441" s="396"/>
      <c r="L4441" s="396"/>
      <c r="M4441" s="396"/>
      <c r="N4441" s="396"/>
      <c r="O4441" s="396"/>
      <c r="P4441" s="396"/>
      <c r="Q4441" s="396"/>
      <c r="R4441" s="396"/>
      <c r="S4441" s="396"/>
      <c r="T4441" s="396"/>
      <c r="U4441" s="388"/>
      <c r="V4441" s="396"/>
      <c r="W4441" s="388"/>
      <c r="X4441" s="396"/>
      <c r="Y4441" s="389"/>
      <c r="Z4441" s="396"/>
      <c r="AA4441" s="388"/>
      <c r="AB4441" s="390"/>
    </row>
    <row r="4442" spans="1:28">
      <c r="A4442" s="384" t="str">
        <f t="shared" ref="A4442:B4442" si="14314">A4435</f>
        <v>Lantai 3</v>
      </c>
      <c r="B4442" s="385">
        <f t="shared" si="14314"/>
        <v>6</v>
      </c>
      <c r="C4442" s="393" t="s">
        <v>202</v>
      </c>
      <c r="D4442" s="398">
        <f>VLOOKUP(D4435,'Detail Balok'!$C$10:$AU$140,4,FALSE)</f>
        <v>4</v>
      </c>
      <c r="E4442" s="388" t="s">
        <v>16</v>
      </c>
      <c r="F4442" s="388">
        <f>VLOOKUP(D4435,'Detail Balok'!$C$10:$AU$140,6,FALSE)</f>
        <v>16</v>
      </c>
      <c r="G4442" s="388"/>
      <c r="H4442" s="395"/>
      <c r="I4442" s="388" t="s">
        <v>203</v>
      </c>
      <c r="J4442" s="399">
        <f t="shared" ref="J4442" si="14315">+D4437/4/1000</f>
        <v>2.25</v>
      </c>
      <c r="K4442" s="400" t="s">
        <v>204</v>
      </c>
      <c r="L4442" s="399">
        <f t="shared" ref="L4442" si="14316">MAX(VLOOKUP(F4442,N$6:P$15,3,FALSE)/1000,2/3*D4439/1000)+F$16*F4442/1000</f>
        <v>0.192</v>
      </c>
      <c r="M4442" s="399" t="s">
        <v>176</v>
      </c>
      <c r="N4442" s="399">
        <f t="shared" ref="N4442:N4444" si="14317">J4442+L4442</f>
        <v>2.4420000000000002</v>
      </c>
      <c r="O4442" s="399" t="s">
        <v>204</v>
      </c>
      <c r="P4442" s="389">
        <f t="shared" ref="P4442" si="14318">D4442-D4443</f>
        <v>1</v>
      </c>
      <c r="Q4442" s="399" t="s">
        <v>125</v>
      </c>
      <c r="R4442" s="399">
        <f t="shared" ref="R4442" si="14319">IF(P4442&gt;0,$F$18*F4442/1000,0)</f>
        <v>0.24</v>
      </c>
      <c r="S4442" s="399" t="s">
        <v>205</v>
      </c>
      <c r="T4442" s="399" t="s">
        <v>125</v>
      </c>
      <c r="U4442" s="401">
        <f t="shared" ref="U4442:U4444" si="14320">0.006165*F4442^2</f>
        <v>1.5782400000000001</v>
      </c>
      <c r="V4442" s="399"/>
      <c r="W4442" s="399"/>
      <c r="X4442" s="399" t="s">
        <v>125</v>
      </c>
      <c r="Y4442" s="389">
        <f t="shared" ref="Y4442" si="14321">D4441</f>
        <v>1</v>
      </c>
      <c r="Z4442" s="400" t="s">
        <v>176</v>
      </c>
      <c r="AA4442" s="402">
        <f t="shared" ref="AA4442" si="14322">IF(AA4445=0,(D4442*N4442+P4442*R4442)*U4442*Y4442,0)</f>
        <v>15.795025920000002</v>
      </c>
      <c r="AB4442" s="403"/>
    </row>
    <row r="4443" spans="1:28">
      <c r="A4443" s="384" t="str">
        <f t="shared" ref="A4443:B4443" si="14323">A4435</f>
        <v>Lantai 3</v>
      </c>
      <c r="B4443" s="385">
        <f t="shared" si="14323"/>
        <v>6</v>
      </c>
      <c r="C4443" s="393" t="s">
        <v>206</v>
      </c>
      <c r="D4443" s="398">
        <f>VLOOKUP(D4435,'Detail Balok'!$C$10:$AU$140,7,FALSE)</f>
        <v>3</v>
      </c>
      <c r="E4443" s="388" t="s">
        <v>16</v>
      </c>
      <c r="F4443" s="388">
        <f>VLOOKUP(D4435,'Detail Balok'!$C$10:$AU$140,9,FALSE)</f>
        <v>16</v>
      </c>
      <c r="G4443" s="388"/>
      <c r="H4443" s="395"/>
      <c r="I4443" s="388" t="s">
        <v>203</v>
      </c>
      <c r="J4443" s="399">
        <f t="shared" ref="J4443" si="14324">+D4437/2/1000</f>
        <v>4.5</v>
      </c>
      <c r="K4443" s="400" t="s">
        <v>204</v>
      </c>
      <c r="L4443" s="399"/>
      <c r="M4443" s="399" t="s">
        <v>176</v>
      </c>
      <c r="N4443" s="399">
        <f t="shared" si="14317"/>
        <v>4.5</v>
      </c>
      <c r="O4443" s="399" t="s">
        <v>204</v>
      </c>
      <c r="P4443" s="389">
        <f t="shared" ref="P4443" si="14325">MAX(D4443-D4442,D4443-D4444)</f>
        <v>-1</v>
      </c>
      <c r="Q4443" s="399" t="s">
        <v>125</v>
      </c>
      <c r="R4443" s="399">
        <f t="shared" ref="R4443" si="14326">IF(P4443&gt;0,2*(1-2*$F$19-1/2)*D4438/1000,0)</f>
        <v>0</v>
      </c>
      <c r="S4443" s="399" t="s">
        <v>205</v>
      </c>
      <c r="T4443" s="399" t="s">
        <v>125</v>
      </c>
      <c r="U4443" s="401">
        <f t="shared" si="14320"/>
        <v>1.5782400000000001</v>
      </c>
      <c r="V4443" s="399"/>
      <c r="W4443" s="399"/>
      <c r="X4443" s="399" t="s">
        <v>125</v>
      </c>
      <c r="Y4443" s="389">
        <f t="shared" ref="Y4443" si="14327">D4441</f>
        <v>1</v>
      </c>
      <c r="Z4443" s="400" t="s">
        <v>176</v>
      </c>
      <c r="AA4443" s="402">
        <f t="shared" ref="AA4443" si="14328">IF(AA4445=0,(D4443*N4443+P4443*R4443)*U4443*Y4443,0)</f>
        <v>21.306240000000003</v>
      </c>
      <c r="AB4443" s="403"/>
    </row>
    <row r="4444" spans="1:28">
      <c r="A4444" s="384" t="str">
        <f t="shared" ref="A4444:B4444" si="14329">A4435</f>
        <v>Lantai 3</v>
      </c>
      <c r="B4444" s="385">
        <f t="shared" si="14329"/>
        <v>6</v>
      </c>
      <c r="C4444" s="393" t="s">
        <v>202</v>
      </c>
      <c r="D4444" s="398">
        <f>VLOOKUP(D4435,'Detail Balok'!$C$10:$AU$140,10,FALSE)</f>
        <v>4</v>
      </c>
      <c r="E4444" s="388" t="s">
        <v>16</v>
      </c>
      <c r="F4444" s="388">
        <f>VLOOKUP(D4435,'Detail Balok'!$C$10:$AU$140,12,FALSE)</f>
        <v>16</v>
      </c>
      <c r="G4444" s="388"/>
      <c r="H4444" s="395"/>
      <c r="I4444" s="388" t="s">
        <v>203</v>
      </c>
      <c r="J4444" s="399">
        <f t="shared" ref="J4444" si="14330">+D4437/4/1000</f>
        <v>2.25</v>
      </c>
      <c r="K4444" s="400" t="s">
        <v>204</v>
      </c>
      <c r="L4444" s="399">
        <f t="shared" ref="L4444" si="14331">MAX(VLOOKUP(F4444,N$6:P$15,3,FALSE)/1000,2/3*D4439/1000)+F$16*F4444/1000</f>
        <v>0.192</v>
      </c>
      <c r="M4444" s="399" t="s">
        <v>176</v>
      </c>
      <c r="N4444" s="399">
        <f t="shared" si="14317"/>
        <v>2.4420000000000002</v>
      </c>
      <c r="O4444" s="399" t="s">
        <v>204</v>
      </c>
      <c r="P4444" s="389">
        <f t="shared" ref="P4444" si="14332">D4444-D4443</f>
        <v>1</v>
      </c>
      <c r="Q4444" s="399" t="s">
        <v>125</v>
      </c>
      <c r="R4444" s="399">
        <f t="shared" ref="R4444" si="14333">IF(P4444&gt;0,$F$18*F4444/1000,0)</f>
        <v>0.24</v>
      </c>
      <c r="S4444" s="399" t="s">
        <v>205</v>
      </c>
      <c r="T4444" s="399" t="s">
        <v>125</v>
      </c>
      <c r="U4444" s="401">
        <f t="shared" si="14320"/>
        <v>1.5782400000000001</v>
      </c>
      <c r="V4444" s="399"/>
      <c r="W4444" s="399"/>
      <c r="X4444" s="399" t="s">
        <v>125</v>
      </c>
      <c r="Y4444" s="389">
        <f t="shared" ref="Y4444" si="14334">D4441</f>
        <v>1</v>
      </c>
      <c r="Z4444" s="400" t="s">
        <v>176</v>
      </c>
      <c r="AA4444" s="402">
        <f t="shared" ref="AA4444" si="14335">IF(AA4445=0,(D4444*N4444+P4444*R4444)*U4444*Y4444,0)</f>
        <v>15.795025920000002</v>
      </c>
      <c r="AB4444" s="403"/>
    </row>
    <row r="4445" spans="1:28">
      <c r="A4445" s="384" t="str">
        <f t="shared" ref="A4445:B4445" si="14336">A4435</f>
        <v>Lantai 3</v>
      </c>
      <c r="B4445" s="385">
        <f t="shared" si="14336"/>
        <v>6</v>
      </c>
      <c r="C4445" s="393"/>
      <c r="D4445" s="398">
        <f t="shared" ref="D4445:D4505" si="14337">IF(AND(D4442=D4443,D4443=D4444,D4442=D4444),D4442,0)</f>
        <v>0</v>
      </c>
      <c r="E4445" s="388" t="s">
        <v>16</v>
      </c>
      <c r="F4445" s="388">
        <f t="shared" ref="F4445:F4505" si="14338">IF(AND(F4442=F4443,F4442=F4444,F4443=F4444),F4442,0)</f>
        <v>16</v>
      </c>
      <c r="G4445" s="388"/>
      <c r="H4445" s="395"/>
      <c r="I4445" s="388"/>
      <c r="J4445" s="396"/>
      <c r="K4445" s="396"/>
      <c r="L4445" s="404" t="s">
        <v>207</v>
      </c>
      <c r="M4445" s="399" t="s">
        <v>176</v>
      </c>
      <c r="N4445" s="399">
        <f t="shared" ref="N4445" si="14339">IF(AND(D4442=D4443,D4442=D4444,D4443=D4444,F4442=F4443,F4442=F4444,F4443=F4444),SUM(N4442:N4444),0)</f>
        <v>0</v>
      </c>
      <c r="O4445" s="399" t="s">
        <v>204</v>
      </c>
      <c r="P4445" s="389">
        <f t="shared" ref="P4445" si="14340">IF(N4445&gt;12,ROUNDDOWN(N4445/12,0),0)</f>
        <v>0</v>
      </c>
      <c r="Q4445" s="399" t="s">
        <v>125</v>
      </c>
      <c r="R4445" s="399">
        <f t="shared" ref="R4445" si="14341">IF(P4445&gt;0,MAX(VLOOKUP(F4445,$D$6:$G$15,3,FALSE),600),0)/1000</f>
        <v>0</v>
      </c>
      <c r="S4445" s="396"/>
      <c r="T4445" s="396" t="s">
        <v>125</v>
      </c>
      <c r="U4445" s="401">
        <f t="shared" ref="U4445:U4505" si="14342">U4444</f>
        <v>1.5782400000000001</v>
      </c>
      <c r="V4445" s="396" t="s">
        <v>125</v>
      </c>
      <c r="W4445" s="399">
        <f t="shared" ref="W4445" si="14343">D4445</f>
        <v>0</v>
      </c>
      <c r="X4445" s="399" t="s">
        <v>125</v>
      </c>
      <c r="Y4445" s="389">
        <f t="shared" ref="Y4445:Y4505" si="14344">Y4444</f>
        <v>1</v>
      </c>
      <c r="Z4445" s="400" t="s">
        <v>176</v>
      </c>
      <c r="AA4445" s="402">
        <f t="shared" ref="AA4445" si="14345">(N4445+P4445*R4445/1000)*U4445*W4445*Y4445</f>
        <v>0</v>
      </c>
      <c r="AB4445" s="390"/>
    </row>
    <row r="4446" spans="1:28">
      <c r="A4446" s="384"/>
      <c r="B4446" s="385"/>
      <c r="C4446" s="393"/>
      <c r="D4446" s="398"/>
      <c r="E4446" s="388"/>
      <c r="F4446" s="388"/>
      <c r="G4446" s="388"/>
      <c r="H4446" s="395"/>
      <c r="I4446" s="388"/>
      <c r="J4446" s="396"/>
      <c r="K4446" s="396"/>
      <c r="L4446" s="404"/>
      <c r="M4446" s="399"/>
      <c r="N4446" s="399"/>
      <c r="O4446" s="396"/>
      <c r="P4446" s="389"/>
      <c r="Q4446" s="396"/>
      <c r="R4446" s="396"/>
      <c r="S4446" s="396"/>
      <c r="T4446" s="396"/>
      <c r="U4446" s="401"/>
      <c r="V4446" s="396"/>
      <c r="W4446" s="399"/>
      <c r="X4446" s="396"/>
      <c r="Y4446" s="389"/>
      <c r="Z4446" s="396"/>
      <c r="AA4446" s="388"/>
      <c r="AB4446" s="390"/>
    </row>
    <row r="4447" spans="1:28">
      <c r="A4447" s="384" t="str">
        <f t="shared" ref="A4447:B4447" si="14346">A4435</f>
        <v>Lantai 3</v>
      </c>
      <c r="B4447" s="385">
        <f t="shared" si="14346"/>
        <v>6</v>
      </c>
      <c r="C4447" s="393" t="s">
        <v>208</v>
      </c>
      <c r="D4447" s="398">
        <f>VLOOKUP(D4435,'Detail Balok'!$C$10:$AU$140,13,FALSE)</f>
        <v>2</v>
      </c>
      <c r="E4447" s="388" t="s">
        <v>16</v>
      </c>
      <c r="F4447" s="388">
        <f>VLOOKUP(D4435,'Detail Balok'!$C$10:$AU$140,15,FALSE)</f>
        <v>10</v>
      </c>
      <c r="G4447" s="388"/>
      <c r="H4447" s="395"/>
      <c r="I4447" s="388"/>
      <c r="J4447" s="399">
        <f t="shared" ref="J4447" si="14347">+D4437/1000</f>
        <v>9</v>
      </c>
      <c r="K4447" s="400" t="s">
        <v>204</v>
      </c>
      <c r="L4447" s="399">
        <f t="shared" ref="L4447" si="14348">2*$F$16*F4447/1000</f>
        <v>0.24</v>
      </c>
      <c r="M4447" s="399" t="s">
        <v>176</v>
      </c>
      <c r="N4447" s="399">
        <f t="shared" ref="N4447" si="14349">J4447+L4447</f>
        <v>9.24</v>
      </c>
      <c r="O4447" s="399" t="s">
        <v>204</v>
      </c>
      <c r="P4447" s="389">
        <f t="shared" ref="P4447" si="14350">IF(N4447&gt;12,ROUNDDOWN(N4447/12,0),0)</f>
        <v>0</v>
      </c>
      <c r="Q4447" s="399" t="s">
        <v>125</v>
      </c>
      <c r="R4447" s="399">
        <f t="shared" ref="R4447" si="14351">IF(P4447&gt;0,MAX(VLOOKUP(F4447,$D$6:$G$15,3,FALSE),600),0)/1000</f>
        <v>0</v>
      </c>
      <c r="S4447" s="399"/>
      <c r="T4447" s="399" t="s">
        <v>125</v>
      </c>
      <c r="U4447" s="401">
        <f t="shared" ref="U4447" si="14352">0.006165*F4447^2</f>
        <v>0.61650000000000005</v>
      </c>
      <c r="V4447" s="399" t="s">
        <v>125</v>
      </c>
      <c r="W4447" s="399">
        <f t="shared" ref="W4447" si="14353">+D4447</f>
        <v>2</v>
      </c>
      <c r="X4447" s="399" t="s">
        <v>125</v>
      </c>
      <c r="Y4447" s="389">
        <f t="shared" ref="Y4447" si="14354">D4441</f>
        <v>1</v>
      </c>
      <c r="Z4447" s="400" t="s">
        <v>176</v>
      </c>
      <c r="AA4447" s="402">
        <f t="shared" ref="AA4447" si="14355">(N4447+P4447*R4447/1000)*U4447*W4447*Y4447</f>
        <v>11.392920000000002</v>
      </c>
      <c r="AB4447" s="403"/>
    </row>
    <row r="4448" spans="1:28">
      <c r="A4448" s="384"/>
      <c r="B4448" s="385"/>
      <c r="C4448" s="393"/>
      <c r="D4448" s="398"/>
      <c r="E4448" s="388"/>
      <c r="F4448" s="388"/>
      <c r="G4448" s="388"/>
      <c r="H4448" s="395"/>
      <c r="I4448" s="388"/>
      <c r="J4448" s="399"/>
      <c r="K4448" s="400"/>
      <c r="L4448" s="399"/>
      <c r="M4448" s="399"/>
      <c r="N4448" s="399"/>
      <c r="O4448" s="399"/>
      <c r="P4448" s="389"/>
      <c r="Q4448" s="399"/>
      <c r="R4448" s="399"/>
      <c r="S4448" s="399"/>
      <c r="T4448" s="399"/>
      <c r="U4448" s="401"/>
      <c r="V4448" s="399"/>
      <c r="W4448" s="399"/>
      <c r="X4448" s="399"/>
      <c r="Y4448" s="389"/>
      <c r="Z4448" s="400"/>
      <c r="AA4448" s="402"/>
      <c r="AB4448" s="403"/>
    </row>
    <row r="4449" spans="1:28">
      <c r="A4449" s="384"/>
      <c r="B4449" s="385"/>
      <c r="C4449" s="393"/>
      <c r="D4449" s="398"/>
      <c r="E4449" s="388"/>
      <c r="F4449" s="388"/>
      <c r="G4449" s="388"/>
      <c r="H4449" s="395"/>
      <c r="I4449" s="388"/>
      <c r="J4449" s="396"/>
      <c r="K4449" s="396"/>
      <c r="L4449" s="396"/>
      <c r="M4449" s="396"/>
      <c r="N4449" s="396"/>
      <c r="O4449" s="396"/>
      <c r="P4449" s="389"/>
      <c r="Q4449" s="396"/>
      <c r="R4449" s="396"/>
      <c r="S4449" s="396"/>
      <c r="T4449" s="396"/>
      <c r="U4449" s="401"/>
      <c r="V4449" s="396"/>
      <c r="W4449" s="399"/>
      <c r="X4449" s="396"/>
      <c r="Y4449" s="389"/>
      <c r="Z4449" s="396"/>
      <c r="AA4449" s="388"/>
      <c r="AB4449" s="390"/>
    </row>
    <row r="4450" spans="1:28">
      <c r="A4450" s="384" t="str">
        <f t="shared" ref="A4450:B4450" si="14356">A4435</f>
        <v>Lantai 3</v>
      </c>
      <c r="B4450" s="385">
        <f t="shared" si="14356"/>
        <v>6</v>
      </c>
      <c r="C4450" s="393" t="s">
        <v>209</v>
      </c>
      <c r="D4450" s="398">
        <f>VLOOKUP(D4435,'Detail Balok'!$C$10:$AU$140,22,FALSE)</f>
        <v>3</v>
      </c>
      <c r="E4450" s="388" t="s">
        <v>16</v>
      </c>
      <c r="F4450" s="388">
        <f>VLOOKUP(D4435,'Detail Balok'!$C$10:$AU$140,24,FALSE)</f>
        <v>16</v>
      </c>
      <c r="G4450" s="388"/>
      <c r="H4450" s="395"/>
      <c r="I4450" s="388" t="s">
        <v>203</v>
      </c>
      <c r="J4450" s="399">
        <f t="shared" ref="J4450:J4512" si="14357">+J4442</f>
        <v>2.25</v>
      </c>
      <c r="K4450" s="400" t="s">
        <v>204</v>
      </c>
      <c r="L4450" s="399">
        <f t="shared" ref="L4450" si="14358">MAX(VLOOKUP(F4450,N$6:P$15,3,FALSE)/1000,2/3*D4440/1000)+F$16*F4450/1000</f>
        <v>0.192</v>
      </c>
      <c r="M4450" s="399" t="s">
        <v>176</v>
      </c>
      <c r="N4450" s="399">
        <f t="shared" ref="N4450:N4452" si="14359">J4450+L4450</f>
        <v>2.4420000000000002</v>
      </c>
      <c r="O4450" s="399" t="s">
        <v>204</v>
      </c>
      <c r="P4450" s="389">
        <f t="shared" ref="P4450" si="14360">D4450-D4451</f>
        <v>-1</v>
      </c>
      <c r="Q4450" s="399" t="s">
        <v>125</v>
      </c>
      <c r="R4450" s="399">
        <f t="shared" ref="R4450" si="14361">IF(P4450&gt;0,$F$18*F4450/1000,0)</f>
        <v>0</v>
      </c>
      <c r="S4450" s="399" t="s">
        <v>205</v>
      </c>
      <c r="T4450" s="399" t="s">
        <v>125</v>
      </c>
      <c r="U4450" s="401">
        <f t="shared" ref="U4450:U4452" si="14362">0.006165*F4450^2</f>
        <v>1.5782400000000001</v>
      </c>
      <c r="V4450" s="399"/>
      <c r="W4450" s="399"/>
      <c r="X4450" s="399" t="s">
        <v>125</v>
      </c>
      <c r="Y4450" s="389">
        <f t="shared" ref="Y4450" si="14363">D4441</f>
        <v>1</v>
      </c>
      <c r="Z4450" s="400" t="s">
        <v>176</v>
      </c>
      <c r="AA4450" s="402">
        <f t="shared" ref="AA4450" si="14364">IF(AA4453=0,(D4450*N4450+P4450*R4450)*U4450*Y4450,0)</f>
        <v>11.562186240000001</v>
      </c>
      <c r="AB4450" s="403"/>
    </row>
    <row r="4451" spans="1:28">
      <c r="A4451" s="384" t="str">
        <f t="shared" ref="A4451:B4451" si="14365">A4435</f>
        <v>Lantai 3</v>
      </c>
      <c r="B4451" s="385">
        <f t="shared" si="14365"/>
        <v>6</v>
      </c>
      <c r="C4451" s="393" t="s">
        <v>210</v>
      </c>
      <c r="D4451" s="398">
        <f>VLOOKUP(D4435,'Detail Balok'!$C$10:$AU$140,25,FALSE)</f>
        <v>4</v>
      </c>
      <c r="E4451" s="388" t="s">
        <v>16</v>
      </c>
      <c r="F4451" s="388">
        <f>VLOOKUP(D4435,'Detail Balok'!$C$10:$AU$140,27,FALSE)</f>
        <v>16</v>
      </c>
      <c r="G4451" s="388"/>
      <c r="H4451" s="395"/>
      <c r="I4451" s="388" t="s">
        <v>203</v>
      </c>
      <c r="J4451" s="399">
        <f t="shared" si="14357"/>
        <v>4.5</v>
      </c>
      <c r="K4451" s="400" t="s">
        <v>204</v>
      </c>
      <c r="L4451" s="399"/>
      <c r="M4451" s="399" t="s">
        <v>176</v>
      </c>
      <c r="N4451" s="399">
        <f t="shared" si="14359"/>
        <v>4.5</v>
      </c>
      <c r="O4451" s="399" t="s">
        <v>204</v>
      </c>
      <c r="P4451" s="389">
        <f t="shared" ref="P4451" si="14366">MAX(D4451-D4450,D4451-D4452)</f>
        <v>1</v>
      </c>
      <c r="Q4451" s="399" t="s">
        <v>125</v>
      </c>
      <c r="R4451" s="399">
        <f t="shared" ref="R4451" si="14367">IF(P4451&gt;0,2*(1-2*$F$19-1/2)*D4438/1000,0)</f>
        <v>1.7999999999999996</v>
      </c>
      <c r="S4451" s="399" t="s">
        <v>205</v>
      </c>
      <c r="T4451" s="399" t="s">
        <v>125</v>
      </c>
      <c r="U4451" s="401">
        <f t="shared" si="14362"/>
        <v>1.5782400000000001</v>
      </c>
      <c r="V4451" s="399"/>
      <c r="W4451" s="399"/>
      <c r="X4451" s="399" t="s">
        <v>125</v>
      </c>
      <c r="Y4451" s="389">
        <f t="shared" ref="Y4451" si="14368">D4441</f>
        <v>1</v>
      </c>
      <c r="Z4451" s="400" t="s">
        <v>176</v>
      </c>
      <c r="AA4451" s="402">
        <f t="shared" ref="AA4451" si="14369">IF(AA4453=0,(D4451*N4451+P4451*R4451)*U4451*Y4451,0)</f>
        <v>31.249152000000002</v>
      </c>
      <c r="AB4451" s="403"/>
    </row>
    <row r="4452" spans="1:28">
      <c r="A4452" s="384" t="str">
        <f t="shared" ref="A4452:B4452" si="14370">A4435</f>
        <v>Lantai 3</v>
      </c>
      <c r="B4452" s="385">
        <f t="shared" si="14370"/>
        <v>6</v>
      </c>
      <c r="C4452" s="393" t="s">
        <v>209</v>
      </c>
      <c r="D4452" s="398">
        <f>VLOOKUP(D4435,'Detail Balok'!$C$10:$AU$140,28,FALSE)</f>
        <v>3</v>
      </c>
      <c r="E4452" s="388" t="s">
        <v>16</v>
      </c>
      <c r="F4452" s="388">
        <f>VLOOKUP(D4435,'Detail Balok'!$C$10:$AU$140,30,FALSE)</f>
        <v>16</v>
      </c>
      <c r="G4452" s="388"/>
      <c r="H4452" s="395"/>
      <c r="I4452" s="388" t="s">
        <v>203</v>
      </c>
      <c r="J4452" s="399">
        <f t="shared" si="14357"/>
        <v>2.25</v>
      </c>
      <c r="K4452" s="400" t="s">
        <v>204</v>
      </c>
      <c r="L4452" s="399">
        <f t="shared" ref="L4452" si="14371">MAX(VLOOKUP(F4452,N$6:P$15,3,FALSE)/1000,2/3*D4440/1000)+F$16*F4452/1000</f>
        <v>0.192</v>
      </c>
      <c r="M4452" s="399" t="s">
        <v>176</v>
      </c>
      <c r="N4452" s="399">
        <f t="shared" si="14359"/>
        <v>2.4420000000000002</v>
      </c>
      <c r="O4452" s="399" t="s">
        <v>204</v>
      </c>
      <c r="P4452" s="389">
        <f t="shared" ref="P4452" si="14372">D4452-D4451</f>
        <v>-1</v>
      </c>
      <c r="Q4452" s="399" t="s">
        <v>125</v>
      </c>
      <c r="R4452" s="399">
        <f t="shared" ref="R4452" si="14373">IF(P4452&gt;0,$F$18*F4452/1000,0)</f>
        <v>0</v>
      </c>
      <c r="S4452" s="399" t="s">
        <v>205</v>
      </c>
      <c r="T4452" s="399" t="s">
        <v>125</v>
      </c>
      <c r="U4452" s="401">
        <f t="shared" si="14362"/>
        <v>1.5782400000000001</v>
      </c>
      <c r="V4452" s="399"/>
      <c r="W4452" s="399"/>
      <c r="X4452" s="399" t="s">
        <v>125</v>
      </c>
      <c r="Y4452" s="389">
        <f t="shared" ref="Y4452" si="14374">D4441</f>
        <v>1</v>
      </c>
      <c r="Z4452" s="400" t="s">
        <v>176</v>
      </c>
      <c r="AA4452" s="402">
        <f t="shared" ref="AA4452" si="14375">IF(AA4453=0,(D4452*N4452+P4452*R4452)*U4452*Y4452,0)</f>
        <v>11.562186240000001</v>
      </c>
      <c r="AB4452" s="403"/>
    </row>
    <row r="4453" spans="1:28">
      <c r="A4453" s="384" t="str">
        <f t="shared" ref="A4453:B4453" si="14376">A4435</f>
        <v>Lantai 3</v>
      </c>
      <c r="B4453" s="385">
        <f t="shared" si="14376"/>
        <v>6</v>
      </c>
      <c r="C4453" s="393"/>
      <c r="D4453" s="398">
        <f t="shared" ref="D4453:D4513" si="14377">IF(AND(D4450=D4451,D4451=D4452,D4450=D4452),D4450,0)</f>
        <v>0</v>
      </c>
      <c r="E4453" s="388" t="s">
        <v>16</v>
      </c>
      <c r="F4453" s="388">
        <f t="shared" ref="F4453:F4513" si="14378">IF(AND(F4450=F4451,F4450=F4452,F4451=F4452),F4450,0)</f>
        <v>16</v>
      </c>
      <c r="G4453" s="388"/>
      <c r="H4453" s="395"/>
      <c r="I4453" s="388"/>
      <c r="J4453" s="396"/>
      <c r="K4453" s="396"/>
      <c r="L4453" s="404" t="s">
        <v>207</v>
      </c>
      <c r="M4453" s="399" t="s">
        <v>176</v>
      </c>
      <c r="N4453" s="399">
        <f t="shared" ref="N4453" si="14379">IF(AND(D4450=D4451,D4450=D4452,D4451=D4452,F4450=F4451,F4450=F4452,F4451=F4452),SUM(N4450:N4452),0)</f>
        <v>0</v>
      </c>
      <c r="O4453" s="399" t="s">
        <v>204</v>
      </c>
      <c r="P4453" s="389">
        <f t="shared" ref="P4453" si="14380">IF(N4453&gt;12,ROUNDDOWN(N4453/12,0),0)</f>
        <v>0</v>
      </c>
      <c r="Q4453" s="399" t="s">
        <v>125</v>
      </c>
      <c r="R4453" s="399">
        <f t="shared" ref="R4453" si="14381">IF(P4453&gt;0,MAX(VLOOKUP(F4453,$D$6:$G$15,3,FALSE),600),0)/1000</f>
        <v>0</v>
      </c>
      <c r="S4453" s="396"/>
      <c r="T4453" s="396" t="s">
        <v>125</v>
      </c>
      <c r="U4453" s="401">
        <f t="shared" ref="U4453:U4513" si="14382">U4452</f>
        <v>1.5782400000000001</v>
      </c>
      <c r="V4453" s="396" t="s">
        <v>125</v>
      </c>
      <c r="W4453" s="399">
        <f t="shared" ref="W4453" si="14383">D4453</f>
        <v>0</v>
      </c>
      <c r="X4453" s="399" t="s">
        <v>125</v>
      </c>
      <c r="Y4453" s="389">
        <f t="shared" ref="Y4453:Y4513" si="14384">Y4452</f>
        <v>1</v>
      </c>
      <c r="Z4453" s="400" t="s">
        <v>176</v>
      </c>
      <c r="AA4453" s="402">
        <f t="shared" ref="AA4453" si="14385">(N4453+P4453*R4453/1000)*U4453*W4453*Y4453</f>
        <v>0</v>
      </c>
      <c r="AB4453" s="403"/>
    </row>
    <row r="4454" spans="1:28">
      <c r="A4454" s="384"/>
      <c r="B4454" s="385"/>
      <c r="C4454" s="393"/>
      <c r="D4454" s="394"/>
      <c r="E4454" s="388"/>
      <c r="F4454" s="388"/>
      <c r="G4454" s="388"/>
      <c r="H4454" s="395"/>
      <c r="I4454" s="388"/>
      <c r="J4454" s="399"/>
      <c r="K4454" s="396"/>
      <c r="L4454" s="396"/>
      <c r="M4454" s="396"/>
      <c r="N4454" s="396"/>
      <c r="O4454" s="396"/>
      <c r="P4454" s="389"/>
      <c r="Q4454" s="396"/>
      <c r="R4454" s="396"/>
      <c r="S4454" s="396"/>
      <c r="T4454" s="396"/>
      <c r="U4454" s="401"/>
      <c r="V4454" s="396"/>
      <c r="W4454" s="388"/>
      <c r="X4454" s="396"/>
      <c r="Y4454" s="389"/>
      <c r="Z4454" s="396"/>
      <c r="AA4454" s="388"/>
      <c r="AB4454" s="390"/>
    </row>
    <row r="4455" spans="1:28">
      <c r="A4455" s="384" t="str">
        <f t="shared" ref="A4455:B4455" si="14386">A4435</f>
        <v>Lantai 3</v>
      </c>
      <c r="B4455" s="385">
        <f t="shared" si="14386"/>
        <v>6</v>
      </c>
      <c r="C4455" s="393" t="s">
        <v>211</v>
      </c>
      <c r="D4455" s="398">
        <f>VLOOKUP(D4435,'Detail Balok'!$C$10:$AU$140,31,FALSE)</f>
        <v>0</v>
      </c>
      <c r="E4455" s="388" t="s">
        <v>16</v>
      </c>
      <c r="F4455" s="388">
        <f>VLOOKUP(D4435,'Detail Balok'!$C$10:$AU$140,33,FALSE)</f>
        <v>10</v>
      </c>
      <c r="G4455" s="405" t="s">
        <v>157</v>
      </c>
      <c r="H4455" s="395">
        <f>VLOOKUP(D4435,'Detail Balok'!$C$10:$AU$140,35,FALSE)</f>
        <v>100</v>
      </c>
      <c r="I4455" s="388"/>
      <c r="J4455" s="400">
        <f t="shared" ref="J4455" si="14387">(IF(D4455=0,(2*(D4436+G4436))-(F$5*8),IF(D4455=3,(2*(D4436+G4436))-(F$5*8)+(G4436-2*F$5),IF(D4455=4,(2*(D4436+G4436))-(F$5*8)+2*(G4436-2*F$5)))))/1000</f>
        <v>1.28</v>
      </c>
      <c r="K4455" s="400" t="s">
        <v>204</v>
      </c>
      <c r="L4455" s="399">
        <f t="shared" ref="L4455:L4457" si="14388">IF(D4455=0,2*MAX(6*F4455,75),(D4455-1)*2*MAX(6*F4455,75))/1000</f>
        <v>0.15</v>
      </c>
      <c r="M4455" s="399" t="s">
        <v>176</v>
      </c>
      <c r="N4455" s="399">
        <f t="shared" ref="N4455:N4457" si="14389">J4455+L4455</f>
        <v>1.43</v>
      </c>
      <c r="O4455" s="399"/>
      <c r="P4455" s="389"/>
      <c r="Q4455" s="399"/>
      <c r="R4455" s="399"/>
      <c r="S4455" s="399"/>
      <c r="T4455" s="399" t="s">
        <v>125</v>
      </c>
      <c r="U4455" s="401">
        <f t="shared" ref="U4455:U4457" si="14390">0.006165*F4455^2</f>
        <v>0.61650000000000005</v>
      </c>
      <c r="V4455" s="399" t="s">
        <v>125</v>
      </c>
      <c r="W4455" s="399">
        <f t="shared" ref="W4455" si="14391">IF(D4438&gt;4*G4436,ROUND(MAX(D4438/4,2*G4436)/H4455,0)+1,ROUND(D4438/H4455,0)+1)</f>
        <v>24</v>
      </c>
      <c r="X4455" s="399" t="s">
        <v>125</v>
      </c>
      <c r="Y4455" s="389">
        <f t="shared" ref="Y4455" si="14392">D4441</f>
        <v>1</v>
      </c>
      <c r="Z4455" s="400" t="s">
        <v>176</v>
      </c>
      <c r="AA4455" s="402">
        <f t="shared" ref="AA4455:AA4457" si="14393">N4455*U4455*W4455*Y4455</f>
        <v>21.158280000000001</v>
      </c>
      <c r="AB4455" s="403"/>
    </row>
    <row r="4456" spans="1:28">
      <c r="A4456" s="384" t="str">
        <f t="shared" ref="A4456:B4456" si="14394">A4435</f>
        <v>Lantai 3</v>
      </c>
      <c r="B4456" s="385">
        <f t="shared" si="14394"/>
        <v>6</v>
      </c>
      <c r="C4456" s="393" t="s">
        <v>212</v>
      </c>
      <c r="D4456" s="398">
        <f>VLOOKUP(D4435,'Detail Balok'!$C$10:$AU$140,36,FALSE)</f>
        <v>0</v>
      </c>
      <c r="E4456" s="388" t="s">
        <v>16</v>
      </c>
      <c r="F4456" s="388">
        <f>VLOOKUP(D4435,'Detail Balok'!$C$10:$AU$140,38,FALSE)</f>
        <v>10</v>
      </c>
      <c r="G4456" s="405" t="s">
        <v>157</v>
      </c>
      <c r="H4456" s="395">
        <f>VLOOKUP(D4435,'Detail Balok'!$C$10:$AU$140,40,FALSE)</f>
        <v>150</v>
      </c>
      <c r="I4456" s="388"/>
      <c r="J4456" s="400">
        <f t="shared" ref="J4456" si="14395">(IF(D4456=0,(2*(D4436+G4436))-(F$5*8),IF(D4456=3,(2*(D4436+G4436))-(F$5*8)+(G4436-2*F$5),IF(D4456=4,(2*(D4436+G4436))-(F$5*8)+2*(G4436-2*F$5)))))/1000</f>
        <v>1.28</v>
      </c>
      <c r="K4456" s="400" t="s">
        <v>204</v>
      </c>
      <c r="L4456" s="399">
        <f t="shared" si="14388"/>
        <v>0.15</v>
      </c>
      <c r="M4456" s="399" t="s">
        <v>176</v>
      </c>
      <c r="N4456" s="399">
        <f t="shared" si="14389"/>
        <v>1.43</v>
      </c>
      <c r="O4456" s="399"/>
      <c r="P4456" s="389"/>
      <c r="Q4456" s="399"/>
      <c r="R4456" s="399"/>
      <c r="S4456" s="399"/>
      <c r="T4456" s="399" t="s">
        <v>125</v>
      </c>
      <c r="U4456" s="401">
        <f t="shared" si="14390"/>
        <v>0.61650000000000005</v>
      </c>
      <c r="V4456" s="399" t="s">
        <v>125</v>
      </c>
      <c r="W4456" s="399">
        <f t="shared" ref="W4456" si="14396">IF(D4438-MAX(D4438/4,2*G4436)*2&gt;0,ROUND((D4438-MAX(D4438/4,2*G4436)*2)/H4456,0),0)</f>
        <v>30</v>
      </c>
      <c r="X4456" s="399" t="s">
        <v>125</v>
      </c>
      <c r="Y4456" s="389">
        <f t="shared" ref="Y4456" si="14397">D4441</f>
        <v>1</v>
      </c>
      <c r="Z4456" s="400" t="s">
        <v>176</v>
      </c>
      <c r="AA4456" s="402">
        <f t="shared" si="14393"/>
        <v>26.447849999999999</v>
      </c>
      <c r="AB4456" s="403"/>
    </row>
    <row r="4457" spans="1:28">
      <c r="A4457" s="384" t="str">
        <f t="shared" ref="A4457:B4457" si="14398">A4435</f>
        <v>Lantai 3</v>
      </c>
      <c r="B4457" s="385">
        <f t="shared" si="14398"/>
        <v>6</v>
      </c>
      <c r="C4457" s="393" t="s">
        <v>211</v>
      </c>
      <c r="D4457" s="398">
        <f>VLOOKUP(D4435,'Detail Balok'!$C$10:$AU$140,41,FALSE)</f>
        <v>0</v>
      </c>
      <c r="E4457" s="388" t="s">
        <v>16</v>
      </c>
      <c r="F4457" s="388">
        <f>VLOOKUP(D4435,'Detail Balok'!$C$10:$AU$140,43,FALSE)</f>
        <v>10</v>
      </c>
      <c r="G4457" s="405" t="s">
        <v>157</v>
      </c>
      <c r="H4457" s="395">
        <f>VLOOKUP(D4435,'Detail Balok'!$C$10:$AU$140,45,FALSE)</f>
        <v>100</v>
      </c>
      <c r="I4457" s="388"/>
      <c r="J4457" s="400">
        <f t="shared" ref="J4457" si="14399">(IF(D4457=0,(2*(D4436+G4436))-(F$5*8),IF(D4457=3,(2*(D4436+G4436))-(F$5*8)+(G4436-2*F$5),IF(D4457=4,(2*(D4436+G4436))-(F$5*8)+2*(G4436-2*F$5)))))/1000</f>
        <v>1.28</v>
      </c>
      <c r="K4457" s="400" t="s">
        <v>204</v>
      </c>
      <c r="L4457" s="399">
        <f t="shared" si="14388"/>
        <v>0.15</v>
      </c>
      <c r="M4457" s="399" t="s">
        <v>176</v>
      </c>
      <c r="N4457" s="399">
        <f t="shared" si="14389"/>
        <v>1.43</v>
      </c>
      <c r="O4457" s="399"/>
      <c r="P4457" s="389"/>
      <c r="Q4457" s="399"/>
      <c r="R4457" s="399"/>
      <c r="S4457" s="399"/>
      <c r="T4457" s="399" t="s">
        <v>125</v>
      </c>
      <c r="U4457" s="401">
        <f t="shared" si="14390"/>
        <v>0.61650000000000005</v>
      </c>
      <c r="V4457" s="399" t="s">
        <v>125</v>
      </c>
      <c r="W4457" s="399">
        <f t="shared" ref="W4457" si="14400">IF(D4438&gt;4*G4436,ROUND(MAX(D4438/4,2*G4436)/H4457,0)+1,0)</f>
        <v>24</v>
      </c>
      <c r="X4457" s="399" t="s">
        <v>125</v>
      </c>
      <c r="Y4457" s="389">
        <f t="shared" ref="Y4457" si="14401">D4441</f>
        <v>1</v>
      </c>
      <c r="Z4457" s="400" t="s">
        <v>176</v>
      </c>
      <c r="AA4457" s="402">
        <f t="shared" si="14393"/>
        <v>21.158280000000001</v>
      </c>
      <c r="AB4457" s="403"/>
    </row>
    <row r="4458" spans="1:28">
      <c r="A4458" s="384"/>
      <c r="B4458" s="385"/>
      <c r="C4458" s="393"/>
      <c r="D4458" s="394"/>
      <c r="E4458" s="388"/>
      <c r="F4458" s="388"/>
      <c r="G4458" s="388"/>
      <c r="H4458" s="395"/>
      <c r="I4458" s="388"/>
      <c r="J4458" s="399"/>
      <c r="K4458" s="396"/>
      <c r="L4458" s="396"/>
      <c r="M4458" s="396"/>
      <c r="N4458" s="396"/>
      <c r="O4458" s="396"/>
      <c r="P4458" s="389"/>
      <c r="Q4458" s="396"/>
      <c r="R4458" s="396"/>
      <c r="S4458" s="396"/>
      <c r="T4458" s="396"/>
      <c r="U4458" s="401"/>
      <c r="V4458" s="396"/>
      <c r="W4458" s="388"/>
      <c r="X4458" s="396"/>
      <c r="Y4458" s="389"/>
      <c r="Z4458" s="396"/>
      <c r="AA4458" s="388"/>
      <c r="AB4458" s="390"/>
    </row>
    <row r="4459" spans="1:28">
      <c r="A4459" s="384" t="str">
        <f t="shared" ref="A4459:B4459" si="14402">A4435</f>
        <v>Lantai 3</v>
      </c>
      <c r="B4459" s="385">
        <f t="shared" si="14402"/>
        <v>6</v>
      </c>
      <c r="C4459" s="393" t="s">
        <v>213</v>
      </c>
      <c r="D4459" s="398">
        <f>VLOOKUP(D4435,'Detail Balok'!$C$10:$BJ$140,46,FALSE)</f>
        <v>0</v>
      </c>
      <c r="E4459" s="388" t="s">
        <v>16</v>
      </c>
      <c r="F4459" s="388">
        <f>VLOOKUP(D4435,'Detail Balok'!$C$10:$BJ$140,48,FALSE)</f>
        <v>0</v>
      </c>
      <c r="G4459" s="405" t="s">
        <v>157</v>
      </c>
      <c r="H4459" s="395">
        <f>VLOOKUP(D4435,'Detail Balok'!$C$10:$BJ$140,50,FALSE)</f>
        <v>100</v>
      </c>
      <c r="I4459" s="388"/>
      <c r="J4459" s="399">
        <f t="shared" ref="J4459" si="14403">(D4436-2*F$5)/1000</f>
        <v>0.12</v>
      </c>
      <c r="K4459" s="400" t="s">
        <v>204</v>
      </c>
      <c r="L4459" s="399">
        <f t="shared" ref="L4459:L4461" si="14404">IF(D4459=0,2*MAX(6*F4459,75),(D4459-1)*2*MAX(6*F4459,75))/1000</f>
        <v>0.15</v>
      </c>
      <c r="M4459" s="399" t="s">
        <v>176</v>
      </c>
      <c r="N4459" s="399">
        <f t="shared" ref="N4459:N4461" si="14405">J4459+L4459</f>
        <v>0.27</v>
      </c>
      <c r="O4459" s="399"/>
      <c r="P4459" s="399"/>
      <c r="Q4459" s="399"/>
      <c r="R4459" s="399"/>
      <c r="S4459" s="399"/>
      <c r="T4459" s="399" t="s">
        <v>125</v>
      </c>
      <c r="U4459" s="401">
        <f t="shared" ref="U4459:U4461" si="14406">0.006165*F4459^2</f>
        <v>0</v>
      </c>
      <c r="V4459" s="399" t="s">
        <v>125</v>
      </c>
      <c r="W4459" s="399">
        <f t="shared" ref="W4459:W4521" si="14407">W4455</f>
        <v>24</v>
      </c>
      <c r="X4459" s="399" t="s">
        <v>125</v>
      </c>
      <c r="Y4459" s="389">
        <f t="shared" ref="Y4459" si="14408">D4445</f>
        <v>0</v>
      </c>
      <c r="Z4459" s="400" t="s">
        <v>176</v>
      </c>
      <c r="AA4459" s="402">
        <f t="shared" ref="AA4459:AA4461" si="14409">N4459*U4459*W4459*Y4459</f>
        <v>0</v>
      </c>
      <c r="AB4459" s="403"/>
    </row>
    <row r="4460" spans="1:28">
      <c r="A4460" s="384" t="str">
        <f t="shared" ref="A4460:B4460" si="14410">A4435</f>
        <v>Lantai 3</v>
      </c>
      <c r="B4460" s="385">
        <f t="shared" si="14410"/>
        <v>6</v>
      </c>
      <c r="C4460" s="393" t="s">
        <v>214</v>
      </c>
      <c r="D4460" s="398">
        <f>VLOOKUP(D4435,'Detail Balok'!$C$10:$BJ$140,51,FALSE)</f>
        <v>0</v>
      </c>
      <c r="E4460" s="388" t="s">
        <v>16</v>
      </c>
      <c r="F4460" s="388">
        <f>VLOOKUP(D4435,'Detail Balok'!$C$10:$BJ$140,53,FALSE)</f>
        <v>0</v>
      </c>
      <c r="G4460" s="405" t="s">
        <v>157</v>
      </c>
      <c r="H4460" s="395">
        <f>VLOOKUP(D4435,'Detail Balok'!$C$10:$BJ$140,55,FALSE)</f>
        <v>100</v>
      </c>
      <c r="I4460" s="388"/>
      <c r="J4460" s="399">
        <f t="shared" ref="J4460" si="14411">(D4436-2*F$5)/1000</f>
        <v>0.12</v>
      </c>
      <c r="K4460" s="400" t="s">
        <v>204</v>
      </c>
      <c r="L4460" s="399">
        <f t="shared" si="14404"/>
        <v>0.15</v>
      </c>
      <c r="M4460" s="399" t="s">
        <v>176</v>
      </c>
      <c r="N4460" s="399">
        <f t="shared" si="14405"/>
        <v>0.27</v>
      </c>
      <c r="O4460" s="399"/>
      <c r="P4460" s="399"/>
      <c r="Q4460" s="399"/>
      <c r="R4460" s="399"/>
      <c r="S4460" s="399"/>
      <c r="T4460" s="399" t="s">
        <v>125</v>
      </c>
      <c r="U4460" s="401">
        <f t="shared" si="14406"/>
        <v>0</v>
      </c>
      <c r="V4460" s="399" t="s">
        <v>125</v>
      </c>
      <c r="W4460" s="399">
        <f t="shared" si="14407"/>
        <v>30</v>
      </c>
      <c r="X4460" s="399" t="s">
        <v>125</v>
      </c>
      <c r="Y4460" s="389">
        <f t="shared" ref="Y4460" si="14412">D4445</f>
        <v>0</v>
      </c>
      <c r="Z4460" s="400" t="s">
        <v>176</v>
      </c>
      <c r="AA4460" s="402">
        <f t="shared" si="14409"/>
        <v>0</v>
      </c>
      <c r="AB4460" s="403"/>
    </row>
    <row r="4461" spans="1:28">
      <c r="A4461" s="384" t="str">
        <f t="shared" ref="A4461:B4461" si="14413">A4435</f>
        <v>Lantai 3</v>
      </c>
      <c r="B4461" s="385">
        <f t="shared" si="14413"/>
        <v>6</v>
      </c>
      <c r="C4461" s="393" t="s">
        <v>213</v>
      </c>
      <c r="D4461" s="398">
        <f>VLOOKUP(D4435,'Detail Balok'!$C$10:$BJ$140,56,FALSE)</f>
        <v>0</v>
      </c>
      <c r="E4461" s="388" t="s">
        <v>16</v>
      </c>
      <c r="F4461" s="388">
        <f>VLOOKUP(D4435,'Detail Balok'!$C$10:$BJ$140,58,FALSE)</f>
        <v>0</v>
      </c>
      <c r="G4461" s="405" t="s">
        <v>157</v>
      </c>
      <c r="H4461" s="395">
        <f>VLOOKUP(D4435,'Detail Balok'!$C$10:$BJ$140,60,FALSE)</f>
        <v>100</v>
      </c>
      <c r="I4461" s="388"/>
      <c r="J4461" s="399">
        <f t="shared" ref="J4461" si="14414">(D4436-2*F$5)/1000</f>
        <v>0.12</v>
      </c>
      <c r="K4461" s="400" t="s">
        <v>204</v>
      </c>
      <c r="L4461" s="399">
        <f t="shared" si="14404"/>
        <v>0.15</v>
      </c>
      <c r="M4461" s="399" t="s">
        <v>176</v>
      </c>
      <c r="N4461" s="399">
        <f t="shared" si="14405"/>
        <v>0.27</v>
      </c>
      <c r="O4461" s="399"/>
      <c r="P4461" s="399"/>
      <c r="Q4461" s="399"/>
      <c r="R4461" s="399"/>
      <c r="S4461" s="399"/>
      <c r="T4461" s="399" t="s">
        <v>125</v>
      </c>
      <c r="U4461" s="401">
        <f t="shared" si="14406"/>
        <v>0</v>
      </c>
      <c r="V4461" s="399" t="s">
        <v>125</v>
      </c>
      <c r="W4461" s="399">
        <f t="shared" si="14407"/>
        <v>24</v>
      </c>
      <c r="X4461" s="399" t="s">
        <v>125</v>
      </c>
      <c r="Y4461" s="389">
        <f t="shared" ref="Y4461" si="14415">D4445</f>
        <v>0</v>
      </c>
      <c r="Z4461" s="400" t="s">
        <v>176</v>
      </c>
      <c r="AA4461" s="402">
        <f t="shared" si="14409"/>
        <v>0</v>
      </c>
      <c r="AB4461" s="403"/>
    </row>
    <row r="4462" spans="1:28">
      <c r="A4462" s="391"/>
      <c r="B4462" s="392"/>
      <c r="C4462" s="392"/>
      <c r="D4462" s="394"/>
      <c r="E4462" s="388"/>
      <c r="F4462" s="388"/>
      <c r="G4462" s="388"/>
      <c r="H4462" s="395"/>
      <c r="I4462" s="388"/>
      <c r="J4462" s="402"/>
      <c r="K4462" s="388"/>
      <c r="L4462" s="388"/>
      <c r="M4462" s="388"/>
      <c r="N4462" s="388"/>
      <c r="O4462" s="388"/>
      <c r="P4462" s="388"/>
      <c r="Q4462" s="388"/>
      <c r="R4462" s="388"/>
      <c r="S4462" s="388"/>
      <c r="T4462" s="388"/>
      <c r="U4462" s="388"/>
      <c r="V4462" s="388"/>
      <c r="W4462" s="388"/>
      <c r="X4462" s="388"/>
      <c r="Y4462" s="389"/>
      <c r="Z4462" s="388"/>
      <c r="AA4462" s="402"/>
      <c r="AB4462" s="403"/>
    </row>
    <row r="4463" spans="1:28" ht="15.75" thickBot="1">
      <c r="A4463" s="406"/>
      <c r="B4463" s="407"/>
      <c r="C4463" s="407"/>
      <c r="D4463" s="408"/>
      <c r="E4463" s="409"/>
      <c r="F4463" s="409"/>
      <c r="G4463" s="409"/>
      <c r="H4463" s="410"/>
      <c r="I4463" s="409"/>
      <c r="J4463" s="409"/>
      <c r="K4463" s="409"/>
      <c r="L4463" s="409"/>
      <c r="M4463" s="409"/>
      <c r="N4463" s="409"/>
      <c r="O4463" s="409"/>
      <c r="P4463" s="409"/>
      <c r="Q4463" s="409"/>
      <c r="R4463" s="409"/>
      <c r="S4463" s="409"/>
      <c r="T4463" s="409"/>
      <c r="U4463" s="409"/>
      <c r="V4463" s="409"/>
      <c r="W4463" s="409"/>
      <c r="X4463" s="409"/>
      <c r="Y4463" s="411"/>
      <c r="Z4463" s="409"/>
      <c r="AA4463" s="412"/>
      <c r="AB4463" s="413"/>
    </row>
    <row r="4464" spans="1:28">
      <c r="A4464" s="377"/>
      <c r="B4464" s="378"/>
      <c r="C4464" s="378"/>
      <c r="D4464" s="379"/>
      <c r="E4464" s="380"/>
      <c r="F4464" s="380"/>
      <c r="G4464" s="380"/>
      <c r="H4464" s="381"/>
      <c r="I4464" s="380"/>
      <c r="J4464" s="380"/>
      <c r="K4464" s="380"/>
      <c r="L4464" s="380"/>
      <c r="M4464" s="380"/>
      <c r="N4464" s="380"/>
      <c r="O4464" s="380"/>
      <c r="P4464" s="380"/>
      <c r="Q4464" s="380"/>
      <c r="R4464" s="380"/>
      <c r="S4464" s="380"/>
      <c r="T4464" s="380"/>
      <c r="U4464" s="380"/>
      <c r="V4464" s="380"/>
      <c r="W4464" s="380"/>
      <c r="X4464" s="380"/>
      <c r="Y4464" s="382"/>
      <c r="Z4464" s="380"/>
      <c r="AA4464" s="380"/>
      <c r="AB4464" s="383"/>
    </row>
    <row r="4465" spans="1:28">
      <c r="A4465" s="384" t="str">
        <f t="shared" ref="A4465:A4525" si="14416">A4435</f>
        <v>Lantai 3</v>
      </c>
      <c r="B4465" s="385">
        <f t="shared" ref="B4465:B4525" si="14417">B4435+1</f>
        <v>7</v>
      </c>
      <c r="C4465" s="386" t="str">
        <f t="shared" ref="C4465" si="14418">CONCATENATE(A4465," no. ",B4465)</f>
        <v>Lantai 3 no. 7</v>
      </c>
      <c r="D4465" s="2562" t="str">
        <f>VLOOKUP(C4465,'Data Panjang Balok'!$C$9:$N$254,2,FALSE)</f>
        <v>CL24-1</v>
      </c>
      <c r="E4465" s="2576"/>
      <c r="F4465" s="2576"/>
      <c r="G4465" s="2576"/>
      <c r="H4465" s="2577"/>
      <c r="I4465" s="387"/>
      <c r="J4465" s="388"/>
      <c r="K4465" s="388"/>
      <c r="L4465" s="388"/>
      <c r="M4465" s="388"/>
      <c r="N4465" s="388"/>
      <c r="O4465" s="388"/>
      <c r="P4465" s="388"/>
      <c r="Q4465" s="388"/>
      <c r="R4465" s="388"/>
      <c r="S4465" s="388"/>
      <c r="T4465" s="388"/>
      <c r="U4465" s="388"/>
      <c r="V4465" s="388"/>
      <c r="W4465" s="388"/>
      <c r="X4465" s="388"/>
      <c r="Y4465" s="389"/>
      <c r="Z4465" s="388"/>
      <c r="AA4465" s="388"/>
      <c r="AB4465" s="390"/>
    </row>
    <row r="4466" spans="1:28">
      <c r="A4466" s="391"/>
      <c r="B4466" s="392"/>
      <c r="C4466" s="393" t="s">
        <v>118</v>
      </c>
      <c r="D4466" s="2578">
        <f>VLOOKUP(D4465,'Detail Balok'!$C$10:$AU$140,2,FALSE)</f>
        <v>200</v>
      </c>
      <c r="E4466" s="2579"/>
      <c r="F4466" s="388" t="s">
        <v>125</v>
      </c>
      <c r="G4466" s="2579">
        <f>VLOOKUP(D4465,'Detail Balok'!$C$10:$AU$140,3,FALSE)</f>
        <v>400</v>
      </c>
      <c r="H4466" s="2580"/>
      <c r="I4466" s="388"/>
      <c r="J4466" s="396"/>
      <c r="K4466" s="396"/>
      <c r="L4466" s="396"/>
      <c r="M4466" s="396"/>
      <c r="N4466" s="396"/>
      <c r="O4466" s="396"/>
      <c r="P4466" s="396"/>
      <c r="Q4466" s="396"/>
      <c r="R4466" s="396"/>
      <c r="S4466" s="396"/>
      <c r="T4466" s="396"/>
      <c r="U4466" s="388"/>
      <c r="V4466" s="396"/>
      <c r="W4466" s="388"/>
      <c r="X4466" s="396"/>
      <c r="Y4466" s="389"/>
      <c r="Z4466" s="396"/>
      <c r="AA4466" s="388"/>
      <c r="AB4466" s="390"/>
    </row>
    <row r="4467" spans="1:28">
      <c r="A4467" s="391"/>
      <c r="B4467" s="392"/>
      <c r="C4467" s="393" t="s">
        <v>198</v>
      </c>
      <c r="D4467" s="2562">
        <f>VLOOKUP(C4465,'Data Panjang Balok'!$C$9:$N$254,4,FALSE)</f>
        <v>7150</v>
      </c>
      <c r="E4467" s="2563"/>
      <c r="F4467" s="2563"/>
      <c r="G4467" s="2563"/>
      <c r="H4467" s="2564"/>
      <c r="I4467" s="397"/>
      <c r="J4467" s="396"/>
      <c r="K4467" s="396"/>
      <c r="L4467" s="396"/>
      <c r="M4467" s="396"/>
      <c r="N4467" s="396"/>
      <c r="O4467" s="396"/>
      <c r="P4467" s="396"/>
      <c r="Q4467" s="396"/>
      <c r="R4467" s="396"/>
      <c r="S4467" s="396"/>
      <c r="T4467" s="396"/>
      <c r="U4467" s="388"/>
      <c r="V4467" s="396"/>
      <c r="W4467" s="388"/>
      <c r="X4467" s="396"/>
      <c r="Y4467" s="389"/>
      <c r="Z4467" s="396"/>
      <c r="AA4467" s="388"/>
      <c r="AB4467" s="390"/>
    </row>
    <row r="4468" spans="1:28">
      <c r="A4468" s="391"/>
      <c r="B4468" s="392"/>
      <c r="C4468" s="393" t="s">
        <v>199</v>
      </c>
      <c r="D4468" s="2562">
        <f>VLOOKUP(C4465,'Data Panjang Balok'!$C$9:$N$254,7,FALSE)</f>
        <v>7150</v>
      </c>
      <c r="E4468" s="2563"/>
      <c r="F4468" s="2563"/>
      <c r="G4468" s="2563"/>
      <c r="H4468" s="2564"/>
      <c r="I4468" s="397"/>
      <c r="J4468" s="396"/>
      <c r="K4468" s="396"/>
      <c r="L4468" s="396"/>
      <c r="M4468" s="396"/>
      <c r="N4468" s="396"/>
      <c r="O4468" s="396"/>
      <c r="P4468" s="396"/>
      <c r="Q4468" s="396"/>
      <c r="R4468" s="396"/>
      <c r="S4468" s="396"/>
      <c r="T4468" s="396"/>
      <c r="U4468" s="388"/>
      <c r="V4468" s="396"/>
      <c r="W4468" s="388"/>
      <c r="X4468" s="396"/>
      <c r="Y4468" s="389"/>
      <c r="Z4468" s="396"/>
      <c r="AA4468" s="388"/>
      <c r="AB4468" s="390"/>
    </row>
    <row r="4469" spans="1:28">
      <c r="A4469" s="391"/>
      <c r="B4469" s="392"/>
      <c r="C4469" s="393" t="s">
        <v>200</v>
      </c>
      <c r="D4469" s="2562">
        <f>VLOOKUP(C4465,'Data Panjang Balok'!$C$9:$N$254,9,FALSE)</f>
        <v>0</v>
      </c>
      <c r="E4469" s="2563"/>
      <c r="F4469" s="2563"/>
      <c r="G4469" s="2563"/>
      <c r="H4469" s="2564"/>
      <c r="I4469" s="397"/>
      <c r="J4469" s="396"/>
      <c r="K4469" s="396"/>
      <c r="L4469" s="396"/>
      <c r="M4469" s="396"/>
      <c r="N4469" s="396"/>
      <c r="O4469" s="396"/>
      <c r="P4469" s="396"/>
      <c r="Q4469" s="396"/>
      <c r="R4469" s="396"/>
      <c r="S4469" s="396"/>
      <c r="T4469" s="396"/>
      <c r="U4469" s="388"/>
      <c r="V4469" s="396"/>
      <c r="W4469" s="388"/>
      <c r="X4469" s="396"/>
      <c r="Y4469" s="389"/>
      <c r="Z4469" s="396"/>
      <c r="AA4469" s="388"/>
      <c r="AB4469" s="390"/>
    </row>
    <row r="4470" spans="1:28">
      <c r="A4470" s="391"/>
      <c r="B4470" s="392"/>
      <c r="C4470" s="393" t="s">
        <v>201</v>
      </c>
      <c r="D4470" s="2562">
        <f>VLOOKUP(C4465,'Data Panjang Balok'!$C$9:$N$254,10,FALSE)</f>
        <v>0</v>
      </c>
      <c r="E4470" s="2563"/>
      <c r="F4470" s="2563"/>
      <c r="G4470" s="2563"/>
      <c r="H4470" s="2564"/>
      <c r="I4470" s="397"/>
      <c r="J4470" s="396"/>
      <c r="K4470" s="396"/>
      <c r="L4470" s="396"/>
      <c r="M4470" s="396"/>
      <c r="N4470" s="396"/>
      <c r="O4470" s="396"/>
      <c r="P4470" s="396"/>
      <c r="Q4470" s="396"/>
      <c r="R4470" s="396"/>
      <c r="S4470" s="396"/>
      <c r="T4470" s="396"/>
      <c r="U4470" s="388"/>
      <c r="V4470" s="396"/>
      <c r="W4470" s="388"/>
      <c r="X4470" s="396"/>
      <c r="Y4470" s="389"/>
      <c r="Z4470" s="396"/>
      <c r="AA4470" s="388"/>
      <c r="AB4470" s="390"/>
    </row>
    <row r="4471" spans="1:28">
      <c r="A4471" s="391"/>
      <c r="B4471" s="392"/>
      <c r="C4471" s="393" t="s">
        <v>48</v>
      </c>
      <c r="D4471" s="2562">
        <f>VLOOKUP(C4465,'Data Panjang Balok'!$C$9:$N$254,3,FALSE)</f>
        <v>1</v>
      </c>
      <c r="E4471" s="2563"/>
      <c r="F4471" s="2563"/>
      <c r="G4471" s="2563"/>
      <c r="H4471" s="2564"/>
      <c r="I4471" s="397"/>
      <c r="J4471" s="396"/>
      <c r="K4471" s="396"/>
      <c r="L4471" s="396"/>
      <c r="M4471" s="396"/>
      <c r="N4471" s="396"/>
      <c r="O4471" s="396"/>
      <c r="P4471" s="396"/>
      <c r="Q4471" s="396"/>
      <c r="R4471" s="396"/>
      <c r="S4471" s="396"/>
      <c r="T4471" s="396"/>
      <c r="U4471" s="388"/>
      <c r="V4471" s="396"/>
      <c r="W4471" s="388"/>
      <c r="X4471" s="396"/>
      <c r="Y4471" s="389"/>
      <c r="Z4471" s="396"/>
      <c r="AA4471" s="388"/>
      <c r="AB4471" s="390"/>
    </row>
    <row r="4472" spans="1:28">
      <c r="A4472" s="384" t="str">
        <f t="shared" ref="A4472:B4472" si="14419">A4465</f>
        <v>Lantai 3</v>
      </c>
      <c r="B4472" s="385">
        <f t="shared" si="14419"/>
        <v>7</v>
      </c>
      <c r="C4472" s="393" t="s">
        <v>202</v>
      </c>
      <c r="D4472" s="398">
        <f>VLOOKUP(D4465,'Detail Balok'!$C$10:$AU$140,4,FALSE)</f>
        <v>3</v>
      </c>
      <c r="E4472" s="388" t="s">
        <v>16</v>
      </c>
      <c r="F4472" s="388">
        <f>VLOOKUP(D4465,'Detail Balok'!$C$10:$AU$140,6,FALSE)</f>
        <v>16</v>
      </c>
      <c r="G4472" s="388"/>
      <c r="H4472" s="395"/>
      <c r="I4472" s="388" t="s">
        <v>203</v>
      </c>
      <c r="J4472" s="399">
        <f t="shared" ref="J4472" si="14420">+D4467/4/1000</f>
        <v>1.7875000000000001</v>
      </c>
      <c r="K4472" s="400" t="s">
        <v>204</v>
      </c>
      <c r="L4472" s="399">
        <f t="shared" ref="L4472" si="14421">MAX(VLOOKUP(F4472,N$6:P$15,3,FALSE)/1000,2/3*D4469/1000)+F$16*F4472/1000</f>
        <v>0.192</v>
      </c>
      <c r="M4472" s="399" t="s">
        <v>176</v>
      </c>
      <c r="N4472" s="399">
        <f t="shared" ref="N4472:N4474" si="14422">J4472+L4472</f>
        <v>1.9795</v>
      </c>
      <c r="O4472" s="399" t="s">
        <v>204</v>
      </c>
      <c r="P4472" s="389">
        <f t="shared" ref="P4472" si="14423">D4472-D4473</f>
        <v>0</v>
      </c>
      <c r="Q4472" s="399" t="s">
        <v>125</v>
      </c>
      <c r="R4472" s="399">
        <f t="shared" ref="R4472" si="14424">IF(P4472&gt;0,$F$18*F4472/1000,0)</f>
        <v>0</v>
      </c>
      <c r="S4472" s="399" t="s">
        <v>205</v>
      </c>
      <c r="T4472" s="399" t="s">
        <v>125</v>
      </c>
      <c r="U4472" s="401">
        <f t="shared" ref="U4472:U4474" si="14425">0.006165*F4472^2</f>
        <v>1.5782400000000001</v>
      </c>
      <c r="V4472" s="399"/>
      <c r="W4472" s="399"/>
      <c r="X4472" s="399" t="s">
        <v>125</v>
      </c>
      <c r="Y4472" s="389">
        <f t="shared" ref="Y4472" si="14426">D4471</f>
        <v>1</v>
      </c>
      <c r="Z4472" s="400" t="s">
        <v>176</v>
      </c>
      <c r="AA4472" s="402">
        <f t="shared" ref="AA4472" si="14427">IF(AA4475=0,(D4472*N4472+P4472*R4472)*U4472*Y4472,0)</f>
        <v>0</v>
      </c>
      <c r="AB4472" s="403"/>
    </row>
    <row r="4473" spans="1:28">
      <c r="A4473" s="384" t="str">
        <f t="shared" ref="A4473:B4473" si="14428">A4465</f>
        <v>Lantai 3</v>
      </c>
      <c r="B4473" s="385">
        <f t="shared" si="14428"/>
        <v>7</v>
      </c>
      <c r="C4473" s="393" t="s">
        <v>206</v>
      </c>
      <c r="D4473" s="398">
        <f>VLOOKUP(D4465,'Detail Balok'!$C$10:$AU$140,7,FALSE)</f>
        <v>3</v>
      </c>
      <c r="E4473" s="388" t="s">
        <v>16</v>
      </c>
      <c r="F4473" s="388">
        <f>VLOOKUP(D4465,'Detail Balok'!$C$10:$AU$140,9,FALSE)</f>
        <v>16</v>
      </c>
      <c r="G4473" s="388"/>
      <c r="H4473" s="395"/>
      <c r="I4473" s="388" t="s">
        <v>203</v>
      </c>
      <c r="J4473" s="399">
        <f t="shared" ref="J4473" si="14429">+D4467/2/1000</f>
        <v>3.5750000000000002</v>
      </c>
      <c r="K4473" s="400" t="s">
        <v>204</v>
      </c>
      <c r="L4473" s="399"/>
      <c r="M4473" s="399" t="s">
        <v>176</v>
      </c>
      <c r="N4473" s="399">
        <f t="shared" si="14422"/>
        <v>3.5750000000000002</v>
      </c>
      <c r="O4473" s="399" t="s">
        <v>204</v>
      </c>
      <c r="P4473" s="389">
        <f t="shared" ref="P4473" si="14430">MAX(D4473-D4472,D4473-D4474)</f>
        <v>0</v>
      </c>
      <c r="Q4473" s="399" t="s">
        <v>125</v>
      </c>
      <c r="R4473" s="399">
        <f t="shared" ref="R4473" si="14431">IF(P4473&gt;0,2*(1-2*$F$19-1/2)*D4468/1000,0)</f>
        <v>0</v>
      </c>
      <c r="S4473" s="399" t="s">
        <v>205</v>
      </c>
      <c r="T4473" s="399" t="s">
        <v>125</v>
      </c>
      <c r="U4473" s="401">
        <f t="shared" si="14425"/>
        <v>1.5782400000000001</v>
      </c>
      <c r="V4473" s="399"/>
      <c r="W4473" s="399"/>
      <c r="X4473" s="399" t="s">
        <v>125</v>
      </c>
      <c r="Y4473" s="389">
        <f t="shared" ref="Y4473" si="14432">D4471</f>
        <v>1</v>
      </c>
      <c r="Z4473" s="400" t="s">
        <v>176</v>
      </c>
      <c r="AA4473" s="402">
        <f t="shared" ref="AA4473" si="14433">IF(AA4475=0,(D4473*N4473+P4473*R4473)*U4473*Y4473,0)</f>
        <v>0</v>
      </c>
      <c r="AB4473" s="403"/>
    </row>
    <row r="4474" spans="1:28">
      <c r="A4474" s="384" t="str">
        <f t="shared" ref="A4474:B4474" si="14434">A4465</f>
        <v>Lantai 3</v>
      </c>
      <c r="B4474" s="385">
        <f t="shared" si="14434"/>
        <v>7</v>
      </c>
      <c r="C4474" s="393" t="s">
        <v>202</v>
      </c>
      <c r="D4474" s="398">
        <f>VLOOKUP(D4465,'Detail Balok'!$C$10:$AU$140,10,FALSE)</f>
        <v>3</v>
      </c>
      <c r="E4474" s="388" t="s">
        <v>16</v>
      </c>
      <c r="F4474" s="388">
        <f>VLOOKUP(D4465,'Detail Balok'!$C$10:$AU$140,12,FALSE)</f>
        <v>16</v>
      </c>
      <c r="G4474" s="388"/>
      <c r="H4474" s="395"/>
      <c r="I4474" s="388" t="s">
        <v>203</v>
      </c>
      <c r="J4474" s="399">
        <f t="shared" ref="J4474" si="14435">+D4467/4/1000</f>
        <v>1.7875000000000001</v>
      </c>
      <c r="K4474" s="400" t="s">
        <v>204</v>
      </c>
      <c r="L4474" s="399">
        <f t="shared" ref="L4474" si="14436">MAX(VLOOKUP(F4474,N$6:P$15,3,FALSE)/1000,2/3*D4469/1000)+F$16*F4474/1000</f>
        <v>0.192</v>
      </c>
      <c r="M4474" s="399" t="s">
        <v>176</v>
      </c>
      <c r="N4474" s="399">
        <f t="shared" si="14422"/>
        <v>1.9795</v>
      </c>
      <c r="O4474" s="399" t="s">
        <v>204</v>
      </c>
      <c r="P4474" s="389">
        <f t="shared" ref="P4474" si="14437">D4474-D4473</f>
        <v>0</v>
      </c>
      <c r="Q4474" s="399" t="s">
        <v>125</v>
      </c>
      <c r="R4474" s="399">
        <f t="shared" ref="R4474" si="14438">IF(P4474&gt;0,$F$18*F4474/1000,0)</f>
        <v>0</v>
      </c>
      <c r="S4474" s="399" t="s">
        <v>205</v>
      </c>
      <c r="T4474" s="399" t="s">
        <v>125</v>
      </c>
      <c r="U4474" s="401">
        <f t="shared" si="14425"/>
        <v>1.5782400000000001</v>
      </c>
      <c r="V4474" s="399"/>
      <c r="W4474" s="399"/>
      <c r="X4474" s="399" t="s">
        <v>125</v>
      </c>
      <c r="Y4474" s="389">
        <f t="shared" ref="Y4474" si="14439">D4471</f>
        <v>1</v>
      </c>
      <c r="Z4474" s="400" t="s">
        <v>176</v>
      </c>
      <c r="AA4474" s="402">
        <f t="shared" ref="AA4474" si="14440">IF(AA4475=0,(D4474*N4474+P4474*R4474)*U4474*Y4474,0)</f>
        <v>0</v>
      </c>
      <c r="AB4474" s="403"/>
    </row>
    <row r="4475" spans="1:28">
      <c r="A4475" s="384" t="str">
        <f t="shared" ref="A4475:B4475" si="14441">A4465</f>
        <v>Lantai 3</v>
      </c>
      <c r="B4475" s="385">
        <f t="shared" si="14441"/>
        <v>7</v>
      </c>
      <c r="C4475" s="393"/>
      <c r="D4475" s="398">
        <f t="shared" si="14337"/>
        <v>3</v>
      </c>
      <c r="E4475" s="388" t="s">
        <v>16</v>
      </c>
      <c r="F4475" s="388">
        <f t="shared" si="14338"/>
        <v>16</v>
      </c>
      <c r="G4475" s="388"/>
      <c r="H4475" s="395"/>
      <c r="I4475" s="388"/>
      <c r="J4475" s="396"/>
      <c r="K4475" s="396"/>
      <c r="L4475" s="404" t="s">
        <v>207</v>
      </c>
      <c r="M4475" s="399" t="s">
        <v>176</v>
      </c>
      <c r="N4475" s="399">
        <f t="shared" ref="N4475" si="14442">IF(AND(D4472=D4473,D4472=D4474,D4473=D4474,F4472=F4473,F4472=F4474,F4473=F4474),SUM(N4472:N4474),0)</f>
        <v>7.5339999999999998</v>
      </c>
      <c r="O4475" s="399" t="s">
        <v>204</v>
      </c>
      <c r="P4475" s="389">
        <f t="shared" ref="P4475" si="14443">IF(N4475&gt;12,ROUNDDOWN(N4475/12,0),0)</f>
        <v>0</v>
      </c>
      <c r="Q4475" s="399" t="s">
        <v>125</v>
      </c>
      <c r="R4475" s="399">
        <f t="shared" ref="R4475" si="14444">IF(P4475&gt;0,MAX(VLOOKUP(F4475,$D$6:$G$15,3,FALSE),600),0)/1000</f>
        <v>0</v>
      </c>
      <c r="S4475" s="396"/>
      <c r="T4475" s="396" t="s">
        <v>125</v>
      </c>
      <c r="U4475" s="401">
        <f t="shared" si="14342"/>
        <v>1.5782400000000001</v>
      </c>
      <c r="V4475" s="396" t="s">
        <v>125</v>
      </c>
      <c r="W4475" s="399">
        <f t="shared" ref="W4475" si="14445">D4475</f>
        <v>3</v>
      </c>
      <c r="X4475" s="399" t="s">
        <v>125</v>
      </c>
      <c r="Y4475" s="389">
        <f t="shared" si="14344"/>
        <v>1</v>
      </c>
      <c r="Z4475" s="400" t="s">
        <v>176</v>
      </c>
      <c r="AA4475" s="402">
        <f t="shared" ref="AA4475" si="14446">(N4475+P4475*R4475/1000)*U4475*W4475*Y4475</f>
        <v>35.671380479999996</v>
      </c>
      <c r="AB4475" s="390"/>
    </row>
    <row r="4476" spans="1:28">
      <c r="A4476" s="384"/>
      <c r="B4476" s="385"/>
      <c r="C4476" s="393"/>
      <c r="D4476" s="398"/>
      <c r="E4476" s="388"/>
      <c r="F4476" s="388"/>
      <c r="G4476" s="388"/>
      <c r="H4476" s="395"/>
      <c r="I4476" s="388"/>
      <c r="J4476" s="396"/>
      <c r="K4476" s="396"/>
      <c r="L4476" s="404"/>
      <c r="M4476" s="399"/>
      <c r="N4476" s="399"/>
      <c r="O4476" s="396"/>
      <c r="P4476" s="389"/>
      <c r="Q4476" s="396"/>
      <c r="R4476" s="396"/>
      <c r="S4476" s="396"/>
      <c r="T4476" s="396"/>
      <c r="U4476" s="401"/>
      <c r="V4476" s="396"/>
      <c r="W4476" s="399"/>
      <c r="X4476" s="396"/>
      <c r="Y4476" s="389"/>
      <c r="Z4476" s="396"/>
      <c r="AA4476" s="388"/>
      <c r="AB4476" s="390"/>
    </row>
    <row r="4477" spans="1:28">
      <c r="A4477" s="384" t="str">
        <f t="shared" ref="A4477:B4477" si="14447">A4465</f>
        <v>Lantai 3</v>
      </c>
      <c r="B4477" s="385">
        <f t="shared" si="14447"/>
        <v>7</v>
      </c>
      <c r="C4477" s="393" t="s">
        <v>208</v>
      </c>
      <c r="D4477" s="398">
        <f>VLOOKUP(D4465,'Detail Balok'!$C$10:$AU$140,13,FALSE)</f>
        <v>0</v>
      </c>
      <c r="E4477" s="388" t="s">
        <v>16</v>
      </c>
      <c r="F4477" s="388">
        <f>VLOOKUP(D4465,'Detail Balok'!$C$10:$AU$140,15,FALSE)</f>
        <v>8</v>
      </c>
      <c r="G4477" s="388"/>
      <c r="H4477" s="395"/>
      <c r="I4477" s="388"/>
      <c r="J4477" s="399">
        <f t="shared" ref="J4477" si="14448">+D4467/1000</f>
        <v>7.15</v>
      </c>
      <c r="K4477" s="400" t="s">
        <v>204</v>
      </c>
      <c r="L4477" s="399">
        <f t="shared" ref="L4477" si="14449">2*$F$16*F4477/1000</f>
        <v>0.192</v>
      </c>
      <c r="M4477" s="399" t="s">
        <v>176</v>
      </c>
      <c r="N4477" s="399">
        <f t="shared" ref="N4477" si="14450">J4477+L4477</f>
        <v>7.3420000000000005</v>
      </c>
      <c r="O4477" s="399" t="s">
        <v>204</v>
      </c>
      <c r="P4477" s="389">
        <f t="shared" ref="P4477" si="14451">IF(N4477&gt;12,ROUNDDOWN(N4477/12,0),0)</f>
        <v>0</v>
      </c>
      <c r="Q4477" s="399" t="s">
        <v>125</v>
      </c>
      <c r="R4477" s="399">
        <f t="shared" ref="R4477" si="14452">IF(P4477&gt;0,MAX(VLOOKUP(F4477,$D$6:$G$15,3,FALSE),600),0)/1000</f>
        <v>0</v>
      </c>
      <c r="S4477" s="399"/>
      <c r="T4477" s="399" t="s">
        <v>125</v>
      </c>
      <c r="U4477" s="401">
        <f t="shared" ref="U4477" si="14453">0.006165*F4477^2</f>
        <v>0.39456000000000002</v>
      </c>
      <c r="V4477" s="399" t="s">
        <v>125</v>
      </c>
      <c r="W4477" s="399">
        <f t="shared" ref="W4477" si="14454">+D4477</f>
        <v>0</v>
      </c>
      <c r="X4477" s="399" t="s">
        <v>125</v>
      </c>
      <c r="Y4477" s="389">
        <f t="shared" ref="Y4477" si="14455">D4471</f>
        <v>1</v>
      </c>
      <c r="Z4477" s="400" t="s">
        <v>176</v>
      </c>
      <c r="AA4477" s="402">
        <f t="shared" ref="AA4477" si="14456">(N4477+P4477*R4477/1000)*U4477*W4477*Y4477</f>
        <v>0</v>
      </c>
      <c r="AB4477" s="403"/>
    </row>
    <row r="4478" spans="1:28">
      <c r="A4478" s="384"/>
      <c r="B4478" s="385"/>
      <c r="C4478" s="393"/>
      <c r="D4478" s="398"/>
      <c r="E4478" s="388"/>
      <c r="F4478" s="388"/>
      <c r="G4478" s="388"/>
      <c r="H4478" s="395"/>
      <c r="I4478" s="388"/>
      <c r="J4478" s="399"/>
      <c r="K4478" s="400"/>
      <c r="L4478" s="399"/>
      <c r="M4478" s="399"/>
      <c r="N4478" s="399"/>
      <c r="O4478" s="399"/>
      <c r="P4478" s="389"/>
      <c r="Q4478" s="399"/>
      <c r="R4478" s="399"/>
      <c r="S4478" s="399"/>
      <c r="T4478" s="399"/>
      <c r="U4478" s="401"/>
      <c r="V4478" s="399"/>
      <c r="W4478" s="399"/>
      <c r="X4478" s="399"/>
      <c r="Y4478" s="389"/>
      <c r="Z4478" s="400"/>
      <c r="AA4478" s="402"/>
      <c r="AB4478" s="403"/>
    </row>
    <row r="4479" spans="1:28">
      <c r="A4479" s="384"/>
      <c r="B4479" s="385"/>
      <c r="C4479" s="393"/>
      <c r="D4479" s="398"/>
      <c r="E4479" s="388"/>
      <c r="F4479" s="388"/>
      <c r="G4479" s="388"/>
      <c r="H4479" s="395"/>
      <c r="I4479" s="388"/>
      <c r="J4479" s="396"/>
      <c r="K4479" s="396"/>
      <c r="L4479" s="396"/>
      <c r="M4479" s="396"/>
      <c r="N4479" s="396"/>
      <c r="O4479" s="396"/>
      <c r="P4479" s="389"/>
      <c r="Q4479" s="396"/>
      <c r="R4479" s="396"/>
      <c r="S4479" s="396"/>
      <c r="T4479" s="396"/>
      <c r="U4479" s="401"/>
      <c r="V4479" s="396"/>
      <c r="W4479" s="399"/>
      <c r="X4479" s="396"/>
      <c r="Y4479" s="389"/>
      <c r="Z4479" s="396"/>
      <c r="AA4479" s="388"/>
      <c r="AB4479" s="390"/>
    </row>
    <row r="4480" spans="1:28">
      <c r="A4480" s="384" t="str">
        <f t="shared" ref="A4480:B4480" si="14457">A4465</f>
        <v>Lantai 3</v>
      </c>
      <c r="B4480" s="385">
        <f t="shared" si="14457"/>
        <v>7</v>
      </c>
      <c r="C4480" s="393" t="s">
        <v>209</v>
      </c>
      <c r="D4480" s="398">
        <f>VLOOKUP(D4465,'Detail Balok'!$C$10:$AU$140,22,FALSE)</f>
        <v>3</v>
      </c>
      <c r="E4480" s="388" t="s">
        <v>16</v>
      </c>
      <c r="F4480" s="388">
        <f>VLOOKUP(D4465,'Detail Balok'!$C$10:$AU$140,24,FALSE)</f>
        <v>16</v>
      </c>
      <c r="G4480" s="388"/>
      <c r="H4480" s="395"/>
      <c r="I4480" s="388" t="s">
        <v>203</v>
      </c>
      <c r="J4480" s="399">
        <f t="shared" si="14357"/>
        <v>1.7875000000000001</v>
      </c>
      <c r="K4480" s="400" t="s">
        <v>204</v>
      </c>
      <c r="L4480" s="399">
        <f t="shared" ref="L4480" si="14458">MAX(VLOOKUP(F4480,N$6:P$15,3,FALSE)/1000,2/3*D4470/1000)+F$16*F4480/1000</f>
        <v>0.192</v>
      </c>
      <c r="M4480" s="399" t="s">
        <v>176</v>
      </c>
      <c r="N4480" s="399">
        <f t="shared" ref="N4480:N4482" si="14459">J4480+L4480</f>
        <v>1.9795</v>
      </c>
      <c r="O4480" s="399" t="s">
        <v>204</v>
      </c>
      <c r="P4480" s="389">
        <f t="shared" ref="P4480" si="14460">D4480-D4481</f>
        <v>0</v>
      </c>
      <c r="Q4480" s="399" t="s">
        <v>125</v>
      </c>
      <c r="R4480" s="399">
        <f t="shared" ref="R4480" si="14461">IF(P4480&gt;0,$F$18*F4480/1000,0)</f>
        <v>0</v>
      </c>
      <c r="S4480" s="399" t="s">
        <v>205</v>
      </c>
      <c r="T4480" s="399" t="s">
        <v>125</v>
      </c>
      <c r="U4480" s="401">
        <f t="shared" ref="U4480:U4482" si="14462">0.006165*F4480^2</f>
        <v>1.5782400000000001</v>
      </c>
      <c r="V4480" s="399"/>
      <c r="W4480" s="399"/>
      <c r="X4480" s="399" t="s">
        <v>125</v>
      </c>
      <c r="Y4480" s="389">
        <f t="shared" ref="Y4480" si="14463">D4471</f>
        <v>1</v>
      </c>
      <c r="Z4480" s="400" t="s">
        <v>176</v>
      </c>
      <c r="AA4480" s="402">
        <f t="shared" ref="AA4480" si="14464">IF(AA4483=0,(D4480*N4480+P4480*R4480)*U4480*Y4480,0)</f>
        <v>0</v>
      </c>
      <c r="AB4480" s="403"/>
    </row>
    <row r="4481" spans="1:28">
      <c r="A4481" s="384" t="str">
        <f t="shared" ref="A4481:B4481" si="14465">A4465</f>
        <v>Lantai 3</v>
      </c>
      <c r="B4481" s="385">
        <f t="shared" si="14465"/>
        <v>7</v>
      </c>
      <c r="C4481" s="393" t="s">
        <v>210</v>
      </c>
      <c r="D4481" s="398">
        <f>VLOOKUP(D4465,'Detail Balok'!$C$10:$AU$140,25,FALSE)</f>
        <v>3</v>
      </c>
      <c r="E4481" s="388" t="s">
        <v>16</v>
      </c>
      <c r="F4481" s="388">
        <f>VLOOKUP(D4465,'Detail Balok'!$C$10:$AU$140,27,FALSE)</f>
        <v>16</v>
      </c>
      <c r="G4481" s="388"/>
      <c r="H4481" s="395"/>
      <c r="I4481" s="388" t="s">
        <v>203</v>
      </c>
      <c r="J4481" s="399">
        <f t="shared" si="14357"/>
        <v>3.5750000000000002</v>
      </c>
      <c r="K4481" s="400" t="s">
        <v>204</v>
      </c>
      <c r="L4481" s="399"/>
      <c r="M4481" s="399" t="s">
        <v>176</v>
      </c>
      <c r="N4481" s="399">
        <f t="shared" si="14459"/>
        <v>3.5750000000000002</v>
      </c>
      <c r="O4481" s="399" t="s">
        <v>204</v>
      </c>
      <c r="P4481" s="389">
        <f t="shared" ref="P4481" si="14466">MAX(D4481-D4480,D4481-D4482)</f>
        <v>0</v>
      </c>
      <c r="Q4481" s="399" t="s">
        <v>125</v>
      </c>
      <c r="R4481" s="399">
        <f t="shared" ref="R4481" si="14467">IF(P4481&gt;0,2*(1-2*$F$19-1/2)*D4468/1000,0)</f>
        <v>0</v>
      </c>
      <c r="S4481" s="399" t="s">
        <v>205</v>
      </c>
      <c r="T4481" s="399" t="s">
        <v>125</v>
      </c>
      <c r="U4481" s="401">
        <f t="shared" si="14462"/>
        <v>1.5782400000000001</v>
      </c>
      <c r="V4481" s="399"/>
      <c r="W4481" s="399"/>
      <c r="X4481" s="399" t="s">
        <v>125</v>
      </c>
      <c r="Y4481" s="389">
        <f t="shared" ref="Y4481" si="14468">D4471</f>
        <v>1</v>
      </c>
      <c r="Z4481" s="400" t="s">
        <v>176</v>
      </c>
      <c r="AA4481" s="402">
        <f t="shared" ref="AA4481" si="14469">IF(AA4483=0,(D4481*N4481+P4481*R4481)*U4481*Y4481,0)</f>
        <v>0</v>
      </c>
      <c r="AB4481" s="403"/>
    </row>
    <row r="4482" spans="1:28">
      <c r="A4482" s="384" t="str">
        <f t="shared" ref="A4482:B4482" si="14470">A4465</f>
        <v>Lantai 3</v>
      </c>
      <c r="B4482" s="385">
        <f t="shared" si="14470"/>
        <v>7</v>
      </c>
      <c r="C4482" s="393" t="s">
        <v>209</v>
      </c>
      <c r="D4482" s="398">
        <f>VLOOKUP(D4465,'Detail Balok'!$C$10:$AU$140,28,FALSE)</f>
        <v>3</v>
      </c>
      <c r="E4482" s="388" t="s">
        <v>16</v>
      </c>
      <c r="F4482" s="388">
        <f>VLOOKUP(D4465,'Detail Balok'!$C$10:$AU$140,30,FALSE)</f>
        <v>16</v>
      </c>
      <c r="G4482" s="388"/>
      <c r="H4482" s="395"/>
      <c r="I4482" s="388" t="s">
        <v>203</v>
      </c>
      <c r="J4482" s="399">
        <f t="shared" si="14357"/>
        <v>1.7875000000000001</v>
      </c>
      <c r="K4482" s="400" t="s">
        <v>204</v>
      </c>
      <c r="L4482" s="399">
        <f t="shared" ref="L4482" si="14471">MAX(VLOOKUP(F4482,N$6:P$15,3,FALSE)/1000,2/3*D4470/1000)+F$16*F4482/1000</f>
        <v>0.192</v>
      </c>
      <c r="M4482" s="399" t="s">
        <v>176</v>
      </c>
      <c r="N4482" s="399">
        <f t="shared" si="14459"/>
        <v>1.9795</v>
      </c>
      <c r="O4482" s="399" t="s">
        <v>204</v>
      </c>
      <c r="P4482" s="389">
        <f t="shared" ref="P4482" si="14472">D4482-D4481</f>
        <v>0</v>
      </c>
      <c r="Q4482" s="399" t="s">
        <v>125</v>
      </c>
      <c r="R4482" s="399">
        <f t="shared" ref="R4482" si="14473">IF(P4482&gt;0,$F$18*F4482/1000,0)</f>
        <v>0</v>
      </c>
      <c r="S4482" s="399" t="s">
        <v>205</v>
      </c>
      <c r="T4482" s="399" t="s">
        <v>125</v>
      </c>
      <c r="U4482" s="401">
        <f t="shared" si="14462"/>
        <v>1.5782400000000001</v>
      </c>
      <c r="V4482" s="399"/>
      <c r="W4482" s="399"/>
      <c r="X4482" s="399" t="s">
        <v>125</v>
      </c>
      <c r="Y4482" s="389">
        <f t="shared" ref="Y4482" si="14474">D4471</f>
        <v>1</v>
      </c>
      <c r="Z4482" s="400" t="s">
        <v>176</v>
      </c>
      <c r="AA4482" s="402">
        <f t="shared" ref="AA4482" si="14475">IF(AA4483=0,(D4482*N4482+P4482*R4482)*U4482*Y4482,0)</f>
        <v>0</v>
      </c>
      <c r="AB4482" s="403"/>
    </row>
    <row r="4483" spans="1:28">
      <c r="A4483" s="384" t="str">
        <f t="shared" ref="A4483:B4483" si="14476">A4465</f>
        <v>Lantai 3</v>
      </c>
      <c r="B4483" s="385">
        <f t="shared" si="14476"/>
        <v>7</v>
      </c>
      <c r="C4483" s="393"/>
      <c r="D4483" s="398">
        <f t="shared" si="14377"/>
        <v>3</v>
      </c>
      <c r="E4483" s="388" t="s">
        <v>16</v>
      </c>
      <c r="F4483" s="388">
        <f t="shared" si="14378"/>
        <v>16</v>
      </c>
      <c r="G4483" s="388"/>
      <c r="H4483" s="395"/>
      <c r="I4483" s="388"/>
      <c r="J4483" s="396"/>
      <c r="K4483" s="396"/>
      <c r="L4483" s="404" t="s">
        <v>207</v>
      </c>
      <c r="M4483" s="399" t="s">
        <v>176</v>
      </c>
      <c r="N4483" s="399">
        <f t="shared" ref="N4483" si="14477">IF(AND(D4480=D4481,D4480=D4482,D4481=D4482,F4480=F4481,F4480=F4482,F4481=F4482),SUM(N4480:N4482),0)</f>
        <v>7.5339999999999998</v>
      </c>
      <c r="O4483" s="399" t="s">
        <v>204</v>
      </c>
      <c r="P4483" s="389">
        <f t="shared" ref="P4483" si="14478">IF(N4483&gt;12,ROUNDDOWN(N4483/12,0),0)</f>
        <v>0</v>
      </c>
      <c r="Q4483" s="399" t="s">
        <v>125</v>
      </c>
      <c r="R4483" s="399">
        <f t="shared" ref="R4483" si="14479">IF(P4483&gt;0,MAX(VLOOKUP(F4483,$D$6:$G$15,3,FALSE),600),0)/1000</f>
        <v>0</v>
      </c>
      <c r="S4483" s="396"/>
      <c r="T4483" s="396" t="s">
        <v>125</v>
      </c>
      <c r="U4483" s="401">
        <f t="shared" si="14382"/>
        <v>1.5782400000000001</v>
      </c>
      <c r="V4483" s="396" t="s">
        <v>125</v>
      </c>
      <c r="W4483" s="399">
        <f t="shared" ref="W4483" si="14480">D4483</f>
        <v>3</v>
      </c>
      <c r="X4483" s="399" t="s">
        <v>125</v>
      </c>
      <c r="Y4483" s="389">
        <f t="shared" si="14384"/>
        <v>1</v>
      </c>
      <c r="Z4483" s="400" t="s">
        <v>176</v>
      </c>
      <c r="AA4483" s="402">
        <f t="shared" ref="AA4483" si="14481">(N4483+P4483*R4483/1000)*U4483*W4483*Y4483</f>
        <v>35.671380479999996</v>
      </c>
      <c r="AB4483" s="403"/>
    </row>
    <row r="4484" spans="1:28">
      <c r="A4484" s="384"/>
      <c r="B4484" s="385"/>
      <c r="C4484" s="393"/>
      <c r="D4484" s="394"/>
      <c r="E4484" s="388"/>
      <c r="F4484" s="388"/>
      <c r="G4484" s="388"/>
      <c r="H4484" s="395"/>
      <c r="I4484" s="388"/>
      <c r="J4484" s="399"/>
      <c r="K4484" s="396"/>
      <c r="L4484" s="396"/>
      <c r="M4484" s="396"/>
      <c r="N4484" s="396"/>
      <c r="O4484" s="396"/>
      <c r="P4484" s="389"/>
      <c r="Q4484" s="396"/>
      <c r="R4484" s="396"/>
      <c r="S4484" s="396"/>
      <c r="T4484" s="396"/>
      <c r="U4484" s="401"/>
      <c r="V4484" s="396"/>
      <c r="W4484" s="388"/>
      <c r="X4484" s="396"/>
      <c r="Y4484" s="389"/>
      <c r="Z4484" s="396"/>
      <c r="AA4484" s="388"/>
      <c r="AB4484" s="390"/>
    </row>
    <row r="4485" spans="1:28">
      <c r="A4485" s="384" t="str">
        <f t="shared" ref="A4485:B4485" si="14482">A4465</f>
        <v>Lantai 3</v>
      </c>
      <c r="B4485" s="385">
        <f t="shared" si="14482"/>
        <v>7</v>
      </c>
      <c r="C4485" s="393" t="s">
        <v>211</v>
      </c>
      <c r="D4485" s="398">
        <f>VLOOKUP(D4465,'Detail Balok'!$C$10:$AU$140,31,FALSE)</f>
        <v>0</v>
      </c>
      <c r="E4485" s="388" t="s">
        <v>16</v>
      </c>
      <c r="F4485" s="388">
        <f>VLOOKUP(D4465,'Detail Balok'!$C$10:$AU$140,33,FALSE)</f>
        <v>10</v>
      </c>
      <c r="G4485" s="405" t="s">
        <v>157</v>
      </c>
      <c r="H4485" s="395">
        <f>VLOOKUP(D4465,'Detail Balok'!$C$10:$AU$140,35,FALSE)</f>
        <v>100</v>
      </c>
      <c r="I4485" s="388"/>
      <c r="J4485" s="400">
        <f t="shared" ref="J4485" si="14483">(IF(D4485=0,(2*(D4466+G4466))-(F$5*8),IF(D4485=3,(2*(D4466+G4466))-(F$5*8)+(G4466-2*F$5),IF(D4485=4,(2*(D4466+G4466))-(F$5*8)+2*(G4466-2*F$5)))))/1000</f>
        <v>0.88</v>
      </c>
      <c r="K4485" s="400" t="s">
        <v>204</v>
      </c>
      <c r="L4485" s="399">
        <f t="shared" ref="L4485:L4487" si="14484">IF(D4485=0,2*MAX(6*F4485,75),(D4485-1)*2*MAX(6*F4485,75))/1000</f>
        <v>0.15</v>
      </c>
      <c r="M4485" s="399" t="s">
        <v>176</v>
      </c>
      <c r="N4485" s="399">
        <f t="shared" ref="N4485:N4487" si="14485">J4485+L4485</f>
        <v>1.03</v>
      </c>
      <c r="O4485" s="399"/>
      <c r="P4485" s="389"/>
      <c r="Q4485" s="399"/>
      <c r="R4485" s="399"/>
      <c r="S4485" s="399"/>
      <c r="T4485" s="399" t="s">
        <v>125</v>
      </c>
      <c r="U4485" s="401">
        <f t="shared" ref="U4485:U4487" si="14486">0.006165*F4485^2</f>
        <v>0.61650000000000005</v>
      </c>
      <c r="V4485" s="399" t="s">
        <v>125</v>
      </c>
      <c r="W4485" s="399">
        <f t="shared" ref="W4485" si="14487">IF(D4468&gt;4*G4466,ROUND(MAX(D4468/4,2*G4466)/H4485,0)+1,ROUND(D4468/H4485,0)+1)</f>
        <v>19</v>
      </c>
      <c r="X4485" s="399" t="s">
        <v>125</v>
      </c>
      <c r="Y4485" s="389">
        <f t="shared" ref="Y4485" si="14488">D4471</f>
        <v>1</v>
      </c>
      <c r="Z4485" s="400" t="s">
        <v>176</v>
      </c>
      <c r="AA4485" s="402">
        <f t="shared" ref="AA4485:AA4487" si="14489">N4485*U4485*W4485*Y4485</f>
        <v>12.064905000000001</v>
      </c>
      <c r="AB4485" s="403"/>
    </row>
    <row r="4486" spans="1:28">
      <c r="A4486" s="384" t="str">
        <f t="shared" ref="A4486:B4486" si="14490">A4465</f>
        <v>Lantai 3</v>
      </c>
      <c r="B4486" s="385">
        <f t="shared" si="14490"/>
        <v>7</v>
      </c>
      <c r="C4486" s="393" t="s">
        <v>212</v>
      </c>
      <c r="D4486" s="398">
        <f>VLOOKUP(D4465,'Detail Balok'!$C$10:$AU$140,36,FALSE)</f>
        <v>0</v>
      </c>
      <c r="E4486" s="388" t="s">
        <v>16</v>
      </c>
      <c r="F4486" s="388">
        <f>VLOOKUP(D4465,'Detail Balok'!$C$10:$AU$140,38,FALSE)</f>
        <v>10</v>
      </c>
      <c r="G4486" s="405" t="s">
        <v>157</v>
      </c>
      <c r="H4486" s="395">
        <f>VLOOKUP(D4465,'Detail Balok'!$C$10:$AU$140,40,FALSE)</f>
        <v>100</v>
      </c>
      <c r="I4486" s="388"/>
      <c r="J4486" s="400">
        <f t="shared" ref="J4486" si="14491">(IF(D4486=0,(2*(D4466+G4466))-(F$5*8),IF(D4486=3,(2*(D4466+G4466))-(F$5*8)+(G4466-2*F$5),IF(D4486=4,(2*(D4466+G4466))-(F$5*8)+2*(G4466-2*F$5)))))/1000</f>
        <v>0.88</v>
      </c>
      <c r="K4486" s="400" t="s">
        <v>204</v>
      </c>
      <c r="L4486" s="399">
        <f t="shared" si="14484"/>
        <v>0.15</v>
      </c>
      <c r="M4486" s="399" t="s">
        <v>176</v>
      </c>
      <c r="N4486" s="399">
        <f t="shared" si="14485"/>
        <v>1.03</v>
      </c>
      <c r="O4486" s="399"/>
      <c r="P4486" s="389"/>
      <c r="Q4486" s="399"/>
      <c r="R4486" s="399"/>
      <c r="S4486" s="399"/>
      <c r="T4486" s="399" t="s">
        <v>125</v>
      </c>
      <c r="U4486" s="401">
        <f t="shared" si="14486"/>
        <v>0.61650000000000005</v>
      </c>
      <c r="V4486" s="399" t="s">
        <v>125</v>
      </c>
      <c r="W4486" s="399">
        <f t="shared" ref="W4486" si="14492">IF(D4468-MAX(D4468/4,2*G4466)*2&gt;0,ROUND((D4468-MAX(D4468/4,2*G4466)*2)/H4486,0),0)</f>
        <v>36</v>
      </c>
      <c r="X4486" s="399" t="s">
        <v>125</v>
      </c>
      <c r="Y4486" s="389">
        <f t="shared" ref="Y4486" si="14493">D4471</f>
        <v>1</v>
      </c>
      <c r="Z4486" s="400" t="s">
        <v>176</v>
      </c>
      <c r="AA4486" s="402">
        <f t="shared" si="14489"/>
        <v>22.859820000000003</v>
      </c>
      <c r="AB4486" s="403"/>
    </row>
    <row r="4487" spans="1:28">
      <c r="A4487" s="384" t="str">
        <f t="shared" ref="A4487:B4487" si="14494">A4465</f>
        <v>Lantai 3</v>
      </c>
      <c r="B4487" s="385">
        <f t="shared" si="14494"/>
        <v>7</v>
      </c>
      <c r="C4487" s="393" t="s">
        <v>211</v>
      </c>
      <c r="D4487" s="398">
        <f>VLOOKUP(D4465,'Detail Balok'!$C$10:$AU$140,41,FALSE)</f>
        <v>0</v>
      </c>
      <c r="E4487" s="388" t="s">
        <v>16</v>
      </c>
      <c r="F4487" s="388">
        <f>VLOOKUP(D4465,'Detail Balok'!$C$10:$AU$140,43,FALSE)</f>
        <v>10</v>
      </c>
      <c r="G4487" s="405" t="s">
        <v>157</v>
      </c>
      <c r="H4487" s="395">
        <f>VLOOKUP(D4465,'Detail Balok'!$C$10:$AU$140,45,FALSE)</f>
        <v>100</v>
      </c>
      <c r="I4487" s="388"/>
      <c r="J4487" s="400">
        <f t="shared" ref="J4487" si="14495">(IF(D4487=0,(2*(D4466+G4466))-(F$5*8),IF(D4487=3,(2*(D4466+G4466))-(F$5*8)+(G4466-2*F$5),IF(D4487=4,(2*(D4466+G4466))-(F$5*8)+2*(G4466-2*F$5)))))/1000</f>
        <v>0.88</v>
      </c>
      <c r="K4487" s="400" t="s">
        <v>204</v>
      </c>
      <c r="L4487" s="399">
        <f t="shared" si="14484"/>
        <v>0.15</v>
      </c>
      <c r="M4487" s="399" t="s">
        <v>176</v>
      </c>
      <c r="N4487" s="399">
        <f t="shared" si="14485"/>
        <v>1.03</v>
      </c>
      <c r="O4487" s="399"/>
      <c r="P4487" s="389"/>
      <c r="Q4487" s="399"/>
      <c r="R4487" s="399"/>
      <c r="S4487" s="399"/>
      <c r="T4487" s="399" t="s">
        <v>125</v>
      </c>
      <c r="U4487" s="401">
        <f t="shared" si="14486"/>
        <v>0.61650000000000005</v>
      </c>
      <c r="V4487" s="399" t="s">
        <v>125</v>
      </c>
      <c r="W4487" s="399">
        <f t="shared" ref="W4487" si="14496">IF(D4468&gt;4*G4466,ROUND(MAX(D4468/4,2*G4466)/H4487,0)+1,0)</f>
        <v>19</v>
      </c>
      <c r="X4487" s="399" t="s">
        <v>125</v>
      </c>
      <c r="Y4487" s="389">
        <f t="shared" ref="Y4487" si="14497">D4471</f>
        <v>1</v>
      </c>
      <c r="Z4487" s="400" t="s">
        <v>176</v>
      </c>
      <c r="AA4487" s="402">
        <f t="shared" si="14489"/>
        <v>12.064905000000001</v>
      </c>
      <c r="AB4487" s="403"/>
    </row>
    <row r="4488" spans="1:28">
      <c r="A4488" s="384"/>
      <c r="B4488" s="385"/>
      <c r="C4488" s="393"/>
      <c r="D4488" s="394"/>
      <c r="E4488" s="388"/>
      <c r="F4488" s="388"/>
      <c r="G4488" s="388"/>
      <c r="H4488" s="395"/>
      <c r="I4488" s="388"/>
      <c r="J4488" s="399"/>
      <c r="K4488" s="396"/>
      <c r="L4488" s="396"/>
      <c r="M4488" s="396"/>
      <c r="N4488" s="396"/>
      <c r="O4488" s="396"/>
      <c r="P4488" s="389"/>
      <c r="Q4488" s="396"/>
      <c r="R4488" s="396"/>
      <c r="S4488" s="396"/>
      <c r="T4488" s="396"/>
      <c r="U4488" s="401"/>
      <c r="V4488" s="396"/>
      <c r="W4488" s="388"/>
      <c r="X4488" s="396"/>
      <c r="Y4488" s="389"/>
      <c r="Z4488" s="396"/>
      <c r="AA4488" s="388"/>
      <c r="AB4488" s="390"/>
    </row>
    <row r="4489" spans="1:28">
      <c r="A4489" s="384" t="str">
        <f t="shared" ref="A4489:B4489" si="14498">A4465</f>
        <v>Lantai 3</v>
      </c>
      <c r="B4489" s="385">
        <f t="shared" si="14498"/>
        <v>7</v>
      </c>
      <c r="C4489" s="393" t="s">
        <v>213</v>
      </c>
      <c r="D4489" s="398">
        <f>VLOOKUP(D4465,'Detail Balok'!$C$10:$BJ$140,46,FALSE)</f>
        <v>0</v>
      </c>
      <c r="E4489" s="388" t="s">
        <v>16</v>
      </c>
      <c r="F4489" s="388">
        <f>VLOOKUP(D4465,'Detail Balok'!$C$10:$BJ$140,48,FALSE)</f>
        <v>0</v>
      </c>
      <c r="G4489" s="405" t="s">
        <v>157</v>
      </c>
      <c r="H4489" s="395">
        <f>VLOOKUP(D4465,'Detail Balok'!$C$10:$BJ$140,50,FALSE)</f>
        <v>100</v>
      </c>
      <c r="I4489" s="388"/>
      <c r="J4489" s="399">
        <f t="shared" ref="J4489" si="14499">(D4466-2*F$5)/1000</f>
        <v>0.12</v>
      </c>
      <c r="K4489" s="400" t="s">
        <v>204</v>
      </c>
      <c r="L4489" s="399">
        <f t="shared" ref="L4489:L4491" si="14500">IF(D4489=0,2*MAX(6*F4489,75),(D4489-1)*2*MAX(6*F4489,75))/1000</f>
        <v>0.15</v>
      </c>
      <c r="M4489" s="399" t="s">
        <v>176</v>
      </c>
      <c r="N4489" s="399">
        <f t="shared" ref="N4489:N4491" si="14501">J4489+L4489</f>
        <v>0.27</v>
      </c>
      <c r="O4489" s="399"/>
      <c r="P4489" s="399"/>
      <c r="Q4489" s="399"/>
      <c r="R4489" s="399"/>
      <c r="S4489" s="399"/>
      <c r="T4489" s="399" t="s">
        <v>125</v>
      </c>
      <c r="U4489" s="401">
        <f t="shared" ref="U4489:U4491" si="14502">0.006165*F4489^2</f>
        <v>0</v>
      </c>
      <c r="V4489" s="399" t="s">
        <v>125</v>
      </c>
      <c r="W4489" s="399">
        <f t="shared" si="14407"/>
        <v>19</v>
      </c>
      <c r="X4489" s="399" t="s">
        <v>125</v>
      </c>
      <c r="Y4489" s="389">
        <f t="shared" ref="Y4489" si="14503">D4475</f>
        <v>3</v>
      </c>
      <c r="Z4489" s="400" t="s">
        <v>176</v>
      </c>
      <c r="AA4489" s="402">
        <f t="shared" ref="AA4489:AA4491" si="14504">N4489*U4489*W4489*Y4489</f>
        <v>0</v>
      </c>
      <c r="AB4489" s="403"/>
    </row>
    <row r="4490" spans="1:28">
      <c r="A4490" s="384" t="str">
        <f t="shared" ref="A4490:B4490" si="14505">A4465</f>
        <v>Lantai 3</v>
      </c>
      <c r="B4490" s="385">
        <f t="shared" si="14505"/>
        <v>7</v>
      </c>
      <c r="C4490" s="393" t="s">
        <v>214</v>
      </c>
      <c r="D4490" s="398">
        <f>VLOOKUP(D4465,'Detail Balok'!$C$10:$BJ$140,51,FALSE)</f>
        <v>0</v>
      </c>
      <c r="E4490" s="388" t="s">
        <v>16</v>
      </c>
      <c r="F4490" s="388">
        <f>VLOOKUP(D4465,'Detail Balok'!$C$10:$BJ$140,53,FALSE)</f>
        <v>0</v>
      </c>
      <c r="G4490" s="405" t="s">
        <v>157</v>
      </c>
      <c r="H4490" s="395">
        <f>VLOOKUP(D4465,'Detail Balok'!$C$10:$BJ$140,55,FALSE)</f>
        <v>100</v>
      </c>
      <c r="I4490" s="388"/>
      <c r="J4490" s="399">
        <f t="shared" ref="J4490" si="14506">(D4466-2*F$5)/1000</f>
        <v>0.12</v>
      </c>
      <c r="K4490" s="400" t="s">
        <v>204</v>
      </c>
      <c r="L4490" s="399">
        <f t="shared" si="14500"/>
        <v>0.15</v>
      </c>
      <c r="M4490" s="399" t="s">
        <v>176</v>
      </c>
      <c r="N4490" s="399">
        <f t="shared" si="14501"/>
        <v>0.27</v>
      </c>
      <c r="O4490" s="399"/>
      <c r="P4490" s="399"/>
      <c r="Q4490" s="399"/>
      <c r="R4490" s="399"/>
      <c r="S4490" s="399"/>
      <c r="T4490" s="399" t="s">
        <v>125</v>
      </c>
      <c r="U4490" s="401">
        <f t="shared" si="14502"/>
        <v>0</v>
      </c>
      <c r="V4490" s="399" t="s">
        <v>125</v>
      </c>
      <c r="W4490" s="399">
        <f t="shared" si="14407"/>
        <v>36</v>
      </c>
      <c r="X4490" s="399" t="s">
        <v>125</v>
      </c>
      <c r="Y4490" s="389">
        <f t="shared" ref="Y4490" si="14507">D4475</f>
        <v>3</v>
      </c>
      <c r="Z4490" s="400" t="s">
        <v>176</v>
      </c>
      <c r="AA4490" s="402">
        <f t="shared" si="14504"/>
        <v>0</v>
      </c>
      <c r="AB4490" s="403"/>
    </row>
    <row r="4491" spans="1:28">
      <c r="A4491" s="384" t="str">
        <f t="shared" ref="A4491:B4491" si="14508">A4465</f>
        <v>Lantai 3</v>
      </c>
      <c r="B4491" s="385">
        <f t="shared" si="14508"/>
        <v>7</v>
      </c>
      <c r="C4491" s="393" t="s">
        <v>213</v>
      </c>
      <c r="D4491" s="398">
        <f>VLOOKUP(D4465,'Detail Balok'!$C$10:$BJ$140,56,FALSE)</f>
        <v>0</v>
      </c>
      <c r="E4491" s="388" t="s">
        <v>16</v>
      </c>
      <c r="F4491" s="388">
        <f>VLOOKUP(D4465,'Detail Balok'!$C$10:$BJ$140,58,FALSE)</f>
        <v>0</v>
      </c>
      <c r="G4491" s="405" t="s">
        <v>157</v>
      </c>
      <c r="H4491" s="395">
        <f>VLOOKUP(D4465,'Detail Balok'!$C$10:$BJ$140,60,FALSE)</f>
        <v>100</v>
      </c>
      <c r="I4491" s="388"/>
      <c r="J4491" s="399">
        <f t="shared" ref="J4491" si="14509">(D4466-2*F$5)/1000</f>
        <v>0.12</v>
      </c>
      <c r="K4491" s="400" t="s">
        <v>204</v>
      </c>
      <c r="L4491" s="399">
        <f t="shared" si="14500"/>
        <v>0.15</v>
      </c>
      <c r="M4491" s="399" t="s">
        <v>176</v>
      </c>
      <c r="N4491" s="399">
        <f t="shared" si="14501"/>
        <v>0.27</v>
      </c>
      <c r="O4491" s="399"/>
      <c r="P4491" s="399"/>
      <c r="Q4491" s="399"/>
      <c r="R4491" s="399"/>
      <c r="S4491" s="399"/>
      <c r="T4491" s="399" t="s">
        <v>125</v>
      </c>
      <c r="U4491" s="401">
        <f t="shared" si="14502"/>
        <v>0</v>
      </c>
      <c r="V4491" s="399" t="s">
        <v>125</v>
      </c>
      <c r="W4491" s="399">
        <f t="shared" si="14407"/>
        <v>19</v>
      </c>
      <c r="X4491" s="399" t="s">
        <v>125</v>
      </c>
      <c r="Y4491" s="389">
        <f t="shared" ref="Y4491" si="14510">D4475</f>
        <v>3</v>
      </c>
      <c r="Z4491" s="400" t="s">
        <v>176</v>
      </c>
      <c r="AA4491" s="402">
        <f t="shared" si="14504"/>
        <v>0</v>
      </c>
      <c r="AB4491" s="403"/>
    </row>
    <row r="4492" spans="1:28">
      <c r="A4492" s="391"/>
      <c r="B4492" s="392"/>
      <c r="C4492" s="392"/>
      <c r="D4492" s="394"/>
      <c r="E4492" s="388"/>
      <c r="F4492" s="388"/>
      <c r="G4492" s="388"/>
      <c r="H4492" s="395"/>
      <c r="I4492" s="388"/>
      <c r="J4492" s="402"/>
      <c r="K4492" s="388"/>
      <c r="L4492" s="388"/>
      <c r="M4492" s="388"/>
      <c r="N4492" s="388"/>
      <c r="O4492" s="388"/>
      <c r="P4492" s="388"/>
      <c r="Q4492" s="388"/>
      <c r="R4492" s="388"/>
      <c r="S4492" s="388"/>
      <c r="T4492" s="388"/>
      <c r="U4492" s="388"/>
      <c r="V4492" s="388"/>
      <c r="W4492" s="388"/>
      <c r="X4492" s="388"/>
      <c r="Y4492" s="389"/>
      <c r="Z4492" s="388"/>
      <c r="AA4492" s="402"/>
      <c r="AB4492" s="403"/>
    </row>
    <row r="4493" spans="1:28" ht="15.75" thickBot="1">
      <c r="A4493" s="406"/>
      <c r="B4493" s="407"/>
      <c r="C4493" s="407"/>
      <c r="D4493" s="408"/>
      <c r="E4493" s="409"/>
      <c r="F4493" s="409"/>
      <c r="G4493" s="409"/>
      <c r="H4493" s="410"/>
      <c r="I4493" s="409"/>
      <c r="J4493" s="409"/>
      <c r="K4493" s="409"/>
      <c r="L4493" s="409"/>
      <c r="M4493" s="409"/>
      <c r="N4493" s="409"/>
      <c r="O4493" s="409"/>
      <c r="P4493" s="409"/>
      <c r="Q4493" s="409"/>
      <c r="R4493" s="409"/>
      <c r="S4493" s="409"/>
      <c r="T4493" s="409"/>
      <c r="U4493" s="409"/>
      <c r="V4493" s="409"/>
      <c r="W4493" s="409"/>
      <c r="X4493" s="409"/>
      <c r="Y4493" s="411"/>
      <c r="Z4493" s="409"/>
      <c r="AA4493" s="412"/>
      <c r="AB4493" s="413"/>
    </row>
    <row r="4494" spans="1:28">
      <c r="A4494" s="377"/>
      <c r="B4494" s="378"/>
      <c r="C4494" s="378"/>
      <c r="D4494" s="379"/>
      <c r="E4494" s="380"/>
      <c r="F4494" s="380"/>
      <c r="G4494" s="380"/>
      <c r="H4494" s="381"/>
      <c r="I4494" s="380"/>
      <c r="J4494" s="380"/>
      <c r="K4494" s="380"/>
      <c r="L4494" s="380"/>
      <c r="M4494" s="380"/>
      <c r="N4494" s="380"/>
      <c r="O4494" s="380"/>
      <c r="P4494" s="380"/>
      <c r="Q4494" s="380"/>
      <c r="R4494" s="380"/>
      <c r="S4494" s="380"/>
      <c r="T4494" s="380"/>
      <c r="U4494" s="380"/>
      <c r="V4494" s="380"/>
      <c r="W4494" s="380"/>
      <c r="X4494" s="380"/>
      <c r="Y4494" s="382"/>
      <c r="Z4494" s="380"/>
      <c r="AA4494" s="380"/>
      <c r="AB4494" s="383"/>
    </row>
    <row r="4495" spans="1:28">
      <c r="A4495" s="384" t="str">
        <f t="shared" si="14416"/>
        <v>Lantai 3</v>
      </c>
      <c r="B4495" s="385">
        <f t="shared" si="14417"/>
        <v>8</v>
      </c>
      <c r="C4495" s="386" t="str">
        <f t="shared" ref="C4495" si="14511">CONCATENATE(A4495," no. ",B4495)</f>
        <v>Lantai 3 no. 8</v>
      </c>
      <c r="D4495" s="2562" t="str">
        <f>VLOOKUP(C4495,'Data Panjang Balok'!$C$9:$N$254,2,FALSE)</f>
        <v>B26-1</v>
      </c>
      <c r="E4495" s="2576"/>
      <c r="F4495" s="2576"/>
      <c r="G4495" s="2576"/>
      <c r="H4495" s="2577"/>
      <c r="I4495" s="387"/>
      <c r="J4495" s="388"/>
      <c r="K4495" s="388"/>
      <c r="L4495" s="388"/>
      <c r="M4495" s="388"/>
      <c r="N4495" s="388"/>
      <c r="O4495" s="388"/>
      <c r="P4495" s="388"/>
      <c r="Q4495" s="388"/>
      <c r="R4495" s="388"/>
      <c r="S4495" s="388"/>
      <c r="T4495" s="388"/>
      <c r="U4495" s="388"/>
      <c r="V4495" s="388"/>
      <c r="W4495" s="388"/>
      <c r="X4495" s="388"/>
      <c r="Y4495" s="389"/>
      <c r="Z4495" s="388"/>
      <c r="AA4495" s="388"/>
      <c r="AB4495" s="390"/>
    </row>
    <row r="4496" spans="1:28">
      <c r="A4496" s="391"/>
      <c r="B4496" s="392"/>
      <c r="C4496" s="393" t="s">
        <v>118</v>
      </c>
      <c r="D4496" s="2578">
        <f>VLOOKUP(D4495,'Detail Balok'!$C$10:$AU$140,2,FALSE)</f>
        <v>200</v>
      </c>
      <c r="E4496" s="2579"/>
      <c r="F4496" s="388" t="s">
        <v>125</v>
      </c>
      <c r="G4496" s="2579">
        <f>VLOOKUP(D4495,'Detail Balok'!$C$10:$AU$140,3,FALSE)</f>
        <v>600</v>
      </c>
      <c r="H4496" s="2580"/>
      <c r="I4496" s="388"/>
      <c r="J4496" s="396"/>
      <c r="K4496" s="396"/>
      <c r="L4496" s="396"/>
      <c r="M4496" s="396"/>
      <c r="N4496" s="396"/>
      <c r="O4496" s="396"/>
      <c r="P4496" s="396"/>
      <c r="Q4496" s="396"/>
      <c r="R4496" s="396"/>
      <c r="S4496" s="396"/>
      <c r="T4496" s="396"/>
      <c r="U4496" s="388"/>
      <c r="V4496" s="396"/>
      <c r="W4496" s="388"/>
      <c r="X4496" s="396"/>
      <c r="Y4496" s="389"/>
      <c r="Z4496" s="396"/>
      <c r="AA4496" s="388"/>
      <c r="AB4496" s="390"/>
    </row>
    <row r="4497" spans="1:28">
      <c r="A4497" s="391"/>
      <c r="B4497" s="392"/>
      <c r="C4497" s="393" t="s">
        <v>198</v>
      </c>
      <c r="D4497" s="2562">
        <f>VLOOKUP(C4495,'Data Panjang Balok'!$C$9:$N$254,4,FALSE)</f>
        <v>6075</v>
      </c>
      <c r="E4497" s="2563"/>
      <c r="F4497" s="2563"/>
      <c r="G4497" s="2563"/>
      <c r="H4497" s="2564"/>
      <c r="I4497" s="397"/>
      <c r="J4497" s="396"/>
      <c r="K4497" s="396"/>
      <c r="L4497" s="396"/>
      <c r="M4497" s="396"/>
      <c r="N4497" s="396"/>
      <c r="O4497" s="396"/>
      <c r="P4497" s="396"/>
      <c r="Q4497" s="396"/>
      <c r="R4497" s="396"/>
      <c r="S4497" s="396"/>
      <c r="T4497" s="396"/>
      <c r="U4497" s="388"/>
      <c r="V4497" s="396"/>
      <c r="W4497" s="388"/>
      <c r="X4497" s="396"/>
      <c r="Y4497" s="389"/>
      <c r="Z4497" s="396"/>
      <c r="AA4497" s="388"/>
      <c r="AB4497" s="390"/>
    </row>
    <row r="4498" spans="1:28">
      <c r="A4498" s="391"/>
      <c r="B4498" s="392"/>
      <c r="C4498" s="393" t="s">
        <v>199</v>
      </c>
      <c r="D4498" s="2562">
        <f>VLOOKUP(C4495,'Data Panjang Balok'!$C$9:$N$254,7,FALSE)</f>
        <v>6075</v>
      </c>
      <c r="E4498" s="2563"/>
      <c r="F4498" s="2563"/>
      <c r="G4498" s="2563"/>
      <c r="H4498" s="2564"/>
      <c r="I4498" s="397"/>
      <c r="J4498" s="396"/>
      <c r="K4498" s="396"/>
      <c r="L4498" s="396"/>
      <c r="M4498" s="396"/>
      <c r="N4498" s="396"/>
      <c r="O4498" s="396"/>
      <c r="P4498" s="396"/>
      <c r="Q4498" s="396"/>
      <c r="R4498" s="396"/>
      <c r="S4498" s="396"/>
      <c r="T4498" s="396"/>
      <c r="U4498" s="388"/>
      <c r="V4498" s="396"/>
      <c r="W4498" s="388"/>
      <c r="X4498" s="396"/>
      <c r="Y4498" s="389"/>
      <c r="Z4498" s="396"/>
      <c r="AA4498" s="388"/>
      <c r="AB4498" s="390"/>
    </row>
    <row r="4499" spans="1:28">
      <c r="A4499" s="391"/>
      <c r="B4499" s="392"/>
      <c r="C4499" s="393" t="s">
        <v>200</v>
      </c>
      <c r="D4499" s="2562">
        <f>VLOOKUP(C4495,'Data Panjang Balok'!$C$9:$N$254,9,FALSE)</f>
        <v>0</v>
      </c>
      <c r="E4499" s="2563"/>
      <c r="F4499" s="2563"/>
      <c r="G4499" s="2563"/>
      <c r="H4499" s="2564"/>
      <c r="I4499" s="397"/>
      <c r="J4499" s="396"/>
      <c r="K4499" s="396"/>
      <c r="L4499" s="396"/>
      <c r="M4499" s="396"/>
      <c r="N4499" s="396"/>
      <c r="O4499" s="396"/>
      <c r="P4499" s="396"/>
      <c r="Q4499" s="396"/>
      <c r="R4499" s="396"/>
      <c r="S4499" s="396"/>
      <c r="T4499" s="396"/>
      <c r="U4499" s="388"/>
      <c r="V4499" s="396"/>
      <c r="W4499" s="388"/>
      <c r="X4499" s="396"/>
      <c r="Y4499" s="389"/>
      <c r="Z4499" s="396"/>
      <c r="AA4499" s="388"/>
      <c r="AB4499" s="390"/>
    </row>
    <row r="4500" spans="1:28">
      <c r="A4500" s="391"/>
      <c r="B4500" s="392"/>
      <c r="C4500" s="393" t="s">
        <v>201</v>
      </c>
      <c r="D4500" s="2562">
        <f>VLOOKUP(C4495,'Data Panjang Balok'!$C$9:$N$254,10,FALSE)</f>
        <v>0</v>
      </c>
      <c r="E4500" s="2563"/>
      <c r="F4500" s="2563"/>
      <c r="G4500" s="2563"/>
      <c r="H4500" s="2564"/>
      <c r="I4500" s="397"/>
      <c r="J4500" s="396"/>
      <c r="K4500" s="396"/>
      <c r="L4500" s="396"/>
      <c r="M4500" s="396"/>
      <c r="N4500" s="396"/>
      <c r="O4500" s="396"/>
      <c r="P4500" s="396"/>
      <c r="Q4500" s="396"/>
      <c r="R4500" s="396"/>
      <c r="S4500" s="396"/>
      <c r="T4500" s="396"/>
      <c r="U4500" s="388"/>
      <c r="V4500" s="396"/>
      <c r="W4500" s="388"/>
      <c r="X4500" s="396"/>
      <c r="Y4500" s="389"/>
      <c r="Z4500" s="396"/>
      <c r="AA4500" s="388"/>
      <c r="AB4500" s="390"/>
    </row>
    <row r="4501" spans="1:28">
      <c r="A4501" s="391"/>
      <c r="B4501" s="392"/>
      <c r="C4501" s="393" t="s">
        <v>48</v>
      </c>
      <c r="D4501" s="2562">
        <f>VLOOKUP(C4495,'Data Panjang Balok'!$C$9:$N$254,3,FALSE)</f>
        <v>1</v>
      </c>
      <c r="E4501" s="2563"/>
      <c r="F4501" s="2563"/>
      <c r="G4501" s="2563"/>
      <c r="H4501" s="2564"/>
      <c r="I4501" s="397"/>
      <c r="J4501" s="396"/>
      <c r="K4501" s="396"/>
      <c r="L4501" s="396"/>
      <c r="M4501" s="396"/>
      <c r="N4501" s="396"/>
      <c r="O4501" s="396"/>
      <c r="P4501" s="396"/>
      <c r="Q4501" s="396"/>
      <c r="R4501" s="396"/>
      <c r="S4501" s="396"/>
      <c r="T4501" s="396"/>
      <c r="U4501" s="388"/>
      <c r="V4501" s="396"/>
      <c r="W4501" s="388"/>
      <c r="X4501" s="396"/>
      <c r="Y4501" s="389"/>
      <c r="Z4501" s="396"/>
      <c r="AA4501" s="388"/>
      <c r="AB4501" s="390"/>
    </row>
    <row r="4502" spans="1:28">
      <c r="A4502" s="384" t="str">
        <f t="shared" ref="A4502:B4502" si="14512">A4495</f>
        <v>Lantai 3</v>
      </c>
      <c r="B4502" s="385">
        <f t="shared" si="14512"/>
        <v>8</v>
      </c>
      <c r="C4502" s="393" t="s">
        <v>202</v>
      </c>
      <c r="D4502" s="398">
        <f>VLOOKUP(D4495,'Detail Balok'!$C$10:$AU$140,4,FALSE)</f>
        <v>4</v>
      </c>
      <c r="E4502" s="388" t="s">
        <v>16</v>
      </c>
      <c r="F4502" s="388">
        <f>VLOOKUP(D4495,'Detail Balok'!$C$10:$AU$140,6,FALSE)</f>
        <v>16</v>
      </c>
      <c r="G4502" s="388"/>
      <c r="H4502" s="395"/>
      <c r="I4502" s="388" t="s">
        <v>203</v>
      </c>
      <c r="J4502" s="399">
        <f t="shared" ref="J4502" si="14513">+D4497/4/1000</f>
        <v>1.51875</v>
      </c>
      <c r="K4502" s="400" t="s">
        <v>204</v>
      </c>
      <c r="L4502" s="399">
        <f t="shared" ref="L4502" si="14514">MAX(VLOOKUP(F4502,N$6:P$15,3,FALSE)/1000,2/3*D4499/1000)+F$16*F4502/1000</f>
        <v>0.192</v>
      </c>
      <c r="M4502" s="399" t="s">
        <v>176</v>
      </c>
      <c r="N4502" s="399">
        <f t="shared" ref="N4502:N4504" si="14515">J4502+L4502</f>
        <v>1.71075</v>
      </c>
      <c r="O4502" s="399" t="s">
        <v>204</v>
      </c>
      <c r="P4502" s="389">
        <f t="shared" ref="P4502" si="14516">D4502-D4503</f>
        <v>1</v>
      </c>
      <c r="Q4502" s="399" t="s">
        <v>125</v>
      </c>
      <c r="R4502" s="399">
        <f t="shared" ref="R4502" si="14517">IF(P4502&gt;0,$F$18*F4502/1000,0)</f>
        <v>0.24</v>
      </c>
      <c r="S4502" s="399" t="s">
        <v>205</v>
      </c>
      <c r="T4502" s="399" t="s">
        <v>125</v>
      </c>
      <c r="U4502" s="401">
        <f t="shared" ref="U4502:U4504" si="14518">0.006165*F4502^2</f>
        <v>1.5782400000000001</v>
      </c>
      <c r="V4502" s="399"/>
      <c r="W4502" s="399"/>
      <c r="X4502" s="399" t="s">
        <v>125</v>
      </c>
      <c r="Y4502" s="389">
        <f t="shared" ref="Y4502" si="14519">D4501</f>
        <v>1</v>
      </c>
      <c r="Z4502" s="400" t="s">
        <v>176</v>
      </c>
      <c r="AA4502" s="402">
        <f t="shared" ref="AA4502" si="14520">IF(AA4505=0,(D4502*N4502+P4502*R4502)*U4502*Y4502,0)</f>
        <v>11.178673920000001</v>
      </c>
      <c r="AB4502" s="403"/>
    </row>
    <row r="4503" spans="1:28">
      <c r="A4503" s="384" t="str">
        <f t="shared" ref="A4503:B4503" si="14521">A4495</f>
        <v>Lantai 3</v>
      </c>
      <c r="B4503" s="385">
        <f t="shared" si="14521"/>
        <v>8</v>
      </c>
      <c r="C4503" s="393" t="s">
        <v>206</v>
      </c>
      <c r="D4503" s="398">
        <f>VLOOKUP(D4495,'Detail Balok'!$C$10:$AU$140,7,FALSE)</f>
        <v>3</v>
      </c>
      <c r="E4503" s="388" t="s">
        <v>16</v>
      </c>
      <c r="F4503" s="388">
        <f>VLOOKUP(D4495,'Detail Balok'!$C$10:$AU$140,9,FALSE)</f>
        <v>16</v>
      </c>
      <c r="G4503" s="388"/>
      <c r="H4503" s="395"/>
      <c r="I4503" s="388" t="s">
        <v>203</v>
      </c>
      <c r="J4503" s="399">
        <f t="shared" ref="J4503" si="14522">+D4497/2/1000</f>
        <v>3.0375000000000001</v>
      </c>
      <c r="K4503" s="400" t="s">
        <v>204</v>
      </c>
      <c r="L4503" s="399"/>
      <c r="M4503" s="399" t="s">
        <v>176</v>
      </c>
      <c r="N4503" s="399">
        <f t="shared" si="14515"/>
        <v>3.0375000000000001</v>
      </c>
      <c r="O4503" s="399" t="s">
        <v>204</v>
      </c>
      <c r="P4503" s="389">
        <f t="shared" ref="P4503" si="14523">MAX(D4503-D4502,D4503-D4504)</f>
        <v>-1</v>
      </c>
      <c r="Q4503" s="399" t="s">
        <v>125</v>
      </c>
      <c r="R4503" s="399">
        <f t="shared" ref="R4503" si="14524">IF(P4503&gt;0,2*(1-2*$F$19-1/2)*D4498/1000,0)</f>
        <v>0</v>
      </c>
      <c r="S4503" s="399" t="s">
        <v>205</v>
      </c>
      <c r="T4503" s="399" t="s">
        <v>125</v>
      </c>
      <c r="U4503" s="401">
        <f t="shared" si="14518"/>
        <v>1.5782400000000001</v>
      </c>
      <c r="V4503" s="399"/>
      <c r="W4503" s="399"/>
      <c r="X4503" s="399" t="s">
        <v>125</v>
      </c>
      <c r="Y4503" s="389">
        <f t="shared" ref="Y4503" si="14525">D4501</f>
        <v>1</v>
      </c>
      <c r="Z4503" s="400" t="s">
        <v>176</v>
      </c>
      <c r="AA4503" s="402">
        <f t="shared" ref="AA4503" si="14526">IF(AA4505=0,(D4503*N4503+P4503*R4503)*U4503*Y4503,0)</f>
        <v>14.381712000000002</v>
      </c>
      <c r="AB4503" s="403"/>
    </row>
    <row r="4504" spans="1:28">
      <c r="A4504" s="384" t="str">
        <f t="shared" ref="A4504:B4504" si="14527">A4495</f>
        <v>Lantai 3</v>
      </c>
      <c r="B4504" s="385">
        <f t="shared" si="14527"/>
        <v>8</v>
      </c>
      <c r="C4504" s="393" t="s">
        <v>202</v>
      </c>
      <c r="D4504" s="398">
        <f>VLOOKUP(D4495,'Detail Balok'!$C$10:$AU$140,10,FALSE)</f>
        <v>4</v>
      </c>
      <c r="E4504" s="388" t="s">
        <v>16</v>
      </c>
      <c r="F4504" s="388">
        <f>VLOOKUP(D4495,'Detail Balok'!$C$10:$AU$140,12,FALSE)</f>
        <v>16</v>
      </c>
      <c r="G4504" s="388"/>
      <c r="H4504" s="395"/>
      <c r="I4504" s="388" t="s">
        <v>203</v>
      </c>
      <c r="J4504" s="399">
        <f t="shared" ref="J4504" si="14528">+D4497/4/1000</f>
        <v>1.51875</v>
      </c>
      <c r="K4504" s="400" t="s">
        <v>204</v>
      </c>
      <c r="L4504" s="399">
        <f t="shared" ref="L4504" si="14529">MAX(VLOOKUP(F4504,N$6:P$15,3,FALSE)/1000,2/3*D4499/1000)+F$16*F4504/1000</f>
        <v>0.192</v>
      </c>
      <c r="M4504" s="399" t="s">
        <v>176</v>
      </c>
      <c r="N4504" s="399">
        <f t="shared" si="14515"/>
        <v>1.71075</v>
      </c>
      <c r="O4504" s="399" t="s">
        <v>204</v>
      </c>
      <c r="P4504" s="389">
        <f t="shared" ref="P4504" si="14530">D4504-D4503</f>
        <v>1</v>
      </c>
      <c r="Q4504" s="399" t="s">
        <v>125</v>
      </c>
      <c r="R4504" s="399">
        <f t="shared" ref="R4504" si="14531">IF(P4504&gt;0,$F$18*F4504/1000,0)</f>
        <v>0.24</v>
      </c>
      <c r="S4504" s="399" t="s">
        <v>205</v>
      </c>
      <c r="T4504" s="399" t="s">
        <v>125</v>
      </c>
      <c r="U4504" s="401">
        <f t="shared" si="14518"/>
        <v>1.5782400000000001</v>
      </c>
      <c r="V4504" s="399"/>
      <c r="W4504" s="399"/>
      <c r="X4504" s="399" t="s">
        <v>125</v>
      </c>
      <c r="Y4504" s="389">
        <f t="shared" ref="Y4504" si="14532">D4501</f>
        <v>1</v>
      </c>
      <c r="Z4504" s="400" t="s">
        <v>176</v>
      </c>
      <c r="AA4504" s="402">
        <f t="shared" ref="AA4504" si="14533">IF(AA4505=0,(D4504*N4504+P4504*R4504)*U4504*Y4504,0)</f>
        <v>11.178673920000001</v>
      </c>
      <c r="AB4504" s="403"/>
    </row>
    <row r="4505" spans="1:28">
      <c r="A4505" s="384" t="str">
        <f t="shared" ref="A4505:B4505" si="14534">A4495</f>
        <v>Lantai 3</v>
      </c>
      <c r="B4505" s="385">
        <f t="shared" si="14534"/>
        <v>8</v>
      </c>
      <c r="C4505" s="393"/>
      <c r="D4505" s="398">
        <f t="shared" si="14337"/>
        <v>0</v>
      </c>
      <c r="E4505" s="388" t="s">
        <v>16</v>
      </c>
      <c r="F4505" s="388">
        <f t="shared" si="14338"/>
        <v>16</v>
      </c>
      <c r="G4505" s="388"/>
      <c r="H4505" s="395"/>
      <c r="I4505" s="388"/>
      <c r="J4505" s="396"/>
      <c r="K4505" s="396"/>
      <c r="L4505" s="404" t="s">
        <v>207</v>
      </c>
      <c r="M4505" s="399" t="s">
        <v>176</v>
      </c>
      <c r="N4505" s="399">
        <f t="shared" ref="N4505" si="14535">IF(AND(D4502=D4503,D4502=D4504,D4503=D4504,F4502=F4503,F4502=F4504,F4503=F4504),SUM(N4502:N4504),0)</f>
        <v>0</v>
      </c>
      <c r="O4505" s="399" t="s">
        <v>204</v>
      </c>
      <c r="P4505" s="389">
        <f t="shared" ref="P4505" si="14536">IF(N4505&gt;12,ROUNDDOWN(N4505/12,0),0)</f>
        <v>0</v>
      </c>
      <c r="Q4505" s="399" t="s">
        <v>125</v>
      </c>
      <c r="R4505" s="399">
        <f t="shared" ref="R4505" si="14537">IF(P4505&gt;0,MAX(VLOOKUP(F4505,$D$6:$G$15,3,FALSE),600),0)/1000</f>
        <v>0</v>
      </c>
      <c r="S4505" s="396"/>
      <c r="T4505" s="396" t="s">
        <v>125</v>
      </c>
      <c r="U4505" s="401">
        <f t="shared" si="14342"/>
        <v>1.5782400000000001</v>
      </c>
      <c r="V4505" s="396" t="s">
        <v>125</v>
      </c>
      <c r="W4505" s="399">
        <f t="shared" ref="W4505" si="14538">D4505</f>
        <v>0</v>
      </c>
      <c r="X4505" s="399" t="s">
        <v>125</v>
      </c>
      <c r="Y4505" s="389">
        <f t="shared" si="14344"/>
        <v>1</v>
      </c>
      <c r="Z4505" s="400" t="s">
        <v>176</v>
      </c>
      <c r="AA4505" s="402">
        <f t="shared" ref="AA4505" si="14539">(N4505+P4505*R4505/1000)*U4505*W4505*Y4505</f>
        <v>0</v>
      </c>
      <c r="AB4505" s="390"/>
    </row>
    <row r="4506" spans="1:28">
      <c r="A4506" s="384"/>
      <c r="B4506" s="385"/>
      <c r="C4506" s="393"/>
      <c r="D4506" s="398"/>
      <c r="E4506" s="388"/>
      <c r="F4506" s="388"/>
      <c r="G4506" s="388"/>
      <c r="H4506" s="395"/>
      <c r="I4506" s="388"/>
      <c r="J4506" s="396"/>
      <c r="K4506" s="396"/>
      <c r="L4506" s="404"/>
      <c r="M4506" s="399"/>
      <c r="N4506" s="399"/>
      <c r="O4506" s="396"/>
      <c r="P4506" s="389"/>
      <c r="Q4506" s="396"/>
      <c r="R4506" s="396"/>
      <c r="S4506" s="396"/>
      <c r="T4506" s="396"/>
      <c r="U4506" s="401"/>
      <c r="V4506" s="396"/>
      <c r="W4506" s="399"/>
      <c r="X4506" s="396"/>
      <c r="Y4506" s="389"/>
      <c r="Z4506" s="396"/>
      <c r="AA4506" s="388"/>
      <c r="AB4506" s="390"/>
    </row>
    <row r="4507" spans="1:28">
      <c r="A4507" s="384" t="str">
        <f t="shared" ref="A4507:B4507" si="14540">A4495</f>
        <v>Lantai 3</v>
      </c>
      <c r="B4507" s="385">
        <f t="shared" si="14540"/>
        <v>8</v>
      </c>
      <c r="C4507" s="393" t="s">
        <v>208</v>
      </c>
      <c r="D4507" s="398">
        <f>VLOOKUP(D4495,'Detail Balok'!$C$10:$AU$140,13,FALSE)</f>
        <v>2</v>
      </c>
      <c r="E4507" s="388" t="s">
        <v>16</v>
      </c>
      <c r="F4507" s="388">
        <f>VLOOKUP(D4495,'Detail Balok'!$C$10:$AU$140,15,FALSE)</f>
        <v>10</v>
      </c>
      <c r="G4507" s="388"/>
      <c r="H4507" s="395"/>
      <c r="I4507" s="388"/>
      <c r="J4507" s="399">
        <f t="shared" ref="J4507" si="14541">+D4497/1000</f>
        <v>6.0750000000000002</v>
      </c>
      <c r="K4507" s="400" t="s">
        <v>204</v>
      </c>
      <c r="L4507" s="399">
        <f t="shared" ref="L4507" si="14542">2*$F$16*F4507/1000</f>
        <v>0.24</v>
      </c>
      <c r="M4507" s="399" t="s">
        <v>176</v>
      </c>
      <c r="N4507" s="399">
        <f t="shared" ref="N4507" si="14543">J4507+L4507</f>
        <v>6.3150000000000004</v>
      </c>
      <c r="O4507" s="399" t="s">
        <v>204</v>
      </c>
      <c r="P4507" s="389">
        <f t="shared" ref="P4507" si="14544">IF(N4507&gt;12,ROUNDDOWN(N4507/12,0),0)</f>
        <v>0</v>
      </c>
      <c r="Q4507" s="399" t="s">
        <v>125</v>
      </c>
      <c r="R4507" s="399">
        <f t="shared" ref="R4507" si="14545">IF(P4507&gt;0,MAX(VLOOKUP(F4507,$D$6:$G$15,3,FALSE),600),0)/1000</f>
        <v>0</v>
      </c>
      <c r="S4507" s="399"/>
      <c r="T4507" s="399" t="s">
        <v>125</v>
      </c>
      <c r="U4507" s="401">
        <f t="shared" ref="U4507" si="14546">0.006165*F4507^2</f>
        <v>0.61650000000000005</v>
      </c>
      <c r="V4507" s="399" t="s">
        <v>125</v>
      </c>
      <c r="W4507" s="399">
        <f t="shared" ref="W4507" si="14547">+D4507</f>
        <v>2</v>
      </c>
      <c r="X4507" s="399" t="s">
        <v>125</v>
      </c>
      <c r="Y4507" s="389">
        <f t="shared" ref="Y4507" si="14548">D4501</f>
        <v>1</v>
      </c>
      <c r="Z4507" s="400" t="s">
        <v>176</v>
      </c>
      <c r="AA4507" s="402">
        <f t="shared" ref="AA4507" si="14549">(N4507+P4507*R4507/1000)*U4507*W4507*Y4507</f>
        <v>7.7863950000000015</v>
      </c>
      <c r="AB4507" s="403"/>
    </row>
    <row r="4508" spans="1:28">
      <c r="A4508" s="384"/>
      <c r="B4508" s="385"/>
      <c r="C4508" s="393"/>
      <c r="D4508" s="398"/>
      <c r="E4508" s="388"/>
      <c r="F4508" s="388"/>
      <c r="G4508" s="388"/>
      <c r="H4508" s="395"/>
      <c r="I4508" s="388"/>
      <c r="J4508" s="399"/>
      <c r="K4508" s="400"/>
      <c r="L4508" s="399"/>
      <c r="M4508" s="399"/>
      <c r="N4508" s="399"/>
      <c r="O4508" s="399"/>
      <c r="P4508" s="389"/>
      <c r="Q4508" s="399"/>
      <c r="R4508" s="399"/>
      <c r="S4508" s="399"/>
      <c r="T4508" s="399"/>
      <c r="U4508" s="401"/>
      <c r="V4508" s="399"/>
      <c r="W4508" s="399"/>
      <c r="X4508" s="399"/>
      <c r="Y4508" s="389"/>
      <c r="Z4508" s="400"/>
      <c r="AA4508" s="402"/>
      <c r="AB4508" s="403"/>
    </row>
    <row r="4509" spans="1:28">
      <c r="A4509" s="384"/>
      <c r="B4509" s="385"/>
      <c r="C4509" s="393"/>
      <c r="D4509" s="398"/>
      <c r="E4509" s="388"/>
      <c r="F4509" s="388"/>
      <c r="G4509" s="388"/>
      <c r="H4509" s="395"/>
      <c r="I4509" s="388"/>
      <c r="J4509" s="396"/>
      <c r="K4509" s="396"/>
      <c r="L4509" s="396"/>
      <c r="M4509" s="396"/>
      <c r="N4509" s="396"/>
      <c r="O4509" s="396"/>
      <c r="P4509" s="389"/>
      <c r="Q4509" s="396"/>
      <c r="R4509" s="396"/>
      <c r="S4509" s="396"/>
      <c r="T4509" s="396"/>
      <c r="U4509" s="401"/>
      <c r="V4509" s="396"/>
      <c r="W4509" s="399"/>
      <c r="X4509" s="396"/>
      <c r="Y4509" s="389"/>
      <c r="Z4509" s="396"/>
      <c r="AA4509" s="388"/>
      <c r="AB4509" s="390"/>
    </row>
    <row r="4510" spans="1:28">
      <c r="A4510" s="384" t="str">
        <f t="shared" ref="A4510:B4510" si="14550">A4495</f>
        <v>Lantai 3</v>
      </c>
      <c r="B4510" s="385">
        <f t="shared" si="14550"/>
        <v>8</v>
      </c>
      <c r="C4510" s="393" t="s">
        <v>209</v>
      </c>
      <c r="D4510" s="398">
        <f>VLOOKUP(D4495,'Detail Balok'!$C$10:$AU$140,22,FALSE)</f>
        <v>3</v>
      </c>
      <c r="E4510" s="388" t="s">
        <v>16</v>
      </c>
      <c r="F4510" s="388">
        <f>VLOOKUP(D4495,'Detail Balok'!$C$10:$AU$140,24,FALSE)</f>
        <v>16</v>
      </c>
      <c r="G4510" s="388"/>
      <c r="H4510" s="395"/>
      <c r="I4510" s="388" t="s">
        <v>203</v>
      </c>
      <c r="J4510" s="399">
        <f t="shared" si="14357"/>
        <v>1.51875</v>
      </c>
      <c r="K4510" s="400" t="s">
        <v>204</v>
      </c>
      <c r="L4510" s="399">
        <f t="shared" ref="L4510" si="14551">MAX(VLOOKUP(F4510,N$6:P$15,3,FALSE)/1000,2/3*D4500/1000)+F$16*F4510/1000</f>
        <v>0.192</v>
      </c>
      <c r="M4510" s="399" t="s">
        <v>176</v>
      </c>
      <c r="N4510" s="399">
        <f t="shared" ref="N4510:N4512" si="14552">J4510+L4510</f>
        <v>1.71075</v>
      </c>
      <c r="O4510" s="399" t="s">
        <v>204</v>
      </c>
      <c r="P4510" s="389">
        <f t="shared" ref="P4510" si="14553">D4510-D4511</f>
        <v>-1</v>
      </c>
      <c r="Q4510" s="399" t="s">
        <v>125</v>
      </c>
      <c r="R4510" s="399">
        <f t="shared" ref="R4510" si="14554">IF(P4510&gt;0,$F$18*F4510/1000,0)</f>
        <v>0</v>
      </c>
      <c r="S4510" s="399" t="s">
        <v>205</v>
      </c>
      <c r="T4510" s="399" t="s">
        <v>125</v>
      </c>
      <c r="U4510" s="401">
        <f t="shared" ref="U4510:U4512" si="14555">0.006165*F4510^2</f>
        <v>1.5782400000000001</v>
      </c>
      <c r="V4510" s="399"/>
      <c r="W4510" s="399"/>
      <c r="X4510" s="399" t="s">
        <v>125</v>
      </c>
      <c r="Y4510" s="389">
        <f t="shared" ref="Y4510" si="14556">D4501</f>
        <v>1</v>
      </c>
      <c r="Z4510" s="400" t="s">
        <v>176</v>
      </c>
      <c r="AA4510" s="402">
        <f t="shared" ref="AA4510" si="14557">IF(AA4513=0,(D4510*N4510+P4510*R4510)*U4510*Y4510,0)</f>
        <v>8.0999222399999997</v>
      </c>
      <c r="AB4510" s="403"/>
    </row>
    <row r="4511" spans="1:28">
      <c r="A4511" s="384" t="str">
        <f t="shared" ref="A4511:B4511" si="14558">A4495</f>
        <v>Lantai 3</v>
      </c>
      <c r="B4511" s="385">
        <f t="shared" si="14558"/>
        <v>8</v>
      </c>
      <c r="C4511" s="393" t="s">
        <v>210</v>
      </c>
      <c r="D4511" s="398">
        <f>VLOOKUP(D4495,'Detail Balok'!$C$10:$AU$140,25,FALSE)</f>
        <v>4</v>
      </c>
      <c r="E4511" s="388" t="s">
        <v>16</v>
      </c>
      <c r="F4511" s="388">
        <f>VLOOKUP(D4495,'Detail Balok'!$C$10:$AU$140,27,FALSE)</f>
        <v>16</v>
      </c>
      <c r="G4511" s="388"/>
      <c r="H4511" s="395"/>
      <c r="I4511" s="388" t="s">
        <v>203</v>
      </c>
      <c r="J4511" s="399">
        <f t="shared" si="14357"/>
        <v>3.0375000000000001</v>
      </c>
      <c r="K4511" s="400" t="s">
        <v>204</v>
      </c>
      <c r="L4511" s="399"/>
      <c r="M4511" s="399" t="s">
        <v>176</v>
      </c>
      <c r="N4511" s="399">
        <f t="shared" si="14552"/>
        <v>3.0375000000000001</v>
      </c>
      <c r="O4511" s="399" t="s">
        <v>204</v>
      </c>
      <c r="P4511" s="389">
        <f t="shared" ref="P4511" si="14559">MAX(D4511-D4510,D4511-D4512)</f>
        <v>1</v>
      </c>
      <c r="Q4511" s="399" t="s">
        <v>125</v>
      </c>
      <c r="R4511" s="399">
        <f t="shared" ref="R4511" si="14560">IF(P4511&gt;0,2*(1-2*$F$19-1/2)*D4498/1000,0)</f>
        <v>1.2149999999999999</v>
      </c>
      <c r="S4511" s="399" t="s">
        <v>205</v>
      </c>
      <c r="T4511" s="399" t="s">
        <v>125</v>
      </c>
      <c r="U4511" s="401">
        <f t="shared" si="14555"/>
        <v>1.5782400000000001</v>
      </c>
      <c r="V4511" s="399"/>
      <c r="W4511" s="399"/>
      <c r="X4511" s="399" t="s">
        <v>125</v>
      </c>
      <c r="Y4511" s="389">
        <f t="shared" ref="Y4511" si="14561">D4501</f>
        <v>1</v>
      </c>
      <c r="Z4511" s="400" t="s">
        <v>176</v>
      </c>
      <c r="AA4511" s="402">
        <f t="shared" ref="AA4511" si="14562">IF(AA4513=0,(D4511*N4511+P4511*R4511)*U4511*Y4511,0)</f>
        <v>21.093177600000001</v>
      </c>
      <c r="AB4511" s="403"/>
    </row>
    <row r="4512" spans="1:28">
      <c r="A4512" s="384" t="str">
        <f t="shared" ref="A4512:B4512" si="14563">A4495</f>
        <v>Lantai 3</v>
      </c>
      <c r="B4512" s="385">
        <f t="shared" si="14563"/>
        <v>8</v>
      </c>
      <c r="C4512" s="393" t="s">
        <v>209</v>
      </c>
      <c r="D4512" s="398">
        <f>VLOOKUP(D4495,'Detail Balok'!$C$10:$AU$140,28,FALSE)</f>
        <v>3</v>
      </c>
      <c r="E4512" s="388" t="s">
        <v>16</v>
      </c>
      <c r="F4512" s="388">
        <f>VLOOKUP(D4495,'Detail Balok'!$C$10:$AU$140,30,FALSE)</f>
        <v>16</v>
      </c>
      <c r="G4512" s="388"/>
      <c r="H4512" s="395"/>
      <c r="I4512" s="388" t="s">
        <v>203</v>
      </c>
      <c r="J4512" s="399">
        <f t="shared" si="14357"/>
        <v>1.51875</v>
      </c>
      <c r="K4512" s="400" t="s">
        <v>204</v>
      </c>
      <c r="L4512" s="399">
        <f t="shared" ref="L4512" si="14564">MAX(VLOOKUP(F4512,N$6:P$15,3,FALSE)/1000,2/3*D4500/1000)+F$16*F4512/1000</f>
        <v>0.192</v>
      </c>
      <c r="M4512" s="399" t="s">
        <v>176</v>
      </c>
      <c r="N4512" s="399">
        <f t="shared" si="14552"/>
        <v>1.71075</v>
      </c>
      <c r="O4512" s="399" t="s">
        <v>204</v>
      </c>
      <c r="P4512" s="389">
        <f t="shared" ref="P4512" si="14565">D4512-D4511</f>
        <v>-1</v>
      </c>
      <c r="Q4512" s="399" t="s">
        <v>125</v>
      </c>
      <c r="R4512" s="399">
        <f t="shared" ref="R4512" si="14566">IF(P4512&gt;0,$F$18*F4512/1000,0)</f>
        <v>0</v>
      </c>
      <c r="S4512" s="399" t="s">
        <v>205</v>
      </c>
      <c r="T4512" s="399" t="s">
        <v>125</v>
      </c>
      <c r="U4512" s="401">
        <f t="shared" si="14555"/>
        <v>1.5782400000000001</v>
      </c>
      <c r="V4512" s="399"/>
      <c r="W4512" s="399"/>
      <c r="X4512" s="399" t="s">
        <v>125</v>
      </c>
      <c r="Y4512" s="389">
        <f t="shared" ref="Y4512" si="14567">D4501</f>
        <v>1</v>
      </c>
      <c r="Z4512" s="400" t="s">
        <v>176</v>
      </c>
      <c r="AA4512" s="402">
        <f t="shared" ref="AA4512" si="14568">IF(AA4513=0,(D4512*N4512+P4512*R4512)*U4512*Y4512,0)</f>
        <v>8.0999222399999997</v>
      </c>
      <c r="AB4512" s="403"/>
    </row>
    <row r="4513" spans="1:28">
      <c r="A4513" s="384" t="str">
        <f t="shared" ref="A4513:B4513" si="14569">A4495</f>
        <v>Lantai 3</v>
      </c>
      <c r="B4513" s="385">
        <f t="shared" si="14569"/>
        <v>8</v>
      </c>
      <c r="C4513" s="393"/>
      <c r="D4513" s="398">
        <f t="shared" si="14377"/>
        <v>0</v>
      </c>
      <c r="E4513" s="388" t="s">
        <v>16</v>
      </c>
      <c r="F4513" s="388">
        <f t="shared" si="14378"/>
        <v>16</v>
      </c>
      <c r="G4513" s="388"/>
      <c r="H4513" s="395"/>
      <c r="I4513" s="388"/>
      <c r="J4513" s="396"/>
      <c r="K4513" s="396"/>
      <c r="L4513" s="404" t="s">
        <v>207</v>
      </c>
      <c r="M4513" s="399" t="s">
        <v>176</v>
      </c>
      <c r="N4513" s="399">
        <f t="shared" ref="N4513" si="14570">IF(AND(D4510=D4511,D4510=D4512,D4511=D4512,F4510=F4511,F4510=F4512,F4511=F4512),SUM(N4510:N4512),0)</f>
        <v>0</v>
      </c>
      <c r="O4513" s="399" t="s">
        <v>204</v>
      </c>
      <c r="P4513" s="389">
        <f t="shared" ref="P4513" si="14571">IF(N4513&gt;12,ROUNDDOWN(N4513/12,0),0)</f>
        <v>0</v>
      </c>
      <c r="Q4513" s="399" t="s">
        <v>125</v>
      </c>
      <c r="R4513" s="399">
        <f t="shared" ref="R4513" si="14572">IF(P4513&gt;0,MAX(VLOOKUP(F4513,$D$6:$G$15,3,FALSE),600),0)/1000</f>
        <v>0</v>
      </c>
      <c r="S4513" s="396"/>
      <c r="T4513" s="396" t="s">
        <v>125</v>
      </c>
      <c r="U4513" s="401">
        <f t="shared" si="14382"/>
        <v>1.5782400000000001</v>
      </c>
      <c r="V4513" s="396" t="s">
        <v>125</v>
      </c>
      <c r="W4513" s="399">
        <f t="shared" ref="W4513" si="14573">D4513</f>
        <v>0</v>
      </c>
      <c r="X4513" s="399" t="s">
        <v>125</v>
      </c>
      <c r="Y4513" s="389">
        <f t="shared" si="14384"/>
        <v>1</v>
      </c>
      <c r="Z4513" s="400" t="s">
        <v>176</v>
      </c>
      <c r="AA4513" s="402">
        <f t="shared" ref="AA4513" si="14574">(N4513+P4513*R4513/1000)*U4513*W4513*Y4513</f>
        <v>0</v>
      </c>
      <c r="AB4513" s="403"/>
    </row>
    <row r="4514" spans="1:28">
      <c r="A4514" s="384"/>
      <c r="B4514" s="385"/>
      <c r="C4514" s="393"/>
      <c r="D4514" s="394"/>
      <c r="E4514" s="388"/>
      <c r="F4514" s="388"/>
      <c r="G4514" s="388"/>
      <c r="H4514" s="395"/>
      <c r="I4514" s="388"/>
      <c r="J4514" s="399"/>
      <c r="K4514" s="396"/>
      <c r="L4514" s="396"/>
      <c r="M4514" s="396"/>
      <c r="N4514" s="396"/>
      <c r="O4514" s="396"/>
      <c r="P4514" s="389"/>
      <c r="Q4514" s="396"/>
      <c r="R4514" s="396"/>
      <c r="S4514" s="396"/>
      <c r="T4514" s="396"/>
      <c r="U4514" s="401"/>
      <c r="V4514" s="396"/>
      <c r="W4514" s="388"/>
      <c r="X4514" s="396"/>
      <c r="Y4514" s="389"/>
      <c r="Z4514" s="396"/>
      <c r="AA4514" s="388"/>
      <c r="AB4514" s="390"/>
    </row>
    <row r="4515" spans="1:28">
      <c r="A4515" s="384" t="str">
        <f t="shared" ref="A4515:B4515" si="14575">A4495</f>
        <v>Lantai 3</v>
      </c>
      <c r="B4515" s="385">
        <f t="shared" si="14575"/>
        <v>8</v>
      </c>
      <c r="C4515" s="393" t="s">
        <v>211</v>
      </c>
      <c r="D4515" s="398">
        <f>VLOOKUP(D4495,'Detail Balok'!$C$10:$AU$140,31,FALSE)</f>
        <v>0</v>
      </c>
      <c r="E4515" s="388" t="s">
        <v>16</v>
      </c>
      <c r="F4515" s="388">
        <f>VLOOKUP(D4495,'Detail Balok'!$C$10:$AU$140,33,FALSE)</f>
        <v>10</v>
      </c>
      <c r="G4515" s="405" t="s">
        <v>157</v>
      </c>
      <c r="H4515" s="395">
        <f>VLOOKUP(D4495,'Detail Balok'!$C$10:$AU$140,35,FALSE)</f>
        <v>100</v>
      </c>
      <c r="I4515" s="388"/>
      <c r="J4515" s="400">
        <f t="shared" ref="J4515" si="14576">(IF(D4515=0,(2*(D4496+G4496))-(F$5*8),IF(D4515=3,(2*(D4496+G4496))-(F$5*8)+(G4496-2*F$5),IF(D4515=4,(2*(D4496+G4496))-(F$5*8)+2*(G4496-2*F$5)))))/1000</f>
        <v>1.28</v>
      </c>
      <c r="K4515" s="400" t="s">
        <v>204</v>
      </c>
      <c r="L4515" s="399">
        <f t="shared" ref="L4515:L4517" si="14577">IF(D4515=0,2*MAX(6*F4515,75),(D4515-1)*2*MAX(6*F4515,75))/1000</f>
        <v>0.15</v>
      </c>
      <c r="M4515" s="399" t="s">
        <v>176</v>
      </c>
      <c r="N4515" s="399">
        <f t="shared" ref="N4515:N4517" si="14578">J4515+L4515</f>
        <v>1.43</v>
      </c>
      <c r="O4515" s="399"/>
      <c r="P4515" s="389"/>
      <c r="Q4515" s="399"/>
      <c r="R4515" s="399"/>
      <c r="S4515" s="399"/>
      <c r="T4515" s="399" t="s">
        <v>125</v>
      </c>
      <c r="U4515" s="401">
        <f t="shared" ref="U4515:U4517" si="14579">0.006165*F4515^2</f>
        <v>0.61650000000000005</v>
      </c>
      <c r="V4515" s="399" t="s">
        <v>125</v>
      </c>
      <c r="W4515" s="399">
        <f t="shared" ref="W4515" si="14580">IF(D4498&gt;4*G4496,ROUND(MAX(D4498/4,2*G4496)/H4515,0)+1,ROUND(D4498/H4515,0)+1)</f>
        <v>16</v>
      </c>
      <c r="X4515" s="399" t="s">
        <v>125</v>
      </c>
      <c r="Y4515" s="389">
        <f t="shared" ref="Y4515" si="14581">D4501</f>
        <v>1</v>
      </c>
      <c r="Z4515" s="400" t="s">
        <v>176</v>
      </c>
      <c r="AA4515" s="402">
        <f t="shared" ref="AA4515:AA4517" si="14582">N4515*U4515*W4515*Y4515</f>
        <v>14.10552</v>
      </c>
      <c r="AB4515" s="403"/>
    </row>
    <row r="4516" spans="1:28">
      <c r="A4516" s="384" t="str">
        <f t="shared" ref="A4516:B4516" si="14583">A4495</f>
        <v>Lantai 3</v>
      </c>
      <c r="B4516" s="385">
        <f t="shared" si="14583"/>
        <v>8</v>
      </c>
      <c r="C4516" s="393" t="s">
        <v>212</v>
      </c>
      <c r="D4516" s="398">
        <f>VLOOKUP(D4495,'Detail Balok'!$C$10:$AU$140,36,FALSE)</f>
        <v>0</v>
      </c>
      <c r="E4516" s="388" t="s">
        <v>16</v>
      </c>
      <c r="F4516" s="388">
        <f>VLOOKUP(D4495,'Detail Balok'!$C$10:$AU$140,38,FALSE)</f>
        <v>10</v>
      </c>
      <c r="G4516" s="405" t="s">
        <v>157</v>
      </c>
      <c r="H4516" s="395">
        <f>VLOOKUP(D4495,'Detail Balok'!$C$10:$AU$140,40,FALSE)</f>
        <v>150</v>
      </c>
      <c r="I4516" s="388"/>
      <c r="J4516" s="400">
        <f t="shared" ref="J4516" si="14584">(IF(D4516=0,(2*(D4496+G4496))-(F$5*8),IF(D4516=3,(2*(D4496+G4496))-(F$5*8)+(G4496-2*F$5),IF(D4516=4,(2*(D4496+G4496))-(F$5*8)+2*(G4496-2*F$5)))))/1000</f>
        <v>1.28</v>
      </c>
      <c r="K4516" s="400" t="s">
        <v>204</v>
      </c>
      <c r="L4516" s="399">
        <f t="shared" si="14577"/>
        <v>0.15</v>
      </c>
      <c r="M4516" s="399" t="s">
        <v>176</v>
      </c>
      <c r="N4516" s="399">
        <f t="shared" si="14578"/>
        <v>1.43</v>
      </c>
      <c r="O4516" s="399"/>
      <c r="P4516" s="389"/>
      <c r="Q4516" s="399"/>
      <c r="R4516" s="399"/>
      <c r="S4516" s="399"/>
      <c r="T4516" s="399" t="s">
        <v>125</v>
      </c>
      <c r="U4516" s="401">
        <f t="shared" si="14579"/>
        <v>0.61650000000000005</v>
      </c>
      <c r="V4516" s="399" t="s">
        <v>125</v>
      </c>
      <c r="W4516" s="399">
        <f t="shared" ref="W4516" si="14585">IF(D4498-MAX(D4498/4,2*G4496)*2&gt;0,ROUND((D4498-MAX(D4498/4,2*G4496)*2)/H4516,0),0)</f>
        <v>20</v>
      </c>
      <c r="X4516" s="399" t="s">
        <v>125</v>
      </c>
      <c r="Y4516" s="389">
        <f t="shared" ref="Y4516" si="14586">D4501</f>
        <v>1</v>
      </c>
      <c r="Z4516" s="400" t="s">
        <v>176</v>
      </c>
      <c r="AA4516" s="402">
        <f t="shared" si="14582"/>
        <v>17.631900000000002</v>
      </c>
      <c r="AB4516" s="403"/>
    </row>
    <row r="4517" spans="1:28">
      <c r="A4517" s="384" t="str">
        <f t="shared" ref="A4517:B4517" si="14587">A4495</f>
        <v>Lantai 3</v>
      </c>
      <c r="B4517" s="385">
        <f t="shared" si="14587"/>
        <v>8</v>
      </c>
      <c r="C4517" s="393" t="s">
        <v>211</v>
      </c>
      <c r="D4517" s="398">
        <f>VLOOKUP(D4495,'Detail Balok'!$C$10:$AU$140,41,FALSE)</f>
        <v>0</v>
      </c>
      <c r="E4517" s="388" t="s">
        <v>16</v>
      </c>
      <c r="F4517" s="388">
        <f>VLOOKUP(D4495,'Detail Balok'!$C$10:$AU$140,43,FALSE)</f>
        <v>10</v>
      </c>
      <c r="G4517" s="405" t="s">
        <v>157</v>
      </c>
      <c r="H4517" s="395">
        <f>VLOOKUP(D4495,'Detail Balok'!$C$10:$AU$140,45,FALSE)</f>
        <v>100</v>
      </c>
      <c r="I4517" s="388"/>
      <c r="J4517" s="400">
        <f t="shared" ref="J4517" si="14588">(IF(D4517=0,(2*(D4496+G4496))-(F$5*8),IF(D4517=3,(2*(D4496+G4496))-(F$5*8)+(G4496-2*F$5),IF(D4517=4,(2*(D4496+G4496))-(F$5*8)+2*(G4496-2*F$5)))))/1000</f>
        <v>1.28</v>
      </c>
      <c r="K4517" s="400" t="s">
        <v>204</v>
      </c>
      <c r="L4517" s="399">
        <f t="shared" si="14577"/>
        <v>0.15</v>
      </c>
      <c r="M4517" s="399" t="s">
        <v>176</v>
      </c>
      <c r="N4517" s="399">
        <f t="shared" si="14578"/>
        <v>1.43</v>
      </c>
      <c r="O4517" s="399"/>
      <c r="P4517" s="389"/>
      <c r="Q4517" s="399"/>
      <c r="R4517" s="399"/>
      <c r="S4517" s="399"/>
      <c r="T4517" s="399" t="s">
        <v>125</v>
      </c>
      <c r="U4517" s="401">
        <f t="shared" si="14579"/>
        <v>0.61650000000000005</v>
      </c>
      <c r="V4517" s="399" t="s">
        <v>125</v>
      </c>
      <c r="W4517" s="399">
        <f t="shared" ref="W4517" si="14589">IF(D4498&gt;4*G4496,ROUND(MAX(D4498/4,2*G4496)/H4517,0)+1,0)</f>
        <v>16</v>
      </c>
      <c r="X4517" s="399" t="s">
        <v>125</v>
      </c>
      <c r="Y4517" s="389">
        <f t="shared" ref="Y4517" si="14590">D4501</f>
        <v>1</v>
      </c>
      <c r="Z4517" s="400" t="s">
        <v>176</v>
      </c>
      <c r="AA4517" s="402">
        <f t="shared" si="14582"/>
        <v>14.10552</v>
      </c>
      <c r="AB4517" s="403"/>
    </row>
    <row r="4518" spans="1:28">
      <c r="A4518" s="384"/>
      <c r="B4518" s="385"/>
      <c r="C4518" s="393"/>
      <c r="D4518" s="394"/>
      <c r="E4518" s="388"/>
      <c r="F4518" s="388"/>
      <c r="G4518" s="388"/>
      <c r="H4518" s="395"/>
      <c r="I4518" s="388"/>
      <c r="J4518" s="399"/>
      <c r="K4518" s="396"/>
      <c r="L4518" s="396"/>
      <c r="M4518" s="396"/>
      <c r="N4518" s="396"/>
      <c r="O4518" s="396"/>
      <c r="P4518" s="389"/>
      <c r="Q4518" s="396"/>
      <c r="R4518" s="396"/>
      <c r="S4518" s="396"/>
      <c r="T4518" s="396"/>
      <c r="U4518" s="401"/>
      <c r="V4518" s="396"/>
      <c r="W4518" s="388"/>
      <c r="X4518" s="396"/>
      <c r="Y4518" s="389"/>
      <c r="Z4518" s="396"/>
      <c r="AA4518" s="388"/>
      <c r="AB4518" s="390"/>
    </row>
    <row r="4519" spans="1:28">
      <c r="A4519" s="384" t="str">
        <f t="shared" ref="A4519:B4519" si="14591">A4495</f>
        <v>Lantai 3</v>
      </c>
      <c r="B4519" s="385">
        <f t="shared" si="14591"/>
        <v>8</v>
      </c>
      <c r="C4519" s="393" t="s">
        <v>213</v>
      </c>
      <c r="D4519" s="398">
        <f>VLOOKUP(D4495,'Detail Balok'!$C$10:$BJ$140,46,FALSE)</f>
        <v>0</v>
      </c>
      <c r="E4519" s="388" t="s">
        <v>16</v>
      </c>
      <c r="F4519" s="388">
        <f>VLOOKUP(D4495,'Detail Balok'!$C$10:$BJ$140,48,FALSE)</f>
        <v>0</v>
      </c>
      <c r="G4519" s="405" t="s">
        <v>157</v>
      </c>
      <c r="H4519" s="395">
        <f>VLOOKUP(D4495,'Detail Balok'!$C$10:$BJ$140,50,FALSE)</f>
        <v>100</v>
      </c>
      <c r="I4519" s="388"/>
      <c r="J4519" s="399">
        <f t="shared" ref="J4519" si="14592">(D4496-2*F$5)/1000</f>
        <v>0.12</v>
      </c>
      <c r="K4519" s="400" t="s">
        <v>204</v>
      </c>
      <c r="L4519" s="399">
        <f t="shared" ref="L4519:L4521" si="14593">IF(D4519=0,2*MAX(6*F4519,75),(D4519-1)*2*MAX(6*F4519,75))/1000</f>
        <v>0.15</v>
      </c>
      <c r="M4519" s="399" t="s">
        <v>176</v>
      </c>
      <c r="N4519" s="399">
        <f t="shared" ref="N4519:N4521" si="14594">J4519+L4519</f>
        <v>0.27</v>
      </c>
      <c r="O4519" s="399"/>
      <c r="P4519" s="399"/>
      <c r="Q4519" s="399"/>
      <c r="R4519" s="399"/>
      <c r="S4519" s="399"/>
      <c r="T4519" s="399" t="s">
        <v>125</v>
      </c>
      <c r="U4519" s="401">
        <f t="shared" ref="U4519:U4521" si="14595">0.006165*F4519^2</f>
        <v>0</v>
      </c>
      <c r="V4519" s="399" t="s">
        <v>125</v>
      </c>
      <c r="W4519" s="399">
        <f t="shared" si="14407"/>
        <v>16</v>
      </c>
      <c r="X4519" s="399" t="s">
        <v>125</v>
      </c>
      <c r="Y4519" s="389">
        <f t="shared" ref="Y4519" si="14596">D4505</f>
        <v>0</v>
      </c>
      <c r="Z4519" s="400" t="s">
        <v>176</v>
      </c>
      <c r="AA4519" s="402">
        <f t="shared" ref="AA4519:AA4521" si="14597">N4519*U4519*W4519*Y4519</f>
        <v>0</v>
      </c>
      <c r="AB4519" s="403"/>
    </row>
    <row r="4520" spans="1:28">
      <c r="A4520" s="384" t="str">
        <f t="shared" ref="A4520:B4520" si="14598">A4495</f>
        <v>Lantai 3</v>
      </c>
      <c r="B4520" s="385">
        <f t="shared" si="14598"/>
        <v>8</v>
      </c>
      <c r="C4520" s="393" t="s">
        <v>214</v>
      </c>
      <c r="D4520" s="398">
        <f>VLOOKUP(D4495,'Detail Balok'!$C$10:$BJ$140,51,FALSE)</f>
        <v>0</v>
      </c>
      <c r="E4520" s="388" t="s">
        <v>16</v>
      </c>
      <c r="F4520" s="388">
        <f>VLOOKUP(D4495,'Detail Balok'!$C$10:$BJ$140,53,FALSE)</f>
        <v>0</v>
      </c>
      <c r="G4520" s="405" t="s">
        <v>157</v>
      </c>
      <c r="H4520" s="395">
        <f>VLOOKUP(D4495,'Detail Balok'!$C$10:$BJ$140,55,FALSE)</f>
        <v>100</v>
      </c>
      <c r="I4520" s="388"/>
      <c r="J4520" s="399">
        <f t="shared" ref="J4520" si="14599">(D4496-2*F$5)/1000</f>
        <v>0.12</v>
      </c>
      <c r="K4520" s="400" t="s">
        <v>204</v>
      </c>
      <c r="L4520" s="399">
        <f t="shared" si="14593"/>
        <v>0.15</v>
      </c>
      <c r="M4520" s="399" t="s">
        <v>176</v>
      </c>
      <c r="N4520" s="399">
        <f t="shared" si="14594"/>
        <v>0.27</v>
      </c>
      <c r="O4520" s="399"/>
      <c r="P4520" s="399"/>
      <c r="Q4520" s="399"/>
      <c r="R4520" s="399"/>
      <c r="S4520" s="399"/>
      <c r="T4520" s="399" t="s">
        <v>125</v>
      </c>
      <c r="U4520" s="401">
        <f t="shared" si="14595"/>
        <v>0</v>
      </c>
      <c r="V4520" s="399" t="s">
        <v>125</v>
      </c>
      <c r="W4520" s="399">
        <f t="shared" si="14407"/>
        <v>20</v>
      </c>
      <c r="X4520" s="399" t="s">
        <v>125</v>
      </c>
      <c r="Y4520" s="389">
        <f t="shared" ref="Y4520" si="14600">D4505</f>
        <v>0</v>
      </c>
      <c r="Z4520" s="400" t="s">
        <v>176</v>
      </c>
      <c r="AA4520" s="402">
        <f t="shared" si="14597"/>
        <v>0</v>
      </c>
      <c r="AB4520" s="403"/>
    </row>
    <row r="4521" spans="1:28">
      <c r="A4521" s="384" t="str">
        <f t="shared" ref="A4521:B4521" si="14601">A4495</f>
        <v>Lantai 3</v>
      </c>
      <c r="B4521" s="385">
        <f t="shared" si="14601"/>
        <v>8</v>
      </c>
      <c r="C4521" s="393" t="s">
        <v>213</v>
      </c>
      <c r="D4521" s="398">
        <f>VLOOKUP(D4495,'Detail Balok'!$C$10:$BJ$140,56,FALSE)</f>
        <v>0</v>
      </c>
      <c r="E4521" s="388" t="s">
        <v>16</v>
      </c>
      <c r="F4521" s="388">
        <f>VLOOKUP(D4495,'Detail Balok'!$C$10:$BJ$140,58,FALSE)</f>
        <v>0</v>
      </c>
      <c r="G4521" s="405" t="s">
        <v>157</v>
      </c>
      <c r="H4521" s="395">
        <f>VLOOKUP(D4495,'Detail Balok'!$C$10:$BJ$140,60,FALSE)</f>
        <v>100</v>
      </c>
      <c r="I4521" s="388"/>
      <c r="J4521" s="399">
        <f t="shared" ref="J4521" si="14602">(D4496-2*F$5)/1000</f>
        <v>0.12</v>
      </c>
      <c r="K4521" s="400" t="s">
        <v>204</v>
      </c>
      <c r="L4521" s="399">
        <f t="shared" si="14593"/>
        <v>0.15</v>
      </c>
      <c r="M4521" s="399" t="s">
        <v>176</v>
      </c>
      <c r="N4521" s="399">
        <f t="shared" si="14594"/>
        <v>0.27</v>
      </c>
      <c r="O4521" s="399"/>
      <c r="P4521" s="399"/>
      <c r="Q4521" s="399"/>
      <c r="R4521" s="399"/>
      <c r="S4521" s="399"/>
      <c r="T4521" s="399" t="s">
        <v>125</v>
      </c>
      <c r="U4521" s="401">
        <f t="shared" si="14595"/>
        <v>0</v>
      </c>
      <c r="V4521" s="399" t="s">
        <v>125</v>
      </c>
      <c r="W4521" s="399">
        <f t="shared" si="14407"/>
        <v>16</v>
      </c>
      <c r="X4521" s="399" t="s">
        <v>125</v>
      </c>
      <c r="Y4521" s="389">
        <f t="shared" ref="Y4521" si="14603">D4505</f>
        <v>0</v>
      </c>
      <c r="Z4521" s="400" t="s">
        <v>176</v>
      </c>
      <c r="AA4521" s="402">
        <f t="shared" si="14597"/>
        <v>0</v>
      </c>
      <c r="AB4521" s="403"/>
    </row>
    <row r="4522" spans="1:28">
      <c r="A4522" s="391"/>
      <c r="B4522" s="392"/>
      <c r="C4522" s="392"/>
      <c r="D4522" s="394"/>
      <c r="E4522" s="388"/>
      <c r="F4522" s="388"/>
      <c r="G4522" s="388"/>
      <c r="H4522" s="395"/>
      <c r="I4522" s="388"/>
      <c r="J4522" s="402"/>
      <c r="K4522" s="388"/>
      <c r="L4522" s="388"/>
      <c r="M4522" s="388"/>
      <c r="N4522" s="388"/>
      <c r="O4522" s="388"/>
      <c r="P4522" s="388"/>
      <c r="Q4522" s="388"/>
      <c r="R4522" s="388"/>
      <c r="S4522" s="388"/>
      <c r="T4522" s="388"/>
      <c r="U4522" s="388"/>
      <c r="V4522" s="388"/>
      <c r="W4522" s="388"/>
      <c r="X4522" s="388"/>
      <c r="Y4522" s="389"/>
      <c r="Z4522" s="388"/>
      <c r="AA4522" s="402"/>
      <c r="AB4522" s="403"/>
    </row>
    <row r="4523" spans="1:28" ht="15.75" thickBot="1">
      <c r="A4523" s="406"/>
      <c r="B4523" s="407"/>
      <c r="C4523" s="407"/>
      <c r="D4523" s="408"/>
      <c r="E4523" s="409"/>
      <c r="F4523" s="409"/>
      <c r="G4523" s="409"/>
      <c r="H4523" s="410"/>
      <c r="I4523" s="409"/>
      <c r="J4523" s="409"/>
      <c r="K4523" s="409"/>
      <c r="L4523" s="409"/>
      <c r="M4523" s="409"/>
      <c r="N4523" s="409"/>
      <c r="O4523" s="409"/>
      <c r="P4523" s="409"/>
      <c r="Q4523" s="409"/>
      <c r="R4523" s="409"/>
      <c r="S4523" s="409"/>
      <c r="T4523" s="409"/>
      <c r="U4523" s="409"/>
      <c r="V4523" s="409"/>
      <c r="W4523" s="409"/>
      <c r="X4523" s="409"/>
      <c r="Y4523" s="411"/>
      <c r="Z4523" s="409"/>
      <c r="AA4523" s="412"/>
      <c r="AB4523" s="413"/>
    </row>
    <row r="4524" spans="1:28">
      <c r="A4524" s="377"/>
      <c r="B4524" s="378"/>
      <c r="C4524" s="378"/>
      <c r="D4524" s="379"/>
      <c r="E4524" s="380"/>
      <c r="F4524" s="380"/>
      <c r="G4524" s="380"/>
      <c r="H4524" s="381"/>
      <c r="I4524" s="380"/>
      <c r="J4524" s="380"/>
      <c r="K4524" s="380"/>
      <c r="L4524" s="380"/>
      <c r="M4524" s="380"/>
      <c r="N4524" s="380"/>
      <c r="O4524" s="380"/>
      <c r="P4524" s="380"/>
      <c r="Q4524" s="380"/>
      <c r="R4524" s="380"/>
      <c r="S4524" s="380"/>
      <c r="T4524" s="380"/>
      <c r="U4524" s="380"/>
      <c r="V4524" s="380"/>
      <c r="W4524" s="380"/>
      <c r="X4524" s="380"/>
      <c r="Y4524" s="382"/>
      <c r="Z4524" s="380"/>
      <c r="AA4524" s="380"/>
      <c r="AB4524" s="383"/>
    </row>
    <row r="4525" spans="1:28">
      <c r="A4525" s="384" t="str">
        <f t="shared" si="14416"/>
        <v>Lantai 3</v>
      </c>
      <c r="B4525" s="385">
        <f t="shared" si="14417"/>
        <v>9</v>
      </c>
      <c r="C4525" s="386" t="str">
        <f t="shared" ref="C4525" si="14604">CONCATENATE(A4525," no. ",B4525)</f>
        <v>Lantai 3 no. 9</v>
      </c>
      <c r="D4525" s="2562" t="str">
        <f>VLOOKUP(C4525,'Data Panjang Balok'!$C$9:$N$254,2,FALSE)</f>
        <v>CL24-1</v>
      </c>
      <c r="E4525" s="2576"/>
      <c r="F4525" s="2576"/>
      <c r="G4525" s="2576"/>
      <c r="H4525" s="2577"/>
      <c r="I4525" s="387"/>
      <c r="J4525" s="388"/>
      <c r="K4525" s="388"/>
      <c r="L4525" s="388"/>
      <c r="M4525" s="388"/>
      <c r="N4525" s="388"/>
      <c r="O4525" s="388"/>
      <c r="P4525" s="388"/>
      <c r="Q4525" s="388"/>
      <c r="R4525" s="388"/>
      <c r="S4525" s="388"/>
      <c r="T4525" s="388"/>
      <c r="U4525" s="388"/>
      <c r="V4525" s="388"/>
      <c r="W4525" s="388"/>
      <c r="X4525" s="388"/>
      <c r="Y4525" s="389"/>
      <c r="Z4525" s="388"/>
      <c r="AA4525" s="388"/>
      <c r="AB4525" s="390"/>
    </row>
    <row r="4526" spans="1:28">
      <c r="A4526" s="391"/>
      <c r="B4526" s="392"/>
      <c r="C4526" s="393" t="s">
        <v>118</v>
      </c>
      <c r="D4526" s="2578">
        <f>VLOOKUP(D4525,'Detail Balok'!$C$10:$AU$140,2,FALSE)</f>
        <v>200</v>
      </c>
      <c r="E4526" s="2579"/>
      <c r="F4526" s="388" t="s">
        <v>125</v>
      </c>
      <c r="G4526" s="2579">
        <f>VLOOKUP(D4525,'Detail Balok'!$C$10:$AU$140,3,FALSE)</f>
        <v>400</v>
      </c>
      <c r="H4526" s="2580"/>
      <c r="I4526" s="388"/>
      <c r="J4526" s="396"/>
      <c r="K4526" s="396"/>
      <c r="L4526" s="396"/>
      <c r="M4526" s="396"/>
      <c r="N4526" s="396"/>
      <c r="O4526" s="396"/>
      <c r="P4526" s="396"/>
      <c r="Q4526" s="396"/>
      <c r="R4526" s="396"/>
      <c r="S4526" s="396"/>
      <c r="T4526" s="396"/>
      <c r="U4526" s="388"/>
      <c r="V4526" s="396"/>
      <c r="W4526" s="388"/>
      <c r="X4526" s="396"/>
      <c r="Y4526" s="389"/>
      <c r="Z4526" s="396"/>
      <c r="AA4526" s="388"/>
      <c r="AB4526" s="390"/>
    </row>
    <row r="4527" spans="1:28">
      <c r="A4527" s="391"/>
      <c r="B4527" s="392"/>
      <c r="C4527" s="393" t="s">
        <v>198</v>
      </c>
      <c r="D4527" s="2562">
        <f>VLOOKUP(C4525,'Data Panjang Balok'!$C$9:$N$254,4,FALSE)</f>
        <v>1000</v>
      </c>
      <c r="E4527" s="2563"/>
      <c r="F4527" s="2563"/>
      <c r="G4527" s="2563"/>
      <c r="H4527" s="2564"/>
      <c r="I4527" s="397"/>
      <c r="J4527" s="396"/>
      <c r="K4527" s="396"/>
      <c r="L4527" s="396"/>
      <c r="M4527" s="396"/>
      <c r="N4527" s="396"/>
      <c r="O4527" s="396"/>
      <c r="P4527" s="396"/>
      <c r="Q4527" s="396"/>
      <c r="R4527" s="396"/>
      <c r="S4527" s="396"/>
      <c r="T4527" s="396"/>
      <c r="U4527" s="388"/>
      <c r="V4527" s="396"/>
      <c r="W4527" s="388"/>
      <c r="X4527" s="396"/>
      <c r="Y4527" s="389"/>
      <c r="Z4527" s="396"/>
      <c r="AA4527" s="388"/>
      <c r="AB4527" s="390"/>
    </row>
    <row r="4528" spans="1:28">
      <c r="A4528" s="391"/>
      <c r="B4528" s="392"/>
      <c r="C4528" s="393" t="s">
        <v>199</v>
      </c>
      <c r="D4528" s="2562">
        <f>VLOOKUP(C4525,'Data Panjang Balok'!$C$9:$N$254,7,FALSE)</f>
        <v>1000</v>
      </c>
      <c r="E4528" s="2563"/>
      <c r="F4528" s="2563"/>
      <c r="G4528" s="2563"/>
      <c r="H4528" s="2564"/>
      <c r="I4528" s="397"/>
      <c r="J4528" s="396"/>
      <c r="K4528" s="396"/>
      <c r="L4528" s="396"/>
      <c r="M4528" s="396"/>
      <c r="N4528" s="396"/>
      <c r="O4528" s="396"/>
      <c r="P4528" s="396"/>
      <c r="Q4528" s="396"/>
      <c r="R4528" s="396"/>
      <c r="S4528" s="396"/>
      <c r="T4528" s="396"/>
      <c r="U4528" s="388"/>
      <c r="V4528" s="396"/>
      <c r="W4528" s="388"/>
      <c r="X4528" s="396"/>
      <c r="Y4528" s="389"/>
      <c r="Z4528" s="396"/>
      <c r="AA4528" s="388"/>
      <c r="AB4528" s="390"/>
    </row>
    <row r="4529" spans="1:28">
      <c r="A4529" s="391"/>
      <c r="B4529" s="392"/>
      <c r="C4529" s="393" t="s">
        <v>200</v>
      </c>
      <c r="D4529" s="2562">
        <f>VLOOKUP(C4525,'Data Panjang Balok'!$C$9:$N$254,9,FALSE)</f>
        <v>0</v>
      </c>
      <c r="E4529" s="2563"/>
      <c r="F4529" s="2563"/>
      <c r="G4529" s="2563"/>
      <c r="H4529" s="2564"/>
      <c r="I4529" s="397"/>
      <c r="J4529" s="396"/>
      <c r="K4529" s="396"/>
      <c r="L4529" s="396"/>
      <c r="M4529" s="396"/>
      <c r="N4529" s="396"/>
      <c r="O4529" s="396"/>
      <c r="P4529" s="396"/>
      <c r="Q4529" s="396"/>
      <c r="R4529" s="396"/>
      <c r="S4529" s="396"/>
      <c r="T4529" s="396"/>
      <c r="U4529" s="388"/>
      <c r="V4529" s="396"/>
      <c r="W4529" s="388"/>
      <c r="X4529" s="396"/>
      <c r="Y4529" s="389"/>
      <c r="Z4529" s="396"/>
      <c r="AA4529" s="388"/>
      <c r="AB4529" s="390"/>
    </row>
    <row r="4530" spans="1:28">
      <c r="A4530" s="391"/>
      <c r="B4530" s="392"/>
      <c r="C4530" s="393" t="s">
        <v>201</v>
      </c>
      <c r="D4530" s="2562">
        <f>VLOOKUP(C4525,'Data Panjang Balok'!$C$9:$N$254,10,FALSE)</f>
        <v>0</v>
      </c>
      <c r="E4530" s="2563"/>
      <c r="F4530" s="2563"/>
      <c r="G4530" s="2563"/>
      <c r="H4530" s="2564"/>
      <c r="I4530" s="397"/>
      <c r="J4530" s="396"/>
      <c r="K4530" s="396"/>
      <c r="L4530" s="396"/>
      <c r="M4530" s="396"/>
      <c r="N4530" s="396"/>
      <c r="O4530" s="396"/>
      <c r="P4530" s="396"/>
      <c r="Q4530" s="396"/>
      <c r="R4530" s="396"/>
      <c r="S4530" s="396"/>
      <c r="T4530" s="396"/>
      <c r="U4530" s="388"/>
      <c r="V4530" s="396"/>
      <c r="W4530" s="388"/>
      <c r="X4530" s="396"/>
      <c r="Y4530" s="389"/>
      <c r="Z4530" s="396"/>
      <c r="AA4530" s="388"/>
      <c r="AB4530" s="390"/>
    </row>
    <row r="4531" spans="1:28">
      <c r="A4531" s="391"/>
      <c r="B4531" s="392"/>
      <c r="C4531" s="393" t="s">
        <v>48</v>
      </c>
      <c r="D4531" s="2562">
        <f>VLOOKUP(C4525,'Data Panjang Balok'!$C$9:$N$254,3,FALSE)</f>
        <v>1</v>
      </c>
      <c r="E4531" s="2563"/>
      <c r="F4531" s="2563"/>
      <c r="G4531" s="2563"/>
      <c r="H4531" s="2564"/>
      <c r="I4531" s="397"/>
      <c r="J4531" s="396"/>
      <c r="K4531" s="396"/>
      <c r="L4531" s="396"/>
      <c r="M4531" s="396"/>
      <c r="N4531" s="396"/>
      <c r="O4531" s="396"/>
      <c r="P4531" s="396"/>
      <c r="Q4531" s="396"/>
      <c r="R4531" s="396"/>
      <c r="S4531" s="396"/>
      <c r="T4531" s="396"/>
      <c r="U4531" s="388"/>
      <c r="V4531" s="396"/>
      <c r="W4531" s="388"/>
      <c r="X4531" s="396"/>
      <c r="Y4531" s="389"/>
      <c r="Z4531" s="396"/>
      <c r="AA4531" s="388"/>
      <c r="AB4531" s="390"/>
    </row>
    <row r="4532" spans="1:28">
      <c r="A4532" s="384" t="str">
        <f t="shared" ref="A4532:B4532" si="14605">A4525</f>
        <v>Lantai 3</v>
      </c>
      <c r="B4532" s="385">
        <f t="shared" si="14605"/>
        <v>9</v>
      </c>
      <c r="C4532" s="393" t="s">
        <v>202</v>
      </c>
      <c r="D4532" s="398">
        <f>VLOOKUP(D4525,'Detail Balok'!$C$10:$AU$140,4,FALSE)</f>
        <v>3</v>
      </c>
      <c r="E4532" s="388" t="s">
        <v>16</v>
      </c>
      <c r="F4532" s="388">
        <f>VLOOKUP(D4525,'Detail Balok'!$C$10:$AU$140,6,FALSE)</f>
        <v>16</v>
      </c>
      <c r="G4532" s="388"/>
      <c r="H4532" s="395"/>
      <c r="I4532" s="388" t="s">
        <v>203</v>
      </c>
      <c r="J4532" s="399">
        <f t="shared" ref="J4532" si="14606">+D4527/4/1000</f>
        <v>0.25</v>
      </c>
      <c r="K4532" s="400" t="s">
        <v>204</v>
      </c>
      <c r="L4532" s="399">
        <f t="shared" ref="L4532" si="14607">MAX(VLOOKUP(F4532,N$6:P$15,3,FALSE)/1000,2/3*D4529/1000)+F$16*F4532/1000</f>
        <v>0.192</v>
      </c>
      <c r="M4532" s="399" t="s">
        <v>176</v>
      </c>
      <c r="N4532" s="399">
        <f t="shared" ref="N4532:N4534" si="14608">J4532+L4532</f>
        <v>0.442</v>
      </c>
      <c r="O4532" s="399" t="s">
        <v>204</v>
      </c>
      <c r="P4532" s="389">
        <f t="shared" ref="P4532" si="14609">D4532-D4533</f>
        <v>0</v>
      </c>
      <c r="Q4532" s="399" t="s">
        <v>125</v>
      </c>
      <c r="R4532" s="399">
        <f t="shared" ref="R4532" si="14610">IF(P4532&gt;0,$F$18*F4532/1000,0)</f>
        <v>0</v>
      </c>
      <c r="S4532" s="399" t="s">
        <v>205</v>
      </c>
      <c r="T4532" s="399" t="s">
        <v>125</v>
      </c>
      <c r="U4532" s="401">
        <f t="shared" ref="U4532:U4534" si="14611">0.006165*F4532^2</f>
        <v>1.5782400000000001</v>
      </c>
      <c r="V4532" s="399"/>
      <c r="W4532" s="399"/>
      <c r="X4532" s="399" t="s">
        <v>125</v>
      </c>
      <c r="Y4532" s="389">
        <f t="shared" ref="Y4532" si="14612">D4531</f>
        <v>1</v>
      </c>
      <c r="Z4532" s="400" t="s">
        <v>176</v>
      </c>
      <c r="AA4532" s="402">
        <f t="shared" ref="AA4532" si="14613">IF(AA4535=0,(D4532*N4532+P4532*R4532)*U4532*Y4532,0)</f>
        <v>0</v>
      </c>
      <c r="AB4532" s="403"/>
    </row>
    <row r="4533" spans="1:28">
      <c r="A4533" s="384" t="str">
        <f t="shared" ref="A4533:B4533" si="14614">A4525</f>
        <v>Lantai 3</v>
      </c>
      <c r="B4533" s="385">
        <f t="shared" si="14614"/>
        <v>9</v>
      </c>
      <c r="C4533" s="393" t="s">
        <v>206</v>
      </c>
      <c r="D4533" s="398">
        <f>VLOOKUP(D4525,'Detail Balok'!$C$10:$AU$140,7,FALSE)</f>
        <v>3</v>
      </c>
      <c r="E4533" s="388" t="s">
        <v>16</v>
      </c>
      <c r="F4533" s="388">
        <f>VLOOKUP(D4525,'Detail Balok'!$C$10:$AU$140,9,FALSE)</f>
        <v>16</v>
      </c>
      <c r="G4533" s="388"/>
      <c r="H4533" s="395"/>
      <c r="I4533" s="388" t="s">
        <v>203</v>
      </c>
      <c r="J4533" s="399">
        <f t="shared" ref="J4533" si="14615">+D4527/2/1000</f>
        <v>0.5</v>
      </c>
      <c r="K4533" s="400" t="s">
        <v>204</v>
      </c>
      <c r="L4533" s="399"/>
      <c r="M4533" s="399" t="s">
        <v>176</v>
      </c>
      <c r="N4533" s="399">
        <f t="shared" si="14608"/>
        <v>0.5</v>
      </c>
      <c r="O4533" s="399" t="s">
        <v>204</v>
      </c>
      <c r="P4533" s="389">
        <f t="shared" ref="P4533" si="14616">MAX(D4533-D4532,D4533-D4534)</f>
        <v>0</v>
      </c>
      <c r="Q4533" s="399" t="s">
        <v>125</v>
      </c>
      <c r="R4533" s="399">
        <f t="shared" ref="R4533" si="14617">IF(P4533&gt;0,2*(1-2*$F$19-1/2)*D4528/1000,0)</f>
        <v>0</v>
      </c>
      <c r="S4533" s="399" t="s">
        <v>205</v>
      </c>
      <c r="T4533" s="399" t="s">
        <v>125</v>
      </c>
      <c r="U4533" s="401">
        <f t="shared" si="14611"/>
        <v>1.5782400000000001</v>
      </c>
      <c r="V4533" s="399"/>
      <c r="W4533" s="399"/>
      <c r="X4533" s="399" t="s">
        <v>125</v>
      </c>
      <c r="Y4533" s="389">
        <f t="shared" ref="Y4533" si="14618">D4531</f>
        <v>1</v>
      </c>
      <c r="Z4533" s="400" t="s">
        <v>176</v>
      </c>
      <c r="AA4533" s="402">
        <f t="shared" ref="AA4533" si="14619">IF(AA4535=0,(D4533*N4533+P4533*R4533)*U4533*Y4533,0)</f>
        <v>0</v>
      </c>
      <c r="AB4533" s="403"/>
    </row>
    <row r="4534" spans="1:28">
      <c r="A4534" s="384" t="str">
        <f t="shared" ref="A4534:B4534" si="14620">A4525</f>
        <v>Lantai 3</v>
      </c>
      <c r="B4534" s="385">
        <f t="shared" si="14620"/>
        <v>9</v>
      </c>
      <c r="C4534" s="393" t="s">
        <v>202</v>
      </c>
      <c r="D4534" s="398">
        <f>VLOOKUP(D4525,'Detail Balok'!$C$10:$AU$140,10,FALSE)</f>
        <v>3</v>
      </c>
      <c r="E4534" s="388" t="s">
        <v>16</v>
      </c>
      <c r="F4534" s="388">
        <f>VLOOKUP(D4525,'Detail Balok'!$C$10:$AU$140,12,FALSE)</f>
        <v>16</v>
      </c>
      <c r="G4534" s="388"/>
      <c r="H4534" s="395"/>
      <c r="I4534" s="388" t="s">
        <v>203</v>
      </c>
      <c r="J4534" s="399">
        <f t="shared" ref="J4534" si="14621">+D4527/4/1000</f>
        <v>0.25</v>
      </c>
      <c r="K4534" s="400" t="s">
        <v>204</v>
      </c>
      <c r="L4534" s="399">
        <f t="shared" ref="L4534" si="14622">MAX(VLOOKUP(F4534,N$6:P$15,3,FALSE)/1000,2/3*D4529/1000)+F$16*F4534/1000</f>
        <v>0.192</v>
      </c>
      <c r="M4534" s="399" t="s">
        <v>176</v>
      </c>
      <c r="N4534" s="399">
        <f t="shared" si="14608"/>
        <v>0.442</v>
      </c>
      <c r="O4534" s="399" t="s">
        <v>204</v>
      </c>
      <c r="P4534" s="389">
        <f t="shared" ref="P4534" si="14623">D4534-D4533</f>
        <v>0</v>
      </c>
      <c r="Q4534" s="399" t="s">
        <v>125</v>
      </c>
      <c r="R4534" s="399">
        <f t="shared" ref="R4534" si="14624">IF(P4534&gt;0,$F$18*F4534/1000,0)</f>
        <v>0</v>
      </c>
      <c r="S4534" s="399" t="s">
        <v>205</v>
      </c>
      <c r="T4534" s="399" t="s">
        <v>125</v>
      </c>
      <c r="U4534" s="401">
        <f t="shared" si="14611"/>
        <v>1.5782400000000001</v>
      </c>
      <c r="V4534" s="399"/>
      <c r="W4534" s="399"/>
      <c r="X4534" s="399" t="s">
        <v>125</v>
      </c>
      <c r="Y4534" s="389">
        <f t="shared" ref="Y4534" si="14625">D4531</f>
        <v>1</v>
      </c>
      <c r="Z4534" s="400" t="s">
        <v>176</v>
      </c>
      <c r="AA4534" s="402">
        <f t="shared" ref="AA4534" si="14626">IF(AA4535=0,(D4534*N4534+P4534*R4534)*U4534*Y4534,0)</f>
        <v>0</v>
      </c>
      <c r="AB4534" s="403"/>
    </row>
    <row r="4535" spans="1:28">
      <c r="A4535" s="384" t="str">
        <f t="shared" ref="A4535:B4535" si="14627">A4525</f>
        <v>Lantai 3</v>
      </c>
      <c r="B4535" s="385">
        <f t="shared" si="14627"/>
        <v>9</v>
      </c>
      <c r="C4535" s="393"/>
      <c r="D4535" s="398">
        <f t="shared" ref="D4535:D4595" si="14628">IF(AND(D4532=D4533,D4533=D4534,D4532=D4534),D4532,0)</f>
        <v>3</v>
      </c>
      <c r="E4535" s="388" t="s">
        <v>16</v>
      </c>
      <c r="F4535" s="388">
        <f t="shared" ref="F4535:F4595" si="14629">IF(AND(F4532=F4533,F4532=F4534,F4533=F4534),F4532,0)</f>
        <v>16</v>
      </c>
      <c r="G4535" s="388"/>
      <c r="H4535" s="395"/>
      <c r="I4535" s="388"/>
      <c r="J4535" s="396"/>
      <c r="K4535" s="396"/>
      <c r="L4535" s="404" t="s">
        <v>207</v>
      </c>
      <c r="M4535" s="399" t="s">
        <v>176</v>
      </c>
      <c r="N4535" s="399">
        <f t="shared" ref="N4535" si="14630">IF(AND(D4532=D4533,D4532=D4534,D4533=D4534,F4532=F4533,F4532=F4534,F4533=F4534),SUM(N4532:N4534),0)</f>
        <v>1.3839999999999999</v>
      </c>
      <c r="O4535" s="399" t="s">
        <v>204</v>
      </c>
      <c r="P4535" s="389">
        <f t="shared" ref="P4535" si="14631">IF(N4535&gt;12,ROUNDDOWN(N4535/12,0),0)</f>
        <v>0</v>
      </c>
      <c r="Q4535" s="399" t="s">
        <v>125</v>
      </c>
      <c r="R4535" s="399">
        <f t="shared" ref="R4535" si="14632">IF(P4535&gt;0,MAX(VLOOKUP(F4535,$D$6:$G$15,3,FALSE),600),0)/1000</f>
        <v>0</v>
      </c>
      <c r="S4535" s="396"/>
      <c r="T4535" s="396" t="s">
        <v>125</v>
      </c>
      <c r="U4535" s="401">
        <f t="shared" ref="U4535:U4595" si="14633">U4534</f>
        <v>1.5782400000000001</v>
      </c>
      <c r="V4535" s="396" t="s">
        <v>125</v>
      </c>
      <c r="W4535" s="399">
        <f t="shared" ref="W4535" si="14634">D4535</f>
        <v>3</v>
      </c>
      <c r="X4535" s="399" t="s">
        <v>125</v>
      </c>
      <c r="Y4535" s="389">
        <f t="shared" ref="Y4535:Y4595" si="14635">Y4534</f>
        <v>1</v>
      </c>
      <c r="Z4535" s="400" t="s">
        <v>176</v>
      </c>
      <c r="AA4535" s="402">
        <f t="shared" ref="AA4535" si="14636">(N4535+P4535*R4535/1000)*U4535*W4535*Y4535</f>
        <v>6.5528524799999994</v>
      </c>
      <c r="AB4535" s="390"/>
    </row>
    <row r="4536" spans="1:28">
      <c r="A4536" s="384"/>
      <c r="B4536" s="385"/>
      <c r="C4536" s="393"/>
      <c r="D4536" s="398"/>
      <c r="E4536" s="388"/>
      <c r="F4536" s="388"/>
      <c r="G4536" s="388"/>
      <c r="H4536" s="395"/>
      <c r="I4536" s="388"/>
      <c r="J4536" s="396"/>
      <c r="K4536" s="396"/>
      <c r="L4536" s="404"/>
      <c r="M4536" s="399"/>
      <c r="N4536" s="399"/>
      <c r="O4536" s="396"/>
      <c r="P4536" s="389"/>
      <c r="Q4536" s="396"/>
      <c r="R4536" s="396"/>
      <c r="S4536" s="396"/>
      <c r="T4536" s="396"/>
      <c r="U4536" s="401"/>
      <c r="V4536" s="396"/>
      <c r="W4536" s="399"/>
      <c r="X4536" s="396"/>
      <c r="Y4536" s="389"/>
      <c r="Z4536" s="396"/>
      <c r="AA4536" s="388"/>
      <c r="AB4536" s="390"/>
    </row>
    <row r="4537" spans="1:28">
      <c r="A4537" s="384" t="str">
        <f t="shared" ref="A4537:B4537" si="14637">A4525</f>
        <v>Lantai 3</v>
      </c>
      <c r="B4537" s="385">
        <f t="shared" si="14637"/>
        <v>9</v>
      </c>
      <c r="C4537" s="393" t="s">
        <v>208</v>
      </c>
      <c r="D4537" s="398">
        <f>VLOOKUP(D4525,'Detail Balok'!$C$10:$AU$140,13,FALSE)</f>
        <v>0</v>
      </c>
      <c r="E4537" s="388" t="s">
        <v>16</v>
      </c>
      <c r="F4537" s="388">
        <f>VLOOKUP(D4525,'Detail Balok'!$C$10:$AU$140,15,FALSE)</f>
        <v>8</v>
      </c>
      <c r="G4537" s="388"/>
      <c r="H4537" s="395"/>
      <c r="I4537" s="388"/>
      <c r="J4537" s="399">
        <f t="shared" ref="J4537" si="14638">+D4527/1000</f>
        <v>1</v>
      </c>
      <c r="K4537" s="400" t="s">
        <v>204</v>
      </c>
      <c r="L4537" s="399">
        <f t="shared" ref="L4537" si="14639">2*$F$16*F4537/1000</f>
        <v>0.192</v>
      </c>
      <c r="M4537" s="399" t="s">
        <v>176</v>
      </c>
      <c r="N4537" s="399">
        <f t="shared" ref="N4537" si="14640">J4537+L4537</f>
        <v>1.1919999999999999</v>
      </c>
      <c r="O4537" s="399" t="s">
        <v>204</v>
      </c>
      <c r="P4537" s="389">
        <f t="shared" ref="P4537" si="14641">IF(N4537&gt;12,ROUNDDOWN(N4537/12,0),0)</f>
        <v>0</v>
      </c>
      <c r="Q4537" s="399" t="s">
        <v>125</v>
      </c>
      <c r="R4537" s="399">
        <f t="shared" ref="R4537" si="14642">IF(P4537&gt;0,MAX(VLOOKUP(F4537,$D$6:$G$15,3,FALSE),600),0)/1000</f>
        <v>0</v>
      </c>
      <c r="S4537" s="399"/>
      <c r="T4537" s="399" t="s">
        <v>125</v>
      </c>
      <c r="U4537" s="401">
        <f t="shared" ref="U4537" si="14643">0.006165*F4537^2</f>
        <v>0.39456000000000002</v>
      </c>
      <c r="V4537" s="399" t="s">
        <v>125</v>
      </c>
      <c r="W4537" s="399">
        <f t="shared" ref="W4537" si="14644">+D4537</f>
        <v>0</v>
      </c>
      <c r="X4537" s="399" t="s">
        <v>125</v>
      </c>
      <c r="Y4537" s="389">
        <f t="shared" ref="Y4537" si="14645">D4531</f>
        <v>1</v>
      </c>
      <c r="Z4537" s="400" t="s">
        <v>176</v>
      </c>
      <c r="AA4537" s="402">
        <f t="shared" ref="AA4537" si="14646">(N4537+P4537*R4537/1000)*U4537*W4537*Y4537</f>
        <v>0</v>
      </c>
      <c r="AB4537" s="403"/>
    </row>
    <row r="4538" spans="1:28">
      <c r="A4538" s="384"/>
      <c r="B4538" s="385"/>
      <c r="C4538" s="393"/>
      <c r="D4538" s="398"/>
      <c r="E4538" s="388"/>
      <c r="F4538" s="388"/>
      <c r="G4538" s="388"/>
      <c r="H4538" s="395"/>
      <c r="I4538" s="388"/>
      <c r="J4538" s="399"/>
      <c r="K4538" s="400"/>
      <c r="L4538" s="399"/>
      <c r="M4538" s="399"/>
      <c r="N4538" s="399"/>
      <c r="O4538" s="399"/>
      <c r="P4538" s="389"/>
      <c r="Q4538" s="399"/>
      <c r="R4538" s="399"/>
      <c r="S4538" s="399"/>
      <c r="T4538" s="399"/>
      <c r="U4538" s="401"/>
      <c r="V4538" s="399"/>
      <c r="W4538" s="399"/>
      <c r="X4538" s="399"/>
      <c r="Y4538" s="389"/>
      <c r="Z4538" s="400"/>
      <c r="AA4538" s="402"/>
      <c r="AB4538" s="403"/>
    </row>
    <row r="4539" spans="1:28">
      <c r="A4539" s="384"/>
      <c r="B4539" s="385"/>
      <c r="C4539" s="393"/>
      <c r="D4539" s="398"/>
      <c r="E4539" s="388"/>
      <c r="F4539" s="388"/>
      <c r="G4539" s="388"/>
      <c r="H4539" s="395"/>
      <c r="I4539" s="388"/>
      <c r="J4539" s="396"/>
      <c r="K4539" s="396"/>
      <c r="L4539" s="396"/>
      <c r="M4539" s="396"/>
      <c r="N4539" s="396"/>
      <c r="O4539" s="396"/>
      <c r="P4539" s="389"/>
      <c r="Q4539" s="396"/>
      <c r="R4539" s="396"/>
      <c r="S4539" s="396"/>
      <c r="T4539" s="396"/>
      <c r="U4539" s="401"/>
      <c r="V4539" s="396"/>
      <c r="W4539" s="399"/>
      <c r="X4539" s="396"/>
      <c r="Y4539" s="389"/>
      <c r="Z4539" s="396"/>
      <c r="AA4539" s="388"/>
      <c r="AB4539" s="390"/>
    </row>
    <row r="4540" spans="1:28">
      <c r="A4540" s="384" t="str">
        <f t="shared" ref="A4540:B4540" si="14647">A4525</f>
        <v>Lantai 3</v>
      </c>
      <c r="B4540" s="385">
        <f t="shared" si="14647"/>
        <v>9</v>
      </c>
      <c r="C4540" s="393" t="s">
        <v>209</v>
      </c>
      <c r="D4540" s="398">
        <f>VLOOKUP(D4525,'Detail Balok'!$C$10:$AU$140,22,FALSE)</f>
        <v>3</v>
      </c>
      <c r="E4540" s="388" t="s">
        <v>16</v>
      </c>
      <c r="F4540" s="388">
        <f>VLOOKUP(D4525,'Detail Balok'!$C$10:$AU$140,24,FALSE)</f>
        <v>16</v>
      </c>
      <c r="G4540" s="388"/>
      <c r="H4540" s="395"/>
      <c r="I4540" s="388" t="s">
        <v>203</v>
      </c>
      <c r="J4540" s="399">
        <f t="shared" ref="J4540:J4602" si="14648">+J4532</f>
        <v>0.25</v>
      </c>
      <c r="K4540" s="400" t="s">
        <v>204</v>
      </c>
      <c r="L4540" s="399">
        <f t="shared" ref="L4540" si="14649">MAX(VLOOKUP(F4540,N$6:P$15,3,FALSE)/1000,2/3*D4530/1000)+F$16*F4540/1000</f>
        <v>0.192</v>
      </c>
      <c r="M4540" s="399" t="s">
        <v>176</v>
      </c>
      <c r="N4540" s="399">
        <f t="shared" ref="N4540:N4542" si="14650">J4540+L4540</f>
        <v>0.442</v>
      </c>
      <c r="O4540" s="399" t="s">
        <v>204</v>
      </c>
      <c r="P4540" s="389">
        <f t="shared" ref="P4540" si="14651">D4540-D4541</f>
        <v>0</v>
      </c>
      <c r="Q4540" s="399" t="s">
        <v>125</v>
      </c>
      <c r="R4540" s="399">
        <f t="shared" ref="R4540" si="14652">IF(P4540&gt;0,$F$18*F4540/1000,0)</f>
        <v>0</v>
      </c>
      <c r="S4540" s="399" t="s">
        <v>205</v>
      </c>
      <c r="T4540" s="399" t="s">
        <v>125</v>
      </c>
      <c r="U4540" s="401">
        <f t="shared" ref="U4540:U4542" si="14653">0.006165*F4540^2</f>
        <v>1.5782400000000001</v>
      </c>
      <c r="V4540" s="399"/>
      <c r="W4540" s="399"/>
      <c r="X4540" s="399" t="s">
        <v>125</v>
      </c>
      <c r="Y4540" s="389">
        <f t="shared" ref="Y4540" si="14654">D4531</f>
        <v>1</v>
      </c>
      <c r="Z4540" s="400" t="s">
        <v>176</v>
      </c>
      <c r="AA4540" s="402">
        <f t="shared" ref="AA4540" si="14655">IF(AA4543=0,(D4540*N4540+P4540*R4540)*U4540*Y4540,0)</f>
        <v>0</v>
      </c>
      <c r="AB4540" s="403"/>
    </row>
    <row r="4541" spans="1:28">
      <c r="A4541" s="384" t="str">
        <f t="shared" ref="A4541:B4541" si="14656">A4525</f>
        <v>Lantai 3</v>
      </c>
      <c r="B4541" s="385">
        <f t="shared" si="14656"/>
        <v>9</v>
      </c>
      <c r="C4541" s="393" t="s">
        <v>210</v>
      </c>
      <c r="D4541" s="398">
        <f>VLOOKUP(D4525,'Detail Balok'!$C$10:$AU$140,25,FALSE)</f>
        <v>3</v>
      </c>
      <c r="E4541" s="388" t="s">
        <v>16</v>
      </c>
      <c r="F4541" s="388">
        <f>VLOOKUP(D4525,'Detail Balok'!$C$10:$AU$140,27,FALSE)</f>
        <v>16</v>
      </c>
      <c r="G4541" s="388"/>
      <c r="H4541" s="395"/>
      <c r="I4541" s="388" t="s">
        <v>203</v>
      </c>
      <c r="J4541" s="399">
        <f t="shared" si="14648"/>
        <v>0.5</v>
      </c>
      <c r="K4541" s="400" t="s">
        <v>204</v>
      </c>
      <c r="L4541" s="399"/>
      <c r="M4541" s="399" t="s">
        <v>176</v>
      </c>
      <c r="N4541" s="399">
        <f t="shared" si="14650"/>
        <v>0.5</v>
      </c>
      <c r="O4541" s="399" t="s">
        <v>204</v>
      </c>
      <c r="P4541" s="389">
        <f t="shared" ref="P4541" si="14657">MAX(D4541-D4540,D4541-D4542)</f>
        <v>0</v>
      </c>
      <c r="Q4541" s="399" t="s">
        <v>125</v>
      </c>
      <c r="R4541" s="399">
        <f t="shared" ref="R4541" si="14658">IF(P4541&gt;0,2*(1-2*$F$19-1/2)*D4528/1000,0)</f>
        <v>0</v>
      </c>
      <c r="S4541" s="399" t="s">
        <v>205</v>
      </c>
      <c r="T4541" s="399" t="s">
        <v>125</v>
      </c>
      <c r="U4541" s="401">
        <f t="shared" si="14653"/>
        <v>1.5782400000000001</v>
      </c>
      <c r="V4541" s="399"/>
      <c r="W4541" s="399"/>
      <c r="X4541" s="399" t="s">
        <v>125</v>
      </c>
      <c r="Y4541" s="389">
        <f t="shared" ref="Y4541" si="14659">D4531</f>
        <v>1</v>
      </c>
      <c r="Z4541" s="400" t="s">
        <v>176</v>
      </c>
      <c r="AA4541" s="402">
        <f t="shared" ref="AA4541" si="14660">IF(AA4543=0,(D4541*N4541+P4541*R4541)*U4541*Y4541,0)</f>
        <v>0</v>
      </c>
      <c r="AB4541" s="403"/>
    </row>
    <row r="4542" spans="1:28">
      <c r="A4542" s="384" t="str">
        <f t="shared" ref="A4542:B4542" si="14661">A4525</f>
        <v>Lantai 3</v>
      </c>
      <c r="B4542" s="385">
        <f t="shared" si="14661"/>
        <v>9</v>
      </c>
      <c r="C4542" s="393" t="s">
        <v>209</v>
      </c>
      <c r="D4542" s="398">
        <f>VLOOKUP(D4525,'Detail Balok'!$C$10:$AU$140,28,FALSE)</f>
        <v>3</v>
      </c>
      <c r="E4542" s="388" t="s">
        <v>16</v>
      </c>
      <c r="F4542" s="388">
        <f>VLOOKUP(D4525,'Detail Balok'!$C$10:$AU$140,30,FALSE)</f>
        <v>16</v>
      </c>
      <c r="G4542" s="388"/>
      <c r="H4542" s="395"/>
      <c r="I4542" s="388" t="s">
        <v>203</v>
      </c>
      <c r="J4542" s="399">
        <f t="shared" si="14648"/>
        <v>0.25</v>
      </c>
      <c r="K4542" s="400" t="s">
        <v>204</v>
      </c>
      <c r="L4542" s="399">
        <f t="shared" ref="L4542" si="14662">MAX(VLOOKUP(F4542,N$6:P$15,3,FALSE)/1000,2/3*D4530/1000)+F$16*F4542/1000</f>
        <v>0.192</v>
      </c>
      <c r="M4542" s="399" t="s">
        <v>176</v>
      </c>
      <c r="N4542" s="399">
        <f t="shared" si="14650"/>
        <v>0.442</v>
      </c>
      <c r="O4542" s="399" t="s">
        <v>204</v>
      </c>
      <c r="P4542" s="389">
        <f t="shared" ref="P4542" si="14663">D4542-D4541</f>
        <v>0</v>
      </c>
      <c r="Q4542" s="399" t="s">
        <v>125</v>
      </c>
      <c r="R4542" s="399">
        <f t="shared" ref="R4542" si="14664">IF(P4542&gt;0,$F$18*F4542/1000,0)</f>
        <v>0</v>
      </c>
      <c r="S4542" s="399" t="s">
        <v>205</v>
      </c>
      <c r="T4542" s="399" t="s">
        <v>125</v>
      </c>
      <c r="U4542" s="401">
        <f t="shared" si="14653"/>
        <v>1.5782400000000001</v>
      </c>
      <c r="V4542" s="399"/>
      <c r="W4542" s="399"/>
      <c r="X4542" s="399" t="s">
        <v>125</v>
      </c>
      <c r="Y4542" s="389">
        <f t="shared" ref="Y4542" si="14665">D4531</f>
        <v>1</v>
      </c>
      <c r="Z4542" s="400" t="s">
        <v>176</v>
      </c>
      <c r="AA4542" s="402">
        <f t="shared" ref="AA4542" si="14666">IF(AA4543=0,(D4542*N4542+P4542*R4542)*U4542*Y4542,0)</f>
        <v>0</v>
      </c>
      <c r="AB4542" s="403"/>
    </row>
    <row r="4543" spans="1:28">
      <c r="A4543" s="384" t="str">
        <f t="shared" ref="A4543:B4543" si="14667">A4525</f>
        <v>Lantai 3</v>
      </c>
      <c r="B4543" s="385">
        <f t="shared" si="14667"/>
        <v>9</v>
      </c>
      <c r="C4543" s="393"/>
      <c r="D4543" s="398">
        <f t="shared" ref="D4543:D4603" si="14668">IF(AND(D4540=D4541,D4541=D4542,D4540=D4542),D4540,0)</f>
        <v>3</v>
      </c>
      <c r="E4543" s="388" t="s">
        <v>16</v>
      </c>
      <c r="F4543" s="388">
        <f t="shared" ref="F4543:F4603" si="14669">IF(AND(F4540=F4541,F4540=F4542,F4541=F4542),F4540,0)</f>
        <v>16</v>
      </c>
      <c r="G4543" s="388"/>
      <c r="H4543" s="395"/>
      <c r="I4543" s="388"/>
      <c r="J4543" s="396"/>
      <c r="K4543" s="396"/>
      <c r="L4543" s="404" t="s">
        <v>207</v>
      </c>
      <c r="M4543" s="399" t="s">
        <v>176</v>
      </c>
      <c r="N4543" s="399">
        <f t="shared" ref="N4543" si="14670">IF(AND(D4540=D4541,D4540=D4542,D4541=D4542,F4540=F4541,F4540=F4542,F4541=F4542),SUM(N4540:N4542),0)</f>
        <v>1.3839999999999999</v>
      </c>
      <c r="O4543" s="399" t="s">
        <v>204</v>
      </c>
      <c r="P4543" s="389">
        <f t="shared" ref="P4543" si="14671">IF(N4543&gt;12,ROUNDDOWN(N4543/12,0),0)</f>
        <v>0</v>
      </c>
      <c r="Q4543" s="399" t="s">
        <v>125</v>
      </c>
      <c r="R4543" s="399">
        <f t="shared" ref="R4543" si="14672">IF(P4543&gt;0,MAX(VLOOKUP(F4543,$D$6:$G$15,3,FALSE),600),0)/1000</f>
        <v>0</v>
      </c>
      <c r="S4543" s="396"/>
      <c r="T4543" s="396" t="s">
        <v>125</v>
      </c>
      <c r="U4543" s="401">
        <f t="shared" ref="U4543:U4603" si="14673">U4542</f>
        <v>1.5782400000000001</v>
      </c>
      <c r="V4543" s="396" t="s">
        <v>125</v>
      </c>
      <c r="W4543" s="399">
        <f t="shared" ref="W4543" si="14674">D4543</f>
        <v>3</v>
      </c>
      <c r="X4543" s="399" t="s">
        <v>125</v>
      </c>
      <c r="Y4543" s="389">
        <f t="shared" ref="Y4543:Y4603" si="14675">Y4542</f>
        <v>1</v>
      </c>
      <c r="Z4543" s="400" t="s">
        <v>176</v>
      </c>
      <c r="AA4543" s="402">
        <f t="shared" ref="AA4543" si="14676">(N4543+P4543*R4543/1000)*U4543*W4543*Y4543</f>
        <v>6.5528524799999994</v>
      </c>
      <c r="AB4543" s="403"/>
    </row>
    <row r="4544" spans="1:28">
      <c r="A4544" s="384"/>
      <c r="B4544" s="385"/>
      <c r="C4544" s="393"/>
      <c r="D4544" s="394"/>
      <c r="E4544" s="388"/>
      <c r="F4544" s="388"/>
      <c r="G4544" s="388"/>
      <c r="H4544" s="395"/>
      <c r="I4544" s="388"/>
      <c r="J4544" s="399"/>
      <c r="K4544" s="396"/>
      <c r="L4544" s="396"/>
      <c r="M4544" s="396"/>
      <c r="N4544" s="396"/>
      <c r="O4544" s="396"/>
      <c r="P4544" s="389"/>
      <c r="Q4544" s="396"/>
      <c r="R4544" s="396"/>
      <c r="S4544" s="396"/>
      <c r="T4544" s="396"/>
      <c r="U4544" s="401"/>
      <c r="V4544" s="396"/>
      <c r="W4544" s="388"/>
      <c r="X4544" s="396"/>
      <c r="Y4544" s="389"/>
      <c r="Z4544" s="396"/>
      <c r="AA4544" s="388"/>
      <c r="AB4544" s="390"/>
    </row>
    <row r="4545" spans="1:28">
      <c r="A4545" s="384" t="str">
        <f t="shared" ref="A4545:B4545" si="14677">A4525</f>
        <v>Lantai 3</v>
      </c>
      <c r="B4545" s="385">
        <f t="shared" si="14677"/>
        <v>9</v>
      </c>
      <c r="C4545" s="393" t="s">
        <v>211</v>
      </c>
      <c r="D4545" s="398">
        <f>VLOOKUP(D4525,'Detail Balok'!$C$10:$AU$140,31,FALSE)</f>
        <v>0</v>
      </c>
      <c r="E4545" s="388" t="s">
        <v>16</v>
      </c>
      <c r="F4545" s="388">
        <f>VLOOKUP(D4525,'Detail Balok'!$C$10:$AU$140,33,FALSE)</f>
        <v>10</v>
      </c>
      <c r="G4545" s="405" t="s">
        <v>157</v>
      </c>
      <c r="H4545" s="395">
        <f>VLOOKUP(D4525,'Detail Balok'!$C$10:$AU$140,35,FALSE)</f>
        <v>100</v>
      </c>
      <c r="I4545" s="388"/>
      <c r="J4545" s="400">
        <f t="shared" ref="J4545" si="14678">(IF(D4545=0,(2*(D4526+G4526))-(F$5*8),IF(D4545=3,(2*(D4526+G4526))-(F$5*8)+(G4526-2*F$5),IF(D4545=4,(2*(D4526+G4526))-(F$5*8)+2*(G4526-2*F$5)))))/1000</f>
        <v>0.88</v>
      </c>
      <c r="K4545" s="400" t="s">
        <v>204</v>
      </c>
      <c r="L4545" s="399">
        <f t="shared" ref="L4545:L4547" si="14679">IF(D4545=0,2*MAX(6*F4545,75),(D4545-1)*2*MAX(6*F4545,75))/1000</f>
        <v>0.15</v>
      </c>
      <c r="M4545" s="399" t="s">
        <v>176</v>
      </c>
      <c r="N4545" s="399">
        <f t="shared" ref="N4545:N4547" si="14680">J4545+L4545</f>
        <v>1.03</v>
      </c>
      <c r="O4545" s="399"/>
      <c r="P4545" s="389"/>
      <c r="Q4545" s="399"/>
      <c r="R4545" s="399"/>
      <c r="S4545" s="399"/>
      <c r="T4545" s="399" t="s">
        <v>125</v>
      </c>
      <c r="U4545" s="401">
        <f t="shared" ref="U4545:U4547" si="14681">0.006165*F4545^2</f>
        <v>0.61650000000000005</v>
      </c>
      <c r="V4545" s="399" t="s">
        <v>125</v>
      </c>
      <c r="W4545" s="399">
        <f t="shared" ref="W4545" si="14682">IF(D4528&gt;4*G4526,ROUND(MAX(D4528/4,2*G4526)/H4545,0)+1,ROUND(D4528/H4545,0)+1)</f>
        <v>11</v>
      </c>
      <c r="X4545" s="399" t="s">
        <v>125</v>
      </c>
      <c r="Y4545" s="389">
        <f t="shared" ref="Y4545" si="14683">D4531</f>
        <v>1</v>
      </c>
      <c r="Z4545" s="400" t="s">
        <v>176</v>
      </c>
      <c r="AA4545" s="402">
        <f t="shared" ref="AA4545:AA4547" si="14684">N4545*U4545*W4545*Y4545</f>
        <v>6.9849450000000006</v>
      </c>
      <c r="AB4545" s="403"/>
    </row>
    <row r="4546" spans="1:28">
      <c r="A4546" s="384" t="str">
        <f t="shared" ref="A4546:B4546" si="14685">A4525</f>
        <v>Lantai 3</v>
      </c>
      <c r="B4546" s="385">
        <f t="shared" si="14685"/>
        <v>9</v>
      </c>
      <c r="C4546" s="393" t="s">
        <v>212</v>
      </c>
      <c r="D4546" s="398">
        <f>VLOOKUP(D4525,'Detail Balok'!$C$10:$AU$140,36,FALSE)</f>
        <v>0</v>
      </c>
      <c r="E4546" s="388" t="s">
        <v>16</v>
      </c>
      <c r="F4546" s="388">
        <f>VLOOKUP(D4525,'Detail Balok'!$C$10:$AU$140,38,FALSE)</f>
        <v>10</v>
      </c>
      <c r="G4546" s="405" t="s">
        <v>157</v>
      </c>
      <c r="H4546" s="395">
        <f>VLOOKUP(D4525,'Detail Balok'!$C$10:$AU$140,40,FALSE)</f>
        <v>100</v>
      </c>
      <c r="I4546" s="388"/>
      <c r="J4546" s="400">
        <f t="shared" ref="J4546" si="14686">(IF(D4546=0,(2*(D4526+G4526))-(F$5*8),IF(D4546=3,(2*(D4526+G4526))-(F$5*8)+(G4526-2*F$5),IF(D4546=4,(2*(D4526+G4526))-(F$5*8)+2*(G4526-2*F$5)))))/1000</f>
        <v>0.88</v>
      </c>
      <c r="K4546" s="400" t="s">
        <v>204</v>
      </c>
      <c r="L4546" s="399">
        <f t="shared" si="14679"/>
        <v>0.15</v>
      </c>
      <c r="M4546" s="399" t="s">
        <v>176</v>
      </c>
      <c r="N4546" s="399">
        <f t="shared" si="14680"/>
        <v>1.03</v>
      </c>
      <c r="O4546" s="399"/>
      <c r="P4546" s="389"/>
      <c r="Q4546" s="399"/>
      <c r="R4546" s="399"/>
      <c r="S4546" s="399"/>
      <c r="T4546" s="399" t="s">
        <v>125</v>
      </c>
      <c r="U4546" s="401">
        <f t="shared" si="14681"/>
        <v>0.61650000000000005</v>
      </c>
      <c r="V4546" s="399" t="s">
        <v>125</v>
      </c>
      <c r="W4546" s="399">
        <f t="shared" ref="W4546" si="14687">IF(D4528-MAX(D4528/4,2*G4526)*2&gt;0,ROUND((D4528-MAX(D4528/4,2*G4526)*2)/H4546,0),0)</f>
        <v>0</v>
      </c>
      <c r="X4546" s="399" t="s">
        <v>125</v>
      </c>
      <c r="Y4546" s="389">
        <f t="shared" ref="Y4546" si="14688">D4531</f>
        <v>1</v>
      </c>
      <c r="Z4546" s="400" t="s">
        <v>176</v>
      </c>
      <c r="AA4546" s="402">
        <f t="shared" si="14684"/>
        <v>0</v>
      </c>
      <c r="AB4546" s="403"/>
    </row>
    <row r="4547" spans="1:28">
      <c r="A4547" s="384" t="str">
        <f t="shared" ref="A4547:B4547" si="14689">A4525</f>
        <v>Lantai 3</v>
      </c>
      <c r="B4547" s="385">
        <f t="shared" si="14689"/>
        <v>9</v>
      </c>
      <c r="C4547" s="393" t="s">
        <v>211</v>
      </c>
      <c r="D4547" s="398">
        <f>VLOOKUP(D4525,'Detail Balok'!$C$10:$AU$140,41,FALSE)</f>
        <v>0</v>
      </c>
      <c r="E4547" s="388" t="s">
        <v>16</v>
      </c>
      <c r="F4547" s="388">
        <f>VLOOKUP(D4525,'Detail Balok'!$C$10:$AU$140,43,FALSE)</f>
        <v>10</v>
      </c>
      <c r="G4547" s="405" t="s">
        <v>157</v>
      </c>
      <c r="H4547" s="395">
        <f>VLOOKUP(D4525,'Detail Balok'!$C$10:$AU$140,45,FALSE)</f>
        <v>100</v>
      </c>
      <c r="I4547" s="388"/>
      <c r="J4547" s="400">
        <f t="shared" ref="J4547" si="14690">(IF(D4547=0,(2*(D4526+G4526))-(F$5*8),IF(D4547=3,(2*(D4526+G4526))-(F$5*8)+(G4526-2*F$5),IF(D4547=4,(2*(D4526+G4526))-(F$5*8)+2*(G4526-2*F$5)))))/1000</f>
        <v>0.88</v>
      </c>
      <c r="K4547" s="400" t="s">
        <v>204</v>
      </c>
      <c r="L4547" s="399">
        <f t="shared" si="14679"/>
        <v>0.15</v>
      </c>
      <c r="M4547" s="399" t="s">
        <v>176</v>
      </c>
      <c r="N4547" s="399">
        <f t="shared" si="14680"/>
        <v>1.03</v>
      </c>
      <c r="O4547" s="399"/>
      <c r="P4547" s="389"/>
      <c r="Q4547" s="399"/>
      <c r="R4547" s="399"/>
      <c r="S4547" s="399"/>
      <c r="T4547" s="399" t="s">
        <v>125</v>
      </c>
      <c r="U4547" s="401">
        <f t="shared" si="14681"/>
        <v>0.61650000000000005</v>
      </c>
      <c r="V4547" s="399" t="s">
        <v>125</v>
      </c>
      <c r="W4547" s="399">
        <f t="shared" ref="W4547" si="14691">IF(D4528&gt;4*G4526,ROUND(MAX(D4528/4,2*G4526)/H4547,0)+1,0)</f>
        <v>0</v>
      </c>
      <c r="X4547" s="399" t="s">
        <v>125</v>
      </c>
      <c r="Y4547" s="389">
        <f t="shared" ref="Y4547" si="14692">D4531</f>
        <v>1</v>
      </c>
      <c r="Z4547" s="400" t="s">
        <v>176</v>
      </c>
      <c r="AA4547" s="402">
        <f t="shared" si="14684"/>
        <v>0</v>
      </c>
      <c r="AB4547" s="403"/>
    </row>
    <row r="4548" spans="1:28">
      <c r="A4548" s="384"/>
      <c r="B4548" s="385"/>
      <c r="C4548" s="393"/>
      <c r="D4548" s="394"/>
      <c r="E4548" s="388"/>
      <c r="F4548" s="388"/>
      <c r="G4548" s="388"/>
      <c r="H4548" s="395"/>
      <c r="I4548" s="388"/>
      <c r="J4548" s="399"/>
      <c r="K4548" s="396"/>
      <c r="L4548" s="396"/>
      <c r="M4548" s="396"/>
      <c r="N4548" s="396"/>
      <c r="O4548" s="396"/>
      <c r="P4548" s="389"/>
      <c r="Q4548" s="396"/>
      <c r="R4548" s="396"/>
      <c r="S4548" s="396"/>
      <c r="T4548" s="396"/>
      <c r="U4548" s="401"/>
      <c r="V4548" s="396"/>
      <c r="W4548" s="388"/>
      <c r="X4548" s="396"/>
      <c r="Y4548" s="389"/>
      <c r="Z4548" s="396"/>
      <c r="AA4548" s="388"/>
      <c r="AB4548" s="390"/>
    </row>
    <row r="4549" spans="1:28">
      <c r="A4549" s="384" t="str">
        <f t="shared" ref="A4549:B4549" si="14693">A4525</f>
        <v>Lantai 3</v>
      </c>
      <c r="B4549" s="385">
        <f t="shared" si="14693"/>
        <v>9</v>
      </c>
      <c r="C4549" s="393" t="s">
        <v>213</v>
      </c>
      <c r="D4549" s="398">
        <f>VLOOKUP(D4525,'Detail Balok'!$C$10:$BJ$140,46,FALSE)</f>
        <v>0</v>
      </c>
      <c r="E4549" s="388" t="s">
        <v>16</v>
      </c>
      <c r="F4549" s="388">
        <f>VLOOKUP(D4525,'Detail Balok'!$C$10:$BJ$140,48,FALSE)</f>
        <v>0</v>
      </c>
      <c r="G4549" s="405" t="s">
        <v>157</v>
      </c>
      <c r="H4549" s="395">
        <f>VLOOKUP(D4525,'Detail Balok'!$C$10:$BJ$140,50,FALSE)</f>
        <v>100</v>
      </c>
      <c r="I4549" s="388"/>
      <c r="J4549" s="399">
        <f t="shared" ref="J4549" si="14694">(D4526-2*F$5)/1000</f>
        <v>0.12</v>
      </c>
      <c r="K4549" s="400" t="s">
        <v>204</v>
      </c>
      <c r="L4549" s="399">
        <f t="shared" ref="L4549:L4551" si="14695">IF(D4549=0,2*MAX(6*F4549,75),(D4549-1)*2*MAX(6*F4549,75))/1000</f>
        <v>0.15</v>
      </c>
      <c r="M4549" s="399" t="s">
        <v>176</v>
      </c>
      <c r="N4549" s="399">
        <f t="shared" ref="N4549:N4551" si="14696">J4549+L4549</f>
        <v>0.27</v>
      </c>
      <c r="O4549" s="399"/>
      <c r="P4549" s="399"/>
      <c r="Q4549" s="399"/>
      <c r="R4549" s="399"/>
      <c r="S4549" s="399"/>
      <c r="T4549" s="399" t="s">
        <v>125</v>
      </c>
      <c r="U4549" s="401">
        <f t="shared" ref="U4549:U4551" si="14697">0.006165*F4549^2</f>
        <v>0</v>
      </c>
      <c r="V4549" s="399" t="s">
        <v>125</v>
      </c>
      <c r="W4549" s="399">
        <f t="shared" ref="W4549:W4611" si="14698">W4545</f>
        <v>11</v>
      </c>
      <c r="X4549" s="399" t="s">
        <v>125</v>
      </c>
      <c r="Y4549" s="389">
        <f t="shared" ref="Y4549" si="14699">D4535</f>
        <v>3</v>
      </c>
      <c r="Z4549" s="400" t="s">
        <v>176</v>
      </c>
      <c r="AA4549" s="402">
        <f t="shared" ref="AA4549:AA4551" si="14700">N4549*U4549*W4549*Y4549</f>
        <v>0</v>
      </c>
      <c r="AB4549" s="403"/>
    </row>
    <row r="4550" spans="1:28">
      <c r="A4550" s="384" t="str">
        <f t="shared" ref="A4550:B4550" si="14701">A4525</f>
        <v>Lantai 3</v>
      </c>
      <c r="B4550" s="385">
        <f t="shared" si="14701"/>
        <v>9</v>
      </c>
      <c r="C4550" s="393" t="s">
        <v>214</v>
      </c>
      <c r="D4550" s="398">
        <f>VLOOKUP(D4525,'Detail Balok'!$C$10:$BJ$140,51,FALSE)</f>
        <v>0</v>
      </c>
      <c r="E4550" s="388" t="s">
        <v>16</v>
      </c>
      <c r="F4550" s="388">
        <f>VLOOKUP(D4525,'Detail Balok'!$C$10:$BJ$140,53,FALSE)</f>
        <v>0</v>
      </c>
      <c r="G4550" s="405" t="s">
        <v>157</v>
      </c>
      <c r="H4550" s="395">
        <f>VLOOKUP(D4525,'Detail Balok'!$C$10:$BJ$140,55,FALSE)</f>
        <v>100</v>
      </c>
      <c r="I4550" s="388"/>
      <c r="J4550" s="399">
        <f t="shared" ref="J4550" si="14702">(D4526-2*F$5)/1000</f>
        <v>0.12</v>
      </c>
      <c r="K4550" s="400" t="s">
        <v>204</v>
      </c>
      <c r="L4550" s="399">
        <f t="shared" si="14695"/>
        <v>0.15</v>
      </c>
      <c r="M4550" s="399" t="s">
        <v>176</v>
      </c>
      <c r="N4550" s="399">
        <f t="shared" si="14696"/>
        <v>0.27</v>
      </c>
      <c r="O4550" s="399"/>
      <c r="P4550" s="399"/>
      <c r="Q4550" s="399"/>
      <c r="R4550" s="399"/>
      <c r="S4550" s="399"/>
      <c r="T4550" s="399" t="s">
        <v>125</v>
      </c>
      <c r="U4550" s="401">
        <f t="shared" si="14697"/>
        <v>0</v>
      </c>
      <c r="V4550" s="399" t="s">
        <v>125</v>
      </c>
      <c r="W4550" s="399">
        <f t="shared" si="14698"/>
        <v>0</v>
      </c>
      <c r="X4550" s="399" t="s">
        <v>125</v>
      </c>
      <c r="Y4550" s="389">
        <f t="shared" ref="Y4550" si="14703">D4535</f>
        <v>3</v>
      </c>
      <c r="Z4550" s="400" t="s">
        <v>176</v>
      </c>
      <c r="AA4550" s="402">
        <f t="shared" si="14700"/>
        <v>0</v>
      </c>
      <c r="AB4550" s="403"/>
    </row>
    <row r="4551" spans="1:28">
      <c r="A4551" s="384" t="str">
        <f t="shared" ref="A4551:B4551" si="14704">A4525</f>
        <v>Lantai 3</v>
      </c>
      <c r="B4551" s="385">
        <f t="shared" si="14704"/>
        <v>9</v>
      </c>
      <c r="C4551" s="393" t="s">
        <v>213</v>
      </c>
      <c r="D4551" s="398">
        <f>VLOOKUP(D4525,'Detail Balok'!$C$10:$BJ$140,56,FALSE)</f>
        <v>0</v>
      </c>
      <c r="E4551" s="388" t="s">
        <v>16</v>
      </c>
      <c r="F4551" s="388">
        <f>VLOOKUP(D4525,'Detail Balok'!$C$10:$BJ$140,58,FALSE)</f>
        <v>0</v>
      </c>
      <c r="G4551" s="405" t="s">
        <v>157</v>
      </c>
      <c r="H4551" s="395">
        <f>VLOOKUP(D4525,'Detail Balok'!$C$10:$BJ$140,60,FALSE)</f>
        <v>100</v>
      </c>
      <c r="I4551" s="388"/>
      <c r="J4551" s="399">
        <f t="shared" ref="J4551" si="14705">(D4526-2*F$5)/1000</f>
        <v>0.12</v>
      </c>
      <c r="K4551" s="400" t="s">
        <v>204</v>
      </c>
      <c r="L4551" s="399">
        <f t="shared" si="14695"/>
        <v>0.15</v>
      </c>
      <c r="M4551" s="399" t="s">
        <v>176</v>
      </c>
      <c r="N4551" s="399">
        <f t="shared" si="14696"/>
        <v>0.27</v>
      </c>
      <c r="O4551" s="399"/>
      <c r="P4551" s="399"/>
      <c r="Q4551" s="399"/>
      <c r="R4551" s="399"/>
      <c r="S4551" s="399"/>
      <c r="T4551" s="399" t="s">
        <v>125</v>
      </c>
      <c r="U4551" s="401">
        <f t="shared" si="14697"/>
        <v>0</v>
      </c>
      <c r="V4551" s="399" t="s">
        <v>125</v>
      </c>
      <c r="W4551" s="399">
        <f t="shared" si="14698"/>
        <v>0</v>
      </c>
      <c r="X4551" s="399" t="s">
        <v>125</v>
      </c>
      <c r="Y4551" s="389">
        <f t="shared" ref="Y4551" si="14706">D4535</f>
        <v>3</v>
      </c>
      <c r="Z4551" s="400" t="s">
        <v>176</v>
      </c>
      <c r="AA4551" s="402">
        <f t="shared" si="14700"/>
        <v>0</v>
      </c>
      <c r="AB4551" s="403"/>
    </row>
    <row r="4552" spans="1:28">
      <c r="A4552" s="391"/>
      <c r="B4552" s="392"/>
      <c r="C4552" s="392"/>
      <c r="D4552" s="394"/>
      <c r="E4552" s="388"/>
      <c r="F4552" s="388"/>
      <c r="G4552" s="388"/>
      <c r="H4552" s="395"/>
      <c r="I4552" s="388"/>
      <c r="J4552" s="402"/>
      <c r="K4552" s="388"/>
      <c r="L4552" s="388"/>
      <c r="M4552" s="388"/>
      <c r="N4552" s="388"/>
      <c r="O4552" s="388"/>
      <c r="P4552" s="388"/>
      <c r="Q4552" s="388"/>
      <c r="R4552" s="388"/>
      <c r="S4552" s="388"/>
      <c r="T4552" s="388"/>
      <c r="U4552" s="388"/>
      <c r="V4552" s="388"/>
      <c r="W4552" s="388"/>
      <c r="X4552" s="388"/>
      <c r="Y4552" s="389"/>
      <c r="Z4552" s="388"/>
      <c r="AA4552" s="402"/>
      <c r="AB4552" s="403"/>
    </row>
    <row r="4553" spans="1:28" ht="15.75" thickBot="1">
      <c r="A4553" s="406"/>
      <c r="B4553" s="407"/>
      <c r="C4553" s="407"/>
      <c r="D4553" s="408"/>
      <c r="E4553" s="409"/>
      <c r="F4553" s="409"/>
      <c r="G4553" s="409"/>
      <c r="H4553" s="410"/>
      <c r="I4553" s="409"/>
      <c r="J4553" s="409"/>
      <c r="K4553" s="409"/>
      <c r="L4553" s="409"/>
      <c r="M4553" s="409"/>
      <c r="N4553" s="409"/>
      <c r="O4553" s="409"/>
      <c r="P4553" s="409"/>
      <c r="Q4553" s="409"/>
      <c r="R4553" s="409"/>
      <c r="S4553" s="409"/>
      <c r="T4553" s="409"/>
      <c r="U4553" s="409"/>
      <c r="V4553" s="409"/>
      <c r="W4553" s="409"/>
      <c r="X4553" s="409"/>
      <c r="Y4553" s="411"/>
      <c r="Z4553" s="409"/>
      <c r="AA4553" s="412"/>
      <c r="AB4553" s="413"/>
    </row>
    <row r="4554" spans="1:28">
      <c r="A4554" s="377"/>
      <c r="B4554" s="378"/>
      <c r="C4554" s="378"/>
      <c r="D4554" s="379"/>
      <c r="E4554" s="380"/>
      <c r="F4554" s="380"/>
      <c r="G4554" s="380"/>
      <c r="H4554" s="381"/>
      <c r="I4554" s="380"/>
      <c r="J4554" s="380"/>
      <c r="K4554" s="380"/>
      <c r="L4554" s="380"/>
      <c r="M4554" s="380"/>
      <c r="N4554" s="380"/>
      <c r="O4554" s="380"/>
      <c r="P4554" s="380"/>
      <c r="Q4554" s="380"/>
      <c r="R4554" s="380"/>
      <c r="S4554" s="380"/>
      <c r="T4554" s="380"/>
      <c r="U4554" s="380"/>
      <c r="V4554" s="380"/>
      <c r="W4554" s="380"/>
      <c r="X4554" s="380"/>
      <c r="Y4554" s="382"/>
      <c r="Z4554" s="380"/>
      <c r="AA4554" s="380"/>
      <c r="AB4554" s="383"/>
    </row>
    <row r="4555" spans="1:28">
      <c r="A4555" s="384" t="str">
        <f t="shared" ref="A4555:A4615" si="14707">A4525</f>
        <v>Lantai 3</v>
      </c>
      <c r="B4555" s="385">
        <f t="shared" ref="B4555:B4615" si="14708">B4525+1</f>
        <v>10</v>
      </c>
      <c r="C4555" s="386" t="str">
        <f t="shared" ref="C4555" si="14709">CONCATENATE(A4555," no. ",B4555)</f>
        <v>Lantai 3 no. 10</v>
      </c>
      <c r="D4555" s="2562" t="str">
        <f>VLOOKUP(C4555,'Data Panjang Balok'!$C$9:$N$254,2,FALSE)</f>
        <v>B24-1</v>
      </c>
      <c r="E4555" s="2576"/>
      <c r="F4555" s="2576"/>
      <c r="G4555" s="2576"/>
      <c r="H4555" s="2577"/>
      <c r="I4555" s="387"/>
      <c r="J4555" s="388"/>
      <c r="K4555" s="388"/>
      <c r="L4555" s="388"/>
      <c r="M4555" s="388"/>
      <c r="N4555" s="388"/>
      <c r="O4555" s="388"/>
      <c r="P4555" s="388"/>
      <c r="Q4555" s="388"/>
      <c r="R4555" s="388"/>
      <c r="S4555" s="388"/>
      <c r="T4555" s="388"/>
      <c r="U4555" s="388"/>
      <c r="V4555" s="388"/>
      <c r="W4555" s="388"/>
      <c r="X4555" s="388"/>
      <c r="Y4555" s="389"/>
      <c r="Z4555" s="388"/>
      <c r="AA4555" s="388"/>
      <c r="AB4555" s="390"/>
    </row>
    <row r="4556" spans="1:28">
      <c r="A4556" s="391"/>
      <c r="B4556" s="392"/>
      <c r="C4556" s="393" t="s">
        <v>118</v>
      </c>
      <c r="D4556" s="2578">
        <f>VLOOKUP(D4555,'Detail Balok'!$C$10:$AU$140,2,FALSE)</f>
        <v>200</v>
      </c>
      <c r="E4556" s="2579"/>
      <c r="F4556" s="388" t="s">
        <v>125</v>
      </c>
      <c r="G4556" s="2579">
        <f>VLOOKUP(D4555,'Detail Balok'!$C$10:$AU$140,3,FALSE)</f>
        <v>400</v>
      </c>
      <c r="H4556" s="2580"/>
      <c r="I4556" s="388"/>
      <c r="J4556" s="396"/>
      <c r="K4556" s="396"/>
      <c r="L4556" s="396"/>
      <c r="M4556" s="396"/>
      <c r="N4556" s="396"/>
      <c r="O4556" s="396"/>
      <c r="P4556" s="396"/>
      <c r="Q4556" s="396"/>
      <c r="R4556" s="396"/>
      <c r="S4556" s="396"/>
      <c r="T4556" s="396"/>
      <c r="U4556" s="388"/>
      <c r="V4556" s="396"/>
      <c r="W4556" s="388"/>
      <c r="X4556" s="396"/>
      <c r="Y4556" s="389"/>
      <c r="Z4556" s="396"/>
      <c r="AA4556" s="388"/>
      <c r="AB4556" s="390"/>
    </row>
    <row r="4557" spans="1:28">
      <c r="A4557" s="391"/>
      <c r="B4557" s="392"/>
      <c r="C4557" s="393" t="s">
        <v>198</v>
      </c>
      <c r="D4557" s="2562">
        <f>VLOOKUP(C4555,'Data Panjang Balok'!$C$9:$N$254,4,FALSE)</f>
        <v>3425</v>
      </c>
      <c r="E4557" s="2563"/>
      <c r="F4557" s="2563"/>
      <c r="G4557" s="2563"/>
      <c r="H4557" s="2564"/>
      <c r="I4557" s="397"/>
      <c r="J4557" s="396"/>
      <c r="K4557" s="396"/>
      <c r="L4557" s="396"/>
      <c r="M4557" s="396"/>
      <c r="N4557" s="396"/>
      <c r="O4557" s="396"/>
      <c r="P4557" s="396"/>
      <c r="Q4557" s="396"/>
      <c r="R4557" s="396"/>
      <c r="S4557" s="396"/>
      <c r="T4557" s="396"/>
      <c r="U4557" s="388"/>
      <c r="V4557" s="396"/>
      <c r="W4557" s="388"/>
      <c r="X4557" s="396"/>
      <c r="Y4557" s="389"/>
      <c r="Z4557" s="396"/>
      <c r="AA4557" s="388"/>
      <c r="AB4557" s="390"/>
    </row>
    <row r="4558" spans="1:28">
      <c r="A4558" s="391"/>
      <c r="B4558" s="392"/>
      <c r="C4558" s="393" t="s">
        <v>199</v>
      </c>
      <c r="D4558" s="2562">
        <f>VLOOKUP(C4555,'Data Panjang Balok'!$C$9:$N$254,7,FALSE)</f>
        <v>3425</v>
      </c>
      <c r="E4558" s="2563"/>
      <c r="F4558" s="2563"/>
      <c r="G4558" s="2563"/>
      <c r="H4558" s="2564"/>
      <c r="I4558" s="397"/>
      <c r="J4558" s="396"/>
      <c r="K4558" s="396"/>
      <c r="L4558" s="396"/>
      <c r="M4558" s="396"/>
      <c r="N4558" s="396"/>
      <c r="O4558" s="396"/>
      <c r="P4558" s="396"/>
      <c r="Q4558" s="396"/>
      <c r="R4558" s="396"/>
      <c r="S4558" s="396"/>
      <c r="T4558" s="396"/>
      <c r="U4558" s="388"/>
      <c r="V4558" s="396"/>
      <c r="W4558" s="388"/>
      <c r="X4558" s="396"/>
      <c r="Y4558" s="389"/>
      <c r="Z4558" s="396"/>
      <c r="AA4558" s="388"/>
      <c r="AB4558" s="390"/>
    </row>
    <row r="4559" spans="1:28">
      <c r="A4559" s="391"/>
      <c r="B4559" s="392"/>
      <c r="C4559" s="393" t="s">
        <v>200</v>
      </c>
      <c r="D4559" s="2562">
        <f>VLOOKUP(C4555,'Data Panjang Balok'!$C$9:$N$254,9,FALSE)</f>
        <v>0</v>
      </c>
      <c r="E4559" s="2563"/>
      <c r="F4559" s="2563"/>
      <c r="G4559" s="2563"/>
      <c r="H4559" s="2564"/>
      <c r="I4559" s="397"/>
      <c r="J4559" s="396"/>
      <c r="K4559" s="396"/>
      <c r="L4559" s="396"/>
      <c r="M4559" s="396"/>
      <c r="N4559" s="396"/>
      <c r="O4559" s="396"/>
      <c r="P4559" s="396"/>
      <c r="Q4559" s="396"/>
      <c r="R4559" s="396"/>
      <c r="S4559" s="396"/>
      <c r="T4559" s="396"/>
      <c r="U4559" s="388"/>
      <c r="V4559" s="396"/>
      <c r="W4559" s="388"/>
      <c r="X4559" s="396"/>
      <c r="Y4559" s="389"/>
      <c r="Z4559" s="396"/>
      <c r="AA4559" s="388"/>
      <c r="AB4559" s="390"/>
    </row>
    <row r="4560" spans="1:28">
      <c r="A4560" s="391"/>
      <c r="B4560" s="392"/>
      <c r="C4560" s="393" t="s">
        <v>201</v>
      </c>
      <c r="D4560" s="2562">
        <f>VLOOKUP(C4555,'Data Panjang Balok'!$C$9:$N$254,10,FALSE)</f>
        <v>0</v>
      </c>
      <c r="E4560" s="2563"/>
      <c r="F4560" s="2563"/>
      <c r="G4560" s="2563"/>
      <c r="H4560" s="2564"/>
      <c r="I4560" s="397"/>
      <c r="J4560" s="396"/>
      <c r="K4560" s="396"/>
      <c r="L4560" s="396"/>
      <c r="M4560" s="396"/>
      <c r="N4560" s="396"/>
      <c r="O4560" s="396"/>
      <c r="P4560" s="396"/>
      <c r="Q4560" s="396"/>
      <c r="R4560" s="396"/>
      <c r="S4560" s="396"/>
      <c r="T4560" s="396"/>
      <c r="U4560" s="388"/>
      <c r="V4560" s="396"/>
      <c r="W4560" s="388"/>
      <c r="X4560" s="396"/>
      <c r="Y4560" s="389"/>
      <c r="Z4560" s="396"/>
      <c r="AA4560" s="388"/>
      <c r="AB4560" s="390"/>
    </row>
    <row r="4561" spans="1:28">
      <c r="A4561" s="391"/>
      <c r="B4561" s="392"/>
      <c r="C4561" s="393" t="s">
        <v>48</v>
      </c>
      <c r="D4561" s="2562">
        <f>VLOOKUP(C4555,'Data Panjang Balok'!$C$9:$N$254,3,FALSE)</f>
        <v>1</v>
      </c>
      <c r="E4561" s="2563"/>
      <c r="F4561" s="2563"/>
      <c r="G4561" s="2563"/>
      <c r="H4561" s="2564"/>
      <c r="I4561" s="397"/>
      <c r="J4561" s="396"/>
      <c r="K4561" s="396"/>
      <c r="L4561" s="396"/>
      <c r="M4561" s="396"/>
      <c r="N4561" s="396"/>
      <c r="O4561" s="396"/>
      <c r="P4561" s="396"/>
      <c r="Q4561" s="396"/>
      <c r="R4561" s="396"/>
      <c r="S4561" s="396"/>
      <c r="T4561" s="396"/>
      <c r="U4561" s="388"/>
      <c r="V4561" s="396"/>
      <c r="W4561" s="388"/>
      <c r="X4561" s="396"/>
      <c r="Y4561" s="389"/>
      <c r="Z4561" s="396"/>
      <c r="AA4561" s="388"/>
      <c r="AB4561" s="390"/>
    </row>
    <row r="4562" spans="1:28">
      <c r="A4562" s="384" t="str">
        <f t="shared" ref="A4562:B4562" si="14710">A4555</f>
        <v>Lantai 3</v>
      </c>
      <c r="B4562" s="385">
        <f t="shared" si="14710"/>
        <v>10</v>
      </c>
      <c r="C4562" s="393" t="s">
        <v>202</v>
      </c>
      <c r="D4562" s="398">
        <f>VLOOKUP(D4555,'Detail Balok'!$C$10:$AU$140,4,FALSE)</f>
        <v>3</v>
      </c>
      <c r="E4562" s="388" t="s">
        <v>16</v>
      </c>
      <c r="F4562" s="388">
        <f>VLOOKUP(D4555,'Detail Balok'!$C$10:$AU$140,6,FALSE)</f>
        <v>13</v>
      </c>
      <c r="G4562" s="388"/>
      <c r="H4562" s="395"/>
      <c r="I4562" s="388" t="s">
        <v>203</v>
      </c>
      <c r="J4562" s="399">
        <f t="shared" ref="J4562" si="14711">+D4557/4/1000</f>
        <v>0.85624999999999996</v>
      </c>
      <c r="K4562" s="400" t="s">
        <v>204</v>
      </c>
      <c r="L4562" s="399">
        <f t="shared" ref="L4562" si="14712">MAX(VLOOKUP(F4562,N$6:P$15,3,FALSE)/1000,2/3*D4559/1000)+F$16*F4562/1000</f>
        <v>0.156</v>
      </c>
      <c r="M4562" s="399" t="s">
        <v>176</v>
      </c>
      <c r="N4562" s="399">
        <f t="shared" ref="N4562:N4564" si="14713">J4562+L4562</f>
        <v>1.0122499999999999</v>
      </c>
      <c r="O4562" s="399" t="s">
        <v>204</v>
      </c>
      <c r="P4562" s="389">
        <f t="shared" ref="P4562" si="14714">D4562-D4563</f>
        <v>0</v>
      </c>
      <c r="Q4562" s="399" t="s">
        <v>125</v>
      </c>
      <c r="R4562" s="399">
        <f t="shared" ref="R4562" si="14715">IF(P4562&gt;0,$F$18*F4562/1000,0)</f>
        <v>0</v>
      </c>
      <c r="S4562" s="399" t="s">
        <v>205</v>
      </c>
      <c r="T4562" s="399" t="s">
        <v>125</v>
      </c>
      <c r="U4562" s="401">
        <f t="shared" ref="U4562:U4564" si="14716">0.006165*F4562^2</f>
        <v>1.041885</v>
      </c>
      <c r="V4562" s="399"/>
      <c r="W4562" s="399"/>
      <c r="X4562" s="399" t="s">
        <v>125</v>
      </c>
      <c r="Y4562" s="389">
        <f t="shared" ref="Y4562" si="14717">D4561</f>
        <v>1</v>
      </c>
      <c r="Z4562" s="400" t="s">
        <v>176</v>
      </c>
      <c r="AA4562" s="402">
        <f t="shared" ref="AA4562" si="14718">IF(AA4565=0,(D4562*N4562+P4562*R4562)*U4562*Y4562,0)</f>
        <v>0</v>
      </c>
      <c r="AB4562" s="403"/>
    </row>
    <row r="4563" spans="1:28">
      <c r="A4563" s="384" t="str">
        <f t="shared" ref="A4563:B4563" si="14719">A4555</f>
        <v>Lantai 3</v>
      </c>
      <c r="B4563" s="385">
        <f t="shared" si="14719"/>
        <v>10</v>
      </c>
      <c r="C4563" s="393" t="s">
        <v>206</v>
      </c>
      <c r="D4563" s="398">
        <f>VLOOKUP(D4555,'Detail Balok'!$C$10:$AU$140,7,FALSE)</f>
        <v>3</v>
      </c>
      <c r="E4563" s="388" t="s">
        <v>16</v>
      </c>
      <c r="F4563" s="388">
        <f>VLOOKUP(D4555,'Detail Balok'!$C$10:$AU$140,9,FALSE)</f>
        <v>13</v>
      </c>
      <c r="G4563" s="388"/>
      <c r="H4563" s="395"/>
      <c r="I4563" s="388" t="s">
        <v>203</v>
      </c>
      <c r="J4563" s="399">
        <f t="shared" ref="J4563" si="14720">+D4557/2/1000</f>
        <v>1.7124999999999999</v>
      </c>
      <c r="K4563" s="400" t="s">
        <v>204</v>
      </c>
      <c r="L4563" s="399"/>
      <c r="M4563" s="399" t="s">
        <v>176</v>
      </c>
      <c r="N4563" s="399">
        <f t="shared" si="14713"/>
        <v>1.7124999999999999</v>
      </c>
      <c r="O4563" s="399" t="s">
        <v>204</v>
      </c>
      <c r="P4563" s="389">
        <f t="shared" ref="P4563" si="14721">MAX(D4563-D4562,D4563-D4564)</f>
        <v>0</v>
      </c>
      <c r="Q4563" s="399" t="s">
        <v>125</v>
      </c>
      <c r="R4563" s="399">
        <f t="shared" ref="R4563" si="14722">IF(P4563&gt;0,2*(1-2*$F$19-1/2)*D4558/1000,0)</f>
        <v>0</v>
      </c>
      <c r="S4563" s="399" t="s">
        <v>205</v>
      </c>
      <c r="T4563" s="399" t="s">
        <v>125</v>
      </c>
      <c r="U4563" s="401">
        <f t="shared" si="14716"/>
        <v>1.041885</v>
      </c>
      <c r="V4563" s="399"/>
      <c r="W4563" s="399"/>
      <c r="X4563" s="399" t="s">
        <v>125</v>
      </c>
      <c r="Y4563" s="389">
        <f t="shared" ref="Y4563" si="14723">D4561</f>
        <v>1</v>
      </c>
      <c r="Z4563" s="400" t="s">
        <v>176</v>
      </c>
      <c r="AA4563" s="402">
        <f t="shared" ref="AA4563" si="14724">IF(AA4565=0,(D4563*N4563+P4563*R4563)*U4563*Y4563,0)</f>
        <v>0</v>
      </c>
      <c r="AB4563" s="403"/>
    </row>
    <row r="4564" spans="1:28">
      <c r="A4564" s="384" t="str">
        <f t="shared" ref="A4564:B4564" si="14725">A4555</f>
        <v>Lantai 3</v>
      </c>
      <c r="B4564" s="385">
        <f t="shared" si="14725"/>
        <v>10</v>
      </c>
      <c r="C4564" s="393" t="s">
        <v>202</v>
      </c>
      <c r="D4564" s="398">
        <f>VLOOKUP(D4555,'Detail Balok'!$C$10:$AU$140,10,FALSE)</f>
        <v>3</v>
      </c>
      <c r="E4564" s="388" t="s">
        <v>16</v>
      </c>
      <c r="F4564" s="388">
        <f>VLOOKUP(D4555,'Detail Balok'!$C$10:$AU$140,12,FALSE)</f>
        <v>13</v>
      </c>
      <c r="G4564" s="388"/>
      <c r="H4564" s="395"/>
      <c r="I4564" s="388" t="s">
        <v>203</v>
      </c>
      <c r="J4564" s="399">
        <f t="shared" ref="J4564" si="14726">+D4557/4/1000</f>
        <v>0.85624999999999996</v>
      </c>
      <c r="K4564" s="400" t="s">
        <v>204</v>
      </c>
      <c r="L4564" s="399">
        <f t="shared" ref="L4564" si="14727">MAX(VLOOKUP(F4564,N$6:P$15,3,FALSE)/1000,2/3*D4559/1000)+F$16*F4564/1000</f>
        <v>0.156</v>
      </c>
      <c r="M4564" s="399" t="s">
        <v>176</v>
      </c>
      <c r="N4564" s="399">
        <f t="shared" si="14713"/>
        <v>1.0122499999999999</v>
      </c>
      <c r="O4564" s="399" t="s">
        <v>204</v>
      </c>
      <c r="P4564" s="389">
        <f t="shared" ref="P4564" si="14728">D4564-D4563</f>
        <v>0</v>
      </c>
      <c r="Q4564" s="399" t="s">
        <v>125</v>
      </c>
      <c r="R4564" s="399">
        <f t="shared" ref="R4564" si="14729">IF(P4564&gt;0,$F$18*F4564/1000,0)</f>
        <v>0</v>
      </c>
      <c r="S4564" s="399" t="s">
        <v>205</v>
      </c>
      <c r="T4564" s="399" t="s">
        <v>125</v>
      </c>
      <c r="U4564" s="401">
        <f t="shared" si="14716"/>
        <v>1.041885</v>
      </c>
      <c r="V4564" s="399"/>
      <c r="W4564" s="399"/>
      <c r="X4564" s="399" t="s">
        <v>125</v>
      </c>
      <c r="Y4564" s="389">
        <f t="shared" ref="Y4564" si="14730">D4561</f>
        <v>1</v>
      </c>
      <c r="Z4564" s="400" t="s">
        <v>176</v>
      </c>
      <c r="AA4564" s="402">
        <f t="shared" ref="AA4564" si="14731">IF(AA4565=0,(D4564*N4564+P4564*R4564)*U4564*Y4564,0)</f>
        <v>0</v>
      </c>
      <c r="AB4564" s="403"/>
    </row>
    <row r="4565" spans="1:28">
      <c r="A4565" s="384" t="str">
        <f t="shared" ref="A4565:B4565" si="14732">A4555</f>
        <v>Lantai 3</v>
      </c>
      <c r="B4565" s="385">
        <f t="shared" si="14732"/>
        <v>10</v>
      </c>
      <c r="C4565" s="393"/>
      <c r="D4565" s="398">
        <f t="shared" si="14628"/>
        <v>3</v>
      </c>
      <c r="E4565" s="388" t="s">
        <v>16</v>
      </c>
      <c r="F4565" s="388">
        <f t="shared" si="14629"/>
        <v>13</v>
      </c>
      <c r="G4565" s="388"/>
      <c r="H4565" s="395"/>
      <c r="I4565" s="388"/>
      <c r="J4565" s="396"/>
      <c r="K4565" s="396"/>
      <c r="L4565" s="404" t="s">
        <v>207</v>
      </c>
      <c r="M4565" s="399" t="s">
        <v>176</v>
      </c>
      <c r="N4565" s="399">
        <f t="shared" ref="N4565" si="14733">IF(AND(D4562=D4563,D4562=D4564,D4563=D4564,F4562=F4563,F4562=F4564,F4563=F4564),SUM(N4562:N4564),0)</f>
        <v>3.7369999999999997</v>
      </c>
      <c r="O4565" s="399" t="s">
        <v>204</v>
      </c>
      <c r="P4565" s="389">
        <f t="shared" ref="P4565" si="14734">IF(N4565&gt;12,ROUNDDOWN(N4565/12,0),0)</f>
        <v>0</v>
      </c>
      <c r="Q4565" s="399" t="s">
        <v>125</v>
      </c>
      <c r="R4565" s="399">
        <f t="shared" ref="R4565" si="14735">IF(P4565&gt;0,MAX(VLOOKUP(F4565,$D$6:$G$15,3,FALSE),600),0)/1000</f>
        <v>0</v>
      </c>
      <c r="S4565" s="396"/>
      <c r="T4565" s="396" t="s">
        <v>125</v>
      </c>
      <c r="U4565" s="401">
        <f t="shared" si="14633"/>
        <v>1.041885</v>
      </c>
      <c r="V4565" s="396" t="s">
        <v>125</v>
      </c>
      <c r="W4565" s="399">
        <f t="shared" ref="W4565" si="14736">D4565</f>
        <v>3</v>
      </c>
      <c r="X4565" s="399" t="s">
        <v>125</v>
      </c>
      <c r="Y4565" s="389">
        <f t="shared" si="14635"/>
        <v>1</v>
      </c>
      <c r="Z4565" s="400" t="s">
        <v>176</v>
      </c>
      <c r="AA4565" s="402">
        <f t="shared" ref="AA4565" si="14737">(N4565+P4565*R4565/1000)*U4565*W4565*Y4565</f>
        <v>11.680572734999998</v>
      </c>
      <c r="AB4565" s="390"/>
    </row>
    <row r="4566" spans="1:28">
      <c r="A4566" s="384"/>
      <c r="B4566" s="385"/>
      <c r="C4566" s="393"/>
      <c r="D4566" s="398"/>
      <c r="E4566" s="388"/>
      <c r="F4566" s="388"/>
      <c r="G4566" s="388"/>
      <c r="H4566" s="395"/>
      <c r="I4566" s="388"/>
      <c r="J4566" s="396"/>
      <c r="K4566" s="396"/>
      <c r="L4566" s="404"/>
      <c r="M4566" s="399"/>
      <c r="N4566" s="399"/>
      <c r="O4566" s="396"/>
      <c r="P4566" s="389"/>
      <c r="Q4566" s="396"/>
      <c r="R4566" s="396"/>
      <c r="S4566" s="396"/>
      <c r="T4566" s="396"/>
      <c r="U4566" s="401"/>
      <c r="V4566" s="396"/>
      <c r="W4566" s="399"/>
      <c r="X4566" s="396"/>
      <c r="Y4566" s="389"/>
      <c r="Z4566" s="396"/>
      <c r="AA4566" s="388"/>
      <c r="AB4566" s="390"/>
    </row>
    <row r="4567" spans="1:28">
      <c r="A4567" s="384" t="str">
        <f t="shared" ref="A4567:B4567" si="14738">A4555</f>
        <v>Lantai 3</v>
      </c>
      <c r="B4567" s="385">
        <f t="shared" si="14738"/>
        <v>10</v>
      </c>
      <c r="C4567" s="393" t="s">
        <v>208</v>
      </c>
      <c r="D4567" s="398">
        <f>VLOOKUP(D4555,'Detail Balok'!$C$10:$AU$140,13,FALSE)</f>
        <v>0</v>
      </c>
      <c r="E4567" s="388" t="s">
        <v>16</v>
      </c>
      <c r="F4567" s="388">
        <f>VLOOKUP(D4555,'Detail Balok'!$C$10:$AU$140,15,FALSE)</f>
        <v>8</v>
      </c>
      <c r="G4567" s="388"/>
      <c r="H4567" s="395"/>
      <c r="I4567" s="388"/>
      <c r="J4567" s="399">
        <f t="shared" ref="J4567" si="14739">+D4557/1000</f>
        <v>3.4249999999999998</v>
      </c>
      <c r="K4567" s="400" t="s">
        <v>204</v>
      </c>
      <c r="L4567" s="399">
        <f t="shared" ref="L4567" si="14740">2*$F$16*F4567/1000</f>
        <v>0.192</v>
      </c>
      <c r="M4567" s="399" t="s">
        <v>176</v>
      </c>
      <c r="N4567" s="399">
        <f t="shared" ref="N4567" si="14741">J4567+L4567</f>
        <v>3.617</v>
      </c>
      <c r="O4567" s="399" t="s">
        <v>204</v>
      </c>
      <c r="P4567" s="389">
        <f t="shared" ref="P4567" si="14742">IF(N4567&gt;12,ROUNDDOWN(N4567/12,0),0)</f>
        <v>0</v>
      </c>
      <c r="Q4567" s="399" t="s">
        <v>125</v>
      </c>
      <c r="R4567" s="399">
        <f t="shared" ref="R4567" si="14743">IF(P4567&gt;0,MAX(VLOOKUP(F4567,$D$6:$G$15,3,FALSE),600),0)/1000</f>
        <v>0</v>
      </c>
      <c r="S4567" s="399"/>
      <c r="T4567" s="399" t="s">
        <v>125</v>
      </c>
      <c r="U4567" s="401">
        <f t="shared" ref="U4567" si="14744">0.006165*F4567^2</f>
        <v>0.39456000000000002</v>
      </c>
      <c r="V4567" s="399" t="s">
        <v>125</v>
      </c>
      <c r="W4567" s="399">
        <f t="shared" ref="W4567" si="14745">+D4567</f>
        <v>0</v>
      </c>
      <c r="X4567" s="399" t="s">
        <v>125</v>
      </c>
      <c r="Y4567" s="389">
        <f t="shared" ref="Y4567" si="14746">D4561</f>
        <v>1</v>
      </c>
      <c r="Z4567" s="400" t="s">
        <v>176</v>
      </c>
      <c r="AA4567" s="402">
        <f t="shared" ref="AA4567" si="14747">(N4567+P4567*R4567/1000)*U4567*W4567*Y4567</f>
        <v>0</v>
      </c>
      <c r="AB4567" s="403"/>
    </row>
    <row r="4568" spans="1:28">
      <c r="A4568" s="384"/>
      <c r="B4568" s="385"/>
      <c r="C4568" s="393"/>
      <c r="D4568" s="398"/>
      <c r="E4568" s="388"/>
      <c r="F4568" s="388"/>
      <c r="G4568" s="388"/>
      <c r="H4568" s="395"/>
      <c r="I4568" s="388"/>
      <c r="J4568" s="399"/>
      <c r="K4568" s="400"/>
      <c r="L4568" s="399"/>
      <c r="M4568" s="399"/>
      <c r="N4568" s="399"/>
      <c r="O4568" s="399"/>
      <c r="P4568" s="389"/>
      <c r="Q4568" s="399"/>
      <c r="R4568" s="399"/>
      <c r="S4568" s="399"/>
      <c r="T4568" s="399"/>
      <c r="U4568" s="401"/>
      <c r="V4568" s="399"/>
      <c r="W4568" s="399"/>
      <c r="X4568" s="399"/>
      <c r="Y4568" s="389"/>
      <c r="Z4568" s="400"/>
      <c r="AA4568" s="402"/>
      <c r="AB4568" s="403"/>
    </row>
    <row r="4569" spans="1:28">
      <c r="A4569" s="384"/>
      <c r="B4569" s="385"/>
      <c r="C4569" s="393"/>
      <c r="D4569" s="398"/>
      <c r="E4569" s="388"/>
      <c r="F4569" s="388"/>
      <c r="G4569" s="388"/>
      <c r="H4569" s="395"/>
      <c r="I4569" s="388"/>
      <c r="J4569" s="396"/>
      <c r="K4569" s="396"/>
      <c r="L4569" s="396"/>
      <c r="M4569" s="396"/>
      <c r="N4569" s="396"/>
      <c r="O4569" s="396"/>
      <c r="P4569" s="389"/>
      <c r="Q4569" s="396"/>
      <c r="R4569" s="396"/>
      <c r="S4569" s="396"/>
      <c r="T4569" s="396"/>
      <c r="U4569" s="401"/>
      <c r="V4569" s="396"/>
      <c r="W4569" s="399"/>
      <c r="X4569" s="396"/>
      <c r="Y4569" s="389"/>
      <c r="Z4569" s="396"/>
      <c r="AA4569" s="388"/>
      <c r="AB4569" s="390"/>
    </row>
    <row r="4570" spans="1:28">
      <c r="A4570" s="384" t="str">
        <f t="shared" ref="A4570:B4570" si="14748">A4555</f>
        <v>Lantai 3</v>
      </c>
      <c r="B4570" s="385">
        <f t="shared" si="14748"/>
        <v>10</v>
      </c>
      <c r="C4570" s="393" t="s">
        <v>209</v>
      </c>
      <c r="D4570" s="398">
        <f>VLOOKUP(D4555,'Detail Balok'!$C$10:$AU$140,22,FALSE)</f>
        <v>3</v>
      </c>
      <c r="E4570" s="388" t="s">
        <v>16</v>
      </c>
      <c r="F4570" s="388">
        <f>VLOOKUP(D4555,'Detail Balok'!$C$10:$AU$140,24,FALSE)</f>
        <v>13</v>
      </c>
      <c r="G4570" s="388"/>
      <c r="H4570" s="395"/>
      <c r="I4570" s="388" t="s">
        <v>203</v>
      </c>
      <c r="J4570" s="399">
        <f t="shared" si="14648"/>
        <v>0.85624999999999996</v>
      </c>
      <c r="K4570" s="400" t="s">
        <v>204</v>
      </c>
      <c r="L4570" s="399">
        <f t="shared" ref="L4570" si="14749">MAX(VLOOKUP(F4570,N$6:P$15,3,FALSE)/1000,2/3*D4560/1000)+F$16*F4570/1000</f>
        <v>0.156</v>
      </c>
      <c r="M4570" s="399" t="s">
        <v>176</v>
      </c>
      <c r="N4570" s="399">
        <f t="shared" ref="N4570:N4572" si="14750">J4570+L4570</f>
        <v>1.0122499999999999</v>
      </c>
      <c r="O4570" s="399" t="s">
        <v>204</v>
      </c>
      <c r="P4570" s="389">
        <f t="shared" ref="P4570" si="14751">D4570-D4571</f>
        <v>0</v>
      </c>
      <c r="Q4570" s="399" t="s">
        <v>125</v>
      </c>
      <c r="R4570" s="399">
        <f t="shared" ref="R4570" si="14752">IF(P4570&gt;0,$F$18*F4570/1000,0)</f>
        <v>0</v>
      </c>
      <c r="S4570" s="399" t="s">
        <v>205</v>
      </c>
      <c r="T4570" s="399" t="s">
        <v>125</v>
      </c>
      <c r="U4570" s="401">
        <f t="shared" ref="U4570:U4572" si="14753">0.006165*F4570^2</f>
        <v>1.041885</v>
      </c>
      <c r="V4570" s="399"/>
      <c r="W4570" s="399"/>
      <c r="X4570" s="399" t="s">
        <v>125</v>
      </c>
      <c r="Y4570" s="389">
        <f t="shared" ref="Y4570" si="14754">D4561</f>
        <v>1</v>
      </c>
      <c r="Z4570" s="400" t="s">
        <v>176</v>
      </c>
      <c r="AA4570" s="402">
        <f t="shared" ref="AA4570" si="14755">IF(AA4573=0,(D4570*N4570+P4570*R4570)*U4570*Y4570,0)</f>
        <v>0</v>
      </c>
      <c r="AB4570" s="403"/>
    </row>
    <row r="4571" spans="1:28">
      <c r="A4571" s="384" t="str">
        <f t="shared" ref="A4571:B4571" si="14756">A4555</f>
        <v>Lantai 3</v>
      </c>
      <c r="B4571" s="385">
        <f t="shared" si="14756"/>
        <v>10</v>
      </c>
      <c r="C4571" s="393" t="s">
        <v>210</v>
      </c>
      <c r="D4571" s="398">
        <f>VLOOKUP(D4555,'Detail Balok'!$C$10:$AU$140,25,FALSE)</f>
        <v>3</v>
      </c>
      <c r="E4571" s="388" t="s">
        <v>16</v>
      </c>
      <c r="F4571" s="388">
        <f>VLOOKUP(D4555,'Detail Balok'!$C$10:$AU$140,27,FALSE)</f>
        <v>13</v>
      </c>
      <c r="G4571" s="388"/>
      <c r="H4571" s="395"/>
      <c r="I4571" s="388" t="s">
        <v>203</v>
      </c>
      <c r="J4571" s="399">
        <f t="shared" si="14648"/>
        <v>1.7124999999999999</v>
      </c>
      <c r="K4571" s="400" t="s">
        <v>204</v>
      </c>
      <c r="L4571" s="399"/>
      <c r="M4571" s="399" t="s">
        <v>176</v>
      </c>
      <c r="N4571" s="399">
        <f t="shared" si="14750"/>
        <v>1.7124999999999999</v>
      </c>
      <c r="O4571" s="399" t="s">
        <v>204</v>
      </c>
      <c r="P4571" s="389">
        <f t="shared" ref="P4571" si="14757">MAX(D4571-D4570,D4571-D4572)</f>
        <v>0</v>
      </c>
      <c r="Q4571" s="399" t="s">
        <v>125</v>
      </c>
      <c r="R4571" s="399">
        <f t="shared" ref="R4571" si="14758">IF(P4571&gt;0,2*(1-2*$F$19-1/2)*D4558/1000,0)</f>
        <v>0</v>
      </c>
      <c r="S4571" s="399" t="s">
        <v>205</v>
      </c>
      <c r="T4571" s="399" t="s">
        <v>125</v>
      </c>
      <c r="U4571" s="401">
        <f t="shared" si="14753"/>
        <v>1.041885</v>
      </c>
      <c r="V4571" s="399"/>
      <c r="W4571" s="399"/>
      <c r="X4571" s="399" t="s">
        <v>125</v>
      </c>
      <c r="Y4571" s="389">
        <f t="shared" ref="Y4571" si="14759">D4561</f>
        <v>1</v>
      </c>
      <c r="Z4571" s="400" t="s">
        <v>176</v>
      </c>
      <c r="AA4571" s="402">
        <f t="shared" ref="AA4571" si="14760">IF(AA4573=0,(D4571*N4571+P4571*R4571)*U4571*Y4571,0)</f>
        <v>0</v>
      </c>
      <c r="AB4571" s="403"/>
    </row>
    <row r="4572" spans="1:28">
      <c r="A4572" s="384" t="str">
        <f t="shared" ref="A4572:B4572" si="14761">A4555</f>
        <v>Lantai 3</v>
      </c>
      <c r="B4572" s="385">
        <f t="shared" si="14761"/>
        <v>10</v>
      </c>
      <c r="C4572" s="393" t="s">
        <v>209</v>
      </c>
      <c r="D4572" s="398">
        <f>VLOOKUP(D4555,'Detail Balok'!$C$10:$AU$140,28,FALSE)</f>
        <v>3</v>
      </c>
      <c r="E4572" s="388" t="s">
        <v>16</v>
      </c>
      <c r="F4572" s="388">
        <f>VLOOKUP(D4555,'Detail Balok'!$C$10:$AU$140,30,FALSE)</f>
        <v>13</v>
      </c>
      <c r="G4572" s="388"/>
      <c r="H4572" s="395"/>
      <c r="I4572" s="388" t="s">
        <v>203</v>
      </c>
      <c r="J4572" s="399">
        <f t="shared" si="14648"/>
        <v>0.85624999999999996</v>
      </c>
      <c r="K4572" s="400" t="s">
        <v>204</v>
      </c>
      <c r="L4572" s="399">
        <f t="shared" ref="L4572" si="14762">MAX(VLOOKUP(F4572,N$6:P$15,3,FALSE)/1000,2/3*D4560/1000)+F$16*F4572/1000</f>
        <v>0.156</v>
      </c>
      <c r="M4572" s="399" t="s">
        <v>176</v>
      </c>
      <c r="N4572" s="399">
        <f t="shared" si="14750"/>
        <v>1.0122499999999999</v>
      </c>
      <c r="O4572" s="399" t="s">
        <v>204</v>
      </c>
      <c r="P4572" s="389">
        <f t="shared" ref="P4572" si="14763">D4572-D4571</f>
        <v>0</v>
      </c>
      <c r="Q4572" s="399" t="s">
        <v>125</v>
      </c>
      <c r="R4572" s="399">
        <f t="shared" ref="R4572" si="14764">IF(P4572&gt;0,$F$18*F4572/1000,0)</f>
        <v>0</v>
      </c>
      <c r="S4572" s="399" t="s">
        <v>205</v>
      </c>
      <c r="T4572" s="399" t="s">
        <v>125</v>
      </c>
      <c r="U4572" s="401">
        <f t="shared" si="14753"/>
        <v>1.041885</v>
      </c>
      <c r="V4572" s="399"/>
      <c r="W4572" s="399"/>
      <c r="X4572" s="399" t="s">
        <v>125</v>
      </c>
      <c r="Y4572" s="389">
        <f t="shared" ref="Y4572" si="14765">D4561</f>
        <v>1</v>
      </c>
      <c r="Z4572" s="400" t="s">
        <v>176</v>
      </c>
      <c r="AA4572" s="402">
        <f t="shared" ref="AA4572" si="14766">IF(AA4573=0,(D4572*N4572+P4572*R4572)*U4572*Y4572,0)</f>
        <v>0</v>
      </c>
      <c r="AB4572" s="403"/>
    </row>
    <row r="4573" spans="1:28">
      <c r="A4573" s="384" t="str">
        <f t="shared" ref="A4573:B4573" si="14767">A4555</f>
        <v>Lantai 3</v>
      </c>
      <c r="B4573" s="385">
        <f t="shared" si="14767"/>
        <v>10</v>
      </c>
      <c r="C4573" s="393"/>
      <c r="D4573" s="398">
        <f t="shared" si="14668"/>
        <v>3</v>
      </c>
      <c r="E4573" s="388" t="s">
        <v>16</v>
      </c>
      <c r="F4573" s="388">
        <f t="shared" si="14669"/>
        <v>13</v>
      </c>
      <c r="G4573" s="388"/>
      <c r="H4573" s="395"/>
      <c r="I4573" s="388"/>
      <c r="J4573" s="396"/>
      <c r="K4573" s="396"/>
      <c r="L4573" s="404" t="s">
        <v>207</v>
      </c>
      <c r="M4573" s="399" t="s">
        <v>176</v>
      </c>
      <c r="N4573" s="399">
        <f t="shared" ref="N4573" si="14768">IF(AND(D4570=D4571,D4570=D4572,D4571=D4572,F4570=F4571,F4570=F4572,F4571=F4572),SUM(N4570:N4572),0)</f>
        <v>3.7369999999999997</v>
      </c>
      <c r="O4573" s="399" t="s">
        <v>204</v>
      </c>
      <c r="P4573" s="389">
        <f t="shared" ref="P4573" si="14769">IF(N4573&gt;12,ROUNDDOWN(N4573/12,0),0)</f>
        <v>0</v>
      </c>
      <c r="Q4573" s="399" t="s">
        <v>125</v>
      </c>
      <c r="R4573" s="399">
        <f t="shared" ref="R4573" si="14770">IF(P4573&gt;0,MAX(VLOOKUP(F4573,$D$6:$G$15,3,FALSE),600),0)/1000</f>
        <v>0</v>
      </c>
      <c r="S4573" s="396"/>
      <c r="T4573" s="396" t="s">
        <v>125</v>
      </c>
      <c r="U4573" s="401">
        <f t="shared" si="14673"/>
        <v>1.041885</v>
      </c>
      <c r="V4573" s="396" t="s">
        <v>125</v>
      </c>
      <c r="W4573" s="399">
        <f t="shared" ref="W4573" si="14771">D4573</f>
        <v>3</v>
      </c>
      <c r="X4573" s="399" t="s">
        <v>125</v>
      </c>
      <c r="Y4573" s="389">
        <f t="shared" si="14675"/>
        <v>1</v>
      </c>
      <c r="Z4573" s="400" t="s">
        <v>176</v>
      </c>
      <c r="AA4573" s="402">
        <f t="shared" ref="AA4573" si="14772">(N4573+P4573*R4573/1000)*U4573*W4573*Y4573</f>
        <v>11.680572734999998</v>
      </c>
      <c r="AB4573" s="403"/>
    </row>
    <row r="4574" spans="1:28">
      <c r="A4574" s="384"/>
      <c r="B4574" s="385"/>
      <c r="C4574" s="393"/>
      <c r="D4574" s="394"/>
      <c r="E4574" s="388"/>
      <c r="F4574" s="388"/>
      <c r="G4574" s="388"/>
      <c r="H4574" s="395"/>
      <c r="I4574" s="388"/>
      <c r="J4574" s="399"/>
      <c r="K4574" s="396"/>
      <c r="L4574" s="396"/>
      <c r="M4574" s="396"/>
      <c r="N4574" s="396"/>
      <c r="O4574" s="396"/>
      <c r="P4574" s="389"/>
      <c r="Q4574" s="396"/>
      <c r="R4574" s="396"/>
      <c r="S4574" s="396"/>
      <c r="T4574" s="396"/>
      <c r="U4574" s="401"/>
      <c r="V4574" s="396"/>
      <c r="W4574" s="388"/>
      <c r="X4574" s="396"/>
      <c r="Y4574" s="389"/>
      <c r="Z4574" s="396"/>
      <c r="AA4574" s="388"/>
      <c r="AB4574" s="390"/>
    </row>
    <row r="4575" spans="1:28">
      <c r="A4575" s="384" t="str">
        <f t="shared" ref="A4575:B4575" si="14773">A4555</f>
        <v>Lantai 3</v>
      </c>
      <c r="B4575" s="385">
        <f t="shared" si="14773"/>
        <v>10</v>
      </c>
      <c r="C4575" s="393" t="s">
        <v>211</v>
      </c>
      <c r="D4575" s="398">
        <f>VLOOKUP(D4555,'Detail Balok'!$C$10:$AU$140,31,FALSE)</f>
        <v>0</v>
      </c>
      <c r="E4575" s="388" t="s">
        <v>16</v>
      </c>
      <c r="F4575" s="388">
        <f>VLOOKUP(D4555,'Detail Balok'!$C$10:$AU$140,33,FALSE)</f>
        <v>10</v>
      </c>
      <c r="G4575" s="405" t="s">
        <v>157</v>
      </c>
      <c r="H4575" s="395">
        <f>VLOOKUP(D4555,'Detail Balok'!$C$10:$AU$140,35,FALSE)</f>
        <v>100</v>
      </c>
      <c r="I4575" s="388"/>
      <c r="J4575" s="400">
        <f t="shared" ref="J4575" si="14774">(IF(D4575=0,(2*(D4556+G4556))-(F$5*8),IF(D4575=3,(2*(D4556+G4556))-(F$5*8)+(G4556-2*F$5),IF(D4575=4,(2*(D4556+G4556))-(F$5*8)+2*(G4556-2*F$5)))))/1000</f>
        <v>0.88</v>
      </c>
      <c r="K4575" s="400" t="s">
        <v>204</v>
      </c>
      <c r="L4575" s="399">
        <f t="shared" ref="L4575:L4577" si="14775">IF(D4575=0,2*MAX(6*F4575,75),(D4575-1)*2*MAX(6*F4575,75))/1000</f>
        <v>0.15</v>
      </c>
      <c r="M4575" s="399" t="s">
        <v>176</v>
      </c>
      <c r="N4575" s="399">
        <f t="shared" ref="N4575:N4577" si="14776">J4575+L4575</f>
        <v>1.03</v>
      </c>
      <c r="O4575" s="399"/>
      <c r="P4575" s="389"/>
      <c r="Q4575" s="399"/>
      <c r="R4575" s="399"/>
      <c r="S4575" s="399"/>
      <c r="T4575" s="399" t="s">
        <v>125</v>
      </c>
      <c r="U4575" s="401">
        <f t="shared" ref="U4575:U4577" si="14777">0.006165*F4575^2</f>
        <v>0.61650000000000005</v>
      </c>
      <c r="V4575" s="399" t="s">
        <v>125</v>
      </c>
      <c r="W4575" s="399">
        <f t="shared" ref="W4575" si="14778">IF(D4558&gt;4*G4556,ROUND(MAX(D4558/4,2*G4556)/H4575,0)+1,ROUND(D4558/H4575,0)+1)</f>
        <v>10</v>
      </c>
      <c r="X4575" s="399" t="s">
        <v>125</v>
      </c>
      <c r="Y4575" s="389">
        <f t="shared" ref="Y4575" si="14779">D4561</f>
        <v>1</v>
      </c>
      <c r="Z4575" s="400" t="s">
        <v>176</v>
      </c>
      <c r="AA4575" s="402">
        <f t="shared" ref="AA4575:AA4577" si="14780">N4575*U4575*W4575*Y4575</f>
        <v>6.3499500000000006</v>
      </c>
      <c r="AB4575" s="403"/>
    </row>
    <row r="4576" spans="1:28">
      <c r="A4576" s="384" t="str">
        <f t="shared" ref="A4576:B4576" si="14781">A4555</f>
        <v>Lantai 3</v>
      </c>
      <c r="B4576" s="385">
        <f t="shared" si="14781"/>
        <v>10</v>
      </c>
      <c r="C4576" s="393" t="s">
        <v>212</v>
      </c>
      <c r="D4576" s="398">
        <f>VLOOKUP(D4555,'Detail Balok'!$C$10:$AU$140,36,FALSE)</f>
        <v>0</v>
      </c>
      <c r="E4576" s="388" t="s">
        <v>16</v>
      </c>
      <c r="F4576" s="388">
        <f>VLOOKUP(D4555,'Detail Balok'!$C$10:$AU$140,38,FALSE)</f>
        <v>10</v>
      </c>
      <c r="G4576" s="405" t="s">
        <v>157</v>
      </c>
      <c r="H4576" s="395">
        <f>VLOOKUP(D4555,'Detail Balok'!$C$10:$AU$140,40,FALSE)</f>
        <v>200</v>
      </c>
      <c r="I4576" s="388"/>
      <c r="J4576" s="400">
        <f t="shared" ref="J4576" si="14782">(IF(D4576=0,(2*(D4556+G4556))-(F$5*8),IF(D4576=3,(2*(D4556+G4556))-(F$5*8)+(G4556-2*F$5),IF(D4576=4,(2*(D4556+G4556))-(F$5*8)+2*(G4556-2*F$5)))))/1000</f>
        <v>0.88</v>
      </c>
      <c r="K4576" s="400" t="s">
        <v>204</v>
      </c>
      <c r="L4576" s="399">
        <f t="shared" si="14775"/>
        <v>0.15</v>
      </c>
      <c r="M4576" s="399" t="s">
        <v>176</v>
      </c>
      <c r="N4576" s="399">
        <f t="shared" si="14776"/>
        <v>1.03</v>
      </c>
      <c r="O4576" s="399"/>
      <c r="P4576" s="389"/>
      <c r="Q4576" s="399"/>
      <c r="R4576" s="399"/>
      <c r="S4576" s="399"/>
      <c r="T4576" s="399" t="s">
        <v>125</v>
      </c>
      <c r="U4576" s="401">
        <f t="shared" si="14777"/>
        <v>0.61650000000000005</v>
      </c>
      <c r="V4576" s="399" t="s">
        <v>125</v>
      </c>
      <c r="W4576" s="399">
        <f t="shared" ref="W4576" si="14783">IF(D4558-MAX(D4558/4,2*G4556)*2&gt;0,ROUND((D4558-MAX(D4558/4,2*G4556)*2)/H4576,0),0)</f>
        <v>9</v>
      </c>
      <c r="X4576" s="399" t="s">
        <v>125</v>
      </c>
      <c r="Y4576" s="389">
        <f t="shared" ref="Y4576" si="14784">D4561</f>
        <v>1</v>
      </c>
      <c r="Z4576" s="400" t="s">
        <v>176</v>
      </c>
      <c r="AA4576" s="402">
        <f t="shared" si="14780"/>
        <v>5.7149550000000007</v>
      </c>
      <c r="AB4576" s="403"/>
    </row>
    <row r="4577" spans="1:28">
      <c r="A4577" s="384" t="str">
        <f t="shared" ref="A4577:B4577" si="14785">A4555</f>
        <v>Lantai 3</v>
      </c>
      <c r="B4577" s="385">
        <f t="shared" si="14785"/>
        <v>10</v>
      </c>
      <c r="C4577" s="393" t="s">
        <v>211</v>
      </c>
      <c r="D4577" s="398">
        <f>VLOOKUP(D4555,'Detail Balok'!$C$10:$AU$140,41,FALSE)</f>
        <v>0</v>
      </c>
      <c r="E4577" s="388" t="s">
        <v>16</v>
      </c>
      <c r="F4577" s="388">
        <f>VLOOKUP(D4555,'Detail Balok'!$C$10:$AU$140,43,FALSE)</f>
        <v>10</v>
      </c>
      <c r="G4577" s="405" t="s">
        <v>157</v>
      </c>
      <c r="H4577" s="395">
        <f>VLOOKUP(D4555,'Detail Balok'!$C$10:$AU$140,45,FALSE)</f>
        <v>100</v>
      </c>
      <c r="I4577" s="388"/>
      <c r="J4577" s="400">
        <f t="shared" ref="J4577" si="14786">(IF(D4577=0,(2*(D4556+G4556))-(F$5*8),IF(D4577=3,(2*(D4556+G4556))-(F$5*8)+(G4556-2*F$5),IF(D4577=4,(2*(D4556+G4556))-(F$5*8)+2*(G4556-2*F$5)))))/1000</f>
        <v>0.88</v>
      </c>
      <c r="K4577" s="400" t="s">
        <v>204</v>
      </c>
      <c r="L4577" s="399">
        <f t="shared" si="14775"/>
        <v>0.15</v>
      </c>
      <c r="M4577" s="399" t="s">
        <v>176</v>
      </c>
      <c r="N4577" s="399">
        <f t="shared" si="14776"/>
        <v>1.03</v>
      </c>
      <c r="O4577" s="399"/>
      <c r="P4577" s="389"/>
      <c r="Q4577" s="399"/>
      <c r="R4577" s="399"/>
      <c r="S4577" s="399"/>
      <c r="T4577" s="399" t="s">
        <v>125</v>
      </c>
      <c r="U4577" s="401">
        <f t="shared" si="14777"/>
        <v>0.61650000000000005</v>
      </c>
      <c r="V4577" s="399" t="s">
        <v>125</v>
      </c>
      <c r="W4577" s="399">
        <f t="shared" ref="W4577" si="14787">IF(D4558&gt;4*G4556,ROUND(MAX(D4558/4,2*G4556)/H4577,0)+1,0)</f>
        <v>10</v>
      </c>
      <c r="X4577" s="399" t="s">
        <v>125</v>
      </c>
      <c r="Y4577" s="389">
        <f t="shared" ref="Y4577" si="14788">D4561</f>
        <v>1</v>
      </c>
      <c r="Z4577" s="400" t="s">
        <v>176</v>
      </c>
      <c r="AA4577" s="402">
        <f t="shared" si="14780"/>
        <v>6.3499500000000006</v>
      </c>
      <c r="AB4577" s="403"/>
    </row>
    <row r="4578" spans="1:28">
      <c r="A4578" s="384"/>
      <c r="B4578" s="385"/>
      <c r="C4578" s="393"/>
      <c r="D4578" s="394"/>
      <c r="E4578" s="388"/>
      <c r="F4578" s="388"/>
      <c r="G4578" s="388"/>
      <c r="H4578" s="395"/>
      <c r="I4578" s="388"/>
      <c r="J4578" s="399"/>
      <c r="K4578" s="396"/>
      <c r="L4578" s="396"/>
      <c r="M4578" s="396"/>
      <c r="N4578" s="396"/>
      <c r="O4578" s="396"/>
      <c r="P4578" s="389"/>
      <c r="Q4578" s="396"/>
      <c r="R4578" s="396"/>
      <c r="S4578" s="396"/>
      <c r="T4578" s="396"/>
      <c r="U4578" s="401"/>
      <c r="V4578" s="396"/>
      <c r="W4578" s="388"/>
      <c r="X4578" s="396"/>
      <c r="Y4578" s="389"/>
      <c r="Z4578" s="396"/>
      <c r="AA4578" s="388"/>
      <c r="AB4578" s="390"/>
    </row>
    <row r="4579" spans="1:28">
      <c r="A4579" s="384" t="str">
        <f t="shared" ref="A4579:B4579" si="14789">A4555</f>
        <v>Lantai 3</v>
      </c>
      <c r="B4579" s="385">
        <f t="shared" si="14789"/>
        <v>10</v>
      </c>
      <c r="C4579" s="393" t="s">
        <v>213</v>
      </c>
      <c r="D4579" s="398">
        <f>VLOOKUP(D4555,'Detail Balok'!$C$10:$BJ$140,46,FALSE)</f>
        <v>0</v>
      </c>
      <c r="E4579" s="388" t="s">
        <v>16</v>
      </c>
      <c r="F4579" s="388">
        <f>VLOOKUP(D4555,'Detail Balok'!$C$10:$BJ$140,48,FALSE)</f>
        <v>0</v>
      </c>
      <c r="G4579" s="405" t="s">
        <v>157</v>
      </c>
      <c r="H4579" s="395">
        <f>VLOOKUP(D4555,'Detail Balok'!$C$10:$BJ$140,50,FALSE)</f>
        <v>100</v>
      </c>
      <c r="I4579" s="388"/>
      <c r="J4579" s="399">
        <f t="shared" ref="J4579" si="14790">(D4556-2*F$5)/1000</f>
        <v>0.12</v>
      </c>
      <c r="K4579" s="400" t="s">
        <v>204</v>
      </c>
      <c r="L4579" s="399">
        <f t="shared" ref="L4579:L4581" si="14791">IF(D4579=0,2*MAX(6*F4579,75),(D4579-1)*2*MAX(6*F4579,75))/1000</f>
        <v>0.15</v>
      </c>
      <c r="M4579" s="399" t="s">
        <v>176</v>
      </c>
      <c r="N4579" s="399">
        <f t="shared" ref="N4579:N4581" si="14792">J4579+L4579</f>
        <v>0.27</v>
      </c>
      <c r="O4579" s="399"/>
      <c r="P4579" s="399"/>
      <c r="Q4579" s="399"/>
      <c r="R4579" s="399"/>
      <c r="S4579" s="399"/>
      <c r="T4579" s="399" t="s">
        <v>125</v>
      </c>
      <c r="U4579" s="401">
        <f t="shared" ref="U4579:U4581" si="14793">0.006165*F4579^2</f>
        <v>0</v>
      </c>
      <c r="V4579" s="399" t="s">
        <v>125</v>
      </c>
      <c r="W4579" s="399">
        <f t="shared" si="14698"/>
        <v>10</v>
      </c>
      <c r="X4579" s="399" t="s">
        <v>125</v>
      </c>
      <c r="Y4579" s="389">
        <f t="shared" ref="Y4579" si="14794">D4565</f>
        <v>3</v>
      </c>
      <c r="Z4579" s="400" t="s">
        <v>176</v>
      </c>
      <c r="AA4579" s="402">
        <f t="shared" ref="AA4579:AA4581" si="14795">N4579*U4579*W4579*Y4579</f>
        <v>0</v>
      </c>
      <c r="AB4579" s="403"/>
    </row>
    <row r="4580" spans="1:28">
      <c r="A4580" s="384" t="str">
        <f t="shared" ref="A4580:B4580" si="14796">A4555</f>
        <v>Lantai 3</v>
      </c>
      <c r="B4580" s="385">
        <f t="shared" si="14796"/>
        <v>10</v>
      </c>
      <c r="C4580" s="393" t="s">
        <v>214</v>
      </c>
      <c r="D4580" s="398">
        <f>VLOOKUP(D4555,'Detail Balok'!$C$10:$BJ$140,51,FALSE)</f>
        <v>0</v>
      </c>
      <c r="E4580" s="388" t="s">
        <v>16</v>
      </c>
      <c r="F4580" s="388">
        <f>VLOOKUP(D4555,'Detail Balok'!$C$10:$BJ$140,53,FALSE)</f>
        <v>0</v>
      </c>
      <c r="G4580" s="405" t="s">
        <v>157</v>
      </c>
      <c r="H4580" s="395">
        <f>VLOOKUP(D4555,'Detail Balok'!$C$10:$BJ$140,55,FALSE)</f>
        <v>100</v>
      </c>
      <c r="I4580" s="388"/>
      <c r="J4580" s="399">
        <f t="shared" ref="J4580" si="14797">(D4556-2*F$5)/1000</f>
        <v>0.12</v>
      </c>
      <c r="K4580" s="400" t="s">
        <v>204</v>
      </c>
      <c r="L4580" s="399">
        <f t="shared" si="14791"/>
        <v>0.15</v>
      </c>
      <c r="M4580" s="399" t="s">
        <v>176</v>
      </c>
      <c r="N4580" s="399">
        <f t="shared" si="14792"/>
        <v>0.27</v>
      </c>
      <c r="O4580" s="399"/>
      <c r="P4580" s="399"/>
      <c r="Q4580" s="399"/>
      <c r="R4580" s="399"/>
      <c r="S4580" s="399"/>
      <c r="T4580" s="399" t="s">
        <v>125</v>
      </c>
      <c r="U4580" s="401">
        <f t="shared" si="14793"/>
        <v>0</v>
      </c>
      <c r="V4580" s="399" t="s">
        <v>125</v>
      </c>
      <c r="W4580" s="399">
        <f t="shared" si="14698"/>
        <v>9</v>
      </c>
      <c r="X4580" s="399" t="s">
        <v>125</v>
      </c>
      <c r="Y4580" s="389">
        <f t="shared" ref="Y4580" si="14798">D4565</f>
        <v>3</v>
      </c>
      <c r="Z4580" s="400" t="s">
        <v>176</v>
      </c>
      <c r="AA4580" s="402">
        <f t="shared" si="14795"/>
        <v>0</v>
      </c>
      <c r="AB4580" s="403"/>
    </row>
    <row r="4581" spans="1:28">
      <c r="A4581" s="384" t="str">
        <f t="shared" ref="A4581:B4581" si="14799">A4555</f>
        <v>Lantai 3</v>
      </c>
      <c r="B4581" s="385">
        <f t="shared" si="14799"/>
        <v>10</v>
      </c>
      <c r="C4581" s="393" t="s">
        <v>213</v>
      </c>
      <c r="D4581" s="398">
        <f>VLOOKUP(D4555,'Detail Balok'!$C$10:$BJ$140,56,FALSE)</f>
        <v>0</v>
      </c>
      <c r="E4581" s="388" t="s">
        <v>16</v>
      </c>
      <c r="F4581" s="388">
        <f>VLOOKUP(D4555,'Detail Balok'!$C$10:$BJ$140,58,FALSE)</f>
        <v>0</v>
      </c>
      <c r="G4581" s="405" t="s">
        <v>157</v>
      </c>
      <c r="H4581" s="395">
        <f>VLOOKUP(D4555,'Detail Balok'!$C$10:$BJ$140,60,FALSE)</f>
        <v>100</v>
      </c>
      <c r="I4581" s="388"/>
      <c r="J4581" s="399">
        <f t="shared" ref="J4581" si="14800">(D4556-2*F$5)/1000</f>
        <v>0.12</v>
      </c>
      <c r="K4581" s="400" t="s">
        <v>204</v>
      </c>
      <c r="L4581" s="399">
        <f t="shared" si="14791"/>
        <v>0.15</v>
      </c>
      <c r="M4581" s="399" t="s">
        <v>176</v>
      </c>
      <c r="N4581" s="399">
        <f t="shared" si="14792"/>
        <v>0.27</v>
      </c>
      <c r="O4581" s="399"/>
      <c r="P4581" s="399"/>
      <c r="Q4581" s="399"/>
      <c r="R4581" s="399"/>
      <c r="S4581" s="399"/>
      <c r="T4581" s="399" t="s">
        <v>125</v>
      </c>
      <c r="U4581" s="401">
        <f t="shared" si="14793"/>
        <v>0</v>
      </c>
      <c r="V4581" s="399" t="s">
        <v>125</v>
      </c>
      <c r="W4581" s="399">
        <f t="shared" si="14698"/>
        <v>10</v>
      </c>
      <c r="X4581" s="399" t="s">
        <v>125</v>
      </c>
      <c r="Y4581" s="389">
        <f t="shared" ref="Y4581" si="14801">D4565</f>
        <v>3</v>
      </c>
      <c r="Z4581" s="400" t="s">
        <v>176</v>
      </c>
      <c r="AA4581" s="402">
        <f t="shared" si="14795"/>
        <v>0</v>
      </c>
      <c r="AB4581" s="403"/>
    </row>
    <row r="4582" spans="1:28">
      <c r="A4582" s="391"/>
      <c r="B4582" s="392"/>
      <c r="C4582" s="392"/>
      <c r="D4582" s="394"/>
      <c r="E4582" s="388"/>
      <c r="F4582" s="388"/>
      <c r="G4582" s="388"/>
      <c r="H4582" s="395"/>
      <c r="I4582" s="388"/>
      <c r="J4582" s="402"/>
      <c r="K4582" s="388"/>
      <c r="L4582" s="388"/>
      <c r="M4582" s="388"/>
      <c r="N4582" s="388"/>
      <c r="O4582" s="388"/>
      <c r="P4582" s="388"/>
      <c r="Q4582" s="388"/>
      <c r="R4582" s="388"/>
      <c r="S4582" s="388"/>
      <c r="T4582" s="388"/>
      <c r="U4582" s="388"/>
      <c r="V4582" s="388"/>
      <c r="W4582" s="388"/>
      <c r="X4582" s="388"/>
      <c r="Y4582" s="389"/>
      <c r="Z4582" s="388"/>
      <c r="AA4582" s="402"/>
      <c r="AB4582" s="403"/>
    </row>
    <row r="4583" spans="1:28" ht="15.75" thickBot="1">
      <c r="A4583" s="406"/>
      <c r="B4583" s="407"/>
      <c r="C4583" s="407"/>
      <c r="D4583" s="408"/>
      <c r="E4583" s="409"/>
      <c r="F4583" s="409"/>
      <c r="G4583" s="409"/>
      <c r="H4583" s="410"/>
      <c r="I4583" s="409"/>
      <c r="J4583" s="409"/>
      <c r="K4583" s="409"/>
      <c r="L4583" s="409"/>
      <c r="M4583" s="409"/>
      <c r="N4583" s="409"/>
      <c r="O4583" s="409"/>
      <c r="P4583" s="409"/>
      <c r="Q4583" s="409"/>
      <c r="R4583" s="409"/>
      <c r="S4583" s="409"/>
      <c r="T4583" s="409"/>
      <c r="U4583" s="409"/>
      <c r="V4583" s="409"/>
      <c r="W4583" s="409"/>
      <c r="X4583" s="409"/>
      <c r="Y4583" s="411"/>
      <c r="Z4583" s="409"/>
      <c r="AA4583" s="412"/>
      <c r="AB4583" s="413"/>
    </row>
    <row r="4584" spans="1:28">
      <c r="A4584" s="377"/>
      <c r="B4584" s="378"/>
      <c r="C4584" s="378"/>
      <c r="D4584" s="379"/>
      <c r="E4584" s="380"/>
      <c r="F4584" s="380"/>
      <c r="G4584" s="380"/>
      <c r="H4584" s="381"/>
      <c r="I4584" s="380"/>
      <c r="J4584" s="380"/>
      <c r="K4584" s="380"/>
      <c r="L4584" s="380"/>
      <c r="M4584" s="380"/>
      <c r="N4584" s="380"/>
      <c r="O4584" s="380"/>
      <c r="P4584" s="380"/>
      <c r="Q4584" s="380"/>
      <c r="R4584" s="380"/>
      <c r="S4584" s="380"/>
      <c r="T4584" s="380"/>
      <c r="U4584" s="380"/>
      <c r="V4584" s="380"/>
      <c r="W4584" s="380"/>
      <c r="X4584" s="380"/>
      <c r="Y4584" s="382"/>
      <c r="Z4584" s="380"/>
      <c r="AA4584" s="380"/>
      <c r="AB4584" s="383"/>
    </row>
    <row r="4585" spans="1:28">
      <c r="A4585" s="384" t="str">
        <f t="shared" si="14707"/>
        <v>Lantai 3</v>
      </c>
      <c r="B4585" s="385">
        <f t="shared" si="14708"/>
        <v>11</v>
      </c>
      <c r="C4585" s="386" t="str">
        <f t="shared" ref="C4585" si="14802">CONCATENATE(A4585," no. ",B4585)</f>
        <v>Lantai 3 no. 11</v>
      </c>
      <c r="D4585" s="2562" t="str">
        <f>VLOOKUP(C4585,'Data Panjang Balok'!$C$9:$N$254,2,FALSE)</f>
        <v>B25-1</v>
      </c>
      <c r="E4585" s="2576"/>
      <c r="F4585" s="2576"/>
      <c r="G4585" s="2576"/>
      <c r="H4585" s="2577"/>
      <c r="I4585" s="387"/>
      <c r="J4585" s="388"/>
      <c r="K4585" s="388"/>
      <c r="L4585" s="388"/>
      <c r="M4585" s="388"/>
      <c r="N4585" s="388"/>
      <c r="O4585" s="388"/>
      <c r="P4585" s="388"/>
      <c r="Q4585" s="388"/>
      <c r="R4585" s="388"/>
      <c r="S4585" s="388"/>
      <c r="T4585" s="388"/>
      <c r="U4585" s="388"/>
      <c r="V4585" s="388"/>
      <c r="W4585" s="388"/>
      <c r="X4585" s="388"/>
      <c r="Y4585" s="389"/>
      <c r="Z4585" s="388"/>
      <c r="AA4585" s="388"/>
      <c r="AB4585" s="390"/>
    </row>
    <row r="4586" spans="1:28">
      <c r="A4586" s="391"/>
      <c r="B4586" s="392"/>
      <c r="C4586" s="393" t="s">
        <v>118</v>
      </c>
      <c r="D4586" s="2578">
        <f>VLOOKUP(D4585,'Detail Balok'!$C$10:$AU$140,2,FALSE)</f>
        <v>200</v>
      </c>
      <c r="E4586" s="2579"/>
      <c r="F4586" s="388" t="s">
        <v>125</v>
      </c>
      <c r="G4586" s="2579">
        <f>VLOOKUP(D4585,'Detail Balok'!$C$10:$AU$140,3,FALSE)</f>
        <v>500</v>
      </c>
      <c r="H4586" s="2580"/>
      <c r="I4586" s="388"/>
      <c r="J4586" s="396"/>
      <c r="K4586" s="396"/>
      <c r="L4586" s="396"/>
      <c r="M4586" s="396"/>
      <c r="N4586" s="396"/>
      <c r="O4586" s="396"/>
      <c r="P4586" s="396"/>
      <c r="Q4586" s="396"/>
      <c r="R4586" s="396"/>
      <c r="S4586" s="396"/>
      <c r="T4586" s="396"/>
      <c r="U4586" s="388"/>
      <c r="V4586" s="396"/>
      <c r="W4586" s="388"/>
      <c r="X4586" s="396"/>
      <c r="Y4586" s="389"/>
      <c r="Z4586" s="396"/>
      <c r="AA4586" s="388"/>
      <c r="AB4586" s="390"/>
    </row>
    <row r="4587" spans="1:28">
      <c r="A4587" s="391"/>
      <c r="B4587" s="392"/>
      <c r="C4587" s="393" t="s">
        <v>198</v>
      </c>
      <c r="D4587" s="2562">
        <f>VLOOKUP(C4585,'Data Panjang Balok'!$C$9:$N$254,4,FALSE)</f>
        <v>9075</v>
      </c>
      <c r="E4587" s="2563"/>
      <c r="F4587" s="2563"/>
      <c r="G4587" s="2563"/>
      <c r="H4587" s="2564"/>
      <c r="I4587" s="397"/>
      <c r="J4587" s="396"/>
      <c r="K4587" s="396"/>
      <c r="L4587" s="396"/>
      <c r="M4587" s="396"/>
      <c r="N4587" s="396"/>
      <c r="O4587" s="396"/>
      <c r="P4587" s="396"/>
      <c r="Q4587" s="396"/>
      <c r="R4587" s="396"/>
      <c r="S4587" s="396"/>
      <c r="T4587" s="396"/>
      <c r="U4587" s="388"/>
      <c r="V4587" s="396"/>
      <c r="W4587" s="388"/>
      <c r="X4587" s="396"/>
      <c r="Y4587" s="389"/>
      <c r="Z4587" s="396"/>
      <c r="AA4587" s="388"/>
      <c r="AB4587" s="390"/>
    </row>
    <row r="4588" spans="1:28">
      <c r="A4588" s="391"/>
      <c r="B4588" s="392"/>
      <c r="C4588" s="393" t="s">
        <v>199</v>
      </c>
      <c r="D4588" s="2562">
        <f>VLOOKUP(C4585,'Data Panjang Balok'!$C$9:$N$254,7,FALSE)</f>
        <v>9075</v>
      </c>
      <c r="E4588" s="2563"/>
      <c r="F4588" s="2563"/>
      <c r="G4588" s="2563"/>
      <c r="H4588" s="2564"/>
      <c r="I4588" s="397"/>
      <c r="J4588" s="396"/>
      <c r="K4588" s="396"/>
      <c r="L4588" s="396"/>
      <c r="M4588" s="396"/>
      <c r="N4588" s="396"/>
      <c r="O4588" s="396"/>
      <c r="P4588" s="396"/>
      <c r="Q4588" s="396"/>
      <c r="R4588" s="396"/>
      <c r="S4588" s="396"/>
      <c r="T4588" s="396"/>
      <c r="U4588" s="388"/>
      <c r="V4588" s="396"/>
      <c r="W4588" s="388"/>
      <c r="X4588" s="396"/>
      <c r="Y4588" s="389"/>
      <c r="Z4588" s="396"/>
      <c r="AA4588" s="388"/>
      <c r="AB4588" s="390"/>
    </row>
    <row r="4589" spans="1:28">
      <c r="A4589" s="391"/>
      <c r="B4589" s="392"/>
      <c r="C4589" s="393" t="s">
        <v>200</v>
      </c>
      <c r="D4589" s="2562">
        <f>VLOOKUP(C4585,'Data Panjang Balok'!$C$9:$N$254,9,FALSE)</f>
        <v>0</v>
      </c>
      <c r="E4589" s="2563"/>
      <c r="F4589" s="2563"/>
      <c r="G4589" s="2563"/>
      <c r="H4589" s="2564"/>
      <c r="I4589" s="397"/>
      <c r="J4589" s="396"/>
      <c r="K4589" s="396"/>
      <c r="L4589" s="396"/>
      <c r="M4589" s="396"/>
      <c r="N4589" s="396"/>
      <c r="O4589" s="396"/>
      <c r="P4589" s="396"/>
      <c r="Q4589" s="396"/>
      <c r="R4589" s="396"/>
      <c r="S4589" s="396"/>
      <c r="T4589" s="396"/>
      <c r="U4589" s="388"/>
      <c r="V4589" s="396"/>
      <c r="W4589" s="388"/>
      <c r="X4589" s="396"/>
      <c r="Y4589" s="389"/>
      <c r="Z4589" s="396"/>
      <c r="AA4589" s="388"/>
      <c r="AB4589" s="390"/>
    </row>
    <row r="4590" spans="1:28">
      <c r="A4590" s="391"/>
      <c r="B4590" s="392"/>
      <c r="C4590" s="393" t="s">
        <v>201</v>
      </c>
      <c r="D4590" s="2562">
        <f>VLOOKUP(C4585,'Data Panjang Balok'!$C$9:$N$254,10,FALSE)</f>
        <v>0</v>
      </c>
      <c r="E4590" s="2563"/>
      <c r="F4590" s="2563"/>
      <c r="G4590" s="2563"/>
      <c r="H4590" s="2564"/>
      <c r="I4590" s="397"/>
      <c r="J4590" s="396"/>
      <c r="K4590" s="396"/>
      <c r="L4590" s="396"/>
      <c r="M4590" s="396"/>
      <c r="N4590" s="396"/>
      <c r="O4590" s="396"/>
      <c r="P4590" s="396"/>
      <c r="Q4590" s="396"/>
      <c r="R4590" s="396"/>
      <c r="S4590" s="396"/>
      <c r="T4590" s="396"/>
      <c r="U4590" s="388"/>
      <c r="V4590" s="396"/>
      <c r="W4590" s="388"/>
      <c r="X4590" s="396"/>
      <c r="Y4590" s="389"/>
      <c r="Z4590" s="396"/>
      <c r="AA4590" s="388"/>
      <c r="AB4590" s="390"/>
    </row>
    <row r="4591" spans="1:28">
      <c r="A4591" s="391"/>
      <c r="B4591" s="392"/>
      <c r="C4591" s="393" t="s">
        <v>48</v>
      </c>
      <c r="D4591" s="2562">
        <f>VLOOKUP(C4585,'Data Panjang Balok'!$C$9:$N$254,3,FALSE)</f>
        <v>1</v>
      </c>
      <c r="E4591" s="2563"/>
      <c r="F4591" s="2563"/>
      <c r="G4591" s="2563"/>
      <c r="H4591" s="2564"/>
      <c r="I4591" s="397"/>
      <c r="J4591" s="396"/>
      <c r="K4591" s="396"/>
      <c r="L4591" s="396"/>
      <c r="M4591" s="396"/>
      <c r="N4591" s="396"/>
      <c r="O4591" s="396"/>
      <c r="P4591" s="396"/>
      <c r="Q4591" s="396"/>
      <c r="R4591" s="396"/>
      <c r="S4591" s="396"/>
      <c r="T4591" s="396"/>
      <c r="U4591" s="388"/>
      <c r="V4591" s="396"/>
      <c r="W4591" s="388"/>
      <c r="X4591" s="396"/>
      <c r="Y4591" s="389"/>
      <c r="Z4591" s="396"/>
      <c r="AA4591" s="388"/>
      <c r="AB4591" s="390"/>
    </row>
    <row r="4592" spans="1:28">
      <c r="A4592" s="384" t="str">
        <f t="shared" ref="A4592:B4592" si="14803">A4585</f>
        <v>Lantai 3</v>
      </c>
      <c r="B4592" s="385">
        <f t="shared" si="14803"/>
        <v>11</v>
      </c>
      <c r="C4592" s="393" t="s">
        <v>202</v>
      </c>
      <c r="D4592" s="398">
        <f>VLOOKUP(D4585,'Detail Balok'!$C$10:$AU$140,4,FALSE)</f>
        <v>4</v>
      </c>
      <c r="E4592" s="388" t="s">
        <v>16</v>
      </c>
      <c r="F4592" s="388">
        <f>VLOOKUP(D4585,'Detail Balok'!$C$10:$AU$140,6,FALSE)</f>
        <v>16</v>
      </c>
      <c r="G4592" s="388"/>
      <c r="H4592" s="395"/>
      <c r="I4592" s="388" t="s">
        <v>203</v>
      </c>
      <c r="J4592" s="399">
        <f t="shared" ref="J4592" si="14804">+D4587/4/1000</f>
        <v>2.2687499999999998</v>
      </c>
      <c r="K4592" s="400" t="s">
        <v>204</v>
      </c>
      <c r="L4592" s="399">
        <f t="shared" ref="L4592" si="14805">MAX(VLOOKUP(F4592,N$6:P$15,3,FALSE)/1000,2/3*D4589/1000)+F$16*F4592/1000</f>
        <v>0.192</v>
      </c>
      <c r="M4592" s="399" t="s">
        <v>176</v>
      </c>
      <c r="N4592" s="399">
        <f t="shared" ref="N4592:N4594" si="14806">J4592+L4592</f>
        <v>2.46075</v>
      </c>
      <c r="O4592" s="399" t="s">
        <v>204</v>
      </c>
      <c r="P4592" s="389">
        <f t="shared" ref="P4592" si="14807">D4592-D4593</f>
        <v>0</v>
      </c>
      <c r="Q4592" s="399" t="s">
        <v>125</v>
      </c>
      <c r="R4592" s="399">
        <f t="shared" ref="R4592" si="14808">IF(P4592&gt;0,$F$18*F4592/1000,0)</f>
        <v>0</v>
      </c>
      <c r="S4592" s="399" t="s">
        <v>205</v>
      </c>
      <c r="T4592" s="399" t="s">
        <v>125</v>
      </c>
      <c r="U4592" s="401">
        <f t="shared" ref="U4592:U4594" si="14809">0.006165*F4592^2</f>
        <v>1.5782400000000001</v>
      </c>
      <c r="V4592" s="399"/>
      <c r="W4592" s="399"/>
      <c r="X4592" s="399" t="s">
        <v>125</v>
      </c>
      <c r="Y4592" s="389">
        <f t="shared" ref="Y4592" si="14810">D4591</f>
        <v>1</v>
      </c>
      <c r="Z4592" s="400" t="s">
        <v>176</v>
      </c>
      <c r="AA4592" s="402">
        <f t="shared" ref="AA4592" si="14811">IF(AA4595=0,(D4592*N4592+P4592*R4592)*U4592*Y4592,0)</f>
        <v>0</v>
      </c>
      <c r="AB4592" s="403"/>
    </row>
    <row r="4593" spans="1:28">
      <c r="A4593" s="384" t="str">
        <f t="shared" ref="A4593:B4593" si="14812">A4585</f>
        <v>Lantai 3</v>
      </c>
      <c r="B4593" s="385">
        <f t="shared" si="14812"/>
        <v>11</v>
      </c>
      <c r="C4593" s="393" t="s">
        <v>206</v>
      </c>
      <c r="D4593" s="398">
        <f>VLOOKUP(D4585,'Detail Balok'!$C$10:$AU$140,7,FALSE)</f>
        <v>4</v>
      </c>
      <c r="E4593" s="388" t="s">
        <v>16</v>
      </c>
      <c r="F4593" s="388">
        <f>VLOOKUP(D4585,'Detail Balok'!$C$10:$AU$140,9,FALSE)</f>
        <v>16</v>
      </c>
      <c r="G4593" s="388"/>
      <c r="H4593" s="395"/>
      <c r="I4593" s="388" t="s">
        <v>203</v>
      </c>
      <c r="J4593" s="399">
        <f t="shared" ref="J4593" si="14813">+D4587/2/1000</f>
        <v>4.5374999999999996</v>
      </c>
      <c r="K4593" s="400" t="s">
        <v>204</v>
      </c>
      <c r="L4593" s="399"/>
      <c r="M4593" s="399" t="s">
        <v>176</v>
      </c>
      <c r="N4593" s="399">
        <f t="shared" si="14806"/>
        <v>4.5374999999999996</v>
      </c>
      <c r="O4593" s="399" t="s">
        <v>204</v>
      </c>
      <c r="P4593" s="389">
        <f t="shared" ref="P4593" si="14814">MAX(D4593-D4592,D4593-D4594)</f>
        <v>0</v>
      </c>
      <c r="Q4593" s="399" t="s">
        <v>125</v>
      </c>
      <c r="R4593" s="399">
        <f t="shared" ref="R4593" si="14815">IF(P4593&gt;0,2*(1-2*$F$19-1/2)*D4588/1000,0)</f>
        <v>0</v>
      </c>
      <c r="S4593" s="399" t="s">
        <v>205</v>
      </c>
      <c r="T4593" s="399" t="s">
        <v>125</v>
      </c>
      <c r="U4593" s="401">
        <f t="shared" si="14809"/>
        <v>1.5782400000000001</v>
      </c>
      <c r="V4593" s="399"/>
      <c r="W4593" s="399"/>
      <c r="X4593" s="399" t="s">
        <v>125</v>
      </c>
      <c r="Y4593" s="389">
        <f t="shared" ref="Y4593" si="14816">D4591</f>
        <v>1</v>
      </c>
      <c r="Z4593" s="400" t="s">
        <v>176</v>
      </c>
      <c r="AA4593" s="402">
        <f t="shared" ref="AA4593" si="14817">IF(AA4595=0,(D4593*N4593+P4593*R4593)*U4593*Y4593,0)</f>
        <v>0</v>
      </c>
      <c r="AB4593" s="403"/>
    </row>
    <row r="4594" spans="1:28">
      <c r="A4594" s="384" t="str">
        <f t="shared" ref="A4594:B4594" si="14818">A4585</f>
        <v>Lantai 3</v>
      </c>
      <c r="B4594" s="385">
        <f t="shared" si="14818"/>
        <v>11</v>
      </c>
      <c r="C4594" s="393" t="s">
        <v>202</v>
      </c>
      <c r="D4594" s="398">
        <f>VLOOKUP(D4585,'Detail Balok'!$C$10:$AU$140,10,FALSE)</f>
        <v>4</v>
      </c>
      <c r="E4594" s="388" t="s">
        <v>16</v>
      </c>
      <c r="F4594" s="388">
        <f>VLOOKUP(D4585,'Detail Balok'!$C$10:$AU$140,12,FALSE)</f>
        <v>16</v>
      </c>
      <c r="G4594" s="388"/>
      <c r="H4594" s="395"/>
      <c r="I4594" s="388" t="s">
        <v>203</v>
      </c>
      <c r="J4594" s="399">
        <f t="shared" ref="J4594" si="14819">+D4587/4/1000</f>
        <v>2.2687499999999998</v>
      </c>
      <c r="K4594" s="400" t="s">
        <v>204</v>
      </c>
      <c r="L4594" s="399">
        <f t="shared" ref="L4594" si="14820">MAX(VLOOKUP(F4594,N$6:P$15,3,FALSE)/1000,2/3*D4589/1000)+F$16*F4594/1000</f>
        <v>0.192</v>
      </c>
      <c r="M4594" s="399" t="s">
        <v>176</v>
      </c>
      <c r="N4594" s="399">
        <f t="shared" si="14806"/>
        <v>2.46075</v>
      </c>
      <c r="O4594" s="399" t="s">
        <v>204</v>
      </c>
      <c r="P4594" s="389">
        <f t="shared" ref="P4594" si="14821">D4594-D4593</f>
        <v>0</v>
      </c>
      <c r="Q4594" s="399" t="s">
        <v>125</v>
      </c>
      <c r="R4594" s="399">
        <f t="shared" ref="R4594" si="14822">IF(P4594&gt;0,$F$18*F4594/1000,0)</f>
        <v>0</v>
      </c>
      <c r="S4594" s="399" t="s">
        <v>205</v>
      </c>
      <c r="T4594" s="399" t="s">
        <v>125</v>
      </c>
      <c r="U4594" s="401">
        <f t="shared" si="14809"/>
        <v>1.5782400000000001</v>
      </c>
      <c r="V4594" s="399"/>
      <c r="W4594" s="399"/>
      <c r="X4594" s="399" t="s">
        <v>125</v>
      </c>
      <c r="Y4594" s="389">
        <f t="shared" ref="Y4594" si="14823">D4591</f>
        <v>1</v>
      </c>
      <c r="Z4594" s="400" t="s">
        <v>176</v>
      </c>
      <c r="AA4594" s="402">
        <f t="shared" ref="AA4594" si="14824">IF(AA4595=0,(D4594*N4594+P4594*R4594)*U4594*Y4594,0)</f>
        <v>0</v>
      </c>
      <c r="AB4594" s="403"/>
    </row>
    <row r="4595" spans="1:28">
      <c r="A4595" s="384" t="str">
        <f t="shared" ref="A4595:B4595" si="14825">A4585</f>
        <v>Lantai 3</v>
      </c>
      <c r="B4595" s="385">
        <f t="shared" si="14825"/>
        <v>11</v>
      </c>
      <c r="C4595" s="393"/>
      <c r="D4595" s="398">
        <f t="shared" si="14628"/>
        <v>4</v>
      </c>
      <c r="E4595" s="388" t="s">
        <v>16</v>
      </c>
      <c r="F4595" s="388">
        <f t="shared" si="14629"/>
        <v>16</v>
      </c>
      <c r="G4595" s="388"/>
      <c r="H4595" s="395"/>
      <c r="I4595" s="388"/>
      <c r="J4595" s="396"/>
      <c r="K4595" s="396"/>
      <c r="L4595" s="404" t="s">
        <v>207</v>
      </c>
      <c r="M4595" s="399" t="s">
        <v>176</v>
      </c>
      <c r="N4595" s="399">
        <f t="shared" ref="N4595" si="14826">IF(AND(D4592=D4593,D4592=D4594,D4593=D4594,F4592=F4593,F4592=F4594,F4593=F4594),SUM(N4592:N4594),0)</f>
        <v>9.4589999999999996</v>
      </c>
      <c r="O4595" s="399" t="s">
        <v>204</v>
      </c>
      <c r="P4595" s="389">
        <f t="shared" ref="P4595" si="14827">IF(N4595&gt;12,ROUNDDOWN(N4595/12,0),0)</f>
        <v>0</v>
      </c>
      <c r="Q4595" s="399" t="s">
        <v>125</v>
      </c>
      <c r="R4595" s="399">
        <f t="shared" ref="R4595" si="14828">IF(P4595&gt;0,MAX(VLOOKUP(F4595,$D$6:$G$15,3,FALSE),600),0)/1000</f>
        <v>0</v>
      </c>
      <c r="S4595" s="396"/>
      <c r="T4595" s="396" t="s">
        <v>125</v>
      </c>
      <c r="U4595" s="401">
        <f t="shared" si="14633"/>
        <v>1.5782400000000001</v>
      </c>
      <c r="V4595" s="396" t="s">
        <v>125</v>
      </c>
      <c r="W4595" s="399">
        <f t="shared" ref="W4595" si="14829">D4595</f>
        <v>4</v>
      </c>
      <c r="X4595" s="399" t="s">
        <v>125</v>
      </c>
      <c r="Y4595" s="389">
        <f t="shared" si="14635"/>
        <v>1</v>
      </c>
      <c r="Z4595" s="400" t="s">
        <v>176</v>
      </c>
      <c r="AA4595" s="402">
        <f t="shared" ref="AA4595" si="14830">(N4595+P4595*R4595/1000)*U4595*W4595*Y4595</f>
        <v>59.714288639999999</v>
      </c>
      <c r="AB4595" s="390"/>
    </row>
    <row r="4596" spans="1:28">
      <c r="A4596" s="384"/>
      <c r="B4596" s="385"/>
      <c r="C4596" s="393"/>
      <c r="D4596" s="398"/>
      <c r="E4596" s="388"/>
      <c r="F4596" s="388"/>
      <c r="G4596" s="388"/>
      <c r="H4596" s="395"/>
      <c r="I4596" s="388"/>
      <c r="J4596" s="396"/>
      <c r="K4596" s="396"/>
      <c r="L4596" s="404"/>
      <c r="M4596" s="399"/>
      <c r="N4596" s="399"/>
      <c r="O4596" s="396"/>
      <c r="P4596" s="389"/>
      <c r="Q4596" s="396"/>
      <c r="R4596" s="396"/>
      <c r="S4596" s="396"/>
      <c r="T4596" s="396"/>
      <c r="U4596" s="401"/>
      <c r="V4596" s="396"/>
      <c r="W4596" s="399"/>
      <c r="X4596" s="396"/>
      <c r="Y4596" s="389"/>
      <c r="Z4596" s="396"/>
      <c r="AA4596" s="388"/>
      <c r="AB4596" s="390"/>
    </row>
    <row r="4597" spans="1:28">
      <c r="A4597" s="384" t="str">
        <f t="shared" ref="A4597:B4597" si="14831">A4585</f>
        <v>Lantai 3</v>
      </c>
      <c r="B4597" s="385">
        <f t="shared" si="14831"/>
        <v>11</v>
      </c>
      <c r="C4597" s="393" t="s">
        <v>208</v>
      </c>
      <c r="D4597" s="398">
        <f>VLOOKUP(D4585,'Detail Balok'!$C$10:$AU$140,13,FALSE)</f>
        <v>2</v>
      </c>
      <c r="E4597" s="388" t="s">
        <v>16</v>
      </c>
      <c r="F4597" s="388">
        <f>VLOOKUP(D4585,'Detail Balok'!$C$10:$AU$140,15,FALSE)</f>
        <v>10</v>
      </c>
      <c r="G4597" s="388"/>
      <c r="H4597" s="395"/>
      <c r="I4597" s="388"/>
      <c r="J4597" s="399">
        <f t="shared" ref="J4597" si="14832">+D4587/1000</f>
        <v>9.0749999999999993</v>
      </c>
      <c r="K4597" s="400" t="s">
        <v>204</v>
      </c>
      <c r="L4597" s="399">
        <f t="shared" ref="L4597" si="14833">2*$F$16*F4597/1000</f>
        <v>0.24</v>
      </c>
      <c r="M4597" s="399" t="s">
        <v>176</v>
      </c>
      <c r="N4597" s="399">
        <f t="shared" ref="N4597" si="14834">J4597+L4597</f>
        <v>9.3149999999999995</v>
      </c>
      <c r="O4597" s="399" t="s">
        <v>204</v>
      </c>
      <c r="P4597" s="389">
        <f t="shared" ref="P4597" si="14835">IF(N4597&gt;12,ROUNDDOWN(N4597/12,0),0)</f>
        <v>0</v>
      </c>
      <c r="Q4597" s="399" t="s">
        <v>125</v>
      </c>
      <c r="R4597" s="399">
        <f t="shared" ref="R4597" si="14836">IF(P4597&gt;0,MAX(VLOOKUP(F4597,$D$6:$G$15,3,FALSE),600),0)/1000</f>
        <v>0</v>
      </c>
      <c r="S4597" s="399"/>
      <c r="T4597" s="399" t="s">
        <v>125</v>
      </c>
      <c r="U4597" s="401">
        <f t="shared" ref="U4597" si="14837">0.006165*F4597^2</f>
        <v>0.61650000000000005</v>
      </c>
      <c r="V4597" s="399" t="s">
        <v>125</v>
      </c>
      <c r="W4597" s="399">
        <f t="shared" ref="W4597" si="14838">+D4597</f>
        <v>2</v>
      </c>
      <c r="X4597" s="399" t="s">
        <v>125</v>
      </c>
      <c r="Y4597" s="389">
        <f t="shared" ref="Y4597" si="14839">D4591</f>
        <v>1</v>
      </c>
      <c r="Z4597" s="400" t="s">
        <v>176</v>
      </c>
      <c r="AA4597" s="402">
        <f t="shared" ref="AA4597" si="14840">(N4597+P4597*R4597/1000)*U4597*W4597*Y4597</f>
        <v>11.485395</v>
      </c>
      <c r="AB4597" s="403"/>
    </row>
    <row r="4598" spans="1:28">
      <c r="A4598" s="384"/>
      <c r="B4598" s="385"/>
      <c r="C4598" s="393"/>
      <c r="D4598" s="398"/>
      <c r="E4598" s="388"/>
      <c r="F4598" s="388"/>
      <c r="G4598" s="388"/>
      <c r="H4598" s="395"/>
      <c r="I4598" s="388"/>
      <c r="J4598" s="399"/>
      <c r="K4598" s="400"/>
      <c r="L4598" s="399"/>
      <c r="M4598" s="399"/>
      <c r="N4598" s="399"/>
      <c r="O4598" s="399"/>
      <c r="P4598" s="389"/>
      <c r="Q4598" s="399"/>
      <c r="R4598" s="399"/>
      <c r="S4598" s="399"/>
      <c r="T4598" s="399"/>
      <c r="U4598" s="401"/>
      <c r="V4598" s="399"/>
      <c r="W4598" s="399"/>
      <c r="X4598" s="399"/>
      <c r="Y4598" s="389"/>
      <c r="Z4598" s="400"/>
      <c r="AA4598" s="402"/>
      <c r="AB4598" s="403"/>
    </row>
    <row r="4599" spans="1:28">
      <c r="A4599" s="384"/>
      <c r="B4599" s="385"/>
      <c r="C4599" s="393"/>
      <c r="D4599" s="398"/>
      <c r="E4599" s="388"/>
      <c r="F4599" s="388"/>
      <c r="G4599" s="388"/>
      <c r="H4599" s="395"/>
      <c r="I4599" s="388"/>
      <c r="J4599" s="396"/>
      <c r="K4599" s="396"/>
      <c r="L4599" s="396"/>
      <c r="M4599" s="396"/>
      <c r="N4599" s="396"/>
      <c r="O4599" s="396"/>
      <c r="P4599" s="389"/>
      <c r="Q4599" s="396"/>
      <c r="R4599" s="396"/>
      <c r="S4599" s="396"/>
      <c r="T4599" s="396"/>
      <c r="U4599" s="401"/>
      <c r="V4599" s="396"/>
      <c r="W4599" s="399"/>
      <c r="X4599" s="396"/>
      <c r="Y4599" s="389"/>
      <c r="Z4599" s="396"/>
      <c r="AA4599" s="388"/>
      <c r="AB4599" s="390"/>
    </row>
    <row r="4600" spans="1:28">
      <c r="A4600" s="384" t="str">
        <f t="shared" ref="A4600:B4600" si="14841">A4585</f>
        <v>Lantai 3</v>
      </c>
      <c r="B4600" s="385">
        <f t="shared" si="14841"/>
        <v>11</v>
      </c>
      <c r="C4600" s="393" t="s">
        <v>209</v>
      </c>
      <c r="D4600" s="398">
        <f>VLOOKUP(D4585,'Detail Balok'!$C$10:$AU$140,22,FALSE)</f>
        <v>4</v>
      </c>
      <c r="E4600" s="388" t="s">
        <v>16</v>
      </c>
      <c r="F4600" s="388">
        <f>VLOOKUP(D4585,'Detail Balok'!$C$10:$AU$140,24,FALSE)</f>
        <v>16</v>
      </c>
      <c r="G4600" s="388"/>
      <c r="H4600" s="395"/>
      <c r="I4600" s="388" t="s">
        <v>203</v>
      </c>
      <c r="J4600" s="399">
        <f t="shared" si="14648"/>
        <v>2.2687499999999998</v>
      </c>
      <c r="K4600" s="400" t="s">
        <v>204</v>
      </c>
      <c r="L4600" s="399">
        <f t="shared" ref="L4600" si="14842">MAX(VLOOKUP(F4600,N$6:P$15,3,FALSE)/1000,2/3*D4590/1000)+F$16*F4600/1000</f>
        <v>0.192</v>
      </c>
      <c r="M4600" s="399" t="s">
        <v>176</v>
      </c>
      <c r="N4600" s="399">
        <f t="shared" ref="N4600:N4602" si="14843">J4600+L4600</f>
        <v>2.46075</v>
      </c>
      <c r="O4600" s="399" t="s">
        <v>204</v>
      </c>
      <c r="P4600" s="389">
        <f t="shared" ref="P4600" si="14844">D4600-D4601</f>
        <v>0</v>
      </c>
      <c r="Q4600" s="399" t="s">
        <v>125</v>
      </c>
      <c r="R4600" s="399">
        <f t="shared" ref="R4600" si="14845">IF(P4600&gt;0,$F$18*F4600/1000,0)</f>
        <v>0</v>
      </c>
      <c r="S4600" s="399" t="s">
        <v>205</v>
      </c>
      <c r="T4600" s="399" t="s">
        <v>125</v>
      </c>
      <c r="U4600" s="401">
        <f t="shared" ref="U4600:U4602" si="14846">0.006165*F4600^2</f>
        <v>1.5782400000000001</v>
      </c>
      <c r="V4600" s="399"/>
      <c r="W4600" s="399"/>
      <c r="X4600" s="399" t="s">
        <v>125</v>
      </c>
      <c r="Y4600" s="389">
        <f t="shared" ref="Y4600" si="14847">D4591</f>
        <v>1</v>
      </c>
      <c r="Z4600" s="400" t="s">
        <v>176</v>
      </c>
      <c r="AA4600" s="402">
        <f t="shared" ref="AA4600" si="14848">IF(AA4603=0,(D4600*N4600+P4600*R4600)*U4600*Y4600,0)</f>
        <v>0</v>
      </c>
      <c r="AB4600" s="403"/>
    </row>
    <row r="4601" spans="1:28">
      <c r="A4601" s="384" t="str">
        <f t="shared" ref="A4601:B4601" si="14849">A4585</f>
        <v>Lantai 3</v>
      </c>
      <c r="B4601" s="385">
        <f t="shared" si="14849"/>
        <v>11</v>
      </c>
      <c r="C4601" s="393" t="s">
        <v>210</v>
      </c>
      <c r="D4601" s="398">
        <f>VLOOKUP(D4585,'Detail Balok'!$C$10:$AU$140,25,FALSE)</f>
        <v>4</v>
      </c>
      <c r="E4601" s="388" t="s">
        <v>16</v>
      </c>
      <c r="F4601" s="388">
        <f>VLOOKUP(D4585,'Detail Balok'!$C$10:$AU$140,27,FALSE)</f>
        <v>16</v>
      </c>
      <c r="G4601" s="388"/>
      <c r="H4601" s="395"/>
      <c r="I4601" s="388" t="s">
        <v>203</v>
      </c>
      <c r="J4601" s="399">
        <f t="shared" si="14648"/>
        <v>4.5374999999999996</v>
      </c>
      <c r="K4601" s="400" t="s">
        <v>204</v>
      </c>
      <c r="L4601" s="399"/>
      <c r="M4601" s="399" t="s">
        <v>176</v>
      </c>
      <c r="N4601" s="399">
        <f t="shared" si="14843"/>
        <v>4.5374999999999996</v>
      </c>
      <c r="O4601" s="399" t="s">
        <v>204</v>
      </c>
      <c r="P4601" s="389">
        <f t="shared" ref="P4601" si="14850">MAX(D4601-D4600,D4601-D4602)</f>
        <v>0</v>
      </c>
      <c r="Q4601" s="399" t="s">
        <v>125</v>
      </c>
      <c r="R4601" s="399">
        <f t="shared" ref="R4601" si="14851">IF(P4601&gt;0,2*(1-2*$F$19-1/2)*D4588/1000,0)</f>
        <v>0</v>
      </c>
      <c r="S4601" s="399" t="s">
        <v>205</v>
      </c>
      <c r="T4601" s="399" t="s">
        <v>125</v>
      </c>
      <c r="U4601" s="401">
        <f t="shared" si="14846"/>
        <v>1.5782400000000001</v>
      </c>
      <c r="V4601" s="399"/>
      <c r="W4601" s="399"/>
      <c r="X4601" s="399" t="s">
        <v>125</v>
      </c>
      <c r="Y4601" s="389">
        <f t="shared" ref="Y4601" si="14852">D4591</f>
        <v>1</v>
      </c>
      <c r="Z4601" s="400" t="s">
        <v>176</v>
      </c>
      <c r="AA4601" s="402">
        <f t="shared" ref="AA4601" si="14853">IF(AA4603=0,(D4601*N4601+P4601*R4601)*U4601*Y4601,0)</f>
        <v>0</v>
      </c>
      <c r="AB4601" s="403"/>
    </row>
    <row r="4602" spans="1:28">
      <c r="A4602" s="384" t="str">
        <f t="shared" ref="A4602:B4602" si="14854">A4585</f>
        <v>Lantai 3</v>
      </c>
      <c r="B4602" s="385">
        <f t="shared" si="14854"/>
        <v>11</v>
      </c>
      <c r="C4602" s="393" t="s">
        <v>209</v>
      </c>
      <c r="D4602" s="398">
        <f>VLOOKUP(D4585,'Detail Balok'!$C$10:$AU$140,28,FALSE)</f>
        <v>4</v>
      </c>
      <c r="E4602" s="388" t="s">
        <v>16</v>
      </c>
      <c r="F4602" s="388">
        <f>VLOOKUP(D4585,'Detail Balok'!$C$10:$AU$140,30,FALSE)</f>
        <v>16</v>
      </c>
      <c r="G4602" s="388"/>
      <c r="H4602" s="395"/>
      <c r="I4602" s="388" t="s">
        <v>203</v>
      </c>
      <c r="J4602" s="399">
        <f t="shared" si="14648"/>
        <v>2.2687499999999998</v>
      </c>
      <c r="K4602" s="400" t="s">
        <v>204</v>
      </c>
      <c r="L4602" s="399">
        <f t="shared" ref="L4602" si="14855">MAX(VLOOKUP(F4602,N$6:P$15,3,FALSE)/1000,2/3*D4590/1000)+F$16*F4602/1000</f>
        <v>0.192</v>
      </c>
      <c r="M4602" s="399" t="s">
        <v>176</v>
      </c>
      <c r="N4602" s="399">
        <f t="shared" si="14843"/>
        <v>2.46075</v>
      </c>
      <c r="O4602" s="399" t="s">
        <v>204</v>
      </c>
      <c r="P4602" s="389">
        <f t="shared" ref="P4602" si="14856">D4602-D4601</f>
        <v>0</v>
      </c>
      <c r="Q4602" s="399" t="s">
        <v>125</v>
      </c>
      <c r="R4602" s="399">
        <f t="shared" ref="R4602" si="14857">IF(P4602&gt;0,$F$18*F4602/1000,0)</f>
        <v>0</v>
      </c>
      <c r="S4602" s="399" t="s">
        <v>205</v>
      </c>
      <c r="T4602" s="399" t="s">
        <v>125</v>
      </c>
      <c r="U4602" s="401">
        <f t="shared" si="14846"/>
        <v>1.5782400000000001</v>
      </c>
      <c r="V4602" s="399"/>
      <c r="W4602" s="399"/>
      <c r="X4602" s="399" t="s">
        <v>125</v>
      </c>
      <c r="Y4602" s="389">
        <f t="shared" ref="Y4602" si="14858">D4591</f>
        <v>1</v>
      </c>
      <c r="Z4602" s="400" t="s">
        <v>176</v>
      </c>
      <c r="AA4602" s="402">
        <f t="shared" ref="AA4602" si="14859">IF(AA4603=0,(D4602*N4602+P4602*R4602)*U4602*Y4602,0)</f>
        <v>0</v>
      </c>
      <c r="AB4602" s="403"/>
    </row>
    <row r="4603" spans="1:28">
      <c r="A4603" s="384" t="str">
        <f t="shared" ref="A4603:B4603" si="14860">A4585</f>
        <v>Lantai 3</v>
      </c>
      <c r="B4603" s="385">
        <f t="shared" si="14860"/>
        <v>11</v>
      </c>
      <c r="C4603" s="393"/>
      <c r="D4603" s="398">
        <f t="shared" si="14668"/>
        <v>4</v>
      </c>
      <c r="E4603" s="388" t="s">
        <v>16</v>
      </c>
      <c r="F4603" s="388">
        <f t="shared" si="14669"/>
        <v>16</v>
      </c>
      <c r="G4603" s="388"/>
      <c r="H4603" s="395"/>
      <c r="I4603" s="388"/>
      <c r="J4603" s="396"/>
      <c r="K4603" s="396"/>
      <c r="L4603" s="404" t="s">
        <v>207</v>
      </c>
      <c r="M4603" s="399" t="s">
        <v>176</v>
      </c>
      <c r="N4603" s="399">
        <f t="shared" ref="N4603" si="14861">IF(AND(D4600=D4601,D4600=D4602,D4601=D4602,F4600=F4601,F4600=F4602,F4601=F4602),SUM(N4600:N4602),0)</f>
        <v>9.4589999999999996</v>
      </c>
      <c r="O4603" s="399" t="s">
        <v>204</v>
      </c>
      <c r="P4603" s="389">
        <f t="shared" ref="P4603" si="14862">IF(N4603&gt;12,ROUNDDOWN(N4603/12,0),0)</f>
        <v>0</v>
      </c>
      <c r="Q4603" s="399" t="s">
        <v>125</v>
      </c>
      <c r="R4603" s="399">
        <f t="shared" ref="R4603" si="14863">IF(P4603&gt;0,MAX(VLOOKUP(F4603,$D$6:$G$15,3,FALSE),600),0)/1000</f>
        <v>0</v>
      </c>
      <c r="S4603" s="396"/>
      <c r="T4603" s="396" t="s">
        <v>125</v>
      </c>
      <c r="U4603" s="401">
        <f t="shared" si="14673"/>
        <v>1.5782400000000001</v>
      </c>
      <c r="V4603" s="396" t="s">
        <v>125</v>
      </c>
      <c r="W4603" s="399">
        <f t="shared" ref="W4603" si="14864">D4603</f>
        <v>4</v>
      </c>
      <c r="X4603" s="399" t="s">
        <v>125</v>
      </c>
      <c r="Y4603" s="389">
        <f t="shared" si="14675"/>
        <v>1</v>
      </c>
      <c r="Z4603" s="400" t="s">
        <v>176</v>
      </c>
      <c r="AA4603" s="402">
        <f t="shared" ref="AA4603" si="14865">(N4603+P4603*R4603/1000)*U4603*W4603*Y4603</f>
        <v>59.714288639999999</v>
      </c>
      <c r="AB4603" s="403"/>
    </row>
    <row r="4604" spans="1:28">
      <c r="A4604" s="384"/>
      <c r="B4604" s="385"/>
      <c r="C4604" s="393"/>
      <c r="D4604" s="394"/>
      <c r="E4604" s="388"/>
      <c r="F4604" s="388"/>
      <c r="G4604" s="388"/>
      <c r="H4604" s="395"/>
      <c r="I4604" s="388"/>
      <c r="J4604" s="399"/>
      <c r="K4604" s="396"/>
      <c r="L4604" s="396"/>
      <c r="M4604" s="396"/>
      <c r="N4604" s="396"/>
      <c r="O4604" s="396"/>
      <c r="P4604" s="389"/>
      <c r="Q4604" s="396"/>
      <c r="R4604" s="396"/>
      <c r="S4604" s="396"/>
      <c r="T4604" s="396"/>
      <c r="U4604" s="401"/>
      <c r="V4604" s="396"/>
      <c r="W4604" s="388"/>
      <c r="X4604" s="396"/>
      <c r="Y4604" s="389"/>
      <c r="Z4604" s="396"/>
      <c r="AA4604" s="388"/>
      <c r="AB4604" s="390"/>
    </row>
    <row r="4605" spans="1:28">
      <c r="A4605" s="384" t="str">
        <f t="shared" ref="A4605:B4605" si="14866">A4585</f>
        <v>Lantai 3</v>
      </c>
      <c r="B4605" s="385">
        <f t="shared" si="14866"/>
        <v>11</v>
      </c>
      <c r="C4605" s="393" t="s">
        <v>211</v>
      </c>
      <c r="D4605" s="398">
        <f>VLOOKUP(D4585,'Detail Balok'!$C$10:$AU$140,31,FALSE)</f>
        <v>0</v>
      </c>
      <c r="E4605" s="388" t="s">
        <v>16</v>
      </c>
      <c r="F4605" s="388">
        <f>VLOOKUP(D4585,'Detail Balok'!$C$10:$AU$140,33,FALSE)</f>
        <v>10</v>
      </c>
      <c r="G4605" s="405" t="s">
        <v>157</v>
      </c>
      <c r="H4605" s="395">
        <f>VLOOKUP(D4585,'Detail Balok'!$C$10:$AU$140,35,FALSE)</f>
        <v>150</v>
      </c>
      <c r="I4605" s="388"/>
      <c r="J4605" s="400">
        <f t="shared" ref="J4605" si="14867">(IF(D4605=0,(2*(D4586+G4586))-(F$5*8),IF(D4605=3,(2*(D4586+G4586))-(F$5*8)+(G4586-2*F$5),IF(D4605=4,(2*(D4586+G4586))-(F$5*8)+2*(G4586-2*F$5)))))/1000</f>
        <v>1.08</v>
      </c>
      <c r="K4605" s="400" t="s">
        <v>204</v>
      </c>
      <c r="L4605" s="399">
        <f t="shared" ref="L4605:L4607" si="14868">IF(D4605=0,2*MAX(6*F4605,75),(D4605-1)*2*MAX(6*F4605,75))/1000</f>
        <v>0.15</v>
      </c>
      <c r="M4605" s="399" t="s">
        <v>176</v>
      </c>
      <c r="N4605" s="399">
        <f t="shared" ref="N4605:N4607" si="14869">J4605+L4605</f>
        <v>1.23</v>
      </c>
      <c r="O4605" s="399"/>
      <c r="P4605" s="389"/>
      <c r="Q4605" s="399"/>
      <c r="R4605" s="399"/>
      <c r="S4605" s="399"/>
      <c r="T4605" s="399" t="s">
        <v>125</v>
      </c>
      <c r="U4605" s="401">
        <f t="shared" ref="U4605:U4607" si="14870">0.006165*F4605^2</f>
        <v>0.61650000000000005</v>
      </c>
      <c r="V4605" s="399" t="s">
        <v>125</v>
      </c>
      <c r="W4605" s="399">
        <f t="shared" ref="W4605" si="14871">IF(D4588&gt;4*G4586,ROUND(MAX(D4588/4,2*G4586)/H4605,0)+1,ROUND(D4588/H4605,0)+1)</f>
        <v>16</v>
      </c>
      <c r="X4605" s="399" t="s">
        <v>125</v>
      </c>
      <c r="Y4605" s="389">
        <f t="shared" ref="Y4605" si="14872">D4591</f>
        <v>1</v>
      </c>
      <c r="Z4605" s="400" t="s">
        <v>176</v>
      </c>
      <c r="AA4605" s="402">
        <f t="shared" ref="AA4605:AA4607" si="14873">N4605*U4605*W4605*Y4605</f>
        <v>12.132720000000001</v>
      </c>
      <c r="AB4605" s="403"/>
    </row>
    <row r="4606" spans="1:28">
      <c r="A4606" s="384" t="str">
        <f t="shared" ref="A4606:B4606" si="14874">A4585</f>
        <v>Lantai 3</v>
      </c>
      <c r="B4606" s="385">
        <f t="shared" si="14874"/>
        <v>11</v>
      </c>
      <c r="C4606" s="393" t="s">
        <v>212</v>
      </c>
      <c r="D4606" s="398">
        <f>VLOOKUP(D4585,'Detail Balok'!$C$10:$AU$140,36,FALSE)</f>
        <v>0</v>
      </c>
      <c r="E4606" s="388" t="s">
        <v>16</v>
      </c>
      <c r="F4606" s="388">
        <f>VLOOKUP(D4585,'Detail Balok'!$C$10:$AU$140,38,FALSE)</f>
        <v>10</v>
      </c>
      <c r="G4606" s="405" t="s">
        <v>157</v>
      </c>
      <c r="H4606" s="395">
        <f>VLOOKUP(D4585,'Detail Balok'!$C$10:$AU$140,40,FALSE)</f>
        <v>200</v>
      </c>
      <c r="I4606" s="388"/>
      <c r="J4606" s="400">
        <f t="shared" ref="J4606" si="14875">(IF(D4606=0,(2*(D4586+G4586))-(F$5*8),IF(D4606=3,(2*(D4586+G4586))-(F$5*8)+(G4586-2*F$5),IF(D4606=4,(2*(D4586+G4586))-(F$5*8)+2*(G4586-2*F$5)))))/1000</f>
        <v>1.08</v>
      </c>
      <c r="K4606" s="400" t="s">
        <v>204</v>
      </c>
      <c r="L4606" s="399">
        <f t="shared" si="14868"/>
        <v>0.15</v>
      </c>
      <c r="M4606" s="399" t="s">
        <v>176</v>
      </c>
      <c r="N4606" s="399">
        <f t="shared" si="14869"/>
        <v>1.23</v>
      </c>
      <c r="O4606" s="399"/>
      <c r="P4606" s="389"/>
      <c r="Q4606" s="399"/>
      <c r="R4606" s="399"/>
      <c r="S4606" s="399"/>
      <c r="T4606" s="399" t="s">
        <v>125</v>
      </c>
      <c r="U4606" s="401">
        <f t="shared" si="14870"/>
        <v>0.61650000000000005</v>
      </c>
      <c r="V4606" s="399" t="s">
        <v>125</v>
      </c>
      <c r="W4606" s="399">
        <f t="shared" ref="W4606" si="14876">IF(D4588-MAX(D4588/4,2*G4586)*2&gt;0,ROUND((D4588-MAX(D4588/4,2*G4586)*2)/H4606,0),0)</f>
        <v>23</v>
      </c>
      <c r="X4606" s="399" t="s">
        <v>125</v>
      </c>
      <c r="Y4606" s="389">
        <f t="shared" ref="Y4606" si="14877">D4591</f>
        <v>1</v>
      </c>
      <c r="Z4606" s="400" t="s">
        <v>176</v>
      </c>
      <c r="AA4606" s="402">
        <f t="shared" si="14873"/>
        <v>17.440785000000002</v>
      </c>
      <c r="AB4606" s="403"/>
    </row>
    <row r="4607" spans="1:28">
      <c r="A4607" s="384" t="str">
        <f t="shared" ref="A4607:B4607" si="14878">A4585</f>
        <v>Lantai 3</v>
      </c>
      <c r="B4607" s="385">
        <f t="shared" si="14878"/>
        <v>11</v>
      </c>
      <c r="C4607" s="393" t="s">
        <v>211</v>
      </c>
      <c r="D4607" s="398">
        <f>VLOOKUP(D4585,'Detail Balok'!$C$10:$AU$140,41,FALSE)</f>
        <v>0</v>
      </c>
      <c r="E4607" s="388" t="s">
        <v>16</v>
      </c>
      <c r="F4607" s="388">
        <f>VLOOKUP(D4585,'Detail Balok'!$C$10:$AU$140,43,FALSE)</f>
        <v>10</v>
      </c>
      <c r="G4607" s="405" t="s">
        <v>157</v>
      </c>
      <c r="H4607" s="395">
        <f>VLOOKUP(D4585,'Detail Balok'!$C$10:$AU$140,45,FALSE)</f>
        <v>150</v>
      </c>
      <c r="I4607" s="388"/>
      <c r="J4607" s="400">
        <f t="shared" ref="J4607" si="14879">(IF(D4607=0,(2*(D4586+G4586))-(F$5*8),IF(D4607=3,(2*(D4586+G4586))-(F$5*8)+(G4586-2*F$5),IF(D4607=4,(2*(D4586+G4586))-(F$5*8)+2*(G4586-2*F$5)))))/1000</f>
        <v>1.08</v>
      </c>
      <c r="K4607" s="400" t="s">
        <v>204</v>
      </c>
      <c r="L4607" s="399">
        <f t="shared" si="14868"/>
        <v>0.15</v>
      </c>
      <c r="M4607" s="399" t="s">
        <v>176</v>
      </c>
      <c r="N4607" s="399">
        <f t="shared" si="14869"/>
        <v>1.23</v>
      </c>
      <c r="O4607" s="399"/>
      <c r="P4607" s="389"/>
      <c r="Q4607" s="399"/>
      <c r="R4607" s="399"/>
      <c r="S4607" s="399"/>
      <c r="T4607" s="399" t="s">
        <v>125</v>
      </c>
      <c r="U4607" s="401">
        <f t="shared" si="14870"/>
        <v>0.61650000000000005</v>
      </c>
      <c r="V4607" s="399" t="s">
        <v>125</v>
      </c>
      <c r="W4607" s="399">
        <f t="shared" ref="W4607" si="14880">IF(D4588&gt;4*G4586,ROUND(MAX(D4588/4,2*G4586)/H4607,0)+1,0)</f>
        <v>16</v>
      </c>
      <c r="X4607" s="399" t="s">
        <v>125</v>
      </c>
      <c r="Y4607" s="389">
        <f t="shared" ref="Y4607" si="14881">D4591</f>
        <v>1</v>
      </c>
      <c r="Z4607" s="400" t="s">
        <v>176</v>
      </c>
      <c r="AA4607" s="402">
        <f t="shared" si="14873"/>
        <v>12.132720000000001</v>
      </c>
      <c r="AB4607" s="403"/>
    </row>
    <row r="4608" spans="1:28">
      <c r="A4608" s="384"/>
      <c r="B4608" s="385"/>
      <c r="C4608" s="393"/>
      <c r="D4608" s="394"/>
      <c r="E4608" s="388"/>
      <c r="F4608" s="388"/>
      <c r="G4608" s="388"/>
      <c r="H4608" s="395"/>
      <c r="I4608" s="388"/>
      <c r="J4608" s="399"/>
      <c r="K4608" s="396"/>
      <c r="L4608" s="396"/>
      <c r="M4608" s="396"/>
      <c r="N4608" s="396"/>
      <c r="O4608" s="396"/>
      <c r="P4608" s="389"/>
      <c r="Q4608" s="396"/>
      <c r="R4608" s="396"/>
      <c r="S4608" s="396"/>
      <c r="T4608" s="396"/>
      <c r="U4608" s="401"/>
      <c r="V4608" s="396"/>
      <c r="W4608" s="388"/>
      <c r="X4608" s="396"/>
      <c r="Y4608" s="389"/>
      <c r="Z4608" s="396"/>
      <c r="AA4608" s="388"/>
      <c r="AB4608" s="390"/>
    </row>
    <row r="4609" spans="1:28">
      <c r="A4609" s="384" t="str">
        <f t="shared" ref="A4609:B4609" si="14882">A4585</f>
        <v>Lantai 3</v>
      </c>
      <c r="B4609" s="385">
        <f t="shared" si="14882"/>
        <v>11</v>
      </c>
      <c r="C4609" s="393" t="s">
        <v>213</v>
      </c>
      <c r="D4609" s="398">
        <f>VLOOKUP(D4585,'Detail Balok'!$C$10:$BJ$140,46,FALSE)</f>
        <v>0</v>
      </c>
      <c r="E4609" s="388" t="s">
        <v>16</v>
      </c>
      <c r="F4609" s="388">
        <f>VLOOKUP(D4585,'Detail Balok'!$C$10:$BJ$140,48,FALSE)</f>
        <v>0</v>
      </c>
      <c r="G4609" s="405" t="s">
        <v>157</v>
      </c>
      <c r="H4609" s="395">
        <f>VLOOKUP(D4585,'Detail Balok'!$C$10:$BJ$140,50,FALSE)</f>
        <v>100</v>
      </c>
      <c r="I4609" s="388"/>
      <c r="J4609" s="399">
        <f t="shared" ref="J4609" si="14883">(D4586-2*F$5)/1000</f>
        <v>0.12</v>
      </c>
      <c r="K4609" s="400" t="s">
        <v>204</v>
      </c>
      <c r="L4609" s="399">
        <f t="shared" ref="L4609:L4611" si="14884">IF(D4609=0,2*MAX(6*F4609,75),(D4609-1)*2*MAX(6*F4609,75))/1000</f>
        <v>0.15</v>
      </c>
      <c r="M4609" s="399" t="s">
        <v>176</v>
      </c>
      <c r="N4609" s="399">
        <f t="shared" ref="N4609:N4611" si="14885">J4609+L4609</f>
        <v>0.27</v>
      </c>
      <c r="O4609" s="399"/>
      <c r="P4609" s="399"/>
      <c r="Q4609" s="399"/>
      <c r="R4609" s="399"/>
      <c r="S4609" s="399"/>
      <c r="T4609" s="399" t="s">
        <v>125</v>
      </c>
      <c r="U4609" s="401">
        <f t="shared" ref="U4609:U4611" si="14886">0.006165*F4609^2</f>
        <v>0</v>
      </c>
      <c r="V4609" s="399" t="s">
        <v>125</v>
      </c>
      <c r="W4609" s="399">
        <f t="shared" si="14698"/>
        <v>16</v>
      </c>
      <c r="X4609" s="399" t="s">
        <v>125</v>
      </c>
      <c r="Y4609" s="389">
        <f t="shared" ref="Y4609" si="14887">D4595</f>
        <v>4</v>
      </c>
      <c r="Z4609" s="400" t="s">
        <v>176</v>
      </c>
      <c r="AA4609" s="402">
        <f t="shared" ref="AA4609:AA4611" si="14888">N4609*U4609*W4609*Y4609</f>
        <v>0</v>
      </c>
      <c r="AB4609" s="403"/>
    </row>
    <row r="4610" spans="1:28">
      <c r="A4610" s="384" t="str">
        <f t="shared" ref="A4610:B4610" si="14889">A4585</f>
        <v>Lantai 3</v>
      </c>
      <c r="B4610" s="385">
        <f t="shared" si="14889"/>
        <v>11</v>
      </c>
      <c r="C4610" s="393" t="s">
        <v>214</v>
      </c>
      <c r="D4610" s="398">
        <f>VLOOKUP(D4585,'Detail Balok'!$C$10:$BJ$140,51,FALSE)</f>
        <v>0</v>
      </c>
      <c r="E4610" s="388" t="s">
        <v>16</v>
      </c>
      <c r="F4610" s="388">
        <f>VLOOKUP(D4585,'Detail Balok'!$C$10:$BJ$140,53,FALSE)</f>
        <v>0</v>
      </c>
      <c r="G4610" s="405" t="s">
        <v>157</v>
      </c>
      <c r="H4610" s="395">
        <f>VLOOKUP(D4585,'Detail Balok'!$C$10:$BJ$140,55,FALSE)</f>
        <v>100</v>
      </c>
      <c r="I4610" s="388"/>
      <c r="J4610" s="399">
        <f t="shared" ref="J4610" si="14890">(D4586-2*F$5)/1000</f>
        <v>0.12</v>
      </c>
      <c r="K4610" s="400" t="s">
        <v>204</v>
      </c>
      <c r="L4610" s="399">
        <f t="shared" si="14884"/>
        <v>0.15</v>
      </c>
      <c r="M4610" s="399" t="s">
        <v>176</v>
      </c>
      <c r="N4610" s="399">
        <f t="shared" si="14885"/>
        <v>0.27</v>
      </c>
      <c r="O4610" s="399"/>
      <c r="P4610" s="399"/>
      <c r="Q4610" s="399"/>
      <c r="R4610" s="399"/>
      <c r="S4610" s="399"/>
      <c r="T4610" s="399" t="s">
        <v>125</v>
      </c>
      <c r="U4610" s="401">
        <f t="shared" si="14886"/>
        <v>0</v>
      </c>
      <c r="V4610" s="399" t="s">
        <v>125</v>
      </c>
      <c r="W4610" s="399">
        <f t="shared" si="14698"/>
        <v>23</v>
      </c>
      <c r="X4610" s="399" t="s">
        <v>125</v>
      </c>
      <c r="Y4610" s="389">
        <f t="shared" ref="Y4610" si="14891">D4595</f>
        <v>4</v>
      </c>
      <c r="Z4610" s="400" t="s">
        <v>176</v>
      </c>
      <c r="AA4610" s="402">
        <f t="shared" si="14888"/>
        <v>0</v>
      </c>
      <c r="AB4610" s="403"/>
    </row>
    <row r="4611" spans="1:28">
      <c r="A4611" s="384" t="str">
        <f t="shared" ref="A4611:B4611" si="14892">A4585</f>
        <v>Lantai 3</v>
      </c>
      <c r="B4611" s="385">
        <f t="shared" si="14892"/>
        <v>11</v>
      </c>
      <c r="C4611" s="393" t="s">
        <v>213</v>
      </c>
      <c r="D4611" s="398">
        <f>VLOOKUP(D4585,'Detail Balok'!$C$10:$BJ$140,56,FALSE)</f>
        <v>0</v>
      </c>
      <c r="E4611" s="388" t="s">
        <v>16</v>
      </c>
      <c r="F4611" s="388">
        <f>VLOOKUP(D4585,'Detail Balok'!$C$10:$BJ$140,58,FALSE)</f>
        <v>0</v>
      </c>
      <c r="G4611" s="405" t="s">
        <v>157</v>
      </c>
      <c r="H4611" s="395">
        <f>VLOOKUP(D4585,'Detail Balok'!$C$10:$BJ$140,60,FALSE)</f>
        <v>100</v>
      </c>
      <c r="I4611" s="388"/>
      <c r="J4611" s="399">
        <f t="shared" ref="J4611" si="14893">(D4586-2*F$5)/1000</f>
        <v>0.12</v>
      </c>
      <c r="K4611" s="400" t="s">
        <v>204</v>
      </c>
      <c r="L4611" s="399">
        <f t="shared" si="14884"/>
        <v>0.15</v>
      </c>
      <c r="M4611" s="399" t="s">
        <v>176</v>
      </c>
      <c r="N4611" s="399">
        <f t="shared" si="14885"/>
        <v>0.27</v>
      </c>
      <c r="O4611" s="399"/>
      <c r="P4611" s="399"/>
      <c r="Q4611" s="399"/>
      <c r="R4611" s="399"/>
      <c r="S4611" s="399"/>
      <c r="T4611" s="399" t="s">
        <v>125</v>
      </c>
      <c r="U4611" s="401">
        <f t="shared" si="14886"/>
        <v>0</v>
      </c>
      <c r="V4611" s="399" t="s">
        <v>125</v>
      </c>
      <c r="W4611" s="399">
        <f t="shared" si="14698"/>
        <v>16</v>
      </c>
      <c r="X4611" s="399" t="s">
        <v>125</v>
      </c>
      <c r="Y4611" s="389">
        <f t="shared" ref="Y4611" si="14894">D4595</f>
        <v>4</v>
      </c>
      <c r="Z4611" s="400" t="s">
        <v>176</v>
      </c>
      <c r="AA4611" s="402">
        <f t="shared" si="14888"/>
        <v>0</v>
      </c>
      <c r="AB4611" s="403"/>
    </row>
    <row r="4612" spans="1:28">
      <c r="A4612" s="391"/>
      <c r="B4612" s="392"/>
      <c r="C4612" s="392"/>
      <c r="D4612" s="394"/>
      <c r="E4612" s="388"/>
      <c r="F4612" s="388"/>
      <c r="G4612" s="388"/>
      <c r="H4612" s="395"/>
      <c r="I4612" s="388"/>
      <c r="J4612" s="402"/>
      <c r="K4612" s="388"/>
      <c r="L4612" s="388"/>
      <c r="M4612" s="388"/>
      <c r="N4612" s="388"/>
      <c r="O4612" s="388"/>
      <c r="P4612" s="388"/>
      <c r="Q4612" s="388"/>
      <c r="R4612" s="388"/>
      <c r="S4612" s="388"/>
      <c r="T4612" s="388"/>
      <c r="U4612" s="388"/>
      <c r="V4612" s="388"/>
      <c r="W4612" s="388"/>
      <c r="X4612" s="388"/>
      <c r="Y4612" s="389"/>
      <c r="Z4612" s="388"/>
      <c r="AA4612" s="402"/>
      <c r="AB4612" s="403"/>
    </row>
    <row r="4613" spans="1:28" ht="15.75" thickBot="1">
      <c r="A4613" s="406"/>
      <c r="B4613" s="407"/>
      <c r="C4613" s="407"/>
      <c r="D4613" s="408"/>
      <c r="E4613" s="409"/>
      <c r="F4613" s="409"/>
      <c r="G4613" s="409"/>
      <c r="H4613" s="410"/>
      <c r="I4613" s="409"/>
      <c r="J4613" s="409"/>
      <c r="K4613" s="409"/>
      <c r="L4613" s="409"/>
      <c r="M4613" s="409"/>
      <c r="N4613" s="409"/>
      <c r="O4613" s="409"/>
      <c r="P4613" s="409"/>
      <c r="Q4613" s="409"/>
      <c r="R4613" s="409"/>
      <c r="S4613" s="409"/>
      <c r="T4613" s="409"/>
      <c r="U4613" s="409"/>
      <c r="V4613" s="409"/>
      <c r="W4613" s="409"/>
      <c r="X4613" s="409"/>
      <c r="Y4613" s="411"/>
      <c r="Z4613" s="409"/>
      <c r="AA4613" s="412"/>
      <c r="AB4613" s="413"/>
    </row>
    <row r="4614" spans="1:28">
      <c r="A4614" s="377"/>
      <c r="B4614" s="378"/>
      <c r="C4614" s="378"/>
      <c r="D4614" s="379"/>
      <c r="E4614" s="380"/>
      <c r="F4614" s="380"/>
      <c r="G4614" s="380"/>
      <c r="H4614" s="381"/>
      <c r="I4614" s="380"/>
      <c r="J4614" s="380"/>
      <c r="K4614" s="380"/>
      <c r="L4614" s="380"/>
      <c r="M4614" s="380"/>
      <c r="N4614" s="380"/>
      <c r="O4614" s="380"/>
      <c r="P4614" s="380"/>
      <c r="Q4614" s="380"/>
      <c r="R4614" s="380"/>
      <c r="S4614" s="380"/>
      <c r="T4614" s="380"/>
      <c r="U4614" s="380"/>
      <c r="V4614" s="380"/>
      <c r="W4614" s="380"/>
      <c r="X4614" s="380"/>
      <c r="Y4614" s="382"/>
      <c r="Z4614" s="380"/>
      <c r="AA4614" s="380"/>
      <c r="AB4614" s="383"/>
    </row>
    <row r="4615" spans="1:28">
      <c r="A4615" s="384" t="str">
        <f t="shared" si="14707"/>
        <v>Lantai 3</v>
      </c>
      <c r="B4615" s="385">
        <f t="shared" si="14708"/>
        <v>12</v>
      </c>
      <c r="C4615" s="386" t="str">
        <f t="shared" ref="C4615" si="14895">CONCATENATE(A4615," no. ",B4615)</f>
        <v>Lantai 3 no. 12</v>
      </c>
      <c r="D4615" s="2562" t="str">
        <f>VLOOKUP(C4615,'Data Panjang Balok'!$C$9:$N$254,2,FALSE)</f>
        <v>B25-1</v>
      </c>
      <c r="E4615" s="2576"/>
      <c r="F4615" s="2576"/>
      <c r="G4615" s="2576"/>
      <c r="H4615" s="2577"/>
      <c r="I4615" s="387"/>
      <c r="J4615" s="388"/>
      <c r="K4615" s="388"/>
      <c r="L4615" s="388"/>
      <c r="M4615" s="388"/>
      <c r="N4615" s="388"/>
      <c r="O4615" s="388"/>
      <c r="P4615" s="388"/>
      <c r="Q4615" s="388"/>
      <c r="R4615" s="388"/>
      <c r="S4615" s="388"/>
      <c r="T4615" s="388"/>
      <c r="U4615" s="388"/>
      <c r="V4615" s="388"/>
      <c r="W4615" s="388"/>
      <c r="X4615" s="388"/>
      <c r="Y4615" s="389"/>
      <c r="Z4615" s="388"/>
      <c r="AA4615" s="388"/>
      <c r="AB4615" s="390"/>
    </row>
    <row r="4616" spans="1:28">
      <c r="A4616" s="391"/>
      <c r="B4616" s="392"/>
      <c r="C4616" s="393" t="s">
        <v>118</v>
      </c>
      <c r="D4616" s="2578">
        <f>VLOOKUP(D4615,'Detail Balok'!$C$10:$AU$140,2,FALSE)</f>
        <v>200</v>
      </c>
      <c r="E4616" s="2579"/>
      <c r="F4616" s="388" t="s">
        <v>125</v>
      </c>
      <c r="G4616" s="2579">
        <f>VLOOKUP(D4615,'Detail Balok'!$C$10:$AU$140,3,FALSE)</f>
        <v>500</v>
      </c>
      <c r="H4616" s="2580"/>
      <c r="I4616" s="388"/>
      <c r="J4616" s="396"/>
      <c r="K4616" s="396"/>
      <c r="L4616" s="396"/>
      <c r="M4616" s="396"/>
      <c r="N4616" s="396"/>
      <c r="O4616" s="396"/>
      <c r="P4616" s="396"/>
      <c r="Q4616" s="396"/>
      <c r="R4616" s="396"/>
      <c r="S4616" s="396"/>
      <c r="T4616" s="396"/>
      <c r="U4616" s="388"/>
      <c r="V4616" s="396"/>
      <c r="W4616" s="388"/>
      <c r="X4616" s="396"/>
      <c r="Y4616" s="389"/>
      <c r="Z4616" s="396"/>
      <c r="AA4616" s="388"/>
      <c r="AB4616" s="390"/>
    </row>
    <row r="4617" spans="1:28">
      <c r="A4617" s="391"/>
      <c r="B4617" s="392"/>
      <c r="C4617" s="393" t="s">
        <v>198</v>
      </c>
      <c r="D4617" s="2562">
        <f>VLOOKUP(C4615,'Data Panjang Balok'!$C$9:$N$254,4,FALSE)</f>
        <v>5925</v>
      </c>
      <c r="E4617" s="2563"/>
      <c r="F4617" s="2563"/>
      <c r="G4617" s="2563"/>
      <c r="H4617" s="2564"/>
      <c r="I4617" s="397"/>
      <c r="J4617" s="396"/>
      <c r="K4617" s="396"/>
      <c r="L4617" s="396"/>
      <c r="M4617" s="396"/>
      <c r="N4617" s="396"/>
      <c r="O4617" s="396"/>
      <c r="P4617" s="396"/>
      <c r="Q4617" s="396"/>
      <c r="R4617" s="396"/>
      <c r="S4617" s="396"/>
      <c r="T4617" s="396"/>
      <c r="U4617" s="388"/>
      <c r="V4617" s="396"/>
      <c r="W4617" s="388"/>
      <c r="X4617" s="396"/>
      <c r="Y4617" s="389"/>
      <c r="Z4617" s="396"/>
      <c r="AA4617" s="388"/>
      <c r="AB4617" s="390"/>
    </row>
    <row r="4618" spans="1:28">
      <c r="A4618" s="391"/>
      <c r="B4618" s="392"/>
      <c r="C4618" s="393" t="s">
        <v>199</v>
      </c>
      <c r="D4618" s="2562">
        <f>VLOOKUP(C4615,'Data Panjang Balok'!$C$9:$N$254,7,FALSE)</f>
        <v>5925</v>
      </c>
      <c r="E4618" s="2563"/>
      <c r="F4618" s="2563"/>
      <c r="G4618" s="2563"/>
      <c r="H4618" s="2564"/>
      <c r="I4618" s="397"/>
      <c r="J4618" s="396"/>
      <c r="K4618" s="396"/>
      <c r="L4618" s="396"/>
      <c r="M4618" s="396"/>
      <c r="N4618" s="396"/>
      <c r="O4618" s="396"/>
      <c r="P4618" s="396"/>
      <c r="Q4618" s="396"/>
      <c r="R4618" s="396"/>
      <c r="S4618" s="396"/>
      <c r="T4618" s="396"/>
      <c r="U4618" s="388"/>
      <c r="V4618" s="396"/>
      <c r="W4618" s="388"/>
      <c r="X4618" s="396"/>
      <c r="Y4618" s="389"/>
      <c r="Z4618" s="396"/>
      <c r="AA4618" s="388"/>
      <c r="AB4618" s="390"/>
    </row>
    <row r="4619" spans="1:28">
      <c r="A4619" s="391"/>
      <c r="B4619" s="392"/>
      <c r="C4619" s="393" t="s">
        <v>200</v>
      </c>
      <c r="D4619" s="2562">
        <f>VLOOKUP(C4615,'Data Panjang Balok'!$C$9:$N$254,9,FALSE)</f>
        <v>0</v>
      </c>
      <c r="E4619" s="2563"/>
      <c r="F4619" s="2563"/>
      <c r="G4619" s="2563"/>
      <c r="H4619" s="2564"/>
      <c r="I4619" s="397"/>
      <c r="J4619" s="396"/>
      <c r="K4619" s="396"/>
      <c r="L4619" s="396"/>
      <c r="M4619" s="396"/>
      <c r="N4619" s="396"/>
      <c r="O4619" s="396"/>
      <c r="P4619" s="396"/>
      <c r="Q4619" s="396"/>
      <c r="R4619" s="396"/>
      <c r="S4619" s="396"/>
      <c r="T4619" s="396"/>
      <c r="U4619" s="388"/>
      <c r="V4619" s="396"/>
      <c r="W4619" s="388"/>
      <c r="X4619" s="396"/>
      <c r="Y4619" s="389"/>
      <c r="Z4619" s="396"/>
      <c r="AA4619" s="388"/>
      <c r="AB4619" s="390"/>
    </row>
    <row r="4620" spans="1:28">
      <c r="A4620" s="391"/>
      <c r="B4620" s="392"/>
      <c r="C4620" s="393" t="s">
        <v>201</v>
      </c>
      <c r="D4620" s="2562">
        <f>VLOOKUP(C4615,'Data Panjang Balok'!$C$9:$N$254,10,FALSE)</f>
        <v>0</v>
      </c>
      <c r="E4620" s="2563"/>
      <c r="F4620" s="2563"/>
      <c r="G4620" s="2563"/>
      <c r="H4620" s="2564"/>
      <c r="I4620" s="397"/>
      <c r="J4620" s="396"/>
      <c r="K4620" s="396"/>
      <c r="L4620" s="396"/>
      <c r="M4620" s="396"/>
      <c r="N4620" s="396"/>
      <c r="O4620" s="396"/>
      <c r="P4620" s="396"/>
      <c r="Q4620" s="396"/>
      <c r="R4620" s="396"/>
      <c r="S4620" s="396"/>
      <c r="T4620" s="396"/>
      <c r="U4620" s="388"/>
      <c r="V4620" s="396"/>
      <c r="W4620" s="388"/>
      <c r="X4620" s="396"/>
      <c r="Y4620" s="389"/>
      <c r="Z4620" s="396"/>
      <c r="AA4620" s="388"/>
      <c r="AB4620" s="390"/>
    </row>
    <row r="4621" spans="1:28">
      <c r="A4621" s="391"/>
      <c r="B4621" s="392"/>
      <c r="C4621" s="393" t="s">
        <v>48</v>
      </c>
      <c r="D4621" s="2562">
        <f>VLOOKUP(C4615,'Data Panjang Balok'!$C$9:$N$254,3,FALSE)</f>
        <v>1</v>
      </c>
      <c r="E4621" s="2563"/>
      <c r="F4621" s="2563"/>
      <c r="G4621" s="2563"/>
      <c r="H4621" s="2564"/>
      <c r="I4621" s="397"/>
      <c r="J4621" s="396"/>
      <c r="K4621" s="396"/>
      <c r="L4621" s="396"/>
      <c r="M4621" s="396"/>
      <c r="N4621" s="396"/>
      <c r="O4621" s="396"/>
      <c r="P4621" s="396"/>
      <c r="Q4621" s="396"/>
      <c r="R4621" s="396"/>
      <c r="S4621" s="396"/>
      <c r="T4621" s="396"/>
      <c r="U4621" s="388"/>
      <c r="V4621" s="396"/>
      <c r="W4621" s="388"/>
      <c r="X4621" s="396"/>
      <c r="Y4621" s="389"/>
      <c r="Z4621" s="396"/>
      <c r="AA4621" s="388"/>
      <c r="AB4621" s="390"/>
    </row>
    <row r="4622" spans="1:28">
      <c r="A4622" s="384" t="str">
        <f t="shared" ref="A4622:B4622" si="14896">A4615</f>
        <v>Lantai 3</v>
      </c>
      <c r="B4622" s="385">
        <f t="shared" si="14896"/>
        <v>12</v>
      </c>
      <c r="C4622" s="393" t="s">
        <v>202</v>
      </c>
      <c r="D4622" s="398">
        <f>VLOOKUP(D4615,'Detail Balok'!$C$10:$AU$140,4,FALSE)</f>
        <v>4</v>
      </c>
      <c r="E4622" s="388" t="s">
        <v>16</v>
      </c>
      <c r="F4622" s="388">
        <f>VLOOKUP(D4615,'Detail Balok'!$C$10:$AU$140,6,FALSE)</f>
        <v>16</v>
      </c>
      <c r="G4622" s="388"/>
      <c r="H4622" s="395"/>
      <c r="I4622" s="388" t="s">
        <v>203</v>
      </c>
      <c r="J4622" s="399">
        <f t="shared" ref="J4622" si="14897">+D4617/4/1000</f>
        <v>1.48125</v>
      </c>
      <c r="K4622" s="400" t="s">
        <v>204</v>
      </c>
      <c r="L4622" s="399">
        <f t="shared" ref="L4622" si="14898">MAX(VLOOKUP(F4622,N$6:P$15,3,FALSE)/1000,2/3*D4619/1000)+F$16*F4622/1000</f>
        <v>0.192</v>
      </c>
      <c r="M4622" s="399" t="s">
        <v>176</v>
      </c>
      <c r="N4622" s="399">
        <f t="shared" ref="N4622:N4624" si="14899">J4622+L4622</f>
        <v>1.6732499999999999</v>
      </c>
      <c r="O4622" s="399" t="s">
        <v>204</v>
      </c>
      <c r="P4622" s="389">
        <f t="shared" ref="P4622" si="14900">D4622-D4623</f>
        <v>0</v>
      </c>
      <c r="Q4622" s="399" t="s">
        <v>125</v>
      </c>
      <c r="R4622" s="399">
        <f t="shared" ref="R4622" si="14901">IF(P4622&gt;0,$F$18*F4622/1000,0)</f>
        <v>0</v>
      </c>
      <c r="S4622" s="399" t="s">
        <v>205</v>
      </c>
      <c r="T4622" s="399" t="s">
        <v>125</v>
      </c>
      <c r="U4622" s="401">
        <f t="shared" ref="U4622:U4624" si="14902">0.006165*F4622^2</f>
        <v>1.5782400000000001</v>
      </c>
      <c r="V4622" s="399"/>
      <c r="W4622" s="399"/>
      <c r="X4622" s="399" t="s">
        <v>125</v>
      </c>
      <c r="Y4622" s="389">
        <f t="shared" ref="Y4622" si="14903">D4621</f>
        <v>1</v>
      </c>
      <c r="Z4622" s="400" t="s">
        <v>176</v>
      </c>
      <c r="AA4622" s="402">
        <f t="shared" ref="AA4622" si="14904">IF(AA4625=0,(D4622*N4622+P4622*R4622)*U4622*Y4622,0)</f>
        <v>0</v>
      </c>
      <c r="AB4622" s="403"/>
    </row>
    <row r="4623" spans="1:28">
      <c r="A4623" s="384" t="str">
        <f t="shared" ref="A4623:B4623" si="14905">A4615</f>
        <v>Lantai 3</v>
      </c>
      <c r="B4623" s="385">
        <f t="shared" si="14905"/>
        <v>12</v>
      </c>
      <c r="C4623" s="393" t="s">
        <v>206</v>
      </c>
      <c r="D4623" s="398">
        <f>VLOOKUP(D4615,'Detail Balok'!$C$10:$AU$140,7,FALSE)</f>
        <v>4</v>
      </c>
      <c r="E4623" s="388" t="s">
        <v>16</v>
      </c>
      <c r="F4623" s="388">
        <f>VLOOKUP(D4615,'Detail Balok'!$C$10:$AU$140,9,FALSE)</f>
        <v>16</v>
      </c>
      <c r="G4623" s="388"/>
      <c r="H4623" s="395"/>
      <c r="I4623" s="388" t="s">
        <v>203</v>
      </c>
      <c r="J4623" s="399">
        <f t="shared" ref="J4623" si="14906">+D4617/2/1000</f>
        <v>2.9624999999999999</v>
      </c>
      <c r="K4623" s="400" t="s">
        <v>204</v>
      </c>
      <c r="L4623" s="399"/>
      <c r="M4623" s="399" t="s">
        <v>176</v>
      </c>
      <c r="N4623" s="399">
        <f t="shared" si="14899"/>
        <v>2.9624999999999999</v>
      </c>
      <c r="O4623" s="399" t="s">
        <v>204</v>
      </c>
      <c r="P4623" s="389">
        <f t="shared" ref="P4623" si="14907">MAX(D4623-D4622,D4623-D4624)</f>
        <v>0</v>
      </c>
      <c r="Q4623" s="399" t="s">
        <v>125</v>
      </c>
      <c r="R4623" s="399">
        <f t="shared" ref="R4623" si="14908">IF(P4623&gt;0,2*(1-2*$F$19-1/2)*D4618/1000,0)</f>
        <v>0</v>
      </c>
      <c r="S4623" s="399" t="s">
        <v>205</v>
      </c>
      <c r="T4623" s="399" t="s">
        <v>125</v>
      </c>
      <c r="U4623" s="401">
        <f t="shared" si="14902"/>
        <v>1.5782400000000001</v>
      </c>
      <c r="V4623" s="399"/>
      <c r="W4623" s="399"/>
      <c r="X4623" s="399" t="s">
        <v>125</v>
      </c>
      <c r="Y4623" s="389">
        <f t="shared" ref="Y4623" si="14909">D4621</f>
        <v>1</v>
      </c>
      <c r="Z4623" s="400" t="s">
        <v>176</v>
      </c>
      <c r="AA4623" s="402">
        <f t="shared" ref="AA4623" si="14910">IF(AA4625=0,(D4623*N4623+P4623*R4623)*U4623*Y4623,0)</f>
        <v>0</v>
      </c>
      <c r="AB4623" s="403"/>
    </row>
    <row r="4624" spans="1:28">
      <c r="A4624" s="384" t="str">
        <f t="shared" ref="A4624:B4624" si="14911">A4615</f>
        <v>Lantai 3</v>
      </c>
      <c r="B4624" s="385">
        <f t="shared" si="14911"/>
        <v>12</v>
      </c>
      <c r="C4624" s="393" t="s">
        <v>202</v>
      </c>
      <c r="D4624" s="398">
        <f>VLOOKUP(D4615,'Detail Balok'!$C$10:$AU$140,10,FALSE)</f>
        <v>4</v>
      </c>
      <c r="E4624" s="388" t="s">
        <v>16</v>
      </c>
      <c r="F4624" s="388">
        <f>VLOOKUP(D4615,'Detail Balok'!$C$10:$AU$140,12,FALSE)</f>
        <v>16</v>
      </c>
      <c r="G4624" s="388"/>
      <c r="H4624" s="395"/>
      <c r="I4624" s="388" t="s">
        <v>203</v>
      </c>
      <c r="J4624" s="399">
        <f t="shared" ref="J4624" si="14912">+D4617/4/1000</f>
        <v>1.48125</v>
      </c>
      <c r="K4624" s="400" t="s">
        <v>204</v>
      </c>
      <c r="L4624" s="399">
        <f t="shared" ref="L4624" si="14913">MAX(VLOOKUP(F4624,N$6:P$15,3,FALSE)/1000,2/3*D4619/1000)+F$16*F4624/1000</f>
        <v>0.192</v>
      </c>
      <c r="M4624" s="399" t="s">
        <v>176</v>
      </c>
      <c r="N4624" s="399">
        <f t="shared" si="14899"/>
        <v>1.6732499999999999</v>
      </c>
      <c r="O4624" s="399" t="s">
        <v>204</v>
      </c>
      <c r="P4624" s="389">
        <f t="shared" ref="P4624" si="14914">D4624-D4623</f>
        <v>0</v>
      </c>
      <c r="Q4624" s="399" t="s">
        <v>125</v>
      </c>
      <c r="R4624" s="399">
        <f t="shared" ref="R4624" si="14915">IF(P4624&gt;0,$F$18*F4624/1000,0)</f>
        <v>0</v>
      </c>
      <c r="S4624" s="399" t="s">
        <v>205</v>
      </c>
      <c r="T4624" s="399" t="s">
        <v>125</v>
      </c>
      <c r="U4624" s="401">
        <f t="shared" si="14902"/>
        <v>1.5782400000000001</v>
      </c>
      <c r="V4624" s="399"/>
      <c r="W4624" s="399"/>
      <c r="X4624" s="399" t="s">
        <v>125</v>
      </c>
      <c r="Y4624" s="389">
        <f t="shared" ref="Y4624" si="14916">D4621</f>
        <v>1</v>
      </c>
      <c r="Z4624" s="400" t="s">
        <v>176</v>
      </c>
      <c r="AA4624" s="402">
        <f t="shared" ref="AA4624" si="14917">IF(AA4625=0,(D4624*N4624+P4624*R4624)*U4624*Y4624,0)</f>
        <v>0</v>
      </c>
      <c r="AB4624" s="403"/>
    </row>
    <row r="4625" spans="1:28">
      <c r="A4625" s="384" t="str">
        <f t="shared" ref="A4625:B4625" si="14918">A4615</f>
        <v>Lantai 3</v>
      </c>
      <c r="B4625" s="385">
        <f t="shared" si="14918"/>
        <v>12</v>
      </c>
      <c r="C4625" s="393"/>
      <c r="D4625" s="398">
        <f t="shared" ref="D4625:D4685" si="14919">IF(AND(D4622=D4623,D4623=D4624,D4622=D4624),D4622,0)</f>
        <v>4</v>
      </c>
      <c r="E4625" s="388" t="s">
        <v>16</v>
      </c>
      <c r="F4625" s="388">
        <f t="shared" ref="F4625:F4685" si="14920">IF(AND(F4622=F4623,F4622=F4624,F4623=F4624),F4622,0)</f>
        <v>16</v>
      </c>
      <c r="G4625" s="388"/>
      <c r="H4625" s="395"/>
      <c r="I4625" s="388"/>
      <c r="J4625" s="396"/>
      <c r="K4625" s="396"/>
      <c r="L4625" s="404" t="s">
        <v>207</v>
      </c>
      <c r="M4625" s="399" t="s">
        <v>176</v>
      </c>
      <c r="N4625" s="399">
        <f t="shared" ref="N4625" si="14921">IF(AND(D4622=D4623,D4622=D4624,D4623=D4624,F4622=F4623,F4622=F4624,F4623=F4624),SUM(N4622:N4624),0)</f>
        <v>6.3089999999999993</v>
      </c>
      <c r="O4625" s="399" t="s">
        <v>204</v>
      </c>
      <c r="P4625" s="389">
        <f t="shared" ref="P4625" si="14922">IF(N4625&gt;12,ROUNDDOWN(N4625/12,0),0)</f>
        <v>0</v>
      </c>
      <c r="Q4625" s="399" t="s">
        <v>125</v>
      </c>
      <c r="R4625" s="399">
        <f t="shared" ref="R4625" si="14923">IF(P4625&gt;0,MAX(VLOOKUP(F4625,$D$6:$G$15,3,FALSE),600),0)/1000</f>
        <v>0</v>
      </c>
      <c r="S4625" s="396"/>
      <c r="T4625" s="396" t="s">
        <v>125</v>
      </c>
      <c r="U4625" s="401">
        <f t="shared" ref="U4625:U4685" si="14924">U4624</f>
        <v>1.5782400000000001</v>
      </c>
      <c r="V4625" s="396" t="s">
        <v>125</v>
      </c>
      <c r="W4625" s="399">
        <f t="shared" ref="W4625" si="14925">D4625</f>
        <v>4</v>
      </c>
      <c r="X4625" s="399" t="s">
        <v>125</v>
      </c>
      <c r="Y4625" s="389">
        <f t="shared" ref="Y4625:Y4685" si="14926">Y4624</f>
        <v>1</v>
      </c>
      <c r="Z4625" s="400" t="s">
        <v>176</v>
      </c>
      <c r="AA4625" s="402">
        <f t="shared" ref="AA4625" si="14927">(N4625+P4625*R4625/1000)*U4625*W4625*Y4625</f>
        <v>39.82846464</v>
      </c>
      <c r="AB4625" s="390"/>
    </row>
    <row r="4626" spans="1:28">
      <c r="A4626" s="384"/>
      <c r="B4626" s="385"/>
      <c r="C4626" s="393"/>
      <c r="D4626" s="398"/>
      <c r="E4626" s="388"/>
      <c r="F4626" s="388"/>
      <c r="G4626" s="388"/>
      <c r="H4626" s="395"/>
      <c r="I4626" s="388"/>
      <c r="J4626" s="396"/>
      <c r="K4626" s="396"/>
      <c r="L4626" s="404"/>
      <c r="M4626" s="399"/>
      <c r="N4626" s="399"/>
      <c r="O4626" s="396"/>
      <c r="P4626" s="389"/>
      <c r="Q4626" s="396"/>
      <c r="R4626" s="396"/>
      <c r="S4626" s="396"/>
      <c r="T4626" s="396"/>
      <c r="U4626" s="401"/>
      <c r="V4626" s="396"/>
      <c r="W4626" s="399"/>
      <c r="X4626" s="396"/>
      <c r="Y4626" s="389"/>
      <c r="Z4626" s="396"/>
      <c r="AA4626" s="388"/>
      <c r="AB4626" s="390"/>
    </row>
    <row r="4627" spans="1:28">
      <c r="A4627" s="384" t="str">
        <f t="shared" ref="A4627:B4627" si="14928">A4615</f>
        <v>Lantai 3</v>
      </c>
      <c r="B4627" s="385">
        <f t="shared" si="14928"/>
        <v>12</v>
      </c>
      <c r="C4627" s="393" t="s">
        <v>208</v>
      </c>
      <c r="D4627" s="398">
        <f>VLOOKUP(D4615,'Detail Balok'!$C$10:$AU$140,13,FALSE)</f>
        <v>2</v>
      </c>
      <c r="E4627" s="388" t="s">
        <v>16</v>
      </c>
      <c r="F4627" s="388">
        <f>VLOOKUP(D4615,'Detail Balok'!$C$10:$AU$140,15,FALSE)</f>
        <v>10</v>
      </c>
      <c r="G4627" s="388"/>
      <c r="H4627" s="395"/>
      <c r="I4627" s="388"/>
      <c r="J4627" s="399">
        <f t="shared" ref="J4627" si="14929">+D4617/1000</f>
        <v>5.9249999999999998</v>
      </c>
      <c r="K4627" s="400" t="s">
        <v>204</v>
      </c>
      <c r="L4627" s="399">
        <f t="shared" ref="L4627" si="14930">2*$F$16*F4627/1000</f>
        <v>0.24</v>
      </c>
      <c r="M4627" s="399" t="s">
        <v>176</v>
      </c>
      <c r="N4627" s="399">
        <f t="shared" ref="N4627" si="14931">J4627+L4627</f>
        <v>6.165</v>
      </c>
      <c r="O4627" s="399" t="s">
        <v>204</v>
      </c>
      <c r="P4627" s="389">
        <f t="shared" ref="P4627" si="14932">IF(N4627&gt;12,ROUNDDOWN(N4627/12,0),0)</f>
        <v>0</v>
      </c>
      <c r="Q4627" s="399" t="s">
        <v>125</v>
      </c>
      <c r="R4627" s="399">
        <f t="shared" ref="R4627" si="14933">IF(P4627&gt;0,MAX(VLOOKUP(F4627,$D$6:$G$15,3,FALSE),600),0)/1000</f>
        <v>0</v>
      </c>
      <c r="S4627" s="399"/>
      <c r="T4627" s="399" t="s">
        <v>125</v>
      </c>
      <c r="U4627" s="401">
        <f t="shared" ref="U4627" si="14934">0.006165*F4627^2</f>
        <v>0.61650000000000005</v>
      </c>
      <c r="V4627" s="399" t="s">
        <v>125</v>
      </c>
      <c r="W4627" s="399">
        <f t="shared" ref="W4627" si="14935">+D4627</f>
        <v>2</v>
      </c>
      <c r="X4627" s="399" t="s">
        <v>125</v>
      </c>
      <c r="Y4627" s="389">
        <f t="shared" ref="Y4627" si="14936">D4621</f>
        <v>1</v>
      </c>
      <c r="Z4627" s="400" t="s">
        <v>176</v>
      </c>
      <c r="AA4627" s="402">
        <f t="shared" ref="AA4627" si="14937">(N4627+P4627*R4627/1000)*U4627*W4627*Y4627</f>
        <v>7.6014450000000009</v>
      </c>
      <c r="AB4627" s="403"/>
    </row>
    <row r="4628" spans="1:28">
      <c r="A4628" s="384"/>
      <c r="B4628" s="385"/>
      <c r="C4628" s="393"/>
      <c r="D4628" s="398"/>
      <c r="E4628" s="388"/>
      <c r="F4628" s="388"/>
      <c r="G4628" s="388"/>
      <c r="H4628" s="395"/>
      <c r="I4628" s="388"/>
      <c r="J4628" s="399"/>
      <c r="K4628" s="400"/>
      <c r="L4628" s="399"/>
      <c r="M4628" s="399"/>
      <c r="N4628" s="399"/>
      <c r="O4628" s="399"/>
      <c r="P4628" s="389"/>
      <c r="Q4628" s="399"/>
      <c r="R4628" s="399"/>
      <c r="S4628" s="399"/>
      <c r="T4628" s="399"/>
      <c r="U4628" s="401"/>
      <c r="V4628" s="399"/>
      <c r="W4628" s="399"/>
      <c r="X4628" s="399"/>
      <c r="Y4628" s="389"/>
      <c r="Z4628" s="400"/>
      <c r="AA4628" s="402"/>
      <c r="AB4628" s="403"/>
    </row>
    <row r="4629" spans="1:28">
      <c r="A4629" s="384"/>
      <c r="B4629" s="385"/>
      <c r="C4629" s="393"/>
      <c r="D4629" s="398"/>
      <c r="E4629" s="388"/>
      <c r="F4629" s="388"/>
      <c r="G4629" s="388"/>
      <c r="H4629" s="395"/>
      <c r="I4629" s="388"/>
      <c r="J4629" s="396"/>
      <c r="K4629" s="396"/>
      <c r="L4629" s="396"/>
      <c r="M4629" s="396"/>
      <c r="N4629" s="396"/>
      <c r="O4629" s="396"/>
      <c r="P4629" s="389"/>
      <c r="Q4629" s="396"/>
      <c r="R4629" s="396"/>
      <c r="S4629" s="396"/>
      <c r="T4629" s="396"/>
      <c r="U4629" s="401"/>
      <c r="V4629" s="396"/>
      <c r="W4629" s="399"/>
      <c r="X4629" s="396"/>
      <c r="Y4629" s="389"/>
      <c r="Z4629" s="396"/>
      <c r="AA4629" s="388"/>
      <c r="AB4629" s="390"/>
    </row>
    <row r="4630" spans="1:28">
      <c r="A4630" s="384" t="str">
        <f t="shared" ref="A4630:B4630" si="14938">A4615</f>
        <v>Lantai 3</v>
      </c>
      <c r="B4630" s="385">
        <f t="shared" si="14938"/>
        <v>12</v>
      </c>
      <c r="C4630" s="393" t="s">
        <v>209</v>
      </c>
      <c r="D4630" s="398">
        <f>VLOOKUP(D4615,'Detail Balok'!$C$10:$AU$140,22,FALSE)</f>
        <v>4</v>
      </c>
      <c r="E4630" s="388" t="s">
        <v>16</v>
      </c>
      <c r="F4630" s="388">
        <f>VLOOKUP(D4615,'Detail Balok'!$C$10:$AU$140,24,FALSE)</f>
        <v>16</v>
      </c>
      <c r="G4630" s="388"/>
      <c r="H4630" s="395"/>
      <c r="I4630" s="388" t="s">
        <v>203</v>
      </c>
      <c r="J4630" s="399">
        <f t="shared" ref="J4630:J4692" si="14939">+J4622</f>
        <v>1.48125</v>
      </c>
      <c r="K4630" s="400" t="s">
        <v>204</v>
      </c>
      <c r="L4630" s="399">
        <f t="shared" ref="L4630" si="14940">MAX(VLOOKUP(F4630,N$6:P$15,3,FALSE)/1000,2/3*D4620/1000)+F$16*F4630/1000</f>
        <v>0.192</v>
      </c>
      <c r="M4630" s="399" t="s">
        <v>176</v>
      </c>
      <c r="N4630" s="399">
        <f t="shared" ref="N4630:N4632" si="14941">J4630+L4630</f>
        <v>1.6732499999999999</v>
      </c>
      <c r="O4630" s="399" t="s">
        <v>204</v>
      </c>
      <c r="P4630" s="389">
        <f t="shared" ref="P4630" si="14942">D4630-D4631</f>
        <v>0</v>
      </c>
      <c r="Q4630" s="399" t="s">
        <v>125</v>
      </c>
      <c r="R4630" s="399">
        <f t="shared" ref="R4630" si="14943">IF(P4630&gt;0,$F$18*F4630/1000,0)</f>
        <v>0</v>
      </c>
      <c r="S4630" s="399" t="s">
        <v>205</v>
      </c>
      <c r="T4630" s="399" t="s">
        <v>125</v>
      </c>
      <c r="U4630" s="401">
        <f t="shared" ref="U4630:U4632" si="14944">0.006165*F4630^2</f>
        <v>1.5782400000000001</v>
      </c>
      <c r="V4630" s="399"/>
      <c r="W4630" s="399"/>
      <c r="X4630" s="399" t="s">
        <v>125</v>
      </c>
      <c r="Y4630" s="389">
        <f t="shared" ref="Y4630" si="14945">D4621</f>
        <v>1</v>
      </c>
      <c r="Z4630" s="400" t="s">
        <v>176</v>
      </c>
      <c r="AA4630" s="402">
        <f t="shared" ref="AA4630" si="14946">IF(AA4633=0,(D4630*N4630+P4630*R4630)*U4630*Y4630,0)</f>
        <v>0</v>
      </c>
      <c r="AB4630" s="403"/>
    </row>
    <row r="4631" spans="1:28">
      <c r="A4631" s="384" t="str">
        <f t="shared" ref="A4631:B4631" si="14947">A4615</f>
        <v>Lantai 3</v>
      </c>
      <c r="B4631" s="385">
        <f t="shared" si="14947"/>
        <v>12</v>
      </c>
      <c r="C4631" s="393" t="s">
        <v>210</v>
      </c>
      <c r="D4631" s="398">
        <f>VLOOKUP(D4615,'Detail Balok'!$C$10:$AU$140,25,FALSE)</f>
        <v>4</v>
      </c>
      <c r="E4631" s="388" t="s">
        <v>16</v>
      </c>
      <c r="F4631" s="388">
        <f>VLOOKUP(D4615,'Detail Balok'!$C$10:$AU$140,27,FALSE)</f>
        <v>16</v>
      </c>
      <c r="G4631" s="388"/>
      <c r="H4631" s="395"/>
      <c r="I4631" s="388" t="s">
        <v>203</v>
      </c>
      <c r="J4631" s="399">
        <f t="shared" si="14939"/>
        <v>2.9624999999999999</v>
      </c>
      <c r="K4631" s="400" t="s">
        <v>204</v>
      </c>
      <c r="L4631" s="399"/>
      <c r="M4631" s="399" t="s">
        <v>176</v>
      </c>
      <c r="N4631" s="399">
        <f t="shared" si="14941"/>
        <v>2.9624999999999999</v>
      </c>
      <c r="O4631" s="399" t="s">
        <v>204</v>
      </c>
      <c r="P4631" s="389">
        <f t="shared" ref="P4631" si="14948">MAX(D4631-D4630,D4631-D4632)</f>
        <v>0</v>
      </c>
      <c r="Q4631" s="399" t="s">
        <v>125</v>
      </c>
      <c r="R4631" s="399">
        <f t="shared" ref="R4631" si="14949">IF(P4631&gt;0,2*(1-2*$F$19-1/2)*D4618/1000,0)</f>
        <v>0</v>
      </c>
      <c r="S4631" s="399" t="s">
        <v>205</v>
      </c>
      <c r="T4631" s="399" t="s">
        <v>125</v>
      </c>
      <c r="U4631" s="401">
        <f t="shared" si="14944"/>
        <v>1.5782400000000001</v>
      </c>
      <c r="V4631" s="399"/>
      <c r="W4631" s="399"/>
      <c r="X4631" s="399" t="s">
        <v>125</v>
      </c>
      <c r="Y4631" s="389">
        <f t="shared" ref="Y4631" si="14950">D4621</f>
        <v>1</v>
      </c>
      <c r="Z4631" s="400" t="s">
        <v>176</v>
      </c>
      <c r="AA4631" s="402">
        <f t="shared" ref="AA4631" si="14951">IF(AA4633=0,(D4631*N4631+P4631*R4631)*U4631*Y4631,0)</f>
        <v>0</v>
      </c>
      <c r="AB4631" s="403"/>
    </row>
    <row r="4632" spans="1:28">
      <c r="A4632" s="384" t="str">
        <f t="shared" ref="A4632:B4632" si="14952">A4615</f>
        <v>Lantai 3</v>
      </c>
      <c r="B4632" s="385">
        <f t="shared" si="14952"/>
        <v>12</v>
      </c>
      <c r="C4632" s="393" t="s">
        <v>209</v>
      </c>
      <c r="D4632" s="398">
        <f>VLOOKUP(D4615,'Detail Balok'!$C$10:$AU$140,28,FALSE)</f>
        <v>4</v>
      </c>
      <c r="E4632" s="388" t="s">
        <v>16</v>
      </c>
      <c r="F4632" s="388">
        <f>VLOOKUP(D4615,'Detail Balok'!$C$10:$AU$140,30,FALSE)</f>
        <v>16</v>
      </c>
      <c r="G4632" s="388"/>
      <c r="H4632" s="395"/>
      <c r="I4632" s="388" t="s">
        <v>203</v>
      </c>
      <c r="J4632" s="399">
        <f t="shared" si="14939"/>
        <v>1.48125</v>
      </c>
      <c r="K4632" s="400" t="s">
        <v>204</v>
      </c>
      <c r="L4632" s="399">
        <f t="shared" ref="L4632" si="14953">MAX(VLOOKUP(F4632,N$6:P$15,3,FALSE)/1000,2/3*D4620/1000)+F$16*F4632/1000</f>
        <v>0.192</v>
      </c>
      <c r="M4632" s="399" t="s">
        <v>176</v>
      </c>
      <c r="N4632" s="399">
        <f t="shared" si="14941"/>
        <v>1.6732499999999999</v>
      </c>
      <c r="O4632" s="399" t="s">
        <v>204</v>
      </c>
      <c r="P4632" s="389">
        <f t="shared" ref="P4632" si="14954">D4632-D4631</f>
        <v>0</v>
      </c>
      <c r="Q4632" s="399" t="s">
        <v>125</v>
      </c>
      <c r="R4632" s="399">
        <f t="shared" ref="R4632" si="14955">IF(P4632&gt;0,$F$18*F4632/1000,0)</f>
        <v>0</v>
      </c>
      <c r="S4632" s="399" t="s">
        <v>205</v>
      </c>
      <c r="T4632" s="399" t="s">
        <v>125</v>
      </c>
      <c r="U4632" s="401">
        <f t="shared" si="14944"/>
        <v>1.5782400000000001</v>
      </c>
      <c r="V4632" s="399"/>
      <c r="W4632" s="399"/>
      <c r="X4632" s="399" t="s">
        <v>125</v>
      </c>
      <c r="Y4632" s="389">
        <f t="shared" ref="Y4632" si="14956">D4621</f>
        <v>1</v>
      </c>
      <c r="Z4632" s="400" t="s">
        <v>176</v>
      </c>
      <c r="AA4632" s="402">
        <f t="shared" ref="AA4632" si="14957">IF(AA4633=0,(D4632*N4632+P4632*R4632)*U4632*Y4632,0)</f>
        <v>0</v>
      </c>
      <c r="AB4632" s="403"/>
    </row>
    <row r="4633" spans="1:28">
      <c r="A4633" s="384" t="str">
        <f t="shared" ref="A4633:B4633" si="14958">A4615</f>
        <v>Lantai 3</v>
      </c>
      <c r="B4633" s="385">
        <f t="shared" si="14958"/>
        <v>12</v>
      </c>
      <c r="C4633" s="393"/>
      <c r="D4633" s="398">
        <f t="shared" ref="D4633:D4693" si="14959">IF(AND(D4630=D4631,D4631=D4632,D4630=D4632),D4630,0)</f>
        <v>4</v>
      </c>
      <c r="E4633" s="388" t="s">
        <v>16</v>
      </c>
      <c r="F4633" s="388">
        <f t="shared" ref="F4633:F4693" si="14960">IF(AND(F4630=F4631,F4630=F4632,F4631=F4632),F4630,0)</f>
        <v>16</v>
      </c>
      <c r="G4633" s="388"/>
      <c r="H4633" s="395"/>
      <c r="I4633" s="388"/>
      <c r="J4633" s="396"/>
      <c r="K4633" s="396"/>
      <c r="L4633" s="404" t="s">
        <v>207</v>
      </c>
      <c r="M4633" s="399" t="s">
        <v>176</v>
      </c>
      <c r="N4633" s="399">
        <f t="shared" ref="N4633" si="14961">IF(AND(D4630=D4631,D4630=D4632,D4631=D4632,F4630=F4631,F4630=F4632,F4631=F4632),SUM(N4630:N4632),0)</f>
        <v>6.3089999999999993</v>
      </c>
      <c r="O4633" s="399" t="s">
        <v>204</v>
      </c>
      <c r="P4633" s="389">
        <f t="shared" ref="P4633" si="14962">IF(N4633&gt;12,ROUNDDOWN(N4633/12,0),0)</f>
        <v>0</v>
      </c>
      <c r="Q4633" s="399" t="s">
        <v>125</v>
      </c>
      <c r="R4633" s="399">
        <f t="shared" ref="R4633" si="14963">IF(P4633&gt;0,MAX(VLOOKUP(F4633,$D$6:$G$15,3,FALSE),600),0)/1000</f>
        <v>0</v>
      </c>
      <c r="S4633" s="396"/>
      <c r="T4633" s="396" t="s">
        <v>125</v>
      </c>
      <c r="U4633" s="401">
        <f t="shared" ref="U4633:U4693" si="14964">U4632</f>
        <v>1.5782400000000001</v>
      </c>
      <c r="V4633" s="396" t="s">
        <v>125</v>
      </c>
      <c r="W4633" s="399">
        <f t="shared" ref="W4633" si="14965">D4633</f>
        <v>4</v>
      </c>
      <c r="X4633" s="399" t="s">
        <v>125</v>
      </c>
      <c r="Y4633" s="389">
        <f t="shared" ref="Y4633:Y4693" si="14966">Y4632</f>
        <v>1</v>
      </c>
      <c r="Z4633" s="400" t="s">
        <v>176</v>
      </c>
      <c r="AA4633" s="402">
        <f t="shared" ref="AA4633" si="14967">(N4633+P4633*R4633/1000)*U4633*W4633*Y4633</f>
        <v>39.82846464</v>
      </c>
      <c r="AB4633" s="403"/>
    </row>
    <row r="4634" spans="1:28">
      <c r="A4634" s="384"/>
      <c r="B4634" s="385"/>
      <c r="C4634" s="393"/>
      <c r="D4634" s="394"/>
      <c r="E4634" s="388"/>
      <c r="F4634" s="388"/>
      <c r="G4634" s="388"/>
      <c r="H4634" s="395"/>
      <c r="I4634" s="388"/>
      <c r="J4634" s="399"/>
      <c r="K4634" s="396"/>
      <c r="L4634" s="396"/>
      <c r="M4634" s="396"/>
      <c r="N4634" s="396"/>
      <c r="O4634" s="396"/>
      <c r="P4634" s="389"/>
      <c r="Q4634" s="396"/>
      <c r="R4634" s="396"/>
      <c r="S4634" s="396"/>
      <c r="T4634" s="396"/>
      <c r="U4634" s="401"/>
      <c r="V4634" s="396"/>
      <c r="W4634" s="388"/>
      <c r="X4634" s="396"/>
      <c r="Y4634" s="389"/>
      <c r="Z4634" s="396"/>
      <c r="AA4634" s="388"/>
      <c r="AB4634" s="390"/>
    </row>
    <row r="4635" spans="1:28">
      <c r="A4635" s="384" t="str">
        <f t="shared" ref="A4635:B4635" si="14968">A4615</f>
        <v>Lantai 3</v>
      </c>
      <c r="B4635" s="385">
        <f t="shared" si="14968"/>
        <v>12</v>
      </c>
      <c r="C4635" s="393" t="s">
        <v>211</v>
      </c>
      <c r="D4635" s="398">
        <f>VLOOKUP(D4615,'Detail Balok'!$C$10:$AU$140,31,FALSE)</f>
        <v>0</v>
      </c>
      <c r="E4635" s="388" t="s">
        <v>16</v>
      </c>
      <c r="F4635" s="388">
        <f>VLOOKUP(D4615,'Detail Balok'!$C$10:$AU$140,33,FALSE)</f>
        <v>10</v>
      </c>
      <c r="G4635" s="405" t="s">
        <v>157</v>
      </c>
      <c r="H4635" s="395">
        <f>VLOOKUP(D4615,'Detail Balok'!$C$10:$AU$140,35,FALSE)</f>
        <v>150</v>
      </c>
      <c r="I4635" s="388"/>
      <c r="J4635" s="400">
        <f t="shared" ref="J4635" si="14969">(IF(D4635=0,(2*(D4616+G4616))-(F$5*8),IF(D4635=3,(2*(D4616+G4616))-(F$5*8)+(G4616-2*F$5),IF(D4635=4,(2*(D4616+G4616))-(F$5*8)+2*(G4616-2*F$5)))))/1000</f>
        <v>1.08</v>
      </c>
      <c r="K4635" s="400" t="s">
        <v>204</v>
      </c>
      <c r="L4635" s="399">
        <f t="shared" ref="L4635:L4637" si="14970">IF(D4635=0,2*MAX(6*F4635,75),(D4635-1)*2*MAX(6*F4635,75))/1000</f>
        <v>0.15</v>
      </c>
      <c r="M4635" s="399" t="s">
        <v>176</v>
      </c>
      <c r="N4635" s="399">
        <f t="shared" ref="N4635:N4637" si="14971">J4635+L4635</f>
        <v>1.23</v>
      </c>
      <c r="O4635" s="399"/>
      <c r="P4635" s="389"/>
      <c r="Q4635" s="399"/>
      <c r="R4635" s="399"/>
      <c r="S4635" s="399"/>
      <c r="T4635" s="399" t="s">
        <v>125</v>
      </c>
      <c r="U4635" s="401">
        <f t="shared" ref="U4635:U4637" si="14972">0.006165*F4635^2</f>
        <v>0.61650000000000005</v>
      </c>
      <c r="V4635" s="399" t="s">
        <v>125</v>
      </c>
      <c r="W4635" s="399">
        <f t="shared" ref="W4635" si="14973">IF(D4618&gt;4*G4616,ROUND(MAX(D4618/4,2*G4616)/H4635,0)+1,ROUND(D4618/H4635,0)+1)</f>
        <v>11</v>
      </c>
      <c r="X4635" s="399" t="s">
        <v>125</v>
      </c>
      <c r="Y4635" s="389">
        <f t="shared" ref="Y4635" si="14974">D4621</f>
        <v>1</v>
      </c>
      <c r="Z4635" s="400" t="s">
        <v>176</v>
      </c>
      <c r="AA4635" s="402">
        <f t="shared" ref="AA4635:AA4637" si="14975">N4635*U4635*W4635*Y4635</f>
        <v>8.3412450000000007</v>
      </c>
      <c r="AB4635" s="403"/>
    </row>
    <row r="4636" spans="1:28">
      <c r="A4636" s="384" t="str">
        <f t="shared" ref="A4636:B4636" si="14976">A4615</f>
        <v>Lantai 3</v>
      </c>
      <c r="B4636" s="385">
        <f t="shared" si="14976"/>
        <v>12</v>
      </c>
      <c r="C4636" s="393" t="s">
        <v>212</v>
      </c>
      <c r="D4636" s="398">
        <f>VLOOKUP(D4615,'Detail Balok'!$C$10:$AU$140,36,FALSE)</f>
        <v>0</v>
      </c>
      <c r="E4636" s="388" t="s">
        <v>16</v>
      </c>
      <c r="F4636" s="388">
        <f>VLOOKUP(D4615,'Detail Balok'!$C$10:$AU$140,38,FALSE)</f>
        <v>10</v>
      </c>
      <c r="G4636" s="405" t="s">
        <v>157</v>
      </c>
      <c r="H4636" s="395">
        <f>VLOOKUP(D4615,'Detail Balok'!$C$10:$AU$140,40,FALSE)</f>
        <v>200</v>
      </c>
      <c r="I4636" s="388"/>
      <c r="J4636" s="400">
        <f t="shared" ref="J4636" si="14977">(IF(D4636=0,(2*(D4616+G4616))-(F$5*8),IF(D4636=3,(2*(D4616+G4616))-(F$5*8)+(G4616-2*F$5),IF(D4636=4,(2*(D4616+G4616))-(F$5*8)+2*(G4616-2*F$5)))))/1000</f>
        <v>1.08</v>
      </c>
      <c r="K4636" s="400" t="s">
        <v>204</v>
      </c>
      <c r="L4636" s="399">
        <f t="shared" si="14970"/>
        <v>0.15</v>
      </c>
      <c r="M4636" s="399" t="s">
        <v>176</v>
      </c>
      <c r="N4636" s="399">
        <f t="shared" si="14971"/>
        <v>1.23</v>
      </c>
      <c r="O4636" s="399"/>
      <c r="P4636" s="389"/>
      <c r="Q4636" s="399"/>
      <c r="R4636" s="399"/>
      <c r="S4636" s="399"/>
      <c r="T4636" s="399" t="s">
        <v>125</v>
      </c>
      <c r="U4636" s="401">
        <f t="shared" si="14972"/>
        <v>0.61650000000000005</v>
      </c>
      <c r="V4636" s="399" t="s">
        <v>125</v>
      </c>
      <c r="W4636" s="399">
        <f t="shared" ref="W4636" si="14978">IF(D4618-MAX(D4618/4,2*G4616)*2&gt;0,ROUND((D4618-MAX(D4618/4,2*G4616)*2)/H4636,0),0)</f>
        <v>15</v>
      </c>
      <c r="X4636" s="399" t="s">
        <v>125</v>
      </c>
      <c r="Y4636" s="389">
        <f t="shared" ref="Y4636" si="14979">D4621</f>
        <v>1</v>
      </c>
      <c r="Z4636" s="400" t="s">
        <v>176</v>
      </c>
      <c r="AA4636" s="402">
        <f t="shared" si="14975"/>
        <v>11.374425</v>
      </c>
      <c r="AB4636" s="403"/>
    </row>
    <row r="4637" spans="1:28">
      <c r="A4637" s="384" t="str">
        <f t="shared" ref="A4637:B4637" si="14980">A4615</f>
        <v>Lantai 3</v>
      </c>
      <c r="B4637" s="385">
        <f t="shared" si="14980"/>
        <v>12</v>
      </c>
      <c r="C4637" s="393" t="s">
        <v>211</v>
      </c>
      <c r="D4637" s="398">
        <f>VLOOKUP(D4615,'Detail Balok'!$C$10:$AU$140,41,FALSE)</f>
        <v>0</v>
      </c>
      <c r="E4637" s="388" t="s">
        <v>16</v>
      </c>
      <c r="F4637" s="388">
        <f>VLOOKUP(D4615,'Detail Balok'!$C$10:$AU$140,43,FALSE)</f>
        <v>10</v>
      </c>
      <c r="G4637" s="405" t="s">
        <v>157</v>
      </c>
      <c r="H4637" s="395">
        <f>VLOOKUP(D4615,'Detail Balok'!$C$10:$AU$140,45,FALSE)</f>
        <v>150</v>
      </c>
      <c r="I4637" s="388"/>
      <c r="J4637" s="400">
        <f t="shared" ref="J4637" si="14981">(IF(D4637=0,(2*(D4616+G4616))-(F$5*8),IF(D4637=3,(2*(D4616+G4616))-(F$5*8)+(G4616-2*F$5),IF(D4637=4,(2*(D4616+G4616))-(F$5*8)+2*(G4616-2*F$5)))))/1000</f>
        <v>1.08</v>
      </c>
      <c r="K4637" s="400" t="s">
        <v>204</v>
      </c>
      <c r="L4637" s="399">
        <f t="shared" si="14970"/>
        <v>0.15</v>
      </c>
      <c r="M4637" s="399" t="s">
        <v>176</v>
      </c>
      <c r="N4637" s="399">
        <f t="shared" si="14971"/>
        <v>1.23</v>
      </c>
      <c r="O4637" s="399"/>
      <c r="P4637" s="389"/>
      <c r="Q4637" s="399"/>
      <c r="R4637" s="399"/>
      <c r="S4637" s="399"/>
      <c r="T4637" s="399" t="s">
        <v>125</v>
      </c>
      <c r="U4637" s="401">
        <f t="shared" si="14972"/>
        <v>0.61650000000000005</v>
      </c>
      <c r="V4637" s="399" t="s">
        <v>125</v>
      </c>
      <c r="W4637" s="399">
        <f t="shared" ref="W4637" si="14982">IF(D4618&gt;4*G4616,ROUND(MAX(D4618/4,2*G4616)/H4637,0)+1,0)</f>
        <v>11</v>
      </c>
      <c r="X4637" s="399" t="s">
        <v>125</v>
      </c>
      <c r="Y4637" s="389">
        <f t="shared" ref="Y4637" si="14983">D4621</f>
        <v>1</v>
      </c>
      <c r="Z4637" s="400" t="s">
        <v>176</v>
      </c>
      <c r="AA4637" s="402">
        <f t="shared" si="14975"/>
        <v>8.3412450000000007</v>
      </c>
      <c r="AB4637" s="403"/>
    </row>
    <row r="4638" spans="1:28">
      <c r="A4638" s="384"/>
      <c r="B4638" s="385"/>
      <c r="C4638" s="393"/>
      <c r="D4638" s="394"/>
      <c r="E4638" s="388"/>
      <c r="F4638" s="388"/>
      <c r="G4638" s="388"/>
      <c r="H4638" s="395"/>
      <c r="I4638" s="388"/>
      <c r="J4638" s="399"/>
      <c r="K4638" s="396"/>
      <c r="L4638" s="396"/>
      <c r="M4638" s="396"/>
      <c r="N4638" s="396"/>
      <c r="O4638" s="396"/>
      <c r="P4638" s="389"/>
      <c r="Q4638" s="396"/>
      <c r="R4638" s="396"/>
      <c r="S4638" s="396"/>
      <c r="T4638" s="396"/>
      <c r="U4638" s="401"/>
      <c r="V4638" s="396"/>
      <c r="W4638" s="388"/>
      <c r="X4638" s="396"/>
      <c r="Y4638" s="389"/>
      <c r="Z4638" s="396"/>
      <c r="AA4638" s="388"/>
      <c r="AB4638" s="390"/>
    </row>
    <row r="4639" spans="1:28">
      <c r="A4639" s="384" t="str">
        <f t="shared" ref="A4639:B4639" si="14984">A4615</f>
        <v>Lantai 3</v>
      </c>
      <c r="B4639" s="385">
        <f t="shared" si="14984"/>
        <v>12</v>
      </c>
      <c r="C4639" s="393" t="s">
        <v>213</v>
      </c>
      <c r="D4639" s="398">
        <f>VLOOKUP(D4615,'Detail Balok'!$C$10:$BJ$140,46,FALSE)</f>
        <v>0</v>
      </c>
      <c r="E4639" s="388" t="s">
        <v>16</v>
      </c>
      <c r="F4639" s="388">
        <f>VLOOKUP(D4615,'Detail Balok'!$C$10:$BJ$140,48,FALSE)</f>
        <v>0</v>
      </c>
      <c r="G4639" s="405" t="s">
        <v>157</v>
      </c>
      <c r="H4639" s="395">
        <f>VLOOKUP(D4615,'Detail Balok'!$C$10:$BJ$140,50,FALSE)</f>
        <v>100</v>
      </c>
      <c r="I4639" s="388"/>
      <c r="J4639" s="399">
        <f t="shared" ref="J4639" si="14985">(D4616-2*F$5)/1000</f>
        <v>0.12</v>
      </c>
      <c r="K4639" s="400" t="s">
        <v>204</v>
      </c>
      <c r="L4639" s="399">
        <f t="shared" ref="L4639:L4641" si="14986">IF(D4639=0,2*MAX(6*F4639,75),(D4639-1)*2*MAX(6*F4639,75))/1000</f>
        <v>0.15</v>
      </c>
      <c r="M4639" s="399" t="s">
        <v>176</v>
      </c>
      <c r="N4639" s="399">
        <f t="shared" ref="N4639:N4641" si="14987">J4639+L4639</f>
        <v>0.27</v>
      </c>
      <c r="O4639" s="399"/>
      <c r="P4639" s="399"/>
      <c r="Q4639" s="399"/>
      <c r="R4639" s="399"/>
      <c r="S4639" s="399"/>
      <c r="T4639" s="399" t="s">
        <v>125</v>
      </c>
      <c r="U4639" s="401">
        <f t="shared" ref="U4639:U4641" si="14988">0.006165*F4639^2</f>
        <v>0</v>
      </c>
      <c r="V4639" s="399" t="s">
        <v>125</v>
      </c>
      <c r="W4639" s="399">
        <f t="shared" ref="W4639:W4701" si="14989">W4635</f>
        <v>11</v>
      </c>
      <c r="X4639" s="399" t="s">
        <v>125</v>
      </c>
      <c r="Y4639" s="389">
        <f t="shared" ref="Y4639" si="14990">D4625</f>
        <v>4</v>
      </c>
      <c r="Z4639" s="400" t="s">
        <v>176</v>
      </c>
      <c r="AA4639" s="402">
        <f t="shared" ref="AA4639:AA4641" si="14991">N4639*U4639*W4639*Y4639</f>
        <v>0</v>
      </c>
      <c r="AB4639" s="403"/>
    </row>
    <row r="4640" spans="1:28">
      <c r="A4640" s="384" t="str">
        <f t="shared" ref="A4640:B4640" si="14992">A4615</f>
        <v>Lantai 3</v>
      </c>
      <c r="B4640" s="385">
        <f t="shared" si="14992"/>
        <v>12</v>
      </c>
      <c r="C4640" s="393" t="s">
        <v>214</v>
      </c>
      <c r="D4640" s="398">
        <f>VLOOKUP(D4615,'Detail Balok'!$C$10:$BJ$140,51,FALSE)</f>
        <v>0</v>
      </c>
      <c r="E4640" s="388" t="s">
        <v>16</v>
      </c>
      <c r="F4640" s="388">
        <f>VLOOKUP(D4615,'Detail Balok'!$C$10:$BJ$140,53,FALSE)</f>
        <v>0</v>
      </c>
      <c r="G4640" s="405" t="s">
        <v>157</v>
      </c>
      <c r="H4640" s="395">
        <f>VLOOKUP(D4615,'Detail Balok'!$C$10:$BJ$140,55,FALSE)</f>
        <v>100</v>
      </c>
      <c r="I4640" s="388"/>
      <c r="J4640" s="399">
        <f t="shared" ref="J4640" si="14993">(D4616-2*F$5)/1000</f>
        <v>0.12</v>
      </c>
      <c r="K4640" s="400" t="s">
        <v>204</v>
      </c>
      <c r="L4640" s="399">
        <f t="shared" si="14986"/>
        <v>0.15</v>
      </c>
      <c r="M4640" s="399" t="s">
        <v>176</v>
      </c>
      <c r="N4640" s="399">
        <f t="shared" si="14987"/>
        <v>0.27</v>
      </c>
      <c r="O4640" s="399"/>
      <c r="P4640" s="399"/>
      <c r="Q4640" s="399"/>
      <c r="R4640" s="399"/>
      <c r="S4640" s="399"/>
      <c r="T4640" s="399" t="s">
        <v>125</v>
      </c>
      <c r="U4640" s="401">
        <f t="shared" si="14988"/>
        <v>0</v>
      </c>
      <c r="V4640" s="399" t="s">
        <v>125</v>
      </c>
      <c r="W4640" s="399">
        <f t="shared" si="14989"/>
        <v>15</v>
      </c>
      <c r="X4640" s="399" t="s">
        <v>125</v>
      </c>
      <c r="Y4640" s="389">
        <f t="shared" ref="Y4640" si="14994">D4625</f>
        <v>4</v>
      </c>
      <c r="Z4640" s="400" t="s">
        <v>176</v>
      </c>
      <c r="AA4640" s="402">
        <f t="shared" si="14991"/>
        <v>0</v>
      </c>
      <c r="AB4640" s="403"/>
    </row>
    <row r="4641" spans="1:28">
      <c r="A4641" s="384" t="str">
        <f t="shared" ref="A4641:B4641" si="14995">A4615</f>
        <v>Lantai 3</v>
      </c>
      <c r="B4641" s="385">
        <f t="shared" si="14995"/>
        <v>12</v>
      </c>
      <c r="C4641" s="393" t="s">
        <v>213</v>
      </c>
      <c r="D4641" s="398">
        <f>VLOOKUP(D4615,'Detail Balok'!$C$10:$BJ$140,56,FALSE)</f>
        <v>0</v>
      </c>
      <c r="E4641" s="388" t="s">
        <v>16</v>
      </c>
      <c r="F4641" s="388">
        <f>VLOOKUP(D4615,'Detail Balok'!$C$10:$BJ$140,58,FALSE)</f>
        <v>0</v>
      </c>
      <c r="G4641" s="405" t="s">
        <v>157</v>
      </c>
      <c r="H4641" s="395">
        <f>VLOOKUP(D4615,'Detail Balok'!$C$10:$BJ$140,60,FALSE)</f>
        <v>100</v>
      </c>
      <c r="I4641" s="388"/>
      <c r="J4641" s="399">
        <f t="shared" ref="J4641" si="14996">(D4616-2*F$5)/1000</f>
        <v>0.12</v>
      </c>
      <c r="K4641" s="400" t="s">
        <v>204</v>
      </c>
      <c r="L4641" s="399">
        <f t="shared" si="14986"/>
        <v>0.15</v>
      </c>
      <c r="M4641" s="399" t="s">
        <v>176</v>
      </c>
      <c r="N4641" s="399">
        <f t="shared" si="14987"/>
        <v>0.27</v>
      </c>
      <c r="O4641" s="399"/>
      <c r="P4641" s="399"/>
      <c r="Q4641" s="399"/>
      <c r="R4641" s="399"/>
      <c r="S4641" s="399"/>
      <c r="T4641" s="399" t="s">
        <v>125</v>
      </c>
      <c r="U4641" s="401">
        <f t="shared" si="14988"/>
        <v>0</v>
      </c>
      <c r="V4641" s="399" t="s">
        <v>125</v>
      </c>
      <c r="W4641" s="399">
        <f t="shared" si="14989"/>
        <v>11</v>
      </c>
      <c r="X4641" s="399" t="s">
        <v>125</v>
      </c>
      <c r="Y4641" s="389">
        <f t="shared" ref="Y4641" si="14997">D4625</f>
        <v>4</v>
      </c>
      <c r="Z4641" s="400" t="s">
        <v>176</v>
      </c>
      <c r="AA4641" s="402">
        <f t="shared" si="14991"/>
        <v>0</v>
      </c>
      <c r="AB4641" s="403"/>
    </row>
    <row r="4642" spans="1:28">
      <c r="A4642" s="391"/>
      <c r="B4642" s="392"/>
      <c r="C4642" s="392"/>
      <c r="D4642" s="394"/>
      <c r="E4642" s="388"/>
      <c r="F4642" s="388"/>
      <c r="G4642" s="388"/>
      <c r="H4642" s="395"/>
      <c r="I4642" s="388"/>
      <c r="J4642" s="402"/>
      <c r="K4642" s="388"/>
      <c r="L4642" s="388"/>
      <c r="M4642" s="388"/>
      <c r="N4642" s="388"/>
      <c r="O4642" s="388"/>
      <c r="P4642" s="388"/>
      <c r="Q4642" s="388"/>
      <c r="R4642" s="388"/>
      <c r="S4642" s="388"/>
      <c r="T4642" s="388"/>
      <c r="U4642" s="388"/>
      <c r="V4642" s="388"/>
      <c r="W4642" s="388"/>
      <c r="X4642" s="388"/>
      <c r="Y4642" s="389"/>
      <c r="Z4642" s="388"/>
      <c r="AA4642" s="402"/>
      <c r="AB4642" s="403"/>
    </row>
    <row r="4643" spans="1:28" ht="15.75" thickBot="1">
      <c r="A4643" s="406"/>
      <c r="B4643" s="407"/>
      <c r="C4643" s="407"/>
      <c r="D4643" s="408"/>
      <c r="E4643" s="409"/>
      <c r="F4643" s="409"/>
      <c r="G4643" s="409"/>
      <c r="H4643" s="410"/>
      <c r="I4643" s="409"/>
      <c r="J4643" s="409"/>
      <c r="K4643" s="409"/>
      <c r="L4643" s="409"/>
      <c r="M4643" s="409"/>
      <c r="N4643" s="409"/>
      <c r="O4643" s="409"/>
      <c r="P4643" s="409"/>
      <c r="Q4643" s="409"/>
      <c r="R4643" s="409"/>
      <c r="S4643" s="409"/>
      <c r="T4643" s="409"/>
      <c r="U4643" s="409"/>
      <c r="V4643" s="409"/>
      <c r="W4643" s="409"/>
      <c r="X4643" s="409"/>
      <c r="Y4643" s="411"/>
      <c r="Z4643" s="409"/>
      <c r="AA4643" s="412"/>
      <c r="AB4643" s="413"/>
    </row>
    <row r="4644" spans="1:28">
      <c r="A4644" s="377"/>
      <c r="B4644" s="378"/>
      <c r="C4644" s="378"/>
      <c r="D4644" s="379"/>
      <c r="E4644" s="380"/>
      <c r="F4644" s="380"/>
      <c r="G4644" s="380"/>
      <c r="H4644" s="381"/>
      <c r="I4644" s="380"/>
      <c r="J4644" s="380"/>
      <c r="K4644" s="380"/>
      <c r="L4644" s="380"/>
      <c r="M4644" s="380"/>
      <c r="N4644" s="380"/>
      <c r="O4644" s="380"/>
      <c r="P4644" s="380"/>
      <c r="Q4644" s="380"/>
      <c r="R4644" s="380"/>
      <c r="S4644" s="380"/>
      <c r="T4644" s="380"/>
      <c r="U4644" s="380"/>
      <c r="V4644" s="380"/>
      <c r="W4644" s="380"/>
      <c r="X4644" s="380"/>
      <c r="Y4644" s="382"/>
      <c r="Z4644" s="380"/>
      <c r="AA4644" s="380"/>
      <c r="AB4644" s="383"/>
    </row>
    <row r="4645" spans="1:28">
      <c r="A4645" s="384" t="str">
        <f t="shared" ref="A4645:A4705" si="14998">A4615</f>
        <v>Lantai 3</v>
      </c>
      <c r="B4645" s="385">
        <f t="shared" ref="B4645:B4705" si="14999">B4615+1</f>
        <v>13</v>
      </c>
      <c r="C4645" s="386" t="str">
        <f t="shared" ref="C4645" si="15000">CONCATENATE(A4645," no. ",B4645)</f>
        <v>Lantai 3 no. 13</v>
      </c>
      <c r="D4645" s="2562" t="str">
        <f>VLOOKUP(C4645,'Data Panjang Balok'!$C$9:$N$254,2,FALSE)</f>
        <v>CL24-1</v>
      </c>
      <c r="E4645" s="2576"/>
      <c r="F4645" s="2576"/>
      <c r="G4645" s="2576"/>
      <c r="H4645" s="2577"/>
      <c r="I4645" s="387"/>
      <c r="J4645" s="388"/>
      <c r="K4645" s="388"/>
      <c r="L4645" s="388"/>
      <c r="M4645" s="388"/>
      <c r="N4645" s="388"/>
      <c r="O4645" s="388"/>
      <c r="P4645" s="388"/>
      <c r="Q4645" s="388"/>
      <c r="R4645" s="388"/>
      <c r="S4645" s="388"/>
      <c r="T4645" s="388"/>
      <c r="U4645" s="388"/>
      <c r="V4645" s="388"/>
      <c r="W4645" s="388"/>
      <c r="X4645" s="388"/>
      <c r="Y4645" s="389"/>
      <c r="Z4645" s="388"/>
      <c r="AA4645" s="388"/>
      <c r="AB4645" s="390"/>
    </row>
    <row r="4646" spans="1:28">
      <c r="A4646" s="391"/>
      <c r="B4646" s="392"/>
      <c r="C4646" s="393" t="s">
        <v>118</v>
      </c>
      <c r="D4646" s="2578">
        <f>VLOOKUP(D4645,'Detail Balok'!$C$10:$AU$140,2,FALSE)</f>
        <v>200</v>
      </c>
      <c r="E4646" s="2579"/>
      <c r="F4646" s="388" t="s">
        <v>125</v>
      </c>
      <c r="G4646" s="2579">
        <f>VLOOKUP(D4645,'Detail Balok'!$C$10:$AU$140,3,FALSE)</f>
        <v>400</v>
      </c>
      <c r="H4646" s="2580"/>
      <c r="I4646" s="388"/>
      <c r="J4646" s="396"/>
      <c r="K4646" s="396"/>
      <c r="L4646" s="396"/>
      <c r="M4646" s="396"/>
      <c r="N4646" s="396"/>
      <c r="O4646" s="396"/>
      <c r="P4646" s="396"/>
      <c r="Q4646" s="396"/>
      <c r="R4646" s="396"/>
      <c r="S4646" s="396"/>
      <c r="T4646" s="396"/>
      <c r="U4646" s="388"/>
      <c r="V4646" s="396"/>
      <c r="W4646" s="388"/>
      <c r="X4646" s="396"/>
      <c r="Y4646" s="389"/>
      <c r="Z4646" s="396"/>
      <c r="AA4646" s="388"/>
      <c r="AB4646" s="390"/>
    </row>
    <row r="4647" spans="1:28">
      <c r="A4647" s="391"/>
      <c r="B4647" s="392"/>
      <c r="C4647" s="393" t="s">
        <v>198</v>
      </c>
      <c r="D4647" s="2562">
        <f>VLOOKUP(C4645,'Data Panjang Balok'!$C$9:$N$254,4,FALSE)</f>
        <v>1175</v>
      </c>
      <c r="E4647" s="2563"/>
      <c r="F4647" s="2563"/>
      <c r="G4647" s="2563"/>
      <c r="H4647" s="2564"/>
      <c r="I4647" s="397"/>
      <c r="J4647" s="396"/>
      <c r="K4647" s="396"/>
      <c r="L4647" s="396"/>
      <c r="M4647" s="396"/>
      <c r="N4647" s="396"/>
      <c r="O4647" s="396"/>
      <c r="P4647" s="396"/>
      <c r="Q4647" s="396"/>
      <c r="R4647" s="396"/>
      <c r="S4647" s="396"/>
      <c r="T4647" s="396"/>
      <c r="U4647" s="388"/>
      <c r="V4647" s="396"/>
      <c r="W4647" s="388"/>
      <c r="X4647" s="396"/>
      <c r="Y4647" s="389"/>
      <c r="Z4647" s="396"/>
      <c r="AA4647" s="388"/>
      <c r="AB4647" s="390"/>
    </row>
    <row r="4648" spans="1:28">
      <c r="A4648" s="391"/>
      <c r="B4648" s="392"/>
      <c r="C4648" s="393" t="s">
        <v>199</v>
      </c>
      <c r="D4648" s="2562">
        <f>VLOOKUP(C4645,'Data Panjang Balok'!$C$9:$N$254,7,FALSE)</f>
        <v>1175</v>
      </c>
      <c r="E4648" s="2563"/>
      <c r="F4648" s="2563"/>
      <c r="G4648" s="2563"/>
      <c r="H4648" s="2564"/>
      <c r="I4648" s="397"/>
      <c r="J4648" s="396"/>
      <c r="K4648" s="396"/>
      <c r="L4648" s="396"/>
      <c r="M4648" s="396"/>
      <c r="N4648" s="396"/>
      <c r="O4648" s="396"/>
      <c r="P4648" s="396"/>
      <c r="Q4648" s="396"/>
      <c r="R4648" s="396"/>
      <c r="S4648" s="396"/>
      <c r="T4648" s="396"/>
      <c r="U4648" s="388"/>
      <c r="V4648" s="396"/>
      <c r="W4648" s="388"/>
      <c r="X4648" s="396"/>
      <c r="Y4648" s="389"/>
      <c r="Z4648" s="396"/>
      <c r="AA4648" s="388"/>
      <c r="AB4648" s="390"/>
    </row>
    <row r="4649" spans="1:28">
      <c r="A4649" s="391"/>
      <c r="B4649" s="392"/>
      <c r="C4649" s="393" t="s">
        <v>200</v>
      </c>
      <c r="D4649" s="2562">
        <f>VLOOKUP(C4645,'Data Panjang Balok'!$C$9:$N$254,9,FALSE)</f>
        <v>0</v>
      </c>
      <c r="E4649" s="2563"/>
      <c r="F4649" s="2563"/>
      <c r="G4649" s="2563"/>
      <c r="H4649" s="2564"/>
      <c r="I4649" s="397"/>
      <c r="J4649" s="396"/>
      <c r="K4649" s="396"/>
      <c r="L4649" s="396"/>
      <c r="M4649" s="396"/>
      <c r="N4649" s="396"/>
      <c r="O4649" s="396"/>
      <c r="P4649" s="396"/>
      <c r="Q4649" s="396"/>
      <c r="R4649" s="396"/>
      <c r="S4649" s="396"/>
      <c r="T4649" s="396"/>
      <c r="U4649" s="388"/>
      <c r="V4649" s="396"/>
      <c r="W4649" s="388"/>
      <c r="X4649" s="396"/>
      <c r="Y4649" s="389"/>
      <c r="Z4649" s="396"/>
      <c r="AA4649" s="388"/>
      <c r="AB4649" s="390"/>
    </row>
    <row r="4650" spans="1:28">
      <c r="A4650" s="391"/>
      <c r="B4650" s="392"/>
      <c r="C4650" s="393" t="s">
        <v>201</v>
      </c>
      <c r="D4650" s="2562">
        <f>VLOOKUP(C4645,'Data Panjang Balok'!$C$9:$N$254,10,FALSE)</f>
        <v>0</v>
      </c>
      <c r="E4650" s="2563"/>
      <c r="F4650" s="2563"/>
      <c r="G4650" s="2563"/>
      <c r="H4650" s="2564"/>
      <c r="I4650" s="397"/>
      <c r="J4650" s="396"/>
      <c r="K4650" s="396"/>
      <c r="L4650" s="396"/>
      <c r="M4650" s="396"/>
      <c r="N4650" s="396"/>
      <c r="O4650" s="396"/>
      <c r="P4650" s="396"/>
      <c r="Q4650" s="396"/>
      <c r="R4650" s="396"/>
      <c r="S4650" s="396"/>
      <c r="T4650" s="396"/>
      <c r="U4650" s="388"/>
      <c r="V4650" s="396"/>
      <c r="W4650" s="388"/>
      <c r="X4650" s="396"/>
      <c r="Y4650" s="389"/>
      <c r="Z4650" s="396"/>
      <c r="AA4650" s="388"/>
      <c r="AB4650" s="390"/>
    </row>
    <row r="4651" spans="1:28">
      <c r="A4651" s="391"/>
      <c r="B4651" s="392"/>
      <c r="C4651" s="393" t="s">
        <v>48</v>
      </c>
      <c r="D4651" s="2562">
        <f>VLOOKUP(C4645,'Data Panjang Balok'!$C$9:$N$254,3,FALSE)</f>
        <v>1</v>
      </c>
      <c r="E4651" s="2563"/>
      <c r="F4651" s="2563"/>
      <c r="G4651" s="2563"/>
      <c r="H4651" s="2564"/>
      <c r="I4651" s="397"/>
      <c r="J4651" s="396"/>
      <c r="K4651" s="396"/>
      <c r="L4651" s="396"/>
      <c r="M4651" s="396"/>
      <c r="N4651" s="396"/>
      <c r="O4651" s="396"/>
      <c r="P4651" s="396"/>
      <c r="Q4651" s="396"/>
      <c r="R4651" s="396"/>
      <c r="S4651" s="396"/>
      <c r="T4651" s="396"/>
      <c r="U4651" s="388"/>
      <c r="V4651" s="396"/>
      <c r="W4651" s="388"/>
      <c r="X4651" s="396"/>
      <c r="Y4651" s="389"/>
      <c r="Z4651" s="396"/>
      <c r="AA4651" s="388"/>
      <c r="AB4651" s="390"/>
    </row>
    <row r="4652" spans="1:28">
      <c r="A4652" s="384" t="str">
        <f t="shared" ref="A4652:B4652" si="15001">A4645</f>
        <v>Lantai 3</v>
      </c>
      <c r="B4652" s="385">
        <f t="shared" si="15001"/>
        <v>13</v>
      </c>
      <c r="C4652" s="393" t="s">
        <v>202</v>
      </c>
      <c r="D4652" s="398">
        <f>VLOOKUP(D4645,'Detail Balok'!$C$10:$AU$140,4,FALSE)</f>
        <v>3</v>
      </c>
      <c r="E4652" s="388" t="s">
        <v>16</v>
      </c>
      <c r="F4652" s="388">
        <f>VLOOKUP(D4645,'Detail Balok'!$C$10:$AU$140,6,FALSE)</f>
        <v>16</v>
      </c>
      <c r="G4652" s="388"/>
      <c r="H4652" s="395"/>
      <c r="I4652" s="388" t="s">
        <v>203</v>
      </c>
      <c r="J4652" s="399">
        <f t="shared" ref="J4652" si="15002">+D4647/4/1000</f>
        <v>0.29375000000000001</v>
      </c>
      <c r="K4652" s="400" t="s">
        <v>204</v>
      </c>
      <c r="L4652" s="399">
        <f t="shared" ref="L4652" si="15003">MAX(VLOOKUP(F4652,N$6:P$15,3,FALSE)/1000,2/3*D4649/1000)+F$16*F4652/1000</f>
        <v>0.192</v>
      </c>
      <c r="M4652" s="399" t="s">
        <v>176</v>
      </c>
      <c r="N4652" s="399">
        <f t="shared" ref="N4652:N4654" si="15004">J4652+L4652</f>
        <v>0.48575000000000002</v>
      </c>
      <c r="O4652" s="399" t="s">
        <v>204</v>
      </c>
      <c r="P4652" s="389">
        <f t="shared" ref="P4652" si="15005">D4652-D4653</f>
        <v>0</v>
      </c>
      <c r="Q4652" s="399" t="s">
        <v>125</v>
      </c>
      <c r="R4652" s="399">
        <f t="shared" ref="R4652" si="15006">IF(P4652&gt;0,$F$18*F4652/1000,0)</f>
        <v>0</v>
      </c>
      <c r="S4652" s="399" t="s">
        <v>205</v>
      </c>
      <c r="T4652" s="399" t="s">
        <v>125</v>
      </c>
      <c r="U4652" s="401">
        <f t="shared" ref="U4652:U4654" si="15007">0.006165*F4652^2</f>
        <v>1.5782400000000001</v>
      </c>
      <c r="V4652" s="399"/>
      <c r="W4652" s="399"/>
      <c r="X4652" s="399" t="s">
        <v>125</v>
      </c>
      <c r="Y4652" s="389">
        <f t="shared" ref="Y4652" si="15008">D4651</f>
        <v>1</v>
      </c>
      <c r="Z4652" s="400" t="s">
        <v>176</v>
      </c>
      <c r="AA4652" s="402">
        <f t="shared" ref="AA4652" si="15009">IF(AA4655=0,(D4652*N4652+P4652*R4652)*U4652*Y4652,0)</f>
        <v>0</v>
      </c>
      <c r="AB4652" s="403"/>
    </row>
    <row r="4653" spans="1:28">
      <c r="A4653" s="384" t="str">
        <f t="shared" ref="A4653:B4653" si="15010">A4645</f>
        <v>Lantai 3</v>
      </c>
      <c r="B4653" s="385">
        <f t="shared" si="15010"/>
        <v>13</v>
      </c>
      <c r="C4653" s="393" t="s">
        <v>206</v>
      </c>
      <c r="D4653" s="398">
        <f>VLOOKUP(D4645,'Detail Balok'!$C$10:$AU$140,7,FALSE)</f>
        <v>3</v>
      </c>
      <c r="E4653" s="388" t="s">
        <v>16</v>
      </c>
      <c r="F4653" s="388">
        <f>VLOOKUP(D4645,'Detail Balok'!$C$10:$AU$140,9,FALSE)</f>
        <v>16</v>
      </c>
      <c r="G4653" s="388"/>
      <c r="H4653" s="395"/>
      <c r="I4653" s="388" t="s">
        <v>203</v>
      </c>
      <c r="J4653" s="399">
        <f t="shared" ref="J4653" si="15011">+D4647/2/1000</f>
        <v>0.58750000000000002</v>
      </c>
      <c r="K4653" s="400" t="s">
        <v>204</v>
      </c>
      <c r="L4653" s="399"/>
      <c r="M4653" s="399" t="s">
        <v>176</v>
      </c>
      <c r="N4653" s="399">
        <f t="shared" si="15004"/>
        <v>0.58750000000000002</v>
      </c>
      <c r="O4653" s="399" t="s">
        <v>204</v>
      </c>
      <c r="P4653" s="389">
        <f t="shared" ref="P4653" si="15012">MAX(D4653-D4652,D4653-D4654)</f>
        <v>0</v>
      </c>
      <c r="Q4653" s="399" t="s">
        <v>125</v>
      </c>
      <c r="R4653" s="399">
        <f t="shared" ref="R4653" si="15013">IF(P4653&gt;0,2*(1-2*$F$19-1/2)*D4648/1000,0)</f>
        <v>0</v>
      </c>
      <c r="S4653" s="399" t="s">
        <v>205</v>
      </c>
      <c r="T4653" s="399" t="s">
        <v>125</v>
      </c>
      <c r="U4653" s="401">
        <f t="shared" si="15007"/>
        <v>1.5782400000000001</v>
      </c>
      <c r="V4653" s="399"/>
      <c r="W4653" s="399"/>
      <c r="X4653" s="399" t="s">
        <v>125</v>
      </c>
      <c r="Y4653" s="389">
        <f t="shared" ref="Y4653" si="15014">D4651</f>
        <v>1</v>
      </c>
      <c r="Z4653" s="400" t="s">
        <v>176</v>
      </c>
      <c r="AA4653" s="402">
        <f t="shared" ref="AA4653" si="15015">IF(AA4655=0,(D4653*N4653+P4653*R4653)*U4653*Y4653,0)</f>
        <v>0</v>
      </c>
      <c r="AB4653" s="403"/>
    </row>
    <row r="4654" spans="1:28">
      <c r="A4654" s="384" t="str">
        <f t="shared" ref="A4654:B4654" si="15016">A4645</f>
        <v>Lantai 3</v>
      </c>
      <c r="B4654" s="385">
        <f t="shared" si="15016"/>
        <v>13</v>
      </c>
      <c r="C4654" s="393" t="s">
        <v>202</v>
      </c>
      <c r="D4654" s="398">
        <f>VLOOKUP(D4645,'Detail Balok'!$C$10:$AU$140,10,FALSE)</f>
        <v>3</v>
      </c>
      <c r="E4654" s="388" t="s">
        <v>16</v>
      </c>
      <c r="F4654" s="388">
        <f>VLOOKUP(D4645,'Detail Balok'!$C$10:$AU$140,12,FALSE)</f>
        <v>16</v>
      </c>
      <c r="G4654" s="388"/>
      <c r="H4654" s="395"/>
      <c r="I4654" s="388" t="s">
        <v>203</v>
      </c>
      <c r="J4654" s="399">
        <f t="shared" ref="J4654" si="15017">+D4647/4/1000</f>
        <v>0.29375000000000001</v>
      </c>
      <c r="K4654" s="400" t="s">
        <v>204</v>
      </c>
      <c r="L4654" s="399">
        <f t="shared" ref="L4654" si="15018">MAX(VLOOKUP(F4654,N$6:P$15,3,FALSE)/1000,2/3*D4649/1000)+F$16*F4654/1000</f>
        <v>0.192</v>
      </c>
      <c r="M4654" s="399" t="s">
        <v>176</v>
      </c>
      <c r="N4654" s="399">
        <f t="shared" si="15004"/>
        <v>0.48575000000000002</v>
      </c>
      <c r="O4654" s="399" t="s">
        <v>204</v>
      </c>
      <c r="P4654" s="389">
        <f t="shared" ref="P4654" si="15019">D4654-D4653</f>
        <v>0</v>
      </c>
      <c r="Q4654" s="399" t="s">
        <v>125</v>
      </c>
      <c r="R4654" s="399">
        <f t="shared" ref="R4654" si="15020">IF(P4654&gt;0,$F$18*F4654/1000,0)</f>
        <v>0</v>
      </c>
      <c r="S4654" s="399" t="s">
        <v>205</v>
      </c>
      <c r="T4654" s="399" t="s">
        <v>125</v>
      </c>
      <c r="U4654" s="401">
        <f t="shared" si="15007"/>
        <v>1.5782400000000001</v>
      </c>
      <c r="V4654" s="399"/>
      <c r="W4654" s="399"/>
      <c r="X4654" s="399" t="s">
        <v>125</v>
      </c>
      <c r="Y4654" s="389">
        <f t="shared" ref="Y4654" si="15021">D4651</f>
        <v>1</v>
      </c>
      <c r="Z4654" s="400" t="s">
        <v>176</v>
      </c>
      <c r="AA4654" s="402">
        <f t="shared" ref="AA4654" si="15022">IF(AA4655=0,(D4654*N4654+P4654*R4654)*U4654*Y4654,0)</f>
        <v>0</v>
      </c>
      <c r="AB4654" s="403"/>
    </row>
    <row r="4655" spans="1:28">
      <c r="A4655" s="384" t="str">
        <f t="shared" ref="A4655:B4655" si="15023">A4645</f>
        <v>Lantai 3</v>
      </c>
      <c r="B4655" s="385">
        <f t="shared" si="15023"/>
        <v>13</v>
      </c>
      <c r="C4655" s="393"/>
      <c r="D4655" s="398">
        <f t="shared" si="14919"/>
        <v>3</v>
      </c>
      <c r="E4655" s="388" t="s">
        <v>16</v>
      </c>
      <c r="F4655" s="388">
        <f t="shared" si="14920"/>
        <v>16</v>
      </c>
      <c r="G4655" s="388"/>
      <c r="H4655" s="395"/>
      <c r="I4655" s="388"/>
      <c r="J4655" s="396"/>
      <c r="K4655" s="396"/>
      <c r="L4655" s="404" t="s">
        <v>207</v>
      </c>
      <c r="M4655" s="399" t="s">
        <v>176</v>
      </c>
      <c r="N4655" s="399">
        <f t="shared" ref="N4655" si="15024">IF(AND(D4652=D4653,D4652=D4654,D4653=D4654,F4652=F4653,F4652=F4654,F4653=F4654),SUM(N4652:N4654),0)</f>
        <v>1.5590000000000002</v>
      </c>
      <c r="O4655" s="399" t="s">
        <v>204</v>
      </c>
      <c r="P4655" s="389">
        <f t="shared" ref="P4655" si="15025">IF(N4655&gt;12,ROUNDDOWN(N4655/12,0),0)</f>
        <v>0</v>
      </c>
      <c r="Q4655" s="399" t="s">
        <v>125</v>
      </c>
      <c r="R4655" s="399">
        <f t="shared" ref="R4655" si="15026">IF(P4655&gt;0,MAX(VLOOKUP(F4655,$D$6:$G$15,3,FALSE),600),0)/1000</f>
        <v>0</v>
      </c>
      <c r="S4655" s="396"/>
      <c r="T4655" s="396" t="s">
        <v>125</v>
      </c>
      <c r="U4655" s="401">
        <f t="shared" si="14924"/>
        <v>1.5782400000000001</v>
      </c>
      <c r="V4655" s="396" t="s">
        <v>125</v>
      </c>
      <c r="W4655" s="399">
        <f t="shared" ref="W4655" si="15027">D4655</f>
        <v>3</v>
      </c>
      <c r="X4655" s="399" t="s">
        <v>125</v>
      </c>
      <c r="Y4655" s="389">
        <f t="shared" si="14926"/>
        <v>1</v>
      </c>
      <c r="Z4655" s="400" t="s">
        <v>176</v>
      </c>
      <c r="AA4655" s="402">
        <f t="shared" ref="AA4655" si="15028">(N4655+P4655*R4655/1000)*U4655*W4655*Y4655</f>
        <v>7.3814284800000003</v>
      </c>
      <c r="AB4655" s="390"/>
    </row>
    <row r="4656" spans="1:28">
      <c r="A4656" s="384"/>
      <c r="B4656" s="385"/>
      <c r="C4656" s="393"/>
      <c r="D4656" s="398"/>
      <c r="E4656" s="388"/>
      <c r="F4656" s="388"/>
      <c r="G4656" s="388"/>
      <c r="H4656" s="395"/>
      <c r="I4656" s="388"/>
      <c r="J4656" s="396"/>
      <c r="K4656" s="396"/>
      <c r="L4656" s="404"/>
      <c r="M4656" s="399"/>
      <c r="N4656" s="399"/>
      <c r="O4656" s="396"/>
      <c r="P4656" s="389"/>
      <c r="Q4656" s="396"/>
      <c r="R4656" s="396"/>
      <c r="S4656" s="396"/>
      <c r="T4656" s="396"/>
      <c r="U4656" s="401"/>
      <c r="V4656" s="396"/>
      <c r="W4656" s="399"/>
      <c r="X4656" s="396"/>
      <c r="Y4656" s="389"/>
      <c r="Z4656" s="396"/>
      <c r="AA4656" s="388"/>
      <c r="AB4656" s="390"/>
    </row>
    <row r="4657" spans="1:28">
      <c r="A4657" s="384" t="str">
        <f t="shared" ref="A4657:B4657" si="15029">A4645</f>
        <v>Lantai 3</v>
      </c>
      <c r="B4657" s="385">
        <f t="shared" si="15029"/>
        <v>13</v>
      </c>
      <c r="C4657" s="393" t="s">
        <v>208</v>
      </c>
      <c r="D4657" s="398">
        <f>VLOOKUP(D4645,'Detail Balok'!$C$10:$AU$140,13,FALSE)</f>
        <v>0</v>
      </c>
      <c r="E4657" s="388" t="s">
        <v>16</v>
      </c>
      <c r="F4657" s="388">
        <f>VLOOKUP(D4645,'Detail Balok'!$C$10:$AU$140,15,FALSE)</f>
        <v>8</v>
      </c>
      <c r="G4657" s="388"/>
      <c r="H4657" s="395"/>
      <c r="I4657" s="388"/>
      <c r="J4657" s="399">
        <f t="shared" ref="J4657" si="15030">+D4647/1000</f>
        <v>1.175</v>
      </c>
      <c r="K4657" s="400" t="s">
        <v>204</v>
      </c>
      <c r="L4657" s="399">
        <f t="shared" ref="L4657" si="15031">2*$F$16*F4657/1000</f>
        <v>0.192</v>
      </c>
      <c r="M4657" s="399" t="s">
        <v>176</v>
      </c>
      <c r="N4657" s="399">
        <f t="shared" ref="N4657" si="15032">J4657+L4657</f>
        <v>1.367</v>
      </c>
      <c r="O4657" s="399" t="s">
        <v>204</v>
      </c>
      <c r="P4657" s="389">
        <f t="shared" ref="P4657" si="15033">IF(N4657&gt;12,ROUNDDOWN(N4657/12,0),0)</f>
        <v>0</v>
      </c>
      <c r="Q4657" s="399" t="s">
        <v>125</v>
      </c>
      <c r="R4657" s="399">
        <f t="shared" ref="R4657" si="15034">IF(P4657&gt;0,MAX(VLOOKUP(F4657,$D$6:$G$15,3,FALSE),600),0)/1000</f>
        <v>0</v>
      </c>
      <c r="S4657" s="399"/>
      <c r="T4657" s="399" t="s">
        <v>125</v>
      </c>
      <c r="U4657" s="401">
        <f t="shared" ref="U4657" si="15035">0.006165*F4657^2</f>
        <v>0.39456000000000002</v>
      </c>
      <c r="V4657" s="399" t="s">
        <v>125</v>
      </c>
      <c r="W4657" s="399">
        <f t="shared" ref="W4657" si="15036">+D4657</f>
        <v>0</v>
      </c>
      <c r="X4657" s="399" t="s">
        <v>125</v>
      </c>
      <c r="Y4657" s="389">
        <f t="shared" ref="Y4657" si="15037">D4651</f>
        <v>1</v>
      </c>
      <c r="Z4657" s="400" t="s">
        <v>176</v>
      </c>
      <c r="AA4657" s="402">
        <f t="shared" ref="AA4657" si="15038">(N4657+P4657*R4657/1000)*U4657*W4657*Y4657</f>
        <v>0</v>
      </c>
      <c r="AB4657" s="403"/>
    </row>
    <row r="4658" spans="1:28">
      <c r="A4658" s="384"/>
      <c r="B4658" s="385"/>
      <c r="C4658" s="393"/>
      <c r="D4658" s="398"/>
      <c r="E4658" s="388"/>
      <c r="F4658" s="388"/>
      <c r="G4658" s="388"/>
      <c r="H4658" s="395"/>
      <c r="I4658" s="388"/>
      <c r="J4658" s="399"/>
      <c r="K4658" s="400"/>
      <c r="L4658" s="399"/>
      <c r="M4658" s="399"/>
      <c r="N4658" s="399"/>
      <c r="O4658" s="399"/>
      <c r="P4658" s="389"/>
      <c r="Q4658" s="399"/>
      <c r="R4658" s="399"/>
      <c r="S4658" s="399"/>
      <c r="T4658" s="399"/>
      <c r="U4658" s="401"/>
      <c r="V4658" s="399"/>
      <c r="W4658" s="399"/>
      <c r="X4658" s="399"/>
      <c r="Y4658" s="389"/>
      <c r="Z4658" s="400"/>
      <c r="AA4658" s="402"/>
      <c r="AB4658" s="403"/>
    </row>
    <row r="4659" spans="1:28">
      <c r="A4659" s="384"/>
      <c r="B4659" s="385"/>
      <c r="C4659" s="393"/>
      <c r="D4659" s="398"/>
      <c r="E4659" s="388"/>
      <c r="F4659" s="388"/>
      <c r="G4659" s="388"/>
      <c r="H4659" s="395"/>
      <c r="I4659" s="388"/>
      <c r="J4659" s="396"/>
      <c r="K4659" s="396"/>
      <c r="L4659" s="396"/>
      <c r="M4659" s="396"/>
      <c r="N4659" s="396"/>
      <c r="O4659" s="396"/>
      <c r="P4659" s="389"/>
      <c r="Q4659" s="396"/>
      <c r="R4659" s="396"/>
      <c r="S4659" s="396"/>
      <c r="T4659" s="396"/>
      <c r="U4659" s="401"/>
      <c r="V4659" s="396"/>
      <c r="W4659" s="399"/>
      <c r="X4659" s="396"/>
      <c r="Y4659" s="389"/>
      <c r="Z4659" s="396"/>
      <c r="AA4659" s="388"/>
      <c r="AB4659" s="390"/>
    </row>
    <row r="4660" spans="1:28">
      <c r="A4660" s="384" t="str">
        <f t="shared" ref="A4660:B4660" si="15039">A4645</f>
        <v>Lantai 3</v>
      </c>
      <c r="B4660" s="385">
        <f t="shared" si="15039"/>
        <v>13</v>
      </c>
      <c r="C4660" s="393" t="s">
        <v>209</v>
      </c>
      <c r="D4660" s="398">
        <f>VLOOKUP(D4645,'Detail Balok'!$C$10:$AU$140,22,FALSE)</f>
        <v>3</v>
      </c>
      <c r="E4660" s="388" t="s">
        <v>16</v>
      </c>
      <c r="F4660" s="388">
        <f>VLOOKUP(D4645,'Detail Balok'!$C$10:$AU$140,24,FALSE)</f>
        <v>16</v>
      </c>
      <c r="G4660" s="388"/>
      <c r="H4660" s="395"/>
      <c r="I4660" s="388" t="s">
        <v>203</v>
      </c>
      <c r="J4660" s="399">
        <f t="shared" si="14939"/>
        <v>0.29375000000000001</v>
      </c>
      <c r="K4660" s="400" t="s">
        <v>204</v>
      </c>
      <c r="L4660" s="399">
        <f t="shared" ref="L4660" si="15040">MAX(VLOOKUP(F4660,N$6:P$15,3,FALSE)/1000,2/3*D4650/1000)+F$16*F4660/1000</f>
        <v>0.192</v>
      </c>
      <c r="M4660" s="399" t="s">
        <v>176</v>
      </c>
      <c r="N4660" s="399">
        <f t="shared" ref="N4660:N4662" si="15041">J4660+L4660</f>
        <v>0.48575000000000002</v>
      </c>
      <c r="O4660" s="399" t="s">
        <v>204</v>
      </c>
      <c r="P4660" s="389">
        <f t="shared" ref="P4660" si="15042">D4660-D4661</f>
        <v>0</v>
      </c>
      <c r="Q4660" s="399" t="s">
        <v>125</v>
      </c>
      <c r="R4660" s="399">
        <f t="shared" ref="R4660" si="15043">IF(P4660&gt;0,$F$18*F4660/1000,0)</f>
        <v>0</v>
      </c>
      <c r="S4660" s="399" t="s">
        <v>205</v>
      </c>
      <c r="T4660" s="399" t="s">
        <v>125</v>
      </c>
      <c r="U4660" s="401">
        <f t="shared" ref="U4660:U4662" si="15044">0.006165*F4660^2</f>
        <v>1.5782400000000001</v>
      </c>
      <c r="V4660" s="399"/>
      <c r="W4660" s="399"/>
      <c r="X4660" s="399" t="s">
        <v>125</v>
      </c>
      <c r="Y4660" s="389">
        <f t="shared" ref="Y4660" si="15045">D4651</f>
        <v>1</v>
      </c>
      <c r="Z4660" s="400" t="s">
        <v>176</v>
      </c>
      <c r="AA4660" s="402">
        <f t="shared" ref="AA4660" si="15046">IF(AA4663=0,(D4660*N4660+P4660*R4660)*U4660*Y4660,0)</f>
        <v>0</v>
      </c>
      <c r="AB4660" s="403"/>
    </row>
    <row r="4661" spans="1:28">
      <c r="A4661" s="384" t="str">
        <f t="shared" ref="A4661:B4661" si="15047">A4645</f>
        <v>Lantai 3</v>
      </c>
      <c r="B4661" s="385">
        <f t="shared" si="15047"/>
        <v>13</v>
      </c>
      <c r="C4661" s="393" t="s">
        <v>210</v>
      </c>
      <c r="D4661" s="398">
        <f>VLOOKUP(D4645,'Detail Balok'!$C$10:$AU$140,25,FALSE)</f>
        <v>3</v>
      </c>
      <c r="E4661" s="388" t="s">
        <v>16</v>
      </c>
      <c r="F4661" s="388">
        <f>VLOOKUP(D4645,'Detail Balok'!$C$10:$AU$140,27,FALSE)</f>
        <v>16</v>
      </c>
      <c r="G4661" s="388"/>
      <c r="H4661" s="395"/>
      <c r="I4661" s="388" t="s">
        <v>203</v>
      </c>
      <c r="J4661" s="399">
        <f t="shared" si="14939"/>
        <v>0.58750000000000002</v>
      </c>
      <c r="K4661" s="400" t="s">
        <v>204</v>
      </c>
      <c r="L4661" s="399"/>
      <c r="M4661" s="399" t="s">
        <v>176</v>
      </c>
      <c r="N4661" s="399">
        <f t="shared" si="15041"/>
        <v>0.58750000000000002</v>
      </c>
      <c r="O4661" s="399" t="s">
        <v>204</v>
      </c>
      <c r="P4661" s="389">
        <f t="shared" ref="P4661" si="15048">MAX(D4661-D4660,D4661-D4662)</f>
        <v>0</v>
      </c>
      <c r="Q4661" s="399" t="s">
        <v>125</v>
      </c>
      <c r="R4661" s="399">
        <f t="shared" ref="R4661" si="15049">IF(P4661&gt;0,2*(1-2*$F$19-1/2)*D4648/1000,0)</f>
        <v>0</v>
      </c>
      <c r="S4661" s="399" t="s">
        <v>205</v>
      </c>
      <c r="T4661" s="399" t="s">
        <v>125</v>
      </c>
      <c r="U4661" s="401">
        <f t="shared" si="15044"/>
        <v>1.5782400000000001</v>
      </c>
      <c r="V4661" s="399"/>
      <c r="W4661" s="399"/>
      <c r="X4661" s="399" t="s">
        <v>125</v>
      </c>
      <c r="Y4661" s="389">
        <f t="shared" ref="Y4661" si="15050">D4651</f>
        <v>1</v>
      </c>
      <c r="Z4661" s="400" t="s">
        <v>176</v>
      </c>
      <c r="AA4661" s="402">
        <f t="shared" ref="AA4661" si="15051">IF(AA4663=0,(D4661*N4661+P4661*R4661)*U4661*Y4661,0)</f>
        <v>0</v>
      </c>
      <c r="AB4661" s="403"/>
    </row>
    <row r="4662" spans="1:28">
      <c r="A4662" s="384" t="str">
        <f t="shared" ref="A4662:B4662" si="15052">A4645</f>
        <v>Lantai 3</v>
      </c>
      <c r="B4662" s="385">
        <f t="shared" si="15052"/>
        <v>13</v>
      </c>
      <c r="C4662" s="393" t="s">
        <v>209</v>
      </c>
      <c r="D4662" s="398">
        <f>VLOOKUP(D4645,'Detail Balok'!$C$10:$AU$140,28,FALSE)</f>
        <v>3</v>
      </c>
      <c r="E4662" s="388" t="s">
        <v>16</v>
      </c>
      <c r="F4662" s="388">
        <f>VLOOKUP(D4645,'Detail Balok'!$C$10:$AU$140,30,FALSE)</f>
        <v>16</v>
      </c>
      <c r="G4662" s="388"/>
      <c r="H4662" s="395"/>
      <c r="I4662" s="388" t="s">
        <v>203</v>
      </c>
      <c r="J4662" s="399">
        <f t="shared" si="14939"/>
        <v>0.29375000000000001</v>
      </c>
      <c r="K4662" s="400" t="s">
        <v>204</v>
      </c>
      <c r="L4662" s="399">
        <f t="shared" ref="L4662" si="15053">MAX(VLOOKUP(F4662,N$6:P$15,3,FALSE)/1000,2/3*D4650/1000)+F$16*F4662/1000</f>
        <v>0.192</v>
      </c>
      <c r="M4662" s="399" t="s">
        <v>176</v>
      </c>
      <c r="N4662" s="399">
        <f t="shared" si="15041"/>
        <v>0.48575000000000002</v>
      </c>
      <c r="O4662" s="399" t="s">
        <v>204</v>
      </c>
      <c r="P4662" s="389">
        <f t="shared" ref="P4662" si="15054">D4662-D4661</f>
        <v>0</v>
      </c>
      <c r="Q4662" s="399" t="s">
        <v>125</v>
      </c>
      <c r="R4662" s="399">
        <f t="shared" ref="R4662" si="15055">IF(P4662&gt;0,$F$18*F4662/1000,0)</f>
        <v>0</v>
      </c>
      <c r="S4662" s="399" t="s">
        <v>205</v>
      </c>
      <c r="T4662" s="399" t="s">
        <v>125</v>
      </c>
      <c r="U4662" s="401">
        <f t="shared" si="15044"/>
        <v>1.5782400000000001</v>
      </c>
      <c r="V4662" s="399"/>
      <c r="W4662" s="399"/>
      <c r="X4662" s="399" t="s">
        <v>125</v>
      </c>
      <c r="Y4662" s="389">
        <f t="shared" ref="Y4662" si="15056">D4651</f>
        <v>1</v>
      </c>
      <c r="Z4662" s="400" t="s">
        <v>176</v>
      </c>
      <c r="AA4662" s="402">
        <f t="shared" ref="AA4662" si="15057">IF(AA4663=0,(D4662*N4662+P4662*R4662)*U4662*Y4662,0)</f>
        <v>0</v>
      </c>
      <c r="AB4662" s="403"/>
    </row>
    <row r="4663" spans="1:28">
      <c r="A4663" s="384" t="str">
        <f t="shared" ref="A4663:B4663" si="15058">A4645</f>
        <v>Lantai 3</v>
      </c>
      <c r="B4663" s="385">
        <f t="shared" si="15058"/>
        <v>13</v>
      </c>
      <c r="C4663" s="393"/>
      <c r="D4663" s="398">
        <f t="shared" si="14959"/>
        <v>3</v>
      </c>
      <c r="E4663" s="388" t="s">
        <v>16</v>
      </c>
      <c r="F4663" s="388">
        <f t="shared" si="14960"/>
        <v>16</v>
      </c>
      <c r="G4663" s="388"/>
      <c r="H4663" s="395"/>
      <c r="I4663" s="388"/>
      <c r="J4663" s="396"/>
      <c r="K4663" s="396"/>
      <c r="L4663" s="404" t="s">
        <v>207</v>
      </c>
      <c r="M4663" s="399" t="s">
        <v>176</v>
      </c>
      <c r="N4663" s="399">
        <f t="shared" ref="N4663" si="15059">IF(AND(D4660=D4661,D4660=D4662,D4661=D4662,F4660=F4661,F4660=F4662,F4661=F4662),SUM(N4660:N4662),0)</f>
        <v>1.5590000000000002</v>
      </c>
      <c r="O4663" s="399" t="s">
        <v>204</v>
      </c>
      <c r="P4663" s="389">
        <f t="shared" ref="P4663" si="15060">IF(N4663&gt;12,ROUNDDOWN(N4663/12,0),0)</f>
        <v>0</v>
      </c>
      <c r="Q4663" s="399" t="s">
        <v>125</v>
      </c>
      <c r="R4663" s="399">
        <f t="shared" ref="R4663" si="15061">IF(P4663&gt;0,MAX(VLOOKUP(F4663,$D$6:$G$15,3,FALSE),600),0)/1000</f>
        <v>0</v>
      </c>
      <c r="S4663" s="396"/>
      <c r="T4663" s="396" t="s">
        <v>125</v>
      </c>
      <c r="U4663" s="401">
        <f t="shared" si="14964"/>
        <v>1.5782400000000001</v>
      </c>
      <c r="V4663" s="396" t="s">
        <v>125</v>
      </c>
      <c r="W4663" s="399">
        <f t="shared" ref="W4663" si="15062">D4663</f>
        <v>3</v>
      </c>
      <c r="X4663" s="399" t="s">
        <v>125</v>
      </c>
      <c r="Y4663" s="389">
        <f t="shared" si="14966"/>
        <v>1</v>
      </c>
      <c r="Z4663" s="400" t="s">
        <v>176</v>
      </c>
      <c r="AA4663" s="402">
        <f t="shared" ref="AA4663" si="15063">(N4663+P4663*R4663/1000)*U4663*W4663*Y4663</f>
        <v>7.3814284800000003</v>
      </c>
      <c r="AB4663" s="403"/>
    </row>
    <row r="4664" spans="1:28">
      <c r="A4664" s="384"/>
      <c r="B4664" s="385"/>
      <c r="C4664" s="393"/>
      <c r="D4664" s="394"/>
      <c r="E4664" s="388"/>
      <c r="F4664" s="388"/>
      <c r="G4664" s="388"/>
      <c r="H4664" s="395"/>
      <c r="I4664" s="388"/>
      <c r="J4664" s="399"/>
      <c r="K4664" s="396"/>
      <c r="L4664" s="396"/>
      <c r="M4664" s="396"/>
      <c r="N4664" s="396"/>
      <c r="O4664" s="396"/>
      <c r="P4664" s="389"/>
      <c r="Q4664" s="396"/>
      <c r="R4664" s="396"/>
      <c r="S4664" s="396"/>
      <c r="T4664" s="396"/>
      <c r="U4664" s="401"/>
      <c r="V4664" s="396"/>
      <c r="W4664" s="388"/>
      <c r="X4664" s="396"/>
      <c r="Y4664" s="389"/>
      <c r="Z4664" s="396"/>
      <c r="AA4664" s="388"/>
      <c r="AB4664" s="390"/>
    </row>
    <row r="4665" spans="1:28">
      <c r="A4665" s="384" t="str">
        <f t="shared" ref="A4665:B4665" si="15064">A4645</f>
        <v>Lantai 3</v>
      </c>
      <c r="B4665" s="385">
        <f t="shared" si="15064"/>
        <v>13</v>
      </c>
      <c r="C4665" s="393" t="s">
        <v>211</v>
      </c>
      <c r="D4665" s="398">
        <f>VLOOKUP(D4645,'Detail Balok'!$C$10:$AU$140,31,FALSE)</f>
        <v>0</v>
      </c>
      <c r="E4665" s="388" t="s">
        <v>16</v>
      </c>
      <c r="F4665" s="388">
        <f>VLOOKUP(D4645,'Detail Balok'!$C$10:$AU$140,33,FALSE)</f>
        <v>10</v>
      </c>
      <c r="G4665" s="405" t="s">
        <v>157</v>
      </c>
      <c r="H4665" s="395">
        <f>VLOOKUP(D4645,'Detail Balok'!$C$10:$AU$140,35,FALSE)</f>
        <v>100</v>
      </c>
      <c r="I4665" s="388"/>
      <c r="J4665" s="400">
        <f t="shared" ref="J4665" si="15065">(IF(D4665=0,(2*(D4646+G4646))-(F$5*8),IF(D4665=3,(2*(D4646+G4646))-(F$5*8)+(G4646-2*F$5),IF(D4665=4,(2*(D4646+G4646))-(F$5*8)+2*(G4646-2*F$5)))))/1000</f>
        <v>0.88</v>
      </c>
      <c r="K4665" s="400" t="s">
        <v>204</v>
      </c>
      <c r="L4665" s="399">
        <f t="shared" ref="L4665:L4667" si="15066">IF(D4665=0,2*MAX(6*F4665,75),(D4665-1)*2*MAX(6*F4665,75))/1000</f>
        <v>0.15</v>
      </c>
      <c r="M4665" s="399" t="s">
        <v>176</v>
      </c>
      <c r="N4665" s="399">
        <f t="shared" ref="N4665:N4667" si="15067">J4665+L4665</f>
        <v>1.03</v>
      </c>
      <c r="O4665" s="399"/>
      <c r="P4665" s="389"/>
      <c r="Q4665" s="399"/>
      <c r="R4665" s="399"/>
      <c r="S4665" s="399"/>
      <c r="T4665" s="399" t="s">
        <v>125</v>
      </c>
      <c r="U4665" s="401">
        <f t="shared" ref="U4665:U4667" si="15068">0.006165*F4665^2</f>
        <v>0.61650000000000005</v>
      </c>
      <c r="V4665" s="399" t="s">
        <v>125</v>
      </c>
      <c r="W4665" s="399">
        <f t="shared" ref="W4665" si="15069">IF(D4648&gt;4*G4646,ROUND(MAX(D4648/4,2*G4646)/H4665,0)+1,ROUND(D4648/H4665,0)+1)</f>
        <v>13</v>
      </c>
      <c r="X4665" s="399" t="s">
        <v>125</v>
      </c>
      <c r="Y4665" s="389">
        <f t="shared" ref="Y4665" si="15070">D4651</f>
        <v>1</v>
      </c>
      <c r="Z4665" s="400" t="s">
        <v>176</v>
      </c>
      <c r="AA4665" s="402">
        <f t="shared" ref="AA4665:AA4667" si="15071">N4665*U4665*W4665*Y4665</f>
        <v>8.2549350000000015</v>
      </c>
      <c r="AB4665" s="403"/>
    </row>
    <row r="4666" spans="1:28">
      <c r="A4666" s="384" t="str">
        <f t="shared" ref="A4666:B4666" si="15072">A4645</f>
        <v>Lantai 3</v>
      </c>
      <c r="B4666" s="385">
        <f t="shared" si="15072"/>
        <v>13</v>
      </c>
      <c r="C4666" s="393" t="s">
        <v>212</v>
      </c>
      <c r="D4666" s="398">
        <f>VLOOKUP(D4645,'Detail Balok'!$C$10:$AU$140,36,FALSE)</f>
        <v>0</v>
      </c>
      <c r="E4666" s="388" t="s">
        <v>16</v>
      </c>
      <c r="F4666" s="388">
        <f>VLOOKUP(D4645,'Detail Balok'!$C$10:$AU$140,38,FALSE)</f>
        <v>10</v>
      </c>
      <c r="G4666" s="405" t="s">
        <v>157</v>
      </c>
      <c r="H4666" s="395">
        <f>VLOOKUP(D4645,'Detail Balok'!$C$10:$AU$140,40,FALSE)</f>
        <v>100</v>
      </c>
      <c r="I4666" s="388"/>
      <c r="J4666" s="400">
        <f t="shared" ref="J4666" si="15073">(IF(D4666=0,(2*(D4646+G4646))-(F$5*8),IF(D4666=3,(2*(D4646+G4646))-(F$5*8)+(G4646-2*F$5),IF(D4666=4,(2*(D4646+G4646))-(F$5*8)+2*(G4646-2*F$5)))))/1000</f>
        <v>0.88</v>
      </c>
      <c r="K4666" s="400" t="s">
        <v>204</v>
      </c>
      <c r="L4666" s="399">
        <f t="shared" si="15066"/>
        <v>0.15</v>
      </c>
      <c r="M4666" s="399" t="s">
        <v>176</v>
      </c>
      <c r="N4666" s="399">
        <f t="shared" si="15067"/>
        <v>1.03</v>
      </c>
      <c r="O4666" s="399"/>
      <c r="P4666" s="389"/>
      <c r="Q4666" s="399"/>
      <c r="R4666" s="399"/>
      <c r="S4666" s="399"/>
      <c r="T4666" s="399" t="s">
        <v>125</v>
      </c>
      <c r="U4666" s="401">
        <f t="shared" si="15068"/>
        <v>0.61650000000000005</v>
      </c>
      <c r="V4666" s="399" t="s">
        <v>125</v>
      </c>
      <c r="W4666" s="399">
        <f t="shared" ref="W4666" si="15074">IF(D4648-MAX(D4648/4,2*G4646)*2&gt;0,ROUND((D4648-MAX(D4648/4,2*G4646)*2)/H4666,0),0)</f>
        <v>0</v>
      </c>
      <c r="X4666" s="399" t="s">
        <v>125</v>
      </c>
      <c r="Y4666" s="389">
        <f t="shared" ref="Y4666" si="15075">D4651</f>
        <v>1</v>
      </c>
      <c r="Z4666" s="400" t="s">
        <v>176</v>
      </c>
      <c r="AA4666" s="402">
        <f t="shared" si="15071"/>
        <v>0</v>
      </c>
      <c r="AB4666" s="403"/>
    </row>
    <row r="4667" spans="1:28">
      <c r="A4667" s="384" t="str">
        <f t="shared" ref="A4667:B4667" si="15076">A4645</f>
        <v>Lantai 3</v>
      </c>
      <c r="B4667" s="385">
        <f t="shared" si="15076"/>
        <v>13</v>
      </c>
      <c r="C4667" s="393" t="s">
        <v>211</v>
      </c>
      <c r="D4667" s="398">
        <f>VLOOKUP(D4645,'Detail Balok'!$C$10:$AU$140,41,FALSE)</f>
        <v>0</v>
      </c>
      <c r="E4667" s="388" t="s">
        <v>16</v>
      </c>
      <c r="F4667" s="388">
        <f>VLOOKUP(D4645,'Detail Balok'!$C$10:$AU$140,43,FALSE)</f>
        <v>10</v>
      </c>
      <c r="G4667" s="405" t="s">
        <v>157</v>
      </c>
      <c r="H4667" s="395">
        <f>VLOOKUP(D4645,'Detail Balok'!$C$10:$AU$140,45,FALSE)</f>
        <v>100</v>
      </c>
      <c r="I4667" s="388"/>
      <c r="J4667" s="400">
        <f t="shared" ref="J4667" si="15077">(IF(D4667=0,(2*(D4646+G4646))-(F$5*8),IF(D4667=3,(2*(D4646+G4646))-(F$5*8)+(G4646-2*F$5),IF(D4667=4,(2*(D4646+G4646))-(F$5*8)+2*(G4646-2*F$5)))))/1000</f>
        <v>0.88</v>
      </c>
      <c r="K4667" s="400" t="s">
        <v>204</v>
      </c>
      <c r="L4667" s="399">
        <f t="shared" si="15066"/>
        <v>0.15</v>
      </c>
      <c r="M4667" s="399" t="s">
        <v>176</v>
      </c>
      <c r="N4667" s="399">
        <f t="shared" si="15067"/>
        <v>1.03</v>
      </c>
      <c r="O4667" s="399"/>
      <c r="P4667" s="389"/>
      <c r="Q4667" s="399"/>
      <c r="R4667" s="399"/>
      <c r="S4667" s="399"/>
      <c r="T4667" s="399" t="s">
        <v>125</v>
      </c>
      <c r="U4667" s="401">
        <f t="shared" si="15068"/>
        <v>0.61650000000000005</v>
      </c>
      <c r="V4667" s="399" t="s">
        <v>125</v>
      </c>
      <c r="W4667" s="399">
        <f t="shared" ref="W4667" si="15078">IF(D4648&gt;4*G4646,ROUND(MAX(D4648/4,2*G4646)/H4667,0)+1,0)</f>
        <v>0</v>
      </c>
      <c r="X4667" s="399" t="s">
        <v>125</v>
      </c>
      <c r="Y4667" s="389">
        <f t="shared" ref="Y4667" si="15079">D4651</f>
        <v>1</v>
      </c>
      <c r="Z4667" s="400" t="s">
        <v>176</v>
      </c>
      <c r="AA4667" s="402">
        <f t="shared" si="15071"/>
        <v>0</v>
      </c>
      <c r="AB4667" s="403"/>
    </row>
    <row r="4668" spans="1:28">
      <c r="A4668" s="384"/>
      <c r="B4668" s="385"/>
      <c r="C4668" s="393"/>
      <c r="D4668" s="394"/>
      <c r="E4668" s="388"/>
      <c r="F4668" s="388"/>
      <c r="G4668" s="388"/>
      <c r="H4668" s="395"/>
      <c r="I4668" s="388"/>
      <c r="J4668" s="399"/>
      <c r="K4668" s="396"/>
      <c r="L4668" s="396"/>
      <c r="M4668" s="396"/>
      <c r="N4668" s="396"/>
      <c r="O4668" s="396"/>
      <c r="P4668" s="389"/>
      <c r="Q4668" s="396"/>
      <c r="R4668" s="396"/>
      <c r="S4668" s="396"/>
      <c r="T4668" s="396"/>
      <c r="U4668" s="401"/>
      <c r="V4668" s="396"/>
      <c r="W4668" s="388"/>
      <c r="X4668" s="396"/>
      <c r="Y4668" s="389"/>
      <c r="Z4668" s="396"/>
      <c r="AA4668" s="388"/>
      <c r="AB4668" s="390"/>
    </row>
    <row r="4669" spans="1:28">
      <c r="A4669" s="384" t="str">
        <f t="shared" ref="A4669:B4669" si="15080">A4645</f>
        <v>Lantai 3</v>
      </c>
      <c r="B4669" s="385">
        <f t="shared" si="15080"/>
        <v>13</v>
      </c>
      <c r="C4669" s="393" t="s">
        <v>213</v>
      </c>
      <c r="D4669" s="398">
        <f>VLOOKUP(D4645,'Detail Balok'!$C$10:$BJ$140,46,FALSE)</f>
        <v>0</v>
      </c>
      <c r="E4669" s="388" t="s">
        <v>16</v>
      </c>
      <c r="F4669" s="388">
        <f>VLOOKUP(D4645,'Detail Balok'!$C$10:$BJ$140,48,FALSE)</f>
        <v>0</v>
      </c>
      <c r="G4669" s="405" t="s">
        <v>157</v>
      </c>
      <c r="H4669" s="395">
        <f>VLOOKUP(D4645,'Detail Balok'!$C$10:$BJ$140,50,FALSE)</f>
        <v>100</v>
      </c>
      <c r="I4669" s="388"/>
      <c r="J4669" s="399">
        <f t="shared" ref="J4669" si="15081">(D4646-2*F$5)/1000</f>
        <v>0.12</v>
      </c>
      <c r="K4669" s="400" t="s">
        <v>204</v>
      </c>
      <c r="L4669" s="399">
        <f t="shared" ref="L4669:L4671" si="15082">IF(D4669=0,2*MAX(6*F4669,75),(D4669-1)*2*MAX(6*F4669,75))/1000</f>
        <v>0.15</v>
      </c>
      <c r="M4669" s="399" t="s">
        <v>176</v>
      </c>
      <c r="N4669" s="399">
        <f t="shared" ref="N4669:N4671" si="15083">J4669+L4669</f>
        <v>0.27</v>
      </c>
      <c r="O4669" s="399"/>
      <c r="P4669" s="399"/>
      <c r="Q4669" s="399"/>
      <c r="R4669" s="399"/>
      <c r="S4669" s="399"/>
      <c r="T4669" s="399" t="s">
        <v>125</v>
      </c>
      <c r="U4669" s="401">
        <f t="shared" ref="U4669:U4671" si="15084">0.006165*F4669^2</f>
        <v>0</v>
      </c>
      <c r="V4669" s="399" t="s">
        <v>125</v>
      </c>
      <c r="W4669" s="399">
        <f t="shared" si="14989"/>
        <v>13</v>
      </c>
      <c r="X4669" s="399" t="s">
        <v>125</v>
      </c>
      <c r="Y4669" s="389">
        <f t="shared" ref="Y4669" si="15085">D4655</f>
        <v>3</v>
      </c>
      <c r="Z4669" s="400" t="s">
        <v>176</v>
      </c>
      <c r="AA4669" s="402">
        <f t="shared" ref="AA4669:AA4671" si="15086">N4669*U4669*W4669*Y4669</f>
        <v>0</v>
      </c>
      <c r="AB4669" s="403"/>
    </row>
    <row r="4670" spans="1:28">
      <c r="A4670" s="384" t="str">
        <f t="shared" ref="A4670:B4670" si="15087">A4645</f>
        <v>Lantai 3</v>
      </c>
      <c r="B4670" s="385">
        <f t="shared" si="15087"/>
        <v>13</v>
      </c>
      <c r="C4670" s="393" t="s">
        <v>214</v>
      </c>
      <c r="D4670" s="398">
        <f>VLOOKUP(D4645,'Detail Balok'!$C$10:$BJ$140,51,FALSE)</f>
        <v>0</v>
      </c>
      <c r="E4670" s="388" t="s">
        <v>16</v>
      </c>
      <c r="F4670" s="388">
        <f>VLOOKUP(D4645,'Detail Balok'!$C$10:$BJ$140,53,FALSE)</f>
        <v>0</v>
      </c>
      <c r="G4670" s="405" t="s">
        <v>157</v>
      </c>
      <c r="H4670" s="395">
        <f>VLOOKUP(D4645,'Detail Balok'!$C$10:$BJ$140,55,FALSE)</f>
        <v>100</v>
      </c>
      <c r="I4670" s="388"/>
      <c r="J4670" s="399">
        <f t="shared" ref="J4670" si="15088">(D4646-2*F$5)/1000</f>
        <v>0.12</v>
      </c>
      <c r="K4670" s="400" t="s">
        <v>204</v>
      </c>
      <c r="L4670" s="399">
        <f t="shared" si="15082"/>
        <v>0.15</v>
      </c>
      <c r="M4670" s="399" t="s">
        <v>176</v>
      </c>
      <c r="N4670" s="399">
        <f t="shared" si="15083"/>
        <v>0.27</v>
      </c>
      <c r="O4670" s="399"/>
      <c r="P4670" s="399"/>
      <c r="Q4670" s="399"/>
      <c r="R4670" s="399"/>
      <c r="S4670" s="399"/>
      <c r="T4670" s="399" t="s">
        <v>125</v>
      </c>
      <c r="U4670" s="401">
        <f t="shared" si="15084"/>
        <v>0</v>
      </c>
      <c r="V4670" s="399" t="s">
        <v>125</v>
      </c>
      <c r="W4670" s="399">
        <f t="shared" si="14989"/>
        <v>0</v>
      </c>
      <c r="X4670" s="399" t="s">
        <v>125</v>
      </c>
      <c r="Y4670" s="389">
        <f t="shared" ref="Y4670" si="15089">D4655</f>
        <v>3</v>
      </c>
      <c r="Z4670" s="400" t="s">
        <v>176</v>
      </c>
      <c r="AA4670" s="402">
        <f t="shared" si="15086"/>
        <v>0</v>
      </c>
      <c r="AB4670" s="403"/>
    </row>
    <row r="4671" spans="1:28">
      <c r="A4671" s="384" t="str">
        <f t="shared" ref="A4671:B4671" si="15090">A4645</f>
        <v>Lantai 3</v>
      </c>
      <c r="B4671" s="385">
        <f t="shared" si="15090"/>
        <v>13</v>
      </c>
      <c r="C4671" s="393" t="s">
        <v>213</v>
      </c>
      <c r="D4671" s="398">
        <f>VLOOKUP(D4645,'Detail Balok'!$C$10:$BJ$140,56,FALSE)</f>
        <v>0</v>
      </c>
      <c r="E4671" s="388" t="s">
        <v>16</v>
      </c>
      <c r="F4671" s="388">
        <f>VLOOKUP(D4645,'Detail Balok'!$C$10:$BJ$140,58,FALSE)</f>
        <v>0</v>
      </c>
      <c r="G4671" s="405" t="s">
        <v>157</v>
      </c>
      <c r="H4671" s="395">
        <f>VLOOKUP(D4645,'Detail Balok'!$C$10:$BJ$140,60,FALSE)</f>
        <v>100</v>
      </c>
      <c r="I4671" s="388"/>
      <c r="J4671" s="399">
        <f t="shared" ref="J4671" si="15091">(D4646-2*F$5)/1000</f>
        <v>0.12</v>
      </c>
      <c r="K4671" s="400" t="s">
        <v>204</v>
      </c>
      <c r="L4671" s="399">
        <f t="shared" si="15082"/>
        <v>0.15</v>
      </c>
      <c r="M4671" s="399" t="s">
        <v>176</v>
      </c>
      <c r="N4671" s="399">
        <f t="shared" si="15083"/>
        <v>0.27</v>
      </c>
      <c r="O4671" s="399"/>
      <c r="P4671" s="399"/>
      <c r="Q4671" s="399"/>
      <c r="R4671" s="399"/>
      <c r="S4671" s="399"/>
      <c r="T4671" s="399" t="s">
        <v>125</v>
      </c>
      <c r="U4671" s="401">
        <f t="shared" si="15084"/>
        <v>0</v>
      </c>
      <c r="V4671" s="399" t="s">
        <v>125</v>
      </c>
      <c r="W4671" s="399">
        <f t="shared" si="14989"/>
        <v>0</v>
      </c>
      <c r="X4671" s="399" t="s">
        <v>125</v>
      </c>
      <c r="Y4671" s="389">
        <f t="shared" ref="Y4671" si="15092">D4655</f>
        <v>3</v>
      </c>
      <c r="Z4671" s="400" t="s">
        <v>176</v>
      </c>
      <c r="AA4671" s="402">
        <f t="shared" si="15086"/>
        <v>0</v>
      </c>
      <c r="AB4671" s="403"/>
    </row>
    <row r="4672" spans="1:28">
      <c r="A4672" s="391"/>
      <c r="B4672" s="392"/>
      <c r="C4672" s="392"/>
      <c r="D4672" s="394"/>
      <c r="E4672" s="388"/>
      <c r="F4672" s="388"/>
      <c r="G4672" s="388"/>
      <c r="H4672" s="395"/>
      <c r="I4672" s="388"/>
      <c r="J4672" s="402"/>
      <c r="K4672" s="388"/>
      <c r="L4672" s="388"/>
      <c r="M4672" s="388"/>
      <c r="N4672" s="388"/>
      <c r="O4672" s="388"/>
      <c r="P4672" s="388"/>
      <c r="Q4672" s="388"/>
      <c r="R4672" s="388"/>
      <c r="S4672" s="388"/>
      <c r="T4672" s="388"/>
      <c r="U4672" s="388"/>
      <c r="V4672" s="388"/>
      <c r="W4672" s="388"/>
      <c r="X4672" s="388"/>
      <c r="Y4672" s="389"/>
      <c r="Z4672" s="388"/>
      <c r="AA4672" s="402"/>
      <c r="AB4672" s="403"/>
    </row>
    <row r="4673" spans="1:28" ht="15.75" thickBot="1">
      <c r="A4673" s="406"/>
      <c r="B4673" s="407"/>
      <c r="C4673" s="407"/>
      <c r="D4673" s="408"/>
      <c r="E4673" s="409"/>
      <c r="F4673" s="409"/>
      <c r="G4673" s="409"/>
      <c r="H4673" s="410"/>
      <c r="I4673" s="409"/>
      <c r="J4673" s="409"/>
      <c r="K4673" s="409"/>
      <c r="L4673" s="409"/>
      <c r="M4673" s="409"/>
      <c r="N4673" s="409"/>
      <c r="O4673" s="409"/>
      <c r="P4673" s="409"/>
      <c r="Q4673" s="409"/>
      <c r="R4673" s="409"/>
      <c r="S4673" s="409"/>
      <c r="T4673" s="409"/>
      <c r="U4673" s="409"/>
      <c r="V4673" s="409"/>
      <c r="W4673" s="409"/>
      <c r="X4673" s="409"/>
      <c r="Y4673" s="411"/>
      <c r="Z4673" s="409"/>
      <c r="AA4673" s="412"/>
      <c r="AB4673" s="413"/>
    </row>
    <row r="4674" spans="1:28">
      <c r="A4674" s="377"/>
      <c r="B4674" s="378"/>
      <c r="C4674" s="378"/>
      <c r="D4674" s="379"/>
      <c r="E4674" s="380"/>
      <c r="F4674" s="380"/>
      <c r="G4674" s="380"/>
      <c r="H4674" s="381"/>
      <c r="I4674" s="380"/>
      <c r="J4674" s="380"/>
      <c r="K4674" s="380"/>
      <c r="L4674" s="380"/>
      <c r="M4674" s="380"/>
      <c r="N4674" s="380"/>
      <c r="O4674" s="380"/>
      <c r="P4674" s="380"/>
      <c r="Q4674" s="380"/>
      <c r="R4674" s="380"/>
      <c r="S4674" s="380"/>
      <c r="T4674" s="380"/>
      <c r="U4674" s="380"/>
      <c r="V4674" s="380"/>
      <c r="W4674" s="380"/>
      <c r="X4674" s="380"/>
      <c r="Y4674" s="382"/>
      <c r="Z4674" s="380"/>
      <c r="AA4674" s="380"/>
      <c r="AB4674" s="383"/>
    </row>
    <row r="4675" spans="1:28">
      <c r="A4675" s="384" t="str">
        <f t="shared" si="14998"/>
        <v>Lantai 3</v>
      </c>
      <c r="B4675" s="385">
        <f t="shared" si="14999"/>
        <v>14</v>
      </c>
      <c r="C4675" s="386" t="str">
        <f t="shared" ref="C4675" si="15093">CONCATENATE(A4675," no. ",B4675)</f>
        <v>Lantai 3 no. 14</v>
      </c>
      <c r="D4675" s="2562" t="str">
        <f>VLOOKUP(C4675,'Data Panjang Balok'!$C$9:$N$254,2,FALSE)</f>
        <v>B26-1</v>
      </c>
      <c r="E4675" s="2576"/>
      <c r="F4675" s="2576"/>
      <c r="G4675" s="2576"/>
      <c r="H4675" s="2577"/>
      <c r="I4675" s="387"/>
      <c r="J4675" s="388"/>
      <c r="K4675" s="388"/>
      <c r="L4675" s="388"/>
      <c r="M4675" s="388"/>
      <c r="N4675" s="388"/>
      <c r="O4675" s="388"/>
      <c r="P4675" s="388"/>
      <c r="Q4675" s="388"/>
      <c r="R4675" s="388"/>
      <c r="S4675" s="388"/>
      <c r="T4675" s="388"/>
      <c r="U4675" s="388"/>
      <c r="V4675" s="388"/>
      <c r="W4675" s="388"/>
      <c r="X4675" s="388"/>
      <c r="Y4675" s="389"/>
      <c r="Z4675" s="388"/>
      <c r="AA4675" s="388"/>
      <c r="AB4675" s="390"/>
    </row>
    <row r="4676" spans="1:28">
      <c r="A4676" s="391"/>
      <c r="B4676" s="392"/>
      <c r="C4676" s="393" t="s">
        <v>118</v>
      </c>
      <c r="D4676" s="2578">
        <f>VLOOKUP(D4675,'Detail Balok'!$C$10:$AU$140,2,FALSE)</f>
        <v>200</v>
      </c>
      <c r="E4676" s="2579"/>
      <c r="F4676" s="388" t="s">
        <v>125</v>
      </c>
      <c r="G4676" s="2579">
        <f>VLOOKUP(D4675,'Detail Balok'!$C$10:$AU$140,3,FALSE)</f>
        <v>600</v>
      </c>
      <c r="H4676" s="2580"/>
      <c r="I4676" s="388"/>
      <c r="J4676" s="396"/>
      <c r="K4676" s="396"/>
      <c r="L4676" s="396"/>
      <c r="M4676" s="396"/>
      <c r="N4676" s="396"/>
      <c r="O4676" s="396"/>
      <c r="P4676" s="396"/>
      <c r="Q4676" s="396"/>
      <c r="R4676" s="396"/>
      <c r="S4676" s="396"/>
      <c r="T4676" s="396"/>
      <c r="U4676" s="388"/>
      <c r="V4676" s="396"/>
      <c r="W4676" s="388"/>
      <c r="X4676" s="396"/>
      <c r="Y4676" s="389"/>
      <c r="Z4676" s="396"/>
      <c r="AA4676" s="388"/>
      <c r="AB4676" s="390"/>
    </row>
    <row r="4677" spans="1:28">
      <c r="A4677" s="391"/>
      <c r="B4677" s="392"/>
      <c r="C4677" s="393" t="s">
        <v>198</v>
      </c>
      <c r="D4677" s="2562">
        <f>VLOOKUP(C4675,'Data Panjang Balok'!$C$9:$N$254,4,FALSE)</f>
        <v>9175</v>
      </c>
      <c r="E4677" s="2563"/>
      <c r="F4677" s="2563"/>
      <c r="G4677" s="2563"/>
      <c r="H4677" s="2564"/>
      <c r="I4677" s="397"/>
      <c r="J4677" s="396"/>
      <c r="K4677" s="396"/>
      <c r="L4677" s="396"/>
      <c r="M4677" s="396"/>
      <c r="N4677" s="396"/>
      <c r="O4677" s="396"/>
      <c r="P4677" s="396"/>
      <c r="Q4677" s="396"/>
      <c r="R4677" s="396"/>
      <c r="S4677" s="396"/>
      <c r="T4677" s="396"/>
      <c r="U4677" s="388"/>
      <c r="V4677" s="396"/>
      <c r="W4677" s="388"/>
      <c r="X4677" s="396"/>
      <c r="Y4677" s="389"/>
      <c r="Z4677" s="396"/>
      <c r="AA4677" s="388"/>
      <c r="AB4677" s="390"/>
    </row>
    <row r="4678" spans="1:28">
      <c r="A4678" s="391"/>
      <c r="B4678" s="392"/>
      <c r="C4678" s="393" t="s">
        <v>199</v>
      </c>
      <c r="D4678" s="2562">
        <f>VLOOKUP(C4675,'Data Panjang Balok'!$C$9:$N$254,7,FALSE)</f>
        <v>9175</v>
      </c>
      <c r="E4678" s="2563"/>
      <c r="F4678" s="2563"/>
      <c r="G4678" s="2563"/>
      <c r="H4678" s="2564"/>
      <c r="I4678" s="397"/>
      <c r="J4678" s="396"/>
      <c r="K4678" s="396"/>
      <c r="L4678" s="396"/>
      <c r="M4678" s="396"/>
      <c r="N4678" s="396"/>
      <c r="O4678" s="396"/>
      <c r="P4678" s="396"/>
      <c r="Q4678" s="396"/>
      <c r="R4678" s="396"/>
      <c r="S4678" s="396"/>
      <c r="T4678" s="396"/>
      <c r="U4678" s="388"/>
      <c r="V4678" s="396"/>
      <c r="W4678" s="388"/>
      <c r="X4678" s="396"/>
      <c r="Y4678" s="389"/>
      <c r="Z4678" s="396"/>
      <c r="AA4678" s="388"/>
      <c r="AB4678" s="390"/>
    </row>
    <row r="4679" spans="1:28">
      <c r="A4679" s="391"/>
      <c r="B4679" s="392"/>
      <c r="C4679" s="393" t="s">
        <v>200</v>
      </c>
      <c r="D4679" s="2562">
        <f>VLOOKUP(C4675,'Data Panjang Balok'!$C$9:$N$254,9,FALSE)</f>
        <v>0</v>
      </c>
      <c r="E4679" s="2563"/>
      <c r="F4679" s="2563"/>
      <c r="G4679" s="2563"/>
      <c r="H4679" s="2564"/>
      <c r="I4679" s="397"/>
      <c r="J4679" s="396"/>
      <c r="K4679" s="396"/>
      <c r="L4679" s="396"/>
      <c r="M4679" s="396"/>
      <c r="N4679" s="396"/>
      <c r="O4679" s="396"/>
      <c r="P4679" s="396"/>
      <c r="Q4679" s="396"/>
      <c r="R4679" s="396"/>
      <c r="S4679" s="396"/>
      <c r="T4679" s="396"/>
      <c r="U4679" s="388"/>
      <c r="V4679" s="396"/>
      <c r="W4679" s="388"/>
      <c r="X4679" s="396"/>
      <c r="Y4679" s="389"/>
      <c r="Z4679" s="396"/>
      <c r="AA4679" s="388"/>
      <c r="AB4679" s="390"/>
    </row>
    <row r="4680" spans="1:28">
      <c r="A4680" s="391"/>
      <c r="B4680" s="392"/>
      <c r="C4680" s="393" t="s">
        <v>201</v>
      </c>
      <c r="D4680" s="2562">
        <f>VLOOKUP(C4675,'Data Panjang Balok'!$C$9:$N$254,10,FALSE)</f>
        <v>0</v>
      </c>
      <c r="E4680" s="2563"/>
      <c r="F4680" s="2563"/>
      <c r="G4680" s="2563"/>
      <c r="H4680" s="2564"/>
      <c r="I4680" s="397"/>
      <c r="J4680" s="396"/>
      <c r="K4680" s="396"/>
      <c r="L4680" s="396"/>
      <c r="M4680" s="396"/>
      <c r="N4680" s="396"/>
      <c r="O4680" s="396"/>
      <c r="P4680" s="396"/>
      <c r="Q4680" s="396"/>
      <c r="R4680" s="396"/>
      <c r="S4680" s="396"/>
      <c r="T4680" s="396"/>
      <c r="U4680" s="388"/>
      <c r="V4680" s="396"/>
      <c r="W4680" s="388"/>
      <c r="X4680" s="396"/>
      <c r="Y4680" s="389"/>
      <c r="Z4680" s="396"/>
      <c r="AA4680" s="388"/>
      <c r="AB4680" s="390"/>
    </row>
    <row r="4681" spans="1:28">
      <c r="A4681" s="391"/>
      <c r="B4681" s="392"/>
      <c r="C4681" s="393" t="s">
        <v>48</v>
      </c>
      <c r="D4681" s="2562">
        <f>VLOOKUP(C4675,'Data Panjang Balok'!$C$9:$N$254,3,FALSE)</f>
        <v>1</v>
      </c>
      <c r="E4681" s="2563"/>
      <c r="F4681" s="2563"/>
      <c r="G4681" s="2563"/>
      <c r="H4681" s="2564"/>
      <c r="I4681" s="397"/>
      <c r="J4681" s="396"/>
      <c r="K4681" s="396"/>
      <c r="L4681" s="396"/>
      <c r="M4681" s="396"/>
      <c r="N4681" s="396"/>
      <c r="O4681" s="396"/>
      <c r="P4681" s="396"/>
      <c r="Q4681" s="396"/>
      <c r="R4681" s="396"/>
      <c r="S4681" s="396"/>
      <c r="T4681" s="396"/>
      <c r="U4681" s="388"/>
      <c r="V4681" s="396"/>
      <c r="W4681" s="388"/>
      <c r="X4681" s="396"/>
      <c r="Y4681" s="389"/>
      <c r="Z4681" s="396"/>
      <c r="AA4681" s="388"/>
      <c r="AB4681" s="390"/>
    </row>
    <row r="4682" spans="1:28">
      <c r="A4682" s="384" t="str">
        <f t="shared" ref="A4682:B4682" si="15094">A4675</f>
        <v>Lantai 3</v>
      </c>
      <c r="B4682" s="385">
        <f t="shared" si="15094"/>
        <v>14</v>
      </c>
      <c r="C4682" s="393" t="s">
        <v>202</v>
      </c>
      <c r="D4682" s="398">
        <f>VLOOKUP(D4675,'Detail Balok'!$C$10:$AU$140,4,FALSE)</f>
        <v>4</v>
      </c>
      <c r="E4682" s="388" t="s">
        <v>16</v>
      </c>
      <c r="F4682" s="388">
        <f>VLOOKUP(D4675,'Detail Balok'!$C$10:$AU$140,6,FALSE)</f>
        <v>16</v>
      </c>
      <c r="G4682" s="388"/>
      <c r="H4682" s="395"/>
      <c r="I4682" s="388" t="s">
        <v>203</v>
      </c>
      <c r="J4682" s="399">
        <f t="shared" ref="J4682" si="15095">+D4677/4/1000</f>
        <v>2.2937500000000002</v>
      </c>
      <c r="K4682" s="400" t="s">
        <v>204</v>
      </c>
      <c r="L4682" s="399">
        <f t="shared" ref="L4682" si="15096">MAX(VLOOKUP(F4682,N$6:P$15,3,FALSE)/1000,2/3*D4679/1000)+F$16*F4682/1000</f>
        <v>0.192</v>
      </c>
      <c r="M4682" s="399" t="s">
        <v>176</v>
      </c>
      <c r="N4682" s="399">
        <f t="shared" ref="N4682:N4684" si="15097">J4682+L4682</f>
        <v>2.4857500000000003</v>
      </c>
      <c r="O4682" s="399" t="s">
        <v>204</v>
      </c>
      <c r="P4682" s="389">
        <f t="shared" ref="P4682" si="15098">D4682-D4683</f>
        <v>1</v>
      </c>
      <c r="Q4682" s="399" t="s">
        <v>125</v>
      </c>
      <c r="R4682" s="399">
        <f t="shared" ref="R4682" si="15099">IF(P4682&gt;0,$F$18*F4682/1000,0)</f>
        <v>0.24</v>
      </c>
      <c r="S4682" s="399" t="s">
        <v>205</v>
      </c>
      <c r="T4682" s="399" t="s">
        <v>125</v>
      </c>
      <c r="U4682" s="401">
        <f t="shared" ref="U4682:U4684" si="15100">0.006165*F4682^2</f>
        <v>1.5782400000000001</v>
      </c>
      <c r="V4682" s="399"/>
      <c r="W4682" s="399"/>
      <c r="X4682" s="399" t="s">
        <v>125</v>
      </c>
      <c r="Y4682" s="389">
        <f t="shared" ref="Y4682" si="15101">D4681</f>
        <v>1</v>
      </c>
      <c r="Z4682" s="400" t="s">
        <v>176</v>
      </c>
      <c r="AA4682" s="402">
        <f t="shared" ref="AA4682" si="15102">IF(AA4685=0,(D4682*N4682+P4682*R4682)*U4682*Y4682,0)</f>
        <v>16.071217920000002</v>
      </c>
      <c r="AB4682" s="403"/>
    </row>
    <row r="4683" spans="1:28">
      <c r="A4683" s="384" t="str">
        <f t="shared" ref="A4683:B4683" si="15103">A4675</f>
        <v>Lantai 3</v>
      </c>
      <c r="B4683" s="385">
        <f t="shared" si="15103"/>
        <v>14</v>
      </c>
      <c r="C4683" s="393" t="s">
        <v>206</v>
      </c>
      <c r="D4683" s="398">
        <f>VLOOKUP(D4675,'Detail Balok'!$C$10:$AU$140,7,FALSE)</f>
        <v>3</v>
      </c>
      <c r="E4683" s="388" t="s">
        <v>16</v>
      </c>
      <c r="F4683" s="388">
        <f>VLOOKUP(D4675,'Detail Balok'!$C$10:$AU$140,9,FALSE)</f>
        <v>16</v>
      </c>
      <c r="G4683" s="388"/>
      <c r="H4683" s="395"/>
      <c r="I4683" s="388" t="s">
        <v>203</v>
      </c>
      <c r="J4683" s="399">
        <f t="shared" ref="J4683" si="15104">+D4677/2/1000</f>
        <v>4.5875000000000004</v>
      </c>
      <c r="K4683" s="400" t="s">
        <v>204</v>
      </c>
      <c r="L4683" s="399"/>
      <c r="M4683" s="399" t="s">
        <v>176</v>
      </c>
      <c r="N4683" s="399">
        <f t="shared" si="15097"/>
        <v>4.5875000000000004</v>
      </c>
      <c r="O4683" s="399" t="s">
        <v>204</v>
      </c>
      <c r="P4683" s="389">
        <f t="shared" ref="P4683" si="15105">MAX(D4683-D4682,D4683-D4684)</f>
        <v>-1</v>
      </c>
      <c r="Q4683" s="399" t="s">
        <v>125</v>
      </c>
      <c r="R4683" s="399">
        <f t="shared" ref="R4683" si="15106">IF(P4683&gt;0,2*(1-2*$F$19-1/2)*D4678/1000,0)</f>
        <v>0</v>
      </c>
      <c r="S4683" s="399" t="s">
        <v>205</v>
      </c>
      <c r="T4683" s="399" t="s">
        <v>125</v>
      </c>
      <c r="U4683" s="401">
        <f t="shared" si="15100"/>
        <v>1.5782400000000001</v>
      </c>
      <c r="V4683" s="399"/>
      <c r="W4683" s="399"/>
      <c r="X4683" s="399" t="s">
        <v>125</v>
      </c>
      <c r="Y4683" s="389">
        <f t="shared" ref="Y4683" si="15107">D4681</f>
        <v>1</v>
      </c>
      <c r="Z4683" s="400" t="s">
        <v>176</v>
      </c>
      <c r="AA4683" s="402">
        <f t="shared" ref="AA4683" si="15108">IF(AA4685=0,(D4683*N4683+P4683*R4683)*U4683*Y4683,0)</f>
        <v>21.720528000000002</v>
      </c>
      <c r="AB4683" s="403"/>
    </row>
    <row r="4684" spans="1:28">
      <c r="A4684" s="384" t="str">
        <f t="shared" ref="A4684:B4684" si="15109">A4675</f>
        <v>Lantai 3</v>
      </c>
      <c r="B4684" s="385">
        <f t="shared" si="15109"/>
        <v>14</v>
      </c>
      <c r="C4684" s="393" t="s">
        <v>202</v>
      </c>
      <c r="D4684" s="398">
        <f>VLOOKUP(D4675,'Detail Balok'!$C$10:$AU$140,10,FALSE)</f>
        <v>4</v>
      </c>
      <c r="E4684" s="388" t="s">
        <v>16</v>
      </c>
      <c r="F4684" s="388">
        <f>VLOOKUP(D4675,'Detail Balok'!$C$10:$AU$140,12,FALSE)</f>
        <v>16</v>
      </c>
      <c r="G4684" s="388"/>
      <c r="H4684" s="395"/>
      <c r="I4684" s="388" t="s">
        <v>203</v>
      </c>
      <c r="J4684" s="399">
        <f t="shared" ref="J4684" si="15110">+D4677/4/1000</f>
        <v>2.2937500000000002</v>
      </c>
      <c r="K4684" s="400" t="s">
        <v>204</v>
      </c>
      <c r="L4684" s="399">
        <f t="shared" ref="L4684" si="15111">MAX(VLOOKUP(F4684,N$6:P$15,3,FALSE)/1000,2/3*D4679/1000)+F$16*F4684/1000</f>
        <v>0.192</v>
      </c>
      <c r="M4684" s="399" t="s">
        <v>176</v>
      </c>
      <c r="N4684" s="399">
        <f t="shared" si="15097"/>
        <v>2.4857500000000003</v>
      </c>
      <c r="O4684" s="399" t="s">
        <v>204</v>
      </c>
      <c r="P4684" s="389">
        <f t="shared" ref="P4684" si="15112">D4684-D4683</f>
        <v>1</v>
      </c>
      <c r="Q4684" s="399" t="s">
        <v>125</v>
      </c>
      <c r="R4684" s="399">
        <f t="shared" ref="R4684" si="15113">IF(P4684&gt;0,$F$18*F4684/1000,0)</f>
        <v>0.24</v>
      </c>
      <c r="S4684" s="399" t="s">
        <v>205</v>
      </c>
      <c r="T4684" s="399" t="s">
        <v>125</v>
      </c>
      <c r="U4684" s="401">
        <f t="shared" si="15100"/>
        <v>1.5782400000000001</v>
      </c>
      <c r="V4684" s="399"/>
      <c r="W4684" s="399"/>
      <c r="X4684" s="399" t="s">
        <v>125</v>
      </c>
      <c r="Y4684" s="389">
        <f t="shared" ref="Y4684" si="15114">D4681</f>
        <v>1</v>
      </c>
      <c r="Z4684" s="400" t="s">
        <v>176</v>
      </c>
      <c r="AA4684" s="402">
        <f t="shared" ref="AA4684" si="15115">IF(AA4685=0,(D4684*N4684+P4684*R4684)*U4684*Y4684,0)</f>
        <v>16.071217920000002</v>
      </c>
      <c r="AB4684" s="403"/>
    </row>
    <row r="4685" spans="1:28">
      <c r="A4685" s="384" t="str">
        <f t="shared" ref="A4685:B4685" si="15116">A4675</f>
        <v>Lantai 3</v>
      </c>
      <c r="B4685" s="385">
        <f t="shared" si="15116"/>
        <v>14</v>
      </c>
      <c r="C4685" s="393"/>
      <c r="D4685" s="398">
        <f t="shared" si="14919"/>
        <v>0</v>
      </c>
      <c r="E4685" s="388" t="s">
        <v>16</v>
      </c>
      <c r="F4685" s="388">
        <f t="shared" si="14920"/>
        <v>16</v>
      </c>
      <c r="G4685" s="388"/>
      <c r="H4685" s="395"/>
      <c r="I4685" s="388"/>
      <c r="J4685" s="396"/>
      <c r="K4685" s="396"/>
      <c r="L4685" s="404" t="s">
        <v>207</v>
      </c>
      <c r="M4685" s="399" t="s">
        <v>176</v>
      </c>
      <c r="N4685" s="399">
        <f t="shared" ref="N4685" si="15117">IF(AND(D4682=D4683,D4682=D4684,D4683=D4684,F4682=F4683,F4682=F4684,F4683=F4684),SUM(N4682:N4684),0)</f>
        <v>0</v>
      </c>
      <c r="O4685" s="399" t="s">
        <v>204</v>
      </c>
      <c r="P4685" s="389">
        <f t="shared" ref="P4685" si="15118">IF(N4685&gt;12,ROUNDDOWN(N4685/12,0),0)</f>
        <v>0</v>
      </c>
      <c r="Q4685" s="399" t="s">
        <v>125</v>
      </c>
      <c r="R4685" s="399">
        <f t="shared" ref="R4685" si="15119">IF(P4685&gt;0,MAX(VLOOKUP(F4685,$D$6:$G$15,3,FALSE),600),0)/1000</f>
        <v>0</v>
      </c>
      <c r="S4685" s="396"/>
      <c r="T4685" s="396" t="s">
        <v>125</v>
      </c>
      <c r="U4685" s="401">
        <f t="shared" si="14924"/>
        <v>1.5782400000000001</v>
      </c>
      <c r="V4685" s="396" t="s">
        <v>125</v>
      </c>
      <c r="W4685" s="399">
        <f t="shared" ref="W4685" si="15120">D4685</f>
        <v>0</v>
      </c>
      <c r="X4685" s="399" t="s">
        <v>125</v>
      </c>
      <c r="Y4685" s="389">
        <f t="shared" si="14926"/>
        <v>1</v>
      </c>
      <c r="Z4685" s="400" t="s">
        <v>176</v>
      </c>
      <c r="AA4685" s="402">
        <f t="shared" ref="AA4685" si="15121">(N4685+P4685*R4685/1000)*U4685*W4685*Y4685</f>
        <v>0</v>
      </c>
      <c r="AB4685" s="390"/>
    </row>
    <row r="4686" spans="1:28">
      <c r="A4686" s="384"/>
      <c r="B4686" s="385"/>
      <c r="C4686" s="393"/>
      <c r="D4686" s="398"/>
      <c r="E4686" s="388"/>
      <c r="F4686" s="388"/>
      <c r="G4686" s="388"/>
      <c r="H4686" s="395"/>
      <c r="I4686" s="388"/>
      <c r="J4686" s="396"/>
      <c r="K4686" s="396"/>
      <c r="L4686" s="404"/>
      <c r="M4686" s="399"/>
      <c r="N4686" s="399"/>
      <c r="O4686" s="396"/>
      <c r="P4686" s="389"/>
      <c r="Q4686" s="396"/>
      <c r="R4686" s="396"/>
      <c r="S4686" s="396"/>
      <c r="T4686" s="396"/>
      <c r="U4686" s="401"/>
      <c r="V4686" s="396"/>
      <c r="W4686" s="399"/>
      <c r="X4686" s="396"/>
      <c r="Y4686" s="389"/>
      <c r="Z4686" s="396"/>
      <c r="AA4686" s="388"/>
      <c r="AB4686" s="390"/>
    </row>
    <row r="4687" spans="1:28">
      <c r="A4687" s="384" t="str">
        <f t="shared" ref="A4687:B4687" si="15122">A4675</f>
        <v>Lantai 3</v>
      </c>
      <c r="B4687" s="385">
        <f t="shared" si="15122"/>
        <v>14</v>
      </c>
      <c r="C4687" s="393" t="s">
        <v>208</v>
      </c>
      <c r="D4687" s="398">
        <f>VLOOKUP(D4675,'Detail Balok'!$C$10:$AU$140,13,FALSE)</f>
        <v>2</v>
      </c>
      <c r="E4687" s="388" t="s">
        <v>16</v>
      </c>
      <c r="F4687" s="388">
        <f>VLOOKUP(D4675,'Detail Balok'!$C$10:$AU$140,15,FALSE)</f>
        <v>10</v>
      </c>
      <c r="G4687" s="388"/>
      <c r="H4687" s="395"/>
      <c r="I4687" s="388"/>
      <c r="J4687" s="399">
        <f t="shared" ref="J4687" si="15123">+D4677/1000</f>
        <v>9.1750000000000007</v>
      </c>
      <c r="K4687" s="400" t="s">
        <v>204</v>
      </c>
      <c r="L4687" s="399">
        <f t="shared" ref="L4687" si="15124">2*$F$16*F4687/1000</f>
        <v>0.24</v>
      </c>
      <c r="M4687" s="399" t="s">
        <v>176</v>
      </c>
      <c r="N4687" s="399">
        <f t="shared" ref="N4687" si="15125">J4687+L4687</f>
        <v>9.4150000000000009</v>
      </c>
      <c r="O4687" s="399" t="s">
        <v>204</v>
      </c>
      <c r="P4687" s="389">
        <f t="shared" ref="P4687" si="15126">IF(N4687&gt;12,ROUNDDOWN(N4687/12,0),0)</f>
        <v>0</v>
      </c>
      <c r="Q4687" s="399" t="s">
        <v>125</v>
      </c>
      <c r="R4687" s="399">
        <f t="shared" ref="R4687" si="15127">IF(P4687&gt;0,MAX(VLOOKUP(F4687,$D$6:$G$15,3,FALSE),600),0)/1000</f>
        <v>0</v>
      </c>
      <c r="S4687" s="399"/>
      <c r="T4687" s="399" t="s">
        <v>125</v>
      </c>
      <c r="U4687" s="401">
        <f t="shared" ref="U4687" si="15128">0.006165*F4687^2</f>
        <v>0.61650000000000005</v>
      </c>
      <c r="V4687" s="399" t="s">
        <v>125</v>
      </c>
      <c r="W4687" s="399">
        <f t="shared" ref="W4687" si="15129">+D4687</f>
        <v>2</v>
      </c>
      <c r="X4687" s="399" t="s">
        <v>125</v>
      </c>
      <c r="Y4687" s="389">
        <f t="shared" ref="Y4687" si="15130">D4681</f>
        <v>1</v>
      </c>
      <c r="Z4687" s="400" t="s">
        <v>176</v>
      </c>
      <c r="AA4687" s="402">
        <f t="shared" ref="AA4687" si="15131">(N4687+P4687*R4687/1000)*U4687*W4687*Y4687</f>
        <v>11.608695000000003</v>
      </c>
      <c r="AB4687" s="403"/>
    </row>
    <row r="4688" spans="1:28">
      <c r="A4688" s="384"/>
      <c r="B4688" s="385"/>
      <c r="C4688" s="393"/>
      <c r="D4688" s="398"/>
      <c r="E4688" s="388"/>
      <c r="F4688" s="388"/>
      <c r="G4688" s="388"/>
      <c r="H4688" s="395"/>
      <c r="I4688" s="388"/>
      <c r="J4688" s="399"/>
      <c r="K4688" s="400"/>
      <c r="L4688" s="399"/>
      <c r="M4688" s="399"/>
      <c r="N4688" s="399"/>
      <c r="O4688" s="399"/>
      <c r="P4688" s="389"/>
      <c r="Q4688" s="399"/>
      <c r="R4688" s="399"/>
      <c r="S4688" s="399"/>
      <c r="T4688" s="399"/>
      <c r="U4688" s="401"/>
      <c r="V4688" s="399"/>
      <c r="W4688" s="399"/>
      <c r="X4688" s="399"/>
      <c r="Y4688" s="389"/>
      <c r="Z4688" s="400"/>
      <c r="AA4688" s="402"/>
      <c r="AB4688" s="403"/>
    </row>
    <row r="4689" spans="1:28">
      <c r="A4689" s="384"/>
      <c r="B4689" s="385"/>
      <c r="C4689" s="393"/>
      <c r="D4689" s="398"/>
      <c r="E4689" s="388"/>
      <c r="F4689" s="388"/>
      <c r="G4689" s="388"/>
      <c r="H4689" s="395"/>
      <c r="I4689" s="388"/>
      <c r="J4689" s="396"/>
      <c r="K4689" s="396"/>
      <c r="L4689" s="396"/>
      <c r="M4689" s="396"/>
      <c r="N4689" s="396"/>
      <c r="O4689" s="396"/>
      <c r="P4689" s="389"/>
      <c r="Q4689" s="396"/>
      <c r="R4689" s="396"/>
      <c r="S4689" s="396"/>
      <c r="T4689" s="396"/>
      <c r="U4689" s="401"/>
      <c r="V4689" s="396"/>
      <c r="W4689" s="399"/>
      <c r="X4689" s="396"/>
      <c r="Y4689" s="389"/>
      <c r="Z4689" s="396"/>
      <c r="AA4689" s="388"/>
      <c r="AB4689" s="390"/>
    </row>
    <row r="4690" spans="1:28">
      <c r="A4690" s="384" t="str">
        <f t="shared" ref="A4690:B4690" si="15132">A4675</f>
        <v>Lantai 3</v>
      </c>
      <c r="B4690" s="385">
        <f t="shared" si="15132"/>
        <v>14</v>
      </c>
      <c r="C4690" s="393" t="s">
        <v>209</v>
      </c>
      <c r="D4690" s="398">
        <f>VLOOKUP(D4675,'Detail Balok'!$C$10:$AU$140,22,FALSE)</f>
        <v>3</v>
      </c>
      <c r="E4690" s="388" t="s">
        <v>16</v>
      </c>
      <c r="F4690" s="388">
        <f>VLOOKUP(D4675,'Detail Balok'!$C$10:$AU$140,24,FALSE)</f>
        <v>16</v>
      </c>
      <c r="G4690" s="388"/>
      <c r="H4690" s="395"/>
      <c r="I4690" s="388" t="s">
        <v>203</v>
      </c>
      <c r="J4690" s="399">
        <f t="shared" si="14939"/>
        <v>2.2937500000000002</v>
      </c>
      <c r="K4690" s="400" t="s">
        <v>204</v>
      </c>
      <c r="L4690" s="399">
        <f t="shared" ref="L4690" si="15133">MAX(VLOOKUP(F4690,N$6:P$15,3,FALSE)/1000,2/3*D4680/1000)+F$16*F4690/1000</f>
        <v>0.192</v>
      </c>
      <c r="M4690" s="399" t="s">
        <v>176</v>
      </c>
      <c r="N4690" s="399">
        <f t="shared" ref="N4690:N4692" si="15134">J4690+L4690</f>
        <v>2.4857500000000003</v>
      </c>
      <c r="O4690" s="399" t="s">
        <v>204</v>
      </c>
      <c r="P4690" s="389">
        <f t="shared" ref="P4690" si="15135">D4690-D4691</f>
        <v>-1</v>
      </c>
      <c r="Q4690" s="399" t="s">
        <v>125</v>
      </c>
      <c r="R4690" s="399">
        <f t="shared" ref="R4690" si="15136">IF(P4690&gt;0,$F$18*F4690/1000,0)</f>
        <v>0</v>
      </c>
      <c r="S4690" s="399" t="s">
        <v>205</v>
      </c>
      <c r="T4690" s="399" t="s">
        <v>125</v>
      </c>
      <c r="U4690" s="401">
        <f t="shared" ref="U4690:U4692" si="15137">0.006165*F4690^2</f>
        <v>1.5782400000000001</v>
      </c>
      <c r="V4690" s="399"/>
      <c r="W4690" s="399"/>
      <c r="X4690" s="399" t="s">
        <v>125</v>
      </c>
      <c r="Y4690" s="389">
        <f t="shared" ref="Y4690" si="15138">D4681</f>
        <v>1</v>
      </c>
      <c r="Z4690" s="400" t="s">
        <v>176</v>
      </c>
      <c r="AA4690" s="402">
        <f t="shared" ref="AA4690" si="15139">IF(AA4693=0,(D4690*N4690+P4690*R4690)*U4690*Y4690,0)</f>
        <v>11.769330240000002</v>
      </c>
      <c r="AB4690" s="403"/>
    </row>
    <row r="4691" spans="1:28">
      <c r="A4691" s="384" t="str">
        <f t="shared" ref="A4691:B4691" si="15140">A4675</f>
        <v>Lantai 3</v>
      </c>
      <c r="B4691" s="385">
        <f t="shared" si="15140"/>
        <v>14</v>
      </c>
      <c r="C4691" s="393" t="s">
        <v>210</v>
      </c>
      <c r="D4691" s="398">
        <f>VLOOKUP(D4675,'Detail Balok'!$C$10:$AU$140,25,FALSE)</f>
        <v>4</v>
      </c>
      <c r="E4691" s="388" t="s">
        <v>16</v>
      </c>
      <c r="F4691" s="388">
        <f>VLOOKUP(D4675,'Detail Balok'!$C$10:$AU$140,27,FALSE)</f>
        <v>16</v>
      </c>
      <c r="G4691" s="388"/>
      <c r="H4691" s="395"/>
      <c r="I4691" s="388" t="s">
        <v>203</v>
      </c>
      <c r="J4691" s="399">
        <f t="shared" si="14939"/>
        <v>4.5875000000000004</v>
      </c>
      <c r="K4691" s="400" t="s">
        <v>204</v>
      </c>
      <c r="L4691" s="399"/>
      <c r="M4691" s="399" t="s">
        <v>176</v>
      </c>
      <c r="N4691" s="399">
        <f t="shared" si="15134"/>
        <v>4.5875000000000004</v>
      </c>
      <c r="O4691" s="399" t="s">
        <v>204</v>
      </c>
      <c r="P4691" s="389">
        <f t="shared" ref="P4691" si="15141">MAX(D4691-D4690,D4691-D4692)</f>
        <v>1</v>
      </c>
      <c r="Q4691" s="399" t="s">
        <v>125</v>
      </c>
      <c r="R4691" s="399">
        <f t="shared" ref="R4691" si="15142">IF(P4691&gt;0,2*(1-2*$F$19-1/2)*D4678/1000,0)</f>
        <v>1.8349999999999995</v>
      </c>
      <c r="S4691" s="399" t="s">
        <v>205</v>
      </c>
      <c r="T4691" s="399" t="s">
        <v>125</v>
      </c>
      <c r="U4691" s="401">
        <f t="shared" si="15137"/>
        <v>1.5782400000000001</v>
      </c>
      <c r="V4691" s="399"/>
      <c r="W4691" s="399"/>
      <c r="X4691" s="399" t="s">
        <v>125</v>
      </c>
      <c r="Y4691" s="389">
        <f t="shared" ref="Y4691" si="15143">D4681</f>
        <v>1</v>
      </c>
      <c r="Z4691" s="400" t="s">
        <v>176</v>
      </c>
      <c r="AA4691" s="402">
        <f t="shared" ref="AA4691" si="15144">IF(AA4693=0,(D4691*N4691+P4691*R4691)*U4691*Y4691,0)</f>
        <v>31.856774400000006</v>
      </c>
      <c r="AB4691" s="403"/>
    </row>
    <row r="4692" spans="1:28">
      <c r="A4692" s="384" t="str">
        <f t="shared" ref="A4692:B4692" si="15145">A4675</f>
        <v>Lantai 3</v>
      </c>
      <c r="B4692" s="385">
        <f t="shared" si="15145"/>
        <v>14</v>
      </c>
      <c r="C4692" s="393" t="s">
        <v>209</v>
      </c>
      <c r="D4692" s="398">
        <f>VLOOKUP(D4675,'Detail Balok'!$C$10:$AU$140,28,FALSE)</f>
        <v>3</v>
      </c>
      <c r="E4692" s="388" t="s">
        <v>16</v>
      </c>
      <c r="F4692" s="388">
        <f>VLOOKUP(D4675,'Detail Balok'!$C$10:$AU$140,30,FALSE)</f>
        <v>16</v>
      </c>
      <c r="G4692" s="388"/>
      <c r="H4692" s="395"/>
      <c r="I4692" s="388" t="s">
        <v>203</v>
      </c>
      <c r="J4692" s="399">
        <f t="shared" si="14939"/>
        <v>2.2937500000000002</v>
      </c>
      <c r="K4692" s="400" t="s">
        <v>204</v>
      </c>
      <c r="L4692" s="399">
        <f t="shared" ref="L4692" si="15146">MAX(VLOOKUP(F4692,N$6:P$15,3,FALSE)/1000,2/3*D4680/1000)+F$16*F4692/1000</f>
        <v>0.192</v>
      </c>
      <c r="M4692" s="399" t="s">
        <v>176</v>
      </c>
      <c r="N4692" s="399">
        <f t="shared" si="15134"/>
        <v>2.4857500000000003</v>
      </c>
      <c r="O4692" s="399" t="s">
        <v>204</v>
      </c>
      <c r="P4692" s="389">
        <f t="shared" ref="P4692" si="15147">D4692-D4691</f>
        <v>-1</v>
      </c>
      <c r="Q4692" s="399" t="s">
        <v>125</v>
      </c>
      <c r="R4692" s="399">
        <f t="shared" ref="R4692" si="15148">IF(P4692&gt;0,$F$18*F4692/1000,0)</f>
        <v>0</v>
      </c>
      <c r="S4692" s="399" t="s">
        <v>205</v>
      </c>
      <c r="T4692" s="399" t="s">
        <v>125</v>
      </c>
      <c r="U4692" s="401">
        <f t="shared" si="15137"/>
        <v>1.5782400000000001</v>
      </c>
      <c r="V4692" s="399"/>
      <c r="W4692" s="399"/>
      <c r="X4692" s="399" t="s">
        <v>125</v>
      </c>
      <c r="Y4692" s="389">
        <f t="shared" ref="Y4692" si="15149">D4681</f>
        <v>1</v>
      </c>
      <c r="Z4692" s="400" t="s">
        <v>176</v>
      </c>
      <c r="AA4692" s="402">
        <f t="shared" ref="AA4692" si="15150">IF(AA4693=0,(D4692*N4692+P4692*R4692)*U4692*Y4692,0)</f>
        <v>11.769330240000002</v>
      </c>
      <c r="AB4692" s="403"/>
    </row>
    <row r="4693" spans="1:28">
      <c r="A4693" s="384" t="str">
        <f t="shared" ref="A4693:B4693" si="15151">A4675</f>
        <v>Lantai 3</v>
      </c>
      <c r="B4693" s="385">
        <f t="shared" si="15151"/>
        <v>14</v>
      </c>
      <c r="C4693" s="393"/>
      <c r="D4693" s="398">
        <f t="shared" si="14959"/>
        <v>0</v>
      </c>
      <c r="E4693" s="388" t="s">
        <v>16</v>
      </c>
      <c r="F4693" s="388">
        <f t="shared" si="14960"/>
        <v>16</v>
      </c>
      <c r="G4693" s="388"/>
      <c r="H4693" s="395"/>
      <c r="I4693" s="388"/>
      <c r="J4693" s="396"/>
      <c r="K4693" s="396"/>
      <c r="L4693" s="404" t="s">
        <v>207</v>
      </c>
      <c r="M4693" s="399" t="s">
        <v>176</v>
      </c>
      <c r="N4693" s="399">
        <f t="shared" ref="N4693" si="15152">IF(AND(D4690=D4691,D4690=D4692,D4691=D4692,F4690=F4691,F4690=F4692,F4691=F4692),SUM(N4690:N4692),0)</f>
        <v>0</v>
      </c>
      <c r="O4693" s="399" t="s">
        <v>204</v>
      </c>
      <c r="P4693" s="389">
        <f t="shared" ref="P4693" si="15153">IF(N4693&gt;12,ROUNDDOWN(N4693/12,0),0)</f>
        <v>0</v>
      </c>
      <c r="Q4693" s="399" t="s">
        <v>125</v>
      </c>
      <c r="R4693" s="399">
        <f t="shared" ref="R4693" si="15154">IF(P4693&gt;0,MAX(VLOOKUP(F4693,$D$6:$G$15,3,FALSE),600),0)/1000</f>
        <v>0</v>
      </c>
      <c r="S4693" s="396"/>
      <c r="T4693" s="396" t="s">
        <v>125</v>
      </c>
      <c r="U4693" s="401">
        <f t="shared" si="14964"/>
        <v>1.5782400000000001</v>
      </c>
      <c r="V4693" s="396" t="s">
        <v>125</v>
      </c>
      <c r="W4693" s="399">
        <f t="shared" ref="W4693" si="15155">D4693</f>
        <v>0</v>
      </c>
      <c r="X4693" s="399" t="s">
        <v>125</v>
      </c>
      <c r="Y4693" s="389">
        <f t="shared" si="14966"/>
        <v>1</v>
      </c>
      <c r="Z4693" s="400" t="s">
        <v>176</v>
      </c>
      <c r="AA4693" s="402">
        <f t="shared" ref="AA4693" si="15156">(N4693+P4693*R4693/1000)*U4693*W4693*Y4693</f>
        <v>0</v>
      </c>
      <c r="AB4693" s="403"/>
    </row>
    <row r="4694" spans="1:28">
      <c r="A4694" s="384"/>
      <c r="B4694" s="385"/>
      <c r="C4694" s="393"/>
      <c r="D4694" s="394"/>
      <c r="E4694" s="388"/>
      <c r="F4694" s="388"/>
      <c r="G4694" s="388"/>
      <c r="H4694" s="395"/>
      <c r="I4694" s="388"/>
      <c r="J4694" s="399"/>
      <c r="K4694" s="396"/>
      <c r="L4694" s="396"/>
      <c r="M4694" s="396"/>
      <c r="N4694" s="396"/>
      <c r="O4694" s="396"/>
      <c r="P4694" s="389"/>
      <c r="Q4694" s="396"/>
      <c r="R4694" s="396"/>
      <c r="S4694" s="396"/>
      <c r="T4694" s="396"/>
      <c r="U4694" s="401"/>
      <c r="V4694" s="396"/>
      <c r="W4694" s="388"/>
      <c r="X4694" s="396"/>
      <c r="Y4694" s="389"/>
      <c r="Z4694" s="396"/>
      <c r="AA4694" s="388"/>
      <c r="AB4694" s="390"/>
    </row>
    <row r="4695" spans="1:28">
      <c r="A4695" s="384" t="str">
        <f t="shared" ref="A4695:B4695" si="15157">A4675</f>
        <v>Lantai 3</v>
      </c>
      <c r="B4695" s="385">
        <f t="shared" si="15157"/>
        <v>14</v>
      </c>
      <c r="C4695" s="393" t="s">
        <v>211</v>
      </c>
      <c r="D4695" s="398">
        <f>VLOOKUP(D4675,'Detail Balok'!$C$10:$AU$140,31,FALSE)</f>
        <v>0</v>
      </c>
      <c r="E4695" s="388" t="s">
        <v>16</v>
      </c>
      <c r="F4695" s="388">
        <f>VLOOKUP(D4675,'Detail Balok'!$C$10:$AU$140,33,FALSE)</f>
        <v>10</v>
      </c>
      <c r="G4695" s="405" t="s">
        <v>157</v>
      </c>
      <c r="H4695" s="395">
        <f>VLOOKUP(D4675,'Detail Balok'!$C$10:$AU$140,35,FALSE)</f>
        <v>100</v>
      </c>
      <c r="I4695" s="388"/>
      <c r="J4695" s="400">
        <f t="shared" ref="J4695" si="15158">(IF(D4695=0,(2*(D4676+G4676))-(F$5*8),IF(D4695=3,(2*(D4676+G4676))-(F$5*8)+(G4676-2*F$5),IF(D4695=4,(2*(D4676+G4676))-(F$5*8)+2*(G4676-2*F$5)))))/1000</f>
        <v>1.28</v>
      </c>
      <c r="K4695" s="400" t="s">
        <v>204</v>
      </c>
      <c r="L4695" s="399">
        <f t="shared" ref="L4695:L4697" si="15159">IF(D4695=0,2*MAX(6*F4695,75),(D4695-1)*2*MAX(6*F4695,75))/1000</f>
        <v>0.15</v>
      </c>
      <c r="M4695" s="399" t="s">
        <v>176</v>
      </c>
      <c r="N4695" s="399">
        <f t="shared" ref="N4695:N4697" si="15160">J4695+L4695</f>
        <v>1.43</v>
      </c>
      <c r="O4695" s="399"/>
      <c r="P4695" s="389"/>
      <c r="Q4695" s="399"/>
      <c r="R4695" s="399"/>
      <c r="S4695" s="399"/>
      <c r="T4695" s="399" t="s">
        <v>125</v>
      </c>
      <c r="U4695" s="401">
        <f t="shared" ref="U4695:U4697" si="15161">0.006165*F4695^2</f>
        <v>0.61650000000000005</v>
      </c>
      <c r="V4695" s="399" t="s">
        <v>125</v>
      </c>
      <c r="W4695" s="399">
        <f t="shared" ref="W4695" si="15162">IF(D4678&gt;4*G4676,ROUND(MAX(D4678/4,2*G4676)/H4695,0)+1,ROUND(D4678/H4695,0)+1)</f>
        <v>24</v>
      </c>
      <c r="X4695" s="399" t="s">
        <v>125</v>
      </c>
      <c r="Y4695" s="389">
        <f t="shared" ref="Y4695" si="15163">D4681</f>
        <v>1</v>
      </c>
      <c r="Z4695" s="400" t="s">
        <v>176</v>
      </c>
      <c r="AA4695" s="402">
        <f t="shared" ref="AA4695:AA4697" si="15164">N4695*U4695*W4695*Y4695</f>
        <v>21.158280000000001</v>
      </c>
      <c r="AB4695" s="403"/>
    </row>
    <row r="4696" spans="1:28">
      <c r="A4696" s="384" t="str">
        <f t="shared" ref="A4696:B4696" si="15165">A4675</f>
        <v>Lantai 3</v>
      </c>
      <c r="B4696" s="385">
        <f t="shared" si="15165"/>
        <v>14</v>
      </c>
      <c r="C4696" s="393" t="s">
        <v>212</v>
      </c>
      <c r="D4696" s="398">
        <f>VLOOKUP(D4675,'Detail Balok'!$C$10:$AU$140,36,FALSE)</f>
        <v>0</v>
      </c>
      <c r="E4696" s="388" t="s">
        <v>16</v>
      </c>
      <c r="F4696" s="388">
        <f>VLOOKUP(D4675,'Detail Balok'!$C$10:$AU$140,38,FALSE)</f>
        <v>10</v>
      </c>
      <c r="G4696" s="405" t="s">
        <v>157</v>
      </c>
      <c r="H4696" s="395">
        <f>VLOOKUP(D4675,'Detail Balok'!$C$10:$AU$140,40,FALSE)</f>
        <v>150</v>
      </c>
      <c r="I4696" s="388"/>
      <c r="J4696" s="400">
        <f t="shared" ref="J4696" si="15166">(IF(D4696=0,(2*(D4676+G4676))-(F$5*8),IF(D4696=3,(2*(D4676+G4676))-(F$5*8)+(G4676-2*F$5),IF(D4696=4,(2*(D4676+G4676))-(F$5*8)+2*(G4676-2*F$5)))))/1000</f>
        <v>1.28</v>
      </c>
      <c r="K4696" s="400" t="s">
        <v>204</v>
      </c>
      <c r="L4696" s="399">
        <f t="shared" si="15159"/>
        <v>0.15</v>
      </c>
      <c r="M4696" s="399" t="s">
        <v>176</v>
      </c>
      <c r="N4696" s="399">
        <f t="shared" si="15160"/>
        <v>1.43</v>
      </c>
      <c r="O4696" s="399"/>
      <c r="P4696" s="389"/>
      <c r="Q4696" s="399"/>
      <c r="R4696" s="399"/>
      <c r="S4696" s="399"/>
      <c r="T4696" s="399" t="s">
        <v>125</v>
      </c>
      <c r="U4696" s="401">
        <f t="shared" si="15161"/>
        <v>0.61650000000000005</v>
      </c>
      <c r="V4696" s="399" t="s">
        <v>125</v>
      </c>
      <c r="W4696" s="399">
        <f t="shared" ref="W4696" si="15167">IF(D4678-MAX(D4678/4,2*G4676)*2&gt;0,ROUND((D4678-MAX(D4678/4,2*G4676)*2)/H4696,0),0)</f>
        <v>31</v>
      </c>
      <c r="X4696" s="399" t="s">
        <v>125</v>
      </c>
      <c r="Y4696" s="389">
        <f t="shared" ref="Y4696" si="15168">D4681</f>
        <v>1</v>
      </c>
      <c r="Z4696" s="400" t="s">
        <v>176</v>
      </c>
      <c r="AA4696" s="402">
        <f t="shared" si="15164"/>
        <v>27.329445</v>
      </c>
      <c r="AB4696" s="403"/>
    </row>
    <row r="4697" spans="1:28">
      <c r="A4697" s="384" t="str">
        <f t="shared" ref="A4697:B4697" si="15169">A4675</f>
        <v>Lantai 3</v>
      </c>
      <c r="B4697" s="385">
        <f t="shared" si="15169"/>
        <v>14</v>
      </c>
      <c r="C4697" s="393" t="s">
        <v>211</v>
      </c>
      <c r="D4697" s="398">
        <f>VLOOKUP(D4675,'Detail Balok'!$C$10:$AU$140,41,FALSE)</f>
        <v>0</v>
      </c>
      <c r="E4697" s="388" t="s">
        <v>16</v>
      </c>
      <c r="F4697" s="388">
        <f>VLOOKUP(D4675,'Detail Balok'!$C$10:$AU$140,43,FALSE)</f>
        <v>10</v>
      </c>
      <c r="G4697" s="405" t="s">
        <v>157</v>
      </c>
      <c r="H4697" s="395">
        <f>VLOOKUP(D4675,'Detail Balok'!$C$10:$AU$140,45,FALSE)</f>
        <v>100</v>
      </c>
      <c r="I4697" s="388"/>
      <c r="J4697" s="400">
        <f t="shared" ref="J4697" si="15170">(IF(D4697=0,(2*(D4676+G4676))-(F$5*8),IF(D4697=3,(2*(D4676+G4676))-(F$5*8)+(G4676-2*F$5),IF(D4697=4,(2*(D4676+G4676))-(F$5*8)+2*(G4676-2*F$5)))))/1000</f>
        <v>1.28</v>
      </c>
      <c r="K4697" s="400" t="s">
        <v>204</v>
      </c>
      <c r="L4697" s="399">
        <f t="shared" si="15159"/>
        <v>0.15</v>
      </c>
      <c r="M4697" s="399" t="s">
        <v>176</v>
      </c>
      <c r="N4697" s="399">
        <f t="shared" si="15160"/>
        <v>1.43</v>
      </c>
      <c r="O4697" s="399"/>
      <c r="P4697" s="389"/>
      <c r="Q4697" s="399"/>
      <c r="R4697" s="399"/>
      <c r="S4697" s="399"/>
      <c r="T4697" s="399" t="s">
        <v>125</v>
      </c>
      <c r="U4697" s="401">
        <f t="shared" si="15161"/>
        <v>0.61650000000000005</v>
      </c>
      <c r="V4697" s="399" t="s">
        <v>125</v>
      </c>
      <c r="W4697" s="399">
        <f t="shared" ref="W4697" si="15171">IF(D4678&gt;4*G4676,ROUND(MAX(D4678/4,2*G4676)/H4697,0)+1,0)</f>
        <v>24</v>
      </c>
      <c r="X4697" s="399" t="s">
        <v>125</v>
      </c>
      <c r="Y4697" s="389">
        <f t="shared" ref="Y4697" si="15172">D4681</f>
        <v>1</v>
      </c>
      <c r="Z4697" s="400" t="s">
        <v>176</v>
      </c>
      <c r="AA4697" s="402">
        <f t="shared" si="15164"/>
        <v>21.158280000000001</v>
      </c>
      <c r="AB4697" s="403"/>
    </row>
    <row r="4698" spans="1:28">
      <c r="A4698" s="384"/>
      <c r="B4698" s="385"/>
      <c r="C4698" s="393"/>
      <c r="D4698" s="394"/>
      <c r="E4698" s="388"/>
      <c r="F4698" s="388"/>
      <c r="G4698" s="388"/>
      <c r="H4698" s="395"/>
      <c r="I4698" s="388"/>
      <c r="J4698" s="399"/>
      <c r="K4698" s="396"/>
      <c r="L4698" s="396"/>
      <c r="M4698" s="396"/>
      <c r="N4698" s="396"/>
      <c r="O4698" s="396"/>
      <c r="P4698" s="389"/>
      <c r="Q4698" s="396"/>
      <c r="R4698" s="396"/>
      <c r="S4698" s="396"/>
      <c r="T4698" s="396"/>
      <c r="U4698" s="401"/>
      <c r="V4698" s="396"/>
      <c r="W4698" s="388"/>
      <c r="X4698" s="396"/>
      <c r="Y4698" s="389"/>
      <c r="Z4698" s="396"/>
      <c r="AA4698" s="388"/>
      <c r="AB4698" s="390"/>
    </row>
    <row r="4699" spans="1:28">
      <c r="A4699" s="384" t="str">
        <f t="shared" ref="A4699:B4699" si="15173">A4675</f>
        <v>Lantai 3</v>
      </c>
      <c r="B4699" s="385">
        <f t="shared" si="15173"/>
        <v>14</v>
      </c>
      <c r="C4699" s="393" t="s">
        <v>213</v>
      </c>
      <c r="D4699" s="398">
        <f>VLOOKUP(D4675,'Detail Balok'!$C$10:$BJ$140,46,FALSE)</f>
        <v>0</v>
      </c>
      <c r="E4699" s="388" t="s">
        <v>16</v>
      </c>
      <c r="F4699" s="388">
        <f>VLOOKUP(D4675,'Detail Balok'!$C$10:$BJ$140,48,FALSE)</f>
        <v>0</v>
      </c>
      <c r="G4699" s="405" t="s">
        <v>157</v>
      </c>
      <c r="H4699" s="395">
        <f>VLOOKUP(D4675,'Detail Balok'!$C$10:$BJ$140,50,FALSE)</f>
        <v>100</v>
      </c>
      <c r="I4699" s="388"/>
      <c r="J4699" s="399">
        <f t="shared" ref="J4699" si="15174">(D4676-2*F$5)/1000</f>
        <v>0.12</v>
      </c>
      <c r="K4699" s="400" t="s">
        <v>204</v>
      </c>
      <c r="L4699" s="399">
        <f t="shared" ref="L4699:L4701" si="15175">IF(D4699=0,2*MAX(6*F4699,75),(D4699-1)*2*MAX(6*F4699,75))/1000</f>
        <v>0.15</v>
      </c>
      <c r="M4699" s="399" t="s">
        <v>176</v>
      </c>
      <c r="N4699" s="399">
        <f t="shared" ref="N4699:N4701" si="15176">J4699+L4699</f>
        <v>0.27</v>
      </c>
      <c r="O4699" s="399"/>
      <c r="P4699" s="399"/>
      <c r="Q4699" s="399"/>
      <c r="R4699" s="399"/>
      <c r="S4699" s="399"/>
      <c r="T4699" s="399" t="s">
        <v>125</v>
      </c>
      <c r="U4699" s="401">
        <f t="shared" ref="U4699:U4701" si="15177">0.006165*F4699^2</f>
        <v>0</v>
      </c>
      <c r="V4699" s="399" t="s">
        <v>125</v>
      </c>
      <c r="W4699" s="399">
        <f t="shared" si="14989"/>
        <v>24</v>
      </c>
      <c r="X4699" s="399" t="s">
        <v>125</v>
      </c>
      <c r="Y4699" s="389">
        <f t="shared" ref="Y4699" si="15178">D4685</f>
        <v>0</v>
      </c>
      <c r="Z4699" s="400" t="s">
        <v>176</v>
      </c>
      <c r="AA4699" s="402">
        <f t="shared" ref="AA4699:AA4701" si="15179">N4699*U4699*W4699*Y4699</f>
        <v>0</v>
      </c>
      <c r="AB4699" s="403"/>
    </row>
    <row r="4700" spans="1:28">
      <c r="A4700" s="384" t="str">
        <f t="shared" ref="A4700:B4700" si="15180">A4675</f>
        <v>Lantai 3</v>
      </c>
      <c r="B4700" s="385">
        <f t="shared" si="15180"/>
        <v>14</v>
      </c>
      <c r="C4700" s="393" t="s">
        <v>214</v>
      </c>
      <c r="D4700" s="398">
        <f>VLOOKUP(D4675,'Detail Balok'!$C$10:$BJ$140,51,FALSE)</f>
        <v>0</v>
      </c>
      <c r="E4700" s="388" t="s">
        <v>16</v>
      </c>
      <c r="F4700" s="388">
        <f>VLOOKUP(D4675,'Detail Balok'!$C$10:$BJ$140,53,FALSE)</f>
        <v>0</v>
      </c>
      <c r="G4700" s="405" t="s">
        <v>157</v>
      </c>
      <c r="H4700" s="395">
        <f>VLOOKUP(D4675,'Detail Balok'!$C$10:$BJ$140,55,FALSE)</f>
        <v>100</v>
      </c>
      <c r="I4700" s="388"/>
      <c r="J4700" s="399">
        <f t="shared" ref="J4700" si="15181">(D4676-2*F$5)/1000</f>
        <v>0.12</v>
      </c>
      <c r="K4700" s="400" t="s">
        <v>204</v>
      </c>
      <c r="L4700" s="399">
        <f t="shared" si="15175"/>
        <v>0.15</v>
      </c>
      <c r="M4700" s="399" t="s">
        <v>176</v>
      </c>
      <c r="N4700" s="399">
        <f t="shared" si="15176"/>
        <v>0.27</v>
      </c>
      <c r="O4700" s="399"/>
      <c r="P4700" s="399"/>
      <c r="Q4700" s="399"/>
      <c r="R4700" s="399"/>
      <c r="S4700" s="399"/>
      <c r="T4700" s="399" t="s">
        <v>125</v>
      </c>
      <c r="U4700" s="401">
        <f t="shared" si="15177"/>
        <v>0</v>
      </c>
      <c r="V4700" s="399" t="s">
        <v>125</v>
      </c>
      <c r="W4700" s="399">
        <f t="shared" si="14989"/>
        <v>31</v>
      </c>
      <c r="X4700" s="399" t="s">
        <v>125</v>
      </c>
      <c r="Y4700" s="389">
        <f t="shared" ref="Y4700" si="15182">D4685</f>
        <v>0</v>
      </c>
      <c r="Z4700" s="400" t="s">
        <v>176</v>
      </c>
      <c r="AA4700" s="402">
        <f t="shared" si="15179"/>
        <v>0</v>
      </c>
      <c r="AB4700" s="403"/>
    </row>
    <row r="4701" spans="1:28">
      <c r="A4701" s="384" t="str">
        <f t="shared" ref="A4701:B4701" si="15183">A4675</f>
        <v>Lantai 3</v>
      </c>
      <c r="B4701" s="385">
        <f t="shared" si="15183"/>
        <v>14</v>
      </c>
      <c r="C4701" s="393" t="s">
        <v>213</v>
      </c>
      <c r="D4701" s="398">
        <f>VLOOKUP(D4675,'Detail Balok'!$C$10:$BJ$140,56,FALSE)</f>
        <v>0</v>
      </c>
      <c r="E4701" s="388" t="s">
        <v>16</v>
      </c>
      <c r="F4701" s="388">
        <f>VLOOKUP(D4675,'Detail Balok'!$C$10:$BJ$140,58,FALSE)</f>
        <v>0</v>
      </c>
      <c r="G4701" s="405" t="s">
        <v>157</v>
      </c>
      <c r="H4701" s="395">
        <f>VLOOKUP(D4675,'Detail Balok'!$C$10:$BJ$140,60,FALSE)</f>
        <v>100</v>
      </c>
      <c r="I4701" s="388"/>
      <c r="J4701" s="399">
        <f t="shared" ref="J4701" si="15184">(D4676-2*F$5)/1000</f>
        <v>0.12</v>
      </c>
      <c r="K4701" s="400" t="s">
        <v>204</v>
      </c>
      <c r="L4701" s="399">
        <f t="shared" si="15175"/>
        <v>0.15</v>
      </c>
      <c r="M4701" s="399" t="s">
        <v>176</v>
      </c>
      <c r="N4701" s="399">
        <f t="shared" si="15176"/>
        <v>0.27</v>
      </c>
      <c r="O4701" s="399"/>
      <c r="P4701" s="399"/>
      <c r="Q4701" s="399"/>
      <c r="R4701" s="399"/>
      <c r="S4701" s="399"/>
      <c r="T4701" s="399" t="s">
        <v>125</v>
      </c>
      <c r="U4701" s="401">
        <f t="shared" si="15177"/>
        <v>0</v>
      </c>
      <c r="V4701" s="399" t="s">
        <v>125</v>
      </c>
      <c r="W4701" s="399">
        <f t="shared" si="14989"/>
        <v>24</v>
      </c>
      <c r="X4701" s="399" t="s">
        <v>125</v>
      </c>
      <c r="Y4701" s="389">
        <f t="shared" ref="Y4701" si="15185">D4685</f>
        <v>0</v>
      </c>
      <c r="Z4701" s="400" t="s">
        <v>176</v>
      </c>
      <c r="AA4701" s="402">
        <f t="shared" si="15179"/>
        <v>0</v>
      </c>
      <c r="AB4701" s="403"/>
    </row>
    <row r="4702" spans="1:28">
      <c r="A4702" s="391"/>
      <c r="B4702" s="392"/>
      <c r="C4702" s="392"/>
      <c r="D4702" s="394"/>
      <c r="E4702" s="388"/>
      <c r="F4702" s="388"/>
      <c r="G4702" s="388"/>
      <c r="H4702" s="395"/>
      <c r="I4702" s="388"/>
      <c r="J4702" s="402"/>
      <c r="K4702" s="388"/>
      <c r="L4702" s="388"/>
      <c r="M4702" s="388"/>
      <c r="N4702" s="388"/>
      <c r="O4702" s="388"/>
      <c r="P4702" s="388"/>
      <c r="Q4702" s="388"/>
      <c r="R4702" s="388"/>
      <c r="S4702" s="388"/>
      <c r="T4702" s="388"/>
      <c r="U4702" s="388"/>
      <c r="V4702" s="388"/>
      <c r="W4702" s="388"/>
      <c r="X4702" s="388"/>
      <c r="Y4702" s="389"/>
      <c r="Z4702" s="388"/>
      <c r="AA4702" s="402"/>
      <c r="AB4702" s="403"/>
    </row>
    <row r="4703" spans="1:28" ht="15.75" thickBot="1">
      <c r="A4703" s="406"/>
      <c r="B4703" s="407"/>
      <c r="C4703" s="407"/>
      <c r="D4703" s="408"/>
      <c r="E4703" s="409"/>
      <c r="F4703" s="409"/>
      <c r="G4703" s="409"/>
      <c r="H4703" s="410"/>
      <c r="I4703" s="409"/>
      <c r="J4703" s="409"/>
      <c r="K4703" s="409"/>
      <c r="L4703" s="409"/>
      <c r="M4703" s="409"/>
      <c r="N4703" s="409"/>
      <c r="O4703" s="409"/>
      <c r="P4703" s="409"/>
      <c r="Q4703" s="409"/>
      <c r="R4703" s="409"/>
      <c r="S4703" s="409"/>
      <c r="T4703" s="409"/>
      <c r="U4703" s="409"/>
      <c r="V4703" s="409"/>
      <c r="W4703" s="409"/>
      <c r="X4703" s="409"/>
      <c r="Y4703" s="411"/>
      <c r="Z4703" s="409"/>
      <c r="AA4703" s="412"/>
      <c r="AB4703" s="413"/>
    </row>
    <row r="4704" spans="1:28">
      <c r="A4704" s="377"/>
      <c r="B4704" s="378"/>
      <c r="C4704" s="378"/>
      <c r="D4704" s="379"/>
      <c r="E4704" s="380"/>
      <c r="F4704" s="380"/>
      <c r="G4704" s="380"/>
      <c r="H4704" s="381"/>
      <c r="I4704" s="380"/>
      <c r="J4704" s="380"/>
      <c r="K4704" s="380"/>
      <c r="L4704" s="380"/>
      <c r="M4704" s="380"/>
      <c r="N4704" s="380"/>
      <c r="O4704" s="380"/>
      <c r="P4704" s="380"/>
      <c r="Q4704" s="380"/>
      <c r="R4704" s="380"/>
      <c r="S4704" s="380"/>
      <c r="T4704" s="380"/>
      <c r="U4704" s="380"/>
      <c r="V4704" s="380"/>
      <c r="W4704" s="380"/>
      <c r="X4704" s="380"/>
      <c r="Y4704" s="382"/>
      <c r="Z4704" s="380"/>
      <c r="AA4704" s="380"/>
      <c r="AB4704" s="383"/>
    </row>
    <row r="4705" spans="1:28">
      <c r="A4705" s="384" t="str">
        <f t="shared" si="14998"/>
        <v>Lantai 3</v>
      </c>
      <c r="B4705" s="385">
        <f t="shared" si="14999"/>
        <v>15</v>
      </c>
      <c r="C4705" s="386" t="str">
        <f t="shared" ref="C4705" si="15186">CONCATENATE(A4705," no. ",B4705)</f>
        <v>Lantai 3 no. 15</v>
      </c>
      <c r="D4705" s="2562" t="str">
        <f>VLOOKUP(C4705,'Data Panjang Balok'!$C$9:$N$254,2,FALSE)</f>
        <v>B26-1</v>
      </c>
      <c r="E4705" s="2576"/>
      <c r="F4705" s="2576"/>
      <c r="G4705" s="2576"/>
      <c r="H4705" s="2577"/>
      <c r="I4705" s="387"/>
      <c r="J4705" s="388"/>
      <c r="K4705" s="388"/>
      <c r="L4705" s="388"/>
      <c r="M4705" s="388"/>
      <c r="N4705" s="388"/>
      <c r="O4705" s="388"/>
      <c r="P4705" s="388"/>
      <c r="Q4705" s="388"/>
      <c r="R4705" s="388"/>
      <c r="S4705" s="388"/>
      <c r="T4705" s="388"/>
      <c r="U4705" s="388"/>
      <c r="V4705" s="388"/>
      <c r="W4705" s="388"/>
      <c r="X4705" s="388"/>
      <c r="Y4705" s="389"/>
      <c r="Z4705" s="388"/>
      <c r="AA4705" s="388"/>
      <c r="AB4705" s="390"/>
    </row>
    <row r="4706" spans="1:28">
      <c r="A4706" s="391"/>
      <c r="B4706" s="392"/>
      <c r="C4706" s="393" t="s">
        <v>118</v>
      </c>
      <c r="D4706" s="2578">
        <f>VLOOKUP(D4705,'Detail Balok'!$C$10:$AU$140,2,FALSE)</f>
        <v>200</v>
      </c>
      <c r="E4706" s="2579"/>
      <c r="F4706" s="388" t="s">
        <v>125</v>
      </c>
      <c r="G4706" s="2579">
        <f>VLOOKUP(D4705,'Detail Balok'!$C$10:$AU$140,3,FALSE)</f>
        <v>600</v>
      </c>
      <c r="H4706" s="2580"/>
      <c r="I4706" s="388"/>
      <c r="J4706" s="396"/>
      <c r="K4706" s="396"/>
      <c r="L4706" s="396"/>
      <c r="M4706" s="396"/>
      <c r="N4706" s="396"/>
      <c r="O4706" s="396"/>
      <c r="P4706" s="396"/>
      <c r="Q4706" s="396"/>
      <c r="R4706" s="396"/>
      <c r="S4706" s="396"/>
      <c r="T4706" s="396"/>
      <c r="U4706" s="388"/>
      <c r="V4706" s="396"/>
      <c r="W4706" s="388"/>
      <c r="X4706" s="396"/>
      <c r="Y4706" s="389"/>
      <c r="Z4706" s="396"/>
      <c r="AA4706" s="388"/>
      <c r="AB4706" s="390"/>
    </row>
    <row r="4707" spans="1:28">
      <c r="A4707" s="391"/>
      <c r="B4707" s="392"/>
      <c r="C4707" s="393" t="s">
        <v>198</v>
      </c>
      <c r="D4707" s="2562">
        <f>VLOOKUP(C4705,'Data Panjang Balok'!$C$9:$N$254,4,FALSE)</f>
        <v>5825</v>
      </c>
      <c r="E4707" s="2563"/>
      <c r="F4707" s="2563"/>
      <c r="G4707" s="2563"/>
      <c r="H4707" s="2564"/>
      <c r="I4707" s="397"/>
      <c r="J4707" s="396"/>
      <c r="K4707" s="396"/>
      <c r="L4707" s="396"/>
      <c r="M4707" s="396"/>
      <c r="N4707" s="396"/>
      <c r="O4707" s="396"/>
      <c r="P4707" s="396"/>
      <c r="Q4707" s="396"/>
      <c r="R4707" s="396"/>
      <c r="S4707" s="396"/>
      <c r="T4707" s="396"/>
      <c r="U4707" s="388"/>
      <c r="V4707" s="396"/>
      <c r="W4707" s="388"/>
      <c r="X4707" s="396"/>
      <c r="Y4707" s="389"/>
      <c r="Z4707" s="396"/>
      <c r="AA4707" s="388"/>
      <c r="AB4707" s="390"/>
    </row>
    <row r="4708" spans="1:28">
      <c r="A4708" s="391"/>
      <c r="B4708" s="392"/>
      <c r="C4708" s="393" t="s">
        <v>199</v>
      </c>
      <c r="D4708" s="2562">
        <f>VLOOKUP(C4705,'Data Panjang Balok'!$C$9:$N$254,7,FALSE)</f>
        <v>5825</v>
      </c>
      <c r="E4708" s="2563"/>
      <c r="F4708" s="2563"/>
      <c r="G4708" s="2563"/>
      <c r="H4708" s="2564"/>
      <c r="I4708" s="397"/>
      <c r="J4708" s="396"/>
      <c r="K4708" s="396"/>
      <c r="L4708" s="396"/>
      <c r="M4708" s="396"/>
      <c r="N4708" s="396"/>
      <c r="O4708" s="396"/>
      <c r="P4708" s="396"/>
      <c r="Q4708" s="396"/>
      <c r="R4708" s="396"/>
      <c r="S4708" s="396"/>
      <c r="T4708" s="396"/>
      <c r="U4708" s="388"/>
      <c r="V4708" s="396"/>
      <c r="W4708" s="388"/>
      <c r="X4708" s="396"/>
      <c r="Y4708" s="389"/>
      <c r="Z4708" s="396"/>
      <c r="AA4708" s="388"/>
      <c r="AB4708" s="390"/>
    </row>
    <row r="4709" spans="1:28">
      <c r="A4709" s="391"/>
      <c r="B4709" s="392"/>
      <c r="C4709" s="393" t="s">
        <v>200</v>
      </c>
      <c r="D4709" s="2562">
        <f>VLOOKUP(C4705,'Data Panjang Balok'!$C$9:$N$254,9,FALSE)</f>
        <v>0</v>
      </c>
      <c r="E4709" s="2563"/>
      <c r="F4709" s="2563"/>
      <c r="G4709" s="2563"/>
      <c r="H4709" s="2564"/>
      <c r="I4709" s="397"/>
      <c r="J4709" s="396"/>
      <c r="K4709" s="396"/>
      <c r="L4709" s="396"/>
      <c r="M4709" s="396"/>
      <c r="N4709" s="396"/>
      <c r="O4709" s="396"/>
      <c r="P4709" s="396"/>
      <c r="Q4709" s="396"/>
      <c r="R4709" s="396"/>
      <c r="S4709" s="396"/>
      <c r="T4709" s="396"/>
      <c r="U4709" s="388"/>
      <c r="V4709" s="396"/>
      <c r="W4709" s="388"/>
      <c r="X4709" s="396"/>
      <c r="Y4709" s="389"/>
      <c r="Z4709" s="396"/>
      <c r="AA4709" s="388"/>
      <c r="AB4709" s="390"/>
    </row>
    <row r="4710" spans="1:28">
      <c r="A4710" s="391"/>
      <c r="B4710" s="392"/>
      <c r="C4710" s="393" t="s">
        <v>201</v>
      </c>
      <c r="D4710" s="2562">
        <f>VLOOKUP(C4705,'Data Panjang Balok'!$C$9:$N$254,10,FALSE)</f>
        <v>0</v>
      </c>
      <c r="E4710" s="2563"/>
      <c r="F4710" s="2563"/>
      <c r="G4710" s="2563"/>
      <c r="H4710" s="2564"/>
      <c r="I4710" s="397"/>
      <c r="J4710" s="396"/>
      <c r="K4710" s="396"/>
      <c r="L4710" s="396"/>
      <c r="M4710" s="396"/>
      <c r="N4710" s="396"/>
      <c r="O4710" s="396"/>
      <c r="P4710" s="396"/>
      <c r="Q4710" s="396"/>
      <c r="R4710" s="396"/>
      <c r="S4710" s="396"/>
      <c r="T4710" s="396"/>
      <c r="U4710" s="388"/>
      <c r="V4710" s="396"/>
      <c r="W4710" s="388"/>
      <c r="X4710" s="396"/>
      <c r="Y4710" s="389"/>
      <c r="Z4710" s="396"/>
      <c r="AA4710" s="388"/>
      <c r="AB4710" s="390"/>
    </row>
    <row r="4711" spans="1:28">
      <c r="A4711" s="391"/>
      <c r="B4711" s="392"/>
      <c r="C4711" s="393" t="s">
        <v>48</v>
      </c>
      <c r="D4711" s="2562">
        <f>VLOOKUP(C4705,'Data Panjang Balok'!$C$9:$N$254,3,FALSE)</f>
        <v>1</v>
      </c>
      <c r="E4711" s="2563"/>
      <c r="F4711" s="2563"/>
      <c r="G4711" s="2563"/>
      <c r="H4711" s="2564"/>
      <c r="I4711" s="397"/>
      <c r="J4711" s="396"/>
      <c r="K4711" s="396"/>
      <c r="L4711" s="396"/>
      <c r="M4711" s="396"/>
      <c r="N4711" s="396"/>
      <c r="O4711" s="396"/>
      <c r="P4711" s="396"/>
      <c r="Q4711" s="396"/>
      <c r="R4711" s="396"/>
      <c r="S4711" s="396"/>
      <c r="T4711" s="396"/>
      <c r="U4711" s="388"/>
      <c r="V4711" s="396"/>
      <c r="W4711" s="388"/>
      <c r="X4711" s="396"/>
      <c r="Y4711" s="389"/>
      <c r="Z4711" s="396"/>
      <c r="AA4711" s="388"/>
      <c r="AB4711" s="390"/>
    </row>
    <row r="4712" spans="1:28">
      <c r="A4712" s="384" t="str">
        <f t="shared" ref="A4712:B4712" si="15187">A4705</f>
        <v>Lantai 3</v>
      </c>
      <c r="B4712" s="385">
        <f t="shared" si="15187"/>
        <v>15</v>
      </c>
      <c r="C4712" s="393" t="s">
        <v>202</v>
      </c>
      <c r="D4712" s="398">
        <f>VLOOKUP(D4705,'Detail Balok'!$C$10:$AU$140,4,FALSE)</f>
        <v>4</v>
      </c>
      <c r="E4712" s="388" t="s">
        <v>16</v>
      </c>
      <c r="F4712" s="388">
        <f>VLOOKUP(D4705,'Detail Balok'!$C$10:$AU$140,6,FALSE)</f>
        <v>16</v>
      </c>
      <c r="G4712" s="388"/>
      <c r="H4712" s="395"/>
      <c r="I4712" s="388" t="s">
        <v>203</v>
      </c>
      <c r="J4712" s="399">
        <f t="shared" ref="J4712" si="15188">+D4707/4/1000</f>
        <v>1.45625</v>
      </c>
      <c r="K4712" s="400" t="s">
        <v>204</v>
      </c>
      <c r="L4712" s="399">
        <f t="shared" ref="L4712" si="15189">MAX(VLOOKUP(F4712,N$6:P$15,3,FALSE)/1000,2/3*D4709/1000)+F$16*F4712/1000</f>
        <v>0.192</v>
      </c>
      <c r="M4712" s="399" t="s">
        <v>176</v>
      </c>
      <c r="N4712" s="399">
        <f t="shared" ref="N4712:N4714" si="15190">J4712+L4712</f>
        <v>1.64825</v>
      </c>
      <c r="O4712" s="399" t="s">
        <v>204</v>
      </c>
      <c r="P4712" s="389">
        <f t="shared" ref="P4712" si="15191">D4712-D4713</f>
        <v>1</v>
      </c>
      <c r="Q4712" s="399" t="s">
        <v>125</v>
      </c>
      <c r="R4712" s="399">
        <f t="shared" ref="R4712" si="15192">IF(P4712&gt;0,$F$18*F4712/1000,0)</f>
        <v>0.24</v>
      </c>
      <c r="S4712" s="399" t="s">
        <v>205</v>
      </c>
      <c r="T4712" s="399" t="s">
        <v>125</v>
      </c>
      <c r="U4712" s="401">
        <f t="shared" ref="U4712:U4714" si="15193">0.006165*F4712^2</f>
        <v>1.5782400000000001</v>
      </c>
      <c r="V4712" s="399"/>
      <c r="W4712" s="399"/>
      <c r="X4712" s="399" t="s">
        <v>125</v>
      </c>
      <c r="Y4712" s="389">
        <f t="shared" ref="Y4712" si="15194">D4711</f>
        <v>1</v>
      </c>
      <c r="Z4712" s="400" t="s">
        <v>176</v>
      </c>
      <c r="AA4712" s="402">
        <f t="shared" ref="AA4712" si="15195">IF(AA4715=0,(D4712*N4712+P4712*R4712)*U4712*Y4712,0)</f>
        <v>10.784113920000001</v>
      </c>
      <c r="AB4712" s="403"/>
    </row>
    <row r="4713" spans="1:28">
      <c r="A4713" s="384" t="str">
        <f t="shared" ref="A4713:B4713" si="15196">A4705</f>
        <v>Lantai 3</v>
      </c>
      <c r="B4713" s="385">
        <f t="shared" si="15196"/>
        <v>15</v>
      </c>
      <c r="C4713" s="393" t="s">
        <v>206</v>
      </c>
      <c r="D4713" s="398">
        <f>VLOOKUP(D4705,'Detail Balok'!$C$10:$AU$140,7,FALSE)</f>
        <v>3</v>
      </c>
      <c r="E4713" s="388" t="s">
        <v>16</v>
      </c>
      <c r="F4713" s="388">
        <f>VLOOKUP(D4705,'Detail Balok'!$C$10:$AU$140,9,FALSE)</f>
        <v>16</v>
      </c>
      <c r="G4713" s="388"/>
      <c r="H4713" s="395"/>
      <c r="I4713" s="388" t="s">
        <v>203</v>
      </c>
      <c r="J4713" s="399">
        <f t="shared" ref="J4713" si="15197">+D4707/2/1000</f>
        <v>2.9125000000000001</v>
      </c>
      <c r="K4713" s="400" t="s">
        <v>204</v>
      </c>
      <c r="L4713" s="399"/>
      <c r="M4713" s="399" t="s">
        <v>176</v>
      </c>
      <c r="N4713" s="399">
        <f t="shared" si="15190"/>
        <v>2.9125000000000001</v>
      </c>
      <c r="O4713" s="399" t="s">
        <v>204</v>
      </c>
      <c r="P4713" s="389">
        <f t="shared" ref="P4713" si="15198">MAX(D4713-D4712,D4713-D4714)</f>
        <v>-1</v>
      </c>
      <c r="Q4713" s="399" t="s">
        <v>125</v>
      </c>
      <c r="R4713" s="399">
        <f t="shared" ref="R4713" si="15199">IF(P4713&gt;0,2*(1-2*$F$19-1/2)*D4708/1000,0)</f>
        <v>0</v>
      </c>
      <c r="S4713" s="399" t="s">
        <v>205</v>
      </c>
      <c r="T4713" s="399" t="s">
        <v>125</v>
      </c>
      <c r="U4713" s="401">
        <f t="shared" si="15193"/>
        <v>1.5782400000000001</v>
      </c>
      <c r="V4713" s="399"/>
      <c r="W4713" s="399"/>
      <c r="X4713" s="399" t="s">
        <v>125</v>
      </c>
      <c r="Y4713" s="389">
        <f t="shared" ref="Y4713" si="15200">D4711</f>
        <v>1</v>
      </c>
      <c r="Z4713" s="400" t="s">
        <v>176</v>
      </c>
      <c r="AA4713" s="402">
        <f t="shared" ref="AA4713" si="15201">IF(AA4715=0,(D4713*N4713+P4713*R4713)*U4713*Y4713,0)</f>
        <v>13.789872000000003</v>
      </c>
      <c r="AB4713" s="403"/>
    </row>
    <row r="4714" spans="1:28">
      <c r="A4714" s="384" t="str">
        <f t="shared" ref="A4714:B4714" si="15202">A4705</f>
        <v>Lantai 3</v>
      </c>
      <c r="B4714" s="385">
        <f t="shared" si="15202"/>
        <v>15</v>
      </c>
      <c r="C4714" s="393" t="s">
        <v>202</v>
      </c>
      <c r="D4714" s="398">
        <f>VLOOKUP(D4705,'Detail Balok'!$C$10:$AU$140,10,FALSE)</f>
        <v>4</v>
      </c>
      <c r="E4714" s="388" t="s">
        <v>16</v>
      </c>
      <c r="F4714" s="388">
        <f>VLOOKUP(D4705,'Detail Balok'!$C$10:$AU$140,12,FALSE)</f>
        <v>16</v>
      </c>
      <c r="G4714" s="388"/>
      <c r="H4714" s="395"/>
      <c r="I4714" s="388" t="s">
        <v>203</v>
      </c>
      <c r="J4714" s="399">
        <f t="shared" ref="J4714" si="15203">+D4707/4/1000</f>
        <v>1.45625</v>
      </c>
      <c r="K4714" s="400" t="s">
        <v>204</v>
      </c>
      <c r="L4714" s="399">
        <f t="shared" ref="L4714" si="15204">MAX(VLOOKUP(F4714,N$6:P$15,3,FALSE)/1000,2/3*D4709/1000)+F$16*F4714/1000</f>
        <v>0.192</v>
      </c>
      <c r="M4714" s="399" t="s">
        <v>176</v>
      </c>
      <c r="N4714" s="399">
        <f t="shared" si="15190"/>
        <v>1.64825</v>
      </c>
      <c r="O4714" s="399" t="s">
        <v>204</v>
      </c>
      <c r="P4714" s="389">
        <f t="shared" ref="P4714" si="15205">D4714-D4713</f>
        <v>1</v>
      </c>
      <c r="Q4714" s="399" t="s">
        <v>125</v>
      </c>
      <c r="R4714" s="399">
        <f t="shared" ref="R4714" si="15206">IF(P4714&gt;0,$F$18*F4714/1000,0)</f>
        <v>0.24</v>
      </c>
      <c r="S4714" s="399" t="s">
        <v>205</v>
      </c>
      <c r="T4714" s="399" t="s">
        <v>125</v>
      </c>
      <c r="U4714" s="401">
        <f t="shared" si="15193"/>
        <v>1.5782400000000001</v>
      </c>
      <c r="V4714" s="399"/>
      <c r="W4714" s="399"/>
      <c r="X4714" s="399" t="s">
        <v>125</v>
      </c>
      <c r="Y4714" s="389">
        <f t="shared" ref="Y4714" si="15207">D4711</f>
        <v>1</v>
      </c>
      <c r="Z4714" s="400" t="s">
        <v>176</v>
      </c>
      <c r="AA4714" s="402">
        <f t="shared" ref="AA4714" si="15208">IF(AA4715=0,(D4714*N4714+P4714*R4714)*U4714*Y4714,0)</f>
        <v>10.784113920000001</v>
      </c>
      <c r="AB4714" s="403"/>
    </row>
    <row r="4715" spans="1:28">
      <c r="A4715" s="384" t="str">
        <f t="shared" ref="A4715:B4715" si="15209">A4705</f>
        <v>Lantai 3</v>
      </c>
      <c r="B4715" s="385">
        <f t="shared" si="15209"/>
        <v>15</v>
      </c>
      <c r="C4715" s="393"/>
      <c r="D4715" s="398">
        <f t="shared" ref="D4715:D4775" si="15210">IF(AND(D4712=D4713,D4713=D4714,D4712=D4714),D4712,0)</f>
        <v>0</v>
      </c>
      <c r="E4715" s="388" t="s">
        <v>16</v>
      </c>
      <c r="F4715" s="388">
        <f t="shared" ref="F4715:F4775" si="15211">IF(AND(F4712=F4713,F4712=F4714,F4713=F4714),F4712,0)</f>
        <v>16</v>
      </c>
      <c r="G4715" s="388"/>
      <c r="H4715" s="395"/>
      <c r="I4715" s="388"/>
      <c r="J4715" s="396"/>
      <c r="K4715" s="396"/>
      <c r="L4715" s="404" t="s">
        <v>207</v>
      </c>
      <c r="M4715" s="399" t="s">
        <v>176</v>
      </c>
      <c r="N4715" s="399">
        <f t="shared" ref="N4715" si="15212">IF(AND(D4712=D4713,D4712=D4714,D4713=D4714,F4712=F4713,F4712=F4714,F4713=F4714),SUM(N4712:N4714),0)</f>
        <v>0</v>
      </c>
      <c r="O4715" s="399" t="s">
        <v>204</v>
      </c>
      <c r="P4715" s="389">
        <f t="shared" ref="P4715" si="15213">IF(N4715&gt;12,ROUNDDOWN(N4715/12,0),0)</f>
        <v>0</v>
      </c>
      <c r="Q4715" s="399" t="s">
        <v>125</v>
      </c>
      <c r="R4715" s="399">
        <f t="shared" ref="R4715" si="15214">IF(P4715&gt;0,MAX(VLOOKUP(F4715,$D$6:$G$15,3,FALSE),600),0)/1000</f>
        <v>0</v>
      </c>
      <c r="S4715" s="396"/>
      <c r="T4715" s="396" t="s">
        <v>125</v>
      </c>
      <c r="U4715" s="401">
        <f t="shared" ref="U4715:U4775" si="15215">U4714</f>
        <v>1.5782400000000001</v>
      </c>
      <c r="V4715" s="396" t="s">
        <v>125</v>
      </c>
      <c r="W4715" s="399">
        <f t="shared" ref="W4715" si="15216">D4715</f>
        <v>0</v>
      </c>
      <c r="X4715" s="399" t="s">
        <v>125</v>
      </c>
      <c r="Y4715" s="389">
        <f t="shared" ref="Y4715:Y4775" si="15217">Y4714</f>
        <v>1</v>
      </c>
      <c r="Z4715" s="400" t="s">
        <v>176</v>
      </c>
      <c r="AA4715" s="402">
        <f t="shared" ref="AA4715" si="15218">(N4715+P4715*R4715/1000)*U4715*W4715*Y4715</f>
        <v>0</v>
      </c>
      <c r="AB4715" s="390"/>
    </row>
    <row r="4716" spans="1:28">
      <c r="A4716" s="384"/>
      <c r="B4716" s="385"/>
      <c r="C4716" s="393"/>
      <c r="D4716" s="398"/>
      <c r="E4716" s="388"/>
      <c r="F4716" s="388"/>
      <c r="G4716" s="388"/>
      <c r="H4716" s="395"/>
      <c r="I4716" s="388"/>
      <c r="J4716" s="396"/>
      <c r="K4716" s="396"/>
      <c r="L4716" s="404"/>
      <c r="M4716" s="399"/>
      <c r="N4716" s="399"/>
      <c r="O4716" s="396"/>
      <c r="P4716" s="389"/>
      <c r="Q4716" s="396"/>
      <c r="R4716" s="396"/>
      <c r="S4716" s="396"/>
      <c r="T4716" s="396"/>
      <c r="U4716" s="401"/>
      <c r="V4716" s="396"/>
      <c r="W4716" s="399"/>
      <c r="X4716" s="396"/>
      <c r="Y4716" s="389"/>
      <c r="Z4716" s="396"/>
      <c r="AA4716" s="388"/>
      <c r="AB4716" s="390"/>
    </row>
    <row r="4717" spans="1:28">
      <c r="A4717" s="384" t="str">
        <f t="shared" ref="A4717:B4717" si="15219">A4705</f>
        <v>Lantai 3</v>
      </c>
      <c r="B4717" s="385">
        <f t="shared" si="15219"/>
        <v>15</v>
      </c>
      <c r="C4717" s="393" t="s">
        <v>208</v>
      </c>
      <c r="D4717" s="398">
        <f>VLOOKUP(D4705,'Detail Balok'!$C$10:$AU$140,13,FALSE)</f>
        <v>2</v>
      </c>
      <c r="E4717" s="388" t="s">
        <v>16</v>
      </c>
      <c r="F4717" s="388">
        <f>VLOOKUP(D4705,'Detail Balok'!$C$10:$AU$140,15,FALSE)</f>
        <v>10</v>
      </c>
      <c r="G4717" s="388"/>
      <c r="H4717" s="395"/>
      <c r="I4717" s="388"/>
      <c r="J4717" s="399">
        <f t="shared" ref="J4717" si="15220">+D4707/1000</f>
        <v>5.8250000000000002</v>
      </c>
      <c r="K4717" s="400" t="s">
        <v>204</v>
      </c>
      <c r="L4717" s="399">
        <f t="shared" ref="L4717" si="15221">2*$F$16*F4717/1000</f>
        <v>0.24</v>
      </c>
      <c r="M4717" s="399" t="s">
        <v>176</v>
      </c>
      <c r="N4717" s="399">
        <f t="shared" ref="N4717" si="15222">J4717+L4717</f>
        <v>6.0650000000000004</v>
      </c>
      <c r="O4717" s="399" t="s">
        <v>204</v>
      </c>
      <c r="P4717" s="389">
        <f t="shared" ref="P4717" si="15223">IF(N4717&gt;12,ROUNDDOWN(N4717/12,0),0)</f>
        <v>0</v>
      </c>
      <c r="Q4717" s="399" t="s">
        <v>125</v>
      </c>
      <c r="R4717" s="399">
        <f t="shared" ref="R4717" si="15224">IF(P4717&gt;0,MAX(VLOOKUP(F4717,$D$6:$G$15,3,FALSE),600),0)/1000</f>
        <v>0</v>
      </c>
      <c r="S4717" s="399"/>
      <c r="T4717" s="399" t="s">
        <v>125</v>
      </c>
      <c r="U4717" s="401">
        <f t="shared" ref="U4717" si="15225">0.006165*F4717^2</f>
        <v>0.61650000000000005</v>
      </c>
      <c r="V4717" s="399" t="s">
        <v>125</v>
      </c>
      <c r="W4717" s="399">
        <f t="shared" ref="W4717" si="15226">+D4717</f>
        <v>2</v>
      </c>
      <c r="X4717" s="399" t="s">
        <v>125</v>
      </c>
      <c r="Y4717" s="389">
        <f t="shared" ref="Y4717" si="15227">D4711</f>
        <v>1</v>
      </c>
      <c r="Z4717" s="400" t="s">
        <v>176</v>
      </c>
      <c r="AA4717" s="402">
        <f t="shared" ref="AA4717" si="15228">(N4717+P4717*R4717/1000)*U4717*W4717*Y4717</f>
        <v>7.4781450000000014</v>
      </c>
      <c r="AB4717" s="403"/>
    </row>
    <row r="4718" spans="1:28">
      <c r="A4718" s="384"/>
      <c r="B4718" s="385"/>
      <c r="C4718" s="393"/>
      <c r="D4718" s="398"/>
      <c r="E4718" s="388"/>
      <c r="F4718" s="388"/>
      <c r="G4718" s="388"/>
      <c r="H4718" s="395"/>
      <c r="I4718" s="388"/>
      <c r="J4718" s="399"/>
      <c r="K4718" s="400"/>
      <c r="L4718" s="399"/>
      <c r="M4718" s="399"/>
      <c r="N4718" s="399"/>
      <c r="O4718" s="399"/>
      <c r="P4718" s="389"/>
      <c r="Q4718" s="399"/>
      <c r="R4718" s="399"/>
      <c r="S4718" s="399"/>
      <c r="T4718" s="399"/>
      <c r="U4718" s="401"/>
      <c r="V4718" s="399"/>
      <c r="W4718" s="399"/>
      <c r="X4718" s="399"/>
      <c r="Y4718" s="389"/>
      <c r="Z4718" s="400"/>
      <c r="AA4718" s="402"/>
      <c r="AB4718" s="403"/>
    </row>
    <row r="4719" spans="1:28">
      <c r="A4719" s="384"/>
      <c r="B4719" s="385"/>
      <c r="C4719" s="393"/>
      <c r="D4719" s="398"/>
      <c r="E4719" s="388"/>
      <c r="F4719" s="388"/>
      <c r="G4719" s="388"/>
      <c r="H4719" s="395"/>
      <c r="I4719" s="388"/>
      <c r="J4719" s="396"/>
      <c r="K4719" s="396"/>
      <c r="L4719" s="396"/>
      <c r="M4719" s="396"/>
      <c r="N4719" s="396"/>
      <c r="O4719" s="396"/>
      <c r="P4719" s="389"/>
      <c r="Q4719" s="396"/>
      <c r="R4719" s="396"/>
      <c r="S4719" s="396"/>
      <c r="T4719" s="396"/>
      <c r="U4719" s="401"/>
      <c r="V4719" s="396"/>
      <c r="W4719" s="399"/>
      <c r="X4719" s="396"/>
      <c r="Y4719" s="389"/>
      <c r="Z4719" s="396"/>
      <c r="AA4719" s="388"/>
      <c r="AB4719" s="390"/>
    </row>
    <row r="4720" spans="1:28">
      <c r="A4720" s="384" t="str">
        <f t="shared" ref="A4720:B4720" si="15229">A4705</f>
        <v>Lantai 3</v>
      </c>
      <c r="B4720" s="385">
        <f t="shared" si="15229"/>
        <v>15</v>
      </c>
      <c r="C4720" s="393" t="s">
        <v>209</v>
      </c>
      <c r="D4720" s="398">
        <f>VLOOKUP(D4705,'Detail Balok'!$C$10:$AU$140,22,FALSE)</f>
        <v>3</v>
      </c>
      <c r="E4720" s="388" t="s">
        <v>16</v>
      </c>
      <c r="F4720" s="388">
        <f>VLOOKUP(D4705,'Detail Balok'!$C$10:$AU$140,24,FALSE)</f>
        <v>16</v>
      </c>
      <c r="G4720" s="388"/>
      <c r="H4720" s="395"/>
      <c r="I4720" s="388" t="s">
        <v>203</v>
      </c>
      <c r="J4720" s="399">
        <f t="shared" ref="J4720:J4782" si="15230">+J4712</f>
        <v>1.45625</v>
      </c>
      <c r="K4720" s="400" t="s">
        <v>204</v>
      </c>
      <c r="L4720" s="399">
        <f t="shared" ref="L4720" si="15231">MAX(VLOOKUP(F4720,N$6:P$15,3,FALSE)/1000,2/3*D4710/1000)+F$16*F4720/1000</f>
        <v>0.192</v>
      </c>
      <c r="M4720" s="399" t="s">
        <v>176</v>
      </c>
      <c r="N4720" s="399">
        <f t="shared" ref="N4720:N4722" si="15232">J4720+L4720</f>
        <v>1.64825</v>
      </c>
      <c r="O4720" s="399" t="s">
        <v>204</v>
      </c>
      <c r="P4720" s="389">
        <f t="shared" ref="P4720" si="15233">D4720-D4721</f>
        <v>-1</v>
      </c>
      <c r="Q4720" s="399" t="s">
        <v>125</v>
      </c>
      <c r="R4720" s="399">
        <f t="shared" ref="R4720" si="15234">IF(P4720&gt;0,$F$18*F4720/1000,0)</f>
        <v>0</v>
      </c>
      <c r="S4720" s="399" t="s">
        <v>205</v>
      </c>
      <c r="T4720" s="399" t="s">
        <v>125</v>
      </c>
      <c r="U4720" s="401">
        <f t="shared" ref="U4720:U4722" si="15235">0.006165*F4720^2</f>
        <v>1.5782400000000001</v>
      </c>
      <c r="V4720" s="399"/>
      <c r="W4720" s="399"/>
      <c r="X4720" s="399" t="s">
        <v>125</v>
      </c>
      <c r="Y4720" s="389">
        <f t="shared" ref="Y4720" si="15236">D4711</f>
        <v>1</v>
      </c>
      <c r="Z4720" s="400" t="s">
        <v>176</v>
      </c>
      <c r="AA4720" s="402">
        <f t="shared" ref="AA4720" si="15237">IF(AA4723=0,(D4720*N4720+P4720*R4720)*U4720*Y4720,0)</f>
        <v>7.80400224</v>
      </c>
      <c r="AB4720" s="403"/>
    </row>
    <row r="4721" spans="1:28">
      <c r="A4721" s="384" t="str">
        <f t="shared" ref="A4721:B4721" si="15238">A4705</f>
        <v>Lantai 3</v>
      </c>
      <c r="B4721" s="385">
        <f t="shared" si="15238"/>
        <v>15</v>
      </c>
      <c r="C4721" s="393" t="s">
        <v>210</v>
      </c>
      <c r="D4721" s="398">
        <f>VLOOKUP(D4705,'Detail Balok'!$C$10:$AU$140,25,FALSE)</f>
        <v>4</v>
      </c>
      <c r="E4721" s="388" t="s">
        <v>16</v>
      </c>
      <c r="F4721" s="388">
        <f>VLOOKUP(D4705,'Detail Balok'!$C$10:$AU$140,27,FALSE)</f>
        <v>16</v>
      </c>
      <c r="G4721" s="388"/>
      <c r="H4721" s="395"/>
      <c r="I4721" s="388" t="s">
        <v>203</v>
      </c>
      <c r="J4721" s="399">
        <f t="shared" si="15230"/>
        <v>2.9125000000000001</v>
      </c>
      <c r="K4721" s="400" t="s">
        <v>204</v>
      </c>
      <c r="L4721" s="399"/>
      <c r="M4721" s="399" t="s">
        <v>176</v>
      </c>
      <c r="N4721" s="399">
        <f t="shared" si="15232"/>
        <v>2.9125000000000001</v>
      </c>
      <c r="O4721" s="399" t="s">
        <v>204</v>
      </c>
      <c r="P4721" s="389">
        <f t="shared" ref="P4721" si="15239">MAX(D4721-D4720,D4721-D4722)</f>
        <v>1</v>
      </c>
      <c r="Q4721" s="399" t="s">
        <v>125</v>
      </c>
      <c r="R4721" s="399">
        <f t="shared" ref="R4721" si="15240">IF(P4721&gt;0,2*(1-2*$F$19-1/2)*D4708/1000,0)</f>
        <v>1.1649999999999998</v>
      </c>
      <c r="S4721" s="399" t="s">
        <v>205</v>
      </c>
      <c r="T4721" s="399" t="s">
        <v>125</v>
      </c>
      <c r="U4721" s="401">
        <f t="shared" si="15235"/>
        <v>1.5782400000000001</v>
      </c>
      <c r="V4721" s="399"/>
      <c r="W4721" s="399"/>
      <c r="X4721" s="399" t="s">
        <v>125</v>
      </c>
      <c r="Y4721" s="389">
        <f t="shared" ref="Y4721" si="15241">D4711</f>
        <v>1</v>
      </c>
      <c r="Z4721" s="400" t="s">
        <v>176</v>
      </c>
      <c r="AA4721" s="402">
        <f t="shared" ref="AA4721" si="15242">IF(AA4723=0,(D4721*N4721+P4721*R4721)*U4721*Y4721,0)</f>
        <v>20.225145600000001</v>
      </c>
      <c r="AB4721" s="403"/>
    </row>
    <row r="4722" spans="1:28">
      <c r="A4722" s="384" t="str">
        <f t="shared" ref="A4722:B4722" si="15243">A4705</f>
        <v>Lantai 3</v>
      </c>
      <c r="B4722" s="385">
        <f t="shared" si="15243"/>
        <v>15</v>
      </c>
      <c r="C4722" s="393" t="s">
        <v>209</v>
      </c>
      <c r="D4722" s="398">
        <f>VLOOKUP(D4705,'Detail Balok'!$C$10:$AU$140,28,FALSE)</f>
        <v>3</v>
      </c>
      <c r="E4722" s="388" t="s">
        <v>16</v>
      </c>
      <c r="F4722" s="388">
        <f>VLOOKUP(D4705,'Detail Balok'!$C$10:$AU$140,30,FALSE)</f>
        <v>16</v>
      </c>
      <c r="G4722" s="388"/>
      <c r="H4722" s="395"/>
      <c r="I4722" s="388" t="s">
        <v>203</v>
      </c>
      <c r="J4722" s="399">
        <f t="shared" si="15230"/>
        <v>1.45625</v>
      </c>
      <c r="K4722" s="400" t="s">
        <v>204</v>
      </c>
      <c r="L4722" s="399">
        <f t="shared" ref="L4722" si="15244">MAX(VLOOKUP(F4722,N$6:P$15,3,FALSE)/1000,2/3*D4710/1000)+F$16*F4722/1000</f>
        <v>0.192</v>
      </c>
      <c r="M4722" s="399" t="s">
        <v>176</v>
      </c>
      <c r="N4722" s="399">
        <f t="shared" si="15232"/>
        <v>1.64825</v>
      </c>
      <c r="O4722" s="399" t="s">
        <v>204</v>
      </c>
      <c r="P4722" s="389">
        <f t="shared" ref="P4722" si="15245">D4722-D4721</f>
        <v>-1</v>
      </c>
      <c r="Q4722" s="399" t="s">
        <v>125</v>
      </c>
      <c r="R4722" s="399">
        <f t="shared" ref="R4722" si="15246">IF(P4722&gt;0,$F$18*F4722/1000,0)</f>
        <v>0</v>
      </c>
      <c r="S4722" s="399" t="s">
        <v>205</v>
      </c>
      <c r="T4722" s="399" t="s">
        <v>125</v>
      </c>
      <c r="U4722" s="401">
        <f t="shared" si="15235"/>
        <v>1.5782400000000001</v>
      </c>
      <c r="V4722" s="399"/>
      <c r="W4722" s="399"/>
      <c r="X4722" s="399" t="s">
        <v>125</v>
      </c>
      <c r="Y4722" s="389">
        <f t="shared" ref="Y4722" si="15247">D4711</f>
        <v>1</v>
      </c>
      <c r="Z4722" s="400" t="s">
        <v>176</v>
      </c>
      <c r="AA4722" s="402">
        <f t="shared" ref="AA4722" si="15248">IF(AA4723=0,(D4722*N4722+P4722*R4722)*U4722*Y4722,0)</f>
        <v>7.80400224</v>
      </c>
      <c r="AB4722" s="403"/>
    </row>
    <row r="4723" spans="1:28">
      <c r="A4723" s="384" t="str">
        <f t="shared" ref="A4723:B4723" si="15249">A4705</f>
        <v>Lantai 3</v>
      </c>
      <c r="B4723" s="385">
        <f t="shared" si="15249"/>
        <v>15</v>
      </c>
      <c r="C4723" s="393"/>
      <c r="D4723" s="398">
        <f t="shared" ref="D4723:D4783" si="15250">IF(AND(D4720=D4721,D4721=D4722,D4720=D4722),D4720,0)</f>
        <v>0</v>
      </c>
      <c r="E4723" s="388" t="s">
        <v>16</v>
      </c>
      <c r="F4723" s="388">
        <f t="shared" ref="F4723:F4783" si="15251">IF(AND(F4720=F4721,F4720=F4722,F4721=F4722),F4720,0)</f>
        <v>16</v>
      </c>
      <c r="G4723" s="388"/>
      <c r="H4723" s="395"/>
      <c r="I4723" s="388"/>
      <c r="J4723" s="396"/>
      <c r="K4723" s="396"/>
      <c r="L4723" s="404" t="s">
        <v>207</v>
      </c>
      <c r="M4723" s="399" t="s">
        <v>176</v>
      </c>
      <c r="N4723" s="399">
        <f t="shared" ref="N4723" si="15252">IF(AND(D4720=D4721,D4720=D4722,D4721=D4722,F4720=F4721,F4720=F4722,F4721=F4722),SUM(N4720:N4722),0)</f>
        <v>0</v>
      </c>
      <c r="O4723" s="399" t="s">
        <v>204</v>
      </c>
      <c r="P4723" s="389">
        <f t="shared" ref="P4723" si="15253">IF(N4723&gt;12,ROUNDDOWN(N4723/12,0),0)</f>
        <v>0</v>
      </c>
      <c r="Q4723" s="399" t="s">
        <v>125</v>
      </c>
      <c r="R4723" s="399">
        <f t="shared" ref="R4723" si="15254">IF(P4723&gt;0,MAX(VLOOKUP(F4723,$D$6:$G$15,3,FALSE),600),0)/1000</f>
        <v>0</v>
      </c>
      <c r="S4723" s="396"/>
      <c r="T4723" s="396" t="s">
        <v>125</v>
      </c>
      <c r="U4723" s="401">
        <f t="shared" ref="U4723:U4783" si="15255">U4722</f>
        <v>1.5782400000000001</v>
      </c>
      <c r="V4723" s="396" t="s">
        <v>125</v>
      </c>
      <c r="W4723" s="399">
        <f t="shared" ref="W4723" si="15256">D4723</f>
        <v>0</v>
      </c>
      <c r="X4723" s="399" t="s">
        <v>125</v>
      </c>
      <c r="Y4723" s="389">
        <f t="shared" ref="Y4723:Y4783" si="15257">Y4722</f>
        <v>1</v>
      </c>
      <c r="Z4723" s="400" t="s">
        <v>176</v>
      </c>
      <c r="AA4723" s="402">
        <f t="shared" ref="AA4723" si="15258">(N4723+P4723*R4723/1000)*U4723*W4723*Y4723</f>
        <v>0</v>
      </c>
      <c r="AB4723" s="403"/>
    </row>
    <row r="4724" spans="1:28">
      <c r="A4724" s="384"/>
      <c r="B4724" s="385"/>
      <c r="C4724" s="393"/>
      <c r="D4724" s="394"/>
      <c r="E4724" s="388"/>
      <c r="F4724" s="388"/>
      <c r="G4724" s="388"/>
      <c r="H4724" s="395"/>
      <c r="I4724" s="388"/>
      <c r="J4724" s="399"/>
      <c r="K4724" s="396"/>
      <c r="L4724" s="396"/>
      <c r="M4724" s="396"/>
      <c r="N4724" s="396"/>
      <c r="O4724" s="396"/>
      <c r="P4724" s="389"/>
      <c r="Q4724" s="396"/>
      <c r="R4724" s="396"/>
      <c r="S4724" s="396"/>
      <c r="T4724" s="396"/>
      <c r="U4724" s="401"/>
      <c r="V4724" s="396"/>
      <c r="W4724" s="388"/>
      <c r="X4724" s="396"/>
      <c r="Y4724" s="389"/>
      <c r="Z4724" s="396"/>
      <c r="AA4724" s="388"/>
      <c r="AB4724" s="390"/>
    </row>
    <row r="4725" spans="1:28">
      <c r="A4725" s="384" t="str">
        <f t="shared" ref="A4725:B4725" si="15259">A4705</f>
        <v>Lantai 3</v>
      </c>
      <c r="B4725" s="385">
        <f t="shared" si="15259"/>
        <v>15</v>
      </c>
      <c r="C4725" s="393" t="s">
        <v>211</v>
      </c>
      <c r="D4725" s="398">
        <f>VLOOKUP(D4705,'Detail Balok'!$C$10:$AU$140,31,FALSE)</f>
        <v>0</v>
      </c>
      <c r="E4725" s="388" t="s">
        <v>16</v>
      </c>
      <c r="F4725" s="388">
        <f>VLOOKUP(D4705,'Detail Balok'!$C$10:$AU$140,33,FALSE)</f>
        <v>10</v>
      </c>
      <c r="G4725" s="405" t="s">
        <v>157</v>
      </c>
      <c r="H4725" s="395">
        <f>VLOOKUP(D4705,'Detail Balok'!$C$10:$AU$140,35,FALSE)</f>
        <v>100</v>
      </c>
      <c r="I4725" s="388"/>
      <c r="J4725" s="400">
        <f t="shared" ref="J4725" si="15260">(IF(D4725=0,(2*(D4706+G4706))-(F$5*8),IF(D4725=3,(2*(D4706+G4706))-(F$5*8)+(G4706-2*F$5),IF(D4725=4,(2*(D4706+G4706))-(F$5*8)+2*(G4706-2*F$5)))))/1000</f>
        <v>1.28</v>
      </c>
      <c r="K4725" s="400" t="s">
        <v>204</v>
      </c>
      <c r="L4725" s="399">
        <f t="shared" ref="L4725:L4727" si="15261">IF(D4725=0,2*MAX(6*F4725,75),(D4725-1)*2*MAX(6*F4725,75))/1000</f>
        <v>0.15</v>
      </c>
      <c r="M4725" s="399" t="s">
        <v>176</v>
      </c>
      <c r="N4725" s="399">
        <f t="shared" ref="N4725:N4727" si="15262">J4725+L4725</f>
        <v>1.43</v>
      </c>
      <c r="O4725" s="399"/>
      <c r="P4725" s="389"/>
      <c r="Q4725" s="399"/>
      <c r="R4725" s="399"/>
      <c r="S4725" s="399"/>
      <c r="T4725" s="399" t="s">
        <v>125</v>
      </c>
      <c r="U4725" s="401">
        <f t="shared" ref="U4725:U4727" si="15263">0.006165*F4725^2</f>
        <v>0.61650000000000005</v>
      </c>
      <c r="V4725" s="399" t="s">
        <v>125</v>
      </c>
      <c r="W4725" s="399">
        <f t="shared" ref="W4725" si="15264">IF(D4708&gt;4*G4706,ROUND(MAX(D4708/4,2*G4706)/H4725,0)+1,ROUND(D4708/H4725,0)+1)</f>
        <v>16</v>
      </c>
      <c r="X4725" s="399" t="s">
        <v>125</v>
      </c>
      <c r="Y4725" s="389">
        <f t="shared" ref="Y4725" si="15265">D4711</f>
        <v>1</v>
      </c>
      <c r="Z4725" s="400" t="s">
        <v>176</v>
      </c>
      <c r="AA4725" s="402">
        <f t="shared" ref="AA4725:AA4727" si="15266">N4725*U4725*W4725*Y4725</f>
        <v>14.10552</v>
      </c>
      <c r="AB4725" s="403"/>
    </row>
    <row r="4726" spans="1:28">
      <c r="A4726" s="384" t="str">
        <f t="shared" ref="A4726:B4726" si="15267">A4705</f>
        <v>Lantai 3</v>
      </c>
      <c r="B4726" s="385">
        <f t="shared" si="15267"/>
        <v>15</v>
      </c>
      <c r="C4726" s="393" t="s">
        <v>212</v>
      </c>
      <c r="D4726" s="398">
        <f>VLOOKUP(D4705,'Detail Balok'!$C$10:$AU$140,36,FALSE)</f>
        <v>0</v>
      </c>
      <c r="E4726" s="388" t="s">
        <v>16</v>
      </c>
      <c r="F4726" s="388">
        <f>VLOOKUP(D4705,'Detail Balok'!$C$10:$AU$140,38,FALSE)</f>
        <v>10</v>
      </c>
      <c r="G4726" s="405" t="s">
        <v>157</v>
      </c>
      <c r="H4726" s="395">
        <f>VLOOKUP(D4705,'Detail Balok'!$C$10:$AU$140,40,FALSE)</f>
        <v>150</v>
      </c>
      <c r="I4726" s="388"/>
      <c r="J4726" s="400">
        <f t="shared" ref="J4726" si="15268">(IF(D4726=0,(2*(D4706+G4706))-(F$5*8),IF(D4726=3,(2*(D4706+G4706))-(F$5*8)+(G4706-2*F$5),IF(D4726=4,(2*(D4706+G4706))-(F$5*8)+2*(G4706-2*F$5)))))/1000</f>
        <v>1.28</v>
      </c>
      <c r="K4726" s="400" t="s">
        <v>204</v>
      </c>
      <c r="L4726" s="399">
        <f t="shared" si="15261"/>
        <v>0.15</v>
      </c>
      <c r="M4726" s="399" t="s">
        <v>176</v>
      </c>
      <c r="N4726" s="399">
        <f t="shared" si="15262"/>
        <v>1.43</v>
      </c>
      <c r="O4726" s="399"/>
      <c r="P4726" s="389"/>
      <c r="Q4726" s="399"/>
      <c r="R4726" s="399"/>
      <c r="S4726" s="399"/>
      <c r="T4726" s="399" t="s">
        <v>125</v>
      </c>
      <c r="U4726" s="401">
        <f t="shared" si="15263"/>
        <v>0.61650000000000005</v>
      </c>
      <c r="V4726" s="399" t="s">
        <v>125</v>
      </c>
      <c r="W4726" s="399">
        <f t="shared" ref="W4726" si="15269">IF(D4708-MAX(D4708/4,2*G4706)*2&gt;0,ROUND((D4708-MAX(D4708/4,2*G4706)*2)/H4726,0),0)</f>
        <v>19</v>
      </c>
      <c r="X4726" s="399" t="s">
        <v>125</v>
      </c>
      <c r="Y4726" s="389">
        <f t="shared" ref="Y4726" si="15270">D4711</f>
        <v>1</v>
      </c>
      <c r="Z4726" s="400" t="s">
        <v>176</v>
      </c>
      <c r="AA4726" s="402">
        <f t="shared" si="15266"/>
        <v>16.750305000000001</v>
      </c>
      <c r="AB4726" s="403"/>
    </row>
    <row r="4727" spans="1:28">
      <c r="A4727" s="384" t="str">
        <f t="shared" ref="A4727:B4727" si="15271">A4705</f>
        <v>Lantai 3</v>
      </c>
      <c r="B4727" s="385">
        <f t="shared" si="15271"/>
        <v>15</v>
      </c>
      <c r="C4727" s="393" t="s">
        <v>211</v>
      </c>
      <c r="D4727" s="398">
        <f>VLOOKUP(D4705,'Detail Balok'!$C$10:$AU$140,41,FALSE)</f>
        <v>0</v>
      </c>
      <c r="E4727" s="388" t="s">
        <v>16</v>
      </c>
      <c r="F4727" s="388">
        <f>VLOOKUP(D4705,'Detail Balok'!$C$10:$AU$140,43,FALSE)</f>
        <v>10</v>
      </c>
      <c r="G4727" s="405" t="s">
        <v>157</v>
      </c>
      <c r="H4727" s="395">
        <f>VLOOKUP(D4705,'Detail Balok'!$C$10:$AU$140,45,FALSE)</f>
        <v>100</v>
      </c>
      <c r="I4727" s="388"/>
      <c r="J4727" s="400">
        <f t="shared" ref="J4727" si="15272">(IF(D4727=0,(2*(D4706+G4706))-(F$5*8),IF(D4727=3,(2*(D4706+G4706))-(F$5*8)+(G4706-2*F$5),IF(D4727=4,(2*(D4706+G4706))-(F$5*8)+2*(G4706-2*F$5)))))/1000</f>
        <v>1.28</v>
      </c>
      <c r="K4727" s="400" t="s">
        <v>204</v>
      </c>
      <c r="L4727" s="399">
        <f t="shared" si="15261"/>
        <v>0.15</v>
      </c>
      <c r="M4727" s="399" t="s">
        <v>176</v>
      </c>
      <c r="N4727" s="399">
        <f t="shared" si="15262"/>
        <v>1.43</v>
      </c>
      <c r="O4727" s="399"/>
      <c r="P4727" s="389"/>
      <c r="Q4727" s="399"/>
      <c r="R4727" s="399"/>
      <c r="S4727" s="399"/>
      <c r="T4727" s="399" t="s">
        <v>125</v>
      </c>
      <c r="U4727" s="401">
        <f t="shared" si="15263"/>
        <v>0.61650000000000005</v>
      </c>
      <c r="V4727" s="399" t="s">
        <v>125</v>
      </c>
      <c r="W4727" s="399">
        <f t="shared" ref="W4727" si="15273">IF(D4708&gt;4*G4706,ROUND(MAX(D4708/4,2*G4706)/H4727,0)+1,0)</f>
        <v>16</v>
      </c>
      <c r="X4727" s="399" t="s">
        <v>125</v>
      </c>
      <c r="Y4727" s="389">
        <f t="shared" ref="Y4727" si="15274">D4711</f>
        <v>1</v>
      </c>
      <c r="Z4727" s="400" t="s">
        <v>176</v>
      </c>
      <c r="AA4727" s="402">
        <f t="shared" si="15266"/>
        <v>14.10552</v>
      </c>
      <c r="AB4727" s="403"/>
    </row>
    <row r="4728" spans="1:28">
      <c r="A4728" s="384"/>
      <c r="B4728" s="385"/>
      <c r="C4728" s="393"/>
      <c r="D4728" s="394"/>
      <c r="E4728" s="388"/>
      <c r="F4728" s="388"/>
      <c r="G4728" s="388"/>
      <c r="H4728" s="395"/>
      <c r="I4728" s="388"/>
      <c r="J4728" s="399"/>
      <c r="K4728" s="396"/>
      <c r="L4728" s="396"/>
      <c r="M4728" s="396"/>
      <c r="N4728" s="396"/>
      <c r="O4728" s="396"/>
      <c r="P4728" s="389"/>
      <c r="Q4728" s="396"/>
      <c r="R4728" s="396"/>
      <c r="S4728" s="396"/>
      <c r="T4728" s="396"/>
      <c r="U4728" s="401"/>
      <c r="V4728" s="396"/>
      <c r="W4728" s="388"/>
      <c r="X4728" s="396"/>
      <c r="Y4728" s="389"/>
      <c r="Z4728" s="396"/>
      <c r="AA4728" s="388"/>
      <c r="AB4728" s="390"/>
    </row>
    <row r="4729" spans="1:28">
      <c r="A4729" s="384" t="str">
        <f t="shared" ref="A4729:B4729" si="15275">A4705</f>
        <v>Lantai 3</v>
      </c>
      <c r="B4729" s="385">
        <f t="shared" si="15275"/>
        <v>15</v>
      </c>
      <c r="C4729" s="393" t="s">
        <v>213</v>
      </c>
      <c r="D4729" s="398">
        <f>VLOOKUP(D4705,'Detail Balok'!$C$10:$BJ$140,46,FALSE)</f>
        <v>0</v>
      </c>
      <c r="E4729" s="388" t="s">
        <v>16</v>
      </c>
      <c r="F4729" s="388">
        <f>VLOOKUP(D4705,'Detail Balok'!$C$10:$BJ$140,48,FALSE)</f>
        <v>0</v>
      </c>
      <c r="G4729" s="405" t="s">
        <v>157</v>
      </c>
      <c r="H4729" s="395">
        <f>VLOOKUP(D4705,'Detail Balok'!$C$10:$BJ$140,50,FALSE)</f>
        <v>100</v>
      </c>
      <c r="I4729" s="388"/>
      <c r="J4729" s="399">
        <f t="shared" ref="J4729" si="15276">(D4706-2*F$5)/1000</f>
        <v>0.12</v>
      </c>
      <c r="K4729" s="400" t="s">
        <v>204</v>
      </c>
      <c r="L4729" s="399">
        <f t="shared" ref="L4729:L4731" si="15277">IF(D4729=0,2*MAX(6*F4729,75),(D4729-1)*2*MAX(6*F4729,75))/1000</f>
        <v>0.15</v>
      </c>
      <c r="M4729" s="399" t="s">
        <v>176</v>
      </c>
      <c r="N4729" s="399">
        <f t="shared" ref="N4729:N4731" si="15278">J4729+L4729</f>
        <v>0.27</v>
      </c>
      <c r="O4729" s="399"/>
      <c r="P4729" s="399"/>
      <c r="Q4729" s="399"/>
      <c r="R4729" s="399"/>
      <c r="S4729" s="399"/>
      <c r="T4729" s="399" t="s">
        <v>125</v>
      </c>
      <c r="U4729" s="401">
        <f t="shared" ref="U4729:U4731" si="15279">0.006165*F4729^2</f>
        <v>0</v>
      </c>
      <c r="V4729" s="399" t="s">
        <v>125</v>
      </c>
      <c r="W4729" s="399">
        <f t="shared" ref="W4729:W4791" si="15280">W4725</f>
        <v>16</v>
      </c>
      <c r="X4729" s="399" t="s">
        <v>125</v>
      </c>
      <c r="Y4729" s="389">
        <f t="shared" ref="Y4729" si="15281">D4715</f>
        <v>0</v>
      </c>
      <c r="Z4729" s="400" t="s">
        <v>176</v>
      </c>
      <c r="AA4729" s="402">
        <f t="shared" ref="AA4729:AA4731" si="15282">N4729*U4729*W4729*Y4729</f>
        <v>0</v>
      </c>
      <c r="AB4729" s="403"/>
    </row>
    <row r="4730" spans="1:28">
      <c r="A4730" s="384" t="str">
        <f t="shared" ref="A4730:B4730" si="15283">A4705</f>
        <v>Lantai 3</v>
      </c>
      <c r="B4730" s="385">
        <f t="shared" si="15283"/>
        <v>15</v>
      </c>
      <c r="C4730" s="393" t="s">
        <v>214</v>
      </c>
      <c r="D4730" s="398">
        <f>VLOOKUP(D4705,'Detail Balok'!$C$10:$BJ$140,51,FALSE)</f>
        <v>0</v>
      </c>
      <c r="E4730" s="388" t="s">
        <v>16</v>
      </c>
      <c r="F4730" s="388">
        <f>VLOOKUP(D4705,'Detail Balok'!$C$10:$BJ$140,53,FALSE)</f>
        <v>0</v>
      </c>
      <c r="G4730" s="405" t="s">
        <v>157</v>
      </c>
      <c r="H4730" s="395">
        <f>VLOOKUP(D4705,'Detail Balok'!$C$10:$BJ$140,55,FALSE)</f>
        <v>100</v>
      </c>
      <c r="I4730" s="388"/>
      <c r="J4730" s="399">
        <f t="shared" ref="J4730" si="15284">(D4706-2*F$5)/1000</f>
        <v>0.12</v>
      </c>
      <c r="K4730" s="400" t="s">
        <v>204</v>
      </c>
      <c r="L4730" s="399">
        <f t="shared" si="15277"/>
        <v>0.15</v>
      </c>
      <c r="M4730" s="399" t="s">
        <v>176</v>
      </c>
      <c r="N4730" s="399">
        <f t="shared" si="15278"/>
        <v>0.27</v>
      </c>
      <c r="O4730" s="399"/>
      <c r="P4730" s="399"/>
      <c r="Q4730" s="399"/>
      <c r="R4730" s="399"/>
      <c r="S4730" s="399"/>
      <c r="T4730" s="399" t="s">
        <v>125</v>
      </c>
      <c r="U4730" s="401">
        <f t="shared" si="15279"/>
        <v>0</v>
      </c>
      <c r="V4730" s="399" t="s">
        <v>125</v>
      </c>
      <c r="W4730" s="399">
        <f t="shared" si="15280"/>
        <v>19</v>
      </c>
      <c r="X4730" s="399" t="s">
        <v>125</v>
      </c>
      <c r="Y4730" s="389">
        <f t="shared" ref="Y4730" si="15285">D4715</f>
        <v>0</v>
      </c>
      <c r="Z4730" s="400" t="s">
        <v>176</v>
      </c>
      <c r="AA4730" s="402">
        <f t="shared" si="15282"/>
        <v>0</v>
      </c>
      <c r="AB4730" s="403"/>
    </row>
    <row r="4731" spans="1:28">
      <c r="A4731" s="384" t="str">
        <f t="shared" ref="A4731:B4731" si="15286">A4705</f>
        <v>Lantai 3</v>
      </c>
      <c r="B4731" s="385">
        <f t="shared" si="15286"/>
        <v>15</v>
      </c>
      <c r="C4731" s="393" t="s">
        <v>213</v>
      </c>
      <c r="D4731" s="398">
        <f>VLOOKUP(D4705,'Detail Balok'!$C$10:$BJ$140,56,FALSE)</f>
        <v>0</v>
      </c>
      <c r="E4731" s="388" t="s">
        <v>16</v>
      </c>
      <c r="F4731" s="388">
        <f>VLOOKUP(D4705,'Detail Balok'!$C$10:$BJ$140,58,FALSE)</f>
        <v>0</v>
      </c>
      <c r="G4731" s="405" t="s">
        <v>157</v>
      </c>
      <c r="H4731" s="395">
        <f>VLOOKUP(D4705,'Detail Balok'!$C$10:$BJ$140,60,FALSE)</f>
        <v>100</v>
      </c>
      <c r="I4731" s="388"/>
      <c r="J4731" s="399">
        <f t="shared" ref="J4731" si="15287">(D4706-2*F$5)/1000</f>
        <v>0.12</v>
      </c>
      <c r="K4731" s="400" t="s">
        <v>204</v>
      </c>
      <c r="L4731" s="399">
        <f t="shared" si="15277"/>
        <v>0.15</v>
      </c>
      <c r="M4731" s="399" t="s">
        <v>176</v>
      </c>
      <c r="N4731" s="399">
        <f t="shared" si="15278"/>
        <v>0.27</v>
      </c>
      <c r="O4731" s="399"/>
      <c r="P4731" s="399"/>
      <c r="Q4731" s="399"/>
      <c r="R4731" s="399"/>
      <c r="S4731" s="399"/>
      <c r="T4731" s="399" t="s">
        <v>125</v>
      </c>
      <c r="U4731" s="401">
        <f t="shared" si="15279"/>
        <v>0</v>
      </c>
      <c r="V4731" s="399" t="s">
        <v>125</v>
      </c>
      <c r="W4731" s="399">
        <f t="shared" si="15280"/>
        <v>16</v>
      </c>
      <c r="X4731" s="399" t="s">
        <v>125</v>
      </c>
      <c r="Y4731" s="389">
        <f t="shared" ref="Y4731" si="15288">D4715</f>
        <v>0</v>
      </c>
      <c r="Z4731" s="400" t="s">
        <v>176</v>
      </c>
      <c r="AA4731" s="402">
        <f t="shared" si="15282"/>
        <v>0</v>
      </c>
      <c r="AB4731" s="403"/>
    </row>
    <row r="4732" spans="1:28">
      <c r="A4732" s="391"/>
      <c r="B4732" s="392"/>
      <c r="C4732" s="392"/>
      <c r="D4732" s="394"/>
      <c r="E4732" s="388"/>
      <c r="F4732" s="388"/>
      <c r="G4732" s="388"/>
      <c r="H4732" s="395"/>
      <c r="I4732" s="388"/>
      <c r="J4732" s="402"/>
      <c r="K4732" s="388"/>
      <c r="L4732" s="388"/>
      <c r="M4732" s="388"/>
      <c r="N4732" s="388"/>
      <c r="O4732" s="388"/>
      <c r="P4732" s="388"/>
      <c r="Q4732" s="388"/>
      <c r="R4732" s="388"/>
      <c r="S4732" s="388"/>
      <c r="T4732" s="388"/>
      <c r="U4732" s="388"/>
      <c r="V4732" s="388"/>
      <c r="W4732" s="388"/>
      <c r="X4732" s="388"/>
      <c r="Y4732" s="389"/>
      <c r="Z4732" s="388"/>
      <c r="AA4732" s="402"/>
      <c r="AB4732" s="403"/>
    </row>
    <row r="4733" spans="1:28" ht="15.75" thickBot="1">
      <c r="A4733" s="406"/>
      <c r="B4733" s="407"/>
      <c r="C4733" s="407"/>
      <c r="D4733" s="408"/>
      <c r="E4733" s="409"/>
      <c r="F4733" s="409"/>
      <c r="G4733" s="409"/>
      <c r="H4733" s="410"/>
      <c r="I4733" s="409"/>
      <c r="J4733" s="409"/>
      <c r="K4733" s="409"/>
      <c r="L4733" s="409"/>
      <c r="M4733" s="409"/>
      <c r="N4733" s="409"/>
      <c r="O4733" s="409"/>
      <c r="P4733" s="409"/>
      <c r="Q4733" s="409"/>
      <c r="R4733" s="409"/>
      <c r="S4733" s="409"/>
      <c r="T4733" s="409"/>
      <c r="U4733" s="409"/>
      <c r="V4733" s="409"/>
      <c r="W4733" s="409"/>
      <c r="X4733" s="409"/>
      <c r="Y4733" s="411"/>
      <c r="Z4733" s="409"/>
      <c r="AA4733" s="412"/>
      <c r="AB4733" s="413"/>
    </row>
    <row r="4734" spans="1:28">
      <c r="A4734" s="377"/>
      <c r="B4734" s="378"/>
      <c r="C4734" s="378"/>
      <c r="D4734" s="379"/>
      <c r="E4734" s="380"/>
      <c r="F4734" s="380"/>
      <c r="G4734" s="380"/>
      <c r="H4734" s="381"/>
      <c r="I4734" s="380"/>
      <c r="J4734" s="380"/>
      <c r="K4734" s="380"/>
      <c r="L4734" s="380"/>
      <c r="M4734" s="380"/>
      <c r="N4734" s="380"/>
      <c r="O4734" s="380"/>
      <c r="P4734" s="380"/>
      <c r="Q4734" s="380"/>
      <c r="R4734" s="380"/>
      <c r="S4734" s="380"/>
      <c r="T4734" s="380"/>
      <c r="U4734" s="380"/>
      <c r="V4734" s="380"/>
      <c r="W4734" s="380"/>
      <c r="X4734" s="380"/>
      <c r="Y4734" s="382"/>
      <c r="Z4734" s="380"/>
      <c r="AA4734" s="380"/>
      <c r="AB4734" s="383"/>
    </row>
    <row r="4735" spans="1:28">
      <c r="A4735" s="384" t="str">
        <f t="shared" ref="A4735:A4795" si="15289">A4705</f>
        <v>Lantai 3</v>
      </c>
      <c r="B4735" s="385">
        <f t="shared" ref="B4735:B4795" si="15290">B4705+1</f>
        <v>16</v>
      </c>
      <c r="C4735" s="386" t="str">
        <f t="shared" ref="C4735" si="15291">CONCATENATE(A4735," no. ",B4735)</f>
        <v>Lantai 3 no. 16</v>
      </c>
      <c r="D4735" s="2562" t="str">
        <f>VLOOKUP(C4735,'Data Panjang Balok'!$C$9:$N$254,2,FALSE)</f>
        <v>CL24-1</v>
      </c>
      <c r="E4735" s="2576"/>
      <c r="F4735" s="2576"/>
      <c r="G4735" s="2576"/>
      <c r="H4735" s="2577"/>
      <c r="I4735" s="387"/>
      <c r="J4735" s="388"/>
      <c r="K4735" s="388"/>
      <c r="L4735" s="388"/>
      <c r="M4735" s="388"/>
      <c r="N4735" s="388"/>
      <c r="O4735" s="388"/>
      <c r="P4735" s="388"/>
      <c r="Q4735" s="388"/>
      <c r="R4735" s="388"/>
      <c r="S4735" s="388"/>
      <c r="T4735" s="388"/>
      <c r="U4735" s="388"/>
      <c r="V4735" s="388"/>
      <c r="W4735" s="388"/>
      <c r="X4735" s="388"/>
      <c r="Y4735" s="389"/>
      <c r="Z4735" s="388"/>
      <c r="AA4735" s="388"/>
      <c r="AB4735" s="390"/>
    </row>
    <row r="4736" spans="1:28">
      <c r="A4736" s="391"/>
      <c r="B4736" s="392"/>
      <c r="C4736" s="393" t="s">
        <v>118</v>
      </c>
      <c r="D4736" s="2578">
        <f>VLOOKUP(D4735,'Detail Balok'!$C$10:$AU$140,2,FALSE)</f>
        <v>200</v>
      </c>
      <c r="E4736" s="2579"/>
      <c r="F4736" s="388" t="s">
        <v>125</v>
      </c>
      <c r="G4736" s="2579">
        <f>VLOOKUP(D4735,'Detail Balok'!$C$10:$AU$140,3,FALSE)</f>
        <v>400</v>
      </c>
      <c r="H4736" s="2580"/>
      <c r="I4736" s="388"/>
      <c r="J4736" s="396"/>
      <c r="K4736" s="396"/>
      <c r="L4736" s="396"/>
      <c r="M4736" s="396"/>
      <c r="N4736" s="396"/>
      <c r="O4736" s="396"/>
      <c r="P4736" s="396"/>
      <c r="Q4736" s="396"/>
      <c r="R4736" s="396"/>
      <c r="S4736" s="396"/>
      <c r="T4736" s="396"/>
      <c r="U4736" s="388"/>
      <c r="V4736" s="396"/>
      <c r="W4736" s="388"/>
      <c r="X4736" s="396"/>
      <c r="Y4736" s="389"/>
      <c r="Z4736" s="396"/>
      <c r="AA4736" s="388"/>
      <c r="AB4736" s="390"/>
    </row>
    <row r="4737" spans="1:28">
      <c r="A4737" s="391"/>
      <c r="B4737" s="392"/>
      <c r="C4737" s="393" t="s">
        <v>198</v>
      </c>
      <c r="D4737" s="2562">
        <f>VLOOKUP(C4735,'Data Panjang Balok'!$C$9:$N$254,4,FALSE)</f>
        <v>1075</v>
      </c>
      <c r="E4737" s="2563"/>
      <c r="F4737" s="2563"/>
      <c r="G4737" s="2563"/>
      <c r="H4737" s="2564"/>
      <c r="I4737" s="397"/>
      <c r="J4737" s="396"/>
      <c r="K4737" s="396"/>
      <c r="L4737" s="396"/>
      <c r="M4737" s="396"/>
      <c r="N4737" s="396"/>
      <c r="O4737" s="396"/>
      <c r="P4737" s="396"/>
      <c r="Q4737" s="396"/>
      <c r="R4737" s="396"/>
      <c r="S4737" s="396"/>
      <c r="T4737" s="396"/>
      <c r="U4737" s="388"/>
      <c r="V4737" s="396"/>
      <c r="W4737" s="388"/>
      <c r="X4737" s="396"/>
      <c r="Y4737" s="389"/>
      <c r="Z4737" s="396"/>
      <c r="AA4737" s="388"/>
      <c r="AB4737" s="390"/>
    </row>
    <row r="4738" spans="1:28">
      <c r="A4738" s="391"/>
      <c r="B4738" s="392"/>
      <c r="C4738" s="393" t="s">
        <v>199</v>
      </c>
      <c r="D4738" s="2562">
        <f>VLOOKUP(C4735,'Data Panjang Balok'!$C$9:$N$254,7,FALSE)</f>
        <v>1075</v>
      </c>
      <c r="E4738" s="2563"/>
      <c r="F4738" s="2563"/>
      <c r="G4738" s="2563"/>
      <c r="H4738" s="2564"/>
      <c r="I4738" s="397"/>
      <c r="J4738" s="396"/>
      <c r="K4738" s="396"/>
      <c r="L4738" s="396"/>
      <c r="M4738" s="396"/>
      <c r="N4738" s="396"/>
      <c r="O4738" s="396"/>
      <c r="P4738" s="396"/>
      <c r="Q4738" s="396"/>
      <c r="R4738" s="396"/>
      <c r="S4738" s="396"/>
      <c r="T4738" s="396"/>
      <c r="U4738" s="388"/>
      <c r="V4738" s="396"/>
      <c r="W4738" s="388"/>
      <c r="X4738" s="396"/>
      <c r="Y4738" s="389"/>
      <c r="Z4738" s="396"/>
      <c r="AA4738" s="388"/>
      <c r="AB4738" s="390"/>
    </row>
    <row r="4739" spans="1:28">
      <c r="A4739" s="391"/>
      <c r="B4739" s="392"/>
      <c r="C4739" s="393" t="s">
        <v>200</v>
      </c>
      <c r="D4739" s="2562">
        <f>VLOOKUP(C4735,'Data Panjang Balok'!$C$9:$N$254,9,FALSE)</f>
        <v>0</v>
      </c>
      <c r="E4739" s="2563"/>
      <c r="F4739" s="2563"/>
      <c r="G4739" s="2563"/>
      <c r="H4739" s="2564"/>
      <c r="I4739" s="397"/>
      <c r="J4739" s="396"/>
      <c r="K4739" s="396"/>
      <c r="L4739" s="396"/>
      <c r="M4739" s="396"/>
      <c r="N4739" s="396"/>
      <c r="O4739" s="396"/>
      <c r="P4739" s="396"/>
      <c r="Q4739" s="396"/>
      <c r="R4739" s="396"/>
      <c r="S4739" s="396"/>
      <c r="T4739" s="396"/>
      <c r="U4739" s="388"/>
      <c r="V4739" s="396"/>
      <c r="W4739" s="388"/>
      <c r="X4739" s="396"/>
      <c r="Y4739" s="389"/>
      <c r="Z4739" s="396"/>
      <c r="AA4739" s="388"/>
      <c r="AB4739" s="390"/>
    </row>
    <row r="4740" spans="1:28">
      <c r="A4740" s="391"/>
      <c r="B4740" s="392"/>
      <c r="C4740" s="393" t="s">
        <v>201</v>
      </c>
      <c r="D4740" s="2562">
        <f>VLOOKUP(C4735,'Data Panjang Balok'!$C$9:$N$254,10,FALSE)</f>
        <v>0</v>
      </c>
      <c r="E4740" s="2563"/>
      <c r="F4740" s="2563"/>
      <c r="G4740" s="2563"/>
      <c r="H4740" s="2564"/>
      <c r="I4740" s="397"/>
      <c r="J4740" s="396"/>
      <c r="K4740" s="396"/>
      <c r="L4740" s="396"/>
      <c r="M4740" s="396"/>
      <c r="N4740" s="396"/>
      <c r="O4740" s="396"/>
      <c r="P4740" s="396"/>
      <c r="Q4740" s="396"/>
      <c r="R4740" s="396"/>
      <c r="S4740" s="396"/>
      <c r="T4740" s="396"/>
      <c r="U4740" s="388"/>
      <c r="V4740" s="396"/>
      <c r="W4740" s="388"/>
      <c r="X4740" s="396"/>
      <c r="Y4740" s="389"/>
      <c r="Z4740" s="396"/>
      <c r="AA4740" s="388"/>
      <c r="AB4740" s="390"/>
    </row>
    <row r="4741" spans="1:28">
      <c r="A4741" s="391"/>
      <c r="B4741" s="392"/>
      <c r="C4741" s="393" t="s">
        <v>48</v>
      </c>
      <c r="D4741" s="2562">
        <f>VLOOKUP(C4735,'Data Panjang Balok'!$C$9:$N$254,3,FALSE)</f>
        <v>1</v>
      </c>
      <c r="E4741" s="2563"/>
      <c r="F4741" s="2563"/>
      <c r="G4741" s="2563"/>
      <c r="H4741" s="2564"/>
      <c r="I4741" s="397"/>
      <c r="J4741" s="396"/>
      <c r="K4741" s="396"/>
      <c r="L4741" s="396"/>
      <c r="M4741" s="396"/>
      <c r="N4741" s="396"/>
      <c r="O4741" s="396"/>
      <c r="P4741" s="396"/>
      <c r="Q4741" s="396"/>
      <c r="R4741" s="396"/>
      <c r="S4741" s="396"/>
      <c r="T4741" s="396"/>
      <c r="U4741" s="388"/>
      <c r="V4741" s="396"/>
      <c r="W4741" s="388"/>
      <c r="X4741" s="396"/>
      <c r="Y4741" s="389"/>
      <c r="Z4741" s="396"/>
      <c r="AA4741" s="388"/>
      <c r="AB4741" s="390"/>
    </row>
    <row r="4742" spans="1:28">
      <c r="A4742" s="384" t="str">
        <f t="shared" ref="A4742:B4742" si="15292">A4735</f>
        <v>Lantai 3</v>
      </c>
      <c r="B4742" s="385">
        <f t="shared" si="15292"/>
        <v>16</v>
      </c>
      <c r="C4742" s="393" t="s">
        <v>202</v>
      </c>
      <c r="D4742" s="398">
        <f>VLOOKUP(D4735,'Detail Balok'!$C$10:$AU$140,4,FALSE)</f>
        <v>3</v>
      </c>
      <c r="E4742" s="388" t="s">
        <v>16</v>
      </c>
      <c r="F4742" s="388">
        <f>VLOOKUP(D4735,'Detail Balok'!$C$10:$AU$140,6,FALSE)</f>
        <v>16</v>
      </c>
      <c r="G4742" s="388"/>
      <c r="H4742" s="395"/>
      <c r="I4742" s="388" t="s">
        <v>203</v>
      </c>
      <c r="J4742" s="399">
        <f t="shared" ref="J4742" si="15293">+D4737/4/1000</f>
        <v>0.26874999999999999</v>
      </c>
      <c r="K4742" s="400" t="s">
        <v>204</v>
      </c>
      <c r="L4742" s="399">
        <f t="shared" ref="L4742" si="15294">MAX(VLOOKUP(F4742,N$6:P$15,3,FALSE)/1000,2/3*D4739/1000)+F$16*F4742/1000</f>
        <v>0.192</v>
      </c>
      <c r="M4742" s="399" t="s">
        <v>176</v>
      </c>
      <c r="N4742" s="399">
        <f t="shared" ref="N4742:N4744" si="15295">J4742+L4742</f>
        <v>0.46074999999999999</v>
      </c>
      <c r="O4742" s="399" t="s">
        <v>204</v>
      </c>
      <c r="P4742" s="389">
        <f t="shared" ref="P4742" si="15296">D4742-D4743</f>
        <v>0</v>
      </c>
      <c r="Q4742" s="399" t="s">
        <v>125</v>
      </c>
      <c r="R4742" s="399">
        <f t="shared" ref="R4742" si="15297">IF(P4742&gt;0,$F$18*F4742/1000,0)</f>
        <v>0</v>
      </c>
      <c r="S4742" s="399" t="s">
        <v>205</v>
      </c>
      <c r="T4742" s="399" t="s">
        <v>125</v>
      </c>
      <c r="U4742" s="401">
        <f t="shared" ref="U4742:U4744" si="15298">0.006165*F4742^2</f>
        <v>1.5782400000000001</v>
      </c>
      <c r="V4742" s="399"/>
      <c r="W4742" s="399"/>
      <c r="X4742" s="399" t="s">
        <v>125</v>
      </c>
      <c r="Y4742" s="389">
        <f t="shared" ref="Y4742" si="15299">D4741</f>
        <v>1</v>
      </c>
      <c r="Z4742" s="400" t="s">
        <v>176</v>
      </c>
      <c r="AA4742" s="402">
        <f t="shared" ref="AA4742" si="15300">IF(AA4745=0,(D4742*N4742+P4742*R4742)*U4742*Y4742,0)</f>
        <v>0</v>
      </c>
      <c r="AB4742" s="403"/>
    </row>
    <row r="4743" spans="1:28">
      <c r="A4743" s="384" t="str">
        <f t="shared" ref="A4743:B4743" si="15301">A4735</f>
        <v>Lantai 3</v>
      </c>
      <c r="B4743" s="385">
        <f t="shared" si="15301"/>
        <v>16</v>
      </c>
      <c r="C4743" s="393" t="s">
        <v>206</v>
      </c>
      <c r="D4743" s="398">
        <f>VLOOKUP(D4735,'Detail Balok'!$C$10:$AU$140,7,FALSE)</f>
        <v>3</v>
      </c>
      <c r="E4743" s="388" t="s">
        <v>16</v>
      </c>
      <c r="F4743" s="388">
        <f>VLOOKUP(D4735,'Detail Balok'!$C$10:$AU$140,9,FALSE)</f>
        <v>16</v>
      </c>
      <c r="G4743" s="388"/>
      <c r="H4743" s="395"/>
      <c r="I4743" s="388" t="s">
        <v>203</v>
      </c>
      <c r="J4743" s="399">
        <f t="shared" ref="J4743" si="15302">+D4737/2/1000</f>
        <v>0.53749999999999998</v>
      </c>
      <c r="K4743" s="400" t="s">
        <v>204</v>
      </c>
      <c r="L4743" s="399"/>
      <c r="M4743" s="399" t="s">
        <v>176</v>
      </c>
      <c r="N4743" s="399">
        <f t="shared" si="15295"/>
        <v>0.53749999999999998</v>
      </c>
      <c r="O4743" s="399" t="s">
        <v>204</v>
      </c>
      <c r="P4743" s="389">
        <f t="shared" ref="P4743" si="15303">MAX(D4743-D4742,D4743-D4744)</f>
        <v>0</v>
      </c>
      <c r="Q4743" s="399" t="s">
        <v>125</v>
      </c>
      <c r="R4743" s="399">
        <f t="shared" ref="R4743" si="15304">IF(P4743&gt;0,2*(1-2*$F$19-1/2)*D4738/1000,0)</f>
        <v>0</v>
      </c>
      <c r="S4743" s="399" t="s">
        <v>205</v>
      </c>
      <c r="T4743" s="399" t="s">
        <v>125</v>
      </c>
      <c r="U4743" s="401">
        <f t="shared" si="15298"/>
        <v>1.5782400000000001</v>
      </c>
      <c r="V4743" s="399"/>
      <c r="W4743" s="399"/>
      <c r="X4743" s="399" t="s">
        <v>125</v>
      </c>
      <c r="Y4743" s="389">
        <f t="shared" ref="Y4743" si="15305">D4741</f>
        <v>1</v>
      </c>
      <c r="Z4743" s="400" t="s">
        <v>176</v>
      </c>
      <c r="AA4743" s="402">
        <f t="shared" ref="AA4743" si="15306">IF(AA4745=0,(D4743*N4743+P4743*R4743)*U4743*Y4743,0)</f>
        <v>0</v>
      </c>
      <c r="AB4743" s="403"/>
    </row>
    <row r="4744" spans="1:28">
      <c r="A4744" s="384" t="str">
        <f t="shared" ref="A4744:B4744" si="15307">A4735</f>
        <v>Lantai 3</v>
      </c>
      <c r="B4744" s="385">
        <f t="shared" si="15307"/>
        <v>16</v>
      </c>
      <c r="C4744" s="393" t="s">
        <v>202</v>
      </c>
      <c r="D4744" s="398">
        <f>VLOOKUP(D4735,'Detail Balok'!$C$10:$AU$140,10,FALSE)</f>
        <v>3</v>
      </c>
      <c r="E4744" s="388" t="s">
        <v>16</v>
      </c>
      <c r="F4744" s="388">
        <f>VLOOKUP(D4735,'Detail Balok'!$C$10:$AU$140,12,FALSE)</f>
        <v>16</v>
      </c>
      <c r="G4744" s="388"/>
      <c r="H4744" s="395"/>
      <c r="I4744" s="388" t="s">
        <v>203</v>
      </c>
      <c r="J4744" s="399">
        <f t="shared" ref="J4744" si="15308">+D4737/4/1000</f>
        <v>0.26874999999999999</v>
      </c>
      <c r="K4744" s="400" t="s">
        <v>204</v>
      </c>
      <c r="L4744" s="399">
        <f t="shared" ref="L4744" si="15309">MAX(VLOOKUP(F4744,N$6:P$15,3,FALSE)/1000,2/3*D4739/1000)+F$16*F4744/1000</f>
        <v>0.192</v>
      </c>
      <c r="M4744" s="399" t="s">
        <v>176</v>
      </c>
      <c r="N4744" s="399">
        <f t="shared" si="15295"/>
        <v>0.46074999999999999</v>
      </c>
      <c r="O4744" s="399" t="s">
        <v>204</v>
      </c>
      <c r="P4744" s="389">
        <f t="shared" ref="P4744" si="15310">D4744-D4743</f>
        <v>0</v>
      </c>
      <c r="Q4744" s="399" t="s">
        <v>125</v>
      </c>
      <c r="R4744" s="399">
        <f t="shared" ref="R4744" si="15311">IF(P4744&gt;0,$F$18*F4744/1000,0)</f>
        <v>0</v>
      </c>
      <c r="S4744" s="399" t="s">
        <v>205</v>
      </c>
      <c r="T4744" s="399" t="s">
        <v>125</v>
      </c>
      <c r="U4744" s="401">
        <f t="shared" si="15298"/>
        <v>1.5782400000000001</v>
      </c>
      <c r="V4744" s="399"/>
      <c r="W4744" s="399"/>
      <c r="X4744" s="399" t="s">
        <v>125</v>
      </c>
      <c r="Y4744" s="389">
        <f t="shared" ref="Y4744" si="15312">D4741</f>
        <v>1</v>
      </c>
      <c r="Z4744" s="400" t="s">
        <v>176</v>
      </c>
      <c r="AA4744" s="402">
        <f t="shared" ref="AA4744" si="15313">IF(AA4745=0,(D4744*N4744+P4744*R4744)*U4744*Y4744,0)</f>
        <v>0</v>
      </c>
      <c r="AB4744" s="403"/>
    </row>
    <row r="4745" spans="1:28">
      <c r="A4745" s="384" t="str">
        <f t="shared" ref="A4745:B4745" si="15314">A4735</f>
        <v>Lantai 3</v>
      </c>
      <c r="B4745" s="385">
        <f t="shared" si="15314"/>
        <v>16</v>
      </c>
      <c r="C4745" s="393"/>
      <c r="D4745" s="398">
        <f t="shared" si="15210"/>
        <v>3</v>
      </c>
      <c r="E4745" s="388" t="s">
        <v>16</v>
      </c>
      <c r="F4745" s="388">
        <f t="shared" si="15211"/>
        <v>16</v>
      </c>
      <c r="G4745" s="388"/>
      <c r="H4745" s="395"/>
      <c r="I4745" s="388"/>
      <c r="J4745" s="396"/>
      <c r="K4745" s="396"/>
      <c r="L4745" s="404" t="s">
        <v>207</v>
      </c>
      <c r="M4745" s="399" t="s">
        <v>176</v>
      </c>
      <c r="N4745" s="399">
        <f t="shared" ref="N4745" si="15315">IF(AND(D4742=D4743,D4742=D4744,D4743=D4744,F4742=F4743,F4742=F4744,F4743=F4744),SUM(N4742:N4744),0)</f>
        <v>1.4590000000000001</v>
      </c>
      <c r="O4745" s="399" t="s">
        <v>204</v>
      </c>
      <c r="P4745" s="389">
        <f t="shared" ref="P4745" si="15316">IF(N4745&gt;12,ROUNDDOWN(N4745/12,0),0)</f>
        <v>0</v>
      </c>
      <c r="Q4745" s="399" t="s">
        <v>125</v>
      </c>
      <c r="R4745" s="399">
        <f t="shared" ref="R4745" si="15317">IF(P4745&gt;0,MAX(VLOOKUP(F4745,$D$6:$G$15,3,FALSE),600),0)/1000</f>
        <v>0</v>
      </c>
      <c r="S4745" s="396"/>
      <c r="T4745" s="396" t="s">
        <v>125</v>
      </c>
      <c r="U4745" s="401">
        <f t="shared" si="15215"/>
        <v>1.5782400000000001</v>
      </c>
      <c r="V4745" s="396" t="s">
        <v>125</v>
      </c>
      <c r="W4745" s="399">
        <f t="shared" ref="W4745" si="15318">D4745</f>
        <v>3</v>
      </c>
      <c r="X4745" s="399" t="s">
        <v>125</v>
      </c>
      <c r="Y4745" s="389">
        <f t="shared" si="15217"/>
        <v>1</v>
      </c>
      <c r="Z4745" s="400" t="s">
        <v>176</v>
      </c>
      <c r="AA4745" s="402">
        <f t="shared" ref="AA4745" si="15319">(N4745+P4745*R4745/1000)*U4745*W4745*Y4745</f>
        <v>6.9079564800000002</v>
      </c>
      <c r="AB4745" s="390"/>
    </row>
    <row r="4746" spans="1:28">
      <c r="A4746" s="384"/>
      <c r="B4746" s="385"/>
      <c r="C4746" s="393"/>
      <c r="D4746" s="398"/>
      <c r="E4746" s="388"/>
      <c r="F4746" s="388"/>
      <c r="G4746" s="388"/>
      <c r="H4746" s="395"/>
      <c r="I4746" s="388"/>
      <c r="J4746" s="396"/>
      <c r="K4746" s="396"/>
      <c r="L4746" s="404"/>
      <c r="M4746" s="399"/>
      <c r="N4746" s="399"/>
      <c r="O4746" s="396"/>
      <c r="P4746" s="389"/>
      <c r="Q4746" s="396"/>
      <c r="R4746" s="396"/>
      <c r="S4746" s="396"/>
      <c r="T4746" s="396"/>
      <c r="U4746" s="401"/>
      <c r="V4746" s="396"/>
      <c r="W4746" s="399"/>
      <c r="X4746" s="396"/>
      <c r="Y4746" s="389"/>
      <c r="Z4746" s="396"/>
      <c r="AA4746" s="388"/>
      <c r="AB4746" s="390"/>
    </row>
    <row r="4747" spans="1:28">
      <c r="A4747" s="384" t="str">
        <f t="shared" ref="A4747:B4747" si="15320">A4735</f>
        <v>Lantai 3</v>
      </c>
      <c r="B4747" s="385">
        <f t="shared" si="15320"/>
        <v>16</v>
      </c>
      <c r="C4747" s="393" t="s">
        <v>208</v>
      </c>
      <c r="D4747" s="398">
        <f>VLOOKUP(D4735,'Detail Balok'!$C$10:$AU$140,13,FALSE)</f>
        <v>0</v>
      </c>
      <c r="E4747" s="388" t="s">
        <v>16</v>
      </c>
      <c r="F4747" s="388">
        <f>VLOOKUP(D4735,'Detail Balok'!$C$10:$AU$140,15,FALSE)</f>
        <v>8</v>
      </c>
      <c r="G4747" s="388"/>
      <c r="H4747" s="395"/>
      <c r="I4747" s="388"/>
      <c r="J4747" s="399">
        <f t="shared" ref="J4747" si="15321">+D4737/1000</f>
        <v>1.075</v>
      </c>
      <c r="K4747" s="400" t="s">
        <v>204</v>
      </c>
      <c r="L4747" s="399">
        <f t="shared" ref="L4747" si="15322">2*$F$16*F4747/1000</f>
        <v>0.192</v>
      </c>
      <c r="M4747" s="399" t="s">
        <v>176</v>
      </c>
      <c r="N4747" s="399">
        <f t="shared" ref="N4747" si="15323">J4747+L4747</f>
        <v>1.2669999999999999</v>
      </c>
      <c r="O4747" s="399" t="s">
        <v>204</v>
      </c>
      <c r="P4747" s="389">
        <f t="shared" ref="P4747" si="15324">IF(N4747&gt;12,ROUNDDOWN(N4747/12,0),0)</f>
        <v>0</v>
      </c>
      <c r="Q4747" s="399" t="s">
        <v>125</v>
      </c>
      <c r="R4747" s="399">
        <f t="shared" ref="R4747" si="15325">IF(P4747&gt;0,MAX(VLOOKUP(F4747,$D$6:$G$15,3,FALSE),600),0)/1000</f>
        <v>0</v>
      </c>
      <c r="S4747" s="399"/>
      <c r="T4747" s="399" t="s">
        <v>125</v>
      </c>
      <c r="U4747" s="401">
        <f t="shared" ref="U4747" si="15326">0.006165*F4747^2</f>
        <v>0.39456000000000002</v>
      </c>
      <c r="V4747" s="399" t="s">
        <v>125</v>
      </c>
      <c r="W4747" s="399">
        <f t="shared" ref="W4747" si="15327">+D4747</f>
        <v>0</v>
      </c>
      <c r="X4747" s="399" t="s">
        <v>125</v>
      </c>
      <c r="Y4747" s="389">
        <f t="shared" ref="Y4747" si="15328">D4741</f>
        <v>1</v>
      </c>
      <c r="Z4747" s="400" t="s">
        <v>176</v>
      </c>
      <c r="AA4747" s="402">
        <f t="shared" ref="AA4747" si="15329">(N4747+P4747*R4747/1000)*U4747*W4747*Y4747</f>
        <v>0</v>
      </c>
      <c r="AB4747" s="403"/>
    </row>
    <row r="4748" spans="1:28">
      <c r="A4748" s="384"/>
      <c r="B4748" s="385"/>
      <c r="C4748" s="393"/>
      <c r="D4748" s="398"/>
      <c r="E4748" s="388"/>
      <c r="F4748" s="388"/>
      <c r="G4748" s="388"/>
      <c r="H4748" s="395"/>
      <c r="I4748" s="388"/>
      <c r="J4748" s="399"/>
      <c r="K4748" s="400"/>
      <c r="L4748" s="399"/>
      <c r="M4748" s="399"/>
      <c r="N4748" s="399"/>
      <c r="O4748" s="399"/>
      <c r="P4748" s="389"/>
      <c r="Q4748" s="399"/>
      <c r="R4748" s="399"/>
      <c r="S4748" s="399"/>
      <c r="T4748" s="399"/>
      <c r="U4748" s="401"/>
      <c r="V4748" s="399"/>
      <c r="W4748" s="399"/>
      <c r="X4748" s="399"/>
      <c r="Y4748" s="389"/>
      <c r="Z4748" s="400"/>
      <c r="AA4748" s="402"/>
      <c r="AB4748" s="403"/>
    </row>
    <row r="4749" spans="1:28">
      <c r="A4749" s="384"/>
      <c r="B4749" s="385"/>
      <c r="C4749" s="393"/>
      <c r="D4749" s="398"/>
      <c r="E4749" s="388"/>
      <c r="F4749" s="388"/>
      <c r="G4749" s="388"/>
      <c r="H4749" s="395"/>
      <c r="I4749" s="388"/>
      <c r="J4749" s="396"/>
      <c r="K4749" s="396"/>
      <c r="L4749" s="396"/>
      <c r="M4749" s="396"/>
      <c r="N4749" s="396"/>
      <c r="O4749" s="396"/>
      <c r="P4749" s="389"/>
      <c r="Q4749" s="396"/>
      <c r="R4749" s="396"/>
      <c r="S4749" s="396"/>
      <c r="T4749" s="396"/>
      <c r="U4749" s="401"/>
      <c r="V4749" s="396"/>
      <c r="W4749" s="399"/>
      <c r="X4749" s="396"/>
      <c r="Y4749" s="389"/>
      <c r="Z4749" s="396"/>
      <c r="AA4749" s="388"/>
      <c r="AB4749" s="390"/>
    </row>
    <row r="4750" spans="1:28">
      <c r="A4750" s="384" t="str">
        <f t="shared" ref="A4750:B4750" si="15330">A4735</f>
        <v>Lantai 3</v>
      </c>
      <c r="B4750" s="385">
        <f t="shared" si="15330"/>
        <v>16</v>
      </c>
      <c r="C4750" s="393" t="s">
        <v>209</v>
      </c>
      <c r="D4750" s="398">
        <f>VLOOKUP(D4735,'Detail Balok'!$C$10:$AU$140,22,FALSE)</f>
        <v>3</v>
      </c>
      <c r="E4750" s="388" t="s">
        <v>16</v>
      </c>
      <c r="F4750" s="388">
        <f>VLOOKUP(D4735,'Detail Balok'!$C$10:$AU$140,24,FALSE)</f>
        <v>16</v>
      </c>
      <c r="G4750" s="388"/>
      <c r="H4750" s="395"/>
      <c r="I4750" s="388" t="s">
        <v>203</v>
      </c>
      <c r="J4750" s="399">
        <f t="shared" si="15230"/>
        <v>0.26874999999999999</v>
      </c>
      <c r="K4750" s="400" t="s">
        <v>204</v>
      </c>
      <c r="L4750" s="399">
        <f t="shared" ref="L4750" si="15331">MAX(VLOOKUP(F4750,N$6:P$15,3,FALSE)/1000,2/3*D4740/1000)+F$16*F4750/1000</f>
        <v>0.192</v>
      </c>
      <c r="M4750" s="399" t="s">
        <v>176</v>
      </c>
      <c r="N4750" s="399">
        <f t="shared" ref="N4750:N4752" si="15332">J4750+L4750</f>
        <v>0.46074999999999999</v>
      </c>
      <c r="O4750" s="399" t="s">
        <v>204</v>
      </c>
      <c r="P4750" s="389">
        <f t="shared" ref="P4750" si="15333">D4750-D4751</f>
        <v>0</v>
      </c>
      <c r="Q4750" s="399" t="s">
        <v>125</v>
      </c>
      <c r="R4750" s="399">
        <f t="shared" ref="R4750" si="15334">IF(P4750&gt;0,$F$18*F4750/1000,0)</f>
        <v>0</v>
      </c>
      <c r="S4750" s="399" t="s">
        <v>205</v>
      </c>
      <c r="T4750" s="399" t="s">
        <v>125</v>
      </c>
      <c r="U4750" s="401">
        <f t="shared" ref="U4750:U4752" si="15335">0.006165*F4750^2</f>
        <v>1.5782400000000001</v>
      </c>
      <c r="V4750" s="399"/>
      <c r="W4750" s="399"/>
      <c r="X4750" s="399" t="s">
        <v>125</v>
      </c>
      <c r="Y4750" s="389">
        <f t="shared" ref="Y4750" si="15336">D4741</f>
        <v>1</v>
      </c>
      <c r="Z4750" s="400" t="s">
        <v>176</v>
      </c>
      <c r="AA4750" s="402">
        <f t="shared" ref="AA4750" si="15337">IF(AA4753=0,(D4750*N4750+P4750*R4750)*U4750*Y4750,0)</f>
        <v>0</v>
      </c>
      <c r="AB4750" s="403"/>
    </row>
    <row r="4751" spans="1:28">
      <c r="A4751" s="384" t="str">
        <f t="shared" ref="A4751:B4751" si="15338">A4735</f>
        <v>Lantai 3</v>
      </c>
      <c r="B4751" s="385">
        <f t="shared" si="15338"/>
        <v>16</v>
      </c>
      <c r="C4751" s="393" t="s">
        <v>210</v>
      </c>
      <c r="D4751" s="398">
        <f>VLOOKUP(D4735,'Detail Balok'!$C$10:$AU$140,25,FALSE)</f>
        <v>3</v>
      </c>
      <c r="E4751" s="388" t="s">
        <v>16</v>
      </c>
      <c r="F4751" s="388">
        <f>VLOOKUP(D4735,'Detail Balok'!$C$10:$AU$140,27,FALSE)</f>
        <v>16</v>
      </c>
      <c r="G4751" s="388"/>
      <c r="H4751" s="395"/>
      <c r="I4751" s="388" t="s">
        <v>203</v>
      </c>
      <c r="J4751" s="399">
        <f t="shared" si="15230"/>
        <v>0.53749999999999998</v>
      </c>
      <c r="K4751" s="400" t="s">
        <v>204</v>
      </c>
      <c r="L4751" s="399"/>
      <c r="M4751" s="399" t="s">
        <v>176</v>
      </c>
      <c r="N4751" s="399">
        <f t="shared" si="15332"/>
        <v>0.53749999999999998</v>
      </c>
      <c r="O4751" s="399" t="s">
        <v>204</v>
      </c>
      <c r="P4751" s="389">
        <f t="shared" ref="P4751" si="15339">MAX(D4751-D4750,D4751-D4752)</f>
        <v>0</v>
      </c>
      <c r="Q4751" s="399" t="s">
        <v>125</v>
      </c>
      <c r="R4751" s="399">
        <f t="shared" ref="R4751" si="15340">IF(P4751&gt;0,2*(1-2*$F$19-1/2)*D4738/1000,0)</f>
        <v>0</v>
      </c>
      <c r="S4751" s="399" t="s">
        <v>205</v>
      </c>
      <c r="T4751" s="399" t="s">
        <v>125</v>
      </c>
      <c r="U4751" s="401">
        <f t="shared" si="15335"/>
        <v>1.5782400000000001</v>
      </c>
      <c r="V4751" s="399"/>
      <c r="W4751" s="399"/>
      <c r="X4751" s="399" t="s">
        <v>125</v>
      </c>
      <c r="Y4751" s="389">
        <f t="shared" ref="Y4751" si="15341">D4741</f>
        <v>1</v>
      </c>
      <c r="Z4751" s="400" t="s">
        <v>176</v>
      </c>
      <c r="AA4751" s="402">
        <f t="shared" ref="AA4751" si="15342">IF(AA4753=0,(D4751*N4751+P4751*R4751)*U4751*Y4751,0)</f>
        <v>0</v>
      </c>
      <c r="AB4751" s="403"/>
    </row>
    <row r="4752" spans="1:28">
      <c r="A4752" s="384" t="str">
        <f t="shared" ref="A4752:B4752" si="15343">A4735</f>
        <v>Lantai 3</v>
      </c>
      <c r="B4752" s="385">
        <f t="shared" si="15343"/>
        <v>16</v>
      </c>
      <c r="C4752" s="393" t="s">
        <v>209</v>
      </c>
      <c r="D4752" s="398">
        <f>VLOOKUP(D4735,'Detail Balok'!$C$10:$AU$140,28,FALSE)</f>
        <v>3</v>
      </c>
      <c r="E4752" s="388" t="s">
        <v>16</v>
      </c>
      <c r="F4752" s="388">
        <f>VLOOKUP(D4735,'Detail Balok'!$C$10:$AU$140,30,FALSE)</f>
        <v>16</v>
      </c>
      <c r="G4752" s="388"/>
      <c r="H4752" s="395"/>
      <c r="I4752" s="388" t="s">
        <v>203</v>
      </c>
      <c r="J4752" s="399">
        <f t="shared" si="15230"/>
        <v>0.26874999999999999</v>
      </c>
      <c r="K4752" s="400" t="s">
        <v>204</v>
      </c>
      <c r="L4752" s="399">
        <f t="shared" ref="L4752" si="15344">MAX(VLOOKUP(F4752,N$6:P$15,3,FALSE)/1000,2/3*D4740/1000)+F$16*F4752/1000</f>
        <v>0.192</v>
      </c>
      <c r="M4752" s="399" t="s">
        <v>176</v>
      </c>
      <c r="N4752" s="399">
        <f t="shared" si="15332"/>
        <v>0.46074999999999999</v>
      </c>
      <c r="O4752" s="399" t="s">
        <v>204</v>
      </c>
      <c r="P4752" s="389">
        <f t="shared" ref="P4752" si="15345">D4752-D4751</f>
        <v>0</v>
      </c>
      <c r="Q4752" s="399" t="s">
        <v>125</v>
      </c>
      <c r="R4752" s="399">
        <f t="shared" ref="R4752" si="15346">IF(P4752&gt;0,$F$18*F4752/1000,0)</f>
        <v>0</v>
      </c>
      <c r="S4752" s="399" t="s">
        <v>205</v>
      </c>
      <c r="T4752" s="399" t="s">
        <v>125</v>
      </c>
      <c r="U4752" s="401">
        <f t="shared" si="15335"/>
        <v>1.5782400000000001</v>
      </c>
      <c r="V4752" s="399"/>
      <c r="W4752" s="399"/>
      <c r="X4752" s="399" t="s">
        <v>125</v>
      </c>
      <c r="Y4752" s="389">
        <f t="shared" ref="Y4752" si="15347">D4741</f>
        <v>1</v>
      </c>
      <c r="Z4752" s="400" t="s">
        <v>176</v>
      </c>
      <c r="AA4752" s="402">
        <f t="shared" ref="AA4752" si="15348">IF(AA4753=0,(D4752*N4752+P4752*R4752)*U4752*Y4752,0)</f>
        <v>0</v>
      </c>
      <c r="AB4752" s="403"/>
    </row>
    <row r="4753" spans="1:28">
      <c r="A4753" s="384" t="str">
        <f t="shared" ref="A4753:B4753" si="15349">A4735</f>
        <v>Lantai 3</v>
      </c>
      <c r="B4753" s="385">
        <f t="shared" si="15349"/>
        <v>16</v>
      </c>
      <c r="C4753" s="393"/>
      <c r="D4753" s="398">
        <f t="shared" si="15250"/>
        <v>3</v>
      </c>
      <c r="E4753" s="388" t="s">
        <v>16</v>
      </c>
      <c r="F4753" s="388">
        <f t="shared" si="15251"/>
        <v>16</v>
      </c>
      <c r="G4753" s="388"/>
      <c r="H4753" s="395"/>
      <c r="I4753" s="388"/>
      <c r="J4753" s="396"/>
      <c r="K4753" s="396"/>
      <c r="L4753" s="404" t="s">
        <v>207</v>
      </c>
      <c r="M4753" s="399" t="s">
        <v>176</v>
      </c>
      <c r="N4753" s="399">
        <f t="shared" ref="N4753" si="15350">IF(AND(D4750=D4751,D4750=D4752,D4751=D4752,F4750=F4751,F4750=F4752,F4751=F4752),SUM(N4750:N4752),0)</f>
        <v>1.4590000000000001</v>
      </c>
      <c r="O4753" s="399" t="s">
        <v>204</v>
      </c>
      <c r="P4753" s="389">
        <f t="shared" ref="P4753" si="15351">IF(N4753&gt;12,ROUNDDOWN(N4753/12,0),0)</f>
        <v>0</v>
      </c>
      <c r="Q4753" s="399" t="s">
        <v>125</v>
      </c>
      <c r="R4753" s="399">
        <f t="shared" ref="R4753" si="15352">IF(P4753&gt;0,MAX(VLOOKUP(F4753,$D$6:$G$15,3,FALSE),600),0)/1000</f>
        <v>0</v>
      </c>
      <c r="S4753" s="396"/>
      <c r="T4753" s="396" t="s">
        <v>125</v>
      </c>
      <c r="U4753" s="401">
        <f t="shared" si="15255"/>
        <v>1.5782400000000001</v>
      </c>
      <c r="V4753" s="396" t="s">
        <v>125</v>
      </c>
      <c r="W4753" s="399">
        <f t="shared" ref="W4753" si="15353">D4753</f>
        <v>3</v>
      </c>
      <c r="X4753" s="399" t="s">
        <v>125</v>
      </c>
      <c r="Y4753" s="389">
        <f t="shared" si="15257"/>
        <v>1</v>
      </c>
      <c r="Z4753" s="400" t="s">
        <v>176</v>
      </c>
      <c r="AA4753" s="402">
        <f t="shared" ref="AA4753" si="15354">(N4753+P4753*R4753/1000)*U4753*W4753*Y4753</f>
        <v>6.9079564800000002</v>
      </c>
      <c r="AB4753" s="403"/>
    </row>
    <row r="4754" spans="1:28">
      <c r="A4754" s="384"/>
      <c r="B4754" s="385"/>
      <c r="C4754" s="393"/>
      <c r="D4754" s="394"/>
      <c r="E4754" s="388"/>
      <c r="F4754" s="388"/>
      <c r="G4754" s="388"/>
      <c r="H4754" s="395"/>
      <c r="I4754" s="388"/>
      <c r="J4754" s="399"/>
      <c r="K4754" s="396"/>
      <c r="L4754" s="396"/>
      <c r="M4754" s="396"/>
      <c r="N4754" s="396"/>
      <c r="O4754" s="396"/>
      <c r="P4754" s="389"/>
      <c r="Q4754" s="396"/>
      <c r="R4754" s="396"/>
      <c r="S4754" s="396"/>
      <c r="T4754" s="396"/>
      <c r="U4754" s="401"/>
      <c r="V4754" s="396"/>
      <c r="W4754" s="388"/>
      <c r="X4754" s="396"/>
      <c r="Y4754" s="389"/>
      <c r="Z4754" s="396"/>
      <c r="AA4754" s="388"/>
      <c r="AB4754" s="390"/>
    </row>
    <row r="4755" spans="1:28">
      <c r="A4755" s="384" t="str">
        <f t="shared" ref="A4755:B4755" si="15355">A4735</f>
        <v>Lantai 3</v>
      </c>
      <c r="B4755" s="385">
        <f t="shared" si="15355"/>
        <v>16</v>
      </c>
      <c r="C4755" s="393" t="s">
        <v>211</v>
      </c>
      <c r="D4755" s="398">
        <f>VLOOKUP(D4735,'Detail Balok'!$C$10:$AU$140,31,FALSE)</f>
        <v>0</v>
      </c>
      <c r="E4755" s="388" t="s">
        <v>16</v>
      </c>
      <c r="F4755" s="388">
        <f>VLOOKUP(D4735,'Detail Balok'!$C$10:$AU$140,33,FALSE)</f>
        <v>10</v>
      </c>
      <c r="G4755" s="405" t="s">
        <v>157</v>
      </c>
      <c r="H4755" s="395">
        <f>VLOOKUP(D4735,'Detail Balok'!$C$10:$AU$140,35,FALSE)</f>
        <v>100</v>
      </c>
      <c r="I4755" s="388"/>
      <c r="J4755" s="400">
        <f t="shared" ref="J4755" si="15356">(IF(D4755=0,(2*(D4736+G4736))-(F$5*8),IF(D4755=3,(2*(D4736+G4736))-(F$5*8)+(G4736-2*F$5),IF(D4755=4,(2*(D4736+G4736))-(F$5*8)+2*(G4736-2*F$5)))))/1000</f>
        <v>0.88</v>
      </c>
      <c r="K4755" s="400" t="s">
        <v>204</v>
      </c>
      <c r="L4755" s="399">
        <f t="shared" ref="L4755:L4757" si="15357">IF(D4755=0,2*MAX(6*F4755,75),(D4755-1)*2*MAX(6*F4755,75))/1000</f>
        <v>0.15</v>
      </c>
      <c r="M4755" s="399" t="s">
        <v>176</v>
      </c>
      <c r="N4755" s="399">
        <f t="shared" ref="N4755:N4757" si="15358">J4755+L4755</f>
        <v>1.03</v>
      </c>
      <c r="O4755" s="399"/>
      <c r="P4755" s="389"/>
      <c r="Q4755" s="399"/>
      <c r="R4755" s="399"/>
      <c r="S4755" s="399"/>
      <c r="T4755" s="399" t="s">
        <v>125</v>
      </c>
      <c r="U4755" s="401">
        <f t="shared" ref="U4755:U4757" si="15359">0.006165*F4755^2</f>
        <v>0.61650000000000005</v>
      </c>
      <c r="V4755" s="399" t="s">
        <v>125</v>
      </c>
      <c r="W4755" s="399">
        <f t="shared" ref="W4755" si="15360">IF(D4738&gt;4*G4736,ROUND(MAX(D4738/4,2*G4736)/H4755,0)+1,ROUND(D4738/H4755,0)+1)</f>
        <v>12</v>
      </c>
      <c r="X4755" s="399" t="s">
        <v>125</v>
      </c>
      <c r="Y4755" s="389">
        <f t="shared" ref="Y4755" si="15361">D4741</f>
        <v>1</v>
      </c>
      <c r="Z4755" s="400" t="s">
        <v>176</v>
      </c>
      <c r="AA4755" s="402">
        <f t="shared" ref="AA4755:AA4757" si="15362">N4755*U4755*W4755*Y4755</f>
        <v>7.6199400000000015</v>
      </c>
      <c r="AB4755" s="403"/>
    </row>
    <row r="4756" spans="1:28">
      <c r="A4756" s="384" t="str">
        <f t="shared" ref="A4756:B4756" si="15363">A4735</f>
        <v>Lantai 3</v>
      </c>
      <c r="B4756" s="385">
        <f t="shared" si="15363"/>
        <v>16</v>
      </c>
      <c r="C4756" s="393" t="s">
        <v>212</v>
      </c>
      <c r="D4756" s="398">
        <f>VLOOKUP(D4735,'Detail Balok'!$C$10:$AU$140,36,FALSE)</f>
        <v>0</v>
      </c>
      <c r="E4756" s="388" t="s">
        <v>16</v>
      </c>
      <c r="F4756" s="388">
        <f>VLOOKUP(D4735,'Detail Balok'!$C$10:$AU$140,38,FALSE)</f>
        <v>10</v>
      </c>
      <c r="G4756" s="405" t="s">
        <v>157</v>
      </c>
      <c r="H4756" s="395">
        <f>VLOOKUP(D4735,'Detail Balok'!$C$10:$AU$140,40,FALSE)</f>
        <v>100</v>
      </c>
      <c r="I4756" s="388"/>
      <c r="J4756" s="400">
        <f t="shared" ref="J4756" si="15364">(IF(D4756=0,(2*(D4736+G4736))-(F$5*8),IF(D4756=3,(2*(D4736+G4736))-(F$5*8)+(G4736-2*F$5),IF(D4756=4,(2*(D4736+G4736))-(F$5*8)+2*(G4736-2*F$5)))))/1000</f>
        <v>0.88</v>
      </c>
      <c r="K4756" s="400" t="s">
        <v>204</v>
      </c>
      <c r="L4756" s="399">
        <f t="shared" si="15357"/>
        <v>0.15</v>
      </c>
      <c r="M4756" s="399" t="s">
        <v>176</v>
      </c>
      <c r="N4756" s="399">
        <f t="shared" si="15358"/>
        <v>1.03</v>
      </c>
      <c r="O4756" s="399"/>
      <c r="P4756" s="389"/>
      <c r="Q4756" s="399"/>
      <c r="R4756" s="399"/>
      <c r="S4756" s="399"/>
      <c r="T4756" s="399" t="s">
        <v>125</v>
      </c>
      <c r="U4756" s="401">
        <f t="shared" si="15359"/>
        <v>0.61650000000000005</v>
      </c>
      <c r="V4756" s="399" t="s">
        <v>125</v>
      </c>
      <c r="W4756" s="399">
        <f t="shared" ref="W4756" si="15365">IF(D4738-MAX(D4738/4,2*G4736)*2&gt;0,ROUND((D4738-MAX(D4738/4,2*G4736)*2)/H4756,0),0)</f>
        <v>0</v>
      </c>
      <c r="X4756" s="399" t="s">
        <v>125</v>
      </c>
      <c r="Y4756" s="389">
        <f t="shared" ref="Y4756" si="15366">D4741</f>
        <v>1</v>
      </c>
      <c r="Z4756" s="400" t="s">
        <v>176</v>
      </c>
      <c r="AA4756" s="402">
        <f t="shared" si="15362"/>
        <v>0</v>
      </c>
      <c r="AB4756" s="403"/>
    </row>
    <row r="4757" spans="1:28">
      <c r="A4757" s="384" t="str">
        <f t="shared" ref="A4757:B4757" si="15367">A4735</f>
        <v>Lantai 3</v>
      </c>
      <c r="B4757" s="385">
        <f t="shared" si="15367"/>
        <v>16</v>
      </c>
      <c r="C4757" s="393" t="s">
        <v>211</v>
      </c>
      <c r="D4757" s="398">
        <f>VLOOKUP(D4735,'Detail Balok'!$C$10:$AU$140,41,FALSE)</f>
        <v>0</v>
      </c>
      <c r="E4757" s="388" t="s">
        <v>16</v>
      </c>
      <c r="F4757" s="388">
        <f>VLOOKUP(D4735,'Detail Balok'!$C$10:$AU$140,43,FALSE)</f>
        <v>10</v>
      </c>
      <c r="G4757" s="405" t="s">
        <v>157</v>
      </c>
      <c r="H4757" s="395">
        <f>VLOOKUP(D4735,'Detail Balok'!$C$10:$AU$140,45,FALSE)</f>
        <v>100</v>
      </c>
      <c r="I4757" s="388"/>
      <c r="J4757" s="400">
        <f t="shared" ref="J4757" si="15368">(IF(D4757=0,(2*(D4736+G4736))-(F$5*8),IF(D4757=3,(2*(D4736+G4736))-(F$5*8)+(G4736-2*F$5),IF(D4757=4,(2*(D4736+G4736))-(F$5*8)+2*(G4736-2*F$5)))))/1000</f>
        <v>0.88</v>
      </c>
      <c r="K4757" s="400" t="s">
        <v>204</v>
      </c>
      <c r="L4757" s="399">
        <f t="shared" si="15357"/>
        <v>0.15</v>
      </c>
      <c r="M4757" s="399" t="s">
        <v>176</v>
      </c>
      <c r="N4757" s="399">
        <f t="shared" si="15358"/>
        <v>1.03</v>
      </c>
      <c r="O4757" s="399"/>
      <c r="P4757" s="389"/>
      <c r="Q4757" s="399"/>
      <c r="R4757" s="399"/>
      <c r="S4757" s="399"/>
      <c r="T4757" s="399" t="s">
        <v>125</v>
      </c>
      <c r="U4757" s="401">
        <f t="shared" si="15359"/>
        <v>0.61650000000000005</v>
      </c>
      <c r="V4757" s="399" t="s">
        <v>125</v>
      </c>
      <c r="W4757" s="399">
        <f t="shared" ref="W4757" si="15369">IF(D4738&gt;4*G4736,ROUND(MAX(D4738/4,2*G4736)/H4757,0)+1,0)</f>
        <v>0</v>
      </c>
      <c r="X4757" s="399" t="s">
        <v>125</v>
      </c>
      <c r="Y4757" s="389">
        <f t="shared" ref="Y4757" si="15370">D4741</f>
        <v>1</v>
      </c>
      <c r="Z4757" s="400" t="s">
        <v>176</v>
      </c>
      <c r="AA4757" s="402">
        <f t="shared" si="15362"/>
        <v>0</v>
      </c>
      <c r="AB4757" s="403"/>
    </row>
    <row r="4758" spans="1:28">
      <c r="A4758" s="384"/>
      <c r="B4758" s="385"/>
      <c r="C4758" s="393"/>
      <c r="D4758" s="394"/>
      <c r="E4758" s="388"/>
      <c r="F4758" s="388"/>
      <c r="G4758" s="388"/>
      <c r="H4758" s="395"/>
      <c r="I4758" s="388"/>
      <c r="J4758" s="399"/>
      <c r="K4758" s="396"/>
      <c r="L4758" s="396"/>
      <c r="M4758" s="396"/>
      <c r="N4758" s="396"/>
      <c r="O4758" s="396"/>
      <c r="P4758" s="389"/>
      <c r="Q4758" s="396"/>
      <c r="R4758" s="396"/>
      <c r="S4758" s="396"/>
      <c r="T4758" s="396"/>
      <c r="U4758" s="401"/>
      <c r="V4758" s="396"/>
      <c r="W4758" s="388"/>
      <c r="X4758" s="396"/>
      <c r="Y4758" s="389"/>
      <c r="Z4758" s="396"/>
      <c r="AA4758" s="388"/>
      <c r="AB4758" s="390"/>
    </row>
    <row r="4759" spans="1:28">
      <c r="A4759" s="384" t="str">
        <f t="shared" ref="A4759:B4759" si="15371">A4735</f>
        <v>Lantai 3</v>
      </c>
      <c r="B4759" s="385">
        <f t="shared" si="15371"/>
        <v>16</v>
      </c>
      <c r="C4759" s="393" t="s">
        <v>213</v>
      </c>
      <c r="D4759" s="398">
        <f>VLOOKUP(D4735,'Detail Balok'!$C$10:$BJ$140,46,FALSE)</f>
        <v>0</v>
      </c>
      <c r="E4759" s="388" t="s">
        <v>16</v>
      </c>
      <c r="F4759" s="388">
        <f>VLOOKUP(D4735,'Detail Balok'!$C$10:$BJ$140,48,FALSE)</f>
        <v>0</v>
      </c>
      <c r="G4759" s="405" t="s">
        <v>157</v>
      </c>
      <c r="H4759" s="395">
        <f>VLOOKUP(D4735,'Detail Balok'!$C$10:$BJ$140,50,FALSE)</f>
        <v>100</v>
      </c>
      <c r="I4759" s="388"/>
      <c r="J4759" s="399">
        <f t="shared" ref="J4759" si="15372">(D4736-2*F$5)/1000</f>
        <v>0.12</v>
      </c>
      <c r="K4759" s="400" t="s">
        <v>204</v>
      </c>
      <c r="L4759" s="399">
        <f t="shared" ref="L4759:L4761" si="15373">IF(D4759=0,2*MAX(6*F4759,75),(D4759-1)*2*MAX(6*F4759,75))/1000</f>
        <v>0.15</v>
      </c>
      <c r="M4759" s="399" t="s">
        <v>176</v>
      </c>
      <c r="N4759" s="399">
        <f t="shared" ref="N4759:N4761" si="15374">J4759+L4759</f>
        <v>0.27</v>
      </c>
      <c r="O4759" s="399"/>
      <c r="P4759" s="399"/>
      <c r="Q4759" s="399"/>
      <c r="R4759" s="399"/>
      <c r="S4759" s="399"/>
      <c r="T4759" s="399" t="s">
        <v>125</v>
      </c>
      <c r="U4759" s="401">
        <f t="shared" ref="U4759:U4761" si="15375">0.006165*F4759^2</f>
        <v>0</v>
      </c>
      <c r="V4759" s="399" t="s">
        <v>125</v>
      </c>
      <c r="W4759" s="399">
        <f t="shared" si="15280"/>
        <v>12</v>
      </c>
      <c r="X4759" s="399" t="s">
        <v>125</v>
      </c>
      <c r="Y4759" s="389">
        <f t="shared" ref="Y4759" si="15376">D4745</f>
        <v>3</v>
      </c>
      <c r="Z4759" s="400" t="s">
        <v>176</v>
      </c>
      <c r="AA4759" s="402">
        <f t="shared" ref="AA4759:AA4761" si="15377">N4759*U4759*W4759*Y4759</f>
        <v>0</v>
      </c>
      <c r="AB4759" s="403"/>
    </row>
    <row r="4760" spans="1:28">
      <c r="A4760" s="384" t="str">
        <f t="shared" ref="A4760:B4760" si="15378">A4735</f>
        <v>Lantai 3</v>
      </c>
      <c r="B4760" s="385">
        <f t="shared" si="15378"/>
        <v>16</v>
      </c>
      <c r="C4760" s="393" t="s">
        <v>214</v>
      </c>
      <c r="D4760" s="398">
        <f>VLOOKUP(D4735,'Detail Balok'!$C$10:$BJ$140,51,FALSE)</f>
        <v>0</v>
      </c>
      <c r="E4760" s="388" t="s">
        <v>16</v>
      </c>
      <c r="F4760" s="388">
        <f>VLOOKUP(D4735,'Detail Balok'!$C$10:$BJ$140,53,FALSE)</f>
        <v>0</v>
      </c>
      <c r="G4760" s="405" t="s">
        <v>157</v>
      </c>
      <c r="H4760" s="395">
        <f>VLOOKUP(D4735,'Detail Balok'!$C$10:$BJ$140,55,FALSE)</f>
        <v>100</v>
      </c>
      <c r="I4760" s="388"/>
      <c r="J4760" s="399">
        <f t="shared" ref="J4760" si="15379">(D4736-2*F$5)/1000</f>
        <v>0.12</v>
      </c>
      <c r="K4760" s="400" t="s">
        <v>204</v>
      </c>
      <c r="L4760" s="399">
        <f t="shared" si="15373"/>
        <v>0.15</v>
      </c>
      <c r="M4760" s="399" t="s">
        <v>176</v>
      </c>
      <c r="N4760" s="399">
        <f t="shared" si="15374"/>
        <v>0.27</v>
      </c>
      <c r="O4760" s="399"/>
      <c r="P4760" s="399"/>
      <c r="Q4760" s="399"/>
      <c r="R4760" s="399"/>
      <c r="S4760" s="399"/>
      <c r="T4760" s="399" t="s">
        <v>125</v>
      </c>
      <c r="U4760" s="401">
        <f t="shared" si="15375"/>
        <v>0</v>
      </c>
      <c r="V4760" s="399" t="s">
        <v>125</v>
      </c>
      <c r="W4760" s="399">
        <f t="shared" si="15280"/>
        <v>0</v>
      </c>
      <c r="X4760" s="399" t="s">
        <v>125</v>
      </c>
      <c r="Y4760" s="389">
        <f t="shared" ref="Y4760" si="15380">D4745</f>
        <v>3</v>
      </c>
      <c r="Z4760" s="400" t="s">
        <v>176</v>
      </c>
      <c r="AA4760" s="402">
        <f t="shared" si="15377"/>
        <v>0</v>
      </c>
      <c r="AB4760" s="403"/>
    </row>
    <row r="4761" spans="1:28">
      <c r="A4761" s="384" t="str">
        <f t="shared" ref="A4761:B4761" si="15381">A4735</f>
        <v>Lantai 3</v>
      </c>
      <c r="B4761" s="385">
        <f t="shared" si="15381"/>
        <v>16</v>
      </c>
      <c r="C4761" s="393" t="s">
        <v>213</v>
      </c>
      <c r="D4761" s="398">
        <f>VLOOKUP(D4735,'Detail Balok'!$C$10:$BJ$140,56,FALSE)</f>
        <v>0</v>
      </c>
      <c r="E4761" s="388" t="s">
        <v>16</v>
      </c>
      <c r="F4761" s="388">
        <f>VLOOKUP(D4735,'Detail Balok'!$C$10:$BJ$140,58,FALSE)</f>
        <v>0</v>
      </c>
      <c r="G4761" s="405" t="s">
        <v>157</v>
      </c>
      <c r="H4761" s="395">
        <f>VLOOKUP(D4735,'Detail Balok'!$C$10:$BJ$140,60,FALSE)</f>
        <v>100</v>
      </c>
      <c r="I4761" s="388"/>
      <c r="J4761" s="399">
        <f t="shared" ref="J4761" si="15382">(D4736-2*F$5)/1000</f>
        <v>0.12</v>
      </c>
      <c r="K4761" s="400" t="s">
        <v>204</v>
      </c>
      <c r="L4761" s="399">
        <f t="shared" si="15373"/>
        <v>0.15</v>
      </c>
      <c r="M4761" s="399" t="s">
        <v>176</v>
      </c>
      <c r="N4761" s="399">
        <f t="shared" si="15374"/>
        <v>0.27</v>
      </c>
      <c r="O4761" s="399"/>
      <c r="P4761" s="399"/>
      <c r="Q4761" s="399"/>
      <c r="R4761" s="399"/>
      <c r="S4761" s="399"/>
      <c r="T4761" s="399" t="s">
        <v>125</v>
      </c>
      <c r="U4761" s="401">
        <f t="shared" si="15375"/>
        <v>0</v>
      </c>
      <c r="V4761" s="399" t="s">
        <v>125</v>
      </c>
      <c r="W4761" s="399">
        <f t="shared" si="15280"/>
        <v>0</v>
      </c>
      <c r="X4761" s="399" t="s">
        <v>125</v>
      </c>
      <c r="Y4761" s="389">
        <f t="shared" ref="Y4761" si="15383">D4745</f>
        <v>3</v>
      </c>
      <c r="Z4761" s="400" t="s">
        <v>176</v>
      </c>
      <c r="AA4761" s="402">
        <f t="shared" si="15377"/>
        <v>0</v>
      </c>
      <c r="AB4761" s="403"/>
    </row>
    <row r="4762" spans="1:28">
      <c r="A4762" s="391"/>
      <c r="B4762" s="392"/>
      <c r="C4762" s="392"/>
      <c r="D4762" s="394"/>
      <c r="E4762" s="388"/>
      <c r="F4762" s="388"/>
      <c r="G4762" s="388"/>
      <c r="H4762" s="395"/>
      <c r="I4762" s="388"/>
      <c r="J4762" s="402"/>
      <c r="K4762" s="388"/>
      <c r="L4762" s="388"/>
      <c r="M4762" s="388"/>
      <c r="N4762" s="388"/>
      <c r="O4762" s="388"/>
      <c r="P4762" s="388"/>
      <c r="Q4762" s="388"/>
      <c r="R4762" s="388"/>
      <c r="S4762" s="388"/>
      <c r="T4762" s="388"/>
      <c r="U4762" s="388"/>
      <c r="V4762" s="388"/>
      <c r="W4762" s="388"/>
      <c r="X4762" s="388"/>
      <c r="Y4762" s="389"/>
      <c r="Z4762" s="388"/>
      <c r="AA4762" s="402"/>
      <c r="AB4762" s="403"/>
    </row>
    <row r="4763" spans="1:28" ht="15.75" thickBot="1">
      <c r="A4763" s="406"/>
      <c r="B4763" s="407"/>
      <c r="C4763" s="407"/>
      <c r="D4763" s="408"/>
      <c r="E4763" s="409"/>
      <c r="F4763" s="409"/>
      <c r="G4763" s="409"/>
      <c r="H4763" s="410"/>
      <c r="I4763" s="409"/>
      <c r="J4763" s="409"/>
      <c r="K4763" s="409"/>
      <c r="L4763" s="409"/>
      <c r="M4763" s="409"/>
      <c r="N4763" s="409"/>
      <c r="O4763" s="409"/>
      <c r="P4763" s="409"/>
      <c r="Q4763" s="409"/>
      <c r="R4763" s="409"/>
      <c r="S4763" s="409"/>
      <c r="T4763" s="409"/>
      <c r="U4763" s="409"/>
      <c r="V4763" s="409"/>
      <c r="W4763" s="409"/>
      <c r="X4763" s="409"/>
      <c r="Y4763" s="411"/>
      <c r="Z4763" s="409"/>
      <c r="AA4763" s="412"/>
      <c r="AB4763" s="413"/>
    </row>
    <row r="4764" spans="1:28">
      <c r="A4764" s="377"/>
      <c r="B4764" s="378"/>
      <c r="C4764" s="378"/>
      <c r="D4764" s="379"/>
      <c r="E4764" s="380"/>
      <c r="F4764" s="380"/>
      <c r="G4764" s="380"/>
      <c r="H4764" s="381"/>
      <c r="I4764" s="380"/>
      <c r="J4764" s="380"/>
      <c r="K4764" s="380"/>
      <c r="L4764" s="380"/>
      <c r="M4764" s="380"/>
      <c r="N4764" s="380"/>
      <c r="O4764" s="380"/>
      <c r="P4764" s="380"/>
      <c r="Q4764" s="380"/>
      <c r="R4764" s="380"/>
      <c r="S4764" s="380"/>
      <c r="T4764" s="380"/>
      <c r="U4764" s="380"/>
      <c r="V4764" s="380"/>
      <c r="W4764" s="380"/>
      <c r="X4764" s="380"/>
      <c r="Y4764" s="382"/>
      <c r="Z4764" s="380"/>
      <c r="AA4764" s="380"/>
      <c r="AB4764" s="383"/>
    </row>
    <row r="4765" spans="1:28">
      <c r="A4765" s="384" t="str">
        <f t="shared" si="15289"/>
        <v>Lantai 3</v>
      </c>
      <c r="B4765" s="385">
        <f t="shared" si="15290"/>
        <v>17</v>
      </c>
      <c r="C4765" s="386" t="str">
        <f t="shared" ref="C4765" si="15384">CONCATENATE(A4765," no. ",B4765)</f>
        <v>Lantai 3 no. 17</v>
      </c>
      <c r="D4765" s="2562" t="str">
        <f>VLOOKUP(C4765,'Data Panjang Balok'!$C$9:$N$254,2,FALSE)</f>
        <v>B25-1</v>
      </c>
      <c r="E4765" s="2576"/>
      <c r="F4765" s="2576"/>
      <c r="G4765" s="2576"/>
      <c r="H4765" s="2577"/>
      <c r="I4765" s="387"/>
      <c r="J4765" s="388"/>
      <c r="K4765" s="388"/>
      <c r="L4765" s="388"/>
      <c r="M4765" s="388"/>
      <c r="N4765" s="388"/>
      <c r="O4765" s="388"/>
      <c r="P4765" s="388"/>
      <c r="Q4765" s="388"/>
      <c r="R4765" s="388"/>
      <c r="S4765" s="388"/>
      <c r="T4765" s="388"/>
      <c r="U4765" s="388"/>
      <c r="V4765" s="388"/>
      <c r="W4765" s="388"/>
      <c r="X4765" s="388"/>
      <c r="Y4765" s="389"/>
      <c r="Z4765" s="388"/>
      <c r="AA4765" s="388"/>
      <c r="AB4765" s="390"/>
    </row>
    <row r="4766" spans="1:28">
      <c r="A4766" s="391"/>
      <c r="B4766" s="392"/>
      <c r="C4766" s="393" t="s">
        <v>118</v>
      </c>
      <c r="D4766" s="2578">
        <f>VLOOKUP(D4765,'Detail Balok'!$C$10:$AU$140,2,FALSE)</f>
        <v>200</v>
      </c>
      <c r="E4766" s="2579"/>
      <c r="F4766" s="388" t="s">
        <v>125</v>
      </c>
      <c r="G4766" s="2579">
        <f>VLOOKUP(D4765,'Detail Balok'!$C$10:$AU$140,3,FALSE)</f>
        <v>500</v>
      </c>
      <c r="H4766" s="2580"/>
      <c r="I4766" s="388"/>
      <c r="J4766" s="396"/>
      <c r="K4766" s="396"/>
      <c r="L4766" s="396"/>
      <c r="M4766" s="396"/>
      <c r="N4766" s="396"/>
      <c r="O4766" s="396"/>
      <c r="P4766" s="396"/>
      <c r="Q4766" s="396"/>
      <c r="R4766" s="396"/>
      <c r="S4766" s="396"/>
      <c r="T4766" s="396"/>
      <c r="U4766" s="388"/>
      <c r="V4766" s="396"/>
      <c r="W4766" s="388"/>
      <c r="X4766" s="396"/>
      <c r="Y4766" s="389"/>
      <c r="Z4766" s="396"/>
      <c r="AA4766" s="388"/>
      <c r="AB4766" s="390"/>
    </row>
    <row r="4767" spans="1:28">
      <c r="A4767" s="391"/>
      <c r="B4767" s="392"/>
      <c r="C4767" s="393" t="s">
        <v>198</v>
      </c>
      <c r="D4767" s="2562">
        <f>VLOOKUP(C4765,'Data Panjang Balok'!$C$9:$N$254,4,FALSE)</f>
        <v>9075</v>
      </c>
      <c r="E4767" s="2563"/>
      <c r="F4767" s="2563"/>
      <c r="G4767" s="2563"/>
      <c r="H4767" s="2564"/>
      <c r="I4767" s="397"/>
      <c r="J4767" s="396"/>
      <c r="K4767" s="396"/>
      <c r="L4767" s="396"/>
      <c r="M4767" s="396"/>
      <c r="N4767" s="396"/>
      <c r="O4767" s="396"/>
      <c r="P4767" s="396"/>
      <c r="Q4767" s="396"/>
      <c r="R4767" s="396"/>
      <c r="S4767" s="396"/>
      <c r="T4767" s="396"/>
      <c r="U4767" s="388"/>
      <c r="V4767" s="396"/>
      <c r="W4767" s="388"/>
      <c r="X4767" s="396"/>
      <c r="Y4767" s="389"/>
      <c r="Z4767" s="396"/>
      <c r="AA4767" s="388"/>
      <c r="AB4767" s="390"/>
    </row>
    <row r="4768" spans="1:28">
      <c r="A4768" s="391"/>
      <c r="B4768" s="392"/>
      <c r="C4768" s="393" t="s">
        <v>199</v>
      </c>
      <c r="D4768" s="2562">
        <f>VLOOKUP(C4765,'Data Panjang Balok'!$C$9:$N$254,7,FALSE)</f>
        <v>9075</v>
      </c>
      <c r="E4768" s="2563"/>
      <c r="F4768" s="2563"/>
      <c r="G4768" s="2563"/>
      <c r="H4768" s="2564"/>
      <c r="I4768" s="397"/>
      <c r="J4768" s="396"/>
      <c r="K4768" s="396"/>
      <c r="L4768" s="396"/>
      <c r="M4768" s="396"/>
      <c r="N4768" s="396"/>
      <c r="O4768" s="396"/>
      <c r="P4768" s="396"/>
      <c r="Q4768" s="396"/>
      <c r="R4768" s="396"/>
      <c r="S4768" s="396"/>
      <c r="T4768" s="396"/>
      <c r="U4768" s="388"/>
      <c r="V4768" s="396"/>
      <c r="W4768" s="388"/>
      <c r="X4768" s="396"/>
      <c r="Y4768" s="389"/>
      <c r="Z4768" s="396"/>
      <c r="AA4768" s="388"/>
      <c r="AB4768" s="390"/>
    </row>
    <row r="4769" spans="1:28">
      <c r="A4769" s="391"/>
      <c r="B4769" s="392"/>
      <c r="C4769" s="393" t="s">
        <v>200</v>
      </c>
      <c r="D4769" s="2562">
        <f>VLOOKUP(C4765,'Data Panjang Balok'!$C$9:$N$254,9,FALSE)</f>
        <v>0</v>
      </c>
      <c r="E4769" s="2563"/>
      <c r="F4769" s="2563"/>
      <c r="G4769" s="2563"/>
      <c r="H4769" s="2564"/>
      <c r="I4769" s="397"/>
      <c r="J4769" s="396"/>
      <c r="K4769" s="396"/>
      <c r="L4769" s="396"/>
      <c r="M4769" s="396"/>
      <c r="N4769" s="396"/>
      <c r="O4769" s="396"/>
      <c r="P4769" s="396"/>
      <c r="Q4769" s="396"/>
      <c r="R4769" s="396"/>
      <c r="S4769" s="396"/>
      <c r="T4769" s="396"/>
      <c r="U4769" s="388"/>
      <c r="V4769" s="396"/>
      <c r="W4769" s="388"/>
      <c r="X4769" s="396"/>
      <c r="Y4769" s="389"/>
      <c r="Z4769" s="396"/>
      <c r="AA4769" s="388"/>
      <c r="AB4769" s="390"/>
    </row>
    <row r="4770" spans="1:28">
      <c r="A4770" s="391"/>
      <c r="B4770" s="392"/>
      <c r="C4770" s="393" t="s">
        <v>201</v>
      </c>
      <c r="D4770" s="2562">
        <f>VLOOKUP(C4765,'Data Panjang Balok'!$C$9:$N$254,10,FALSE)</f>
        <v>0</v>
      </c>
      <c r="E4770" s="2563"/>
      <c r="F4770" s="2563"/>
      <c r="G4770" s="2563"/>
      <c r="H4770" s="2564"/>
      <c r="I4770" s="397"/>
      <c r="J4770" s="396"/>
      <c r="K4770" s="396"/>
      <c r="L4770" s="396"/>
      <c r="M4770" s="396"/>
      <c r="N4770" s="396"/>
      <c r="O4770" s="396"/>
      <c r="P4770" s="396"/>
      <c r="Q4770" s="396"/>
      <c r="R4770" s="396"/>
      <c r="S4770" s="396"/>
      <c r="T4770" s="396"/>
      <c r="U4770" s="388"/>
      <c r="V4770" s="396"/>
      <c r="W4770" s="388"/>
      <c r="X4770" s="396"/>
      <c r="Y4770" s="389"/>
      <c r="Z4770" s="396"/>
      <c r="AA4770" s="388"/>
      <c r="AB4770" s="390"/>
    </row>
    <row r="4771" spans="1:28">
      <c r="A4771" s="391"/>
      <c r="B4771" s="392"/>
      <c r="C4771" s="393" t="s">
        <v>48</v>
      </c>
      <c r="D4771" s="2562">
        <f>VLOOKUP(C4765,'Data Panjang Balok'!$C$9:$N$254,3,FALSE)</f>
        <v>1</v>
      </c>
      <c r="E4771" s="2563"/>
      <c r="F4771" s="2563"/>
      <c r="G4771" s="2563"/>
      <c r="H4771" s="2564"/>
      <c r="I4771" s="397"/>
      <c r="J4771" s="396"/>
      <c r="K4771" s="396"/>
      <c r="L4771" s="396"/>
      <c r="M4771" s="396"/>
      <c r="N4771" s="396"/>
      <c r="O4771" s="396"/>
      <c r="P4771" s="396"/>
      <c r="Q4771" s="396"/>
      <c r="R4771" s="396"/>
      <c r="S4771" s="396"/>
      <c r="T4771" s="396"/>
      <c r="U4771" s="388"/>
      <c r="V4771" s="396"/>
      <c r="W4771" s="388"/>
      <c r="X4771" s="396"/>
      <c r="Y4771" s="389"/>
      <c r="Z4771" s="396"/>
      <c r="AA4771" s="388"/>
      <c r="AB4771" s="390"/>
    </row>
    <row r="4772" spans="1:28">
      <c r="A4772" s="384" t="str">
        <f t="shared" ref="A4772:B4772" si="15385">A4765</f>
        <v>Lantai 3</v>
      </c>
      <c r="B4772" s="385">
        <f t="shared" si="15385"/>
        <v>17</v>
      </c>
      <c r="C4772" s="393" t="s">
        <v>202</v>
      </c>
      <c r="D4772" s="398">
        <f>VLOOKUP(D4765,'Detail Balok'!$C$10:$AU$140,4,FALSE)</f>
        <v>4</v>
      </c>
      <c r="E4772" s="388" t="s">
        <v>16</v>
      </c>
      <c r="F4772" s="388">
        <f>VLOOKUP(D4765,'Detail Balok'!$C$10:$AU$140,6,FALSE)</f>
        <v>16</v>
      </c>
      <c r="G4772" s="388"/>
      <c r="H4772" s="395"/>
      <c r="I4772" s="388" t="s">
        <v>203</v>
      </c>
      <c r="J4772" s="399">
        <f t="shared" ref="J4772" si="15386">+D4767/4/1000</f>
        <v>2.2687499999999998</v>
      </c>
      <c r="K4772" s="400" t="s">
        <v>204</v>
      </c>
      <c r="L4772" s="399">
        <f t="shared" ref="L4772" si="15387">MAX(VLOOKUP(F4772,N$6:P$15,3,FALSE)/1000,2/3*D4769/1000)+F$16*F4772/1000</f>
        <v>0.192</v>
      </c>
      <c r="M4772" s="399" t="s">
        <v>176</v>
      </c>
      <c r="N4772" s="399">
        <f t="shared" ref="N4772:N4774" si="15388">J4772+L4772</f>
        <v>2.46075</v>
      </c>
      <c r="O4772" s="399" t="s">
        <v>204</v>
      </c>
      <c r="P4772" s="389">
        <f t="shared" ref="P4772" si="15389">D4772-D4773</f>
        <v>0</v>
      </c>
      <c r="Q4772" s="399" t="s">
        <v>125</v>
      </c>
      <c r="R4772" s="399">
        <f t="shared" ref="R4772" si="15390">IF(P4772&gt;0,$F$18*F4772/1000,0)</f>
        <v>0</v>
      </c>
      <c r="S4772" s="399" t="s">
        <v>205</v>
      </c>
      <c r="T4772" s="399" t="s">
        <v>125</v>
      </c>
      <c r="U4772" s="401">
        <f t="shared" ref="U4772:U4774" si="15391">0.006165*F4772^2</f>
        <v>1.5782400000000001</v>
      </c>
      <c r="V4772" s="399"/>
      <c r="W4772" s="399"/>
      <c r="X4772" s="399" t="s">
        <v>125</v>
      </c>
      <c r="Y4772" s="389">
        <f t="shared" ref="Y4772" si="15392">D4771</f>
        <v>1</v>
      </c>
      <c r="Z4772" s="400" t="s">
        <v>176</v>
      </c>
      <c r="AA4772" s="402">
        <f t="shared" ref="AA4772" si="15393">IF(AA4775=0,(D4772*N4772+P4772*R4772)*U4772*Y4772,0)</f>
        <v>0</v>
      </c>
      <c r="AB4772" s="403"/>
    </row>
    <row r="4773" spans="1:28">
      <c r="A4773" s="384" t="str">
        <f t="shared" ref="A4773:B4773" si="15394">A4765</f>
        <v>Lantai 3</v>
      </c>
      <c r="B4773" s="385">
        <f t="shared" si="15394"/>
        <v>17</v>
      </c>
      <c r="C4773" s="393" t="s">
        <v>206</v>
      </c>
      <c r="D4773" s="398">
        <f>VLOOKUP(D4765,'Detail Balok'!$C$10:$AU$140,7,FALSE)</f>
        <v>4</v>
      </c>
      <c r="E4773" s="388" t="s">
        <v>16</v>
      </c>
      <c r="F4773" s="388">
        <f>VLOOKUP(D4765,'Detail Balok'!$C$10:$AU$140,9,FALSE)</f>
        <v>16</v>
      </c>
      <c r="G4773" s="388"/>
      <c r="H4773" s="395"/>
      <c r="I4773" s="388" t="s">
        <v>203</v>
      </c>
      <c r="J4773" s="399">
        <f t="shared" ref="J4773" si="15395">+D4767/2/1000</f>
        <v>4.5374999999999996</v>
      </c>
      <c r="K4773" s="400" t="s">
        <v>204</v>
      </c>
      <c r="L4773" s="399"/>
      <c r="M4773" s="399" t="s">
        <v>176</v>
      </c>
      <c r="N4773" s="399">
        <f t="shared" si="15388"/>
        <v>4.5374999999999996</v>
      </c>
      <c r="O4773" s="399" t="s">
        <v>204</v>
      </c>
      <c r="P4773" s="389">
        <f t="shared" ref="P4773" si="15396">MAX(D4773-D4772,D4773-D4774)</f>
        <v>0</v>
      </c>
      <c r="Q4773" s="399" t="s">
        <v>125</v>
      </c>
      <c r="R4773" s="399">
        <f t="shared" ref="R4773" si="15397">IF(P4773&gt;0,2*(1-2*$F$19-1/2)*D4768/1000,0)</f>
        <v>0</v>
      </c>
      <c r="S4773" s="399" t="s">
        <v>205</v>
      </c>
      <c r="T4773" s="399" t="s">
        <v>125</v>
      </c>
      <c r="U4773" s="401">
        <f t="shared" si="15391"/>
        <v>1.5782400000000001</v>
      </c>
      <c r="V4773" s="399"/>
      <c r="W4773" s="399"/>
      <c r="X4773" s="399" t="s">
        <v>125</v>
      </c>
      <c r="Y4773" s="389">
        <f t="shared" ref="Y4773" si="15398">D4771</f>
        <v>1</v>
      </c>
      <c r="Z4773" s="400" t="s">
        <v>176</v>
      </c>
      <c r="AA4773" s="402">
        <f t="shared" ref="AA4773" si="15399">IF(AA4775=0,(D4773*N4773+P4773*R4773)*U4773*Y4773,0)</f>
        <v>0</v>
      </c>
      <c r="AB4773" s="403"/>
    </row>
    <row r="4774" spans="1:28">
      <c r="A4774" s="384" t="str">
        <f t="shared" ref="A4774:B4774" si="15400">A4765</f>
        <v>Lantai 3</v>
      </c>
      <c r="B4774" s="385">
        <f t="shared" si="15400"/>
        <v>17</v>
      </c>
      <c r="C4774" s="393" t="s">
        <v>202</v>
      </c>
      <c r="D4774" s="398">
        <f>VLOOKUP(D4765,'Detail Balok'!$C$10:$AU$140,10,FALSE)</f>
        <v>4</v>
      </c>
      <c r="E4774" s="388" t="s">
        <v>16</v>
      </c>
      <c r="F4774" s="388">
        <f>VLOOKUP(D4765,'Detail Balok'!$C$10:$AU$140,12,FALSE)</f>
        <v>16</v>
      </c>
      <c r="G4774" s="388"/>
      <c r="H4774" s="395"/>
      <c r="I4774" s="388" t="s">
        <v>203</v>
      </c>
      <c r="J4774" s="399">
        <f t="shared" ref="J4774" si="15401">+D4767/4/1000</f>
        <v>2.2687499999999998</v>
      </c>
      <c r="K4774" s="400" t="s">
        <v>204</v>
      </c>
      <c r="L4774" s="399">
        <f t="shared" ref="L4774" si="15402">MAX(VLOOKUP(F4774,N$6:P$15,3,FALSE)/1000,2/3*D4769/1000)+F$16*F4774/1000</f>
        <v>0.192</v>
      </c>
      <c r="M4774" s="399" t="s">
        <v>176</v>
      </c>
      <c r="N4774" s="399">
        <f t="shared" si="15388"/>
        <v>2.46075</v>
      </c>
      <c r="O4774" s="399" t="s">
        <v>204</v>
      </c>
      <c r="P4774" s="389">
        <f t="shared" ref="P4774" si="15403">D4774-D4773</f>
        <v>0</v>
      </c>
      <c r="Q4774" s="399" t="s">
        <v>125</v>
      </c>
      <c r="R4774" s="399">
        <f t="shared" ref="R4774" si="15404">IF(P4774&gt;0,$F$18*F4774/1000,0)</f>
        <v>0</v>
      </c>
      <c r="S4774" s="399" t="s">
        <v>205</v>
      </c>
      <c r="T4774" s="399" t="s">
        <v>125</v>
      </c>
      <c r="U4774" s="401">
        <f t="shared" si="15391"/>
        <v>1.5782400000000001</v>
      </c>
      <c r="V4774" s="399"/>
      <c r="W4774" s="399"/>
      <c r="X4774" s="399" t="s">
        <v>125</v>
      </c>
      <c r="Y4774" s="389">
        <f t="shared" ref="Y4774" si="15405">D4771</f>
        <v>1</v>
      </c>
      <c r="Z4774" s="400" t="s">
        <v>176</v>
      </c>
      <c r="AA4774" s="402">
        <f t="shared" ref="AA4774" si="15406">IF(AA4775=0,(D4774*N4774+P4774*R4774)*U4774*Y4774,0)</f>
        <v>0</v>
      </c>
      <c r="AB4774" s="403"/>
    </row>
    <row r="4775" spans="1:28">
      <c r="A4775" s="384" t="str">
        <f t="shared" ref="A4775:B4775" si="15407">A4765</f>
        <v>Lantai 3</v>
      </c>
      <c r="B4775" s="385">
        <f t="shared" si="15407"/>
        <v>17</v>
      </c>
      <c r="C4775" s="393"/>
      <c r="D4775" s="398">
        <f t="shared" si="15210"/>
        <v>4</v>
      </c>
      <c r="E4775" s="388" t="s">
        <v>16</v>
      </c>
      <c r="F4775" s="388">
        <f t="shared" si="15211"/>
        <v>16</v>
      </c>
      <c r="G4775" s="388"/>
      <c r="H4775" s="395"/>
      <c r="I4775" s="388"/>
      <c r="J4775" s="396"/>
      <c r="K4775" s="396"/>
      <c r="L4775" s="404" t="s">
        <v>207</v>
      </c>
      <c r="M4775" s="399" t="s">
        <v>176</v>
      </c>
      <c r="N4775" s="399">
        <f t="shared" ref="N4775" si="15408">IF(AND(D4772=D4773,D4772=D4774,D4773=D4774,F4772=F4773,F4772=F4774,F4773=F4774),SUM(N4772:N4774),0)</f>
        <v>9.4589999999999996</v>
      </c>
      <c r="O4775" s="399" t="s">
        <v>204</v>
      </c>
      <c r="P4775" s="389">
        <f t="shared" ref="P4775" si="15409">IF(N4775&gt;12,ROUNDDOWN(N4775/12,0),0)</f>
        <v>0</v>
      </c>
      <c r="Q4775" s="399" t="s">
        <v>125</v>
      </c>
      <c r="R4775" s="399">
        <f t="shared" ref="R4775" si="15410">IF(P4775&gt;0,MAX(VLOOKUP(F4775,$D$6:$G$15,3,FALSE),600),0)/1000</f>
        <v>0</v>
      </c>
      <c r="S4775" s="396"/>
      <c r="T4775" s="396" t="s">
        <v>125</v>
      </c>
      <c r="U4775" s="401">
        <f t="shared" si="15215"/>
        <v>1.5782400000000001</v>
      </c>
      <c r="V4775" s="396" t="s">
        <v>125</v>
      </c>
      <c r="W4775" s="399">
        <f t="shared" ref="W4775" si="15411">D4775</f>
        <v>4</v>
      </c>
      <c r="X4775" s="399" t="s">
        <v>125</v>
      </c>
      <c r="Y4775" s="389">
        <f t="shared" si="15217"/>
        <v>1</v>
      </c>
      <c r="Z4775" s="400" t="s">
        <v>176</v>
      </c>
      <c r="AA4775" s="402">
        <f t="shared" ref="AA4775" si="15412">(N4775+P4775*R4775/1000)*U4775*W4775*Y4775</f>
        <v>59.714288639999999</v>
      </c>
      <c r="AB4775" s="390"/>
    </row>
    <row r="4776" spans="1:28">
      <c r="A4776" s="384"/>
      <c r="B4776" s="385"/>
      <c r="C4776" s="393"/>
      <c r="D4776" s="398"/>
      <c r="E4776" s="388"/>
      <c r="F4776" s="388"/>
      <c r="G4776" s="388"/>
      <c r="H4776" s="395"/>
      <c r="I4776" s="388"/>
      <c r="J4776" s="396"/>
      <c r="K4776" s="396"/>
      <c r="L4776" s="404"/>
      <c r="M4776" s="399"/>
      <c r="N4776" s="399"/>
      <c r="O4776" s="396"/>
      <c r="P4776" s="389"/>
      <c r="Q4776" s="396"/>
      <c r="R4776" s="396"/>
      <c r="S4776" s="396"/>
      <c r="T4776" s="396"/>
      <c r="U4776" s="401"/>
      <c r="V4776" s="396"/>
      <c r="W4776" s="399"/>
      <c r="X4776" s="396"/>
      <c r="Y4776" s="389"/>
      <c r="Z4776" s="396"/>
      <c r="AA4776" s="388"/>
      <c r="AB4776" s="390"/>
    </row>
    <row r="4777" spans="1:28">
      <c r="A4777" s="384" t="str">
        <f t="shared" ref="A4777:B4777" si="15413">A4765</f>
        <v>Lantai 3</v>
      </c>
      <c r="B4777" s="385">
        <f t="shared" si="15413"/>
        <v>17</v>
      </c>
      <c r="C4777" s="393" t="s">
        <v>208</v>
      </c>
      <c r="D4777" s="398">
        <f>VLOOKUP(D4765,'Detail Balok'!$C$10:$AU$140,13,FALSE)</f>
        <v>2</v>
      </c>
      <c r="E4777" s="388" t="s">
        <v>16</v>
      </c>
      <c r="F4777" s="388">
        <f>VLOOKUP(D4765,'Detail Balok'!$C$10:$AU$140,15,FALSE)</f>
        <v>10</v>
      </c>
      <c r="G4777" s="388"/>
      <c r="H4777" s="395"/>
      <c r="I4777" s="388"/>
      <c r="J4777" s="399">
        <f t="shared" ref="J4777" si="15414">+D4767/1000</f>
        <v>9.0749999999999993</v>
      </c>
      <c r="K4777" s="400" t="s">
        <v>204</v>
      </c>
      <c r="L4777" s="399">
        <f t="shared" ref="L4777" si="15415">2*$F$16*F4777/1000</f>
        <v>0.24</v>
      </c>
      <c r="M4777" s="399" t="s">
        <v>176</v>
      </c>
      <c r="N4777" s="399">
        <f t="shared" ref="N4777" si="15416">J4777+L4777</f>
        <v>9.3149999999999995</v>
      </c>
      <c r="O4777" s="399" t="s">
        <v>204</v>
      </c>
      <c r="P4777" s="389">
        <f t="shared" ref="P4777" si="15417">IF(N4777&gt;12,ROUNDDOWN(N4777/12,0),0)</f>
        <v>0</v>
      </c>
      <c r="Q4777" s="399" t="s">
        <v>125</v>
      </c>
      <c r="R4777" s="399">
        <f t="shared" ref="R4777" si="15418">IF(P4777&gt;0,MAX(VLOOKUP(F4777,$D$6:$G$15,3,FALSE),600),0)/1000</f>
        <v>0</v>
      </c>
      <c r="S4777" s="399"/>
      <c r="T4777" s="399" t="s">
        <v>125</v>
      </c>
      <c r="U4777" s="401">
        <f t="shared" ref="U4777" si="15419">0.006165*F4777^2</f>
        <v>0.61650000000000005</v>
      </c>
      <c r="V4777" s="399" t="s">
        <v>125</v>
      </c>
      <c r="W4777" s="399">
        <f t="shared" ref="W4777" si="15420">+D4777</f>
        <v>2</v>
      </c>
      <c r="X4777" s="399" t="s">
        <v>125</v>
      </c>
      <c r="Y4777" s="389">
        <f t="shared" ref="Y4777" si="15421">D4771</f>
        <v>1</v>
      </c>
      <c r="Z4777" s="400" t="s">
        <v>176</v>
      </c>
      <c r="AA4777" s="402">
        <f t="shared" ref="AA4777" si="15422">(N4777+P4777*R4777/1000)*U4777*W4777*Y4777</f>
        <v>11.485395</v>
      </c>
      <c r="AB4777" s="403"/>
    </row>
    <row r="4778" spans="1:28">
      <c r="A4778" s="384"/>
      <c r="B4778" s="385"/>
      <c r="C4778" s="393"/>
      <c r="D4778" s="398"/>
      <c r="E4778" s="388"/>
      <c r="F4778" s="388"/>
      <c r="G4778" s="388"/>
      <c r="H4778" s="395"/>
      <c r="I4778" s="388"/>
      <c r="J4778" s="399"/>
      <c r="K4778" s="400"/>
      <c r="L4778" s="399"/>
      <c r="M4778" s="399"/>
      <c r="N4778" s="399"/>
      <c r="O4778" s="399"/>
      <c r="P4778" s="389"/>
      <c r="Q4778" s="399"/>
      <c r="R4778" s="399"/>
      <c r="S4778" s="399"/>
      <c r="T4778" s="399"/>
      <c r="U4778" s="401"/>
      <c r="V4778" s="399"/>
      <c r="W4778" s="399"/>
      <c r="X4778" s="399"/>
      <c r="Y4778" s="389"/>
      <c r="Z4778" s="400"/>
      <c r="AA4778" s="402"/>
      <c r="AB4778" s="403"/>
    </row>
    <row r="4779" spans="1:28">
      <c r="A4779" s="384"/>
      <c r="B4779" s="385"/>
      <c r="C4779" s="393"/>
      <c r="D4779" s="398"/>
      <c r="E4779" s="388"/>
      <c r="F4779" s="388"/>
      <c r="G4779" s="388"/>
      <c r="H4779" s="395"/>
      <c r="I4779" s="388"/>
      <c r="J4779" s="396"/>
      <c r="K4779" s="396"/>
      <c r="L4779" s="396"/>
      <c r="M4779" s="396"/>
      <c r="N4779" s="396"/>
      <c r="O4779" s="396"/>
      <c r="P4779" s="389"/>
      <c r="Q4779" s="396"/>
      <c r="R4779" s="396"/>
      <c r="S4779" s="396"/>
      <c r="T4779" s="396"/>
      <c r="U4779" s="401"/>
      <c r="V4779" s="396"/>
      <c r="W4779" s="399"/>
      <c r="X4779" s="396"/>
      <c r="Y4779" s="389"/>
      <c r="Z4779" s="396"/>
      <c r="AA4779" s="388"/>
      <c r="AB4779" s="390"/>
    </row>
    <row r="4780" spans="1:28">
      <c r="A4780" s="384" t="str">
        <f t="shared" ref="A4780:B4780" si="15423">A4765</f>
        <v>Lantai 3</v>
      </c>
      <c r="B4780" s="385">
        <f t="shared" si="15423"/>
        <v>17</v>
      </c>
      <c r="C4780" s="393" t="s">
        <v>209</v>
      </c>
      <c r="D4780" s="398">
        <f>VLOOKUP(D4765,'Detail Balok'!$C$10:$AU$140,22,FALSE)</f>
        <v>4</v>
      </c>
      <c r="E4780" s="388" t="s">
        <v>16</v>
      </c>
      <c r="F4780" s="388">
        <f>VLOOKUP(D4765,'Detail Balok'!$C$10:$AU$140,24,FALSE)</f>
        <v>16</v>
      </c>
      <c r="G4780" s="388"/>
      <c r="H4780" s="395"/>
      <c r="I4780" s="388" t="s">
        <v>203</v>
      </c>
      <c r="J4780" s="399">
        <f t="shared" si="15230"/>
        <v>2.2687499999999998</v>
      </c>
      <c r="K4780" s="400" t="s">
        <v>204</v>
      </c>
      <c r="L4780" s="399">
        <f t="shared" ref="L4780" si="15424">MAX(VLOOKUP(F4780,N$6:P$15,3,FALSE)/1000,2/3*D4770/1000)+F$16*F4780/1000</f>
        <v>0.192</v>
      </c>
      <c r="M4780" s="399" t="s">
        <v>176</v>
      </c>
      <c r="N4780" s="399">
        <f t="shared" ref="N4780:N4782" si="15425">J4780+L4780</f>
        <v>2.46075</v>
      </c>
      <c r="O4780" s="399" t="s">
        <v>204</v>
      </c>
      <c r="P4780" s="389">
        <f t="shared" ref="P4780" si="15426">D4780-D4781</f>
        <v>0</v>
      </c>
      <c r="Q4780" s="399" t="s">
        <v>125</v>
      </c>
      <c r="R4780" s="399">
        <f t="shared" ref="R4780" si="15427">IF(P4780&gt;0,$F$18*F4780/1000,0)</f>
        <v>0</v>
      </c>
      <c r="S4780" s="399" t="s">
        <v>205</v>
      </c>
      <c r="T4780" s="399" t="s">
        <v>125</v>
      </c>
      <c r="U4780" s="401">
        <f t="shared" ref="U4780:U4782" si="15428">0.006165*F4780^2</f>
        <v>1.5782400000000001</v>
      </c>
      <c r="V4780" s="399"/>
      <c r="W4780" s="399"/>
      <c r="X4780" s="399" t="s">
        <v>125</v>
      </c>
      <c r="Y4780" s="389">
        <f t="shared" ref="Y4780" si="15429">D4771</f>
        <v>1</v>
      </c>
      <c r="Z4780" s="400" t="s">
        <v>176</v>
      </c>
      <c r="AA4780" s="402">
        <f t="shared" ref="AA4780" si="15430">IF(AA4783=0,(D4780*N4780+P4780*R4780)*U4780*Y4780,0)</f>
        <v>0</v>
      </c>
      <c r="AB4780" s="403"/>
    </row>
    <row r="4781" spans="1:28">
      <c r="A4781" s="384" t="str">
        <f t="shared" ref="A4781:B4781" si="15431">A4765</f>
        <v>Lantai 3</v>
      </c>
      <c r="B4781" s="385">
        <f t="shared" si="15431"/>
        <v>17</v>
      </c>
      <c r="C4781" s="393" t="s">
        <v>210</v>
      </c>
      <c r="D4781" s="398">
        <f>VLOOKUP(D4765,'Detail Balok'!$C$10:$AU$140,25,FALSE)</f>
        <v>4</v>
      </c>
      <c r="E4781" s="388" t="s">
        <v>16</v>
      </c>
      <c r="F4781" s="388">
        <f>VLOOKUP(D4765,'Detail Balok'!$C$10:$AU$140,27,FALSE)</f>
        <v>16</v>
      </c>
      <c r="G4781" s="388"/>
      <c r="H4781" s="395"/>
      <c r="I4781" s="388" t="s">
        <v>203</v>
      </c>
      <c r="J4781" s="399">
        <f t="shared" si="15230"/>
        <v>4.5374999999999996</v>
      </c>
      <c r="K4781" s="400" t="s">
        <v>204</v>
      </c>
      <c r="L4781" s="399"/>
      <c r="M4781" s="399" t="s">
        <v>176</v>
      </c>
      <c r="N4781" s="399">
        <f t="shared" si="15425"/>
        <v>4.5374999999999996</v>
      </c>
      <c r="O4781" s="399" t="s">
        <v>204</v>
      </c>
      <c r="P4781" s="389">
        <f t="shared" ref="P4781" si="15432">MAX(D4781-D4780,D4781-D4782)</f>
        <v>0</v>
      </c>
      <c r="Q4781" s="399" t="s">
        <v>125</v>
      </c>
      <c r="R4781" s="399">
        <f t="shared" ref="R4781" si="15433">IF(P4781&gt;0,2*(1-2*$F$19-1/2)*D4768/1000,0)</f>
        <v>0</v>
      </c>
      <c r="S4781" s="399" t="s">
        <v>205</v>
      </c>
      <c r="T4781" s="399" t="s">
        <v>125</v>
      </c>
      <c r="U4781" s="401">
        <f t="shared" si="15428"/>
        <v>1.5782400000000001</v>
      </c>
      <c r="V4781" s="399"/>
      <c r="W4781" s="399"/>
      <c r="X4781" s="399" t="s">
        <v>125</v>
      </c>
      <c r="Y4781" s="389">
        <f t="shared" ref="Y4781" si="15434">D4771</f>
        <v>1</v>
      </c>
      <c r="Z4781" s="400" t="s">
        <v>176</v>
      </c>
      <c r="AA4781" s="402">
        <f t="shared" ref="AA4781" si="15435">IF(AA4783=0,(D4781*N4781+P4781*R4781)*U4781*Y4781,0)</f>
        <v>0</v>
      </c>
      <c r="AB4781" s="403"/>
    </row>
    <row r="4782" spans="1:28">
      <c r="A4782" s="384" t="str">
        <f t="shared" ref="A4782:B4782" si="15436">A4765</f>
        <v>Lantai 3</v>
      </c>
      <c r="B4782" s="385">
        <f t="shared" si="15436"/>
        <v>17</v>
      </c>
      <c r="C4782" s="393" t="s">
        <v>209</v>
      </c>
      <c r="D4782" s="398">
        <f>VLOOKUP(D4765,'Detail Balok'!$C$10:$AU$140,28,FALSE)</f>
        <v>4</v>
      </c>
      <c r="E4782" s="388" t="s">
        <v>16</v>
      </c>
      <c r="F4782" s="388">
        <f>VLOOKUP(D4765,'Detail Balok'!$C$10:$AU$140,30,FALSE)</f>
        <v>16</v>
      </c>
      <c r="G4782" s="388"/>
      <c r="H4782" s="395"/>
      <c r="I4782" s="388" t="s">
        <v>203</v>
      </c>
      <c r="J4782" s="399">
        <f t="shared" si="15230"/>
        <v>2.2687499999999998</v>
      </c>
      <c r="K4782" s="400" t="s">
        <v>204</v>
      </c>
      <c r="L4782" s="399">
        <f t="shared" ref="L4782" si="15437">MAX(VLOOKUP(F4782,N$6:P$15,3,FALSE)/1000,2/3*D4770/1000)+F$16*F4782/1000</f>
        <v>0.192</v>
      </c>
      <c r="M4782" s="399" t="s">
        <v>176</v>
      </c>
      <c r="N4782" s="399">
        <f t="shared" si="15425"/>
        <v>2.46075</v>
      </c>
      <c r="O4782" s="399" t="s">
        <v>204</v>
      </c>
      <c r="P4782" s="389">
        <f t="shared" ref="P4782" si="15438">D4782-D4781</f>
        <v>0</v>
      </c>
      <c r="Q4782" s="399" t="s">
        <v>125</v>
      </c>
      <c r="R4782" s="399">
        <f t="shared" ref="R4782" si="15439">IF(P4782&gt;0,$F$18*F4782/1000,0)</f>
        <v>0</v>
      </c>
      <c r="S4782" s="399" t="s">
        <v>205</v>
      </c>
      <c r="T4782" s="399" t="s">
        <v>125</v>
      </c>
      <c r="U4782" s="401">
        <f t="shared" si="15428"/>
        <v>1.5782400000000001</v>
      </c>
      <c r="V4782" s="399"/>
      <c r="W4782" s="399"/>
      <c r="X4782" s="399" t="s">
        <v>125</v>
      </c>
      <c r="Y4782" s="389">
        <f t="shared" ref="Y4782" si="15440">D4771</f>
        <v>1</v>
      </c>
      <c r="Z4782" s="400" t="s">
        <v>176</v>
      </c>
      <c r="AA4782" s="402">
        <f t="shared" ref="AA4782" si="15441">IF(AA4783=0,(D4782*N4782+P4782*R4782)*U4782*Y4782,0)</f>
        <v>0</v>
      </c>
      <c r="AB4782" s="403"/>
    </row>
    <row r="4783" spans="1:28">
      <c r="A4783" s="384" t="str">
        <f t="shared" ref="A4783:B4783" si="15442">A4765</f>
        <v>Lantai 3</v>
      </c>
      <c r="B4783" s="385">
        <f t="shared" si="15442"/>
        <v>17</v>
      </c>
      <c r="C4783" s="393"/>
      <c r="D4783" s="398">
        <f t="shared" si="15250"/>
        <v>4</v>
      </c>
      <c r="E4783" s="388" t="s">
        <v>16</v>
      </c>
      <c r="F4783" s="388">
        <f t="shared" si="15251"/>
        <v>16</v>
      </c>
      <c r="G4783" s="388"/>
      <c r="H4783" s="395"/>
      <c r="I4783" s="388"/>
      <c r="J4783" s="396"/>
      <c r="K4783" s="396"/>
      <c r="L4783" s="404" t="s">
        <v>207</v>
      </c>
      <c r="M4783" s="399" t="s">
        <v>176</v>
      </c>
      <c r="N4783" s="399">
        <f t="shared" ref="N4783" si="15443">IF(AND(D4780=D4781,D4780=D4782,D4781=D4782,F4780=F4781,F4780=F4782,F4781=F4782),SUM(N4780:N4782),0)</f>
        <v>9.4589999999999996</v>
      </c>
      <c r="O4783" s="399" t="s">
        <v>204</v>
      </c>
      <c r="P4783" s="389">
        <f t="shared" ref="P4783" si="15444">IF(N4783&gt;12,ROUNDDOWN(N4783/12,0),0)</f>
        <v>0</v>
      </c>
      <c r="Q4783" s="399" t="s">
        <v>125</v>
      </c>
      <c r="R4783" s="399">
        <f t="shared" ref="R4783" si="15445">IF(P4783&gt;0,MAX(VLOOKUP(F4783,$D$6:$G$15,3,FALSE),600),0)/1000</f>
        <v>0</v>
      </c>
      <c r="S4783" s="396"/>
      <c r="T4783" s="396" t="s">
        <v>125</v>
      </c>
      <c r="U4783" s="401">
        <f t="shared" si="15255"/>
        <v>1.5782400000000001</v>
      </c>
      <c r="V4783" s="396" t="s">
        <v>125</v>
      </c>
      <c r="W4783" s="399">
        <f t="shared" ref="W4783" si="15446">D4783</f>
        <v>4</v>
      </c>
      <c r="X4783" s="399" t="s">
        <v>125</v>
      </c>
      <c r="Y4783" s="389">
        <f t="shared" si="15257"/>
        <v>1</v>
      </c>
      <c r="Z4783" s="400" t="s">
        <v>176</v>
      </c>
      <c r="AA4783" s="402">
        <f t="shared" ref="AA4783" si="15447">(N4783+P4783*R4783/1000)*U4783*W4783*Y4783</f>
        <v>59.714288639999999</v>
      </c>
      <c r="AB4783" s="403"/>
    </row>
    <row r="4784" spans="1:28">
      <c r="A4784" s="384"/>
      <c r="B4784" s="385"/>
      <c r="C4784" s="393"/>
      <c r="D4784" s="394"/>
      <c r="E4784" s="388"/>
      <c r="F4784" s="388"/>
      <c r="G4784" s="388"/>
      <c r="H4784" s="395"/>
      <c r="I4784" s="388"/>
      <c r="J4784" s="399"/>
      <c r="K4784" s="396"/>
      <c r="L4784" s="396"/>
      <c r="M4784" s="396"/>
      <c r="N4784" s="396"/>
      <c r="O4784" s="396"/>
      <c r="P4784" s="389"/>
      <c r="Q4784" s="396"/>
      <c r="R4784" s="396"/>
      <c r="S4784" s="396"/>
      <c r="T4784" s="396"/>
      <c r="U4784" s="401"/>
      <c r="V4784" s="396"/>
      <c r="W4784" s="388"/>
      <c r="X4784" s="396"/>
      <c r="Y4784" s="389"/>
      <c r="Z4784" s="396"/>
      <c r="AA4784" s="388"/>
      <c r="AB4784" s="390"/>
    </row>
    <row r="4785" spans="1:28">
      <c r="A4785" s="384" t="str">
        <f t="shared" ref="A4785:B4785" si="15448">A4765</f>
        <v>Lantai 3</v>
      </c>
      <c r="B4785" s="385">
        <f t="shared" si="15448"/>
        <v>17</v>
      </c>
      <c r="C4785" s="393" t="s">
        <v>211</v>
      </c>
      <c r="D4785" s="398">
        <f>VLOOKUP(D4765,'Detail Balok'!$C$10:$AU$140,31,FALSE)</f>
        <v>0</v>
      </c>
      <c r="E4785" s="388" t="s">
        <v>16</v>
      </c>
      <c r="F4785" s="388">
        <f>VLOOKUP(D4765,'Detail Balok'!$C$10:$AU$140,33,FALSE)</f>
        <v>10</v>
      </c>
      <c r="G4785" s="405" t="s">
        <v>157</v>
      </c>
      <c r="H4785" s="395">
        <f>VLOOKUP(D4765,'Detail Balok'!$C$10:$AU$140,35,FALSE)</f>
        <v>150</v>
      </c>
      <c r="I4785" s="388"/>
      <c r="J4785" s="400">
        <f t="shared" ref="J4785" si="15449">(IF(D4785=0,(2*(D4766+G4766))-(F$5*8),IF(D4785=3,(2*(D4766+G4766))-(F$5*8)+(G4766-2*F$5),IF(D4785=4,(2*(D4766+G4766))-(F$5*8)+2*(G4766-2*F$5)))))/1000</f>
        <v>1.08</v>
      </c>
      <c r="K4785" s="400" t="s">
        <v>204</v>
      </c>
      <c r="L4785" s="399">
        <f t="shared" ref="L4785:L4787" si="15450">IF(D4785=0,2*MAX(6*F4785,75),(D4785-1)*2*MAX(6*F4785,75))/1000</f>
        <v>0.15</v>
      </c>
      <c r="M4785" s="399" t="s">
        <v>176</v>
      </c>
      <c r="N4785" s="399">
        <f t="shared" ref="N4785:N4787" si="15451">J4785+L4785</f>
        <v>1.23</v>
      </c>
      <c r="O4785" s="399"/>
      <c r="P4785" s="389"/>
      <c r="Q4785" s="399"/>
      <c r="R4785" s="399"/>
      <c r="S4785" s="399"/>
      <c r="T4785" s="399" t="s">
        <v>125</v>
      </c>
      <c r="U4785" s="401">
        <f t="shared" ref="U4785:U4787" si="15452">0.006165*F4785^2</f>
        <v>0.61650000000000005</v>
      </c>
      <c r="V4785" s="399" t="s">
        <v>125</v>
      </c>
      <c r="W4785" s="399">
        <f t="shared" ref="W4785" si="15453">IF(D4768&gt;4*G4766,ROUND(MAX(D4768/4,2*G4766)/H4785,0)+1,ROUND(D4768/H4785,0)+1)</f>
        <v>16</v>
      </c>
      <c r="X4785" s="399" t="s">
        <v>125</v>
      </c>
      <c r="Y4785" s="389">
        <f t="shared" ref="Y4785" si="15454">D4771</f>
        <v>1</v>
      </c>
      <c r="Z4785" s="400" t="s">
        <v>176</v>
      </c>
      <c r="AA4785" s="402">
        <f t="shared" ref="AA4785:AA4787" si="15455">N4785*U4785*W4785*Y4785</f>
        <v>12.132720000000001</v>
      </c>
      <c r="AB4785" s="403"/>
    </row>
    <row r="4786" spans="1:28">
      <c r="A4786" s="384" t="str">
        <f t="shared" ref="A4786:B4786" si="15456">A4765</f>
        <v>Lantai 3</v>
      </c>
      <c r="B4786" s="385">
        <f t="shared" si="15456"/>
        <v>17</v>
      </c>
      <c r="C4786" s="393" t="s">
        <v>212</v>
      </c>
      <c r="D4786" s="398">
        <f>VLOOKUP(D4765,'Detail Balok'!$C$10:$AU$140,36,FALSE)</f>
        <v>0</v>
      </c>
      <c r="E4786" s="388" t="s">
        <v>16</v>
      </c>
      <c r="F4786" s="388">
        <f>VLOOKUP(D4765,'Detail Balok'!$C$10:$AU$140,38,FALSE)</f>
        <v>10</v>
      </c>
      <c r="G4786" s="405" t="s">
        <v>157</v>
      </c>
      <c r="H4786" s="395">
        <f>VLOOKUP(D4765,'Detail Balok'!$C$10:$AU$140,40,FALSE)</f>
        <v>200</v>
      </c>
      <c r="I4786" s="388"/>
      <c r="J4786" s="400">
        <f t="shared" ref="J4786" si="15457">(IF(D4786=0,(2*(D4766+G4766))-(F$5*8),IF(D4786=3,(2*(D4766+G4766))-(F$5*8)+(G4766-2*F$5),IF(D4786=4,(2*(D4766+G4766))-(F$5*8)+2*(G4766-2*F$5)))))/1000</f>
        <v>1.08</v>
      </c>
      <c r="K4786" s="400" t="s">
        <v>204</v>
      </c>
      <c r="L4786" s="399">
        <f t="shared" si="15450"/>
        <v>0.15</v>
      </c>
      <c r="M4786" s="399" t="s">
        <v>176</v>
      </c>
      <c r="N4786" s="399">
        <f t="shared" si="15451"/>
        <v>1.23</v>
      </c>
      <c r="O4786" s="399"/>
      <c r="P4786" s="389"/>
      <c r="Q4786" s="399"/>
      <c r="R4786" s="399"/>
      <c r="S4786" s="399"/>
      <c r="T4786" s="399" t="s">
        <v>125</v>
      </c>
      <c r="U4786" s="401">
        <f t="shared" si="15452"/>
        <v>0.61650000000000005</v>
      </c>
      <c r="V4786" s="399" t="s">
        <v>125</v>
      </c>
      <c r="W4786" s="399">
        <f t="shared" ref="W4786" si="15458">IF(D4768-MAX(D4768/4,2*G4766)*2&gt;0,ROUND((D4768-MAX(D4768/4,2*G4766)*2)/H4786,0),0)</f>
        <v>23</v>
      </c>
      <c r="X4786" s="399" t="s">
        <v>125</v>
      </c>
      <c r="Y4786" s="389">
        <f t="shared" ref="Y4786" si="15459">D4771</f>
        <v>1</v>
      </c>
      <c r="Z4786" s="400" t="s">
        <v>176</v>
      </c>
      <c r="AA4786" s="402">
        <f t="shared" si="15455"/>
        <v>17.440785000000002</v>
      </c>
      <c r="AB4786" s="403"/>
    </row>
    <row r="4787" spans="1:28">
      <c r="A4787" s="384" t="str">
        <f t="shared" ref="A4787:B4787" si="15460">A4765</f>
        <v>Lantai 3</v>
      </c>
      <c r="B4787" s="385">
        <f t="shared" si="15460"/>
        <v>17</v>
      </c>
      <c r="C4787" s="393" t="s">
        <v>211</v>
      </c>
      <c r="D4787" s="398">
        <f>VLOOKUP(D4765,'Detail Balok'!$C$10:$AU$140,41,FALSE)</f>
        <v>0</v>
      </c>
      <c r="E4787" s="388" t="s">
        <v>16</v>
      </c>
      <c r="F4787" s="388">
        <f>VLOOKUP(D4765,'Detail Balok'!$C$10:$AU$140,43,FALSE)</f>
        <v>10</v>
      </c>
      <c r="G4787" s="405" t="s">
        <v>157</v>
      </c>
      <c r="H4787" s="395">
        <f>VLOOKUP(D4765,'Detail Balok'!$C$10:$AU$140,45,FALSE)</f>
        <v>150</v>
      </c>
      <c r="I4787" s="388"/>
      <c r="J4787" s="400">
        <f t="shared" ref="J4787" si="15461">(IF(D4787=0,(2*(D4766+G4766))-(F$5*8),IF(D4787=3,(2*(D4766+G4766))-(F$5*8)+(G4766-2*F$5),IF(D4787=4,(2*(D4766+G4766))-(F$5*8)+2*(G4766-2*F$5)))))/1000</f>
        <v>1.08</v>
      </c>
      <c r="K4787" s="400" t="s">
        <v>204</v>
      </c>
      <c r="L4787" s="399">
        <f t="shared" si="15450"/>
        <v>0.15</v>
      </c>
      <c r="M4787" s="399" t="s">
        <v>176</v>
      </c>
      <c r="N4787" s="399">
        <f t="shared" si="15451"/>
        <v>1.23</v>
      </c>
      <c r="O4787" s="399"/>
      <c r="P4787" s="389"/>
      <c r="Q4787" s="399"/>
      <c r="R4787" s="399"/>
      <c r="S4787" s="399"/>
      <c r="T4787" s="399" t="s">
        <v>125</v>
      </c>
      <c r="U4787" s="401">
        <f t="shared" si="15452"/>
        <v>0.61650000000000005</v>
      </c>
      <c r="V4787" s="399" t="s">
        <v>125</v>
      </c>
      <c r="W4787" s="399">
        <f t="shared" ref="W4787" si="15462">IF(D4768&gt;4*G4766,ROUND(MAX(D4768/4,2*G4766)/H4787,0)+1,0)</f>
        <v>16</v>
      </c>
      <c r="X4787" s="399" t="s">
        <v>125</v>
      </c>
      <c r="Y4787" s="389">
        <f t="shared" ref="Y4787" si="15463">D4771</f>
        <v>1</v>
      </c>
      <c r="Z4787" s="400" t="s">
        <v>176</v>
      </c>
      <c r="AA4787" s="402">
        <f t="shared" si="15455"/>
        <v>12.132720000000001</v>
      </c>
      <c r="AB4787" s="403"/>
    </row>
    <row r="4788" spans="1:28">
      <c r="A4788" s="384"/>
      <c r="B4788" s="385"/>
      <c r="C4788" s="393"/>
      <c r="D4788" s="394"/>
      <c r="E4788" s="388"/>
      <c r="F4788" s="388"/>
      <c r="G4788" s="388"/>
      <c r="H4788" s="395"/>
      <c r="I4788" s="388"/>
      <c r="J4788" s="399"/>
      <c r="K4788" s="396"/>
      <c r="L4788" s="396"/>
      <c r="M4788" s="396"/>
      <c r="N4788" s="396"/>
      <c r="O4788" s="396"/>
      <c r="P4788" s="389"/>
      <c r="Q4788" s="396"/>
      <c r="R4788" s="396"/>
      <c r="S4788" s="396"/>
      <c r="T4788" s="396"/>
      <c r="U4788" s="401"/>
      <c r="V4788" s="396"/>
      <c r="W4788" s="388"/>
      <c r="X4788" s="396"/>
      <c r="Y4788" s="389"/>
      <c r="Z4788" s="396"/>
      <c r="AA4788" s="388"/>
      <c r="AB4788" s="390"/>
    </row>
    <row r="4789" spans="1:28">
      <c r="A4789" s="384" t="str">
        <f t="shared" ref="A4789:B4789" si="15464">A4765</f>
        <v>Lantai 3</v>
      </c>
      <c r="B4789" s="385">
        <f t="shared" si="15464"/>
        <v>17</v>
      </c>
      <c r="C4789" s="393" t="s">
        <v>213</v>
      </c>
      <c r="D4789" s="398">
        <f>VLOOKUP(D4765,'Detail Balok'!$C$10:$BJ$140,46,FALSE)</f>
        <v>0</v>
      </c>
      <c r="E4789" s="388" t="s">
        <v>16</v>
      </c>
      <c r="F4789" s="388">
        <f>VLOOKUP(D4765,'Detail Balok'!$C$10:$BJ$140,48,FALSE)</f>
        <v>0</v>
      </c>
      <c r="G4789" s="405" t="s">
        <v>157</v>
      </c>
      <c r="H4789" s="395">
        <f>VLOOKUP(D4765,'Detail Balok'!$C$10:$BJ$140,50,FALSE)</f>
        <v>100</v>
      </c>
      <c r="I4789" s="388"/>
      <c r="J4789" s="399">
        <f t="shared" ref="J4789" si="15465">(D4766-2*F$5)/1000</f>
        <v>0.12</v>
      </c>
      <c r="K4789" s="400" t="s">
        <v>204</v>
      </c>
      <c r="L4789" s="399">
        <f t="shared" ref="L4789:L4791" si="15466">IF(D4789=0,2*MAX(6*F4789,75),(D4789-1)*2*MAX(6*F4789,75))/1000</f>
        <v>0.15</v>
      </c>
      <c r="M4789" s="399" t="s">
        <v>176</v>
      </c>
      <c r="N4789" s="399">
        <f t="shared" ref="N4789:N4791" si="15467">J4789+L4789</f>
        <v>0.27</v>
      </c>
      <c r="O4789" s="399"/>
      <c r="P4789" s="399"/>
      <c r="Q4789" s="399"/>
      <c r="R4789" s="399"/>
      <c r="S4789" s="399"/>
      <c r="T4789" s="399" t="s">
        <v>125</v>
      </c>
      <c r="U4789" s="401">
        <f t="shared" ref="U4789:U4791" si="15468">0.006165*F4789^2</f>
        <v>0</v>
      </c>
      <c r="V4789" s="399" t="s">
        <v>125</v>
      </c>
      <c r="W4789" s="399">
        <f t="shared" si="15280"/>
        <v>16</v>
      </c>
      <c r="X4789" s="399" t="s">
        <v>125</v>
      </c>
      <c r="Y4789" s="389">
        <f t="shared" ref="Y4789" si="15469">D4775</f>
        <v>4</v>
      </c>
      <c r="Z4789" s="400" t="s">
        <v>176</v>
      </c>
      <c r="AA4789" s="402">
        <f t="shared" ref="AA4789:AA4791" si="15470">N4789*U4789*W4789*Y4789</f>
        <v>0</v>
      </c>
      <c r="AB4789" s="403"/>
    </row>
    <row r="4790" spans="1:28">
      <c r="A4790" s="384" t="str">
        <f t="shared" ref="A4790:B4790" si="15471">A4765</f>
        <v>Lantai 3</v>
      </c>
      <c r="B4790" s="385">
        <f t="shared" si="15471"/>
        <v>17</v>
      </c>
      <c r="C4790" s="393" t="s">
        <v>214</v>
      </c>
      <c r="D4790" s="398">
        <f>VLOOKUP(D4765,'Detail Balok'!$C$10:$BJ$140,51,FALSE)</f>
        <v>0</v>
      </c>
      <c r="E4790" s="388" t="s">
        <v>16</v>
      </c>
      <c r="F4790" s="388">
        <f>VLOOKUP(D4765,'Detail Balok'!$C$10:$BJ$140,53,FALSE)</f>
        <v>0</v>
      </c>
      <c r="G4790" s="405" t="s">
        <v>157</v>
      </c>
      <c r="H4790" s="395">
        <f>VLOOKUP(D4765,'Detail Balok'!$C$10:$BJ$140,55,FALSE)</f>
        <v>100</v>
      </c>
      <c r="I4790" s="388"/>
      <c r="J4790" s="399">
        <f t="shared" ref="J4790" si="15472">(D4766-2*F$5)/1000</f>
        <v>0.12</v>
      </c>
      <c r="K4790" s="400" t="s">
        <v>204</v>
      </c>
      <c r="L4790" s="399">
        <f t="shared" si="15466"/>
        <v>0.15</v>
      </c>
      <c r="M4790" s="399" t="s">
        <v>176</v>
      </c>
      <c r="N4790" s="399">
        <f t="shared" si="15467"/>
        <v>0.27</v>
      </c>
      <c r="O4790" s="399"/>
      <c r="P4790" s="399"/>
      <c r="Q4790" s="399"/>
      <c r="R4790" s="399"/>
      <c r="S4790" s="399"/>
      <c r="T4790" s="399" t="s">
        <v>125</v>
      </c>
      <c r="U4790" s="401">
        <f t="shared" si="15468"/>
        <v>0</v>
      </c>
      <c r="V4790" s="399" t="s">
        <v>125</v>
      </c>
      <c r="W4790" s="399">
        <f t="shared" si="15280"/>
        <v>23</v>
      </c>
      <c r="X4790" s="399" t="s">
        <v>125</v>
      </c>
      <c r="Y4790" s="389">
        <f t="shared" ref="Y4790" si="15473">D4775</f>
        <v>4</v>
      </c>
      <c r="Z4790" s="400" t="s">
        <v>176</v>
      </c>
      <c r="AA4790" s="402">
        <f t="shared" si="15470"/>
        <v>0</v>
      </c>
      <c r="AB4790" s="403"/>
    </row>
    <row r="4791" spans="1:28">
      <c r="A4791" s="384" t="str">
        <f t="shared" ref="A4791:B4791" si="15474">A4765</f>
        <v>Lantai 3</v>
      </c>
      <c r="B4791" s="385">
        <f t="shared" si="15474"/>
        <v>17</v>
      </c>
      <c r="C4791" s="393" t="s">
        <v>213</v>
      </c>
      <c r="D4791" s="398">
        <f>VLOOKUP(D4765,'Detail Balok'!$C$10:$BJ$140,56,FALSE)</f>
        <v>0</v>
      </c>
      <c r="E4791" s="388" t="s">
        <v>16</v>
      </c>
      <c r="F4791" s="388">
        <f>VLOOKUP(D4765,'Detail Balok'!$C$10:$BJ$140,58,FALSE)</f>
        <v>0</v>
      </c>
      <c r="G4791" s="405" t="s">
        <v>157</v>
      </c>
      <c r="H4791" s="395">
        <f>VLOOKUP(D4765,'Detail Balok'!$C$10:$BJ$140,60,FALSE)</f>
        <v>100</v>
      </c>
      <c r="I4791" s="388"/>
      <c r="J4791" s="399">
        <f t="shared" ref="J4791" si="15475">(D4766-2*F$5)/1000</f>
        <v>0.12</v>
      </c>
      <c r="K4791" s="400" t="s">
        <v>204</v>
      </c>
      <c r="L4791" s="399">
        <f t="shared" si="15466"/>
        <v>0.15</v>
      </c>
      <c r="M4791" s="399" t="s">
        <v>176</v>
      </c>
      <c r="N4791" s="399">
        <f t="shared" si="15467"/>
        <v>0.27</v>
      </c>
      <c r="O4791" s="399"/>
      <c r="P4791" s="399"/>
      <c r="Q4791" s="399"/>
      <c r="R4791" s="399"/>
      <c r="S4791" s="399"/>
      <c r="T4791" s="399" t="s">
        <v>125</v>
      </c>
      <c r="U4791" s="401">
        <f t="shared" si="15468"/>
        <v>0</v>
      </c>
      <c r="V4791" s="399" t="s">
        <v>125</v>
      </c>
      <c r="W4791" s="399">
        <f t="shared" si="15280"/>
        <v>16</v>
      </c>
      <c r="X4791" s="399" t="s">
        <v>125</v>
      </c>
      <c r="Y4791" s="389">
        <f t="shared" ref="Y4791" si="15476">D4775</f>
        <v>4</v>
      </c>
      <c r="Z4791" s="400" t="s">
        <v>176</v>
      </c>
      <c r="AA4791" s="402">
        <f t="shared" si="15470"/>
        <v>0</v>
      </c>
      <c r="AB4791" s="403"/>
    </row>
    <row r="4792" spans="1:28">
      <c r="A4792" s="391"/>
      <c r="B4792" s="392"/>
      <c r="C4792" s="392"/>
      <c r="D4792" s="394"/>
      <c r="E4792" s="388"/>
      <c r="F4792" s="388"/>
      <c r="G4792" s="388"/>
      <c r="H4792" s="395"/>
      <c r="I4792" s="388"/>
      <c r="J4792" s="402"/>
      <c r="K4792" s="388"/>
      <c r="L4792" s="388"/>
      <c r="M4792" s="388"/>
      <c r="N4792" s="388"/>
      <c r="O4792" s="388"/>
      <c r="P4792" s="388"/>
      <c r="Q4792" s="388"/>
      <c r="R4792" s="388"/>
      <c r="S4792" s="388"/>
      <c r="T4792" s="388"/>
      <c r="U4792" s="388"/>
      <c r="V4792" s="388"/>
      <c r="W4792" s="388"/>
      <c r="X4792" s="388"/>
      <c r="Y4792" s="389"/>
      <c r="Z4792" s="388"/>
      <c r="AA4792" s="402"/>
      <c r="AB4792" s="403"/>
    </row>
    <row r="4793" spans="1:28" ht="15.75" thickBot="1">
      <c r="A4793" s="406"/>
      <c r="B4793" s="407"/>
      <c r="C4793" s="407"/>
      <c r="D4793" s="408"/>
      <c r="E4793" s="409"/>
      <c r="F4793" s="409"/>
      <c r="G4793" s="409"/>
      <c r="H4793" s="410"/>
      <c r="I4793" s="409"/>
      <c r="J4793" s="409"/>
      <c r="K4793" s="409"/>
      <c r="L4793" s="409"/>
      <c r="M4793" s="409"/>
      <c r="N4793" s="409"/>
      <c r="O4793" s="409"/>
      <c r="P4793" s="409"/>
      <c r="Q4793" s="409"/>
      <c r="R4793" s="409"/>
      <c r="S4793" s="409"/>
      <c r="T4793" s="409"/>
      <c r="U4793" s="409"/>
      <c r="V4793" s="409"/>
      <c r="W4793" s="409"/>
      <c r="X4793" s="409"/>
      <c r="Y4793" s="411"/>
      <c r="Z4793" s="409"/>
      <c r="AA4793" s="412"/>
      <c r="AB4793" s="413"/>
    </row>
    <row r="4794" spans="1:28">
      <c r="A4794" s="377"/>
      <c r="B4794" s="378"/>
      <c r="C4794" s="378"/>
      <c r="D4794" s="379"/>
      <c r="E4794" s="380"/>
      <c r="F4794" s="380"/>
      <c r="G4794" s="380"/>
      <c r="H4794" s="381"/>
      <c r="I4794" s="380"/>
      <c r="J4794" s="380"/>
      <c r="K4794" s="380"/>
      <c r="L4794" s="380"/>
      <c r="M4794" s="380"/>
      <c r="N4794" s="380"/>
      <c r="O4794" s="380"/>
      <c r="P4794" s="380"/>
      <c r="Q4794" s="380"/>
      <c r="R4794" s="380"/>
      <c r="S4794" s="380"/>
      <c r="T4794" s="380"/>
      <c r="U4794" s="380"/>
      <c r="V4794" s="380"/>
      <c r="W4794" s="380"/>
      <c r="X4794" s="380"/>
      <c r="Y4794" s="382"/>
      <c r="Z4794" s="380"/>
      <c r="AA4794" s="380"/>
      <c r="AB4794" s="383"/>
    </row>
    <row r="4795" spans="1:28">
      <c r="A4795" s="384" t="str">
        <f t="shared" si="15289"/>
        <v>Lantai 3</v>
      </c>
      <c r="B4795" s="385">
        <f t="shared" si="15290"/>
        <v>18</v>
      </c>
      <c r="C4795" s="386" t="str">
        <f t="shared" ref="C4795" si="15477">CONCATENATE(A4795," no. ",B4795)</f>
        <v>Lantai 3 no. 18</v>
      </c>
      <c r="D4795" s="2562" t="str">
        <f>VLOOKUP(C4795,'Data Panjang Balok'!$C$9:$N$254,2,FALSE)</f>
        <v>B26-1</v>
      </c>
      <c r="E4795" s="2576"/>
      <c r="F4795" s="2576"/>
      <c r="G4795" s="2576"/>
      <c r="H4795" s="2577"/>
      <c r="I4795" s="387"/>
      <c r="J4795" s="388"/>
      <c r="K4795" s="388"/>
      <c r="L4795" s="388"/>
      <c r="M4795" s="388"/>
      <c r="N4795" s="388"/>
      <c r="O4795" s="388"/>
      <c r="P4795" s="388"/>
      <c r="Q4795" s="388"/>
      <c r="R4795" s="388"/>
      <c r="S4795" s="388"/>
      <c r="T4795" s="388"/>
      <c r="U4795" s="388"/>
      <c r="V4795" s="388"/>
      <c r="W4795" s="388"/>
      <c r="X4795" s="388"/>
      <c r="Y4795" s="389"/>
      <c r="Z4795" s="388"/>
      <c r="AA4795" s="388"/>
      <c r="AB4795" s="390"/>
    </row>
    <row r="4796" spans="1:28">
      <c r="A4796" s="391"/>
      <c r="B4796" s="392"/>
      <c r="C4796" s="393" t="s">
        <v>118</v>
      </c>
      <c r="D4796" s="2578">
        <f>VLOOKUP(D4795,'Detail Balok'!$C$10:$AU$140,2,FALSE)</f>
        <v>200</v>
      </c>
      <c r="E4796" s="2579"/>
      <c r="F4796" s="388" t="s">
        <v>125</v>
      </c>
      <c r="G4796" s="2579">
        <f>VLOOKUP(D4795,'Detail Balok'!$C$10:$AU$140,3,FALSE)</f>
        <v>600</v>
      </c>
      <c r="H4796" s="2580"/>
      <c r="I4796" s="388"/>
      <c r="J4796" s="396"/>
      <c r="K4796" s="396"/>
      <c r="L4796" s="396"/>
      <c r="M4796" s="396"/>
      <c r="N4796" s="396"/>
      <c r="O4796" s="396"/>
      <c r="P4796" s="396"/>
      <c r="Q4796" s="396"/>
      <c r="R4796" s="396"/>
      <c r="S4796" s="396"/>
      <c r="T4796" s="396"/>
      <c r="U4796" s="388"/>
      <c r="V4796" s="396"/>
      <c r="W4796" s="388"/>
      <c r="X4796" s="396"/>
      <c r="Y4796" s="389"/>
      <c r="Z4796" s="396"/>
      <c r="AA4796" s="388"/>
      <c r="AB4796" s="390"/>
    </row>
    <row r="4797" spans="1:28">
      <c r="A4797" s="391"/>
      <c r="B4797" s="392"/>
      <c r="C4797" s="393" t="s">
        <v>198</v>
      </c>
      <c r="D4797" s="2562">
        <f>VLOOKUP(C4795,'Data Panjang Balok'!$C$9:$N$254,4,FALSE)</f>
        <v>5925</v>
      </c>
      <c r="E4797" s="2563"/>
      <c r="F4797" s="2563"/>
      <c r="G4797" s="2563"/>
      <c r="H4797" s="2564"/>
      <c r="I4797" s="397"/>
      <c r="J4797" s="396"/>
      <c r="K4797" s="396"/>
      <c r="L4797" s="396"/>
      <c r="M4797" s="396"/>
      <c r="N4797" s="396"/>
      <c r="O4797" s="396"/>
      <c r="P4797" s="396"/>
      <c r="Q4797" s="396"/>
      <c r="R4797" s="396"/>
      <c r="S4797" s="396"/>
      <c r="T4797" s="396"/>
      <c r="U4797" s="388"/>
      <c r="V4797" s="396"/>
      <c r="W4797" s="388"/>
      <c r="X4797" s="396"/>
      <c r="Y4797" s="389"/>
      <c r="Z4797" s="396"/>
      <c r="AA4797" s="388"/>
      <c r="AB4797" s="390"/>
    </row>
    <row r="4798" spans="1:28">
      <c r="A4798" s="391"/>
      <c r="B4798" s="392"/>
      <c r="C4798" s="393" t="s">
        <v>199</v>
      </c>
      <c r="D4798" s="2562">
        <f>VLOOKUP(C4795,'Data Panjang Balok'!$C$9:$N$254,7,FALSE)</f>
        <v>5925</v>
      </c>
      <c r="E4798" s="2563"/>
      <c r="F4798" s="2563"/>
      <c r="G4798" s="2563"/>
      <c r="H4798" s="2564"/>
      <c r="I4798" s="397"/>
      <c r="J4798" s="396"/>
      <c r="K4798" s="396"/>
      <c r="L4798" s="396"/>
      <c r="M4798" s="396"/>
      <c r="N4798" s="396"/>
      <c r="O4798" s="396"/>
      <c r="P4798" s="396"/>
      <c r="Q4798" s="396"/>
      <c r="R4798" s="396"/>
      <c r="S4798" s="396"/>
      <c r="T4798" s="396"/>
      <c r="U4798" s="388"/>
      <c r="V4798" s="396"/>
      <c r="W4798" s="388"/>
      <c r="X4798" s="396"/>
      <c r="Y4798" s="389"/>
      <c r="Z4798" s="396"/>
      <c r="AA4798" s="388"/>
      <c r="AB4798" s="390"/>
    </row>
    <row r="4799" spans="1:28">
      <c r="A4799" s="391"/>
      <c r="B4799" s="392"/>
      <c r="C4799" s="393" t="s">
        <v>200</v>
      </c>
      <c r="D4799" s="2562">
        <f>VLOOKUP(C4795,'Data Panjang Balok'!$C$9:$N$254,9,FALSE)</f>
        <v>0</v>
      </c>
      <c r="E4799" s="2563"/>
      <c r="F4799" s="2563"/>
      <c r="G4799" s="2563"/>
      <c r="H4799" s="2564"/>
      <c r="I4799" s="397"/>
      <c r="J4799" s="396"/>
      <c r="K4799" s="396"/>
      <c r="L4799" s="396"/>
      <c r="M4799" s="396"/>
      <c r="N4799" s="396"/>
      <c r="O4799" s="396"/>
      <c r="P4799" s="396"/>
      <c r="Q4799" s="396"/>
      <c r="R4799" s="396"/>
      <c r="S4799" s="396"/>
      <c r="T4799" s="396"/>
      <c r="U4799" s="388"/>
      <c r="V4799" s="396"/>
      <c r="W4799" s="388"/>
      <c r="X4799" s="396"/>
      <c r="Y4799" s="389"/>
      <c r="Z4799" s="396"/>
      <c r="AA4799" s="388"/>
      <c r="AB4799" s="390"/>
    </row>
    <row r="4800" spans="1:28">
      <c r="A4800" s="391"/>
      <c r="B4800" s="392"/>
      <c r="C4800" s="393" t="s">
        <v>201</v>
      </c>
      <c r="D4800" s="2562">
        <f>VLOOKUP(C4795,'Data Panjang Balok'!$C$9:$N$254,10,FALSE)</f>
        <v>0</v>
      </c>
      <c r="E4800" s="2563"/>
      <c r="F4800" s="2563"/>
      <c r="G4800" s="2563"/>
      <c r="H4800" s="2564"/>
      <c r="I4800" s="397"/>
      <c r="J4800" s="396"/>
      <c r="K4800" s="396"/>
      <c r="L4800" s="396"/>
      <c r="M4800" s="396"/>
      <c r="N4800" s="396"/>
      <c r="O4800" s="396"/>
      <c r="P4800" s="396"/>
      <c r="Q4800" s="396"/>
      <c r="R4800" s="396"/>
      <c r="S4800" s="396"/>
      <c r="T4800" s="396"/>
      <c r="U4800" s="388"/>
      <c r="V4800" s="396"/>
      <c r="W4800" s="388"/>
      <c r="X4800" s="396"/>
      <c r="Y4800" s="389"/>
      <c r="Z4800" s="396"/>
      <c r="AA4800" s="388"/>
      <c r="AB4800" s="390"/>
    </row>
    <row r="4801" spans="1:28">
      <c r="A4801" s="391"/>
      <c r="B4801" s="392"/>
      <c r="C4801" s="393" t="s">
        <v>48</v>
      </c>
      <c r="D4801" s="2562">
        <f>VLOOKUP(C4795,'Data Panjang Balok'!$C$9:$N$254,3,FALSE)</f>
        <v>1</v>
      </c>
      <c r="E4801" s="2563"/>
      <c r="F4801" s="2563"/>
      <c r="G4801" s="2563"/>
      <c r="H4801" s="2564"/>
      <c r="I4801" s="397"/>
      <c r="J4801" s="396"/>
      <c r="K4801" s="396"/>
      <c r="L4801" s="396"/>
      <c r="M4801" s="396"/>
      <c r="N4801" s="396"/>
      <c r="O4801" s="396"/>
      <c r="P4801" s="396"/>
      <c r="Q4801" s="396"/>
      <c r="R4801" s="396"/>
      <c r="S4801" s="396"/>
      <c r="T4801" s="396"/>
      <c r="U4801" s="388"/>
      <c r="V4801" s="396"/>
      <c r="W4801" s="388"/>
      <c r="X4801" s="396"/>
      <c r="Y4801" s="389"/>
      <c r="Z4801" s="396"/>
      <c r="AA4801" s="388"/>
      <c r="AB4801" s="390"/>
    </row>
    <row r="4802" spans="1:28">
      <c r="A4802" s="384" t="str">
        <f t="shared" ref="A4802:B4802" si="15478">A4795</f>
        <v>Lantai 3</v>
      </c>
      <c r="B4802" s="385">
        <f t="shared" si="15478"/>
        <v>18</v>
      </c>
      <c r="C4802" s="393" t="s">
        <v>202</v>
      </c>
      <c r="D4802" s="398">
        <f>VLOOKUP(D4795,'Detail Balok'!$C$10:$AU$140,4,FALSE)</f>
        <v>4</v>
      </c>
      <c r="E4802" s="388" t="s">
        <v>16</v>
      </c>
      <c r="F4802" s="388">
        <f>VLOOKUP(D4795,'Detail Balok'!$C$10:$AU$140,6,FALSE)</f>
        <v>16</v>
      </c>
      <c r="G4802" s="388"/>
      <c r="H4802" s="395"/>
      <c r="I4802" s="388" t="s">
        <v>203</v>
      </c>
      <c r="J4802" s="399">
        <f t="shared" ref="J4802" si="15479">+D4797/4/1000</f>
        <v>1.48125</v>
      </c>
      <c r="K4802" s="400" t="s">
        <v>204</v>
      </c>
      <c r="L4802" s="399">
        <f t="shared" ref="L4802" si="15480">MAX(VLOOKUP(F4802,N$6:P$15,3,FALSE)/1000,2/3*D4799/1000)+F$16*F4802/1000</f>
        <v>0.192</v>
      </c>
      <c r="M4802" s="399" t="s">
        <v>176</v>
      </c>
      <c r="N4802" s="399">
        <f t="shared" ref="N4802:N4804" si="15481">J4802+L4802</f>
        <v>1.6732499999999999</v>
      </c>
      <c r="O4802" s="399" t="s">
        <v>204</v>
      </c>
      <c r="P4802" s="389">
        <f t="shared" ref="P4802" si="15482">D4802-D4803</f>
        <v>1</v>
      </c>
      <c r="Q4802" s="399" t="s">
        <v>125</v>
      </c>
      <c r="R4802" s="399">
        <f t="shared" ref="R4802" si="15483">IF(P4802&gt;0,$F$18*F4802/1000,0)</f>
        <v>0.24</v>
      </c>
      <c r="S4802" s="399" t="s">
        <v>205</v>
      </c>
      <c r="T4802" s="399" t="s">
        <v>125</v>
      </c>
      <c r="U4802" s="401">
        <f t="shared" ref="U4802:U4804" si="15484">0.006165*F4802^2</f>
        <v>1.5782400000000001</v>
      </c>
      <c r="V4802" s="399"/>
      <c r="W4802" s="399"/>
      <c r="X4802" s="399" t="s">
        <v>125</v>
      </c>
      <c r="Y4802" s="389">
        <f t="shared" ref="Y4802" si="15485">D4801</f>
        <v>1</v>
      </c>
      <c r="Z4802" s="400" t="s">
        <v>176</v>
      </c>
      <c r="AA4802" s="402">
        <f t="shared" ref="AA4802" si="15486">IF(AA4805=0,(D4802*N4802+P4802*R4802)*U4802*Y4802,0)</f>
        <v>10.941937920000001</v>
      </c>
      <c r="AB4802" s="403"/>
    </row>
    <row r="4803" spans="1:28">
      <c r="A4803" s="384" t="str">
        <f t="shared" ref="A4803:B4803" si="15487">A4795</f>
        <v>Lantai 3</v>
      </c>
      <c r="B4803" s="385">
        <f t="shared" si="15487"/>
        <v>18</v>
      </c>
      <c r="C4803" s="393" t="s">
        <v>206</v>
      </c>
      <c r="D4803" s="398">
        <f>VLOOKUP(D4795,'Detail Balok'!$C$10:$AU$140,7,FALSE)</f>
        <v>3</v>
      </c>
      <c r="E4803" s="388" t="s">
        <v>16</v>
      </c>
      <c r="F4803" s="388">
        <f>VLOOKUP(D4795,'Detail Balok'!$C$10:$AU$140,9,FALSE)</f>
        <v>16</v>
      </c>
      <c r="G4803" s="388"/>
      <c r="H4803" s="395"/>
      <c r="I4803" s="388" t="s">
        <v>203</v>
      </c>
      <c r="J4803" s="399">
        <f t="shared" ref="J4803" si="15488">+D4797/2/1000</f>
        <v>2.9624999999999999</v>
      </c>
      <c r="K4803" s="400" t="s">
        <v>204</v>
      </c>
      <c r="L4803" s="399"/>
      <c r="M4803" s="399" t="s">
        <v>176</v>
      </c>
      <c r="N4803" s="399">
        <f t="shared" si="15481"/>
        <v>2.9624999999999999</v>
      </c>
      <c r="O4803" s="399" t="s">
        <v>204</v>
      </c>
      <c r="P4803" s="389">
        <f t="shared" ref="P4803" si="15489">MAX(D4803-D4802,D4803-D4804)</f>
        <v>-1</v>
      </c>
      <c r="Q4803" s="399" t="s">
        <v>125</v>
      </c>
      <c r="R4803" s="399">
        <f t="shared" ref="R4803" si="15490">IF(P4803&gt;0,2*(1-2*$F$19-1/2)*D4798/1000,0)</f>
        <v>0</v>
      </c>
      <c r="S4803" s="399" t="s">
        <v>205</v>
      </c>
      <c r="T4803" s="399" t="s">
        <v>125</v>
      </c>
      <c r="U4803" s="401">
        <f t="shared" si="15484"/>
        <v>1.5782400000000001</v>
      </c>
      <c r="V4803" s="399"/>
      <c r="W4803" s="399"/>
      <c r="X4803" s="399" t="s">
        <v>125</v>
      </c>
      <c r="Y4803" s="389">
        <f t="shared" ref="Y4803" si="15491">D4801</f>
        <v>1</v>
      </c>
      <c r="Z4803" s="400" t="s">
        <v>176</v>
      </c>
      <c r="AA4803" s="402">
        <f t="shared" ref="AA4803" si="15492">IF(AA4805=0,(D4803*N4803+P4803*R4803)*U4803*Y4803,0)</f>
        <v>14.026608</v>
      </c>
      <c r="AB4803" s="403"/>
    </row>
    <row r="4804" spans="1:28">
      <c r="A4804" s="384" t="str">
        <f t="shared" ref="A4804:B4804" si="15493">A4795</f>
        <v>Lantai 3</v>
      </c>
      <c r="B4804" s="385">
        <f t="shared" si="15493"/>
        <v>18</v>
      </c>
      <c r="C4804" s="393" t="s">
        <v>202</v>
      </c>
      <c r="D4804" s="398">
        <f>VLOOKUP(D4795,'Detail Balok'!$C$10:$AU$140,10,FALSE)</f>
        <v>4</v>
      </c>
      <c r="E4804" s="388" t="s">
        <v>16</v>
      </c>
      <c r="F4804" s="388">
        <f>VLOOKUP(D4795,'Detail Balok'!$C$10:$AU$140,12,FALSE)</f>
        <v>16</v>
      </c>
      <c r="G4804" s="388"/>
      <c r="H4804" s="395"/>
      <c r="I4804" s="388" t="s">
        <v>203</v>
      </c>
      <c r="J4804" s="399">
        <f t="shared" ref="J4804" si="15494">+D4797/4/1000</f>
        <v>1.48125</v>
      </c>
      <c r="K4804" s="400" t="s">
        <v>204</v>
      </c>
      <c r="L4804" s="399">
        <f t="shared" ref="L4804" si="15495">MAX(VLOOKUP(F4804,N$6:P$15,3,FALSE)/1000,2/3*D4799/1000)+F$16*F4804/1000</f>
        <v>0.192</v>
      </c>
      <c r="M4804" s="399" t="s">
        <v>176</v>
      </c>
      <c r="N4804" s="399">
        <f t="shared" si="15481"/>
        <v>1.6732499999999999</v>
      </c>
      <c r="O4804" s="399" t="s">
        <v>204</v>
      </c>
      <c r="P4804" s="389">
        <f t="shared" ref="P4804" si="15496">D4804-D4803</f>
        <v>1</v>
      </c>
      <c r="Q4804" s="399" t="s">
        <v>125</v>
      </c>
      <c r="R4804" s="399">
        <f t="shared" ref="R4804" si="15497">IF(P4804&gt;0,$F$18*F4804/1000,0)</f>
        <v>0.24</v>
      </c>
      <c r="S4804" s="399" t="s">
        <v>205</v>
      </c>
      <c r="T4804" s="399" t="s">
        <v>125</v>
      </c>
      <c r="U4804" s="401">
        <f t="shared" si="15484"/>
        <v>1.5782400000000001</v>
      </c>
      <c r="V4804" s="399"/>
      <c r="W4804" s="399"/>
      <c r="X4804" s="399" t="s">
        <v>125</v>
      </c>
      <c r="Y4804" s="389">
        <f t="shared" ref="Y4804" si="15498">D4801</f>
        <v>1</v>
      </c>
      <c r="Z4804" s="400" t="s">
        <v>176</v>
      </c>
      <c r="AA4804" s="402">
        <f t="shared" ref="AA4804" si="15499">IF(AA4805=0,(D4804*N4804+P4804*R4804)*U4804*Y4804,0)</f>
        <v>10.941937920000001</v>
      </c>
      <c r="AB4804" s="403"/>
    </row>
    <row r="4805" spans="1:28">
      <c r="A4805" s="384" t="str">
        <f t="shared" ref="A4805:B4805" si="15500">A4795</f>
        <v>Lantai 3</v>
      </c>
      <c r="B4805" s="385">
        <f t="shared" si="15500"/>
        <v>18</v>
      </c>
      <c r="C4805" s="393"/>
      <c r="D4805" s="398">
        <f t="shared" ref="D4805:D4865" si="15501">IF(AND(D4802=D4803,D4803=D4804,D4802=D4804),D4802,0)</f>
        <v>0</v>
      </c>
      <c r="E4805" s="388" t="s">
        <v>16</v>
      </c>
      <c r="F4805" s="388">
        <f t="shared" ref="F4805:F4865" si="15502">IF(AND(F4802=F4803,F4802=F4804,F4803=F4804),F4802,0)</f>
        <v>16</v>
      </c>
      <c r="G4805" s="388"/>
      <c r="H4805" s="395"/>
      <c r="I4805" s="388"/>
      <c r="J4805" s="396"/>
      <c r="K4805" s="396"/>
      <c r="L4805" s="404" t="s">
        <v>207</v>
      </c>
      <c r="M4805" s="399" t="s">
        <v>176</v>
      </c>
      <c r="N4805" s="399">
        <f t="shared" ref="N4805" si="15503">IF(AND(D4802=D4803,D4802=D4804,D4803=D4804,F4802=F4803,F4802=F4804,F4803=F4804),SUM(N4802:N4804),0)</f>
        <v>0</v>
      </c>
      <c r="O4805" s="399" t="s">
        <v>204</v>
      </c>
      <c r="P4805" s="389">
        <f t="shared" ref="P4805" si="15504">IF(N4805&gt;12,ROUNDDOWN(N4805/12,0),0)</f>
        <v>0</v>
      </c>
      <c r="Q4805" s="399" t="s">
        <v>125</v>
      </c>
      <c r="R4805" s="399">
        <f t="shared" ref="R4805" si="15505">IF(P4805&gt;0,MAX(VLOOKUP(F4805,$D$6:$G$15,3,FALSE),600),0)/1000</f>
        <v>0</v>
      </c>
      <c r="S4805" s="396"/>
      <c r="T4805" s="396" t="s">
        <v>125</v>
      </c>
      <c r="U4805" s="401">
        <f t="shared" ref="U4805:U4865" si="15506">U4804</f>
        <v>1.5782400000000001</v>
      </c>
      <c r="V4805" s="396" t="s">
        <v>125</v>
      </c>
      <c r="W4805" s="399">
        <f t="shared" ref="W4805" si="15507">D4805</f>
        <v>0</v>
      </c>
      <c r="X4805" s="399" t="s">
        <v>125</v>
      </c>
      <c r="Y4805" s="389">
        <f t="shared" ref="Y4805:Y4865" si="15508">Y4804</f>
        <v>1</v>
      </c>
      <c r="Z4805" s="400" t="s">
        <v>176</v>
      </c>
      <c r="AA4805" s="402">
        <f t="shared" ref="AA4805" si="15509">(N4805+P4805*R4805/1000)*U4805*W4805*Y4805</f>
        <v>0</v>
      </c>
      <c r="AB4805" s="390"/>
    </row>
    <row r="4806" spans="1:28">
      <c r="A4806" s="384"/>
      <c r="B4806" s="385"/>
      <c r="C4806" s="393"/>
      <c r="D4806" s="398"/>
      <c r="E4806" s="388"/>
      <c r="F4806" s="388"/>
      <c r="G4806" s="388"/>
      <c r="H4806" s="395"/>
      <c r="I4806" s="388"/>
      <c r="J4806" s="396"/>
      <c r="K4806" s="396"/>
      <c r="L4806" s="404"/>
      <c r="M4806" s="399"/>
      <c r="N4806" s="399"/>
      <c r="O4806" s="396"/>
      <c r="P4806" s="389"/>
      <c r="Q4806" s="396"/>
      <c r="R4806" s="396"/>
      <c r="S4806" s="396"/>
      <c r="T4806" s="396"/>
      <c r="U4806" s="401"/>
      <c r="V4806" s="396"/>
      <c r="W4806" s="399"/>
      <c r="X4806" s="396"/>
      <c r="Y4806" s="389"/>
      <c r="Z4806" s="396"/>
      <c r="AA4806" s="388"/>
      <c r="AB4806" s="390"/>
    </row>
    <row r="4807" spans="1:28">
      <c r="A4807" s="384" t="str">
        <f t="shared" ref="A4807:B4807" si="15510">A4795</f>
        <v>Lantai 3</v>
      </c>
      <c r="B4807" s="385">
        <f t="shared" si="15510"/>
        <v>18</v>
      </c>
      <c r="C4807" s="393" t="s">
        <v>208</v>
      </c>
      <c r="D4807" s="398">
        <f>VLOOKUP(D4795,'Detail Balok'!$C$10:$AU$140,13,FALSE)</f>
        <v>2</v>
      </c>
      <c r="E4807" s="388" t="s">
        <v>16</v>
      </c>
      <c r="F4807" s="388">
        <f>VLOOKUP(D4795,'Detail Balok'!$C$10:$AU$140,15,FALSE)</f>
        <v>10</v>
      </c>
      <c r="G4807" s="388"/>
      <c r="H4807" s="395"/>
      <c r="I4807" s="388"/>
      <c r="J4807" s="399">
        <f t="shared" ref="J4807" si="15511">+D4797/1000</f>
        <v>5.9249999999999998</v>
      </c>
      <c r="K4807" s="400" t="s">
        <v>204</v>
      </c>
      <c r="L4807" s="399">
        <f t="shared" ref="L4807" si="15512">2*$F$16*F4807/1000</f>
        <v>0.24</v>
      </c>
      <c r="M4807" s="399" t="s">
        <v>176</v>
      </c>
      <c r="N4807" s="399">
        <f t="shared" ref="N4807" si="15513">J4807+L4807</f>
        <v>6.165</v>
      </c>
      <c r="O4807" s="399" t="s">
        <v>204</v>
      </c>
      <c r="P4807" s="389">
        <f t="shared" ref="P4807" si="15514">IF(N4807&gt;12,ROUNDDOWN(N4807/12,0),0)</f>
        <v>0</v>
      </c>
      <c r="Q4807" s="399" t="s">
        <v>125</v>
      </c>
      <c r="R4807" s="399">
        <f t="shared" ref="R4807" si="15515">IF(P4807&gt;0,MAX(VLOOKUP(F4807,$D$6:$G$15,3,FALSE),600),0)/1000</f>
        <v>0</v>
      </c>
      <c r="S4807" s="399"/>
      <c r="T4807" s="399" t="s">
        <v>125</v>
      </c>
      <c r="U4807" s="401">
        <f t="shared" ref="U4807" si="15516">0.006165*F4807^2</f>
        <v>0.61650000000000005</v>
      </c>
      <c r="V4807" s="399" t="s">
        <v>125</v>
      </c>
      <c r="W4807" s="399">
        <f t="shared" ref="W4807" si="15517">+D4807</f>
        <v>2</v>
      </c>
      <c r="X4807" s="399" t="s">
        <v>125</v>
      </c>
      <c r="Y4807" s="389">
        <f t="shared" ref="Y4807" si="15518">D4801</f>
        <v>1</v>
      </c>
      <c r="Z4807" s="400" t="s">
        <v>176</v>
      </c>
      <c r="AA4807" s="402">
        <f t="shared" ref="AA4807" si="15519">(N4807+P4807*R4807/1000)*U4807*W4807*Y4807</f>
        <v>7.6014450000000009</v>
      </c>
      <c r="AB4807" s="403"/>
    </row>
    <row r="4808" spans="1:28">
      <c r="A4808" s="384"/>
      <c r="B4808" s="385"/>
      <c r="C4808" s="393"/>
      <c r="D4808" s="398"/>
      <c r="E4808" s="388"/>
      <c r="F4808" s="388"/>
      <c r="G4808" s="388"/>
      <c r="H4808" s="395"/>
      <c r="I4808" s="388"/>
      <c r="J4808" s="399"/>
      <c r="K4808" s="400"/>
      <c r="L4808" s="399"/>
      <c r="M4808" s="399"/>
      <c r="N4808" s="399"/>
      <c r="O4808" s="399"/>
      <c r="P4808" s="389"/>
      <c r="Q4808" s="399"/>
      <c r="R4808" s="399"/>
      <c r="S4808" s="399"/>
      <c r="T4808" s="399"/>
      <c r="U4808" s="401"/>
      <c r="V4808" s="399"/>
      <c r="W4808" s="399"/>
      <c r="X4808" s="399"/>
      <c r="Y4808" s="389"/>
      <c r="Z4808" s="400"/>
      <c r="AA4808" s="402"/>
      <c r="AB4808" s="403"/>
    </row>
    <row r="4809" spans="1:28">
      <c r="A4809" s="384"/>
      <c r="B4809" s="385"/>
      <c r="C4809" s="393"/>
      <c r="D4809" s="398"/>
      <c r="E4809" s="388"/>
      <c r="F4809" s="388"/>
      <c r="G4809" s="388"/>
      <c r="H4809" s="395"/>
      <c r="I4809" s="388"/>
      <c r="J4809" s="396"/>
      <c r="K4809" s="396"/>
      <c r="L4809" s="396"/>
      <c r="M4809" s="396"/>
      <c r="N4809" s="396"/>
      <c r="O4809" s="396"/>
      <c r="P4809" s="389"/>
      <c r="Q4809" s="396"/>
      <c r="R4809" s="396"/>
      <c r="S4809" s="396"/>
      <c r="T4809" s="396"/>
      <c r="U4809" s="401"/>
      <c r="V4809" s="396"/>
      <c r="W4809" s="399"/>
      <c r="X4809" s="396"/>
      <c r="Y4809" s="389"/>
      <c r="Z4809" s="396"/>
      <c r="AA4809" s="388"/>
      <c r="AB4809" s="390"/>
    </row>
    <row r="4810" spans="1:28">
      <c r="A4810" s="384" t="str">
        <f t="shared" ref="A4810:B4810" si="15520">A4795</f>
        <v>Lantai 3</v>
      </c>
      <c r="B4810" s="385">
        <f t="shared" si="15520"/>
        <v>18</v>
      </c>
      <c r="C4810" s="393" t="s">
        <v>209</v>
      </c>
      <c r="D4810" s="398">
        <f>VLOOKUP(D4795,'Detail Balok'!$C$10:$AU$140,22,FALSE)</f>
        <v>3</v>
      </c>
      <c r="E4810" s="388" t="s">
        <v>16</v>
      </c>
      <c r="F4810" s="388">
        <f>VLOOKUP(D4795,'Detail Balok'!$C$10:$AU$140,24,FALSE)</f>
        <v>16</v>
      </c>
      <c r="G4810" s="388"/>
      <c r="H4810" s="395"/>
      <c r="I4810" s="388" t="s">
        <v>203</v>
      </c>
      <c r="J4810" s="399">
        <f t="shared" ref="J4810:J4872" si="15521">+J4802</f>
        <v>1.48125</v>
      </c>
      <c r="K4810" s="400" t="s">
        <v>204</v>
      </c>
      <c r="L4810" s="399">
        <f t="shared" ref="L4810" si="15522">MAX(VLOOKUP(F4810,N$6:P$15,3,FALSE)/1000,2/3*D4800/1000)+F$16*F4810/1000</f>
        <v>0.192</v>
      </c>
      <c r="M4810" s="399" t="s">
        <v>176</v>
      </c>
      <c r="N4810" s="399">
        <f t="shared" ref="N4810:N4812" si="15523">J4810+L4810</f>
        <v>1.6732499999999999</v>
      </c>
      <c r="O4810" s="399" t="s">
        <v>204</v>
      </c>
      <c r="P4810" s="389">
        <f t="shared" ref="P4810" si="15524">D4810-D4811</f>
        <v>-1</v>
      </c>
      <c r="Q4810" s="399" t="s">
        <v>125</v>
      </c>
      <c r="R4810" s="399">
        <f t="shared" ref="R4810" si="15525">IF(P4810&gt;0,$F$18*F4810/1000,0)</f>
        <v>0</v>
      </c>
      <c r="S4810" s="399" t="s">
        <v>205</v>
      </c>
      <c r="T4810" s="399" t="s">
        <v>125</v>
      </c>
      <c r="U4810" s="401">
        <f t="shared" ref="U4810:U4812" si="15526">0.006165*F4810^2</f>
        <v>1.5782400000000001</v>
      </c>
      <c r="V4810" s="399"/>
      <c r="W4810" s="399"/>
      <c r="X4810" s="399" t="s">
        <v>125</v>
      </c>
      <c r="Y4810" s="389">
        <f t="shared" ref="Y4810" si="15527">D4801</f>
        <v>1</v>
      </c>
      <c r="Z4810" s="400" t="s">
        <v>176</v>
      </c>
      <c r="AA4810" s="402">
        <f t="shared" ref="AA4810" si="15528">IF(AA4813=0,(D4810*N4810+P4810*R4810)*U4810*Y4810,0)</f>
        <v>7.9223702400000011</v>
      </c>
      <c r="AB4810" s="403"/>
    </row>
    <row r="4811" spans="1:28">
      <c r="A4811" s="384" t="str">
        <f t="shared" ref="A4811:B4811" si="15529">A4795</f>
        <v>Lantai 3</v>
      </c>
      <c r="B4811" s="385">
        <f t="shared" si="15529"/>
        <v>18</v>
      </c>
      <c r="C4811" s="393" t="s">
        <v>210</v>
      </c>
      <c r="D4811" s="398">
        <f>VLOOKUP(D4795,'Detail Balok'!$C$10:$AU$140,25,FALSE)</f>
        <v>4</v>
      </c>
      <c r="E4811" s="388" t="s">
        <v>16</v>
      </c>
      <c r="F4811" s="388">
        <f>VLOOKUP(D4795,'Detail Balok'!$C$10:$AU$140,27,FALSE)</f>
        <v>16</v>
      </c>
      <c r="G4811" s="388"/>
      <c r="H4811" s="395"/>
      <c r="I4811" s="388" t="s">
        <v>203</v>
      </c>
      <c r="J4811" s="399">
        <f t="shared" si="15521"/>
        <v>2.9624999999999999</v>
      </c>
      <c r="K4811" s="400" t="s">
        <v>204</v>
      </c>
      <c r="L4811" s="399"/>
      <c r="M4811" s="399" t="s">
        <v>176</v>
      </c>
      <c r="N4811" s="399">
        <f t="shared" si="15523"/>
        <v>2.9624999999999999</v>
      </c>
      <c r="O4811" s="399" t="s">
        <v>204</v>
      </c>
      <c r="P4811" s="389">
        <f t="shared" ref="P4811" si="15530">MAX(D4811-D4810,D4811-D4812)</f>
        <v>1</v>
      </c>
      <c r="Q4811" s="399" t="s">
        <v>125</v>
      </c>
      <c r="R4811" s="399">
        <f t="shared" ref="R4811" si="15531">IF(P4811&gt;0,2*(1-2*$F$19-1/2)*D4798/1000,0)</f>
        <v>1.1849999999999998</v>
      </c>
      <c r="S4811" s="399" t="s">
        <v>205</v>
      </c>
      <c r="T4811" s="399" t="s">
        <v>125</v>
      </c>
      <c r="U4811" s="401">
        <f t="shared" si="15526"/>
        <v>1.5782400000000001</v>
      </c>
      <c r="V4811" s="399"/>
      <c r="W4811" s="399"/>
      <c r="X4811" s="399" t="s">
        <v>125</v>
      </c>
      <c r="Y4811" s="389">
        <f t="shared" ref="Y4811" si="15532">D4801</f>
        <v>1</v>
      </c>
      <c r="Z4811" s="400" t="s">
        <v>176</v>
      </c>
      <c r="AA4811" s="402">
        <f t="shared" ref="AA4811" si="15533">IF(AA4813=0,(D4811*N4811+P4811*R4811)*U4811*Y4811,0)</f>
        <v>20.572358400000002</v>
      </c>
      <c r="AB4811" s="403"/>
    </row>
    <row r="4812" spans="1:28">
      <c r="A4812" s="384" t="str">
        <f t="shared" ref="A4812:B4812" si="15534">A4795</f>
        <v>Lantai 3</v>
      </c>
      <c r="B4812" s="385">
        <f t="shared" si="15534"/>
        <v>18</v>
      </c>
      <c r="C4812" s="393" t="s">
        <v>209</v>
      </c>
      <c r="D4812" s="398">
        <f>VLOOKUP(D4795,'Detail Balok'!$C$10:$AU$140,28,FALSE)</f>
        <v>3</v>
      </c>
      <c r="E4812" s="388" t="s">
        <v>16</v>
      </c>
      <c r="F4812" s="388">
        <f>VLOOKUP(D4795,'Detail Balok'!$C$10:$AU$140,30,FALSE)</f>
        <v>16</v>
      </c>
      <c r="G4812" s="388"/>
      <c r="H4812" s="395"/>
      <c r="I4812" s="388" t="s">
        <v>203</v>
      </c>
      <c r="J4812" s="399">
        <f t="shared" si="15521"/>
        <v>1.48125</v>
      </c>
      <c r="K4812" s="400" t="s">
        <v>204</v>
      </c>
      <c r="L4812" s="399">
        <f t="shared" ref="L4812" si="15535">MAX(VLOOKUP(F4812,N$6:P$15,3,FALSE)/1000,2/3*D4800/1000)+F$16*F4812/1000</f>
        <v>0.192</v>
      </c>
      <c r="M4812" s="399" t="s">
        <v>176</v>
      </c>
      <c r="N4812" s="399">
        <f t="shared" si="15523"/>
        <v>1.6732499999999999</v>
      </c>
      <c r="O4812" s="399" t="s">
        <v>204</v>
      </c>
      <c r="P4812" s="389">
        <f t="shared" ref="P4812" si="15536">D4812-D4811</f>
        <v>-1</v>
      </c>
      <c r="Q4812" s="399" t="s">
        <v>125</v>
      </c>
      <c r="R4812" s="399">
        <f t="shared" ref="R4812" si="15537">IF(P4812&gt;0,$F$18*F4812/1000,0)</f>
        <v>0</v>
      </c>
      <c r="S4812" s="399" t="s">
        <v>205</v>
      </c>
      <c r="T4812" s="399" t="s">
        <v>125</v>
      </c>
      <c r="U4812" s="401">
        <f t="shared" si="15526"/>
        <v>1.5782400000000001</v>
      </c>
      <c r="V4812" s="399"/>
      <c r="W4812" s="399"/>
      <c r="X4812" s="399" t="s">
        <v>125</v>
      </c>
      <c r="Y4812" s="389">
        <f t="shared" ref="Y4812" si="15538">D4801</f>
        <v>1</v>
      </c>
      <c r="Z4812" s="400" t="s">
        <v>176</v>
      </c>
      <c r="AA4812" s="402">
        <f t="shared" ref="AA4812" si="15539">IF(AA4813=0,(D4812*N4812+P4812*R4812)*U4812*Y4812,0)</f>
        <v>7.9223702400000011</v>
      </c>
      <c r="AB4812" s="403"/>
    </row>
    <row r="4813" spans="1:28">
      <c r="A4813" s="384" t="str">
        <f t="shared" ref="A4813:B4813" si="15540">A4795</f>
        <v>Lantai 3</v>
      </c>
      <c r="B4813" s="385">
        <f t="shared" si="15540"/>
        <v>18</v>
      </c>
      <c r="C4813" s="393"/>
      <c r="D4813" s="398">
        <f t="shared" ref="D4813:D4873" si="15541">IF(AND(D4810=D4811,D4811=D4812,D4810=D4812),D4810,0)</f>
        <v>0</v>
      </c>
      <c r="E4813" s="388" t="s">
        <v>16</v>
      </c>
      <c r="F4813" s="388">
        <f t="shared" ref="F4813:F4873" si="15542">IF(AND(F4810=F4811,F4810=F4812,F4811=F4812),F4810,0)</f>
        <v>16</v>
      </c>
      <c r="G4813" s="388"/>
      <c r="H4813" s="395"/>
      <c r="I4813" s="388"/>
      <c r="J4813" s="396"/>
      <c r="K4813" s="396"/>
      <c r="L4813" s="404" t="s">
        <v>207</v>
      </c>
      <c r="M4813" s="399" t="s">
        <v>176</v>
      </c>
      <c r="N4813" s="399">
        <f t="shared" ref="N4813" si="15543">IF(AND(D4810=D4811,D4810=D4812,D4811=D4812,F4810=F4811,F4810=F4812,F4811=F4812),SUM(N4810:N4812),0)</f>
        <v>0</v>
      </c>
      <c r="O4813" s="399" t="s">
        <v>204</v>
      </c>
      <c r="P4813" s="389">
        <f t="shared" ref="P4813" si="15544">IF(N4813&gt;12,ROUNDDOWN(N4813/12,0),0)</f>
        <v>0</v>
      </c>
      <c r="Q4813" s="399" t="s">
        <v>125</v>
      </c>
      <c r="R4813" s="399">
        <f t="shared" ref="R4813" si="15545">IF(P4813&gt;0,MAX(VLOOKUP(F4813,$D$6:$G$15,3,FALSE),600),0)/1000</f>
        <v>0</v>
      </c>
      <c r="S4813" s="396"/>
      <c r="T4813" s="396" t="s">
        <v>125</v>
      </c>
      <c r="U4813" s="401">
        <f t="shared" ref="U4813:U4873" si="15546">U4812</f>
        <v>1.5782400000000001</v>
      </c>
      <c r="V4813" s="396" t="s">
        <v>125</v>
      </c>
      <c r="W4813" s="399">
        <f t="shared" ref="W4813" si="15547">D4813</f>
        <v>0</v>
      </c>
      <c r="X4813" s="399" t="s">
        <v>125</v>
      </c>
      <c r="Y4813" s="389">
        <f t="shared" ref="Y4813:Y4873" si="15548">Y4812</f>
        <v>1</v>
      </c>
      <c r="Z4813" s="400" t="s">
        <v>176</v>
      </c>
      <c r="AA4813" s="402">
        <f t="shared" ref="AA4813" si="15549">(N4813+P4813*R4813/1000)*U4813*W4813*Y4813</f>
        <v>0</v>
      </c>
      <c r="AB4813" s="403"/>
    </row>
    <row r="4814" spans="1:28">
      <c r="A4814" s="384"/>
      <c r="B4814" s="385"/>
      <c r="C4814" s="393"/>
      <c r="D4814" s="394"/>
      <c r="E4814" s="388"/>
      <c r="F4814" s="388"/>
      <c r="G4814" s="388"/>
      <c r="H4814" s="395"/>
      <c r="I4814" s="388"/>
      <c r="J4814" s="399"/>
      <c r="K4814" s="396"/>
      <c r="L4814" s="396"/>
      <c r="M4814" s="396"/>
      <c r="N4814" s="396"/>
      <c r="O4814" s="396"/>
      <c r="P4814" s="389"/>
      <c r="Q4814" s="396"/>
      <c r="R4814" s="396"/>
      <c r="S4814" s="396"/>
      <c r="T4814" s="396"/>
      <c r="U4814" s="401"/>
      <c r="V4814" s="396"/>
      <c r="W4814" s="388"/>
      <c r="X4814" s="396"/>
      <c r="Y4814" s="389"/>
      <c r="Z4814" s="396"/>
      <c r="AA4814" s="388"/>
      <c r="AB4814" s="390"/>
    </row>
    <row r="4815" spans="1:28">
      <c r="A4815" s="384" t="str">
        <f t="shared" ref="A4815:B4815" si="15550">A4795</f>
        <v>Lantai 3</v>
      </c>
      <c r="B4815" s="385">
        <f t="shared" si="15550"/>
        <v>18</v>
      </c>
      <c r="C4815" s="393" t="s">
        <v>211</v>
      </c>
      <c r="D4815" s="398">
        <f>VLOOKUP(D4795,'Detail Balok'!$C$10:$AU$140,31,FALSE)</f>
        <v>0</v>
      </c>
      <c r="E4815" s="388" t="s">
        <v>16</v>
      </c>
      <c r="F4815" s="388">
        <f>VLOOKUP(D4795,'Detail Balok'!$C$10:$AU$140,33,FALSE)</f>
        <v>10</v>
      </c>
      <c r="G4815" s="405" t="s">
        <v>157</v>
      </c>
      <c r="H4815" s="395">
        <f>VLOOKUP(D4795,'Detail Balok'!$C$10:$AU$140,35,FALSE)</f>
        <v>100</v>
      </c>
      <c r="I4815" s="388"/>
      <c r="J4815" s="400">
        <f t="shared" ref="J4815" si="15551">(IF(D4815=0,(2*(D4796+G4796))-(F$5*8),IF(D4815=3,(2*(D4796+G4796))-(F$5*8)+(G4796-2*F$5),IF(D4815=4,(2*(D4796+G4796))-(F$5*8)+2*(G4796-2*F$5)))))/1000</f>
        <v>1.28</v>
      </c>
      <c r="K4815" s="400" t="s">
        <v>204</v>
      </c>
      <c r="L4815" s="399">
        <f t="shared" ref="L4815:L4817" si="15552">IF(D4815=0,2*MAX(6*F4815,75),(D4815-1)*2*MAX(6*F4815,75))/1000</f>
        <v>0.15</v>
      </c>
      <c r="M4815" s="399" t="s">
        <v>176</v>
      </c>
      <c r="N4815" s="399">
        <f t="shared" ref="N4815:N4817" si="15553">J4815+L4815</f>
        <v>1.43</v>
      </c>
      <c r="O4815" s="399"/>
      <c r="P4815" s="389"/>
      <c r="Q4815" s="399"/>
      <c r="R4815" s="399"/>
      <c r="S4815" s="399"/>
      <c r="T4815" s="399" t="s">
        <v>125</v>
      </c>
      <c r="U4815" s="401">
        <f t="shared" ref="U4815:U4817" si="15554">0.006165*F4815^2</f>
        <v>0.61650000000000005</v>
      </c>
      <c r="V4815" s="399" t="s">
        <v>125</v>
      </c>
      <c r="W4815" s="399">
        <f t="shared" ref="W4815" si="15555">IF(D4798&gt;4*G4796,ROUND(MAX(D4798/4,2*G4796)/H4815,0)+1,ROUND(D4798/H4815,0)+1)</f>
        <v>16</v>
      </c>
      <c r="X4815" s="399" t="s">
        <v>125</v>
      </c>
      <c r="Y4815" s="389">
        <f t="shared" ref="Y4815" si="15556">D4801</f>
        <v>1</v>
      </c>
      <c r="Z4815" s="400" t="s">
        <v>176</v>
      </c>
      <c r="AA4815" s="402">
        <f t="shared" ref="AA4815:AA4817" si="15557">N4815*U4815*W4815*Y4815</f>
        <v>14.10552</v>
      </c>
      <c r="AB4815" s="403"/>
    </row>
    <row r="4816" spans="1:28">
      <c r="A4816" s="384" t="str">
        <f t="shared" ref="A4816:B4816" si="15558">A4795</f>
        <v>Lantai 3</v>
      </c>
      <c r="B4816" s="385">
        <f t="shared" si="15558"/>
        <v>18</v>
      </c>
      <c r="C4816" s="393" t="s">
        <v>212</v>
      </c>
      <c r="D4816" s="398">
        <f>VLOOKUP(D4795,'Detail Balok'!$C$10:$AU$140,36,FALSE)</f>
        <v>0</v>
      </c>
      <c r="E4816" s="388" t="s">
        <v>16</v>
      </c>
      <c r="F4816" s="388">
        <f>VLOOKUP(D4795,'Detail Balok'!$C$10:$AU$140,38,FALSE)</f>
        <v>10</v>
      </c>
      <c r="G4816" s="405" t="s">
        <v>157</v>
      </c>
      <c r="H4816" s="395">
        <f>VLOOKUP(D4795,'Detail Balok'!$C$10:$AU$140,40,FALSE)</f>
        <v>150</v>
      </c>
      <c r="I4816" s="388"/>
      <c r="J4816" s="400">
        <f t="shared" ref="J4816" si="15559">(IF(D4816=0,(2*(D4796+G4796))-(F$5*8),IF(D4816=3,(2*(D4796+G4796))-(F$5*8)+(G4796-2*F$5),IF(D4816=4,(2*(D4796+G4796))-(F$5*8)+2*(G4796-2*F$5)))))/1000</f>
        <v>1.28</v>
      </c>
      <c r="K4816" s="400" t="s">
        <v>204</v>
      </c>
      <c r="L4816" s="399">
        <f t="shared" si="15552"/>
        <v>0.15</v>
      </c>
      <c r="M4816" s="399" t="s">
        <v>176</v>
      </c>
      <c r="N4816" s="399">
        <f t="shared" si="15553"/>
        <v>1.43</v>
      </c>
      <c r="O4816" s="399"/>
      <c r="P4816" s="389"/>
      <c r="Q4816" s="399"/>
      <c r="R4816" s="399"/>
      <c r="S4816" s="399"/>
      <c r="T4816" s="399" t="s">
        <v>125</v>
      </c>
      <c r="U4816" s="401">
        <f t="shared" si="15554"/>
        <v>0.61650000000000005</v>
      </c>
      <c r="V4816" s="399" t="s">
        <v>125</v>
      </c>
      <c r="W4816" s="399">
        <f t="shared" ref="W4816" si="15560">IF(D4798-MAX(D4798/4,2*G4796)*2&gt;0,ROUND((D4798-MAX(D4798/4,2*G4796)*2)/H4816,0),0)</f>
        <v>20</v>
      </c>
      <c r="X4816" s="399" t="s">
        <v>125</v>
      </c>
      <c r="Y4816" s="389">
        <f t="shared" ref="Y4816" si="15561">D4801</f>
        <v>1</v>
      </c>
      <c r="Z4816" s="400" t="s">
        <v>176</v>
      </c>
      <c r="AA4816" s="402">
        <f t="shared" si="15557"/>
        <v>17.631900000000002</v>
      </c>
      <c r="AB4816" s="403"/>
    </row>
    <row r="4817" spans="1:28">
      <c r="A4817" s="384" t="str">
        <f t="shared" ref="A4817:B4817" si="15562">A4795</f>
        <v>Lantai 3</v>
      </c>
      <c r="B4817" s="385">
        <f t="shared" si="15562"/>
        <v>18</v>
      </c>
      <c r="C4817" s="393" t="s">
        <v>211</v>
      </c>
      <c r="D4817" s="398">
        <f>VLOOKUP(D4795,'Detail Balok'!$C$10:$AU$140,41,FALSE)</f>
        <v>0</v>
      </c>
      <c r="E4817" s="388" t="s">
        <v>16</v>
      </c>
      <c r="F4817" s="388">
        <f>VLOOKUP(D4795,'Detail Balok'!$C$10:$AU$140,43,FALSE)</f>
        <v>10</v>
      </c>
      <c r="G4817" s="405" t="s">
        <v>157</v>
      </c>
      <c r="H4817" s="395">
        <f>VLOOKUP(D4795,'Detail Balok'!$C$10:$AU$140,45,FALSE)</f>
        <v>100</v>
      </c>
      <c r="I4817" s="388"/>
      <c r="J4817" s="400">
        <f t="shared" ref="J4817" si="15563">(IF(D4817=0,(2*(D4796+G4796))-(F$5*8),IF(D4817=3,(2*(D4796+G4796))-(F$5*8)+(G4796-2*F$5),IF(D4817=4,(2*(D4796+G4796))-(F$5*8)+2*(G4796-2*F$5)))))/1000</f>
        <v>1.28</v>
      </c>
      <c r="K4817" s="400" t="s">
        <v>204</v>
      </c>
      <c r="L4817" s="399">
        <f t="shared" si="15552"/>
        <v>0.15</v>
      </c>
      <c r="M4817" s="399" t="s">
        <v>176</v>
      </c>
      <c r="N4817" s="399">
        <f t="shared" si="15553"/>
        <v>1.43</v>
      </c>
      <c r="O4817" s="399"/>
      <c r="P4817" s="389"/>
      <c r="Q4817" s="399"/>
      <c r="R4817" s="399"/>
      <c r="S4817" s="399"/>
      <c r="T4817" s="399" t="s">
        <v>125</v>
      </c>
      <c r="U4817" s="401">
        <f t="shared" si="15554"/>
        <v>0.61650000000000005</v>
      </c>
      <c r="V4817" s="399" t="s">
        <v>125</v>
      </c>
      <c r="W4817" s="399">
        <f t="shared" ref="W4817" si="15564">IF(D4798&gt;4*G4796,ROUND(MAX(D4798/4,2*G4796)/H4817,0)+1,0)</f>
        <v>16</v>
      </c>
      <c r="X4817" s="399" t="s">
        <v>125</v>
      </c>
      <c r="Y4817" s="389">
        <f t="shared" ref="Y4817" si="15565">D4801</f>
        <v>1</v>
      </c>
      <c r="Z4817" s="400" t="s">
        <v>176</v>
      </c>
      <c r="AA4817" s="402">
        <f t="shared" si="15557"/>
        <v>14.10552</v>
      </c>
      <c r="AB4817" s="403"/>
    </row>
    <row r="4818" spans="1:28">
      <c r="A4818" s="384"/>
      <c r="B4818" s="385"/>
      <c r="C4818" s="393"/>
      <c r="D4818" s="394"/>
      <c r="E4818" s="388"/>
      <c r="F4818" s="388"/>
      <c r="G4818" s="388"/>
      <c r="H4818" s="395"/>
      <c r="I4818" s="388"/>
      <c r="J4818" s="399"/>
      <c r="K4818" s="396"/>
      <c r="L4818" s="396"/>
      <c r="M4818" s="396"/>
      <c r="N4818" s="396"/>
      <c r="O4818" s="396"/>
      <c r="P4818" s="389"/>
      <c r="Q4818" s="396"/>
      <c r="R4818" s="396"/>
      <c r="S4818" s="396"/>
      <c r="T4818" s="396"/>
      <c r="U4818" s="401"/>
      <c r="V4818" s="396"/>
      <c r="W4818" s="388"/>
      <c r="X4818" s="396"/>
      <c r="Y4818" s="389"/>
      <c r="Z4818" s="396"/>
      <c r="AA4818" s="388"/>
      <c r="AB4818" s="390"/>
    </row>
    <row r="4819" spans="1:28">
      <c r="A4819" s="384" t="str">
        <f t="shared" ref="A4819:B4819" si="15566">A4795</f>
        <v>Lantai 3</v>
      </c>
      <c r="B4819" s="385">
        <f t="shared" si="15566"/>
        <v>18</v>
      </c>
      <c r="C4819" s="393" t="s">
        <v>213</v>
      </c>
      <c r="D4819" s="398">
        <f>VLOOKUP(D4795,'Detail Balok'!$C$10:$BJ$140,46,FALSE)</f>
        <v>0</v>
      </c>
      <c r="E4819" s="388" t="s">
        <v>16</v>
      </c>
      <c r="F4819" s="388">
        <f>VLOOKUP(D4795,'Detail Balok'!$C$10:$BJ$140,48,FALSE)</f>
        <v>0</v>
      </c>
      <c r="G4819" s="405" t="s">
        <v>157</v>
      </c>
      <c r="H4819" s="395">
        <f>VLOOKUP(D4795,'Detail Balok'!$C$10:$BJ$140,50,FALSE)</f>
        <v>100</v>
      </c>
      <c r="I4819" s="388"/>
      <c r="J4819" s="399">
        <f t="shared" ref="J4819" si="15567">(D4796-2*F$5)/1000</f>
        <v>0.12</v>
      </c>
      <c r="K4819" s="400" t="s">
        <v>204</v>
      </c>
      <c r="L4819" s="399">
        <f t="shared" ref="L4819:L4821" si="15568">IF(D4819=0,2*MAX(6*F4819,75),(D4819-1)*2*MAX(6*F4819,75))/1000</f>
        <v>0.15</v>
      </c>
      <c r="M4819" s="399" t="s">
        <v>176</v>
      </c>
      <c r="N4819" s="399">
        <f t="shared" ref="N4819:N4821" si="15569">J4819+L4819</f>
        <v>0.27</v>
      </c>
      <c r="O4819" s="399"/>
      <c r="P4819" s="399"/>
      <c r="Q4819" s="399"/>
      <c r="R4819" s="399"/>
      <c r="S4819" s="399"/>
      <c r="T4819" s="399" t="s">
        <v>125</v>
      </c>
      <c r="U4819" s="401">
        <f t="shared" ref="U4819:U4821" si="15570">0.006165*F4819^2</f>
        <v>0</v>
      </c>
      <c r="V4819" s="399" t="s">
        <v>125</v>
      </c>
      <c r="W4819" s="399">
        <f t="shared" ref="W4819:W4881" si="15571">W4815</f>
        <v>16</v>
      </c>
      <c r="X4819" s="399" t="s">
        <v>125</v>
      </c>
      <c r="Y4819" s="389">
        <f t="shared" ref="Y4819" si="15572">D4805</f>
        <v>0</v>
      </c>
      <c r="Z4819" s="400" t="s">
        <v>176</v>
      </c>
      <c r="AA4819" s="402">
        <f t="shared" ref="AA4819:AA4821" si="15573">N4819*U4819*W4819*Y4819</f>
        <v>0</v>
      </c>
      <c r="AB4819" s="403"/>
    </row>
    <row r="4820" spans="1:28">
      <c r="A4820" s="384" t="str">
        <f t="shared" ref="A4820:B4820" si="15574">A4795</f>
        <v>Lantai 3</v>
      </c>
      <c r="B4820" s="385">
        <f t="shared" si="15574"/>
        <v>18</v>
      </c>
      <c r="C4820" s="393" t="s">
        <v>214</v>
      </c>
      <c r="D4820" s="398">
        <f>VLOOKUP(D4795,'Detail Balok'!$C$10:$BJ$140,51,FALSE)</f>
        <v>0</v>
      </c>
      <c r="E4820" s="388" t="s">
        <v>16</v>
      </c>
      <c r="F4820" s="388">
        <f>VLOOKUP(D4795,'Detail Balok'!$C$10:$BJ$140,53,FALSE)</f>
        <v>0</v>
      </c>
      <c r="G4820" s="405" t="s">
        <v>157</v>
      </c>
      <c r="H4820" s="395">
        <f>VLOOKUP(D4795,'Detail Balok'!$C$10:$BJ$140,55,FALSE)</f>
        <v>100</v>
      </c>
      <c r="I4820" s="388"/>
      <c r="J4820" s="399">
        <f t="shared" ref="J4820" si="15575">(D4796-2*F$5)/1000</f>
        <v>0.12</v>
      </c>
      <c r="K4820" s="400" t="s">
        <v>204</v>
      </c>
      <c r="L4820" s="399">
        <f t="shared" si="15568"/>
        <v>0.15</v>
      </c>
      <c r="M4820" s="399" t="s">
        <v>176</v>
      </c>
      <c r="N4820" s="399">
        <f t="shared" si="15569"/>
        <v>0.27</v>
      </c>
      <c r="O4820" s="399"/>
      <c r="P4820" s="399"/>
      <c r="Q4820" s="399"/>
      <c r="R4820" s="399"/>
      <c r="S4820" s="399"/>
      <c r="T4820" s="399" t="s">
        <v>125</v>
      </c>
      <c r="U4820" s="401">
        <f t="shared" si="15570"/>
        <v>0</v>
      </c>
      <c r="V4820" s="399" t="s">
        <v>125</v>
      </c>
      <c r="W4820" s="399">
        <f t="shared" si="15571"/>
        <v>20</v>
      </c>
      <c r="X4820" s="399" t="s">
        <v>125</v>
      </c>
      <c r="Y4820" s="389">
        <f t="shared" ref="Y4820" si="15576">D4805</f>
        <v>0</v>
      </c>
      <c r="Z4820" s="400" t="s">
        <v>176</v>
      </c>
      <c r="AA4820" s="402">
        <f t="shared" si="15573"/>
        <v>0</v>
      </c>
      <c r="AB4820" s="403"/>
    </row>
    <row r="4821" spans="1:28">
      <c r="A4821" s="384" t="str">
        <f t="shared" ref="A4821:B4821" si="15577">A4795</f>
        <v>Lantai 3</v>
      </c>
      <c r="B4821" s="385">
        <f t="shared" si="15577"/>
        <v>18</v>
      </c>
      <c r="C4821" s="393" t="s">
        <v>213</v>
      </c>
      <c r="D4821" s="398">
        <f>VLOOKUP(D4795,'Detail Balok'!$C$10:$BJ$140,56,FALSE)</f>
        <v>0</v>
      </c>
      <c r="E4821" s="388" t="s">
        <v>16</v>
      </c>
      <c r="F4821" s="388">
        <f>VLOOKUP(D4795,'Detail Balok'!$C$10:$BJ$140,58,FALSE)</f>
        <v>0</v>
      </c>
      <c r="G4821" s="405" t="s">
        <v>157</v>
      </c>
      <c r="H4821" s="395">
        <f>VLOOKUP(D4795,'Detail Balok'!$C$10:$BJ$140,60,FALSE)</f>
        <v>100</v>
      </c>
      <c r="I4821" s="388"/>
      <c r="J4821" s="399">
        <f t="shared" ref="J4821" si="15578">(D4796-2*F$5)/1000</f>
        <v>0.12</v>
      </c>
      <c r="K4821" s="400" t="s">
        <v>204</v>
      </c>
      <c r="L4821" s="399">
        <f t="shared" si="15568"/>
        <v>0.15</v>
      </c>
      <c r="M4821" s="399" t="s">
        <v>176</v>
      </c>
      <c r="N4821" s="399">
        <f t="shared" si="15569"/>
        <v>0.27</v>
      </c>
      <c r="O4821" s="399"/>
      <c r="P4821" s="399"/>
      <c r="Q4821" s="399"/>
      <c r="R4821" s="399"/>
      <c r="S4821" s="399"/>
      <c r="T4821" s="399" t="s">
        <v>125</v>
      </c>
      <c r="U4821" s="401">
        <f t="shared" si="15570"/>
        <v>0</v>
      </c>
      <c r="V4821" s="399" t="s">
        <v>125</v>
      </c>
      <c r="W4821" s="399">
        <f t="shared" si="15571"/>
        <v>16</v>
      </c>
      <c r="X4821" s="399" t="s">
        <v>125</v>
      </c>
      <c r="Y4821" s="389">
        <f t="shared" ref="Y4821" si="15579">D4805</f>
        <v>0</v>
      </c>
      <c r="Z4821" s="400" t="s">
        <v>176</v>
      </c>
      <c r="AA4821" s="402">
        <f t="shared" si="15573"/>
        <v>0</v>
      </c>
      <c r="AB4821" s="403"/>
    </row>
    <row r="4822" spans="1:28">
      <c r="A4822" s="391"/>
      <c r="B4822" s="392"/>
      <c r="C4822" s="392"/>
      <c r="D4822" s="394"/>
      <c r="E4822" s="388"/>
      <c r="F4822" s="388"/>
      <c r="G4822" s="388"/>
      <c r="H4822" s="395"/>
      <c r="I4822" s="388"/>
      <c r="J4822" s="402"/>
      <c r="K4822" s="388"/>
      <c r="L4822" s="388"/>
      <c r="M4822" s="388"/>
      <c r="N4822" s="388"/>
      <c r="O4822" s="388"/>
      <c r="P4822" s="388"/>
      <c r="Q4822" s="388"/>
      <c r="R4822" s="388"/>
      <c r="S4822" s="388"/>
      <c r="T4822" s="388"/>
      <c r="U4822" s="388"/>
      <c r="V4822" s="388"/>
      <c r="W4822" s="388"/>
      <c r="X4822" s="388"/>
      <c r="Y4822" s="389"/>
      <c r="Z4822" s="388"/>
      <c r="AA4822" s="402"/>
      <c r="AB4822" s="403"/>
    </row>
    <row r="4823" spans="1:28" ht="15.75" thickBot="1">
      <c r="A4823" s="406"/>
      <c r="B4823" s="407"/>
      <c r="C4823" s="407"/>
      <c r="D4823" s="408"/>
      <c r="E4823" s="409"/>
      <c r="F4823" s="409"/>
      <c r="G4823" s="409"/>
      <c r="H4823" s="410"/>
      <c r="I4823" s="409"/>
      <c r="J4823" s="409"/>
      <c r="K4823" s="409"/>
      <c r="L4823" s="409"/>
      <c r="M4823" s="409"/>
      <c r="N4823" s="409"/>
      <c r="O4823" s="409"/>
      <c r="P4823" s="409"/>
      <c r="Q4823" s="409"/>
      <c r="R4823" s="409"/>
      <c r="S4823" s="409"/>
      <c r="T4823" s="409"/>
      <c r="U4823" s="409"/>
      <c r="V4823" s="409"/>
      <c r="W4823" s="409"/>
      <c r="X4823" s="409"/>
      <c r="Y4823" s="411"/>
      <c r="Z4823" s="409"/>
      <c r="AA4823" s="412"/>
      <c r="AB4823" s="413"/>
    </row>
    <row r="4824" spans="1:28">
      <c r="A4824" s="377"/>
      <c r="B4824" s="378"/>
      <c r="C4824" s="378"/>
      <c r="D4824" s="379"/>
      <c r="E4824" s="380"/>
      <c r="F4824" s="380"/>
      <c r="G4824" s="380"/>
      <c r="H4824" s="381"/>
      <c r="I4824" s="380"/>
      <c r="J4824" s="380"/>
      <c r="K4824" s="380"/>
      <c r="L4824" s="380"/>
      <c r="M4824" s="380"/>
      <c r="N4824" s="380"/>
      <c r="O4824" s="380"/>
      <c r="P4824" s="380"/>
      <c r="Q4824" s="380"/>
      <c r="R4824" s="380"/>
      <c r="S4824" s="380"/>
      <c r="T4824" s="380"/>
      <c r="U4824" s="380"/>
      <c r="V4824" s="380"/>
      <c r="W4824" s="380"/>
      <c r="X4824" s="380"/>
      <c r="Y4824" s="382"/>
      <c r="Z4824" s="380"/>
      <c r="AA4824" s="380"/>
      <c r="AB4824" s="383"/>
    </row>
    <row r="4825" spans="1:28">
      <c r="A4825" s="384" t="str">
        <f t="shared" ref="A4825:A4885" si="15580">A4795</f>
        <v>Lantai 3</v>
      </c>
      <c r="B4825" s="385">
        <f t="shared" ref="B4825:B4885" si="15581">B4795+1</f>
        <v>19</v>
      </c>
      <c r="C4825" s="386" t="str">
        <f t="shared" ref="C4825" si="15582">CONCATENATE(A4825," no. ",B4825)</f>
        <v>Lantai 3 no. 19</v>
      </c>
      <c r="D4825" s="2562" t="str">
        <f>VLOOKUP(C4825,'Data Panjang Balok'!$C$9:$N$254,2,FALSE)</f>
        <v>CL24-1</v>
      </c>
      <c r="E4825" s="2576"/>
      <c r="F4825" s="2576"/>
      <c r="G4825" s="2576"/>
      <c r="H4825" s="2577"/>
      <c r="I4825" s="387"/>
      <c r="J4825" s="388"/>
      <c r="K4825" s="388"/>
      <c r="L4825" s="388"/>
      <c r="M4825" s="388"/>
      <c r="N4825" s="388"/>
      <c r="O4825" s="388"/>
      <c r="P4825" s="388"/>
      <c r="Q4825" s="388"/>
      <c r="R4825" s="388"/>
      <c r="S4825" s="388"/>
      <c r="T4825" s="388"/>
      <c r="U4825" s="388"/>
      <c r="V4825" s="388"/>
      <c r="W4825" s="388"/>
      <c r="X4825" s="388"/>
      <c r="Y4825" s="389"/>
      <c r="Z4825" s="388"/>
      <c r="AA4825" s="388"/>
      <c r="AB4825" s="390"/>
    </row>
    <row r="4826" spans="1:28">
      <c r="A4826" s="391"/>
      <c r="B4826" s="392"/>
      <c r="C4826" s="393" t="s">
        <v>118</v>
      </c>
      <c r="D4826" s="2578">
        <f>VLOOKUP(D4825,'Detail Balok'!$C$10:$AU$140,2,FALSE)</f>
        <v>200</v>
      </c>
      <c r="E4826" s="2579"/>
      <c r="F4826" s="388" t="s">
        <v>125</v>
      </c>
      <c r="G4826" s="2579">
        <f>VLOOKUP(D4825,'Detail Balok'!$C$10:$AU$140,3,FALSE)</f>
        <v>400</v>
      </c>
      <c r="H4826" s="2580"/>
      <c r="I4826" s="388"/>
      <c r="J4826" s="396"/>
      <c r="K4826" s="396"/>
      <c r="L4826" s="396"/>
      <c r="M4826" s="396"/>
      <c r="N4826" s="396"/>
      <c r="O4826" s="396"/>
      <c r="P4826" s="396"/>
      <c r="Q4826" s="396"/>
      <c r="R4826" s="396"/>
      <c r="S4826" s="396"/>
      <c r="T4826" s="396"/>
      <c r="U4826" s="388"/>
      <c r="V4826" s="396"/>
      <c r="W4826" s="388"/>
      <c r="X4826" s="396"/>
      <c r="Y4826" s="389"/>
      <c r="Z4826" s="396"/>
      <c r="AA4826" s="388"/>
      <c r="AB4826" s="390"/>
    </row>
    <row r="4827" spans="1:28">
      <c r="A4827" s="391"/>
      <c r="B4827" s="392"/>
      <c r="C4827" s="393" t="s">
        <v>198</v>
      </c>
      <c r="D4827" s="2562">
        <f>VLOOKUP(C4825,'Data Panjang Balok'!$C$9:$N$254,4,FALSE)</f>
        <v>1075</v>
      </c>
      <c r="E4827" s="2563"/>
      <c r="F4827" s="2563"/>
      <c r="G4827" s="2563"/>
      <c r="H4827" s="2564"/>
      <c r="I4827" s="397"/>
      <c r="J4827" s="396"/>
      <c r="K4827" s="396"/>
      <c r="L4827" s="396"/>
      <c r="M4827" s="396"/>
      <c r="N4827" s="396"/>
      <c r="O4827" s="396"/>
      <c r="P4827" s="396"/>
      <c r="Q4827" s="396"/>
      <c r="R4827" s="396"/>
      <c r="S4827" s="396"/>
      <c r="T4827" s="396"/>
      <c r="U4827" s="388"/>
      <c r="V4827" s="396"/>
      <c r="W4827" s="388"/>
      <c r="X4827" s="396"/>
      <c r="Y4827" s="389"/>
      <c r="Z4827" s="396"/>
      <c r="AA4827" s="388"/>
      <c r="AB4827" s="390"/>
    </row>
    <row r="4828" spans="1:28">
      <c r="A4828" s="391"/>
      <c r="B4828" s="392"/>
      <c r="C4828" s="393" t="s">
        <v>199</v>
      </c>
      <c r="D4828" s="2562">
        <f>VLOOKUP(C4825,'Data Panjang Balok'!$C$9:$N$254,7,FALSE)</f>
        <v>1075</v>
      </c>
      <c r="E4828" s="2563"/>
      <c r="F4828" s="2563"/>
      <c r="G4828" s="2563"/>
      <c r="H4828" s="2564"/>
      <c r="I4828" s="397"/>
      <c r="J4828" s="396"/>
      <c r="K4828" s="396"/>
      <c r="L4828" s="396"/>
      <c r="M4828" s="396"/>
      <c r="N4828" s="396"/>
      <c r="O4828" s="396"/>
      <c r="P4828" s="396"/>
      <c r="Q4828" s="396"/>
      <c r="R4828" s="396"/>
      <c r="S4828" s="396"/>
      <c r="T4828" s="396"/>
      <c r="U4828" s="388"/>
      <c r="V4828" s="396"/>
      <c r="W4828" s="388"/>
      <c r="X4828" s="396"/>
      <c r="Y4828" s="389"/>
      <c r="Z4828" s="396"/>
      <c r="AA4828" s="388"/>
      <c r="AB4828" s="390"/>
    </row>
    <row r="4829" spans="1:28">
      <c r="A4829" s="391"/>
      <c r="B4829" s="392"/>
      <c r="C4829" s="393" t="s">
        <v>200</v>
      </c>
      <c r="D4829" s="2562">
        <f>VLOOKUP(C4825,'Data Panjang Balok'!$C$9:$N$254,9,FALSE)</f>
        <v>0</v>
      </c>
      <c r="E4829" s="2563"/>
      <c r="F4829" s="2563"/>
      <c r="G4829" s="2563"/>
      <c r="H4829" s="2564"/>
      <c r="I4829" s="397"/>
      <c r="J4829" s="396"/>
      <c r="K4829" s="396"/>
      <c r="L4829" s="396"/>
      <c r="M4829" s="396"/>
      <c r="N4829" s="396"/>
      <c r="O4829" s="396"/>
      <c r="P4829" s="396"/>
      <c r="Q4829" s="396"/>
      <c r="R4829" s="396"/>
      <c r="S4829" s="396"/>
      <c r="T4829" s="396"/>
      <c r="U4829" s="388"/>
      <c r="V4829" s="396"/>
      <c r="W4829" s="388"/>
      <c r="X4829" s="396"/>
      <c r="Y4829" s="389"/>
      <c r="Z4829" s="396"/>
      <c r="AA4829" s="388"/>
      <c r="AB4829" s="390"/>
    </row>
    <row r="4830" spans="1:28">
      <c r="A4830" s="391"/>
      <c r="B4830" s="392"/>
      <c r="C4830" s="393" t="s">
        <v>201</v>
      </c>
      <c r="D4830" s="2562">
        <f>VLOOKUP(C4825,'Data Panjang Balok'!$C$9:$N$254,10,FALSE)</f>
        <v>0</v>
      </c>
      <c r="E4830" s="2563"/>
      <c r="F4830" s="2563"/>
      <c r="G4830" s="2563"/>
      <c r="H4830" s="2564"/>
      <c r="I4830" s="397"/>
      <c r="J4830" s="396"/>
      <c r="K4830" s="396"/>
      <c r="L4830" s="396"/>
      <c r="M4830" s="396"/>
      <c r="N4830" s="396"/>
      <c r="O4830" s="396"/>
      <c r="P4830" s="396"/>
      <c r="Q4830" s="396"/>
      <c r="R4830" s="396"/>
      <c r="S4830" s="396"/>
      <c r="T4830" s="396"/>
      <c r="U4830" s="388"/>
      <c r="V4830" s="396"/>
      <c r="W4830" s="388"/>
      <c r="X4830" s="396"/>
      <c r="Y4830" s="389"/>
      <c r="Z4830" s="396"/>
      <c r="AA4830" s="388"/>
      <c r="AB4830" s="390"/>
    </row>
    <row r="4831" spans="1:28">
      <c r="A4831" s="391"/>
      <c r="B4831" s="392"/>
      <c r="C4831" s="393" t="s">
        <v>48</v>
      </c>
      <c r="D4831" s="2562">
        <f>VLOOKUP(C4825,'Data Panjang Balok'!$C$9:$N$254,3,FALSE)</f>
        <v>1</v>
      </c>
      <c r="E4831" s="2563"/>
      <c r="F4831" s="2563"/>
      <c r="G4831" s="2563"/>
      <c r="H4831" s="2564"/>
      <c r="I4831" s="397"/>
      <c r="J4831" s="396"/>
      <c r="K4831" s="396"/>
      <c r="L4831" s="396"/>
      <c r="M4831" s="396"/>
      <c r="N4831" s="396"/>
      <c r="O4831" s="396"/>
      <c r="P4831" s="396"/>
      <c r="Q4831" s="396"/>
      <c r="R4831" s="396"/>
      <c r="S4831" s="396"/>
      <c r="T4831" s="396"/>
      <c r="U4831" s="388"/>
      <c r="V4831" s="396"/>
      <c r="W4831" s="388"/>
      <c r="X4831" s="396"/>
      <c r="Y4831" s="389"/>
      <c r="Z4831" s="396"/>
      <c r="AA4831" s="388"/>
      <c r="AB4831" s="390"/>
    </row>
    <row r="4832" spans="1:28">
      <c r="A4832" s="384" t="str">
        <f t="shared" ref="A4832:B4832" si="15583">A4825</f>
        <v>Lantai 3</v>
      </c>
      <c r="B4832" s="385">
        <f t="shared" si="15583"/>
        <v>19</v>
      </c>
      <c r="C4832" s="393" t="s">
        <v>202</v>
      </c>
      <c r="D4832" s="398">
        <f>VLOOKUP(D4825,'Detail Balok'!$C$10:$AU$140,4,FALSE)</f>
        <v>3</v>
      </c>
      <c r="E4832" s="388" t="s">
        <v>16</v>
      </c>
      <c r="F4832" s="388">
        <f>VLOOKUP(D4825,'Detail Balok'!$C$10:$AU$140,6,FALSE)</f>
        <v>16</v>
      </c>
      <c r="G4832" s="388"/>
      <c r="H4832" s="395"/>
      <c r="I4832" s="388" t="s">
        <v>203</v>
      </c>
      <c r="J4832" s="399">
        <f t="shared" ref="J4832" si="15584">+D4827/4/1000</f>
        <v>0.26874999999999999</v>
      </c>
      <c r="K4832" s="400" t="s">
        <v>204</v>
      </c>
      <c r="L4832" s="399">
        <f t="shared" ref="L4832" si="15585">MAX(VLOOKUP(F4832,N$6:P$15,3,FALSE)/1000,2/3*D4829/1000)+F$16*F4832/1000</f>
        <v>0.192</v>
      </c>
      <c r="M4832" s="399" t="s">
        <v>176</v>
      </c>
      <c r="N4832" s="399">
        <f t="shared" ref="N4832:N4834" si="15586">J4832+L4832</f>
        <v>0.46074999999999999</v>
      </c>
      <c r="O4832" s="399" t="s">
        <v>204</v>
      </c>
      <c r="P4832" s="389">
        <f t="shared" ref="P4832" si="15587">D4832-D4833</f>
        <v>0</v>
      </c>
      <c r="Q4832" s="399" t="s">
        <v>125</v>
      </c>
      <c r="R4832" s="399">
        <f t="shared" ref="R4832" si="15588">IF(P4832&gt;0,$F$18*F4832/1000,0)</f>
        <v>0</v>
      </c>
      <c r="S4832" s="399" t="s">
        <v>205</v>
      </c>
      <c r="T4832" s="399" t="s">
        <v>125</v>
      </c>
      <c r="U4832" s="401">
        <f t="shared" ref="U4832:U4834" si="15589">0.006165*F4832^2</f>
        <v>1.5782400000000001</v>
      </c>
      <c r="V4832" s="399"/>
      <c r="W4832" s="399"/>
      <c r="X4832" s="399" t="s">
        <v>125</v>
      </c>
      <c r="Y4832" s="389">
        <f t="shared" ref="Y4832" si="15590">D4831</f>
        <v>1</v>
      </c>
      <c r="Z4832" s="400" t="s">
        <v>176</v>
      </c>
      <c r="AA4832" s="402">
        <f t="shared" ref="AA4832" si="15591">IF(AA4835=0,(D4832*N4832+P4832*R4832)*U4832*Y4832,0)</f>
        <v>0</v>
      </c>
      <c r="AB4832" s="403"/>
    </row>
    <row r="4833" spans="1:28">
      <c r="A4833" s="384" t="str">
        <f t="shared" ref="A4833:B4833" si="15592">A4825</f>
        <v>Lantai 3</v>
      </c>
      <c r="B4833" s="385">
        <f t="shared" si="15592"/>
        <v>19</v>
      </c>
      <c r="C4833" s="393" t="s">
        <v>206</v>
      </c>
      <c r="D4833" s="398">
        <f>VLOOKUP(D4825,'Detail Balok'!$C$10:$AU$140,7,FALSE)</f>
        <v>3</v>
      </c>
      <c r="E4833" s="388" t="s">
        <v>16</v>
      </c>
      <c r="F4833" s="388">
        <f>VLOOKUP(D4825,'Detail Balok'!$C$10:$AU$140,9,FALSE)</f>
        <v>16</v>
      </c>
      <c r="G4833" s="388"/>
      <c r="H4833" s="395"/>
      <c r="I4833" s="388" t="s">
        <v>203</v>
      </c>
      <c r="J4833" s="399">
        <f t="shared" ref="J4833" si="15593">+D4827/2/1000</f>
        <v>0.53749999999999998</v>
      </c>
      <c r="K4833" s="400" t="s">
        <v>204</v>
      </c>
      <c r="L4833" s="399"/>
      <c r="M4833" s="399" t="s">
        <v>176</v>
      </c>
      <c r="N4833" s="399">
        <f t="shared" si="15586"/>
        <v>0.53749999999999998</v>
      </c>
      <c r="O4833" s="399" t="s">
        <v>204</v>
      </c>
      <c r="P4833" s="389">
        <f t="shared" ref="P4833" si="15594">MAX(D4833-D4832,D4833-D4834)</f>
        <v>0</v>
      </c>
      <c r="Q4833" s="399" t="s">
        <v>125</v>
      </c>
      <c r="R4833" s="399">
        <f t="shared" ref="R4833" si="15595">IF(P4833&gt;0,2*(1-2*$F$19-1/2)*D4828/1000,0)</f>
        <v>0</v>
      </c>
      <c r="S4833" s="399" t="s">
        <v>205</v>
      </c>
      <c r="T4833" s="399" t="s">
        <v>125</v>
      </c>
      <c r="U4833" s="401">
        <f t="shared" si="15589"/>
        <v>1.5782400000000001</v>
      </c>
      <c r="V4833" s="399"/>
      <c r="W4833" s="399"/>
      <c r="X4833" s="399" t="s">
        <v>125</v>
      </c>
      <c r="Y4833" s="389">
        <f t="shared" ref="Y4833" si="15596">D4831</f>
        <v>1</v>
      </c>
      <c r="Z4833" s="400" t="s">
        <v>176</v>
      </c>
      <c r="AA4833" s="402">
        <f t="shared" ref="AA4833" si="15597">IF(AA4835=0,(D4833*N4833+P4833*R4833)*U4833*Y4833,0)</f>
        <v>0</v>
      </c>
      <c r="AB4833" s="403"/>
    </row>
    <row r="4834" spans="1:28">
      <c r="A4834" s="384" t="str">
        <f t="shared" ref="A4834:B4834" si="15598">A4825</f>
        <v>Lantai 3</v>
      </c>
      <c r="B4834" s="385">
        <f t="shared" si="15598"/>
        <v>19</v>
      </c>
      <c r="C4834" s="393" t="s">
        <v>202</v>
      </c>
      <c r="D4834" s="398">
        <f>VLOOKUP(D4825,'Detail Balok'!$C$10:$AU$140,10,FALSE)</f>
        <v>3</v>
      </c>
      <c r="E4834" s="388" t="s">
        <v>16</v>
      </c>
      <c r="F4834" s="388">
        <f>VLOOKUP(D4825,'Detail Balok'!$C$10:$AU$140,12,FALSE)</f>
        <v>16</v>
      </c>
      <c r="G4834" s="388"/>
      <c r="H4834" s="395"/>
      <c r="I4834" s="388" t="s">
        <v>203</v>
      </c>
      <c r="J4834" s="399">
        <f t="shared" ref="J4834" si="15599">+D4827/4/1000</f>
        <v>0.26874999999999999</v>
      </c>
      <c r="K4834" s="400" t="s">
        <v>204</v>
      </c>
      <c r="L4834" s="399">
        <f t="shared" ref="L4834" si="15600">MAX(VLOOKUP(F4834,N$6:P$15,3,FALSE)/1000,2/3*D4829/1000)+F$16*F4834/1000</f>
        <v>0.192</v>
      </c>
      <c r="M4834" s="399" t="s">
        <v>176</v>
      </c>
      <c r="N4834" s="399">
        <f t="shared" si="15586"/>
        <v>0.46074999999999999</v>
      </c>
      <c r="O4834" s="399" t="s">
        <v>204</v>
      </c>
      <c r="P4834" s="389">
        <f t="shared" ref="P4834" si="15601">D4834-D4833</f>
        <v>0</v>
      </c>
      <c r="Q4834" s="399" t="s">
        <v>125</v>
      </c>
      <c r="R4834" s="399">
        <f t="shared" ref="R4834" si="15602">IF(P4834&gt;0,$F$18*F4834/1000,0)</f>
        <v>0</v>
      </c>
      <c r="S4834" s="399" t="s">
        <v>205</v>
      </c>
      <c r="T4834" s="399" t="s">
        <v>125</v>
      </c>
      <c r="U4834" s="401">
        <f t="shared" si="15589"/>
        <v>1.5782400000000001</v>
      </c>
      <c r="V4834" s="399"/>
      <c r="W4834" s="399"/>
      <c r="X4834" s="399" t="s">
        <v>125</v>
      </c>
      <c r="Y4834" s="389">
        <f t="shared" ref="Y4834" si="15603">D4831</f>
        <v>1</v>
      </c>
      <c r="Z4834" s="400" t="s">
        <v>176</v>
      </c>
      <c r="AA4834" s="402">
        <f t="shared" ref="AA4834" si="15604">IF(AA4835=0,(D4834*N4834+P4834*R4834)*U4834*Y4834,0)</f>
        <v>0</v>
      </c>
      <c r="AB4834" s="403"/>
    </row>
    <row r="4835" spans="1:28">
      <c r="A4835" s="384" t="str">
        <f t="shared" ref="A4835:B4835" si="15605">A4825</f>
        <v>Lantai 3</v>
      </c>
      <c r="B4835" s="385">
        <f t="shared" si="15605"/>
        <v>19</v>
      </c>
      <c r="C4835" s="393"/>
      <c r="D4835" s="398">
        <f t="shared" si="15501"/>
        <v>3</v>
      </c>
      <c r="E4835" s="388" t="s">
        <v>16</v>
      </c>
      <c r="F4835" s="388">
        <f t="shared" si="15502"/>
        <v>16</v>
      </c>
      <c r="G4835" s="388"/>
      <c r="H4835" s="395"/>
      <c r="I4835" s="388"/>
      <c r="J4835" s="396"/>
      <c r="K4835" s="396"/>
      <c r="L4835" s="404" t="s">
        <v>207</v>
      </c>
      <c r="M4835" s="399" t="s">
        <v>176</v>
      </c>
      <c r="N4835" s="399">
        <f t="shared" ref="N4835" si="15606">IF(AND(D4832=D4833,D4832=D4834,D4833=D4834,F4832=F4833,F4832=F4834,F4833=F4834),SUM(N4832:N4834),0)</f>
        <v>1.4590000000000001</v>
      </c>
      <c r="O4835" s="399" t="s">
        <v>204</v>
      </c>
      <c r="P4835" s="389">
        <f t="shared" ref="P4835" si="15607">IF(N4835&gt;12,ROUNDDOWN(N4835/12,0),0)</f>
        <v>0</v>
      </c>
      <c r="Q4835" s="399" t="s">
        <v>125</v>
      </c>
      <c r="R4835" s="399">
        <f t="shared" ref="R4835" si="15608">IF(P4835&gt;0,MAX(VLOOKUP(F4835,$D$6:$G$15,3,FALSE),600),0)/1000</f>
        <v>0</v>
      </c>
      <c r="S4835" s="396"/>
      <c r="T4835" s="396" t="s">
        <v>125</v>
      </c>
      <c r="U4835" s="401">
        <f t="shared" si="15506"/>
        <v>1.5782400000000001</v>
      </c>
      <c r="V4835" s="396" t="s">
        <v>125</v>
      </c>
      <c r="W4835" s="399">
        <f t="shared" ref="W4835" si="15609">D4835</f>
        <v>3</v>
      </c>
      <c r="X4835" s="399" t="s">
        <v>125</v>
      </c>
      <c r="Y4835" s="389">
        <f t="shared" si="15508"/>
        <v>1</v>
      </c>
      <c r="Z4835" s="400" t="s">
        <v>176</v>
      </c>
      <c r="AA4835" s="402">
        <f t="shared" ref="AA4835" si="15610">(N4835+P4835*R4835/1000)*U4835*W4835*Y4835</f>
        <v>6.9079564800000002</v>
      </c>
      <c r="AB4835" s="390"/>
    </row>
    <row r="4836" spans="1:28">
      <c r="A4836" s="384"/>
      <c r="B4836" s="385"/>
      <c r="C4836" s="393"/>
      <c r="D4836" s="398"/>
      <c r="E4836" s="388"/>
      <c r="F4836" s="388"/>
      <c r="G4836" s="388"/>
      <c r="H4836" s="395"/>
      <c r="I4836" s="388"/>
      <c r="J4836" s="396"/>
      <c r="K4836" s="396"/>
      <c r="L4836" s="404"/>
      <c r="M4836" s="399"/>
      <c r="N4836" s="399"/>
      <c r="O4836" s="396"/>
      <c r="P4836" s="389"/>
      <c r="Q4836" s="396"/>
      <c r="R4836" s="396"/>
      <c r="S4836" s="396"/>
      <c r="T4836" s="396"/>
      <c r="U4836" s="401"/>
      <c r="V4836" s="396"/>
      <c r="W4836" s="399"/>
      <c r="X4836" s="396"/>
      <c r="Y4836" s="389"/>
      <c r="Z4836" s="396"/>
      <c r="AA4836" s="388"/>
      <c r="AB4836" s="390"/>
    </row>
    <row r="4837" spans="1:28">
      <c r="A4837" s="384" t="str">
        <f t="shared" ref="A4837:B4837" si="15611">A4825</f>
        <v>Lantai 3</v>
      </c>
      <c r="B4837" s="385">
        <f t="shared" si="15611"/>
        <v>19</v>
      </c>
      <c r="C4837" s="393" t="s">
        <v>208</v>
      </c>
      <c r="D4837" s="398">
        <f>VLOOKUP(D4825,'Detail Balok'!$C$10:$AU$140,13,FALSE)</f>
        <v>0</v>
      </c>
      <c r="E4837" s="388" t="s">
        <v>16</v>
      </c>
      <c r="F4837" s="388">
        <f>VLOOKUP(D4825,'Detail Balok'!$C$10:$AU$140,15,FALSE)</f>
        <v>8</v>
      </c>
      <c r="G4837" s="388"/>
      <c r="H4837" s="395"/>
      <c r="I4837" s="388"/>
      <c r="J4837" s="399">
        <f t="shared" ref="J4837" si="15612">+D4827/1000</f>
        <v>1.075</v>
      </c>
      <c r="K4837" s="400" t="s">
        <v>204</v>
      </c>
      <c r="L4837" s="399">
        <f t="shared" ref="L4837" si="15613">2*$F$16*F4837/1000</f>
        <v>0.192</v>
      </c>
      <c r="M4837" s="399" t="s">
        <v>176</v>
      </c>
      <c r="N4837" s="399">
        <f t="shared" ref="N4837" si="15614">J4837+L4837</f>
        <v>1.2669999999999999</v>
      </c>
      <c r="O4837" s="399" t="s">
        <v>204</v>
      </c>
      <c r="P4837" s="389">
        <f t="shared" ref="P4837" si="15615">IF(N4837&gt;12,ROUNDDOWN(N4837/12,0),0)</f>
        <v>0</v>
      </c>
      <c r="Q4837" s="399" t="s">
        <v>125</v>
      </c>
      <c r="R4837" s="399">
        <f t="shared" ref="R4837" si="15616">IF(P4837&gt;0,MAX(VLOOKUP(F4837,$D$6:$G$15,3,FALSE),600),0)/1000</f>
        <v>0</v>
      </c>
      <c r="S4837" s="399"/>
      <c r="T4837" s="399" t="s">
        <v>125</v>
      </c>
      <c r="U4837" s="401">
        <f t="shared" ref="U4837" si="15617">0.006165*F4837^2</f>
        <v>0.39456000000000002</v>
      </c>
      <c r="V4837" s="399" t="s">
        <v>125</v>
      </c>
      <c r="W4837" s="399">
        <f t="shared" ref="W4837" si="15618">+D4837</f>
        <v>0</v>
      </c>
      <c r="X4837" s="399" t="s">
        <v>125</v>
      </c>
      <c r="Y4837" s="389">
        <f t="shared" ref="Y4837" si="15619">D4831</f>
        <v>1</v>
      </c>
      <c r="Z4837" s="400" t="s">
        <v>176</v>
      </c>
      <c r="AA4837" s="402">
        <f t="shared" ref="AA4837" si="15620">(N4837+P4837*R4837/1000)*U4837*W4837*Y4837</f>
        <v>0</v>
      </c>
      <c r="AB4837" s="403"/>
    </row>
    <row r="4838" spans="1:28">
      <c r="A4838" s="384"/>
      <c r="B4838" s="385"/>
      <c r="C4838" s="393"/>
      <c r="D4838" s="398"/>
      <c r="E4838" s="388"/>
      <c r="F4838" s="388"/>
      <c r="G4838" s="388"/>
      <c r="H4838" s="395"/>
      <c r="I4838" s="388"/>
      <c r="J4838" s="399"/>
      <c r="K4838" s="400"/>
      <c r="L4838" s="399"/>
      <c r="M4838" s="399"/>
      <c r="N4838" s="399"/>
      <c r="O4838" s="399"/>
      <c r="P4838" s="389"/>
      <c r="Q4838" s="399"/>
      <c r="R4838" s="399"/>
      <c r="S4838" s="399"/>
      <c r="T4838" s="399"/>
      <c r="U4838" s="401"/>
      <c r="V4838" s="399"/>
      <c r="W4838" s="399"/>
      <c r="X4838" s="399"/>
      <c r="Y4838" s="389"/>
      <c r="Z4838" s="400"/>
      <c r="AA4838" s="402"/>
      <c r="AB4838" s="403"/>
    </row>
    <row r="4839" spans="1:28">
      <c r="A4839" s="384"/>
      <c r="B4839" s="385"/>
      <c r="C4839" s="393"/>
      <c r="D4839" s="398"/>
      <c r="E4839" s="388"/>
      <c r="F4839" s="388"/>
      <c r="G4839" s="388"/>
      <c r="H4839" s="395"/>
      <c r="I4839" s="388"/>
      <c r="J4839" s="396"/>
      <c r="K4839" s="396"/>
      <c r="L4839" s="396"/>
      <c r="M4839" s="396"/>
      <c r="N4839" s="396"/>
      <c r="O4839" s="396"/>
      <c r="P4839" s="389"/>
      <c r="Q4839" s="396"/>
      <c r="R4839" s="396"/>
      <c r="S4839" s="396"/>
      <c r="T4839" s="396"/>
      <c r="U4839" s="401"/>
      <c r="V4839" s="396"/>
      <c r="W4839" s="399"/>
      <c r="X4839" s="396"/>
      <c r="Y4839" s="389"/>
      <c r="Z4839" s="396"/>
      <c r="AA4839" s="388"/>
      <c r="AB4839" s="390"/>
    </row>
    <row r="4840" spans="1:28">
      <c r="A4840" s="384" t="str">
        <f t="shared" ref="A4840:B4840" si="15621">A4825</f>
        <v>Lantai 3</v>
      </c>
      <c r="B4840" s="385">
        <f t="shared" si="15621"/>
        <v>19</v>
      </c>
      <c r="C4840" s="393" t="s">
        <v>209</v>
      </c>
      <c r="D4840" s="398">
        <f>VLOOKUP(D4825,'Detail Balok'!$C$10:$AU$140,22,FALSE)</f>
        <v>3</v>
      </c>
      <c r="E4840" s="388" t="s">
        <v>16</v>
      </c>
      <c r="F4840" s="388">
        <f>VLOOKUP(D4825,'Detail Balok'!$C$10:$AU$140,24,FALSE)</f>
        <v>16</v>
      </c>
      <c r="G4840" s="388"/>
      <c r="H4840" s="395"/>
      <c r="I4840" s="388" t="s">
        <v>203</v>
      </c>
      <c r="J4840" s="399">
        <f t="shared" si="15521"/>
        <v>0.26874999999999999</v>
      </c>
      <c r="K4840" s="400" t="s">
        <v>204</v>
      </c>
      <c r="L4840" s="399">
        <f t="shared" ref="L4840" si="15622">MAX(VLOOKUP(F4840,N$6:P$15,3,FALSE)/1000,2/3*D4830/1000)+F$16*F4840/1000</f>
        <v>0.192</v>
      </c>
      <c r="M4840" s="399" t="s">
        <v>176</v>
      </c>
      <c r="N4840" s="399">
        <f t="shared" ref="N4840:N4842" si="15623">J4840+L4840</f>
        <v>0.46074999999999999</v>
      </c>
      <c r="O4840" s="399" t="s">
        <v>204</v>
      </c>
      <c r="P4840" s="389">
        <f t="shared" ref="P4840" si="15624">D4840-D4841</f>
        <v>0</v>
      </c>
      <c r="Q4840" s="399" t="s">
        <v>125</v>
      </c>
      <c r="R4840" s="399">
        <f t="shared" ref="R4840" si="15625">IF(P4840&gt;0,$F$18*F4840/1000,0)</f>
        <v>0</v>
      </c>
      <c r="S4840" s="399" t="s">
        <v>205</v>
      </c>
      <c r="T4840" s="399" t="s">
        <v>125</v>
      </c>
      <c r="U4840" s="401">
        <f t="shared" ref="U4840:U4842" si="15626">0.006165*F4840^2</f>
        <v>1.5782400000000001</v>
      </c>
      <c r="V4840" s="399"/>
      <c r="W4840" s="399"/>
      <c r="X4840" s="399" t="s">
        <v>125</v>
      </c>
      <c r="Y4840" s="389">
        <f t="shared" ref="Y4840" si="15627">D4831</f>
        <v>1</v>
      </c>
      <c r="Z4840" s="400" t="s">
        <v>176</v>
      </c>
      <c r="AA4840" s="402">
        <f t="shared" ref="AA4840" si="15628">IF(AA4843=0,(D4840*N4840+P4840*R4840)*U4840*Y4840,0)</f>
        <v>0</v>
      </c>
      <c r="AB4840" s="403"/>
    </row>
    <row r="4841" spans="1:28">
      <c r="A4841" s="384" t="str">
        <f t="shared" ref="A4841:B4841" si="15629">A4825</f>
        <v>Lantai 3</v>
      </c>
      <c r="B4841" s="385">
        <f t="shared" si="15629"/>
        <v>19</v>
      </c>
      <c r="C4841" s="393" t="s">
        <v>210</v>
      </c>
      <c r="D4841" s="398">
        <f>VLOOKUP(D4825,'Detail Balok'!$C$10:$AU$140,25,FALSE)</f>
        <v>3</v>
      </c>
      <c r="E4841" s="388" t="s">
        <v>16</v>
      </c>
      <c r="F4841" s="388">
        <f>VLOOKUP(D4825,'Detail Balok'!$C$10:$AU$140,27,FALSE)</f>
        <v>16</v>
      </c>
      <c r="G4841" s="388"/>
      <c r="H4841" s="395"/>
      <c r="I4841" s="388" t="s">
        <v>203</v>
      </c>
      <c r="J4841" s="399">
        <f t="shared" si="15521"/>
        <v>0.53749999999999998</v>
      </c>
      <c r="K4841" s="400" t="s">
        <v>204</v>
      </c>
      <c r="L4841" s="399"/>
      <c r="M4841" s="399" t="s">
        <v>176</v>
      </c>
      <c r="N4841" s="399">
        <f t="shared" si="15623"/>
        <v>0.53749999999999998</v>
      </c>
      <c r="O4841" s="399" t="s">
        <v>204</v>
      </c>
      <c r="P4841" s="389">
        <f t="shared" ref="P4841" si="15630">MAX(D4841-D4840,D4841-D4842)</f>
        <v>0</v>
      </c>
      <c r="Q4841" s="399" t="s">
        <v>125</v>
      </c>
      <c r="R4841" s="399">
        <f t="shared" ref="R4841" si="15631">IF(P4841&gt;0,2*(1-2*$F$19-1/2)*D4828/1000,0)</f>
        <v>0</v>
      </c>
      <c r="S4841" s="399" t="s">
        <v>205</v>
      </c>
      <c r="T4841" s="399" t="s">
        <v>125</v>
      </c>
      <c r="U4841" s="401">
        <f t="shared" si="15626"/>
        <v>1.5782400000000001</v>
      </c>
      <c r="V4841" s="399"/>
      <c r="W4841" s="399"/>
      <c r="X4841" s="399" t="s">
        <v>125</v>
      </c>
      <c r="Y4841" s="389">
        <f t="shared" ref="Y4841" si="15632">D4831</f>
        <v>1</v>
      </c>
      <c r="Z4841" s="400" t="s">
        <v>176</v>
      </c>
      <c r="AA4841" s="402">
        <f t="shared" ref="AA4841" si="15633">IF(AA4843=0,(D4841*N4841+P4841*R4841)*U4841*Y4841,0)</f>
        <v>0</v>
      </c>
      <c r="AB4841" s="403"/>
    </row>
    <row r="4842" spans="1:28">
      <c r="A4842" s="384" t="str">
        <f t="shared" ref="A4842:B4842" si="15634">A4825</f>
        <v>Lantai 3</v>
      </c>
      <c r="B4842" s="385">
        <f t="shared" si="15634"/>
        <v>19</v>
      </c>
      <c r="C4842" s="393" t="s">
        <v>209</v>
      </c>
      <c r="D4842" s="398">
        <f>VLOOKUP(D4825,'Detail Balok'!$C$10:$AU$140,28,FALSE)</f>
        <v>3</v>
      </c>
      <c r="E4842" s="388" t="s">
        <v>16</v>
      </c>
      <c r="F4842" s="388">
        <f>VLOOKUP(D4825,'Detail Balok'!$C$10:$AU$140,30,FALSE)</f>
        <v>16</v>
      </c>
      <c r="G4842" s="388"/>
      <c r="H4842" s="395"/>
      <c r="I4842" s="388" t="s">
        <v>203</v>
      </c>
      <c r="J4842" s="399">
        <f t="shared" si="15521"/>
        <v>0.26874999999999999</v>
      </c>
      <c r="K4842" s="400" t="s">
        <v>204</v>
      </c>
      <c r="L4842" s="399">
        <f t="shared" ref="L4842" si="15635">MAX(VLOOKUP(F4842,N$6:P$15,3,FALSE)/1000,2/3*D4830/1000)+F$16*F4842/1000</f>
        <v>0.192</v>
      </c>
      <c r="M4842" s="399" t="s">
        <v>176</v>
      </c>
      <c r="N4842" s="399">
        <f t="shared" si="15623"/>
        <v>0.46074999999999999</v>
      </c>
      <c r="O4842" s="399" t="s">
        <v>204</v>
      </c>
      <c r="P4842" s="389">
        <f t="shared" ref="P4842" si="15636">D4842-D4841</f>
        <v>0</v>
      </c>
      <c r="Q4842" s="399" t="s">
        <v>125</v>
      </c>
      <c r="R4842" s="399">
        <f t="shared" ref="R4842" si="15637">IF(P4842&gt;0,$F$18*F4842/1000,0)</f>
        <v>0</v>
      </c>
      <c r="S4842" s="399" t="s">
        <v>205</v>
      </c>
      <c r="T4842" s="399" t="s">
        <v>125</v>
      </c>
      <c r="U4842" s="401">
        <f t="shared" si="15626"/>
        <v>1.5782400000000001</v>
      </c>
      <c r="V4842" s="399"/>
      <c r="W4842" s="399"/>
      <c r="X4842" s="399" t="s">
        <v>125</v>
      </c>
      <c r="Y4842" s="389">
        <f t="shared" ref="Y4842" si="15638">D4831</f>
        <v>1</v>
      </c>
      <c r="Z4842" s="400" t="s">
        <v>176</v>
      </c>
      <c r="AA4842" s="402">
        <f t="shared" ref="AA4842" si="15639">IF(AA4843=0,(D4842*N4842+P4842*R4842)*U4842*Y4842,0)</f>
        <v>0</v>
      </c>
      <c r="AB4842" s="403"/>
    </row>
    <row r="4843" spans="1:28">
      <c r="A4843" s="384" t="str">
        <f t="shared" ref="A4843:B4843" si="15640">A4825</f>
        <v>Lantai 3</v>
      </c>
      <c r="B4843" s="385">
        <f t="shared" si="15640"/>
        <v>19</v>
      </c>
      <c r="C4843" s="393"/>
      <c r="D4843" s="398">
        <f t="shared" si="15541"/>
        <v>3</v>
      </c>
      <c r="E4843" s="388" t="s">
        <v>16</v>
      </c>
      <c r="F4843" s="388">
        <f t="shared" si="15542"/>
        <v>16</v>
      </c>
      <c r="G4843" s="388"/>
      <c r="H4843" s="395"/>
      <c r="I4843" s="388"/>
      <c r="J4843" s="396"/>
      <c r="K4843" s="396"/>
      <c r="L4843" s="404" t="s">
        <v>207</v>
      </c>
      <c r="M4843" s="399" t="s">
        <v>176</v>
      </c>
      <c r="N4843" s="399">
        <f t="shared" ref="N4843" si="15641">IF(AND(D4840=D4841,D4840=D4842,D4841=D4842,F4840=F4841,F4840=F4842,F4841=F4842),SUM(N4840:N4842),0)</f>
        <v>1.4590000000000001</v>
      </c>
      <c r="O4843" s="399" t="s">
        <v>204</v>
      </c>
      <c r="P4843" s="389">
        <f t="shared" ref="P4843" si="15642">IF(N4843&gt;12,ROUNDDOWN(N4843/12,0),0)</f>
        <v>0</v>
      </c>
      <c r="Q4843" s="399" t="s">
        <v>125</v>
      </c>
      <c r="R4843" s="399">
        <f t="shared" ref="R4843" si="15643">IF(P4843&gt;0,MAX(VLOOKUP(F4843,$D$6:$G$15,3,FALSE),600),0)/1000</f>
        <v>0</v>
      </c>
      <c r="S4843" s="396"/>
      <c r="T4843" s="396" t="s">
        <v>125</v>
      </c>
      <c r="U4843" s="401">
        <f t="shared" si="15546"/>
        <v>1.5782400000000001</v>
      </c>
      <c r="V4843" s="396" t="s">
        <v>125</v>
      </c>
      <c r="W4843" s="399">
        <f t="shared" ref="W4843" si="15644">D4843</f>
        <v>3</v>
      </c>
      <c r="X4843" s="399" t="s">
        <v>125</v>
      </c>
      <c r="Y4843" s="389">
        <f t="shared" si="15548"/>
        <v>1</v>
      </c>
      <c r="Z4843" s="400" t="s">
        <v>176</v>
      </c>
      <c r="AA4843" s="402">
        <f t="shared" ref="AA4843" si="15645">(N4843+P4843*R4843/1000)*U4843*W4843*Y4843</f>
        <v>6.9079564800000002</v>
      </c>
      <c r="AB4843" s="403"/>
    </row>
    <row r="4844" spans="1:28">
      <c r="A4844" s="384"/>
      <c r="B4844" s="385"/>
      <c r="C4844" s="393"/>
      <c r="D4844" s="394"/>
      <c r="E4844" s="388"/>
      <c r="F4844" s="388"/>
      <c r="G4844" s="388"/>
      <c r="H4844" s="395"/>
      <c r="I4844" s="388"/>
      <c r="J4844" s="399"/>
      <c r="K4844" s="396"/>
      <c r="L4844" s="396"/>
      <c r="M4844" s="396"/>
      <c r="N4844" s="396"/>
      <c r="O4844" s="396"/>
      <c r="P4844" s="389"/>
      <c r="Q4844" s="396"/>
      <c r="R4844" s="396"/>
      <c r="S4844" s="396"/>
      <c r="T4844" s="396"/>
      <c r="U4844" s="401"/>
      <c r="V4844" s="396"/>
      <c r="W4844" s="388"/>
      <c r="X4844" s="396"/>
      <c r="Y4844" s="389"/>
      <c r="Z4844" s="396"/>
      <c r="AA4844" s="388"/>
      <c r="AB4844" s="390"/>
    </row>
    <row r="4845" spans="1:28">
      <c r="A4845" s="384" t="str">
        <f t="shared" ref="A4845:B4845" si="15646">A4825</f>
        <v>Lantai 3</v>
      </c>
      <c r="B4845" s="385">
        <f t="shared" si="15646"/>
        <v>19</v>
      </c>
      <c r="C4845" s="393" t="s">
        <v>211</v>
      </c>
      <c r="D4845" s="398">
        <f>VLOOKUP(D4825,'Detail Balok'!$C$10:$AU$140,31,FALSE)</f>
        <v>0</v>
      </c>
      <c r="E4845" s="388" t="s">
        <v>16</v>
      </c>
      <c r="F4845" s="388">
        <f>VLOOKUP(D4825,'Detail Balok'!$C$10:$AU$140,33,FALSE)</f>
        <v>10</v>
      </c>
      <c r="G4845" s="405" t="s">
        <v>157</v>
      </c>
      <c r="H4845" s="395">
        <f>VLOOKUP(D4825,'Detail Balok'!$C$10:$AU$140,35,FALSE)</f>
        <v>100</v>
      </c>
      <c r="I4845" s="388"/>
      <c r="J4845" s="400">
        <f t="shared" ref="J4845" si="15647">(IF(D4845=0,(2*(D4826+G4826))-(F$5*8),IF(D4845=3,(2*(D4826+G4826))-(F$5*8)+(G4826-2*F$5),IF(D4845=4,(2*(D4826+G4826))-(F$5*8)+2*(G4826-2*F$5)))))/1000</f>
        <v>0.88</v>
      </c>
      <c r="K4845" s="400" t="s">
        <v>204</v>
      </c>
      <c r="L4845" s="399">
        <f t="shared" ref="L4845:L4847" si="15648">IF(D4845=0,2*MAX(6*F4845,75),(D4845-1)*2*MAX(6*F4845,75))/1000</f>
        <v>0.15</v>
      </c>
      <c r="M4845" s="399" t="s">
        <v>176</v>
      </c>
      <c r="N4845" s="399">
        <f t="shared" ref="N4845:N4847" si="15649">J4845+L4845</f>
        <v>1.03</v>
      </c>
      <c r="O4845" s="399"/>
      <c r="P4845" s="389"/>
      <c r="Q4845" s="399"/>
      <c r="R4845" s="399"/>
      <c r="S4845" s="399"/>
      <c r="T4845" s="399" t="s">
        <v>125</v>
      </c>
      <c r="U4845" s="401">
        <f t="shared" ref="U4845:U4847" si="15650">0.006165*F4845^2</f>
        <v>0.61650000000000005</v>
      </c>
      <c r="V4845" s="399" t="s">
        <v>125</v>
      </c>
      <c r="W4845" s="399">
        <f t="shared" ref="W4845" si="15651">IF(D4828&gt;4*G4826,ROUND(MAX(D4828/4,2*G4826)/H4845,0)+1,ROUND(D4828/H4845,0)+1)</f>
        <v>12</v>
      </c>
      <c r="X4845" s="399" t="s">
        <v>125</v>
      </c>
      <c r="Y4845" s="389">
        <f t="shared" ref="Y4845" si="15652">D4831</f>
        <v>1</v>
      </c>
      <c r="Z4845" s="400" t="s">
        <v>176</v>
      </c>
      <c r="AA4845" s="402">
        <f t="shared" ref="AA4845:AA4847" si="15653">N4845*U4845*W4845*Y4845</f>
        <v>7.6199400000000015</v>
      </c>
      <c r="AB4845" s="403"/>
    </row>
    <row r="4846" spans="1:28">
      <c r="A4846" s="384" t="str">
        <f t="shared" ref="A4846:B4846" si="15654">A4825</f>
        <v>Lantai 3</v>
      </c>
      <c r="B4846" s="385">
        <f t="shared" si="15654"/>
        <v>19</v>
      </c>
      <c r="C4846" s="393" t="s">
        <v>212</v>
      </c>
      <c r="D4846" s="398">
        <f>VLOOKUP(D4825,'Detail Balok'!$C$10:$AU$140,36,FALSE)</f>
        <v>0</v>
      </c>
      <c r="E4846" s="388" t="s">
        <v>16</v>
      </c>
      <c r="F4846" s="388">
        <f>VLOOKUP(D4825,'Detail Balok'!$C$10:$AU$140,38,FALSE)</f>
        <v>10</v>
      </c>
      <c r="G4846" s="405" t="s">
        <v>157</v>
      </c>
      <c r="H4846" s="395">
        <f>VLOOKUP(D4825,'Detail Balok'!$C$10:$AU$140,40,FALSE)</f>
        <v>100</v>
      </c>
      <c r="I4846" s="388"/>
      <c r="J4846" s="400">
        <f t="shared" ref="J4846" si="15655">(IF(D4846=0,(2*(D4826+G4826))-(F$5*8),IF(D4846=3,(2*(D4826+G4826))-(F$5*8)+(G4826-2*F$5),IF(D4846=4,(2*(D4826+G4826))-(F$5*8)+2*(G4826-2*F$5)))))/1000</f>
        <v>0.88</v>
      </c>
      <c r="K4846" s="400" t="s">
        <v>204</v>
      </c>
      <c r="L4846" s="399">
        <f t="shared" si="15648"/>
        <v>0.15</v>
      </c>
      <c r="M4846" s="399" t="s">
        <v>176</v>
      </c>
      <c r="N4846" s="399">
        <f t="shared" si="15649"/>
        <v>1.03</v>
      </c>
      <c r="O4846" s="399"/>
      <c r="P4846" s="389"/>
      <c r="Q4846" s="399"/>
      <c r="R4846" s="399"/>
      <c r="S4846" s="399"/>
      <c r="T4846" s="399" t="s">
        <v>125</v>
      </c>
      <c r="U4846" s="401">
        <f t="shared" si="15650"/>
        <v>0.61650000000000005</v>
      </c>
      <c r="V4846" s="399" t="s">
        <v>125</v>
      </c>
      <c r="W4846" s="399">
        <f t="shared" ref="W4846" si="15656">IF(D4828-MAX(D4828/4,2*G4826)*2&gt;0,ROUND((D4828-MAX(D4828/4,2*G4826)*2)/H4846,0),0)</f>
        <v>0</v>
      </c>
      <c r="X4846" s="399" t="s">
        <v>125</v>
      </c>
      <c r="Y4846" s="389">
        <f t="shared" ref="Y4846" si="15657">D4831</f>
        <v>1</v>
      </c>
      <c r="Z4846" s="400" t="s">
        <v>176</v>
      </c>
      <c r="AA4846" s="402">
        <f t="shared" si="15653"/>
        <v>0</v>
      </c>
      <c r="AB4846" s="403"/>
    </row>
    <row r="4847" spans="1:28">
      <c r="A4847" s="384" t="str">
        <f t="shared" ref="A4847:B4847" si="15658">A4825</f>
        <v>Lantai 3</v>
      </c>
      <c r="B4847" s="385">
        <f t="shared" si="15658"/>
        <v>19</v>
      </c>
      <c r="C4847" s="393" t="s">
        <v>211</v>
      </c>
      <c r="D4847" s="398">
        <f>VLOOKUP(D4825,'Detail Balok'!$C$10:$AU$140,41,FALSE)</f>
        <v>0</v>
      </c>
      <c r="E4847" s="388" t="s">
        <v>16</v>
      </c>
      <c r="F4847" s="388">
        <f>VLOOKUP(D4825,'Detail Balok'!$C$10:$AU$140,43,FALSE)</f>
        <v>10</v>
      </c>
      <c r="G4847" s="405" t="s">
        <v>157</v>
      </c>
      <c r="H4847" s="395">
        <f>VLOOKUP(D4825,'Detail Balok'!$C$10:$AU$140,45,FALSE)</f>
        <v>100</v>
      </c>
      <c r="I4847" s="388"/>
      <c r="J4847" s="400">
        <f t="shared" ref="J4847" si="15659">(IF(D4847=0,(2*(D4826+G4826))-(F$5*8),IF(D4847=3,(2*(D4826+G4826))-(F$5*8)+(G4826-2*F$5),IF(D4847=4,(2*(D4826+G4826))-(F$5*8)+2*(G4826-2*F$5)))))/1000</f>
        <v>0.88</v>
      </c>
      <c r="K4847" s="400" t="s">
        <v>204</v>
      </c>
      <c r="L4847" s="399">
        <f t="shared" si="15648"/>
        <v>0.15</v>
      </c>
      <c r="M4847" s="399" t="s">
        <v>176</v>
      </c>
      <c r="N4847" s="399">
        <f t="shared" si="15649"/>
        <v>1.03</v>
      </c>
      <c r="O4847" s="399"/>
      <c r="P4847" s="389"/>
      <c r="Q4847" s="399"/>
      <c r="R4847" s="399"/>
      <c r="S4847" s="399"/>
      <c r="T4847" s="399" t="s">
        <v>125</v>
      </c>
      <c r="U4847" s="401">
        <f t="shared" si="15650"/>
        <v>0.61650000000000005</v>
      </c>
      <c r="V4847" s="399" t="s">
        <v>125</v>
      </c>
      <c r="W4847" s="399">
        <f t="shared" ref="W4847" si="15660">IF(D4828&gt;4*G4826,ROUND(MAX(D4828/4,2*G4826)/H4847,0)+1,0)</f>
        <v>0</v>
      </c>
      <c r="X4847" s="399" t="s">
        <v>125</v>
      </c>
      <c r="Y4847" s="389">
        <f t="shared" ref="Y4847" si="15661">D4831</f>
        <v>1</v>
      </c>
      <c r="Z4847" s="400" t="s">
        <v>176</v>
      </c>
      <c r="AA4847" s="402">
        <f t="shared" si="15653"/>
        <v>0</v>
      </c>
      <c r="AB4847" s="403"/>
    </row>
    <row r="4848" spans="1:28">
      <c r="A4848" s="384"/>
      <c r="B4848" s="385"/>
      <c r="C4848" s="393"/>
      <c r="D4848" s="394"/>
      <c r="E4848" s="388"/>
      <c r="F4848" s="388"/>
      <c r="G4848" s="388"/>
      <c r="H4848" s="395"/>
      <c r="I4848" s="388"/>
      <c r="J4848" s="399"/>
      <c r="K4848" s="396"/>
      <c r="L4848" s="396"/>
      <c r="M4848" s="396"/>
      <c r="N4848" s="396"/>
      <c r="O4848" s="396"/>
      <c r="P4848" s="389"/>
      <c r="Q4848" s="396"/>
      <c r="R4848" s="396"/>
      <c r="S4848" s="396"/>
      <c r="T4848" s="396"/>
      <c r="U4848" s="401"/>
      <c r="V4848" s="396"/>
      <c r="W4848" s="388"/>
      <c r="X4848" s="396"/>
      <c r="Y4848" s="389"/>
      <c r="Z4848" s="396"/>
      <c r="AA4848" s="388"/>
      <c r="AB4848" s="390"/>
    </row>
    <row r="4849" spans="1:28">
      <c r="A4849" s="384" t="str">
        <f t="shared" ref="A4849:B4849" si="15662">A4825</f>
        <v>Lantai 3</v>
      </c>
      <c r="B4849" s="385">
        <f t="shared" si="15662"/>
        <v>19</v>
      </c>
      <c r="C4849" s="393" t="s">
        <v>213</v>
      </c>
      <c r="D4849" s="398">
        <f>VLOOKUP(D4825,'Detail Balok'!$C$10:$BJ$140,46,FALSE)</f>
        <v>0</v>
      </c>
      <c r="E4849" s="388" t="s">
        <v>16</v>
      </c>
      <c r="F4849" s="388">
        <f>VLOOKUP(D4825,'Detail Balok'!$C$10:$BJ$140,48,FALSE)</f>
        <v>0</v>
      </c>
      <c r="G4849" s="405" t="s">
        <v>157</v>
      </c>
      <c r="H4849" s="395">
        <f>VLOOKUP(D4825,'Detail Balok'!$C$10:$BJ$140,50,FALSE)</f>
        <v>100</v>
      </c>
      <c r="I4849" s="388"/>
      <c r="J4849" s="399">
        <f t="shared" ref="J4849" si="15663">(D4826-2*F$5)/1000</f>
        <v>0.12</v>
      </c>
      <c r="K4849" s="400" t="s">
        <v>204</v>
      </c>
      <c r="L4849" s="399">
        <f t="shared" ref="L4849:L4851" si="15664">IF(D4849=0,2*MAX(6*F4849,75),(D4849-1)*2*MAX(6*F4849,75))/1000</f>
        <v>0.15</v>
      </c>
      <c r="M4849" s="399" t="s">
        <v>176</v>
      </c>
      <c r="N4849" s="399">
        <f t="shared" ref="N4849:N4851" si="15665">J4849+L4849</f>
        <v>0.27</v>
      </c>
      <c r="O4849" s="399"/>
      <c r="P4849" s="399"/>
      <c r="Q4849" s="399"/>
      <c r="R4849" s="399"/>
      <c r="S4849" s="399"/>
      <c r="T4849" s="399" t="s">
        <v>125</v>
      </c>
      <c r="U4849" s="401">
        <f t="shared" ref="U4849:U4851" si="15666">0.006165*F4849^2</f>
        <v>0</v>
      </c>
      <c r="V4849" s="399" t="s">
        <v>125</v>
      </c>
      <c r="W4849" s="399">
        <f t="shared" si="15571"/>
        <v>12</v>
      </c>
      <c r="X4849" s="399" t="s">
        <v>125</v>
      </c>
      <c r="Y4849" s="389">
        <f t="shared" ref="Y4849" si="15667">D4835</f>
        <v>3</v>
      </c>
      <c r="Z4849" s="400" t="s">
        <v>176</v>
      </c>
      <c r="AA4849" s="402">
        <f t="shared" ref="AA4849:AA4851" si="15668">N4849*U4849*W4849*Y4849</f>
        <v>0</v>
      </c>
      <c r="AB4849" s="403"/>
    </row>
    <row r="4850" spans="1:28">
      <c r="A4850" s="384" t="str">
        <f t="shared" ref="A4850:B4850" si="15669">A4825</f>
        <v>Lantai 3</v>
      </c>
      <c r="B4850" s="385">
        <f t="shared" si="15669"/>
        <v>19</v>
      </c>
      <c r="C4850" s="393" t="s">
        <v>214</v>
      </c>
      <c r="D4850" s="398">
        <f>VLOOKUP(D4825,'Detail Balok'!$C$10:$BJ$140,51,FALSE)</f>
        <v>0</v>
      </c>
      <c r="E4850" s="388" t="s">
        <v>16</v>
      </c>
      <c r="F4850" s="388">
        <f>VLOOKUP(D4825,'Detail Balok'!$C$10:$BJ$140,53,FALSE)</f>
        <v>0</v>
      </c>
      <c r="G4850" s="405" t="s">
        <v>157</v>
      </c>
      <c r="H4850" s="395">
        <f>VLOOKUP(D4825,'Detail Balok'!$C$10:$BJ$140,55,FALSE)</f>
        <v>100</v>
      </c>
      <c r="I4850" s="388"/>
      <c r="J4850" s="399">
        <f t="shared" ref="J4850" si="15670">(D4826-2*F$5)/1000</f>
        <v>0.12</v>
      </c>
      <c r="K4850" s="400" t="s">
        <v>204</v>
      </c>
      <c r="L4850" s="399">
        <f t="shared" si="15664"/>
        <v>0.15</v>
      </c>
      <c r="M4850" s="399" t="s">
        <v>176</v>
      </c>
      <c r="N4850" s="399">
        <f t="shared" si="15665"/>
        <v>0.27</v>
      </c>
      <c r="O4850" s="399"/>
      <c r="P4850" s="399"/>
      <c r="Q4850" s="399"/>
      <c r="R4850" s="399"/>
      <c r="S4850" s="399"/>
      <c r="T4850" s="399" t="s">
        <v>125</v>
      </c>
      <c r="U4850" s="401">
        <f t="shared" si="15666"/>
        <v>0</v>
      </c>
      <c r="V4850" s="399" t="s">
        <v>125</v>
      </c>
      <c r="W4850" s="399">
        <f t="shared" si="15571"/>
        <v>0</v>
      </c>
      <c r="X4850" s="399" t="s">
        <v>125</v>
      </c>
      <c r="Y4850" s="389">
        <f t="shared" ref="Y4850" si="15671">D4835</f>
        <v>3</v>
      </c>
      <c r="Z4850" s="400" t="s">
        <v>176</v>
      </c>
      <c r="AA4850" s="402">
        <f t="shared" si="15668"/>
        <v>0</v>
      </c>
      <c r="AB4850" s="403"/>
    </row>
    <row r="4851" spans="1:28">
      <c r="A4851" s="384" t="str">
        <f t="shared" ref="A4851:B4851" si="15672">A4825</f>
        <v>Lantai 3</v>
      </c>
      <c r="B4851" s="385">
        <f t="shared" si="15672"/>
        <v>19</v>
      </c>
      <c r="C4851" s="393" t="s">
        <v>213</v>
      </c>
      <c r="D4851" s="398">
        <f>VLOOKUP(D4825,'Detail Balok'!$C$10:$BJ$140,56,FALSE)</f>
        <v>0</v>
      </c>
      <c r="E4851" s="388" t="s">
        <v>16</v>
      </c>
      <c r="F4851" s="388">
        <f>VLOOKUP(D4825,'Detail Balok'!$C$10:$BJ$140,58,FALSE)</f>
        <v>0</v>
      </c>
      <c r="G4851" s="405" t="s">
        <v>157</v>
      </c>
      <c r="H4851" s="395">
        <f>VLOOKUP(D4825,'Detail Balok'!$C$10:$BJ$140,60,FALSE)</f>
        <v>100</v>
      </c>
      <c r="I4851" s="388"/>
      <c r="J4851" s="399">
        <f t="shared" ref="J4851" si="15673">(D4826-2*F$5)/1000</f>
        <v>0.12</v>
      </c>
      <c r="K4851" s="400" t="s">
        <v>204</v>
      </c>
      <c r="L4851" s="399">
        <f t="shared" si="15664"/>
        <v>0.15</v>
      </c>
      <c r="M4851" s="399" t="s">
        <v>176</v>
      </c>
      <c r="N4851" s="399">
        <f t="shared" si="15665"/>
        <v>0.27</v>
      </c>
      <c r="O4851" s="399"/>
      <c r="P4851" s="399"/>
      <c r="Q4851" s="399"/>
      <c r="R4851" s="399"/>
      <c r="S4851" s="399"/>
      <c r="T4851" s="399" t="s">
        <v>125</v>
      </c>
      <c r="U4851" s="401">
        <f t="shared" si="15666"/>
        <v>0</v>
      </c>
      <c r="V4851" s="399" t="s">
        <v>125</v>
      </c>
      <c r="W4851" s="399">
        <f t="shared" si="15571"/>
        <v>0</v>
      </c>
      <c r="X4851" s="399" t="s">
        <v>125</v>
      </c>
      <c r="Y4851" s="389">
        <f t="shared" ref="Y4851" si="15674">D4835</f>
        <v>3</v>
      </c>
      <c r="Z4851" s="400" t="s">
        <v>176</v>
      </c>
      <c r="AA4851" s="402">
        <f t="shared" si="15668"/>
        <v>0</v>
      </c>
      <c r="AB4851" s="403"/>
    </row>
    <row r="4852" spans="1:28">
      <c r="A4852" s="391"/>
      <c r="B4852" s="392"/>
      <c r="C4852" s="392"/>
      <c r="D4852" s="394"/>
      <c r="E4852" s="388"/>
      <c r="F4852" s="388"/>
      <c r="G4852" s="388"/>
      <c r="H4852" s="395"/>
      <c r="I4852" s="388"/>
      <c r="J4852" s="402"/>
      <c r="K4852" s="388"/>
      <c r="L4852" s="388"/>
      <c r="M4852" s="388"/>
      <c r="N4852" s="388"/>
      <c r="O4852" s="388"/>
      <c r="P4852" s="388"/>
      <c r="Q4852" s="388"/>
      <c r="R4852" s="388"/>
      <c r="S4852" s="388"/>
      <c r="T4852" s="388"/>
      <c r="U4852" s="388"/>
      <c r="V4852" s="388"/>
      <c r="W4852" s="388"/>
      <c r="X4852" s="388"/>
      <c r="Y4852" s="389"/>
      <c r="Z4852" s="388"/>
      <c r="AA4852" s="402"/>
      <c r="AB4852" s="403"/>
    </row>
    <row r="4853" spans="1:28" ht="15.75" thickBot="1">
      <c r="A4853" s="406"/>
      <c r="B4853" s="407"/>
      <c r="C4853" s="407"/>
      <c r="D4853" s="408"/>
      <c r="E4853" s="409"/>
      <c r="F4853" s="409"/>
      <c r="G4853" s="409"/>
      <c r="H4853" s="410"/>
      <c r="I4853" s="409"/>
      <c r="J4853" s="409"/>
      <c r="K4853" s="409"/>
      <c r="L4853" s="409"/>
      <c r="M4853" s="409"/>
      <c r="N4853" s="409"/>
      <c r="O4853" s="409"/>
      <c r="P4853" s="409"/>
      <c r="Q4853" s="409"/>
      <c r="R4853" s="409"/>
      <c r="S4853" s="409"/>
      <c r="T4853" s="409"/>
      <c r="U4853" s="409"/>
      <c r="V4853" s="409"/>
      <c r="W4853" s="409"/>
      <c r="X4853" s="409"/>
      <c r="Y4853" s="411"/>
      <c r="Z4853" s="409"/>
      <c r="AA4853" s="412"/>
      <c r="AB4853" s="413"/>
    </row>
    <row r="4854" spans="1:28">
      <c r="A4854" s="377"/>
      <c r="B4854" s="378"/>
      <c r="C4854" s="378"/>
      <c r="D4854" s="379"/>
      <c r="E4854" s="380"/>
      <c r="F4854" s="380"/>
      <c r="G4854" s="380"/>
      <c r="H4854" s="381"/>
      <c r="I4854" s="380"/>
      <c r="J4854" s="380"/>
      <c r="K4854" s="380"/>
      <c r="L4854" s="380"/>
      <c r="M4854" s="380"/>
      <c r="N4854" s="380"/>
      <c r="O4854" s="380"/>
      <c r="P4854" s="380"/>
      <c r="Q4854" s="380"/>
      <c r="R4854" s="380"/>
      <c r="S4854" s="380"/>
      <c r="T4854" s="380"/>
      <c r="U4854" s="380"/>
      <c r="V4854" s="380"/>
      <c r="W4854" s="380"/>
      <c r="X4854" s="380"/>
      <c r="Y4854" s="382"/>
      <c r="Z4854" s="380"/>
      <c r="AA4854" s="380"/>
      <c r="AB4854" s="383"/>
    </row>
    <row r="4855" spans="1:28">
      <c r="A4855" s="384" t="str">
        <f t="shared" si="15580"/>
        <v>Lantai 3</v>
      </c>
      <c r="B4855" s="385">
        <f t="shared" si="15581"/>
        <v>20</v>
      </c>
      <c r="C4855" s="386" t="str">
        <f t="shared" ref="C4855" si="15675">CONCATENATE(A4855," no. ",B4855)</f>
        <v>Lantai 3 no. 20</v>
      </c>
      <c r="D4855" s="2562" t="str">
        <f>VLOOKUP(C4855,'Data Panjang Balok'!$C$9:$N$254,2,FALSE)</f>
        <v>B24-1</v>
      </c>
      <c r="E4855" s="2576"/>
      <c r="F4855" s="2576"/>
      <c r="G4855" s="2576"/>
      <c r="H4855" s="2577"/>
      <c r="I4855" s="387"/>
      <c r="J4855" s="388"/>
      <c r="K4855" s="388"/>
      <c r="L4855" s="388"/>
      <c r="M4855" s="388"/>
      <c r="N4855" s="388"/>
      <c r="O4855" s="388"/>
      <c r="P4855" s="388"/>
      <c r="Q4855" s="388"/>
      <c r="R4855" s="388"/>
      <c r="S4855" s="388"/>
      <c r="T4855" s="388"/>
      <c r="U4855" s="388"/>
      <c r="V4855" s="388"/>
      <c r="W4855" s="388"/>
      <c r="X4855" s="388"/>
      <c r="Y4855" s="389"/>
      <c r="Z4855" s="388"/>
      <c r="AA4855" s="388"/>
      <c r="AB4855" s="390"/>
    </row>
    <row r="4856" spans="1:28">
      <c r="A4856" s="391"/>
      <c r="B4856" s="392"/>
      <c r="C4856" s="393" t="s">
        <v>118</v>
      </c>
      <c r="D4856" s="2578">
        <f>VLOOKUP(D4855,'Detail Balok'!$C$10:$AU$140,2,FALSE)</f>
        <v>200</v>
      </c>
      <c r="E4856" s="2579"/>
      <c r="F4856" s="388" t="s">
        <v>125</v>
      </c>
      <c r="G4856" s="2579">
        <f>VLOOKUP(D4855,'Detail Balok'!$C$10:$AU$140,3,FALSE)</f>
        <v>400</v>
      </c>
      <c r="H4856" s="2580"/>
      <c r="I4856" s="388"/>
      <c r="J4856" s="396"/>
      <c r="K4856" s="396"/>
      <c r="L4856" s="396"/>
      <c r="M4856" s="396"/>
      <c r="N4856" s="396"/>
      <c r="O4856" s="396"/>
      <c r="P4856" s="396"/>
      <c r="Q4856" s="396"/>
      <c r="R4856" s="396"/>
      <c r="S4856" s="396"/>
      <c r="T4856" s="396"/>
      <c r="U4856" s="388"/>
      <c r="V4856" s="396"/>
      <c r="W4856" s="388"/>
      <c r="X4856" s="396"/>
      <c r="Y4856" s="389"/>
      <c r="Z4856" s="396"/>
      <c r="AA4856" s="388"/>
      <c r="AB4856" s="390"/>
    </row>
    <row r="4857" spans="1:28">
      <c r="A4857" s="391"/>
      <c r="B4857" s="392"/>
      <c r="C4857" s="393" t="s">
        <v>198</v>
      </c>
      <c r="D4857" s="2562">
        <f>VLOOKUP(C4855,'Data Panjang Balok'!$C$9:$N$254,4,FALSE)</f>
        <v>4075</v>
      </c>
      <c r="E4857" s="2563"/>
      <c r="F4857" s="2563"/>
      <c r="G4857" s="2563"/>
      <c r="H4857" s="2564"/>
      <c r="I4857" s="397"/>
      <c r="J4857" s="396"/>
      <c r="K4857" s="396"/>
      <c r="L4857" s="396"/>
      <c r="M4857" s="396"/>
      <c r="N4857" s="396"/>
      <c r="O4857" s="396"/>
      <c r="P4857" s="396"/>
      <c r="Q4857" s="396"/>
      <c r="R4857" s="396"/>
      <c r="S4857" s="396"/>
      <c r="T4857" s="396"/>
      <c r="U4857" s="388"/>
      <c r="V4857" s="396"/>
      <c r="W4857" s="388"/>
      <c r="X4857" s="396"/>
      <c r="Y4857" s="389"/>
      <c r="Z4857" s="396"/>
      <c r="AA4857" s="388"/>
      <c r="AB4857" s="390"/>
    </row>
    <row r="4858" spans="1:28">
      <c r="A4858" s="391"/>
      <c r="B4858" s="392"/>
      <c r="C4858" s="393" t="s">
        <v>199</v>
      </c>
      <c r="D4858" s="2562">
        <f>VLOOKUP(C4855,'Data Panjang Balok'!$C$9:$N$254,7,FALSE)</f>
        <v>4075</v>
      </c>
      <c r="E4858" s="2563"/>
      <c r="F4858" s="2563"/>
      <c r="G4858" s="2563"/>
      <c r="H4858" s="2564"/>
      <c r="I4858" s="397"/>
      <c r="J4858" s="396"/>
      <c r="K4858" s="396"/>
      <c r="L4858" s="396"/>
      <c r="M4858" s="396"/>
      <c r="N4858" s="396"/>
      <c r="O4858" s="396"/>
      <c r="P4858" s="396"/>
      <c r="Q4858" s="396"/>
      <c r="R4858" s="396"/>
      <c r="S4858" s="396"/>
      <c r="T4858" s="396"/>
      <c r="U4858" s="388"/>
      <c r="V4858" s="396"/>
      <c r="W4858" s="388"/>
      <c r="X4858" s="396"/>
      <c r="Y4858" s="389"/>
      <c r="Z4858" s="396"/>
      <c r="AA4858" s="388"/>
      <c r="AB4858" s="390"/>
    </row>
    <row r="4859" spans="1:28">
      <c r="A4859" s="391"/>
      <c r="B4859" s="392"/>
      <c r="C4859" s="393" t="s">
        <v>200</v>
      </c>
      <c r="D4859" s="2562">
        <f>VLOOKUP(C4855,'Data Panjang Balok'!$C$9:$N$254,9,FALSE)</f>
        <v>0</v>
      </c>
      <c r="E4859" s="2563"/>
      <c r="F4859" s="2563"/>
      <c r="G4859" s="2563"/>
      <c r="H4859" s="2564"/>
      <c r="I4859" s="397"/>
      <c r="J4859" s="396"/>
      <c r="K4859" s="396"/>
      <c r="L4859" s="396"/>
      <c r="M4859" s="396"/>
      <c r="N4859" s="396"/>
      <c r="O4859" s="396"/>
      <c r="P4859" s="396"/>
      <c r="Q4859" s="396"/>
      <c r="R4859" s="396"/>
      <c r="S4859" s="396"/>
      <c r="T4859" s="396"/>
      <c r="U4859" s="388"/>
      <c r="V4859" s="396"/>
      <c r="W4859" s="388"/>
      <c r="X4859" s="396"/>
      <c r="Y4859" s="389"/>
      <c r="Z4859" s="396"/>
      <c r="AA4859" s="388"/>
      <c r="AB4859" s="390"/>
    </row>
    <row r="4860" spans="1:28">
      <c r="A4860" s="391"/>
      <c r="B4860" s="392"/>
      <c r="C4860" s="393" t="s">
        <v>201</v>
      </c>
      <c r="D4860" s="2562">
        <f>VLOOKUP(C4855,'Data Panjang Balok'!$C$9:$N$254,10,FALSE)</f>
        <v>0</v>
      </c>
      <c r="E4860" s="2563"/>
      <c r="F4860" s="2563"/>
      <c r="G4860" s="2563"/>
      <c r="H4860" s="2564"/>
      <c r="I4860" s="397"/>
      <c r="J4860" s="396"/>
      <c r="K4860" s="396"/>
      <c r="L4860" s="396"/>
      <c r="M4860" s="396"/>
      <c r="N4860" s="396"/>
      <c r="O4860" s="396"/>
      <c r="P4860" s="396"/>
      <c r="Q4860" s="396"/>
      <c r="R4860" s="396"/>
      <c r="S4860" s="396"/>
      <c r="T4860" s="396"/>
      <c r="U4860" s="388"/>
      <c r="V4860" s="396"/>
      <c r="W4860" s="388"/>
      <c r="X4860" s="396"/>
      <c r="Y4860" s="389"/>
      <c r="Z4860" s="396"/>
      <c r="AA4860" s="388"/>
      <c r="AB4860" s="390"/>
    </row>
    <row r="4861" spans="1:28">
      <c r="A4861" s="391"/>
      <c r="B4861" s="392"/>
      <c r="C4861" s="393" t="s">
        <v>48</v>
      </c>
      <c r="D4861" s="2562">
        <f>VLOOKUP(C4855,'Data Panjang Balok'!$C$9:$N$254,3,FALSE)</f>
        <v>1</v>
      </c>
      <c r="E4861" s="2563"/>
      <c r="F4861" s="2563"/>
      <c r="G4861" s="2563"/>
      <c r="H4861" s="2564"/>
      <c r="I4861" s="397"/>
      <c r="J4861" s="396"/>
      <c r="K4861" s="396"/>
      <c r="L4861" s="396"/>
      <c r="M4861" s="396"/>
      <c r="N4861" s="396"/>
      <c r="O4861" s="396"/>
      <c r="P4861" s="396"/>
      <c r="Q4861" s="396"/>
      <c r="R4861" s="396"/>
      <c r="S4861" s="396"/>
      <c r="T4861" s="396"/>
      <c r="U4861" s="388"/>
      <c r="V4861" s="396"/>
      <c r="W4861" s="388"/>
      <c r="X4861" s="396"/>
      <c r="Y4861" s="389"/>
      <c r="Z4861" s="396"/>
      <c r="AA4861" s="388"/>
      <c r="AB4861" s="390"/>
    </row>
    <row r="4862" spans="1:28">
      <c r="A4862" s="384" t="str">
        <f t="shared" ref="A4862:B4862" si="15676">A4855</f>
        <v>Lantai 3</v>
      </c>
      <c r="B4862" s="385">
        <f t="shared" si="15676"/>
        <v>20</v>
      </c>
      <c r="C4862" s="393" t="s">
        <v>202</v>
      </c>
      <c r="D4862" s="398">
        <f>VLOOKUP(D4855,'Detail Balok'!$C$10:$AU$140,4,FALSE)</f>
        <v>3</v>
      </c>
      <c r="E4862" s="388" t="s">
        <v>16</v>
      </c>
      <c r="F4862" s="388">
        <f>VLOOKUP(D4855,'Detail Balok'!$C$10:$AU$140,6,FALSE)</f>
        <v>13</v>
      </c>
      <c r="G4862" s="388"/>
      <c r="H4862" s="395"/>
      <c r="I4862" s="388" t="s">
        <v>203</v>
      </c>
      <c r="J4862" s="399">
        <f t="shared" ref="J4862" si="15677">+D4857/4/1000</f>
        <v>1.01875</v>
      </c>
      <c r="K4862" s="400" t="s">
        <v>204</v>
      </c>
      <c r="L4862" s="399">
        <f t="shared" ref="L4862" si="15678">MAX(VLOOKUP(F4862,N$6:P$15,3,FALSE)/1000,2/3*D4859/1000)+F$16*F4862/1000</f>
        <v>0.156</v>
      </c>
      <c r="M4862" s="399" t="s">
        <v>176</v>
      </c>
      <c r="N4862" s="399">
        <f t="shared" ref="N4862:N4864" si="15679">J4862+L4862</f>
        <v>1.17475</v>
      </c>
      <c r="O4862" s="399" t="s">
        <v>204</v>
      </c>
      <c r="P4862" s="389">
        <f t="shared" ref="P4862" si="15680">D4862-D4863</f>
        <v>0</v>
      </c>
      <c r="Q4862" s="399" t="s">
        <v>125</v>
      </c>
      <c r="R4862" s="399">
        <f t="shared" ref="R4862" si="15681">IF(P4862&gt;0,$F$18*F4862/1000,0)</f>
        <v>0</v>
      </c>
      <c r="S4862" s="399" t="s">
        <v>205</v>
      </c>
      <c r="T4862" s="399" t="s">
        <v>125</v>
      </c>
      <c r="U4862" s="401">
        <f t="shared" ref="U4862:U4864" si="15682">0.006165*F4862^2</f>
        <v>1.041885</v>
      </c>
      <c r="V4862" s="399"/>
      <c r="W4862" s="399"/>
      <c r="X4862" s="399" t="s">
        <v>125</v>
      </c>
      <c r="Y4862" s="389">
        <f t="shared" ref="Y4862" si="15683">D4861</f>
        <v>1</v>
      </c>
      <c r="Z4862" s="400" t="s">
        <v>176</v>
      </c>
      <c r="AA4862" s="402">
        <f t="shared" ref="AA4862" si="15684">IF(AA4865=0,(D4862*N4862+P4862*R4862)*U4862*Y4862,0)</f>
        <v>0</v>
      </c>
      <c r="AB4862" s="403"/>
    </row>
    <row r="4863" spans="1:28">
      <c r="A4863" s="384" t="str">
        <f t="shared" ref="A4863:B4863" si="15685">A4855</f>
        <v>Lantai 3</v>
      </c>
      <c r="B4863" s="385">
        <f t="shared" si="15685"/>
        <v>20</v>
      </c>
      <c r="C4863" s="393" t="s">
        <v>206</v>
      </c>
      <c r="D4863" s="398">
        <f>VLOOKUP(D4855,'Detail Balok'!$C$10:$AU$140,7,FALSE)</f>
        <v>3</v>
      </c>
      <c r="E4863" s="388" t="s">
        <v>16</v>
      </c>
      <c r="F4863" s="388">
        <f>VLOOKUP(D4855,'Detail Balok'!$C$10:$AU$140,9,FALSE)</f>
        <v>13</v>
      </c>
      <c r="G4863" s="388"/>
      <c r="H4863" s="395"/>
      <c r="I4863" s="388" t="s">
        <v>203</v>
      </c>
      <c r="J4863" s="399">
        <f t="shared" ref="J4863" si="15686">+D4857/2/1000</f>
        <v>2.0375000000000001</v>
      </c>
      <c r="K4863" s="400" t="s">
        <v>204</v>
      </c>
      <c r="L4863" s="399"/>
      <c r="M4863" s="399" t="s">
        <v>176</v>
      </c>
      <c r="N4863" s="399">
        <f t="shared" si="15679"/>
        <v>2.0375000000000001</v>
      </c>
      <c r="O4863" s="399" t="s">
        <v>204</v>
      </c>
      <c r="P4863" s="389">
        <f t="shared" ref="P4863" si="15687">MAX(D4863-D4862,D4863-D4864)</f>
        <v>0</v>
      </c>
      <c r="Q4863" s="399" t="s">
        <v>125</v>
      </c>
      <c r="R4863" s="399">
        <f t="shared" ref="R4863" si="15688">IF(P4863&gt;0,2*(1-2*$F$19-1/2)*D4858/1000,0)</f>
        <v>0</v>
      </c>
      <c r="S4863" s="399" t="s">
        <v>205</v>
      </c>
      <c r="T4863" s="399" t="s">
        <v>125</v>
      </c>
      <c r="U4863" s="401">
        <f t="shared" si="15682"/>
        <v>1.041885</v>
      </c>
      <c r="V4863" s="399"/>
      <c r="W4863" s="399"/>
      <c r="X4863" s="399" t="s">
        <v>125</v>
      </c>
      <c r="Y4863" s="389">
        <f t="shared" ref="Y4863" si="15689">D4861</f>
        <v>1</v>
      </c>
      <c r="Z4863" s="400" t="s">
        <v>176</v>
      </c>
      <c r="AA4863" s="402">
        <f t="shared" ref="AA4863" si="15690">IF(AA4865=0,(D4863*N4863+P4863*R4863)*U4863*Y4863,0)</f>
        <v>0</v>
      </c>
      <c r="AB4863" s="403"/>
    </row>
    <row r="4864" spans="1:28">
      <c r="A4864" s="384" t="str">
        <f t="shared" ref="A4864:B4864" si="15691">A4855</f>
        <v>Lantai 3</v>
      </c>
      <c r="B4864" s="385">
        <f t="shared" si="15691"/>
        <v>20</v>
      </c>
      <c r="C4864" s="393" t="s">
        <v>202</v>
      </c>
      <c r="D4864" s="398">
        <f>VLOOKUP(D4855,'Detail Balok'!$C$10:$AU$140,10,FALSE)</f>
        <v>3</v>
      </c>
      <c r="E4864" s="388" t="s">
        <v>16</v>
      </c>
      <c r="F4864" s="388">
        <f>VLOOKUP(D4855,'Detail Balok'!$C$10:$AU$140,12,FALSE)</f>
        <v>13</v>
      </c>
      <c r="G4864" s="388"/>
      <c r="H4864" s="395"/>
      <c r="I4864" s="388" t="s">
        <v>203</v>
      </c>
      <c r="J4864" s="399">
        <f t="shared" ref="J4864" si="15692">+D4857/4/1000</f>
        <v>1.01875</v>
      </c>
      <c r="K4864" s="400" t="s">
        <v>204</v>
      </c>
      <c r="L4864" s="399">
        <f t="shared" ref="L4864" si="15693">MAX(VLOOKUP(F4864,N$6:P$15,3,FALSE)/1000,2/3*D4859/1000)+F$16*F4864/1000</f>
        <v>0.156</v>
      </c>
      <c r="M4864" s="399" t="s">
        <v>176</v>
      </c>
      <c r="N4864" s="399">
        <f t="shared" si="15679"/>
        <v>1.17475</v>
      </c>
      <c r="O4864" s="399" t="s">
        <v>204</v>
      </c>
      <c r="P4864" s="389">
        <f t="shared" ref="P4864" si="15694">D4864-D4863</f>
        <v>0</v>
      </c>
      <c r="Q4864" s="399" t="s">
        <v>125</v>
      </c>
      <c r="R4864" s="399">
        <f t="shared" ref="R4864" si="15695">IF(P4864&gt;0,$F$18*F4864/1000,0)</f>
        <v>0</v>
      </c>
      <c r="S4864" s="399" t="s">
        <v>205</v>
      </c>
      <c r="T4864" s="399" t="s">
        <v>125</v>
      </c>
      <c r="U4864" s="401">
        <f t="shared" si="15682"/>
        <v>1.041885</v>
      </c>
      <c r="V4864" s="399"/>
      <c r="W4864" s="399"/>
      <c r="X4864" s="399" t="s">
        <v>125</v>
      </c>
      <c r="Y4864" s="389">
        <f t="shared" ref="Y4864" si="15696">D4861</f>
        <v>1</v>
      </c>
      <c r="Z4864" s="400" t="s">
        <v>176</v>
      </c>
      <c r="AA4864" s="402">
        <f t="shared" ref="AA4864" si="15697">IF(AA4865=0,(D4864*N4864+P4864*R4864)*U4864*Y4864,0)</f>
        <v>0</v>
      </c>
      <c r="AB4864" s="403"/>
    </row>
    <row r="4865" spans="1:28">
      <c r="A4865" s="384" t="str">
        <f t="shared" ref="A4865:B4865" si="15698">A4855</f>
        <v>Lantai 3</v>
      </c>
      <c r="B4865" s="385">
        <f t="shared" si="15698"/>
        <v>20</v>
      </c>
      <c r="C4865" s="393"/>
      <c r="D4865" s="398">
        <f t="shared" si="15501"/>
        <v>3</v>
      </c>
      <c r="E4865" s="388" t="s">
        <v>16</v>
      </c>
      <c r="F4865" s="388">
        <f t="shared" si="15502"/>
        <v>13</v>
      </c>
      <c r="G4865" s="388"/>
      <c r="H4865" s="395"/>
      <c r="I4865" s="388"/>
      <c r="J4865" s="396"/>
      <c r="K4865" s="396"/>
      <c r="L4865" s="404" t="s">
        <v>207</v>
      </c>
      <c r="M4865" s="399" t="s">
        <v>176</v>
      </c>
      <c r="N4865" s="399">
        <f t="shared" ref="N4865" si="15699">IF(AND(D4862=D4863,D4862=D4864,D4863=D4864,F4862=F4863,F4862=F4864,F4863=F4864),SUM(N4862:N4864),0)</f>
        <v>4.3870000000000005</v>
      </c>
      <c r="O4865" s="399" t="s">
        <v>204</v>
      </c>
      <c r="P4865" s="389">
        <f t="shared" ref="P4865" si="15700">IF(N4865&gt;12,ROUNDDOWN(N4865/12,0),0)</f>
        <v>0</v>
      </c>
      <c r="Q4865" s="399" t="s">
        <v>125</v>
      </c>
      <c r="R4865" s="399">
        <f t="shared" ref="R4865" si="15701">IF(P4865&gt;0,MAX(VLOOKUP(F4865,$D$6:$G$15,3,FALSE),600),0)/1000</f>
        <v>0</v>
      </c>
      <c r="S4865" s="396"/>
      <c r="T4865" s="396" t="s">
        <v>125</v>
      </c>
      <c r="U4865" s="401">
        <f t="shared" si="15506"/>
        <v>1.041885</v>
      </c>
      <c r="V4865" s="396" t="s">
        <v>125</v>
      </c>
      <c r="W4865" s="399">
        <f t="shared" ref="W4865" si="15702">D4865</f>
        <v>3</v>
      </c>
      <c r="X4865" s="399" t="s">
        <v>125</v>
      </c>
      <c r="Y4865" s="389">
        <f t="shared" si="15508"/>
        <v>1</v>
      </c>
      <c r="Z4865" s="400" t="s">
        <v>176</v>
      </c>
      <c r="AA4865" s="402">
        <f t="shared" ref="AA4865" si="15703">(N4865+P4865*R4865/1000)*U4865*W4865*Y4865</f>
        <v>13.712248485</v>
      </c>
      <c r="AB4865" s="390"/>
    </row>
    <row r="4866" spans="1:28">
      <c r="A4866" s="384"/>
      <c r="B4866" s="385"/>
      <c r="C4866" s="393"/>
      <c r="D4866" s="398"/>
      <c r="E4866" s="388"/>
      <c r="F4866" s="388"/>
      <c r="G4866" s="388"/>
      <c r="H4866" s="395"/>
      <c r="I4866" s="388"/>
      <c r="J4866" s="396"/>
      <c r="K4866" s="396"/>
      <c r="L4866" s="404"/>
      <c r="M4866" s="399"/>
      <c r="N4866" s="399"/>
      <c r="O4866" s="396"/>
      <c r="P4866" s="389"/>
      <c r="Q4866" s="396"/>
      <c r="R4866" s="396"/>
      <c r="S4866" s="396"/>
      <c r="T4866" s="396"/>
      <c r="U4866" s="401"/>
      <c r="V4866" s="396"/>
      <c r="W4866" s="399"/>
      <c r="X4866" s="396"/>
      <c r="Y4866" s="389"/>
      <c r="Z4866" s="396"/>
      <c r="AA4866" s="388"/>
      <c r="AB4866" s="390"/>
    </row>
    <row r="4867" spans="1:28">
      <c r="A4867" s="384" t="str">
        <f t="shared" ref="A4867:B4867" si="15704">A4855</f>
        <v>Lantai 3</v>
      </c>
      <c r="B4867" s="385">
        <f t="shared" si="15704"/>
        <v>20</v>
      </c>
      <c r="C4867" s="393" t="s">
        <v>208</v>
      </c>
      <c r="D4867" s="398">
        <f>VLOOKUP(D4855,'Detail Balok'!$C$10:$AU$140,13,FALSE)</f>
        <v>0</v>
      </c>
      <c r="E4867" s="388" t="s">
        <v>16</v>
      </c>
      <c r="F4867" s="388">
        <f>VLOOKUP(D4855,'Detail Balok'!$C$10:$AU$140,15,FALSE)</f>
        <v>8</v>
      </c>
      <c r="G4867" s="388"/>
      <c r="H4867" s="395"/>
      <c r="I4867" s="388"/>
      <c r="J4867" s="399">
        <f t="shared" ref="J4867" si="15705">+D4857/1000</f>
        <v>4.0750000000000002</v>
      </c>
      <c r="K4867" s="400" t="s">
        <v>204</v>
      </c>
      <c r="L4867" s="399">
        <f t="shared" ref="L4867" si="15706">2*$F$16*F4867/1000</f>
        <v>0.192</v>
      </c>
      <c r="M4867" s="399" t="s">
        <v>176</v>
      </c>
      <c r="N4867" s="399">
        <f t="shared" ref="N4867" si="15707">J4867+L4867</f>
        <v>4.2670000000000003</v>
      </c>
      <c r="O4867" s="399" t="s">
        <v>204</v>
      </c>
      <c r="P4867" s="389">
        <f t="shared" ref="P4867" si="15708">IF(N4867&gt;12,ROUNDDOWN(N4867/12,0),0)</f>
        <v>0</v>
      </c>
      <c r="Q4867" s="399" t="s">
        <v>125</v>
      </c>
      <c r="R4867" s="399">
        <f t="shared" ref="R4867" si="15709">IF(P4867&gt;0,MAX(VLOOKUP(F4867,$D$6:$G$15,3,FALSE),600),0)/1000</f>
        <v>0</v>
      </c>
      <c r="S4867" s="399"/>
      <c r="T4867" s="399" t="s">
        <v>125</v>
      </c>
      <c r="U4867" s="401">
        <f t="shared" ref="U4867" si="15710">0.006165*F4867^2</f>
        <v>0.39456000000000002</v>
      </c>
      <c r="V4867" s="399" t="s">
        <v>125</v>
      </c>
      <c r="W4867" s="399">
        <f t="shared" ref="W4867" si="15711">+D4867</f>
        <v>0</v>
      </c>
      <c r="X4867" s="399" t="s">
        <v>125</v>
      </c>
      <c r="Y4867" s="389">
        <f t="shared" ref="Y4867" si="15712">D4861</f>
        <v>1</v>
      </c>
      <c r="Z4867" s="400" t="s">
        <v>176</v>
      </c>
      <c r="AA4867" s="402">
        <f t="shared" ref="AA4867" si="15713">(N4867+P4867*R4867/1000)*U4867*W4867*Y4867</f>
        <v>0</v>
      </c>
      <c r="AB4867" s="403"/>
    </row>
    <row r="4868" spans="1:28">
      <c r="A4868" s="384"/>
      <c r="B4868" s="385"/>
      <c r="C4868" s="393"/>
      <c r="D4868" s="398"/>
      <c r="E4868" s="388"/>
      <c r="F4868" s="388"/>
      <c r="G4868" s="388"/>
      <c r="H4868" s="395"/>
      <c r="I4868" s="388"/>
      <c r="J4868" s="399"/>
      <c r="K4868" s="400"/>
      <c r="L4868" s="399"/>
      <c r="M4868" s="399"/>
      <c r="N4868" s="399"/>
      <c r="O4868" s="399"/>
      <c r="P4868" s="389"/>
      <c r="Q4868" s="399"/>
      <c r="R4868" s="399"/>
      <c r="S4868" s="399"/>
      <c r="T4868" s="399"/>
      <c r="U4868" s="401"/>
      <c r="V4868" s="399"/>
      <c r="W4868" s="399"/>
      <c r="X4868" s="399"/>
      <c r="Y4868" s="389"/>
      <c r="Z4868" s="400"/>
      <c r="AA4868" s="402"/>
      <c r="AB4868" s="403"/>
    </row>
    <row r="4869" spans="1:28">
      <c r="A4869" s="384"/>
      <c r="B4869" s="385"/>
      <c r="C4869" s="393"/>
      <c r="D4869" s="398"/>
      <c r="E4869" s="388"/>
      <c r="F4869" s="388"/>
      <c r="G4869" s="388"/>
      <c r="H4869" s="395"/>
      <c r="I4869" s="388"/>
      <c r="J4869" s="396"/>
      <c r="K4869" s="396"/>
      <c r="L4869" s="396"/>
      <c r="M4869" s="396"/>
      <c r="N4869" s="396"/>
      <c r="O4869" s="396"/>
      <c r="P4869" s="389"/>
      <c r="Q4869" s="396"/>
      <c r="R4869" s="396"/>
      <c r="S4869" s="396"/>
      <c r="T4869" s="396"/>
      <c r="U4869" s="401"/>
      <c r="V4869" s="396"/>
      <c r="W4869" s="399"/>
      <c r="X4869" s="396"/>
      <c r="Y4869" s="389"/>
      <c r="Z4869" s="396"/>
      <c r="AA4869" s="388"/>
      <c r="AB4869" s="390"/>
    </row>
    <row r="4870" spans="1:28">
      <c r="A4870" s="384" t="str">
        <f t="shared" ref="A4870:B4870" si="15714">A4855</f>
        <v>Lantai 3</v>
      </c>
      <c r="B4870" s="385">
        <f t="shared" si="15714"/>
        <v>20</v>
      </c>
      <c r="C4870" s="393" t="s">
        <v>209</v>
      </c>
      <c r="D4870" s="398">
        <f>VLOOKUP(D4855,'Detail Balok'!$C$10:$AU$140,22,FALSE)</f>
        <v>3</v>
      </c>
      <c r="E4870" s="388" t="s">
        <v>16</v>
      </c>
      <c r="F4870" s="388">
        <f>VLOOKUP(D4855,'Detail Balok'!$C$10:$AU$140,24,FALSE)</f>
        <v>13</v>
      </c>
      <c r="G4870" s="388"/>
      <c r="H4870" s="395"/>
      <c r="I4870" s="388" t="s">
        <v>203</v>
      </c>
      <c r="J4870" s="399">
        <f t="shared" si="15521"/>
        <v>1.01875</v>
      </c>
      <c r="K4870" s="400" t="s">
        <v>204</v>
      </c>
      <c r="L4870" s="399">
        <f t="shared" ref="L4870" si="15715">MAX(VLOOKUP(F4870,N$6:P$15,3,FALSE)/1000,2/3*D4860/1000)+F$16*F4870/1000</f>
        <v>0.156</v>
      </c>
      <c r="M4870" s="399" t="s">
        <v>176</v>
      </c>
      <c r="N4870" s="399">
        <f t="shared" ref="N4870:N4872" si="15716">J4870+L4870</f>
        <v>1.17475</v>
      </c>
      <c r="O4870" s="399" t="s">
        <v>204</v>
      </c>
      <c r="P4870" s="389">
        <f t="shared" ref="P4870" si="15717">D4870-D4871</f>
        <v>0</v>
      </c>
      <c r="Q4870" s="399" t="s">
        <v>125</v>
      </c>
      <c r="R4870" s="399">
        <f t="shared" ref="R4870" si="15718">IF(P4870&gt;0,$F$18*F4870/1000,0)</f>
        <v>0</v>
      </c>
      <c r="S4870" s="399" t="s">
        <v>205</v>
      </c>
      <c r="T4870" s="399" t="s">
        <v>125</v>
      </c>
      <c r="U4870" s="401">
        <f t="shared" ref="U4870:U4872" si="15719">0.006165*F4870^2</f>
        <v>1.041885</v>
      </c>
      <c r="V4870" s="399"/>
      <c r="W4870" s="399"/>
      <c r="X4870" s="399" t="s">
        <v>125</v>
      </c>
      <c r="Y4870" s="389">
        <f t="shared" ref="Y4870" si="15720">D4861</f>
        <v>1</v>
      </c>
      <c r="Z4870" s="400" t="s">
        <v>176</v>
      </c>
      <c r="AA4870" s="402">
        <f t="shared" ref="AA4870" si="15721">IF(AA4873=0,(D4870*N4870+P4870*R4870)*U4870*Y4870,0)</f>
        <v>0</v>
      </c>
      <c r="AB4870" s="403"/>
    </row>
    <row r="4871" spans="1:28">
      <c r="A4871" s="384" t="str">
        <f t="shared" ref="A4871:B4871" si="15722">A4855</f>
        <v>Lantai 3</v>
      </c>
      <c r="B4871" s="385">
        <f t="shared" si="15722"/>
        <v>20</v>
      </c>
      <c r="C4871" s="393" t="s">
        <v>210</v>
      </c>
      <c r="D4871" s="398">
        <f>VLOOKUP(D4855,'Detail Balok'!$C$10:$AU$140,25,FALSE)</f>
        <v>3</v>
      </c>
      <c r="E4871" s="388" t="s">
        <v>16</v>
      </c>
      <c r="F4871" s="388">
        <f>VLOOKUP(D4855,'Detail Balok'!$C$10:$AU$140,27,FALSE)</f>
        <v>13</v>
      </c>
      <c r="G4871" s="388"/>
      <c r="H4871" s="395"/>
      <c r="I4871" s="388" t="s">
        <v>203</v>
      </c>
      <c r="J4871" s="399">
        <f t="shared" si="15521"/>
        <v>2.0375000000000001</v>
      </c>
      <c r="K4871" s="400" t="s">
        <v>204</v>
      </c>
      <c r="L4871" s="399"/>
      <c r="M4871" s="399" t="s">
        <v>176</v>
      </c>
      <c r="N4871" s="399">
        <f t="shared" si="15716"/>
        <v>2.0375000000000001</v>
      </c>
      <c r="O4871" s="399" t="s">
        <v>204</v>
      </c>
      <c r="P4871" s="389">
        <f t="shared" ref="P4871" si="15723">MAX(D4871-D4870,D4871-D4872)</f>
        <v>0</v>
      </c>
      <c r="Q4871" s="399" t="s">
        <v>125</v>
      </c>
      <c r="R4871" s="399">
        <f t="shared" ref="R4871" si="15724">IF(P4871&gt;0,2*(1-2*$F$19-1/2)*D4858/1000,0)</f>
        <v>0</v>
      </c>
      <c r="S4871" s="399" t="s">
        <v>205</v>
      </c>
      <c r="T4871" s="399" t="s">
        <v>125</v>
      </c>
      <c r="U4871" s="401">
        <f t="shared" si="15719"/>
        <v>1.041885</v>
      </c>
      <c r="V4871" s="399"/>
      <c r="W4871" s="399"/>
      <c r="X4871" s="399" t="s">
        <v>125</v>
      </c>
      <c r="Y4871" s="389">
        <f t="shared" ref="Y4871" si="15725">D4861</f>
        <v>1</v>
      </c>
      <c r="Z4871" s="400" t="s">
        <v>176</v>
      </c>
      <c r="AA4871" s="402">
        <f t="shared" ref="AA4871" si="15726">IF(AA4873=0,(D4871*N4871+P4871*R4871)*U4871*Y4871,0)</f>
        <v>0</v>
      </c>
      <c r="AB4871" s="403"/>
    </row>
    <row r="4872" spans="1:28">
      <c r="A4872" s="384" t="str">
        <f t="shared" ref="A4872:B4872" si="15727">A4855</f>
        <v>Lantai 3</v>
      </c>
      <c r="B4872" s="385">
        <f t="shared" si="15727"/>
        <v>20</v>
      </c>
      <c r="C4872" s="393" t="s">
        <v>209</v>
      </c>
      <c r="D4872" s="398">
        <f>VLOOKUP(D4855,'Detail Balok'!$C$10:$AU$140,28,FALSE)</f>
        <v>3</v>
      </c>
      <c r="E4872" s="388" t="s">
        <v>16</v>
      </c>
      <c r="F4872" s="388">
        <f>VLOOKUP(D4855,'Detail Balok'!$C$10:$AU$140,30,FALSE)</f>
        <v>13</v>
      </c>
      <c r="G4872" s="388"/>
      <c r="H4872" s="395"/>
      <c r="I4872" s="388" t="s">
        <v>203</v>
      </c>
      <c r="J4872" s="399">
        <f t="shared" si="15521"/>
        <v>1.01875</v>
      </c>
      <c r="K4872" s="400" t="s">
        <v>204</v>
      </c>
      <c r="L4872" s="399">
        <f t="shared" ref="L4872" si="15728">MAX(VLOOKUP(F4872,N$6:P$15,3,FALSE)/1000,2/3*D4860/1000)+F$16*F4872/1000</f>
        <v>0.156</v>
      </c>
      <c r="M4872" s="399" t="s">
        <v>176</v>
      </c>
      <c r="N4872" s="399">
        <f t="shared" si="15716"/>
        <v>1.17475</v>
      </c>
      <c r="O4872" s="399" t="s">
        <v>204</v>
      </c>
      <c r="P4872" s="389">
        <f t="shared" ref="P4872" si="15729">D4872-D4871</f>
        <v>0</v>
      </c>
      <c r="Q4872" s="399" t="s">
        <v>125</v>
      </c>
      <c r="R4872" s="399">
        <f t="shared" ref="R4872" si="15730">IF(P4872&gt;0,$F$18*F4872/1000,0)</f>
        <v>0</v>
      </c>
      <c r="S4872" s="399" t="s">
        <v>205</v>
      </c>
      <c r="T4872" s="399" t="s">
        <v>125</v>
      </c>
      <c r="U4872" s="401">
        <f t="shared" si="15719"/>
        <v>1.041885</v>
      </c>
      <c r="V4872" s="399"/>
      <c r="W4872" s="399"/>
      <c r="X4872" s="399" t="s">
        <v>125</v>
      </c>
      <c r="Y4872" s="389">
        <f t="shared" ref="Y4872" si="15731">D4861</f>
        <v>1</v>
      </c>
      <c r="Z4872" s="400" t="s">
        <v>176</v>
      </c>
      <c r="AA4872" s="402">
        <f t="shared" ref="AA4872" si="15732">IF(AA4873=0,(D4872*N4872+P4872*R4872)*U4872*Y4872,0)</f>
        <v>0</v>
      </c>
      <c r="AB4872" s="403"/>
    </row>
    <row r="4873" spans="1:28">
      <c r="A4873" s="384" t="str">
        <f t="shared" ref="A4873:B4873" si="15733">A4855</f>
        <v>Lantai 3</v>
      </c>
      <c r="B4873" s="385">
        <f t="shared" si="15733"/>
        <v>20</v>
      </c>
      <c r="C4873" s="393"/>
      <c r="D4873" s="398">
        <f t="shared" si="15541"/>
        <v>3</v>
      </c>
      <c r="E4873" s="388" t="s">
        <v>16</v>
      </c>
      <c r="F4873" s="388">
        <f t="shared" si="15542"/>
        <v>13</v>
      </c>
      <c r="G4873" s="388"/>
      <c r="H4873" s="395"/>
      <c r="I4873" s="388"/>
      <c r="J4873" s="396"/>
      <c r="K4873" s="396"/>
      <c r="L4873" s="404" t="s">
        <v>207</v>
      </c>
      <c r="M4873" s="399" t="s">
        <v>176</v>
      </c>
      <c r="N4873" s="399">
        <f t="shared" ref="N4873" si="15734">IF(AND(D4870=D4871,D4870=D4872,D4871=D4872,F4870=F4871,F4870=F4872,F4871=F4872),SUM(N4870:N4872),0)</f>
        <v>4.3870000000000005</v>
      </c>
      <c r="O4873" s="399" t="s">
        <v>204</v>
      </c>
      <c r="P4873" s="389">
        <f t="shared" ref="P4873" si="15735">IF(N4873&gt;12,ROUNDDOWN(N4873/12,0),0)</f>
        <v>0</v>
      </c>
      <c r="Q4873" s="399" t="s">
        <v>125</v>
      </c>
      <c r="R4873" s="399">
        <f t="shared" ref="R4873" si="15736">IF(P4873&gt;0,MAX(VLOOKUP(F4873,$D$6:$G$15,3,FALSE),600),0)/1000</f>
        <v>0</v>
      </c>
      <c r="S4873" s="396"/>
      <c r="T4873" s="396" t="s">
        <v>125</v>
      </c>
      <c r="U4873" s="401">
        <f t="shared" si="15546"/>
        <v>1.041885</v>
      </c>
      <c r="V4873" s="396" t="s">
        <v>125</v>
      </c>
      <c r="W4873" s="399">
        <f t="shared" ref="W4873" si="15737">D4873</f>
        <v>3</v>
      </c>
      <c r="X4873" s="399" t="s">
        <v>125</v>
      </c>
      <c r="Y4873" s="389">
        <f t="shared" si="15548"/>
        <v>1</v>
      </c>
      <c r="Z4873" s="400" t="s">
        <v>176</v>
      </c>
      <c r="AA4873" s="402">
        <f t="shared" ref="AA4873" si="15738">(N4873+P4873*R4873/1000)*U4873*W4873*Y4873</f>
        <v>13.712248485</v>
      </c>
      <c r="AB4873" s="403"/>
    </row>
    <row r="4874" spans="1:28">
      <c r="A4874" s="384"/>
      <c r="B4874" s="385"/>
      <c r="C4874" s="393"/>
      <c r="D4874" s="394"/>
      <c r="E4874" s="388"/>
      <c r="F4874" s="388"/>
      <c r="G4874" s="388"/>
      <c r="H4874" s="395"/>
      <c r="I4874" s="388"/>
      <c r="J4874" s="399"/>
      <c r="K4874" s="396"/>
      <c r="L4874" s="396"/>
      <c r="M4874" s="396"/>
      <c r="N4874" s="396"/>
      <c r="O4874" s="396"/>
      <c r="P4874" s="389"/>
      <c r="Q4874" s="396"/>
      <c r="R4874" s="396"/>
      <c r="S4874" s="396"/>
      <c r="T4874" s="396"/>
      <c r="U4874" s="401"/>
      <c r="V4874" s="396"/>
      <c r="W4874" s="388"/>
      <c r="X4874" s="396"/>
      <c r="Y4874" s="389"/>
      <c r="Z4874" s="396"/>
      <c r="AA4874" s="388"/>
      <c r="AB4874" s="390"/>
    </row>
    <row r="4875" spans="1:28">
      <c r="A4875" s="384" t="str">
        <f t="shared" ref="A4875:B4875" si="15739">A4855</f>
        <v>Lantai 3</v>
      </c>
      <c r="B4875" s="385">
        <f t="shared" si="15739"/>
        <v>20</v>
      </c>
      <c r="C4875" s="393" t="s">
        <v>211</v>
      </c>
      <c r="D4875" s="398">
        <f>VLOOKUP(D4855,'Detail Balok'!$C$10:$AU$140,31,FALSE)</f>
        <v>0</v>
      </c>
      <c r="E4875" s="388" t="s">
        <v>16</v>
      </c>
      <c r="F4875" s="388">
        <f>VLOOKUP(D4855,'Detail Balok'!$C$10:$AU$140,33,FALSE)</f>
        <v>10</v>
      </c>
      <c r="G4875" s="405" t="s">
        <v>157</v>
      </c>
      <c r="H4875" s="395">
        <f>VLOOKUP(D4855,'Detail Balok'!$C$10:$AU$140,35,FALSE)</f>
        <v>100</v>
      </c>
      <c r="I4875" s="388"/>
      <c r="J4875" s="400">
        <f t="shared" ref="J4875" si="15740">(IF(D4875=0,(2*(D4856+G4856))-(F$5*8),IF(D4875=3,(2*(D4856+G4856))-(F$5*8)+(G4856-2*F$5),IF(D4875=4,(2*(D4856+G4856))-(F$5*8)+2*(G4856-2*F$5)))))/1000</f>
        <v>0.88</v>
      </c>
      <c r="K4875" s="400" t="s">
        <v>204</v>
      </c>
      <c r="L4875" s="399">
        <f t="shared" ref="L4875:L4877" si="15741">IF(D4875=0,2*MAX(6*F4875,75),(D4875-1)*2*MAX(6*F4875,75))/1000</f>
        <v>0.15</v>
      </c>
      <c r="M4875" s="399" t="s">
        <v>176</v>
      </c>
      <c r="N4875" s="399">
        <f t="shared" ref="N4875:N4877" si="15742">J4875+L4875</f>
        <v>1.03</v>
      </c>
      <c r="O4875" s="399"/>
      <c r="P4875" s="389"/>
      <c r="Q4875" s="399"/>
      <c r="R4875" s="399"/>
      <c r="S4875" s="399"/>
      <c r="T4875" s="399" t="s">
        <v>125</v>
      </c>
      <c r="U4875" s="401">
        <f t="shared" ref="U4875:U4877" si="15743">0.006165*F4875^2</f>
        <v>0.61650000000000005</v>
      </c>
      <c r="V4875" s="399" t="s">
        <v>125</v>
      </c>
      <c r="W4875" s="399">
        <f t="shared" ref="W4875" si="15744">IF(D4858&gt;4*G4856,ROUND(MAX(D4858/4,2*G4856)/H4875,0)+1,ROUND(D4858/H4875,0)+1)</f>
        <v>11</v>
      </c>
      <c r="X4875" s="399" t="s">
        <v>125</v>
      </c>
      <c r="Y4875" s="389">
        <f t="shared" ref="Y4875" si="15745">D4861</f>
        <v>1</v>
      </c>
      <c r="Z4875" s="400" t="s">
        <v>176</v>
      </c>
      <c r="AA4875" s="402">
        <f t="shared" ref="AA4875:AA4877" si="15746">N4875*U4875*W4875*Y4875</f>
        <v>6.9849450000000006</v>
      </c>
      <c r="AB4875" s="403"/>
    </row>
    <row r="4876" spans="1:28">
      <c r="A4876" s="384" t="str">
        <f t="shared" ref="A4876:B4876" si="15747">A4855</f>
        <v>Lantai 3</v>
      </c>
      <c r="B4876" s="385">
        <f t="shared" si="15747"/>
        <v>20</v>
      </c>
      <c r="C4876" s="393" t="s">
        <v>212</v>
      </c>
      <c r="D4876" s="398">
        <f>VLOOKUP(D4855,'Detail Balok'!$C$10:$AU$140,36,FALSE)</f>
        <v>0</v>
      </c>
      <c r="E4876" s="388" t="s">
        <v>16</v>
      </c>
      <c r="F4876" s="388">
        <f>VLOOKUP(D4855,'Detail Balok'!$C$10:$AU$140,38,FALSE)</f>
        <v>10</v>
      </c>
      <c r="G4876" s="405" t="s">
        <v>157</v>
      </c>
      <c r="H4876" s="395">
        <f>VLOOKUP(D4855,'Detail Balok'!$C$10:$AU$140,40,FALSE)</f>
        <v>200</v>
      </c>
      <c r="I4876" s="388"/>
      <c r="J4876" s="400">
        <f t="shared" ref="J4876" si="15748">(IF(D4876=0,(2*(D4856+G4856))-(F$5*8),IF(D4876=3,(2*(D4856+G4856))-(F$5*8)+(G4856-2*F$5),IF(D4876=4,(2*(D4856+G4856))-(F$5*8)+2*(G4856-2*F$5)))))/1000</f>
        <v>0.88</v>
      </c>
      <c r="K4876" s="400" t="s">
        <v>204</v>
      </c>
      <c r="L4876" s="399">
        <f t="shared" si="15741"/>
        <v>0.15</v>
      </c>
      <c r="M4876" s="399" t="s">
        <v>176</v>
      </c>
      <c r="N4876" s="399">
        <f t="shared" si="15742"/>
        <v>1.03</v>
      </c>
      <c r="O4876" s="399"/>
      <c r="P4876" s="389"/>
      <c r="Q4876" s="399"/>
      <c r="R4876" s="399"/>
      <c r="S4876" s="399"/>
      <c r="T4876" s="399" t="s">
        <v>125</v>
      </c>
      <c r="U4876" s="401">
        <f t="shared" si="15743"/>
        <v>0.61650000000000005</v>
      </c>
      <c r="V4876" s="399" t="s">
        <v>125</v>
      </c>
      <c r="W4876" s="399">
        <f t="shared" ref="W4876" si="15749">IF(D4858-MAX(D4858/4,2*G4856)*2&gt;0,ROUND((D4858-MAX(D4858/4,2*G4856)*2)/H4876,0),0)</f>
        <v>10</v>
      </c>
      <c r="X4876" s="399" t="s">
        <v>125</v>
      </c>
      <c r="Y4876" s="389">
        <f t="shared" ref="Y4876" si="15750">D4861</f>
        <v>1</v>
      </c>
      <c r="Z4876" s="400" t="s">
        <v>176</v>
      </c>
      <c r="AA4876" s="402">
        <f t="shared" si="15746"/>
        <v>6.3499500000000006</v>
      </c>
      <c r="AB4876" s="403"/>
    </row>
    <row r="4877" spans="1:28">
      <c r="A4877" s="384" t="str">
        <f t="shared" ref="A4877:B4877" si="15751">A4855</f>
        <v>Lantai 3</v>
      </c>
      <c r="B4877" s="385">
        <f t="shared" si="15751"/>
        <v>20</v>
      </c>
      <c r="C4877" s="393" t="s">
        <v>211</v>
      </c>
      <c r="D4877" s="398">
        <f>VLOOKUP(D4855,'Detail Balok'!$C$10:$AU$140,41,FALSE)</f>
        <v>0</v>
      </c>
      <c r="E4877" s="388" t="s">
        <v>16</v>
      </c>
      <c r="F4877" s="388">
        <f>VLOOKUP(D4855,'Detail Balok'!$C$10:$AU$140,43,FALSE)</f>
        <v>10</v>
      </c>
      <c r="G4877" s="405" t="s">
        <v>157</v>
      </c>
      <c r="H4877" s="395">
        <f>VLOOKUP(D4855,'Detail Balok'!$C$10:$AU$140,45,FALSE)</f>
        <v>100</v>
      </c>
      <c r="I4877" s="388"/>
      <c r="J4877" s="400">
        <f t="shared" ref="J4877" si="15752">(IF(D4877=0,(2*(D4856+G4856))-(F$5*8),IF(D4877=3,(2*(D4856+G4856))-(F$5*8)+(G4856-2*F$5),IF(D4877=4,(2*(D4856+G4856))-(F$5*8)+2*(G4856-2*F$5)))))/1000</f>
        <v>0.88</v>
      </c>
      <c r="K4877" s="400" t="s">
        <v>204</v>
      </c>
      <c r="L4877" s="399">
        <f t="shared" si="15741"/>
        <v>0.15</v>
      </c>
      <c r="M4877" s="399" t="s">
        <v>176</v>
      </c>
      <c r="N4877" s="399">
        <f t="shared" si="15742"/>
        <v>1.03</v>
      </c>
      <c r="O4877" s="399"/>
      <c r="P4877" s="389"/>
      <c r="Q4877" s="399"/>
      <c r="R4877" s="399"/>
      <c r="S4877" s="399"/>
      <c r="T4877" s="399" t="s">
        <v>125</v>
      </c>
      <c r="U4877" s="401">
        <f t="shared" si="15743"/>
        <v>0.61650000000000005</v>
      </c>
      <c r="V4877" s="399" t="s">
        <v>125</v>
      </c>
      <c r="W4877" s="399">
        <f t="shared" ref="W4877" si="15753">IF(D4858&gt;4*G4856,ROUND(MAX(D4858/4,2*G4856)/H4877,0)+1,0)</f>
        <v>11</v>
      </c>
      <c r="X4877" s="399" t="s">
        <v>125</v>
      </c>
      <c r="Y4877" s="389">
        <f t="shared" ref="Y4877" si="15754">D4861</f>
        <v>1</v>
      </c>
      <c r="Z4877" s="400" t="s">
        <v>176</v>
      </c>
      <c r="AA4877" s="402">
        <f t="shared" si="15746"/>
        <v>6.9849450000000006</v>
      </c>
      <c r="AB4877" s="403"/>
    </row>
    <row r="4878" spans="1:28">
      <c r="A4878" s="384"/>
      <c r="B4878" s="385"/>
      <c r="C4878" s="393"/>
      <c r="D4878" s="394"/>
      <c r="E4878" s="388"/>
      <c r="F4878" s="388"/>
      <c r="G4878" s="388"/>
      <c r="H4878" s="395"/>
      <c r="I4878" s="388"/>
      <c r="J4878" s="399"/>
      <c r="K4878" s="396"/>
      <c r="L4878" s="396"/>
      <c r="M4878" s="396"/>
      <c r="N4878" s="396"/>
      <c r="O4878" s="396"/>
      <c r="P4878" s="389"/>
      <c r="Q4878" s="396"/>
      <c r="R4878" s="396"/>
      <c r="S4878" s="396"/>
      <c r="T4878" s="396"/>
      <c r="U4878" s="401"/>
      <c r="V4878" s="396"/>
      <c r="W4878" s="388"/>
      <c r="X4878" s="396"/>
      <c r="Y4878" s="389"/>
      <c r="Z4878" s="396"/>
      <c r="AA4878" s="388"/>
      <c r="AB4878" s="390"/>
    </row>
    <row r="4879" spans="1:28">
      <c r="A4879" s="384" t="str">
        <f t="shared" ref="A4879:B4879" si="15755">A4855</f>
        <v>Lantai 3</v>
      </c>
      <c r="B4879" s="385">
        <f t="shared" si="15755"/>
        <v>20</v>
      </c>
      <c r="C4879" s="393" t="s">
        <v>213</v>
      </c>
      <c r="D4879" s="398">
        <f>VLOOKUP(D4855,'Detail Balok'!$C$10:$BJ$140,46,FALSE)</f>
        <v>0</v>
      </c>
      <c r="E4879" s="388" t="s">
        <v>16</v>
      </c>
      <c r="F4879" s="388">
        <f>VLOOKUP(D4855,'Detail Balok'!$C$10:$BJ$140,48,FALSE)</f>
        <v>0</v>
      </c>
      <c r="G4879" s="405" t="s">
        <v>157</v>
      </c>
      <c r="H4879" s="395">
        <f>VLOOKUP(D4855,'Detail Balok'!$C$10:$BJ$140,50,FALSE)</f>
        <v>100</v>
      </c>
      <c r="I4879" s="388"/>
      <c r="J4879" s="399">
        <f t="shared" ref="J4879" si="15756">(D4856-2*F$5)/1000</f>
        <v>0.12</v>
      </c>
      <c r="K4879" s="400" t="s">
        <v>204</v>
      </c>
      <c r="L4879" s="399">
        <f t="shared" ref="L4879:L4881" si="15757">IF(D4879=0,2*MAX(6*F4879,75),(D4879-1)*2*MAX(6*F4879,75))/1000</f>
        <v>0.15</v>
      </c>
      <c r="M4879" s="399" t="s">
        <v>176</v>
      </c>
      <c r="N4879" s="399">
        <f t="shared" ref="N4879:N4881" si="15758">J4879+L4879</f>
        <v>0.27</v>
      </c>
      <c r="O4879" s="399"/>
      <c r="P4879" s="399"/>
      <c r="Q4879" s="399"/>
      <c r="R4879" s="399"/>
      <c r="S4879" s="399"/>
      <c r="T4879" s="399" t="s">
        <v>125</v>
      </c>
      <c r="U4879" s="401">
        <f t="shared" ref="U4879:U4881" si="15759">0.006165*F4879^2</f>
        <v>0</v>
      </c>
      <c r="V4879" s="399" t="s">
        <v>125</v>
      </c>
      <c r="W4879" s="399">
        <f t="shared" si="15571"/>
        <v>11</v>
      </c>
      <c r="X4879" s="399" t="s">
        <v>125</v>
      </c>
      <c r="Y4879" s="389">
        <f t="shared" ref="Y4879" si="15760">D4865</f>
        <v>3</v>
      </c>
      <c r="Z4879" s="400" t="s">
        <v>176</v>
      </c>
      <c r="AA4879" s="402">
        <f t="shared" ref="AA4879:AA4881" si="15761">N4879*U4879*W4879*Y4879</f>
        <v>0</v>
      </c>
      <c r="AB4879" s="403"/>
    </row>
    <row r="4880" spans="1:28">
      <c r="A4880" s="384" t="str">
        <f t="shared" ref="A4880:B4880" si="15762">A4855</f>
        <v>Lantai 3</v>
      </c>
      <c r="B4880" s="385">
        <f t="shared" si="15762"/>
        <v>20</v>
      </c>
      <c r="C4880" s="393" t="s">
        <v>214</v>
      </c>
      <c r="D4880" s="398">
        <f>VLOOKUP(D4855,'Detail Balok'!$C$10:$BJ$140,51,FALSE)</f>
        <v>0</v>
      </c>
      <c r="E4880" s="388" t="s">
        <v>16</v>
      </c>
      <c r="F4880" s="388">
        <f>VLOOKUP(D4855,'Detail Balok'!$C$10:$BJ$140,53,FALSE)</f>
        <v>0</v>
      </c>
      <c r="G4880" s="405" t="s">
        <v>157</v>
      </c>
      <c r="H4880" s="395">
        <f>VLOOKUP(D4855,'Detail Balok'!$C$10:$BJ$140,55,FALSE)</f>
        <v>100</v>
      </c>
      <c r="I4880" s="388"/>
      <c r="J4880" s="399">
        <f t="shared" ref="J4880" si="15763">(D4856-2*F$5)/1000</f>
        <v>0.12</v>
      </c>
      <c r="K4880" s="400" t="s">
        <v>204</v>
      </c>
      <c r="L4880" s="399">
        <f t="shared" si="15757"/>
        <v>0.15</v>
      </c>
      <c r="M4880" s="399" t="s">
        <v>176</v>
      </c>
      <c r="N4880" s="399">
        <f t="shared" si="15758"/>
        <v>0.27</v>
      </c>
      <c r="O4880" s="399"/>
      <c r="P4880" s="399"/>
      <c r="Q4880" s="399"/>
      <c r="R4880" s="399"/>
      <c r="S4880" s="399"/>
      <c r="T4880" s="399" t="s">
        <v>125</v>
      </c>
      <c r="U4880" s="401">
        <f t="shared" si="15759"/>
        <v>0</v>
      </c>
      <c r="V4880" s="399" t="s">
        <v>125</v>
      </c>
      <c r="W4880" s="399">
        <f t="shared" si="15571"/>
        <v>10</v>
      </c>
      <c r="X4880" s="399" t="s">
        <v>125</v>
      </c>
      <c r="Y4880" s="389">
        <f t="shared" ref="Y4880" si="15764">D4865</f>
        <v>3</v>
      </c>
      <c r="Z4880" s="400" t="s">
        <v>176</v>
      </c>
      <c r="AA4880" s="402">
        <f t="shared" si="15761"/>
        <v>0</v>
      </c>
      <c r="AB4880" s="403"/>
    </row>
    <row r="4881" spans="1:28">
      <c r="A4881" s="384" t="str">
        <f t="shared" ref="A4881:B4881" si="15765">A4855</f>
        <v>Lantai 3</v>
      </c>
      <c r="B4881" s="385">
        <f t="shared" si="15765"/>
        <v>20</v>
      </c>
      <c r="C4881" s="393" t="s">
        <v>213</v>
      </c>
      <c r="D4881" s="398">
        <f>VLOOKUP(D4855,'Detail Balok'!$C$10:$BJ$140,56,FALSE)</f>
        <v>0</v>
      </c>
      <c r="E4881" s="388" t="s">
        <v>16</v>
      </c>
      <c r="F4881" s="388">
        <f>VLOOKUP(D4855,'Detail Balok'!$C$10:$BJ$140,58,FALSE)</f>
        <v>0</v>
      </c>
      <c r="G4881" s="405" t="s">
        <v>157</v>
      </c>
      <c r="H4881" s="395">
        <f>VLOOKUP(D4855,'Detail Balok'!$C$10:$BJ$140,60,FALSE)</f>
        <v>100</v>
      </c>
      <c r="I4881" s="388"/>
      <c r="J4881" s="399">
        <f t="shared" ref="J4881" si="15766">(D4856-2*F$5)/1000</f>
        <v>0.12</v>
      </c>
      <c r="K4881" s="400" t="s">
        <v>204</v>
      </c>
      <c r="L4881" s="399">
        <f t="shared" si="15757"/>
        <v>0.15</v>
      </c>
      <c r="M4881" s="399" t="s">
        <v>176</v>
      </c>
      <c r="N4881" s="399">
        <f t="shared" si="15758"/>
        <v>0.27</v>
      </c>
      <c r="O4881" s="399"/>
      <c r="P4881" s="399"/>
      <c r="Q4881" s="399"/>
      <c r="R4881" s="399"/>
      <c r="S4881" s="399"/>
      <c r="T4881" s="399" t="s">
        <v>125</v>
      </c>
      <c r="U4881" s="401">
        <f t="shared" si="15759"/>
        <v>0</v>
      </c>
      <c r="V4881" s="399" t="s">
        <v>125</v>
      </c>
      <c r="W4881" s="399">
        <f t="shared" si="15571"/>
        <v>11</v>
      </c>
      <c r="X4881" s="399" t="s">
        <v>125</v>
      </c>
      <c r="Y4881" s="389">
        <f t="shared" ref="Y4881" si="15767">D4865</f>
        <v>3</v>
      </c>
      <c r="Z4881" s="400" t="s">
        <v>176</v>
      </c>
      <c r="AA4881" s="402">
        <f t="shared" si="15761"/>
        <v>0</v>
      </c>
      <c r="AB4881" s="403"/>
    </row>
    <row r="4882" spans="1:28">
      <c r="A4882" s="391"/>
      <c r="B4882" s="392"/>
      <c r="C4882" s="392"/>
      <c r="D4882" s="394"/>
      <c r="E4882" s="388"/>
      <c r="F4882" s="388"/>
      <c r="G4882" s="388"/>
      <c r="H4882" s="395"/>
      <c r="I4882" s="388"/>
      <c r="J4882" s="402"/>
      <c r="K4882" s="388"/>
      <c r="L4882" s="388"/>
      <c r="M4882" s="388"/>
      <c r="N4882" s="388"/>
      <c r="O4882" s="388"/>
      <c r="P4882" s="388"/>
      <c r="Q4882" s="388"/>
      <c r="R4882" s="388"/>
      <c r="S4882" s="388"/>
      <c r="T4882" s="388"/>
      <c r="U4882" s="388"/>
      <c r="V4882" s="388"/>
      <c r="W4882" s="388"/>
      <c r="X4882" s="388"/>
      <c r="Y4882" s="389"/>
      <c r="Z4882" s="388"/>
      <c r="AA4882" s="402"/>
      <c r="AB4882" s="403"/>
    </row>
    <row r="4883" spans="1:28" ht="15.75" thickBot="1">
      <c r="A4883" s="406"/>
      <c r="B4883" s="407"/>
      <c r="C4883" s="407"/>
      <c r="D4883" s="408"/>
      <c r="E4883" s="409"/>
      <c r="F4883" s="409"/>
      <c r="G4883" s="409"/>
      <c r="H4883" s="410"/>
      <c r="I4883" s="409"/>
      <c r="J4883" s="409"/>
      <c r="K4883" s="409"/>
      <c r="L4883" s="409"/>
      <c r="M4883" s="409"/>
      <c r="N4883" s="409"/>
      <c r="O4883" s="409"/>
      <c r="P4883" s="409"/>
      <c r="Q4883" s="409"/>
      <c r="R4883" s="409"/>
      <c r="S4883" s="409"/>
      <c r="T4883" s="409"/>
      <c r="U4883" s="409"/>
      <c r="V4883" s="409"/>
      <c r="W4883" s="409"/>
      <c r="X4883" s="409"/>
      <c r="Y4883" s="411"/>
      <c r="Z4883" s="409"/>
      <c r="AA4883" s="412"/>
      <c r="AB4883" s="413"/>
    </row>
    <row r="4884" spans="1:28">
      <c r="A4884" s="377"/>
      <c r="B4884" s="378"/>
      <c r="C4884" s="378"/>
      <c r="D4884" s="379"/>
      <c r="E4884" s="380"/>
      <c r="F4884" s="380"/>
      <c r="G4884" s="380"/>
      <c r="H4884" s="381"/>
      <c r="I4884" s="380"/>
      <c r="J4884" s="380"/>
      <c r="K4884" s="380"/>
      <c r="L4884" s="380"/>
      <c r="M4884" s="380"/>
      <c r="N4884" s="380"/>
      <c r="O4884" s="380"/>
      <c r="P4884" s="380"/>
      <c r="Q4884" s="380"/>
      <c r="R4884" s="380"/>
      <c r="S4884" s="380"/>
      <c r="T4884" s="380"/>
      <c r="U4884" s="380"/>
      <c r="V4884" s="380"/>
      <c r="W4884" s="380"/>
      <c r="X4884" s="380"/>
      <c r="Y4884" s="382"/>
      <c r="Z4884" s="380"/>
      <c r="AA4884" s="380"/>
      <c r="AB4884" s="383"/>
    </row>
    <row r="4885" spans="1:28">
      <c r="A4885" s="384" t="str">
        <f t="shared" si="15580"/>
        <v>Lantai 3</v>
      </c>
      <c r="B4885" s="385">
        <f t="shared" si="15581"/>
        <v>21</v>
      </c>
      <c r="C4885" s="386" t="str">
        <f t="shared" ref="C4885" si="15768">CONCATENATE(A4885," no. ",B4885)</f>
        <v>Lantai 3 no. 21</v>
      </c>
      <c r="D4885" s="2562" t="str">
        <f>VLOOKUP(C4885,'Data Panjang Balok'!$C$9:$N$254,2,FALSE)</f>
        <v>B24-1</v>
      </c>
      <c r="E4885" s="2576"/>
      <c r="F4885" s="2576"/>
      <c r="G4885" s="2576"/>
      <c r="H4885" s="2577"/>
      <c r="I4885" s="387"/>
      <c r="J4885" s="388"/>
      <c r="K4885" s="388"/>
      <c r="L4885" s="388"/>
      <c r="M4885" s="388"/>
      <c r="N4885" s="388"/>
      <c r="O4885" s="388"/>
      <c r="P4885" s="388"/>
      <c r="Q4885" s="388"/>
      <c r="R4885" s="388"/>
      <c r="S4885" s="388"/>
      <c r="T4885" s="388"/>
      <c r="U4885" s="388"/>
      <c r="V4885" s="388"/>
      <c r="W4885" s="388"/>
      <c r="X4885" s="388"/>
      <c r="Y4885" s="389"/>
      <c r="Z4885" s="388"/>
      <c r="AA4885" s="388"/>
      <c r="AB4885" s="390"/>
    </row>
    <row r="4886" spans="1:28">
      <c r="A4886" s="391"/>
      <c r="B4886" s="392"/>
      <c r="C4886" s="393" t="s">
        <v>118</v>
      </c>
      <c r="D4886" s="2578">
        <f>VLOOKUP(D4885,'Detail Balok'!$C$10:$AU$140,2,FALSE)</f>
        <v>200</v>
      </c>
      <c r="E4886" s="2579"/>
      <c r="F4886" s="388" t="s">
        <v>125</v>
      </c>
      <c r="G4886" s="2579">
        <f>VLOOKUP(D4885,'Detail Balok'!$C$10:$AU$140,3,FALSE)</f>
        <v>400</v>
      </c>
      <c r="H4886" s="2580"/>
      <c r="I4886" s="388"/>
      <c r="J4886" s="396"/>
      <c r="K4886" s="396"/>
      <c r="L4886" s="396"/>
      <c r="M4886" s="396"/>
      <c r="N4886" s="396"/>
      <c r="O4886" s="396"/>
      <c r="P4886" s="396"/>
      <c r="Q4886" s="396"/>
      <c r="R4886" s="396"/>
      <c r="S4886" s="396"/>
      <c r="T4886" s="396"/>
      <c r="U4886" s="388"/>
      <c r="V4886" s="396"/>
      <c r="W4886" s="388"/>
      <c r="X4886" s="396"/>
      <c r="Y4886" s="389"/>
      <c r="Z4886" s="396"/>
      <c r="AA4886" s="388"/>
      <c r="AB4886" s="390"/>
    </row>
    <row r="4887" spans="1:28">
      <c r="A4887" s="391"/>
      <c r="B4887" s="392"/>
      <c r="C4887" s="393" t="s">
        <v>198</v>
      </c>
      <c r="D4887" s="2562">
        <f>VLOOKUP(C4885,'Data Panjang Balok'!$C$9:$N$254,4,FALSE)</f>
        <v>2195</v>
      </c>
      <c r="E4887" s="2563"/>
      <c r="F4887" s="2563"/>
      <c r="G4887" s="2563"/>
      <c r="H4887" s="2564"/>
      <c r="I4887" s="397"/>
      <c r="J4887" s="396"/>
      <c r="K4887" s="396"/>
      <c r="L4887" s="396"/>
      <c r="M4887" s="396"/>
      <c r="N4887" s="396"/>
      <c r="O4887" s="396"/>
      <c r="P4887" s="396"/>
      <c r="Q4887" s="396"/>
      <c r="R4887" s="396"/>
      <c r="S4887" s="396"/>
      <c r="T4887" s="396"/>
      <c r="U4887" s="388"/>
      <c r="V4887" s="396"/>
      <c r="W4887" s="388"/>
      <c r="X4887" s="396"/>
      <c r="Y4887" s="389"/>
      <c r="Z4887" s="396"/>
      <c r="AA4887" s="388"/>
      <c r="AB4887" s="390"/>
    </row>
    <row r="4888" spans="1:28">
      <c r="A4888" s="391"/>
      <c r="B4888" s="392"/>
      <c r="C4888" s="393" t="s">
        <v>199</v>
      </c>
      <c r="D4888" s="2562">
        <f>VLOOKUP(C4885,'Data Panjang Balok'!$C$9:$N$254,7,FALSE)</f>
        <v>2195</v>
      </c>
      <c r="E4888" s="2563"/>
      <c r="F4888" s="2563"/>
      <c r="G4888" s="2563"/>
      <c r="H4888" s="2564"/>
      <c r="I4888" s="397"/>
      <c r="J4888" s="396"/>
      <c r="K4888" s="396"/>
      <c r="L4888" s="396"/>
      <c r="M4888" s="396"/>
      <c r="N4888" s="396"/>
      <c r="O4888" s="396"/>
      <c r="P4888" s="396"/>
      <c r="Q4888" s="396"/>
      <c r="R4888" s="396"/>
      <c r="S4888" s="396"/>
      <c r="T4888" s="396"/>
      <c r="U4888" s="388"/>
      <c r="V4888" s="396"/>
      <c r="W4888" s="388"/>
      <c r="X4888" s="396"/>
      <c r="Y4888" s="389"/>
      <c r="Z4888" s="396"/>
      <c r="AA4888" s="388"/>
      <c r="AB4888" s="390"/>
    </row>
    <row r="4889" spans="1:28">
      <c r="A4889" s="391"/>
      <c r="B4889" s="392"/>
      <c r="C4889" s="393" t="s">
        <v>200</v>
      </c>
      <c r="D4889" s="2562">
        <f>VLOOKUP(C4885,'Data Panjang Balok'!$C$9:$N$254,9,FALSE)</f>
        <v>0</v>
      </c>
      <c r="E4889" s="2563"/>
      <c r="F4889" s="2563"/>
      <c r="G4889" s="2563"/>
      <c r="H4889" s="2564"/>
      <c r="I4889" s="397"/>
      <c r="J4889" s="396"/>
      <c r="K4889" s="396"/>
      <c r="L4889" s="396"/>
      <c r="M4889" s="396"/>
      <c r="N4889" s="396"/>
      <c r="O4889" s="396"/>
      <c r="P4889" s="396"/>
      <c r="Q4889" s="396"/>
      <c r="R4889" s="396"/>
      <c r="S4889" s="396"/>
      <c r="T4889" s="396"/>
      <c r="U4889" s="388"/>
      <c r="V4889" s="396"/>
      <c r="W4889" s="388"/>
      <c r="X4889" s="396"/>
      <c r="Y4889" s="389"/>
      <c r="Z4889" s="396"/>
      <c r="AA4889" s="388"/>
      <c r="AB4889" s="390"/>
    </row>
    <row r="4890" spans="1:28">
      <c r="A4890" s="391"/>
      <c r="B4890" s="392"/>
      <c r="C4890" s="393" t="s">
        <v>201</v>
      </c>
      <c r="D4890" s="2562">
        <f>VLOOKUP(C4885,'Data Panjang Balok'!$C$9:$N$254,10,FALSE)</f>
        <v>0</v>
      </c>
      <c r="E4890" s="2563"/>
      <c r="F4890" s="2563"/>
      <c r="G4890" s="2563"/>
      <c r="H4890" s="2564"/>
      <c r="I4890" s="397"/>
      <c r="J4890" s="396"/>
      <c r="K4890" s="396"/>
      <c r="L4890" s="396"/>
      <c r="M4890" s="396"/>
      <c r="N4890" s="396"/>
      <c r="O4890" s="396"/>
      <c r="P4890" s="396"/>
      <c r="Q4890" s="396"/>
      <c r="R4890" s="396"/>
      <c r="S4890" s="396"/>
      <c r="T4890" s="396"/>
      <c r="U4890" s="388"/>
      <c r="V4890" s="396"/>
      <c r="W4890" s="388"/>
      <c r="X4890" s="396"/>
      <c r="Y4890" s="389"/>
      <c r="Z4890" s="396"/>
      <c r="AA4890" s="388"/>
      <c r="AB4890" s="390"/>
    </row>
    <row r="4891" spans="1:28">
      <c r="A4891" s="391"/>
      <c r="B4891" s="392"/>
      <c r="C4891" s="393" t="s">
        <v>48</v>
      </c>
      <c r="D4891" s="2562">
        <f>VLOOKUP(C4885,'Data Panjang Balok'!$C$9:$N$254,3,FALSE)</f>
        <v>1</v>
      </c>
      <c r="E4891" s="2563"/>
      <c r="F4891" s="2563"/>
      <c r="G4891" s="2563"/>
      <c r="H4891" s="2564"/>
      <c r="I4891" s="397"/>
      <c r="J4891" s="396"/>
      <c r="K4891" s="396"/>
      <c r="L4891" s="396"/>
      <c r="M4891" s="396"/>
      <c r="N4891" s="396"/>
      <c r="O4891" s="396"/>
      <c r="P4891" s="396"/>
      <c r="Q4891" s="396"/>
      <c r="R4891" s="396"/>
      <c r="S4891" s="396"/>
      <c r="T4891" s="396"/>
      <c r="U4891" s="388"/>
      <c r="V4891" s="396"/>
      <c r="W4891" s="388"/>
      <c r="X4891" s="396"/>
      <c r="Y4891" s="389"/>
      <c r="Z4891" s="396"/>
      <c r="AA4891" s="388"/>
      <c r="AB4891" s="390"/>
    </row>
    <row r="4892" spans="1:28">
      <c r="A4892" s="384" t="str">
        <f t="shared" ref="A4892:B4892" si="15769">A4885</f>
        <v>Lantai 3</v>
      </c>
      <c r="B4892" s="385">
        <f t="shared" si="15769"/>
        <v>21</v>
      </c>
      <c r="C4892" s="393" t="s">
        <v>202</v>
      </c>
      <c r="D4892" s="398">
        <f>VLOOKUP(D4885,'Detail Balok'!$C$10:$AU$140,4,FALSE)</f>
        <v>3</v>
      </c>
      <c r="E4892" s="388" t="s">
        <v>16</v>
      </c>
      <c r="F4892" s="388">
        <f>VLOOKUP(D4885,'Detail Balok'!$C$10:$AU$140,6,FALSE)</f>
        <v>13</v>
      </c>
      <c r="G4892" s="388"/>
      <c r="H4892" s="395"/>
      <c r="I4892" s="388" t="s">
        <v>203</v>
      </c>
      <c r="J4892" s="399">
        <f t="shared" ref="J4892" si="15770">+D4887/4/1000</f>
        <v>0.54874999999999996</v>
      </c>
      <c r="K4892" s="400" t="s">
        <v>204</v>
      </c>
      <c r="L4892" s="399">
        <f t="shared" ref="L4892" si="15771">MAX(VLOOKUP(F4892,N$6:P$15,3,FALSE)/1000,2/3*D4889/1000)+F$16*F4892/1000</f>
        <v>0.156</v>
      </c>
      <c r="M4892" s="399" t="s">
        <v>176</v>
      </c>
      <c r="N4892" s="399">
        <f t="shared" ref="N4892:N4894" si="15772">J4892+L4892</f>
        <v>0.70474999999999999</v>
      </c>
      <c r="O4892" s="399" t="s">
        <v>204</v>
      </c>
      <c r="P4892" s="389">
        <f t="shared" ref="P4892" si="15773">D4892-D4893</f>
        <v>0</v>
      </c>
      <c r="Q4892" s="399" t="s">
        <v>125</v>
      </c>
      <c r="R4892" s="399">
        <f t="shared" ref="R4892" si="15774">IF(P4892&gt;0,$F$18*F4892/1000,0)</f>
        <v>0</v>
      </c>
      <c r="S4892" s="399" t="s">
        <v>205</v>
      </c>
      <c r="T4892" s="399" t="s">
        <v>125</v>
      </c>
      <c r="U4892" s="401">
        <f t="shared" ref="U4892:U4894" si="15775">0.006165*F4892^2</f>
        <v>1.041885</v>
      </c>
      <c r="V4892" s="399"/>
      <c r="W4892" s="399"/>
      <c r="X4892" s="399" t="s">
        <v>125</v>
      </c>
      <c r="Y4892" s="389">
        <f t="shared" ref="Y4892" si="15776">D4891</f>
        <v>1</v>
      </c>
      <c r="Z4892" s="400" t="s">
        <v>176</v>
      </c>
      <c r="AA4892" s="402">
        <f t="shared" ref="AA4892" si="15777">IF(AA4895=0,(D4892*N4892+P4892*R4892)*U4892*Y4892,0)</f>
        <v>0</v>
      </c>
      <c r="AB4892" s="403"/>
    </row>
    <row r="4893" spans="1:28">
      <c r="A4893" s="384" t="str">
        <f t="shared" ref="A4893:B4893" si="15778">A4885</f>
        <v>Lantai 3</v>
      </c>
      <c r="B4893" s="385">
        <f t="shared" si="15778"/>
        <v>21</v>
      </c>
      <c r="C4893" s="393" t="s">
        <v>206</v>
      </c>
      <c r="D4893" s="398">
        <f>VLOOKUP(D4885,'Detail Balok'!$C$10:$AU$140,7,FALSE)</f>
        <v>3</v>
      </c>
      <c r="E4893" s="388" t="s">
        <v>16</v>
      </c>
      <c r="F4893" s="388">
        <f>VLOOKUP(D4885,'Detail Balok'!$C$10:$AU$140,9,FALSE)</f>
        <v>13</v>
      </c>
      <c r="G4893" s="388"/>
      <c r="H4893" s="395"/>
      <c r="I4893" s="388" t="s">
        <v>203</v>
      </c>
      <c r="J4893" s="399">
        <f t="shared" ref="J4893" si="15779">+D4887/2/1000</f>
        <v>1.0974999999999999</v>
      </c>
      <c r="K4893" s="400" t="s">
        <v>204</v>
      </c>
      <c r="L4893" s="399"/>
      <c r="M4893" s="399" t="s">
        <v>176</v>
      </c>
      <c r="N4893" s="399">
        <f t="shared" si="15772"/>
        <v>1.0974999999999999</v>
      </c>
      <c r="O4893" s="399" t="s">
        <v>204</v>
      </c>
      <c r="P4893" s="389">
        <f t="shared" ref="P4893" si="15780">MAX(D4893-D4892,D4893-D4894)</f>
        <v>0</v>
      </c>
      <c r="Q4893" s="399" t="s">
        <v>125</v>
      </c>
      <c r="R4893" s="399">
        <f t="shared" ref="R4893" si="15781">IF(P4893&gt;0,2*(1-2*$F$19-1/2)*D4888/1000,0)</f>
        <v>0</v>
      </c>
      <c r="S4893" s="399" t="s">
        <v>205</v>
      </c>
      <c r="T4893" s="399" t="s">
        <v>125</v>
      </c>
      <c r="U4893" s="401">
        <f t="shared" si="15775"/>
        <v>1.041885</v>
      </c>
      <c r="V4893" s="399"/>
      <c r="W4893" s="399"/>
      <c r="X4893" s="399" t="s">
        <v>125</v>
      </c>
      <c r="Y4893" s="389">
        <f t="shared" ref="Y4893" si="15782">D4891</f>
        <v>1</v>
      </c>
      <c r="Z4893" s="400" t="s">
        <v>176</v>
      </c>
      <c r="AA4893" s="402">
        <f t="shared" ref="AA4893" si="15783">IF(AA4895=0,(D4893*N4893+P4893*R4893)*U4893*Y4893,0)</f>
        <v>0</v>
      </c>
      <c r="AB4893" s="403"/>
    </row>
    <row r="4894" spans="1:28">
      <c r="A4894" s="384" t="str">
        <f t="shared" ref="A4894:B4894" si="15784">A4885</f>
        <v>Lantai 3</v>
      </c>
      <c r="B4894" s="385">
        <f t="shared" si="15784"/>
        <v>21</v>
      </c>
      <c r="C4894" s="393" t="s">
        <v>202</v>
      </c>
      <c r="D4894" s="398">
        <f>VLOOKUP(D4885,'Detail Balok'!$C$10:$AU$140,10,FALSE)</f>
        <v>3</v>
      </c>
      <c r="E4894" s="388" t="s">
        <v>16</v>
      </c>
      <c r="F4894" s="388">
        <f>VLOOKUP(D4885,'Detail Balok'!$C$10:$AU$140,12,FALSE)</f>
        <v>13</v>
      </c>
      <c r="G4894" s="388"/>
      <c r="H4894" s="395"/>
      <c r="I4894" s="388" t="s">
        <v>203</v>
      </c>
      <c r="J4894" s="399">
        <f t="shared" ref="J4894" si="15785">+D4887/4/1000</f>
        <v>0.54874999999999996</v>
      </c>
      <c r="K4894" s="400" t="s">
        <v>204</v>
      </c>
      <c r="L4894" s="399">
        <f t="shared" ref="L4894" si="15786">MAX(VLOOKUP(F4894,N$6:P$15,3,FALSE)/1000,2/3*D4889/1000)+F$16*F4894/1000</f>
        <v>0.156</v>
      </c>
      <c r="M4894" s="399" t="s">
        <v>176</v>
      </c>
      <c r="N4894" s="399">
        <f t="shared" si="15772"/>
        <v>0.70474999999999999</v>
      </c>
      <c r="O4894" s="399" t="s">
        <v>204</v>
      </c>
      <c r="P4894" s="389">
        <f t="shared" ref="P4894" si="15787">D4894-D4893</f>
        <v>0</v>
      </c>
      <c r="Q4894" s="399" t="s">
        <v>125</v>
      </c>
      <c r="R4894" s="399">
        <f t="shared" ref="R4894" si="15788">IF(P4894&gt;0,$F$18*F4894/1000,0)</f>
        <v>0</v>
      </c>
      <c r="S4894" s="399" t="s">
        <v>205</v>
      </c>
      <c r="T4894" s="399" t="s">
        <v>125</v>
      </c>
      <c r="U4894" s="401">
        <f t="shared" si="15775"/>
        <v>1.041885</v>
      </c>
      <c r="V4894" s="399"/>
      <c r="W4894" s="399"/>
      <c r="X4894" s="399" t="s">
        <v>125</v>
      </c>
      <c r="Y4894" s="389">
        <f t="shared" ref="Y4894" si="15789">D4891</f>
        <v>1</v>
      </c>
      <c r="Z4894" s="400" t="s">
        <v>176</v>
      </c>
      <c r="AA4894" s="402">
        <f t="shared" ref="AA4894" si="15790">IF(AA4895=0,(D4894*N4894+P4894*R4894)*U4894*Y4894,0)</f>
        <v>0</v>
      </c>
      <c r="AB4894" s="403"/>
    </row>
    <row r="4895" spans="1:28">
      <c r="A4895" s="384" t="str">
        <f t="shared" ref="A4895:B4895" si="15791">A4885</f>
        <v>Lantai 3</v>
      </c>
      <c r="B4895" s="385">
        <f t="shared" si="15791"/>
        <v>21</v>
      </c>
      <c r="C4895" s="393"/>
      <c r="D4895" s="398">
        <f t="shared" ref="D4895" si="15792">IF(AND(D4892=D4893,D4893=D4894,D4892=D4894),D4892,0)</f>
        <v>3</v>
      </c>
      <c r="E4895" s="388" t="s">
        <v>16</v>
      </c>
      <c r="F4895" s="388">
        <f t="shared" ref="F4895" si="15793">IF(AND(F4892=F4893,F4892=F4894,F4893=F4894),F4892,0)</f>
        <v>13</v>
      </c>
      <c r="G4895" s="388"/>
      <c r="H4895" s="395"/>
      <c r="I4895" s="388"/>
      <c r="J4895" s="396"/>
      <c r="K4895" s="396"/>
      <c r="L4895" s="404" t="s">
        <v>207</v>
      </c>
      <c r="M4895" s="399" t="s">
        <v>176</v>
      </c>
      <c r="N4895" s="399">
        <f t="shared" ref="N4895" si="15794">IF(AND(D4892=D4893,D4892=D4894,D4893=D4894,F4892=F4893,F4892=F4894,F4893=F4894),SUM(N4892:N4894),0)</f>
        <v>2.5069999999999997</v>
      </c>
      <c r="O4895" s="399" t="s">
        <v>204</v>
      </c>
      <c r="P4895" s="389">
        <f t="shared" ref="P4895" si="15795">IF(N4895&gt;12,ROUNDDOWN(N4895/12,0),0)</f>
        <v>0</v>
      </c>
      <c r="Q4895" s="399" t="s">
        <v>125</v>
      </c>
      <c r="R4895" s="399">
        <f t="shared" ref="R4895" si="15796">IF(P4895&gt;0,MAX(VLOOKUP(F4895,$D$6:$G$15,3,FALSE),600),0)/1000</f>
        <v>0</v>
      </c>
      <c r="S4895" s="396"/>
      <c r="T4895" s="396" t="s">
        <v>125</v>
      </c>
      <c r="U4895" s="401">
        <f t="shared" ref="U4895" si="15797">U4894</f>
        <v>1.041885</v>
      </c>
      <c r="V4895" s="396" t="s">
        <v>125</v>
      </c>
      <c r="W4895" s="399">
        <f t="shared" ref="W4895" si="15798">D4895</f>
        <v>3</v>
      </c>
      <c r="X4895" s="399" t="s">
        <v>125</v>
      </c>
      <c r="Y4895" s="389">
        <f t="shared" ref="Y4895" si="15799">Y4894</f>
        <v>1</v>
      </c>
      <c r="Z4895" s="400" t="s">
        <v>176</v>
      </c>
      <c r="AA4895" s="402">
        <f t="shared" ref="AA4895" si="15800">(N4895+P4895*R4895/1000)*U4895*W4895*Y4895</f>
        <v>7.836017084999999</v>
      </c>
      <c r="AB4895" s="390"/>
    </row>
    <row r="4896" spans="1:28">
      <c r="A4896" s="384"/>
      <c r="B4896" s="385"/>
      <c r="C4896" s="393"/>
      <c r="D4896" s="398"/>
      <c r="E4896" s="388"/>
      <c r="F4896" s="388"/>
      <c r="G4896" s="388"/>
      <c r="H4896" s="395"/>
      <c r="I4896" s="388"/>
      <c r="J4896" s="396"/>
      <c r="K4896" s="396"/>
      <c r="L4896" s="404"/>
      <c r="M4896" s="399"/>
      <c r="N4896" s="399"/>
      <c r="O4896" s="396"/>
      <c r="P4896" s="389"/>
      <c r="Q4896" s="396"/>
      <c r="R4896" s="396"/>
      <c r="S4896" s="396"/>
      <c r="T4896" s="396"/>
      <c r="U4896" s="401"/>
      <c r="V4896" s="396"/>
      <c r="W4896" s="399"/>
      <c r="X4896" s="396"/>
      <c r="Y4896" s="389"/>
      <c r="Z4896" s="396"/>
      <c r="AA4896" s="388"/>
      <c r="AB4896" s="390"/>
    </row>
    <row r="4897" spans="1:28">
      <c r="A4897" s="384" t="str">
        <f t="shared" ref="A4897:B4897" si="15801">A4885</f>
        <v>Lantai 3</v>
      </c>
      <c r="B4897" s="385">
        <f t="shared" si="15801"/>
        <v>21</v>
      </c>
      <c r="C4897" s="393" t="s">
        <v>208</v>
      </c>
      <c r="D4897" s="398">
        <f>VLOOKUP(D4885,'Detail Balok'!$C$10:$AU$140,13,FALSE)</f>
        <v>0</v>
      </c>
      <c r="E4897" s="388" t="s">
        <v>16</v>
      </c>
      <c r="F4897" s="388">
        <f>VLOOKUP(D4885,'Detail Balok'!$C$10:$AU$140,15,FALSE)</f>
        <v>8</v>
      </c>
      <c r="G4897" s="388"/>
      <c r="H4897" s="395"/>
      <c r="I4897" s="388"/>
      <c r="J4897" s="399">
        <f t="shared" ref="J4897" si="15802">+D4887/1000</f>
        <v>2.1949999999999998</v>
      </c>
      <c r="K4897" s="400" t="s">
        <v>204</v>
      </c>
      <c r="L4897" s="399">
        <f t="shared" ref="L4897" si="15803">2*$F$16*F4897/1000</f>
        <v>0.192</v>
      </c>
      <c r="M4897" s="399" t="s">
        <v>176</v>
      </c>
      <c r="N4897" s="399">
        <f t="shared" ref="N4897" si="15804">J4897+L4897</f>
        <v>2.387</v>
      </c>
      <c r="O4897" s="399" t="s">
        <v>204</v>
      </c>
      <c r="P4897" s="389">
        <f t="shared" ref="P4897" si="15805">IF(N4897&gt;12,ROUNDDOWN(N4897/12,0),0)</f>
        <v>0</v>
      </c>
      <c r="Q4897" s="399" t="s">
        <v>125</v>
      </c>
      <c r="R4897" s="399">
        <f t="shared" ref="R4897" si="15806">IF(P4897&gt;0,MAX(VLOOKUP(F4897,$D$6:$G$15,3,FALSE),600),0)/1000</f>
        <v>0</v>
      </c>
      <c r="S4897" s="399"/>
      <c r="T4897" s="399" t="s">
        <v>125</v>
      </c>
      <c r="U4897" s="401">
        <f t="shared" ref="U4897" si="15807">0.006165*F4897^2</f>
        <v>0.39456000000000002</v>
      </c>
      <c r="V4897" s="399" t="s">
        <v>125</v>
      </c>
      <c r="W4897" s="399">
        <f t="shared" ref="W4897" si="15808">+D4897</f>
        <v>0</v>
      </c>
      <c r="X4897" s="399" t="s">
        <v>125</v>
      </c>
      <c r="Y4897" s="389">
        <f t="shared" ref="Y4897" si="15809">D4891</f>
        <v>1</v>
      </c>
      <c r="Z4897" s="400" t="s">
        <v>176</v>
      </c>
      <c r="AA4897" s="402">
        <f t="shared" ref="AA4897" si="15810">(N4897+P4897*R4897/1000)*U4897*W4897*Y4897</f>
        <v>0</v>
      </c>
      <c r="AB4897" s="403"/>
    </row>
    <row r="4898" spans="1:28">
      <c r="A4898" s="384"/>
      <c r="B4898" s="385"/>
      <c r="C4898" s="393"/>
      <c r="D4898" s="398"/>
      <c r="E4898" s="388"/>
      <c r="F4898" s="388"/>
      <c r="G4898" s="388"/>
      <c r="H4898" s="395"/>
      <c r="I4898" s="388"/>
      <c r="J4898" s="399"/>
      <c r="K4898" s="400"/>
      <c r="L4898" s="399"/>
      <c r="M4898" s="399"/>
      <c r="N4898" s="399"/>
      <c r="O4898" s="399"/>
      <c r="P4898" s="389"/>
      <c r="Q4898" s="399"/>
      <c r="R4898" s="399"/>
      <c r="S4898" s="399"/>
      <c r="T4898" s="399"/>
      <c r="U4898" s="401"/>
      <c r="V4898" s="399"/>
      <c r="W4898" s="399"/>
      <c r="X4898" s="399"/>
      <c r="Y4898" s="389"/>
      <c r="Z4898" s="400"/>
      <c r="AA4898" s="402"/>
      <c r="AB4898" s="403"/>
    </row>
    <row r="4899" spans="1:28">
      <c r="A4899" s="384"/>
      <c r="B4899" s="385"/>
      <c r="C4899" s="393"/>
      <c r="D4899" s="398"/>
      <c r="E4899" s="388"/>
      <c r="F4899" s="388"/>
      <c r="G4899" s="388"/>
      <c r="H4899" s="395"/>
      <c r="I4899" s="388"/>
      <c r="J4899" s="396"/>
      <c r="K4899" s="396"/>
      <c r="L4899" s="396"/>
      <c r="M4899" s="396"/>
      <c r="N4899" s="396"/>
      <c r="O4899" s="396"/>
      <c r="P4899" s="389"/>
      <c r="Q4899" s="396"/>
      <c r="R4899" s="396"/>
      <c r="S4899" s="396"/>
      <c r="T4899" s="396"/>
      <c r="U4899" s="401"/>
      <c r="V4899" s="396"/>
      <c r="W4899" s="399"/>
      <c r="X4899" s="396"/>
      <c r="Y4899" s="389"/>
      <c r="Z4899" s="396"/>
      <c r="AA4899" s="388"/>
      <c r="AB4899" s="390"/>
    </row>
    <row r="4900" spans="1:28">
      <c r="A4900" s="384" t="str">
        <f t="shared" ref="A4900:B4900" si="15811">A4885</f>
        <v>Lantai 3</v>
      </c>
      <c r="B4900" s="385">
        <f t="shared" si="15811"/>
        <v>21</v>
      </c>
      <c r="C4900" s="393" t="s">
        <v>209</v>
      </c>
      <c r="D4900" s="398">
        <f>VLOOKUP(D4885,'Detail Balok'!$C$10:$AU$140,22,FALSE)</f>
        <v>3</v>
      </c>
      <c r="E4900" s="388" t="s">
        <v>16</v>
      </c>
      <c r="F4900" s="388">
        <f>VLOOKUP(D4885,'Detail Balok'!$C$10:$AU$140,24,FALSE)</f>
        <v>13</v>
      </c>
      <c r="G4900" s="388"/>
      <c r="H4900" s="395"/>
      <c r="I4900" s="388" t="s">
        <v>203</v>
      </c>
      <c r="J4900" s="399">
        <f t="shared" ref="J4900:J4902" si="15812">+J4892</f>
        <v>0.54874999999999996</v>
      </c>
      <c r="K4900" s="400" t="s">
        <v>204</v>
      </c>
      <c r="L4900" s="399">
        <f t="shared" ref="L4900" si="15813">MAX(VLOOKUP(F4900,N$6:P$15,3,FALSE)/1000,2/3*D4890/1000)+F$16*F4900/1000</f>
        <v>0.156</v>
      </c>
      <c r="M4900" s="399" t="s">
        <v>176</v>
      </c>
      <c r="N4900" s="399">
        <f t="shared" ref="N4900:N4902" si="15814">J4900+L4900</f>
        <v>0.70474999999999999</v>
      </c>
      <c r="O4900" s="399" t="s">
        <v>204</v>
      </c>
      <c r="P4900" s="389">
        <f t="shared" ref="P4900" si="15815">D4900-D4901</f>
        <v>0</v>
      </c>
      <c r="Q4900" s="399" t="s">
        <v>125</v>
      </c>
      <c r="R4900" s="399">
        <f t="shared" ref="R4900" si="15816">IF(P4900&gt;0,$F$18*F4900/1000,0)</f>
        <v>0</v>
      </c>
      <c r="S4900" s="399" t="s">
        <v>205</v>
      </c>
      <c r="T4900" s="399" t="s">
        <v>125</v>
      </c>
      <c r="U4900" s="401">
        <f t="shared" ref="U4900:U4902" si="15817">0.006165*F4900^2</f>
        <v>1.041885</v>
      </c>
      <c r="V4900" s="399"/>
      <c r="W4900" s="399"/>
      <c r="X4900" s="399" t="s">
        <v>125</v>
      </c>
      <c r="Y4900" s="389">
        <f t="shared" ref="Y4900" si="15818">D4891</f>
        <v>1</v>
      </c>
      <c r="Z4900" s="400" t="s">
        <v>176</v>
      </c>
      <c r="AA4900" s="402">
        <f t="shared" ref="AA4900" si="15819">IF(AA4903=0,(D4900*N4900+P4900*R4900)*U4900*Y4900,0)</f>
        <v>0</v>
      </c>
      <c r="AB4900" s="403"/>
    </row>
    <row r="4901" spans="1:28">
      <c r="A4901" s="384" t="str">
        <f t="shared" ref="A4901:B4901" si="15820">A4885</f>
        <v>Lantai 3</v>
      </c>
      <c r="B4901" s="385">
        <f t="shared" si="15820"/>
        <v>21</v>
      </c>
      <c r="C4901" s="393" t="s">
        <v>210</v>
      </c>
      <c r="D4901" s="398">
        <f>VLOOKUP(D4885,'Detail Balok'!$C$10:$AU$140,25,FALSE)</f>
        <v>3</v>
      </c>
      <c r="E4901" s="388" t="s">
        <v>16</v>
      </c>
      <c r="F4901" s="388">
        <f>VLOOKUP(D4885,'Detail Balok'!$C$10:$AU$140,27,FALSE)</f>
        <v>13</v>
      </c>
      <c r="G4901" s="388"/>
      <c r="H4901" s="395"/>
      <c r="I4901" s="388" t="s">
        <v>203</v>
      </c>
      <c r="J4901" s="399">
        <f t="shared" si="15812"/>
        <v>1.0974999999999999</v>
      </c>
      <c r="K4901" s="400" t="s">
        <v>204</v>
      </c>
      <c r="L4901" s="399"/>
      <c r="M4901" s="399" t="s">
        <v>176</v>
      </c>
      <c r="N4901" s="399">
        <f t="shared" si="15814"/>
        <v>1.0974999999999999</v>
      </c>
      <c r="O4901" s="399" t="s">
        <v>204</v>
      </c>
      <c r="P4901" s="389">
        <f t="shared" ref="P4901" si="15821">MAX(D4901-D4900,D4901-D4902)</f>
        <v>0</v>
      </c>
      <c r="Q4901" s="399" t="s">
        <v>125</v>
      </c>
      <c r="R4901" s="399">
        <f t="shared" ref="R4901" si="15822">IF(P4901&gt;0,2*(1-2*$F$19-1/2)*D4888/1000,0)</f>
        <v>0</v>
      </c>
      <c r="S4901" s="399" t="s">
        <v>205</v>
      </c>
      <c r="T4901" s="399" t="s">
        <v>125</v>
      </c>
      <c r="U4901" s="401">
        <f t="shared" si="15817"/>
        <v>1.041885</v>
      </c>
      <c r="V4901" s="399"/>
      <c r="W4901" s="399"/>
      <c r="X4901" s="399" t="s">
        <v>125</v>
      </c>
      <c r="Y4901" s="389">
        <f t="shared" ref="Y4901" si="15823">D4891</f>
        <v>1</v>
      </c>
      <c r="Z4901" s="400" t="s">
        <v>176</v>
      </c>
      <c r="AA4901" s="402">
        <f t="shared" ref="AA4901" si="15824">IF(AA4903=0,(D4901*N4901+P4901*R4901)*U4901*Y4901,0)</f>
        <v>0</v>
      </c>
      <c r="AB4901" s="403"/>
    </row>
    <row r="4902" spans="1:28">
      <c r="A4902" s="384" t="str">
        <f t="shared" ref="A4902:B4902" si="15825">A4885</f>
        <v>Lantai 3</v>
      </c>
      <c r="B4902" s="385">
        <f t="shared" si="15825"/>
        <v>21</v>
      </c>
      <c r="C4902" s="393" t="s">
        <v>209</v>
      </c>
      <c r="D4902" s="398">
        <f>VLOOKUP(D4885,'Detail Balok'!$C$10:$AU$140,28,FALSE)</f>
        <v>3</v>
      </c>
      <c r="E4902" s="388" t="s">
        <v>16</v>
      </c>
      <c r="F4902" s="388">
        <f>VLOOKUP(D4885,'Detail Balok'!$C$10:$AU$140,30,FALSE)</f>
        <v>13</v>
      </c>
      <c r="G4902" s="388"/>
      <c r="H4902" s="395"/>
      <c r="I4902" s="388" t="s">
        <v>203</v>
      </c>
      <c r="J4902" s="399">
        <f t="shared" si="15812"/>
        <v>0.54874999999999996</v>
      </c>
      <c r="K4902" s="400" t="s">
        <v>204</v>
      </c>
      <c r="L4902" s="399">
        <f t="shared" ref="L4902" si="15826">MAX(VLOOKUP(F4902,N$6:P$15,3,FALSE)/1000,2/3*D4890/1000)+F$16*F4902/1000</f>
        <v>0.156</v>
      </c>
      <c r="M4902" s="399" t="s">
        <v>176</v>
      </c>
      <c r="N4902" s="399">
        <f t="shared" si="15814"/>
        <v>0.70474999999999999</v>
      </c>
      <c r="O4902" s="399" t="s">
        <v>204</v>
      </c>
      <c r="P4902" s="389">
        <f t="shared" ref="P4902" si="15827">D4902-D4901</f>
        <v>0</v>
      </c>
      <c r="Q4902" s="399" t="s">
        <v>125</v>
      </c>
      <c r="R4902" s="399">
        <f t="shared" ref="R4902" si="15828">IF(P4902&gt;0,$F$18*F4902/1000,0)</f>
        <v>0</v>
      </c>
      <c r="S4902" s="399" t="s">
        <v>205</v>
      </c>
      <c r="T4902" s="399" t="s">
        <v>125</v>
      </c>
      <c r="U4902" s="401">
        <f t="shared" si="15817"/>
        <v>1.041885</v>
      </c>
      <c r="V4902" s="399"/>
      <c r="W4902" s="399"/>
      <c r="X4902" s="399" t="s">
        <v>125</v>
      </c>
      <c r="Y4902" s="389">
        <f t="shared" ref="Y4902" si="15829">D4891</f>
        <v>1</v>
      </c>
      <c r="Z4902" s="400" t="s">
        <v>176</v>
      </c>
      <c r="AA4902" s="402">
        <f t="shared" ref="AA4902" si="15830">IF(AA4903=0,(D4902*N4902+P4902*R4902)*U4902*Y4902,0)</f>
        <v>0</v>
      </c>
      <c r="AB4902" s="403"/>
    </row>
    <row r="4903" spans="1:28">
      <c r="A4903" s="384" t="str">
        <f t="shared" ref="A4903:B4903" si="15831">A4885</f>
        <v>Lantai 3</v>
      </c>
      <c r="B4903" s="385">
        <f t="shared" si="15831"/>
        <v>21</v>
      </c>
      <c r="C4903" s="393"/>
      <c r="D4903" s="398">
        <f t="shared" ref="D4903" si="15832">IF(AND(D4900=D4901,D4901=D4902,D4900=D4902),D4900,0)</f>
        <v>3</v>
      </c>
      <c r="E4903" s="388" t="s">
        <v>16</v>
      </c>
      <c r="F4903" s="388">
        <f t="shared" ref="F4903" si="15833">IF(AND(F4900=F4901,F4900=F4902,F4901=F4902),F4900,0)</f>
        <v>13</v>
      </c>
      <c r="G4903" s="388"/>
      <c r="H4903" s="395"/>
      <c r="I4903" s="388"/>
      <c r="J4903" s="396"/>
      <c r="K4903" s="396"/>
      <c r="L4903" s="404" t="s">
        <v>207</v>
      </c>
      <c r="M4903" s="399" t="s">
        <v>176</v>
      </c>
      <c r="N4903" s="399">
        <f t="shared" ref="N4903" si="15834">IF(AND(D4900=D4901,D4900=D4902,D4901=D4902,F4900=F4901,F4900=F4902,F4901=F4902),SUM(N4900:N4902),0)</f>
        <v>2.5069999999999997</v>
      </c>
      <c r="O4903" s="399" t="s">
        <v>204</v>
      </c>
      <c r="P4903" s="389">
        <f t="shared" ref="P4903" si="15835">IF(N4903&gt;12,ROUNDDOWN(N4903/12,0),0)</f>
        <v>0</v>
      </c>
      <c r="Q4903" s="399" t="s">
        <v>125</v>
      </c>
      <c r="R4903" s="399">
        <f t="shared" ref="R4903" si="15836">IF(P4903&gt;0,MAX(VLOOKUP(F4903,$D$6:$G$15,3,FALSE),600),0)/1000</f>
        <v>0</v>
      </c>
      <c r="S4903" s="396"/>
      <c r="T4903" s="396" t="s">
        <v>125</v>
      </c>
      <c r="U4903" s="401">
        <f t="shared" ref="U4903" si="15837">U4902</f>
        <v>1.041885</v>
      </c>
      <c r="V4903" s="396" t="s">
        <v>125</v>
      </c>
      <c r="W4903" s="399">
        <f t="shared" ref="W4903" si="15838">D4903</f>
        <v>3</v>
      </c>
      <c r="X4903" s="399" t="s">
        <v>125</v>
      </c>
      <c r="Y4903" s="389">
        <f t="shared" ref="Y4903" si="15839">Y4902</f>
        <v>1</v>
      </c>
      <c r="Z4903" s="400" t="s">
        <v>176</v>
      </c>
      <c r="AA4903" s="402">
        <f t="shared" ref="AA4903" si="15840">(N4903+P4903*R4903/1000)*U4903*W4903*Y4903</f>
        <v>7.836017084999999</v>
      </c>
      <c r="AB4903" s="403"/>
    </row>
    <row r="4904" spans="1:28">
      <c r="A4904" s="384"/>
      <c r="B4904" s="385"/>
      <c r="C4904" s="393"/>
      <c r="D4904" s="394"/>
      <c r="E4904" s="388"/>
      <c r="F4904" s="388"/>
      <c r="G4904" s="388"/>
      <c r="H4904" s="395"/>
      <c r="I4904" s="388"/>
      <c r="J4904" s="399"/>
      <c r="K4904" s="396"/>
      <c r="L4904" s="396"/>
      <c r="M4904" s="396"/>
      <c r="N4904" s="396"/>
      <c r="O4904" s="396"/>
      <c r="P4904" s="389"/>
      <c r="Q4904" s="396"/>
      <c r="R4904" s="396"/>
      <c r="S4904" s="396"/>
      <c r="T4904" s="396"/>
      <c r="U4904" s="401"/>
      <c r="V4904" s="396"/>
      <c r="W4904" s="388"/>
      <c r="X4904" s="396"/>
      <c r="Y4904" s="389"/>
      <c r="Z4904" s="396"/>
      <c r="AA4904" s="388"/>
      <c r="AB4904" s="390"/>
    </row>
    <row r="4905" spans="1:28">
      <c r="A4905" s="384" t="str">
        <f t="shared" ref="A4905:B4905" si="15841">A4885</f>
        <v>Lantai 3</v>
      </c>
      <c r="B4905" s="385">
        <f t="shared" si="15841"/>
        <v>21</v>
      </c>
      <c r="C4905" s="393" t="s">
        <v>211</v>
      </c>
      <c r="D4905" s="398">
        <f>VLOOKUP(D4885,'Detail Balok'!$C$10:$AU$140,31,FALSE)</f>
        <v>0</v>
      </c>
      <c r="E4905" s="388" t="s">
        <v>16</v>
      </c>
      <c r="F4905" s="388">
        <f>VLOOKUP(D4885,'Detail Balok'!$C$10:$AU$140,33,FALSE)</f>
        <v>10</v>
      </c>
      <c r="G4905" s="405" t="s">
        <v>157</v>
      </c>
      <c r="H4905" s="395">
        <f>VLOOKUP(D4885,'Detail Balok'!$C$10:$AU$140,35,FALSE)</f>
        <v>100</v>
      </c>
      <c r="I4905" s="388"/>
      <c r="J4905" s="400">
        <f t="shared" ref="J4905" si="15842">(IF(D4905=0,(2*(D4886+G4886))-(F$5*8),IF(D4905=3,(2*(D4886+G4886))-(F$5*8)+(G4886-2*F$5),IF(D4905=4,(2*(D4886+G4886))-(F$5*8)+2*(G4886-2*F$5)))))/1000</f>
        <v>0.88</v>
      </c>
      <c r="K4905" s="400" t="s">
        <v>204</v>
      </c>
      <c r="L4905" s="399">
        <f t="shared" ref="L4905:L4907" si="15843">IF(D4905=0,2*MAX(6*F4905,75),(D4905-1)*2*MAX(6*F4905,75))/1000</f>
        <v>0.15</v>
      </c>
      <c r="M4905" s="399" t="s">
        <v>176</v>
      </c>
      <c r="N4905" s="399">
        <f t="shared" ref="N4905:N4907" si="15844">J4905+L4905</f>
        <v>1.03</v>
      </c>
      <c r="O4905" s="399"/>
      <c r="P4905" s="389"/>
      <c r="Q4905" s="399"/>
      <c r="R4905" s="399"/>
      <c r="S4905" s="399"/>
      <c r="T4905" s="399" t="s">
        <v>125</v>
      </c>
      <c r="U4905" s="401">
        <f t="shared" ref="U4905:U4907" si="15845">0.006165*F4905^2</f>
        <v>0.61650000000000005</v>
      </c>
      <c r="V4905" s="399" t="s">
        <v>125</v>
      </c>
      <c r="W4905" s="399">
        <f t="shared" ref="W4905" si="15846">IF(D4888&gt;4*G4886,ROUND(MAX(D4888/4,2*G4886)/H4905,0)+1,ROUND(D4888/H4905,0)+1)</f>
        <v>9</v>
      </c>
      <c r="X4905" s="399" t="s">
        <v>125</v>
      </c>
      <c r="Y4905" s="389">
        <f t="shared" ref="Y4905" si="15847">D4891</f>
        <v>1</v>
      </c>
      <c r="Z4905" s="400" t="s">
        <v>176</v>
      </c>
      <c r="AA4905" s="402">
        <f t="shared" ref="AA4905:AA4907" si="15848">N4905*U4905*W4905*Y4905</f>
        <v>5.7149550000000007</v>
      </c>
      <c r="AB4905" s="403"/>
    </row>
    <row r="4906" spans="1:28">
      <c r="A4906" s="384" t="str">
        <f t="shared" ref="A4906:B4906" si="15849">A4885</f>
        <v>Lantai 3</v>
      </c>
      <c r="B4906" s="385">
        <f t="shared" si="15849"/>
        <v>21</v>
      </c>
      <c r="C4906" s="393" t="s">
        <v>212</v>
      </c>
      <c r="D4906" s="398">
        <f>VLOOKUP(D4885,'Detail Balok'!$C$10:$AU$140,36,FALSE)</f>
        <v>0</v>
      </c>
      <c r="E4906" s="388" t="s">
        <v>16</v>
      </c>
      <c r="F4906" s="388">
        <f>VLOOKUP(D4885,'Detail Balok'!$C$10:$AU$140,38,FALSE)</f>
        <v>10</v>
      </c>
      <c r="G4906" s="405" t="s">
        <v>157</v>
      </c>
      <c r="H4906" s="395">
        <f>VLOOKUP(D4885,'Detail Balok'!$C$10:$AU$140,40,FALSE)</f>
        <v>200</v>
      </c>
      <c r="I4906" s="388"/>
      <c r="J4906" s="400">
        <f t="shared" ref="J4906" si="15850">(IF(D4906=0,(2*(D4886+G4886))-(F$5*8),IF(D4906=3,(2*(D4886+G4886))-(F$5*8)+(G4886-2*F$5),IF(D4906=4,(2*(D4886+G4886))-(F$5*8)+2*(G4886-2*F$5)))))/1000</f>
        <v>0.88</v>
      </c>
      <c r="K4906" s="400" t="s">
        <v>204</v>
      </c>
      <c r="L4906" s="399">
        <f t="shared" si="15843"/>
        <v>0.15</v>
      </c>
      <c r="M4906" s="399" t="s">
        <v>176</v>
      </c>
      <c r="N4906" s="399">
        <f t="shared" si="15844"/>
        <v>1.03</v>
      </c>
      <c r="O4906" s="399"/>
      <c r="P4906" s="389"/>
      <c r="Q4906" s="399"/>
      <c r="R4906" s="399"/>
      <c r="S4906" s="399"/>
      <c r="T4906" s="399" t="s">
        <v>125</v>
      </c>
      <c r="U4906" s="401">
        <f t="shared" si="15845"/>
        <v>0.61650000000000005</v>
      </c>
      <c r="V4906" s="399" t="s">
        <v>125</v>
      </c>
      <c r="W4906" s="399">
        <f t="shared" ref="W4906" si="15851">IF(D4888-MAX(D4888/4,2*G4886)*2&gt;0,ROUND((D4888-MAX(D4888/4,2*G4886)*2)/H4906,0),0)</f>
        <v>3</v>
      </c>
      <c r="X4906" s="399" t="s">
        <v>125</v>
      </c>
      <c r="Y4906" s="389">
        <f t="shared" ref="Y4906" si="15852">D4891</f>
        <v>1</v>
      </c>
      <c r="Z4906" s="400" t="s">
        <v>176</v>
      </c>
      <c r="AA4906" s="402">
        <f t="shared" si="15848"/>
        <v>1.9049850000000004</v>
      </c>
      <c r="AB4906" s="403"/>
    </row>
    <row r="4907" spans="1:28">
      <c r="A4907" s="384" t="str">
        <f t="shared" ref="A4907:B4907" si="15853">A4885</f>
        <v>Lantai 3</v>
      </c>
      <c r="B4907" s="385">
        <f t="shared" si="15853"/>
        <v>21</v>
      </c>
      <c r="C4907" s="393" t="s">
        <v>211</v>
      </c>
      <c r="D4907" s="398">
        <f>VLOOKUP(D4885,'Detail Balok'!$C$10:$AU$140,41,FALSE)</f>
        <v>0</v>
      </c>
      <c r="E4907" s="388" t="s">
        <v>16</v>
      </c>
      <c r="F4907" s="388">
        <f>VLOOKUP(D4885,'Detail Balok'!$C$10:$AU$140,43,FALSE)</f>
        <v>10</v>
      </c>
      <c r="G4907" s="405" t="s">
        <v>157</v>
      </c>
      <c r="H4907" s="395">
        <f>VLOOKUP(D4885,'Detail Balok'!$C$10:$AU$140,45,FALSE)</f>
        <v>100</v>
      </c>
      <c r="I4907" s="388"/>
      <c r="J4907" s="400">
        <f t="shared" ref="J4907" si="15854">(IF(D4907=0,(2*(D4886+G4886))-(F$5*8),IF(D4907=3,(2*(D4886+G4886))-(F$5*8)+(G4886-2*F$5),IF(D4907=4,(2*(D4886+G4886))-(F$5*8)+2*(G4886-2*F$5)))))/1000</f>
        <v>0.88</v>
      </c>
      <c r="K4907" s="400" t="s">
        <v>204</v>
      </c>
      <c r="L4907" s="399">
        <f t="shared" si="15843"/>
        <v>0.15</v>
      </c>
      <c r="M4907" s="399" t="s">
        <v>176</v>
      </c>
      <c r="N4907" s="399">
        <f t="shared" si="15844"/>
        <v>1.03</v>
      </c>
      <c r="O4907" s="399"/>
      <c r="P4907" s="389"/>
      <c r="Q4907" s="399"/>
      <c r="R4907" s="399"/>
      <c r="S4907" s="399"/>
      <c r="T4907" s="399" t="s">
        <v>125</v>
      </c>
      <c r="U4907" s="401">
        <f t="shared" si="15845"/>
        <v>0.61650000000000005</v>
      </c>
      <c r="V4907" s="399" t="s">
        <v>125</v>
      </c>
      <c r="W4907" s="399">
        <f t="shared" ref="W4907" si="15855">IF(D4888&gt;4*G4886,ROUND(MAX(D4888/4,2*G4886)/H4907,0)+1,0)</f>
        <v>9</v>
      </c>
      <c r="X4907" s="399" t="s">
        <v>125</v>
      </c>
      <c r="Y4907" s="389">
        <f t="shared" ref="Y4907" si="15856">D4891</f>
        <v>1</v>
      </c>
      <c r="Z4907" s="400" t="s">
        <v>176</v>
      </c>
      <c r="AA4907" s="402">
        <f t="shared" si="15848"/>
        <v>5.7149550000000007</v>
      </c>
      <c r="AB4907" s="403"/>
    </row>
    <row r="4908" spans="1:28">
      <c r="A4908" s="384"/>
      <c r="B4908" s="385"/>
      <c r="C4908" s="393"/>
      <c r="D4908" s="394"/>
      <c r="E4908" s="388"/>
      <c r="F4908" s="388"/>
      <c r="G4908" s="388"/>
      <c r="H4908" s="395"/>
      <c r="I4908" s="388"/>
      <c r="J4908" s="399"/>
      <c r="K4908" s="396"/>
      <c r="L4908" s="396"/>
      <c r="M4908" s="396"/>
      <c r="N4908" s="396"/>
      <c r="O4908" s="396"/>
      <c r="P4908" s="389"/>
      <c r="Q4908" s="396"/>
      <c r="R4908" s="396"/>
      <c r="S4908" s="396"/>
      <c r="T4908" s="396"/>
      <c r="U4908" s="401"/>
      <c r="V4908" s="396"/>
      <c r="W4908" s="388"/>
      <c r="X4908" s="396"/>
      <c r="Y4908" s="389"/>
      <c r="Z4908" s="396"/>
      <c r="AA4908" s="388"/>
      <c r="AB4908" s="390"/>
    </row>
    <row r="4909" spans="1:28">
      <c r="A4909" s="384" t="str">
        <f t="shared" ref="A4909:B4909" si="15857">A4885</f>
        <v>Lantai 3</v>
      </c>
      <c r="B4909" s="385">
        <f t="shared" si="15857"/>
        <v>21</v>
      </c>
      <c r="C4909" s="393" t="s">
        <v>213</v>
      </c>
      <c r="D4909" s="398">
        <f>VLOOKUP(D4885,'Detail Balok'!$C$10:$BJ$140,46,FALSE)</f>
        <v>0</v>
      </c>
      <c r="E4909" s="388" t="s">
        <v>16</v>
      </c>
      <c r="F4909" s="388">
        <f>VLOOKUP(D4885,'Detail Balok'!$C$10:$BJ$140,48,FALSE)</f>
        <v>0</v>
      </c>
      <c r="G4909" s="405" t="s">
        <v>157</v>
      </c>
      <c r="H4909" s="395">
        <f>VLOOKUP(D4885,'Detail Balok'!$C$10:$BJ$140,50,FALSE)</f>
        <v>100</v>
      </c>
      <c r="I4909" s="388"/>
      <c r="J4909" s="399">
        <f t="shared" ref="J4909" si="15858">(D4886-2*F$5)/1000</f>
        <v>0.12</v>
      </c>
      <c r="K4909" s="400" t="s">
        <v>204</v>
      </c>
      <c r="L4909" s="399">
        <f t="shared" ref="L4909:L4911" si="15859">IF(D4909=0,2*MAX(6*F4909,75),(D4909-1)*2*MAX(6*F4909,75))/1000</f>
        <v>0.15</v>
      </c>
      <c r="M4909" s="399" t="s">
        <v>176</v>
      </c>
      <c r="N4909" s="399">
        <f t="shared" ref="N4909:N4911" si="15860">J4909+L4909</f>
        <v>0.27</v>
      </c>
      <c r="O4909" s="399"/>
      <c r="P4909" s="399"/>
      <c r="Q4909" s="399"/>
      <c r="R4909" s="399"/>
      <c r="S4909" s="399"/>
      <c r="T4909" s="399" t="s">
        <v>125</v>
      </c>
      <c r="U4909" s="401">
        <f t="shared" ref="U4909:U4911" si="15861">0.006165*F4909^2</f>
        <v>0</v>
      </c>
      <c r="V4909" s="399" t="s">
        <v>125</v>
      </c>
      <c r="W4909" s="399">
        <f t="shared" ref="W4909:W4911" si="15862">W4905</f>
        <v>9</v>
      </c>
      <c r="X4909" s="399" t="s">
        <v>125</v>
      </c>
      <c r="Y4909" s="389">
        <f t="shared" ref="Y4909" si="15863">D4895</f>
        <v>3</v>
      </c>
      <c r="Z4909" s="400" t="s">
        <v>176</v>
      </c>
      <c r="AA4909" s="402">
        <f t="shared" ref="AA4909:AA4911" si="15864">N4909*U4909*W4909*Y4909</f>
        <v>0</v>
      </c>
      <c r="AB4909" s="403"/>
    </row>
    <row r="4910" spans="1:28">
      <c r="A4910" s="384" t="str">
        <f t="shared" ref="A4910:B4910" si="15865">A4885</f>
        <v>Lantai 3</v>
      </c>
      <c r="B4910" s="385">
        <f t="shared" si="15865"/>
        <v>21</v>
      </c>
      <c r="C4910" s="393" t="s">
        <v>214</v>
      </c>
      <c r="D4910" s="398">
        <f>VLOOKUP(D4885,'Detail Balok'!$C$10:$BJ$140,51,FALSE)</f>
        <v>0</v>
      </c>
      <c r="E4910" s="388" t="s">
        <v>16</v>
      </c>
      <c r="F4910" s="388">
        <f>VLOOKUP(D4885,'Detail Balok'!$C$10:$BJ$140,53,FALSE)</f>
        <v>0</v>
      </c>
      <c r="G4910" s="405" t="s">
        <v>157</v>
      </c>
      <c r="H4910" s="395">
        <f>VLOOKUP(D4885,'Detail Balok'!$C$10:$BJ$140,55,FALSE)</f>
        <v>100</v>
      </c>
      <c r="I4910" s="388"/>
      <c r="J4910" s="399">
        <f t="shared" ref="J4910" si="15866">(D4886-2*F$5)/1000</f>
        <v>0.12</v>
      </c>
      <c r="K4910" s="400" t="s">
        <v>204</v>
      </c>
      <c r="L4910" s="399">
        <f t="shared" si="15859"/>
        <v>0.15</v>
      </c>
      <c r="M4910" s="399" t="s">
        <v>176</v>
      </c>
      <c r="N4910" s="399">
        <f t="shared" si="15860"/>
        <v>0.27</v>
      </c>
      <c r="O4910" s="399"/>
      <c r="P4910" s="399"/>
      <c r="Q4910" s="399"/>
      <c r="R4910" s="399"/>
      <c r="S4910" s="399"/>
      <c r="T4910" s="399" t="s">
        <v>125</v>
      </c>
      <c r="U4910" s="401">
        <f t="shared" si="15861"/>
        <v>0</v>
      </c>
      <c r="V4910" s="399" t="s">
        <v>125</v>
      </c>
      <c r="W4910" s="399">
        <f t="shared" si="15862"/>
        <v>3</v>
      </c>
      <c r="X4910" s="399" t="s">
        <v>125</v>
      </c>
      <c r="Y4910" s="389">
        <f t="shared" ref="Y4910" si="15867">D4895</f>
        <v>3</v>
      </c>
      <c r="Z4910" s="400" t="s">
        <v>176</v>
      </c>
      <c r="AA4910" s="402">
        <f t="shared" si="15864"/>
        <v>0</v>
      </c>
      <c r="AB4910" s="403"/>
    </row>
    <row r="4911" spans="1:28">
      <c r="A4911" s="384" t="str">
        <f t="shared" ref="A4911:B4911" si="15868">A4885</f>
        <v>Lantai 3</v>
      </c>
      <c r="B4911" s="385">
        <f t="shared" si="15868"/>
        <v>21</v>
      </c>
      <c r="C4911" s="393" t="s">
        <v>213</v>
      </c>
      <c r="D4911" s="398">
        <f>VLOOKUP(D4885,'Detail Balok'!$C$10:$BJ$140,56,FALSE)</f>
        <v>0</v>
      </c>
      <c r="E4911" s="388" t="s">
        <v>16</v>
      </c>
      <c r="F4911" s="388">
        <f>VLOOKUP(D4885,'Detail Balok'!$C$10:$BJ$140,58,FALSE)</f>
        <v>0</v>
      </c>
      <c r="G4911" s="405" t="s">
        <v>157</v>
      </c>
      <c r="H4911" s="395">
        <f>VLOOKUP(D4885,'Detail Balok'!$C$10:$BJ$140,60,FALSE)</f>
        <v>100</v>
      </c>
      <c r="I4911" s="388"/>
      <c r="J4911" s="399">
        <f t="shared" ref="J4911" si="15869">(D4886-2*F$5)/1000</f>
        <v>0.12</v>
      </c>
      <c r="K4911" s="400" t="s">
        <v>204</v>
      </c>
      <c r="L4911" s="399">
        <f t="shared" si="15859"/>
        <v>0.15</v>
      </c>
      <c r="M4911" s="399" t="s">
        <v>176</v>
      </c>
      <c r="N4911" s="399">
        <f t="shared" si="15860"/>
        <v>0.27</v>
      </c>
      <c r="O4911" s="399"/>
      <c r="P4911" s="399"/>
      <c r="Q4911" s="399"/>
      <c r="R4911" s="399"/>
      <c r="S4911" s="399"/>
      <c r="T4911" s="399" t="s">
        <v>125</v>
      </c>
      <c r="U4911" s="401">
        <f t="shared" si="15861"/>
        <v>0</v>
      </c>
      <c r="V4911" s="399" t="s">
        <v>125</v>
      </c>
      <c r="W4911" s="399">
        <f t="shared" si="15862"/>
        <v>9</v>
      </c>
      <c r="X4911" s="399" t="s">
        <v>125</v>
      </c>
      <c r="Y4911" s="389">
        <f t="shared" ref="Y4911" si="15870">D4895</f>
        <v>3</v>
      </c>
      <c r="Z4911" s="400" t="s">
        <v>176</v>
      </c>
      <c r="AA4911" s="402">
        <f t="shared" si="15864"/>
        <v>0</v>
      </c>
      <c r="AB4911" s="403"/>
    </row>
    <row r="4912" spans="1:28">
      <c r="A4912" s="391"/>
      <c r="B4912" s="392"/>
      <c r="C4912" s="392"/>
      <c r="D4912" s="394"/>
      <c r="E4912" s="388"/>
      <c r="F4912" s="388"/>
      <c r="G4912" s="388"/>
      <c r="H4912" s="395"/>
      <c r="I4912" s="388"/>
      <c r="J4912" s="402"/>
      <c r="K4912" s="388"/>
      <c r="L4912" s="388"/>
      <c r="M4912" s="388"/>
      <c r="N4912" s="388"/>
      <c r="O4912" s="388"/>
      <c r="P4912" s="388"/>
      <c r="Q4912" s="388"/>
      <c r="R4912" s="388"/>
      <c r="S4912" s="388"/>
      <c r="T4912" s="388"/>
      <c r="U4912" s="388"/>
      <c r="V4912" s="388"/>
      <c r="W4912" s="388"/>
      <c r="X4912" s="388"/>
      <c r="Y4912" s="389"/>
      <c r="Z4912" s="388"/>
      <c r="AA4912" s="402"/>
      <c r="AB4912" s="403"/>
    </row>
    <row r="4913" spans="1:28" ht="15.75" thickBot="1">
      <c r="A4913" s="406"/>
      <c r="B4913" s="407"/>
      <c r="C4913" s="407"/>
      <c r="D4913" s="408"/>
      <c r="E4913" s="409"/>
      <c r="F4913" s="409"/>
      <c r="G4913" s="409"/>
      <c r="H4913" s="410"/>
      <c r="I4913" s="409"/>
      <c r="J4913" s="409"/>
      <c r="K4913" s="409"/>
      <c r="L4913" s="409"/>
      <c r="M4913" s="409"/>
      <c r="N4913" s="409"/>
      <c r="O4913" s="409"/>
      <c r="P4913" s="409"/>
      <c r="Q4913" s="409"/>
      <c r="R4913" s="409"/>
      <c r="S4913" s="409"/>
      <c r="T4913" s="409"/>
      <c r="U4913" s="409"/>
      <c r="V4913" s="409"/>
      <c r="W4913" s="409"/>
      <c r="X4913" s="409"/>
      <c r="Y4913" s="411"/>
      <c r="Z4913" s="409"/>
      <c r="AA4913" s="412"/>
      <c r="AB4913" s="413"/>
    </row>
    <row r="4914" spans="1:28">
      <c r="A4914" s="377"/>
      <c r="B4914" s="378"/>
      <c r="C4914" s="378"/>
      <c r="D4914" s="379"/>
      <c r="E4914" s="380"/>
      <c r="F4914" s="380"/>
      <c r="G4914" s="380"/>
      <c r="H4914" s="381"/>
      <c r="I4914" s="380"/>
      <c r="J4914" s="380"/>
      <c r="K4914" s="380"/>
      <c r="L4914" s="380"/>
      <c r="M4914" s="380"/>
      <c r="N4914" s="380"/>
      <c r="O4914" s="380"/>
      <c r="P4914" s="380"/>
      <c r="Q4914" s="380"/>
      <c r="R4914" s="380"/>
      <c r="S4914" s="380"/>
      <c r="T4914" s="380"/>
      <c r="U4914" s="380"/>
      <c r="V4914" s="380"/>
      <c r="W4914" s="380"/>
      <c r="X4914" s="380"/>
      <c r="Y4914" s="382"/>
      <c r="Z4914" s="380"/>
      <c r="AA4914" s="380"/>
      <c r="AB4914" s="383"/>
    </row>
    <row r="4915" spans="1:28">
      <c r="A4915" s="384" t="str">
        <f t="shared" ref="A4915:A4945" si="15871">A4885</f>
        <v>Lantai 3</v>
      </c>
      <c r="B4915" s="385">
        <f t="shared" ref="B4915:B4945" si="15872">B4885+1</f>
        <v>22</v>
      </c>
      <c r="C4915" s="386" t="str">
        <f t="shared" ref="C4915" si="15873">CONCATENATE(A4915," no. ",B4915)</f>
        <v>Lantai 3 no. 22</v>
      </c>
      <c r="D4915" s="2562" t="str">
        <f>VLOOKUP(C4915,'Data Panjang Balok'!$C$9:$N$254,2,FALSE)</f>
        <v>B24-1</v>
      </c>
      <c r="E4915" s="2576"/>
      <c r="F4915" s="2576"/>
      <c r="G4915" s="2576"/>
      <c r="H4915" s="2577"/>
      <c r="I4915" s="387"/>
      <c r="J4915" s="388"/>
      <c r="K4915" s="388"/>
      <c r="L4915" s="388"/>
      <c r="M4915" s="388"/>
      <c r="N4915" s="388"/>
      <c r="O4915" s="388"/>
      <c r="P4915" s="388"/>
      <c r="Q4915" s="388"/>
      <c r="R4915" s="388"/>
      <c r="S4915" s="388"/>
      <c r="T4915" s="388"/>
      <c r="U4915" s="388"/>
      <c r="V4915" s="388"/>
      <c r="W4915" s="388"/>
      <c r="X4915" s="388"/>
      <c r="Y4915" s="389"/>
      <c r="Z4915" s="388"/>
      <c r="AA4915" s="388"/>
      <c r="AB4915" s="390"/>
    </row>
    <row r="4916" spans="1:28">
      <c r="A4916" s="391"/>
      <c r="B4916" s="392"/>
      <c r="C4916" s="393" t="s">
        <v>118</v>
      </c>
      <c r="D4916" s="2578">
        <f>VLOOKUP(D4915,'Detail Balok'!$C$10:$AU$140,2,FALSE)</f>
        <v>200</v>
      </c>
      <c r="E4916" s="2579"/>
      <c r="F4916" s="388" t="s">
        <v>125</v>
      </c>
      <c r="G4916" s="2579">
        <f>VLOOKUP(D4915,'Detail Balok'!$C$10:$AU$140,3,FALSE)</f>
        <v>400</v>
      </c>
      <c r="H4916" s="2580"/>
      <c r="I4916" s="388"/>
      <c r="J4916" s="396"/>
      <c r="K4916" s="396"/>
      <c r="L4916" s="396"/>
      <c r="M4916" s="396"/>
      <c r="N4916" s="396"/>
      <c r="O4916" s="396"/>
      <c r="P4916" s="396"/>
      <c r="Q4916" s="396"/>
      <c r="R4916" s="396"/>
      <c r="S4916" s="396"/>
      <c r="T4916" s="396"/>
      <c r="U4916" s="388"/>
      <c r="V4916" s="396"/>
      <c r="W4916" s="388"/>
      <c r="X4916" s="396"/>
      <c r="Y4916" s="389"/>
      <c r="Z4916" s="396"/>
      <c r="AA4916" s="388"/>
      <c r="AB4916" s="390"/>
    </row>
    <row r="4917" spans="1:28">
      <c r="A4917" s="391"/>
      <c r="B4917" s="392"/>
      <c r="C4917" s="393" t="s">
        <v>198</v>
      </c>
      <c r="D4917" s="2562">
        <f>VLOOKUP(C4915,'Data Panjang Balok'!$C$9:$N$254,4,FALSE)</f>
        <v>2200</v>
      </c>
      <c r="E4917" s="2563"/>
      <c r="F4917" s="2563"/>
      <c r="G4917" s="2563"/>
      <c r="H4917" s="2564"/>
      <c r="I4917" s="397"/>
      <c r="J4917" s="396"/>
      <c r="K4917" s="396"/>
      <c r="L4917" s="396"/>
      <c r="M4917" s="396"/>
      <c r="N4917" s="396"/>
      <c r="O4917" s="396"/>
      <c r="P4917" s="396"/>
      <c r="Q4917" s="396"/>
      <c r="R4917" s="396"/>
      <c r="S4917" s="396"/>
      <c r="T4917" s="396"/>
      <c r="U4917" s="388"/>
      <c r="V4917" s="396"/>
      <c r="W4917" s="388"/>
      <c r="X4917" s="396"/>
      <c r="Y4917" s="389"/>
      <c r="Z4917" s="396"/>
      <c r="AA4917" s="388"/>
      <c r="AB4917" s="390"/>
    </row>
    <row r="4918" spans="1:28">
      <c r="A4918" s="391"/>
      <c r="B4918" s="392"/>
      <c r="C4918" s="393" t="s">
        <v>199</v>
      </c>
      <c r="D4918" s="2562">
        <f>VLOOKUP(C4915,'Data Panjang Balok'!$C$9:$N$254,7,FALSE)</f>
        <v>2200</v>
      </c>
      <c r="E4918" s="2563"/>
      <c r="F4918" s="2563"/>
      <c r="G4918" s="2563"/>
      <c r="H4918" s="2564"/>
      <c r="I4918" s="397"/>
      <c r="J4918" s="396"/>
      <c r="K4918" s="396"/>
      <c r="L4918" s="396"/>
      <c r="M4918" s="396"/>
      <c r="N4918" s="396"/>
      <c r="O4918" s="396"/>
      <c r="P4918" s="396"/>
      <c r="Q4918" s="396"/>
      <c r="R4918" s="396"/>
      <c r="S4918" s="396"/>
      <c r="T4918" s="396"/>
      <c r="U4918" s="388"/>
      <c r="V4918" s="396"/>
      <c r="W4918" s="388"/>
      <c r="X4918" s="396"/>
      <c r="Y4918" s="389"/>
      <c r="Z4918" s="396"/>
      <c r="AA4918" s="388"/>
      <c r="AB4918" s="390"/>
    </row>
    <row r="4919" spans="1:28">
      <c r="A4919" s="391"/>
      <c r="B4919" s="392"/>
      <c r="C4919" s="393" t="s">
        <v>200</v>
      </c>
      <c r="D4919" s="2562">
        <f>VLOOKUP(C4915,'Data Panjang Balok'!$C$9:$N$254,9,FALSE)</f>
        <v>0</v>
      </c>
      <c r="E4919" s="2563"/>
      <c r="F4919" s="2563"/>
      <c r="G4919" s="2563"/>
      <c r="H4919" s="2564"/>
      <c r="I4919" s="397"/>
      <c r="J4919" s="396"/>
      <c r="K4919" s="396"/>
      <c r="L4919" s="396"/>
      <c r="M4919" s="396"/>
      <c r="N4919" s="396"/>
      <c r="O4919" s="396"/>
      <c r="P4919" s="396"/>
      <c r="Q4919" s="396"/>
      <c r="R4919" s="396"/>
      <c r="S4919" s="396"/>
      <c r="T4919" s="396"/>
      <c r="U4919" s="388"/>
      <c r="V4919" s="396"/>
      <c r="W4919" s="388"/>
      <c r="X4919" s="396"/>
      <c r="Y4919" s="389"/>
      <c r="Z4919" s="396"/>
      <c r="AA4919" s="388"/>
      <c r="AB4919" s="390"/>
    </row>
    <row r="4920" spans="1:28">
      <c r="A4920" s="391"/>
      <c r="B4920" s="392"/>
      <c r="C4920" s="393" t="s">
        <v>201</v>
      </c>
      <c r="D4920" s="2562">
        <f>VLOOKUP(C4915,'Data Panjang Balok'!$C$9:$N$254,10,FALSE)</f>
        <v>0</v>
      </c>
      <c r="E4920" s="2563"/>
      <c r="F4920" s="2563"/>
      <c r="G4920" s="2563"/>
      <c r="H4920" s="2564"/>
      <c r="I4920" s="397"/>
      <c r="J4920" s="396"/>
      <c r="K4920" s="396"/>
      <c r="L4920" s="396"/>
      <c r="M4920" s="396"/>
      <c r="N4920" s="396"/>
      <c r="O4920" s="396"/>
      <c r="P4920" s="396"/>
      <c r="Q4920" s="396"/>
      <c r="R4920" s="396"/>
      <c r="S4920" s="396"/>
      <c r="T4920" s="396"/>
      <c r="U4920" s="388"/>
      <c r="V4920" s="396"/>
      <c r="W4920" s="388"/>
      <c r="X4920" s="396"/>
      <c r="Y4920" s="389"/>
      <c r="Z4920" s="396"/>
      <c r="AA4920" s="388"/>
      <c r="AB4920" s="390"/>
    </row>
    <row r="4921" spans="1:28">
      <c r="A4921" s="391"/>
      <c r="B4921" s="392"/>
      <c r="C4921" s="393" t="s">
        <v>48</v>
      </c>
      <c r="D4921" s="2562">
        <f>VLOOKUP(C4915,'Data Panjang Balok'!$C$9:$N$254,3,FALSE)</f>
        <v>1</v>
      </c>
      <c r="E4921" s="2563"/>
      <c r="F4921" s="2563"/>
      <c r="G4921" s="2563"/>
      <c r="H4921" s="2564"/>
      <c r="I4921" s="397"/>
      <c r="J4921" s="396"/>
      <c r="K4921" s="396"/>
      <c r="L4921" s="396"/>
      <c r="M4921" s="396"/>
      <c r="N4921" s="396"/>
      <c r="O4921" s="396"/>
      <c r="P4921" s="396"/>
      <c r="Q4921" s="396"/>
      <c r="R4921" s="396"/>
      <c r="S4921" s="396"/>
      <c r="T4921" s="396"/>
      <c r="U4921" s="388"/>
      <c r="V4921" s="396"/>
      <c r="W4921" s="388"/>
      <c r="X4921" s="396"/>
      <c r="Y4921" s="389"/>
      <c r="Z4921" s="396"/>
      <c r="AA4921" s="388"/>
      <c r="AB4921" s="390"/>
    </row>
    <row r="4922" spans="1:28">
      <c r="A4922" s="384" t="str">
        <f t="shared" ref="A4922:B4922" si="15874">A4915</f>
        <v>Lantai 3</v>
      </c>
      <c r="B4922" s="385">
        <f t="shared" si="15874"/>
        <v>22</v>
      </c>
      <c r="C4922" s="393" t="s">
        <v>202</v>
      </c>
      <c r="D4922" s="398">
        <f>VLOOKUP(D4915,'Detail Balok'!$C$10:$AU$140,4,FALSE)</f>
        <v>3</v>
      </c>
      <c r="E4922" s="388" t="s">
        <v>16</v>
      </c>
      <c r="F4922" s="388">
        <f>VLOOKUP(D4915,'Detail Balok'!$C$10:$AU$140,6,FALSE)</f>
        <v>13</v>
      </c>
      <c r="G4922" s="388"/>
      <c r="H4922" s="395"/>
      <c r="I4922" s="388" t="s">
        <v>203</v>
      </c>
      <c r="J4922" s="399">
        <f t="shared" ref="J4922" si="15875">+D4917/4/1000</f>
        <v>0.55000000000000004</v>
      </c>
      <c r="K4922" s="400" t="s">
        <v>204</v>
      </c>
      <c r="L4922" s="399">
        <f t="shared" ref="L4922" si="15876">MAX(VLOOKUP(F4922,N$6:P$15,3,FALSE)/1000,2/3*D4919/1000)+F$16*F4922/1000</f>
        <v>0.156</v>
      </c>
      <c r="M4922" s="399" t="s">
        <v>176</v>
      </c>
      <c r="N4922" s="399">
        <f t="shared" ref="N4922:N4924" si="15877">J4922+L4922</f>
        <v>0.70600000000000007</v>
      </c>
      <c r="O4922" s="399" t="s">
        <v>204</v>
      </c>
      <c r="P4922" s="389">
        <f t="shared" ref="P4922" si="15878">D4922-D4923</f>
        <v>0</v>
      </c>
      <c r="Q4922" s="399" t="s">
        <v>125</v>
      </c>
      <c r="R4922" s="399">
        <f t="shared" ref="R4922" si="15879">IF(P4922&gt;0,$F$18*F4922/1000,0)</f>
        <v>0</v>
      </c>
      <c r="S4922" s="399" t="s">
        <v>205</v>
      </c>
      <c r="T4922" s="399" t="s">
        <v>125</v>
      </c>
      <c r="U4922" s="401">
        <f t="shared" ref="U4922:U4924" si="15880">0.006165*F4922^2</f>
        <v>1.041885</v>
      </c>
      <c r="V4922" s="399"/>
      <c r="W4922" s="399"/>
      <c r="X4922" s="399" t="s">
        <v>125</v>
      </c>
      <c r="Y4922" s="389">
        <f t="shared" ref="Y4922" si="15881">D4921</f>
        <v>1</v>
      </c>
      <c r="Z4922" s="400" t="s">
        <v>176</v>
      </c>
      <c r="AA4922" s="402">
        <f t="shared" ref="AA4922" si="15882">IF(AA4925=0,(D4922*N4922+P4922*R4922)*U4922*Y4922,0)</f>
        <v>0</v>
      </c>
      <c r="AB4922" s="403"/>
    </row>
    <row r="4923" spans="1:28">
      <c r="A4923" s="384" t="str">
        <f t="shared" ref="A4923:B4923" si="15883">A4915</f>
        <v>Lantai 3</v>
      </c>
      <c r="B4923" s="385">
        <f t="shared" si="15883"/>
        <v>22</v>
      </c>
      <c r="C4923" s="393" t="s">
        <v>206</v>
      </c>
      <c r="D4923" s="398">
        <f>VLOOKUP(D4915,'Detail Balok'!$C$10:$AU$140,7,FALSE)</f>
        <v>3</v>
      </c>
      <c r="E4923" s="388" t="s">
        <v>16</v>
      </c>
      <c r="F4923" s="388">
        <f>VLOOKUP(D4915,'Detail Balok'!$C$10:$AU$140,9,FALSE)</f>
        <v>13</v>
      </c>
      <c r="G4923" s="388"/>
      <c r="H4923" s="395"/>
      <c r="I4923" s="388" t="s">
        <v>203</v>
      </c>
      <c r="J4923" s="399">
        <f t="shared" ref="J4923" si="15884">+D4917/2/1000</f>
        <v>1.1000000000000001</v>
      </c>
      <c r="K4923" s="400" t="s">
        <v>204</v>
      </c>
      <c r="L4923" s="399"/>
      <c r="M4923" s="399" t="s">
        <v>176</v>
      </c>
      <c r="N4923" s="399">
        <f t="shared" si="15877"/>
        <v>1.1000000000000001</v>
      </c>
      <c r="O4923" s="399" t="s">
        <v>204</v>
      </c>
      <c r="P4923" s="389">
        <f t="shared" ref="P4923" si="15885">MAX(D4923-D4922,D4923-D4924)</f>
        <v>0</v>
      </c>
      <c r="Q4923" s="399" t="s">
        <v>125</v>
      </c>
      <c r="R4923" s="399">
        <f t="shared" ref="R4923" si="15886">IF(P4923&gt;0,2*(1-2*$F$19-1/2)*D4918/1000,0)</f>
        <v>0</v>
      </c>
      <c r="S4923" s="399" t="s">
        <v>205</v>
      </c>
      <c r="T4923" s="399" t="s">
        <v>125</v>
      </c>
      <c r="U4923" s="401">
        <f t="shared" si="15880"/>
        <v>1.041885</v>
      </c>
      <c r="V4923" s="399"/>
      <c r="W4923" s="399"/>
      <c r="X4923" s="399" t="s">
        <v>125</v>
      </c>
      <c r="Y4923" s="389">
        <f t="shared" ref="Y4923" si="15887">D4921</f>
        <v>1</v>
      </c>
      <c r="Z4923" s="400" t="s">
        <v>176</v>
      </c>
      <c r="AA4923" s="402">
        <f t="shared" ref="AA4923" si="15888">IF(AA4925=0,(D4923*N4923+P4923*R4923)*U4923*Y4923,0)</f>
        <v>0</v>
      </c>
      <c r="AB4923" s="403"/>
    </row>
    <row r="4924" spans="1:28">
      <c r="A4924" s="384" t="str">
        <f t="shared" ref="A4924:B4924" si="15889">A4915</f>
        <v>Lantai 3</v>
      </c>
      <c r="B4924" s="385">
        <f t="shared" si="15889"/>
        <v>22</v>
      </c>
      <c r="C4924" s="393" t="s">
        <v>202</v>
      </c>
      <c r="D4924" s="398">
        <f>VLOOKUP(D4915,'Detail Balok'!$C$10:$AU$140,10,FALSE)</f>
        <v>3</v>
      </c>
      <c r="E4924" s="388" t="s">
        <v>16</v>
      </c>
      <c r="F4924" s="388">
        <f>VLOOKUP(D4915,'Detail Balok'!$C$10:$AU$140,12,FALSE)</f>
        <v>13</v>
      </c>
      <c r="G4924" s="388"/>
      <c r="H4924" s="395"/>
      <c r="I4924" s="388" t="s">
        <v>203</v>
      </c>
      <c r="J4924" s="399">
        <f t="shared" ref="J4924" si="15890">+D4917/4/1000</f>
        <v>0.55000000000000004</v>
      </c>
      <c r="K4924" s="400" t="s">
        <v>204</v>
      </c>
      <c r="L4924" s="399">
        <f t="shared" ref="L4924" si="15891">MAX(VLOOKUP(F4924,N$6:P$15,3,FALSE)/1000,2/3*D4919/1000)+F$16*F4924/1000</f>
        <v>0.156</v>
      </c>
      <c r="M4924" s="399" t="s">
        <v>176</v>
      </c>
      <c r="N4924" s="399">
        <f t="shared" si="15877"/>
        <v>0.70600000000000007</v>
      </c>
      <c r="O4924" s="399" t="s">
        <v>204</v>
      </c>
      <c r="P4924" s="389">
        <f t="shared" ref="P4924" si="15892">D4924-D4923</f>
        <v>0</v>
      </c>
      <c r="Q4924" s="399" t="s">
        <v>125</v>
      </c>
      <c r="R4924" s="399">
        <f t="shared" ref="R4924" si="15893">IF(P4924&gt;0,$F$18*F4924/1000,0)</f>
        <v>0</v>
      </c>
      <c r="S4924" s="399" t="s">
        <v>205</v>
      </c>
      <c r="T4924" s="399" t="s">
        <v>125</v>
      </c>
      <c r="U4924" s="401">
        <f t="shared" si="15880"/>
        <v>1.041885</v>
      </c>
      <c r="V4924" s="399"/>
      <c r="W4924" s="399"/>
      <c r="X4924" s="399" t="s">
        <v>125</v>
      </c>
      <c r="Y4924" s="389">
        <f t="shared" ref="Y4924" si="15894">D4921</f>
        <v>1</v>
      </c>
      <c r="Z4924" s="400" t="s">
        <v>176</v>
      </c>
      <c r="AA4924" s="402">
        <f t="shared" ref="AA4924" si="15895">IF(AA4925=0,(D4924*N4924+P4924*R4924)*U4924*Y4924,0)</f>
        <v>0</v>
      </c>
      <c r="AB4924" s="403"/>
    </row>
    <row r="4925" spans="1:28">
      <c r="A4925" s="384" t="str">
        <f t="shared" ref="A4925:B4925" si="15896">A4915</f>
        <v>Lantai 3</v>
      </c>
      <c r="B4925" s="385">
        <f t="shared" si="15896"/>
        <v>22</v>
      </c>
      <c r="C4925" s="393"/>
      <c r="D4925" s="398">
        <f t="shared" ref="D4925" si="15897">IF(AND(D4922=D4923,D4923=D4924,D4922=D4924),D4922,0)</f>
        <v>3</v>
      </c>
      <c r="E4925" s="388" t="s">
        <v>16</v>
      </c>
      <c r="F4925" s="388">
        <f t="shared" ref="F4925" si="15898">IF(AND(F4922=F4923,F4922=F4924,F4923=F4924),F4922,0)</f>
        <v>13</v>
      </c>
      <c r="G4925" s="388"/>
      <c r="H4925" s="395"/>
      <c r="I4925" s="388"/>
      <c r="J4925" s="396"/>
      <c r="K4925" s="396"/>
      <c r="L4925" s="404" t="s">
        <v>207</v>
      </c>
      <c r="M4925" s="399" t="s">
        <v>176</v>
      </c>
      <c r="N4925" s="399">
        <f t="shared" ref="N4925" si="15899">IF(AND(D4922=D4923,D4922=D4924,D4923=D4924,F4922=F4923,F4922=F4924,F4923=F4924),SUM(N4922:N4924),0)</f>
        <v>2.512</v>
      </c>
      <c r="O4925" s="399" t="s">
        <v>204</v>
      </c>
      <c r="P4925" s="389">
        <f t="shared" ref="P4925" si="15900">IF(N4925&gt;12,ROUNDDOWN(N4925/12,0),0)</f>
        <v>0</v>
      </c>
      <c r="Q4925" s="399" t="s">
        <v>125</v>
      </c>
      <c r="R4925" s="399">
        <f t="shared" ref="R4925" si="15901">IF(P4925&gt;0,MAX(VLOOKUP(F4925,$D$6:$G$15,3,FALSE),600),0)/1000</f>
        <v>0</v>
      </c>
      <c r="S4925" s="396"/>
      <c r="T4925" s="396" t="s">
        <v>125</v>
      </c>
      <c r="U4925" s="401">
        <f t="shared" ref="U4925" si="15902">U4924</f>
        <v>1.041885</v>
      </c>
      <c r="V4925" s="396" t="s">
        <v>125</v>
      </c>
      <c r="W4925" s="399">
        <f t="shared" ref="W4925" si="15903">D4925</f>
        <v>3</v>
      </c>
      <c r="X4925" s="399" t="s">
        <v>125</v>
      </c>
      <c r="Y4925" s="389">
        <f t="shared" ref="Y4925" si="15904">Y4924</f>
        <v>1</v>
      </c>
      <c r="Z4925" s="400" t="s">
        <v>176</v>
      </c>
      <c r="AA4925" s="402">
        <f t="shared" ref="AA4925" si="15905">(N4925+P4925*R4925/1000)*U4925*W4925*Y4925</f>
        <v>7.85164536</v>
      </c>
      <c r="AB4925" s="390"/>
    </row>
    <row r="4926" spans="1:28">
      <c r="A4926" s="384"/>
      <c r="B4926" s="385"/>
      <c r="C4926" s="393"/>
      <c r="D4926" s="398"/>
      <c r="E4926" s="388"/>
      <c r="F4926" s="388"/>
      <c r="G4926" s="388"/>
      <c r="H4926" s="395"/>
      <c r="I4926" s="388"/>
      <c r="J4926" s="396"/>
      <c r="K4926" s="396"/>
      <c r="L4926" s="404"/>
      <c r="M4926" s="399"/>
      <c r="N4926" s="399"/>
      <c r="O4926" s="396"/>
      <c r="P4926" s="389"/>
      <c r="Q4926" s="396"/>
      <c r="R4926" s="396"/>
      <c r="S4926" s="396"/>
      <c r="T4926" s="396"/>
      <c r="U4926" s="401"/>
      <c r="V4926" s="396"/>
      <c r="W4926" s="399"/>
      <c r="X4926" s="396"/>
      <c r="Y4926" s="389"/>
      <c r="Z4926" s="396"/>
      <c r="AA4926" s="388"/>
      <c r="AB4926" s="390"/>
    </row>
    <row r="4927" spans="1:28">
      <c r="A4927" s="384" t="str">
        <f t="shared" ref="A4927:B4927" si="15906">A4915</f>
        <v>Lantai 3</v>
      </c>
      <c r="B4927" s="385">
        <f t="shared" si="15906"/>
        <v>22</v>
      </c>
      <c r="C4927" s="393" t="s">
        <v>208</v>
      </c>
      <c r="D4927" s="398">
        <f>VLOOKUP(D4915,'Detail Balok'!$C$10:$AU$140,13,FALSE)</f>
        <v>0</v>
      </c>
      <c r="E4927" s="388" t="s">
        <v>16</v>
      </c>
      <c r="F4927" s="388">
        <f>VLOOKUP(D4915,'Detail Balok'!$C$10:$AU$140,15,FALSE)</f>
        <v>8</v>
      </c>
      <c r="G4927" s="388"/>
      <c r="H4927" s="395"/>
      <c r="I4927" s="388"/>
      <c r="J4927" s="399">
        <f t="shared" ref="J4927" si="15907">+D4917/1000</f>
        <v>2.2000000000000002</v>
      </c>
      <c r="K4927" s="400" t="s">
        <v>204</v>
      </c>
      <c r="L4927" s="399">
        <f t="shared" ref="L4927" si="15908">2*$F$16*F4927/1000</f>
        <v>0.192</v>
      </c>
      <c r="M4927" s="399" t="s">
        <v>176</v>
      </c>
      <c r="N4927" s="399">
        <f t="shared" ref="N4927" si="15909">J4927+L4927</f>
        <v>2.3920000000000003</v>
      </c>
      <c r="O4927" s="399" t="s">
        <v>204</v>
      </c>
      <c r="P4927" s="389">
        <f t="shared" ref="P4927" si="15910">IF(N4927&gt;12,ROUNDDOWN(N4927/12,0),0)</f>
        <v>0</v>
      </c>
      <c r="Q4927" s="399" t="s">
        <v>125</v>
      </c>
      <c r="R4927" s="399">
        <f t="shared" ref="R4927" si="15911">IF(P4927&gt;0,MAX(VLOOKUP(F4927,$D$6:$G$15,3,FALSE),600),0)/1000</f>
        <v>0</v>
      </c>
      <c r="S4927" s="399"/>
      <c r="T4927" s="399" t="s">
        <v>125</v>
      </c>
      <c r="U4927" s="401">
        <f t="shared" ref="U4927" si="15912">0.006165*F4927^2</f>
        <v>0.39456000000000002</v>
      </c>
      <c r="V4927" s="399" t="s">
        <v>125</v>
      </c>
      <c r="W4927" s="399">
        <f t="shared" ref="W4927" si="15913">+D4927</f>
        <v>0</v>
      </c>
      <c r="X4927" s="399" t="s">
        <v>125</v>
      </c>
      <c r="Y4927" s="389">
        <f t="shared" ref="Y4927" si="15914">D4921</f>
        <v>1</v>
      </c>
      <c r="Z4927" s="400" t="s">
        <v>176</v>
      </c>
      <c r="AA4927" s="402">
        <f t="shared" ref="AA4927" si="15915">(N4927+P4927*R4927/1000)*U4927*W4927*Y4927</f>
        <v>0</v>
      </c>
      <c r="AB4927" s="403"/>
    </row>
    <row r="4928" spans="1:28">
      <c r="A4928" s="384"/>
      <c r="B4928" s="385"/>
      <c r="C4928" s="393"/>
      <c r="D4928" s="398"/>
      <c r="E4928" s="388"/>
      <c r="F4928" s="388"/>
      <c r="G4928" s="388"/>
      <c r="H4928" s="395"/>
      <c r="I4928" s="388"/>
      <c r="J4928" s="399"/>
      <c r="K4928" s="400"/>
      <c r="L4928" s="399"/>
      <c r="M4928" s="399"/>
      <c r="N4928" s="399"/>
      <c r="O4928" s="399"/>
      <c r="P4928" s="389"/>
      <c r="Q4928" s="399"/>
      <c r="R4928" s="399"/>
      <c r="S4928" s="399"/>
      <c r="T4928" s="399"/>
      <c r="U4928" s="401"/>
      <c r="V4928" s="399"/>
      <c r="W4928" s="399"/>
      <c r="X4928" s="399"/>
      <c r="Y4928" s="389"/>
      <c r="Z4928" s="400"/>
      <c r="AA4928" s="402"/>
      <c r="AB4928" s="403"/>
    </row>
    <row r="4929" spans="1:28">
      <c r="A4929" s="384"/>
      <c r="B4929" s="385"/>
      <c r="C4929" s="393"/>
      <c r="D4929" s="398"/>
      <c r="E4929" s="388"/>
      <c r="F4929" s="388"/>
      <c r="G4929" s="388"/>
      <c r="H4929" s="395"/>
      <c r="I4929" s="388"/>
      <c r="J4929" s="396"/>
      <c r="K4929" s="396"/>
      <c r="L4929" s="396"/>
      <c r="M4929" s="396"/>
      <c r="N4929" s="396"/>
      <c r="O4929" s="396"/>
      <c r="P4929" s="389"/>
      <c r="Q4929" s="396"/>
      <c r="R4929" s="396"/>
      <c r="S4929" s="396"/>
      <c r="T4929" s="396"/>
      <c r="U4929" s="401"/>
      <c r="V4929" s="396"/>
      <c r="W4929" s="399"/>
      <c r="X4929" s="396"/>
      <c r="Y4929" s="389"/>
      <c r="Z4929" s="396"/>
      <c r="AA4929" s="388"/>
      <c r="AB4929" s="390"/>
    </row>
    <row r="4930" spans="1:28">
      <c r="A4930" s="384" t="str">
        <f t="shared" ref="A4930:B4930" si="15916">A4915</f>
        <v>Lantai 3</v>
      </c>
      <c r="B4930" s="385">
        <f t="shared" si="15916"/>
        <v>22</v>
      </c>
      <c r="C4930" s="393" t="s">
        <v>209</v>
      </c>
      <c r="D4930" s="398">
        <f>VLOOKUP(D4915,'Detail Balok'!$C$10:$AU$140,22,FALSE)</f>
        <v>3</v>
      </c>
      <c r="E4930" s="388" t="s">
        <v>16</v>
      </c>
      <c r="F4930" s="388">
        <f>VLOOKUP(D4915,'Detail Balok'!$C$10:$AU$140,24,FALSE)</f>
        <v>13</v>
      </c>
      <c r="G4930" s="388"/>
      <c r="H4930" s="395"/>
      <c r="I4930" s="388" t="s">
        <v>203</v>
      </c>
      <c r="J4930" s="399">
        <f t="shared" ref="J4930:J4932" si="15917">+J4922</f>
        <v>0.55000000000000004</v>
      </c>
      <c r="K4930" s="400" t="s">
        <v>204</v>
      </c>
      <c r="L4930" s="399">
        <f t="shared" ref="L4930" si="15918">MAX(VLOOKUP(F4930,N$6:P$15,3,FALSE)/1000,2/3*D4920/1000)+F$16*F4930/1000</f>
        <v>0.156</v>
      </c>
      <c r="M4930" s="399" t="s">
        <v>176</v>
      </c>
      <c r="N4930" s="399">
        <f t="shared" ref="N4930:N4932" si="15919">J4930+L4930</f>
        <v>0.70600000000000007</v>
      </c>
      <c r="O4930" s="399" t="s">
        <v>204</v>
      </c>
      <c r="P4930" s="389">
        <f t="shared" ref="P4930" si="15920">D4930-D4931</f>
        <v>0</v>
      </c>
      <c r="Q4930" s="399" t="s">
        <v>125</v>
      </c>
      <c r="R4930" s="399">
        <f t="shared" ref="R4930" si="15921">IF(P4930&gt;0,$F$18*F4930/1000,0)</f>
        <v>0</v>
      </c>
      <c r="S4930" s="399" t="s">
        <v>205</v>
      </c>
      <c r="T4930" s="399" t="s">
        <v>125</v>
      </c>
      <c r="U4930" s="401">
        <f t="shared" ref="U4930:U4932" si="15922">0.006165*F4930^2</f>
        <v>1.041885</v>
      </c>
      <c r="V4930" s="399"/>
      <c r="W4930" s="399"/>
      <c r="X4930" s="399" t="s">
        <v>125</v>
      </c>
      <c r="Y4930" s="389">
        <f t="shared" ref="Y4930" si="15923">D4921</f>
        <v>1</v>
      </c>
      <c r="Z4930" s="400" t="s">
        <v>176</v>
      </c>
      <c r="AA4930" s="402">
        <f t="shared" ref="AA4930" si="15924">IF(AA4933=0,(D4930*N4930+P4930*R4930)*U4930*Y4930,0)</f>
        <v>0</v>
      </c>
      <c r="AB4930" s="403"/>
    </row>
    <row r="4931" spans="1:28">
      <c r="A4931" s="384" t="str">
        <f t="shared" ref="A4931:B4931" si="15925">A4915</f>
        <v>Lantai 3</v>
      </c>
      <c r="B4931" s="385">
        <f t="shared" si="15925"/>
        <v>22</v>
      </c>
      <c r="C4931" s="393" t="s">
        <v>210</v>
      </c>
      <c r="D4931" s="398">
        <f>VLOOKUP(D4915,'Detail Balok'!$C$10:$AU$140,25,FALSE)</f>
        <v>3</v>
      </c>
      <c r="E4931" s="388" t="s">
        <v>16</v>
      </c>
      <c r="F4931" s="388">
        <f>VLOOKUP(D4915,'Detail Balok'!$C$10:$AU$140,27,FALSE)</f>
        <v>13</v>
      </c>
      <c r="G4931" s="388"/>
      <c r="H4931" s="395"/>
      <c r="I4931" s="388" t="s">
        <v>203</v>
      </c>
      <c r="J4931" s="399">
        <f t="shared" si="15917"/>
        <v>1.1000000000000001</v>
      </c>
      <c r="K4931" s="400" t="s">
        <v>204</v>
      </c>
      <c r="L4931" s="399"/>
      <c r="M4931" s="399" t="s">
        <v>176</v>
      </c>
      <c r="N4931" s="399">
        <f t="shared" si="15919"/>
        <v>1.1000000000000001</v>
      </c>
      <c r="O4931" s="399" t="s">
        <v>204</v>
      </c>
      <c r="P4931" s="389">
        <f t="shared" ref="P4931" si="15926">MAX(D4931-D4930,D4931-D4932)</f>
        <v>0</v>
      </c>
      <c r="Q4931" s="399" t="s">
        <v>125</v>
      </c>
      <c r="R4931" s="399">
        <f t="shared" ref="R4931" si="15927">IF(P4931&gt;0,2*(1-2*$F$19-1/2)*D4918/1000,0)</f>
        <v>0</v>
      </c>
      <c r="S4931" s="399" t="s">
        <v>205</v>
      </c>
      <c r="T4931" s="399" t="s">
        <v>125</v>
      </c>
      <c r="U4931" s="401">
        <f t="shared" si="15922"/>
        <v>1.041885</v>
      </c>
      <c r="V4931" s="399"/>
      <c r="W4931" s="399"/>
      <c r="X4931" s="399" t="s">
        <v>125</v>
      </c>
      <c r="Y4931" s="389">
        <f t="shared" ref="Y4931" si="15928">D4921</f>
        <v>1</v>
      </c>
      <c r="Z4931" s="400" t="s">
        <v>176</v>
      </c>
      <c r="AA4931" s="402">
        <f t="shared" ref="AA4931" si="15929">IF(AA4933=0,(D4931*N4931+P4931*R4931)*U4931*Y4931,0)</f>
        <v>0</v>
      </c>
      <c r="AB4931" s="403"/>
    </row>
    <row r="4932" spans="1:28">
      <c r="A4932" s="384" t="str">
        <f t="shared" ref="A4932:B4932" si="15930">A4915</f>
        <v>Lantai 3</v>
      </c>
      <c r="B4932" s="385">
        <f t="shared" si="15930"/>
        <v>22</v>
      </c>
      <c r="C4932" s="393" t="s">
        <v>209</v>
      </c>
      <c r="D4932" s="398">
        <f>VLOOKUP(D4915,'Detail Balok'!$C$10:$AU$140,28,FALSE)</f>
        <v>3</v>
      </c>
      <c r="E4932" s="388" t="s">
        <v>16</v>
      </c>
      <c r="F4932" s="388">
        <f>VLOOKUP(D4915,'Detail Balok'!$C$10:$AU$140,30,FALSE)</f>
        <v>13</v>
      </c>
      <c r="G4932" s="388"/>
      <c r="H4932" s="395"/>
      <c r="I4932" s="388" t="s">
        <v>203</v>
      </c>
      <c r="J4932" s="399">
        <f t="shared" si="15917"/>
        <v>0.55000000000000004</v>
      </c>
      <c r="K4932" s="400" t="s">
        <v>204</v>
      </c>
      <c r="L4932" s="399">
        <f t="shared" ref="L4932" si="15931">MAX(VLOOKUP(F4932,N$6:P$15,3,FALSE)/1000,2/3*D4920/1000)+F$16*F4932/1000</f>
        <v>0.156</v>
      </c>
      <c r="M4932" s="399" t="s">
        <v>176</v>
      </c>
      <c r="N4932" s="399">
        <f t="shared" si="15919"/>
        <v>0.70600000000000007</v>
      </c>
      <c r="O4932" s="399" t="s">
        <v>204</v>
      </c>
      <c r="P4932" s="389">
        <f t="shared" ref="P4932" si="15932">D4932-D4931</f>
        <v>0</v>
      </c>
      <c r="Q4932" s="399" t="s">
        <v>125</v>
      </c>
      <c r="R4932" s="399">
        <f t="shared" ref="R4932" si="15933">IF(P4932&gt;0,$F$18*F4932/1000,0)</f>
        <v>0</v>
      </c>
      <c r="S4932" s="399" t="s">
        <v>205</v>
      </c>
      <c r="T4932" s="399" t="s">
        <v>125</v>
      </c>
      <c r="U4932" s="401">
        <f t="shared" si="15922"/>
        <v>1.041885</v>
      </c>
      <c r="V4932" s="399"/>
      <c r="W4932" s="399"/>
      <c r="X4932" s="399" t="s">
        <v>125</v>
      </c>
      <c r="Y4932" s="389">
        <f t="shared" ref="Y4932" si="15934">D4921</f>
        <v>1</v>
      </c>
      <c r="Z4932" s="400" t="s">
        <v>176</v>
      </c>
      <c r="AA4932" s="402">
        <f t="shared" ref="AA4932" si="15935">IF(AA4933=0,(D4932*N4932+P4932*R4932)*U4932*Y4932,0)</f>
        <v>0</v>
      </c>
      <c r="AB4932" s="403"/>
    </row>
    <row r="4933" spans="1:28">
      <c r="A4933" s="384" t="str">
        <f t="shared" ref="A4933:B4933" si="15936">A4915</f>
        <v>Lantai 3</v>
      </c>
      <c r="B4933" s="385">
        <f t="shared" si="15936"/>
        <v>22</v>
      </c>
      <c r="C4933" s="393"/>
      <c r="D4933" s="398">
        <f t="shared" ref="D4933" si="15937">IF(AND(D4930=D4931,D4931=D4932,D4930=D4932),D4930,0)</f>
        <v>3</v>
      </c>
      <c r="E4933" s="388" t="s">
        <v>16</v>
      </c>
      <c r="F4933" s="388">
        <f t="shared" ref="F4933" si="15938">IF(AND(F4930=F4931,F4930=F4932,F4931=F4932),F4930,0)</f>
        <v>13</v>
      </c>
      <c r="G4933" s="388"/>
      <c r="H4933" s="395"/>
      <c r="I4933" s="388"/>
      <c r="J4933" s="396"/>
      <c r="K4933" s="396"/>
      <c r="L4933" s="404" t="s">
        <v>207</v>
      </c>
      <c r="M4933" s="399" t="s">
        <v>176</v>
      </c>
      <c r="N4933" s="399">
        <f t="shared" ref="N4933" si="15939">IF(AND(D4930=D4931,D4930=D4932,D4931=D4932,F4930=F4931,F4930=F4932,F4931=F4932),SUM(N4930:N4932),0)</f>
        <v>2.512</v>
      </c>
      <c r="O4933" s="399" t="s">
        <v>204</v>
      </c>
      <c r="P4933" s="389">
        <f t="shared" ref="P4933" si="15940">IF(N4933&gt;12,ROUNDDOWN(N4933/12,0),0)</f>
        <v>0</v>
      </c>
      <c r="Q4933" s="399" t="s">
        <v>125</v>
      </c>
      <c r="R4933" s="399">
        <f t="shared" ref="R4933" si="15941">IF(P4933&gt;0,MAX(VLOOKUP(F4933,$D$6:$G$15,3,FALSE),600),0)/1000</f>
        <v>0</v>
      </c>
      <c r="S4933" s="396"/>
      <c r="T4933" s="396" t="s">
        <v>125</v>
      </c>
      <c r="U4933" s="401">
        <f t="shared" ref="U4933" si="15942">U4932</f>
        <v>1.041885</v>
      </c>
      <c r="V4933" s="396" t="s">
        <v>125</v>
      </c>
      <c r="W4933" s="399">
        <f t="shared" ref="W4933" si="15943">D4933</f>
        <v>3</v>
      </c>
      <c r="X4933" s="399" t="s">
        <v>125</v>
      </c>
      <c r="Y4933" s="389">
        <f t="shared" ref="Y4933" si="15944">Y4932</f>
        <v>1</v>
      </c>
      <c r="Z4933" s="400" t="s">
        <v>176</v>
      </c>
      <c r="AA4933" s="402">
        <f t="shared" ref="AA4933" si="15945">(N4933+P4933*R4933/1000)*U4933*W4933*Y4933</f>
        <v>7.85164536</v>
      </c>
      <c r="AB4933" s="403"/>
    </row>
    <row r="4934" spans="1:28">
      <c r="A4934" s="384"/>
      <c r="B4934" s="385"/>
      <c r="C4934" s="393"/>
      <c r="D4934" s="394"/>
      <c r="E4934" s="388"/>
      <c r="F4934" s="388"/>
      <c r="G4934" s="388"/>
      <c r="H4934" s="395"/>
      <c r="I4934" s="388"/>
      <c r="J4934" s="399"/>
      <c r="K4934" s="396"/>
      <c r="L4934" s="396"/>
      <c r="M4934" s="396"/>
      <c r="N4934" s="396"/>
      <c r="O4934" s="396"/>
      <c r="P4934" s="389"/>
      <c r="Q4934" s="396"/>
      <c r="R4934" s="396"/>
      <c r="S4934" s="396"/>
      <c r="T4934" s="396"/>
      <c r="U4934" s="401"/>
      <c r="V4934" s="396"/>
      <c r="W4934" s="388"/>
      <c r="X4934" s="396"/>
      <c r="Y4934" s="389"/>
      <c r="Z4934" s="396"/>
      <c r="AA4934" s="388"/>
      <c r="AB4934" s="390"/>
    </row>
    <row r="4935" spans="1:28">
      <c r="A4935" s="384" t="str">
        <f t="shared" ref="A4935:B4935" si="15946">A4915</f>
        <v>Lantai 3</v>
      </c>
      <c r="B4935" s="385">
        <f t="shared" si="15946"/>
        <v>22</v>
      </c>
      <c r="C4935" s="393" t="s">
        <v>211</v>
      </c>
      <c r="D4935" s="398">
        <f>VLOOKUP(D4915,'Detail Balok'!$C$10:$AU$140,31,FALSE)</f>
        <v>0</v>
      </c>
      <c r="E4935" s="388" t="s">
        <v>16</v>
      </c>
      <c r="F4935" s="388">
        <f>VLOOKUP(D4915,'Detail Balok'!$C$10:$AU$140,33,FALSE)</f>
        <v>10</v>
      </c>
      <c r="G4935" s="405" t="s">
        <v>157</v>
      </c>
      <c r="H4935" s="395">
        <f>VLOOKUP(D4915,'Detail Balok'!$C$10:$AU$140,35,FALSE)</f>
        <v>100</v>
      </c>
      <c r="I4935" s="388"/>
      <c r="J4935" s="400">
        <f t="shared" ref="J4935" si="15947">(IF(D4935=0,(2*(D4916+G4916))-(F$5*8),IF(D4935=3,(2*(D4916+G4916))-(F$5*8)+(G4916-2*F$5),IF(D4935=4,(2*(D4916+G4916))-(F$5*8)+2*(G4916-2*F$5)))))/1000</f>
        <v>0.88</v>
      </c>
      <c r="K4935" s="400" t="s">
        <v>204</v>
      </c>
      <c r="L4935" s="399">
        <f t="shared" ref="L4935:L4937" si="15948">IF(D4935=0,2*MAX(6*F4935,75),(D4935-1)*2*MAX(6*F4935,75))/1000</f>
        <v>0.15</v>
      </c>
      <c r="M4935" s="399" t="s">
        <v>176</v>
      </c>
      <c r="N4935" s="399">
        <f t="shared" ref="N4935:N4937" si="15949">J4935+L4935</f>
        <v>1.03</v>
      </c>
      <c r="O4935" s="399"/>
      <c r="P4935" s="389"/>
      <c r="Q4935" s="399"/>
      <c r="R4935" s="399"/>
      <c r="S4935" s="399"/>
      <c r="T4935" s="399" t="s">
        <v>125</v>
      </c>
      <c r="U4935" s="401">
        <f t="shared" ref="U4935:U4937" si="15950">0.006165*F4935^2</f>
        <v>0.61650000000000005</v>
      </c>
      <c r="V4935" s="399" t="s">
        <v>125</v>
      </c>
      <c r="W4935" s="399">
        <f t="shared" ref="W4935" si="15951">IF(D4918&gt;4*G4916,ROUND(MAX(D4918/4,2*G4916)/H4935,0)+1,ROUND(D4918/H4935,0)+1)</f>
        <v>9</v>
      </c>
      <c r="X4935" s="399" t="s">
        <v>125</v>
      </c>
      <c r="Y4935" s="389">
        <f t="shared" ref="Y4935" si="15952">D4921</f>
        <v>1</v>
      </c>
      <c r="Z4935" s="400" t="s">
        <v>176</v>
      </c>
      <c r="AA4935" s="402">
        <f t="shared" ref="AA4935:AA4937" si="15953">N4935*U4935*W4935*Y4935</f>
        <v>5.7149550000000007</v>
      </c>
      <c r="AB4935" s="403"/>
    </row>
    <row r="4936" spans="1:28">
      <c r="A4936" s="384" t="str">
        <f t="shared" ref="A4936:B4936" si="15954">A4915</f>
        <v>Lantai 3</v>
      </c>
      <c r="B4936" s="385">
        <f t="shared" si="15954"/>
        <v>22</v>
      </c>
      <c r="C4936" s="393" t="s">
        <v>212</v>
      </c>
      <c r="D4936" s="398">
        <f>VLOOKUP(D4915,'Detail Balok'!$C$10:$AU$140,36,FALSE)</f>
        <v>0</v>
      </c>
      <c r="E4936" s="388" t="s">
        <v>16</v>
      </c>
      <c r="F4936" s="388">
        <f>VLOOKUP(D4915,'Detail Balok'!$C$10:$AU$140,38,FALSE)</f>
        <v>10</v>
      </c>
      <c r="G4936" s="405" t="s">
        <v>157</v>
      </c>
      <c r="H4936" s="395">
        <f>VLOOKUP(D4915,'Detail Balok'!$C$10:$AU$140,40,FALSE)</f>
        <v>200</v>
      </c>
      <c r="I4936" s="388"/>
      <c r="J4936" s="400">
        <f t="shared" ref="J4936" si="15955">(IF(D4936=0,(2*(D4916+G4916))-(F$5*8),IF(D4936=3,(2*(D4916+G4916))-(F$5*8)+(G4916-2*F$5),IF(D4936=4,(2*(D4916+G4916))-(F$5*8)+2*(G4916-2*F$5)))))/1000</f>
        <v>0.88</v>
      </c>
      <c r="K4936" s="400" t="s">
        <v>204</v>
      </c>
      <c r="L4936" s="399">
        <f t="shared" si="15948"/>
        <v>0.15</v>
      </c>
      <c r="M4936" s="399" t="s">
        <v>176</v>
      </c>
      <c r="N4936" s="399">
        <f t="shared" si="15949"/>
        <v>1.03</v>
      </c>
      <c r="O4936" s="399"/>
      <c r="P4936" s="389"/>
      <c r="Q4936" s="399"/>
      <c r="R4936" s="399"/>
      <c r="S4936" s="399"/>
      <c r="T4936" s="399" t="s">
        <v>125</v>
      </c>
      <c r="U4936" s="401">
        <f t="shared" si="15950"/>
        <v>0.61650000000000005</v>
      </c>
      <c r="V4936" s="399" t="s">
        <v>125</v>
      </c>
      <c r="W4936" s="399">
        <f t="shared" ref="W4936" si="15956">IF(D4918-MAX(D4918/4,2*G4916)*2&gt;0,ROUND((D4918-MAX(D4918/4,2*G4916)*2)/H4936,0),0)</f>
        <v>3</v>
      </c>
      <c r="X4936" s="399" t="s">
        <v>125</v>
      </c>
      <c r="Y4936" s="389">
        <f t="shared" ref="Y4936" si="15957">D4921</f>
        <v>1</v>
      </c>
      <c r="Z4936" s="400" t="s">
        <v>176</v>
      </c>
      <c r="AA4936" s="402">
        <f t="shared" si="15953"/>
        <v>1.9049850000000004</v>
      </c>
      <c r="AB4936" s="403"/>
    </row>
    <row r="4937" spans="1:28">
      <c r="A4937" s="384" t="str">
        <f t="shared" ref="A4937:B4937" si="15958">A4915</f>
        <v>Lantai 3</v>
      </c>
      <c r="B4937" s="385">
        <f t="shared" si="15958"/>
        <v>22</v>
      </c>
      <c r="C4937" s="393" t="s">
        <v>211</v>
      </c>
      <c r="D4937" s="398">
        <f>VLOOKUP(D4915,'Detail Balok'!$C$10:$AU$140,41,FALSE)</f>
        <v>0</v>
      </c>
      <c r="E4937" s="388" t="s">
        <v>16</v>
      </c>
      <c r="F4937" s="388">
        <f>VLOOKUP(D4915,'Detail Balok'!$C$10:$AU$140,43,FALSE)</f>
        <v>10</v>
      </c>
      <c r="G4937" s="405" t="s">
        <v>157</v>
      </c>
      <c r="H4937" s="395">
        <f>VLOOKUP(D4915,'Detail Balok'!$C$10:$AU$140,45,FALSE)</f>
        <v>100</v>
      </c>
      <c r="I4937" s="388"/>
      <c r="J4937" s="400">
        <f t="shared" ref="J4937" si="15959">(IF(D4937=0,(2*(D4916+G4916))-(F$5*8),IF(D4937=3,(2*(D4916+G4916))-(F$5*8)+(G4916-2*F$5),IF(D4937=4,(2*(D4916+G4916))-(F$5*8)+2*(G4916-2*F$5)))))/1000</f>
        <v>0.88</v>
      </c>
      <c r="K4937" s="400" t="s">
        <v>204</v>
      </c>
      <c r="L4937" s="399">
        <f t="shared" si="15948"/>
        <v>0.15</v>
      </c>
      <c r="M4937" s="399" t="s">
        <v>176</v>
      </c>
      <c r="N4937" s="399">
        <f t="shared" si="15949"/>
        <v>1.03</v>
      </c>
      <c r="O4937" s="399"/>
      <c r="P4937" s="389"/>
      <c r="Q4937" s="399"/>
      <c r="R4937" s="399"/>
      <c r="S4937" s="399"/>
      <c r="T4937" s="399" t="s">
        <v>125</v>
      </c>
      <c r="U4937" s="401">
        <f t="shared" si="15950"/>
        <v>0.61650000000000005</v>
      </c>
      <c r="V4937" s="399" t="s">
        <v>125</v>
      </c>
      <c r="W4937" s="399">
        <f t="shared" ref="W4937" si="15960">IF(D4918&gt;4*G4916,ROUND(MAX(D4918/4,2*G4916)/H4937,0)+1,0)</f>
        <v>9</v>
      </c>
      <c r="X4937" s="399" t="s">
        <v>125</v>
      </c>
      <c r="Y4937" s="389">
        <f t="shared" ref="Y4937" si="15961">D4921</f>
        <v>1</v>
      </c>
      <c r="Z4937" s="400" t="s">
        <v>176</v>
      </c>
      <c r="AA4937" s="402">
        <f t="shared" si="15953"/>
        <v>5.7149550000000007</v>
      </c>
      <c r="AB4937" s="403"/>
    </row>
    <row r="4938" spans="1:28">
      <c r="A4938" s="384"/>
      <c r="B4938" s="385"/>
      <c r="C4938" s="393"/>
      <c r="D4938" s="394"/>
      <c r="E4938" s="388"/>
      <c r="F4938" s="388"/>
      <c r="G4938" s="388"/>
      <c r="H4938" s="395"/>
      <c r="I4938" s="388"/>
      <c r="J4938" s="399"/>
      <c r="K4938" s="396"/>
      <c r="L4938" s="396"/>
      <c r="M4938" s="396"/>
      <c r="N4938" s="396"/>
      <c r="O4938" s="396"/>
      <c r="P4938" s="389"/>
      <c r="Q4938" s="396"/>
      <c r="R4938" s="396"/>
      <c r="S4938" s="396"/>
      <c r="T4938" s="396"/>
      <c r="U4938" s="401"/>
      <c r="V4938" s="396"/>
      <c r="W4938" s="388"/>
      <c r="X4938" s="396"/>
      <c r="Y4938" s="389"/>
      <c r="Z4938" s="396"/>
      <c r="AA4938" s="388"/>
      <c r="AB4938" s="390"/>
    </row>
    <row r="4939" spans="1:28">
      <c r="A4939" s="384" t="str">
        <f t="shared" ref="A4939:B4939" si="15962">A4915</f>
        <v>Lantai 3</v>
      </c>
      <c r="B4939" s="385">
        <f t="shared" si="15962"/>
        <v>22</v>
      </c>
      <c r="C4939" s="393" t="s">
        <v>213</v>
      </c>
      <c r="D4939" s="398">
        <f>VLOOKUP(D4915,'Detail Balok'!$C$10:$BJ$140,46,FALSE)</f>
        <v>0</v>
      </c>
      <c r="E4939" s="388" t="s">
        <v>16</v>
      </c>
      <c r="F4939" s="388">
        <f>VLOOKUP(D4915,'Detail Balok'!$C$10:$BJ$140,48,FALSE)</f>
        <v>0</v>
      </c>
      <c r="G4939" s="405" t="s">
        <v>157</v>
      </c>
      <c r="H4939" s="395">
        <f>VLOOKUP(D4915,'Detail Balok'!$C$10:$BJ$140,50,FALSE)</f>
        <v>100</v>
      </c>
      <c r="I4939" s="388"/>
      <c r="J4939" s="399">
        <f t="shared" ref="J4939" si="15963">(D4916-2*F$5)/1000</f>
        <v>0.12</v>
      </c>
      <c r="K4939" s="400" t="s">
        <v>204</v>
      </c>
      <c r="L4939" s="399">
        <f t="shared" ref="L4939:L4941" si="15964">IF(D4939=0,2*MAX(6*F4939,75),(D4939-1)*2*MAX(6*F4939,75))/1000</f>
        <v>0.15</v>
      </c>
      <c r="M4939" s="399" t="s">
        <v>176</v>
      </c>
      <c r="N4939" s="399">
        <f t="shared" ref="N4939:N4941" si="15965">J4939+L4939</f>
        <v>0.27</v>
      </c>
      <c r="O4939" s="399"/>
      <c r="P4939" s="399"/>
      <c r="Q4939" s="399"/>
      <c r="R4939" s="399"/>
      <c r="S4939" s="399"/>
      <c r="T4939" s="399" t="s">
        <v>125</v>
      </c>
      <c r="U4939" s="401">
        <f t="shared" ref="U4939:U4941" si="15966">0.006165*F4939^2</f>
        <v>0</v>
      </c>
      <c r="V4939" s="399" t="s">
        <v>125</v>
      </c>
      <c r="W4939" s="399">
        <f t="shared" ref="W4939:W4941" si="15967">W4935</f>
        <v>9</v>
      </c>
      <c r="X4939" s="399" t="s">
        <v>125</v>
      </c>
      <c r="Y4939" s="389">
        <f t="shared" ref="Y4939" si="15968">D4925</f>
        <v>3</v>
      </c>
      <c r="Z4939" s="400" t="s">
        <v>176</v>
      </c>
      <c r="AA4939" s="402">
        <f t="shared" ref="AA4939:AA4941" si="15969">N4939*U4939*W4939*Y4939</f>
        <v>0</v>
      </c>
      <c r="AB4939" s="403"/>
    </row>
    <row r="4940" spans="1:28">
      <c r="A4940" s="384" t="str">
        <f t="shared" ref="A4940:B4940" si="15970">A4915</f>
        <v>Lantai 3</v>
      </c>
      <c r="B4940" s="385">
        <f t="shared" si="15970"/>
        <v>22</v>
      </c>
      <c r="C4940" s="393" t="s">
        <v>214</v>
      </c>
      <c r="D4940" s="398">
        <f>VLOOKUP(D4915,'Detail Balok'!$C$10:$BJ$140,51,FALSE)</f>
        <v>0</v>
      </c>
      <c r="E4940" s="388" t="s">
        <v>16</v>
      </c>
      <c r="F4940" s="388">
        <f>VLOOKUP(D4915,'Detail Balok'!$C$10:$BJ$140,53,FALSE)</f>
        <v>0</v>
      </c>
      <c r="G4940" s="405" t="s">
        <v>157</v>
      </c>
      <c r="H4940" s="395">
        <f>VLOOKUP(D4915,'Detail Balok'!$C$10:$BJ$140,55,FALSE)</f>
        <v>100</v>
      </c>
      <c r="I4940" s="388"/>
      <c r="J4940" s="399">
        <f t="shared" ref="J4940" si="15971">(D4916-2*F$5)/1000</f>
        <v>0.12</v>
      </c>
      <c r="K4940" s="400" t="s">
        <v>204</v>
      </c>
      <c r="L4940" s="399">
        <f t="shared" si="15964"/>
        <v>0.15</v>
      </c>
      <c r="M4940" s="399" t="s">
        <v>176</v>
      </c>
      <c r="N4940" s="399">
        <f t="shared" si="15965"/>
        <v>0.27</v>
      </c>
      <c r="O4940" s="399"/>
      <c r="P4940" s="399"/>
      <c r="Q4940" s="399"/>
      <c r="R4940" s="399"/>
      <c r="S4940" s="399"/>
      <c r="T4940" s="399" t="s">
        <v>125</v>
      </c>
      <c r="U4940" s="401">
        <f t="shared" si="15966"/>
        <v>0</v>
      </c>
      <c r="V4940" s="399" t="s">
        <v>125</v>
      </c>
      <c r="W4940" s="399">
        <f t="shared" si="15967"/>
        <v>3</v>
      </c>
      <c r="X4940" s="399" t="s">
        <v>125</v>
      </c>
      <c r="Y4940" s="389">
        <f t="shared" ref="Y4940" si="15972">D4925</f>
        <v>3</v>
      </c>
      <c r="Z4940" s="400" t="s">
        <v>176</v>
      </c>
      <c r="AA4940" s="402">
        <f t="shared" si="15969"/>
        <v>0</v>
      </c>
      <c r="AB4940" s="403"/>
    </row>
    <row r="4941" spans="1:28">
      <c r="A4941" s="384" t="str">
        <f t="shared" ref="A4941:B4941" si="15973">A4915</f>
        <v>Lantai 3</v>
      </c>
      <c r="B4941" s="385">
        <f t="shared" si="15973"/>
        <v>22</v>
      </c>
      <c r="C4941" s="393" t="s">
        <v>213</v>
      </c>
      <c r="D4941" s="398">
        <f>VLOOKUP(D4915,'Detail Balok'!$C$10:$BJ$140,56,FALSE)</f>
        <v>0</v>
      </c>
      <c r="E4941" s="388" t="s">
        <v>16</v>
      </c>
      <c r="F4941" s="388">
        <f>VLOOKUP(D4915,'Detail Balok'!$C$10:$BJ$140,58,FALSE)</f>
        <v>0</v>
      </c>
      <c r="G4941" s="405" t="s">
        <v>157</v>
      </c>
      <c r="H4941" s="395">
        <f>VLOOKUP(D4915,'Detail Balok'!$C$10:$BJ$140,60,FALSE)</f>
        <v>100</v>
      </c>
      <c r="I4941" s="388"/>
      <c r="J4941" s="399">
        <f t="shared" ref="J4941" si="15974">(D4916-2*F$5)/1000</f>
        <v>0.12</v>
      </c>
      <c r="K4941" s="400" t="s">
        <v>204</v>
      </c>
      <c r="L4941" s="399">
        <f t="shared" si="15964"/>
        <v>0.15</v>
      </c>
      <c r="M4941" s="399" t="s">
        <v>176</v>
      </c>
      <c r="N4941" s="399">
        <f t="shared" si="15965"/>
        <v>0.27</v>
      </c>
      <c r="O4941" s="399"/>
      <c r="P4941" s="399"/>
      <c r="Q4941" s="399"/>
      <c r="R4941" s="399"/>
      <c r="S4941" s="399"/>
      <c r="T4941" s="399" t="s">
        <v>125</v>
      </c>
      <c r="U4941" s="401">
        <f t="shared" si="15966"/>
        <v>0</v>
      </c>
      <c r="V4941" s="399" t="s">
        <v>125</v>
      </c>
      <c r="W4941" s="399">
        <f t="shared" si="15967"/>
        <v>9</v>
      </c>
      <c r="X4941" s="399" t="s">
        <v>125</v>
      </c>
      <c r="Y4941" s="389">
        <f t="shared" ref="Y4941" si="15975">D4925</f>
        <v>3</v>
      </c>
      <c r="Z4941" s="400" t="s">
        <v>176</v>
      </c>
      <c r="AA4941" s="402">
        <f t="shared" si="15969"/>
        <v>0</v>
      </c>
      <c r="AB4941" s="403"/>
    </row>
    <row r="4942" spans="1:28">
      <c r="A4942" s="391"/>
      <c r="B4942" s="392"/>
      <c r="C4942" s="392"/>
      <c r="D4942" s="394"/>
      <c r="E4942" s="388"/>
      <c r="F4942" s="388"/>
      <c r="G4942" s="388"/>
      <c r="H4942" s="395"/>
      <c r="I4942" s="388"/>
      <c r="J4942" s="402"/>
      <c r="K4942" s="388"/>
      <c r="L4942" s="388"/>
      <c r="M4942" s="388"/>
      <c r="N4942" s="388"/>
      <c r="O4942" s="388"/>
      <c r="P4942" s="388"/>
      <c r="Q4942" s="388"/>
      <c r="R4942" s="388"/>
      <c r="S4942" s="388"/>
      <c r="T4942" s="388"/>
      <c r="U4942" s="388"/>
      <c r="V4942" s="388"/>
      <c r="W4942" s="388"/>
      <c r="X4942" s="388"/>
      <c r="Y4942" s="389"/>
      <c r="Z4942" s="388"/>
      <c r="AA4942" s="402"/>
      <c r="AB4942" s="403"/>
    </row>
    <row r="4943" spans="1:28" ht="15.75" thickBot="1">
      <c r="A4943" s="406"/>
      <c r="B4943" s="407"/>
      <c r="C4943" s="407"/>
      <c r="D4943" s="408"/>
      <c r="E4943" s="409"/>
      <c r="F4943" s="409"/>
      <c r="G4943" s="409"/>
      <c r="H4943" s="410"/>
      <c r="I4943" s="409"/>
      <c r="J4943" s="409"/>
      <c r="K4943" s="409"/>
      <c r="L4943" s="409"/>
      <c r="M4943" s="409"/>
      <c r="N4943" s="409"/>
      <c r="O4943" s="409"/>
      <c r="P4943" s="409"/>
      <c r="Q4943" s="409"/>
      <c r="R4943" s="409"/>
      <c r="S4943" s="409"/>
      <c r="T4943" s="409"/>
      <c r="U4943" s="409"/>
      <c r="V4943" s="409"/>
      <c r="W4943" s="409"/>
      <c r="X4943" s="409"/>
      <c r="Y4943" s="411"/>
      <c r="Z4943" s="409"/>
      <c r="AA4943" s="412"/>
      <c r="AB4943" s="413"/>
    </row>
    <row r="4944" spans="1:28">
      <c r="A4944" s="377"/>
      <c r="B4944" s="378"/>
      <c r="C4944" s="378"/>
      <c r="D4944" s="379"/>
      <c r="E4944" s="380"/>
      <c r="F4944" s="380"/>
      <c r="G4944" s="380"/>
      <c r="H4944" s="381"/>
      <c r="I4944" s="380"/>
      <c r="J4944" s="380"/>
      <c r="K4944" s="380"/>
      <c r="L4944" s="380"/>
      <c r="M4944" s="380"/>
      <c r="N4944" s="380"/>
      <c r="O4944" s="380"/>
      <c r="P4944" s="380"/>
      <c r="Q4944" s="380"/>
      <c r="R4944" s="380"/>
      <c r="S4944" s="380"/>
      <c r="T4944" s="380"/>
      <c r="U4944" s="380"/>
      <c r="V4944" s="380"/>
      <c r="W4944" s="380"/>
      <c r="X4944" s="380"/>
      <c r="Y4944" s="382"/>
      <c r="Z4944" s="380"/>
      <c r="AA4944" s="380"/>
      <c r="AB4944" s="383"/>
    </row>
    <row r="4945" spans="1:28">
      <c r="A4945" s="384" t="str">
        <f t="shared" si="15871"/>
        <v>Lantai 3</v>
      </c>
      <c r="B4945" s="385">
        <f t="shared" si="15872"/>
        <v>23</v>
      </c>
      <c r="C4945" s="386" t="str">
        <f t="shared" ref="C4945" si="15976">CONCATENATE(A4945," no. ",B4945)</f>
        <v>Lantai 3 no. 23</v>
      </c>
      <c r="D4945" s="2562" t="str">
        <f>VLOOKUP(C4945,'Data Panjang Balok'!$C$9:$N$254,2,FALSE)</f>
        <v>CL24-1</v>
      </c>
      <c r="E4945" s="2576"/>
      <c r="F4945" s="2576"/>
      <c r="G4945" s="2576"/>
      <c r="H4945" s="2577"/>
      <c r="I4945" s="387"/>
      <c r="J4945" s="388"/>
      <c r="K4945" s="388"/>
      <c r="L4945" s="388"/>
      <c r="M4945" s="388"/>
      <c r="N4945" s="388"/>
      <c r="O4945" s="388"/>
      <c r="P4945" s="388"/>
      <c r="Q4945" s="388"/>
      <c r="R4945" s="388"/>
      <c r="S4945" s="388"/>
      <c r="T4945" s="388"/>
      <c r="U4945" s="388"/>
      <c r="V4945" s="388"/>
      <c r="W4945" s="388"/>
      <c r="X4945" s="388"/>
      <c r="Y4945" s="389"/>
      <c r="Z4945" s="388"/>
      <c r="AA4945" s="388"/>
      <c r="AB4945" s="390"/>
    </row>
    <row r="4946" spans="1:28">
      <c r="A4946" s="391"/>
      <c r="B4946" s="392"/>
      <c r="C4946" s="393" t="s">
        <v>118</v>
      </c>
      <c r="D4946" s="2578">
        <f>VLOOKUP(D4945,'Detail Balok'!$C$10:$AU$140,2,FALSE)</f>
        <v>200</v>
      </c>
      <c r="E4946" s="2579"/>
      <c r="F4946" s="388" t="s">
        <v>125</v>
      </c>
      <c r="G4946" s="2579">
        <f>VLOOKUP(D4945,'Detail Balok'!$C$10:$AU$140,3,FALSE)</f>
        <v>400</v>
      </c>
      <c r="H4946" s="2580"/>
      <c r="I4946" s="388"/>
      <c r="J4946" s="396"/>
      <c r="K4946" s="396"/>
      <c r="L4946" s="396"/>
      <c r="M4946" s="396"/>
      <c r="N4946" s="396"/>
      <c r="O4946" s="396"/>
      <c r="P4946" s="396"/>
      <c r="Q4946" s="396"/>
      <c r="R4946" s="396"/>
      <c r="S4946" s="396"/>
      <c r="T4946" s="396"/>
      <c r="U4946" s="388"/>
      <c r="V4946" s="396"/>
      <c r="W4946" s="388"/>
      <c r="X4946" s="396"/>
      <c r="Y4946" s="389"/>
      <c r="Z4946" s="396"/>
      <c r="AA4946" s="388"/>
      <c r="AB4946" s="390"/>
    </row>
    <row r="4947" spans="1:28">
      <c r="A4947" s="391"/>
      <c r="B4947" s="392"/>
      <c r="C4947" s="393" t="s">
        <v>198</v>
      </c>
      <c r="D4947" s="2562">
        <f>VLOOKUP(C4945,'Data Panjang Balok'!$C$9:$N$254,4,FALSE)</f>
        <v>3425</v>
      </c>
      <c r="E4947" s="2563"/>
      <c r="F4947" s="2563"/>
      <c r="G4947" s="2563"/>
      <c r="H4947" s="2564"/>
      <c r="I4947" s="397"/>
      <c r="J4947" s="396"/>
      <c r="K4947" s="396"/>
      <c r="L4947" s="396"/>
      <c r="M4947" s="396"/>
      <c r="N4947" s="396"/>
      <c r="O4947" s="396"/>
      <c r="P4947" s="396"/>
      <c r="Q4947" s="396"/>
      <c r="R4947" s="396"/>
      <c r="S4947" s="396"/>
      <c r="T4947" s="396"/>
      <c r="U4947" s="388"/>
      <c r="V4947" s="396"/>
      <c r="W4947" s="388"/>
      <c r="X4947" s="396"/>
      <c r="Y4947" s="389"/>
      <c r="Z4947" s="396"/>
      <c r="AA4947" s="388"/>
      <c r="AB4947" s="390"/>
    </row>
    <row r="4948" spans="1:28">
      <c r="A4948" s="391"/>
      <c r="B4948" s="392"/>
      <c r="C4948" s="393" t="s">
        <v>199</v>
      </c>
      <c r="D4948" s="2562">
        <f>VLOOKUP(C4945,'Data Panjang Balok'!$C$9:$N$254,7,FALSE)</f>
        <v>3425</v>
      </c>
      <c r="E4948" s="2563"/>
      <c r="F4948" s="2563"/>
      <c r="G4948" s="2563"/>
      <c r="H4948" s="2564"/>
      <c r="I4948" s="397"/>
      <c r="J4948" s="396"/>
      <c r="K4948" s="396"/>
      <c r="L4948" s="396"/>
      <c r="M4948" s="396"/>
      <c r="N4948" s="396"/>
      <c r="O4948" s="396"/>
      <c r="P4948" s="396"/>
      <c r="Q4948" s="396"/>
      <c r="R4948" s="396"/>
      <c r="S4948" s="396"/>
      <c r="T4948" s="396"/>
      <c r="U4948" s="388"/>
      <c r="V4948" s="396"/>
      <c r="W4948" s="388"/>
      <c r="X4948" s="396"/>
      <c r="Y4948" s="389"/>
      <c r="Z4948" s="396"/>
      <c r="AA4948" s="388"/>
      <c r="AB4948" s="390"/>
    </row>
    <row r="4949" spans="1:28">
      <c r="A4949" s="391"/>
      <c r="B4949" s="392"/>
      <c r="C4949" s="393" t="s">
        <v>200</v>
      </c>
      <c r="D4949" s="2562">
        <f>VLOOKUP(C4945,'Data Panjang Balok'!$C$9:$N$254,9,FALSE)</f>
        <v>0</v>
      </c>
      <c r="E4949" s="2563"/>
      <c r="F4949" s="2563"/>
      <c r="G4949" s="2563"/>
      <c r="H4949" s="2564"/>
      <c r="I4949" s="397"/>
      <c r="J4949" s="396"/>
      <c r="K4949" s="396"/>
      <c r="L4949" s="396"/>
      <c r="M4949" s="396"/>
      <c r="N4949" s="396"/>
      <c r="O4949" s="396"/>
      <c r="P4949" s="396"/>
      <c r="Q4949" s="396"/>
      <c r="R4949" s="396"/>
      <c r="S4949" s="396"/>
      <c r="T4949" s="396"/>
      <c r="U4949" s="388"/>
      <c r="V4949" s="396"/>
      <c r="W4949" s="388"/>
      <c r="X4949" s="396"/>
      <c r="Y4949" s="389"/>
      <c r="Z4949" s="396"/>
      <c r="AA4949" s="388"/>
      <c r="AB4949" s="390"/>
    </row>
    <row r="4950" spans="1:28">
      <c r="A4950" s="391"/>
      <c r="B4950" s="392"/>
      <c r="C4950" s="393" t="s">
        <v>201</v>
      </c>
      <c r="D4950" s="2562">
        <f>VLOOKUP(C4945,'Data Panjang Balok'!$C$9:$N$254,10,FALSE)</f>
        <v>0</v>
      </c>
      <c r="E4950" s="2563"/>
      <c r="F4950" s="2563"/>
      <c r="G4950" s="2563"/>
      <c r="H4950" s="2564"/>
      <c r="I4950" s="397"/>
      <c r="J4950" s="396"/>
      <c r="K4950" s="396"/>
      <c r="L4950" s="396"/>
      <c r="M4950" s="396"/>
      <c r="N4950" s="396"/>
      <c r="O4950" s="396"/>
      <c r="P4950" s="396"/>
      <c r="Q4950" s="396"/>
      <c r="R4950" s="396"/>
      <c r="S4950" s="396"/>
      <c r="T4950" s="396"/>
      <c r="U4950" s="388"/>
      <c r="V4950" s="396"/>
      <c r="W4950" s="388"/>
      <c r="X4950" s="396"/>
      <c r="Y4950" s="389"/>
      <c r="Z4950" s="396"/>
      <c r="AA4950" s="388"/>
      <c r="AB4950" s="390"/>
    </row>
    <row r="4951" spans="1:28">
      <c r="A4951" s="391"/>
      <c r="B4951" s="392"/>
      <c r="C4951" s="393" t="s">
        <v>48</v>
      </c>
      <c r="D4951" s="2562">
        <f>VLOOKUP(C4945,'Data Panjang Balok'!$C$9:$N$254,3,FALSE)</f>
        <v>1</v>
      </c>
      <c r="E4951" s="2563"/>
      <c r="F4951" s="2563"/>
      <c r="G4951" s="2563"/>
      <c r="H4951" s="2564"/>
      <c r="I4951" s="397"/>
      <c r="J4951" s="396"/>
      <c r="K4951" s="396"/>
      <c r="L4951" s="396"/>
      <c r="M4951" s="396"/>
      <c r="N4951" s="396"/>
      <c r="O4951" s="396"/>
      <c r="P4951" s="396"/>
      <c r="Q4951" s="396"/>
      <c r="R4951" s="396"/>
      <c r="S4951" s="396"/>
      <c r="T4951" s="396"/>
      <c r="U4951" s="388"/>
      <c r="V4951" s="396"/>
      <c r="W4951" s="388"/>
      <c r="X4951" s="396"/>
      <c r="Y4951" s="389"/>
      <c r="Z4951" s="396"/>
      <c r="AA4951" s="388"/>
      <c r="AB4951" s="390"/>
    </row>
    <row r="4952" spans="1:28">
      <c r="A4952" s="384" t="str">
        <f t="shared" ref="A4952:B4952" si="15977">A4945</f>
        <v>Lantai 3</v>
      </c>
      <c r="B4952" s="385">
        <f t="shared" si="15977"/>
        <v>23</v>
      </c>
      <c r="C4952" s="393" t="s">
        <v>202</v>
      </c>
      <c r="D4952" s="398">
        <f>VLOOKUP(D4945,'Detail Balok'!$C$10:$AU$140,4,FALSE)</f>
        <v>3</v>
      </c>
      <c r="E4952" s="388" t="s">
        <v>16</v>
      </c>
      <c r="F4952" s="388">
        <f>VLOOKUP(D4945,'Detail Balok'!$C$10:$AU$140,6,FALSE)</f>
        <v>16</v>
      </c>
      <c r="G4952" s="388"/>
      <c r="H4952" s="395"/>
      <c r="I4952" s="388" t="s">
        <v>203</v>
      </c>
      <c r="J4952" s="399">
        <f t="shared" ref="J4952" si="15978">+D4947/4/1000</f>
        <v>0.85624999999999996</v>
      </c>
      <c r="K4952" s="400" t="s">
        <v>204</v>
      </c>
      <c r="L4952" s="399">
        <f t="shared" ref="L4952" si="15979">MAX(VLOOKUP(F4952,N$6:P$15,3,FALSE)/1000,2/3*D4949/1000)+F$16*F4952/1000</f>
        <v>0.192</v>
      </c>
      <c r="M4952" s="399" t="s">
        <v>176</v>
      </c>
      <c r="N4952" s="399">
        <f t="shared" ref="N4952:N4954" si="15980">J4952+L4952</f>
        <v>1.0482499999999999</v>
      </c>
      <c r="O4952" s="399" t="s">
        <v>204</v>
      </c>
      <c r="P4952" s="389">
        <f t="shared" ref="P4952" si="15981">D4952-D4953</f>
        <v>0</v>
      </c>
      <c r="Q4952" s="399" t="s">
        <v>125</v>
      </c>
      <c r="R4952" s="399">
        <f t="shared" ref="R4952" si="15982">IF(P4952&gt;0,$F$18*F4952/1000,0)</f>
        <v>0</v>
      </c>
      <c r="S4952" s="399" t="s">
        <v>205</v>
      </c>
      <c r="T4952" s="399" t="s">
        <v>125</v>
      </c>
      <c r="U4952" s="401">
        <f t="shared" ref="U4952:U4954" si="15983">0.006165*F4952^2</f>
        <v>1.5782400000000001</v>
      </c>
      <c r="V4952" s="399"/>
      <c r="W4952" s="399"/>
      <c r="X4952" s="399" t="s">
        <v>125</v>
      </c>
      <c r="Y4952" s="389">
        <f t="shared" ref="Y4952" si="15984">D4951</f>
        <v>1</v>
      </c>
      <c r="Z4952" s="400" t="s">
        <v>176</v>
      </c>
      <c r="AA4952" s="402">
        <f t="shared" ref="AA4952" si="15985">IF(AA4955=0,(D4952*N4952+P4952*R4952)*U4952*Y4952,0)</f>
        <v>0</v>
      </c>
      <c r="AB4952" s="403"/>
    </row>
    <row r="4953" spans="1:28">
      <c r="A4953" s="384" t="str">
        <f t="shared" ref="A4953:B4953" si="15986">A4945</f>
        <v>Lantai 3</v>
      </c>
      <c r="B4953" s="385">
        <f t="shared" si="15986"/>
        <v>23</v>
      </c>
      <c r="C4953" s="393" t="s">
        <v>206</v>
      </c>
      <c r="D4953" s="398">
        <f>VLOOKUP(D4945,'Detail Balok'!$C$10:$AU$140,7,FALSE)</f>
        <v>3</v>
      </c>
      <c r="E4953" s="388" t="s">
        <v>16</v>
      </c>
      <c r="F4953" s="388">
        <f>VLOOKUP(D4945,'Detail Balok'!$C$10:$AU$140,9,FALSE)</f>
        <v>16</v>
      </c>
      <c r="G4953" s="388"/>
      <c r="H4953" s="395"/>
      <c r="I4953" s="388" t="s">
        <v>203</v>
      </c>
      <c r="J4953" s="399">
        <f t="shared" ref="J4953" si="15987">+D4947/2/1000</f>
        <v>1.7124999999999999</v>
      </c>
      <c r="K4953" s="400" t="s">
        <v>204</v>
      </c>
      <c r="L4953" s="399"/>
      <c r="M4953" s="399" t="s">
        <v>176</v>
      </c>
      <c r="N4953" s="399">
        <f t="shared" si="15980"/>
        <v>1.7124999999999999</v>
      </c>
      <c r="O4953" s="399" t="s">
        <v>204</v>
      </c>
      <c r="P4953" s="389">
        <f t="shared" ref="P4953" si="15988">MAX(D4953-D4952,D4953-D4954)</f>
        <v>0</v>
      </c>
      <c r="Q4953" s="399" t="s">
        <v>125</v>
      </c>
      <c r="R4953" s="399">
        <f t="shared" ref="R4953" si="15989">IF(P4953&gt;0,2*(1-2*$F$19-1/2)*D4948/1000,0)</f>
        <v>0</v>
      </c>
      <c r="S4953" s="399" t="s">
        <v>205</v>
      </c>
      <c r="T4953" s="399" t="s">
        <v>125</v>
      </c>
      <c r="U4953" s="401">
        <f t="shared" si="15983"/>
        <v>1.5782400000000001</v>
      </c>
      <c r="V4953" s="399"/>
      <c r="W4953" s="399"/>
      <c r="X4953" s="399" t="s">
        <v>125</v>
      </c>
      <c r="Y4953" s="389">
        <f t="shared" ref="Y4953" si="15990">D4951</f>
        <v>1</v>
      </c>
      <c r="Z4953" s="400" t="s">
        <v>176</v>
      </c>
      <c r="AA4953" s="402">
        <f t="shared" ref="AA4953" si="15991">IF(AA4955=0,(D4953*N4953+P4953*R4953)*U4953*Y4953,0)</f>
        <v>0</v>
      </c>
      <c r="AB4953" s="403"/>
    </row>
    <row r="4954" spans="1:28">
      <c r="A4954" s="384" t="str">
        <f t="shared" ref="A4954:B4954" si="15992">A4945</f>
        <v>Lantai 3</v>
      </c>
      <c r="B4954" s="385">
        <f t="shared" si="15992"/>
        <v>23</v>
      </c>
      <c r="C4954" s="393" t="s">
        <v>202</v>
      </c>
      <c r="D4954" s="398">
        <f>VLOOKUP(D4945,'Detail Balok'!$C$10:$AU$140,10,FALSE)</f>
        <v>3</v>
      </c>
      <c r="E4954" s="388" t="s">
        <v>16</v>
      </c>
      <c r="F4954" s="388">
        <f>VLOOKUP(D4945,'Detail Balok'!$C$10:$AU$140,12,FALSE)</f>
        <v>16</v>
      </c>
      <c r="G4954" s="388"/>
      <c r="H4954" s="395"/>
      <c r="I4954" s="388" t="s">
        <v>203</v>
      </c>
      <c r="J4954" s="399">
        <f t="shared" ref="J4954" si="15993">+D4947/4/1000</f>
        <v>0.85624999999999996</v>
      </c>
      <c r="K4954" s="400" t="s">
        <v>204</v>
      </c>
      <c r="L4954" s="399">
        <f t="shared" ref="L4954" si="15994">MAX(VLOOKUP(F4954,N$6:P$15,3,FALSE)/1000,2/3*D4949/1000)+F$16*F4954/1000</f>
        <v>0.192</v>
      </c>
      <c r="M4954" s="399" t="s">
        <v>176</v>
      </c>
      <c r="N4954" s="399">
        <f t="shared" si="15980"/>
        <v>1.0482499999999999</v>
      </c>
      <c r="O4954" s="399" t="s">
        <v>204</v>
      </c>
      <c r="P4954" s="389">
        <f t="shared" ref="P4954" si="15995">D4954-D4953</f>
        <v>0</v>
      </c>
      <c r="Q4954" s="399" t="s">
        <v>125</v>
      </c>
      <c r="R4954" s="399">
        <f t="shared" ref="R4954" si="15996">IF(P4954&gt;0,$F$18*F4954/1000,0)</f>
        <v>0</v>
      </c>
      <c r="S4954" s="399" t="s">
        <v>205</v>
      </c>
      <c r="T4954" s="399" t="s">
        <v>125</v>
      </c>
      <c r="U4954" s="401">
        <f t="shared" si="15983"/>
        <v>1.5782400000000001</v>
      </c>
      <c r="V4954" s="399"/>
      <c r="W4954" s="399"/>
      <c r="X4954" s="399" t="s">
        <v>125</v>
      </c>
      <c r="Y4954" s="389">
        <f t="shared" ref="Y4954" si="15997">D4951</f>
        <v>1</v>
      </c>
      <c r="Z4954" s="400" t="s">
        <v>176</v>
      </c>
      <c r="AA4954" s="402">
        <f t="shared" ref="AA4954" si="15998">IF(AA4955=0,(D4954*N4954+P4954*R4954)*U4954*Y4954,0)</f>
        <v>0</v>
      </c>
      <c r="AB4954" s="403"/>
    </row>
    <row r="4955" spans="1:28">
      <c r="A4955" s="384" t="str">
        <f t="shared" ref="A4955:B4955" si="15999">A4945</f>
        <v>Lantai 3</v>
      </c>
      <c r="B4955" s="385">
        <f t="shared" si="15999"/>
        <v>23</v>
      </c>
      <c r="C4955" s="393"/>
      <c r="D4955" s="398">
        <f t="shared" ref="D4955:D5015" si="16000">IF(AND(D4952=D4953,D4953=D4954,D4952=D4954),D4952,0)</f>
        <v>3</v>
      </c>
      <c r="E4955" s="388" t="s">
        <v>16</v>
      </c>
      <c r="F4955" s="388">
        <f t="shared" ref="F4955:F5015" si="16001">IF(AND(F4952=F4953,F4952=F4954,F4953=F4954),F4952,0)</f>
        <v>16</v>
      </c>
      <c r="G4955" s="388"/>
      <c r="H4955" s="395"/>
      <c r="I4955" s="388"/>
      <c r="J4955" s="396"/>
      <c r="K4955" s="396"/>
      <c r="L4955" s="404" t="s">
        <v>207</v>
      </c>
      <c r="M4955" s="399" t="s">
        <v>176</v>
      </c>
      <c r="N4955" s="399">
        <f t="shared" ref="N4955" si="16002">IF(AND(D4952=D4953,D4952=D4954,D4953=D4954,F4952=F4953,F4952=F4954,F4953=F4954),SUM(N4952:N4954),0)</f>
        <v>3.8089999999999997</v>
      </c>
      <c r="O4955" s="399" t="s">
        <v>204</v>
      </c>
      <c r="P4955" s="389">
        <f t="shared" ref="P4955" si="16003">IF(N4955&gt;12,ROUNDDOWN(N4955/12,0),0)</f>
        <v>0</v>
      </c>
      <c r="Q4955" s="399" t="s">
        <v>125</v>
      </c>
      <c r="R4955" s="399">
        <f t="shared" ref="R4955" si="16004">IF(P4955&gt;0,MAX(VLOOKUP(F4955,$D$6:$G$15,3,FALSE),600),0)/1000</f>
        <v>0</v>
      </c>
      <c r="S4955" s="396"/>
      <c r="T4955" s="396" t="s">
        <v>125</v>
      </c>
      <c r="U4955" s="401">
        <f t="shared" ref="U4955:U5015" si="16005">U4954</f>
        <v>1.5782400000000001</v>
      </c>
      <c r="V4955" s="396" t="s">
        <v>125</v>
      </c>
      <c r="W4955" s="399">
        <f t="shared" ref="W4955" si="16006">D4955</f>
        <v>3</v>
      </c>
      <c r="X4955" s="399" t="s">
        <v>125</v>
      </c>
      <c r="Y4955" s="389">
        <f t="shared" ref="Y4955:Y5015" si="16007">Y4954</f>
        <v>1</v>
      </c>
      <c r="Z4955" s="400" t="s">
        <v>176</v>
      </c>
      <c r="AA4955" s="402">
        <f t="shared" ref="AA4955" si="16008">(N4955+P4955*R4955/1000)*U4955*W4955*Y4955</f>
        <v>18.034548480000002</v>
      </c>
      <c r="AB4955" s="390"/>
    </row>
    <row r="4956" spans="1:28">
      <c r="A4956" s="384"/>
      <c r="B4956" s="385"/>
      <c r="C4956" s="393"/>
      <c r="D4956" s="398"/>
      <c r="E4956" s="388"/>
      <c r="F4956" s="388"/>
      <c r="G4956" s="388"/>
      <c r="H4956" s="395"/>
      <c r="I4956" s="388"/>
      <c r="J4956" s="396"/>
      <c r="K4956" s="396"/>
      <c r="L4956" s="404"/>
      <c r="M4956" s="399"/>
      <c r="N4956" s="399"/>
      <c r="O4956" s="396"/>
      <c r="P4956" s="389"/>
      <c r="Q4956" s="396"/>
      <c r="R4956" s="396"/>
      <c r="S4956" s="396"/>
      <c r="T4956" s="396"/>
      <c r="U4956" s="401"/>
      <c r="V4956" s="396"/>
      <c r="W4956" s="399"/>
      <c r="X4956" s="396"/>
      <c r="Y4956" s="389"/>
      <c r="Z4956" s="396"/>
      <c r="AA4956" s="388"/>
      <c r="AB4956" s="390"/>
    </row>
    <row r="4957" spans="1:28">
      <c r="A4957" s="384" t="str">
        <f t="shared" ref="A4957:B4957" si="16009">A4945</f>
        <v>Lantai 3</v>
      </c>
      <c r="B4957" s="385">
        <f t="shared" si="16009"/>
        <v>23</v>
      </c>
      <c r="C4957" s="393" t="s">
        <v>208</v>
      </c>
      <c r="D4957" s="398">
        <f>VLOOKUP(D4945,'Detail Balok'!$C$10:$AU$140,13,FALSE)</f>
        <v>0</v>
      </c>
      <c r="E4957" s="388" t="s">
        <v>16</v>
      </c>
      <c r="F4957" s="388">
        <f>VLOOKUP(D4945,'Detail Balok'!$C$10:$AU$140,15,FALSE)</f>
        <v>8</v>
      </c>
      <c r="G4957" s="388"/>
      <c r="H4957" s="395"/>
      <c r="I4957" s="388"/>
      <c r="J4957" s="399">
        <f t="shared" ref="J4957" si="16010">+D4947/1000</f>
        <v>3.4249999999999998</v>
      </c>
      <c r="K4957" s="400" t="s">
        <v>204</v>
      </c>
      <c r="L4957" s="399">
        <f t="shared" ref="L4957" si="16011">2*$F$16*F4957/1000</f>
        <v>0.192</v>
      </c>
      <c r="M4957" s="399" t="s">
        <v>176</v>
      </c>
      <c r="N4957" s="399">
        <f t="shared" ref="N4957" si="16012">J4957+L4957</f>
        <v>3.617</v>
      </c>
      <c r="O4957" s="399" t="s">
        <v>204</v>
      </c>
      <c r="P4957" s="389">
        <f t="shared" ref="P4957" si="16013">IF(N4957&gt;12,ROUNDDOWN(N4957/12,0),0)</f>
        <v>0</v>
      </c>
      <c r="Q4957" s="399" t="s">
        <v>125</v>
      </c>
      <c r="R4957" s="399">
        <f t="shared" ref="R4957" si="16014">IF(P4957&gt;0,MAX(VLOOKUP(F4957,$D$6:$G$15,3,FALSE),600),0)/1000</f>
        <v>0</v>
      </c>
      <c r="S4957" s="399"/>
      <c r="T4957" s="399" t="s">
        <v>125</v>
      </c>
      <c r="U4957" s="401">
        <f t="shared" ref="U4957" si="16015">0.006165*F4957^2</f>
        <v>0.39456000000000002</v>
      </c>
      <c r="V4957" s="399" t="s">
        <v>125</v>
      </c>
      <c r="W4957" s="399">
        <f t="shared" ref="W4957" si="16016">+D4957</f>
        <v>0</v>
      </c>
      <c r="X4957" s="399" t="s">
        <v>125</v>
      </c>
      <c r="Y4957" s="389">
        <f t="shared" ref="Y4957" si="16017">D4951</f>
        <v>1</v>
      </c>
      <c r="Z4957" s="400" t="s">
        <v>176</v>
      </c>
      <c r="AA4957" s="402">
        <f t="shared" ref="AA4957" si="16018">(N4957+P4957*R4957/1000)*U4957*W4957*Y4957</f>
        <v>0</v>
      </c>
      <c r="AB4957" s="403"/>
    </row>
    <row r="4958" spans="1:28">
      <c r="A4958" s="384"/>
      <c r="B4958" s="385"/>
      <c r="C4958" s="393"/>
      <c r="D4958" s="398"/>
      <c r="E4958" s="388"/>
      <c r="F4958" s="388"/>
      <c r="G4958" s="388"/>
      <c r="H4958" s="395"/>
      <c r="I4958" s="388"/>
      <c r="J4958" s="399"/>
      <c r="K4958" s="400"/>
      <c r="L4958" s="399"/>
      <c r="M4958" s="399"/>
      <c r="N4958" s="399"/>
      <c r="O4958" s="399"/>
      <c r="P4958" s="389"/>
      <c r="Q4958" s="399"/>
      <c r="R4958" s="399"/>
      <c r="S4958" s="399"/>
      <c r="T4958" s="399"/>
      <c r="U4958" s="401"/>
      <c r="V4958" s="399"/>
      <c r="W4958" s="399"/>
      <c r="X4958" s="399"/>
      <c r="Y4958" s="389"/>
      <c r="Z4958" s="400"/>
      <c r="AA4958" s="402"/>
      <c r="AB4958" s="403"/>
    </row>
    <row r="4959" spans="1:28">
      <c r="A4959" s="384"/>
      <c r="B4959" s="385"/>
      <c r="C4959" s="393"/>
      <c r="D4959" s="398"/>
      <c r="E4959" s="388"/>
      <c r="F4959" s="388"/>
      <c r="G4959" s="388"/>
      <c r="H4959" s="395"/>
      <c r="I4959" s="388"/>
      <c r="J4959" s="396"/>
      <c r="K4959" s="396"/>
      <c r="L4959" s="396"/>
      <c r="M4959" s="396"/>
      <c r="N4959" s="396"/>
      <c r="O4959" s="396"/>
      <c r="P4959" s="389"/>
      <c r="Q4959" s="396"/>
      <c r="R4959" s="396"/>
      <c r="S4959" s="396"/>
      <c r="T4959" s="396"/>
      <c r="U4959" s="401"/>
      <c r="V4959" s="396"/>
      <c r="W4959" s="399"/>
      <c r="X4959" s="396"/>
      <c r="Y4959" s="389"/>
      <c r="Z4959" s="396"/>
      <c r="AA4959" s="388"/>
      <c r="AB4959" s="390"/>
    </row>
    <row r="4960" spans="1:28">
      <c r="A4960" s="384" t="str">
        <f t="shared" ref="A4960:B4960" si="16019">A4945</f>
        <v>Lantai 3</v>
      </c>
      <c r="B4960" s="385">
        <f t="shared" si="16019"/>
        <v>23</v>
      </c>
      <c r="C4960" s="393" t="s">
        <v>209</v>
      </c>
      <c r="D4960" s="398">
        <f>VLOOKUP(D4945,'Detail Balok'!$C$10:$AU$140,22,FALSE)</f>
        <v>3</v>
      </c>
      <c r="E4960" s="388" t="s">
        <v>16</v>
      </c>
      <c r="F4960" s="388">
        <f>VLOOKUP(D4945,'Detail Balok'!$C$10:$AU$140,24,FALSE)</f>
        <v>16</v>
      </c>
      <c r="G4960" s="388"/>
      <c r="H4960" s="395"/>
      <c r="I4960" s="388" t="s">
        <v>203</v>
      </c>
      <c r="J4960" s="399">
        <f t="shared" ref="J4960:J5022" si="16020">+J4952</f>
        <v>0.85624999999999996</v>
      </c>
      <c r="K4960" s="400" t="s">
        <v>204</v>
      </c>
      <c r="L4960" s="399">
        <f t="shared" ref="L4960" si="16021">MAX(VLOOKUP(F4960,N$6:P$15,3,FALSE)/1000,2/3*D4950/1000)+F$16*F4960/1000</f>
        <v>0.192</v>
      </c>
      <c r="M4960" s="399" t="s">
        <v>176</v>
      </c>
      <c r="N4960" s="399">
        <f t="shared" ref="N4960:N4962" si="16022">J4960+L4960</f>
        <v>1.0482499999999999</v>
      </c>
      <c r="O4960" s="399" t="s">
        <v>204</v>
      </c>
      <c r="P4960" s="389">
        <f t="shared" ref="P4960" si="16023">D4960-D4961</f>
        <v>0</v>
      </c>
      <c r="Q4960" s="399" t="s">
        <v>125</v>
      </c>
      <c r="R4960" s="399">
        <f t="shared" ref="R4960" si="16024">IF(P4960&gt;0,$F$18*F4960/1000,0)</f>
        <v>0</v>
      </c>
      <c r="S4960" s="399" t="s">
        <v>205</v>
      </c>
      <c r="T4960" s="399" t="s">
        <v>125</v>
      </c>
      <c r="U4960" s="401">
        <f t="shared" ref="U4960:U4962" si="16025">0.006165*F4960^2</f>
        <v>1.5782400000000001</v>
      </c>
      <c r="V4960" s="399"/>
      <c r="W4960" s="399"/>
      <c r="X4960" s="399" t="s">
        <v>125</v>
      </c>
      <c r="Y4960" s="389">
        <f t="shared" ref="Y4960" si="16026">D4951</f>
        <v>1</v>
      </c>
      <c r="Z4960" s="400" t="s">
        <v>176</v>
      </c>
      <c r="AA4960" s="402">
        <f t="shared" ref="AA4960" si="16027">IF(AA4963=0,(D4960*N4960+P4960*R4960)*U4960*Y4960,0)</f>
        <v>0</v>
      </c>
      <c r="AB4960" s="403"/>
    </row>
    <row r="4961" spans="1:28">
      <c r="A4961" s="384" t="str">
        <f t="shared" ref="A4961:B4961" si="16028">A4945</f>
        <v>Lantai 3</v>
      </c>
      <c r="B4961" s="385">
        <f t="shared" si="16028"/>
        <v>23</v>
      </c>
      <c r="C4961" s="393" t="s">
        <v>210</v>
      </c>
      <c r="D4961" s="398">
        <f>VLOOKUP(D4945,'Detail Balok'!$C$10:$AU$140,25,FALSE)</f>
        <v>3</v>
      </c>
      <c r="E4961" s="388" t="s">
        <v>16</v>
      </c>
      <c r="F4961" s="388">
        <f>VLOOKUP(D4945,'Detail Balok'!$C$10:$AU$140,27,FALSE)</f>
        <v>16</v>
      </c>
      <c r="G4961" s="388"/>
      <c r="H4961" s="395"/>
      <c r="I4961" s="388" t="s">
        <v>203</v>
      </c>
      <c r="J4961" s="399">
        <f t="shared" si="16020"/>
        <v>1.7124999999999999</v>
      </c>
      <c r="K4961" s="400" t="s">
        <v>204</v>
      </c>
      <c r="L4961" s="399"/>
      <c r="M4961" s="399" t="s">
        <v>176</v>
      </c>
      <c r="N4961" s="399">
        <f t="shared" si="16022"/>
        <v>1.7124999999999999</v>
      </c>
      <c r="O4961" s="399" t="s">
        <v>204</v>
      </c>
      <c r="P4961" s="389">
        <f t="shared" ref="P4961" si="16029">MAX(D4961-D4960,D4961-D4962)</f>
        <v>0</v>
      </c>
      <c r="Q4961" s="399" t="s">
        <v>125</v>
      </c>
      <c r="R4961" s="399">
        <f t="shared" ref="R4961" si="16030">IF(P4961&gt;0,2*(1-2*$F$19-1/2)*D4948/1000,0)</f>
        <v>0</v>
      </c>
      <c r="S4961" s="399" t="s">
        <v>205</v>
      </c>
      <c r="T4961" s="399" t="s">
        <v>125</v>
      </c>
      <c r="U4961" s="401">
        <f t="shared" si="16025"/>
        <v>1.5782400000000001</v>
      </c>
      <c r="V4961" s="399"/>
      <c r="W4961" s="399"/>
      <c r="X4961" s="399" t="s">
        <v>125</v>
      </c>
      <c r="Y4961" s="389">
        <f t="shared" ref="Y4961" si="16031">D4951</f>
        <v>1</v>
      </c>
      <c r="Z4961" s="400" t="s">
        <v>176</v>
      </c>
      <c r="AA4961" s="402">
        <f t="shared" ref="AA4961" si="16032">IF(AA4963=0,(D4961*N4961+P4961*R4961)*U4961*Y4961,0)</f>
        <v>0</v>
      </c>
      <c r="AB4961" s="403"/>
    </row>
    <row r="4962" spans="1:28">
      <c r="A4962" s="384" t="str">
        <f t="shared" ref="A4962:B4962" si="16033">A4945</f>
        <v>Lantai 3</v>
      </c>
      <c r="B4962" s="385">
        <f t="shared" si="16033"/>
        <v>23</v>
      </c>
      <c r="C4962" s="393" t="s">
        <v>209</v>
      </c>
      <c r="D4962" s="398">
        <f>VLOOKUP(D4945,'Detail Balok'!$C$10:$AU$140,28,FALSE)</f>
        <v>3</v>
      </c>
      <c r="E4962" s="388" t="s">
        <v>16</v>
      </c>
      <c r="F4962" s="388">
        <f>VLOOKUP(D4945,'Detail Balok'!$C$10:$AU$140,30,FALSE)</f>
        <v>16</v>
      </c>
      <c r="G4962" s="388"/>
      <c r="H4962" s="395"/>
      <c r="I4962" s="388" t="s">
        <v>203</v>
      </c>
      <c r="J4962" s="399">
        <f t="shared" si="16020"/>
        <v>0.85624999999999996</v>
      </c>
      <c r="K4962" s="400" t="s">
        <v>204</v>
      </c>
      <c r="L4962" s="399">
        <f t="shared" ref="L4962" si="16034">MAX(VLOOKUP(F4962,N$6:P$15,3,FALSE)/1000,2/3*D4950/1000)+F$16*F4962/1000</f>
        <v>0.192</v>
      </c>
      <c r="M4962" s="399" t="s">
        <v>176</v>
      </c>
      <c r="N4962" s="399">
        <f t="shared" si="16022"/>
        <v>1.0482499999999999</v>
      </c>
      <c r="O4962" s="399" t="s">
        <v>204</v>
      </c>
      <c r="P4962" s="389">
        <f t="shared" ref="P4962" si="16035">D4962-D4961</f>
        <v>0</v>
      </c>
      <c r="Q4962" s="399" t="s">
        <v>125</v>
      </c>
      <c r="R4962" s="399">
        <f t="shared" ref="R4962" si="16036">IF(P4962&gt;0,$F$18*F4962/1000,0)</f>
        <v>0</v>
      </c>
      <c r="S4962" s="399" t="s">
        <v>205</v>
      </c>
      <c r="T4962" s="399" t="s">
        <v>125</v>
      </c>
      <c r="U4962" s="401">
        <f t="shared" si="16025"/>
        <v>1.5782400000000001</v>
      </c>
      <c r="V4962" s="399"/>
      <c r="W4962" s="399"/>
      <c r="X4962" s="399" t="s">
        <v>125</v>
      </c>
      <c r="Y4962" s="389">
        <f t="shared" ref="Y4962" si="16037">D4951</f>
        <v>1</v>
      </c>
      <c r="Z4962" s="400" t="s">
        <v>176</v>
      </c>
      <c r="AA4962" s="402">
        <f t="shared" ref="AA4962" si="16038">IF(AA4963=0,(D4962*N4962+P4962*R4962)*U4962*Y4962,0)</f>
        <v>0</v>
      </c>
      <c r="AB4962" s="403"/>
    </row>
    <row r="4963" spans="1:28">
      <c r="A4963" s="384" t="str">
        <f t="shared" ref="A4963:B4963" si="16039">A4945</f>
        <v>Lantai 3</v>
      </c>
      <c r="B4963" s="385">
        <f t="shared" si="16039"/>
        <v>23</v>
      </c>
      <c r="C4963" s="393"/>
      <c r="D4963" s="398">
        <f t="shared" ref="D4963:D5023" si="16040">IF(AND(D4960=D4961,D4961=D4962,D4960=D4962),D4960,0)</f>
        <v>3</v>
      </c>
      <c r="E4963" s="388" t="s">
        <v>16</v>
      </c>
      <c r="F4963" s="388">
        <f t="shared" ref="F4963:F5023" si="16041">IF(AND(F4960=F4961,F4960=F4962,F4961=F4962),F4960,0)</f>
        <v>16</v>
      </c>
      <c r="G4963" s="388"/>
      <c r="H4963" s="395"/>
      <c r="I4963" s="388"/>
      <c r="J4963" s="396"/>
      <c r="K4963" s="396"/>
      <c r="L4963" s="404" t="s">
        <v>207</v>
      </c>
      <c r="M4963" s="399" t="s">
        <v>176</v>
      </c>
      <c r="N4963" s="399">
        <f t="shared" ref="N4963" si="16042">IF(AND(D4960=D4961,D4960=D4962,D4961=D4962,F4960=F4961,F4960=F4962,F4961=F4962),SUM(N4960:N4962),0)</f>
        <v>3.8089999999999997</v>
      </c>
      <c r="O4963" s="399" t="s">
        <v>204</v>
      </c>
      <c r="P4963" s="389">
        <f t="shared" ref="P4963" si="16043">IF(N4963&gt;12,ROUNDDOWN(N4963/12,0),0)</f>
        <v>0</v>
      </c>
      <c r="Q4963" s="399" t="s">
        <v>125</v>
      </c>
      <c r="R4963" s="399">
        <f t="shared" ref="R4963" si="16044">IF(P4963&gt;0,MAX(VLOOKUP(F4963,$D$6:$G$15,3,FALSE),600),0)/1000</f>
        <v>0</v>
      </c>
      <c r="S4963" s="396"/>
      <c r="T4963" s="396" t="s">
        <v>125</v>
      </c>
      <c r="U4963" s="401">
        <f t="shared" ref="U4963:U5023" si="16045">U4962</f>
        <v>1.5782400000000001</v>
      </c>
      <c r="V4963" s="396" t="s">
        <v>125</v>
      </c>
      <c r="W4963" s="399">
        <f t="shared" ref="W4963" si="16046">D4963</f>
        <v>3</v>
      </c>
      <c r="X4963" s="399" t="s">
        <v>125</v>
      </c>
      <c r="Y4963" s="389">
        <f t="shared" ref="Y4963:Y5023" si="16047">Y4962</f>
        <v>1</v>
      </c>
      <c r="Z4963" s="400" t="s">
        <v>176</v>
      </c>
      <c r="AA4963" s="402">
        <f t="shared" ref="AA4963" si="16048">(N4963+P4963*R4963/1000)*U4963*W4963*Y4963</f>
        <v>18.034548480000002</v>
      </c>
      <c r="AB4963" s="403"/>
    </row>
    <row r="4964" spans="1:28">
      <c r="A4964" s="384"/>
      <c r="B4964" s="385"/>
      <c r="C4964" s="393"/>
      <c r="D4964" s="394"/>
      <c r="E4964" s="388"/>
      <c r="F4964" s="388"/>
      <c r="G4964" s="388"/>
      <c r="H4964" s="395"/>
      <c r="I4964" s="388"/>
      <c r="J4964" s="399"/>
      <c r="K4964" s="396"/>
      <c r="L4964" s="396"/>
      <c r="M4964" s="396"/>
      <c r="N4964" s="396"/>
      <c r="O4964" s="396"/>
      <c r="P4964" s="389"/>
      <c r="Q4964" s="396"/>
      <c r="R4964" s="396"/>
      <c r="S4964" s="396"/>
      <c r="T4964" s="396"/>
      <c r="U4964" s="401"/>
      <c r="V4964" s="396"/>
      <c r="W4964" s="388"/>
      <c r="X4964" s="396"/>
      <c r="Y4964" s="389"/>
      <c r="Z4964" s="396"/>
      <c r="AA4964" s="388"/>
      <c r="AB4964" s="390"/>
    </row>
    <row r="4965" spans="1:28">
      <c r="A4965" s="384" t="str">
        <f t="shared" ref="A4965:B4965" si="16049">A4945</f>
        <v>Lantai 3</v>
      </c>
      <c r="B4965" s="385">
        <f t="shared" si="16049"/>
        <v>23</v>
      </c>
      <c r="C4965" s="393" t="s">
        <v>211</v>
      </c>
      <c r="D4965" s="398">
        <f>VLOOKUP(D4945,'Detail Balok'!$C$10:$AU$140,31,FALSE)</f>
        <v>0</v>
      </c>
      <c r="E4965" s="388" t="s">
        <v>16</v>
      </c>
      <c r="F4965" s="388">
        <f>VLOOKUP(D4945,'Detail Balok'!$C$10:$AU$140,33,FALSE)</f>
        <v>10</v>
      </c>
      <c r="G4965" s="405" t="s">
        <v>157</v>
      </c>
      <c r="H4965" s="395">
        <f>VLOOKUP(D4945,'Detail Balok'!$C$10:$AU$140,35,FALSE)</f>
        <v>100</v>
      </c>
      <c r="I4965" s="388"/>
      <c r="J4965" s="400">
        <f t="shared" ref="J4965" si="16050">(IF(D4965=0,(2*(D4946+G4946))-(F$5*8),IF(D4965=3,(2*(D4946+G4946))-(F$5*8)+(G4946-2*F$5),IF(D4965=4,(2*(D4946+G4946))-(F$5*8)+2*(G4946-2*F$5)))))/1000</f>
        <v>0.88</v>
      </c>
      <c r="K4965" s="400" t="s">
        <v>204</v>
      </c>
      <c r="L4965" s="399">
        <f t="shared" ref="L4965:L4967" si="16051">IF(D4965=0,2*MAX(6*F4965,75),(D4965-1)*2*MAX(6*F4965,75))/1000</f>
        <v>0.15</v>
      </c>
      <c r="M4965" s="399" t="s">
        <v>176</v>
      </c>
      <c r="N4965" s="399">
        <f t="shared" ref="N4965:N4967" si="16052">J4965+L4965</f>
        <v>1.03</v>
      </c>
      <c r="O4965" s="399"/>
      <c r="P4965" s="389"/>
      <c r="Q4965" s="399"/>
      <c r="R4965" s="399"/>
      <c r="S4965" s="399"/>
      <c r="T4965" s="399" t="s">
        <v>125</v>
      </c>
      <c r="U4965" s="401">
        <f t="shared" ref="U4965:U4967" si="16053">0.006165*F4965^2</f>
        <v>0.61650000000000005</v>
      </c>
      <c r="V4965" s="399" t="s">
        <v>125</v>
      </c>
      <c r="W4965" s="399">
        <f t="shared" ref="W4965" si="16054">IF(D4948&gt;4*G4946,ROUND(MAX(D4948/4,2*G4946)/H4965,0)+1,ROUND(D4948/H4965,0)+1)</f>
        <v>10</v>
      </c>
      <c r="X4965" s="399" t="s">
        <v>125</v>
      </c>
      <c r="Y4965" s="389">
        <f t="shared" ref="Y4965" si="16055">D4951</f>
        <v>1</v>
      </c>
      <c r="Z4965" s="400" t="s">
        <v>176</v>
      </c>
      <c r="AA4965" s="402">
        <f t="shared" ref="AA4965:AA4967" si="16056">N4965*U4965*W4965*Y4965</f>
        <v>6.3499500000000006</v>
      </c>
      <c r="AB4965" s="403"/>
    </row>
    <row r="4966" spans="1:28">
      <c r="A4966" s="384" t="str">
        <f t="shared" ref="A4966:B4966" si="16057">A4945</f>
        <v>Lantai 3</v>
      </c>
      <c r="B4966" s="385">
        <f t="shared" si="16057"/>
        <v>23</v>
      </c>
      <c r="C4966" s="393" t="s">
        <v>212</v>
      </c>
      <c r="D4966" s="398">
        <f>VLOOKUP(D4945,'Detail Balok'!$C$10:$AU$140,36,FALSE)</f>
        <v>0</v>
      </c>
      <c r="E4966" s="388" t="s">
        <v>16</v>
      </c>
      <c r="F4966" s="388">
        <f>VLOOKUP(D4945,'Detail Balok'!$C$10:$AU$140,38,FALSE)</f>
        <v>10</v>
      </c>
      <c r="G4966" s="405" t="s">
        <v>157</v>
      </c>
      <c r="H4966" s="395">
        <f>VLOOKUP(D4945,'Detail Balok'!$C$10:$AU$140,40,FALSE)</f>
        <v>100</v>
      </c>
      <c r="I4966" s="388"/>
      <c r="J4966" s="400">
        <f t="shared" ref="J4966" si="16058">(IF(D4966=0,(2*(D4946+G4946))-(F$5*8),IF(D4966=3,(2*(D4946+G4946))-(F$5*8)+(G4946-2*F$5),IF(D4966=4,(2*(D4946+G4946))-(F$5*8)+2*(G4946-2*F$5)))))/1000</f>
        <v>0.88</v>
      </c>
      <c r="K4966" s="400" t="s">
        <v>204</v>
      </c>
      <c r="L4966" s="399">
        <f t="shared" si="16051"/>
        <v>0.15</v>
      </c>
      <c r="M4966" s="399" t="s">
        <v>176</v>
      </c>
      <c r="N4966" s="399">
        <f t="shared" si="16052"/>
        <v>1.03</v>
      </c>
      <c r="O4966" s="399"/>
      <c r="P4966" s="389"/>
      <c r="Q4966" s="399"/>
      <c r="R4966" s="399"/>
      <c r="S4966" s="399"/>
      <c r="T4966" s="399" t="s">
        <v>125</v>
      </c>
      <c r="U4966" s="401">
        <f t="shared" si="16053"/>
        <v>0.61650000000000005</v>
      </c>
      <c r="V4966" s="399" t="s">
        <v>125</v>
      </c>
      <c r="W4966" s="399">
        <f t="shared" ref="W4966" si="16059">IF(D4948-MAX(D4948/4,2*G4946)*2&gt;0,ROUND((D4948-MAX(D4948/4,2*G4946)*2)/H4966,0),0)</f>
        <v>17</v>
      </c>
      <c r="X4966" s="399" t="s">
        <v>125</v>
      </c>
      <c r="Y4966" s="389">
        <f t="shared" ref="Y4966" si="16060">D4951</f>
        <v>1</v>
      </c>
      <c r="Z4966" s="400" t="s">
        <v>176</v>
      </c>
      <c r="AA4966" s="402">
        <f t="shared" si="16056"/>
        <v>10.794915000000001</v>
      </c>
      <c r="AB4966" s="403"/>
    </row>
    <row r="4967" spans="1:28">
      <c r="A4967" s="384" t="str">
        <f t="shared" ref="A4967:B4967" si="16061">A4945</f>
        <v>Lantai 3</v>
      </c>
      <c r="B4967" s="385">
        <f t="shared" si="16061"/>
        <v>23</v>
      </c>
      <c r="C4967" s="393" t="s">
        <v>211</v>
      </c>
      <c r="D4967" s="398">
        <f>VLOOKUP(D4945,'Detail Balok'!$C$10:$AU$140,41,FALSE)</f>
        <v>0</v>
      </c>
      <c r="E4967" s="388" t="s">
        <v>16</v>
      </c>
      <c r="F4967" s="388">
        <f>VLOOKUP(D4945,'Detail Balok'!$C$10:$AU$140,43,FALSE)</f>
        <v>10</v>
      </c>
      <c r="G4967" s="405" t="s">
        <v>157</v>
      </c>
      <c r="H4967" s="395">
        <f>VLOOKUP(D4945,'Detail Balok'!$C$10:$AU$140,45,FALSE)</f>
        <v>100</v>
      </c>
      <c r="I4967" s="388"/>
      <c r="J4967" s="400">
        <f t="shared" ref="J4967" si="16062">(IF(D4967=0,(2*(D4946+G4946))-(F$5*8),IF(D4967=3,(2*(D4946+G4946))-(F$5*8)+(G4946-2*F$5),IF(D4967=4,(2*(D4946+G4946))-(F$5*8)+2*(G4946-2*F$5)))))/1000</f>
        <v>0.88</v>
      </c>
      <c r="K4967" s="400" t="s">
        <v>204</v>
      </c>
      <c r="L4967" s="399">
        <f t="shared" si="16051"/>
        <v>0.15</v>
      </c>
      <c r="M4967" s="399" t="s">
        <v>176</v>
      </c>
      <c r="N4967" s="399">
        <f t="shared" si="16052"/>
        <v>1.03</v>
      </c>
      <c r="O4967" s="399"/>
      <c r="P4967" s="389"/>
      <c r="Q4967" s="399"/>
      <c r="R4967" s="399"/>
      <c r="S4967" s="399"/>
      <c r="T4967" s="399" t="s">
        <v>125</v>
      </c>
      <c r="U4967" s="401">
        <f t="shared" si="16053"/>
        <v>0.61650000000000005</v>
      </c>
      <c r="V4967" s="399" t="s">
        <v>125</v>
      </c>
      <c r="W4967" s="399">
        <f t="shared" ref="W4967" si="16063">IF(D4948&gt;4*G4946,ROUND(MAX(D4948/4,2*G4946)/H4967,0)+1,0)</f>
        <v>10</v>
      </c>
      <c r="X4967" s="399" t="s">
        <v>125</v>
      </c>
      <c r="Y4967" s="389">
        <f t="shared" ref="Y4967" si="16064">D4951</f>
        <v>1</v>
      </c>
      <c r="Z4967" s="400" t="s">
        <v>176</v>
      </c>
      <c r="AA4967" s="402">
        <f t="shared" si="16056"/>
        <v>6.3499500000000006</v>
      </c>
      <c r="AB4967" s="403"/>
    </row>
    <row r="4968" spans="1:28">
      <c r="A4968" s="384"/>
      <c r="B4968" s="385"/>
      <c r="C4968" s="393"/>
      <c r="D4968" s="394"/>
      <c r="E4968" s="388"/>
      <c r="F4968" s="388"/>
      <c r="G4968" s="388"/>
      <c r="H4968" s="395"/>
      <c r="I4968" s="388"/>
      <c r="J4968" s="399"/>
      <c r="K4968" s="396"/>
      <c r="L4968" s="396"/>
      <c r="M4968" s="396"/>
      <c r="N4968" s="396"/>
      <c r="O4968" s="396"/>
      <c r="P4968" s="389"/>
      <c r="Q4968" s="396"/>
      <c r="R4968" s="396"/>
      <c r="S4968" s="396"/>
      <c r="T4968" s="396"/>
      <c r="U4968" s="401"/>
      <c r="V4968" s="396"/>
      <c r="W4968" s="388"/>
      <c r="X4968" s="396"/>
      <c r="Y4968" s="389"/>
      <c r="Z4968" s="396"/>
      <c r="AA4968" s="388"/>
      <c r="AB4968" s="390"/>
    </row>
    <row r="4969" spans="1:28">
      <c r="A4969" s="384" t="str">
        <f t="shared" ref="A4969:B4969" si="16065">A4945</f>
        <v>Lantai 3</v>
      </c>
      <c r="B4969" s="385">
        <f t="shared" si="16065"/>
        <v>23</v>
      </c>
      <c r="C4969" s="393" t="s">
        <v>213</v>
      </c>
      <c r="D4969" s="398">
        <f>VLOOKUP(D4945,'Detail Balok'!$C$10:$BJ$140,46,FALSE)</f>
        <v>0</v>
      </c>
      <c r="E4969" s="388" t="s">
        <v>16</v>
      </c>
      <c r="F4969" s="388">
        <f>VLOOKUP(D4945,'Detail Balok'!$C$10:$BJ$140,48,FALSE)</f>
        <v>0</v>
      </c>
      <c r="G4969" s="405" t="s">
        <v>157</v>
      </c>
      <c r="H4969" s="395">
        <f>VLOOKUP(D4945,'Detail Balok'!$C$10:$BJ$140,50,FALSE)</f>
        <v>100</v>
      </c>
      <c r="I4969" s="388"/>
      <c r="J4969" s="399">
        <f t="shared" ref="J4969" si="16066">(D4946-2*F$5)/1000</f>
        <v>0.12</v>
      </c>
      <c r="K4969" s="400" t="s">
        <v>204</v>
      </c>
      <c r="L4969" s="399">
        <f t="shared" ref="L4969:L4971" si="16067">IF(D4969=0,2*MAX(6*F4969,75),(D4969-1)*2*MAX(6*F4969,75))/1000</f>
        <v>0.15</v>
      </c>
      <c r="M4969" s="399" t="s">
        <v>176</v>
      </c>
      <c r="N4969" s="399">
        <f t="shared" ref="N4969:N4971" si="16068">J4969+L4969</f>
        <v>0.27</v>
      </c>
      <c r="O4969" s="399"/>
      <c r="P4969" s="399"/>
      <c r="Q4969" s="399"/>
      <c r="R4969" s="399"/>
      <c r="S4969" s="399"/>
      <c r="T4969" s="399" t="s">
        <v>125</v>
      </c>
      <c r="U4969" s="401">
        <f t="shared" ref="U4969:U4971" si="16069">0.006165*F4969^2</f>
        <v>0</v>
      </c>
      <c r="V4969" s="399" t="s">
        <v>125</v>
      </c>
      <c r="W4969" s="399">
        <f t="shared" ref="W4969:W5031" si="16070">W4965</f>
        <v>10</v>
      </c>
      <c r="X4969" s="399" t="s">
        <v>125</v>
      </c>
      <c r="Y4969" s="389">
        <f t="shared" ref="Y4969" si="16071">D4955</f>
        <v>3</v>
      </c>
      <c r="Z4969" s="400" t="s">
        <v>176</v>
      </c>
      <c r="AA4969" s="402">
        <f t="shared" ref="AA4969:AA4971" si="16072">N4969*U4969*W4969*Y4969</f>
        <v>0</v>
      </c>
      <c r="AB4969" s="403"/>
    </row>
    <row r="4970" spans="1:28">
      <c r="A4970" s="384" t="str">
        <f t="shared" ref="A4970:B4970" si="16073">A4945</f>
        <v>Lantai 3</v>
      </c>
      <c r="B4970" s="385">
        <f t="shared" si="16073"/>
        <v>23</v>
      </c>
      <c r="C4970" s="393" t="s">
        <v>214</v>
      </c>
      <c r="D4970" s="398">
        <f>VLOOKUP(D4945,'Detail Balok'!$C$10:$BJ$140,51,FALSE)</f>
        <v>0</v>
      </c>
      <c r="E4970" s="388" t="s">
        <v>16</v>
      </c>
      <c r="F4970" s="388">
        <f>VLOOKUP(D4945,'Detail Balok'!$C$10:$BJ$140,53,FALSE)</f>
        <v>0</v>
      </c>
      <c r="G4970" s="405" t="s">
        <v>157</v>
      </c>
      <c r="H4970" s="395">
        <f>VLOOKUP(D4945,'Detail Balok'!$C$10:$BJ$140,55,FALSE)</f>
        <v>100</v>
      </c>
      <c r="I4970" s="388"/>
      <c r="J4970" s="399">
        <f t="shared" ref="J4970" si="16074">(D4946-2*F$5)/1000</f>
        <v>0.12</v>
      </c>
      <c r="K4970" s="400" t="s">
        <v>204</v>
      </c>
      <c r="L4970" s="399">
        <f t="shared" si="16067"/>
        <v>0.15</v>
      </c>
      <c r="M4970" s="399" t="s">
        <v>176</v>
      </c>
      <c r="N4970" s="399">
        <f t="shared" si="16068"/>
        <v>0.27</v>
      </c>
      <c r="O4970" s="399"/>
      <c r="P4970" s="399"/>
      <c r="Q4970" s="399"/>
      <c r="R4970" s="399"/>
      <c r="S4970" s="399"/>
      <c r="T4970" s="399" t="s">
        <v>125</v>
      </c>
      <c r="U4970" s="401">
        <f t="shared" si="16069"/>
        <v>0</v>
      </c>
      <c r="V4970" s="399" t="s">
        <v>125</v>
      </c>
      <c r="W4970" s="399">
        <f t="shared" si="16070"/>
        <v>17</v>
      </c>
      <c r="X4970" s="399" t="s">
        <v>125</v>
      </c>
      <c r="Y4970" s="389">
        <f t="shared" ref="Y4970" si="16075">D4955</f>
        <v>3</v>
      </c>
      <c r="Z4970" s="400" t="s">
        <v>176</v>
      </c>
      <c r="AA4970" s="402">
        <f t="shared" si="16072"/>
        <v>0</v>
      </c>
      <c r="AB4970" s="403"/>
    </row>
    <row r="4971" spans="1:28">
      <c r="A4971" s="384" t="str">
        <f t="shared" ref="A4971:B4971" si="16076">A4945</f>
        <v>Lantai 3</v>
      </c>
      <c r="B4971" s="385">
        <f t="shared" si="16076"/>
        <v>23</v>
      </c>
      <c r="C4971" s="393" t="s">
        <v>213</v>
      </c>
      <c r="D4971" s="398">
        <f>VLOOKUP(D4945,'Detail Balok'!$C$10:$BJ$140,56,FALSE)</f>
        <v>0</v>
      </c>
      <c r="E4971" s="388" t="s">
        <v>16</v>
      </c>
      <c r="F4971" s="388">
        <f>VLOOKUP(D4945,'Detail Balok'!$C$10:$BJ$140,58,FALSE)</f>
        <v>0</v>
      </c>
      <c r="G4971" s="405" t="s">
        <v>157</v>
      </c>
      <c r="H4971" s="395">
        <f>VLOOKUP(D4945,'Detail Balok'!$C$10:$BJ$140,60,FALSE)</f>
        <v>100</v>
      </c>
      <c r="I4971" s="388"/>
      <c r="J4971" s="399">
        <f t="shared" ref="J4971" si="16077">(D4946-2*F$5)/1000</f>
        <v>0.12</v>
      </c>
      <c r="K4971" s="400" t="s">
        <v>204</v>
      </c>
      <c r="L4971" s="399">
        <f t="shared" si="16067"/>
        <v>0.15</v>
      </c>
      <c r="M4971" s="399" t="s">
        <v>176</v>
      </c>
      <c r="N4971" s="399">
        <f t="shared" si="16068"/>
        <v>0.27</v>
      </c>
      <c r="O4971" s="399"/>
      <c r="P4971" s="399"/>
      <c r="Q4971" s="399"/>
      <c r="R4971" s="399"/>
      <c r="S4971" s="399"/>
      <c r="T4971" s="399" t="s">
        <v>125</v>
      </c>
      <c r="U4971" s="401">
        <f t="shared" si="16069"/>
        <v>0</v>
      </c>
      <c r="V4971" s="399" t="s">
        <v>125</v>
      </c>
      <c r="W4971" s="399">
        <f t="shared" si="16070"/>
        <v>10</v>
      </c>
      <c r="X4971" s="399" t="s">
        <v>125</v>
      </c>
      <c r="Y4971" s="389">
        <f t="shared" ref="Y4971" si="16078">D4955</f>
        <v>3</v>
      </c>
      <c r="Z4971" s="400" t="s">
        <v>176</v>
      </c>
      <c r="AA4971" s="402">
        <f t="shared" si="16072"/>
        <v>0</v>
      </c>
      <c r="AB4971" s="403"/>
    </row>
    <row r="4972" spans="1:28">
      <c r="A4972" s="391"/>
      <c r="B4972" s="392"/>
      <c r="C4972" s="392"/>
      <c r="D4972" s="394"/>
      <c r="E4972" s="388"/>
      <c r="F4972" s="388"/>
      <c r="G4972" s="388"/>
      <c r="H4972" s="395"/>
      <c r="I4972" s="388"/>
      <c r="J4972" s="402"/>
      <c r="K4972" s="388"/>
      <c r="L4972" s="388"/>
      <c r="M4972" s="388"/>
      <c r="N4972" s="388"/>
      <c r="O4972" s="388"/>
      <c r="P4972" s="388"/>
      <c r="Q4972" s="388"/>
      <c r="R4972" s="388"/>
      <c r="S4972" s="388"/>
      <c r="T4972" s="388"/>
      <c r="U4972" s="388"/>
      <c r="V4972" s="388"/>
      <c r="W4972" s="388"/>
      <c r="X4972" s="388"/>
      <c r="Y4972" s="389"/>
      <c r="Z4972" s="388"/>
      <c r="AA4972" s="402"/>
      <c r="AB4972" s="403"/>
    </row>
    <row r="4973" spans="1:28" ht="15.75" thickBot="1">
      <c r="A4973" s="406"/>
      <c r="B4973" s="407"/>
      <c r="C4973" s="407"/>
      <c r="D4973" s="408"/>
      <c r="E4973" s="409"/>
      <c r="F4973" s="409"/>
      <c r="G4973" s="409"/>
      <c r="H4973" s="410"/>
      <c r="I4973" s="409"/>
      <c r="J4973" s="409"/>
      <c r="K4973" s="409"/>
      <c r="L4973" s="409"/>
      <c r="M4973" s="409"/>
      <c r="N4973" s="409"/>
      <c r="O4973" s="409"/>
      <c r="P4973" s="409"/>
      <c r="Q4973" s="409"/>
      <c r="R4973" s="409"/>
      <c r="S4973" s="409"/>
      <c r="T4973" s="409"/>
      <c r="U4973" s="409"/>
      <c r="V4973" s="409"/>
      <c r="W4973" s="409"/>
      <c r="X4973" s="409"/>
      <c r="Y4973" s="411"/>
      <c r="Z4973" s="409"/>
      <c r="AA4973" s="412"/>
      <c r="AB4973" s="413"/>
    </row>
    <row r="4974" spans="1:28">
      <c r="A4974" s="377"/>
      <c r="B4974" s="378"/>
      <c r="C4974" s="378"/>
      <c r="D4974" s="379"/>
      <c r="E4974" s="380"/>
      <c r="F4974" s="380"/>
      <c r="G4974" s="380"/>
      <c r="H4974" s="381"/>
      <c r="I4974" s="380"/>
      <c r="J4974" s="380"/>
      <c r="K4974" s="380"/>
      <c r="L4974" s="380"/>
      <c r="M4974" s="380"/>
      <c r="N4974" s="380"/>
      <c r="O4974" s="380"/>
      <c r="P4974" s="380"/>
      <c r="Q4974" s="380"/>
      <c r="R4974" s="380"/>
      <c r="S4974" s="380"/>
      <c r="T4974" s="380"/>
      <c r="U4974" s="380"/>
      <c r="V4974" s="380"/>
      <c r="W4974" s="380"/>
      <c r="X4974" s="380"/>
      <c r="Y4974" s="382"/>
      <c r="Z4974" s="380"/>
      <c r="AA4974" s="380"/>
      <c r="AB4974" s="383"/>
    </row>
    <row r="4975" spans="1:28">
      <c r="A4975" s="384" t="str">
        <f t="shared" ref="A4975:A5035" si="16079">A4945</f>
        <v>Lantai 3</v>
      </c>
      <c r="B4975" s="385">
        <f t="shared" ref="B4975:B5035" si="16080">B4945+1</f>
        <v>24</v>
      </c>
      <c r="C4975" s="386" t="str">
        <f t="shared" ref="C4975" si="16081">CONCATENATE(A4975," no. ",B4975)</f>
        <v>Lantai 3 no. 24</v>
      </c>
      <c r="D4975" s="2562" t="str">
        <f>VLOOKUP(C4975,'Data Panjang Balok'!$C$9:$N$254,2,FALSE)</f>
        <v>B25-1</v>
      </c>
      <c r="E4975" s="2576"/>
      <c r="F4975" s="2576"/>
      <c r="G4975" s="2576"/>
      <c r="H4975" s="2577"/>
      <c r="I4975" s="387"/>
      <c r="J4975" s="388"/>
      <c r="K4975" s="388"/>
      <c r="L4975" s="388"/>
      <c r="M4975" s="388"/>
      <c r="N4975" s="388"/>
      <c r="O4975" s="388"/>
      <c r="P4975" s="388"/>
      <c r="Q4975" s="388"/>
      <c r="R4975" s="388"/>
      <c r="S4975" s="388"/>
      <c r="T4975" s="388"/>
      <c r="U4975" s="388"/>
      <c r="V4975" s="388"/>
      <c r="W4975" s="388"/>
      <c r="X4975" s="388"/>
      <c r="Y4975" s="389"/>
      <c r="Z4975" s="388"/>
      <c r="AA4975" s="388"/>
      <c r="AB4975" s="390"/>
    </row>
    <row r="4976" spans="1:28">
      <c r="A4976" s="391"/>
      <c r="B4976" s="392"/>
      <c r="C4976" s="393" t="s">
        <v>118</v>
      </c>
      <c r="D4976" s="2578">
        <f>VLOOKUP(D4975,'Detail Balok'!$C$10:$AU$140,2,FALSE)</f>
        <v>200</v>
      </c>
      <c r="E4976" s="2579"/>
      <c r="F4976" s="388" t="s">
        <v>125</v>
      </c>
      <c r="G4976" s="2579">
        <f>VLOOKUP(D4975,'Detail Balok'!$C$10:$AU$140,3,FALSE)</f>
        <v>500</v>
      </c>
      <c r="H4976" s="2580"/>
      <c r="I4976" s="388"/>
      <c r="J4976" s="396"/>
      <c r="K4976" s="396"/>
      <c r="L4976" s="396"/>
      <c r="M4976" s="396"/>
      <c r="N4976" s="396"/>
      <c r="O4976" s="396"/>
      <c r="P4976" s="396"/>
      <c r="Q4976" s="396"/>
      <c r="R4976" s="396"/>
      <c r="S4976" s="396"/>
      <c r="T4976" s="396"/>
      <c r="U4976" s="388"/>
      <c r="V4976" s="396"/>
      <c r="W4976" s="388"/>
      <c r="X4976" s="396"/>
      <c r="Y4976" s="389"/>
      <c r="Z4976" s="396"/>
      <c r="AA4976" s="388"/>
      <c r="AB4976" s="390"/>
    </row>
    <row r="4977" spans="1:28">
      <c r="A4977" s="391"/>
      <c r="B4977" s="392"/>
      <c r="C4977" s="393" t="s">
        <v>198</v>
      </c>
      <c r="D4977" s="2562">
        <f>VLOOKUP(C4975,'Data Panjang Balok'!$C$9:$N$254,4,FALSE)</f>
        <v>4075</v>
      </c>
      <c r="E4977" s="2563"/>
      <c r="F4977" s="2563"/>
      <c r="G4977" s="2563"/>
      <c r="H4977" s="2564"/>
      <c r="I4977" s="397"/>
      <c r="J4977" s="396"/>
      <c r="K4977" s="396"/>
      <c r="L4977" s="396"/>
      <c r="M4977" s="396"/>
      <c r="N4977" s="396"/>
      <c r="O4977" s="396"/>
      <c r="P4977" s="396"/>
      <c r="Q4977" s="396"/>
      <c r="R4977" s="396"/>
      <c r="S4977" s="396"/>
      <c r="T4977" s="396"/>
      <c r="U4977" s="388"/>
      <c r="V4977" s="396"/>
      <c r="W4977" s="388"/>
      <c r="X4977" s="396"/>
      <c r="Y4977" s="389"/>
      <c r="Z4977" s="396"/>
      <c r="AA4977" s="388"/>
      <c r="AB4977" s="390"/>
    </row>
    <row r="4978" spans="1:28">
      <c r="A4978" s="391"/>
      <c r="B4978" s="392"/>
      <c r="C4978" s="393" t="s">
        <v>199</v>
      </c>
      <c r="D4978" s="2562">
        <f>VLOOKUP(C4975,'Data Panjang Balok'!$C$9:$N$254,7,FALSE)</f>
        <v>4075</v>
      </c>
      <c r="E4978" s="2563"/>
      <c r="F4978" s="2563"/>
      <c r="G4978" s="2563"/>
      <c r="H4978" s="2564"/>
      <c r="I4978" s="397"/>
      <c r="J4978" s="396"/>
      <c r="K4978" s="396"/>
      <c r="L4978" s="396"/>
      <c r="M4978" s="396"/>
      <c r="N4978" s="396"/>
      <c r="O4978" s="396"/>
      <c r="P4978" s="396"/>
      <c r="Q4978" s="396"/>
      <c r="R4978" s="396"/>
      <c r="S4978" s="396"/>
      <c r="T4978" s="396"/>
      <c r="U4978" s="388"/>
      <c r="V4978" s="396"/>
      <c r="W4978" s="388"/>
      <c r="X4978" s="396"/>
      <c r="Y4978" s="389"/>
      <c r="Z4978" s="396"/>
      <c r="AA4978" s="388"/>
      <c r="AB4978" s="390"/>
    </row>
    <row r="4979" spans="1:28">
      <c r="A4979" s="391"/>
      <c r="B4979" s="392"/>
      <c r="C4979" s="393" t="s">
        <v>200</v>
      </c>
      <c r="D4979" s="2562">
        <f>VLOOKUP(C4975,'Data Panjang Balok'!$C$9:$N$254,9,FALSE)</f>
        <v>0</v>
      </c>
      <c r="E4979" s="2563"/>
      <c r="F4979" s="2563"/>
      <c r="G4979" s="2563"/>
      <c r="H4979" s="2564"/>
      <c r="I4979" s="397"/>
      <c r="J4979" s="396"/>
      <c r="K4979" s="396"/>
      <c r="L4979" s="396"/>
      <c r="M4979" s="396"/>
      <c r="N4979" s="396"/>
      <c r="O4979" s="396"/>
      <c r="P4979" s="396"/>
      <c r="Q4979" s="396"/>
      <c r="R4979" s="396"/>
      <c r="S4979" s="396"/>
      <c r="T4979" s="396"/>
      <c r="U4979" s="388"/>
      <c r="V4979" s="396"/>
      <c r="W4979" s="388"/>
      <c r="X4979" s="396"/>
      <c r="Y4979" s="389"/>
      <c r="Z4979" s="396"/>
      <c r="AA4979" s="388"/>
      <c r="AB4979" s="390"/>
    </row>
    <row r="4980" spans="1:28">
      <c r="A4980" s="391"/>
      <c r="B4980" s="392"/>
      <c r="C4980" s="393" t="s">
        <v>201</v>
      </c>
      <c r="D4980" s="2562">
        <f>VLOOKUP(C4975,'Data Panjang Balok'!$C$9:$N$254,10,FALSE)</f>
        <v>0</v>
      </c>
      <c r="E4980" s="2563"/>
      <c r="F4980" s="2563"/>
      <c r="G4980" s="2563"/>
      <c r="H4980" s="2564"/>
      <c r="I4980" s="397"/>
      <c r="J4980" s="396"/>
      <c r="K4980" s="396"/>
      <c r="L4980" s="396"/>
      <c r="M4980" s="396"/>
      <c r="N4980" s="396"/>
      <c r="O4980" s="396"/>
      <c r="P4980" s="396"/>
      <c r="Q4980" s="396"/>
      <c r="R4980" s="396"/>
      <c r="S4980" s="396"/>
      <c r="T4980" s="396"/>
      <c r="U4980" s="388"/>
      <c r="V4980" s="396"/>
      <c r="W4980" s="388"/>
      <c r="X4980" s="396"/>
      <c r="Y4980" s="389"/>
      <c r="Z4980" s="396"/>
      <c r="AA4980" s="388"/>
      <c r="AB4980" s="390"/>
    </row>
    <row r="4981" spans="1:28">
      <c r="A4981" s="391"/>
      <c r="B4981" s="392"/>
      <c r="C4981" s="393" t="s">
        <v>48</v>
      </c>
      <c r="D4981" s="2562">
        <f>VLOOKUP(C4975,'Data Panjang Balok'!$C$9:$N$254,3,FALSE)</f>
        <v>1</v>
      </c>
      <c r="E4981" s="2563"/>
      <c r="F4981" s="2563"/>
      <c r="G4981" s="2563"/>
      <c r="H4981" s="2564"/>
      <c r="I4981" s="397"/>
      <c r="J4981" s="396"/>
      <c r="K4981" s="396"/>
      <c r="L4981" s="396"/>
      <c r="M4981" s="396"/>
      <c r="N4981" s="396"/>
      <c r="O4981" s="396"/>
      <c r="P4981" s="396"/>
      <c r="Q4981" s="396"/>
      <c r="R4981" s="396"/>
      <c r="S4981" s="396"/>
      <c r="T4981" s="396"/>
      <c r="U4981" s="388"/>
      <c r="V4981" s="396"/>
      <c r="W4981" s="388"/>
      <c r="X4981" s="396"/>
      <c r="Y4981" s="389"/>
      <c r="Z4981" s="396"/>
      <c r="AA4981" s="388"/>
      <c r="AB4981" s="390"/>
    </row>
    <row r="4982" spans="1:28">
      <c r="A4982" s="384" t="str">
        <f t="shared" ref="A4982:B4982" si="16082">A4975</f>
        <v>Lantai 3</v>
      </c>
      <c r="B4982" s="385">
        <f t="shared" si="16082"/>
        <v>24</v>
      </c>
      <c r="C4982" s="393" t="s">
        <v>202</v>
      </c>
      <c r="D4982" s="398">
        <f>VLOOKUP(D4975,'Detail Balok'!$C$10:$AU$140,4,FALSE)</f>
        <v>4</v>
      </c>
      <c r="E4982" s="388" t="s">
        <v>16</v>
      </c>
      <c r="F4982" s="388">
        <f>VLOOKUP(D4975,'Detail Balok'!$C$10:$AU$140,6,FALSE)</f>
        <v>16</v>
      </c>
      <c r="G4982" s="388"/>
      <c r="H4982" s="395"/>
      <c r="I4982" s="388" t="s">
        <v>203</v>
      </c>
      <c r="J4982" s="399">
        <f t="shared" ref="J4982" si="16083">+D4977/4/1000</f>
        <v>1.01875</v>
      </c>
      <c r="K4982" s="400" t="s">
        <v>204</v>
      </c>
      <c r="L4982" s="399">
        <f t="shared" ref="L4982" si="16084">MAX(VLOOKUP(F4982,N$6:P$15,3,FALSE)/1000,2/3*D4979/1000)+F$16*F4982/1000</f>
        <v>0.192</v>
      </c>
      <c r="M4982" s="399" t="s">
        <v>176</v>
      </c>
      <c r="N4982" s="399">
        <f t="shared" ref="N4982:N4984" si="16085">J4982+L4982</f>
        <v>1.21075</v>
      </c>
      <c r="O4982" s="399" t="s">
        <v>204</v>
      </c>
      <c r="P4982" s="389">
        <f t="shared" ref="P4982" si="16086">D4982-D4983</f>
        <v>0</v>
      </c>
      <c r="Q4982" s="399" t="s">
        <v>125</v>
      </c>
      <c r="R4982" s="399">
        <f t="shared" ref="R4982" si="16087">IF(P4982&gt;0,$F$18*F4982/1000,0)</f>
        <v>0</v>
      </c>
      <c r="S4982" s="399" t="s">
        <v>205</v>
      </c>
      <c r="T4982" s="399" t="s">
        <v>125</v>
      </c>
      <c r="U4982" s="401">
        <f t="shared" ref="U4982:U4984" si="16088">0.006165*F4982^2</f>
        <v>1.5782400000000001</v>
      </c>
      <c r="V4982" s="399"/>
      <c r="W4982" s="399"/>
      <c r="X4982" s="399" t="s">
        <v>125</v>
      </c>
      <c r="Y4982" s="389">
        <f t="shared" ref="Y4982" si="16089">D4981</f>
        <v>1</v>
      </c>
      <c r="Z4982" s="400" t="s">
        <v>176</v>
      </c>
      <c r="AA4982" s="402">
        <f t="shared" ref="AA4982" si="16090">IF(AA4985=0,(D4982*N4982+P4982*R4982)*U4982*Y4982,0)</f>
        <v>0</v>
      </c>
      <c r="AB4982" s="403"/>
    </row>
    <row r="4983" spans="1:28">
      <c r="A4983" s="384" t="str">
        <f t="shared" ref="A4983:B4983" si="16091">A4975</f>
        <v>Lantai 3</v>
      </c>
      <c r="B4983" s="385">
        <f t="shared" si="16091"/>
        <v>24</v>
      </c>
      <c r="C4983" s="393" t="s">
        <v>206</v>
      </c>
      <c r="D4983" s="398">
        <f>VLOOKUP(D4975,'Detail Balok'!$C$10:$AU$140,7,FALSE)</f>
        <v>4</v>
      </c>
      <c r="E4983" s="388" t="s">
        <v>16</v>
      </c>
      <c r="F4983" s="388">
        <f>VLOOKUP(D4975,'Detail Balok'!$C$10:$AU$140,9,FALSE)</f>
        <v>16</v>
      </c>
      <c r="G4983" s="388"/>
      <c r="H4983" s="395"/>
      <c r="I4983" s="388" t="s">
        <v>203</v>
      </c>
      <c r="J4983" s="399">
        <f t="shared" ref="J4983" si="16092">+D4977/2/1000</f>
        <v>2.0375000000000001</v>
      </c>
      <c r="K4983" s="400" t="s">
        <v>204</v>
      </c>
      <c r="L4983" s="399"/>
      <c r="M4983" s="399" t="s">
        <v>176</v>
      </c>
      <c r="N4983" s="399">
        <f t="shared" si="16085"/>
        <v>2.0375000000000001</v>
      </c>
      <c r="O4983" s="399" t="s">
        <v>204</v>
      </c>
      <c r="P4983" s="389">
        <f t="shared" ref="P4983" si="16093">MAX(D4983-D4982,D4983-D4984)</f>
        <v>0</v>
      </c>
      <c r="Q4983" s="399" t="s">
        <v>125</v>
      </c>
      <c r="R4983" s="399">
        <f t="shared" ref="R4983" si="16094">IF(P4983&gt;0,2*(1-2*$F$19-1/2)*D4978/1000,0)</f>
        <v>0</v>
      </c>
      <c r="S4983" s="399" t="s">
        <v>205</v>
      </c>
      <c r="T4983" s="399" t="s">
        <v>125</v>
      </c>
      <c r="U4983" s="401">
        <f t="shared" si="16088"/>
        <v>1.5782400000000001</v>
      </c>
      <c r="V4983" s="399"/>
      <c r="W4983" s="399"/>
      <c r="X4983" s="399" t="s">
        <v>125</v>
      </c>
      <c r="Y4983" s="389">
        <f t="shared" ref="Y4983" si="16095">D4981</f>
        <v>1</v>
      </c>
      <c r="Z4983" s="400" t="s">
        <v>176</v>
      </c>
      <c r="AA4983" s="402">
        <f t="shared" ref="AA4983" si="16096">IF(AA4985=0,(D4983*N4983+P4983*R4983)*U4983*Y4983,0)</f>
        <v>0</v>
      </c>
      <c r="AB4983" s="403"/>
    </row>
    <row r="4984" spans="1:28">
      <c r="A4984" s="384" t="str">
        <f t="shared" ref="A4984:B4984" si="16097">A4975</f>
        <v>Lantai 3</v>
      </c>
      <c r="B4984" s="385">
        <f t="shared" si="16097"/>
        <v>24</v>
      </c>
      <c r="C4984" s="393" t="s">
        <v>202</v>
      </c>
      <c r="D4984" s="398">
        <f>VLOOKUP(D4975,'Detail Balok'!$C$10:$AU$140,10,FALSE)</f>
        <v>4</v>
      </c>
      <c r="E4984" s="388" t="s">
        <v>16</v>
      </c>
      <c r="F4984" s="388">
        <f>VLOOKUP(D4975,'Detail Balok'!$C$10:$AU$140,12,FALSE)</f>
        <v>16</v>
      </c>
      <c r="G4984" s="388"/>
      <c r="H4984" s="395"/>
      <c r="I4984" s="388" t="s">
        <v>203</v>
      </c>
      <c r="J4984" s="399">
        <f t="shared" ref="J4984" si="16098">+D4977/4/1000</f>
        <v>1.01875</v>
      </c>
      <c r="K4984" s="400" t="s">
        <v>204</v>
      </c>
      <c r="L4984" s="399">
        <f t="shared" ref="L4984" si="16099">MAX(VLOOKUP(F4984,N$6:P$15,3,FALSE)/1000,2/3*D4979/1000)+F$16*F4984/1000</f>
        <v>0.192</v>
      </c>
      <c r="M4984" s="399" t="s">
        <v>176</v>
      </c>
      <c r="N4984" s="399">
        <f t="shared" si="16085"/>
        <v>1.21075</v>
      </c>
      <c r="O4984" s="399" t="s">
        <v>204</v>
      </c>
      <c r="P4984" s="389">
        <f t="shared" ref="P4984" si="16100">D4984-D4983</f>
        <v>0</v>
      </c>
      <c r="Q4984" s="399" t="s">
        <v>125</v>
      </c>
      <c r="R4984" s="399">
        <f t="shared" ref="R4984" si="16101">IF(P4984&gt;0,$F$18*F4984/1000,0)</f>
        <v>0</v>
      </c>
      <c r="S4984" s="399" t="s">
        <v>205</v>
      </c>
      <c r="T4984" s="399" t="s">
        <v>125</v>
      </c>
      <c r="U4984" s="401">
        <f t="shared" si="16088"/>
        <v>1.5782400000000001</v>
      </c>
      <c r="V4984" s="399"/>
      <c r="W4984" s="399"/>
      <c r="X4984" s="399" t="s">
        <v>125</v>
      </c>
      <c r="Y4984" s="389">
        <f t="shared" ref="Y4984" si="16102">D4981</f>
        <v>1</v>
      </c>
      <c r="Z4984" s="400" t="s">
        <v>176</v>
      </c>
      <c r="AA4984" s="402">
        <f t="shared" ref="AA4984" si="16103">IF(AA4985=0,(D4984*N4984+P4984*R4984)*U4984*Y4984,0)</f>
        <v>0</v>
      </c>
      <c r="AB4984" s="403"/>
    </row>
    <row r="4985" spans="1:28">
      <c r="A4985" s="384" t="str">
        <f t="shared" ref="A4985:B4985" si="16104">A4975</f>
        <v>Lantai 3</v>
      </c>
      <c r="B4985" s="385">
        <f t="shared" si="16104"/>
        <v>24</v>
      </c>
      <c r="C4985" s="393"/>
      <c r="D4985" s="398">
        <f t="shared" si="16000"/>
        <v>4</v>
      </c>
      <c r="E4985" s="388" t="s">
        <v>16</v>
      </c>
      <c r="F4985" s="388">
        <f t="shared" si="16001"/>
        <v>16</v>
      </c>
      <c r="G4985" s="388"/>
      <c r="H4985" s="395"/>
      <c r="I4985" s="388"/>
      <c r="J4985" s="396"/>
      <c r="K4985" s="396"/>
      <c r="L4985" s="404" t="s">
        <v>207</v>
      </c>
      <c r="M4985" s="399" t="s">
        <v>176</v>
      </c>
      <c r="N4985" s="399">
        <f t="shared" ref="N4985" si="16105">IF(AND(D4982=D4983,D4982=D4984,D4983=D4984,F4982=F4983,F4982=F4984,F4983=F4984),SUM(N4982:N4984),0)</f>
        <v>4.4589999999999996</v>
      </c>
      <c r="O4985" s="399" t="s">
        <v>204</v>
      </c>
      <c r="P4985" s="389">
        <f t="shared" ref="P4985" si="16106">IF(N4985&gt;12,ROUNDDOWN(N4985/12,0),0)</f>
        <v>0</v>
      </c>
      <c r="Q4985" s="399" t="s">
        <v>125</v>
      </c>
      <c r="R4985" s="399">
        <f t="shared" ref="R4985" si="16107">IF(P4985&gt;0,MAX(VLOOKUP(F4985,$D$6:$G$15,3,FALSE),600),0)/1000</f>
        <v>0</v>
      </c>
      <c r="S4985" s="396"/>
      <c r="T4985" s="396" t="s">
        <v>125</v>
      </c>
      <c r="U4985" s="401">
        <f t="shared" si="16005"/>
        <v>1.5782400000000001</v>
      </c>
      <c r="V4985" s="396" t="s">
        <v>125</v>
      </c>
      <c r="W4985" s="399">
        <f t="shared" ref="W4985" si="16108">D4985</f>
        <v>4</v>
      </c>
      <c r="X4985" s="399" t="s">
        <v>125</v>
      </c>
      <c r="Y4985" s="389">
        <f t="shared" si="16007"/>
        <v>1</v>
      </c>
      <c r="Z4985" s="400" t="s">
        <v>176</v>
      </c>
      <c r="AA4985" s="402">
        <f t="shared" ref="AA4985" si="16109">(N4985+P4985*R4985/1000)*U4985*W4985*Y4985</f>
        <v>28.149488639999998</v>
      </c>
      <c r="AB4985" s="390"/>
    </row>
    <row r="4986" spans="1:28">
      <c r="A4986" s="384"/>
      <c r="B4986" s="385"/>
      <c r="C4986" s="393"/>
      <c r="D4986" s="398"/>
      <c r="E4986" s="388"/>
      <c r="F4986" s="388"/>
      <c r="G4986" s="388"/>
      <c r="H4986" s="395"/>
      <c r="I4986" s="388"/>
      <c r="J4986" s="396"/>
      <c r="K4986" s="396"/>
      <c r="L4986" s="404"/>
      <c r="M4986" s="399"/>
      <c r="N4986" s="399"/>
      <c r="O4986" s="396"/>
      <c r="P4986" s="389"/>
      <c r="Q4986" s="396"/>
      <c r="R4986" s="396"/>
      <c r="S4986" s="396"/>
      <c r="T4986" s="396"/>
      <c r="U4986" s="401"/>
      <c r="V4986" s="396"/>
      <c r="W4986" s="399"/>
      <c r="X4986" s="396"/>
      <c r="Y4986" s="389"/>
      <c r="Z4986" s="396"/>
      <c r="AA4986" s="388"/>
      <c r="AB4986" s="390"/>
    </row>
    <row r="4987" spans="1:28">
      <c r="A4987" s="384" t="str">
        <f t="shared" ref="A4987:B4987" si="16110">A4975</f>
        <v>Lantai 3</v>
      </c>
      <c r="B4987" s="385">
        <f t="shared" si="16110"/>
        <v>24</v>
      </c>
      <c r="C4987" s="393" t="s">
        <v>208</v>
      </c>
      <c r="D4987" s="398">
        <f>VLOOKUP(D4975,'Detail Balok'!$C$10:$AU$140,13,FALSE)</f>
        <v>2</v>
      </c>
      <c r="E4987" s="388" t="s">
        <v>16</v>
      </c>
      <c r="F4987" s="388">
        <f>VLOOKUP(D4975,'Detail Balok'!$C$10:$AU$140,15,FALSE)</f>
        <v>10</v>
      </c>
      <c r="G4987" s="388"/>
      <c r="H4987" s="395"/>
      <c r="I4987" s="388"/>
      <c r="J4987" s="399">
        <f t="shared" ref="J4987" si="16111">+D4977/1000</f>
        <v>4.0750000000000002</v>
      </c>
      <c r="K4987" s="400" t="s">
        <v>204</v>
      </c>
      <c r="L4987" s="399">
        <f t="shared" ref="L4987" si="16112">2*$F$16*F4987/1000</f>
        <v>0.24</v>
      </c>
      <c r="M4987" s="399" t="s">
        <v>176</v>
      </c>
      <c r="N4987" s="399">
        <f t="shared" ref="N4987" si="16113">J4987+L4987</f>
        <v>4.3150000000000004</v>
      </c>
      <c r="O4987" s="399" t="s">
        <v>204</v>
      </c>
      <c r="P4987" s="389">
        <f t="shared" ref="P4987" si="16114">IF(N4987&gt;12,ROUNDDOWN(N4987/12,0),0)</f>
        <v>0</v>
      </c>
      <c r="Q4987" s="399" t="s">
        <v>125</v>
      </c>
      <c r="R4987" s="399">
        <f t="shared" ref="R4987" si="16115">IF(P4987&gt;0,MAX(VLOOKUP(F4987,$D$6:$G$15,3,FALSE),600),0)/1000</f>
        <v>0</v>
      </c>
      <c r="S4987" s="399"/>
      <c r="T4987" s="399" t="s">
        <v>125</v>
      </c>
      <c r="U4987" s="401">
        <f t="shared" ref="U4987" si="16116">0.006165*F4987^2</f>
        <v>0.61650000000000005</v>
      </c>
      <c r="V4987" s="399" t="s">
        <v>125</v>
      </c>
      <c r="W4987" s="399">
        <f t="shared" ref="W4987" si="16117">+D4987</f>
        <v>2</v>
      </c>
      <c r="X4987" s="399" t="s">
        <v>125</v>
      </c>
      <c r="Y4987" s="389">
        <f t="shared" ref="Y4987" si="16118">D4981</f>
        <v>1</v>
      </c>
      <c r="Z4987" s="400" t="s">
        <v>176</v>
      </c>
      <c r="AA4987" s="402">
        <f t="shared" ref="AA4987" si="16119">(N4987+P4987*R4987/1000)*U4987*W4987*Y4987</f>
        <v>5.3203950000000013</v>
      </c>
      <c r="AB4987" s="403"/>
    </row>
    <row r="4988" spans="1:28">
      <c r="A4988" s="384"/>
      <c r="B4988" s="385"/>
      <c r="C4988" s="393"/>
      <c r="D4988" s="398"/>
      <c r="E4988" s="388"/>
      <c r="F4988" s="388"/>
      <c r="G4988" s="388"/>
      <c r="H4988" s="395"/>
      <c r="I4988" s="388"/>
      <c r="J4988" s="399"/>
      <c r="K4988" s="400"/>
      <c r="L4988" s="399"/>
      <c r="M4988" s="399"/>
      <c r="N4988" s="399"/>
      <c r="O4988" s="399"/>
      <c r="P4988" s="389"/>
      <c r="Q4988" s="399"/>
      <c r="R4988" s="399"/>
      <c r="S4988" s="399"/>
      <c r="T4988" s="399"/>
      <c r="U4988" s="401"/>
      <c r="V4988" s="399"/>
      <c r="W4988" s="399"/>
      <c r="X4988" s="399"/>
      <c r="Y4988" s="389"/>
      <c r="Z4988" s="400"/>
      <c r="AA4988" s="402"/>
      <c r="AB4988" s="403"/>
    </row>
    <row r="4989" spans="1:28">
      <c r="A4989" s="384"/>
      <c r="B4989" s="385"/>
      <c r="C4989" s="393"/>
      <c r="D4989" s="398"/>
      <c r="E4989" s="388"/>
      <c r="F4989" s="388"/>
      <c r="G4989" s="388"/>
      <c r="H4989" s="395"/>
      <c r="I4989" s="388"/>
      <c r="J4989" s="396"/>
      <c r="K4989" s="396"/>
      <c r="L4989" s="396"/>
      <c r="M4989" s="396"/>
      <c r="N4989" s="396"/>
      <c r="O4989" s="396"/>
      <c r="P4989" s="389"/>
      <c r="Q4989" s="396"/>
      <c r="R4989" s="396"/>
      <c r="S4989" s="396"/>
      <c r="T4989" s="396"/>
      <c r="U4989" s="401"/>
      <c r="V4989" s="396"/>
      <c r="W4989" s="399"/>
      <c r="X4989" s="396"/>
      <c r="Y4989" s="389"/>
      <c r="Z4989" s="396"/>
      <c r="AA4989" s="388"/>
      <c r="AB4989" s="390"/>
    </row>
    <row r="4990" spans="1:28">
      <c r="A4990" s="384" t="str">
        <f t="shared" ref="A4990:B4990" si="16120">A4975</f>
        <v>Lantai 3</v>
      </c>
      <c r="B4990" s="385">
        <f t="shared" si="16120"/>
        <v>24</v>
      </c>
      <c r="C4990" s="393" t="s">
        <v>209</v>
      </c>
      <c r="D4990" s="398">
        <f>VLOOKUP(D4975,'Detail Balok'!$C$10:$AU$140,22,FALSE)</f>
        <v>4</v>
      </c>
      <c r="E4990" s="388" t="s">
        <v>16</v>
      </c>
      <c r="F4990" s="388">
        <f>VLOOKUP(D4975,'Detail Balok'!$C$10:$AU$140,24,FALSE)</f>
        <v>16</v>
      </c>
      <c r="G4990" s="388"/>
      <c r="H4990" s="395"/>
      <c r="I4990" s="388" t="s">
        <v>203</v>
      </c>
      <c r="J4990" s="399">
        <f t="shared" si="16020"/>
        <v>1.01875</v>
      </c>
      <c r="K4990" s="400" t="s">
        <v>204</v>
      </c>
      <c r="L4990" s="399">
        <f t="shared" ref="L4990" si="16121">MAX(VLOOKUP(F4990,N$6:P$15,3,FALSE)/1000,2/3*D4980/1000)+F$16*F4990/1000</f>
        <v>0.192</v>
      </c>
      <c r="M4990" s="399" t="s">
        <v>176</v>
      </c>
      <c r="N4990" s="399">
        <f t="shared" ref="N4990:N4992" si="16122">J4990+L4990</f>
        <v>1.21075</v>
      </c>
      <c r="O4990" s="399" t="s">
        <v>204</v>
      </c>
      <c r="P4990" s="389">
        <f t="shared" ref="P4990" si="16123">D4990-D4991</f>
        <v>0</v>
      </c>
      <c r="Q4990" s="399" t="s">
        <v>125</v>
      </c>
      <c r="R4990" s="399">
        <f t="shared" ref="R4990" si="16124">IF(P4990&gt;0,$F$18*F4990/1000,0)</f>
        <v>0</v>
      </c>
      <c r="S4990" s="399" t="s">
        <v>205</v>
      </c>
      <c r="T4990" s="399" t="s">
        <v>125</v>
      </c>
      <c r="U4990" s="401">
        <f t="shared" ref="U4990:U4992" si="16125">0.006165*F4990^2</f>
        <v>1.5782400000000001</v>
      </c>
      <c r="V4990" s="399"/>
      <c r="W4990" s="399"/>
      <c r="X4990" s="399" t="s">
        <v>125</v>
      </c>
      <c r="Y4990" s="389">
        <f t="shared" ref="Y4990" si="16126">D4981</f>
        <v>1</v>
      </c>
      <c r="Z4990" s="400" t="s">
        <v>176</v>
      </c>
      <c r="AA4990" s="402">
        <f t="shared" ref="AA4990" si="16127">IF(AA4993=0,(D4990*N4990+P4990*R4990)*U4990*Y4990,0)</f>
        <v>0</v>
      </c>
      <c r="AB4990" s="403"/>
    </row>
    <row r="4991" spans="1:28">
      <c r="A4991" s="384" t="str">
        <f t="shared" ref="A4991:B4991" si="16128">A4975</f>
        <v>Lantai 3</v>
      </c>
      <c r="B4991" s="385">
        <f t="shared" si="16128"/>
        <v>24</v>
      </c>
      <c r="C4991" s="393" t="s">
        <v>210</v>
      </c>
      <c r="D4991" s="398">
        <f>VLOOKUP(D4975,'Detail Balok'!$C$10:$AU$140,25,FALSE)</f>
        <v>4</v>
      </c>
      <c r="E4991" s="388" t="s">
        <v>16</v>
      </c>
      <c r="F4991" s="388">
        <f>VLOOKUP(D4975,'Detail Balok'!$C$10:$AU$140,27,FALSE)</f>
        <v>16</v>
      </c>
      <c r="G4991" s="388"/>
      <c r="H4991" s="395"/>
      <c r="I4991" s="388" t="s">
        <v>203</v>
      </c>
      <c r="J4991" s="399">
        <f t="shared" si="16020"/>
        <v>2.0375000000000001</v>
      </c>
      <c r="K4991" s="400" t="s">
        <v>204</v>
      </c>
      <c r="L4991" s="399"/>
      <c r="M4991" s="399" t="s">
        <v>176</v>
      </c>
      <c r="N4991" s="399">
        <f t="shared" si="16122"/>
        <v>2.0375000000000001</v>
      </c>
      <c r="O4991" s="399" t="s">
        <v>204</v>
      </c>
      <c r="P4991" s="389">
        <f t="shared" ref="P4991" si="16129">MAX(D4991-D4990,D4991-D4992)</f>
        <v>0</v>
      </c>
      <c r="Q4991" s="399" t="s">
        <v>125</v>
      </c>
      <c r="R4991" s="399">
        <f t="shared" ref="R4991" si="16130">IF(P4991&gt;0,2*(1-2*$F$19-1/2)*D4978/1000,0)</f>
        <v>0</v>
      </c>
      <c r="S4991" s="399" t="s">
        <v>205</v>
      </c>
      <c r="T4991" s="399" t="s">
        <v>125</v>
      </c>
      <c r="U4991" s="401">
        <f t="shared" si="16125"/>
        <v>1.5782400000000001</v>
      </c>
      <c r="V4991" s="399"/>
      <c r="W4991" s="399"/>
      <c r="X4991" s="399" t="s">
        <v>125</v>
      </c>
      <c r="Y4991" s="389">
        <f t="shared" ref="Y4991" si="16131">D4981</f>
        <v>1</v>
      </c>
      <c r="Z4991" s="400" t="s">
        <v>176</v>
      </c>
      <c r="AA4991" s="402">
        <f t="shared" ref="AA4991" si="16132">IF(AA4993=0,(D4991*N4991+P4991*R4991)*U4991*Y4991,0)</f>
        <v>0</v>
      </c>
      <c r="AB4991" s="403"/>
    </row>
    <row r="4992" spans="1:28">
      <c r="A4992" s="384" t="str">
        <f t="shared" ref="A4992:B4992" si="16133">A4975</f>
        <v>Lantai 3</v>
      </c>
      <c r="B4992" s="385">
        <f t="shared" si="16133"/>
        <v>24</v>
      </c>
      <c r="C4992" s="393" t="s">
        <v>209</v>
      </c>
      <c r="D4992" s="398">
        <f>VLOOKUP(D4975,'Detail Balok'!$C$10:$AU$140,28,FALSE)</f>
        <v>4</v>
      </c>
      <c r="E4992" s="388" t="s">
        <v>16</v>
      </c>
      <c r="F4992" s="388">
        <f>VLOOKUP(D4975,'Detail Balok'!$C$10:$AU$140,30,FALSE)</f>
        <v>16</v>
      </c>
      <c r="G4992" s="388"/>
      <c r="H4992" s="395"/>
      <c r="I4992" s="388" t="s">
        <v>203</v>
      </c>
      <c r="J4992" s="399">
        <f t="shared" si="16020"/>
        <v>1.01875</v>
      </c>
      <c r="K4992" s="400" t="s">
        <v>204</v>
      </c>
      <c r="L4992" s="399">
        <f t="shared" ref="L4992" si="16134">MAX(VLOOKUP(F4992,N$6:P$15,3,FALSE)/1000,2/3*D4980/1000)+F$16*F4992/1000</f>
        <v>0.192</v>
      </c>
      <c r="M4992" s="399" t="s">
        <v>176</v>
      </c>
      <c r="N4992" s="399">
        <f t="shared" si="16122"/>
        <v>1.21075</v>
      </c>
      <c r="O4992" s="399" t="s">
        <v>204</v>
      </c>
      <c r="P4992" s="389">
        <f t="shared" ref="P4992" si="16135">D4992-D4991</f>
        <v>0</v>
      </c>
      <c r="Q4992" s="399" t="s">
        <v>125</v>
      </c>
      <c r="R4992" s="399">
        <f t="shared" ref="R4992" si="16136">IF(P4992&gt;0,$F$18*F4992/1000,0)</f>
        <v>0</v>
      </c>
      <c r="S4992" s="399" t="s">
        <v>205</v>
      </c>
      <c r="T4992" s="399" t="s">
        <v>125</v>
      </c>
      <c r="U4992" s="401">
        <f t="shared" si="16125"/>
        <v>1.5782400000000001</v>
      </c>
      <c r="V4992" s="399"/>
      <c r="W4992" s="399"/>
      <c r="X4992" s="399" t="s">
        <v>125</v>
      </c>
      <c r="Y4992" s="389">
        <f t="shared" ref="Y4992" si="16137">D4981</f>
        <v>1</v>
      </c>
      <c r="Z4992" s="400" t="s">
        <v>176</v>
      </c>
      <c r="AA4992" s="402">
        <f t="shared" ref="AA4992" si="16138">IF(AA4993=0,(D4992*N4992+P4992*R4992)*U4992*Y4992,0)</f>
        <v>0</v>
      </c>
      <c r="AB4992" s="403"/>
    </row>
    <row r="4993" spans="1:28">
      <c r="A4993" s="384" t="str">
        <f t="shared" ref="A4993:B4993" si="16139">A4975</f>
        <v>Lantai 3</v>
      </c>
      <c r="B4993" s="385">
        <f t="shared" si="16139"/>
        <v>24</v>
      </c>
      <c r="C4993" s="393"/>
      <c r="D4993" s="398">
        <f t="shared" si="16040"/>
        <v>4</v>
      </c>
      <c r="E4993" s="388" t="s">
        <v>16</v>
      </c>
      <c r="F4993" s="388">
        <f t="shared" si="16041"/>
        <v>16</v>
      </c>
      <c r="G4993" s="388"/>
      <c r="H4993" s="395"/>
      <c r="I4993" s="388"/>
      <c r="J4993" s="396"/>
      <c r="K4993" s="396"/>
      <c r="L4993" s="404" t="s">
        <v>207</v>
      </c>
      <c r="M4993" s="399" t="s">
        <v>176</v>
      </c>
      <c r="N4993" s="399">
        <f t="shared" ref="N4993" si="16140">IF(AND(D4990=D4991,D4990=D4992,D4991=D4992,F4990=F4991,F4990=F4992,F4991=F4992),SUM(N4990:N4992),0)</f>
        <v>4.4589999999999996</v>
      </c>
      <c r="O4993" s="399" t="s">
        <v>204</v>
      </c>
      <c r="P4993" s="389">
        <f t="shared" ref="P4993" si="16141">IF(N4993&gt;12,ROUNDDOWN(N4993/12,0),0)</f>
        <v>0</v>
      </c>
      <c r="Q4993" s="399" t="s">
        <v>125</v>
      </c>
      <c r="R4993" s="399">
        <f t="shared" ref="R4993" si="16142">IF(P4993&gt;0,MAX(VLOOKUP(F4993,$D$6:$G$15,3,FALSE),600),0)/1000</f>
        <v>0</v>
      </c>
      <c r="S4993" s="396"/>
      <c r="T4993" s="396" t="s">
        <v>125</v>
      </c>
      <c r="U4993" s="401">
        <f t="shared" si="16045"/>
        <v>1.5782400000000001</v>
      </c>
      <c r="V4993" s="396" t="s">
        <v>125</v>
      </c>
      <c r="W4993" s="399">
        <f t="shared" ref="W4993" si="16143">D4993</f>
        <v>4</v>
      </c>
      <c r="X4993" s="399" t="s">
        <v>125</v>
      </c>
      <c r="Y4993" s="389">
        <f t="shared" si="16047"/>
        <v>1</v>
      </c>
      <c r="Z4993" s="400" t="s">
        <v>176</v>
      </c>
      <c r="AA4993" s="402">
        <f t="shared" ref="AA4993" si="16144">(N4993+P4993*R4993/1000)*U4993*W4993*Y4993</f>
        <v>28.149488639999998</v>
      </c>
      <c r="AB4993" s="403"/>
    </row>
    <row r="4994" spans="1:28">
      <c r="A4994" s="384"/>
      <c r="B4994" s="385"/>
      <c r="C4994" s="393"/>
      <c r="D4994" s="394"/>
      <c r="E4994" s="388"/>
      <c r="F4994" s="388"/>
      <c r="G4994" s="388"/>
      <c r="H4994" s="395"/>
      <c r="I4994" s="388"/>
      <c r="J4994" s="399"/>
      <c r="K4994" s="396"/>
      <c r="L4994" s="396"/>
      <c r="M4994" s="396"/>
      <c r="N4994" s="396"/>
      <c r="O4994" s="396"/>
      <c r="P4994" s="389"/>
      <c r="Q4994" s="396"/>
      <c r="R4994" s="396"/>
      <c r="S4994" s="396"/>
      <c r="T4994" s="396"/>
      <c r="U4994" s="401"/>
      <c r="V4994" s="396"/>
      <c r="W4994" s="388"/>
      <c r="X4994" s="396"/>
      <c r="Y4994" s="389"/>
      <c r="Z4994" s="396"/>
      <c r="AA4994" s="388"/>
      <c r="AB4994" s="390"/>
    </row>
    <row r="4995" spans="1:28">
      <c r="A4995" s="384" t="str">
        <f t="shared" ref="A4995:B4995" si="16145">A4975</f>
        <v>Lantai 3</v>
      </c>
      <c r="B4995" s="385">
        <f t="shared" si="16145"/>
        <v>24</v>
      </c>
      <c r="C4995" s="393" t="s">
        <v>211</v>
      </c>
      <c r="D4995" s="398">
        <f>VLOOKUP(D4975,'Detail Balok'!$C$10:$AU$140,31,FALSE)</f>
        <v>0</v>
      </c>
      <c r="E4995" s="388" t="s">
        <v>16</v>
      </c>
      <c r="F4995" s="388">
        <f>VLOOKUP(D4975,'Detail Balok'!$C$10:$AU$140,33,FALSE)</f>
        <v>10</v>
      </c>
      <c r="G4995" s="405" t="s">
        <v>157</v>
      </c>
      <c r="H4995" s="395">
        <f>VLOOKUP(D4975,'Detail Balok'!$C$10:$AU$140,35,FALSE)</f>
        <v>150</v>
      </c>
      <c r="I4995" s="388"/>
      <c r="J4995" s="400">
        <f t="shared" ref="J4995" si="16146">(IF(D4995=0,(2*(D4976+G4976))-(F$5*8),IF(D4995=3,(2*(D4976+G4976))-(F$5*8)+(G4976-2*F$5),IF(D4995=4,(2*(D4976+G4976))-(F$5*8)+2*(G4976-2*F$5)))))/1000</f>
        <v>1.08</v>
      </c>
      <c r="K4995" s="400" t="s">
        <v>204</v>
      </c>
      <c r="L4995" s="399">
        <f t="shared" ref="L4995:L4997" si="16147">IF(D4995=0,2*MAX(6*F4995,75),(D4995-1)*2*MAX(6*F4995,75))/1000</f>
        <v>0.15</v>
      </c>
      <c r="M4995" s="399" t="s">
        <v>176</v>
      </c>
      <c r="N4995" s="399">
        <f t="shared" ref="N4995:N4997" si="16148">J4995+L4995</f>
        <v>1.23</v>
      </c>
      <c r="O4995" s="399"/>
      <c r="P4995" s="389"/>
      <c r="Q4995" s="399"/>
      <c r="R4995" s="399"/>
      <c r="S4995" s="399"/>
      <c r="T4995" s="399" t="s">
        <v>125</v>
      </c>
      <c r="U4995" s="401">
        <f t="shared" ref="U4995:U4997" si="16149">0.006165*F4995^2</f>
        <v>0.61650000000000005</v>
      </c>
      <c r="V4995" s="399" t="s">
        <v>125</v>
      </c>
      <c r="W4995" s="399">
        <f t="shared" ref="W4995" si="16150">IF(D4978&gt;4*G4976,ROUND(MAX(D4978/4,2*G4976)/H4995,0)+1,ROUND(D4978/H4995,0)+1)</f>
        <v>8</v>
      </c>
      <c r="X4995" s="399" t="s">
        <v>125</v>
      </c>
      <c r="Y4995" s="389">
        <f t="shared" ref="Y4995" si="16151">D4981</f>
        <v>1</v>
      </c>
      <c r="Z4995" s="400" t="s">
        <v>176</v>
      </c>
      <c r="AA4995" s="402">
        <f t="shared" ref="AA4995:AA4997" si="16152">N4995*U4995*W4995*Y4995</f>
        <v>6.0663600000000004</v>
      </c>
      <c r="AB4995" s="403"/>
    </row>
    <row r="4996" spans="1:28">
      <c r="A4996" s="384" t="str">
        <f t="shared" ref="A4996:B4996" si="16153">A4975</f>
        <v>Lantai 3</v>
      </c>
      <c r="B4996" s="385">
        <f t="shared" si="16153"/>
        <v>24</v>
      </c>
      <c r="C4996" s="393" t="s">
        <v>212</v>
      </c>
      <c r="D4996" s="398">
        <f>VLOOKUP(D4975,'Detail Balok'!$C$10:$AU$140,36,FALSE)</f>
        <v>0</v>
      </c>
      <c r="E4996" s="388" t="s">
        <v>16</v>
      </c>
      <c r="F4996" s="388">
        <f>VLOOKUP(D4975,'Detail Balok'!$C$10:$AU$140,38,FALSE)</f>
        <v>10</v>
      </c>
      <c r="G4996" s="405" t="s">
        <v>157</v>
      </c>
      <c r="H4996" s="395">
        <f>VLOOKUP(D4975,'Detail Balok'!$C$10:$AU$140,40,FALSE)</f>
        <v>200</v>
      </c>
      <c r="I4996" s="388"/>
      <c r="J4996" s="400">
        <f t="shared" ref="J4996" si="16154">(IF(D4996=0,(2*(D4976+G4976))-(F$5*8),IF(D4996=3,(2*(D4976+G4976))-(F$5*8)+(G4976-2*F$5),IF(D4996=4,(2*(D4976+G4976))-(F$5*8)+2*(G4976-2*F$5)))))/1000</f>
        <v>1.08</v>
      </c>
      <c r="K4996" s="400" t="s">
        <v>204</v>
      </c>
      <c r="L4996" s="399">
        <f t="shared" si="16147"/>
        <v>0.15</v>
      </c>
      <c r="M4996" s="399" t="s">
        <v>176</v>
      </c>
      <c r="N4996" s="399">
        <f t="shared" si="16148"/>
        <v>1.23</v>
      </c>
      <c r="O4996" s="399"/>
      <c r="P4996" s="389"/>
      <c r="Q4996" s="399"/>
      <c r="R4996" s="399"/>
      <c r="S4996" s="399"/>
      <c r="T4996" s="399" t="s">
        <v>125</v>
      </c>
      <c r="U4996" s="401">
        <f t="shared" si="16149"/>
        <v>0.61650000000000005</v>
      </c>
      <c r="V4996" s="399" t="s">
        <v>125</v>
      </c>
      <c r="W4996" s="399">
        <f t="shared" ref="W4996" si="16155">IF(D4978-MAX(D4978/4,2*G4976)*2&gt;0,ROUND((D4978-MAX(D4978/4,2*G4976)*2)/H4996,0),0)</f>
        <v>10</v>
      </c>
      <c r="X4996" s="399" t="s">
        <v>125</v>
      </c>
      <c r="Y4996" s="389">
        <f t="shared" ref="Y4996" si="16156">D4981</f>
        <v>1</v>
      </c>
      <c r="Z4996" s="400" t="s">
        <v>176</v>
      </c>
      <c r="AA4996" s="402">
        <f t="shared" si="16152"/>
        <v>7.5829500000000003</v>
      </c>
      <c r="AB4996" s="403"/>
    </row>
    <row r="4997" spans="1:28">
      <c r="A4997" s="384" t="str">
        <f t="shared" ref="A4997:B4997" si="16157">A4975</f>
        <v>Lantai 3</v>
      </c>
      <c r="B4997" s="385">
        <f t="shared" si="16157"/>
        <v>24</v>
      </c>
      <c r="C4997" s="393" t="s">
        <v>211</v>
      </c>
      <c r="D4997" s="398">
        <f>VLOOKUP(D4975,'Detail Balok'!$C$10:$AU$140,41,FALSE)</f>
        <v>0</v>
      </c>
      <c r="E4997" s="388" t="s">
        <v>16</v>
      </c>
      <c r="F4997" s="388">
        <f>VLOOKUP(D4975,'Detail Balok'!$C$10:$AU$140,43,FALSE)</f>
        <v>10</v>
      </c>
      <c r="G4997" s="405" t="s">
        <v>157</v>
      </c>
      <c r="H4997" s="395">
        <f>VLOOKUP(D4975,'Detail Balok'!$C$10:$AU$140,45,FALSE)</f>
        <v>150</v>
      </c>
      <c r="I4997" s="388"/>
      <c r="J4997" s="400">
        <f t="shared" ref="J4997" si="16158">(IF(D4997=0,(2*(D4976+G4976))-(F$5*8),IF(D4997=3,(2*(D4976+G4976))-(F$5*8)+(G4976-2*F$5),IF(D4997=4,(2*(D4976+G4976))-(F$5*8)+2*(G4976-2*F$5)))))/1000</f>
        <v>1.08</v>
      </c>
      <c r="K4997" s="400" t="s">
        <v>204</v>
      </c>
      <c r="L4997" s="399">
        <f t="shared" si="16147"/>
        <v>0.15</v>
      </c>
      <c r="M4997" s="399" t="s">
        <v>176</v>
      </c>
      <c r="N4997" s="399">
        <f t="shared" si="16148"/>
        <v>1.23</v>
      </c>
      <c r="O4997" s="399"/>
      <c r="P4997" s="389"/>
      <c r="Q4997" s="399"/>
      <c r="R4997" s="399"/>
      <c r="S4997" s="399"/>
      <c r="T4997" s="399" t="s">
        <v>125</v>
      </c>
      <c r="U4997" s="401">
        <f t="shared" si="16149"/>
        <v>0.61650000000000005</v>
      </c>
      <c r="V4997" s="399" t="s">
        <v>125</v>
      </c>
      <c r="W4997" s="399">
        <f t="shared" ref="W4997" si="16159">IF(D4978&gt;4*G4976,ROUND(MAX(D4978/4,2*G4976)/H4997,0)+1,0)</f>
        <v>8</v>
      </c>
      <c r="X4997" s="399" t="s">
        <v>125</v>
      </c>
      <c r="Y4997" s="389">
        <f t="shared" ref="Y4997" si="16160">D4981</f>
        <v>1</v>
      </c>
      <c r="Z4997" s="400" t="s">
        <v>176</v>
      </c>
      <c r="AA4997" s="402">
        <f t="shared" si="16152"/>
        <v>6.0663600000000004</v>
      </c>
      <c r="AB4997" s="403"/>
    </row>
    <row r="4998" spans="1:28">
      <c r="A4998" s="384"/>
      <c r="B4998" s="385"/>
      <c r="C4998" s="393"/>
      <c r="D4998" s="394"/>
      <c r="E4998" s="388"/>
      <c r="F4998" s="388"/>
      <c r="G4998" s="388"/>
      <c r="H4998" s="395"/>
      <c r="I4998" s="388"/>
      <c r="J4998" s="399"/>
      <c r="K4998" s="396"/>
      <c r="L4998" s="396"/>
      <c r="M4998" s="396"/>
      <c r="N4998" s="396"/>
      <c r="O4998" s="396"/>
      <c r="P4998" s="389"/>
      <c r="Q4998" s="396"/>
      <c r="R4998" s="396"/>
      <c r="S4998" s="396"/>
      <c r="T4998" s="396"/>
      <c r="U4998" s="401"/>
      <c r="V4998" s="396"/>
      <c r="W4998" s="388"/>
      <c r="X4998" s="396"/>
      <c r="Y4998" s="389"/>
      <c r="Z4998" s="396"/>
      <c r="AA4998" s="388"/>
      <c r="AB4998" s="390"/>
    </row>
    <row r="4999" spans="1:28">
      <c r="A4999" s="384" t="str">
        <f t="shared" ref="A4999:B4999" si="16161">A4975</f>
        <v>Lantai 3</v>
      </c>
      <c r="B4999" s="385">
        <f t="shared" si="16161"/>
        <v>24</v>
      </c>
      <c r="C4999" s="393" t="s">
        <v>213</v>
      </c>
      <c r="D4999" s="398">
        <f>VLOOKUP(D4975,'Detail Balok'!$C$10:$BJ$140,46,FALSE)</f>
        <v>0</v>
      </c>
      <c r="E4999" s="388" t="s">
        <v>16</v>
      </c>
      <c r="F4999" s="388">
        <f>VLOOKUP(D4975,'Detail Balok'!$C$10:$BJ$140,48,FALSE)</f>
        <v>0</v>
      </c>
      <c r="G4999" s="405" t="s">
        <v>157</v>
      </c>
      <c r="H4999" s="395">
        <f>VLOOKUP(D4975,'Detail Balok'!$C$10:$BJ$140,50,FALSE)</f>
        <v>100</v>
      </c>
      <c r="I4999" s="388"/>
      <c r="J4999" s="399">
        <f t="shared" ref="J4999" si="16162">(D4976-2*F$5)/1000</f>
        <v>0.12</v>
      </c>
      <c r="K4999" s="400" t="s">
        <v>204</v>
      </c>
      <c r="L4999" s="399">
        <f t="shared" ref="L4999:L5001" si="16163">IF(D4999=0,2*MAX(6*F4999,75),(D4999-1)*2*MAX(6*F4999,75))/1000</f>
        <v>0.15</v>
      </c>
      <c r="M4999" s="399" t="s">
        <v>176</v>
      </c>
      <c r="N4999" s="399">
        <f t="shared" ref="N4999:N5001" si="16164">J4999+L4999</f>
        <v>0.27</v>
      </c>
      <c r="O4999" s="399"/>
      <c r="P4999" s="399"/>
      <c r="Q4999" s="399"/>
      <c r="R4999" s="399"/>
      <c r="S4999" s="399"/>
      <c r="T4999" s="399" t="s">
        <v>125</v>
      </c>
      <c r="U4999" s="401">
        <f t="shared" ref="U4999:U5001" si="16165">0.006165*F4999^2</f>
        <v>0</v>
      </c>
      <c r="V4999" s="399" t="s">
        <v>125</v>
      </c>
      <c r="W4999" s="399">
        <f t="shared" si="16070"/>
        <v>8</v>
      </c>
      <c r="X4999" s="399" t="s">
        <v>125</v>
      </c>
      <c r="Y4999" s="389">
        <f t="shared" ref="Y4999" si="16166">D4985</f>
        <v>4</v>
      </c>
      <c r="Z4999" s="400" t="s">
        <v>176</v>
      </c>
      <c r="AA4999" s="402">
        <f t="shared" ref="AA4999:AA5001" si="16167">N4999*U4999*W4999*Y4999</f>
        <v>0</v>
      </c>
      <c r="AB4999" s="403"/>
    </row>
    <row r="5000" spans="1:28">
      <c r="A5000" s="384" t="str">
        <f t="shared" ref="A5000:B5000" si="16168">A4975</f>
        <v>Lantai 3</v>
      </c>
      <c r="B5000" s="385">
        <f t="shared" si="16168"/>
        <v>24</v>
      </c>
      <c r="C5000" s="393" t="s">
        <v>214</v>
      </c>
      <c r="D5000" s="398">
        <f>VLOOKUP(D4975,'Detail Balok'!$C$10:$BJ$140,51,FALSE)</f>
        <v>0</v>
      </c>
      <c r="E5000" s="388" t="s">
        <v>16</v>
      </c>
      <c r="F5000" s="388">
        <f>VLOOKUP(D4975,'Detail Balok'!$C$10:$BJ$140,53,FALSE)</f>
        <v>0</v>
      </c>
      <c r="G5000" s="405" t="s">
        <v>157</v>
      </c>
      <c r="H5000" s="395">
        <f>VLOOKUP(D4975,'Detail Balok'!$C$10:$BJ$140,55,FALSE)</f>
        <v>100</v>
      </c>
      <c r="I5000" s="388"/>
      <c r="J5000" s="399">
        <f t="shared" ref="J5000" si="16169">(D4976-2*F$5)/1000</f>
        <v>0.12</v>
      </c>
      <c r="K5000" s="400" t="s">
        <v>204</v>
      </c>
      <c r="L5000" s="399">
        <f t="shared" si="16163"/>
        <v>0.15</v>
      </c>
      <c r="M5000" s="399" t="s">
        <v>176</v>
      </c>
      <c r="N5000" s="399">
        <f t="shared" si="16164"/>
        <v>0.27</v>
      </c>
      <c r="O5000" s="399"/>
      <c r="P5000" s="399"/>
      <c r="Q5000" s="399"/>
      <c r="R5000" s="399"/>
      <c r="S5000" s="399"/>
      <c r="T5000" s="399" t="s">
        <v>125</v>
      </c>
      <c r="U5000" s="401">
        <f t="shared" si="16165"/>
        <v>0</v>
      </c>
      <c r="V5000" s="399" t="s">
        <v>125</v>
      </c>
      <c r="W5000" s="399">
        <f t="shared" si="16070"/>
        <v>10</v>
      </c>
      <c r="X5000" s="399" t="s">
        <v>125</v>
      </c>
      <c r="Y5000" s="389">
        <f t="shared" ref="Y5000" si="16170">D4985</f>
        <v>4</v>
      </c>
      <c r="Z5000" s="400" t="s">
        <v>176</v>
      </c>
      <c r="AA5000" s="402">
        <f t="shared" si="16167"/>
        <v>0</v>
      </c>
      <c r="AB5000" s="403"/>
    </row>
    <row r="5001" spans="1:28">
      <c r="A5001" s="384" t="str">
        <f t="shared" ref="A5001:B5001" si="16171">A4975</f>
        <v>Lantai 3</v>
      </c>
      <c r="B5001" s="385">
        <f t="shared" si="16171"/>
        <v>24</v>
      </c>
      <c r="C5001" s="393" t="s">
        <v>213</v>
      </c>
      <c r="D5001" s="398">
        <f>VLOOKUP(D4975,'Detail Balok'!$C$10:$BJ$140,56,FALSE)</f>
        <v>0</v>
      </c>
      <c r="E5001" s="388" t="s">
        <v>16</v>
      </c>
      <c r="F5001" s="388">
        <f>VLOOKUP(D4975,'Detail Balok'!$C$10:$BJ$140,58,FALSE)</f>
        <v>0</v>
      </c>
      <c r="G5001" s="405" t="s">
        <v>157</v>
      </c>
      <c r="H5001" s="395">
        <f>VLOOKUP(D4975,'Detail Balok'!$C$10:$BJ$140,60,FALSE)</f>
        <v>100</v>
      </c>
      <c r="I5001" s="388"/>
      <c r="J5001" s="399">
        <f t="shared" ref="J5001" si="16172">(D4976-2*F$5)/1000</f>
        <v>0.12</v>
      </c>
      <c r="K5001" s="400" t="s">
        <v>204</v>
      </c>
      <c r="L5001" s="399">
        <f t="shared" si="16163"/>
        <v>0.15</v>
      </c>
      <c r="M5001" s="399" t="s">
        <v>176</v>
      </c>
      <c r="N5001" s="399">
        <f t="shared" si="16164"/>
        <v>0.27</v>
      </c>
      <c r="O5001" s="399"/>
      <c r="P5001" s="399"/>
      <c r="Q5001" s="399"/>
      <c r="R5001" s="399"/>
      <c r="S5001" s="399"/>
      <c r="T5001" s="399" t="s">
        <v>125</v>
      </c>
      <c r="U5001" s="401">
        <f t="shared" si="16165"/>
        <v>0</v>
      </c>
      <c r="V5001" s="399" t="s">
        <v>125</v>
      </c>
      <c r="W5001" s="399">
        <f t="shared" si="16070"/>
        <v>8</v>
      </c>
      <c r="X5001" s="399" t="s">
        <v>125</v>
      </c>
      <c r="Y5001" s="389">
        <f t="shared" ref="Y5001" si="16173">D4985</f>
        <v>4</v>
      </c>
      <c r="Z5001" s="400" t="s">
        <v>176</v>
      </c>
      <c r="AA5001" s="402">
        <f t="shared" si="16167"/>
        <v>0</v>
      </c>
      <c r="AB5001" s="403"/>
    </row>
    <row r="5002" spans="1:28">
      <c r="A5002" s="391"/>
      <c r="B5002" s="392"/>
      <c r="C5002" s="392"/>
      <c r="D5002" s="394"/>
      <c r="E5002" s="388"/>
      <c r="F5002" s="388"/>
      <c r="G5002" s="388"/>
      <c r="H5002" s="395"/>
      <c r="I5002" s="388"/>
      <c r="J5002" s="402"/>
      <c r="K5002" s="388"/>
      <c r="L5002" s="388"/>
      <c r="M5002" s="388"/>
      <c r="N5002" s="388"/>
      <c r="O5002" s="388"/>
      <c r="P5002" s="388"/>
      <c r="Q5002" s="388"/>
      <c r="R5002" s="388"/>
      <c r="S5002" s="388"/>
      <c r="T5002" s="388"/>
      <c r="U5002" s="388"/>
      <c r="V5002" s="388"/>
      <c r="W5002" s="388"/>
      <c r="X5002" s="388"/>
      <c r="Y5002" s="389"/>
      <c r="Z5002" s="388"/>
      <c r="AA5002" s="402"/>
      <c r="AB5002" s="403"/>
    </row>
    <row r="5003" spans="1:28" ht="15.75" thickBot="1">
      <c r="A5003" s="406"/>
      <c r="B5003" s="407"/>
      <c r="C5003" s="407"/>
      <c r="D5003" s="408"/>
      <c r="E5003" s="409"/>
      <c r="F5003" s="409"/>
      <c r="G5003" s="409"/>
      <c r="H5003" s="410"/>
      <c r="I5003" s="409"/>
      <c r="J5003" s="409"/>
      <c r="K5003" s="409"/>
      <c r="L5003" s="409"/>
      <c r="M5003" s="409"/>
      <c r="N5003" s="409"/>
      <c r="O5003" s="409"/>
      <c r="P5003" s="409"/>
      <c r="Q5003" s="409"/>
      <c r="R5003" s="409"/>
      <c r="S5003" s="409"/>
      <c r="T5003" s="409"/>
      <c r="U5003" s="409"/>
      <c r="V5003" s="409"/>
      <c r="W5003" s="409"/>
      <c r="X5003" s="409"/>
      <c r="Y5003" s="411"/>
      <c r="Z5003" s="409"/>
      <c r="AA5003" s="412"/>
      <c r="AB5003" s="413"/>
    </row>
    <row r="5004" spans="1:28">
      <c r="A5004" s="377"/>
      <c r="B5004" s="378"/>
      <c r="C5004" s="378"/>
      <c r="D5004" s="379"/>
      <c r="E5004" s="380"/>
      <c r="F5004" s="380"/>
      <c r="G5004" s="380"/>
      <c r="H5004" s="381"/>
      <c r="I5004" s="380"/>
      <c r="J5004" s="380"/>
      <c r="K5004" s="380"/>
      <c r="L5004" s="380"/>
      <c r="M5004" s="380"/>
      <c r="N5004" s="380"/>
      <c r="O5004" s="380"/>
      <c r="P5004" s="380"/>
      <c r="Q5004" s="380"/>
      <c r="R5004" s="380"/>
      <c r="S5004" s="380"/>
      <c r="T5004" s="380"/>
      <c r="U5004" s="380"/>
      <c r="V5004" s="380"/>
      <c r="W5004" s="380"/>
      <c r="X5004" s="380"/>
      <c r="Y5004" s="382"/>
      <c r="Z5004" s="380"/>
      <c r="AA5004" s="380"/>
      <c r="AB5004" s="383"/>
    </row>
    <row r="5005" spans="1:28">
      <c r="A5005" s="384" t="str">
        <f t="shared" si="16079"/>
        <v>Lantai 3</v>
      </c>
      <c r="B5005" s="385">
        <f t="shared" si="16080"/>
        <v>25</v>
      </c>
      <c r="C5005" s="386" t="str">
        <f t="shared" ref="C5005" si="16174">CONCATENATE(A5005," no. ",B5005)</f>
        <v>Lantai 3 no. 25</v>
      </c>
      <c r="D5005" s="2562" t="str">
        <f>VLOOKUP(C5005,'Data Panjang Balok'!$C$9:$N$254,2,FALSE)</f>
        <v>CL24-1</v>
      </c>
      <c r="E5005" s="2576"/>
      <c r="F5005" s="2576"/>
      <c r="G5005" s="2576"/>
      <c r="H5005" s="2577"/>
      <c r="I5005" s="387"/>
      <c r="J5005" s="388"/>
      <c r="K5005" s="388"/>
      <c r="L5005" s="388"/>
      <c r="M5005" s="388"/>
      <c r="N5005" s="388"/>
      <c r="O5005" s="388"/>
      <c r="P5005" s="388"/>
      <c r="Q5005" s="388"/>
      <c r="R5005" s="388"/>
      <c r="S5005" s="388"/>
      <c r="T5005" s="388"/>
      <c r="U5005" s="388"/>
      <c r="V5005" s="388"/>
      <c r="W5005" s="388"/>
      <c r="X5005" s="388"/>
      <c r="Y5005" s="389"/>
      <c r="Z5005" s="388"/>
      <c r="AA5005" s="388"/>
      <c r="AB5005" s="390"/>
    </row>
    <row r="5006" spans="1:28">
      <c r="A5006" s="391"/>
      <c r="B5006" s="392"/>
      <c r="C5006" s="393" t="s">
        <v>118</v>
      </c>
      <c r="D5006" s="2578">
        <f>VLOOKUP(D5005,'Detail Balok'!$C$10:$AU$140,2,FALSE)</f>
        <v>200</v>
      </c>
      <c r="E5006" s="2579"/>
      <c r="F5006" s="388" t="s">
        <v>125</v>
      </c>
      <c r="G5006" s="2579">
        <f>VLOOKUP(D5005,'Detail Balok'!$C$10:$AU$140,3,FALSE)</f>
        <v>400</v>
      </c>
      <c r="H5006" s="2580"/>
      <c r="I5006" s="388"/>
      <c r="J5006" s="396"/>
      <c r="K5006" s="396"/>
      <c r="L5006" s="396"/>
      <c r="M5006" s="396"/>
      <c r="N5006" s="396"/>
      <c r="O5006" s="396"/>
      <c r="P5006" s="396"/>
      <c r="Q5006" s="396"/>
      <c r="R5006" s="396"/>
      <c r="S5006" s="396"/>
      <c r="T5006" s="396"/>
      <c r="U5006" s="388"/>
      <c r="V5006" s="396"/>
      <c r="W5006" s="388"/>
      <c r="X5006" s="396"/>
      <c r="Y5006" s="389"/>
      <c r="Z5006" s="396"/>
      <c r="AA5006" s="388"/>
      <c r="AB5006" s="390"/>
    </row>
    <row r="5007" spans="1:28">
      <c r="A5007" s="391"/>
      <c r="B5007" s="392"/>
      <c r="C5007" s="393" t="s">
        <v>198</v>
      </c>
      <c r="D5007" s="2562">
        <f>VLOOKUP(C5005,'Data Panjang Balok'!$C$9:$N$254,4,FALSE)</f>
        <v>1075</v>
      </c>
      <c r="E5007" s="2563"/>
      <c r="F5007" s="2563"/>
      <c r="G5007" s="2563"/>
      <c r="H5007" s="2564"/>
      <c r="I5007" s="397"/>
      <c r="J5007" s="396"/>
      <c r="K5007" s="396"/>
      <c r="L5007" s="396"/>
      <c r="M5007" s="396"/>
      <c r="N5007" s="396"/>
      <c r="O5007" s="396"/>
      <c r="P5007" s="396"/>
      <c r="Q5007" s="396"/>
      <c r="R5007" s="396"/>
      <c r="S5007" s="396"/>
      <c r="T5007" s="396"/>
      <c r="U5007" s="388"/>
      <c r="V5007" s="396"/>
      <c r="W5007" s="388"/>
      <c r="X5007" s="396"/>
      <c r="Y5007" s="389"/>
      <c r="Z5007" s="396"/>
      <c r="AA5007" s="388"/>
      <c r="AB5007" s="390"/>
    </row>
    <row r="5008" spans="1:28">
      <c r="A5008" s="391"/>
      <c r="B5008" s="392"/>
      <c r="C5008" s="393" t="s">
        <v>199</v>
      </c>
      <c r="D5008" s="2562">
        <f>VLOOKUP(C5005,'Data Panjang Balok'!$C$9:$N$254,7,FALSE)</f>
        <v>1075</v>
      </c>
      <c r="E5008" s="2563"/>
      <c r="F5008" s="2563"/>
      <c r="G5008" s="2563"/>
      <c r="H5008" s="2564"/>
      <c r="I5008" s="397"/>
      <c r="J5008" s="396"/>
      <c r="K5008" s="396"/>
      <c r="L5008" s="396"/>
      <c r="M5008" s="396"/>
      <c r="N5008" s="396"/>
      <c r="O5008" s="396"/>
      <c r="P5008" s="396"/>
      <c r="Q5008" s="396"/>
      <c r="R5008" s="396"/>
      <c r="S5008" s="396"/>
      <c r="T5008" s="396"/>
      <c r="U5008" s="388"/>
      <c r="V5008" s="396"/>
      <c r="W5008" s="388"/>
      <c r="X5008" s="396"/>
      <c r="Y5008" s="389"/>
      <c r="Z5008" s="396"/>
      <c r="AA5008" s="388"/>
      <c r="AB5008" s="390"/>
    </row>
    <row r="5009" spans="1:28">
      <c r="A5009" s="391"/>
      <c r="B5009" s="392"/>
      <c r="C5009" s="393" t="s">
        <v>200</v>
      </c>
      <c r="D5009" s="2562">
        <f>VLOOKUP(C5005,'Data Panjang Balok'!$C$9:$N$254,9,FALSE)</f>
        <v>0</v>
      </c>
      <c r="E5009" s="2563"/>
      <c r="F5009" s="2563"/>
      <c r="G5009" s="2563"/>
      <c r="H5009" s="2564"/>
      <c r="I5009" s="397"/>
      <c r="J5009" s="396"/>
      <c r="K5009" s="396"/>
      <c r="L5009" s="396"/>
      <c r="M5009" s="396"/>
      <c r="N5009" s="396"/>
      <c r="O5009" s="396"/>
      <c r="P5009" s="396"/>
      <c r="Q5009" s="396"/>
      <c r="R5009" s="396"/>
      <c r="S5009" s="396"/>
      <c r="T5009" s="396"/>
      <c r="U5009" s="388"/>
      <c r="V5009" s="396"/>
      <c r="W5009" s="388"/>
      <c r="X5009" s="396"/>
      <c r="Y5009" s="389"/>
      <c r="Z5009" s="396"/>
      <c r="AA5009" s="388"/>
      <c r="AB5009" s="390"/>
    </row>
    <row r="5010" spans="1:28">
      <c r="A5010" s="391"/>
      <c r="B5010" s="392"/>
      <c r="C5010" s="393" t="s">
        <v>201</v>
      </c>
      <c r="D5010" s="2562">
        <f>VLOOKUP(C5005,'Data Panjang Balok'!$C$9:$N$254,10,FALSE)</f>
        <v>0</v>
      </c>
      <c r="E5010" s="2563"/>
      <c r="F5010" s="2563"/>
      <c r="G5010" s="2563"/>
      <c r="H5010" s="2564"/>
      <c r="I5010" s="397"/>
      <c r="J5010" s="396"/>
      <c r="K5010" s="396"/>
      <c r="L5010" s="396"/>
      <c r="M5010" s="396"/>
      <c r="N5010" s="396"/>
      <c r="O5010" s="396"/>
      <c r="P5010" s="396"/>
      <c r="Q5010" s="396"/>
      <c r="R5010" s="396"/>
      <c r="S5010" s="396"/>
      <c r="T5010" s="396"/>
      <c r="U5010" s="388"/>
      <c r="V5010" s="396"/>
      <c r="W5010" s="388"/>
      <c r="X5010" s="396"/>
      <c r="Y5010" s="389"/>
      <c r="Z5010" s="396"/>
      <c r="AA5010" s="388"/>
      <c r="AB5010" s="390"/>
    </row>
    <row r="5011" spans="1:28">
      <c r="A5011" s="391"/>
      <c r="B5011" s="392"/>
      <c r="C5011" s="393" t="s">
        <v>48</v>
      </c>
      <c r="D5011" s="2562">
        <f>VLOOKUP(C5005,'Data Panjang Balok'!$C$9:$N$254,3,FALSE)</f>
        <v>1</v>
      </c>
      <c r="E5011" s="2563"/>
      <c r="F5011" s="2563"/>
      <c r="G5011" s="2563"/>
      <c r="H5011" s="2564"/>
      <c r="I5011" s="397"/>
      <c r="J5011" s="396"/>
      <c r="K5011" s="396"/>
      <c r="L5011" s="396"/>
      <c r="M5011" s="396"/>
      <c r="N5011" s="396"/>
      <c r="O5011" s="396"/>
      <c r="P5011" s="396"/>
      <c r="Q5011" s="396"/>
      <c r="R5011" s="396"/>
      <c r="S5011" s="396"/>
      <c r="T5011" s="396"/>
      <c r="U5011" s="388"/>
      <c r="V5011" s="396"/>
      <c r="W5011" s="388"/>
      <c r="X5011" s="396"/>
      <c r="Y5011" s="389"/>
      <c r="Z5011" s="396"/>
      <c r="AA5011" s="388"/>
      <c r="AB5011" s="390"/>
    </row>
    <row r="5012" spans="1:28">
      <c r="A5012" s="384" t="str">
        <f t="shared" ref="A5012:B5012" si="16175">A5005</f>
        <v>Lantai 3</v>
      </c>
      <c r="B5012" s="385">
        <f t="shared" si="16175"/>
        <v>25</v>
      </c>
      <c r="C5012" s="393" t="s">
        <v>202</v>
      </c>
      <c r="D5012" s="398">
        <f>VLOOKUP(D5005,'Detail Balok'!$C$10:$AU$140,4,FALSE)</f>
        <v>3</v>
      </c>
      <c r="E5012" s="388" t="s">
        <v>16</v>
      </c>
      <c r="F5012" s="388">
        <f>VLOOKUP(D5005,'Detail Balok'!$C$10:$AU$140,6,FALSE)</f>
        <v>16</v>
      </c>
      <c r="G5012" s="388"/>
      <c r="H5012" s="395"/>
      <c r="I5012" s="388" t="s">
        <v>203</v>
      </c>
      <c r="J5012" s="399">
        <f t="shared" ref="J5012" si="16176">+D5007/4/1000</f>
        <v>0.26874999999999999</v>
      </c>
      <c r="K5012" s="400" t="s">
        <v>204</v>
      </c>
      <c r="L5012" s="399">
        <f t="shared" ref="L5012" si="16177">MAX(VLOOKUP(F5012,N$6:P$15,3,FALSE)/1000,2/3*D5009/1000)+F$16*F5012/1000</f>
        <v>0.192</v>
      </c>
      <c r="M5012" s="399" t="s">
        <v>176</v>
      </c>
      <c r="N5012" s="399">
        <f t="shared" ref="N5012:N5014" si="16178">J5012+L5012</f>
        <v>0.46074999999999999</v>
      </c>
      <c r="O5012" s="399" t="s">
        <v>204</v>
      </c>
      <c r="P5012" s="389">
        <f t="shared" ref="P5012" si="16179">D5012-D5013</f>
        <v>0</v>
      </c>
      <c r="Q5012" s="399" t="s">
        <v>125</v>
      </c>
      <c r="R5012" s="399">
        <f t="shared" ref="R5012" si="16180">IF(P5012&gt;0,$F$18*F5012/1000,0)</f>
        <v>0</v>
      </c>
      <c r="S5012" s="399" t="s">
        <v>205</v>
      </c>
      <c r="T5012" s="399" t="s">
        <v>125</v>
      </c>
      <c r="U5012" s="401">
        <f t="shared" ref="U5012:U5014" si="16181">0.006165*F5012^2</f>
        <v>1.5782400000000001</v>
      </c>
      <c r="V5012" s="399"/>
      <c r="W5012" s="399"/>
      <c r="X5012" s="399" t="s">
        <v>125</v>
      </c>
      <c r="Y5012" s="389">
        <f t="shared" ref="Y5012" si="16182">D5011</f>
        <v>1</v>
      </c>
      <c r="Z5012" s="400" t="s">
        <v>176</v>
      </c>
      <c r="AA5012" s="402">
        <f t="shared" ref="AA5012" si="16183">IF(AA5015=0,(D5012*N5012+P5012*R5012)*U5012*Y5012,0)</f>
        <v>0</v>
      </c>
      <c r="AB5012" s="403"/>
    </row>
    <row r="5013" spans="1:28">
      <c r="A5013" s="384" t="str">
        <f t="shared" ref="A5013:B5013" si="16184">A5005</f>
        <v>Lantai 3</v>
      </c>
      <c r="B5013" s="385">
        <f t="shared" si="16184"/>
        <v>25</v>
      </c>
      <c r="C5013" s="393" t="s">
        <v>206</v>
      </c>
      <c r="D5013" s="398">
        <f>VLOOKUP(D5005,'Detail Balok'!$C$10:$AU$140,7,FALSE)</f>
        <v>3</v>
      </c>
      <c r="E5013" s="388" t="s">
        <v>16</v>
      </c>
      <c r="F5013" s="388">
        <f>VLOOKUP(D5005,'Detail Balok'!$C$10:$AU$140,9,FALSE)</f>
        <v>16</v>
      </c>
      <c r="G5013" s="388"/>
      <c r="H5013" s="395"/>
      <c r="I5013" s="388" t="s">
        <v>203</v>
      </c>
      <c r="J5013" s="399">
        <f t="shared" ref="J5013" si="16185">+D5007/2/1000</f>
        <v>0.53749999999999998</v>
      </c>
      <c r="K5013" s="400" t="s">
        <v>204</v>
      </c>
      <c r="L5013" s="399"/>
      <c r="M5013" s="399" t="s">
        <v>176</v>
      </c>
      <c r="N5013" s="399">
        <f t="shared" si="16178"/>
        <v>0.53749999999999998</v>
      </c>
      <c r="O5013" s="399" t="s">
        <v>204</v>
      </c>
      <c r="P5013" s="389">
        <f t="shared" ref="P5013" si="16186">MAX(D5013-D5012,D5013-D5014)</f>
        <v>0</v>
      </c>
      <c r="Q5013" s="399" t="s">
        <v>125</v>
      </c>
      <c r="R5013" s="399">
        <f t="shared" ref="R5013" si="16187">IF(P5013&gt;0,2*(1-2*$F$19-1/2)*D5008/1000,0)</f>
        <v>0</v>
      </c>
      <c r="S5013" s="399" t="s">
        <v>205</v>
      </c>
      <c r="T5013" s="399" t="s">
        <v>125</v>
      </c>
      <c r="U5013" s="401">
        <f t="shared" si="16181"/>
        <v>1.5782400000000001</v>
      </c>
      <c r="V5013" s="399"/>
      <c r="W5013" s="399"/>
      <c r="X5013" s="399" t="s">
        <v>125</v>
      </c>
      <c r="Y5013" s="389">
        <f t="shared" ref="Y5013" si="16188">D5011</f>
        <v>1</v>
      </c>
      <c r="Z5013" s="400" t="s">
        <v>176</v>
      </c>
      <c r="AA5013" s="402">
        <f t="shared" ref="AA5013" si="16189">IF(AA5015=0,(D5013*N5013+P5013*R5013)*U5013*Y5013,0)</f>
        <v>0</v>
      </c>
      <c r="AB5013" s="403"/>
    </row>
    <row r="5014" spans="1:28">
      <c r="A5014" s="384" t="str">
        <f t="shared" ref="A5014:B5014" si="16190">A5005</f>
        <v>Lantai 3</v>
      </c>
      <c r="B5014" s="385">
        <f t="shared" si="16190"/>
        <v>25</v>
      </c>
      <c r="C5014" s="393" t="s">
        <v>202</v>
      </c>
      <c r="D5014" s="398">
        <f>VLOOKUP(D5005,'Detail Balok'!$C$10:$AU$140,10,FALSE)</f>
        <v>3</v>
      </c>
      <c r="E5014" s="388" t="s">
        <v>16</v>
      </c>
      <c r="F5014" s="388">
        <f>VLOOKUP(D5005,'Detail Balok'!$C$10:$AU$140,12,FALSE)</f>
        <v>16</v>
      </c>
      <c r="G5014" s="388"/>
      <c r="H5014" s="395"/>
      <c r="I5014" s="388" t="s">
        <v>203</v>
      </c>
      <c r="J5014" s="399">
        <f t="shared" ref="J5014" si="16191">+D5007/4/1000</f>
        <v>0.26874999999999999</v>
      </c>
      <c r="K5014" s="400" t="s">
        <v>204</v>
      </c>
      <c r="L5014" s="399">
        <f t="shared" ref="L5014" si="16192">MAX(VLOOKUP(F5014,N$6:P$15,3,FALSE)/1000,2/3*D5009/1000)+F$16*F5014/1000</f>
        <v>0.192</v>
      </c>
      <c r="M5014" s="399" t="s">
        <v>176</v>
      </c>
      <c r="N5014" s="399">
        <f t="shared" si="16178"/>
        <v>0.46074999999999999</v>
      </c>
      <c r="O5014" s="399" t="s">
        <v>204</v>
      </c>
      <c r="P5014" s="389">
        <f t="shared" ref="P5014" si="16193">D5014-D5013</f>
        <v>0</v>
      </c>
      <c r="Q5014" s="399" t="s">
        <v>125</v>
      </c>
      <c r="R5014" s="399">
        <f t="shared" ref="R5014" si="16194">IF(P5014&gt;0,$F$18*F5014/1000,0)</f>
        <v>0</v>
      </c>
      <c r="S5014" s="399" t="s">
        <v>205</v>
      </c>
      <c r="T5014" s="399" t="s">
        <v>125</v>
      </c>
      <c r="U5014" s="401">
        <f t="shared" si="16181"/>
        <v>1.5782400000000001</v>
      </c>
      <c r="V5014" s="399"/>
      <c r="W5014" s="399"/>
      <c r="X5014" s="399" t="s">
        <v>125</v>
      </c>
      <c r="Y5014" s="389">
        <f t="shared" ref="Y5014" si="16195">D5011</f>
        <v>1</v>
      </c>
      <c r="Z5014" s="400" t="s">
        <v>176</v>
      </c>
      <c r="AA5014" s="402">
        <f t="shared" ref="AA5014" si="16196">IF(AA5015=0,(D5014*N5014+P5014*R5014)*U5014*Y5014,0)</f>
        <v>0</v>
      </c>
      <c r="AB5014" s="403"/>
    </row>
    <row r="5015" spans="1:28">
      <c r="A5015" s="384" t="str">
        <f t="shared" ref="A5015:B5015" si="16197">A5005</f>
        <v>Lantai 3</v>
      </c>
      <c r="B5015" s="385">
        <f t="shared" si="16197"/>
        <v>25</v>
      </c>
      <c r="C5015" s="393"/>
      <c r="D5015" s="398">
        <f t="shared" si="16000"/>
        <v>3</v>
      </c>
      <c r="E5015" s="388" t="s">
        <v>16</v>
      </c>
      <c r="F5015" s="388">
        <f t="shared" si="16001"/>
        <v>16</v>
      </c>
      <c r="G5015" s="388"/>
      <c r="H5015" s="395"/>
      <c r="I5015" s="388"/>
      <c r="J5015" s="396"/>
      <c r="K5015" s="396"/>
      <c r="L5015" s="404" t="s">
        <v>207</v>
      </c>
      <c r="M5015" s="399" t="s">
        <v>176</v>
      </c>
      <c r="N5015" s="399">
        <f t="shared" ref="N5015" si="16198">IF(AND(D5012=D5013,D5012=D5014,D5013=D5014,F5012=F5013,F5012=F5014,F5013=F5014),SUM(N5012:N5014),0)</f>
        <v>1.4590000000000001</v>
      </c>
      <c r="O5015" s="399" t="s">
        <v>204</v>
      </c>
      <c r="P5015" s="389">
        <f t="shared" ref="P5015" si="16199">IF(N5015&gt;12,ROUNDDOWN(N5015/12,0),0)</f>
        <v>0</v>
      </c>
      <c r="Q5015" s="399" t="s">
        <v>125</v>
      </c>
      <c r="R5015" s="399">
        <f t="shared" ref="R5015" si="16200">IF(P5015&gt;0,MAX(VLOOKUP(F5015,$D$6:$G$15,3,FALSE),600),0)/1000</f>
        <v>0</v>
      </c>
      <c r="S5015" s="396"/>
      <c r="T5015" s="396" t="s">
        <v>125</v>
      </c>
      <c r="U5015" s="401">
        <f t="shared" si="16005"/>
        <v>1.5782400000000001</v>
      </c>
      <c r="V5015" s="396" t="s">
        <v>125</v>
      </c>
      <c r="W5015" s="399">
        <f t="shared" ref="W5015" si="16201">D5015</f>
        <v>3</v>
      </c>
      <c r="X5015" s="399" t="s">
        <v>125</v>
      </c>
      <c r="Y5015" s="389">
        <f t="shared" si="16007"/>
        <v>1</v>
      </c>
      <c r="Z5015" s="400" t="s">
        <v>176</v>
      </c>
      <c r="AA5015" s="402">
        <f t="shared" ref="AA5015" si="16202">(N5015+P5015*R5015/1000)*U5015*W5015*Y5015</f>
        <v>6.9079564800000002</v>
      </c>
      <c r="AB5015" s="390"/>
    </row>
    <row r="5016" spans="1:28">
      <c r="A5016" s="384"/>
      <c r="B5016" s="385"/>
      <c r="C5016" s="393"/>
      <c r="D5016" s="398"/>
      <c r="E5016" s="388"/>
      <c r="F5016" s="388"/>
      <c r="G5016" s="388"/>
      <c r="H5016" s="395"/>
      <c r="I5016" s="388"/>
      <c r="J5016" s="396"/>
      <c r="K5016" s="396"/>
      <c r="L5016" s="404"/>
      <c r="M5016" s="399"/>
      <c r="N5016" s="399"/>
      <c r="O5016" s="396"/>
      <c r="P5016" s="389"/>
      <c r="Q5016" s="396"/>
      <c r="R5016" s="396"/>
      <c r="S5016" s="396"/>
      <c r="T5016" s="396"/>
      <c r="U5016" s="401"/>
      <c r="V5016" s="396"/>
      <c r="W5016" s="399"/>
      <c r="X5016" s="396"/>
      <c r="Y5016" s="389"/>
      <c r="Z5016" s="396"/>
      <c r="AA5016" s="388"/>
      <c r="AB5016" s="390"/>
    </row>
    <row r="5017" spans="1:28">
      <c r="A5017" s="384" t="str">
        <f t="shared" ref="A5017:B5017" si="16203">A5005</f>
        <v>Lantai 3</v>
      </c>
      <c r="B5017" s="385">
        <f t="shared" si="16203"/>
        <v>25</v>
      </c>
      <c r="C5017" s="393" t="s">
        <v>208</v>
      </c>
      <c r="D5017" s="398">
        <f>VLOOKUP(D5005,'Detail Balok'!$C$10:$AU$140,13,FALSE)</f>
        <v>0</v>
      </c>
      <c r="E5017" s="388" t="s">
        <v>16</v>
      </c>
      <c r="F5017" s="388">
        <f>VLOOKUP(D5005,'Detail Balok'!$C$10:$AU$140,15,FALSE)</f>
        <v>8</v>
      </c>
      <c r="G5017" s="388"/>
      <c r="H5017" s="395"/>
      <c r="I5017" s="388"/>
      <c r="J5017" s="399">
        <f t="shared" ref="J5017" si="16204">+D5007/1000</f>
        <v>1.075</v>
      </c>
      <c r="K5017" s="400" t="s">
        <v>204</v>
      </c>
      <c r="L5017" s="399">
        <f t="shared" ref="L5017" si="16205">2*$F$16*F5017/1000</f>
        <v>0.192</v>
      </c>
      <c r="M5017" s="399" t="s">
        <v>176</v>
      </c>
      <c r="N5017" s="399">
        <f t="shared" ref="N5017" si="16206">J5017+L5017</f>
        <v>1.2669999999999999</v>
      </c>
      <c r="O5017" s="399" t="s">
        <v>204</v>
      </c>
      <c r="P5017" s="389">
        <f t="shared" ref="P5017" si="16207">IF(N5017&gt;12,ROUNDDOWN(N5017/12,0),0)</f>
        <v>0</v>
      </c>
      <c r="Q5017" s="399" t="s">
        <v>125</v>
      </c>
      <c r="R5017" s="399">
        <f t="shared" ref="R5017" si="16208">IF(P5017&gt;0,MAX(VLOOKUP(F5017,$D$6:$G$15,3,FALSE),600),0)/1000</f>
        <v>0</v>
      </c>
      <c r="S5017" s="399"/>
      <c r="T5017" s="399" t="s">
        <v>125</v>
      </c>
      <c r="U5017" s="401">
        <f t="shared" ref="U5017" si="16209">0.006165*F5017^2</f>
        <v>0.39456000000000002</v>
      </c>
      <c r="V5017" s="399" t="s">
        <v>125</v>
      </c>
      <c r="W5017" s="399">
        <f t="shared" ref="W5017" si="16210">+D5017</f>
        <v>0</v>
      </c>
      <c r="X5017" s="399" t="s">
        <v>125</v>
      </c>
      <c r="Y5017" s="389">
        <f t="shared" ref="Y5017" si="16211">D5011</f>
        <v>1</v>
      </c>
      <c r="Z5017" s="400" t="s">
        <v>176</v>
      </c>
      <c r="AA5017" s="402">
        <f t="shared" ref="AA5017" si="16212">(N5017+P5017*R5017/1000)*U5017*W5017*Y5017</f>
        <v>0</v>
      </c>
      <c r="AB5017" s="403"/>
    </row>
    <row r="5018" spans="1:28">
      <c r="A5018" s="384"/>
      <c r="B5018" s="385"/>
      <c r="C5018" s="393"/>
      <c r="D5018" s="398"/>
      <c r="E5018" s="388"/>
      <c r="F5018" s="388"/>
      <c r="G5018" s="388"/>
      <c r="H5018" s="395"/>
      <c r="I5018" s="388"/>
      <c r="J5018" s="399"/>
      <c r="K5018" s="400"/>
      <c r="L5018" s="399"/>
      <c r="M5018" s="399"/>
      <c r="N5018" s="399"/>
      <c r="O5018" s="399"/>
      <c r="P5018" s="389"/>
      <c r="Q5018" s="399"/>
      <c r="R5018" s="399"/>
      <c r="S5018" s="399"/>
      <c r="T5018" s="399"/>
      <c r="U5018" s="401"/>
      <c r="V5018" s="399"/>
      <c r="W5018" s="399"/>
      <c r="X5018" s="399"/>
      <c r="Y5018" s="389"/>
      <c r="Z5018" s="400"/>
      <c r="AA5018" s="402"/>
      <c r="AB5018" s="403"/>
    </row>
    <row r="5019" spans="1:28">
      <c r="A5019" s="384"/>
      <c r="B5019" s="385"/>
      <c r="C5019" s="393"/>
      <c r="D5019" s="398"/>
      <c r="E5019" s="388"/>
      <c r="F5019" s="388"/>
      <c r="G5019" s="388"/>
      <c r="H5019" s="395"/>
      <c r="I5019" s="388"/>
      <c r="J5019" s="396"/>
      <c r="K5019" s="396"/>
      <c r="L5019" s="396"/>
      <c r="M5019" s="396"/>
      <c r="N5019" s="396"/>
      <c r="O5019" s="396"/>
      <c r="P5019" s="389"/>
      <c r="Q5019" s="396"/>
      <c r="R5019" s="396"/>
      <c r="S5019" s="396"/>
      <c r="T5019" s="396"/>
      <c r="U5019" s="401"/>
      <c r="V5019" s="396"/>
      <c r="W5019" s="399"/>
      <c r="X5019" s="396"/>
      <c r="Y5019" s="389"/>
      <c r="Z5019" s="396"/>
      <c r="AA5019" s="388"/>
      <c r="AB5019" s="390"/>
    </row>
    <row r="5020" spans="1:28">
      <c r="A5020" s="384" t="str">
        <f t="shared" ref="A5020:B5020" si="16213">A5005</f>
        <v>Lantai 3</v>
      </c>
      <c r="B5020" s="385">
        <f t="shared" si="16213"/>
        <v>25</v>
      </c>
      <c r="C5020" s="393" t="s">
        <v>209</v>
      </c>
      <c r="D5020" s="398">
        <f>VLOOKUP(D5005,'Detail Balok'!$C$10:$AU$140,22,FALSE)</f>
        <v>3</v>
      </c>
      <c r="E5020" s="388" t="s">
        <v>16</v>
      </c>
      <c r="F5020" s="388">
        <f>VLOOKUP(D5005,'Detail Balok'!$C$10:$AU$140,24,FALSE)</f>
        <v>16</v>
      </c>
      <c r="G5020" s="388"/>
      <c r="H5020" s="395"/>
      <c r="I5020" s="388" t="s">
        <v>203</v>
      </c>
      <c r="J5020" s="399">
        <f t="shared" si="16020"/>
        <v>0.26874999999999999</v>
      </c>
      <c r="K5020" s="400" t="s">
        <v>204</v>
      </c>
      <c r="L5020" s="399">
        <f t="shared" ref="L5020" si="16214">MAX(VLOOKUP(F5020,N$6:P$15,3,FALSE)/1000,2/3*D5010/1000)+F$16*F5020/1000</f>
        <v>0.192</v>
      </c>
      <c r="M5020" s="399" t="s">
        <v>176</v>
      </c>
      <c r="N5020" s="399">
        <f t="shared" ref="N5020:N5022" si="16215">J5020+L5020</f>
        <v>0.46074999999999999</v>
      </c>
      <c r="O5020" s="399" t="s">
        <v>204</v>
      </c>
      <c r="P5020" s="389">
        <f t="shared" ref="P5020" si="16216">D5020-D5021</f>
        <v>0</v>
      </c>
      <c r="Q5020" s="399" t="s">
        <v>125</v>
      </c>
      <c r="R5020" s="399">
        <f t="shared" ref="R5020" si="16217">IF(P5020&gt;0,$F$18*F5020/1000,0)</f>
        <v>0</v>
      </c>
      <c r="S5020" s="399" t="s">
        <v>205</v>
      </c>
      <c r="T5020" s="399" t="s">
        <v>125</v>
      </c>
      <c r="U5020" s="401">
        <f t="shared" ref="U5020:U5022" si="16218">0.006165*F5020^2</f>
        <v>1.5782400000000001</v>
      </c>
      <c r="V5020" s="399"/>
      <c r="W5020" s="399"/>
      <c r="X5020" s="399" t="s">
        <v>125</v>
      </c>
      <c r="Y5020" s="389">
        <f t="shared" ref="Y5020" si="16219">D5011</f>
        <v>1</v>
      </c>
      <c r="Z5020" s="400" t="s">
        <v>176</v>
      </c>
      <c r="AA5020" s="402">
        <f t="shared" ref="AA5020" si="16220">IF(AA5023=0,(D5020*N5020+P5020*R5020)*U5020*Y5020,0)</f>
        <v>0</v>
      </c>
      <c r="AB5020" s="403"/>
    </row>
    <row r="5021" spans="1:28">
      <c r="A5021" s="384" t="str">
        <f t="shared" ref="A5021:B5021" si="16221">A5005</f>
        <v>Lantai 3</v>
      </c>
      <c r="B5021" s="385">
        <f t="shared" si="16221"/>
        <v>25</v>
      </c>
      <c r="C5021" s="393" t="s">
        <v>210</v>
      </c>
      <c r="D5021" s="398">
        <f>VLOOKUP(D5005,'Detail Balok'!$C$10:$AU$140,25,FALSE)</f>
        <v>3</v>
      </c>
      <c r="E5021" s="388" t="s">
        <v>16</v>
      </c>
      <c r="F5021" s="388">
        <f>VLOOKUP(D5005,'Detail Balok'!$C$10:$AU$140,27,FALSE)</f>
        <v>16</v>
      </c>
      <c r="G5021" s="388"/>
      <c r="H5021" s="395"/>
      <c r="I5021" s="388" t="s">
        <v>203</v>
      </c>
      <c r="J5021" s="399">
        <f t="shared" si="16020"/>
        <v>0.53749999999999998</v>
      </c>
      <c r="K5021" s="400" t="s">
        <v>204</v>
      </c>
      <c r="L5021" s="399"/>
      <c r="M5021" s="399" t="s">
        <v>176</v>
      </c>
      <c r="N5021" s="399">
        <f t="shared" si="16215"/>
        <v>0.53749999999999998</v>
      </c>
      <c r="O5021" s="399" t="s">
        <v>204</v>
      </c>
      <c r="P5021" s="389">
        <f t="shared" ref="P5021" si="16222">MAX(D5021-D5020,D5021-D5022)</f>
        <v>0</v>
      </c>
      <c r="Q5021" s="399" t="s">
        <v>125</v>
      </c>
      <c r="R5021" s="399">
        <f t="shared" ref="R5021" si="16223">IF(P5021&gt;0,2*(1-2*$F$19-1/2)*D5008/1000,0)</f>
        <v>0</v>
      </c>
      <c r="S5021" s="399" t="s">
        <v>205</v>
      </c>
      <c r="T5021" s="399" t="s">
        <v>125</v>
      </c>
      <c r="U5021" s="401">
        <f t="shared" si="16218"/>
        <v>1.5782400000000001</v>
      </c>
      <c r="V5021" s="399"/>
      <c r="W5021" s="399"/>
      <c r="X5021" s="399" t="s">
        <v>125</v>
      </c>
      <c r="Y5021" s="389">
        <f t="shared" ref="Y5021" si="16224">D5011</f>
        <v>1</v>
      </c>
      <c r="Z5021" s="400" t="s">
        <v>176</v>
      </c>
      <c r="AA5021" s="402">
        <f t="shared" ref="AA5021" si="16225">IF(AA5023=0,(D5021*N5021+P5021*R5021)*U5021*Y5021,0)</f>
        <v>0</v>
      </c>
      <c r="AB5021" s="403"/>
    </row>
    <row r="5022" spans="1:28">
      <c r="A5022" s="384" t="str">
        <f t="shared" ref="A5022:B5022" si="16226">A5005</f>
        <v>Lantai 3</v>
      </c>
      <c r="B5022" s="385">
        <f t="shared" si="16226"/>
        <v>25</v>
      </c>
      <c r="C5022" s="393" t="s">
        <v>209</v>
      </c>
      <c r="D5022" s="398">
        <f>VLOOKUP(D5005,'Detail Balok'!$C$10:$AU$140,28,FALSE)</f>
        <v>3</v>
      </c>
      <c r="E5022" s="388" t="s">
        <v>16</v>
      </c>
      <c r="F5022" s="388">
        <f>VLOOKUP(D5005,'Detail Balok'!$C$10:$AU$140,30,FALSE)</f>
        <v>16</v>
      </c>
      <c r="G5022" s="388"/>
      <c r="H5022" s="395"/>
      <c r="I5022" s="388" t="s">
        <v>203</v>
      </c>
      <c r="J5022" s="399">
        <f t="shared" si="16020"/>
        <v>0.26874999999999999</v>
      </c>
      <c r="K5022" s="400" t="s">
        <v>204</v>
      </c>
      <c r="L5022" s="399">
        <f t="shared" ref="L5022" si="16227">MAX(VLOOKUP(F5022,N$6:P$15,3,FALSE)/1000,2/3*D5010/1000)+F$16*F5022/1000</f>
        <v>0.192</v>
      </c>
      <c r="M5022" s="399" t="s">
        <v>176</v>
      </c>
      <c r="N5022" s="399">
        <f t="shared" si="16215"/>
        <v>0.46074999999999999</v>
      </c>
      <c r="O5022" s="399" t="s">
        <v>204</v>
      </c>
      <c r="P5022" s="389">
        <f t="shared" ref="P5022" si="16228">D5022-D5021</f>
        <v>0</v>
      </c>
      <c r="Q5022" s="399" t="s">
        <v>125</v>
      </c>
      <c r="R5022" s="399">
        <f t="shared" ref="R5022" si="16229">IF(P5022&gt;0,$F$18*F5022/1000,0)</f>
        <v>0</v>
      </c>
      <c r="S5022" s="399" t="s">
        <v>205</v>
      </c>
      <c r="T5022" s="399" t="s">
        <v>125</v>
      </c>
      <c r="U5022" s="401">
        <f t="shared" si="16218"/>
        <v>1.5782400000000001</v>
      </c>
      <c r="V5022" s="399"/>
      <c r="W5022" s="399"/>
      <c r="X5022" s="399" t="s">
        <v>125</v>
      </c>
      <c r="Y5022" s="389">
        <f t="shared" ref="Y5022" si="16230">D5011</f>
        <v>1</v>
      </c>
      <c r="Z5022" s="400" t="s">
        <v>176</v>
      </c>
      <c r="AA5022" s="402">
        <f t="shared" ref="AA5022" si="16231">IF(AA5023=0,(D5022*N5022+P5022*R5022)*U5022*Y5022,0)</f>
        <v>0</v>
      </c>
      <c r="AB5022" s="403"/>
    </row>
    <row r="5023" spans="1:28">
      <c r="A5023" s="384" t="str">
        <f t="shared" ref="A5023:B5023" si="16232">A5005</f>
        <v>Lantai 3</v>
      </c>
      <c r="B5023" s="385">
        <f t="shared" si="16232"/>
        <v>25</v>
      </c>
      <c r="C5023" s="393"/>
      <c r="D5023" s="398">
        <f t="shared" si="16040"/>
        <v>3</v>
      </c>
      <c r="E5023" s="388" t="s">
        <v>16</v>
      </c>
      <c r="F5023" s="388">
        <f t="shared" si="16041"/>
        <v>16</v>
      </c>
      <c r="G5023" s="388"/>
      <c r="H5023" s="395"/>
      <c r="I5023" s="388"/>
      <c r="J5023" s="396"/>
      <c r="K5023" s="396"/>
      <c r="L5023" s="404" t="s">
        <v>207</v>
      </c>
      <c r="M5023" s="399" t="s">
        <v>176</v>
      </c>
      <c r="N5023" s="399">
        <f t="shared" ref="N5023" si="16233">IF(AND(D5020=D5021,D5020=D5022,D5021=D5022,F5020=F5021,F5020=F5022,F5021=F5022),SUM(N5020:N5022),0)</f>
        <v>1.4590000000000001</v>
      </c>
      <c r="O5023" s="399" t="s">
        <v>204</v>
      </c>
      <c r="P5023" s="389">
        <f t="shared" ref="P5023" si="16234">IF(N5023&gt;12,ROUNDDOWN(N5023/12,0),0)</f>
        <v>0</v>
      </c>
      <c r="Q5023" s="399" t="s">
        <v>125</v>
      </c>
      <c r="R5023" s="399">
        <f t="shared" ref="R5023" si="16235">IF(P5023&gt;0,MAX(VLOOKUP(F5023,$D$6:$G$15,3,FALSE),600),0)/1000</f>
        <v>0</v>
      </c>
      <c r="S5023" s="396"/>
      <c r="T5023" s="396" t="s">
        <v>125</v>
      </c>
      <c r="U5023" s="401">
        <f t="shared" si="16045"/>
        <v>1.5782400000000001</v>
      </c>
      <c r="V5023" s="396" t="s">
        <v>125</v>
      </c>
      <c r="W5023" s="399">
        <f t="shared" ref="W5023" si="16236">D5023</f>
        <v>3</v>
      </c>
      <c r="X5023" s="399" t="s">
        <v>125</v>
      </c>
      <c r="Y5023" s="389">
        <f t="shared" si="16047"/>
        <v>1</v>
      </c>
      <c r="Z5023" s="400" t="s">
        <v>176</v>
      </c>
      <c r="AA5023" s="402">
        <f t="shared" ref="AA5023" si="16237">(N5023+P5023*R5023/1000)*U5023*W5023*Y5023</f>
        <v>6.9079564800000002</v>
      </c>
      <c r="AB5023" s="403"/>
    </row>
    <row r="5024" spans="1:28">
      <c r="A5024" s="384"/>
      <c r="B5024" s="385"/>
      <c r="C5024" s="393"/>
      <c r="D5024" s="394"/>
      <c r="E5024" s="388"/>
      <c r="F5024" s="388"/>
      <c r="G5024" s="388"/>
      <c r="H5024" s="395"/>
      <c r="I5024" s="388"/>
      <c r="J5024" s="399"/>
      <c r="K5024" s="396"/>
      <c r="L5024" s="396"/>
      <c r="M5024" s="396"/>
      <c r="N5024" s="396"/>
      <c r="O5024" s="396"/>
      <c r="P5024" s="389"/>
      <c r="Q5024" s="396"/>
      <c r="R5024" s="396"/>
      <c r="S5024" s="396"/>
      <c r="T5024" s="396"/>
      <c r="U5024" s="401"/>
      <c r="V5024" s="396"/>
      <c r="W5024" s="388"/>
      <c r="X5024" s="396"/>
      <c r="Y5024" s="389"/>
      <c r="Z5024" s="396"/>
      <c r="AA5024" s="388"/>
      <c r="AB5024" s="390"/>
    </row>
    <row r="5025" spans="1:28">
      <c r="A5025" s="384" t="str">
        <f t="shared" ref="A5025:B5025" si="16238">A5005</f>
        <v>Lantai 3</v>
      </c>
      <c r="B5025" s="385">
        <f t="shared" si="16238"/>
        <v>25</v>
      </c>
      <c r="C5025" s="393" t="s">
        <v>211</v>
      </c>
      <c r="D5025" s="398">
        <f>VLOOKUP(D5005,'Detail Balok'!$C$10:$AU$140,31,FALSE)</f>
        <v>0</v>
      </c>
      <c r="E5025" s="388" t="s">
        <v>16</v>
      </c>
      <c r="F5025" s="388">
        <f>VLOOKUP(D5005,'Detail Balok'!$C$10:$AU$140,33,FALSE)</f>
        <v>10</v>
      </c>
      <c r="G5025" s="405" t="s">
        <v>157</v>
      </c>
      <c r="H5025" s="395">
        <f>VLOOKUP(D5005,'Detail Balok'!$C$10:$AU$140,35,FALSE)</f>
        <v>100</v>
      </c>
      <c r="I5025" s="388"/>
      <c r="J5025" s="400">
        <f t="shared" ref="J5025" si="16239">(IF(D5025=0,(2*(D5006+G5006))-(F$5*8),IF(D5025=3,(2*(D5006+G5006))-(F$5*8)+(G5006-2*F$5),IF(D5025=4,(2*(D5006+G5006))-(F$5*8)+2*(G5006-2*F$5)))))/1000</f>
        <v>0.88</v>
      </c>
      <c r="K5025" s="400" t="s">
        <v>204</v>
      </c>
      <c r="L5025" s="399">
        <f t="shared" ref="L5025:L5027" si="16240">IF(D5025=0,2*MAX(6*F5025,75),(D5025-1)*2*MAX(6*F5025,75))/1000</f>
        <v>0.15</v>
      </c>
      <c r="M5025" s="399" t="s">
        <v>176</v>
      </c>
      <c r="N5025" s="399">
        <f t="shared" ref="N5025:N5027" si="16241">J5025+L5025</f>
        <v>1.03</v>
      </c>
      <c r="O5025" s="399"/>
      <c r="P5025" s="389"/>
      <c r="Q5025" s="399"/>
      <c r="R5025" s="399"/>
      <c r="S5025" s="399"/>
      <c r="T5025" s="399" t="s">
        <v>125</v>
      </c>
      <c r="U5025" s="401">
        <f t="shared" ref="U5025:U5027" si="16242">0.006165*F5025^2</f>
        <v>0.61650000000000005</v>
      </c>
      <c r="V5025" s="399" t="s">
        <v>125</v>
      </c>
      <c r="W5025" s="399">
        <f t="shared" ref="W5025" si="16243">IF(D5008&gt;4*G5006,ROUND(MAX(D5008/4,2*G5006)/H5025,0)+1,ROUND(D5008/H5025,0)+1)</f>
        <v>12</v>
      </c>
      <c r="X5025" s="399" t="s">
        <v>125</v>
      </c>
      <c r="Y5025" s="389">
        <f t="shared" ref="Y5025" si="16244">D5011</f>
        <v>1</v>
      </c>
      <c r="Z5025" s="400" t="s">
        <v>176</v>
      </c>
      <c r="AA5025" s="402">
        <f t="shared" ref="AA5025:AA5027" si="16245">N5025*U5025*W5025*Y5025</f>
        <v>7.6199400000000015</v>
      </c>
      <c r="AB5025" s="403"/>
    </row>
    <row r="5026" spans="1:28">
      <c r="A5026" s="384" t="str">
        <f t="shared" ref="A5026:B5026" si="16246">A5005</f>
        <v>Lantai 3</v>
      </c>
      <c r="B5026" s="385">
        <f t="shared" si="16246"/>
        <v>25</v>
      </c>
      <c r="C5026" s="393" t="s">
        <v>212</v>
      </c>
      <c r="D5026" s="398">
        <f>VLOOKUP(D5005,'Detail Balok'!$C$10:$AU$140,36,FALSE)</f>
        <v>0</v>
      </c>
      <c r="E5026" s="388" t="s">
        <v>16</v>
      </c>
      <c r="F5026" s="388">
        <f>VLOOKUP(D5005,'Detail Balok'!$C$10:$AU$140,38,FALSE)</f>
        <v>10</v>
      </c>
      <c r="G5026" s="405" t="s">
        <v>157</v>
      </c>
      <c r="H5026" s="395">
        <f>VLOOKUP(D5005,'Detail Balok'!$C$10:$AU$140,40,FALSE)</f>
        <v>100</v>
      </c>
      <c r="I5026" s="388"/>
      <c r="J5026" s="400">
        <f t="shared" ref="J5026" si="16247">(IF(D5026=0,(2*(D5006+G5006))-(F$5*8),IF(D5026=3,(2*(D5006+G5006))-(F$5*8)+(G5006-2*F$5),IF(D5026=4,(2*(D5006+G5006))-(F$5*8)+2*(G5006-2*F$5)))))/1000</f>
        <v>0.88</v>
      </c>
      <c r="K5026" s="400" t="s">
        <v>204</v>
      </c>
      <c r="L5026" s="399">
        <f t="shared" si="16240"/>
        <v>0.15</v>
      </c>
      <c r="M5026" s="399" t="s">
        <v>176</v>
      </c>
      <c r="N5026" s="399">
        <f t="shared" si="16241"/>
        <v>1.03</v>
      </c>
      <c r="O5026" s="399"/>
      <c r="P5026" s="389"/>
      <c r="Q5026" s="399"/>
      <c r="R5026" s="399"/>
      <c r="S5026" s="399"/>
      <c r="T5026" s="399" t="s">
        <v>125</v>
      </c>
      <c r="U5026" s="401">
        <f t="shared" si="16242"/>
        <v>0.61650000000000005</v>
      </c>
      <c r="V5026" s="399" t="s">
        <v>125</v>
      </c>
      <c r="W5026" s="399">
        <f t="shared" ref="W5026" si="16248">IF(D5008-MAX(D5008/4,2*G5006)*2&gt;0,ROUND((D5008-MAX(D5008/4,2*G5006)*2)/H5026,0),0)</f>
        <v>0</v>
      </c>
      <c r="X5026" s="399" t="s">
        <v>125</v>
      </c>
      <c r="Y5026" s="389">
        <f t="shared" ref="Y5026" si="16249">D5011</f>
        <v>1</v>
      </c>
      <c r="Z5026" s="400" t="s">
        <v>176</v>
      </c>
      <c r="AA5026" s="402">
        <f t="shared" si="16245"/>
        <v>0</v>
      </c>
      <c r="AB5026" s="403"/>
    </row>
    <row r="5027" spans="1:28">
      <c r="A5027" s="384" t="str">
        <f t="shared" ref="A5027:B5027" si="16250">A5005</f>
        <v>Lantai 3</v>
      </c>
      <c r="B5027" s="385">
        <f t="shared" si="16250"/>
        <v>25</v>
      </c>
      <c r="C5027" s="393" t="s">
        <v>211</v>
      </c>
      <c r="D5027" s="398">
        <f>VLOOKUP(D5005,'Detail Balok'!$C$10:$AU$140,41,FALSE)</f>
        <v>0</v>
      </c>
      <c r="E5027" s="388" t="s">
        <v>16</v>
      </c>
      <c r="F5027" s="388">
        <f>VLOOKUP(D5005,'Detail Balok'!$C$10:$AU$140,43,FALSE)</f>
        <v>10</v>
      </c>
      <c r="G5027" s="405" t="s">
        <v>157</v>
      </c>
      <c r="H5027" s="395">
        <f>VLOOKUP(D5005,'Detail Balok'!$C$10:$AU$140,45,FALSE)</f>
        <v>100</v>
      </c>
      <c r="I5027" s="388"/>
      <c r="J5027" s="400">
        <f t="shared" ref="J5027" si="16251">(IF(D5027=0,(2*(D5006+G5006))-(F$5*8),IF(D5027=3,(2*(D5006+G5006))-(F$5*8)+(G5006-2*F$5),IF(D5027=4,(2*(D5006+G5006))-(F$5*8)+2*(G5006-2*F$5)))))/1000</f>
        <v>0.88</v>
      </c>
      <c r="K5027" s="400" t="s">
        <v>204</v>
      </c>
      <c r="L5027" s="399">
        <f t="shared" si="16240"/>
        <v>0.15</v>
      </c>
      <c r="M5027" s="399" t="s">
        <v>176</v>
      </c>
      <c r="N5027" s="399">
        <f t="shared" si="16241"/>
        <v>1.03</v>
      </c>
      <c r="O5027" s="399"/>
      <c r="P5027" s="389"/>
      <c r="Q5027" s="399"/>
      <c r="R5027" s="399"/>
      <c r="S5027" s="399"/>
      <c r="T5027" s="399" t="s">
        <v>125</v>
      </c>
      <c r="U5027" s="401">
        <f t="shared" si="16242"/>
        <v>0.61650000000000005</v>
      </c>
      <c r="V5027" s="399" t="s">
        <v>125</v>
      </c>
      <c r="W5027" s="399">
        <f t="shared" ref="W5027" si="16252">IF(D5008&gt;4*G5006,ROUND(MAX(D5008/4,2*G5006)/H5027,0)+1,0)</f>
        <v>0</v>
      </c>
      <c r="X5027" s="399" t="s">
        <v>125</v>
      </c>
      <c r="Y5027" s="389">
        <f t="shared" ref="Y5027" si="16253">D5011</f>
        <v>1</v>
      </c>
      <c r="Z5027" s="400" t="s">
        <v>176</v>
      </c>
      <c r="AA5027" s="402">
        <f t="shared" si="16245"/>
        <v>0</v>
      </c>
      <c r="AB5027" s="403"/>
    </row>
    <row r="5028" spans="1:28">
      <c r="A5028" s="384"/>
      <c r="B5028" s="385"/>
      <c r="C5028" s="393"/>
      <c r="D5028" s="394"/>
      <c r="E5028" s="388"/>
      <c r="F5028" s="388"/>
      <c r="G5028" s="388"/>
      <c r="H5028" s="395"/>
      <c r="I5028" s="388"/>
      <c r="J5028" s="399"/>
      <c r="K5028" s="396"/>
      <c r="L5028" s="396"/>
      <c r="M5028" s="396"/>
      <c r="N5028" s="396"/>
      <c r="O5028" s="396"/>
      <c r="P5028" s="389"/>
      <c r="Q5028" s="396"/>
      <c r="R5028" s="396"/>
      <c r="S5028" s="396"/>
      <c r="T5028" s="396"/>
      <c r="U5028" s="401"/>
      <c r="V5028" s="396"/>
      <c r="W5028" s="388"/>
      <c r="X5028" s="396"/>
      <c r="Y5028" s="389"/>
      <c r="Z5028" s="396"/>
      <c r="AA5028" s="388"/>
      <c r="AB5028" s="390"/>
    </row>
    <row r="5029" spans="1:28">
      <c r="A5029" s="384" t="str">
        <f t="shared" ref="A5029:B5029" si="16254">A5005</f>
        <v>Lantai 3</v>
      </c>
      <c r="B5029" s="385">
        <f t="shared" si="16254"/>
        <v>25</v>
      </c>
      <c r="C5029" s="393" t="s">
        <v>213</v>
      </c>
      <c r="D5029" s="398">
        <f>VLOOKUP(D5005,'Detail Balok'!$C$10:$BJ$140,46,FALSE)</f>
        <v>0</v>
      </c>
      <c r="E5029" s="388" t="s">
        <v>16</v>
      </c>
      <c r="F5029" s="388">
        <f>VLOOKUP(D5005,'Detail Balok'!$C$10:$BJ$140,48,FALSE)</f>
        <v>0</v>
      </c>
      <c r="G5029" s="405" t="s">
        <v>157</v>
      </c>
      <c r="H5029" s="395">
        <f>VLOOKUP(D5005,'Detail Balok'!$C$10:$BJ$140,50,FALSE)</f>
        <v>100</v>
      </c>
      <c r="I5029" s="388"/>
      <c r="J5029" s="399">
        <f t="shared" ref="J5029" si="16255">(D5006-2*F$5)/1000</f>
        <v>0.12</v>
      </c>
      <c r="K5029" s="400" t="s">
        <v>204</v>
      </c>
      <c r="L5029" s="399">
        <f t="shared" ref="L5029:L5031" si="16256">IF(D5029=0,2*MAX(6*F5029,75),(D5029-1)*2*MAX(6*F5029,75))/1000</f>
        <v>0.15</v>
      </c>
      <c r="M5029" s="399" t="s">
        <v>176</v>
      </c>
      <c r="N5029" s="399">
        <f t="shared" ref="N5029:N5031" si="16257">J5029+L5029</f>
        <v>0.27</v>
      </c>
      <c r="O5029" s="399"/>
      <c r="P5029" s="399"/>
      <c r="Q5029" s="399"/>
      <c r="R5029" s="399"/>
      <c r="S5029" s="399"/>
      <c r="T5029" s="399" t="s">
        <v>125</v>
      </c>
      <c r="U5029" s="401">
        <f t="shared" ref="U5029:U5031" si="16258">0.006165*F5029^2</f>
        <v>0</v>
      </c>
      <c r="V5029" s="399" t="s">
        <v>125</v>
      </c>
      <c r="W5029" s="399">
        <f t="shared" si="16070"/>
        <v>12</v>
      </c>
      <c r="X5029" s="399" t="s">
        <v>125</v>
      </c>
      <c r="Y5029" s="389">
        <f t="shared" ref="Y5029" si="16259">D5015</f>
        <v>3</v>
      </c>
      <c r="Z5029" s="400" t="s">
        <v>176</v>
      </c>
      <c r="AA5029" s="402">
        <f t="shared" ref="AA5029:AA5031" si="16260">N5029*U5029*W5029*Y5029</f>
        <v>0</v>
      </c>
      <c r="AB5029" s="403"/>
    </row>
    <row r="5030" spans="1:28">
      <c r="A5030" s="384" t="str">
        <f t="shared" ref="A5030:B5030" si="16261">A5005</f>
        <v>Lantai 3</v>
      </c>
      <c r="B5030" s="385">
        <f t="shared" si="16261"/>
        <v>25</v>
      </c>
      <c r="C5030" s="393" t="s">
        <v>214</v>
      </c>
      <c r="D5030" s="398">
        <f>VLOOKUP(D5005,'Detail Balok'!$C$10:$BJ$140,51,FALSE)</f>
        <v>0</v>
      </c>
      <c r="E5030" s="388" t="s">
        <v>16</v>
      </c>
      <c r="F5030" s="388">
        <f>VLOOKUP(D5005,'Detail Balok'!$C$10:$BJ$140,53,FALSE)</f>
        <v>0</v>
      </c>
      <c r="G5030" s="405" t="s">
        <v>157</v>
      </c>
      <c r="H5030" s="395">
        <f>VLOOKUP(D5005,'Detail Balok'!$C$10:$BJ$140,55,FALSE)</f>
        <v>100</v>
      </c>
      <c r="I5030" s="388"/>
      <c r="J5030" s="399">
        <f t="shared" ref="J5030" si="16262">(D5006-2*F$5)/1000</f>
        <v>0.12</v>
      </c>
      <c r="K5030" s="400" t="s">
        <v>204</v>
      </c>
      <c r="L5030" s="399">
        <f t="shared" si="16256"/>
        <v>0.15</v>
      </c>
      <c r="M5030" s="399" t="s">
        <v>176</v>
      </c>
      <c r="N5030" s="399">
        <f t="shared" si="16257"/>
        <v>0.27</v>
      </c>
      <c r="O5030" s="399"/>
      <c r="P5030" s="399"/>
      <c r="Q5030" s="399"/>
      <c r="R5030" s="399"/>
      <c r="S5030" s="399"/>
      <c r="T5030" s="399" t="s">
        <v>125</v>
      </c>
      <c r="U5030" s="401">
        <f t="shared" si="16258"/>
        <v>0</v>
      </c>
      <c r="V5030" s="399" t="s">
        <v>125</v>
      </c>
      <c r="W5030" s="399">
        <f t="shared" si="16070"/>
        <v>0</v>
      </c>
      <c r="X5030" s="399" t="s">
        <v>125</v>
      </c>
      <c r="Y5030" s="389">
        <f t="shared" ref="Y5030" si="16263">D5015</f>
        <v>3</v>
      </c>
      <c r="Z5030" s="400" t="s">
        <v>176</v>
      </c>
      <c r="AA5030" s="402">
        <f t="shared" si="16260"/>
        <v>0</v>
      </c>
      <c r="AB5030" s="403"/>
    </row>
    <row r="5031" spans="1:28">
      <c r="A5031" s="384" t="str">
        <f t="shared" ref="A5031:B5031" si="16264">A5005</f>
        <v>Lantai 3</v>
      </c>
      <c r="B5031" s="385">
        <f t="shared" si="16264"/>
        <v>25</v>
      </c>
      <c r="C5031" s="393" t="s">
        <v>213</v>
      </c>
      <c r="D5031" s="398">
        <f>VLOOKUP(D5005,'Detail Balok'!$C$10:$BJ$140,56,FALSE)</f>
        <v>0</v>
      </c>
      <c r="E5031" s="388" t="s">
        <v>16</v>
      </c>
      <c r="F5031" s="388">
        <f>VLOOKUP(D5005,'Detail Balok'!$C$10:$BJ$140,58,FALSE)</f>
        <v>0</v>
      </c>
      <c r="G5031" s="405" t="s">
        <v>157</v>
      </c>
      <c r="H5031" s="395">
        <f>VLOOKUP(D5005,'Detail Balok'!$C$10:$BJ$140,60,FALSE)</f>
        <v>100</v>
      </c>
      <c r="I5031" s="388"/>
      <c r="J5031" s="399">
        <f t="shared" ref="J5031" si="16265">(D5006-2*F$5)/1000</f>
        <v>0.12</v>
      </c>
      <c r="K5031" s="400" t="s">
        <v>204</v>
      </c>
      <c r="L5031" s="399">
        <f t="shared" si="16256"/>
        <v>0.15</v>
      </c>
      <c r="M5031" s="399" t="s">
        <v>176</v>
      </c>
      <c r="N5031" s="399">
        <f t="shared" si="16257"/>
        <v>0.27</v>
      </c>
      <c r="O5031" s="399"/>
      <c r="P5031" s="399"/>
      <c r="Q5031" s="399"/>
      <c r="R5031" s="399"/>
      <c r="S5031" s="399"/>
      <c r="T5031" s="399" t="s">
        <v>125</v>
      </c>
      <c r="U5031" s="401">
        <f t="shared" si="16258"/>
        <v>0</v>
      </c>
      <c r="V5031" s="399" t="s">
        <v>125</v>
      </c>
      <c r="W5031" s="399">
        <f t="shared" si="16070"/>
        <v>0</v>
      </c>
      <c r="X5031" s="399" t="s">
        <v>125</v>
      </c>
      <c r="Y5031" s="389">
        <f t="shared" ref="Y5031" si="16266">D5015</f>
        <v>3</v>
      </c>
      <c r="Z5031" s="400" t="s">
        <v>176</v>
      </c>
      <c r="AA5031" s="402">
        <f t="shared" si="16260"/>
        <v>0</v>
      </c>
      <c r="AB5031" s="403"/>
    </row>
    <row r="5032" spans="1:28">
      <c r="A5032" s="391"/>
      <c r="B5032" s="392"/>
      <c r="C5032" s="392"/>
      <c r="D5032" s="394"/>
      <c r="E5032" s="388"/>
      <c r="F5032" s="388"/>
      <c r="G5032" s="388"/>
      <c r="H5032" s="395"/>
      <c r="I5032" s="388"/>
      <c r="J5032" s="402"/>
      <c r="K5032" s="388"/>
      <c r="L5032" s="388"/>
      <c r="M5032" s="388"/>
      <c r="N5032" s="388"/>
      <c r="O5032" s="388"/>
      <c r="P5032" s="388"/>
      <c r="Q5032" s="388"/>
      <c r="R5032" s="388"/>
      <c r="S5032" s="388"/>
      <c r="T5032" s="388"/>
      <c r="U5032" s="388"/>
      <c r="V5032" s="388"/>
      <c r="W5032" s="388"/>
      <c r="X5032" s="388"/>
      <c r="Y5032" s="389"/>
      <c r="Z5032" s="388"/>
      <c r="AA5032" s="402"/>
      <c r="AB5032" s="403"/>
    </row>
    <row r="5033" spans="1:28" ht="15.75" thickBot="1">
      <c r="A5033" s="406"/>
      <c r="B5033" s="407"/>
      <c r="C5033" s="407"/>
      <c r="D5033" s="408"/>
      <c r="E5033" s="409"/>
      <c r="F5033" s="409"/>
      <c r="G5033" s="409"/>
      <c r="H5033" s="410"/>
      <c r="I5033" s="409"/>
      <c r="J5033" s="409"/>
      <c r="K5033" s="409"/>
      <c r="L5033" s="409"/>
      <c r="M5033" s="409"/>
      <c r="N5033" s="409"/>
      <c r="O5033" s="409"/>
      <c r="P5033" s="409"/>
      <c r="Q5033" s="409"/>
      <c r="R5033" s="409"/>
      <c r="S5033" s="409"/>
      <c r="T5033" s="409"/>
      <c r="U5033" s="409"/>
      <c r="V5033" s="409"/>
      <c r="W5033" s="409"/>
      <c r="X5033" s="409"/>
      <c r="Y5033" s="411"/>
      <c r="Z5033" s="409"/>
      <c r="AA5033" s="412"/>
      <c r="AB5033" s="413"/>
    </row>
    <row r="5034" spans="1:28">
      <c r="A5034" s="377"/>
      <c r="B5034" s="378"/>
      <c r="C5034" s="378"/>
      <c r="D5034" s="379"/>
      <c r="E5034" s="380"/>
      <c r="F5034" s="380"/>
      <c r="G5034" s="380"/>
      <c r="H5034" s="381"/>
      <c r="I5034" s="380"/>
      <c r="J5034" s="380"/>
      <c r="K5034" s="380"/>
      <c r="L5034" s="380"/>
      <c r="M5034" s="380"/>
      <c r="N5034" s="380"/>
      <c r="O5034" s="380"/>
      <c r="P5034" s="380"/>
      <c r="Q5034" s="380"/>
      <c r="R5034" s="380"/>
      <c r="S5034" s="380"/>
      <c r="T5034" s="380"/>
      <c r="U5034" s="380"/>
      <c r="V5034" s="380"/>
      <c r="W5034" s="380"/>
      <c r="X5034" s="380"/>
      <c r="Y5034" s="382"/>
      <c r="Z5034" s="380"/>
      <c r="AA5034" s="380"/>
      <c r="AB5034" s="383"/>
    </row>
    <row r="5035" spans="1:28">
      <c r="A5035" s="384" t="str">
        <f t="shared" si="16079"/>
        <v>Lantai 3</v>
      </c>
      <c r="B5035" s="385">
        <f t="shared" si="16080"/>
        <v>26</v>
      </c>
      <c r="C5035" s="386" t="str">
        <f t="shared" ref="C5035" si="16267">CONCATENATE(A5035," no. ",B5035)</f>
        <v>Lantai 3 no. 26</v>
      </c>
      <c r="D5035" s="2562" t="str">
        <f>VLOOKUP(C5035,'Data Panjang Balok'!$C$9:$N$254,2,FALSE)</f>
        <v>B25-1</v>
      </c>
      <c r="E5035" s="2576"/>
      <c r="F5035" s="2576"/>
      <c r="G5035" s="2576"/>
      <c r="H5035" s="2577"/>
      <c r="I5035" s="387"/>
      <c r="J5035" s="388"/>
      <c r="K5035" s="388"/>
      <c r="L5035" s="388"/>
      <c r="M5035" s="388"/>
      <c r="N5035" s="388"/>
      <c r="O5035" s="388"/>
      <c r="P5035" s="388"/>
      <c r="Q5035" s="388"/>
      <c r="R5035" s="388"/>
      <c r="S5035" s="388"/>
      <c r="T5035" s="388"/>
      <c r="U5035" s="388"/>
      <c r="V5035" s="388"/>
      <c r="W5035" s="388"/>
      <c r="X5035" s="388"/>
      <c r="Y5035" s="389"/>
      <c r="Z5035" s="388"/>
      <c r="AA5035" s="388"/>
      <c r="AB5035" s="390"/>
    </row>
    <row r="5036" spans="1:28">
      <c r="A5036" s="391"/>
      <c r="B5036" s="392"/>
      <c r="C5036" s="393" t="s">
        <v>118</v>
      </c>
      <c r="D5036" s="2578">
        <f>VLOOKUP(D5035,'Detail Balok'!$C$10:$AU$140,2,FALSE)</f>
        <v>200</v>
      </c>
      <c r="E5036" s="2579"/>
      <c r="F5036" s="388" t="s">
        <v>125</v>
      </c>
      <c r="G5036" s="2579">
        <f>VLOOKUP(D5035,'Detail Balok'!$C$10:$AU$140,3,FALSE)</f>
        <v>500</v>
      </c>
      <c r="H5036" s="2580"/>
      <c r="I5036" s="388"/>
      <c r="J5036" s="396"/>
      <c r="K5036" s="396"/>
      <c r="L5036" s="396"/>
      <c r="M5036" s="396"/>
      <c r="N5036" s="396"/>
      <c r="O5036" s="396"/>
      <c r="P5036" s="396"/>
      <c r="Q5036" s="396"/>
      <c r="R5036" s="396"/>
      <c r="S5036" s="396"/>
      <c r="T5036" s="396"/>
      <c r="U5036" s="388"/>
      <c r="V5036" s="396"/>
      <c r="W5036" s="388"/>
      <c r="X5036" s="396"/>
      <c r="Y5036" s="389"/>
      <c r="Z5036" s="396"/>
      <c r="AA5036" s="388"/>
      <c r="AB5036" s="390"/>
    </row>
    <row r="5037" spans="1:28">
      <c r="A5037" s="391"/>
      <c r="B5037" s="392"/>
      <c r="C5037" s="393" t="s">
        <v>198</v>
      </c>
      <c r="D5037" s="2562">
        <f>VLOOKUP(C5035,'Data Panjang Balok'!$C$9:$N$254,4,FALSE)</f>
        <v>5075</v>
      </c>
      <c r="E5037" s="2563"/>
      <c r="F5037" s="2563"/>
      <c r="G5037" s="2563"/>
      <c r="H5037" s="2564"/>
      <c r="I5037" s="397"/>
      <c r="J5037" s="396"/>
      <c r="K5037" s="396"/>
      <c r="L5037" s="396"/>
      <c r="M5037" s="396"/>
      <c r="N5037" s="396"/>
      <c r="O5037" s="396"/>
      <c r="P5037" s="396"/>
      <c r="Q5037" s="396"/>
      <c r="R5037" s="396"/>
      <c r="S5037" s="396"/>
      <c r="T5037" s="396"/>
      <c r="U5037" s="388"/>
      <c r="V5037" s="396"/>
      <c r="W5037" s="388"/>
      <c r="X5037" s="396"/>
      <c r="Y5037" s="389"/>
      <c r="Z5037" s="396"/>
      <c r="AA5037" s="388"/>
      <c r="AB5037" s="390"/>
    </row>
    <row r="5038" spans="1:28">
      <c r="A5038" s="391"/>
      <c r="B5038" s="392"/>
      <c r="C5038" s="393" t="s">
        <v>199</v>
      </c>
      <c r="D5038" s="2562">
        <f>VLOOKUP(C5035,'Data Panjang Balok'!$C$9:$N$254,7,FALSE)</f>
        <v>5075</v>
      </c>
      <c r="E5038" s="2563"/>
      <c r="F5038" s="2563"/>
      <c r="G5038" s="2563"/>
      <c r="H5038" s="2564"/>
      <c r="I5038" s="397"/>
      <c r="J5038" s="396"/>
      <c r="K5038" s="396"/>
      <c r="L5038" s="396"/>
      <c r="M5038" s="396"/>
      <c r="N5038" s="396"/>
      <c r="O5038" s="396"/>
      <c r="P5038" s="396"/>
      <c r="Q5038" s="396"/>
      <c r="R5038" s="396"/>
      <c r="S5038" s="396"/>
      <c r="T5038" s="396"/>
      <c r="U5038" s="388"/>
      <c r="V5038" s="396"/>
      <c r="W5038" s="388"/>
      <c r="X5038" s="396"/>
      <c r="Y5038" s="389"/>
      <c r="Z5038" s="396"/>
      <c r="AA5038" s="388"/>
      <c r="AB5038" s="390"/>
    </row>
    <row r="5039" spans="1:28">
      <c r="A5039" s="391"/>
      <c r="B5039" s="392"/>
      <c r="C5039" s="393" t="s">
        <v>200</v>
      </c>
      <c r="D5039" s="2562">
        <f>VLOOKUP(C5035,'Data Panjang Balok'!$C$9:$N$254,9,FALSE)</f>
        <v>0</v>
      </c>
      <c r="E5039" s="2563"/>
      <c r="F5039" s="2563"/>
      <c r="G5039" s="2563"/>
      <c r="H5039" s="2564"/>
      <c r="I5039" s="397"/>
      <c r="J5039" s="396"/>
      <c r="K5039" s="396"/>
      <c r="L5039" s="396"/>
      <c r="M5039" s="396"/>
      <c r="N5039" s="396"/>
      <c r="O5039" s="396"/>
      <c r="P5039" s="396"/>
      <c r="Q5039" s="396"/>
      <c r="R5039" s="396"/>
      <c r="S5039" s="396"/>
      <c r="T5039" s="396"/>
      <c r="U5039" s="388"/>
      <c r="V5039" s="396"/>
      <c r="W5039" s="388"/>
      <c r="X5039" s="396"/>
      <c r="Y5039" s="389"/>
      <c r="Z5039" s="396"/>
      <c r="AA5039" s="388"/>
      <c r="AB5039" s="390"/>
    </row>
    <row r="5040" spans="1:28">
      <c r="A5040" s="391"/>
      <c r="B5040" s="392"/>
      <c r="C5040" s="393" t="s">
        <v>201</v>
      </c>
      <c r="D5040" s="2562">
        <f>VLOOKUP(C5035,'Data Panjang Balok'!$C$9:$N$254,10,FALSE)</f>
        <v>0</v>
      </c>
      <c r="E5040" s="2563"/>
      <c r="F5040" s="2563"/>
      <c r="G5040" s="2563"/>
      <c r="H5040" s="2564"/>
      <c r="I5040" s="397"/>
      <c r="J5040" s="396"/>
      <c r="K5040" s="396"/>
      <c r="L5040" s="396"/>
      <c r="M5040" s="396"/>
      <c r="N5040" s="396"/>
      <c r="O5040" s="396"/>
      <c r="P5040" s="396"/>
      <c r="Q5040" s="396"/>
      <c r="R5040" s="396"/>
      <c r="S5040" s="396"/>
      <c r="T5040" s="396"/>
      <c r="U5040" s="388"/>
      <c r="V5040" s="396"/>
      <c r="W5040" s="388"/>
      <c r="X5040" s="396"/>
      <c r="Y5040" s="389"/>
      <c r="Z5040" s="396"/>
      <c r="AA5040" s="388"/>
      <c r="AB5040" s="390"/>
    </row>
    <row r="5041" spans="1:28">
      <c r="A5041" s="391"/>
      <c r="B5041" s="392"/>
      <c r="C5041" s="393" t="s">
        <v>48</v>
      </c>
      <c r="D5041" s="2562">
        <f>VLOOKUP(C5035,'Data Panjang Balok'!$C$9:$N$254,3,FALSE)</f>
        <v>1</v>
      </c>
      <c r="E5041" s="2563"/>
      <c r="F5041" s="2563"/>
      <c r="G5041" s="2563"/>
      <c r="H5041" s="2564"/>
      <c r="I5041" s="397"/>
      <c r="J5041" s="396"/>
      <c r="K5041" s="396"/>
      <c r="L5041" s="396"/>
      <c r="M5041" s="396"/>
      <c r="N5041" s="396"/>
      <c r="O5041" s="396"/>
      <c r="P5041" s="396"/>
      <c r="Q5041" s="396"/>
      <c r="R5041" s="396"/>
      <c r="S5041" s="396"/>
      <c r="T5041" s="396"/>
      <c r="U5041" s="388"/>
      <c r="V5041" s="396"/>
      <c r="W5041" s="388"/>
      <c r="X5041" s="396"/>
      <c r="Y5041" s="389"/>
      <c r="Z5041" s="396"/>
      <c r="AA5041" s="388"/>
      <c r="AB5041" s="390"/>
    </row>
    <row r="5042" spans="1:28">
      <c r="A5042" s="384" t="str">
        <f t="shared" ref="A5042:B5042" si="16268">A5035</f>
        <v>Lantai 3</v>
      </c>
      <c r="B5042" s="385">
        <f t="shared" si="16268"/>
        <v>26</v>
      </c>
      <c r="C5042" s="393" t="s">
        <v>202</v>
      </c>
      <c r="D5042" s="398">
        <f>VLOOKUP(D5035,'Detail Balok'!$C$10:$AU$140,4,FALSE)</f>
        <v>4</v>
      </c>
      <c r="E5042" s="388" t="s">
        <v>16</v>
      </c>
      <c r="F5042" s="388">
        <f>VLOOKUP(D5035,'Detail Balok'!$C$10:$AU$140,6,FALSE)</f>
        <v>16</v>
      </c>
      <c r="G5042" s="388"/>
      <c r="H5042" s="395"/>
      <c r="I5042" s="388" t="s">
        <v>203</v>
      </c>
      <c r="J5042" s="399">
        <f t="shared" ref="J5042" si="16269">+D5037/4/1000</f>
        <v>1.26875</v>
      </c>
      <c r="K5042" s="400" t="s">
        <v>204</v>
      </c>
      <c r="L5042" s="399">
        <f t="shared" ref="L5042" si="16270">MAX(VLOOKUP(F5042,N$6:P$15,3,FALSE)/1000,2/3*D5039/1000)+F$16*F5042/1000</f>
        <v>0.192</v>
      </c>
      <c r="M5042" s="399" t="s">
        <v>176</v>
      </c>
      <c r="N5042" s="399">
        <f t="shared" ref="N5042:N5044" si="16271">J5042+L5042</f>
        <v>1.46075</v>
      </c>
      <c r="O5042" s="399" t="s">
        <v>204</v>
      </c>
      <c r="P5042" s="389">
        <f t="shared" ref="P5042" si="16272">D5042-D5043</f>
        <v>0</v>
      </c>
      <c r="Q5042" s="399" t="s">
        <v>125</v>
      </c>
      <c r="R5042" s="399">
        <f t="shared" ref="R5042" si="16273">IF(P5042&gt;0,$F$18*F5042/1000,0)</f>
        <v>0</v>
      </c>
      <c r="S5042" s="399" t="s">
        <v>205</v>
      </c>
      <c r="T5042" s="399" t="s">
        <v>125</v>
      </c>
      <c r="U5042" s="401">
        <f t="shared" ref="U5042:U5044" si="16274">0.006165*F5042^2</f>
        <v>1.5782400000000001</v>
      </c>
      <c r="V5042" s="399"/>
      <c r="W5042" s="399"/>
      <c r="X5042" s="399" t="s">
        <v>125</v>
      </c>
      <c r="Y5042" s="389">
        <f t="shared" ref="Y5042" si="16275">D5041</f>
        <v>1</v>
      </c>
      <c r="Z5042" s="400" t="s">
        <v>176</v>
      </c>
      <c r="AA5042" s="402">
        <f t="shared" ref="AA5042" si="16276">IF(AA5045=0,(D5042*N5042+P5042*R5042)*U5042*Y5042,0)</f>
        <v>0</v>
      </c>
      <c r="AB5042" s="403"/>
    </row>
    <row r="5043" spans="1:28">
      <c r="A5043" s="384" t="str">
        <f t="shared" ref="A5043:B5043" si="16277">A5035</f>
        <v>Lantai 3</v>
      </c>
      <c r="B5043" s="385">
        <f t="shared" si="16277"/>
        <v>26</v>
      </c>
      <c r="C5043" s="393" t="s">
        <v>206</v>
      </c>
      <c r="D5043" s="398">
        <f>VLOOKUP(D5035,'Detail Balok'!$C$10:$AU$140,7,FALSE)</f>
        <v>4</v>
      </c>
      <c r="E5043" s="388" t="s">
        <v>16</v>
      </c>
      <c r="F5043" s="388">
        <f>VLOOKUP(D5035,'Detail Balok'!$C$10:$AU$140,9,FALSE)</f>
        <v>16</v>
      </c>
      <c r="G5043" s="388"/>
      <c r="H5043" s="395"/>
      <c r="I5043" s="388" t="s">
        <v>203</v>
      </c>
      <c r="J5043" s="399">
        <f t="shared" ref="J5043" si="16278">+D5037/2/1000</f>
        <v>2.5375000000000001</v>
      </c>
      <c r="K5043" s="400" t="s">
        <v>204</v>
      </c>
      <c r="L5043" s="399"/>
      <c r="M5043" s="399" t="s">
        <v>176</v>
      </c>
      <c r="N5043" s="399">
        <f t="shared" si="16271"/>
        <v>2.5375000000000001</v>
      </c>
      <c r="O5043" s="399" t="s">
        <v>204</v>
      </c>
      <c r="P5043" s="389">
        <f t="shared" ref="P5043" si="16279">MAX(D5043-D5042,D5043-D5044)</f>
        <v>0</v>
      </c>
      <c r="Q5043" s="399" t="s">
        <v>125</v>
      </c>
      <c r="R5043" s="399">
        <f t="shared" ref="R5043" si="16280">IF(P5043&gt;0,2*(1-2*$F$19-1/2)*D5038/1000,0)</f>
        <v>0</v>
      </c>
      <c r="S5043" s="399" t="s">
        <v>205</v>
      </c>
      <c r="T5043" s="399" t="s">
        <v>125</v>
      </c>
      <c r="U5043" s="401">
        <f t="shared" si="16274"/>
        <v>1.5782400000000001</v>
      </c>
      <c r="V5043" s="399"/>
      <c r="W5043" s="399"/>
      <c r="X5043" s="399" t="s">
        <v>125</v>
      </c>
      <c r="Y5043" s="389">
        <f t="shared" ref="Y5043" si="16281">D5041</f>
        <v>1</v>
      </c>
      <c r="Z5043" s="400" t="s">
        <v>176</v>
      </c>
      <c r="AA5043" s="402">
        <f t="shared" ref="AA5043" si="16282">IF(AA5045=0,(D5043*N5043+P5043*R5043)*U5043*Y5043,0)</f>
        <v>0</v>
      </c>
      <c r="AB5043" s="403"/>
    </row>
    <row r="5044" spans="1:28">
      <c r="A5044" s="384" t="str">
        <f t="shared" ref="A5044:B5044" si="16283">A5035</f>
        <v>Lantai 3</v>
      </c>
      <c r="B5044" s="385">
        <f t="shared" si="16283"/>
        <v>26</v>
      </c>
      <c r="C5044" s="393" t="s">
        <v>202</v>
      </c>
      <c r="D5044" s="398">
        <f>VLOOKUP(D5035,'Detail Balok'!$C$10:$AU$140,10,FALSE)</f>
        <v>4</v>
      </c>
      <c r="E5044" s="388" t="s">
        <v>16</v>
      </c>
      <c r="F5044" s="388">
        <f>VLOOKUP(D5035,'Detail Balok'!$C$10:$AU$140,12,FALSE)</f>
        <v>16</v>
      </c>
      <c r="G5044" s="388"/>
      <c r="H5044" s="395"/>
      <c r="I5044" s="388" t="s">
        <v>203</v>
      </c>
      <c r="J5044" s="399">
        <f t="shared" ref="J5044" si="16284">+D5037/4/1000</f>
        <v>1.26875</v>
      </c>
      <c r="K5044" s="400" t="s">
        <v>204</v>
      </c>
      <c r="L5044" s="399">
        <f t="shared" ref="L5044" si="16285">MAX(VLOOKUP(F5044,N$6:P$15,3,FALSE)/1000,2/3*D5039/1000)+F$16*F5044/1000</f>
        <v>0.192</v>
      </c>
      <c r="M5044" s="399" t="s">
        <v>176</v>
      </c>
      <c r="N5044" s="399">
        <f t="shared" si="16271"/>
        <v>1.46075</v>
      </c>
      <c r="O5044" s="399" t="s">
        <v>204</v>
      </c>
      <c r="P5044" s="389">
        <f t="shared" ref="P5044" si="16286">D5044-D5043</f>
        <v>0</v>
      </c>
      <c r="Q5044" s="399" t="s">
        <v>125</v>
      </c>
      <c r="R5044" s="399">
        <f t="shared" ref="R5044" si="16287">IF(P5044&gt;0,$F$18*F5044/1000,0)</f>
        <v>0</v>
      </c>
      <c r="S5044" s="399" t="s">
        <v>205</v>
      </c>
      <c r="T5044" s="399" t="s">
        <v>125</v>
      </c>
      <c r="U5044" s="401">
        <f t="shared" si="16274"/>
        <v>1.5782400000000001</v>
      </c>
      <c r="V5044" s="399"/>
      <c r="W5044" s="399"/>
      <c r="X5044" s="399" t="s">
        <v>125</v>
      </c>
      <c r="Y5044" s="389">
        <f t="shared" ref="Y5044" si="16288">D5041</f>
        <v>1</v>
      </c>
      <c r="Z5044" s="400" t="s">
        <v>176</v>
      </c>
      <c r="AA5044" s="402">
        <f t="shared" ref="AA5044" si="16289">IF(AA5045=0,(D5044*N5044+P5044*R5044)*U5044*Y5044,0)</f>
        <v>0</v>
      </c>
      <c r="AB5044" s="403"/>
    </row>
    <row r="5045" spans="1:28">
      <c r="A5045" s="384" t="str">
        <f t="shared" ref="A5045:B5045" si="16290">A5035</f>
        <v>Lantai 3</v>
      </c>
      <c r="B5045" s="385">
        <f t="shared" si="16290"/>
        <v>26</v>
      </c>
      <c r="C5045" s="393"/>
      <c r="D5045" s="398">
        <f t="shared" ref="D5045:D5105" si="16291">IF(AND(D5042=D5043,D5043=D5044,D5042=D5044),D5042,0)</f>
        <v>4</v>
      </c>
      <c r="E5045" s="388" t="s">
        <v>16</v>
      </c>
      <c r="F5045" s="388">
        <f t="shared" ref="F5045:F5105" si="16292">IF(AND(F5042=F5043,F5042=F5044,F5043=F5044),F5042,0)</f>
        <v>16</v>
      </c>
      <c r="G5045" s="388"/>
      <c r="H5045" s="395"/>
      <c r="I5045" s="388"/>
      <c r="J5045" s="396"/>
      <c r="K5045" s="396"/>
      <c r="L5045" s="404" t="s">
        <v>207</v>
      </c>
      <c r="M5045" s="399" t="s">
        <v>176</v>
      </c>
      <c r="N5045" s="399">
        <f t="shared" ref="N5045" si="16293">IF(AND(D5042=D5043,D5042=D5044,D5043=D5044,F5042=F5043,F5042=F5044,F5043=F5044),SUM(N5042:N5044),0)</f>
        <v>5.4589999999999996</v>
      </c>
      <c r="O5045" s="399" t="s">
        <v>204</v>
      </c>
      <c r="P5045" s="389">
        <f t="shared" ref="P5045" si="16294">IF(N5045&gt;12,ROUNDDOWN(N5045/12,0),0)</f>
        <v>0</v>
      </c>
      <c r="Q5045" s="399" t="s">
        <v>125</v>
      </c>
      <c r="R5045" s="399">
        <f t="shared" ref="R5045" si="16295">IF(P5045&gt;0,MAX(VLOOKUP(F5045,$D$6:$G$15,3,FALSE),600),0)/1000</f>
        <v>0</v>
      </c>
      <c r="S5045" s="396"/>
      <c r="T5045" s="396" t="s">
        <v>125</v>
      </c>
      <c r="U5045" s="401">
        <f t="shared" ref="U5045:U5105" si="16296">U5044</f>
        <v>1.5782400000000001</v>
      </c>
      <c r="V5045" s="396" t="s">
        <v>125</v>
      </c>
      <c r="W5045" s="399">
        <f t="shared" ref="W5045" si="16297">D5045</f>
        <v>4</v>
      </c>
      <c r="X5045" s="399" t="s">
        <v>125</v>
      </c>
      <c r="Y5045" s="389">
        <f t="shared" ref="Y5045:Y5105" si="16298">Y5044</f>
        <v>1</v>
      </c>
      <c r="Z5045" s="400" t="s">
        <v>176</v>
      </c>
      <c r="AA5045" s="402">
        <f t="shared" ref="AA5045" si="16299">(N5045+P5045*R5045/1000)*U5045*W5045*Y5045</f>
        <v>34.462448639999998</v>
      </c>
      <c r="AB5045" s="390"/>
    </row>
    <row r="5046" spans="1:28">
      <c r="A5046" s="384"/>
      <c r="B5046" s="385"/>
      <c r="C5046" s="393"/>
      <c r="D5046" s="398"/>
      <c r="E5046" s="388"/>
      <c r="F5046" s="388"/>
      <c r="G5046" s="388"/>
      <c r="H5046" s="395"/>
      <c r="I5046" s="388"/>
      <c r="J5046" s="396"/>
      <c r="K5046" s="396"/>
      <c r="L5046" s="404"/>
      <c r="M5046" s="399"/>
      <c r="N5046" s="399"/>
      <c r="O5046" s="396"/>
      <c r="P5046" s="389"/>
      <c r="Q5046" s="396"/>
      <c r="R5046" s="396"/>
      <c r="S5046" s="396"/>
      <c r="T5046" s="396"/>
      <c r="U5046" s="401"/>
      <c r="V5046" s="396"/>
      <c r="W5046" s="399"/>
      <c r="X5046" s="396"/>
      <c r="Y5046" s="389"/>
      <c r="Z5046" s="396"/>
      <c r="AA5046" s="388"/>
      <c r="AB5046" s="390"/>
    </row>
    <row r="5047" spans="1:28">
      <c r="A5047" s="384" t="str">
        <f t="shared" ref="A5047:B5047" si="16300">A5035</f>
        <v>Lantai 3</v>
      </c>
      <c r="B5047" s="385">
        <f t="shared" si="16300"/>
        <v>26</v>
      </c>
      <c r="C5047" s="393" t="s">
        <v>208</v>
      </c>
      <c r="D5047" s="398">
        <f>VLOOKUP(D5035,'Detail Balok'!$C$10:$AU$140,13,FALSE)</f>
        <v>2</v>
      </c>
      <c r="E5047" s="388" t="s">
        <v>16</v>
      </c>
      <c r="F5047" s="388">
        <f>VLOOKUP(D5035,'Detail Balok'!$C$10:$AU$140,15,FALSE)</f>
        <v>10</v>
      </c>
      <c r="G5047" s="388"/>
      <c r="H5047" s="395"/>
      <c r="I5047" s="388"/>
      <c r="J5047" s="399">
        <f t="shared" ref="J5047" si="16301">+D5037/1000</f>
        <v>5.0750000000000002</v>
      </c>
      <c r="K5047" s="400" t="s">
        <v>204</v>
      </c>
      <c r="L5047" s="399">
        <f t="shared" ref="L5047" si="16302">2*$F$16*F5047/1000</f>
        <v>0.24</v>
      </c>
      <c r="M5047" s="399" t="s">
        <v>176</v>
      </c>
      <c r="N5047" s="399">
        <f t="shared" ref="N5047" si="16303">J5047+L5047</f>
        <v>5.3150000000000004</v>
      </c>
      <c r="O5047" s="399" t="s">
        <v>204</v>
      </c>
      <c r="P5047" s="389">
        <f t="shared" ref="P5047" si="16304">IF(N5047&gt;12,ROUNDDOWN(N5047/12,0),0)</f>
        <v>0</v>
      </c>
      <c r="Q5047" s="399" t="s">
        <v>125</v>
      </c>
      <c r="R5047" s="399">
        <f t="shared" ref="R5047" si="16305">IF(P5047&gt;0,MAX(VLOOKUP(F5047,$D$6:$G$15,3,FALSE),600),0)/1000</f>
        <v>0</v>
      </c>
      <c r="S5047" s="399"/>
      <c r="T5047" s="399" t="s">
        <v>125</v>
      </c>
      <c r="U5047" s="401">
        <f t="shared" ref="U5047" si="16306">0.006165*F5047^2</f>
        <v>0.61650000000000005</v>
      </c>
      <c r="V5047" s="399" t="s">
        <v>125</v>
      </c>
      <c r="W5047" s="399">
        <f t="shared" ref="W5047" si="16307">+D5047</f>
        <v>2</v>
      </c>
      <c r="X5047" s="399" t="s">
        <v>125</v>
      </c>
      <c r="Y5047" s="389">
        <f t="shared" ref="Y5047" si="16308">D5041</f>
        <v>1</v>
      </c>
      <c r="Z5047" s="400" t="s">
        <v>176</v>
      </c>
      <c r="AA5047" s="402">
        <f t="shared" ref="AA5047" si="16309">(N5047+P5047*R5047/1000)*U5047*W5047*Y5047</f>
        <v>6.553395000000001</v>
      </c>
      <c r="AB5047" s="403"/>
    </row>
    <row r="5048" spans="1:28">
      <c r="A5048" s="384"/>
      <c r="B5048" s="385"/>
      <c r="C5048" s="393"/>
      <c r="D5048" s="398"/>
      <c r="E5048" s="388"/>
      <c r="F5048" s="388"/>
      <c r="G5048" s="388"/>
      <c r="H5048" s="395"/>
      <c r="I5048" s="388"/>
      <c r="J5048" s="399"/>
      <c r="K5048" s="400"/>
      <c r="L5048" s="399"/>
      <c r="M5048" s="399"/>
      <c r="N5048" s="399"/>
      <c r="O5048" s="399"/>
      <c r="P5048" s="389"/>
      <c r="Q5048" s="399"/>
      <c r="R5048" s="399"/>
      <c r="S5048" s="399"/>
      <c r="T5048" s="399"/>
      <c r="U5048" s="401"/>
      <c r="V5048" s="399"/>
      <c r="W5048" s="399"/>
      <c r="X5048" s="399"/>
      <c r="Y5048" s="389"/>
      <c r="Z5048" s="400"/>
      <c r="AA5048" s="402"/>
      <c r="AB5048" s="403"/>
    </row>
    <row r="5049" spans="1:28">
      <c r="A5049" s="384"/>
      <c r="B5049" s="385"/>
      <c r="C5049" s="393"/>
      <c r="D5049" s="398"/>
      <c r="E5049" s="388"/>
      <c r="F5049" s="388"/>
      <c r="G5049" s="388"/>
      <c r="H5049" s="395"/>
      <c r="I5049" s="388"/>
      <c r="J5049" s="396"/>
      <c r="K5049" s="396"/>
      <c r="L5049" s="396"/>
      <c r="M5049" s="396"/>
      <c r="N5049" s="396"/>
      <c r="O5049" s="396"/>
      <c r="P5049" s="389"/>
      <c r="Q5049" s="396"/>
      <c r="R5049" s="396"/>
      <c r="S5049" s="396"/>
      <c r="T5049" s="396"/>
      <c r="U5049" s="401"/>
      <c r="V5049" s="396"/>
      <c r="W5049" s="399"/>
      <c r="X5049" s="396"/>
      <c r="Y5049" s="389"/>
      <c r="Z5049" s="396"/>
      <c r="AA5049" s="388"/>
      <c r="AB5049" s="390"/>
    </row>
    <row r="5050" spans="1:28">
      <c r="A5050" s="384" t="str">
        <f t="shared" ref="A5050:B5050" si="16310">A5035</f>
        <v>Lantai 3</v>
      </c>
      <c r="B5050" s="385">
        <f t="shared" si="16310"/>
        <v>26</v>
      </c>
      <c r="C5050" s="393" t="s">
        <v>209</v>
      </c>
      <c r="D5050" s="398">
        <f>VLOOKUP(D5035,'Detail Balok'!$C$10:$AU$140,22,FALSE)</f>
        <v>4</v>
      </c>
      <c r="E5050" s="388" t="s">
        <v>16</v>
      </c>
      <c r="F5050" s="388">
        <f>VLOOKUP(D5035,'Detail Balok'!$C$10:$AU$140,24,FALSE)</f>
        <v>16</v>
      </c>
      <c r="G5050" s="388"/>
      <c r="H5050" s="395"/>
      <c r="I5050" s="388" t="s">
        <v>203</v>
      </c>
      <c r="J5050" s="399">
        <f t="shared" ref="J5050:J5112" si="16311">+J5042</f>
        <v>1.26875</v>
      </c>
      <c r="K5050" s="400" t="s">
        <v>204</v>
      </c>
      <c r="L5050" s="399">
        <f t="shared" ref="L5050" si="16312">MAX(VLOOKUP(F5050,N$6:P$15,3,FALSE)/1000,2/3*D5040/1000)+F$16*F5050/1000</f>
        <v>0.192</v>
      </c>
      <c r="M5050" s="399" t="s">
        <v>176</v>
      </c>
      <c r="N5050" s="399">
        <f t="shared" ref="N5050:N5052" si="16313">J5050+L5050</f>
        <v>1.46075</v>
      </c>
      <c r="O5050" s="399" t="s">
        <v>204</v>
      </c>
      <c r="P5050" s="389">
        <f t="shared" ref="P5050" si="16314">D5050-D5051</f>
        <v>0</v>
      </c>
      <c r="Q5050" s="399" t="s">
        <v>125</v>
      </c>
      <c r="R5050" s="399">
        <f t="shared" ref="R5050" si="16315">IF(P5050&gt;0,$F$18*F5050/1000,0)</f>
        <v>0</v>
      </c>
      <c r="S5050" s="399" t="s">
        <v>205</v>
      </c>
      <c r="T5050" s="399" t="s">
        <v>125</v>
      </c>
      <c r="U5050" s="401">
        <f t="shared" ref="U5050:U5052" si="16316">0.006165*F5050^2</f>
        <v>1.5782400000000001</v>
      </c>
      <c r="V5050" s="399"/>
      <c r="W5050" s="399"/>
      <c r="X5050" s="399" t="s">
        <v>125</v>
      </c>
      <c r="Y5050" s="389">
        <f t="shared" ref="Y5050" si="16317">D5041</f>
        <v>1</v>
      </c>
      <c r="Z5050" s="400" t="s">
        <v>176</v>
      </c>
      <c r="AA5050" s="402">
        <f t="shared" ref="AA5050" si="16318">IF(AA5053=0,(D5050*N5050+P5050*R5050)*U5050*Y5050,0)</f>
        <v>0</v>
      </c>
      <c r="AB5050" s="403"/>
    </row>
    <row r="5051" spans="1:28">
      <c r="A5051" s="384" t="str">
        <f t="shared" ref="A5051:B5051" si="16319">A5035</f>
        <v>Lantai 3</v>
      </c>
      <c r="B5051" s="385">
        <f t="shared" si="16319"/>
        <v>26</v>
      </c>
      <c r="C5051" s="393" t="s">
        <v>210</v>
      </c>
      <c r="D5051" s="398">
        <f>VLOOKUP(D5035,'Detail Balok'!$C$10:$AU$140,25,FALSE)</f>
        <v>4</v>
      </c>
      <c r="E5051" s="388" t="s">
        <v>16</v>
      </c>
      <c r="F5051" s="388">
        <f>VLOOKUP(D5035,'Detail Balok'!$C$10:$AU$140,27,FALSE)</f>
        <v>16</v>
      </c>
      <c r="G5051" s="388"/>
      <c r="H5051" s="395"/>
      <c r="I5051" s="388" t="s">
        <v>203</v>
      </c>
      <c r="J5051" s="399">
        <f t="shared" si="16311"/>
        <v>2.5375000000000001</v>
      </c>
      <c r="K5051" s="400" t="s">
        <v>204</v>
      </c>
      <c r="L5051" s="399"/>
      <c r="M5051" s="399" t="s">
        <v>176</v>
      </c>
      <c r="N5051" s="399">
        <f t="shared" si="16313"/>
        <v>2.5375000000000001</v>
      </c>
      <c r="O5051" s="399" t="s">
        <v>204</v>
      </c>
      <c r="P5051" s="389">
        <f t="shared" ref="P5051" si="16320">MAX(D5051-D5050,D5051-D5052)</f>
        <v>0</v>
      </c>
      <c r="Q5051" s="399" t="s">
        <v>125</v>
      </c>
      <c r="R5051" s="399">
        <f t="shared" ref="R5051" si="16321">IF(P5051&gt;0,2*(1-2*$F$19-1/2)*D5038/1000,0)</f>
        <v>0</v>
      </c>
      <c r="S5051" s="399" t="s">
        <v>205</v>
      </c>
      <c r="T5051" s="399" t="s">
        <v>125</v>
      </c>
      <c r="U5051" s="401">
        <f t="shared" si="16316"/>
        <v>1.5782400000000001</v>
      </c>
      <c r="V5051" s="399"/>
      <c r="W5051" s="399"/>
      <c r="X5051" s="399" t="s">
        <v>125</v>
      </c>
      <c r="Y5051" s="389">
        <f t="shared" ref="Y5051" si="16322">D5041</f>
        <v>1</v>
      </c>
      <c r="Z5051" s="400" t="s">
        <v>176</v>
      </c>
      <c r="AA5051" s="402">
        <f t="shared" ref="AA5051" si="16323">IF(AA5053=0,(D5051*N5051+P5051*R5051)*U5051*Y5051,0)</f>
        <v>0</v>
      </c>
      <c r="AB5051" s="403"/>
    </row>
    <row r="5052" spans="1:28">
      <c r="A5052" s="384" t="str">
        <f t="shared" ref="A5052:B5052" si="16324">A5035</f>
        <v>Lantai 3</v>
      </c>
      <c r="B5052" s="385">
        <f t="shared" si="16324"/>
        <v>26</v>
      </c>
      <c r="C5052" s="393" t="s">
        <v>209</v>
      </c>
      <c r="D5052" s="398">
        <f>VLOOKUP(D5035,'Detail Balok'!$C$10:$AU$140,28,FALSE)</f>
        <v>4</v>
      </c>
      <c r="E5052" s="388" t="s">
        <v>16</v>
      </c>
      <c r="F5052" s="388">
        <f>VLOOKUP(D5035,'Detail Balok'!$C$10:$AU$140,30,FALSE)</f>
        <v>16</v>
      </c>
      <c r="G5052" s="388"/>
      <c r="H5052" s="395"/>
      <c r="I5052" s="388" t="s">
        <v>203</v>
      </c>
      <c r="J5052" s="399">
        <f t="shared" si="16311"/>
        <v>1.26875</v>
      </c>
      <c r="K5052" s="400" t="s">
        <v>204</v>
      </c>
      <c r="L5052" s="399">
        <f t="shared" ref="L5052" si="16325">MAX(VLOOKUP(F5052,N$6:P$15,3,FALSE)/1000,2/3*D5040/1000)+F$16*F5052/1000</f>
        <v>0.192</v>
      </c>
      <c r="M5052" s="399" t="s">
        <v>176</v>
      </c>
      <c r="N5052" s="399">
        <f t="shared" si="16313"/>
        <v>1.46075</v>
      </c>
      <c r="O5052" s="399" t="s">
        <v>204</v>
      </c>
      <c r="P5052" s="389">
        <f t="shared" ref="P5052" si="16326">D5052-D5051</f>
        <v>0</v>
      </c>
      <c r="Q5052" s="399" t="s">
        <v>125</v>
      </c>
      <c r="R5052" s="399">
        <f t="shared" ref="R5052" si="16327">IF(P5052&gt;0,$F$18*F5052/1000,0)</f>
        <v>0</v>
      </c>
      <c r="S5052" s="399" t="s">
        <v>205</v>
      </c>
      <c r="T5052" s="399" t="s">
        <v>125</v>
      </c>
      <c r="U5052" s="401">
        <f t="shared" si="16316"/>
        <v>1.5782400000000001</v>
      </c>
      <c r="V5052" s="399"/>
      <c r="W5052" s="399"/>
      <c r="X5052" s="399" t="s">
        <v>125</v>
      </c>
      <c r="Y5052" s="389">
        <f t="shared" ref="Y5052" si="16328">D5041</f>
        <v>1</v>
      </c>
      <c r="Z5052" s="400" t="s">
        <v>176</v>
      </c>
      <c r="AA5052" s="402">
        <f t="shared" ref="AA5052" si="16329">IF(AA5053=0,(D5052*N5052+P5052*R5052)*U5052*Y5052,0)</f>
        <v>0</v>
      </c>
      <c r="AB5052" s="403"/>
    </row>
    <row r="5053" spans="1:28">
      <c r="A5053" s="384" t="str">
        <f t="shared" ref="A5053:B5053" si="16330">A5035</f>
        <v>Lantai 3</v>
      </c>
      <c r="B5053" s="385">
        <f t="shared" si="16330"/>
        <v>26</v>
      </c>
      <c r="C5053" s="393"/>
      <c r="D5053" s="398">
        <f t="shared" ref="D5053:D5113" si="16331">IF(AND(D5050=D5051,D5051=D5052,D5050=D5052),D5050,0)</f>
        <v>4</v>
      </c>
      <c r="E5053" s="388" t="s">
        <v>16</v>
      </c>
      <c r="F5053" s="388">
        <f t="shared" ref="F5053:F5113" si="16332">IF(AND(F5050=F5051,F5050=F5052,F5051=F5052),F5050,0)</f>
        <v>16</v>
      </c>
      <c r="G5053" s="388"/>
      <c r="H5053" s="395"/>
      <c r="I5053" s="388"/>
      <c r="J5053" s="396"/>
      <c r="K5053" s="396"/>
      <c r="L5053" s="404" t="s">
        <v>207</v>
      </c>
      <c r="M5053" s="399" t="s">
        <v>176</v>
      </c>
      <c r="N5053" s="399">
        <f t="shared" ref="N5053" si="16333">IF(AND(D5050=D5051,D5050=D5052,D5051=D5052,F5050=F5051,F5050=F5052,F5051=F5052),SUM(N5050:N5052),0)</f>
        <v>5.4589999999999996</v>
      </c>
      <c r="O5053" s="399" t="s">
        <v>204</v>
      </c>
      <c r="P5053" s="389">
        <f t="shared" ref="P5053" si="16334">IF(N5053&gt;12,ROUNDDOWN(N5053/12,0),0)</f>
        <v>0</v>
      </c>
      <c r="Q5053" s="399" t="s">
        <v>125</v>
      </c>
      <c r="R5053" s="399">
        <f t="shared" ref="R5053" si="16335">IF(P5053&gt;0,MAX(VLOOKUP(F5053,$D$6:$G$15,3,FALSE),600),0)/1000</f>
        <v>0</v>
      </c>
      <c r="S5053" s="396"/>
      <c r="T5053" s="396" t="s">
        <v>125</v>
      </c>
      <c r="U5053" s="401">
        <f t="shared" ref="U5053:U5113" si="16336">U5052</f>
        <v>1.5782400000000001</v>
      </c>
      <c r="V5053" s="396" t="s">
        <v>125</v>
      </c>
      <c r="W5053" s="399">
        <f t="shared" ref="W5053" si="16337">D5053</f>
        <v>4</v>
      </c>
      <c r="X5053" s="399" t="s">
        <v>125</v>
      </c>
      <c r="Y5053" s="389">
        <f t="shared" ref="Y5053:Y5113" si="16338">Y5052</f>
        <v>1</v>
      </c>
      <c r="Z5053" s="400" t="s">
        <v>176</v>
      </c>
      <c r="AA5053" s="402">
        <f t="shared" ref="AA5053" si="16339">(N5053+P5053*R5053/1000)*U5053*W5053*Y5053</f>
        <v>34.462448639999998</v>
      </c>
      <c r="AB5053" s="403"/>
    </row>
    <row r="5054" spans="1:28">
      <c r="A5054" s="384"/>
      <c r="B5054" s="385"/>
      <c r="C5054" s="393"/>
      <c r="D5054" s="394"/>
      <c r="E5054" s="388"/>
      <c r="F5054" s="388"/>
      <c r="G5054" s="388"/>
      <c r="H5054" s="395"/>
      <c r="I5054" s="388"/>
      <c r="J5054" s="399"/>
      <c r="K5054" s="396"/>
      <c r="L5054" s="396"/>
      <c r="M5054" s="396"/>
      <c r="N5054" s="396"/>
      <c r="O5054" s="396"/>
      <c r="P5054" s="389"/>
      <c r="Q5054" s="396"/>
      <c r="R5054" s="396"/>
      <c r="S5054" s="396"/>
      <c r="T5054" s="396"/>
      <c r="U5054" s="401"/>
      <c r="V5054" s="396"/>
      <c r="W5054" s="388"/>
      <c r="X5054" s="396"/>
      <c r="Y5054" s="389"/>
      <c r="Z5054" s="396"/>
      <c r="AA5054" s="388"/>
      <c r="AB5054" s="390"/>
    </row>
    <row r="5055" spans="1:28">
      <c r="A5055" s="384" t="str">
        <f t="shared" ref="A5055:B5055" si="16340">A5035</f>
        <v>Lantai 3</v>
      </c>
      <c r="B5055" s="385">
        <f t="shared" si="16340"/>
        <v>26</v>
      </c>
      <c r="C5055" s="393" t="s">
        <v>211</v>
      </c>
      <c r="D5055" s="398">
        <f>VLOOKUP(D5035,'Detail Balok'!$C$10:$AU$140,31,FALSE)</f>
        <v>0</v>
      </c>
      <c r="E5055" s="388" t="s">
        <v>16</v>
      </c>
      <c r="F5055" s="388">
        <f>VLOOKUP(D5035,'Detail Balok'!$C$10:$AU$140,33,FALSE)</f>
        <v>10</v>
      </c>
      <c r="G5055" s="405" t="s">
        <v>157</v>
      </c>
      <c r="H5055" s="395">
        <f>VLOOKUP(D5035,'Detail Balok'!$C$10:$AU$140,35,FALSE)</f>
        <v>150</v>
      </c>
      <c r="I5055" s="388"/>
      <c r="J5055" s="400">
        <f t="shared" ref="J5055" si="16341">(IF(D5055=0,(2*(D5036+G5036))-(F$5*8),IF(D5055=3,(2*(D5036+G5036))-(F$5*8)+(G5036-2*F$5),IF(D5055=4,(2*(D5036+G5036))-(F$5*8)+2*(G5036-2*F$5)))))/1000</f>
        <v>1.08</v>
      </c>
      <c r="K5055" s="400" t="s">
        <v>204</v>
      </c>
      <c r="L5055" s="399">
        <f t="shared" ref="L5055:L5057" si="16342">IF(D5055=0,2*MAX(6*F5055,75),(D5055-1)*2*MAX(6*F5055,75))/1000</f>
        <v>0.15</v>
      </c>
      <c r="M5055" s="399" t="s">
        <v>176</v>
      </c>
      <c r="N5055" s="399">
        <f t="shared" ref="N5055:N5057" si="16343">J5055+L5055</f>
        <v>1.23</v>
      </c>
      <c r="O5055" s="399"/>
      <c r="P5055" s="389"/>
      <c r="Q5055" s="399"/>
      <c r="R5055" s="399"/>
      <c r="S5055" s="399"/>
      <c r="T5055" s="399" t="s">
        <v>125</v>
      </c>
      <c r="U5055" s="401">
        <f t="shared" ref="U5055:U5057" si="16344">0.006165*F5055^2</f>
        <v>0.61650000000000005</v>
      </c>
      <c r="V5055" s="399" t="s">
        <v>125</v>
      </c>
      <c r="W5055" s="399">
        <f t="shared" ref="W5055" si="16345">IF(D5038&gt;4*G5036,ROUND(MAX(D5038/4,2*G5036)/H5055,0)+1,ROUND(D5038/H5055,0)+1)</f>
        <v>9</v>
      </c>
      <c r="X5055" s="399" t="s">
        <v>125</v>
      </c>
      <c r="Y5055" s="389">
        <f t="shared" ref="Y5055" si="16346">D5041</f>
        <v>1</v>
      </c>
      <c r="Z5055" s="400" t="s">
        <v>176</v>
      </c>
      <c r="AA5055" s="402">
        <f t="shared" ref="AA5055:AA5057" si="16347">N5055*U5055*W5055*Y5055</f>
        <v>6.8246550000000008</v>
      </c>
      <c r="AB5055" s="403"/>
    </row>
    <row r="5056" spans="1:28">
      <c r="A5056" s="384" t="str">
        <f t="shared" ref="A5056:B5056" si="16348">A5035</f>
        <v>Lantai 3</v>
      </c>
      <c r="B5056" s="385">
        <f t="shared" si="16348"/>
        <v>26</v>
      </c>
      <c r="C5056" s="393" t="s">
        <v>212</v>
      </c>
      <c r="D5056" s="398">
        <f>VLOOKUP(D5035,'Detail Balok'!$C$10:$AU$140,36,FALSE)</f>
        <v>0</v>
      </c>
      <c r="E5056" s="388" t="s">
        <v>16</v>
      </c>
      <c r="F5056" s="388">
        <f>VLOOKUP(D5035,'Detail Balok'!$C$10:$AU$140,38,FALSE)</f>
        <v>10</v>
      </c>
      <c r="G5056" s="405" t="s">
        <v>157</v>
      </c>
      <c r="H5056" s="395">
        <f>VLOOKUP(D5035,'Detail Balok'!$C$10:$AU$140,40,FALSE)</f>
        <v>200</v>
      </c>
      <c r="I5056" s="388"/>
      <c r="J5056" s="400">
        <f t="shared" ref="J5056" si="16349">(IF(D5056=0,(2*(D5036+G5036))-(F$5*8),IF(D5056=3,(2*(D5036+G5036))-(F$5*8)+(G5036-2*F$5),IF(D5056=4,(2*(D5036+G5036))-(F$5*8)+2*(G5036-2*F$5)))))/1000</f>
        <v>1.08</v>
      </c>
      <c r="K5056" s="400" t="s">
        <v>204</v>
      </c>
      <c r="L5056" s="399">
        <f t="shared" si="16342"/>
        <v>0.15</v>
      </c>
      <c r="M5056" s="399" t="s">
        <v>176</v>
      </c>
      <c r="N5056" s="399">
        <f t="shared" si="16343"/>
        <v>1.23</v>
      </c>
      <c r="O5056" s="399"/>
      <c r="P5056" s="389"/>
      <c r="Q5056" s="399"/>
      <c r="R5056" s="399"/>
      <c r="S5056" s="399"/>
      <c r="T5056" s="399" t="s">
        <v>125</v>
      </c>
      <c r="U5056" s="401">
        <f t="shared" si="16344"/>
        <v>0.61650000000000005</v>
      </c>
      <c r="V5056" s="399" t="s">
        <v>125</v>
      </c>
      <c r="W5056" s="399">
        <f t="shared" ref="W5056" si="16350">IF(D5038-MAX(D5038/4,2*G5036)*2&gt;0,ROUND((D5038-MAX(D5038/4,2*G5036)*2)/H5056,0),0)</f>
        <v>13</v>
      </c>
      <c r="X5056" s="399" t="s">
        <v>125</v>
      </c>
      <c r="Y5056" s="389">
        <f t="shared" ref="Y5056" si="16351">D5041</f>
        <v>1</v>
      </c>
      <c r="Z5056" s="400" t="s">
        <v>176</v>
      </c>
      <c r="AA5056" s="402">
        <f t="shared" si="16347"/>
        <v>9.8578350000000015</v>
      </c>
      <c r="AB5056" s="403"/>
    </row>
    <row r="5057" spans="1:28">
      <c r="A5057" s="384" t="str">
        <f t="shared" ref="A5057:B5057" si="16352">A5035</f>
        <v>Lantai 3</v>
      </c>
      <c r="B5057" s="385">
        <f t="shared" si="16352"/>
        <v>26</v>
      </c>
      <c r="C5057" s="393" t="s">
        <v>211</v>
      </c>
      <c r="D5057" s="398">
        <f>VLOOKUP(D5035,'Detail Balok'!$C$10:$AU$140,41,FALSE)</f>
        <v>0</v>
      </c>
      <c r="E5057" s="388" t="s">
        <v>16</v>
      </c>
      <c r="F5057" s="388">
        <f>VLOOKUP(D5035,'Detail Balok'!$C$10:$AU$140,43,FALSE)</f>
        <v>10</v>
      </c>
      <c r="G5057" s="405" t="s">
        <v>157</v>
      </c>
      <c r="H5057" s="395">
        <f>VLOOKUP(D5035,'Detail Balok'!$C$10:$AU$140,45,FALSE)</f>
        <v>150</v>
      </c>
      <c r="I5057" s="388"/>
      <c r="J5057" s="400">
        <f t="shared" ref="J5057" si="16353">(IF(D5057=0,(2*(D5036+G5036))-(F$5*8),IF(D5057=3,(2*(D5036+G5036))-(F$5*8)+(G5036-2*F$5),IF(D5057=4,(2*(D5036+G5036))-(F$5*8)+2*(G5036-2*F$5)))))/1000</f>
        <v>1.08</v>
      </c>
      <c r="K5057" s="400" t="s">
        <v>204</v>
      </c>
      <c r="L5057" s="399">
        <f t="shared" si="16342"/>
        <v>0.15</v>
      </c>
      <c r="M5057" s="399" t="s">
        <v>176</v>
      </c>
      <c r="N5057" s="399">
        <f t="shared" si="16343"/>
        <v>1.23</v>
      </c>
      <c r="O5057" s="399"/>
      <c r="P5057" s="389"/>
      <c r="Q5057" s="399"/>
      <c r="R5057" s="399"/>
      <c r="S5057" s="399"/>
      <c r="T5057" s="399" t="s">
        <v>125</v>
      </c>
      <c r="U5057" s="401">
        <f t="shared" si="16344"/>
        <v>0.61650000000000005</v>
      </c>
      <c r="V5057" s="399" t="s">
        <v>125</v>
      </c>
      <c r="W5057" s="399">
        <f t="shared" ref="W5057" si="16354">IF(D5038&gt;4*G5036,ROUND(MAX(D5038/4,2*G5036)/H5057,0)+1,0)</f>
        <v>9</v>
      </c>
      <c r="X5057" s="399" t="s">
        <v>125</v>
      </c>
      <c r="Y5057" s="389">
        <f t="shared" ref="Y5057" si="16355">D5041</f>
        <v>1</v>
      </c>
      <c r="Z5057" s="400" t="s">
        <v>176</v>
      </c>
      <c r="AA5057" s="402">
        <f t="shared" si="16347"/>
        <v>6.8246550000000008</v>
      </c>
      <c r="AB5057" s="403"/>
    </row>
    <row r="5058" spans="1:28">
      <c r="A5058" s="384"/>
      <c r="B5058" s="385"/>
      <c r="C5058" s="393"/>
      <c r="D5058" s="394"/>
      <c r="E5058" s="388"/>
      <c r="F5058" s="388"/>
      <c r="G5058" s="388"/>
      <c r="H5058" s="395"/>
      <c r="I5058" s="388"/>
      <c r="J5058" s="399"/>
      <c r="K5058" s="396"/>
      <c r="L5058" s="396"/>
      <c r="M5058" s="396"/>
      <c r="N5058" s="396"/>
      <c r="O5058" s="396"/>
      <c r="P5058" s="389"/>
      <c r="Q5058" s="396"/>
      <c r="R5058" s="396"/>
      <c r="S5058" s="396"/>
      <c r="T5058" s="396"/>
      <c r="U5058" s="401"/>
      <c r="V5058" s="396"/>
      <c r="W5058" s="388"/>
      <c r="X5058" s="396"/>
      <c r="Y5058" s="389"/>
      <c r="Z5058" s="396"/>
      <c r="AA5058" s="388"/>
      <c r="AB5058" s="390"/>
    </row>
    <row r="5059" spans="1:28">
      <c r="A5059" s="384" t="str">
        <f t="shared" ref="A5059:B5059" si="16356">A5035</f>
        <v>Lantai 3</v>
      </c>
      <c r="B5059" s="385">
        <f t="shared" si="16356"/>
        <v>26</v>
      </c>
      <c r="C5059" s="393" t="s">
        <v>213</v>
      </c>
      <c r="D5059" s="398">
        <f>VLOOKUP(D5035,'Detail Balok'!$C$10:$BJ$140,46,FALSE)</f>
        <v>0</v>
      </c>
      <c r="E5059" s="388" t="s">
        <v>16</v>
      </c>
      <c r="F5059" s="388">
        <f>VLOOKUP(D5035,'Detail Balok'!$C$10:$BJ$140,48,FALSE)</f>
        <v>0</v>
      </c>
      <c r="G5059" s="405" t="s">
        <v>157</v>
      </c>
      <c r="H5059" s="395">
        <f>VLOOKUP(D5035,'Detail Balok'!$C$10:$BJ$140,50,FALSE)</f>
        <v>100</v>
      </c>
      <c r="I5059" s="388"/>
      <c r="J5059" s="399">
        <f t="shared" ref="J5059" si="16357">(D5036-2*F$5)/1000</f>
        <v>0.12</v>
      </c>
      <c r="K5059" s="400" t="s">
        <v>204</v>
      </c>
      <c r="L5059" s="399">
        <f t="shared" ref="L5059:L5061" si="16358">IF(D5059=0,2*MAX(6*F5059,75),(D5059-1)*2*MAX(6*F5059,75))/1000</f>
        <v>0.15</v>
      </c>
      <c r="M5059" s="399" t="s">
        <v>176</v>
      </c>
      <c r="N5059" s="399">
        <f t="shared" ref="N5059:N5061" si="16359">J5059+L5059</f>
        <v>0.27</v>
      </c>
      <c r="O5059" s="399"/>
      <c r="P5059" s="399"/>
      <c r="Q5059" s="399"/>
      <c r="R5059" s="399"/>
      <c r="S5059" s="399"/>
      <c r="T5059" s="399" t="s">
        <v>125</v>
      </c>
      <c r="U5059" s="401">
        <f t="shared" ref="U5059:U5061" si="16360">0.006165*F5059^2</f>
        <v>0</v>
      </c>
      <c r="V5059" s="399" t="s">
        <v>125</v>
      </c>
      <c r="W5059" s="399">
        <f t="shared" ref="W5059:W5121" si="16361">W5055</f>
        <v>9</v>
      </c>
      <c r="X5059" s="399" t="s">
        <v>125</v>
      </c>
      <c r="Y5059" s="389">
        <f t="shared" ref="Y5059" si="16362">D5045</f>
        <v>4</v>
      </c>
      <c r="Z5059" s="400" t="s">
        <v>176</v>
      </c>
      <c r="AA5059" s="402">
        <f t="shared" ref="AA5059:AA5061" si="16363">N5059*U5059*W5059*Y5059</f>
        <v>0</v>
      </c>
      <c r="AB5059" s="403"/>
    </row>
    <row r="5060" spans="1:28">
      <c r="A5060" s="384" t="str">
        <f t="shared" ref="A5060:B5060" si="16364">A5035</f>
        <v>Lantai 3</v>
      </c>
      <c r="B5060" s="385">
        <f t="shared" si="16364"/>
        <v>26</v>
      </c>
      <c r="C5060" s="393" t="s">
        <v>214</v>
      </c>
      <c r="D5060" s="398">
        <f>VLOOKUP(D5035,'Detail Balok'!$C$10:$BJ$140,51,FALSE)</f>
        <v>0</v>
      </c>
      <c r="E5060" s="388" t="s">
        <v>16</v>
      </c>
      <c r="F5060" s="388">
        <f>VLOOKUP(D5035,'Detail Balok'!$C$10:$BJ$140,53,FALSE)</f>
        <v>0</v>
      </c>
      <c r="G5060" s="405" t="s">
        <v>157</v>
      </c>
      <c r="H5060" s="395">
        <f>VLOOKUP(D5035,'Detail Balok'!$C$10:$BJ$140,55,FALSE)</f>
        <v>100</v>
      </c>
      <c r="I5060" s="388"/>
      <c r="J5060" s="399">
        <f t="shared" ref="J5060" si="16365">(D5036-2*F$5)/1000</f>
        <v>0.12</v>
      </c>
      <c r="K5060" s="400" t="s">
        <v>204</v>
      </c>
      <c r="L5060" s="399">
        <f t="shared" si="16358"/>
        <v>0.15</v>
      </c>
      <c r="M5060" s="399" t="s">
        <v>176</v>
      </c>
      <c r="N5060" s="399">
        <f t="shared" si="16359"/>
        <v>0.27</v>
      </c>
      <c r="O5060" s="399"/>
      <c r="P5060" s="399"/>
      <c r="Q5060" s="399"/>
      <c r="R5060" s="399"/>
      <c r="S5060" s="399"/>
      <c r="T5060" s="399" t="s">
        <v>125</v>
      </c>
      <c r="U5060" s="401">
        <f t="shared" si="16360"/>
        <v>0</v>
      </c>
      <c r="V5060" s="399" t="s">
        <v>125</v>
      </c>
      <c r="W5060" s="399">
        <f t="shared" si="16361"/>
        <v>13</v>
      </c>
      <c r="X5060" s="399" t="s">
        <v>125</v>
      </c>
      <c r="Y5060" s="389">
        <f t="shared" ref="Y5060" si="16366">D5045</f>
        <v>4</v>
      </c>
      <c r="Z5060" s="400" t="s">
        <v>176</v>
      </c>
      <c r="AA5060" s="402">
        <f t="shared" si="16363"/>
        <v>0</v>
      </c>
      <c r="AB5060" s="403"/>
    </row>
    <row r="5061" spans="1:28">
      <c r="A5061" s="384" t="str">
        <f t="shared" ref="A5061:B5061" si="16367">A5035</f>
        <v>Lantai 3</v>
      </c>
      <c r="B5061" s="385">
        <f t="shared" si="16367"/>
        <v>26</v>
      </c>
      <c r="C5061" s="393" t="s">
        <v>213</v>
      </c>
      <c r="D5061" s="398">
        <f>VLOOKUP(D5035,'Detail Balok'!$C$10:$BJ$140,56,FALSE)</f>
        <v>0</v>
      </c>
      <c r="E5061" s="388" t="s">
        <v>16</v>
      </c>
      <c r="F5061" s="388">
        <f>VLOOKUP(D5035,'Detail Balok'!$C$10:$BJ$140,58,FALSE)</f>
        <v>0</v>
      </c>
      <c r="G5061" s="405" t="s">
        <v>157</v>
      </c>
      <c r="H5061" s="395">
        <f>VLOOKUP(D5035,'Detail Balok'!$C$10:$BJ$140,60,FALSE)</f>
        <v>100</v>
      </c>
      <c r="I5061" s="388"/>
      <c r="J5061" s="399">
        <f t="shared" ref="J5061" si="16368">(D5036-2*F$5)/1000</f>
        <v>0.12</v>
      </c>
      <c r="K5061" s="400" t="s">
        <v>204</v>
      </c>
      <c r="L5061" s="399">
        <f t="shared" si="16358"/>
        <v>0.15</v>
      </c>
      <c r="M5061" s="399" t="s">
        <v>176</v>
      </c>
      <c r="N5061" s="399">
        <f t="shared" si="16359"/>
        <v>0.27</v>
      </c>
      <c r="O5061" s="399"/>
      <c r="P5061" s="399"/>
      <c r="Q5061" s="399"/>
      <c r="R5061" s="399"/>
      <c r="S5061" s="399"/>
      <c r="T5061" s="399" t="s">
        <v>125</v>
      </c>
      <c r="U5061" s="401">
        <f t="shared" si="16360"/>
        <v>0</v>
      </c>
      <c r="V5061" s="399" t="s">
        <v>125</v>
      </c>
      <c r="W5061" s="399">
        <f t="shared" si="16361"/>
        <v>9</v>
      </c>
      <c r="X5061" s="399" t="s">
        <v>125</v>
      </c>
      <c r="Y5061" s="389">
        <f t="shared" ref="Y5061" si="16369">D5045</f>
        <v>4</v>
      </c>
      <c r="Z5061" s="400" t="s">
        <v>176</v>
      </c>
      <c r="AA5061" s="402">
        <f t="shared" si="16363"/>
        <v>0</v>
      </c>
      <c r="AB5061" s="403"/>
    </row>
    <row r="5062" spans="1:28">
      <c r="A5062" s="391"/>
      <c r="B5062" s="392"/>
      <c r="C5062" s="392"/>
      <c r="D5062" s="394"/>
      <c r="E5062" s="388"/>
      <c r="F5062" s="388"/>
      <c r="G5062" s="388"/>
      <c r="H5062" s="395"/>
      <c r="I5062" s="388"/>
      <c r="J5062" s="402"/>
      <c r="K5062" s="388"/>
      <c r="L5062" s="388"/>
      <c r="M5062" s="388"/>
      <c r="N5062" s="388"/>
      <c r="O5062" s="388"/>
      <c r="P5062" s="388"/>
      <c r="Q5062" s="388"/>
      <c r="R5062" s="388"/>
      <c r="S5062" s="388"/>
      <c r="T5062" s="388"/>
      <c r="U5062" s="388"/>
      <c r="V5062" s="388"/>
      <c r="W5062" s="388"/>
      <c r="X5062" s="388"/>
      <c r="Y5062" s="389"/>
      <c r="Z5062" s="388"/>
      <c r="AA5062" s="402"/>
      <c r="AB5062" s="403"/>
    </row>
    <row r="5063" spans="1:28" ht="15.75" thickBot="1">
      <c r="A5063" s="406"/>
      <c r="B5063" s="407"/>
      <c r="C5063" s="407"/>
      <c r="D5063" s="408"/>
      <c r="E5063" s="409"/>
      <c r="F5063" s="409"/>
      <c r="G5063" s="409"/>
      <c r="H5063" s="410"/>
      <c r="I5063" s="409"/>
      <c r="J5063" s="409"/>
      <c r="K5063" s="409"/>
      <c r="L5063" s="409"/>
      <c r="M5063" s="409"/>
      <c r="N5063" s="409"/>
      <c r="O5063" s="409"/>
      <c r="P5063" s="409"/>
      <c r="Q5063" s="409"/>
      <c r="R5063" s="409"/>
      <c r="S5063" s="409"/>
      <c r="T5063" s="409"/>
      <c r="U5063" s="409"/>
      <c r="V5063" s="409"/>
      <c r="W5063" s="409"/>
      <c r="X5063" s="409"/>
      <c r="Y5063" s="411"/>
      <c r="Z5063" s="409"/>
      <c r="AA5063" s="412"/>
      <c r="AB5063" s="413"/>
    </row>
    <row r="5064" spans="1:28">
      <c r="A5064" s="377"/>
      <c r="B5064" s="378"/>
      <c r="C5064" s="378"/>
      <c r="D5064" s="379"/>
      <c r="E5064" s="380"/>
      <c r="F5064" s="380"/>
      <c r="G5064" s="380"/>
      <c r="H5064" s="381"/>
      <c r="I5064" s="380"/>
      <c r="J5064" s="380"/>
      <c r="K5064" s="380"/>
      <c r="L5064" s="380"/>
      <c r="M5064" s="380"/>
      <c r="N5064" s="380"/>
      <c r="O5064" s="380"/>
      <c r="P5064" s="380"/>
      <c r="Q5064" s="380"/>
      <c r="R5064" s="380"/>
      <c r="S5064" s="380"/>
      <c r="T5064" s="380"/>
      <c r="U5064" s="380"/>
      <c r="V5064" s="380"/>
      <c r="W5064" s="380"/>
      <c r="X5064" s="380"/>
      <c r="Y5064" s="382"/>
      <c r="Z5064" s="380"/>
      <c r="AA5064" s="380"/>
      <c r="AB5064" s="383"/>
    </row>
    <row r="5065" spans="1:28">
      <c r="A5065" s="384" t="str">
        <f t="shared" ref="A5065:A5125" si="16370">A5035</f>
        <v>Lantai 3</v>
      </c>
      <c r="B5065" s="385">
        <f t="shared" ref="B5065:B5125" si="16371">B5035+1</f>
        <v>27</v>
      </c>
      <c r="C5065" s="386" t="str">
        <f t="shared" ref="C5065" si="16372">CONCATENATE(A5065," no. ",B5065)</f>
        <v>Lantai 3 no. 27</v>
      </c>
      <c r="D5065" s="2562" t="str">
        <f>VLOOKUP(C5065,'Data Panjang Balok'!$C$9:$N$254,2,FALSE)</f>
        <v>CL24-1</v>
      </c>
      <c r="E5065" s="2576"/>
      <c r="F5065" s="2576"/>
      <c r="G5065" s="2576"/>
      <c r="H5065" s="2577"/>
      <c r="I5065" s="387"/>
      <c r="J5065" s="388"/>
      <c r="K5065" s="388"/>
      <c r="L5065" s="388"/>
      <c r="M5065" s="388"/>
      <c r="N5065" s="388"/>
      <c r="O5065" s="388"/>
      <c r="P5065" s="388"/>
      <c r="Q5065" s="388"/>
      <c r="R5065" s="388"/>
      <c r="S5065" s="388"/>
      <c r="T5065" s="388"/>
      <c r="U5065" s="388"/>
      <c r="V5065" s="388"/>
      <c r="W5065" s="388"/>
      <c r="X5065" s="388"/>
      <c r="Y5065" s="389"/>
      <c r="Z5065" s="388"/>
      <c r="AA5065" s="388"/>
      <c r="AB5065" s="390"/>
    </row>
    <row r="5066" spans="1:28">
      <c r="A5066" s="391"/>
      <c r="B5066" s="392"/>
      <c r="C5066" s="393" t="s">
        <v>118</v>
      </c>
      <c r="D5066" s="2578">
        <f>VLOOKUP(D5065,'Detail Balok'!$C$10:$AU$140,2,FALSE)</f>
        <v>200</v>
      </c>
      <c r="E5066" s="2579"/>
      <c r="F5066" s="388" t="s">
        <v>125</v>
      </c>
      <c r="G5066" s="2579">
        <f>VLOOKUP(D5065,'Detail Balok'!$C$10:$AU$140,3,FALSE)</f>
        <v>400</v>
      </c>
      <c r="H5066" s="2580"/>
      <c r="I5066" s="388"/>
      <c r="J5066" s="396"/>
      <c r="K5066" s="396"/>
      <c r="L5066" s="396"/>
      <c r="M5066" s="396"/>
      <c r="N5066" s="396"/>
      <c r="O5066" s="396"/>
      <c r="P5066" s="396"/>
      <c r="Q5066" s="396"/>
      <c r="R5066" s="396"/>
      <c r="S5066" s="396"/>
      <c r="T5066" s="396"/>
      <c r="U5066" s="388"/>
      <c r="V5066" s="396"/>
      <c r="W5066" s="388"/>
      <c r="X5066" s="396"/>
      <c r="Y5066" s="389"/>
      <c r="Z5066" s="396"/>
      <c r="AA5066" s="388"/>
      <c r="AB5066" s="390"/>
    </row>
    <row r="5067" spans="1:28">
      <c r="A5067" s="391"/>
      <c r="B5067" s="392"/>
      <c r="C5067" s="393" t="s">
        <v>198</v>
      </c>
      <c r="D5067" s="2562">
        <f>VLOOKUP(C5065,'Data Panjang Balok'!$C$9:$N$254,4,FALSE)</f>
        <v>5000</v>
      </c>
      <c r="E5067" s="2563"/>
      <c r="F5067" s="2563"/>
      <c r="G5067" s="2563"/>
      <c r="H5067" s="2564"/>
      <c r="I5067" s="397"/>
      <c r="J5067" s="396"/>
      <c r="K5067" s="396"/>
      <c r="L5067" s="396"/>
      <c r="M5067" s="396"/>
      <c r="N5067" s="396"/>
      <c r="O5067" s="396"/>
      <c r="P5067" s="396"/>
      <c r="Q5067" s="396"/>
      <c r="R5067" s="396"/>
      <c r="S5067" s="396"/>
      <c r="T5067" s="396"/>
      <c r="U5067" s="388"/>
      <c r="V5067" s="396"/>
      <c r="W5067" s="388"/>
      <c r="X5067" s="396"/>
      <c r="Y5067" s="389"/>
      <c r="Z5067" s="396"/>
      <c r="AA5067" s="388"/>
      <c r="AB5067" s="390"/>
    </row>
    <row r="5068" spans="1:28">
      <c r="A5068" s="391"/>
      <c r="B5068" s="392"/>
      <c r="C5068" s="393" t="s">
        <v>199</v>
      </c>
      <c r="D5068" s="2562">
        <f>VLOOKUP(C5065,'Data Panjang Balok'!$C$9:$N$254,7,FALSE)</f>
        <v>5000</v>
      </c>
      <c r="E5068" s="2563"/>
      <c r="F5068" s="2563"/>
      <c r="G5068" s="2563"/>
      <c r="H5068" s="2564"/>
      <c r="I5068" s="397"/>
      <c r="J5068" s="396"/>
      <c r="K5068" s="396"/>
      <c r="L5068" s="396"/>
      <c r="M5068" s="396"/>
      <c r="N5068" s="396"/>
      <c r="O5068" s="396"/>
      <c r="P5068" s="396"/>
      <c r="Q5068" s="396"/>
      <c r="R5068" s="396"/>
      <c r="S5068" s="396"/>
      <c r="T5068" s="396"/>
      <c r="U5068" s="388"/>
      <c r="V5068" s="396"/>
      <c r="W5068" s="388"/>
      <c r="X5068" s="396"/>
      <c r="Y5068" s="389"/>
      <c r="Z5068" s="396"/>
      <c r="AA5068" s="388"/>
      <c r="AB5068" s="390"/>
    </row>
    <row r="5069" spans="1:28">
      <c r="A5069" s="391"/>
      <c r="B5069" s="392"/>
      <c r="C5069" s="393" t="s">
        <v>200</v>
      </c>
      <c r="D5069" s="2562">
        <f>VLOOKUP(C5065,'Data Panjang Balok'!$C$9:$N$254,9,FALSE)</f>
        <v>0</v>
      </c>
      <c r="E5069" s="2563"/>
      <c r="F5069" s="2563"/>
      <c r="G5069" s="2563"/>
      <c r="H5069" s="2564"/>
      <c r="I5069" s="397"/>
      <c r="J5069" s="396"/>
      <c r="K5069" s="396"/>
      <c r="L5069" s="396"/>
      <c r="M5069" s="396"/>
      <c r="N5069" s="396"/>
      <c r="O5069" s="396"/>
      <c r="P5069" s="396"/>
      <c r="Q5069" s="396"/>
      <c r="R5069" s="396"/>
      <c r="S5069" s="396"/>
      <c r="T5069" s="396"/>
      <c r="U5069" s="388"/>
      <c r="V5069" s="396"/>
      <c r="W5069" s="388"/>
      <c r="X5069" s="396"/>
      <c r="Y5069" s="389"/>
      <c r="Z5069" s="396"/>
      <c r="AA5069" s="388"/>
      <c r="AB5069" s="390"/>
    </row>
    <row r="5070" spans="1:28">
      <c r="A5070" s="391"/>
      <c r="B5070" s="392"/>
      <c r="C5070" s="393" t="s">
        <v>201</v>
      </c>
      <c r="D5070" s="2562">
        <f>VLOOKUP(C5065,'Data Panjang Balok'!$C$9:$N$254,10,FALSE)</f>
        <v>0</v>
      </c>
      <c r="E5070" s="2563"/>
      <c r="F5070" s="2563"/>
      <c r="G5070" s="2563"/>
      <c r="H5070" s="2564"/>
      <c r="I5070" s="397"/>
      <c r="J5070" s="396"/>
      <c r="K5070" s="396"/>
      <c r="L5070" s="396"/>
      <c r="M5070" s="396"/>
      <c r="N5070" s="396"/>
      <c r="O5070" s="396"/>
      <c r="P5070" s="396"/>
      <c r="Q5070" s="396"/>
      <c r="R5070" s="396"/>
      <c r="S5070" s="396"/>
      <c r="T5070" s="396"/>
      <c r="U5070" s="388"/>
      <c r="V5070" s="396"/>
      <c r="W5070" s="388"/>
      <c r="X5070" s="396"/>
      <c r="Y5070" s="389"/>
      <c r="Z5070" s="396"/>
      <c r="AA5070" s="388"/>
      <c r="AB5070" s="390"/>
    </row>
    <row r="5071" spans="1:28">
      <c r="A5071" s="391"/>
      <c r="B5071" s="392"/>
      <c r="C5071" s="393" t="s">
        <v>48</v>
      </c>
      <c r="D5071" s="2562">
        <f>VLOOKUP(C5065,'Data Panjang Balok'!$C$9:$N$254,3,FALSE)</f>
        <v>1</v>
      </c>
      <c r="E5071" s="2563"/>
      <c r="F5071" s="2563"/>
      <c r="G5071" s="2563"/>
      <c r="H5071" s="2564"/>
      <c r="I5071" s="397"/>
      <c r="J5071" s="396"/>
      <c r="K5071" s="396"/>
      <c r="L5071" s="396"/>
      <c r="M5071" s="396"/>
      <c r="N5071" s="396"/>
      <c r="O5071" s="396"/>
      <c r="P5071" s="396"/>
      <c r="Q5071" s="396"/>
      <c r="R5071" s="396"/>
      <c r="S5071" s="396"/>
      <c r="T5071" s="396"/>
      <c r="U5071" s="388"/>
      <c r="V5071" s="396"/>
      <c r="W5071" s="388"/>
      <c r="X5071" s="396"/>
      <c r="Y5071" s="389"/>
      <c r="Z5071" s="396"/>
      <c r="AA5071" s="388"/>
      <c r="AB5071" s="390"/>
    </row>
    <row r="5072" spans="1:28">
      <c r="A5072" s="384" t="str">
        <f t="shared" ref="A5072:B5072" si="16373">A5065</f>
        <v>Lantai 3</v>
      </c>
      <c r="B5072" s="385">
        <f t="shared" si="16373"/>
        <v>27</v>
      </c>
      <c r="C5072" s="393" t="s">
        <v>202</v>
      </c>
      <c r="D5072" s="398">
        <f>VLOOKUP(D5065,'Detail Balok'!$C$10:$AU$140,4,FALSE)</f>
        <v>3</v>
      </c>
      <c r="E5072" s="388" t="s">
        <v>16</v>
      </c>
      <c r="F5072" s="388">
        <f>VLOOKUP(D5065,'Detail Balok'!$C$10:$AU$140,6,FALSE)</f>
        <v>16</v>
      </c>
      <c r="G5072" s="388"/>
      <c r="H5072" s="395"/>
      <c r="I5072" s="388" t="s">
        <v>203</v>
      </c>
      <c r="J5072" s="399">
        <f t="shared" ref="J5072" si="16374">+D5067/4/1000</f>
        <v>1.25</v>
      </c>
      <c r="K5072" s="400" t="s">
        <v>204</v>
      </c>
      <c r="L5072" s="399">
        <f t="shared" ref="L5072" si="16375">MAX(VLOOKUP(F5072,N$6:P$15,3,FALSE)/1000,2/3*D5069/1000)+F$16*F5072/1000</f>
        <v>0.192</v>
      </c>
      <c r="M5072" s="399" t="s">
        <v>176</v>
      </c>
      <c r="N5072" s="399">
        <f t="shared" ref="N5072:N5074" si="16376">J5072+L5072</f>
        <v>1.4419999999999999</v>
      </c>
      <c r="O5072" s="399" t="s">
        <v>204</v>
      </c>
      <c r="P5072" s="389">
        <f t="shared" ref="P5072" si="16377">D5072-D5073</f>
        <v>0</v>
      </c>
      <c r="Q5072" s="399" t="s">
        <v>125</v>
      </c>
      <c r="R5072" s="399">
        <f t="shared" ref="R5072" si="16378">IF(P5072&gt;0,$F$18*F5072/1000,0)</f>
        <v>0</v>
      </c>
      <c r="S5072" s="399" t="s">
        <v>205</v>
      </c>
      <c r="T5072" s="399" t="s">
        <v>125</v>
      </c>
      <c r="U5072" s="401">
        <f t="shared" ref="U5072:U5074" si="16379">0.006165*F5072^2</f>
        <v>1.5782400000000001</v>
      </c>
      <c r="V5072" s="399"/>
      <c r="W5072" s="399"/>
      <c r="X5072" s="399" t="s">
        <v>125</v>
      </c>
      <c r="Y5072" s="389">
        <f t="shared" ref="Y5072" si="16380">D5071</f>
        <v>1</v>
      </c>
      <c r="Z5072" s="400" t="s">
        <v>176</v>
      </c>
      <c r="AA5072" s="402">
        <f t="shared" ref="AA5072" si="16381">IF(AA5075=0,(D5072*N5072+P5072*R5072)*U5072*Y5072,0)</f>
        <v>0</v>
      </c>
      <c r="AB5072" s="403"/>
    </row>
    <row r="5073" spans="1:28">
      <c r="A5073" s="384" t="str">
        <f t="shared" ref="A5073:B5073" si="16382">A5065</f>
        <v>Lantai 3</v>
      </c>
      <c r="B5073" s="385">
        <f t="shared" si="16382"/>
        <v>27</v>
      </c>
      <c r="C5073" s="393" t="s">
        <v>206</v>
      </c>
      <c r="D5073" s="398">
        <f>VLOOKUP(D5065,'Detail Balok'!$C$10:$AU$140,7,FALSE)</f>
        <v>3</v>
      </c>
      <c r="E5073" s="388" t="s">
        <v>16</v>
      </c>
      <c r="F5073" s="388">
        <f>VLOOKUP(D5065,'Detail Balok'!$C$10:$AU$140,9,FALSE)</f>
        <v>16</v>
      </c>
      <c r="G5073" s="388"/>
      <c r="H5073" s="395"/>
      <c r="I5073" s="388" t="s">
        <v>203</v>
      </c>
      <c r="J5073" s="399">
        <f t="shared" ref="J5073" si="16383">+D5067/2/1000</f>
        <v>2.5</v>
      </c>
      <c r="K5073" s="400" t="s">
        <v>204</v>
      </c>
      <c r="L5073" s="399"/>
      <c r="M5073" s="399" t="s">
        <v>176</v>
      </c>
      <c r="N5073" s="399">
        <f t="shared" si="16376"/>
        <v>2.5</v>
      </c>
      <c r="O5073" s="399" t="s">
        <v>204</v>
      </c>
      <c r="P5073" s="389">
        <f t="shared" ref="P5073" si="16384">MAX(D5073-D5072,D5073-D5074)</f>
        <v>0</v>
      </c>
      <c r="Q5073" s="399" t="s">
        <v>125</v>
      </c>
      <c r="R5073" s="399">
        <f t="shared" ref="R5073" si="16385">IF(P5073&gt;0,2*(1-2*$F$19-1/2)*D5068/1000,0)</f>
        <v>0</v>
      </c>
      <c r="S5073" s="399" t="s">
        <v>205</v>
      </c>
      <c r="T5073" s="399" t="s">
        <v>125</v>
      </c>
      <c r="U5073" s="401">
        <f t="shared" si="16379"/>
        <v>1.5782400000000001</v>
      </c>
      <c r="V5073" s="399"/>
      <c r="W5073" s="399"/>
      <c r="X5073" s="399" t="s">
        <v>125</v>
      </c>
      <c r="Y5073" s="389">
        <f t="shared" ref="Y5073" si="16386">D5071</f>
        <v>1</v>
      </c>
      <c r="Z5073" s="400" t="s">
        <v>176</v>
      </c>
      <c r="AA5073" s="402">
        <f t="shared" ref="AA5073" si="16387">IF(AA5075=0,(D5073*N5073+P5073*R5073)*U5073*Y5073,0)</f>
        <v>0</v>
      </c>
      <c r="AB5073" s="403"/>
    </row>
    <row r="5074" spans="1:28">
      <c r="A5074" s="384" t="str">
        <f t="shared" ref="A5074:B5074" si="16388">A5065</f>
        <v>Lantai 3</v>
      </c>
      <c r="B5074" s="385">
        <f t="shared" si="16388"/>
        <v>27</v>
      </c>
      <c r="C5074" s="393" t="s">
        <v>202</v>
      </c>
      <c r="D5074" s="398">
        <f>VLOOKUP(D5065,'Detail Balok'!$C$10:$AU$140,10,FALSE)</f>
        <v>3</v>
      </c>
      <c r="E5074" s="388" t="s">
        <v>16</v>
      </c>
      <c r="F5074" s="388">
        <f>VLOOKUP(D5065,'Detail Balok'!$C$10:$AU$140,12,FALSE)</f>
        <v>16</v>
      </c>
      <c r="G5074" s="388"/>
      <c r="H5074" s="395"/>
      <c r="I5074" s="388" t="s">
        <v>203</v>
      </c>
      <c r="J5074" s="399">
        <f t="shared" ref="J5074" si="16389">+D5067/4/1000</f>
        <v>1.25</v>
      </c>
      <c r="K5074" s="400" t="s">
        <v>204</v>
      </c>
      <c r="L5074" s="399">
        <f t="shared" ref="L5074" si="16390">MAX(VLOOKUP(F5074,N$6:P$15,3,FALSE)/1000,2/3*D5069/1000)+F$16*F5074/1000</f>
        <v>0.192</v>
      </c>
      <c r="M5074" s="399" t="s">
        <v>176</v>
      </c>
      <c r="N5074" s="399">
        <f t="shared" si="16376"/>
        <v>1.4419999999999999</v>
      </c>
      <c r="O5074" s="399" t="s">
        <v>204</v>
      </c>
      <c r="P5074" s="389">
        <f t="shared" ref="P5074" si="16391">D5074-D5073</f>
        <v>0</v>
      </c>
      <c r="Q5074" s="399" t="s">
        <v>125</v>
      </c>
      <c r="R5074" s="399">
        <f t="shared" ref="R5074" si="16392">IF(P5074&gt;0,$F$18*F5074/1000,0)</f>
        <v>0</v>
      </c>
      <c r="S5074" s="399" t="s">
        <v>205</v>
      </c>
      <c r="T5074" s="399" t="s">
        <v>125</v>
      </c>
      <c r="U5074" s="401">
        <f t="shared" si="16379"/>
        <v>1.5782400000000001</v>
      </c>
      <c r="V5074" s="399"/>
      <c r="W5074" s="399"/>
      <c r="X5074" s="399" t="s">
        <v>125</v>
      </c>
      <c r="Y5074" s="389">
        <f t="shared" ref="Y5074" si="16393">D5071</f>
        <v>1</v>
      </c>
      <c r="Z5074" s="400" t="s">
        <v>176</v>
      </c>
      <c r="AA5074" s="402">
        <f t="shared" ref="AA5074" si="16394">IF(AA5075=0,(D5074*N5074+P5074*R5074)*U5074*Y5074,0)</f>
        <v>0</v>
      </c>
      <c r="AB5074" s="403"/>
    </row>
    <row r="5075" spans="1:28">
      <c r="A5075" s="384" t="str">
        <f t="shared" ref="A5075:B5075" si="16395">A5065</f>
        <v>Lantai 3</v>
      </c>
      <c r="B5075" s="385">
        <f t="shared" si="16395"/>
        <v>27</v>
      </c>
      <c r="C5075" s="393"/>
      <c r="D5075" s="398">
        <f t="shared" si="16291"/>
        <v>3</v>
      </c>
      <c r="E5075" s="388" t="s">
        <v>16</v>
      </c>
      <c r="F5075" s="388">
        <f t="shared" si="16292"/>
        <v>16</v>
      </c>
      <c r="G5075" s="388"/>
      <c r="H5075" s="395"/>
      <c r="I5075" s="388"/>
      <c r="J5075" s="396"/>
      <c r="K5075" s="396"/>
      <c r="L5075" s="404" t="s">
        <v>207</v>
      </c>
      <c r="M5075" s="399" t="s">
        <v>176</v>
      </c>
      <c r="N5075" s="399">
        <f t="shared" ref="N5075" si="16396">IF(AND(D5072=D5073,D5072=D5074,D5073=D5074,F5072=F5073,F5072=F5074,F5073=F5074),SUM(N5072:N5074),0)</f>
        <v>5.3840000000000003</v>
      </c>
      <c r="O5075" s="399" t="s">
        <v>204</v>
      </c>
      <c r="P5075" s="389">
        <f t="shared" ref="P5075" si="16397">IF(N5075&gt;12,ROUNDDOWN(N5075/12,0),0)</f>
        <v>0</v>
      </c>
      <c r="Q5075" s="399" t="s">
        <v>125</v>
      </c>
      <c r="R5075" s="399">
        <f t="shared" ref="R5075" si="16398">IF(P5075&gt;0,MAX(VLOOKUP(F5075,$D$6:$G$15,3,FALSE),600),0)/1000</f>
        <v>0</v>
      </c>
      <c r="S5075" s="396"/>
      <c r="T5075" s="396" t="s">
        <v>125</v>
      </c>
      <c r="U5075" s="401">
        <f t="shared" si="16296"/>
        <v>1.5782400000000001</v>
      </c>
      <c r="V5075" s="396" t="s">
        <v>125</v>
      </c>
      <c r="W5075" s="399">
        <f t="shared" ref="W5075" si="16399">D5075</f>
        <v>3</v>
      </c>
      <c r="X5075" s="399" t="s">
        <v>125</v>
      </c>
      <c r="Y5075" s="389">
        <f t="shared" si="16298"/>
        <v>1</v>
      </c>
      <c r="Z5075" s="400" t="s">
        <v>176</v>
      </c>
      <c r="AA5075" s="402">
        <f t="shared" ref="AA5075" si="16400">(N5075+P5075*R5075/1000)*U5075*W5075*Y5075</f>
        <v>25.491732480000003</v>
      </c>
      <c r="AB5075" s="390"/>
    </row>
    <row r="5076" spans="1:28">
      <c r="A5076" s="384"/>
      <c r="B5076" s="385"/>
      <c r="C5076" s="393"/>
      <c r="D5076" s="398"/>
      <c r="E5076" s="388"/>
      <c r="F5076" s="388"/>
      <c r="G5076" s="388"/>
      <c r="H5076" s="395"/>
      <c r="I5076" s="388"/>
      <c r="J5076" s="396"/>
      <c r="K5076" s="396"/>
      <c r="L5076" s="404"/>
      <c r="M5076" s="399"/>
      <c r="N5076" s="399"/>
      <c r="O5076" s="396"/>
      <c r="P5076" s="389"/>
      <c r="Q5076" s="396"/>
      <c r="R5076" s="396"/>
      <c r="S5076" s="396"/>
      <c r="T5076" s="396"/>
      <c r="U5076" s="401"/>
      <c r="V5076" s="396"/>
      <c r="W5076" s="399"/>
      <c r="X5076" s="396"/>
      <c r="Y5076" s="389"/>
      <c r="Z5076" s="396"/>
      <c r="AA5076" s="388"/>
      <c r="AB5076" s="390"/>
    </row>
    <row r="5077" spans="1:28">
      <c r="A5077" s="384" t="str">
        <f t="shared" ref="A5077:B5077" si="16401">A5065</f>
        <v>Lantai 3</v>
      </c>
      <c r="B5077" s="385">
        <f t="shared" si="16401"/>
        <v>27</v>
      </c>
      <c r="C5077" s="393" t="s">
        <v>208</v>
      </c>
      <c r="D5077" s="398">
        <f>VLOOKUP(D5065,'Detail Balok'!$C$10:$AU$140,13,FALSE)</f>
        <v>0</v>
      </c>
      <c r="E5077" s="388" t="s">
        <v>16</v>
      </c>
      <c r="F5077" s="388">
        <f>VLOOKUP(D5065,'Detail Balok'!$C$10:$AU$140,15,FALSE)</f>
        <v>8</v>
      </c>
      <c r="G5077" s="388"/>
      <c r="H5077" s="395"/>
      <c r="I5077" s="388"/>
      <c r="J5077" s="399">
        <f t="shared" ref="J5077" si="16402">+D5067/1000</f>
        <v>5</v>
      </c>
      <c r="K5077" s="400" t="s">
        <v>204</v>
      </c>
      <c r="L5077" s="399">
        <f t="shared" ref="L5077" si="16403">2*$F$16*F5077/1000</f>
        <v>0.192</v>
      </c>
      <c r="M5077" s="399" t="s">
        <v>176</v>
      </c>
      <c r="N5077" s="399">
        <f t="shared" ref="N5077" si="16404">J5077+L5077</f>
        <v>5.1920000000000002</v>
      </c>
      <c r="O5077" s="399" t="s">
        <v>204</v>
      </c>
      <c r="P5077" s="389">
        <f t="shared" ref="P5077" si="16405">IF(N5077&gt;12,ROUNDDOWN(N5077/12,0),0)</f>
        <v>0</v>
      </c>
      <c r="Q5077" s="399" t="s">
        <v>125</v>
      </c>
      <c r="R5077" s="399">
        <f t="shared" ref="R5077" si="16406">IF(P5077&gt;0,MAX(VLOOKUP(F5077,$D$6:$G$15,3,FALSE),600),0)/1000</f>
        <v>0</v>
      </c>
      <c r="S5077" s="399"/>
      <c r="T5077" s="399" t="s">
        <v>125</v>
      </c>
      <c r="U5077" s="401">
        <f t="shared" ref="U5077" si="16407">0.006165*F5077^2</f>
        <v>0.39456000000000002</v>
      </c>
      <c r="V5077" s="399" t="s">
        <v>125</v>
      </c>
      <c r="W5077" s="399">
        <f t="shared" ref="W5077" si="16408">+D5077</f>
        <v>0</v>
      </c>
      <c r="X5077" s="399" t="s">
        <v>125</v>
      </c>
      <c r="Y5077" s="389">
        <f t="shared" ref="Y5077" si="16409">D5071</f>
        <v>1</v>
      </c>
      <c r="Z5077" s="400" t="s">
        <v>176</v>
      </c>
      <c r="AA5077" s="402">
        <f t="shared" ref="AA5077" si="16410">(N5077+P5077*R5077/1000)*U5077*W5077*Y5077</f>
        <v>0</v>
      </c>
      <c r="AB5077" s="403"/>
    </row>
    <row r="5078" spans="1:28">
      <c r="A5078" s="384"/>
      <c r="B5078" s="385"/>
      <c r="C5078" s="393"/>
      <c r="D5078" s="398"/>
      <c r="E5078" s="388"/>
      <c r="F5078" s="388"/>
      <c r="G5078" s="388"/>
      <c r="H5078" s="395"/>
      <c r="I5078" s="388"/>
      <c r="J5078" s="399"/>
      <c r="K5078" s="400"/>
      <c r="L5078" s="399"/>
      <c r="M5078" s="399"/>
      <c r="N5078" s="399"/>
      <c r="O5078" s="399"/>
      <c r="P5078" s="389"/>
      <c r="Q5078" s="399"/>
      <c r="R5078" s="399"/>
      <c r="S5078" s="399"/>
      <c r="T5078" s="399"/>
      <c r="U5078" s="401"/>
      <c r="V5078" s="399"/>
      <c r="W5078" s="399"/>
      <c r="X5078" s="399"/>
      <c r="Y5078" s="389"/>
      <c r="Z5078" s="400"/>
      <c r="AA5078" s="402"/>
      <c r="AB5078" s="403"/>
    </row>
    <row r="5079" spans="1:28">
      <c r="A5079" s="384"/>
      <c r="B5079" s="385"/>
      <c r="C5079" s="393"/>
      <c r="D5079" s="398"/>
      <c r="E5079" s="388"/>
      <c r="F5079" s="388"/>
      <c r="G5079" s="388"/>
      <c r="H5079" s="395"/>
      <c r="I5079" s="388"/>
      <c r="J5079" s="396"/>
      <c r="K5079" s="396"/>
      <c r="L5079" s="396"/>
      <c r="M5079" s="396"/>
      <c r="N5079" s="396"/>
      <c r="O5079" s="396"/>
      <c r="P5079" s="389"/>
      <c r="Q5079" s="396"/>
      <c r="R5079" s="396"/>
      <c r="S5079" s="396"/>
      <c r="T5079" s="396"/>
      <c r="U5079" s="401"/>
      <c r="V5079" s="396"/>
      <c r="W5079" s="399"/>
      <c r="X5079" s="396"/>
      <c r="Y5079" s="389"/>
      <c r="Z5079" s="396"/>
      <c r="AA5079" s="388"/>
      <c r="AB5079" s="390"/>
    </row>
    <row r="5080" spans="1:28">
      <c r="A5080" s="384" t="str">
        <f t="shared" ref="A5080:B5080" si="16411">A5065</f>
        <v>Lantai 3</v>
      </c>
      <c r="B5080" s="385">
        <f t="shared" si="16411"/>
        <v>27</v>
      </c>
      <c r="C5080" s="393" t="s">
        <v>209</v>
      </c>
      <c r="D5080" s="398">
        <f>VLOOKUP(D5065,'Detail Balok'!$C$10:$AU$140,22,FALSE)</f>
        <v>3</v>
      </c>
      <c r="E5080" s="388" t="s">
        <v>16</v>
      </c>
      <c r="F5080" s="388">
        <f>VLOOKUP(D5065,'Detail Balok'!$C$10:$AU$140,24,FALSE)</f>
        <v>16</v>
      </c>
      <c r="G5080" s="388"/>
      <c r="H5080" s="395"/>
      <c r="I5080" s="388" t="s">
        <v>203</v>
      </c>
      <c r="J5080" s="399">
        <f t="shared" si="16311"/>
        <v>1.25</v>
      </c>
      <c r="K5080" s="400" t="s">
        <v>204</v>
      </c>
      <c r="L5080" s="399">
        <f t="shared" ref="L5080" si="16412">MAX(VLOOKUP(F5080,N$6:P$15,3,FALSE)/1000,2/3*D5070/1000)+F$16*F5080/1000</f>
        <v>0.192</v>
      </c>
      <c r="M5080" s="399" t="s">
        <v>176</v>
      </c>
      <c r="N5080" s="399">
        <f t="shared" ref="N5080:N5082" si="16413">J5080+L5080</f>
        <v>1.4419999999999999</v>
      </c>
      <c r="O5080" s="399" t="s">
        <v>204</v>
      </c>
      <c r="P5080" s="389">
        <f t="shared" ref="P5080" si="16414">D5080-D5081</f>
        <v>0</v>
      </c>
      <c r="Q5080" s="399" t="s">
        <v>125</v>
      </c>
      <c r="R5080" s="399">
        <f t="shared" ref="R5080" si="16415">IF(P5080&gt;0,$F$18*F5080/1000,0)</f>
        <v>0</v>
      </c>
      <c r="S5080" s="399" t="s">
        <v>205</v>
      </c>
      <c r="T5080" s="399" t="s">
        <v>125</v>
      </c>
      <c r="U5080" s="401">
        <f t="shared" ref="U5080:U5082" si="16416">0.006165*F5080^2</f>
        <v>1.5782400000000001</v>
      </c>
      <c r="V5080" s="399"/>
      <c r="W5080" s="399"/>
      <c r="X5080" s="399" t="s">
        <v>125</v>
      </c>
      <c r="Y5080" s="389">
        <f t="shared" ref="Y5080" si="16417">D5071</f>
        <v>1</v>
      </c>
      <c r="Z5080" s="400" t="s">
        <v>176</v>
      </c>
      <c r="AA5080" s="402">
        <f t="shared" ref="AA5080" si="16418">IF(AA5083=0,(D5080*N5080+P5080*R5080)*U5080*Y5080,0)</f>
        <v>0</v>
      </c>
      <c r="AB5080" s="403"/>
    </row>
    <row r="5081" spans="1:28">
      <c r="A5081" s="384" t="str">
        <f t="shared" ref="A5081:B5081" si="16419">A5065</f>
        <v>Lantai 3</v>
      </c>
      <c r="B5081" s="385">
        <f t="shared" si="16419"/>
        <v>27</v>
      </c>
      <c r="C5081" s="393" t="s">
        <v>210</v>
      </c>
      <c r="D5081" s="398">
        <f>VLOOKUP(D5065,'Detail Balok'!$C$10:$AU$140,25,FALSE)</f>
        <v>3</v>
      </c>
      <c r="E5081" s="388" t="s">
        <v>16</v>
      </c>
      <c r="F5081" s="388">
        <f>VLOOKUP(D5065,'Detail Balok'!$C$10:$AU$140,27,FALSE)</f>
        <v>16</v>
      </c>
      <c r="G5081" s="388"/>
      <c r="H5081" s="395"/>
      <c r="I5081" s="388" t="s">
        <v>203</v>
      </c>
      <c r="J5081" s="399">
        <f t="shared" si="16311"/>
        <v>2.5</v>
      </c>
      <c r="K5081" s="400" t="s">
        <v>204</v>
      </c>
      <c r="L5081" s="399"/>
      <c r="M5081" s="399" t="s">
        <v>176</v>
      </c>
      <c r="N5081" s="399">
        <f t="shared" si="16413"/>
        <v>2.5</v>
      </c>
      <c r="O5081" s="399" t="s">
        <v>204</v>
      </c>
      <c r="P5081" s="389">
        <f t="shared" ref="P5081" si="16420">MAX(D5081-D5080,D5081-D5082)</f>
        <v>0</v>
      </c>
      <c r="Q5081" s="399" t="s">
        <v>125</v>
      </c>
      <c r="R5081" s="399">
        <f t="shared" ref="R5081" si="16421">IF(P5081&gt;0,2*(1-2*$F$19-1/2)*D5068/1000,0)</f>
        <v>0</v>
      </c>
      <c r="S5081" s="399" t="s">
        <v>205</v>
      </c>
      <c r="T5081" s="399" t="s">
        <v>125</v>
      </c>
      <c r="U5081" s="401">
        <f t="shared" si="16416"/>
        <v>1.5782400000000001</v>
      </c>
      <c r="V5081" s="399"/>
      <c r="W5081" s="399"/>
      <c r="X5081" s="399" t="s">
        <v>125</v>
      </c>
      <c r="Y5081" s="389">
        <f t="shared" ref="Y5081" si="16422">D5071</f>
        <v>1</v>
      </c>
      <c r="Z5081" s="400" t="s">
        <v>176</v>
      </c>
      <c r="AA5081" s="402">
        <f t="shared" ref="AA5081" si="16423">IF(AA5083=0,(D5081*N5081+P5081*R5081)*U5081*Y5081,0)</f>
        <v>0</v>
      </c>
      <c r="AB5081" s="403"/>
    </row>
    <row r="5082" spans="1:28">
      <c r="A5082" s="384" t="str">
        <f t="shared" ref="A5082:B5082" si="16424">A5065</f>
        <v>Lantai 3</v>
      </c>
      <c r="B5082" s="385">
        <f t="shared" si="16424"/>
        <v>27</v>
      </c>
      <c r="C5082" s="393" t="s">
        <v>209</v>
      </c>
      <c r="D5082" s="398">
        <f>VLOOKUP(D5065,'Detail Balok'!$C$10:$AU$140,28,FALSE)</f>
        <v>3</v>
      </c>
      <c r="E5082" s="388" t="s">
        <v>16</v>
      </c>
      <c r="F5082" s="388">
        <f>VLOOKUP(D5065,'Detail Balok'!$C$10:$AU$140,30,FALSE)</f>
        <v>16</v>
      </c>
      <c r="G5082" s="388"/>
      <c r="H5082" s="395"/>
      <c r="I5082" s="388" t="s">
        <v>203</v>
      </c>
      <c r="J5082" s="399">
        <f t="shared" si="16311"/>
        <v>1.25</v>
      </c>
      <c r="K5082" s="400" t="s">
        <v>204</v>
      </c>
      <c r="L5082" s="399">
        <f t="shared" ref="L5082" si="16425">MAX(VLOOKUP(F5082,N$6:P$15,3,FALSE)/1000,2/3*D5070/1000)+F$16*F5082/1000</f>
        <v>0.192</v>
      </c>
      <c r="M5082" s="399" t="s">
        <v>176</v>
      </c>
      <c r="N5082" s="399">
        <f t="shared" si="16413"/>
        <v>1.4419999999999999</v>
      </c>
      <c r="O5082" s="399" t="s">
        <v>204</v>
      </c>
      <c r="P5082" s="389">
        <f t="shared" ref="P5082" si="16426">D5082-D5081</f>
        <v>0</v>
      </c>
      <c r="Q5082" s="399" t="s">
        <v>125</v>
      </c>
      <c r="R5082" s="399">
        <f t="shared" ref="R5082" si="16427">IF(P5082&gt;0,$F$18*F5082/1000,0)</f>
        <v>0</v>
      </c>
      <c r="S5082" s="399" t="s">
        <v>205</v>
      </c>
      <c r="T5082" s="399" t="s">
        <v>125</v>
      </c>
      <c r="U5082" s="401">
        <f t="shared" si="16416"/>
        <v>1.5782400000000001</v>
      </c>
      <c r="V5082" s="399"/>
      <c r="W5082" s="399"/>
      <c r="X5082" s="399" t="s">
        <v>125</v>
      </c>
      <c r="Y5082" s="389">
        <f t="shared" ref="Y5082" si="16428">D5071</f>
        <v>1</v>
      </c>
      <c r="Z5082" s="400" t="s">
        <v>176</v>
      </c>
      <c r="AA5082" s="402">
        <f t="shared" ref="AA5082" si="16429">IF(AA5083=0,(D5082*N5082+P5082*R5082)*U5082*Y5082,0)</f>
        <v>0</v>
      </c>
      <c r="AB5082" s="403"/>
    </row>
    <row r="5083" spans="1:28">
      <c r="A5083" s="384" t="str">
        <f t="shared" ref="A5083:B5083" si="16430">A5065</f>
        <v>Lantai 3</v>
      </c>
      <c r="B5083" s="385">
        <f t="shared" si="16430"/>
        <v>27</v>
      </c>
      <c r="C5083" s="393"/>
      <c r="D5083" s="398">
        <f t="shared" si="16331"/>
        <v>3</v>
      </c>
      <c r="E5083" s="388" t="s">
        <v>16</v>
      </c>
      <c r="F5083" s="388">
        <f t="shared" si="16332"/>
        <v>16</v>
      </c>
      <c r="G5083" s="388"/>
      <c r="H5083" s="395"/>
      <c r="I5083" s="388"/>
      <c r="J5083" s="396"/>
      <c r="K5083" s="396"/>
      <c r="L5083" s="404" t="s">
        <v>207</v>
      </c>
      <c r="M5083" s="399" t="s">
        <v>176</v>
      </c>
      <c r="N5083" s="399">
        <f t="shared" ref="N5083" si="16431">IF(AND(D5080=D5081,D5080=D5082,D5081=D5082,F5080=F5081,F5080=F5082,F5081=F5082),SUM(N5080:N5082),0)</f>
        <v>5.3840000000000003</v>
      </c>
      <c r="O5083" s="399" t="s">
        <v>204</v>
      </c>
      <c r="P5083" s="389">
        <f t="shared" ref="P5083" si="16432">IF(N5083&gt;12,ROUNDDOWN(N5083/12,0),0)</f>
        <v>0</v>
      </c>
      <c r="Q5083" s="399" t="s">
        <v>125</v>
      </c>
      <c r="R5083" s="399">
        <f t="shared" ref="R5083" si="16433">IF(P5083&gt;0,MAX(VLOOKUP(F5083,$D$6:$G$15,3,FALSE),600),0)/1000</f>
        <v>0</v>
      </c>
      <c r="S5083" s="396"/>
      <c r="T5083" s="396" t="s">
        <v>125</v>
      </c>
      <c r="U5083" s="401">
        <f t="shared" si="16336"/>
        <v>1.5782400000000001</v>
      </c>
      <c r="V5083" s="396" t="s">
        <v>125</v>
      </c>
      <c r="W5083" s="399">
        <f t="shared" ref="W5083" si="16434">D5083</f>
        <v>3</v>
      </c>
      <c r="X5083" s="399" t="s">
        <v>125</v>
      </c>
      <c r="Y5083" s="389">
        <f t="shared" si="16338"/>
        <v>1</v>
      </c>
      <c r="Z5083" s="400" t="s">
        <v>176</v>
      </c>
      <c r="AA5083" s="402">
        <f t="shared" ref="AA5083" si="16435">(N5083+P5083*R5083/1000)*U5083*W5083*Y5083</f>
        <v>25.491732480000003</v>
      </c>
      <c r="AB5083" s="403"/>
    </row>
    <row r="5084" spans="1:28">
      <c r="A5084" s="384"/>
      <c r="B5084" s="385"/>
      <c r="C5084" s="393"/>
      <c r="D5084" s="394"/>
      <c r="E5084" s="388"/>
      <c r="F5084" s="388"/>
      <c r="G5084" s="388"/>
      <c r="H5084" s="395"/>
      <c r="I5084" s="388"/>
      <c r="J5084" s="399"/>
      <c r="K5084" s="396"/>
      <c r="L5084" s="396"/>
      <c r="M5084" s="396"/>
      <c r="N5084" s="396"/>
      <c r="O5084" s="396"/>
      <c r="P5084" s="389"/>
      <c r="Q5084" s="396"/>
      <c r="R5084" s="396"/>
      <c r="S5084" s="396"/>
      <c r="T5084" s="396"/>
      <c r="U5084" s="401"/>
      <c r="V5084" s="396"/>
      <c r="W5084" s="388"/>
      <c r="X5084" s="396"/>
      <c r="Y5084" s="389"/>
      <c r="Z5084" s="396"/>
      <c r="AA5084" s="388"/>
      <c r="AB5084" s="390"/>
    </row>
    <row r="5085" spans="1:28">
      <c r="A5085" s="384" t="str">
        <f t="shared" ref="A5085:B5085" si="16436">A5065</f>
        <v>Lantai 3</v>
      </c>
      <c r="B5085" s="385">
        <f t="shared" si="16436"/>
        <v>27</v>
      </c>
      <c r="C5085" s="393" t="s">
        <v>211</v>
      </c>
      <c r="D5085" s="398">
        <f>VLOOKUP(D5065,'Detail Balok'!$C$10:$AU$140,31,FALSE)</f>
        <v>0</v>
      </c>
      <c r="E5085" s="388" t="s">
        <v>16</v>
      </c>
      <c r="F5085" s="388">
        <f>VLOOKUP(D5065,'Detail Balok'!$C$10:$AU$140,33,FALSE)</f>
        <v>10</v>
      </c>
      <c r="G5085" s="405" t="s">
        <v>157</v>
      </c>
      <c r="H5085" s="395">
        <f>VLOOKUP(D5065,'Detail Balok'!$C$10:$AU$140,35,FALSE)</f>
        <v>100</v>
      </c>
      <c r="I5085" s="388"/>
      <c r="J5085" s="400">
        <f t="shared" ref="J5085" si="16437">(IF(D5085=0,(2*(D5066+G5066))-(F$5*8),IF(D5085=3,(2*(D5066+G5066))-(F$5*8)+(G5066-2*F$5),IF(D5085=4,(2*(D5066+G5066))-(F$5*8)+2*(G5066-2*F$5)))))/1000</f>
        <v>0.88</v>
      </c>
      <c r="K5085" s="400" t="s">
        <v>204</v>
      </c>
      <c r="L5085" s="399">
        <f t="shared" ref="L5085:L5087" si="16438">IF(D5085=0,2*MAX(6*F5085,75),(D5085-1)*2*MAX(6*F5085,75))/1000</f>
        <v>0.15</v>
      </c>
      <c r="M5085" s="399" t="s">
        <v>176</v>
      </c>
      <c r="N5085" s="399">
        <f t="shared" ref="N5085:N5087" si="16439">J5085+L5085</f>
        <v>1.03</v>
      </c>
      <c r="O5085" s="399"/>
      <c r="P5085" s="389"/>
      <c r="Q5085" s="399"/>
      <c r="R5085" s="399"/>
      <c r="S5085" s="399"/>
      <c r="T5085" s="399" t="s">
        <v>125</v>
      </c>
      <c r="U5085" s="401">
        <f t="shared" ref="U5085:U5087" si="16440">0.006165*F5085^2</f>
        <v>0.61650000000000005</v>
      </c>
      <c r="V5085" s="399" t="s">
        <v>125</v>
      </c>
      <c r="W5085" s="399">
        <f t="shared" ref="W5085" si="16441">IF(D5068&gt;4*G5066,ROUND(MAX(D5068/4,2*G5066)/H5085,0)+1,ROUND(D5068/H5085,0)+1)</f>
        <v>14</v>
      </c>
      <c r="X5085" s="399" t="s">
        <v>125</v>
      </c>
      <c r="Y5085" s="389">
        <f t="shared" ref="Y5085" si="16442">D5071</f>
        <v>1</v>
      </c>
      <c r="Z5085" s="400" t="s">
        <v>176</v>
      </c>
      <c r="AA5085" s="402">
        <f t="shared" ref="AA5085:AA5087" si="16443">N5085*U5085*W5085*Y5085</f>
        <v>8.8899300000000014</v>
      </c>
      <c r="AB5085" s="403"/>
    </row>
    <row r="5086" spans="1:28">
      <c r="A5086" s="384" t="str">
        <f t="shared" ref="A5086:B5086" si="16444">A5065</f>
        <v>Lantai 3</v>
      </c>
      <c r="B5086" s="385">
        <f t="shared" si="16444"/>
        <v>27</v>
      </c>
      <c r="C5086" s="393" t="s">
        <v>212</v>
      </c>
      <c r="D5086" s="398">
        <f>VLOOKUP(D5065,'Detail Balok'!$C$10:$AU$140,36,FALSE)</f>
        <v>0</v>
      </c>
      <c r="E5086" s="388" t="s">
        <v>16</v>
      </c>
      <c r="F5086" s="388">
        <f>VLOOKUP(D5065,'Detail Balok'!$C$10:$AU$140,38,FALSE)</f>
        <v>10</v>
      </c>
      <c r="G5086" s="405" t="s">
        <v>157</v>
      </c>
      <c r="H5086" s="395">
        <f>VLOOKUP(D5065,'Detail Balok'!$C$10:$AU$140,40,FALSE)</f>
        <v>100</v>
      </c>
      <c r="I5086" s="388"/>
      <c r="J5086" s="400">
        <f t="shared" ref="J5086" si="16445">(IF(D5086=0,(2*(D5066+G5066))-(F$5*8),IF(D5086=3,(2*(D5066+G5066))-(F$5*8)+(G5066-2*F$5),IF(D5086=4,(2*(D5066+G5066))-(F$5*8)+2*(G5066-2*F$5)))))/1000</f>
        <v>0.88</v>
      </c>
      <c r="K5086" s="400" t="s">
        <v>204</v>
      </c>
      <c r="L5086" s="399">
        <f t="shared" si="16438"/>
        <v>0.15</v>
      </c>
      <c r="M5086" s="399" t="s">
        <v>176</v>
      </c>
      <c r="N5086" s="399">
        <f t="shared" si="16439"/>
        <v>1.03</v>
      </c>
      <c r="O5086" s="399"/>
      <c r="P5086" s="389"/>
      <c r="Q5086" s="399"/>
      <c r="R5086" s="399"/>
      <c r="S5086" s="399"/>
      <c r="T5086" s="399" t="s">
        <v>125</v>
      </c>
      <c r="U5086" s="401">
        <f t="shared" si="16440"/>
        <v>0.61650000000000005</v>
      </c>
      <c r="V5086" s="399" t="s">
        <v>125</v>
      </c>
      <c r="W5086" s="399">
        <f t="shared" ref="W5086" si="16446">IF(D5068-MAX(D5068/4,2*G5066)*2&gt;0,ROUND((D5068-MAX(D5068/4,2*G5066)*2)/H5086,0),0)</f>
        <v>25</v>
      </c>
      <c r="X5086" s="399" t="s">
        <v>125</v>
      </c>
      <c r="Y5086" s="389">
        <f t="shared" ref="Y5086" si="16447">D5071</f>
        <v>1</v>
      </c>
      <c r="Z5086" s="400" t="s">
        <v>176</v>
      </c>
      <c r="AA5086" s="402">
        <f t="shared" si="16443"/>
        <v>15.874875000000003</v>
      </c>
      <c r="AB5086" s="403"/>
    </row>
    <row r="5087" spans="1:28">
      <c r="A5087" s="384" t="str">
        <f t="shared" ref="A5087:B5087" si="16448">A5065</f>
        <v>Lantai 3</v>
      </c>
      <c r="B5087" s="385">
        <f t="shared" si="16448"/>
        <v>27</v>
      </c>
      <c r="C5087" s="393" t="s">
        <v>211</v>
      </c>
      <c r="D5087" s="398">
        <f>VLOOKUP(D5065,'Detail Balok'!$C$10:$AU$140,41,FALSE)</f>
        <v>0</v>
      </c>
      <c r="E5087" s="388" t="s">
        <v>16</v>
      </c>
      <c r="F5087" s="388">
        <f>VLOOKUP(D5065,'Detail Balok'!$C$10:$AU$140,43,FALSE)</f>
        <v>10</v>
      </c>
      <c r="G5087" s="405" t="s">
        <v>157</v>
      </c>
      <c r="H5087" s="395">
        <f>VLOOKUP(D5065,'Detail Balok'!$C$10:$AU$140,45,FALSE)</f>
        <v>100</v>
      </c>
      <c r="I5087" s="388"/>
      <c r="J5087" s="400">
        <f t="shared" ref="J5087" si="16449">(IF(D5087=0,(2*(D5066+G5066))-(F$5*8),IF(D5087=3,(2*(D5066+G5066))-(F$5*8)+(G5066-2*F$5),IF(D5087=4,(2*(D5066+G5066))-(F$5*8)+2*(G5066-2*F$5)))))/1000</f>
        <v>0.88</v>
      </c>
      <c r="K5087" s="400" t="s">
        <v>204</v>
      </c>
      <c r="L5087" s="399">
        <f t="shared" si="16438"/>
        <v>0.15</v>
      </c>
      <c r="M5087" s="399" t="s">
        <v>176</v>
      </c>
      <c r="N5087" s="399">
        <f t="shared" si="16439"/>
        <v>1.03</v>
      </c>
      <c r="O5087" s="399"/>
      <c r="P5087" s="389"/>
      <c r="Q5087" s="399"/>
      <c r="R5087" s="399"/>
      <c r="S5087" s="399"/>
      <c r="T5087" s="399" t="s">
        <v>125</v>
      </c>
      <c r="U5087" s="401">
        <f t="shared" si="16440"/>
        <v>0.61650000000000005</v>
      </c>
      <c r="V5087" s="399" t="s">
        <v>125</v>
      </c>
      <c r="W5087" s="399">
        <f t="shared" ref="W5087" si="16450">IF(D5068&gt;4*G5066,ROUND(MAX(D5068/4,2*G5066)/H5087,0)+1,0)</f>
        <v>14</v>
      </c>
      <c r="X5087" s="399" t="s">
        <v>125</v>
      </c>
      <c r="Y5087" s="389">
        <f t="shared" ref="Y5087" si="16451">D5071</f>
        <v>1</v>
      </c>
      <c r="Z5087" s="400" t="s">
        <v>176</v>
      </c>
      <c r="AA5087" s="402">
        <f t="shared" si="16443"/>
        <v>8.8899300000000014</v>
      </c>
      <c r="AB5087" s="403"/>
    </row>
    <row r="5088" spans="1:28">
      <c r="A5088" s="384"/>
      <c r="B5088" s="385"/>
      <c r="C5088" s="393"/>
      <c r="D5088" s="394"/>
      <c r="E5088" s="388"/>
      <c r="F5088" s="388"/>
      <c r="G5088" s="388"/>
      <c r="H5088" s="395"/>
      <c r="I5088" s="388"/>
      <c r="J5088" s="399"/>
      <c r="K5088" s="396"/>
      <c r="L5088" s="396"/>
      <c r="M5088" s="396"/>
      <c r="N5088" s="396"/>
      <c r="O5088" s="396"/>
      <c r="P5088" s="389"/>
      <c r="Q5088" s="396"/>
      <c r="R5088" s="396"/>
      <c r="S5088" s="396"/>
      <c r="T5088" s="396"/>
      <c r="U5088" s="401"/>
      <c r="V5088" s="396"/>
      <c r="W5088" s="388"/>
      <c r="X5088" s="396"/>
      <c r="Y5088" s="389"/>
      <c r="Z5088" s="396"/>
      <c r="AA5088" s="388"/>
      <c r="AB5088" s="390"/>
    </row>
    <row r="5089" spans="1:28">
      <c r="A5089" s="384" t="str">
        <f t="shared" ref="A5089:B5089" si="16452">A5065</f>
        <v>Lantai 3</v>
      </c>
      <c r="B5089" s="385">
        <f t="shared" si="16452"/>
        <v>27</v>
      </c>
      <c r="C5089" s="393" t="s">
        <v>213</v>
      </c>
      <c r="D5089" s="398">
        <f>VLOOKUP(D5065,'Detail Balok'!$C$10:$BJ$140,46,FALSE)</f>
        <v>0</v>
      </c>
      <c r="E5089" s="388" t="s">
        <v>16</v>
      </c>
      <c r="F5089" s="388">
        <f>VLOOKUP(D5065,'Detail Balok'!$C$10:$BJ$140,48,FALSE)</f>
        <v>0</v>
      </c>
      <c r="G5089" s="405" t="s">
        <v>157</v>
      </c>
      <c r="H5089" s="395">
        <f>VLOOKUP(D5065,'Detail Balok'!$C$10:$BJ$140,50,FALSE)</f>
        <v>100</v>
      </c>
      <c r="I5089" s="388"/>
      <c r="J5089" s="399">
        <f t="shared" ref="J5089" si="16453">(D5066-2*F$5)/1000</f>
        <v>0.12</v>
      </c>
      <c r="K5089" s="400" t="s">
        <v>204</v>
      </c>
      <c r="L5089" s="399">
        <f t="shared" ref="L5089:L5091" si="16454">IF(D5089=0,2*MAX(6*F5089,75),(D5089-1)*2*MAX(6*F5089,75))/1000</f>
        <v>0.15</v>
      </c>
      <c r="M5089" s="399" t="s">
        <v>176</v>
      </c>
      <c r="N5089" s="399">
        <f t="shared" ref="N5089:N5091" si="16455">J5089+L5089</f>
        <v>0.27</v>
      </c>
      <c r="O5089" s="399"/>
      <c r="P5089" s="399"/>
      <c r="Q5089" s="399"/>
      <c r="R5089" s="399"/>
      <c r="S5089" s="399"/>
      <c r="T5089" s="399" t="s">
        <v>125</v>
      </c>
      <c r="U5089" s="401">
        <f t="shared" ref="U5089:U5091" si="16456">0.006165*F5089^2</f>
        <v>0</v>
      </c>
      <c r="V5089" s="399" t="s">
        <v>125</v>
      </c>
      <c r="W5089" s="399">
        <f t="shared" si="16361"/>
        <v>14</v>
      </c>
      <c r="X5089" s="399" t="s">
        <v>125</v>
      </c>
      <c r="Y5089" s="389">
        <f t="shared" ref="Y5089" si="16457">D5075</f>
        <v>3</v>
      </c>
      <c r="Z5089" s="400" t="s">
        <v>176</v>
      </c>
      <c r="AA5089" s="402">
        <f t="shared" ref="AA5089:AA5091" si="16458">N5089*U5089*W5089*Y5089</f>
        <v>0</v>
      </c>
      <c r="AB5089" s="403"/>
    </row>
    <row r="5090" spans="1:28">
      <c r="A5090" s="384" t="str">
        <f t="shared" ref="A5090:B5090" si="16459">A5065</f>
        <v>Lantai 3</v>
      </c>
      <c r="B5090" s="385">
        <f t="shared" si="16459"/>
        <v>27</v>
      </c>
      <c r="C5090" s="393" t="s">
        <v>214</v>
      </c>
      <c r="D5090" s="398">
        <f>VLOOKUP(D5065,'Detail Balok'!$C$10:$BJ$140,51,FALSE)</f>
        <v>0</v>
      </c>
      <c r="E5090" s="388" t="s">
        <v>16</v>
      </c>
      <c r="F5090" s="388">
        <f>VLOOKUP(D5065,'Detail Balok'!$C$10:$BJ$140,53,FALSE)</f>
        <v>0</v>
      </c>
      <c r="G5090" s="405" t="s">
        <v>157</v>
      </c>
      <c r="H5090" s="395">
        <f>VLOOKUP(D5065,'Detail Balok'!$C$10:$BJ$140,55,FALSE)</f>
        <v>100</v>
      </c>
      <c r="I5090" s="388"/>
      <c r="J5090" s="399">
        <f t="shared" ref="J5090" si="16460">(D5066-2*F$5)/1000</f>
        <v>0.12</v>
      </c>
      <c r="K5090" s="400" t="s">
        <v>204</v>
      </c>
      <c r="L5090" s="399">
        <f t="shared" si="16454"/>
        <v>0.15</v>
      </c>
      <c r="M5090" s="399" t="s">
        <v>176</v>
      </c>
      <c r="N5090" s="399">
        <f t="shared" si="16455"/>
        <v>0.27</v>
      </c>
      <c r="O5090" s="399"/>
      <c r="P5090" s="399"/>
      <c r="Q5090" s="399"/>
      <c r="R5090" s="399"/>
      <c r="S5090" s="399"/>
      <c r="T5090" s="399" t="s">
        <v>125</v>
      </c>
      <c r="U5090" s="401">
        <f t="shared" si="16456"/>
        <v>0</v>
      </c>
      <c r="V5090" s="399" t="s">
        <v>125</v>
      </c>
      <c r="W5090" s="399">
        <f t="shared" si="16361"/>
        <v>25</v>
      </c>
      <c r="X5090" s="399" t="s">
        <v>125</v>
      </c>
      <c r="Y5090" s="389">
        <f t="shared" ref="Y5090" si="16461">D5075</f>
        <v>3</v>
      </c>
      <c r="Z5090" s="400" t="s">
        <v>176</v>
      </c>
      <c r="AA5090" s="402">
        <f t="shared" si="16458"/>
        <v>0</v>
      </c>
      <c r="AB5090" s="403"/>
    </row>
    <row r="5091" spans="1:28">
      <c r="A5091" s="384" t="str">
        <f t="shared" ref="A5091:B5091" si="16462">A5065</f>
        <v>Lantai 3</v>
      </c>
      <c r="B5091" s="385">
        <f t="shared" si="16462"/>
        <v>27</v>
      </c>
      <c r="C5091" s="393" t="s">
        <v>213</v>
      </c>
      <c r="D5091" s="398">
        <f>VLOOKUP(D5065,'Detail Balok'!$C$10:$BJ$140,56,FALSE)</f>
        <v>0</v>
      </c>
      <c r="E5091" s="388" t="s">
        <v>16</v>
      </c>
      <c r="F5091" s="388">
        <f>VLOOKUP(D5065,'Detail Balok'!$C$10:$BJ$140,58,FALSE)</f>
        <v>0</v>
      </c>
      <c r="G5091" s="405" t="s">
        <v>157</v>
      </c>
      <c r="H5091" s="395">
        <f>VLOOKUP(D5065,'Detail Balok'!$C$10:$BJ$140,60,FALSE)</f>
        <v>100</v>
      </c>
      <c r="I5091" s="388"/>
      <c r="J5091" s="399">
        <f t="shared" ref="J5091" si="16463">(D5066-2*F$5)/1000</f>
        <v>0.12</v>
      </c>
      <c r="K5091" s="400" t="s">
        <v>204</v>
      </c>
      <c r="L5091" s="399">
        <f t="shared" si="16454"/>
        <v>0.15</v>
      </c>
      <c r="M5091" s="399" t="s">
        <v>176</v>
      </c>
      <c r="N5091" s="399">
        <f t="shared" si="16455"/>
        <v>0.27</v>
      </c>
      <c r="O5091" s="399"/>
      <c r="P5091" s="399"/>
      <c r="Q5091" s="399"/>
      <c r="R5091" s="399"/>
      <c r="S5091" s="399"/>
      <c r="T5091" s="399" t="s">
        <v>125</v>
      </c>
      <c r="U5091" s="401">
        <f t="shared" si="16456"/>
        <v>0</v>
      </c>
      <c r="V5091" s="399" t="s">
        <v>125</v>
      </c>
      <c r="W5091" s="399">
        <f t="shared" si="16361"/>
        <v>14</v>
      </c>
      <c r="X5091" s="399" t="s">
        <v>125</v>
      </c>
      <c r="Y5091" s="389">
        <f t="shared" ref="Y5091" si="16464">D5075</f>
        <v>3</v>
      </c>
      <c r="Z5091" s="400" t="s">
        <v>176</v>
      </c>
      <c r="AA5091" s="402">
        <f t="shared" si="16458"/>
        <v>0</v>
      </c>
      <c r="AB5091" s="403"/>
    </row>
    <row r="5092" spans="1:28">
      <c r="A5092" s="391"/>
      <c r="B5092" s="392"/>
      <c r="C5092" s="392"/>
      <c r="D5092" s="394"/>
      <c r="E5092" s="388"/>
      <c r="F5092" s="388"/>
      <c r="G5092" s="388"/>
      <c r="H5092" s="395"/>
      <c r="I5092" s="388"/>
      <c r="J5092" s="402"/>
      <c r="K5092" s="388"/>
      <c r="L5092" s="388"/>
      <c r="M5092" s="388"/>
      <c r="N5092" s="388"/>
      <c r="O5092" s="388"/>
      <c r="P5092" s="388"/>
      <c r="Q5092" s="388"/>
      <c r="R5092" s="388"/>
      <c r="S5092" s="388"/>
      <c r="T5092" s="388"/>
      <c r="U5092" s="388"/>
      <c r="V5092" s="388"/>
      <c r="W5092" s="388"/>
      <c r="X5092" s="388"/>
      <c r="Y5092" s="389"/>
      <c r="Z5092" s="388"/>
      <c r="AA5092" s="402"/>
      <c r="AB5092" s="403"/>
    </row>
    <row r="5093" spans="1:28" ht="15.75" thickBot="1">
      <c r="A5093" s="406"/>
      <c r="B5093" s="407"/>
      <c r="C5093" s="407"/>
      <c r="D5093" s="408"/>
      <c r="E5093" s="409"/>
      <c r="F5093" s="409"/>
      <c r="G5093" s="409"/>
      <c r="H5093" s="410"/>
      <c r="I5093" s="409"/>
      <c r="J5093" s="409"/>
      <c r="K5093" s="409"/>
      <c r="L5093" s="409"/>
      <c r="M5093" s="409"/>
      <c r="N5093" s="409"/>
      <c r="O5093" s="409"/>
      <c r="P5093" s="409"/>
      <c r="Q5093" s="409"/>
      <c r="R5093" s="409"/>
      <c r="S5093" s="409"/>
      <c r="T5093" s="409"/>
      <c r="U5093" s="409"/>
      <c r="V5093" s="409"/>
      <c r="W5093" s="409"/>
      <c r="X5093" s="409"/>
      <c r="Y5093" s="411"/>
      <c r="Z5093" s="409"/>
      <c r="AA5093" s="412"/>
      <c r="AB5093" s="413"/>
    </row>
    <row r="5094" spans="1:28">
      <c r="A5094" s="377"/>
      <c r="B5094" s="378"/>
      <c r="C5094" s="378"/>
      <c r="D5094" s="379"/>
      <c r="E5094" s="380"/>
      <c r="F5094" s="380"/>
      <c r="G5094" s="380"/>
      <c r="H5094" s="381"/>
      <c r="I5094" s="380"/>
      <c r="J5094" s="380"/>
      <c r="K5094" s="380"/>
      <c r="L5094" s="380"/>
      <c r="M5094" s="380"/>
      <c r="N5094" s="380"/>
      <c r="O5094" s="380"/>
      <c r="P5094" s="380"/>
      <c r="Q5094" s="380"/>
      <c r="R5094" s="380"/>
      <c r="S5094" s="380"/>
      <c r="T5094" s="380"/>
      <c r="U5094" s="380"/>
      <c r="V5094" s="380"/>
      <c r="W5094" s="380"/>
      <c r="X5094" s="380"/>
      <c r="Y5094" s="382"/>
      <c r="Z5094" s="380"/>
      <c r="AA5094" s="380"/>
      <c r="AB5094" s="383"/>
    </row>
    <row r="5095" spans="1:28">
      <c r="A5095" s="384" t="str">
        <f t="shared" si="16370"/>
        <v>Lantai 3</v>
      </c>
      <c r="B5095" s="385">
        <f t="shared" si="16371"/>
        <v>28</v>
      </c>
      <c r="C5095" s="386" t="str">
        <f t="shared" ref="C5095" si="16465">CONCATENATE(A5095," no. ",B5095)</f>
        <v>Lantai 3 no. 28</v>
      </c>
      <c r="D5095" s="2562" t="str">
        <f>VLOOKUP(C5095,'Data Panjang Balok'!$C$9:$N$254,2,FALSE)</f>
        <v>B25-1</v>
      </c>
      <c r="E5095" s="2576"/>
      <c r="F5095" s="2576"/>
      <c r="G5095" s="2576"/>
      <c r="H5095" s="2577"/>
      <c r="I5095" s="387"/>
      <c r="J5095" s="388"/>
      <c r="K5095" s="388"/>
      <c r="L5095" s="388"/>
      <c r="M5095" s="388"/>
      <c r="N5095" s="388"/>
      <c r="O5095" s="388"/>
      <c r="P5095" s="388"/>
      <c r="Q5095" s="388"/>
      <c r="R5095" s="388"/>
      <c r="S5095" s="388"/>
      <c r="T5095" s="388"/>
      <c r="U5095" s="388"/>
      <c r="V5095" s="388"/>
      <c r="W5095" s="388"/>
      <c r="X5095" s="388"/>
      <c r="Y5095" s="389"/>
      <c r="Z5095" s="388"/>
      <c r="AA5095" s="388"/>
      <c r="AB5095" s="390"/>
    </row>
    <row r="5096" spans="1:28">
      <c r="A5096" s="391"/>
      <c r="B5096" s="392"/>
      <c r="C5096" s="393" t="s">
        <v>118</v>
      </c>
      <c r="D5096" s="2578">
        <f>VLOOKUP(D5095,'Detail Balok'!$C$10:$AU$140,2,FALSE)</f>
        <v>200</v>
      </c>
      <c r="E5096" s="2579"/>
      <c r="F5096" s="388" t="s">
        <v>125</v>
      </c>
      <c r="G5096" s="2579">
        <f>VLOOKUP(D5095,'Detail Balok'!$C$10:$AU$140,3,FALSE)</f>
        <v>500</v>
      </c>
      <c r="H5096" s="2580"/>
      <c r="I5096" s="388"/>
      <c r="J5096" s="396"/>
      <c r="K5096" s="396"/>
      <c r="L5096" s="396"/>
      <c r="M5096" s="396"/>
      <c r="N5096" s="396"/>
      <c r="O5096" s="396"/>
      <c r="P5096" s="396"/>
      <c r="Q5096" s="396"/>
      <c r="R5096" s="396"/>
      <c r="S5096" s="396"/>
      <c r="T5096" s="396"/>
      <c r="U5096" s="388"/>
      <c r="V5096" s="396"/>
      <c r="W5096" s="388"/>
      <c r="X5096" s="396"/>
      <c r="Y5096" s="389"/>
      <c r="Z5096" s="396"/>
      <c r="AA5096" s="388"/>
      <c r="AB5096" s="390"/>
    </row>
    <row r="5097" spans="1:28">
      <c r="A5097" s="391"/>
      <c r="B5097" s="392"/>
      <c r="C5097" s="393" t="s">
        <v>198</v>
      </c>
      <c r="D5097" s="2562">
        <f>VLOOKUP(C5095,'Data Panjang Balok'!$C$9:$N$254,4,FALSE)</f>
        <v>7250</v>
      </c>
      <c r="E5097" s="2563"/>
      <c r="F5097" s="2563"/>
      <c r="G5097" s="2563"/>
      <c r="H5097" s="2564"/>
      <c r="I5097" s="397"/>
      <c r="J5097" s="396"/>
      <c r="K5097" s="396"/>
      <c r="L5097" s="396"/>
      <c r="M5097" s="396"/>
      <c r="N5097" s="396"/>
      <c r="O5097" s="396"/>
      <c r="P5097" s="396"/>
      <c r="Q5097" s="396"/>
      <c r="R5097" s="396"/>
      <c r="S5097" s="396"/>
      <c r="T5097" s="396"/>
      <c r="U5097" s="388"/>
      <c r="V5097" s="396"/>
      <c r="W5097" s="388"/>
      <c r="X5097" s="396"/>
      <c r="Y5097" s="389"/>
      <c r="Z5097" s="396"/>
      <c r="AA5097" s="388"/>
      <c r="AB5097" s="390"/>
    </row>
    <row r="5098" spans="1:28">
      <c r="A5098" s="391"/>
      <c r="B5098" s="392"/>
      <c r="C5098" s="393" t="s">
        <v>199</v>
      </c>
      <c r="D5098" s="2562">
        <f>VLOOKUP(C5095,'Data Panjang Balok'!$C$9:$N$254,7,FALSE)</f>
        <v>7250</v>
      </c>
      <c r="E5098" s="2563"/>
      <c r="F5098" s="2563"/>
      <c r="G5098" s="2563"/>
      <c r="H5098" s="2564"/>
      <c r="I5098" s="397"/>
      <c r="J5098" s="396"/>
      <c r="K5098" s="396"/>
      <c r="L5098" s="396"/>
      <c r="M5098" s="396"/>
      <c r="N5098" s="396"/>
      <c r="O5098" s="396"/>
      <c r="P5098" s="396"/>
      <c r="Q5098" s="396"/>
      <c r="R5098" s="396"/>
      <c r="S5098" s="396"/>
      <c r="T5098" s="396"/>
      <c r="U5098" s="388"/>
      <c r="V5098" s="396"/>
      <c r="W5098" s="388"/>
      <c r="X5098" s="396"/>
      <c r="Y5098" s="389"/>
      <c r="Z5098" s="396"/>
      <c r="AA5098" s="388"/>
      <c r="AB5098" s="390"/>
    </row>
    <row r="5099" spans="1:28">
      <c r="A5099" s="391"/>
      <c r="B5099" s="392"/>
      <c r="C5099" s="393" t="s">
        <v>200</v>
      </c>
      <c r="D5099" s="2562">
        <f>VLOOKUP(C5095,'Data Panjang Balok'!$C$9:$N$254,9,FALSE)</f>
        <v>0</v>
      </c>
      <c r="E5099" s="2563"/>
      <c r="F5099" s="2563"/>
      <c r="G5099" s="2563"/>
      <c r="H5099" s="2564"/>
      <c r="I5099" s="397"/>
      <c r="J5099" s="396"/>
      <c r="K5099" s="396"/>
      <c r="L5099" s="396"/>
      <c r="M5099" s="396"/>
      <c r="N5099" s="396"/>
      <c r="O5099" s="396"/>
      <c r="P5099" s="396"/>
      <c r="Q5099" s="396"/>
      <c r="R5099" s="396"/>
      <c r="S5099" s="396"/>
      <c r="T5099" s="396"/>
      <c r="U5099" s="388"/>
      <c r="V5099" s="396"/>
      <c r="W5099" s="388"/>
      <c r="X5099" s="396"/>
      <c r="Y5099" s="389"/>
      <c r="Z5099" s="396"/>
      <c r="AA5099" s="388"/>
      <c r="AB5099" s="390"/>
    </row>
    <row r="5100" spans="1:28">
      <c r="A5100" s="391"/>
      <c r="B5100" s="392"/>
      <c r="C5100" s="393" t="s">
        <v>201</v>
      </c>
      <c r="D5100" s="2562">
        <f>VLOOKUP(C5095,'Data Panjang Balok'!$C$9:$N$254,10,FALSE)</f>
        <v>0</v>
      </c>
      <c r="E5100" s="2563"/>
      <c r="F5100" s="2563"/>
      <c r="G5100" s="2563"/>
      <c r="H5100" s="2564"/>
      <c r="I5100" s="397"/>
      <c r="J5100" s="396"/>
      <c r="K5100" s="396"/>
      <c r="L5100" s="396"/>
      <c r="M5100" s="396"/>
      <c r="N5100" s="396"/>
      <c r="O5100" s="396"/>
      <c r="P5100" s="396"/>
      <c r="Q5100" s="396"/>
      <c r="R5100" s="396"/>
      <c r="S5100" s="396"/>
      <c r="T5100" s="396"/>
      <c r="U5100" s="388"/>
      <c r="V5100" s="396"/>
      <c r="W5100" s="388"/>
      <c r="X5100" s="396"/>
      <c r="Y5100" s="389"/>
      <c r="Z5100" s="396"/>
      <c r="AA5100" s="388"/>
      <c r="AB5100" s="390"/>
    </row>
    <row r="5101" spans="1:28">
      <c r="A5101" s="391"/>
      <c r="B5101" s="392"/>
      <c r="C5101" s="393" t="s">
        <v>48</v>
      </c>
      <c r="D5101" s="2562">
        <f>VLOOKUP(C5095,'Data Panjang Balok'!$C$9:$N$254,3,FALSE)</f>
        <v>1</v>
      </c>
      <c r="E5101" s="2563"/>
      <c r="F5101" s="2563"/>
      <c r="G5101" s="2563"/>
      <c r="H5101" s="2564"/>
      <c r="I5101" s="397"/>
      <c r="J5101" s="396"/>
      <c r="K5101" s="396"/>
      <c r="L5101" s="396"/>
      <c r="M5101" s="396"/>
      <c r="N5101" s="396"/>
      <c r="O5101" s="396"/>
      <c r="P5101" s="396"/>
      <c r="Q5101" s="396"/>
      <c r="R5101" s="396"/>
      <c r="S5101" s="396"/>
      <c r="T5101" s="396"/>
      <c r="U5101" s="388"/>
      <c r="V5101" s="396"/>
      <c r="W5101" s="388"/>
      <c r="X5101" s="396"/>
      <c r="Y5101" s="389"/>
      <c r="Z5101" s="396"/>
      <c r="AA5101" s="388"/>
      <c r="AB5101" s="390"/>
    </row>
    <row r="5102" spans="1:28">
      <c r="A5102" s="384" t="str">
        <f t="shared" ref="A5102:B5102" si="16466">A5095</f>
        <v>Lantai 3</v>
      </c>
      <c r="B5102" s="385">
        <f t="shared" si="16466"/>
        <v>28</v>
      </c>
      <c r="C5102" s="393" t="s">
        <v>202</v>
      </c>
      <c r="D5102" s="398">
        <f>VLOOKUP(D5095,'Detail Balok'!$C$10:$AU$140,4,FALSE)</f>
        <v>4</v>
      </c>
      <c r="E5102" s="388" t="s">
        <v>16</v>
      </c>
      <c r="F5102" s="388">
        <f>VLOOKUP(D5095,'Detail Balok'!$C$10:$AU$140,6,FALSE)</f>
        <v>16</v>
      </c>
      <c r="G5102" s="388"/>
      <c r="H5102" s="395"/>
      <c r="I5102" s="388" t="s">
        <v>203</v>
      </c>
      <c r="J5102" s="399">
        <f t="shared" ref="J5102" si="16467">+D5097/4/1000</f>
        <v>1.8125</v>
      </c>
      <c r="K5102" s="400" t="s">
        <v>204</v>
      </c>
      <c r="L5102" s="399">
        <f t="shared" ref="L5102" si="16468">MAX(VLOOKUP(F5102,N$6:P$15,3,FALSE)/1000,2/3*D5099/1000)+F$16*F5102/1000</f>
        <v>0.192</v>
      </c>
      <c r="M5102" s="399" t="s">
        <v>176</v>
      </c>
      <c r="N5102" s="399">
        <f t="shared" ref="N5102:N5104" si="16469">J5102+L5102</f>
        <v>2.0045000000000002</v>
      </c>
      <c r="O5102" s="399" t="s">
        <v>204</v>
      </c>
      <c r="P5102" s="389">
        <f t="shared" ref="P5102" si="16470">D5102-D5103</f>
        <v>0</v>
      </c>
      <c r="Q5102" s="399" t="s">
        <v>125</v>
      </c>
      <c r="R5102" s="399">
        <f t="shared" ref="R5102" si="16471">IF(P5102&gt;0,$F$18*F5102/1000,0)</f>
        <v>0</v>
      </c>
      <c r="S5102" s="399" t="s">
        <v>205</v>
      </c>
      <c r="T5102" s="399" t="s">
        <v>125</v>
      </c>
      <c r="U5102" s="401">
        <f t="shared" ref="U5102:U5104" si="16472">0.006165*F5102^2</f>
        <v>1.5782400000000001</v>
      </c>
      <c r="V5102" s="399"/>
      <c r="W5102" s="399"/>
      <c r="X5102" s="399" t="s">
        <v>125</v>
      </c>
      <c r="Y5102" s="389">
        <f t="shared" ref="Y5102" si="16473">D5101</f>
        <v>1</v>
      </c>
      <c r="Z5102" s="400" t="s">
        <v>176</v>
      </c>
      <c r="AA5102" s="402">
        <f t="shared" ref="AA5102" si="16474">IF(AA5105=0,(D5102*N5102+P5102*R5102)*U5102*Y5102,0)</f>
        <v>0</v>
      </c>
      <c r="AB5102" s="403"/>
    </row>
    <row r="5103" spans="1:28">
      <c r="A5103" s="384" t="str">
        <f t="shared" ref="A5103:B5103" si="16475">A5095</f>
        <v>Lantai 3</v>
      </c>
      <c r="B5103" s="385">
        <f t="shared" si="16475"/>
        <v>28</v>
      </c>
      <c r="C5103" s="393" t="s">
        <v>206</v>
      </c>
      <c r="D5103" s="398">
        <f>VLOOKUP(D5095,'Detail Balok'!$C$10:$AU$140,7,FALSE)</f>
        <v>4</v>
      </c>
      <c r="E5103" s="388" t="s">
        <v>16</v>
      </c>
      <c r="F5103" s="388">
        <f>VLOOKUP(D5095,'Detail Balok'!$C$10:$AU$140,9,FALSE)</f>
        <v>16</v>
      </c>
      <c r="G5103" s="388"/>
      <c r="H5103" s="395"/>
      <c r="I5103" s="388" t="s">
        <v>203</v>
      </c>
      <c r="J5103" s="399">
        <f t="shared" ref="J5103" si="16476">+D5097/2/1000</f>
        <v>3.625</v>
      </c>
      <c r="K5103" s="400" t="s">
        <v>204</v>
      </c>
      <c r="L5103" s="399"/>
      <c r="M5103" s="399" t="s">
        <v>176</v>
      </c>
      <c r="N5103" s="399">
        <f t="shared" si="16469"/>
        <v>3.625</v>
      </c>
      <c r="O5103" s="399" t="s">
        <v>204</v>
      </c>
      <c r="P5103" s="389">
        <f t="shared" ref="P5103" si="16477">MAX(D5103-D5102,D5103-D5104)</f>
        <v>0</v>
      </c>
      <c r="Q5103" s="399" t="s">
        <v>125</v>
      </c>
      <c r="R5103" s="399">
        <f t="shared" ref="R5103" si="16478">IF(P5103&gt;0,2*(1-2*$F$19-1/2)*D5098/1000,0)</f>
        <v>0</v>
      </c>
      <c r="S5103" s="399" t="s">
        <v>205</v>
      </c>
      <c r="T5103" s="399" t="s">
        <v>125</v>
      </c>
      <c r="U5103" s="401">
        <f t="shared" si="16472"/>
        <v>1.5782400000000001</v>
      </c>
      <c r="V5103" s="399"/>
      <c r="W5103" s="399"/>
      <c r="X5103" s="399" t="s">
        <v>125</v>
      </c>
      <c r="Y5103" s="389">
        <f t="shared" ref="Y5103" si="16479">D5101</f>
        <v>1</v>
      </c>
      <c r="Z5103" s="400" t="s">
        <v>176</v>
      </c>
      <c r="AA5103" s="402">
        <f t="shared" ref="AA5103" si="16480">IF(AA5105=0,(D5103*N5103+P5103*R5103)*U5103*Y5103,0)</f>
        <v>0</v>
      </c>
      <c r="AB5103" s="403"/>
    </row>
    <row r="5104" spans="1:28">
      <c r="A5104" s="384" t="str">
        <f t="shared" ref="A5104:B5104" si="16481">A5095</f>
        <v>Lantai 3</v>
      </c>
      <c r="B5104" s="385">
        <f t="shared" si="16481"/>
        <v>28</v>
      </c>
      <c r="C5104" s="393" t="s">
        <v>202</v>
      </c>
      <c r="D5104" s="398">
        <f>VLOOKUP(D5095,'Detail Balok'!$C$10:$AU$140,10,FALSE)</f>
        <v>4</v>
      </c>
      <c r="E5104" s="388" t="s">
        <v>16</v>
      </c>
      <c r="F5104" s="388">
        <f>VLOOKUP(D5095,'Detail Balok'!$C$10:$AU$140,12,FALSE)</f>
        <v>16</v>
      </c>
      <c r="G5104" s="388"/>
      <c r="H5104" s="395"/>
      <c r="I5104" s="388" t="s">
        <v>203</v>
      </c>
      <c r="J5104" s="399">
        <f t="shared" ref="J5104" si="16482">+D5097/4/1000</f>
        <v>1.8125</v>
      </c>
      <c r="K5104" s="400" t="s">
        <v>204</v>
      </c>
      <c r="L5104" s="399">
        <f t="shared" ref="L5104" si="16483">MAX(VLOOKUP(F5104,N$6:P$15,3,FALSE)/1000,2/3*D5099/1000)+F$16*F5104/1000</f>
        <v>0.192</v>
      </c>
      <c r="M5104" s="399" t="s">
        <v>176</v>
      </c>
      <c r="N5104" s="399">
        <f t="shared" si="16469"/>
        <v>2.0045000000000002</v>
      </c>
      <c r="O5104" s="399" t="s">
        <v>204</v>
      </c>
      <c r="P5104" s="389">
        <f t="shared" ref="P5104" si="16484">D5104-D5103</f>
        <v>0</v>
      </c>
      <c r="Q5104" s="399" t="s">
        <v>125</v>
      </c>
      <c r="R5104" s="399">
        <f t="shared" ref="R5104" si="16485">IF(P5104&gt;0,$F$18*F5104/1000,0)</f>
        <v>0</v>
      </c>
      <c r="S5104" s="399" t="s">
        <v>205</v>
      </c>
      <c r="T5104" s="399" t="s">
        <v>125</v>
      </c>
      <c r="U5104" s="401">
        <f t="shared" si="16472"/>
        <v>1.5782400000000001</v>
      </c>
      <c r="V5104" s="399"/>
      <c r="W5104" s="399"/>
      <c r="X5104" s="399" t="s">
        <v>125</v>
      </c>
      <c r="Y5104" s="389">
        <f t="shared" ref="Y5104" si="16486">D5101</f>
        <v>1</v>
      </c>
      <c r="Z5104" s="400" t="s">
        <v>176</v>
      </c>
      <c r="AA5104" s="402">
        <f t="shared" ref="AA5104" si="16487">IF(AA5105=0,(D5104*N5104+P5104*R5104)*U5104*Y5104,0)</f>
        <v>0</v>
      </c>
      <c r="AB5104" s="403"/>
    </row>
    <row r="5105" spans="1:28">
      <c r="A5105" s="384" t="str">
        <f t="shared" ref="A5105:B5105" si="16488">A5095</f>
        <v>Lantai 3</v>
      </c>
      <c r="B5105" s="385">
        <f t="shared" si="16488"/>
        <v>28</v>
      </c>
      <c r="C5105" s="393"/>
      <c r="D5105" s="398">
        <f t="shared" si="16291"/>
        <v>4</v>
      </c>
      <c r="E5105" s="388" t="s">
        <v>16</v>
      </c>
      <c r="F5105" s="388">
        <f t="shared" si="16292"/>
        <v>16</v>
      </c>
      <c r="G5105" s="388"/>
      <c r="H5105" s="395"/>
      <c r="I5105" s="388"/>
      <c r="J5105" s="396"/>
      <c r="K5105" s="396"/>
      <c r="L5105" s="404" t="s">
        <v>207</v>
      </c>
      <c r="M5105" s="399" t="s">
        <v>176</v>
      </c>
      <c r="N5105" s="399">
        <f t="shared" ref="N5105" si="16489">IF(AND(D5102=D5103,D5102=D5104,D5103=D5104,F5102=F5103,F5102=F5104,F5103=F5104),SUM(N5102:N5104),0)</f>
        <v>7.6340000000000003</v>
      </c>
      <c r="O5105" s="399" t="s">
        <v>204</v>
      </c>
      <c r="P5105" s="389">
        <f t="shared" ref="P5105" si="16490">IF(N5105&gt;12,ROUNDDOWN(N5105/12,0),0)</f>
        <v>0</v>
      </c>
      <c r="Q5105" s="399" t="s">
        <v>125</v>
      </c>
      <c r="R5105" s="399">
        <f t="shared" ref="R5105" si="16491">IF(P5105&gt;0,MAX(VLOOKUP(F5105,$D$6:$G$15,3,FALSE),600),0)/1000</f>
        <v>0</v>
      </c>
      <c r="S5105" s="396"/>
      <c r="T5105" s="396" t="s">
        <v>125</v>
      </c>
      <c r="U5105" s="401">
        <f t="shared" si="16296"/>
        <v>1.5782400000000001</v>
      </c>
      <c r="V5105" s="396" t="s">
        <v>125</v>
      </c>
      <c r="W5105" s="399">
        <f t="shared" ref="W5105" si="16492">D5105</f>
        <v>4</v>
      </c>
      <c r="X5105" s="399" t="s">
        <v>125</v>
      </c>
      <c r="Y5105" s="389">
        <f t="shared" si="16298"/>
        <v>1</v>
      </c>
      <c r="Z5105" s="400" t="s">
        <v>176</v>
      </c>
      <c r="AA5105" s="402">
        <f t="shared" ref="AA5105" si="16493">(N5105+P5105*R5105/1000)*U5105*W5105*Y5105</f>
        <v>48.193136640000006</v>
      </c>
      <c r="AB5105" s="390"/>
    </row>
    <row r="5106" spans="1:28">
      <c r="A5106" s="384"/>
      <c r="B5106" s="385"/>
      <c r="C5106" s="393"/>
      <c r="D5106" s="398"/>
      <c r="E5106" s="388"/>
      <c r="F5106" s="388"/>
      <c r="G5106" s="388"/>
      <c r="H5106" s="395"/>
      <c r="I5106" s="388"/>
      <c r="J5106" s="396"/>
      <c r="K5106" s="396"/>
      <c r="L5106" s="404"/>
      <c r="M5106" s="399"/>
      <c r="N5106" s="399"/>
      <c r="O5106" s="396"/>
      <c r="P5106" s="389"/>
      <c r="Q5106" s="396"/>
      <c r="R5106" s="396"/>
      <c r="S5106" s="396"/>
      <c r="T5106" s="396"/>
      <c r="U5106" s="401"/>
      <c r="V5106" s="396"/>
      <c r="W5106" s="399"/>
      <c r="X5106" s="396"/>
      <c r="Y5106" s="389"/>
      <c r="Z5106" s="396"/>
      <c r="AA5106" s="388"/>
      <c r="AB5106" s="390"/>
    </row>
    <row r="5107" spans="1:28">
      <c r="A5107" s="384" t="str">
        <f t="shared" ref="A5107:B5107" si="16494">A5095</f>
        <v>Lantai 3</v>
      </c>
      <c r="B5107" s="385">
        <f t="shared" si="16494"/>
        <v>28</v>
      </c>
      <c r="C5107" s="393" t="s">
        <v>208</v>
      </c>
      <c r="D5107" s="398">
        <f>VLOOKUP(D5095,'Detail Balok'!$C$10:$AU$140,13,FALSE)</f>
        <v>2</v>
      </c>
      <c r="E5107" s="388" t="s">
        <v>16</v>
      </c>
      <c r="F5107" s="388">
        <f>VLOOKUP(D5095,'Detail Balok'!$C$10:$AU$140,15,FALSE)</f>
        <v>10</v>
      </c>
      <c r="G5107" s="388"/>
      <c r="H5107" s="395"/>
      <c r="I5107" s="388"/>
      <c r="J5107" s="399">
        <f t="shared" ref="J5107" si="16495">+D5097/1000</f>
        <v>7.25</v>
      </c>
      <c r="K5107" s="400" t="s">
        <v>204</v>
      </c>
      <c r="L5107" s="399">
        <f t="shared" ref="L5107" si="16496">2*$F$16*F5107/1000</f>
        <v>0.24</v>
      </c>
      <c r="M5107" s="399" t="s">
        <v>176</v>
      </c>
      <c r="N5107" s="399">
        <f t="shared" ref="N5107" si="16497">J5107+L5107</f>
        <v>7.49</v>
      </c>
      <c r="O5107" s="399" t="s">
        <v>204</v>
      </c>
      <c r="P5107" s="389">
        <f t="shared" ref="P5107" si="16498">IF(N5107&gt;12,ROUNDDOWN(N5107/12,0),0)</f>
        <v>0</v>
      </c>
      <c r="Q5107" s="399" t="s">
        <v>125</v>
      </c>
      <c r="R5107" s="399">
        <f t="shared" ref="R5107" si="16499">IF(P5107&gt;0,MAX(VLOOKUP(F5107,$D$6:$G$15,3,FALSE),600),0)/1000</f>
        <v>0</v>
      </c>
      <c r="S5107" s="399"/>
      <c r="T5107" s="399" t="s">
        <v>125</v>
      </c>
      <c r="U5107" s="401">
        <f t="shared" ref="U5107" si="16500">0.006165*F5107^2</f>
        <v>0.61650000000000005</v>
      </c>
      <c r="V5107" s="399" t="s">
        <v>125</v>
      </c>
      <c r="W5107" s="399">
        <f t="shared" ref="W5107" si="16501">+D5107</f>
        <v>2</v>
      </c>
      <c r="X5107" s="399" t="s">
        <v>125</v>
      </c>
      <c r="Y5107" s="389">
        <f t="shared" ref="Y5107" si="16502">D5101</f>
        <v>1</v>
      </c>
      <c r="Z5107" s="400" t="s">
        <v>176</v>
      </c>
      <c r="AA5107" s="402">
        <f t="shared" ref="AA5107" si="16503">(N5107+P5107*R5107/1000)*U5107*W5107*Y5107</f>
        <v>9.2351700000000001</v>
      </c>
      <c r="AB5107" s="403"/>
    </row>
    <row r="5108" spans="1:28">
      <c r="A5108" s="384"/>
      <c r="B5108" s="385"/>
      <c r="C5108" s="393"/>
      <c r="D5108" s="398"/>
      <c r="E5108" s="388"/>
      <c r="F5108" s="388"/>
      <c r="G5108" s="388"/>
      <c r="H5108" s="395"/>
      <c r="I5108" s="388"/>
      <c r="J5108" s="399"/>
      <c r="K5108" s="400"/>
      <c r="L5108" s="399"/>
      <c r="M5108" s="399"/>
      <c r="N5108" s="399"/>
      <c r="O5108" s="399"/>
      <c r="P5108" s="389"/>
      <c r="Q5108" s="399"/>
      <c r="R5108" s="399"/>
      <c r="S5108" s="399"/>
      <c r="T5108" s="399"/>
      <c r="U5108" s="401"/>
      <c r="V5108" s="399"/>
      <c r="W5108" s="399"/>
      <c r="X5108" s="399"/>
      <c r="Y5108" s="389"/>
      <c r="Z5108" s="400"/>
      <c r="AA5108" s="402"/>
      <c r="AB5108" s="403"/>
    </row>
    <row r="5109" spans="1:28">
      <c r="A5109" s="384"/>
      <c r="B5109" s="385"/>
      <c r="C5109" s="393"/>
      <c r="D5109" s="398"/>
      <c r="E5109" s="388"/>
      <c r="F5109" s="388"/>
      <c r="G5109" s="388"/>
      <c r="H5109" s="395"/>
      <c r="I5109" s="388"/>
      <c r="J5109" s="396"/>
      <c r="K5109" s="396"/>
      <c r="L5109" s="396"/>
      <c r="M5109" s="396"/>
      <c r="N5109" s="396"/>
      <c r="O5109" s="396"/>
      <c r="P5109" s="389"/>
      <c r="Q5109" s="396"/>
      <c r="R5109" s="396"/>
      <c r="S5109" s="396"/>
      <c r="T5109" s="396"/>
      <c r="U5109" s="401"/>
      <c r="V5109" s="396"/>
      <c r="W5109" s="399"/>
      <c r="X5109" s="396"/>
      <c r="Y5109" s="389"/>
      <c r="Z5109" s="396"/>
      <c r="AA5109" s="388"/>
      <c r="AB5109" s="390"/>
    </row>
    <row r="5110" spans="1:28">
      <c r="A5110" s="384" t="str">
        <f t="shared" ref="A5110:B5110" si="16504">A5095</f>
        <v>Lantai 3</v>
      </c>
      <c r="B5110" s="385">
        <f t="shared" si="16504"/>
        <v>28</v>
      </c>
      <c r="C5110" s="393" t="s">
        <v>209</v>
      </c>
      <c r="D5110" s="398">
        <f>VLOOKUP(D5095,'Detail Balok'!$C$10:$AU$140,22,FALSE)</f>
        <v>4</v>
      </c>
      <c r="E5110" s="388" t="s">
        <v>16</v>
      </c>
      <c r="F5110" s="388">
        <f>VLOOKUP(D5095,'Detail Balok'!$C$10:$AU$140,24,FALSE)</f>
        <v>16</v>
      </c>
      <c r="G5110" s="388"/>
      <c r="H5110" s="395"/>
      <c r="I5110" s="388" t="s">
        <v>203</v>
      </c>
      <c r="J5110" s="399">
        <f t="shared" si="16311"/>
        <v>1.8125</v>
      </c>
      <c r="K5110" s="400" t="s">
        <v>204</v>
      </c>
      <c r="L5110" s="399">
        <f t="shared" ref="L5110" si="16505">MAX(VLOOKUP(F5110,N$6:P$15,3,FALSE)/1000,2/3*D5100/1000)+F$16*F5110/1000</f>
        <v>0.192</v>
      </c>
      <c r="M5110" s="399" t="s">
        <v>176</v>
      </c>
      <c r="N5110" s="399">
        <f t="shared" ref="N5110:N5112" si="16506">J5110+L5110</f>
        <v>2.0045000000000002</v>
      </c>
      <c r="O5110" s="399" t="s">
        <v>204</v>
      </c>
      <c r="P5110" s="389">
        <f t="shared" ref="P5110" si="16507">D5110-D5111</f>
        <v>0</v>
      </c>
      <c r="Q5110" s="399" t="s">
        <v>125</v>
      </c>
      <c r="R5110" s="399">
        <f t="shared" ref="R5110" si="16508">IF(P5110&gt;0,$F$18*F5110/1000,0)</f>
        <v>0</v>
      </c>
      <c r="S5110" s="399" t="s">
        <v>205</v>
      </c>
      <c r="T5110" s="399" t="s">
        <v>125</v>
      </c>
      <c r="U5110" s="401">
        <f t="shared" ref="U5110:U5112" si="16509">0.006165*F5110^2</f>
        <v>1.5782400000000001</v>
      </c>
      <c r="V5110" s="399"/>
      <c r="W5110" s="399"/>
      <c r="X5110" s="399" t="s">
        <v>125</v>
      </c>
      <c r="Y5110" s="389">
        <f t="shared" ref="Y5110" si="16510">D5101</f>
        <v>1</v>
      </c>
      <c r="Z5110" s="400" t="s">
        <v>176</v>
      </c>
      <c r="AA5110" s="402">
        <f t="shared" ref="AA5110" si="16511">IF(AA5113=0,(D5110*N5110+P5110*R5110)*U5110*Y5110,0)</f>
        <v>0</v>
      </c>
      <c r="AB5110" s="403"/>
    </row>
    <row r="5111" spans="1:28">
      <c r="A5111" s="384" t="str">
        <f t="shared" ref="A5111:B5111" si="16512">A5095</f>
        <v>Lantai 3</v>
      </c>
      <c r="B5111" s="385">
        <f t="shared" si="16512"/>
        <v>28</v>
      </c>
      <c r="C5111" s="393" t="s">
        <v>210</v>
      </c>
      <c r="D5111" s="398">
        <f>VLOOKUP(D5095,'Detail Balok'!$C$10:$AU$140,25,FALSE)</f>
        <v>4</v>
      </c>
      <c r="E5111" s="388" t="s">
        <v>16</v>
      </c>
      <c r="F5111" s="388">
        <f>VLOOKUP(D5095,'Detail Balok'!$C$10:$AU$140,27,FALSE)</f>
        <v>16</v>
      </c>
      <c r="G5111" s="388"/>
      <c r="H5111" s="395"/>
      <c r="I5111" s="388" t="s">
        <v>203</v>
      </c>
      <c r="J5111" s="399">
        <f t="shared" si="16311"/>
        <v>3.625</v>
      </c>
      <c r="K5111" s="400" t="s">
        <v>204</v>
      </c>
      <c r="L5111" s="399"/>
      <c r="M5111" s="399" t="s">
        <v>176</v>
      </c>
      <c r="N5111" s="399">
        <f t="shared" si="16506"/>
        <v>3.625</v>
      </c>
      <c r="O5111" s="399" t="s">
        <v>204</v>
      </c>
      <c r="P5111" s="389">
        <f t="shared" ref="P5111" si="16513">MAX(D5111-D5110,D5111-D5112)</f>
        <v>0</v>
      </c>
      <c r="Q5111" s="399" t="s">
        <v>125</v>
      </c>
      <c r="R5111" s="399">
        <f t="shared" ref="R5111" si="16514">IF(P5111&gt;0,2*(1-2*$F$19-1/2)*D5098/1000,0)</f>
        <v>0</v>
      </c>
      <c r="S5111" s="399" t="s">
        <v>205</v>
      </c>
      <c r="T5111" s="399" t="s">
        <v>125</v>
      </c>
      <c r="U5111" s="401">
        <f t="shared" si="16509"/>
        <v>1.5782400000000001</v>
      </c>
      <c r="V5111" s="399"/>
      <c r="W5111" s="399"/>
      <c r="X5111" s="399" t="s">
        <v>125</v>
      </c>
      <c r="Y5111" s="389">
        <f t="shared" ref="Y5111" si="16515">D5101</f>
        <v>1</v>
      </c>
      <c r="Z5111" s="400" t="s">
        <v>176</v>
      </c>
      <c r="AA5111" s="402">
        <f t="shared" ref="AA5111" si="16516">IF(AA5113=0,(D5111*N5111+P5111*R5111)*U5111*Y5111,0)</f>
        <v>0</v>
      </c>
      <c r="AB5111" s="403"/>
    </row>
    <row r="5112" spans="1:28">
      <c r="A5112" s="384" t="str">
        <f t="shared" ref="A5112:B5112" si="16517">A5095</f>
        <v>Lantai 3</v>
      </c>
      <c r="B5112" s="385">
        <f t="shared" si="16517"/>
        <v>28</v>
      </c>
      <c r="C5112" s="393" t="s">
        <v>209</v>
      </c>
      <c r="D5112" s="398">
        <f>VLOOKUP(D5095,'Detail Balok'!$C$10:$AU$140,28,FALSE)</f>
        <v>4</v>
      </c>
      <c r="E5112" s="388" t="s">
        <v>16</v>
      </c>
      <c r="F5112" s="388">
        <f>VLOOKUP(D5095,'Detail Balok'!$C$10:$AU$140,30,FALSE)</f>
        <v>16</v>
      </c>
      <c r="G5112" s="388"/>
      <c r="H5112" s="395"/>
      <c r="I5112" s="388" t="s">
        <v>203</v>
      </c>
      <c r="J5112" s="399">
        <f t="shared" si="16311"/>
        <v>1.8125</v>
      </c>
      <c r="K5112" s="400" t="s">
        <v>204</v>
      </c>
      <c r="L5112" s="399">
        <f t="shared" ref="L5112" si="16518">MAX(VLOOKUP(F5112,N$6:P$15,3,FALSE)/1000,2/3*D5100/1000)+F$16*F5112/1000</f>
        <v>0.192</v>
      </c>
      <c r="M5112" s="399" t="s">
        <v>176</v>
      </c>
      <c r="N5112" s="399">
        <f t="shared" si="16506"/>
        <v>2.0045000000000002</v>
      </c>
      <c r="O5112" s="399" t="s">
        <v>204</v>
      </c>
      <c r="P5112" s="389">
        <f t="shared" ref="P5112" si="16519">D5112-D5111</f>
        <v>0</v>
      </c>
      <c r="Q5112" s="399" t="s">
        <v>125</v>
      </c>
      <c r="R5112" s="399">
        <f t="shared" ref="R5112" si="16520">IF(P5112&gt;0,$F$18*F5112/1000,0)</f>
        <v>0</v>
      </c>
      <c r="S5112" s="399" t="s">
        <v>205</v>
      </c>
      <c r="T5112" s="399" t="s">
        <v>125</v>
      </c>
      <c r="U5112" s="401">
        <f t="shared" si="16509"/>
        <v>1.5782400000000001</v>
      </c>
      <c r="V5112" s="399"/>
      <c r="W5112" s="399"/>
      <c r="X5112" s="399" t="s">
        <v>125</v>
      </c>
      <c r="Y5112" s="389">
        <f t="shared" ref="Y5112" si="16521">D5101</f>
        <v>1</v>
      </c>
      <c r="Z5112" s="400" t="s">
        <v>176</v>
      </c>
      <c r="AA5112" s="402">
        <f t="shared" ref="AA5112" si="16522">IF(AA5113=0,(D5112*N5112+P5112*R5112)*U5112*Y5112,0)</f>
        <v>0</v>
      </c>
      <c r="AB5112" s="403"/>
    </row>
    <row r="5113" spans="1:28">
      <c r="A5113" s="384" t="str">
        <f t="shared" ref="A5113:B5113" si="16523">A5095</f>
        <v>Lantai 3</v>
      </c>
      <c r="B5113" s="385">
        <f t="shared" si="16523"/>
        <v>28</v>
      </c>
      <c r="C5113" s="393"/>
      <c r="D5113" s="398">
        <f t="shared" si="16331"/>
        <v>4</v>
      </c>
      <c r="E5113" s="388" t="s">
        <v>16</v>
      </c>
      <c r="F5113" s="388">
        <f t="shared" si="16332"/>
        <v>16</v>
      </c>
      <c r="G5113" s="388"/>
      <c r="H5113" s="395"/>
      <c r="I5113" s="388"/>
      <c r="J5113" s="396"/>
      <c r="K5113" s="396"/>
      <c r="L5113" s="404" t="s">
        <v>207</v>
      </c>
      <c r="M5113" s="399" t="s">
        <v>176</v>
      </c>
      <c r="N5113" s="399">
        <f t="shared" ref="N5113" si="16524">IF(AND(D5110=D5111,D5110=D5112,D5111=D5112,F5110=F5111,F5110=F5112,F5111=F5112),SUM(N5110:N5112),0)</f>
        <v>7.6340000000000003</v>
      </c>
      <c r="O5113" s="399" t="s">
        <v>204</v>
      </c>
      <c r="P5113" s="389">
        <f t="shared" ref="P5113" si="16525">IF(N5113&gt;12,ROUNDDOWN(N5113/12,0),0)</f>
        <v>0</v>
      </c>
      <c r="Q5113" s="399" t="s">
        <v>125</v>
      </c>
      <c r="R5113" s="399">
        <f t="shared" ref="R5113" si="16526">IF(P5113&gt;0,MAX(VLOOKUP(F5113,$D$6:$G$15,3,FALSE),600),0)/1000</f>
        <v>0</v>
      </c>
      <c r="S5113" s="396"/>
      <c r="T5113" s="396" t="s">
        <v>125</v>
      </c>
      <c r="U5113" s="401">
        <f t="shared" si="16336"/>
        <v>1.5782400000000001</v>
      </c>
      <c r="V5113" s="396" t="s">
        <v>125</v>
      </c>
      <c r="W5113" s="399">
        <f t="shared" ref="W5113" si="16527">D5113</f>
        <v>4</v>
      </c>
      <c r="X5113" s="399" t="s">
        <v>125</v>
      </c>
      <c r="Y5113" s="389">
        <f t="shared" si="16338"/>
        <v>1</v>
      </c>
      <c r="Z5113" s="400" t="s">
        <v>176</v>
      </c>
      <c r="AA5113" s="402">
        <f t="shared" ref="AA5113" si="16528">(N5113+P5113*R5113/1000)*U5113*W5113*Y5113</f>
        <v>48.193136640000006</v>
      </c>
      <c r="AB5113" s="403"/>
    </row>
    <row r="5114" spans="1:28">
      <c r="A5114" s="384"/>
      <c r="B5114" s="385"/>
      <c r="C5114" s="393"/>
      <c r="D5114" s="394"/>
      <c r="E5114" s="388"/>
      <c r="F5114" s="388"/>
      <c r="G5114" s="388"/>
      <c r="H5114" s="395"/>
      <c r="I5114" s="388"/>
      <c r="J5114" s="399"/>
      <c r="K5114" s="396"/>
      <c r="L5114" s="396"/>
      <c r="M5114" s="396"/>
      <c r="N5114" s="396"/>
      <c r="O5114" s="396"/>
      <c r="P5114" s="389"/>
      <c r="Q5114" s="396"/>
      <c r="R5114" s="396"/>
      <c r="S5114" s="396"/>
      <c r="T5114" s="396"/>
      <c r="U5114" s="401"/>
      <c r="V5114" s="396"/>
      <c r="W5114" s="388"/>
      <c r="X5114" s="396"/>
      <c r="Y5114" s="389"/>
      <c r="Z5114" s="396"/>
      <c r="AA5114" s="388"/>
      <c r="AB5114" s="390"/>
    </row>
    <row r="5115" spans="1:28">
      <c r="A5115" s="384" t="str">
        <f t="shared" ref="A5115:B5115" si="16529">A5095</f>
        <v>Lantai 3</v>
      </c>
      <c r="B5115" s="385">
        <f t="shared" si="16529"/>
        <v>28</v>
      </c>
      <c r="C5115" s="393" t="s">
        <v>211</v>
      </c>
      <c r="D5115" s="398">
        <f>VLOOKUP(D5095,'Detail Balok'!$C$10:$AU$140,31,FALSE)</f>
        <v>0</v>
      </c>
      <c r="E5115" s="388" t="s">
        <v>16</v>
      </c>
      <c r="F5115" s="388">
        <f>VLOOKUP(D5095,'Detail Balok'!$C$10:$AU$140,33,FALSE)</f>
        <v>10</v>
      </c>
      <c r="G5115" s="405" t="s">
        <v>157</v>
      </c>
      <c r="H5115" s="395">
        <f>VLOOKUP(D5095,'Detail Balok'!$C$10:$AU$140,35,FALSE)</f>
        <v>150</v>
      </c>
      <c r="I5115" s="388"/>
      <c r="J5115" s="400">
        <f t="shared" ref="J5115" si="16530">(IF(D5115=0,(2*(D5096+G5096))-(F$5*8),IF(D5115=3,(2*(D5096+G5096))-(F$5*8)+(G5096-2*F$5),IF(D5115=4,(2*(D5096+G5096))-(F$5*8)+2*(G5096-2*F$5)))))/1000</f>
        <v>1.08</v>
      </c>
      <c r="K5115" s="400" t="s">
        <v>204</v>
      </c>
      <c r="L5115" s="399">
        <f t="shared" ref="L5115:L5117" si="16531">IF(D5115=0,2*MAX(6*F5115,75),(D5115-1)*2*MAX(6*F5115,75))/1000</f>
        <v>0.15</v>
      </c>
      <c r="M5115" s="399" t="s">
        <v>176</v>
      </c>
      <c r="N5115" s="399">
        <f t="shared" ref="N5115:N5117" si="16532">J5115+L5115</f>
        <v>1.23</v>
      </c>
      <c r="O5115" s="399"/>
      <c r="P5115" s="389"/>
      <c r="Q5115" s="399"/>
      <c r="R5115" s="399"/>
      <c r="S5115" s="399"/>
      <c r="T5115" s="399" t="s">
        <v>125</v>
      </c>
      <c r="U5115" s="401">
        <f t="shared" ref="U5115:U5117" si="16533">0.006165*F5115^2</f>
        <v>0.61650000000000005</v>
      </c>
      <c r="V5115" s="399" t="s">
        <v>125</v>
      </c>
      <c r="W5115" s="399">
        <f t="shared" ref="W5115" si="16534">IF(D5098&gt;4*G5096,ROUND(MAX(D5098/4,2*G5096)/H5115,0)+1,ROUND(D5098/H5115,0)+1)</f>
        <v>13</v>
      </c>
      <c r="X5115" s="399" t="s">
        <v>125</v>
      </c>
      <c r="Y5115" s="389">
        <f t="shared" ref="Y5115" si="16535">D5101</f>
        <v>1</v>
      </c>
      <c r="Z5115" s="400" t="s">
        <v>176</v>
      </c>
      <c r="AA5115" s="402">
        <f t="shared" ref="AA5115:AA5117" si="16536">N5115*U5115*W5115*Y5115</f>
        <v>9.8578350000000015</v>
      </c>
      <c r="AB5115" s="403"/>
    </row>
    <row r="5116" spans="1:28">
      <c r="A5116" s="384" t="str">
        <f t="shared" ref="A5116:B5116" si="16537">A5095</f>
        <v>Lantai 3</v>
      </c>
      <c r="B5116" s="385">
        <f t="shared" si="16537"/>
        <v>28</v>
      </c>
      <c r="C5116" s="393" t="s">
        <v>212</v>
      </c>
      <c r="D5116" s="398">
        <f>VLOOKUP(D5095,'Detail Balok'!$C$10:$AU$140,36,FALSE)</f>
        <v>0</v>
      </c>
      <c r="E5116" s="388" t="s">
        <v>16</v>
      </c>
      <c r="F5116" s="388">
        <f>VLOOKUP(D5095,'Detail Balok'!$C$10:$AU$140,38,FALSE)</f>
        <v>10</v>
      </c>
      <c r="G5116" s="405" t="s">
        <v>157</v>
      </c>
      <c r="H5116" s="395">
        <f>VLOOKUP(D5095,'Detail Balok'!$C$10:$AU$140,40,FALSE)</f>
        <v>200</v>
      </c>
      <c r="I5116" s="388"/>
      <c r="J5116" s="400">
        <f t="shared" ref="J5116" si="16538">(IF(D5116=0,(2*(D5096+G5096))-(F$5*8),IF(D5116=3,(2*(D5096+G5096))-(F$5*8)+(G5096-2*F$5),IF(D5116=4,(2*(D5096+G5096))-(F$5*8)+2*(G5096-2*F$5)))))/1000</f>
        <v>1.08</v>
      </c>
      <c r="K5116" s="400" t="s">
        <v>204</v>
      </c>
      <c r="L5116" s="399">
        <f t="shared" si="16531"/>
        <v>0.15</v>
      </c>
      <c r="M5116" s="399" t="s">
        <v>176</v>
      </c>
      <c r="N5116" s="399">
        <f t="shared" si="16532"/>
        <v>1.23</v>
      </c>
      <c r="O5116" s="399"/>
      <c r="P5116" s="389"/>
      <c r="Q5116" s="399"/>
      <c r="R5116" s="399"/>
      <c r="S5116" s="399"/>
      <c r="T5116" s="399" t="s">
        <v>125</v>
      </c>
      <c r="U5116" s="401">
        <f t="shared" si="16533"/>
        <v>0.61650000000000005</v>
      </c>
      <c r="V5116" s="399" t="s">
        <v>125</v>
      </c>
      <c r="W5116" s="399">
        <f t="shared" ref="W5116" si="16539">IF(D5098-MAX(D5098/4,2*G5096)*2&gt;0,ROUND((D5098-MAX(D5098/4,2*G5096)*2)/H5116,0),0)</f>
        <v>18</v>
      </c>
      <c r="X5116" s="399" t="s">
        <v>125</v>
      </c>
      <c r="Y5116" s="389">
        <f t="shared" ref="Y5116" si="16540">D5101</f>
        <v>1</v>
      </c>
      <c r="Z5116" s="400" t="s">
        <v>176</v>
      </c>
      <c r="AA5116" s="402">
        <f t="shared" si="16536"/>
        <v>13.649310000000002</v>
      </c>
      <c r="AB5116" s="403"/>
    </row>
    <row r="5117" spans="1:28">
      <c r="A5117" s="384" t="str">
        <f t="shared" ref="A5117:B5117" si="16541">A5095</f>
        <v>Lantai 3</v>
      </c>
      <c r="B5117" s="385">
        <f t="shared" si="16541"/>
        <v>28</v>
      </c>
      <c r="C5117" s="393" t="s">
        <v>211</v>
      </c>
      <c r="D5117" s="398">
        <f>VLOOKUP(D5095,'Detail Balok'!$C$10:$AU$140,41,FALSE)</f>
        <v>0</v>
      </c>
      <c r="E5117" s="388" t="s">
        <v>16</v>
      </c>
      <c r="F5117" s="388">
        <f>VLOOKUP(D5095,'Detail Balok'!$C$10:$AU$140,43,FALSE)</f>
        <v>10</v>
      </c>
      <c r="G5117" s="405" t="s">
        <v>157</v>
      </c>
      <c r="H5117" s="395">
        <f>VLOOKUP(D5095,'Detail Balok'!$C$10:$AU$140,45,FALSE)</f>
        <v>150</v>
      </c>
      <c r="I5117" s="388"/>
      <c r="J5117" s="400">
        <f t="shared" ref="J5117" si="16542">(IF(D5117=0,(2*(D5096+G5096))-(F$5*8),IF(D5117=3,(2*(D5096+G5096))-(F$5*8)+(G5096-2*F$5),IF(D5117=4,(2*(D5096+G5096))-(F$5*8)+2*(G5096-2*F$5)))))/1000</f>
        <v>1.08</v>
      </c>
      <c r="K5117" s="400" t="s">
        <v>204</v>
      </c>
      <c r="L5117" s="399">
        <f t="shared" si="16531"/>
        <v>0.15</v>
      </c>
      <c r="M5117" s="399" t="s">
        <v>176</v>
      </c>
      <c r="N5117" s="399">
        <f t="shared" si="16532"/>
        <v>1.23</v>
      </c>
      <c r="O5117" s="399"/>
      <c r="P5117" s="389"/>
      <c r="Q5117" s="399"/>
      <c r="R5117" s="399"/>
      <c r="S5117" s="399"/>
      <c r="T5117" s="399" t="s">
        <v>125</v>
      </c>
      <c r="U5117" s="401">
        <f t="shared" si="16533"/>
        <v>0.61650000000000005</v>
      </c>
      <c r="V5117" s="399" t="s">
        <v>125</v>
      </c>
      <c r="W5117" s="399">
        <f t="shared" ref="W5117" si="16543">IF(D5098&gt;4*G5096,ROUND(MAX(D5098/4,2*G5096)/H5117,0)+1,0)</f>
        <v>13</v>
      </c>
      <c r="X5117" s="399" t="s">
        <v>125</v>
      </c>
      <c r="Y5117" s="389">
        <f t="shared" ref="Y5117" si="16544">D5101</f>
        <v>1</v>
      </c>
      <c r="Z5117" s="400" t="s">
        <v>176</v>
      </c>
      <c r="AA5117" s="402">
        <f t="shared" si="16536"/>
        <v>9.8578350000000015</v>
      </c>
      <c r="AB5117" s="403"/>
    </row>
    <row r="5118" spans="1:28">
      <c r="A5118" s="384"/>
      <c r="B5118" s="385"/>
      <c r="C5118" s="393"/>
      <c r="D5118" s="394"/>
      <c r="E5118" s="388"/>
      <c r="F5118" s="388"/>
      <c r="G5118" s="388"/>
      <c r="H5118" s="395"/>
      <c r="I5118" s="388"/>
      <c r="J5118" s="399"/>
      <c r="K5118" s="396"/>
      <c r="L5118" s="396"/>
      <c r="M5118" s="396"/>
      <c r="N5118" s="396"/>
      <c r="O5118" s="396"/>
      <c r="P5118" s="389"/>
      <c r="Q5118" s="396"/>
      <c r="R5118" s="396"/>
      <c r="S5118" s="396"/>
      <c r="T5118" s="396"/>
      <c r="U5118" s="401"/>
      <c r="V5118" s="396"/>
      <c r="W5118" s="388"/>
      <c r="X5118" s="396"/>
      <c r="Y5118" s="389"/>
      <c r="Z5118" s="396"/>
      <c r="AA5118" s="388"/>
      <c r="AB5118" s="390"/>
    </row>
    <row r="5119" spans="1:28">
      <c r="A5119" s="384" t="str">
        <f t="shared" ref="A5119:B5119" si="16545">A5095</f>
        <v>Lantai 3</v>
      </c>
      <c r="B5119" s="385">
        <f t="shared" si="16545"/>
        <v>28</v>
      </c>
      <c r="C5119" s="393" t="s">
        <v>213</v>
      </c>
      <c r="D5119" s="398">
        <f>VLOOKUP(D5095,'Detail Balok'!$C$10:$BJ$140,46,FALSE)</f>
        <v>0</v>
      </c>
      <c r="E5119" s="388" t="s">
        <v>16</v>
      </c>
      <c r="F5119" s="388">
        <f>VLOOKUP(D5095,'Detail Balok'!$C$10:$BJ$140,48,FALSE)</f>
        <v>0</v>
      </c>
      <c r="G5119" s="405" t="s">
        <v>157</v>
      </c>
      <c r="H5119" s="395">
        <f>VLOOKUP(D5095,'Detail Balok'!$C$10:$BJ$140,50,FALSE)</f>
        <v>100</v>
      </c>
      <c r="I5119" s="388"/>
      <c r="J5119" s="399">
        <f t="shared" ref="J5119" si="16546">(D5096-2*F$5)/1000</f>
        <v>0.12</v>
      </c>
      <c r="K5119" s="400" t="s">
        <v>204</v>
      </c>
      <c r="L5119" s="399">
        <f t="shared" ref="L5119:L5121" si="16547">IF(D5119=0,2*MAX(6*F5119,75),(D5119-1)*2*MAX(6*F5119,75))/1000</f>
        <v>0.15</v>
      </c>
      <c r="M5119" s="399" t="s">
        <v>176</v>
      </c>
      <c r="N5119" s="399">
        <f t="shared" ref="N5119:N5121" si="16548">J5119+L5119</f>
        <v>0.27</v>
      </c>
      <c r="O5119" s="399"/>
      <c r="P5119" s="399"/>
      <c r="Q5119" s="399"/>
      <c r="R5119" s="399"/>
      <c r="S5119" s="399"/>
      <c r="T5119" s="399" t="s">
        <v>125</v>
      </c>
      <c r="U5119" s="401">
        <f t="shared" ref="U5119:U5121" si="16549">0.006165*F5119^2</f>
        <v>0</v>
      </c>
      <c r="V5119" s="399" t="s">
        <v>125</v>
      </c>
      <c r="W5119" s="399">
        <f t="shared" si="16361"/>
        <v>13</v>
      </c>
      <c r="X5119" s="399" t="s">
        <v>125</v>
      </c>
      <c r="Y5119" s="389">
        <f t="shared" ref="Y5119" si="16550">D5105</f>
        <v>4</v>
      </c>
      <c r="Z5119" s="400" t="s">
        <v>176</v>
      </c>
      <c r="AA5119" s="402">
        <f t="shared" ref="AA5119:AA5121" si="16551">N5119*U5119*W5119*Y5119</f>
        <v>0</v>
      </c>
      <c r="AB5119" s="403"/>
    </row>
    <row r="5120" spans="1:28">
      <c r="A5120" s="384" t="str">
        <f t="shared" ref="A5120:B5120" si="16552">A5095</f>
        <v>Lantai 3</v>
      </c>
      <c r="B5120" s="385">
        <f t="shared" si="16552"/>
        <v>28</v>
      </c>
      <c r="C5120" s="393" t="s">
        <v>214</v>
      </c>
      <c r="D5120" s="398">
        <f>VLOOKUP(D5095,'Detail Balok'!$C$10:$BJ$140,51,FALSE)</f>
        <v>0</v>
      </c>
      <c r="E5120" s="388" t="s">
        <v>16</v>
      </c>
      <c r="F5120" s="388">
        <f>VLOOKUP(D5095,'Detail Balok'!$C$10:$BJ$140,53,FALSE)</f>
        <v>0</v>
      </c>
      <c r="G5120" s="405" t="s">
        <v>157</v>
      </c>
      <c r="H5120" s="395">
        <f>VLOOKUP(D5095,'Detail Balok'!$C$10:$BJ$140,55,FALSE)</f>
        <v>100</v>
      </c>
      <c r="I5120" s="388"/>
      <c r="J5120" s="399">
        <f t="shared" ref="J5120" si="16553">(D5096-2*F$5)/1000</f>
        <v>0.12</v>
      </c>
      <c r="K5120" s="400" t="s">
        <v>204</v>
      </c>
      <c r="L5120" s="399">
        <f t="shared" si="16547"/>
        <v>0.15</v>
      </c>
      <c r="M5120" s="399" t="s">
        <v>176</v>
      </c>
      <c r="N5120" s="399">
        <f t="shared" si="16548"/>
        <v>0.27</v>
      </c>
      <c r="O5120" s="399"/>
      <c r="P5120" s="399"/>
      <c r="Q5120" s="399"/>
      <c r="R5120" s="399"/>
      <c r="S5120" s="399"/>
      <c r="T5120" s="399" t="s">
        <v>125</v>
      </c>
      <c r="U5120" s="401">
        <f t="shared" si="16549"/>
        <v>0</v>
      </c>
      <c r="V5120" s="399" t="s">
        <v>125</v>
      </c>
      <c r="W5120" s="399">
        <f t="shared" si="16361"/>
        <v>18</v>
      </c>
      <c r="X5120" s="399" t="s">
        <v>125</v>
      </c>
      <c r="Y5120" s="389">
        <f t="shared" ref="Y5120" si="16554">D5105</f>
        <v>4</v>
      </c>
      <c r="Z5120" s="400" t="s">
        <v>176</v>
      </c>
      <c r="AA5120" s="402">
        <f t="shared" si="16551"/>
        <v>0</v>
      </c>
      <c r="AB5120" s="403"/>
    </row>
    <row r="5121" spans="1:28">
      <c r="A5121" s="384" t="str">
        <f t="shared" ref="A5121:B5121" si="16555">A5095</f>
        <v>Lantai 3</v>
      </c>
      <c r="B5121" s="385">
        <f t="shared" si="16555"/>
        <v>28</v>
      </c>
      <c r="C5121" s="393" t="s">
        <v>213</v>
      </c>
      <c r="D5121" s="398">
        <f>VLOOKUP(D5095,'Detail Balok'!$C$10:$BJ$140,56,FALSE)</f>
        <v>0</v>
      </c>
      <c r="E5121" s="388" t="s">
        <v>16</v>
      </c>
      <c r="F5121" s="388">
        <f>VLOOKUP(D5095,'Detail Balok'!$C$10:$BJ$140,58,FALSE)</f>
        <v>0</v>
      </c>
      <c r="G5121" s="405" t="s">
        <v>157</v>
      </c>
      <c r="H5121" s="395">
        <f>VLOOKUP(D5095,'Detail Balok'!$C$10:$BJ$140,60,FALSE)</f>
        <v>100</v>
      </c>
      <c r="I5121" s="388"/>
      <c r="J5121" s="399">
        <f t="shared" ref="J5121" si="16556">(D5096-2*F$5)/1000</f>
        <v>0.12</v>
      </c>
      <c r="K5121" s="400" t="s">
        <v>204</v>
      </c>
      <c r="L5121" s="399">
        <f t="shared" si="16547"/>
        <v>0.15</v>
      </c>
      <c r="M5121" s="399" t="s">
        <v>176</v>
      </c>
      <c r="N5121" s="399">
        <f t="shared" si="16548"/>
        <v>0.27</v>
      </c>
      <c r="O5121" s="399"/>
      <c r="P5121" s="399"/>
      <c r="Q5121" s="399"/>
      <c r="R5121" s="399"/>
      <c r="S5121" s="399"/>
      <c r="T5121" s="399" t="s">
        <v>125</v>
      </c>
      <c r="U5121" s="401">
        <f t="shared" si="16549"/>
        <v>0</v>
      </c>
      <c r="V5121" s="399" t="s">
        <v>125</v>
      </c>
      <c r="W5121" s="399">
        <f t="shared" si="16361"/>
        <v>13</v>
      </c>
      <c r="X5121" s="399" t="s">
        <v>125</v>
      </c>
      <c r="Y5121" s="389">
        <f t="shared" ref="Y5121" si="16557">D5105</f>
        <v>4</v>
      </c>
      <c r="Z5121" s="400" t="s">
        <v>176</v>
      </c>
      <c r="AA5121" s="402">
        <f t="shared" si="16551"/>
        <v>0</v>
      </c>
      <c r="AB5121" s="403"/>
    </row>
    <row r="5122" spans="1:28">
      <c r="A5122" s="391"/>
      <c r="B5122" s="392"/>
      <c r="C5122" s="392"/>
      <c r="D5122" s="394"/>
      <c r="E5122" s="388"/>
      <c r="F5122" s="388"/>
      <c r="G5122" s="388"/>
      <c r="H5122" s="395"/>
      <c r="I5122" s="388"/>
      <c r="J5122" s="402"/>
      <c r="K5122" s="388"/>
      <c r="L5122" s="388"/>
      <c r="M5122" s="388"/>
      <c r="N5122" s="388"/>
      <c r="O5122" s="388"/>
      <c r="P5122" s="388"/>
      <c r="Q5122" s="388"/>
      <c r="R5122" s="388"/>
      <c r="S5122" s="388"/>
      <c r="T5122" s="388"/>
      <c r="U5122" s="388"/>
      <c r="V5122" s="388"/>
      <c r="W5122" s="388"/>
      <c r="X5122" s="388"/>
      <c r="Y5122" s="389"/>
      <c r="Z5122" s="388"/>
      <c r="AA5122" s="402"/>
      <c r="AB5122" s="403"/>
    </row>
    <row r="5123" spans="1:28" ht="15.75" thickBot="1">
      <c r="A5123" s="406"/>
      <c r="B5123" s="407"/>
      <c r="C5123" s="407"/>
      <c r="D5123" s="408"/>
      <c r="E5123" s="409"/>
      <c r="F5123" s="409"/>
      <c r="G5123" s="409"/>
      <c r="H5123" s="410"/>
      <c r="I5123" s="409"/>
      <c r="J5123" s="409"/>
      <c r="K5123" s="409"/>
      <c r="L5123" s="409"/>
      <c r="M5123" s="409"/>
      <c r="N5123" s="409"/>
      <c r="O5123" s="409"/>
      <c r="P5123" s="409"/>
      <c r="Q5123" s="409"/>
      <c r="R5123" s="409"/>
      <c r="S5123" s="409"/>
      <c r="T5123" s="409"/>
      <c r="U5123" s="409"/>
      <c r="V5123" s="409"/>
      <c r="W5123" s="409"/>
      <c r="X5123" s="409"/>
      <c r="Y5123" s="411"/>
      <c r="Z5123" s="409"/>
      <c r="AA5123" s="412"/>
      <c r="AB5123" s="413"/>
    </row>
    <row r="5124" spans="1:28">
      <c r="A5124" s="377"/>
      <c r="B5124" s="378"/>
      <c r="C5124" s="378"/>
      <c r="D5124" s="379"/>
      <c r="E5124" s="380"/>
      <c r="F5124" s="380"/>
      <c r="G5124" s="380"/>
      <c r="H5124" s="381"/>
      <c r="I5124" s="380"/>
      <c r="J5124" s="380"/>
      <c r="K5124" s="380"/>
      <c r="L5124" s="380"/>
      <c r="M5124" s="380"/>
      <c r="N5124" s="380"/>
      <c r="O5124" s="380"/>
      <c r="P5124" s="380"/>
      <c r="Q5124" s="380"/>
      <c r="R5124" s="380"/>
      <c r="S5124" s="380"/>
      <c r="T5124" s="380"/>
      <c r="U5124" s="380"/>
      <c r="V5124" s="380"/>
      <c r="W5124" s="380"/>
      <c r="X5124" s="380"/>
      <c r="Y5124" s="382"/>
      <c r="Z5124" s="380"/>
      <c r="AA5124" s="380"/>
      <c r="AB5124" s="383"/>
    </row>
    <row r="5125" spans="1:28">
      <c r="A5125" s="384" t="str">
        <f t="shared" si="16370"/>
        <v>Lantai 3</v>
      </c>
      <c r="B5125" s="385">
        <f t="shared" si="16371"/>
        <v>29</v>
      </c>
      <c r="C5125" s="386" t="str">
        <f t="shared" ref="C5125" si="16558">CONCATENATE(A5125," no. ",B5125)</f>
        <v>Lantai 3 no. 29</v>
      </c>
      <c r="D5125" s="2562" t="str">
        <f>VLOOKUP(C5125,'Data Panjang Balok'!$C$9:$N$254,2,FALSE)</f>
        <v>B26-1</v>
      </c>
      <c r="E5125" s="2576"/>
      <c r="F5125" s="2576"/>
      <c r="G5125" s="2576"/>
      <c r="H5125" s="2577"/>
      <c r="I5125" s="387"/>
      <c r="J5125" s="388"/>
      <c r="K5125" s="388"/>
      <c r="L5125" s="388"/>
      <c r="M5125" s="388"/>
      <c r="N5125" s="388"/>
      <c r="O5125" s="388"/>
      <c r="P5125" s="388"/>
      <c r="Q5125" s="388"/>
      <c r="R5125" s="388"/>
      <c r="S5125" s="388"/>
      <c r="T5125" s="388"/>
      <c r="U5125" s="388"/>
      <c r="V5125" s="388"/>
      <c r="W5125" s="388"/>
      <c r="X5125" s="388"/>
      <c r="Y5125" s="389"/>
      <c r="Z5125" s="388"/>
      <c r="AA5125" s="388"/>
      <c r="AB5125" s="390"/>
    </row>
    <row r="5126" spans="1:28">
      <c r="A5126" s="391"/>
      <c r="B5126" s="392"/>
      <c r="C5126" s="393" t="s">
        <v>118</v>
      </c>
      <c r="D5126" s="2578">
        <f>VLOOKUP(D5125,'Detail Balok'!$C$10:$AU$140,2,FALSE)</f>
        <v>200</v>
      </c>
      <c r="E5126" s="2579"/>
      <c r="F5126" s="388" t="s">
        <v>125</v>
      </c>
      <c r="G5126" s="2579">
        <f>VLOOKUP(D5125,'Detail Balok'!$C$10:$AU$140,3,FALSE)</f>
        <v>600</v>
      </c>
      <c r="H5126" s="2580"/>
      <c r="I5126" s="388"/>
      <c r="J5126" s="396"/>
      <c r="K5126" s="396"/>
      <c r="L5126" s="396"/>
      <c r="M5126" s="396"/>
      <c r="N5126" s="396"/>
      <c r="O5126" s="396"/>
      <c r="P5126" s="396"/>
      <c r="Q5126" s="396"/>
      <c r="R5126" s="396"/>
      <c r="S5126" s="396"/>
      <c r="T5126" s="396"/>
      <c r="U5126" s="388"/>
      <c r="V5126" s="396"/>
      <c r="W5126" s="388"/>
      <c r="X5126" s="396"/>
      <c r="Y5126" s="389"/>
      <c r="Z5126" s="396"/>
      <c r="AA5126" s="388"/>
      <c r="AB5126" s="390"/>
    </row>
    <row r="5127" spans="1:28">
      <c r="A5127" s="391"/>
      <c r="B5127" s="392"/>
      <c r="C5127" s="393" t="s">
        <v>198</v>
      </c>
      <c r="D5127" s="2562">
        <f>VLOOKUP(C5125,'Data Panjang Balok'!$C$9:$N$254,4,FALSE)</f>
        <v>6075</v>
      </c>
      <c r="E5127" s="2563"/>
      <c r="F5127" s="2563"/>
      <c r="G5127" s="2563"/>
      <c r="H5127" s="2564"/>
      <c r="I5127" s="397"/>
      <c r="J5127" s="396"/>
      <c r="K5127" s="396"/>
      <c r="L5127" s="396"/>
      <c r="M5127" s="396"/>
      <c r="N5127" s="396"/>
      <c r="O5127" s="396"/>
      <c r="P5127" s="396"/>
      <c r="Q5127" s="396"/>
      <c r="R5127" s="396"/>
      <c r="S5127" s="396"/>
      <c r="T5127" s="396"/>
      <c r="U5127" s="388"/>
      <c r="V5127" s="396"/>
      <c r="W5127" s="388"/>
      <c r="X5127" s="396"/>
      <c r="Y5127" s="389"/>
      <c r="Z5127" s="396"/>
      <c r="AA5127" s="388"/>
      <c r="AB5127" s="390"/>
    </row>
    <row r="5128" spans="1:28">
      <c r="A5128" s="391"/>
      <c r="B5128" s="392"/>
      <c r="C5128" s="393" t="s">
        <v>199</v>
      </c>
      <c r="D5128" s="2562">
        <f>VLOOKUP(C5125,'Data Panjang Balok'!$C$9:$N$254,7,FALSE)</f>
        <v>6075</v>
      </c>
      <c r="E5128" s="2563"/>
      <c r="F5128" s="2563"/>
      <c r="G5128" s="2563"/>
      <c r="H5128" s="2564"/>
      <c r="I5128" s="397"/>
      <c r="J5128" s="396"/>
      <c r="K5128" s="396"/>
      <c r="L5128" s="396"/>
      <c r="M5128" s="396"/>
      <c r="N5128" s="396"/>
      <c r="O5128" s="396"/>
      <c r="P5128" s="396"/>
      <c r="Q5128" s="396"/>
      <c r="R5128" s="396"/>
      <c r="S5128" s="396"/>
      <c r="T5128" s="396"/>
      <c r="U5128" s="388"/>
      <c r="V5128" s="396"/>
      <c r="W5128" s="388"/>
      <c r="X5128" s="396"/>
      <c r="Y5128" s="389"/>
      <c r="Z5128" s="396"/>
      <c r="AA5128" s="388"/>
      <c r="AB5128" s="390"/>
    </row>
    <row r="5129" spans="1:28">
      <c r="A5129" s="391"/>
      <c r="B5129" s="392"/>
      <c r="C5129" s="393" t="s">
        <v>200</v>
      </c>
      <c r="D5129" s="2562">
        <f>VLOOKUP(C5125,'Data Panjang Balok'!$C$9:$N$254,9,FALSE)</f>
        <v>0</v>
      </c>
      <c r="E5129" s="2563"/>
      <c r="F5129" s="2563"/>
      <c r="G5129" s="2563"/>
      <c r="H5129" s="2564"/>
      <c r="I5129" s="397"/>
      <c r="J5129" s="396"/>
      <c r="K5129" s="396"/>
      <c r="L5129" s="396"/>
      <c r="M5129" s="396"/>
      <c r="N5129" s="396"/>
      <c r="O5129" s="396"/>
      <c r="P5129" s="396"/>
      <c r="Q5129" s="396"/>
      <c r="R5129" s="396"/>
      <c r="S5129" s="396"/>
      <c r="T5129" s="396"/>
      <c r="U5129" s="388"/>
      <c r="V5129" s="396"/>
      <c r="W5129" s="388"/>
      <c r="X5129" s="396"/>
      <c r="Y5129" s="389"/>
      <c r="Z5129" s="396"/>
      <c r="AA5129" s="388"/>
      <c r="AB5129" s="390"/>
    </row>
    <row r="5130" spans="1:28">
      <c r="A5130" s="391"/>
      <c r="B5130" s="392"/>
      <c r="C5130" s="393" t="s">
        <v>201</v>
      </c>
      <c r="D5130" s="2562">
        <f>VLOOKUP(C5125,'Data Panjang Balok'!$C$9:$N$254,10,FALSE)</f>
        <v>0</v>
      </c>
      <c r="E5130" s="2563"/>
      <c r="F5130" s="2563"/>
      <c r="G5130" s="2563"/>
      <c r="H5130" s="2564"/>
      <c r="I5130" s="397"/>
      <c r="J5130" s="396"/>
      <c r="K5130" s="396"/>
      <c r="L5130" s="396"/>
      <c r="M5130" s="396"/>
      <c r="N5130" s="396"/>
      <c r="O5130" s="396"/>
      <c r="P5130" s="396"/>
      <c r="Q5130" s="396"/>
      <c r="R5130" s="396"/>
      <c r="S5130" s="396"/>
      <c r="T5130" s="396"/>
      <c r="U5130" s="388"/>
      <c r="V5130" s="396"/>
      <c r="W5130" s="388"/>
      <c r="X5130" s="396"/>
      <c r="Y5130" s="389"/>
      <c r="Z5130" s="396"/>
      <c r="AA5130" s="388"/>
      <c r="AB5130" s="390"/>
    </row>
    <row r="5131" spans="1:28">
      <c r="A5131" s="391"/>
      <c r="B5131" s="392"/>
      <c r="C5131" s="393" t="s">
        <v>48</v>
      </c>
      <c r="D5131" s="2562">
        <f>VLOOKUP(C5125,'Data Panjang Balok'!$C$9:$N$254,3,FALSE)</f>
        <v>1</v>
      </c>
      <c r="E5131" s="2563"/>
      <c r="F5131" s="2563"/>
      <c r="G5131" s="2563"/>
      <c r="H5131" s="2564"/>
      <c r="I5131" s="397"/>
      <c r="J5131" s="396"/>
      <c r="K5131" s="396"/>
      <c r="L5131" s="396"/>
      <c r="M5131" s="396"/>
      <c r="N5131" s="396"/>
      <c r="O5131" s="396"/>
      <c r="P5131" s="396"/>
      <c r="Q5131" s="396"/>
      <c r="R5131" s="396"/>
      <c r="S5131" s="396"/>
      <c r="T5131" s="396"/>
      <c r="U5131" s="388"/>
      <c r="V5131" s="396"/>
      <c r="W5131" s="388"/>
      <c r="X5131" s="396"/>
      <c r="Y5131" s="389"/>
      <c r="Z5131" s="396"/>
      <c r="AA5131" s="388"/>
      <c r="AB5131" s="390"/>
    </row>
    <row r="5132" spans="1:28">
      <c r="A5132" s="384" t="str">
        <f t="shared" ref="A5132:B5132" si="16559">A5125</f>
        <v>Lantai 3</v>
      </c>
      <c r="B5132" s="385">
        <f t="shared" si="16559"/>
        <v>29</v>
      </c>
      <c r="C5132" s="393" t="s">
        <v>202</v>
      </c>
      <c r="D5132" s="398">
        <f>VLOOKUP(D5125,'Detail Balok'!$C$10:$AU$140,4,FALSE)</f>
        <v>4</v>
      </c>
      <c r="E5132" s="388" t="s">
        <v>16</v>
      </c>
      <c r="F5132" s="388">
        <f>VLOOKUP(D5125,'Detail Balok'!$C$10:$AU$140,6,FALSE)</f>
        <v>16</v>
      </c>
      <c r="G5132" s="388"/>
      <c r="H5132" s="395"/>
      <c r="I5132" s="388" t="s">
        <v>203</v>
      </c>
      <c r="J5132" s="399">
        <f t="shared" ref="J5132" si="16560">+D5127/4/1000</f>
        <v>1.51875</v>
      </c>
      <c r="K5132" s="400" t="s">
        <v>204</v>
      </c>
      <c r="L5132" s="399">
        <f t="shared" ref="L5132" si="16561">MAX(VLOOKUP(F5132,N$6:P$15,3,FALSE)/1000,2/3*D5129/1000)+F$16*F5132/1000</f>
        <v>0.192</v>
      </c>
      <c r="M5132" s="399" t="s">
        <v>176</v>
      </c>
      <c r="N5132" s="399">
        <f t="shared" ref="N5132:N5134" si="16562">J5132+L5132</f>
        <v>1.71075</v>
      </c>
      <c r="O5132" s="399" t="s">
        <v>204</v>
      </c>
      <c r="P5132" s="389">
        <f t="shared" ref="P5132" si="16563">D5132-D5133</f>
        <v>1</v>
      </c>
      <c r="Q5132" s="399" t="s">
        <v>125</v>
      </c>
      <c r="R5132" s="399">
        <f t="shared" ref="R5132" si="16564">IF(P5132&gt;0,$F$18*F5132/1000,0)</f>
        <v>0.24</v>
      </c>
      <c r="S5132" s="399" t="s">
        <v>205</v>
      </c>
      <c r="T5132" s="399" t="s">
        <v>125</v>
      </c>
      <c r="U5132" s="401">
        <f t="shared" ref="U5132:U5134" si="16565">0.006165*F5132^2</f>
        <v>1.5782400000000001</v>
      </c>
      <c r="V5132" s="399"/>
      <c r="W5132" s="399"/>
      <c r="X5132" s="399" t="s">
        <v>125</v>
      </c>
      <c r="Y5132" s="389">
        <f t="shared" ref="Y5132" si="16566">D5131</f>
        <v>1</v>
      </c>
      <c r="Z5132" s="400" t="s">
        <v>176</v>
      </c>
      <c r="AA5132" s="402">
        <f t="shared" ref="AA5132" si="16567">IF(AA5135=0,(D5132*N5132+P5132*R5132)*U5132*Y5132,0)</f>
        <v>11.178673920000001</v>
      </c>
      <c r="AB5132" s="403"/>
    </row>
    <row r="5133" spans="1:28">
      <c r="A5133" s="384" t="str">
        <f t="shared" ref="A5133:B5133" si="16568">A5125</f>
        <v>Lantai 3</v>
      </c>
      <c r="B5133" s="385">
        <f t="shared" si="16568"/>
        <v>29</v>
      </c>
      <c r="C5133" s="393" t="s">
        <v>206</v>
      </c>
      <c r="D5133" s="398">
        <f>VLOOKUP(D5125,'Detail Balok'!$C$10:$AU$140,7,FALSE)</f>
        <v>3</v>
      </c>
      <c r="E5133" s="388" t="s">
        <v>16</v>
      </c>
      <c r="F5133" s="388">
        <f>VLOOKUP(D5125,'Detail Balok'!$C$10:$AU$140,9,FALSE)</f>
        <v>16</v>
      </c>
      <c r="G5133" s="388"/>
      <c r="H5133" s="395"/>
      <c r="I5133" s="388" t="s">
        <v>203</v>
      </c>
      <c r="J5133" s="399">
        <f t="shared" ref="J5133" si="16569">+D5127/2/1000</f>
        <v>3.0375000000000001</v>
      </c>
      <c r="K5133" s="400" t="s">
        <v>204</v>
      </c>
      <c r="L5133" s="399"/>
      <c r="M5133" s="399" t="s">
        <v>176</v>
      </c>
      <c r="N5133" s="399">
        <f t="shared" si="16562"/>
        <v>3.0375000000000001</v>
      </c>
      <c r="O5133" s="399" t="s">
        <v>204</v>
      </c>
      <c r="P5133" s="389">
        <f t="shared" ref="P5133" si="16570">MAX(D5133-D5132,D5133-D5134)</f>
        <v>-1</v>
      </c>
      <c r="Q5133" s="399" t="s">
        <v>125</v>
      </c>
      <c r="R5133" s="399">
        <f t="shared" ref="R5133" si="16571">IF(P5133&gt;0,2*(1-2*$F$19-1/2)*D5128/1000,0)</f>
        <v>0</v>
      </c>
      <c r="S5133" s="399" t="s">
        <v>205</v>
      </c>
      <c r="T5133" s="399" t="s">
        <v>125</v>
      </c>
      <c r="U5133" s="401">
        <f t="shared" si="16565"/>
        <v>1.5782400000000001</v>
      </c>
      <c r="V5133" s="399"/>
      <c r="W5133" s="399"/>
      <c r="X5133" s="399" t="s">
        <v>125</v>
      </c>
      <c r="Y5133" s="389">
        <f t="shared" ref="Y5133" si="16572">D5131</f>
        <v>1</v>
      </c>
      <c r="Z5133" s="400" t="s">
        <v>176</v>
      </c>
      <c r="AA5133" s="402">
        <f t="shared" ref="AA5133" si="16573">IF(AA5135=0,(D5133*N5133+P5133*R5133)*U5133*Y5133,0)</f>
        <v>14.381712000000002</v>
      </c>
      <c r="AB5133" s="403"/>
    </row>
    <row r="5134" spans="1:28">
      <c r="A5134" s="384" t="str">
        <f t="shared" ref="A5134:B5134" si="16574">A5125</f>
        <v>Lantai 3</v>
      </c>
      <c r="B5134" s="385">
        <f t="shared" si="16574"/>
        <v>29</v>
      </c>
      <c r="C5134" s="393" t="s">
        <v>202</v>
      </c>
      <c r="D5134" s="398">
        <f>VLOOKUP(D5125,'Detail Balok'!$C$10:$AU$140,10,FALSE)</f>
        <v>4</v>
      </c>
      <c r="E5134" s="388" t="s">
        <v>16</v>
      </c>
      <c r="F5134" s="388">
        <f>VLOOKUP(D5125,'Detail Balok'!$C$10:$AU$140,12,FALSE)</f>
        <v>16</v>
      </c>
      <c r="G5134" s="388"/>
      <c r="H5134" s="395"/>
      <c r="I5134" s="388" t="s">
        <v>203</v>
      </c>
      <c r="J5134" s="399">
        <f t="shared" ref="J5134" si="16575">+D5127/4/1000</f>
        <v>1.51875</v>
      </c>
      <c r="K5134" s="400" t="s">
        <v>204</v>
      </c>
      <c r="L5134" s="399">
        <f t="shared" ref="L5134" si="16576">MAX(VLOOKUP(F5134,N$6:P$15,3,FALSE)/1000,2/3*D5129/1000)+F$16*F5134/1000</f>
        <v>0.192</v>
      </c>
      <c r="M5134" s="399" t="s">
        <v>176</v>
      </c>
      <c r="N5134" s="399">
        <f t="shared" si="16562"/>
        <v>1.71075</v>
      </c>
      <c r="O5134" s="399" t="s">
        <v>204</v>
      </c>
      <c r="P5134" s="389">
        <f t="shared" ref="P5134" si="16577">D5134-D5133</f>
        <v>1</v>
      </c>
      <c r="Q5134" s="399" t="s">
        <v>125</v>
      </c>
      <c r="R5134" s="399">
        <f t="shared" ref="R5134" si="16578">IF(P5134&gt;0,$F$18*F5134/1000,0)</f>
        <v>0.24</v>
      </c>
      <c r="S5134" s="399" t="s">
        <v>205</v>
      </c>
      <c r="T5134" s="399" t="s">
        <v>125</v>
      </c>
      <c r="U5134" s="401">
        <f t="shared" si="16565"/>
        <v>1.5782400000000001</v>
      </c>
      <c r="V5134" s="399"/>
      <c r="W5134" s="399"/>
      <c r="X5134" s="399" t="s">
        <v>125</v>
      </c>
      <c r="Y5134" s="389">
        <f t="shared" ref="Y5134" si="16579">D5131</f>
        <v>1</v>
      </c>
      <c r="Z5134" s="400" t="s">
        <v>176</v>
      </c>
      <c r="AA5134" s="402">
        <f t="shared" ref="AA5134" si="16580">IF(AA5135=0,(D5134*N5134+P5134*R5134)*U5134*Y5134,0)</f>
        <v>11.178673920000001</v>
      </c>
      <c r="AB5134" s="403"/>
    </row>
    <row r="5135" spans="1:28">
      <c r="A5135" s="384" t="str">
        <f t="shared" ref="A5135:B5135" si="16581">A5125</f>
        <v>Lantai 3</v>
      </c>
      <c r="B5135" s="385">
        <f t="shared" si="16581"/>
        <v>29</v>
      </c>
      <c r="C5135" s="393"/>
      <c r="D5135" s="398">
        <f t="shared" ref="D5135:D5195" si="16582">IF(AND(D5132=D5133,D5133=D5134,D5132=D5134),D5132,0)</f>
        <v>0</v>
      </c>
      <c r="E5135" s="388" t="s">
        <v>16</v>
      </c>
      <c r="F5135" s="388">
        <f t="shared" ref="F5135:F5195" si="16583">IF(AND(F5132=F5133,F5132=F5134,F5133=F5134),F5132,0)</f>
        <v>16</v>
      </c>
      <c r="G5135" s="388"/>
      <c r="H5135" s="395"/>
      <c r="I5135" s="388"/>
      <c r="J5135" s="396"/>
      <c r="K5135" s="396"/>
      <c r="L5135" s="404" t="s">
        <v>207</v>
      </c>
      <c r="M5135" s="399" t="s">
        <v>176</v>
      </c>
      <c r="N5135" s="399">
        <f t="shared" ref="N5135" si="16584">IF(AND(D5132=D5133,D5132=D5134,D5133=D5134,F5132=F5133,F5132=F5134,F5133=F5134),SUM(N5132:N5134),0)</f>
        <v>0</v>
      </c>
      <c r="O5135" s="399" t="s">
        <v>204</v>
      </c>
      <c r="P5135" s="389">
        <f t="shared" ref="P5135" si="16585">IF(N5135&gt;12,ROUNDDOWN(N5135/12,0),0)</f>
        <v>0</v>
      </c>
      <c r="Q5135" s="399" t="s">
        <v>125</v>
      </c>
      <c r="R5135" s="399">
        <f t="shared" ref="R5135" si="16586">IF(P5135&gt;0,MAX(VLOOKUP(F5135,$D$6:$G$15,3,FALSE),600),0)/1000</f>
        <v>0</v>
      </c>
      <c r="S5135" s="396"/>
      <c r="T5135" s="396" t="s">
        <v>125</v>
      </c>
      <c r="U5135" s="401">
        <f t="shared" ref="U5135:U5195" si="16587">U5134</f>
        <v>1.5782400000000001</v>
      </c>
      <c r="V5135" s="396" t="s">
        <v>125</v>
      </c>
      <c r="W5135" s="399">
        <f t="shared" ref="W5135" si="16588">D5135</f>
        <v>0</v>
      </c>
      <c r="X5135" s="399" t="s">
        <v>125</v>
      </c>
      <c r="Y5135" s="389">
        <f t="shared" ref="Y5135:Y5195" si="16589">Y5134</f>
        <v>1</v>
      </c>
      <c r="Z5135" s="400" t="s">
        <v>176</v>
      </c>
      <c r="AA5135" s="402">
        <f t="shared" ref="AA5135" si="16590">(N5135+P5135*R5135/1000)*U5135*W5135*Y5135</f>
        <v>0</v>
      </c>
      <c r="AB5135" s="390"/>
    </row>
    <row r="5136" spans="1:28">
      <c r="A5136" s="384"/>
      <c r="B5136" s="385"/>
      <c r="C5136" s="393"/>
      <c r="D5136" s="398"/>
      <c r="E5136" s="388"/>
      <c r="F5136" s="388"/>
      <c r="G5136" s="388"/>
      <c r="H5136" s="395"/>
      <c r="I5136" s="388"/>
      <c r="J5136" s="396"/>
      <c r="K5136" s="396"/>
      <c r="L5136" s="404"/>
      <c r="M5136" s="399"/>
      <c r="N5136" s="399"/>
      <c r="O5136" s="396"/>
      <c r="P5136" s="389"/>
      <c r="Q5136" s="396"/>
      <c r="R5136" s="396"/>
      <c r="S5136" s="396"/>
      <c r="T5136" s="396"/>
      <c r="U5136" s="401"/>
      <c r="V5136" s="396"/>
      <c r="W5136" s="399"/>
      <c r="X5136" s="396"/>
      <c r="Y5136" s="389"/>
      <c r="Z5136" s="396"/>
      <c r="AA5136" s="388"/>
      <c r="AB5136" s="390"/>
    </row>
    <row r="5137" spans="1:28">
      <c r="A5137" s="384" t="str">
        <f t="shared" ref="A5137:B5137" si="16591">A5125</f>
        <v>Lantai 3</v>
      </c>
      <c r="B5137" s="385">
        <f t="shared" si="16591"/>
        <v>29</v>
      </c>
      <c r="C5137" s="393" t="s">
        <v>208</v>
      </c>
      <c r="D5137" s="398">
        <f>VLOOKUP(D5125,'Detail Balok'!$C$10:$AU$140,13,FALSE)</f>
        <v>2</v>
      </c>
      <c r="E5137" s="388" t="s">
        <v>16</v>
      </c>
      <c r="F5137" s="388">
        <f>VLOOKUP(D5125,'Detail Balok'!$C$10:$AU$140,15,FALSE)</f>
        <v>10</v>
      </c>
      <c r="G5137" s="388"/>
      <c r="H5137" s="395"/>
      <c r="I5137" s="388"/>
      <c r="J5137" s="399">
        <f t="shared" ref="J5137" si="16592">+D5127/1000</f>
        <v>6.0750000000000002</v>
      </c>
      <c r="K5137" s="400" t="s">
        <v>204</v>
      </c>
      <c r="L5137" s="399">
        <f t="shared" ref="L5137" si="16593">2*$F$16*F5137/1000</f>
        <v>0.24</v>
      </c>
      <c r="M5137" s="399" t="s">
        <v>176</v>
      </c>
      <c r="N5137" s="399">
        <f t="shared" ref="N5137" si="16594">J5137+L5137</f>
        <v>6.3150000000000004</v>
      </c>
      <c r="O5137" s="399" t="s">
        <v>204</v>
      </c>
      <c r="P5137" s="389">
        <f t="shared" ref="P5137" si="16595">IF(N5137&gt;12,ROUNDDOWN(N5137/12,0),0)</f>
        <v>0</v>
      </c>
      <c r="Q5137" s="399" t="s">
        <v>125</v>
      </c>
      <c r="R5137" s="399">
        <f t="shared" ref="R5137" si="16596">IF(P5137&gt;0,MAX(VLOOKUP(F5137,$D$6:$G$15,3,FALSE),600),0)/1000</f>
        <v>0</v>
      </c>
      <c r="S5137" s="399"/>
      <c r="T5137" s="399" t="s">
        <v>125</v>
      </c>
      <c r="U5137" s="401">
        <f t="shared" ref="U5137" si="16597">0.006165*F5137^2</f>
        <v>0.61650000000000005</v>
      </c>
      <c r="V5137" s="399" t="s">
        <v>125</v>
      </c>
      <c r="W5137" s="399">
        <f t="shared" ref="W5137" si="16598">+D5137</f>
        <v>2</v>
      </c>
      <c r="X5137" s="399" t="s">
        <v>125</v>
      </c>
      <c r="Y5137" s="389">
        <f t="shared" ref="Y5137" si="16599">D5131</f>
        <v>1</v>
      </c>
      <c r="Z5137" s="400" t="s">
        <v>176</v>
      </c>
      <c r="AA5137" s="402">
        <f t="shared" ref="AA5137" si="16600">(N5137+P5137*R5137/1000)*U5137*W5137*Y5137</f>
        <v>7.7863950000000015</v>
      </c>
      <c r="AB5137" s="403"/>
    </row>
    <row r="5138" spans="1:28">
      <c r="A5138" s="384"/>
      <c r="B5138" s="385"/>
      <c r="C5138" s="393"/>
      <c r="D5138" s="398"/>
      <c r="E5138" s="388"/>
      <c r="F5138" s="388"/>
      <c r="G5138" s="388"/>
      <c r="H5138" s="395"/>
      <c r="I5138" s="388"/>
      <c r="J5138" s="399"/>
      <c r="K5138" s="400"/>
      <c r="L5138" s="399"/>
      <c r="M5138" s="399"/>
      <c r="N5138" s="399"/>
      <c r="O5138" s="399"/>
      <c r="P5138" s="389"/>
      <c r="Q5138" s="399"/>
      <c r="R5138" s="399"/>
      <c r="S5138" s="399"/>
      <c r="T5138" s="399"/>
      <c r="U5138" s="401"/>
      <c r="V5138" s="399"/>
      <c r="W5138" s="399"/>
      <c r="X5138" s="399"/>
      <c r="Y5138" s="389"/>
      <c r="Z5138" s="400"/>
      <c r="AA5138" s="402"/>
      <c r="AB5138" s="403"/>
    </row>
    <row r="5139" spans="1:28">
      <c r="A5139" s="384"/>
      <c r="B5139" s="385"/>
      <c r="C5139" s="393"/>
      <c r="D5139" s="398"/>
      <c r="E5139" s="388"/>
      <c r="F5139" s="388"/>
      <c r="G5139" s="388"/>
      <c r="H5139" s="395"/>
      <c r="I5139" s="388"/>
      <c r="J5139" s="396"/>
      <c r="K5139" s="396"/>
      <c r="L5139" s="396"/>
      <c r="M5139" s="396"/>
      <c r="N5139" s="396"/>
      <c r="O5139" s="396"/>
      <c r="P5139" s="389"/>
      <c r="Q5139" s="396"/>
      <c r="R5139" s="396"/>
      <c r="S5139" s="396"/>
      <c r="T5139" s="396"/>
      <c r="U5139" s="401"/>
      <c r="V5139" s="396"/>
      <c r="W5139" s="399"/>
      <c r="X5139" s="396"/>
      <c r="Y5139" s="389"/>
      <c r="Z5139" s="396"/>
      <c r="AA5139" s="388"/>
      <c r="AB5139" s="390"/>
    </row>
    <row r="5140" spans="1:28">
      <c r="A5140" s="384" t="str">
        <f t="shared" ref="A5140:B5140" si="16601">A5125</f>
        <v>Lantai 3</v>
      </c>
      <c r="B5140" s="385">
        <f t="shared" si="16601"/>
        <v>29</v>
      </c>
      <c r="C5140" s="393" t="s">
        <v>209</v>
      </c>
      <c r="D5140" s="398">
        <f>VLOOKUP(D5125,'Detail Balok'!$C$10:$AU$140,22,FALSE)</f>
        <v>3</v>
      </c>
      <c r="E5140" s="388" t="s">
        <v>16</v>
      </c>
      <c r="F5140" s="388">
        <f>VLOOKUP(D5125,'Detail Balok'!$C$10:$AU$140,24,FALSE)</f>
        <v>16</v>
      </c>
      <c r="G5140" s="388"/>
      <c r="H5140" s="395"/>
      <c r="I5140" s="388" t="s">
        <v>203</v>
      </c>
      <c r="J5140" s="399">
        <f t="shared" ref="J5140:J5202" si="16602">+J5132</f>
        <v>1.51875</v>
      </c>
      <c r="K5140" s="400" t="s">
        <v>204</v>
      </c>
      <c r="L5140" s="399">
        <f t="shared" ref="L5140" si="16603">MAX(VLOOKUP(F5140,N$6:P$15,3,FALSE)/1000,2/3*D5130/1000)+F$16*F5140/1000</f>
        <v>0.192</v>
      </c>
      <c r="M5140" s="399" t="s">
        <v>176</v>
      </c>
      <c r="N5140" s="399">
        <f t="shared" ref="N5140:N5142" si="16604">J5140+L5140</f>
        <v>1.71075</v>
      </c>
      <c r="O5140" s="399" t="s">
        <v>204</v>
      </c>
      <c r="P5140" s="389">
        <f t="shared" ref="P5140" si="16605">D5140-D5141</f>
        <v>-1</v>
      </c>
      <c r="Q5140" s="399" t="s">
        <v>125</v>
      </c>
      <c r="R5140" s="399">
        <f t="shared" ref="R5140" si="16606">IF(P5140&gt;0,$F$18*F5140/1000,0)</f>
        <v>0</v>
      </c>
      <c r="S5140" s="399" t="s">
        <v>205</v>
      </c>
      <c r="T5140" s="399" t="s">
        <v>125</v>
      </c>
      <c r="U5140" s="401">
        <f t="shared" ref="U5140:U5142" si="16607">0.006165*F5140^2</f>
        <v>1.5782400000000001</v>
      </c>
      <c r="V5140" s="399"/>
      <c r="W5140" s="399"/>
      <c r="X5140" s="399" t="s">
        <v>125</v>
      </c>
      <c r="Y5140" s="389">
        <f t="shared" ref="Y5140" si="16608">D5131</f>
        <v>1</v>
      </c>
      <c r="Z5140" s="400" t="s">
        <v>176</v>
      </c>
      <c r="AA5140" s="402">
        <f t="shared" ref="AA5140" si="16609">IF(AA5143=0,(D5140*N5140+P5140*R5140)*U5140*Y5140,0)</f>
        <v>8.0999222399999997</v>
      </c>
      <c r="AB5140" s="403"/>
    </row>
    <row r="5141" spans="1:28">
      <c r="A5141" s="384" t="str">
        <f t="shared" ref="A5141:B5141" si="16610">A5125</f>
        <v>Lantai 3</v>
      </c>
      <c r="B5141" s="385">
        <f t="shared" si="16610"/>
        <v>29</v>
      </c>
      <c r="C5141" s="393" t="s">
        <v>210</v>
      </c>
      <c r="D5141" s="398">
        <f>VLOOKUP(D5125,'Detail Balok'!$C$10:$AU$140,25,FALSE)</f>
        <v>4</v>
      </c>
      <c r="E5141" s="388" t="s">
        <v>16</v>
      </c>
      <c r="F5141" s="388">
        <f>VLOOKUP(D5125,'Detail Balok'!$C$10:$AU$140,27,FALSE)</f>
        <v>16</v>
      </c>
      <c r="G5141" s="388"/>
      <c r="H5141" s="395"/>
      <c r="I5141" s="388" t="s">
        <v>203</v>
      </c>
      <c r="J5141" s="399">
        <f t="shared" si="16602"/>
        <v>3.0375000000000001</v>
      </c>
      <c r="K5141" s="400" t="s">
        <v>204</v>
      </c>
      <c r="L5141" s="399"/>
      <c r="M5141" s="399" t="s">
        <v>176</v>
      </c>
      <c r="N5141" s="399">
        <f t="shared" si="16604"/>
        <v>3.0375000000000001</v>
      </c>
      <c r="O5141" s="399" t="s">
        <v>204</v>
      </c>
      <c r="P5141" s="389">
        <f t="shared" ref="P5141" si="16611">MAX(D5141-D5140,D5141-D5142)</f>
        <v>1</v>
      </c>
      <c r="Q5141" s="399" t="s">
        <v>125</v>
      </c>
      <c r="R5141" s="399">
        <f t="shared" ref="R5141" si="16612">IF(P5141&gt;0,2*(1-2*$F$19-1/2)*D5128/1000,0)</f>
        <v>1.2149999999999999</v>
      </c>
      <c r="S5141" s="399" t="s">
        <v>205</v>
      </c>
      <c r="T5141" s="399" t="s">
        <v>125</v>
      </c>
      <c r="U5141" s="401">
        <f t="shared" si="16607"/>
        <v>1.5782400000000001</v>
      </c>
      <c r="V5141" s="399"/>
      <c r="W5141" s="399"/>
      <c r="X5141" s="399" t="s">
        <v>125</v>
      </c>
      <c r="Y5141" s="389">
        <f t="shared" ref="Y5141" si="16613">D5131</f>
        <v>1</v>
      </c>
      <c r="Z5141" s="400" t="s">
        <v>176</v>
      </c>
      <c r="AA5141" s="402">
        <f t="shared" ref="AA5141" si="16614">IF(AA5143=0,(D5141*N5141+P5141*R5141)*U5141*Y5141,0)</f>
        <v>21.093177600000001</v>
      </c>
      <c r="AB5141" s="403"/>
    </row>
    <row r="5142" spans="1:28">
      <c r="A5142" s="384" t="str">
        <f t="shared" ref="A5142:B5142" si="16615">A5125</f>
        <v>Lantai 3</v>
      </c>
      <c r="B5142" s="385">
        <f t="shared" si="16615"/>
        <v>29</v>
      </c>
      <c r="C5142" s="393" t="s">
        <v>209</v>
      </c>
      <c r="D5142" s="398">
        <f>VLOOKUP(D5125,'Detail Balok'!$C$10:$AU$140,28,FALSE)</f>
        <v>3</v>
      </c>
      <c r="E5142" s="388" t="s">
        <v>16</v>
      </c>
      <c r="F5142" s="388">
        <f>VLOOKUP(D5125,'Detail Balok'!$C$10:$AU$140,30,FALSE)</f>
        <v>16</v>
      </c>
      <c r="G5142" s="388"/>
      <c r="H5142" s="395"/>
      <c r="I5142" s="388" t="s">
        <v>203</v>
      </c>
      <c r="J5142" s="399">
        <f t="shared" si="16602"/>
        <v>1.51875</v>
      </c>
      <c r="K5142" s="400" t="s">
        <v>204</v>
      </c>
      <c r="L5142" s="399">
        <f t="shared" ref="L5142" si="16616">MAX(VLOOKUP(F5142,N$6:P$15,3,FALSE)/1000,2/3*D5130/1000)+F$16*F5142/1000</f>
        <v>0.192</v>
      </c>
      <c r="M5142" s="399" t="s">
        <v>176</v>
      </c>
      <c r="N5142" s="399">
        <f t="shared" si="16604"/>
        <v>1.71075</v>
      </c>
      <c r="O5142" s="399" t="s">
        <v>204</v>
      </c>
      <c r="P5142" s="389">
        <f t="shared" ref="P5142" si="16617">D5142-D5141</f>
        <v>-1</v>
      </c>
      <c r="Q5142" s="399" t="s">
        <v>125</v>
      </c>
      <c r="R5142" s="399">
        <f t="shared" ref="R5142" si="16618">IF(P5142&gt;0,$F$18*F5142/1000,0)</f>
        <v>0</v>
      </c>
      <c r="S5142" s="399" t="s">
        <v>205</v>
      </c>
      <c r="T5142" s="399" t="s">
        <v>125</v>
      </c>
      <c r="U5142" s="401">
        <f t="shared" si="16607"/>
        <v>1.5782400000000001</v>
      </c>
      <c r="V5142" s="399"/>
      <c r="W5142" s="399"/>
      <c r="X5142" s="399" t="s">
        <v>125</v>
      </c>
      <c r="Y5142" s="389">
        <f t="shared" ref="Y5142" si="16619">D5131</f>
        <v>1</v>
      </c>
      <c r="Z5142" s="400" t="s">
        <v>176</v>
      </c>
      <c r="AA5142" s="402">
        <f t="shared" ref="AA5142" si="16620">IF(AA5143=0,(D5142*N5142+P5142*R5142)*U5142*Y5142,0)</f>
        <v>8.0999222399999997</v>
      </c>
      <c r="AB5142" s="403"/>
    </row>
    <row r="5143" spans="1:28">
      <c r="A5143" s="384" t="str">
        <f t="shared" ref="A5143:B5143" si="16621">A5125</f>
        <v>Lantai 3</v>
      </c>
      <c r="B5143" s="385">
        <f t="shared" si="16621"/>
        <v>29</v>
      </c>
      <c r="C5143" s="393"/>
      <c r="D5143" s="398">
        <f t="shared" ref="D5143:D5203" si="16622">IF(AND(D5140=D5141,D5141=D5142,D5140=D5142),D5140,0)</f>
        <v>0</v>
      </c>
      <c r="E5143" s="388" t="s">
        <v>16</v>
      </c>
      <c r="F5143" s="388">
        <f t="shared" ref="F5143:F5203" si="16623">IF(AND(F5140=F5141,F5140=F5142,F5141=F5142),F5140,0)</f>
        <v>16</v>
      </c>
      <c r="G5143" s="388"/>
      <c r="H5143" s="395"/>
      <c r="I5143" s="388"/>
      <c r="J5143" s="396"/>
      <c r="K5143" s="396"/>
      <c r="L5143" s="404" t="s">
        <v>207</v>
      </c>
      <c r="M5143" s="399" t="s">
        <v>176</v>
      </c>
      <c r="N5143" s="399">
        <f t="shared" ref="N5143" si="16624">IF(AND(D5140=D5141,D5140=D5142,D5141=D5142,F5140=F5141,F5140=F5142,F5141=F5142),SUM(N5140:N5142),0)</f>
        <v>0</v>
      </c>
      <c r="O5143" s="399" t="s">
        <v>204</v>
      </c>
      <c r="P5143" s="389">
        <f t="shared" ref="P5143" si="16625">IF(N5143&gt;12,ROUNDDOWN(N5143/12,0),0)</f>
        <v>0</v>
      </c>
      <c r="Q5143" s="399" t="s">
        <v>125</v>
      </c>
      <c r="R5143" s="399">
        <f t="shared" ref="R5143" si="16626">IF(P5143&gt;0,MAX(VLOOKUP(F5143,$D$6:$G$15,3,FALSE),600),0)/1000</f>
        <v>0</v>
      </c>
      <c r="S5143" s="396"/>
      <c r="T5143" s="396" t="s">
        <v>125</v>
      </c>
      <c r="U5143" s="401">
        <f t="shared" ref="U5143:U5203" si="16627">U5142</f>
        <v>1.5782400000000001</v>
      </c>
      <c r="V5143" s="396" t="s">
        <v>125</v>
      </c>
      <c r="W5143" s="399">
        <f t="shared" ref="W5143" si="16628">D5143</f>
        <v>0</v>
      </c>
      <c r="X5143" s="399" t="s">
        <v>125</v>
      </c>
      <c r="Y5143" s="389">
        <f t="shared" ref="Y5143:Y5203" si="16629">Y5142</f>
        <v>1</v>
      </c>
      <c r="Z5143" s="400" t="s">
        <v>176</v>
      </c>
      <c r="AA5143" s="402">
        <f t="shared" ref="AA5143" si="16630">(N5143+P5143*R5143/1000)*U5143*W5143*Y5143</f>
        <v>0</v>
      </c>
      <c r="AB5143" s="403"/>
    </row>
    <row r="5144" spans="1:28">
      <c r="A5144" s="384"/>
      <c r="B5144" s="385"/>
      <c r="C5144" s="393"/>
      <c r="D5144" s="394"/>
      <c r="E5144" s="388"/>
      <c r="F5144" s="388"/>
      <c r="G5144" s="388"/>
      <c r="H5144" s="395"/>
      <c r="I5144" s="388"/>
      <c r="J5144" s="399"/>
      <c r="K5144" s="396"/>
      <c r="L5144" s="396"/>
      <c r="M5144" s="396"/>
      <c r="N5144" s="396"/>
      <c r="O5144" s="396"/>
      <c r="P5144" s="389"/>
      <c r="Q5144" s="396"/>
      <c r="R5144" s="396"/>
      <c r="S5144" s="396"/>
      <c r="T5144" s="396"/>
      <c r="U5144" s="401"/>
      <c r="V5144" s="396"/>
      <c r="W5144" s="388"/>
      <c r="X5144" s="396"/>
      <c r="Y5144" s="389"/>
      <c r="Z5144" s="396"/>
      <c r="AA5144" s="388"/>
      <c r="AB5144" s="390"/>
    </row>
    <row r="5145" spans="1:28">
      <c r="A5145" s="384" t="str">
        <f t="shared" ref="A5145:B5145" si="16631">A5125</f>
        <v>Lantai 3</v>
      </c>
      <c r="B5145" s="385">
        <f t="shared" si="16631"/>
        <v>29</v>
      </c>
      <c r="C5145" s="393" t="s">
        <v>211</v>
      </c>
      <c r="D5145" s="398">
        <f>VLOOKUP(D5125,'Detail Balok'!$C$10:$AU$140,31,FALSE)</f>
        <v>0</v>
      </c>
      <c r="E5145" s="388" t="s">
        <v>16</v>
      </c>
      <c r="F5145" s="388">
        <f>VLOOKUP(D5125,'Detail Balok'!$C$10:$AU$140,33,FALSE)</f>
        <v>10</v>
      </c>
      <c r="G5145" s="405" t="s">
        <v>157</v>
      </c>
      <c r="H5145" s="395">
        <f>VLOOKUP(D5125,'Detail Balok'!$C$10:$AU$140,35,FALSE)</f>
        <v>100</v>
      </c>
      <c r="I5145" s="388"/>
      <c r="J5145" s="400">
        <f t="shared" ref="J5145" si="16632">(IF(D5145=0,(2*(D5126+G5126))-(F$5*8),IF(D5145=3,(2*(D5126+G5126))-(F$5*8)+(G5126-2*F$5),IF(D5145=4,(2*(D5126+G5126))-(F$5*8)+2*(G5126-2*F$5)))))/1000</f>
        <v>1.28</v>
      </c>
      <c r="K5145" s="400" t="s">
        <v>204</v>
      </c>
      <c r="L5145" s="399">
        <f t="shared" ref="L5145:L5147" si="16633">IF(D5145=0,2*MAX(6*F5145,75),(D5145-1)*2*MAX(6*F5145,75))/1000</f>
        <v>0.15</v>
      </c>
      <c r="M5145" s="399" t="s">
        <v>176</v>
      </c>
      <c r="N5145" s="399">
        <f t="shared" ref="N5145:N5147" si="16634">J5145+L5145</f>
        <v>1.43</v>
      </c>
      <c r="O5145" s="399"/>
      <c r="P5145" s="389"/>
      <c r="Q5145" s="399"/>
      <c r="R5145" s="399"/>
      <c r="S5145" s="399"/>
      <c r="T5145" s="399" t="s">
        <v>125</v>
      </c>
      <c r="U5145" s="401">
        <f t="shared" ref="U5145:U5147" si="16635">0.006165*F5145^2</f>
        <v>0.61650000000000005</v>
      </c>
      <c r="V5145" s="399" t="s">
        <v>125</v>
      </c>
      <c r="W5145" s="399">
        <f t="shared" ref="W5145" si="16636">IF(D5128&gt;4*G5126,ROUND(MAX(D5128/4,2*G5126)/H5145,0)+1,ROUND(D5128/H5145,0)+1)</f>
        <v>16</v>
      </c>
      <c r="X5145" s="399" t="s">
        <v>125</v>
      </c>
      <c r="Y5145" s="389">
        <f t="shared" ref="Y5145" si="16637">D5131</f>
        <v>1</v>
      </c>
      <c r="Z5145" s="400" t="s">
        <v>176</v>
      </c>
      <c r="AA5145" s="402">
        <f t="shared" ref="AA5145:AA5147" si="16638">N5145*U5145*W5145*Y5145</f>
        <v>14.10552</v>
      </c>
      <c r="AB5145" s="403"/>
    </row>
    <row r="5146" spans="1:28">
      <c r="A5146" s="384" t="str">
        <f t="shared" ref="A5146:B5146" si="16639">A5125</f>
        <v>Lantai 3</v>
      </c>
      <c r="B5146" s="385">
        <f t="shared" si="16639"/>
        <v>29</v>
      </c>
      <c r="C5146" s="393" t="s">
        <v>212</v>
      </c>
      <c r="D5146" s="398">
        <f>VLOOKUP(D5125,'Detail Balok'!$C$10:$AU$140,36,FALSE)</f>
        <v>0</v>
      </c>
      <c r="E5146" s="388" t="s">
        <v>16</v>
      </c>
      <c r="F5146" s="388">
        <f>VLOOKUP(D5125,'Detail Balok'!$C$10:$AU$140,38,FALSE)</f>
        <v>10</v>
      </c>
      <c r="G5146" s="405" t="s">
        <v>157</v>
      </c>
      <c r="H5146" s="395">
        <f>VLOOKUP(D5125,'Detail Balok'!$C$10:$AU$140,40,FALSE)</f>
        <v>150</v>
      </c>
      <c r="I5146" s="388"/>
      <c r="J5146" s="400">
        <f t="shared" ref="J5146" si="16640">(IF(D5146=0,(2*(D5126+G5126))-(F$5*8),IF(D5146=3,(2*(D5126+G5126))-(F$5*8)+(G5126-2*F$5),IF(D5146=4,(2*(D5126+G5126))-(F$5*8)+2*(G5126-2*F$5)))))/1000</f>
        <v>1.28</v>
      </c>
      <c r="K5146" s="400" t="s">
        <v>204</v>
      </c>
      <c r="L5146" s="399">
        <f t="shared" si="16633"/>
        <v>0.15</v>
      </c>
      <c r="M5146" s="399" t="s">
        <v>176</v>
      </c>
      <c r="N5146" s="399">
        <f t="shared" si="16634"/>
        <v>1.43</v>
      </c>
      <c r="O5146" s="399"/>
      <c r="P5146" s="389"/>
      <c r="Q5146" s="399"/>
      <c r="R5146" s="399"/>
      <c r="S5146" s="399"/>
      <c r="T5146" s="399" t="s">
        <v>125</v>
      </c>
      <c r="U5146" s="401">
        <f t="shared" si="16635"/>
        <v>0.61650000000000005</v>
      </c>
      <c r="V5146" s="399" t="s">
        <v>125</v>
      </c>
      <c r="W5146" s="399">
        <f t="shared" ref="W5146" si="16641">IF(D5128-MAX(D5128/4,2*G5126)*2&gt;0,ROUND((D5128-MAX(D5128/4,2*G5126)*2)/H5146,0),0)</f>
        <v>20</v>
      </c>
      <c r="X5146" s="399" t="s">
        <v>125</v>
      </c>
      <c r="Y5146" s="389">
        <f t="shared" ref="Y5146" si="16642">D5131</f>
        <v>1</v>
      </c>
      <c r="Z5146" s="400" t="s">
        <v>176</v>
      </c>
      <c r="AA5146" s="402">
        <f t="shared" si="16638"/>
        <v>17.631900000000002</v>
      </c>
      <c r="AB5146" s="403"/>
    </row>
    <row r="5147" spans="1:28">
      <c r="A5147" s="384" t="str">
        <f t="shared" ref="A5147:B5147" si="16643">A5125</f>
        <v>Lantai 3</v>
      </c>
      <c r="B5147" s="385">
        <f t="shared" si="16643"/>
        <v>29</v>
      </c>
      <c r="C5147" s="393" t="s">
        <v>211</v>
      </c>
      <c r="D5147" s="398">
        <f>VLOOKUP(D5125,'Detail Balok'!$C$10:$AU$140,41,FALSE)</f>
        <v>0</v>
      </c>
      <c r="E5147" s="388" t="s">
        <v>16</v>
      </c>
      <c r="F5147" s="388">
        <f>VLOOKUP(D5125,'Detail Balok'!$C$10:$AU$140,43,FALSE)</f>
        <v>10</v>
      </c>
      <c r="G5147" s="405" t="s">
        <v>157</v>
      </c>
      <c r="H5147" s="395">
        <f>VLOOKUP(D5125,'Detail Balok'!$C$10:$AU$140,45,FALSE)</f>
        <v>100</v>
      </c>
      <c r="I5147" s="388"/>
      <c r="J5147" s="400">
        <f t="shared" ref="J5147" si="16644">(IF(D5147=0,(2*(D5126+G5126))-(F$5*8),IF(D5147=3,(2*(D5126+G5126))-(F$5*8)+(G5126-2*F$5),IF(D5147=4,(2*(D5126+G5126))-(F$5*8)+2*(G5126-2*F$5)))))/1000</f>
        <v>1.28</v>
      </c>
      <c r="K5147" s="400" t="s">
        <v>204</v>
      </c>
      <c r="L5147" s="399">
        <f t="shared" si="16633"/>
        <v>0.15</v>
      </c>
      <c r="M5147" s="399" t="s">
        <v>176</v>
      </c>
      <c r="N5147" s="399">
        <f t="shared" si="16634"/>
        <v>1.43</v>
      </c>
      <c r="O5147" s="399"/>
      <c r="P5147" s="389"/>
      <c r="Q5147" s="399"/>
      <c r="R5147" s="399"/>
      <c r="S5147" s="399"/>
      <c r="T5147" s="399" t="s">
        <v>125</v>
      </c>
      <c r="U5147" s="401">
        <f t="shared" si="16635"/>
        <v>0.61650000000000005</v>
      </c>
      <c r="V5147" s="399" t="s">
        <v>125</v>
      </c>
      <c r="W5147" s="399">
        <f t="shared" ref="W5147" si="16645">IF(D5128&gt;4*G5126,ROUND(MAX(D5128/4,2*G5126)/H5147,0)+1,0)</f>
        <v>16</v>
      </c>
      <c r="X5147" s="399" t="s">
        <v>125</v>
      </c>
      <c r="Y5147" s="389">
        <f t="shared" ref="Y5147" si="16646">D5131</f>
        <v>1</v>
      </c>
      <c r="Z5147" s="400" t="s">
        <v>176</v>
      </c>
      <c r="AA5147" s="402">
        <f t="shared" si="16638"/>
        <v>14.10552</v>
      </c>
      <c r="AB5147" s="403"/>
    </row>
    <row r="5148" spans="1:28">
      <c r="A5148" s="384"/>
      <c r="B5148" s="385"/>
      <c r="C5148" s="393"/>
      <c r="D5148" s="394"/>
      <c r="E5148" s="388"/>
      <c r="F5148" s="388"/>
      <c r="G5148" s="388"/>
      <c r="H5148" s="395"/>
      <c r="I5148" s="388"/>
      <c r="J5148" s="399"/>
      <c r="K5148" s="396"/>
      <c r="L5148" s="396"/>
      <c r="M5148" s="396"/>
      <c r="N5148" s="396"/>
      <c r="O5148" s="396"/>
      <c r="P5148" s="389"/>
      <c r="Q5148" s="396"/>
      <c r="R5148" s="396"/>
      <c r="S5148" s="396"/>
      <c r="T5148" s="396"/>
      <c r="U5148" s="401"/>
      <c r="V5148" s="396"/>
      <c r="W5148" s="388"/>
      <c r="X5148" s="396"/>
      <c r="Y5148" s="389"/>
      <c r="Z5148" s="396"/>
      <c r="AA5148" s="388"/>
      <c r="AB5148" s="390"/>
    </row>
    <row r="5149" spans="1:28">
      <c r="A5149" s="384" t="str">
        <f t="shared" ref="A5149:B5149" si="16647">A5125</f>
        <v>Lantai 3</v>
      </c>
      <c r="B5149" s="385">
        <f t="shared" si="16647"/>
        <v>29</v>
      </c>
      <c r="C5149" s="393" t="s">
        <v>213</v>
      </c>
      <c r="D5149" s="398">
        <f>VLOOKUP(D5125,'Detail Balok'!$C$10:$BJ$140,46,FALSE)</f>
        <v>0</v>
      </c>
      <c r="E5149" s="388" t="s">
        <v>16</v>
      </c>
      <c r="F5149" s="388">
        <f>VLOOKUP(D5125,'Detail Balok'!$C$10:$BJ$140,48,FALSE)</f>
        <v>0</v>
      </c>
      <c r="G5149" s="405" t="s">
        <v>157</v>
      </c>
      <c r="H5149" s="395">
        <f>VLOOKUP(D5125,'Detail Balok'!$C$10:$BJ$140,50,FALSE)</f>
        <v>100</v>
      </c>
      <c r="I5149" s="388"/>
      <c r="J5149" s="399">
        <f t="shared" ref="J5149" si="16648">(D5126-2*F$5)/1000</f>
        <v>0.12</v>
      </c>
      <c r="K5149" s="400" t="s">
        <v>204</v>
      </c>
      <c r="L5149" s="399">
        <f t="shared" ref="L5149:L5151" si="16649">IF(D5149=0,2*MAX(6*F5149,75),(D5149-1)*2*MAX(6*F5149,75))/1000</f>
        <v>0.15</v>
      </c>
      <c r="M5149" s="399" t="s">
        <v>176</v>
      </c>
      <c r="N5149" s="399">
        <f t="shared" ref="N5149:N5151" si="16650">J5149+L5149</f>
        <v>0.27</v>
      </c>
      <c r="O5149" s="399"/>
      <c r="P5149" s="399"/>
      <c r="Q5149" s="399"/>
      <c r="R5149" s="399"/>
      <c r="S5149" s="399"/>
      <c r="T5149" s="399" t="s">
        <v>125</v>
      </c>
      <c r="U5149" s="401">
        <f t="shared" ref="U5149:U5151" si="16651">0.006165*F5149^2</f>
        <v>0</v>
      </c>
      <c r="V5149" s="399" t="s">
        <v>125</v>
      </c>
      <c r="W5149" s="399">
        <f t="shared" ref="W5149:W5211" si="16652">W5145</f>
        <v>16</v>
      </c>
      <c r="X5149" s="399" t="s">
        <v>125</v>
      </c>
      <c r="Y5149" s="389">
        <f t="shared" ref="Y5149" si="16653">D5135</f>
        <v>0</v>
      </c>
      <c r="Z5149" s="400" t="s">
        <v>176</v>
      </c>
      <c r="AA5149" s="402">
        <f t="shared" ref="AA5149:AA5151" si="16654">N5149*U5149*W5149*Y5149</f>
        <v>0</v>
      </c>
      <c r="AB5149" s="403"/>
    </row>
    <row r="5150" spans="1:28">
      <c r="A5150" s="384" t="str">
        <f t="shared" ref="A5150:B5150" si="16655">A5125</f>
        <v>Lantai 3</v>
      </c>
      <c r="B5150" s="385">
        <f t="shared" si="16655"/>
        <v>29</v>
      </c>
      <c r="C5150" s="393" t="s">
        <v>214</v>
      </c>
      <c r="D5150" s="398">
        <f>VLOOKUP(D5125,'Detail Balok'!$C$10:$BJ$140,51,FALSE)</f>
        <v>0</v>
      </c>
      <c r="E5150" s="388" t="s">
        <v>16</v>
      </c>
      <c r="F5150" s="388">
        <f>VLOOKUP(D5125,'Detail Balok'!$C$10:$BJ$140,53,FALSE)</f>
        <v>0</v>
      </c>
      <c r="G5150" s="405" t="s">
        <v>157</v>
      </c>
      <c r="H5150" s="395">
        <f>VLOOKUP(D5125,'Detail Balok'!$C$10:$BJ$140,55,FALSE)</f>
        <v>100</v>
      </c>
      <c r="I5150" s="388"/>
      <c r="J5150" s="399">
        <f t="shared" ref="J5150" si="16656">(D5126-2*F$5)/1000</f>
        <v>0.12</v>
      </c>
      <c r="K5150" s="400" t="s">
        <v>204</v>
      </c>
      <c r="L5150" s="399">
        <f t="shared" si="16649"/>
        <v>0.15</v>
      </c>
      <c r="M5150" s="399" t="s">
        <v>176</v>
      </c>
      <c r="N5150" s="399">
        <f t="shared" si="16650"/>
        <v>0.27</v>
      </c>
      <c r="O5150" s="399"/>
      <c r="P5150" s="399"/>
      <c r="Q5150" s="399"/>
      <c r="R5150" s="399"/>
      <c r="S5150" s="399"/>
      <c r="T5150" s="399" t="s">
        <v>125</v>
      </c>
      <c r="U5150" s="401">
        <f t="shared" si="16651"/>
        <v>0</v>
      </c>
      <c r="V5150" s="399" t="s">
        <v>125</v>
      </c>
      <c r="W5150" s="399">
        <f t="shared" si="16652"/>
        <v>20</v>
      </c>
      <c r="X5150" s="399" t="s">
        <v>125</v>
      </c>
      <c r="Y5150" s="389">
        <f t="shared" ref="Y5150" si="16657">D5135</f>
        <v>0</v>
      </c>
      <c r="Z5150" s="400" t="s">
        <v>176</v>
      </c>
      <c r="AA5150" s="402">
        <f t="shared" si="16654"/>
        <v>0</v>
      </c>
      <c r="AB5150" s="403"/>
    </row>
    <row r="5151" spans="1:28">
      <c r="A5151" s="384" t="str">
        <f t="shared" ref="A5151:B5151" si="16658">A5125</f>
        <v>Lantai 3</v>
      </c>
      <c r="B5151" s="385">
        <f t="shared" si="16658"/>
        <v>29</v>
      </c>
      <c r="C5151" s="393" t="s">
        <v>213</v>
      </c>
      <c r="D5151" s="398">
        <f>VLOOKUP(D5125,'Detail Balok'!$C$10:$BJ$140,56,FALSE)</f>
        <v>0</v>
      </c>
      <c r="E5151" s="388" t="s">
        <v>16</v>
      </c>
      <c r="F5151" s="388">
        <f>VLOOKUP(D5125,'Detail Balok'!$C$10:$BJ$140,58,FALSE)</f>
        <v>0</v>
      </c>
      <c r="G5151" s="405" t="s">
        <v>157</v>
      </c>
      <c r="H5151" s="395">
        <f>VLOOKUP(D5125,'Detail Balok'!$C$10:$BJ$140,60,FALSE)</f>
        <v>100</v>
      </c>
      <c r="I5151" s="388"/>
      <c r="J5151" s="399">
        <f t="shared" ref="J5151" si="16659">(D5126-2*F$5)/1000</f>
        <v>0.12</v>
      </c>
      <c r="K5151" s="400" t="s">
        <v>204</v>
      </c>
      <c r="L5151" s="399">
        <f t="shared" si="16649"/>
        <v>0.15</v>
      </c>
      <c r="M5151" s="399" t="s">
        <v>176</v>
      </c>
      <c r="N5151" s="399">
        <f t="shared" si="16650"/>
        <v>0.27</v>
      </c>
      <c r="O5151" s="399"/>
      <c r="P5151" s="399"/>
      <c r="Q5151" s="399"/>
      <c r="R5151" s="399"/>
      <c r="S5151" s="399"/>
      <c r="T5151" s="399" t="s">
        <v>125</v>
      </c>
      <c r="U5151" s="401">
        <f t="shared" si="16651"/>
        <v>0</v>
      </c>
      <c r="V5151" s="399" t="s">
        <v>125</v>
      </c>
      <c r="W5151" s="399">
        <f t="shared" si="16652"/>
        <v>16</v>
      </c>
      <c r="X5151" s="399" t="s">
        <v>125</v>
      </c>
      <c r="Y5151" s="389">
        <f t="shared" ref="Y5151" si="16660">D5135</f>
        <v>0</v>
      </c>
      <c r="Z5151" s="400" t="s">
        <v>176</v>
      </c>
      <c r="AA5151" s="402">
        <f t="shared" si="16654"/>
        <v>0</v>
      </c>
      <c r="AB5151" s="403"/>
    </row>
    <row r="5152" spans="1:28">
      <c r="A5152" s="391"/>
      <c r="B5152" s="392"/>
      <c r="C5152" s="392"/>
      <c r="D5152" s="394"/>
      <c r="E5152" s="388"/>
      <c r="F5152" s="388"/>
      <c r="G5152" s="388"/>
      <c r="H5152" s="395"/>
      <c r="I5152" s="388"/>
      <c r="J5152" s="402"/>
      <c r="K5152" s="388"/>
      <c r="L5152" s="388"/>
      <c r="M5152" s="388"/>
      <c r="N5152" s="388"/>
      <c r="O5152" s="388"/>
      <c r="P5152" s="388"/>
      <c r="Q5152" s="388"/>
      <c r="R5152" s="388"/>
      <c r="S5152" s="388"/>
      <c r="T5152" s="388"/>
      <c r="U5152" s="388"/>
      <c r="V5152" s="388"/>
      <c r="W5152" s="388"/>
      <c r="X5152" s="388"/>
      <c r="Y5152" s="389"/>
      <c r="Z5152" s="388"/>
      <c r="AA5152" s="402"/>
      <c r="AB5152" s="403"/>
    </row>
    <row r="5153" spans="1:28" ht="15.75" thickBot="1">
      <c r="A5153" s="406"/>
      <c r="B5153" s="407"/>
      <c r="C5153" s="407"/>
      <c r="D5153" s="408"/>
      <c r="E5153" s="409"/>
      <c r="F5153" s="409"/>
      <c r="G5153" s="409"/>
      <c r="H5153" s="410"/>
      <c r="I5153" s="409"/>
      <c r="J5153" s="409"/>
      <c r="K5153" s="409"/>
      <c r="L5153" s="409"/>
      <c r="M5153" s="409"/>
      <c r="N5153" s="409"/>
      <c r="O5153" s="409"/>
      <c r="P5153" s="409"/>
      <c r="Q5153" s="409"/>
      <c r="R5153" s="409"/>
      <c r="S5153" s="409"/>
      <c r="T5153" s="409"/>
      <c r="U5153" s="409"/>
      <c r="V5153" s="409"/>
      <c r="W5153" s="409"/>
      <c r="X5153" s="409"/>
      <c r="Y5153" s="411"/>
      <c r="Z5153" s="409"/>
      <c r="AA5153" s="412"/>
      <c r="AB5153" s="413"/>
    </row>
    <row r="5154" spans="1:28">
      <c r="A5154" s="377"/>
      <c r="B5154" s="378"/>
      <c r="C5154" s="378"/>
      <c r="D5154" s="379"/>
      <c r="E5154" s="380"/>
      <c r="F5154" s="380"/>
      <c r="G5154" s="380"/>
      <c r="H5154" s="381"/>
      <c r="I5154" s="380"/>
      <c r="J5154" s="380"/>
      <c r="K5154" s="380"/>
      <c r="L5154" s="380"/>
      <c r="M5154" s="380"/>
      <c r="N5154" s="380"/>
      <c r="O5154" s="380"/>
      <c r="P5154" s="380"/>
      <c r="Q5154" s="380"/>
      <c r="R5154" s="380"/>
      <c r="S5154" s="380"/>
      <c r="T5154" s="380"/>
      <c r="U5154" s="380"/>
      <c r="V5154" s="380"/>
      <c r="W5154" s="380"/>
      <c r="X5154" s="380"/>
      <c r="Y5154" s="382"/>
      <c r="Z5154" s="380"/>
      <c r="AA5154" s="380"/>
      <c r="AB5154" s="383"/>
    </row>
    <row r="5155" spans="1:28">
      <c r="A5155" s="384" t="str">
        <f t="shared" ref="A5155:A5215" si="16661">A5125</f>
        <v>Lantai 3</v>
      </c>
      <c r="B5155" s="385">
        <f t="shared" ref="B5155:B5215" si="16662">B5125+1</f>
        <v>30</v>
      </c>
      <c r="C5155" s="386" t="str">
        <f t="shared" ref="C5155" si="16663">CONCATENATE(A5155," no. ",B5155)</f>
        <v>Lantai 3 no. 30</v>
      </c>
      <c r="D5155" s="2562" t="str">
        <f>VLOOKUP(C5155,'Data Panjang Balok'!$C$9:$N$254,2,FALSE)</f>
        <v>CL24-1</v>
      </c>
      <c r="E5155" s="2576"/>
      <c r="F5155" s="2576"/>
      <c r="G5155" s="2576"/>
      <c r="H5155" s="2577"/>
      <c r="I5155" s="387"/>
      <c r="J5155" s="388"/>
      <c r="K5155" s="388"/>
      <c r="L5155" s="388"/>
      <c r="M5155" s="388"/>
      <c r="N5155" s="388"/>
      <c r="O5155" s="388"/>
      <c r="P5155" s="388"/>
      <c r="Q5155" s="388"/>
      <c r="R5155" s="388"/>
      <c r="S5155" s="388"/>
      <c r="T5155" s="388"/>
      <c r="U5155" s="388"/>
      <c r="V5155" s="388"/>
      <c r="W5155" s="388"/>
      <c r="X5155" s="388"/>
      <c r="Y5155" s="389"/>
      <c r="Z5155" s="388"/>
      <c r="AA5155" s="388"/>
      <c r="AB5155" s="390"/>
    </row>
    <row r="5156" spans="1:28">
      <c r="A5156" s="391"/>
      <c r="B5156" s="392"/>
      <c r="C5156" s="393" t="s">
        <v>118</v>
      </c>
      <c r="D5156" s="2578">
        <f>VLOOKUP(D5155,'Detail Balok'!$C$10:$AU$140,2,FALSE)</f>
        <v>200</v>
      </c>
      <c r="E5156" s="2579"/>
      <c r="F5156" s="388" t="s">
        <v>125</v>
      </c>
      <c r="G5156" s="2579">
        <f>VLOOKUP(D5155,'Detail Balok'!$C$10:$AU$140,3,FALSE)</f>
        <v>400</v>
      </c>
      <c r="H5156" s="2580"/>
      <c r="I5156" s="388"/>
      <c r="J5156" s="396"/>
      <c r="K5156" s="396"/>
      <c r="L5156" s="396"/>
      <c r="M5156" s="396"/>
      <c r="N5156" s="396"/>
      <c r="O5156" s="396"/>
      <c r="P5156" s="396"/>
      <c r="Q5156" s="396"/>
      <c r="R5156" s="396"/>
      <c r="S5156" s="396"/>
      <c r="T5156" s="396"/>
      <c r="U5156" s="388"/>
      <c r="V5156" s="396"/>
      <c r="W5156" s="388"/>
      <c r="X5156" s="396"/>
      <c r="Y5156" s="389"/>
      <c r="Z5156" s="396"/>
      <c r="AA5156" s="388"/>
      <c r="AB5156" s="390"/>
    </row>
    <row r="5157" spans="1:28">
      <c r="A5157" s="391"/>
      <c r="B5157" s="392"/>
      <c r="C5157" s="393" t="s">
        <v>198</v>
      </c>
      <c r="D5157" s="2562">
        <f>VLOOKUP(C5155,'Data Panjang Balok'!$C$9:$N$254,4,FALSE)</f>
        <v>1075</v>
      </c>
      <c r="E5157" s="2563"/>
      <c r="F5157" s="2563"/>
      <c r="G5157" s="2563"/>
      <c r="H5157" s="2564"/>
      <c r="I5157" s="397"/>
      <c r="J5157" s="396"/>
      <c r="K5157" s="396"/>
      <c r="L5157" s="396"/>
      <c r="M5157" s="396"/>
      <c r="N5157" s="396"/>
      <c r="O5157" s="396"/>
      <c r="P5157" s="396"/>
      <c r="Q5157" s="396"/>
      <c r="R5157" s="396"/>
      <c r="S5157" s="396"/>
      <c r="T5157" s="396"/>
      <c r="U5157" s="388"/>
      <c r="V5157" s="396"/>
      <c r="W5157" s="388"/>
      <c r="X5157" s="396"/>
      <c r="Y5157" s="389"/>
      <c r="Z5157" s="396"/>
      <c r="AA5157" s="388"/>
      <c r="AB5157" s="390"/>
    </row>
    <row r="5158" spans="1:28">
      <c r="A5158" s="391"/>
      <c r="B5158" s="392"/>
      <c r="C5158" s="393" t="s">
        <v>199</v>
      </c>
      <c r="D5158" s="2562">
        <f>VLOOKUP(C5155,'Data Panjang Balok'!$C$9:$N$254,7,FALSE)</f>
        <v>1075</v>
      </c>
      <c r="E5158" s="2563"/>
      <c r="F5158" s="2563"/>
      <c r="G5158" s="2563"/>
      <c r="H5158" s="2564"/>
      <c r="I5158" s="397"/>
      <c r="J5158" s="396"/>
      <c r="K5158" s="396"/>
      <c r="L5158" s="396"/>
      <c r="M5158" s="396"/>
      <c r="N5158" s="396"/>
      <c r="O5158" s="396"/>
      <c r="P5158" s="396"/>
      <c r="Q5158" s="396"/>
      <c r="R5158" s="396"/>
      <c r="S5158" s="396"/>
      <c r="T5158" s="396"/>
      <c r="U5158" s="388"/>
      <c r="V5158" s="396"/>
      <c r="W5158" s="388"/>
      <c r="X5158" s="396"/>
      <c r="Y5158" s="389"/>
      <c r="Z5158" s="396"/>
      <c r="AA5158" s="388"/>
      <c r="AB5158" s="390"/>
    </row>
    <row r="5159" spans="1:28">
      <c r="A5159" s="391"/>
      <c r="B5159" s="392"/>
      <c r="C5159" s="393" t="s">
        <v>200</v>
      </c>
      <c r="D5159" s="2562">
        <f>VLOOKUP(C5155,'Data Panjang Balok'!$C$9:$N$254,9,FALSE)</f>
        <v>0</v>
      </c>
      <c r="E5159" s="2563"/>
      <c r="F5159" s="2563"/>
      <c r="G5159" s="2563"/>
      <c r="H5159" s="2564"/>
      <c r="I5159" s="397"/>
      <c r="J5159" s="396"/>
      <c r="K5159" s="396"/>
      <c r="L5159" s="396"/>
      <c r="M5159" s="396"/>
      <c r="N5159" s="396"/>
      <c r="O5159" s="396"/>
      <c r="P5159" s="396"/>
      <c r="Q5159" s="396"/>
      <c r="R5159" s="396"/>
      <c r="S5159" s="396"/>
      <c r="T5159" s="396"/>
      <c r="U5159" s="388"/>
      <c r="V5159" s="396"/>
      <c r="W5159" s="388"/>
      <c r="X5159" s="396"/>
      <c r="Y5159" s="389"/>
      <c r="Z5159" s="396"/>
      <c r="AA5159" s="388"/>
      <c r="AB5159" s="390"/>
    </row>
    <row r="5160" spans="1:28">
      <c r="A5160" s="391"/>
      <c r="B5160" s="392"/>
      <c r="C5160" s="393" t="s">
        <v>201</v>
      </c>
      <c r="D5160" s="2562">
        <f>VLOOKUP(C5155,'Data Panjang Balok'!$C$9:$N$254,10,FALSE)</f>
        <v>0</v>
      </c>
      <c r="E5160" s="2563"/>
      <c r="F5160" s="2563"/>
      <c r="G5160" s="2563"/>
      <c r="H5160" s="2564"/>
      <c r="I5160" s="397"/>
      <c r="J5160" s="396"/>
      <c r="K5160" s="396"/>
      <c r="L5160" s="396"/>
      <c r="M5160" s="396"/>
      <c r="N5160" s="396"/>
      <c r="O5160" s="396"/>
      <c r="P5160" s="396"/>
      <c r="Q5160" s="396"/>
      <c r="R5160" s="396"/>
      <c r="S5160" s="396"/>
      <c r="T5160" s="396"/>
      <c r="U5160" s="388"/>
      <c r="V5160" s="396"/>
      <c r="W5160" s="388"/>
      <c r="X5160" s="396"/>
      <c r="Y5160" s="389"/>
      <c r="Z5160" s="396"/>
      <c r="AA5160" s="388"/>
      <c r="AB5160" s="390"/>
    </row>
    <row r="5161" spans="1:28">
      <c r="A5161" s="391"/>
      <c r="B5161" s="392"/>
      <c r="C5161" s="393" t="s">
        <v>48</v>
      </c>
      <c r="D5161" s="2562">
        <f>VLOOKUP(C5155,'Data Panjang Balok'!$C$9:$N$254,3,FALSE)</f>
        <v>1</v>
      </c>
      <c r="E5161" s="2563"/>
      <c r="F5161" s="2563"/>
      <c r="G5161" s="2563"/>
      <c r="H5161" s="2564"/>
      <c r="I5161" s="397"/>
      <c r="J5161" s="396"/>
      <c r="K5161" s="396"/>
      <c r="L5161" s="396"/>
      <c r="M5161" s="396"/>
      <c r="N5161" s="396"/>
      <c r="O5161" s="396"/>
      <c r="P5161" s="396"/>
      <c r="Q5161" s="396"/>
      <c r="R5161" s="396"/>
      <c r="S5161" s="396"/>
      <c r="T5161" s="396"/>
      <c r="U5161" s="388"/>
      <c r="V5161" s="396"/>
      <c r="W5161" s="388"/>
      <c r="X5161" s="396"/>
      <c r="Y5161" s="389"/>
      <c r="Z5161" s="396"/>
      <c r="AA5161" s="388"/>
      <c r="AB5161" s="390"/>
    </row>
    <row r="5162" spans="1:28">
      <c r="A5162" s="384" t="str">
        <f t="shared" ref="A5162:B5162" si="16664">A5155</f>
        <v>Lantai 3</v>
      </c>
      <c r="B5162" s="385">
        <f t="shared" si="16664"/>
        <v>30</v>
      </c>
      <c r="C5162" s="393" t="s">
        <v>202</v>
      </c>
      <c r="D5162" s="398">
        <f>VLOOKUP(D5155,'Detail Balok'!$C$10:$AU$140,4,FALSE)</f>
        <v>3</v>
      </c>
      <c r="E5162" s="388" t="s">
        <v>16</v>
      </c>
      <c r="F5162" s="388">
        <f>VLOOKUP(D5155,'Detail Balok'!$C$10:$AU$140,6,FALSE)</f>
        <v>16</v>
      </c>
      <c r="G5162" s="388"/>
      <c r="H5162" s="395"/>
      <c r="I5162" s="388" t="s">
        <v>203</v>
      </c>
      <c r="J5162" s="399">
        <f t="shared" ref="J5162" si="16665">+D5157/4/1000</f>
        <v>0.26874999999999999</v>
      </c>
      <c r="K5162" s="400" t="s">
        <v>204</v>
      </c>
      <c r="L5162" s="399">
        <f t="shared" ref="L5162" si="16666">MAX(VLOOKUP(F5162,N$6:P$15,3,FALSE)/1000,2/3*D5159/1000)+F$16*F5162/1000</f>
        <v>0.192</v>
      </c>
      <c r="M5162" s="399" t="s">
        <v>176</v>
      </c>
      <c r="N5162" s="399">
        <f t="shared" ref="N5162:N5164" si="16667">J5162+L5162</f>
        <v>0.46074999999999999</v>
      </c>
      <c r="O5162" s="399" t="s">
        <v>204</v>
      </c>
      <c r="P5162" s="389">
        <f t="shared" ref="P5162" si="16668">D5162-D5163</f>
        <v>0</v>
      </c>
      <c r="Q5162" s="399" t="s">
        <v>125</v>
      </c>
      <c r="R5162" s="399">
        <f t="shared" ref="R5162" si="16669">IF(P5162&gt;0,$F$18*F5162/1000,0)</f>
        <v>0</v>
      </c>
      <c r="S5162" s="399" t="s">
        <v>205</v>
      </c>
      <c r="T5162" s="399" t="s">
        <v>125</v>
      </c>
      <c r="U5162" s="401">
        <f t="shared" ref="U5162:U5164" si="16670">0.006165*F5162^2</f>
        <v>1.5782400000000001</v>
      </c>
      <c r="V5162" s="399"/>
      <c r="W5162" s="399"/>
      <c r="X5162" s="399" t="s">
        <v>125</v>
      </c>
      <c r="Y5162" s="389">
        <f t="shared" ref="Y5162" si="16671">D5161</f>
        <v>1</v>
      </c>
      <c r="Z5162" s="400" t="s">
        <v>176</v>
      </c>
      <c r="AA5162" s="402">
        <f t="shared" ref="AA5162" si="16672">IF(AA5165=0,(D5162*N5162+P5162*R5162)*U5162*Y5162,0)</f>
        <v>0</v>
      </c>
      <c r="AB5162" s="403"/>
    </row>
    <row r="5163" spans="1:28">
      <c r="A5163" s="384" t="str">
        <f t="shared" ref="A5163:B5163" si="16673">A5155</f>
        <v>Lantai 3</v>
      </c>
      <c r="B5163" s="385">
        <f t="shared" si="16673"/>
        <v>30</v>
      </c>
      <c r="C5163" s="393" t="s">
        <v>206</v>
      </c>
      <c r="D5163" s="398">
        <f>VLOOKUP(D5155,'Detail Balok'!$C$10:$AU$140,7,FALSE)</f>
        <v>3</v>
      </c>
      <c r="E5163" s="388" t="s">
        <v>16</v>
      </c>
      <c r="F5163" s="388">
        <f>VLOOKUP(D5155,'Detail Balok'!$C$10:$AU$140,9,FALSE)</f>
        <v>16</v>
      </c>
      <c r="G5163" s="388"/>
      <c r="H5163" s="395"/>
      <c r="I5163" s="388" t="s">
        <v>203</v>
      </c>
      <c r="J5163" s="399">
        <f t="shared" ref="J5163" si="16674">+D5157/2/1000</f>
        <v>0.53749999999999998</v>
      </c>
      <c r="K5163" s="400" t="s">
        <v>204</v>
      </c>
      <c r="L5163" s="399"/>
      <c r="M5163" s="399" t="s">
        <v>176</v>
      </c>
      <c r="N5163" s="399">
        <f t="shared" si="16667"/>
        <v>0.53749999999999998</v>
      </c>
      <c r="O5163" s="399" t="s">
        <v>204</v>
      </c>
      <c r="P5163" s="389">
        <f t="shared" ref="P5163" si="16675">MAX(D5163-D5162,D5163-D5164)</f>
        <v>0</v>
      </c>
      <c r="Q5163" s="399" t="s">
        <v>125</v>
      </c>
      <c r="R5163" s="399">
        <f t="shared" ref="R5163" si="16676">IF(P5163&gt;0,2*(1-2*$F$19-1/2)*D5158/1000,0)</f>
        <v>0</v>
      </c>
      <c r="S5163" s="399" t="s">
        <v>205</v>
      </c>
      <c r="T5163" s="399" t="s">
        <v>125</v>
      </c>
      <c r="U5163" s="401">
        <f t="shared" si="16670"/>
        <v>1.5782400000000001</v>
      </c>
      <c r="V5163" s="399"/>
      <c r="W5163" s="399"/>
      <c r="X5163" s="399" t="s">
        <v>125</v>
      </c>
      <c r="Y5163" s="389">
        <f t="shared" ref="Y5163" si="16677">D5161</f>
        <v>1</v>
      </c>
      <c r="Z5163" s="400" t="s">
        <v>176</v>
      </c>
      <c r="AA5163" s="402">
        <f t="shared" ref="AA5163" si="16678">IF(AA5165=0,(D5163*N5163+P5163*R5163)*U5163*Y5163,0)</f>
        <v>0</v>
      </c>
      <c r="AB5163" s="403"/>
    </row>
    <row r="5164" spans="1:28">
      <c r="A5164" s="384" t="str">
        <f t="shared" ref="A5164:B5164" si="16679">A5155</f>
        <v>Lantai 3</v>
      </c>
      <c r="B5164" s="385">
        <f t="shared" si="16679"/>
        <v>30</v>
      </c>
      <c r="C5164" s="393" t="s">
        <v>202</v>
      </c>
      <c r="D5164" s="398">
        <f>VLOOKUP(D5155,'Detail Balok'!$C$10:$AU$140,10,FALSE)</f>
        <v>3</v>
      </c>
      <c r="E5164" s="388" t="s">
        <v>16</v>
      </c>
      <c r="F5164" s="388">
        <f>VLOOKUP(D5155,'Detail Balok'!$C$10:$AU$140,12,FALSE)</f>
        <v>16</v>
      </c>
      <c r="G5164" s="388"/>
      <c r="H5164" s="395"/>
      <c r="I5164" s="388" t="s">
        <v>203</v>
      </c>
      <c r="J5164" s="399">
        <f t="shared" ref="J5164" si="16680">+D5157/4/1000</f>
        <v>0.26874999999999999</v>
      </c>
      <c r="K5164" s="400" t="s">
        <v>204</v>
      </c>
      <c r="L5164" s="399">
        <f t="shared" ref="L5164" si="16681">MAX(VLOOKUP(F5164,N$6:P$15,3,FALSE)/1000,2/3*D5159/1000)+F$16*F5164/1000</f>
        <v>0.192</v>
      </c>
      <c r="M5164" s="399" t="s">
        <v>176</v>
      </c>
      <c r="N5164" s="399">
        <f t="shared" si="16667"/>
        <v>0.46074999999999999</v>
      </c>
      <c r="O5164" s="399" t="s">
        <v>204</v>
      </c>
      <c r="P5164" s="389">
        <f t="shared" ref="P5164" si="16682">D5164-D5163</f>
        <v>0</v>
      </c>
      <c r="Q5164" s="399" t="s">
        <v>125</v>
      </c>
      <c r="R5164" s="399">
        <f t="shared" ref="R5164" si="16683">IF(P5164&gt;0,$F$18*F5164/1000,0)</f>
        <v>0</v>
      </c>
      <c r="S5164" s="399" t="s">
        <v>205</v>
      </c>
      <c r="T5164" s="399" t="s">
        <v>125</v>
      </c>
      <c r="U5164" s="401">
        <f t="shared" si="16670"/>
        <v>1.5782400000000001</v>
      </c>
      <c r="V5164" s="399"/>
      <c r="W5164" s="399"/>
      <c r="X5164" s="399" t="s">
        <v>125</v>
      </c>
      <c r="Y5164" s="389">
        <f t="shared" ref="Y5164" si="16684">D5161</f>
        <v>1</v>
      </c>
      <c r="Z5164" s="400" t="s">
        <v>176</v>
      </c>
      <c r="AA5164" s="402">
        <f t="shared" ref="AA5164" si="16685">IF(AA5165=0,(D5164*N5164+P5164*R5164)*U5164*Y5164,0)</f>
        <v>0</v>
      </c>
      <c r="AB5164" s="403"/>
    </row>
    <row r="5165" spans="1:28">
      <c r="A5165" s="384" t="str">
        <f t="shared" ref="A5165:B5165" si="16686">A5155</f>
        <v>Lantai 3</v>
      </c>
      <c r="B5165" s="385">
        <f t="shared" si="16686"/>
        <v>30</v>
      </c>
      <c r="C5165" s="393"/>
      <c r="D5165" s="398">
        <f t="shared" si="16582"/>
        <v>3</v>
      </c>
      <c r="E5165" s="388" t="s">
        <v>16</v>
      </c>
      <c r="F5165" s="388">
        <f t="shared" si="16583"/>
        <v>16</v>
      </c>
      <c r="G5165" s="388"/>
      <c r="H5165" s="395"/>
      <c r="I5165" s="388"/>
      <c r="J5165" s="396"/>
      <c r="K5165" s="396"/>
      <c r="L5165" s="404" t="s">
        <v>207</v>
      </c>
      <c r="M5165" s="399" t="s">
        <v>176</v>
      </c>
      <c r="N5165" s="399">
        <f t="shared" ref="N5165" si="16687">IF(AND(D5162=D5163,D5162=D5164,D5163=D5164,F5162=F5163,F5162=F5164,F5163=F5164),SUM(N5162:N5164),0)</f>
        <v>1.4590000000000001</v>
      </c>
      <c r="O5165" s="399" t="s">
        <v>204</v>
      </c>
      <c r="P5165" s="389">
        <f t="shared" ref="P5165" si="16688">IF(N5165&gt;12,ROUNDDOWN(N5165/12,0),0)</f>
        <v>0</v>
      </c>
      <c r="Q5165" s="399" t="s">
        <v>125</v>
      </c>
      <c r="R5165" s="399">
        <f t="shared" ref="R5165" si="16689">IF(P5165&gt;0,MAX(VLOOKUP(F5165,$D$6:$G$15,3,FALSE),600),0)/1000</f>
        <v>0</v>
      </c>
      <c r="S5165" s="396"/>
      <c r="T5165" s="396" t="s">
        <v>125</v>
      </c>
      <c r="U5165" s="401">
        <f t="shared" si="16587"/>
        <v>1.5782400000000001</v>
      </c>
      <c r="V5165" s="396" t="s">
        <v>125</v>
      </c>
      <c r="W5165" s="399">
        <f t="shared" ref="W5165" si="16690">D5165</f>
        <v>3</v>
      </c>
      <c r="X5165" s="399" t="s">
        <v>125</v>
      </c>
      <c r="Y5165" s="389">
        <f t="shared" si="16589"/>
        <v>1</v>
      </c>
      <c r="Z5165" s="400" t="s">
        <v>176</v>
      </c>
      <c r="AA5165" s="402">
        <f t="shared" ref="AA5165" si="16691">(N5165+P5165*R5165/1000)*U5165*W5165*Y5165</f>
        <v>6.9079564800000002</v>
      </c>
      <c r="AB5165" s="390"/>
    </row>
    <row r="5166" spans="1:28">
      <c r="A5166" s="384"/>
      <c r="B5166" s="385"/>
      <c r="C5166" s="393"/>
      <c r="D5166" s="398"/>
      <c r="E5166" s="388"/>
      <c r="F5166" s="388"/>
      <c r="G5166" s="388"/>
      <c r="H5166" s="395"/>
      <c r="I5166" s="388"/>
      <c r="J5166" s="396"/>
      <c r="K5166" s="396"/>
      <c r="L5166" s="404"/>
      <c r="M5166" s="399"/>
      <c r="N5166" s="399"/>
      <c r="O5166" s="396"/>
      <c r="P5166" s="389"/>
      <c r="Q5166" s="396"/>
      <c r="R5166" s="396"/>
      <c r="S5166" s="396"/>
      <c r="T5166" s="396"/>
      <c r="U5166" s="401"/>
      <c r="V5166" s="396"/>
      <c r="W5166" s="399"/>
      <c r="X5166" s="396"/>
      <c r="Y5166" s="389"/>
      <c r="Z5166" s="396"/>
      <c r="AA5166" s="388"/>
      <c r="AB5166" s="390"/>
    </row>
    <row r="5167" spans="1:28">
      <c r="A5167" s="384" t="str">
        <f t="shared" ref="A5167:B5167" si="16692">A5155</f>
        <v>Lantai 3</v>
      </c>
      <c r="B5167" s="385">
        <f t="shared" si="16692"/>
        <v>30</v>
      </c>
      <c r="C5167" s="393" t="s">
        <v>208</v>
      </c>
      <c r="D5167" s="398">
        <f>VLOOKUP(D5155,'Detail Balok'!$C$10:$AU$140,13,FALSE)</f>
        <v>0</v>
      </c>
      <c r="E5167" s="388" t="s">
        <v>16</v>
      </c>
      <c r="F5167" s="388">
        <f>VLOOKUP(D5155,'Detail Balok'!$C$10:$AU$140,15,FALSE)</f>
        <v>8</v>
      </c>
      <c r="G5167" s="388"/>
      <c r="H5167" s="395"/>
      <c r="I5167" s="388"/>
      <c r="J5167" s="399">
        <f t="shared" ref="J5167" si="16693">+D5157/1000</f>
        <v>1.075</v>
      </c>
      <c r="K5167" s="400" t="s">
        <v>204</v>
      </c>
      <c r="L5167" s="399">
        <f t="shared" ref="L5167" si="16694">2*$F$16*F5167/1000</f>
        <v>0.192</v>
      </c>
      <c r="M5167" s="399" t="s">
        <v>176</v>
      </c>
      <c r="N5167" s="399">
        <f t="shared" ref="N5167" si="16695">J5167+L5167</f>
        <v>1.2669999999999999</v>
      </c>
      <c r="O5167" s="399" t="s">
        <v>204</v>
      </c>
      <c r="P5167" s="389">
        <f t="shared" ref="P5167" si="16696">IF(N5167&gt;12,ROUNDDOWN(N5167/12,0),0)</f>
        <v>0</v>
      </c>
      <c r="Q5167" s="399" t="s">
        <v>125</v>
      </c>
      <c r="R5167" s="399">
        <f t="shared" ref="R5167" si="16697">IF(P5167&gt;0,MAX(VLOOKUP(F5167,$D$6:$G$15,3,FALSE),600),0)/1000</f>
        <v>0</v>
      </c>
      <c r="S5167" s="399"/>
      <c r="T5167" s="399" t="s">
        <v>125</v>
      </c>
      <c r="U5167" s="401">
        <f t="shared" ref="U5167" si="16698">0.006165*F5167^2</f>
        <v>0.39456000000000002</v>
      </c>
      <c r="V5167" s="399" t="s">
        <v>125</v>
      </c>
      <c r="W5167" s="399">
        <f t="shared" ref="W5167" si="16699">+D5167</f>
        <v>0</v>
      </c>
      <c r="X5167" s="399" t="s">
        <v>125</v>
      </c>
      <c r="Y5167" s="389">
        <f t="shared" ref="Y5167" si="16700">D5161</f>
        <v>1</v>
      </c>
      <c r="Z5167" s="400" t="s">
        <v>176</v>
      </c>
      <c r="AA5167" s="402">
        <f t="shared" ref="AA5167" si="16701">(N5167+P5167*R5167/1000)*U5167*W5167*Y5167</f>
        <v>0</v>
      </c>
      <c r="AB5167" s="403"/>
    </row>
    <row r="5168" spans="1:28">
      <c r="A5168" s="384"/>
      <c r="B5168" s="385"/>
      <c r="C5168" s="393"/>
      <c r="D5168" s="398"/>
      <c r="E5168" s="388"/>
      <c r="F5168" s="388"/>
      <c r="G5168" s="388"/>
      <c r="H5168" s="395"/>
      <c r="I5168" s="388"/>
      <c r="J5168" s="399"/>
      <c r="K5168" s="400"/>
      <c r="L5168" s="399"/>
      <c r="M5168" s="399"/>
      <c r="N5168" s="399"/>
      <c r="O5168" s="399"/>
      <c r="P5168" s="389"/>
      <c r="Q5168" s="399"/>
      <c r="R5168" s="399"/>
      <c r="S5168" s="399"/>
      <c r="T5168" s="399"/>
      <c r="U5168" s="401"/>
      <c r="V5168" s="399"/>
      <c r="W5168" s="399"/>
      <c r="X5168" s="399"/>
      <c r="Y5168" s="389"/>
      <c r="Z5168" s="400"/>
      <c r="AA5168" s="402"/>
      <c r="AB5168" s="403"/>
    </row>
    <row r="5169" spans="1:28">
      <c r="A5169" s="384"/>
      <c r="B5169" s="385"/>
      <c r="C5169" s="393"/>
      <c r="D5169" s="398"/>
      <c r="E5169" s="388"/>
      <c r="F5169" s="388"/>
      <c r="G5169" s="388"/>
      <c r="H5169" s="395"/>
      <c r="I5169" s="388"/>
      <c r="J5169" s="396"/>
      <c r="K5169" s="396"/>
      <c r="L5169" s="396"/>
      <c r="M5169" s="396"/>
      <c r="N5169" s="396"/>
      <c r="O5169" s="396"/>
      <c r="P5169" s="389"/>
      <c r="Q5169" s="396"/>
      <c r="R5169" s="396"/>
      <c r="S5169" s="396"/>
      <c r="T5169" s="396"/>
      <c r="U5169" s="401"/>
      <c r="V5169" s="396"/>
      <c r="W5169" s="399"/>
      <c r="X5169" s="396"/>
      <c r="Y5169" s="389"/>
      <c r="Z5169" s="396"/>
      <c r="AA5169" s="388"/>
      <c r="AB5169" s="390"/>
    </row>
    <row r="5170" spans="1:28">
      <c r="A5170" s="384" t="str">
        <f t="shared" ref="A5170:B5170" si="16702">A5155</f>
        <v>Lantai 3</v>
      </c>
      <c r="B5170" s="385">
        <f t="shared" si="16702"/>
        <v>30</v>
      </c>
      <c r="C5170" s="393" t="s">
        <v>209</v>
      </c>
      <c r="D5170" s="398">
        <f>VLOOKUP(D5155,'Detail Balok'!$C$10:$AU$140,22,FALSE)</f>
        <v>3</v>
      </c>
      <c r="E5170" s="388" t="s">
        <v>16</v>
      </c>
      <c r="F5170" s="388">
        <f>VLOOKUP(D5155,'Detail Balok'!$C$10:$AU$140,24,FALSE)</f>
        <v>16</v>
      </c>
      <c r="G5170" s="388"/>
      <c r="H5170" s="395"/>
      <c r="I5170" s="388" t="s">
        <v>203</v>
      </c>
      <c r="J5170" s="399">
        <f t="shared" si="16602"/>
        <v>0.26874999999999999</v>
      </c>
      <c r="K5170" s="400" t="s">
        <v>204</v>
      </c>
      <c r="L5170" s="399">
        <f t="shared" ref="L5170" si="16703">MAX(VLOOKUP(F5170,N$6:P$15,3,FALSE)/1000,2/3*D5160/1000)+F$16*F5170/1000</f>
        <v>0.192</v>
      </c>
      <c r="M5170" s="399" t="s">
        <v>176</v>
      </c>
      <c r="N5170" s="399">
        <f t="shared" ref="N5170:N5172" si="16704">J5170+L5170</f>
        <v>0.46074999999999999</v>
      </c>
      <c r="O5170" s="399" t="s">
        <v>204</v>
      </c>
      <c r="P5170" s="389">
        <f t="shared" ref="P5170" si="16705">D5170-D5171</f>
        <v>0</v>
      </c>
      <c r="Q5170" s="399" t="s">
        <v>125</v>
      </c>
      <c r="R5170" s="399">
        <f t="shared" ref="R5170" si="16706">IF(P5170&gt;0,$F$18*F5170/1000,0)</f>
        <v>0</v>
      </c>
      <c r="S5170" s="399" t="s">
        <v>205</v>
      </c>
      <c r="T5170" s="399" t="s">
        <v>125</v>
      </c>
      <c r="U5170" s="401">
        <f t="shared" ref="U5170:U5172" si="16707">0.006165*F5170^2</f>
        <v>1.5782400000000001</v>
      </c>
      <c r="V5170" s="399"/>
      <c r="W5170" s="399"/>
      <c r="X5170" s="399" t="s">
        <v>125</v>
      </c>
      <c r="Y5170" s="389">
        <f t="shared" ref="Y5170" si="16708">D5161</f>
        <v>1</v>
      </c>
      <c r="Z5170" s="400" t="s">
        <v>176</v>
      </c>
      <c r="AA5170" s="402">
        <f t="shared" ref="AA5170" si="16709">IF(AA5173=0,(D5170*N5170+P5170*R5170)*U5170*Y5170,0)</f>
        <v>0</v>
      </c>
      <c r="AB5170" s="403"/>
    </row>
    <row r="5171" spans="1:28">
      <c r="A5171" s="384" t="str">
        <f t="shared" ref="A5171:B5171" si="16710">A5155</f>
        <v>Lantai 3</v>
      </c>
      <c r="B5171" s="385">
        <f t="shared" si="16710"/>
        <v>30</v>
      </c>
      <c r="C5171" s="393" t="s">
        <v>210</v>
      </c>
      <c r="D5171" s="398">
        <f>VLOOKUP(D5155,'Detail Balok'!$C$10:$AU$140,25,FALSE)</f>
        <v>3</v>
      </c>
      <c r="E5171" s="388" t="s">
        <v>16</v>
      </c>
      <c r="F5171" s="388">
        <f>VLOOKUP(D5155,'Detail Balok'!$C$10:$AU$140,27,FALSE)</f>
        <v>16</v>
      </c>
      <c r="G5171" s="388"/>
      <c r="H5171" s="395"/>
      <c r="I5171" s="388" t="s">
        <v>203</v>
      </c>
      <c r="J5171" s="399">
        <f t="shared" si="16602"/>
        <v>0.53749999999999998</v>
      </c>
      <c r="K5171" s="400" t="s">
        <v>204</v>
      </c>
      <c r="L5171" s="399"/>
      <c r="M5171" s="399" t="s">
        <v>176</v>
      </c>
      <c r="N5171" s="399">
        <f t="shared" si="16704"/>
        <v>0.53749999999999998</v>
      </c>
      <c r="O5171" s="399" t="s">
        <v>204</v>
      </c>
      <c r="P5171" s="389">
        <f t="shared" ref="P5171" si="16711">MAX(D5171-D5170,D5171-D5172)</f>
        <v>0</v>
      </c>
      <c r="Q5171" s="399" t="s">
        <v>125</v>
      </c>
      <c r="R5171" s="399">
        <f t="shared" ref="R5171" si="16712">IF(P5171&gt;0,2*(1-2*$F$19-1/2)*D5158/1000,0)</f>
        <v>0</v>
      </c>
      <c r="S5171" s="399" t="s">
        <v>205</v>
      </c>
      <c r="T5171" s="399" t="s">
        <v>125</v>
      </c>
      <c r="U5171" s="401">
        <f t="shared" si="16707"/>
        <v>1.5782400000000001</v>
      </c>
      <c r="V5171" s="399"/>
      <c r="W5171" s="399"/>
      <c r="X5171" s="399" t="s">
        <v>125</v>
      </c>
      <c r="Y5171" s="389">
        <f t="shared" ref="Y5171" si="16713">D5161</f>
        <v>1</v>
      </c>
      <c r="Z5171" s="400" t="s">
        <v>176</v>
      </c>
      <c r="AA5171" s="402">
        <f t="shared" ref="AA5171" si="16714">IF(AA5173=0,(D5171*N5171+P5171*R5171)*U5171*Y5171,0)</f>
        <v>0</v>
      </c>
      <c r="AB5171" s="403"/>
    </row>
    <row r="5172" spans="1:28">
      <c r="A5172" s="384" t="str">
        <f t="shared" ref="A5172:B5172" si="16715">A5155</f>
        <v>Lantai 3</v>
      </c>
      <c r="B5172" s="385">
        <f t="shared" si="16715"/>
        <v>30</v>
      </c>
      <c r="C5172" s="393" t="s">
        <v>209</v>
      </c>
      <c r="D5172" s="398">
        <f>VLOOKUP(D5155,'Detail Balok'!$C$10:$AU$140,28,FALSE)</f>
        <v>3</v>
      </c>
      <c r="E5172" s="388" t="s">
        <v>16</v>
      </c>
      <c r="F5172" s="388">
        <f>VLOOKUP(D5155,'Detail Balok'!$C$10:$AU$140,30,FALSE)</f>
        <v>16</v>
      </c>
      <c r="G5172" s="388"/>
      <c r="H5172" s="395"/>
      <c r="I5172" s="388" t="s">
        <v>203</v>
      </c>
      <c r="J5172" s="399">
        <f t="shared" si="16602"/>
        <v>0.26874999999999999</v>
      </c>
      <c r="K5172" s="400" t="s">
        <v>204</v>
      </c>
      <c r="L5172" s="399">
        <f t="shared" ref="L5172" si="16716">MAX(VLOOKUP(F5172,N$6:P$15,3,FALSE)/1000,2/3*D5160/1000)+F$16*F5172/1000</f>
        <v>0.192</v>
      </c>
      <c r="M5172" s="399" t="s">
        <v>176</v>
      </c>
      <c r="N5172" s="399">
        <f t="shared" si="16704"/>
        <v>0.46074999999999999</v>
      </c>
      <c r="O5172" s="399" t="s">
        <v>204</v>
      </c>
      <c r="P5172" s="389">
        <f t="shared" ref="P5172" si="16717">D5172-D5171</f>
        <v>0</v>
      </c>
      <c r="Q5172" s="399" t="s">
        <v>125</v>
      </c>
      <c r="R5172" s="399">
        <f t="shared" ref="R5172" si="16718">IF(P5172&gt;0,$F$18*F5172/1000,0)</f>
        <v>0</v>
      </c>
      <c r="S5172" s="399" t="s">
        <v>205</v>
      </c>
      <c r="T5172" s="399" t="s">
        <v>125</v>
      </c>
      <c r="U5172" s="401">
        <f t="shared" si="16707"/>
        <v>1.5782400000000001</v>
      </c>
      <c r="V5172" s="399"/>
      <c r="W5172" s="399"/>
      <c r="X5172" s="399" t="s">
        <v>125</v>
      </c>
      <c r="Y5172" s="389">
        <f t="shared" ref="Y5172" si="16719">D5161</f>
        <v>1</v>
      </c>
      <c r="Z5172" s="400" t="s">
        <v>176</v>
      </c>
      <c r="AA5172" s="402">
        <f t="shared" ref="AA5172" si="16720">IF(AA5173=0,(D5172*N5172+P5172*R5172)*U5172*Y5172,0)</f>
        <v>0</v>
      </c>
      <c r="AB5172" s="403"/>
    </row>
    <row r="5173" spans="1:28">
      <c r="A5173" s="384" t="str">
        <f t="shared" ref="A5173:B5173" si="16721">A5155</f>
        <v>Lantai 3</v>
      </c>
      <c r="B5173" s="385">
        <f t="shared" si="16721"/>
        <v>30</v>
      </c>
      <c r="C5173" s="393"/>
      <c r="D5173" s="398">
        <f t="shared" si="16622"/>
        <v>3</v>
      </c>
      <c r="E5173" s="388" t="s">
        <v>16</v>
      </c>
      <c r="F5173" s="388">
        <f t="shared" si="16623"/>
        <v>16</v>
      </c>
      <c r="G5173" s="388"/>
      <c r="H5173" s="395"/>
      <c r="I5173" s="388"/>
      <c r="J5173" s="396"/>
      <c r="K5173" s="396"/>
      <c r="L5173" s="404" t="s">
        <v>207</v>
      </c>
      <c r="M5173" s="399" t="s">
        <v>176</v>
      </c>
      <c r="N5173" s="399">
        <f t="shared" ref="N5173" si="16722">IF(AND(D5170=D5171,D5170=D5172,D5171=D5172,F5170=F5171,F5170=F5172,F5171=F5172),SUM(N5170:N5172),0)</f>
        <v>1.4590000000000001</v>
      </c>
      <c r="O5173" s="399" t="s">
        <v>204</v>
      </c>
      <c r="P5173" s="389">
        <f t="shared" ref="P5173" si="16723">IF(N5173&gt;12,ROUNDDOWN(N5173/12,0),0)</f>
        <v>0</v>
      </c>
      <c r="Q5173" s="399" t="s">
        <v>125</v>
      </c>
      <c r="R5173" s="399">
        <f t="shared" ref="R5173" si="16724">IF(P5173&gt;0,MAX(VLOOKUP(F5173,$D$6:$G$15,3,FALSE),600),0)/1000</f>
        <v>0</v>
      </c>
      <c r="S5173" s="396"/>
      <c r="T5173" s="396" t="s">
        <v>125</v>
      </c>
      <c r="U5173" s="401">
        <f t="shared" si="16627"/>
        <v>1.5782400000000001</v>
      </c>
      <c r="V5173" s="396" t="s">
        <v>125</v>
      </c>
      <c r="W5173" s="399">
        <f t="shared" ref="W5173" si="16725">D5173</f>
        <v>3</v>
      </c>
      <c r="X5173" s="399" t="s">
        <v>125</v>
      </c>
      <c r="Y5173" s="389">
        <f t="shared" si="16629"/>
        <v>1</v>
      </c>
      <c r="Z5173" s="400" t="s">
        <v>176</v>
      </c>
      <c r="AA5173" s="402">
        <f t="shared" ref="AA5173" si="16726">(N5173+P5173*R5173/1000)*U5173*W5173*Y5173</f>
        <v>6.9079564800000002</v>
      </c>
      <c r="AB5173" s="403"/>
    </row>
    <row r="5174" spans="1:28">
      <c r="A5174" s="384"/>
      <c r="B5174" s="385"/>
      <c r="C5174" s="393"/>
      <c r="D5174" s="394"/>
      <c r="E5174" s="388"/>
      <c r="F5174" s="388"/>
      <c r="G5174" s="388"/>
      <c r="H5174" s="395"/>
      <c r="I5174" s="388"/>
      <c r="J5174" s="399"/>
      <c r="K5174" s="396"/>
      <c r="L5174" s="396"/>
      <c r="M5174" s="396"/>
      <c r="N5174" s="396"/>
      <c r="O5174" s="396"/>
      <c r="P5174" s="389"/>
      <c r="Q5174" s="396"/>
      <c r="R5174" s="396"/>
      <c r="S5174" s="396"/>
      <c r="T5174" s="396"/>
      <c r="U5174" s="401"/>
      <c r="V5174" s="396"/>
      <c r="W5174" s="388"/>
      <c r="X5174" s="396"/>
      <c r="Y5174" s="389"/>
      <c r="Z5174" s="396"/>
      <c r="AA5174" s="388"/>
      <c r="AB5174" s="390"/>
    </row>
    <row r="5175" spans="1:28">
      <c r="A5175" s="384" t="str">
        <f t="shared" ref="A5175:B5175" si="16727">A5155</f>
        <v>Lantai 3</v>
      </c>
      <c r="B5175" s="385">
        <f t="shared" si="16727"/>
        <v>30</v>
      </c>
      <c r="C5175" s="393" t="s">
        <v>211</v>
      </c>
      <c r="D5175" s="398">
        <f>VLOOKUP(D5155,'Detail Balok'!$C$10:$AU$140,31,FALSE)</f>
        <v>0</v>
      </c>
      <c r="E5175" s="388" t="s">
        <v>16</v>
      </c>
      <c r="F5175" s="388">
        <f>VLOOKUP(D5155,'Detail Balok'!$C$10:$AU$140,33,FALSE)</f>
        <v>10</v>
      </c>
      <c r="G5175" s="405" t="s">
        <v>157</v>
      </c>
      <c r="H5175" s="395">
        <f>VLOOKUP(D5155,'Detail Balok'!$C$10:$AU$140,35,FALSE)</f>
        <v>100</v>
      </c>
      <c r="I5175" s="388"/>
      <c r="J5175" s="400">
        <f t="shared" ref="J5175" si="16728">(IF(D5175=0,(2*(D5156+G5156))-(F$5*8),IF(D5175=3,(2*(D5156+G5156))-(F$5*8)+(G5156-2*F$5),IF(D5175=4,(2*(D5156+G5156))-(F$5*8)+2*(G5156-2*F$5)))))/1000</f>
        <v>0.88</v>
      </c>
      <c r="K5175" s="400" t="s">
        <v>204</v>
      </c>
      <c r="L5175" s="399">
        <f t="shared" ref="L5175:L5177" si="16729">IF(D5175=0,2*MAX(6*F5175,75),(D5175-1)*2*MAX(6*F5175,75))/1000</f>
        <v>0.15</v>
      </c>
      <c r="M5175" s="399" t="s">
        <v>176</v>
      </c>
      <c r="N5175" s="399">
        <f t="shared" ref="N5175:N5177" si="16730">J5175+L5175</f>
        <v>1.03</v>
      </c>
      <c r="O5175" s="399"/>
      <c r="P5175" s="389"/>
      <c r="Q5175" s="399"/>
      <c r="R5175" s="399"/>
      <c r="S5175" s="399"/>
      <c r="T5175" s="399" t="s">
        <v>125</v>
      </c>
      <c r="U5175" s="401">
        <f t="shared" ref="U5175:U5177" si="16731">0.006165*F5175^2</f>
        <v>0.61650000000000005</v>
      </c>
      <c r="V5175" s="399" t="s">
        <v>125</v>
      </c>
      <c r="W5175" s="399">
        <f t="shared" ref="W5175" si="16732">IF(D5158&gt;4*G5156,ROUND(MAX(D5158/4,2*G5156)/H5175,0)+1,ROUND(D5158/H5175,0)+1)</f>
        <v>12</v>
      </c>
      <c r="X5175" s="399" t="s">
        <v>125</v>
      </c>
      <c r="Y5175" s="389">
        <f t="shared" ref="Y5175" si="16733">D5161</f>
        <v>1</v>
      </c>
      <c r="Z5175" s="400" t="s">
        <v>176</v>
      </c>
      <c r="AA5175" s="402">
        <f t="shared" ref="AA5175:AA5177" si="16734">N5175*U5175*W5175*Y5175</f>
        <v>7.6199400000000015</v>
      </c>
      <c r="AB5175" s="403"/>
    </row>
    <row r="5176" spans="1:28">
      <c r="A5176" s="384" t="str">
        <f t="shared" ref="A5176:B5176" si="16735">A5155</f>
        <v>Lantai 3</v>
      </c>
      <c r="B5176" s="385">
        <f t="shared" si="16735"/>
        <v>30</v>
      </c>
      <c r="C5176" s="393" t="s">
        <v>212</v>
      </c>
      <c r="D5176" s="398">
        <f>VLOOKUP(D5155,'Detail Balok'!$C$10:$AU$140,36,FALSE)</f>
        <v>0</v>
      </c>
      <c r="E5176" s="388" t="s">
        <v>16</v>
      </c>
      <c r="F5176" s="388">
        <f>VLOOKUP(D5155,'Detail Balok'!$C$10:$AU$140,38,FALSE)</f>
        <v>10</v>
      </c>
      <c r="G5176" s="405" t="s">
        <v>157</v>
      </c>
      <c r="H5176" s="395">
        <f>VLOOKUP(D5155,'Detail Balok'!$C$10:$AU$140,40,FALSE)</f>
        <v>100</v>
      </c>
      <c r="I5176" s="388"/>
      <c r="J5176" s="400">
        <f t="shared" ref="J5176" si="16736">(IF(D5176=0,(2*(D5156+G5156))-(F$5*8),IF(D5176=3,(2*(D5156+G5156))-(F$5*8)+(G5156-2*F$5),IF(D5176=4,(2*(D5156+G5156))-(F$5*8)+2*(G5156-2*F$5)))))/1000</f>
        <v>0.88</v>
      </c>
      <c r="K5176" s="400" t="s">
        <v>204</v>
      </c>
      <c r="L5176" s="399">
        <f t="shared" si="16729"/>
        <v>0.15</v>
      </c>
      <c r="M5176" s="399" t="s">
        <v>176</v>
      </c>
      <c r="N5176" s="399">
        <f t="shared" si="16730"/>
        <v>1.03</v>
      </c>
      <c r="O5176" s="399"/>
      <c r="P5176" s="389"/>
      <c r="Q5176" s="399"/>
      <c r="R5176" s="399"/>
      <c r="S5176" s="399"/>
      <c r="T5176" s="399" t="s">
        <v>125</v>
      </c>
      <c r="U5176" s="401">
        <f t="shared" si="16731"/>
        <v>0.61650000000000005</v>
      </c>
      <c r="V5176" s="399" t="s">
        <v>125</v>
      </c>
      <c r="W5176" s="399">
        <f t="shared" ref="W5176" si="16737">IF(D5158-MAX(D5158/4,2*G5156)*2&gt;0,ROUND((D5158-MAX(D5158/4,2*G5156)*2)/H5176,0),0)</f>
        <v>0</v>
      </c>
      <c r="X5176" s="399" t="s">
        <v>125</v>
      </c>
      <c r="Y5176" s="389">
        <f t="shared" ref="Y5176" si="16738">D5161</f>
        <v>1</v>
      </c>
      <c r="Z5176" s="400" t="s">
        <v>176</v>
      </c>
      <c r="AA5176" s="402">
        <f t="shared" si="16734"/>
        <v>0</v>
      </c>
      <c r="AB5176" s="403"/>
    </row>
    <row r="5177" spans="1:28">
      <c r="A5177" s="384" t="str">
        <f t="shared" ref="A5177:B5177" si="16739">A5155</f>
        <v>Lantai 3</v>
      </c>
      <c r="B5177" s="385">
        <f t="shared" si="16739"/>
        <v>30</v>
      </c>
      <c r="C5177" s="393" t="s">
        <v>211</v>
      </c>
      <c r="D5177" s="398">
        <f>VLOOKUP(D5155,'Detail Balok'!$C$10:$AU$140,41,FALSE)</f>
        <v>0</v>
      </c>
      <c r="E5177" s="388" t="s">
        <v>16</v>
      </c>
      <c r="F5177" s="388">
        <f>VLOOKUP(D5155,'Detail Balok'!$C$10:$AU$140,43,FALSE)</f>
        <v>10</v>
      </c>
      <c r="G5177" s="405" t="s">
        <v>157</v>
      </c>
      <c r="H5177" s="395">
        <f>VLOOKUP(D5155,'Detail Balok'!$C$10:$AU$140,45,FALSE)</f>
        <v>100</v>
      </c>
      <c r="I5177" s="388"/>
      <c r="J5177" s="400">
        <f t="shared" ref="J5177" si="16740">(IF(D5177=0,(2*(D5156+G5156))-(F$5*8),IF(D5177=3,(2*(D5156+G5156))-(F$5*8)+(G5156-2*F$5),IF(D5177=4,(2*(D5156+G5156))-(F$5*8)+2*(G5156-2*F$5)))))/1000</f>
        <v>0.88</v>
      </c>
      <c r="K5177" s="400" t="s">
        <v>204</v>
      </c>
      <c r="L5177" s="399">
        <f t="shared" si="16729"/>
        <v>0.15</v>
      </c>
      <c r="M5177" s="399" t="s">
        <v>176</v>
      </c>
      <c r="N5177" s="399">
        <f t="shared" si="16730"/>
        <v>1.03</v>
      </c>
      <c r="O5177" s="399"/>
      <c r="P5177" s="389"/>
      <c r="Q5177" s="399"/>
      <c r="R5177" s="399"/>
      <c r="S5177" s="399"/>
      <c r="T5177" s="399" t="s">
        <v>125</v>
      </c>
      <c r="U5177" s="401">
        <f t="shared" si="16731"/>
        <v>0.61650000000000005</v>
      </c>
      <c r="V5177" s="399" t="s">
        <v>125</v>
      </c>
      <c r="W5177" s="399">
        <f t="shared" ref="W5177" si="16741">IF(D5158&gt;4*G5156,ROUND(MAX(D5158/4,2*G5156)/H5177,0)+1,0)</f>
        <v>0</v>
      </c>
      <c r="X5177" s="399" t="s">
        <v>125</v>
      </c>
      <c r="Y5177" s="389">
        <f t="shared" ref="Y5177" si="16742">D5161</f>
        <v>1</v>
      </c>
      <c r="Z5177" s="400" t="s">
        <v>176</v>
      </c>
      <c r="AA5177" s="402">
        <f t="shared" si="16734"/>
        <v>0</v>
      </c>
      <c r="AB5177" s="403"/>
    </row>
    <row r="5178" spans="1:28">
      <c r="A5178" s="384"/>
      <c r="B5178" s="385"/>
      <c r="C5178" s="393"/>
      <c r="D5178" s="394"/>
      <c r="E5178" s="388"/>
      <c r="F5178" s="388"/>
      <c r="G5178" s="388"/>
      <c r="H5178" s="395"/>
      <c r="I5178" s="388"/>
      <c r="J5178" s="399"/>
      <c r="K5178" s="396"/>
      <c r="L5178" s="396"/>
      <c r="M5178" s="396"/>
      <c r="N5178" s="396"/>
      <c r="O5178" s="396"/>
      <c r="P5178" s="389"/>
      <c r="Q5178" s="396"/>
      <c r="R5178" s="396"/>
      <c r="S5178" s="396"/>
      <c r="T5178" s="396"/>
      <c r="U5178" s="401"/>
      <c r="V5178" s="396"/>
      <c r="W5178" s="388"/>
      <c r="X5178" s="396"/>
      <c r="Y5178" s="389"/>
      <c r="Z5178" s="396"/>
      <c r="AA5178" s="388"/>
      <c r="AB5178" s="390"/>
    </row>
    <row r="5179" spans="1:28">
      <c r="A5179" s="384" t="str">
        <f t="shared" ref="A5179:B5179" si="16743">A5155</f>
        <v>Lantai 3</v>
      </c>
      <c r="B5179" s="385">
        <f t="shared" si="16743"/>
        <v>30</v>
      </c>
      <c r="C5179" s="393" t="s">
        <v>213</v>
      </c>
      <c r="D5179" s="398">
        <f>VLOOKUP(D5155,'Detail Balok'!$C$10:$BJ$140,46,FALSE)</f>
        <v>0</v>
      </c>
      <c r="E5179" s="388" t="s">
        <v>16</v>
      </c>
      <c r="F5179" s="388">
        <f>VLOOKUP(D5155,'Detail Balok'!$C$10:$BJ$140,48,FALSE)</f>
        <v>0</v>
      </c>
      <c r="G5179" s="405" t="s">
        <v>157</v>
      </c>
      <c r="H5179" s="395">
        <f>VLOOKUP(D5155,'Detail Balok'!$C$10:$BJ$140,50,FALSE)</f>
        <v>100</v>
      </c>
      <c r="I5179" s="388"/>
      <c r="J5179" s="399">
        <f t="shared" ref="J5179" si="16744">(D5156-2*F$5)/1000</f>
        <v>0.12</v>
      </c>
      <c r="K5179" s="400" t="s">
        <v>204</v>
      </c>
      <c r="L5179" s="399">
        <f t="shared" ref="L5179:L5181" si="16745">IF(D5179=0,2*MAX(6*F5179,75),(D5179-1)*2*MAX(6*F5179,75))/1000</f>
        <v>0.15</v>
      </c>
      <c r="M5179" s="399" t="s">
        <v>176</v>
      </c>
      <c r="N5179" s="399">
        <f t="shared" ref="N5179:N5181" si="16746">J5179+L5179</f>
        <v>0.27</v>
      </c>
      <c r="O5179" s="399"/>
      <c r="P5179" s="399"/>
      <c r="Q5179" s="399"/>
      <c r="R5179" s="399"/>
      <c r="S5179" s="399"/>
      <c r="T5179" s="399" t="s">
        <v>125</v>
      </c>
      <c r="U5179" s="401">
        <f t="shared" ref="U5179:U5181" si="16747">0.006165*F5179^2</f>
        <v>0</v>
      </c>
      <c r="V5179" s="399" t="s">
        <v>125</v>
      </c>
      <c r="W5179" s="399">
        <f t="shared" si="16652"/>
        <v>12</v>
      </c>
      <c r="X5179" s="399" t="s">
        <v>125</v>
      </c>
      <c r="Y5179" s="389">
        <f t="shared" ref="Y5179" si="16748">D5165</f>
        <v>3</v>
      </c>
      <c r="Z5179" s="400" t="s">
        <v>176</v>
      </c>
      <c r="AA5179" s="402">
        <f t="shared" ref="AA5179:AA5181" si="16749">N5179*U5179*W5179*Y5179</f>
        <v>0</v>
      </c>
      <c r="AB5179" s="403"/>
    </row>
    <row r="5180" spans="1:28">
      <c r="A5180" s="384" t="str">
        <f t="shared" ref="A5180:B5180" si="16750">A5155</f>
        <v>Lantai 3</v>
      </c>
      <c r="B5180" s="385">
        <f t="shared" si="16750"/>
        <v>30</v>
      </c>
      <c r="C5180" s="393" t="s">
        <v>214</v>
      </c>
      <c r="D5180" s="398">
        <f>VLOOKUP(D5155,'Detail Balok'!$C$10:$BJ$140,51,FALSE)</f>
        <v>0</v>
      </c>
      <c r="E5180" s="388" t="s">
        <v>16</v>
      </c>
      <c r="F5180" s="388">
        <f>VLOOKUP(D5155,'Detail Balok'!$C$10:$BJ$140,53,FALSE)</f>
        <v>0</v>
      </c>
      <c r="G5180" s="405" t="s">
        <v>157</v>
      </c>
      <c r="H5180" s="395">
        <f>VLOOKUP(D5155,'Detail Balok'!$C$10:$BJ$140,55,FALSE)</f>
        <v>100</v>
      </c>
      <c r="I5180" s="388"/>
      <c r="J5180" s="399">
        <f t="shared" ref="J5180" si="16751">(D5156-2*F$5)/1000</f>
        <v>0.12</v>
      </c>
      <c r="K5180" s="400" t="s">
        <v>204</v>
      </c>
      <c r="L5180" s="399">
        <f t="shared" si="16745"/>
        <v>0.15</v>
      </c>
      <c r="M5180" s="399" t="s">
        <v>176</v>
      </c>
      <c r="N5180" s="399">
        <f t="shared" si="16746"/>
        <v>0.27</v>
      </c>
      <c r="O5180" s="399"/>
      <c r="P5180" s="399"/>
      <c r="Q5180" s="399"/>
      <c r="R5180" s="399"/>
      <c r="S5180" s="399"/>
      <c r="T5180" s="399" t="s">
        <v>125</v>
      </c>
      <c r="U5180" s="401">
        <f t="shared" si="16747"/>
        <v>0</v>
      </c>
      <c r="V5180" s="399" t="s">
        <v>125</v>
      </c>
      <c r="W5180" s="399">
        <f t="shared" si="16652"/>
        <v>0</v>
      </c>
      <c r="X5180" s="399" t="s">
        <v>125</v>
      </c>
      <c r="Y5180" s="389">
        <f t="shared" ref="Y5180" si="16752">D5165</f>
        <v>3</v>
      </c>
      <c r="Z5180" s="400" t="s">
        <v>176</v>
      </c>
      <c r="AA5180" s="402">
        <f t="shared" si="16749"/>
        <v>0</v>
      </c>
      <c r="AB5180" s="403"/>
    </row>
    <row r="5181" spans="1:28">
      <c r="A5181" s="384" t="str">
        <f t="shared" ref="A5181:B5181" si="16753">A5155</f>
        <v>Lantai 3</v>
      </c>
      <c r="B5181" s="385">
        <f t="shared" si="16753"/>
        <v>30</v>
      </c>
      <c r="C5181" s="393" t="s">
        <v>213</v>
      </c>
      <c r="D5181" s="398">
        <f>VLOOKUP(D5155,'Detail Balok'!$C$10:$BJ$140,56,FALSE)</f>
        <v>0</v>
      </c>
      <c r="E5181" s="388" t="s">
        <v>16</v>
      </c>
      <c r="F5181" s="388">
        <f>VLOOKUP(D5155,'Detail Balok'!$C$10:$BJ$140,58,FALSE)</f>
        <v>0</v>
      </c>
      <c r="G5181" s="405" t="s">
        <v>157</v>
      </c>
      <c r="H5181" s="395">
        <f>VLOOKUP(D5155,'Detail Balok'!$C$10:$BJ$140,60,FALSE)</f>
        <v>100</v>
      </c>
      <c r="I5181" s="388"/>
      <c r="J5181" s="399">
        <f t="shared" ref="J5181" si="16754">(D5156-2*F$5)/1000</f>
        <v>0.12</v>
      </c>
      <c r="K5181" s="400" t="s">
        <v>204</v>
      </c>
      <c r="L5181" s="399">
        <f t="shared" si="16745"/>
        <v>0.15</v>
      </c>
      <c r="M5181" s="399" t="s">
        <v>176</v>
      </c>
      <c r="N5181" s="399">
        <f t="shared" si="16746"/>
        <v>0.27</v>
      </c>
      <c r="O5181" s="399"/>
      <c r="P5181" s="399"/>
      <c r="Q5181" s="399"/>
      <c r="R5181" s="399"/>
      <c r="S5181" s="399"/>
      <c r="T5181" s="399" t="s">
        <v>125</v>
      </c>
      <c r="U5181" s="401">
        <f t="shared" si="16747"/>
        <v>0</v>
      </c>
      <c r="V5181" s="399" t="s">
        <v>125</v>
      </c>
      <c r="W5181" s="399">
        <f t="shared" si="16652"/>
        <v>0</v>
      </c>
      <c r="X5181" s="399" t="s">
        <v>125</v>
      </c>
      <c r="Y5181" s="389">
        <f t="shared" ref="Y5181" si="16755">D5165</f>
        <v>3</v>
      </c>
      <c r="Z5181" s="400" t="s">
        <v>176</v>
      </c>
      <c r="AA5181" s="402">
        <f t="shared" si="16749"/>
        <v>0</v>
      </c>
      <c r="AB5181" s="403"/>
    </row>
    <row r="5182" spans="1:28">
      <c r="A5182" s="391"/>
      <c r="B5182" s="392"/>
      <c r="C5182" s="392"/>
      <c r="D5182" s="394"/>
      <c r="E5182" s="388"/>
      <c r="F5182" s="388"/>
      <c r="G5182" s="388"/>
      <c r="H5182" s="395"/>
      <c r="I5182" s="388"/>
      <c r="J5182" s="402"/>
      <c r="K5182" s="388"/>
      <c r="L5182" s="388"/>
      <c r="M5182" s="388"/>
      <c r="N5182" s="388"/>
      <c r="O5182" s="388"/>
      <c r="P5182" s="388"/>
      <c r="Q5182" s="388"/>
      <c r="R5182" s="388"/>
      <c r="S5182" s="388"/>
      <c r="T5182" s="388"/>
      <c r="U5182" s="388"/>
      <c r="V5182" s="388"/>
      <c r="W5182" s="388"/>
      <c r="X5182" s="388"/>
      <c r="Y5182" s="389"/>
      <c r="Z5182" s="388"/>
      <c r="AA5182" s="402"/>
      <c r="AB5182" s="403"/>
    </row>
    <row r="5183" spans="1:28" ht="15.75" thickBot="1">
      <c r="A5183" s="406"/>
      <c r="B5183" s="407"/>
      <c r="C5183" s="407"/>
      <c r="D5183" s="408"/>
      <c r="E5183" s="409"/>
      <c r="F5183" s="409"/>
      <c r="G5183" s="409"/>
      <c r="H5183" s="410"/>
      <c r="I5183" s="409"/>
      <c r="J5183" s="409"/>
      <c r="K5183" s="409"/>
      <c r="L5183" s="409"/>
      <c r="M5183" s="409"/>
      <c r="N5183" s="409"/>
      <c r="O5183" s="409"/>
      <c r="P5183" s="409"/>
      <c r="Q5183" s="409"/>
      <c r="R5183" s="409"/>
      <c r="S5183" s="409"/>
      <c r="T5183" s="409"/>
      <c r="U5183" s="409"/>
      <c r="V5183" s="409"/>
      <c r="W5183" s="409"/>
      <c r="X5183" s="409"/>
      <c r="Y5183" s="411"/>
      <c r="Z5183" s="409"/>
      <c r="AA5183" s="412"/>
      <c r="AB5183" s="413"/>
    </row>
    <row r="5184" spans="1:28">
      <c r="A5184" s="377"/>
      <c r="B5184" s="378"/>
      <c r="C5184" s="378"/>
      <c r="D5184" s="379"/>
      <c r="E5184" s="380"/>
      <c r="F5184" s="380"/>
      <c r="G5184" s="380"/>
      <c r="H5184" s="381"/>
      <c r="I5184" s="380"/>
      <c r="J5184" s="380"/>
      <c r="K5184" s="380"/>
      <c r="L5184" s="380"/>
      <c r="M5184" s="380"/>
      <c r="N5184" s="380"/>
      <c r="O5184" s="380"/>
      <c r="P5184" s="380"/>
      <c r="Q5184" s="380"/>
      <c r="R5184" s="380"/>
      <c r="S5184" s="380"/>
      <c r="T5184" s="380"/>
      <c r="U5184" s="380"/>
      <c r="V5184" s="380"/>
      <c r="W5184" s="380"/>
      <c r="X5184" s="380"/>
      <c r="Y5184" s="382"/>
      <c r="Z5184" s="380"/>
      <c r="AA5184" s="380"/>
      <c r="AB5184" s="383"/>
    </row>
    <row r="5185" spans="1:28">
      <c r="A5185" s="384" t="str">
        <f t="shared" si="16661"/>
        <v>Lantai 3</v>
      </c>
      <c r="B5185" s="385">
        <f t="shared" si="16662"/>
        <v>31</v>
      </c>
      <c r="C5185" s="386" t="str">
        <f t="shared" ref="C5185" si="16756">CONCATENATE(A5185," no. ",B5185)</f>
        <v>Lantai 3 no. 31</v>
      </c>
      <c r="D5185" s="2562" t="str">
        <f>VLOOKUP(C5185,'Data Panjang Balok'!$C$9:$N$254,2,FALSE)</f>
        <v>CL24-1</v>
      </c>
      <c r="E5185" s="2576"/>
      <c r="F5185" s="2576"/>
      <c r="G5185" s="2576"/>
      <c r="H5185" s="2577"/>
      <c r="I5185" s="387"/>
      <c r="J5185" s="388"/>
      <c r="K5185" s="388"/>
      <c r="L5185" s="388"/>
      <c r="M5185" s="388"/>
      <c r="N5185" s="388"/>
      <c r="O5185" s="388"/>
      <c r="P5185" s="388"/>
      <c r="Q5185" s="388"/>
      <c r="R5185" s="388"/>
      <c r="S5185" s="388"/>
      <c r="T5185" s="388"/>
      <c r="U5185" s="388"/>
      <c r="V5185" s="388"/>
      <c r="W5185" s="388"/>
      <c r="X5185" s="388"/>
      <c r="Y5185" s="389"/>
      <c r="Z5185" s="388"/>
      <c r="AA5185" s="388"/>
      <c r="AB5185" s="390"/>
    </row>
    <row r="5186" spans="1:28">
      <c r="A5186" s="391"/>
      <c r="B5186" s="392"/>
      <c r="C5186" s="393" t="s">
        <v>118</v>
      </c>
      <c r="D5186" s="2578">
        <f>VLOOKUP(D5185,'Detail Balok'!$C$10:$AU$140,2,FALSE)</f>
        <v>200</v>
      </c>
      <c r="E5186" s="2579"/>
      <c r="F5186" s="388" t="s">
        <v>125</v>
      </c>
      <c r="G5186" s="2579">
        <f>VLOOKUP(D5185,'Detail Balok'!$C$10:$AU$140,3,FALSE)</f>
        <v>400</v>
      </c>
      <c r="H5186" s="2580"/>
      <c r="I5186" s="388"/>
      <c r="J5186" s="396"/>
      <c r="K5186" s="396"/>
      <c r="L5186" s="396"/>
      <c r="M5186" s="396"/>
      <c r="N5186" s="396"/>
      <c r="O5186" s="396"/>
      <c r="P5186" s="396"/>
      <c r="Q5186" s="396"/>
      <c r="R5186" s="396"/>
      <c r="S5186" s="396"/>
      <c r="T5186" s="396"/>
      <c r="U5186" s="388"/>
      <c r="V5186" s="396"/>
      <c r="W5186" s="388"/>
      <c r="X5186" s="396"/>
      <c r="Y5186" s="389"/>
      <c r="Z5186" s="396"/>
      <c r="AA5186" s="388"/>
      <c r="AB5186" s="390"/>
    </row>
    <row r="5187" spans="1:28">
      <c r="A5187" s="391"/>
      <c r="B5187" s="392"/>
      <c r="C5187" s="393" t="s">
        <v>198</v>
      </c>
      <c r="D5187" s="2562">
        <f>VLOOKUP(C5185,'Data Panjang Balok'!$C$9:$N$254,4,FALSE)</f>
        <v>8150</v>
      </c>
      <c r="E5187" s="2563"/>
      <c r="F5187" s="2563"/>
      <c r="G5187" s="2563"/>
      <c r="H5187" s="2564"/>
      <c r="I5187" s="397"/>
      <c r="J5187" s="396"/>
      <c r="K5187" s="396"/>
      <c r="L5187" s="396"/>
      <c r="M5187" s="396"/>
      <c r="N5187" s="396"/>
      <c r="O5187" s="396"/>
      <c r="P5187" s="396"/>
      <c r="Q5187" s="396"/>
      <c r="R5187" s="396"/>
      <c r="S5187" s="396"/>
      <c r="T5187" s="396"/>
      <c r="U5187" s="388"/>
      <c r="V5187" s="396"/>
      <c r="W5187" s="388"/>
      <c r="X5187" s="396"/>
      <c r="Y5187" s="389"/>
      <c r="Z5187" s="396"/>
      <c r="AA5187" s="388"/>
      <c r="AB5187" s="390"/>
    </row>
    <row r="5188" spans="1:28">
      <c r="A5188" s="391"/>
      <c r="B5188" s="392"/>
      <c r="C5188" s="393" t="s">
        <v>199</v>
      </c>
      <c r="D5188" s="2562">
        <f>VLOOKUP(C5185,'Data Panjang Balok'!$C$9:$N$254,7,FALSE)</f>
        <v>8150</v>
      </c>
      <c r="E5188" s="2563"/>
      <c r="F5188" s="2563"/>
      <c r="G5188" s="2563"/>
      <c r="H5188" s="2564"/>
      <c r="I5188" s="397"/>
      <c r="J5188" s="396"/>
      <c r="K5188" s="396"/>
      <c r="L5188" s="396"/>
      <c r="M5188" s="396"/>
      <c r="N5188" s="396"/>
      <c r="O5188" s="396"/>
      <c r="P5188" s="396"/>
      <c r="Q5188" s="396"/>
      <c r="R5188" s="396"/>
      <c r="S5188" s="396"/>
      <c r="T5188" s="396"/>
      <c r="U5188" s="388"/>
      <c r="V5188" s="396"/>
      <c r="W5188" s="388"/>
      <c r="X5188" s="396"/>
      <c r="Y5188" s="389"/>
      <c r="Z5188" s="396"/>
      <c r="AA5188" s="388"/>
      <c r="AB5188" s="390"/>
    </row>
    <row r="5189" spans="1:28">
      <c r="A5189" s="391"/>
      <c r="B5189" s="392"/>
      <c r="C5189" s="393" t="s">
        <v>200</v>
      </c>
      <c r="D5189" s="2562">
        <f>VLOOKUP(C5185,'Data Panjang Balok'!$C$9:$N$254,9,FALSE)</f>
        <v>0</v>
      </c>
      <c r="E5189" s="2563"/>
      <c r="F5189" s="2563"/>
      <c r="G5189" s="2563"/>
      <c r="H5189" s="2564"/>
      <c r="I5189" s="397"/>
      <c r="J5189" s="396"/>
      <c r="K5189" s="396"/>
      <c r="L5189" s="396"/>
      <c r="M5189" s="396"/>
      <c r="N5189" s="396"/>
      <c r="O5189" s="396"/>
      <c r="P5189" s="396"/>
      <c r="Q5189" s="396"/>
      <c r="R5189" s="396"/>
      <c r="S5189" s="396"/>
      <c r="T5189" s="396"/>
      <c r="U5189" s="388"/>
      <c r="V5189" s="396"/>
      <c r="W5189" s="388"/>
      <c r="X5189" s="396"/>
      <c r="Y5189" s="389"/>
      <c r="Z5189" s="396"/>
      <c r="AA5189" s="388"/>
      <c r="AB5189" s="390"/>
    </row>
    <row r="5190" spans="1:28">
      <c r="A5190" s="391"/>
      <c r="B5190" s="392"/>
      <c r="C5190" s="393" t="s">
        <v>201</v>
      </c>
      <c r="D5190" s="2562">
        <f>VLOOKUP(C5185,'Data Panjang Balok'!$C$9:$N$254,10,FALSE)</f>
        <v>0</v>
      </c>
      <c r="E5190" s="2563"/>
      <c r="F5190" s="2563"/>
      <c r="G5190" s="2563"/>
      <c r="H5190" s="2564"/>
      <c r="I5190" s="397"/>
      <c r="J5190" s="396"/>
      <c r="K5190" s="396"/>
      <c r="L5190" s="396"/>
      <c r="M5190" s="396"/>
      <c r="N5190" s="396"/>
      <c r="O5190" s="396"/>
      <c r="P5190" s="396"/>
      <c r="Q5190" s="396"/>
      <c r="R5190" s="396"/>
      <c r="S5190" s="396"/>
      <c r="T5190" s="396"/>
      <c r="U5190" s="388"/>
      <c r="V5190" s="396"/>
      <c r="W5190" s="388"/>
      <c r="X5190" s="396"/>
      <c r="Y5190" s="389"/>
      <c r="Z5190" s="396"/>
      <c r="AA5190" s="388"/>
      <c r="AB5190" s="390"/>
    </row>
    <row r="5191" spans="1:28">
      <c r="A5191" s="391"/>
      <c r="B5191" s="392"/>
      <c r="C5191" s="393" t="s">
        <v>48</v>
      </c>
      <c r="D5191" s="2562">
        <f>VLOOKUP(C5185,'Data Panjang Balok'!$C$9:$N$254,3,FALSE)</f>
        <v>1</v>
      </c>
      <c r="E5191" s="2563"/>
      <c r="F5191" s="2563"/>
      <c r="G5191" s="2563"/>
      <c r="H5191" s="2564"/>
      <c r="I5191" s="397"/>
      <c r="J5191" s="396"/>
      <c r="K5191" s="396"/>
      <c r="L5191" s="396"/>
      <c r="M5191" s="396"/>
      <c r="N5191" s="396"/>
      <c r="O5191" s="396"/>
      <c r="P5191" s="396"/>
      <c r="Q5191" s="396"/>
      <c r="R5191" s="396"/>
      <c r="S5191" s="396"/>
      <c r="T5191" s="396"/>
      <c r="U5191" s="388"/>
      <c r="V5191" s="396"/>
      <c r="W5191" s="388"/>
      <c r="X5191" s="396"/>
      <c r="Y5191" s="389"/>
      <c r="Z5191" s="396"/>
      <c r="AA5191" s="388"/>
      <c r="AB5191" s="390"/>
    </row>
    <row r="5192" spans="1:28">
      <c r="A5192" s="384" t="str">
        <f t="shared" ref="A5192:B5192" si="16757">A5185</f>
        <v>Lantai 3</v>
      </c>
      <c r="B5192" s="385">
        <f t="shared" si="16757"/>
        <v>31</v>
      </c>
      <c r="C5192" s="393" t="s">
        <v>202</v>
      </c>
      <c r="D5192" s="398">
        <f>VLOOKUP(D5185,'Detail Balok'!$C$10:$AU$140,4,FALSE)</f>
        <v>3</v>
      </c>
      <c r="E5192" s="388" t="s">
        <v>16</v>
      </c>
      <c r="F5192" s="388">
        <f>VLOOKUP(D5185,'Detail Balok'!$C$10:$AU$140,6,FALSE)</f>
        <v>16</v>
      </c>
      <c r="G5192" s="388"/>
      <c r="H5192" s="395"/>
      <c r="I5192" s="388" t="s">
        <v>203</v>
      </c>
      <c r="J5192" s="399">
        <f t="shared" ref="J5192" si="16758">+D5187/4/1000</f>
        <v>2.0375000000000001</v>
      </c>
      <c r="K5192" s="400" t="s">
        <v>204</v>
      </c>
      <c r="L5192" s="399">
        <f t="shared" ref="L5192" si="16759">MAX(VLOOKUP(F5192,N$6:P$15,3,FALSE)/1000,2/3*D5189/1000)+F$16*F5192/1000</f>
        <v>0.192</v>
      </c>
      <c r="M5192" s="399" t="s">
        <v>176</v>
      </c>
      <c r="N5192" s="399">
        <f t="shared" ref="N5192:N5194" si="16760">J5192+L5192</f>
        <v>2.2295000000000003</v>
      </c>
      <c r="O5192" s="399" t="s">
        <v>204</v>
      </c>
      <c r="P5192" s="389">
        <f t="shared" ref="P5192" si="16761">D5192-D5193</f>
        <v>0</v>
      </c>
      <c r="Q5192" s="399" t="s">
        <v>125</v>
      </c>
      <c r="R5192" s="399">
        <f t="shared" ref="R5192" si="16762">IF(P5192&gt;0,$F$18*F5192/1000,0)</f>
        <v>0</v>
      </c>
      <c r="S5192" s="399" t="s">
        <v>205</v>
      </c>
      <c r="T5192" s="399" t="s">
        <v>125</v>
      </c>
      <c r="U5192" s="401">
        <f t="shared" ref="U5192:U5194" si="16763">0.006165*F5192^2</f>
        <v>1.5782400000000001</v>
      </c>
      <c r="V5192" s="399"/>
      <c r="W5192" s="399"/>
      <c r="X5192" s="399" t="s">
        <v>125</v>
      </c>
      <c r="Y5192" s="389">
        <f t="shared" ref="Y5192" si="16764">D5191</f>
        <v>1</v>
      </c>
      <c r="Z5192" s="400" t="s">
        <v>176</v>
      </c>
      <c r="AA5192" s="402">
        <f t="shared" ref="AA5192" si="16765">IF(AA5195=0,(D5192*N5192+P5192*R5192)*U5192*Y5192,0)</f>
        <v>0</v>
      </c>
      <c r="AB5192" s="403"/>
    </row>
    <row r="5193" spans="1:28">
      <c r="A5193" s="384" t="str">
        <f t="shared" ref="A5193:B5193" si="16766">A5185</f>
        <v>Lantai 3</v>
      </c>
      <c r="B5193" s="385">
        <f t="shared" si="16766"/>
        <v>31</v>
      </c>
      <c r="C5193" s="393" t="s">
        <v>206</v>
      </c>
      <c r="D5193" s="398">
        <f>VLOOKUP(D5185,'Detail Balok'!$C$10:$AU$140,7,FALSE)</f>
        <v>3</v>
      </c>
      <c r="E5193" s="388" t="s">
        <v>16</v>
      </c>
      <c r="F5193" s="388">
        <f>VLOOKUP(D5185,'Detail Balok'!$C$10:$AU$140,9,FALSE)</f>
        <v>16</v>
      </c>
      <c r="G5193" s="388"/>
      <c r="H5193" s="395"/>
      <c r="I5193" s="388" t="s">
        <v>203</v>
      </c>
      <c r="J5193" s="399">
        <f t="shared" ref="J5193" si="16767">+D5187/2/1000</f>
        <v>4.0750000000000002</v>
      </c>
      <c r="K5193" s="400" t="s">
        <v>204</v>
      </c>
      <c r="L5193" s="399"/>
      <c r="M5193" s="399" t="s">
        <v>176</v>
      </c>
      <c r="N5193" s="399">
        <f t="shared" si="16760"/>
        <v>4.0750000000000002</v>
      </c>
      <c r="O5193" s="399" t="s">
        <v>204</v>
      </c>
      <c r="P5193" s="389">
        <f t="shared" ref="P5193" si="16768">MAX(D5193-D5192,D5193-D5194)</f>
        <v>0</v>
      </c>
      <c r="Q5193" s="399" t="s">
        <v>125</v>
      </c>
      <c r="R5193" s="399">
        <f t="shared" ref="R5193" si="16769">IF(P5193&gt;0,2*(1-2*$F$19-1/2)*D5188/1000,0)</f>
        <v>0</v>
      </c>
      <c r="S5193" s="399" t="s">
        <v>205</v>
      </c>
      <c r="T5193" s="399" t="s">
        <v>125</v>
      </c>
      <c r="U5193" s="401">
        <f t="shared" si="16763"/>
        <v>1.5782400000000001</v>
      </c>
      <c r="V5193" s="399"/>
      <c r="W5193" s="399"/>
      <c r="X5193" s="399" t="s">
        <v>125</v>
      </c>
      <c r="Y5193" s="389">
        <f t="shared" ref="Y5193" si="16770">D5191</f>
        <v>1</v>
      </c>
      <c r="Z5193" s="400" t="s">
        <v>176</v>
      </c>
      <c r="AA5193" s="402">
        <f t="shared" ref="AA5193" si="16771">IF(AA5195=0,(D5193*N5193+P5193*R5193)*U5193*Y5193,0)</f>
        <v>0</v>
      </c>
      <c r="AB5193" s="403"/>
    </row>
    <row r="5194" spans="1:28">
      <c r="A5194" s="384" t="str">
        <f t="shared" ref="A5194:B5194" si="16772">A5185</f>
        <v>Lantai 3</v>
      </c>
      <c r="B5194" s="385">
        <f t="shared" si="16772"/>
        <v>31</v>
      </c>
      <c r="C5194" s="393" t="s">
        <v>202</v>
      </c>
      <c r="D5194" s="398">
        <f>VLOOKUP(D5185,'Detail Balok'!$C$10:$AU$140,10,FALSE)</f>
        <v>3</v>
      </c>
      <c r="E5194" s="388" t="s">
        <v>16</v>
      </c>
      <c r="F5194" s="388">
        <f>VLOOKUP(D5185,'Detail Balok'!$C$10:$AU$140,12,FALSE)</f>
        <v>16</v>
      </c>
      <c r="G5194" s="388"/>
      <c r="H5194" s="395"/>
      <c r="I5194" s="388" t="s">
        <v>203</v>
      </c>
      <c r="J5194" s="399">
        <f t="shared" ref="J5194" si="16773">+D5187/4/1000</f>
        <v>2.0375000000000001</v>
      </c>
      <c r="K5194" s="400" t="s">
        <v>204</v>
      </c>
      <c r="L5194" s="399">
        <f t="shared" ref="L5194" si="16774">MAX(VLOOKUP(F5194,N$6:P$15,3,FALSE)/1000,2/3*D5189/1000)+F$16*F5194/1000</f>
        <v>0.192</v>
      </c>
      <c r="M5194" s="399" t="s">
        <v>176</v>
      </c>
      <c r="N5194" s="399">
        <f t="shared" si="16760"/>
        <v>2.2295000000000003</v>
      </c>
      <c r="O5194" s="399" t="s">
        <v>204</v>
      </c>
      <c r="P5194" s="389">
        <f t="shared" ref="P5194" si="16775">D5194-D5193</f>
        <v>0</v>
      </c>
      <c r="Q5194" s="399" t="s">
        <v>125</v>
      </c>
      <c r="R5194" s="399">
        <f t="shared" ref="R5194" si="16776">IF(P5194&gt;0,$F$18*F5194/1000,0)</f>
        <v>0</v>
      </c>
      <c r="S5194" s="399" t="s">
        <v>205</v>
      </c>
      <c r="T5194" s="399" t="s">
        <v>125</v>
      </c>
      <c r="U5194" s="401">
        <f t="shared" si="16763"/>
        <v>1.5782400000000001</v>
      </c>
      <c r="V5194" s="399"/>
      <c r="W5194" s="399"/>
      <c r="X5194" s="399" t="s">
        <v>125</v>
      </c>
      <c r="Y5194" s="389">
        <f t="shared" ref="Y5194" si="16777">D5191</f>
        <v>1</v>
      </c>
      <c r="Z5194" s="400" t="s">
        <v>176</v>
      </c>
      <c r="AA5194" s="402">
        <f t="shared" ref="AA5194" si="16778">IF(AA5195=0,(D5194*N5194+P5194*R5194)*U5194*Y5194,0)</f>
        <v>0</v>
      </c>
      <c r="AB5194" s="403"/>
    </row>
    <row r="5195" spans="1:28">
      <c r="A5195" s="384" t="str">
        <f t="shared" ref="A5195:B5195" si="16779">A5185</f>
        <v>Lantai 3</v>
      </c>
      <c r="B5195" s="385">
        <f t="shared" si="16779"/>
        <v>31</v>
      </c>
      <c r="C5195" s="393"/>
      <c r="D5195" s="398">
        <f t="shared" si="16582"/>
        <v>3</v>
      </c>
      <c r="E5195" s="388" t="s">
        <v>16</v>
      </c>
      <c r="F5195" s="388">
        <f t="shared" si="16583"/>
        <v>16</v>
      </c>
      <c r="G5195" s="388"/>
      <c r="H5195" s="395"/>
      <c r="I5195" s="388"/>
      <c r="J5195" s="396"/>
      <c r="K5195" s="396"/>
      <c r="L5195" s="404" t="s">
        <v>207</v>
      </c>
      <c r="M5195" s="399" t="s">
        <v>176</v>
      </c>
      <c r="N5195" s="399">
        <f t="shared" ref="N5195" si="16780">IF(AND(D5192=D5193,D5192=D5194,D5193=D5194,F5192=F5193,F5192=F5194,F5193=F5194),SUM(N5192:N5194),0)</f>
        <v>8.5340000000000007</v>
      </c>
      <c r="O5195" s="399" t="s">
        <v>204</v>
      </c>
      <c r="P5195" s="389">
        <f t="shared" ref="P5195" si="16781">IF(N5195&gt;12,ROUNDDOWN(N5195/12,0),0)</f>
        <v>0</v>
      </c>
      <c r="Q5195" s="399" t="s">
        <v>125</v>
      </c>
      <c r="R5195" s="399">
        <f t="shared" ref="R5195" si="16782">IF(P5195&gt;0,MAX(VLOOKUP(F5195,$D$6:$G$15,3,FALSE),600),0)/1000</f>
        <v>0</v>
      </c>
      <c r="S5195" s="396"/>
      <c r="T5195" s="396" t="s">
        <v>125</v>
      </c>
      <c r="U5195" s="401">
        <f t="shared" si="16587"/>
        <v>1.5782400000000001</v>
      </c>
      <c r="V5195" s="396" t="s">
        <v>125</v>
      </c>
      <c r="W5195" s="399">
        <f t="shared" ref="W5195" si="16783">D5195</f>
        <v>3</v>
      </c>
      <c r="X5195" s="399" t="s">
        <v>125</v>
      </c>
      <c r="Y5195" s="389">
        <f t="shared" si="16589"/>
        <v>1</v>
      </c>
      <c r="Z5195" s="400" t="s">
        <v>176</v>
      </c>
      <c r="AA5195" s="402">
        <f t="shared" ref="AA5195" si="16784">(N5195+P5195*R5195/1000)*U5195*W5195*Y5195</f>
        <v>40.406100480000006</v>
      </c>
      <c r="AB5195" s="390"/>
    </row>
    <row r="5196" spans="1:28">
      <c r="A5196" s="384"/>
      <c r="B5196" s="385"/>
      <c r="C5196" s="393"/>
      <c r="D5196" s="398"/>
      <c r="E5196" s="388"/>
      <c r="F5196" s="388"/>
      <c r="G5196" s="388"/>
      <c r="H5196" s="395"/>
      <c r="I5196" s="388"/>
      <c r="J5196" s="396"/>
      <c r="K5196" s="396"/>
      <c r="L5196" s="404"/>
      <c r="M5196" s="399"/>
      <c r="N5196" s="399"/>
      <c r="O5196" s="396"/>
      <c r="P5196" s="389"/>
      <c r="Q5196" s="396"/>
      <c r="R5196" s="396"/>
      <c r="S5196" s="396"/>
      <c r="T5196" s="396"/>
      <c r="U5196" s="401"/>
      <c r="V5196" s="396"/>
      <c r="W5196" s="399"/>
      <c r="X5196" s="396"/>
      <c r="Y5196" s="389"/>
      <c r="Z5196" s="396"/>
      <c r="AA5196" s="388"/>
      <c r="AB5196" s="390"/>
    </row>
    <row r="5197" spans="1:28">
      <c r="A5197" s="384" t="str">
        <f t="shared" ref="A5197:B5197" si="16785">A5185</f>
        <v>Lantai 3</v>
      </c>
      <c r="B5197" s="385">
        <f t="shared" si="16785"/>
        <v>31</v>
      </c>
      <c r="C5197" s="393" t="s">
        <v>208</v>
      </c>
      <c r="D5197" s="398">
        <f>VLOOKUP(D5185,'Detail Balok'!$C$10:$AU$140,13,FALSE)</f>
        <v>0</v>
      </c>
      <c r="E5197" s="388" t="s">
        <v>16</v>
      </c>
      <c r="F5197" s="388">
        <f>VLOOKUP(D5185,'Detail Balok'!$C$10:$AU$140,15,FALSE)</f>
        <v>8</v>
      </c>
      <c r="G5197" s="388"/>
      <c r="H5197" s="395"/>
      <c r="I5197" s="388"/>
      <c r="J5197" s="399">
        <f t="shared" ref="J5197" si="16786">+D5187/1000</f>
        <v>8.15</v>
      </c>
      <c r="K5197" s="400" t="s">
        <v>204</v>
      </c>
      <c r="L5197" s="399">
        <f t="shared" ref="L5197" si="16787">2*$F$16*F5197/1000</f>
        <v>0.192</v>
      </c>
      <c r="M5197" s="399" t="s">
        <v>176</v>
      </c>
      <c r="N5197" s="399">
        <f t="shared" ref="N5197" si="16788">J5197+L5197</f>
        <v>8.3420000000000005</v>
      </c>
      <c r="O5197" s="399" t="s">
        <v>204</v>
      </c>
      <c r="P5197" s="389">
        <f t="shared" ref="P5197" si="16789">IF(N5197&gt;12,ROUNDDOWN(N5197/12,0),0)</f>
        <v>0</v>
      </c>
      <c r="Q5197" s="399" t="s">
        <v>125</v>
      </c>
      <c r="R5197" s="399">
        <f t="shared" ref="R5197" si="16790">IF(P5197&gt;0,MAX(VLOOKUP(F5197,$D$6:$G$15,3,FALSE),600),0)/1000</f>
        <v>0</v>
      </c>
      <c r="S5197" s="399"/>
      <c r="T5197" s="399" t="s">
        <v>125</v>
      </c>
      <c r="U5197" s="401">
        <f t="shared" ref="U5197" si="16791">0.006165*F5197^2</f>
        <v>0.39456000000000002</v>
      </c>
      <c r="V5197" s="399" t="s">
        <v>125</v>
      </c>
      <c r="W5197" s="399">
        <f t="shared" ref="W5197" si="16792">+D5197</f>
        <v>0</v>
      </c>
      <c r="X5197" s="399" t="s">
        <v>125</v>
      </c>
      <c r="Y5197" s="389">
        <f t="shared" ref="Y5197" si="16793">D5191</f>
        <v>1</v>
      </c>
      <c r="Z5197" s="400" t="s">
        <v>176</v>
      </c>
      <c r="AA5197" s="402">
        <f t="shared" ref="AA5197" si="16794">(N5197+P5197*R5197/1000)*U5197*W5197*Y5197</f>
        <v>0</v>
      </c>
      <c r="AB5197" s="403"/>
    </row>
    <row r="5198" spans="1:28">
      <c r="A5198" s="384"/>
      <c r="B5198" s="385"/>
      <c r="C5198" s="393"/>
      <c r="D5198" s="398"/>
      <c r="E5198" s="388"/>
      <c r="F5198" s="388"/>
      <c r="G5198" s="388"/>
      <c r="H5198" s="395"/>
      <c r="I5198" s="388"/>
      <c r="J5198" s="399"/>
      <c r="K5198" s="400"/>
      <c r="L5198" s="399"/>
      <c r="M5198" s="399"/>
      <c r="N5198" s="399"/>
      <c r="O5198" s="399"/>
      <c r="P5198" s="389"/>
      <c r="Q5198" s="399"/>
      <c r="R5198" s="399"/>
      <c r="S5198" s="399"/>
      <c r="T5198" s="399"/>
      <c r="U5198" s="401"/>
      <c r="V5198" s="399"/>
      <c r="W5198" s="399"/>
      <c r="X5198" s="399"/>
      <c r="Y5198" s="389"/>
      <c r="Z5198" s="400"/>
      <c r="AA5198" s="402"/>
      <c r="AB5198" s="403"/>
    </row>
    <row r="5199" spans="1:28">
      <c r="A5199" s="384"/>
      <c r="B5199" s="385"/>
      <c r="C5199" s="393"/>
      <c r="D5199" s="398"/>
      <c r="E5199" s="388"/>
      <c r="F5199" s="388"/>
      <c r="G5199" s="388"/>
      <c r="H5199" s="395"/>
      <c r="I5199" s="388"/>
      <c r="J5199" s="396"/>
      <c r="K5199" s="396"/>
      <c r="L5199" s="396"/>
      <c r="M5199" s="396"/>
      <c r="N5199" s="396"/>
      <c r="O5199" s="396"/>
      <c r="P5199" s="389"/>
      <c r="Q5199" s="396"/>
      <c r="R5199" s="396"/>
      <c r="S5199" s="396"/>
      <c r="T5199" s="396"/>
      <c r="U5199" s="401"/>
      <c r="V5199" s="396"/>
      <c r="W5199" s="399"/>
      <c r="X5199" s="396"/>
      <c r="Y5199" s="389"/>
      <c r="Z5199" s="396"/>
      <c r="AA5199" s="388"/>
      <c r="AB5199" s="390"/>
    </row>
    <row r="5200" spans="1:28">
      <c r="A5200" s="384" t="str">
        <f t="shared" ref="A5200:B5200" si="16795">A5185</f>
        <v>Lantai 3</v>
      </c>
      <c r="B5200" s="385">
        <f t="shared" si="16795"/>
        <v>31</v>
      </c>
      <c r="C5200" s="393" t="s">
        <v>209</v>
      </c>
      <c r="D5200" s="398">
        <f>VLOOKUP(D5185,'Detail Balok'!$C$10:$AU$140,22,FALSE)</f>
        <v>3</v>
      </c>
      <c r="E5200" s="388" t="s">
        <v>16</v>
      </c>
      <c r="F5200" s="388">
        <f>VLOOKUP(D5185,'Detail Balok'!$C$10:$AU$140,24,FALSE)</f>
        <v>16</v>
      </c>
      <c r="G5200" s="388"/>
      <c r="H5200" s="395"/>
      <c r="I5200" s="388" t="s">
        <v>203</v>
      </c>
      <c r="J5200" s="399">
        <f t="shared" si="16602"/>
        <v>2.0375000000000001</v>
      </c>
      <c r="K5200" s="400" t="s">
        <v>204</v>
      </c>
      <c r="L5200" s="399">
        <f t="shared" ref="L5200" si="16796">MAX(VLOOKUP(F5200,N$6:P$15,3,FALSE)/1000,2/3*D5190/1000)+F$16*F5200/1000</f>
        <v>0.192</v>
      </c>
      <c r="M5200" s="399" t="s">
        <v>176</v>
      </c>
      <c r="N5200" s="399">
        <f t="shared" ref="N5200:N5202" si="16797">J5200+L5200</f>
        <v>2.2295000000000003</v>
      </c>
      <c r="O5200" s="399" t="s">
        <v>204</v>
      </c>
      <c r="P5200" s="389">
        <f t="shared" ref="P5200" si="16798">D5200-D5201</f>
        <v>0</v>
      </c>
      <c r="Q5200" s="399" t="s">
        <v>125</v>
      </c>
      <c r="R5200" s="399">
        <f t="shared" ref="R5200" si="16799">IF(P5200&gt;0,$F$18*F5200/1000,0)</f>
        <v>0</v>
      </c>
      <c r="S5200" s="399" t="s">
        <v>205</v>
      </c>
      <c r="T5200" s="399" t="s">
        <v>125</v>
      </c>
      <c r="U5200" s="401">
        <f t="shared" ref="U5200:U5202" si="16800">0.006165*F5200^2</f>
        <v>1.5782400000000001</v>
      </c>
      <c r="V5200" s="399"/>
      <c r="W5200" s="399"/>
      <c r="X5200" s="399" t="s">
        <v>125</v>
      </c>
      <c r="Y5200" s="389">
        <f t="shared" ref="Y5200" si="16801">D5191</f>
        <v>1</v>
      </c>
      <c r="Z5200" s="400" t="s">
        <v>176</v>
      </c>
      <c r="AA5200" s="402">
        <f t="shared" ref="AA5200" si="16802">IF(AA5203=0,(D5200*N5200+P5200*R5200)*U5200*Y5200,0)</f>
        <v>0</v>
      </c>
      <c r="AB5200" s="403"/>
    </row>
    <row r="5201" spans="1:28">
      <c r="A5201" s="384" t="str">
        <f t="shared" ref="A5201:B5201" si="16803">A5185</f>
        <v>Lantai 3</v>
      </c>
      <c r="B5201" s="385">
        <f t="shared" si="16803"/>
        <v>31</v>
      </c>
      <c r="C5201" s="393" t="s">
        <v>210</v>
      </c>
      <c r="D5201" s="398">
        <f>VLOOKUP(D5185,'Detail Balok'!$C$10:$AU$140,25,FALSE)</f>
        <v>3</v>
      </c>
      <c r="E5201" s="388" t="s">
        <v>16</v>
      </c>
      <c r="F5201" s="388">
        <f>VLOOKUP(D5185,'Detail Balok'!$C$10:$AU$140,27,FALSE)</f>
        <v>16</v>
      </c>
      <c r="G5201" s="388"/>
      <c r="H5201" s="395"/>
      <c r="I5201" s="388" t="s">
        <v>203</v>
      </c>
      <c r="J5201" s="399">
        <f t="shared" si="16602"/>
        <v>4.0750000000000002</v>
      </c>
      <c r="K5201" s="400" t="s">
        <v>204</v>
      </c>
      <c r="L5201" s="399"/>
      <c r="M5201" s="399" t="s">
        <v>176</v>
      </c>
      <c r="N5201" s="399">
        <f t="shared" si="16797"/>
        <v>4.0750000000000002</v>
      </c>
      <c r="O5201" s="399" t="s">
        <v>204</v>
      </c>
      <c r="P5201" s="389">
        <f t="shared" ref="P5201" si="16804">MAX(D5201-D5200,D5201-D5202)</f>
        <v>0</v>
      </c>
      <c r="Q5201" s="399" t="s">
        <v>125</v>
      </c>
      <c r="R5201" s="399">
        <f t="shared" ref="R5201" si="16805">IF(P5201&gt;0,2*(1-2*$F$19-1/2)*D5188/1000,0)</f>
        <v>0</v>
      </c>
      <c r="S5201" s="399" t="s">
        <v>205</v>
      </c>
      <c r="T5201" s="399" t="s">
        <v>125</v>
      </c>
      <c r="U5201" s="401">
        <f t="shared" si="16800"/>
        <v>1.5782400000000001</v>
      </c>
      <c r="V5201" s="399"/>
      <c r="W5201" s="399"/>
      <c r="X5201" s="399" t="s">
        <v>125</v>
      </c>
      <c r="Y5201" s="389">
        <f t="shared" ref="Y5201" si="16806">D5191</f>
        <v>1</v>
      </c>
      <c r="Z5201" s="400" t="s">
        <v>176</v>
      </c>
      <c r="AA5201" s="402">
        <f t="shared" ref="AA5201" si="16807">IF(AA5203=0,(D5201*N5201+P5201*R5201)*U5201*Y5201,0)</f>
        <v>0</v>
      </c>
      <c r="AB5201" s="403"/>
    </row>
    <row r="5202" spans="1:28">
      <c r="A5202" s="384" t="str">
        <f t="shared" ref="A5202:B5202" si="16808">A5185</f>
        <v>Lantai 3</v>
      </c>
      <c r="B5202" s="385">
        <f t="shared" si="16808"/>
        <v>31</v>
      </c>
      <c r="C5202" s="393" t="s">
        <v>209</v>
      </c>
      <c r="D5202" s="398">
        <f>VLOOKUP(D5185,'Detail Balok'!$C$10:$AU$140,28,FALSE)</f>
        <v>3</v>
      </c>
      <c r="E5202" s="388" t="s">
        <v>16</v>
      </c>
      <c r="F5202" s="388">
        <f>VLOOKUP(D5185,'Detail Balok'!$C$10:$AU$140,30,FALSE)</f>
        <v>16</v>
      </c>
      <c r="G5202" s="388"/>
      <c r="H5202" s="395"/>
      <c r="I5202" s="388" t="s">
        <v>203</v>
      </c>
      <c r="J5202" s="399">
        <f t="shared" si="16602"/>
        <v>2.0375000000000001</v>
      </c>
      <c r="K5202" s="400" t="s">
        <v>204</v>
      </c>
      <c r="L5202" s="399">
        <f t="shared" ref="L5202" si="16809">MAX(VLOOKUP(F5202,N$6:P$15,3,FALSE)/1000,2/3*D5190/1000)+F$16*F5202/1000</f>
        <v>0.192</v>
      </c>
      <c r="M5202" s="399" t="s">
        <v>176</v>
      </c>
      <c r="N5202" s="399">
        <f t="shared" si="16797"/>
        <v>2.2295000000000003</v>
      </c>
      <c r="O5202" s="399" t="s">
        <v>204</v>
      </c>
      <c r="P5202" s="389">
        <f t="shared" ref="P5202" si="16810">D5202-D5201</f>
        <v>0</v>
      </c>
      <c r="Q5202" s="399" t="s">
        <v>125</v>
      </c>
      <c r="R5202" s="399">
        <f t="shared" ref="R5202" si="16811">IF(P5202&gt;0,$F$18*F5202/1000,0)</f>
        <v>0</v>
      </c>
      <c r="S5202" s="399" t="s">
        <v>205</v>
      </c>
      <c r="T5202" s="399" t="s">
        <v>125</v>
      </c>
      <c r="U5202" s="401">
        <f t="shared" si="16800"/>
        <v>1.5782400000000001</v>
      </c>
      <c r="V5202" s="399"/>
      <c r="W5202" s="399"/>
      <c r="X5202" s="399" t="s">
        <v>125</v>
      </c>
      <c r="Y5202" s="389">
        <f t="shared" ref="Y5202" si="16812">D5191</f>
        <v>1</v>
      </c>
      <c r="Z5202" s="400" t="s">
        <v>176</v>
      </c>
      <c r="AA5202" s="402">
        <f t="shared" ref="AA5202" si="16813">IF(AA5203=0,(D5202*N5202+P5202*R5202)*U5202*Y5202,0)</f>
        <v>0</v>
      </c>
      <c r="AB5202" s="403"/>
    </row>
    <row r="5203" spans="1:28">
      <c r="A5203" s="384" t="str">
        <f t="shared" ref="A5203:B5203" si="16814">A5185</f>
        <v>Lantai 3</v>
      </c>
      <c r="B5203" s="385">
        <f t="shared" si="16814"/>
        <v>31</v>
      </c>
      <c r="C5203" s="393"/>
      <c r="D5203" s="398">
        <f t="shared" si="16622"/>
        <v>3</v>
      </c>
      <c r="E5203" s="388" t="s">
        <v>16</v>
      </c>
      <c r="F5203" s="388">
        <f t="shared" si="16623"/>
        <v>16</v>
      </c>
      <c r="G5203" s="388"/>
      <c r="H5203" s="395"/>
      <c r="I5203" s="388"/>
      <c r="J5203" s="396"/>
      <c r="K5203" s="396"/>
      <c r="L5203" s="404" t="s">
        <v>207</v>
      </c>
      <c r="M5203" s="399" t="s">
        <v>176</v>
      </c>
      <c r="N5203" s="399">
        <f t="shared" ref="N5203" si="16815">IF(AND(D5200=D5201,D5200=D5202,D5201=D5202,F5200=F5201,F5200=F5202,F5201=F5202),SUM(N5200:N5202),0)</f>
        <v>8.5340000000000007</v>
      </c>
      <c r="O5203" s="399" t="s">
        <v>204</v>
      </c>
      <c r="P5203" s="389">
        <f t="shared" ref="P5203" si="16816">IF(N5203&gt;12,ROUNDDOWN(N5203/12,0),0)</f>
        <v>0</v>
      </c>
      <c r="Q5203" s="399" t="s">
        <v>125</v>
      </c>
      <c r="R5203" s="399">
        <f t="shared" ref="R5203" si="16817">IF(P5203&gt;0,MAX(VLOOKUP(F5203,$D$6:$G$15,3,FALSE),600),0)/1000</f>
        <v>0</v>
      </c>
      <c r="S5203" s="396"/>
      <c r="T5203" s="396" t="s">
        <v>125</v>
      </c>
      <c r="U5203" s="401">
        <f t="shared" si="16627"/>
        <v>1.5782400000000001</v>
      </c>
      <c r="V5203" s="396" t="s">
        <v>125</v>
      </c>
      <c r="W5203" s="399">
        <f t="shared" ref="W5203" si="16818">D5203</f>
        <v>3</v>
      </c>
      <c r="X5203" s="399" t="s">
        <v>125</v>
      </c>
      <c r="Y5203" s="389">
        <f t="shared" si="16629"/>
        <v>1</v>
      </c>
      <c r="Z5203" s="400" t="s">
        <v>176</v>
      </c>
      <c r="AA5203" s="402">
        <f t="shared" ref="AA5203" si="16819">(N5203+P5203*R5203/1000)*U5203*W5203*Y5203</f>
        <v>40.406100480000006</v>
      </c>
      <c r="AB5203" s="403"/>
    </row>
    <row r="5204" spans="1:28">
      <c r="A5204" s="384"/>
      <c r="B5204" s="385"/>
      <c r="C5204" s="393"/>
      <c r="D5204" s="394"/>
      <c r="E5204" s="388"/>
      <c r="F5204" s="388"/>
      <c r="G5204" s="388"/>
      <c r="H5204" s="395"/>
      <c r="I5204" s="388"/>
      <c r="J5204" s="399"/>
      <c r="K5204" s="396"/>
      <c r="L5204" s="396"/>
      <c r="M5204" s="396"/>
      <c r="N5204" s="396"/>
      <c r="O5204" s="396"/>
      <c r="P5204" s="389"/>
      <c r="Q5204" s="396"/>
      <c r="R5204" s="396"/>
      <c r="S5204" s="396"/>
      <c r="T5204" s="396"/>
      <c r="U5204" s="401"/>
      <c r="V5204" s="396"/>
      <c r="W5204" s="388"/>
      <c r="X5204" s="396"/>
      <c r="Y5204" s="389"/>
      <c r="Z5204" s="396"/>
      <c r="AA5204" s="388"/>
      <c r="AB5204" s="390"/>
    </row>
    <row r="5205" spans="1:28">
      <c r="A5205" s="384" t="str">
        <f t="shared" ref="A5205:B5205" si="16820">A5185</f>
        <v>Lantai 3</v>
      </c>
      <c r="B5205" s="385">
        <f t="shared" si="16820"/>
        <v>31</v>
      </c>
      <c r="C5205" s="393" t="s">
        <v>211</v>
      </c>
      <c r="D5205" s="398">
        <f>VLOOKUP(D5185,'Detail Balok'!$C$10:$AU$140,31,FALSE)</f>
        <v>0</v>
      </c>
      <c r="E5205" s="388" t="s">
        <v>16</v>
      </c>
      <c r="F5205" s="388">
        <f>VLOOKUP(D5185,'Detail Balok'!$C$10:$AU$140,33,FALSE)</f>
        <v>10</v>
      </c>
      <c r="G5205" s="405" t="s">
        <v>157</v>
      </c>
      <c r="H5205" s="395">
        <f>VLOOKUP(D5185,'Detail Balok'!$C$10:$AU$140,35,FALSE)</f>
        <v>100</v>
      </c>
      <c r="I5205" s="388"/>
      <c r="J5205" s="400">
        <f t="shared" ref="J5205" si="16821">(IF(D5205=0,(2*(D5186+G5186))-(F$5*8),IF(D5205=3,(2*(D5186+G5186))-(F$5*8)+(G5186-2*F$5),IF(D5205=4,(2*(D5186+G5186))-(F$5*8)+2*(G5186-2*F$5)))))/1000</f>
        <v>0.88</v>
      </c>
      <c r="K5205" s="400" t="s">
        <v>204</v>
      </c>
      <c r="L5205" s="399">
        <f t="shared" ref="L5205:L5207" si="16822">IF(D5205=0,2*MAX(6*F5205,75),(D5205-1)*2*MAX(6*F5205,75))/1000</f>
        <v>0.15</v>
      </c>
      <c r="M5205" s="399" t="s">
        <v>176</v>
      </c>
      <c r="N5205" s="399">
        <f t="shared" ref="N5205:N5207" si="16823">J5205+L5205</f>
        <v>1.03</v>
      </c>
      <c r="O5205" s="399"/>
      <c r="P5205" s="389"/>
      <c r="Q5205" s="399"/>
      <c r="R5205" s="399"/>
      <c r="S5205" s="399"/>
      <c r="T5205" s="399" t="s">
        <v>125</v>
      </c>
      <c r="U5205" s="401">
        <f t="shared" ref="U5205:U5207" si="16824">0.006165*F5205^2</f>
        <v>0.61650000000000005</v>
      </c>
      <c r="V5205" s="399" t="s">
        <v>125</v>
      </c>
      <c r="W5205" s="399">
        <f t="shared" ref="W5205" si="16825">IF(D5188&gt;4*G5186,ROUND(MAX(D5188/4,2*G5186)/H5205,0)+1,ROUND(D5188/H5205,0)+1)</f>
        <v>21</v>
      </c>
      <c r="X5205" s="399" t="s">
        <v>125</v>
      </c>
      <c r="Y5205" s="389">
        <f t="shared" ref="Y5205" si="16826">D5191</f>
        <v>1</v>
      </c>
      <c r="Z5205" s="400" t="s">
        <v>176</v>
      </c>
      <c r="AA5205" s="402">
        <f t="shared" ref="AA5205:AA5207" si="16827">N5205*U5205*W5205*Y5205</f>
        <v>13.334895000000001</v>
      </c>
      <c r="AB5205" s="403"/>
    </row>
    <row r="5206" spans="1:28">
      <c r="A5206" s="384" t="str">
        <f t="shared" ref="A5206:B5206" si="16828">A5185</f>
        <v>Lantai 3</v>
      </c>
      <c r="B5206" s="385">
        <f t="shared" si="16828"/>
        <v>31</v>
      </c>
      <c r="C5206" s="393" t="s">
        <v>212</v>
      </c>
      <c r="D5206" s="398">
        <f>VLOOKUP(D5185,'Detail Balok'!$C$10:$AU$140,36,FALSE)</f>
        <v>0</v>
      </c>
      <c r="E5206" s="388" t="s">
        <v>16</v>
      </c>
      <c r="F5206" s="388">
        <f>VLOOKUP(D5185,'Detail Balok'!$C$10:$AU$140,38,FALSE)</f>
        <v>10</v>
      </c>
      <c r="G5206" s="405" t="s">
        <v>157</v>
      </c>
      <c r="H5206" s="395">
        <f>VLOOKUP(D5185,'Detail Balok'!$C$10:$AU$140,40,FALSE)</f>
        <v>100</v>
      </c>
      <c r="I5206" s="388"/>
      <c r="J5206" s="400">
        <f t="shared" ref="J5206" si="16829">(IF(D5206=0,(2*(D5186+G5186))-(F$5*8),IF(D5206=3,(2*(D5186+G5186))-(F$5*8)+(G5186-2*F$5),IF(D5206=4,(2*(D5186+G5186))-(F$5*8)+2*(G5186-2*F$5)))))/1000</f>
        <v>0.88</v>
      </c>
      <c r="K5206" s="400" t="s">
        <v>204</v>
      </c>
      <c r="L5206" s="399">
        <f t="shared" si="16822"/>
        <v>0.15</v>
      </c>
      <c r="M5206" s="399" t="s">
        <v>176</v>
      </c>
      <c r="N5206" s="399">
        <f t="shared" si="16823"/>
        <v>1.03</v>
      </c>
      <c r="O5206" s="399"/>
      <c r="P5206" s="389"/>
      <c r="Q5206" s="399"/>
      <c r="R5206" s="399"/>
      <c r="S5206" s="399"/>
      <c r="T5206" s="399" t="s">
        <v>125</v>
      </c>
      <c r="U5206" s="401">
        <f t="shared" si="16824"/>
        <v>0.61650000000000005</v>
      </c>
      <c r="V5206" s="399" t="s">
        <v>125</v>
      </c>
      <c r="W5206" s="399">
        <f t="shared" ref="W5206" si="16830">IF(D5188-MAX(D5188/4,2*G5186)*2&gt;0,ROUND((D5188-MAX(D5188/4,2*G5186)*2)/H5206,0),0)</f>
        <v>41</v>
      </c>
      <c r="X5206" s="399" t="s">
        <v>125</v>
      </c>
      <c r="Y5206" s="389">
        <f t="shared" ref="Y5206" si="16831">D5191</f>
        <v>1</v>
      </c>
      <c r="Z5206" s="400" t="s">
        <v>176</v>
      </c>
      <c r="AA5206" s="402">
        <f t="shared" si="16827"/>
        <v>26.034795000000003</v>
      </c>
      <c r="AB5206" s="403"/>
    </row>
    <row r="5207" spans="1:28">
      <c r="A5207" s="384" t="str">
        <f t="shared" ref="A5207:B5207" si="16832">A5185</f>
        <v>Lantai 3</v>
      </c>
      <c r="B5207" s="385">
        <f t="shared" si="16832"/>
        <v>31</v>
      </c>
      <c r="C5207" s="393" t="s">
        <v>211</v>
      </c>
      <c r="D5207" s="398">
        <f>VLOOKUP(D5185,'Detail Balok'!$C$10:$AU$140,41,FALSE)</f>
        <v>0</v>
      </c>
      <c r="E5207" s="388" t="s">
        <v>16</v>
      </c>
      <c r="F5207" s="388">
        <f>VLOOKUP(D5185,'Detail Balok'!$C$10:$AU$140,43,FALSE)</f>
        <v>10</v>
      </c>
      <c r="G5207" s="405" t="s">
        <v>157</v>
      </c>
      <c r="H5207" s="395">
        <f>VLOOKUP(D5185,'Detail Balok'!$C$10:$AU$140,45,FALSE)</f>
        <v>100</v>
      </c>
      <c r="I5207" s="388"/>
      <c r="J5207" s="400">
        <f t="shared" ref="J5207" si="16833">(IF(D5207=0,(2*(D5186+G5186))-(F$5*8),IF(D5207=3,(2*(D5186+G5186))-(F$5*8)+(G5186-2*F$5),IF(D5207=4,(2*(D5186+G5186))-(F$5*8)+2*(G5186-2*F$5)))))/1000</f>
        <v>0.88</v>
      </c>
      <c r="K5207" s="400" t="s">
        <v>204</v>
      </c>
      <c r="L5207" s="399">
        <f t="shared" si="16822"/>
        <v>0.15</v>
      </c>
      <c r="M5207" s="399" t="s">
        <v>176</v>
      </c>
      <c r="N5207" s="399">
        <f t="shared" si="16823"/>
        <v>1.03</v>
      </c>
      <c r="O5207" s="399"/>
      <c r="P5207" s="389"/>
      <c r="Q5207" s="399"/>
      <c r="R5207" s="399"/>
      <c r="S5207" s="399"/>
      <c r="T5207" s="399" t="s">
        <v>125</v>
      </c>
      <c r="U5207" s="401">
        <f t="shared" si="16824"/>
        <v>0.61650000000000005</v>
      </c>
      <c r="V5207" s="399" t="s">
        <v>125</v>
      </c>
      <c r="W5207" s="399">
        <f t="shared" ref="W5207" si="16834">IF(D5188&gt;4*G5186,ROUND(MAX(D5188/4,2*G5186)/H5207,0)+1,0)</f>
        <v>21</v>
      </c>
      <c r="X5207" s="399" t="s">
        <v>125</v>
      </c>
      <c r="Y5207" s="389">
        <f t="shared" ref="Y5207" si="16835">D5191</f>
        <v>1</v>
      </c>
      <c r="Z5207" s="400" t="s">
        <v>176</v>
      </c>
      <c r="AA5207" s="402">
        <f t="shared" si="16827"/>
        <v>13.334895000000001</v>
      </c>
      <c r="AB5207" s="403"/>
    </row>
    <row r="5208" spans="1:28">
      <c r="A5208" s="384"/>
      <c r="B5208" s="385"/>
      <c r="C5208" s="393"/>
      <c r="D5208" s="394"/>
      <c r="E5208" s="388"/>
      <c r="F5208" s="388"/>
      <c r="G5208" s="388"/>
      <c r="H5208" s="395"/>
      <c r="I5208" s="388"/>
      <c r="J5208" s="399"/>
      <c r="K5208" s="396"/>
      <c r="L5208" s="396"/>
      <c r="M5208" s="396"/>
      <c r="N5208" s="396"/>
      <c r="O5208" s="396"/>
      <c r="P5208" s="389"/>
      <c r="Q5208" s="396"/>
      <c r="R5208" s="396"/>
      <c r="S5208" s="396"/>
      <c r="T5208" s="396"/>
      <c r="U5208" s="401"/>
      <c r="V5208" s="396"/>
      <c r="W5208" s="388"/>
      <c r="X5208" s="396"/>
      <c r="Y5208" s="389"/>
      <c r="Z5208" s="396"/>
      <c r="AA5208" s="388"/>
      <c r="AB5208" s="390"/>
    </row>
    <row r="5209" spans="1:28">
      <c r="A5209" s="384" t="str">
        <f t="shared" ref="A5209:B5209" si="16836">A5185</f>
        <v>Lantai 3</v>
      </c>
      <c r="B5209" s="385">
        <f t="shared" si="16836"/>
        <v>31</v>
      </c>
      <c r="C5209" s="393" t="s">
        <v>213</v>
      </c>
      <c r="D5209" s="398">
        <f>VLOOKUP(D5185,'Detail Balok'!$C$10:$BJ$140,46,FALSE)</f>
        <v>0</v>
      </c>
      <c r="E5209" s="388" t="s">
        <v>16</v>
      </c>
      <c r="F5209" s="388">
        <f>VLOOKUP(D5185,'Detail Balok'!$C$10:$BJ$140,48,FALSE)</f>
        <v>0</v>
      </c>
      <c r="G5209" s="405" t="s">
        <v>157</v>
      </c>
      <c r="H5209" s="395">
        <f>VLOOKUP(D5185,'Detail Balok'!$C$10:$BJ$140,50,FALSE)</f>
        <v>100</v>
      </c>
      <c r="I5209" s="388"/>
      <c r="J5209" s="399">
        <f t="shared" ref="J5209" si="16837">(D5186-2*F$5)/1000</f>
        <v>0.12</v>
      </c>
      <c r="K5209" s="400" t="s">
        <v>204</v>
      </c>
      <c r="L5209" s="399">
        <f t="shared" ref="L5209:L5211" si="16838">IF(D5209=0,2*MAX(6*F5209,75),(D5209-1)*2*MAX(6*F5209,75))/1000</f>
        <v>0.15</v>
      </c>
      <c r="M5209" s="399" t="s">
        <v>176</v>
      </c>
      <c r="N5209" s="399">
        <f t="shared" ref="N5209:N5211" si="16839">J5209+L5209</f>
        <v>0.27</v>
      </c>
      <c r="O5209" s="399"/>
      <c r="P5209" s="399"/>
      <c r="Q5209" s="399"/>
      <c r="R5209" s="399"/>
      <c r="S5209" s="399"/>
      <c r="T5209" s="399" t="s">
        <v>125</v>
      </c>
      <c r="U5209" s="401">
        <f t="shared" ref="U5209:U5211" si="16840">0.006165*F5209^2</f>
        <v>0</v>
      </c>
      <c r="V5209" s="399" t="s">
        <v>125</v>
      </c>
      <c r="W5209" s="399">
        <f t="shared" si="16652"/>
        <v>21</v>
      </c>
      <c r="X5209" s="399" t="s">
        <v>125</v>
      </c>
      <c r="Y5209" s="389">
        <f t="shared" ref="Y5209" si="16841">D5195</f>
        <v>3</v>
      </c>
      <c r="Z5209" s="400" t="s">
        <v>176</v>
      </c>
      <c r="AA5209" s="402">
        <f t="shared" ref="AA5209:AA5211" si="16842">N5209*U5209*W5209*Y5209</f>
        <v>0</v>
      </c>
      <c r="AB5209" s="403"/>
    </row>
    <row r="5210" spans="1:28">
      <c r="A5210" s="384" t="str">
        <f t="shared" ref="A5210:B5210" si="16843">A5185</f>
        <v>Lantai 3</v>
      </c>
      <c r="B5210" s="385">
        <f t="shared" si="16843"/>
        <v>31</v>
      </c>
      <c r="C5210" s="393" t="s">
        <v>214</v>
      </c>
      <c r="D5210" s="398">
        <f>VLOOKUP(D5185,'Detail Balok'!$C$10:$BJ$140,51,FALSE)</f>
        <v>0</v>
      </c>
      <c r="E5210" s="388" t="s">
        <v>16</v>
      </c>
      <c r="F5210" s="388">
        <f>VLOOKUP(D5185,'Detail Balok'!$C$10:$BJ$140,53,FALSE)</f>
        <v>0</v>
      </c>
      <c r="G5210" s="405" t="s">
        <v>157</v>
      </c>
      <c r="H5210" s="395">
        <f>VLOOKUP(D5185,'Detail Balok'!$C$10:$BJ$140,55,FALSE)</f>
        <v>100</v>
      </c>
      <c r="I5210" s="388"/>
      <c r="J5210" s="399">
        <f t="shared" ref="J5210" si="16844">(D5186-2*F$5)/1000</f>
        <v>0.12</v>
      </c>
      <c r="K5210" s="400" t="s">
        <v>204</v>
      </c>
      <c r="L5210" s="399">
        <f t="shared" si="16838"/>
        <v>0.15</v>
      </c>
      <c r="M5210" s="399" t="s">
        <v>176</v>
      </c>
      <c r="N5210" s="399">
        <f t="shared" si="16839"/>
        <v>0.27</v>
      </c>
      <c r="O5210" s="399"/>
      <c r="P5210" s="399"/>
      <c r="Q5210" s="399"/>
      <c r="R5210" s="399"/>
      <c r="S5210" s="399"/>
      <c r="T5210" s="399" t="s">
        <v>125</v>
      </c>
      <c r="U5210" s="401">
        <f t="shared" si="16840"/>
        <v>0</v>
      </c>
      <c r="V5210" s="399" t="s">
        <v>125</v>
      </c>
      <c r="W5210" s="399">
        <f t="shared" si="16652"/>
        <v>41</v>
      </c>
      <c r="X5210" s="399" t="s">
        <v>125</v>
      </c>
      <c r="Y5210" s="389">
        <f t="shared" ref="Y5210" si="16845">D5195</f>
        <v>3</v>
      </c>
      <c r="Z5210" s="400" t="s">
        <v>176</v>
      </c>
      <c r="AA5210" s="402">
        <f t="shared" si="16842"/>
        <v>0</v>
      </c>
      <c r="AB5210" s="403"/>
    </row>
    <row r="5211" spans="1:28">
      <c r="A5211" s="384" t="str">
        <f t="shared" ref="A5211:B5211" si="16846">A5185</f>
        <v>Lantai 3</v>
      </c>
      <c r="B5211" s="385">
        <f t="shared" si="16846"/>
        <v>31</v>
      </c>
      <c r="C5211" s="393" t="s">
        <v>213</v>
      </c>
      <c r="D5211" s="398">
        <f>VLOOKUP(D5185,'Detail Balok'!$C$10:$BJ$140,56,FALSE)</f>
        <v>0</v>
      </c>
      <c r="E5211" s="388" t="s">
        <v>16</v>
      </c>
      <c r="F5211" s="388">
        <f>VLOOKUP(D5185,'Detail Balok'!$C$10:$BJ$140,58,FALSE)</f>
        <v>0</v>
      </c>
      <c r="G5211" s="405" t="s">
        <v>157</v>
      </c>
      <c r="H5211" s="395">
        <f>VLOOKUP(D5185,'Detail Balok'!$C$10:$BJ$140,60,FALSE)</f>
        <v>100</v>
      </c>
      <c r="I5211" s="388"/>
      <c r="J5211" s="399">
        <f t="shared" ref="J5211" si="16847">(D5186-2*F$5)/1000</f>
        <v>0.12</v>
      </c>
      <c r="K5211" s="400" t="s">
        <v>204</v>
      </c>
      <c r="L5211" s="399">
        <f t="shared" si="16838"/>
        <v>0.15</v>
      </c>
      <c r="M5211" s="399" t="s">
        <v>176</v>
      </c>
      <c r="N5211" s="399">
        <f t="shared" si="16839"/>
        <v>0.27</v>
      </c>
      <c r="O5211" s="399"/>
      <c r="P5211" s="399"/>
      <c r="Q5211" s="399"/>
      <c r="R5211" s="399"/>
      <c r="S5211" s="399"/>
      <c r="T5211" s="399" t="s">
        <v>125</v>
      </c>
      <c r="U5211" s="401">
        <f t="shared" si="16840"/>
        <v>0</v>
      </c>
      <c r="V5211" s="399" t="s">
        <v>125</v>
      </c>
      <c r="W5211" s="399">
        <f t="shared" si="16652"/>
        <v>21</v>
      </c>
      <c r="X5211" s="399" t="s">
        <v>125</v>
      </c>
      <c r="Y5211" s="389">
        <f t="shared" ref="Y5211" si="16848">D5195</f>
        <v>3</v>
      </c>
      <c r="Z5211" s="400" t="s">
        <v>176</v>
      </c>
      <c r="AA5211" s="402">
        <f t="shared" si="16842"/>
        <v>0</v>
      </c>
      <c r="AB5211" s="403"/>
    </row>
    <row r="5212" spans="1:28">
      <c r="A5212" s="391"/>
      <c r="B5212" s="392"/>
      <c r="C5212" s="392"/>
      <c r="D5212" s="394"/>
      <c r="E5212" s="388"/>
      <c r="F5212" s="388"/>
      <c r="G5212" s="388"/>
      <c r="H5212" s="395"/>
      <c r="I5212" s="388"/>
      <c r="J5212" s="402"/>
      <c r="K5212" s="388"/>
      <c r="L5212" s="388"/>
      <c r="M5212" s="388"/>
      <c r="N5212" s="388"/>
      <c r="O5212" s="388"/>
      <c r="P5212" s="388"/>
      <c r="Q5212" s="388"/>
      <c r="R5212" s="388"/>
      <c r="S5212" s="388"/>
      <c r="T5212" s="388"/>
      <c r="U5212" s="388"/>
      <c r="V5212" s="388"/>
      <c r="W5212" s="388"/>
      <c r="X5212" s="388"/>
      <c r="Y5212" s="389"/>
      <c r="Z5212" s="388"/>
      <c r="AA5212" s="402"/>
      <c r="AB5212" s="403"/>
    </row>
    <row r="5213" spans="1:28" ht="15.75" thickBot="1">
      <c r="A5213" s="406"/>
      <c r="B5213" s="407"/>
      <c r="C5213" s="407"/>
      <c r="D5213" s="408"/>
      <c r="E5213" s="409"/>
      <c r="F5213" s="409"/>
      <c r="G5213" s="409"/>
      <c r="H5213" s="410"/>
      <c r="I5213" s="409"/>
      <c r="J5213" s="409"/>
      <c r="K5213" s="409"/>
      <c r="L5213" s="409"/>
      <c r="M5213" s="409"/>
      <c r="N5213" s="409"/>
      <c r="O5213" s="409"/>
      <c r="P5213" s="409"/>
      <c r="Q5213" s="409"/>
      <c r="R5213" s="409"/>
      <c r="S5213" s="409"/>
      <c r="T5213" s="409"/>
      <c r="U5213" s="409"/>
      <c r="V5213" s="409"/>
      <c r="W5213" s="409"/>
      <c r="X5213" s="409"/>
      <c r="Y5213" s="411"/>
      <c r="Z5213" s="409"/>
      <c r="AA5213" s="412"/>
      <c r="AB5213" s="413"/>
    </row>
    <row r="5214" spans="1:28">
      <c r="A5214" s="377"/>
      <c r="B5214" s="378"/>
      <c r="C5214" s="378"/>
      <c r="D5214" s="379"/>
      <c r="E5214" s="380"/>
      <c r="F5214" s="380"/>
      <c r="G5214" s="380"/>
      <c r="H5214" s="381"/>
      <c r="I5214" s="380"/>
      <c r="J5214" s="380"/>
      <c r="K5214" s="380"/>
      <c r="L5214" s="380"/>
      <c r="M5214" s="380"/>
      <c r="N5214" s="380"/>
      <c r="O5214" s="380"/>
      <c r="P5214" s="380"/>
      <c r="Q5214" s="380"/>
      <c r="R5214" s="380"/>
      <c r="S5214" s="380"/>
      <c r="T5214" s="380"/>
      <c r="U5214" s="380"/>
      <c r="V5214" s="380"/>
      <c r="W5214" s="380"/>
      <c r="X5214" s="380"/>
      <c r="Y5214" s="382"/>
      <c r="Z5214" s="380"/>
      <c r="AA5214" s="380"/>
      <c r="AB5214" s="383"/>
    </row>
    <row r="5215" spans="1:28">
      <c r="A5215" s="384" t="str">
        <f t="shared" si="16661"/>
        <v>Lantai 3</v>
      </c>
      <c r="B5215" s="385">
        <f t="shared" si="16662"/>
        <v>32</v>
      </c>
      <c r="C5215" s="386" t="str">
        <f t="shared" ref="C5215" si="16849">CONCATENATE(A5215," no. ",B5215)</f>
        <v>Lantai 3 no. 32</v>
      </c>
      <c r="D5215" s="2562" t="str">
        <f>VLOOKUP(C5215,'Data Panjang Balok'!$C$9:$N$254,2,FALSE)</f>
        <v>B25-1</v>
      </c>
      <c r="E5215" s="2576"/>
      <c r="F5215" s="2576"/>
      <c r="G5215" s="2576"/>
      <c r="H5215" s="2577"/>
      <c r="I5215" s="387"/>
      <c r="J5215" s="388"/>
      <c r="K5215" s="388"/>
      <c r="L5215" s="388"/>
      <c r="M5215" s="388"/>
      <c r="N5215" s="388"/>
      <c r="O5215" s="388"/>
      <c r="P5215" s="388"/>
      <c r="Q5215" s="388"/>
      <c r="R5215" s="388"/>
      <c r="S5215" s="388"/>
      <c r="T5215" s="388"/>
      <c r="U5215" s="388"/>
      <c r="V5215" s="388"/>
      <c r="W5215" s="388"/>
      <c r="X5215" s="388"/>
      <c r="Y5215" s="389"/>
      <c r="Z5215" s="388"/>
      <c r="AA5215" s="388"/>
      <c r="AB5215" s="390"/>
    </row>
    <row r="5216" spans="1:28">
      <c r="A5216" s="391"/>
      <c r="B5216" s="392"/>
      <c r="C5216" s="393" t="s">
        <v>118</v>
      </c>
      <c r="D5216" s="2578">
        <f>VLOOKUP(D5215,'Detail Balok'!$C$10:$AU$140,2,FALSE)</f>
        <v>200</v>
      </c>
      <c r="E5216" s="2579"/>
      <c r="F5216" s="388" t="s">
        <v>125</v>
      </c>
      <c r="G5216" s="2579">
        <f>VLOOKUP(D5215,'Detail Balok'!$C$10:$AU$140,3,FALSE)</f>
        <v>500</v>
      </c>
      <c r="H5216" s="2580"/>
      <c r="I5216" s="388"/>
      <c r="J5216" s="396"/>
      <c r="K5216" s="396"/>
      <c r="L5216" s="396"/>
      <c r="M5216" s="396"/>
      <c r="N5216" s="396"/>
      <c r="O5216" s="396"/>
      <c r="P5216" s="396"/>
      <c r="Q5216" s="396"/>
      <c r="R5216" s="396"/>
      <c r="S5216" s="396"/>
      <c r="T5216" s="396"/>
      <c r="U5216" s="388"/>
      <c r="V5216" s="396"/>
      <c r="W5216" s="388"/>
      <c r="X5216" s="396"/>
      <c r="Y5216" s="389"/>
      <c r="Z5216" s="396"/>
      <c r="AA5216" s="388"/>
      <c r="AB5216" s="390"/>
    </row>
    <row r="5217" spans="1:28">
      <c r="A5217" s="391"/>
      <c r="B5217" s="392"/>
      <c r="C5217" s="393" t="s">
        <v>198</v>
      </c>
      <c r="D5217" s="2562">
        <f>VLOOKUP(C5215,'Data Panjang Balok'!$C$9:$N$254,4,FALSE)</f>
        <v>5425</v>
      </c>
      <c r="E5217" s="2563"/>
      <c r="F5217" s="2563"/>
      <c r="G5217" s="2563"/>
      <c r="H5217" s="2564"/>
      <c r="I5217" s="397"/>
      <c r="J5217" s="396"/>
      <c r="K5217" s="396"/>
      <c r="L5217" s="396"/>
      <c r="M5217" s="396"/>
      <c r="N5217" s="396"/>
      <c r="O5217" s="396"/>
      <c r="P5217" s="396"/>
      <c r="Q5217" s="396"/>
      <c r="R5217" s="396"/>
      <c r="S5217" s="396"/>
      <c r="T5217" s="396"/>
      <c r="U5217" s="388"/>
      <c r="V5217" s="396"/>
      <c r="W5217" s="388"/>
      <c r="X5217" s="396"/>
      <c r="Y5217" s="389"/>
      <c r="Z5217" s="396"/>
      <c r="AA5217" s="388"/>
      <c r="AB5217" s="390"/>
    </row>
    <row r="5218" spans="1:28">
      <c r="A5218" s="391"/>
      <c r="B5218" s="392"/>
      <c r="C5218" s="393" t="s">
        <v>199</v>
      </c>
      <c r="D5218" s="2562">
        <f>VLOOKUP(C5215,'Data Panjang Balok'!$C$9:$N$254,7,FALSE)</f>
        <v>5425</v>
      </c>
      <c r="E5218" s="2563"/>
      <c r="F5218" s="2563"/>
      <c r="G5218" s="2563"/>
      <c r="H5218" s="2564"/>
      <c r="I5218" s="397"/>
      <c r="J5218" s="396"/>
      <c r="K5218" s="396"/>
      <c r="L5218" s="396"/>
      <c r="M5218" s="396"/>
      <c r="N5218" s="396"/>
      <c r="O5218" s="396"/>
      <c r="P5218" s="396"/>
      <c r="Q5218" s="396"/>
      <c r="R5218" s="396"/>
      <c r="S5218" s="396"/>
      <c r="T5218" s="396"/>
      <c r="U5218" s="388"/>
      <c r="V5218" s="396"/>
      <c r="W5218" s="388"/>
      <c r="X5218" s="396"/>
      <c r="Y5218" s="389"/>
      <c r="Z5218" s="396"/>
      <c r="AA5218" s="388"/>
      <c r="AB5218" s="390"/>
    </row>
    <row r="5219" spans="1:28">
      <c r="A5219" s="391"/>
      <c r="B5219" s="392"/>
      <c r="C5219" s="393" t="s">
        <v>200</v>
      </c>
      <c r="D5219" s="2562">
        <f>VLOOKUP(C5215,'Data Panjang Balok'!$C$9:$N$254,9,FALSE)</f>
        <v>0</v>
      </c>
      <c r="E5219" s="2563"/>
      <c r="F5219" s="2563"/>
      <c r="G5219" s="2563"/>
      <c r="H5219" s="2564"/>
      <c r="I5219" s="397"/>
      <c r="J5219" s="396"/>
      <c r="K5219" s="396"/>
      <c r="L5219" s="396"/>
      <c r="M5219" s="396"/>
      <c r="N5219" s="396"/>
      <c r="O5219" s="396"/>
      <c r="P5219" s="396"/>
      <c r="Q5219" s="396"/>
      <c r="R5219" s="396"/>
      <c r="S5219" s="396"/>
      <c r="T5219" s="396"/>
      <c r="U5219" s="388"/>
      <c r="V5219" s="396"/>
      <c r="W5219" s="388"/>
      <c r="X5219" s="396"/>
      <c r="Y5219" s="389"/>
      <c r="Z5219" s="396"/>
      <c r="AA5219" s="388"/>
      <c r="AB5219" s="390"/>
    </row>
    <row r="5220" spans="1:28">
      <c r="A5220" s="391"/>
      <c r="B5220" s="392"/>
      <c r="C5220" s="393" t="s">
        <v>201</v>
      </c>
      <c r="D5220" s="2562">
        <f>VLOOKUP(C5215,'Data Panjang Balok'!$C$9:$N$254,10,FALSE)</f>
        <v>0</v>
      </c>
      <c r="E5220" s="2563"/>
      <c r="F5220" s="2563"/>
      <c r="G5220" s="2563"/>
      <c r="H5220" s="2564"/>
      <c r="I5220" s="397"/>
      <c r="J5220" s="396"/>
      <c r="K5220" s="396"/>
      <c r="L5220" s="396"/>
      <c r="M5220" s="396"/>
      <c r="N5220" s="396"/>
      <c r="O5220" s="396"/>
      <c r="P5220" s="396"/>
      <c r="Q5220" s="396"/>
      <c r="R5220" s="396"/>
      <c r="S5220" s="396"/>
      <c r="T5220" s="396"/>
      <c r="U5220" s="388"/>
      <c r="V5220" s="396"/>
      <c r="W5220" s="388"/>
      <c r="X5220" s="396"/>
      <c r="Y5220" s="389"/>
      <c r="Z5220" s="396"/>
      <c r="AA5220" s="388"/>
      <c r="AB5220" s="390"/>
    </row>
    <row r="5221" spans="1:28">
      <c r="A5221" s="391"/>
      <c r="B5221" s="392"/>
      <c r="C5221" s="393" t="s">
        <v>48</v>
      </c>
      <c r="D5221" s="2562">
        <f>VLOOKUP(C5215,'Data Panjang Balok'!$C$9:$N$254,3,FALSE)</f>
        <v>1</v>
      </c>
      <c r="E5221" s="2563"/>
      <c r="F5221" s="2563"/>
      <c r="G5221" s="2563"/>
      <c r="H5221" s="2564"/>
      <c r="I5221" s="397"/>
      <c r="J5221" s="396"/>
      <c r="K5221" s="396"/>
      <c r="L5221" s="396"/>
      <c r="M5221" s="396"/>
      <c r="N5221" s="396"/>
      <c r="O5221" s="396"/>
      <c r="P5221" s="396"/>
      <c r="Q5221" s="396"/>
      <c r="R5221" s="396"/>
      <c r="S5221" s="396"/>
      <c r="T5221" s="396"/>
      <c r="U5221" s="388"/>
      <c r="V5221" s="396"/>
      <c r="W5221" s="388"/>
      <c r="X5221" s="396"/>
      <c r="Y5221" s="389"/>
      <c r="Z5221" s="396"/>
      <c r="AA5221" s="388"/>
      <c r="AB5221" s="390"/>
    </row>
    <row r="5222" spans="1:28">
      <c r="A5222" s="384" t="str">
        <f t="shared" ref="A5222:B5222" si="16850">A5215</f>
        <v>Lantai 3</v>
      </c>
      <c r="B5222" s="385">
        <f t="shared" si="16850"/>
        <v>32</v>
      </c>
      <c r="C5222" s="393" t="s">
        <v>202</v>
      </c>
      <c r="D5222" s="398">
        <f>VLOOKUP(D5215,'Detail Balok'!$C$10:$AU$140,4,FALSE)</f>
        <v>4</v>
      </c>
      <c r="E5222" s="388" t="s">
        <v>16</v>
      </c>
      <c r="F5222" s="388">
        <f>VLOOKUP(D5215,'Detail Balok'!$C$10:$AU$140,6,FALSE)</f>
        <v>16</v>
      </c>
      <c r="G5222" s="388"/>
      <c r="H5222" s="395"/>
      <c r="I5222" s="388" t="s">
        <v>203</v>
      </c>
      <c r="J5222" s="399">
        <f t="shared" ref="J5222" si="16851">+D5217/4/1000</f>
        <v>1.35625</v>
      </c>
      <c r="K5222" s="400" t="s">
        <v>204</v>
      </c>
      <c r="L5222" s="399">
        <f t="shared" ref="L5222" si="16852">MAX(VLOOKUP(F5222,N$6:P$15,3,FALSE)/1000,2/3*D5219/1000)+F$16*F5222/1000</f>
        <v>0.192</v>
      </c>
      <c r="M5222" s="399" t="s">
        <v>176</v>
      </c>
      <c r="N5222" s="399">
        <f t="shared" ref="N5222:N5224" si="16853">J5222+L5222</f>
        <v>1.5482499999999999</v>
      </c>
      <c r="O5222" s="399" t="s">
        <v>204</v>
      </c>
      <c r="P5222" s="389">
        <f t="shared" ref="P5222" si="16854">D5222-D5223</f>
        <v>0</v>
      </c>
      <c r="Q5222" s="399" t="s">
        <v>125</v>
      </c>
      <c r="R5222" s="399">
        <f t="shared" ref="R5222" si="16855">IF(P5222&gt;0,$F$18*F5222/1000,0)</f>
        <v>0</v>
      </c>
      <c r="S5222" s="399" t="s">
        <v>205</v>
      </c>
      <c r="T5222" s="399" t="s">
        <v>125</v>
      </c>
      <c r="U5222" s="401">
        <f t="shared" ref="U5222:U5224" si="16856">0.006165*F5222^2</f>
        <v>1.5782400000000001</v>
      </c>
      <c r="V5222" s="399"/>
      <c r="W5222" s="399"/>
      <c r="X5222" s="399" t="s">
        <v>125</v>
      </c>
      <c r="Y5222" s="389">
        <f t="shared" ref="Y5222" si="16857">D5221</f>
        <v>1</v>
      </c>
      <c r="Z5222" s="400" t="s">
        <v>176</v>
      </c>
      <c r="AA5222" s="402">
        <f t="shared" ref="AA5222" si="16858">IF(AA5225=0,(D5222*N5222+P5222*R5222)*U5222*Y5222,0)</f>
        <v>0</v>
      </c>
      <c r="AB5222" s="403"/>
    </row>
    <row r="5223" spans="1:28">
      <c r="A5223" s="384" t="str">
        <f t="shared" ref="A5223:B5223" si="16859">A5215</f>
        <v>Lantai 3</v>
      </c>
      <c r="B5223" s="385">
        <f t="shared" si="16859"/>
        <v>32</v>
      </c>
      <c r="C5223" s="393" t="s">
        <v>206</v>
      </c>
      <c r="D5223" s="398">
        <f>VLOOKUP(D5215,'Detail Balok'!$C$10:$AU$140,7,FALSE)</f>
        <v>4</v>
      </c>
      <c r="E5223" s="388" t="s">
        <v>16</v>
      </c>
      <c r="F5223" s="388">
        <f>VLOOKUP(D5215,'Detail Balok'!$C$10:$AU$140,9,FALSE)</f>
        <v>16</v>
      </c>
      <c r="G5223" s="388"/>
      <c r="H5223" s="395"/>
      <c r="I5223" s="388" t="s">
        <v>203</v>
      </c>
      <c r="J5223" s="399">
        <f t="shared" ref="J5223" si="16860">+D5217/2/1000</f>
        <v>2.7124999999999999</v>
      </c>
      <c r="K5223" s="400" t="s">
        <v>204</v>
      </c>
      <c r="L5223" s="399"/>
      <c r="M5223" s="399" t="s">
        <v>176</v>
      </c>
      <c r="N5223" s="399">
        <f t="shared" si="16853"/>
        <v>2.7124999999999999</v>
      </c>
      <c r="O5223" s="399" t="s">
        <v>204</v>
      </c>
      <c r="P5223" s="389">
        <f t="shared" ref="P5223" si="16861">MAX(D5223-D5222,D5223-D5224)</f>
        <v>0</v>
      </c>
      <c r="Q5223" s="399" t="s">
        <v>125</v>
      </c>
      <c r="R5223" s="399">
        <f t="shared" ref="R5223" si="16862">IF(P5223&gt;0,2*(1-2*$F$19-1/2)*D5218/1000,0)</f>
        <v>0</v>
      </c>
      <c r="S5223" s="399" t="s">
        <v>205</v>
      </c>
      <c r="T5223" s="399" t="s">
        <v>125</v>
      </c>
      <c r="U5223" s="401">
        <f t="shared" si="16856"/>
        <v>1.5782400000000001</v>
      </c>
      <c r="V5223" s="399"/>
      <c r="W5223" s="399"/>
      <c r="X5223" s="399" t="s">
        <v>125</v>
      </c>
      <c r="Y5223" s="389">
        <f t="shared" ref="Y5223" si="16863">D5221</f>
        <v>1</v>
      </c>
      <c r="Z5223" s="400" t="s">
        <v>176</v>
      </c>
      <c r="AA5223" s="402">
        <f t="shared" ref="AA5223" si="16864">IF(AA5225=0,(D5223*N5223+P5223*R5223)*U5223*Y5223,0)</f>
        <v>0</v>
      </c>
      <c r="AB5223" s="403"/>
    </row>
    <row r="5224" spans="1:28">
      <c r="A5224" s="384" t="str">
        <f t="shared" ref="A5224:B5224" si="16865">A5215</f>
        <v>Lantai 3</v>
      </c>
      <c r="B5224" s="385">
        <f t="shared" si="16865"/>
        <v>32</v>
      </c>
      <c r="C5224" s="393" t="s">
        <v>202</v>
      </c>
      <c r="D5224" s="398">
        <f>VLOOKUP(D5215,'Detail Balok'!$C$10:$AU$140,10,FALSE)</f>
        <v>4</v>
      </c>
      <c r="E5224" s="388" t="s">
        <v>16</v>
      </c>
      <c r="F5224" s="388">
        <f>VLOOKUP(D5215,'Detail Balok'!$C$10:$AU$140,12,FALSE)</f>
        <v>16</v>
      </c>
      <c r="G5224" s="388"/>
      <c r="H5224" s="395"/>
      <c r="I5224" s="388" t="s">
        <v>203</v>
      </c>
      <c r="J5224" s="399">
        <f t="shared" ref="J5224" si="16866">+D5217/4/1000</f>
        <v>1.35625</v>
      </c>
      <c r="K5224" s="400" t="s">
        <v>204</v>
      </c>
      <c r="L5224" s="399">
        <f t="shared" ref="L5224" si="16867">MAX(VLOOKUP(F5224,N$6:P$15,3,FALSE)/1000,2/3*D5219/1000)+F$16*F5224/1000</f>
        <v>0.192</v>
      </c>
      <c r="M5224" s="399" t="s">
        <v>176</v>
      </c>
      <c r="N5224" s="399">
        <f t="shared" si="16853"/>
        <v>1.5482499999999999</v>
      </c>
      <c r="O5224" s="399" t="s">
        <v>204</v>
      </c>
      <c r="P5224" s="389">
        <f t="shared" ref="P5224" si="16868">D5224-D5223</f>
        <v>0</v>
      </c>
      <c r="Q5224" s="399" t="s">
        <v>125</v>
      </c>
      <c r="R5224" s="399">
        <f t="shared" ref="R5224" si="16869">IF(P5224&gt;0,$F$18*F5224/1000,0)</f>
        <v>0</v>
      </c>
      <c r="S5224" s="399" t="s">
        <v>205</v>
      </c>
      <c r="T5224" s="399" t="s">
        <v>125</v>
      </c>
      <c r="U5224" s="401">
        <f t="shared" si="16856"/>
        <v>1.5782400000000001</v>
      </c>
      <c r="V5224" s="399"/>
      <c r="W5224" s="399"/>
      <c r="X5224" s="399" t="s">
        <v>125</v>
      </c>
      <c r="Y5224" s="389">
        <f t="shared" ref="Y5224" si="16870">D5221</f>
        <v>1</v>
      </c>
      <c r="Z5224" s="400" t="s">
        <v>176</v>
      </c>
      <c r="AA5224" s="402">
        <f t="shared" ref="AA5224" si="16871">IF(AA5225=0,(D5224*N5224+P5224*R5224)*U5224*Y5224,0)</f>
        <v>0</v>
      </c>
      <c r="AB5224" s="403"/>
    </row>
    <row r="5225" spans="1:28">
      <c r="A5225" s="384" t="str">
        <f t="shared" ref="A5225:B5225" si="16872">A5215</f>
        <v>Lantai 3</v>
      </c>
      <c r="B5225" s="385">
        <f t="shared" si="16872"/>
        <v>32</v>
      </c>
      <c r="C5225" s="393"/>
      <c r="D5225" s="398">
        <f t="shared" ref="D5225:D5285" si="16873">IF(AND(D5222=D5223,D5223=D5224,D5222=D5224),D5222,0)</f>
        <v>4</v>
      </c>
      <c r="E5225" s="388" t="s">
        <v>16</v>
      </c>
      <c r="F5225" s="388">
        <f t="shared" ref="F5225:F5285" si="16874">IF(AND(F5222=F5223,F5222=F5224,F5223=F5224),F5222,0)</f>
        <v>16</v>
      </c>
      <c r="G5225" s="388"/>
      <c r="H5225" s="395"/>
      <c r="I5225" s="388"/>
      <c r="J5225" s="396"/>
      <c r="K5225" s="396"/>
      <c r="L5225" s="404" t="s">
        <v>207</v>
      </c>
      <c r="M5225" s="399" t="s">
        <v>176</v>
      </c>
      <c r="N5225" s="399">
        <f t="shared" ref="N5225" si="16875">IF(AND(D5222=D5223,D5222=D5224,D5223=D5224,F5222=F5223,F5222=F5224,F5223=F5224),SUM(N5222:N5224),0)</f>
        <v>5.8089999999999993</v>
      </c>
      <c r="O5225" s="399" t="s">
        <v>204</v>
      </c>
      <c r="P5225" s="389">
        <f t="shared" ref="P5225" si="16876">IF(N5225&gt;12,ROUNDDOWN(N5225/12,0),0)</f>
        <v>0</v>
      </c>
      <c r="Q5225" s="399" t="s">
        <v>125</v>
      </c>
      <c r="R5225" s="399">
        <f t="shared" ref="R5225" si="16877">IF(P5225&gt;0,MAX(VLOOKUP(F5225,$D$6:$G$15,3,FALSE),600),0)/1000</f>
        <v>0</v>
      </c>
      <c r="S5225" s="396"/>
      <c r="T5225" s="396" t="s">
        <v>125</v>
      </c>
      <c r="U5225" s="401">
        <f t="shared" ref="U5225:U5285" si="16878">U5224</f>
        <v>1.5782400000000001</v>
      </c>
      <c r="V5225" s="396" t="s">
        <v>125</v>
      </c>
      <c r="W5225" s="399">
        <f t="shared" ref="W5225" si="16879">D5225</f>
        <v>4</v>
      </c>
      <c r="X5225" s="399" t="s">
        <v>125</v>
      </c>
      <c r="Y5225" s="389">
        <f t="shared" ref="Y5225:Y5285" si="16880">Y5224</f>
        <v>1</v>
      </c>
      <c r="Z5225" s="400" t="s">
        <v>176</v>
      </c>
      <c r="AA5225" s="402">
        <f t="shared" ref="AA5225" si="16881">(N5225+P5225*R5225/1000)*U5225*W5225*Y5225</f>
        <v>36.671984639999998</v>
      </c>
      <c r="AB5225" s="390"/>
    </row>
    <row r="5226" spans="1:28">
      <c r="A5226" s="384"/>
      <c r="B5226" s="385"/>
      <c r="C5226" s="393"/>
      <c r="D5226" s="398"/>
      <c r="E5226" s="388"/>
      <c r="F5226" s="388"/>
      <c r="G5226" s="388"/>
      <c r="H5226" s="395"/>
      <c r="I5226" s="388"/>
      <c r="J5226" s="396"/>
      <c r="K5226" s="396"/>
      <c r="L5226" s="404"/>
      <c r="M5226" s="399"/>
      <c r="N5226" s="399"/>
      <c r="O5226" s="396"/>
      <c r="P5226" s="389"/>
      <c r="Q5226" s="396"/>
      <c r="R5226" s="396"/>
      <c r="S5226" s="396"/>
      <c r="T5226" s="396"/>
      <c r="U5226" s="401"/>
      <c r="V5226" s="396"/>
      <c r="W5226" s="399"/>
      <c r="X5226" s="396"/>
      <c r="Y5226" s="389"/>
      <c r="Z5226" s="396"/>
      <c r="AA5226" s="388"/>
      <c r="AB5226" s="390"/>
    </row>
    <row r="5227" spans="1:28">
      <c r="A5227" s="384" t="str">
        <f t="shared" ref="A5227:B5227" si="16882">A5215</f>
        <v>Lantai 3</v>
      </c>
      <c r="B5227" s="385">
        <f t="shared" si="16882"/>
        <v>32</v>
      </c>
      <c r="C5227" s="393" t="s">
        <v>208</v>
      </c>
      <c r="D5227" s="398">
        <f>VLOOKUP(D5215,'Detail Balok'!$C$10:$AU$140,13,FALSE)</f>
        <v>2</v>
      </c>
      <c r="E5227" s="388" t="s">
        <v>16</v>
      </c>
      <c r="F5227" s="388">
        <f>VLOOKUP(D5215,'Detail Balok'!$C$10:$AU$140,15,FALSE)</f>
        <v>10</v>
      </c>
      <c r="G5227" s="388"/>
      <c r="H5227" s="395"/>
      <c r="I5227" s="388"/>
      <c r="J5227" s="399">
        <f t="shared" ref="J5227" si="16883">+D5217/1000</f>
        <v>5.4249999999999998</v>
      </c>
      <c r="K5227" s="400" t="s">
        <v>204</v>
      </c>
      <c r="L5227" s="399">
        <f t="shared" ref="L5227" si="16884">2*$F$16*F5227/1000</f>
        <v>0.24</v>
      </c>
      <c r="M5227" s="399" t="s">
        <v>176</v>
      </c>
      <c r="N5227" s="399">
        <f t="shared" ref="N5227" si="16885">J5227+L5227</f>
        <v>5.665</v>
      </c>
      <c r="O5227" s="399" t="s">
        <v>204</v>
      </c>
      <c r="P5227" s="389">
        <f t="shared" ref="P5227" si="16886">IF(N5227&gt;12,ROUNDDOWN(N5227/12,0),0)</f>
        <v>0</v>
      </c>
      <c r="Q5227" s="399" t="s">
        <v>125</v>
      </c>
      <c r="R5227" s="399">
        <f t="shared" ref="R5227" si="16887">IF(P5227&gt;0,MAX(VLOOKUP(F5227,$D$6:$G$15,3,FALSE),600),0)/1000</f>
        <v>0</v>
      </c>
      <c r="S5227" s="399"/>
      <c r="T5227" s="399" t="s">
        <v>125</v>
      </c>
      <c r="U5227" s="401">
        <f t="shared" ref="U5227" si="16888">0.006165*F5227^2</f>
        <v>0.61650000000000005</v>
      </c>
      <c r="V5227" s="399" t="s">
        <v>125</v>
      </c>
      <c r="W5227" s="399">
        <f t="shared" ref="W5227" si="16889">+D5227</f>
        <v>2</v>
      </c>
      <c r="X5227" s="399" t="s">
        <v>125</v>
      </c>
      <c r="Y5227" s="389">
        <f t="shared" ref="Y5227" si="16890">D5221</f>
        <v>1</v>
      </c>
      <c r="Z5227" s="400" t="s">
        <v>176</v>
      </c>
      <c r="AA5227" s="402">
        <f t="shared" ref="AA5227" si="16891">(N5227+P5227*R5227/1000)*U5227*W5227*Y5227</f>
        <v>6.9849450000000006</v>
      </c>
      <c r="AB5227" s="403"/>
    </row>
    <row r="5228" spans="1:28">
      <c r="A5228" s="384"/>
      <c r="B5228" s="385"/>
      <c r="C5228" s="393"/>
      <c r="D5228" s="398"/>
      <c r="E5228" s="388"/>
      <c r="F5228" s="388"/>
      <c r="G5228" s="388"/>
      <c r="H5228" s="395"/>
      <c r="I5228" s="388"/>
      <c r="J5228" s="399"/>
      <c r="K5228" s="400"/>
      <c r="L5228" s="399"/>
      <c r="M5228" s="399"/>
      <c r="N5228" s="399"/>
      <c r="O5228" s="399"/>
      <c r="P5228" s="389"/>
      <c r="Q5228" s="399"/>
      <c r="R5228" s="399"/>
      <c r="S5228" s="399"/>
      <c r="T5228" s="399"/>
      <c r="U5228" s="401"/>
      <c r="V5228" s="399"/>
      <c r="W5228" s="399"/>
      <c r="X5228" s="399"/>
      <c r="Y5228" s="389"/>
      <c r="Z5228" s="400"/>
      <c r="AA5228" s="402"/>
      <c r="AB5228" s="403"/>
    </row>
    <row r="5229" spans="1:28">
      <c r="A5229" s="384"/>
      <c r="B5229" s="385"/>
      <c r="C5229" s="393"/>
      <c r="D5229" s="398"/>
      <c r="E5229" s="388"/>
      <c r="F5229" s="388"/>
      <c r="G5229" s="388"/>
      <c r="H5229" s="395"/>
      <c r="I5229" s="388"/>
      <c r="J5229" s="396"/>
      <c r="K5229" s="396"/>
      <c r="L5229" s="396"/>
      <c r="M5229" s="396"/>
      <c r="N5229" s="396"/>
      <c r="O5229" s="396"/>
      <c r="P5229" s="389"/>
      <c r="Q5229" s="396"/>
      <c r="R5229" s="396"/>
      <c r="S5229" s="396"/>
      <c r="T5229" s="396"/>
      <c r="U5229" s="401"/>
      <c r="V5229" s="396"/>
      <c r="W5229" s="399"/>
      <c r="X5229" s="396"/>
      <c r="Y5229" s="389"/>
      <c r="Z5229" s="396"/>
      <c r="AA5229" s="388"/>
      <c r="AB5229" s="390"/>
    </row>
    <row r="5230" spans="1:28">
      <c r="A5230" s="384" t="str">
        <f t="shared" ref="A5230:B5230" si="16892">A5215</f>
        <v>Lantai 3</v>
      </c>
      <c r="B5230" s="385">
        <f t="shared" si="16892"/>
        <v>32</v>
      </c>
      <c r="C5230" s="393" t="s">
        <v>209</v>
      </c>
      <c r="D5230" s="398">
        <f>VLOOKUP(D5215,'Detail Balok'!$C$10:$AU$140,22,FALSE)</f>
        <v>4</v>
      </c>
      <c r="E5230" s="388" t="s">
        <v>16</v>
      </c>
      <c r="F5230" s="388">
        <f>VLOOKUP(D5215,'Detail Balok'!$C$10:$AU$140,24,FALSE)</f>
        <v>16</v>
      </c>
      <c r="G5230" s="388"/>
      <c r="H5230" s="395"/>
      <c r="I5230" s="388" t="s">
        <v>203</v>
      </c>
      <c r="J5230" s="399">
        <f t="shared" ref="J5230:J5292" si="16893">+J5222</f>
        <v>1.35625</v>
      </c>
      <c r="K5230" s="400" t="s">
        <v>204</v>
      </c>
      <c r="L5230" s="399">
        <f t="shared" ref="L5230" si="16894">MAX(VLOOKUP(F5230,N$6:P$15,3,FALSE)/1000,2/3*D5220/1000)+F$16*F5230/1000</f>
        <v>0.192</v>
      </c>
      <c r="M5230" s="399" t="s">
        <v>176</v>
      </c>
      <c r="N5230" s="399">
        <f t="shared" ref="N5230:N5232" si="16895">J5230+L5230</f>
        <v>1.5482499999999999</v>
      </c>
      <c r="O5230" s="399" t="s">
        <v>204</v>
      </c>
      <c r="P5230" s="389">
        <f t="shared" ref="P5230" si="16896">D5230-D5231</f>
        <v>0</v>
      </c>
      <c r="Q5230" s="399" t="s">
        <v>125</v>
      </c>
      <c r="R5230" s="399">
        <f t="shared" ref="R5230" si="16897">IF(P5230&gt;0,$F$18*F5230/1000,0)</f>
        <v>0</v>
      </c>
      <c r="S5230" s="399" t="s">
        <v>205</v>
      </c>
      <c r="T5230" s="399" t="s">
        <v>125</v>
      </c>
      <c r="U5230" s="401">
        <f t="shared" ref="U5230:U5232" si="16898">0.006165*F5230^2</f>
        <v>1.5782400000000001</v>
      </c>
      <c r="V5230" s="399"/>
      <c r="W5230" s="399"/>
      <c r="X5230" s="399" t="s">
        <v>125</v>
      </c>
      <c r="Y5230" s="389">
        <f t="shared" ref="Y5230" si="16899">D5221</f>
        <v>1</v>
      </c>
      <c r="Z5230" s="400" t="s">
        <v>176</v>
      </c>
      <c r="AA5230" s="402">
        <f t="shared" ref="AA5230" si="16900">IF(AA5233=0,(D5230*N5230+P5230*R5230)*U5230*Y5230,0)</f>
        <v>0</v>
      </c>
      <c r="AB5230" s="403"/>
    </row>
    <row r="5231" spans="1:28">
      <c r="A5231" s="384" t="str">
        <f t="shared" ref="A5231:B5231" si="16901">A5215</f>
        <v>Lantai 3</v>
      </c>
      <c r="B5231" s="385">
        <f t="shared" si="16901"/>
        <v>32</v>
      </c>
      <c r="C5231" s="393" t="s">
        <v>210</v>
      </c>
      <c r="D5231" s="398">
        <f>VLOOKUP(D5215,'Detail Balok'!$C$10:$AU$140,25,FALSE)</f>
        <v>4</v>
      </c>
      <c r="E5231" s="388" t="s">
        <v>16</v>
      </c>
      <c r="F5231" s="388">
        <f>VLOOKUP(D5215,'Detail Balok'!$C$10:$AU$140,27,FALSE)</f>
        <v>16</v>
      </c>
      <c r="G5231" s="388"/>
      <c r="H5231" s="395"/>
      <c r="I5231" s="388" t="s">
        <v>203</v>
      </c>
      <c r="J5231" s="399">
        <f t="shared" si="16893"/>
        <v>2.7124999999999999</v>
      </c>
      <c r="K5231" s="400" t="s">
        <v>204</v>
      </c>
      <c r="L5231" s="399"/>
      <c r="M5231" s="399" t="s">
        <v>176</v>
      </c>
      <c r="N5231" s="399">
        <f t="shared" si="16895"/>
        <v>2.7124999999999999</v>
      </c>
      <c r="O5231" s="399" t="s">
        <v>204</v>
      </c>
      <c r="P5231" s="389">
        <f t="shared" ref="P5231" si="16902">MAX(D5231-D5230,D5231-D5232)</f>
        <v>0</v>
      </c>
      <c r="Q5231" s="399" t="s">
        <v>125</v>
      </c>
      <c r="R5231" s="399">
        <f t="shared" ref="R5231" si="16903">IF(P5231&gt;0,2*(1-2*$F$19-1/2)*D5218/1000,0)</f>
        <v>0</v>
      </c>
      <c r="S5231" s="399" t="s">
        <v>205</v>
      </c>
      <c r="T5231" s="399" t="s">
        <v>125</v>
      </c>
      <c r="U5231" s="401">
        <f t="shared" si="16898"/>
        <v>1.5782400000000001</v>
      </c>
      <c r="V5231" s="399"/>
      <c r="W5231" s="399"/>
      <c r="X5231" s="399" t="s">
        <v>125</v>
      </c>
      <c r="Y5231" s="389">
        <f t="shared" ref="Y5231" si="16904">D5221</f>
        <v>1</v>
      </c>
      <c r="Z5231" s="400" t="s">
        <v>176</v>
      </c>
      <c r="AA5231" s="402">
        <f t="shared" ref="AA5231" si="16905">IF(AA5233=0,(D5231*N5231+P5231*R5231)*U5231*Y5231,0)</f>
        <v>0</v>
      </c>
      <c r="AB5231" s="403"/>
    </row>
    <row r="5232" spans="1:28">
      <c r="A5232" s="384" t="str">
        <f t="shared" ref="A5232:B5232" si="16906">A5215</f>
        <v>Lantai 3</v>
      </c>
      <c r="B5232" s="385">
        <f t="shared" si="16906"/>
        <v>32</v>
      </c>
      <c r="C5232" s="393" t="s">
        <v>209</v>
      </c>
      <c r="D5232" s="398">
        <f>VLOOKUP(D5215,'Detail Balok'!$C$10:$AU$140,28,FALSE)</f>
        <v>4</v>
      </c>
      <c r="E5232" s="388" t="s">
        <v>16</v>
      </c>
      <c r="F5232" s="388">
        <f>VLOOKUP(D5215,'Detail Balok'!$C$10:$AU$140,30,FALSE)</f>
        <v>16</v>
      </c>
      <c r="G5232" s="388"/>
      <c r="H5232" s="395"/>
      <c r="I5232" s="388" t="s">
        <v>203</v>
      </c>
      <c r="J5232" s="399">
        <f t="shared" si="16893"/>
        <v>1.35625</v>
      </c>
      <c r="K5232" s="400" t="s">
        <v>204</v>
      </c>
      <c r="L5232" s="399">
        <f t="shared" ref="L5232" si="16907">MAX(VLOOKUP(F5232,N$6:P$15,3,FALSE)/1000,2/3*D5220/1000)+F$16*F5232/1000</f>
        <v>0.192</v>
      </c>
      <c r="M5232" s="399" t="s">
        <v>176</v>
      </c>
      <c r="N5232" s="399">
        <f t="shared" si="16895"/>
        <v>1.5482499999999999</v>
      </c>
      <c r="O5232" s="399" t="s">
        <v>204</v>
      </c>
      <c r="P5232" s="389">
        <f t="shared" ref="P5232" si="16908">D5232-D5231</f>
        <v>0</v>
      </c>
      <c r="Q5232" s="399" t="s">
        <v>125</v>
      </c>
      <c r="R5232" s="399">
        <f t="shared" ref="R5232" si="16909">IF(P5232&gt;0,$F$18*F5232/1000,0)</f>
        <v>0</v>
      </c>
      <c r="S5232" s="399" t="s">
        <v>205</v>
      </c>
      <c r="T5232" s="399" t="s">
        <v>125</v>
      </c>
      <c r="U5232" s="401">
        <f t="shared" si="16898"/>
        <v>1.5782400000000001</v>
      </c>
      <c r="V5232" s="399"/>
      <c r="W5232" s="399"/>
      <c r="X5232" s="399" t="s">
        <v>125</v>
      </c>
      <c r="Y5232" s="389">
        <f t="shared" ref="Y5232" si="16910">D5221</f>
        <v>1</v>
      </c>
      <c r="Z5232" s="400" t="s">
        <v>176</v>
      </c>
      <c r="AA5232" s="402">
        <f t="shared" ref="AA5232" si="16911">IF(AA5233=0,(D5232*N5232+P5232*R5232)*U5232*Y5232,0)</f>
        <v>0</v>
      </c>
      <c r="AB5232" s="403"/>
    </row>
    <row r="5233" spans="1:28">
      <c r="A5233" s="384" t="str">
        <f t="shared" ref="A5233:B5233" si="16912">A5215</f>
        <v>Lantai 3</v>
      </c>
      <c r="B5233" s="385">
        <f t="shared" si="16912"/>
        <v>32</v>
      </c>
      <c r="C5233" s="393"/>
      <c r="D5233" s="398">
        <f t="shared" ref="D5233:D5293" si="16913">IF(AND(D5230=D5231,D5231=D5232,D5230=D5232),D5230,0)</f>
        <v>4</v>
      </c>
      <c r="E5233" s="388" t="s">
        <v>16</v>
      </c>
      <c r="F5233" s="388">
        <f t="shared" ref="F5233:F5293" si="16914">IF(AND(F5230=F5231,F5230=F5232,F5231=F5232),F5230,0)</f>
        <v>16</v>
      </c>
      <c r="G5233" s="388"/>
      <c r="H5233" s="395"/>
      <c r="I5233" s="388"/>
      <c r="J5233" s="396"/>
      <c r="K5233" s="396"/>
      <c r="L5233" s="404" t="s">
        <v>207</v>
      </c>
      <c r="M5233" s="399" t="s">
        <v>176</v>
      </c>
      <c r="N5233" s="399">
        <f t="shared" ref="N5233" si="16915">IF(AND(D5230=D5231,D5230=D5232,D5231=D5232,F5230=F5231,F5230=F5232,F5231=F5232),SUM(N5230:N5232),0)</f>
        <v>5.8089999999999993</v>
      </c>
      <c r="O5233" s="399" t="s">
        <v>204</v>
      </c>
      <c r="P5233" s="389">
        <f t="shared" ref="P5233" si="16916">IF(N5233&gt;12,ROUNDDOWN(N5233/12,0),0)</f>
        <v>0</v>
      </c>
      <c r="Q5233" s="399" t="s">
        <v>125</v>
      </c>
      <c r="R5233" s="399">
        <f t="shared" ref="R5233" si="16917">IF(P5233&gt;0,MAX(VLOOKUP(F5233,$D$6:$G$15,3,FALSE),600),0)/1000</f>
        <v>0</v>
      </c>
      <c r="S5233" s="396"/>
      <c r="T5233" s="396" t="s">
        <v>125</v>
      </c>
      <c r="U5233" s="401">
        <f t="shared" ref="U5233:U5293" si="16918">U5232</f>
        <v>1.5782400000000001</v>
      </c>
      <c r="V5233" s="396" t="s">
        <v>125</v>
      </c>
      <c r="W5233" s="399">
        <f t="shared" ref="W5233" si="16919">D5233</f>
        <v>4</v>
      </c>
      <c r="X5233" s="399" t="s">
        <v>125</v>
      </c>
      <c r="Y5233" s="389">
        <f t="shared" ref="Y5233:Y5293" si="16920">Y5232</f>
        <v>1</v>
      </c>
      <c r="Z5233" s="400" t="s">
        <v>176</v>
      </c>
      <c r="AA5233" s="402">
        <f t="shared" ref="AA5233" si="16921">(N5233+P5233*R5233/1000)*U5233*W5233*Y5233</f>
        <v>36.671984639999998</v>
      </c>
      <c r="AB5233" s="403"/>
    </row>
    <row r="5234" spans="1:28">
      <c r="A5234" s="384"/>
      <c r="B5234" s="385"/>
      <c r="C5234" s="393"/>
      <c r="D5234" s="394"/>
      <c r="E5234" s="388"/>
      <c r="F5234" s="388"/>
      <c r="G5234" s="388"/>
      <c r="H5234" s="395"/>
      <c r="I5234" s="388"/>
      <c r="J5234" s="399"/>
      <c r="K5234" s="396"/>
      <c r="L5234" s="396"/>
      <c r="M5234" s="396"/>
      <c r="N5234" s="396"/>
      <c r="O5234" s="396"/>
      <c r="P5234" s="389"/>
      <c r="Q5234" s="396"/>
      <c r="R5234" s="396"/>
      <c r="S5234" s="396"/>
      <c r="T5234" s="396"/>
      <c r="U5234" s="401"/>
      <c r="V5234" s="396"/>
      <c r="W5234" s="388"/>
      <c r="X5234" s="396"/>
      <c r="Y5234" s="389"/>
      <c r="Z5234" s="396"/>
      <c r="AA5234" s="388"/>
      <c r="AB5234" s="390"/>
    </row>
    <row r="5235" spans="1:28">
      <c r="A5235" s="384" t="str">
        <f t="shared" ref="A5235:B5235" si="16922">A5215</f>
        <v>Lantai 3</v>
      </c>
      <c r="B5235" s="385">
        <f t="shared" si="16922"/>
        <v>32</v>
      </c>
      <c r="C5235" s="393" t="s">
        <v>211</v>
      </c>
      <c r="D5235" s="398">
        <f>VLOOKUP(D5215,'Detail Balok'!$C$10:$AU$140,31,FALSE)</f>
        <v>0</v>
      </c>
      <c r="E5235" s="388" t="s">
        <v>16</v>
      </c>
      <c r="F5235" s="388">
        <f>VLOOKUP(D5215,'Detail Balok'!$C$10:$AU$140,33,FALSE)</f>
        <v>10</v>
      </c>
      <c r="G5235" s="405" t="s">
        <v>157</v>
      </c>
      <c r="H5235" s="395">
        <f>VLOOKUP(D5215,'Detail Balok'!$C$10:$AU$140,35,FALSE)</f>
        <v>150</v>
      </c>
      <c r="I5235" s="388"/>
      <c r="J5235" s="400">
        <f t="shared" ref="J5235" si="16923">(IF(D5235=0,(2*(D5216+G5216))-(F$5*8),IF(D5235=3,(2*(D5216+G5216))-(F$5*8)+(G5216-2*F$5),IF(D5235=4,(2*(D5216+G5216))-(F$5*8)+2*(G5216-2*F$5)))))/1000</f>
        <v>1.08</v>
      </c>
      <c r="K5235" s="400" t="s">
        <v>204</v>
      </c>
      <c r="L5235" s="399">
        <f t="shared" ref="L5235:L5237" si="16924">IF(D5235=0,2*MAX(6*F5235,75),(D5235-1)*2*MAX(6*F5235,75))/1000</f>
        <v>0.15</v>
      </c>
      <c r="M5235" s="399" t="s">
        <v>176</v>
      </c>
      <c r="N5235" s="399">
        <f t="shared" ref="N5235:N5237" si="16925">J5235+L5235</f>
        <v>1.23</v>
      </c>
      <c r="O5235" s="399"/>
      <c r="P5235" s="389"/>
      <c r="Q5235" s="399"/>
      <c r="R5235" s="399"/>
      <c r="S5235" s="399"/>
      <c r="T5235" s="399" t="s">
        <v>125</v>
      </c>
      <c r="U5235" s="401">
        <f t="shared" ref="U5235:U5237" si="16926">0.006165*F5235^2</f>
        <v>0.61650000000000005</v>
      </c>
      <c r="V5235" s="399" t="s">
        <v>125</v>
      </c>
      <c r="W5235" s="399">
        <f t="shared" ref="W5235" si="16927">IF(D5218&gt;4*G5216,ROUND(MAX(D5218/4,2*G5216)/H5235,0)+1,ROUND(D5218/H5235,0)+1)</f>
        <v>10</v>
      </c>
      <c r="X5235" s="399" t="s">
        <v>125</v>
      </c>
      <c r="Y5235" s="389">
        <f t="shared" ref="Y5235" si="16928">D5221</f>
        <v>1</v>
      </c>
      <c r="Z5235" s="400" t="s">
        <v>176</v>
      </c>
      <c r="AA5235" s="402">
        <f t="shared" ref="AA5235:AA5237" si="16929">N5235*U5235*W5235*Y5235</f>
        <v>7.5829500000000003</v>
      </c>
      <c r="AB5235" s="403"/>
    </row>
    <row r="5236" spans="1:28">
      <c r="A5236" s="384" t="str">
        <f t="shared" ref="A5236:B5236" si="16930">A5215</f>
        <v>Lantai 3</v>
      </c>
      <c r="B5236" s="385">
        <f t="shared" si="16930"/>
        <v>32</v>
      </c>
      <c r="C5236" s="393" t="s">
        <v>212</v>
      </c>
      <c r="D5236" s="398">
        <f>VLOOKUP(D5215,'Detail Balok'!$C$10:$AU$140,36,FALSE)</f>
        <v>0</v>
      </c>
      <c r="E5236" s="388" t="s">
        <v>16</v>
      </c>
      <c r="F5236" s="388">
        <f>VLOOKUP(D5215,'Detail Balok'!$C$10:$AU$140,38,FALSE)</f>
        <v>10</v>
      </c>
      <c r="G5236" s="405" t="s">
        <v>157</v>
      </c>
      <c r="H5236" s="395">
        <f>VLOOKUP(D5215,'Detail Balok'!$C$10:$AU$140,40,FALSE)</f>
        <v>200</v>
      </c>
      <c r="I5236" s="388"/>
      <c r="J5236" s="400">
        <f t="shared" ref="J5236" si="16931">(IF(D5236=0,(2*(D5216+G5216))-(F$5*8),IF(D5236=3,(2*(D5216+G5216))-(F$5*8)+(G5216-2*F$5),IF(D5236=4,(2*(D5216+G5216))-(F$5*8)+2*(G5216-2*F$5)))))/1000</f>
        <v>1.08</v>
      </c>
      <c r="K5236" s="400" t="s">
        <v>204</v>
      </c>
      <c r="L5236" s="399">
        <f t="shared" si="16924"/>
        <v>0.15</v>
      </c>
      <c r="M5236" s="399" t="s">
        <v>176</v>
      </c>
      <c r="N5236" s="399">
        <f t="shared" si="16925"/>
        <v>1.23</v>
      </c>
      <c r="O5236" s="399"/>
      <c r="P5236" s="389"/>
      <c r="Q5236" s="399"/>
      <c r="R5236" s="399"/>
      <c r="S5236" s="399"/>
      <c r="T5236" s="399" t="s">
        <v>125</v>
      </c>
      <c r="U5236" s="401">
        <f t="shared" si="16926"/>
        <v>0.61650000000000005</v>
      </c>
      <c r="V5236" s="399" t="s">
        <v>125</v>
      </c>
      <c r="W5236" s="399">
        <f t="shared" ref="W5236" si="16932">IF(D5218-MAX(D5218/4,2*G5216)*2&gt;0,ROUND((D5218-MAX(D5218/4,2*G5216)*2)/H5236,0),0)</f>
        <v>14</v>
      </c>
      <c r="X5236" s="399" t="s">
        <v>125</v>
      </c>
      <c r="Y5236" s="389">
        <f t="shared" ref="Y5236" si="16933">D5221</f>
        <v>1</v>
      </c>
      <c r="Z5236" s="400" t="s">
        <v>176</v>
      </c>
      <c r="AA5236" s="402">
        <f t="shared" si="16929"/>
        <v>10.61613</v>
      </c>
      <c r="AB5236" s="403"/>
    </row>
    <row r="5237" spans="1:28">
      <c r="A5237" s="384" t="str">
        <f t="shared" ref="A5237:B5237" si="16934">A5215</f>
        <v>Lantai 3</v>
      </c>
      <c r="B5237" s="385">
        <f t="shared" si="16934"/>
        <v>32</v>
      </c>
      <c r="C5237" s="393" t="s">
        <v>211</v>
      </c>
      <c r="D5237" s="398">
        <f>VLOOKUP(D5215,'Detail Balok'!$C$10:$AU$140,41,FALSE)</f>
        <v>0</v>
      </c>
      <c r="E5237" s="388" t="s">
        <v>16</v>
      </c>
      <c r="F5237" s="388">
        <f>VLOOKUP(D5215,'Detail Balok'!$C$10:$AU$140,43,FALSE)</f>
        <v>10</v>
      </c>
      <c r="G5237" s="405" t="s">
        <v>157</v>
      </c>
      <c r="H5237" s="395">
        <f>VLOOKUP(D5215,'Detail Balok'!$C$10:$AU$140,45,FALSE)</f>
        <v>150</v>
      </c>
      <c r="I5237" s="388"/>
      <c r="J5237" s="400">
        <f t="shared" ref="J5237" si="16935">(IF(D5237=0,(2*(D5216+G5216))-(F$5*8),IF(D5237=3,(2*(D5216+G5216))-(F$5*8)+(G5216-2*F$5),IF(D5237=4,(2*(D5216+G5216))-(F$5*8)+2*(G5216-2*F$5)))))/1000</f>
        <v>1.08</v>
      </c>
      <c r="K5237" s="400" t="s">
        <v>204</v>
      </c>
      <c r="L5237" s="399">
        <f t="shared" si="16924"/>
        <v>0.15</v>
      </c>
      <c r="M5237" s="399" t="s">
        <v>176</v>
      </c>
      <c r="N5237" s="399">
        <f t="shared" si="16925"/>
        <v>1.23</v>
      </c>
      <c r="O5237" s="399"/>
      <c r="P5237" s="389"/>
      <c r="Q5237" s="399"/>
      <c r="R5237" s="399"/>
      <c r="S5237" s="399"/>
      <c r="T5237" s="399" t="s">
        <v>125</v>
      </c>
      <c r="U5237" s="401">
        <f t="shared" si="16926"/>
        <v>0.61650000000000005</v>
      </c>
      <c r="V5237" s="399" t="s">
        <v>125</v>
      </c>
      <c r="W5237" s="399">
        <f t="shared" ref="W5237" si="16936">IF(D5218&gt;4*G5216,ROUND(MAX(D5218/4,2*G5216)/H5237,0)+1,0)</f>
        <v>10</v>
      </c>
      <c r="X5237" s="399" t="s">
        <v>125</v>
      </c>
      <c r="Y5237" s="389">
        <f t="shared" ref="Y5237" si="16937">D5221</f>
        <v>1</v>
      </c>
      <c r="Z5237" s="400" t="s">
        <v>176</v>
      </c>
      <c r="AA5237" s="402">
        <f t="shared" si="16929"/>
        <v>7.5829500000000003</v>
      </c>
      <c r="AB5237" s="403"/>
    </row>
    <row r="5238" spans="1:28">
      <c r="A5238" s="384"/>
      <c r="B5238" s="385"/>
      <c r="C5238" s="393"/>
      <c r="D5238" s="394"/>
      <c r="E5238" s="388"/>
      <c r="F5238" s="388"/>
      <c r="G5238" s="388"/>
      <c r="H5238" s="395"/>
      <c r="I5238" s="388"/>
      <c r="J5238" s="399"/>
      <c r="K5238" s="396"/>
      <c r="L5238" s="396"/>
      <c r="M5238" s="396"/>
      <c r="N5238" s="396"/>
      <c r="O5238" s="396"/>
      <c r="P5238" s="389"/>
      <c r="Q5238" s="396"/>
      <c r="R5238" s="396"/>
      <c r="S5238" s="396"/>
      <c r="T5238" s="396"/>
      <c r="U5238" s="401"/>
      <c r="V5238" s="396"/>
      <c r="W5238" s="388"/>
      <c r="X5238" s="396"/>
      <c r="Y5238" s="389"/>
      <c r="Z5238" s="396"/>
      <c r="AA5238" s="388"/>
      <c r="AB5238" s="390"/>
    </row>
    <row r="5239" spans="1:28">
      <c r="A5239" s="384" t="str">
        <f t="shared" ref="A5239:B5239" si="16938">A5215</f>
        <v>Lantai 3</v>
      </c>
      <c r="B5239" s="385">
        <f t="shared" si="16938"/>
        <v>32</v>
      </c>
      <c r="C5239" s="393" t="s">
        <v>213</v>
      </c>
      <c r="D5239" s="398">
        <f>VLOOKUP(D5215,'Detail Balok'!$C$10:$BJ$140,46,FALSE)</f>
        <v>0</v>
      </c>
      <c r="E5239" s="388" t="s">
        <v>16</v>
      </c>
      <c r="F5239" s="388">
        <f>VLOOKUP(D5215,'Detail Balok'!$C$10:$BJ$140,48,FALSE)</f>
        <v>0</v>
      </c>
      <c r="G5239" s="405" t="s">
        <v>157</v>
      </c>
      <c r="H5239" s="395">
        <f>VLOOKUP(D5215,'Detail Balok'!$C$10:$BJ$140,50,FALSE)</f>
        <v>100</v>
      </c>
      <c r="I5239" s="388"/>
      <c r="J5239" s="399">
        <f t="shared" ref="J5239" si="16939">(D5216-2*F$5)/1000</f>
        <v>0.12</v>
      </c>
      <c r="K5239" s="400" t="s">
        <v>204</v>
      </c>
      <c r="L5239" s="399">
        <f t="shared" ref="L5239:L5241" si="16940">IF(D5239=0,2*MAX(6*F5239,75),(D5239-1)*2*MAX(6*F5239,75))/1000</f>
        <v>0.15</v>
      </c>
      <c r="M5239" s="399" t="s">
        <v>176</v>
      </c>
      <c r="N5239" s="399">
        <f t="shared" ref="N5239:N5241" si="16941">J5239+L5239</f>
        <v>0.27</v>
      </c>
      <c r="O5239" s="399"/>
      <c r="P5239" s="399"/>
      <c r="Q5239" s="399"/>
      <c r="R5239" s="399"/>
      <c r="S5239" s="399"/>
      <c r="T5239" s="399" t="s">
        <v>125</v>
      </c>
      <c r="U5239" s="401">
        <f t="shared" ref="U5239:U5241" si="16942">0.006165*F5239^2</f>
        <v>0</v>
      </c>
      <c r="V5239" s="399" t="s">
        <v>125</v>
      </c>
      <c r="W5239" s="399">
        <f t="shared" ref="W5239:W5301" si="16943">W5235</f>
        <v>10</v>
      </c>
      <c r="X5239" s="399" t="s">
        <v>125</v>
      </c>
      <c r="Y5239" s="389">
        <f t="shared" ref="Y5239" si="16944">D5225</f>
        <v>4</v>
      </c>
      <c r="Z5239" s="400" t="s">
        <v>176</v>
      </c>
      <c r="AA5239" s="402">
        <f t="shared" ref="AA5239:AA5241" si="16945">N5239*U5239*W5239*Y5239</f>
        <v>0</v>
      </c>
      <c r="AB5239" s="403"/>
    </row>
    <row r="5240" spans="1:28">
      <c r="A5240" s="384" t="str">
        <f t="shared" ref="A5240:B5240" si="16946">A5215</f>
        <v>Lantai 3</v>
      </c>
      <c r="B5240" s="385">
        <f t="shared" si="16946"/>
        <v>32</v>
      </c>
      <c r="C5240" s="393" t="s">
        <v>214</v>
      </c>
      <c r="D5240" s="398">
        <f>VLOOKUP(D5215,'Detail Balok'!$C$10:$BJ$140,51,FALSE)</f>
        <v>0</v>
      </c>
      <c r="E5240" s="388" t="s">
        <v>16</v>
      </c>
      <c r="F5240" s="388">
        <f>VLOOKUP(D5215,'Detail Balok'!$C$10:$BJ$140,53,FALSE)</f>
        <v>0</v>
      </c>
      <c r="G5240" s="405" t="s">
        <v>157</v>
      </c>
      <c r="H5240" s="395">
        <f>VLOOKUP(D5215,'Detail Balok'!$C$10:$BJ$140,55,FALSE)</f>
        <v>100</v>
      </c>
      <c r="I5240" s="388"/>
      <c r="J5240" s="399">
        <f t="shared" ref="J5240" si="16947">(D5216-2*F$5)/1000</f>
        <v>0.12</v>
      </c>
      <c r="K5240" s="400" t="s">
        <v>204</v>
      </c>
      <c r="L5240" s="399">
        <f t="shared" si="16940"/>
        <v>0.15</v>
      </c>
      <c r="M5240" s="399" t="s">
        <v>176</v>
      </c>
      <c r="N5240" s="399">
        <f t="shared" si="16941"/>
        <v>0.27</v>
      </c>
      <c r="O5240" s="399"/>
      <c r="P5240" s="399"/>
      <c r="Q5240" s="399"/>
      <c r="R5240" s="399"/>
      <c r="S5240" s="399"/>
      <c r="T5240" s="399" t="s">
        <v>125</v>
      </c>
      <c r="U5240" s="401">
        <f t="shared" si="16942"/>
        <v>0</v>
      </c>
      <c r="V5240" s="399" t="s">
        <v>125</v>
      </c>
      <c r="W5240" s="399">
        <f t="shared" si="16943"/>
        <v>14</v>
      </c>
      <c r="X5240" s="399" t="s">
        <v>125</v>
      </c>
      <c r="Y5240" s="389">
        <f t="shared" ref="Y5240" si="16948">D5225</f>
        <v>4</v>
      </c>
      <c r="Z5240" s="400" t="s">
        <v>176</v>
      </c>
      <c r="AA5240" s="402">
        <f t="shared" si="16945"/>
        <v>0</v>
      </c>
      <c r="AB5240" s="403"/>
    </row>
    <row r="5241" spans="1:28">
      <c r="A5241" s="384" t="str">
        <f t="shared" ref="A5241:B5241" si="16949">A5215</f>
        <v>Lantai 3</v>
      </c>
      <c r="B5241" s="385">
        <f t="shared" si="16949"/>
        <v>32</v>
      </c>
      <c r="C5241" s="393" t="s">
        <v>213</v>
      </c>
      <c r="D5241" s="398">
        <f>VLOOKUP(D5215,'Detail Balok'!$C$10:$BJ$140,56,FALSE)</f>
        <v>0</v>
      </c>
      <c r="E5241" s="388" t="s">
        <v>16</v>
      </c>
      <c r="F5241" s="388">
        <f>VLOOKUP(D5215,'Detail Balok'!$C$10:$BJ$140,58,FALSE)</f>
        <v>0</v>
      </c>
      <c r="G5241" s="405" t="s">
        <v>157</v>
      </c>
      <c r="H5241" s="395">
        <f>VLOOKUP(D5215,'Detail Balok'!$C$10:$BJ$140,60,FALSE)</f>
        <v>100</v>
      </c>
      <c r="I5241" s="388"/>
      <c r="J5241" s="399">
        <f t="shared" ref="J5241" si="16950">(D5216-2*F$5)/1000</f>
        <v>0.12</v>
      </c>
      <c r="K5241" s="400" t="s">
        <v>204</v>
      </c>
      <c r="L5241" s="399">
        <f t="shared" si="16940"/>
        <v>0.15</v>
      </c>
      <c r="M5241" s="399" t="s">
        <v>176</v>
      </c>
      <c r="N5241" s="399">
        <f t="shared" si="16941"/>
        <v>0.27</v>
      </c>
      <c r="O5241" s="399"/>
      <c r="P5241" s="399"/>
      <c r="Q5241" s="399"/>
      <c r="R5241" s="399"/>
      <c r="S5241" s="399"/>
      <c r="T5241" s="399" t="s">
        <v>125</v>
      </c>
      <c r="U5241" s="401">
        <f t="shared" si="16942"/>
        <v>0</v>
      </c>
      <c r="V5241" s="399" t="s">
        <v>125</v>
      </c>
      <c r="W5241" s="399">
        <f t="shared" si="16943"/>
        <v>10</v>
      </c>
      <c r="X5241" s="399" t="s">
        <v>125</v>
      </c>
      <c r="Y5241" s="389">
        <f t="shared" ref="Y5241" si="16951">D5225</f>
        <v>4</v>
      </c>
      <c r="Z5241" s="400" t="s">
        <v>176</v>
      </c>
      <c r="AA5241" s="402">
        <f t="shared" si="16945"/>
        <v>0</v>
      </c>
      <c r="AB5241" s="403"/>
    </row>
    <row r="5242" spans="1:28">
      <c r="A5242" s="391"/>
      <c r="B5242" s="392"/>
      <c r="C5242" s="392"/>
      <c r="D5242" s="394"/>
      <c r="E5242" s="388"/>
      <c r="F5242" s="388"/>
      <c r="G5242" s="388"/>
      <c r="H5242" s="395"/>
      <c r="I5242" s="388"/>
      <c r="J5242" s="402"/>
      <c r="K5242" s="388"/>
      <c r="L5242" s="388"/>
      <c r="M5242" s="388"/>
      <c r="N5242" s="388"/>
      <c r="O5242" s="388"/>
      <c r="P5242" s="388"/>
      <c r="Q5242" s="388"/>
      <c r="R5242" s="388"/>
      <c r="S5242" s="388"/>
      <c r="T5242" s="388"/>
      <c r="U5242" s="388"/>
      <c r="V5242" s="388"/>
      <c r="W5242" s="388"/>
      <c r="X5242" s="388"/>
      <c r="Y5242" s="389"/>
      <c r="Z5242" s="388"/>
      <c r="AA5242" s="402"/>
      <c r="AB5242" s="403"/>
    </row>
    <row r="5243" spans="1:28" ht="15.75" thickBot="1">
      <c r="A5243" s="406"/>
      <c r="B5243" s="407"/>
      <c r="C5243" s="407"/>
      <c r="D5243" s="408"/>
      <c r="E5243" s="409"/>
      <c r="F5243" s="409"/>
      <c r="G5243" s="409"/>
      <c r="H5243" s="410"/>
      <c r="I5243" s="409"/>
      <c r="J5243" s="409"/>
      <c r="K5243" s="409"/>
      <c r="L5243" s="409"/>
      <c r="M5243" s="409"/>
      <c r="N5243" s="409"/>
      <c r="O5243" s="409"/>
      <c r="P5243" s="409"/>
      <c r="Q5243" s="409"/>
      <c r="R5243" s="409"/>
      <c r="S5243" s="409"/>
      <c r="T5243" s="409"/>
      <c r="U5243" s="409"/>
      <c r="V5243" s="409"/>
      <c r="W5243" s="409"/>
      <c r="X5243" s="409"/>
      <c r="Y5243" s="411"/>
      <c r="Z5243" s="409"/>
      <c r="AA5243" s="412"/>
      <c r="AB5243" s="413"/>
    </row>
    <row r="5244" spans="1:28">
      <c r="A5244" s="377"/>
      <c r="B5244" s="378"/>
      <c r="C5244" s="378"/>
      <c r="D5244" s="379"/>
      <c r="E5244" s="380"/>
      <c r="F5244" s="380"/>
      <c r="G5244" s="380"/>
      <c r="H5244" s="381"/>
      <c r="I5244" s="380"/>
      <c r="J5244" s="380"/>
      <c r="K5244" s="380"/>
      <c r="L5244" s="380"/>
      <c r="M5244" s="380"/>
      <c r="N5244" s="380"/>
      <c r="O5244" s="380"/>
      <c r="P5244" s="380"/>
      <c r="Q5244" s="380"/>
      <c r="R5244" s="380"/>
      <c r="S5244" s="380"/>
      <c r="T5244" s="380"/>
      <c r="U5244" s="380"/>
      <c r="V5244" s="380"/>
      <c r="W5244" s="380"/>
      <c r="X5244" s="380"/>
      <c r="Y5244" s="382"/>
      <c r="Z5244" s="380"/>
      <c r="AA5244" s="380"/>
      <c r="AB5244" s="383"/>
    </row>
    <row r="5245" spans="1:28">
      <c r="A5245" s="384" t="str">
        <f t="shared" ref="A5245:A5305" si="16952">A5215</f>
        <v>Lantai 3</v>
      </c>
      <c r="B5245" s="385">
        <f t="shared" ref="B5245:B5305" si="16953">B5215+1</f>
        <v>33</v>
      </c>
      <c r="C5245" s="386" t="str">
        <f t="shared" ref="C5245" si="16954">CONCATENATE(A5245," no. ",B5245)</f>
        <v>Lantai 3 no. 33</v>
      </c>
      <c r="D5245" s="2562" t="str">
        <f>VLOOKUP(C5245,'Data Panjang Balok'!$C$9:$N$254,2,FALSE)</f>
        <v>B26-1</v>
      </c>
      <c r="E5245" s="2576"/>
      <c r="F5245" s="2576"/>
      <c r="G5245" s="2576"/>
      <c r="H5245" s="2577"/>
      <c r="I5245" s="387"/>
      <c r="J5245" s="388"/>
      <c r="K5245" s="388"/>
      <c r="L5245" s="388"/>
      <c r="M5245" s="388"/>
      <c r="N5245" s="388"/>
      <c r="O5245" s="388"/>
      <c r="P5245" s="388"/>
      <c r="Q5245" s="388"/>
      <c r="R5245" s="388"/>
      <c r="S5245" s="388"/>
      <c r="T5245" s="388"/>
      <c r="U5245" s="388"/>
      <c r="V5245" s="388"/>
      <c r="W5245" s="388"/>
      <c r="X5245" s="388"/>
      <c r="Y5245" s="389"/>
      <c r="Z5245" s="388"/>
      <c r="AA5245" s="388"/>
      <c r="AB5245" s="390"/>
    </row>
    <row r="5246" spans="1:28">
      <c r="A5246" s="391"/>
      <c r="B5246" s="392"/>
      <c r="C5246" s="393" t="s">
        <v>118</v>
      </c>
      <c r="D5246" s="2578">
        <f>VLOOKUP(D5245,'Detail Balok'!$C$10:$AU$140,2,FALSE)</f>
        <v>200</v>
      </c>
      <c r="E5246" s="2579"/>
      <c r="F5246" s="388" t="s">
        <v>125</v>
      </c>
      <c r="G5246" s="2579">
        <f>VLOOKUP(D5245,'Detail Balok'!$C$10:$AU$140,3,FALSE)</f>
        <v>600</v>
      </c>
      <c r="H5246" s="2580"/>
      <c r="I5246" s="388"/>
      <c r="J5246" s="396"/>
      <c r="K5246" s="396"/>
      <c r="L5246" s="396"/>
      <c r="M5246" s="396"/>
      <c r="N5246" s="396"/>
      <c r="O5246" s="396"/>
      <c r="P5246" s="396"/>
      <c r="Q5246" s="396"/>
      <c r="R5246" s="396"/>
      <c r="S5246" s="396"/>
      <c r="T5246" s="396"/>
      <c r="U5246" s="388"/>
      <c r="V5246" s="396"/>
      <c r="W5246" s="388"/>
      <c r="X5246" s="396"/>
      <c r="Y5246" s="389"/>
      <c r="Z5246" s="396"/>
      <c r="AA5246" s="388"/>
      <c r="AB5246" s="390"/>
    </row>
    <row r="5247" spans="1:28">
      <c r="A5247" s="391"/>
      <c r="B5247" s="392"/>
      <c r="C5247" s="393" t="s">
        <v>198</v>
      </c>
      <c r="D5247" s="2562">
        <f>VLOOKUP(C5245,'Data Panjang Balok'!$C$9:$N$254,4,FALSE)</f>
        <v>5585</v>
      </c>
      <c r="E5247" s="2563"/>
      <c r="F5247" s="2563"/>
      <c r="G5247" s="2563"/>
      <c r="H5247" s="2564"/>
      <c r="I5247" s="397"/>
      <c r="J5247" s="396"/>
      <c r="K5247" s="396"/>
      <c r="L5247" s="396"/>
      <c r="M5247" s="396"/>
      <c r="N5247" s="396"/>
      <c r="O5247" s="396"/>
      <c r="P5247" s="396"/>
      <c r="Q5247" s="396"/>
      <c r="R5247" s="396"/>
      <c r="S5247" s="396"/>
      <c r="T5247" s="396"/>
      <c r="U5247" s="388"/>
      <c r="V5247" s="396"/>
      <c r="W5247" s="388"/>
      <c r="X5247" s="396"/>
      <c r="Y5247" s="389"/>
      <c r="Z5247" s="396"/>
      <c r="AA5247" s="388"/>
      <c r="AB5247" s="390"/>
    </row>
    <row r="5248" spans="1:28">
      <c r="A5248" s="391"/>
      <c r="B5248" s="392"/>
      <c r="C5248" s="393" t="s">
        <v>199</v>
      </c>
      <c r="D5248" s="2562">
        <f>VLOOKUP(C5245,'Data Panjang Balok'!$C$9:$N$254,7,FALSE)</f>
        <v>5585</v>
      </c>
      <c r="E5248" s="2563"/>
      <c r="F5248" s="2563"/>
      <c r="G5248" s="2563"/>
      <c r="H5248" s="2564"/>
      <c r="I5248" s="397"/>
      <c r="J5248" s="396"/>
      <c r="K5248" s="396"/>
      <c r="L5248" s="396"/>
      <c r="M5248" s="396"/>
      <c r="N5248" s="396"/>
      <c r="O5248" s="396"/>
      <c r="P5248" s="396"/>
      <c r="Q5248" s="396"/>
      <c r="R5248" s="396"/>
      <c r="S5248" s="396"/>
      <c r="T5248" s="396"/>
      <c r="U5248" s="388"/>
      <c r="V5248" s="396"/>
      <c r="W5248" s="388"/>
      <c r="X5248" s="396"/>
      <c r="Y5248" s="389"/>
      <c r="Z5248" s="396"/>
      <c r="AA5248" s="388"/>
      <c r="AB5248" s="390"/>
    </row>
    <row r="5249" spans="1:28">
      <c r="A5249" s="391"/>
      <c r="B5249" s="392"/>
      <c r="C5249" s="393" t="s">
        <v>200</v>
      </c>
      <c r="D5249" s="2562">
        <f>VLOOKUP(C5245,'Data Panjang Balok'!$C$9:$N$254,9,FALSE)</f>
        <v>0</v>
      </c>
      <c r="E5249" s="2563"/>
      <c r="F5249" s="2563"/>
      <c r="G5249" s="2563"/>
      <c r="H5249" s="2564"/>
      <c r="I5249" s="397"/>
      <c r="J5249" s="396"/>
      <c r="K5249" s="396"/>
      <c r="L5249" s="396"/>
      <c r="M5249" s="396"/>
      <c r="N5249" s="396"/>
      <c r="O5249" s="396"/>
      <c r="P5249" s="396"/>
      <c r="Q5249" s="396"/>
      <c r="R5249" s="396"/>
      <c r="S5249" s="396"/>
      <c r="T5249" s="396"/>
      <c r="U5249" s="388"/>
      <c r="V5249" s="396"/>
      <c r="W5249" s="388"/>
      <c r="X5249" s="396"/>
      <c r="Y5249" s="389"/>
      <c r="Z5249" s="396"/>
      <c r="AA5249" s="388"/>
      <c r="AB5249" s="390"/>
    </row>
    <row r="5250" spans="1:28">
      <c r="A5250" s="391"/>
      <c r="B5250" s="392"/>
      <c r="C5250" s="393" t="s">
        <v>201</v>
      </c>
      <c r="D5250" s="2562">
        <f>VLOOKUP(C5245,'Data Panjang Balok'!$C$9:$N$254,10,FALSE)</f>
        <v>0</v>
      </c>
      <c r="E5250" s="2563"/>
      <c r="F5250" s="2563"/>
      <c r="G5250" s="2563"/>
      <c r="H5250" s="2564"/>
      <c r="I5250" s="397"/>
      <c r="J5250" s="396"/>
      <c r="K5250" s="396"/>
      <c r="L5250" s="396"/>
      <c r="M5250" s="396"/>
      <c r="N5250" s="396"/>
      <c r="O5250" s="396"/>
      <c r="P5250" s="396"/>
      <c r="Q5250" s="396"/>
      <c r="R5250" s="396"/>
      <c r="S5250" s="396"/>
      <c r="T5250" s="396"/>
      <c r="U5250" s="388"/>
      <c r="V5250" s="396"/>
      <c r="W5250" s="388"/>
      <c r="X5250" s="396"/>
      <c r="Y5250" s="389"/>
      <c r="Z5250" s="396"/>
      <c r="AA5250" s="388"/>
      <c r="AB5250" s="390"/>
    </row>
    <row r="5251" spans="1:28">
      <c r="A5251" s="391"/>
      <c r="B5251" s="392"/>
      <c r="C5251" s="393" t="s">
        <v>48</v>
      </c>
      <c r="D5251" s="2562">
        <f>VLOOKUP(C5245,'Data Panjang Balok'!$C$9:$N$254,3,FALSE)</f>
        <v>1</v>
      </c>
      <c r="E5251" s="2563"/>
      <c r="F5251" s="2563"/>
      <c r="G5251" s="2563"/>
      <c r="H5251" s="2564"/>
      <c r="I5251" s="397"/>
      <c r="J5251" s="396"/>
      <c r="K5251" s="396"/>
      <c r="L5251" s="396"/>
      <c r="M5251" s="396"/>
      <c r="N5251" s="396"/>
      <c r="O5251" s="396"/>
      <c r="P5251" s="396"/>
      <c r="Q5251" s="396"/>
      <c r="R5251" s="396"/>
      <c r="S5251" s="396"/>
      <c r="T5251" s="396"/>
      <c r="U5251" s="388"/>
      <c r="V5251" s="396"/>
      <c r="W5251" s="388"/>
      <c r="X5251" s="396"/>
      <c r="Y5251" s="389"/>
      <c r="Z5251" s="396"/>
      <c r="AA5251" s="388"/>
      <c r="AB5251" s="390"/>
    </row>
    <row r="5252" spans="1:28">
      <c r="A5252" s="384" t="str">
        <f t="shared" ref="A5252:B5252" si="16955">A5245</f>
        <v>Lantai 3</v>
      </c>
      <c r="B5252" s="385">
        <f t="shared" si="16955"/>
        <v>33</v>
      </c>
      <c r="C5252" s="393" t="s">
        <v>202</v>
      </c>
      <c r="D5252" s="398">
        <f>VLOOKUP(D5245,'Detail Balok'!$C$10:$AU$140,4,FALSE)</f>
        <v>4</v>
      </c>
      <c r="E5252" s="388" t="s">
        <v>16</v>
      </c>
      <c r="F5252" s="388">
        <f>VLOOKUP(D5245,'Detail Balok'!$C$10:$AU$140,6,FALSE)</f>
        <v>16</v>
      </c>
      <c r="G5252" s="388"/>
      <c r="H5252" s="395"/>
      <c r="I5252" s="388" t="s">
        <v>203</v>
      </c>
      <c r="J5252" s="399">
        <f t="shared" ref="J5252" si="16956">+D5247/4/1000</f>
        <v>1.39625</v>
      </c>
      <c r="K5252" s="400" t="s">
        <v>204</v>
      </c>
      <c r="L5252" s="399">
        <f t="shared" ref="L5252" si="16957">MAX(VLOOKUP(F5252,N$6:P$15,3,FALSE)/1000,2/3*D5249/1000)+F$16*F5252/1000</f>
        <v>0.192</v>
      </c>
      <c r="M5252" s="399" t="s">
        <v>176</v>
      </c>
      <c r="N5252" s="399">
        <f t="shared" ref="N5252:N5254" si="16958">J5252+L5252</f>
        <v>1.5882499999999999</v>
      </c>
      <c r="O5252" s="399" t="s">
        <v>204</v>
      </c>
      <c r="P5252" s="389">
        <f t="shared" ref="P5252" si="16959">D5252-D5253</f>
        <v>1</v>
      </c>
      <c r="Q5252" s="399" t="s">
        <v>125</v>
      </c>
      <c r="R5252" s="399">
        <f t="shared" ref="R5252" si="16960">IF(P5252&gt;0,$F$18*F5252/1000,0)</f>
        <v>0.24</v>
      </c>
      <c r="S5252" s="399" t="s">
        <v>205</v>
      </c>
      <c r="T5252" s="399" t="s">
        <v>125</v>
      </c>
      <c r="U5252" s="401">
        <f t="shared" ref="U5252:U5254" si="16961">0.006165*F5252^2</f>
        <v>1.5782400000000001</v>
      </c>
      <c r="V5252" s="399"/>
      <c r="W5252" s="399"/>
      <c r="X5252" s="399" t="s">
        <v>125</v>
      </c>
      <c r="Y5252" s="389">
        <f t="shared" ref="Y5252" si="16962">D5251</f>
        <v>1</v>
      </c>
      <c r="Z5252" s="400" t="s">
        <v>176</v>
      </c>
      <c r="AA5252" s="402">
        <f t="shared" ref="AA5252" si="16963">IF(AA5255=0,(D5252*N5252+P5252*R5252)*U5252*Y5252,0)</f>
        <v>10.40533632</v>
      </c>
      <c r="AB5252" s="403"/>
    </row>
    <row r="5253" spans="1:28">
      <c r="A5253" s="384" t="str">
        <f t="shared" ref="A5253:B5253" si="16964">A5245</f>
        <v>Lantai 3</v>
      </c>
      <c r="B5253" s="385">
        <f t="shared" si="16964"/>
        <v>33</v>
      </c>
      <c r="C5253" s="393" t="s">
        <v>206</v>
      </c>
      <c r="D5253" s="398">
        <f>VLOOKUP(D5245,'Detail Balok'!$C$10:$AU$140,7,FALSE)</f>
        <v>3</v>
      </c>
      <c r="E5253" s="388" t="s">
        <v>16</v>
      </c>
      <c r="F5253" s="388">
        <f>VLOOKUP(D5245,'Detail Balok'!$C$10:$AU$140,9,FALSE)</f>
        <v>16</v>
      </c>
      <c r="G5253" s="388"/>
      <c r="H5253" s="395"/>
      <c r="I5253" s="388" t="s">
        <v>203</v>
      </c>
      <c r="J5253" s="399">
        <f t="shared" ref="J5253" si="16965">+D5247/2/1000</f>
        <v>2.7925</v>
      </c>
      <c r="K5253" s="400" t="s">
        <v>204</v>
      </c>
      <c r="L5253" s="399"/>
      <c r="M5253" s="399" t="s">
        <v>176</v>
      </c>
      <c r="N5253" s="399">
        <f t="shared" si="16958"/>
        <v>2.7925</v>
      </c>
      <c r="O5253" s="399" t="s">
        <v>204</v>
      </c>
      <c r="P5253" s="389">
        <f t="shared" ref="P5253" si="16966">MAX(D5253-D5252,D5253-D5254)</f>
        <v>-1</v>
      </c>
      <c r="Q5253" s="399" t="s">
        <v>125</v>
      </c>
      <c r="R5253" s="399">
        <f t="shared" ref="R5253" si="16967">IF(P5253&gt;0,2*(1-2*$F$19-1/2)*D5248/1000,0)</f>
        <v>0</v>
      </c>
      <c r="S5253" s="399" t="s">
        <v>205</v>
      </c>
      <c r="T5253" s="399" t="s">
        <v>125</v>
      </c>
      <c r="U5253" s="401">
        <f t="shared" si="16961"/>
        <v>1.5782400000000001</v>
      </c>
      <c r="V5253" s="399"/>
      <c r="W5253" s="399"/>
      <c r="X5253" s="399" t="s">
        <v>125</v>
      </c>
      <c r="Y5253" s="389">
        <f t="shared" ref="Y5253" si="16968">D5251</f>
        <v>1</v>
      </c>
      <c r="Z5253" s="400" t="s">
        <v>176</v>
      </c>
      <c r="AA5253" s="402">
        <f t="shared" ref="AA5253" si="16969">IF(AA5255=0,(D5253*N5253+P5253*R5253)*U5253*Y5253,0)</f>
        <v>13.2217056</v>
      </c>
      <c r="AB5253" s="403"/>
    </row>
    <row r="5254" spans="1:28">
      <c r="A5254" s="384" t="str">
        <f t="shared" ref="A5254:B5254" si="16970">A5245</f>
        <v>Lantai 3</v>
      </c>
      <c r="B5254" s="385">
        <f t="shared" si="16970"/>
        <v>33</v>
      </c>
      <c r="C5254" s="393" t="s">
        <v>202</v>
      </c>
      <c r="D5254" s="398">
        <f>VLOOKUP(D5245,'Detail Balok'!$C$10:$AU$140,10,FALSE)</f>
        <v>4</v>
      </c>
      <c r="E5254" s="388" t="s">
        <v>16</v>
      </c>
      <c r="F5254" s="388">
        <f>VLOOKUP(D5245,'Detail Balok'!$C$10:$AU$140,12,FALSE)</f>
        <v>16</v>
      </c>
      <c r="G5254" s="388"/>
      <c r="H5254" s="395"/>
      <c r="I5254" s="388" t="s">
        <v>203</v>
      </c>
      <c r="J5254" s="399">
        <f t="shared" ref="J5254" si="16971">+D5247/4/1000</f>
        <v>1.39625</v>
      </c>
      <c r="K5254" s="400" t="s">
        <v>204</v>
      </c>
      <c r="L5254" s="399">
        <f t="shared" ref="L5254" si="16972">MAX(VLOOKUP(F5254,N$6:P$15,3,FALSE)/1000,2/3*D5249/1000)+F$16*F5254/1000</f>
        <v>0.192</v>
      </c>
      <c r="M5254" s="399" t="s">
        <v>176</v>
      </c>
      <c r="N5254" s="399">
        <f t="shared" si="16958"/>
        <v>1.5882499999999999</v>
      </c>
      <c r="O5254" s="399" t="s">
        <v>204</v>
      </c>
      <c r="P5254" s="389">
        <f t="shared" ref="P5254" si="16973">D5254-D5253</f>
        <v>1</v>
      </c>
      <c r="Q5254" s="399" t="s">
        <v>125</v>
      </c>
      <c r="R5254" s="399">
        <f t="shared" ref="R5254" si="16974">IF(P5254&gt;0,$F$18*F5254/1000,0)</f>
        <v>0.24</v>
      </c>
      <c r="S5254" s="399" t="s">
        <v>205</v>
      </c>
      <c r="T5254" s="399" t="s">
        <v>125</v>
      </c>
      <c r="U5254" s="401">
        <f t="shared" si="16961"/>
        <v>1.5782400000000001</v>
      </c>
      <c r="V5254" s="399"/>
      <c r="W5254" s="399"/>
      <c r="X5254" s="399" t="s">
        <v>125</v>
      </c>
      <c r="Y5254" s="389">
        <f t="shared" ref="Y5254" si="16975">D5251</f>
        <v>1</v>
      </c>
      <c r="Z5254" s="400" t="s">
        <v>176</v>
      </c>
      <c r="AA5254" s="402">
        <f t="shared" ref="AA5254" si="16976">IF(AA5255=0,(D5254*N5254+P5254*R5254)*U5254*Y5254,0)</f>
        <v>10.40533632</v>
      </c>
      <c r="AB5254" s="403"/>
    </row>
    <row r="5255" spans="1:28">
      <c r="A5255" s="384" t="str">
        <f t="shared" ref="A5255:B5255" si="16977">A5245</f>
        <v>Lantai 3</v>
      </c>
      <c r="B5255" s="385">
        <f t="shared" si="16977"/>
        <v>33</v>
      </c>
      <c r="C5255" s="393"/>
      <c r="D5255" s="398">
        <f t="shared" si="16873"/>
        <v>0</v>
      </c>
      <c r="E5255" s="388" t="s">
        <v>16</v>
      </c>
      <c r="F5255" s="388">
        <f t="shared" si="16874"/>
        <v>16</v>
      </c>
      <c r="G5255" s="388"/>
      <c r="H5255" s="395"/>
      <c r="I5255" s="388"/>
      <c r="J5255" s="396"/>
      <c r="K5255" s="396"/>
      <c r="L5255" s="404" t="s">
        <v>207</v>
      </c>
      <c r="M5255" s="399" t="s">
        <v>176</v>
      </c>
      <c r="N5255" s="399">
        <f t="shared" ref="N5255" si="16978">IF(AND(D5252=D5253,D5252=D5254,D5253=D5254,F5252=F5253,F5252=F5254,F5253=F5254),SUM(N5252:N5254),0)</f>
        <v>0</v>
      </c>
      <c r="O5255" s="399" t="s">
        <v>204</v>
      </c>
      <c r="P5255" s="389">
        <f t="shared" ref="P5255" si="16979">IF(N5255&gt;12,ROUNDDOWN(N5255/12,0),0)</f>
        <v>0</v>
      </c>
      <c r="Q5255" s="399" t="s">
        <v>125</v>
      </c>
      <c r="R5255" s="399">
        <f t="shared" ref="R5255" si="16980">IF(P5255&gt;0,MAX(VLOOKUP(F5255,$D$6:$G$15,3,FALSE),600),0)/1000</f>
        <v>0</v>
      </c>
      <c r="S5255" s="396"/>
      <c r="T5255" s="396" t="s">
        <v>125</v>
      </c>
      <c r="U5255" s="401">
        <f t="shared" si="16878"/>
        <v>1.5782400000000001</v>
      </c>
      <c r="V5255" s="396" t="s">
        <v>125</v>
      </c>
      <c r="W5255" s="399">
        <f t="shared" ref="W5255" si="16981">D5255</f>
        <v>0</v>
      </c>
      <c r="X5255" s="399" t="s">
        <v>125</v>
      </c>
      <c r="Y5255" s="389">
        <f t="shared" si="16880"/>
        <v>1</v>
      </c>
      <c r="Z5255" s="400" t="s">
        <v>176</v>
      </c>
      <c r="AA5255" s="402">
        <f t="shared" ref="AA5255" si="16982">(N5255+P5255*R5255/1000)*U5255*W5255*Y5255</f>
        <v>0</v>
      </c>
      <c r="AB5255" s="390"/>
    </row>
    <row r="5256" spans="1:28">
      <c r="A5256" s="384"/>
      <c r="B5256" s="385"/>
      <c r="C5256" s="393"/>
      <c r="D5256" s="398"/>
      <c r="E5256" s="388"/>
      <c r="F5256" s="388"/>
      <c r="G5256" s="388"/>
      <c r="H5256" s="395"/>
      <c r="I5256" s="388"/>
      <c r="J5256" s="396"/>
      <c r="K5256" s="396"/>
      <c r="L5256" s="404"/>
      <c r="M5256" s="399"/>
      <c r="N5256" s="399"/>
      <c r="O5256" s="396"/>
      <c r="P5256" s="389"/>
      <c r="Q5256" s="396"/>
      <c r="R5256" s="396"/>
      <c r="S5256" s="396"/>
      <c r="T5256" s="396"/>
      <c r="U5256" s="401"/>
      <c r="V5256" s="396"/>
      <c r="W5256" s="399"/>
      <c r="X5256" s="396"/>
      <c r="Y5256" s="389"/>
      <c r="Z5256" s="396"/>
      <c r="AA5256" s="388"/>
      <c r="AB5256" s="390"/>
    </row>
    <row r="5257" spans="1:28">
      <c r="A5257" s="384" t="str">
        <f t="shared" ref="A5257:B5257" si="16983">A5245</f>
        <v>Lantai 3</v>
      </c>
      <c r="B5257" s="385">
        <f t="shared" si="16983"/>
        <v>33</v>
      </c>
      <c r="C5257" s="393" t="s">
        <v>208</v>
      </c>
      <c r="D5257" s="398">
        <f>VLOOKUP(D5245,'Detail Balok'!$C$10:$AU$140,13,FALSE)</f>
        <v>2</v>
      </c>
      <c r="E5257" s="388" t="s">
        <v>16</v>
      </c>
      <c r="F5257" s="388">
        <f>VLOOKUP(D5245,'Detail Balok'!$C$10:$AU$140,15,FALSE)</f>
        <v>10</v>
      </c>
      <c r="G5257" s="388"/>
      <c r="H5257" s="395"/>
      <c r="I5257" s="388"/>
      <c r="J5257" s="399">
        <f t="shared" ref="J5257" si="16984">+D5247/1000</f>
        <v>5.585</v>
      </c>
      <c r="K5257" s="400" t="s">
        <v>204</v>
      </c>
      <c r="L5257" s="399">
        <f t="shared" ref="L5257" si="16985">2*$F$16*F5257/1000</f>
        <v>0.24</v>
      </c>
      <c r="M5257" s="399" t="s">
        <v>176</v>
      </c>
      <c r="N5257" s="399">
        <f t="shared" ref="N5257" si="16986">J5257+L5257</f>
        <v>5.8250000000000002</v>
      </c>
      <c r="O5257" s="399" t="s">
        <v>204</v>
      </c>
      <c r="P5257" s="389">
        <f t="shared" ref="P5257" si="16987">IF(N5257&gt;12,ROUNDDOWN(N5257/12,0),0)</f>
        <v>0</v>
      </c>
      <c r="Q5257" s="399" t="s">
        <v>125</v>
      </c>
      <c r="R5257" s="399">
        <f t="shared" ref="R5257" si="16988">IF(P5257&gt;0,MAX(VLOOKUP(F5257,$D$6:$G$15,3,FALSE),600),0)/1000</f>
        <v>0</v>
      </c>
      <c r="S5257" s="399"/>
      <c r="T5257" s="399" t="s">
        <v>125</v>
      </c>
      <c r="U5257" s="401">
        <f t="shared" ref="U5257" si="16989">0.006165*F5257^2</f>
        <v>0.61650000000000005</v>
      </c>
      <c r="V5257" s="399" t="s">
        <v>125</v>
      </c>
      <c r="W5257" s="399">
        <f t="shared" ref="W5257" si="16990">+D5257</f>
        <v>2</v>
      </c>
      <c r="X5257" s="399" t="s">
        <v>125</v>
      </c>
      <c r="Y5257" s="389">
        <f t="shared" ref="Y5257" si="16991">D5251</f>
        <v>1</v>
      </c>
      <c r="Z5257" s="400" t="s">
        <v>176</v>
      </c>
      <c r="AA5257" s="402">
        <f t="shared" ref="AA5257" si="16992">(N5257+P5257*R5257/1000)*U5257*W5257*Y5257</f>
        <v>7.1822250000000007</v>
      </c>
      <c r="AB5257" s="403"/>
    </row>
    <row r="5258" spans="1:28">
      <c r="A5258" s="384"/>
      <c r="B5258" s="385"/>
      <c r="C5258" s="393"/>
      <c r="D5258" s="398"/>
      <c r="E5258" s="388"/>
      <c r="F5258" s="388"/>
      <c r="G5258" s="388"/>
      <c r="H5258" s="395"/>
      <c r="I5258" s="388"/>
      <c r="J5258" s="399"/>
      <c r="K5258" s="400"/>
      <c r="L5258" s="399"/>
      <c r="M5258" s="399"/>
      <c r="N5258" s="399"/>
      <c r="O5258" s="399"/>
      <c r="P5258" s="389"/>
      <c r="Q5258" s="399"/>
      <c r="R5258" s="399"/>
      <c r="S5258" s="399"/>
      <c r="T5258" s="399"/>
      <c r="U5258" s="401"/>
      <c r="V5258" s="399"/>
      <c r="W5258" s="399"/>
      <c r="X5258" s="399"/>
      <c r="Y5258" s="389"/>
      <c r="Z5258" s="400"/>
      <c r="AA5258" s="402"/>
      <c r="AB5258" s="403"/>
    </row>
    <row r="5259" spans="1:28">
      <c r="A5259" s="384"/>
      <c r="B5259" s="385"/>
      <c r="C5259" s="393"/>
      <c r="D5259" s="398"/>
      <c r="E5259" s="388"/>
      <c r="F5259" s="388"/>
      <c r="G5259" s="388"/>
      <c r="H5259" s="395"/>
      <c r="I5259" s="388"/>
      <c r="J5259" s="396"/>
      <c r="K5259" s="396"/>
      <c r="L5259" s="396"/>
      <c r="M5259" s="396"/>
      <c r="N5259" s="396"/>
      <c r="O5259" s="396"/>
      <c r="P5259" s="389"/>
      <c r="Q5259" s="396"/>
      <c r="R5259" s="396"/>
      <c r="S5259" s="396"/>
      <c r="T5259" s="396"/>
      <c r="U5259" s="401"/>
      <c r="V5259" s="396"/>
      <c r="W5259" s="399"/>
      <c r="X5259" s="396"/>
      <c r="Y5259" s="389"/>
      <c r="Z5259" s="396"/>
      <c r="AA5259" s="388"/>
      <c r="AB5259" s="390"/>
    </row>
    <row r="5260" spans="1:28">
      <c r="A5260" s="384" t="str">
        <f t="shared" ref="A5260:B5260" si="16993">A5245</f>
        <v>Lantai 3</v>
      </c>
      <c r="B5260" s="385">
        <f t="shared" si="16993"/>
        <v>33</v>
      </c>
      <c r="C5260" s="393" t="s">
        <v>209</v>
      </c>
      <c r="D5260" s="398">
        <f>VLOOKUP(D5245,'Detail Balok'!$C$10:$AU$140,22,FALSE)</f>
        <v>3</v>
      </c>
      <c r="E5260" s="388" t="s">
        <v>16</v>
      </c>
      <c r="F5260" s="388">
        <f>VLOOKUP(D5245,'Detail Balok'!$C$10:$AU$140,24,FALSE)</f>
        <v>16</v>
      </c>
      <c r="G5260" s="388"/>
      <c r="H5260" s="395"/>
      <c r="I5260" s="388" t="s">
        <v>203</v>
      </c>
      <c r="J5260" s="399">
        <f t="shared" si="16893"/>
        <v>1.39625</v>
      </c>
      <c r="K5260" s="400" t="s">
        <v>204</v>
      </c>
      <c r="L5260" s="399">
        <f t="shared" ref="L5260" si="16994">MAX(VLOOKUP(F5260,N$6:P$15,3,FALSE)/1000,2/3*D5250/1000)+F$16*F5260/1000</f>
        <v>0.192</v>
      </c>
      <c r="M5260" s="399" t="s">
        <v>176</v>
      </c>
      <c r="N5260" s="399">
        <f t="shared" ref="N5260:N5262" si="16995">J5260+L5260</f>
        <v>1.5882499999999999</v>
      </c>
      <c r="O5260" s="399" t="s">
        <v>204</v>
      </c>
      <c r="P5260" s="389">
        <f t="shared" ref="P5260" si="16996">D5260-D5261</f>
        <v>-1</v>
      </c>
      <c r="Q5260" s="399" t="s">
        <v>125</v>
      </c>
      <c r="R5260" s="399">
        <f t="shared" ref="R5260" si="16997">IF(P5260&gt;0,$F$18*F5260/1000,0)</f>
        <v>0</v>
      </c>
      <c r="S5260" s="399" t="s">
        <v>205</v>
      </c>
      <c r="T5260" s="399" t="s">
        <v>125</v>
      </c>
      <c r="U5260" s="401">
        <f t="shared" ref="U5260:U5262" si="16998">0.006165*F5260^2</f>
        <v>1.5782400000000001</v>
      </c>
      <c r="V5260" s="399"/>
      <c r="W5260" s="399"/>
      <c r="X5260" s="399" t="s">
        <v>125</v>
      </c>
      <c r="Y5260" s="389">
        <f t="shared" ref="Y5260" si="16999">D5251</f>
        <v>1</v>
      </c>
      <c r="Z5260" s="400" t="s">
        <v>176</v>
      </c>
      <c r="AA5260" s="402">
        <f t="shared" ref="AA5260" si="17000">IF(AA5263=0,(D5260*N5260+P5260*R5260)*U5260*Y5260,0)</f>
        <v>7.5199190399999996</v>
      </c>
      <c r="AB5260" s="403"/>
    </row>
    <row r="5261" spans="1:28">
      <c r="A5261" s="384" t="str">
        <f t="shared" ref="A5261:B5261" si="17001">A5245</f>
        <v>Lantai 3</v>
      </c>
      <c r="B5261" s="385">
        <f t="shared" si="17001"/>
        <v>33</v>
      </c>
      <c r="C5261" s="393" t="s">
        <v>210</v>
      </c>
      <c r="D5261" s="398">
        <f>VLOOKUP(D5245,'Detail Balok'!$C$10:$AU$140,25,FALSE)</f>
        <v>4</v>
      </c>
      <c r="E5261" s="388" t="s">
        <v>16</v>
      </c>
      <c r="F5261" s="388">
        <f>VLOOKUP(D5245,'Detail Balok'!$C$10:$AU$140,27,FALSE)</f>
        <v>16</v>
      </c>
      <c r="G5261" s="388"/>
      <c r="H5261" s="395"/>
      <c r="I5261" s="388" t="s">
        <v>203</v>
      </c>
      <c r="J5261" s="399">
        <f t="shared" si="16893"/>
        <v>2.7925</v>
      </c>
      <c r="K5261" s="400" t="s">
        <v>204</v>
      </c>
      <c r="L5261" s="399"/>
      <c r="M5261" s="399" t="s">
        <v>176</v>
      </c>
      <c r="N5261" s="399">
        <f t="shared" si="16995"/>
        <v>2.7925</v>
      </c>
      <c r="O5261" s="399" t="s">
        <v>204</v>
      </c>
      <c r="P5261" s="389">
        <f t="shared" ref="P5261" si="17002">MAX(D5261-D5260,D5261-D5262)</f>
        <v>1</v>
      </c>
      <c r="Q5261" s="399" t="s">
        <v>125</v>
      </c>
      <c r="R5261" s="399">
        <f t="shared" ref="R5261" si="17003">IF(P5261&gt;0,2*(1-2*$F$19-1/2)*D5248/1000,0)</f>
        <v>1.1169999999999998</v>
      </c>
      <c r="S5261" s="399" t="s">
        <v>205</v>
      </c>
      <c r="T5261" s="399" t="s">
        <v>125</v>
      </c>
      <c r="U5261" s="401">
        <f t="shared" si="16998"/>
        <v>1.5782400000000001</v>
      </c>
      <c r="V5261" s="399"/>
      <c r="W5261" s="399"/>
      <c r="X5261" s="399" t="s">
        <v>125</v>
      </c>
      <c r="Y5261" s="389">
        <f t="shared" ref="Y5261" si="17004">D5251</f>
        <v>1</v>
      </c>
      <c r="Z5261" s="400" t="s">
        <v>176</v>
      </c>
      <c r="AA5261" s="402">
        <f t="shared" ref="AA5261" si="17005">IF(AA5263=0,(D5261*N5261+P5261*R5261)*U5261*Y5261,0)</f>
        <v>19.391834880000001</v>
      </c>
      <c r="AB5261" s="403"/>
    </row>
    <row r="5262" spans="1:28">
      <c r="A5262" s="384" t="str">
        <f t="shared" ref="A5262:B5262" si="17006">A5245</f>
        <v>Lantai 3</v>
      </c>
      <c r="B5262" s="385">
        <f t="shared" si="17006"/>
        <v>33</v>
      </c>
      <c r="C5262" s="393" t="s">
        <v>209</v>
      </c>
      <c r="D5262" s="398">
        <f>VLOOKUP(D5245,'Detail Balok'!$C$10:$AU$140,28,FALSE)</f>
        <v>3</v>
      </c>
      <c r="E5262" s="388" t="s">
        <v>16</v>
      </c>
      <c r="F5262" s="388">
        <f>VLOOKUP(D5245,'Detail Balok'!$C$10:$AU$140,30,FALSE)</f>
        <v>16</v>
      </c>
      <c r="G5262" s="388"/>
      <c r="H5262" s="395"/>
      <c r="I5262" s="388" t="s">
        <v>203</v>
      </c>
      <c r="J5262" s="399">
        <f t="shared" si="16893"/>
        <v>1.39625</v>
      </c>
      <c r="K5262" s="400" t="s">
        <v>204</v>
      </c>
      <c r="L5262" s="399">
        <f t="shared" ref="L5262" si="17007">MAX(VLOOKUP(F5262,N$6:P$15,3,FALSE)/1000,2/3*D5250/1000)+F$16*F5262/1000</f>
        <v>0.192</v>
      </c>
      <c r="M5262" s="399" t="s">
        <v>176</v>
      </c>
      <c r="N5262" s="399">
        <f t="shared" si="16995"/>
        <v>1.5882499999999999</v>
      </c>
      <c r="O5262" s="399" t="s">
        <v>204</v>
      </c>
      <c r="P5262" s="389">
        <f t="shared" ref="P5262" si="17008">D5262-D5261</f>
        <v>-1</v>
      </c>
      <c r="Q5262" s="399" t="s">
        <v>125</v>
      </c>
      <c r="R5262" s="399">
        <f t="shared" ref="R5262" si="17009">IF(P5262&gt;0,$F$18*F5262/1000,0)</f>
        <v>0</v>
      </c>
      <c r="S5262" s="399" t="s">
        <v>205</v>
      </c>
      <c r="T5262" s="399" t="s">
        <v>125</v>
      </c>
      <c r="U5262" s="401">
        <f t="shared" si="16998"/>
        <v>1.5782400000000001</v>
      </c>
      <c r="V5262" s="399"/>
      <c r="W5262" s="399"/>
      <c r="X5262" s="399" t="s">
        <v>125</v>
      </c>
      <c r="Y5262" s="389">
        <f t="shared" ref="Y5262" si="17010">D5251</f>
        <v>1</v>
      </c>
      <c r="Z5262" s="400" t="s">
        <v>176</v>
      </c>
      <c r="AA5262" s="402">
        <f t="shared" ref="AA5262" si="17011">IF(AA5263=0,(D5262*N5262+P5262*R5262)*U5262*Y5262,0)</f>
        <v>7.5199190399999996</v>
      </c>
      <c r="AB5262" s="403"/>
    </row>
    <row r="5263" spans="1:28">
      <c r="A5263" s="384" t="str">
        <f t="shared" ref="A5263:B5263" si="17012">A5245</f>
        <v>Lantai 3</v>
      </c>
      <c r="B5263" s="385">
        <f t="shared" si="17012"/>
        <v>33</v>
      </c>
      <c r="C5263" s="393"/>
      <c r="D5263" s="398">
        <f t="shared" si="16913"/>
        <v>0</v>
      </c>
      <c r="E5263" s="388" t="s">
        <v>16</v>
      </c>
      <c r="F5263" s="388">
        <f t="shared" si="16914"/>
        <v>16</v>
      </c>
      <c r="G5263" s="388"/>
      <c r="H5263" s="395"/>
      <c r="I5263" s="388"/>
      <c r="J5263" s="396"/>
      <c r="K5263" s="396"/>
      <c r="L5263" s="404" t="s">
        <v>207</v>
      </c>
      <c r="M5263" s="399" t="s">
        <v>176</v>
      </c>
      <c r="N5263" s="399">
        <f t="shared" ref="N5263" si="17013">IF(AND(D5260=D5261,D5260=D5262,D5261=D5262,F5260=F5261,F5260=F5262,F5261=F5262),SUM(N5260:N5262),0)</f>
        <v>0</v>
      </c>
      <c r="O5263" s="399" t="s">
        <v>204</v>
      </c>
      <c r="P5263" s="389">
        <f t="shared" ref="P5263" si="17014">IF(N5263&gt;12,ROUNDDOWN(N5263/12,0),0)</f>
        <v>0</v>
      </c>
      <c r="Q5263" s="399" t="s">
        <v>125</v>
      </c>
      <c r="R5263" s="399">
        <f t="shared" ref="R5263" si="17015">IF(P5263&gt;0,MAX(VLOOKUP(F5263,$D$6:$G$15,3,FALSE),600),0)/1000</f>
        <v>0</v>
      </c>
      <c r="S5263" s="396"/>
      <c r="T5263" s="396" t="s">
        <v>125</v>
      </c>
      <c r="U5263" s="401">
        <f t="shared" si="16918"/>
        <v>1.5782400000000001</v>
      </c>
      <c r="V5263" s="396" t="s">
        <v>125</v>
      </c>
      <c r="W5263" s="399">
        <f t="shared" ref="W5263" si="17016">D5263</f>
        <v>0</v>
      </c>
      <c r="X5263" s="399" t="s">
        <v>125</v>
      </c>
      <c r="Y5263" s="389">
        <f t="shared" si="16920"/>
        <v>1</v>
      </c>
      <c r="Z5263" s="400" t="s">
        <v>176</v>
      </c>
      <c r="AA5263" s="402">
        <f t="shared" ref="AA5263" si="17017">(N5263+P5263*R5263/1000)*U5263*W5263*Y5263</f>
        <v>0</v>
      </c>
      <c r="AB5263" s="403"/>
    </row>
    <row r="5264" spans="1:28">
      <c r="A5264" s="384"/>
      <c r="B5264" s="385"/>
      <c r="C5264" s="393"/>
      <c r="D5264" s="394"/>
      <c r="E5264" s="388"/>
      <c r="F5264" s="388"/>
      <c r="G5264" s="388"/>
      <c r="H5264" s="395"/>
      <c r="I5264" s="388"/>
      <c r="J5264" s="399"/>
      <c r="K5264" s="396"/>
      <c r="L5264" s="396"/>
      <c r="M5264" s="396"/>
      <c r="N5264" s="396"/>
      <c r="O5264" s="396"/>
      <c r="P5264" s="389"/>
      <c r="Q5264" s="396"/>
      <c r="R5264" s="396"/>
      <c r="S5264" s="396"/>
      <c r="T5264" s="396"/>
      <c r="U5264" s="401"/>
      <c r="V5264" s="396"/>
      <c r="W5264" s="388"/>
      <c r="X5264" s="396"/>
      <c r="Y5264" s="389"/>
      <c r="Z5264" s="396"/>
      <c r="AA5264" s="388"/>
      <c r="AB5264" s="390"/>
    </row>
    <row r="5265" spans="1:28">
      <c r="A5265" s="384" t="str">
        <f t="shared" ref="A5265:B5265" si="17018">A5245</f>
        <v>Lantai 3</v>
      </c>
      <c r="B5265" s="385">
        <f t="shared" si="17018"/>
        <v>33</v>
      </c>
      <c r="C5265" s="393" t="s">
        <v>211</v>
      </c>
      <c r="D5265" s="398">
        <f>VLOOKUP(D5245,'Detail Balok'!$C$10:$AU$140,31,FALSE)</f>
        <v>0</v>
      </c>
      <c r="E5265" s="388" t="s">
        <v>16</v>
      </c>
      <c r="F5265" s="388">
        <f>VLOOKUP(D5245,'Detail Balok'!$C$10:$AU$140,33,FALSE)</f>
        <v>10</v>
      </c>
      <c r="G5265" s="405" t="s">
        <v>157</v>
      </c>
      <c r="H5265" s="395">
        <f>VLOOKUP(D5245,'Detail Balok'!$C$10:$AU$140,35,FALSE)</f>
        <v>100</v>
      </c>
      <c r="I5265" s="388"/>
      <c r="J5265" s="400">
        <f t="shared" ref="J5265" si="17019">(IF(D5265=0,(2*(D5246+G5246))-(F$5*8),IF(D5265=3,(2*(D5246+G5246))-(F$5*8)+(G5246-2*F$5),IF(D5265=4,(2*(D5246+G5246))-(F$5*8)+2*(G5246-2*F$5)))))/1000</f>
        <v>1.28</v>
      </c>
      <c r="K5265" s="400" t="s">
        <v>204</v>
      </c>
      <c r="L5265" s="399">
        <f t="shared" ref="L5265:L5267" si="17020">IF(D5265=0,2*MAX(6*F5265,75),(D5265-1)*2*MAX(6*F5265,75))/1000</f>
        <v>0.15</v>
      </c>
      <c r="M5265" s="399" t="s">
        <v>176</v>
      </c>
      <c r="N5265" s="399">
        <f t="shared" ref="N5265:N5267" si="17021">J5265+L5265</f>
        <v>1.43</v>
      </c>
      <c r="O5265" s="399"/>
      <c r="P5265" s="389"/>
      <c r="Q5265" s="399"/>
      <c r="R5265" s="399"/>
      <c r="S5265" s="399"/>
      <c r="T5265" s="399" t="s">
        <v>125</v>
      </c>
      <c r="U5265" s="401">
        <f t="shared" ref="U5265:U5267" si="17022">0.006165*F5265^2</f>
        <v>0.61650000000000005</v>
      </c>
      <c r="V5265" s="399" t="s">
        <v>125</v>
      </c>
      <c r="W5265" s="399">
        <f t="shared" ref="W5265" si="17023">IF(D5248&gt;4*G5246,ROUND(MAX(D5248/4,2*G5246)/H5265,0)+1,ROUND(D5248/H5265,0)+1)</f>
        <v>15</v>
      </c>
      <c r="X5265" s="399" t="s">
        <v>125</v>
      </c>
      <c r="Y5265" s="389">
        <f t="shared" ref="Y5265" si="17024">D5251</f>
        <v>1</v>
      </c>
      <c r="Z5265" s="400" t="s">
        <v>176</v>
      </c>
      <c r="AA5265" s="402">
        <f t="shared" ref="AA5265:AA5267" si="17025">N5265*U5265*W5265*Y5265</f>
        <v>13.223924999999999</v>
      </c>
      <c r="AB5265" s="403"/>
    </row>
    <row r="5266" spans="1:28">
      <c r="A5266" s="384" t="str">
        <f t="shared" ref="A5266:B5266" si="17026">A5245</f>
        <v>Lantai 3</v>
      </c>
      <c r="B5266" s="385">
        <f t="shared" si="17026"/>
        <v>33</v>
      </c>
      <c r="C5266" s="393" t="s">
        <v>212</v>
      </c>
      <c r="D5266" s="398">
        <f>VLOOKUP(D5245,'Detail Balok'!$C$10:$AU$140,36,FALSE)</f>
        <v>0</v>
      </c>
      <c r="E5266" s="388" t="s">
        <v>16</v>
      </c>
      <c r="F5266" s="388">
        <f>VLOOKUP(D5245,'Detail Balok'!$C$10:$AU$140,38,FALSE)</f>
        <v>10</v>
      </c>
      <c r="G5266" s="405" t="s">
        <v>157</v>
      </c>
      <c r="H5266" s="395">
        <f>VLOOKUP(D5245,'Detail Balok'!$C$10:$AU$140,40,FALSE)</f>
        <v>150</v>
      </c>
      <c r="I5266" s="388"/>
      <c r="J5266" s="400">
        <f t="shared" ref="J5266" si="17027">(IF(D5266=0,(2*(D5246+G5246))-(F$5*8),IF(D5266=3,(2*(D5246+G5246))-(F$5*8)+(G5246-2*F$5),IF(D5266=4,(2*(D5246+G5246))-(F$5*8)+2*(G5246-2*F$5)))))/1000</f>
        <v>1.28</v>
      </c>
      <c r="K5266" s="400" t="s">
        <v>204</v>
      </c>
      <c r="L5266" s="399">
        <f t="shared" si="17020"/>
        <v>0.15</v>
      </c>
      <c r="M5266" s="399" t="s">
        <v>176</v>
      </c>
      <c r="N5266" s="399">
        <f t="shared" si="17021"/>
        <v>1.43</v>
      </c>
      <c r="O5266" s="399"/>
      <c r="P5266" s="389"/>
      <c r="Q5266" s="399"/>
      <c r="R5266" s="399"/>
      <c r="S5266" s="399"/>
      <c r="T5266" s="399" t="s">
        <v>125</v>
      </c>
      <c r="U5266" s="401">
        <f t="shared" si="17022"/>
        <v>0.61650000000000005</v>
      </c>
      <c r="V5266" s="399" t="s">
        <v>125</v>
      </c>
      <c r="W5266" s="399">
        <f t="shared" ref="W5266" si="17028">IF(D5248-MAX(D5248/4,2*G5246)*2&gt;0,ROUND((D5248-MAX(D5248/4,2*G5246)*2)/H5266,0),0)</f>
        <v>19</v>
      </c>
      <c r="X5266" s="399" t="s">
        <v>125</v>
      </c>
      <c r="Y5266" s="389">
        <f t="shared" ref="Y5266" si="17029">D5251</f>
        <v>1</v>
      </c>
      <c r="Z5266" s="400" t="s">
        <v>176</v>
      </c>
      <c r="AA5266" s="402">
        <f t="shared" si="17025"/>
        <v>16.750305000000001</v>
      </c>
      <c r="AB5266" s="403"/>
    </row>
    <row r="5267" spans="1:28">
      <c r="A5267" s="384" t="str">
        <f t="shared" ref="A5267:B5267" si="17030">A5245</f>
        <v>Lantai 3</v>
      </c>
      <c r="B5267" s="385">
        <f t="shared" si="17030"/>
        <v>33</v>
      </c>
      <c r="C5267" s="393" t="s">
        <v>211</v>
      </c>
      <c r="D5267" s="398">
        <f>VLOOKUP(D5245,'Detail Balok'!$C$10:$AU$140,41,FALSE)</f>
        <v>0</v>
      </c>
      <c r="E5267" s="388" t="s">
        <v>16</v>
      </c>
      <c r="F5267" s="388">
        <f>VLOOKUP(D5245,'Detail Balok'!$C$10:$AU$140,43,FALSE)</f>
        <v>10</v>
      </c>
      <c r="G5267" s="405" t="s">
        <v>157</v>
      </c>
      <c r="H5267" s="395">
        <f>VLOOKUP(D5245,'Detail Balok'!$C$10:$AU$140,45,FALSE)</f>
        <v>100</v>
      </c>
      <c r="I5267" s="388"/>
      <c r="J5267" s="400">
        <f t="shared" ref="J5267" si="17031">(IF(D5267=0,(2*(D5246+G5246))-(F$5*8),IF(D5267=3,(2*(D5246+G5246))-(F$5*8)+(G5246-2*F$5),IF(D5267=4,(2*(D5246+G5246))-(F$5*8)+2*(G5246-2*F$5)))))/1000</f>
        <v>1.28</v>
      </c>
      <c r="K5267" s="400" t="s">
        <v>204</v>
      </c>
      <c r="L5267" s="399">
        <f t="shared" si="17020"/>
        <v>0.15</v>
      </c>
      <c r="M5267" s="399" t="s">
        <v>176</v>
      </c>
      <c r="N5267" s="399">
        <f t="shared" si="17021"/>
        <v>1.43</v>
      </c>
      <c r="O5267" s="399"/>
      <c r="P5267" s="389"/>
      <c r="Q5267" s="399"/>
      <c r="R5267" s="399"/>
      <c r="S5267" s="399"/>
      <c r="T5267" s="399" t="s">
        <v>125</v>
      </c>
      <c r="U5267" s="401">
        <f t="shared" si="17022"/>
        <v>0.61650000000000005</v>
      </c>
      <c r="V5267" s="399" t="s">
        <v>125</v>
      </c>
      <c r="W5267" s="399">
        <f t="shared" ref="W5267" si="17032">IF(D5248&gt;4*G5246,ROUND(MAX(D5248/4,2*G5246)/H5267,0)+1,0)</f>
        <v>15</v>
      </c>
      <c r="X5267" s="399" t="s">
        <v>125</v>
      </c>
      <c r="Y5267" s="389">
        <f t="shared" ref="Y5267" si="17033">D5251</f>
        <v>1</v>
      </c>
      <c r="Z5267" s="400" t="s">
        <v>176</v>
      </c>
      <c r="AA5267" s="402">
        <f t="shared" si="17025"/>
        <v>13.223924999999999</v>
      </c>
      <c r="AB5267" s="403"/>
    </row>
    <row r="5268" spans="1:28">
      <c r="A5268" s="384"/>
      <c r="B5268" s="385"/>
      <c r="C5268" s="393"/>
      <c r="D5268" s="394"/>
      <c r="E5268" s="388"/>
      <c r="F5268" s="388"/>
      <c r="G5268" s="388"/>
      <c r="H5268" s="395"/>
      <c r="I5268" s="388"/>
      <c r="J5268" s="399"/>
      <c r="K5268" s="396"/>
      <c r="L5268" s="396"/>
      <c r="M5268" s="396"/>
      <c r="N5268" s="396"/>
      <c r="O5268" s="396"/>
      <c r="P5268" s="389"/>
      <c r="Q5268" s="396"/>
      <c r="R5268" s="396"/>
      <c r="S5268" s="396"/>
      <c r="T5268" s="396"/>
      <c r="U5268" s="401"/>
      <c r="V5268" s="396"/>
      <c r="W5268" s="388"/>
      <c r="X5268" s="396"/>
      <c r="Y5268" s="389"/>
      <c r="Z5268" s="396"/>
      <c r="AA5268" s="388"/>
      <c r="AB5268" s="390"/>
    </row>
    <row r="5269" spans="1:28">
      <c r="A5269" s="384" t="str">
        <f t="shared" ref="A5269:B5269" si="17034">A5245</f>
        <v>Lantai 3</v>
      </c>
      <c r="B5269" s="385">
        <f t="shared" si="17034"/>
        <v>33</v>
      </c>
      <c r="C5269" s="393" t="s">
        <v>213</v>
      </c>
      <c r="D5269" s="398">
        <f>VLOOKUP(D5245,'Detail Balok'!$C$10:$BJ$140,46,FALSE)</f>
        <v>0</v>
      </c>
      <c r="E5269" s="388" t="s">
        <v>16</v>
      </c>
      <c r="F5269" s="388">
        <f>VLOOKUP(D5245,'Detail Balok'!$C$10:$BJ$140,48,FALSE)</f>
        <v>0</v>
      </c>
      <c r="G5269" s="405" t="s">
        <v>157</v>
      </c>
      <c r="H5269" s="395">
        <f>VLOOKUP(D5245,'Detail Balok'!$C$10:$BJ$140,50,FALSE)</f>
        <v>100</v>
      </c>
      <c r="I5269" s="388"/>
      <c r="J5269" s="399">
        <f t="shared" ref="J5269" si="17035">(D5246-2*F$5)/1000</f>
        <v>0.12</v>
      </c>
      <c r="K5269" s="400" t="s">
        <v>204</v>
      </c>
      <c r="L5269" s="399">
        <f t="shared" ref="L5269:L5271" si="17036">IF(D5269=0,2*MAX(6*F5269,75),(D5269-1)*2*MAX(6*F5269,75))/1000</f>
        <v>0.15</v>
      </c>
      <c r="M5269" s="399" t="s">
        <v>176</v>
      </c>
      <c r="N5269" s="399">
        <f t="shared" ref="N5269:N5271" si="17037">J5269+L5269</f>
        <v>0.27</v>
      </c>
      <c r="O5269" s="399"/>
      <c r="P5269" s="399"/>
      <c r="Q5269" s="399"/>
      <c r="R5269" s="399"/>
      <c r="S5269" s="399"/>
      <c r="T5269" s="399" t="s">
        <v>125</v>
      </c>
      <c r="U5269" s="401">
        <f t="shared" ref="U5269:U5271" si="17038">0.006165*F5269^2</f>
        <v>0</v>
      </c>
      <c r="V5269" s="399" t="s">
        <v>125</v>
      </c>
      <c r="W5269" s="399">
        <f t="shared" si="16943"/>
        <v>15</v>
      </c>
      <c r="X5269" s="399" t="s">
        <v>125</v>
      </c>
      <c r="Y5269" s="389">
        <f t="shared" ref="Y5269" si="17039">D5255</f>
        <v>0</v>
      </c>
      <c r="Z5269" s="400" t="s">
        <v>176</v>
      </c>
      <c r="AA5269" s="402">
        <f t="shared" ref="AA5269:AA5271" si="17040">N5269*U5269*W5269*Y5269</f>
        <v>0</v>
      </c>
      <c r="AB5269" s="403"/>
    </row>
    <row r="5270" spans="1:28">
      <c r="A5270" s="384" t="str">
        <f t="shared" ref="A5270:B5270" si="17041">A5245</f>
        <v>Lantai 3</v>
      </c>
      <c r="B5270" s="385">
        <f t="shared" si="17041"/>
        <v>33</v>
      </c>
      <c r="C5270" s="393" t="s">
        <v>214</v>
      </c>
      <c r="D5270" s="398">
        <f>VLOOKUP(D5245,'Detail Balok'!$C$10:$BJ$140,51,FALSE)</f>
        <v>0</v>
      </c>
      <c r="E5270" s="388" t="s">
        <v>16</v>
      </c>
      <c r="F5270" s="388">
        <f>VLOOKUP(D5245,'Detail Balok'!$C$10:$BJ$140,53,FALSE)</f>
        <v>0</v>
      </c>
      <c r="G5270" s="405" t="s">
        <v>157</v>
      </c>
      <c r="H5270" s="395">
        <f>VLOOKUP(D5245,'Detail Balok'!$C$10:$BJ$140,55,FALSE)</f>
        <v>100</v>
      </c>
      <c r="I5270" s="388"/>
      <c r="J5270" s="399">
        <f t="shared" ref="J5270" si="17042">(D5246-2*F$5)/1000</f>
        <v>0.12</v>
      </c>
      <c r="K5270" s="400" t="s">
        <v>204</v>
      </c>
      <c r="L5270" s="399">
        <f t="shared" si="17036"/>
        <v>0.15</v>
      </c>
      <c r="M5270" s="399" t="s">
        <v>176</v>
      </c>
      <c r="N5270" s="399">
        <f t="shared" si="17037"/>
        <v>0.27</v>
      </c>
      <c r="O5270" s="399"/>
      <c r="P5270" s="399"/>
      <c r="Q5270" s="399"/>
      <c r="R5270" s="399"/>
      <c r="S5270" s="399"/>
      <c r="T5270" s="399" t="s">
        <v>125</v>
      </c>
      <c r="U5270" s="401">
        <f t="shared" si="17038"/>
        <v>0</v>
      </c>
      <c r="V5270" s="399" t="s">
        <v>125</v>
      </c>
      <c r="W5270" s="399">
        <f t="shared" si="16943"/>
        <v>19</v>
      </c>
      <c r="X5270" s="399" t="s">
        <v>125</v>
      </c>
      <c r="Y5270" s="389">
        <f t="shared" ref="Y5270" si="17043">D5255</f>
        <v>0</v>
      </c>
      <c r="Z5270" s="400" t="s">
        <v>176</v>
      </c>
      <c r="AA5270" s="402">
        <f t="shared" si="17040"/>
        <v>0</v>
      </c>
      <c r="AB5270" s="403"/>
    </row>
    <row r="5271" spans="1:28">
      <c r="A5271" s="384" t="str">
        <f t="shared" ref="A5271:B5271" si="17044">A5245</f>
        <v>Lantai 3</v>
      </c>
      <c r="B5271" s="385">
        <f t="shared" si="17044"/>
        <v>33</v>
      </c>
      <c r="C5271" s="393" t="s">
        <v>213</v>
      </c>
      <c r="D5271" s="398">
        <f>VLOOKUP(D5245,'Detail Balok'!$C$10:$BJ$140,56,FALSE)</f>
        <v>0</v>
      </c>
      <c r="E5271" s="388" t="s">
        <v>16</v>
      </c>
      <c r="F5271" s="388">
        <f>VLOOKUP(D5245,'Detail Balok'!$C$10:$BJ$140,58,FALSE)</f>
        <v>0</v>
      </c>
      <c r="G5271" s="405" t="s">
        <v>157</v>
      </c>
      <c r="H5271" s="395">
        <f>VLOOKUP(D5245,'Detail Balok'!$C$10:$BJ$140,60,FALSE)</f>
        <v>100</v>
      </c>
      <c r="I5271" s="388"/>
      <c r="J5271" s="399">
        <f t="shared" ref="J5271" si="17045">(D5246-2*F$5)/1000</f>
        <v>0.12</v>
      </c>
      <c r="K5271" s="400" t="s">
        <v>204</v>
      </c>
      <c r="L5271" s="399">
        <f t="shared" si="17036"/>
        <v>0.15</v>
      </c>
      <c r="M5271" s="399" t="s">
        <v>176</v>
      </c>
      <c r="N5271" s="399">
        <f t="shared" si="17037"/>
        <v>0.27</v>
      </c>
      <c r="O5271" s="399"/>
      <c r="P5271" s="399"/>
      <c r="Q5271" s="399"/>
      <c r="R5271" s="399"/>
      <c r="S5271" s="399"/>
      <c r="T5271" s="399" t="s">
        <v>125</v>
      </c>
      <c r="U5271" s="401">
        <f t="shared" si="17038"/>
        <v>0</v>
      </c>
      <c r="V5271" s="399" t="s">
        <v>125</v>
      </c>
      <c r="W5271" s="399">
        <f t="shared" si="16943"/>
        <v>15</v>
      </c>
      <c r="X5271" s="399" t="s">
        <v>125</v>
      </c>
      <c r="Y5271" s="389">
        <f t="shared" ref="Y5271" si="17046">D5255</f>
        <v>0</v>
      </c>
      <c r="Z5271" s="400" t="s">
        <v>176</v>
      </c>
      <c r="AA5271" s="402">
        <f t="shared" si="17040"/>
        <v>0</v>
      </c>
      <c r="AB5271" s="403"/>
    </row>
    <row r="5272" spans="1:28">
      <c r="A5272" s="391"/>
      <c r="B5272" s="392"/>
      <c r="C5272" s="392"/>
      <c r="D5272" s="394"/>
      <c r="E5272" s="388"/>
      <c r="F5272" s="388"/>
      <c r="G5272" s="388"/>
      <c r="H5272" s="395"/>
      <c r="I5272" s="388"/>
      <c r="J5272" s="402"/>
      <c r="K5272" s="388"/>
      <c r="L5272" s="388"/>
      <c r="M5272" s="388"/>
      <c r="N5272" s="388"/>
      <c r="O5272" s="388"/>
      <c r="P5272" s="388"/>
      <c r="Q5272" s="388"/>
      <c r="R5272" s="388"/>
      <c r="S5272" s="388"/>
      <c r="T5272" s="388"/>
      <c r="U5272" s="388"/>
      <c r="V5272" s="388"/>
      <c r="W5272" s="388"/>
      <c r="X5272" s="388"/>
      <c r="Y5272" s="389"/>
      <c r="Z5272" s="388"/>
      <c r="AA5272" s="402"/>
      <c r="AB5272" s="403"/>
    </row>
    <row r="5273" spans="1:28" ht="15.75" thickBot="1">
      <c r="A5273" s="406"/>
      <c r="B5273" s="407"/>
      <c r="C5273" s="407"/>
      <c r="D5273" s="408"/>
      <c r="E5273" s="409"/>
      <c r="F5273" s="409"/>
      <c r="G5273" s="409"/>
      <c r="H5273" s="410"/>
      <c r="I5273" s="409"/>
      <c r="J5273" s="409"/>
      <c r="K5273" s="409"/>
      <c r="L5273" s="409"/>
      <c r="M5273" s="409"/>
      <c r="N5273" s="409"/>
      <c r="O5273" s="409"/>
      <c r="P5273" s="409"/>
      <c r="Q5273" s="409"/>
      <c r="R5273" s="409"/>
      <c r="S5273" s="409"/>
      <c r="T5273" s="409"/>
      <c r="U5273" s="409"/>
      <c r="V5273" s="409"/>
      <c r="W5273" s="409"/>
      <c r="X5273" s="409"/>
      <c r="Y5273" s="411"/>
      <c r="Z5273" s="409"/>
      <c r="AA5273" s="412"/>
      <c r="AB5273" s="413"/>
    </row>
    <row r="5274" spans="1:28">
      <c r="A5274" s="377"/>
      <c r="B5274" s="378"/>
      <c r="C5274" s="378"/>
      <c r="D5274" s="379"/>
      <c r="E5274" s="380"/>
      <c r="F5274" s="380"/>
      <c r="G5274" s="380"/>
      <c r="H5274" s="381"/>
      <c r="I5274" s="380"/>
      <c r="J5274" s="380"/>
      <c r="K5274" s="380"/>
      <c r="L5274" s="380"/>
      <c r="M5274" s="380"/>
      <c r="N5274" s="380"/>
      <c r="O5274" s="380"/>
      <c r="P5274" s="380"/>
      <c r="Q5274" s="380"/>
      <c r="R5274" s="380"/>
      <c r="S5274" s="380"/>
      <c r="T5274" s="380"/>
      <c r="U5274" s="380"/>
      <c r="V5274" s="380"/>
      <c r="W5274" s="380"/>
      <c r="X5274" s="380"/>
      <c r="Y5274" s="382"/>
      <c r="Z5274" s="380"/>
      <c r="AA5274" s="380"/>
      <c r="AB5274" s="383"/>
    </row>
    <row r="5275" spans="1:28">
      <c r="A5275" s="384" t="str">
        <f t="shared" si="16952"/>
        <v>Lantai 3</v>
      </c>
      <c r="B5275" s="385">
        <f t="shared" si="16953"/>
        <v>34</v>
      </c>
      <c r="C5275" s="386" t="str">
        <f t="shared" ref="C5275" si="17047">CONCATENATE(A5275," no. ",B5275)</f>
        <v>Lantai 3 no. 34</v>
      </c>
      <c r="D5275" s="2562" t="str">
        <f>VLOOKUP(C5275,'Data Panjang Balok'!$C$9:$N$254,2,FALSE)</f>
        <v>B26-1</v>
      </c>
      <c r="E5275" s="2576"/>
      <c r="F5275" s="2576"/>
      <c r="G5275" s="2576"/>
      <c r="H5275" s="2577"/>
      <c r="I5275" s="387"/>
      <c r="J5275" s="388"/>
      <c r="K5275" s="388"/>
      <c r="L5275" s="388"/>
      <c r="M5275" s="388"/>
      <c r="N5275" s="388"/>
      <c r="O5275" s="388"/>
      <c r="P5275" s="388"/>
      <c r="Q5275" s="388"/>
      <c r="R5275" s="388"/>
      <c r="S5275" s="388"/>
      <c r="T5275" s="388"/>
      <c r="U5275" s="388"/>
      <c r="V5275" s="388"/>
      <c r="W5275" s="388"/>
      <c r="X5275" s="388"/>
      <c r="Y5275" s="389"/>
      <c r="Z5275" s="388"/>
      <c r="AA5275" s="388"/>
      <c r="AB5275" s="390"/>
    </row>
    <row r="5276" spans="1:28">
      <c r="A5276" s="391"/>
      <c r="B5276" s="392"/>
      <c r="C5276" s="393" t="s">
        <v>118</v>
      </c>
      <c r="D5276" s="2578">
        <f>VLOOKUP(D5275,'Detail Balok'!$C$10:$AU$140,2,FALSE)</f>
        <v>200</v>
      </c>
      <c r="E5276" s="2579"/>
      <c r="F5276" s="388" t="s">
        <v>125</v>
      </c>
      <c r="G5276" s="2579">
        <f>VLOOKUP(D5275,'Detail Balok'!$C$10:$AU$140,3,FALSE)</f>
        <v>600</v>
      </c>
      <c r="H5276" s="2580"/>
      <c r="I5276" s="388"/>
      <c r="J5276" s="396"/>
      <c r="K5276" s="396"/>
      <c r="L5276" s="396"/>
      <c r="M5276" s="396"/>
      <c r="N5276" s="396"/>
      <c r="O5276" s="396"/>
      <c r="P5276" s="396"/>
      <c r="Q5276" s="396"/>
      <c r="R5276" s="396"/>
      <c r="S5276" s="396"/>
      <c r="T5276" s="396"/>
      <c r="U5276" s="388"/>
      <c r="V5276" s="396"/>
      <c r="W5276" s="388"/>
      <c r="X5276" s="396"/>
      <c r="Y5276" s="389"/>
      <c r="Z5276" s="396"/>
      <c r="AA5276" s="388"/>
      <c r="AB5276" s="390"/>
    </row>
    <row r="5277" spans="1:28">
      <c r="A5277" s="391"/>
      <c r="B5277" s="392"/>
      <c r="C5277" s="393" t="s">
        <v>198</v>
      </c>
      <c r="D5277" s="2562">
        <f>VLOOKUP(C5275,'Data Panjang Balok'!$C$9:$N$254,4,FALSE)</f>
        <v>5325</v>
      </c>
      <c r="E5277" s="2563"/>
      <c r="F5277" s="2563"/>
      <c r="G5277" s="2563"/>
      <c r="H5277" s="2564"/>
      <c r="I5277" s="397"/>
      <c r="J5277" s="396"/>
      <c r="K5277" s="396"/>
      <c r="L5277" s="396"/>
      <c r="M5277" s="396"/>
      <c r="N5277" s="396"/>
      <c r="O5277" s="396"/>
      <c r="P5277" s="396"/>
      <c r="Q5277" s="396"/>
      <c r="R5277" s="396"/>
      <c r="S5277" s="396"/>
      <c r="T5277" s="396"/>
      <c r="U5277" s="388"/>
      <c r="V5277" s="396"/>
      <c r="W5277" s="388"/>
      <c r="X5277" s="396"/>
      <c r="Y5277" s="389"/>
      <c r="Z5277" s="396"/>
      <c r="AA5277" s="388"/>
      <c r="AB5277" s="390"/>
    </row>
    <row r="5278" spans="1:28">
      <c r="A5278" s="391"/>
      <c r="B5278" s="392"/>
      <c r="C5278" s="393" t="s">
        <v>199</v>
      </c>
      <c r="D5278" s="2562">
        <f>VLOOKUP(C5275,'Data Panjang Balok'!$C$9:$N$254,7,FALSE)</f>
        <v>5325</v>
      </c>
      <c r="E5278" s="2563"/>
      <c r="F5278" s="2563"/>
      <c r="G5278" s="2563"/>
      <c r="H5278" s="2564"/>
      <c r="I5278" s="397"/>
      <c r="J5278" s="396"/>
      <c r="K5278" s="396"/>
      <c r="L5278" s="396"/>
      <c r="M5278" s="396"/>
      <c r="N5278" s="396"/>
      <c r="O5278" s="396"/>
      <c r="P5278" s="396"/>
      <c r="Q5278" s="396"/>
      <c r="R5278" s="396"/>
      <c r="S5278" s="396"/>
      <c r="T5278" s="396"/>
      <c r="U5278" s="388"/>
      <c r="V5278" s="396"/>
      <c r="W5278" s="388"/>
      <c r="X5278" s="396"/>
      <c r="Y5278" s="389"/>
      <c r="Z5278" s="396"/>
      <c r="AA5278" s="388"/>
      <c r="AB5278" s="390"/>
    </row>
    <row r="5279" spans="1:28">
      <c r="A5279" s="391"/>
      <c r="B5279" s="392"/>
      <c r="C5279" s="393" t="s">
        <v>200</v>
      </c>
      <c r="D5279" s="2562">
        <f>VLOOKUP(C5275,'Data Panjang Balok'!$C$9:$N$254,9,FALSE)</f>
        <v>0</v>
      </c>
      <c r="E5279" s="2563"/>
      <c r="F5279" s="2563"/>
      <c r="G5279" s="2563"/>
      <c r="H5279" s="2564"/>
      <c r="I5279" s="397"/>
      <c r="J5279" s="396"/>
      <c r="K5279" s="396"/>
      <c r="L5279" s="396"/>
      <c r="M5279" s="396"/>
      <c r="N5279" s="396"/>
      <c r="O5279" s="396"/>
      <c r="P5279" s="396"/>
      <c r="Q5279" s="396"/>
      <c r="R5279" s="396"/>
      <c r="S5279" s="396"/>
      <c r="T5279" s="396"/>
      <c r="U5279" s="388"/>
      <c r="V5279" s="396"/>
      <c r="W5279" s="388"/>
      <c r="X5279" s="396"/>
      <c r="Y5279" s="389"/>
      <c r="Z5279" s="396"/>
      <c r="AA5279" s="388"/>
      <c r="AB5279" s="390"/>
    </row>
    <row r="5280" spans="1:28">
      <c r="A5280" s="391"/>
      <c r="B5280" s="392"/>
      <c r="C5280" s="393" t="s">
        <v>201</v>
      </c>
      <c r="D5280" s="2562">
        <f>VLOOKUP(C5275,'Data Panjang Balok'!$C$9:$N$254,10,FALSE)</f>
        <v>0</v>
      </c>
      <c r="E5280" s="2563"/>
      <c r="F5280" s="2563"/>
      <c r="G5280" s="2563"/>
      <c r="H5280" s="2564"/>
      <c r="I5280" s="397"/>
      <c r="J5280" s="396"/>
      <c r="K5280" s="396"/>
      <c r="L5280" s="396"/>
      <c r="M5280" s="396"/>
      <c r="N5280" s="396"/>
      <c r="O5280" s="396"/>
      <c r="P5280" s="396"/>
      <c r="Q5280" s="396"/>
      <c r="R5280" s="396"/>
      <c r="S5280" s="396"/>
      <c r="T5280" s="396"/>
      <c r="U5280" s="388"/>
      <c r="V5280" s="396"/>
      <c r="W5280" s="388"/>
      <c r="X5280" s="396"/>
      <c r="Y5280" s="389"/>
      <c r="Z5280" s="396"/>
      <c r="AA5280" s="388"/>
      <c r="AB5280" s="390"/>
    </row>
    <row r="5281" spans="1:28">
      <c r="A5281" s="391"/>
      <c r="B5281" s="392"/>
      <c r="C5281" s="393" t="s">
        <v>48</v>
      </c>
      <c r="D5281" s="2562">
        <f>VLOOKUP(C5275,'Data Panjang Balok'!$C$9:$N$254,3,FALSE)</f>
        <v>1</v>
      </c>
      <c r="E5281" s="2563"/>
      <c r="F5281" s="2563"/>
      <c r="G5281" s="2563"/>
      <c r="H5281" s="2564"/>
      <c r="I5281" s="397"/>
      <c r="J5281" s="396"/>
      <c r="K5281" s="396"/>
      <c r="L5281" s="396"/>
      <c r="M5281" s="396"/>
      <c r="N5281" s="396"/>
      <c r="O5281" s="396"/>
      <c r="P5281" s="396"/>
      <c r="Q5281" s="396"/>
      <c r="R5281" s="396"/>
      <c r="S5281" s="396"/>
      <c r="T5281" s="396"/>
      <c r="U5281" s="388"/>
      <c r="V5281" s="396"/>
      <c r="W5281" s="388"/>
      <c r="X5281" s="396"/>
      <c r="Y5281" s="389"/>
      <c r="Z5281" s="396"/>
      <c r="AA5281" s="388"/>
      <c r="AB5281" s="390"/>
    </row>
    <row r="5282" spans="1:28">
      <c r="A5282" s="384" t="str">
        <f t="shared" ref="A5282:B5282" si="17048">A5275</f>
        <v>Lantai 3</v>
      </c>
      <c r="B5282" s="385">
        <f t="shared" si="17048"/>
        <v>34</v>
      </c>
      <c r="C5282" s="393" t="s">
        <v>202</v>
      </c>
      <c r="D5282" s="398">
        <f>VLOOKUP(D5275,'Detail Balok'!$C$10:$AU$140,4,FALSE)</f>
        <v>4</v>
      </c>
      <c r="E5282" s="388" t="s">
        <v>16</v>
      </c>
      <c r="F5282" s="388">
        <f>VLOOKUP(D5275,'Detail Balok'!$C$10:$AU$140,6,FALSE)</f>
        <v>16</v>
      </c>
      <c r="G5282" s="388"/>
      <c r="H5282" s="395"/>
      <c r="I5282" s="388" t="s">
        <v>203</v>
      </c>
      <c r="J5282" s="399">
        <f t="shared" ref="J5282" si="17049">+D5277/4/1000</f>
        <v>1.33125</v>
      </c>
      <c r="K5282" s="400" t="s">
        <v>204</v>
      </c>
      <c r="L5282" s="399">
        <f t="shared" ref="L5282" si="17050">MAX(VLOOKUP(F5282,N$6:P$15,3,FALSE)/1000,2/3*D5279/1000)+F$16*F5282/1000</f>
        <v>0.192</v>
      </c>
      <c r="M5282" s="399" t="s">
        <v>176</v>
      </c>
      <c r="N5282" s="399">
        <f t="shared" ref="N5282:N5284" si="17051">J5282+L5282</f>
        <v>1.52325</v>
      </c>
      <c r="O5282" s="399" t="s">
        <v>204</v>
      </c>
      <c r="P5282" s="389">
        <f t="shared" ref="P5282" si="17052">D5282-D5283</f>
        <v>1</v>
      </c>
      <c r="Q5282" s="399" t="s">
        <v>125</v>
      </c>
      <c r="R5282" s="399">
        <f t="shared" ref="R5282" si="17053">IF(P5282&gt;0,$F$18*F5282/1000,0)</f>
        <v>0.24</v>
      </c>
      <c r="S5282" s="399" t="s">
        <v>205</v>
      </c>
      <c r="T5282" s="399" t="s">
        <v>125</v>
      </c>
      <c r="U5282" s="401">
        <f t="shared" ref="U5282:U5284" si="17054">0.006165*F5282^2</f>
        <v>1.5782400000000001</v>
      </c>
      <c r="V5282" s="399"/>
      <c r="W5282" s="399"/>
      <c r="X5282" s="399" t="s">
        <v>125</v>
      </c>
      <c r="Y5282" s="389">
        <f t="shared" ref="Y5282" si="17055">D5281</f>
        <v>1</v>
      </c>
      <c r="Z5282" s="400" t="s">
        <v>176</v>
      </c>
      <c r="AA5282" s="402">
        <f t="shared" ref="AA5282" si="17056">IF(AA5285=0,(D5282*N5282+P5282*R5282)*U5282*Y5282,0)</f>
        <v>9.9949939200000006</v>
      </c>
      <c r="AB5282" s="403"/>
    </row>
    <row r="5283" spans="1:28">
      <c r="A5283" s="384" t="str">
        <f t="shared" ref="A5283:B5283" si="17057">A5275</f>
        <v>Lantai 3</v>
      </c>
      <c r="B5283" s="385">
        <f t="shared" si="17057"/>
        <v>34</v>
      </c>
      <c r="C5283" s="393" t="s">
        <v>206</v>
      </c>
      <c r="D5283" s="398">
        <f>VLOOKUP(D5275,'Detail Balok'!$C$10:$AU$140,7,FALSE)</f>
        <v>3</v>
      </c>
      <c r="E5283" s="388" t="s">
        <v>16</v>
      </c>
      <c r="F5283" s="388">
        <f>VLOOKUP(D5275,'Detail Balok'!$C$10:$AU$140,9,FALSE)</f>
        <v>16</v>
      </c>
      <c r="G5283" s="388"/>
      <c r="H5283" s="395"/>
      <c r="I5283" s="388" t="s">
        <v>203</v>
      </c>
      <c r="J5283" s="399">
        <f t="shared" ref="J5283" si="17058">+D5277/2/1000</f>
        <v>2.6625000000000001</v>
      </c>
      <c r="K5283" s="400" t="s">
        <v>204</v>
      </c>
      <c r="L5283" s="399"/>
      <c r="M5283" s="399" t="s">
        <v>176</v>
      </c>
      <c r="N5283" s="399">
        <f t="shared" si="17051"/>
        <v>2.6625000000000001</v>
      </c>
      <c r="O5283" s="399" t="s">
        <v>204</v>
      </c>
      <c r="P5283" s="389">
        <f t="shared" ref="P5283" si="17059">MAX(D5283-D5282,D5283-D5284)</f>
        <v>-1</v>
      </c>
      <c r="Q5283" s="399" t="s">
        <v>125</v>
      </c>
      <c r="R5283" s="399">
        <f t="shared" ref="R5283" si="17060">IF(P5283&gt;0,2*(1-2*$F$19-1/2)*D5278/1000,0)</f>
        <v>0</v>
      </c>
      <c r="S5283" s="399" t="s">
        <v>205</v>
      </c>
      <c r="T5283" s="399" t="s">
        <v>125</v>
      </c>
      <c r="U5283" s="401">
        <f t="shared" si="17054"/>
        <v>1.5782400000000001</v>
      </c>
      <c r="V5283" s="399"/>
      <c r="W5283" s="399"/>
      <c r="X5283" s="399" t="s">
        <v>125</v>
      </c>
      <c r="Y5283" s="389">
        <f t="shared" ref="Y5283" si="17061">D5281</f>
        <v>1</v>
      </c>
      <c r="Z5283" s="400" t="s">
        <v>176</v>
      </c>
      <c r="AA5283" s="402">
        <f t="shared" ref="AA5283" si="17062">IF(AA5285=0,(D5283*N5283+P5283*R5283)*U5283*Y5283,0)</f>
        <v>12.606192000000002</v>
      </c>
      <c r="AB5283" s="403"/>
    </row>
    <row r="5284" spans="1:28">
      <c r="A5284" s="384" t="str">
        <f t="shared" ref="A5284:B5284" si="17063">A5275</f>
        <v>Lantai 3</v>
      </c>
      <c r="B5284" s="385">
        <f t="shared" si="17063"/>
        <v>34</v>
      </c>
      <c r="C5284" s="393" t="s">
        <v>202</v>
      </c>
      <c r="D5284" s="398">
        <f>VLOOKUP(D5275,'Detail Balok'!$C$10:$AU$140,10,FALSE)</f>
        <v>4</v>
      </c>
      <c r="E5284" s="388" t="s">
        <v>16</v>
      </c>
      <c r="F5284" s="388">
        <f>VLOOKUP(D5275,'Detail Balok'!$C$10:$AU$140,12,FALSE)</f>
        <v>16</v>
      </c>
      <c r="G5284" s="388"/>
      <c r="H5284" s="395"/>
      <c r="I5284" s="388" t="s">
        <v>203</v>
      </c>
      <c r="J5284" s="399">
        <f t="shared" ref="J5284" si="17064">+D5277/4/1000</f>
        <v>1.33125</v>
      </c>
      <c r="K5284" s="400" t="s">
        <v>204</v>
      </c>
      <c r="L5284" s="399">
        <f t="shared" ref="L5284" si="17065">MAX(VLOOKUP(F5284,N$6:P$15,3,FALSE)/1000,2/3*D5279/1000)+F$16*F5284/1000</f>
        <v>0.192</v>
      </c>
      <c r="M5284" s="399" t="s">
        <v>176</v>
      </c>
      <c r="N5284" s="399">
        <f t="shared" si="17051"/>
        <v>1.52325</v>
      </c>
      <c r="O5284" s="399" t="s">
        <v>204</v>
      </c>
      <c r="P5284" s="389">
        <f t="shared" ref="P5284" si="17066">D5284-D5283</f>
        <v>1</v>
      </c>
      <c r="Q5284" s="399" t="s">
        <v>125</v>
      </c>
      <c r="R5284" s="399">
        <f t="shared" ref="R5284" si="17067">IF(P5284&gt;0,$F$18*F5284/1000,0)</f>
        <v>0.24</v>
      </c>
      <c r="S5284" s="399" t="s">
        <v>205</v>
      </c>
      <c r="T5284" s="399" t="s">
        <v>125</v>
      </c>
      <c r="U5284" s="401">
        <f t="shared" si="17054"/>
        <v>1.5782400000000001</v>
      </c>
      <c r="V5284" s="399"/>
      <c r="W5284" s="399"/>
      <c r="X5284" s="399" t="s">
        <v>125</v>
      </c>
      <c r="Y5284" s="389">
        <f t="shared" ref="Y5284" si="17068">D5281</f>
        <v>1</v>
      </c>
      <c r="Z5284" s="400" t="s">
        <v>176</v>
      </c>
      <c r="AA5284" s="402">
        <f t="shared" ref="AA5284" si="17069">IF(AA5285=0,(D5284*N5284+P5284*R5284)*U5284*Y5284,0)</f>
        <v>9.9949939200000006</v>
      </c>
      <c r="AB5284" s="403"/>
    </row>
    <row r="5285" spans="1:28">
      <c r="A5285" s="384" t="str">
        <f t="shared" ref="A5285:B5285" si="17070">A5275</f>
        <v>Lantai 3</v>
      </c>
      <c r="B5285" s="385">
        <f t="shared" si="17070"/>
        <v>34</v>
      </c>
      <c r="C5285" s="393"/>
      <c r="D5285" s="398">
        <f t="shared" si="16873"/>
        <v>0</v>
      </c>
      <c r="E5285" s="388" t="s">
        <v>16</v>
      </c>
      <c r="F5285" s="388">
        <f t="shared" si="16874"/>
        <v>16</v>
      </c>
      <c r="G5285" s="388"/>
      <c r="H5285" s="395"/>
      <c r="I5285" s="388"/>
      <c r="J5285" s="396"/>
      <c r="K5285" s="396"/>
      <c r="L5285" s="404" t="s">
        <v>207</v>
      </c>
      <c r="M5285" s="399" t="s">
        <v>176</v>
      </c>
      <c r="N5285" s="399">
        <f t="shared" ref="N5285" si="17071">IF(AND(D5282=D5283,D5282=D5284,D5283=D5284,F5282=F5283,F5282=F5284,F5283=F5284),SUM(N5282:N5284),0)</f>
        <v>0</v>
      </c>
      <c r="O5285" s="399" t="s">
        <v>204</v>
      </c>
      <c r="P5285" s="389">
        <f t="shared" ref="P5285" si="17072">IF(N5285&gt;12,ROUNDDOWN(N5285/12,0),0)</f>
        <v>0</v>
      </c>
      <c r="Q5285" s="399" t="s">
        <v>125</v>
      </c>
      <c r="R5285" s="399">
        <f t="shared" ref="R5285" si="17073">IF(P5285&gt;0,MAX(VLOOKUP(F5285,$D$6:$G$15,3,FALSE),600),0)/1000</f>
        <v>0</v>
      </c>
      <c r="S5285" s="396"/>
      <c r="T5285" s="396" t="s">
        <v>125</v>
      </c>
      <c r="U5285" s="401">
        <f t="shared" si="16878"/>
        <v>1.5782400000000001</v>
      </c>
      <c r="V5285" s="396" t="s">
        <v>125</v>
      </c>
      <c r="W5285" s="399">
        <f t="shared" ref="W5285" si="17074">D5285</f>
        <v>0</v>
      </c>
      <c r="X5285" s="399" t="s">
        <v>125</v>
      </c>
      <c r="Y5285" s="389">
        <f t="shared" si="16880"/>
        <v>1</v>
      </c>
      <c r="Z5285" s="400" t="s">
        <v>176</v>
      </c>
      <c r="AA5285" s="402">
        <f t="shared" ref="AA5285" si="17075">(N5285+P5285*R5285/1000)*U5285*W5285*Y5285</f>
        <v>0</v>
      </c>
      <c r="AB5285" s="390"/>
    </row>
    <row r="5286" spans="1:28">
      <c r="A5286" s="384"/>
      <c r="B5286" s="385"/>
      <c r="C5286" s="393"/>
      <c r="D5286" s="398"/>
      <c r="E5286" s="388"/>
      <c r="F5286" s="388"/>
      <c r="G5286" s="388"/>
      <c r="H5286" s="395"/>
      <c r="I5286" s="388"/>
      <c r="J5286" s="396"/>
      <c r="K5286" s="396"/>
      <c r="L5286" s="404"/>
      <c r="M5286" s="399"/>
      <c r="N5286" s="399"/>
      <c r="O5286" s="396"/>
      <c r="P5286" s="389"/>
      <c r="Q5286" s="396"/>
      <c r="R5286" s="396"/>
      <c r="S5286" s="396"/>
      <c r="T5286" s="396"/>
      <c r="U5286" s="401"/>
      <c r="V5286" s="396"/>
      <c r="W5286" s="399"/>
      <c r="X5286" s="396"/>
      <c r="Y5286" s="389"/>
      <c r="Z5286" s="396"/>
      <c r="AA5286" s="388"/>
      <c r="AB5286" s="390"/>
    </row>
    <row r="5287" spans="1:28">
      <c r="A5287" s="384" t="str">
        <f t="shared" ref="A5287:B5287" si="17076">A5275</f>
        <v>Lantai 3</v>
      </c>
      <c r="B5287" s="385">
        <f t="shared" si="17076"/>
        <v>34</v>
      </c>
      <c r="C5287" s="393" t="s">
        <v>208</v>
      </c>
      <c r="D5287" s="398">
        <f>VLOOKUP(D5275,'Detail Balok'!$C$10:$AU$140,13,FALSE)</f>
        <v>2</v>
      </c>
      <c r="E5287" s="388" t="s">
        <v>16</v>
      </c>
      <c r="F5287" s="388">
        <f>VLOOKUP(D5275,'Detail Balok'!$C$10:$AU$140,15,FALSE)</f>
        <v>10</v>
      </c>
      <c r="G5287" s="388"/>
      <c r="H5287" s="395"/>
      <c r="I5287" s="388"/>
      <c r="J5287" s="399">
        <f t="shared" ref="J5287" si="17077">+D5277/1000</f>
        <v>5.3250000000000002</v>
      </c>
      <c r="K5287" s="400" t="s">
        <v>204</v>
      </c>
      <c r="L5287" s="399">
        <f t="shared" ref="L5287" si="17078">2*$F$16*F5287/1000</f>
        <v>0.24</v>
      </c>
      <c r="M5287" s="399" t="s">
        <v>176</v>
      </c>
      <c r="N5287" s="399">
        <f t="shared" ref="N5287" si="17079">J5287+L5287</f>
        <v>5.5650000000000004</v>
      </c>
      <c r="O5287" s="399" t="s">
        <v>204</v>
      </c>
      <c r="P5287" s="389">
        <f t="shared" ref="P5287" si="17080">IF(N5287&gt;12,ROUNDDOWN(N5287/12,0),0)</f>
        <v>0</v>
      </c>
      <c r="Q5287" s="399" t="s">
        <v>125</v>
      </c>
      <c r="R5287" s="399">
        <f t="shared" ref="R5287" si="17081">IF(P5287&gt;0,MAX(VLOOKUP(F5287,$D$6:$G$15,3,FALSE),600),0)/1000</f>
        <v>0</v>
      </c>
      <c r="S5287" s="399"/>
      <c r="T5287" s="399" t="s">
        <v>125</v>
      </c>
      <c r="U5287" s="401">
        <f t="shared" ref="U5287" si="17082">0.006165*F5287^2</f>
        <v>0.61650000000000005</v>
      </c>
      <c r="V5287" s="399" t="s">
        <v>125</v>
      </c>
      <c r="W5287" s="399">
        <f t="shared" ref="W5287" si="17083">+D5287</f>
        <v>2</v>
      </c>
      <c r="X5287" s="399" t="s">
        <v>125</v>
      </c>
      <c r="Y5287" s="389">
        <f t="shared" ref="Y5287" si="17084">D5281</f>
        <v>1</v>
      </c>
      <c r="Z5287" s="400" t="s">
        <v>176</v>
      </c>
      <c r="AA5287" s="402">
        <f t="shared" ref="AA5287" si="17085">(N5287+P5287*R5287/1000)*U5287*W5287*Y5287</f>
        <v>6.8616450000000011</v>
      </c>
      <c r="AB5287" s="403"/>
    </row>
    <row r="5288" spans="1:28">
      <c r="A5288" s="384"/>
      <c r="B5288" s="385"/>
      <c r="C5288" s="393"/>
      <c r="D5288" s="398"/>
      <c r="E5288" s="388"/>
      <c r="F5288" s="388"/>
      <c r="G5288" s="388"/>
      <c r="H5288" s="395"/>
      <c r="I5288" s="388"/>
      <c r="J5288" s="399"/>
      <c r="K5288" s="400"/>
      <c r="L5288" s="399"/>
      <c r="M5288" s="399"/>
      <c r="N5288" s="399"/>
      <c r="O5288" s="399"/>
      <c r="P5288" s="389"/>
      <c r="Q5288" s="399"/>
      <c r="R5288" s="399"/>
      <c r="S5288" s="399"/>
      <c r="T5288" s="399"/>
      <c r="U5288" s="401"/>
      <c r="V5288" s="399"/>
      <c r="W5288" s="399"/>
      <c r="X5288" s="399"/>
      <c r="Y5288" s="389"/>
      <c r="Z5288" s="400"/>
      <c r="AA5288" s="402"/>
      <c r="AB5288" s="403"/>
    </row>
    <row r="5289" spans="1:28">
      <c r="A5289" s="384"/>
      <c r="B5289" s="385"/>
      <c r="C5289" s="393"/>
      <c r="D5289" s="398"/>
      <c r="E5289" s="388"/>
      <c r="F5289" s="388"/>
      <c r="G5289" s="388"/>
      <c r="H5289" s="395"/>
      <c r="I5289" s="388"/>
      <c r="J5289" s="396"/>
      <c r="K5289" s="396"/>
      <c r="L5289" s="396"/>
      <c r="M5289" s="396"/>
      <c r="N5289" s="396"/>
      <c r="O5289" s="396"/>
      <c r="P5289" s="389"/>
      <c r="Q5289" s="396"/>
      <c r="R5289" s="396"/>
      <c r="S5289" s="396"/>
      <c r="T5289" s="396"/>
      <c r="U5289" s="401"/>
      <c r="V5289" s="396"/>
      <c r="W5289" s="399"/>
      <c r="X5289" s="396"/>
      <c r="Y5289" s="389"/>
      <c r="Z5289" s="396"/>
      <c r="AA5289" s="388"/>
      <c r="AB5289" s="390"/>
    </row>
    <row r="5290" spans="1:28">
      <c r="A5290" s="384" t="str">
        <f t="shared" ref="A5290:B5290" si="17086">A5275</f>
        <v>Lantai 3</v>
      </c>
      <c r="B5290" s="385">
        <f t="shared" si="17086"/>
        <v>34</v>
      </c>
      <c r="C5290" s="393" t="s">
        <v>209</v>
      </c>
      <c r="D5290" s="398">
        <f>VLOOKUP(D5275,'Detail Balok'!$C$10:$AU$140,22,FALSE)</f>
        <v>3</v>
      </c>
      <c r="E5290" s="388" t="s">
        <v>16</v>
      </c>
      <c r="F5290" s="388">
        <f>VLOOKUP(D5275,'Detail Balok'!$C$10:$AU$140,24,FALSE)</f>
        <v>16</v>
      </c>
      <c r="G5290" s="388"/>
      <c r="H5290" s="395"/>
      <c r="I5290" s="388" t="s">
        <v>203</v>
      </c>
      <c r="J5290" s="399">
        <f t="shared" si="16893"/>
        <v>1.33125</v>
      </c>
      <c r="K5290" s="400" t="s">
        <v>204</v>
      </c>
      <c r="L5290" s="399">
        <f t="shared" ref="L5290" si="17087">MAX(VLOOKUP(F5290,N$6:P$15,3,FALSE)/1000,2/3*D5280/1000)+F$16*F5290/1000</f>
        <v>0.192</v>
      </c>
      <c r="M5290" s="399" t="s">
        <v>176</v>
      </c>
      <c r="N5290" s="399">
        <f t="shared" ref="N5290:N5292" si="17088">J5290+L5290</f>
        <v>1.52325</v>
      </c>
      <c r="O5290" s="399" t="s">
        <v>204</v>
      </c>
      <c r="P5290" s="389">
        <f t="shared" ref="P5290" si="17089">D5290-D5291</f>
        <v>-1</v>
      </c>
      <c r="Q5290" s="399" t="s">
        <v>125</v>
      </c>
      <c r="R5290" s="399">
        <f t="shared" ref="R5290" si="17090">IF(P5290&gt;0,$F$18*F5290/1000,0)</f>
        <v>0</v>
      </c>
      <c r="S5290" s="399" t="s">
        <v>205</v>
      </c>
      <c r="T5290" s="399" t="s">
        <v>125</v>
      </c>
      <c r="U5290" s="401">
        <f t="shared" ref="U5290:U5292" si="17091">0.006165*F5290^2</f>
        <v>1.5782400000000001</v>
      </c>
      <c r="V5290" s="399"/>
      <c r="W5290" s="399"/>
      <c r="X5290" s="399" t="s">
        <v>125</v>
      </c>
      <c r="Y5290" s="389">
        <f t="shared" ref="Y5290" si="17092">D5281</f>
        <v>1</v>
      </c>
      <c r="Z5290" s="400" t="s">
        <v>176</v>
      </c>
      <c r="AA5290" s="402">
        <f t="shared" ref="AA5290" si="17093">IF(AA5293=0,(D5290*N5290+P5290*R5290)*U5290*Y5290,0)</f>
        <v>7.2121622400000005</v>
      </c>
      <c r="AB5290" s="403"/>
    </row>
    <row r="5291" spans="1:28">
      <c r="A5291" s="384" t="str">
        <f t="shared" ref="A5291:B5291" si="17094">A5275</f>
        <v>Lantai 3</v>
      </c>
      <c r="B5291" s="385">
        <f t="shared" si="17094"/>
        <v>34</v>
      </c>
      <c r="C5291" s="393" t="s">
        <v>210</v>
      </c>
      <c r="D5291" s="398">
        <f>VLOOKUP(D5275,'Detail Balok'!$C$10:$AU$140,25,FALSE)</f>
        <v>4</v>
      </c>
      <c r="E5291" s="388" t="s">
        <v>16</v>
      </c>
      <c r="F5291" s="388">
        <f>VLOOKUP(D5275,'Detail Balok'!$C$10:$AU$140,27,FALSE)</f>
        <v>16</v>
      </c>
      <c r="G5291" s="388"/>
      <c r="H5291" s="395"/>
      <c r="I5291" s="388" t="s">
        <v>203</v>
      </c>
      <c r="J5291" s="399">
        <f t="shared" si="16893"/>
        <v>2.6625000000000001</v>
      </c>
      <c r="K5291" s="400" t="s">
        <v>204</v>
      </c>
      <c r="L5291" s="399"/>
      <c r="M5291" s="399" t="s">
        <v>176</v>
      </c>
      <c r="N5291" s="399">
        <f t="shared" si="17088"/>
        <v>2.6625000000000001</v>
      </c>
      <c r="O5291" s="399" t="s">
        <v>204</v>
      </c>
      <c r="P5291" s="389">
        <f t="shared" ref="P5291" si="17095">MAX(D5291-D5290,D5291-D5292)</f>
        <v>1</v>
      </c>
      <c r="Q5291" s="399" t="s">
        <v>125</v>
      </c>
      <c r="R5291" s="399">
        <f t="shared" ref="R5291" si="17096">IF(P5291&gt;0,2*(1-2*$F$19-1/2)*D5278/1000,0)</f>
        <v>1.0649999999999997</v>
      </c>
      <c r="S5291" s="399" t="s">
        <v>205</v>
      </c>
      <c r="T5291" s="399" t="s">
        <v>125</v>
      </c>
      <c r="U5291" s="401">
        <f t="shared" si="17091"/>
        <v>1.5782400000000001</v>
      </c>
      <c r="V5291" s="399"/>
      <c r="W5291" s="399"/>
      <c r="X5291" s="399" t="s">
        <v>125</v>
      </c>
      <c r="Y5291" s="389">
        <f t="shared" ref="Y5291" si="17097">D5281</f>
        <v>1</v>
      </c>
      <c r="Z5291" s="400" t="s">
        <v>176</v>
      </c>
      <c r="AA5291" s="402">
        <f t="shared" ref="AA5291" si="17098">IF(AA5293=0,(D5291*N5291+P5291*R5291)*U5291*Y5291,0)</f>
        <v>18.489081600000002</v>
      </c>
      <c r="AB5291" s="403"/>
    </row>
    <row r="5292" spans="1:28">
      <c r="A5292" s="384" t="str">
        <f t="shared" ref="A5292:B5292" si="17099">A5275</f>
        <v>Lantai 3</v>
      </c>
      <c r="B5292" s="385">
        <f t="shared" si="17099"/>
        <v>34</v>
      </c>
      <c r="C5292" s="393" t="s">
        <v>209</v>
      </c>
      <c r="D5292" s="398">
        <f>VLOOKUP(D5275,'Detail Balok'!$C$10:$AU$140,28,FALSE)</f>
        <v>3</v>
      </c>
      <c r="E5292" s="388" t="s">
        <v>16</v>
      </c>
      <c r="F5292" s="388">
        <f>VLOOKUP(D5275,'Detail Balok'!$C$10:$AU$140,30,FALSE)</f>
        <v>16</v>
      </c>
      <c r="G5292" s="388"/>
      <c r="H5292" s="395"/>
      <c r="I5292" s="388" t="s">
        <v>203</v>
      </c>
      <c r="J5292" s="399">
        <f t="shared" si="16893"/>
        <v>1.33125</v>
      </c>
      <c r="K5292" s="400" t="s">
        <v>204</v>
      </c>
      <c r="L5292" s="399">
        <f t="shared" ref="L5292" si="17100">MAX(VLOOKUP(F5292,N$6:P$15,3,FALSE)/1000,2/3*D5280/1000)+F$16*F5292/1000</f>
        <v>0.192</v>
      </c>
      <c r="M5292" s="399" t="s">
        <v>176</v>
      </c>
      <c r="N5292" s="399">
        <f t="shared" si="17088"/>
        <v>1.52325</v>
      </c>
      <c r="O5292" s="399" t="s">
        <v>204</v>
      </c>
      <c r="P5292" s="389">
        <f t="shared" ref="P5292" si="17101">D5292-D5291</f>
        <v>-1</v>
      </c>
      <c r="Q5292" s="399" t="s">
        <v>125</v>
      </c>
      <c r="R5292" s="399">
        <f t="shared" ref="R5292" si="17102">IF(P5292&gt;0,$F$18*F5292/1000,0)</f>
        <v>0</v>
      </c>
      <c r="S5292" s="399" t="s">
        <v>205</v>
      </c>
      <c r="T5292" s="399" t="s">
        <v>125</v>
      </c>
      <c r="U5292" s="401">
        <f t="shared" si="17091"/>
        <v>1.5782400000000001</v>
      </c>
      <c r="V5292" s="399"/>
      <c r="W5292" s="399"/>
      <c r="X5292" s="399" t="s">
        <v>125</v>
      </c>
      <c r="Y5292" s="389">
        <f t="shared" ref="Y5292" si="17103">D5281</f>
        <v>1</v>
      </c>
      <c r="Z5292" s="400" t="s">
        <v>176</v>
      </c>
      <c r="AA5292" s="402">
        <f t="shared" ref="AA5292" si="17104">IF(AA5293=0,(D5292*N5292+P5292*R5292)*U5292*Y5292,0)</f>
        <v>7.2121622400000005</v>
      </c>
      <c r="AB5292" s="403"/>
    </row>
    <row r="5293" spans="1:28">
      <c r="A5293" s="384" t="str">
        <f t="shared" ref="A5293:B5293" si="17105">A5275</f>
        <v>Lantai 3</v>
      </c>
      <c r="B5293" s="385">
        <f t="shared" si="17105"/>
        <v>34</v>
      </c>
      <c r="C5293" s="393"/>
      <c r="D5293" s="398">
        <f t="shared" si="16913"/>
        <v>0</v>
      </c>
      <c r="E5293" s="388" t="s">
        <v>16</v>
      </c>
      <c r="F5293" s="388">
        <f t="shared" si="16914"/>
        <v>16</v>
      </c>
      <c r="G5293" s="388"/>
      <c r="H5293" s="395"/>
      <c r="I5293" s="388"/>
      <c r="J5293" s="396"/>
      <c r="K5293" s="396"/>
      <c r="L5293" s="404" t="s">
        <v>207</v>
      </c>
      <c r="M5293" s="399" t="s">
        <v>176</v>
      </c>
      <c r="N5293" s="399">
        <f t="shared" ref="N5293" si="17106">IF(AND(D5290=D5291,D5290=D5292,D5291=D5292,F5290=F5291,F5290=F5292,F5291=F5292),SUM(N5290:N5292),0)</f>
        <v>0</v>
      </c>
      <c r="O5293" s="399" t="s">
        <v>204</v>
      </c>
      <c r="P5293" s="389">
        <f t="shared" ref="P5293" si="17107">IF(N5293&gt;12,ROUNDDOWN(N5293/12,0),0)</f>
        <v>0</v>
      </c>
      <c r="Q5293" s="399" t="s">
        <v>125</v>
      </c>
      <c r="R5293" s="399">
        <f t="shared" ref="R5293" si="17108">IF(P5293&gt;0,MAX(VLOOKUP(F5293,$D$6:$G$15,3,FALSE),600),0)/1000</f>
        <v>0</v>
      </c>
      <c r="S5293" s="396"/>
      <c r="T5293" s="396" t="s">
        <v>125</v>
      </c>
      <c r="U5293" s="401">
        <f t="shared" si="16918"/>
        <v>1.5782400000000001</v>
      </c>
      <c r="V5293" s="396" t="s">
        <v>125</v>
      </c>
      <c r="W5293" s="399">
        <f t="shared" ref="W5293" si="17109">D5293</f>
        <v>0</v>
      </c>
      <c r="X5293" s="399" t="s">
        <v>125</v>
      </c>
      <c r="Y5293" s="389">
        <f t="shared" si="16920"/>
        <v>1</v>
      </c>
      <c r="Z5293" s="400" t="s">
        <v>176</v>
      </c>
      <c r="AA5293" s="402">
        <f t="shared" ref="AA5293" si="17110">(N5293+P5293*R5293/1000)*U5293*W5293*Y5293</f>
        <v>0</v>
      </c>
      <c r="AB5293" s="403"/>
    </row>
    <row r="5294" spans="1:28">
      <c r="A5294" s="384"/>
      <c r="B5294" s="385"/>
      <c r="C5294" s="393"/>
      <c r="D5294" s="394"/>
      <c r="E5294" s="388"/>
      <c r="F5294" s="388"/>
      <c r="G5294" s="388"/>
      <c r="H5294" s="395"/>
      <c r="I5294" s="388"/>
      <c r="J5294" s="399"/>
      <c r="K5294" s="396"/>
      <c r="L5294" s="396"/>
      <c r="M5294" s="396"/>
      <c r="N5294" s="396"/>
      <c r="O5294" s="396"/>
      <c r="P5294" s="389"/>
      <c r="Q5294" s="396"/>
      <c r="R5294" s="396"/>
      <c r="S5294" s="396"/>
      <c r="T5294" s="396"/>
      <c r="U5294" s="401"/>
      <c r="V5294" s="396"/>
      <c r="W5294" s="388"/>
      <c r="X5294" s="396"/>
      <c r="Y5294" s="389"/>
      <c r="Z5294" s="396"/>
      <c r="AA5294" s="388"/>
      <c r="AB5294" s="390"/>
    </row>
    <row r="5295" spans="1:28">
      <c r="A5295" s="384" t="str">
        <f t="shared" ref="A5295:B5295" si="17111">A5275</f>
        <v>Lantai 3</v>
      </c>
      <c r="B5295" s="385">
        <f t="shared" si="17111"/>
        <v>34</v>
      </c>
      <c r="C5295" s="393" t="s">
        <v>211</v>
      </c>
      <c r="D5295" s="398">
        <f>VLOOKUP(D5275,'Detail Balok'!$C$10:$AU$140,31,FALSE)</f>
        <v>0</v>
      </c>
      <c r="E5295" s="388" t="s">
        <v>16</v>
      </c>
      <c r="F5295" s="388">
        <f>VLOOKUP(D5275,'Detail Balok'!$C$10:$AU$140,33,FALSE)</f>
        <v>10</v>
      </c>
      <c r="G5295" s="405" t="s">
        <v>157</v>
      </c>
      <c r="H5295" s="395">
        <f>VLOOKUP(D5275,'Detail Balok'!$C$10:$AU$140,35,FALSE)</f>
        <v>100</v>
      </c>
      <c r="I5295" s="388"/>
      <c r="J5295" s="400">
        <f t="shared" ref="J5295" si="17112">(IF(D5295=0,(2*(D5276+G5276))-(F$5*8),IF(D5295=3,(2*(D5276+G5276))-(F$5*8)+(G5276-2*F$5),IF(D5295=4,(2*(D5276+G5276))-(F$5*8)+2*(G5276-2*F$5)))))/1000</f>
        <v>1.28</v>
      </c>
      <c r="K5295" s="400" t="s">
        <v>204</v>
      </c>
      <c r="L5295" s="399">
        <f t="shared" ref="L5295:L5297" si="17113">IF(D5295=0,2*MAX(6*F5295,75),(D5295-1)*2*MAX(6*F5295,75))/1000</f>
        <v>0.15</v>
      </c>
      <c r="M5295" s="399" t="s">
        <v>176</v>
      </c>
      <c r="N5295" s="399">
        <f t="shared" ref="N5295:N5297" si="17114">J5295+L5295</f>
        <v>1.43</v>
      </c>
      <c r="O5295" s="399"/>
      <c r="P5295" s="389"/>
      <c r="Q5295" s="399"/>
      <c r="R5295" s="399"/>
      <c r="S5295" s="399"/>
      <c r="T5295" s="399" t="s">
        <v>125</v>
      </c>
      <c r="U5295" s="401">
        <f t="shared" ref="U5295:U5297" si="17115">0.006165*F5295^2</f>
        <v>0.61650000000000005</v>
      </c>
      <c r="V5295" s="399" t="s">
        <v>125</v>
      </c>
      <c r="W5295" s="399">
        <f t="shared" ref="W5295" si="17116">IF(D5278&gt;4*G5276,ROUND(MAX(D5278/4,2*G5276)/H5295,0)+1,ROUND(D5278/H5295,0)+1)</f>
        <v>14</v>
      </c>
      <c r="X5295" s="399" t="s">
        <v>125</v>
      </c>
      <c r="Y5295" s="389">
        <f t="shared" ref="Y5295" si="17117">D5281</f>
        <v>1</v>
      </c>
      <c r="Z5295" s="400" t="s">
        <v>176</v>
      </c>
      <c r="AA5295" s="402">
        <f t="shared" ref="AA5295:AA5297" si="17118">N5295*U5295*W5295*Y5295</f>
        <v>12.34233</v>
      </c>
      <c r="AB5295" s="403"/>
    </row>
    <row r="5296" spans="1:28">
      <c r="A5296" s="384" t="str">
        <f t="shared" ref="A5296:B5296" si="17119">A5275</f>
        <v>Lantai 3</v>
      </c>
      <c r="B5296" s="385">
        <f t="shared" si="17119"/>
        <v>34</v>
      </c>
      <c r="C5296" s="393" t="s">
        <v>212</v>
      </c>
      <c r="D5296" s="398">
        <f>VLOOKUP(D5275,'Detail Balok'!$C$10:$AU$140,36,FALSE)</f>
        <v>0</v>
      </c>
      <c r="E5296" s="388" t="s">
        <v>16</v>
      </c>
      <c r="F5296" s="388">
        <f>VLOOKUP(D5275,'Detail Balok'!$C$10:$AU$140,38,FALSE)</f>
        <v>10</v>
      </c>
      <c r="G5296" s="405" t="s">
        <v>157</v>
      </c>
      <c r="H5296" s="395">
        <f>VLOOKUP(D5275,'Detail Balok'!$C$10:$AU$140,40,FALSE)</f>
        <v>150</v>
      </c>
      <c r="I5296" s="388"/>
      <c r="J5296" s="400">
        <f t="shared" ref="J5296" si="17120">(IF(D5296=0,(2*(D5276+G5276))-(F$5*8),IF(D5296=3,(2*(D5276+G5276))-(F$5*8)+(G5276-2*F$5),IF(D5296=4,(2*(D5276+G5276))-(F$5*8)+2*(G5276-2*F$5)))))/1000</f>
        <v>1.28</v>
      </c>
      <c r="K5296" s="400" t="s">
        <v>204</v>
      </c>
      <c r="L5296" s="399">
        <f t="shared" si="17113"/>
        <v>0.15</v>
      </c>
      <c r="M5296" s="399" t="s">
        <v>176</v>
      </c>
      <c r="N5296" s="399">
        <f t="shared" si="17114"/>
        <v>1.43</v>
      </c>
      <c r="O5296" s="399"/>
      <c r="P5296" s="389"/>
      <c r="Q5296" s="399"/>
      <c r="R5296" s="399"/>
      <c r="S5296" s="399"/>
      <c r="T5296" s="399" t="s">
        <v>125</v>
      </c>
      <c r="U5296" s="401">
        <f t="shared" si="17115"/>
        <v>0.61650000000000005</v>
      </c>
      <c r="V5296" s="399" t="s">
        <v>125</v>
      </c>
      <c r="W5296" s="399">
        <f t="shared" ref="W5296" si="17121">IF(D5278-MAX(D5278/4,2*G5276)*2&gt;0,ROUND((D5278-MAX(D5278/4,2*G5276)*2)/H5296,0),0)</f>
        <v>18</v>
      </c>
      <c r="X5296" s="399" t="s">
        <v>125</v>
      </c>
      <c r="Y5296" s="389">
        <f t="shared" ref="Y5296" si="17122">D5281</f>
        <v>1</v>
      </c>
      <c r="Z5296" s="400" t="s">
        <v>176</v>
      </c>
      <c r="AA5296" s="402">
        <f t="shared" si="17118"/>
        <v>15.86871</v>
      </c>
      <c r="AB5296" s="403"/>
    </row>
    <row r="5297" spans="1:28">
      <c r="A5297" s="384" t="str">
        <f t="shared" ref="A5297:B5297" si="17123">A5275</f>
        <v>Lantai 3</v>
      </c>
      <c r="B5297" s="385">
        <f t="shared" si="17123"/>
        <v>34</v>
      </c>
      <c r="C5297" s="393" t="s">
        <v>211</v>
      </c>
      <c r="D5297" s="398">
        <f>VLOOKUP(D5275,'Detail Balok'!$C$10:$AU$140,41,FALSE)</f>
        <v>0</v>
      </c>
      <c r="E5297" s="388" t="s">
        <v>16</v>
      </c>
      <c r="F5297" s="388">
        <f>VLOOKUP(D5275,'Detail Balok'!$C$10:$AU$140,43,FALSE)</f>
        <v>10</v>
      </c>
      <c r="G5297" s="405" t="s">
        <v>157</v>
      </c>
      <c r="H5297" s="395">
        <f>VLOOKUP(D5275,'Detail Balok'!$C$10:$AU$140,45,FALSE)</f>
        <v>100</v>
      </c>
      <c r="I5297" s="388"/>
      <c r="J5297" s="400">
        <f t="shared" ref="J5297" si="17124">(IF(D5297=0,(2*(D5276+G5276))-(F$5*8),IF(D5297=3,(2*(D5276+G5276))-(F$5*8)+(G5276-2*F$5),IF(D5297=4,(2*(D5276+G5276))-(F$5*8)+2*(G5276-2*F$5)))))/1000</f>
        <v>1.28</v>
      </c>
      <c r="K5297" s="400" t="s">
        <v>204</v>
      </c>
      <c r="L5297" s="399">
        <f t="shared" si="17113"/>
        <v>0.15</v>
      </c>
      <c r="M5297" s="399" t="s">
        <v>176</v>
      </c>
      <c r="N5297" s="399">
        <f t="shared" si="17114"/>
        <v>1.43</v>
      </c>
      <c r="O5297" s="399"/>
      <c r="P5297" s="389"/>
      <c r="Q5297" s="399"/>
      <c r="R5297" s="399"/>
      <c r="S5297" s="399"/>
      <c r="T5297" s="399" t="s">
        <v>125</v>
      </c>
      <c r="U5297" s="401">
        <f t="shared" si="17115"/>
        <v>0.61650000000000005</v>
      </c>
      <c r="V5297" s="399" t="s">
        <v>125</v>
      </c>
      <c r="W5297" s="399">
        <f t="shared" ref="W5297" si="17125">IF(D5278&gt;4*G5276,ROUND(MAX(D5278/4,2*G5276)/H5297,0)+1,0)</f>
        <v>14</v>
      </c>
      <c r="X5297" s="399" t="s">
        <v>125</v>
      </c>
      <c r="Y5297" s="389">
        <f t="shared" ref="Y5297" si="17126">D5281</f>
        <v>1</v>
      </c>
      <c r="Z5297" s="400" t="s">
        <v>176</v>
      </c>
      <c r="AA5297" s="402">
        <f t="shared" si="17118"/>
        <v>12.34233</v>
      </c>
      <c r="AB5297" s="403"/>
    </row>
    <row r="5298" spans="1:28">
      <c r="A5298" s="384"/>
      <c r="B5298" s="385"/>
      <c r="C5298" s="393"/>
      <c r="D5298" s="394"/>
      <c r="E5298" s="388"/>
      <c r="F5298" s="388"/>
      <c r="G5298" s="388"/>
      <c r="H5298" s="395"/>
      <c r="I5298" s="388"/>
      <c r="J5298" s="399"/>
      <c r="K5298" s="396"/>
      <c r="L5298" s="396"/>
      <c r="M5298" s="396"/>
      <c r="N5298" s="396"/>
      <c r="O5298" s="396"/>
      <c r="P5298" s="389"/>
      <c r="Q5298" s="396"/>
      <c r="R5298" s="396"/>
      <c r="S5298" s="396"/>
      <c r="T5298" s="396"/>
      <c r="U5298" s="401"/>
      <c r="V5298" s="396"/>
      <c r="W5298" s="388"/>
      <c r="X5298" s="396"/>
      <c r="Y5298" s="389"/>
      <c r="Z5298" s="396"/>
      <c r="AA5298" s="388"/>
      <c r="AB5298" s="390"/>
    </row>
    <row r="5299" spans="1:28">
      <c r="A5299" s="384" t="str">
        <f t="shared" ref="A5299:B5299" si="17127">A5275</f>
        <v>Lantai 3</v>
      </c>
      <c r="B5299" s="385">
        <f t="shared" si="17127"/>
        <v>34</v>
      </c>
      <c r="C5299" s="393" t="s">
        <v>213</v>
      </c>
      <c r="D5299" s="398">
        <f>VLOOKUP(D5275,'Detail Balok'!$C$10:$BJ$140,46,FALSE)</f>
        <v>0</v>
      </c>
      <c r="E5299" s="388" t="s">
        <v>16</v>
      </c>
      <c r="F5299" s="388">
        <f>VLOOKUP(D5275,'Detail Balok'!$C$10:$BJ$140,48,FALSE)</f>
        <v>0</v>
      </c>
      <c r="G5299" s="405" t="s">
        <v>157</v>
      </c>
      <c r="H5299" s="395">
        <f>VLOOKUP(D5275,'Detail Balok'!$C$10:$BJ$140,50,FALSE)</f>
        <v>100</v>
      </c>
      <c r="I5299" s="388"/>
      <c r="J5299" s="399">
        <f t="shared" ref="J5299" si="17128">(D5276-2*F$5)/1000</f>
        <v>0.12</v>
      </c>
      <c r="K5299" s="400" t="s">
        <v>204</v>
      </c>
      <c r="L5299" s="399">
        <f t="shared" ref="L5299:L5301" si="17129">IF(D5299=0,2*MAX(6*F5299,75),(D5299-1)*2*MAX(6*F5299,75))/1000</f>
        <v>0.15</v>
      </c>
      <c r="M5299" s="399" t="s">
        <v>176</v>
      </c>
      <c r="N5299" s="399">
        <f t="shared" ref="N5299:N5301" si="17130">J5299+L5299</f>
        <v>0.27</v>
      </c>
      <c r="O5299" s="399"/>
      <c r="P5299" s="399"/>
      <c r="Q5299" s="399"/>
      <c r="R5299" s="399"/>
      <c r="S5299" s="399"/>
      <c r="T5299" s="399" t="s">
        <v>125</v>
      </c>
      <c r="U5299" s="401">
        <f t="shared" ref="U5299:U5301" si="17131">0.006165*F5299^2</f>
        <v>0</v>
      </c>
      <c r="V5299" s="399" t="s">
        <v>125</v>
      </c>
      <c r="W5299" s="399">
        <f t="shared" si="16943"/>
        <v>14</v>
      </c>
      <c r="X5299" s="399" t="s">
        <v>125</v>
      </c>
      <c r="Y5299" s="389">
        <f t="shared" ref="Y5299" si="17132">D5285</f>
        <v>0</v>
      </c>
      <c r="Z5299" s="400" t="s">
        <v>176</v>
      </c>
      <c r="AA5299" s="402">
        <f t="shared" ref="AA5299:AA5301" si="17133">N5299*U5299*W5299*Y5299</f>
        <v>0</v>
      </c>
      <c r="AB5299" s="403"/>
    </row>
    <row r="5300" spans="1:28">
      <c r="A5300" s="384" t="str">
        <f t="shared" ref="A5300:B5300" si="17134">A5275</f>
        <v>Lantai 3</v>
      </c>
      <c r="B5300" s="385">
        <f t="shared" si="17134"/>
        <v>34</v>
      </c>
      <c r="C5300" s="393" t="s">
        <v>214</v>
      </c>
      <c r="D5300" s="398">
        <f>VLOOKUP(D5275,'Detail Balok'!$C$10:$BJ$140,51,FALSE)</f>
        <v>0</v>
      </c>
      <c r="E5300" s="388" t="s">
        <v>16</v>
      </c>
      <c r="F5300" s="388">
        <f>VLOOKUP(D5275,'Detail Balok'!$C$10:$BJ$140,53,FALSE)</f>
        <v>0</v>
      </c>
      <c r="G5300" s="405" t="s">
        <v>157</v>
      </c>
      <c r="H5300" s="395">
        <f>VLOOKUP(D5275,'Detail Balok'!$C$10:$BJ$140,55,FALSE)</f>
        <v>100</v>
      </c>
      <c r="I5300" s="388"/>
      <c r="J5300" s="399">
        <f t="shared" ref="J5300" si="17135">(D5276-2*F$5)/1000</f>
        <v>0.12</v>
      </c>
      <c r="K5300" s="400" t="s">
        <v>204</v>
      </c>
      <c r="L5300" s="399">
        <f t="shared" si="17129"/>
        <v>0.15</v>
      </c>
      <c r="M5300" s="399" t="s">
        <v>176</v>
      </c>
      <c r="N5300" s="399">
        <f t="shared" si="17130"/>
        <v>0.27</v>
      </c>
      <c r="O5300" s="399"/>
      <c r="P5300" s="399"/>
      <c r="Q5300" s="399"/>
      <c r="R5300" s="399"/>
      <c r="S5300" s="399"/>
      <c r="T5300" s="399" t="s">
        <v>125</v>
      </c>
      <c r="U5300" s="401">
        <f t="shared" si="17131"/>
        <v>0</v>
      </c>
      <c r="V5300" s="399" t="s">
        <v>125</v>
      </c>
      <c r="W5300" s="399">
        <f t="shared" si="16943"/>
        <v>18</v>
      </c>
      <c r="X5300" s="399" t="s">
        <v>125</v>
      </c>
      <c r="Y5300" s="389">
        <f t="shared" ref="Y5300" si="17136">D5285</f>
        <v>0</v>
      </c>
      <c r="Z5300" s="400" t="s">
        <v>176</v>
      </c>
      <c r="AA5300" s="402">
        <f t="shared" si="17133"/>
        <v>0</v>
      </c>
      <c r="AB5300" s="403"/>
    </row>
    <row r="5301" spans="1:28">
      <c r="A5301" s="384" t="str">
        <f t="shared" ref="A5301:B5301" si="17137">A5275</f>
        <v>Lantai 3</v>
      </c>
      <c r="B5301" s="385">
        <f t="shared" si="17137"/>
        <v>34</v>
      </c>
      <c r="C5301" s="393" t="s">
        <v>213</v>
      </c>
      <c r="D5301" s="398">
        <f>VLOOKUP(D5275,'Detail Balok'!$C$10:$BJ$140,56,FALSE)</f>
        <v>0</v>
      </c>
      <c r="E5301" s="388" t="s">
        <v>16</v>
      </c>
      <c r="F5301" s="388">
        <f>VLOOKUP(D5275,'Detail Balok'!$C$10:$BJ$140,58,FALSE)</f>
        <v>0</v>
      </c>
      <c r="G5301" s="405" t="s">
        <v>157</v>
      </c>
      <c r="H5301" s="395">
        <f>VLOOKUP(D5275,'Detail Balok'!$C$10:$BJ$140,60,FALSE)</f>
        <v>100</v>
      </c>
      <c r="I5301" s="388"/>
      <c r="J5301" s="399">
        <f t="shared" ref="J5301" si="17138">(D5276-2*F$5)/1000</f>
        <v>0.12</v>
      </c>
      <c r="K5301" s="400" t="s">
        <v>204</v>
      </c>
      <c r="L5301" s="399">
        <f t="shared" si="17129"/>
        <v>0.15</v>
      </c>
      <c r="M5301" s="399" t="s">
        <v>176</v>
      </c>
      <c r="N5301" s="399">
        <f t="shared" si="17130"/>
        <v>0.27</v>
      </c>
      <c r="O5301" s="399"/>
      <c r="P5301" s="399"/>
      <c r="Q5301" s="399"/>
      <c r="R5301" s="399"/>
      <c r="S5301" s="399"/>
      <c r="T5301" s="399" t="s">
        <v>125</v>
      </c>
      <c r="U5301" s="401">
        <f t="shared" si="17131"/>
        <v>0</v>
      </c>
      <c r="V5301" s="399" t="s">
        <v>125</v>
      </c>
      <c r="W5301" s="399">
        <f t="shared" si="16943"/>
        <v>14</v>
      </c>
      <c r="X5301" s="399" t="s">
        <v>125</v>
      </c>
      <c r="Y5301" s="389">
        <f t="shared" ref="Y5301" si="17139">D5285</f>
        <v>0</v>
      </c>
      <c r="Z5301" s="400" t="s">
        <v>176</v>
      </c>
      <c r="AA5301" s="402">
        <f t="shared" si="17133"/>
        <v>0</v>
      </c>
      <c r="AB5301" s="403"/>
    </row>
    <row r="5302" spans="1:28">
      <c r="A5302" s="391"/>
      <c r="B5302" s="392"/>
      <c r="C5302" s="392"/>
      <c r="D5302" s="394"/>
      <c r="E5302" s="388"/>
      <c r="F5302" s="388"/>
      <c r="G5302" s="388"/>
      <c r="H5302" s="395"/>
      <c r="I5302" s="388"/>
      <c r="J5302" s="402"/>
      <c r="K5302" s="388"/>
      <c r="L5302" s="388"/>
      <c r="M5302" s="388"/>
      <c r="N5302" s="388"/>
      <c r="O5302" s="388"/>
      <c r="P5302" s="388"/>
      <c r="Q5302" s="388"/>
      <c r="R5302" s="388"/>
      <c r="S5302" s="388"/>
      <c r="T5302" s="388"/>
      <c r="U5302" s="388"/>
      <c r="V5302" s="388"/>
      <c r="W5302" s="388"/>
      <c r="X5302" s="388"/>
      <c r="Y5302" s="389"/>
      <c r="Z5302" s="388"/>
      <c r="AA5302" s="402"/>
      <c r="AB5302" s="403"/>
    </row>
    <row r="5303" spans="1:28" ht="15.75" thickBot="1">
      <c r="A5303" s="406"/>
      <c r="B5303" s="407"/>
      <c r="C5303" s="407"/>
      <c r="D5303" s="408"/>
      <c r="E5303" s="409"/>
      <c r="F5303" s="409"/>
      <c r="G5303" s="409"/>
      <c r="H5303" s="410"/>
      <c r="I5303" s="409"/>
      <c r="J5303" s="409"/>
      <c r="K5303" s="409"/>
      <c r="L5303" s="409"/>
      <c r="M5303" s="409"/>
      <c r="N5303" s="409"/>
      <c r="O5303" s="409"/>
      <c r="P5303" s="409"/>
      <c r="Q5303" s="409"/>
      <c r="R5303" s="409"/>
      <c r="S5303" s="409"/>
      <c r="T5303" s="409"/>
      <c r="U5303" s="409"/>
      <c r="V5303" s="409"/>
      <c r="W5303" s="409"/>
      <c r="X5303" s="409"/>
      <c r="Y5303" s="411"/>
      <c r="Z5303" s="409"/>
      <c r="AA5303" s="412"/>
      <c r="AB5303" s="413"/>
    </row>
    <row r="5304" spans="1:28">
      <c r="A5304" s="377"/>
      <c r="B5304" s="378"/>
      <c r="C5304" s="378"/>
      <c r="D5304" s="379"/>
      <c r="E5304" s="380"/>
      <c r="F5304" s="380"/>
      <c r="G5304" s="380"/>
      <c r="H5304" s="381"/>
      <c r="I5304" s="380"/>
      <c r="J5304" s="380"/>
      <c r="K5304" s="380"/>
      <c r="L5304" s="380"/>
      <c r="M5304" s="380"/>
      <c r="N5304" s="380"/>
      <c r="O5304" s="380"/>
      <c r="P5304" s="380"/>
      <c r="Q5304" s="380"/>
      <c r="R5304" s="380"/>
      <c r="S5304" s="380"/>
      <c r="T5304" s="380"/>
      <c r="U5304" s="380"/>
      <c r="V5304" s="380"/>
      <c r="W5304" s="380"/>
      <c r="X5304" s="380"/>
      <c r="Y5304" s="382"/>
      <c r="Z5304" s="380"/>
      <c r="AA5304" s="380"/>
      <c r="AB5304" s="383"/>
    </row>
    <row r="5305" spans="1:28">
      <c r="A5305" s="384" t="str">
        <f t="shared" si="16952"/>
        <v>Lantai 3</v>
      </c>
      <c r="B5305" s="385">
        <f t="shared" si="16953"/>
        <v>35</v>
      </c>
      <c r="C5305" s="386" t="str">
        <f t="shared" ref="C5305" si="17140">CONCATENATE(A5305," no. ",B5305)</f>
        <v>Lantai 3 no. 35</v>
      </c>
      <c r="D5305" s="2562" t="str">
        <f>VLOOKUP(C5305,'Data Panjang Balok'!$C$9:$N$254,2,FALSE)</f>
        <v>B24-1</v>
      </c>
      <c r="E5305" s="2576"/>
      <c r="F5305" s="2576"/>
      <c r="G5305" s="2576"/>
      <c r="H5305" s="2577"/>
      <c r="I5305" s="387"/>
      <c r="J5305" s="388"/>
      <c r="K5305" s="388"/>
      <c r="L5305" s="388"/>
      <c r="M5305" s="388"/>
      <c r="N5305" s="388"/>
      <c r="O5305" s="388"/>
      <c r="P5305" s="388"/>
      <c r="Q5305" s="388"/>
      <c r="R5305" s="388"/>
      <c r="S5305" s="388"/>
      <c r="T5305" s="388"/>
      <c r="U5305" s="388"/>
      <c r="V5305" s="388"/>
      <c r="W5305" s="388"/>
      <c r="X5305" s="388"/>
      <c r="Y5305" s="389"/>
      <c r="Z5305" s="388"/>
      <c r="AA5305" s="388"/>
      <c r="AB5305" s="390"/>
    </row>
    <row r="5306" spans="1:28">
      <c r="A5306" s="391"/>
      <c r="B5306" s="392"/>
      <c r="C5306" s="393" t="s">
        <v>118</v>
      </c>
      <c r="D5306" s="2578">
        <f>VLOOKUP(D5305,'Detail Balok'!$C$10:$AU$140,2,FALSE)</f>
        <v>200</v>
      </c>
      <c r="E5306" s="2579"/>
      <c r="F5306" s="388" t="s">
        <v>125</v>
      </c>
      <c r="G5306" s="2579">
        <f>VLOOKUP(D5305,'Detail Balok'!$C$10:$AU$140,3,FALSE)</f>
        <v>400</v>
      </c>
      <c r="H5306" s="2580"/>
      <c r="I5306" s="388"/>
      <c r="J5306" s="396"/>
      <c r="K5306" s="396"/>
      <c r="L5306" s="396"/>
      <c r="M5306" s="396"/>
      <c r="N5306" s="396"/>
      <c r="O5306" s="396"/>
      <c r="P5306" s="396"/>
      <c r="Q5306" s="396"/>
      <c r="R5306" s="396"/>
      <c r="S5306" s="396"/>
      <c r="T5306" s="396"/>
      <c r="U5306" s="388"/>
      <c r="V5306" s="396"/>
      <c r="W5306" s="388"/>
      <c r="X5306" s="396"/>
      <c r="Y5306" s="389"/>
      <c r="Z5306" s="396"/>
      <c r="AA5306" s="388"/>
      <c r="AB5306" s="390"/>
    </row>
    <row r="5307" spans="1:28">
      <c r="A5307" s="391"/>
      <c r="B5307" s="392"/>
      <c r="C5307" s="393" t="s">
        <v>198</v>
      </c>
      <c r="D5307" s="2562">
        <f>VLOOKUP(C5305,'Data Panjang Balok'!$C$9:$N$254,4,FALSE)</f>
        <v>3500</v>
      </c>
      <c r="E5307" s="2563"/>
      <c r="F5307" s="2563"/>
      <c r="G5307" s="2563"/>
      <c r="H5307" s="2564"/>
      <c r="I5307" s="397"/>
      <c r="J5307" s="396"/>
      <c r="K5307" s="396"/>
      <c r="L5307" s="396"/>
      <c r="M5307" s="396"/>
      <c r="N5307" s="396"/>
      <c r="O5307" s="396"/>
      <c r="P5307" s="396"/>
      <c r="Q5307" s="396"/>
      <c r="R5307" s="396"/>
      <c r="S5307" s="396"/>
      <c r="T5307" s="396"/>
      <c r="U5307" s="388"/>
      <c r="V5307" s="396"/>
      <c r="W5307" s="388"/>
      <c r="X5307" s="396"/>
      <c r="Y5307" s="389"/>
      <c r="Z5307" s="396"/>
      <c r="AA5307" s="388"/>
      <c r="AB5307" s="390"/>
    </row>
    <row r="5308" spans="1:28">
      <c r="A5308" s="391"/>
      <c r="B5308" s="392"/>
      <c r="C5308" s="393" t="s">
        <v>199</v>
      </c>
      <c r="D5308" s="2562">
        <f>VLOOKUP(C5305,'Data Panjang Balok'!$C$9:$N$254,7,FALSE)</f>
        <v>3500</v>
      </c>
      <c r="E5308" s="2563"/>
      <c r="F5308" s="2563"/>
      <c r="G5308" s="2563"/>
      <c r="H5308" s="2564"/>
      <c r="I5308" s="397"/>
      <c r="J5308" s="396"/>
      <c r="K5308" s="396"/>
      <c r="L5308" s="396"/>
      <c r="M5308" s="396"/>
      <c r="N5308" s="396"/>
      <c r="O5308" s="396"/>
      <c r="P5308" s="396"/>
      <c r="Q5308" s="396"/>
      <c r="R5308" s="396"/>
      <c r="S5308" s="396"/>
      <c r="T5308" s="396"/>
      <c r="U5308" s="388"/>
      <c r="V5308" s="396"/>
      <c r="W5308" s="388"/>
      <c r="X5308" s="396"/>
      <c r="Y5308" s="389"/>
      <c r="Z5308" s="396"/>
      <c r="AA5308" s="388"/>
      <c r="AB5308" s="390"/>
    </row>
    <row r="5309" spans="1:28">
      <c r="A5309" s="391"/>
      <c r="B5309" s="392"/>
      <c r="C5309" s="393" t="s">
        <v>200</v>
      </c>
      <c r="D5309" s="2562">
        <f>VLOOKUP(C5305,'Data Panjang Balok'!$C$9:$N$254,9,FALSE)</f>
        <v>0</v>
      </c>
      <c r="E5309" s="2563"/>
      <c r="F5309" s="2563"/>
      <c r="G5309" s="2563"/>
      <c r="H5309" s="2564"/>
      <c r="I5309" s="397"/>
      <c r="J5309" s="396"/>
      <c r="K5309" s="396"/>
      <c r="L5309" s="396"/>
      <c r="M5309" s="396"/>
      <c r="N5309" s="396"/>
      <c r="O5309" s="396"/>
      <c r="P5309" s="396"/>
      <c r="Q5309" s="396"/>
      <c r="R5309" s="396"/>
      <c r="S5309" s="396"/>
      <c r="T5309" s="396"/>
      <c r="U5309" s="388"/>
      <c r="V5309" s="396"/>
      <c r="W5309" s="388"/>
      <c r="X5309" s="396"/>
      <c r="Y5309" s="389"/>
      <c r="Z5309" s="396"/>
      <c r="AA5309" s="388"/>
      <c r="AB5309" s="390"/>
    </row>
    <row r="5310" spans="1:28">
      <c r="A5310" s="391"/>
      <c r="B5310" s="392"/>
      <c r="C5310" s="393" t="s">
        <v>201</v>
      </c>
      <c r="D5310" s="2562">
        <f>VLOOKUP(C5305,'Data Panjang Balok'!$C$9:$N$254,10,FALSE)</f>
        <v>0</v>
      </c>
      <c r="E5310" s="2563"/>
      <c r="F5310" s="2563"/>
      <c r="G5310" s="2563"/>
      <c r="H5310" s="2564"/>
      <c r="I5310" s="397"/>
      <c r="J5310" s="396"/>
      <c r="K5310" s="396"/>
      <c r="L5310" s="396"/>
      <c r="M5310" s="396"/>
      <c r="N5310" s="396"/>
      <c r="O5310" s="396"/>
      <c r="P5310" s="396"/>
      <c r="Q5310" s="396"/>
      <c r="R5310" s="396"/>
      <c r="S5310" s="396"/>
      <c r="T5310" s="396"/>
      <c r="U5310" s="388"/>
      <c r="V5310" s="396"/>
      <c r="W5310" s="388"/>
      <c r="X5310" s="396"/>
      <c r="Y5310" s="389"/>
      <c r="Z5310" s="396"/>
      <c r="AA5310" s="388"/>
      <c r="AB5310" s="390"/>
    </row>
    <row r="5311" spans="1:28">
      <c r="A5311" s="391"/>
      <c r="B5311" s="392"/>
      <c r="C5311" s="393" t="s">
        <v>48</v>
      </c>
      <c r="D5311" s="2562">
        <f>VLOOKUP(C5305,'Data Panjang Balok'!$C$9:$N$254,3,FALSE)</f>
        <v>1</v>
      </c>
      <c r="E5311" s="2563"/>
      <c r="F5311" s="2563"/>
      <c r="G5311" s="2563"/>
      <c r="H5311" s="2564"/>
      <c r="I5311" s="397"/>
      <c r="J5311" s="396"/>
      <c r="K5311" s="396"/>
      <c r="L5311" s="396"/>
      <c r="M5311" s="396"/>
      <c r="N5311" s="396"/>
      <c r="O5311" s="396"/>
      <c r="P5311" s="396"/>
      <c r="Q5311" s="396"/>
      <c r="R5311" s="396"/>
      <c r="S5311" s="396"/>
      <c r="T5311" s="396"/>
      <c r="U5311" s="388"/>
      <c r="V5311" s="396"/>
      <c r="W5311" s="388"/>
      <c r="X5311" s="396"/>
      <c r="Y5311" s="389"/>
      <c r="Z5311" s="396"/>
      <c r="AA5311" s="388"/>
      <c r="AB5311" s="390"/>
    </row>
    <row r="5312" spans="1:28">
      <c r="A5312" s="384" t="str">
        <f t="shared" ref="A5312:B5312" si="17141">A5305</f>
        <v>Lantai 3</v>
      </c>
      <c r="B5312" s="385">
        <f t="shared" si="17141"/>
        <v>35</v>
      </c>
      <c r="C5312" s="393" t="s">
        <v>202</v>
      </c>
      <c r="D5312" s="398">
        <f>VLOOKUP(D5305,'Detail Balok'!$C$10:$AU$140,4,FALSE)</f>
        <v>3</v>
      </c>
      <c r="E5312" s="388" t="s">
        <v>16</v>
      </c>
      <c r="F5312" s="388">
        <f>VLOOKUP(D5305,'Detail Balok'!$C$10:$AU$140,6,FALSE)</f>
        <v>13</v>
      </c>
      <c r="G5312" s="388"/>
      <c r="H5312" s="395"/>
      <c r="I5312" s="388" t="s">
        <v>203</v>
      </c>
      <c r="J5312" s="399">
        <f t="shared" ref="J5312" si="17142">+D5307/4/1000</f>
        <v>0.875</v>
      </c>
      <c r="K5312" s="400" t="s">
        <v>204</v>
      </c>
      <c r="L5312" s="399">
        <f t="shared" ref="L5312" si="17143">MAX(VLOOKUP(F5312,N$6:P$15,3,FALSE)/1000,2/3*D5309/1000)+F$16*F5312/1000</f>
        <v>0.156</v>
      </c>
      <c r="M5312" s="399" t="s">
        <v>176</v>
      </c>
      <c r="N5312" s="399">
        <f t="shared" ref="N5312:N5314" si="17144">J5312+L5312</f>
        <v>1.0309999999999999</v>
      </c>
      <c r="O5312" s="399" t="s">
        <v>204</v>
      </c>
      <c r="P5312" s="389">
        <f t="shared" ref="P5312" si="17145">D5312-D5313</f>
        <v>0</v>
      </c>
      <c r="Q5312" s="399" t="s">
        <v>125</v>
      </c>
      <c r="R5312" s="399">
        <f t="shared" ref="R5312" si="17146">IF(P5312&gt;0,$F$18*F5312/1000,0)</f>
        <v>0</v>
      </c>
      <c r="S5312" s="399" t="s">
        <v>205</v>
      </c>
      <c r="T5312" s="399" t="s">
        <v>125</v>
      </c>
      <c r="U5312" s="401">
        <f t="shared" ref="U5312:U5314" si="17147">0.006165*F5312^2</f>
        <v>1.041885</v>
      </c>
      <c r="V5312" s="399"/>
      <c r="W5312" s="399"/>
      <c r="X5312" s="399" t="s">
        <v>125</v>
      </c>
      <c r="Y5312" s="389">
        <f t="shared" ref="Y5312" si="17148">D5311</f>
        <v>1</v>
      </c>
      <c r="Z5312" s="400" t="s">
        <v>176</v>
      </c>
      <c r="AA5312" s="402">
        <f t="shared" ref="AA5312" si="17149">IF(AA5315=0,(D5312*N5312+P5312*R5312)*U5312*Y5312,0)</f>
        <v>0</v>
      </c>
      <c r="AB5312" s="403"/>
    </row>
    <row r="5313" spans="1:28">
      <c r="A5313" s="384" t="str">
        <f t="shared" ref="A5313:B5313" si="17150">A5305</f>
        <v>Lantai 3</v>
      </c>
      <c r="B5313" s="385">
        <f t="shared" si="17150"/>
        <v>35</v>
      </c>
      <c r="C5313" s="393" t="s">
        <v>206</v>
      </c>
      <c r="D5313" s="398">
        <f>VLOOKUP(D5305,'Detail Balok'!$C$10:$AU$140,7,FALSE)</f>
        <v>3</v>
      </c>
      <c r="E5313" s="388" t="s">
        <v>16</v>
      </c>
      <c r="F5313" s="388">
        <f>VLOOKUP(D5305,'Detail Balok'!$C$10:$AU$140,9,FALSE)</f>
        <v>13</v>
      </c>
      <c r="G5313" s="388"/>
      <c r="H5313" s="395"/>
      <c r="I5313" s="388" t="s">
        <v>203</v>
      </c>
      <c r="J5313" s="399">
        <f t="shared" ref="J5313" si="17151">+D5307/2/1000</f>
        <v>1.75</v>
      </c>
      <c r="K5313" s="400" t="s">
        <v>204</v>
      </c>
      <c r="L5313" s="399"/>
      <c r="M5313" s="399" t="s">
        <v>176</v>
      </c>
      <c r="N5313" s="399">
        <f t="shared" si="17144"/>
        <v>1.75</v>
      </c>
      <c r="O5313" s="399" t="s">
        <v>204</v>
      </c>
      <c r="P5313" s="389">
        <f t="shared" ref="P5313" si="17152">MAX(D5313-D5312,D5313-D5314)</f>
        <v>0</v>
      </c>
      <c r="Q5313" s="399" t="s">
        <v>125</v>
      </c>
      <c r="R5313" s="399">
        <f t="shared" ref="R5313" si="17153">IF(P5313&gt;0,2*(1-2*$F$19-1/2)*D5308/1000,0)</f>
        <v>0</v>
      </c>
      <c r="S5313" s="399" t="s">
        <v>205</v>
      </c>
      <c r="T5313" s="399" t="s">
        <v>125</v>
      </c>
      <c r="U5313" s="401">
        <f t="shared" si="17147"/>
        <v>1.041885</v>
      </c>
      <c r="V5313" s="399"/>
      <c r="W5313" s="399"/>
      <c r="X5313" s="399" t="s">
        <v>125</v>
      </c>
      <c r="Y5313" s="389">
        <f t="shared" ref="Y5313" si="17154">D5311</f>
        <v>1</v>
      </c>
      <c r="Z5313" s="400" t="s">
        <v>176</v>
      </c>
      <c r="AA5313" s="402">
        <f t="shared" ref="AA5313" si="17155">IF(AA5315=0,(D5313*N5313+P5313*R5313)*U5313*Y5313,0)</f>
        <v>0</v>
      </c>
      <c r="AB5313" s="403"/>
    </row>
    <row r="5314" spans="1:28">
      <c r="A5314" s="384" t="str">
        <f t="shared" ref="A5314:B5314" si="17156">A5305</f>
        <v>Lantai 3</v>
      </c>
      <c r="B5314" s="385">
        <f t="shared" si="17156"/>
        <v>35</v>
      </c>
      <c r="C5314" s="393" t="s">
        <v>202</v>
      </c>
      <c r="D5314" s="398">
        <f>VLOOKUP(D5305,'Detail Balok'!$C$10:$AU$140,10,FALSE)</f>
        <v>3</v>
      </c>
      <c r="E5314" s="388" t="s">
        <v>16</v>
      </c>
      <c r="F5314" s="388">
        <f>VLOOKUP(D5305,'Detail Balok'!$C$10:$AU$140,12,FALSE)</f>
        <v>13</v>
      </c>
      <c r="G5314" s="388"/>
      <c r="H5314" s="395"/>
      <c r="I5314" s="388" t="s">
        <v>203</v>
      </c>
      <c r="J5314" s="399">
        <f t="shared" ref="J5314" si="17157">+D5307/4/1000</f>
        <v>0.875</v>
      </c>
      <c r="K5314" s="400" t="s">
        <v>204</v>
      </c>
      <c r="L5314" s="399">
        <f t="shared" ref="L5314" si="17158">MAX(VLOOKUP(F5314,N$6:P$15,3,FALSE)/1000,2/3*D5309/1000)+F$16*F5314/1000</f>
        <v>0.156</v>
      </c>
      <c r="M5314" s="399" t="s">
        <v>176</v>
      </c>
      <c r="N5314" s="399">
        <f t="shared" si="17144"/>
        <v>1.0309999999999999</v>
      </c>
      <c r="O5314" s="399" t="s">
        <v>204</v>
      </c>
      <c r="P5314" s="389">
        <f t="shared" ref="P5314" si="17159">D5314-D5313</f>
        <v>0</v>
      </c>
      <c r="Q5314" s="399" t="s">
        <v>125</v>
      </c>
      <c r="R5314" s="399">
        <f t="shared" ref="R5314" si="17160">IF(P5314&gt;0,$F$18*F5314/1000,0)</f>
        <v>0</v>
      </c>
      <c r="S5314" s="399" t="s">
        <v>205</v>
      </c>
      <c r="T5314" s="399" t="s">
        <v>125</v>
      </c>
      <c r="U5314" s="401">
        <f t="shared" si="17147"/>
        <v>1.041885</v>
      </c>
      <c r="V5314" s="399"/>
      <c r="W5314" s="399"/>
      <c r="X5314" s="399" t="s">
        <v>125</v>
      </c>
      <c r="Y5314" s="389">
        <f t="shared" ref="Y5314" si="17161">D5311</f>
        <v>1</v>
      </c>
      <c r="Z5314" s="400" t="s">
        <v>176</v>
      </c>
      <c r="AA5314" s="402">
        <f t="shared" ref="AA5314" si="17162">IF(AA5315=0,(D5314*N5314+P5314*R5314)*U5314*Y5314,0)</f>
        <v>0</v>
      </c>
      <c r="AB5314" s="403"/>
    </row>
    <row r="5315" spans="1:28">
      <c r="A5315" s="384" t="str">
        <f t="shared" ref="A5315:B5315" si="17163">A5305</f>
        <v>Lantai 3</v>
      </c>
      <c r="B5315" s="385">
        <f t="shared" si="17163"/>
        <v>35</v>
      </c>
      <c r="C5315" s="393"/>
      <c r="D5315" s="398">
        <f t="shared" ref="D5315:D5375" si="17164">IF(AND(D5312=D5313,D5313=D5314,D5312=D5314),D5312,0)</f>
        <v>3</v>
      </c>
      <c r="E5315" s="388" t="s">
        <v>16</v>
      </c>
      <c r="F5315" s="388">
        <f t="shared" ref="F5315:F5375" si="17165">IF(AND(F5312=F5313,F5312=F5314,F5313=F5314),F5312,0)</f>
        <v>13</v>
      </c>
      <c r="G5315" s="388"/>
      <c r="H5315" s="395"/>
      <c r="I5315" s="388"/>
      <c r="J5315" s="396"/>
      <c r="K5315" s="396"/>
      <c r="L5315" s="404" t="s">
        <v>207</v>
      </c>
      <c r="M5315" s="399" t="s">
        <v>176</v>
      </c>
      <c r="N5315" s="399">
        <f t="shared" ref="N5315" si="17166">IF(AND(D5312=D5313,D5312=D5314,D5313=D5314,F5312=F5313,F5312=F5314,F5313=F5314),SUM(N5312:N5314),0)</f>
        <v>3.8119999999999994</v>
      </c>
      <c r="O5315" s="399" t="s">
        <v>204</v>
      </c>
      <c r="P5315" s="389">
        <f t="shared" ref="P5315" si="17167">IF(N5315&gt;12,ROUNDDOWN(N5315/12,0),0)</f>
        <v>0</v>
      </c>
      <c r="Q5315" s="399" t="s">
        <v>125</v>
      </c>
      <c r="R5315" s="399">
        <f t="shared" ref="R5315" si="17168">IF(P5315&gt;0,MAX(VLOOKUP(F5315,$D$6:$G$15,3,FALSE),600),0)/1000</f>
        <v>0</v>
      </c>
      <c r="S5315" s="396"/>
      <c r="T5315" s="396" t="s">
        <v>125</v>
      </c>
      <c r="U5315" s="401">
        <f t="shared" ref="U5315:U5375" si="17169">U5314</f>
        <v>1.041885</v>
      </c>
      <c r="V5315" s="396" t="s">
        <v>125</v>
      </c>
      <c r="W5315" s="399">
        <f t="shared" ref="W5315" si="17170">D5315</f>
        <v>3</v>
      </c>
      <c r="X5315" s="399" t="s">
        <v>125</v>
      </c>
      <c r="Y5315" s="389">
        <f t="shared" ref="Y5315:Y5375" si="17171">Y5314</f>
        <v>1</v>
      </c>
      <c r="Z5315" s="400" t="s">
        <v>176</v>
      </c>
      <c r="AA5315" s="402">
        <f t="shared" ref="AA5315" si="17172">(N5315+P5315*R5315/1000)*U5315*W5315*Y5315</f>
        <v>11.914996859999997</v>
      </c>
      <c r="AB5315" s="390"/>
    </row>
    <row r="5316" spans="1:28">
      <c r="A5316" s="384"/>
      <c r="B5316" s="385"/>
      <c r="C5316" s="393"/>
      <c r="D5316" s="398"/>
      <c r="E5316" s="388"/>
      <c r="F5316" s="388"/>
      <c r="G5316" s="388"/>
      <c r="H5316" s="395"/>
      <c r="I5316" s="388"/>
      <c r="J5316" s="396"/>
      <c r="K5316" s="396"/>
      <c r="L5316" s="404"/>
      <c r="M5316" s="399"/>
      <c r="N5316" s="399"/>
      <c r="O5316" s="396"/>
      <c r="P5316" s="389"/>
      <c r="Q5316" s="396"/>
      <c r="R5316" s="396"/>
      <c r="S5316" s="396"/>
      <c r="T5316" s="396"/>
      <c r="U5316" s="401"/>
      <c r="V5316" s="396"/>
      <c r="W5316" s="399"/>
      <c r="X5316" s="396"/>
      <c r="Y5316" s="389"/>
      <c r="Z5316" s="396"/>
      <c r="AA5316" s="388"/>
      <c r="AB5316" s="390"/>
    </row>
    <row r="5317" spans="1:28">
      <c r="A5317" s="384" t="str">
        <f t="shared" ref="A5317:B5317" si="17173">A5305</f>
        <v>Lantai 3</v>
      </c>
      <c r="B5317" s="385">
        <f t="shared" si="17173"/>
        <v>35</v>
      </c>
      <c r="C5317" s="393" t="s">
        <v>208</v>
      </c>
      <c r="D5317" s="398">
        <f>VLOOKUP(D5305,'Detail Balok'!$C$10:$AU$140,13,FALSE)</f>
        <v>0</v>
      </c>
      <c r="E5317" s="388" t="s">
        <v>16</v>
      </c>
      <c r="F5317" s="388">
        <f>VLOOKUP(D5305,'Detail Balok'!$C$10:$AU$140,15,FALSE)</f>
        <v>8</v>
      </c>
      <c r="G5317" s="388"/>
      <c r="H5317" s="395"/>
      <c r="I5317" s="388"/>
      <c r="J5317" s="399">
        <f t="shared" ref="J5317" si="17174">+D5307/1000</f>
        <v>3.5</v>
      </c>
      <c r="K5317" s="400" t="s">
        <v>204</v>
      </c>
      <c r="L5317" s="399">
        <f t="shared" ref="L5317" si="17175">2*$F$16*F5317/1000</f>
        <v>0.192</v>
      </c>
      <c r="M5317" s="399" t="s">
        <v>176</v>
      </c>
      <c r="N5317" s="399">
        <f t="shared" ref="N5317" si="17176">J5317+L5317</f>
        <v>3.6920000000000002</v>
      </c>
      <c r="O5317" s="399" t="s">
        <v>204</v>
      </c>
      <c r="P5317" s="389">
        <f t="shared" ref="P5317" si="17177">IF(N5317&gt;12,ROUNDDOWN(N5317/12,0),0)</f>
        <v>0</v>
      </c>
      <c r="Q5317" s="399" t="s">
        <v>125</v>
      </c>
      <c r="R5317" s="399">
        <f t="shared" ref="R5317" si="17178">IF(P5317&gt;0,MAX(VLOOKUP(F5317,$D$6:$G$15,3,FALSE),600),0)/1000</f>
        <v>0</v>
      </c>
      <c r="S5317" s="399"/>
      <c r="T5317" s="399" t="s">
        <v>125</v>
      </c>
      <c r="U5317" s="401">
        <f t="shared" ref="U5317" si="17179">0.006165*F5317^2</f>
        <v>0.39456000000000002</v>
      </c>
      <c r="V5317" s="399" t="s">
        <v>125</v>
      </c>
      <c r="W5317" s="399">
        <f t="shared" ref="W5317" si="17180">+D5317</f>
        <v>0</v>
      </c>
      <c r="X5317" s="399" t="s">
        <v>125</v>
      </c>
      <c r="Y5317" s="389">
        <f t="shared" ref="Y5317" si="17181">D5311</f>
        <v>1</v>
      </c>
      <c r="Z5317" s="400" t="s">
        <v>176</v>
      </c>
      <c r="AA5317" s="402">
        <f t="shared" ref="AA5317" si="17182">(N5317+P5317*R5317/1000)*U5317*W5317*Y5317</f>
        <v>0</v>
      </c>
      <c r="AB5317" s="403"/>
    </row>
    <row r="5318" spans="1:28">
      <c r="A5318" s="384"/>
      <c r="B5318" s="385"/>
      <c r="C5318" s="393"/>
      <c r="D5318" s="398"/>
      <c r="E5318" s="388"/>
      <c r="F5318" s="388"/>
      <c r="G5318" s="388"/>
      <c r="H5318" s="395"/>
      <c r="I5318" s="388"/>
      <c r="J5318" s="399"/>
      <c r="K5318" s="400"/>
      <c r="L5318" s="399"/>
      <c r="M5318" s="399"/>
      <c r="N5318" s="399"/>
      <c r="O5318" s="399"/>
      <c r="P5318" s="389"/>
      <c r="Q5318" s="399"/>
      <c r="R5318" s="399"/>
      <c r="S5318" s="399"/>
      <c r="T5318" s="399"/>
      <c r="U5318" s="401"/>
      <c r="V5318" s="399"/>
      <c r="W5318" s="399"/>
      <c r="X5318" s="399"/>
      <c r="Y5318" s="389"/>
      <c r="Z5318" s="400"/>
      <c r="AA5318" s="402"/>
      <c r="AB5318" s="403"/>
    </row>
    <row r="5319" spans="1:28">
      <c r="A5319" s="384"/>
      <c r="B5319" s="385"/>
      <c r="C5319" s="393"/>
      <c r="D5319" s="398"/>
      <c r="E5319" s="388"/>
      <c r="F5319" s="388"/>
      <c r="G5319" s="388"/>
      <c r="H5319" s="395"/>
      <c r="I5319" s="388"/>
      <c r="J5319" s="396"/>
      <c r="K5319" s="396"/>
      <c r="L5319" s="396"/>
      <c r="M5319" s="396"/>
      <c r="N5319" s="396"/>
      <c r="O5319" s="396"/>
      <c r="P5319" s="389"/>
      <c r="Q5319" s="396"/>
      <c r="R5319" s="396"/>
      <c r="S5319" s="396"/>
      <c r="T5319" s="396"/>
      <c r="U5319" s="401"/>
      <c r="V5319" s="396"/>
      <c r="W5319" s="399"/>
      <c r="X5319" s="396"/>
      <c r="Y5319" s="389"/>
      <c r="Z5319" s="396"/>
      <c r="AA5319" s="388"/>
      <c r="AB5319" s="390"/>
    </row>
    <row r="5320" spans="1:28">
      <c r="A5320" s="384" t="str">
        <f t="shared" ref="A5320:B5320" si="17183">A5305</f>
        <v>Lantai 3</v>
      </c>
      <c r="B5320" s="385">
        <f t="shared" si="17183"/>
        <v>35</v>
      </c>
      <c r="C5320" s="393" t="s">
        <v>209</v>
      </c>
      <c r="D5320" s="398">
        <f>VLOOKUP(D5305,'Detail Balok'!$C$10:$AU$140,22,FALSE)</f>
        <v>3</v>
      </c>
      <c r="E5320" s="388" t="s">
        <v>16</v>
      </c>
      <c r="F5320" s="388">
        <f>VLOOKUP(D5305,'Detail Balok'!$C$10:$AU$140,24,FALSE)</f>
        <v>13</v>
      </c>
      <c r="G5320" s="388"/>
      <c r="H5320" s="395"/>
      <c r="I5320" s="388" t="s">
        <v>203</v>
      </c>
      <c r="J5320" s="399">
        <f t="shared" ref="J5320:J5382" si="17184">+J5312</f>
        <v>0.875</v>
      </c>
      <c r="K5320" s="400" t="s">
        <v>204</v>
      </c>
      <c r="L5320" s="399">
        <f t="shared" ref="L5320" si="17185">MAX(VLOOKUP(F5320,N$6:P$15,3,FALSE)/1000,2/3*D5310/1000)+F$16*F5320/1000</f>
        <v>0.156</v>
      </c>
      <c r="M5320" s="399" t="s">
        <v>176</v>
      </c>
      <c r="N5320" s="399">
        <f t="shared" ref="N5320:N5322" si="17186">J5320+L5320</f>
        <v>1.0309999999999999</v>
      </c>
      <c r="O5320" s="399" t="s">
        <v>204</v>
      </c>
      <c r="P5320" s="389">
        <f t="shared" ref="P5320" si="17187">D5320-D5321</f>
        <v>0</v>
      </c>
      <c r="Q5320" s="399" t="s">
        <v>125</v>
      </c>
      <c r="R5320" s="399">
        <f t="shared" ref="R5320" si="17188">IF(P5320&gt;0,$F$18*F5320/1000,0)</f>
        <v>0</v>
      </c>
      <c r="S5320" s="399" t="s">
        <v>205</v>
      </c>
      <c r="T5320" s="399" t="s">
        <v>125</v>
      </c>
      <c r="U5320" s="401">
        <f t="shared" ref="U5320:U5322" si="17189">0.006165*F5320^2</f>
        <v>1.041885</v>
      </c>
      <c r="V5320" s="399"/>
      <c r="W5320" s="399"/>
      <c r="X5320" s="399" t="s">
        <v>125</v>
      </c>
      <c r="Y5320" s="389">
        <f t="shared" ref="Y5320" si="17190">D5311</f>
        <v>1</v>
      </c>
      <c r="Z5320" s="400" t="s">
        <v>176</v>
      </c>
      <c r="AA5320" s="402">
        <f t="shared" ref="AA5320" si="17191">IF(AA5323=0,(D5320*N5320+P5320*R5320)*U5320*Y5320,0)</f>
        <v>0</v>
      </c>
      <c r="AB5320" s="403"/>
    </row>
    <row r="5321" spans="1:28">
      <c r="A5321" s="384" t="str">
        <f t="shared" ref="A5321:B5321" si="17192">A5305</f>
        <v>Lantai 3</v>
      </c>
      <c r="B5321" s="385">
        <f t="shared" si="17192"/>
        <v>35</v>
      </c>
      <c r="C5321" s="393" t="s">
        <v>210</v>
      </c>
      <c r="D5321" s="398">
        <f>VLOOKUP(D5305,'Detail Balok'!$C$10:$AU$140,25,FALSE)</f>
        <v>3</v>
      </c>
      <c r="E5321" s="388" t="s">
        <v>16</v>
      </c>
      <c r="F5321" s="388">
        <f>VLOOKUP(D5305,'Detail Balok'!$C$10:$AU$140,27,FALSE)</f>
        <v>13</v>
      </c>
      <c r="G5321" s="388"/>
      <c r="H5321" s="395"/>
      <c r="I5321" s="388" t="s">
        <v>203</v>
      </c>
      <c r="J5321" s="399">
        <f t="shared" si="17184"/>
        <v>1.75</v>
      </c>
      <c r="K5321" s="400" t="s">
        <v>204</v>
      </c>
      <c r="L5321" s="399"/>
      <c r="M5321" s="399" t="s">
        <v>176</v>
      </c>
      <c r="N5321" s="399">
        <f t="shared" si="17186"/>
        <v>1.75</v>
      </c>
      <c r="O5321" s="399" t="s">
        <v>204</v>
      </c>
      <c r="P5321" s="389">
        <f t="shared" ref="P5321" si="17193">MAX(D5321-D5320,D5321-D5322)</f>
        <v>0</v>
      </c>
      <c r="Q5321" s="399" t="s">
        <v>125</v>
      </c>
      <c r="R5321" s="399">
        <f t="shared" ref="R5321" si="17194">IF(P5321&gt;0,2*(1-2*$F$19-1/2)*D5308/1000,0)</f>
        <v>0</v>
      </c>
      <c r="S5321" s="399" t="s">
        <v>205</v>
      </c>
      <c r="T5321" s="399" t="s">
        <v>125</v>
      </c>
      <c r="U5321" s="401">
        <f t="shared" si="17189"/>
        <v>1.041885</v>
      </c>
      <c r="V5321" s="399"/>
      <c r="W5321" s="399"/>
      <c r="X5321" s="399" t="s">
        <v>125</v>
      </c>
      <c r="Y5321" s="389">
        <f t="shared" ref="Y5321" si="17195">D5311</f>
        <v>1</v>
      </c>
      <c r="Z5321" s="400" t="s">
        <v>176</v>
      </c>
      <c r="AA5321" s="402">
        <f t="shared" ref="AA5321" si="17196">IF(AA5323=0,(D5321*N5321+P5321*R5321)*U5321*Y5321,0)</f>
        <v>0</v>
      </c>
      <c r="AB5321" s="403"/>
    </row>
    <row r="5322" spans="1:28">
      <c r="A5322" s="384" t="str">
        <f t="shared" ref="A5322:B5322" si="17197">A5305</f>
        <v>Lantai 3</v>
      </c>
      <c r="B5322" s="385">
        <f t="shared" si="17197"/>
        <v>35</v>
      </c>
      <c r="C5322" s="393" t="s">
        <v>209</v>
      </c>
      <c r="D5322" s="398">
        <f>VLOOKUP(D5305,'Detail Balok'!$C$10:$AU$140,28,FALSE)</f>
        <v>3</v>
      </c>
      <c r="E5322" s="388" t="s">
        <v>16</v>
      </c>
      <c r="F5322" s="388">
        <f>VLOOKUP(D5305,'Detail Balok'!$C$10:$AU$140,30,FALSE)</f>
        <v>13</v>
      </c>
      <c r="G5322" s="388"/>
      <c r="H5322" s="395"/>
      <c r="I5322" s="388" t="s">
        <v>203</v>
      </c>
      <c r="J5322" s="399">
        <f t="shared" si="17184"/>
        <v>0.875</v>
      </c>
      <c r="K5322" s="400" t="s">
        <v>204</v>
      </c>
      <c r="L5322" s="399">
        <f t="shared" ref="L5322" si="17198">MAX(VLOOKUP(F5322,N$6:P$15,3,FALSE)/1000,2/3*D5310/1000)+F$16*F5322/1000</f>
        <v>0.156</v>
      </c>
      <c r="M5322" s="399" t="s">
        <v>176</v>
      </c>
      <c r="N5322" s="399">
        <f t="shared" si="17186"/>
        <v>1.0309999999999999</v>
      </c>
      <c r="O5322" s="399" t="s">
        <v>204</v>
      </c>
      <c r="P5322" s="389">
        <f t="shared" ref="P5322" si="17199">D5322-D5321</f>
        <v>0</v>
      </c>
      <c r="Q5322" s="399" t="s">
        <v>125</v>
      </c>
      <c r="R5322" s="399">
        <f t="shared" ref="R5322" si="17200">IF(P5322&gt;0,$F$18*F5322/1000,0)</f>
        <v>0</v>
      </c>
      <c r="S5322" s="399" t="s">
        <v>205</v>
      </c>
      <c r="T5322" s="399" t="s">
        <v>125</v>
      </c>
      <c r="U5322" s="401">
        <f t="shared" si="17189"/>
        <v>1.041885</v>
      </c>
      <c r="V5322" s="399"/>
      <c r="W5322" s="399"/>
      <c r="X5322" s="399" t="s">
        <v>125</v>
      </c>
      <c r="Y5322" s="389">
        <f t="shared" ref="Y5322" si="17201">D5311</f>
        <v>1</v>
      </c>
      <c r="Z5322" s="400" t="s">
        <v>176</v>
      </c>
      <c r="AA5322" s="402">
        <f t="shared" ref="AA5322" si="17202">IF(AA5323=0,(D5322*N5322+P5322*R5322)*U5322*Y5322,0)</f>
        <v>0</v>
      </c>
      <c r="AB5322" s="403"/>
    </row>
    <row r="5323" spans="1:28">
      <c r="A5323" s="384" t="str">
        <f t="shared" ref="A5323:B5323" si="17203">A5305</f>
        <v>Lantai 3</v>
      </c>
      <c r="B5323" s="385">
        <f t="shared" si="17203"/>
        <v>35</v>
      </c>
      <c r="C5323" s="393"/>
      <c r="D5323" s="398">
        <f t="shared" ref="D5323:D5383" si="17204">IF(AND(D5320=D5321,D5321=D5322,D5320=D5322),D5320,0)</f>
        <v>3</v>
      </c>
      <c r="E5323" s="388" t="s">
        <v>16</v>
      </c>
      <c r="F5323" s="388">
        <f t="shared" ref="F5323:F5383" si="17205">IF(AND(F5320=F5321,F5320=F5322,F5321=F5322),F5320,0)</f>
        <v>13</v>
      </c>
      <c r="G5323" s="388"/>
      <c r="H5323" s="395"/>
      <c r="I5323" s="388"/>
      <c r="J5323" s="396"/>
      <c r="K5323" s="396"/>
      <c r="L5323" s="404" t="s">
        <v>207</v>
      </c>
      <c r="M5323" s="399" t="s">
        <v>176</v>
      </c>
      <c r="N5323" s="399">
        <f t="shared" ref="N5323" si="17206">IF(AND(D5320=D5321,D5320=D5322,D5321=D5322,F5320=F5321,F5320=F5322,F5321=F5322),SUM(N5320:N5322),0)</f>
        <v>3.8119999999999994</v>
      </c>
      <c r="O5323" s="399" t="s">
        <v>204</v>
      </c>
      <c r="P5323" s="389">
        <f t="shared" ref="P5323" si="17207">IF(N5323&gt;12,ROUNDDOWN(N5323/12,0),0)</f>
        <v>0</v>
      </c>
      <c r="Q5323" s="399" t="s">
        <v>125</v>
      </c>
      <c r="R5323" s="399">
        <f t="shared" ref="R5323" si="17208">IF(P5323&gt;0,MAX(VLOOKUP(F5323,$D$6:$G$15,3,FALSE),600),0)/1000</f>
        <v>0</v>
      </c>
      <c r="S5323" s="396"/>
      <c r="T5323" s="396" t="s">
        <v>125</v>
      </c>
      <c r="U5323" s="401">
        <f t="shared" ref="U5323:U5383" si="17209">U5322</f>
        <v>1.041885</v>
      </c>
      <c r="V5323" s="396" t="s">
        <v>125</v>
      </c>
      <c r="W5323" s="399">
        <f t="shared" ref="W5323" si="17210">D5323</f>
        <v>3</v>
      </c>
      <c r="X5323" s="399" t="s">
        <v>125</v>
      </c>
      <c r="Y5323" s="389">
        <f t="shared" ref="Y5323:Y5383" si="17211">Y5322</f>
        <v>1</v>
      </c>
      <c r="Z5323" s="400" t="s">
        <v>176</v>
      </c>
      <c r="AA5323" s="402">
        <f t="shared" ref="AA5323" si="17212">(N5323+P5323*R5323/1000)*U5323*W5323*Y5323</f>
        <v>11.914996859999997</v>
      </c>
      <c r="AB5323" s="403"/>
    </row>
    <row r="5324" spans="1:28">
      <c r="A5324" s="384"/>
      <c r="B5324" s="385"/>
      <c r="C5324" s="393"/>
      <c r="D5324" s="394"/>
      <c r="E5324" s="388"/>
      <c r="F5324" s="388"/>
      <c r="G5324" s="388"/>
      <c r="H5324" s="395"/>
      <c r="I5324" s="388"/>
      <c r="J5324" s="399"/>
      <c r="K5324" s="396"/>
      <c r="L5324" s="396"/>
      <c r="M5324" s="396"/>
      <c r="N5324" s="396"/>
      <c r="O5324" s="396"/>
      <c r="P5324" s="389"/>
      <c r="Q5324" s="396"/>
      <c r="R5324" s="396"/>
      <c r="S5324" s="396"/>
      <c r="T5324" s="396"/>
      <c r="U5324" s="401"/>
      <c r="V5324" s="396"/>
      <c r="W5324" s="388"/>
      <c r="X5324" s="396"/>
      <c r="Y5324" s="389"/>
      <c r="Z5324" s="396"/>
      <c r="AA5324" s="388"/>
      <c r="AB5324" s="390"/>
    </row>
    <row r="5325" spans="1:28">
      <c r="A5325" s="384" t="str">
        <f t="shared" ref="A5325:B5325" si="17213">A5305</f>
        <v>Lantai 3</v>
      </c>
      <c r="B5325" s="385">
        <f t="shared" si="17213"/>
        <v>35</v>
      </c>
      <c r="C5325" s="393" t="s">
        <v>211</v>
      </c>
      <c r="D5325" s="398">
        <f>VLOOKUP(D5305,'Detail Balok'!$C$10:$AU$140,31,FALSE)</f>
        <v>0</v>
      </c>
      <c r="E5325" s="388" t="s">
        <v>16</v>
      </c>
      <c r="F5325" s="388">
        <f>VLOOKUP(D5305,'Detail Balok'!$C$10:$AU$140,33,FALSE)</f>
        <v>10</v>
      </c>
      <c r="G5325" s="405" t="s">
        <v>157</v>
      </c>
      <c r="H5325" s="395">
        <f>VLOOKUP(D5305,'Detail Balok'!$C$10:$AU$140,35,FALSE)</f>
        <v>100</v>
      </c>
      <c r="I5325" s="388"/>
      <c r="J5325" s="400">
        <f t="shared" ref="J5325" si="17214">(IF(D5325=0,(2*(D5306+G5306))-(F$5*8),IF(D5325=3,(2*(D5306+G5306))-(F$5*8)+(G5306-2*F$5),IF(D5325=4,(2*(D5306+G5306))-(F$5*8)+2*(G5306-2*F$5)))))/1000</f>
        <v>0.88</v>
      </c>
      <c r="K5325" s="400" t="s">
        <v>204</v>
      </c>
      <c r="L5325" s="399">
        <f t="shared" ref="L5325:L5327" si="17215">IF(D5325=0,2*MAX(6*F5325,75),(D5325-1)*2*MAX(6*F5325,75))/1000</f>
        <v>0.15</v>
      </c>
      <c r="M5325" s="399" t="s">
        <v>176</v>
      </c>
      <c r="N5325" s="399">
        <f t="shared" ref="N5325:N5327" si="17216">J5325+L5325</f>
        <v>1.03</v>
      </c>
      <c r="O5325" s="399"/>
      <c r="P5325" s="389"/>
      <c r="Q5325" s="399"/>
      <c r="R5325" s="399"/>
      <c r="S5325" s="399"/>
      <c r="T5325" s="399" t="s">
        <v>125</v>
      </c>
      <c r="U5325" s="401">
        <f t="shared" ref="U5325:U5327" si="17217">0.006165*F5325^2</f>
        <v>0.61650000000000005</v>
      </c>
      <c r="V5325" s="399" t="s">
        <v>125</v>
      </c>
      <c r="W5325" s="399">
        <f t="shared" ref="W5325" si="17218">IF(D5308&gt;4*G5306,ROUND(MAX(D5308/4,2*G5306)/H5325,0)+1,ROUND(D5308/H5325,0)+1)</f>
        <v>10</v>
      </c>
      <c r="X5325" s="399" t="s">
        <v>125</v>
      </c>
      <c r="Y5325" s="389">
        <f t="shared" ref="Y5325" si="17219">D5311</f>
        <v>1</v>
      </c>
      <c r="Z5325" s="400" t="s">
        <v>176</v>
      </c>
      <c r="AA5325" s="402">
        <f t="shared" ref="AA5325:AA5327" si="17220">N5325*U5325*W5325*Y5325</f>
        <v>6.3499500000000006</v>
      </c>
      <c r="AB5325" s="403"/>
    </row>
    <row r="5326" spans="1:28">
      <c r="A5326" s="384" t="str">
        <f t="shared" ref="A5326:B5326" si="17221">A5305</f>
        <v>Lantai 3</v>
      </c>
      <c r="B5326" s="385">
        <f t="shared" si="17221"/>
        <v>35</v>
      </c>
      <c r="C5326" s="393" t="s">
        <v>212</v>
      </c>
      <c r="D5326" s="398">
        <f>VLOOKUP(D5305,'Detail Balok'!$C$10:$AU$140,36,FALSE)</f>
        <v>0</v>
      </c>
      <c r="E5326" s="388" t="s">
        <v>16</v>
      </c>
      <c r="F5326" s="388">
        <f>VLOOKUP(D5305,'Detail Balok'!$C$10:$AU$140,38,FALSE)</f>
        <v>10</v>
      </c>
      <c r="G5326" s="405" t="s">
        <v>157</v>
      </c>
      <c r="H5326" s="395">
        <f>VLOOKUP(D5305,'Detail Balok'!$C$10:$AU$140,40,FALSE)</f>
        <v>200</v>
      </c>
      <c r="I5326" s="388"/>
      <c r="J5326" s="400">
        <f t="shared" ref="J5326" si="17222">(IF(D5326=0,(2*(D5306+G5306))-(F$5*8),IF(D5326=3,(2*(D5306+G5306))-(F$5*8)+(G5306-2*F$5),IF(D5326=4,(2*(D5306+G5306))-(F$5*8)+2*(G5306-2*F$5)))))/1000</f>
        <v>0.88</v>
      </c>
      <c r="K5326" s="400" t="s">
        <v>204</v>
      </c>
      <c r="L5326" s="399">
        <f t="shared" si="17215"/>
        <v>0.15</v>
      </c>
      <c r="M5326" s="399" t="s">
        <v>176</v>
      </c>
      <c r="N5326" s="399">
        <f t="shared" si="17216"/>
        <v>1.03</v>
      </c>
      <c r="O5326" s="399"/>
      <c r="P5326" s="389"/>
      <c r="Q5326" s="399"/>
      <c r="R5326" s="399"/>
      <c r="S5326" s="399"/>
      <c r="T5326" s="399" t="s">
        <v>125</v>
      </c>
      <c r="U5326" s="401">
        <f t="shared" si="17217"/>
        <v>0.61650000000000005</v>
      </c>
      <c r="V5326" s="399" t="s">
        <v>125</v>
      </c>
      <c r="W5326" s="399">
        <f t="shared" ref="W5326" si="17223">IF(D5308-MAX(D5308/4,2*G5306)*2&gt;0,ROUND((D5308-MAX(D5308/4,2*G5306)*2)/H5326,0),0)</f>
        <v>9</v>
      </c>
      <c r="X5326" s="399" t="s">
        <v>125</v>
      </c>
      <c r="Y5326" s="389">
        <f t="shared" ref="Y5326" si="17224">D5311</f>
        <v>1</v>
      </c>
      <c r="Z5326" s="400" t="s">
        <v>176</v>
      </c>
      <c r="AA5326" s="402">
        <f t="shared" si="17220"/>
        <v>5.7149550000000007</v>
      </c>
      <c r="AB5326" s="403"/>
    </row>
    <row r="5327" spans="1:28">
      <c r="A5327" s="384" t="str">
        <f t="shared" ref="A5327:B5327" si="17225">A5305</f>
        <v>Lantai 3</v>
      </c>
      <c r="B5327" s="385">
        <f t="shared" si="17225"/>
        <v>35</v>
      </c>
      <c r="C5327" s="393" t="s">
        <v>211</v>
      </c>
      <c r="D5327" s="398">
        <f>VLOOKUP(D5305,'Detail Balok'!$C$10:$AU$140,41,FALSE)</f>
        <v>0</v>
      </c>
      <c r="E5327" s="388" t="s">
        <v>16</v>
      </c>
      <c r="F5327" s="388">
        <f>VLOOKUP(D5305,'Detail Balok'!$C$10:$AU$140,43,FALSE)</f>
        <v>10</v>
      </c>
      <c r="G5327" s="405" t="s">
        <v>157</v>
      </c>
      <c r="H5327" s="395">
        <f>VLOOKUP(D5305,'Detail Balok'!$C$10:$AU$140,45,FALSE)</f>
        <v>100</v>
      </c>
      <c r="I5327" s="388"/>
      <c r="J5327" s="400">
        <f t="shared" ref="J5327" si="17226">(IF(D5327=0,(2*(D5306+G5306))-(F$5*8),IF(D5327=3,(2*(D5306+G5306))-(F$5*8)+(G5306-2*F$5),IF(D5327=4,(2*(D5306+G5306))-(F$5*8)+2*(G5306-2*F$5)))))/1000</f>
        <v>0.88</v>
      </c>
      <c r="K5327" s="400" t="s">
        <v>204</v>
      </c>
      <c r="L5327" s="399">
        <f t="shared" si="17215"/>
        <v>0.15</v>
      </c>
      <c r="M5327" s="399" t="s">
        <v>176</v>
      </c>
      <c r="N5327" s="399">
        <f t="shared" si="17216"/>
        <v>1.03</v>
      </c>
      <c r="O5327" s="399"/>
      <c r="P5327" s="389"/>
      <c r="Q5327" s="399"/>
      <c r="R5327" s="399"/>
      <c r="S5327" s="399"/>
      <c r="T5327" s="399" t="s">
        <v>125</v>
      </c>
      <c r="U5327" s="401">
        <f t="shared" si="17217"/>
        <v>0.61650000000000005</v>
      </c>
      <c r="V5327" s="399" t="s">
        <v>125</v>
      </c>
      <c r="W5327" s="399">
        <f t="shared" ref="W5327" si="17227">IF(D5308&gt;4*G5306,ROUND(MAX(D5308/4,2*G5306)/H5327,0)+1,0)</f>
        <v>10</v>
      </c>
      <c r="X5327" s="399" t="s">
        <v>125</v>
      </c>
      <c r="Y5327" s="389">
        <f t="shared" ref="Y5327" si="17228">D5311</f>
        <v>1</v>
      </c>
      <c r="Z5327" s="400" t="s">
        <v>176</v>
      </c>
      <c r="AA5327" s="402">
        <f t="shared" si="17220"/>
        <v>6.3499500000000006</v>
      </c>
      <c r="AB5327" s="403"/>
    </row>
    <row r="5328" spans="1:28">
      <c r="A5328" s="384"/>
      <c r="B5328" s="385"/>
      <c r="C5328" s="393"/>
      <c r="D5328" s="394"/>
      <c r="E5328" s="388"/>
      <c r="F5328" s="388"/>
      <c r="G5328" s="388"/>
      <c r="H5328" s="395"/>
      <c r="I5328" s="388"/>
      <c r="J5328" s="399"/>
      <c r="K5328" s="396"/>
      <c r="L5328" s="396"/>
      <c r="M5328" s="396"/>
      <c r="N5328" s="396"/>
      <c r="O5328" s="396"/>
      <c r="P5328" s="389"/>
      <c r="Q5328" s="396"/>
      <c r="R5328" s="396"/>
      <c r="S5328" s="396"/>
      <c r="T5328" s="396"/>
      <c r="U5328" s="401"/>
      <c r="V5328" s="396"/>
      <c r="W5328" s="388"/>
      <c r="X5328" s="396"/>
      <c r="Y5328" s="389"/>
      <c r="Z5328" s="396"/>
      <c r="AA5328" s="388"/>
      <c r="AB5328" s="390"/>
    </row>
    <row r="5329" spans="1:28">
      <c r="A5329" s="384" t="str">
        <f t="shared" ref="A5329:B5329" si="17229">A5305</f>
        <v>Lantai 3</v>
      </c>
      <c r="B5329" s="385">
        <f t="shared" si="17229"/>
        <v>35</v>
      </c>
      <c r="C5329" s="393" t="s">
        <v>213</v>
      </c>
      <c r="D5329" s="398">
        <f>VLOOKUP(D5305,'Detail Balok'!$C$10:$BJ$140,46,FALSE)</f>
        <v>0</v>
      </c>
      <c r="E5329" s="388" t="s">
        <v>16</v>
      </c>
      <c r="F5329" s="388">
        <f>VLOOKUP(D5305,'Detail Balok'!$C$10:$BJ$140,48,FALSE)</f>
        <v>0</v>
      </c>
      <c r="G5329" s="405" t="s">
        <v>157</v>
      </c>
      <c r="H5329" s="395">
        <f>VLOOKUP(D5305,'Detail Balok'!$C$10:$BJ$140,50,FALSE)</f>
        <v>100</v>
      </c>
      <c r="I5329" s="388"/>
      <c r="J5329" s="399">
        <f t="shared" ref="J5329" si="17230">(D5306-2*F$5)/1000</f>
        <v>0.12</v>
      </c>
      <c r="K5329" s="400" t="s">
        <v>204</v>
      </c>
      <c r="L5329" s="399">
        <f t="shared" ref="L5329:L5331" si="17231">IF(D5329=0,2*MAX(6*F5329,75),(D5329-1)*2*MAX(6*F5329,75))/1000</f>
        <v>0.15</v>
      </c>
      <c r="M5329" s="399" t="s">
        <v>176</v>
      </c>
      <c r="N5329" s="399">
        <f t="shared" ref="N5329:N5331" si="17232">J5329+L5329</f>
        <v>0.27</v>
      </c>
      <c r="O5329" s="399"/>
      <c r="P5329" s="399"/>
      <c r="Q5329" s="399"/>
      <c r="R5329" s="399"/>
      <c r="S5329" s="399"/>
      <c r="T5329" s="399" t="s">
        <v>125</v>
      </c>
      <c r="U5329" s="401">
        <f t="shared" ref="U5329:U5331" si="17233">0.006165*F5329^2</f>
        <v>0</v>
      </c>
      <c r="V5329" s="399" t="s">
        <v>125</v>
      </c>
      <c r="W5329" s="399">
        <f t="shared" ref="W5329:W5391" si="17234">W5325</f>
        <v>10</v>
      </c>
      <c r="X5329" s="399" t="s">
        <v>125</v>
      </c>
      <c r="Y5329" s="389">
        <f t="shared" ref="Y5329" si="17235">D5315</f>
        <v>3</v>
      </c>
      <c r="Z5329" s="400" t="s">
        <v>176</v>
      </c>
      <c r="AA5329" s="402">
        <f t="shared" ref="AA5329:AA5331" si="17236">N5329*U5329*W5329*Y5329</f>
        <v>0</v>
      </c>
      <c r="AB5329" s="403"/>
    </row>
    <row r="5330" spans="1:28">
      <c r="A5330" s="384" t="str">
        <f t="shared" ref="A5330:B5330" si="17237">A5305</f>
        <v>Lantai 3</v>
      </c>
      <c r="B5330" s="385">
        <f t="shared" si="17237"/>
        <v>35</v>
      </c>
      <c r="C5330" s="393" t="s">
        <v>214</v>
      </c>
      <c r="D5330" s="398">
        <f>VLOOKUP(D5305,'Detail Balok'!$C$10:$BJ$140,51,FALSE)</f>
        <v>0</v>
      </c>
      <c r="E5330" s="388" t="s">
        <v>16</v>
      </c>
      <c r="F5330" s="388">
        <f>VLOOKUP(D5305,'Detail Balok'!$C$10:$BJ$140,53,FALSE)</f>
        <v>0</v>
      </c>
      <c r="G5330" s="405" t="s">
        <v>157</v>
      </c>
      <c r="H5330" s="395">
        <f>VLOOKUP(D5305,'Detail Balok'!$C$10:$BJ$140,55,FALSE)</f>
        <v>100</v>
      </c>
      <c r="I5330" s="388"/>
      <c r="J5330" s="399">
        <f t="shared" ref="J5330" si="17238">(D5306-2*F$5)/1000</f>
        <v>0.12</v>
      </c>
      <c r="K5330" s="400" t="s">
        <v>204</v>
      </c>
      <c r="L5330" s="399">
        <f t="shared" si="17231"/>
        <v>0.15</v>
      </c>
      <c r="M5330" s="399" t="s">
        <v>176</v>
      </c>
      <c r="N5330" s="399">
        <f t="shared" si="17232"/>
        <v>0.27</v>
      </c>
      <c r="O5330" s="399"/>
      <c r="P5330" s="399"/>
      <c r="Q5330" s="399"/>
      <c r="R5330" s="399"/>
      <c r="S5330" s="399"/>
      <c r="T5330" s="399" t="s">
        <v>125</v>
      </c>
      <c r="U5330" s="401">
        <f t="shared" si="17233"/>
        <v>0</v>
      </c>
      <c r="V5330" s="399" t="s">
        <v>125</v>
      </c>
      <c r="W5330" s="399">
        <f t="shared" si="17234"/>
        <v>9</v>
      </c>
      <c r="X5330" s="399" t="s">
        <v>125</v>
      </c>
      <c r="Y5330" s="389">
        <f t="shared" ref="Y5330" si="17239">D5315</f>
        <v>3</v>
      </c>
      <c r="Z5330" s="400" t="s">
        <v>176</v>
      </c>
      <c r="AA5330" s="402">
        <f t="shared" si="17236"/>
        <v>0</v>
      </c>
      <c r="AB5330" s="403"/>
    </row>
    <row r="5331" spans="1:28">
      <c r="A5331" s="384" t="str">
        <f t="shared" ref="A5331:B5331" si="17240">A5305</f>
        <v>Lantai 3</v>
      </c>
      <c r="B5331" s="385">
        <f t="shared" si="17240"/>
        <v>35</v>
      </c>
      <c r="C5331" s="393" t="s">
        <v>213</v>
      </c>
      <c r="D5331" s="398">
        <f>VLOOKUP(D5305,'Detail Balok'!$C$10:$BJ$140,56,FALSE)</f>
        <v>0</v>
      </c>
      <c r="E5331" s="388" t="s">
        <v>16</v>
      </c>
      <c r="F5331" s="388">
        <f>VLOOKUP(D5305,'Detail Balok'!$C$10:$BJ$140,58,FALSE)</f>
        <v>0</v>
      </c>
      <c r="G5331" s="405" t="s">
        <v>157</v>
      </c>
      <c r="H5331" s="395">
        <f>VLOOKUP(D5305,'Detail Balok'!$C$10:$BJ$140,60,FALSE)</f>
        <v>100</v>
      </c>
      <c r="I5331" s="388"/>
      <c r="J5331" s="399">
        <f t="shared" ref="J5331" si="17241">(D5306-2*F$5)/1000</f>
        <v>0.12</v>
      </c>
      <c r="K5331" s="400" t="s">
        <v>204</v>
      </c>
      <c r="L5331" s="399">
        <f t="shared" si="17231"/>
        <v>0.15</v>
      </c>
      <c r="M5331" s="399" t="s">
        <v>176</v>
      </c>
      <c r="N5331" s="399">
        <f t="shared" si="17232"/>
        <v>0.27</v>
      </c>
      <c r="O5331" s="399"/>
      <c r="P5331" s="399"/>
      <c r="Q5331" s="399"/>
      <c r="R5331" s="399"/>
      <c r="S5331" s="399"/>
      <c r="T5331" s="399" t="s">
        <v>125</v>
      </c>
      <c r="U5331" s="401">
        <f t="shared" si="17233"/>
        <v>0</v>
      </c>
      <c r="V5331" s="399" t="s">
        <v>125</v>
      </c>
      <c r="W5331" s="399">
        <f t="shared" si="17234"/>
        <v>10</v>
      </c>
      <c r="X5331" s="399" t="s">
        <v>125</v>
      </c>
      <c r="Y5331" s="389">
        <f t="shared" ref="Y5331" si="17242">D5315</f>
        <v>3</v>
      </c>
      <c r="Z5331" s="400" t="s">
        <v>176</v>
      </c>
      <c r="AA5331" s="402">
        <f t="shared" si="17236"/>
        <v>0</v>
      </c>
      <c r="AB5331" s="403"/>
    </row>
    <row r="5332" spans="1:28">
      <c r="A5332" s="391"/>
      <c r="B5332" s="392"/>
      <c r="C5332" s="392"/>
      <c r="D5332" s="394"/>
      <c r="E5332" s="388"/>
      <c r="F5332" s="388"/>
      <c r="G5332" s="388"/>
      <c r="H5332" s="395"/>
      <c r="I5332" s="388"/>
      <c r="J5332" s="402"/>
      <c r="K5332" s="388"/>
      <c r="L5332" s="388"/>
      <c r="M5332" s="388"/>
      <c r="N5332" s="388"/>
      <c r="O5332" s="388"/>
      <c r="P5332" s="388"/>
      <c r="Q5332" s="388"/>
      <c r="R5332" s="388"/>
      <c r="S5332" s="388"/>
      <c r="T5332" s="388"/>
      <c r="U5332" s="388"/>
      <c r="V5332" s="388"/>
      <c r="W5332" s="388"/>
      <c r="X5332" s="388"/>
      <c r="Y5332" s="389"/>
      <c r="Z5332" s="388"/>
      <c r="AA5332" s="402"/>
      <c r="AB5332" s="403"/>
    </row>
    <row r="5333" spans="1:28" ht="15.75" thickBot="1">
      <c r="A5333" s="406"/>
      <c r="B5333" s="407"/>
      <c r="C5333" s="407"/>
      <c r="D5333" s="408"/>
      <c r="E5333" s="409"/>
      <c r="F5333" s="409"/>
      <c r="G5333" s="409"/>
      <c r="H5333" s="410"/>
      <c r="I5333" s="409"/>
      <c r="J5333" s="409"/>
      <c r="K5333" s="409"/>
      <c r="L5333" s="409"/>
      <c r="M5333" s="409"/>
      <c r="N5333" s="409"/>
      <c r="O5333" s="409"/>
      <c r="P5333" s="409"/>
      <c r="Q5333" s="409"/>
      <c r="R5333" s="409"/>
      <c r="S5333" s="409"/>
      <c r="T5333" s="409"/>
      <c r="U5333" s="409"/>
      <c r="V5333" s="409"/>
      <c r="W5333" s="409"/>
      <c r="X5333" s="409"/>
      <c r="Y5333" s="411"/>
      <c r="Z5333" s="409"/>
      <c r="AA5333" s="412"/>
      <c r="AB5333" s="413"/>
    </row>
    <row r="5334" spans="1:28">
      <c r="A5334" s="377"/>
      <c r="B5334" s="378"/>
      <c r="C5334" s="378"/>
      <c r="D5334" s="379"/>
      <c r="E5334" s="380"/>
      <c r="F5334" s="380"/>
      <c r="G5334" s="380"/>
      <c r="H5334" s="381"/>
      <c r="I5334" s="380"/>
      <c r="J5334" s="380"/>
      <c r="K5334" s="380"/>
      <c r="L5334" s="380"/>
      <c r="M5334" s="380"/>
      <c r="N5334" s="380"/>
      <c r="O5334" s="380"/>
      <c r="P5334" s="380"/>
      <c r="Q5334" s="380"/>
      <c r="R5334" s="380"/>
      <c r="S5334" s="380"/>
      <c r="T5334" s="380"/>
      <c r="U5334" s="380"/>
      <c r="V5334" s="380"/>
      <c r="W5334" s="380"/>
      <c r="X5334" s="380"/>
      <c r="Y5334" s="382"/>
      <c r="Z5334" s="380"/>
      <c r="AA5334" s="380"/>
      <c r="AB5334" s="383"/>
    </row>
    <row r="5335" spans="1:28">
      <c r="A5335" s="384" t="str">
        <f t="shared" ref="A5335:A5395" si="17243">A5305</f>
        <v>Lantai 3</v>
      </c>
      <c r="B5335" s="385">
        <f t="shared" ref="B5335:B5395" si="17244">B5305+1</f>
        <v>36</v>
      </c>
      <c r="C5335" s="386" t="str">
        <f t="shared" ref="C5335" si="17245">CONCATENATE(A5335," no. ",B5335)</f>
        <v>Lantai 3 no. 36</v>
      </c>
      <c r="D5335" s="2562" t="str">
        <f>VLOOKUP(C5335,'Data Panjang Balok'!$C$9:$N$254,2,FALSE)</f>
        <v>CL24-1</v>
      </c>
      <c r="E5335" s="2576"/>
      <c r="F5335" s="2576"/>
      <c r="G5335" s="2576"/>
      <c r="H5335" s="2577"/>
      <c r="I5335" s="387"/>
      <c r="J5335" s="388"/>
      <c r="K5335" s="388"/>
      <c r="L5335" s="388"/>
      <c r="M5335" s="388"/>
      <c r="N5335" s="388"/>
      <c r="O5335" s="388"/>
      <c r="P5335" s="388"/>
      <c r="Q5335" s="388"/>
      <c r="R5335" s="388"/>
      <c r="S5335" s="388"/>
      <c r="T5335" s="388"/>
      <c r="U5335" s="388"/>
      <c r="V5335" s="388"/>
      <c r="W5335" s="388"/>
      <c r="X5335" s="388"/>
      <c r="Y5335" s="389"/>
      <c r="Z5335" s="388"/>
      <c r="AA5335" s="388"/>
      <c r="AB5335" s="390"/>
    </row>
    <row r="5336" spans="1:28">
      <c r="A5336" s="391"/>
      <c r="B5336" s="392"/>
      <c r="C5336" s="393" t="s">
        <v>118</v>
      </c>
      <c r="D5336" s="2578">
        <f>VLOOKUP(D5335,'Detail Balok'!$C$10:$AU$140,2,FALSE)</f>
        <v>200</v>
      </c>
      <c r="E5336" s="2579"/>
      <c r="F5336" s="388" t="s">
        <v>125</v>
      </c>
      <c r="G5336" s="2579">
        <f>VLOOKUP(D5335,'Detail Balok'!$C$10:$AU$140,3,FALSE)</f>
        <v>400</v>
      </c>
      <c r="H5336" s="2580"/>
      <c r="I5336" s="388"/>
      <c r="J5336" s="396"/>
      <c r="K5336" s="396"/>
      <c r="L5336" s="396"/>
      <c r="M5336" s="396"/>
      <c r="N5336" s="396"/>
      <c r="O5336" s="396"/>
      <c r="P5336" s="396"/>
      <c r="Q5336" s="396"/>
      <c r="R5336" s="396"/>
      <c r="S5336" s="396"/>
      <c r="T5336" s="396"/>
      <c r="U5336" s="388"/>
      <c r="V5336" s="396"/>
      <c r="W5336" s="388"/>
      <c r="X5336" s="396"/>
      <c r="Y5336" s="389"/>
      <c r="Z5336" s="396"/>
      <c r="AA5336" s="388"/>
      <c r="AB5336" s="390"/>
    </row>
    <row r="5337" spans="1:28">
      <c r="A5337" s="391"/>
      <c r="B5337" s="392"/>
      <c r="C5337" s="393" t="s">
        <v>198</v>
      </c>
      <c r="D5337" s="2562">
        <f>VLOOKUP(C5335,'Data Panjang Balok'!$C$9:$N$254,4,FALSE)</f>
        <v>1250</v>
      </c>
      <c r="E5337" s="2563"/>
      <c r="F5337" s="2563"/>
      <c r="G5337" s="2563"/>
      <c r="H5337" s="2564"/>
      <c r="I5337" s="397"/>
      <c r="J5337" s="396"/>
      <c r="K5337" s="396"/>
      <c r="L5337" s="396"/>
      <c r="M5337" s="396"/>
      <c r="N5337" s="396"/>
      <c r="O5337" s="396"/>
      <c r="P5337" s="396"/>
      <c r="Q5337" s="396"/>
      <c r="R5337" s="396"/>
      <c r="S5337" s="396"/>
      <c r="T5337" s="396"/>
      <c r="U5337" s="388"/>
      <c r="V5337" s="396"/>
      <c r="W5337" s="388"/>
      <c r="X5337" s="396"/>
      <c r="Y5337" s="389"/>
      <c r="Z5337" s="396"/>
      <c r="AA5337" s="388"/>
      <c r="AB5337" s="390"/>
    </row>
    <row r="5338" spans="1:28">
      <c r="A5338" s="391"/>
      <c r="B5338" s="392"/>
      <c r="C5338" s="393" t="s">
        <v>199</v>
      </c>
      <c r="D5338" s="2562">
        <f>VLOOKUP(C5335,'Data Panjang Balok'!$C$9:$N$254,7,FALSE)</f>
        <v>1250</v>
      </c>
      <c r="E5338" s="2563"/>
      <c r="F5338" s="2563"/>
      <c r="G5338" s="2563"/>
      <c r="H5338" s="2564"/>
      <c r="I5338" s="397"/>
      <c r="J5338" s="396"/>
      <c r="K5338" s="396"/>
      <c r="L5338" s="396"/>
      <c r="M5338" s="396"/>
      <c r="N5338" s="396"/>
      <c r="O5338" s="396"/>
      <c r="P5338" s="396"/>
      <c r="Q5338" s="396"/>
      <c r="R5338" s="396"/>
      <c r="S5338" s="396"/>
      <c r="T5338" s="396"/>
      <c r="U5338" s="388"/>
      <c r="V5338" s="396"/>
      <c r="W5338" s="388"/>
      <c r="X5338" s="396"/>
      <c r="Y5338" s="389"/>
      <c r="Z5338" s="396"/>
      <c r="AA5338" s="388"/>
      <c r="AB5338" s="390"/>
    </row>
    <row r="5339" spans="1:28">
      <c r="A5339" s="391"/>
      <c r="B5339" s="392"/>
      <c r="C5339" s="393" t="s">
        <v>200</v>
      </c>
      <c r="D5339" s="2562">
        <f>VLOOKUP(C5335,'Data Panjang Balok'!$C$9:$N$254,9,FALSE)</f>
        <v>0</v>
      </c>
      <c r="E5339" s="2563"/>
      <c r="F5339" s="2563"/>
      <c r="G5339" s="2563"/>
      <c r="H5339" s="2564"/>
      <c r="I5339" s="397"/>
      <c r="J5339" s="396"/>
      <c r="K5339" s="396"/>
      <c r="L5339" s="396"/>
      <c r="M5339" s="396"/>
      <c r="N5339" s="396"/>
      <c r="O5339" s="396"/>
      <c r="P5339" s="396"/>
      <c r="Q5339" s="396"/>
      <c r="R5339" s="396"/>
      <c r="S5339" s="396"/>
      <c r="T5339" s="396"/>
      <c r="U5339" s="388"/>
      <c r="V5339" s="396"/>
      <c r="W5339" s="388"/>
      <c r="X5339" s="396"/>
      <c r="Y5339" s="389"/>
      <c r="Z5339" s="396"/>
      <c r="AA5339" s="388"/>
      <c r="AB5339" s="390"/>
    </row>
    <row r="5340" spans="1:28">
      <c r="A5340" s="391"/>
      <c r="B5340" s="392"/>
      <c r="C5340" s="393" t="s">
        <v>201</v>
      </c>
      <c r="D5340" s="2562">
        <f>VLOOKUP(C5335,'Data Panjang Balok'!$C$9:$N$254,10,FALSE)</f>
        <v>0</v>
      </c>
      <c r="E5340" s="2563"/>
      <c r="F5340" s="2563"/>
      <c r="G5340" s="2563"/>
      <c r="H5340" s="2564"/>
      <c r="I5340" s="397"/>
      <c r="J5340" s="396"/>
      <c r="K5340" s="396"/>
      <c r="L5340" s="396"/>
      <c r="M5340" s="396"/>
      <c r="N5340" s="396"/>
      <c r="O5340" s="396"/>
      <c r="P5340" s="396"/>
      <c r="Q5340" s="396"/>
      <c r="R5340" s="396"/>
      <c r="S5340" s="396"/>
      <c r="T5340" s="396"/>
      <c r="U5340" s="388"/>
      <c r="V5340" s="396"/>
      <c r="W5340" s="388"/>
      <c r="X5340" s="396"/>
      <c r="Y5340" s="389"/>
      <c r="Z5340" s="396"/>
      <c r="AA5340" s="388"/>
      <c r="AB5340" s="390"/>
    </row>
    <row r="5341" spans="1:28">
      <c r="A5341" s="391"/>
      <c r="B5341" s="392"/>
      <c r="C5341" s="393" t="s">
        <v>48</v>
      </c>
      <c r="D5341" s="2562">
        <f>VLOOKUP(C5335,'Data Panjang Balok'!$C$9:$N$254,3,FALSE)</f>
        <v>1</v>
      </c>
      <c r="E5341" s="2563"/>
      <c r="F5341" s="2563"/>
      <c r="G5341" s="2563"/>
      <c r="H5341" s="2564"/>
      <c r="I5341" s="397"/>
      <c r="J5341" s="396"/>
      <c r="K5341" s="396"/>
      <c r="L5341" s="396"/>
      <c r="M5341" s="396"/>
      <c r="N5341" s="396"/>
      <c r="O5341" s="396"/>
      <c r="P5341" s="396"/>
      <c r="Q5341" s="396"/>
      <c r="R5341" s="396"/>
      <c r="S5341" s="396"/>
      <c r="T5341" s="396"/>
      <c r="U5341" s="388"/>
      <c r="V5341" s="396"/>
      <c r="W5341" s="388"/>
      <c r="X5341" s="396"/>
      <c r="Y5341" s="389"/>
      <c r="Z5341" s="396"/>
      <c r="AA5341" s="388"/>
      <c r="AB5341" s="390"/>
    </row>
    <row r="5342" spans="1:28">
      <c r="A5342" s="384" t="str">
        <f t="shared" ref="A5342:B5342" si="17246">A5335</f>
        <v>Lantai 3</v>
      </c>
      <c r="B5342" s="385">
        <f t="shared" si="17246"/>
        <v>36</v>
      </c>
      <c r="C5342" s="393" t="s">
        <v>202</v>
      </c>
      <c r="D5342" s="398">
        <f>VLOOKUP(D5335,'Detail Balok'!$C$10:$AU$140,4,FALSE)</f>
        <v>3</v>
      </c>
      <c r="E5342" s="388" t="s">
        <v>16</v>
      </c>
      <c r="F5342" s="388">
        <f>VLOOKUP(D5335,'Detail Balok'!$C$10:$AU$140,6,FALSE)</f>
        <v>16</v>
      </c>
      <c r="G5342" s="388"/>
      <c r="H5342" s="395"/>
      <c r="I5342" s="388" t="s">
        <v>203</v>
      </c>
      <c r="J5342" s="399">
        <f t="shared" ref="J5342" si="17247">+D5337/4/1000</f>
        <v>0.3125</v>
      </c>
      <c r="K5342" s="400" t="s">
        <v>204</v>
      </c>
      <c r="L5342" s="399">
        <f t="shared" ref="L5342" si="17248">MAX(VLOOKUP(F5342,N$6:P$15,3,FALSE)/1000,2/3*D5339/1000)+F$16*F5342/1000</f>
        <v>0.192</v>
      </c>
      <c r="M5342" s="399" t="s">
        <v>176</v>
      </c>
      <c r="N5342" s="399">
        <f t="shared" ref="N5342:N5344" si="17249">J5342+L5342</f>
        <v>0.50449999999999995</v>
      </c>
      <c r="O5342" s="399" t="s">
        <v>204</v>
      </c>
      <c r="P5342" s="389">
        <f t="shared" ref="P5342" si="17250">D5342-D5343</f>
        <v>0</v>
      </c>
      <c r="Q5342" s="399" t="s">
        <v>125</v>
      </c>
      <c r="R5342" s="399">
        <f t="shared" ref="R5342" si="17251">IF(P5342&gt;0,$F$18*F5342/1000,0)</f>
        <v>0</v>
      </c>
      <c r="S5342" s="399" t="s">
        <v>205</v>
      </c>
      <c r="T5342" s="399" t="s">
        <v>125</v>
      </c>
      <c r="U5342" s="401">
        <f t="shared" ref="U5342:U5344" si="17252">0.006165*F5342^2</f>
        <v>1.5782400000000001</v>
      </c>
      <c r="V5342" s="399"/>
      <c r="W5342" s="399"/>
      <c r="X5342" s="399" t="s">
        <v>125</v>
      </c>
      <c r="Y5342" s="389">
        <f t="shared" ref="Y5342" si="17253">D5341</f>
        <v>1</v>
      </c>
      <c r="Z5342" s="400" t="s">
        <v>176</v>
      </c>
      <c r="AA5342" s="402">
        <f t="shared" ref="AA5342" si="17254">IF(AA5345=0,(D5342*N5342+P5342*R5342)*U5342*Y5342,0)</f>
        <v>0</v>
      </c>
      <c r="AB5342" s="403"/>
    </row>
    <row r="5343" spans="1:28">
      <c r="A5343" s="384" t="str">
        <f t="shared" ref="A5343:B5343" si="17255">A5335</f>
        <v>Lantai 3</v>
      </c>
      <c r="B5343" s="385">
        <f t="shared" si="17255"/>
        <v>36</v>
      </c>
      <c r="C5343" s="393" t="s">
        <v>206</v>
      </c>
      <c r="D5343" s="398">
        <f>VLOOKUP(D5335,'Detail Balok'!$C$10:$AU$140,7,FALSE)</f>
        <v>3</v>
      </c>
      <c r="E5343" s="388" t="s">
        <v>16</v>
      </c>
      <c r="F5343" s="388">
        <f>VLOOKUP(D5335,'Detail Balok'!$C$10:$AU$140,9,FALSE)</f>
        <v>16</v>
      </c>
      <c r="G5343" s="388"/>
      <c r="H5343" s="395"/>
      <c r="I5343" s="388" t="s">
        <v>203</v>
      </c>
      <c r="J5343" s="399">
        <f t="shared" ref="J5343" si="17256">+D5337/2/1000</f>
        <v>0.625</v>
      </c>
      <c r="K5343" s="400" t="s">
        <v>204</v>
      </c>
      <c r="L5343" s="399"/>
      <c r="M5343" s="399" t="s">
        <v>176</v>
      </c>
      <c r="N5343" s="399">
        <f t="shared" si="17249"/>
        <v>0.625</v>
      </c>
      <c r="O5343" s="399" t="s">
        <v>204</v>
      </c>
      <c r="P5343" s="389">
        <f t="shared" ref="P5343" si="17257">MAX(D5343-D5342,D5343-D5344)</f>
        <v>0</v>
      </c>
      <c r="Q5343" s="399" t="s">
        <v>125</v>
      </c>
      <c r="R5343" s="399">
        <f t="shared" ref="R5343" si="17258">IF(P5343&gt;0,2*(1-2*$F$19-1/2)*D5338/1000,0)</f>
        <v>0</v>
      </c>
      <c r="S5343" s="399" t="s">
        <v>205</v>
      </c>
      <c r="T5343" s="399" t="s">
        <v>125</v>
      </c>
      <c r="U5343" s="401">
        <f t="shared" si="17252"/>
        <v>1.5782400000000001</v>
      </c>
      <c r="V5343" s="399"/>
      <c r="W5343" s="399"/>
      <c r="X5343" s="399" t="s">
        <v>125</v>
      </c>
      <c r="Y5343" s="389">
        <f t="shared" ref="Y5343" si="17259">D5341</f>
        <v>1</v>
      </c>
      <c r="Z5343" s="400" t="s">
        <v>176</v>
      </c>
      <c r="AA5343" s="402">
        <f t="shared" ref="AA5343" si="17260">IF(AA5345=0,(D5343*N5343+P5343*R5343)*U5343*Y5343,0)</f>
        <v>0</v>
      </c>
      <c r="AB5343" s="403"/>
    </row>
    <row r="5344" spans="1:28">
      <c r="A5344" s="384" t="str">
        <f t="shared" ref="A5344:B5344" si="17261">A5335</f>
        <v>Lantai 3</v>
      </c>
      <c r="B5344" s="385">
        <f t="shared" si="17261"/>
        <v>36</v>
      </c>
      <c r="C5344" s="393" t="s">
        <v>202</v>
      </c>
      <c r="D5344" s="398">
        <f>VLOOKUP(D5335,'Detail Balok'!$C$10:$AU$140,10,FALSE)</f>
        <v>3</v>
      </c>
      <c r="E5344" s="388" t="s">
        <v>16</v>
      </c>
      <c r="F5344" s="388">
        <f>VLOOKUP(D5335,'Detail Balok'!$C$10:$AU$140,12,FALSE)</f>
        <v>16</v>
      </c>
      <c r="G5344" s="388"/>
      <c r="H5344" s="395"/>
      <c r="I5344" s="388" t="s">
        <v>203</v>
      </c>
      <c r="J5344" s="399">
        <f t="shared" ref="J5344" si="17262">+D5337/4/1000</f>
        <v>0.3125</v>
      </c>
      <c r="K5344" s="400" t="s">
        <v>204</v>
      </c>
      <c r="L5344" s="399">
        <f t="shared" ref="L5344" si="17263">MAX(VLOOKUP(F5344,N$6:P$15,3,FALSE)/1000,2/3*D5339/1000)+F$16*F5344/1000</f>
        <v>0.192</v>
      </c>
      <c r="M5344" s="399" t="s">
        <v>176</v>
      </c>
      <c r="N5344" s="399">
        <f t="shared" si="17249"/>
        <v>0.50449999999999995</v>
      </c>
      <c r="O5344" s="399" t="s">
        <v>204</v>
      </c>
      <c r="P5344" s="389">
        <f t="shared" ref="P5344" si="17264">D5344-D5343</f>
        <v>0</v>
      </c>
      <c r="Q5344" s="399" t="s">
        <v>125</v>
      </c>
      <c r="R5344" s="399">
        <f t="shared" ref="R5344" si="17265">IF(P5344&gt;0,$F$18*F5344/1000,0)</f>
        <v>0</v>
      </c>
      <c r="S5344" s="399" t="s">
        <v>205</v>
      </c>
      <c r="T5344" s="399" t="s">
        <v>125</v>
      </c>
      <c r="U5344" s="401">
        <f t="shared" si="17252"/>
        <v>1.5782400000000001</v>
      </c>
      <c r="V5344" s="399"/>
      <c r="W5344" s="399"/>
      <c r="X5344" s="399" t="s">
        <v>125</v>
      </c>
      <c r="Y5344" s="389">
        <f t="shared" ref="Y5344" si="17266">D5341</f>
        <v>1</v>
      </c>
      <c r="Z5344" s="400" t="s">
        <v>176</v>
      </c>
      <c r="AA5344" s="402">
        <f t="shared" ref="AA5344" si="17267">IF(AA5345=0,(D5344*N5344+P5344*R5344)*U5344*Y5344,0)</f>
        <v>0</v>
      </c>
      <c r="AB5344" s="403"/>
    </row>
    <row r="5345" spans="1:28">
      <c r="A5345" s="384" t="str">
        <f t="shared" ref="A5345:B5345" si="17268">A5335</f>
        <v>Lantai 3</v>
      </c>
      <c r="B5345" s="385">
        <f t="shared" si="17268"/>
        <v>36</v>
      </c>
      <c r="C5345" s="393"/>
      <c r="D5345" s="398">
        <f t="shared" si="17164"/>
        <v>3</v>
      </c>
      <c r="E5345" s="388" t="s">
        <v>16</v>
      </c>
      <c r="F5345" s="388">
        <f t="shared" si="17165"/>
        <v>16</v>
      </c>
      <c r="G5345" s="388"/>
      <c r="H5345" s="395"/>
      <c r="I5345" s="388"/>
      <c r="J5345" s="396"/>
      <c r="K5345" s="396"/>
      <c r="L5345" s="404" t="s">
        <v>207</v>
      </c>
      <c r="M5345" s="399" t="s">
        <v>176</v>
      </c>
      <c r="N5345" s="399">
        <f t="shared" ref="N5345" si="17269">IF(AND(D5342=D5343,D5342=D5344,D5343=D5344,F5342=F5343,F5342=F5344,F5343=F5344),SUM(N5342:N5344),0)</f>
        <v>1.6339999999999999</v>
      </c>
      <c r="O5345" s="399" t="s">
        <v>204</v>
      </c>
      <c r="P5345" s="389">
        <f t="shared" ref="P5345" si="17270">IF(N5345&gt;12,ROUNDDOWN(N5345/12,0),0)</f>
        <v>0</v>
      </c>
      <c r="Q5345" s="399" t="s">
        <v>125</v>
      </c>
      <c r="R5345" s="399">
        <f t="shared" ref="R5345" si="17271">IF(P5345&gt;0,MAX(VLOOKUP(F5345,$D$6:$G$15,3,FALSE),600),0)/1000</f>
        <v>0</v>
      </c>
      <c r="S5345" s="396"/>
      <c r="T5345" s="396" t="s">
        <v>125</v>
      </c>
      <c r="U5345" s="401">
        <f t="shared" si="17169"/>
        <v>1.5782400000000001</v>
      </c>
      <c r="V5345" s="396" t="s">
        <v>125</v>
      </c>
      <c r="W5345" s="399">
        <f t="shared" ref="W5345" si="17272">D5345</f>
        <v>3</v>
      </c>
      <c r="X5345" s="399" t="s">
        <v>125</v>
      </c>
      <c r="Y5345" s="389">
        <f t="shared" si="17171"/>
        <v>1</v>
      </c>
      <c r="Z5345" s="400" t="s">
        <v>176</v>
      </c>
      <c r="AA5345" s="402">
        <f t="shared" ref="AA5345" si="17273">(N5345+P5345*R5345/1000)*U5345*W5345*Y5345</f>
        <v>7.7365324800000002</v>
      </c>
      <c r="AB5345" s="390"/>
    </row>
    <row r="5346" spans="1:28">
      <c r="A5346" s="384"/>
      <c r="B5346" s="385"/>
      <c r="C5346" s="393"/>
      <c r="D5346" s="398"/>
      <c r="E5346" s="388"/>
      <c r="F5346" s="388"/>
      <c r="G5346" s="388"/>
      <c r="H5346" s="395"/>
      <c r="I5346" s="388"/>
      <c r="J5346" s="396"/>
      <c r="K5346" s="396"/>
      <c r="L5346" s="404"/>
      <c r="M5346" s="399"/>
      <c r="N5346" s="399"/>
      <c r="O5346" s="396"/>
      <c r="P5346" s="389"/>
      <c r="Q5346" s="396"/>
      <c r="R5346" s="396"/>
      <c r="S5346" s="396"/>
      <c r="T5346" s="396"/>
      <c r="U5346" s="401"/>
      <c r="V5346" s="396"/>
      <c r="W5346" s="399"/>
      <c r="X5346" s="396"/>
      <c r="Y5346" s="389"/>
      <c r="Z5346" s="396"/>
      <c r="AA5346" s="388"/>
      <c r="AB5346" s="390"/>
    </row>
    <row r="5347" spans="1:28">
      <c r="A5347" s="384" t="str">
        <f t="shared" ref="A5347:B5347" si="17274">A5335</f>
        <v>Lantai 3</v>
      </c>
      <c r="B5347" s="385">
        <f t="shared" si="17274"/>
        <v>36</v>
      </c>
      <c r="C5347" s="393" t="s">
        <v>208</v>
      </c>
      <c r="D5347" s="398">
        <f>VLOOKUP(D5335,'Detail Balok'!$C$10:$AU$140,13,FALSE)</f>
        <v>0</v>
      </c>
      <c r="E5347" s="388" t="s">
        <v>16</v>
      </c>
      <c r="F5347" s="388">
        <f>VLOOKUP(D5335,'Detail Balok'!$C$10:$AU$140,15,FALSE)</f>
        <v>8</v>
      </c>
      <c r="G5347" s="388"/>
      <c r="H5347" s="395"/>
      <c r="I5347" s="388"/>
      <c r="J5347" s="399">
        <f t="shared" ref="J5347" si="17275">+D5337/1000</f>
        <v>1.25</v>
      </c>
      <c r="K5347" s="400" t="s">
        <v>204</v>
      </c>
      <c r="L5347" s="399">
        <f t="shared" ref="L5347" si="17276">2*$F$16*F5347/1000</f>
        <v>0.192</v>
      </c>
      <c r="M5347" s="399" t="s">
        <v>176</v>
      </c>
      <c r="N5347" s="399">
        <f t="shared" ref="N5347" si="17277">J5347+L5347</f>
        <v>1.4419999999999999</v>
      </c>
      <c r="O5347" s="399" t="s">
        <v>204</v>
      </c>
      <c r="P5347" s="389">
        <f t="shared" ref="P5347" si="17278">IF(N5347&gt;12,ROUNDDOWN(N5347/12,0),0)</f>
        <v>0</v>
      </c>
      <c r="Q5347" s="399" t="s">
        <v>125</v>
      </c>
      <c r="R5347" s="399">
        <f t="shared" ref="R5347" si="17279">IF(P5347&gt;0,MAX(VLOOKUP(F5347,$D$6:$G$15,3,FALSE),600),0)/1000</f>
        <v>0</v>
      </c>
      <c r="S5347" s="399"/>
      <c r="T5347" s="399" t="s">
        <v>125</v>
      </c>
      <c r="U5347" s="401">
        <f t="shared" ref="U5347" si="17280">0.006165*F5347^2</f>
        <v>0.39456000000000002</v>
      </c>
      <c r="V5347" s="399" t="s">
        <v>125</v>
      </c>
      <c r="W5347" s="399">
        <f t="shared" ref="W5347" si="17281">+D5347</f>
        <v>0</v>
      </c>
      <c r="X5347" s="399" t="s">
        <v>125</v>
      </c>
      <c r="Y5347" s="389">
        <f t="shared" ref="Y5347" si="17282">D5341</f>
        <v>1</v>
      </c>
      <c r="Z5347" s="400" t="s">
        <v>176</v>
      </c>
      <c r="AA5347" s="402">
        <f t="shared" ref="AA5347" si="17283">(N5347+P5347*R5347/1000)*U5347*W5347*Y5347</f>
        <v>0</v>
      </c>
      <c r="AB5347" s="403"/>
    </row>
    <row r="5348" spans="1:28">
      <c r="A5348" s="384"/>
      <c r="B5348" s="385"/>
      <c r="C5348" s="393"/>
      <c r="D5348" s="398"/>
      <c r="E5348" s="388"/>
      <c r="F5348" s="388"/>
      <c r="G5348" s="388"/>
      <c r="H5348" s="395"/>
      <c r="I5348" s="388"/>
      <c r="J5348" s="399"/>
      <c r="K5348" s="400"/>
      <c r="L5348" s="399"/>
      <c r="M5348" s="399"/>
      <c r="N5348" s="399"/>
      <c r="O5348" s="399"/>
      <c r="P5348" s="389"/>
      <c r="Q5348" s="399"/>
      <c r="R5348" s="399"/>
      <c r="S5348" s="399"/>
      <c r="T5348" s="399"/>
      <c r="U5348" s="401"/>
      <c r="V5348" s="399"/>
      <c r="W5348" s="399"/>
      <c r="X5348" s="399"/>
      <c r="Y5348" s="389"/>
      <c r="Z5348" s="400"/>
      <c r="AA5348" s="402"/>
      <c r="AB5348" s="403"/>
    </row>
    <row r="5349" spans="1:28">
      <c r="A5349" s="384"/>
      <c r="B5349" s="385"/>
      <c r="C5349" s="393"/>
      <c r="D5349" s="398"/>
      <c r="E5349" s="388"/>
      <c r="F5349" s="388"/>
      <c r="G5349" s="388"/>
      <c r="H5349" s="395"/>
      <c r="I5349" s="388"/>
      <c r="J5349" s="396"/>
      <c r="K5349" s="396"/>
      <c r="L5349" s="396"/>
      <c r="M5349" s="396"/>
      <c r="N5349" s="396"/>
      <c r="O5349" s="396"/>
      <c r="P5349" s="389"/>
      <c r="Q5349" s="396"/>
      <c r="R5349" s="396"/>
      <c r="S5349" s="396"/>
      <c r="T5349" s="396"/>
      <c r="U5349" s="401"/>
      <c r="V5349" s="396"/>
      <c r="W5349" s="399"/>
      <c r="X5349" s="396"/>
      <c r="Y5349" s="389"/>
      <c r="Z5349" s="396"/>
      <c r="AA5349" s="388"/>
      <c r="AB5349" s="390"/>
    </row>
    <row r="5350" spans="1:28">
      <c r="A5350" s="384" t="str">
        <f t="shared" ref="A5350:B5350" si="17284">A5335</f>
        <v>Lantai 3</v>
      </c>
      <c r="B5350" s="385">
        <f t="shared" si="17284"/>
        <v>36</v>
      </c>
      <c r="C5350" s="393" t="s">
        <v>209</v>
      </c>
      <c r="D5350" s="398">
        <f>VLOOKUP(D5335,'Detail Balok'!$C$10:$AU$140,22,FALSE)</f>
        <v>3</v>
      </c>
      <c r="E5350" s="388" t="s">
        <v>16</v>
      </c>
      <c r="F5350" s="388">
        <f>VLOOKUP(D5335,'Detail Balok'!$C$10:$AU$140,24,FALSE)</f>
        <v>16</v>
      </c>
      <c r="G5350" s="388"/>
      <c r="H5350" s="395"/>
      <c r="I5350" s="388" t="s">
        <v>203</v>
      </c>
      <c r="J5350" s="399">
        <f t="shared" si="17184"/>
        <v>0.3125</v>
      </c>
      <c r="K5350" s="400" t="s">
        <v>204</v>
      </c>
      <c r="L5350" s="399">
        <f t="shared" ref="L5350" si="17285">MAX(VLOOKUP(F5350,N$6:P$15,3,FALSE)/1000,2/3*D5340/1000)+F$16*F5350/1000</f>
        <v>0.192</v>
      </c>
      <c r="M5350" s="399" t="s">
        <v>176</v>
      </c>
      <c r="N5350" s="399">
        <f t="shared" ref="N5350:N5352" si="17286">J5350+L5350</f>
        <v>0.50449999999999995</v>
      </c>
      <c r="O5350" s="399" t="s">
        <v>204</v>
      </c>
      <c r="P5350" s="389">
        <f t="shared" ref="P5350" si="17287">D5350-D5351</f>
        <v>0</v>
      </c>
      <c r="Q5350" s="399" t="s">
        <v>125</v>
      </c>
      <c r="R5350" s="399">
        <f t="shared" ref="R5350" si="17288">IF(P5350&gt;0,$F$18*F5350/1000,0)</f>
        <v>0</v>
      </c>
      <c r="S5350" s="399" t="s">
        <v>205</v>
      </c>
      <c r="T5350" s="399" t="s">
        <v>125</v>
      </c>
      <c r="U5350" s="401">
        <f t="shared" ref="U5350:U5352" si="17289">0.006165*F5350^2</f>
        <v>1.5782400000000001</v>
      </c>
      <c r="V5350" s="399"/>
      <c r="W5350" s="399"/>
      <c r="X5350" s="399" t="s">
        <v>125</v>
      </c>
      <c r="Y5350" s="389">
        <f t="shared" ref="Y5350" si="17290">D5341</f>
        <v>1</v>
      </c>
      <c r="Z5350" s="400" t="s">
        <v>176</v>
      </c>
      <c r="AA5350" s="402">
        <f t="shared" ref="AA5350" si="17291">IF(AA5353=0,(D5350*N5350+P5350*R5350)*U5350*Y5350,0)</f>
        <v>0</v>
      </c>
      <c r="AB5350" s="403"/>
    </row>
    <row r="5351" spans="1:28">
      <c r="A5351" s="384" t="str">
        <f t="shared" ref="A5351:B5351" si="17292">A5335</f>
        <v>Lantai 3</v>
      </c>
      <c r="B5351" s="385">
        <f t="shared" si="17292"/>
        <v>36</v>
      </c>
      <c r="C5351" s="393" t="s">
        <v>210</v>
      </c>
      <c r="D5351" s="398">
        <f>VLOOKUP(D5335,'Detail Balok'!$C$10:$AU$140,25,FALSE)</f>
        <v>3</v>
      </c>
      <c r="E5351" s="388" t="s">
        <v>16</v>
      </c>
      <c r="F5351" s="388">
        <f>VLOOKUP(D5335,'Detail Balok'!$C$10:$AU$140,27,FALSE)</f>
        <v>16</v>
      </c>
      <c r="G5351" s="388"/>
      <c r="H5351" s="395"/>
      <c r="I5351" s="388" t="s">
        <v>203</v>
      </c>
      <c r="J5351" s="399">
        <f t="shared" si="17184"/>
        <v>0.625</v>
      </c>
      <c r="K5351" s="400" t="s">
        <v>204</v>
      </c>
      <c r="L5351" s="399"/>
      <c r="M5351" s="399" t="s">
        <v>176</v>
      </c>
      <c r="N5351" s="399">
        <f t="shared" si="17286"/>
        <v>0.625</v>
      </c>
      <c r="O5351" s="399" t="s">
        <v>204</v>
      </c>
      <c r="P5351" s="389">
        <f t="shared" ref="P5351" si="17293">MAX(D5351-D5350,D5351-D5352)</f>
        <v>0</v>
      </c>
      <c r="Q5351" s="399" t="s">
        <v>125</v>
      </c>
      <c r="R5351" s="399">
        <f t="shared" ref="R5351" si="17294">IF(P5351&gt;0,2*(1-2*$F$19-1/2)*D5338/1000,0)</f>
        <v>0</v>
      </c>
      <c r="S5351" s="399" t="s">
        <v>205</v>
      </c>
      <c r="T5351" s="399" t="s">
        <v>125</v>
      </c>
      <c r="U5351" s="401">
        <f t="shared" si="17289"/>
        <v>1.5782400000000001</v>
      </c>
      <c r="V5351" s="399"/>
      <c r="W5351" s="399"/>
      <c r="X5351" s="399" t="s">
        <v>125</v>
      </c>
      <c r="Y5351" s="389">
        <f t="shared" ref="Y5351" si="17295">D5341</f>
        <v>1</v>
      </c>
      <c r="Z5351" s="400" t="s">
        <v>176</v>
      </c>
      <c r="AA5351" s="402">
        <f t="shared" ref="AA5351" si="17296">IF(AA5353=0,(D5351*N5351+P5351*R5351)*U5351*Y5351,0)</f>
        <v>0</v>
      </c>
      <c r="AB5351" s="403"/>
    </row>
    <row r="5352" spans="1:28">
      <c r="A5352" s="384" t="str">
        <f t="shared" ref="A5352:B5352" si="17297">A5335</f>
        <v>Lantai 3</v>
      </c>
      <c r="B5352" s="385">
        <f t="shared" si="17297"/>
        <v>36</v>
      </c>
      <c r="C5352" s="393" t="s">
        <v>209</v>
      </c>
      <c r="D5352" s="398">
        <f>VLOOKUP(D5335,'Detail Balok'!$C$10:$AU$140,28,FALSE)</f>
        <v>3</v>
      </c>
      <c r="E5352" s="388" t="s">
        <v>16</v>
      </c>
      <c r="F5352" s="388">
        <f>VLOOKUP(D5335,'Detail Balok'!$C$10:$AU$140,30,FALSE)</f>
        <v>16</v>
      </c>
      <c r="G5352" s="388"/>
      <c r="H5352" s="395"/>
      <c r="I5352" s="388" t="s">
        <v>203</v>
      </c>
      <c r="J5352" s="399">
        <f t="shared" si="17184"/>
        <v>0.3125</v>
      </c>
      <c r="K5352" s="400" t="s">
        <v>204</v>
      </c>
      <c r="L5352" s="399">
        <f t="shared" ref="L5352" si="17298">MAX(VLOOKUP(F5352,N$6:P$15,3,FALSE)/1000,2/3*D5340/1000)+F$16*F5352/1000</f>
        <v>0.192</v>
      </c>
      <c r="M5352" s="399" t="s">
        <v>176</v>
      </c>
      <c r="N5352" s="399">
        <f t="shared" si="17286"/>
        <v>0.50449999999999995</v>
      </c>
      <c r="O5352" s="399" t="s">
        <v>204</v>
      </c>
      <c r="P5352" s="389">
        <f t="shared" ref="P5352" si="17299">D5352-D5351</f>
        <v>0</v>
      </c>
      <c r="Q5352" s="399" t="s">
        <v>125</v>
      </c>
      <c r="R5352" s="399">
        <f t="shared" ref="R5352" si="17300">IF(P5352&gt;0,$F$18*F5352/1000,0)</f>
        <v>0</v>
      </c>
      <c r="S5352" s="399" t="s">
        <v>205</v>
      </c>
      <c r="T5352" s="399" t="s">
        <v>125</v>
      </c>
      <c r="U5352" s="401">
        <f t="shared" si="17289"/>
        <v>1.5782400000000001</v>
      </c>
      <c r="V5352" s="399"/>
      <c r="W5352" s="399"/>
      <c r="X5352" s="399" t="s">
        <v>125</v>
      </c>
      <c r="Y5352" s="389">
        <f t="shared" ref="Y5352" si="17301">D5341</f>
        <v>1</v>
      </c>
      <c r="Z5352" s="400" t="s">
        <v>176</v>
      </c>
      <c r="AA5352" s="402">
        <f t="shared" ref="AA5352" si="17302">IF(AA5353=0,(D5352*N5352+P5352*R5352)*U5352*Y5352,0)</f>
        <v>0</v>
      </c>
      <c r="AB5352" s="403"/>
    </row>
    <row r="5353" spans="1:28">
      <c r="A5353" s="384" t="str">
        <f t="shared" ref="A5353:B5353" si="17303">A5335</f>
        <v>Lantai 3</v>
      </c>
      <c r="B5353" s="385">
        <f t="shared" si="17303"/>
        <v>36</v>
      </c>
      <c r="C5353" s="393"/>
      <c r="D5353" s="398">
        <f t="shared" si="17204"/>
        <v>3</v>
      </c>
      <c r="E5353" s="388" t="s">
        <v>16</v>
      </c>
      <c r="F5353" s="388">
        <f t="shared" si="17205"/>
        <v>16</v>
      </c>
      <c r="G5353" s="388"/>
      <c r="H5353" s="395"/>
      <c r="I5353" s="388"/>
      <c r="J5353" s="396"/>
      <c r="K5353" s="396"/>
      <c r="L5353" s="404" t="s">
        <v>207</v>
      </c>
      <c r="M5353" s="399" t="s">
        <v>176</v>
      </c>
      <c r="N5353" s="399">
        <f t="shared" ref="N5353" si="17304">IF(AND(D5350=D5351,D5350=D5352,D5351=D5352,F5350=F5351,F5350=F5352,F5351=F5352),SUM(N5350:N5352),0)</f>
        <v>1.6339999999999999</v>
      </c>
      <c r="O5353" s="399" t="s">
        <v>204</v>
      </c>
      <c r="P5353" s="389">
        <f t="shared" ref="P5353" si="17305">IF(N5353&gt;12,ROUNDDOWN(N5353/12,0),0)</f>
        <v>0</v>
      </c>
      <c r="Q5353" s="399" t="s">
        <v>125</v>
      </c>
      <c r="R5353" s="399">
        <f t="shared" ref="R5353" si="17306">IF(P5353&gt;0,MAX(VLOOKUP(F5353,$D$6:$G$15,3,FALSE),600),0)/1000</f>
        <v>0</v>
      </c>
      <c r="S5353" s="396"/>
      <c r="T5353" s="396" t="s">
        <v>125</v>
      </c>
      <c r="U5353" s="401">
        <f t="shared" si="17209"/>
        <v>1.5782400000000001</v>
      </c>
      <c r="V5353" s="396" t="s">
        <v>125</v>
      </c>
      <c r="W5353" s="399">
        <f t="shared" ref="W5353" si="17307">D5353</f>
        <v>3</v>
      </c>
      <c r="X5353" s="399" t="s">
        <v>125</v>
      </c>
      <c r="Y5353" s="389">
        <f t="shared" si="17211"/>
        <v>1</v>
      </c>
      <c r="Z5353" s="400" t="s">
        <v>176</v>
      </c>
      <c r="AA5353" s="402">
        <f t="shared" ref="AA5353" si="17308">(N5353+P5353*R5353/1000)*U5353*W5353*Y5353</f>
        <v>7.7365324800000002</v>
      </c>
      <c r="AB5353" s="403"/>
    </row>
    <row r="5354" spans="1:28">
      <c r="A5354" s="384"/>
      <c r="B5354" s="385"/>
      <c r="C5354" s="393"/>
      <c r="D5354" s="394"/>
      <c r="E5354" s="388"/>
      <c r="F5354" s="388"/>
      <c r="G5354" s="388"/>
      <c r="H5354" s="395"/>
      <c r="I5354" s="388"/>
      <c r="J5354" s="399"/>
      <c r="K5354" s="396"/>
      <c r="L5354" s="396"/>
      <c r="M5354" s="396"/>
      <c r="N5354" s="396"/>
      <c r="O5354" s="396"/>
      <c r="P5354" s="389"/>
      <c r="Q5354" s="396"/>
      <c r="R5354" s="396"/>
      <c r="S5354" s="396"/>
      <c r="T5354" s="396"/>
      <c r="U5354" s="401"/>
      <c r="V5354" s="396"/>
      <c r="W5354" s="388"/>
      <c r="X5354" s="396"/>
      <c r="Y5354" s="389"/>
      <c r="Z5354" s="396"/>
      <c r="AA5354" s="388"/>
      <c r="AB5354" s="390"/>
    </row>
    <row r="5355" spans="1:28">
      <c r="A5355" s="384" t="str">
        <f t="shared" ref="A5355:B5355" si="17309">A5335</f>
        <v>Lantai 3</v>
      </c>
      <c r="B5355" s="385">
        <f t="shared" si="17309"/>
        <v>36</v>
      </c>
      <c r="C5355" s="393" t="s">
        <v>211</v>
      </c>
      <c r="D5355" s="398">
        <f>VLOOKUP(D5335,'Detail Balok'!$C$10:$AU$140,31,FALSE)</f>
        <v>0</v>
      </c>
      <c r="E5355" s="388" t="s">
        <v>16</v>
      </c>
      <c r="F5355" s="388">
        <f>VLOOKUP(D5335,'Detail Balok'!$C$10:$AU$140,33,FALSE)</f>
        <v>10</v>
      </c>
      <c r="G5355" s="405" t="s">
        <v>157</v>
      </c>
      <c r="H5355" s="395">
        <f>VLOOKUP(D5335,'Detail Balok'!$C$10:$AU$140,35,FALSE)</f>
        <v>100</v>
      </c>
      <c r="I5355" s="388"/>
      <c r="J5355" s="400">
        <f t="shared" ref="J5355" si="17310">(IF(D5355=0,(2*(D5336+G5336))-(F$5*8),IF(D5355=3,(2*(D5336+G5336))-(F$5*8)+(G5336-2*F$5),IF(D5355=4,(2*(D5336+G5336))-(F$5*8)+2*(G5336-2*F$5)))))/1000</f>
        <v>0.88</v>
      </c>
      <c r="K5355" s="400" t="s">
        <v>204</v>
      </c>
      <c r="L5355" s="399">
        <f t="shared" ref="L5355:L5357" si="17311">IF(D5355=0,2*MAX(6*F5355,75),(D5355-1)*2*MAX(6*F5355,75))/1000</f>
        <v>0.15</v>
      </c>
      <c r="M5355" s="399" t="s">
        <v>176</v>
      </c>
      <c r="N5355" s="399">
        <f t="shared" ref="N5355:N5357" si="17312">J5355+L5355</f>
        <v>1.03</v>
      </c>
      <c r="O5355" s="399"/>
      <c r="P5355" s="389"/>
      <c r="Q5355" s="399"/>
      <c r="R5355" s="399"/>
      <c r="S5355" s="399"/>
      <c r="T5355" s="399" t="s">
        <v>125</v>
      </c>
      <c r="U5355" s="401">
        <f t="shared" ref="U5355:U5357" si="17313">0.006165*F5355^2</f>
        <v>0.61650000000000005</v>
      </c>
      <c r="V5355" s="399" t="s">
        <v>125</v>
      </c>
      <c r="W5355" s="399">
        <f t="shared" ref="W5355" si="17314">IF(D5338&gt;4*G5336,ROUND(MAX(D5338/4,2*G5336)/H5355,0)+1,ROUND(D5338/H5355,0)+1)</f>
        <v>14</v>
      </c>
      <c r="X5355" s="399" t="s">
        <v>125</v>
      </c>
      <c r="Y5355" s="389">
        <f t="shared" ref="Y5355" si="17315">D5341</f>
        <v>1</v>
      </c>
      <c r="Z5355" s="400" t="s">
        <v>176</v>
      </c>
      <c r="AA5355" s="402">
        <f t="shared" ref="AA5355:AA5357" si="17316">N5355*U5355*W5355*Y5355</f>
        <v>8.8899300000000014</v>
      </c>
      <c r="AB5355" s="403"/>
    </row>
    <row r="5356" spans="1:28">
      <c r="A5356" s="384" t="str">
        <f t="shared" ref="A5356:B5356" si="17317">A5335</f>
        <v>Lantai 3</v>
      </c>
      <c r="B5356" s="385">
        <f t="shared" si="17317"/>
        <v>36</v>
      </c>
      <c r="C5356" s="393" t="s">
        <v>212</v>
      </c>
      <c r="D5356" s="398">
        <f>VLOOKUP(D5335,'Detail Balok'!$C$10:$AU$140,36,FALSE)</f>
        <v>0</v>
      </c>
      <c r="E5356" s="388" t="s">
        <v>16</v>
      </c>
      <c r="F5356" s="388">
        <f>VLOOKUP(D5335,'Detail Balok'!$C$10:$AU$140,38,FALSE)</f>
        <v>10</v>
      </c>
      <c r="G5356" s="405" t="s">
        <v>157</v>
      </c>
      <c r="H5356" s="395">
        <f>VLOOKUP(D5335,'Detail Balok'!$C$10:$AU$140,40,FALSE)</f>
        <v>100</v>
      </c>
      <c r="I5356" s="388"/>
      <c r="J5356" s="400">
        <f t="shared" ref="J5356" si="17318">(IF(D5356=0,(2*(D5336+G5336))-(F$5*8),IF(D5356=3,(2*(D5336+G5336))-(F$5*8)+(G5336-2*F$5),IF(D5356=4,(2*(D5336+G5336))-(F$5*8)+2*(G5336-2*F$5)))))/1000</f>
        <v>0.88</v>
      </c>
      <c r="K5356" s="400" t="s">
        <v>204</v>
      </c>
      <c r="L5356" s="399">
        <f t="shared" si="17311"/>
        <v>0.15</v>
      </c>
      <c r="M5356" s="399" t="s">
        <v>176</v>
      </c>
      <c r="N5356" s="399">
        <f t="shared" si="17312"/>
        <v>1.03</v>
      </c>
      <c r="O5356" s="399"/>
      <c r="P5356" s="389"/>
      <c r="Q5356" s="399"/>
      <c r="R5356" s="399"/>
      <c r="S5356" s="399"/>
      <c r="T5356" s="399" t="s">
        <v>125</v>
      </c>
      <c r="U5356" s="401">
        <f t="shared" si="17313"/>
        <v>0.61650000000000005</v>
      </c>
      <c r="V5356" s="399" t="s">
        <v>125</v>
      </c>
      <c r="W5356" s="399">
        <f t="shared" ref="W5356" si="17319">IF(D5338-MAX(D5338/4,2*G5336)*2&gt;0,ROUND((D5338-MAX(D5338/4,2*G5336)*2)/H5356,0),0)</f>
        <v>0</v>
      </c>
      <c r="X5356" s="399" t="s">
        <v>125</v>
      </c>
      <c r="Y5356" s="389">
        <f t="shared" ref="Y5356" si="17320">D5341</f>
        <v>1</v>
      </c>
      <c r="Z5356" s="400" t="s">
        <v>176</v>
      </c>
      <c r="AA5356" s="402">
        <f t="shared" si="17316"/>
        <v>0</v>
      </c>
      <c r="AB5356" s="403"/>
    </row>
    <row r="5357" spans="1:28">
      <c r="A5357" s="384" t="str">
        <f t="shared" ref="A5357:B5357" si="17321">A5335</f>
        <v>Lantai 3</v>
      </c>
      <c r="B5357" s="385">
        <f t="shared" si="17321"/>
        <v>36</v>
      </c>
      <c r="C5357" s="393" t="s">
        <v>211</v>
      </c>
      <c r="D5357" s="398">
        <f>VLOOKUP(D5335,'Detail Balok'!$C$10:$AU$140,41,FALSE)</f>
        <v>0</v>
      </c>
      <c r="E5357" s="388" t="s">
        <v>16</v>
      </c>
      <c r="F5357" s="388">
        <f>VLOOKUP(D5335,'Detail Balok'!$C$10:$AU$140,43,FALSE)</f>
        <v>10</v>
      </c>
      <c r="G5357" s="405" t="s">
        <v>157</v>
      </c>
      <c r="H5357" s="395">
        <f>VLOOKUP(D5335,'Detail Balok'!$C$10:$AU$140,45,FALSE)</f>
        <v>100</v>
      </c>
      <c r="I5357" s="388"/>
      <c r="J5357" s="400">
        <f t="shared" ref="J5357" si="17322">(IF(D5357=0,(2*(D5336+G5336))-(F$5*8),IF(D5357=3,(2*(D5336+G5336))-(F$5*8)+(G5336-2*F$5),IF(D5357=4,(2*(D5336+G5336))-(F$5*8)+2*(G5336-2*F$5)))))/1000</f>
        <v>0.88</v>
      </c>
      <c r="K5357" s="400" t="s">
        <v>204</v>
      </c>
      <c r="L5357" s="399">
        <f t="shared" si="17311"/>
        <v>0.15</v>
      </c>
      <c r="M5357" s="399" t="s">
        <v>176</v>
      </c>
      <c r="N5357" s="399">
        <f t="shared" si="17312"/>
        <v>1.03</v>
      </c>
      <c r="O5357" s="399"/>
      <c r="P5357" s="389"/>
      <c r="Q5357" s="399"/>
      <c r="R5357" s="399"/>
      <c r="S5357" s="399"/>
      <c r="T5357" s="399" t="s">
        <v>125</v>
      </c>
      <c r="U5357" s="401">
        <f t="shared" si="17313"/>
        <v>0.61650000000000005</v>
      </c>
      <c r="V5357" s="399" t="s">
        <v>125</v>
      </c>
      <c r="W5357" s="399">
        <f t="shared" ref="W5357" si="17323">IF(D5338&gt;4*G5336,ROUND(MAX(D5338/4,2*G5336)/H5357,0)+1,0)</f>
        <v>0</v>
      </c>
      <c r="X5357" s="399" t="s">
        <v>125</v>
      </c>
      <c r="Y5357" s="389">
        <f t="shared" ref="Y5357" si="17324">D5341</f>
        <v>1</v>
      </c>
      <c r="Z5357" s="400" t="s">
        <v>176</v>
      </c>
      <c r="AA5357" s="402">
        <f t="shared" si="17316"/>
        <v>0</v>
      </c>
      <c r="AB5357" s="403"/>
    </row>
    <row r="5358" spans="1:28">
      <c r="A5358" s="384"/>
      <c r="B5358" s="385"/>
      <c r="C5358" s="393"/>
      <c r="D5358" s="394"/>
      <c r="E5358" s="388"/>
      <c r="F5358" s="388"/>
      <c r="G5358" s="388"/>
      <c r="H5358" s="395"/>
      <c r="I5358" s="388"/>
      <c r="J5358" s="399"/>
      <c r="K5358" s="396"/>
      <c r="L5358" s="396"/>
      <c r="M5358" s="396"/>
      <c r="N5358" s="396"/>
      <c r="O5358" s="396"/>
      <c r="P5358" s="389"/>
      <c r="Q5358" s="396"/>
      <c r="R5358" s="396"/>
      <c r="S5358" s="396"/>
      <c r="T5358" s="396"/>
      <c r="U5358" s="401"/>
      <c r="V5358" s="396"/>
      <c r="W5358" s="388"/>
      <c r="X5358" s="396"/>
      <c r="Y5358" s="389"/>
      <c r="Z5358" s="396"/>
      <c r="AA5358" s="388"/>
      <c r="AB5358" s="390"/>
    </row>
    <row r="5359" spans="1:28">
      <c r="A5359" s="384" t="str">
        <f t="shared" ref="A5359:B5359" si="17325">A5335</f>
        <v>Lantai 3</v>
      </c>
      <c r="B5359" s="385">
        <f t="shared" si="17325"/>
        <v>36</v>
      </c>
      <c r="C5359" s="393" t="s">
        <v>213</v>
      </c>
      <c r="D5359" s="398">
        <f>VLOOKUP(D5335,'Detail Balok'!$C$10:$BJ$140,46,FALSE)</f>
        <v>0</v>
      </c>
      <c r="E5359" s="388" t="s">
        <v>16</v>
      </c>
      <c r="F5359" s="388">
        <f>VLOOKUP(D5335,'Detail Balok'!$C$10:$BJ$140,48,FALSE)</f>
        <v>0</v>
      </c>
      <c r="G5359" s="405" t="s">
        <v>157</v>
      </c>
      <c r="H5359" s="395">
        <f>VLOOKUP(D5335,'Detail Balok'!$C$10:$BJ$140,50,FALSE)</f>
        <v>100</v>
      </c>
      <c r="I5359" s="388"/>
      <c r="J5359" s="399">
        <f t="shared" ref="J5359" si="17326">(D5336-2*F$5)/1000</f>
        <v>0.12</v>
      </c>
      <c r="K5359" s="400" t="s">
        <v>204</v>
      </c>
      <c r="L5359" s="399">
        <f t="shared" ref="L5359:L5361" si="17327">IF(D5359=0,2*MAX(6*F5359,75),(D5359-1)*2*MAX(6*F5359,75))/1000</f>
        <v>0.15</v>
      </c>
      <c r="M5359" s="399" t="s">
        <v>176</v>
      </c>
      <c r="N5359" s="399">
        <f t="shared" ref="N5359:N5361" si="17328">J5359+L5359</f>
        <v>0.27</v>
      </c>
      <c r="O5359" s="399"/>
      <c r="P5359" s="399"/>
      <c r="Q5359" s="399"/>
      <c r="R5359" s="399"/>
      <c r="S5359" s="399"/>
      <c r="T5359" s="399" t="s">
        <v>125</v>
      </c>
      <c r="U5359" s="401">
        <f t="shared" ref="U5359:U5361" si="17329">0.006165*F5359^2</f>
        <v>0</v>
      </c>
      <c r="V5359" s="399" t="s">
        <v>125</v>
      </c>
      <c r="W5359" s="399">
        <f t="shared" si="17234"/>
        <v>14</v>
      </c>
      <c r="X5359" s="399" t="s">
        <v>125</v>
      </c>
      <c r="Y5359" s="389">
        <f t="shared" ref="Y5359" si="17330">D5345</f>
        <v>3</v>
      </c>
      <c r="Z5359" s="400" t="s">
        <v>176</v>
      </c>
      <c r="AA5359" s="402">
        <f t="shared" ref="AA5359:AA5361" si="17331">N5359*U5359*W5359*Y5359</f>
        <v>0</v>
      </c>
      <c r="AB5359" s="403"/>
    </row>
    <row r="5360" spans="1:28">
      <c r="A5360" s="384" t="str">
        <f t="shared" ref="A5360:B5360" si="17332">A5335</f>
        <v>Lantai 3</v>
      </c>
      <c r="B5360" s="385">
        <f t="shared" si="17332"/>
        <v>36</v>
      </c>
      <c r="C5360" s="393" t="s">
        <v>214</v>
      </c>
      <c r="D5360" s="398">
        <f>VLOOKUP(D5335,'Detail Balok'!$C$10:$BJ$140,51,FALSE)</f>
        <v>0</v>
      </c>
      <c r="E5360" s="388" t="s">
        <v>16</v>
      </c>
      <c r="F5360" s="388">
        <f>VLOOKUP(D5335,'Detail Balok'!$C$10:$BJ$140,53,FALSE)</f>
        <v>0</v>
      </c>
      <c r="G5360" s="405" t="s">
        <v>157</v>
      </c>
      <c r="H5360" s="395">
        <f>VLOOKUP(D5335,'Detail Balok'!$C$10:$BJ$140,55,FALSE)</f>
        <v>100</v>
      </c>
      <c r="I5360" s="388"/>
      <c r="J5360" s="399">
        <f t="shared" ref="J5360" si="17333">(D5336-2*F$5)/1000</f>
        <v>0.12</v>
      </c>
      <c r="K5360" s="400" t="s">
        <v>204</v>
      </c>
      <c r="L5360" s="399">
        <f t="shared" si="17327"/>
        <v>0.15</v>
      </c>
      <c r="M5360" s="399" t="s">
        <v>176</v>
      </c>
      <c r="N5360" s="399">
        <f t="shared" si="17328"/>
        <v>0.27</v>
      </c>
      <c r="O5360" s="399"/>
      <c r="P5360" s="399"/>
      <c r="Q5360" s="399"/>
      <c r="R5360" s="399"/>
      <c r="S5360" s="399"/>
      <c r="T5360" s="399" t="s">
        <v>125</v>
      </c>
      <c r="U5360" s="401">
        <f t="shared" si="17329"/>
        <v>0</v>
      </c>
      <c r="V5360" s="399" t="s">
        <v>125</v>
      </c>
      <c r="W5360" s="399">
        <f t="shared" si="17234"/>
        <v>0</v>
      </c>
      <c r="X5360" s="399" t="s">
        <v>125</v>
      </c>
      <c r="Y5360" s="389">
        <f t="shared" ref="Y5360" si="17334">D5345</f>
        <v>3</v>
      </c>
      <c r="Z5360" s="400" t="s">
        <v>176</v>
      </c>
      <c r="AA5360" s="402">
        <f t="shared" si="17331"/>
        <v>0</v>
      </c>
      <c r="AB5360" s="403"/>
    </row>
    <row r="5361" spans="1:28">
      <c r="A5361" s="384" t="str">
        <f t="shared" ref="A5361:B5361" si="17335">A5335</f>
        <v>Lantai 3</v>
      </c>
      <c r="B5361" s="385">
        <f t="shared" si="17335"/>
        <v>36</v>
      </c>
      <c r="C5361" s="393" t="s">
        <v>213</v>
      </c>
      <c r="D5361" s="398">
        <f>VLOOKUP(D5335,'Detail Balok'!$C$10:$BJ$140,56,FALSE)</f>
        <v>0</v>
      </c>
      <c r="E5361" s="388" t="s">
        <v>16</v>
      </c>
      <c r="F5361" s="388">
        <f>VLOOKUP(D5335,'Detail Balok'!$C$10:$BJ$140,58,FALSE)</f>
        <v>0</v>
      </c>
      <c r="G5361" s="405" t="s">
        <v>157</v>
      </c>
      <c r="H5361" s="395">
        <f>VLOOKUP(D5335,'Detail Balok'!$C$10:$BJ$140,60,FALSE)</f>
        <v>100</v>
      </c>
      <c r="I5361" s="388"/>
      <c r="J5361" s="399">
        <f t="shared" ref="J5361" si="17336">(D5336-2*F$5)/1000</f>
        <v>0.12</v>
      </c>
      <c r="K5361" s="400" t="s">
        <v>204</v>
      </c>
      <c r="L5361" s="399">
        <f t="shared" si="17327"/>
        <v>0.15</v>
      </c>
      <c r="M5361" s="399" t="s">
        <v>176</v>
      </c>
      <c r="N5361" s="399">
        <f t="shared" si="17328"/>
        <v>0.27</v>
      </c>
      <c r="O5361" s="399"/>
      <c r="P5361" s="399"/>
      <c r="Q5361" s="399"/>
      <c r="R5361" s="399"/>
      <c r="S5361" s="399"/>
      <c r="T5361" s="399" t="s">
        <v>125</v>
      </c>
      <c r="U5361" s="401">
        <f t="shared" si="17329"/>
        <v>0</v>
      </c>
      <c r="V5361" s="399" t="s">
        <v>125</v>
      </c>
      <c r="W5361" s="399">
        <f t="shared" si="17234"/>
        <v>0</v>
      </c>
      <c r="X5361" s="399" t="s">
        <v>125</v>
      </c>
      <c r="Y5361" s="389">
        <f t="shared" ref="Y5361" si="17337">D5345</f>
        <v>3</v>
      </c>
      <c r="Z5361" s="400" t="s">
        <v>176</v>
      </c>
      <c r="AA5361" s="402">
        <f t="shared" si="17331"/>
        <v>0</v>
      </c>
      <c r="AB5361" s="403"/>
    </row>
    <row r="5362" spans="1:28">
      <c r="A5362" s="391"/>
      <c r="B5362" s="392"/>
      <c r="C5362" s="392"/>
      <c r="D5362" s="394"/>
      <c r="E5362" s="388"/>
      <c r="F5362" s="388"/>
      <c r="G5362" s="388"/>
      <c r="H5362" s="395"/>
      <c r="I5362" s="388"/>
      <c r="J5362" s="402"/>
      <c r="K5362" s="388"/>
      <c r="L5362" s="388"/>
      <c r="M5362" s="388"/>
      <c r="N5362" s="388"/>
      <c r="O5362" s="388"/>
      <c r="P5362" s="388"/>
      <c r="Q5362" s="388"/>
      <c r="R5362" s="388"/>
      <c r="S5362" s="388"/>
      <c r="T5362" s="388"/>
      <c r="U5362" s="388"/>
      <c r="V5362" s="388"/>
      <c r="W5362" s="388"/>
      <c r="X5362" s="388"/>
      <c r="Y5362" s="389"/>
      <c r="Z5362" s="388"/>
      <c r="AA5362" s="402"/>
      <c r="AB5362" s="403"/>
    </row>
    <row r="5363" spans="1:28" ht="15.75" thickBot="1">
      <c r="A5363" s="406"/>
      <c r="B5363" s="407"/>
      <c r="C5363" s="407"/>
      <c r="D5363" s="408"/>
      <c r="E5363" s="409"/>
      <c r="F5363" s="409"/>
      <c r="G5363" s="409"/>
      <c r="H5363" s="410"/>
      <c r="I5363" s="409"/>
      <c r="J5363" s="409"/>
      <c r="K5363" s="409"/>
      <c r="L5363" s="409"/>
      <c r="M5363" s="409"/>
      <c r="N5363" s="409"/>
      <c r="O5363" s="409"/>
      <c r="P5363" s="409"/>
      <c r="Q5363" s="409"/>
      <c r="R5363" s="409"/>
      <c r="S5363" s="409"/>
      <c r="T5363" s="409"/>
      <c r="U5363" s="409"/>
      <c r="V5363" s="409"/>
      <c r="W5363" s="409"/>
      <c r="X5363" s="409"/>
      <c r="Y5363" s="411"/>
      <c r="Z5363" s="409"/>
      <c r="AA5363" s="412"/>
      <c r="AB5363" s="413"/>
    </row>
    <row r="5364" spans="1:28">
      <c r="A5364" s="377"/>
      <c r="B5364" s="378"/>
      <c r="C5364" s="378"/>
      <c r="D5364" s="379"/>
      <c r="E5364" s="380"/>
      <c r="F5364" s="380"/>
      <c r="G5364" s="380"/>
      <c r="H5364" s="381"/>
      <c r="I5364" s="380"/>
      <c r="J5364" s="380"/>
      <c r="K5364" s="380"/>
      <c r="L5364" s="380"/>
      <c r="M5364" s="380"/>
      <c r="N5364" s="380"/>
      <c r="O5364" s="380"/>
      <c r="P5364" s="380"/>
      <c r="Q5364" s="380"/>
      <c r="R5364" s="380"/>
      <c r="S5364" s="380"/>
      <c r="T5364" s="380"/>
      <c r="U5364" s="380"/>
      <c r="V5364" s="380"/>
      <c r="W5364" s="380"/>
      <c r="X5364" s="380"/>
      <c r="Y5364" s="382"/>
      <c r="Z5364" s="380"/>
      <c r="AA5364" s="380"/>
      <c r="AB5364" s="383"/>
    </row>
    <row r="5365" spans="1:28">
      <c r="A5365" s="384" t="str">
        <f t="shared" si="17243"/>
        <v>Lantai 3</v>
      </c>
      <c r="B5365" s="385">
        <f t="shared" si="17244"/>
        <v>37</v>
      </c>
      <c r="C5365" s="386" t="str">
        <f t="shared" ref="C5365" si="17338">CONCATENATE(A5365," no. ",B5365)</f>
        <v>Lantai 3 no. 37</v>
      </c>
      <c r="D5365" s="2562" t="str">
        <f>VLOOKUP(C5365,'Data Panjang Balok'!$C$9:$N$254,2,FALSE)</f>
        <v>B25-1</v>
      </c>
      <c r="E5365" s="2576"/>
      <c r="F5365" s="2576"/>
      <c r="G5365" s="2576"/>
      <c r="H5365" s="2577"/>
      <c r="I5365" s="387"/>
      <c r="J5365" s="388"/>
      <c r="K5365" s="388"/>
      <c r="L5365" s="388"/>
      <c r="M5365" s="388"/>
      <c r="N5365" s="388"/>
      <c r="O5365" s="388"/>
      <c r="P5365" s="388"/>
      <c r="Q5365" s="388"/>
      <c r="R5365" s="388"/>
      <c r="S5365" s="388"/>
      <c r="T5365" s="388"/>
      <c r="U5365" s="388"/>
      <c r="V5365" s="388"/>
      <c r="W5365" s="388"/>
      <c r="X5365" s="388"/>
      <c r="Y5365" s="389"/>
      <c r="Z5365" s="388"/>
      <c r="AA5365" s="388"/>
      <c r="AB5365" s="390"/>
    </row>
    <row r="5366" spans="1:28">
      <c r="A5366" s="391"/>
      <c r="B5366" s="392"/>
      <c r="C5366" s="393" t="s">
        <v>118</v>
      </c>
      <c r="D5366" s="2578">
        <f>VLOOKUP(D5365,'Detail Balok'!$C$10:$AU$140,2,FALSE)</f>
        <v>200</v>
      </c>
      <c r="E5366" s="2579"/>
      <c r="F5366" s="388" t="s">
        <v>125</v>
      </c>
      <c r="G5366" s="2579">
        <f>VLOOKUP(D5365,'Detail Balok'!$C$10:$AU$140,3,FALSE)</f>
        <v>500</v>
      </c>
      <c r="H5366" s="2580"/>
      <c r="I5366" s="388"/>
      <c r="J5366" s="396"/>
      <c r="K5366" s="396"/>
      <c r="L5366" s="396"/>
      <c r="M5366" s="396"/>
      <c r="N5366" s="396"/>
      <c r="O5366" s="396"/>
      <c r="P5366" s="396"/>
      <c r="Q5366" s="396"/>
      <c r="R5366" s="396"/>
      <c r="S5366" s="396"/>
      <c r="T5366" s="396"/>
      <c r="U5366" s="388"/>
      <c r="V5366" s="396"/>
      <c r="W5366" s="388"/>
      <c r="X5366" s="396"/>
      <c r="Y5366" s="389"/>
      <c r="Z5366" s="396"/>
      <c r="AA5366" s="388"/>
      <c r="AB5366" s="390"/>
    </row>
    <row r="5367" spans="1:28">
      <c r="A5367" s="391"/>
      <c r="B5367" s="392"/>
      <c r="C5367" s="393" t="s">
        <v>198</v>
      </c>
      <c r="D5367" s="2562">
        <f>VLOOKUP(C5365,'Data Panjang Balok'!$C$9:$N$254,4,FALSE)</f>
        <v>4075</v>
      </c>
      <c r="E5367" s="2563"/>
      <c r="F5367" s="2563"/>
      <c r="G5367" s="2563"/>
      <c r="H5367" s="2564"/>
      <c r="I5367" s="397"/>
      <c r="J5367" s="396"/>
      <c r="K5367" s="396"/>
      <c r="L5367" s="396"/>
      <c r="M5367" s="396"/>
      <c r="N5367" s="396"/>
      <c r="O5367" s="396"/>
      <c r="P5367" s="396"/>
      <c r="Q5367" s="396"/>
      <c r="R5367" s="396"/>
      <c r="S5367" s="396"/>
      <c r="T5367" s="396"/>
      <c r="U5367" s="388"/>
      <c r="V5367" s="396"/>
      <c r="W5367" s="388"/>
      <c r="X5367" s="396"/>
      <c r="Y5367" s="389"/>
      <c r="Z5367" s="396"/>
      <c r="AA5367" s="388"/>
      <c r="AB5367" s="390"/>
    </row>
    <row r="5368" spans="1:28">
      <c r="A5368" s="391"/>
      <c r="B5368" s="392"/>
      <c r="C5368" s="393" t="s">
        <v>199</v>
      </c>
      <c r="D5368" s="2562">
        <f>VLOOKUP(C5365,'Data Panjang Balok'!$C$9:$N$254,7,FALSE)</f>
        <v>4075</v>
      </c>
      <c r="E5368" s="2563"/>
      <c r="F5368" s="2563"/>
      <c r="G5368" s="2563"/>
      <c r="H5368" s="2564"/>
      <c r="I5368" s="397"/>
      <c r="J5368" s="396"/>
      <c r="K5368" s="396"/>
      <c r="L5368" s="396"/>
      <c r="M5368" s="396"/>
      <c r="N5368" s="396"/>
      <c r="O5368" s="396"/>
      <c r="P5368" s="396"/>
      <c r="Q5368" s="396"/>
      <c r="R5368" s="396"/>
      <c r="S5368" s="396"/>
      <c r="T5368" s="396"/>
      <c r="U5368" s="388"/>
      <c r="V5368" s="396"/>
      <c r="W5368" s="388"/>
      <c r="X5368" s="396"/>
      <c r="Y5368" s="389"/>
      <c r="Z5368" s="396"/>
      <c r="AA5368" s="388"/>
      <c r="AB5368" s="390"/>
    </row>
    <row r="5369" spans="1:28">
      <c r="A5369" s="391"/>
      <c r="B5369" s="392"/>
      <c r="C5369" s="393" t="s">
        <v>200</v>
      </c>
      <c r="D5369" s="2562">
        <f>VLOOKUP(C5365,'Data Panjang Balok'!$C$9:$N$254,9,FALSE)</f>
        <v>0</v>
      </c>
      <c r="E5369" s="2563"/>
      <c r="F5369" s="2563"/>
      <c r="G5369" s="2563"/>
      <c r="H5369" s="2564"/>
      <c r="I5369" s="397"/>
      <c r="J5369" s="396"/>
      <c r="K5369" s="396"/>
      <c r="L5369" s="396"/>
      <c r="M5369" s="396"/>
      <c r="N5369" s="396"/>
      <c r="O5369" s="396"/>
      <c r="P5369" s="396"/>
      <c r="Q5369" s="396"/>
      <c r="R5369" s="396"/>
      <c r="S5369" s="396"/>
      <c r="T5369" s="396"/>
      <c r="U5369" s="388"/>
      <c r="V5369" s="396"/>
      <c r="W5369" s="388"/>
      <c r="X5369" s="396"/>
      <c r="Y5369" s="389"/>
      <c r="Z5369" s="396"/>
      <c r="AA5369" s="388"/>
      <c r="AB5369" s="390"/>
    </row>
    <row r="5370" spans="1:28">
      <c r="A5370" s="391"/>
      <c r="B5370" s="392"/>
      <c r="C5370" s="393" t="s">
        <v>201</v>
      </c>
      <c r="D5370" s="2562">
        <f>VLOOKUP(C5365,'Data Panjang Balok'!$C$9:$N$254,10,FALSE)</f>
        <v>0</v>
      </c>
      <c r="E5370" s="2563"/>
      <c r="F5370" s="2563"/>
      <c r="G5370" s="2563"/>
      <c r="H5370" s="2564"/>
      <c r="I5370" s="397"/>
      <c r="J5370" s="396"/>
      <c r="K5370" s="396"/>
      <c r="L5370" s="396"/>
      <c r="M5370" s="396"/>
      <c r="N5370" s="396"/>
      <c r="O5370" s="396"/>
      <c r="P5370" s="396"/>
      <c r="Q5370" s="396"/>
      <c r="R5370" s="396"/>
      <c r="S5370" s="396"/>
      <c r="T5370" s="396"/>
      <c r="U5370" s="388"/>
      <c r="V5370" s="396"/>
      <c r="W5370" s="388"/>
      <c r="X5370" s="396"/>
      <c r="Y5370" s="389"/>
      <c r="Z5370" s="396"/>
      <c r="AA5370" s="388"/>
      <c r="AB5370" s="390"/>
    </row>
    <row r="5371" spans="1:28">
      <c r="A5371" s="391"/>
      <c r="B5371" s="392"/>
      <c r="C5371" s="393" t="s">
        <v>48</v>
      </c>
      <c r="D5371" s="2562">
        <f>VLOOKUP(C5365,'Data Panjang Balok'!$C$9:$N$254,3,FALSE)</f>
        <v>1</v>
      </c>
      <c r="E5371" s="2563"/>
      <c r="F5371" s="2563"/>
      <c r="G5371" s="2563"/>
      <c r="H5371" s="2564"/>
      <c r="I5371" s="397"/>
      <c r="J5371" s="396"/>
      <c r="K5371" s="396"/>
      <c r="L5371" s="396"/>
      <c r="M5371" s="396"/>
      <c r="N5371" s="396"/>
      <c r="O5371" s="396"/>
      <c r="P5371" s="396"/>
      <c r="Q5371" s="396"/>
      <c r="R5371" s="396"/>
      <c r="S5371" s="396"/>
      <c r="T5371" s="396"/>
      <c r="U5371" s="388"/>
      <c r="V5371" s="396"/>
      <c r="W5371" s="388"/>
      <c r="X5371" s="396"/>
      <c r="Y5371" s="389"/>
      <c r="Z5371" s="396"/>
      <c r="AA5371" s="388"/>
      <c r="AB5371" s="390"/>
    </row>
    <row r="5372" spans="1:28">
      <c r="A5372" s="384" t="str">
        <f t="shared" ref="A5372:B5372" si="17339">A5365</f>
        <v>Lantai 3</v>
      </c>
      <c r="B5372" s="385">
        <f t="shared" si="17339"/>
        <v>37</v>
      </c>
      <c r="C5372" s="393" t="s">
        <v>202</v>
      </c>
      <c r="D5372" s="398">
        <f>VLOOKUP(D5365,'Detail Balok'!$C$10:$AU$140,4,FALSE)</f>
        <v>4</v>
      </c>
      <c r="E5372" s="388" t="s">
        <v>16</v>
      </c>
      <c r="F5372" s="388">
        <f>VLOOKUP(D5365,'Detail Balok'!$C$10:$AU$140,6,FALSE)</f>
        <v>16</v>
      </c>
      <c r="G5372" s="388"/>
      <c r="H5372" s="395"/>
      <c r="I5372" s="388" t="s">
        <v>203</v>
      </c>
      <c r="J5372" s="399">
        <f t="shared" ref="J5372" si="17340">+D5367/4/1000</f>
        <v>1.01875</v>
      </c>
      <c r="K5372" s="400" t="s">
        <v>204</v>
      </c>
      <c r="L5372" s="399">
        <f t="shared" ref="L5372" si="17341">MAX(VLOOKUP(F5372,N$6:P$15,3,FALSE)/1000,2/3*D5369/1000)+F$16*F5372/1000</f>
        <v>0.192</v>
      </c>
      <c r="M5372" s="399" t="s">
        <v>176</v>
      </c>
      <c r="N5372" s="399">
        <f t="shared" ref="N5372:N5374" si="17342">J5372+L5372</f>
        <v>1.21075</v>
      </c>
      <c r="O5372" s="399" t="s">
        <v>204</v>
      </c>
      <c r="P5372" s="389">
        <f t="shared" ref="P5372" si="17343">D5372-D5373</f>
        <v>0</v>
      </c>
      <c r="Q5372" s="399" t="s">
        <v>125</v>
      </c>
      <c r="R5372" s="399">
        <f t="shared" ref="R5372" si="17344">IF(P5372&gt;0,$F$18*F5372/1000,0)</f>
        <v>0</v>
      </c>
      <c r="S5372" s="399" t="s">
        <v>205</v>
      </c>
      <c r="T5372" s="399" t="s">
        <v>125</v>
      </c>
      <c r="U5372" s="401">
        <f t="shared" ref="U5372:U5374" si="17345">0.006165*F5372^2</f>
        <v>1.5782400000000001</v>
      </c>
      <c r="V5372" s="399"/>
      <c r="W5372" s="399"/>
      <c r="X5372" s="399" t="s">
        <v>125</v>
      </c>
      <c r="Y5372" s="389">
        <f t="shared" ref="Y5372" si="17346">D5371</f>
        <v>1</v>
      </c>
      <c r="Z5372" s="400" t="s">
        <v>176</v>
      </c>
      <c r="AA5372" s="402">
        <f t="shared" ref="AA5372" si="17347">IF(AA5375=0,(D5372*N5372+P5372*R5372)*U5372*Y5372,0)</f>
        <v>0</v>
      </c>
      <c r="AB5372" s="403"/>
    </row>
    <row r="5373" spans="1:28">
      <c r="A5373" s="384" t="str">
        <f t="shared" ref="A5373:B5373" si="17348">A5365</f>
        <v>Lantai 3</v>
      </c>
      <c r="B5373" s="385">
        <f t="shared" si="17348"/>
        <v>37</v>
      </c>
      <c r="C5373" s="393" t="s">
        <v>206</v>
      </c>
      <c r="D5373" s="398">
        <f>VLOOKUP(D5365,'Detail Balok'!$C$10:$AU$140,7,FALSE)</f>
        <v>4</v>
      </c>
      <c r="E5373" s="388" t="s">
        <v>16</v>
      </c>
      <c r="F5373" s="388">
        <f>VLOOKUP(D5365,'Detail Balok'!$C$10:$AU$140,9,FALSE)</f>
        <v>16</v>
      </c>
      <c r="G5373" s="388"/>
      <c r="H5373" s="395"/>
      <c r="I5373" s="388" t="s">
        <v>203</v>
      </c>
      <c r="J5373" s="399">
        <f t="shared" ref="J5373" si="17349">+D5367/2/1000</f>
        <v>2.0375000000000001</v>
      </c>
      <c r="K5373" s="400" t="s">
        <v>204</v>
      </c>
      <c r="L5373" s="399"/>
      <c r="M5373" s="399" t="s">
        <v>176</v>
      </c>
      <c r="N5373" s="399">
        <f t="shared" si="17342"/>
        <v>2.0375000000000001</v>
      </c>
      <c r="O5373" s="399" t="s">
        <v>204</v>
      </c>
      <c r="P5373" s="389">
        <f t="shared" ref="P5373" si="17350">MAX(D5373-D5372,D5373-D5374)</f>
        <v>0</v>
      </c>
      <c r="Q5373" s="399" t="s">
        <v>125</v>
      </c>
      <c r="R5373" s="399">
        <f t="shared" ref="R5373" si="17351">IF(P5373&gt;0,2*(1-2*$F$19-1/2)*D5368/1000,0)</f>
        <v>0</v>
      </c>
      <c r="S5373" s="399" t="s">
        <v>205</v>
      </c>
      <c r="T5373" s="399" t="s">
        <v>125</v>
      </c>
      <c r="U5373" s="401">
        <f t="shared" si="17345"/>
        <v>1.5782400000000001</v>
      </c>
      <c r="V5373" s="399"/>
      <c r="W5373" s="399"/>
      <c r="X5373" s="399" t="s">
        <v>125</v>
      </c>
      <c r="Y5373" s="389">
        <f t="shared" ref="Y5373" si="17352">D5371</f>
        <v>1</v>
      </c>
      <c r="Z5373" s="400" t="s">
        <v>176</v>
      </c>
      <c r="AA5373" s="402">
        <f t="shared" ref="AA5373" si="17353">IF(AA5375=0,(D5373*N5373+P5373*R5373)*U5373*Y5373,0)</f>
        <v>0</v>
      </c>
      <c r="AB5373" s="403"/>
    </row>
    <row r="5374" spans="1:28">
      <c r="A5374" s="384" t="str">
        <f t="shared" ref="A5374:B5374" si="17354">A5365</f>
        <v>Lantai 3</v>
      </c>
      <c r="B5374" s="385">
        <f t="shared" si="17354"/>
        <v>37</v>
      </c>
      <c r="C5374" s="393" t="s">
        <v>202</v>
      </c>
      <c r="D5374" s="398">
        <f>VLOOKUP(D5365,'Detail Balok'!$C$10:$AU$140,10,FALSE)</f>
        <v>4</v>
      </c>
      <c r="E5374" s="388" t="s">
        <v>16</v>
      </c>
      <c r="F5374" s="388">
        <f>VLOOKUP(D5365,'Detail Balok'!$C$10:$AU$140,12,FALSE)</f>
        <v>16</v>
      </c>
      <c r="G5374" s="388"/>
      <c r="H5374" s="395"/>
      <c r="I5374" s="388" t="s">
        <v>203</v>
      </c>
      <c r="J5374" s="399">
        <f t="shared" ref="J5374" si="17355">+D5367/4/1000</f>
        <v>1.01875</v>
      </c>
      <c r="K5374" s="400" t="s">
        <v>204</v>
      </c>
      <c r="L5374" s="399">
        <f t="shared" ref="L5374" si="17356">MAX(VLOOKUP(F5374,N$6:P$15,3,FALSE)/1000,2/3*D5369/1000)+F$16*F5374/1000</f>
        <v>0.192</v>
      </c>
      <c r="M5374" s="399" t="s">
        <v>176</v>
      </c>
      <c r="N5374" s="399">
        <f t="shared" si="17342"/>
        <v>1.21075</v>
      </c>
      <c r="O5374" s="399" t="s">
        <v>204</v>
      </c>
      <c r="P5374" s="389">
        <f t="shared" ref="P5374" si="17357">D5374-D5373</f>
        <v>0</v>
      </c>
      <c r="Q5374" s="399" t="s">
        <v>125</v>
      </c>
      <c r="R5374" s="399">
        <f t="shared" ref="R5374" si="17358">IF(P5374&gt;0,$F$18*F5374/1000,0)</f>
        <v>0</v>
      </c>
      <c r="S5374" s="399" t="s">
        <v>205</v>
      </c>
      <c r="T5374" s="399" t="s">
        <v>125</v>
      </c>
      <c r="U5374" s="401">
        <f t="shared" si="17345"/>
        <v>1.5782400000000001</v>
      </c>
      <c r="V5374" s="399"/>
      <c r="W5374" s="399"/>
      <c r="X5374" s="399" t="s">
        <v>125</v>
      </c>
      <c r="Y5374" s="389">
        <f t="shared" ref="Y5374" si="17359">D5371</f>
        <v>1</v>
      </c>
      <c r="Z5374" s="400" t="s">
        <v>176</v>
      </c>
      <c r="AA5374" s="402">
        <f t="shared" ref="AA5374" si="17360">IF(AA5375=0,(D5374*N5374+P5374*R5374)*U5374*Y5374,0)</f>
        <v>0</v>
      </c>
      <c r="AB5374" s="403"/>
    </row>
    <row r="5375" spans="1:28">
      <c r="A5375" s="384" t="str">
        <f t="shared" ref="A5375:B5375" si="17361">A5365</f>
        <v>Lantai 3</v>
      </c>
      <c r="B5375" s="385">
        <f t="shared" si="17361"/>
        <v>37</v>
      </c>
      <c r="C5375" s="393"/>
      <c r="D5375" s="398">
        <f t="shared" si="17164"/>
        <v>4</v>
      </c>
      <c r="E5375" s="388" t="s">
        <v>16</v>
      </c>
      <c r="F5375" s="388">
        <f t="shared" si="17165"/>
        <v>16</v>
      </c>
      <c r="G5375" s="388"/>
      <c r="H5375" s="395"/>
      <c r="I5375" s="388"/>
      <c r="J5375" s="396"/>
      <c r="K5375" s="396"/>
      <c r="L5375" s="404" t="s">
        <v>207</v>
      </c>
      <c r="M5375" s="399" t="s">
        <v>176</v>
      </c>
      <c r="N5375" s="399">
        <f t="shared" ref="N5375" si="17362">IF(AND(D5372=D5373,D5372=D5374,D5373=D5374,F5372=F5373,F5372=F5374,F5373=F5374),SUM(N5372:N5374),0)</f>
        <v>4.4589999999999996</v>
      </c>
      <c r="O5375" s="399" t="s">
        <v>204</v>
      </c>
      <c r="P5375" s="389">
        <f t="shared" ref="P5375" si="17363">IF(N5375&gt;12,ROUNDDOWN(N5375/12,0),0)</f>
        <v>0</v>
      </c>
      <c r="Q5375" s="399" t="s">
        <v>125</v>
      </c>
      <c r="R5375" s="399">
        <f t="shared" ref="R5375" si="17364">IF(P5375&gt;0,MAX(VLOOKUP(F5375,$D$6:$G$15,3,FALSE),600),0)/1000</f>
        <v>0</v>
      </c>
      <c r="S5375" s="396"/>
      <c r="T5375" s="396" t="s">
        <v>125</v>
      </c>
      <c r="U5375" s="401">
        <f t="shared" si="17169"/>
        <v>1.5782400000000001</v>
      </c>
      <c r="V5375" s="396" t="s">
        <v>125</v>
      </c>
      <c r="W5375" s="399">
        <f t="shared" ref="W5375" si="17365">D5375</f>
        <v>4</v>
      </c>
      <c r="X5375" s="399" t="s">
        <v>125</v>
      </c>
      <c r="Y5375" s="389">
        <f t="shared" si="17171"/>
        <v>1</v>
      </c>
      <c r="Z5375" s="400" t="s">
        <v>176</v>
      </c>
      <c r="AA5375" s="402">
        <f t="shared" ref="AA5375" si="17366">(N5375+P5375*R5375/1000)*U5375*W5375*Y5375</f>
        <v>28.149488639999998</v>
      </c>
      <c r="AB5375" s="390"/>
    </row>
    <row r="5376" spans="1:28">
      <c r="A5376" s="384"/>
      <c r="B5376" s="385"/>
      <c r="C5376" s="393"/>
      <c r="D5376" s="398"/>
      <c r="E5376" s="388"/>
      <c r="F5376" s="388"/>
      <c r="G5376" s="388"/>
      <c r="H5376" s="395"/>
      <c r="I5376" s="388"/>
      <c r="J5376" s="396"/>
      <c r="K5376" s="396"/>
      <c r="L5376" s="404"/>
      <c r="M5376" s="399"/>
      <c r="N5376" s="399"/>
      <c r="O5376" s="396"/>
      <c r="P5376" s="389"/>
      <c r="Q5376" s="396"/>
      <c r="R5376" s="396"/>
      <c r="S5376" s="396"/>
      <c r="T5376" s="396"/>
      <c r="U5376" s="401"/>
      <c r="V5376" s="396"/>
      <c r="W5376" s="399"/>
      <c r="X5376" s="396"/>
      <c r="Y5376" s="389"/>
      <c r="Z5376" s="396"/>
      <c r="AA5376" s="388"/>
      <c r="AB5376" s="390"/>
    </row>
    <row r="5377" spans="1:28">
      <c r="A5377" s="384" t="str">
        <f t="shared" ref="A5377:B5377" si="17367">A5365</f>
        <v>Lantai 3</v>
      </c>
      <c r="B5377" s="385">
        <f t="shared" si="17367"/>
        <v>37</v>
      </c>
      <c r="C5377" s="393" t="s">
        <v>208</v>
      </c>
      <c r="D5377" s="398">
        <f>VLOOKUP(D5365,'Detail Balok'!$C$10:$AU$140,13,FALSE)</f>
        <v>2</v>
      </c>
      <c r="E5377" s="388" t="s">
        <v>16</v>
      </c>
      <c r="F5377" s="388">
        <f>VLOOKUP(D5365,'Detail Balok'!$C$10:$AU$140,15,FALSE)</f>
        <v>10</v>
      </c>
      <c r="G5377" s="388"/>
      <c r="H5377" s="395"/>
      <c r="I5377" s="388"/>
      <c r="J5377" s="399">
        <f t="shared" ref="J5377" si="17368">+D5367/1000</f>
        <v>4.0750000000000002</v>
      </c>
      <c r="K5377" s="400" t="s">
        <v>204</v>
      </c>
      <c r="L5377" s="399">
        <f t="shared" ref="L5377" si="17369">2*$F$16*F5377/1000</f>
        <v>0.24</v>
      </c>
      <c r="M5377" s="399" t="s">
        <v>176</v>
      </c>
      <c r="N5377" s="399">
        <f t="shared" ref="N5377" si="17370">J5377+L5377</f>
        <v>4.3150000000000004</v>
      </c>
      <c r="O5377" s="399" t="s">
        <v>204</v>
      </c>
      <c r="P5377" s="389">
        <f t="shared" ref="P5377" si="17371">IF(N5377&gt;12,ROUNDDOWN(N5377/12,0),0)</f>
        <v>0</v>
      </c>
      <c r="Q5377" s="399" t="s">
        <v>125</v>
      </c>
      <c r="R5377" s="399">
        <f t="shared" ref="R5377" si="17372">IF(P5377&gt;0,MAX(VLOOKUP(F5377,$D$6:$G$15,3,FALSE),600),0)/1000</f>
        <v>0</v>
      </c>
      <c r="S5377" s="399"/>
      <c r="T5377" s="399" t="s">
        <v>125</v>
      </c>
      <c r="U5377" s="401">
        <f t="shared" ref="U5377" si="17373">0.006165*F5377^2</f>
        <v>0.61650000000000005</v>
      </c>
      <c r="V5377" s="399" t="s">
        <v>125</v>
      </c>
      <c r="W5377" s="399">
        <f t="shared" ref="W5377" si="17374">+D5377</f>
        <v>2</v>
      </c>
      <c r="X5377" s="399" t="s">
        <v>125</v>
      </c>
      <c r="Y5377" s="389">
        <f t="shared" ref="Y5377" si="17375">D5371</f>
        <v>1</v>
      </c>
      <c r="Z5377" s="400" t="s">
        <v>176</v>
      </c>
      <c r="AA5377" s="402">
        <f t="shared" ref="AA5377" si="17376">(N5377+P5377*R5377/1000)*U5377*W5377*Y5377</f>
        <v>5.3203950000000013</v>
      </c>
      <c r="AB5377" s="403"/>
    </row>
    <row r="5378" spans="1:28">
      <c r="A5378" s="384"/>
      <c r="B5378" s="385"/>
      <c r="C5378" s="393"/>
      <c r="D5378" s="398"/>
      <c r="E5378" s="388"/>
      <c r="F5378" s="388"/>
      <c r="G5378" s="388"/>
      <c r="H5378" s="395"/>
      <c r="I5378" s="388"/>
      <c r="J5378" s="399"/>
      <c r="K5378" s="400"/>
      <c r="L5378" s="399"/>
      <c r="M5378" s="399"/>
      <c r="N5378" s="399"/>
      <c r="O5378" s="399"/>
      <c r="P5378" s="389"/>
      <c r="Q5378" s="399"/>
      <c r="R5378" s="399"/>
      <c r="S5378" s="399"/>
      <c r="T5378" s="399"/>
      <c r="U5378" s="401"/>
      <c r="V5378" s="399"/>
      <c r="W5378" s="399"/>
      <c r="X5378" s="399"/>
      <c r="Y5378" s="389"/>
      <c r="Z5378" s="400"/>
      <c r="AA5378" s="402"/>
      <c r="AB5378" s="403"/>
    </row>
    <row r="5379" spans="1:28">
      <c r="A5379" s="384"/>
      <c r="B5379" s="385"/>
      <c r="C5379" s="393"/>
      <c r="D5379" s="398"/>
      <c r="E5379" s="388"/>
      <c r="F5379" s="388"/>
      <c r="G5379" s="388"/>
      <c r="H5379" s="395"/>
      <c r="I5379" s="388"/>
      <c r="J5379" s="396"/>
      <c r="K5379" s="396"/>
      <c r="L5379" s="396"/>
      <c r="M5379" s="396"/>
      <c r="N5379" s="396"/>
      <c r="O5379" s="396"/>
      <c r="P5379" s="389"/>
      <c r="Q5379" s="396"/>
      <c r="R5379" s="396"/>
      <c r="S5379" s="396"/>
      <c r="T5379" s="396"/>
      <c r="U5379" s="401"/>
      <c r="V5379" s="396"/>
      <c r="W5379" s="399"/>
      <c r="X5379" s="396"/>
      <c r="Y5379" s="389"/>
      <c r="Z5379" s="396"/>
      <c r="AA5379" s="388"/>
      <c r="AB5379" s="390"/>
    </row>
    <row r="5380" spans="1:28">
      <c r="A5380" s="384" t="str">
        <f t="shared" ref="A5380:B5380" si="17377">A5365</f>
        <v>Lantai 3</v>
      </c>
      <c r="B5380" s="385">
        <f t="shared" si="17377"/>
        <v>37</v>
      </c>
      <c r="C5380" s="393" t="s">
        <v>209</v>
      </c>
      <c r="D5380" s="398">
        <f>VLOOKUP(D5365,'Detail Balok'!$C$10:$AU$140,22,FALSE)</f>
        <v>4</v>
      </c>
      <c r="E5380" s="388" t="s">
        <v>16</v>
      </c>
      <c r="F5380" s="388">
        <f>VLOOKUP(D5365,'Detail Balok'!$C$10:$AU$140,24,FALSE)</f>
        <v>16</v>
      </c>
      <c r="G5380" s="388"/>
      <c r="H5380" s="395"/>
      <c r="I5380" s="388" t="s">
        <v>203</v>
      </c>
      <c r="J5380" s="399">
        <f t="shared" si="17184"/>
        <v>1.01875</v>
      </c>
      <c r="K5380" s="400" t="s">
        <v>204</v>
      </c>
      <c r="L5380" s="399">
        <f t="shared" ref="L5380" si="17378">MAX(VLOOKUP(F5380,N$6:P$15,3,FALSE)/1000,2/3*D5370/1000)+F$16*F5380/1000</f>
        <v>0.192</v>
      </c>
      <c r="M5380" s="399" t="s">
        <v>176</v>
      </c>
      <c r="N5380" s="399">
        <f t="shared" ref="N5380:N5382" si="17379">J5380+L5380</f>
        <v>1.21075</v>
      </c>
      <c r="O5380" s="399" t="s">
        <v>204</v>
      </c>
      <c r="P5380" s="389">
        <f t="shared" ref="P5380" si="17380">D5380-D5381</f>
        <v>0</v>
      </c>
      <c r="Q5380" s="399" t="s">
        <v>125</v>
      </c>
      <c r="R5380" s="399">
        <f t="shared" ref="R5380" si="17381">IF(P5380&gt;0,$F$18*F5380/1000,0)</f>
        <v>0</v>
      </c>
      <c r="S5380" s="399" t="s">
        <v>205</v>
      </c>
      <c r="T5380" s="399" t="s">
        <v>125</v>
      </c>
      <c r="U5380" s="401">
        <f t="shared" ref="U5380:U5382" si="17382">0.006165*F5380^2</f>
        <v>1.5782400000000001</v>
      </c>
      <c r="V5380" s="399"/>
      <c r="W5380" s="399"/>
      <c r="X5380" s="399" t="s">
        <v>125</v>
      </c>
      <c r="Y5380" s="389">
        <f t="shared" ref="Y5380" si="17383">D5371</f>
        <v>1</v>
      </c>
      <c r="Z5380" s="400" t="s">
        <v>176</v>
      </c>
      <c r="AA5380" s="402">
        <f t="shared" ref="AA5380" si="17384">IF(AA5383=0,(D5380*N5380+P5380*R5380)*U5380*Y5380,0)</f>
        <v>0</v>
      </c>
      <c r="AB5380" s="403"/>
    </row>
    <row r="5381" spans="1:28">
      <c r="A5381" s="384" t="str">
        <f t="shared" ref="A5381:B5381" si="17385">A5365</f>
        <v>Lantai 3</v>
      </c>
      <c r="B5381" s="385">
        <f t="shared" si="17385"/>
        <v>37</v>
      </c>
      <c r="C5381" s="393" t="s">
        <v>210</v>
      </c>
      <c r="D5381" s="398">
        <f>VLOOKUP(D5365,'Detail Balok'!$C$10:$AU$140,25,FALSE)</f>
        <v>4</v>
      </c>
      <c r="E5381" s="388" t="s">
        <v>16</v>
      </c>
      <c r="F5381" s="388">
        <f>VLOOKUP(D5365,'Detail Balok'!$C$10:$AU$140,27,FALSE)</f>
        <v>16</v>
      </c>
      <c r="G5381" s="388"/>
      <c r="H5381" s="395"/>
      <c r="I5381" s="388" t="s">
        <v>203</v>
      </c>
      <c r="J5381" s="399">
        <f t="shared" si="17184"/>
        <v>2.0375000000000001</v>
      </c>
      <c r="K5381" s="400" t="s">
        <v>204</v>
      </c>
      <c r="L5381" s="399"/>
      <c r="M5381" s="399" t="s">
        <v>176</v>
      </c>
      <c r="N5381" s="399">
        <f t="shared" si="17379"/>
        <v>2.0375000000000001</v>
      </c>
      <c r="O5381" s="399" t="s">
        <v>204</v>
      </c>
      <c r="P5381" s="389">
        <f t="shared" ref="P5381" si="17386">MAX(D5381-D5380,D5381-D5382)</f>
        <v>0</v>
      </c>
      <c r="Q5381" s="399" t="s">
        <v>125</v>
      </c>
      <c r="R5381" s="399">
        <f t="shared" ref="R5381" si="17387">IF(P5381&gt;0,2*(1-2*$F$19-1/2)*D5368/1000,0)</f>
        <v>0</v>
      </c>
      <c r="S5381" s="399" t="s">
        <v>205</v>
      </c>
      <c r="T5381" s="399" t="s">
        <v>125</v>
      </c>
      <c r="U5381" s="401">
        <f t="shared" si="17382"/>
        <v>1.5782400000000001</v>
      </c>
      <c r="V5381" s="399"/>
      <c r="W5381" s="399"/>
      <c r="X5381" s="399" t="s">
        <v>125</v>
      </c>
      <c r="Y5381" s="389">
        <f t="shared" ref="Y5381" si="17388">D5371</f>
        <v>1</v>
      </c>
      <c r="Z5381" s="400" t="s">
        <v>176</v>
      </c>
      <c r="AA5381" s="402">
        <f t="shared" ref="AA5381" si="17389">IF(AA5383=0,(D5381*N5381+P5381*R5381)*U5381*Y5381,0)</f>
        <v>0</v>
      </c>
      <c r="AB5381" s="403"/>
    </row>
    <row r="5382" spans="1:28">
      <c r="A5382" s="384" t="str">
        <f t="shared" ref="A5382:B5382" si="17390">A5365</f>
        <v>Lantai 3</v>
      </c>
      <c r="B5382" s="385">
        <f t="shared" si="17390"/>
        <v>37</v>
      </c>
      <c r="C5382" s="393" t="s">
        <v>209</v>
      </c>
      <c r="D5382" s="398">
        <f>VLOOKUP(D5365,'Detail Balok'!$C$10:$AU$140,28,FALSE)</f>
        <v>4</v>
      </c>
      <c r="E5382" s="388" t="s">
        <v>16</v>
      </c>
      <c r="F5382" s="388">
        <f>VLOOKUP(D5365,'Detail Balok'!$C$10:$AU$140,30,FALSE)</f>
        <v>16</v>
      </c>
      <c r="G5382" s="388"/>
      <c r="H5382" s="395"/>
      <c r="I5382" s="388" t="s">
        <v>203</v>
      </c>
      <c r="J5382" s="399">
        <f t="shared" si="17184"/>
        <v>1.01875</v>
      </c>
      <c r="K5382" s="400" t="s">
        <v>204</v>
      </c>
      <c r="L5382" s="399">
        <f t="shared" ref="L5382" si="17391">MAX(VLOOKUP(F5382,N$6:P$15,3,FALSE)/1000,2/3*D5370/1000)+F$16*F5382/1000</f>
        <v>0.192</v>
      </c>
      <c r="M5382" s="399" t="s">
        <v>176</v>
      </c>
      <c r="N5382" s="399">
        <f t="shared" si="17379"/>
        <v>1.21075</v>
      </c>
      <c r="O5382" s="399" t="s">
        <v>204</v>
      </c>
      <c r="P5382" s="389">
        <f t="shared" ref="P5382" si="17392">D5382-D5381</f>
        <v>0</v>
      </c>
      <c r="Q5382" s="399" t="s">
        <v>125</v>
      </c>
      <c r="R5382" s="399">
        <f t="shared" ref="R5382" si="17393">IF(P5382&gt;0,$F$18*F5382/1000,0)</f>
        <v>0</v>
      </c>
      <c r="S5382" s="399" t="s">
        <v>205</v>
      </c>
      <c r="T5382" s="399" t="s">
        <v>125</v>
      </c>
      <c r="U5382" s="401">
        <f t="shared" si="17382"/>
        <v>1.5782400000000001</v>
      </c>
      <c r="V5382" s="399"/>
      <c r="W5382" s="399"/>
      <c r="X5382" s="399" t="s">
        <v>125</v>
      </c>
      <c r="Y5382" s="389">
        <f t="shared" ref="Y5382" si="17394">D5371</f>
        <v>1</v>
      </c>
      <c r="Z5382" s="400" t="s">
        <v>176</v>
      </c>
      <c r="AA5382" s="402">
        <f t="shared" ref="AA5382" si="17395">IF(AA5383=0,(D5382*N5382+P5382*R5382)*U5382*Y5382,0)</f>
        <v>0</v>
      </c>
      <c r="AB5382" s="403"/>
    </row>
    <row r="5383" spans="1:28">
      <c r="A5383" s="384" t="str">
        <f t="shared" ref="A5383:B5383" si="17396">A5365</f>
        <v>Lantai 3</v>
      </c>
      <c r="B5383" s="385">
        <f t="shared" si="17396"/>
        <v>37</v>
      </c>
      <c r="C5383" s="393"/>
      <c r="D5383" s="398">
        <f t="shared" si="17204"/>
        <v>4</v>
      </c>
      <c r="E5383" s="388" t="s">
        <v>16</v>
      </c>
      <c r="F5383" s="388">
        <f t="shared" si="17205"/>
        <v>16</v>
      </c>
      <c r="G5383" s="388"/>
      <c r="H5383" s="395"/>
      <c r="I5383" s="388"/>
      <c r="J5383" s="396"/>
      <c r="K5383" s="396"/>
      <c r="L5383" s="404" t="s">
        <v>207</v>
      </c>
      <c r="M5383" s="399" t="s">
        <v>176</v>
      </c>
      <c r="N5383" s="399">
        <f t="shared" ref="N5383" si="17397">IF(AND(D5380=D5381,D5380=D5382,D5381=D5382,F5380=F5381,F5380=F5382,F5381=F5382),SUM(N5380:N5382),0)</f>
        <v>4.4589999999999996</v>
      </c>
      <c r="O5383" s="399" t="s">
        <v>204</v>
      </c>
      <c r="P5383" s="389">
        <f t="shared" ref="P5383" si="17398">IF(N5383&gt;12,ROUNDDOWN(N5383/12,0),0)</f>
        <v>0</v>
      </c>
      <c r="Q5383" s="399" t="s">
        <v>125</v>
      </c>
      <c r="R5383" s="399">
        <f t="shared" ref="R5383" si="17399">IF(P5383&gt;0,MAX(VLOOKUP(F5383,$D$6:$G$15,3,FALSE),600),0)/1000</f>
        <v>0</v>
      </c>
      <c r="S5383" s="396"/>
      <c r="T5383" s="396" t="s">
        <v>125</v>
      </c>
      <c r="U5383" s="401">
        <f t="shared" si="17209"/>
        <v>1.5782400000000001</v>
      </c>
      <c r="V5383" s="396" t="s">
        <v>125</v>
      </c>
      <c r="W5383" s="399">
        <f t="shared" ref="W5383" si="17400">D5383</f>
        <v>4</v>
      </c>
      <c r="X5383" s="399" t="s">
        <v>125</v>
      </c>
      <c r="Y5383" s="389">
        <f t="shared" si="17211"/>
        <v>1</v>
      </c>
      <c r="Z5383" s="400" t="s">
        <v>176</v>
      </c>
      <c r="AA5383" s="402">
        <f t="shared" ref="AA5383" si="17401">(N5383+P5383*R5383/1000)*U5383*W5383*Y5383</f>
        <v>28.149488639999998</v>
      </c>
      <c r="AB5383" s="403"/>
    </row>
    <row r="5384" spans="1:28">
      <c r="A5384" s="384"/>
      <c r="B5384" s="385"/>
      <c r="C5384" s="393"/>
      <c r="D5384" s="394"/>
      <c r="E5384" s="388"/>
      <c r="F5384" s="388"/>
      <c r="G5384" s="388"/>
      <c r="H5384" s="395"/>
      <c r="I5384" s="388"/>
      <c r="J5384" s="399"/>
      <c r="K5384" s="396"/>
      <c r="L5384" s="396"/>
      <c r="M5384" s="396"/>
      <c r="N5384" s="396"/>
      <c r="O5384" s="396"/>
      <c r="P5384" s="389"/>
      <c r="Q5384" s="396"/>
      <c r="R5384" s="396"/>
      <c r="S5384" s="396"/>
      <c r="T5384" s="396"/>
      <c r="U5384" s="401"/>
      <c r="V5384" s="396"/>
      <c r="W5384" s="388"/>
      <c r="X5384" s="396"/>
      <c r="Y5384" s="389"/>
      <c r="Z5384" s="396"/>
      <c r="AA5384" s="388"/>
      <c r="AB5384" s="390"/>
    </row>
    <row r="5385" spans="1:28">
      <c r="A5385" s="384" t="str">
        <f t="shared" ref="A5385:B5385" si="17402">A5365</f>
        <v>Lantai 3</v>
      </c>
      <c r="B5385" s="385">
        <f t="shared" si="17402"/>
        <v>37</v>
      </c>
      <c r="C5385" s="393" t="s">
        <v>211</v>
      </c>
      <c r="D5385" s="398">
        <f>VLOOKUP(D5365,'Detail Balok'!$C$10:$AU$140,31,FALSE)</f>
        <v>0</v>
      </c>
      <c r="E5385" s="388" t="s">
        <v>16</v>
      </c>
      <c r="F5385" s="388">
        <f>VLOOKUP(D5365,'Detail Balok'!$C$10:$AU$140,33,FALSE)</f>
        <v>10</v>
      </c>
      <c r="G5385" s="405" t="s">
        <v>157</v>
      </c>
      <c r="H5385" s="395">
        <f>VLOOKUP(D5365,'Detail Balok'!$C$10:$AU$140,35,FALSE)</f>
        <v>150</v>
      </c>
      <c r="I5385" s="388"/>
      <c r="J5385" s="400">
        <f t="shared" ref="J5385" si="17403">(IF(D5385=0,(2*(D5366+G5366))-(F$5*8),IF(D5385=3,(2*(D5366+G5366))-(F$5*8)+(G5366-2*F$5),IF(D5385=4,(2*(D5366+G5366))-(F$5*8)+2*(G5366-2*F$5)))))/1000</f>
        <v>1.08</v>
      </c>
      <c r="K5385" s="400" t="s">
        <v>204</v>
      </c>
      <c r="L5385" s="399">
        <f t="shared" ref="L5385:L5387" si="17404">IF(D5385=0,2*MAX(6*F5385,75),(D5385-1)*2*MAX(6*F5385,75))/1000</f>
        <v>0.15</v>
      </c>
      <c r="M5385" s="399" t="s">
        <v>176</v>
      </c>
      <c r="N5385" s="399">
        <f t="shared" ref="N5385:N5387" si="17405">J5385+L5385</f>
        <v>1.23</v>
      </c>
      <c r="O5385" s="399"/>
      <c r="P5385" s="389"/>
      <c r="Q5385" s="399"/>
      <c r="R5385" s="399"/>
      <c r="S5385" s="399"/>
      <c r="T5385" s="399" t="s">
        <v>125</v>
      </c>
      <c r="U5385" s="401">
        <f t="shared" ref="U5385:U5387" si="17406">0.006165*F5385^2</f>
        <v>0.61650000000000005</v>
      </c>
      <c r="V5385" s="399" t="s">
        <v>125</v>
      </c>
      <c r="W5385" s="399">
        <f t="shared" ref="W5385" si="17407">IF(D5368&gt;4*G5366,ROUND(MAX(D5368/4,2*G5366)/H5385,0)+1,ROUND(D5368/H5385,0)+1)</f>
        <v>8</v>
      </c>
      <c r="X5385" s="399" t="s">
        <v>125</v>
      </c>
      <c r="Y5385" s="389">
        <f t="shared" ref="Y5385" si="17408">D5371</f>
        <v>1</v>
      </c>
      <c r="Z5385" s="400" t="s">
        <v>176</v>
      </c>
      <c r="AA5385" s="402">
        <f t="shared" ref="AA5385:AA5387" si="17409">N5385*U5385*W5385*Y5385</f>
        <v>6.0663600000000004</v>
      </c>
      <c r="AB5385" s="403"/>
    </row>
    <row r="5386" spans="1:28">
      <c r="A5386" s="384" t="str">
        <f t="shared" ref="A5386:B5386" si="17410">A5365</f>
        <v>Lantai 3</v>
      </c>
      <c r="B5386" s="385">
        <f t="shared" si="17410"/>
        <v>37</v>
      </c>
      <c r="C5386" s="393" t="s">
        <v>212</v>
      </c>
      <c r="D5386" s="398">
        <f>VLOOKUP(D5365,'Detail Balok'!$C$10:$AU$140,36,FALSE)</f>
        <v>0</v>
      </c>
      <c r="E5386" s="388" t="s">
        <v>16</v>
      </c>
      <c r="F5386" s="388">
        <f>VLOOKUP(D5365,'Detail Balok'!$C$10:$AU$140,38,FALSE)</f>
        <v>10</v>
      </c>
      <c r="G5386" s="405" t="s">
        <v>157</v>
      </c>
      <c r="H5386" s="395">
        <f>VLOOKUP(D5365,'Detail Balok'!$C$10:$AU$140,40,FALSE)</f>
        <v>200</v>
      </c>
      <c r="I5386" s="388"/>
      <c r="J5386" s="400">
        <f t="shared" ref="J5386" si="17411">(IF(D5386=0,(2*(D5366+G5366))-(F$5*8),IF(D5386=3,(2*(D5366+G5366))-(F$5*8)+(G5366-2*F$5),IF(D5386=4,(2*(D5366+G5366))-(F$5*8)+2*(G5366-2*F$5)))))/1000</f>
        <v>1.08</v>
      </c>
      <c r="K5386" s="400" t="s">
        <v>204</v>
      </c>
      <c r="L5386" s="399">
        <f t="shared" si="17404"/>
        <v>0.15</v>
      </c>
      <c r="M5386" s="399" t="s">
        <v>176</v>
      </c>
      <c r="N5386" s="399">
        <f t="shared" si="17405"/>
        <v>1.23</v>
      </c>
      <c r="O5386" s="399"/>
      <c r="P5386" s="389"/>
      <c r="Q5386" s="399"/>
      <c r="R5386" s="399"/>
      <c r="S5386" s="399"/>
      <c r="T5386" s="399" t="s">
        <v>125</v>
      </c>
      <c r="U5386" s="401">
        <f t="shared" si="17406"/>
        <v>0.61650000000000005</v>
      </c>
      <c r="V5386" s="399" t="s">
        <v>125</v>
      </c>
      <c r="W5386" s="399">
        <f t="shared" ref="W5386" si="17412">IF(D5368-MAX(D5368/4,2*G5366)*2&gt;0,ROUND((D5368-MAX(D5368/4,2*G5366)*2)/H5386,0),0)</f>
        <v>10</v>
      </c>
      <c r="X5386" s="399" t="s">
        <v>125</v>
      </c>
      <c r="Y5386" s="389">
        <f t="shared" ref="Y5386" si="17413">D5371</f>
        <v>1</v>
      </c>
      <c r="Z5386" s="400" t="s">
        <v>176</v>
      </c>
      <c r="AA5386" s="402">
        <f t="shared" si="17409"/>
        <v>7.5829500000000003</v>
      </c>
      <c r="AB5386" s="403"/>
    </row>
    <row r="5387" spans="1:28">
      <c r="A5387" s="384" t="str">
        <f t="shared" ref="A5387:B5387" si="17414">A5365</f>
        <v>Lantai 3</v>
      </c>
      <c r="B5387" s="385">
        <f t="shared" si="17414"/>
        <v>37</v>
      </c>
      <c r="C5387" s="393" t="s">
        <v>211</v>
      </c>
      <c r="D5387" s="398">
        <f>VLOOKUP(D5365,'Detail Balok'!$C$10:$AU$140,41,FALSE)</f>
        <v>0</v>
      </c>
      <c r="E5387" s="388" t="s">
        <v>16</v>
      </c>
      <c r="F5387" s="388">
        <f>VLOOKUP(D5365,'Detail Balok'!$C$10:$AU$140,43,FALSE)</f>
        <v>10</v>
      </c>
      <c r="G5387" s="405" t="s">
        <v>157</v>
      </c>
      <c r="H5387" s="395">
        <f>VLOOKUP(D5365,'Detail Balok'!$C$10:$AU$140,45,FALSE)</f>
        <v>150</v>
      </c>
      <c r="I5387" s="388"/>
      <c r="J5387" s="400">
        <f t="shared" ref="J5387" si="17415">(IF(D5387=0,(2*(D5366+G5366))-(F$5*8),IF(D5387=3,(2*(D5366+G5366))-(F$5*8)+(G5366-2*F$5),IF(D5387=4,(2*(D5366+G5366))-(F$5*8)+2*(G5366-2*F$5)))))/1000</f>
        <v>1.08</v>
      </c>
      <c r="K5387" s="400" t="s">
        <v>204</v>
      </c>
      <c r="L5387" s="399">
        <f t="shared" si="17404"/>
        <v>0.15</v>
      </c>
      <c r="M5387" s="399" t="s">
        <v>176</v>
      </c>
      <c r="N5387" s="399">
        <f t="shared" si="17405"/>
        <v>1.23</v>
      </c>
      <c r="O5387" s="399"/>
      <c r="P5387" s="389"/>
      <c r="Q5387" s="399"/>
      <c r="R5387" s="399"/>
      <c r="S5387" s="399"/>
      <c r="T5387" s="399" t="s">
        <v>125</v>
      </c>
      <c r="U5387" s="401">
        <f t="shared" si="17406"/>
        <v>0.61650000000000005</v>
      </c>
      <c r="V5387" s="399" t="s">
        <v>125</v>
      </c>
      <c r="W5387" s="399">
        <f t="shared" ref="W5387" si="17416">IF(D5368&gt;4*G5366,ROUND(MAX(D5368/4,2*G5366)/H5387,0)+1,0)</f>
        <v>8</v>
      </c>
      <c r="X5387" s="399" t="s">
        <v>125</v>
      </c>
      <c r="Y5387" s="389">
        <f t="shared" ref="Y5387" si="17417">D5371</f>
        <v>1</v>
      </c>
      <c r="Z5387" s="400" t="s">
        <v>176</v>
      </c>
      <c r="AA5387" s="402">
        <f t="shared" si="17409"/>
        <v>6.0663600000000004</v>
      </c>
      <c r="AB5387" s="403"/>
    </row>
    <row r="5388" spans="1:28">
      <c r="A5388" s="384"/>
      <c r="B5388" s="385"/>
      <c r="C5388" s="393"/>
      <c r="D5388" s="394"/>
      <c r="E5388" s="388"/>
      <c r="F5388" s="388"/>
      <c r="G5388" s="388"/>
      <c r="H5388" s="395"/>
      <c r="I5388" s="388"/>
      <c r="J5388" s="399"/>
      <c r="K5388" s="396"/>
      <c r="L5388" s="396"/>
      <c r="M5388" s="396"/>
      <c r="N5388" s="396"/>
      <c r="O5388" s="396"/>
      <c r="P5388" s="389"/>
      <c r="Q5388" s="396"/>
      <c r="R5388" s="396"/>
      <c r="S5388" s="396"/>
      <c r="T5388" s="396"/>
      <c r="U5388" s="401"/>
      <c r="V5388" s="396"/>
      <c r="W5388" s="388"/>
      <c r="X5388" s="396"/>
      <c r="Y5388" s="389"/>
      <c r="Z5388" s="396"/>
      <c r="AA5388" s="388"/>
      <c r="AB5388" s="390"/>
    </row>
    <row r="5389" spans="1:28">
      <c r="A5389" s="384" t="str">
        <f t="shared" ref="A5389:B5389" si="17418">A5365</f>
        <v>Lantai 3</v>
      </c>
      <c r="B5389" s="385">
        <f t="shared" si="17418"/>
        <v>37</v>
      </c>
      <c r="C5389" s="393" t="s">
        <v>213</v>
      </c>
      <c r="D5389" s="398">
        <f>VLOOKUP(D5365,'Detail Balok'!$C$10:$BJ$140,46,FALSE)</f>
        <v>0</v>
      </c>
      <c r="E5389" s="388" t="s">
        <v>16</v>
      </c>
      <c r="F5389" s="388">
        <f>VLOOKUP(D5365,'Detail Balok'!$C$10:$BJ$140,48,FALSE)</f>
        <v>0</v>
      </c>
      <c r="G5389" s="405" t="s">
        <v>157</v>
      </c>
      <c r="H5389" s="395">
        <f>VLOOKUP(D5365,'Detail Balok'!$C$10:$BJ$140,50,FALSE)</f>
        <v>100</v>
      </c>
      <c r="I5389" s="388"/>
      <c r="J5389" s="399">
        <f t="shared" ref="J5389" si="17419">(D5366-2*F$5)/1000</f>
        <v>0.12</v>
      </c>
      <c r="K5389" s="400" t="s">
        <v>204</v>
      </c>
      <c r="L5389" s="399">
        <f t="shared" ref="L5389:L5391" si="17420">IF(D5389=0,2*MAX(6*F5389,75),(D5389-1)*2*MAX(6*F5389,75))/1000</f>
        <v>0.15</v>
      </c>
      <c r="M5389" s="399" t="s">
        <v>176</v>
      </c>
      <c r="N5389" s="399">
        <f t="shared" ref="N5389:N5391" si="17421">J5389+L5389</f>
        <v>0.27</v>
      </c>
      <c r="O5389" s="399"/>
      <c r="P5389" s="399"/>
      <c r="Q5389" s="399"/>
      <c r="R5389" s="399"/>
      <c r="S5389" s="399"/>
      <c r="T5389" s="399" t="s">
        <v>125</v>
      </c>
      <c r="U5389" s="401">
        <f t="shared" ref="U5389:U5391" si="17422">0.006165*F5389^2</f>
        <v>0</v>
      </c>
      <c r="V5389" s="399" t="s">
        <v>125</v>
      </c>
      <c r="W5389" s="399">
        <f t="shared" si="17234"/>
        <v>8</v>
      </c>
      <c r="X5389" s="399" t="s">
        <v>125</v>
      </c>
      <c r="Y5389" s="389">
        <f t="shared" ref="Y5389" si="17423">D5375</f>
        <v>4</v>
      </c>
      <c r="Z5389" s="400" t="s">
        <v>176</v>
      </c>
      <c r="AA5389" s="402">
        <f t="shared" ref="AA5389:AA5391" si="17424">N5389*U5389*W5389*Y5389</f>
        <v>0</v>
      </c>
      <c r="AB5389" s="403"/>
    </row>
    <row r="5390" spans="1:28">
      <c r="A5390" s="384" t="str">
        <f t="shared" ref="A5390:B5390" si="17425">A5365</f>
        <v>Lantai 3</v>
      </c>
      <c r="B5390" s="385">
        <f t="shared" si="17425"/>
        <v>37</v>
      </c>
      <c r="C5390" s="393" t="s">
        <v>214</v>
      </c>
      <c r="D5390" s="398">
        <f>VLOOKUP(D5365,'Detail Balok'!$C$10:$BJ$140,51,FALSE)</f>
        <v>0</v>
      </c>
      <c r="E5390" s="388" t="s">
        <v>16</v>
      </c>
      <c r="F5390" s="388">
        <f>VLOOKUP(D5365,'Detail Balok'!$C$10:$BJ$140,53,FALSE)</f>
        <v>0</v>
      </c>
      <c r="G5390" s="405" t="s">
        <v>157</v>
      </c>
      <c r="H5390" s="395">
        <f>VLOOKUP(D5365,'Detail Balok'!$C$10:$BJ$140,55,FALSE)</f>
        <v>100</v>
      </c>
      <c r="I5390" s="388"/>
      <c r="J5390" s="399">
        <f t="shared" ref="J5390" si="17426">(D5366-2*F$5)/1000</f>
        <v>0.12</v>
      </c>
      <c r="K5390" s="400" t="s">
        <v>204</v>
      </c>
      <c r="L5390" s="399">
        <f t="shared" si="17420"/>
        <v>0.15</v>
      </c>
      <c r="M5390" s="399" t="s">
        <v>176</v>
      </c>
      <c r="N5390" s="399">
        <f t="shared" si="17421"/>
        <v>0.27</v>
      </c>
      <c r="O5390" s="399"/>
      <c r="P5390" s="399"/>
      <c r="Q5390" s="399"/>
      <c r="R5390" s="399"/>
      <c r="S5390" s="399"/>
      <c r="T5390" s="399" t="s">
        <v>125</v>
      </c>
      <c r="U5390" s="401">
        <f t="shared" si="17422"/>
        <v>0</v>
      </c>
      <c r="V5390" s="399" t="s">
        <v>125</v>
      </c>
      <c r="W5390" s="399">
        <f t="shared" si="17234"/>
        <v>10</v>
      </c>
      <c r="X5390" s="399" t="s">
        <v>125</v>
      </c>
      <c r="Y5390" s="389">
        <f t="shared" ref="Y5390" si="17427">D5375</f>
        <v>4</v>
      </c>
      <c r="Z5390" s="400" t="s">
        <v>176</v>
      </c>
      <c r="AA5390" s="402">
        <f t="shared" si="17424"/>
        <v>0</v>
      </c>
      <c r="AB5390" s="403"/>
    </row>
    <row r="5391" spans="1:28">
      <c r="A5391" s="384" t="str">
        <f t="shared" ref="A5391:B5391" si="17428">A5365</f>
        <v>Lantai 3</v>
      </c>
      <c r="B5391" s="385">
        <f t="shared" si="17428"/>
        <v>37</v>
      </c>
      <c r="C5391" s="393" t="s">
        <v>213</v>
      </c>
      <c r="D5391" s="398">
        <f>VLOOKUP(D5365,'Detail Balok'!$C$10:$BJ$140,56,FALSE)</f>
        <v>0</v>
      </c>
      <c r="E5391" s="388" t="s">
        <v>16</v>
      </c>
      <c r="F5391" s="388">
        <f>VLOOKUP(D5365,'Detail Balok'!$C$10:$BJ$140,58,FALSE)</f>
        <v>0</v>
      </c>
      <c r="G5391" s="405" t="s">
        <v>157</v>
      </c>
      <c r="H5391" s="395">
        <f>VLOOKUP(D5365,'Detail Balok'!$C$10:$BJ$140,60,FALSE)</f>
        <v>100</v>
      </c>
      <c r="I5391" s="388"/>
      <c r="J5391" s="399">
        <f t="shared" ref="J5391" si="17429">(D5366-2*F$5)/1000</f>
        <v>0.12</v>
      </c>
      <c r="K5391" s="400" t="s">
        <v>204</v>
      </c>
      <c r="L5391" s="399">
        <f t="shared" si="17420"/>
        <v>0.15</v>
      </c>
      <c r="M5391" s="399" t="s">
        <v>176</v>
      </c>
      <c r="N5391" s="399">
        <f t="shared" si="17421"/>
        <v>0.27</v>
      </c>
      <c r="O5391" s="399"/>
      <c r="P5391" s="399"/>
      <c r="Q5391" s="399"/>
      <c r="R5391" s="399"/>
      <c r="S5391" s="399"/>
      <c r="T5391" s="399" t="s">
        <v>125</v>
      </c>
      <c r="U5391" s="401">
        <f t="shared" si="17422"/>
        <v>0</v>
      </c>
      <c r="V5391" s="399" t="s">
        <v>125</v>
      </c>
      <c r="W5391" s="399">
        <f t="shared" si="17234"/>
        <v>8</v>
      </c>
      <c r="X5391" s="399" t="s">
        <v>125</v>
      </c>
      <c r="Y5391" s="389">
        <f t="shared" ref="Y5391" si="17430">D5375</f>
        <v>4</v>
      </c>
      <c r="Z5391" s="400" t="s">
        <v>176</v>
      </c>
      <c r="AA5391" s="402">
        <f t="shared" si="17424"/>
        <v>0</v>
      </c>
      <c r="AB5391" s="403"/>
    </row>
    <row r="5392" spans="1:28">
      <c r="A5392" s="391"/>
      <c r="B5392" s="392"/>
      <c r="C5392" s="392"/>
      <c r="D5392" s="394"/>
      <c r="E5392" s="388"/>
      <c r="F5392" s="388"/>
      <c r="G5392" s="388"/>
      <c r="H5392" s="395"/>
      <c r="I5392" s="388"/>
      <c r="J5392" s="402"/>
      <c r="K5392" s="388"/>
      <c r="L5392" s="388"/>
      <c r="M5392" s="388"/>
      <c r="N5392" s="388"/>
      <c r="O5392" s="388"/>
      <c r="P5392" s="388"/>
      <c r="Q5392" s="388"/>
      <c r="R5392" s="388"/>
      <c r="S5392" s="388"/>
      <c r="T5392" s="388"/>
      <c r="U5392" s="388"/>
      <c r="V5392" s="388"/>
      <c r="W5392" s="388"/>
      <c r="X5392" s="388"/>
      <c r="Y5392" s="389"/>
      <c r="Z5392" s="388"/>
      <c r="AA5392" s="402"/>
      <c r="AB5392" s="403"/>
    </row>
    <row r="5393" spans="1:28" ht="15.75" thickBot="1">
      <c r="A5393" s="406"/>
      <c r="B5393" s="407"/>
      <c r="C5393" s="407"/>
      <c r="D5393" s="408"/>
      <c r="E5393" s="409"/>
      <c r="F5393" s="409"/>
      <c r="G5393" s="409"/>
      <c r="H5393" s="410"/>
      <c r="I5393" s="409"/>
      <c r="J5393" s="409"/>
      <c r="K5393" s="409"/>
      <c r="L5393" s="409"/>
      <c r="M5393" s="409"/>
      <c r="N5393" s="409"/>
      <c r="O5393" s="409"/>
      <c r="P5393" s="409"/>
      <c r="Q5393" s="409"/>
      <c r="R5393" s="409"/>
      <c r="S5393" s="409"/>
      <c r="T5393" s="409"/>
      <c r="U5393" s="409"/>
      <c r="V5393" s="409"/>
      <c r="W5393" s="409"/>
      <c r="X5393" s="409"/>
      <c r="Y5393" s="411"/>
      <c r="Z5393" s="409"/>
      <c r="AA5393" s="412"/>
      <c r="AB5393" s="413"/>
    </row>
    <row r="5394" spans="1:28">
      <c r="A5394" s="377"/>
      <c r="B5394" s="378"/>
      <c r="C5394" s="378"/>
      <c r="D5394" s="379"/>
      <c r="E5394" s="380"/>
      <c r="F5394" s="380"/>
      <c r="G5394" s="380"/>
      <c r="H5394" s="381"/>
      <c r="I5394" s="380"/>
      <c r="J5394" s="380"/>
      <c r="K5394" s="380"/>
      <c r="L5394" s="380"/>
      <c r="M5394" s="380"/>
      <c r="N5394" s="380"/>
      <c r="O5394" s="380"/>
      <c r="P5394" s="380"/>
      <c r="Q5394" s="380"/>
      <c r="R5394" s="380"/>
      <c r="S5394" s="380"/>
      <c r="T5394" s="380"/>
      <c r="U5394" s="380"/>
      <c r="V5394" s="380"/>
      <c r="W5394" s="380"/>
      <c r="X5394" s="380"/>
      <c r="Y5394" s="382"/>
      <c r="Z5394" s="380"/>
      <c r="AA5394" s="380"/>
      <c r="AB5394" s="383"/>
    </row>
    <row r="5395" spans="1:28">
      <c r="A5395" s="384" t="str">
        <f t="shared" si="17243"/>
        <v>Lantai 3</v>
      </c>
      <c r="B5395" s="385">
        <f t="shared" si="17244"/>
        <v>38</v>
      </c>
      <c r="C5395" s="386" t="str">
        <f t="shared" ref="C5395" si="17431">CONCATENATE(A5395," no. ",B5395)</f>
        <v>Lantai 3 no. 38</v>
      </c>
      <c r="D5395" s="2562" t="str">
        <f>VLOOKUP(C5395,'Data Panjang Balok'!$C$9:$N$254,2,FALSE)</f>
        <v>B24-1</v>
      </c>
      <c r="E5395" s="2576"/>
      <c r="F5395" s="2576"/>
      <c r="G5395" s="2576"/>
      <c r="H5395" s="2577"/>
      <c r="I5395" s="387"/>
      <c r="J5395" s="388"/>
      <c r="K5395" s="388"/>
      <c r="L5395" s="388"/>
      <c r="M5395" s="388"/>
      <c r="N5395" s="388"/>
      <c r="O5395" s="388"/>
      <c r="P5395" s="388"/>
      <c r="Q5395" s="388"/>
      <c r="R5395" s="388"/>
      <c r="S5395" s="388"/>
      <c r="T5395" s="388"/>
      <c r="U5395" s="388"/>
      <c r="V5395" s="388"/>
      <c r="W5395" s="388"/>
      <c r="X5395" s="388"/>
      <c r="Y5395" s="389"/>
      <c r="Z5395" s="388"/>
      <c r="AA5395" s="388"/>
      <c r="AB5395" s="390"/>
    </row>
    <row r="5396" spans="1:28">
      <c r="A5396" s="391"/>
      <c r="B5396" s="392"/>
      <c r="C5396" s="393" t="s">
        <v>118</v>
      </c>
      <c r="D5396" s="2578">
        <f>VLOOKUP(D5395,'Detail Balok'!$C$10:$AU$140,2,FALSE)</f>
        <v>200</v>
      </c>
      <c r="E5396" s="2579"/>
      <c r="F5396" s="388" t="s">
        <v>125</v>
      </c>
      <c r="G5396" s="2579">
        <f>VLOOKUP(D5395,'Detail Balok'!$C$10:$AU$140,3,FALSE)</f>
        <v>400</v>
      </c>
      <c r="H5396" s="2580"/>
      <c r="I5396" s="388"/>
      <c r="J5396" s="396"/>
      <c r="K5396" s="396"/>
      <c r="L5396" s="396"/>
      <c r="M5396" s="396"/>
      <c r="N5396" s="396"/>
      <c r="O5396" s="396"/>
      <c r="P5396" s="396"/>
      <c r="Q5396" s="396"/>
      <c r="R5396" s="396"/>
      <c r="S5396" s="396"/>
      <c r="T5396" s="396"/>
      <c r="U5396" s="388"/>
      <c r="V5396" s="396"/>
      <c r="W5396" s="388"/>
      <c r="X5396" s="396"/>
      <c r="Y5396" s="389"/>
      <c r="Z5396" s="396"/>
      <c r="AA5396" s="388"/>
      <c r="AB5396" s="390"/>
    </row>
    <row r="5397" spans="1:28">
      <c r="A5397" s="391"/>
      <c r="B5397" s="392"/>
      <c r="C5397" s="393" t="s">
        <v>198</v>
      </c>
      <c r="D5397" s="2562">
        <f>VLOOKUP(C5395,'Data Panjang Balok'!$C$9:$N$254,4,FALSE)</f>
        <v>2875</v>
      </c>
      <c r="E5397" s="2563"/>
      <c r="F5397" s="2563"/>
      <c r="G5397" s="2563"/>
      <c r="H5397" s="2564"/>
      <c r="I5397" s="397"/>
      <c r="J5397" s="396"/>
      <c r="K5397" s="396"/>
      <c r="L5397" s="396"/>
      <c r="M5397" s="396"/>
      <c r="N5397" s="396"/>
      <c r="O5397" s="396"/>
      <c r="P5397" s="396"/>
      <c r="Q5397" s="396"/>
      <c r="R5397" s="396"/>
      <c r="S5397" s="396"/>
      <c r="T5397" s="396"/>
      <c r="U5397" s="388"/>
      <c r="V5397" s="396"/>
      <c r="W5397" s="388"/>
      <c r="X5397" s="396"/>
      <c r="Y5397" s="389"/>
      <c r="Z5397" s="396"/>
      <c r="AA5397" s="388"/>
      <c r="AB5397" s="390"/>
    </row>
    <row r="5398" spans="1:28">
      <c r="A5398" s="391"/>
      <c r="B5398" s="392"/>
      <c r="C5398" s="393" t="s">
        <v>199</v>
      </c>
      <c r="D5398" s="2562">
        <f>VLOOKUP(C5395,'Data Panjang Balok'!$C$9:$N$254,7,FALSE)</f>
        <v>2875</v>
      </c>
      <c r="E5398" s="2563"/>
      <c r="F5398" s="2563"/>
      <c r="G5398" s="2563"/>
      <c r="H5398" s="2564"/>
      <c r="I5398" s="397"/>
      <c r="J5398" s="396"/>
      <c r="K5398" s="396"/>
      <c r="L5398" s="396"/>
      <c r="M5398" s="396"/>
      <c r="N5398" s="396"/>
      <c r="O5398" s="396"/>
      <c r="P5398" s="396"/>
      <c r="Q5398" s="396"/>
      <c r="R5398" s="396"/>
      <c r="S5398" s="396"/>
      <c r="T5398" s="396"/>
      <c r="U5398" s="388"/>
      <c r="V5398" s="396"/>
      <c r="W5398" s="388"/>
      <c r="X5398" s="396"/>
      <c r="Y5398" s="389"/>
      <c r="Z5398" s="396"/>
      <c r="AA5398" s="388"/>
      <c r="AB5398" s="390"/>
    </row>
    <row r="5399" spans="1:28">
      <c r="A5399" s="391"/>
      <c r="B5399" s="392"/>
      <c r="C5399" s="393" t="s">
        <v>200</v>
      </c>
      <c r="D5399" s="2562">
        <f>VLOOKUP(C5395,'Data Panjang Balok'!$C$9:$N$254,9,FALSE)</f>
        <v>0</v>
      </c>
      <c r="E5399" s="2563"/>
      <c r="F5399" s="2563"/>
      <c r="G5399" s="2563"/>
      <c r="H5399" s="2564"/>
      <c r="I5399" s="397"/>
      <c r="J5399" s="396"/>
      <c r="K5399" s="396"/>
      <c r="L5399" s="396"/>
      <c r="M5399" s="396"/>
      <c r="N5399" s="396"/>
      <c r="O5399" s="396"/>
      <c r="P5399" s="396"/>
      <c r="Q5399" s="396"/>
      <c r="R5399" s="396"/>
      <c r="S5399" s="396"/>
      <c r="T5399" s="396"/>
      <c r="U5399" s="388"/>
      <c r="V5399" s="396"/>
      <c r="W5399" s="388"/>
      <c r="X5399" s="396"/>
      <c r="Y5399" s="389"/>
      <c r="Z5399" s="396"/>
      <c r="AA5399" s="388"/>
      <c r="AB5399" s="390"/>
    </row>
    <row r="5400" spans="1:28">
      <c r="A5400" s="391"/>
      <c r="B5400" s="392"/>
      <c r="C5400" s="393" t="s">
        <v>201</v>
      </c>
      <c r="D5400" s="2562">
        <f>VLOOKUP(C5395,'Data Panjang Balok'!$C$9:$N$254,10,FALSE)</f>
        <v>0</v>
      </c>
      <c r="E5400" s="2563"/>
      <c r="F5400" s="2563"/>
      <c r="G5400" s="2563"/>
      <c r="H5400" s="2564"/>
      <c r="I5400" s="397"/>
      <c r="J5400" s="396"/>
      <c r="K5400" s="396"/>
      <c r="L5400" s="396"/>
      <c r="M5400" s="396"/>
      <c r="N5400" s="396"/>
      <c r="O5400" s="396"/>
      <c r="P5400" s="396"/>
      <c r="Q5400" s="396"/>
      <c r="R5400" s="396"/>
      <c r="S5400" s="396"/>
      <c r="T5400" s="396"/>
      <c r="U5400" s="388"/>
      <c r="V5400" s="396"/>
      <c r="W5400" s="388"/>
      <c r="X5400" s="396"/>
      <c r="Y5400" s="389"/>
      <c r="Z5400" s="396"/>
      <c r="AA5400" s="388"/>
      <c r="AB5400" s="390"/>
    </row>
    <row r="5401" spans="1:28">
      <c r="A5401" s="391"/>
      <c r="B5401" s="392"/>
      <c r="C5401" s="393" t="s">
        <v>48</v>
      </c>
      <c r="D5401" s="2562">
        <f>VLOOKUP(C5395,'Data Panjang Balok'!$C$9:$N$254,3,FALSE)</f>
        <v>1</v>
      </c>
      <c r="E5401" s="2563"/>
      <c r="F5401" s="2563"/>
      <c r="G5401" s="2563"/>
      <c r="H5401" s="2564"/>
      <c r="I5401" s="397"/>
      <c r="J5401" s="396"/>
      <c r="K5401" s="396"/>
      <c r="L5401" s="396"/>
      <c r="M5401" s="396"/>
      <c r="N5401" s="396"/>
      <c r="O5401" s="396"/>
      <c r="P5401" s="396"/>
      <c r="Q5401" s="396"/>
      <c r="R5401" s="396"/>
      <c r="S5401" s="396"/>
      <c r="T5401" s="396"/>
      <c r="U5401" s="388"/>
      <c r="V5401" s="396"/>
      <c r="W5401" s="388"/>
      <c r="X5401" s="396"/>
      <c r="Y5401" s="389"/>
      <c r="Z5401" s="396"/>
      <c r="AA5401" s="388"/>
      <c r="AB5401" s="390"/>
    </row>
    <row r="5402" spans="1:28">
      <c r="A5402" s="384" t="str">
        <f t="shared" ref="A5402:B5402" si="17432">A5395</f>
        <v>Lantai 3</v>
      </c>
      <c r="B5402" s="385">
        <f t="shared" si="17432"/>
        <v>38</v>
      </c>
      <c r="C5402" s="393" t="s">
        <v>202</v>
      </c>
      <c r="D5402" s="398">
        <f>VLOOKUP(D5395,'Detail Balok'!$C$10:$AU$140,4,FALSE)</f>
        <v>3</v>
      </c>
      <c r="E5402" s="388" t="s">
        <v>16</v>
      </c>
      <c r="F5402" s="388">
        <f>VLOOKUP(D5395,'Detail Balok'!$C$10:$AU$140,6,FALSE)</f>
        <v>13</v>
      </c>
      <c r="G5402" s="388"/>
      <c r="H5402" s="395"/>
      <c r="I5402" s="388" t="s">
        <v>203</v>
      </c>
      <c r="J5402" s="399">
        <f t="shared" ref="J5402" si="17433">+D5397/4/1000</f>
        <v>0.71875</v>
      </c>
      <c r="K5402" s="400" t="s">
        <v>204</v>
      </c>
      <c r="L5402" s="399">
        <f t="shared" ref="L5402" si="17434">MAX(VLOOKUP(F5402,N$6:P$15,3,FALSE)/1000,2/3*D5399/1000)+F$16*F5402/1000</f>
        <v>0.156</v>
      </c>
      <c r="M5402" s="399" t="s">
        <v>176</v>
      </c>
      <c r="N5402" s="399">
        <f t="shared" ref="N5402:N5404" si="17435">J5402+L5402</f>
        <v>0.87475000000000003</v>
      </c>
      <c r="O5402" s="399" t="s">
        <v>204</v>
      </c>
      <c r="P5402" s="389">
        <f t="shared" ref="P5402" si="17436">D5402-D5403</f>
        <v>0</v>
      </c>
      <c r="Q5402" s="399" t="s">
        <v>125</v>
      </c>
      <c r="R5402" s="399">
        <f t="shared" ref="R5402" si="17437">IF(P5402&gt;0,$F$18*F5402/1000,0)</f>
        <v>0</v>
      </c>
      <c r="S5402" s="399" t="s">
        <v>205</v>
      </c>
      <c r="T5402" s="399" t="s">
        <v>125</v>
      </c>
      <c r="U5402" s="401">
        <f t="shared" ref="U5402:U5404" si="17438">0.006165*F5402^2</f>
        <v>1.041885</v>
      </c>
      <c r="V5402" s="399"/>
      <c r="W5402" s="399"/>
      <c r="X5402" s="399" t="s">
        <v>125</v>
      </c>
      <c r="Y5402" s="389">
        <f t="shared" ref="Y5402" si="17439">D5401</f>
        <v>1</v>
      </c>
      <c r="Z5402" s="400" t="s">
        <v>176</v>
      </c>
      <c r="AA5402" s="402">
        <f t="shared" ref="AA5402" si="17440">IF(AA5405=0,(D5402*N5402+P5402*R5402)*U5402*Y5402,0)</f>
        <v>0</v>
      </c>
      <c r="AB5402" s="403"/>
    </row>
    <row r="5403" spans="1:28">
      <c r="A5403" s="384" t="str">
        <f t="shared" ref="A5403:B5403" si="17441">A5395</f>
        <v>Lantai 3</v>
      </c>
      <c r="B5403" s="385">
        <f t="shared" si="17441"/>
        <v>38</v>
      </c>
      <c r="C5403" s="393" t="s">
        <v>206</v>
      </c>
      <c r="D5403" s="398">
        <f>VLOOKUP(D5395,'Detail Balok'!$C$10:$AU$140,7,FALSE)</f>
        <v>3</v>
      </c>
      <c r="E5403" s="388" t="s">
        <v>16</v>
      </c>
      <c r="F5403" s="388">
        <f>VLOOKUP(D5395,'Detail Balok'!$C$10:$AU$140,9,FALSE)</f>
        <v>13</v>
      </c>
      <c r="G5403" s="388"/>
      <c r="H5403" s="395"/>
      <c r="I5403" s="388" t="s">
        <v>203</v>
      </c>
      <c r="J5403" s="399">
        <f t="shared" ref="J5403" si="17442">+D5397/2/1000</f>
        <v>1.4375</v>
      </c>
      <c r="K5403" s="400" t="s">
        <v>204</v>
      </c>
      <c r="L5403" s="399"/>
      <c r="M5403" s="399" t="s">
        <v>176</v>
      </c>
      <c r="N5403" s="399">
        <f t="shared" si="17435"/>
        <v>1.4375</v>
      </c>
      <c r="O5403" s="399" t="s">
        <v>204</v>
      </c>
      <c r="P5403" s="389">
        <f t="shared" ref="P5403" si="17443">MAX(D5403-D5402,D5403-D5404)</f>
        <v>0</v>
      </c>
      <c r="Q5403" s="399" t="s">
        <v>125</v>
      </c>
      <c r="R5403" s="399">
        <f t="shared" ref="R5403" si="17444">IF(P5403&gt;0,2*(1-2*$F$19-1/2)*D5398/1000,0)</f>
        <v>0</v>
      </c>
      <c r="S5403" s="399" t="s">
        <v>205</v>
      </c>
      <c r="T5403" s="399" t="s">
        <v>125</v>
      </c>
      <c r="U5403" s="401">
        <f t="shared" si="17438"/>
        <v>1.041885</v>
      </c>
      <c r="V5403" s="399"/>
      <c r="W5403" s="399"/>
      <c r="X5403" s="399" t="s">
        <v>125</v>
      </c>
      <c r="Y5403" s="389">
        <f t="shared" ref="Y5403" si="17445">D5401</f>
        <v>1</v>
      </c>
      <c r="Z5403" s="400" t="s">
        <v>176</v>
      </c>
      <c r="AA5403" s="402">
        <f t="shared" ref="AA5403" si="17446">IF(AA5405=0,(D5403*N5403+P5403*R5403)*U5403*Y5403,0)</f>
        <v>0</v>
      </c>
      <c r="AB5403" s="403"/>
    </row>
    <row r="5404" spans="1:28">
      <c r="A5404" s="384" t="str">
        <f t="shared" ref="A5404:B5404" si="17447">A5395</f>
        <v>Lantai 3</v>
      </c>
      <c r="B5404" s="385">
        <f t="shared" si="17447"/>
        <v>38</v>
      </c>
      <c r="C5404" s="393" t="s">
        <v>202</v>
      </c>
      <c r="D5404" s="398">
        <f>VLOOKUP(D5395,'Detail Balok'!$C$10:$AU$140,10,FALSE)</f>
        <v>3</v>
      </c>
      <c r="E5404" s="388" t="s">
        <v>16</v>
      </c>
      <c r="F5404" s="388">
        <f>VLOOKUP(D5395,'Detail Balok'!$C$10:$AU$140,12,FALSE)</f>
        <v>13</v>
      </c>
      <c r="G5404" s="388"/>
      <c r="H5404" s="395"/>
      <c r="I5404" s="388" t="s">
        <v>203</v>
      </c>
      <c r="J5404" s="399">
        <f t="shared" ref="J5404" si="17448">+D5397/4/1000</f>
        <v>0.71875</v>
      </c>
      <c r="K5404" s="400" t="s">
        <v>204</v>
      </c>
      <c r="L5404" s="399">
        <f t="shared" ref="L5404" si="17449">MAX(VLOOKUP(F5404,N$6:P$15,3,FALSE)/1000,2/3*D5399/1000)+F$16*F5404/1000</f>
        <v>0.156</v>
      </c>
      <c r="M5404" s="399" t="s">
        <v>176</v>
      </c>
      <c r="N5404" s="399">
        <f t="shared" si="17435"/>
        <v>0.87475000000000003</v>
      </c>
      <c r="O5404" s="399" t="s">
        <v>204</v>
      </c>
      <c r="P5404" s="389">
        <f t="shared" ref="P5404" si="17450">D5404-D5403</f>
        <v>0</v>
      </c>
      <c r="Q5404" s="399" t="s">
        <v>125</v>
      </c>
      <c r="R5404" s="399">
        <f t="shared" ref="R5404" si="17451">IF(P5404&gt;0,$F$18*F5404/1000,0)</f>
        <v>0</v>
      </c>
      <c r="S5404" s="399" t="s">
        <v>205</v>
      </c>
      <c r="T5404" s="399" t="s">
        <v>125</v>
      </c>
      <c r="U5404" s="401">
        <f t="shared" si="17438"/>
        <v>1.041885</v>
      </c>
      <c r="V5404" s="399"/>
      <c r="W5404" s="399"/>
      <c r="X5404" s="399" t="s">
        <v>125</v>
      </c>
      <c r="Y5404" s="389">
        <f t="shared" ref="Y5404" si="17452">D5401</f>
        <v>1</v>
      </c>
      <c r="Z5404" s="400" t="s">
        <v>176</v>
      </c>
      <c r="AA5404" s="402">
        <f t="shared" ref="AA5404" si="17453">IF(AA5405=0,(D5404*N5404+P5404*R5404)*U5404*Y5404,0)</f>
        <v>0</v>
      </c>
      <c r="AB5404" s="403"/>
    </row>
    <row r="5405" spans="1:28">
      <c r="A5405" s="384" t="str">
        <f t="shared" ref="A5405:B5405" si="17454">A5395</f>
        <v>Lantai 3</v>
      </c>
      <c r="B5405" s="385">
        <f t="shared" si="17454"/>
        <v>38</v>
      </c>
      <c r="C5405" s="393"/>
      <c r="D5405" s="398">
        <f t="shared" ref="D5405:D5465" si="17455">IF(AND(D5402=D5403,D5403=D5404,D5402=D5404),D5402,0)</f>
        <v>3</v>
      </c>
      <c r="E5405" s="388" t="s">
        <v>16</v>
      </c>
      <c r="F5405" s="388">
        <f t="shared" ref="F5405:F5465" si="17456">IF(AND(F5402=F5403,F5402=F5404,F5403=F5404),F5402,0)</f>
        <v>13</v>
      </c>
      <c r="G5405" s="388"/>
      <c r="H5405" s="395"/>
      <c r="I5405" s="388"/>
      <c r="J5405" s="396"/>
      <c r="K5405" s="396"/>
      <c r="L5405" s="404" t="s">
        <v>207</v>
      </c>
      <c r="M5405" s="399" t="s">
        <v>176</v>
      </c>
      <c r="N5405" s="399">
        <f t="shared" ref="N5405" si="17457">IF(AND(D5402=D5403,D5402=D5404,D5403=D5404,F5402=F5403,F5402=F5404,F5403=F5404),SUM(N5402:N5404),0)</f>
        <v>3.1870000000000003</v>
      </c>
      <c r="O5405" s="399" t="s">
        <v>204</v>
      </c>
      <c r="P5405" s="389">
        <f t="shared" ref="P5405" si="17458">IF(N5405&gt;12,ROUNDDOWN(N5405/12,0),0)</f>
        <v>0</v>
      </c>
      <c r="Q5405" s="399" t="s">
        <v>125</v>
      </c>
      <c r="R5405" s="399">
        <f t="shared" ref="R5405" si="17459">IF(P5405&gt;0,MAX(VLOOKUP(F5405,$D$6:$G$15,3,FALSE),600),0)/1000</f>
        <v>0</v>
      </c>
      <c r="S5405" s="396"/>
      <c r="T5405" s="396" t="s">
        <v>125</v>
      </c>
      <c r="U5405" s="401">
        <f t="shared" ref="U5405:U5465" si="17460">U5404</f>
        <v>1.041885</v>
      </c>
      <c r="V5405" s="396" t="s">
        <v>125</v>
      </c>
      <c r="W5405" s="399">
        <f t="shared" ref="W5405" si="17461">D5405</f>
        <v>3</v>
      </c>
      <c r="X5405" s="399" t="s">
        <v>125</v>
      </c>
      <c r="Y5405" s="389">
        <f t="shared" ref="Y5405:Y5465" si="17462">Y5404</f>
        <v>1</v>
      </c>
      <c r="Z5405" s="400" t="s">
        <v>176</v>
      </c>
      <c r="AA5405" s="402">
        <f t="shared" ref="AA5405" si="17463">(N5405+P5405*R5405/1000)*U5405*W5405*Y5405</f>
        <v>9.9614624850000002</v>
      </c>
      <c r="AB5405" s="390"/>
    </row>
    <row r="5406" spans="1:28">
      <c r="A5406" s="384"/>
      <c r="B5406" s="385"/>
      <c r="C5406" s="393"/>
      <c r="D5406" s="398"/>
      <c r="E5406" s="388"/>
      <c r="F5406" s="388"/>
      <c r="G5406" s="388"/>
      <c r="H5406" s="395"/>
      <c r="I5406" s="388"/>
      <c r="J5406" s="396"/>
      <c r="K5406" s="396"/>
      <c r="L5406" s="404"/>
      <c r="M5406" s="399"/>
      <c r="N5406" s="399"/>
      <c r="O5406" s="396"/>
      <c r="P5406" s="389"/>
      <c r="Q5406" s="396"/>
      <c r="R5406" s="396"/>
      <c r="S5406" s="396"/>
      <c r="T5406" s="396"/>
      <c r="U5406" s="401"/>
      <c r="V5406" s="396"/>
      <c r="W5406" s="399"/>
      <c r="X5406" s="396"/>
      <c r="Y5406" s="389"/>
      <c r="Z5406" s="396"/>
      <c r="AA5406" s="388"/>
      <c r="AB5406" s="390"/>
    </row>
    <row r="5407" spans="1:28">
      <c r="A5407" s="384" t="str">
        <f t="shared" ref="A5407:B5407" si="17464">A5395</f>
        <v>Lantai 3</v>
      </c>
      <c r="B5407" s="385">
        <f t="shared" si="17464"/>
        <v>38</v>
      </c>
      <c r="C5407" s="393" t="s">
        <v>208</v>
      </c>
      <c r="D5407" s="398">
        <f>VLOOKUP(D5395,'Detail Balok'!$C$10:$AU$140,13,FALSE)</f>
        <v>0</v>
      </c>
      <c r="E5407" s="388" t="s">
        <v>16</v>
      </c>
      <c r="F5407" s="388">
        <f>VLOOKUP(D5395,'Detail Balok'!$C$10:$AU$140,15,FALSE)</f>
        <v>8</v>
      </c>
      <c r="G5407" s="388"/>
      <c r="H5407" s="395"/>
      <c r="I5407" s="388"/>
      <c r="J5407" s="399">
        <f t="shared" ref="J5407" si="17465">+D5397/1000</f>
        <v>2.875</v>
      </c>
      <c r="K5407" s="400" t="s">
        <v>204</v>
      </c>
      <c r="L5407" s="399">
        <f t="shared" ref="L5407" si="17466">2*$F$16*F5407/1000</f>
        <v>0.192</v>
      </c>
      <c r="M5407" s="399" t="s">
        <v>176</v>
      </c>
      <c r="N5407" s="399">
        <f t="shared" ref="N5407" si="17467">J5407+L5407</f>
        <v>3.0670000000000002</v>
      </c>
      <c r="O5407" s="399" t="s">
        <v>204</v>
      </c>
      <c r="P5407" s="389">
        <f t="shared" ref="P5407" si="17468">IF(N5407&gt;12,ROUNDDOWN(N5407/12,0),0)</f>
        <v>0</v>
      </c>
      <c r="Q5407" s="399" t="s">
        <v>125</v>
      </c>
      <c r="R5407" s="399">
        <f t="shared" ref="R5407" si="17469">IF(P5407&gt;0,MAX(VLOOKUP(F5407,$D$6:$G$15,3,FALSE),600),0)/1000</f>
        <v>0</v>
      </c>
      <c r="S5407" s="399"/>
      <c r="T5407" s="399" t="s">
        <v>125</v>
      </c>
      <c r="U5407" s="401">
        <f t="shared" ref="U5407" si="17470">0.006165*F5407^2</f>
        <v>0.39456000000000002</v>
      </c>
      <c r="V5407" s="399" t="s">
        <v>125</v>
      </c>
      <c r="W5407" s="399">
        <f t="shared" ref="W5407" si="17471">+D5407</f>
        <v>0</v>
      </c>
      <c r="X5407" s="399" t="s">
        <v>125</v>
      </c>
      <c r="Y5407" s="389">
        <f t="shared" ref="Y5407" si="17472">D5401</f>
        <v>1</v>
      </c>
      <c r="Z5407" s="400" t="s">
        <v>176</v>
      </c>
      <c r="AA5407" s="402">
        <f t="shared" ref="AA5407" si="17473">(N5407+P5407*R5407/1000)*U5407*W5407*Y5407</f>
        <v>0</v>
      </c>
      <c r="AB5407" s="403"/>
    </row>
    <row r="5408" spans="1:28">
      <c r="A5408" s="384"/>
      <c r="B5408" s="385"/>
      <c r="C5408" s="393"/>
      <c r="D5408" s="398"/>
      <c r="E5408" s="388"/>
      <c r="F5408" s="388"/>
      <c r="G5408" s="388"/>
      <c r="H5408" s="395"/>
      <c r="I5408" s="388"/>
      <c r="J5408" s="399"/>
      <c r="K5408" s="400"/>
      <c r="L5408" s="399"/>
      <c r="M5408" s="399"/>
      <c r="N5408" s="399"/>
      <c r="O5408" s="399"/>
      <c r="P5408" s="389"/>
      <c r="Q5408" s="399"/>
      <c r="R5408" s="399"/>
      <c r="S5408" s="399"/>
      <c r="T5408" s="399"/>
      <c r="U5408" s="401"/>
      <c r="V5408" s="399"/>
      <c r="W5408" s="399"/>
      <c r="X5408" s="399"/>
      <c r="Y5408" s="389"/>
      <c r="Z5408" s="400"/>
      <c r="AA5408" s="402"/>
      <c r="AB5408" s="403"/>
    </row>
    <row r="5409" spans="1:28">
      <c r="A5409" s="384"/>
      <c r="B5409" s="385"/>
      <c r="C5409" s="393"/>
      <c r="D5409" s="398"/>
      <c r="E5409" s="388"/>
      <c r="F5409" s="388"/>
      <c r="G5409" s="388"/>
      <c r="H5409" s="395"/>
      <c r="I5409" s="388"/>
      <c r="J5409" s="396"/>
      <c r="K5409" s="396"/>
      <c r="L5409" s="396"/>
      <c r="M5409" s="396"/>
      <c r="N5409" s="396"/>
      <c r="O5409" s="396"/>
      <c r="P5409" s="389"/>
      <c r="Q5409" s="396"/>
      <c r="R5409" s="396"/>
      <c r="S5409" s="396"/>
      <c r="T5409" s="396"/>
      <c r="U5409" s="401"/>
      <c r="V5409" s="396"/>
      <c r="W5409" s="399"/>
      <c r="X5409" s="396"/>
      <c r="Y5409" s="389"/>
      <c r="Z5409" s="396"/>
      <c r="AA5409" s="388"/>
      <c r="AB5409" s="390"/>
    </row>
    <row r="5410" spans="1:28">
      <c r="A5410" s="384" t="str">
        <f t="shared" ref="A5410:B5410" si="17474">A5395</f>
        <v>Lantai 3</v>
      </c>
      <c r="B5410" s="385">
        <f t="shared" si="17474"/>
        <v>38</v>
      </c>
      <c r="C5410" s="393" t="s">
        <v>209</v>
      </c>
      <c r="D5410" s="398">
        <f>VLOOKUP(D5395,'Detail Balok'!$C$10:$AU$140,22,FALSE)</f>
        <v>3</v>
      </c>
      <c r="E5410" s="388" t="s">
        <v>16</v>
      </c>
      <c r="F5410" s="388">
        <f>VLOOKUP(D5395,'Detail Balok'!$C$10:$AU$140,24,FALSE)</f>
        <v>13</v>
      </c>
      <c r="G5410" s="388"/>
      <c r="H5410" s="395"/>
      <c r="I5410" s="388" t="s">
        <v>203</v>
      </c>
      <c r="J5410" s="399">
        <f t="shared" ref="J5410:J5472" si="17475">+J5402</f>
        <v>0.71875</v>
      </c>
      <c r="K5410" s="400" t="s">
        <v>204</v>
      </c>
      <c r="L5410" s="399">
        <f t="shared" ref="L5410" si="17476">MAX(VLOOKUP(F5410,N$6:P$15,3,FALSE)/1000,2/3*D5400/1000)+F$16*F5410/1000</f>
        <v>0.156</v>
      </c>
      <c r="M5410" s="399" t="s">
        <v>176</v>
      </c>
      <c r="N5410" s="399">
        <f t="shared" ref="N5410:N5412" si="17477">J5410+L5410</f>
        <v>0.87475000000000003</v>
      </c>
      <c r="O5410" s="399" t="s">
        <v>204</v>
      </c>
      <c r="P5410" s="389">
        <f t="shared" ref="P5410" si="17478">D5410-D5411</f>
        <v>0</v>
      </c>
      <c r="Q5410" s="399" t="s">
        <v>125</v>
      </c>
      <c r="R5410" s="399">
        <f t="shared" ref="R5410" si="17479">IF(P5410&gt;0,$F$18*F5410/1000,0)</f>
        <v>0</v>
      </c>
      <c r="S5410" s="399" t="s">
        <v>205</v>
      </c>
      <c r="T5410" s="399" t="s">
        <v>125</v>
      </c>
      <c r="U5410" s="401">
        <f t="shared" ref="U5410:U5412" si="17480">0.006165*F5410^2</f>
        <v>1.041885</v>
      </c>
      <c r="V5410" s="399"/>
      <c r="W5410" s="399"/>
      <c r="X5410" s="399" t="s">
        <v>125</v>
      </c>
      <c r="Y5410" s="389">
        <f t="shared" ref="Y5410" si="17481">D5401</f>
        <v>1</v>
      </c>
      <c r="Z5410" s="400" t="s">
        <v>176</v>
      </c>
      <c r="AA5410" s="402">
        <f t="shared" ref="AA5410" si="17482">IF(AA5413=0,(D5410*N5410+P5410*R5410)*U5410*Y5410,0)</f>
        <v>0</v>
      </c>
      <c r="AB5410" s="403"/>
    </row>
    <row r="5411" spans="1:28">
      <c r="A5411" s="384" t="str">
        <f t="shared" ref="A5411:B5411" si="17483">A5395</f>
        <v>Lantai 3</v>
      </c>
      <c r="B5411" s="385">
        <f t="shared" si="17483"/>
        <v>38</v>
      </c>
      <c r="C5411" s="393" t="s">
        <v>210</v>
      </c>
      <c r="D5411" s="398">
        <f>VLOOKUP(D5395,'Detail Balok'!$C$10:$AU$140,25,FALSE)</f>
        <v>3</v>
      </c>
      <c r="E5411" s="388" t="s">
        <v>16</v>
      </c>
      <c r="F5411" s="388">
        <f>VLOOKUP(D5395,'Detail Balok'!$C$10:$AU$140,27,FALSE)</f>
        <v>13</v>
      </c>
      <c r="G5411" s="388"/>
      <c r="H5411" s="395"/>
      <c r="I5411" s="388" t="s">
        <v>203</v>
      </c>
      <c r="J5411" s="399">
        <f t="shared" si="17475"/>
        <v>1.4375</v>
      </c>
      <c r="K5411" s="400" t="s">
        <v>204</v>
      </c>
      <c r="L5411" s="399"/>
      <c r="M5411" s="399" t="s">
        <v>176</v>
      </c>
      <c r="N5411" s="399">
        <f t="shared" si="17477"/>
        <v>1.4375</v>
      </c>
      <c r="O5411" s="399" t="s">
        <v>204</v>
      </c>
      <c r="P5411" s="389">
        <f t="shared" ref="P5411" si="17484">MAX(D5411-D5410,D5411-D5412)</f>
        <v>0</v>
      </c>
      <c r="Q5411" s="399" t="s">
        <v>125</v>
      </c>
      <c r="R5411" s="399">
        <f t="shared" ref="R5411" si="17485">IF(P5411&gt;0,2*(1-2*$F$19-1/2)*D5398/1000,0)</f>
        <v>0</v>
      </c>
      <c r="S5411" s="399" t="s">
        <v>205</v>
      </c>
      <c r="T5411" s="399" t="s">
        <v>125</v>
      </c>
      <c r="U5411" s="401">
        <f t="shared" si="17480"/>
        <v>1.041885</v>
      </c>
      <c r="V5411" s="399"/>
      <c r="W5411" s="399"/>
      <c r="X5411" s="399" t="s">
        <v>125</v>
      </c>
      <c r="Y5411" s="389">
        <f t="shared" ref="Y5411" si="17486">D5401</f>
        <v>1</v>
      </c>
      <c r="Z5411" s="400" t="s">
        <v>176</v>
      </c>
      <c r="AA5411" s="402">
        <f t="shared" ref="AA5411" si="17487">IF(AA5413=0,(D5411*N5411+P5411*R5411)*U5411*Y5411,0)</f>
        <v>0</v>
      </c>
      <c r="AB5411" s="403"/>
    </row>
    <row r="5412" spans="1:28">
      <c r="A5412" s="384" t="str">
        <f t="shared" ref="A5412:B5412" si="17488">A5395</f>
        <v>Lantai 3</v>
      </c>
      <c r="B5412" s="385">
        <f t="shared" si="17488"/>
        <v>38</v>
      </c>
      <c r="C5412" s="393" t="s">
        <v>209</v>
      </c>
      <c r="D5412" s="398">
        <f>VLOOKUP(D5395,'Detail Balok'!$C$10:$AU$140,28,FALSE)</f>
        <v>3</v>
      </c>
      <c r="E5412" s="388" t="s">
        <v>16</v>
      </c>
      <c r="F5412" s="388">
        <f>VLOOKUP(D5395,'Detail Balok'!$C$10:$AU$140,30,FALSE)</f>
        <v>13</v>
      </c>
      <c r="G5412" s="388"/>
      <c r="H5412" s="395"/>
      <c r="I5412" s="388" t="s">
        <v>203</v>
      </c>
      <c r="J5412" s="399">
        <f t="shared" si="17475"/>
        <v>0.71875</v>
      </c>
      <c r="K5412" s="400" t="s">
        <v>204</v>
      </c>
      <c r="L5412" s="399">
        <f t="shared" ref="L5412" si="17489">MAX(VLOOKUP(F5412,N$6:P$15,3,FALSE)/1000,2/3*D5400/1000)+F$16*F5412/1000</f>
        <v>0.156</v>
      </c>
      <c r="M5412" s="399" t="s">
        <v>176</v>
      </c>
      <c r="N5412" s="399">
        <f t="shared" si="17477"/>
        <v>0.87475000000000003</v>
      </c>
      <c r="O5412" s="399" t="s">
        <v>204</v>
      </c>
      <c r="P5412" s="389">
        <f t="shared" ref="P5412" si="17490">D5412-D5411</f>
        <v>0</v>
      </c>
      <c r="Q5412" s="399" t="s">
        <v>125</v>
      </c>
      <c r="R5412" s="399">
        <f t="shared" ref="R5412" si="17491">IF(P5412&gt;0,$F$18*F5412/1000,0)</f>
        <v>0</v>
      </c>
      <c r="S5412" s="399" t="s">
        <v>205</v>
      </c>
      <c r="T5412" s="399" t="s">
        <v>125</v>
      </c>
      <c r="U5412" s="401">
        <f t="shared" si="17480"/>
        <v>1.041885</v>
      </c>
      <c r="V5412" s="399"/>
      <c r="W5412" s="399"/>
      <c r="X5412" s="399" t="s">
        <v>125</v>
      </c>
      <c r="Y5412" s="389">
        <f t="shared" ref="Y5412" si="17492">D5401</f>
        <v>1</v>
      </c>
      <c r="Z5412" s="400" t="s">
        <v>176</v>
      </c>
      <c r="AA5412" s="402">
        <f t="shared" ref="AA5412" si="17493">IF(AA5413=0,(D5412*N5412+P5412*R5412)*U5412*Y5412,0)</f>
        <v>0</v>
      </c>
      <c r="AB5412" s="403"/>
    </row>
    <row r="5413" spans="1:28">
      <c r="A5413" s="384" t="str">
        <f t="shared" ref="A5413:B5413" si="17494">A5395</f>
        <v>Lantai 3</v>
      </c>
      <c r="B5413" s="385">
        <f t="shared" si="17494"/>
        <v>38</v>
      </c>
      <c r="C5413" s="393"/>
      <c r="D5413" s="398">
        <f t="shared" ref="D5413:D5473" si="17495">IF(AND(D5410=D5411,D5411=D5412,D5410=D5412),D5410,0)</f>
        <v>3</v>
      </c>
      <c r="E5413" s="388" t="s">
        <v>16</v>
      </c>
      <c r="F5413" s="388">
        <f t="shared" ref="F5413:F5473" si="17496">IF(AND(F5410=F5411,F5410=F5412,F5411=F5412),F5410,0)</f>
        <v>13</v>
      </c>
      <c r="G5413" s="388"/>
      <c r="H5413" s="395"/>
      <c r="I5413" s="388"/>
      <c r="J5413" s="396"/>
      <c r="K5413" s="396"/>
      <c r="L5413" s="404" t="s">
        <v>207</v>
      </c>
      <c r="M5413" s="399" t="s">
        <v>176</v>
      </c>
      <c r="N5413" s="399">
        <f t="shared" ref="N5413" si="17497">IF(AND(D5410=D5411,D5410=D5412,D5411=D5412,F5410=F5411,F5410=F5412,F5411=F5412),SUM(N5410:N5412),0)</f>
        <v>3.1870000000000003</v>
      </c>
      <c r="O5413" s="399" t="s">
        <v>204</v>
      </c>
      <c r="P5413" s="389">
        <f t="shared" ref="P5413" si="17498">IF(N5413&gt;12,ROUNDDOWN(N5413/12,0),0)</f>
        <v>0</v>
      </c>
      <c r="Q5413" s="399" t="s">
        <v>125</v>
      </c>
      <c r="R5413" s="399">
        <f t="shared" ref="R5413" si="17499">IF(P5413&gt;0,MAX(VLOOKUP(F5413,$D$6:$G$15,3,FALSE),600),0)/1000</f>
        <v>0</v>
      </c>
      <c r="S5413" s="396"/>
      <c r="T5413" s="396" t="s">
        <v>125</v>
      </c>
      <c r="U5413" s="401">
        <f t="shared" ref="U5413:U5473" si="17500">U5412</f>
        <v>1.041885</v>
      </c>
      <c r="V5413" s="396" t="s">
        <v>125</v>
      </c>
      <c r="W5413" s="399">
        <f t="shared" ref="W5413" si="17501">D5413</f>
        <v>3</v>
      </c>
      <c r="X5413" s="399" t="s">
        <v>125</v>
      </c>
      <c r="Y5413" s="389">
        <f t="shared" ref="Y5413:Y5473" si="17502">Y5412</f>
        <v>1</v>
      </c>
      <c r="Z5413" s="400" t="s">
        <v>176</v>
      </c>
      <c r="AA5413" s="402">
        <f t="shared" ref="AA5413" si="17503">(N5413+P5413*R5413/1000)*U5413*W5413*Y5413</f>
        <v>9.9614624850000002</v>
      </c>
      <c r="AB5413" s="403"/>
    </row>
    <row r="5414" spans="1:28">
      <c r="A5414" s="384"/>
      <c r="B5414" s="385"/>
      <c r="C5414" s="393"/>
      <c r="D5414" s="394"/>
      <c r="E5414" s="388"/>
      <c r="F5414" s="388"/>
      <c r="G5414" s="388"/>
      <c r="H5414" s="395"/>
      <c r="I5414" s="388"/>
      <c r="J5414" s="399"/>
      <c r="K5414" s="396"/>
      <c r="L5414" s="396"/>
      <c r="M5414" s="396"/>
      <c r="N5414" s="396"/>
      <c r="O5414" s="396"/>
      <c r="P5414" s="389"/>
      <c r="Q5414" s="396"/>
      <c r="R5414" s="396"/>
      <c r="S5414" s="396"/>
      <c r="T5414" s="396"/>
      <c r="U5414" s="401"/>
      <c r="V5414" s="396"/>
      <c r="W5414" s="388"/>
      <c r="X5414" s="396"/>
      <c r="Y5414" s="389"/>
      <c r="Z5414" s="396"/>
      <c r="AA5414" s="388"/>
      <c r="AB5414" s="390"/>
    </row>
    <row r="5415" spans="1:28">
      <c r="A5415" s="384" t="str">
        <f t="shared" ref="A5415:B5415" si="17504">A5395</f>
        <v>Lantai 3</v>
      </c>
      <c r="B5415" s="385">
        <f t="shared" si="17504"/>
        <v>38</v>
      </c>
      <c r="C5415" s="393" t="s">
        <v>211</v>
      </c>
      <c r="D5415" s="398">
        <f>VLOOKUP(D5395,'Detail Balok'!$C$10:$AU$140,31,FALSE)</f>
        <v>0</v>
      </c>
      <c r="E5415" s="388" t="s">
        <v>16</v>
      </c>
      <c r="F5415" s="388">
        <f>VLOOKUP(D5395,'Detail Balok'!$C$10:$AU$140,33,FALSE)</f>
        <v>10</v>
      </c>
      <c r="G5415" s="405" t="s">
        <v>157</v>
      </c>
      <c r="H5415" s="395">
        <f>VLOOKUP(D5395,'Detail Balok'!$C$10:$AU$140,35,FALSE)</f>
        <v>100</v>
      </c>
      <c r="I5415" s="388"/>
      <c r="J5415" s="400">
        <f t="shared" ref="J5415" si="17505">(IF(D5415=0,(2*(D5396+G5396))-(F$5*8),IF(D5415=3,(2*(D5396+G5396))-(F$5*8)+(G5396-2*F$5),IF(D5415=4,(2*(D5396+G5396))-(F$5*8)+2*(G5396-2*F$5)))))/1000</f>
        <v>0.88</v>
      </c>
      <c r="K5415" s="400" t="s">
        <v>204</v>
      </c>
      <c r="L5415" s="399">
        <f t="shared" ref="L5415:L5417" si="17506">IF(D5415=0,2*MAX(6*F5415,75),(D5415-1)*2*MAX(6*F5415,75))/1000</f>
        <v>0.15</v>
      </c>
      <c r="M5415" s="399" t="s">
        <v>176</v>
      </c>
      <c r="N5415" s="399">
        <f t="shared" ref="N5415:N5417" si="17507">J5415+L5415</f>
        <v>1.03</v>
      </c>
      <c r="O5415" s="399"/>
      <c r="P5415" s="389"/>
      <c r="Q5415" s="399"/>
      <c r="R5415" s="399"/>
      <c r="S5415" s="399"/>
      <c r="T5415" s="399" t="s">
        <v>125</v>
      </c>
      <c r="U5415" s="401">
        <f t="shared" ref="U5415:U5417" si="17508">0.006165*F5415^2</f>
        <v>0.61650000000000005</v>
      </c>
      <c r="V5415" s="399" t="s">
        <v>125</v>
      </c>
      <c r="W5415" s="399">
        <f t="shared" ref="W5415" si="17509">IF(D5398&gt;4*G5396,ROUND(MAX(D5398/4,2*G5396)/H5415,0)+1,ROUND(D5398/H5415,0)+1)</f>
        <v>9</v>
      </c>
      <c r="X5415" s="399" t="s">
        <v>125</v>
      </c>
      <c r="Y5415" s="389">
        <f t="shared" ref="Y5415" si="17510">D5401</f>
        <v>1</v>
      </c>
      <c r="Z5415" s="400" t="s">
        <v>176</v>
      </c>
      <c r="AA5415" s="402">
        <f t="shared" ref="AA5415:AA5417" si="17511">N5415*U5415*W5415*Y5415</f>
        <v>5.7149550000000007</v>
      </c>
      <c r="AB5415" s="403"/>
    </row>
    <row r="5416" spans="1:28">
      <c r="A5416" s="384" t="str">
        <f t="shared" ref="A5416:B5416" si="17512">A5395</f>
        <v>Lantai 3</v>
      </c>
      <c r="B5416" s="385">
        <f t="shared" si="17512"/>
        <v>38</v>
      </c>
      <c r="C5416" s="393" t="s">
        <v>212</v>
      </c>
      <c r="D5416" s="398">
        <f>VLOOKUP(D5395,'Detail Balok'!$C$10:$AU$140,36,FALSE)</f>
        <v>0</v>
      </c>
      <c r="E5416" s="388" t="s">
        <v>16</v>
      </c>
      <c r="F5416" s="388">
        <f>VLOOKUP(D5395,'Detail Balok'!$C$10:$AU$140,38,FALSE)</f>
        <v>10</v>
      </c>
      <c r="G5416" s="405" t="s">
        <v>157</v>
      </c>
      <c r="H5416" s="395">
        <f>VLOOKUP(D5395,'Detail Balok'!$C$10:$AU$140,40,FALSE)</f>
        <v>200</v>
      </c>
      <c r="I5416" s="388"/>
      <c r="J5416" s="400">
        <f t="shared" ref="J5416" si="17513">(IF(D5416=0,(2*(D5396+G5396))-(F$5*8),IF(D5416=3,(2*(D5396+G5396))-(F$5*8)+(G5396-2*F$5),IF(D5416=4,(2*(D5396+G5396))-(F$5*8)+2*(G5396-2*F$5)))))/1000</f>
        <v>0.88</v>
      </c>
      <c r="K5416" s="400" t="s">
        <v>204</v>
      </c>
      <c r="L5416" s="399">
        <f t="shared" si="17506"/>
        <v>0.15</v>
      </c>
      <c r="M5416" s="399" t="s">
        <v>176</v>
      </c>
      <c r="N5416" s="399">
        <f t="shared" si="17507"/>
        <v>1.03</v>
      </c>
      <c r="O5416" s="399"/>
      <c r="P5416" s="389"/>
      <c r="Q5416" s="399"/>
      <c r="R5416" s="399"/>
      <c r="S5416" s="399"/>
      <c r="T5416" s="399" t="s">
        <v>125</v>
      </c>
      <c r="U5416" s="401">
        <f t="shared" si="17508"/>
        <v>0.61650000000000005</v>
      </c>
      <c r="V5416" s="399" t="s">
        <v>125</v>
      </c>
      <c r="W5416" s="399">
        <f t="shared" ref="W5416" si="17514">IF(D5398-MAX(D5398/4,2*G5396)*2&gt;0,ROUND((D5398-MAX(D5398/4,2*G5396)*2)/H5416,0),0)</f>
        <v>6</v>
      </c>
      <c r="X5416" s="399" t="s">
        <v>125</v>
      </c>
      <c r="Y5416" s="389">
        <f t="shared" ref="Y5416" si="17515">D5401</f>
        <v>1</v>
      </c>
      <c r="Z5416" s="400" t="s">
        <v>176</v>
      </c>
      <c r="AA5416" s="402">
        <f t="shared" si="17511"/>
        <v>3.8099700000000007</v>
      </c>
      <c r="AB5416" s="403"/>
    </row>
    <row r="5417" spans="1:28">
      <c r="A5417" s="384" t="str">
        <f t="shared" ref="A5417:B5417" si="17516">A5395</f>
        <v>Lantai 3</v>
      </c>
      <c r="B5417" s="385">
        <f t="shared" si="17516"/>
        <v>38</v>
      </c>
      <c r="C5417" s="393" t="s">
        <v>211</v>
      </c>
      <c r="D5417" s="398">
        <f>VLOOKUP(D5395,'Detail Balok'!$C$10:$AU$140,41,FALSE)</f>
        <v>0</v>
      </c>
      <c r="E5417" s="388" t="s">
        <v>16</v>
      </c>
      <c r="F5417" s="388">
        <f>VLOOKUP(D5395,'Detail Balok'!$C$10:$AU$140,43,FALSE)</f>
        <v>10</v>
      </c>
      <c r="G5417" s="405" t="s">
        <v>157</v>
      </c>
      <c r="H5417" s="395">
        <f>VLOOKUP(D5395,'Detail Balok'!$C$10:$AU$140,45,FALSE)</f>
        <v>100</v>
      </c>
      <c r="I5417" s="388"/>
      <c r="J5417" s="400">
        <f t="shared" ref="J5417" si="17517">(IF(D5417=0,(2*(D5396+G5396))-(F$5*8),IF(D5417=3,(2*(D5396+G5396))-(F$5*8)+(G5396-2*F$5),IF(D5417=4,(2*(D5396+G5396))-(F$5*8)+2*(G5396-2*F$5)))))/1000</f>
        <v>0.88</v>
      </c>
      <c r="K5417" s="400" t="s">
        <v>204</v>
      </c>
      <c r="L5417" s="399">
        <f t="shared" si="17506"/>
        <v>0.15</v>
      </c>
      <c r="M5417" s="399" t="s">
        <v>176</v>
      </c>
      <c r="N5417" s="399">
        <f t="shared" si="17507"/>
        <v>1.03</v>
      </c>
      <c r="O5417" s="399"/>
      <c r="P5417" s="389"/>
      <c r="Q5417" s="399"/>
      <c r="R5417" s="399"/>
      <c r="S5417" s="399"/>
      <c r="T5417" s="399" t="s">
        <v>125</v>
      </c>
      <c r="U5417" s="401">
        <f t="shared" si="17508"/>
        <v>0.61650000000000005</v>
      </c>
      <c r="V5417" s="399" t="s">
        <v>125</v>
      </c>
      <c r="W5417" s="399">
        <f t="shared" ref="W5417" si="17518">IF(D5398&gt;4*G5396,ROUND(MAX(D5398/4,2*G5396)/H5417,0)+1,0)</f>
        <v>9</v>
      </c>
      <c r="X5417" s="399" t="s">
        <v>125</v>
      </c>
      <c r="Y5417" s="389">
        <f t="shared" ref="Y5417" si="17519">D5401</f>
        <v>1</v>
      </c>
      <c r="Z5417" s="400" t="s">
        <v>176</v>
      </c>
      <c r="AA5417" s="402">
        <f t="shared" si="17511"/>
        <v>5.7149550000000007</v>
      </c>
      <c r="AB5417" s="403"/>
    </row>
    <row r="5418" spans="1:28">
      <c r="A5418" s="384"/>
      <c r="B5418" s="385"/>
      <c r="C5418" s="393"/>
      <c r="D5418" s="394"/>
      <c r="E5418" s="388"/>
      <c r="F5418" s="388"/>
      <c r="G5418" s="388"/>
      <c r="H5418" s="395"/>
      <c r="I5418" s="388"/>
      <c r="J5418" s="399"/>
      <c r="K5418" s="396"/>
      <c r="L5418" s="396"/>
      <c r="M5418" s="396"/>
      <c r="N5418" s="396"/>
      <c r="O5418" s="396"/>
      <c r="P5418" s="389"/>
      <c r="Q5418" s="396"/>
      <c r="R5418" s="396"/>
      <c r="S5418" s="396"/>
      <c r="T5418" s="396"/>
      <c r="U5418" s="401"/>
      <c r="V5418" s="396"/>
      <c r="W5418" s="388"/>
      <c r="X5418" s="396"/>
      <c r="Y5418" s="389"/>
      <c r="Z5418" s="396"/>
      <c r="AA5418" s="388"/>
      <c r="AB5418" s="390"/>
    </row>
    <row r="5419" spans="1:28">
      <c r="A5419" s="384" t="str">
        <f t="shared" ref="A5419:B5419" si="17520">A5395</f>
        <v>Lantai 3</v>
      </c>
      <c r="B5419" s="385">
        <f t="shared" si="17520"/>
        <v>38</v>
      </c>
      <c r="C5419" s="393" t="s">
        <v>213</v>
      </c>
      <c r="D5419" s="398">
        <f>VLOOKUP(D5395,'Detail Balok'!$C$10:$BJ$140,46,FALSE)</f>
        <v>0</v>
      </c>
      <c r="E5419" s="388" t="s">
        <v>16</v>
      </c>
      <c r="F5419" s="388">
        <f>VLOOKUP(D5395,'Detail Balok'!$C$10:$BJ$140,48,FALSE)</f>
        <v>0</v>
      </c>
      <c r="G5419" s="405" t="s">
        <v>157</v>
      </c>
      <c r="H5419" s="395">
        <f>VLOOKUP(D5395,'Detail Balok'!$C$10:$BJ$140,50,FALSE)</f>
        <v>100</v>
      </c>
      <c r="I5419" s="388"/>
      <c r="J5419" s="399">
        <f t="shared" ref="J5419" si="17521">(D5396-2*F$5)/1000</f>
        <v>0.12</v>
      </c>
      <c r="K5419" s="400" t="s">
        <v>204</v>
      </c>
      <c r="L5419" s="399">
        <f t="shared" ref="L5419:L5421" si="17522">IF(D5419=0,2*MAX(6*F5419,75),(D5419-1)*2*MAX(6*F5419,75))/1000</f>
        <v>0.15</v>
      </c>
      <c r="M5419" s="399" t="s">
        <v>176</v>
      </c>
      <c r="N5419" s="399">
        <f t="shared" ref="N5419:N5421" si="17523">J5419+L5419</f>
        <v>0.27</v>
      </c>
      <c r="O5419" s="399"/>
      <c r="P5419" s="399"/>
      <c r="Q5419" s="399"/>
      <c r="R5419" s="399"/>
      <c r="S5419" s="399"/>
      <c r="T5419" s="399" t="s">
        <v>125</v>
      </c>
      <c r="U5419" s="401">
        <f t="shared" ref="U5419:U5421" si="17524">0.006165*F5419^2</f>
        <v>0</v>
      </c>
      <c r="V5419" s="399" t="s">
        <v>125</v>
      </c>
      <c r="W5419" s="399">
        <f t="shared" ref="W5419:W5481" si="17525">W5415</f>
        <v>9</v>
      </c>
      <c r="X5419" s="399" t="s">
        <v>125</v>
      </c>
      <c r="Y5419" s="389">
        <f t="shared" ref="Y5419" si="17526">D5405</f>
        <v>3</v>
      </c>
      <c r="Z5419" s="400" t="s">
        <v>176</v>
      </c>
      <c r="AA5419" s="402">
        <f t="shared" ref="AA5419:AA5421" si="17527">N5419*U5419*W5419*Y5419</f>
        <v>0</v>
      </c>
      <c r="AB5419" s="403"/>
    </row>
    <row r="5420" spans="1:28">
      <c r="A5420" s="384" t="str">
        <f t="shared" ref="A5420:B5420" si="17528">A5395</f>
        <v>Lantai 3</v>
      </c>
      <c r="B5420" s="385">
        <f t="shared" si="17528"/>
        <v>38</v>
      </c>
      <c r="C5420" s="393" t="s">
        <v>214</v>
      </c>
      <c r="D5420" s="398">
        <f>VLOOKUP(D5395,'Detail Balok'!$C$10:$BJ$140,51,FALSE)</f>
        <v>0</v>
      </c>
      <c r="E5420" s="388" t="s">
        <v>16</v>
      </c>
      <c r="F5420" s="388">
        <f>VLOOKUP(D5395,'Detail Balok'!$C$10:$BJ$140,53,FALSE)</f>
        <v>0</v>
      </c>
      <c r="G5420" s="405" t="s">
        <v>157</v>
      </c>
      <c r="H5420" s="395">
        <f>VLOOKUP(D5395,'Detail Balok'!$C$10:$BJ$140,55,FALSE)</f>
        <v>100</v>
      </c>
      <c r="I5420" s="388"/>
      <c r="J5420" s="399">
        <f t="shared" ref="J5420" si="17529">(D5396-2*F$5)/1000</f>
        <v>0.12</v>
      </c>
      <c r="K5420" s="400" t="s">
        <v>204</v>
      </c>
      <c r="L5420" s="399">
        <f t="shared" si="17522"/>
        <v>0.15</v>
      </c>
      <c r="M5420" s="399" t="s">
        <v>176</v>
      </c>
      <c r="N5420" s="399">
        <f t="shared" si="17523"/>
        <v>0.27</v>
      </c>
      <c r="O5420" s="399"/>
      <c r="P5420" s="399"/>
      <c r="Q5420" s="399"/>
      <c r="R5420" s="399"/>
      <c r="S5420" s="399"/>
      <c r="T5420" s="399" t="s">
        <v>125</v>
      </c>
      <c r="U5420" s="401">
        <f t="shared" si="17524"/>
        <v>0</v>
      </c>
      <c r="V5420" s="399" t="s">
        <v>125</v>
      </c>
      <c r="W5420" s="399">
        <f t="shared" si="17525"/>
        <v>6</v>
      </c>
      <c r="X5420" s="399" t="s">
        <v>125</v>
      </c>
      <c r="Y5420" s="389">
        <f t="shared" ref="Y5420" si="17530">D5405</f>
        <v>3</v>
      </c>
      <c r="Z5420" s="400" t="s">
        <v>176</v>
      </c>
      <c r="AA5420" s="402">
        <f t="shared" si="17527"/>
        <v>0</v>
      </c>
      <c r="AB5420" s="403"/>
    </row>
    <row r="5421" spans="1:28">
      <c r="A5421" s="384" t="str">
        <f t="shared" ref="A5421:B5421" si="17531">A5395</f>
        <v>Lantai 3</v>
      </c>
      <c r="B5421" s="385">
        <f t="shared" si="17531"/>
        <v>38</v>
      </c>
      <c r="C5421" s="393" t="s">
        <v>213</v>
      </c>
      <c r="D5421" s="398">
        <f>VLOOKUP(D5395,'Detail Balok'!$C$10:$BJ$140,56,FALSE)</f>
        <v>0</v>
      </c>
      <c r="E5421" s="388" t="s">
        <v>16</v>
      </c>
      <c r="F5421" s="388">
        <f>VLOOKUP(D5395,'Detail Balok'!$C$10:$BJ$140,58,FALSE)</f>
        <v>0</v>
      </c>
      <c r="G5421" s="405" t="s">
        <v>157</v>
      </c>
      <c r="H5421" s="395">
        <f>VLOOKUP(D5395,'Detail Balok'!$C$10:$BJ$140,60,FALSE)</f>
        <v>100</v>
      </c>
      <c r="I5421" s="388"/>
      <c r="J5421" s="399">
        <f t="shared" ref="J5421" si="17532">(D5396-2*F$5)/1000</f>
        <v>0.12</v>
      </c>
      <c r="K5421" s="400" t="s">
        <v>204</v>
      </c>
      <c r="L5421" s="399">
        <f t="shared" si="17522"/>
        <v>0.15</v>
      </c>
      <c r="M5421" s="399" t="s">
        <v>176</v>
      </c>
      <c r="N5421" s="399">
        <f t="shared" si="17523"/>
        <v>0.27</v>
      </c>
      <c r="O5421" s="399"/>
      <c r="P5421" s="399"/>
      <c r="Q5421" s="399"/>
      <c r="R5421" s="399"/>
      <c r="S5421" s="399"/>
      <c r="T5421" s="399" t="s">
        <v>125</v>
      </c>
      <c r="U5421" s="401">
        <f t="shared" si="17524"/>
        <v>0</v>
      </c>
      <c r="V5421" s="399" t="s">
        <v>125</v>
      </c>
      <c r="W5421" s="399">
        <f t="shared" si="17525"/>
        <v>9</v>
      </c>
      <c r="X5421" s="399" t="s">
        <v>125</v>
      </c>
      <c r="Y5421" s="389">
        <f t="shared" ref="Y5421" si="17533">D5405</f>
        <v>3</v>
      </c>
      <c r="Z5421" s="400" t="s">
        <v>176</v>
      </c>
      <c r="AA5421" s="402">
        <f t="shared" si="17527"/>
        <v>0</v>
      </c>
      <c r="AB5421" s="403"/>
    </row>
    <row r="5422" spans="1:28">
      <c r="A5422" s="391"/>
      <c r="B5422" s="392"/>
      <c r="C5422" s="392"/>
      <c r="D5422" s="394"/>
      <c r="E5422" s="388"/>
      <c r="F5422" s="388"/>
      <c r="G5422" s="388"/>
      <c r="H5422" s="395"/>
      <c r="I5422" s="388"/>
      <c r="J5422" s="402"/>
      <c r="K5422" s="388"/>
      <c r="L5422" s="388"/>
      <c r="M5422" s="388"/>
      <c r="N5422" s="388"/>
      <c r="O5422" s="388"/>
      <c r="P5422" s="388"/>
      <c r="Q5422" s="388"/>
      <c r="R5422" s="388"/>
      <c r="S5422" s="388"/>
      <c r="T5422" s="388"/>
      <c r="U5422" s="388"/>
      <c r="V5422" s="388"/>
      <c r="W5422" s="388"/>
      <c r="X5422" s="388"/>
      <c r="Y5422" s="389"/>
      <c r="Z5422" s="388"/>
      <c r="AA5422" s="402"/>
      <c r="AB5422" s="403"/>
    </row>
    <row r="5423" spans="1:28" ht="15.75" thickBot="1">
      <c r="A5423" s="406"/>
      <c r="B5423" s="407"/>
      <c r="C5423" s="407"/>
      <c r="D5423" s="408"/>
      <c r="E5423" s="409"/>
      <c r="F5423" s="409"/>
      <c r="G5423" s="409"/>
      <c r="H5423" s="410"/>
      <c r="I5423" s="409"/>
      <c r="J5423" s="409"/>
      <c r="K5423" s="409"/>
      <c r="L5423" s="409"/>
      <c r="M5423" s="409"/>
      <c r="N5423" s="409"/>
      <c r="O5423" s="409"/>
      <c r="P5423" s="409"/>
      <c r="Q5423" s="409"/>
      <c r="R5423" s="409"/>
      <c r="S5423" s="409"/>
      <c r="T5423" s="409"/>
      <c r="U5423" s="409"/>
      <c r="V5423" s="409"/>
      <c r="W5423" s="409"/>
      <c r="X5423" s="409"/>
      <c r="Y5423" s="411"/>
      <c r="Z5423" s="409"/>
      <c r="AA5423" s="412"/>
      <c r="AB5423" s="413"/>
    </row>
    <row r="5424" spans="1:28">
      <c r="A5424" s="377"/>
      <c r="B5424" s="378"/>
      <c r="C5424" s="378"/>
      <c r="D5424" s="379"/>
      <c r="E5424" s="380"/>
      <c r="F5424" s="380"/>
      <c r="G5424" s="380"/>
      <c r="H5424" s="381"/>
      <c r="I5424" s="380"/>
      <c r="J5424" s="380"/>
      <c r="K5424" s="380"/>
      <c r="L5424" s="380"/>
      <c r="M5424" s="380"/>
      <c r="N5424" s="380"/>
      <c r="O5424" s="380"/>
      <c r="P5424" s="380"/>
      <c r="Q5424" s="380"/>
      <c r="R5424" s="380"/>
      <c r="S5424" s="380"/>
      <c r="T5424" s="380"/>
      <c r="U5424" s="380"/>
      <c r="V5424" s="380"/>
      <c r="W5424" s="380"/>
      <c r="X5424" s="380"/>
      <c r="Y5424" s="382"/>
      <c r="Z5424" s="380"/>
      <c r="AA5424" s="380"/>
      <c r="AB5424" s="383"/>
    </row>
    <row r="5425" spans="1:28">
      <c r="A5425" s="384" t="str">
        <f t="shared" ref="A5425:A5485" si="17534">A5395</f>
        <v>Lantai 3</v>
      </c>
      <c r="B5425" s="385">
        <f t="shared" ref="B5425:B5485" si="17535">B5395+1</f>
        <v>39</v>
      </c>
      <c r="C5425" s="386" t="str">
        <f t="shared" ref="C5425" si="17536">CONCATENATE(A5425," no. ",B5425)</f>
        <v>Lantai 3 no. 39</v>
      </c>
      <c r="D5425" s="2562" t="str">
        <f>VLOOKUP(C5425,'Data Panjang Balok'!$C$9:$N$254,2,FALSE)</f>
        <v>B26-1</v>
      </c>
      <c r="E5425" s="2576"/>
      <c r="F5425" s="2576"/>
      <c r="G5425" s="2576"/>
      <c r="H5425" s="2577"/>
      <c r="I5425" s="387"/>
      <c r="J5425" s="388"/>
      <c r="K5425" s="388"/>
      <c r="L5425" s="388"/>
      <c r="M5425" s="388"/>
      <c r="N5425" s="388"/>
      <c r="O5425" s="388"/>
      <c r="P5425" s="388"/>
      <c r="Q5425" s="388"/>
      <c r="R5425" s="388"/>
      <c r="S5425" s="388"/>
      <c r="T5425" s="388"/>
      <c r="U5425" s="388"/>
      <c r="V5425" s="388"/>
      <c r="W5425" s="388"/>
      <c r="X5425" s="388"/>
      <c r="Y5425" s="389"/>
      <c r="Z5425" s="388"/>
      <c r="AA5425" s="388"/>
      <c r="AB5425" s="390"/>
    </row>
    <row r="5426" spans="1:28">
      <c r="A5426" s="391"/>
      <c r="B5426" s="392"/>
      <c r="C5426" s="393" t="s">
        <v>118</v>
      </c>
      <c r="D5426" s="2578">
        <f>VLOOKUP(D5425,'Detail Balok'!$C$10:$AU$140,2,FALSE)</f>
        <v>200</v>
      </c>
      <c r="E5426" s="2579"/>
      <c r="F5426" s="388" t="s">
        <v>125</v>
      </c>
      <c r="G5426" s="2579">
        <f>VLOOKUP(D5425,'Detail Balok'!$C$10:$AU$140,3,FALSE)</f>
        <v>600</v>
      </c>
      <c r="H5426" s="2580"/>
      <c r="I5426" s="388"/>
      <c r="J5426" s="396"/>
      <c r="K5426" s="396"/>
      <c r="L5426" s="396"/>
      <c r="M5426" s="396"/>
      <c r="N5426" s="396"/>
      <c r="O5426" s="396"/>
      <c r="P5426" s="396"/>
      <c r="Q5426" s="396"/>
      <c r="R5426" s="396"/>
      <c r="S5426" s="396"/>
      <c r="T5426" s="396"/>
      <c r="U5426" s="388"/>
      <c r="V5426" s="396"/>
      <c r="W5426" s="388"/>
      <c r="X5426" s="396"/>
      <c r="Y5426" s="389"/>
      <c r="Z5426" s="396"/>
      <c r="AA5426" s="388"/>
      <c r="AB5426" s="390"/>
    </row>
    <row r="5427" spans="1:28">
      <c r="A5427" s="391"/>
      <c r="B5427" s="392"/>
      <c r="C5427" s="393" t="s">
        <v>198</v>
      </c>
      <c r="D5427" s="2562">
        <f>VLOOKUP(C5425,'Data Panjang Balok'!$C$9:$N$254,4,FALSE)</f>
        <v>4100</v>
      </c>
      <c r="E5427" s="2563"/>
      <c r="F5427" s="2563"/>
      <c r="G5427" s="2563"/>
      <c r="H5427" s="2564"/>
      <c r="I5427" s="397"/>
      <c r="J5427" s="396"/>
      <c r="K5427" s="396"/>
      <c r="L5427" s="396"/>
      <c r="M5427" s="396"/>
      <c r="N5427" s="396"/>
      <c r="O5427" s="396"/>
      <c r="P5427" s="396"/>
      <c r="Q5427" s="396"/>
      <c r="R5427" s="396"/>
      <c r="S5427" s="396"/>
      <c r="T5427" s="396"/>
      <c r="U5427" s="388"/>
      <c r="V5427" s="396"/>
      <c r="W5427" s="388"/>
      <c r="X5427" s="396"/>
      <c r="Y5427" s="389"/>
      <c r="Z5427" s="396"/>
      <c r="AA5427" s="388"/>
      <c r="AB5427" s="390"/>
    </row>
    <row r="5428" spans="1:28">
      <c r="A5428" s="391"/>
      <c r="B5428" s="392"/>
      <c r="C5428" s="393" t="s">
        <v>199</v>
      </c>
      <c r="D5428" s="2562">
        <f>VLOOKUP(C5425,'Data Panjang Balok'!$C$9:$N$254,7,FALSE)</f>
        <v>4100</v>
      </c>
      <c r="E5428" s="2563"/>
      <c r="F5428" s="2563"/>
      <c r="G5428" s="2563"/>
      <c r="H5428" s="2564"/>
      <c r="I5428" s="397"/>
      <c r="J5428" s="396"/>
      <c r="K5428" s="396"/>
      <c r="L5428" s="396"/>
      <c r="M5428" s="396"/>
      <c r="N5428" s="396"/>
      <c r="O5428" s="396"/>
      <c r="P5428" s="396"/>
      <c r="Q5428" s="396"/>
      <c r="R5428" s="396"/>
      <c r="S5428" s="396"/>
      <c r="T5428" s="396"/>
      <c r="U5428" s="388"/>
      <c r="V5428" s="396"/>
      <c r="W5428" s="388"/>
      <c r="X5428" s="396"/>
      <c r="Y5428" s="389"/>
      <c r="Z5428" s="396"/>
      <c r="AA5428" s="388"/>
      <c r="AB5428" s="390"/>
    </row>
    <row r="5429" spans="1:28">
      <c r="A5429" s="391"/>
      <c r="B5429" s="392"/>
      <c r="C5429" s="393" t="s">
        <v>200</v>
      </c>
      <c r="D5429" s="2562">
        <f>VLOOKUP(C5425,'Data Panjang Balok'!$C$9:$N$254,9,FALSE)</f>
        <v>0</v>
      </c>
      <c r="E5429" s="2563"/>
      <c r="F5429" s="2563"/>
      <c r="G5429" s="2563"/>
      <c r="H5429" s="2564"/>
      <c r="I5429" s="397"/>
      <c r="J5429" s="396"/>
      <c r="K5429" s="396"/>
      <c r="L5429" s="396"/>
      <c r="M5429" s="396"/>
      <c r="N5429" s="396"/>
      <c r="O5429" s="396"/>
      <c r="P5429" s="396"/>
      <c r="Q5429" s="396"/>
      <c r="R5429" s="396"/>
      <c r="S5429" s="396"/>
      <c r="T5429" s="396"/>
      <c r="U5429" s="388"/>
      <c r="V5429" s="396"/>
      <c r="W5429" s="388"/>
      <c r="X5429" s="396"/>
      <c r="Y5429" s="389"/>
      <c r="Z5429" s="396"/>
      <c r="AA5429" s="388"/>
      <c r="AB5429" s="390"/>
    </row>
    <row r="5430" spans="1:28">
      <c r="A5430" s="391"/>
      <c r="B5430" s="392"/>
      <c r="C5430" s="393" t="s">
        <v>201</v>
      </c>
      <c r="D5430" s="2562">
        <f>VLOOKUP(C5425,'Data Panjang Balok'!$C$9:$N$254,10,FALSE)</f>
        <v>0</v>
      </c>
      <c r="E5430" s="2563"/>
      <c r="F5430" s="2563"/>
      <c r="G5430" s="2563"/>
      <c r="H5430" s="2564"/>
      <c r="I5430" s="397"/>
      <c r="J5430" s="396"/>
      <c r="K5430" s="396"/>
      <c r="L5430" s="396"/>
      <c r="M5430" s="396"/>
      <c r="N5430" s="396"/>
      <c r="O5430" s="396"/>
      <c r="P5430" s="396"/>
      <c r="Q5430" s="396"/>
      <c r="R5430" s="396"/>
      <c r="S5430" s="396"/>
      <c r="T5430" s="396"/>
      <c r="U5430" s="388"/>
      <c r="V5430" s="396"/>
      <c r="W5430" s="388"/>
      <c r="X5430" s="396"/>
      <c r="Y5430" s="389"/>
      <c r="Z5430" s="396"/>
      <c r="AA5430" s="388"/>
      <c r="AB5430" s="390"/>
    </row>
    <row r="5431" spans="1:28">
      <c r="A5431" s="391"/>
      <c r="B5431" s="392"/>
      <c r="C5431" s="393" t="s">
        <v>48</v>
      </c>
      <c r="D5431" s="2562">
        <f>VLOOKUP(C5425,'Data Panjang Balok'!$C$9:$N$254,3,FALSE)</f>
        <v>1</v>
      </c>
      <c r="E5431" s="2563"/>
      <c r="F5431" s="2563"/>
      <c r="G5431" s="2563"/>
      <c r="H5431" s="2564"/>
      <c r="I5431" s="397"/>
      <c r="J5431" s="396"/>
      <c r="K5431" s="396"/>
      <c r="L5431" s="396"/>
      <c r="M5431" s="396"/>
      <c r="N5431" s="396"/>
      <c r="O5431" s="396"/>
      <c r="P5431" s="396"/>
      <c r="Q5431" s="396"/>
      <c r="R5431" s="396"/>
      <c r="S5431" s="396"/>
      <c r="T5431" s="396"/>
      <c r="U5431" s="388"/>
      <c r="V5431" s="396"/>
      <c r="W5431" s="388"/>
      <c r="X5431" s="396"/>
      <c r="Y5431" s="389"/>
      <c r="Z5431" s="396"/>
      <c r="AA5431" s="388"/>
      <c r="AB5431" s="390"/>
    </row>
    <row r="5432" spans="1:28">
      <c r="A5432" s="384" t="str">
        <f t="shared" ref="A5432:B5432" si="17537">A5425</f>
        <v>Lantai 3</v>
      </c>
      <c r="B5432" s="385">
        <f t="shared" si="17537"/>
        <v>39</v>
      </c>
      <c r="C5432" s="393" t="s">
        <v>202</v>
      </c>
      <c r="D5432" s="398">
        <f>VLOOKUP(D5425,'Detail Balok'!$C$10:$AU$140,4,FALSE)</f>
        <v>4</v>
      </c>
      <c r="E5432" s="388" t="s">
        <v>16</v>
      </c>
      <c r="F5432" s="388">
        <f>VLOOKUP(D5425,'Detail Balok'!$C$10:$AU$140,6,FALSE)</f>
        <v>16</v>
      </c>
      <c r="G5432" s="388"/>
      <c r="H5432" s="395"/>
      <c r="I5432" s="388" t="s">
        <v>203</v>
      </c>
      <c r="J5432" s="399">
        <f t="shared" ref="J5432" si="17538">+D5427/4/1000</f>
        <v>1.0249999999999999</v>
      </c>
      <c r="K5432" s="400" t="s">
        <v>204</v>
      </c>
      <c r="L5432" s="399">
        <f t="shared" ref="L5432" si="17539">MAX(VLOOKUP(F5432,N$6:P$15,3,FALSE)/1000,2/3*D5429/1000)+F$16*F5432/1000</f>
        <v>0.192</v>
      </c>
      <c r="M5432" s="399" t="s">
        <v>176</v>
      </c>
      <c r="N5432" s="399">
        <f t="shared" ref="N5432:N5434" si="17540">J5432+L5432</f>
        <v>1.2169999999999999</v>
      </c>
      <c r="O5432" s="399" t="s">
        <v>204</v>
      </c>
      <c r="P5432" s="389">
        <f t="shared" ref="P5432" si="17541">D5432-D5433</f>
        <v>1</v>
      </c>
      <c r="Q5432" s="399" t="s">
        <v>125</v>
      </c>
      <c r="R5432" s="399">
        <f t="shared" ref="R5432" si="17542">IF(P5432&gt;0,$F$18*F5432/1000,0)</f>
        <v>0.24</v>
      </c>
      <c r="S5432" s="399" t="s">
        <v>205</v>
      </c>
      <c r="T5432" s="399" t="s">
        <v>125</v>
      </c>
      <c r="U5432" s="401">
        <f t="shared" ref="U5432:U5434" si="17543">0.006165*F5432^2</f>
        <v>1.5782400000000001</v>
      </c>
      <c r="V5432" s="399"/>
      <c r="W5432" s="399"/>
      <c r="X5432" s="399" t="s">
        <v>125</v>
      </c>
      <c r="Y5432" s="389">
        <f t="shared" ref="Y5432" si="17544">D5431</f>
        <v>1</v>
      </c>
      <c r="Z5432" s="400" t="s">
        <v>176</v>
      </c>
      <c r="AA5432" s="402">
        <f t="shared" ref="AA5432" si="17545">IF(AA5435=0,(D5432*N5432+P5432*R5432)*U5432*Y5432,0)</f>
        <v>8.0616499200000007</v>
      </c>
      <c r="AB5432" s="403"/>
    </row>
    <row r="5433" spans="1:28">
      <c r="A5433" s="384" t="str">
        <f t="shared" ref="A5433:B5433" si="17546">A5425</f>
        <v>Lantai 3</v>
      </c>
      <c r="B5433" s="385">
        <f t="shared" si="17546"/>
        <v>39</v>
      </c>
      <c r="C5433" s="393" t="s">
        <v>206</v>
      </c>
      <c r="D5433" s="398">
        <f>VLOOKUP(D5425,'Detail Balok'!$C$10:$AU$140,7,FALSE)</f>
        <v>3</v>
      </c>
      <c r="E5433" s="388" t="s">
        <v>16</v>
      </c>
      <c r="F5433" s="388">
        <f>VLOOKUP(D5425,'Detail Balok'!$C$10:$AU$140,9,FALSE)</f>
        <v>16</v>
      </c>
      <c r="G5433" s="388"/>
      <c r="H5433" s="395"/>
      <c r="I5433" s="388" t="s">
        <v>203</v>
      </c>
      <c r="J5433" s="399">
        <f t="shared" ref="J5433" si="17547">+D5427/2/1000</f>
        <v>2.0499999999999998</v>
      </c>
      <c r="K5433" s="400" t="s">
        <v>204</v>
      </c>
      <c r="L5433" s="399"/>
      <c r="M5433" s="399" t="s">
        <v>176</v>
      </c>
      <c r="N5433" s="399">
        <f t="shared" si="17540"/>
        <v>2.0499999999999998</v>
      </c>
      <c r="O5433" s="399" t="s">
        <v>204</v>
      </c>
      <c r="P5433" s="389">
        <f t="shared" ref="P5433" si="17548">MAX(D5433-D5432,D5433-D5434)</f>
        <v>-1</v>
      </c>
      <c r="Q5433" s="399" t="s">
        <v>125</v>
      </c>
      <c r="R5433" s="399">
        <f t="shared" ref="R5433" si="17549">IF(P5433&gt;0,2*(1-2*$F$19-1/2)*D5428/1000,0)</f>
        <v>0</v>
      </c>
      <c r="S5433" s="399" t="s">
        <v>205</v>
      </c>
      <c r="T5433" s="399" t="s">
        <v>125</v>
      </c>
      <c r="U5433" s="401">
        <f t="shared" si="17543"/>
        <v>1.5782400000000001</v>
      </c>
      <c r="V5433" s="399"/>
      <c r="W5433" s="399"/>
      <c r="X5433" s="399" t="s">
        <v>125</v>
      </c>
      <c r="Y5433" s="389">
        <f t="shared" ref="Y5433" si="17550">D5431</f>
        <v>1</v>
      </c>
      <c r="Z5433" s="400" t="s">
        <v>176</v>
      </c>
      <c r="AA5433" s="402">
        <f t="shared" ref="AA5433" si="17551">IF(AA5435=0,(D5433*N5433+P5433*R5433)*U5433*Y5433,0)</f>
        <v>9.7061759999999992</v>
      </c>
      <c r="AB5433" s="403"/>
    </row>
    <row r="5434" spans="1:28">
      <c r="A5434" s="384" t="str">
        <f t="shared" ref="A5434:B5434" si="17552">A5425</f>
        <v>Lantai 3</v>
      </c>
      <c r="B5434" s="385">
        <f t="shared" si="17552"/>
        <v>39</v>
      </c>
      <c r="C5434" s="393" t="s">
        <v>202</v>
      </c>
      <c r="D5434" s="398">
        <f>VLOOKUP(D5425,'Detail Balok'!$C$10:$AU$140,10,FALSE)</f>
        <v>4</v>
      </c>
      <c r="E5434" s="388" t="s">
        <v>16</v>
      </c>
      <c r="F5434" s="388">
        <f>VLOOKUP(D5425,'Detail Balok'!$C$10:$AU$140,12,FALSE)</f>
        <v>16</v>
      </c>
      <c r="G5434" s="388"/>
      <c r="H5434" s="395"/>
      <c r="I5434" s="388" t="s">
        <v>203</v>
      </c>
      <c r="J5434" s="399">
        <f t="shared" ref="J5434" si="17553">+D5427/4/1000</f>
        <v>1.0249999999999999</v>
      </c>
      <c r="K5434" s="400" t="s">
        <v>204</v>
      </c>
      <c r="L5434" s="399">
        <f t="shared" ref="L5434" si="17554">MAX(VLOOKUP(F5434,N$6:P$15,3,FALSE)/1000,2/3*D5429/1000)+F$16*F5434/1000</f>
        <v>0.192</v>
      </c>
      <c r="M5434" s="399" t="s">
        <v>176</v>
      </c>
      <c r="N5434" s="399">
        <f t="shared" si="17540"/>
        <v>1.2169999999999999</v>
      </c>
      <c r="O5434" s="399" t="s">
        <v>204</v>
      </c>
      <c r="P5434" s="389">
        <f t="shared" ref="P5434" si="17555">D5434-D5433</f>
        <v>1</v>
      </c>
      <c r="Q5434" s="399" t="s">
        <v>125</v>
      </c>
      <c r="R5434" s="399">
        <f t="shared" ref="R5434" si="17556">IF(P5434&gt;0,$F$18*F5434/1000,0)</f>
        <v>0.24</v>
      </c>
      <c r="S5434" s="399" t="s">
        <v>205</v>
      </c>
      <c r="T5434" s="399" t="s">
        <v>125</v>
      </c>
      <c r="U5434" s="401">
        <f t="shared" si="17543"/>
        <v>1.5782400000000001</v>
      </c>
      <c r="V5434" s="399"/>
      <c r="W5434" s="399"/>
      <c r="X5434" s="399" t="s">
        <v>125</v>
      </c>
      <c r="Y5434" s="389">
        <f t="shared" ref="Y5434" si="17557">D5431</f>
        <v>1</v>
      </c>
      <c r="Z5434" s="400" t="s">
        <v>176</v>
      </c>
      <c r="AA5434" s="402">
        <f t="shared" ref="AA5434" si="17558">IF(AA5435=0,(D5434*N5434+P5434*R5434)*U5434*Y5434,0)</f>
        <v>8.0616499200000007</v>
      </c>
      <c r="AB5434" s="403"/>
    </row>
    <row r="5435" spans="1:28">
      <c r="A5435" s="384" t="str">
        <f t="shared" ref="A5435:B5435" si="17559">A5425</f>
        <v>Lantai 3</v>
      </c>
      <c r="B5435" s="385">
        <f t="shared" si="17559"/>
        <v>39</v>
      </c>
      <c r="C5435" s="393"/>
      <c r="D5435" s="398">
        <f t="shared" si="17455"/>
        <v>0</v>
      </c>
      <c r="E5435" s="388" t="s">
        <v>16</v>
      </c>
      <c r="F5435" s="388">
        <f t="shared" si="17456"/>
        <v>16</v>
      </c>
      <c r="G5435" s="388"/>
      <c r="H5435" s="395"/>
      <c r="I5435" s="388"/>
      <c r="J5435" s="396"/>
      <c r="K5435" s="396"/>
      <c r="L5435" s="404" t="s">
        <v>207</v>
      </c>
      <c r="M5435" s="399" t="s">
        <v>176</v>
      </c>
      <c r="N5435" s="399">
        <f t="shared" ref="N5435" si="17560">IF(AND(D5432=D5433,D5432=D5434,D5433=D5434,F5432=F5433,F5432=F5434,F5433=F5434),SUM(N5432:N5434),0)</f>
        <v>0</v>
      </c>
      <c r="O5435" s="399" t="s">
        <v>204</v>
      </c>
      <c r="P5435" s="389">
        <f t="shared" ref="P5435" si="17561">IF(N5435&gt;12,ROUNDDOWN(N5435/12,0),0)</f>
        <v>0</v>
      </c>
      <c r="Q5435" s="399" t="s">
        <v>125</v>
      </c>
      <c r="R5435" s="399">
        <f t="shared" ref="R5435" si="17562">IF(P5435&gt;0,MAX(VLOOKUP(F5435,$D$6:$G$15,3,FALSE),600),0)/1000</f>
        <v>0</v>
      </c>
      <c r="S5435" s="396"/>
      <c r="T5435" s="396" t="s">
        <v>125</v>
      </c>
      <c r="U5435" s="401">
        <f t="shared" si="17460"/>
        <v>1.5782400000000001</v>
      </c>
      <c r="V5435" s="396" t="s">
        <v>125</v>
      </c>
      <c r="W5435" s="399">
        <f t="shared" ref="W5435" si="17563">D5435</f>
        <v>0</v>
      </c>
      <c r="X5435" s="399" t="s">
        <v>125</v>
      </c>
      <c r="Y5435" s="389">
        <f t="shared" si="17462"/>
        <v>1</v>
      </c>
      <c r="Z5435" s="400" t="s">
        <v>176</v>
      </c>
      <c r="AA5435" s="402">
        <f t="shared" ref="AA5435" si="17564">(N5435+P5435*R5435/1000)*U5435*W5435*Y5435</f>
        <v>0</v>
      </c>
      <c r="AB5435" s="390"/>
    </row>
    <row r="5436" spans="1:28">
      <c r="A5436" s="384"/>
      <c r="B5436" s="385"/>
      <c r="C5436" s="393"/>
      <c r="D5436" s="398"/>
      <c r="E5436" s="388"/>
      <c r="F5436" s="388"/>
      <c r="G5436" s="388"/>
      <c r="H5436" s="395"/>
      <c r="I5436" s="388"/>
      <c r="J5436" s="396"/>
      <c r="K5436" s="396"/>
      <c r="L5436" s="404"/>
      <c r="M5436" s="399"/>
      <c r="N5436" s="399"/>
      <c r="O5436" s="396"/>
      <c r="P5436" s="389"/>
      <c r="Q5436" s="396"/>
      <c r="R5436" s="396"/>
      <c r="S5436" s="396"/>
      <c r="T5436" s="396"/>
      <c r="U5436" s="401"/>
      <c r="V5436" s="396"/>
      <c r="W5436" s="399"/>
      <c r="X5436" s="396"/>
      <c r="Y5436" s="389"/>
      <c r="Z5436" s="396"/>
      <c r="AA5436" s="388"/>
      <c r="AB5436" s="390"/>
    </row>
    <row r="5437" spans="1:28">
      <c r="A5437" s="384" t="str">
        <f t="shared" ref="A5437:B5437" si="17565">A5425</f>
        <v>Lantai 3</v>
      </c>
      <c r="B5437" s="385">
        <f t="shared" si="17565"/>
        <v>39</v>
      </c>
      <c r="C5437" s="393" t="s">
        <v>208</v>
      </c>
      <c r="D5437" s="398">
        <f>VLOOKUP(D5425,'Detail Balok'!$C$10:$AU$140,13,FALSE)</f>
        <v>2</v>
      </c>
      <c r="E5437" s="388" t="s">
        <v>16</v>
      </c>
      <c r="F5437" s="388">
        <f>VLOOKUP(D5425,'Detail Balok'!$C$10:$AU$140,15,FALSE)</f>
        <v>10</v>
      </c>
      <c r="G5437" s="388"/>
      <c r="H5437" s="395"/>
      <c r="I5437" s="388"/>
      <c r="J5437" s="399">
        <f t="shared" ref="J5437" si="17566">+D5427/1000</f>
        <v>4.0999999999999996</v>
      </c>
      <c r="K5437" s="400" t="s">
        <v>204</v>
      </c>
      <c r="L5437" s="399">
        <f t="shared" ref="L5437" si="17567">2*$F$16*F5437/1000</f>
        <v>0.24</v>
      </c>
      <c r="M5437" s="399" t="s">
        <v>176</v>
      </c>
      <c r="N5437" s="399">
        <f t="shared" ref="N5437" si="17568">J5437+L5437</f>
        <v>4.34</v>
      </c>
      <c r="O5437" s="399" t="s">
        <v>204</v>
      </c>
      <c r="P5437" s="389">
        <f t="shared" ref="P5437" si="17569">IF(N5437&gt;12,ROUNDDOWN(N5437/12,0),0)</f>
        <v>0</v>
      </c>
      <c r="Q5437" s="399" t="s">
        <v>125</v>
      </c>
      <c r="R5437" s="399">
        <f t="shared" ref="R5437" si="17570">IF(P5437&gt;0,MAX(VLOOKUP(F5437,$D$6:$G$15,3,FALSE),600),0)/1000</f>
        <v>0</v>
      </c>
      <c r="S5437" s="399"/>
      <c r="T5437" s="399" t="s">
        <v>125</v>
      </c>
      <c r="U5437" s="401">
        <f t="shared" ref="U5437" si="17571">0.006165*F5437^2</f>
        <v>0.61650000000000005</v>
      </c>
      <c r="V5437" s="399" t="s">
        <v>125</v>
      </c>
      <c r="W5437" s="399">
        <f t="shared" ref="W5437" si="17572">+D5437</f>
        <v>2</v>
      </c>
      <c r="X5437" s="399" t="s">
        <v>125</v>
      </c>
      <c r="Y5437" s="389">
        <f t="shared" ref="Y5437" si="17573">D5431</f>
        <v>1</v>
      </c>
      <c r="Z5437" s="400" t="s">
        <v>176</v>
      </c>
      <c r="AA5437" s="402">
        <f t="shared" ref="AA5437" si="17574">(N5437+P5437*R5437/1000)*U5437*W5437*Y5437</f>
        <v>5.3512200000000005</v>
      </c>
      <c r="AB5437" s="403"/>
    </row>
    <row r="5438" spans="1:28">
      <c r="A5438" s="384"/>
      <c r="B5438" s="385"/>
      <c r="C5438" s="393"/>
      <c r="D5438" s="398"/>
      <c r="E5438" s="388"/>
      <c r="F5438" s="388"/>
      <c r="G5438" s="388"/>
      <c r="H5438" s="395"/>
      <c r="I5438" s="388"/>
      <c r="J5438" s="399"/>
      <c r="K5438" s="400"/>
      <c r="L5438" s="399"/>
      <c r="M5438" s="399"/>
      <c r="N5438" s="399"/>
      <c r="O5438" s="399"/>
      <c r="P5438" s="389"/>
      <c r="Q5438" s="399"/>
      <c r="R5438" s="399"/>
      <c r="S5438" s="399"/>
      <c r="T5438" s="399"/>
      <c r="U5438" s="401"/>
      <c r="V5438" s="399"/>
      <c r="W5438" s="399"/>
      <c r="X5438" s="399"/>
      <c r="Y5438" s="389"/>
      <c r="Z5438" s="400"/>
      <c r="AA5438" s="402"/>
      <c r="AB5438" s="403"/>
    </row>
    <row r="5439" spans="1:28">
      <c r="A5439" s="384"/>
      <c r="B5439" s="385"/>
      <c r="C5439" s="393"/>
      <c r="D5439" s="398"/>
      <c r="E5439" s="388"/>
      <c r="F5439" s="388"/>
      <c r="G5439" s="388"/>
      <c r="H5439" s="395"/>
      <c r="I5439" s="388"/>
      <c r="J5439" s="396"/>
      <c r="K5439" s="396"/>
      <c r="L5439" s="396"/>
      <c r="M5439" s="396"/>
      <c r="N5439" s="396"/>
      <c r="O5439" s="396"/>
      <c r="P5439" s="389"/>
      <c r="Q5439" s="396"/>
      <c r="R5439" s="396"/>
      <c r="S5439" s="396"/>
      <c r="T5439" s="396"/>
      <c r="U5439" s="401"/>
      <c r="V5439" s="396"/>
      <c r="W5439" s="399"/>
      <c r="X5439" s="396"/>
      <c r="Y5439" s="389"/>
      <c r="Z5439" s="396"/>
      <c r="AA5439" s="388"/>
      <c r="AB5439" s="390"/>
    </row>
    <row r="5440" spans="1:28">
      <c r="A5440" s="384" t="str">
        <f t="shared" ref="A5440:B5440" si="17575">A5425</f>
        <v>Lantai 3</v>
      </c>
      <c r="B5440" s="385">
        <f t="shared" si="17575"/>
        <v>39</v>
      </c>
      <c r="C5440" s="393" t="s">
        <v>209</v>
      </c>
      <c r="D5440" s="398">
        <f>VLOOKUP(D5425,'Detail Balok'!$C$10:$AU$140,22,FALSE)</f>
        <v>3</v>
      </c>
      <c r="E5440" s="388" t="s">
        <v>16</v>
      </c>
      <c r="F5440" s="388">
        <f>VLOOKUP(D5425,'Detail Balok'!$C$10:$AU$140,24,FALSE)</f>
        <v>16</v>
      </c>
      <c r="G5440" s="388"/>
      <c r="H5440" s="395"/>
      <c r="I5440" s="388" t="s">
        <v>203</v>
      </c>
      <c r="J5440" s="399">
        <f t="shared" si="17475"/>
        <v>1.0249999999999999</v>
      </c>
      <c r="K5440" s="400" t="s">
        <v>204</v>
      </c>
      <c r="L5440" s="399">
        <f t="shared" ref="L5440" si="17576">MAX(VLOOKUP(F5440,N$6:P$15,3,FALSE)/1000,2/3*D5430/1000)+F$16*F5440/1000</f>
        <v>0.192</v>
      </c>
      <c r="M5440" s="399" t="s">
        <v>176</v>
      </c>
      <c r="N5440" s="399">
        <f t="shared" ref="N5440:N5442" si="17577">J5440+L5440</f>
        <v>1.2169999999999999</v>
      </c>
      <c r="O5440" s="399" t="s">
        <v>204</v>
      </c>
      <c r="P5440" s="389">
        <f t="shared" ref="P5440" si="17578">D5440-D5441</f>
        <v>-1</v>
      </c>
      <c r="Q5440" s="399" t="s">
        <v>125</v>
      </c>
      <c r="R5440" s="399">
        <f t="shared" ref="R5440" si="17579">IF(P5440&gt;0,$F$18*F5440/1000,0)</f>
        <v>0</v>
      </c>
      <c r="S5440" s="399" t="s">
        <v>205</v>
      </c>
      <c r="T5440" s="399" t="s">
        <v>125</v>
      </c>
      <c r="U5440" s="401">
        <f t="shared" ref="U5440:U5442" si="17580">0.006165*F5440^2</f>
        <v>1.5782400000000001</v>
      </c>
      <c r="V5440" s="399"/>
      <c r="W5440" s="399"/>
      <c r="X5440" s="399" t="s">
        <v>125</v>
      </c>
      <c r="Y5440" s="389">
        <f t="shared" ref="Y5440" si="17581">D5431</f>
        <v>1</v>
      </c>
      <c r="Z5440" s="400" t="s">
        <v>176</v>
      </c>
      <c r="AA5440" s="402">
        <f t="shared" ref="AA5440" si="17582">IF(AA5443=0,(D5440*N5440+P5440*R5440)*U5440*Y5440,0)</f>
        <v>5.7621542400000001</v>
      </c>
      <c r="AB5440" s="403"/>
    </row>
    <row r="5441" spans="1:28">
      <c r="A5441" s="384" t="str">
        <f t="shared" ref="A5441:B5441" si="17583">A5425</f>
        <v>Lantai 3</v>
      </c>
      <c r="B5441" s="385">
        <f t="shared" si="17583"/>
        <v>39</v>
      </c>
      <c r="C5441" s="393" t="s">
        <v>210</v>
      </c>
      <c r="D5441" s="398">
        <f>VLOOKUP(D5425,'Detail Balok'!$C$10:$AU$140,25,FALSE)</f>
        <v>4</v>
      </c>
      <c r="E5441" s="388" t="s">
        <v>16</v>
      </c>
      <c r="F5441" s="388">
        <f>VLOOKUP(D5425,'Detail Balok'!$C$10:$AU$140,27,FALSE)</f>
        <v>16</v>
      </c>
      <c r="G5441" s="388"/>
      <c r="H5441" s="395"/>
      <c r="I5441" s="388" t="s">
        <v>203</v>
      </c>
      <c r="J5441" s="399">
        <f t="shared" si="17475"/>
        <v>2.0499999999999998</v>
      </c>
      <c r="K5441" s="400" t="s">
        <v>204</v>
      </c>
      <c r="L5441" s="399"/>
      <c r="M5441" s="399" t="s">
        <v>176</v>
      </c>
      <c r="N5441" s="399">
        <f t="shared" si="17577"/>
        <v>2.0499999999999998</v>
      </c>
      <c r="O5441" s="399" t="s">
        <v>204</v>
      </c>
      <c r="P5441" s="389">
        <f t="shared" ref="P5441" si="17584">MAX(D5441-D5440,D5441-D5442)</f>
        <v>1</v>
      </c>
      <c r="Q5441" s="399" t="s">
        <v>125</v>
      </c>
      <c r="R5441" s="399">
        <f t="shared" ref="R5441" si="17585">IF(P5441&gt;0,2*(1-2*$F$19-1/2)*D5428/1000,0)</f>
        <v>0.81999999999999973</v>
      </c>
      <c r="S5441" s="399" t="s">
        <v>205</v>
      </c>
      <c r="T5441" s="399" t="s">
        <v>125</v>
      </c>
      <c r="U5441" s="401">
        <f t="shared" si="17580"/>
        <v>1.5782400000000001</v>
      </c>
      <c r="V5441" s="399"/>
      <c r="W5441" s="399"/>
      <c r="X5441" s="399" t="s">
        <v>125</v>
      </c>
      <c r="Y5441" s="389">
        <f t="shared" ref="Y5441" si="17586">D5431</f>
        <v>1</v>
      </c>
      <c r="Z5441" s="400" t="s">
        <v>176</v>
      </c>
      <c r="AA5441" s="402">
        <f t="shared" ref="AA5441" si="17587">IF(AA5443=0,(D5441*N5441+P5441*R5441)*U5441*Y5441,0)</f>
        <v>14.2357248</v>
      </c>
      <c r="AB5441" s="403"/>
    </row>
    <row r="5442" spans="1:28">
      <c r="A5442" s="384" t="str">
        <f t="shared" ref="A5442:B5442" si="17588">A5425</f>
        <v>Lantai 3</v>
      </c>
      <c r="B5442" s="385">
        <f t="shared" si="17588"/>
        <v>39</v>
      </c>
      <c r="C5442" s="393" t="s">
        <v>209</v>
      </c>
      <c r="D5442" s="398">
        <f>VLOOKUP(D5425,'Detail Balok'!$C$10:$AU$140,28,FALSE)</f>
        <v>3</v>
      </c>
      <c r="E5442" s="388" t="s">
        <v>16</v>
      </c>
      <c r="F5442" s="388">
        <f>VLOOKUP(D5425,'Detail Balok'!$C$10:$AU$140,30,FALSE)</f>
        <v>16</v>
      </c>
      <c r="G5442" s="388"/>
      <c r="H5442" s="395"/>
      <c r="I5442" s="388" t="s">
        <v>203</v>
      </c>
      <c r="J5442" s="399">
        <f t="shared" si="17475"/>
        <v>1.0249999999999999</v>
      </c>
      <c r="K5442" s="400" t="s">
        <v>204</v>
      </c>
      <c r="L5442" s="399">
        <f t="shared" ref="L5442" si="17589">MAX(VLOOKUP(F5442,N$6:P$15,3,FALSE)/1000,2/3*D5430/1000)+F$16*F5442/1000</f>
        <v>0.192</v>
      </c>
      <c r="M5442" s="399" t="s">
        <v>176</v>
      </c>
      <c r="N5442" s="399">
        <f t="shared" si="17577"/>
        <v>1.2169999999999999</v>
      </c>
      <c r="O5442" s="399" t="s">
        <v>204</v>
      </c>
      <c r="P5442" s="389">
        <f t="shared" ref="P5442" si="17590">D5442-D5441</f>
        <v>-1</v>
      </c>
      <c r="Q5442" s="399" t="s">
        <v>125</v>
      </c>
      <c r="R5442" s="399">
        <f t="shared" ref="R5442" si="17591">IF(P5442&gt;0,$F$18*F5442/1000,0)</f>
        <v>0</v>
      </c>
      <c r="S5442" s="399" t="s">
        <v>205</v>
      </c>
      <c r="T5442" s="399" t="s">
        <v>125</v>
      </c>
      <c r="U5442" s="401">
        <f t="shared" si="17580"/>
        <v>1.5782400000000001</v>
      </c>
      <c r="V5442" s="399"/>
      <c r="W5442" s="399"/>
      <c r="X5442" s="399" t="s">
        <v>125</v>
      </c>
      <c r="Y5442" s="389">
        <f t="shared" ref="Y5442" si="17592">D5431</f>
        <v>1</v>
      </c>
      <c r="Z5442" s="400" t="s">
        <v>176</v>
      </c>
      <c r="AA5442" s="402">
        <f t="shared" ref="AA5442" si="17593">IF(AA5443=0,(D5442*N5442+P5442*R5442)*U5442*Y5442,0)</f>
        <v>5.7621542400000001</v>
      </c>
      <c r="AB5442" s="403"/>
    </row>
    <row r="5443" spans="1:28">
      <c r="A5443" s="384" t="str">
        <f t="shared" ref="A5443:B5443" si="17594">A5425</f>
        <v>Lantai 3</v>
      </c>
      <c r="B5443" s="385">
        <f t="shared" si="17594"/>
        <v>39</v>
      </c>
      <c r="C5443" s="393"/>
      <c r="D5443" s="398">
        <f t="shared" si="17495"/>
        <v>0</v>
      </c>
      <c r="E5443" s="388" t="s">
        <v>16</v>
      </c>
      <c r="F5443" s="388">
        <f t="shared" si="17496"/>
        <v>16</v>
      </c>
      <c r="G5443" s="388"/>
      <c r="H5443" s="395"/>
      <c r="I5443" s="388"/>
      <c r="J5443" s="396"/>
      <c r="K5443" s="396"/>
      <c r="L5443" s="404" t="s">
        <v>207</v>
      </c>
      <c r="M5443" s="399" t="s">
        <v>176</v>
      </c>
      <c r="N5443" s="399">
        <f t="shared" ref="N5443" si="17595">IF(AND(D5440=D5441,D5440=D5442,D5441=D5442,F5440=F5441,F5440=F5442,F5441=F5442),SUM(N5440:N5442),0)</f>
        <v>0</v>
      </c>
      <c r="O5443" s="399" t="s">
        <v>204</v>
      </c>
      <c r="P5443" s="389">
        <f t="shared" ref="P5443" si="17596">IF(N5443&gt;12,ROUNDDOWN(N5443/12,0),0)</f>
        <v>0</v>
      </c>
      <c r="Q5443" s="399" t="s">
        <v>125</v>
      </c>
      <c r="R5443" s="399">
        <f t="shared" ref="R5443" si="17597">IF(P5443&gt;0,MAX(VLOOKUP(F5443,$D$6:$G$15,3,FALSE),600),0)/1000</f>
        <v>0</v>
      </c>
      <c r="S5443" s="396"/>
      <c r="T5443" s="396" t="s">
        <v>125</v>
      </c>
      <c r="U5443" s="401">
        <f t="shared" si="17500"/>
        <v>1.5782400000000001</v>
      </c>
      <c r="V5443" s="396" t="s">
        <v>125</v>
      </c>
      <c r="W5443" s="399">
        <f t="shared" ref="W5443" si="17598">D5443</f>
        <v>0</v>
      </c>
      <c r="X5443" s="399" t="s">
        <v>125</v>
      </c>
      <c r="Y5443" s="389">
        <f t="shared" si="17502"/>
        <v>1</v>
      </c>
      <c r="Z5443" s="400" t="s">
        <v>176</v>
      </c>
      <c r="AA5443" s="402">
        <f t="shared" ref="AA5443" si="17599">(N5443+P5443*R5443/1000)*U5443*W5443*Y5443</f>
        <v>0</v>
      </c>
      <c r="AB5443" s="403"/>
    </row>
    <row r="5444" spans="1:28">
      <c r="A5444" s="384"/>
      <c r="B5444" s="385"/>
      <c r="C5444" s="393"/>
      <c r="D5444" s="394"/>
      <c r="E5444" s="388"/>
      <c r="F5444" s="388"/>
      <c r="G5444" s="388"/>
      <c r="H5444" s="395"/>
      <c r="I5444" s="388"/>
      <c r="J5444" s="399"/>
      <c r="K5444" s="396"/>
      <c r="L5444" s="396"/>
      <c r="M5444" s="396"/>
      <c r="N5444" s="396"/>
      <c r="O5444" s="396"/>
      <c r="P5444" s="389"/>
      <c r="Q5444" s="396"/>
      <c r="R5444" s="396"/>
      <c r="S5444" s="396"/>
      <c r="T5444" s="396"/>
      <c r="U5444" s="401"/>
      <c r="V5444" s="396"/>
      <c r="W5444" s="388"/>
      <c r="X5444" s="396"/>
      <c r="Y5444" s="389"/>
      <c r="Z5444" s="396"/>
      <c r="AA5444" s="388"/>
      <c r="AB5444" s="390"/>
    </row>
    <row r="5445" spans="1:28">
      <c r="A5445" s="384" t="str">
        <f t="shared" ref="A5445:B5445" si="17600">A5425</f>
        <v>Lantai 3</v>
      </c>
      <c r="B5445" s="385">
        <f t="shared" si="17600"/>
        <v>39</v>
      </c>
      <c r="C5445" s="393" t="s">
        <v>211</v>
      </c>
      <c r="D5445" s="398">
        <f>VLOOKUP(D5425,'Detail Balok'!$C$10:$AU$140,31,FALSE)</f>
        <v>0</v>
      </c>
      <c r="E5445" s="388" t="s">
        <v>16</v>
      </c>
      <c r="F5445" s="388">
        <f>VLOOKUP(D5425,'Detail Balok'!$C$10:$AU$140,33,FALSE)</f>
        <v>10</v>
      </c>
      <c r="G5445" s="405" t="s">
        <v>157</v>
      </c>
      <c r="H5445" s="395">
        <f>VLOOKUP(D5425,'Detail Balok'!$C$10:$AU$140,35,FALSE)</f>
        <v>100</v>
      </c>
      <c r="I5445" s="388"/>
      <c r="J5445" s="400">
        <f t="shared" ref="J5445" si="17601">(IF(D5445=0,(2*(D5426+G5426))-(F$5*8),IF(D5445=3,(2*(D5426+G5426))-(F$5*8)+(G5426-2*F$5),IF(D5445=4,(2*(D5426+G5426))-(F$5*8)+2*(G5426-2*F$5)))))/1000</f>
        <v>1.28</v>
      </c>
      <c r="K5445" s="400" t="s">
        <v>204</v>
      </c>
      <c r="L5445" s="399">
        <f t="shared" ref="L5445:L5447" si="17602">IF(D5445=0,2*MAX(6*F5445,75),(D5445-1)*2*MAX(6*F5445,75))/1000</f>
        <v>0.15</v>
      </c>
      <c r="M5445" s="399" t="s">
        <v>176</v>
      </c>
      <c r="N5445" s="399">
        <f t="shared" ref="N5445:N5447" si="17603">J5445+L5445</f>
        <v>1.43</v>
      </c>
      <c r="O5445" s="399"/>
      <c r="P5445" s="389"/>
      <c r="Q5445" s="399"/>
      <c r="R5445" s="399"/>
      <c r="S5445" s="399"/>
      <c r="T5445" s="399" t="s">
        <v>125</v>
      </c>
      <c r="U5445" s="401">
        <f t="shared" ref="U5445:U5447" si="17604">0.006165*F5445^2</f>
        <v>0.61650000000000005</v>
      </c>
      <c r="V5445" s="399" t="s">
        <v>125</v>
      </c>
      <c r="W5445" s="399">
        <f t="shared" ref="W5445" si="17605">IF(D5428&gt;4*G5426,ROUND(MAX(D5428/4,2*G5426)/H5445,0)+1,ROUND(D5428/H5445,0)+1)</f>
        <v>13</v>
      </c>
      <c r="X5445" s="399" t="s">
        <v>125</v>
      </c>
      <c r="Y5445" s="389">
        <f t="shared" ref="Y5445" si="17606">D5431</f>
        <v>1</v>
      </c>
      <c r="Z5445" s="400" t="s">
        <v>176</v>
      </c>
      <c r="AA5445" s="402">
        <f t="shared" ref="AA5445:AA5447" si="17607">N5445*U5445*W5445*Y5445</f>
        <v>11.460735</v>
      </c>
      <c r="AB5445" s="403"/>
    </row>
    <row r="5446" spans="1:28">
      <c r="A5446" s="384" t="str">
        <f t="shared" ref="A5446:B5446" si="17608">A5425</f>
        <v>Lantai 3</v>
      </c>
      <c r="B5446" s="385">
        <f t="shared" si="17608"/>
        <v>39</v>
      </c>
      <c r="C5446" s="393" t="s">
        <v>212</v>
      </c>
      <c r="D5446" s="398">
        <f>VLOOKUP(D5425,'Detail Balok'!$C$10:$AU$140,36,FALSE)</f>
        <v>0</v>
      </c>
      <c r="E5446" s="388" t="s">
        <v>16</v>
      </c>
      <c r="F5446" s="388">
        <f>VLOOKUP(D5425,'Detail Balok'!$C$10:$AU$140,38,FALSE)</f>
        <v>10</v>
      </c>
      <c r="G5446" s="405" t="s">
        <v>157</v>
      </c>
      <c r="H5446" s="395">
        <f>VLOOKUP(D5425,'Detail Balok'!$C$10:$AU$140,40,FALSE)</f>
        <v>150</v>
      </c>
      <c r="I5446" s="388"/>
      <c r="J5446" s="400">
        <f t="shared" ref="J5446" si="17609">(IF(D5446=0,(2*(D5426+G5426))-(F$5*8),IF(D5446=3,(2*(D5426+G5426))-(F$5*8)+(G5426-2*F$5),IF(D5446=4,(2*(D5426+G5426))-(F$5*8)+2*(G5426-2*F$5)))))/1000</f>
        <v>1.28</v>
      </c>
      <c r="K5446" s="400" t="s">
        <v>204</v>
      </c>
      <c r="L5446" s="399">
        <f t="shared" si="17602"/>
        <v>0.15</v>
      </c>
      <c r="M5446" s="399" t="s">
        <v>176</v>
      </c>
      <c r="N5446" s="399">
        <f t="shared" si="17603"/>
        <v>1.43</v>
      </c>
      <c r="O5446" s="399"/>
      <c r="P5446" s="389"/>
      <c r="Q5446" s="399"/>
      <c r="R5446" s="399"/>
      <c r="S5446" s="399"/>
      <c r="T5446" s="399" t="s">
        <v>125</v>
      </c>
      <c r="U5446" s="401">
        <f t="shared" si="17604"/>
        <v>0.61650000000000005</v>
      </c>
      <c r="V5446" s="399" t="s">
        <v>125</v>
      </c>
      <c r="W5446" s="399">
        <f t="shared" ref="W5446" si="17610">IF(D5428-MAX(D5428/4,2*G5426)*2&gt;0,ROUND((D5428-MAX(D5428/4,2*G5426)*2)/H5446,0),0)</f>
        <v>11</v>
      </c>
      <c r="X5446" s="399" t="s">
        <v>125</v>
      </c>
      <c r="Y5446" s="389">
        <f t="shared" ref="Y5446" si="17611">D5431</f>
        <v>1</v>
      </c>
      <c r="Z5446" s="400" t="s">
        <v>176</v>
      </c>
      <c r="AA5446" s="402">
        <f t="shared" si="17607"/>
        <v>9.6975449999999999</v>
      </c>
      <c r="AB5446" s="403"/>
    </row>
    <row r="5447" spans="1:28">
      <c r="A5447" s="384" t="str">
        <f t="shared" ref="A5447:B5447" si="17612">A5425</f>
        <v>Lantai 3</v>
      </c>
      <c r="B5447" s="385">
        <f t="shared" si="17612"/>
        <v>39</v>
      </c>
      <c r="C5447" s="393" t="s">
        <v>211</v>
      </c>
      <c r="D5447" s="398">
        <f>VLOOKUP(D5425,'Detail Balok'!$C$10:$AU$140,41,FALSE)</f>
        <v>0</v>
      </c>
      <c r="E5447" s="388" t="s">
        <v>16</v>
      </c>
      <c r="F5447" s="388">
        <f>VLOOKUP(D5425,'Detail Balok'!$C$10:$AU$140,43,FALSE)</f>
        <v>10</v>
      </c>
      <c r="G5447" s="405" t="s">
        <v>157</v>
      </c>
      <c r="H5447" s="395">
        <f>VLOOKUP(D5425,'Detail Balok'!$C$10:$AU$140,45,FALSE)</f>
        <v>100</v>
      </c>
      <c r="I5447" s="388"/>
      <c r="J5447" s="400">
        <f t="shared" ref="J5447" si="17613">(IF(D5447=0,(2*(D5426+G5426))-(F$5*8),IF(D5447=3,(2*(D5426+G5426))-(F$5*8)+(G5426-2*F$5),IF(D5447=4,(2*(D5426+G5426))-(F$5*8)+2*(G5426-2*F$5)))))/1000</f>
        <v>1.28</v>
      </c>
      <c r="K5447" s="400" t="s">
        <v>204</v>
      </c>
      <c r="L5447" s="399">
        <f t="shared" si="17602"/>
        <v>0.15</v>
      </c>
      <c r="M5447" s="399" t="s">
        <v>176</v>
      </c>
      <c r="N5447" s="399">
        <f t="shared" si="17603"/>
        <v>1.43</v>
      </c>
      <c r="O5447" s="399"/>
      <c r="P5447" s="389"/>
      <c r="Q5447" s="399"/>
      <c r="R5447" s="399"/>
      <c r="S5447" s="399"/>
      <c r="T5447" s="399" t="s">
        <v>125</v>
      </c>
      <c r="U5447" s="401">
        <f t="shared" si="17604"/>
        <v>0.61650000000000005</v>
      </c>
      <c r="V5447" s="399" t="s">
        <v>125</v>
      </c>
      <c r="W5447" s="399">
        <f t="shared" ref="W5447" si="17614">IF(D5428&gt;4*G5426,ROUND(MAX(D5428/4,2*G5426)/H5447,0)+1,0)</f>
        <v>13</v>
      </c>
      <c r="X5447" s="399" t="s">
        <v>125</v>
      </c>
      <c r="Y5447" s="389">
        <f t="shared" ref="Y5447" si="17615">D5431</f>
        <v>1</v>
      </c>
      <c r="Z5447" s="400" t="s">
        <v>176</v>
      </c>
      <c r="AA5447" s="402">
        <f t="shared" si="17607"/>
        <v>11.460735</v>
      </c>
      <c r="AB5447" s="403"/>
    </row>
    <row r="5448" spans="1:28">
      <c r="A5448" s="384"/>
      <c r="B5448" s="385"/>
      <c r="C5448" s="393"/>
      <c r="D5448" s="394"/>
      <c r="E5448" s="388"/>
      <c r="F5448" s="388"/>
      <c r="G5448" s="388"/>
      <c r="H5448" s="395"/>
      <c r="I5448" s="388"/>
      <c r="J5448" s="399"/>
      <c r="K5448" s="396"/>
      <c r="L5448" s="396"/>
      <c r="M5448" s="396"/>
      <c r="N5448" s="396"/>
      <c r="O5448" s="396"/>
      <c r="P5448" s="389"/>
      <c r="Q5448" s="396"/>
      <c r="R5448" s="396"/>
      <c r="S5448" s="396"/>
      <c r="T5448" s="396"/>
      <c r="U5448" s="401"/>
      <c r="V5448" s="396"/>
      <c r="W5448" s="388"/>
      <c r="X5448" s="396"/>
      <c r="Y5448" s="389"/>
      <c r="Z5448" s="396"/>
      <c r="AA5448" s="388"/>
      <c r="AB5448" s="390"/>
    </row>
    <row r="5449" spans="1:28">
      <c r="A5449" s="384" t="str">
        <f t="shared" ref="A5449:B5449" si="17616">A5425</f>
        <v>Lantai 3</v>
      </c>
      <c r="B5449" s="385">
        <f t="shared" si="17616"/>
        <v>39</v>
      </c>
      <c r="C5449" s="393" t="s">
        <v>213</v>
      </c>
      <c r="D5449" s="398">
        <f>VLOOKUP(D5425,'Detail Balok'!$C$10:$BJ$140,46,FALSE)</f>
        <v>0</v>
      </c>
      <c r="E5449" s="388" t="s">
        <v>16</v>
      </c>
      <c r="F5449" s="388">
        <f>VLOOKUP(D5425,'Detail Balok'!$C$10:$BJ$140,48,FALSE)</f>
        <v>0</v>
      </c>
      <c r="G5449" s="405" t="s">
        <v>157</v>
      </c>
      <c r="H5449" s="395">
        <f>VLOOKUP(D5425,'Detail Balok'!$C$10:$BJ$140,50,FALSE)</f>
        <v>100</v>
      </c>
      <c r="I5449" s="388"/>
      <c r="J5449" s="399">
        <f t="shared" ref="J5449" si="17617">(D5426-2*F$5)/1000</f>
        <v>0.12</v>
      </c>
      <c r="K5449" s="400" t="s">
        <v>204</v>
      </c>
      <c r="L5449" s="399">
        <f t="shared" ref="L5449:L5451" si="17618">IF(D5449=0,2*MAX(6*F5449,75),(D5449-1)*2*MAX(6*F5449,75))/1000</f>
        <v>0.15</v>
      </c>
      <c r="M5449" s="399" t="s">
        <v>176</v>
      </c>
      <c r="N5449" s="399">
        <f t="shared" ref="N5449:N5451" si="17619">J5449+L5449</f>
        <v>0.27</v>
      </c>
      <c r="O5449" s="399"/>
      <c r="P5449" s="399"/>
      <c r="Q5449" s="399"/>
      <c r="R5449" s="399"/>
      <c r="S5449" s="399"/>
      <c r="T5449" s="399" t="s">
        <v>125</v>
      </c>
      <c r="U5449" s="401">
        <f t="shared" ref="U5449:U5451" si="17620">0.006165*F5449^2</f>
        <v>0</v>
      </c>
      <c r="V5449" s="399" t="s">
        <v>125</v>
      </c>
      <c r="W5449" s="399">
        <f t="shared" si="17525"/>
        <v>13</v>
      </c>
      <c r="X5449" s="399" t="s">
        <v>125</v>
      </c>
      <c r="Y5449" s="389">
        <f t="shared" ref="Y5449" si="17621">D5435</f>
        <v>0</v>
      </c>
      <c r="Z5449" s="400" t="s">
        <v>176</v>
      </c>
      <c r="AA5449" s="402">
        <f t="shared" ref="AA5449:AA5451" si="17622">N5449*U5449*W5449*Y5449</f>
        <v>0</v>
      </c>
      <c r="AB5449" s="403"/>
    </row>
    <row r="5450" spans="1:28">
      <c r="A5450" s="384" t="str">
        <f t="shared" ref="A5450:B5450" si="17623">A5425</f>
        <v>Lantai 3</v>
      </c>
      <c r="B5450" s="385">
        <f t="shared" si="17623"/>
        <v>39</v>
      </c>
      <c r="C5450" s="393" t="s">
        <v>214</v>
      </c>
      <c r="D5450" s="398">
        <f>VLOOKUP(D5425,'Detail Balok'!$C$10:$BJ$140,51,FALSE)</f>
        <v>0</v>
      </c>
      <c r="E5450" s="388" t="s">
        <v>16</v>
      </c>
      <c r="F5450" s="388">
        <f>VLOOKUP(D5425,'Detail Balok'!$C$10:$BJ$140,53,FALSE)</f>
        <v>0</v>
      </c>
      <c r="G5450" s="405" t="s">
        <v>157</v>
      </c>
      <c r="H5450" s="395">
        <f>VLOOKUP(D5425,'Detail Balok'!$C$10:$BJ$140,55,FALSE)</f>
        <v>100</v>
      </c>
      <c r="I5450" s="388"/>
      <c r="J5450" s="399">
        <f t="shared" ref="J5450" si="17624">(D5426-2*F$5)/1000</f>
        <v>0.12</v>
      </c>
      <c r="K5450" s="400" t="s">
        <v>204</v>
      </c>
      <c r="L5450" s="399">
        <f t="shared" si="17618"/>
        <v>0.15</v>
      </c>
      <c r="M5450" s="399" t="s">
        <v>176</v>
      </c>
      <c r="N5450" s="399">
        <f t="shared" si="17619"/>
        <v>0.27</v>
      </c>
      <c r="O5450" s="399"/>
      <c r="P5450" s="399"/>
      <c r="Q5450" s="399"/>
      <c r="R5450" s="399"/>
      <c r="S5450" s="399"/>
      <c r="T5450" s="399" t="s">
        <v>125</v>
      </c>
      <c r="U5450" s="401">
        <f t="shared" si="17620"/>
        <v>0</v>
      </c>
      <c r="V5450" s="399" t="s">
        <v>125</v>
      </c>
      <c r="W5450" s="399">
        <f t="shared" si="17525"/>
        <v>11</v>
      </c>
      <c r="X5450" s="399" t="s">
        <v>125</v>
      </c>
      <c r="Y5450" s="389">
        <f t="shared" ref="Y5450" si="17625">D5435</f>
        <v>0</v>
      </c>
      <c r="Z5450" s="400" t="s">
        <v>176</v>
      </c>
      <c r="AA5450" s="402">
        <f t="shared" si="17622"/>
        <v>0</v>
      </c>
      <c r="AB5450" s="403"/>
    </row>
    <row r="5451" spans="1:28">
      <c r="A5451" s="384" t="str">
        <f t="shared" ref="A5451:B5451" si="17626">A5425</f>
        <v>Lantai 3</v>
      </c>
      <c r="B5451" s="385">
        <f t="shared" si="17626"/>
        <v>39</v>
      </c>
      <c r="C5451" s="393" t="s">
        <v>213</v>
      </c>
      <c r="D5451" s="398">
        <f>VLOOKUP(D5425,'Detail Balok'!$C$10:$BJ$140,56,FALSE)</f>
        <v>0</v>
      </c>
      <c r="E5451" s="388" t="s">
        <v>16</v>
      </c>
      <c r="F5451" s="388">
        <f>VLOOKUP(D5425,'Detail Balok'!$C$10:$BJ$140,58,FALSE)</f>
        <v>0</v>
      </c>
      <c r="G5451" s="405" t="s">
        <v>157</v>
      </c>
      <c r="H5451" s="395">
        <f>VLOOKUP(D5425,'Detail Balok'!$C$10:$BJ$140,60,FALSE)</f>
        <v>100</v>
      </c>
      <c r="I5451" s="388"/>
      <c r="J5451" s="399">
        <f t="shared" ref="J5451" si="17627">(D5426-2*F$5)/1000</f>
        <v>0.12</v>
      </c>
      <c r="K5451" s="400" t="s">
        <v>204</v>
      </c>
      <c r="L5451" s="399">
        <f t="shared" si="17618"/>
        <v>0.15</v>
      </c>
      <c r="M5451" s="399" t="s">
        <v>176</v>
      </c>
      <c r="N5451" s="399">
        <f t="shared" si="17619"/>
        <v>0.27</v>
      </c>
      <c r="O5451" s="399"/>
      <c r="P5451" s="399"/>
      <c r="Q5451" s="399"/>
      <c r="R5451" s="399"/>
      <c r="S5451" s="399"/>
      <c r="T5451" s="399" t="s">
        <v>125</v>
      </c>
      <c r="U5451" s="401">
        <f t="shared" si="17620"/>
        <v>0</v>
      </c>
      <c r="V5451" s="399" t="s">
        <v>125</v>
      </c>
      <c r="W5451" s="399">
        <f t="shared" si="17525"/>
        <v>13</v>
      </c>
      <c r="X5451" s="399" t="s">
        <v>125</v>
      </c>
      <c r="Y5451" s="389">
        <f t="shared" ref="Y5451" si="17628">D5435</f>
        <v>0</v>
      </c>
      <c r="Z5451" s="400" t="s">
        <v>176</v>
      </c>
      <c r="AA5451" s="402">
        <f t="shared" si="17622"/>
        <v>0</v>
      </c>
      <c r="AB5451" s="403"/>
    </row>
    <row r="5452" spans="1:28">
      <c r="A5452" s="391"/>
      <c r="B5452" s="392"/>
      <c r="C5452" s="392"/>
      <c r="D5452" s="394"/>
      <c r="E5452" s="388"/>
      <c r="F5452" s="388"/>
      <c r="G5452" s="388"/>
      <c r="H5452" s="395"/>
      <c r="I5452" s="388"/>
      <c r="J5452" s="402"/>
      <c r="K5452" s="388"/>
      <c r="L5452" s="388"/>
      <c r="M5452" s="388"/>
      <c r="N5452" s="388"/>
      <c r="O5452" s="388"/>
      <c r="P5452" s="388"/>
      <c r="Q5452" s="388"/>
      <c r="R5452" s="388"/>
      <c r="S5452" s="388"/>
      <c r="T5452" s="388"/>
      <c r="U5452" s="388"/>
      <c r="V5452" s="388"/>
      <c r="W5452" s="388"/>
      <c r="X5452" s="388"/>
      <c r="Y5452" s="389"/>
      <c r="Z5452" s="388"/>
      <c r="AA5452" s="402"/>
      <c r="AB5452" s="403"/>
    </row>
    <row r="5453" spans="1:28" ht="15.75" thickBot="1">
      <c r="A5453" s="406"/>
      <c r="B5453" s="407"/>
      <c r="C5453" s="407"/>
      <c r="D5453" s="408"/>
      <c r="E5453" s="409"/>
      <c r="F5453" s="409"/>
      <c r="G5453" s="409"/>
      <c r="H5453" s="410"/>
      <c r="I5453" s="409"/>
      <c r="J5453" s="409"/>
      <c r="K5453" s="409"/>
      <c r="L5453" s="409"/>
      <c r="M5453" s="409"/>
      <c r="N5453" s="409"/>
      <c r="O5453" s="409"/>
      <c r="P5453" s="409"/>
      <c r="Q5453" s="409"/>
      <c r="R5453" s="409"/>
      <c r="S5453" s="409"/>
      <c r="T5453" s="409"/>
      <c r="U5453" s="409"/>
      <c r="V5453" s="409"/>
      <c r="W5453" s="409"/>
      <c r="X5453" s="409"/>
      <c r="Y5453" s="411"/>
      <c r="Z5453" s="409"/>
      <c r="AA5453" s="412"/>
      <c r="AB5453" s="413"/>
    </row>
    <row r="5454" spans="1:28">
      <c r="A5454" s="377"/>
      <c r="B5454" s="378"/>
      <c r="C5454" s="378"/>
      <c r="D5454" s="379"/>
      <c r="E5454" s="380"/>
      <c r="F5454" s="380"/>
      <c r="G5454" s="380"/>
      <c r="H5454" s="381"/>
      <c r="I5454" s="380"/>
      <c r="J5454" s="380"/>
      <c r="K5454" s="380"/>
      <c r="L5454" s="380"/>
      <c r="M5454" s="380"/>
      <c r="N5454" s="380"/>
      <c r="O5454" s="380"/>
      <c r="P5454" s="380"/>
      <c r="Q5454" s="380"/>
      <c r="R5454" s="380"/>
      <c r="S5454" s="380"/>
      <c r="T5454" s="380"/>
      <c r="U5454" s="380"/>
      <c r="V5454" s="380"/>
      <c r="W5454" s="380"/>
      <c r="X5454" s="380"/>
      <c r="Y5454" s="382"/>
      <c r="Z5454" s="380"/>
      <c r="AA5454" s="380"/>
      <c r="AB5454" s="383"/>
    </row>
    <row r="5455" spans="1:28">
      <c r="A5455" s="384" t="str">
        <f t="shared" si="17534"/>
        <v>Lantai 3</v>
      </c>
      <c r="B5455" s="385">
        <f t="shared" si="17535"/>
        <v>40</v>
      </c>
      <c r="C5455" s="386" t="str">
        <f t="shared" ref="C5455" si="17629">CONCATENATE(A5455," no. ",B5455)</f>
        <v>Lantai 3 no. 40</v>
      </c>
      <c r="D5455" s="2562" t="str">
        <f>VLOOKUP(C5455,'Data Panjang Balok'!$C$9:$N$254,2,FALSE)</f>
        <v>B26-1</v>
      </c>
      <c r="E5455" s="2576"/>
      <c r="F5455" s="2576"/>
      <c r="G5455" s="2576"/>
      <c r="H5455" s="2577"/>
      <c r="I5455" s="387"/>
      <c r="J5455" s="388"/>
      <c r="K5455" s="388"/>
      <c r="L5455" s="388"/>
      <c r="M5455" s="388"/>
      <c r="N5455" s="388"/>
      <c r="O5455" s="388"/>
      <c r="P5455" s="388"/>
      <c r="Q5455" s="388"/>
      <c r="R5455" s="388"/>
      <c r="S5455" s="388"/>
      <c r="T5455" s="388"/>
      <c r="U5455" s="388"/>
      <c r="V5455" s="388"/>
      <c r="W5455" s="388"/>
      <c r="X5455" s="388"/>
      <c r="Y5455" s="389"/>
      <c r="Z5455" s="388"/>
      <c r="AA5455" s="388"/>
      <c r="AB5455" s="390"/>
    </row>
    <row r="5456" spans="1:28">
      <c r="A5456" s="391"/>
      <c r="B5456" s="392"/>
      <c r="C5456" s="393" t="s">
        <v>118</v>
      </c>
      <c r="D5456" s="2578">
        <f>VLOOKUP(D5455,'Detail Balok'!$C$10:$AU$140,2,FALSE)</f>
        <v>200</v>
      </c>
      <c r="E5456" s="2579"/>
      <c r="F5456" s="388" t="s">
        <v>125</v>
      </c>
      <c r="G5456" s="2579">
        <f>VLOOKUP(D5455,'Detail Balok'!$C$10:$AU$140,3,FALSE)</f>
        <v>600</v>
      </c>
      <c r="H5456" s="2580"/>
      <c r="I5456" s="388"/>
      <c r="J5456" s="396"/>
      <c r="K5456" s="396"/>
      <c r="L5456" s="396"/>
      <c r="M5456" s="396"/>
      <c r="N5456" s="396"/>
      <c r="O5456" s="396"/>
      <c r="P5456" s="396"/>
      <c r="Q5456" s="396"/>
      <c r="R5456" s="396"/>
      <c r="S5456" s="396"/>
      <c r="T5456" s="396"/>
      <c r="U5456" s="388"/>
      <c r="V5456" s="396"/>
      <c r="W5456" s="388"/>
      <c r="X5456" s="396"/>
      <c r="Y5456" s="389"/>
      <c r="Z5456" s="396"/>
      <c r="AA5456" s="388"/>
      <c r="AB5456" s="390"/>
    </row>
    <row r="5457" spans="1:28">
      <c r="A5457" s="391"/>
      <c r="B5457" s="392"/>
      <c r="C5457" s="393" t="s">
        <v>198</v>
      </c>
      <c r="D5457" s="2562">
        <f>VLOOKUP(C5455,'Data Panjang Balok'!$C$9:$N$254,4,FALSE)</f>
        <v>4000</v>
      </c>
      <c r="E5457" s="2563"/>
      <c r="F5457" s="2563"/>
      <c r="G5457" s="2563"/>
      <c r="H5457" s="2564"/>
      <c r="I5457" s="397"/>
      <c r="J5457" s="396"/>
      <c r="K5457" s="396"/>
      <c r="L5457" s="396"/>
      <c r="M5457" s="396"/>
      <c r="N5457" s="396"/>
      <c r="O5457" s="396"/>
      <c r="P5457" s="396"/>
      <c r="Q5457" s="396"/>
      <c r="R5457" s="396"/>
      <c r="S5457" s="396"/>
      <c r="T5457" s="396"/>
      <c r="U5457" s="388"/>
      <c r="V5457" s="396"/>
      <c r="W5457" s="388"/>
      <c r="X5457" s="396"/>
      <c r="Y5457" s="389"/>
      <c r="Z5457" s="396"/>
      <c r="AA5457" s="388"/>
      <c r="AB5457" s="390"/>
    </row>
    <row r="5458" spans="1:28">
      <c r="A5458" s="391"/>
      <c r="B5458" s="392"/>
      <c r="C5458" s="393" t="s">
        <v>199</v>
      </c>
      <c r="D5458" s="2562">
        <f>VLOOKUP(C5455,'Data Panjang Balok'!$C$9:$N$254,7,FALSE)</f>
        <v>4000</v>
      </c>
      <c r="E5458" s="2563"/>
      <c r="F5458" s="2563"/>
      <c r="G5458" s="2563"/>
      <c r="H5458" s="2564"/>
      <c r="I5458" s="397"/>
      <c r="J5458" s="396"/>
      <c r="K5458" s="396"/>
      <c r="L5458" s="396"/>
      <c r="M5458" s="396"/>
      <c r="N5458" s="396"/>
      <c r="O5458" s="396"/>
      <c r="P5458" s="396"/>
      <c r="Q5458" s="396"/>
      <c r="R5458" s="396"/>
      <c r="S5458" s="396"/>
      <c r="T5458" s="396"/>
      <c r="U5458" s="388"/>
      <c r="V5458" s="396"/>
      <c r="W5458" s="388"/>
      <c r="X5458" s="396"/>
      <c r="Y5458" s="389"/>
      <c r="Z5458" s="396"/>
      <c r="AA5458" s="388"/>
      <c r="AB5458" s="390"/>
    </row>
    <row r="5459" spans="1:28">
      <c r="A5459" s="391"/>
      <c r="B5459" s="392"/>
      <c r="C5459" s="393" t="s">
        <v>200</v>
      </c>
      <c r="D5459" s="2562">
        <f>VLOOKUP(C5455,'Data Panjang Balok'!$C$9:$N$254,9,FALSE)</f>
        <v>0</v>
      </c>
      <c r="E5459" s="2563"/>
      <c r="F5459" s="2563"/>
      <c r="G5459" s="2563"/>
      <c r="H5459" s="2564"/>
      <c r="I5459" s="397"/>
      <c r="J5459" s="396"/>
      <c r="K5459" s="396"/>
      <c r="L5459" s="396"/>
      <c r="M5459" s="396"/>
      <c r="N5459" s="396"/>
      <c r="O5459" s="396"/>
      <c r="P5459" s="396"/>
      <c r="Q5459" s="396"/>
      <c r="R5459" s="396"/>
      <c r="S5459" s="396"/>
      <c r="T5459" s="396"/>
      <c r="U5459" s="388"/>
      <c r="V5459" s="396"/>
      <c r="W5459" s="388"/>
      <c r="X5459" s="396"/>
      <c r="Y5459" s="389"/>
      <c r="Z5459" s="396"/>
      <c r="AA5459" s="388"/>
      <c r="AB5459" s="390"/>
    </row>
    <row r="5460" spans="1:28">
      <c r="A5460" s="391"/>
      <c r="B5460" s="392"/>
      <c r="C5460" s="393" t="s">
        <v>201</v>
      </c>
      <c r="D5460" s="2562">
        <f>VLOOKUP(C5455,'Data Panjang Balok'!$C$9:$N$254,10,FALSE)</f>
        <v>0</v>
      </c>
      <c r="E5460" s="2563"/>
      <c r="F5460" s="2563"/>
      <c r="G5460" s="2563"/>
      <c r="H5460" s="2564"/>
      <c r="I5460" s="397"/>
      <c r="J5460" s="396"/>
      <c r="K5460" s="396"/>
      <c r="L5460" s="396"/>
      <c r="M5460" s="396"/>
      <c r="N5460" s="396"/>
      <c r="O5460" s="396"/>
      <c r="P5460" s="396"/>
      <c r="Q5460" s="396"/>
      <c r="R5460" s="396"/>
      <c r="S5460" s="396"/>
      <c r="T5460" s="396"/>
      <c r="U5460" s="388"/>
      <c r="V5460" s="396"/>
      <c r="W5460" s="388"/>
      <c r="X5460" s="396"/>
      <c r="Y5460" s="389"/>
      <c r="Z5460" s="396"/>
      <c r="AA5460" s="388"/>
      <c r="AB5460" s="390"/>
    </row>
    <row r="5461" spans="1:28">
      <c r="A5461" s="391"/>
      <c r="B5461" s="392"/>
      <c r="C5461" s="393" t="s">
        <v>48</v>
      </c>
      <c r="D5461" s="2562">
        <f>VLOOKUP(C5455,'Data Panjang Balok'!$C$9:$N$254,3,FALSE)</f>
        <v>1</v>
      </c>
      <c r="E5461" s="2563"/>
      <c r="F5461" s="2563"/>
      <c r="G5461" s="2563"/>
      <c r="H5461" s="2564"/>
      <c r="I5461" s="397"/>
      <c r="J5461" s="396"/>
      <c r="K5461" s="396"/>
      <c r="L5461" s="396"/>
      <c r="M5461" s="396"/>
      <c r="N5461" s="396"/>
      <c r="O5461" s="396"/>
      <c r="P5461" s="396"/>
      <c r="Q5461" s="396"/>
      <c r="R5461" s="396"/>
      <c r="S5461" s="396"/>
      <c r="T5461" s="396"/>
      <c r="U5461" s="388"/>
      <c r="V5461" s="396"/>
      <c r="W5461" s="388"/>
      <c r="X5461" s="396"/>
      <c r="Y5461" s="389"/>
      <c r="Z5461" s="396"/>
      <c r="AA5461" s="388"/>
      <c r="AB5461" s="390"/>
    </row>
    <row r="5462" spans="1:28">
      <c r="A5462" s="384" t="str">
        <f t="shared" ref="A5462:B5462" si="17630">A5455</f>
        <v>Lantai 3</v>
      </c>
      <c r="B5462" s="385">
        <f t="shared" si="17630"/>
        <v>40</v>
      </c>
      <c r="C5462" s="393" t="s">
        <v>202</v>
      </c>
      <c r="D5462" s="398">
        <f>VLOOKUP(D5455,'Detail Balok'!$C$10:$AU$140,4,FALSE)</f>
        <v>4</v>
      </c>
      <c r="E5462" s="388" t="s">
        <v>16</v>
      </c>
      <c r="F5462" s="388">
        <f>VLOOKUP(D5455,'Detail Balok'!$C$10:$AU$140,6,FALSE)</f>
        <v>16</v>
      </c>
      <c r="G5462" s="388"/>
      <c r="H5462" s="395"/>
      <c r="I5462" s="388" t="s">
        <v>203</v>
      </c>
      <c r="J5462" s="399">
        <f t="shared" ref="J5462" si="17631">+D5457/4/1000</f>
        <v>1</v>
      </c>
      <c r="K5462" s="400" t="s">
        <v>204</v>
      </c>
      <c r="L5462" s="399">
        <f t="shared" ref="L5462" si="17632">MAX(VLOOKUP(F5462,N$6:P$15,3,FALSE)/1000,2/3*D5459/1000)+F$16*F5462/1000</f>
        <v>0.192</v>
      </c>
      <c r="M5462" s="399" t="s">
        <v>176</v>
      </c>
      <c r="N5462" s="399">
        <f t="shared" ref="N5462:N5464" si="17633">J5462+L5462</f>
        <v>1.1919999999999999</v>
      </c>
      <c r="O5462" s="399" t="s">
        <v>204</v>
      </c>
      <c r="P5462" s="389">
        <f t="shared" ref="P5462" si="17634">D5462-D5463</f>
        <v>1</v>
      </c>
      <c r="Q5462" s="399" t="s">
        <v>125</v>
      </c>
      <c r="R5462" s="399">
        <f t="shared" ref="R5462" si="17635">IF(P5462&gt;0,$F$18*F5462/1000,0)</f>
        <v>0.24</v>
      </c>
      <c r="S5462" s="399" t="s">
        <v>205</v>
      </c>
      <c r="T5462" s="399" t="s">
        <v>125</v>
      </c>
      <c r="U5462" s="401">
        <f t="shared" ref="U5462:U5464" si="17636">0.006165*F5462^2</f>
        <v>1.5782400000000001</v>
      </c>
      <c r="V5462" s="399"/>
      <c r="W5462" s="399"/>
      <c r="X5462" s="399" t="s">
        <v>125</v>
      </c>
      <c r="Y5462" s="389">
        <f t="shared" ref="Y5462" si="17637">D5461</f>
        <v>1</v>
      </c>
      <c r="Z5462" s="400" t="s">
        <v>176</v>
      </c>
      <c r="AA5462" s="402">
        <f t="shared" ref="AA5462" si="17638">IF(AA5465=0,(D5462*N5462+P5462*R5462)*U5462*Y5462,0)</f>
        <v>7.9038259200000001</v>
      </c>
      <c r="AB5462" s="403"/>
    </row>
    <row r="5463" spans="1:28">
      <c r="A5463" s="384" t="str">
        <f t="shared" ref="A5463:B5463" si="17639">A5455</f>
        <v>Lantai 3</v>
      </c>
      <c r="B5463" s="385">
        <f t="shared" si="17639"/>
        <v>40</v>
      </c>
      <c r="C5463" s="393" t="s">
        <v>206</v>
      </c>
      <c r="D5463" s="398">
        <f>VLOOKUP(D5455,'Detail Balok'!$C$10:$AU$140,7,FALSE)</f>
        <v>3</v>
      </c>
      <c r="E5463" s="388" t="s">
        <v>16</v>
      </c>
      <c r="F5463" s="388">
        <f>VLOOKUP(D5455,'Detail Balok'!$C$10:$AU$140,9,FALSE)</f>
        <v>16</v>
      </c>
      <c r="G5463" s="388"/>
      <c r="H5463" s="395"/>
      <c r="I5463" s="388" t="s">
        <v>203</v>
      </c>
      <c r="J5463" s="399">
        <f t="shared" ref="J5463" si="17640">+D5457/2/1000</f>
        <v>2</v>
      </c>
      <c r="K5463" s="400" t="s">
        <v>204</v>
      </c>
      <c r="L5463" s="399"/>
      <c r="M5463" s="399" t="s">
        <v>176</v>
      </c>
      <c r="N5463" s="399">
        <f t="shared" si="17633"/>
        <v>2</v>
      </c>
      <c r="O5463" s="399" t="s">
        <v>204</v>
      </c>
      <c r="P5463" s="389">
        <f t="shared" ref="P5463" si="17641">MAX(D5463-D5462,D5463-D5464)</f>
        <v>-1</v>
      </c>
      <c r="Q5463" s="399" t="s">
        <v>125</v>
      </c>
      <c r="R5463" s="399">
        <f t="shared" ref="R5463" si="17642">IF(P5463&gt;0,2*(1-2*$F$19-1/2)*D5458/1000,0)</f>
        <v>0</v>
      </c>
      <c r="S5463" s="399" t="s">
        <v>205</v>
      </c>
      <c r="T5463" s="399" t="s">
        <v>125</v>
      </c>
      <c r="U5463" s="401">
        <f t="shared" si="17636"/>
        <v>1.5782400000000001</v>
      </c>
      <c r="V5463" s="399"/>
      <c r="W5463" s="399"/>
      <c r="X5463" s="399" t="s">
        <v>125</v>
      </c>
      <c r="Y5463" s="389">
        <f t="shared" ref="Y5463" si="17643">D5461</f>
        <v>1</v>
      </c>
      <c r="Z5463" s="400" t="s">
        <v>176</v>
      </c>
      <c r="AA5463" s="402">
        <f t="shared" ref="AA5463" si="17644">IF(AA5465=0,(D5463*N5463+P5463*R5463)*U5463*Y5463,0)</f>
        <v>9.4694400000000005</v>
      </c>
      <c r="AB5463" s="403"/>
    </row>
    <row r="5464" spans="1:28">
      <c r="A5464" s="384" t="str">
        <f t="shared" ref="A5464:B5464" si="17645">A5455</f>
        <v>Lantai 3</v>
      </c>
      <c r="B5464" s="385">
        <f t="shared" si="17645"/>
        <v>40</v>
      </c>
      <c r="C5464" s="393" t="s">
        <v>202</v>
      </c>
      <c r="D5464" s="398">
        <f>VLOOKUP(D5455,'Detail Balok'!$C$10:$AU$140,10,FALSE)</f>
        <v>4</v>
      </c>
      <c r="E5464" s="388" t="s">
        <v>16</v>
      </c>
      <c r="F5464" s="388">
        <f>VLOOKUP(D5455,'Detail Balok'!$C$10:$AU$140,12,FALSE)</f>
        <v>16</v>
      </c>
      <c r="G5464" s="388"/>
      <c r="H5464" s="395"/>
      <c r="I5464" s="388" t="s">
        <v>203</v>
      </c>
      <c r="J5464" s="399">
        <f t="shared" ref="J5464" si="17646">+D5457/4/1000</f>
        <v>1</v>
      </c>
      <c r="K5464" s="400" t="s">
        <v>204</v>
      </c>
      <c r="L5464" s="399">
        <f t="shared" ref="L5464" si="17647">MAX(VLOOKUP(F5464,N$6:P$15,3,FALSE)/1000,2/3*D5459/1000)+F$16*F5464/1000</f>
        <v>0.192</v>
      </c>
      <c r="M5464" s="399" t="s">
        <v>176</v>
      </c>
      <c r="N5464" s="399">
        <f t="shared" si="17633"/>
        <v>1.1919999999999999</v>
      </c>
      <c r="O5464" s="399" t="s">
        <v>204</v>
      </c>
      <c r="P5464" s="389">
        <f t="shared" ref="P5464" si="17648">D5464-D5463</f>
        <v>1</v>
      </c>
      <c r="Q5464" s="399" t="s">
        <v>125</v>
      </c>
      <c r="R5464" s="399">
        <f t="shared" ref="R5464" si="17649">IF(P5464&gt;0,$F$18*F5464/1000,0)</f>
        <v>0.24</v>
      </c>
      <c r="S5464" s="399" t="s">
        <v>205</v>
      </c>
      <c r="T5464" s="399" t="s">
        <v>125</v>
      </c>
      <c r="U5464" s="401">
        <f t="shared" si="17636"/>
        <v>1.5782400000000001</v>
      </c>
      <c r="V5464" s="399"/>
      <c r="W5464" s="399"/>
      <c r="X5464" s="399" t="s">
        <v>125</v>
      </c>
      <c r="Y5464" s="389">
        <f t="shared" ref="Y5464" si="17650">D5461</f>
        <v>1</v>
      </c>
      <c r="Z5464" s="400" t="s">
        <v>176</v>
      </c>
      <c r="AA5464" s="402">
        <f t="shared" ref="AA5464" si="17651">IF(AA5465=0,(D5464*N5464+P5464*R5464)*U5464*Y5464,0)</f>
        <v>7.9038259200000001</v>
      </c>
      <c r="AB5464" s="403"/>
    </row>
    <row r="5465" spans="1:28">
      <c r="A5465" s="384" t="str">
        <f t="shared" ref="A5465:B5465" si="17652">A5455</f>
        <v>Lantai 3</v>
      </c>
      <c r="B5465" s="385">
        <f t="shared" si="17652"/>
        <v>40</v>
      </c>
      <c r="C5465" s="393"/>
      <c r="D5465" s="398">
        <f t="shared" si="17455"/>
        <v>0</v>
      </c>
      <c r="E5465" s="388" t="s">
        <v>16</v>
      </c>
      <c r="F5465" s="388">
        <f t="shared" si="17456"/>
        <v>16</v>
      </c>
      <c r="G5465" s="388"/>
      <c r="H5465" s="395"/>
      <c r="I5465" s="388"/>
      <c r="J5465" s="396"/>
      <c r="K5465" s="396"/>
      <c r="L5465" s="404" t="s">
        <v>207</v>
      </c>
      <c r="M5465" s="399" t="s">
        <v>176</v>
      </c>
      <c r="N5465" s="399">
        <f t="shared" ref="N5465" si="17653">IF(AND(D5462=D5463,D5462=D5464,D5463=D5464,F5462=F5463,F5462=F5464,F5463=F5464),SUM(N5462:N5464),0)</f>
        <v>0</v>
      </c>
      <c r="O5465" s="399" t="s">
        <v>204</v>
      </c>
      <c r="P5465" s="389">
        <f t="shared" ref="P5465" si="17654">IF(N5465&gt;12,ROUNDDOWN(N5465/12,0),0)</f>
        <v>0</v>
      </c>
      <c r="Q5465" s="399" t="s">
        <v>125</v>
      </c>
      <c r="R5465" s="399">
        <f t="shared" ref="R5465" si="17655">IF(P5465&gt;0,MAX(VLOOKUP(F5465,$D$6:$G$15,3,FALSE),600),0)/1000</f>
        <v>0</v>
      </c>
      <c r="S5465" s="396"/>
      <c r="T5465" s="396" t="s">
        <v>125</v>
      </c>
      <c r="U5465" s="401">
        <f t="shared" si="17460"/>
        <v>1.5782400000000001</v>
      </c>
      <c r="V5465" s="396" t="s">
        <v>125</v>
      </c>
      <c r="W5465" s="399">
        <f t="shared" ref="W5465" si="17656">D5465</f>
        <v>0</v>
      </c>
      <c r="X5465" s="399" t="s">
        <v>125</v>
      </c>
      <c r="Y5465" s="389">
        <f t="shared" si="17462"/>
        <v>1</v>
      </c>
      <c r="Z5465" s="400" t="s">
        <v>176</v>
      </c>
      <c r="AA5465" s="402">
        <f t="shared" ref="AA5465" si="17657">(N5465+P5465*R5465/1000)*U5465*W5465*Y5465</f>
        <v>0</v>
      </c>
      <c r="AB5465" s="390"/>
    </row>
    <row r="5466" spans="1:28">
      <c r="A5466" s="384"/>
      <c r="B5466" s="385"/>
      <c r="C5466" s="393"/>
      <c r="D5466" s="398"/>
      <c r="E5466" s="388"/>
      <c r="F5466" s="388"/>
      <c r="G5466" s="388"/>
      <c r="H5466" s="395"/>
      <c r="I5466" s="388"/>
      <c r="J5466" s="396"/>
      <c r="K5466" s="396"/>
      <c r="L5466" s="404"/>
      <c r="M5466" s="399"/>
      <c r="N5466" s="399"/>
      <c r="O5466" s="396"/>
      <c r="P5466" s="389"/>
      <c r="Q5466" s="396"/>
      <c r="R5466" s="396"/>
      <c r="S5466" s="396"/>
      <c r="T5466" s="396"/>
      <c r="U5466" s="401"/>
      <c r="V5466" s="396"/>
      <c r="W5466" s="399"/>
      <c r="X5466" s="396"/>
      <c r="Y5466" s="389"/>
      <c r="Z5466" s="396"/>
      <c r="AA5466" s="388"/>
      <c r="AB5466" s="390"/>
    </row>
    <row r="5467" spans="1:28">
      <c r="A5467" s="384" t="str">
        <f t="shared" ref="A5467:B5467" si="17658">A5455</f>
        <v>Lantai 3</v>
      </c>
      <c r="B5467" s="385">
        <f t="shared" si="17658"/>
        <v>40</v>
      </c>
      <c r="C5467" s="393" t="s">
        <v>208</v>
      </c>
      <c r="D5467" s="398">
        <f>VLOOKUP(D5455,'Detail Balok'!$C$10:$AU$140,13,FALSE)</f>
        <v>2</v>
      </c>
      <c r="E5467" s="388" t="s">
        <v>16</v>
      </c>
      <c r="F5467" s="388">
        <f>VLOOKUP(D5455,'Detail Balok'!$C$10:$AU$140,15,FALSE)</f>
        <v>10</v>
      </c>
      <c r="G5467" s="388"/>
      <c r="H5467" s="395"/>
      <c r="I5467" s="388"/>
      <c r="J5467" s="399">
        <f t="shared" ref="J5467" si="17659">+D5457/1000</f>
        <v>4</v>
      </c>
      <c r="K5467" s="400" t="s">
        <v>204</v>
      </c>
      <c r="L5467" s="399">
        <f t="shared" ref="L5467" si="17660">2*$F$16*F5467/1000</f>
        <v>0.24</v>
      </c>
      <c r="M5467" s="399" t="s">
        <v>176</v>
      </c>
      <c r="N5467" s="399">
        <f t="shared" ref="N5467" si="17661">J5467+L5467</f>
        <v>4.24</v>
      </c>
      <c r="O5467" s="399" t="s">
        <v>204</v>
      </c>
      <c r="P5467" s="389">
        <f t="shared" ref="P5467" si="17662">IF(N5467&gt;12,ROUNDDOWN(N5467/12,0),0)</f>
        <v>0</v>
      </c>
      <c r="Q5467" s="399" t="s">
        <v>125</v>
      </c>
      <c r="R5467" s="399">
        <f t="shared" ref="R5467" si="17663">IF(P5467&gt;0,MAX(VLOOKUP(F5467,$D$6:$G$15,3,FALSE),600),0)/1000</f>
        <v>0</v>
      </c>
      <c r="S5467" s="399"/>
      <c r="T5467" s="399" t="s">
        <v>125</v>
      </c>
      <c r="U5467" s="401">
        <f t="shared" ref="U5467" si="17664">0.006165*F5467^2</f>
        <v>0.61650000000000005</v>
      </c>
      <c r="V5467" s="399" t="s">
        <v>125</v>
      </c>
      <c r="W5467" s="399">
        <f t="shared" ref="W5467" si="17665">+D5467</f>
        <v>2</v>
      </c>
      <c r="X5467" s="399" t="s">
        <v>125</v>
      </c>
      <c r="Y5467" s="389">
        <f t="shared" ref="Y5467" si="17666">D5461</f>
        <v>1</v>
      </c>
      <c r="Z5467" s="400" t="s">
        <v>176</v>
      </c>
      <c r="AA5467" s="402">
        <f t="shared" ref="AA5467" si="17667">(N5467+P5467*R5467/1000)*U5467*W5467*Y5467</f>
        <v>5.227920000000001</v>
      </c>
      <c r="AB5467" s="403"/>
    </row>
    <row r="5468" spans="1:28">
      <c r="A5468" s="384"/>
      <c r="B5468" s="385"/>
      <c r="C5468" s="393"/>
      <c r="D5468" s="398"/>
      <c r="E5468" s="388"/>
      <c r="F5468" s="388"/>
      <c r="G5468" s="388"/>
      <c r="H5468" s="395"/>
      <c r="I5468" s="388"/>
      <c r="J5468" s="399"/>
      <c r="K5468" s="400"/>
      <c r="L5468" s="399"/>
      <c r="M5468" s="399"/>
      <c r="N5468" s="399"/>
      <c r="O5468" s="399"/>
      <c r="P5468" s="389"/>
      <c r="Q5468" s="399"/>
      <c r="R5468" s="399"/>
      <c r="S5468" s="399"/>
      <c r="T5468" s="399"/>
      <c r="U5468" s="401"/>
      <c r="V5468" s="399"/>
      <c r="W5468" s="399"/>
      <c r="X5468" s="399"/>
      <c r="Y5468" s="389"/>
      <c r="Z5468" s="400"/>
      <c r="AA5468" s="402"/>
      <c r="AB5468" s="403"/>
    </row>
    <row r="5469" spans="1:28">
      <c r="A5469" s="384"/>
      <c r="B5469" s="385"/>
      <c r="C5469" s="393"/>
      <c r="D5469" s="398"/>
      <c r="E5469" s="388"/>
      <c r="F5469" s="388"/>
      <c r="G5469" s="388"/>
      <c r="H5469" s="395"/>
      <c r="I5469" s="388"/>
      <c r="J5469" s="396"/>
      <c r="K5469" s="396"/>
      <c r="L5469" s="396"/>
      <c r="M5469" s="396"/>
      <c r="N5469" s="396"/>
      <c r="O5469" s="396"/>
      <c r="P5469" s="389"/>
      <c r="Q5469" s="396"/>
      <c r="R5469" s="396"/>
      <c r="S5469" s="396"/>
      <c r="T5469" s="396"/>
      <c r="U5469" s="401"/>
      <c r="V5469" s="396"/>
      <c r="W5469" s="399"/>
      <c r="X5469" s="396"/>
      <c r="Y5469" s="389"/>
      <c r="Z5469" s="396"/>
      <c r="AA5469" s="388"/>
      <c r="AB5469" s="390"/>
    </row>
    <row r="5470" spans="1:28">
      <c r="A5470" s="384" t="str">
        <f t="shared" ref="A5470:B5470" si="17668">A5455</f>
        <v>Lantai 3</v>
      </c>
      <c r="B5470" s="385">
        <f t="shared" si="17668"/>
        <v>40</v>
      </c>
      <c r="C5470" s="393" t="s">
        <v>209</v>
      </c>
      <c r="D5470" s="398">
        <f>VLOOKUP(D5455,'Detail Balok'!$C$10:$AU$140,22,FALSE)</f>
        <v>3</v>
      </c>
      <c r="E5470" s="388" t="s">
        <v>16</v>
      </c>
      <c r="F5470" s="388">
        <f>VLOOKUP(D5455,'Detail Balok'!$C$10:$AU$140,24,FALSE)</f>
        <v>16</v>
      </c>
      <c r="G5470" s="388"/>
      <c r="H5470" s="395"/>
      <c r="I5470" s="388" t="s">
        <v>203</v>
      </c>
      <c r="J5470" s="399">
        <f t="shared" si="17475"/>
        <v>1</v>
      </c>
      <c r="K5470" s="400" t="s">
        <v>204</v>
      </c>
      <c r="L5470" s="399">
        <f t="shared" ref="L5470" si="17669">MAX(VLOOKUP(F5470,N$6:P$15,3,FALSE)/1000,2/3*D5460/1000)+F$16*F5470/1000</f>
        <v>0.192</v>
      </c>
      <c r="M5470" s="399" t="s">
        <v>176</v>
      </c>
      <c r="N5470" s="399">
        <f t="shared" ref="N5470:N5472" si="17670">J5470+L5470</f>
        <v>1.1919999999999999</v>
      </c>
      <c r="O5470" s="399" t="s">
        <v>204</v>
      </c>
      <c r="P5470" s="389">
        <f t="shared" ref="P5470" si="17671">D5470-D5471</f>
        <v>-1</v>
      </c>
      <c r="Q5470" s="399" t="s">
        <v>125</v>
      </c>
      <c r="R5470" s="399">
        <f t="shared" ref="R5470" si="17672">IF(P5470&gt;0,$F$18*F5470/1000,0)</f>
        <v>0</v>
      </c>
      <c r="S5470" s="399" t="s">
        <v>205</v>
      </c>
      <c r="T5470" s="399" t="s">
        <v>125</v>
      </c>
      <c r="U5470" s="401">
        <f t="shared" ref="U5470:U5472" si="17673">0.006165*F5470^2</f>
        <v>1.5782400000000001</v>
      </c>
      <c r="V5470" s="399"/>
      <c r="W5470" s="399"/>
      <c r="X5470" s="399" t="s">
        <v>125</v>
      </c>
      <c r="Y5470" s="389">
        <f t="shared" ref="Y5470" si="17674">D5461</f>
        <v>1</v>
      </c>
      <c r="Z5470" s="400" t="s">
        <v>176</v>
      </c>
      <c r="AA5470" s="402">
        <f t="shared" ref="AA5470" si="17675">IF(AA5473=0,(D5470*N5470+P5470*R5470)*U5470*Y5470,0)</f>
        <v>5.6437862399999998</v>
      </c>
      <c r="AB5470" s="403"/>
    </row>
    <row r="5471" spans="1:28">
      <c r="A5471" s="384" t="str">
        <f t="shared" ref="A5471:B5471" si="17676">A5455</f>
        <v>Lantai 3</v>
      </c>
      <c r="B5471" s="385">
        <f t="shared" si="17676"/>
        <v>40</v>
      </c>
      <c r="C5471" s="393" t="s">
        <v>210</v>
      </c>
      <c r="D5471" s="398">
        <f>VLOOKUP(D5455,'Detail Balok'!$C$10:$AU$140,25,FALSE)</f>
        <v>4</v>
      </c>
      <c r="E5471" s="388" t="s">
        <v>16</v>
      </c>
      <c r="F5471" s="388">
        <f>VLOOKUP(D5455,'Detail Balok'!$C$10:$AU$140,27,FALSE)</f>
        <v>16</v>
      </c>
      <c r="G5471" s="388"/>
      <c r="H5471" s="395"/>
      <c r="I5471" s="388" t="s">
        <v>203</v>
      </c>
      <c r="J5471" s="399">
        <f t="shared" si="17475"/>
        <v>2</v>
      </c>
      <c r="K5471" s="400" t="s">
        <v>204</v>
      </c>
      <c r="L5471" s="399"/>
      <c r="M5471" s="399" t="s">
        <v>176</v>
      </c>
      <c r="N5471" s="399">
        <f t="shared" si="17670"/>
        <v>2</v>
      </c>
      <c r="O5471" s="399" t="s">
        <v>204</v>
      </c>
      <c r="P5471" s="389">
        <f t="shared" ref="P5471" si="17677">MAX(D5471-D5470,D5471-D5472)</f>
        <v>1</v>
      </c>
      <c r="Q5471" s="399" t="s">
        <v>125</v>
      </c>
      <c r="R5471" s="399">
        <f t="shared" ref="R5471" si="17678">IF(P5471&gt;0,2*(1-2*$F$19-1/2)*D5458/1000,0)</f>
        <v>0.79999999999999982</v>
      </c>
      <c r="S5471" s="399" t="s">
        <v>205</v>
      </c>
      <c r="T5471" s="399" t="s">
        <v>125</v>
      </c>
      <c r="U5471" s="401">
        <f t="shared" si="17673"/>
        <v>1.5782400000000001</v>
      </c>
      <c r="V5471" s="399"/>
      <c r="W5471" s="399"/>
      <c r="X5471" s="399" t="s">
        <v>125</v>
      </c>
      <c r="Y5471" s="389">
        <f t="shared" ref="Y5471" si="17679">D5461</f>
        <v>1</v>
      </c>
      <c r="Z5471" s="400" t="s">
        <v>176</v>
      </c>
      <c r="AA5471" s="402">
        <f t="shared" ref="AA5471" si="17680">IF(AA5473=0,(D5471*N5471+P5471*R5471)*U5471*Y5471,0)</f>
        <v>13.888512000000002</v>
      </c>
      <c r="AB5471" s="403"/>
    </row>
    <row r="5472" spans="1:28">
      <c r="A5472" s="384" t="str">
        <f t="shared" ref="A5472:B5472" si="17681">A5455</f>
        <v>Lantai 3</v>
      </c>
      <c r="B5472" s="385">
        <f t="shared" si="17681"/>
        <v>40</v>
      </c>
      <c r="C5472" s="393" t="s">
        <v>209</v>
      </c>
      <c r="D5472" s="398">
        <f>VLOOKUP(D5455,'Detail Balok'!$C$10:$AU$140,28,FALSE)</f>
        <v>3</v>
      </c>
      <c r="E5472" s="388" t="s">
        <v>16</v>
      </c>
      <c r="F5472" s="388">
        <f>VLOOKUP(D5455,'Detail Balok'!$C$10:$AU$140,30,FALSE)</f>
        <v>16</v>
      </c>
      <c r="G5472" s="388"/>
      <c r="H5472" s="395"/>
      <c r="I5472" s="388" t="s">
        <v>203</v>
      </c>
      <c r="J5472" s="399">
        <f t="shared" si="17475"/>
        <v>1</v>
      </c>
      <c r="K5472" s="400" t="s">
        <v>204</v>
      </c>
      <c r="L5472" s="399">
        <f t="shared" ref="L5472" si="17682">MAX(VLOOKUP(F5472,N$6:P$15,3,FALSE)/1000,2/3*D5460/1000)+F$16*F5472/1000</f>
        <v>0.192</v>
      </c>
      <c r="M5472" s="399" t="s">
        <v>176</v>
      </c>
      <c r="N5472" s="399">
        <f t="shared" si="17670"/>
        <v>1.1919999999999999</v>
      </c>
      <c r="O5472" s="399" t="s">
        <v>204</v>
      </c>
      <c r="P5472" s="389">
        <f t="shared" ref="P5472" si="17683">D5472-D5471</f>
        <v>-1</v>
      </c>
      <c r="Q5472" s="399" t="s">
        <v>125</v>
      </c>
      <c r="R5472" s="399">
        <f t="shared" ref="R5472" si="17684">IF(P5472&gt;0,$F$18*F5472/1000,0)</f>
        <v>0</v>
      </c>
      <c r="S5472" s="399" t="s">
        <v>205</v>
      </c>
      <c r="T5472" s="399" t="s">
        <v>125</v>
      </c>
      <c r="U5472" s="401">
        <f t="shared" si="17673"/>
        <v>1.5782400000000001</v>
      </c>
      <c r="V5472" s="399"/>
      <c r="W5472" s="399"/>
      <c r="X5472" s="399" t="s">
        <v>125</v>
      </c>
      <c r="Y5472" s="389">
        <f t="shared" ref="Y5472" si="17685">D5461</f>
        <v>1</v>
      </c>
      <c r="Z5472" s="400" t="s">
        <v>176</v>
      </c>
      <c r="AA5472" s="402">
        <f t="shared" ref="AA5472" si="17686">IF(AA5473=0,(D5472*N5472+P5472*R5472)*U5472*Y5472,0)</f>
        <v>5.6437862399999998</v>
      </c>
      <c r="AB5472" s="403"/>
    </row>
    <row r="5473" spans="1:28">
      <c r="A5473" s="384" t="str">
        <f t="shared" ref="A5473:B5473" si="17687">A5455</f>
        <v>Lantai 3</v>
      </c>
      <c r="B5473" s="385">
        <f t="shared" si="17687"/>
        <v>40</v>
      </c>
      <c r="C5473" s="393"/>
      <c r="D5473" s="398">
        <f t="shared" si="17495"/>
        <v>0</v>
      </c>
      <c r="E5473" s="388" t="s">
        <v>16</v>
      </c>
      <c r="F5473" s="388">
        <f t="shared" si="17496"/>
        <v>16</v>
      </c>
      <c r="G5473" s="388"/>
      <c r="H5473" s="395"/>
      <c r="I5473" s="388"/>
      <c r="J5473" s="396"/>
      <c r="K5473" s="396"/>
      <c r="L5473" s="404" t="s">
        <v>207</v>
      </c>
      <c r="M5473" s="399" t="s">
        <v>176</v>
      </c>
      <c r="N5473" s="399">
        <f t="shared" ref="N5473" si="17688">IF(AND(D5470=D5471,D5470=D5472,D5471=D5472,F5470=F5471,F5470=F5472,F5471=F5472),SUM(N5470:N5472),0)</f>
        <v>0</v>
      </c>
      <c r="O5473" s="399" t="s">
        <v>204</v>
      </c>
      <c r="P5473" s="389">
        <f t="shared" ref="P5473" si="17689">IF(N5473&gt;12,ROUNDDOWN(N5473/12,0),0)</f>
        <v>0</v>
      </c>
      <c r="Q5473" s="399" t="s">
        <v>125</v>
      </c>
      <c r="R5473" s="399">
        <f t="shared" ref="R5473" si="17690">IF(P5473&gt;0,MAX(VLOOKUP(F5473,$D$6:$G$15,3,FALSE),600),0)/1000</f>
        <v>0</v>
      </c>
      <c r="S5473" s="396"/>
      <c r="T5473" s="396" t="s">
        <v>125</v>
      </c>
      <c r="U5473" s="401">
        <f t="shared" si="17500"/>
        <v>1.5782400000000001</v>
      </c>
      <c r="V5473" s="396" t="s">
        <v>125</v>
      </c>
      <c r="W5473" s="399">
        <f t="shared" ref="W5473" si="17691">D5473</f>
        <v>0</v>
      </c>
      <c r="X5473" s="399" t="s">
        <v>125</v>
      </c>
      <c r="Y5473" s="389">
        <f t="shared" si="17502"/>
        <v>1</v>
      </c>
      <c r="Z5473" s="400" t="s">
        <v>176</v>
      </c>
      <c r="AA5473" s="402">
        <f t="shared" ref="AA5473" si="17692">(N5473+P5473*R5473/1000)*U5473*W5473*Y5473</f>
        <v>0</v>
      </c>
      <c r="AB5473" s="403"/>
    </row>
    <row r="5474" spans="1:28">
      <c r="A5474" s="384"/>
      <c r="B5474" s="385"/>
      <c r="C5474" s="393"/>
      <c r="D5474" s="394"/>
      <c r="E5474" s="388"/>
      <c r="F5474" s="388"/>
      <c r="G5474" s="388"/>
      <c r="H5474" s="395"/>
      <c r="I5474" s="388"/>
      <c r="J5474" s="399"/>
      <c r="K5474" s="396"/>
      <c r="L5474" s="396"/>
      <c r="M5474" s="396"/>
      <c r="N5474" s="396"/>
      <c r="O5474" s="396"/>
      <c r="P5474" s="389"/>
      <c r="Q5474" s="396"/>
      <c r="R5474" s="396"/>
      <c r="S5474" s="396"/>
      <c r="T5474" s="396"/>
      <c r="U5474" s="401"/>
      <c r="V5474" s="396"/>
      <c r="W5474" s="388"/>
      <c r="X5474" s="396"/>
      <c r="Y5474" s="389"/>
      <c r="Z5474" s="396"/>
      <c r="AA5474" s="388"/>
      <c r="AB5474" s="390"/>
    </row>
    <row r="5475" spans="1:28">
      <c r="A5475" s="384" t="str">
        <f t="shared" ref="A5475:B5475" si="17693">A5455</f>
        <v>Lantai 3</v>
      </c>
      <c r="B5475" s="385">
        <f t="shared" si="17693"/>
        <v>40</v>
      </c>
      <c r="C5475" s="393" t="s">
        <v>211</v>
      </c>
      <c r="D5475" s="398">
        <f>VLOOKUP(D5455,'Detail Balok'!$C$10:$AU$140,31,FALSE)</f>
        <v>0</v>
      </c>
      <c r="E5475" s="388" t="s">
        <v>16</v>
      </c>
      <c r="F5475" s="388">
        <f>VLOOKUP(D5455,'Detail Balok'!$C$10:$AU$140,33,FALSE)</f>
        <v>10</v>
      </c>
      <c r="G5475" s="405" t="s">
        <v>157</v>
      </c>
      <c r="H5475" s="395">
        <f>VLOOKUP(D5455,'Detail Balok'!$C$10:$AU$140,35,FALSE)</f>
        <v>100</v>
      </c>
      <c r="I5475" s="388"/>
      <c r="J5475" s="400">
        <f t="shared" ref="J5475" si="17694">(IF(D5475=0,(2*(D5456+G5456))-(F$5*8),IF(D5475=3,(2*(D5456+G5456))-(F$5*8)+(G5456-2*F$5),IF(D5475=4,(2*(D5456+G5456))-(F$5*8)+2*(G5456-2*F$5)))))/1000</f>
        <v>1.28</v>
      </c>
      <c r="K5475" s="400" t="s">
        <v>204</v>
      </c>
      <c r="L5475" s="399">
        <f t="shared" ref="L5475:L5477" si="17695">IF(D5475=0,2*MAX(6*F5475,75),(D5475-1)*2*MAX(6*F5475,75))/1000</f>
        <v>0.15</v>
      </c>
      <c r="M5475" s="399" t="s">
        <v>176</v>
      </c>
      <c r="N5475" s="399">
        <f t="shared" ref="N5475:N5477" si="17696">J5475+L5475</f>
        <v>1.43</v>
      </c>
      <c r="O5475" s="399"/>
      <c r="P5475" s="389"/>
      <c r="Q5475" s="399"/>
      <c r="R5475" s="399"/>
      <c r="S5475" s="399"/>
      <c r="T5475" s="399" t="s">
        <v>125</v>
      </c>
      <c r="U5475" s="401">
        <f t="shared" ref="U5475:U5477" si="17697">0.006165*F5475^2</f>
        <v>0.61650000000000005</v>
      </c>
      <c r="V5475" s="399" t="s">
        <v>125</v>
      </c>
      <c r="W5475" s="399">
        <f t="shared" ref="W5475" si="17698">IF(D5458&gt;4*G5456,ROUND(MAX(D5458/4,2*G5456)/H5475,0)+1,ROUND(D5458/H5475,0)+1)</f>
        <v>13</v>
      </c>
      <c r="X5475" s="399" t="s">
        <v>125</v>
      </c>
      <c r="Y5475" s="389">
        <f t="shared" ref="Y5475" si="17699">D5461</f>
        <v>1</v>
      </c>
      <c r="Z5475" s="400" t="s">
        <v>176</v>
      </c>
      <c r="AA5475" s="402">
        <f t="shared" ref="AA5475:AA5477" si="17700">N5475*U5475*W5475*Y5475</f>
        <v>11.460735</v>
      </c>
      <c r="AB5475" s="403"/>
    </row>
    <row r="5476" spans="1:28">
      <c r="A5476" s="384" t="str">
        <f t="shared" ref="A5476:B5476" si="17701">A5455</f>
        <v>Lantai 3</v>
      </c>
      <c r="B5476" s="385">
        <f t="shared" si="17701"/>
        <v>40</v>
      </c>
      <c r="C5476" s="393" t="s">
        <v>212</v>
      </c>
      <c r="D5476" s="398">
        <f>VLOOKUP(D5455,'Detail Balok'!$C$10:$AU$140,36,FALSE)</f>
        <v>0</v>
      </c>
      <c r="E5476" s="388" t="s">
        <v>16</v>
      </c>
      <c r="F5476" s="388">
        <f>VLOOKUP(D5455,'Detail Balok'!$C$10:$AU$140,38,FALSE)</f>
        <v>10</v>
      </c>
      <c r="G5476" s="405" t="s">
        <v>157</v>
      </c>
      <c r="H5476" s="395">
        <f>VLOOKUP(D5455,'Detail Balok'!$C$10:$AU$140,40,FALSE)</f>
        <v>150</v>
      </c>
      <c r="I5476" s="388"/>
      <c r="J5476" s="400">
        <f t="shared" ref="J5476" si="17702">(IF(D5476=0,(2*(D5456+G5456))-(F$5*8),IF(D5476=3,(2*(D5456+G5456))-(F$5*8)+(G5456-2*F$5),IF(D5476=4,(2*(D5456+G5456))-(F$5*8)+2*(G5456-2*F$5)))))/1000</f>
        <v>1.28</v>
      </c>
      <c r="K5476" s="400" t="s">
        <v>204</v>
      </c>
      <c r="L5476" s="399">
        <f t="shared" si="17695"/>
        <v>0.15</v>
      </c>
      <c r="M5476" s="399" t="s">
        <v>176</v>
      </c>
      <c r="N5476" s="399">
        <f t="shared" si="17696"/>
        <v>1.43</v>
      </c>
      <c r="O5476" s="399"/>
      <c r="P5476" s="389"/>
      <c r="Q5476" s="399"/>
      <c r="R5476" s="399"/>
      <c r="S5476" s="399"/>
      <c r="T5476" s="399" t="s">
        <v>125</v>
      </c>
      <c r="U5476" s="401">
        <f t="shared" si="17697"/>
        <v>0.61650000000000005</v>
      </c>
      <c r="V5476" s="399" t="s">
        <v>125</v>
      </c>
      <c r="W5476" s="399">
        <f t="shared" ref="W5476" si="17703">IF(D5458-MAX(D5458/4,2*G5456)*2&gt;0,ROUND((D5458-MAX(D5458/4,2*G5456)*2)/H5476,0),0)</f>
        <v>11</v>
      </c>
      <c r="X5476" s="399" t="s">
        <v>125</v>
      </c>
      <c r="Y5476" s="389">
        <f t="shared" ref="Y5476" si="17704">D5461</f>
        <v>1</v>
      </c>
      <c r="Z5476" s="400" t="s">
        <v>176</v>
      </c>
      <c r="AA5476" s="402">
        <f t="shared" si="17700"/>
        <v>9.6975449999999999</v>
      </c>
      <c r="AB5476" s="403"/>
    </row>
    <row r="5477" spans="1:28">
      <c r="A5477" s="384" t="str">
        <f t="shared" ref="A5477:B5477" si="17705">A5455</f>
        <v>Lantai 3</v>
      </c>
      <c r="B5477" s="385">
        <f t="shared" si="17705"/>
        <v>40</v>
      </c>
      <c r="C5477" s="393" t="s">
        <v>211</v>
      </c>
      <c r="D5477" s="398">
        <f>VLOOKUP(D5455,'Detail Balok'!$C$10:$AU$140,41,FALSE)</f>
        <v>0</v>
      </c>
      <c r="E5477" s="388" t="s">
        <v>16</v>
      </c>
      <c r="F5477" s="388">
        <f>VLOOKUP(D5455,'Detail Balok'!$C$10:$AU$140,43,FALSE)</f>
        <v>10</v>
      </c>
      <c r="G5477" s="405" t="s">
        <v>157</v>
      </c>
      <c r="H5477" s="395">
        <f>VLOOKUP(D5455,'Detail Balok'!$C$10:$AU$140,45,FALSE)</f>
        <v>100</v>
      </c>
      <c r="I5477" s="388"/>
      <c r="J5477" s="400">
        <f t="shared" ref="J5477" si="17706">(IF(D5477=0,(2*(D5456+G5456))-(F$5*8),IF(D5477=3,(2*(D5456+G5456))-(F$5*8)+(G5456-2*F$5),IF(D5477=4,(2*(D5456+G5456))-(F$5*8)+2*(G5456-2*F$5)))))/1000</f>
        <v>1.28</v>
      </c>
      <c r="K5477" s="400" t="s">
        <v>204</v>
      </c>
      <c r="L5477" s="399">
        <f t="shared" si="17695"/>
        <v>0.15</v>
      </c>
      <c r="M5477" s="399" t="s">
        <v>176</v>
      </c>
      <c r="N5477" s="399">
        <f t="shared" si="17696"/>
        <v>1.43</v>
      </c>
      <c r="O5477" s="399"/>
      <c r="P5477" s="389"/>
      <c r="Q5477" s="399"/>
      <c r="R5477" s="399"/>
      <c r="S5477" s="399"/>
      <c r="T5477" s="399" t="s">
        <v>125</v>
      </c>
      <c r="U5477" s="401">
        <f t="shared" si="17697"/>
        <v>0.61650000000000005</v>
      </c>
      <c r="V5477" s="399" t="s">
        <v>125</v>
      </c>
      <c r="W5477" s="399">
        <f t="shared" ref="W5477" si="17707">IF(D5458&gt;4*G5456,ROUND(MAX(D5458/4,2*G5456)/H5477,0)+1,0)</f>
        <v>13</v>
      </c>
      <c r="X5477" s="399" t="s">
        <v>125</v>
      </c>
      <c r="Y5477" s="389">
        <f t="shared" ref="Y5477" si="17708">D5461</f>
        <v>1</v>
      </c>
      <c r="Z5477" s="400" t="s">
        <v>176</v>
      </c>
      <c r="AA5477" s="402">
        <f t="shared" si="17700"/>
        <v>11.460735</v>
      </c>
      <c r="AB5477" s="403"/>
    </row>
    <row r="5478" spans="1:28">
      <c r="A5478" s="384"/>
      <c r="B5478" s="385"/>
      <c r="C5478" s="393"/>
      <c r="D5478" s="394"/>
      <c r="E5478" s="388"/>
      <c r="F5478" s="388"/>
      <c r="G5478" s="388"/>
      <c r="H5478" s="395"/>
      <c r="I5478" s="388"/>
      <c r="J5478" s="399"/>
      <c r="K5478" s="396"/>
      <c r="L5478" s="396"/>
      <c r="M5478" s="396"/>
      <c r="N5478" s="396"/>
      <c r="O5478" s="396"/>
      <c r="P5478" s="389"/>
      <c r="Q5478" s="396"/>
      <c r="R5478" s="396"/>
      <c r="S5478" s="396"/>
      <c r="T5478" s="396"/>
      <c r="U5478" s="401"/>
      <c r="V5478" s="396"/>
      <c r="W5478" s="388"/>
      <c r="X5478" s="396"/>
      <c r="Y5478" s="389"/>
      <c r="Z5478" s="396"/>
      <c r="AA5478" s="388"/>
      <c r="AB5478" s="390"/>
    </row>
    <row r="5479" spans="1:28">
      <c r="A5479" s="384" t="str">
        <f t="shared" ref="A5479:B5479" si="17709">A5455</f>
        <v>Lantai 3</v>
      </c>
      <c r="B5479" s="385">
        <f t="shared" si="17709"/>
        <v>40</v>
      </c>
      <c r="C5479" s="393" t="s">
        <v>213</v>
      </c>
      <c r="D5479" s="398">
        <f>VLOOKUP(D5455,'Detail Balok'!$C$10:$BJ$140,46,FALSE)</f>
        <v>0</v>
      </c>
      <c r="E5479" s="388" t="s">
        <v>16</v>
      </c>
      <c r="F5479" s="388">
        <f>VLOOKUP(D5455,'Detail Balok'!$C$10:$BJ$140,48,FALSE)</f>
        <v>0</v>
      </c>
      <c r="G5479" s="405" t="s">
        <v>157</v>
      </c>
      <c r="H5479" s="395">
        <f>VLOOKUP(D5455,'Detail Balok'!$C$10:$BJ$140,50,FALSE)</f>
        <v>100</v>
      </c>
      <c r="I5479" s="388"/>
      <c r="J5479" s="399">
        <f t="shared" ref="J5479" si="17710">(D5456-2*F$5)/1000</f>
        <v>0.12</v>
      </c>
      <c r="K5479" s="400" t="s">
        <v>204</v>
      </c>
      <c r="L5479" s="399">
        <f t="shared" ref="L5479:L5481" si="17711">IF(D5479=0,2*MAX(6*F5479,75),(D5479-1)*2*MAX(6*F5479,75))/1000</f>
        <v>0.15</v>
      </c>
      <c r="M5479" s="399" t="s">
        <v>176</v>
      </c>
      <c r="N5479" s="399">
        <f t="shared" ref="N5479:N5481" si="17712">J5479+L5479</f>
        <v>0.27</v>
      </c>
      <c r="O5479" s="399"/>
      <c r="P5479" s="399"/>
      <c r="Q5479" s="399"/>
      <c r="R5479" s="399"/>
      <c r="S5479" s="399"/>
      <c r="T5479" s="399" t="s">
        <v>125</v>
      </c>
      <c r="U5479" s="401">
        <f t="shared" ref="U5479:U5481" si="17713">0.006165*F5479^2</f>
        <v>0</v>
      </c>
      <c r="V5479" s="399" t="s">
        <v>125</v>
      </c>
      <c r="W5479" s="399">
        <f t="shared" si="17525"/>
        <v>13</v>
      </c>
      <c r="X5479" s="399" t="s">
        <v>125</v>
      </c>
      <c r="Y5479" s="389">
        <f t="shared" ref="Y5479" si="17714">D5465</f>
        <v>0</v>
      </c>
      <c r="Z5479" s="400" t="s">
        <v>176</v>
      </c>
      <c r="AA5479" s="402">
        <f t="shared" ref="AA5479:AA5481" si="17715">N5479*U5479*W5479*Y5479</f>
        <v>0</v>
      </c>
      <c r="AB5479" s="403"/>
    </row>
    <row r="5480" spans="1:28">
      <c r="A5480" s="384" t="str">
        <f t="shared" ref="A5480:B5480" si="17716">A5455</f>
        <v>Lantai 3</v>
      </c>
      <c r="B5480" s="385">
        <f t="shared" si="17716"/>
        <v>40</v>
      </c>
      <c r="C5480" s="393" t="s">
        <v>214</v>
      </c>
      <c r="D5480" s="398">
        <f>VLOOKUP(D5455,'Detail Balok'!$C$10:$BJ$140,51,FALSE)</f>
        <v>0</v>
      </c>
      <c r="E5480" s="388" t="s">
        <v>16</v>
      </c>
      <c r="F5480" s="388">
        <f>VLOOKUP(D5455,'Detail Balok'!$C$10:$BJ$140,53,FALSE)</f>
        <v>0</v>
      </c>
      <c r="G5480" s="405" t="s">
        <v>157</v>
      </c>
      <c r="H5480" s="395">
        <f>VLOOKUP(D5455,'Detail Balok'!$C$10:$BJ$140,55,FALSE)</f>
        <v>100</v>
      </c>
      <c r="I5480" s="388"/>
      <c r="J5480" s="399">
        <f t="shared" ref="J5480" si="17717">(D5456-2*F$5)/1000</f>
        <v>0.12</v>
      </c>
      <c r="K5480" s="400" t="s">
        <v>204</v>
      </c>
      <c r="L5480" s="399">
        <f t="shared" si="17711"/>
        <v>0.15</v>
      </c>
      <c r="M5480" s="399" t="s">
        <v>176</v>
      </c>
      <c r="N5480" s="399">
        <f t="shared" si="17712"/>
        <v>0.27</v>
      </c>
      <c r="O5480" s="399"/>
      <c r="P5480" s="399"/>
      <c r="Q5480" s="399"/>
      <c r="R5480" s="399"/>
      <c r="S5480" s="399"/>
      <c r="T5480" s="399" t="s">
        <v>125</v>
      </c>
      <c r="U5480" s="401">
        <f t="shared" si="17713"/>
        <v>0</v>
      </c>
      <c r="V5480" s="399" t="s">
        <v>125</v>
      </c>
      <c r="W5480" s="399">
        <f t="shared" si="17525"/>
        <v>11</v>
      </c>
      <c r="X5480" s="399" t="s">
        <v>125</v>
      </c>
      <c r="Y5480" s="389">
        <f t="shared" ref="Y5480" si="17718">D5465</f>
        <v>0</v>
      </c>
      <c r="Z5480" s="400" t="s">
        <v>176</v>
      </c>
      <c r="AA5480" s="402">
        <f t="shared" si="17715"/>
        <v>0</v>
      </c>
      <c r="AB5480" s="403"/>
    </row>
    <row r="5481" spans="1:28">
      <c r="A5481" s="384" t="str">
        <f t="shared" ref="A5481:B5481" si="17719">A5455</f>
        <v>Lantai 3</v>
      </c>
      <c r="B5481" s="385">
        <f t="shared" si="17719"/>
        <v>40</v>
      </c>
      <c r="C5481" s="393" t="s">
        <v>213</v>
      </c>
      <c r="D5481" s="398">
        <f>VLOOKUP(D5455,'Detail Balok'!$C$10:$BJ$140,56,FALSE)</f>
        <v>0</v>
      </c>
      <c r="E5481" s="388" t="s">
        <v>16</v>
      </c>
      <c r="F5481" s="388">
        <f>VLOOKUP(D5455,'Detail Balok'!$C$10:$BJ$140,58,FALSE)</f>
        <v>0</v>
      </c>
      <c r="G5481" s="405" t="s">
        <v>157</v>
      </c>
      <c r="H5481" s="395">
        <f>VLOOKUP(D5455,'Detail Balok'!$C$10:$BJ$140,60,FALSE)</f>
        <v>100</v>
      </c>
      <c r="I5481" s="388"/>
      <c r="J5481" s="399">
        <f t="shared" ref="J5481" si="17720">(D5456-2*F$5)/1000</f>
        <v>0.12</v>
      </c>
      <c r="K5481" s="400" t="s">
        <v>204</v>
      </c>
      <c r="L5481" s="399">
        <f t="shared" si="17711"/>
        <v>0.15</v>
      </c>
      <c r="M5481" s="399" t="s">
        <v>176</v>
      </c>
      <c r="N5481" s="399">
        <f t="shared" si="17712"/>
        <v>0.27</v>
      </c>
      <c r="O5481" s="399"/>
      <c r="P5481" s="399"/>
      <c r="Q5481" s="399"/>
      <c r="R5481" s="399"/>
      <c r="S5481" s="399"/>
      <c r="T5481" s="399" t="s">
        <v>125</v>
      </c>
      <c r="U5481" s="401">
        <f t="shared" si="17713"/>
        <v>0</v>
      </c>
      <c r="V5481" s="399" t="s">
        <v>125</v>
      </c>
      <c r="W5481" s="399">
        <f t="shared" si="17525"/>
        <v>13</v>
      </c>
      <c r="X5481" s="399" t="s">
        <v>125</v>
      </c>
      <c r="Y5481" s="389">
        <f t="shared" ref="Y5481" si="17721">D5465</f>
        <v>0</v>
      </c>
      <c r="Z5481" s="400" t="s">
        <v>176</v>
      </c>
      <c r="AA5481" s="402">
        <f t="shared" si="17715"/>
        <v>0</v>
      </c>
      <c r="AB5481" s="403"/>
    </row>
    <row r="5482" spans="1:28">
      <c r="A5482" s="391"/>
      <c r="B5482" s="392"/>
      <c r="C5482" s="392"/>
      <c r="D5482" s="394"/>
      <c r="E5482" s="388"/>
      <c r="F5482" s="388"/>
      <c r="G5482" s="388"/>
      <c r="H5482" s="395"/>
      <c r="I5482" s="388"/>
      <c r="J5482" s="402"/>
      <c r="K5482" s="388"/>
      <c r="L5482" s="388"/>
      <c r="M5482" s="388"/>
      <c r="N5482" s="388"/>
      <c r="O5482" s="388"/>
      <c r="P5482" s="388"/>
      <c r="Q5482" s="388"/>
      <c r="R5482" s="388"/>
      <c r="S5482" s="388"/>
      <c r="T5482" s="388"/>
      <c r="U5482" s="388"/>
      <c r="V5482" s="388"/>
      <c r="W5482" s="388"/>
      <c r="X5482" s="388"/>
      <c r="Y5482" s="389"/>
      <c r="Z5482" s="388"/>
      <c r="AA5482" s="402"/>
      <c r="AB5482" s="403"/>
    </row>
    <row r="5483" spans="1:28" ht="15.75" thickBot="1">
      <c r="A5483" s="406"/>
      <c r="B5483" s="407"/>
      <c r="C5483" s="407"/>
      <c r="D5483" s="408"/>
      <c r="E5483" s="409"/>
      <c r="F5483" s="409"/>
      <c r="G5483" s="409"/>
      <c r="H5483" s="410"/>
      <c r="I5483" s="409"/>
      <c r="J5483" s="409"/>
      <c r="K5483" s="409"/>
      <c r="L5483" s="409"/>
      <c r="M5483" s="409"/>
      <c r="N5483" s="409"/>
      <c r="O5483" s="409"/>
      <c r="P5483" s="409"/>
      <c r="Q5483" s="409"/>
      <c r="R5483" s="409"/>
      <c r="S5483" s="409"/>
      <c r="T5483" s="409"/>
      <c r="U5483" s="409"/>
      <c r="V5483" s="409"/>
      <c r="W5483" s="409"/>
      <c r="X5483" s="409"/>
      <c r="Y5483" s="411"/>
      <c r="Z5483" s="409"/>
      <c r="AA5483" s="412"/>
      <c r="AB5483" s="413"/>
    </row>
    <row r="5484" spans="1:28">
      <c r="A5484" s="377"/>
      <c r="B5484" s="378"/>
      <c r="C5484" s="378"/>
      <c r="D5484" s="379"/>
      <c r="E5484" s="380"/>
      <c r="F5484" s="380"/>
      <c r="G5484" s="380"/>
      <c r="H5484" s="381"/>
      <c r="I5484" s="380"/>
      <c r="J5484" s="380"/>
      <c r="K5484" s="380"/>
      <c r="L5484" s="380"/>
      <c r="M5484" s="380"/>
      <c r="N5484" s="380"/>
      <c r="O5484" s="380"/>
      <c r="P5484" s="380"/>
      <c r="Q5484" s="380"/>
      <c r="R5484" s="380"/>
      <c r="S5484" s="380"/>
      <c r="T5484" s="380"/>
      <c r="U5484" s="380"/>
      <c r="V5484" s="380"/>
      <c r="W5484" s="380"/>
      <c r="X5484" s="380"/>
      <c r="Y5484" s="382"/>
      <c r="Z5484" s="380"/>
      <c r="AA5484" s="380"/>
      <c r="AB5484" s="383"/>
    </row>
    <row r="5485" spans="1:28">
      <c r="A5485" s="384" t="str">
        <f t="shared" si="17534"/>
        <v>Lantai 3</v>
      </c>
      <c r="B5485" s="385">
        <f t="shared" si="17535"/>
        <v>41</v>
      </c>
      <c r="C5485" s="386" t="str">
        <f t="shared" ref="C5485" si="17722">CONCATENATE(A5485," no. ",B5485)</f>
        <v>Lantai 3 no. 41</v>
      </c>
      <c r="D5485" s="2562" t="str">
        <f>VLOOKUP(C5485,'Data Panjang Balok'!$C$9:$N$254,2,FALSE)</f>
        <v>B26-1</v>
      </c>
      <c r="E5485" s="2576"/>
      <c r="F5485" s="2576"/>
      <c r="G5485" s="2576"/>
      <c r="H5485" s="2577"/>
      <c r="I5485" s="387"/>
      <c r="J5485" s="388"/>
      <c r="K5485" s="388"/>
      <c r="L5485" s="388"/>
      <c r="M5485" s="388"/>
      <c r="N5485" s="388"/>
      <c r="O5485" s="388"/>
      <c r="P5485" s="388"/>
      <c r="Q5485" s="388"/>
      <c r="R5485" s="388"/>
      <c r="S5485" s="388"/>
      <c r="T5485" s="388"/>
      <c r="U5485" s="388"/>
      <c r="V5485" s="388"/>
      <c r="W5485" s="388"/>
      <c r="X5485" s="388"/>
      <c r="Y5485" s="389"/>
      <c r="Z5485" s="388"/>
      <c r="AA5485" s="388"/>
      <c r="AB5485" s="390"/>
    </row>
    <row r="5486" spans="1:28">
      <c r="A5486" s="391"/>
      <c r="B5486" s="392"/>
      <c r="C5486" s="393" t="s">
        <v>118</v>
      </c>
      <c r="D5486" s="2578">
        <f>VLOOKUP(D5485,'Detail Balok'!$C$10:$AU$140,2,FALSE)</f>
        <v>200</v>
      </c>
      <c r="E5486" s="2579"/>
      <c r="F5486" s="388" t="s">
        <v>125</v>
      </c>
      <c r="G5486" s="2579">
        <f>VLOOKUP(D5485,'Detail Balok'!$C$10:$AU$140,3,FALSE)</f>
        <v>600</v>
      </c>
      <c r="H5486" s="2580"/>
      <c r="I5486" s="388"/>
      <c r="J5486" s="396"/>
      <c r="K5486" s="396"/>
      <c r="L5486" s="396"/>
      <c r="M5486" s="396"/>
      <c r="N5486" s="396"/>
      <c r="O5486" s="396"/>
      <c r="P5486" s="396"/>
      <c r="Q5486" s="396"/>
      <c r="R5486" s="396"/>
      <c r="S5486" s="396"/>
      <c r="T5486" s="396"/>
      <c r="U5486" s="388"/>
      <c r="V5486" s="396"/>
      <c r="W5486" s="388"/>
      <c r="X5486" s="396"/>
      <c r="Y5486" s="389"/>
      <c r="Z5486" s="396"/>
      <c r="AA5486" s="388"/>
      <c r="AB5486" s="390"/>
    </row>
    <row r="5487" spans="1:28">
      <c r="A5487" s="391"/>
      <c r="B5487" s="392"/>
      <c r="C5487" s="393" t="s">
        <v>198</v>
      </c>
      <c r="D5487" s="2562">
        <f>VLOOKUP(C5485,'Data Panjang Balok'!$C$9:$N$254,4,FALSE)</f>
        <v>15425</v>
      </c>
      <c r="E5487" s="2563"/>
      <c r="F5487" s="2563"/>
      <c r="G5487" s="2563"/>
      <c r="H5487" s="2564"/>
      <c r="I5487" s="397"/>
      <c r="J5487" s="396"/>
      <c r="K5487" s="396"/>
      <c r="L5487" s="396"/>
      <c r="M5487" s="396"/>
      <c r="N5487" s="396"/>
      <c r="O5487" s="396"/>
      <c r="P5487" s="396"/>
      <c r="Q5487" s="396"/>
      <c r="R5487" s="396"/>
      <c r="S5487" s="396"/>
      <c r="T5487" s="396"/>
      <c r="U5487" s="388"/>
      <c r="V5487" s="396"/>
      <c r="W5487" s="388"/>
      <c r="X5487" s="396"/>
      <c r="Y5487" s="389"/>
      <c r="Z5487" s="396"/>
      <c r="AA5487" s="388"/>
      <c r="AB5487" s="390"/>
    </row>
    <row r="5488" spans="1:28">
      <c r="A5488" s="391"/>
      <c r="B5488" s="392"/>
      <c r="C5488" s="393" t="s">
        <v>199</v>
      </c>
      <c r="D5488" s="2562">
        <f>VLOOKUP(C5485,'Data Panjang Balok'!$C$9:$N$254,7,FALSE)</f>
        <v>15425</v>
      </c>
      <c r="E5488" s="2563"/>
      <c r="F5488" s="2563"/>
      <c r="G5488" s="2563"/>
      <c r="H5488" s="2564"/>
      <c r="I5488" s="397"/>
      <c r="J5488" s="396"/>
      <c r="K5488" s="396"/>
      <c r="L5488" s="396"/>
      <c r="M5488" s="396"/>
      <c r="N5488" s="396"/>
      <c r="O5488" s="396"/>
      <c r="P5488" s="396"/>
      <c r="Q5488" s="396"/>
      <c r="R5488" s="396"/>
      <c r="S5488" s="396"/>
      <c r="T5488" s="396"/>
      <c r="U5488" s="388"/>
      <c r="V5488" s="396"/>
      <c r="W5488" s="388"/>
      <c r="X5488" s="396"/>
      <c r="Y5488" s="389"/>
      <c r="Z5488" s="396"/>
      <c r="AA5488" s="388"/>
      <c r="AB5488" s="390"/>
    </row>
    <row r="5489" spans="1:28">
      <c r="A5489" s="391"/>
      <c r="B5489" s="392"/>
      <c r="C5489" s="393" t="s">
        <v>200</v>
      </c>
      <c r="D5489" s="2562">
        <f>VLOOKUP(C5485,'Data Panjang Balok'!$C$9:$N$254,9,FALSE)</f>
        <v>0</v>
      </c>
      <c r="E5489" s="2563"/>
      <c r="F5489" s="2563"/>
      <c r="G5489" s="2563"/>
      <c r="H5489" s="2564"/>
      <c r="I5489" s="397"/>
      <c r="J5489" s="396"/>
      <c r="K5489" s="396"/>
      <c r="L5489" s="396"/>
      <c r="M5489" s="396"/>
      <c r="N5489" s="396"/>
      <c r="O5489" s="396"/>
      <c r="P5489" s="396"/>
      <c r="Q5489" s="396"/>
      <c r="R5489" s="396"/>
      <c r="S5489" s="396"/>
      <c r="T5489" s="396"/>
      <c r="U5489" s="388"/>
      <c r="V5489" s="396"/>
      <c r="W5489" s="388"/>
      <c r="X5489" s="396"/>
      <c r="Y5489" s="389"/>
      <c r="Z5489" s="396"/>
      <c r="AA5489" s="388"/>
      <c r="AB5489" s="390"/>
    </row>
    <row r="5490" spans="1:28">
      <c r="A5490" s="391"/>
      <c r="B5490" s="392"/>
      <c r="C5490" s="393" t="s">
        <v>201</v>
      </c>
      <c r="D5490" s="2562">
        <f>VLOOKUP(C5485,'Data Panjang Balok'!$C$9:$N$254,10,FALSE)</f>
        <v>0</v>
      </c>
      <c r="E5490" s="2563"/>
      <c r="F5490" s="2563"/>
      <c r="G5490" s="2563"/>
      <c r="H5490" s="2564"/>
      <c r="I5490" s="397"/>
      <c r="J5490" s="396"/>
      <c r="K5490" s="396"/>
      <c r="L5490" s="396"/>
      <c r="M5490" s="396"/>
      <c r="N5490" s="396"/>
      <c r="O5490" s="396"/>
      <c r="P5490" s="396"/>
      <c r="Q5490" s="396"/>
      <c r="R5490" s="396"/>
      <c r="S5490" s="396"/>
      <c r="T5490" s="396"/>
      <c r="U5490" s="388"/>
      <c r="V5490" s="396"/>
      <c r="W5490" s="388"/>
      <c r="X5490" s="396"/>
      <c r="Y5490" s="389"/>
      <c r="Z5490" s="396"/>
      <c r="AA5490" s="388"/>
      <c r="AB5490" s="390"/>
    </row>
    <row r="5491" spans="1:28">
      <c r="A5491" s="391"/>
      <c r="B5491" s="392"/>
      <c r="C5491" s="393" t="s">
        <v>48</v>
      </c>
      <c r="D5491" s="2562">
        <f>VLOOKUP(C5485,'Data Panjang Balok'!$C$9:$N$254,3,FALSE)</f>
        <v>1</v>
      </c>
      <c r="E5491" s="2563"/>
      <c r="F5491" s="2563"/>
      <c r="G5491" s="2563"/>
      <c r="H5491" s="2564"/>
      <c r="I5491" s="397"/>
      <c r="J5491" s="396"/>
      <c r="K5491" s="396"/>
      <c r="L5491" s="396"/>
      <c r="M5491" s="396"/>
      <c r="N5491" s="396"/>
      <c r="O5491" s="396"/>
      <c r="P5491" s="396"/>
      <c r="Q5491" s="396"/>
      <c r="R5491" s="396"/>
      <c r="S5491" s="396"/>
      <c r="T5491" s="396"/>
      <c r="U5491" s="388"/>
      <c r="V5491" s="396"/>
      <c r="W5491" s="388"/>
      <c r="X5491" s="396"/>
      <c r="Y5491" s="389"/>
      <c r="Z5491" s="396"/>
      <c r="AA5491" s="388"/>
      <c r="AB5491" s="390"/>
    </row>
    <row r="5492" spans="1:28">
      <c r="A5492" s="384" t="str">
        <f t="shared" ref="A5492:B5492" si="17723">A5485</f>
        <v>Lantai 3</v>
      </c>
      <c r="B5492" s="385">
        <f t="shared" si="17723"/>
        <v>41</v>
      </c>
      <c r="C5492" s="393" t="s">
        <v>202</v>
      </c>
      <c r="D5492" s="398">
        <f>VLOOKUP(D5485,'Detail Balok'!$C$10:$AU$140,4,FALSE)</f>
        <v>4</v>
      </c>
      <c r="E5492" s="388" t="s">
        <v>16</v>
      </c>
      <c r="F5492" s="388">
        <f>VLOOKUP(D5485,'Detail Balok'!$C$10:$AU$140,6,FALSE)</f>
        <v>16</v>
      </c>
      <c r="G5492" s="388"/>
      <c r="H5492" s="395"/>
      <c r="I5492" s="388" t="s">
        <v>203</v>
      </c>
      <c r="J5492" s="399">
        <f t="shared" ref="J5492" si="17724">+D5487/4/1000</f>
        <v>3.8562500000000002</v>
      </c>
      <c r="K5492" s="400" t="s">
        <v>204</v>
      </c>
      <c r="L5492" s="399">
        <f t="shared" ref="L5492" si="17725">MAX(VLOOKUP(F5492,N$6:P$15,3,FALSE)/1000,2/3*D5489/1000)+F$16*F5492/1000</f>
        <v>0.192</v>
      </c>
      <c r="M5492" s="399" t="s">
        <v>176</v>
      </c>
      <c r="N5492" s="399">
        <f t="shared" ref="N5492:N5494" si="17726">J5492+L5492</f>
        <v>4.0482500000000003</v>
      </c>
      <c r="O5492" s="399" t="s">
        <v>204</v>
      </c>
      <c r="P5492" s="389">
        <f t="shared" ref="P5492" si="17727">D5492-D5493</f>
        <v>1</v>
      </c>
      <c r="Q5492" s="399" t="s">
        <v>125</v>
      </c>
      <c r="R5492" s="399">
        <f t="shared" ref="R5492" si="17728">IF(P5492&gt;0,$F$18*F5492/1000,0)</f>
        <v>0.24</v>
      </c>
      <c r="S5492" s="399" t="s">
        <v>205</v>
      </c>
      <c r="T5492" s="399" t="s">
        <v>125</v>
      </c>
      <c r="U5492" s="401">
        <f t="shared" ref="U5492:U5494" si="17729">0.006165*F5492^2</f>
        <v>1.5782400000000001</v>
      </c>
      <c r="V5492" s="399"/>
      <c r="W5492" s="399"/>
      <c r="X5492" s="399" t="s">
        <v>125</v>
      </c>
      <c r="Y5492" s="389">
        <f t="shared" ref="Y5492" si="17730">D5491</f>
        <v>1</v>
      </c>
      <c r="Z5492" s="400" t="s">
        <v>176</v>
      </c>
      <c r="AA5492" s="402">
        <f t="shared" ref="AA5492" si="17731">IF(AA5495=0,(D5492*N5492+P5492*R5492)*U5492*Y5492,0)</f>
        <v>25.935217919999999</v>
      </c>
      <c r="AB5492" s="403"/>
    </row>
    <row r="5493" spans="1:28">
      <c r="A5493" s="384" t="str">
        <f t="shared" ref="A5493:B5493" si="17732">A5485</f>
        <v>Lantai 3</v>
      </c>
      <c r="B5493" s="385">
        <f t="shared" si="17732"/>
        <v>41</v>
      </c>
      <c r="C5493" s="393" t="s">
        <v>206</v>
      </c>
      <c r="D5493" s="398">
        <f>VLOOKUP(D5485,'Detail Balok'!$C$10:$AU$140,7,FALSE)</f>
        <v>3</v>
      </c>
      <c r="E5493" s="388" t="s">
        <v>16</v>
      </c>
      <c r="F5493" s="388">
        <f>VLOOKUP(D5485,'Detail Balok'!$C$10:$AU$140,9,FALSE)</f>
        <v>16</v>
      </c>
      <c r="G5493" s="388"/>
      <c r="H5493" s="395"/>
      <c r="I5493" s="388" t="s">
        <v>203</v>
      </c>
      <c r="J5493" s="399">
        <f t="shared" ref="J5493" si="17733">+D5487/2/1000</f>
        <v>7.7125000000000004</v>
      </c>
      <c r="K5493" s="400" t="s">
        <v>204</v>
      </c>
      <c r="L5493" s="399"/>
      <c r="M5493" s="399" t="s">
        <v>176</v>
      </c>
      <c r="N5493" s="399">
        <f t="shared" si="17726"/>
        <v>7.7125000000000004</v>
      </c>
      <c r="O5493" s="399" t="s">
        <v>204</v>
      </c>
      <c r="P5493" s="389">
        <f t="shared" ref="P5493" si="17734">MAX(D5493-D5492,D5493-D5494)</f>
        <v>-1</v>
      </c>
      <c r="Q5493" s="399" t="s">
        <v>125</v>
      </c>
      <c r="R5493" s="399">
        <f t="shared" ref="R5493" si="17735">IF(P5493&gt;0,2*(1-2*$F$19-1/2)*D5488/1000,0)</f>
        <v>0</v>
      </c>
      <c r="S5493" s="399" t="s">
        <v>205</v>
      </c>
      <c r="T5493" s="399" t="s">
        <v>125</v>
      </c>
      <c r="U5493" s="401">
        <f t="shared" si="17729"/>
        <v>1.5782400000000001</v>
      </c>
      <c r="V5493" s="399"/>
      <c r="W5493" s="399"/>
      <c r="X5493" s="399" t="s">
        <v>125</v>
      </c>
      <c r="Y5493" s="389">
        <f t="shared" ref="Y5493" si="17736">D5491</f>
        <v>1</v>
      </c>
      <c r="Z5493" s="400" t="s">
        <v>176</v>
      </c>
      <c r="AA5493" s="402">
        <f t="shared" ref="AA5493" si="17737">IF(AA5495=0,(D5493*N5493+P5493*R5493)*U5493*Y5493,0)</f>
        <v>36.516528000000008</v>
      </c>
      <c r="AB5493" s="403"/>
    </row>
    <row r="5494" spans="1:28">
      <c r="A5494" s="384" t="str">
        <f t="shared" ref="A5494:B5494" si="17738">A5485</f>
        <v>Lantai 3</v>
      </c>
      <c r="B5494" s="385">
        <f t="shared" si="17738"/>
        <v>41</v>
      </c>
      <c r="C5494" s="393" t="s">
        <v>202</v>
      </c>
      <c r="D5494" s="398">
        <f>VLOOKUP(D5485,'Detail Balok'!$C$10:$AU$140,10,FALSE)</f>
        <v>4</v>
      </c>
      <c r="E5494" s="388" t="s">
        <v>16</v>
      </c>
      <c r="F5494" s="388">
        <f>VLOOKUP(D5485,'Detail Balok'!$C$10:$AU$140,12,FALSE)</f>
        <v>16</v>
      </c>
      <c r="G5494" s="388"/>
      <c r="H5494" s="395"/>
      <c r="I5494" s="388" t="s">
        <v>203</v>
      </c>
      <c r="J5494" s="399">
        <f t="shared" ref="J5494" si="17739">+D5487/4/1000</f>
        <v>3.8562500000000002</v>
      </c>
      <c r="K5494" s="400" t="s">
        <v>204</v>
      </c>
      <c r="L5494" s="399">
        <f t="shared" ref="L5494" si="17740">MAX(VLOOKUP(F5494,N$6:P$15,3,FALSE)/1000,2/3*D5489/1000)+F$16*F5494/1000</f>
        <v>0.192</v>
      </c>
      <c r="M5494" s="399" t="s">
        <v>176</v>
      </c>
      <c r="N5494" s="399">
        <f t="shared" si="17726"/>
        <v>4.0482500000000003</v>
      </c>
      <c r="O5494" s="399" t="s">
        <v>204</v>
      </c>
      <c r="P5494" s="389">
        <f t="shared" ref="P5494" si="17741">D5494-D5493</f>
        <v>1</v>
      </c>
      <c r="Q5494" s="399" t="s">
        <v>125</v>
      </c>
      <c r="R5494" s="399">
        <f t="shared" ref="R5494" si="17742">IF(P5494&gt;0,$F$18*F5494/1000,0)</f>
        <v>0.24</v>
      </c>
      <c r="S5494" s="399" t="s">
        <v>205</v>
      </c>
      <c r="T5494" s="399" t="s">
        <v>125</v>
      </c>
      <c r="U5494" s="401">
        <f t="shared" si="17729"/>
        <v>1.5782400000000001</v>
      </c>
      <c r="V5494" s="399"/>
      <c r="W5494" s="399"/>
      <c r="X5494" s="399" t="s">
        <v>125</v>
      </c>
      <c r="Y5494" s="389">
        <f t="shared" ref="Y5494" si="17743">D5491</f>
        <v>1</v>
      </c>
      <c r="Z5494" s="400" t="s">
        <v>176</v>
      </c>
      <c r="AA5494" s="402">
        <f t="shared" ref="AA5494" si="17744">IF(AA5495=0,(D5494*N5494+P5494*R5494)*U5494*Y5494,0)</f>
        <v>25.935217919999999</v>
      </c>
      <c r="AB5494" s="403"/>
    </row>
    <row r="5495" spans="1:28">
      <c r="A5495" s="384" t="str">
        <f t="shared" ref="A5495:B5495" si="17745">A5485</f>
        <v>Lantai 3</v>
      </c>
      <c r="B5495" s="385">
        <f t="shared" si="17745"/>
        <v>41</v>
      </c>
      <c r="C5495" s="393"/>
      <c r="D5495" s="398">
        <f t="shared" ref="D5495" si="17746">IF(AND(D5492=D5493,D5493=D5494,D5492=D5494),D5492,0)</f>
        <v>0</v>
      </c>
      <c r="E5495" s="388" t="s">
        <v>16</v>
      </c>
      <c r="F5495" s="388">
        <f t="shared" ref="F5495" si="17747">IF(AND(F5492=F5493,F5492=F5494,F5493=F5494),F5492,0)</f>
        <v>16</v>
      </c>
      <c r="G5495" s="388"/>
      <c r="H5495" s="395"/>
      <c r="I5495" s="388"/>
      <c r="J5495" s="396"/>
      <c r="K5495" s="396"/>
      <c r="L5495" s="404" t="s">
        <v>207</v>
      </c>
      <c r="M5495" s="399" t="s">
        <v>176</v>
      </c>
      <c r="N5495" s="399">
        <f t="shared" ref="N5495" si="17748">IF(AND(D5492=D5493,D5492=D5494,D5493=D5494,F5492=F5493,F5492=F5494,F5493=F5494),SUM(N5492:N5494),0)</f>
        <v>0</v>
      </c>
      <c r="O5495" s="399" t="s">
        <v>204</v>
      </c>
      <c r="P5495" s="389">
        <f t="shared" ref="P5495" si="17749">IF(N5495&gt;12,ROUNDDOWN(N5495/12,0),0)</f>
        <v>0</v>
      </c>
      <c r="Q5495" s="399" t="s">
        <v>125</v>
      </c>
      <c r="R5495" s="399">
        <f t="shared" ref="R5495" si="17750">IF(P5495&gt;0,MAX(VLOOKUP(F5495,$D$6:$G$15,3,FALSE),600),0)/1000</f>
        <v>0</v>
      </c>
      <c r="S5495" s="396"/>
      <c r="T5495" s="396" t="s">
        <v>125</v>
      </c>
      <c r="U5495" s="401">
        <f t="shared" ref="U5495" si="17751">U5494</f>
        <v>1.5782400000000001</v>
      </c>
      <c r="V5495" s="396" t="s">
        <v>125</v>
      </c>
      <c r="W5495" s="399">
        <f t="shared" ref="W5495" si="17752">D5495</f>
        <v>0</v>
      </c>
      <c r="X5495" s="399" t="s">
        <v>125</v>
      </c>
      <c r="Y5495" s="389">
        <f t="shared" ref="Y5495" si="17753">Y5494</f>
        <v>1</v>
      </c>
      <c r="Z5495" s="400" t="s">
        <v>176</v>
      </c>
      <c r="AA5495" s="402">
        <f t="shared" ref="AA5495" si="17754">(N5495+P5495*R5495/1000)*U5495*W5495*Y5495</f>
        <v>0</v>
      </c>
      <c r="AB5495" s="390"/>
    </row>
    <row r="5496" spans="1:28">
      <c r="A5496" s="384"/>
      <c r="B5496" s="385"/>
      <c r="C5496" s="393"/>
      <c r="D5496" s="398"/>
      <c r="E5496" s="388"/>
      <c r="F5496" s="388"/>
      <c r="G5496" s="388"/>
      <c r="H5496" s="395"/>
      <c r="I5496" s="388"/>
      <c r="J5496" s="396"/>
      <c r="K5496" s="396"/>
      <c r="L5496" s="404"/>
      <c r="M5496" s="399"/>
      <c r="N5496" s="399"/>
      <c r="O5496" s="396"/>
      <c r="P5496" s="389"/>
      <c r="Q5496" s="396"/>
      <c r="R5496" s="396"/>
      <c r="S5496" s="396"/>
      <c r="T5496" s="396"/>
      <c r="U5496" s="401"/>
      <c r="V5496" s="396"/>
      <c r="W5496" s="399"/>
      <c r="X5496" s="396"/>
      <c r="Y5496" s="389"/>
      <c r="Z5496" s="396"/>
      <c r="AA5496" s="388"/>
      <c r="AB5496" s="390"/>
    </row>
    <row r="5497" spans="1:28">
      <c r="A5497" s="384" t="str">
        <f t="shared" ref="A5497:B5497" si="17755">A5485</f>
        <v>Lantai 3</v>
      </c>
      <c r="B5497" s="385">
        <f t="shared" si="17755"/>
        <v>41</v>
      </c>
      <c r="C5497" s="393" t="s">
        <v>208</v>
      </c>
      <c r="D5497" s="398">
        <f>VLOOKUP(D5485,'Detail Balok'!$C$10:$AU$140,13,FALSE)</f>
        <v>2</v>
      </c>
      <c r="E5497" s="388" t="s">
        <v>16</v>
      </c>
      <c r="F5497" s="388">
        <f>VLOOKUP(D5485,'Detail Balok'!$C$10:$AU$140,15,FALSE)</f>
        <v>10</v>
      </c>
      <c r="G5497" s="388"/>
      <c r="H5497" s="395"/>
      <c r="I5497" s="388"/>
      <c r="J5497" s="399">
        <f t="shared" ref="J5497" si="17756">+D5487/1000</f>
        <v>15.425000000000001</v>
      </c>
      <c r="K5497" s="400" t="s">
        <v>204</v>
      </c>
      <c r="L5497" s="399">
        <f t="shared" ref="L5497" si="17757">2*$F$16*F5497/1000</f>
        <v>0.24</v>
      </c>
      <c r="M5497" s="399" t="s">
        <v>176</v>
      </c>
      <c r="N5497" s="399">
        <f t="shared" ref="N5497" si="17758">J5497+L5497</f>
        <v>15.665000000000001</v>
      </c>
      <c r="O5497" s="399" t="s">
        <v>204</v>
      </c>
      <c r="P5497" s="389">
        <f t="shared" ref="P5497" si="17759">IF(N5497&gt;12,ROUNDDOWN(N5497/12,0),0)</f>
        <v>1</v>
      </c>
      <c r="Q5497" s="399" t="s">
        <v>125</v>
      </c>
      <c r="R5497" s="399">
        <f t="shared" ref="R5497" si="17760">IF(P5497&gt;0,MAX(VLOOKUP(F5497,$D$6:$G$15,3,FALSE),600),0)/1000</f>
        <v>0.6</v>
      </c>
      <c r="S5497" s="399"/>
      <c r="T5497" s="399" t="s">
        <v>125</v>
      </c>
      <c r="U5497" s="401">
        <f t="shared" ref="U5497" si="17761">0.006165*F5497^2</f>
        <v>0.61650000000000005</v>
      </c>
      <c r="V5497" s="399" t="s">
        <v>125</v>
      </c>
      <c r="W5497" s="399">
        <f t="shared" ref="W5497" si="17762">+D5497</f>
        <v>2</v>
      </c>
      <c r="X5497" s="399" t="s">
        <v>125</v>
      </c>
      <c r="Y5497" s="389">
        <f t="shared" ref="Y5497" si="17763">D5491</f>
        <v>1</v>
      </c>
      <c r="Z5497" s="400" t="s">
        <v>176</v>
      </c>
      <c r="AA5497" s="402">
        <f t="shared" ref="AA5497" si="17764">(N5497+P5497*R5497/1000)*U5497*W5497*Y5497</f>
        <v>19.315684800000003</v>
      </c>
      <c r="AB5497" s="403"/>
    </row>
    <row r="5498" spans="1:28">
      <c r="A5498" s="384"/>
      <c r="B5498" s="385"/>
      <c r="C5498" s="393"/>
      <c r="D5498" s="398"/>
      <c r="E5498" s="388"/>
      <c r="F5498" s="388"/>
      <c r="G5498" s="388"/>
      <c r="H5498" s="395"/>
      <c r="I5498" s="388"/>
      <c r="J5498" s="399"/>
      <c r="K5498" s="400"/>
      <c r="L5498" s="399"/>
      <c r="M5498" s="399"/>
      <c r="N5498" s="399"/>
      <c r="O5498" s="399"/>
      <c r="P5498" s="389"/>
      <c r="Q5498" s="399"/>
      <c r="R5498" s="399"/>
      <c r="S5498" s="399"/>
      <c r="T5498" s="399"/>
      <c r="U5498" s="401"/>
      <c r="V5498" s="399"/>
      <c r="W5498" s="399"/>
      <c r="X5498" s="399"/>
      <c r="Y5498" s="389"/>
      <c r="Z5498" s="400"/>
      <c r="AA5498" s="402"/>
      <c r="AB5498" s="403"/>
    </row>
    <row r="5499" spans="1:28">
      <c r="A5499" s="384"/>
      <c r="B5499" s="385"/>
      <c r="C5499" s="393"/>
      <c r="D5499" s="398"/>
      <c r="E5499" s="388"/>
      <c r="F5499" s="388"/>
      <c r="G5499" s="388"/>
      <c r="H5499" s="395"/>
      <c r="I5499" s="388"/>
      <c r="J5499" s="396"/>
      <c r="K5499" s="396"/>
      <c r="L5499" s="396"/>
      <c r="M5499" s="396"/>
      <c r="N5499" s="396"/>
      <c r="O5499" s="396"/>
      <c r="P5499" s="389"/>
      <c r="Q5499" s="396"/>
      <c r="R5499" s="396"/>
      <c r="S5499" s="396"/>
      <c r="T5499" s="396"/>
      <c r="U5499" s="401"/>
      <c r="V5499" s="396"/>
      <c r="W5499" s="399"/>
      <c r="X5499" s="396"/>
      <c r="Y5499" s="389"/>
      <c r="Z5499" s="396"/>
      <c r="AA5499" s="388"/>
      <c r="AB5499" s="390"/>
    </row>
    <row r="5500" spans="1:28">
      <c r="A5500" s="384" t="str">
        <f t="shared" ref="A5500:B5500" si="17765">A5485</f>
        <v>Lantai 3</v>
      </c>
      <c r="B5500" s="385">
        <f t="shared" si="17765"/>
        <v>41</v>
      </c>
      <c r="C5500" s="393" t="s">
        <v>209</v>
      </c>
      <c r="D5500" s="398">
        <f>VLOOKUP(D5485,'Detail Balok'!$C$10:$AU$140,22,FALSE)</f>
        <v>3</v>
      </c>
      <c r="E5500" s="388" t="s">
        <v>16</v>
      </c>
      <c r="F5500" s="388">
        <f>VLOOKUP(D5485,'Detail Balok'!$C$10:$AU$140,24,FALSE)</f>
        <v>16</v>
      </c>
      <c r="G5500" s="388"/>
      <c r="H5500" s="395"/>
      <c r="I5500" s="388" t="s">
        <v>203</v>
      </c>
      <c r="J5500" s="399">
        <f t="shared" ref="J5500:J5502" si="17766">+J5492</f>
        <v>3.8562500000000002</v>
      </c>
      <c r="K5500" s="400" t="s">
        <v>204</v>
      </c>
      <c r="L5500" s="399">
        <f t="shared" ref="L5500" si="17767">MAX(VLOOKUP(F5500,N$6:P$15,3,FALSE)/1000,2/3*D5490/1000)+F$16*F5500/1000</f>
        <v>0.192</v>
      </c>
      <c r="M5500" s="399" t="s">
        <v>176</v>
      </c>
      <c r="N5500" s="399">
        <f t="shared" ref="N5500:N5502" si="17768">J5500+L5500</f>
        <v>4.0482500000000003</v>
      </c>
      <c r="O5500" s="399" t="s">
        <v>204</v>
      </c>
      <c r="P5500" s="389">
        <f t="shared" ref="P5500" si="17769">D5500-D5501</f>
        <v>-1</v>
      </c>
      <c r="Q5500" s="399" t="s">
        <v>125</v>
      </c>
      <c r="R5500" s="399">
        <f t="shared" ref="R5500" si="17770">IF(P5500&gt;0,$F$18*F5500/1000,0)</f>
        <v>0</v>
      </c>
      <c r="S5500" s="399" t="s">
        <v>205</v>
      </c>
      <c r="T5500" s="399" t="s">
        <v>125</v>
      </c>
      <c r="U5500" s="401">
        <f t="shared" ref="U5500:U5502" si="17771">0.006165*F5500^2</f>
        <v>1.5782400000000001</v>
      </c>
      <c r="V5500" s="399"/>
      <c r="W5500" s="399"/>
      <c r="X5500" s="399" t="s">
        <v>125</v>
      </c>
      <c r="Y5500" s="389">
        <f t="shared" ref="Y5500" si="17772">D5491</f>
        <v>1</v>
      </c>
      <c r="Z5500" s="400" t="s">
        <v>176</v>
      </c>
      <c r="AA5500" s="402">
        <f t="shared" ref="AA5500" si="17773">IF(AA5503=0,(D5500*N5500+P5500*R5500)*U5500*Y5500,0)</f>
        <v>19.167330240000005</v>
      </c>
      <c r="AB5500" s="403"/>
    </row>
    <row r="5501" spans="1:28">
      <c r="A5501" s="384" t="str">
        <f t="shared" ref="A5501:B5501" si="17774">A5485</f>
        <v>Lantai 3</v>
      </c>
      <c r="B5501" s="385">
        <f t="shared" si="17774"/>
        <v>41</v>
      </c>
      <c r="C5501" s="393" t="s">
        <v>210</v>
      </c>
      <c r="D5501" s="398">
        <f>VLOOKUP(D5485,'Detail Balok'!$C$10:$AU$140,25,FALSE)</f>
        <v>4</v>
      </c>
      <c r="E5501" s="388" t="s">
        <v>16</v>
      </c>
      <c r="F5501" s="388">
        <f>VLOOKUP(D5485,'Detail Balok'!$C$10:$AU$140,27,FALSE)</f>
        <v>16</v>
      </c>
      <c r="G5501" s="388"/>
      <c r="H5501" s="395"/>
      <c r="I5501" s="388" t="s">
        <v>203</v>
      </c>
      <c r="J5501" s="399">
        <f t="shared" si="17766"/>
        <v>7.7125000000000004</v>
      </c>
      <c r="K5501" s="400" t="s">
        <v>204</v>
      </c>
      <c r="L5501" s="399"/>
      <c r="M5501" s="399" t="s">
        <v>176</v>
      </c>
      <c r="N5501" s="399">
        <f t="shared" si="17768"/>
        <v>7.7125000000000004</v>
      </c>
      <c r="O5501" s="399" t="s">
        <v>204</v>
      </c>
      <c r="P5501" s="389">
        <f t="shared" ref="P5501" si="17775">MAX(D5501-D5500,D5501-D5502)</f>
        <v>1</v>
      </c>
      <c r="Q5501" s="399" t="s">
        <v>125</v>
      </c>
      <c r="R5501" s="399">
        <f t="shared" ref="R5501" si="17776">IF(P5501&gt;0,2*(1-2*$F$19-1/2)*D5488/1000,0)</f>
        <v>3.0849999999999991</v>
      </c>
      <c r="S5501" s="399" t="s">
        <v>205</v>
      </c>
      <c r="T5501" s="399" t="s">
        <v>125</v>
      </c>
      <c r="U5501" s="401">
        <f t="shared" si="17771"/>
        <v>1.5782400000000001</v>
      </c>
      <c r="V5501" s="399"/>
      <c r="W5501" s="399"/>
      <c r="X5501" s="399" t="s">
        <v>125</v>
      </c>
      <c r="Y5501" s="389">
        <f t="shared" ref="Y5501" si="17777">D5491</f>
        <v>1</v>
      </c>
      <c r="Z5501" s="400" t="s">
        <v>176</v>
      </c>
      <c r="AA5501" s="402">
        <f t="shared" ref="AA5501" si="17778">IF(AA5503=0,(D5501*N5501+P5501*R5501)*U5501*Y5501,0)</f>
        <v>53.557574400000007</v>
      </c>
      <c r="AB5501" s="403"/>
    </row>
    <row r="5502" spans="1:28">
      <c r="A5502" s="384" t="str">
        <f t="shared" ref="A5502:B5502" si="17779">A5485</f>
        <v>Lantai 3</v>
      </c>
      <c r="B5502" s="385">
        <f t="shared" si="17779"/>
        <v>41</v>
      </c>
      <c r="C5502" s="393" t="s">
        <v>209</v>
      </c>
      <c r="D5502" s="398">
        <f>VLOOKUP(D5485,'Detail Balok'!$C$10:$AU$140,28,FALSE)</f>
        <v>3</v>
      </c>
      <c r="E5502" s="388" t="s">
        <v>16</v>
      </c>
      <c r="F5502" s="388">
        <f>VLOOKUP(D5485,'Detail Balok'!$C$10:$AU$140,30,FALSE)</f>
        <v>16</v>
      </c>
      <c r="G5502" s="388"/>
      <c r="H5502" s="395"/>
      <c r="I5502" s="388" t="s">
        <v>203</v>
      </c>
      <c r="J5502" s="399">
        <f t="shared" si="17766"/>
        <v>3.8562500000000002</v>
      </c>
      <c r="K5502" s="400" t="s">
        <v>204</v>
      </c>
      <c r="L5502" s="399">
        <f t="shared" ref="L5502" si="17780">MAX(VLOOKUP(F5502,N$6:P$15,3,FALSE)/1000,2/3*D5490/1000)+F$16*F5502/1000</f>
        <v>0.192</v>
      </c>
      <c r="M5502" s="399" t="s">
        <v>176</v>
      </c>
      <c r="N5502" s="399">
        <f t="shared" si="17768"/>
        <v>4.0482500000000003</v>
      </c>
      <c r="O5502" s="399" t="s">
        <v>204</v>
      </c>
      <c r="P5502" s="389">
        <f t="shared" ref="P5502" si="17781">D5502-D5501</f>
        <v>-1</v>
      </c>
      <c r="Q5502" s="399" t="s">
        <v>125</v>
      </c>
      <c r="R5502" s="399">
        <f t="shared" ref="R5502" si="17782">IF(P5502&gt;0,$F$18*F5502/1000,0)</f>
        <v>0</v>
      </c>
      <c r="S5502" s="399" t="s">
        <v>205</v>
      </c>
      <c r="T5502" s="399" t="s">
        <v>125</v>
      </c>
      <c r="U5502" s="401">
        <f t="shared" si="17771"/>
        <v>1.5782400000000001</v>
      </c>
      <c r="V5502" s="399"/>
      <c r="W5502" s="399"/>
      <c r="X5502" s="399" t="s">
        <v>125</v>
      </c>
      <c r="Y5502" s="389">
        <f t="shared" ref="Y5502" si="17783">D5491</f>
        <v>1</v>
      </c>
      <c r="Z5502" s="400" t="s">
        <v>176</v>
      </c>
      <c r="AA5502" s="402">
        <f t="shared" ref="AA5502" si="17784">IF(AA5503=0,(D5502*N5502+P5502*R5502)*U5502*Y5502,0)</f>
        <v>19.167330240000005</v>
      </c>
      <c r="AB5502" s="403"/>
    </row>
    <row r="5503" spans="1:28">
      <c r="A5503" s="384" t="str">
        <f t="shared" ref="A5503:B5503" si="17785">A5485</f>
        <v>Lantai 3</v>
      </c>
      <c r="B5503" s="385">
        <f t="shared" si="17785"/>
        <v>41</v>
      </c>
      <c r="C5503" s="393"/>
      <c r="D5503" s="398">
        <f t="shared" ref="D5503" si="17786">IF(AND(D5500=D5501,D5501=D5502,D5500=D5502),D5500,0)</f>
        <v>0</v>
      </c>
      <c r="E5503" s="388" t="s">
        <v>16</v>
      </c>
      <c r="F5503" s="388">
        <f t="shared" ref="F5503" si="17787">IF(AND(F5500=F5501,F5500=F5502,F5501=F5502),F5500,0)</f>
        <v>16</v>
      </c>
      <c r="G5503" s="388"/>
      <c r="H5503" s="395"/>
      <c r="I5503" s="388"/>
      <c r="J5503" s="396"/>
      <c r="K5503" s="396"/>
      <c r="L5503" s="404" t="s">
        <v>207</v>
      </c>
      <c r="M5503" s="399" t="s">
        <v>176</v>
      </c>
      <c r="N5503" s="399">
        <f t="shared" ref="N5503" si="17788">IF(AND(D5500=D5501,D5500=D5502,D5501=D5502,F5500=F5501,F5500=F5502,F5501=F5502),SUM(N5500:N5502),0)</f>
        <v>0</v>
      </c>
      <c r="O5503" s="399" t="s">
        <v>204</v>
      </c>
      <c r="P5503" s="389">
        <f t="shared" ref="P5503" si="17789">IF(N5503&gt;12,ROUNDDOWN(N5503/12,0),0)</f>
        <v>0</v>
      </c>
      <c r="Q5503" s="399" t="s">
        <v>125</v>
      </c>
      <c r="R5503" s="399">
        <f t="shared" ref="R5503" si="17790">IF(P5503&gt;0,MAX(VLOOKUP(F5503,$D$6:$G$15,3,FALSE),600),0)/1000</f>
        <v>0</v>
      </c>
      <c r="S5503" s="396"/>
      <c r="T5503" s="396" t="s">
        <v>125</v>
      </c>
      <c r="U5503" s="401">
        <f t="shared" ref="U5503" si="17791">U5502</f>
        <v>1.5782400000000001</v>
      </c>
      <c r="V5503" s="396" t="s">
        <v>125</v>
      </c>
      <c r="W5503" s="399">
        <f t="shared" ref="W5503" si="17792">D5503</f>
        <v>0</v>
      </c>
      <c r="X5503" s="399" t="s">
        <v>125</v>
      </c>
      <c r="Y5503" s="389">
        <f t="shared" ref="Y5503" si="17793">Y5502</f>
        <v>1</v>
      </c>
      <c r="Z5503" s="400" t="s">
        <v>176</v>
      </c>
      <c r="AA5503" s="402">
        <f t="shared" ref="AA5503" si="17794">(N5503+P5503*R5503/1000)*U5503*W5503*Y5503</f>
        <v>0</v>
      </c>
      <c r="AB5503" s="403"/>
    </row>
    <row r="5504" spans="1:28">
      <c r="A5504" s="384"/>
      <c r="B5504" s="385"/>
      <c r="C5504" s="393"/>
      <c r="D5504" s="394"/>
      <c r="E5504" s="388"/>
      <c r="F5504" s="388"/>
      <c r="G5504" s="388"/>
      <c r="H5504" s="395"/>
      <c r="I5504" s="388"/>
      <c r="J5504" s="399"/>
      <c r="K5504" s="396"/>
      <c r="L5504" s="396"/>
      <c r="M5504" s="396"/>
      <c r="N5504" s="396"/>
      <c r="O5504" s="396"/>
      <c r="P5504" s="389"/>
      <c r="Q5504" s="396"/>
      <c r="R5504" s="396"/>
      <c r="S5504" s="396"/>
      <c r="T5504" s="396"/>
      <c r="U5504" s="401"/>
      <c r="V5504" s="396"/>
      <c r="W5504" s="388"/>
      <c r="X5504" s="396"/>
      <c r="Y5504" s="389"/>
      <c r="Z5504" s="396"/>
      <c r="AA5504" s="388"/>
      <c r="AB5504" s="390"/>
    </row>
    <row r="5505" spans="1:28">
      <c r="A5505" s="384" t="str">
        <f t="shared" ref="A5505:B5505" si="17795">A5485</f>
        <v>Lantai 3</v>
      </c>
      <c r="B5505" s="385">
        <f t="shared" si="17795"/>
        <v>41</v>
      </c>
      <c r="C5505" s="393" t="s">
        <v>211</v>
      </c>
      <c r="D5505" s="398">
        <f>VLOOKUP(D5485,'Detail Balok'!$C$10:$AU$140,31,FALSE)</f>
        <v>0</v>
      </c>
      <c r="E5505" s="388" t="s">
        <v>16</v>
      </c>
      <c r="F5505" s="388">
        <f>VLOOKUP(D5485,'Detail Balok'!$C$10:$AU$140,33,FALSE)</f>
        <v>10</v>
      </c>
      <c r="G5505" s="405" t="s">
        <v>157</v>
      </c>
      <c r="H5505" s="395">
        <f>VLOOKUP(D5485,'Detail Balok'!$C$10:$AU$140,35,FALSE)</f>
        <v>100</v>
      </c>
      <c r="I5505" s="388"/>
      <c r="J5505" s="400">
        <f t="shared" ref="J5505" si="17796">(IF(D5505=0,(2*(D5486+G5486))-(F$5*8),IF(D5505=3,(2*(D5486+G5486))-(F$5*8)+(G5486-2*F$5),IF(D5505=4,(2*(D5486+G5486))-(F$5*8)+2*(G5486-2*F$5)))))/1000</f>
        <v>1.28</v>
      </c>
      <c r="K5505" s="400" t="s">
        <v>204</v>
      </c>
      <c r="L5505" s="399">
        <f t="shared" ref="L5505:L5507" si="17797">IF(D5505=0,2*MAX(6*F5505,75),(D5505-1)*2*MAX(6*F5505,75))/1000</f>
        <v>0.15</v>
      </c>
      <c r="M5505" s="399" t="s">
        <v>176</v>
      </c>
      <c r="N5505" s="399">
        <f t="shared" ref="N5505:N5507" si="17798">J5505+L5505</f>
        <v>1.43</v>
      </c>
      <c r="O5505" s="399"/>
      <c r="P5505" s="389"/>
      <c r="Q5505" s="399"/>
      <c r="R5505" s="399"/>
      <c r="S5505" s="399"/>
      <c r="T5505" s="399" t="s">
        <v>125</v>
      </c>
      <c r="U5505" s="401">
        <f t="shared" ref="U5505:U5507" si="17799">0.006165*F5505^2</f>
        <v>0.61650000000000005</v>
      </c>
      <c r="V5505" s="399" t="s">
        <v>125</v>
      </c>
      <c r="W5505" s="399">
        <f t="shared" ref="W5505" si="17800">IF(D5488&gt;4*G5486,ROUND(MAX(D5488/4,2*G5486)/H5505,0)+1,ROUND(D5488/H5505,0)+1)</f>
        <v>40</v>
      </c>
      <c r="X5505" s="399" t="s">
        <v>125</v>
      </c>
      <c r="Y5505" s="389">
        <f t="shared" ref="Y5505" si="17801">D5491</f>
        <v>1</v>
      </c>
      <c r="Z5505" s="400" t="s">
        <v>176</v>
      </c>
      <c r="AA5505" s="402">
        <f t="shared" ref="AA5505:AA5507" si="17802">N5505*U5505*W5505*Y5505</f>
        <v>35.263800000000003</v>
      </c>
      <c r="AB5505" s="403"/>
    </row>
    <row r="5506" spans="1:28">
      <c r="A5506" s="384" t="str">
        <f t="shared" ref="A5506:B5506" si="17803">A5485</f>
        <v>Lantai 3</v>
      </c>
      <c r="B5506" s="385">
        <f t="shared" si="17803"/>
        <v>41</v>
      </c>
      <c r="C5506" s="393" t="s">
        <v>212</v>
      </c>
      <c r="D5506" s="398">
        <f>VLOOKUP(D5485,'Detail Balok'!$C$10:$AU$140,36,FALSE)</f>
        <v>0</v>
      </c>
      <c r="E5506" s="388" t="s">
        <v>16</v>
      </c>
      <c r="F5506" s="388">
        <f>VLOOKUP(D5485,'Detail Balok'!$C$10:$AU$140,38,FALSE)</f>
        <v>10</v>
      </c>
      <c r="G5506" s="405" t="s">
        <v>157</v>
      </c>
      <c r="H5506" s="395">
        <f>VLOOKUP(D5485,'Detail Balok'!$C$10:$AU$140,40,FALSE)</f>
        <v>150</v>
      </c>
      <c r="I5506" s="388"/>
      <c r="J5506" s="400">
        <f t="shared" ref="J5506" si="17804">(IF(D5506=0,(2*(D5486+G5486))-(F$5*8),IF(D5506=3,(2*(D5486+G5486))-(F$5*8)+(G5486-2*F$5),IF(D5506=4,(2*(D5486+G5486))-(F$5*8)+2*(G5486-2*F$5)))))/1000</f>
        <v>1.28</v>
      </c>
      <c r="K5506" s="400" t="s">
        <v>204</v>
      </c>
      <c r="L5506" s="399">
        <f t="shared" si="17797"/>
        <v>0.15</v>
      </c>
      <c r="M5506" s="399" t="s">
        <v>176</v>
      </c>
      <c r="N5506" s="399">
        <f t="shared" si="17798"/>
        <v>1.43</v>
      </c>
      <c r="O5506" s="399"/>
      <c r="P5506" s="389"/>
      <c r="Q5506" s="399"/>
      <c r="R5506" s="399"/>
      <c r="S5506" s="399"/>
      <c r="T5506" s="399" t="s">
        <v>125</v>
      </c>
      <c r="U5506" s="401">
        <f t="shared" si="17799"/>
        <v>0.61650000000000005</v>
      </c>
      <c r="V5506" s="399" t="s">
        <v>125</v>
      </c>
      <c r="W5506" s="399">
        <f t="shared" ref="W5506" si="17805">IF(D5488-MAX(D5488/4,2*G5486)*2&gt;0,ROUND((D5488-MAX(D5488/4,2*G5486)*2)/H5506,0),0)</f>
        <v>51</v>
      </c>
      <c r="X5506" s="399" t="s">
        <v>125</v>
      </c>
      <c r="Y5506" s="389">
        <f t="shared" ref="Y5506" si="17806">D5491</f>
        <v>1</v>
      </c>
      <c r="Z5506" s="400" t="s">
        <v>176</v>
      </c>
      <c r="AA5506" s="402">
        <f t="shared" si="17802"/>
        <v>44.961345000000001</v>
      </c>
      <c r="AB5506" s="403"/>
    </row>
    <row r="5507" spans="1:28">
      <c r="A5507" s="384" t="str">
        <f t="shared" ref="A5507:B5507" si="17807">A5485</f>
        <v>Lantai 3</v>
      </c>
      <c r="B5507" s="385">
        <f t="shared" si="17807"/>
        <v>41</v>
      </c>
      <c r="C5507" s="393" t="s">
        <v>211</v>
      </c>
      <c r="D5507" s="398">
        <f>VLOOKUP(D5485,'Detail Balok'!$C$10:$AU$140,41,FALSE)</f>
        <v>0</v>
      </c>
      <c r="E5507" s="388" t="s">
        <v>16</v>
      </c>
      <c r="F5507" s="388">
        <f>VLOOKUP(D5485,'Detail Balok'!$C$10:$AU$140,43,FALSE)</f>
        <v>10</v>
      </c>
      <c r="G5507" s="405" t="s">
        <v>157</v>
      </c>
      <c r="H5507" s="395">
        <f>VLOOKUP(D5485,'Detail Balok'!$C$10:$AU$140,45,FALSE)</f>
        <v>100</v>
      </c>
      <c r="I5507" s="388"/>
      <c r="J5507" s="400">
        <f t="shared" ref="J5507" si="17808">(IF(D5507=0,(2*(D5486+G5486))-(F$5*8),IF(D5507=3,(2*(D5486+G5486))-(F$5*8)+(G5486-2*F$5),IF(D5507=4,(2*(D5486+G5486))-(F$5*8)+2*(G5486-2*F$5)))))/1000</f>
        <v>1.28</v>
      </c>
      <c r="K5507" s="400" t="s">
        <v>204</v>
      </c>
      <c r="L5507" s="399">
        <f t="shared" si="17797"/>
        <v>0.15</v>
      </c>
      <c r="M5507" s="399" t="s">
        <v>176</v>
      </c>
      <c r="N5507" s="399">
        <f t="shared" si="17798"/>
        <v>1.43</v>
      </c>
      <c r="O5507" s="399"/>
      <c r="P5507" s="389"/>
      <c r="Q5507" s="399"/>
      <c r="R5507" s="399"/>
      <c r="S5507" s="399"/>
      <c r="T5507" s="399" t="s">
        <v>125</v>
      </c>
      <c r="U5507" s="401">
        <f t="shared" si="17799"/>
        <v>0.61650000000000005</v>
      </c>
      <c r="V5507" s="399" t="s">
        <v>125</v>
      </c>
      <c r="W5507" s="399">
        <f t="shared" ref="W5507" si="17809">IF(D5488&gt;4*G5486,ROUND(MAX(D5488/4,2*G5486)/H5507,0)+1,0)</f>
        <v>40</v>
      </c>
      <c r="X5507" s="399" t="s">
        <v>125</v>
      </c>
      <c r="Y5507" s="389">
        <f t="shared" ref="Y5507" si="17810">D5491</f>
        <v>1</v>
      </c>
      <c r="Z5507" s="400" t="s">
        <v>176</v>
      </c>
      <c r="AA5507" s="402">
        <f t="shared" si="17802"/>
        <v>35.263800000000003</v>
      </c>
      <c r="AB5507" s="403"/>
    </row>
    <row r="5508" spans="1:28">
      <c r="A5508" s="384"/>
      <c r="B5508" s="385"/>
      <c r="C5508" s="393"/>
      <c r="D5508" s="394"/>
      <c r="E5508" s="388"/>
      <c r="F5508" s="388"/>
      <c r="G5508" s="388"/>
      <c r="H5508" s="395"/>
      <c r="I5508" s="388"/>
      <c r="J5508" s="399"/>
      <c r="K5508" s="396"/>
      <c r="L5508" s="396"/>
      <c r="M5508" s="396"/>
      <c r="N5508" s="396"/>
      <c r="O5508" s="396"/>
      <c r="P5508" s="389"/>
      <c r="Q5508" s="396"/>
      <c r="R5508" s="396"/>
      <c r="S5508" s="396"/>
      <c r="T5508" s="396"/>
      <c r="U5508" s="401"/>
      <c r="V5508" s="396"/>
      <c r="W5508" s="388"/>
      <c r="X5508" s="396"/>
      <c r="Y5508" s="389"/>
      <c r="Z5508" s="396"/>
      <c r="AA5508" s="388"/>
      <c r="AB5508" s="390"/>
    </row>
    <row r="5509" spans="1:28">
      <c r="A5509" s="384" t="str">
        <f t="shared" ref="A5509:B5509" si="17811">A5485</f>
        <v>Lantai 3</v>
      </c>
      <c r="B5509" s="385">
        <f t="shared" si="17811"/>
        <v>41</v>
      </c>
      <c r="C5509" s="393" t="s">
        <v>213</v>
      </c>
      <c r="D5509" s="398">
        <f>VLOOKUP(D5485,'Detail Balok'!$C$10:$BJ$140,46,FALSE)</f>
        <v>0</v>
      </c>
      <c r="E5509" s="388" t="s">
        <v>16</v>
      </c>
      <c r="F5509" s="388">
        <f>VLOOKUP(D5485,'Detail Balok'!$C$10:$BJ$140,48,FALSE)</f>
        <v>0</v>
      </c>
      <c r="G5509" s="405" t="s">
        <v>157</v>
      </c>
      <c r="H5509" s="395">
        <f>VLOOKUP(D5485,'Detail Balok'!$C$10:$BJ$140,50,FALSE)</f>
        <v>100</v>
      </c>
      <c r="I5509" s="388"/>
      <c r="J5509" s="399">
        <f t="shared" ref="J5509" si="17812">(D5486-2*F$5)/1000</f>
        <v>0.12</v>
      </c>
      <c r="K5509" s="400" t="s">
        <v>204</v>
      </c>
      <c r="L5509" s="399">
        <f t="shared" ref="L5509:L5511" si="17813">IF(D5509=0,2*MAX(6*F5509,75),(D5509-1)*2*MAX(6*F5509,75))/1000</f>
        <v>0.15</v>
      </c>
      <c r="M5509" s="399" t="s">
        <v>176</v>
      </c>
      <c r="N5509" s="399">
        <f t="shared" ref="N5509:N5511" si="17814">J5509+L5509</f>
        <v>0.27</v>
      </c>
      <c r="O5509" s="399"/>
      <c r="P5509" s="399"/>
      <c r="Q5509" s="399"/>
      <c r="R5509" s="399"/>
      <c r="S5509" s="399"/>
      <c r="T5509" s="399" t="s">
        <v>125</v>
      </c>
      <c r="U5509" s="401">
        <f t="shared" ref="U5509:U5511" si="17815">0.006165*F5509^2</f>
        <v>0</v>
      </c>
      <c r="V5509" s="399" t="s">
        <v>125</v>
      </c>
      <c r="W5509" s="399">
        <f t="shared" ref="W5509:W5511" si="17816">W5505</f>
        <v>40</v>
      </c>
      <c r="X5509" s="399" t="s">
        <v>125</v>
      </c>
      <c r="Y5509" s="389">
        <f t="shared" ref="Y5509" si="17817">D5495</f>
        <v>0</v>
      </c>
      <c r="Z5509" s="400" t="s">
        <v>176</v>
      </c>
      <c r="AA5509" s="402">
        <f t="shared" ref="AA5509:AA5511" si="17818">N5509*U5509*W5509*Y5509</f>
        <v>0</v>
      </c>
      <c r="AB5509" s="403"/>
    </row>
    <row r="5510" spans="1:28">
      <c r="A5510" s="384" t="str">
        <f t="shared" ref="A5510:B5510" si="17819">A5485</f>
        <v>Lantai 3</v>
      </c>
      <c r="B5510" s="385">
        <f t="shared" si="17819"/>
        <v>41</v>
      </c>
      <c r="C5510" s="393" t="s">
        <v>214</v>
      </c>
      <c r="D5510" s="398">
        <f>VLOOKUP(D5485,'Detail Balok'!$C$10:$BJ$140,51,FALSE)</f>
        <v>0</v>
      </c>
      <c r="E5510" s="388" t="s">
        <v>16</v>
      </c>
      <c r="F5510" s="388">
        <f>VLOOKUP(D5485,'Detail Balok'!$C$10:$BJ$140,53,FALSE)</f>
        <v>0</v>
      </c>
      <c r="G5510" s="405" t="s">
        <v>157</v>
      </c>
      <c r="H5510" s="395">
        <f>VLOOKUP(D5485,'Detail Balok'!$C$10:$BJ$140,55,FALSE)</f>
        <v>100</v>
      </c>
      <c r="I5510" s="388"/>
      <c r="J5510" s="399">
        <f t="shared" ref="J5510" si="17820">(D5486-2*F$5)/1000</f>
        <v>0.12</v>
      </c>
      <c r="K5510" s="400" t="s">
        <v>204</v>
      </c>
      <c r="L5510" s="399">
        <f t="shared" si="17813"/>
        <v>0.15</v>
      </c>
      <c r="M5510" s="399" t="s">
        <v>176</v>
      </c>
      <c r="N5510" s="399">
        <f t="shared" si="17814"/>
        <v>0.27</v>
      </c>
      <c r="O5510" s="399"/>
      <c r="P5510" s="399"/>
      <c r="Q5510" s="399"/>
      <c r="R5510" s="399"/>
      <c r="S5510" s="399"/>
      <c r="T5510" s="399" t="s">
        <v>125</v>
      </c>
      <c r="U5510" s="401">
        <f t="shared" si="17815"/>
        <v>0</v>
      </c>
      <c r="V5510" s="399" t="s">
        <v>125</v>
      </c>
      <c r="W5510" s="399">
        <f t="shared" si="17816"/>
        <v>51</v>
      </c>
      <c r="X5510" s="399" t="s">
        <v>125</v>
      </c>
      <c r="Y5510" s="389">
        <f t="shared" ref="Y5510" si="17821">D5495</f>
        <v>0</v>
      </c>
      <c r="Z5510" s="400" t="s">
        <v>176</v>
      </c>
      <c r="AA5510" s="402">
        <f t="shared" si="17818"/>
        <v>0</v>
      </c>
      <c r="AB5510" s="403"/>
    </row>
    <row r="5511" spans="1:28">
      <c r="A5511" s="384" t="str">
        <f t="shared" ref="A5511:B5511" si="17822">A5485</f>
        <v>Lantai 3</v>
      </c>
      <c r="B5511" s="385">
        <f t="shared" si="17822"/>
        <v>41</v>
      </c>
      <c r="C5511" s="393" t="s">
        <v>213</v>
      </c>
      <c r="D5511" s="398">
        <f>VLOOKUP(D5485,'Detail Balok'!$C$10:$BJ$140,56,FALSE)</f>
        <v>0</v>
      </c>
      <c r="E5511" s="388" t="s">
        <v>16</v>
      </c>
      <c r="F5511" s="388">
        <f>VLOOKUP(D5485,'Detail Balok'!$C$10:$BJ$140,58,FALSE)</f>
        <v>0</v>
      </c>
      <c r="G5511" s="405" t="s">
        <v>157</v>
      </c>
      <c r="H5511" s="395">
        <f>VLOOKUP(D5485,'Detail Balok'!$C$10:$BJ$140,60,FALSE)</f>
        <v>100</v>
      </c>
      <c r="I5511" s="388"/>
      <c r="J5511" s="399">
        <f t="shared" ref="J5511" si="17823">(D5486-2*F$5)/1000</f>
        <v>0.12</v>
      </c>
      <c r="K5511" s="400" t="s">
        <v>204</v>
      </c>
      <c r="L5511" s="399">
        <f t="shared" si="17813"/>
        <v>0.15</v>
      </c>
      <c r="M5511" s="399" t="s">
        <v>176</v>
      </c>
      <c r="N5511" s="399">
        <f t="shared" si="17814"/>
        <v>0.27</v>
      </c>
      <c r="O5511" s="399"/>
      <c r="P5511" s="399"/>
      <c r="Q5511" s="399"/>
      <c r="R5511" s="399"/>
      <c r="S5511" s="399"/>
      <c r="T5511" s="399" t="s">
        <v>125</v>
      </c>
      <c r="U5511" s="401">
        <f t="shared" si="17815"/>
        <v>0</v>
      </c>
      <c r="V5511" s="399" t="s">
        <v>125</v>
      </c>
      <c r="W5511" s="399">
        <f t="shared" si="17816"/>
        <v>40</v>
      </c>
      <c r="X5511" s="399" t="s">
        <v>125</v>
      </c>
      <c r="Y5511" s="389">
        <f t="shared" ref="Y5511" si="17824">D5495</f>
        <v>0</v>
      </c>
      <c r="Z5511" s="400" t="s">
        <v>176</v>
      </c>
      <c r="AA5511" s="402">
        <f t="shared" si="17818"/>
        <v>0</v>
      </c>
      <c r="AB5511" s="403"/>
    </row>
    <row r="5512" spans="1:28">
      <c r="A5512" s="391"/>
      <c r="B5512" s="392"/>
      <c r="C5512" s="392"/>
      <c r="D5512" s="394"/>
      <c r="E5512" s="388"/>
      <c r="F5512" s="388"/>
      <c r="G5512" s="388"/>
      <c r="H5512" s="395"/>
      <c r="I5512" s="388"/>
      <c r="J5512" s="402"/>
      <c r="K5512" s="388"/>
      <c r="L5512" s="388"/>
      <c r="M5512" s="388"/>
      <c r="N5512" s="388"/>
      <c r="O5512" s="388"/>
      <c r="P5512" s="388"/>
      <c r="Q5512" s="388"/>
      <c r="R5512" s="388"/>
      <c r="S5512" s="388"/>
      <c r="T5512" s="388"/>
      <c r="U5512" s="388"/>
      <c r="V5512" s="388"/>
      <c r="W5512" s="388"/>
      <c r="X5512" s="388"/>
      <c r="Y5512" s="389"/>
      <c r="Z5512" s="388"/>
      <c r="AA5512" s="402"/>
      <c r="AB5512" s="403"/>
    </row>
    <row r="5513" spans="1:28" ht="15.75" thickBot="1">
      <c r="A5513" s="406"/>
      <c r="B5513" s="407"/>
      <c r="C5513" s="407"/>
      <c r="D5513" s="408"/>
      <c r="E5513" s="409"/>
      <c r="F5513" s="409"/>
      <c r="G5513" s="409"/>
      <c r="H5513" s="410"/>
      <c r="I5513" s="409"/>
      <c r="J5513" s="409"/>
      <c r="K5513" s="409"/>
      <c r="L5513" s="409"/>
      <c r="M5513" s="409"/>
      <c r="N5513" s="409"/>
      <c r="O5513" s="409"/>
      <c r="P5513" s="409"/>
      <c r="Q5513" s="409"/>
      <c r="R5513" s="409"/>
      <c r="S5513" s="409"/>
      <c r="T5513" s="409"/>
      <c r="U5513" s="409"/>
      <c r="V5513" s="409"/>
      <c r="W5513" s="409"/>
      <c r="X5513" s="409"/>
      <c r="Y5513" s="411"/>
      <c r="Z5513" s="409"/>
      <c r="AA5513" s="412"/>
      <c r="AB5513" s="413"/>
    </row>
    <row r="5514" spans="1:28">
      <c r="A5514" s="377"/>
      <c r="B5514" s="378"/>
      <c r="C5514" s="378"/>
      <c r="D5514" s="379"/>
      <c r="E5514" s="380"/>
      <c r="F5514" s="380"/>
      <c r="G5514" s="380"/>
      <c r="H5514" s="381"/>
      <c r="I5514" s="380"/>
      <c r="J5514" s="380"/>
      <c r="K5514" s="380"/>
      <c r="L5514" s="380"/>
      <c r="M5514" s="380"/>
      <c r="N5514" s="380"/>
      <c r="O5514" s="380"/>
      <c r="P5514" s="380"/>
      <c r="Q5514" s="380"/>
      <c r="R5514" s="380"/>
      <c r="S5514" s="380"/>
      <c r="T5514" s="380"/>
      <c r="U5514" s="380"/>
      <c r="V5514" s="380"/>
      <c r="W5514" s="380"/>
      <c r="X5514" s="380"/>
      <c r="Y5514" s="382"/>
      <c r="Z5514" s="380"/>
      <c r="AA5514" s="380"/>
      <c r="AB5514" s="383"/>
    </row>
    <row r="5515" spans="1:28">
      <c r="A5515" s="384" t="str">
        <f t="shared" ref="A5515:A5545" si="17825">A5485</f>
        <v>Lantai 3</v>
      </c>
      <c r="B5515" s="385">
        <f t="shared" ref="B5515:B5545" si="17826">B5485+1</f>
        <v>42</v>
      </c>
      <c r="C5515" s="386" t="str">
        <f t="shared" ref="C5515" si="17827">CONCATENATE(A5515," no. ",B5515)</f>
        <v>Lantai 3 no. 42</v>
      </c>
      <c r="D5515" s="2562" t="str">
        <f>VLOOKUP(C5515,'Data Panjang Balok'!$C$9:$N$254,2,FALSE)</f>
        <v>B24-2</v>
      </c>
      <c r="E5515" s="2576"/>
      <c r="F5515" s="2576"/>
      <c r="G5515" s="2576"/>
      <c r="H5515" s="2577"/>
      <c r="I5515" s="387"/>
      <c r="J5515" s="388"/>
      <c r="K5515" s="388"/>
      <c r="L5515" s="388"/>
      <c r="M5515" s="388"/>
      <c r="N5515" s="388"/>
      <c r="O5515" s="388"/>
      <c r="P5515" s="388"/>
      <c r="Q5515" s="388"/>
      <c r="R5515" s="388"/>
      <c r="S5515" s="388"/>
      <c r="T5515" s="388"/>
      <c r="U5515" s="388"/>
      <c r="V5515" s="388"/>
      <c r="W5515" s="388"/>
      <c r="X5515" s="388"/>
      <c r="Y5515" s="389"/>
      <c r="Z5515" s="388"/>
      <c r="AA5515" s="388"/>
      <c r="AB5515" s="390"/>
    </row>
    <row r="5516" spans="1:28">
      <c r="A5516" s="391"/>
      <c r="B5516" s="392"/>
      <c r="C5516" s="393" t="s">
        <v>118</v>
      </c>
      <c r="D5516" s="2578">
        <f>VLOOKUP(D5515,'Detail Balok'!$C$10:$AU$140,2,FALSE)</f>
        <v>200</v>
      </c>
      <c r="E5516" s="2579"/>
      <c r="F5516" s="388" t="s">
        <v>125</v>
      </c>
      <c r="G5516" s="2579">
        <f>VLOOKUP(D5515,'Detail Balok'!$C$10:$AU$140,3,FALSE)</f>
        <v>400</v>
      </c>
      <c r="H5516" s="2580"/>
      <c r="I5516" s="388"/>
      <c r="J5516" s="396"/>
      <c r="K5516" s="396"/>
      <c r="L5516" s="396"/>
      <c r="M5516" s="396"/>
      <c r="N5516" s="396"/>
      <c r="O5516" s="396"/>
      <c r="P5516" s="396"/>
      <c r="Q5516" s="396"/>
      <c r="R5516" s="396"/>
      <c r="S5516" s="396"/>
      <c r="T5516" s="396"/>
      <c r="U5516" s="388"/>
      <c r="V5516" s="396"/>
      <c r="W5516" s="388"/>
      <c r="X5516" s="396"/>
      <c r="Y5516" s="389"/>
      <c r="Z5516" s="396"/>
      <c r="AA5516" s="388"/>
      <c r="AB5516" s="390"/>
    </row>
    <row r="5517" spans="1:28">
      <c r="A5517" s="391"/>
      <c r="B5517" s="392"/>
      <c r="C5517" s="393" t="s">
        <v>198</v>
      </c>
      <c r="D5517" s="2562">
        <f>VLOOKUP(C5515,'Data Panjang Balok'!$C$9:$N$254,4,FALSE)</f>
        <v>3125</v>
      </c>
      <c r="E5517" s="2563"/>
      <c r="F5517" s="2563"/>
      <c r="G5517" s="2563"/>
      <c r="H5517" s="2564"/>
      <c r="I5517" s="397"/>
      <c r="J5517" s="396"/>
      <c r="K5517" s="396"/>
      <c r="L5517" s="396"/>
      <c r="M5517" s="396"/>
      <c r="N5517" s="396"/>
      <c r="O5517" s="396"/>
      <c r="P5517" s="396"/>
      <c r="Q5517" s="396"/>
      <c r="R5517" s="396"/>
      <c r="S5517" s="396"/>
      <c r="T5517" s="396"/>
      <c r="U5517" s="388"/>
      <c r="V5517" s="396"/>
      <c r="W5517" s="388"/>
      <c r="X5517" s="396"/>
      <c r="Y5517" s="389"/>
      <c r="Z5517" s="396"/>
      <c r="AA5517" s="388"/>
      <c r="AB5517" s="390"/>
    </row>
    <row r="5518" spans="1:28">
      <c r="A5518" s="391"/>
      <c r="B5518" s="392"/>
      <c r="C5518" s="393" t="s">
        <v>199</v>
      </c>
      <c r="D5518" s="2562">
        <f>VLOOKUP(C5515,'Data Panjang Balok'!$C$9:$N$254,7,FALSE)</f>
        <v>3125</v>
      </c>
      <c r="E5518" s="2563"/>
      <c r="F5518" s="2563"/>
      <c r="G5518" s="2563"/>
      <c r="H5518" s="2564"/>
      <c r="I5518" s="397"/>
      <c r="J5518" s="396"/>
      <c r="K5518" s="396"/>
      <c r="L5518" s="396"/>
      <c r="M5518" s="396"/>
      <c r="N5518" s="396"/>
      <c r="O5518" s="396"/>
      <c r="P5518" s="396"/>
      <c r="Q5518" s="396"/>
      <c r="R5518" s="396"/>
      <c r="S5518" s="396"/>
      <c r="T5518" s="396"/>
      <c r="U5518" s="388"/>
      <c r="V5518" s="396"/>
      <c r="W5518" s="388"/>
      <c r="X5518" s="396"/>
      <c r="Y5518" s="389"/>
      <c r="Z5518" s="396"/>
      <c r="AA5518" s="388"/>
      <c r="AB5518" s="390"/>
    </row>
    <row r="5519" spans="1:28">
      <c r="A5519" s="391"/>
      <c r="B5519" s="392"/>
      <c r="C5519" s="393" t="s">
        <v>200</v>
      </c>
      <c r="D5519" s="2562">
        <f>VLOOKUP(C5515,'Data Panjang Balok'!$C$9:$N$254,9,FALSE)</f>
        <v>0</v>
      </c>
      <c r="E5519" s="2563"/>
      <c r="F5519" s="2563"/>
      <c r="G5519" s="2563"/>
      <c r="H5519" s="2564"/>
      <c r="I5519" s="397"/>
      <c r="J5519" s="396"/>
      <c r="K5519" s="396"/>
      <c r="L5519" s="396"/>
      <c r="M5519" s="396"/>
      <c r="N5519" s="396"/>
      <c r="O5519" s="396"/>
      <c r="P5519" s="396"/>
      <c r="Q5519" s="396"/>
      <c r="R5519" s="396"/>
      <c r="S5519" s="396"/>
      <c r="T5519" s="396"/>
      <c r="U5519" s="388"/>
      <c r="V5519" s="396"/>
      <c r="W5519" s="388"/>
      <c r="X5519" s="396"/>
      <c r="Y5519" s="389"/>
      <c r="Z5519" s="396"/>
      <c r="AA5519" s="388"/>
      <c r="AB5519" s="390"/>
    </row>
    <row r="5520" spans="1:28">
      <c r="A5520" s="391"/>
      <c r="B5520" s="392"/>
      <c r="C5520" s="393" t="s">
        <v>201</v>
      </c>
      <c r="D5520" s="2562">
        <f>VLOOKUP(C5515,'Data Panjang Balok'!$C$9:$N$254,10,FALSE)</f>
        <v>0</v>
      </c>
      <c r="E5520" s="2563"/>
      <c r="F5520" s="2563"/>
      <c r="G5520" s="2563"/>
      <c r="H5520" s="2564"/>
      <c r="I5520" s="397"/>
      <c r="J5520" s="396"/>
      <c r="K5520" s="396"/>
      <c r="L5520" s="396"/>
      <c r="M5520" s="396"/>
      <c r="N5520" s="396"/>
      <c r="O5520" s="396"/>
      <c r="P5520" s="396"/>
      <c r="Q5520" s="396"/>
      <c r="R5520" s="396"/>
      <c r="S5520" s="396"/>
      <c r="T5520" s="396"/>
      <c r="U5520" s="388"/>
      <c r="V5520" s="396"/>
      <c r="W5520" s="388"/>
      <c r="X5520" s="396"/>
      <c r="Y5520" s="389"/>
      <c r="Z5520" s="396"/>
      <c r="AA5520" s="388"/>
      <c r="AB5520" s="390"/>
    </row>
    <row r="5521" spans="1:28">
      <c r="A5521" s="391"/>
      <c r="B5521" s="392"/>
      <c r="C5521" s="393" t="s">
        <v>48</v>
      </c>
      <c r="D5521" s="2562">
        <f>VLOOKUP(C5515,'Data Panjang Balok'!$C$9:$N$254,3,FALSE)</f>
        <v>1</v>
      </c>
      <c r="E5521" s="2563"/>
      <c r="F5521" s="2563"/>
      <c r="G5521" s="2563"/>
      <c r="H5521" s="2564"/>
      <c r="I5521" s="397"/>
      <c r="J5521" s="396"/>
      <c r="K5521" s="396"/>
      <c r="L5521" s="396"/>
      <c r="M5521" s="396"/>
      <c r="N5521" s="396"/>
      <c r="O5521" s="396"/>
      <c r="P5521" s="396"/>
      <c r="Q5521" s="396"/>
      <c r="R5521" s="396"/>
      <c r="S5521" s="396"/>
      <c r="T5521" s="396"/>
      <c r="U5521" s="388"/>
      <c r="V5521" s="396"/>
      <c r="W5521" s="388"/>
      <c r="X5521" s="396"/>
      <c r="Y5521" s="389"/>
      <c r="Z5521" s="396"/>
      <c r="AA5521" s="388"/>
      <c r="AB5521" s="390"/>
    </row>
    <row r="5522" spans="1:28">
      <c r="A5522" s="384" t="str">
        <f t="shared" ref="A5522:B5522" si="17828">A5515</f>
        <v>Lantai 3</v>
      </c>
      <c r="B5522" s="385">
        <f t="shared" si="17828"/>
        <v>42</v>
      </c>
      <c r="C5522" s="393" t="s">
        <v>202</v>
      </c>
      <c r="D5522" s="398">
        <f>VLOOKUP(D5515,'Detail Balok'!$C$10:$AU$140,4,FALSE)</f>
        <v>3</v>
      </c>
      <c r="E5522" s="388" t="s">
        <v>16</v>
      </c>
      <c r="F5522" s="388">
        <f>VLOOKUP(D5515,'Detail Balok'!$C$10:$AU$140,6,FALSE)</f>
        <v>16</v>
      </c>
      <c r="G5522" s="388"/>
      <c r="H5522" s="395"/>
      <c r="I5522" s="388" t="s">
        <v>203</v>
      </c>
      <c r="J5522" s="399">
        <f t="shared" ref="J5522" si="17829">+D5517/4/1000</f>
        <v>0.78125</v>
      </c>
      <c r="K5522" s="400" t="s">
        <v>204</v>
      </c>
      <c r="L5522" s="399">
        <f t="shared" ref="L5522" si="17830">MAX(VLOOKUP(F5522,N$6:P$15,3,FALSE)/1000,2/3*D5519/1000)+F$16*F5522/1000</f>
        <v>0.192</v>
      </c>
      <c r="M5522" s="399" t="s">
        <v>176</v>
      </c>
      <c r="N5522" s="399">
        <f t="shared" ref="N5522:N5524" si="17831">J5522+L5522</f>
        <v>0.97324999999999995</v>
      </c>
      <c r="O5522" s="399" t="s">
        <v>204</v>
      </c>
      <c r="P5522" s="389">
        <f t="shared" ref="P5522" si="17832">D5522-D5523</f>
        <v>0</v>
      </c>
      <c r="Q5522" s="399" t="s">
        <v>125</v>
      </c>
      <c r="R5522" s="399">
        <f t="shared" ref="R5522" si="17833">IF(P5522&gt;0,$F$18*F5522/1000,0)</f>
        <v>0</v>
      </c>
      <c r="S5522" s="399" t="s">
        <v>205</v>
      </c>
      <c r="T5522" s="399" t="s">
        <v>125</v>
      </c>
      <c r="U5522" s="401">
        <f t="shared" ref="U5522:U5524" si="17834">0.006165*F5522^2</f>
        <v>1.5782400000000001</v>
      </c>
      <c r="V5522" s="399"/>
      <c r="W5522" s="399"/>
      <c r="X5522" s="399" t="s">
        <v>125</v>
      </c>
      <c r="Y5522" s="389">
        <f t="shared" ref="Y5522" si="17835">D5521</f>
        <v>1</v>
      </c>
      <c r="Z5522" s="400" t="s">
        <v>176</v>
      </c>
      <c r="AA5522" s="402">
        <f t="shared" ref="AA5522" si="17836">IF(AA5525=0,(D5522*N5522+P5522*R5522)*U5522*Y5522,0)</f>
        <v>0</v>
      </c>
      <c r="AB5522" s="403"/>
    </row>
    <row r="5523" spans="1:28">
      <c r="A5523" s="384" t="str">
        <f t="shared" ref="A5523:B5523" si="17837">A5515</f>
        <v>Lantai 3</v>
      </c>
      <c r="B5523" s="385">
        <f t="shared" si="17837"/>
        <v>42</v>
      </c>
      <c r="C5523" s="393" t="s">
        <v>206</v>
      </c>
      <c r="D5523" s="398">
        <f>VLOOKUP(D5515,'Detail Balok'!$C$10:$AU$140,7,FALSE)</f>
        <v>3</v>
      </c>
      <c r="E5523" s="388" t="s">
        <v>16</v>
      </c>
      <c r="F5523" s="388">
        <f>VLOOKUP(D5515,'Detail Balok'!$C$10:$AU$140,9,FALSE)</f>
        <v>16</v>
      </c>
      <c r="G5523" s="388"/>
      <c r="H5523" s="395"/>
      <c r="I5523" s="388" t="s">
        <v>203</v>
      </c>
      <c r="J5523" s="399">
        <f t="shared" ref="J5523" si="17838">+D5517/2/1000</f>
        <v>1.5625</v>
      </c>
      <c r="K5523" s="400" t="s">
        <v>204</v>
      </c>
      <c r="L5523" s="399"/>
      <c r="M5523" s="399" t="s">
        <v>176</v>
      </c>
      <c r="N5523" s="399">
        <f t="shared" si="17831"/>
        <v>1.5625</v>
      </c>
      <c r="O5523" s="399" t="s">
        <v>204</v>
      </c>
      <c r="P5523" s="389">
        <f t="shared" ref="P5523" si="17839">MAX(D5523-D5522,D5523-D5524)</f>
        <v>0</v>
      </c>
      <c r="Q5523" s="399" t="s">
        <v>125</v>
      </c>
      <c r="R5523" s="399">
        <f t="shared" ref="R5523" si="17840">IF(P5523&gt;0,2*(1-2*$F$19-1/2)*D5518/1000,0)</f>
        <v>0</v>
      </c>
      <c r="S5523" s="399" t="s">
        <v>205</v>
      </c>
      <c r="T5523" s="399" t="s">
        <v>125</v>
      </c>
      <c r="U5523" s="401">
        <f t="shared" si="17834"/>
        <v>1.5782400000000001</v>
      </c>
      <c r="V5523" s="399"/>
      <c r="W5523" s="399"/>
      <c r="X5523" s="399" t="s">
        <v>125</v>
      </c>
      <c r="Y5523" s="389">
        <f t="shared" ref="Y5523" si="17841">D5521</f>
        <v>1</v>
      </c>
      <c r="Z5523" s="400" t="s">
        <v>176</v>
      </c>
      <c r="AA5523" s="402">
        <f t="shared" ref="AA5523" si="17842">IF(AA5525=0,(D5523*N5523+P5523*R5523)*U5523*Y5523,0)</f>
        <v>0</v>
      </c>
      <c r="AB5523" s="403"/>
    </row>
    <row r="5524" spans="1:28">
      <c r="A5524" s="384" t="str">
        <f t="shared" ref="A5524:B5524" si="17843">A5515</f>
        <v>Lantai 3</v>
      </c>
      <c r="B5524" s="385">
        <f t="shared" si="17843"/>
        <v>42</v>
      </c>
      <c r="C5524" s="393" t="s">
        <v>202</v>
      </c>
      <c r="D5524" s="398">
        <f>VLOOKUP(D5515,'Detail Balok'!$C$10:$AU$140,10,FALSE)</f>
        <v>3</v>
      </c>
      <c r="E5524" s="388" t="s">
        <v>16</v>
      </c>
      <c r="F5524" s="388">
        <f>VLOOKUP(D5515,'Detail Balok'!$C$10:$AU$140,12,FALSE)</f>
        <v>16</v>
      </c>
      <c r="G5524" s="388"/>
      <c r="H5524" s="395"/>
      <c r="I5524" s="388" t="s">
        <v>203</v>
      </c>
      <c r="J5524" s="399">
        <f t="shared" ref="J5524" si="17844">+D5517/4/1000</f>
        <v>0.78125</v>
      </c>
      <c r="K5524" s="400" t="s">
        <v>204</v>
      </c>
      <c r="L5524" s="399">
        <f t="shared" ref="L5524" si="17845">MAX(VLOOKUP(F5524,N$6:P$15,3,FALSE)/1000,2/3*D5519/1000)+F$16*F5524/1000</f>
        <v>0.192</v>
      </c>
      <c r="M5524" s="399" t="s">
        <v>176</v>
      </c>
      <c r="N5524" s="399">
        <f t="shared" si="17831"/>
        <v>0.97324999999999995</v>
      </c>
      <c r="O5524" s="399" t="s">
        <v>204</v>
      </c>
      <c r="P5524" s="389">
        <f t="shared" ref="P5524" si="17846">D5524-D5523</f>
        <v>0</v>
      </c>
      <c r="Q5524" s="399" t="s">
        <v>125</v>
      </c>
      <c r="R5524" s="399">
        <f t="shared" ref="R5524" si="17847">IF(P5524&gt;0,$F$18*F5524/1000,0)</f>
        <v>0</v>
      </c>
      <c r="S5524" s="399" t="s">
        <v>205</v>
      </c>
      <c r="T5524" s="399" t="s">
        <v>125</v>
      </c>
      <c r="U5524" s="401">
        <f t="shared" si="17834"/>
        <v>1.5782400000000001</v>
      </c>
      <c r="V5524" s="399"/>
      <c r="W5524" s="399"/>
      <c r="X5524" s="399" t="s">
        <v>125</v>
      </c>
      <c r="Y5524" s="389">
        <f t="shared" ref="Y5524" si="17848">D5521</f>
        <v>1</v>
      </c>
      <c r="Z5524" s="400" t="s">
        <v>176</v>
      </c>
      <c r="AA5524" s="402">
        <f t="shared" ref="AA5524" si="17849">IF(AA5525=0,(D5524*N5524+P5524*R5524)*U5524*Y5524,0)</f>
        <v>0</v>
      </c>
      <c r="AB5524" s="403"/>
    </row>
    <row r="5525" spans="1:28">
      <c r="A5525" s="384" t="str">
        <f t="shared" ref="A5525:B5525" si="17850">A5515</f>
        <v>Lantai 3</v>
      </c>
      <c r="B5525" s="385">
        <f t="shared" si="17850"/>
        <v>42</v>
      </c>
      <c r="C5525" s="393"/>
      <c r="D5525" s="398">
        <f t="shared" ref="D5525" si="17851">IF(AND(D5522=D5523,D5523=D5524,D5522=D5524),D5522,0)</f>
        <v>3</v>
      </c>
      <c r="E5525" s="388" t="s">
        <v>16</v>
      </c>
      <c r="F5525" s="388">
        <f t="shared" ref="F5525" si="17852">IF(AND(F5522=F5523,F5522=F5524,F5523=F5524),F5522,0)</f>
        <v>16</v>
      </c>
      <c r="G5525" s="388"/>
      <c r="H5525" s="395"/>
      <c r="I5525" s="388"/>
      <c r="J5525" s="396"/>
      <c r="K5525" s="396"/>
      <c r="L5525" s="404" t="s">
        <v>207</v>
      </c>
      <c r="M5525" s="399" t="s">
        <v>176</v>
      </c>
      <c r="N5525" s="399">
        <f t="shared" ref="N5525" si="17853">IF(AND(D5522=D5523,D5522=D5524,D5523=D5524,F5522=F5523,F5522=F5524,F5523=F5524),SUM(N5522:N5524),0)</f>
        <v>3.5090000000000003</v>
      </c>
      <c r="O5525" s="399" t="s">
        <v>204</v>
      </c>
      <c r="P5525" s="389">
        <f t="shared" ref="P5525" si="17854">IF(N5525&gt;12,ROUNDDOWN(N5525/12,0),0)</f>
        <v>0</v>
      </c>
      <c r="Q5525" s="399" t="s">
        <v>125</v>
      </c>
      <c r="R5525" s="399">
        <f t="shared" ref="R5525" si="17855">IF(P5525&gt;0,MAX(VLOOKUP(F5525,$D$6:$G$15,3,FALSE),600),0)/1000</f>
        <v>0</v>
      </c>
      <c r="S5525" s="396"/>
      <c r="T5525" s="396" t="s">
        <v>125</v>
      </c>
      <c r="U5525" s="401">
        <f t="shared" ref="U5525" si="17856">U5524</f>
        <v>1.5782400000000001</v>
      </c>
      <c r="V5525" s="396" t="s">
        <v>125</v>
      </c>
      <c r="W5525" s="399">
        <f t="shared" ref="W5525" si="17857">D5525</f>
        <v>3</v>
      </c>
      <c r="X5525" s="399" t="s">
        <v>125</v>
      </c>
      <c r="Y5525" s="389">
        <f t="shared" ref="Y5525" si="17858">Y5524</f>
        <v>1</v>
      </c>
      <c r="Z5525" s="400" t="s">
        <v>176</v>
      </c>
      <c r="AA5525" s="402">
        <f t="shared" ref="AA5525" si="17859">(N5525+P5525*R5525/1000)*U5525*W5525*Y5525</f>
        <v>16.614132480000002</v>
      </c>
      <c r="AB5525" s="390"/>
    </row>
    <row r="5526" spans="1:28">
      <c r="A5526" s="384"/>
      <c r="B5526" s="385"/>
      <c r="C5526" s="393"/>
      <c r="D5526" s="398"/>
      <c r="E5526" s="388"/>
      <c r="F5526" s="388"/>
      <c r="G5526" s="388"/>
      <c r="H5526" s="395"/>
      <c r="I5526" s="388"/>
      <c r="J5526" s="396"/>
      <c r="K5526" s="396"/>
      <c r="L5526" s="404"/>
      <c r="M5526" s="399"/>
      <c r="N5526" s="399"/>
      <c r="O5526" s="396"/>
      <c r="P5526" s="389"/>
      <c r="Q5526" s="396"/>
      <c r="R5526" s="396"/>
      <c r="S5526" s="396"/>
      <c r="T5526" s="396"/>
      <c r="U5526" s="401"/>
      <c r="V5526" s="396"/>
      <c r="W5526" s="399"/>
      <c r="X5526" s="396"/>
      <c r="Y5526" s="389"/>
      <c r="Z5526" s="396"/>
      <c r="AA5526" s="388"/>
      <c r="AB5526" s="390"/>
    </row>
    <row r="5527" spans="1:28">
      <c r="A5527" s="384" t="str">
        <f t="shared" ref="A5527:B5527" si="17860">A5515</f>
        <v>Lantai 3</v>
      </c>
      <c r="B5527" s="385">
        <f t="shared" si="17860"/>
        <v>42</v>
      </c>
      <c r="C5527" s="393" t="s">
        <v>208</v>
      </c>
      <c r="D5527" s="398">
        <f>VLOOKUP(D5515,'Detail Balok'!$C$10:$AU$140,13,FALSE)</f>
        <v>0</v>
      </c>
      <c r="E5527" s="388" t="s">
        <v>16</v>
      </c>
      <c r="F5527" s="388">
        <f>VLOOKUP(D5515,'Detail Balok'!$C$10:$AU$140,15,FALSE)</f>
        <v>8</v>
      </c>
      <c r="G5527" s="388"/>
      <c r="H5527" s="395"/>
      <c r="I5527" s="388"/>
      <c r="J5527" s="399">
        <f t="shared" ref="J5527" si="17861">+D5517/1000</f>
        <v>3.125</v>
      </c>
      <c r="K5527" s="400" t="s">
        <v>204</v>
      </c>
      <c r="L5527" s="399">
        <f t="shared" ref="L5527" si="17862">2*$F$16*F5527/1000</f>
        <v>0.192</v>
      </c>
      <c r="M5527" s="399" t="s">
        <v>176</v>
      </c>
      <c r="N5527" s="399">
        <f t="shared" ref="N5527" si="17863">J5527+L5527</f>
        <v>3.3170000000000002</v>
      </c>
      <c r="O5527" s="399" t="s">
        <v>204</v>
      </c>
      <c r="P5527" s="389">
        <f t="shared" ref="P5527" si="17864">IF(N5527&gt;12,ROUNDDOWN(N5527/12,0),0)</f>
        <v>0</v>
      </c>
      <c r="Q5527" s="399" t="s">
        <v>125</v>
      </c>
      <c r="R5527" s="399">
        <f t="shared" ref="R5527" si="17865">IF(P5527&gt;0,MAX(VLOOKUP(F5527,$D$6:$G$15,3,FALSE),600),0)/1000</f>
        <v>0</v>
      </c>
      <c r="S5527" s="399"/>
      <c r="T5527" s="399" t="s">
        <v>125</v>
      </c>
      <c r="U5527" s="401">
        <f t="shared" ref="U5527" si="17866">0.006165*F5527^2</f>
        <v>0.39456000000000002</v>
      </c>
      <c r="V5527" s="399" t="s">
        <v>125</v>
      </c>
      <c r="W5527" s="399">
        <f t="shared" ref="W5527" si="17867">+D5527</f>
        <v>0</v>
      </c>
      <c r="X5527" s="399" t="s">
        <v>125</v>
      </c>
      <c r="Y5527" s="389">
        <f t="shared" ref="Y5527" si="17868">D5521</f>
        <v>1</v>
      </c>
      <c r="Z5527" s="400" t="s">
        <v>176</v>
      </c>
      <c r="AA5527" s="402">
        <f t="shared" ref="AA5527" si="17869">(N5527+P5527*R5527/1000)*U5527*W5527*Y5527</f>
        <v>0</v>
      </c>
      <c r="AB5527" s="403"/>
    </row>
    <row r="5528" spans="1:28">
      <c r="A5528" s="384"/>
      <c r="B5528" s="385"/>
      <c r="C5528" s="393"/>
      <c r="D5528" s="398"/>
      <c r="E5528" s="388"/>
      <c r="F5528" s="388"/>
      <c r="G5528" s="388"/>
      <c r="H5528" s="395"/>
      <c r="I5528" s="388"/>
      <c r="J5528" s="399"/>
      <c r="K5528" s="400"/>
      <c r="L5528" s="399"/>
      <c r="M5528" s="399"/>
      <c r="N5528" s="399"/>
      <c r="O5528" s="399"/>
      <c r="P5528" s="389"/>
      <c r="Q5528" s="399"/>
      <c r="R5528" s="399"/>
      <c r="S5528" s="399"/>
      <c r="T5528" s="399"/>
      <c r="U5528" s="401"/>
      <c r="V5528" s="399"/>
      <c r="W5528" s="399"/>
      <c r="X5528" s="399"/>
      <c r="Y5528" s="389"/>
      <c r="Z5528" s="400"/>
      <c r="AA5528" s="402"/>
      <c r="AB5528" s="403"/>
    </row>
    <row r="5529" spans="1:28">
      <c r="A5529" s="384"/>
      <c r="B5529" s="385"/>
      <c r="C5529" s="393"/>
      <c r="D5529" s="398"/>
      <c r="E5529" s="388"/>
      <c r="F5529" s="388"/>
      <c r="G5529" s="388"/>
      <c r="H5529" s="395"/>
      <c r="I5529" s="388"/>
      <c r="J5529" s="396"/>
      <c r="K5529" s="396"/>
      <c r="L5529" s="396"/>
      <c r="M5529" s="396"/>
      <c r="N5529" s="396"/>
      <c r="O5529" s="396"/>
      <c r="P5529" s="389"/>
      <c r="Q5529" s="396"/>
      <c r="R5529" s="396"/>
      <c r="S5529" s="396"/>
      <c r="T5529" s="396"/>
      <c r="U5529" s="401"/>
      <c r="V5529" s="396"/>
      <c r="W5529" s="399"/>
      <c r="X5529" s="396"/>
      <c r="Y5529" s="389"/>
      <c r="Z5529" s="396"/>
      <c r="AA5529" s="388"/>
      <c r="AB5529" s="390"/>
    </row>
    <row r="5530" spans="1:28">
      <c r="A5530" s="384" t="str">
        <f t="shared" ref="A5530:B5530" si="17870">A5515</f>
        <v>Lantai 3</v>
      </c>
      <c r="B5530" s="385">
        <f t="shared" si="17870"/>
        <v>42</v>
      </c>
      <c r="C5530" s="393" t="s">
        <v>209</v>
      </c>
      <c r="D5530" s="398">
        <f>VLOOKUP(D5515,'Detail Balok'!$C$10:$AU$140,22,FALSE)</f>
        <v>3</v>
      </c>
      <c r="E5530" s="388" t="s">
        <v>16</v>
      </c>
      <c r="F5530" s="388">
        <f>VLOOKUP(D5515,'Detail Balok'!$C$10:$AU$140,24,FALSE)</f>
        <v>16</v>
      </c>
      <c r="G5530" s="388"/>
      <c r="H5530" s="395"/>
      <c r="I5530" s="388" t="s">
        <v>203</v>
      </c>
      <c r="J5530" s="399">
        <f t="shared" ref="J5530:J5532" si="17871">+J5522</f>
        <v>0.78125</v>
      </c>
      <c r="K5530" s="400" t="s">
        <v>204</v>
      </c>
      <c r="L5530" s="399">
        <f t="shared" ref="L5530" si="17872">MAX(VLOOKUP(F5530,N$6:P$15,3,FALSE)/1000,2/3*D5520/1000)+F$16*F5530/1000</f>
        <v>0.192</v>
      </c>
      <c r="M5530" s="399" t="s">
        <v>176</v>
      </c>
      <c r="N5530" s="399">
        <f t="shared" ref="N5530:N5532" si="17873">J5530+L5530</f>
        <v>0.97324999999999995</v>
      </c>
      <c r="O5530" s="399" t="s">
        <v>204</v>
      </c>
      <c r="P5530" s="389">
        <f t="shared" ref="P5530" si="17874">D5530-D5531</f>
        <v>0</v>
      </c>
      <c r="Q5530" s="399" t="s">
        <v>125</v>
      </c>
      <c r="R5530" s="399">
        <f t="shared" ref="R5530" si="17875">IF(P5530&gt;0,$F$18*F5530/1000,0)</f>
        <v>0</v>
      </c>
      <c r="S5530" s="399" t="s">
        <v>205</v>
      </c>
      <c r="T5530" s="399" t="s">
        <v>125</v>
      </c>
      <c r="U5530" s="401">
        <f t="shared" ref="U5530:U5532" si="17876">0.006165*F5530^2</f>
        <v>1.5782400000000001</v>
      </c>
      <c r="V5530" s="399"/>
      <c r="W5530" s="399"/>
      <c r="X5530" s="399" t="s">
        <v>125</v>
      </c>
      <c r="Y5530" s="389">
        <f t="shared" ref="Y5530" si="17877">D5521</f>
        <v>1</v>
      </c>
      <c r="Z5530" s="400" t="s">
        <v>176</v>
      </c>
      <c r="AA5530" s="402">
        <f t="shared" ref="AA5530" si="17878">IF(AA5533=0,(D5530*N5530+P5530*R5530)*U5530*Y5530,0)</f>
        <v>0</v>
      </c>
      <c r="AB5530" s="403"/>
    </row>
    <row r="5531" spans="1:28">
      <c r="A5531" s="384" t="str">
        <f t="shared" ref="A5531:B5531" si="17879">A5515</f>
        <v>Lantai 3</v>
      </c>
      <c r="B5531" s="385">
        <f t="shared" si="17879"/>
        <v>42</v>
      </c>
      <c r="C5531" s="393" t="s">
        <v>210</v>
      </c>
      <c r="D5531" s="398">
        <f>VLOOKUP(D5515,'Detail Balok'!$C$10:$AU$140,25,FALSE)</f>
        <v>3</v>
      </c>
      <c r="E5531" s="388" t="s">
        <v>16</v>
      </c>
      <c r="F5531" s="388">
        <f>VLOOKUP(D5515,'Detail Balok'!$C$10:$AU$140,27,FALSE)</f>
        <v>16</v>
      </c>
      <c r="G5531" s="388"/>
      <c r="H5531" s="395"/>
      <c r="I5531" s="388" t="s">
        <v>203</v>
      </c>
      <c r="J5531" s="399">
        <f t="shared" si="17871"/>
        <v>1.5625</v>
      </c>
      <c r="K5531" s="400" t="s">
        <v>204</v>
      </c>
      <c r="L5531" s="399"/>
      <c r="M5531" s="399" t="s">
        <v>176</v>
      </c>
      <c r="N5531" s="399">
        <f t="shared" si="17873"/>
        <v>1.5625</v>
      </c>
      <c r="O5531" s="399" t="s">
        <v>204</v>
      </c>
      <c r="P5531" s="389">
        <f t="shared" ref="P5531" si="17880">MAX(D5531-D5530,D5531-D5532)</f>
        <v>0</v>
      </c>
      <c r="Q5531" s="399" t="s">
        <v>125</v>
      </c>
      <c r="R5531" s="399">
        <f t="shared" ref="R5531" si="17881">IF(P5531&gt;0,2*(1-2*$F$19-1/2)*D5518/1000,0)</f>
        <v>0</v>
      </c>
      <c r="S5531" s="399" t="s">
        <v>205</v>
      </c>
      <c r="T5531" s="399" t="s">
        <v>125</v>
      </c>
      <c r="U5531" s="401">
        <f t="shared" si="17876"/>
        <v>1.5782400000000001</v>
      </c>
      <c r="V5531" s="399"/>
      <c r="W5531" s="399"/>
      <c r="X5531" s="399" t="s">
        <v>125</v>
      </c>
      <c r="Y5531" s="389">
        <f t="shared" ref="Y5531" si="17882">D5521</f>
        <v>1</v>
      </c>
      <c r="Z5531" s="400" t="s">
        <v>176</v>
      </c>
      <c r="AA5531" s="402">
        <f t="shared" ref="AA5531" si="17883">IF(AA5533=0,(D5531*N5531+P5531*R5531)*U5531*Y5531,0)</f>
        <v>0</v>
      </c>
      <c r="AB5531" s="403"/>
    </row>
    <row r="5532" spans="1:28">
      <c r="A5532" s="384" t="str">
        <f t="shared" ref="A5532:B5532" si="17884">A5515</f>
        <v>Lantai 3</v>
      </c>
      <c r="B5532" s="385">
        <f t="shared" si="17884"/>
        <v>42</v>
      </c>
      <c r="C5532" s="393" t="s">
        <v>209</v>
      </c>
      <c r="D5532" s="398">
        <f>VLOOKUP(D5515,'Detail Balok'!$C$10:$AU$140,28,FALSE)</f>
        <v>3</v>
      </c>
      <c r="E5532" s="388" t="s">
        <v>16</v>
      </c>
      <c r="F5532" s="388">
        <f>VLOOKUP(D5515,'Detail Balok'!$C$10:$AU$140,30,FALSE)</f>
        <v>16</v>
      </c>
      <c r="G5532" s="388"/>
      <c r="H5532" s="395"/>
      <c r="I5532" s="388" t="s">
        <v>203</v>
      </c>
      <c r="J5532" s="399">
        <f t="shared" si="17871"/>
        <v>0.78125</v>
      </c>
      <c r="K5532" s="400" t="s">
        <v>204</v>
      </c>
      <c r="L5532" s="399">
        <f t="shared" ref="L5532" si="17885">MAX(VLOOKUP(F5532,N$6:P$15,3,FALSE)/1000,2/3*D5520/1000)+F$16*F5532/1000</f>
        <v>0.192</v>
      </c>
      <c r="M5532" s="399" t="s">
        <v>176</v>
      </c>
      <c r="N5532" s="399">
        <f t="shared" si="17873"/>
        <v>0.97324999999999995</v>
      </c>
      <c r="O5532" s="399" t="s">
        <v>204</v>
      </c>
      <c r="P5532" s="389">
        <f t="shared" ref="P5532" si="17886">D5532-D5531</f>
        <v>0</v>
      </c>
      <c r="Q5532" s="399" t="s">
        <v>125</v>
      </c>
      <c r="R5532" s="399">
        <f t="shared" ref="R5532" si="17887">IF(P5532&gt;0,$F$18*F5532/1000,0)</f>
        <v>0</v>
      </c>
      <c r="S5532" s="399" t="s">
        <v>205</v>
      </c>
      <c r="T5532" s="399" t="s">
        <v>125</v>
      </c>
      <c r="U5532" s="401">
        <f t="shared" si="17876"/>
        <v>1.5782400000000001</v>
      </c>
      <c r="V5532" s="399"/>
      <c r="W5532" s="399"/>
      <c r="X5532" s="399" t="s">
        <v>125</v>
      </c>
      <c r="Y5532" s="389">
        <f t="shared" ref="Y5532" si="17888">D5521</f>
        <v>1</v>
      </c>
      <c r="Z5532" s="400" t="s">
        <v>176</v>
      </c>
      <c r="AA5532" s="402">
        <f t="shared" ref="AA5532" si="17889">IF(AA5533=0,(D5532*N5532+P5532*R5532)*U5532*Y5532,0)</f>
        <v>0</v>
      </c>
      <c r="AB5532" s="403"/>
    </row>
    <row r="5533" spans="1:28">
      <c r="A5533" s="384" t="str">
        <f t="shared" ref="A5533:B5533" si="17890">A5515</f>
        <v>Lantai 3</v>
      </c>
      <c r="B5533" s="385">
        <f t="shared" si="17890"/>
        <v>42</v>
      </c>
      <c r="C5533" s="393"/>
      <c r="D5533" s="398">
        <f t="shared" ref="D5533" si="17891">IF(AND(D5530=D5531,D5531=D5532,D5530=D5532),D5530,0)</f>
        <v>3</v>
      </c>
      <c r="E5533" s="388" t="s">
        <v>16</v>
      </c>
      <c r="F5533" s="388">
        <f t="shared" ref="F5533" si="17892">IF(AND(F5530=F5531,F5530=F5532,F5531=F5532),F5530,0)</f>
        <v>16</v>
      </c>
      <c r="G5533" s="388"/>
      <c r="H5533" s="395"/>
      <c r="I5533" s="388"/>
      <c r="J5533" s="396"/>
      <c r="K5533" s="396"/>
      <c r="L5533" s="404" t="s">
        <v>207</v>
      </c>
      <c r="M5533" s="399" t="s">
        <v>176</v>
      </c>
      <c r="N5533" s="399">
        <f t="shared" ref="N5533" si="17893">IF(AND(D5530=D5531,D5530=D5532,D5531=D5532,F5530=F5531,F5530=F5532,F5531=F5532),SUM(N5530:N5532),0)</f>
        <v>3.5090000000000003</v>
      </c>
      <c r="O5533" s="399" t="s">
        <v>204</v>
      </c>
      <c r="P5533" s="389">
        <f t="shared" ref="P5533" si="17894">IF(N5533&gt;12,ROUNDDOWN(N5533/12,0),0)</f>
        <v>0</v>
      </c>
      <c r="Q5533" s="399" t="s">
        <v>125</v>
      </c>
      <c r="R5533" s="399">
        <f t="shared" ref="R5533" si="17895">IF(P5533&gt;0,MAX(VLOOKUP(F5533,$D$6:$G$15,3,FALSE),600),0)/1000</f>
        <v>0</v>
      </c>
      <c r="S5533" s="396"/>
      <c r="T5533" s="396" t="s">
        <v>125</v>
      </c>
      <c r="U5533" s="401">
        <f t="shared" ref="U5533" si="17896">U5532</f>
        <v>1.5782400000000001</v>
      </c>
      <c r="V5533" s="396" t="s">
        <v>125</v>
      </c>
      <c r="W5533" s="399">
        <f t="shared" ref="W5533" si="17897">D5533</f>
        <v>3</v>
      </c>
      <c r="X5533" s="399" t="s">
        <v>125</v>
      </c>
      <c r="Y5533" s="389">
        <f t="shared" ref="Y5533" si="17898">Y5532</f>
        <v>1</v>
      </c>
      <c r="Z5533" s="400" t="s">
        <v>176</v>
      </c>
      <c r="AA5533" s="402">
        <f t="shared" ref="AA5533" si="17899">(N5533+P5533*R5533/1000)*U5533*W5533*Y5533</f>
        <v>16.614132480000002</v>
      </c>
      <c r="AB5533" s="403"/>
    </row>
    <row r="5534" spans="1:28">
      <c r="A5534" s="384"/>
      <c r="B5534" s="385"/>
      <c r="C5534" s="393"/>
      <c r="D5534" s="394"/>
      <c r="E5534" s="388"/>
      <c r="F5534" s="388"/>
      <c r="G5534" s="388"/>
      <c r="H5534" s="395"/>
      <c r="I5534" s="388"/>
      <c r="J5534" s="399"/>
      <c r="K5534" s="396"/>
      <c r="L5534" s="396"/>
      <c r="M5534" s="396"/>
      <c r="N5534" s="396"/>
      <c r="O5534" s="396"/>
      <c r="P5534" s="389"/>
      <c r="Q5534" s="396"/>
      <c r="R5534" s="396"/>
      <c r="S5534" s="396"/>
      <c r="T5534" s="396"/>
      <c r="U5534" s="401"/>
      <c r="V5534" s="396"/>
      <c r="W5534" s="388"/>
      <c r="X5534" s="396"/>
      <c r="Y5534" s="389"/>
      <c r="Z5534" s="396"/>
      <c r="AA5534" s="388"/>
      <c r="AB5534" s="390"/>
    </row>
    <row r="5535" spans="1:28">
      <c r="A5535" s="384" t="str">
        <f t="shared" ref="A5535:B5535" si="17900">A5515</f>
        <v>Lantai 3</v>
      </c>
      <c r="B5535" s="385">
        <f t="shared" si="17900"/>
        <v>42</v>
      </c>
      <c r="C5535" s="393" t="s">
        <v>211</v>
      </c>
      <c r="D5535" s="398">
        <f>VLOOKUP(D5515,'Detail Balok'!$C$10:$AU$140,31,FALSE)</f>
        <v>0</v>
      </c>
      <c r="E5535" s="388" t="s">
        <v>16</v>
      </c>
      <c r="F5535" s="388">
        <f>VLOOKUP(D5515,'Detail Balok'!$C$10:$AU$140,33,FALSE)</f>
        <v>10</v>
      </c>
      <c r="G5535" s="405" t="s">
        <v>157</v>
      </c>
      <c r="H5535" s="395">
        <f>VLOOKUP(D5515,'Detail Balok'!$C$10:$AU$140,35,FALSE)</f>
        <v>100</v>
      </c>
      <c r="I5535" s="388"/>
      <c r="J5535" s="400">
        <f t="shared" ref="J5535" si="17901">(IF(D5535=0,(2*(D5516+G5516))-(F$5*8),IF(D5535=3,(2*(D5516+G5516))-(F$5*8)+(G5516-2*F$5),IF(D5535=4,(2*(D5516+G5516))-(F$5*8)+2*(G5516-2*F$5)))))/1000</f>
        <v>0.88</v>
      </c>
      <c r="K5535" s="400" t="s">
        <v>204</v>
      </c>
      <c r="L5535" s="399">
        <f t="shared" ref="L5535:L5537" si="17902">IF(D5535=0,2*MAX(6*F5535,75),(D5535-1)*2*MAX(6*F5535,75))/1000</f>
        <v>0.15</v>
      </c>
      <c r="M5535" s="399" t="s">
        <v>176</v>
      </c>
      <c r="N5535" s="399">
        <f t="shared" ref="N5535:N5537" si="17903">J5535+L5535</f>
        <v>1.03</v>
      </c>
      <c r="O5535" s="399"/>
      <c r="P5535" s="389"/>
      <c r="Q5535" s="399"/>
      <c r="R5535" s="399"/>
      <c r="S5535" s="399"/>
      <c r="T5535" s="399" t="s">
        <v>125</v>
      </c>
      <c r="U5535" s="401">
        <f t="shared" ref="U5535:U5537" si="17904">0.006165*F5535^2</f>
        <v>0.61650000000000005</v>
      </c>
      <c r="V5535" s="399" t="s">
        <v>125</v>
      </c>
      <c r="W5535" s="399">
        <f t="shared" ref="W5535" si="17905">IF(D5518&gt;4*G5516,ROUND(MAX(D5518/4,2*G5516)/H5535,0)+1,ROUND(D5518/H5535,0)+1)</f>
        <v>9</v>
      </c>
      <c r="X5535" s="399" t="s">
        <v>125</v>
      </c>
      <c r="Y5535" s="389">
        <f t="shared" ref="Y5535" si="17906">D5521</f>
        <v>1</v>
      </c>
      <c r="Z5535" s="400" t="s">
        <v>176</v>
      </c>
      <c r="AA5535" s="402">
        <f t="shared" ref="AA5535:AA5537" si="17907">N5535*U5535*W5535*Y5535</f>
        <v>5.7149550000000007</v>
      </c>
      <c r="AB5535" s="403"/>
    </row>
    <row r="5536" spans="1:28">
      <c r="A5536" s="384" t="str">
        <f t="shared" ref="A5536:B5536" si="17908">A5515</f>
        <v>Lantai 3</v>
      </c>
      <c r="B5536" s="385">
        <f t="shared" si="17908"/>
        <v>42</v>
      </c>
      <c r="C5536" s="393" t="s">
        <v>212</v>
      </c>
      <c r="D5536" s="398">
        <f>VLOOKUP(D5515,'Detail Balok'!$C$10:$AU$140,36,FALSE)</f>
        <v>0</v>
      </c>
      <c r="E5536" s="388" t="s">
        <v>16</v>
      </c>
      <c r="F5536" s="388">
        <f>VLOOKUP(D5515,'Detail Balok'!$C$10:$AU$140,38,FALSE)</f>
        <v>10</v>
      </c>
      <c r="G5536" s="405" t="s">
        <v>157</v>
      </c>
      <c r="H5536" s="395">
        <f>VLOOKUP(D5515,'Detail Balok'!$C$10:$AU$140,40,FALSE)</f>
        <v>200</v>
      </c>
      <c r="I5536" s="388"/>
      <c r="J5536" s="400">
        <f t="shared" ref="J5536" si="17909">(IF(D5536=0,(2*(D5516+G5516))-(F$5*8),IF(D5536=3,(2*(D5516+G5516))-(F$5*8)+(G5516-2*F$5),IF(D5536=4,(2*(D5516+G5516))-(F$5*8)+2*(G5516-2*F$5)))))/1000</f>
        <v>0.88</v>
      </c>
      <c r="K5536" s="400" t="s">
        <v>204</v>
      </c>
      <c r="L5536" s="399">
        <f t="shared" si="17902"/>
        <v>0.15</v>
      </c>
      <c r="M5536" s="399" t="s">
        <v>176</v>
      </c>
      <c r="N5536" s="399">
        <f t="shared" si="17903"/>
        <v>1.03</v>
      </c>
      <c r="O5536" s="399"/>
      <c r="P5536" s="389"/>
      <c r="Q5536" s="399"/>
      <c r="R5536" s="399"/>
      <c r="S5536" s="399"/>
      <c r="T5536" s="399" t="s">
        <v>125</v>
      </c>
      <c r="U5536" s="401">
        <f t="shared" si="17904"/>
        <v>0.61650000000000005</v>
      </c>
      <c r="V5536" s="399" t="s">
        <v>125</v>
      </c>
      <c r="W5536" s="399">
        <f t="shared" ref="W5536" si="17910">IF(D5518-MAX(D5518/4,2*G5516)*2&gt;0,ROUND((D5518-MAX(D5518/4,2*G5516)*2)/H5536,0),0)</f>
        <v>8</v>
      </c>
      <c r="X5536" s="399" t="s">
        <v>125</v>
      </c>
      <c r="Y5536" s="389">
        <f t="shared" ref="Y5536" si="17911">D5521</f>
        <v>1</v>
      </c>
      <c r="Z5536" s="400" t="s">
        <v>176</v>
      </c>
      <c r="AA5536" s="402">
        <f t="shared" si="17907"/>
        <v>5.0799600000000007</v>
      </c>
      <c r="AB5536" s="403"/>
    </row>
    <row r="5537" spans="1:28">
      <c r="A5537" s="384" t="str">
        <f t="shared" ref="A5537:B5537" si="17912">A5515</f>
        <v>Lantai 3</v>
      </c>
      <c r="B5537" s="385">
        <f t="shared" si="17912"/>
        <v>42</v>
      </c>
      <c r="C5537" s="393" t="s">
        <v>211</v>
      </c>
      <c r="D5537" s="398">
        <f>VLOOKUP(D5515,'Detail Balok'!$C$10:$AU$140,41,FALSE)</f>
        <v>0</v>
      </c>
      <c r="E5537" s="388" t="s">
        <v>16</v>
      </c>
      <c r="F5537" s="388">
        <f>VLOOKUP(D5515,'Detail Balok'!$C$10:$AU$140,43,FALSE)</f>
        <v>10</v>
      </c>
      <c r="G5537" s="405" t="s">
        <v>157</v>
      </c>
      <c r="H5537" s="395">
        <f>VLOOKUP(D5515,'Detail Balok'!$C$10:$AU$140,45,FALSE)</f>
        <v>100</v>
      </c>
      <c r="I5537" s="388"/>
      <c r="J5537" s="400">
        <f t="shared" ref="J5537" si="17913">(IF(D5537=0,(2*(D5516+G5516))-(F$5*8),IF(D5537=3,(2*(D5516+G5516))-(F$5*8)+(G5516-2*F$5),IF(D5537=4,(2*(D5516+G5516))-(F$5*8)+2*(G5516-2*F$5)))))/1000</f>
        <v>0.88</v>
      </c>
      <c r="K5537" s="400" t="s">
        <v>204</v>
      </c>
      <c r="L5537" s="399">
        <f t="shared" si="17902"/>
        <v>0.15</v>
      </c>
      <c r="M5537" s="399" t="s">
        <v>176</v>
      </c>
      <c r="N5537" s="399">
        <f t="shared" si="17903"/>
        <v>1.03</v>
      </c>
      <c r="O5537" s="399"/>
      <c r="P5537" s="389"/>
      <c r="Q5537" s="399"/>
      <c r="R5537" s="399"/>
      <c r="S5537" s="399"/>
      <c r="T5537" s="399" t="s">
        <v>125</v>
      </c>
      <c r="U5537" s="401">
        <f t="shared" si="17904"/>
        <v>0.61650000000000005</v>
      </c>
      <c r="V5537" s="399" t="s">
        <v>125</v>
      </c>
      <c r="W5537" s="399">
        <f t="shared" ref="W5537" si="17914">IF(D5518&gt;4*G5516,ROUND(MAX(D5518/4,2*G5516)/H5537,0)+1,0)</f>
        <v>9</v>
      </c>
      <c r="X5537" s="399" t="s">
        <v>125</v>
      </c>
      <c r="Y5537" s="389">
        <f t="shared" ref="Y5537" si="17915">D5521</f>
        <v>1</v>
      </c>
      <c r="Z5537" s="400" t="s">
        <v>176</v>
      </c>
      <c r="AA5537" s="402">
        <f t="shared" si="17907"/>
        <v>5.7149550000000007</v>
      </c>
      <c r="AB5537" s="403"/>
    </row>
    <row r="5538" spans="1:28">
      <c r="A5538" s="384"/>
      <c r="B5538" s="385"/>
      <c r="C5538" s="393"/>
      <c r="D5538" s="394"/>
      <c r="E5538" s="388"/>
      <c r="F5538" s="388"/>
      <c r="G5538" s="388"/>
      <c r="H5538" s="395"/>
      <c r="I5538" s="388"/>
      <c r="J5538" s="399"/>
      <c r="K5538" s="396"/>
      <c r="L5538" s="396"/>
      <c r="M5538" s="396"/>
      <c r="N5538" s="396"/>
      <c r="O5538" s="396"/>
      <c r="P5538" s="389"/>
      <c r="Q5538" s="396"/>
      <c r="R5538" s="396"/>
      <c r="S5538" s="396"/>
      <c r="T5538" s="396"/>
      <c r="U5538" s="401"/>
      <c r="V5538" s="396"/>
      <c r="W5538" s="388"/>
      <c r="X5538" s="396"/>
      <c r="Y5538" s="389"/>
      <c r="Z5538" s="396"/>
      <c r="AA5538" s="388"/>
      <c r="AB5538" s="390"/>
    </row>
    <row r="5539" spans="1:28">
      <c r="A5539" s="384" t="str">
        <f t="shared" ref="A5539:B5539" si="17916">A5515</f>
        <v>Lantai 3</v>
      </c>
      <c r="B5539" s="385">
        <f t="shared" si="17916"/>
        <v>42</v>
      </c>
      <c r="C5539" s="393" t="s">
        <v>213</v>
      </c>
      <c r="D5539" s="398">
        <f>VLOOKUP(D5515,'Detail Balok'!$C$10:$BJ$140,46,FALSE)</f>
        <v>0</v>
      </c>
      <c r="E5539" s="388" t="s">
        <v>16</v>
      </c>
      <c r="F5539" s="388">
        <f>VLOOKUP(D5515,'Detail Balok'!$C$10:$BJ$140,48,FALSE)</f>
        <v>0</v>
      </c>
      <c r="G5539" s="405" t="s">
        <v>157</v>
      </c>
      <c r="H5539" s="395">
        <f>VLOOKUP(D5515,'Detail Balok'!$C$10:$BJ$140,50,FALSE)</f>
        <v>100</v>
      </c>
      <c r="I5539" s="388"/>
      <c r="J5539" s="399">
        <f t="shared" ref="J5539" si="17917">(D5516-2*F$5)/1000</f>
        <v>0.12</v>
      </c>
      <c r="K5539" s="400" t="s">
        <v>204</v>
      </c>
      <c r="L5539" s="399">
        <f t="shared" ref="L5539:L5541" si="17918">IF(D5539=0,2*MAX(6*F5539,75),(D5539-1)*2*MAX(6*F5539,75))/1000</f>
        <v>0.15</v>
      </c>
      <c r="M5539" s="399" t="s">
        <v>176</v>
      </c>
      <c r="N5539" s="399">
        <f t="shared" ref="N5539:N5541" si="17919">J5539+L5539</f>
        <v>0.27</v>
      </c>
      <c r="O5539" s="399"/>
      <c r="P5539" s="399"/>
      <c r="Q5539" s="399"/>
      <c r="R5539" s="399"/>
      <c r="S5539" s="399"/>
      <c r="T5539" s="399" t="s">
        <v>125</v>
      </c>
      <c r="U5539" s="401">
        <f t="shared" ref="U5539:U5541" si="17920">0.006165*F5539^2</f>
        <v>0</v>
      </c>
      <c r="V5539" s="399" t="s">
        <v>125</v>
      </c>
      <c r="W5539" s="399">
        <f t="shared" ref="W5539:W5541" si="17921">W5535</f>
        <v>9</v>
      </c>
      <c r="X5539" s="399" t="s">
        <v>125</v>
      </c>
      <c r="Y5539" s="389">
        <f t="shared" ref="Y5539" si="17922">D5525</f>
        <v>3</v>
      </c>
      <c r="Z5539" s="400" t="s">
        <v>176</v>
      </c>
      <c r="AA5539" s="402">
        <f t="shared" ref="AA5539:AA5541" si="17923">N5539*U5539*W5539*Y5539</f>
        <v>0</v>
      </c>
      <c r="AB5539" s="403"/>
    </row>
    <row r="5540" spans="1:28">
      <c r="A5540" s="384" t="str">
        <f t="shared" ref="A5540:B5540" si="17924">A5515</f>
        <v>Lantai 3</v>
      </c>
      <c r="B5540" s="385">
        <f t="shared" si="17924"/>
        <v>42</v>
      </c>
      <c r="C5540" s="393" t="s">
        <v>214</v>
      </c>
      <c r="D5540" s="398">
        <f>VLOOKUP(D5515,'Detail Balok'!$C$10:$BJ$140,51,FALSE)</f>
        <v>0</v>
      </c>
      <c r="E5540" s="388" t="s">
        <v>16</v>
      </c>
      <c r="F5540" s="388">
        <f>VLOOKUP(D5515,'Detail Balok'!$C$10:$BJ$140,53,FALSE)</f>
        <v>0</v>
      </c>
      <c r="G5540" s="405" t="s">
        <v>157</v>
      </c>
      <c r="H5540" s="395">
        <f>VLOOKUP(D5515,'Detail Balok'!$C$10:$BJ$140,55,FALSE)</f>
        <v>100</v>
      </c>
      <c r="I5540" s="388"/>
      <c r="J5540" s="399">
        <f t="shared" ref="J5540" si="17925">(D5516-2*F$5)/1000</f>
        <v>0.12</v>
      </c>
      <c r="K5540" s="400" t="s">
        <v>204</v>
      </c>
      <c r="L5540" s="399">
        <f t="shared" si="17918"/>
        <v>0.15</v>
      </c>
      <c r="M5540" s="399" t="s">
        <v>176</v>
      </c>
      <c r="N5540" s="399">
        <f t="shared" si="17919"/>
        <v>0.27</v>
      </c>
      <c r="O5540" s="399"/>
      <c r="P5540" s="399"/>
      <c r="Q5540" s="399"/>
      <c r="R5540" s="399"/>
      <c r="S5540" s="399"/>
      <c r="T5540" s="399" t="s">
        <v>125</v>
      </c>
      <c r="U5540" s="401">
        <f t="shared" si="17920"/>
        <v>0</v>
      </c>
      <c r="V5540" s="399" t="s">
        <v>125</v>
      </c>
      <c r="W5540" s="399">
        <f t="shared" si="17921"/>
        <v>8</v>
      </c>
      <c r="X5540" s="399" t="s">
        <v>125</v>
      </c>
      <c r="Y5540" s="389">
        <f t="shared" ref="Y5540" si="17926">D5525</f>
        <v>3</v>
      </c>
      <c r="Z5540" s="400" t="s">
        <v>176</v>
      </c>
      <c r="AA5540" s="402">
        <f t="shared" si="17923"/>
        <v>0</v>
      </c>
      <c r="AB5540" s="403"/>
    </row>
    <row r="5541" spans="1:28">
      <c r="A5541" s="384" t="str">
        <f t="shared" ref="A5541:B5541" si="17927">A5515</f>
        <v>Lantai 3</v>
      </c>
      <c r="B5541" s="385">
        <f t="shared" si="17927"/>
        <v>42</v>
      </c>
      <c r="C5541" s="393" t="s">
        <v>213</v>
      </c>
      <c r="D5541" s="398">
        <f>VLOOKUP(D5515,'Detail Balok'!$C$10:$BJ$140,56,FALSE)</f>
        <v>0</v>
      </c>
      <c r="E5541" s="388" t="s">
        <v>16</v>
      </c>
      <c r="F5541" s="388">
        <f>VLOOKUP(D5515,'Detail Balok'!$C$10:$BJ$140,58,FALSE)</f>
        <v>0</v>
      </c>
      <c r="G5541" s="405" t="s">
        <v>157</v>
      </c>
      <c r="H5541" s="395">
        <f>VLOOKUP(D5515,'Detail Balok'!$C$10:$BJ$140,60,FALSE)</f>
        <v>100</v>
      </c>
      <c r="I5541" s="388"/>
      <c r="J5541" s="399">
        <f t="shared" ref="J5541" si="17928">(D5516-2*F$5)/1000</f>
        <v>0.12</v>
      </c>
      <c r="K5541" s="400" t="s">
        <v>204</v>
      </c>
      <c r="L5541" s="399">
        <f t="shared" si="17918"/>
        <v>0.15</v>
      </c>
      <c r="M5541" s="399" t="s">
        <v>176</v>
      </c>
      <c r="N5541" s="399">
        <f t="shared" si="17919"/>
        <v>0.27</v>
      </c>
      <c r="O5541" s="399"/>
      <c r="P5541" s="399"/>
      <c r="Q5541" s="399"/>
      <c r="R5541" s="399"/>
      <c r="S5541" s="399"/>
      <c r="T5541" s="399" t="s">
        <v>125</v>
      </c>
      <c r="U5541" s="401">
        <f t="shared" si="17920"/>
        <v>0</v>
      </c>
      <c r="V5541" s="399" t="s">
        <v>125</v>
      </c>
      <c r="W5541" s="399">
        <f t="shared" si="17921"/>
        <v>9</v>
      </c>
      <c r="X5541" s="399" t="s">
        <v>125</v>
      </c>
      <c r="Y5541" s="389">
        <f t="shared" ref="Y5541" si="17929">D5525</f>
        <v>3</v>
      </c>
      <c r="Z5541" s="400" t="s">
        <v>176</v>
      </c>
      <c r="AA5541" s="402">
        <f t="shared" si="17923"/>
        <v>0</v>
      </c>
      <c r="AB5541" s="403"/>
    </row>
    <row r="5542" spans="1:28">
      <c r="A5542" s="391"/>
      <c r="B5542" s="392"/>
      <c r="C5542" s="392"/>
      <c r="D5542" s="394"/>
      <c r="E5542" s="388"/>
      <c r="F5542" s="388"/>
      <c r="G5542" s="388"/>
      <c r="H5542" s="395"/>
      <c r="I5542" s="388"/>
      <c r="J5542" s="402"/>
      <c r="K5542" s="388"/>
      <c r="L5542" s="388"/>
      <c r="M5542" s="388"/>
      <c r="N5542" s="388"/>
      <c r="O5542" s="388"/>
      <c r="P5542" s="388"/>
      <c r="Q5542" s="388"/>
      <c r="R5542" s="388"/>
      <c r="S5542" s="388"/>
      <c r="T5542" s="388"/>
      <c r="U5542" s="388"/>
      <c r="V5542" s="388"/>
      <c r="W5542" s="388"/>
      <c r="X5542" s="388"/>
      <c r="Y5542" s="389"/>
      <c r="Z5542" s="388"/>
      <c r="AA5542" s="402"/>
      <c r="AB5542" s="403"/>
    </row>
    <row r="5543" spans="1:28" ht="15.75" thickBot="1">
      <c r="A5543" s="406"/>
      <c r="B5543" s="407"/>
      <c r="C5543" s="407"/>
      <c r="D5543" s="408"/>
      <c r="E5543" s="409"/>
      <c r="F5543" s="409"/>
      <c r="G5543" s="409"/>
      <c r="H5543" s="410"/>
      <c r="I5543" s="409"/>
      <c r="J5543" s="409"/>
      <c r="K5543" s="409"/>
      <c r="L5543" s="409"/>
      <c r="M5543" s="409"/>
      <c r="N5543" s="409"/>
      <c r="O5543" s="409"/>
      <c r="P5543" s="409"/>
      <c r="Q5543" s="409"/>
      <c r="R5543" s="409"/>
      <c r="S5543" s="409"/>
      <c r="T5543" s="409"/>
      <c r="U5543" s="409"/>
      <c r="V5543" s="409"/>
      <c r="W5543" s="409"/>
      <c r="X5543" s="409"/>
      <c r="Y5543" s="411"/>
      <c r="Z5543" s="409"/>
      <c r="AA5543" s="412"/>
      <c r="AB5543" s="413"/>
    </row>
    <row r="5544" spans="1:28">
      <c r="A5544" s="377"/>
      <c r="B5544" s="378"/>
      <c r="C5544" s="378"/>
      <c r="D5544" s="379"/>
      <c r="E5544" s="380"/>
      <c r="F5544" s="380"/>
      <c r="G5544" s="380"/>
      <c r="H5544" s="381"/>
      <c r="I5544" s="380"/>
      <c r="J5544" s="380"/>
      <c r="K5544" s="380"/>
      <c r="L5544" s="380"/>
      <c r="M5544" s="380"/>
      <c r="N5544" s="380"/>
      <c r="O5544" s="380"/>
      <c r="P5544" s="380"/>
      <c r="Q5544" s="380"/>
      <c r="R5544" s="380"/>
      <c r="S5544" s="380"/>
      <c r="T5544" s="380"/>
      <c r="U5544" s="380"/>
      <c r="V5544" s="380"/>
      <c r="W5544" s="380"/>
      <c r="X5544" s="380"/>
      <c r="Y5544" s="382"/>
      <c r="Z5544" s="380"/>
      <c r="AA5544" s="380"/>
      <c r="AB5544" s="383"/>
    </row>
    <row r="5545" spans="1:28">
      <c r="A5545" s="384" t="str">
        <f t="shared" si="17825"/>
        <v>Lantai 3</v>
      </c>
      <c r="B5545" s="385">
        <f t="shared" si="17826"/>
        <v>43</v>
      </c>
      <c r="C5545" s="386" t="str">
        <f t="shared" ref="C5545" si="17930">CONCATENATE(A5545," no. ",B5545)</f>
        <v>Lantai 3 no. 43</v>
      </c>
      <c r="D5545" s="2562" t="str">
        <f>VLOOKUP(C5545,'Data Panjang Balok'!$C$9:$N$254,2,FALSE)</f>
        <v>B24-2</v>
      </c>
      <c r="E5545" s="2576"/>
      <c r="F5545" s="2576"/>
      <c r="G5545" s="2576"/>
      <c r="H5545" s="2577"/>
      <c r="I5545" s="387"/>
      <c r="J5545" s="388"/>
      <c r="K5545" s="388"/>
      <c r="L5545" s="388"/>
      <c r="M5545" s="388"/>
      <c r="N5545" s="388"/>
      <c r="O5545" s="388"/>
      <c r="P5545" s="388"/>
      <c r="Q5545" s="388"/>
      <c r="R5545" s="388"/>
      <c r="S5545" s="388"/>
      <c r="T5545" s="388"/>
      <c r="U5545" s="388"/>
      <c r="V5545" s="388"/>
      <c r="W5545" s="388"/>
      <c r="X5545" s="388"/>
      <c r="Y5545" s="389"/>
      <c r="Z5545" s="388"/>
      <c r="AA5545" s="388"/>
      <c r="AB5545" s="390"/>
    </row>
    <row r="5546" spans="1:28">
      <c r="A5546" s="391"/>
      <c r="B5546" s="392"/>
      <c r="C5546" s="393" t="s">
        <v>118</v>
      </c>
      <c r="D5546" s="2578">
        <f>VLOOKUP(D5545,'Detail Balok'!$C$10:$AU$140,2,FALSE)</f>
        <v>200</v>
      </c>
      <c r="E5546" s="2579"/>
      <c r="F5546" s="388" t="s">
        <v>125</v>
      </c>
      <c r="G5546" s="2579">
        <f>VLOOKUP(D5545,'Detail Balok'!$C$10:$AU$140,3,FALSE)</f>
        <v>400</v>
      </c>
      <c r="H5546" s="2580"/>
      <c r="I5546" s="388"/>
      <c r="J5546" s="396"/>
      <c r="K5546" s="396"/>
      <c r="L5546" s="396"/>
      <c r="M5546" s="396"/>
      <c r="N5546" s="396"/>
      <c r="O5546" s="396"/>
      <c r="P5546" s="396"/>
      <c r="Q5546" s="396"/>
      <c r="R5546" s="396"/>
      <c r="S5546" s="396"/>
      <c r="T5546" s="396"/>
      <c r="U5546" s="388"/>
      <c r="V5546" s="396"/>
      <c r="W5546" s="388"/>
      <c r="X5546" s="396"/>
      <c r="Y5546" s="389"/>
      <c r="Z5546" s="396"/>
      <c r="AA5546" s="388"/>
      <c r="AB5546" s="390"/>
    </row>
    <row r="5547" spans="1:28">
      <c r="A5547" s="391"/>
      <c r="B5547" s="392"/>
      <c r="C5547" s="393" t="s">
        <v>198</v>
      </c>
      <c r="D5547" s="2562">
        <f>VLOOKUP(C5545,'Data Panjang Balok'!$C$9:$N$254,4,FALSE)</f>
        <v>3125</v>
      </c>
      <c r="E5547" s="2563"/>
      <c r="F5547" s="2563"/>
      <c r="G5547" s="2563"/>
      <c r="H5547" s="2564"/>
      <c r="I5547" s="397"/>
      <c r="J5547" s="396"/>
      <c r="K5547" s="396"/>
      <c r="L5547" s="396"/>
      <c r="M5547" s="396"/>
      <c r="N5547" s="396"/>
      <c r="O5547" s="396"/>
      <c r="P5547" s="396"/>
      <c r="Q5547" s="396"/>
      <c r="R5547" s="396"/>
      <c r="S5547" s="396"/>
      <c r="T5547" s="396"/>
      <c r="U5547" s="388"/>
      <c r="V5547" s="396"/>
      <c r="W5547" s="388"/>
      <c r="X5547" s="396"/>
      <c r="Y5547" s="389"/>
      <c r="Z5547" s="396"/>
      <c r="AA5547" s="388"/>
      <c r="AB5547" s="390"/>
    </row>
    <row r="5548" spans="1:28">
      <c r="A5548" s="391"/>
      <c r="B5548" s="392"/>
      <c r="C5548" s="393" t="s">
        <v>199</v>
      </c>
      <c r="D5548" s="2562">
        <f>VLOOKUP(C5545,'Data Panjang Balok'!$C$9:$N$254,7,FALSE)</f>
        <v>3125</v>
      </c>
      <c r="E5548" s="2563"/>
      <c r="F5548" s="2563"/>
      <c r="G5548" s="2563"/>
      <c r="H5548" s="2564"/>
      <c r="I5548" s="397"/>
      <c r="J5548" s="396"/>
      <c r="K5548" s="396"/>
      <c r="L5548" s="396"/>
      <c r="M5548" s="396"/>
      <c r="N5548" s="396"/>
      <c r="O5548" s="396"/>
      <c r="P5548" s="396"/>
      <c r="Q5548" s="396"/>
      <c r="R5548" s="396"/>
      <c r="S5548" s="396"/>
      <c r="T5548" s="396"/>
      <c r="U5548" s="388"/>
      <c r="V5548" s="396"/>
      <c r="W5548" s="388"/>
      <c r="X5548" s="396"/>
      <c r="Y5548" s="389"/>
      <c r="Z5548" s="396"/>
      <c r="AA5548" s="388"/>
      <c r="AB5548" s="390"/>
    </row>
    <row r="5549" spans="1:28">
      <c r="A5549" s="391"/>
      <c r="B5549" s="392"/>
      <c r="C5549" s="393" t="s">
        <v>200</v>
      </c>
      <c r="D5549" s="2562">
        <f>VLOOKUP(C5545,'Data Panjang Balok'!$C$9:$N$254,9,FALSE)</f>
        <v>0</v>
      </c>
      <c r="E5549" s="2563"/>
      <c r="F5549" s="2563"/>
      <c r="G5549" s="2563"/>
      <c r="H5549" s="2564"/>
      <c r="I5549" s="397"/>
      <c r="J5549" s="396"/>
      <c r="K5549" s="396"/>
      <c r="L5549" s="396"/>
      <c r="M5549" s="396"/>
      <c r="N5549" s="396"/>
      <c r="O5549" s="396"/>
      <c r="P5549" s="396"/>
      <c r="Q5549" s="396"/>
      <c r="R5549" s="396"/>
      <c r="S5549" s="396"/>
      <c r="T5549" s="396"/>
      <c r="U5549" s="388"/>
      <c r="V5549" s="396"/>
      <c r="W5549" s="388"/>
      <c r="X5549" s="396"/>
      <c r="Y5549" s="389"/>
      <c r="Z5549" s="396"/>
      <c r="AA5549" s="388"/>
      <c r="AB5549" s="390"/>
    </row>
    <row r="5550" spans="1:28">
      <c r="A5550" s="391"/>
      <c r="B5550" s="392"/>
      <c r="C5550" s="393" t="s">
        <v>201</v>
      </c>
      <c r="D5550" s="2562">
        <f>VLOOKUP(C5545,'Data Panjang Balok'!$C$9:$N$254,10,FALSE)</f>
        <v>0</v>
      </c>
      <c r="E5550" s="2563"/>
      <c r="F5550" s="2563"/>
      <c r="G5550" s="2563"/>
      <c r="H5550" s="2564"/>
      <c r="I5550" s="397"/>
      <c r="J5550" s="396"/>
      <c r="K5550" s="396"/>
      <c r="L5550" s="396"/>
      <c r="M5550" s="396"/>
      <c r="N5550" s="396"/>
      <c r="O5550" s="396"/>
      <c r="P5550" s="396"/>
      <c r="Q5550" s="396"/>
      <c r="R5550" s="396"/>
      <c r="S5550" s="396"/>
      <c r="T5550" s="396"/>
      <c r="U5550" s="388"/>
      <c r="V5550" s="396"/>
      <c r="W5550" s="388"/>
      <c r="X5550" s="396"/>
      <c r="Y5550" s="389"/>
      <c r="Z5550" s="396"/>
      <c r="AA5550" s="388"/>
      <c r="AB5550" s="390"/>
    </row>
    <row r="5551" spans="1:28">
      <c r="A5551" s="391"/>
      <c r="B5551" s="392"/>
      <c r="C5551" s="393" t="s">
        <v>48</v>
      </c>
      <c r="D5551" s="2562">
        <f>VLOOKUP(C5545,'Data Panjang Balok'!$C$9:$N$254,3,FALSE)</f>
        <v>1</v>
      </c>
      <c r="E5551" s="2563"/>
      <c r="F5551" s="2563"/>
      <c r="G5551" s="2563"/>
      <c r="H5551" s="2564"/>
      <c r="I5551" s="397"/>
      <c r="J5551" s="396"/>
      <c r="K5551" s="396"/>
      <c r="L5551" s="396"/>
      <c r="M5551" s="396"/>
      <c r="N5551" s="396"/>
      <c r="O5551" s="396"/>
      <c r="P5551" s="396"/>
      <c r="Q5551" s="396"/>
      <c r="R5551" s="396"/>
      <c r="S5551" s="396"/>
      <c r="T5551" s="396"/>
      <c r="U5551" s="388"/>
      <c r="V5551" s="396"/>
      <c r="W5551" s="388"/>
      <c r="X5551" s="396"/>
      <c r="Y5551" s="389"/>
      <c r="Z5551" s="396"/>
      <c r="AA5551" s="388"/>
      <c r="AB5551" s="390"/>
    </row>
    <row r="5552" spans="1:28">
      <c r="A5552" s="384" t="str">
        <f t="shared" ref="A5552:B5552" si="17931">A5545</f>
        <v>Lantai 3</v>
      </c>
      <c r="B5552" s="385">
        <f t="shared" si="17931"/>
        <v>43</v>
      </c>
      <c r="C5552" s="393" t="s">
        <v>202</v>
      </c>
      <c r="D5552" s="398">
        <f>VLOOKUP(D5545,'Detail Balok'!$C$10:$AU$140,4,FALSE)</f>
        <v>3</v>
      </c>
      <c r="E5552" s="388" t="s">
        <v>16</v>
      </c>
      <c r="F5552" s="388">
        <f>VLOOKUP(D5545,'Detail Balok'!$C$10:$AU$140,6,FALSE)</f>
        <v>16</v>
      </c>
      <c r="G5552" s="388"/>
      <c r="H5552" s="395"/>
      <c r="I5552" s="388" t="s">
        <v>203</v>
      </c>
      <c r="J5552" s="399">
        <f t="shared" ref="J5552" si="17932">+D5547/4/1000</f>
        <v>0.78125</v>
      </c>
      <c r="K5552" s="400" t="s">
        <v>204</v>
      </c>
      <c r="L5552" s="399">
        <f t="shared" ref="L5552" si="17933">MAX(VLOOKUP(F5552,N$6:P$15,3,FALSE)/1000,2/3*D5549/1000)+F$16*F5552/1000</f>
        <v>0.192</v>
      </c>
      <c r="M5552" s="399" t="s">
        <v>176</v>
      </c>
      <c r="N5552" s="399">
        <f t="shared" ref="N5552:N5554" si="17934">J5552+L5552</f>
        <v>0.97324999999999995</v>
      </c>
      <c r="O5552" s="399" t="s">
        <v>204</v>
      </c>
      <c r="P5552" s="389">
        <f t="shared" ref="P5552" si="17935">D5552-D5553</f>
        <v>0</v>
      </c>
      <c r="Q5552" s="399" t="s">
        <v>125</v>
      </c>
      <c r="R5552" s="399">
        <f t="shared" ref="R5552" si="17936">IF(P5552&gt;0,$F$18*F5552/1000,0)</f>
        <v>0</v>
      </c>
      <c r="S5552" s="399" t="s">
        <v>205</v>
      </c>
      <c r="T5552" s="399" t="s">
        <v>125</v>
      </c>
      <c r="U5552" s="401">
        <f t="shared" ref="U5552:U5554" si="17937">0.006165*F5552^2</f>
        <v>1.5782400000000001</v>
      </c>
      <c r="V5552" s="399"/>
      <c r="W5552" s="399"/>
      <c r="X5552" s="399" t="s">
        <v>125</v>
      </c>
      <c r="Y5552" s="389">
        <f t="shared" ref="Y5552" si="17938">D5551</f>
        <v>1</v>
      </c>
      <c r="Z5552" s="400" t="s">
        <v>176</v>
      </c>
      <c r="AA5552" s="402">
        <f t="shared" ref="AA5552" si="17939">IF(AA5555=0,(D5552*N5552+P5552*R5552)*U5552*Y5552,0)</f>
        <v>0</v>
      </c>
      <c r="AB5552" s="403"/>
    </row>
    <row r="5553" spans="1:28">
      <c r="A5553" s="384" t="str">
        <f t="shared" ref="A5553:B5553" si="17940">A5545</f>
        <v>Lantai 3</v>
      </c>
      <c r="B5553" s="385">
        <f t="shared" si="17940"/>
        <v>43</v>
      </c>
      <c r="C5553" s="393" t="s">
        <v>206</v>
      </c>
      <c r="D5553" s="398">
        <f>VLOOKUP(D5545,'Detail Balok'!$C$10:$AU$140,7,FALSE)</f>
        <v>3</v>
      </c>
      <c r="E5553" s="388" t="s">
        <v>16</v>
      </c>
      <c r="F5553" s="388">
        <f>VLOOKUP(D5545,'Detail Balok'!$C$10:$AU$140,9,FALSE)</f>
        <v>16</v>
      </c>
      <c r="G5553" s="388"/>
      <c r="H5553" s="395"/>
      <c r="I5553" s="388" t="s">
        <v>203</v>
      </c>
      <c r="J5553" s="399">
        <f t="shared" ref="J5553" si="17941">+D5547/2/1000</f>
        <v>1.5625</v>
      </c>
      <c r="K5553" s="400" t="s">
        <v>204</v>
      </c>
      <c r="L5553" s="399"/>
      <c r="M5553" s="399" t="s">
        <v>176</v>
      </c>
      <c r="N5553" s="399">
        <f t="shared" si="17934"/>
        <v>1.5625</v>
      </c>
      <c r="O5553" s="399" t="s">
        <v>204</v>
      </c>
      <c r="P5553" s="389">
        <f t="shared" ref="P5553" si="17942">MAX(D5553-D5552,D5553-D5554)</f>
        <v>0</v>
      </c>
      <c r="Q5553" s="399" t="s">
        <v>125</v>
      </c>
      <c r="R5553" s="399">
        <f t="shared" ref="R5553" si="17943">IF(P5553&gt;0,2*(1-2*$F$19-1/2)*D5548/1000,0)</f>
        <v>0</v>
      </c>
      <c r="S5553" s="399" t="s">
        <v>205</v>
      </c>
      <c r="T5553" s="399" t="s">
        <v>125</v>
      </c>
      <c r="U5553" s="401">
        <f t="shared" si="17937"/>
        <v>1.5782400000000001</v>
      </c>
      <c r="V5553" s="399"/>
      <c r="W5553" s="399"/>
      <c r="X5553" s="399" t="s">
        <v>125</v>
      </c>
      <c r="Y5553" s="389">
        <f t="shared" ref="Y5553" si="17944">D5551</f>
        <v>1</v>
      </c>
      <c r="Z5553" s="400" t="s">
        <v>176</v>
      </c>
      <c r="AA5553" s="402">
        <f t="shared" ref="AA5553" si="17945">IF(AA5555=0,(D5553*N5553+P5553*R5553)*U5553*Y5553,0)</f>
        <v>0</v>
      </c>
      <c r="AB5553" s="403"/>
    </row>
    <row r="5554" spans="1:28">
      <c r="A5554" s="384" t="str">
        <f t="shared" ref="A5554:B5554" si="17946">A5545</f>
        <v>Lantai 3</v>
      </c>
      <c r="B5554" s="385">
        <f t="shared" si="17946"/>
        <v>43</v>
      </c>
      <c r="C5554" s="393" t="s">
        <v>202</v>
      </c>
      <c r="D5554" s="398">
        <f>VLOOKUP(D5545,'Detail Balok'!$C$10:$AU$140,10,FALSE)</f>
        <v>3</v>
      </c>
      <c r="E5554" s="388" t="s">
        <v>16</v>
      </c>
      <c r="F5554" s="388">
        <f>VLOOKUP(D5545,'Detail Balok'!$C$10:$AU$140,12,FALSE)</f>
        <v>16</v>
      </c>
      <c r="G5554" s="388"/>
      <c r="H5554" s="395"/>
      <c r="I5554" s="388" t="s">
        <v>203</v>
      </c>
      <c r="J5554" s="399">
        <f t="shared" ref="J5554" si="17947">+D5547/4/1000</f>
        <v>0.78125</v>
      </c>
      <c r="K5554" s="400" t="s">
        <v>204</v>
      </c>
      <c r="L5554" s="399">
        <f t="shared" ref="L5554" si="17948">MAX(VLOOKUP(F5554,N$6:P$15,3,FALSE)/1000,2/3*D5549/1000)+F$16*F5554/1000</f>
        <v>0.192</v>
      </c>
      <c r="M5554" s="399" t="s">
        <v>176</v>
      </c>
      <c r="N5554" s="399">
        <f t="shared" si="17934"/>
        <v>0.97324999999999995</v>
      </c>
      <c r="O5554" s="399" t="s">
        <v>204</v>
      </c>
      <c r="P5554" s="389">
        <f t="shared" ref="P5554" si="17949">D5554-D5553</f>
        <v>0</v>
      </c>
      <c r="Q5554" s="399" t="s">
        <v>125</v>
      </c>
      <c r="R5554" s="399">
        <f t="shared" ref="R5554" si="17950">IF(P5554&gt;0,$F$18*F5554/1000,0)</f>
        <v>0</v>
      </c>
      <c r="S5554" s="399" t="s">
        <v>205</v>
      </c>
      <c r="T5554" s="399" t="s">
        <v>125</v>
      </c>
      <c r="U5554" s="401">
        <f t="shared" si="17937"/>
        <v>1.5782400000000001</v>
      </c>
      <c r="V5554" s="399"/>
      <c r="W5554" s="399"/>
      <c r="X5554" s="399" t="s">
        <v>125</v>
      </c>
      <c r="Y5554" s="389">
        <f t="shared" ref="Y5554" si="17951">D5551</f>
        <v>1</v>
      </c>
      <c r="Z5554" s="400" t="s">
        <v>176</v>
      </c>
      <c r="AA5554" s="402">
        <f t="shared" ref="AA5554" si="17952">IF(AA5555=0,(D5554*N5554+P5554*R5554)*U5554*Y5554,0)</f>
        <v>0</v>
      </c>
      <c r="AB5554" s="403"/>
    </row>
    <row r="5555" spans="1:28">
      <c r="A5555" s="384" t="str">
        <f t="shared" ref="A5555:B5555" si="17953">A5545</f>
        <v>Lantai 3</v>
      </c>
      <c r="B5555" s="385">
        <f t="shared" si="17953"/>
        <v>43</v>
      </c>
      <c r="C5555" s="393"/>
      <c r="D5555" s="398">
        <f t="shared" ref="D5555:D5615" si="17954">IF(AND(D5552=D5553,D5553=D5554,D5552=D5554),D5552,0)</f>
        <v>3</v>
      </c>
      <c r="E5555" s="388" t="s">
        <v>16</v>
      </c>
      <c r="F5555" s="388">
        <f t="shared" ref="F5555:F5615" si="17955">IF(AND(F5552=F5553,F5552=F5554,F5553=F5554),F5552,0)</f>
        <v>16</v>
      </c>
      <c r="G5555" s="388"/>
      <c r="H5555" s="395"/>
      <c r="I5555" s="388"/>
      <c r="J5555" s="396"/>
      <c r="K5555" s="396"/>
      <c r="L5555" s="404" t="s">
        <v>207</v>
      </c>
      <c r="M5555" s="399" t="s">
        <v>176</v>
      </c>
      <c r="N5555" s="399">
        <f t="shared" ref="N5555" si="17956">IF(AND(D5552=D5553,D5552=D5554,D5553=D5554,F5552=F5553,F5552=F5554,F5553=F5554),SUM(N5552:N5554),0)</f>
        <v>3.5090000000000003</v>
      </c>
      <c r="O5555" s="399" t="s">
        <v>204</v>
      </c>
      <c r="P5555" s="389">
        <f t="shared" ref="P5555" si="17957">IF(N5555&gt;12,ROUNDDOWN(N5555/12,0),0)</f>
        <v>0</v>
      </c>
      <c r="Q5555" s="399" t="s">
        <v>125</v>
      </c>
      <c r="R5555" s="399">
        <f t="shared" ref="R5555" si="17958">IF(P5555&gt;0,MAX(VLOOKUP(F5555,$D$6:$G$15,3,FALSE),600),0)/1000</f>
        <v>0</v>
      </c>
      <c r="S5555" s="396"/>
      <c r="T5555" s="396" t="s">
        <v>125</v>
      </c>
      <c r="U5555" s="401">
        <f t="shared" ref="U5555:U5615" si="17959">U5554</f>
        <v>1.5782400000000001</v>
      </c>
      <c r="V5555" s="396" t="s">
        <v>125</v>
      </c>
      <c r="W5555" s="399">
        <f t="shared" ref="W5555" si="17960">D5555</f>
        <v>3</v>
      </c>
      <c r="X5555" s="399" t="s">
        <v>125</v>
      </c>
      <c r="Y5555" s="389">
        <f t="shared" ref="Y5555:Y5615" si="17961">Y5554</f>
        <v>1</v>
      </c>
      <c r="Z5555" s="400" t="s">
        <v>176</v>
      </c>
      <c r="AA5555" s="402">
        <f t="shared" ref="AA5555" si="17962">(N5555+P5555*R5555/1000)*U5555*W5555*Y5555</f>
        <v>16.614132480000002</v>
      </c>
      <c r="AB5555" s="390"/>
    </row>
    <row r="5556" spans="1:28">
      <c r="A5556" s="384"/>
      <c r="B5556" s="385"/>
      <c r="C5556" s="393"/>
      <c r="D5556" s="398"/>
      <c r="E5556" s="388"/>
      <c r="F5556" s="388"/>
      <c r="G5556" s="388"/>
      <c r="H5556" s="395"/>
      <c r="I5556" s="388"/>
      <c r="J5556" s="396"/>
      <c r="K5556" s="396"/>
      <c r="L5556" s="404"/>
      <c r="M5556" s="399"/>
      <c r="N5556" s="399"/>
      <c r="O5556" s="396"/>
      <c r="P5556" s="389"/>
      <c r="Q5556" s="396"/>
      <c r="R5556" s="396"/>
      <c r="S5556" s="396"/>
      <c r="T5556" s="396"/>
      <c r="U5556" s="401"/>
      <c r="V5556" s="396"/>
      <c r="W5556" s="399"/>
      <c r="X5556" s="396"/>
      <c r="Y5556" s="389"/>
      <c r="Z5556" s="396"/>
      <c r="AA5556" s="388"/>
      <c r="AB5556" s="390"/>
    </row>
    <row r="5557" spans="1:28">
      <c r="A5557" s="384" t="str">
        <f t="shared" ref="A5557:B5557" si="17963">A5545</f>
        <v>Lantai 3</v>
      </c>
      <c r="B5557" s="385">
        <f t="shared" si="17963"/>
        <v>43</v>
      </c>
      <c r="C5557" s="393" t="s">
        <v>208</v>
      </c>
      <c r="D5557" s="398">
        <f>VLOOKUP(D5545,'Detail Balok'!$C$10:$AU$140,13,FALSE)</f>
        <v>0</v>
      </c>
      <c r="E5557" s="388" t="s">
        <v>16</v>
      </c>
      <c r="F5557" s="388">
        <f>VLOOKUP(D5545,'Detail Balok'!$C$10:$AU$140,15,FALSE)</f>
        <v>8</v>
      </c>
      <c r="G5557" s="388"/>
      <c r="H5557" s="395"/>
      <c r="I5557" s="388"/>
      <c r="J5557" s="399">
        <f t="shared" ref="J5557" si="17964">+D5547/1000</f>
        <v>3.125</v>
      </c>
      <c r="K5557" s="400" t="s">
        <v>204</v>
      </c>
      <c r="L5557" s="399">
        <f t="shared" ref="L5557" si="17965">2*$F$16*F5557/1000</f>
        <v>0.192</v>
      </c>
      <c r="M5557" s="399" t="s">
        <v>176</v>
      </c>
      <c r="N5557" s="399">
        <f t="shared" ref="N5557" si="17966">J5557+L5557</f>
        <v>3.3170000000000002</v>
      </c>
      <c r="O5557" s="399" t="s">
        <v>204</v>
      </c>
      <c r="P5557" s="389">
        <f t="shared" ref="P5557" si="17967">IF(N5557&gt;12,ROUNDDOWN(N5557/12,0),0)</f>
        <v>0</v>
      </c>
      <c r="Q5557" s="399" t="s">
        <v>125</v>
      </c>
      <c r="R5557" s="399">
        <f t="shared" ref="R5557" si="17968">IF(P5557&gt;0,MAX(VLOOKUP(F5557,$D$6:$G$15,3,FALSE),600),0)/1000</f>
        <v>0</v>
      </c>
      <c r="S5557" s="399"/>
      <c r="T5557" s="399" t="s">
        <v>125</v>
      </c>
      <c r="U5557" s="401">
        <f t="shared" ref="U5557" si="17969">0.006165*F5557^2</f>
        <v>0.39456000000000002</v>
      </c>
      <c r="V5557" s="399" t="s">
        <v>125</v>
      </c>
      <c r="W5557" s="399">
        <f t="shared" ref="W5557" si="17970">+D5557</f>
        <v>0</v>
      </c>
      <c r="X5557" s="399" t="s">
        <v>125</v>
      </c>
      <c r="Y5557" s="389">
        <f t="shared" ref="Y5557" si="17971">D5551</f>
        <v>1</v>
      </c>
      <c r="Z5557" s="400" t="s">
        <v>176</v>
      </c>
      <c r="AA5557" s="402">
        <f t="shared" ref="AA5557" si="17972">(N5557+P5557*R5557/1000)*U5557*W5557*Y5557</f>
        <v>0</v>
      </c>
      <c r="AB5557" s="403"/>
    </row>
    <row r="5558" spans="1:28">
      <c r="A5558" s="384"/>
      <c r="B5558" s="385"/>
      <c r="C5558" s="393"/>
      <c r="D5558" s="398"/>
      <c r="E5558" s="388"/>
      <c r="F5558" s="388"/>
      <c r="G5558" s="388"/>
      <c r="H5558" s="395"/>
      <c r="I5558" s="388"/>
      <c r="J5558" s="399"/>
      <c r="K5558" s="400"/>
      <c r="L5558" s="399"/>
      <c r="M5558" s="399"/>
      <c r="N5558" s="399"/>
      <c r="O5558" s="399"/>
      <c r="P5558" s="389"/>
      <c r="Q5558" s="399"/>
      <c r="R5558" s="399"/>
      <c r="S5558" s="399"/>
      <c r="T5558" s="399"/>
      <c r="U5558" s="401"/>
      <c r="V5558" s="399"/>
      <c r="W5558" s="399"/>
      <c r="X5558" s="399"/>
      <c r="Y5558" s="389"/>
      <c r="Z5558" s="400"/>
      <c r="AA5558" s="402"/>
      <c r="AB5558" s="403"/>
    </row>
    <row r="5559" spans="1:28">
      <c r="A5559" s="384"/>
      <c r="B5559" s="385"/>
      <c r="C5559" s="393"/>
      <c r="D5559" s="398"/>
      <c r="E5559" s="388"/>
      <c r="F5559" s="388"/>
      <c r="G5559" s="388"/>
      <c r="H5559" s="395"/>
      <c r="I5559" s="388"/>
      <c r="J5559" s="396"/>
      <c r="K5559" s="396"/>
      <c r="L5559" s="396"/>
      <c r="M5559" s="396"/>
      <c r="N5559" s="396"/>
      <c r="O5559" s="396"/>
      <c r="P5559" s="389"/>
      <c r="Q5559" s="396"/>
      <c r="R5559" s="396"/>
      <c r="S5559" s="396"/>
      <c r="T5559" s="396"/>
      <c r="U5559" s="401"/>
      <c r="V5559" s="396"/>
      <c r="W5559" s="399"/>
      <c r="X5559" s="396"/>
      <c r="Y5559" s="389"/>
      <c r="Z5559" s="396"/>
      <c r="AA5559" s="388"/>
      <c r="AB5559" s="390"/>
    </row>
    <row r="5560" spans="1:28">
      <c r="A5560" s="384" t="str">
        <f t="shared" ref="A5560:B5560" si="17973">A5545</f>
        <v>Lantai 3</v>
      </c>
      <c r="B5560" s="385">
        <f t="shared" si="17973"/>
        <v>43</v>
      </c>
      <c r="C5560" s="393" t="s">
        <v>209</v>
      </c>
      <c r="D5560" s="398">
        <f>VLOOKUP(D5545,'Detail Balok'!$C$10:$AU$140,22,FALSE)</f>
        <v>3</v>
      </c>
      <c r="E5560" s="388" t="s">
        <v>16</v>
      </c>
      <c r="F5560" s="388">
        <f>VLOOKUP(D5545,'Detail Balok'!$C$10:$AU$140,24,FALSE)</f>
        <v>16</v>
      </c>
      <c r="G5560" s="388"/>
      <c r="H5560" s="395"/>
      <c r="I5560" s="388" t="s">
        <v>203</v>
      </c>
      <c r="J5560" s="399">
        <f t="shared" ref="J5560:J5622" si="17974">+J5552</f>
        <v>0.78125</v>
      </c>
      <c r="K5560" s="400" t="s">
        <v>204</v>
      </c>
      <c r="L5560" s="399">
        <f t="shared" ref="L5560" si="17975">MAX(VLOOKUP(F5560,N$6:P$15,3,FALSE)/1000,2/3*D5550/1000)+F$16*F5560/1000</f>
        <v>0.192</v>
      </c>
      <c r="M5560" s="399" t="s">
        <v>176</v>
      </c>
      <c r="N5560" s="399">
        <f t="shared" ref="N5560:N5562" si="17976">J5560+L5560</f>
        <v>0.97324999999999995</v>
      </c>
      <c r="O5560" s="399" t="s">
        <v>204</v>
      </c>
      <c r="P5560" s="389">
        <f t="shared" ref="P5560" si="17977">D5560-D5561</f>
        <v>0</v>
      </c>
      <c r="Q5560" s="399" t="s">
        <v>125</v>
      </c>
      <c r="R5560" s="399">
        <f t="shared" ref="R5560" si="17978">IF(P5560&gt;0,$F$18*F5560/1000,0)</f>
        <v>0</v>
      </c>
      <c r="S5560" s="399" t="s">
        <v>205</v>
      </c>
      <c r="T5560" s="399" t="s">
        <v>125</v>
      </c>
      <c r="U5560" s="401">
        <f t="shared" ref="U5560:U5562" si="17979">0.006165*F5560^2</f>
        <v>1.5782400000000001</v>
      </c>
      <c r="V5560" s="399"/>
      <c r="W5560" s="399"/>
      <c r="X5560" s="399" t="s">
        <v>125</v>
      </c>
      <c r="Y5560" s="389">
        <f t="shared" ref="Y5560" si="17980">D5551</f>
        <v>1</v>
      </c>
      <c r="Z5560" s="400" t="s">
        <v>176</v>
      </c>
      <c r="AA5560" s="402">
        <f t="shared" ref="AA5560" si="17981">IF(AA5563=0,(D5560*N5560+P5560*R5560)*U5560*Y5560,0)</f>
        <v>0</v>
      </c>
      <c r="AB5560" s="403"/>
    </row>
    <row r="5561" spans="1:28">
      <c r="A5561" s="384" t="str">
        <f t="shared" ref="A5561:B5561" si="17982">A5545</f>
        <v>Lantai 3</v>
      </c>
      <c r="B5561" s="385">
        <f t="shared" si="17982"/>
        <v>43</v>
      </c>
      <c r="C5561" s="393" t="s">
        <v>210</v>
      </c>
      <c r="D5561" s="398">
        <f>VLOOKUP(D5545,'Detail Balok'!$C$10:$AU$140,25,FALSE)</f>
        <v>3</v>
      </c>
      <c r="E5561" s="388" t="s">
        <v>16</v>
      </c>
      <c r="F5561" s="388">
        <f>VLOOKUP(D5545,'Detail Balok'!$C$10:$AU$140,27,FALSE)</f>
        <v>16</v>
      </c>
      <c r="G5561" s="388"/>
      <c r="H5561" s="395"/>
      <c r="I5561" s="388" t="s">
        <v>203</v>
      </c>
      <c r="J5561" s="399">
        <f t="shared" si="17974"/>
        <v>1.5625</v>
      </c>
      <c r="K5561" s="400" t="s">
        <v>204</v>
      </c>
      <c r="L5561" s="399"/>
      <c r="M5561" s="399" t="s">
        <v>176</v>
      </c>
      <c r="N5561" s="399">
        <f t="shared" si="17976"/>
        <v>1.5625</v>
      </c>
      <c r="O5561" s="399" t="s">
        <v>204</v>
      </c>
      <c r="P5561" s="389">
        <f t="shared" ref="P5561" si="17983">MAX(D5561-D5560,D5561-D5562)</f>
        <v>0</v>
      </c>
      <c r="Q5561" s="399" t="s">
        <v>125</v>
      </c>
      <c r="R5561" s="399">
        <f t="shared" ref="R5561" si="17984">IF(P5561&gt;0,2*(1-2*$F$19-1/2)*D5548/1000,0)</f>
        <v>0</v>
      </c>
      <c r="S5561" s="399" t="s">
        <v>205</v>
      </c>
      <c r="T5561" s="399" t="s">
        <v>125</v>
      </c>
      <c r="U5561" s="401">
        <f t="shared" si="17979"/>
        <v>1.5782400000000001</v>
      </c>
      <c r="V5561" s="399"/>
      <c r="W5561" s="399"/>
      <c r="X5561" s="399" t="s">
        <v>125</v>
      </c>
      <c r="Y5561" s="389">
        <f t="shared" ref="Y5561" si="17985">D5551</f>
        <v>1</v>
      </c>
      <c r="Z5561" s="400" t="s">
        <v>176</v>
      </c>
      <c r="AA5561" s="402">
        <f t="shared" ref="AA5561" si="17986">IF(AA5563=0,(D5561*N5561+P5561*R5561)*U5561*Y5561,0)</f>
        <v>0</v>
      </c>
      <c r="AB5561" s="403"/>
    </row>
    <row r="5562" spans="1:28">
      <c r="A5562" s="384" t="str">
        <f t="shared" ref="A5562:B5562" si="17987">A5545</f>
        <v>Lantai 3</v>
      </c>
      <c r="B5562" s="385">
        <f t="shared" si="17987"/>
        <v>43</v>
      </c>
      <c r="C5562" s="393" t="s">
        <v>209</v>
      </c>
      <c r="D5562" s="398">
        <f>VLOOKUP(D5545,'Detail Balok'!$C$10:$AU$140,28,FALSE)</f>
        <v>3</v>
      </c>
      <c r="E5562" s="388" t="s">
        <v>16</v>
      </c>
      <c r="F5562" s="388">
        <f>VLOOKUP(D5545,'Detail Balok'!$C$10:$AU$140,30,FALSE)</f>
        <v>16</v>
      </c>
      <c r="G5562" s="388"/>
      <c r="H5562" s="395"/>
      <c r="I5562" s="388" t="s">
        <v>203</v>
      </c>
      <c r="J5562" s="399">
        <f t="shared" si="17974"/>
        <v>0.78125</v>
      </c>
      <c r="K5562" s="400" t="s">
        <v>204</v>
      </c>
      <c r="L5562" s="399">
        <f t="shared" ref="L5562" si="17988">MAX(VLOOKUP(F5562,N$6:P$15,3,FALSE)/1000,2/3*D5550/1000)+F$16*F5562/1000</f>
        <v>0.192</v>
      </c>
      <c r="M5562" s="399" t="s">
        <v>176</v>
      </c>
      <c r="N5562" s="399">
        <f t="shared" si="17976"/>
        <v>0.97324999999999995</v>
      </c>
      <c r="O5562" s="399" t="s">
        <v>204</v>
      </c>
      <c r="P5562" s="389">
        <f t="shared" ref="P5562" si="17989">D5562-D5561</f>
        <v>0</v>
      </c>
      <c r="Q5562" s="399" t="s">
        <v>125</v>
      </c>
      <c r="R5562" s="399">
        <f t="shared" ref="R5562" si="17990">IF(P5562&gt;0,$F$18*F5562/1000,0)</f>
        <v>0</v>
      </c>
      <c r="S5562" s="399" t="s">
        <v>205</v>
      </c>
      <c r="T5562" s="399" t="s">
        <v>125</v>
      </c>
      <c r="U5562" s="401">
        <f t="shared" si="17979"/>
        <v>1.5782400000000001</v>
      </c>
      <c r="V5562" s="399"/>
      <c r="W5562" s="399"/>
      <c r="X5562" s="399" t="s">
        <v>125</v>
      </c>
      <c r="Y5562" s="389">
        <f t="shared" ref="Y5562" si="17991">D5551</f>
        <v>1</v>
      </c>
      <c r="Z5562" s="400" t="s">
        <v>176</v>
      </c>
      <c r="AA5562" s="402">
        <f t="shared" ref="AA5562" si="17992">IF(AA5563=0,(D5562*N5562+P5562*R5562)*U5562*Y5562,0)</f>
        <v>0</v>
      </c>
      <c r="AB5562" s="403"/>
    </row>
    <row r="5563" spans="1:28">
      <c r="A5563" s="384" t="str">
        <f t="shared" ref="A5563:B5563" si="17993">A5545</f>
        <v>Lantai 3</v>
      </c>
      <c r="B5563" s="385">
        <f t="shared" si="17993"/>
        <v>43</v>
      </c>
      <c r="C5563" s="393"/>
      <c r="D5563" s="398">
        <f t="shared" ref="D5563:D5623" si="17994">IF(AND(D5560=D5561,D5561=D5562,D5560=D5562),D5560,0)</f>
        <v>3</v>
      </c>
      <c r="E5563" s="388" t="s">
        <v>16</v>
      </c>
      <c r="F5563" s="388">
        <f t="shared" ref="F5563:F5623" si="17995">IF(AND(F5560=F5561,F5560=F5562,F5561=F5562),F5560,0)</f>
        <v>16</v>
      </c>
      <c r="G5563" s="388"/>
      <c r="H5563" s="395"/>
      <c r="I5563" s="388"/>
      <c r="J5563" s="396"/>
      <c r="K5563" s="396"/>
      <c r="L5563" s="404" t="s">
        <v>207</v>
      </c>
      <c r="M5563" s="399" t="s">
        <v>176</v>
      </c>
      <c r="N5563" s="399">
        <f t="shared" ref="N5563" si="17996">IF(AND(D5560=D5561,D5560=D5562,D5561=D5562,F5560=F5561,F5560=F5562,F5561=F5562),SUM(N5560:N5562),0)</f>
        <v>3.5090000000000003</v>
      </c>
      <c r="O5563" s="399" t="s">
        <v>204</v>
      </c>
      <c r="P5563" s="389">
        <f t="shared" ref="P5563" si="17997">IF(N5563&gt;12,ROUNDDOWN(N5563/12,0),0)</f>
        <v>0</v>
      </c>
      <c r="Q5563" s="399" t="s">
        <v>125</v>
      </c>
      <c r="R5563" s="399">
        <f t="shared" ref="R5563" si="17998">IF(P5563&gt;0,MAX(VLOOKUP(F5563,$D$6:$G$15,3,FALSE),600),0)/1000</f>
        <v>0</v>
      </c>
      <c r="S5563" s="396"/>
      <c r="T5563" s="396" t="s">
        <v>125</v>
      </c>
      <c r="U5563" s="401">
        <f t="shared" ref="U5563:U5623" si="17999">U5562</f>
        <v>1.5782400000000001</v>
      </c>
      <c r="V5563" s="396" t="s">
        <v>125</v>
      </c>
      <c r="W5563" s="399">
        <f t="shared" ref="W5563" si="18000">D5563</f>
        <v>3</v>
      </c>
      <c r="X5563" s="399" t="s">
        <v>125</v>
      </c>
      <c r="Y5563" s="389">
        <f t="shared" ref="Y5563:Y5623" si="18001">Y5562</f>
        <v>1</v>
      </c>
      <c r="Z5563" s="400" t="s">
        <v>176</v>
      </c>
      <c r="AA5563" s="402">
        <f t="shared" ref="AA5563" si="18002">(N5563+P5563*R5563/1000)*U5563*W5563*Y5563</f>
        <v>16.614132480000002</v>
      </c>
      <c r="AB5563" s="403"/>
    </row>
    <row r="5564" spans="1:28">
      <c r="A5564" s="384"/>
      <c r="B5564" s="385"/>
      <c r="C5564" s="393"/>
      <c r="D5564" s="394"/>
      <c r="E5564" s="388"/>
      <c r="F5564" s="388"/>
      <c r="G5564" s="388"/>
      <c r="H5564" s="395"/>
      <c r="I5564" s="388"/>
      <c r="J5564" s="399"/>
      <c r="K5564" s="396"/>
      <c r="L5564" s="396"/>
      <c r="M5564" s="396"/>
      <c r="N5564" s="396"/>
      <c r="O5564" s="396"/>
      <c r="P5564" s="389"/>
      <c r="Q5564" s="396"/>
      <c r="R5564" s="396"/>
      <c r="S5564" s="396"/>
      <c r="T5564" s="396"/>
      <c r="U5564" s="401"/>
      <c r="V5564" s="396"/>
      <c r="W5564" s="388"/>
      <c r="X5564" s="396"/>
      <c r="Y5564" s="389"/>
      <c r="Z5564" s="396"/>
      <c r="AA5564" s="388"/>
      <c r="AB5564" s="390"/>
    </row>
    <row r="5565" spans="1:28">
      <c r="A5565" s="384" t="str">
        <f t="shared" ref="A5565:B5565" si="18003">A5545</f>
        <v>Lantai 3</v>
      </c>
      <c r="B5565" s="385">
        <f t="shared" si="18003"/>
        <v>43</v>
      </c>
      <c r="C5565" s="393" t="s">
        <v>211</v>
      </c>
      <c r="D5565" s="398">
        <f>VLOOKUP(D5545,'Detail Balok'!$C$10:$AU$140,31,FALSE)</f>
        <v>0</v>
      </c>
      <c r="E5565" s="388" t="s">
        <v>16</v>
      </c>
      <c r="F5565" s="388">
        <f>VLOOKUP(D5545,'Detail Balok'!$C$10:$AU$140,33,FALSE)</f>
        <v>10</v>
      </c>
      <c r="G5565" s="405" t="s">
        <v>157</v>
      </c>
      <c r="H5565" s="395">
        <f>VLOOKUP(D5545,'Detail Balok'!$C$10:$AU$140,35,FALSE)</f>
        <v>100</v>
      </c>
      <c r="I5565" s="388"/>
      <c r="J5565" s="400">
        <f t="shared" ref="J5565" si="18004">(IF(D5565=0,(2*(D5546+G5546))-(F$5*8),IF(D5565=3,(2*(D5546+G5546))-(F$5*8)+(G5546-2*F$5),IF(D5565=4,(2*(D5546+G5546))-(F$5*8)+2*(G5546-2*F$5)))))/1000</f>
        <v>0.88</v>
      </c>
      <c r="K5565" s="400" t="s">
        <v>204</v>
      </c>
      <c r="L5565" s="399">
        <f t="shared" ref="L5565:L5567" si="18005">IF(D5565=0,2*MAX(6*F5565,75),(D5565-1)*2*MAX(6*F5565,75))/1000</f>
        <v>0.15</v>
      </c>
      <c r="M5565" s="399" t="s">
        <v>176</v>
      </c>
      <c r="N5565" s="399">
        <f t="shared" ref="N5565:N5567" si="18006">J5565+L5565</f>
        <v>1.03</v>
      </c>
      <c r="O5565" s="399"/>
      <c r="P5565" s="389"/>
      <c r="Q5565" s="399"/>
      <c r="R5565" s="399"/>
      <c r="S5565" s="399"/>
      <c r="T5565" s="399" t="s">
        <v>125</v>
      </c>
      <c r="U5565" s="401">
        <f t="shared" ref="U5565:U5567" si="18007">0.006165*F5565^2</f>
        <v>0.61650000000000005</v>
      </c>
      <c r="V5565" s="399" t="s">
        <v>125</v>
      </c>
      <c r="W5565" s="399">
        <f t="shared" ref="W5565" si="18008">IF(D5548&gt;4*G5546,ROUND(MAX(D5548/4,2*G5546)/H5565,0)+1,ROUND(D5548/H5565,0)+1)</f>
        <v>9</v>
      </c>
      <c r="X5565" s="399" t="s">
        <v>125</v>
      </c>
      <c r="Y5565" s="389">
        <f t="shared" ref="Y5565" si="18009">D5551</f>
        <v>1</v>
      </c>
      <c r="Z5565" s="400" t="s">
        <v>176</v>
      </c>
      <c r="AA5565" s="402">
        <f t="shared" ref="AA5565:AA5567" si="18010">N5565*U5565*W5565*Y5565</f>
        <v>5.7149550000000007</v>
      </c>
      <c r="AB5565" s="403"/>
    </row>
    <row r="5566" spans="1:28">
      <c r="A5566" s="384" t="str">
        <f t="shared" ref="A5566:B5566" si="18011">A5545</f>
        <v>Lantai 3</v>
      </c>
      <c r="B5566" s="385">
        <f t="shared" si="18011"/>
        <v>43</v>
      </c>
      <c r="C5566" s="393" t="s">
        <v>212</v>
      </c>
      <c r="D5566" s="398">
        <f>VLOOKUP(D5545,'Detail Balok'!$C$10:$AU$140,36,FALSE)</f>
        <v>0</v>
      </c>
      <c r="E5566" s="388" t="s">
        <v>16</v>
      </c>
      <c r="F5566" s="388">
        <f>VLOOKUP(D5545,'Detail Balok'!$C$10:$AU$140,38,FALSE)</f>
        <v>10</v>
      </c>
      <c r="G5566" s="405" t="s">
        <v>157</v>
      </c>
      <c r="H5566" s="395">
        <f>VLOOKUP(D5545,'Detail Balok'!$C$10:$AU$140,40,FALSE)</f>
        <v>200</v>
      </c>
      <c r="I5566" s="388"/>
      <c r="J5566" s="400">
        <f t="shared" ref="J5566" si="18012">(IF(D5566=0,(2*(D5546+G5546))-(F$5*8),IF(D5566=3,(2*(D5546+G5546))-(F$5*8)+(G5546-2*F$5),IF(D5566=4,(2*(D5546+G5546))-(F$5*8)+2*(G5546-2*F$5)))))/1000</f>
        <v>0.88</v>
      </c>
      <c r="K5566" s="400" t="s">
        <v>204</v>
      </c>
      <c r="L5566" s="399">
        <f t="shared" si="18005"/>
        <v>0.15</v>
      </c>
      <c r="M5566" s="399" t="s">
        <v>176</v>
      </c>
      <c r="N5566" s="399">
        <f t="shared" si="18006"/>
        <v>1.03</v>
      </c>
      <c r="O5566" s="399"/>
      <c r="P5566" s="389"/>
      <c r="Q5566" s="399"/>
      <c r="R5566" s="399"/>
      <c r="S5566" s="399"/>
      <c r="T5566" s="399" t="s">
        <v>125</v>
      </c>
      <c r="U5566" s="401">
        <f t="shared" si="18007"/>
        <v>0.61650000000000005</v>
      </c>
      <c r="V5566" s="399" t="s">
        <v>125</v>
      </c>
      <c r="W5566" s="399">
        <f t="shared" ref="W5566" si="18013">IF(D5548-MAX(D5548/4,2*G5546)*2&gt;0,ROUND((D5548-MAX(D5548/4,2*G5546)*2)/H5566,0),0)</f>
        <v>8</v>
      </c>
      <c r="X5566" s="399" t="s">
        <v>125</v>
      </c>
      <c r="Y5566" s="389">
        <f t="shared" ref="Y5566" si="18014">D5551</f>
        <v>1</v>
      </c>
      <c r="Z5566" s="400" t="s">
        <v>176</v>
      </c>
      <c r="AA5566" s="402">
        <f t="shared" si="18010"/>
        <v>5.0799600000000007</v>
      </c>
      <c r="AB5566" s="403"/>
    </row>
    <row r="5567" spans="1:28">
      <c r="A5567" s="384" t="str">
        <f t="shared" ref="A5567:B5567" si="18015">A5545</f>
        <v>Lantai 3</v>
      </c>
      <c r="B5567" s="385">
        <f t="shared" si="18015"/>
        <v>43</v>
      </c>
      <c r="C5567" s="393" t="s">
        <v>211</v>
      </c>
      <c r="D5567" s="398">
        <f>VLOOKUP(D5545,'Detail Balok'!$C$10:$AU$140,41,FALSE)</f>
        <v>0</v>
      </c>
      <c r="E5567" s="388" t="s">
        <v>16</v>
      </c>
      <c r="F5567" s="388">
        <f>VLOOKUP(D5545,'Detail Balok'!$C$10:$AU$140,43,FALSE)</f>
        <v>10</v>
      </c>
      <c r="G5567" s="405" t="s">
        <v>157</v>
      </c>
      <c r="H5567" s="395">
        <f>VLOOKUP(D5545,'Detail Balok'!$C$10:$AU$140,45,FALSE)</f>
        <v>100</v>
      </c>
      <c r="I5567" s="388"/>
      <c r="J5567" s="400">
        <f t="shared" ref="J5567" si="18016">(IF(D5567=0,(2*(D5546+G5546))-(F$5*8),IF(D5567=3,(2*(D5546+G5546))-(F$5*8)+(G5546-2*F$5),IF(D5567=4,(2*(D5546+G5546))-(F$5*8)+2*(G5546-2*F$5)))))/1000</f>
        <v>0.88</v>
      </c>
      <c r="K5567" s="400" t="s">
        <v>204</v>
      </c>
      <c r="L5567" s="399">
        <f t="shared" si="18005"/>
        <v>0.15</v>
      </c>
      <c r="M5567" s="399" t="s">
        <v>176</v>
      </c>
      <c r="N5567" s="399">
        <f t="shared" si="18006"/>
        <v>1.03</v>
      </c>
      <c r="O5567" s="399"/>
      <c r="P5567" s="389"/>
      <c r="Q5567" s="399"/>
      <c r="R5567" s="399"/>
      <c r="S5567" s="399"/>
      <c r="T5567" s="399" t="s">
        <v>125</v>
      </c>
      <c r="U5567" s="401">
        <f t="shared" si="18007"/>
        <v>0.61650000000000005</v>
      </c>
      <c r="V5567" s="399" t="s">
        <v>125</v>
      </c>
      <c r="W5567" s="399">
        <f t="shared" ref="W5567" si="18017">IF(D5548&gt;4*G5546,ROUND(MAX(D5548/4,2*G5546)/H5567,0)+1,0)</f>
        <v>9</v>
      </c>
      <c r="X5567" s="399" t="s">
        <v>125</v>
      </c>
      <c r="Y5567" s="389">
        <f t="shared" ref="Y5567" si="18018">D5551</f>
        <v>1</v>
      </c>
      <c r="Z5567" s="400" t="s">
        <v>176</v>
      </c>
      <c r="AA5567" s="402">
        <f t="shared" si="18010"/>
        <v>5.7149550000000007</v>
      </c>
      <c r="AB5567" s="403"/>
    </row>
    <row r="5568" spans="1:28">
      <c r="A5568" s="384"/>
      <c r="B5568" s="385"/>
      <c r="C5568" s="393"/>
      <c r="D5568" s="394"/>
      <c r="E5568" s="388"/>
      <c r="F5568" s="388"/>
      <c r="G5568" s="388"/>
      <c r="H5568" s="395"/>
      <c r="I5568" s="388"/>
      <c r="J5568" s="399"/>
      <c r="K5568" s="396"/>
      <c r="L5568" s="396"/>
      <c r="M5568" s="396"/>
      <c r="N5568" s="396"/>
      <c r="O5568" s="396"/>
      <c r="P5568" s="389"/>
      <c r="Q5568" s="396"/>
      <c r="R5568" s="396"/>
      <c r="S5568" s="396"/>
      <c r="T5568" s="396"/>
      <c r="U5568" s="401"/>
      <c r="V5568" s="396"/>
      <c r="W5568" s="388"/>
      <c r="X5568" s="396"/>
      <c r="Y5568" s="389"/>
      <c r="Z5568" s="396"/>
      <c r="AA5568" s="388"/>
      <c r="AB5568" s="390"/>
    </row>
    <row r="5569" spans="1:28">
      <c r="A5569" s="384" t="str">
        <f t="shared" ref="A5569:B5569" si="18019">A5545</f>
        <v>Lantai 3</v>
      </c>
      <c r="B5569" s="385">
        <f t="shared" si="18019"/>
        <v>43</v>
      </c>
      <c r="C5569" s="393" t="s">
        <v>213</v>
      </c>
      <c r="D5569" s="398">
        <f>VLOOKUP(D5545,'Detail Balok'!$C$10:$BJ$140,46,FALSE)</f>
        <v>0</v>
      </c>
      <c r="E5569" s="388" t="s">
        <v>16</v>
      </c>
      <c r="F5569" s="388">
        <f>VLOOKUP(D5545,'Detail Balok'!$C$10:$BJ$140,48,FALSE)</f>
        <v>0</v>
      </c>
      <c r="G5569" s="405" t="s">
        <v>157</v>
      </c>
      <c r="H5569" s="395">
        <f>VLOOKUP(D5545,'Detail Balok'!$C$10:$BJ$140,50,FALSE)</f>
        <v>100</v>
      </c>
      <c r="I5569" s="388"/>
      <c r="J5569" s="399">
        <f t="shared" ref="J5569" si="18020">(D5546-2*F$5)/1000</f>
        <v>0.12</v>
      </c>
      <c r="K5569" s="400" t="s">
        <v>204</v>
      </c>
      <c r="L5569" s="399">
        <f t="shared" ref="L5569:L5571" si="18021">IF(D5569=0,2*MAX(6*F5569,75),(D5569-1)*2*MAX(6*F5569,75))/1000</f>
        <v>0.15</v>
      </c>
      <c r="M5569" s="399" t="s">
        <v>176</v>
      </c>
      <c r="N5569" s="399">
        <f t="shared" ref="N5569:N5571" si="18022">J5569+L5569</f>
        <v>0.27</v>
      </c>
      <c r="O5569" s="399"/>
      <c r="P5569" s="399"/>
      <c r="Q5569" s="399"/>
      <c r="R5569" s="399"/>
      <c r="S5569" s="399"/>
      <c r="T5569" s="399" t="s">
        <v>125</v>
      </c>
      <c r="U5569" s="401">
        <f t="shared" ref="U5569:U5571" si="18023">0.006165*F5569^2</f>
        <v>0</v>
      </c>
      <c r="V5569" s="399" t="s">
        <v>125</v>
      </c>
      <c r="W5569" s="399">
        <f t="shared" ref="W5569:W5631" si="18024">W5565</f>
        <v>9</v>
      </c>
      <c r="X5569" s="399" t="s">
        <v>125</v>
      </c>
      <c r="Y5569" s="389">
        <f t="shared" ref="Y5569" si="18025">D5555</f>
        <v>3</v>
      </c>
      <c r="Z5569" s="400" t="s">
        <v>176</v>
      </c>
      <c r="AA5569" s="402">
        <f t="shared" ref="AA5569:AA5571" si="18026">N5569*U5569*W5569*Y5569</f>
        <v>0</v>
      </c>
      <c r="AB5569" s="403"/>
    </row>
    <row r="5570" spans="1:28">
      <c r="A5570" s="384" t="str">
        <f t="shared" ref="A5570:B5570" si="18027">A5545</f>
        <v>Lantai 3</v>
      </c>
      <c r="B5570" s="385">
        <f t="shared" si="18027"/>
        <v>43</v>
      </c>
      <c r="C5570" s="393" t="s">
        <v>214</v>
      </c>
      <c r="D5570" s="398">
        <f>VLOOKUP(D5545,'Detail Balok'!$C$10:$BJ$140,51,FALSE)</f>
        <v>0</v>
      </c>
      <c r="E5570" s="388" t="s">
        <v>16</v>
      </c>
      <c r="F5570" s="388">
        <f>VLOOKUP(D5545,'Detail Balok'!$C$10:$BJ$140,53,FALSE)</f>
        <v>0</v>
      </c>
      <c r="G5570" s="405" t="s">
        <v>157</v>
      </c>
      <c r="H5570" s="395">
        <f>VLOOKUP(D5545,'Detail Balok'!$C$10:$BJ$140,55,FALSE)</f>
        <v>100</v>
      </c>
      <c r="I5570" s="388"/>
      <c r="J5570" s="399">
        <f t="shared" ref="J5570" si="18028">(D5546-2*F$5)/1000</f>
        <v>0.12</v>
      </c>
      <c r="K5570" s="400" t="s">
        <v>204</v>
      </c>
      <c r="L5570" s="399">
        <f t="shared" si="18021"/>
        <v>0.15</v>
      </c>
      <c r="M5570" s="399" t="s">
        <v>176</v>
      </c>
      <c r="N5570" s="399">
        <f t="shared" si="18022"/>
        <v>0.27</v>
      </c>
      <c r="O5570" s="399"/>
      <c r="P5570" s="399"/>
      <c r="Q5570" s="399"/>
      <c r="R5570" s="399"/>
      <c r="S5570" s="399"/>
      <c r="T5570" s="399" t="s">
        <v>125</v>
      </c>
      <c r="U5570" s="401">
        <f t="shared" si="18023"/>
        <v>0</v>
      </c>
      <c r="V5570" s="399" t="s">
        <v>125</v>
      </c>
      <c r="W5570" s="399">
        <f t="shared" si="18024"/>
        <v>8</v>
      </c>
      <c r="X5570" s="399" t="s">
        <v>125</v>
      </c>
      <c r="Y5570" s="389">
        <f t="shared" ref="Y5570" si="18029">D5555</f>
        <v>3</v>
      </c>
      <c r="Z5570" s="400" t="s">
        <v>176</v>
      </c>
      <c r="AA5570" s="402">
        <f t="shared" si="18026"/>
        <v>0</v>
      </c>
      <c r="AB5570" s="403"/>
    </row>
    <row r="5571" spans="1:28">
      <c r="A5571" s="384" t="str">
        <f t="shared" ref="A5571:B5571" si="18030">A5545</f>
        <v>Lantai 3</v>
      </c>
      <c r="B5571" s="385">
        <f t="shared" si="18030"/>
        <v>43</v>
      </c>
      <c r="C5571" s="393" t="s">
        <v>213</v>
      </c>
      <c r="D5571" s="398">
        <f>VLOOKUP(D5545,'Detail Balok'!$C$10:$BJ$140,56,FALSE)</f>
        <v>0</v>
      </c>
      <c r="E5571" s="388" t="s">
        <v>16</v>
      </c>
      <c r="F5571" s="388">
        <f>VLOOKUP(D5545,'Detail Balok'!$C$10:$BJ$140,58,FALSE)</f>
        <v>0</v>
      </c>
      <c r="G5571" s="405" t="s">
        <v>157</v>
      </c>
      <c r="H5571" s="395">
        <f>VLOOKUP(D5545,'Detail Balok'!$C$10:$BJ$140,60,FALSE)</f>
        <v>100</v>
      </c>
      <c r="I5571" s="388"/>
      <c r="J5571" s="399">
        <f t="shared" ref="J5571" si="18031">(D5546-2*F$5)/1000</f>
        <v>0.12</v>
      </c>
      <c r="K5571" s="400" t="s">
        <v>204</v>
      </c>
      <c r="L5571" s="399">
        <f t="shared" si="18021"/>
        <v>0.15</v>
      </c>
      <c r="M5571" s="399" t="s">
        <v>176</v>
      </c>
      <c r="N5571" s="399">
        <f t="shared" si="18022"/>
        <v>0.27</v>
      </c>
      <c r="O5571" s="399"/>
      <c r="P5571" s="399"/>
      <c r="Q5571" s="399"/>
      <c r="R5571" s="399"/>
      <c r="S5571" s="399"/>
      <c r="T5571" s="399" t="s">
        <v>125</v>
      </c>
      <c r="U5571" s="401">
        <f t="shared" si="18023"/>
        <v>0</v>
      </c>
      <c r="V5571" s="399" t="s">
        <v>125</v>
      </c>
      <c r="W5571" s="399">
        <f t="shared" si="18024"/>
        <v>9</v>
      </c>
      <c r="X5571" s="399" t="s">
        <v>125</v>
      </c>
      <c r="Y5571" s="389">
        <f t="shared" ref="Y5571" si="18032">D5555</f>
        <v>3</v>
      </c>
      <c r="Z5571" s="400" t="s">
        <v>176</v>
      </c>
      <c r="AA5571" s="402">
        <f t="shared" si="18026"/>
        <v>0</v>
      </c>
      <c r="AB5571" s="403"/>
    </row>
    <row r="5572" spans="1:28">
      <c r="A5572" s="391"/>
      <c r="B5572" s="392"/>
      <c r="C5572" s="392"/>
      <c r="D5572" s="394"/>
      <c r="E5572" s="388"/>
      <c r="F5572" s="388"/>
      <c r="G5572" s="388"/>
      <c r="H5572" s="395"/>
      <c r="I5572" s="388"/>
      <c r="J5572" s="402"/>
      <c r="K5572" s="388"/>
      <c r="L5572" s="388"/>
      <c r="M5572" s="388"/>
      <c r="N5572" s="388"/>
      <c r="O5572" s="388"/>
      <c r="P5572" s="388"/>
      <c r="Q5572" s="388"/>
      <c r="R5572" s="388"/>
      <c r="S5572" s="388"/>
      <c r="T5572" s="388"/>
      <c r="U5572" s="388"/>
      <c r="V5572" s="388"/>
      <c r="W5572" s="388"/>
      <c r="X5572" s="388"/>
      <c r="Y5572" s="389"/>
      <c r="Z5572" s="388"/>
      <c r="AA5572" s="402"/>
      <c r="AB5572" s="403"/>
    </row>
    <row r="5573" spans="1:28" ht="15.75" thickBot="1">
      <c r="A5573" s="406"/>
      <c r="B5573" s="407"/>
      <c r="C5573" s="407"/>
      <c r="D5573" s="408"/>
      <c r="E5573" s="409"/>
      <c r="F5573" s="409"/>
      <c r="G5573" s="409"/>
      <c r="H5573" s="410"/>
      <c r="I5573" s="409"/>
      <c r="J5573" s="409"/>
      <c r="K5573" s="409"/>
      <c r="L5573" s="409"/>
      <c r="M5573" s="409"/>
      <c r="N5573" s="409"/>
      <c r="O5573" s="409"/>
      <c r="P5573" s="409"/>
      <c r="Q5573" s="409"/>
      <c r="R5573" s="409"/>
      <c r="S5573" s="409"/>
      <c r="T5573" s="409"/>
      <c r="U5573" s="409"/>
      <c r="V5573" s="409"/>
      <c r="W5573" s="409"/>
      <c r="X5573" s="409"/>
      <c r="Y5573" s="411"/>
      <c r="Z5573" s="409"/>
      <c r="AA5573" s="412"/>
      <c r="AB5573" s="413"/>
    </row>
    <row r="5574" spans="1:28">
      <c r="A5574" s="377"/>
      <c r="B5574" s="378"/>
      <c r="C5574" s="378"/>
      <c r="D5574" s="379"/>
      <c r="E5574" s="380"/>
      <c r="F5574" s="380"/>
      <c r="G5574" s="380"/>
      <c r="H5574" s="381"/>
      <c r="I5574" s="380"/>
      <c r="J5574" s="380"/>
      <c r="K5574" s="380"/>
      <c r="L5574" s="380"/>
      <c r="M5574" s="380"/>
      <c r="N5574" s="380"/>
      <c r="O5574" s="380"/>
      <c r="P5574" s="380"/>
      <c r="Q5574" s="380"/>
      <c r="R5574" s="380"/>
      <c r="S5574" s="380"/>
      <c r="T5574" s="380"/>
      <c r="U5574" s="380"/>
      <c r="V5574" s="380"/>
      <c r="W5574" s="380"/>
      <c r="X5574" s="380"/>
      <c r="Y5574" s="382"/>
      <c r="Z5574" s="380"/>
      <c r="AA5574" s="380"/>
      <c r="AB5574" s="383"/>
    </row>
    <row r="5575" spans="1:28">
      <c r="A5575" s="384" t="str">
        <f t="shared" ref="A5575:A5635" si="18033">A5545</f>
        <v>Lantai 3</v>
      </c>
      <c r="B5575" s="385">
        <f t="shared" ref="B5575:B5635" si="18034">B5545+1</f>
        <v>44</v>
      </c>
      <c r="C5575" s="386" t="str">
        <f t="shared" ref="C5575" si="18035">CONCATENATE(A5575," no. ",B5575)</f>
        <v>Lantai 3 no. 44</v>
      </c>
      <c r="D5575" s="2562" t="str">
        <f>VLOOKUP(C5575,'Data Panjang Balok'!$C$9:$N$254,2,FALSE)</f>
        <v>B24-2</v>
      </c>
      <c r="E5575" s="2576"/>
      <c r="F5575" s="2576"/>
      <c r="G5575" s="2576"/>
      <c r="H5575" s="2577"/>
      <c r="I5575" s="387"/>
      <c r="J5575" s="388"/>
      <c r="K5575" s="388"/>
      <c r="L5575" s="388"/>
      <c r="M5575" s="388"/>
      <c r="N5575" s="388"/>
      <c r="O5575" s="388"/>
      <c r="P5575" s="388"/>
      <c r="Q5575" s="388"/>
      <c r="R5575" s="388"/>
      <c r="S5575" s="388"/>
      <c r="T5575" s="388"/>
      <c r="U5575" s="388"/>
      <c r="V5575" s="388"/>
      <c r="W5575" s="388"/>
      <c r="X5575" s="388"/>
      <c r="Y5575" s="389"/>
      <c r="Z5575" s="388"/>
      <c r="AA5575" s="388"/>
      <c r="AB5575" s="390"/>
    </row>
    <row r="5576" spans="1:28">
      <c r="A5576" s="391"/>
      <c r="B5576" s="392"/>
      <c r="C5576" s="393" t="s">
        <v>118</v>
      </c>
      <c r="D5576" s="2578">
        <f>VLOOKUP(D5575,'Detail Balok'!$C$10:$AU$140,2,FALSE)</f>
        <v>200</v>
      </c>
      <c r="E5576" s="2579"/>
      <c r="F5576" s="388" t="s">
        <v>125</v>
      </c>
      <c r="G5576" s="2579">
        <f>VLOOKUP(D5575,'Detail Balok'!$C$10:$AU$140,3,FALSE)</f>
        <v>400</v>
      </c>
      <c r="H5576" s="2580"/>
      <c r="I5576" s="388"/>
      <c r="J5576" s="396"/>
      <c r="K5576" s="396"/>
      <c r="L5576" s="396"/>
      <c r="M5576" s="396"/>
      <c r="N5576" s="396"/>
      <c r="O5576" s="396"/>
      <c r="P5576" s="396"/>
      <c r="Q5576" s="396"/>
      <c r="R5576" s="396"/>
      <c r="S5576" s="396"/>
      <c r="T5576" s="396"/>
      <c r="U5576" s="388"/>
      <c r="V5576" s="396"/>
      <c r="W5576" s="388"/>
      <c r="X5576" s="396"/>
      <c r="Y5576" s="389"/>
      <c r="Z5576" s="396"/>
      <c r="AA5576" s="388"/>
      <c r="AB5576" s="390"/>
    </row>
    <row r="5577" spans="1:28">
      <c r="A5577" s="391"/>
      <c r="B5577" s="392"/>
      <c r="C5577" s="393" t="s">
        <v>198</v>
      </c>
      <c r="D5577" s="2562">
        <f>VLOOKUP(C5575,'Data Panjang Balok'!$C$9:$N$254,4,FALSE)</f>
        <v>12750</v>
      </c>
      <c r="E5577" s="2563"/>
      <c r="F5577" s="2563"/>
      <c r="G5577" s="2563"/>
      <c r="H5577" s="2564"/>
      <c r="I5577" s="397"/>
      <c r="J5577" s="396"/>
      <c r="K5577" s="396"/>
      <c r="L5577" s="396"/>
      <c r="M5577" s="396"/>
      <c r="N5577" s="396"/>
      <c r="O5577" s="396"/>
      <c r="P5577" s="396"/>
      <c r="Q5577" s="396"/>
      <c r="R5577" s="396"/>
      <c r="S5577" s="396"/>
      <c r="T5577" s="396"/>
      <c r="U5577" s="388"/>
      <c r="V5577" s="396"/>
      <c r="W5577" s="388"/>
      <c r="X5577" s="396"/>
      <c r="Y5577" s="389"/>
      <c r="Z5577" s="396"/>
      <c r="AA5577" s="388"/>
      <c r="AB5577" s="390"/>
    </row>
    <row r="5578" spans="1:28">
      <c r="A5578" s="391"/>
      <c r="B5578" s="392"/>
      <c r="C5578" s="393" t="s">
        <v>199</v>
      </c>
      <c r="D5578" s="2562">
        <f>VLOOKUP(C5575,'Data Panjang Balok'!$C$9:$N$254,7,FALSE)</f>
        <v>12750</v>
      </c>
      <c r="E5578" s="2563"/>
      <c r="F5578" s="2563"/>
      <c r="G5578" s="2563"/>
      <c r="H5578" s="2564"/>
      <c r="I5578" s="397"/>
      <c r="J5578" s="396"/>
      <c r="K5578" s="396"/>
      <c r="L5578" s="396"/>
      <c r="M5578" s="396"/>
      <c r="N5578" s="396"/>
      <c r="O5578" s="396"/>
      <c r="P5578" s="396"/>
      <c r="Q5578" s="396"/>
      <c r="R5578" s="396"/>
      <c r="S5578" s="396"/>
      <c r="T5578" s="396"/>
      <c r="U5578" s="388"/>
      <c r="V5578" s="396"/>
      <c r="W5578" s="388"/>
      <c r="X5578" s="396"/>
      <c r="Y5578" s="389"/>
      <c r="Z5578" s="396"/>
      <c r="AA5578" s="388"/>
      <c r="AB5578" s="390"/>
    </row>
    <row r="5579" spans="1:28">
      <c r="A5579" s="391"/>
      <c r="B5579" s="392"/>
      <c r="C5579" s="393" t="s">
        <v>200</v>
      </c>
      <c r="D5579" s="2562">
        <f>VLOOKUP(C5575,'Data Panjang Balok'!$C$9:$N$254,9,FALSE)</f>
        <v>0</v>
      </c>
      <c r="E5579" s="2563"/>
      <c r="F5579" s="2563"/>
      <c r="G5579" s="2563"/>
      <c r="H5579" s="2564"/>
      <c r="I5579" s="397"/>
      <c r="J5579" s="396"/>
      <c r="K5579" s="396"/>
      <c r="L5579" s="396"/>
      <c r="M5579" s="396"/>
      <c r="N5579" s="396"/>
      <c r="O5579" s="396"/>
      <c r="P5579" s="396"/>
      <c r="Q5579" s="396"/>
      <c r="R5579" s="396"/>
      <c r="S5579" s="396"/>
      <c r="T5579" s="396"/>
      <c r="U5579" s="388"/>
      <c r="V5579" s="396"/>
      <c r="W5579" s="388"/>
      <c r="X5579" s="396"/>
      <c r="Y5579" s="389"/>
      <c r="Z5579" s="396"/>
      <c r="AA5579" s="388"/>
      <c r="AB5579" s="390"/>
    </row>
    <row r="5580" spans="1:28">
      <c r="A5580" s="391"/>
      <c r="B5580" s="392"/>
      <c r="C5580" s="393" t="s">
        <v>201</v>
      </c>
      <c r="D5580" s="2562">
        <f>VLOOKUP(C5575,'Data Panjang Balok'!$C$9:$N$254,10,FALSE)</f>
        <v>0</v>
      </c>
      <c r="E5580" s="2563"/>
      <c r="F5580" s="2563"/>
      <c r="G5580" s="2563"/>
      <c r="H5580" s="2564"/>
      <c r="I5580" s="397"/>
      <c r="J5580" s="396"/>
      <c r="K5580" s="396"/>
      <c r="L5580" s="396"/>
      <c r="M5580" s="396"/>
      <c r="N5580" s="396"/>
      <c r="O5580" s="396"/>
      <c r="P5580" s="396"/>
      <c r="Q5580" s="396"/>
      <c r="R5580" s="396"/>
      <c r="S5580" s="396"/>
      <c r="T5580" s="396"/>
      <c r="U5580" s="388"/>
      <c r="V5580" s="396"/>
      <c r="W5580" s="388"/>
      <c r="X5580" s="396"/>
      <c r="Y5580" s="389"/>
      <c r="Z5580" s="396"/>
      <c r="AA5580" s="388"/>
      <c r="AB5580" s="390"/>
    </row>
    <row r="5581" spans="1:28">
      <c r="A5581" s="391"/>
      <c r="B5581" s="392"/>
      <c r="C5581" s="393" t="s">
        <v>48</v>
      </c>
      <c r="D5581" s="2562">
        <f>VLOOKUP(C5575,'Data Panjang Balok'!$C$9:$N$254,3,FALSE)</f>
        <v>1</v>
      </c>
      <c r="E5581" s="2563"/>
      <c r="F5581" s="2563"/>
      <c r="G5581" s="2563"/>
      <c r="H5581" s="2564"/>
      <c r="I5581" s="397"/>
      <c r="J5581" s="396"/>
      <c r="K5581" s="396"/>
      <c r="L5581" s="396"/>
      <c r="M5581" s="396"/>
      <c r="N5581" s="396"/>
      <c r="O5581" s="396"/>
      <c r="P5581" s="396"/>
      <c r="Q5581" s="396"/>
      <c r="R5581" s="396"/>
      <c r="S5581" s="396"/>
      <c r="T5581" s="396"/>
      <c r="U5581" s="388"/>
      <c r="V5581" s="396"/>
      <c r="W5581" s="388"/>
      <c r="X5581" s="396"/>
      <c r="Y5581" s="389"/>
      <c r="Z5581" s="396"/>
      <c r="AA5581" s="388"/>
      <c r="AB5581" s="390"/>
    </row>
    <row r="5582" spans="1:28">
      <c r="A5582" s="384" t="str">
        <f t="shared" ref="A5582:B5582" si="18036">A5575</f>
        <v>Lantai 3</v>
      </c>
      <c r="B5582" s="385">
        <f t="shared" si="18036"/>
        <v>44</v>
      </c>
      <c r="C5582" s="393" t="s">
        <v>202</v>
      </c>
      <c r="D5582" s="398">
        <f>VLOOKUP(D5575,'Detail Balok'!$C$10:$AU$140,4,FALSE)</f>
        <v>3</v>
      </c>
      <c r="E5582" s="388" t="s">
        <v>16</v>
      </c>
      <c r="F5582" s="388">
        <f>VLOOKUP(D5575,'Detail Balok'!$C$10:$AU$140,6,FALSE)</f>
        <v>16</v>
      </c>
      <c r="G5582" s="388"/>
      <c r="H5582" s="395"/>
      <c r="I5582" s="388" t="s">
        <v>203</v>
      </c>
      <c r="J5582" s="399">
        <f t="shared" ref="J5582" si="18037">+D5577/4/1000</f>
        <v>3.1875</v>
      </c>
      <c r="K5582" s="400" t="s">
        <v>204</v>
      </c>
      <c r="L5582" s="399">
        <f t="shared" ref="L5582" si="18038">MAX(VLOOKUP(F5582,N$6:P$15,3,FALSE)/1000,2/3*D5579/1000)+F$16*F5582/1000</f>
        <v>0.192</v>
      </c>
      <c r="M5582" s="399" t="s">
        <v>176</v>
      </c>
      <c r="N5582" s="399">
        <f t="shared" ref="N5582:N5584" si="18039">J5582+L5582</f>
        <v>3.3795000000000002</v>
      </c>
      <c r="O5582" s="399" t="s">
        <v>204</v>
      </c>
      <c r="P5582" s="389">
        <f t="shared" ref="P5582" si="18040">D5582-D5583</f>
        <v>0</v>
      </c>
      <c r="Q5582" s="399" t="s">
        <v>125</v>
      </c>
      <c r="R5582" s="399">
        <f t="shared" ref="R5582" si="18041">IF(P5582&gt;0,$F$18*F5582/1000,0)</f>
        <v>0</v>
      </c>
      <c r="S5582" s="399" t="s">
        <v>205</v>
      </c>
      <c r="T5582" s="399" t="s">
        <v>125</v>
      </c>
      <c r="U5582" s="401">
        <f t="shared" ref="U5582:U5584" si="18042">0.006165*F5582^2</f>
        <v>1.5782400000000001</v>
      </c>
      <c r="V5582" s="399"/>
      <c r="W5582" s="399"/>
      <c r="X5582" s="399" t="s">
        <v>125</v>
      </c>
      <c r="Y5582" s="389">
        <f t="shared" ref="Y5582" si="18043">D5581</f>
        <v>1</v>
      </c>
      <c r="Z5582" s="400" t="s">
        <v>176</v>
      </c>
      <c r="AA5582" s="402">
        <f t="shared" ref="AA5582" si="18044">IF(AA5585=0,(D5582*N5582+P5582*R5582)*U5582*Y5582,0)</f>
        <v>0</v>
      </c>
      <c r="AB5582" s="403"/>
    </row>
    <row r="5583" spans="1:28">
      <c r="A5583" s="384" t="str">
        <f t="shared" ref="A5583:B5583" si="18045">A5575</f>
        <v>Lantai 3</v>
      </c>
      <c r="B5583" s="385">
        <f t="shared" si="18045"/>
        <v>44</v>
      </c>
      <c r="C5583" s="393" t="s">
        <v>206</v>
      </c>
      <c r="D5583" s="398">
        <f>VLOOKUP(D5575,'Detail Balok'!$C$10:$AU$140,7,FALSE)</f>
        <v>3</v>
      </c>
      <c r="E5583" s="388" t="s">
        <v>16</v>
      </c>
      <c r="F5583" s="388">
        <f>VLOOKUP(D5575,'Detail Balok'!$C$10:$AU$140,9,FALSE)</f>
        <v>16</v>
      </c>
      <c r="G5583" s="388"/>
      <c r="H5583" s="395"/>
      <c r="I5583" s="388" t="s">
        <v>203</v>
      </c>
      <c r="J5583" s="399">
        <f t="shared" ref="J5583" si="18046">+D5577/2/1000</f>
        <v>6.375</v>
      </c>
      <c r="K5583" s="400" t="s">
        <v>204</v>
      </c>
      <c r="L5583" s="399"/>
      <c r="M5583" s="399" t="s">
        <v>176</v>
      </c>
      <c r="N5583" s="399">
        <f t="shared" si="18039"/>
        <v>6.375</v>
      </c>
      <c r="O5583" s="399" t="s">
        <v>204</v>
      </c>
      <c r="P5583" s="389">
        <f t="shared" ref="P5583" si="18047">MAX(D5583-D5582,D5583-D5584)</f>
        <v>0</v>
      </c>
      <c r="Q5583" s="399" t="s">
        <v>125</v>
      </c>
      <c r="R5583" s="399">
        <f t="shared" ref="R5583" si="18048">IF(P5583&gt;0,2*(1-2*$F$19-1/2)*D5578/1000,0)</f>
        <v>0</v>
      </c>
      <c r="S5583" s="399" t="s">
        <v>205</v>
      </c>
      <c r="T5583" s="399" t="s">
        <v>125</v>
      </c>
      <c r="U5583" s="401">
        <f t="shared" si="18042"/>
        <v>1.5782400000000001</v>
      </c>
      <c r="V5583" s="399"/>
      <c r="W5583" s="399"/>
      <c r="X5583" s="399" t="s">
        <v>125</v>
      </c>
      <c r="Y5583" s="389">
        <f t="shared" ref="Y5583" si="18049">D5581</f>
        <v>1</v>
      </c>
      <c r="Z5583" s="400" t="s">
        <v>176</v>
      </c>
      <c r="AA5583" s="402">
        <f t="shared" ref="AA5583" si="18050">IF(AA5585=0,(D5583*N5583+P5583*R5583)*U5583*Y5583,0)</f>
        <v>0</v>
      </c>
      <c r="AB5583" s="403"/>
    </row>
    <row r="5584" spans="1:28">
      <c r="A5584" s="384" t="str">
        <f t="shared" ref="A5584:B5584" si="18051">A5575</f>
        <v>Lantai 3</v>
      </c>
      <c r="B5584" s="385">
        <f t="shared" si="18051"/>
        <v>44</v>
      </c>
      <c r="C5584" s="393" t="s">
        <v>202</v>
      </c>
      <c r="D5584" s="398">
        <f>VLOOKUP(D5575,'Detail Balok'!$C$10:$AU$140,10,FALSE)</f>
        <v>3</v>
      </c>
      <c r="E5584" s="388" t="s">
        <v>16</v>
      </c>
      <c r="F5584" s="388">
        <f>VLOOKUP(D5575,'Detail Balok'!$C$10:$AU$140,12,FALSE)</f>
        <v>16</v>
      </c>
      <c r="G5584" s="388"/>
      <c r="H5584" s="395"/>
      <c r="I5584" s="388" t="s">
        <v>203</v>
      </c>
      <c r="J5584" s="399">
        <f t="shared" ref="J5584" si="18052">+D5577/4/1000</f>
        <v>3.1875</v>
      </c>
      <c r="K5584" s="400" t="s">
        <v>204</v>
      </c>
      <c r="L5584" s="399">
        <f t="shared" ref="L5584" si="18053">MAX(VLOOKUP(F5584,N$6:P$15,3,FALSE)/1000,2/3*D5579/1000)+F$16*F5584/1000</f>
        <v>0.192</v>
      </c>
      <c r="M5584" s="399" t="s">
        <v>176</v>
      </c>
      <c r="N5584" s="399">
        <f t="shared" si="18039"/>
        <v>3.3795000000000002</v>
      </c>
      <c r="O5584" s="399" t="s">
        <v>204</v>
      </c>
      <c r="P5584" s="389">
        <f t="shared" ref="P5584" si="18054">D5584-D5583</f>
        <v>0</v>
      </c>
      <c r="Q5584" s="399" t="s">
        <v>125</v>
      </c>
      <c r="R5584" s="399">
        <f t="shared" ref="R5584" si="18055">IF(P5584&gt;0,$F$18*F5584/1000,0)</f>
        <v>0</v>
      </c>
      <c r="S5584" s="399" t="s">
        <v>205</v>
      </c>
      <c r="T5584" s="399" t="s">
        <v>125</v>
      </c>
      <c r="U5584" s="401">
        <f t="shared" si="18042"/>
        <v>1.5782400000000001</v>
      </c>
      <c r="V5584" s="399"/>
      <c r="W5584" s="399"/>
      <c r="X5584" s="399" t="s">
        <v>125</v>
      </c>
      <c r="Y5584" s="389">
        <f t="shared" ref="Y5584" si="18056">D5581</f>
        <v>1</v>
      </c>
      <c r="Z5584" s="400" t="s">
        <v>176</v>
      </c>
      <c r="AA5584" s="402">
        <f t="shared" ref="AA5584" si="18057">IF(AA5585=0,(D5584*N5584+P5584*R5584)*U5584*Y5584,0)</f>
        <v>0</v>
      </c>
      <c r="AB5584" s="403"/>
    </row>
    <row r="5585" spans="1:28">
      <c r="A5585" s="384" t="str">
        <f t="shared" ref="A5585:B5585" si="18058">A5575</f>
        <v>Lantai 3</v>
      </c>
      <c r="B5585" s="385">
        <f t="shared" si="18058"/>
        <v>44</v>
      </c>
      <c r="C5585" s="393"/>
      <c r="D5585" s="398">
        <f t="shared" si="17954"/>
        <v>3</v>
      </c>
      <c r="E5585" s="388" t="s">
        <v>16</v>
      </c>
      <c r="F5585" s="388">
        <f t="shared" si="17955"/>
        <v>16</v>
      </c>
      <c r="G5585" s="388"/>
      <c r="H5585" s="395"/>
      <c r="I5585" s="388"/>
      <c r="J5585" s="396"/>
      <c r="K5585" s="396"/>
      <c r="L5585" s="404" t="s">
        <v>207</v>
      </c>
      <c r="M5585" s="399" t="s">
        <v>176</v>
      </c>
      <c r="N5585" s="399">
        <f t="shared" ref="N5585" si="18059">IF(AND(D5582=D5583,D5582=D5584,D5583=D5584,F5582=F5583,F5582=F5584,F5583=F5584),SUM(N5582:N5584),0)</f>
        <v>13.134</v>
      </c>
      <c r="O5585" s="399" t="s">
        <v>204</v>
      </c>
      <c r="P5585" s="389">
        <f t="shared" ref="P5585" si="18060">IF(N5585&gt;12,ROUNDDOWN(N5585/12,0),0)</f>
        <v>1</v>
      </c>
      <c r="Q5585" s="399" t="s">
        <v>125</v>
      </c>
      <c r="R5585" s="399">
        <f t="shared" ref="R5585" si="18061">IF(P5585&gt;0,MAX(VLOOKUP(F5585,$D$6:$G$15,3,FALSE),600),0)/1000</f>
        <v>0.8</v>
      </c>
      <c r="S5585" s="396"/>
      <c r="T5585" s="396" t="s">
        <v>125</v>
      </c>
      <c r="U5585" s="401">
        <f t="shared" si="17959"/>
        <v>1.5782400000000001</v>
      </c>
      <c r="V5585" s="396" t="s">
        <v>125</v>
      </c>
      <c r="W5585" s="399">
        <f t="shared" ref="W5585" si="18062">D5585</f>
        <v>3</v>
      </c>
      <c r="X5585" s="399" t="s">
        <v>125</v>
      </c>
      <c r="Y5585" s="389">
        <f t="shared" si="17961"/>
        <v>1</v>
      </c>
      <c r="Z5585" s="400" t="s">
        <v>176</v>
      </c>
      <c r="AA5585" s="402">
        <f t="shared" ref="AA5585" si="18063">(N5585+P5585*R5585/1000)*U5585*W5585*Y5585</f>
        <v>62.189600256000006</v>
      </c>
      <c r="AB5585" s="390"/>
    </row>
    <row r="5586" spans="1:28">
      <c r="A5586" s="384"/>
      <c r="B5586" s="385"/>
      <c r="C5586" s="393"/>
      <c r="D5586" s="398"/>
      <c r="E5586" s="388"/>
      <c r="F5586" s="388"/>
      <c r="G5586" s="388"/>
      <c r="H5586" s="395"/>
      <c r="I5586" s="388"/>
      <c r="J5586" s="396"/>
      <c r="K5586" s="396"/>
      <c r="L5586" s="404"/>
      <c r="M5586" s="399"/>
      <c r="N5586" s="399"/>
      <c r="O5586" s="396"/>
      <c r="P5586" s="389"/>
      <c r="Q5586" s="396"/>
      <c r="R5586" s="396"/>
      <c r="S5586" s="396"/>
      <c r="T5586" s="396"/>
      <c r="U5586" s="401"/>
      <c r="V5586" s="396"/>
      <c r="W5586" s="399"/>
      <c r="X5586" s="396"/>
      <c r="Y5586" s="389"/>
      <c r="Z5586" s="396"/>
      <c r="AA5586" s="388"/>
      <c r="AB5586" s="390"/>
    </row>
    <row r="5587" spans="1:28">
      <c r="A5587" s="384" t="str">
        <f t="shared" ref="A5587:B5587" si="18064">A5575</f>
        <v>Lantai 3</v>
      </c>
      <c r="B5587" s="385">
        <f t="shared" si="18064"/>
        <v>44</v>
      </c>
      <c r="C5587" s="393" t="s">
        <v>208</v>
      </c>
      <c r="D5587" s="398">
        <f>VLOOKUP(D5575,'Detail Balok'!$C$10:$AU$140,13,FALSE)</f>
        <v>0</v>
      </c>
      <c r="E5587" s="388" t="s">
        <v>16</v>
      </c>
      <c r="F5587" s="388">
        <f>VLOOKUP(D5575,'Detail Balok'!$C$10:$AU$140,15,FALSE)</f>
        <v>8</v>
      </c>
      <c r="G5587" s="388"/>
      <c r="H5587" s="395"/>
      <c r="I5587" s="388"/>
      <c r="J5587" s="399">
        <f t="shared" ref="J5587" si="18065">+D5577/1000</f>
        <v>12.75</v>
      </c>
      <c r="K5587" s="400" t="s">
        <v>204</v>
      </c>
      <c r="L5587" s="399">
        <f t="shared" ref="L5587" si="18066">2*$F$16*F5587/1000</f>
        <v>0.192</v>
      </c>
      <c r="M5587" s="399" t="s">
        <v>176</v>
      </c>
      <c r="N5587" s="399">
        <f t="shared" ref="N5587" si="18067">J5587+L5587</f>
        <v>12.942</v>
      </c>
      <c r="O5587" s="399" t="s">
        <v>204</v>
      </c>
      <c r="P5587" s="389">
        <f t="shared" ref="P5587" si="18068">IF(N5587&gt;12,ROUNDDOWN(N5587/12,0),0)</f>
        <v>1</v>
      </c>
      <c r="Q5587" s="399" t="s">
        <v>125</v>
      </c>
      <c r="R5587" s="399">
        <f t="shared" ref="R5587" si="18069">IF(P5587&gt;0,MAX(VLOOKUP(F5587,$D$6:$G$15,3,FALSE),600),0)/1000</f>
        <v>0.6</v>
      </c>
      <c r="S5587" s="399"/>
      <c r="T5587" s="399" t="s">
        <v>125</v>
      </c>
      <c r="U5587" s="401">
        <f t="shared" ref="U5587" si="18070">0.006165*F5587^2</f>
        <v>0.39456000000000002</v>
      </c>
      <c r="V5587" s="399" t="s">
        <v>125</v>
      </c>
      <c r="W5587" s="399">
        <f t="shared" ref="W5587" si="18071">+D5587</f>
        <v>0</v>
      </c>
      <c r="X5587" s="399" t="s">
        <v>125</v>
      </c>
      <c r="Y5587" s="389">
        <f t="shared" ref="Y5587" si="18072">D5581</f>
        <v>1</v>
      </c>
      <c r="Z5587" s="400" t="s">
        <v>176</v>
      </c>
      <c r="AA5587" s="402">
        <f t="shared" ref="AA5587" si="18073">(N5587+P5587*R5587/1000)*U5587*W5587*Y5587</f>
        <v>0</v>
      </c>
      <c r="AB5587" s="403"/>
    </row>
    <row r="5588" spans="1:28">
      <c r="A5588" s="384"/>
      <c r="B5588" s="385"/>
      <c r="C5588" s="393"/>
      <c r="D5588" s="398"/>
      <c r="E5588" s="388"/>
      <c r="F5588" s="388"/>
      <c r="G5588" s="388"/>
      <c r="H5588" s="395"/>
      <c r="I5588" s="388"/>
      <c r="J5588" s="399"/>
      <c r="K5588" s="400"/>
      <c r="L5588" s="399"/>
      <c r="M5588" s="399"/>
      <c r="N5588" s="399"/>
      <c r="O5588" s="399"/>
      <c r="P5588" s="389"/>
      <c r="Q5588" s="399"/>
      <c r="R5588" s="399"/>
      <c r="S5588" s="399"/>
      <c r="T5588" s="399"/>
      <c r="U5588" s="401"/>
      <c r="V5588" s="399"/>
      <c r="W5588" s="399"/>
      <c r="X5588" s="399"/>
      <c r="Y5588" s="389"/>
      <c r="Z5588" s="400"/>
      <c r="AA5588" s="402"/>
      <c r="AB5588" s="403"/>
    </row>
    <row r="5589" spans="1:28">
      <c r="A5589" s="384"/>
      <c r="B5589" s="385"/>
      <c r="C5589" s="393"/>
      <c r="D5589" s="398"/>
      <c r="E5589" s="388"/>
      <c r="F5589" s="388"/>
      <c r="G5589" s="388"/>
      <c r="H5589" s="395"/>
      <c r="I5589" s="388"/>
      <c r="J5589" s="396"/>
      <c r="K5589" s="396"/>
      <c r="L5589" s="396"/>
      <c r="M5589" s="396"/>
      <c r="N5589" s="396"/>
      <c r="O5589" s="396"/>
      <c r="P5589" s="389"/>
      <c r="Q5589" s="396"/>
      <c r="R5589" s="396"/>
      <c r="S5589" s="396"/>
      <c r="T5589" s="396"/>
      <c r="U5589" s="401"/>
      <c r="V5589" s="396"/>
      <c r="W5589" s="399"/>
      <c r="X5589" s="396"/>
      <c r="Y5589" s="389"/>
      <c r="Z5589" s="396"/>
      <c r="AA5589" s="388"/>
      <c r="AB5589" s="390"/>
    </row>
    <row r="5590" spans="1:28">
      <c r="A5590" s="384" t="str">
        <f t="shared" ref="A5590:B5590" si="18074">A5575</f>
        <v>Lantai 3</v>
      </c>
      <c r="B5590" s="385">
        <f t="shared" si="18074"/>
        <v>44</v>
      </c>
      <c r="C5590" s="393" t="s">
        <v>209</v>
      </c>
      <c r="D5590" s="398">
        <f>VLOOKUP(D5575,'Detail Balok'!$C$10:$AU$140,22,FALSE)</f>
        <v>3</v>
      </c>
      <c r="E5590" s="388" t="s">
        <v>16</v>
      </c>
      <c r="F5590" s="388">
        <f>VLOOKUP(D5575,'Detail Balok'!$C$10:$AU$140,24,FALSE)</f>
        <v>16</v>
      </c>
      <c r="G5590" s="388"/>
      <c r="H5590" s="395"/>
      <c r="I5590" s="388" t="s">
        <v>203</v>
      </c>
      <c r="J5590" s="399">
        <f t="shared" si="17974"/>
        <v>3.1875</v>
      </c>
      <c r="K5590" s="400" t="s">
        <v>204</v>
      </c>
      <c r="L5590" s="399">
        <f t="shared" ref="L5590" si="18075">MAX(VLOOKUP(F5590,N$6:P$15,3,FALSE)/1000,2/3*D5580/1000)+F$16*F5590/1000</f>
        <v>0.192</v>
      </c>
      <c r="M5590" s="399" t="s">
        <v>176</v>
      </c>
      <c r="N5590" s="399">
        <f t="shared" ref="N5590:N5592" si="18076">J5590+L5590</f>
        <v>3.3795000000000002</v>
      </c>
      <c r="O5590" s="399" t="s">
        <v>204</v>
      </c>
      <c r="P5590" s="389">
        <f t="shared" ref="P5590" si="18077">D5590-D5591</f>
        <v>0</v>
      </c>
      <c r="Q5590" s="399" t="s">
        <v>125</v>
      </c>
      <c r="R5590" s="399">
        <f t="shared" ref="R5590" si="18078">IF(P5590&gt;0,$F$18*F5590/1000,0)</f>
        <v>0</v>
      </c>
      <c r="S5590" s="399" t="s">
        <v>205</v>
      </c>
      <c r="T5590" s="399" t="s">
        <v>125</v>
      </c>
      <c r="U5590" s="401">
        <f t="shared" ref="U5590:U5592" si="18079">0.006165*F5590^2</f>
        <v>1.5782400000000001</v>
      </c>
      <c r="V5590" s="399"/>
      <c r="W5590" s="399"/>
      <c r="X5590" s="399" t="s">
        <v>125</v>
      </c>
      <c r="Y5590" s="389">
        <f t="shared" ref="Y5590" si="18080">D5581</f>
        <v>1</v>
      </c>
      <c r="Z5590" s="400" t="s">
        <v>176</v>
      </c>
      <c r="AA5590" s="402">
        <f t="shared" ref="AA5590" si="18081">IF(AA5593=0,(D5590*N5590+P5590*R5590)*U5590*Y5590,0)</f>
        <v>0</v>
      </c>
      <c r="AB5590" s="403"/>
    </row>
    <row r="5591" spans="1:28">
      <c r="A5591" s="384" t="str">
        <f t="shared" ref="A5591:B5591" si="18082">A5575</f>
        <v>Lantai 3</v>
      </c>
      <c r="B5591" s="385">
        <f t="shared" si="18082"/>
        <v>44</v>
      </c>
      <c r="C5591" s="393" t="s">
        <v>210</v>
      </c>
      <c r="D5591" s="398">
        <f>VLOOKUP(D5575,'Detail Balok'!$C$10:$AU$140,25,FALSE)</f>
        <v>3</v>
      </c>
      <c r="E5591" s="388" t="s">
        <v>16</v>
      </c>
      <c r="F5591" s="388">
        <f>VLOOKUP(D5575,'Detail Balok'!$C$10:$AU$140,27,FALSE)</f>
        <v>16</v>
      </c>
      <c r="G5591" s="388"/>
      <c r="H5591" s="395"/>
      <c r="I5591" s="388" t="s">
        <v>203</v>
      </c>
      <c r="J5591" s="399">
        <f t="shared" si="17974"/>
        <v>6.375</v>
      </c>
      <c r="K5591" s="400" t="s">
        <v>204</v>
      </c>
      <c r="L5591" s="399"/>
      <c r="M5591" s="399" t="s">
        <v>176</v>
      </c>
      <c r="N5591" s="399">
        <f t="shared" si="18076"/>
        <v>6.375</v>
      </c>
      <c r="O5591" s="399" t="s">
        <v>204</v>
      </c>
      <c r="P5591" s="389">
        <f t="shared" ref="P5591" si="18083">MAX(D5591-D5590,D5591-D5592)</f>
        <v>0</v>
      </c>
      <c r="Q5591" s="399" t="s">
        <v>125</v>
      </c>
      <c r="R5591" s="399">
        <f t="shared" ref="R5591" si="18084">IF(P5591&gt;0,2*(1-2*$F$19-1/2)*D5578/1000,0)</f>
        <v>0</v>
      </c>
      <c r="S5591" s="399" t="s">
        <v>205</v>
      </c>
      <c r="T5591" s="399" t="s">
        <v>125</v>
      </c>
      <c r="U5591" s="401">
        <f t="shared" si="18079"/>
        <v>1.5782400000000001</v>
      </c>
      <c r="V5591" s="399"/>
      <c r="W5591" s="399"/>
      <c r="X5591" s="399" t="s">
        <v>125</v>
      </c>
      <c r="Y5591" s="389">
        <f t="shared" ref="Y5591" si="18085">D5581</f>
        <v>1</v>
      </c>
      <c r="Z5591" s="400" t="s">
        <v>176</v>
      </c>
      <c r="AA5591" s="402">
        <f t="shared" ref="AA5591" si="18086">IF(AA5593=0,(D5591*N5591+P5591*R5591)*U5591*Y5591,0)</f>
        <v>0</v>
      </c>
      <c r="AB5591" s="403"/>
    </row>
    <row r="5592" spans="1:28">
      <c r="A5592" s="384" t="str">
        <f t="shared" ref="A5592:B5592" si="18087">A5575</f>
        <v>Lantai 3</v>
      </c>
      <c r="B5592" s="385">
        <f t="shared" si="18087"/>
        <v>44</v>
      </c>
      <c r="C5592" s="393" t="s">
        <v>209</v>
      </c>
      <c r="D5592" s="398">
        <f>VLOOKUP(D5575,'Detail Balok'!$C$10:$AU$140,28,FALSE)</f>
        <v>3</v>
      </c>
      <c r="E5592" s="388" t="s">
        <v>16</v>
      </c>
      <c r="F5592" s="388">
        <f>VLOOKUP(D5575,'Detail Balok'!$C$10:$AU$140,30,FALSE)</f>
        <v>16</v>
      </c>
      <c r="G5592" s="388"/>
      <c r="H5592" s="395"/>
      <c r="I5592" s="388" t="s">
        <v>203</v>
      </c>
      <c r="J5592" s="399">
        <f t="shared" si="17974"/>
        <v>3.1875</v>
      </c>
      <c r="K5592" s="400" t="s">
        <v>204</v>
      </c>
      <c r="L5592" s="399">
        <f t="shared" ref="L5592" si="18088">MAX(VLOOKUP(F5592,N$6:P$15,3,FALSE)/1000,2/3*D5580/1000)+F$16*F5592/1000</f>
        <v>0.192</v>
      </c>
      <c r="M5592" s="399" t="s">
        <v>176</v>
      </c>
      <c r="N5592" s="399">
        <f t="shared" si="18076"/>
        <v>3.3795000000000002</v>
      </c>
      <c r="O5592" s="399" t="s">
        <v>204</v>
      </c>
      <c r="P5592" s="389">
        <f t="shared" ref="P5592" si="18089">D5592-D5591</f>
        <v>0</v>
      </c>
      <c r="Q5592" s="399" t="s">
        <v>125</v>
      </c>
      <c r="R5592" s="399">
        <f t="shared" ref="R5592" si="18090">IF(P5592&gt;0,$F$18*F5592/1000,0)</f>
        <v>0</v>
      </c>
      <c r="S5592" s="399" t="s">
        <v>205</v>
      </c>
      <c r="T5592" s="399" t="s">
        <v>125</v>
      </c>
      <c r="U5592" s="401">
        <f t="shared" si="18079"/>
        <v>1.5782400000000001</v>
      </c>
      <c r="V5592" s="399"/>
      <c r="W5592" s="399"/>
      <c r="X5592" s="399" t="s">
        <v>125</v>
      </c>
      <c r="Y5592" s="389">
        <f t="shared" ref="Y5592" si="18091">D5581</f>
        <v>1</v>
      </c>
      <c r="Z5592" s="400" t="s">
        <v>176</v>
      </c>
      <c r="AA5592" s="402">
        <f t="shared" ref="AA5592" si="18092">IF(AA5593=0,(D5592*N5592+P5592*R5592)*U5592*Y5592,0)</f>
        <v>0</v>
      </c>
      <c r="AB5592" s="403"/>
    </row>
    <row r="5593" spans="1:28">
      <c r="A5593" s="384" t="str">
        <f t="shared" ref="A5593:B5593" si="18093">A5575</f>
        <v>Lantai 3</v>
      </c>
      <c r="B5593" s="385">
        <f t="shared" si="18093"/>
        <v>44</v>
      </c>
      <c r="C5593" s="393"/>
      <c r="D5593" s="398">
        <f t="shared" si="17994"/>
        <v>3</v>
      </c>
      <c r="E5593" s="388" t="s">
        <v>16</v>
      </c>
      <c r="F5593" s="388">
        <f t="shared" si="17995"/>
        <v>16</v>
      </c>
      <c r="G5593" s="388"/>
      <c r="H5593" s="395"/>
      <c r="I5593" s="388"/>
      <c r="J5593" s="396"/>
      <c r="K5593" s="396"/>
      <c r="L5593" s="404" t="s">
        <v>207</v>
      </c>
      <c r="M5593" s="399" t="s">
        <v>176</v>
      </c>
      <c r="N5593" s="399">
        <f t="shared" ref="N5593" si="18094">IF(AND(D5590=D5591,D5590=D5592,D5591=D5592,F5590=F5591,F5590=F5592,F5591=F5592),SUM(N5590:N5592),0)</f>
        <v>13.134</v>
      </c>
      <c r="O5593" s="399" t="s">
        <v>204</v>
      </c>
      <c r="P5593" s="389">
        <f t="shared" ref="P5593" si="18095">IF(N5593&gt;12,ROUNDDOWN(N5593/12,0),0)</f>
        <v>1</v>
      </c>
      <c r="Q5593" s="399" t="s">
        <v>125</v>
      </c>
      <c r="R5593" s="399">
        <f t="shared" ref="R5593" si="18096">IF(P5593&gt;0,MAX(VLOOKUP(F5593,$D$6:$G$15,3,FALSE),600),0)/1000</f>
        <v>0.8</v>
      </c>
      <c r="S5593" s="396"/>
      <c r="T5593" s="396" t="s">
        <v>125</v>
      </c>
      <c r="U5593" s="401">
        <f t="shared" si="17999"/>
        <v>1.5782400000000001</v>
      </c>
      <c r="V5593" s="396" t="s">
        <v>125</v>
      </c>
      <c r="W5593" s="399">
        <f t="shared" ref="W5593" si="18097">D5593</f>
        <v>3</v>
      </c>
      <c r="X5593" s="399" t="s">
        <v>125</v>
      </c>
      <c r="Y5593" s="389">
        <f t="shared" si="18001"/>
        <v>1</v>
      </c>
      <c r="Z5593" s="400" t="s">
        <v>176</v>
      </c>
      <c r="AA5593" s="402">
        <f t="shared" ref="AA5593" si="18098">(N5593+P5593*R5593/1000)*U5593*W5593*Y5593</f>
        <v>62.189600256000006</v>
      </c>
      <c r="AB5593" s="403"/>
    </row>
    <row r="5594" spans="1:28">
      <c r="A5594" s="384"/>
      <c r="B5594" s="385"/>
      <c r="C5594" s="393"/>
      <c r="D5594" s="394"/>
      <c r="E5594" s="388"/>
      <c r="F5594" s="388"/>
      <c r="G5594" s="388"/>
      <c r="H5594" s="395"/>
      <c r="I5594" s="388"/>
      <c r="J5594" s="399"/>
      <c r="K5594" s="396"/>
      <c r="L5594" s="396"/>
      <c r="M5594" s="396"/>
      <c r="N5594" s="396"/>
      <c r="O5594" s="396"/>
      <c r="P5594" s="389"/>
      <c r="Q5594" s="396"/>
      <c r="R5594" s="396"/>
      <c r="S5594" s="396"/>
      <c r="T5594" s="396"/>
      <c r="U5594" s="401"/>
      <c r="V5594" s="396"/>
      <c r="W5594" s="388"/>
      <c r="X5594" s="396"/>
      <c r="Y5594" s="389"/>
      <c r="Z5594" s="396"/>
      <c r="AA5594" s="388"/>
      <c r="AB5594" s="390"/>
    </row>
    <row r="5595" spans="1:28">
      <c r="A5595" s="384" t="str">
        <f t="shared" ref="A5595:B5595" si="18099">A5575</f>
        <v>Lantai 3</v>
      </c>
      <c r="B5595" s="385">
        <f t="shared" si="18099"/>
        <v>44</v>
      </c>
      <c r="C5595" s="393" t="s">
        <v>211</v>
      </c>
      <c r="D5595" s="398">
        <f>VLOOKUP(D5575,'Detail Balok'!$C$10:$AU$140,31,FALSE)</f>
        <v>0</v>
      </c>
      <c r="E5595" s="388" t="s">
        <v>16</v>
      </c>
      <c r="F5595" s="388">
        <f>VLOOKUP(D5575,'Detail Balok'!$C$10:$AU$140,33,FALSE)</f>
        <v>10</v>
      </c>
      <c r="G5595" s="405" t="s">
        <v>157</v>
      </c>
      <c r="H5595" s="395">
        <f>VLOOKUP(D5575,'Detail Balok'!$C$10:$AU$140,35,FALSE)</f>
        <v>100</v>
      </c>
      <c r="I5595" s="388"/>
      <c r="J5595" s="400">
        <f t="shared" ref="J5595" si="18100">(IF(D5595=0,(2*(D5576+G5576))-(F$5*8),IF(D5595=3,(2*(D5576+G5576))-(F$5*8)+(G5576-2*F$5),IF(D5595=4,(2*(D5576+G5576))-(F$5*8)+2*(G5576-2*F$5)))))/1000</f>
        <v>0.88</v>
      </c>
      <c r="K5595" s="400" t="s">
        <v>204</v>
      </c>
      <c r="L5595" s="399">
        <f t="shared" ref="L5595:L5597" si="18101">IF(D5595=0,2*MAX(6*F5595,75),(D5595-1)*2*MAX(6*F5595,75))/1000</f>
        <v>0.15</v>
      </c>
      <c r="M5595" s="399" t="s">
        <v>176</v>
      </c>
      <c r="N5595" s="399">
        <f t="shared" ref="N5595:N5597" si="18102">J5595+L5595</f>
        <v>1.03</v>
      </c>
      <c r="O5595" s="399"/>
      <c r="P5595" s="389"/>
      <c r="Q5595" s="399"/>
      <c r="R5595" s="399"/>
      <c r="S5595" s="399"/>
      <c r="T5595" s="399" t="s">
        <v>125</v>
      </c>
      <c r="U5595" s="401">
        <f t="shared" ref="U5595:U5597" si="18103">0.006165*F5595^2</f>
        <v>0.61650000000000005</v>
      </c>
      <c r="V5595" s="399" t="s">
        <v>125</v>
      </c>
      <c r="W5595" s="399">
        <f t="shared" ref="W5595" si="18104">IF(D5578&gt;4*G5576,ROUND(MAX(D5578/4,2*G5576)/H5595,0)+1,ROUND(D5578/H5595,0)+1)</f>
        <v>33</v>
      </c>
      <c r="X5595" s="399" t="s">
        <v>125</v>
      </c>
      <c r="Y5595" s="389">
        <f t="shared" ref="Y5595" si="18105">D5581</f>
        <v>1</v>
      </c>
      <c r="Z5595" s="400" t="s">
        <v>176</v>
      </c>
      <c r="AA5595" s="402">
        <f t="shared" ref="AA5595:AA5597" si="18106">N5595*U5595*W5595*Y5595</f>
        <v>20.954835000000003</v>
      </c>
      <c r="AB5595" s="403"/>
    </row>
    <row r="5596" spans="1:28">
      <c r="A5596" s="384" t="str">
        <f t="shared" ref="A5596:B5596" si="18107">A5575</f>
        <v>Lantai 3</v>
      </c>
      <c r="B5596" s="385">
        <f t="shared" si="18107"/>
        <v>44</v>
      </c>
      <c r="C5596" s="393" t="s">
        <v>212</v>
      </c>
      <c r="D5596" s="398">
        <f>VLOOKUP(D5575,'Detail Balok'!$C$10:$AU$140,36,FALSE)</f>
        <v>0</v>
      </c>
      <c r="E5596" s="388" t="s">
        <v>16</v>
      </c>
      <c r="F5596" s="388">
        <f>VLOOKUP(D5575,'Detail Balok'!$C$10:$AU$140,38,FALSE)</f>
        <v>10</v>
      </c>
      <c r="G5596" s="405" t="s">
        <v>157</v>
      </c>
      <c r="H5596" s="395">
        <f>VLOOKUP(D5575,'Detail Balok'!$C$10:$AU$140,40,FALSE)</f>
        <v>200</v>
      </c>
      <c r="I5596" s="388"/>
      <c r="J5596" s="400">
        <f t="shared" ref="J5596" si="18108">(IF(D5596=0,(2*(D5576+G5576))-(F$5*8),IF(D5596=3,(2*(D5576+G5576))-(F$5*8)+(G5576-2*F$5),IF(D5596=4,(2*(D5576+G5576))-(F$5*8)+2*(G5576-2*F$5)))))/1000</f>
        <v>0.88</v>
      </c>
      <c r="K5596" s="400" t="s">
        <v>204</v>
      </c>
      <c r="L5596" s="399">
        <f t="shared" si="18101"/>
        <v>0.15</v>
      </c>
      <c r="M5596" s="399" t="s">
        <v>176</v>
      </c>
      <c r="N5596" s="399">
        <f t="shared" si="18102"/>
        <v>1.03</v>
      </c>
      <c r="O5596" s="399"/>
      <c r="P5596" s="389"/>
      <c r="Q5596" s="399"/>
      <c r="R5596" s="399"/>
      <c r="S5596" s="399"/>
      <c r="T5596" s="399" t="s">
        <v>125</v>
      </c>
      <c r="U5596" s="401">
        <f t="shared" si="18103"/>
        <v>0.61650000000000005</v>
      </c>
      <c r="V5596" s="399" t="s">
        <v>125</v>
      </c>
      <c r="W5596" s="399">
        <f t="shared" ref="W5596" si="18109">IF(D5578-MAX(D5578/4,2*G5576)*2&gt;0,ROUND((D5578-MAX(D5578/4,2*G5576)*2)/H5596,0),0)</f>
        <v>32</v>
      </c>
      <c r="X5596" s="399" t="s">
        <v>125</v>
      </c>
      <c r="Y5596" s="389">
        <f t="shared" ref="Y5596" si="18110">D5581</f>
        <v>1</v>
      </c>
      <c r="Z5596" s="400" t="s">
        <v>176</v>
      </c>
      <c r="AA5596" s="402">
        <f t="shared" si="18106"/>
        <v>20.319840000000003</v>
      </c>
      <c r="AB5596" s="403"/>
    </row>
    <row r="5597" spans="1:28">
      <c r="A5597" s="384" t="str">
        <f t="shared" ref="A5597:B5597" si="18111">A5575</f>
        <v>Lantai 3</v>
      </c>
      <c r="B5597" s="385">
        <f t="shared" si="18111"/>
        <v>44</v>
      </c>
      <c r="C5597" s="393" t="s">
        <v>211</v>
      </c>
      <c r="D5597" s="398">
        <f>VLOOKUP(D5575,'Detail Balok'!$C$10:$AU$140,41,FALSE)</f>
        <v>0</v>
      </c>
      <c r="E5597" s="388" t="s">
        <v>16</v>
      </c>
      <c r="F5597" s="388">
        <f>VLOOKUP(D5575,'Detail Balok'!$C$10:$AU$140,43,FALSE)</f>
        <v>10</v>
      </c>
      <c r="G5597" s="405" t="s">
        <v>157</v>
      </c>
      <c r="H5597" s="395">
        <f>VLOOKUP(D5575,'Detail Balok'!$C$10:$AU$140,45,FALSE)</f>
        <v>100</v>
      </c>
      <c r="I5597" s="388"/>
      <c r="J5597" s="400">
        <f t="shared" ref="J5597" si="18112">(IF(D5597=0,(2*(D5576+G5576))-(F$5*8),IF(D5597=3,(2*(D5576+G5576))-(F$5*8)+(G5576-2*F$5),IF(D5597=4,(2*(D5576+G5576))-(F$5*8)+2*(G5576-2*F$5)))))/1000</f>
        <v>0.88</v>
      </c>
      <c r="K5597" s="400" t="s">
        <v>204</v>
      </c>
      <c r="L5597" s="399">
        <f t="shared" si="18101"/>
        <v>0.15</v>
      </c>
      <c r="M5597" s="399" t="s">
        <v>176</v>
      </c>
      <c r="N5597" s="399">
        <f t="shared" si="18102"/>
        <v>1.03</v>
      </c>
      <c r="O5597" s="399"/>
      <c r="P5597" s="389"/>
      <c r="Q5597" s="399"/>
      <c r="R5597" s="399"/>
      <c r="S5597" s="399"/>
      <c r="T5597" s="399" t="s">
        <v>125</v>
      </c>
      <c r="U5597" s="401">
        <f t="shared" si="18103"/>
        <v>0.61650000000000005</v>
      </c>
      <c r="V5597" s="399" t="s">
        <v>125</v>
      </c>
      <c r="W5597" s="399">
        <f t="shared" ref="W5597" si="18113">IF(D5578&gt;4*G5576,ROUND(MAX(D5578/4,2*G5576)/H5597,0)+1,0)</f>
        <v>33</v>
      </c>
      <c r="X5597" s="399" t="s">
        <v>125</v>
      </c>
      <c r="Y5597" s="389">
        <f t="shared" ref="Y5597" si="18114">D5581</f>
        <v>1</v>
      </c>
      <c r="Z5597" s="400" t="s">
        <v>176</v>
      </c>
      <c r="AA5597" s="402">
        <f t="shared" si="18106"/>
        <v>20.954835000000003</v>
      </c>
      <c r="AB5597" s="403"/>
    </row>
    <row r="5598" spans="1:28">
      <c r="A5598" s="384"/>
      <c r="B5598" s="385"/>
      <c r="C5598" s="393"/>
      <c r="D5598" s="394"/>
      <c r="E5598" s="388"/>
      <c r="F5598" s="388"/>
      <c r="G5598" s="388"/>
      <c r="H5598" s="395"/>
      <c r="I5598" s="388"/>
      <c r="J5598" s="399"/>
      <c r="K5598" s="396"/>
      <c r="L5598" s="396"/>
      <c r="M5598" s="396"/>
      <c r="N5598" s="396"/>
      <c r="O5598" s="396"/>
      <c r="P5598" s="389"/>
      <c r="Q5598" s="396"/>
      <c r="R5598" s="396"/>
      <c r="S5598" s="396"/>
      <c r="T5598" s="396"/>
      <c r="U5598" s="401"/>
      <c r="V5598" s="396"/>
      <c r="W5598" s="388"/>
      <c r="X5598" s="396"/>
      <c r="Y5598" s="389"/>
      <c r="Z5598" s="396"/>
      <c r="AA5598" s="388"/>
      <c r="AB5598" s="390"/>
    </row>
    <row r="5599" spans="1:28">
      <c r="A5599" s="384" t="str">
        <f t="shared" ref="A5599:B5599" si="18115">A5575</f>
        <v>Lantai 3</v>
      </c>
      <c r="B5599" s="385">
        <f t="shared" si="18115"/>
        <v>44</v>
      </c>
      <c r="C5599" s="393" t="s">
        <v>213</v>
      </c>
      <c r="D5599" s="398">
        <f>VLOOKUP(D5575,'Detail Balok'!$C$10:$BJ$140,46,FALSE)</f>
        <v>0</v>
      </c>
      <c r="E5599" s="388" t="s">
        <v>16</v>
      </c>
      <c r="F5599" s="388">
        <f>VLOOKUP(D5575,'Detail Balok'!$C$10:$BJ$140,48,FALSE)</f>
        <v>0</v>
      </c>
      <c r="G5599" s="405" t="s">
        <v>157</v>
      </c>
      <c r="H5599" s="395">
        <f>VLOOKUP(D5575,'Detail Balok'!$C$10:$BJ$140,50,FALSE)</f>
        <v>100</v>
      </c>
      <c r="I5599" s="388"/>
      <c r="J5599" s="399">
        <f t="shared" ref="J5599" si="18116">(D5576-2*F$5)/1000</f>
        <v>0.12</v>
      </c>
      <c r="K5599" s="400" t="s">
        <v>204</v>
      </c>
      <c r="L5599" s="399">
        <f t="shared" ref="L5599:L5601" si="18117">IF(D5599=0,2*MAX(6*F5599,75),(D5599-1)*2*MAX(6*F5599,75))/1000</f>
        <v>0.15</v>
      </c>
      <c r="M5599" s="399" t="s">
        <v>176</v>
      </c>
      <c r="N5599" s="399">
        <f t="shared" ref="N5599:N5601" si="18118">J5599+L5599</f>
        <v>0.27</v>
      </c>
      <c r="O5599" s="399"/>
      <c r="P5599" s="399"/>
      <c r="Q5599" s="399"/>
      <c r="R5599" s="399"/>
      <c r="S5599" s="399"/>
      <c r="T5599" s="399" t="s">
        <v>125</v>
      </c>
      <c r="U5599" s="401">
        <f t="shared" ref="U5599:U5601" si="18119">0.006165*F5599^2</f>
        <v>0</v>
      </c>
      <c r="V5599" s="399" t="s">
        <v>125</v>
      </c>
      <c r="W5599" s="399">
        <f t="shared" si="18024"/>
        <v>33</v>
      </c>
      <c r="X5599" s="399" t="s">
        <v>125</v>
      </c>
      <c r="Y5599" s="389">
        <f t="shared" ref="Y5599" si="18120">D5585</f>
        <v>3</v>
      </c>
      <c r="Z5599" s="400" t="s">
        <v>176</v>
      </c>
      <c r="AA5599" s="402">
        <f t="shared" ref="AA5599:AA5601" si="18121">N5599*U5599*W5599*Y5599</f>
        <v>0</v>
      </c>
      <c r="AB5599" s="403"/>
    </row>
    <row r="5600" spans="1:28">
      <c r="A5600" s="384" t="str">
        <f t="shared" ref="A5600:B5600" si="18122">A5575</f>
        <v>Lantai 3</v>
      </c>
      <c r="B5600" s="385">
        <f t="shared" si="18122"/>
        <v>44</v>
      </c>
      <c r="C5600" s="393" t="s">
        <v>214</v>
      </c>
      <c r="D5600" s="398">
        <f>VLOOKUP(D5575,'Detail Balok'!$C$10:$BJ$140,51,FALSE)</f>
        <v>0</v>
      </c>
      <c r="E5600" s="388" t="s">
        <v>16</v>
      </c>
      <c r="F5600" s="388">
        <f>VLOOKUP(D5575,'Detail Balok'!$C$10:$BJ$140,53,FALSE)</f>
        <v>0</v>
      </c>
      <c r="G5600" s="405" t="s">
        <v>157</v>
      </c>
      <c r="H5600" s="395">
        <f>VLOOKUP(D5575,'Detail Balok'!$C$10:$BJ$140,55,FALSE)</f>
        <v>100</v>
      </c>
      <c r="I5600" s="388"/>
      <c r="J5600" s="399">
        <f t="shared" ref="J5600" si="18123">(D5576-2*F$5)/1000</f>
        <v>0.12</v>
      </c>
      <c r="K5600" s="400" t="s">
        <v>204</v>
      </c>
      <c r="L5600" s="399">
        <f t="shared" si="18117"/>
        <v>0.15</v>
      </c>
      <c r="M5600" s="399" t="s">
        <v>176</v>
      </c>
      <c r="N5600" s="399">
        <f t="shared" si="18118"/>
        <v>0.27</v>
      </c>
      <c r="O5600" s="399"/>
      <c r="P5600" s="399"/>
      <c r="Q5600" s="399"/>
      <c r="R5600" s="399"/>
      <c r="S5600" s="399"/>
      <c r="T5600" s="399" t="s">
        <v>125</v>
      </c>
      <c r="U5600" s="401">
        <f t="shared" si="18119"/>
        <v>0</v>
      </c>
      <c r="V5600" s="399" t="s">
        <v>125</v>
      </c>
      <c r="W5600" s="399">
        <f t="shared" si="18024"/>
        <v>32</v>
      </c>
      <c r="X5600" s="399" t="s">
        <v>125</v>
      </c>
      <c r="Y5600" s="389">
        <f t="shared" ref="Y5600" si="18124">D5585</f>
        <v>3</v>
      </c>
      <c r="Z5600" s="400" t="s">
        <v>176</v>
      </c>
      <c r="AA5600" s="402">
        <f t="shared" si="18121"/>
        <v>0</v>
      </c>
      <c r="AB5600" s="403"/>
    </row>
    <row r="5601" spans="1:28">
      <c r="A5601" s="384" t="str">
        <f t="shared" ref="A5601:B5601" si="18125">A5575</f>
        <v>Lantai 3</v>
      </c>
      <c r="B5601" s="385">
        <f t="shared" si="18125"/>
        <v>44</v>
      </c>
      <c r="C5601" s="393" t="s">
        <v>213</v>
      </c>
      <c r="D5601" s="398">
        <f>VLOOKUP(D5575,'Detail Balok'!$C$10:$BJ$140,56,FALSE)</f>
        <v>0</v>
      </c>
      <c r="E5601" s="388" t="s">
        <v>16</v>
      </c>
      <c r="F5601" s="388">
        <f>VLOOKUP(D5575,'Detail Balok'!$C$10:$BJ$140,58,FALSE)</f>
        <v>0</v>
      </c>
      <c r="G5601" s="405" t="s">
        <v>157</v>
      </c>
      <c r="H5601" s="395">
        <f>VLOOKUP(D5575,'Detail Balok'!$C$10:$BJ$140,60,FALSE)</f>
        <v>100</v>
      </c>
      <c r="I5601" s="388"/>
      <c r="J5601" s="399">
        <f t="shared" ref="J5601" si="18126">(D5576-2*F$5)/1000</f>
        <v>0.12</v>
      </c>
      <c r="K5601" s="400" t="s">
        <v>204</v>
      </c>
      <c r="L5601" s="399">
        <f t="shared" si="18117"/>
        <v>0.15</v>
      </c>
      <c r="M5601" s="399" t="s">
        <v>176</v>
      </c>
      <c r="N5601" s="399">
        <f t="shared" si="18118"/>
        <v>0.27</v>
      </c>
      <c r="O5601" s="399"/>
      <c r="P5601" s="399"/>
      <c r="Q5601" s="399"/>
      <c r="R5601" s="399"/>
      <c r="S5601" s="399"/>
      <c r="T5601" s="399" t="s">
        <v>125</v>
      </c>
      <c r="U5601" s="401">
        <f t="shared" si="18119"/>
        <v>0</v>
      </c>
      <c r="V5601" s="399" t="s">
        <v>125</v>
      </c>
      <c r="W5601" s="399">
        <f t="shared" si="18024"/>
        <v>33</v>
      </c>
      <c r="X5601" s="399" t="s">
        <v>125</v>
      </c>
      <c r="Y5601" s="389">
        <f t="shared" ref="Y5601" si="18127">D5585</f>
        <v>3</v>
      </c>
      <c r="Z5601" s="400" t="s">
        <v>176</v>
      </c>
      <c r="AA5601" s="402">
        <f t="shared" si="18121"/>
        <v>0</v>
      </c>
      <c r="AB5601" s="403"/>
    </row>
    <row r="5602" spans="1:28">
      <c r="A5602" s="391"/>
      <c r="B5602" s="392"/>
      <c r="C5602" s="392"/>
      <c r="D5602" s="394"/>
      <c r="E5602" s="388"/>
      <c r="F5602" s="388"/>
      <c r="G5602" s="388"/>
      <c r="H5602" s="395"/>
      <c r="I5602" s="388"/>
      <c r="J5602" s="402"/>
      <c r="K5602" s="388"/>
      <c r="L5602" s="388"/>
      <c r="M5602" s="388"/>
      <c r="N5602" s="388"/>
      <c r="O5602" s="388"/>
      <c r="P5602" s="388"/>
      <c r="Q5602" s="388"/>
      <c r="R5602" s="388"/>
      <c r="S5602" s="388"/>
      <c r="T5602" s="388"/>
      <c r="U5602" s="388"/>
      <c r="V5602" s="388"/>
      <c r="W5602" s="388"/>
      <c r="X5602" s="388"/>
      <c r="Y5602" s="389"/>
      <c r="Z5602" s="388"/>
      <c r="AA5602" s="402"/>
      <c r="AB5602" s="403"/>
    </row>
    <row r="5603" spans="1:28" ht="15.75" thickBot="1">
      <c r="A5603" s="406"/>
      <c r="B5603" s="407"/>
      <c r="C5603" s="407"/>
      <c r="D5603" s="408"/>
      <c r="E5603" s="409"/>
      <c r="F5603" s="409"/>
      <c r="G5603" s="409"/>
      <c r="H5603" s="410"/>
      <c r="I5603" s="409"/>
      <c r="J5603" s="409"/>
      <c r="K5603" s="409"/>
      <c r="L5603" s="409"/>
      <c r="M5603" s="409"/>
      <c r="N5603" s="409"/>
      <c r="O5603" s="409"/>
      <c r="P5603" s="409"/>
      <c r="Q5603" s="409"/>
      <c r="R5603" s="409"/>
      <c r="S5603" s="409"/>
      <c r="T5603" s="409"/>
      <c r="U5603" s="409"/>
      <c r="V5603" s="409"/>
      <c r="W5603" s="409"/>
      <c r="X5603" s="409"/>
      <c r="Y5603" s="411"/>
      <c r="Z5603" s="409"/>
      <c r="AA5603" s="412"/>
      <c r="AB5603" s="413"/>
    </row>
    <row r="5604" spans="1:28">
      <c r="A5604" s="377"/>
      <c r="B5604" s="378"/>
      <c r="C5604" s="378"/>
      <c r="D5604" s="379"/>
      <c r="E5604" s="380"/>
      <c r="F5604" s="380"/>
      <c r="G5604" s="380"/>
      <c r="H5604" s="381"/>
      <c r="I5604" s="380"/>
      <c r="J5604" s="380"/>
      <c r="K5604" s="380"/>
      <c r="L5604" s="380"/>
      <c r="M5604" s="380"/>
      <c r="N5604" s="380"/>
      <c r="O5604" s="380"/>
      <c r="P5604" s="380"/>
      <c r="Q5604" s="380"/>
      <c r="R5604" s="380"/>
      <c r="S5604" s="380"/>
      <c r="T5604" s="380"/>
      <c r="U5604" s="380"/>
      <c r="V5604" s="380"/>
      <c r="W5604" s="380"/>
      <c r="X5604" s="380"/>
      <c r="Y5604" s="382"/>
      <c r="Z5604" s="380"/>
      <c r="AA5604" s="380"/>
      <c r="AB5604" s="383"/>
    </row>
    <row r="5605" spans="1:28">
      <c r="A5605" s="384" t="str">
        <f t="shared" si="18033"/>
        <v>Lantai 3</v>
      </c>
      <c r="B5605" s="385">
        <f t="shared" si="18034"/>
        <v>45</v>
      </c>
      <c r="C5605" s="386" t="str">
        <f t="shared" ref="C5605" si="18128">CONCATENATE(A5605," no. ",B5605)</f>
        <v>Lantai 3 no. 45</v>
      </c>
      <c r="D5605" s="2562" t="str">
        <f>VLOOKUP(C5605,'Data Panjang Balok'!$C$9:$N$254,2,FALSE)</f>
        <v>B24-2</v>
      </c>
      <c r="E5605" s="2576"/>
      <c r="F5605" s="2576"/>
      <c r="G5605" s="2576"/>
      <c r="H5605" s="2577"/>
      <c r="I5605" s="387"/>
      <c r="J5605" s="388"/>
      <c r="K5605" s="388"/>
      <c r="L5605" s="388"/>
      <c r="M5605" s="388"/>
      <c r="N5605" s="388"/>
      <c r="O5605" s="388"/>
      <c r="P5605" s="388"/>
      <c r="Q5605" s="388"/>
      <c r="R5605" s="388"/>
      <c r="S5605" s="388"/>
      <c r="T5605" s="388"/>
      <c r="U5605" s="388"/>
      <c r="V5605" s="388"/>
      <c r="W5605" s="388"/>
      <c r="X5605" s="388"/>
      <c r="Y5605" s="389"/>
      <c r="Z5605" s="388"/>
      <c r="AA5605" s="388"/>
      <c r="AB5605" s="390"/>
    </row>
    <row r="5606" spans="1:28">
      <c r="A5606" s="391"/>
      <c r="B5606" s="392"/>
      <c r="C5606" s="393" t="s">
        <v>118</v>
      </c>
      <c r="D5606" s="2578">
        <f>VLOOKUP(D5605,'Detail Balok'!$C$10:$AU$140,2,FALSE)</f>
        <v>200</v>
      </c>
      <c r="E5606" s="2579"/>
      <c r="F5606" s="388" t="s">
        <v>125</v>
      </c>
      <c r="G5606" s="2579">
        <f>VLOOKUP(D5605,'Detail Balok'!$C$10:$AU$140,3,FALSE)</f>
        <v>400</v>
      </c>
      <c r="H5606" s="2580"/>
      <c r="I5606" s="388"/>
      <c r="J5606" s="396"/>
      <c r="K5606" s="396"/>
      <c r="L5606" s="396"/>
      <c r="M5606" s="396"/>
      <c r="N5606" s="396"/>
      <c r="O5606" s="396"/>
      <c r="P5606" s="396"/>
      <c r="Q5606" s="396"/>
      <c r="R5606" s="396"/>
      <c r="S5606" s="396"/>
      <c r="T5606" s="396"/>
      <c r="U5606" s="388"/>
      <c r="V5606" s="396"/>
      <c r="W5606" s="388"/>
      <c r="X5606" s="396"/>
      <c r="Y5606" s="389"/>
      <c r="Z5606" s="396"/>
      <c r="AA5606" s="388"/>
      <c r="AB5606" s="390"/>
    </row>
    <row r="5607" spans="1:28">
      <c r="A5607" s="391"/>
      <c r="B5607" s="392"/>
      <c r="C5607" s="393" t="s">
        <v>198</v>
      </c>
      <c r="D5607" s="2562">
        <f>VLOOKUP(C5605,'Data Panjang Balok'!$C$9:$N$254,4,FALSE)</f>
        <v>12750</v>
      </c>
      <c r="E5607" s="2563"/>
      <c r="F5607" s="2563"/>
      <c r="G5607" s="2563"/>
      <c r="H5607" s="2564"/>
      <c r="I5607" s="397"/>
      <c r="J5607" s="396"/>
      <c r="K5607" s="396"/>
      <c r="L5607" s="396"/>
      <c r="M5607" s="396"/>
      <c r="N5607" s="396"/>
      <c r="O5607" s="396"/>
      <c r="P5607" s="396"/>
      <c r="Q5607" s="396"/>
      <c r="R5607" s="396"/>
      <c r="S5607" s="396"/>
      <c r="T5607" s="396"/>
      <c r="U5607" s="388"/>
      <c r="V5607" s="396"/>
      <c r="W5607" s="388"/>
      <c r="X5607" s="396"/>
      <c r="Y5607" s="389"/>
      <c r="Z5607" s="396"/>
      <c r="AA5607" s="388"/>
      <c r="AB5607" s="390"/>
    </row>
    <row r="5608" spans="1:28">
      <c r="A5608" s="391"/>
      <c r="B5608" s="392"/>
      <c r="C5608" s="393" t="s">
        <v>199</v>
      </c>
      <c r="D5608" s="2562">
        <f>VLOOKUP(C5605,'Data Panjang Balok'!$C$9:$N$254,7,FALSE)</f>
        <v>12750</v>
      </c>
      <c r="E5608" s="2563"/>
      <c r="F5608" s="2563"/>
      <c r="G5608" s="2563"/>
      <c r="H5608" s="2564"/>
      <c r="I5608" s="397"/>
      <c r="J5608" s="396"/>
      <c r="K5608" s="396"/>
      <c r="L5608" s="396"/>
      <c r="M5608" s="396"/>
      <c r="N5608" s="396"/>
      <c r="O5608" s="396"/>
      <c r="P5608" s="396"/>
      <c r="Q5608" s="396"/>
      <c r="R5608" s="396"/>
      <c r="S5608" s="396"/>
      <c r="T5608" s="396"/>
      <c r="U5608" s="388"/>
      <c r="V5608" s="396"/>
      <c r="W5608" s="388"/>
      <c r="X5608" s="396"/>
      <c r="Y5608" s="389"/>
      <c r="Z5608" s="396"/>
      <c r="AA5608" s="388"/>
      <c r="AB5608" s="390"/>
    </row>
    <row r="5609" spans="1:28">
      <c r="A5609" s="391"/>
      <c r="B5609" s="392"/>
      <c r="C5609" s="393" t="s">
        <v>200</v>
      </c>
      <c r="D5609" s="2562">
        <f>VLOOKUP(C5605,'Data Panjang Balok'!$C$9:$N$254,9,FALSE)</f>
        <v>0</v>
      </c>
      <c r="E5609" s="2563"/>
      <c r="F5609" s="2563"/>
      <c r="G5609" s="2563"/>
      <c r="H5609" s="2564"/>
      <c r="I5609" s="397"/>
      <c r="J5609" s="396"/>
      <c r="K5609" s="396"/>
      <c r="L5609" s="396"/>
      <c r="M5609" s="396"/>
      <c r="N5609" s="396"/>
      <c r="O5609" s="396"/>
      <c r="P5609" s="396"/>
      <c r="Q5609" s="396"/>
      <c r="R5609" s="396"/>
      <c r="S5609" s="396"/>
      <c r="T5609" s="396"/>
      <c r="U5609" s="388"/>
      <c r="V5609" s="396"/>
      <c r="W5609" s="388"/>
      <c r="X5609" s="396"/>
      <c r="Y5609" s="389"/>
      <c r="Z5609" s="396"/>
      <c r="AA5609" s="388"/>
      <c r="AB5609" s="390"/>
    </row>
    <row r="5610" spans="1:28">
      <c r="A5610" s="391"/>
      <c r="B5610" s="392"/>
      <c r="C5610" s="393" t="s">
        <v>201</v>
      </c>
      <c r="D5610" s="2562">
        <f>VLOOKUP(C5605,'Data Panjang Balok'!$C$9:$N$254,10,FALSE)</f>
        <v>0</v>
      </c>
      <c r="E5610" s="2563"/>
      <c r="F5610" s="2563"/>
      <c r="G5610" s="2563"/>
      <c r="H5610" s="2564"/>
      <c r="I5610" s="397"/>
      <c r="J5610" s="396"/>
      <c r="K5610" s="396"/>
      <c r="L5610" s="396"/>
      <c r="M5610" s="396"/>
      <c r="N5610" s="396"/>
      <c r="O5610" s="396"/>
      <c r="P5610" s="396"/>
      <c r="Q5610" s="396"/>
      <c r="R5610" s="396"/>
      <c r="S5610" s="396"/>
      <c r="T5610" s="396"/>
      <c r="U5610" s="388"/>
      <c r="V5610" s="396"/>
      <c r="W5610" s="388"/>
      <c r="X5610" s="396"/>
      <c r="Y5610" s="389"/>
      <c r="Z5610" s="396"/>
      <c r="AA5610" s="388"/>
      <c r="AB5610" s="390"/>
    </row>
    <row r="5611" spans="1:28">
      <c r="A5611" s="391"/>
      <c r="B5611" s="392"/>
      <c r="C5611" s="393" t="s">
        <v>48</v>
      </c>
      <c r="D5611" s="2562">
        <f>VLOOKUP(C5605,'Data Panjang Balok'!$C$9:$N$254,3,FALSE)</f>
        <v>1</v>
      </c>
      <c r="E5611" s="2563"/>
      <c r="F5611" s="2563"/>
      <c r="G5611" s="2563"/>
      <c r="H5611" s="2564"/>
      <c r="I5611" s="397"/>
      <c r="J5611" s="396"/>
      <c r="K5611" s="396"/>
      <c r="L5611" s="396"/>
      <c r="M5611" s="396"/>
      <c r="N5611" s="396"/>
      <c r="O5611" s="396"/>
      <c r="P5611" s="396"/>
      <c r="Q5611" s="396"/>
      <c r="R5611" s="396"/>
      <c r="S5611" s="396"/>
      <c r="T5611" s="396"/>
      <c r="U5611" s="388"/>
      <c r="V5611" s="396"/>
      <c r="W5611" s="388"/>
      <c r="X5611" s="396"/>
      <c r="Y5611" s="389"/>
      <c r="Z5611" s="396"/>
      <c r="AA5611" s="388"/>
      <c r="AB5611" s="390"/>
    </row>
    <row r="5612" spans="1:28">
      <c r="A5612" s="384" t="str">
        <f t="shared" ref="A5612:B5612" si="18129">A5605</f>
        <v>Lantai 3</v>
      </c>
      <c r="B5612" s="385">
        <f t="shared" si="18129"/>
        <v>45</v>
      </c>
      <c r="C5612" s="393" t="s">
        <v>202</v>
      </c>
      <c r="D5612" s="398">
        <f>VLOOKUP(D5605,'Detail Balok'!$C$10:$AU$140,4,FALSE)</f>
        <v>3</v>
      </c>
      <c r="E5612" s="388" t="s">
        <v>16</v>
      </c>
      <c r="F5612" s="388">
        <f>VLOOKUP(D5605,'Detail Balok'!$C$10:$AU$140,6,FALSE)</f>
        <v>16</v>
      </c>
      <c r="G5612" s="388"/>
      <c r="H5612" s="395"/>
      <c r="I5612" s="388" t="s">
        <v>203</v>
      </c>
      <c r="J5612" s="399">
        <f t="shared" ref="J5612" si="18130">+D5607/4/1000</f>
        <v>3.1875</v>
      </c>
      <c r="K5612" s="400" t="s">
        <v>204</v>
      </c>
      <c r="L5612" s="399">
        <f t="shared" ref="L5612" si="18131">MAX(VLOOKUP(F5612,N$6:P$15,3,FALSE)/1000,2/3*D5609/1000)+F$16*F5612/1000</f>
        <v>0.192</v>
      </c>
      <c r="M5612" s="399" t="s">
        <v>176</v>
      </c>
      <c r="N5612" s="399">
        <f t="shared" ref="N5612:N5614" si="18132">J5612+L5612</f>
        <v>3.3795000000000002</v>
      </c>
      <c r="O5612" s="399" t="s">
        <v>204</v>
      </c>
      <c r="P5612" s="389">
        <f t="shared" ref="P5612" si="18133">D5612-D5613</f>
        <v>0</v>
      </c>
      <c r="Q5612" s="399" t="s">
        <v>125</v>
      </c>
      <c r="R5612" s="399">
        <f t="shared" ref="R5612" si="18134">IF(P5612&gt;0,$F$18*F5612/1000,0)</f>
        <v>0</v>
      </c>
      <c r="S5612" s="399" t="s">
        <v>205</v>
      </c>
      <c r="T5612" s="399" t="s">
        <v>125</v>
      </c>
      <c r="U5612" s="401">
        <f t="shared" ref="U5612:U5614" si="18135">0.006165*F5612^2</f>
        <v>1.5782400000000001</v>
      </c>
      <c r="V5612" s="399"/>
      <c r="W5612" s="399"/>
      <c r="X5612" s="399" t="s">
        <v>125</v>
      </c>
      <c r="Y5612" s="389">
        <f t="shared" ref="Y5612" si="18136">D5611</f>
        <v>1</v>
      </c>
      <c r="Z5612" s="400" t="s">
        <v>176</v>
      </c>
      <c r="AA5612" s="402">
        <f t="shared" ref="AA5612" si="18137">IF(AA5615=0,(D5612*N5612+P5612*R5612)*U5612*Y5612,0)</f>
        <v>0</v>
      </c>
      <c r="AB5612" s="403"/>
    </row>
    <row r="5613" spans="1:28">
      <c r="A5613" s="384" t="str">
        <f t="shared" ref="A5613:B5613" si="18138">A5605</f>
        <v>Lantai 3</v>
      </c>
      <c r="B5613" s="385">
        <f t="shared" si="18138"/>
        <v>45</v>
      </c>
      <c r="C5613" s="393" t="s">
        <v>206</v>
      </c>
      <c r="D5613" s="398">
        <f>VLOOKUP(D5605,'Detail Balok'!$C$10:$AU$140,7,FALSE)</f>
        <v>3</v>
      </c>
      <c r="E5613" s="388" t="s">
        <v>16</v>
      </c>
      <c r="F5613" s="388">
        <f>VLOOKUP(D5605,'Detail Balok'!$C$10:$AU$140,9,FALSE)</f>
        <v>16</v>
      </c>
      <c r="G5613" s="388"/>
      <c r="H5613" s="395"/>
      <c r="I5613" s="388" t="s">
        <v>203</v>
      </c>
      <c r="J5613" s="399">
        <f t="shared" ref="J5613" si="18139">+D5607/2/1000</f>
        <v>6.375</v>
      </c>
      <c r="K5613" s="400" t="s">
        <v>204</v>
      </c>
      <c r="L5613" s="399"/>
      <c r="M5613" s="399" t="s">
        <v>176</v>
      </c>
      <c r="N5613" s="399">
        <f t="shared" si="18132"/>
        <v>6.375</v>
      </c>
      <c r="O5613" s="399" t="s">
        <v>204</v>
      </c>
      <c r="P5613" s="389">
        <f t="shared" ref="P5613" si="18140">MAX(D5613-D5612,D5613-D5614)</f>
        <v>0</v>
      </c>
      <c r="Q5613" s="399" t="s">
        <v>125</v>
      </c>
      <c r="R5613" s="399">
        <f t="shared" ref="R5613" si="18141">IF(P5613&gt;0,2*(1-2*$F$19-1/2)*D5608/1000,0)</f>
        <v>0</v>
      </c>
      <c r="S5613" s="399" t="s">
        <v>205</v>
      </c>
      <c r="T5613" s="399" t="s">
        <v>125</v>
      </c>
      <c r="U5613" s="401">
        <f t="shared" si="18135"/>
        <v>1.5782400000000001</v>
      </c>
      <c r="V5613" s="399"/>
      <c r="W5613" s="399"/>
      <c r="X5613" s="399" t="s">
        <v>125</v>
      </c>
      <c r="Y5613" s="389">
        <f t="shared" ref="Y5613" si="18142">D5611</f>
        <v>1</v>
      </c>
      <c r="Z5613" s="400" t="s">
        <v>176</v>
      </c>
      <c r="AA5613" s="402">
        <f t="shared" ref="AA5613" si="18143">IF(AA5615=0,(D5613*N5613+P5613*R5613)*U5613*Y5613,0)</f>
        <v>0</v>
      </c>
      <c r="AB5613" s="403"/>
    </row>
    <row r="5614" spans="1:28">
      <c r="A5614" s="384" t="str">
        <f t="shared" ref="A5614:B5614" si="18144">A5605</f>
        <v>Lantai 3</v>
      </c>
      <c r="B5614" s="385">
        <f t="shared" si="18144"/>
        <v>45</v>
      </c>
      <c r="C5614" s="393" t="s">
        <v>202</v>
      </c>
      <c r="D5614" s="398">
        <f>VLOOKUP(D5605,'Detail Balok'!$C$10:$AU$140,10,FALSE)</f>
        <v>3</v>
      </c>
      <c r="E5614" s="388" t="s">
        <v>16</v>
      </c>
      <c r="F5614" s="388">
        <f>VLOOKUP(D5605,'Detail Balok'!$C$10:$AU$140,12,FALSE)</f>
        <v>16</v>
      </c>
      <c r="G5614" s="388"/>
      <c r="H5614" s="395"/>
      <c r="I5614" s="388" t="s">
        <v>203</v>
      </c>
      <c r="J5614" s="399">
        <f t="shared" ref="J5614" si="18145">+D5607/4/1000</f>
        <v>3.1875</v>
      </c>
      <c r="K5614" s="400" t="s">
        <v>204</v>
      </c>
      <c r="L5614" s="399">
        <f t="shared" ref="L5614" si="18146">MAX(VLOOKUP(F5614,N$6:P$15,3,FALSE)/1000,2/3*D5609/1000)+F$16*F5614/1000</f>
        <v>0.192</v>
      </c>
      <c r="M5614" s="399" t="s">
        <v>176</v>
      </c>
      <c r="N5614" s="399">
        <f t="shared" si="18132"/>
        <v>3.3795000000000002</v>
      </c>
      <c r="O5614" s="399" t="s">
        <v>204</v>
      </c>
      <c r="P5614" s="389">
        <f t="shared" ref="P5614" si="18147">D5614-D5613</f>
        <v>0</v>
      </c>
      <c r="Q5614" s="399" t="s">
        <v>125</v>
      </c>
      <c r="R5614" s="399">
        <f t="shared" ref="R5614" si="18148">IF(P5614&gt;0,$F$18*F5614/1000,0)</f>
        <v>0</v>
      </c>
      <c r="S5614" s="399" t="s">
        <v>205</v>
      </c>
      <c r="T5614" s="399" t="s">
        <v>125</v>
      </c>
      <c r="U5614" s="401">
        <f t="shared" si="18135"/>
        <v>1.5782400000000001</v>
      </c>
      <c r="V5614" s="399"/>
      <c r="W5614" s="399"/>
      <c r="X5614" s="399" t="s">
        <v>125</v>
      </c>
      <c r="Y5614" s="389">
        <f t="shared" ref="Y5614" si="18149">D5611</f>
        <v>1</v>
      </c>
      <c r="Z5614" s="400" t="s">
        <v>176</v>
      </c>
      <c r="AA5614" s="402">
        <f t="shared" ref="AA5614" si="18150">IF(AA5615=0,(D5614*N5614+P5614*R5614)*U5614*Y5614,0)</f>
        <v>0</v>
      </c>
      <c r="AB5614" s="403"/>
    </row>
    <row r="5615" spans="1:28">
      <c r="A5615" s="384" t="str">
        <f t="shared" ref="A5615:B5615" si="18151">A5605</f>
        <v>Lantai 3</v>
      </c>
      <c r="B5615" s="385">
        <f t="shared" si="18151"/>
        <v>45</v>
      </c>
      <c r="C5615" s="393"/>
      <c r="D5615" s="398">
        <f t="shared" si="17954"/>
        <v>3</v>
      </c>
      <c r="E5615" s="388" t="s">
        <v>16</v>
      </c>
      <c r="F5615" s="388">
        <f t="shared" si="17955"/>
        <v>16</v>
      </c>
      <c r="G5615" s="388"/>
      <c r="H5615" s="395"/>
      <c r="I5615" s="388"/>
      <c r="J5615" s="396"/>
      <c r="K5615" s="396"/>
      <c r="L5615" s="404" t="s">
        <v>207</v>
      </c>
      <c r="M5615" s="399" t="s">
        <v>176</v>
      </c>
      <c r="N5615" s="399">
        <f t="shared" ref="N5615" si="18152">IF(AND(D5612=D5613,D5612=D5614,D5613=D5614,F5612=F5613,F5612=F5614,F5613=F5614),SUM(N5612:N5614),0)</f>
        <v>13.134</v>
      </c>
      <c r="O5615" s="399" t="s">
        <v>204</v>
      </c>
      <c r="P5615" s="389">
        <f t="shared" ref="P5615" si="18153">IF(N5615&gt;12,ROUNDDOWN(N5615/12,0),0)</f>
        <v>1</v>
      </c>
      <c r="Q5615" s="399" t="s">
        <v>125</v>
      </c>
      <c r="R5615" s="399">
        <f t="shared" ref="R5615" si="18154">IF(P5615&gt;0,MAX(VLOOKUP(F5615,$D$6:$G$15,3,FALSE),600),0)/1000</f>
        <v>0.8</v>
      </c>
      <c r="S5615" s="396"/>
      <c r="T5615" s="396" t="s">
        <v>125</v>
      </c>
      <c r="U5615" s="401">
        <f t="shared" si="17959"/>
        <v>1.5782400000000001</v>
      </c>
      <c r="V5615" s="396" t="s">
        <v>125</v>
      </c>
      <c r="W5615" s="399">
        <f t="shared" ref="W5615" si="18155">D5615</f>
        <v>3</v>
      </c>
      <c r="X5615" s="399" t="s">
        <v>125</v>
      </c>
      <c r="Y5615" s="389">
        <f t="shared" si="17961"/>
        <v>1</v>
      </c>
      <c r="Z5615" s="400" t="s">
        <v>176</v>
      </c>
      <c r="AA5615" s="402">
        <f t="shared" ref="AA5615" si="18156">(N5615+P5615*R5615/1000)*U5615*W5615*Y5615</f>
        <v>62.189600256000006</v>
      </c>
      <c r="AB5615" s="390"/>
    </row>
    <row r="5616" spans="1:28">
      <c r="A5616" s="384"/>
      <c r="B5616" s="385"/>
      <c r="C5616" s="393"/>
      <c r="D5616" s="398"/>
      <c r="E5616" s="388"/>
      <c r="F5616" s="388"/>
      <c r="G5616" s="388"/>
      <c r="H5616" s="395"/>
      <c r="I5616" s="388"/>
      <c r="J5616" s="396"/>
      <c r="K5616" s="396"/>
      <c r="L5616" s="404"/>
      <c r="M5616" s="399"/>
      <c r="N5616" s="399"/>
      <c r="O5616" s="396"/>
      <c r="P5616" s="389"/>
      <c r="Q5616" s="396"/>
      <c r="R5616" s="396"/>
      <c r="S5616" s="396"/>
      <c r="T5616" s="396"/>
      <c r="U5616" s="401"/>
      <c r="V5616" s="396"/>
      <c r="W5616" s="399"/>
      <c r="X5616" s="396"/>
      <c r="Y5616" s="389"/>
      <c r="Z5616" s="396"/>
      <c r="AA5616" s="388"/>
      <c r="AB5616" s="390"/>
    </row>
    <row r="5617" spans="1:28">
      <c r="A5617" s="384" t="str">
        <f t="shared" ref="A5617:B5617" si="18157">A5605</f>
        <v>Lantai 3</v>
      </c>
      <c r="B5617" s="385">
        <f t="shared" si="18157"/>
        <v>45</v>
      </c>
      <c r="C5617" s="393" t="s">
        <v>208</v>
      </c>
      <c r="D5617" s="398">
        <f>VLOOKUP(D5605,'Detail Balok'!$C$10:$AU$140,13,FALSE)</f>
        <v>0</v>
      </c>
      <c r="E5617" s="388" t="s">
        <v>16</v>
      </c>
      <c r="F5617" s="388">
        <f>VLOOKUP(D5605,'Detail Balok'!$C$10:$AU$140,15,FALSE)</f>
        <v>8</v>
      </c>
      <c r="G5617" s="388"/>
      <c r="H5617" s="395"/>
      <c r="I5617" s="388"/>
      <c r="J5617" s="399">
        <f t="shared" ref="J5617" si="18158">+D5607/1000</f>
        <v>12.75</v>
      </c>
      <c r="K5617" s="400" t="s">
        <v>204</v>
      </c>
      <c r="L5617" s="399">
        <f t="shared" ref="L5617" si="18159">2*$F$16*F5617/1000</f>
        <v>0.192</v>
      </c>
      <c r="M5617" s="399" t="s">
        <v>176</v>
      </c>
      <c r="N5617" s="399">
        <f t="shared" ref="N5617" si="18160">J5617+L5617</f>
        <v>12.942</v>
      </c>
      <c r="O5617" s="399" t="s">
        <v>204</v>
      </c>
      <c r="P5617" s="389">
        <f t="shared" ref="P5617" si="18161">IF(N5617&gt;12,ROUNDDOWN(N5617/12,0),0)</f>
        <v>1</v>
      </c>
      <c r="Q5617" s="399" t="s">
        <v>125</v>
      </c>
      <c r="R5617" s="399">
        <f t="shared" ref="R5617" si="18162">IF(P5617&gt;0,MAX(VLOOKUP(F5617,$D$6:$G$15,3,FALSE),600),0)/1000</f>
        <v>0.6</v>
      </c>
      <c r="S5617" s="399"/>
      <c r="T5617" s="399" t="s">
        <v>125</v>
      </c>
      <c r="U5617" s="401">
        <f t="shared" ref="U5617" si="18163">0.006165*F5617^2</f>
        <v>0.39456000000000002</v>
      </c>
      <c r="V5617" s="399" t="s">
        <v>125</v>
      </c>
      <c r="W5617" s="399">
        <f t="shared" ref="W5617" si="18164">+D5617</f>
        <v>0</v>
      </c>
      <c r="X5617" s="399" t="s">
        <v>125</v>
      </c>
      <c r="Y5617" s="389">
        <f t="shared" ref="Y5617" si="18165">D5611</f>
        <v>1</v>
      </c>
      <c r="Z5617" s="400" t="s">
        <v>176</v>
      </c>
      <c r="AA5617" s="402">
        <f t="shared" ref="AA5617" si="18166">(N5617+P5617*R5617/1000)*U5617*W5617*Y5617</f>
        <v>0</v>
      </c>
      <c r="AB5617" s="403"/>
    </row>
    <row r="5618" spans="1:28">
      <c r="A5618" s="384"/>
      <c r="B5618" s="385"/>
      <c r="C5618" s="393"/>
      <c r="D5618" s="398"/>
      <c r="E5618" s="388"/>
      <c r="F5618" s="388"/>
      <c r="G5618" s="388"/>
      <c r="H5618" s="395"/>
      <c r="I5618" s="388"/>
      <c r="J5618" s="399"/>
      <c r="K5618" s="400"/>
      <c r="L5618" s="399"/>
      <c r="M5618" s="399"/>
      <c r="N5618" s="399"/>
      <c r="O5618" s="399"/>
      <c r="P5618" s="389"/>
      <c r="Q5618" s="399"/>
      <c r="R5618" s="399"/>
      <c r="S5618" s="399"/>
      <c r="T5618" s="399"/>
      <c r="U5618" s="401"/>
      <c r="V5618" s="399"/>
      <c r="W5618" s="399"/>
      <c r="X5618" s="399"/>
      <c r="Y5618" s="389"/>
      <c r="Z5618" s="400"/>
      <c r="AA5618" s="402"/>
      <c r="AB5618" s="403"/>
    </row>
    <row r="5619" spans="1:28">
      <c r="A5619" s="384"/>
      <c r="B5619" s="385"/>
      <c r="C5619" s="393"/>
      <c r="D5619" s="398"/>
      <c r="E5619" s="388"/>
      <c r="F5619" s="388"/>
      <c r="G5619" s="388"/>
      <c r="H5619" s="395"/>
      <c r="I5619" s="388"/>
      <c r="J5619" s="396"/>
      <c r="K5619" s="396"/>
      <c r="L5619" s="396"/>
      <c r="M5619" s="396"/>
      <c r="N5619" s="396"/>
      <c r="O5619" s="396"/>
      <c r="P5619" s="389"/>
      <c r="Q5619" s="396"/>
      <c r="R5619" s="396"/>
      <c r="S5619" s="396"/>
      <c r="T5619" s="396"/>
      <c r="U5619" s="401"/>
      <c r="V5619" s="396"/>
      <c r="W5619" s="399"/>
      <c r="X5619" s="396"/>
      <c r="Y5619" s="389"/>
      <c r="Z5619" s="396"/>
      <c r="AA5619" s="388"/>
      <c r="AB5619" s="390"/>
    </row>
    <row r="5620" spans="1:28">
      <c r="A5620" s="384" t="str">
        <f t="shared" ref="A5620:B5620" si="18167">A5605</f>
        <v>Lantai 3</v>
      </c>
      <c r="B5620" s="385">
        <f t="shared" si="18167"/>
        <v>45</v>
      </c>
      <c r="C5620" s="393" t="s">
        <v>209</v>
      </c>
      <c r="D5620" s="398">
        <f>VLOOKUP(D5605,'Detail Balok'!$C$10:$AU$140,22,FALSE)</f>
        <v>3</v>
      </c>
      <c r="E5620" s="388" t="s">
        <v>16</v>
      </c>
      <c r="F5620" s="388">
        <f>VLOOKUP(D5605,'Detail Balok'!$C$10:$AU$140,24,FALSE)</f>
        <v>16</v>
      </c>
      <c r="G5620" s="388"/>
      <c r="H5620" s="395"/>
      <c r="I5620" s="388" t="s">
        <v>203</v>
      </c>
      <c r="J5620" s="399">
        <f t="shared" si="17974"/>
        <v>3.1875</v>
      </c>
      <c r="K5620" s="400" t="s">
        <v>204</v>
      </c>
      <c r="L5620" s="399">
        <f t="shared" ref="L5620" si="18168">MAX(VLOOKUP(F5620,N$6:P$15,3,FALSE)/1000,2/3*D5610/1000)+F$16*F5620/1000</f>
        <v>0.192</v>
      </c>
      <c r="M5620" s="399" t="s">
        <v>176</v>
      </c>
      <c r="N5620" s="399">
        <f t="shared" ref="N5620:N5622" si="18169">J5620+L5620</f>
        <v>3.3795000000000002</v>
      </c>
      <c r="O5620" s="399" t="s">
        <v>204</v>
      </c>
      <c r="P5620" s="389">
        <f t="shared" ref="P5620" si="18170">D5620-D5621</f>
        <v>0</v>
      </c>
      <c r="Q5620" s="399" t="s">
        <v>125</v>
      </c>
      <c r="R5620" s="399">
        <f t="shared" ref="R5620" si="18171">IF(P5620&gt;0,$F$18*F5620/1000,0)</f>
        <v>0</v>
      </c>
      <c r="S5620" s="399" t="s">
        <v>205</v>
      </c>
      <c r="T5620" s="399" t="s">
        <v>125</v>
      </c>
      <c r="U5620" s="401">
        <f t="shared" ref="U5620:U5622" si="18172">0.006165*F5620^2</f>
        <v>1.5782400000000001</v>
      </c>
      <c r="V5620" s="399"/>
      <c r="W5620" s="399"/>
      <c r="X5620" s="399" t="s">
        <v>125</v>
      </c>
      <c r="Y5620" s="389">
        <f t="shared" ref="Y5620" si="18173">D5611</f>
        <v>1</v>
      </c>
      <c r="Z5620" s="400" t="s">
        <v>176</v>
      </c>
      <c r="AA5620" s="402">
        <f t="shared" ref="AA5620" si="18174">IF(AA5623=0,(D5620*N5620+P5620*R5620)*U5620*Y5620,0)</f>
        <v>0</v>
      </c>
      <c r="AB5620" s="403"/>
    </row>
    <row r="5621" spans="1:28">
      <c r="A5621" s="384" t="str">
        <f t="shared" ref="A5621:B5621" si="18175">A5605</f>
        <v>Lantai 3</v>
      </c>
      <c r="B5621" s="385">
        <f t="shared" si="18175"/>
        <v>45</v>
      </c>
      <c r="C5621" s="393" t="s">
        <v>210</v>
      </c>
      <c r="D5621" s="398">
        <f>VLOOKUP(D5605,'Detail Balok'!$C$10:$AU$140,25,FALSE)</f>
        <v>3</v>
      </c>
      <c r="E5621" s="388" t="s">
        <v>16</v>
      </c>
      <c r="F5621" s="388">
        <f>VLOOKUP(D5605,'Detail Balok'!$C$10:$AU$140,27,FALSE)</f>
        <v>16</v>
      </c>
      <c r="G5621" s="388"/>
      <c r="H5621" s="395"/>
      <c r="I5621" s="388" t="s">
        <v>203</v>
      </c>
      <c r="J5621" s="399">
        <f t="shared" si="17974"/>
        <v>6.375</v>
      </c>
      <c r="K5621" s="400" t="s">
        <v>204</v>
      </c>
      <c r="L5621" s="399"/>
      <c r="M5621" s="399" t="s">
        <v>176</v>
      </c>
      <c r="N5621" s="399">
        <f t="shared" si="18169"/>
        <v>6.375</v>
      </c>
      <c r="O5621" s="399" t="s">
        <v>204</v>
      </c>
      <c r="P5621" s="389">
        <f t="shared" ref="P5621" si="18176">MAX(D5621-D5620,D5621-D5622)</f>
        <v>0</v>
      </c>
      <c r="Q5621" s="399" t="s">
        <v>125</v>
      </c>
      <c r="R5621" s="399">
        <f t="shared" ref="R5621" si="18177">IF(P5621&gt;0,2*(1-2*$F$19-1/2)*D5608/1000,0)</f>
        <v>0</v>
      </c>
      <c r="S5621" s="399" t="s">
        <v>205</v>
      </c>
      <c r="T5621" s="399" t="s">
        <v>125</v>
      </c>
      <c r="U5621" s="401">
        <f t="shared" si="18172"/>
        <v>1.5782400000000001</v>
      </c>
      <c r="V5621" s="399"/>
      <c r="W5621" s="399"/>
      <c r="X5621" s="399" t="s">
        <v>125</v>
      </c>
      <c r="Y5621" s="389">
        <f t="shared" ref="Y5621" si="18178">D5611</f>
        <v>1</v>
      </c>
      <c r="Z5621" s="400" t="s">
        <v>176</v>
      </c>
      <c r="AA5621" s="402">
        <f t="shared" ref="AA5621" si="18179">IF(AA5623=0,(D5621*N5621+P5621*R5621)*U5621*Y5621,0)</f>
        <v>0</v>
      </c>
      <c r="AB5621" s="403"/>
    </row>
    <row r="5622" spans="1:28">
      <c r="A5622" s="384" t="str">
        <f t="shared" ref="A5622:B5622" si="18180">A5605</f>
        <v>Lantai 3</v>
      </c>
      <c r="B5622" s="385">
        <f t="shared" si="18180"/>
        <v>45</v>
      </c>
      <c r="C5622" s="393" t="s">
        <v>209</v>
      </c>
      <c r="D5622" s="398">
        <f>VLOOKUP(D5605,'Detail Balok'!$C$10:$AU$140,28,FALSE)</f>
        <v>3</v>
      </c>
      <c r="E5622" s="388" t="s">
        <v>16</v>
      </c>
      <c r="F5622" s="388">
        <f>VLOOKUP(D5605,'Detail Balok'!$C$10:$AU$140,30,FALSE)</f>
        <v>16</v>
      </c>
      <c r="G5622" s="388"/>
      <c r="H5622" s="395"/>
      <c r="I5622" s="388" t="s">
        <v>203</v>
      </c>
      <c r="J5622" s="399">
        <f t="shared" si="17974"/>
        <v>3.1875</v>
      </c>
      <c r="K5622" s="400" t="s">
        <v>204</v>
      </c>
      <c r="L5622" s="399">
        <f t="shared" ref="L5622" si="18181">MAX(VLOOKUP(F5622,N$6:P$15,3,FALSE)/1000,2/3*D5610/1000)+F$16*F5622/1000</f>
        <v>0.192</v>
      </c>
      <c r="M5622" s="399" t="s">
        <v>176</v>
      </c>
      <c r="N5622" s="399">
        <f t="shared" si="18169"/>
        <v>3.3795000000000002</v>
      </c>
      <c r="O5622" s="399" t="s">
        <v>204</v>
      </c>
      <c r="P5622" s="389">
        <f t="shared" ref="P5622" si="18182">D5622-D5621</f>
        <v>0</v>
      </c>
      <c r="Q5622" s="399" t="s">
        <v>125</v>
      </c>
      <c r="R5622" s="399">
        <f t="shared" ref="R5622" si="18183">IF(P5622&gt;0,$F$18*F5622/1000,0)</f>
        <v>0</v>
      </c>
      <c r="S5622" s="399" t="s">
        <v>205</v>
      </c>
      <c r="T5622" s="399" t="s">
        <v>125</v>
      </c>
      <c r="U5622" s="401">
        <f t="shared" si="18172"/>
        <v>1.5782400000000001</v>
      </c>
      <c r="V5622" s="399"/>
      <c r="W5622" s="399"/>
      <c r="X5622" s="399" t="s">
        <v>125</v>
      </c>
      <c r="Y5622" s="389">
        <f t="shared" ref="Y5622" si="18184">D5611</f>
        <v>1</v>
      </c>
      <c r="Z5622" s="400" t="s">
        <v>176</v>
      </c>
      <c r="AA5622" s="402">
        <f t="shared" ref="AA5622" si="18185">IF(AA5623=0,(D5622*N5622+P5622*R5622)*U5622*Y5622,0)</f>
        <v>0</v>
      </c>
      <c r="AB5622" s="403"/>
    </row>
    <row r="5623" spans="1:28">
      <c r="A5623" s="384" t="str">
        <f t="shared" ref="A5623:B5623" si="18186">A5605</f>
        <v>Lantai 3</v>
      </c>
      <c r="B5623" s="385">
        <f t="shared" si="18186"/>
        <v>45</v>
      </c>
      <c r="C5623" s="393"/>
      <c r="D5623" s="398">
        <f t="shared" si="17994"/>
        <v>3</v>
      </c>
      <c r="E5623" s="388" t="s">
        <v>16</v>
      </c>
      <c r="F5623" s="388">
        <f t="shared" si="17995"/>
        <v>16</v>
      </c>
      <c r="G5623" s="388"/>
      <c r="H5623" s="395"/>
      <c r="I5623" s="388"/>
      <c r="J5623" s="396"/>
      <c r="K5623" s="396"/>
      <c r="L5623" s="404" t="s">
        <v>207</v>
      </c>
      <c r="M5623" s="399" t="s">
        <v>176</v>
      </c>
      <c r="N5623" s="399">
        <f t="shared" ref="N5623" si="18187">IF(AND(D5620=D5621,D5620=D5622,D5621=D5622,F5620=F5621,F5620=F5622,F5621=F5622),SUM(N5620:N5622),0)</f>
        <v>13.134</v>
      </c>
      <c r="O5623" s="399" t="s">
        <v>204</v>
      </c>
      <c r="P5623" s="389">
        <f t="shared" ref="P5623" si="18188">IF(N5623&gt;12,ROUNDDOWN(N5623/12,0),0)</f>
        <v>1</v>
      </c>
      <c r="Q5623" s="399" t="s">
        <v>125</v>
      </c>
      <c r="R5623" s="399">
        <f t="shared" ref="R5623" si="18189">IF(P5623&gt;0,MAX(VLOOKUP(F5623,$D$6:$G$15,3,FALSE),600),0)/1000</f>
        <v>0.8</v>
      </c>
      <c r="S5623" s="396"/>
      <c r="T5623" s="396" t="s">
        <v>125</v>
      </c>
      <c r="U5623" s="401">
        <f t="shared" si="17999"/>
        <v>1.5782400000000001</v>
      </c>
      <c r="V5623" s="396" t="s">
        <v>125</v>
      </c>
      <c r="W5623" s="399">
        <f t="shared" ref="W5623" si="18190">D5623</f>
        <v>3</v>
      </c>
      <c r="X5623" s="399" t="s">
        <v>125</v>
      </c>
      <c r="Y5623" s="389">
        <f t="shared" si="18001"/>
        <v>1</v>
      </c>
      <c r="Z5623" s="400" t="s">
        <v>176</v>
      </c>
      <c r="AA5623" s="402">
        <f t="shared" ref="AA5623" si="18191">(N5623+P5623*R5623/1000)*U5623*W5623*Y5623</f>
        <v>62.189600256000006</v>
      </c>
      <c r="AB5623" s="403"/>
    </row>
    <row r="5624" spans="1:28">
      <c r="A5624" s="384"/>
      <c r="B5624" s="385"/>
      <c r="C5624" s="393"/>
      <c r="D5624" s="394"/>
      <c r="E5624" s="388"/>
      <c r="F5624" s="388"/>
      <c r="G5624" s="388"/>
      <c r="H5624" s="395"/>
      <c r="I5624" s="388"/>
      <c r="J5624" s="399"/>
      <c r="K5624" s="396"/>
      <c r="L5624" s="396"/>
      <c r="M5624" s="396"/>
      <c r="N5624" s="396"/>
      <c r="O5624" s="396"/>
      <c r="P5624" s="389"/>
      <c r="Q5624" s="396"/>
      <c r="R5624" s="396"/>
      <c r="S5624" s="396"/>
      <c r="T5624" s="396"/>
      <c r="U5624" s="401"/>
      <c r="V5624" s="396"/>
      <c r="W5624" s="388"/>
      <c r="X5624" s="396"/>
      <c r="Y5624" s="389"/>
      <c r="Z5624" s="396"/>
      <c r="AA5624" s="388"/>
      <c r="AB5624" s="390"/>
    </row>
    <row r="5625" spans="1:28">
      <c r="A5625" s="384" t="str">
        <f t="shared" ref="A5625:B5625" si="18192">A5605</f>
        <v>Lantai 3</v>
      </c>
      <c r="B5625" s="385">
        <f t="shared" si="18192"/>
        <v>45</v>
      </c>
      <c r="C5625" s="393" t="s">
        <v>211</v>
      </c>
      <c r="D5625" s="398">
        <f>VLOOKUP(D5605,'Detail Balok'!$C$10:$AU$140,31,FALSE)</f>
        <v>0</v>
      </c>
      <c r="E5625" s="388" t="s">
        <v>16</v>
      </c>
      <c r="F5625" s="388">
        <f>VLOOKUP(D5605,'Detail Balok'!$C$10:$AU$140,33,FALSE)</f>
        <v>10</v>
      </c>
      <c r="G5625" s="405" t="s">
        <v>157</v>
      </c>
      <c r="H5625" s="395">
        <f>VLOOKUP(D5605,'Detail Balok'!$C$10:$AU$140,35,FALSE)</f>
        <v>100</v>
      </c>
      <c r="I5625" s="388"/>
      <c r="J5625" s="400">
        <f t="shared" ref="J5625" si="18193">(IF(D5625=0,(2*(D5606+G5606))-(F$5*8),IF(D5625=3,(2*(D5606+G5606))-(F$5*8)+(G5606-2*F$5),IF(D5625=4,(2*(D5606+G5606))-(F$5*8)+2*(G5606-2*F$5)))))/1000</f>
        <v>0.88</v>
      </c>
      <c r="K5625" s="400" t="s">
        <v>204</v>
      </c>
      <c r="L5625" s="399">
        <f t="shared" ref="L5625:L5627" si="18194">IF(D5625=0,2*MAX(6*F5625,75),(D5625-1)*2*MAX(6*F5625,75))/1000</f>
        <v>0.15</v>
      </c>
      <c r="M5625" s="399" t="s">
        <v>176</v>
      </c>
      <c r="N5625" s="399">
        <f t="shared" ref="N5625:N5627" si="18195">J5625+L5625</f>
        <v>1.03</v>
      </c>
      <c r="O5625" s="399"/>
      <c r="P5625" s="389"/>
      <c r="Q5625" s="399"/>
      <c r="R5625" s="399"/>
      <c r="S5625" s="399"/>
      <c r="T5625" s="399" t="s">
        <v>125</v>
      </c>
      <c r="U5625" s="401">
        <f t="shared" ref="U5625:U5627" si="18196">0.006165*F5625^2</f>
        <v>0.61650000000000005</v>
      </c>
      <c r="V5625" s="399" t="s">
        <v>125</v>
      </c>
      <c r="W5625" s="399">
        <f t="shared" ref="W5625" si="18197">IF(D5608&gt;4*G5606,ROUND(MAX(D5608/4,2*G5606)/H5625,0)+1,ROUND(D5608/H5625,0)+1)</f>
        <v>33</v>
      </c>
      <c r="X5625" s="399" t="s">
        <v>125</v>
      </c>
      <c r="Y5625" s="389">
        <f t="shared" ref="Y5625" si="18198">D5611</f>
        <v>1</v>
      </c>
      <c r="Z5625" s="400" t="s">
        <v>176</v>
      </c>
      <c r="AA5625" s="402">
        <f t="shared" ref="AA5625:AA5627" si="18199">N5625*U5625*W5625*Y5625</f>
        <v>20.954835000000003</v>
      </c>
      <c r="AB5625" s="403"/>
    </row>
    <row r="5626" spans="1:28">
      <c r="A5626" s="384" t="str">
        <f t="shared" ref="A5626:B5626" si="18200">A5605</f>
        <v>Lantai 3</v>
      </c>
      <c r="B5626" s="385">
        <f t="shared" si="18200"/>
        <v>45</v>
      </c>
      <c r="C5626" s="393" t="s">
        <v>212</v>
      </c>
      <c r="D5626" s="398">
        <f>VLOOKUP(D5605,'Detail Balok'!$C$10:$AU$140,36,FALSE)</f>
        <v>0</v>
      </c>
      <c r="E5626" s="388" t="s">
        <v>16</v>
      </c>
      <c r="F5626" s="388">
        <f>VLOOKUP(D5605,'Detail Balok'!$C$10:$AU$140,38,FALSE)</f>
        <v>10</v>
      </c>
      <c r="G5626" s="405" t="s">
        <v>157</v>
      </c>
      <c r="H5626" s="395">
        <f>VLOOKUP(D5605,'Detail Balok'!$C$10:$AU$140,40,FALSE)</f>
        <v>200</v>
      </c>
      <c r="I5626" s="388"/>
      <c r="J5626" s="400">
        <f t="shared" ref="J5626" si="18201">(IF(D5626=0,(2*(D5606+G5606))-(F$5*8),IF(D5626=3,(2*(D5606+G5606))-(F$5*8)+(G5606-2*F$5),IF(D5626=4,(2*(D5606+G5606))-(F$5*8)+2*(G5606-2*F$5)))))/1000</f>
        <v>0.88</v>
      </c>
      <c r="K5626" s="400" t="s">
        <v>204</v>
      </c>
      <c r="L5626" s="399">
        <f t="shared" si="18194"/>
        <v>0.15</v>
      </c>
      <c r="M5626" s="399" t="s">
        <v>176</v>
      </c>
      <c r="N5626" s="399">
        <f t="shared" si="18195"/>
        <v>1.03</v>
      </c>
      <c r="O5626" s="399"/>
      <c r="P5626" s="389"/>
      <c r="Q5626" s="399"/>
      <c r="R5626" s="399"/>
      <c r="S5626" s="399"/>
      <c r="T5626" s="399" t="s">
        <v>125</v>
      </c>
      <c r="U5626" s="401">
        <f t="shared" si="18196"/>
        <v>0.61650000000000005</v>
      </c>
      <c r="V5626" s="399" t="s">
        <v>125</v>
      </c>
      <c r="W5626" s="399">
        <f t="shared" ref="W5626" si="18202">IF(D5608-MAX(D5608/4,2*G5606)*2&gt;0,ROUND((D5608-MAX(D5608/4,2*G5606)*2)/H5626,0),0)</f>
        <v>32</v>
      </c>
      <c r="X5626" s="399" t="s">
        <v>125</v>
      </c>
      <c r="Y5626" s="389">
        <f t="shared" ref="Y5626" si="18203">D5611</f>
        <v>1</v>
      </c>
      <c r="Z5626" s="400" t="s">
        <v>176</v>
      </c>
      <c r="AA5626" s="402">
        <f t="shared" si="18199"/>
        <v>20.319840000000003</v>
      </c>
      <c r="AB5626" s="403"/>
    </row>
    <row r="5627" spans="1:28">
      <c r="A5627" s="384" t="str">
        <f t="shared" ref="A5627:B5627" si="18204">A5605</f>
        <v>Lantai 3</v>
      </c>
      <c r="B5627" s="385">
        <f t="shared" si="18204"/>
        <v>45</v>
      </c>
      <c r="C5627" s="393" t="s">
        <v>211</v>
      </c>
      <c r="D5627" s="398">
        <f>VLOOKUP(D5605,'Detail Balok'!$C$10:$AU$140,41,FALSE)</f>
        <v>0</v>
      </c>
      <c r="E5627" s="388" t="s">
        <v>16</v>
      </c>
      <c r="F5627" s="388">
        <f>VLOOKUP(D5605,'Detail Balok'!$C$10:$AU$140,43,FALSE)</f>
        <v>10</v>
      </c>
      <c r="G5627" s="405" t="s">
        <v>157</v>
      </c>
      <c r="H5627" s="395">
        <f>VLOOKUP(D5605,'Detail Balok'!$C$10:$AU$140,45,FALSE)</f>
        <v>100</v>
      </c>
      <c r="I5627" s="388"/>
      <c r="J5627" s="400">
        <f t="shared" ref="J5627" si="18205">(IF(D5627=0,(2*(D5606+G5606))-(F$5*8),IF(D5627=3,(2*(D5606+G5606))-(F$5*8)+(G5606-2*F$5),IF(D5627=4,(2*(D5606+G5606))-(F$5*8)+2*(G5606-2*F$5)))))/1000</f>
        <v>0.88</v>
      </c>
      <c r="K5627" s="400" t="s">
        <v>204</v>
      </c>
      <c r="L5627" s="399">
        <f t="shared" si="18194"/>
        <v>0.15</v>
      </c>
      <c r="M5627" s="399" t="s">
        <v>176</v>
      </c>
      <c r="N5627" s="399">
        <f t="shared" si="18195"/>
        <v>1.03</v>
      </c>
      <c r="O5627" s="399"/>
      <c r="P5627" s="389"/>
      <c r="Q5627" s="399"/>
      <c r="R5627" s="399"/>
      <c r="S5627" s="399"/>
      <c r="T5627" s="399" t="s">
        <v>125</v>
      </c>
      <c r="U5627" s="401">
        <f t="shared" si="18196"/>
        <v>0.61650000000000005</v>
      </c>
      <c r="V5627" s="399" t="s">
        <v>125</v>
      </c>
      <c r="W5627" s="399">
        <f t="shared" ref="W5627" si="18206">IF(D5608&gt;4*G5606,ROUND(MAX(D5608/4,2*G5606)/H5627,0)+1,0)</f>
        <v>33</v>
      </c>
      <c r="X5627" s="399" t="s">
        <v>125</v>
      </c>
      <c r="Y5627" s="389">
        <f t="shared" ref="Y5627" si="18207">D5611</f>
        <v>1</v>
      </c>
      <c r="Z5627" s="400" t="s">
        <v>176</v>
      </c>
      <c r="AA5627" s="402">
        <f t="shared" si="18199"/>
        <v>20.954835000000003</v>
      </c>
      <c r="AB5627" s="403"/>
    </row>
    <row r="5628" spans="1:28">
      <c r="A5628" s="384"/>
      <c r="B5628" s="385"/>
      <c r="C5628" s="393"/>
      <c r="D5628" s="394"/>
      <c r="E5628" s="388"/>
      <c r="F5628" s="388"/>
      <c r="G5628" s="388"/>
      <c r="H5628" s="395"/>
      <c r="I5628" s="388"/>
      <c r="J5628" s="399"/>
      <c r="K5628" s="396"/>
      <c r="L5628" s="396"/>
      <c r="M5628" s="396"/>
      <c r="N5628" s="396"/>
      <c r="O5628" s="396"/>
      <c r="P5628" s="389"/>
      <c r="Q5628" s="396"/>
      <c r="R5628" s="396"/>
      <c r="S5628" s="396"/>
      <c r="T5628" s="396"/>
      <c r="U5628" s="401"/>
      <c r="V5628" s="396"/>
      <c r="W5628" s="388"/>
      <c r="X5628" s="396"/>
      <c r="Y5628" s="389"/>
      <c r="Z5628" s="396"/>
      <c r="AA5628" s="388"/>
      <c r="AB5628" s="390"/>
    </row>
    <row r="5629" spans="1:28">
      <c r="A5629" s="384" t="str">
        <f t="shared" ref="A5629:B5629" si="18208">A5605</f>
        <v>Lantai 3</v>
      </c>
      <c r="B5629" s="385">
        <f t="shared" si="18208"/>
        <v>45</v>
      </c>
      <c r="C5629" s="393" t="s">
        <v>213</v>
      </c>
      <c r="D5629" s="398">
        <f>VLOOKUP(D5605,'Detail Balok'!$C$10:$BJ$140,46,FALSE)</f>
        <v>0</v>
      </c>
      <c r="E5629" s="388" t="s">
        <v>16</v>
      </c>
      <c r="F5629" s="388">
        <f>VLOOKUP(D5605,'Detail Balok'!$C$10:$BJ$140,48,FALSE)</f>
        <v>0</v>
      </c>
      <c r="G5629" s="405" t="s">
        <v>157</v>
      </c>
      <c r="H5629" s="395">
        <f>VLOOKUP(D5605,'Detail Balok'!$C$10:$BJ$140,50,FALSE)</f>
        <v>100</v>
      </c>
      <c r="I5629" s="388"/>
      <c r="J5629" s="399">
        <f t="shared" ref="J5629" si="18209">(D5606-2*F$5)/1000</f>
        <v>0.12</v>
      </c>
      <c r="K5629" s="400" t="s">
        <v>204</v>
      </c>
      <c r="L5629" s="399">
        <f t="shared" ref="L5629:L5631" si="18210">IF(D5629=0,2*MAX(6*F5629,75),(D5629-1)*2*MAX(6*F5629,75))/1000</f>
        <v>0.15</v>
      </c>
      <c r="M5629" s="399" t="s">
        <v>176</v>
      </c>
      <c r="N5629" s="399">
        <f t="shared" ref="N5629:N5631" si="18211">J5629+L5629</f>
        <v>0.27</v>
      </c>
      <c r="O5629" s="399"/>
      <c r="P5629" s="399"/>
      <c r="Q5629" s="399"/>
      <c r="R5629" s="399"/>
      <c r="S5629" s="399"/>
      <c r="T5629" s="399" t="s">
        <v>125</v>
      </c>
      <c r="U5629" s="401">
        <f t="shared" ref="U5629:U5631" si="18212">0.006165*F5629^2</f>
        <v>0</v>
      </c>
      <c r="V5629" s="399" t="s">
        <v>125</v>
      </c>
      <c r="W5629" s="399">
        <f t="shared" si="18024"/>
        <v>33</v>
      </c>
      <c r="X5629" s="399" t="s">
        <v>125</v>
      </c>
      <c r="Y5629" s="389">
        <f t="shared" ref="Y5629" si="18213">D5615</f>
        <v>3</v>
      </c>
      <c r="Z5629" s="400" t="s">
        <v>176</v>
      </c>
      <c r="AA5629" s="402">
        <f t="shared" ref="AA5629:AA5631" si="18214">N5629*U5629*W5629*Y5629</f>
        <v>0</v>
      </c>
      <c r="AB5629" s="403"/>
    </row>
    <row r="5630" spans="1:28">
      <c r="A5630" s="384" t="str">
        <f t="shared" ref="A5630:B5630" si="18215">A5605</f>
        <v>Lantai 3</v>
      </c>
      <c r="B5630" s="385">
        <f t="shared" si="18215"/>
        <v>45</v>
      </c>
      <c r="C5630" s="393" t="s">
        <v>214</v>
      </c>
      <c r="D5630" s="398">
        <f>VLOOKUP(D5605,'Detail Balok'!$C$10:$BJ$140,51,FALSE)</f>
        <v>0</v>
      </c>
      <c r="E5630" s="388" t="s">
        <v>16</v>
      </c>
      <c r="F5630" s="388">
        <f>VLOOKUP(D5605,'Detail Balok'!$C$10:$BJ$140,53,FALSE)</f>
        <v>0</v>
      </c>
      <c r="G5630" s="405" t="s">
        <v>157</v>
      </c>
      <c r="H5630" s="395">
        <f>VLOOKUP(D5605,'Detail Balok'!$C$10:$BJ$140,55,FALSE)</f>
        <v>100</v>
      </c>
      <c r="I5630" s="388"/>
      <c r="J5630" s="399">
        <f t="shared" ref="J5630" si="18216">(D5606-2*F$5)/1000</f>
        <v>0.12</v>
      </c>
      <c r="K5630" s="400" t="s">
        <v>204</v>
      </c>
      <c r="L5630" s="399">
        <f t="shared" si="18210"/>
        <v>0.15</v>
      </c>
      <c r="M5630" s="399" t="s">
        <v>176</v>
      </c>
      <c r="N5630" s="399">
        <f t="shared" si="18211"/>
        <v>0.27</v>
      </c>
      <c r="O5630" s="399"/>
      <c r="P5630" s="399"/>
      <c r="Q5630" s="399"/>
      <c r="R5630" s="399"/>
      <c r="S5630" s="399"/>
      <c r="T5630" s="399" t="s">
        <v>125</v>
      </c>
      <c r="U5630" s="401">
        <f t="shared" si="18212"/>
        <v>0</v>
      </c>
      <c r="V5630" s="399" t="s">
        <v>125</v>
      </c>
      <c r="W5630" s="399">
        <f t="shared" si="18024"/>
        <v>32</v>
      </c>
      <c r="X5630" s="399" t="s">
        <v>125</v>
      </c>
      <c r="Y5630" s="389">
        <f t="shared" ref="Y5630" si="18217">D5615</f>
        <v>3</v>
      </c>
      <c r="Z5630" s="400" t="s">
        <v>176</v>
      </c>
      <c r="AA5630" s="402">
        <f t="shared" si="18214"/>
        <v>0</v>
      </c>
      <c r="AB5630" s="403"/>
    </row>
    <row r="5631" spans="1:28">
      <c r="A5631" s="384" t="str">
        <f t="shared" ref="A5631:B5631" si="18218">A5605</f>
        <v>Lantai 3</v>
      </c>
      <c r="B5631" s="385">
        <f t="shared" si="18218"/>
        <v>45</v>
      </c>
      <c r="C5631" s="393" t="s">
        <v>213</v>
      </c>
      <c r="D5631" s="398">
        <f>VLOOKUP(D5605,'Detail Balok'!$C$10:$BJ$140,56,FALSE)</f>
        <v>0</v>
      </c>
      <c r="E5631" s="388" t="s">
        <v>16</v>
      </c>
      <c r="F5631" s="388">
        <f>VLOOKUP(D5605,'Detail Balok'!$C$10:$BJ$140,58,FALSE)</f>
        <v>0</v>
      </c>
      <c r="G5631" s="405" t="s">
        <v>157</v>
      </c>
      <c r="H5631" s="395">
        <f>VLOOKUP(D5605,'Detail Balok'!$C$10:$BJ$140,60,FALSE)</f>
        <v>100</v>
      </c>
      <c r="I5631" s="388"/>
      <c r="J5631" s="399">
        <f t="shared" ref="J5631" si="18219">(D5606-2*F$5)/1000</f>
        <v>0.12</v>
      </c>
      <c r="K5631" s="400" t="s">
        <v>204</v>
      </c>
      <c r="L5631" s="399">
        <f t="shared" si="18210"/>
        <v>0.15</v>
      </c>
      <c r="M5631" s="399" t="s">
        <v>176</v>
      </c>
      <c r="N5631" s="399">
        <f t="shared" si="18211"/>
        <v>0.27</v>
      </c>
      <c r="O5631" s="399"/>
      <c r="P5631" s="399"/>
      <c r="Q5631" s="399"/>
      <c r="R5631" s="399"/>
      <c r="S5631" s="399"/>
      <c r="T5631" s="399" t="s">
        <v>125</v>
      </c>
      <c r="U5631" s="401">
        <f t="shared" si="18212"/>
        <v>0</v>
      </c>
      <c r="V5631" s="399" t="s">
        <v>125</v>
      </c>
      <c r="W5631" s="399">
        <f t="shared" si="18024"/>
        <v>33</v>
      </c>
      <c r="X5631" s="399" t="s">
        <v>125</v>
      </c>
      <c r="Y5631" s="389">
        <f t="shared" ref="Y5631" si="18220">D5615</f>
        <v>3</v>
      </c>
      <c r="Z5631" s="400" t="s">
        <v>176</v>
      </c>
      <c r="AA5631" s="402">
        <f t="shared" si="18214"/>
        <v>0</v>
      </c>
      <c r="AB5631" s="403"/>
    </row>
    <row r="5632" spans="1:28">
      <c r="A5632" s="391"/>
      <c r="B5632" s="392"/>
      <c r="C5632" s="392"/>
      <c r="D5632" s="394"/>
      <c r="E5632" s="388"/>
      <c r="F5632" s="388"/>
      <c r="G5632" s="388"/>
      <c r="H5632" s="395"/>
      <c r="I5632" s="388"/>
      <c r="J5632" s="402"/>
      <c r="K5632" s="388"/>
      <c r="L5632" s="388"/>
      <c r="M5632" s="388"/>
      <c r="N5632" s="388"/>
      <c r="O5632" s="388"/>
      <c r="P5632" s="388"/>
      <c r="Q5632" s="388"/>
      <c r="R5632" s="388"/>
      <c r="S5632" s="388"/>
      <c r="T5632" s="388"/>
      <c r="U5632" s="388"/>
      <c r="V5632" s="388"/>
      <c r="W5632" s="388"/>
      <c r="X5632" s="388"/>
      <c r="Y5632" s="389"/>
      <c r="Z5632" s="388"/>
      <c r="AA5632" s="402"/>
      <c r="AB5632" s="403"/>
    </row>
    <row r="5633" spans="1:28" ht="15.75" thickBot="1">
      <c r="A5633" s="406"/>
      <c r="B5633" s="407"/>
      <c r="C5633" s="407"/>
      <c r="D5633" s="408"/>
      <c r="E5633" s="409"/>
      <c r="F5633" s="409"/>
      <c r="G5633" s="409"/>
      <c r="H5633" s="410"/>
      <c r="I5633" s="409"/>
      <c r="J5633" s="409"/>
      <c r="K5633" s="409"/>
      <c r="L5633" s="409"/>
      <c r="M5633" s="409"/>
      <c r="N5633" s="409"/>
      <c r="O5633" s="409"/>
      <c r="P5633" s="409"/>
      <c r="Q5633" s="409"/>
      <c r="R5633" s="409"/>
      <c r="S5633" s="409"/>
      <c r="T5633" s="409"/>
      <c r="U5633" s="409"/>
      <c r="V5633" s="409"/>
      <c r="W5633" s="409"/>
      <c r="X5633" s="409"/>
      <c r="Y5633" s="411"/>
      <c r="Z5633" s="409"/>
      <c r="AA5633" s="412"/>
      <c r="AB5633" s="413"/>
    </row>
    <row r="5634" spans="1:28">
      <c r="A5634" s="377"/>
      <c r="B5634" s="378"/>
      <c r="C5634" s="378"/>
      <c r="D5634" s="379"/>
      <c r="E5634" s="380"/>
      <c r="F5634" s="380"/>
      <c r="G5634" s="380"/>
      <c r="H5634" s="381"/>
      <c r="I5634" s="380"/>
      <c r="J5634" s="380"/>
      <c r="K5634" s="380"/>
      <c r="L5634" s="380"/>
      <c r="M5634" s="380"/>
      <c r="N5634" s="380"/>
      <c r="O5634" s="380"/>
      <c r="P5634" s="380"/>
      <c r="Q5634" s="380"/>
      <c r="R5634" s="380"/>
      <c r="S5634" s="380"/>
      <c r="T5634" s="380"/>
      <c r="U5634" s="380"/>
      <c r="V5634" s="380"/>
      <c r="W5634" s="380"/>
      <c r="X5634" s="380"/>
      <c r="Y5634" s="382"/>
      <c r="Z5634" s="380"/>
      <c r="AA5634" s="380"/>
      <c r="AB5634" s="383"/>
    </row>
    <row r="5635" spans="1:28">
      <c r="A5635" s="384" t="str">
        <f t="shared" si="18033"/>
        <v>Lantai 3</v>
      </c>
      <c r="B5635" s="385">
        <f t="shared" si="18034"/>
        <v>46</v>
      </c>
      <c r="C5635" s="386" t="str">
        <f t="shared" ref="C5635" si="18221">CONCATENATE(A5635," no. ",B5635)</f>
        <v>Lantai 3 no. 46</v>
      </c>
      <c r="D5635" s="2562" t="str">
        <f>VLOOKUP(C5635,'Data Panjang Balok'!$C$9:$N$254,2,FALSE)</f>
        <v>B26-1</v>
      </c>
      <c r="E5635" s="2576"/>
      <c r="F5635" s="2576"/>
      <c r="G5635" s="2576"/>
      <c r="H5635" s="2577"/>
      <c r="I5635" s="387"/>
      <c r="J5635" s="388"/>
      <c r="K5635" s="388"/>
      <c r="L5635" s="388"/>
      <c r="M5635" s="388"/>
      <c r="N5635" s="388"/>
      <c r="O5635" s="388"/>
      <c r="P5635" s="388"/>
      <c r="Q5635" s="388"/>
      <c r="R5635" s="388"/>
      <c r="S5635" s="388"/>
      <c r="T5635" s="388"/>
      <c r="U5635" s="388"/>
      <c r="V5635" s="388"/>
      <c r="W5635" s="388"/>
      <c r="X5635" s="388"/>
      <c r="Y5635" s="389"/>
      <c r="Z5635" s="388"/>
      <c r="AA5635" s="388"/>
      <c r="AB5635" s="390"/>
    </row>
    <row r="5636" spans="1:28">
      <c r="A5636" s="391"/>
      <c r="B5636" s="392"/>
      <c r="C5636" s="393" t="s">
        <v>118</v>
      </c>
      <c r="D5636" s="2578">
        <f>VLOOKUP(D5635,'Detail Balok'!$C$10:$AU$140,2,FALSE)</f>
        <v>200</v>
      </c>
      <c r="E5636" s="2579"/>
      <c r="F5636" s="388" t="s">
        <v>125</v>
      </c>
      <c r="G5636" s="2579">
        <f>VLOOKUP(D5635,'Detail Balok'!$C$10:$AU$140,3,FALSE)</f>
        <v>600</v>
      </c>
      <c r="H5636" s="2580"/>
      <c r="I5636" s="388"/>
      <c r="J5636" s="396"/>
      <c r="K5636" s="396"/>
      <c r="L5636" s="396"/>
      <c r="M5636" s="396"/>
      <c r="N5636" s="396"/>
      <c r="O5636" s="396"/>
      <c r="P5636" s="396"/>
      <c r="Q5636" s="396"/>
      <c r="R5636" s="396"/>
      <c r="S5636" s="396"/>
      <c r="T5636" s="396"/>
      <c r="U5636" s="388"/>
      <c r="V5636" s="396"/>
      <c r="W5636" s="388"/>
      <c r="X5636" s="396"/>
      <c r="Y5636" s="389"/>
      <c r="Z5636" s="396"/>
      <c r="AA5636" s="388"/>
      <c r="AB5636" s="390"/>
    </row>
    <row r="5637" spans="1:28">
      <c r="A5637" s="391"/>
      <c r="B5637" s="392"/>
      <c r="C5637" s="393" t="s">
        <v>198</v>
      </c>
      <c r="D5637" s="2562">
        <f>VLOOKUP(C5635,'Data Panjang Balok'!$C$9:$N$254,4,FALSE)</f>
        <v>1600</v>
      </c>
      <c r="E5637" s="2563"/>
      <c r="F5637" s="2563"/>
      <c r="G5637" s="2563"/>
      <c r="H5637" s="2564"/>
      <c r="I5637" s="397"/>
      <c r="J5637" s="396"/>
      <c r="K5637" s="396"/>
      <c r="L5637" s="396"/>
      <c r="M5637" s="396"/>
      <c r="N5637" s="396"/>
      <c r="O5637" s="396"/>
      <c r="P5637" s="396"/>
      <c r="Q5637" s="396"/>
      <c r="R5637" s="396"/>
      <c r="S5637" s="396"/>
      <c r="T5637" s="396"/>
      <c r="U5637" s="388"/>
      <c r="V5637" s="396"/>
      <c r="W5637" s="388"/>
      <c r="X5637" s="396"/>
      <c r="Y5637" s="389"/>
      <c r="Z5637" s="396"/>
      <c r="AA5637" s="388"/>
      <c r="AB5637" s="390"/>
    </row>
    <row r="5638" spans="1:28">
      <c r="A5638" s="391"/>
      <c r="B5638" s="392"/>
      <c r="C5638" s="393" t="s">
        <v>199</v>
      </c>
      <c r="D5638" s="2562">
        <f>VLOOKUP(C5635,'Data Panjang Balok'!$C$9:$N$254,7,FALSE)</f>
        <v>1600</v>
      </c>
      <c r="E5638" s="2563"/>
      <c r="F5638" s="2563"/>
      <c r="G5638" s="2563"/>
      <c r="H5638" s="2564"/>
      <c r="I5638" s="397"/>
      <c r="J5638" s="396"/>
      <c r="K5638" s="396"/>
      <c r="L5638" s="396"/>
      <c r="M5638" s="396"/>
      <c r="N5638" s="396"/>
      <c r="O5638" s="396"/>
      <c r="P5638" s="396"/>
      <c r="Q5638" s="396"/>
      <c r="R5638" s="396"/>
      <c r="S5638" s="396"/>
      <c r="T5638" s="396"/>
      <c r="U5638" s="388"/>
      <c r="V5638" s="396"/>
      <c r="W5638" s="388"/>
      <c r="X5638" s="396"/>
      <c r="Y5638" s="389"/>
      <c r="Z5638" s="396"/>
      <c r="AA5638" s="388"/>
      <c r="AB5638" s="390"/>
    </row>
    <row r="5639" spans="1:28">
      <c r="A5639" s="391"/>
      <c r="B5639" s="392"/>
      <c r="C5639" s="393" t="s">
        <v>200</v>
      </c>
      <c r="D5639" s="2562">
        <f>VLOOKUP(C5635,'Data Panjang Balok'!$C$9:$N$254,9,FALSE)</f>
        <v>0</v>
      </c>
      <c r="E5639" s="2563"/>
      <c r="F5639" s="2563"/>
      <c r="G5639" s="2563"/>
      <c r="H5639" s="2564"/>
      <c r="I5639" s="397"/>
      <c r="J5639" s="396"/>
      <c r="K5639" s="396"/>
      <c r="L5639" s="396"/>
      <c r="M5639" s="396"/>
      <c r="N5639" s="396"/>
      <c r="O5639" s="396"/>
      <c r="P5639" s="396"/>
      <c r="Q5639" s="396"/>
      <c r="R5639" s="396"/>
      <c r="S5639" s="396"/>
      <c r="T5639" s="396"/>
      <c r="U5639" s="388"/>
      <c r="V5639" s="396"/>
      <c r="W5639" s="388"/>
      <c r="X5639" s="396"/>
      <c r="Y5639" s="389"/>
      <c r="Z5639" s="396"/>
      <c r="AA5639" s="388"/>
      <c r="AB5639" s="390"/>
    </row>
    <row r="5640" spans="1:28">
      <c r="A5640" s="391"/>
      <c r="B5640" s="392"/>
      <c r="C5640" s="393" t="s">
        <v>201</v>
      </c>
      <c r="D5640" s="2562">
        <f>VLOOKUP(C5635,'Data Panjang Balok'!$C$9:$N$254,10,FALSE)</f>
        <v>0</v>
      </c>
      <c r="E5640" s="2563"/>
      <c r="F5640" s="2563"/>
      <c r="G5640" s="2563"/>
      <c r="H5640" s="2564"/>
      <c r="I5640" s="397"/>
      <c r="J5640" s="396"/>
      <c r="K5640" s="396"/>
      <c r="L5640" s="396"/>
      <c r="M5640" s="396"/>
      <c r="N5640" s="396"/>
      <c r="O5640" s="396"/>
      <c r="P5640" s="396"/>
      <c r="Q5640" s="396"/>
      <c r="R5640" s="396"/>
      <c r="S5640" s="396"/>
      <c r="T5640" s="396"/>
      <c r="U5640" s="388"/>
      <c r="V5640" s="396"/>
      <c r="W5640" s="388"/>
      <c r="X5640" s="396"/>
      <c r="Y5640" s="389"/>
      <c r="Z5640" s="396"/>
      <c r="AA5640" s="388"/>
      <c r="AB5640" s="390"/>
    </row>
    <row r="5641" spans="1:28">
      <c r="A5641" s="391"/>
      <c r="B5641" s="392"/>
      <c r="C5641" s="393" t="s">
        <v>48</v>
      </c>
      <c r="D5641" s="2562">
        <f>VLOOKUP(C5635,'Data Panjang Balok'!$C$9:$N$254,3,FALSE)</f>
        <v>1</v>
      </c>
      <c r="E5641" s="2563"/>
      <c r="F5641" s="2563"/>
      <c r="G5641" s="2563"/>
      <c r="H5641" s="2564"/>
      <c r="I5641" s="397"/>
      <c r="J5641" s="396"/>
      <c r="K5641" s="396"/>
      <c r="L5641" s="396"/>
      <c r="M5641" s="396"/>
      <c r="N5641" s="396"/>
      <c r="O5641" s="396"/>
      <c r="P5641" s="396"/>
      <c r="Q5641" s="396"/>
      <c r="R5641" s="396"/>
      <c r="S5641" s="396"/>
      <c r="T5641" s="396"/>
      <c r="U5641" s="388"/>
      <c r="V5641" s="396"/>
      <c r="W5641" s="388"/>
      <c r="X5641" s="396"/>
      <c r="Y5641" s="389"/>
      <c r="Z5641" s="396"/>
      <c r="AA5641" s="388"/>
      <c r="AB5641" s="390"/>
    </row>
    <row r="5642" spans="1:28">
      <c r="A5642" s="384" t="str">
        <f t="shared" ref="A5642:B5642" si="18222">A5635</f>
        <v>Lantai 3</v>
      </c>
      <c r="B5642" s="385">
        <f t="shared" si="18222"/>
        <v>46</v>
      </c>
      <c r="C5642" s="393" t="s">
        <v>202</v>
      </c>
      <c r="D5642" s="398">
        <f>VLOOKUP(D5635,'Detail Balok'!$C$10:$AU$140,4,FALSE)</f>
        <v>4</v>
      </c>
      <c r="E5642" s="388" t="s">
        <v>16</v>
      </c>
      <c r="F5642" s="388">
        <f>VLOOKUP(D5635,'Detail Balok'!$C$10:$AU$140,6,FALSE)</f>
        <v>16</v>
      </c>
      <c r="G5642" s="388"/>
      <c r="H5642" s="395"/>
      <c r="I5642" s="388" t="s">
        <v>203</v>
      </c>
      <c r="J5642" s="399">
        <f t="shared" ref="J5642" si="18223">+D5637/4/1000</f>
        <v>0.4</v>
      </c>
      <c r="K5642" s="400" t="s">
        <v>204</v>
      </c>
      <c r="L5642" s="399">
        <f t="shared" ref="L5642" si="18224">MAX(VLOOKUP(F5642,N$6:P$15,3,FALSE)/1000,2/3*D5639/1000)+F$16*F5642/1000</f>
        <v>0.192</v>
      </c>
      <c r="M5642" s="399" t="s">
        <v>176</v>
      </c>
      <c r="N5642" s="399">
        <f t="shared" ref="N5642:N5644" si="18225">J5642+L5642</f>
        <v>0.59200000000000008</v>
      </c>
      <c r="O5642" s="399" t="s">
        <v>204</v>
      </c>
      <c r="P5642" s="389">
        <f t="shared" ref="P5642" si="18226">D5642-D5643</f>
        <v>1</v>
      </c>
      <c r="Q5642" s="399" t="s">
        <v>125</v>
      </c>
      <c r="R5642" s="399">
        <f t="shared" ref="R5642" si="18227">IF(P5642&gt;0,$F$18*F5642/1000,0)</f>
        <v>0.24</v>
      </c>
      <c r="S5642" s="399" t="s">
        <v>205</v>
      </c>
      <c r="T5642" s="399" t="s">
        <v>125</v>
      </c>
      <c r="U5642" s="401">
        <f t="shared" ref="U5642:U5644" si="18228">0.006165*F5642^2</f>
        <v>1.5782400000000001</v>
      </c>
      <c r="V5642" s="399"/>
      <c r="W5642" s="399"/>
      <c r="X5642" s="399" t="s">
        <v>125</v>
      </c>
      <c r="Y5642" s="389">
        <f t="shared" ref="Y5642" si="18229">D5641</f>
        <v>1</v>
      </c>
      <c r="Z5642" s="400" t="s">
        <v>176</v>
      </c>
      <c r="AA5642" s="402">
        <f t="shared" ref="AA5642" si="18230">IF(AA5645=0,(D5642*N5642+P5642*R5642)*U5642*Y5642,0)</f>
        <v>4.1160499200000009</v>
      </c>
      <c r="AB5642" s="403"/>
    </row>
    <row r="5643" spans="1:28">
      <c r="A5643" s="384" t="str">
        <f t="shared" ref="A5643:B5643" si="18231">A5635</f>
        <v>Lantai 3</v>
      </c>
      <c r="B5643" s="385">
        <f t="shared" si="18231"/>
        <v>46</v>
      </c>
      <c r="C5643" s="393" t="s">
        <v>206</v>
      </c>
      <c r="D5643" s="398">
        <f>VLOOKUP(D5635,'Detail Balok'!$C$10:$AU$140,7,FALSE)</f>
        <v>3</v>
      </c>
      <c r="E5643" s="388" t="s">
        <v>16</v>
      </c>
      <c r="F5643" s="388">
        <f>VLOOKUP(D5635,'Detail Balok'!$C$10:$AU$140,9,FALSE)</f>
        <v>16</v>
      </c>
      <c r="G5643" s="388"/>
      <c r="H5643" s="395"/>
      <c r="I5643" s="388" t="s">
        <v>203</v>
      </c>
      <c r="J5643" s="399">
        <f t="shared" ref="J5643" si="18232">+D5637/2/1000</f>
        <v>0.8</v>
      </c>
      <c r="K5643" s="400" t="s">
        <v>204</v>
      </c>
      <c r="L5643" s="399"/>
      <c r="M5643" s="399" t="s">
        <v>176</v>
      </c>
      <c r="N5643" s="399">
        <f t="shared" si="18225"/>
        <v>0.8</v>
      </c>
      <c r="O5643" s="399" t="s">
        <v>204</v>
      </c>
      <c r="P5643" s="389">
        <f t="shared" ref="P5643" si="18233">MAX(D5643-D5642,D5643-D5644)</f>
        <v>-1</v>
      </c>
      <c r="Q5643" s="399" t="s">
        <v>125</v>
      </c>
      <c r="R5643" s="399">
        <f t="shared" ref="R5643" si="18234">IF(P5643&gt;0,2*(1-2*$F$19-1/2)*D5638/1000,0)</f>
        <v>0</v>
      </c>
      <c r="S5643" s="399" t="s">
        <v>205</v>
      </c>
      <c r="T5643" s="399" t="s">
        <v>125</v>
      </c>
      <c r="U5643" s="401">
        <f t="shared" si="18228"/>
        <v>1.5782400000000001</v>
      </c>
      <c r="V5643" s="399"/>
      <c r="W5643" s="399"/>
      <c r="X5643" s="399" t="s">
        <v>125</v>
      </c>
      <c r="Y5643" s="389">
        <f t="shared" ref="Y5643" si="18235">D5641</f>
        <v>1</v>
      </c>
      <c r="Z5643" s="400" t="s">
        <v>176</v>
      </c>
      <c r="AA5643" s="402">
        <f t="shared" ref="AA5643" si="18236">IF(AA5645=0,(D5643*N5643+P5643*R5643)*U5643*Y5643,0)</f>
        <v>3.7877760000000009</v>
      </c>
      <c r="AB5643" s="403"/>
    </row>
    <row r="5644" spans="1:28">
      <c r="A5644" s="384" t="str">
        <f t="shared" ref="A5644:B5644" si="18237">A5635</f>
        <v>Lantai 3</v>
      </c>
      <c r="B5644" s="385">
        <f t="shared" si="18237"/>
        <v>46</v>
      </c>
      <c r="C5644" s="393" t="s">
        <v>202</v>
      </c>
      <c r="D5644" s="398">
        <f>VLOOKUP(D5635,'Detail Balok'!$C$10:$AU$140,10,FALSE)</f>
        <v>4</v>
      </c>
      <c r="E5644" s="388" t="s">
        <v>16</v>
      </c>
      <c r="F5644" s="388">
        <f>VLOOKUP(D5635,'Detail Balok'!$C$10:$AU$140,12,FALSE)</f>
        <v>16</v>
      </c>
      <c r="G5644" s="388"/>
      <c r="H5644" s="395"/>
      <c r="I5644" s="388" t="s">
        <v>203</v>
      </c>
      <c r="J5644" s="399">
        <f t="shared" ref="J5644" si="18238">+D5637/4/1000</f>
        <v>0.4</v>
      </c>
      <c r="K5644" s="400" t="s">
        <v>204</v>
      </c>
      <c r="L5644" s="399">
        <f t="shared" ref="L5644" si="18239">MAX(VLOOKUP(F5644,N$6:P$15,3,FALSE)/1000,2/3*D5639/1000)+F$16*F5644/1000</f>
        <v>0.192</v>
      </c>
      <c r="M5644" s="399" t="s">
        <v>176</v>
      </c>
      <c r="N5644" s="399">
        <f t="shared" si="18225"/>
        <v>0.59200000000000008</v>
      </c>
      <c r="O5644" s="399" t="s">
        <v>204</v>
      </c>
      <c r="P5644" s="389">
        <f t="shared" ref="P5644" si="18240">D5644-D5643</f>
        <v>1</v>
      </c>
      <c r="Q5644" s="399" t="s">
        <v>125</v>
      </c>
      <c r="R5644" s="399">
        <f t="shared" ref="R5644" si="18241">IF(P5644&gt;0,$F$18*F5644/1000,0)</f>
        <v>0.24</v>
      </c>
      <c r="S5644" s="399" t="s">
        <v>205</v>
      </c>
      <c r="T5644" s="399" t="s">
        <v>125</v>
      </c>
      <c r="U5644" s="401">
        <f t="shared" si="18228"/>
        <v>1.5782400000000001</v>
      </c>
      <c r="V5644" s="399"/>
      <c r="W5644" s="399"/>
      <c r="X5644" s="399" t="s">
        <v>125</v>
      </c>
      <c r="Y5644" s="389">
        <f t="shared" ref="Y5644" si="18242">D5641</f>
        <v>1</v>
      </c>
      <c r="Z5644" s="400" t="s">
        <v>176</v>
      </c>
      <c r="AA5644" s="402">
        <f t="shared" ref="AA5644" si="18243">IF(AA5645=0,(D5644*N5644+P5644*R5644)*U5644*Y5644,0)</f>
        <v>4.1160499200000009</v>
      </c>
      <c r="AB5644" s="403"/>
    </row>
    <row r="5645" spans="1:28">
      <c r="A5645" s="384" t="str">
        <f t="shared" ref="A5645:B5645" si="18244">A5635</f>
        <v>Lantai 3</v>
      </c>
      <c r="B5645" s="385">
        <f t="shared" si="18244"/>
        <v>46</v>
      </c>
      <c r="C5645" s="393"/>
      <c r="D5645" s="398">
        <f t="shared" ref="D5645:D5705" si="18245">IF(AND(D5642=D5643,D5643=D5644,D5642=D5644),D5642,0)</f>
        <v>0</v>
      </c>
      <c r="E5645" s="388" t="s">
        <v>16</v>
      </c>
      <c r="F5645" s="388">
        <f t="shared" ref="F5645:F5705" si="18246">IF(AND(F5642=F5643,F5642=F5644,F5643=F5644),F5642,0)</f>
        <v>16</v>
      </c>
      <c r="G5645" s="388"/>
      <c r="H5645" s="395"/>
      <c r="I5645" s="388"/>
      <c r="J5645" s="396"/>
      <c r="K5645" s="396"/>
      <c r="L5645" s="404" t="s">
        <v>207</v>
      </c>
      <c r="M5645" s="399" t="s">
        <v>176</v>
      </c>
      <c r="N5645" s="399">
        <f t="shared" ref="N5645" si="18247">IF(AND(D5642=D5643,D5642=D5644,D5643=D5644,F5642=F5643,F5642=F5644,F5643=F5644),SUM(N5642:N5644),0)</f>
        <v>0</v>
      </c>
      <c r="O5645" s="399" t="s">
        <v>204</v>
      </c>
      <c r="P5645" s="389">
        <f t="shared" ref="P5645" si="18248">IF(N5645&gt;12,ROUNDDOWN(N5645/12,0),0)</f>
        <v>0</v>
      </c>
      <c r="Q5645" s="399" t="s">
        <v>125</v>
      </c>
      <c r="R5645" s="399">
        <f t="shared" ref="R5645" si="18249">IF(P5645&gt;0,MAX(VLOOKUP(F5645,$D$6:$G$15,3,FALSE),600),0)/1000</f>
        <v>0</v>
      </c>
      <c r="S5645" s="396"/>
      <c r="T5645" s="396" t="s">
        <v>125</v>
      </c>
      <c r="U5645" s="401">
        <f t="shared" ref="U5645:U5705" si="18250">U5644</f>
        <v>1.5782400000000001</v>
      </c>
      <c r="V5645" s="396" t="s">
        <v>125</v>
      </c>
      <c r="W5645" s="399">
        <f t="shared" ref="W5645" si="18251">D5645</f>
        <v>0</v>
      </c>
      <c r="X5645" s="399" t="s">
        <v>125</v>
      </c>
      <c r="Y5645" s="389">
        <f t="shared" ref="Y5645:Y5705" si="18252">Y5644</f>
        <v>1</v>
      </c>
      <c r="Z5645" s="400" t="s">
        <v>176</v>
      </c>
      <c r="AA5645" s="402">
        <f t="shared" ref="AA5645" si="18253">(N5645+P5645*R5645/1000)*U5645*W5645*Y5645</f>
        <v>0</v>
      </c>
      <c r="AB5645" s="390"/>
    </row>
    <row r="5646" spans="1:28">
      <c r="A5646" s="384"/>
      <c r="B5646" s="385"/>
      <c r="C5646" s="393"/>
      <c r="D5646" s="398"/>
      <c r="E5646" s="388"/>
      <c r="F5646" s="388"/>
      <c r="G5646" s="388"/>
      <c r="H5646" s="395"/>
      <c r="I5646" s="388"/>
      <c r="J5646" s="396"/>
      <c r="K5646" s="396"/>
      <c r="L5646" s="404"/>
      <c r="M5646" s="399"/>
      <c r="N5646" s="399"/>
      <c r="O5646" s="396"/>
      <c r="P5646" s="389"/>
      <c r="Q5646" s="396"/>
      <c r="R5646" s="396"/>
      <c r="S5646" s="396"/>
      <c r="T5646" s="396"/>
      <c r="U5646" s="401"/>
      <c r="V5646" s="396"/>
      <c r="W5646" s="399"/>
      <c r="X5646" s="396"/>
      <c r="Y5646" s="389"/>
      <c r="Z5646" s="396"/>
      <c r="AA5646" s="388"/>
      <c r="AB5646" s="390"/>
    </row>
    <row r="5647" spans="1:28">
      <c r="A5647" s="384" t="str">
        <f t="shared" ref="A5647:B5647" si="18254">A5635</f>
        <v>Lantai 3</v>
      </c>
      <c r="B5647" s="385">
        <f t="shared" si="18254"/>
        <v>46</v>
      </c>
      <c r="C5647" s="393" t="s">
        <v>208</v>
      </c>
      <c r="D5647" s="398">
        <f>VLOOKUP(D5635,'Detail Balok'!$C$10:$AU$140,13,FALSE)</f>
        <v>2</v>
      </c>
      <c r="E5647" s="388" t="s">
        <v>16</v>
      </c>
      <c r="F5647" s="388">
        <f>VLOOKUP(D5635,'Detail Balok'!$C$10:$AU$140,15,FALSE)</f>
        <v>10</v>
      </c>
      <c r="G5647" s="388"/>
      <c r="H5647" s="395"/>
      <c r="I5647" s="388"/>
      <c r="J5647" s="399">
        <f t="shared" ref="J5647" si="18255">+D5637/1000</f>
        <v>1.6</v>
      </c>
      <c r="K5647" s="400" t="s">
        <v>204</v>
      </c>
      <c r="L5647" s="399">
        <f t="shared" ref="L5647" si="18256">2*$F$16*F5647/1000</f>
        <v>0.24</v>
      </c>
      <c r="M5647" s="399" t="s">
        <v>176</v>
      </c>
      <c r="N5647" s="399">
        <f t="shared" ref="N5647" si="18257">J5647+L5647</f>
        <v>1.84</v>
      </c>
      <c r="O5647" s="399" t="s">
        <v>204</v>
      </c>
      <c r="P5647" s="389">
        <f t="shared" ref="P5647" si="18258">IF(N5647&gt;12,ROUNDDOWN(N5647/12,0),0)</f>
        <v>0</v>
      </c>
      <c r="Q5647" s="399" t="s">
        <v>125</v>
      </c>
      <c r="R5647" s="399">
        <f t="shared" ref="R5647" si="18259">IF(P5647&gt;0,MAX(VLOOKUP(F5647,$D$6:$G$15,3,FALSE),600),0)/1000</f>
        <v>0</v>
      </c>
      <c r="S5647" s="399"/>
      <c r="T5647" s="399" t="s">
        <v>125</v>
      </c>
      <c r="U5647" s="401">
        <f t="shared" ref="U5647" si="18260">0.006165*F5647^2</f>
        <v>0.61650000000000005</v>
      </c>
      <c r="V5647" s="399" t="s">
        <v>125</v>
      </c>
      <c r="W5647" s="399">
        <f t="shared" ref="W5647" si="18261">+D5647</f>
        <v>2</v>
      </c>
      <c r="X5647" s="399" t="s">
        <v>125</v>
      </c>
      <c r="Y5647" s="389">
        <f t="shared" ref="Y5647" si="18262">D5641</f>
        <v>1</v>
      </c>
      <c r="Z5647" s="400" t="s">
        <v>176</v>
      </c>
      <c r="AA5647" s="402">
        <f t="shared" ref="AA5647" si="18263">(N5647+P5647*R5647/1000)*U5647*W5647*Y5647</f>
        <v>2.2687200000000001</v>
      </c>
      <c r="AB5647" s="403"/>
    </row>
    <row r="5648" spans="1:28">
      <c r="A5648" s="384"/>
      <c r="B5648" s="385"/>
      <c r="C5648" s="393"/>
      <c r="D5648" s="398"/>
      <c r="E5648" s="388"/>
      <c r="F5648" s="388"/>
      <c r="G5648" s="388"/>
      <c r="H5648" s="395"/>
      <c r="I5648" s="388"/>
      <c r="J5648" s="399"/>
      <c r="K5648" s="400"/>
      <c r="L5648" s="399"/>
      <c r="M5648" s="399"/>
      <c r="N5648" s="399"/>
      <c r="O5648" s="399"/>
      <c r="P5648" s="389"/>
      <c r="Q5648" s="399"/>
      <c r="R5648" s="399"/>
      <c r="S5648" s="399"/>
      <c r="T5648" s="399"/>
      <c r="U5648" s="401"/>
      <c r="V5648" s="399"/>
      <c r="W5648" s="399"/>
      <c r="X5648" s="399"/>
      <c r="Y5648" s="389"/>
      <c r="Z5648" s="400"/>
      <c r="AA5648" s="402"/>
      <c r="AB5648" s="403"/>
    </row>
    <row r="5649" spans="1:28">
      <c r="A5649" s="384"/>
      <c r="B5649" s="385"/>
      <c r="C5649" s="393"/>
      <c r="D5649" s="398"/>
      <c r="E5649" s="388"/>
      <c r="F5649" s="388"/>
      <c r="G5649" s="388"/>
      <c r="H5649" s="395"/>
      <c r="I5649" s="388"/>
      <c r="J5649" s="396"/>
      <c r="K5649" s="396"/>
      <c r="L5649" s="396"/>
      <c r="M5649" s="396"/>
      <c r="N5649" s="396"/>
      <c r="O5649" s="396"/>
      <c r="P5649" s="389"/>
      <c r="Q5649" s="396"/>
      <c r="R5649" s="396"/>
      <c r="S5649" s="396"/>
      <c r="T5649" s="396"/>
      <c r="U5649" s="401"/>
      <c r="V5649" s="396"/>
      <c r="W5649" s="399"/>
      <c r="X5649" s="396"/>
      <c r="Y5649" s="389"/>
      <c r="Z5649" s="396"/>
      <c r="AA5649" s="388"/>
      <c r="AB5649" s="390"/>
    </row>
    <row r="5650" spans="1:28">
      <c r="A5650" s="384" t="str">
        <f t="shared" ref="A5650:B5650" si="18264">A5635</f>
        <v>Lantai 3</v>
      </c>
      <c r="B5650" s="385">
        <f t="shared" si="18264"/>
        <v>46</v>
      </c>
      <c r="C5650" s="393" t="s">
        <v>209</v>
      </c>
      <c r="D5650" s="398">
        <f>VLOOKUP(D5635,'Detail Balok'!$C$10:$AU$140,22,FALSE)</f>
        <v>3</v>
      </c>
      <c r="E5650" s="388" t="s">
        <v>16</v>
      </c>
      <c r="F5650" s="388">
        <f>VLOOKUP(D5635,'Detail Balok'!$C$10:$AU$140,24,FALSE)</f>
        <v>16</v>
      </c>
      <c r="G5650" s="388"/>
      <c r="H5650" s="395"/>
      <c r="I5650" s="388" t="s">
        <v>203</v>
      </c>
      <c r="J5650" s="399">
        <f t="shared" ref="J5650:J5712" si="18265">+J5642</f>
        <v>0.4</v>
      </c>
      <c r="K5650" s="400" t="s">
        <v>204</v>
      </c>
      <c r="L5650" s="399">
        <f t="shared" ref="L5650" si="18266">MAX(VLOOKUP(F5650,N$6:P$15,3,FALSE)/1000,2/3*D5640/1000)+F$16*F5650/1000</f>
        <v>0.192</v>
      </c>
      <c r="M5650" s="399" t="s">
        <v>176</v>
      </c>
      <c r="N5650" s="399">
        <f t="shared" ref="N5650:N5652" si="18267">J5650+L5650</f>
        <v>0.59200000000000008</v>
      </c>
      <c r="O5650" s="399" t="s">
        <v>204</v>
      </c>
      <c r="P5650" s="389">
        <f t="shared" ref="P5650" si="18268">D5650-D5651</f>
        <v>-1</v>
      </c>
      <c r="Q5650" s="399" t="s">
        <v>125</v>
      </c>
      <c r="R5650" s="399">
        <f t="shared" ref="R5650" si="18269">IF(P5650&gt;0,$F$18*F5650/1000,0)</f>
        <v>0</v>
      </c>
      <c r="S5650" s="399" t="s">
        <v>205</v>
      </c>
      <c r="T5650" s="399" t="s">
        <v>125</v>
      </c>
      <c r="U5650" s="401">
        <f t="shared" ref="U5650:U5652" si="18270">0.006165*F5650^2</f>
        <v>1.5782400000000001</v>
      </c>
      <c r="V5650" s="399"/>
      <c r="W5650" s="399"/>
      <c r="X5650" s="399" t="s">
        <v>125</v>
      </c>
      <c r="Y5650" s="389">
        <f t="shared" ref="Y5650" si="18271">D5641</f>
        <v>1</v>
      </c>
      <c r="Z5650" s="400" t="s">
        <v>176</v>
      </c>
      <c r="AA5650" s="402">
        <f t="shared" ref="AA5650" si="18272">IF(AA5653=0,(D5650*N5650+P5650*R5650)*U5650*Y5650,0)</f>
        <v>2.8029542400000005</v>
      </c>
      <c r="AB5650" s="403"/>
    </row>
    <row r="5651" spans="1:28">
      <c r="A5651" s="384" t="str">
        <f t="shared" ref="A5651:B5651" si="18273">A5635</f>
        <v>Lantai 3</v>
      </c>
      <c r="B5651" s="385">
        <f t="shared" si="18273"/>
        <v>46</v>
      </c>
      <c r="C5651" s="393" t="s">
        <v>210</v>
      </c>
      <c r="D5651" s="398">
        <f>VLOOKUP(D5635,'Detail Balok'!$C$10:$AU$140,25,FALSE)</f>
        <v>4</v>
      </c>
      <c r="E5651" s="388" t="s">
        <v>16</v>
      </c>
      <c r="F5651" s="388">
        <f>VLOOKUP(D5635,'Detail Balok'!$C$10:$AU$140,27,FALSE)</f>
        <v>16</v>
      </c>
      <c r="G5651" s="388"/>
      <c r="H5651" s="395"/>
      <c r="I5651" s="388" t="s">
        <v>203</v>
      </c>
      <c r="J5651" s="399">
        <f t="shared" si="18265"/>
        <v>0.8</v>
      </c>
      <c r="K5651" s="400" t="s">
        <v>204</v>
      </c>
      <c r="L5651" s="399"/>
      <c r="M5651" s="399" t="s">
        <v>176</v>
      </c>
      <c r="N5651" s="399">
        <f t="shared" si="18267"/>
        <v>0.8</v>
      </c>
      <c r="O5651" s="399" t="s">
        <v>204</v>
      </c>
      <c r="P5651" s="389">
        <f t="shared" ref="P5651" si="18274">MAX(D5651-D5650,D5651-D5652)</f>
        <v>1</v>
      </c>
      <c r="Q5651" s="399" t="s">
        <v>125</v>
      </c>
      <c r="R5651" s="399">
        <f t="shared" ref="R5651" si="18275">IF(P5651&gt;0,2*(1-2*$F$19-1/2)*D5638/1000,0)</f>
        <v>0.31999999999999995</v>
      </c>
      <c r="S5651" s="399" t="s">
        <v>205</v>
      </c>
      <c r="T5651" s="399" t="s">
        <v>125</v>
      </c>
      <c r="U5651" s="401">
        <f t="shared" si="18270"/>
        <v>1.5782400000000001</v>
      </c>
      <c r="V5651" s="399"/>
      <c r="W5651" s="399"/>
      <c r="X5651" s="399" t="s">
        <v>125</v>
      </c>
      <c r="Y5651" s="389">
        <f t="shared" ref="Y5651" si="18276">D5641</f>
        <v>1</v>
      </c>
      <c r="Z5651" s="400" t="s">
        <v>176</v>
      </c>
      <c r="AA5651" s="402">
        <f t="shared" ref="AA5651" si="18277">IF(AA5653=0,(D5651*N5651+P5651*R5651)*U5651*Y5651,0)</f>
        <v>5.5554048000000007</v>
      </c>
      <c r="AB5651" s="403"/>
    </row>
    <row r="5652" spans="1:28">
      <c r="A5652" s="384" t="str">
        <f t="shared" ref="A5652:B5652" si="18278">A5635</f>
        <v>Lantai 3</v>
      </c>
      <c r="B5652" s="385">
        <f t="shared" si="18278"/>
        <v>46</v>
      </c>
      <c r="C5652" s="393" t="s">
        <v>209</v>
      </c>
      <c r="D5652" s="398">
        <f>VLOOKUP(D5635,'Detail Balok'!$C$10:$AU$140,28,FALSE)</f>
        <v>3</v>
      </c>
      <c r="E5652" s="388" t="s">
        <v>16</v>
      </c>
      <c r="F5652" s="388">
        <f>VLOOKUP(D5635,'Detail Balok'!$C$10:$AU$140,30,FALSE)</f>
        <v>16</v>
      </c>
      <c r="G5652" s="388"/>
      <c r="H5652" s="395"/>
      <c r="I5652" s="388" t="s">
        <v>203</v>
      </c>
      <c r="J5652" s="399">
        <f t="shared" si="18265"/>
        <v>0.4</v>
      </c>
      <c r="K5652" s="400" t="s">
        <v>204</v>
      </c>
      <c r="L5652" s="399">
        <f t="shared" ref="L5652" si="18279">MAX(VLOOKUP(F5652,N$6:P$15,3,FALSE)/1000,2/3*D5640/1000)+F$16*F5652/1000</f>
        <v>0.192</v>
      </c>
      <c r="M5652" s="399" t="s">
        <v>176</v>
      </c>
      <c r="N5652" s="399">
        <f t="shared" si="18267"/>
        <v>0.59200000000000008</v>
      </c>
      <c r="O5652" s="399" t="s">
        <v>204</v>
      </c>
      <c r="P5652" s="389">
        <f t="shared" ref="P5652" si="18280">D5652-D5651</f>
        <v>-1</v>
      </c>
      <c r="Q5652" s="399" t="s">
        <v>125</v>
      </c>
      <c r="R5652" s="399">
        <f t="shared" ref="R5652" si="18281">IF(P5652&gt;0,$F$18*F5652/1000,0)</f>
        <v>0</v>
      </c>
      <c r="S5652" s="399" t="s">
        <v>205</v>
      </c>
      <c r="T5652" s="399" t="s">
        <v>125</v>
      </c>
      <c r="U5652" s="401">
        <f t="shared" si="18270"/>
        <v>1.5782400000000001</v>
      </c>
      <c r="V5652" s="399"/>
      <c r="W5652" s="399"/>
      <c r="X5652" s="399" t="s">
        <v>125</v>
      </c>
      <c r="Y5652" s="389">
        <f t="shared" ref="Y5652" si="18282">D5641</f>
        <v>1</v>
      </c>
      <c r="Z5652" s="400" t="s">
        <v>176</v>
      </c>
      <c r="AA5652" s="402">
        <f t="shared" ref="AA5652" si="18283">IF(AA5653=0,(D5652*N5652+P5652*R5652)*U5652*Y5652,0)</f>
        <v>2.8029542400000005</v>
      </c>
      <c r="AB5652" s="403"/>
    </row>
    <row r="5653" spans="1:28">
      <c r="A5653" s="384" t="str">
        <f t="shared" ref="A5653:B5653" si="18284">A5635</f>
        <v>Lantai 3</v>
      </c>
      <c r="B5653" s="385">
        <f t="shared" si="18284"/>
        <v>46</v>
      </c>
      <c r="C5653" s="393"/>
      <c r="D5653" s="398">
        <f t="shared" ref="D5653:D5713" si="18285">IF(AND(D5650=D5651,D5651=D5652,D5650=D5652),D5650,0)</f>
        <v>0</v>
      </c>
      <c r="E5653" s="388" t="s">
        <v>16</v>
      </c>
      <c r="F5653" s="388">
        <f t="shared" ref="F5653:F5713" si="18286">IF(AND(F5650=F5651,F5650=F5652,F5651=F5652),F5650,0)</f>
        <v>16</v>
      </c>
      <c r="G5653" s="388"/>
      <c r="H5653" s="395"/>
      <c r="I5653" s="388"/>
      <c r="J5653" s="396"/>
      <c r="K5653" s="396"/>
      <c r="L5653" s="404" t="s">
        <v>207</v>
      </c>
      <c r="M5653" s="399" t="s">
        <v>176</v>
      </c>
      <c r="N5653" s="399">
        <f t="shared" ref="N5653" si="18287">IF(AND(D5650=D5651,D5650=D5652,D5651=D5652,F5650=F5651,F5650=F5652,F5651=F5652),SUM(N5650:N5652),0)</f>
        <v>0</v>
      </c>
      <c r="O5653" s="399" t="s">
        <v>204</v>
      </c>
      <c r="P5653" s="389">
        <f t="shared" ref="P5653" si="18288">IF(N5653&gt;12,ROUNDDOWN(N5653/12,0),0)</f>
        <v>0</v>
      </c>
      <c r="Q5653" s="399" t="s">
        <v>125</v>
      </c>
      <c r="R5653" s="399">
        <f t="shared" ref="R5653" si="18289">IF(P5653&gt;0,MAX(VLOOKUP(F5653,$D$6:$G$15,3,FALSE),600),0)/1000</f>
        <v>0</v>
      </c>
      <c r="S5653" s="396"/>
      <c r="T5653" s="396" t="s">
        <v>125</v>
      </c>
      <c r="U5653" s="401">
        <f t="shared" ref="U5653:U5713" si="18290">U5652</f>
        <v>1.5782400000000001</v>
      </c>
      <c r="V5653" s="396" t="s">
        <v>125</v>
      </c>
      <c r="W5653" s="399">
        <f t="shared" ref="W5653" si="18291">D5653</f>
        <v>0</v>
      </c>
      <c r="X5653" s="399" t="s">
        <v>125</v>
      </c>
      <c r="Y5653" s="389">
        <f t="shared" ref="Y5653:Y5713" si="18292">Y5652</f>
        <v>1</v>
      </c>
      <c r="Z5653" s="400" t="s">
        <v>176</v>
      </c>
      <c r="AA5653" s="402">
        <f t="shared" ref="AA5653" si="18293">(N5653+P5653*R5653/1000)*U5653*W5653*Y5653</f>
        <v>0</v>
      </c>
      <c r="AB5653" s="403"/>
    </row>
    <row r="5654" spans="1:28">
      <c r="A5654" s="384"/>
      <c r="B5654" s="385"/>
      <c r="C5654" s="393"/>
      <c r="D5654" s="394"/>
      <c r="E5654" s="388"/>
      <c r="F5654" s="388"/>
      <c r="G5654" s="388"/>
      <c r="H5654" s="395"/>
      <c r="I5654" s="388"/>
      <c r="J5654" s="399"/>
      <c r="K5654" s="396"/>
      <c r="L5654" s="396"/>
      <c r="M5654" s="396"/>
      <c r="N5654" s="396"/>
      <c r="O5654" s="396"/>
      <c r="P5654" s="389"/>
      <c r="Q5654" s="396"/>
      <c r="R5654" s="396"/>
      <c r="S5654" s="396"/>
      <c r="T5654" s="396"/>
      <c r="U5654" s="401"/>
      <c r="V5654" s="396"/>
      <c r="W5654" s="388"/>
      <c r="X5654" s="396"/>
      <c r="Y5654" s="389"/>
      <c r="Z5654" s="396"/>
      <c r="AA5654" s="388"/>
      <c r="AB5654" s="390"/>
    </row>
    <row r="5655" spans="1:28">
      <c r="A5655" s="384" t="str">
        <f t="shared" ref="A5655:B5655" si="18294">A5635</f>
        <v>Lantai 3</v>
      </c>
      <c r="B5655" s="385">
        <f t="shared" si="18294"/>
        <v>46</v>
      </c>
      <c r="C5655" s="393" t="s">
        <v>211</v>
      </c>
      <c r="D5655" s="398">
        <f>VLOOKUP(D5635,'Detail Balok'!$C$10:$AU$140,31,FALSE)</f>
        <v>0</v>
      </c>
      <c r="E5655" s="388" t="s">
        <v>16</v>
      </c>
      <c r="F5655" s="388">
        <f>VLOOKUP(D5635,'Detail Balok'!$C$10:$AU$140,33,FALSE)</f>
        <v>10</v>
      </c>
      <c r="G5655" s="405" t="s">
        <v>157</v>
      </c>
      <c r="H5655" s="395">
        <f>VLOOKUP(D5635,'Detail Balok'!$C$10:$AU$140,35,FALSE)</f>
        <v>100</v>
      </c>
      <c r="I5655" s="388"/>
      <c r="J5655" s="400">
        <f t="shared" ref="J5655" si="18295">(IF(D5655=0,(2*(D5636+G5636))-(F$5*8),IF(D5655=3,(2*(D5636+G5636))-(F$5*8)+(G5636-2*F$5),IF(D5655=4,(2*(D5636+G5636))-(F$5*8)+2*(G5636-2*F$5)))))/1000</f>
        <v>1.28</v>
      </c>
      <c r="K5655" s="400" t="s">
        <v>204</v>
      </c>
      <c r="L5655" s="399">
        <f t="shared" ref="L5655:L5657" si="18296">IF(D5655=0,2*MAX(6*F5655,75),(D5655-1)*2*MAX(6*F5655,75))/1000</f>
        <v>0.15</v>
      </c>
      <c r="M5655" s="399" t="s">
        <v>176</v>
      </c>
      <c r="N5655" s="399">
        <f t="shared" ref="N5655:N5657" si="18297">J5655+L5655</f>
        <v>1.43</v>
      </c>
      <c r="O5655" s="399"/>
      <c r="P5655" s="389"/>
      <c r="Q5655" s="399"/>
      <c r="R5655" s="399"/>
      <c r="S5655" s="399"/>
      <c r="T5655" s="399" t="s">
        <v>125</v>
      </c>
      <c r="U5655" s="401">
        <f t="shared" ref="U5655:U5657" si="18298">0.006165*F5655^2</f>
        <v>0.61650000000000005</v>
      </c>
      <c r="V5655" s="399" t="s">
        <v>125</v>
      </c>
      <c r="W5655" s="399">
        <f t="shared" ref="W5655" si="18299">IF(D5638&gt;4*G5636,ROUND(MAX(D5638/4,2*G5636)/H5655,0)+1,ROUND(D5638/H5655,0)+1)</f>
        <v>17</v>
      </c>
      <c r="X5655" s="399" t="s">
        <v>125</v>
      </c>
      <c r="Y5655" s="389">
        <f t="shared" ref="Y5655" si="18300">D5641</f>
        <v>1</v>
      </c>
      <c r="Z5655" s="400" t="s">
        <v>176</v>
      </c>
      <c r="AA5655" s="402">
        <f t="shared" ref="AA5655:AA5657" si="18301">N5655*U5655*W5655*Y5655</f>
        <v>14.987115000000001</v>
      </c>
      <c r="AB5655" s="403"/>
    </row>
    <row r="5656" spans="1:28">
      <c r="A5656" s="384" t="str">
        <f t="shared" ref="A5656:B5656" si="18302">A5635</f>
        <v>Lantai 3</v>
      </c>
      <c r="B5656" s="385">
        <f t="shared" si="18302"/>
        <v>46</v>
      </c>
      <c r="C5656" s="393" t="s">
        <v>212</v>
      </c>
      <c r="D5656" s="398">
        <f>VLOOKUP(D5635,'Detail Balok'!$C$10:$AU$140,36,FALSE)</f>
        <v>0</v>
      </c>
      <c r="E5656" s="388" t="s">
        <v>16</v>
      </c>
      <c r="F5656" s="388">
        <f>VLOOKUP(D5635,'Detail Balok'!$C$10:$AU$140,38,FALSE)</f>
        <v>10</v>
      </c>
      <c r="G5656" s="405" t="s">
        <v>157</v>
      </c>
      <c r="H5656" s="395">
        <f>VLOOKUP(D5635,'Detail Balok'!$C$10:$AU$140,40,FALSE)</f>
        <v>150</v>
      </c>
      <c r="I5656" s="388"/>
      <c r="J5656" s="400">
        <f t="shared" ref="J5656" si="18303">(IF(D5656=0,(2*(D5636+G5636))-(F$5*8),IF(D5656=3,(2*(D5636+G5636))-(F$5*8)+(G5636-2*F$5),IF(D5656=4,(2*(D5636+G5636))-(F$5*8)+2*(G5636-2*F$5)))))/1000</f>
        <v>1.28</v>
      </c>
      <c r="K5656" s="400" t="s">
        <v>204</v>
      </c>
      <c r="L5656" s="399">
        <f t="shared" si="18296"/>
        <v>0.15</v>
      </c>
      <c r="M5656" s="399" t="s">
        <v>176</v>
      </c>
      <c r="N5656" s="399">
        <f t="shared" si="18297"/>
        <v>1.43</v>
      </c>
      <c r="O5656" s="399"/>
      <c r="P5656" s="389"/>
      <c r="Q5656" s="399"/>
      <c r="R5656" s="399"/>
      <c r="S5656" s="399"/>
      <c r="T5656" s="399" t="s">
        <v>125</v>
      </c>
      <c r="U5656" s="401">
        <f t="shared" si="18298"/>
        <v>0.61650000000000005</v>
      </c>
      <c r="V5656" s="399" t="s">
        <v>125</v>
      </c>
      <c r="W5656" s="399">
        <f t="shared" ref="W5656" si="18304">IF(D5638-MAX(D5638/4,2*G5636)*2&gt;0,ROUND((D5638-MAX(D5638/4,2*G5636)*2)/H5656,0),0)</f>
        <v>0</v>
      </c>
      <c r="X5656" s="399" t="s">
        <v>125</v>
      </c>
      <c r="Y5656" s="389">
        <f t="shared" ref="Y5656" si="18305">D5641</f>
        <v>1</v>
      </c>
      <c r="Z5656" s="400" t="s">
        <v>176</v>
      </c>
      <c r="AA5656" s="402">
        <f t="shared" si="18301"/>
        <v>0</v>
      </c>
      <c r="AB5656" s="403"/>
    </row>
    <row r="5657" spans="1:28">
      <c r="A5657" s="384" t="str">
        <f t="shared" ref="A5657:B5657" si="18306">A5635</f>
        <v>Lantai 3</v>
      </c>
      <c r="B5657" s="385">
        <f t="shared" si="18306"/>
        <v>46</v>
      </c>
      <c r="C5657" s="393" t="s">
        <v>211</v>
      </c>
      <c r="D5657" s="398">
        <f>VLOOKUP(D5635,'Detail Balok'!$C$10:$AU$140,41,FALSE)</f>
        <v>0</v>
      </c>
      <c r="E5657" s="388" t="s">
        <v>16</v>
      </c>
      <c r="F5657" s="388">
        <f>VLOOKUP(D5635,'Detail Balok'!$C$10:$AU$140,43,FALSE)</f>
        <v>10</v>
      </c>
      <c r="G5657" s="405" t="s">
        <v>157</v>
      </c>
      <c r="H5657" s="395">
        <f>VLOOKUP(D5635,'Detail Balok'!$C$10:$AU$140,45,FALSE)</f>
        <v>100</v>
      </c>
      <c r="I5657" s="388"/>
      <c r="J5657" s="400">
        <f t="shared" ref="J5657" si="18307">(IF(D5657=0,(2*(D5636+G5636))-(F$5*8),IF(D5657=3,(2*(D5636+G5636))-(F$5*8)+(G5636-2*F$5),IF(D5657=4,(2*(D5636+G5636))-(F$5*8)+2*(G5636-2*F$5)))))/1000</f>
        <v>1.28</v>
      </c>
      <c r="K5657" s="400" t="s">
        <v>204</v>
      </c>
      <c r="L5657" s="399">
        <f t="shared" si="18296"/>
        <v>0.15</v>
      </c>
      <c r="M5657" s="399" t="s">
        <v>176</v>
      </c>
      <c r="N5657" s="399">
        <f t="shared" si="18297"/>
        <v>1.43</v>
      </c>
      <c r="O5657" s="399"/>
      <c r="P5657" s="389"/>
      <c r="Q5657" s="399"/>
      <c r="R5657" s="399"/>
      <c r="S5657" s="399"/>
      <c r="T5657" s="399" t="s">
        <v>125</v>
      </c>
      <c r="U5657" s="401">
        <f t="shared" si="18298"/>
        <v>0.61650000000000005</v>
      </c>
      <c r="V5657" s="399" t="s">
        <v>125</v>
      </c>
      <c r="W5657" s="399">
        <f t="shared" ref="W5657" si="18308">IF(D5638&gt;4*G5636,ROUND(MAX(D5638/4,2*G5636)/H5657,0)+1,0)</f>
        <v>0</v>
      </c>
      <c r="X5657" s="399" t="s">
        <v>125</v>
      </c>
      <c r="Y5657" s="389">
        <f t="shared" ref="Y5657" si="18309">D5641</f>
        <v>1</v>
      </c>
      <c r="Z5657" s="400" t="s">
        <v>176</v>
      </c>
      <c r="AA5657" s="402">
        <f t="shared" si="18301"/>
        <v>0</v>
      </c>
      <c r="AB5657" s="403"/>
    </row>
    <row r="5658" spans="1:28">
      <c r="A5658" s="384"/>
      <c r="B5658" s="385"/>
      <c r="C5658" s="393"/>
      <c r="D5658" s="394"/>
      <c r="E5658" s="388"/>
      <c r="F5658" s="388"/>
      <c r="G5658" s="388"/>
      <c r="H5658" s="395"/>
      <c r="I5658" s="388"/>
      <c r="J5658" s="399"/>
      <c r="K5658" s="396"/>
      <c r="L5658" s="396"/>
      <c r="M5658" s="396"/>
      <c r="N5658" s="396"/>
      <c r="O5658" s="396"/>
      <c r="P5658" s="389"/>
      <c r="Q5658" s="396"/>
      <c r="R5658" s="396"/>
      <c r="S5658" s="396"/>
      <c r="T5658" s="396"/>
      <c r="U5658" s="401"/>
      <c r="V5658" s="396"/>
      <c r="W5658" s="388"/>
      <c r="X5658" s="396"/>
      <c r="Y5658" s="389"/>
      <c r="Z5658" s="396"/>
      <c r="AA5658" s="388"/>
      <c r="AB5658" s="390"/>
    </row>
    <row r="5659" spans="1:28">
      <c r="A5659" s="384" t="str">
        <f t="shared" ref="A5659:B5659" si="18310">A5635</f>
        <v>Lantai 3</v>
      </c>
      <c r="B5659" s="385">
        <f t="shared" si="18310"/>
        <v>46</v>
      </c>
      <c r="C5659" s="393" t="s">
        <v>213</v>
      </c>
      <c r="D5659" s="398">
        <f>VLOOKUP(D5635,'Detail Balok'!$C$10:$BJ$140,46,FALSE)</f>
        <v>0</v>
      </c>
      <c r="E5659" s="388" t="s">
        <v>16</v>
      </c>
      <c r="F5659" s="388">
        <f>VLOOKUP(D5635,'Detail Balok'!$C$10:$BJ$140,48,FALSE)</f>
        <v>0</v>
      </c>
      <c r="G5659" s="405" t="s">
        <v>157</v>
      </c>
      <c r="H5659" s="395">
        <f>VLOOKUP(D5635,'Detail Balok'!$C$10:$BJ$140,50,FALSE)</f>
        <v>100</v>
      </c>
      <c r="I5659" s="388"/>
      <c r="J5659" s="399">
        <f t="shared" ref="J5659" si="18311">(D5636-2*F$5)/1000</f>
        <v>0.12</v>
      </c>
      <c r="K5659" s="400" t="s">
        <v>204</v>
      </c>
      <c r="L5659" s="399">
        <f t="shared" ref="L5659:L5661" si="18312">IF(D5659=0,2*MAX(6*F5659,75),(D5659-1)*2*MAX(6*F5659,75))/1000</f>
        <v>0.15</v>
      </c>
      <c r="M5659" s="399" t="s">
        <v>176</v>
      </c>
      <c r="N5659" s="399">
        <f t="shared" ref="N5659:N5661" si="18313">J5659+L5659</f>
        <v>0.27</v>
      </c>
      <c r="O5659" s="399"/>
      <c r="P5659" s="399"/>
      <c r="Q5659" s="399"/>
      <c r="R5659" s="399"/>
      <c r="S5659" s="399"/>
      <c r="T5659" s="399" t="s">
        <v>125</v>
      </c>
      <c r="U5659" s="401">
        <f t="shared" ref="U5659:U5661" si="18314">0.006165*F5659^2</f>
        <v>0</v>
      </c>
      <c r="V5659" s="399" t="s">
        <v>125</v>
      </c>
      <c r="W5659" s="399">
        <f t="shared" ref="W5659:W5721" si="18315">W5655</f>
        <v>17</v>
      </c>
      <c r="X5659" s="399" t="s">
        <v>125</v>
      </c>
      <c r="Y5659" s="389">
        <f t="shared" ref="Y5659" si="18316">D5645</f>
        <v>0</v>
      </c>
      <c r="Z5659" s="400" t="s">
        <v>176</v>
      </c>
      <c r="AA5659" s="402">
        <f t="shared" ref="AA5659:AA5661" si="18317">N5659*U5659*W5659*Y5659</f>
        <v>0</v>
      </c>
      <c r="AB5659" s="403"/>
    </row>
    <row r="5660" spans="1:28">
      <c r="A5660" s="384" t="str">
        <f t="shared" ref="A5660:B5660" si="18318">A5635</f>
        <v>Lantai 3</v>
      </c>
      <c r="B5660" s="385">
        <f t="shared" si="18318"/>
        <v>46</v>
      </c>
      <c r="C5660" s="393" t="s">
        <v>214</v>
      </c>
      <c r="D5660" s="398">
        <f>VLOOKUP(D5635,'Detail Balok'!$C$10:$BJ$140,51,FALSE)</f>
        <v>0</v>
      </c>
      <c r="E5660" s="388" t="s">
        <v>16</v>
      </c>
      <c r="F5660" s="388">
        <f>VLOOKUP(D5635,'Detail Balok'!$C$10:$BJ$140,53,FALSE)</f>
        <v>0</v>
      </c>
      <c r="G5660" s="405" t="s">
        <v>157</v>
      </c>
      <c r="H5660" s="395">
        <f>VLOOKUP(D5635,'Detail Balok'!$C$10:$BJ$140,55,FALSE)</f>
        <v>100</v>
      </c>
      <c r="I5660" s="388"/>
      <c r="J5660" s="399">
        <f t="shared" ref="J5660" si="18319">(D5636-2*F$5)/1000</f>
        <v>0.12</v>
      </c>
      <c r="K5660" s="400" t="s">
        <v>204</v>
      </c>
      <c r="L5660" s="399">
        <f t="shared" si="18312"/>
        <v>0.15</v>
      </c>
      <c r="M5660" s="399" t="s">
        <v>176</v>
      </c>
      <c r="N5660" s="399">
        <f t="shared" si="18313"/>
        <v>0.27</v>
      </c>
      <c r="O5660" s="399"/>
      <c r="P5660" s="399"/>
      <c r="Q5660" s="399"/>
      <c r="R5660" s="399"/>
      <c r="S5660" s="399"/>
      <c r="T5660" s="399" t="s">
        <v>125</v>
      </c>
      <c r="U5660" s="401">
        <f t="shared" si="18314"/>
        <v>0</v>
      </c>
      <c r="V5660" s="399" t="s">
        <v>125</v>
      </c>
      <c r="W5660" s="399">
        <f t="shared" si="18315"/>
        <v>0</v>
      </c>
      <c r="X5660" s="399" t="s">
        <v>125</v>
      </c>
      <c r="Y5660" s="389">
        <f t="shared" ref="Y5660" si="18320">D5645</f>
        <v>0</v>
      </c>
      <c r="Z5660" s="400" t="s">
        <v>176</v>
      </c>
      <c r="AA5660" s="402">
        <f t="shared" si="18317"/>
        <v>0</v>
      </c>
      <c r="AB5660" s="403"/>
    </row>
    <row r="5661" spans="1:28">
      <c r="A5661" s="384" t="str">
        <f t="shared" ref="A5661:B5661" si="18321">A5635</f>
        <v>Lantai 3</v>
      </c>
      <c r="B5661" s="385">
        <f t="shared" si="18321"/>
        <v>46</v>
      </c>
      <c r="C5661" s="393" t="s">
        <v>213</v>
      </c>
      <c r="D5661" s="398">
        <f>VLOOKUP(D5635,'Detail Balok'!$C$10:$BJ$140,56,FALSE)</f>
        <v>0</v>
      </c>
      <c r="E5661" s="388" t="s">
        <v>16</v>
      </c>
      <c r="F5661" s="388">
        <f>VLOOKUP(D5635,'Detail Balok'!$C$10:$BJ$140,58,FALSE)</f>
        <v>0</v>
      </c>
      <c r="G5661" s="405" t="s">
        <v>157</v>
      </c>
      <c r="H5661" s="395">
        <f>VLOOKUP(D5635,'Detail Balok'!$C$10:$BJ$140,60,FALSE)</f>
        <v>100</v>
      </c>
      <c r="I5661" s="388"/>
      <c r="J5661" s="399">
        <f t="shared" ref="J5661" si="18322">(D5636-2*F$5)/1000</f>
        <v>0.12</v>
      </c>
      <c r="K5661" s="400" t="s">
        <v>204</v>
      </c>
      <c r="L5661" s="399">
        <f t="shared" si="18312"/>
        <v>0.15</v>
      </c>
      <c r="M5661" s="399" t="s">
        <v>176</v>
      </c>
      <c r="N5661" s="399">
        <f t="shared" si="18313"/>
        <v>0.27</v>
      </c>
      <c r="O5661" s="399"/>
      <c r="P5661" s="399"/>
      <c r="Q5661" s="399"/>
      <c r="R5661" s="399"/>
      <c r="S5661" s="399"/>
      <c r="T5661" s="399" t="s">
        <v>125</v>
      </c>
      <c r="U5661" s="401">
        <f t="shared" si="18314"/>
        <v>0</v>
      </c>
      <c r="V5661" s="399" t="s">
        <v>125</v>
      </c>
      <c r="W5661" s="399">
        <f t="shared" si="18315"/>
        <v>0</v>
      </c>
      <c r="X5661" s="399" t="s">
        <v>125</v>
      </c>
      <c r="Y5661" s="389">
        <f t="shared" ref="Y5661" si="18323">D5645</f>
        <v>0</v>
      </c>
      <c r="Z5661" s="400" t="s">
        <v>176</v>
      </c>
      <c r="AA5661" s="402">
        <f t="shared" si="18317"/>
        <v>0</v>
      </c>
      <c r="AB5661" s="403"/>
    </row>
    <row r="5662" spans="1:28">
      <c r="A5662" s="391"/>
      <c r="B5662" s="392"/>
      <c r="C5662" s="392"/>
      <c r="D5662" s="394"/>
      <c r="E5662" s="388"/>
      <c r="F5662" s="388"/>
      <c r="G5662" s="388"/>
      <c r="H5662" s="395"/>
      <c r="I5662" s="388"/>
      <c r="J5662" s="402"/>
      <c r="K5662" s="388"/>
      <c r="L5662" s="388"/>
      <c r="M5662" s="388"/>
      <c r="N5662" s="388"/>
      <c r="O5662" s="388"/>
      <c r="P5662" s="388"/>
      <c r="Q5662" s="388"/>
      <c r="R5662" s="388"/>
      <c r="S5662" s="388"/>
      <c r="T5662" s="388"/>
      <c r="U5662" s="388"/>
      <c r="V5662" s="388"/>
      <c r="W5662" s="388"/>
      <c r="X5662" s="388"/>
      <c r="Y5662" s="389"/>
      <c r="Z5662" s="388"/>
      <c r="AA5662" s="402"/>
      <c r="AB5662" s="403"/>
    </row>
    <row r="5663" spans="1:28" ht="15.75" thickBot="1">
      <c r="A5663" s="406"/>
      <c r="B5663" s="407"/>
      <c r="C5663" s="407"/>
      <c r="D5663" s="408"/>
      <c r="E5663" s="409"/>
      <c r="F5663" s="409"/>
      <c r="G5663" s="409"/>
      <c r="H5663" s="410"/>
      <c r="I5663" s="409"/>
      <c r="J5663" s="409"/>
      <c r="K5663" s="409"/>
      <c r="L5663" s="409"/>
      <c r="M5663" s="409"/>
      <c r="N5663" s="409"/>
      <c r="O5663" s="409"/>
      <c r="P5663" s="409"/>
      <c r="Q5663" s="409"/>
      <c r="R5663" s="409"/>
      <c r="S5663" s="409"/>
      <c r="T5663" s="409"/>
      <c r="U5663" s="409"/>
      <c r="V5663" s="409"/>
      <c r="W5663" s="409"/>
      <c r="X5663" s="409"/>
      <c r="Y5663" s="411"/>
      <c r="Z5663" s="409"/>
      <c r="AA5663" s="412"/>
      <c r="AB5663" s="413"/>
    </row>
    <row r="5664" spans="1:28">
      <c r="A5664" s="377"/>
      <c r="B5664" s="378"/>
      <c r="C5664" s="378"/>
      <c r="D5664" s="379"/>
      <c r="E5664" s="380"/>
      <c r="F5664" s="380"/>
      <c r="G5664" s="380"/>
      <c r="H5664" s="381"/>
      <c r="I5664" s="380"/>
      <c r="J5664" s="380"/>
      <c r="K5664" s="380"/>
      <c r="L5664" s="380"/>
      <c r="M5664" s="380"/>
      <c r="N5664" s="380"/>
      <c r="O5664" s="380"/>
      <c r="P5664" s="380"/>
      <c r="Q5664" s="380"/>
      <c r="R5664" s="380"/>
      <c r="S5664" s="380"/>
      <c r="T5664" s="380"/>
      <c r="U5664" s="380"/>
      <c r="V5664" s="380"/>
      <c r="W5664" s="380"/>
      <c r="X5664" s="380"/>
      <c r="Y5664" s="382"/>
      <c r="Z5664" s="380"/>
      <c r="AA5664" s="380"/>
      <c r="AB5664" s="383"/>
    </row>
    <row r="5665" spans="1:28">
      <c r="A5665" s="384" t="str">
        <f t="shared" ref="A5665:A5725" si="18324">A5635</f>
        <v>Lantai 3</v>
      </c>
      <c r="B5665" s="385">
        <f t="shared" ref="B5665:B5725" si="18325">B5635+1</f>
        <v>47</v>
      </c>
      <c r="C5665" s="386" t="str">
        <f t="shared" ref="C5665" si="18326">CONCATENATE(A5665," no. ",B5665)</f>
        <v>Lantai 3 no. 47</v>
      </c>
      <c r="D5665" s="2562" t="str">
        <f>VLOOKUP(C5665,'Data Panjang Balok'!$C$9:$N$254,2,FALSE)</f>
        <v>CL24-1</v>
      </c>
      <c r="E5665" s="2576"/>
      <c r="F5665" s="2576"/>
      <c r="G5665" s="2576"/>
      <c r="H5665" s="2577"/>
      <c r="I5665" s="387"/>
      <c r="J5665" s="388"/>
      <c r="K5665" s="388"/>
      <c r="L5665" s="388"/>
      <c r="M5665" s="388"/>
      <c r="N5665" s="388"/>
      <c r="O5665" s="388"/>
      <c r="P5665" s="388"/>
      <c r="Q5665" s="388"/>
      <c r="R5665" s="388"/>
      <c r="S5665" s="388"/>
      <c r="T5665" s="388"/>
      <c r="U5665" s="388"/>
      <c r="V5665" s="388"/>
      <c r="W5665" s="388"/>
      <c r="X5665" s="388"/>
      <c r="Y5665" s="389"/>
      <c r="Z5665" s="388"/>
      <c r="AA5665" s="388"/>
      <c r="AB5665" s="390"/>
    </row>
    <row r="5666" spans="1:28">
      <c r="A5666" s="391"/>
      <c r="B5666" s="392"/>
      <c r="C5666" s="393" t="s">
        <v>118</v>
      </c>
      <c r="D5666" s="2578">
        <f>VLOOKUP(D5665,'Detail Balok'!$C$10:$AU$140,2,FALSE)</f>
        <v>200</v>
      </c>
      <c r="E5666" s="2579"/>
      <c r="F5666" s="388" t="s">
        <v>125</v>
      </c>
      <c r="G5666" s="2579">
        <f>VLOOKUP(D5665,'Detail Balok'!$C$10:$AU$140,3,FALSE)</f>
        <v>400</v>
      </c>
      <c r="H5666" s="2580"/>
      <c r="I5666" s="388"/>
      <c r="J5666" s="396"/>
      <c r="K5666" s="396"/>
      <c r="L5666" s="396"/>
      <c r="M5666" s="396"/>
      <c r="N5666" s="396"/>
      <c r="O5666" s="396"/>
      <c r="P5666" s="396"/>
      <c r="Q5666" s="396"/>
      <c r="R5666" s="396"/>
      <c r="S5666" s="396"/>
      <c r="T5666" s="396"/>
      <c r="U5666" s="388"/>
      <c r="V5666" s="396"/>
      <c r="W5666" s="388"/>
      <c r="X5666" s="396"/>
      <c r="Y5666" s="389"/>
      <c r="Z5666" s="396"/>
      <c r="AA5666" s="388"/>
      <c r="AB5666" s="390"/>
    </row>
    <row r="5667" spans="1:28">
      <c r="A5667" s="391"/>
      <c r="B5667" s="392"/>
      <c r="C5667" s="393" t="s">
        <v>198</v>
      </c>
      <c r="D5667" s="2562">
        <f>VLOOKUP(C5665,'Data Panjang Balok'!$C$9:$N$254,4,FALSE)</f>
        <v>12650</v>
      </c>
      <c r="E5667" s="2563"/>
      <c r="F5667" s="2563"/>
      <c r="G5667" s="2563"/>
      <c r="H5667" s="2564"/>
      <c r="I5667" s="397"/>
      <c r="J5667" s="396"/>
      <c r="K5667" s="396"/>
      <c r="L5667" s="396"/>
      <c r="M5667" s="396"/>
      <c r="N5667" s="396"/>
      <c r="O5667" s="396"/>
      <c r="P5667" s="396"/>
      <c r="Q5667" s="396"/>
      <c r="R5667" s="396"/>
      <c r="S5667" s="396"/>
      <c r="T5667" s="396"/>
      <c r="U5667" s="388"/>
      <c r="V5667" s="396"/>
      <c r="W5667" s="388"/>
      <c r="X5667" s="396"/>
      <c r="Y5667" s="389"/>
      <c r="Z5667" s="396"/>
      <c r="AA5667" s="388"/>
      <c r="AB5667" s="390"/>
    </row>
    <row r="5668" spans="1:28">
      <c r="A5668" s="391"/>
      <c r="B5668" s="392"/>
      <c r="C5668" s="393" t="s">
        <v>199</v>
      </c>
      <c r="D5668" s="2562">
        <f>VLOOKUP(C5665,'Data Panjang Balok'!$C$9:$N$254,7,FALSE)</f>
        <v>12650</v>
      </c>
      <c r="E5668" s="2563"/>
      <c r="F5668" s="2563"/>
      <c r="G5668" s="2563"/>
      <c r="H5668" s="2564"/>
      <c r="I5668" s="397"/>
      <c r="J5668" s="396"/>
      <c r="K5668" s="396"/>
      <c r="L5668" s="396"/>
      <c r="M5668" s="396"/>
      <c r="N5668" s="396"/>
      <c r="O5668" s="396"/>
      <c r="P5668" s="396"/>
      <c r="Q5668" s="396"/>
      <c r="R5668" s="396"/>
      <c r="S5668" s="396"/>
      <c r="T5668" s="396"/>
      <c r="U5668" s="388"/>
      <c r="V5668" s="396"/>
      <c r="W5668" s="388"/>
      <c r="X5668" s="396"/>
      <c r="Y5668" s="389"/>
      <c r="Z5668" s="396"/>
      <c r="AA5668" s="388"/>
      <c r="AB5668" s="390"/>
    </row>
    <row r="5669" spans="1:28">
      <c r="A5669" s="391"/>
      <c r="B5669" s="392"/>
      <c r="C5669" s="393" t="s">
        <v>200</v>
      </c>
      <c r="D5669" s="2562">
        <f>VLOOKUP(C5665,'Data Panjang Balok'!$C$9:$N$254,9,FALSE)</f>
        <v>0</v>
      </c>
      <c r="E5669" s="2563"/>
      <c r="F5669" s="2563"/>
      <c r="G5669" s="2563"/>
      <c r="H5669" s="2564"/>
      <c r="I5669" s="397"/>
      <c r="J5669" s="396"/>
      <c r="K5669" s="396"/>
      <c r="L5669" s="396"/>
      <c r="M5669" s="396"/>
      <c r="N5669" s="396"/>
      <c r="O5669" s="396"/>
      <c r="P5669" s="396"/>
      <c r="Q5669" s="396"/>
      <c r="R5669" s="396"/>
      <c r="S5669" s="396"/>
      <c r="T5669" s="396"/>
      <c r="U5669" s="388"/>
      <c r="V5669" s="396"/>
      <c r="W5669" s="388"/>
      <c r="X5669" s="396"/>
      <c r="Y5669" s="389"/>
      <c r="Z5669" s="396"/>
      <c r="AA5669" s="388"/>
      <c r="AB5669" s="390"/>
    </row>
    <row r="5670" spans="1:28">
      <c r="A5670" s="391"/>
      <c r="B5670" s="392"/>
      <c r="C5670" s="393" t="s">
        <v>201</v>
      </c>
      <c r="D5670" s="2562">
        <f>VLOOKUP(C5665,'Data Panjang Balok'!$C$9:$N$254,10,FALSE)</f>
        <v>0</v>
      </c>
      <c r="E5670" s="2563"/>
      <c r="F5670" s="2563"/>
      <c r="G5670" s="2563"/>
      <c r="H5670" s="2564"/>
      <c r="I5670" s="397"/>
      <c r="J5670" s="396"/>
      <c r="K5670" s="396"/>
      <c r="L5670" s="396"/>
      <c r="M5670" s="396"/>
      <c r="N5670" s="396"/>
      <c r="O5670" s="396"/>
      <c r="P5670" s="396"/>
      <c r="Q5670" s="396"/>
      <c r="R5670" s="396"/>
      <c r="S5670" s="396"/>
      <c r="T5670" s="396"/>
      <c r="U5670" s="388"/>
      <c r="V5670" s="396"/>
      <c r="W5670" s="388"/>
      <c r="X5670" s="396"/>
      <c r="Y5670" s="389"/>
      <c r="Z5670" s="396"/>
      <c r="AA5670" s="388"/>
      <c r="AB5670" s="390"/>
    </row>
    <row r="5671" spans="1:28">
      <c r="A5671" s="391"/>
      <c r="B5671" s="392"/>
      <c r="C5671" s="393" t="s">
        <v>48</v>
      </c>
      <c r="D5671" s="2562">
        <f>VLOOKUP(C5665,'Data Panjang Balok'!$C$9:$N$254,3,FALSE)</f>
        <v>1</v>
      </c>
      <c r="E5671" s="2563"/>
      <c r="F5671" s="2563"/>
      <c r="G5671" s="2563"/>
      <c r="H5671" s="2564"/>
      <c r="I5671" s="397"/>
      <c r="J5671" s="396"/>
      <c r="K5671" s="396"/>
      <c r="L5671" s="396"/>
      <c r="M5671" s="396"/>
      <c r="N5671" s="396"/>
      <c r="O5671" s="396"/>
      <c r="P5671" s="396"/>
      <c r="Q5671" s="396"/>
      <c r="R5671" s="396"/>
      <c r="S5671" s="396"/>
      <c r="T5671" s="396"/>
      <c r="U5671" s="388"/>
      <c r="V5671" s="396"/>
      <c r="W5671" s="388"/>
      <c r="X5671" s="396"/>
      <c r="Y5671" s="389"/>
      <c r="Z5671" s="396"/>
      <c r="AA5671" s="388"/>
      <c r="AB5671" s="390"/>
    </row>
    <row r="5672" spans="1:28">
      <c r="A5672" s="384" t="str">
        <f t="shared" ref="A5672:B5672" si="18327">A5665</f>
        <v>Lantai 3</v>
      </c>
      <c r="B5672" s="385">
        <f t="shared" si="18327"/>
        <v>47</v>
      </c>
      <c r="C5672" s="393" t="s">
        <v>202</v>
      </c>
      <c r="D5672" s="398">
        <f>VLOOKUP(D5665,'Detail Balok'!$C$10:$AU$140,4,FALSE)</f>
        <v>3</v>
      </c>
      <c r="E5672" s="388" t="s">
        <v>16</v>
      </c>
      <c r="F5672" s="388">
        <f>VLOOKUP(D5665,'Detail Balok'!$C$10:$AU$140,6,FALSE)</f>
        <v>16</v>
      </c>
      <c r="G5672" s="388"/>
      <c r="H5672" s="395"/>
      <c r="I5672" s="388" t="s">
        <v>203</v>
      </c>
      <c r="J5672" s="399">
        <f t="shared" ref="J5672" si="18328">+D5667/4/1000</f>
        <v>3.1625000000000001</v>
      </c>
      <c r="K5672" s="400" t="s">
        <v>204</v>
      </c>
      <c r="L5672" s="399">
        <f t="shared" ref="L5672" si="18329">MAX(VLOOKUP(F5672,N$6:P$15,3,FALSE)/1000,2/3*D5669/1000)+F$16*F5672/1000</f>
        <v>0.192</v>
      </c>
      <c r="M5672" s="399" t="s">
        <v>176</v>
      </c>
      <c r="N5672" s="399">
        <f t="shared" ref="N5672:N5674" si="18330">J5672+L5672</f>
        <v>3.3545000000000003</v>
      </c>
      <c r="O5672" s="399" t="s">
        <v>204</v>
      </c>
      <c r="P5672" s="389">
        <f t="shared" ref="P5672" si="18331">D5672-D5673</f>
        <v>0</v>
      </c>
      <c r="Q5672" s="399" t="s">
        <v>125</v>
      </c>
      <c r="R5672" s="399">
        <f t="shared" ref="R5672" si="18332">IF(P5672&gt;0,$F$18*F5672/1000,0)</f>
        <v>0</v>
      </c>
      <c r="S5672" s="399" t="s">
        <v>205</v>
      </c>
      <c r="T5672" s="399" t="s">
        <v>125</v>
      </c>
      <c r="U5672" s="401">
        <f t="shared" ref="U5672:U5674" si="18333">0.006165*F5672^2</f>
        <v>1.5782400000000001</v>
      </c>
      <c r="V5672" s="399"/>
      <c r="W5672" s="399"/>
      <c r="X5672" s="399" t="s">
        <v>125</v>
      </c>
      <c r="Y5672" s="389">
        <f t="shared" ref="Y5672" si="18334">D5671</f>
        <v>1</v>
      </c>
      <c r="Z5672" s="400" t="s">
        <v>176</v>
      </c>
      <c r="AA5672" s="402">
        <f t="shared" ref="AA5672" si="18335">IF(AA5675=0,(D5672*N5672+P5672*R5672)*U5672*Y5672,0)</f>
        <v>0</v>
      </c>
      <c r="AB5672" s="403"/>
    </row>
    <row r="5673" spans="1:28">
      <c r="A5673" s="384" t="str">
        <f t="shared" ref="A5673:B5673" si="18336">A5665</f>
        <v>Lantai 3</v>
      </c>
      <c r="B5673" s="385">
        <f t="shared" si="18336"/>
        <v>47</v>
      </c>
      <c r="C5673" s="393" t="s">
        <v>206</v>
      </c>
      <c r="D5673" s="398">
        <f>VLOOKUP(D5665,'Detail Balok'!$C$10:$AU$140,7,FALSE)</f>
        <v>3</v>
      </c>
      <c r="E5673" s="388" t="s">
        <v>16</v>
      </c>
      <c r="F5673" s="388">
        <f>VLOOKUP(D5665,'Detail Balok'!$C$10:$AU$140,9,FALSE)</f>
        <v>16</v>
      </c>
      <c r="G5673" s="388"/>
      <c r="H5673" s="395"/>
      <c r="I5673" s="388" t="s">
        <v>203</v>
      </c>
      <c r="J5673" s="399">
        <f t="shared" ref="J5673" si="18337">+D5667/2/1000</f>
        <v>6.3250000000000002</v>
      </c>
      <c r="K5673" s="400" t="s">
        <v>204</v>
      </c>
      <c r="L5673" s="399"/>
      <c r="M5673" s="399" t="s">
        <v>176</v>
      </c>
      <c r="N5673" s="399">
        <f t="shared" si="18330"/>
        <v>6.3250000000000002</v>
      </c>
      <c r="O5673" s="399" t="s">
        <v>204</v>
      </c>
      <c r="P5673" s="389">
        <f t="shared" ref="P5673" si="18338">MAX(D5673-D5672,D5673-D5674)</f>
        <v>0</v>
      </c>
      <c r="Q5673" s="399" t="s">
        <v>125</v>
      </c>
      <c r="R5673" s="399">
        <f t="shared" ref="R5673" si="18339">IF(P5673&gt;0,2*(1-2*$F$19-1/2)*D5668/1000,0)</f>
        <v>0</v>
      </c>
      <c r="S5673" s="399" t="s">
        <v>205</v>
      </c>
      <c r="T5673" s="399" t="s">
        <v>125</v>
      </c>
      <c r="U5673" s="401">
        <f t="shared" si="18333"/>
        <v>1.5782400000000001</v>
      </c>
      <c r="V5673" s="399"/>
      <c r="W5673" s="399"/>
      <c r="X5673" s="399" t="s">
        <v>125</v>
      </c>
      <c r="Y5673" s="389">
        <f t="shared" ref="Y5673" si="18340">D5671</f>
        <v>1</v>
      </c>
      <c r="Z5673" s="400" t="s">
        <v>176</v>
      </c>
      <c r="AA5673" s="402">
        <f t="shared" ref="AA5673" si="18341">IF(AA5675=0,(D5673*N5673+P5673*R5673)*U5673*Y5673,0)</f>
        <v>0</v>
      </c>
      <c r="AB5673" s="403"/>
    </row>
    <row r="5674" spans="1:28">
      <c r="A5674" s="384" t="str">
        <f t="shared" ref="A5674:B5674" si="18342">A5665</f>
        <v>Lantai 3</v>
      </c>
      <c r="B5674" s="385">
        <f t="shared" si="18342"/>
        <v>47</v>
      </c>
      <c r="C5674" s="393" t="s">
        <v>202</v>
      </c>
      <c r="D5674" s="398">
        <f>VLOOKUP(D5665,'Detail Balok'!$C$10:$AU$140,10,FALSE)</f>
        <v>3</v>
      </c>
      <c r="E5674" s="388" t="s">
        <v>16</v>
      </c>
      <c r="F5674" s="388">
        <f>VLOOKUP(D5665,'Detail Balok'!$C$10:$AU$140,12,FALSE)</f>
        <v>16</v>
      </c>
      <c r="G5674" s="388"/>
      <c r="H5674" s="395"/>
      <c r="I5674" s="388" t="s">
        <v>203</v>
      </c>
      <c r="J5674" s="399">
        <f t="shared" ref="J5674" si="18343">+D5667/4/1000</f>
        <v>3.1625000000000001</v>
      </c>
      <c r="K5674" s="400" t="s">
        <v>204</v>
      </c>
      <c r="L5674" s="399">
        <f t="shared" ref="L5674" si="18344">MAX(VLOOKUP(F5674,N$6:P$15,3,FALSE)/1000,2/3*D5669/1000)+F$16*F5674/1000</f>
        <v>0.192</v>
      </c>
      <c r="M5674" s="399" t="s">
        <v>176</v>
      </c>
      <c r="N5674" s="399">
        <f t="shared" si="18330"/>
        <v>3.3545000000000003</v>
      </c>
      <c r="O5674" s="399" t="s">
        <v>204</v>
      </c>
      <c r="P5674" s="389">
        <f t="shared" ref="P5674" si="18345">D5674-D5673</f>
        <v>0</v>
      </c>
      <c r="Q5674" s="399" t="s">
        <v>125</v>
      </c>
      <c r="R5674" s="399">
        <f t="shared" ref="R5674" si="18346">IF(P5674&gt;0,$F$18*F5674/1000,0)</f>
        <v>0</v>
      </c>
      <c r="S5674" s="399" t="s">
        <v>205</v>
      </c>
      <c r="T5674" s="399" t="s">
        <v>125</v>
      </c>
      <c r="U5674" s="401">
        <f t="shared" si="18333"/>
        <v>1.5782400000000001</v>
      </c>
      <c r="V5674" s="399"/>
      <c r="W5674" s="399"/>
      <c r="X5674" s="399" t="s">
        <v>125</v>
      </c>
      <c r="Y5674" s="389">
        <f t="shared" ref="Y5674" si="18347">D5671</f>
        <v>1</v>
      </c>
      <c r="Z5674" s="400" t="s">
        <v>176</v>
      </c>
      <c r="AA5674" s="402">
        <f t="shared" ref="AA5674" si="18348">IF(AA5675=0,(D5674*N5674+P5674*R5674)*U5674*Y5674,0)</f>
        <v>0</v>
      </c>
      <c r="AB5674" s="403"/>
    </row>
    <row r="5675" spans="1:28">
      <c r="A5675" s="384" t="str">
        <f t="shared" ref="A5675:B5675" si="18349">A5665</f>
        <v>Lantai 3</v>
      </c>
      <c r="B5675" s="385">
        <f t="shared" si="18349"/>
        <v>47</v>
      </c>
      <c r="C5675" s="393"/>
      <c r="D5675" s="398">
        <f t="shared" si="18245"/>
        <v>3</v>
      </c>
      <c r="E5675" s="388" t="s">
        <v>16</v>
      </c>
      <c r="F5675" s="388">
        <f t="shared" si="18246"/>
        <v>16</v>
      </c>
      <c r="G5675" s="388"/>
      <c r="H5675" s="395"/>
      <c r="I5675" s="388"/>
      <c r="J5675" s="396"/>
      <c r="K5675" s="396"/>
      <c r="L5675" s="404" t="s">
        <v>207</v>
      </c>
      <c r="M5675" s="399" t="s">
        <v>176</v>
      </c>
      <c r="N5675" s="399">
        <f t="shared" ref="N5675" si="18350">IF(AND(D5672=D5673,D5672=D5674,D5673=D5674,F5672=F5673,F5672=F5674,F5673=F5674),SUM(N5672:N5674),0)</f>
        <v>13.034000000000001</v>
      </c>
      <c r="O5675" s="399" t="s">
        <v>204</v>
      </c>
      <c r="P5675" s="389">
        <f t="shared" ref="P5675" si="18351">IF(N5675&gt;12,ROUNDDOWN(N5675/12,0),0)</f>
        <v>1</v>
      </c>
      <c r="Q5675" s="399" t="s">
        <v>125</v>
      </c>
      <c r="R5675" s="399">
        <f t="shared" ref="R5675" si="18352">IF(P5675&gt;0,MAX(VLOOKUP(F5675,$D$6:$G$15,3,FALSE),600),0)/1000</f>
        <v>0.8</v>
      </c>
      <c r="S5675" s="396"/>
      <c r="T5675" s="396" t="s">
        <v>125</v>
      </c>
      <c r="U5675" s="401">
        <f t="shared" si="18250"/>
        <v>1.5782400000000001</v>
      </c>
      <c r="V5675" s="396" t="s">
        <v>125</v>
      </c>
      <c r="W5675" s="399">
        <f t="shared" ref="W5675" si="18353">D5675</f>
        <v>3</v>
      </c>
      <c r="X5675" s="399" t="s">
        <v>125</v>
      </c>
      <c r="Y5675" s="389">
        <f t="shared" si="18252"/>
        <v>1</v>
      </c>
      <c r="Z5675" s="400" t="s">
        <v>176</v>
      </c>
      <c r="AA5675" s="402">
        <f t="shared" ref="AA5675" si="18354">(N5675+P5675*R5675/1000)*U5675*W5675*Y5675</f>
        <v>61.716128256000005</v>
      </c>
      <c r="AB5675" s="390"/>
    </row>
    <row r="5676" spans="1:28">
      <c r="A5676" s="384"/>
      <c r="B5676" s="385"/>
      <c r="C5676" s="393"/>
      <c r="D5676" s="398"/>
      <c r="E5676" s="388"/>
      <c r="F5676" s="388"/>
      <c r="G5676" s="388"/>
      <c r="H5676" s="395"/>
      <c r="I5676" s="388"/>
      <c r="J5676" s="396"/>
      <c r="K5676" s="396"/>
      <c r="L5676" s="404"/>
      <c r="M5676" s="399"/>
      <c r="N5676" s="399"/>
      <c r="O5676" s="396"/>
      <c r="P5676" s="389"/>
      <c r="Q5676" s="396"/>
      <c r="R5676" s="396"/>
      <c r="S5676" s="396"/>
      <c r="T5676" s="396"/>
      <c r="U5676" s="401"/>
      <c r="V5676" s="396"/>
      <c r="W5676" s="399"/>
      <c r="X5676" s="396"/>
      <c r="Y5676" s="389"/>
      <c r="Z5676" s="396"/>
      <c r="AA5676" s="388"/>
      <c r="AB5676" s="390"/>
    </row>
    <row r="5677" spans="1:28">
      <c r="A5677" s="384" t="str">
        <f t="shared" ref="A5677:B5677" si="18355">A5665</f>
        <v>Lantai 3</v>
      </c>
      <c r="B5677" s="385">
        <f t="shared" si="18355"/>
        <v>47</v>
      </c>
      <c r="C5677" s="393" t="s">
        <v>208</v>
      </c>
      <c r="D5677" s="398">
        <f>VLOOKUP(D5665,'Detail Balok'!$C$10:$AU$140,13,FALSE)</f>
        <v>0</v>
      </c>
      <c r="E5677" s="388" t="s">
        <v>16</v>
      </c>
      <c r="F5677" s="388">
        <f>VLOOKUP(D5665,'Detail Balok'!$C$10:$AU$140,15,FALSE)</f>
        <v>8</v>
      </c>
      <c r="G5677" s="388"/>
      <c r="H5677" s="395"/>
      <c r="I5677" s="388"/>
      <c r="J5677" s="399">
        <f t="shared" ref="J5677" si="18356">+D5667/1000</f>
        <v>12.65</v>
      </c>
      <c r="K5677" s="400" t="s">
        <v>204</v>
      </c>
      <c r="L5677" s="399">
        <f t="shared" ref="L5677" si="18357">2*$F$16*F5677/1000</f>
        <v>0.192</v>
      </c>
      <c r="M5677" s="399" t="s">
        <v>176</v>
      </c>
      <c r="N5677" s="399">
        <f t="shared" ref="N5677" si="18358">J5677+L5677</f>
        <v>12.842000000000001</v>
      </c>
      <c r="O5677" s="399" t="s">
        <v>204</v>
      </c>
      <c r="P5677" s="389">
        <f t="shared" ref="P5677" si="18359">IF(N5677&gt;12,ROUNDDOWN(N5677/12,0),0)</f>
        <v>1</v>
      </c>
      <c r="Q5677" s="399" t="s">
        <v>125</v>
      </c>
      <c r="R5677" s="399">
        <f t="shared" ref="R5677" si="18360">IF(P5677&gt;0,MAX(VLOOKUP(F5677,$D$6:$G$15,3,FALSE),600),0)/1000</f>
        <v>0.6</v>
      </c>
      <c r="S5677" s="399"/>
      <c r="T5677" s="399" t="s">
        <v>125</v>
      </c>
      <c r="U5677" s="401">
        <f t="shared" ref="U5677" si="18361">0.006165*F5677^2</f>
        <v>0.39456000000000002</v>
      </c>
      <c r="V5677" s="399" t="s">
        <v>125</v>
      </c>
      <c r="W5677" s="399">
        <f t="shared" ref="W5677" si="18362">+D5677</f>
        <v>0</v>
      </c>
      <c r="X5677" s="399" t="s">
        <v>125</v>
      </c>
      <c r="Y5677" s="389">
        <f t="shared" ref="Y5677" si="18363">D5671</f>
        <v>1</v>
      </c>
      <c r="Z5677" s="400" t="s">
        <v>176</v>
      </c>
      <c r="AA5677" s="402">
        <f t="shared" ref="AA5677" si="18364">(N5677+P5677*R5677/1000)*U5677*W5677*Y5677</f>
        <v>0</v>
      </c>
      <c r="AB5677" s="403"/>
    </row>
    <row r="5678" spans="1:28">
      <c r="A5678" s="384"/>
      <c r="B5678" s="385"/>
      <c r="C5678" s="393"/>
      <c r="D5678" s="398"/>
      <c r="E5678" s="388"/>
      <c r="F5678" s="388"/>
      <c r="G5678" s="388"/>
      <c r="H5678" s="395"/>
      <c r="I5678" s="388"/>
      <c r="J5678" s="399"/>
      <c r="K5678" s="400"/>
      <c r="L5678" s="399"/>
      <c r="M5678" s="399"/>
      <c r="N5678" s="399"/>
      <c r="O5678" s="399"/>
      <c r="P5678" s="389"/>
      <c r="Q5678" s="399"/>
      <c r="R5678" s="399"/>
      <c r="S5678" s="399"/>
      <c r="T5678" s="399"/>
      <c r="U5678" s="401"/>
      <c r="V5678" s="399"/>
      <c r="W5678" s="399"/>
      <c r="X5678" s="399"/>
      <c r="Y5678" s="389"/>
      <c r="Z5678" s="400"/>
      <c r="AA5678" s="402"/>
      <c r="AB5678" s="403"/>
    </row>
    <row r="5679" spans="1:28">
      <c r="A5679" s="384"/>
      <c r="B5679" s="385"/>
      <c r="C5679" s="393"/>
      <c r="D5679" s="398"/>
      <c r="E5679" s="388"/>
      <c r="F5679" s="388"/>
      <c r="G5679" s="388"/>
      <c r="H5679" s="395"/>
      <c r="I5679" s="388"/>
      <c r="J5679" s="396"/>
      <c r="K5679" s="396"/>
      <c r="L5679" s="396"/>
      <c r="M5679" s="396"/>
      <c r="N5679" s="396"/>
      <c r="O5679" s="396"/>
      <c r="P5679" s="389"/>
      <c r="Q5679" s="396"/>
      <c r="R5679" s="396"/>
      <c r="S5679" s="396"/>
      <c r="T5679" s="396"/>
      <c r="U5679" s="401"/>
      <c r="V5679" s="396"/>
      <c r="W5679" s="399"/>
      <c r="X5679" s="396"/>
      <c r="Y5679" s="389"/>
      <c r="Z5679" s="396"/>
      <c r="AA5679" s="388"/>
      <c r="AB5679" s="390"/>
    </row>
    <row r="5680" spans="1:28">
      <c r="A5680" s="384" t="str">
        <f t="shared" ref="A5680:B5680" si="18365">A5665</f>
        <v>Lantai 3</v>
      </c>
      <c r="B5680" s="385">
        <f t="shared" si="18365"/>
        <v>47</v>
      </c>
      <c r="C5680" s="393" t="s">
        <v>209</v>
      </c>
      <c r="D5680" s="398">
        <f>VLOOKUP(D5665,'Detail Balok'!$C$10:$AU$140,22,FALSE)</f>
        <v>3</v>
      </c>
      <c r="E5680" s="388" t="s">
        <v>16</v>
      </c>
      <c r="F5680" s="388">
        <f>VLOOKUP(D5665,'Detail Balok'!$C$10:$AU$140,24,FALSE)</f>
        <v>16</v>
      </c>
      <c r="G5680" s="388"/>
      <c r="H5680" s="395"/>
      <c r="I5680" s="388" t="s">
        <v>203</v>
      </c>
      <c r="J5680" s="399">
        <f t="shared" si="18265"/>
        <v>3.1625000000000001</v>
      </c>
      <c r="K5680" s="400" t="s">
        <v>204</v>
      </c>
      <c r="L5680" s="399">
        <f t="shared" ref="L5680" si="18366">MAX(VLOOKUP(F5680,N$6:P$15,3,FALSE)/1000,2/3*D5670/1000)+F$16*F5680/1000</f>
        <v>0.192</v>
      </c>
      <c r="M5680" s="399" t="s">
        <v>176</v>
      </c>
      <c r="N5680" s="399">
        <f t="shared" ref="N5680:N5682" si="18367">J5680+L5680</f>
        <v>3.3545000000000003</v>
      </c>
      <c r="O5680" s="399" t="s">
        <v>204</v>
      </c>
      <c r="P5680" s="389">
        <f t="shared" ref="P5680" si="18368">D5680-D5681</f>
        <v>0</v>
      </c>
      <c r="Q5680" s="399" t="s">
        <v>125</v>
      </c>
      <c r="R5680" s="399">
        <f t="shared" ref="R5680" si="18369">IF(P5680&gt;0,$F$18*F5680/1000,0)</f>
        <v>0</v>
      </c>
      <c r="S5680" s="399" t="s">
        <v>205</v>
      </c>
      <c r="T5680" s="399" t="s">
        <v>125</v>
      </c>
      <c r="U5680" s="401">
        <f t="shared" ref="U5680:U5682" si="18370">0.006165*F5680^2</f>
        <v>1.5782400000000001</v>
      </c>
      <c r="V5680" s="399"/>
      <c r="W5680" s="399"/>
      <c r="X5680" s="399" t="s">
        <v>125</v>
      </c>
      <c r="Y5680" s="389">
        <f t="shared" ref="Y5680" si="18371">D5671</f>
        <v>1</v>
      </c>
      <c r="Z5680" s="400" t="s">
        <v>176</v>
      </c>
      <c r="AA5680" s="402">
        <f t="shared" ref="AA5680" si="18372">IF(AA5683=0,(D5680*N5680+P5680*R5680)*U5680*Y5680,0)</f>
        <v>0</v>
      </c>
      <c r="AB5680" s="403"/>
    </row>
    <row r="5681" spans="1:28">
      <c r="A5681" s="384" t="str">
        <f t="shared" ref="A5681:B5681" si="18373">A5665</f>
        <v>Lantai 3</v>
      </c>
      <c r="B5681" s="385">
        <f t="shared" si="18373"/>
        <v>47</v>
      </c>
      <c r="C5681" s="393" t="s">
        <v>210</v>
      </c>
      <c r="D5681" s="398">
        <f>VLOOKUP(D5665,'Detail Balok'!$C$10:$AU$140,25,FALSE)</f>
        <v>3</v>
      </c>
      <c r="E5681" s="388" t="s">
        <v>16</v>
      </c>
      <c r="F5681" s="388">
        <f>VLOOKUP(D5665,'Detail Balok'!$C$10:$AU$140,27,FALSE)</f>
        <v>16</v>
      </c>
      <c r="G5681" s="388"/>
      <c r="H5681" s="395"/>
      <c r="I5681" s="388" t="s">
        <v>203</v>
      </c>
      <c r="J5681" s="399">
        <f t="shared" si="18265"/>
        <v>6.3250000000000002</v>
      </c>
      <c r="K5681" s="400" t="s">
        <v>204</v>
      </c>
      <c r="L5681" s="399"/>
      <c r="M5681" s="399" t="s">
        <v>176</v>
      </c>
      <c r="N5681" s="399">
        <f t="shared" si="18367"/>
        <v>6.3250000000000002</v>
      </c>
      <c r="O5681" s="399" t="s">
        <v>204</v>
      </c>
      <c r="P5681" s="389">
        <f t="shared" ref="P5681" si="18374">MAX(D5681-D5680,D5681-D5682)</f>
        <v>0</v>
      </c>
      <c r="Q5681" s="399" t="s">
        <v>125</v>
      </c>
      <c r="R5681" s="399">
        <f t="shared" ref="R5681" si="18375">IF(P5681&gt;0,2*(1-2*$F$19-1/2)*D5668/1000,0)</f>
        <v>0</v>
      </c>
      <c r="S5681" s="399" t="s">
        <v>205</v>
      </c>
      <c r="T5681" s="399" t="s">
        <v>125</v>
      </c>
      <c r="U5681" s="401">
        <f t="shared" si="18370"/>
        <v>1.5782400000000001</v>
      </c>
      <c r="V5681" s="399"/>
      <c r="W5681" s="399"/>
      <c r="X5681" s="399" t="s">
        <v>125</v>
      </c>
      <c r="Y5681" s="389">
        <f t="shared" ref="Y5681" si="18376">D5671</f>
        <v>1</v>
      </c>
      <c r="Z5681" s="400" t="s">
        <v>176</v>
      </c>
      <c r="AA5681" s="402">
        <f t="shared" ref="AA5681" si="18377">IF(AA5683=0,(D5681*N5681+P5681*R5681)*U5681*Y5681,0)</f>
        <v>0</v>
      </c>
      <c r="AB5681" s="403"/>
    </row>
    <row r="5682" spans="1:28">
      <c r="A5682" s="384" t="str">
        <f t="shared" ref="A5682:B5682" si="18378">A5665</f>
        <v>Lantai 3</v>
      </c>
      <c r="B5682" s="385">
        <f t="shared" si="18378"/>
        <v>47</v>
      </c>
      <c r="C5682" s="393" t="s">
        <v>209</v>
      </c>
      <c r="D5682" s="398">
        <f>VLOOKUP(D5665,'Detail Balok'!$C$10:$AU$140,28,FALSE)</f>
        <v>3</v>
      </c>
      <c r="E5682" s="388" t="s">
        <v>16</v>
      </c>
      <c r="F5682" s="388">
        <f>VLOOKUP(D5665,'Detail Balok'!$C$10:$AU$140,30,FALSE)</f>
        <v>16</v>
      </c>
      <c r="G5682" s="388"/>
      <c r="H5682" s="395"/>
      <c r="I5682" s="388" t="s">
        <v>203</v>
      </c>
      <c r="J5682" s="399">
        <f t="shared" si="18265"/>
        <v>3.1625000000000001</v>
      </c>
      <c r="K5682" s="400" t="s">
        <v>204</v>
      </c>
      <c r="L5682" s="399">
        <f t="shared" ref="L5682" si="18379">MAX(VLOOKUP(F5682,N$6:P$15,3,FALSE)/1000,2/3*D5670/1000)+F$16*F5682/1000</f>
        <v>0.192</v>
      </c>
      <c r="M5682" s="399" t="s">
        <v>176</v>
      </c>
      <c r="N5682" s="399">
        <f t="shared" si="18367"/>
        <v>3.3545000000000003</v>
      </c>
      <c r="O5682" s="399" t="s">
        <v>204</v>
      </c>
      <c r="P5682" s="389">
        <f t="shared" ref="P5682" si="18380">D5682-D5681</f>
        <v>0</v>
      </c>
      <c r="Q5682" s="399" t="s">
        <v>125</v>
      </c>
      <c r="R5682" s="399">
        <f t="shared" ref="R5682" si="18381">IF(P5682&gt;0,$F$18*F5682/1000,0)</f>
        <v>0</v>
      </c>
      <c r="S5682" s="399" t="s">
        <v>205</v>
      </c>
      <c r="T5682" s="399" t="s">
        <v>125</v>
      </c>
      <c r="U5682" s="401">
        <f t="shared" si="18370"/>
        <v>1.5782400000000001</v>
      </c>
      <c r="V5682" s="399"/>
      <c r="W5682" s="399"/>
      <c r="X5682" s="399" t="s">
        <v>125</v>
      </c>
      <c r="Y5682" s="389">
        <f t="shared" ref="Y5682" si="18382">D5671</f>
        <v>1</v>
      </c>
      <c r="Z5682" s="400" t="s">
        <v>176</v>
      </c>
      <c r="AA5682" s="402">
        <f t="shared" ref="AA5682" si="18383">IF(AA5683=0,(D5682*N5682+P5682*R5682)*U5682*Y5682,0)</f>
        <v>0</v>
      </c>
      <c r="AB5682" s="403"/>
    </row>
    <row r="5683" spans="1:28">
      <c r="A5683" s="384" t="str">
        <f t="shared" ref="A5683:B5683" si="18384">A5665</f>
        <v>Lantai 3</v>
      </c>
      <c r="B5683" s="385">
        <f t="shared" si="18384"/>
        <v>47</v>
      </c>
      <c r="C5683" s="393"/>
      <c r="D5683" s="398">
        <f t="shared" si="18285"/>
        <v>3</v>
      </c>
      <c r="E5683" s="388" t="s">
        <v>16</v>
      </c>
      <c r="F5683" s="388">
        <f t="shared" si="18286"/>
        <v>16</v>
      </c>
      <c r="G5683" s="388"/>
      <c r="H5683" s="395"/>
      <c r="I5683" s="388"/>
      <c r="J5683" s="396"/>
      <c r="K5683" s="396"/>
      <c r="L5683" s="404" t="s">
        <v>207</v>
      </c>
      <c r="M5683" s="399" t="s">
        <v>176</v>
      </c>
      <c r="N5683" s="399">
        <f t="shared" ref="N5683" si="18385">IF(AND(D5680=D5681,D5680=D5682,D5681=D5682,F5680=F5681,F5680=F5682,F5681=F5682),SUM(N5680:N5682),0)</f>
        <v>13.034000000000001</v>
      </c>
      <c r="O5683" s="399" t="s">
        <v>204</v>
      </c>
      <c r="P5683" s="389">
        <f t="shared" ref="P5683" si="18386">IF(N5683&gt;12,ROUNDDOWN(N5683/12,0),0)</f>
        <v>1</v>
      </c>
      <c r="Q5683" s="399" t="s">
        <v>125</v>
      </c>
      <c r="R5683" s="399">
        <f t="shared" ref="R5683" si="18387">IF(P5683&gt;0,MAX(VLOOKUP(F5683,$D$6:$G$15,3,FALSE),600),0)/1000</f>
        <v>0.8</v>
      </c>
      <c r="S5683" s="396"/>
      <c r="T5683" s="396" t="s">
        <v>125</v>
      </c>
      <c r="U5683" s="401">
        <f t="shared" si="18290"/>
        <v>1.5782400000000001</v>
      </c>
      <c r="V5683" s="396" t="s">
        <v>125</v>
      </c>
      <c r="W5683" s="399">
        <f t="shared" ref="W5683" si="18388">D5683</f>
        <v>3</v>
      </c>
      <c r="X5683" s="399" t="s">
        <v>125</v>
      </c>
      <c r="Y5683" s="389">
        <f t="shared" si="18292"/>
        <v>1</v>
      </c>
      <c r="Z5683" s="400" t="s">
        <v>176</v>
      </c>
      <c r="AA5683" s="402">
        <f t="shared" ref="AA5683" si="18389">(N5683+P5683*R5683/1000)*U5683*W5683*Y5683</f>
        <v>61.716128256000005</v>
      </c>
      <c r="AB5683" s="403"/>
    </row>
    <row r="5684" spans="1:28">
      <c r="A5684" s="384"/>
      <c r="B5684" s="385"/>
      <c r="C5684" s="393"/>
      <c r="D5684" s="394"/>
      <c r="E5684" s="388"/>
      <c r="F5684" s="388"/>
      <c r="G5684" s="388"/>
      <c r="H5684" s="395"/>
      <c r="I5684" s="388"/>
      <c r="J5684" s="399"/>
      <c r="K5684" s="396"/>
      <c r="L5684" s="396"/>
      <c r="M5684" s="396"/>
      <c r="N5684" s="396"/>
      <c r="O5684" s="396"/>
      <c r="P5684" s="389"/>
      <c r="Q5684" s="396"/>
      <c r="R5684" s="396"/>
      <c r="S5684" s="396"/>
      <c r="T5684" s="396"/>
      <c r="U5684" s="401"/>
      <c r="V5684" s="396"/>
      <c r="W5684" s="388"/>
      <c r="X5684" s="396"/>
      <c r="Y5684" s="389"/>
      <c r="Z5684" s="396"/>
      <c r="AA5684" s="388"/>
      <c r="AB5684" s="390"/>
    </row>
    <row r="5685" spans="1:28">
      <c r="A5685" s="384" t="str">
        <f t="shared" ref="A5685:B5685" si="18390">A5665</f>
        <v>Lantai 3</v>
      </c>
      <c r="B5685" s="385">
        <f t="shared" si="18390"/>
        <v>47</v>
      </c>
      <c r="C5685" s="393" t="s">
        <v>211</v>
      </c>
      <c r="D5685" s="398">
        <f>VLOOKUP(D5665,'Detail Balok'!$C$10:$AU$140,31,FALSE)</f>
        <v>0</v>
      </c>
      <c r="E5685" s="388" t="s">
        <v>16</v>
      </c>
      <c r="F5685" s="388">
        <f>VLOOKUP(D5665,'Detail Balok'!$C$10:$AU$140,33,FALSE)</f>
        <v>10</v>
      </c>
      <c r="G5685" s="405" t="s">
        <v>157</v>
      </c>
      <c r="H5685" s="395">
        <f>VLOOKUP(D5665,'Detail Balok'!$C$10:$AU$140,35,FALSE)</f>
        <v>100</v>
      </c>
      <c r="I5685" s="388"/>
      <c r="J5685" s="400">
        <f t="shared" ref="J5685" si="18391">(IF(D5685=0,(2*(D5666+G5666))-(F$5*8),IF(D5685=3,(2*(D5666+G5666))-(F$5*8)+(G5666-2*F$5),IF(D5685=4,(2*(D5666+G5666))-(F$5*8)+2*(G5666-2*F$5)))))/1000</f>
        <v>0.88</v>
      </c>
      <c r="K5685" s="400" t="s">
        <v>204</v>
      </c>
      <c r="L5685" s="399">
        <f t="shared" ref="L5685:L5687" si="18392">IF(D5685=0,2*MAX(6*F5685,75),(D5685-1)*2*MAX(6*F5685,75))/1000</f>
        <v>0.15</v>
      </c>
      <c r="M5685" s="399" t="s">
        <v>176</v>
      </c>
      <c r="N5685" s="399">
        <f t="shared" ref="N5685:N5687" si="18393">J5685+L5685</f>
        <v>1.03</v>
      </c>
      <c r="O5685" s="399"/>
      <c r="P5685" s="389"/>
      <c r="Q5685" s="399"/>
      <c r="R5685" s="399"/>
      <c r="S5685" s="399"/>
      <c r="T5685" s="399" t="s">
        <v>125</v>
      </c>
      <c r="U5685" s="401">
        <f t="shared" ref="U5685:U5687" si="18394">0.006165*F5685^2</f>
        <v>0.61650000000000005</v>
      </c>
      <c r="V5685" s="399" t="s">
        <v>125</v>
      </c>
      <c r="W5685" s="399">
        <f t="shared" ref="W5685" si="18395">IF(D5668&gt;4*G5666,ROUND(MAX(D5668/4,2*G5666)/H5685,0)+1,ROUND(D5668/H5685,0)+1)</f>
        <v>33</v>
      </c>
      <c r="X5685" s="399" t="s">
        <v>125</v>
      </c>
      <c r="Y5685" s="389">
        <f t="shared" ref="Y5685" si="18396">D5671</f>
        <v>1</v>
      </c>
      <c r="Z5685" s="400" t="s">
        <v>176</v>
      </c>
      <c r="AA5685" s="402">
        <f t="shared" ref="AA5685:AA5687" si="18397">N5685*U5685*W5685*Y5685</f>
        <v>20.954835000000003</v>
      </c>
      <c r="AB5685" s="403"/>
    </row>
    <row r="5686" spans="1:28">
      <c r="A5686" s="384" t="str">
        <f t="shared" ref="A5686:B5686" si="18398">A5665</f>
        <v>Lantai 3</v>
      </c>
      <c r="B5686" s="385">
        <f t="shared" si="18398"/>
        <v>47</v>
      </c>
      <c r="C5686" s="393" t="s">
        <v>212</v>
      </c>
      <c r="D5686" s="398">
        <f>VLOOKUP(D5665,'Detail Balok'!$C$10:$AU$140,36,FALSE)</f>
        <v>0</v>
      </c>
      <c r="E5686" s="388" t="s">
        <v>16</v>
      </c>
      <c r="F5686" s="388">
        <f>VLOOKUP(D5665,'Detail Balok'!$C$10:$AU$140,38,FALSE)</f>
        <v>10</v>
      </c>
      <c r="G5686" s="405" t="s">
        <v>157</v>
      </c>
      <c r="H5686" s="395">
        <f>VLOOKUP(D5665,'Detail Balok'!$C$10:$AU$140,40,FALSE)</f>
        <v>100</v>
      </c>
      <c r="I5686" s="388"/>
      <c r="J5686" s="400">
        <f t="shared" ref="J5686" si="18399">(IF(D5686=0,(2*(D5666+G5666))-(F$5*8),IF(D5686=3,(2*(D5666+G5666))-(F$5*8)+(G5666-2*F$5),IF(D5686=4,(2*(D5666+G5666))-(F$5*8)+2*(G5666-2*F$5)))))/1000</f>
        <v>0.88</v>
      </c>
      <c r="K5686" s="400" t="s">
        <v>204</v>
      </c>
      <c r="L5686" s="399">
        <f t="shared" si="18392"/>
        <v>0.15</v>
      </c>
      <c r="M5686" s="399" t="s">
        <v>176</v>
      </c>
      <c r="N5686" s="399">
        <f t="shared" si="18393"/>
        <v>1.03</v>
      </c>
      <c r="O5686" s="399"/>
      <c r="P5686" s="389"/>
      <c r="Q5686" s="399"/>
      <c r="R5686" s="399"/>
      <c r="S5686" s="399"/>
      <c r="T5686" s="399" t="s">
        <v>125</v>
      </c>
      <c r="U5686" s="401">
        <f t="shared" si="18394"/>
        <v>0.61650000000000005</v>
      </c>
      <c r="V5686" s="399" t="s">
        <v>125</v>
      </c>
      <c r="W5686" s="399">
        <f t="shared" ref="W5686" si="18400">IF(D5668-MAX(D5668/4,2*G5666)*2&gt;0,ROUND((D5668-MAX(D5668/4,2*G5666)*2)/H5686,0),0)</f>
        <v>63</v>
      </c>
      <c r="X5686" s="399" t="s">
        <v>125</v>
      </c>
      <c r="Y5686" s="389">
        <f t="shared" ref="Y5686" si="18401">D5671</f>
        <v>1</v>
      </c>
      <c r="Z5686" s="400" t="s">
        <v>176</v>
      </c>
      <c r="AA5686" s="402">
        <f t="shared" si="18397"/>
        <v>40.004685000000002</v>
      </c>
      <c r="AB5686" s="403"/>
    </row>
    <row r="5687" spans="1:28">
      <c r="A5687" s="384" t="str">
        <f t="shared" ref="A5687:B5687" si="18402">A5665</f>
        <v>Lantai 3</v>
      </c>
      <c r="B5687" s="385">
        <f t="shared" si="18402"/>
        <v>47</v>
      </c>
      <c r="C5687" s="393" t="s">
        <v>211</v>
      </c>
      <c r="D5687" s="398">
        <f>VLOOKUP(D5665,'Detail Balok'!$C$10:$AU$140,41,FALSE)</f>
        <v>0</v>
      </c>
      <c r="E5687" s="388" t="s">
        <v>16</v>
      </c>
      <c r="F5687" s="388">
        <f>VLOOKUP(D5665,'Detail Balok'!$C$10:$AU$140,43,FALSE)</f>
        <v>10</v>
      </c>
      <c r="G5687" s="405" t="s">
        <v>157</v>
      </c>
      <c r="H5687" s="395">
        <f>VLOOKUP(D5665,'Detail Balok'!$C$10:$AU$140,45,FALSE)</f>
        <v>100</v>
      </c>
      <c r="I5687" s="388"/>
      <c r="J5687" s="400">
        <f t="shared" ref="J5687" si="18403">(IF(D5687=0,(2*(D5666+G5666))-(F$5*8),IF(D5687=3,(2*(D5666+G5666))-(F$5*8)+(G5666-2*F$5),IF(D5687=4,(2*(D5666+G5666))-(F$5*8)+2*(G5666-2*F$5)))))/1000</f>
        <v>0.88</v>
      </c>
      <c r="K5687" s="400" t="s">
        <v>204</v>
      </c>
      <c r="L5687" s="399">
        <f t="shared" si="18392"/>
        <v>0.15</v>
      </c>
      <c r="M5687" s="399" t="s">
        <v>176</v>
      </c>
      <c r="N5687" s="399">
        <f t="shared" si="18393"/>
        <v>1.03</v>
      </c>
      <c r="O5687" s="399"/>
      <c r="P5687" s="389"/>
      <c r="Q5687" s="399"/>
      <c r="R5687" s="399"/>
      <c r="S5687" s="399"/>
      <c r="T5687" s="399" t="s">
        <v>125</v>
      </c>
      <c r="U5687" s="401">
        <f t="shared" si="18394"/>
        <v>0.61650000000000005</v>
      </c>
      <c r="V5687" s="399" t="s">
        <v>125</v>
      </c>
      <c r="W5687" s="399">
        <f t="shared" ref="W5687" si="18404">IF(D5668&gt;4*G5666,ROUND(MAX(D5668/4,2*G5666)/H5687,0)+1,0)</f>
        <v>33</v>
      </c>
      <c r="X5687" s="399" t="s">
        <v>125</v>
      </c>
      <c r="Y5687" s="389">
        <f t="shared" ref="Y5687" si="18405">D5671</f>
        <v>1</v>
      </c>
      <c r="Z5687" s="400" t="s">
        <v>176</v>
      </c>
      <c r="AA5687" s="402">
        <f t="shared" si="18397"/>
        <v>20.954835000000003</v>
      </c>
      <c r="AB5687" s="403"/>
    </row>
    <row r="5688" spans="1:28">
      <c r="A5688" s="384"/>
      <c r="B5688" s="385"/>
      <c r="C5688" s="393"/>
      <c r="D5688" s="394"/>
      <c r="E5688" s="388"/>
      <c r="F5688" s="388"/>
      <c r="G5688" s="388"/>
      <c r="H5688" s="395"/>
      <c r="I5688" s="388"/>
      <c r="J5688" s="399"/>
      <c r="K5688" s="396"/>
      <c r="L5688" s="396"/>
      <c r="M5688" s="396"/>
      <c r="N5688" s="396"/>
      <c r="O5688" s="396"/>
      <c r="P5688" s="389"/>
      <c r="Q5688" s="396"/>
      <c r="R5688" s="396"/>
      <c r="S5688" s="396"/>
      <c r="T5688" s="396"/>
      <c r="U5688" s="401"/>
      <c r="V5688" s="396"/>
      <c r="W5688" s="388"/>
      <c r="X5688" s="396"/>
      <c r="Y5688" s="389"/>
      <c r="Z5688" s="396"/>
      <c r="AA5688" s="388"/>
      <c r="AB5688" s="390"/>
    </row>
    <row r="5689" spans="1:28">
      <c r="A5689" s="384" t="str">
        <f t="shared" ref="A5689:B5689" si="18406">A5665</f>
        <v>Lantai 3</v>
      </c>
      <c r="B5689" s="385">
        <f t="shared" si="18406"/>
        <v>47</v>
      </c>
      <c r="C5689" s="393" t="s">
        <v>213</v>
      </c>
      <c r="D5689" s="398">
        <f>VLOOKUP(D5665,'Detail Balok'!$C$10:$BJ$140,46,FALSE)</f>
        <v>0</v>
      </c>
      <c r="E5689" s="388" t="s">
        <v>16</v>
      </c>
      <c r="F5689" s="388">
        <f>VLOOKUP(D5665,'Detail Balok'!$C$10:$BJ$140,48,FALSE)</f>
        <v>0</v>
      </c>
      <c r="G5689" s="405" t="s">
        <v>157</v>
      </c>
      <c r="H5689" s="395">
        <f>VLOOKUP(D5665,'Detail Balok'!$C$10:$BJ$140,50,FALSE)</f>
        <v>100</v>
      </c>
      <c r="I5689" s="388"/>
      <c r="J5689" s="399">
        <f t="shared" ref="J5689" si="18407">(D5666-2*F$5)/1000</f>
        <v>0.12</v>
      </c>
      <c r="K5689" s="400" t="s">
        <v>204</v>
      </c>
      <c r="L5689" s="399">
        <f t="shared" ref="L5689:L5691" si="18408">IF(D5689=0,2*MAX(6*F5689,75),(D5689-1)*2*MAX(6*F5689,75))/1000</f>
        <v>0.15</v>
      </c>
      <c r="M5689" s="399" t="s">
        <v>176</v>
      </c>
      <c r="N5689" s="399">
        <f t="shared" ref="N5689:N5691" si="18409">J5689+L5689</f>
        <v>0.27</v>
      </c>
      <c r="O5689" s="399"/>
      <c r="P5689" s="399"/>
      <c r="Q5689" s="399"/>
      <c r="R5689" s="399"/>
      <c r="S5689" s="399"/>
      <c r="T5689" s="399" t="s">
        <v>125</v>
      </c>
      <c r="U5689" s="401">
        <f t="shared" ref="U5689:U5691" si="18410">0.006165*F5689^2</f>
        <v>0</v>
      </c>
      <c r="V5689" s="399" t="s">
        <v>125</v>
      </c>
      <c r="W5689" s="399">
        <f t="shared" si="18315"/>
        <v>33</v>
      </c>
      <c r="X5689" s="399" t="s">
        <v>125</v>
      </c>
      <c r="Y5689" s="389">
        <f t="shared" ref="Y5689" si="18411">D5675</f>
        <v>3</v>
      </c>
      <c r="Z5689" s="400" t="s">
        <v>176</v>
      </c>
      <c r="AA5689" s="402">
        <f t="shared" ref="AA5689:AA5691" si="18412">N5689*U5689*W5689*Y5689</f>
        <v>0</v>
      </c>
      <c r="AB5689" s="403"/>
    </row>
    <row r="5690" spans="1:28">
      <c r="A5690" s="384" t="str">
        <f t="shared" ref="A5690:B5690" si="18413">A5665</f>
        <v>Lantai 3</v>
      </c>
      <c r="B5690" s="385">
        <f t="shared" si="18413"/>
        <v>47</v>
      </c>
      <c r="C5690" s="393" t="s">
        <v>214</v>
      </c>
      <c r="D5690" s="398">
        <f>VLOOKUP(D5665,'Detail Balok'!$C$10:$BJ$140,51,FALSE)</f>
        <v>0</v>
      </c>
      <c r="E5690" s="388" t="s">
        <v>16</v>
      </c>
      <c r="F5690" s="388">
        <f>VLOOKUP(D5665,'Detail Balok'!$C$10:$BJ$140,53,FALSE)</f>
        <v>0</v>
      </c>
      <c r="G5690" s="405" t="s">
        <v>157</v>
      </c>
      <c r="H5690" s="395">
        <f>VLOOKUP(D5665,'Detail Balok'!$C$10:$BJ$140,55,FALSE)</f>
        <v>100</v>
      </c>
      <c r="I5690" s="388"/>
      <c r="J5690" s="399">
        <f t="shared" ref="J5690" si="18414">(D5666-2*F$5)/1000</f>
        <v>0.12</v>
      </c>
      <c r="K5690" s="400" t="s">
        <v>204</v>
      </c>
      <c r="L5690" s="399">
        <f t="shared" si="18408"/>
        <v>0.15</v>
      </c>
      <c r="M5690" s="399" t="s">
        <v>176</v>
      </c>
      <c r="N5690" s="399">
        <f t="shared" si="18409"/>
        <v>0.27</v>
      </c>
      <c r="O5690" s="399"/>
      <c r="P5690" s="399"/>
      <c r="Q5690" s="399"/>
      <c r="R5690" s="399"/>
      <c r="S5690" s="399"/>
      <c r="T5690" s="399" t="s">
        <v>125</v>
      </c>
      <c r="U5690" s="401">
        <f t="shared" si="18410"/>
        <v>0</v>
      </c>
      <c r="V5690" s="399" t="s">
        <v>125</v>
      </c>
      <c r="W5690" s="399">
        <f t="shared" si="18315"/>
        <v>63</v>
      </c>
      <c r="X5690" s="399" t="s">
        <v>125</v>
      </c>
      <c r="Y5690" s="389">
        <f t="shared" ref="Y5690" si="18415">D5675</f>
        <v>3</v>
      </c>
      <c r="Z5690" s="400" t="s">
        <v>176</v>
      </c>
      <c r="AA5690" s="402">
        <f t="shared" si="18412"/>
        <v>0</v>
      </c>
      <c r="AB5690" s="403"/>
    </row>
    <row r="5691" spans="1:28">
      <c r="A5691" s="384" t="str">
        <f t="shared" ref="A5691:B5691" si="18416">A5665</f>
        <v>Lantai 3</v>
      </c>
      <c r="B5691" s="385">
        <f t="shared" si="18416"/>
        <v>47</v>
      </c>
      <c r="C5691" s="393" t="s">
        <v>213</v>
      </c>
      <c r="D5691" s="398">
        <f>VLOOKUP(D5665,'Detail Balok'!$C$10:$BJ$140,56,FALSE)</f>
        <v>0</v>
      </c>
      <c r="E5691" s="388" t="s">
        <v>16</v>
      </c>
      <c r="F5691" s="388">
        <f>VLOOKUP(D5665,'Detail Balok'!$C$10:$BJ$140,58,FALSE)</f>
        <v>0</v>
      </c>
      <c r="G5691" s="405" t="s">
        <v>157</v>
      </c>
      <c r="H5691" s="395">
        <f>VLOOKUP(D5665,'Detail Balok'!$C$10:$BJ$140,60,FALSE)</f>
        <v>100</v>
      </c>
      <c r="I5691" s="388"/>
      <c r="J5691" s="399">
        <f t="shared" ref="J5691" si="18417">(D5666-2*F$5)/1000</f>
        <v>0.12</v>
      </c>
      <c r="K5691" s="400" t="s">
        <v>204</v>
      </c>
      <c r="L5691" s="399">
        <f t="shared" si="18408"/>
        <v>0.15</v>
      </c>
      <c r="M5691" s="399" t="s">
        <v>176</v>
      </c>
      <c r="N5691" s="399">
        <f t="shared" si="18409"/>
        <v>0.27</v>
      </c>
      <c r="O5691" s="399"/>
      <c r="P5691" s="399"/>
      <c r="Q5691" s="399"/>
      <c r="R5691" s="399"/>
      <c r="S5691" s="399"/>
      <c r="T5691" s="399" t="s">
        <v>125</v>
      </c>
      <c r="U5691" s="401">
        <f t="shared" si="18410"/>
        <v>0</v>
      </c>
      <c r="V5691" s="399" t="s">
        <v>125</v>
      </c>
      <c r="W5691" s="399">
        <f t="shared" si="18315"/>
        <v>33</v>
      </c>
      <c r="X5691" s="399" t="s">
        <v>125</v>
      </c>
      <c r="Y5691" s="389">
        <f t="shared" ref="Y5691" si="18418">D5675</f>
        <v>3</v>
      </c>
      <c r="Z5691" s="400" t="s">
        <v>176</v>
      </c>
      <c r="AA5691" s="402">
        <f t="shared" si="18412"/>
        <v>0</v>
      </c>
      <c r="AB5691" s="403"/>
    </row>
    <row r="5692" spans="1:28">
      <c r="A5692" s="391"/>
      <c r="B5692" s="392"/>
      <c r="C5692" s="392"/>
      <c r="D5692" s="394"/>
      <c r="E5692" s="388"/>
      <c r="F5692" s="388"/>
      <c r="G5692" s="388"/>
      <c r="H5692" s="395"/>
      <c r="I5692" s="388"/>
      <c r="J5692" s="402"/>
      <c r="K5692" s="388"/>
      <c r="L5692" s="388"/>
      <c r="M5692" s="388"/>
      <c r="N5692" s="388"/>
      <c r="O5692" s="388"/>
      <c r="P5692" s="388"/>
      <c r="Q5692" s="388"/>
      <c r="R5692" s="388"/>
      <c r="S5692" s="388"/>
      <c r="T5692" s="388"/>
      <c r="U5692" s="388"/>
      <c r="V5692" s="388"/>
      <c r="W5692" s="388"/>
      <c r="X5692" s="388"/>
      <c r="Y5692" s="389"/>
      <c r="Z5692" s="388"/>
      <c r="AA5692" s="402"/>
      <c r="AB5692" s="403"/>
    </row>
    <row r="5693" spans="1:28" ht="15.75" thickBot="1">
      <c r="A5693" s="406"/>
      <c r="B5693" s="407"/>
      <c r="C5693" s="407"/>
      <c r="D5693" s="408"/>
      <c r="E5693" s="409"/>
      <c r="F5693" s="409"/>
      <c r="G5693" s="409"/>
      <c r="H5693" s="410"/>
      <c r="I5693" s="409"/>
      <c r="J5693" s="409"/>
      <c r="K5693" s="409"/>
      <c r="L5693" s="409"/>
      <c r="M5693" s="409"/>
      <c r="N5693" s="409"/>
      <c r="O5693" s="409"/>
      <c r="P5693" s="409"/>
      <c r="Q5693" s="409"/>
      <c r="R5693" s="409"/>
      <c r="S5693" s="409"/>
      <c r="T5693" s="409"/>
      <c r="U5693" s="409"/>
      <c r="V5693" s="409"/>
      <c r="W5693" s="409"/>
      <c r="X5693" s="409"/>
      <c r="Y5693" s="411"/>
      <c r="Z5693" s="409"/>
      <c r="AA5693" s="412"/>
      <c r="AB5693" s="413"/>
    </row>
    <row r="5694" spans="1:28">
      <c r="A5694" s="377"/>
      <c r="B5694" s="378"/>
      <c r="C5694" s="378"/>
      <c r="D5694" s="379"/>
      <c r="E5694" s="380"/>
      <c r="F5694" s="380"/>
      <c r="G5694" s="380"/>
      <c r="H5694" s="381"/>
      <c r="I5694" s="380"/>
      <c r="J5694" s="380"/>
      <c r="K5694" s="380"/>
      <c r="L5694" s="380"/>
      <c r="M5694" s="380"/>
      <c r="N5694" s="380"/>
      <c r="O5694" s="380"/>
      <c r="P5694" s="380"/>
      <c r="Q5694" s="380"/>
      <c r="R5694" s="380"/>
      <c r="S5694" s="380"/>
      <c r="T5694" s="380"/>
      <c r="U5694" s="380"/>
      <c r="V5694" s="380"/>
      <c r="W5694" s="380"/>
      <c r="X5694" s="380"/>
      <c r="Y5694" s="382"/>
      <c r="Z5694" s="380"/>
      <c r="AA5694" s="380"/>
      <c r="AB5694" s="383"/>
    </row>
    <row r="5695" spans="1:28">
      <c r="A5695" s="384" t="str">
        <f t="shared" si="18324"/>
        <v>Lantai 3</v>
      </c>
      <c r="B5695" s="385">
        <f t="shared" si="18325"/>
        <v>48</v>
      </c>
      <c r="C5695" s="386" t="str">
        <f t="shared" ref="C5695" si="18419">CONCATENATE(A5695," no. ",B5695)</f>
        <v>Lantai 3 no. 48</v>
      </c>
      <c r="D5695" s="2562" t="str">
        <f>VLOOKUP(C5695,'Data Panjang Balok'!$C$9:$N$254,2,FALSE)</f>
        <v>B25-1</v>
      </c>
      <c r="E5695" s="2576"/>
      <c r="F5695" s="2576"/>
      <c r="G5695" s="2576"/>
      <c r="H5695" s="2577"/>
      <c r="I5695" s="387"/>
      <c r="J5695" s="388"/>
      <c r="K5695" s="388"/>
      <c r="L5695" s="388"/>
      <c r="M5695" s="388"/>
      <c r="N5695" s="388"/>
      <c r="O5695" s="388"/>
      <c r="P5695" s="388"/>
      <c r="Q5695" s="388"/>
      <c r="R5695" s="388"/>
      <c r="S5695" s="388"/>
      <c r="T5695" s="388"/>
      <c r="U5695" s="388"/>
      <c r="V5695" s="388"/>
      <c r="W5695" s="388"/>
      <c r="X5695" s="388"/>
      <c r="Y5695" s="389"/>
      <c r="Z5695" s="388"/>
      <c r="AA5695" s="388"/>
      <c r="AB5695" s="390"/>
    </row>
    <row r="5696" spans="1:28">
      <c r="A5696" s="391"/>
      <c r="B5696" s="392"/>
      <c r="C5696" s="393" t="s">
        <v>118</v>
      </c>
      <c r="D5696" s="2578">
        <f>VLOOKUP(D5695,'Detail Balok'!$C$10:$AU$140,2,FALSE)</f>
        <v>200</v>
      </c>
      <c r="E5696" s="2579"/>
      <c r="F5696" s="388" t="s">
        <v>125</v>
      </c>
      <c r="G5696" s="2579">
        <f>VLOOKUP(D5695,'Detail Balok'!$C$10:$AU$140,3,FALSE)</f>
        <v>500</v>
      </c>
      <c r="H5696" s="2580"/>
      <c r="I5696" s="388"/>
      <c r="J5696" s="396"/>
      <c r="K5696" s="396"/>
      <c r="L5696" s="396"/>
      <c r="M5696" s="396"/>
      <c r="N5696" s="396"/>
      <c r="O5696" s="396"/>
      <c r="P5696" s="396"/>
      <c r="Q5696" s="396"/>
      <c r="R5696" s="396"/>
      <c r="S5696" s="396"/>
      <c r="T5696" s="396"/>
      <c r="U5696" s="388"/>
      <c r="V5696" s="396"/>
      <c r="W5696" s="388"/>
      <c r="X5696" s="396"/>
      <c r="Y5696" s="389"/>
      <c r="Z5696" s="396"/>
      <c r="AA5696" s="388"/>
      <c r="AB5696" s="390"/>
    </row>
    <row r="5697" spans="1:28">
      <c r="A5697" s="391"/>
      <c r="B5697" s="392"/>
      <c r="C5697" s="393" t="s">
        <v>198</v>
      </c>
      <c r="D5697" s="2562">
        <f>VLOOKUP(C5695,'Data Panjang Balok'!$C$9:$N$254,4,FALSE)</f>
        <v>5825</v>
      </c>
      <c r="E5697" s="2563"/>
      <c r="F5697" s="2563"/>
      <c r="G5697" s="2563"/>
      <c r="H5697" s="2564"/>
      <c r="I5697" s="397"/>
      <c r="J5697" s="396"/>
      <c r="K5697" s="396"/>
      <c r="L5697" s="396"/>
      <c r="M5697" s="396"/>
      <c r="N5697" s="396"/>
      <c r="O5697" s="396"/>
      <c r="P5697" s="396"/>
      <c r="Q5697" s="396"/>
      <c r="R5697" s="396"/>
      <c r="S5697" s="396"/>
      <c r="T5697" s="396"/>
      <c r="U5697" s="388"/>
      <c r="V5697" s="396"/>
      <c r="W5697" s="388"/>
      <c r="X5697" s="396"/>
      <c r="Y5697" s="389"/>
      <c r="Z5697" s="396"/>
      <c r="AA5697" s="388"/>
      <c r="AB5697" s="390"/>
    </row>
    <row r="5698" spans="1:28">
      <c r="A5698" s="391"/>
      <c r="B5698" s="392"/>
      <c r="C5698" s="393" t="s">
        <v>199</v>
      </c>
      <c r="D5698" s="2562">
        <f>VLOOKUP(C5695,'Data Panjang Balok'!$C$9:$N$254,7,FALSE)</f>
        <v>5825</v>
      </c>
      <c r="E5698" s="2563"/>
      <c r="F5698" s="2563"/>
      <c r="G5698" s="2563"/>
      <c r="H5698" s="2564"/>
      <c r="I5698" s="397"/>
      <c r="J5698" s="396"/>
      <c r="K5698" s="396"/>
      <c r="L5698" s="396"/>
      <c r="M5698" s="396"/>
      <c r="N5698" s="396"/>
      <c r="O5698" s="396"/>
      <c r="P5698" s="396"/>
      <c r="Q5698" s="396"/>
      <c r="R5698" s="396"/>
      <c r="S5698" s="396"/>
      <c r="T5698" s="396"/>
      <c r="U5698" s="388"/>
      <c r="V5698" s="396"/>
      <c r="W5698" s="388"/>
      <c r="X5698" s="396"/>
      <c r="Y5698" s="389"/>
      <c r="Z5698" s="396"/>
      <c r="AA5698" s="388"/>
      <c r="AB5698" s="390"/>
    </row>
    <row r="5699" spans="1:28">
      <c r="A5699" s="391"/>
      <c r="B5699" s="392"/>
      <c r="C5699" s="393" t="s">
        <v>200</v>
      </c>
      <c r="D5699" s="2562">
        <f>VLOOKUP(C5695,'Data Panjang Balok'!$C$9:$N$254,9,FALSE)</f>
        <v>0</v>
      </c>
      <c r="E5699" s="2563"/>
      <c r="F5699" s="2563"/>
      <c r="G5699" s="2563"/>
      <c r="H5699" s="2564"/>
      <c r="I5699" s="397"/>
      <c r="J5699" s="396"/>
      <c r="K5699" s="396"/>
      <c r="L5699" s="396"/>
      <c r="M5699" s="396"/>
      <c r="N5699" s="396"/>
      <c r="O5699" s="396"/>
      <c r="P5699" s="396"/>
      <c r="Q5699" s="396"/>
      <c r="R5699" s="396"/>
      <c r="S5699" s="396"/>
      <c r="T5699" s="396"/>
      <c r="U5699" s="388"/>
      <c r="V5699" s="396"/>
      <c r="W5699" s="388"/>
      <c r="X5699" s="396"/>
      <c r="Y5699" s="389"/>
      <c r="Z5699" s="396"/>
      <c r="AA5699" s="388"/>
      <c r="AB5699" s="390"/>
    </row>
    <row r="5700" spans="1:28">
      <c r="A5700" s="391"/>
      <c r="B5700" s="392"/>
      <c r="C5700" s="393" t="s">
        <v>201</v>
      </c>
      <c r="D5700" s="2562">
        <f>VLOOKUP(C5695,'Data Panjang Balok'!$C$9:$N$254,10,FALSE)</f>
        <v>0</v>
      </c>
      <c r="E5700" s="2563"/>
      <c r="F5700" s="2563"/>
      <c r="G5700" s="2563"/>
      <c r="H5700" s="2564"/>
      <c r="I5700" s="397"/>
      <c r="J5700" s="396"/>
      <c r="K5700" s="396"/>
      <c r="L5700" s="396"/>
      <c r="M5700" s="396"/>
      <c r="N5700" s="396"/>
      <c r="O5700" s="396"/>
      <c r="P5700" s="396"/>
      <c r="Q5700" s="396"/>
      <c r="R5700" s="396"/>
      <c r="S5700" s="396"/>
      <c r="T5700" s="396"/>
      <c r="U5700" s="388"/>
      <c r="V5700" s="396"/>
      <c r="W5700" s="388"/>
      <c r="X5700" s="396"/>
      <c r="Y5700" s="389"/>
      <c r="Z5700" s="396"/>
      <c r="AA5700" s="388"/>
      <c r="AB5700" s="390"/>
    </row>
    <row r="5701" spans="1:28">
      <c r="A5701" s="391"/>
      <c r="B5701" s="392"/>
      <c r="C5701" s="393" t="s">
        <v>48</v>
      </c>
      <c r="D5701" s="2562">
        <f>VLOOKUP(C5695,'Data Panjang Balok'!$C$9:$N$254,3,FALSE)</f>
        <v>1</v>
      </c>
      <c r="E5701" s="2563"/>
      <c r="F5701" s="2563"/>
      <c r="G5701" s="2563"/>
      <c r="H5701" s="2564"/>
      <c r="I5701" s="397"/>
      <c r="J5701" s="396"/>
      <c r="K5701" s="396"/>
      <c r="L5701" s="396"/>
      <c r="M5701" s="396"/>
      <c r="N5701" s="396"/>
      <c r="O5701" s="396"/>
      <c r="P5701" s="396"/>
      <c r="Q5701" s="396"/>
      <c r="R5701" s="396"/>
      <c r="S5701" s="396"/>
      <c r="T5701" s="396"/>
      <c r="U5701" s="388"/>
      <c r="V5701" s="396"/>
      <c r="W5701" s="388"/>
      <c r="X5701" s="396"/>
      <c r="Y5701" s="389"/>
      <c r="Z5701" s="396"/>
      <c r="AA5701" s="388"/>
      <c r="AB5701" s="390"/>
    </row>
    <row r="5702" spans="1:28">
      <c r="A5702" s="384" t="str">
        <f t="shared" ref="A5702:B5702" si="18420">A5695</f>
        <v>Lantai 3</v>
      </c>
      <c r="B5702" s="385">
        <f t="shared" si="18420"/>
        <v>48</v>
      </c>
      <c r="C5702" s="393" t="s">
        <v>202</v>
      </c>
      <c r="D5702" s="398">
        <f>VLOOKUP(D5695,'Detail Balok'!$C$10:$AU$140,4,FALSE)</f>
        <v>4</v>
      </c>
      <c r="E5702" s="388" t="s">
        <v>16</v>
      </c>
      <c r="F5702" s="388">
        <f>VLOOKUP(D5695,'Detail Balok'!$C$10:$AU$140,6,FALSE)</f>
        <v>16</v>
      </c>
      <c r="G5702" s="388"/>
      <c r="H5702" s="395"/>
      <c r="I5702" s="388" t="s">
        <v>203</v>
      </c>
      <c r="J5702" s="399">
        <f t="shared" ref="J5702" si="18421">+D5697/4/1000</f>
        <v>1.45625</v>
      </c>
      <c r="K5702" s="400" t="s">
        <v>204</v>
      </c>
      <c r="L5702" s="399">
        <f t="shared" ref="L5702" si="18422">MAX(VLOOKUP(F5702,N$6:P$15,3,FALSE)/1000,2/3*D5699/1000)+F$16*F5702/1000</f>
        <v>0.192</v>
      </c>
      <c r="M5702" s="399" t="s">
        <v>176</v>
      </c>
      <c r="N5702" s="399">
        <f t="shared" ref="N5702:N5704" si="18423">J5702+L5702</f>
        <v>1.64825</v>
      </c>
      <c r="O5702" s="399" t="s">
        <v>204</v>
      </c>
      <c r="P5702" s="389">
        <f t="shared" ref="P5702" si="18424">D5702-D5703</f>
        <v>0</v>
      </c>
      <c r="Q5702" s="399" t="s">
        <v>125</v>
      </c>
      <c r="R5702" s="399">
        <f t="shared" ref="R5702" si="18425">IF(P5702&gt;0,$F$18*F5702/1000,0)</f>
        <v>0</v>
      </c>
      <c r="S5702" s="399" t="s">
        <v>205</v>
      </c>
      <c r="T5702" s="399" t="s">
        <v>125</v>
      </c>
      <c r="U5702" s="401">
        <f t="shared" ref="U5702:U5704" si="18426">0.006165*F5702^2</f>
        <v>1.5782400000000001</v>
      </c>
      <c r="V5702" s="399"/>
      <c r="W5702" s="399"/>
      <c r="X5702" s="399" t="s">
        <v>125</v>
      </c>
      <c r="Y5702" s="389">
        <f t="shared" ref="Y5702" si="18427">D5701</f>
        <v>1</v>
      </c>
      <c r="Z5702" s="400" t="s">
        <v>176</v>
      </c>
      <c r="AA5702" s="402">
        <f t="shared" ref="AA5702" si="18428">IF(AA5705=0,(D5702*N5702+P5702*R5702)*U5702*Y5702,0)</f>
        <v>0</v>
      </c>
      <c r="AB5702" s="403"/>
    </row>
    <row r="5703" spans="1:28">
      <c r="A5703" s="384" t="str">
        <f t="shared" ref="A5703:B5703" si="18429">A5695</f>
        <v>Lantai 3</v>
      </c>
      <c r="B5703" s="385">
        <f t="shared" si="18429"/>
        <v>48</v>
      </c>
      <c r="C5703" s="393" t="s">
        <v>206</v>
      </c>
      <c r="D5703" s="398">
        <f>VLOOKUP(D5695,'Detail Balok'!$C$10:$AU$140,7,FALSE)</f>
        <v>4</v>
      </c>
      <c r="E5703" s="388" t="s">
        <v>16</v>
      </c>
      <c r="F5703" s="388">
        <f>VLOOKUP(D5695,'Detail Balok'!$C$10:$AU$140,9,FALSE)</f>
        <v>16</v>
      </c>
      <c r="G5703" s="388"/>
      <c r="H5703" s="395"/>
      <c r="I5703" s="388" t="s">
        <v>203</v>
      </c>
      <c r="J5703" s="399">
        <f t="shared" ref="J5703" si="18430">+D5697/2/1000</f>
        <v>2.9125000000000001</v>
      </c>
      <c r="K5703" s="400" t="s">
        <v>204</v>
      </c>
      <c r="L5703" s="399"/>
      <c r="M5703" s="399" t="s">
        <v>176</v>
      </c>
      <c r="N5703" s="399">
        <f t="shared" si="18423"/>
        <v>2.9125000000000001</v>
      </c>
      <c r="O5703" s="399" t="s">
        <v>204</v>
      </c>
      <c r="P5703" s="389">
        <f t="shared" ref="P5703" si="18431">MAX(D5703-D5702,D5703-D5704)</f>
        <v>0</v>
      </c>
      <c r="Q5703" s="399" t="s">
        <v>125</v>
      </c>
      <c r="R5703" s="399">
        <f t="shared" ref="R5703" si="18432">IF(P5703&gt;0,2*(1-2*$F$19-1/2)*D5698/1000,0)</f>
        <v>0</v>
      </c>
      <c r="S5703" s="399" t="s">
        <v>205</v>
      </c>
      <c r="T5703" s="399" t="s">
        <v>125</v>
      </c>
      <c r="U5703" s="401">
        <f t="shared" si="18426"/>
        <v>1.5782400000000001</v>
      </c>
      <c r="V5703" s="399"/>
      <c r="W5703" s="399"/>
      <c r="X5703" s="399" t="s">
        <v>125</v>
      </c>
      <c r="Y5703" s="389">
        <f t="shared" ref="Y5703" si="18433">D5701</f>
        <v>1</v>
      </c>
      <c r="Z5703" s="400" t="s">
        <v>176</v>
      </c>
      <c r="AA5703" s="402">
        <f t="shared" ref="AA5703" si="18434">IF(AA5705=0,(D5703*N5703+P5703*R5703)*U5703*Y5703,0)</f>
        <v>0</v>
      </c>
      <c r="AB5703" s="403"/>
    </row>
    <row r="5704" spans="1:28">
      <c r="A5704" s="384" t="str">
        <f t="shared" ref="A5704:B5704" si="18435">A5695</f>
        <v>Lantai 3</v>
      </c>
      <c r="B5704" s="385">
        <f t="shared" si="18435"/>
        <v>48</v>
      </c>
      <c r="C5704" s="393" t="s">
        <v>202</v>
      </c>
      <c r="D5704" s="398">
        <f>VLOOKUP(D5695,'Detail Balok'!$C$10:$AU$140,10,FALSE)</f>
        <v>4</v>
      </c>
      <c r="E5704" s="388" t="s">
        <v>16</v>
      </c>
      <c r="F5704" s="388">
        <f>VLOOKUP(D5695,'Detail Balok'!$C$10:$AU$140,12,FALSE)</f>
        <v>16</v>
      </c>
      <c r="G5704" s="388"/>
      <c r="H5704" s="395"/>
      <c r="I5704" s="388" t="s">
        <v>203</v>
      </c>
      <c r="J5704" s="399">
        <f t="shared" ref="J5704" si="18436">+D5697/4/1000</f>
        <v>1.45625</v>
      </c>
      <c r="K5704" s="400" t="s">
        <v>204</v>
      </c>
      <c r="L5704" s="399">
        <f t="shared" ref="L5704" si="18437">MAX(VLOOKUP(F5704,N$6:P$15,3,FALSE)/1000,2/3*D5699/1000)+F$16*F5704/1000</f>
        <v>0.192</v>
      </c>
      <c r="M5704" s="399" t="s">
        <v>176</v>
      </c>
      <c r="N5704" s="399">
        <f t="shared" si="18423"/>
        <v>1.64825</v>
      </c>
      <c r="O5704" s="399" t="s">
        <v>204</v>
      </c>
      <c r="P5704" s="389">
        <f t="shared" ref="P5704" si="18438">D5704-D5703</f>
        <v>0</v>
      </c>
      <c r="Q5704" s="399" t="s">
        <v>125</v>
      </c>
      <c r="R5704" s="399">
        <f t="shared" ref="R5704" si="18439">IF(P5704&gt;0,$F$18*F5704/1000,0)</f>
        <v>0</v>
      </c>
      <c r="S5704" s="399" t="s">
        <v>205</v>
      </c>
      <c r="T5704" s="399" t="s">
        <v>125</v>
      </c>
      <c r="U5704" s="401">
        <f t="shared" si="18426"/>
        <v>1.5782400000000001</v>
      </c>
      <c r="V5704" s="399"/>
      <c r="W5704" s="399"/>
      <c r="X5704" s="399" t="s">
        <v>125</v>
      </c>
      <c r="Y5704" s="389">
        <f t="shared" ref="Y5704" si="18440">D5701</f>
        <v>1</v>
      </c>
      <c r="Z5704" s="400" t="s">
        <v>176</v>
      </c>
      <c r="AA5704" s="402">
        <f t="shared" ref="AA5704" si="18441">IF(AA5705=0,(D5704*N5704+P5704*R5704)*U5704*Y5704,0)</f>
        <v>0</v>
      </c>
      <c r="AB5704" s="403"/>
    </row>
    <row r="5705" spans="1:28">
      <c r="A5705" s="384" t="str">
        <f t="shared" ref="A5705:B5705" si="18442">A5695</f>
        <v>Lantai 3</v>
      </c>
      <c r="B5705" s="385">
        <f t="shared" si="18442"/>
        <v>48</v>
      </c>
      <c r="C5705" s="393"/>
      <c r="D5705" s="398">
        <f t="shared" si="18245"/>
        <v>4</v>
      </c>
      <c r="E5705" s="388" t="s">
        <v>16</v>
      </c>
      <c r="F5705" s="388">
        <f t="shared" si="18246"/>
        <v>16</v>
      </c>
      <c r="G5705" s="388"/>
      <c r="H5705" s="395"/>
      <c r="I5705" s="388"/>
      <c r="J5705" s="396"/>
      <c r="K5705" s="396"/>
      <c r="L5705" s="404" t="s">
        <v>207</v>
      </c>
      <c r="M5705" s="399" t="s">
        <v>176</v>
      </c>
      <c r="N5705" s="399">
        <f t="shared" ref="N5705" si="18443">IF(AND(D5702=D5703,D5702=D5704,D5703=D5704,F5702=F5703,F5702=F5704,F5703=F5704),SUM(N5702:N5704),0)</f>
        <v>6.2090000000000005</v>
      </c>
      <c r="O5705" s="399" t="s">
        <v>204</v>
      </c>
      <c r="P5705" s="389">
        <f t="shared" ref="P5705" si="18444">IF(N5705&gt;12,ROUNDDOWN(N5705/12,0),0)</f>
        <v>0</v>
      </c>
      <c r="Q5705" s="399" t="s">
        <v>125</v>
      </c>
      <c r="R5705" s="399">
        <f t="shared" ref="R5705" si="18445">IF(P5705&gt;0,MAX(VLOOKUP(F5705,$D$6:$G$15,3,FALSE),600),0)/1000</f>
        <v>0</v>
      </c>
      <c r="S5705" s="396"/>
      <c r="T5705" s="396" t="s">
        <v>125</v>
      </c>
      <c r="U5705" s="401">
        <f t="shared" si="18250"/>
        <v>1.5782400000000001</v>
      </c>
      <c r="V5705" s="396" t="s">
        <v>125</v>
      </c>
      <c r="W5705" s="399">
        <f t="shared" ref="W5705" si="18446">D5705</f>
        <v>4</v>
      </c>
      <c r="X5705" s="399" t="s">
        <v>125</v>
      </c>
      <c r="Y5705" s="389">
        <f t="shared" si="18252"/>
        <v>1</v>
      </c>
      <c r="Z5705" s="400" t="s">
        <v>176</v>
      </c>
      <c r="AA5705" s="402">
        <f t="shared" ref="AA5705" si="18447">(N5705+P5705*R5705/1000)*U5705*W5705*Y5705</f>
        <v>39.197168640000008</v>
      </c>
      <c r="AB5705" s="390"/>
    </row>
    <row r="5706" spans="1:28">
      <c r="A5706" s="384"/>
      <c r="B5706" s="385"/>
      <c r="C5706" s="393"/>
      <c r="D5706" s="398"/>
      <c r="E5706" s="388"/>
      <c r="F5706" s="388"/>
      <c r="G5706" s="388"/>
      <c r="H5706" s="395"/>
      <c r="I5706" s="388"/>
      <c r="J5706" s="396"/>
      <c r="K5706" s="396"/>
      <c r="L5706" s="404"/>
      <c r="M5706" s="399"/>
      <c r="N5706" s="399"/>
      <c r="O5706" s="396"/>
      <c r="P5706" s="389"/>
      <c r="Q5706" s="396"/>
      <c r="R5706" s="396"/>
      <c r="S5706" s="396"/>
      <c r="T5706" s="396"/>
      <c r="U5706" s="401"/>
      <c r="V5706" s="396"/>
      <c r="W5706" s="399"/>
      <c r="X5706" s="396"/>
      <c r="Y5706" s="389"/>
      <c r="Z5706" s="396"/>
      <c r="AA5706" s="388"/>
      <c r="AB5706" s="390"/>
    </row>
    <row r="5707" spans="1:28">
      <c r="A5707" s="384" t="str">
        <f t="shared" ref="A5707:B5707" si="18448">A5695</f>
        <v>Lantai 3</v>
      </c>
      <c r="B5707" s="385">
        <f t="shared" si="18448"/>
        <v>48</v>
      </c>
      <c r="C5707" s="393" t="s">
        <v>208</v>
      </c>
      <c r="D5707" s="398">
        <f>VLOOKUP(D5695,'Detail Balok'!$C$10:$AU$140,13,FALSE)</f>
        <v>2</v>
      </c>
      <c r="E5707" s="388" t="s">
        <v>16</v>
      </c>
      <c r="F5707" s="388">
        <f>VLOOKUP(D5695,'Detail Balok'!$C$10:$AU$140,15,FALSE)</f>
        <v>10</v>
      </c>
      <c r="G5707" s="388"/>
      <c r="H5707" s="395"/>
      <c r="I5707" s="388"/>
      <c r="J5707" s="399">
        <f t="shared" ref="J5707" si="18449">+D5697/1000</f>
        <v>5.8250000000000002</v>
      </c>
      <c r="K5707" s="400" t="s">
        <v>204</v>
      </c>
      <c r="L5707" s="399">
        <f t="shared" ref="L5707" si="18450">2*$F$16*F5707/1000</f>
        <v>0.24</v>
      </c>
      <c r="M5707" s="399" t="s">
        <v>176</v>
      </c>
      <c r="N5707" s="399">
        <f t="shared" ref="N5707" si="18451">J5707+L5707</f>
        <v>6.0650000000000004</v>
      </c>
      <c r="O5707" s="399" t="s">
        <v>204</v>
      </c>
      <c r="P5707" s="389">
        <f t="shared" ref="P5707" si="18452">IF(N5707&gt;12,ROUNDDOWN(N5707/12,0),0)</f>
        <v>0</v>
      </c>
      <c r="Q5707" s="399" t="s">
        <v>125</v>
      </c>
      <c r="R5707" s="399">
        <f t="shared" ref="R5707" si="18453">IF(P5707&gt;0,MAX(VLOOKUP(F5707,$D$6:$G$15,3,FALSE),600),0)/1000</f>
        <v>0</v>
      </c>
      <c r="S5707" s="399"/>
      <c r="T5707" s="399" t="s">
        <v>125</v>
      </c>
      <c r="U5707" s="401">
        <f t="shared" ref="U5707" si="18454">0.006165*F5707^2</f>
        <v>0.61650000000000005</v>
      </c>
      <c r="V5707" s="399" t="s">
        <v>125</v>
      </c>
      <c r="W5707" s="399">
        <f t="shared" ref="W5707" si="18455">+D5707</f>
        <v>2</v>
      </c>
      <c r="X5707" s="399" t="s">
        <v>125</v>
      </c>
      <c r="Y5707" s="389">
        <f t="shared" ref="Y5707" si="18456">D5701</f>
        <v>1</v>
      </c>
      <c r="Z5707" s="400" t="s">
        <v>176</v>
      </c>
      <c r="AA5707" s="402">
        <f t="shared" ref="AA5707" si="18457">(N5707+P5707*R5707/1000)*U5707*W5707*Y5707</f>
        <v>7.4781450000000014</v>
      </c>
      <c r="AB5707" s="403"/>
    </row>
    <row r="5708" spans="1:28">
      <c r="A5708" s="384"/>
      <c r="B5708" s="385"/>
      <c r="C5708" s="393"/>
      <c r="D5708" s="398"/>
      <c r="E5708" s="388"/>
      <c r="F5708" s="388"/>
      <c r="G5708" s="388"/>
      <c r="H5708" s="395"/>
      <c r="I5708" s="388"/>
      <c r="J5708" s="399"/>
      <c r="K5708" s="400"/>
      <c r="L5708" s="399"/>
      <c r="M5708" s="399"/>
      <c r="N5708" s="399"/>
      <c r="O5708" s="399"/>
      <c r="P5708" s="389"/>
      <c r="Q5708" s="399"/>
      <c r="R5708" s="399"/>
      <c r="S5708" s="399"/>
      <c r="T5708" s="399"/>
      <c r="U5708" s="401"/>
      <c r="V5708" s="399"/>
      <c r="W5708" s="399"/>
      <c r="X5708" s="399"/>
      <c r="Y5708" s="389"/>
      <c r="Z5708" s="400"/>
      <c r="AA5708" s="402"/>
      <c r="AB5708" s="403"/>
    </row>
    <row r="5709" spans="1:28">
      <c r="A5709" s="384"/>
      <c r="B5709" s="385"/>
      <c r="C5709" s="393"/>
      <c r="D5709" s="398"/>
      <c r="E5709" s="388"/>
      <c r="F5709" s="388"/>
      <c r="G5709" s="388"/>
      <c r="H5709" s="395"/>
      <c r="I5709" s="388"/>
      <c r="J5709" s="396"/>
      <c r="K5709" s="396"/>
      <c r="L5709" s="396"/>
      <c r="M5709" s="396"/>
      <c r="N5709" s="396"/>
      <c r="O5709" s="396"/>
      <c r="P5709" s="389"/>
      <c r="Q5709" s="396"/>
      <c r="R5709" s="396"/>
      <c r="S5709" s="396"/>
      <c r="T5709" s="396"/>
      <c r="U5709" s="401"/>
      <c r="V5709" s="396"/>
      <c r="W5709" s="399"/>
      <c r="X5709" s="396"/>
      <c r="Y5709" s="389"/>
      <c r="Z5709" s="396"/>
      <c r="AA5709" s="388"/>
      <c r="AB5709" s="390"/>
    </row>
    <row r="5710" spans="1:28">
      <c r="A5710" s="384" t="str">
        <f t="shared" ref="A5710:B5710" si="18458">A5695</f>
        <v>Lantai 3</v>
      </c>
      <c r="B5710" s="385">
        <f t="shared" si="18458"/>
        <v>48</v>
      </c>
      <c r="C5710" s="393" t="s">
        <v>209</v>
      </c>
      <c r="D5710" s="398">
        <f>VLOOKUP(D5695,'Detail Balok'!$C$10:$AU$140,22,FALSE)</f>
        <v>4</v>
      </c>
      <c r="E5710" s="388" t="s">
        <v>16</v>
      </c>
      <c r="F5710" s="388">
        <f>VLOOKUP(D5695,'Detail Balok'!$C$10:$AU$140,24,FALSE)</f>
        <v>16</v>
      </c>
      <c r="G5710" s="388"/>
      <c r="H5710" s="395"/>
      <c r="I5710" s="388" t="s">
        <v>203</v>
      </c>
      <c r="J5710" s="399">
        <f t="shared" si="18265"/>
        <v>1.45625</v>
      </c>
      <c r="K5710" s="400" t="s">
        <v>204</v>
      </c>
      <c r="L5710" s="399">
        <f t="shared" ref="L5710" si="18459">MAX(VLOOKUP(F5710,N$6:P$15,3,FALSE)/1000,2/3*D5700/1000)+F$16*F5710/1000</f>
        <v>0.192</v>
      </c>
      <c r="M5710" s="399" t="s">
        <v>176</v>
      </c>
      <c r="N5710" s="399">
        <f t="shared" ref="N5710:N5712" si="18460">J5710+L5710</f>
        <v>1.64825</v>
      </c>
      <c r="O5710" s="399" t="s">
        <v>204</v>
      </c>
      <c r="P5710" s="389">
        <f t="shared" ref="P5710" si="18461">D5710-D5711</f>
        <v>0</v>
      </c>
      <c r="Q5710" s="399" t="s">
        <v>125</v>
      </c>
      <c r="R5710" s="399">
        <f t="shared" ref="R5710" si="18462">IF(P5710&gt;0,$F$18*F5710/1000,0)</f>
        <v>0</v>
      </c>
      <c r="S5710" s="399" t="s">
        <v>205</v>
      </c>
      <c r="T5710" s="399" t="s">
        <v>125</v>
      </c>
      <c r="U5710" s="401">
        <f t="shared" ref="U5710:U5712" si="18463">0.006165*F5710^2</f>
        <v>1.5782400000000001</v>
      </c>
      <c r="V5710" s="399"/>
      <c r="W5710" s="399"/>
      <c r="X5710" s="399" t="s">
        <v>125</v>
      </c>
      <c r="Y5710" s="389">
        <f t="shared" ref="Y5710" si="18464">D5701</f>
        <v>1</v>
      </c>
      <c r="Z5710" s="400" t="s">
        <v>176</v>
      </c>
      <c r="AA5710" s="402">
        <f t="shared" ref="AA5710" si="18465">IF(AA5713=0,(D5710*N5710+P5710*R5710)*U5710*Y5710,0)</f>
        <v>0</v>
      </c>
      <c r="AB5710" s="403"/>
    </row>
    <row r="5711" spans="1:28">
      <c r="A5711" s="384" t="str">
        <f t="shared" ref="A5711:B5711" si="18466">A5695</f>
        <v>Lantai 3</v>
      </c>
      <c r="B5711" s="385">
        <f t="shared" si="18466"/>
        <v>48</v>
      </c>
      <c r="C5711" s="393" t="s">
        <v>210</v>
      </c>
      <c r="D5711" s="398">
        <f>VLOOKUP(D5695,'Detail Balok'!$C$10:$AU$140,25,FALSE)</f>
        <v>4</v>
      </c>
      <c r="E5711" s="388" t="s">
        <v>16</v>
      </c>
      <c r="F5711" s="388">
        <f>VLOOKUP(D5695,'Detail Balok'!$C$10:$AU$140,27,FALSE)</f>
        <v>16</v>
      </c>
      <c r="G5711" s="388"/>
      <c r="H5711" s="395"/>
      <c r="I5711" s="388" t="s">
        <v>203</v>
      </c>
      <c r="J5711" s="399">
        <f t="shared" si="18265"/>
        <v>2.9125000000000001</v>
      </c>
      <c r="K5711" s="400" t="s">
        <v>204</v>
      </c>
      <c r="L5711" s="399"/>
      <c r="M5711" s="399" t="s">
        <v>176</v>
      </c>
      <c r="N5711" s="399">
        <f t="shared" si="18460"/>
        <v>2.9125000000000001</v>
      </c>
      <c r="O5711" s="399" t="s">
        <v>204</v>
      </c>
      <c r="P5711" s="389">
        <f t="shared" ref="P5711" si="18467">MAX(D5711-D5710,D5711-D5712)</f>
        <v>0</v>
      </c>
      <c r="Q5711" s="399" t="s">
        <v>125</v>
      </c>
      <c r="R5711" s="399">
        <f t="shared" ref="R5711" si="18468">IF(P5711&gt;0,2*(1-2*$F$19-1/2)*D5698/1000,0)</f>
        <v>0</v>
      </c>
      <c r="S5711" s="399" t="s">
        <v>205</v>
      </c>
      <c r="T5711" s="399" t="s">
        <v>125</v>
      </c>
      <c r="U5711" s="401">
        <f t="shared" si="18463"/>
        <v>1.5782400000000001</v>
      </c>
      <c r="V5711" s="399"/>
      <c r="W5711" s="399"/>
      <c r="X5711" s="399" t="s">
        <v>125</v>
      </c>
      <c r="Y5711" s="389">
        <f t="shared" ref="Y5711" si="18469">D5701</f>
        <v>1</v>
      </c>
      <c r="Z5711" s="400" t="s">
        <v>176</v>
      </c>
      <c r="AA5711" s="402">
        <f t="shared" ref="AA5711" si="18470">IF(AA5713=0,(D5711*N5711+P5711*R5711)*U5711*Y5711,0)</f>
        <v>0</v>
      </c>
      <c r="AB5711" s="403"/>
    </row>
    <row r="5712" spans="1:28">
      <c r="A5712" s="384" t="str">
        <f t="shared" ref="A5712:B5712" si="18471">A5695</f>
        <v>Lantai 3</v>
      </c>
      <c r="B5712" s="385">
        <f t="shared" si="18471"/>
        <v>48</v>
      </c>
      <c r="C5712" s="393" t="s">
        <v>209</v>
      </c>
      <c r="D5712" s="398">
        <f>VLOOKUP(D5695,'Detail Balok'!$C$10:$AU$140,28,FALSE)</f>
        <v>4</v>
      </c>
      <c r="E5712" s="388" t="s">
        <v>16</v>
      </c>
      <c r="F5712" s="388">
        <f>VLOOKUP(D5695,'Detail Balok'!$C$10:$AU$140,30,FALSE)</f>
        <v>16</v>
      </c>
      <c r="G5712" s="388"/>
      <c r="H5712" s="395"/>
      <c r="I5712" s="388" t="s">
        <v>203</v>
      </c>
      <c r="J5712" s="399">
        <f t="shared" si="18265"/>
        <v>1.45625</v>
      </c>
      <c r="K5712" s="400" t="s">
        <v>204</v>
      </c>
      <c r="L5712" s="399">
        <f t="shared" ref="L5712" si="18472">MAX(VLOOKUP(F5712,N$6:P$15,3,FALSE)/1000,2/3*D5700/1000)+F$16*F5712/1000</f>
        <v>0.192</v>
      </c>
      <c r="M5712" s="399" t="s">
        <v>176</v>
      </c>
      <c r="N5712" s="399">
        <f t="shared" si="18460"/>
        <v>1.64825</v>
      </c>
      <c r="O5712" s="399" t="s">
        <v>204</v>
      </c>
      <c r="P5712" s="389">
        <f t="shared" ref="P5712" si="18473">D5712-D5711</f>
        <v>0</v>
      </c>
      <c r="Q5712" s="399" t="s">
        <v>125</v>
      </c>
      <c r="R5712" s="399">
        <f t="shared" ref="R5712" si="18474">IF(P5712&gt;0,$F$18*F5712/1000,0)</f>
        <v>0</v>
      </c>
      <c r="S5712" s="399" t="s">
        <v>205</v>
      </c>
      <c r="T5712" s="399" t="s">
        <v>125</v>
      </c>
      <c r="U5712" s="401">
        <f t="shared" si="18463"/>
        <v>1.5782400000000001</v>
      </c>
      <c r="V5712" s="399"/>
      <c r="W5712" s="399"/>
      <c r="X5712" s="399" t="s">
        <v>125</v>
      </c>
      <c r="Y5712" s="389">
        <f t="shared" ref="Y5712" si="18475">D5701</f>
        <v>1</v>
      </c>
      <c r="Z5712" s="400" t="s">
        <v>176</v>
      </c>
      <c r="AA5712" s="402">
        <f t="shared" ref="AA5712" si="18476">IF(AA5713=0,(D5712*N5712+P5712*R5712)*U5712*Y5712,0)</f>
        <v>0</v>
      </c>
      <c r="AB5712" s="403"/>
    </row>
    <row r="5713" spans="1:28">
      <c r="A5713" s="384" t="str">
        <f t="shared" ref="A5713:B5713" si="18477">A5695</f>
        <v>Lantai 3</v>
      </c>
      <c r="B5713" s="385">
        <f t="shared" si="18477"/>
        <v>48</v>
      </c>
      <c r="C5713" s="393"/>
      <c r="D5713" s="398">
        <f t="shared" si="18285"/>
        <v>4</v>
      </c>
      <c r="E5713" s="388" t="s">
        <v>16</v>
      </c>
      <c r="F5713" s="388">
        <f t="shared" si="18286"/>
        <v>16</v>
      </c>
      <c r="G5713" s="388"/>
      <c r="H5713" s="395"/>
      <c r="I5713" s="388"/>
      <c r="J5713" s="396"/>
      <c r="K5713" s="396"/>
      <c r="L5713" s="404" t="s">
        <v>207</v>
      </c>
      <c r="M5713" s="399" t="s">
        <v>176</v>
      </c>
      <c r="N5713" s="399">
        <f t="shared" ref="N5713" si="18478">IF(AND(D5710=D5711,D5710=D5712,D5711=D5712,F5710=F5711,F5710=F5712,F5711=F5712),SUM(N5710:N5712),0)</f>
        <v>6.2090000000000005</v>
      </c>
      <c r="O5713" s="399" t="s">
        <v>204</v>
      </c>
      <c r="P5713" s="389">
        <f t="shared" ref="P5713" si="18479">IF(N5713&gt;12,ROUNDDOWN(N5713/12,0),0)</f>
        <v>0</v>
      </c>
      <c r="Q5713" s="399" t="s">
        <v>125</v>
      </c>
      <c r="R5713" s="399">
        <f t="shared" ref="R5713" si="18480">IF(P5713&gt;0,MAX(VLOOKUP(F5713,$D$6:$G$15,3,FALSE),600),0)/1000</f>
        <v>0</v>
      </c>
      <c r="S5713" s="396"/>
      <c r="T5713" s="396" t="s">
        <v>125</v>
      </c>
      <c r="U5713" s="401">
        <f t="shared" si="18290"/>
        <v>1.5782400000000001</v>
      </c>
      <c r="V5713" s="396" t="s">
        <v>125</v>
      </c>
      <c r="W5713" s="399">
        <f t="shared" ref="W5713" si="18481">D5713</f>
        <v>4</v>
      </c>
      <c r="X5713" s="399" t="s">
        <v>125</v>
      </c>
      <c r="Y5713" s="389">
        <f t="shared" si="18292"/>
        <v>1</v>
      </c>
      <c r="Z5713" s="400" t="s">
        <v>176</v>
      </c>
      <c r="AA5713" s="402">
        <f t="shared" ref="AA5713" si="18482">(N5713+P5713*R5713/1000)*U5713*W5713*Y5713</f>
        <v>39.197168640000008</v>
      </c>
      <c r="AB5713" s="403"/>
    </row>
    <row r="5714" spans="1:28">
      <c r="A5714" s="384"/>
      <c r="B5714" s="385"/>
      <c r="C5714" s="393"/>
      <c r="D5714" s="394"/>
      <c r="E5714" s="388"/>
      <c r="F5714" s="388"/>
      <c r="G5714" s="388"/>
      <c r="H5714" s="395"/>
      <c r="I5714" s="388"/>
      <c r="J5714" s="399"/>
      <c r="K5714" s="396"/>
      <c r="L5714" s="396"/>
      <c r="M5714" s="396"/>
      <c r="N5714" s="396"/>
      <c r="O5714" s="396"/>
      <c r="P5714" s="389"/>
      <c r="Q5714" s="396"/>
      <c r="R5714" s="396"/>
      <c r="S5714" s="396"/>
      <c r="T5714" s="396"/>
      <c r="U5714" s="401"/>
      <c r="V5714" s="396"/>
      <c r="W5714" s="388"/>
      <c r="X5714" s="396"/>
      <c r="Y5714" s="389"/>
      <c r="Z5714" s="396"/>
      <c r="AA5714" s="388"/>
      <c r="AB5714" s="390"/>
    </row>
    <row r="5715" spans="1:28">
      <c r="A5715" s="384" t="str">
        <f t="shared" ref="A5715:B5715" si="18483">A5695</f>
        <v>Lantai 3</v>
      </c>
      <c r="B5715" s="385">
        <f t="shared" si="18483"/>
        <v>48</v>
      </c>
      <c r="C5715" s="393" t="s">
        <v>211</v>
      </c>
      <c r="D5715" s="398">
        <f>VLOOKUP(D5695,'Detail Balok'!$C$10:$AU$140,31,FALSE)</f>
        <v>0</v>
      </c>
      <c r="E5715" s="388" t="s">
        <v>16</v>
      </c>
      <c r="F5715" s="388">
        <f>VLOOKUP(D5695,'Detail Balok'!$C$10:$AU$140,33,FALSE)</f>
        <v>10</v>
      </c>
      <c r="G5715" s="405" t="s">
        <v>157</v>
      </c>
      <c r="H5715" s="395">
        <f>VLOOKUP(D5695,'Detail Balok'!$C$10:$AU$140,35,FALSE)</f>
        <v>150</v>
      </c>
      <c r="I5715" s="388"/>
      <c r="J5715" s="400">
        <f t="shared" ref="J5715" si="18484">(IF(D5715=0,(2*(D5696+G5696))-(F$5*8),IF(D5715=3,(2*(D5696+G5696))-(F$5*8)+(G5696-2*F$5),IF(D5715=4,(2*(D5696+G5696))-(F$5*8)+2*(G5696-2*F$5)))))/1000</f>
        <v>1.08</v>
      </c>
      <c r="K5715" s="400" t="s">
        <v>204</v>
      </c>
      <c r="L5715" s="399">
        <f t="shared" ref="L5715:L5717" si="18485">IF(D5715=0,2*MAX(6*F5715,75),(D5715-1)*2*MAX(6*F5715,75))/1000</f>
        <v>0.15</v>
      </c>
      <c r="M5715" s="399" t="s">
        <v>176</v>
      </c>
      <c r="N5715" s="399">
        <f t="shared" ref="N5715:N5717" si="18486">J5715+L5715</f>
        <v>1.23</v>
      </c>
      <c r="O5715" s="399"/>
      <c r="P5715" s="389"/>
      <c r="Q5715" s="399"/>
      <c r="R5715" s="399"/>
      <c r="S5715" s="399"/>
      <c r="T5715" s="399" t="s">
        <v>125</v>
      </c>
      <c r="U5715" s="401">
        <f t="shared" ref="U5715:U5717" si="18487">0.006165*F5715^2</f>
        <v>0.61650000000000005</v>
      </c>
      <c r="V5715" s="399" t="s">
        <v>125</v>
      </c>
      <c r="W5715" s="399">
        <f t="shared" ref="W5715" si="18488">IF(D5698&gt;4*G5696,ROUND(MAX(D5698/4,2*G5696)/H5715,0)+1,ROUND(D5698/H5715,0)+1)</f>
        <v>11</v>
      </c>
      <c r="X5715" s="399" t="s">
        <v>125</v>
      </c>
      <c r="Y5715" s="389">
        <f t="shared" ref="Y5715" si="18489">D5701</f>
        <v>1</v>
      </c>
      <c r="Z5715" s="400" t="s">
        <v>176</v>
      </c>
      <c r="AA5715" s="402">
        <f t="shared" ref="AA5715:AA5717" si="18490">N5715*U5715*W5715*Y5715</f>
        <v>8.3412450000000007</v>
      </c>
      <c r="AB5715" s="403"/>
    </row>
    <row r="5716" spans="1:28">
      <c r="A5716" s="384" t="str">
        <f t="shared" ref="A5716:B5716" si="18491">A5695</f>
        <v>Lantai 3</v>
      </c>
      <c r="B5716" s="385">
        <f t="shared" si="18491"/>
        <v>48</v>
      </c>
      <c r="C5716" s="393" t="s">
        <v>212</v>
      </c>
      <c r="D5716" s="398">
        <f>VLOOKUP(D5695,'Detail Balok'!$C$10:$AU$140,36,FALSE)</f>
        <v>0</v>
      </c>
      <c r="E5716" s="388" t="s">
        <v>16</v>
      </c>
      <c r="F5716" s="388">
        <f>VLOOKUP(D5695,'Detail Balok'!$C$10:$AU$140,38,FALSE)</f>
        <v>10</v>
      </c>
      <c r="G5716" s="405" t="s">
        <v>157</v>
      </c>
      <c r="H5716" s="395">
        <f>VLOOKUP(D5695,'Detail Balok'!$C$10:$AU$140,40,FALSE)</f>
        <v>200</v>
      </c>
      <c r="I5716" s="388"/>
      <c r="J5716" s="400">
        <f t="shared" ref="J5716" si="18492">(IF(D5716=0,(2*(D5696+G5696))-(F$5*8),IF(D5716=3,(2*(D5696+G5696))-(F$5*8)+(G5696-2*F$5),IF(D5716=4,(2*(D5696+G5696))-(F$5*8)+2*(G5696-2*F$5)))))/1000</f>
        <v>1.08</v>
      </c>
      <c r="K5716" s="400" t="s">
        <v>204</v>
      </c>
      <c r="L5716" s="399">
        <f t="shared" si="18485"/>
        <v>0.15</v>
      </c>
      <c r="M5716" s="399" t="s">
        <v>176</v>
      </c>
      <c r="N5716" s="399">
        <f t="shared" si="18486"/>
        <v>1.23</v>
      </c>
      <c r="O5716" s="399"/>
      <c r="P5716" s="389"/>
      <c r="Q5716" s="399"/>
      <c r="R5716" s="399"/>
      <c r="S5716" s="399"/>
      <c r="T5716" s="399" t="s">
        <v>125</v>
      </c>
      <c r="U5716" s="401">
        <f t="shared" si="18487"/>
        <v>0.61650000000000005</v>
      </c>
      <c r="V5716" s="399" t="s">
        <v>125</v>
      </c>
      <c r="W5716" s="399">
        <f t="shared" ref="W5716" si="18493">IF(D5698-MAX(D5698/4,2*G5696)*2&gt;0,ROUND((D5698-MAX(D5698/4,2*G5696)*2)/H5716,0),0)</f>
        <v>15</v>
      </c>
      <c r="X5716" s="399" t="s">
        <v>125</v>
      </c>
      <c r="Y5716" s="389">
        <f t="shared" ref="Y5716" si="18494">D5701</f>
        <v>1</v>
      </c>
      <c r="Z5716" s="400" t="s">
        <v>176</v>
      </c>
      <c r="AA5716" s="402">
        <f t="shared" si="18490"/>
        <v>11.374425</v>
      </c>
      <c r="AB5716" s="403"/>
    </row>
    <row r="5717" spans="1:28">
      <c r="A5717" s="384" t="str">
        <f t="shared" ref="A5717:B5717" si="18495">A5695</f>
        <v>Lantai 3</v>
      </c>
      <c r="B5717" s="385">
        <f t="shared" si="18495"/>
        <v>48</v>
      </c>
      <c r="C5717" s="393" t="s">
        <v>211</v>
      </c>
      <c r="D5717" s="398">
        <f>VLOOKUP(D5695,'Detail Balok'!$C$10:$AU$140,41,FALSE)</f>
        <v>0</v>
      </c>
      <c r="E5717" s="388" t="s">
        <v>16</v>
      </c>
      <c r="F5717" s="388">
        <f>VLOOKUP(D5695,'Detail Balok'!$C$10:$AU$140,43,FALSE)</f>
        <v>10</v>
      </c>
      <c r="G5717" s="405" t="s">
        <v>157</v>
      </c>
      <c r="H5717" s="395">
        <f>VLOOKUP(D5695,'Detail Balok'!$C$10:$AU$140,45,FALSE)</f>
        <v>150</v>
      </c>
      <c r="I5717" s="388"/>
      <c r="J5717" s="400">
        <f t="shared" ref="J5717" si="18496">(IF(D5717=0,(2*(D5696+G5696))-(F$5*8),IF(D5717=3,(2*(D5696+G5696))-(F$5*8)+(G5696-2*F$5),IF(D5717=4,(2*(D5696+G5696))-(F$5*8)+2*(G5696-2*F$5)))))/1000</f>
        <v>1.08</v>
      </c>
      <c r="K5717" s="400" t="s">
        <v>204</v>
      </c>
      <c r="L5717" s="399">
        <f t="shared" si="18485"/>
        <v>0.15</v>
      </c>
      <c r="M5717" s="399" t="s">
        <v>176</v>
      </c>
      <c r="N5717" s="399">
        <f t="shared" si="18486"/>
        <v>1.23</v>
      </c>
      <c r="O5717" s="399"/>
      <c r="P5717" s="389"/>
      <c r="Q5717" s="399"/>
      <c r="R5717" s="399"/>
      <c r="S5717" s="399"/>
      <c r="T5717" s="399" t="s">
        <v>125</v>
      </c>
      <c r="U5717" s="401">
        <f t="shared" si="18487"/>
        <v>0.61650000000000005</v>
      </c>
      <c r="V5717" s="399" t="s">
        <v>125</v>
      </c>
      <c r="W5717" s="399">
        <f t="shared" ref="W5717" si="18497">IF(D5698&gt;4*G5696,ROUND(MAX(D5698/4,2*G5696)/H5717,0)+1,0)</f>
        <v>11</v>
      </c>
      <c r="X5717" s="399" t="s">
        <v>125</v>
      </c>
      <c r="Y5717" s="389">
        <f t="shared" ref="Y5717" si="18498">D5701</f>
        <v>1</v>
      </c>
      <c r="Z5717" s="400" t="s">
        <v>176</v>
      </c>
      <c r="AA5717" s="402">
        <f t="shared" si="18490"/>
        <v>8.3412450000000007</v>
      </c>
      <c r="AB5717" s="403"/>
    </row>
    <row r="5718" spans="1:28">
      <c r="A5718" s="384"/>
      <c r="B5718" s="385"/>
      <c r="C5718" s="393"/>
      <c r="D5718" s="394"/>
      <c r="E5718" s="388"/>
      <c r="F5718" s="388"/>
      <c r="G5718" s="388"/>
      <c r="H5718" s="395"/>
      <c r="I5718" s="388"/>
      <c r="J5718" s="399"/>
      <c r="K5718" s="396"/>
      <c r="L5718" s="396"/>
      <c r="M5718" s="396"/>
      <c r="N5718" s="396"/>
      <c r="O5718" s="396"/>
      <c r="P5718" s="389"/>
      <c r="Q5718" s="396"/>
      <c r="R5718" s="396"/>
      <c r="S5718" s="396"/>
      <c r="T5718" s="396"/>
      <c r="U5718" s="401"/>
      <c r="V5718" s="396"/>
      <c r="W5718" s="388"/>
      <c r="X5718" s="396"/>
      <c r="Y5718" s="389"/>
      <c r="Z5718" s="396"/>
      <c r="AA5718" s="388"/>
      <c r="AB5718" s="390"/>
    </row>
    <row r="5719" spans="1:28">
      <c r="A5719" s="384" t="str">
        <f t="shared" ref="A5719:B5719" si="18499">A5695</f>
        <v>Lantai 3</v>
      </c>
      <c r="B5719" s="385">
        <f t="shared" si="18499"/>
        <v>48</v>
      </c>
      <c r="C5719" s="393" t="s">
        <v>213</v>
      </c>
      <c r="D5719" s="398">
        <f>VLOOKUP(D5695,'Detail Balok'!$C$10:$BJ$140,46,FALSE)</f>
        <v>0</v>
      </c>
      <c r="E5719" s="388" t="s">
        <v>16</v>
      </c>
      <c r="F5719" s="388">
        <f>VLOOKUP(D5695,'Detail Balok'!$C$10:$BJ$140,48,FALSE)</f>
        <v>0</v>
      </c>
      <c r="G5719" s="405" t="s">
        <v>157</v>
      </c>
      <c r="H5719" s="395">
        <f>VLOOKUP(D5695,'Detail Balok'!$C$10:$BJ$140,50,FALSE)</f>
        <v>100</v>
      </c>
      <c r="I5719" s="388"/>
      <c r="J5719" s="399">
        <f t="shared" ref="J5719" si="18500">(D5696-2*F$5)/1000</f>
        <v>0.12</v>
      </c>
      <c r="K5719" s="400" t="s">
        <v>204</v>
      </c>
      <c r="L5719" s="399">
        <f t="shared" ref="L5719:L5721" si="18501">IF(D5719=0,2*MAX(6*F5719,75),(D5719-1)*2*MAX(6*F5719,75))/1000</f>
        <v>0.15</v>
      </c>
      <c r="M5719" s="399" t="s">
        <v>176</v>
      </c>
      <c r="N5719" s="399">
        <f t="shared" ref="N5719:N5721" si="18502">J5719+L5719</f>
        <v>0.27</v>
      </c>
      <c r="O5719" s="399"/>
      <c r="P5719" s="399"/>
      <c r="Q5719" s="399"/>
      <c r="R5719" s="399"/>
      <c r="S5719" s="399"/>
      <c r="T5719" s="399" t="s">
        <v>125</v>
      </c>
      <c r="U5719" s="401">
        <f t="shared" ref="U5719:U5721" si="18503">0.006165*F5719^2</f>
        <v>0</v>
      </c>
      <c r="V5719" s="399" t="s">
        <v>125</v>
      </c>
      <c r="W5719" s="399">
        <f t="shared" si="18315"/>
        <v>11</v>
      </c>
      <c r="X5719" s="399" t="s">
        <v>125</v>
      </c>
      <c r="Y5719" s="389">
        <f t="shared" ref="Y5719" si="18504">D5705</f>
        <v>4</v>
      </c>
      <c r="Z5719" s="400" t="s">
        <v>176</v>
      </c>
      <c r="AA5719" s="402">
        <f t="shared" ref="AA5719:AA5721" si="18505">N5719*U5719*W5719*Y5719</f>
        <v>0</v>
      </c>
      <c r="AB5719" s="403"/>
    </row>
    <row r="5720" spans="1:28">
      <c r="A5720" s="384" t="str">
        <f t="shared" ref="A5720:B5720" si="18506">A5695</f>
        <v>Lantai 3</v>
      </c>
      <c r="B5720" s="385">
        <f t="shared" si="18506"/>
        <v>48</v>
      </c>
      <c r="C5720" s="393" t="s">
        <v>214</v>
      </c>
      <c r="D5720" s="398">
        <f>VLOOKUP(D5695,'Detail Balok'!$C$10:$BJ$140,51,FALSE)</f>
        <v>0</v>
      </c>
      <c r="E5720" s="388" t="s">
        <v>16</v>
      </c>
      <c r="F5720" s="388">
        <f>VLOOKUP(D5695,'Detail Balok'!$C$10:$BJ$140,53,FALSE)</f>
        <v>0</v>
      </c>
      <c r="G5720" s="405" t="s">
        <v>157</v>
      </c>
      <c r="H5720" s="395">
        <f>VLOOKUP(D5695,'Detail Balok'!$C$10:$BJ$140,55,FALSE)</f>
        <v>100</v>
      </c>
      <c r="I5720" s="388"/>
      <c r="J5720" s="399">
        <f t="shared" ref="J5720" si="18507">(D5696-2*F$5)/1000</f>
        <v>0.12</v>
      </c>
      <c r="K5720" s="400" t="s">
        <v>204</v>
      </c>
      <c r="L5720" s="399">
        <f t="shared" si="18501"/>
        <v>0.15</v>
      </c>
      <c r="M5720" s="399" t="s">
        <v>176</v>
      </c>
      <c r="N5720" s="399">
        <f t="shared" si="18502"/>
        <v>0.27</v>
      </c>
      <c r="O5720" s="399"/>
      <c r="P5720" s="399"/>
      <c r="Q5720" s="399"/>
      <c r="R5720" s="399"/>
      <c r="S5720" s="399"/>
      <c r="T5720" s="399" t="s">
        <v>125</v>
      </c>
      <c r="U5720" s="401">
        <f t="shared" si="18503"/>
        <v>0</v>
      </c>
      <c r="V5720" s="399" t="s">
        <v>125</v>
      </c>
      <c r="W5720" s="399">
        <f t="shared" si="18315"/>
        <v>15</v>
      </c>
      <c r="X5720" s="399" t="s">
        <v>125</v>
      </c>
      <c r="Y5720" s="389">
        <f t="shared" ref="Y5720" si="18508">D5705</f>
        <v>4</v>
      </c>
      <c r="Z5720" s="400" t="s">
        <v>176</v>
      </c>
      <c r="AA5720" s="402">
        <f t="shared" si="18505"/>
        <v>0</v>
      </c>
      <c r="AB5720" s="403"/>
    </row>
    <row r="5721" spans="1:28">
      <c r="A5721" s="384" t="str">
        <f t="shared" ref="A5721:B5721" si="18509">A5695</f>
        <v>Lantai 3</v>
      </c>
      <c r="B5721" s="385">
        <f t="shared" si="18509"/>
        <v>48</v>
      </c>
      <c r="C5721" s="393" t="s">
        <v>213</v>
      </c>
      <c r="D5721" s="398">
        <f>VLOOKUP(D5695,'Detail Balok'!$C$10:$BJ$140,56,FALSE)</f>
        <v>0</v>
      </c>
      <c r="E5721" s="388" t="s">
        <v>16</v>
      </c>
      <c r="F5721" s="388">
        <f>VLOOKUP(D5695,'Detail Balok'!$C$10:$BJ$140,58,FALSE)</f>
        <v>0</v>
      </c>
      <c r="G5721" s="405" t="s">
        <v>157</v>
      </c>
      <c r="H5721" s="395">
        <f>VLOOKUP(D5695,'Detail Balok'!$C$10:$BJ$140,60,FALSE)</f>
        <v>100</v>
      </c>
      <c r="I5721" s="388"/>
      <c r="J5721" s="399">
        <f t="shared" ref="J5721" si="18510">(D5696-2*F$5)/1000</f>
        <v>0.12</v>
      </c>
      <c r="K5721" s="400" t="s">
        <v>204</v>
      </c>
      <c r="L5721" s="399">
        <f t="shared" si="18501"/>
        <v>0.15</v>
      </c>
      <c r="M5721" s="399" t="s">
        <v>176</v>
      </c>
      <c r="N5721" s="399">
        <f t="shared" si="18502"/>
        <v>0.27</v>
      </c>
      <c r="O5721" s="399"/>
      <c r="P5721" s="399"/>
      <c r="Q5721" s="399"/>
      <c r="R5721" s="399"/>
      <c r="S5721" s="399"/>
      <c r="T5721" s="399" t="s">
        <v>125</v>
      </c>
      <c r="U5721" s="401">
        <f t="shared" si="18503"/>
        <v>0</v>
      </c>
      <c r="V5721" s="399" t="s">
        <v>125</v>
      </c>
      <c r="W5721" s="399">
        <f t="shared" si="18315"/>
        <v>11</v>
      </c>
      <c r="X5721" s="399" t="s">
        <v>125</v>
      </c>
      <c r="Y5721" s="389">
        <f t="shared" ref="Y5721" si="18511">D5705</f>
        <v>4</v>
      </c>
      <c r="Z5721" s="400" t="s">
        <v>176</v>
      </c>
      <c r="AA5721" s="402">
        <f t="shared" si="18505"/>
        <v>0</v>
      </c>
      <c r="AB5721" s="403"/>
    </row>
    <row r="5722" spans="1:28">
      <c r="A5722" s="391"/>
      <c r="B5722" s="392"/>
      <c r="C5722" s="392"/>
      <c r="D5722" s="394"/>
      <c r="E5722" s="388"/>
      <c r="F5722" s="388"/>
      <c r="G5722" s="388"/>
      <c r="H5722" s="395"/>
      <c r="I5722" s="388"/>
      <c r="J5722" s="402"/>
      <c r="K5722" s="388"/>
      <c r="L5722" s="388"/>
      <c r="M5722" s="388"/>
      <c r="N5722" s="388"/>
      <c r="O5722" s="388"/>
      <c r="P5722" s="388"/>
      <c r="Q5722" s="388"/>
      <c r="R5722" s="388"/>
      <c r="S5722" s="388"/>
      <c r="T5722" s="388"/>
      <c r="U5722" s="388"/>
      <c r="V5722" s="388"/>
      <c r="W5722" s="388"/>
      <c r="X5722" s="388"/>
      <c r="Y5722" s="389"/>
      <c r="Z5722" s="388"/>
      <c r="AA5722" s="402"/>
      <c r="AB5722" s="403"/>
    </row>
    <row r="5723" spans="1:28" ht="15.75" thickBot="1">
      <c r="A5723" s="406"/>
      <c r="B5723" s="407"/>
      <c r="C5723" s="407"/>
      <c r="D5723" s="408"/>
      <c r="E5723" s="409"/>
      <c r="F5723" s="409"/>
      <c r="G5723" s="409"/>
      <c r="H5723" s="410"/>
      <c r="I5723" s="409"/>
      <c r="J5723" s="409"/>
      <c r="K5723" s="409"/>
      <c r="L5723" s="409"/>
      <c r="M5723" s="409"/>
      <c r="N5723" s="409"/>
      <c r="O5723" s="409"/>
      <c r="P5723" s="409"/>
      <c r="Q5723" s="409"/>
      <c r="R5723" s="409"/>
      <c r="S5723" s="409"/>
      <c r="T5723" s="409"/>
      <c r="U5723" s="409"/>
      <c r="V5723" s="409"/>
      <c r="W5723" s="409"/>
      <c r="X5723" s="409"/>
      <c r="Y5723" s="411"/>
      <c r="Z5723" s="409"/>
      <c r="AA5723" s="412"/>
      <c r="AB5723" s="413"/>
    </row>
    <row r="5724" spans="1:28">
      <c r="A5724" s="377"/>
      <c r="B5724" s="378"/>
      <c r="C5724" s="378"/>
      <c r="D5724" s="379"/>
      <c r="E5724" s="380"/>
      <c r="F5724" s="380"/>
      <c r="G5724" s="380"/>
      <c r="H5724" s="381"/>
      <c r="I5724" s="380"/>
      <c r="J5724" s="380"/>
      <c r="K5724" s="380"/>
      <c r="L5724" s="380"/>
      <c r="M5724" s="380"/>
      <c r="N5724" s="380"/>
      <c r="O5724" s="380"/>
      <c r="P5724" s="380"/>
      <c r="Q5724" s="380"/>
      <c r="R5724" s="380"/>
      <c r="S5724" s="380"/>
      <c r="T5724" s="380"/>
      <c r="U5724" s="380"/>
      <c r="V5724" s="380"/>
      <c r="W5724" s="380"/>
      <c r="X5724" s="380"/>
      <c r="Y5724" s="382"/>
      <c r="Z5724" s="380"/>
      <c r="AA5724" s="380"/>
      <c r="AB5724" s="383"/>
    </row>
    <row r="5725" spans="1:28">
      <c r="A5725" s="384" t="str">
        <f t="shared" si="18324"/>
        <v>Lantai 3</v>
      </c>
      <c r="B5725" s="385">
        <f t="shared" si="18325"/>
        <v>49</v>
      </c>
      <c r="C5725" s="386" t="str">
        <f t="shared" ref="C5725" si="18512">CONCATENATE(A5725," no. ",B5725)</f>
        <v>Lantai 3 no. 49</v>
      </c>
      <c r="D5725" s="2562" t="str">
        <f>VLOOKUP(C5725,'Data Panjang Balok'!$C$9:$N$254,2,FALSE)</f>
        <v>B24-1</v>
      </c>
      <c r="E5725" s="2576"/>
      <c r="F5725" s="2576"/>
      <c r="G5725" s="2576"/>
      <c r="H5725" s="2577"/>
      <c r="I5725" s="387"/>
      <c r="J5725" s="388"/>
      <c r="K5725" s="388"/>
      <c r="L5725" s="388"/>
      <c r="M5725" s="388"/>
      <c r="N5725" s="388"/>
      <c r="O5725" s="388"/>
      <c r="P5725" s="388"/>
      <c r="Q5725" s="388"/>
      <c r="R5725" s="388"/>
      <c r="S5725" s="388"/>
      <c r="T5725" s="388"/>
      <c r="U5725" s="388"/>
      <c r="V5725" s="388"/>
      <c r="W5725" s="388"/>
      <c r="X5725" s="388"/>
      <c r="Y5725" s="389"/>
      <c r="Z5725" s="388"/>
      <c r="AA5725" s="388"/>
      <c r="AB5725" s="390"/>
    </row>
    <row r="5726" spans="1:28">
      <c r="A5726" s="391"/>
      <c r="B5726" s="392"/>
      <c r="C5726" s="393" t="s">
        <v>118</v>
      </c>
      <c r="D5726" s="2578">
        <f>VLOOKUP(D5725,'Detail Balok'!$C$10:$AU$140,2,FALSE)</f>
        <v>200</v>
      </c>
      <c r="E5726" s="2579"/>
      <c r="F5726" s="388" t="s">
        <v>125</v>
      </c>
      <c r="G5726" s="2579">
        <f>VLOOKUP(D5725,'Detail Balok'!$C$10:$AU$140,3,FALSE)</f>
        <v>400</v>
      </c>
      <c r="H5726" s="2580"/>
      <c r="I5726" s="388"/>
      <c r="J5726" s="396"/>
      <c r="K5726" s="396"/>
      <c r="L5726" s="396"/>
      <c r="M5726" s="396"/>
      <c r="N5726" s="396"/>
      <c r="O5726" s="396"/>
      <c r="P5726" s="396"/>
      <c r="Q5726" s="396"/>
      <c r="R5726" s="396"/>
      <c r="S5726" s="396"/>
      <c r="T5726" s="396"/>
      <c r="U5726" s="388"/>
      <c r="V5726" s="396"/>
      <c r="W5726" s="388"/>
      <c r="X5726" s="396"/>
      <c r="Y5726" s="389"/>
      <c r="Z5726" s="396"/>
      <c r="AA5726" s="388"/>
      <c r="AB5726" s="390"/>
    </row>
    <row r="5727" spans="1:28">
      <c r="A5727" s="391"/>
      <c r="B5727" s="392"/>
      <c r="C5727" s="393" t="s">
        <v>198</v>
      </c>
      <c r="D5727" s="2562">
        <f>VLOOKUP(C5725,'Data Panjang Balok'!$C$9:$N$254,4,FALSE)</f>
        <v>1705</v>
      </c>
      <c r="E5727" s="2563"/>
      <c r="F5727" s="2563"/>
      <c r="G5727" s="2563"/>
      <c r="H5727" s="2564"/>
      <c r="I5727" s="397"/>
      <c r="J5727" s="396"/>
      <c r="K5727" s="396"/>
      <c r="L5727" s="396"/>
      <c r="M5727" s="396"/>
      <c r="N5727" s="396"/>
      <c r="O5727" s="396"/>
      <c r="P5727" s="396"/>
      <c r="Q5727" s="396"/>
      <c r="R5727" s="396"/>
      <c r="S5727" s="396"/>
      <c r="T5727" s="396"/>
      <c r="U5727" s="388"/>
      <c r="V5727" s="396"/>
      <c r="W5727" s="388"/>
      <c r="X5727" s="396"/>
      <c r="Y5727" s="389"/>
      <c r="Z5727" s="396"/>
      <c r="AA5727" s="388"/>
      <c r="AB5727" s="390"/>
    </row>
    <row r="5728" spans="1:28">
      <c r="A5728" s="391"/>
      <c r="B5728" s="392"/>
      <c r="C5728" s="393" t="s">
        <v>199</v>
      </c>
      <c r="D5728" s="2562">
        <f>VLOOKUP(C5725,'Data Panjang Balok'!$C$9:$N$254,7,FALSE)</f>
        <v>1705</v>
      </c>
      <c r="E5728" s="2563"/>
      <c r="F5728" s="2563"/>
      <c r="G5728" s="2563"/>
      <c r="H5728" s="2564"/>
      <c r="I5728" s="397"/>
      <c r="J5728" s="396"/>
      <c r="K5728" s="396"/>
      <c r="L5728" s="396"/>
      <c r="M5728" s="396"/>
      <c r="N5728" s="396"/>
      <c r="O5728" s="396"/>
      <c r="P5728" s="396"/>
      <c r="Q5728" s="396"/>
      <c r="R5728" s="396"/>
      <c r="S5728" s="396"/>
      <c r="T5728" s="396"/>
      <c r="U5728" s="388"/>
      <c r="V5728" s="396"/>
      <c r="W5728" s="388"/>
      <c r="X5728" s="396"/>
      <c r="Y5728" s="389"/>
      <c r="Z5728" s="396"/>
      <c r="AA5728" s="388"/>
      <c r="AB5728" s="390"/>
    </row>
    <row r="5729" spans="1:28">
      <c r="A5729" s="391"/>
      <c r="B5729" s="392"/>
      <c r="C5729" s="393" t="s">
        <v>200</v>
      </c>
      <c r="D5729" s="2562">
        <f>VLOOKUP(C5725,'Data Panjang Balok'!$C$9:$N$254,9,FALSE)</f>
        <v>0</v>
      </c>
      <c r="E5729" s="2563"/>
      <c r="F5729" s="2563"/>
      <c r="G5729" s="2563"/>
      <c r="H5729" s="2564"/>
      <c r="I5729" s="397"/>
      <c r="J5729" s="396"/>
      <c r="K5729" s="396"/>
      <c r="L5729" s="396"/>
      <c r="M5729" s="396"/>
      <c r="N5729" s="396"/>
      <c r="O5729" s="396"/>
      <c r="P5729" s="396"/>
      <c r="Q5729" s="396"/>
      <c r="R5729" s="396"/>
      <c r="S5729" s="396"/>
      <c r="T5729" s="396"/>
      <c r="U5729" s="388"/>
      <c r="V5729" s="396"/>
      <c r="W5729" s="388"/>
      <c r="X5729" s="396"/>
      <c r="Y5729" s="389"/>
      <c r="Z5729" s="396"/>
      <c r="AA5729" s="388"/>
      <c r="AB5729" s="390"/>
    </row>
    <row r="5730" spans="1:28">
      <c r="A5730" s="391"/>
      <c r="B5730" s="392"/>
      <c r="C5730" s="393" t="s">
        <v>201</v>
      </c>
      <c r="D5730" s="2562">
        <f>VLOOKUP(C5725,'Data Panjang Balok'!$C$9:$N$254,10,FALSE)</f>
        <v>0</v>
      </c>
      <c r="E5730" s="2563"/>
      <c r="F5730" s="2563"/>
      <c r="G5730" s="2563"/>
      <c r="H5730" s="2564"/>
      <c r="I5730" s="397"/>
      <c r="J5730" s="396"/>
      <c r="K5730" s="396"/>
      <c r="L5730" s="396"/>
      <c r="M5730" s="396"/>
      <c r="N5730" s="396"/>
      <c r="O5730" s="396"/>
      <c r="P5730" s="396"/>
      <c r="Q5730" s="396"/>
      <c r="R5730" s="396"/>
      <c r="S5730" s="396"/>
      <c r="T5730" s="396"/>
      <c r="U5730" s="388"/>
      <c r="V5730" s="396"/>
      <c r="W5730" s="388"/>
      <c r="X5730" s="396"/>
      <c r="Y5730" s="389"/>
      <c r="Z5730" s="396"/>
      <c r="AA5730" s="388"/>
      <c r="AB5730" s="390"/>
    </row>
    <row r="5731" spans="1:28">
      <c r="A5731" s="391"/>
      <c r="B5731" s="392"/>
      <c r="C5731" s="393" t="s">
        <v>48</v>
      </c>
      <c r="D5731" s="2562">
        <f>VLOOKUP(C5725,'Data Panjang Balok'!$C$9:$N$254,3,FALSE)</f>
        <v>1</v>
      </c>
      <c r="E5731" s="2563"/>
      <c r="F5731" s="2563"/>
      <c r="G5731" s="2563"/>
      <c r="H5731" s="2564"/>
      <c r="I5731" s="397"/>
      <c r="J5731" s="396"/>
      <c r="K5731" s="396"/>
      <c r="L5731" s="396"/>
      <c r="M5731" s="396"/>
      <c r="N5731" s="396"/>
      <c r="O5731" s="396"/>
      <c r="P5731" s="396"/>
      <c r="Q5731" s="396"/>
      <c r="R5731" s="396"/>
      <c r="S5731" s="396"/>
      <c r="T5731" s="396"/>
      <c r="U5731" s="388"/>
      <c r="V5731" s="396"/>
      <c r="W5731" s="388"/>
      <c r="X5731" s="396"/>
      <c r="Y5731" s="389"/>
      <c r="Z5731" s="396"/>
      <c r="AA5731" s="388"/>
      <c r="AB5731" s="390"/>
    </row>
    <row r="5732" spans="1:28">
      <c r="A5732" s="384" t="str">
        <f t="shared" ref="A5732:B5732" si="18513">A5725</f>
        <v>Lantai 3</v>
      </c>
      <c r="B5732" s="385">
        <f t="shared" si="18513"/>
        <v>49</v>
      </c>
      <c r="C5732" s="393" t="s">
        <v>202</v>
      </c>
      <c r="D5732" s="398">
        <f>VLOOKUP(D5725,'Detail Balok'!$C$10:$AU$140,4,FALSE)</f>
        <v>3</v>
      </c>
      <c r="E5732" s="388" t="s">
        <v>16</v>
      </c>
      <c r="F5732" s="388">
        <f>VLOOKUP(D5725,'Detail Balok'!$C$10:$AU$140,6,FALSE)</f>
        <v>13</v>
      </c>
      <c r="G5732" s="388"/>
      <c r="H5732" s="395"/>
      <c r="I5732" s="388" t="s">
        <v>203</v>
      </c>
      <c r="J5732" s="399">
        <f t="shared" ref="J5732" si="18514">+D5727/4/1000</f>
        <v>0.42625000000000002</v>
      </c>
      <c r="K5732" s="400" t="s">
        <v>204</v>
      </c>
      <c r="L5732" s="399">
        <f t="shared" ref="L5732" si="18515">MAX(VLOOKUP(F5732,N$6:P$15,3,FALSE)/1000,2/3*D5729/1000)+F$16*F5732/1000</f>
        <v>0.156</v>
      </c>
      <c r="M5732" s="399" t="s">
        <v>176</v>
      </c>
      <c r="N5732" s="399">
        <f t="shared" ref="N5732:N5734" si="18516">J5732+L5732</f>
        <v>0.58225000000000005</v>
      </c>
      <c r="O5732" s="399" t="s">
        <v>204</v>
      </c>
      <c r="P5732" s="389">
        <f t="shared" ref="P5732" si="18517">D5732-D5733</f>
        <v>0</v>
      </c>
      <c r="Q5732" s="399" t="s">
        <v>125</v>
      </c>
      <c r="R5732" s="399">
        <f t="shared" ref="R5732" si="18518">IF(P5732&gt;0,$F$18*F5732/1000,0)</f>
        <v>0</v>
      </c>
      <c r="S5732" s="399" t="s">
        <v>205</v>
      </c>
      <c r="T5732" s="399" t="s">
        <v>125</v>
      </c>
      <c r="U5732" s="401">
        <f t="shared" ref="U5732:U5734" si="18519">0.006165*F5732^2</f>
        <v>1.041885</v>
      </c>
      <c r="V5732" s="399"/>
      <c r="W5732" s="399"/>
      <c r="X5732" s="399" t="s">
        <v>125</v>
      </c>
      <c r="Y5732" s="389">
        <f t="shared" ref="Y5732" si="18520">D5731</f>
        <v>1</v>
      </c>
      <c r="Z5732" s="400" t="s">
        <v>176</v>
      </c>
      <c r="AA5732" s="402">
        <f t="shared" ref="AA5732" si="18521">IF(AA5735=0,(D5732*N5732+P5732*R5732)*U5732*Y5732,0)</f>
        <v>0</v>
      </c>
      <c r="AB5732" s="403"/>
    </row>
    <row r="5733" spans="1:28">
      <c r="A5733" s="384" t="str">
        <f t="shared" ref="A5733:B5733" si="18522">A5725</f>
        <v>Lantai 3</v>
      </c>
      <c r="B5733" s="385">
        <f t="shared" si="18522"/>
        <v>49</v>
      </c>
      <c r="C5733" s="393" t="s">
        <v>206</v>
      </c>
      <c r="D5733" s="398">
        <f>VLOOKUP(D5725,'Detail Balok'!$C$10:$AU$140,7,FALSE)</f>
        <v>3</v>
      </c>
      <c r="E5733" s="388" t="s">
        <v>16</v>
      </c>
      <c r="F5733" s="388">
        <f>VLOOKUP(D5725,'Detail Balok'!$C$10:$AU$140,9,FALSE)</f>
        <v>13</v>
      </c>
      <c r="G5733" s="388"/>
      <c r="H5733" s="395"/>
      <c r="I5733" s="388" t="s">
        <v>203</v>
      </c>
      <c r="J5733" s="399">
        <f t="shared" ref="J5733" si="18523">+D5727/2/1000</f>
        <v>0.85250000000000004</v>
      </c>
      <c r="K5733" s="400" t="s">
        <v>204</v>
      </c>
      <c r="L5733" s="399"/>
      <c r="M5733" s="399" t="s">
        <v>176</v>
      </c>
      <c r="N5733" s="399">
        <f t="shared" si="18516"/>
        <v>0.85250000000000004</v>
      </c>
      <c r="O5733" s="399" t="s">
        <v>204</v>
      </c>
      <c r="P5733" s="389">
        <f t="shared" ref="P5733" si="18524">MAX(D5733-D5732,D5733-D5734)</f>
        <v>0</v>
      </c>
      <c r="Q5733" s="399" t="s">
        <v>125</v>
      </c>
      <c r="R5733" s="399">
        <f t="shared" ref="R5733" si="18525">IF(P5733&gt;0,2*(1-2*$F$19-1/2)*D5728/1000,0)</f>
        <v>0</v>
      </c>
      <c r="S5733" s="399" t="s">
        <v>205</v>
      </c>
      <c r="T5733" s="399" t="s">
        <v>125</v>
      </c>
      <c r="U5733" s="401">
        <f t="shared" si="18519"/>
        <v>1.041885</v>
      </c>
      <c r="V5733" s="399"/>
      <c r="W5733" s="399"/>
      <c r="X5733" s="399" t="s">
        <v>125</v>
      </c>
      <c r="Y5733" s="389">
        <f t="shared" ref="Y5733" si="18526">D5731</f>
        <v>1</v>
      </c>
      <c r="Z5733" s="400" t="s">
        <v>176</v>
      </c>
      <c r="AA5733" s="402">
        <f t="shared" ref="AA5733" si="18527">IF(AA5735=0,(D5733*N5733+P5733*R5733)*U5733*Y5733,0)</f>
        <v>0</v>
      </c>
      <c r="AB5733" s="403"/>
    </row>
    <row r="5734" spans="1:28">
      <c r="A5734" s="384" t="str">
        <f t="shared" ref="A5734:B5734" si="18528">A5725</f>
        <v>Lantai 3</v>
      </c>
      <c r="B5734" s="385">
        <f t="shared" si="18528"/>
        <v>49</v>
      </c>
      <c r="C5734" s="393" t="s">
        <v>202</v>
      </c>
      <c r="D5734" s="398">
        <f>VLOOKUP(D5725,'Detail Balok'!$C$10:$AU$140,10,FALSE)</f>
        <v>3</v>
      </c>
      <c r="E5734" s="388" t="s">
        <v>16</v>
      </c>
      <c r="F5734" s="388">
        <f>VLOOKUP(D5725,'Detail Balok'!$C$10:$AU$140,12,FALSE)</f>
        <v>13</v>
      </c>
      <c r="G5734" s="388"/>
      <c r="H5734" s="395"/>
      <c r="I5734" s="388" t="s">
        <v>203</v>
      </c>
      <c r="J5734" s="399">
        <f t="shared" ref="J5734" si="18529">+D5727/4/1000</f>
        <v>0.42625000000000002</v>
      </c>
      <c r="K5734" s="400" t="s">
        <v>204</v>
      </c>
      <c r="L5734" s="399">
        <f t="shared" ref="L5734" si="18530">MAX(VLOOKUP(F5734,N$6:P$15,3,FALSE)/1000,2/3*D5729/1000)+F$16*F5734/1000</f>
        <v>0.156</v>
      </c>
      <c r="M5734" s="399" t="s">
        <v>176</v>
      </c>
      <c r="N5734" s="399">
        <f t="shared" si="18516"/>
        <v>0.58225000000000005</v>
      </c>
      <c r="O5734" s="399" t="s">
        <v>204</v>
      </c>
      <c r="P5734" s="389">
        <f t="shared" ref="P5734" si="18531">D5734-D5733</f>
        <v>0</v>
      </c>
      <c r="Q5734" s="399" t="s">
        <v>125</v>
      </c>
      <c r="R5734" s="399">
        <f t="shared" ref="R5734" si="18532">IF(P5734&gt;0,$F$18*F5734/1000,0)</f>
        <v>0</v>
      </c>
      <c r="S5734" s="399" t="s">
        <v>205</v>
      </c>
      <c r="T5734" s="399" t="s">
        <v>125</v>
      </c>
      <c r="U5734" s="401">
        <f t="shared" si="18519"/>
        <v>1.041885</v>
      </c>
      <c r="V5734" s="399"/>
      <c r="W5734" s="399"/>
      <c r="X5734" s="399" t="s">
        <v>125</v>
      </c>
      <c r="Y5734" s="389">
        <f t="shared" ref="Y5734" si="18533">D5731</f>
        <v>1</v>
      </c>
      <c r="Z5734" s="400" t="s">
        <v>176</v>
      </c>
      <c r="AA5734" s="402">
        <f t="shared" ref="AA5734" si="18534">IF(AA5735=0,(D5734*N5734+P5734*R5734)*U5734*Y5734,0)</f>
        <v>0</v>
      </c>
      <c r="AB5734" s="403"/>
    </row>
    <row r="5735" spans="1:28">
      <c r="A5735" s="384" t="str">
        <f t="shared" ref="A5735:B5735" si="18535">A5725</f>
        <v>Lantai 3</v>
      </c>
      <c r="B5735" s="385">
        <f t="shared" si="18535"/>
        <v>49</v>
      </c>
      <c r="C5735" s="393"/>
      <c r="D5735" s="398">
        <f t="shared" ref="D5735:D5795" si="18536">IF(AND(D5732=D5733,D5733=D5734,D5732=D5734),D5732,0)</f>
        <v>3</v>
      </c>
      <c r="E5735" s="388" t="s">
        <v>16</v>
      </c>
      <c r="F5735" s="388">
        <f t="shared" ref="F5735:F5795" si="18537">IF(AND(F5732=F5733,F5732=F5734,F5733=F5734),F5732,0)</f>
        <v>13</v>
      </c>
      <c r="G5735" s="388"/>
      <c r="H5735" s="395"/>
      <c r="I5735" s="388"/>
      <c r="J5735" s="396"/>
      <c r="K5735" s="396"/>
      <c r="L5735" s="404" t="s">
        <v>207</v>
      </c>
      <c r="M5735" s="399" t="s">
        <v>176</v>
      </c>
      <c r="N5735" s="399">
        <f t="shared" ref="N5735" si="18538">IF(AND(D5732=D5733,D5732=D5734,D5733=D5734,F5732=F5733,F5732=F5734,F5733=F5734),SUM(N5732:N5734),0)</f>
        <v>2.0170000000000003</v>
      </c>
      <c r="O5735" s="399" t="s">
        <v>204</v>
      </c>
      <c r="P5735" s="389">
        <f t="shared" ref="P5735" si="18539">IF(N5735&gt;12,ROUNDDOWN(N5735/12,0),0)</f>
        <v>0</v>
      </c>
      <c r="Q5735" s="399" t="s">
        <v>125</v>
      </c>
      <c r="R5735" s="399">
        <f t="shared" ref="R5735" si="18540">IF(P5735&gt;0,MAX(VLOOKUP(F5735,$D$6:$G$15,3,FALSE),600),0)/1000</f>
        <v>0</v>
      </c>
      <c r="S5735" s="396"/>
      <c r="T5735" s="396" t="s">
        <v>125</v>
      </c>
      <c r="U5735" s="401">
        <f t="shared" ref="U5735:U5795" si="18541">U5734</f>
        <v>1.041885</v>
      </c>
      <c r="V5735" s="396" t="s">
        <v>125</v>
      </c>
      <c r="W5735" s="399">
        <f t="shared" ref="W5735" si="18542">D5735</f>
        <v>3</v>
      </c>
      <c r="X5735" s="399" t="s">
        <v>125</v>
      </c>
      <c r="Y5735" s="389">
        <f t="shared" ref="Y5735:Y5795" si="18543">Y5734</f>
        <v>1</v>
      </c>
      <c r="Z5735" s="400" t="s">
        <v>176</v>
      </c>
      <c r="AA5735" s="402">
        <f t="shared" ref="AA5735" si="18544">(N5735+P5735*R5735/1000)*U5735*W5735*Y5735</f>
        <v>6.304446135000001</v>
      </c>
      <c r="AB5735" s="390"/>
    </row>
    <row r="5736" spans="1:28">
      <c r="A5736" s="384"/>
      <c r="B5736" s="385"/>
      <c r="C5736" s="393"/>
      <c r="D5736" s="398"/>
      <c r="E5736" s="388"/>
      <c r="F5736" s="388"/>
      <c r="G5736" s="388"/>
      <c r="H5736" s="395"/>
      <c r="I5736" s="388"/>
      <c r="J5736" s="396"/>
      <c r="K5736" s="396"/>
      <c r="L5736" s="404"/>
      <c r="M5736" s="399"/>
      <c r="N5736" s="399"/>
      <c r="O5736" s="396"/>
      <c r="P5736" s="389"/>
      <c r="Q5736" s="396"/>
      <c r="R5736" s="396"/>
      <c r="S5736" s="396"/>
      <c r="T5736" s="396"/>
      <c r="U5736" s="401"/>
      <c r="V5736" s="396"/>
      <c r="W5736" s="399"/>
      <c r="X5736" s="396"/>
      <c r="Y5736" s="389"/>
      <c r="Z5736" s="396"/>
      <c r="AA5736" s="388"/>
      <c r="AB5736" s="390"/>
    </row>
    <row r="5737" spans="1:28">
      <c r="A5737" s="384" t="str">
        <f t="shared" ref="A5737:B5737" si="18545">A5725</f>
        <v>Lantai 3</v>
      </c>
      <c r="B5737" s="385">
        <f t="shared" si="18545"/>
        <v>49</v>
      </c>
      <c r="C5737" s="393" t="s">
        <v>208</v>
      </c>
      <c r="D5737" s="398">
        <f>VLOOKUP(D5725,'Detail Balok'!$C$10:$AU$140,13,FALSE)</f>
        <v>0</v>
      </c>
      <c r="E5737" s="388" t="s">
        <v>16</v>
      </c>
      <c r="F5737" s="388">
        <f>VLOOKUP(D5725,'Detail Balok'!$C$10:$AU$140,15,FALSE)</f>
        <v>8</v>
      </c>
      <c r="G5737" s="388"/>
      <c r="H5737" s="395"/>
      <c r="I5737" s="388"/>
      <c r="J5737" s="399">
        <f t="shared" ref="J5737" si="18546">+D5727/1000</f>
        <v>1.7050000000000001</v>
      </c>
      <c r="K5737" s="400" t="s">
        <v>204</v>
      </c>
      <c r="L5737" s="399">
        <f t="shared" ref="L5737" si="18547">2*$F$16*F5737/1000</f>
        <v>0.192</v>
      </c>
      <c r="M5737" s="399" t="s">
        <v>176</v>
      </c>
      <c r="N5737" s="399">
        <f t="shared" ref="N5737" si="18548">J5737+L5737</f>
        <v>1.897</v>
      </c>
      <c r="O5737" s="399" t="s">
        <v>204</v>
      </c>
      <c r="P5737" s="389">
        <f t="shared" ref="P5737" si="18549">IF(N5737&gt;12,ROUNDDOWN(N5737/12,0),0)</f>
        <v>0</v>
      </c>
      <c r="Q5737" s="399" t="s">
        <v>125</v>
      </c>
      <c r="R5737" s="399">
        <f t="shared" ref="R5737" si="18550">IF(P5737&gt;0,MAX(VLOOKUP(F5737,$D$6:$G$15,3,FALSE),600),0)/1000</f>
        <v>0</v>
      </c>
      <c r="S5737" s="399"/>
      <c r="T5737" s="399" t="s">
        <v>125</v>
      </c>
      <c r="U5737" s="401">
        <f t="shared" ref="U5737" si="18551">0.006165*F5737^2</f>
        <v>0.39456000000000002</v>
      </c>
      <c r="V5737" s="399" t="s">
        <v>125</v>
      </c>
      <c r="W5737" s="399">
        <f t="shared" ref="W5737" si="18552">+D5737</f>
        <v>0</v>
      </c>
      <c r="X5737" s="399" t="s">
        <v>125</v>
      </c>
      <c r="Y5737" s="389">
        <f t="shared" ref="Y5737" si="18553">D5731</f>
        <v>1</v>
      </c>
      <c r="Z5737" s="400" t="s">
        <v>176</v>
      </c>
      <c r="AA5737" s="402">
        <f t="shared" ref="AA5737" si="18554">(N5737+P5737*R5737/1000)*U5737*W5737*Y5737</f>
        <v>0</v>
      </c>
      <c r="AB5737" s="403"/>
    </row>
    <row r="5738" spans="1:28">
      <c r="A5738" s="384"/>
      <c r="B5738" s="385"/>
      <c r="C5738" s="393"/>
      <c r="D5738" s="398"/>
      <c r="E5738" s="388"/>
      <c r="F5738" s="388"/>
      <c r="G5738" s="388"/>
      <c r="H5738" s="395"/>
      <c r="I5738" s="388"/>
      <c r="J5738" s="399"/>
      <c r="K5738" s="400"/>
      <c r="L5738" s="399"/>
      <c r="M5738" s="399"/>
      <c r="N5738" s="399"/>
      <c r="O5738" s="399"/>
      <c r="P5738" s="389"/>
      <c r="Q5738" s="399"/>
      <c r="R5738" s="399"/>
      <c r="S5738" s="399"/>
      <c r="T5738" s="399"/>
      <c r="U5738" s="401"/>
      <c r="V5738" s="399"/>
      <c r="W5738" s="399"/>
      <c r="X5738" s="399"/>
      <c r="Y5738" s="389"/>
      <c r="Z5738" s="400"/>
      <c r="AA5738" s="402"/>
      <c r="AB5738" s="403"/>
    </row>
    <row r="5739" spans="1:28">
      <c r="A5739" s="384"/>
      <c r="B5739" s="385"/>
      <c r="C5739" s="393"/>
      <c r="D5739" s="398"/>
      <c r="E5739" s="388"/>
      <c r="F5739" s="388"/>
      <c r="G5739" s="388"/>
      <c r="H5739" s="395"/>
      <c r="I5739" s="388"/>
      <c r="J5739" s="396"/>
      <c r="K5739" s="396"/>
      <c r="L5739" s="396"/>
      <c r="M5739" s="396"/>
      <c r="N5739" s="396"/>
      <c r="O5739" s="396"/>
      <c r="P5739" s="389"/>
      <c r="Q5739" s="396"/>
      <c r="R5739" s="396"/>
      <c r="S5739" s="396"/>
      <c r="T5739" s="396"/>
      <c r="U5739" s="401"/>
      <c r="V5739" s="396"/>
      <c r="W5739" s="399"/>
      <c r="X5739" s="396"/>
      <c r="Y5739" s="389"/>
      <c r="Z5739" s="396"/>
      <c r="AA5739" s="388"/>
      <c r="AB5739" s="390"/>
    </row>
    <row r="5740" spans="1:28">
      <c r="A5740" s="384" t="str">
        <f t="shared" ref="A5740:B5740" si="18555">A5725</f>
        <v>Lantai 3</v>
      </c>
      <c r="B5740" s="385">
        <f t="shared" si="18555"/>
        <v>49</v>
      </c>
      <c r="C5740" s="393" t="s">
        <v>209</v>
      </c>
      <c r="D5740" s="398">
        <f>VLOOKUP(D5725,'Detail Balok'!$C$10:$AU$140,22,FALSE)</f>
        <v>3</v>
      </c>
      <c r="E5740" s="388" t="s">
        <v>16</v>
      </c>
      <c r="F5740" s="388">
        <f>VLOOKUP(D5725,'Detail Balok'!$C$10:$AU$140,24,FALSE)</f>
        <v>13</v>
      </c>
      <c r="G5740" s="388"/>
      <c r="H5740" s="395"/>
      <c r="I5740" s="388" t="s">
        <v>203</v>
      </c>
      <c r="J5740" s="399">
        <f t="shared" ref="J5740:J5802" si="18556">+J5732</f>
        <v>0.42625000000000002</v>
      </c>
      <c r="K5740" s="400" t="s">
        <v>204</v>
      </c>
      <c r="L5740" s="399">
        <f t="shared" ref="L5740" si="18557">MAX(VLOOKUP(F5740,N$6:P$15,3,FALSE)/1000,2/3*D5730/1000)+F$16*F5740/1000</f>
        <v>0.156</v>
      </c>
      <c r="M5740" s="399" t="s">
        <v>176</v>
      </c>
      <c r="N5740" s="399">
        <f t="shared" ref="N5740:N5742" si="18558">J5740+L5740</f>
        <v>0.58225000000000005</v>
      </c>
      <c r="O5740" s="399" t="s">
        <v>204</v>
      </c>
      <c r="P5740" s="389">
        <f t="shared" ref="P5740" si="18559">D5740-D5741</f>
        <v>0</v>
      </c>
      <c r="Q5740" s="399" t="s">
        <v>125</v>
      </c>
      <c r="R5740" s="399">
        <f t="shared" ref="R5740" si="18560">IF(P5740&gt;0,$F$18*F5740/1000,0)</f>
        <v>0</v>
      </c>
      <c r="S5740" s="399" t="s">
        <v>205</v>
      </c>
      <c r="T5740" s="399" t="s">
        <v>125</v>
      </c>
      <c r="U5740" s="401">
        <f t="shared" ref="U5740:U5742" si="18561">0.006165*F5740^2</f>
        <v>1.041885</v>
      </c>
      <c r="V5740" s="399"/>
      <c r="W5740" s="399"/>
      <c r="X5740" s="399" t="s">
        <v>125</v>
      </c>
      <c r="Y5740" s="389">
        <f t="shared" ref="Y5740" si="18562">D5731</f>
        <v>1</v>
      </c>
      <c r="Z5740" s="400" t="s">
        <v>176</v>
      </c>
      <c r="AA5740" s="402">
        <f t="shared" ref="AA5740" si="18563">IF(AA5743=0,(D5740*N5740+P5740*R5740)*U5740*Y5740,0)</f>
        <v>0</v>
      </c>
      <c r="AB5740" s="403"/>
    </row>
    <row r="5741" spans="1:28">
      <c r="A5741" s="384" t="str">
        <f t="shared" ref="A5741:B5741" si="18564">A5725</f>
        <v>Lantai 3</v>
      </c>
      <c r="B5741" s="385">
        <f t="shared" si="18564"/>
        <v>49</v>
      </c>
      <c r="C5741" s="393" t="s">
        <v>210</v>
      </c>
      <c r="D5741" s="398">
        <f>VLOOKUP(D5725,'Detail Balok'!$C$10:$AU$140,25,FALSE)</f>
        <v>3</v>
      </c>
      <c r="E5741" s="388" t="s">
        <v>16</v>
      </c>
      <c r="F5741" s="388">
        <f>VLOOKUP(D5725,'Detail Balok'!$C$10:$AU$140,27,FALSE)</f>
        <v>13</v>
      </c>
      <c r="G5741" s="388"/>
      <c r="H5741" s="395"/>
      <c r="I5741" s="388" t="s">
        <v>203</v>
      </c>
      <c r="J5741" s="399">
        <f t="shared" si="18556"/>
        <v>0.85250000000000004</v>
      </c>
      <c r="K5741" s="400" t="s">
        <v>204</v>
      </c>
      <c r="L5741" s="399"/>
      <c r="M5741" s="399" t="s">
        <v>176</v>
      </c>
      <c r="N5741" s="399">
        <f t="shared" si="18558"/>
        <v>0.85250000000000004</v>
      </c>
      <c r="O5741" s="399" t="s">
        <v>204</v>
      </c>
      <c r="P5741" s="389">
        <f t="shared" ref="P5741" si="18565">MAX(D5741-D5740,D5741-D5742)</f>
        <v>0</v>
      </c>
      <c r="Q5741" s="399" t="s">
        <v>125</v>
      </c>
      <c r="R5741" s="399">
        <f t="shared" ref="R5741" si="18566">IF(P5741&gt;0,2*(1-2*$F$19-1/2)*D5728/1000,0)</f>
        <v>0</v>
      </c>
      <c r="S5741" s="399" t="s">
        <v>205</v>
      </c>
      <c r="T5741" s="399" t="s">
        <v>125</v>
      </c>
      <c r="U5741" s="401">
        <f t="shared" si="18561"/>
        <v>1.041885</v>
      </c>
      <c r="V5741" s="399"/>
      <c r="W5741" s="399"/>
      <c r="X5741" s="399" t="s">
        <v>125</v>
      </c>
      <c r="Y5741" s="389">
        <f t="shared" ref="Y5741" si="18567">D5731</f>
        <v>1</v>
      </c>
      <c r="Z5741" s="400" t="s">
        <v>176</v>
      </c>
      <c r="AA5741" s="402">
        <f t="shared" ref="AA5741" si="18568">IF(AA5743=0,(D5741*N5741+P5741*R5741)*U5741*Y5741,0)</f>
        <v>0</v>
      </c>
      <c r="AB5741" s="403"/>
    </row>
    <row r="5742" spans="1:28">
      <c r="A5742" s="384" t="str">
        <f t="shared" ref="A5742:B5742" si="18569">A5725</f>
        <v>Lantai 3</v>
      </c>
      <c r="B5742" s="385">
        <f t="shared" si="18569"/>
        <v>49</v>
      </c>
      <c r="C5742" s="393" t="s">
        <v>209</v>
      </c>
      <c r="D5742" s="398">
        <f>VLOOKUP(D5725,'Detail Balok'!$C$10:$AU$140,28,FALSE)</f>
        <v>3</v>
      </c>
      <c r="E5742" s="388" t="s">
        <v>16</v>
      </c>
      <c r="F5742" s="388">
        <f>VLOOKUP(D5725,'Detail Balok'!$C$10:$AU$140,30,FALSE)</f>
        <v>13</v>
      </c>
      <c r="G5742" s="388"/>
      <c r="H5742" s="395"/>
      <c r="I5742" s="388" t="s">
        <v>203</v>
      </c>
      <c r="J5742" s="399">
        <f t="shared" si="18556"/>
        <v>0.42625000000000002</v>
      </c>
      <c r="K5742" s="400" t="s">
        <v>204</v>
      </c>
      <c r="L5742" s="399">
        <f t="shared" ref="L5742" si="18570">MAX(VLOOKUP(F5742,N$6:P$15,3,FALSE)/1000,2/3*D5730/1000)+F$16*F5742/1000</f>
        <v>0.156</v>
      </c>
      <c r="M5742" s="399" t="s">
        <v>176</v>
      </c>
      <c r="N5742" s="399">
        <f t="shared" si="18558"/>
        <v>0.58225000000000005</v>
      </c>
      <c r="O5742" s="399" t="s">
        <v>204</v>
      </c>
      <c r="P5742" s="389">
        <f t="shared" ref="P5742" si="18571">D5742-D5741</f>
        <v>0</v>
      </c>
      <c r="Q5742" s="399" t="s">
        <v>125</v>
      </c>
      <c r="R5742" s="399">
        <f t="shared" ref="R5742" si="18572">IF(P5742&gt;0,$F$18*F5742/1000,0)</f>
        <v>0</v>
      </c>
      <c r="S5742" s="399" t="s">
        <v>205</v>
      </c>
      <c r="T5742" s="399" t="s">
        <v>125</v>
      </c>
      <c r="U5742" s="401">
        <f t="shared" si="18561"/>
        <v>1.041885</v>
      </c>
      <c r="V5742" s="399"/>
      <c r="W5742" s="399"/>
      <c r="X5742" s="399" t="s">
        <v>125</v>
      </c>
      <c r="Y5742" s="389">
        <f t="shared" ref="Y5742" si="18573">D5731</f>
        <v>1</v>
      </c>
      <c r="Z5742" s="400" t="s">
        <v>176</v>
      </c>
      <c r="AA5742" s="402">
        <f t="shared" ref="AA5742" si="18574">IF(AA5743=0,(D5742*N5742+P5742*R5742)*U5742*Y5742,0)</f>
        <v>0</v>
      </c>
      <c r="AB5742" s="403"/>
    </row>
    <row r="5743" spans="1:28">
      <c r="A5743" s="384" t="str">
        <f t="shared" ref="A5743:B5743" si="18575">A5725</f>
        <v>Lantai 3</v>
      </c>
      <c r="B5743" s="385">
        <f t="shared" si="18575"/>
        <v>49</v>
      </c>
      <c r="C5743" s="393"/>
      <c r="D5743" s="398">
        <f t="shared" ref="D5743:D5803" si="18576">IF(AND(D5740=D5741,D5741=D5742,D5740=D5742),D5740,0)</f>
        <v>3</v>
      </c>
      <c r="E5743" s="388" t="s">
        <v>16</v>
      </c>
      <c r="F5743" s="388">
        <f t="shared" ref="F5743:F5803" si="18577">IF(AND(F5740=F5741,F5740=F5742,F5741=F5742),F5740,0)</f>
        <v>13</v>
      </c>
      <c r="G5743" s="388"/>
      <c r="H5743" s="395"/>
      <c r="I5743" s="388"/>
      <c r="J5743" s="396"/>
      <c r="K5743" s="396"/>
      <c r="L5743" s="404" t="s">
        <v>207</v>
      </c>
      <c r="M5743" s="399" t="s">
        <v>176</v>
      </c>
      <c r="N5743" s="399">
        <f t="shared" ref="N5743" si="18578">IF(AND(D5740=D5741,D5740=D5742,D5741=D5742,F5740=F5741,F5740=F5742,F5741=F5742),SUM(N5740:N5742),0)</f>
        <v>2.0170000000000003</v>
      </c>
      <c r="O5743" s="399" t="s">
        <v>204</v>
      </c>
      <c r="P5743" s="389">
        <f t="shared" ref="P5743" si="18579">IF(N5743&gt;12,ROUNDDOWN(N5743/12,0),0)</f>
        <v>0</v>
      </c>
      <c r="Q5743" s="399" t="s">
        <v>125</v>
      </c>
      <c r="R5743" s="399">
        <f t="shared" ref="R5743" si="18580">IF(P5743&gt;0,MAX(VLOOKUP(F5743,$D$6:$G$15,3,FALSE),600),0)/1000</f>
        <v>0</v>
      </c>
      <c r="S5743" s="396"/>
      <c r="T5743" s="396" t="s">
        <v>125</v>
      </c>
      <c r="U5743" s="401">
        <f t="shared" ref="U5743:U5803" si="18581">U5742</f>
        <v>1.041885</v>
      </c>
      <c r="V5743" s="396" t="s">
        <v>125</v>
      </c>
      <c r="W5743" s="399">
        <f t="shared" ref="W5743" si="18582">D5743</f>
        <v>3</v>
      </c>
      <c r="X5743" s="399" t="s">
        <v>125</v>
      </c>
      <c r="Y5743" s="389">
        <f t="shared" ref="Y5743:Y5803" si="18583">Y5742</f>
        <v>1</v>
      </c>
      <c r="Z5743" s="400" t="s">
        <v>176</v>
      </c>
      <c r="AA5743" s="402">
        <f t="shared" ref="AA5743" si="18584">(N5743+P5743*R5743/1000)*U5743*W5743*Y5743</f>
        <v>6.304446135000001</v>
      </c>
      <c r="AB5743" s="403"/>
    </row>
    <row r="5744" spans="1:28">
      <c r="A5744" s="384"/>
      <c r="B5744" s="385"/>
      <c r="C5744" s="393"/>
      <c r="D5744" s="394"/>
      <c r="E5744" s="388"/>
      <c r="F5744" s="388"/>
      <c r="G5744" s="388"/>
      <c r="H5744" s="395"/>
      <c r="I5744" s="388"/>
      <c r="J5744" s="399"/>
      <c r="K5744" s="396"/>
      <c r="L5744" s="396"/>
      <c r="M5744" s="396"/>
      <c r="N5744" s="396"/>
      <c r="O5744" s="396"/>
      <c r="P5744" s="389"/>
      <c r="Q5744" s="396"/>
      <c r="R5744" s="396"/>
      <c r="S5744" s="396"/>
      <c r="T5744" s="396"/>
      <c r="U5744" s="401"/>
      <c r="V5744" s="396"/>
      <c r="W5744" s="388"/>
      <c r="X5744" s="396"/>
      <c r="Y5744" s="389"/>
      <c r="Z5744" s="396"/>
      <c r="AA5744" s="388"/>
      <c r="AB5744" s="390"/>
    </row>
    <row r="5745" spans="1:28">
      <c r="A5745" s="384" t="str">
        <f t="shared" ref="A5745:B5745" si="18585">A5725</f>
        <v>Lantai 3</v>
      </c>
      <c r="B5745" s="385">
        <f t="shared" si="18585"/>
        <v>49</v>
      </c>
      <c r="C5745" s="393" t="s">
        <v>211</v>
      </c>
      <c r="D5745" s="398">
        <f>VLOOKUP(D5725,'Detail Balok'!$C$10:$AU$140,31,FALSE)</f>
        <v>0</v>
      </c>
      <c r="E5745" s="388" t="s">
        <v>16</v>
      </c>
      <c r="F5745" s="388">
        <f>VLOOKUP(D5725,'Detail Balok'!$C$10:$AU$140,33,FALSE)</f>
        <v>10</v>
      </c>
      <c r="G5745" s="405" t="s">
        <v>157</v>
      </c>
      <c r="H5745" s="395">
        <f>VLOOKUP(D5725,'Detail Balok'!$C$10:$AU$140,35,FALSE)</f>
        <v>100</v>
      </c>
      <c r="I5745" s="388"/>
      <c r="J5745" s="400">
        <f t="shared" ref="J5745" si="18586">(IF(D5745=0,(2*(D5726+G5726))-(F$5*8),IF(D5745=3,(2*(D5726+G5726))-(F$5*8)+(G5726-2*F$5),IF(D5745=4,(2*(D5726+G5726))-(F$5*8)+2*(G5726-2*F$5)))))/1000</f>
        <v>0.88</v>
      </c>
      <c r="K5745" s="400" t="s">
        <v>204</v>
      </c>
      <c r="L5745" s="399">
        <f t="shared" ref="L5745:L5747" si="18587">IF(D5745=0,2*MAX(6*F5745,75),(D5745-1)*2*MAX(6*F5745,75))/1000</f>
        <v>0.15</v>
      </c>
      <c r="M5745" s="399" t="s">
        <v>176</v>
      </c>
      <c r="N5745" s="399">
        <f t="shared" ref="N5745:N5747" si="18588">J5745+L5745</f>
        <v>1.03</v>
      </c>
      <c r="O5745" s="399"/>
      <c r="P5745" s="389"/>
      <c r="Q5745" s="399"/>
      <c r="R5745" s="399"/>
      <c r="S5745" s="399"/>
      <c r="T5745" s="399" t="s">
        <v>125</v>
      </c>
      <c r="U5745" s="401">
        <f t="shared" ref="U5745:U5747" si="18589">0.006165*F5745^2</f>
        <v>0.61650000000000005</v>
      </c>
      <c r="V5745" s="399" t="s">
        <v>125</v>
      </c>
      <c r="W5745" s="399">
        <f t="shared" ref="W5745" si="18590">IF(D5728&gt;4*G5726,ROUND(MAX(D5728/4,2*G5726)/H5745,0)+1,ROUND(D5728/H5745,0)+1)</f>
        <v>9</v>
      </c>
      <c r="X5745" s="399" t="s">
        <v>125</v>
      </c>
      <c r="Y5745" s="389">
        <f t="shared" ref="Y5745" si="18591">D5731</f>
        <v>1</v>
      </c>
      <c r="Z5745" s="400" t="s">
        <v>176</v>
      </c>
      <c r="AA5745" s="402">
        <f t="shared" ref="AA5745:AA5747" si="18592">N5745*U5745*W5745*Y5745</f>
        <v>5.7149550000000007</v>
      </c>
      <c r="AB5745" s="403"/>
    </row>
    <row r="5746" spans="1:28">
      <c r="A5746" s="384" t="str">
        <f t="shared" ref="A5746:B5746" si="18593">A5725</f>
        <v>Lantai 3</v>
      </c>
      <c r="B5746" s="385">
        <f t="shared" si="18593"/>
        <v>49</v>
      </c>
      <c r="C5746" s="393" t="s">
        <v>212</v>
      </c>
      <c r="D5746" s="398">
        <f>VLOOKUP(D5725,'Detail Balok'!$C$10:$AU$140,36,FALSE)</f>
        <v>0</v>
      </c>
      <c r="E5746" s="388" t="s">
        <v>16</v>
      </c>
      <c r="F5746" s="388">
        <f>VLOOKUP(D5725,'Detail Balok'!$C$10:$AU$140,38,FALSE)</f>
        <v>10</v>
      </c>
      <c r="G5746" s="405" t="s">
        <v>157</v>
      </c>
      <c r="H5746" s="395">
        <f>VLOOKUP(D5725,'Detail Balok'!$C$10:$AU$140,40,FALSE)</f>
        <v>200</v>
      </c>
      <c r="I5746" s="388"/>
      <c r="J5746" s="400">
        <f t="shared" ref="J5746" si="18594">(IF(D5746=0,(2*(D5726+G5726))-(F$5*8),IF(D5746=3,(2*(D5726+G5726))-(F$5*8)+(G5726-2*F$5),IF(D5746=4,(2*(D5726+G5726))-(F$5*8)+2*(G5726-2*F$5)))))/1000</f>
        <v>0.88</v>
      </c>
      <c r="K5746" s="400" t="s">
        <v>204</v>
      </c>
      <c r="L5746" s="399">
        <f t="shared" si="18587"/>
        <v>0.15</v>
      </c>
      <c r="M5746" s="399" t="s">
        <v>176</v>
      </c>
      <c r="N5746" s="399">
        <f t="shared" si="18588"/>
        <v>1.03</v>
      </c>
      <c r="O5746" s="399"/>
      <c r="P5746" s="389"/>
      <c r="Q5746" s="399"/>
      <c r="R5746" s="399"/>
      <c r="S5746" s="399"/>
      <c r="T5746" s="399" t="s">
        <v>125</v>
      </c>
      <c r="U5746" s="401">
        <f t="shared" si="18589"/>
        <v>0.61650000000000005</v>
      </c>
      <c r="V5746" s="399" t="s">
        <v>125</v>
      </c>
      <c r="W5746" s="399">
        <f t="shared" ref="W5746" si="18595">IF(D5728-MAX(D5728/4,2*G5726)*2&gt;0,ROUND((D5728-MAX(D5728/4,2*G5726)*2)/H5746,0),0)</f>
        <v>1</v>
      </c>
      <c r="X5746" s="399" t="s">
        <v>125</v>
      </c>
      <c r="Y5746" s="389">
        <f t="shared" ref="Y5746" si="18596">D5731</f>
        <v>1</v>
      </c>
      <c r="Z5746" s="400" t="s">
        <v>176</v>
      </c>
      <c r="AA5746" s="402">
        <f t="shared" si="18592"/>
        <v>0.63499500000000009</v>
      </c>
      <c r="AB5746" s="403"/>
    </row>
    <row r="5747" spans="1:28">
      <c r="A5747" s="384" t="str">
        <f t="shared" ref="A5747:B5747" si="18597">A5725</f>
        <v>Lantai 3</v>
      </c>
      <c r="B5747" s="385">
        <f t="shared" si="18597"/>
        <v>49</v>
      </c>
      <c r="C5747" s="393" t="s">
        <v>211</v>
      </c>
      <c r="D5747" s="398">
        <f>VLOOKUP(D5725,'Detail Balok'!$C$10:$AU$140,41,FALSE)</f>
        <v>0</v>
      </c>
      <c r="E5747" s="388" t="s">
        <v>16</v>
      </c>
      <c r="F5747" s="388">
        <f>VLOOKUP(D5725,'Detail Balok'!$C$10:$AU$140,43,FALSE)</f>
        <v>10</v>
      </c>
      <c r="G5747" s="405" t="s">
        <v>157</v>
      </c>
      <c r="H5747" s="395">
        <f>VLOOKUP(D5725,'Detail Balok'!$C$10:$AU$140,45,FALSE)</f>
        <v>100</v>
      </c>
      <c r="I5747" s="388"/>
      <c r="J5747" s="400">
        <f t="shared" ref="J5747" si="18598">(IF(D5747=0,(2*(D5726+G5726))-(F$5*8),IF(D5747=3,(2*(D5726+G5726))-(F$5*8)+(G5726-2*F$5),IF(D5747=4,(2*(D5726+G5726))-(F$5*8)+2*(G5726-2*F$5)))))/1000</f>
        <v>0.88</v>
      </c>
      <c r="K5747" s="400" t="s">
        <v>204</v>
      </c>
      <c r="L5747" s="399">
        <f t="shared" si="18587"/>
        <v>0.15</v>
      </c>
      <c r="M5747" s="399" t="s">
        <v>176</v>
      </c>
      <c r="N5747" s="399">
        <f t="shared" si="18588"/>
        <v>1.03</v>
      </c>
      <c r="O5747" s="399"/>
      <c r="P5747" s="389"/>
      <c r="Q5747" s="399"/>
      <c r="R5747" s="399"/>
      <c r="S5747" s="399"/>
      <c r="T5747" s="399" t="s">
        <v>125</v>
      </c>
      <c r="U5747" s="401">
        <f t="shared" si="18589"/>
        <v>0.61650000000000005</v>
      </c>
      <c r="V5747" s="399" t="s">
        <v>125</v>
      </c>
      <c r="W5747" s="399">
        <f t="shared" ref="W5747" si="18599">IF(D5728&gt;4*G5726,ROUND(MAX(D5728/4,2*G5726)/H5747,0)+1,0)</f>
        <v>9</v>
      </c>
      <c r="X5747" s="399" t="s">
        <v>125</v>
      </c>
      <c r="Y5747" s="389">
        <f t="shared" ref="Y5747" si="18600">D5731</f>
        <v>1</v>
      </c>
      <c r="Z5747" s="400" t="s">
        <v>176</v>
      </c>
      <c r="AA5747" s="402">
        <f t="shared" si="18592"/>
        <v>5.7149550000000007</v>
      </c>
      <c r="AB5747" s="403"/>
    </row>
    <row r="5748" spans="1:28">
      <c r="A5748" s="384"/>
      <c r="B5748" s="385"/>
      <c r="C5748" s="393"/>
      <c r="D5748" s="394"/>
      <c r="E5748" s="388"/>
      <c r="F5748" s="388"/>
      <c r="G5748" s="388"/>
      <c r="H5748" s="395"/>
      <c r="I5748" s="388"/>
      <c r="J5748" s="399"/>
      <c r="K5748" s="396"/>
      <c r="L5748" s="396"/>
      <c r="M5748" s="396"/>
      <c r="N5748" s="396"/>
      <c r="O5748" s="396"/>
      <c r="P5748" s="389"/>
      <c r="Q5748" s="396"/>
      <c r="R5748" s="396"/>
      <c r="S5748" s="396"/>
      <c r="T5748" s="396"/>
      <c r="U5748" s="401"/>
      <c r="V5748" s="396"/>
      <c r="W5748" s="388"/>
      <c r="X5748" s="396"/>
      <c r="Y5748" s="389"/>
      <c r="Z5748" s="396"/>
      <c r="AA5748" s="388"/>
      <c r="AB5748" s="390"/>
    </row>
    <row r="5749" spans="1:28">
      <c r="A5749" s="384" t="str">
        <f t="shared" ref="A5749:B5749" si="18601">A5725</f>
        <v>Lantai 3</v>
      </c>
      <c r="B5749" s="385">
        <f t="shared" si="18601"/>
        <v>49</v>
      </c>
      <c r="C5749" s="393" t="s">
        <v>213</v>
      </c>
      <c r="D5749" s="398">
        <f>VLOOKUP(D5725,'Detail Balok'!$C$10:$BJ$140,46,FALSE)</f>
        <v>0</v>
      </c>
      <c r="E5749" s="388" t="s">
        <v>16</v>
      </c>
      <c r="F5749" s="388">
        <f>VLOOKUP(D5725,'Detail Balok'!$C$10:$BJ$140,48,FALSE)</f>
        <v>0</v>
      </c>
      <c r="G5749" s="405" t="s">
        <v>157</v>
      </c>
      <c r="H5749" s="395">
        <f>VLOOKUP(D5725,'Detail Balok'!$C$10:$BJ$140,50,FALSE)</f>
        <v>100</v>
      </c>
      <c r="I5749" s="388"/>
      <c r="J5749" s="399">
        <f t="shared" ref="J5749" si="18602">(D5726-2*F$5)/1000</f>
        <v>0.12</v>
      </c>
      <c r="K5749" s="400" t="s">
        <v>204</v>
      </c>
      <c r="L5749" s="399">
        <f t="shared" ref="L5749:L5751" si="18603">IF(D5749=0,2*MAX(6*F5749,75),(D5749-1)*2*MAX(6*F5749,75))/1000</f>
        <v>0.15</v>
      </c>
      <c r="M5749" s="399" t="s">
        <v>176</v>
      </c>
      <c r="N5749" s="399">
        <f t="shared" ref="N5749:N5751" si="18604">J5749+L5749</f>
        <v>0.27</v>
      </c>
      <c r="O5749" s="399"/>
      <c r="P5749" s="399"/>
      <c r="Q5749" s="399"/>
      <c r="R5749" s="399"/>
      <c r="S5749" s="399"/>
      <c r="T5749" s="399" t="s">
        <v>125</v>
      </c>
      <c r="U5749" s="401">
        <f t="shared" ref="U5749:U5751" si="18605">0.006165*F5749^2</f>
        <v>0</v>
      </c>
      <c r="V5749" s="399" t="s">
        <v>125</v>
      </c>
      <c r="W5749" s="399">
        <f t="shared" ref="W5749:W5811" si="18606">W5745</f>
        <v>9</v>
      </c>
      <c r="X5749" s="399" t="s">
        <v>125</v>
      </c>
      <c r="Y5749" s="389">
        <f t="shared" ref="Y5749" si="18607">D5735</f>
        <v>3</v>
      </c>
      <c r="Z5749" s="400" t="s">
        <v>176</v>
      </c>
      <c r="AA5749" s="402">
        <f t="shared" ref="AA5749:AA5751" si="18608">N5749*U5749*W5749*Y5749</f>
        <v>0</v>
      </c>
      <c r="AB5749" s="403"/>
    </row>
    <row r="5750" spans="1:28">
      <c r="A5750" s="384" t="str">
        <f t="shared" ref="A5750:B5750" si="18609">A5725</f>
        <v>Lantai 3</v>
      </c>
      <c r="B5750" s="385">
        <f t="shared" si="18609"/>
        <v>49</v>
      </c>
      <c r="C5750" s="393" t="s">
        <v>214</v>
      </c>
      <c r="D5750" s="398">
        <f>VLOOKUP(D5725,'Detail Balok'!$C$10:$BJ$140,51,FALSE)</f>
        <v>0</v>
      </c>
      <c r="E5750" s="388" t="s">
        <v>16</v>
      </c>
      <c r="F5750" s="388">
        <f>VLOOKUP(D5725,'Detail Balok'!$C$10:$BJ$140,53,FALSE)</f>
        <v>0</v>
      </c>
      <c r="G5750" s="405" t="s">
        <v>157</v>
      </c>
      <c r="H5750" s="395">
        <f>VLOOKUP(D5725,'Detail Balok'!$C$10:$BJ$140,55,FALSE)</f>
        <v>100</v>
      </c>
      <c r="I5750" s="388"/>
      <c r="J5750" s="399">
        <f t="shared" ref="J5750" si="18610">(D5726-2*F$5)/1000</f>
        <v>0.12</v>
      </c>
      <c r="K5750" s="400" t="s">
        <v>204</v>
      </c>
      <c r="L5750" s="399">
        <f t="shared" si="18603"/>
        <v>0.15</v>
      </c>
      <c r="M5750" s="399" t="s">
        <v>176</v>
      </c>
      <c r="N5750" s="399">
        <f t="shared" si="18604"/>
        <v>0.27</v>
      </c>
      <c r="O5750" s="399"/>
      <c r="P5750" s="399"/>
      <c r="Q5750" s="399"/>
      <c r="R5750" s="399"/>
      <c r="S5750" s="399"/>
      <c r="T5750" s="399" t="s">
        <v>125</v>
      </c>
      <c r="U5750" s="401">
        <f t="shared" si="18605"/>
        <v>0</v>
      </c>
      <c r="V5750" s="399" t="s">
        <v>125</v>
      </c>
      <c r="W5750" s="399">
        <f t="shared" si="18606"/>
        <v>1</v>
      </c>
      <c r="X5750" s="399" t="s">
        <v>125</v>
      </c>
      <c r="Y5750" s="389">
        <f t="shared" ref="Y5750" si="18611">D5735</f>
        <v>3</v>
      </c>
      <c r="Z5750" s="400" t="s">
        <v>176</v>
      </c>
      <c r="AA5750" s="402">
        <f t="shared" si="18608"/>
        <v>0</v>
      </c>
      <c r="AB5750" s="403"/>
    </row>
    <row r="5751" spans="1:28">
      <c r="A5751" s="384" t="str">
        <f t="shared" ref="A5751:B5751" si="18612">A5725</f>
        <v>Lantai 3</v>
      </c>
      <c r="B5751" s="385">
        <f t="shared" si="18612"/>
        <v>49</v>
      </c>
      <c r="C5751" s="393" t="s">
        <v>213</v>
      </c>
      <c r="D5751" s="398">
        <f>VLOOKUP(D5725,'Detail Balok'!$C$10:$BJ$140,56,FALSE)</f>
        <v>0</v>
      </c>
      <c r="E5751" s="388" t="s">
        <v>16</v>
      </c>
      <c r="F5751" s="388">
        <f>VLOOKUP(D5725,'Detail Balok'!$C$10:$BJ$140,58,FALSE)</f>
        <v>0</v>
      </c>
      <c r="G5751" s="405" t="s">
        <v>157</v>
      </c>
      <c r="H5751" s="395">
        <f>VLOOKUP(D5725,'Detail Balok'!$C$10:$BJ$140,60,FALSE)</f>
        <v>100</v>
      </c>
      <c r="I5751" s="388"/>
      <c r="J5751" s="399">
        <f t="shared" ref="J5751" si="18613">(D5726-2*F$5)/1000</f>
        <v>0.12</v>
      </c>
      <c r="K5751" s="400" t="s">
        <v>204</v>
      </c>
      <c r="L5751" s="399">
        <f t="shared" si="18603"/>
        <v>0.15</v>
      </c>
      <c r="M5751" s="399" t="s">
        <v>176</v>
      </c>
      <c r="N5751" s="399">
        <f t="shared" si="18604"/>
        <v>0.27</v>
      </c>
      <c r="O5751" s="399"/>
      <c r="P5751" s="399"/>
      <c r="Q5751" s="399"/>
      <c r="R5751" s="399"/>
      <c r="S5751" s="399"/>
      <c r="T5751" s="399" t="s">
        <v>125</v>
      </c>
      <c r="U5751" s="401">
        <f t="shared" si="18605"/>
        <v>0</v>
      </c>
      <c r="V5751" s="399" t="s">
        <v>125</v>
      </c>
      <c r="W5751" s="399">
        <f t="shared" si="18606"/>
        <v>9</v>
      </c>
      <c r="X5751" s="399" t="s">
        <v>125</v>
      </c>
      <c r="Y5751" s="389">
        <f t="shared" ref="Y5751" si="18614">D5735</f>
        <v>3</v>
      </c>
      <c r="Z5751" s="400" t="s">
        <v>176</v>
      </c>
      <c r="AA5751" s="402">
        <f t="shared" si="18608"/>
        <v>0</v>
      </c>
      <c r="AB5751" s="403"/>
    </row>
    <row r="5752" spans="1:28">
      <c r="A5752" s="391"/>
      <c r="B5752" s="392"/>
      <c r="C5752" s="392"/>
      <c r="D5752" s="394"/>
      <c r="E5752" s="388"/>
      <c r="F5752" s="388"/>
      <c r="G5752" s="388"/>
      <c r="H5752" s="395"/>
      <c r="I5752" s="388"/>
      <c r="J5752" s="402"/>
      <c r="K5752" s="388"/>
      <c r="L5752" s="388"/>
      <c r="M5752" s="388"/>
      <c r="N5752" s="388"/>
      <c r="O5752" s="388"/>
      <c r="P5752" s="388"/>
      <c r="Q5752" s="388"/>
      <c r="R5752" s="388"/>
      <c r="S5752" s="388"/>
      <c r="T5752" s="388"/>
      <c r="U5752" s="388"/>
      <c r="V5752" s="388"/>
      <c r="W5752" s="388"/>
      <c r="X5752" s="388"/>
      <c r="Y5752" s="389"/>
      <c r="Z5752" s="388"/>
      <c r="AA5752" s="402"/>
      <c r="AB5752" s="403"/>
    </row>
    <row r="5753" spans="1:28" ht="15.75" thickBot="1">
      <c r="A5753" s="406"/>
      <c r="B5753" s="407"/>
      <c r="C5753" s="407"/>
      <c r="D5753" s="408"/>
      <c r="E5753" s="409"/>
      <c r="F5753" s="409"/>
      <c r="G5753" s="409"/>
      <c r="H5753" s="410"/>
      <c r="I5753" s="409"/>
      <c r="J5753" s="409"/>
      <c r="K5753" s="409"/>
      <c r="L5753" s="409"/>
      <c r="M5753" s="409"/>
      <c r="N5753" s="409"/>
      <c r="O5753" s="409"/>
      <c r="P5753" s="409"/>
      <c r="Q5753" s="409"/>
      <c r="R5753" s="409"/>
      <c r="S5753" s="409"/>
      <c r="T5753" s="409"/>
      <c r="U5753" s="409"/>
      <c r="V5753" s="409"/>
      <c r="W5753" s="409"/>
      <c r="X5753" s="409"/>
      <c r="Y5753" s="411"/>
      <c r="Z5753" s="409"/>
      <c r="AA5753" s="412"/>
      <c r="AB5753" s="413"/>
    </row>
    <row r="5754" spans="1:28">
      <c r="A5754" s="377"/>
      <c r="B5754" s="378"/>
      <c r="C5754" s="378"/>
      <c r="D5754" s="379"/>
      <c r="E5754" s="380"/>
      <c r="F5754" s="380"/>
      <c r="G5754" s="380"/>
      <c r="H5754" s="381"/>
      <c r="I5754" s="380"/>
      <c r="J5754" s="380"/>
      <c r="K5754" s="380"/>
      <c r="L5754" s="380"/>
      <c r="M5754" s="380"/>
      <c r="N5754" s="380"/>
      <c r="O5754" s="380"/>
      <c r="P5754" s="380"/>
      <c r="Q5754" s="380"/>
      <c r="R5754" s="380"/>
      <c r="S5754" s="380"/>
      <c r="T5754" s="380"/>
      <c r="U5754" s="380"/>
      <c r="V5754" s="380"/>
      <c r="W5754" s="380"/>
      <c r="X5754" s="380"/>
      <c r="Y5754" s="382"/>
      <c r="Z5754" s="380"/>
      <c r="AA5754" s="380"/>
      <c r="AB5754" s="383"/>
    </row>
    <row r="5755" spans="1:28">
      <c r="A5755" s="384" t="str">
        <f t="shared" ref="A5755:A5815" si="18615">A5725</f>
        <v>Lantai 3</v>
      </c>
      <c r="B5755" s="385">
        <f t="shared" ref="B5755:B5815" si="18616">B5725+1</f>
        <v>50</v>
      </c>
      <c r="C5755" s="386" t="str">
        <f t="shared" ref="C5755" si="18617">CONCATENATE(A5755," no. ",B5755)</f>
        <v>Lantai 3 no. 50</v>
      </c>
      <c r="D5755" s="2562" t="str">
        <f>VLOOKUP(C5755,'Data Panjang Balok'!$C$9:$N$254,2,FALSE)</f>
        <v>B24-1</v>
      </c>
      <c r="E5755" s="2576"/>
      <c r="F5755" s="2576"/>
      <c r="G5755" s="2576"/>
      <c r="H5755" s="2577"/>
      <c r="I5755" s="387"/>
      <c r="J5755" s="388"/>
      <c r="K5755" s="388"/>
      <c r="L5755" s="388"/>
      <c r="M5755" s="388"/>
      <c r="N5755" s="388"/>
      <c r="O5755" s="388"/>
      <c r="P5755" s="388"/>
      <c r="Q5755" s="388"/>
      <c r="R5755" s="388"/>
      <c r="S5755" s="388"/>
      <c r="T5755" s="388"/>
      <c r="U5755" s="388"/>
      <c r="V5755" s="388"/>
      <c r="W5755" s="388"/>
      <c r="X5755" s="388"/>
      <c r="Y5755" s="389"/>
      <c r="Z5755" s="388"/>
      <c r="AA5755" s="388"/>
      <c r="AB5755" s="390"/>
    </row>
    <row r="5756" spans="1:28">
      <c r="A5756" s="391"/>
      <c r="B5756" s="392"/>
      <c r="C5756" s="393" t="s">
        <v>118</v>
      </c>
      <c r="D5756" s="2578">
        <f>VLOOKUP(D5755,'Detail Balok'!$C$10:$AU$140,2,FALSE)</f>
        <v>200</v>
      </c>
      <c r="E5756" s="2579"/>
      <c r="F5756" s="388" t="s">
        <v>125</v>
      </c>
      <c r="G5756" s="2579">
        <f>VLOOKUP(D5755,'Detail Balok'!$C$10:$AU$140,3,FALSE)</f>
        <v>400</v>
      </c>
      <c r="H5756" s="2580"/>
      <c r="I5756" s="388"/>
      <c r="J5756" s="396"/>
      <c r="K5756" s="396"/>
      <c r="L5756" s="396"/>
      <c r="M5756" s="396"/>
      <c r="N5756" s="396"/>
      <c r="O5756" s="396"/>
      <c r="P5756" s="396"/>
      <c r="Q5756" s="396"/>
      <c r="R5756" s="396"/>
      <c r="S5756" s="396"/>
      <c r="T5756" s="396"/>
      <c r="U5756" s="388"/>
      <c r="V5756" s="396"/>
      <c r="W5756" s="388"/>
      <c r="X5756" s="396"/>
      <c r="Y5756" s="389"/>
      <c r="Z5756" s="396"/>
      <c r="AA5756" s="388"/>
      <c r="AB5756" s="390"/>
    </row>
    <row r="5757" spans="1:28">
      <c r="A5757" s="391"/>
      <c r="B5757" s="392"/>
      <c r="C5757" s="393" t="s">
        <v>198</v>
      </c>
      <c r="D5757" s="2562">
        <f>VLOOKUP(C5755,'Data Panjang Balok'!$C$9:$N$254,4,FALSE)</f>
        <v>1705</v>
      </c>
      <c r="E5757" s="2563"/>
      <c r="F5757" s="2563"/>
      <c r="G5757" s="2563"/>
      <c r="H5757" s="2564"/>
      <c r="I5757" s="397"/>
      <c r="J5757" s="396"/>
      <c r="K5757" s="396"/>
      <c r="L5757" s="396"/>
      <c r="M5757" s="396"/>
      <c r="N5757" s="396"/>
      <c r="O5757" s="396"/>
      <c r="P5757" s="396"/>
      <c r="Q5757" s="396"/>
      <c r="R5757" s="396"/>
      <c r="S5757" s="396"/>
      <c r="T5757" s="396"/>
      <c r="U5757" s="388"/>
      <c r="V5757" s="396"/>
      <c r="W5757" s="388"/>
      <c r="X5757" s="396"/>
      <c r="Y5757" s="389"/>
      <c r="Z5757" s="396"/>
      <c r="AA5757" s="388"/>
      <c r="AB5757" s="390"/>
    </row>
    <row r="5758" spans="1:28">
      <c r="A5758" s="391"/>
      <c r="B5758" s="392"/>
      <c r="C5758" s="393" t="s">
        <v>199</v>
      </c>
      <c r="D5758" s="2562">
        <f>VLOOKUP(C5755,'Data Panjang Balok'!$C$9:$N$254,7,FALSE)</f>
        <v>1705</v>
      </c>
      <c r="E5758" s="2563"/>
      <c r="F5758" s="2563"/>
      <c r="G5758" s="2563"/>
      <c r="H5758" s="2564"/>
      <c r="I5758" s="397"/>
      <c r="J5758" s="396"/>
      <c r="K5758" s="396"/>
      <c r="L5758" s="396"/>
      <c r="M5758" s="396"/>
      <c r="N5758" s="396"/>
      <c r="O5758" s="396"/>
      <c r="P5758" s="396"/>
      <c r="Q5758" s="396"/>
      <c r="R5758" s="396"/>
      <c r="S5758" s="396"/>
      <c r="T5758" s="396"/>
      <c r="U5758" s="388"/>
      <c r="V5758" s="396"/>
      <c r="W5758" s="388"/>
      <c r="X5758" s="396"/>
      <c r="Y5758" s="389"/>
      <c r="Z5758" s="396"/>
      <c r="AA5758" s="388"/>
      <c r="AB5758" s="390"/>
    </row>
    <row r="5759" spans="1:28">
      <c r="A5759" s="391"/>
      <c r="B5759" s="392"/>
      <c r="C5759" s="393" t="s">
        <v>200</v>
      </c>
      <c r="D5759" s="2562">
        <f>VLOOKUP(C5755,'Data Panjang Balok'!$C$9:$N$254,9,FALSE)</f>
        <v>0</v>
      </c>
      <c r="E5759" s="2563"/>
      <c r="F5759" s="2563"/>
      <c r="G5759" s="2563"/>
      <c r="H5759" s="2564"/>
      <c r="I5759" s="397"/>
      <c r="J5759" s="396"/>
      <c r="K5759" s="396"/>
      <c r="L5759" s="396"/>
      <c r="M5759" s="396"/>
      <c r="N5759" s="396"/>
      <c r="O5759" s="396"/>
      <c r="P5759" s="396"/>
      <c r="Q5759" s="396"/>
      <c r="R5759" s="396"/>
      <c r="S5759" s="396"/>
      <c r="T5759" s="396"/>
      <c r="U5759" s="388"/>
      <c r="V5759" s="396"/>
      <c r="W5759" s="388"/>
      <c r="X5759" s="396"/>
      <c r="Y5759" s="389"/>
      <c r="Z5759" s="396"/>
      <c r="AA5759" s="388"/>
      <c r="AB5759" s="390"/>
    </row>
    <row r="5760" spans="1:28">
      <c r="A5760" s="391"/>
      <c r="B5760" s="392"/>
      <c r="C5760" s="393" t="s">
        <v>201</v>
      </c>
      <c r="D5760" s="2562">
        <f>VLOOKUP(C5755,'Data Panjang Balok'!$C$9:$N$254,10,FALSE)</f>
        <v>0</v>
      </c>
      <c r="E5760" s="2563"/>
      <c r="F5760" s="2563"/>
      <c r="G5760" s="2563"/>
      <c r="H5760" s="2564"/>
      <c r="I5760" s="397"/>
      <c r="J5760" s="396"/>
      <c r="K5760" s="396"/>
      <c r="L5760" s="396"/>
      <c r="M5760" s="396"/>
      <c r="N5760" s="396"/>
      <c r="O5760" s="396"/>
      <c r="P5760" s="396"/>
      <c r="Q5760" s="396"/>
      <c r="R5760" s="396"/>
      <c r="S5760" s="396"/>
      <c r="T5760" s="396"/>
      <c r="U5760" s="388"/>
      <c r="V5760" s="396"/>
      <c r="W5760" s="388"/>
      <c r="X5760" s="396"/>
      <c r="Y5760" s="389"/>
      <c r="Z5760" s="396"/>
      <c r="AA5760" s="388"/>
      <c r="AB5760" s="390"/>
    </row>
    <row r="5761" spans="1:28">
      <c r="A5761" s="391"/>
      <c r="B5761" s="392"/>
      <c r="C5761" s="393" t="s">
        <v>48</v>
      </c>
      <c r="D5761" s="2562">
        <f>VLOOKUP(C5755,'Data Panjang Balok'!$C$9:$N$254,3,FALSE)</f>
        <v>1</v>
      </c>
      <c r="E5761" s="2563"/>
      <c r="F5761" s="2563"/>
      <c r="G5761" s="2563"/>
      <c r="H5761" s="2564"/>
      <c r="I5761" s="397"/>
      <c r="J5761" s="396"/>
      <c r="K5761" s="396"/>
      <c r="L5761" s="396"/>
      <c r="M5761" s="396"/>
      <c r="N5761" s="396"/>
      <c r="O5761" s="396"/>
      <c r="P5761" s="396"/>
      <c r="Q5761" s="396"/>
      <c r="R5761" s="396"/>
      <c r="S5761" s="396"/>
      <c r="T5761" s="396"/>
      <c r="U5761" s="388"/>
      <c r="V5761" s="396"/>
      <c r="W5761" s="388"/>
      <c r="X5761" s="396"/>
      <c r="Y5761" s="389"/>
      <c r="Z5761" s="396"/>
      <c r="AA5761" s="388"/>
      <c r="AB5761" s="390"/>
    </row>
    <row r="5762" spans="1:28">
      <c r="A5762" s="384" t="str">
        <f t="shared" ref="A5762:B5762" si="18618">A5755</f>
        <v>Lantai 3</v>
      </c>
      <c r="B5762" s="385">
        <f t="shared" si="18618"/>
        <v>50</v>
      </c>
      <c r="C5762" s="393" t="s">
        <v>202</v>
      </c>
      <c r="D5762" s="398">
        <f>VLOOKUP(D5755,'Detail Balok'!$C$10:$AU$140,4,FALSE)</f>
        <v>3</v>
      </c>
      <c r="E5762" s="388" t="s">
        <v>16</v>
      </c>
      <c r="F5762" s="388">
        <f>VLOOKUP(D5755,'Detail Balok'!$C$10:$AU$140,6,FALSE)</f>
        <v>13</v>
      </c>
      <c r="G5762" s="388"/>
      <c r="H5762" s="395"/>
      <c r="I5762" s="388" t="s">
        <v>203</v>
      </c>
      <c r="J5762" s="399">
        <f t="shared" ref="J5762" si="18619">+D5757/4/1000</f>
        <v>0.42625000000000002</v>
      </c>
      <c r="K5762" s="400" t="s">
        <v>204</v>
      </c>
      <c r="L5762" s="399">
        <f t="shared" ref="L5762" si="18620">MAX(VLOOKUP(F5762,N$6:P$15,3,FALSE)/1000,2/3*D5759/1000)+F$16*F5762/1000</f>
        <v>0.156</v>
      </c>
      <c r="M5762" s="399" t="s">
        <v>176</v>
      </c>
      <c r="N5762" s="399">
        <f t="shared" ref="N5762:N5764" si="18621">J5762+L5762</f>
        <v>0.58225000000000005</v>
      </c>
      <c r="O5762" s="399" t="s">
        <v>204</v>
      </c>
      <c r="P5762" s="389">
        <f t="shared" ref="P5762" si="18622">D5762-D5763</f>
        <v>0</v>
      </c>
      <c r="Q5762" s="399" t="s">
        <v>125</v>
      </c>
      <c r="R5762" s="399">
        <f t="shared" ref="R5762" si="18623">IF(P5762&gt;0,$F$18*F5762/1000,0)</f>
        <v>0</v>
      </c>
      <c r="S5762" s="399" t="s">
        <v>205</v>
      </c>
      <c r="T5762" s="399" t="s">
        <v>125</v>
      </c>
      <c r="U5762" s="401">
        <f t="shared" ref="U5762:U5764" si="18624">0.006165*F5762^2</f>
        <v>1.041885</v>
      </c>
      <c r="V5762" s="399"/>
      <c r="W5762" s="399"/>
      <c r="X5762" s="399" t="s">
        <v>125</v>
      </c>
      <c r="Y5762" s="389">
        <f t="shared" ref="Y5762" si="18625">D5761</f>
        <v>1</v>
      </c>
      <c r="Z5762" s="400" t="s">
        <v>176</v>
      </c>
      <c r="AA5762" s="402">
        <f t="shared" ref="AA5762" si="18626">IF(AA5765=0,(D5762*N5762+P5762*R5762)*U5762*Y5762,0)</f>
        <v>0</v>
      </c>
      <c r="AB5762" s="403"/>
    </row>
    <row r="5763" spans="1:28">
      <c r="A5763" s="384" t="str">
        <f t="shared" ref="A5763:B5763" si="18627">A5755</f>
        <v>Lantai 3</v>
      </c>
      <c r="B5763" s="385">
        <f t="shared" si="18627"/>
        <v>50</v>
      </c>
      <c r="C5763" s="393" t="s">
        <v>206</v>
      </c>
      <c r="D5763" s="398">
        <f>VLOOKUP(D5755,'Detail Balok'!$C$10:$AU$140,7,FALSE)</f>
        <v>3</v>
      </c>
      <c r="E5763" s="388" t="s">
        <v>16</v>
      </c>
      <c r="F5763" s="388">
        <f>VLOOKUP(D5755,'Detail Balok'!$C$10:$AU$140,9,FALSE)</f>
        <v>13</v>
      </c>
      <c r="G5763" s="388"/>
      <c r="H5763" s="395"/>
      <c r="I5763" s="388" t="s">
        <v>203</v>
      </c>
      <c r="J5763" s="399">
        <f t="shared" ref="J5763" si="18628">+D5757/2/1000</f>
        <v>0.85250000000000004</v>
      </c>
      <c r="K5763" s="400" t="s">
        <v>204</v>
      </c>
      <c r="L5763" s="399"/>
      <c r="M5763" s="399" t="s">
        <v>176</v>
      </c>
      <c r="N5763" s="399">
        <f t="shared" si="18621"/>
        <v>0.85250000000000004</v>
      </c>
      <c r="O5763" s="399" t="s">
        <v>204</v>
      </c>
      <c r="P5763" s="389">
        <f t="shared" ref="P5763" si="18629">MAX(D5763-D5762,D5763-D5764)</f>
        <v>0</v>
      </c>
      <c r="Q5763" s="399" t="s">
        <v>125</v>
      </c>
      <c r="R5763" s="399">
        <f t="shared" ref="R5763" si="18630">IF(P5763&gt;0,2*(1-2*$F$19-1/2)*D5758/1000,0)</f>
        <v>0</v>
      </c>
      <c r="S5763" s="399" t="s">
        <v>205</v>
      </c>
      <c r="T5763" s="399" t="s">
        <v>125</v>
      </c>
      <c r="U5763" s="401">
        <f t="shared" si="18624"/>
        <v>1.041885</v>
      </c>
      <c r="V5763" s="399"/>
      <c r="W5763" s="399"/>
      <c r="X5763" s="399" t="s">
        <v>125</v>
      </c>
      <c r="Y5763" s="389">
        <f t="shared" ref="Y5763" si="18631">D5761</f>
        <v>1</v>
      </c>
      <c r="Z5763" s="400" t="s">
        <v>176</v>
      </c>
      <c r="AA5763" s="402">
        <f t="shared" ref="AA5763" si="18632">IF(AA5765=0,(D5763*N5763+P5763*R5763)*U5763*Y5763,0)</f>
        <v>0</v>
      </c>
      <c r="AB5763" s="403"/>
    </row>
    <row r="5764" spans="1:28">
      <c r="A5764" s="384" t="str">
        <f t="shared" ref="A5764:B5764" si="18633">A5755</f>
        <v>Lantai 3</v>
      </c>
      <c r="B5764" s="385">
        <f t="shared" si="18633"/>
        <v>50</v>
      </c>
      <c r="C5764" s="393" t="s">
        <v>202</v>
      </c>
      <c r="D5764" s="398">
        <f>VLOOKUP(D5755,'Detail Balok'!$C$10:$AU$140,10,FALSE)</f>
        <v>3</v>
      </c>
      <c r="E5764" s="388" t="s">
        <v>16</v>
      </c>
      <c r="F5764" s="388">
        <f>VLOOKUP(D5755,'Detail Balok'!$C$10:$AU$140,12,FALSE)</f>
        <v>13</v>
      </c>
      <c r="G5764" s="388"/>
      <c r="H5764" s="395"/>
      <c r="I5764" s="388" t="s">
        <v>203</v>
      </c>
      <c r="J5764" s="399">
        <f t="shared" ref="J5764" si="18634">+D5757/4/1000</f>
        <v>0.42625000000000002</v>
      </c>
      <c r="K5764" s="400" t="s">
        <v>204</v>
      </c>
      <c r="L5764" s="399">
        <f t="shared" ref="L5764" si="18635">MAX(VLOOKUP(F5764,N$6:P$15,3,FALSE)/1000,2/3*D5759/1000)+F$16*F5764/1000</f>
        <v>0.156</v>
      </c>
      <c r="M5764" s="399" t="s">
        <v>176</v>
      </c>
      <c r="N5764" s="399">
        <f t="shared" si="18621"/>
        <v>0.58225000000000005</v>
      </c>
      <c r="O5764" s="399" t="s">
        <v>204</v>
      </c>
      <c r="P5764" s="389">
        <f t="shared" ref="P5764" si="18636">D5764-D5763</f>
        <v>0</v>
      </c>
      <c r="Q5764" s="399" t="s">
        <v>125</v>
      </c>
      <c r="R5764" s="399">
        <f t="shared" ref="R5764" si="18637">IF(P5764&gt;0,$F$18*F5764/1000,0)</f>
        <v>0</v>
      </c>
      <c r="S5764" s="399" t="s">
        <v>205</v>
      </c>
      <c r="T5764" s="399" t="s">
        <v>125</v>
      </c>
      <c r="U5764" s="401">
        <f t="shared" si="18624"/>
        <v>1.041885</v>
      </c>
      <c r="V5764" s="399"/>
      <c r="W5764" s="399"/>
      <c r="X5764" s="399" t="s">
        <v>125</v>
      </c>
      <c r="Y5764" s="389">
        <f t="shared" ref="Y5764" si="18638">D5761</f>
        <v>1</v>
      </c>
      <c r="Z5764" s="400" t="s">
        <v>176</v>
      </c>
      <c r="AA5764" s="402">
        <f t="shared" ref="AA5764" si="18639">IF(AA5765=0,(D5764*N5764+P5764*R5764)*U5764*Y5764,0)</f>
        <v>0</v>
      </c>
      <c r="AB5764" s="403"/>
    </row>
    <row r="5765" spans="1:28">
      <c r="A5765" s="384" t="str">
        <f t="shared" ref="A5765:B5765" si="18640">A5755</f>
        <v>Lantai 3</v>
      </c>
      <c r="B5765" s="385">
        <f t="shared" si="18640"/>
        <v>50</v>
      </c>
      <c r="C5765" s="393"/>
      <c r="D5765" s="398">
        <f t="shared" si="18536"/>
        <v>3</v>
      </c>
      <c r="E5765" s="388" t="s">
        <v>16</v>
      </c>
      <c r="F5765" s="388">
        <f t="shared" si="18537"/>
        <v>13</v>
      </c>
      <c r="G5765" s="388"/>
      <c r="H5765" s="395"/>
      <c r="I5765" s="388"/>
      <c r="J5765" s="396"/>
      <c r="K5765" s="396"/>
      <c r="L5765" s="404" t="s">
        <v>207</v>
      </c>
      <c r="M5765" s="399" t="s">
        <v>176</v>
      </c>
      <c r="N5765" s="399">
        <f t="shared" ref="N5765" si="18641">IF(AND(D5762=D5763,D5762=D5764,D5763=D5764,F5762=F5763,F5762=F5764,F5763=F5764),SUM(N5762:N5764),0)</f>
        <v>2.0170000000000003</v>
      </c>
      <c r="O5765" s="399" t="s">
        <v>204</v>
      </c>
      <c r="P5765" s="389">
        <f t="shared" ref="P5765" si="18642">IF(N5765&gt;12,ROUNDDOWN(N5765/12,0),0)</f>
        <v>0</v>
      </c>
      <c r="Q5765" s="399" t="s">
        <v>125</v>
      </c>
      <c r="R5765" s="399">
        <f t="shared" ref="R5765" si="18643">IF(P5765&gt;0,MAX(VLOOKUP(F5765,$D$6:$G$15,3,FALSE),600),0)/1000</f>
        <v>0</v>
      </c>
      <c r="S5765" s="396"/>
      <c r="T5765" s="396" t="s">
        <v>125</v>
      </c>
      <c r="U5765" s="401">
        <f t="shared" si="18541"/>
        <v>1.041885</v>
      </c>
      <c r="V5765" s="396" t="s">
        <v>125</v>
      </c>
      <c r="W5765" s="399">
        <f t="shared" ref="W5765" si="18644">D5765</f>
        <v>3</v>
      </c>
      <c r="X5765" s="399" t="s">
        <v>125</v>
      </c>
      <c r="Y5765" s="389">
        <f t="shared" si="18543"/>
        <v>1</v>
      </c>
      <c r="Z5765" s="400" t="s">
        <v>176</v>
      </c>
      <c r="AA5765" s="402">
        <f t="shared" ref="AA5765" si="18645">(N5765+P5765*R5765/1000)*U5765*W5765*Y5765</f>
        <v>6.304446135000001</v>
      </c>
      <c r="AB5765" s="390"/>
    </row>
    <row r="5766" spans="1:28">
      <c r="A5766" s="384"/>
      <c r="B5766" s="385"/>
      <c r="C5766" s="393"/>
      <c r="D5766" s="398"/>
      <c r="E5766" s="388"/>
      <c r="F5766" s="388"/>
      <c r="G5766" s="388"/>
      <c r="H5766" s="395"/>
      <c r="I5766" s="388"/>
      <c r="J5766" s="396"/>
      <c r="K5766" s="396"/>
      <c r="L5766" s="404"/>
      <c r="M5766" s="399"/>
      <c r="N5766" s="399"/>
      <c r="O5766" s="396"/>
      <c r="P5766" s="389"/>
      <c r="Q5766" s="396"/>
      <c r="R5766" s="396"/>
      <c r="S5766" s="396"/>
      <c r="T5766" s="396"/>
      <c r="U5766" s="401"/>
      <c r="V5766" s="396"/>
      <c r="W5766" s="399"/>
      <c r="X5766" s="396"/>
      <c r="Y5766" s="389"/>
      <c r="Z5766" s="396"/>
      <c r="AA5766" s="388"/>
      <c r="AB5766" s="390"/>
    </row>
    <row r="5767" spans="1:28">
      <c r="A5767" s="384" t="str">
        <f t="shared" ref="A5767:B5767" si="18646">A5755</f>
        <v>Lantai 3</v>
      </c>
      <c r="B5767" s="385">
        <f t="shared" si="18646"/>
        <v>50</v>
      </c>
      <c r="C5767" s="393" t="s">
        <v>208</v>
      </c>
      <c r="D5767" s="398">
        <f>VLOOKUP(D5755,'Detail Balok'!$C$10:$AU$140,13,FALSE)</f>
        <v>0</v>
      </c>
      <c r="E5767" s="388" t="s">
        <v>16</v>
      </c>
      <c r="F5767" s="388">
        <f>VLOOKUP(D5755,'Detail Balok'!$C$10:$AU$140,15,FALSE)</f>
        <v>8</v>
      </c>
      <c r="G5767" s="388"/>
      <c r="H5767" s="395"/>
      <c r="I5767" s="388"/>
      <c r="J5767" s="399">
        <f t="shared" ref="J5767" si="18647">+D5757/1000</f>
        <v>1.7050000000000001</v>
      </c>
      <c r="K5767" s="400" t="s">
        <v>204</v>
      </c>
      <c r="L5767" s="399">
        <f t="shared" ref="L5767" si="18648">2*$F$16*F5767/1000</f>
        <v>0.192</v>
      </c>
      <c r="M5767" s="399" t="s">
        <v>176</v>
      </c>
      <c r="N5767" s="399">
        <f t="shared" ref="N5767" si="18649">J5767+L5767</f>
        <v>1.897</v>
      </c>
      <c r="O5767" s="399" t="s">
        <v>204</v>
      </c>
      <c r="P5767" s="389">
        <f t="shared" ref="P5767" si="18650">IF(N5767&gt;12,ROUNDDOWN(N5767/12,0),0)</f>
        <v>0</v>
      </c>
      <c r="Q5767" s="399" t="s">
        <v>125</v>
      </c>
      <c r="R5767" s="399">
        <f t="shared" ref="R5767" si="18651">IF(P5767&gt;0,MAX(VLOOKUP(F5767,$D$6:$G$15,3,FALSE),600),0)/1000</f>
        <v>0</v>
      </c>
      <c r="S5767" s="399"/>
      <c r="T5767" s="399" t="s">
        <v>125</v>
      </c>
      <c r="U5767" s="401">
        <f t="shared" ref="U5767" si="18652">0.006165*F5767^2</f>
        <v>0.39456000000000002</v>
      </c>
      <c r="V5767" s="399" t="s">
        <v>125</v>
      </c>
      <c r="W5767" s="399">
        <f t="shared" ref="W5767" si="18653">+D5767</f>
        <v>0</v>
      </c>
      <c r="X5767" s="399" t="s">
        <v>125</v>
      </c>
      <c r="Y5767" s="389">
        <f t="shared" ref="Y5767" si="18654">D5761</f>
        <v>1</v>
      </c>
      <c r="Z5767" s="400" t="s">
        <v>176</v>
      </c>
      <c r="AA5767" s="402">
        <f t="shared" ref="AA5767" si="18655">(N5767+P5767*R5767/1000)*U5767*W5767*Y5767</f>
        <v>0</v>
      </c>
      <c r="AB5767" s="403"/>
    </row>
    <row r="5768" spans="1:28">
      <c r="A5768" s="384"/>
      <c r="B5768" s="385"/>
      <c r="C5768" s="393"/>
      <c r="D5768" s="398"/>
      <c r="E5768" s="388"/>
      <c r="F5768" s="388"/>
      <c r="G5768" s="388"/>
      <c r="H5768" s="395"/>
      <c r="I5768" s="388"/>
      <c r="J5768" s="399"/>
      <c r="K5768" s="400"/>
      <c r="L5768" s="399"/>
      <c r="M5768" s="399"/>
      <c r="N5768" s="399"/>
      <c r="O5768" s="399"/>
      <c r="P5768" s="389"/>
      <c r="Q5768" s="399"/>
      <c r="R5768" s="399"/>
      <c r="S5768" s="399"/>
      <c r="T5768" s="399"/>
      <c r="U5768" s="401"/>
      <c r="V5768" s="399"/>
      <c r="W5768" s="399"/>
      <c r="X5768" s="399"/>
      <c r="Y5768" s="389"/>
      <c r="Z5768" s="400"/>
      <c r="AA5768" s="402"/>
      <c r="AB5768" s="403"/>
    </row>
    <row r="5769" spans="1:28">
      <c r="A5769" s="384"/>
      <c r="B5769" s="385"/>
      <c r="C5769" s="393"/>
      <c r="D5769" s="398"/>
      <c r="E5769" s="388"/>
      <c r="F5769" s="388"/>
      <c r="G5769" s="388"/>
      <c r="H5769" s="395"/>
      <c r="I5769" s="388"/>
      <c r="J5769" s="396"/>
      <c r="K5769" s="396"/>
      <c r="L5769" s="396"/>
      <c r="M5769" s="396"/>
      <c r="N5769" s="396"/>
      <c r="O5769" s="396"/>
      <c r="P5769" s="389"/>
      <c r="Q5769" s="396"/>
      <c r="R5769" s="396"/>
      <c r="S5769" s="396"/>
      <c r="T5769" s="396"/>
      <c r="U5769" s="401"/>
      <c r="V5769" s="396"/>
      <c r="W5769" s="399"/>
      <c r="X5769" s="396"/>
      <c r="Y5769" s="389"/>
      <c r="Z5769" s="396"/>
      <c r="AA5769" s="388"/>
      <c r="AB5769" s="390"/>
    </row>
    <row r="5770" spans="1:28">
      <c r="A5770" s="384" t="str">
        <f t="shared" ref="A5770:B5770" si="18656">A5755</f>
        <v>Lantai 3</v>
      </c>
      <c r="B5770" s="385">
        <f t="shared" si="18656"/>
        <v>50</v>
      </c>
      <c r="C5770" s="393" t="s">
        <v>209</v>
      </c>
      <c r="D5770" s="398">
        <f>VLOOKUP(D5755,'Detail Balok'!$C$10:$AU$140,22,FALSE)</f>
        <v>3</v>
      </c>
      <c r="E5770" s="388" t="s">
        <v>16</v>
      </c>
      <c r="F5770" s="388">
        <f>VLOOKUP(D5755,'Detail Balok'!$C$10:$AU$140,24,FALSE)</f>
        <v>13</v>
      </c>
      <c r="G5770" s="388"/>
      <c r="H5770" s="395"/>
      <c r="I5770" s="388" t="s">
        <v>203</v>
      </c>
      <c r="J5770" s="399">
        <f t="shared" si="18556"/>
        <v>0.42625000000000002</v>
      </c>
      <c r="K5770" s="400" t="s">
        <v>204</v>
      </c>
      <c r="L5770" s="399">
        <f t="shared" ref="L5770" si="18657">MAX(VLOOKUP(F5770,N$6:P$15,3,FALSE)/1000,2/3*D5760/1000)+F$16*F5770/1000</f>
        <v>0.156</v>
      </c>
      <c r="M5770" s="399" t="s">
        <v>176</v>
      </c>
      <c r="N5770" s="399">
        <f t="shared" ref="N5770:N5772" si="18658">J5770+L5770</f>
        <v>0.58225000000000005</v>
      </c>
      <c r="O5770" s="399" t="s">
        <v>204</v>
      </c>
      <c r="P5770" s="389">
        <f t="shared" ref="P5770" si="18659">D5770-D5771</f>
        <v>0</v>
      </c>
      <c r="Q5770" s="399" t="s">
        <v>125</v>
      </c>
      <c r="R5770" s="399">
        <f t="shared" ref="R5770" si="18660">IF(P5770&gt;0,$F$18*F5770/1000,0)</f>
        <v>0</v>
      </c>
      <c r="S5770" s="399" t="s">
        <v>205</v>
      </c>
      <c r="T5770" s="399" t="s">
        <v>125</v>
      </c>
      <c r="U5770" s="401">
        <f t="shared" ref="U5770:U5772" si="18661">0.006165*F5770^2</f>
        <v>1.041885</v>
      </c>
      <c r="V5770" s="399"/>
      <c r="W5770" s="399"/>
      <c r="X5770" s="399" t="s">
        <v>125</v>
      </c>
      <c r="Y5770" s="389">
        <f t="shared" ref="Y5770" si="18662">D5761</f>
        <v>1</v>
      </c>
      <c r="Z5770" s="400" t="s">
        <v>176</v>
      </c>
      <c r="AA5770" s="402">
        <f t="shared" ref="AA5770" si="18663">IF(AA5773=0,(D5770*N5770+P5770*R5770)*U5770*Y5770,0)</f>
        <v>0</v>
      </c>
      <c r="AB5770" s="403"/>
    </row>
    <row r="5771" spans="1:28">
      <c r="A5771" s="384" t="str">
        <f t="shared" ref="A5771:B5771" si="18664">A5755</f>
        <v>Lantai 3</v>
      </c>
      <c r="B5771" s="385">
        <f t="shared" si="18664"/>
        <v>50</v>
      </c>
      <c r="C5771" s="393" t="s">
        <v>210</v>
      </c>
      <c r="D5771" s="398">
        <f>VLOOKUP(D5755,'Detail Balok'!$C$10:$AU$140,25,FALSE)</f>
        <v>3</v>
      </c>
      <c r="E5771" s="388" t="s">
        <v>16</v>
      </c>
      <c r="F5771" s="388">
        <f>VLOOKUP(D5755,'Detail Balok'!$C$10:$AU$140,27,FALSE)</f>
        <v>13</v>
      </c>
      <c r="G5771" s="388"/>
      <c r="H5771" s="395"/>
      <c r="I5771" s="388" t="s">
        <v>203</v>
      </c>
      <c r="J5771" s="399">
        <f t="shared" si="18556"/>
        <v>0.85250000000000004</v>
      </c>
      <c r="K5771" s="400" t="s">
        <v>204</v>
      </c>
      <c r="L5771" s="399"/>
      <c r="M5771" s="399" t="s">
        <v>176</v>
      </c>
      <c r="N5771" s="399">
        <f t="shared" si="18658"/>
        <v>0.85250000000000004</v>
      </c>
      <c r="O5771" s="399" t="s">
        <v>204</v>
      </c>
      <c r="P5771" s="389">
        <f t="shared" ref="P5771" si="18665">MAX(D5771-D5770,D5771-D5772)</f>
        <v>0</v>
      </c>
      <c r="Q5771" s="399" t="s">
        <v>125</v>
      </c>
      <c r="R5771" s="399">
        <f t="shared" ref="R5771" si="18666">IF(P5771&gt;0,2*(1-2*$F$19-1/2)*D5758/1000,0)</f>
        <v>0</v>
      </c>
      <c r="S5771" s="399" t="s">
        <v>205</v>
      </c>
      <c r="T5771" s="399" t="s">
        <v>125</v>
      </c>
      <c r="U5771" s="401">
        <f t="shared" si="18661"/>
        <v>1.041885</v>
      </c>
      <c r="V5771" s="399"/>
      <c r="W5771" s="399"/>
      <c r="X5771" s="399" t="s">
        <v>125</v>
      </c>
      <c r="Y5771" s="389">
        <f t="shared" ref="Y5771" si="18667">D5761</f>
        <v>1</v>
      </c>
      <c r="Z5771" s="400" t="s">
        <v>176</v>
      </c>
      <c r="AA5771" s="402">
        <f t="shared" ref="AA5771" si="18668">IF(AA5773=0,(D5771*N5771+P5771*R5771)*U5771*Y5771,0)</f>
        <v>0</v>
      </c>
      <c r="AB5771" s="403"/>
    </row>
    <row r="5772" spans="1:28">
      <c r="A5772" s="384" t="str">
        <f t="shared" ref="A5772:B5772" si="18669">A5755</f>
        <v>Lantai 3</v>
      </c>
      <c r="B5772" s="385">
        <f t="shared" si="18669"/>
        <v>50</v>
      </c>
      <c r="C5772" s="393" t="s">
        <v>209</v>
      </c>
      <c r="D5772" s="398">
        <f>VLOOKUP(D5755,'Detail Balok'!$C$10:$AU$140,28,FALSE)</f>
        <v>3</v>
      </c>
      <c r="E5772" s="388" t="s">
        <v>16</v>
      </c>
      <c r="F5772" s="388">
        <f>VLOOKUP(D5755,'Detail Balok'!$C$10:$AU$140,30,FALSE)</f>
        <v>13</v>
      </c>
      <c r="G5772" s="388"/>
      <c r="H5772" s="395"/>
      <c r="I5772" s="388" t="s">
        <v>203</v>
      </c>
      <c r="J5772" s="399">
        <f t="shared" si="18556"/>
        <v>0.42625000000000002</v>
      </c>
      <c r="K5772" s="400" t="s">
        <v>204</v>
      </c>
      <c r="L5772" s="399">
        <f t="shared" ref="L5772" si="18670">MAX(VLOOKUP(F5772,N$6:P$15,3,FALSE)/1000,2/3*D5760/1000)+F$16*F5772/1000</f>
        <v>0.156</v>
      </c>
      <c r="M5772" s="399" t="s">
        <v>176</v>
      </c>
      <c r="N5772" s="399">
        <f t="shared" si="18658"/>
        <v>0.58225000000000005</v>
      </c>
      <c r="O5772" s="399" t="s">
        <v>204</v>
      </c>
      <c r="P5772" s="389">
        <f t="shared" ref="P5772" si="18671">D5772-D5771</f>
        <v>0</v>
      </c>
      <c r="Q5772" s="399" t="s">
        <v>125</v>
      </c>
      <c r="R5772" s="399">
        <f t="shared" ref="R5772" si="18672">IF(P5772&gt;0,$F$18*F5772/1000,0)</f>
        <v>0</v>
      </c>
      <c r="S5772" s="399" t="s">
        <v>205</v>
      </c>
      <c r="T5772" s="399" t="s">
        <v>125</v>
      </c>
      <c r="U5772" s="401">
        <f t="shared" si="18661"/>
        <v>1.041885</v>
      </c>
      <c r="V5772" s="399"/>
      <c r="W5772" s="399"/>
      <c r="X5772" s="399" t="s">
        <v>125</v>
      </c>
      <c r="Y5772" s="389">
        <f t="shared" ref="Y5772" si="18673">D5761</f>
        <v>1</v>
      </c>
      <c r="Z5772" s="400" t="s">
        <v>176</v>
      </c>
      <c r="AA5772" s="402">
        <f t="shared" ref="AA5772" si="18674">IF(AA5773=0,(D5772*N5772+P5772*R5772)*U5772*Y5772,0)</f>
        <v>0</v>
      </c>
      <c r="AB5772" s="403"/>
    </row>
    <row r="5773" spans="1:28">
      <c r="A5773" s="384" t="str">
        <f t="shared" ref="A5773:B5773" si="18675">A5755</f>
        <v>Lantai 3</v>
      </c>
      <c r="B5773" s="385">
        <f t="shared" si="18675"/>
        <v>50</v>
      </c>
      <c r="C5773" s="393"/>
      <c r="D5773" s="398">
        <f t="shared" si="18576"/>
        <v>3</v>
      </c>
      <c r="E5773" s="388" t="s">
        <v>16</v>
      </c>
      <c r="F5773" s="388">
        <f t="shared" si="18577"/>
        <v>13</v>
      </c>
      <c r="G5773" s="388"/>
      <c r="H5773" s="395"/>
      <c r="I5773" s="388"/>
      <c r="J5773" s="396"/>
      <c r="K5773" s="396"/>
      <c r="L5773" s="404" t="s">
        <v>207</v>
      </c>
      <c r="M5773" s="399" t="s">
        <v>176</v>
      </c>
      <c r="N5773" s="399">
        <f t="shared" ref="N5773" si="18676">IF(AND(D5770=D5771,D5770=D5772,D5771=D5772,F5770=F5771,F5770=F5772,F5771=F5772),SUM(N5770:N5772),0)</f>
        <v>2.0170000000000003</v>
      </c>
      <c r="O5773" s="399" t="s">
        <v>204</v>
      </c>
      <c r="P5773" s="389">
        <f t="shared" ref="P5773" si="18677">IF(N5773&gt;12,ROUNDDOWN(N5773/12,0),0)</f>
        <v>0</v>
      </c>
      <c r="Q5773" s="399" t="s">
        <v>125</v>
      </c>
      <c r="R5773" s="399">
        <f t="shared" ref="R5773" si="18678">IF(P5773&gt;0,MAX(VLOOKUP(F5773,$D$6:$G$15,3,FALSE),600),0)/1000</f>
        <v>0</v>
      </c>
      <c r="S5773" s="396"/>
      <c r="T5773" s="396" t="s">
        <v>125</v>
      </c>
      <c r="U5773" s="401">
        <f t="shared" si="18581"/>
        <v>1.041885</v>
      </c>
      <c r="V5773" s="396" t="s">
        <v>125</v>
      </c>
      <c r="W5773" s="399">
        <f t="shared" ref="W5773" si="18679">D5773</f>
        <v>3</v>
      </c>
      <c r="X5773" s="399" t="s">
        <v>125</v>
      </c>
      <c r="Y5773" s="389">
        <f t="shared" si="18583"/>
        <v>1</v>
      </c>
      <c r="Z5773" s="400" t="s">
        <v>176</v>
      </c>
      <c r="AA5773" s="402">
        <f t="shared" ref="AA5773" si="18680">(N5773+P5773*R5773/1000)*U5773*W5773*Y5773</f>
        <v>6.304446135000001</v>
      </c>
      <c r="AB5773" s="403"/>
    </row>
    <row r="5774" spans="1:28">
      <c r="A5774" s="384"/>
      <c r="B5774" s="385"/>
      <c r="C5774" s="393"/>
      <c r="D5774" s="394"/>
      <c r="E5774" s="388"/>
      <c r="F5774" s="388"/>
      <c r="G5774" s="388"/>
      <c r="H5774" s="395"/>
      <c r="I5774" s="388"/>
      <c r="J5774" s="399"/>
      <c r="K5774" s="396"/>
      <c r="L5774" s="396"/>
      <c r="M5774" s="396"/>
      <c r="N5774" s="396"/>
      <c r="O5774" s="396"/>
      <c r="P5774" s="389"/>
      <c r="Q5774" s="396"/>
      <c r="R5774" s="396"/>
      <c r="S5774" s="396"/>
      <c r="T5774" s="396"/>
      <c r="U5774" s="401"/>
      <c r="V5774" s="396"/>
      <c r="W5774" s="388"/>
      <c r="X5774" s="396"/>
      <c r="Y5774" s="389"/>
      <c r="Z5774" s="396"/>
      <c r="AA5774" s="388"/>
      <c r="AB5774" s="390"/>
    </row>
    <row r="5775" spans="1:28">
      <c r="A5775" s="384" t="str">
        <f t="shared" ref="A5775:B5775" si="18681">A5755</f>
        <v>Lantai 3</v>
      </c>
      <c r="B5775" s="385">
        <f t="shared" si="18681"/>
        <v>50</v>
      </c>
      <c r="C5775" s="393" t="s">
        <v>211</v>
      </c>
      <c r="D5775" s="398">
        <f>VLOOKUP(D5755,'Detail Balok'!$C$10:$AU$140,31,FALSE)</f>
        <v>0</v>
      </c>
      <c r="E5775" s="388" t="s">
        <v>16</v>
      </c>
      <c r="F5775" s="388">
        <f>VLOOKUP(D5755,'Detail Balok'!$C$10:$AU$140,33,FALSE)</f>
        <v>10</v>
      </c>
      <c r="G5775" s="405" t="s">
        <v>157</v>
      </c>
      <c r="H5775" s="395">
        <f>VLOOKUP(D5755,'Detail Balok'!$C$10:$AU$140,35,FALSE)</f>
        <v>100</v>
      </c>
      <c r="I5775" s="388"/>
      <c r="J5775" s="400">
        <f t="shared" ref="J5775" si="18682">(IF(D5775=0,(2*(D5756+G5756))-(F$5*8),IF(D5775=3,(2*(D5756+G5756))-(F$5*8)+(G5756-2*F$5),IF(D5775=4,(2*(D5756+G5756))-(F$5*8)+2*(G5756-2*F$5)))))/1000</f>
        <v>0.88</v>
      </c>
      <c r="K5775" s="400" t="s">
        <v>204</v>
      </c>
      <c r="L5775" s="399">
        <f t="shared" ref="L5775:L5777" si="18683">IF(D5775=0,2*MAX(6*F5775,75),(D5775-1)*2*MAX(6*F5775,75))/1000</f>
        <v>0.15</v>
      </c>
      <c r="M5775" s="399" t="s">
        <v>176</v>
      </c>
      <c r="N5775" s="399">
        <f t="shared" ref="N5775:N5777" si="18684">J5775+L5775</f>
        <v>1.03</v>
      </c>
      <c r="O5775" s="399"/>
      <c r="P5775" s="389"/>
      <c r="Q5775" s="399"/>
      <c r="R5775" s="399"/>
      <c r="S5775" s="399"/>
      <c r="T5775" s="399" t="s">
        <v>125</v>
      </c>
      <c r="U5775" s="401">
        <f t="shared" ref="U5775:U5777" si="18685">0.006165*F5775^2</f>
        <v>0.61650000000000005</v>
      </c>
      <c r="V5775" s="399" t="s">
        <v>125</v>
      </c>
      <c r="W5775" s="399">
        <f t="shared" ref="W5775" si="18686">IF(D5758&gt;4*G5756,ROUND(MAX(D5758/4,2*G5756)/H5775,0)+1,ROUND(D5758/H5775,0)+1)</f>
        <v>9</v>
      </c>
      <c r="X5775" s="399" t="s">
        <v>125</v>
      </c>
      <c r="Y5775" s="389">
        <f t="shared" ref="Y5775" si="18687">D5761</f>
        <v>1</v>
      </c>
      <c r="Z5775" s="400" t="s">
        <v>176</v>
      </c>
      <c r="AA5775" s="402">
        <f t="shared" ref="AA5775:AA5777" si="18688">N5775*U5775*W5775*Y5775</f>
        <v>5.7149550000000007</v>
      </c>
      <c r="AB5775" s="403"/>
    </row>
    <row r="5776" spans="1:28">
      <c r="A5776" s="384" t="str">
        <f t="shared" ref="A5776:B5776" si="18689">A5755</f>
        <v>Lantai 3</v>
      </c>
      <c r="B5776" s="385">
        <f t="shared" si="18689"/>
        <v>50</v>
      </c>
      <c r="C5776" s="393" t="s">
        <v>212</v>
      </c>
      <c r="D5776" s="398">
        <f>VLOOKUP(D5755,'Detail Balok'!$C$10:$AU$140,36,FALSE)</f>
        <v>0</v>
      </c>
      <c r="E5776" s="388" t="s">
        <v>16</v>
      </c>
      <c r="F5776" s="388">
        <f>VLOOKUP(D5755,'Detail Balok'!$C$10:$AU$140,38,FALSE)</f>
        <v>10</v>
      </c>
      <c r="G5776" s="405" t="s">
        <v>157</v>
      </c>
      <c r="H5776" s="395">
        <f>VLOOKUP(D5755,'Detail Balok'!$C$10:$AU$140,40,FALSE)</f>
        <v>200</v>
      </c>
      <c r="I5776" s="388"/>
      <c r="J5776" s="400">
        <f t="shared" ref="J5776" si="18690">(IF(D5776=0,(2*(D5756+G5756))-(F$5*8),IF(D5776=3,(2*(D5756+G5756))-(F$5*8)+(G5756-2*F$5),IF(D5776=4,(2*(D5756+G5756))-(F$5*8)+2*(G5756-2*F$5)))))/1000</f>
        <v>0.88</v>
      </c>
      <c r="K5776" s="400" t="s">
        <v>204</v>
      </c>
      <c r="L5776" s="399">
        <f t="shared" si="18683"/>
        <v>0.15</v>
      </c>
      <c r="M5776" s="399" t="s">
        <v>176</v>
      </c>
      <c r="N5776" s="399">
        <f t="shared" si="18684"/>
        <v>1.03</v>
      </c>
      <c r="O5776" s="399"/>
      <c r="P5776" s="389"/>
      <c r="Q5776" s="399"/>
      <c r="R5776" s="399"/>
      <c r="S5776" s="399"/>
      <c r="T5776" s="399" t="s">
        <v>125</v>
      </c>
      <c r="U5776" s="401">
        <f t="shared" si="18685"/>
        <v>0.61650000000000005</v>
      </c>
      <c r="V5776" s="399" t="s">
        <v>125</v>
      </c>
      <c r="W5776" s="399">
        <f t="shared" ref="W5776" si="18691">IF(D5758-MAX(D5758/4,2*G5756)*2&gt;0,ROUND((D5758-MAX(D5758/4,2*G5756)*2)/H5776,0),0)</f>
        <v>1</v>
      </c>
      <c r="X5776" s="399" t="s">
        <v>125</v>
      </c>
      <c r="Y5776" s="389">
        <f t="shared" ref="Y5776" si="18692">D5761</f>
        <v>1</v>
      </c>
      <c r="Z5776" s="400" t="s">
        <v>176</v>
      </c>
      <c r="AA5776" s="402">
        <f t="shared" si="18688"/>
        <v>0.63499500000000009</v>
      </c>
      <c r="AB5776" s="403"/>
    </row>
    <row r="5777" spans="1:28">
      <c r="A5777" s="384" t="str">
        <f t="shared" ref="A5777:B5777" si="18693">A5755</f>
        <v>Lantai 3</v>
      </c>
      <c r="B5777" s="385">
        <f t="shared" si="18693"/>
        <v>50</v>
      </c>
      <c r="C5777" s="393" t="s">
        <v>211</v>
      </c>
      <c r="D5777" s="398">
        <f>VLOOKUP(D5755,'Detail Balok'!$C$10:$AU$140,41,FALSE)</f>
        <v>0</v>
      </c>
      <c r="E5777" s="388" t="s">
        <v>16</v>
      </c>
      <c r="F5777" s="388">
        <f>VLOOKUP(D5755,'Detail Balok'!$C$10:$AU$140,43,FALSE)</f>
        <v>10</v>
      </c>
      <c r="G5777" s="405" t="s">
        <v>157</v>
      </c>
      <c r="H5777" s="395">
        <f>VLOOKUP(D5755,'Detail Balok'!$C$10:$AU$140,45,FALSE)</f>
        <v>100</v>
      </c>
      <c r="I5777" s="388"/>
      <c r="J5777" s="400">
        <f t="shared" ref="J5777" si="18694">(IF(D5777=0,(2*(D5756+G5756))-(F$5*8),IF(D5777=3,(2*(D5756+G5756))-(F$5*8)+(G5756-2*F$5),IF(D5777=4,(2*(D5756+G5756))-(F$5*8)+2*(G5756-2*F$5)))))/1000</f>
        <v>0.88</v>
      </c>
      <c r="K5777" s="400" t="s">
        <v>204</v>
      </c>
      <c r="L5777" s="399">
        <f t="shared" si="18683"/>
        <v>0.15</v>
      </c>
      <c r="M5777" s="399" t="s">
        <v>176</v>
      </c>
      <c r="N5777" s="399">
        <f t="shared" si="18684"/>
        <v>1.03</v>
      </c>
      <c r="O5777" s="399"/>
      <c r="P5777" s="389"/>
      <c r="Q5777" s="399"/>
      <c r="R5777" s="399"/>
      <c r="S5777" s="399"/>
      <c r="T5777" s="399" t="s">
        <v>125</v>
      </c>
      <c r="U5777" s="401">
        <f t="shared" si="18685"/>
        <v>0.61650000000000005</v>
      </c>
      <c r="V5777" s="399" t="s">
        <v>125</v>
      </c>
      <c r="W5777" s="399">
        <f t="shared" ref="W5777" si="18695">IF(D5758&gt;4*G5756,ROUND(MAX(D5758/4,2*G5756)/H5777,0)+1,0)</f>
        <v>9</v>
      </c>
      <c r="X5777" s="399" t="s">
        <v>125</v>
      </c>
      <c r="Y5777" s="389">
        <f t="shared" ref="Y5777" si="18696">D5761</f>
        <v>1</v>
      </c>
      <c r="Z5777" s="400" t="s">
        <v>176</v>
      </c>
      <c r="AA5777" s="402">
        <f t="shared" si="18688"/>
        <v>5.7149550000000007</v>
      </c>
      <c r="AB5777" s="403"/>
    </row>
    <row r="5778" spans="1:28">
      <c r="A5778" s="384"/>
      <c r="B5778" s="385"/>
      <c r="C5778" s="393"/>
      <c r="D5778" s="394"/>
      <c r="E5778" s="388"/>
      <c r="F5778" s="388"/>
      <c r="G5778" s="388"/>
      <c r="H5778" s="395"/>
      <c r="I5778" s="388"/>
      <c r="J5778" s="399"/>
      <c r="K5778" s="396"/>
      <c r="L5778" s="396"/>
      <c r="M5778" s="396"/>
      <c r="N5778" s="396"/>
      <c r="O5778" s="396"/>
      <c r="P5778" s="389"/>
      <c r="Q5778" s="396"/>
      <c r="R5778" s="396"/>
      <c r="S5778" s="396"/>
      <c r="T5778" s="396"/>
      <c r="U5778" s="401"/>
      <c r="V5778" s="396"/>
      <c r="W5778" s="388"/>
      <c r="X5778" s="396"/>
      <c r="Y5778" s="389"/>
      <c r="Z5778" s="396"/>
      <c r="AA5778" s="388"/>
      <c r="AB5778" s="390"/>
    </row>
    <row r="5779" spans="1:28">
      <c r="A5779" s="384" t="str">
        <f t="shared" ref="A5779:B5779" si="18697">A5755</f>
        <v>Lantai 3</v>
      </c>
      <c r="B5779" s="385">
        <f t="shared" si="18697"/>
        <v>50</v>
      </c>
      <c r="C5779" s="393" t="s">
        <v>213</v>
      </c>
      <c r="D5779" s="398">
        <f>VLOOKUP(D5755,'Detail Balok'!$C$10:$BJ$140,46,FALSE)</f>
        <v>0</v>
      </c>
      <c r="E5779" s="388" t="s">
        <v>16</v>
      </c>
      <c r="F5779" s="388">
        <f>VLOOKUP(D5755,'Detail Balok'!$C$10:$BJ$140,48,FALSE)</f>
        <v>0</v>
      </c>
      <c r="G5779" s="405" t="s">
        <v>157</v>
      </c>
      <c r="H5779" s="395">
        <f>VLOOKUP(D5755,'Detail Balok'!$C$10:$BJ$140,50,FALSE)</f>
        <v>100</v>
      </c>
      <c r="I5779" s="388"/>
      <c r="J5779" s="399">
        <f t="shared" ref="J5779" si="18698">(D5756-2*F$5)/1000</f>
        <v>0.12</v>
      </c>
      <c r="K5779" s="400" t="s">
        <v>204</v>
      </c>
      <c r="L5779" s="399">
        <f t="shared" ref="L5779:L5781" si="18699">IF(D5779=0,2*MAX(6*F5779,75),(D5779-1)*2*MAX(6*F5779,75))/1000</f>
        <v>0.15</v>
      </c>
      <c r="M5779" s="399" t="s">
        <v>176</v>
      </c>
      <c r="N5779" s="399">
        <f t="shared" ref="N5779:N5781" si="18700">J5779+L5779</f>
        <v>0.27</v>
      </c>
      <c r="O5779" s="399"/>
      <c r="P5779" s="399"/>
      <c r="Q5779" s="399"/>
      <c r="R5779" s="399"/>
      <c r="S5779" s="399"/>
      <c r="T5779" s="399" t="s">
        <v>125</v>
      </c>
      <c r="U5779" s="401">
        <f t="shared" ref="U5779:U5781" si="18701">0.006165*F5779^2</f>
        <v>0</v>
      </c>
      <c r="V5779" s="399" t="s">
        <v>125</v>
      </c>
      <c r="W5779" s="399">
        <f t="shared" si="18606"/>
        <v>9</v>
      </c>
      <c r="X5779" s="399" t="s">
        <v>125</v>
      </c>
      <c r="Y5779" s="389">
        <f t="shared" ref="Y5779" si="18702">D5765</f>
        <v>3</v>
      </c>
      <c r="Z5779" s="400" t="s">
        <v>176</v>
      </c>
      <c r="AA5779" s="402">
        <f t="shared" ref="AA5779:AA5781" si="18703">N5779*U5779*W5779*Y5779</f>
        <v>0</v>
      </c>
      <c r="AB5779" s="403"/>
    </row>
    <row r="5780" spans="1:28">
      <c r="A5780" s="384" t="str">
        <f t="shared" ref="A5780:B5780" si="18704">A5755</f>
        <v>Lantai 3</v>
      </c>
      <c r="B5780" s="385">
        <f t="shared" si="18704"/>
        <v>50</v>
      </c>
      <c r="C5780" s="393" t="s">
        <v>214</v>
      </c>
      <c r="D5780" s="398">
        <f>VLOOKUP(D5755,'Detail Balok'!$C$10:$BJ$140,51,FALSE)</f>
        <v>0</v>
      </c>
      <c r="E5780" s="388" t="s">
        <v>16</v>
      </c>
      <c r="F5780" s="388">
        <f>VLOOKUP(D5755,'Detail Balok'!$C$10:$BJ$140,53,FALSE)</f>
        <v>0</v>
      </c>
      <c r="G5780" s="405" t="s">
        <v>157</v>
      </c>
      <c r="H5780" s="395">
        <f>VLOOKUP(D5755,'Detail Balok'!$C$10:$BJ$140,55,FALSE)</f>
        <v>100</v>
      </c>
      <c r="I5780" s="388"/>
      <c r="J5780" s="399">
        <f t="shared" ref="J5780" si="18705">(D5756-2*F$5)/1000</f>
        <v>0.12</v>
      </c>
      <c r="K5780" s="400" t="s">
        <v>204</v>
      </c>
      <c r="L5780" s="399">
        <f t="shared" si="18699"/>
        <v>0.15</v>
      </c>
      <c r="M5780" s="399" t="s">
        <v>176</v>
      </c>
      <c r="N5780" s="399">
        <f t="shared" si="18700"/>
        <v>0.27</v>
      </c>
      <c r="O5780" s="399"/>
      <c r="P5780" s="399"/>
      <c r="Q5780" s="399"/>
      <c r="R5780" s="399"/>
      <c r="S5780" s="399"/>
      <c r="T5780" s="399" t="s">
        <v>125</v>
      </c>
      <c r="U5780" s="401">
        <f t="shared" si="18701"/>
        <v>0</v>
      </c>
      <c r="V5780" s="399" t="s">
        <v>125</v>
      </c>
      <c r="W5780" s="399">
        <f t="shared" si="18606"/>
        <v>1</v>
      </c>
      <c r="X5780" s="399" t="s">
        <v>125</v>
      </c>
      <c r="Y5780" s="389">
        <f t="shared" ref="Y5780" si="18706">D5765</f>
        <v>3</v>
      </c>
      <c r="Z5780" s="400" t="s">
        <v>176</v>
      </c>
      <c r="AA5780" s="402">
        <f t="shared" si="18703"/>
        <v>0</v>
      </c>
      <c r="AB5780" s="403"/>
    </row>
    <row r="5781" spans="1:28">
      <c r="A5781" s="384" t="str">
        <f t="shared" ref="A5781:B5781" si="18707">A5755</f>
        <v>Lantai 3</v>
      </c>
      <c r="B5781" s="385">
        <f t="shared" si="18707"/>
        <v>50</v>
      </c>
      <c r="C5781" s="393" t="s">
        <v>213</v>
      </c>
      <c r="D5781" s="398">
        <f>VLOOKUP(D5755,'Detail Balok'!$C$10:$BJ$140,56,FALSE)</f>
        <v>0</v>
      </c>
      <c r="E5781" s="388" t="s">
        <v>16</v>
      </c>
      <c r="F5781" s="388">
        <f>VLOOKUP(D5755,'Detail Balok'!$C$10:$BJ$140,58,FALSE)</f>
        <v>0</v>
      </c>
      <c r="G5781" s="405" t="s">
        <v>157</v>
      </c>
      <c r="H5781" s="395">
        <f>VLOOKUP(D5755,'Detail Balok'!$C$10:$BJ$140,60,FALSE)</f>
        <v>100</v>
      </c>
      <c r="I5781" s="388"/>
      <c r="J5781" s="399">
        <f t="shared" ref="J5781" si="18708">(D5756-2*F$5)/1000</f>
        <v>0.12</v>
      </c>
      <c r="K5781" s="400" t="s">
        <v>204</v>
      </c>
      <c r="L5781" s="399">
        <f t="shared" si="18699"/>
        <v>0.15</v>
      </c>
      <c r="M5781" s="399" t="s">
        <v>176</v>
      </c>
      <c r="N5781" s="399">
        <f t="shared" si="18700"/>
        <v>0.27</v>
      </c>
      <c r="O5781" s="399"/>
      <c r="P5781" s="399"/>
      <c r="Q5781" s="399"/>
      <c r="R5781" s="399"/>
      <c r="S5781" s="399"/>
      <c r="T5781" s="399" t="s">
        <v>125</v>
      </c>
      <c r="U5781" s="401">
        <f t="shared" si="18701"/>
        <v>0</v>
      </c>
      <c r="V5781" s="399" t="s">
        <v>125</v>
      </c>
      <c r="W5781" s="399">
        <f t="shared" si="18606"/>
        <v>9</v>
      </c>
      <c r="X5781" s="399" t="s">
        <v>125</v>
      </c>
      <c r="Y5781" s="389">
        <f t="shared" ref="Y5781" si="18709">D5765</f>
        <v>3</v>
      </c>
      <c r="Z5781" s="400" t="s">
        <v>176</v>
      </c>
      <c r="AA5781" s="402">
        <f t="shared" si="18703"/>
        <v>0</v>
      </c>
      <c r="AB5781" s="403"/>
    </row>
    <row r="5782" spans="1:28">
      <c r="A5782" s="391"/>
      <c r="B5782" s="392"/>
      <c r="C5782" s="392"/>
      <c r="D5782" s="394"/>
      <c r="E5782" s="388"/>
      <c r="F5782" s="388"/>
      <c r="G5782" s="388"/>
      <c r="H5782" s="395"/>
      <c r="I5782" s="388"/>
      <c r="J5782" s="402"/>
      <c r="K5782" s="388"/>
      <c r="L5782" s="388"/>
      <c r="M5782" s="388"/>
      <c r="N5782" s="388"/>
      <c r="O5782" s="388"/>
      <c r="P5782" s="388"/>
      <c r="Q5782" s="388"/>
      <c r="R5782" s="388"/>
      <c r="S5782" s="388"/>
      <c r="T5782" s="388"/>
      <c r="U5782" s="388"/>
      <c r="V5782" s="388"/>
      <c r="W5782" s="388"/>
      <c r="X5782" s="388"/>
      <c r="Y5782" s="389"/>
      <c r="Z5782" s="388"/>
      <c r="AA5782" s="402"/>
      <c r="AB5782" s="403"/>
    </row>
    <row r="5783" spans="1:28" ht="15.75" thickBot="1">
      <c r="A5783" s="406"/>
      <c r="B5783" s="407"/>
      <c r="C5783" s="407"/>
      <c r="D5783" s="408"/>
      <c r="E5783" s="409"/>
      <c r="F5783" s="409"/>
      <c r="G5783" s="409"/>
      <c r="H5783" s="410"/>
      <c r="I5783" s="409"/>
      <c r="J5783" s="409"/>
      <c r="K5783" s="409"/>
      <c r="L5783" s="409"/>
      <c r="M5783" s="409"/>
      <c r="N5783" s="409"/>
      <c r="O5783" s="409"/>
      <c r="P5783" s="409"/>
      <c r="Q5783" s="409"/>
      <c r="R5783" s="409"/>
      <c r="S5783" s="409"/>
      <c r="T5783" s="409"/>
      <c r="U5783" s="409"/>
      <c r="V5783" s="409"/>
      <c r="W5783" s="409"/>
      <c r="X5783" s="409"/>
      <c r="Y5783" s="411"/>
      <c r="Z5783" s="409"/>
      <c r="AA5783" s="412"/>
      <c r="AB5783" s="413"/>
    </row>
    <row r="5784" spans="1:28">
      <c r="A5784" s="377"/>
      <c r="B5784" s="378"/>
      <c r="C5784" s="378"/>
      <c r="D5784" s="379"/>
      <c r="E5784" s="380"/>
      <c r="F5784" s="380"/>
      <c r="G5784" s="380"/>
      <c r="H5784" s="381"/>
      <c r="I5784" s="380"/>
      <c r="J5784" s="380"/>
      <c r="K5784" s="380"/>
      <c r="L5784" s="380"/>
      <c r="M5784" s="380"/>
      <c r="N5784" s="380"/>
      <c r="O5784" s="380"/>
      <c r="P5784" s="380"/>
      <c r="Q5784" s="380"/>
      <c r="R5784" s="380"/>
      <c r="S5784" s="380"/>
      <c r="T5784" s="380"/>
      <c r="U5784" s="380"/>
      <c r="V5784" s="380"/>
      <c r="W5784" s="380"/>
      <c r="X5784" s="380"/>
      <c r="Y5784" s="382"/>
      <c r="Z5784" s="380"/>
      <c r="AA5784" s="380"/>
      <c r="AB5784" s="383"/>
    </row>
    <row r="5785" spans="1:28">
      <c r="A5785" s="384" t="str">
        <f t="shared" si="18615"/>
        <v>Lantai 3</v>
      </c>
      <c r="B5785" s="385">
        <f t="shared" si="18616"/>
        <v>51</v>
      </c>
      <c r="C5785" s="386" t="str">
        <f t="shared" ref="C5785" si="18710">CONCATENATE(A5785," no. ",B5785)</f>
        <v>Lantai 3 no. 51</v>
      </c>
      <c r="D5785" s="2562" t="str">
        <f>VLOOKUP(C5785,'Data Panjang Balok'!$C$9:$N$254,2,FALSE)</f>
        <v>CL24-1</v>
      </c>
      <c r="E5785" s="2576"/>
      <c r="F5785" s="2576"/>
      <c r="G5785" s="2576"/>
      <c r="H5785" s="2577"/>
      <c r="I5785" s="387"/>
      <c r="J5785" s="388"/>
      <c r="K5785" s="388"/>
      <c r="L5785" s="388"/>
      <c r="M5785" s="388"/>
      <c r="N5785" s="388"/>
      <c r="O5785" s="388"/>
      <c r="P5785" s="388"/>
      <c r="Q5785" s="388"/>
      <c r="R5785" s="388"/>
      <c r="S5785" s="388"/>
      <c r="T5785" s="388"/>
      <c r="U5785" s="388"/>
      <c r="V5785" s="388"/>
      <c r="W5785" s="388"/>
      <c r="X5785" s="388"/>
      <c r="Y5785" s="389"/>
      <c r="Z5785" s="388"/>
      <c r="AA5785" s="388"/>
      <c r="AB5785" s="390"/>
    </row>
    <row r="5786" spans="1:28">
      <c r="A5786" s="391"/>
      <c r="B5786" s="392"/>
      <c r="C5786" s="393" t="s">
        <v>118</v>
      </c>
      <c r="D5786" s="2578">
        <f>VLOOKUP(D5785,'Detail Balok'!$C$10:$AU$140,2,FALSE)</f>
        <v>200</v>
      </c>
      <c r="E5786" s="2579"/>
      <c r="F5786" s="388" t="s">
        <v>125</v>
      </c>
      <c r="G5786" s="2579">
        <f>VLOOKUP(D5785,'Detail Balok'!$C$10:$AU$140,3,FALSE)</f>
        <v>400</v>
      </c>
      <c r="H5786" s="2580"/>
      <c r="I5786" s="388"/>
      <c r="J5786" s="396"/>
      <c r="K5786" s="396"/>
      <c r="L5786" s="396"/>
      <c r="M5786" s="396"/>
      <c r="N5786" s="396"/>
      <c r="O5786" s="396"/>
      <c r="P5786" s="396"/>
      <c r="Q5786" s="396"/>
      <c r="R5786" s="396"/>
      <c r="S5786" s="396"/>
      <c r="T5786" s="396"/>
      <c r="U5786" s="388"/>
      <c r="V5786" s="396"/>
      <c r="W5786" s="388"/>
      <c r="X5786" s="396"/>
      <c r="Y5786" s="389"/>
      <c r="Z5786" s="396"/>
      <c r="AA5786" s="388"/>
      <c r="AB5786" s="390"/>
    </row>
    <row r="5787" spans="1:28">
      <c r="A5787" s="391"/>
      <c r="B5787" s="392"/>
      <c r="C5787" s="393" t="s">
        <v>198</v>
      </c>
      <c r="D5787" s="2562">
        <f>VLOOKUP(C5785,'Data Panjang Balok'!$C$9:$N$254,4,FALSE)</f>
        <v>925</v>
      </c>
      <c r="E5787" s="2563"/>
      <c r="F5787" s="2563"/>
      <c r="G5787" s="2563"/>
      <c r="H5787" s="2564"/>
      <c r="I5787" s="397"/>
      <c r="J5787" s="396"/>
      <c r="K5787" s="396"/>
      <c r="L5787" s="396"/>
      <c r="M5787" s="396"/>
      <c r="N5787" s="396"/>
      <c r="O5787" s="396"/>
      <c r="P5787" s="396"/>
      <c r="Q5787" s="396"/>
      <c r="R5787" s="396"/>
      <c r="S5787" s="396"/>
      <c r="T5787" s="396"/>
      <c r="U5787" s="388"/>
      <c r="V5787" s="396"/>
      <c r="W5787" s="388"/>
      <c r="X5787" s="396"/>
      <c r="Y5787" s="389"/>
      <c r="Z5787" s="396"/>
      <c r="AA5787" s="388"/>
      <c r="AB5787" s="390"/>
    </row>
    <row r="5788" spans="1:28">
      <c r="A5788" s="391"/>
      <c r="B5788" s="392"/>
      <c r="C5788" s="393" t="s">
        <v>199</v>
      </c>
      <c r="D5788" s="2562">
        <f>VLOOKUP(C5785,'Data Panjang Balok'!$C$9:$N$254,7,FALSE)</f>
        <v>925</v>
      </c>
      <c r="E5788" s="2563"/>
      <c r="F5788" s="2563"/>
      <c r="G5788" s="2563"/>
      <c r="H5788" s="2564"/>
      <c r="I5788" s="397"/>
      <c r="J5788" s="396"/>
      <c r="K5788" s="396"/>
      <c r="L5788" s="396"/>
      <c r="M5788" s="396"/>
      <c r="N5788" s="396"/>
      <c r="O5788" s="396"/>
      <c r="P5788" s="396"/>
      <c r="Q5788" s="396"/>
      <c r="R5788" s="396"/>
      <c r="S5788" s="396"/>
      <c r="T5788" s="396"/>
      <c r="U5788" s="388"/>
      <c r="V5788" s="396"/>
      <c r="W5788" s="388"/>
      <c r="X5788" s="396"/>
      <c r="Y5788" s="389"/>
      <c r="Z5788" s="396"/>
      <c r="AA5788" s="388"/>
      <c r="AB5788" s="390"/>
    </row>
    <row r="5789" spans="1:28">
      <c r="A5789" s="391"/>
      <c r="B5789" s="392"/>
      <c r="C5789" s="393" t="s">
        <v>200</v>
      </c>
      <c r="D5789" s="2562">
        <f>VLOOKUP(C5785,'Data Panjang Balok'!$C$9:$N$254,9,FALSE)</f>
        <v>0</v>
      </c>
      <c r="E5789" s="2563"/>
      <c r="F5789" s="2563"/>
      <c r="G5789" s="2563"/>
      <c r="H5789" s="2564"/>
      <c r="I5789" s="397"/>
      <c r="J5789" s="396"/>
      <c r="K5789" s="396"/>
      <c r="L5789" s="396"/>
      <c r="M5789" s="396"/>
      <c r="N5789" s="396"/>
      <c r="O5789" s="396"/>
      <c r="P5789" s="396"/>
      <c r="Q5789" s="396"/>
      <c r="R5789" s="396"/>
      <c r="S5789" s="396"/>
      <c r="T5789" s="396"/>
      <c r="U5789" s="388"/>
      <c r="V5789" s="396"/>
      <c r="W5789" s="388"/>
      <c r="X5789" s="396"/>
      <c r="Y5789" s="389"/>
      <c r="Z5789" s="396"/>
      <c r="AA5789" s="388"/>
      <c r="AB5789" s="390"/>
    </row>
    <row r="5790" spans="1:28">
      <c r="A5790" s="391"/>
      <c r="B5790" s="392"/>
      <c r="C5790" s="393" t="s">
        <v>201</v>
      </c>
      <c r="D5790" s="2562">
        <f>VLOOKUP(C5785,'Data Panjang Balok'!$C$9:$N$254,10,FALSE)</f>
        <v>0</v>
      </c>
      <c r="E5790" s="2563"/>
      <c r="F5790" s="2563"/>
      <c r="G5790" s="2563"/>
      <c r="H5790" s="2564"/>
      <c r="I5790" s="397"/>
      <c r="J5790" s="396"/>
      <c r="K5790" s="396"/>
      <c r="L5790" s="396"/>
      <c r="M5790" s="396"/>
      <c r="N5790" s="396"/>
      <c r="O5790" s="396"/>
      <c r="P5790" s="396"/>
      <c r="Q5790" s="396"/>
      <c r="R5790" s="396"/>
      <c r="S5790" s="396"/>
      <c r="T5790" s="396"/>
      <c r="U5790" s="388"/>
      <c r="V5790" s="396"/>
      <c r="W5790" s="388"/>
      <c r="X5790" s="396"/>
      <c r="Y5790" s="389"/>
      <c r="Z5790" s="396"/>
      <c r="AA5790" s="388"/>
      <c r="AB5790" s="390"/>
    </row>
    <row r="5791" spans="1:28">
      <c r="A5791" s="391"/>
      <c r="B5791" s="392"/>
      <c r="C5791" s="393" t="s">
        <v>48</v>
      </c>
      <c r="D5791" s="2562">
        <f>VLOOKUP(C5785,'Data Panjang Balok'!$C$9:$N$254,3,FALSE)</f>
        <v>1</v>
      </c>
      <c r="E5791" s="2563"/>
      <c r="F5791" s="2563"/>
      <c r="G5791" s="2563"/>
      <c r="H5791" s="2564"/>
      <c r="I5791" s="397"/>
      <c r="J5791" s="396"/>
      <c r="K5791" s="396"/>
      <c r="L5791" s="396"/>
      <c r="M5791" s="396"/>
      <c r="N5791" s="396"/>
      <c r="O5791" s="396"/>
      <c r="P5791" s="396"/>
      <c r="Q5791" s="396"/>
      <c r="R5791" s="396"/>
      <c r="S5791" s="396"/>
      <c r="T5791" s="396"/>
      <c r="U5791" s="388"/>
      <c r="V5791" s="396"/>
      <c r="W5791" s="388"/>
      <c r="X5791" s="396"/>
      <c r="Y5791" s="389"/>
      <c r="Z5791" s="396"/>
      <c r="AA5791" s="388"/>
      <c r="AB5791" s="390"/>
    </row>
    <row r="5792" spans="1:28">
      <c r="A5792" s="384" t="str">
        <f t="shared" ref="A5792:B5792" si="18711">A5785</f>
        <v>Lantai 3</v>
      </c>
      <c r="B5792" s="385">
        <f t="shared" si="18711"/>
        <v>51</v>
      </c>
      <c r="C5792" s="393" t="s">
        <v>202</v>
      </c>
      <c r="D5792" s="398">
        <f>VLOOKUP(D5785,'Detail Balok'!$C$10:$AU$140,4,FALSE)</f>
        <v>3</v>
      </c>
      <c r="E5792" s="388" t="s">
        <v>16</v>
      </c>
      <c r="F5792" s="388">
        <f>VLOOKUP(D5785,'Detail Balok'!$C$10:$AU$140,6,FALSE)</f>
        <v>16</v>
      </c>
      <c r="G5792" s="388"/>
      <c r="H5792" s="395"/>
      <c r="I5792" s="388" t="s">
        <v>203</v>
      </c>
      <c r="J5792" s="399">
        <f t="shared" ref="J5792" si="18712">+D5787/4/1000</f>
        <v>0.23125000000000001</v>
      </c>
      <c r="K5792" s="400" t="s">
        <v>204</v>
      </c>
      <c r="L5792" s="399">
        <f t="shared" ref="L5792" si="18713">MAX(VLOOKUP(F5792,N$6:P$15,3,FALSE)/1000,2/3*D5789/1000)+F$16*F5792/1000</f>
        <v>0.192</v>
      </c>
      <c r="M5792" s="399" t="s">
        <v>176</v>
      </c>
      <c r="N5792" s="399">
        <f t="shared" ref="N5792:N5794" si="18714">J5792+L5792</f>
        <v>0.42325000000000002</v>
      </c>
      <c r="O5792" s="399" t="s">
        <v>204</v>
      </c>
      <c r="P5792" s="389">
        <f t="shared" ref="P5792" si="18715">D5792-D5793</f>
        <v>0</v>
      </c>
      <c r="Q5792" s="399" t="s">
        <v>125</v>
      </c>
      <c r="R5792" s="399">
        <f t="shared" ref="R5792" si="18716">IF(P5792&gt;0,$F$18*F5792/1000,0)</f>
        <v>0</v>
      </c>
      <c r="S5792" s="399" t="s">
        <v>205</v>
      </c>
      <c r="T5792" s="399" t="s">
        <v>125</v>
      </c>
      <c r="U5792" s="401">
        <f t="shared" ref="U5792:U5794" si="18717">0.006165*F5792^2</f>
        <v>1.5782400000000001</v>
      </c>
      <c r="V5792" s="399"/>
      <c r="W5792" s="399"/>
      <c r="X5792" s="399" t="s">
        <v>125</v>
      </c>
      <c r="Y5792" s="389">
        <f t="shared" ref="Y5792" si="18718">D5791</f>
        <v>1</v>
      </c>
      <c r="Z5792" s="400" t="s">
        <v>176</v>
      </c>
      <c r="AA5792" s="402">
        <f t="shared" ref="AA5792" si="18719">IF(AA5795=0,(D5792*N5792+P5792*R5792)*U5792*Y5792,0)</f>
        <v>0</v>
      </c>
      <c r="AB5792" s="403"/>
    </row>
    <row r="5793" spans="1:28">
      <c r="A5793" s="384" t="str">
        <f t="shared" ref="A5793:B5793" si="18720">A5785</f>
        <v>Lantai 3</v>
      </c>
      <c r="B5793" s="385">
        <f t="shared" si="18720"/>
        <v>51</v>
      </c>
      <c r="C5793" s="393" t="s">
        <v>206</v>
      </c>
      <c r="D5793" s="398">
        <f>VLOOKUP(D5785,'Detail Balok'!$C$10:$AU$140,7,FALSE)</f>
        <v>3</v>
      </c>
      <c r="E5793" s="388" t="s">
        <v>16</v>
      </c>
      <c r="F5793" s="388">
        <f>VLOOKUP(D5785,'Detail Balok'!$C$10:$AU$140,9,FALSE)</f>
        <v>16</v>
      </c>
      <c r="G5793" s="388"/>
      <c r="H5793" s="395"/>
      <c r="I5793" s="388" t="s">
        <v>203</v>
      </c>
      <c r="J5793" s="399">
        <f t="shared" ref="J5793" si="18721">+D5787/2/1000</f>
        <v>0.46250000000000002</v>
      </c>
      <c r="K5793" s="400" t="s">
        <v>204</v>
      </c>
      <c r="L5793" s="399"/>
      <c r="M5793" s="399" t="s">
        <v>176</v>
      </c>
      <c r="N5793" s="399">
        <f t="shared" si="18714"/>
        <v>0.46250000000000002</v>
      </c>
      <c r="O5793" s="399" t="s">
        <v>204</v>
      </c>
      <c r="P5793" s="389">
        <f t="shared" ref="P5793" si="18722">MAX(D5793-D5792,D5793-D5794)</f>
        <v>0</v>
      </c>
      <c r="Q5793" s="399" t="s">
        <v>125</v>
      </c>
      <c r="R5793" s="399">
        <f t="shared" ref="R5793" si="18723">IF(P5793&gt;0,2*(1-2*$F$19-1/2)*D5788/1000,0)</f>
        <v>0</v>
      </c>
      <c r="S5793" s="399" t="s">
        <v>205</v>
      </c>
      <c r="T5793" s="399" t="s">
        <v>125</v>
      </c>
      <c r="U5793" s="401">
        <f t="shared" si="18717"/>
        <v>1.5782400000000001</v>
      </c>
      <c r="V5793" s="399"/>
      <c r="W5793" s="399"/>
      <c r="X5793" s="399" t="s">
        <v>125</v>
      </c>
      <c r="Y5793" s="389">
        <f t="shared" ref="Y5793" si="18724">D5791</f>
        <v>1</v>
      </c>
      <c r="Z5793" s="400" t="s">
        <v>176</v>
      </c>
      <c r="AA5793" s="402">
        <f t="shared" ref="AA5793" si="18725">IF(AA5795=0,(D5793*N5793+P5793*R5793)*U5793*Y5793,0)</f>
        <v>0</v>
      </c>
      <c r="AB5793" s="403"/>
    </row>
    <row r="5794" spans="1:28">
      <c r="A5794" s="384" t="str">
        <f t="shared" ref="A5794:B5794" si="18726">A5785</f>
        <v>Lantai 3</v>
      </c>
      <c r="B5794" s="385">
        <f t="shared" si="18726"/>
        <v>51</v>
      </c>
      <c r="C5794" s="393" t="s">
        <v>202</v>
      </c>
      <c r="D5794" s="398">
        <f>VLOOKUP(D5785,'Detail Balok'!$C$10:$AU$140,10,FALSE)</f>
        <v>3</v>
      </c>
      <c r="E5794" s="388" t="s">
        <v>16</v>
      </c>
      <c r="F5794" s="388">
        <f>VLOOKUP(D5785,'Detail Balok'!$C$10:$AU$140,12,FALSE)</f>
        <v>16</v>
      </c>
      <c r="G5794" s="388"/>
      <c r="H5794" s="395"/>
      <c r="I5794" s="388" t="s">
        <v>203</v>
      </c>
      <c r="J5794" s="399">
        <f t="shared" ref="J5794" si="18727">+D5787/4/1000</f>
        <v>0.23125000000000001</v>
      </c>
      <c r="K5794" s="400" t="s">
        <v>204</v>
      </c>
      <c r="L5794" s="399">
        <f t="shared" ref="L5794" si="18728">MAX(VLOOKUP(F5794,N$6:P$15,3,FALSE)/1000,2/3*D5789/1000)+F$16*F5794/1000</f>
        <v>0.192</v>
      </c>
      <c r="M5794" s="399" t="s">
        <v>176</v>
      </c>
      <c r="N5794" s="399">
        <f t="shared" si="18714"/>
        <v>0.42325000000000002</v>
      </c>
      <c r="O5794" s="399" t="s">
        <v>204</v>
      </c>
      <c r="P5794" s="389">
        <f t="shared" ref="P5794" si="18729">D5794-D5793</f>
        <v>0</v>
      </c>
      <c r="Q5794" s="399" t="s">
        <v>125</v>
      </c>
      <c r="R5794" s="399">
        <f t="shared" ref="R5794" si="18730">IF(P5794&gt;0,$F$18*F5794/1000,0)</f>
        <v>0</v>
      </c>
      <c r="S5794" s="399" t="s">
        <v>205</v>
      </c>
      <c r="T5794" s="399" t="s">
        <v>125</v>
      </c>
      <c r="U5794" s="401">
        <f t="shared" si="18717"/>
        <v>1.5782400000000001</v>
      </c>
      <c r="V5794" s="399"/>
      <c r="W5794" s="399"/>
      <c r="X5794" s="399" t="s">
        <v>125</v>
      </c>
      <c r="Y5794" s="389">
        <f t="shared" ref="Y5794" si="18731">D5791</f>
        <v>1</v>
      </c>
      <c r="Z5794" s="400" t="s">
        <v>176</v>
      </c>
      <c r="AA5794" s="402">
        <f t="shared" ref="AA5794" si="18732">IF(AA5795=0,(D5794*N5794+P5794*R5794)*U5794*Y5794,0)</f>
        <v>0</v>
      </c>
      <c r="AB5794" s="403"/>
    </row>
    <row r="5795" spans="1:28">
      <c r="A5795" s="384" t="str">
        <f t="shared" ref="A5795:B5795" si="18733">A5785</f>
        <v>Lantai 3</v>
      </c>
      <c r="B5795" s="385">
        <f t="shared" si="18733"/>
        <v>51</v>
      </c>
      <c r="C5795" s="393"/>
      <c r="D5795" s="398">
        <f t="shared" si="18536"/>
        <v>3</v>
      </c>
      <c r="E5795" s="388" t="s">
        <v>16</v>
      </c>
      <c r="F5795" s="388">
        <f t="shared" si="18537"/>
        <v>16</v>
      </c>
      <c r="G5795" s="388"/>
      <c r="H5795" s="395"/>
      <c r="I5795" s="388"/>
      <c r="J5795" s="396"/>
      <c r="K5795" s="396"/>
      <c r="L5795" s="404" t="s">
        <v>207</v>
      </c>
      <c r="M5795" s="399" t="s">
        <v>176</v>
      </c>
      <c r="N5795" s="399">
        <f t="shared" ref="N5795" si="18734">IF(AND(D5792=D5793,D5792=D5794,D5793=D5794,F5792=F5793,F5792=F5794,F5793=F5794),SUM(N5792:N5794),0)</f>
        <v>1.3090000000000002</v>
      </c>
      <c r="O5795" s="399" t="s">
        <v>204</v>
      </c>
      <c r="P5795" s="389">
        <f t="shared" ref="P5795" si="18735">IF(N5795&gt;12,ROUNDDOWN(N5795/12,0),0)</f>
        <v>0</v>
      </c>
      <c r="Q5795" s="399" t="s">
        <v>125</v>
      </c>
      <c r="R5795" s="399">
        <f t="shared" ref="R5795" si="18736">IF(P5795&gt;0,MAX(VLOOKUP(F5795,$D$6:$G$15,3,FALSE),600),0)/1000</f>
        <v>0</v>
      </c>
      <c r="S5795" s="396"/>
      <c r="T5795" s="396" t="s">
        <v>125</v>
      </c>
      <c r="U5795" s="401">
        <f t="shared" si="18541"/>
        <v>1.5782400000000001</v>
      </c>
      <c r="V5795" s="396" t="s">
        <v>125</v>
      </c>
      <c r="W5795" s="399">
        <f t="shared" ref="W5795" si="18737">D5795</f>
        <v>3</v>
      </c>
      <c r="X5795" s="399" t="s">
        <v>125</v>
      </c>
      <c r="Y5795" s="389">
        <f t="shared" si="18543"/>
        <v>1</v>
      </c>
      <c r="Z5795" s="400" t="s">
        <v>176</v>
      </c>
      <c r="AA5795" s="402">
        <f t="shared" ref="AA5795" si="18738">(N5795+P5795*R5795/1000)*U5795*W5795*Y5795</f>
        <v>6.1977484800000013</v>
      </c>
      <c r="AB5795" s="390"/>
    </row>
    <row r="5796" spans="1:28">
      <c r="A5796" s="384"/>
      <c r="B5796" s="385"/>
      <c r="C5796" s="393"/>
      <c r="D5796" s="398"/>
      <c r="E5796" s="388"/>
      <c r="F5796" s="388"/>
      <c r="G5796" s="388"/>
      <c r="H5796" s="395"/>
      <c r="I5796" s="388"/>
      <c r="J5796" s="396"/>
      <c r="K5796" s="396"/>
      <c r="L5796" s="404"/>
      <c r="M5796" s="399"/>
      <c r="N5796" s="399"/>
      <c r="O5796" s="396"/>
      <c r="P5796" s="389"/>
      <c r="Q5796" s="396"/>
      <c r="R5796" s="396"/>
      <c r="S5796" s="396"/>
      <c r="T5796" s="396"/>
      <c r="U5796" s="401"/>
      <c r="V5796" s="396"/>
      <c r="W5796" s="399"/>
      <c r="X5796" s="396"/>
      <c r="Y5796" s="389"/>
      <c r="Z5796" s="396"/>
      <c r="AA5796" s="388"/>
      <c r="AB5796" s="390"/>
    </row>
    <row r="5797" spans="1:28">
      <c r="A5797" s="384" t="str">
        <f t="shared" ref="A5797:B5797" si="18739">A5785</f>
        <v>Lantai 3</v>
      </c>
      <c r="B5797" s="385">
        <f t="shared" si="18739"/>
        <v>51</v>
      </c>
      <c r="C5797" s="393" t="s">
        <v>208</v>
      </c>
      <c r="D5797" s="398">
        <f>VLOOKUP(D5785,'Detail Balok'!$C$10:$AU$140,13,FALSE)</f>
        <v>0</v>
      </c>
      <c r="E5797" s="388" t="s">
        <v>16</v>
      </c>
      <c r="F5797" s="388">
        <f>VLOOKUP(D5785,'Detail Balok'!$C$10:$AU$140,15,FALSE)</f>
        <v>8</v>
      </c>
      <c r="G5797" s="388"/>
      <c r="H5797" s="395"/>
      <c r="I5797" s="388"/>
      <c r="J5797" s="399">
        <f t="shared" ref="J5797" si="18740">+D5787/1000</f>
        <v>0.92500000000000004</v>
      </c>
      <c r="K5797" s="400" t="s">
        <v>204</v>
      </c>
      <c r="L5797" s="399">
        <f t="shared" ref="L5797" si="18741">2*$F$16*F5797/1000</f>
        <v>0.192</v>
      </c>
      <c r="M5797" s="399" t="s">
        <v>176</v>
      </c>
      <c r="N5797" s="399">
        <f t="shared" ref="N5797" si="18742">J5797+L5797</f>
        <v>1.117</v>
      </c>
      <c r="O5797" s="399" t="s">
        <v>204</v>
      </c>
      <c r="P5797" s="389">
        <f t="shared" ref="P5797" si="18743">IF(N5797&gt;12,ROUNDDOWN(N5797/12,0),0)</f>
        <v>0</v>
      </c>
      <c r="Q5797" s="399" t="s">
        <v>125</v>
      </c>
      <c r="R5797" s="399">
        <f t="shared" ref="R5797" si="18744">IF(P5797&gt;0,MAX(VLOOKUP(F5797,$D$6:$G$15,3,FALSE),600),0)/1000</f>
        <v>0</v>
      </c>
      <c r="S5797" s="399"/>
      <c r="T5797" s="399" t="s">
        <v>125</v>
      </c>
      <c r="U5797" s="401">
        <f t="shared" ref="U5797" si="18745">0.006165*F5797^2</f>
        <v>0.39456000000000002</v>
      </c>
      <c r="V5797" s="399" t="s">
        <v>125</v>
      </c>
      <c r="W5797" s="399">
        <f t="shared" ref="W5797" si="18746">+D5797</f>
        <v>0</v>
      </c>
      <c r="X5797" s="399" t="s">
        <v>125</v>
      </c>
      <c r="Y5797" s="389">
        <f t="shared" ref="Y5797" si="18747">D5791</f>
        <v>1</v>
      </c>
      <c r="Z5797" s="400" t="s">
        <v>176</v>
      </c>
      <c r="AA5797" s="402">
        <f t="shared" ref="AA5797" si="18748">(N5797+P5797*R5797/1000)*U5797*W5797*Y5797</f>
        <v>0</v>
      </c>
      <c r="AB5797" s="403"/>
    </row>
    <row r="5798" spans="1:28">
      <c r="A5798" s="384"/>
      <c r="B5798" s="385"/>
      <c r="C5798" s="393"/>
      <c r="D5798" s="398"/>
      <c r="E5798" s="388"/>
      <c r="F5798" s="388"/>
      <c r="G5798" s="388"/>
      <c r="H5798" s="395"/>
      <c r="I5798" s="388"/>
      <c r="J5798" s="399"/>
      <c r="K5798" s="400"/>
      <c r="L5798" s="399"/>
      <c r="M5798" s="399"/>
      <c r="N5798" s="399"/>
      <c r="O5798" s="399"/>
      <c r="P5798" s="389"/>
      <c r="Q5798" s="399"/>
      <c r="R5798" s="399"/>
      <c r="S5798" s="399"/>
      <c r="T5798" s="399"/>
      <c r="U5798" s="401"/>
      <c r="V5798" s="399"/>
      <c r="W5798" s="399"/>
      <c r="X5798" s="399"/>
      <c r="Y5798" s="389"/>
      <c r="Z5798" s="400"/>
      <c r="AA5798" s="402"/>
      <c r="AB5798" s="403"/>
    </row>
    <row r="5799" spans="1:28">
      <c r="A5799" s="384"/>
      <c r="B5799" s="385"/>
      <c r="C5799" s="393"/>
      <c r="D5799" s="398"/>
      <c r="E5799" s="388"/>
      <c r="F5799" s="388"/>
      <c r="G5799" s="388"/>
      <c r="H5799" s="395"/>
      <c r="I5799" s="388"/>
      <c r="J5799" s="396"/>
      <c r="K5799" s="396"/>
      <c r="L5799" s="396"/>
      <c r="M5799" s="396"/>
      <c r="N5799" s="396"/>
      <c r="O5799" s="396"/>
      <c r="P5799" s="389"/>
      <c r="Q5799" s="396"/>
      <c r="R5799" s="396"/>
      <c r="S5799" s="396"/>
      <c r="T5799" s="396"/>
      <c r="U5799" s="401"/>
      <c r="V5799" s="396"/>
      <c r="W5799" s="399"/>
      <c r="X5799" s="396"/>
      <c r="Y5799" s="389"/>
      <c r="Z5799" s="396"/>
      <c r="AA5799" s="388"/>
      <c r="AB5799" s="390"/>
    </row>
    <row r="5800" spans="1:28">
      <c r="A5800" s="384" t="str">
        <f t="shared" ref="A5800:B5800" si="18749">A5785</f>
        <v>Lantai 3</v>
      </c>
      <c r="B5800" s="385">
        <f t="shared" si="18749"/>
        <v>51</v>
      </c>
      <c r="C5800" s="393" t="s">
        <v>209</v>
      </c>
      <c r="D5800" s="398">
        <f>VLOOKUP(D5785,'Detail Balok'!$C$10:$AU$140,22,FALSE)</f>
        <v>3</v>
      </c>
      <c r="E5800" s="388" t="s">
        <v>16</v>
      </c>
      <c r="F5800" s="388">
        <f>VLOOKUP(D5785,'Detail Balok'!$C$10:$AU$140,24,FALSE)</f>
        <v>16</v>
      </c>
      <c r="G5800" s="388"/>
      <c r="H5800" s="395"/>
      <c r="I5800" s="388" t="s">
        <v>203</v>
      </c>
      <c r="J5800" s="399">
        <f t="shared" si="18556"/>
        <v>0.23125000000000001</v>
      </c>
      <c r="K5800" s="400" t="s">
        <v>204</v>
      </c>
      <c r="L5800" s="399">
        <f t="shared" ref="L5800" si="18750">MAX(VLOOKUP(F5800,N$6:P$15,3,FALSE)/1000,2/3*D5790/1000)+F$16*F5800/1000</f>
        <v>0.192</v>
      </c>
      <c r="M5800" s="399" t="s">
        <v>176</v>
      </c>
      <c r="N5800" s="399">
        <f t="shared" ref="N5800:N5802" si="18751">J5800+L5800</f>
        <v>0.42325000000000002</v>
      </c>
      <c r="O5800" s="399" t="s">
        <v>204</v>
      </c>
      <c r="P5800" s="389">
        <f t="shared" ref="P5800" si="18752">D5800-D5801</f>
        <v>0</v>
      </c>
      <c r="Q5800" s="399" t="s">
        <v>125</v>
      </c>
      <c r="R5800" s="399">
        <f t="shared" ref="R5800" si="18753">IF(P5800&gt;0,$F$18*F5800/1000,0)</f>
        <v>0</v>
      </c>
      <c r="S5800" s="399" t="s">
        <v>205</v>
      </c>
      <c r="T5800" s="399" t="s">
        <v>125</v>
      </c>
      <c r="U5800" s="401">
        <f t="shared" ref="U5800:U5802" si="18754">0.006165*F5800^2</f>
        <v>1.5782400000000001</v>
      </c>
      <c r="V5800" s="399"/>
      <c r="W5800" s="399"/>
      <c r="X5800" s="399" t="s">
        <v>125</v>
      </c>
      <c r="Y5800" s="389">
        <f t="shared" ref="Y5800" si="18755">D5791</f>
        <v>1</v>
      </c>
      <c r="Z5800" s="400" t="s">
        <v>176</v>
      </c>
      <c r="AA5800" s="402">
        <f t="shared" ref="AA5800" si="18756">IF(AA5803=0,(D5800*N5800+P5800*R5800)*U5800*Y5800,0)</f>
        <v>0</v>
      </c>
      <c r="AB5800" s="403"/>
    </row>
    <row r="5801" spans="1:28">
      <c r="A5801" s="384" t="str">
        <f t="shared" ref="A5801:B5801" si="18757">A5785</f>
        <v>Lantai 3</v>
      </c>
      <c r="B5801" s="385">
        <f t="shared" si="18757"/>
        <v>51</v>
      </c>
      <c r="C5801" s="393" t="s">
        <v>210</v>
      </c>
      <c r="D5801" s="398">
        <f>VLOOKUP(D5785,'Detail Balok'!$C$10:$AU$140,25,FALSE)</f>
        <v>3</v>
      </c>
      <c r="E5801" s="388" t="s">
        <v>16</v>
      </c>
      <c r="F5801" s="388">
        <f>VLOOKUP(D5785,'Detail Balok'!$C$10:$AU$140,27,FALSE)</f>
        <v>16</v>
      </c>
      <c r="G5801" s="388"/>
      <c r="H5801" s="395"/>
      <c r="I5801" s="388" t="s">
        <v>203</v>
      </c>
      <c r="J5801" s="399">
        <f t="shared" si="18556"/>
        <v>0.46250000000000002</v>
      </c>
      <c r="K5801" s="400" t="s">
        <v>204</v>
      </c>
      <c r="L5801" s="399"/>
      <c r="M5801" s="399" t="s">
        <v>176</v>
      </c>
      <c r="N5801" s="399">
        <f t="shared" si="18751"/>
        <v>0.46250000000000002</v>
      </c>
      <c r="O5801" s="399" t="s">
        <v>204</v>
      </c>
      <c r="P5801" s="389">
        <f t="shared" ref="P5801" si="18758">MAX(D5801-D5800,D5801-D5802)</f>
        <v>0</v>
      </c>
      <c r="Q5801" s="399" t="s">
        <v>125</v>
      </c>
      <c r="R5801" s="399">
        <f t="shared" ref="R5801" si="18759">IF(P5801&gt;0,2*(1-2*$F$19-1/2)*D5788/1000,0)</f>
        <v>0</v>
      </c>
      <c r="S5801" s="399" t="s">
        <v>205</v>
      </c>
      <c r="T5801" s="399" t="s">
        <v>125</v>
      </c>
      <c r="U5801" s="401">
        <f t="shared" si="18754"/>
        <v>1.5782400000000001</v>
      </c>
      <c r="V5801" s="399"/>
      <c r="W5801" s="399"/>
      <c r="X5801" s="399" t="s">
        <v>125</v>
      </c>
      <c r="Y5801" s="389">
        <f t="shared" ref="Y5801" si="18760">D5791</f>
        <v>1</v>
      </c>
      <c r="Z5801" s="400" t="s">
        <v>176</v>
      </c>
      <c r="AA5801" s="402">
        <f t="shared" ref="AA5801" si="18761">IF(AA5803=0,(D5801*N5801+P5801*R5801)*U5801*Y5801,0)</f>
        <v>0</v>
      </c>
      <c r="AB5801" s="403"/>
    </row>
    <row r="5802" spans="1:28">
      <c r="A5802" s="384" t="str">
        <f t="shared" ref="A5802:B5802" si="18762">A5785</f>
        <v>Lantai 3</v>
      </c>
      <c r="B5802" s="385">
        <f t="shared" si="18762"/>
        <v>51</v>
      </c>
      <c r="C5802" s="393" t="s">
        <v>209</v>
      </c>
      <c r="D5802" s="398">
        <f>VLOOKUP(D5785,'Detail Balok'!$C$10:$AU$140,28,FALSE)</f>
        <v>3</v>
      </c>
      <c r="E5802" s="388" t="s">
        <v>16</v>
      </c>
      <c r="F5802" s="388">
        <f>VLOOKUP(D5785,'Detail Balok'!$C$10:$AU$140,30,FALSE)</f>
        <v>16</v>
      </c>
      <c r="G5802" s="388"/>
      <c r="H5802" s="395"/>
      <c r="I5802" s="388" t="s">
        <v>203</v>
      </c>
      <c r="J5802" s="399">
        <f t="shared" si="18556"/>
        <v>0.23125000000000001</v>
      </c>
      <c r="K5802" s="400" t="s">
        <v>204</v>
      </c>
      <c r="L5802" s="399">
        <f t="shared" ref="L5802" si="18763">MAX(VLOOKUP(F5802,N$6:P$15,3,FALSE)/1000,2/3*D5790/1000)+F$16*F5802/1000</f>
        <v>0.192</v>
      </c>
      <c r="M5802" s="399" t="s">
        <v>176</v>
      </c>
      <c r="N5802" s="399">
        <f t="shared" si="18751"/>
        <v>0.42325000000000002</v>
      </c>
      <c r="O5802" s="399" t="s">
        <v>204</v>
      </c>
      <c r="P5802" s="389">
        <f t="shared" ref="P5802" si="18764">D5802-D5801</f>
        <v>0</v>
      </c>
      <c r="Q5802" s="399" t="s">
        <v>125</v>
      </c>
      <c r="R5802" s="399">
        <f t="shared" ref="R5802" si="18765">IF(P5802&gt;0,$F$18*F5802/1000,0)</f>
        <v>0</v>
      </c>
      <c r="S5802" s="399" t="s">
        <v>205</v>
      </c>
      <c r="T5802" s="399" t="s">
        <v>125</v>
      </c>
      <c r="U5802" s="401">
        <f t="shared" si="18754"/>
        <v>1.5782400000000001</v>
      </c>
      <c r="V5802" s="399"/>
      <c r="W5802" s="399"/>
      <c r="X5802" s="399" t="s">
        <v>125</v>
      </c>
      <c r="Y5802" s="389">
        <f t="shared" ref="Y5802" si="18766">D5791</f>
        <v>1</v>
      </c>
      <c r="Z5802" s="400" t="s">
        <v>176</v>
      </c>
      <c r="AA5802" s="402">
        <f t="shared" ref="AA5802" si="18767">IF(AA5803=0,(D5802*N5802+P5802*R5802)*U5802*Y5802,0)</f>
        <v>0</v>
      </c>
      <c r="AB5802" s="403"/>
    </row>
    <row r="5803" spans="1:28">
      <c r="A5803" s="384" t="str">
        <f t="shared" ref="A5803:B5803" si="18768">A5785</f>
        <v>Lantai 3</v>
      </c>
      <c r="B5803" s="385">
        <f t="shared" si="18768"/>
        <v>51</v>
      </c>
      <c r="C5803" s="393"/>
      <c r="D5803" s="398">
        <f t="shared" si="18576"/>
        <v>3</v>
      </c>
      <c r="E5803" s="388" t="s">
        <v>16</v>
      </c>
      <c r="F5803" s="388">
        <f t="shared" si="18577"/>
        <v>16</v>
      </c>
      <c r="G5803" s="388"/>
      <c r="H5803" s="395"/>
      <c r="I5803" s="388"/>
      <c r="J5803" s="396"/>
      <c r="K5803" s="396"/>
      <c r="L5803" s="404" t="s">
        <v>207</v>
      </c>
      <c r="M5803" s="399" t="s">
        <v>176</v>
      </c>
      <c r="N5803" s="399">
        <f t="shared" ref="N5803" si="18769">IF(AND(D5800=D5801,D5800=D5802,D5801=D5802,F5800=F5801,F5800=F5802,F5801=F5802),SUM(N5800:N5802),0)</f>
        <v>1.3090000000000002</v>
      </c>
      <c r="O5803" s="399" t="s">
        <v>204</v>
      </c>
      <c r="P5803" s="389">
        <f t="shared" ref="P5803" si="18770">IF(N5803&gt;12,ROUNDDOWN(N5803/12,0),0)</f>
        <v>0</v>
      </c>
      <c r="Q5803" s="399" t="s">
        <v>125</v>
      </c>
      <c r="R5803" s="399">
        <f t="shared" ref="R5803" si="18771">IF(P5803&gt;0,MAX(VLOOKUP(F5803,$D$6:$G$15,3,FALSE),600),0)/1000</f>
        <v>0</v>
      </c>
      <c r="S5803" s="396"/>
      <c r="T5803" s="396" t="s">
        <v>125</v>
      </c>
      <c r="U5803" s="401">
        <f t="shared" si="18581"/>
        <v>1.5782400000000001</v>
      </c>
      <c r="V5803" s="396" t="s">
        <v>125</v>
      </c>
      <c r="W5803" s="399">
        <f t="shared" ref="W5803" si="18772">D5803</f>
        <v>3</v>
      </c>
      <c r="X5803" s="399" t="s">
        <v>125</v>
      </c>
      <c r="Y5803" s="389">
        <f t="shared" si="18583"/>
        <v>1</v>
      </c>
      <c r="Z5803" s="400" t="s">
        <v>176</v>
      </c>
      <c r="AA5803" s="402">
        <f t="shared" ref="AA5803" si="18773">(N5803+P5803*R5803/1000)*U5803*W5803*Y5803</f>
        <v>6.1977484800000013</v>
      </c>
      <c r="AB5803" s="403"/>
    </row>
    <row r="5804" spans="1:28">
      <c r="A5804" s="384"/>
      <c r="B5804" s="385"/>
      <c r="C5804" s="393"/>
      <c r="D5804" s="394"/>
      <c r="E5804" s="388"/>
      <c r="F5804" s="388"/>
      <c r="G5804" s="388"/>
      <c r="H5804" s="395"/>
      <c r="I5804" s="388"/>
      <c r="J5804" s="399"/>
      <c r="K5804" s="396"/>
      <c r="L5804" s="396"/>
      <c r="M5804" s="396"/>
      <c r="N5804" s="396"/>
      <c r="O5804" s="396"/>
      <c r="P5804" s="389"/>
      <c r="Q5804" s="396"/>
      <c r="R5804" s="396"/>
      <c r="S5804" s="396"/>
      <c r="T5804" s="396"/>
      <c r="U5804" s="401"/>
      <c r="V5804" s="396"/>
      <c r="W5804" s="388"/>
      <c r="X5804" s="396"/>
      <c r="Y5804" s="389"/>
      <c r="Z5804" s="396"/>
      <c r="AA5804" s="388"/>
      <c r="AB5804" s="390"/>
    </row>
    <row r="5805" spans="1:28">
      <c r="A5805" s="384" t="str">
        <f t="shared" ref="A5805:B5805" si="18774">A5785</f>
        <v>Lantai 3</v>
      </c>
      <c r="B5805" s="385">
        <f t="shared" si="18774"/>
        <v>51</v>
      </c>
      <c r="C5805" s="393" t="s">
        <v>211</v>
      </c>
      <c r="D5805" s="398">
        <f>VLOOKUP(D5785,'Detail Balok'!$C$10:$AU$140,31,FALSE)</f>
        <v>0</v>
      </c>
      <c r="E5805" s="388" t="s">
        <v>16</v>
      </c>
      <c r="F5805" s="388">
        <f>VLOOKUP(D5785,'Detail Balok'!$C$10:$AU$140,33,FALSE)</f>
        <v>10</v>
      </c>
      <c r="G5805" s="405" t="s">
        <v>157</v>
      </c>
      <c r="H5805" s="395">
        <f>VLOOKUP(D5785,'Detail Balok'!$C$10:$AU$140,35,FALSE)</f>
        <v>100</v>
      </c>
      <c r="I5805" s="388"/>
      <c r="J5805" s="400">
        <f t="shared" ref="J5805" si="18775">(IF(D5805=0,(2*(D5786+G5786))-(F$5*8),IF(D5805=3,(2*(D5786+G5786))-(F$5*8)+(G5786-2*F$5),IF(D5805=4,(2*(D5786+G5786))-(F$5*8)+2*(G5786-2*F$5)))))/1000</f>
        <v>0.88</v>
      </c>
      <c r="K5805" s="400" t="s">
        <v>204</v>
      </c>
      <c r="L5805" s="399">
        <f t="shared" ref="L5805:L5807" si="18776">IF(D5805=0,2*MAX(6*F5805,75),(D5805-1)*2*MAX(6*F5805,75))/1000</f>
        <v>0.15</v>
      </c>
      <c r="M5805" s="399" t="s">
        <v>176</v>
      </c>
      <c r="N5805" s="399">
        <f t="shared" ref="N5805:N5807" si="18777">J5805+L5805</f>
        <v>1.03</v>
      </c>
      <c r="O5805" s="399"/>
      <c r="P5805" s="389"/>
      <c r="Q5805" s="399"/>
      <c r="R5805" s="399"/>
      <c r="S5805" s="399"/>
      <c r="T5805" s="399" t="s">
        <v>125</v>
      </c>
      <c r="U5805" s="401">
        <f t="shared" ref="U5805:U5807" si="18778">0.006165*F5805^2</f>
        <v>0.61650000000000005</v>
      </c>
      <c r="V5805" s="399" t="s">
        <v>125</v>
      </c>
      <c r="W5805" s="399">
        <f t="shared" ref="W5805" si="18779">IF(D5788&gt;4*G5786,ROUND(MAX(D5788/4,2*G5786)/H5805,0)+1,ROUND(D5788/H5805,0)+1)</f>
        <v>10</v>
      </c>
      <c r="X5805" s="399" t="s">
        <v>125</v>
      </c>
      <c r="Y5805" s="389">
        <f t="shared" ref="Y5805" si="18780">D5791</f>
        <v>1</v>
      </c>
      <c r="Z5805" s="400" t="s">
        <v>176</v>
      </c>
      <c r="AA5805" s="402">
        <f t="shared" ref="AA5805:AA5807" si="18781">N5805*U5805*W5805*Y5805</f>
        <v>6.3499500000000006</v>
      </c>
      <c r="AB5805" s="403"/>
    </row>
    <row r="5806" spans="1:28">
      <c r="A5806" s="384" t="str">
        <f t="shared" ref="A5806:B5806" si="18782">A5785</f>
        <v>Lantai 3</v>
      </c>
      <c r="B5806" s="385">
        <f t="shared" si="18782"/>
        <v>51</v>
      </c>
      <c r="C5806" s="393" t="s">
        <v>212</v>
      </c>
      <c r="D5806" s="398">
        <f>VLOOKUP(D5785,'Detail Balok'!$C$10:$AU$140,36,FALSE)</f>
        <v>0</v>
      </c>
      <c r="E5806" s="388" t="s">
        <v>16</v>
      </c>
      <c r="F5806" s="388">
        <f>VLOOKUP(D5785,'Detail Balok'!$C$10:$AU$140,38,FALSE)</f>
        <v>10</v>
      </c>
      <c r="G5806" s="405" t="s">
        <v>157</v>
      </c>
      <c r="H5806" s="395">
        <f>VLOOKUP(D5785,'Detail Balok'!$C$10:$AU$140,40,FALSE)</f>
        <v>100</v>
      </c>
      <c r="I5806" s="388"/>
      <c r="J5806" s="400">
        <f t="shared" ref="J5806" si="18783">(IF(D5806=0,(2*(D5786+G5786))-(F$5*8),IF(D5806=3,(2*(D5786+G5786))-(F$5*8)+(G5786-2*F$5),IF(D5806=4,(2*(D5786+G5786))-(F$5*8)+2*(G5786-2*F$5)))))/1000</f>
        <v>0.88</v>
      </c>
      <c r="K5806" s="400" t="s">
        <v>204</v>
      </c>
      <c r="L5806" s="399">
        <f t="shared" si="18776"/>
        <v>0.15</v>
      </c>
      <c r="M5806" s="399" t="s">
        <v>176</v>
      </c>
      <c r="N5806" s="399">
        <f t="shared" si="18777"/>
        <v>1.03</v>
      </c>
      <c r="O5806" s="399"/>
      <c r="P5806" s="389"/>
      <c r="Q5806" s="399"/>
      <c r="R5806" s="399"/>
      <c r="S5806" s="399"/>
      <c r="T5806" s="399" t="s">
        <v>125</v>
      </c>
      <c r="U5806" s="401">
        <f t="shared" si="18778"/>
        <v>0.61650000000000005</v>
      </c>
      <c r="V5806" s="399" t="s">
        <v>125</v>
      </c>
      <c r="W5806" s="399">
        <f t="shared" ref="W5806" si="18784">IF(D5788-MAX(D5788/4,2*G5786)*2&gt;0,ROUND((D5788-MAX(D5788/4,2*G5786)*2)/H5806,0),0)</f>
        <v>0</v>
      </c>
      <c r="X5806" s="399" t="s">
        <v>125</v>
      </c>
      <c r="Y5806" s="389">
        <f t="shared" ref="Y5806" si="18785">D5791</f>
        <v>1</v>
      </c>
      <c r="Z5806" s="400" t="s">
        <v>176</v>
      </c>
      <c r="AA5806" s="402">
        <f t="shared" si="18781"/>
        <v>0</v>
      </c>
      <c r="AB5806" s="403"/>
    </row>
    <row r="5807" spans="1:28">
      <c r="A5807" s="384" t="str">
        <f t="shared" ref="A5807:B5807" si="18786">A5785</f>
        <v>Lantai 3</v>
      </c>
      <c r="B5807" s="385">
        <f t="shared" si="18786"/>
        <v>51</v>
      </c>
      <c r="C5807" s="393" t="s">
        <v>211</v>
      </c>
      <c r="D5807" s="398">
        <f>VLOOKUP(D5785,'Detail Balok'!$C$10:$AU$140,41,FALSE)</f>
        <v>0</v>
      </c>
      <c r="E5807" s="388" t="s">
        <v>16</v>
      </c>
      <c r="F5807" s="388">
        <f>VLOOKUP(D5785,'Detail Balok'!$C$10:$AU$140,43,FALSE)</f>
        <v>10</v>
      </c>
      <c r="G5807" s="405" t="s">
        <v>157</v>
      </c>
      <c r="H5807" s="395">
        <f>VLOOKUP(D5785,'Detail Balok'!$C$10:$AU$140,45,FALSE)</f>
        <v>100</v>
      </c>
      <c r="I5807" s="388"/>
      <c r="J5807" s="400">
        <f t="shared" ref="J5807" si="18787">(IF(D5807=0,(2*(D5786+G5786))-(F$5*8),IF(D5807=3,(2*(D5786+G5786))-(F$5*8)+(G5786-2*F$5),IF(D5807=4,(2*(D5786+G5786))-(F$5*8)+2*(G5786-2*F$5)))))/1000</f>
        <v>0.88</v>
      </c>
      <c r="K5807" s="400" t="s">
        <v>204</v>
      </c>
      <c r="L5807" s="399">
        <f t="shared" si="18776"/>
        <v>0.15</v>
      </c>
      <c r="M5807" s="399" t="s">
        <v>176</v>
      </c>
      <c r="N5807" s="399">
        <f t="shared" si="18777"/>
        <v>1.03</v>
      </c>
      <c r="O5807" s="399"/>
      <c r="P5807" s="389"/>
      <c r="Q5807" s="399"/>
      <c r="R5807" s="399"/>
      <c r="S5807" s="399"/>
      <c r="T5807" s="399" t="s">
        <v>125</v>
      </c>
      <c r="U5807" s="401">
        <f t="shared" si="18778"/>
        <v>0.61650000000000005</v>
      </c>
      <c r="V5807" s="399" t="s">
        <v>125</v>
      </c>
      <c r="W5807" s="399">
        <f t="shared" ref="W5807" si="18788">IF(D5788&gt;4*G5786,ROUND(MAX(D5788/4,2*G5786)/H5807,0)+1,0)</f>
        <v>0</v>
      </c>
      <c r="X5807" s="399" t="s">
        <v>125</v>
      </c>
      <c r="Y5807" s="389">
        <f t="shared" ref="Y5807" si="18789">D5791</f>
        <v>1</v>
      </c>
      <c r="Z5807" s="400" t="s">
        <v>176</v>
      </c>
      <c r="AA5807" s="402">
        <f t="shared" si="18781"/>
        <v>0</v>
      </c>
      <c r="AB5807" s="403"/>
    </row>
    <row r="5808" spans="1:28">
      <c r="A5808" s="384"/>
      <c r="B5808" s="385"/>
      <c r="C5808" s="393"/>
      <c r="D5808" s="394"/>
      <c r="E5808" s="388"/>
      <c r="F5808" s="388"/>
      <c r="G5808" s="388"/>
      <c r="H5808" s="395"/>
      <c r="I5808" s="388"/>
      <c r="J5808" s="399"/>
      <c r="K5808" s="396"/>
      <c r="L5808" s="396"/>
      <c r="M5808" s="396"/>
      <c r="N5808" s="396"/>
      <c r="O5808" s="396"/>
      <c r="P5808" s="389"/>
      <c r="Q5808" s="396"/>
      <c r="R5808" s="396"/>
      <c r="S5808" s="396"/>
      <c r="T5808" s="396"/>
      <c r="U5808" s="401"/>
      <c r="V5808" s="396"/>
      <c r="W5808" s="388"/>
      <c r="X5808" s="396"/>
      <c r="Y5808" s="389"/>
      <c r="Z5808" s="396"/>
      <c r="AA5808" s="388"/>
      <c r="AB5808" s="390"/>
    </row>
    <row r="5809" spans="1:28">
      <c r="A5809" s="384" t="str">
        <f t="shared" ref="A5809:B5809" si="18790">A5785</f>
        <v>Lantai 3</v>
      </c>
      <c r="B5809" s="385">
        <f t="shared" si="18790"/>
        <v>51</v>
      </c>
      <c r="C5809" s="393" t="s">
        <v>213</v>
      </c>
      <c r="D5809" s="398">
        <f>VLOOKUP(D5785,'Detail Balok'!$C$10:$BJ$140,46,FALSE)</f>
        <v>0</v>
      </c>
      <c r="E5809" s="388" t="s">
        <v>16</v>
      </c>
      <c r="F5809" s="388">
        <f>VLOOKUP(D5785,'Detail Balok'!$C$10:$BJ$140,48,FALSE)</f>
        <v>0</v>
      </c>
      <c r="G5809" s="405" t="s">
        <v>157</v>
      </c>
      <c r="H5809" s="395">
        <f>VLOOKUP(D5785,'Detail Balok'!$C$10:$BJ$140,50,FALSE)</f>
        <v>100</v>
      </c>
      <c r="I5809" s="388"/>
      <c r="J5809" s="399">
        <f t="shared" ref="J5809" si="18791">(D5786-2*F$5)/1000</f>
        <v>0.12</v>
      </c>
      <c r="K5809" s="400" t="s">
        <v>204</v>
      </c>
      <c r="L5809" s="399">
        <f t="shared" ref="L5809:L5811" si="18792">IF(D5809=0,2*MAX(6*F5809,75),(D5809-1)*2*MAX(6*F5809,75))/1000</f>
        <v>0.15</v>
      </c>
      <c r="M5809" s="399" t="s">
        <v>176</v>
      </c>
      <c r="N5809" s="399">
        <f t="shared" ref="N5809:N5811" si="18793">J5809+L5809</f>
        <v>0.27</v>
      </c>
      <c r="O5809" s="399"/>
      <c r="P5809" s="399"/>
      <c r="Q5809" s="399"/>
      <c r="R5809" s="399"/>
      <c r="S5809" s="399"/>
      <c r="T5809" s="399" t="s">
        <v>125</v>
      </c>
      <c r="U5809" s="401">
        <f t="shared" ref="U5809:U5811" si="18794">0.006165*F5809^2</f>
        <v>0</v>
      </c>
      <c r="V5809" s="399" t="s">
        <v>125</v>
      </c>
      <c r="W5809" s="399">
        <f t="shared" si="18606"/>
        <v>10</v>
      </c>
      <c r="X5809" s="399" t="s">
        <v>125</v>
      </c>
      <c r="Y5809" s="389">
        <f t="shared" ref="Y5809" si="18795">D5795</f>
        <v>3</v>
      </c>
      <c r="Z5809" s="400" t="s">
        <v>176</v>
      </c>
      <c r="AA5809" s="402">
        <f t="shared" ref="AA5809:AA5811" si="18796">N5809*U5809*W5809*Y5809</f>
        <v>0</v>
      </c>
      <c r="AB5809" s="403"/>
    </row>
    <row r="5810" spans="1:28">
      <c r="A5810" s="384" t="str">
        <f t="shared" ref="A5810:B5810" si="18797">A5785</f>
        <v>Lantai 3</v>
      </c>
      <c r="B5810" s="385">
        <f t="shared" si="18797"/>
        <v>51</v>
      </c>
      <c r="C5810" s="393" t="s">
        <v>214</v>
      </c>
      <c r="D5810" s="398">
        <f>VLOOKUP(D5785,'Detail Balok'!$C$10:$BJ$140,51,FALSE)</f>
        <v>0</v>
      </c>
      <c r="E5810" s="388" t="s">
        <v>16</v>
      </c>
      <c r="F5810" s="388">
        <f>VLOOKUP(D5785,'Detail Balok'!$C$10:$BJ$140,53,FALSE)</f>
        <v>0</v>
      </c>
      <c r="G5810" s="405" t="s">
        <v>157</v>
      </c>
      <c r="H5810" s="395">
        <f>VLOOKUP(D5785,'Detail Balok'!$C$10:$BJ$140,55,FALSE)</f>
        <v>100</v>
      </c>
      <c r="I5810" s="388"/>
      <c r="J5810" s="399">
        <f t="shared" ref="J5810" si="18798">(D5786-2*F$5)/1000</f>
        <v>0.12</v>
      </c>
      <c r="K5810" s="400" t="s">
        <v>204</v>
      </c>
      <c r="L5810" s="399">
        <f t="shared" si="18792"/>
        <v>0.15</v>
      </c>
      <c r="M5810" s="399" t="s">
        <v>176</v>
      </c>
      <c r="N5810" s="399">
        <f t="shared" si="18793"/>
        <v>0.27</v>
      </c>
      <c r="O5810" s="399"/>
      <c r="P5810" s="399"/>
      <c r="Q5810" s="399"/>
      <c r="R5810" s="399"/>
      <c r="S5810" s="399"/>
      <c r="T5810" s="399" t="s">
        <v>125</v>
      </c>
      <c r="U5810" s="401">
        <f t="shared" si="18794"/>
        <v>0</v>
      </c>
      <c r="V5810" s="399" t="s">
        <v>125</v>
      </c>
      <c r="W5810" s="399">
        <f t="shared" si="18606"/>
        <v>0</v>
      </c>
      <c r="X5810" s="399" t="s">
        <v>125</v>
      </c>
      <c r="Y5810" s="389">
        <f t="shared" ref="Y5810" si="18799">D5795</f>
        <v>3</v>
      </c>
      <c r="Z5810" s="400" t="s">
        <v>176</v>
      </c>
      <c r="AA5810" s="402">
        <f t="shared" si="18796"/>
        <v>0</v>
      </c>
      <c r="AB5810" s="403"/>
    </row>
    <row r="5811" spans="1:28">
      <c r="A5811" s="384" t="str">
        <f t="shared" ref="A5811:B5811" si="18800">A5785</f>
        <v>Lantai 3</v>
      </c>
      <c r="B5811" s="385">
        <f t="shared" si="18800"/>
        <v>51</v>
      </c>
      <c r="C5811" s="393" t="s">
        <v>213</v>
      </c>
      <c r="D5811" s="398">
        <f>VLOOKUP(D5785,'Detail Balok'!$C$10:$BJ$140,56,FALSE)</f>
        <v>0</v>
      </c>
      <c r="E5811" s="388" t="s">
        <v>16</v>
      </c>
      <c r="F5811" s="388">
        <f>VLOOKUP(D5785,'Detail Balok'!$C$10:$BJ$140,58,FALSE)</f>
        <v>0</v>
      </c>
      <c r="G5811" s="405" t="s">
        <v>157</v>
      </c>
      <c r="H5811" s="395">
        <f>VLOOKUP(D5785,'Detail Balok'!$C$10:$BJ$140,60,FALSE)</f>
        <v>100</v>
      </c>
      <c r="I5811" s="388"/>
      <c r="J5811" s="399">
        <f t="shared" ref="J5811" si="18801">(D5786-2*F$5)/1000</f>
        <v>0.12</v>
      </c>
      <c r="K5811" s="400" t="s">
        <v>204</v>
      </c>
      <c r="L5811" s="399">
        <f t="shared" si="18792"/>
        <v>0.15</v>
      </c>
      <c r="M5811" s="399" t="s">
        <v>176</v>
      </c>
      <c r="N5811" s="399">
        <f t="shared" si="18793"/>
        <v>0.27</v>
      </c>
      <c r="O5811" s="399"/>
      <c r="P5811" s="399"/>
      <c r="Q5811" s="399"/>
      <c r="R5811" s="399"/>
      <c r="S5811" s="399"/>
      <c r="T5811" s="399" t="s">
        <v>125</v>
      </c>
      <c r="U5811" s="401">
        <f t="shared" si="18794"/>
        <v>0</v>
      </c>
      <c r="V5811" s="399" t="s">
        <v>125</v>
      </c>
      <c r="W5811" s="399">
        <f t="shared" si="18606"/>
        <v>0</v>
      </c>
      <c r="X5811" s="399" t="s">
        <v>125</v>
      </c>
      <c r="Y5811" s="389">
        <f t="shared" ref="Y5811" si="18802">D5795</f>
        <v>3</v>
      </c>
      <c r="Z5811" s="400" t="s">
        <v>176</v>
      </c>
      <c r="AA5811" s="402">
        <f t="shared" si="18796"/>
        <v>0</v>
      </c>
      <c r="AB5811" s="403"/>
    </row>
    <row r="5812" spans="1:28">
      <c r="A5812" s="391"/>
      <c r="B5812" s="392"/>
      <c r="C5812" s="392"/>
      <c r="D5812" s="394"/>
      <c r="E5812" s="388"/>
      <c r="F5812" s="388"/>
      <c r="G5812" s="388"/>
      <c r="H5812" s="395"/>
      <c r="I5812" s="388"/>
      <c r="J5812" s="402"/>
      <c r="K5812" s="388"/>
      <c r="L5812" s="388"/>
      <c r="M5812" s="388"/>
      <c r="N5812" s="388"/>
      <c r="O5812" s="388"/>
      <c r="P5812" s="388"/>
      <c r="Q5812" s="388"/>
      <c r="R5812" s="388"/>
      <c r="S5812" s="388"/>
      <c r="T5812" s="388"/>
      <c r="U5812" s="388"/>
      <c r="V5812" s="388"/>
      <c r="W5812" s="388"/>
      <c r="X5812" s="388"/>
      <c r="Y5812" s="389"/>
      <c r="Z5812" s="388"/>
      <c r="AA5812" s="402"/>
      <c r="AB5812" s="403"/>
    </row>
    <row r="5813" spans="1:28" ht="15.75" thickBot="1">
      <c r="A5813" s="406"/>
      <c r="B5813" s="407"/>
      <c r="C5813" s="407"/>
      <c r="D5813" s="408"/>
      <c r="E5813" s="409"/>
      <c r="F5813" s="409"/>
      <c r="G5813" s="409"/>
      <c r="H5813" s="410"/>
      <c r="I5813" s="409"/>
      <c r="J5813" s="409"/>
      <c r="K5813" s="409"/>
      <c r="L5813" s="409"/>
      <c r="M5813" s="409"/>
      <c r="N5813" s="409"/>
      <c r="O5813" s="409"/>
      <c r="P5813" s="409"/>
      <c r="Q5813" s="409"/>
      <c r="R5813" s="409"/>
      <c r="S5813" s="409"/>
      <c r="T5813" s="409"/>
      <c r="U5813" s="409"/>
      <c r="V5813" s="409"/>
      <c r="W5813" s="409"/>
      <c r="X5813" s="409"/>
      <c r="Y5813" s="411"/>
      <c r="Z5813" s="409"/>
      <c r="AA5813" s="412"/>
      <c r="AB5813" s="413"/>
    </row>
    <row r="5814" spans="1:28">
      <c r="A5814" s="377"/>
      <c r="B5814" s="378"/>
      <c r="C5814" s="378"/>
      <c r="D5814" s="379"/>
      <c r="E5814" s="380"/>
      <c r="F5814" s="380"/>
      <c r="G5814" s="380"/>
      <c r="H5814" s="381"/>
      <c r="I5814" s="380"/>
      <c r="J5814" s="380"/>
      <c r="K5814" s="380"/>
      <c r="L5814" s="380"/>
      <c r="M5814" s="380"/>
      <c r="N5814" s="380"/>
      <c r="O5814" s="380"/>
      <c r="P5814" s="380"/>
      <c r="Q5814" s="380"/>
      <c r="R5814" s="380"/>
      <c r="S5814" s="380"/>
      <c r="T5814" s="380"/>
      <c r="U5814" s="380"/>
      <c r="V5814" s="380"/>
      <c r="W5814" s="380"/>
      <c r="X5814" s="380"/>
      <c r="Y5814" s="382"/>
      <c r="Z5814" s="380"/>
      <c r="AA5814" s="380"/>
      <c r="AB5814" s="383"/>
    </row>
    <row r="5815" spans="1:28">
      <c r="A5815" s="384" t="str">
        <f t="shared" si="18615"/>
        <v>Lantai 3</v>
      </c>
      <c r="B5815" s="385">
        <f t="shared" si="18616"/>
        <v>52</v>
      </c>
      <c r="C5815" s="386" t="str">
        <f t="shared" ref="C5815" si="18803">CONCATENATE(A5815," no. ",B5815)</f>
        <v>Lantai 3 no. 52</v>
      </c>
      <c r="D5815" s="2562" t="str">
        <f>VLOOKUP(C5815,'Data Panjang Balok'!$C$9:$N$254,2,FALSE)</f>
        <v>CL24-1</v>
      </c>
      <c r="E5815" s="2576"/>
      <c r="F5815" s="2576"/>
      <c r="G5815" s="2576"/>
      <c r="H5815" s="2577"/>
      <c r="I5815" s="387"/>
      <c r="J5815" s="388"/>
      <c r="K5815" s="388"/>
      <c r="L5815" s="388"/>
      <c r="M5815" s="388"/>
      <c r="N5815" s="388"/>
      <c r="O5815" s="388"/>
      <c r="P5815" s="388"/>
      <c r="Q5815" s="388"/>
      <c r="R5815" s="388"/>
      <c r="S5815" s="388"/>
      <c r="T5815" s="388"/>
      <c r="U5815" s="388"/>
      <c r="V5815" s="388"/>
      <c r="W5815" s="388"/>
      <c r="X5815" s="388"/>
      <c r="Y5815" s="389"/>
      <c r="Z5815" s="388"/>
      <c r="AA5815" s="388"/>
      <c r="AB5815" s="390"/>
    </row>
    <row r="5816" spans="1:28">
      <c r="A5816" s="391"/>
      <c r="B5816" s="392"/>
      <c r="C5816" s="393" t="s">
        <v>118</v>
      </c>
      <c r="D5816" s="2578">
        <f>VLOOKUP(D5815,'Detail Balok'!$C$10:$AU$140,2,FALSE)</f>
        <v>200</v>
      </c>
      <c r="E5816" s="2579"/>
      <c r="F5816" s="388" t="s">
        <v>125</v>
      </c>
      <c r="G5816" s="2579">
        <f>VLOOKUP(D5815,'Detail Balok'!$C$10:$AU$140,3,FALSE)</f>
        <v>400</v>
      </c>
      <c r="H5816" s="2580"/>
      <c r="I5816" s="388"/>
      <c r="J5816" s="396"/>
      <c r="K5816" s="396"/>
      <c r="L5816" s="396"/>
      <c r="M5816" s="396"/>
      <c r="N5816" s="396"/>
      <c r="O5816" s="396"/>
      <c r="P5816" s="396"/>
      <c r="Q5816" s="396"/>
      <c r="R5816" s="396"/>
      <c r="S5816" s="396"/>
      <c r="T5816" s="396"/>
      <c r="U5816" s="388"/>
      <c r="V5816" s="396"/>
      <c r="W5816" s="388"/>
      <c r="X5816" s="396"/>
      <c r="Y5816" s="389"/>
      <c r="Z5816" s="396"/>
      <c r="AA5816" s="388"/>
      <c r="AB5816" s="390"/>
    </row>
    <row r="5817" spans="1:28">
      <c r="A5817" s="391"/>
      <c r="B5817" s="392"/>
      <c r="C5817" s="393" t="s">
        <v>198</v>
      </c>
      <c r="D5817" s="2562">
        <f>VLOOKUP(C5815,'Data Panjang Balok'!$C$9:$N$254,4,FALSE)</f>
        <v>925</v>
      </c>
      <c r="E5817" s="2563"/>
      <c r="F5817" s="2563"/>
      <c r="G5817" s="2563"/>
      <c r="H5817" s="2564"/>
      <c r="I5817" s="397"/>
      <c r="J5817" s="396"/>
      <c r="K5817" s="396"/>
      <c r="L5817" s="396"/>
      <c r="M5817" s="396"/>
      <c r="N5817" s="396"/>
      <c r="O5817" s="396"/>
      <c r="P5817" s="396"/>
      <c r="Q5817" s="396"/>
      <c r="R5817" s="396"/>
      <c r="S5817" s="396"/>
      <c r="T5817" s="396"/>
      <c r="U5817" s="388"/>
      <c r="V5817" s="396"/>
      <c r="W5817" s="388"/>
      <c r="X5817" s="396"/>
      <c r="Y5817" s="389"/>
      <c r="Z5817" s="396"/>
      <c r="AA5817" s="388"/>
      <c r="AB5817" s="390"/>
    </row>
    <row r="5818" spans="1:28">
      <c r="A5818" s="391"/>
      <c r="B5818" s="392"/>
      <c r="C5818" s="393" t="s">
        <v>199</v>
      </c>
      <c r="D5818" s="2562">
        <f>VLOOKUP(C5815,'Data Panjang Balok'!$C$9:$N$254,7,FALSE)</f>
        <v>925</v>
      </c>
      <c r="E5818" s="2563"/>
      <c r="F5818" s="2563"/>
      <c r="G5818" s="2563"/>
      <c r="H5818" s="2564"/>
      <c r="I5818" s="397"/>
      <c r="J5818" s="396"/>
      <c r="K5818" s="396"/>
      <c r="L5818" s="396"/>
      <c r="M5818" s="396"/>
      <c r="N5818" s="396"/>
      <c r="O5818" s="396"/>
      <c r="P5818" s="396"/>
      <c r="Q5818" s="396"/>
      <c r="R5818" s="396"/>
      <c r="S5818" s="396"/>
      <c r="T5818" s="396"/>
      <c r="U5818" s="388"/>
      <c r="V5818" s="396"/>
      <c r="W5818" s="388"/>
      <c r="X5818" s="396"/>
      <c r="Y5818" s="389"/>
      <c r="Z5818" s="396"/>
      <c r="AA5818" s="388"/>
      <c r="AB5818" s="390"/>
    </row>
    <row r="5819" spans="1:28">
      <c r="A5819" s="391"/>
      <c r="B5819" s="392"/>
      <c r="C5819" s="393" t="s">
        <v>200</v>
      </c>
      <c r="D5819" s="2562">
        <f>VLOOKUP(C5815,'Data Panjang Balok'!$C$9:$N$254,9,FALSE)</f>
        <v>0</v>
      </c>
      <c r="E5819" s="2563"/>
      <c r="F5819" s="2563"/>
      <c r="G5819" s="2563"/>
      <c r="H5819" s="2564"/>
      <c r="I5819" s="397"/>
      <c r="J5819" s="396"/>
      <c r="K5819" s="396"/>
      <c r="L5819" s="396"/>
      <c r="M5819" s="396"/>
      <c r="N5819" s="396"/>
      <c r="O5819" s="396"/>
      <c r="P5819" s="396"/>
      <c r="Q5819" s="396"/>
      <c r="R5819" s="396"/>
      <c r="S5819" s="396"/>
      <c r="T5819" s="396"/>
      <c r="U5819" s="388"/>
      <c r="V5819" s="396"/>
      <c r="W5819" s="388"/>
      <c r="X5819" s="396"/>
      <c r="Y5819" s="389"/>
      <c r="Z5819" s="396"/>
      <c r="AA5819" s="388"/>
      <c r="AB5819" s="390"/>
    </row>
    <row r="5820" spans="1:28">
      <c r="A5820" s="391"/>
      <c r="B5820" s="392"/>
      <c r="C5820" s="393" t="s">
        <v>201</v>
      </c>
      <c r="D5820" s="2562">
        <f>VLOOKUP(C5815,'Data Panjang Balok'!$C$9:$N$254,10,FALSE)</f>
        <v>0</v>
      </c>
      <c r="E5820" s="2563"/>
      <c r="F5820" s="2563"/>
      <c r="G5820" s="2563"/>
      <c r="H5820" s="2564"/>
      <c r="I5820" s="397"/>
      <c r="J5820" s="396"/>
      <c r="K5820" s="396"/>
      <c r="L5820" s="396"/>
      <c r="M5820" s="396"/>
      <c r="N5820" s="396"/>
      <c r="O5820" s="396"/>
      <c r="P5820" s="396"/>
      <c r="Q5820" s="396"/>
      <c r="R5820" s="396"/>
      <c r="S5820" s="396"/>
      <c r="T5820" s="396"/>
      <c r="U5820" s="388"/>
      <c r="V5820" s="396"/>
      <c r="W5820" s="388"/>
      <c r="X5820" s="396"/>
      <c r="Y5820" s="389"/>
      <c r="Z5820" s="396"/>
      <c r="AA5820" s="388"/>
      <c r="AB5820" s="390"/>
    </row>
    <row r="5821" spans="1:28">
      <c r="A5821" s="391"/>
      <c r="B5821" s="392"/>
      <c r="C5821" s="393" t="s">
        <v>48</v>
      </c>
      <c r="D5821" s="2562">
        <f>VLOOKUP(C5815,'Data Panjang Balok'!$C$9:$N$254,3,FALSE)</f>
        <v>1</v>
      </c>
      <c r="E5821" s="2563"/>
      <c r="F5821" s="2563"/>
      <c r="G5821" s="2563"/>
      <c r="H5821" s="2564"/>
      <c r="I5821" s="397"/>
      <c r="J5821" s="396"/>
      <c r="K5821" s="396"/>
      <c r="L5821" s="396"/>
      <c r="M5821" s="396"/>
      <c r="N5821" s="396"/>
      <c r="O5821" s="396"/>
      <c r="P5821" s="396"/>
      <c r="Q5821" s="396"/>
      <c r="R5821" s="396"/>
      <c r="S5821" s="396"/>
      <c r="T5821" s="396"/>
      <c r="U5821" s="388"/>
      <c r="V5821" s="396"/>
      <c r="W5821" s="388"/>
      <c r="X5821" s="396"/>
      <c r="Y5821" s="389"/>
      <c r="Z5821" s="396"/>
      <c r="AA5821" s="388"/>
      <c r="AB5821" s="390"/>
    </row>
    <row r="5822" spans="1:28">
      <c r="A5822" s="384" t="str">
        <f t="shared" ref="A5822:B5822" si="18804">A5815</f>
        <v>Lantai 3</v>
      </c>
      <c r="B5822" s="385">
        <f t="shared" si="18804"/>
        <v>52</v>
      </c>
      <c r="C5822" s="393" t="s">
        <v>202</v>
      </c>
      <c r="D5822" s="398">
        <f>VLOOKUP(D5815,'Detail Balok'!$C$10:$AU$140,4,FALSE)</f>
        <v>3</v>
      </c>
      <c r="E5822" s="388" t="s">
        <v>16</v>
      </c>
      <c r="F5822" s="388">
        <f>VLOOKUP(D5815,'Detail Balok'!$C$10:$AU$140,6,FALSE)</f>
        <v>16</v>
      </c>
      <c r="G5822" s="388"/>
      <c r="H5822" s="395"/>
      <c r="I5822" s="388" t="s">
        <v>203</v>
      </c>
      <c r="J5822" s="399">
        <f t="shared" ref="J5822" si="18805">+D5817/4/1000</f>
        <v>0.23125000000000001</v>
      </c>
      <c r="K5822" s="400" t="s">
        <v>204</v>
      </c>
      <c r="L5822" s="399">
        <f t="shared" ref="L5822" si="18806">MAX(VLOOKUP(F5822,N$6:P$15,3,FALSE)/1000,2/3*D5819/1000)+F$16*F5822/1000</f>
        <v>0.192</v>
      </c>
      <c r="M5822" s="399" t="s">
        <v>176</v>
      </c>
      <c r="N5822" s="399">
        <f t="shared" ref="N5822:N5824" si="18807">J5822+L5822</f>
        <v>0.42325000000000002</v>
      </c>
      <c r="O5822" s="399" t="s">
        <v>204</v>
      </c>
      <c r="P5822" s="389">
        <f t="shared" ref="P5822" si="18808">D5822-D5823</f>
        <v>0</v>
      </c>
      <c r="Q5822" s="399" t="s">
        <v>125</v>
      </c>
      <c r="R5822" s="399">
        <f t="shared" ref="R5822" si="18809">IF(P5822&gt;0,$F$18*F5822/1000,0)</f>
        <v>0</v>
      </c>
      <c r="S5822" s="399" t="s">
        <v>205</v>
      </c>
      <c r="T5822" s="399" t="s">
        <v>125</v>
      </c>
      <c r="U5822" s="401">
        <f t="shared" ref="U5822:U5824" si="18810">0.006165*F5822^2</f>
        <v>1.5782400000000001</v>
      </c>
      <c r="V5822" s="399"/>
      <c r="W5822" s="399"/>
      <c r="X5822" s="399" t="s">
        <v>125</v>
      </c>
      <c r="Y5822" s="389">
        <f t="shared" ref="Y5822" si="18811">D5821</f>
        <v>1</v>
      </c>
      <c r="Z5822" s="400" t="s">
        <v>176</v>
      </c>
      <c r="AA5822" s="402">
        <f t="shared" ref="AA5822" si="18812">IF(AA5825=0,(D5822*N5822+P5822*R5822)*U5822*Y5822,0)</f>
        <v>0</v>
      </c>
      <c r="AB5822" s="403"/>
    </row>
    <row r="5823" spans="1:28">
      <c r="A5823" s="384" t="str">
        <f t="shared" ref="A5823:B5823" si="18813">A5815</f>
        <v>Lantai 3</v>
      </c>
      <c r="B5823" s="385">
        <f t="shared" si="18813"/>
        <v>52</v>
      </c>
      <c r="C5823" s="393" t="s">
        <v>206</v>
      </c>
      <c r="D5823" s="398">
        <f>VLOOKUP(D5815,'Detail Balok'!$C$10:$AU$140,7,FALSE)</f>
        <v>3</v>
      </c>
      <c r="E5823" s="388" t="s">
        <v>16</v>
      </c>
      <c r="F5823" s="388">
        <f>VLOOKUP(D5815,'Detail Balok'!$C$10:$AU$140,9,FALSE)</f>
        <v>16</v>
      </c>
      <c r="G5823" s="388"/>
      <c r="H5823" s="395"/>
      <c r="I5823" s="388" t="s">
        <v>203</v>
      </c>
      <c r="J5823" s="399">
        <f t="shared" ref="J5823" si="18814">+D5817/2/1000</f>
        <v>0.46250000000000002</v>
      </c>
      <c r="K5823" s="400" t="s">
        <v>204</v>
      </c>
      <c r="L5823" s="399"/>
      <c r="M5823" s="399" t="s">
        <v>176</v>
      </c>
      <c r="N5823" s="399">
        <f t="shared" si="18807"/>
        <v>0.46250000000000002</v>
      </c>
      <c r="O5823" s="399" t="s">
        <v>204</v>
      </c>
      <c r="P5823" s="389">
        <f t="shared" ref="P5823" si="18815">MAX(D5823-D5822,D5823-D5824)</f>
        <v>0</v>
      </c>
      <c r="Q5823" s="399" t="s">
        <v>125</v>
      </c>
      <c r="R5823" s="399">
        <f t="shared" ref="R5823" si="18816">IF(P5823&gt;0,2*(1-2*$F$19-1/2)*D5818/1000,0)</f>
        <v>0</v>
      </c>
      <c r="S5823" s="399" t="s">
        <v>205</v>
      </c>
      <c r="T5823" s="399" t="s">
        <v>125</v>
      </c>
      <c r="U5823" s="401">
        <f t="shared" si="18810"/>
        <v>1.5782400000000001</v>
      </c>
      <c r="V5823" s="399"/>
      <c r="W5823" s="399"/>
      <c r="X5823" s="399" t="s">
        <v>125</v>
      </c>
      <c r="Y5823" s="389">
        <f t="shared" ref="Y5823" si="18817">D5821</f>
        <v>1</v>
      </c>
      <c r="Z5823" s="400" t="s">
        <v>176</v>
      </c>
      <c r="AA5823" s="402">
        <f t="shared" ref="AA5823" si="18818">IF(AA5825=0,(D5823*N5823+P5823*R5823)*U5823*Y5823,0)</f>
        <v>0</v>
      </c>
      <c r="AB5823" s="403"/>
    </row>
    <row r="5824" spans="1:28">
      <c r="A5824" s="384" t="str">
        <f t="shared" ref="A5824:B5824" si="18819">A5815</f>
        <v>Lantai 3</v>
      </c>
      <c r="B5824" s="385">
        <f t="shared" si="18819"/>
        <v>52</v>
      </c>
      <c r="C5824" s="393" t="s">
        <v>202</v>
      </c>
      <c r="D5824" s="398">
        <f>VLOOKUP(D5815,'Detail Balok'!$C$10:$AU$140,10,FALSE)</f>
        <v>3</v>
      </c>
      <c r="E5824" s="388" t="s">
        <v>16</v>
      </c>
      <c r="F5824" s="388">
        <f>VLOOKUP(D5815,'Detail Balok'!$C$10:$AU$140,12,FALSE)</f>
        <v>16</v>
      </c>
      <c r="G5824" s="388"/>
      <c r="H5824" s="395"/>
      <c r="I5824" s="388" t="s">
        <v>203</v>
      </c>
      <c r="J5824" s="399">
        <f t="shared" ref="J5824" si="18820">+D5817/4/1000</f>
        <v>0.23125000000000001</v>
      </c>
      <c r="K5824" s="400" t="s">
        <v>204</v>
      </c>
      <c r="L5824" s="399">
        <f t="shared" ref="L5824" si="18821">MAX(VLOOKUP(F5824,N$6:P$15,3,FALSE)/1000,2/3*D5819/1000)+F$16*F5824/1000</f>
        <v>0.192</v>
      </c>
      <c r="M5824" s="399" t="s">
        <v>176</v>
      </c>
      <c r="N5824" s="399">
        <f t="shared" si="18807"/>
        <v>0.42325000000000002</v>
      </c>
      <c r="O5824" s="399" t="s">
        <v>204</v>
      </c>
      <c r="P5824" s="389">
        <f t="shared" ref="P5824" si="18822">D5824-D5823</f>
        <v>0</v>
      </c>
      <c r="Q5824" s="399" t="s">
        <v>125</v>
      </c>
      <c r="R5824" s="399">
        <f t="shared" ref="R5824" si="18823">IF(P5824&gt;0,$F$18*F5824/1000,0)</f>
        <v>0</v>
      </c>
      <c r="S5824" s="399" t="s">
        <v>205</v>
      </c>
      <c r="T5824" s="399" t="s">
        <v>125</v>
      </c>
      <c r="U5824" s="401">
        <f t="shared" si="18810"/>
        <v>1.5782400000000001</v>
      </c>
      <c r="V5824" s="399"/>
      <c r="W5824" s="399"/>
      <c r="X5824" s="399" t="s">
        <v>125</v>
      </c>
      <c r="Y5824" s="389">
        <f t="shared" ref="Y5824" si="18824">D5821</f>
        <v>1</v>
      </c>
      <c r="Z5824" s="400" t="s">
        <v>176</v>
      </c>
      <c r="AA5824" s="402">
        <f t="shared" ref="AA5824" si="18825">IF(AA5825=0,(D5824*N5824+P5824*R5824)*U5824*Y5824,0)</f>
        <v>0</v>
      </c>
      <c r="AB5824" s="403"/>
    </row>
    <row r="5825" spans="1:28">
      <c r="A5825" s="384" t="str">
        <f t="shared" ref="A5825:B5825" si="18826">A5815</f>
        <v>Lantai 3</v>
      </c>
      <c r="B5825" s="385">
        <f t="shared" si="18826"/>
        <v>52</v>
      </c>
      <c r="C5825" s="393"/>
      <c r="D5825" s="398">
        <f t="shared" ref="D5825:D5885" si="18827">IF(AND(D5822=D5823,D5823=D5824,D5822=D5824),D5822,0)</f>
        <v>3</v>
      </c>
      <c r="E5825" s="388" t="s">
        <v>16</v>
      </c>
      <c r="F5825" s="388">
        <f t="shared" ref="F5825:F5885" si="18828">IF(AND(F5822=F5823,F5822=F5824,F5823=F5824),F5822,0)</f>
        <v>16</v>
      </c>
      <c r="G5825" s="388"/>
      <c r="H5825" s="395"/>
      <c r="I5825" s="388"/>
      <c r="J5825" s="396"/>
      <c r="K5825" s="396"/>
      <c r="L5825" s="404" t="s">
        <v>207</v>
      </c>
      <c r="M5825" s="399" t="s">
        <v>176</v>
      </c>
      <c r="N5825" s="399">
        <f t="shared" ref="N5825" si="18829">IF(AND(D5822=D5823,D5822=D5824,D5823=D5824,F5822=F5823,F5822=F5824,F5823=F5824),SUM(N5822:N5824),0)</f>
        <v>1.3090000000000002</v>
      </c>
      <c r="O5825" s="399" t="s">
        <v>204</v>
      </c>
      <c r="P5825" s="389">
        <f t="shared" ref="P5825" si="18830">IF(N5825&gt;12,ROUNDDOWN(N5825/12,0),0)</f>
        <v>0</v>
      </c>
      <c r="Q5825" s="399" t="s">
        <v>125</v>
      </c>
      <c r="R5825" s="399">
        <f t="shared" ref="R5825" si="18831">IF(P5825&gt;0,MAX(VLOOKUP(F5825,$D$6:$G$15,3,FALSE),600),0)/1000</f>
        <v>0</v>
      </c>
      <c r="S5825" s="396"/>
      <c r="T5825" s="396" t="s">
        <v>125</v>
      </c>
      <c r="U5825" s="401">
        <f t="shared" ref="U5825:U5885" si="18832">U5824</f>
        <v>1.5782400000000001</v>
      </c>
      <c r="V5825" s="396" t="s">
        <v>125</v>
      </c>
      <c r="W5825" s="399">
        <f t="shared" ref="W5825" si="18833">D5825</f>
        <v>3</v>
      </c>
      <c r="X5825" s="399" t="s">
        <v>125</v>
      </c>
      <c r="Y5825" s="389">
        <f t="shared" ref="Y5825:Y5885" si="18834">Y5824</f>
        <v>1</v>
      </c>
      <c r="Z5825" s="400" t="s">
        <v>176</v>
      </c>
      <c r="AA5825" s="402">
        <f t="shared" ref="AA5825" si="18835">(N5825+P5825*R5825/1000)*U5825*W5825*Y5825</f>
        <v>6.1977484800000013</v>
      </c>
      <c r="AB5825" s="390"/>
    </row>
    <row r="5826" spans="1:28">
      <c r="A5826" s="384"/>
      <c r="B5826" s="385"/>
      <c r="C5826" s="393"/>
      <c r="D5826" s="398"/>
      <c r="E5826" s="388"/>
      <c r="F5826" s="388"/>
      <c r="G5826" s="388"/>
      <c r="H5826" s="395"/>
      <c r="I5826" s="388"/>
      <c r="J5826" s="396"/>
      <c r="K5826" s="396"/>
      <c r="L5826" s="404"/>
      <c r="M5826" s="399"/>
      <c r="N5826" s="399"/>
      <c r="O5826" s="396"/>
      <c r="P5826" s="389"/>
      <c r="Q5826" s="396"/>
      <c r="R5826" s="396"/>
      <c r="S5826" s="396"/>
      <c r="T5826" s="396"/>
      <c r="U5826" s="401"/>
      <c r="V5826" s="396"/>
      <c r="W5826" s="399"/>
      <c r="X5826" s="396"/>
      <c r="Y5826" s="389"/>
      <c r="Z5826" s="396"/>
      <c r="AA5826" s="388"/>
      <c r="AB5826" s="390"/>
    </row>
    <row r="5827" spans="1:28">
      <c r="A5827" s="384" t="str">
        <f t="shared" ref="A5827:B5827" si="18836">A5815</f>
        <v>Lantai 3</v>
      </c>
      <c r="B5827" s="385">
        <f t="shared" si="18836"/>
        <v>52</v>
      </c>
      <c r="C5827" s="393" t="s">
        <v>208</v>
      </c>
      <c r="D5827" s="398">
        <f>VLOOKUP(D5815,'Detail Balok'!$C$10:$AU$140,13,FALSE)</f>
        <v>0</v>
      </c>
      <c r="E5827" s="388" t="s">
        <v>16</v>
      </c>
      <c r="F5827" s="388">
        <f>VLOOKUP(D5815,'Detail Balok'!$C$10:$AU$140,15,FALSE)</f>
        <v>8</v>
      </c>
      <c r="G5827" s="388"/>
      <c r="H5827" s="395"/>
      <c r="I5827" s="388"/>
      <c r="J5827" s="399">
        <f t="shared" ref="J5827" si="18837">+D5817/1000</f>
        <v>0.92500000000000004</v>
      </c>
      <c r="K5827" s="400" t="s">
        <v>204</v>
      </c>
      <c r="L5827" s="399">
        <f t="shared" ref="L5827" si="18838">2*$F$16*F5827/1000</f>
        <v>0.192</v>
      </c>
      <c r="M5827" s="399" t="s">
        <v>176</v>
      </c>
      <c r="N5827" s="399">
        <f t="shared" ref="N5827" si="18839">J5827+L5827</f>
        <v>1.117</v>
      </c>
      <c r="O5827" s="399" t="s">
        <v>204</v>
      </c>
      <c r="P5827" s="389">
        <f t="shared" ref="P5827" si="18840">IF(N5827&gt;12,ROUNDDOWN(N5827/12,0),0)</f>
        <v>0</v>
      </c>
      <c r="Q5827" s="399" t="s">
        <v>125</v>
      </c>
      <c r="R5827" s="399">
        <f t="shared" ref="R5827" si="18841">IF(P5827&gt;0,MAX(VLOOKUP(F5827,$D$6:$G$15,3,FALSE),600),0)/1000</f>
        <v>0</v>
      </c>
      <c r="S5827" s="399"/>
      <c r="T5827" s="399" t="s">
        <v>125</v>
      </c>
      <c r="U5827" s="401">
        <f t="shared" ref="U5827" si="18842">0.006165*F5827^2</f>
        <v>0.39456000000000002</v>
      </c>
      <c r="V5827" s="399" t="s">
        <v>125</v>
      </c>
      <c r="W5827" s="399">
        <f t="shared" ref="W5827" si="18843">+D5827</f>
        <v>0</v>
      </c>
      <c r="X5827" s="399" t="s">
        <v>125</v>
      </c>
      <c r="Y5827" s="389">
        <f t="shared" ref="Y5827" si="18844">D5821</f>
        <v>1</v>
      </c>
      <c r="Z5827" s="400" t="s">
        <v>176</v>
      </c>
      <c r="AA5827" s="402">
        <f t="shared" ref="AA5827" si="18845">(N5827+P5827*R5827/1000)*U5827*W5827*Y5827</f>
        <v>0</v>
      </c>
      <c r="AB5827" s="403"/>
    </row>
    <row r="5828" spans="1:28">
      <c r="A5828" s="384"/>
      <c r="B5828" s="385"/>
      <c r="C5828" s="393"/>
      <c r="D5828" s="398"/>
      <c r="E5828" s="388"/>
      <c r="F5828" s="388"/>
      <c r="G5828" s="388"/>
      <c r="H5828" s="395"/>
      <c r="I5828" s="388"/>
      <c r="J5828" s="399"/>
      <c r="K5828" s="400"/>
      <c r="L5828" s="399"/>
      <c r="M5828" s="399"/>
      <c r="N5828" s="399"/>
      <c r="O5828" s="399"/>
      <c r="P5828" s="389"/>
      <c r="Q5828" s="399"/>
      <c r="R5828" s="399"/>
      <c r="S5828" s="399"/>
      <c r="T5828" s="399"/>
      <c r="U5828" s="401"/>
      <c r="V5828" s="399"/>
      <c r="W5828" s="399"/>
      <c r="X5828" s="399"/>
      <c r="Y5828" s="389"/>
      <c r="Z5828" s="400"/>
      <c r="AA5828" s="402"/>
      <c r="AB5828" s="403"/>
    </row>
    <row r="5829" spans="1:28">
      <c r="A5829" s="384"/>
      <c r="B5829" s="385"/>
      <c r="C5829" s="393"/>
      <c r="D5829" s="398"/>
      <c r="E5829" s="388"/>
      <c r="F5829" s="388"/>
      <c r="G5829" s="388"/>
      <c r="H5829" s="395"/>
      <c r="I5829" s="388"/>
      <c r="J5829" s="396"/>
      <c r="K5829" s="396"/>
      <c r="L5829" s="396"/>
      <c r="M5829" s="396"/>
      <c r="N5829" s="396"/>
      <c r="O5829" s="396"/>
      <c r="P5829" s="389"/>
      <c r="Q5829" s="396"/>
      <c r="R5829" s="396"/>
      <c r="S5829" s="396"/>
      <c r="T5829" s="396"/>
      <c r="U5829" s="401"/>
      <c r="V5829" s="396"/>
      <c r="W5829" s="399"/>
      <c r="X5829" s="396"/>
      <c r="Y5829" s="389"/>
      <c r="Z5829" s="396"/>
      <c r="AA5829" s="388"/>
      <c r="AB5829" s="390"/>
    </row>
    <row r="5830" spans="1:28">
      <c r="A5830" s="384" t="str">
        <f t="shared" ref="A5830:B5830" si="18846">A5815</f>
        <v>Lantai 3</v>
      </c>
      <c r="B5830" s="385">
        <f t="shared" si="18846"/>
        <v>52</v>
      </c>
      <c r="C5830" s="393" t="s">
        <v>209</v>
      </c>
      <c r="D5830" s="398">
        <f>VLOOKUP(D5815,'Detail Balok'!$C$10:$AU$140,22,FALSE)</f>
        <v>3</v>
      </c>
      <c r="E5830" s="388" t="s">
        <v>16</v>
      </c>
      <c r="F5830" s="388">
        <f>VLOOKUP(D5815,'Detail Balok'!$C$10:$AU$140,24,FALSE)</f>
        <v>16</v>
      </c>
      <c r="G5830" s="388"/>
      <c r="H5830" s="395"/>
      <c r="I5830" s="388" t="s">
        <v>203</v>
      </c>
      <c r="J5830" s="399">
        <f t="shared" ref="J5830:J5892" si="18847">+J5822</f>
        <v>0.23125000000000001</v>
      </c>
      <c r="K5830" s="400" t="s">
        <v>204</v>
      </c>
      <c r="L5830" s="399">
        <f t="shared" ref="L5830" si="18848">MAX(VLOOKUP(F5830,N$6:P$15,3,FALSE)/1000,2/3*D5820/1000)+F$16*F5830/1000</f>
        <v>0.192</v>
      </c>
      <c r="M5830" s="399" t="s">
        <v>176</v>
      </c>
      <c r="N5830" s="399">
        <f t="shared" ref="N5830:N5832" si="18849">J5830+L5830</f>
        <v>0.42325000000000002</v>
      </c>
      <c r="O5830" s="399" t="s">
        <v>204</v>
      </c>
      <c r="P5830" s="389">
        <f t="shared" ref="P5830" si="18850">D5830-D5831</f>
        <v>0</v>
      </c>
      <c r="Q5830" s="399" t="s">
        <v>125</v>
      </c>
      <c r="R5830" s="399">
        <f t="shared" ref="R5830" si="18851">IF(P5830&gt;0,$F$18*F5830/1000,0)</f>
        <v>0</v>
      </c>
      <c r="S5830" s="399" t="s">
        <v>205</v>
      </c>
      <c r="T5830" s="399" t="s">
        <v>125</v>
      </c>
      <c r="U5830" s="401">
        <f t="shared" ref="U5830:U5832" si="18852">0.006165*F5830^2</f>
        <v>1.5782400000000001</v>
      </c>
      <c r="V5830" s="399"/>
      <c r="W5830" s="399"/>
      <c r="X5830" s="399" t="s">
        <v>125</v>
      </c>
      <c r="Y5830" s="389">
        <f t="shared" ref="Y5830" si="18853">D5821</f>
        <v>1</v>
      </c>
      <c r="Z5830" s="400" t="s">
        <v>176</v>
      </c>
      <c r="AA5830" s="402">
        <f t="shared" ref="AA5830" si="18854">IF(AA5833=0,(D5830*N5830+P5830*R5830)*U5830*Y5830,0)</f>
        <v>0</v>
      </c>
      <c r="AB5830" s="403"/>
    </row>
    <row r="5831" spans="1:28">
      <c r="A5831" s="384" t="str">
        <f t="shared" ref="A5831:B5831" si="18855">A5815</f>
        <v>Lantai 3</v>
      </c>
      <c r="B5831" s="385">
        <f t="shared" si="18855"/>
        <v>52</v>
      </c>
      <c r="C5831" s="393" t="s">
        <v>210</v>
      </c>
      <c r="D5831" s="398">
        <f>VLOOKUP(D5815,'Detail Balok'!$C$10:$AU$140,25,FALSE)</f>
        <v>3</v>
      </c>
      <c r="E5831" s="388" t="s">
        <v>16</v>
      </c>
      <c r="F5831" s="388">
        <f>VLOOKUP(D5815,'Detail Balok'!$C$10:$AU$140,27,FALSE)</f>
        <v>16</v>
      </c>
      <c r="G5831" s="388"/>
      <c r="H5831" s="395"/>
      <c r="I5831" s="388" t="s">
        <v>203</v>
      </c>
      <c r="J5831" s="399">
        <f t="shared" si="18847"/>
        <v>0.46250000000000002</v>
      </c>
      <c r="K5831" s="400" t="s">
        <v>204</v>
      </c>
      <c r="L5831" s="399"/>
      <c r="M5831" s="399" t="s">
        <v>176</v>
      </c>
      <c r="N5831" s="399">
        <f t="shared" si="18849"/>
        <v>0.46250000000000002</v>
      </c>
      <c r="O5831" s="399" t="s">
        <v>204</v>
      </c>
      <c r="P5831" s="389">
        <f t="shared" ref="P5831" si="18856">MAX(D5831-D5830,D5831-D5832)</f>
        <v>0</v>
      </c>
      <c r="Q5831" s="399" t="s">
        <v>125</v>
      </c>
      <c r="R5831" s="399">
        <f t="shared" ref="R5831" si="18857">IF(P5831&gt;0,2*(1-2*$F$19-1/2)*D5818/1000,0)</f>
        <v>0</v>
      </c>
      <c r="S5831" s="399" t="s">
        <v>205</v>
      </c>
      <c r="T5831" s="399" t="s">
        <v>125</v>
      </c>
      <c r="U5831" s="401">
        <f t="shared" si="18852"/>
        <v>1.5782400000000001</v>
      </c>
      <c r="V5831" s="399"/>
      <c r="W5831" s="399"/>
      <c r="X5831" s="399" t="s">
        <v>125</v>
      </c>
      <c r="Y5831" s="389">
        <f t="shared" ref="Y5831" si="18858">D5821</f>
        <v>1</v>
      </c>
      <c r="Z5831" s="400" t="s">
        <v>176</v>
      </c>
      <c r="AA5831" s="402">
        <f t="shared" ref="AA5831" si="18859">IF(AA5833=0,(D5831*N5831+P5831*R5831)*U5831*Y5831,0)</f>
        <v>0</v>
      </c>
      <c r="AB5831" s="403"/>
    </row>
    <row r="5832" spans="1:28">
      <c r="A5832" s="384" t="str">
        <f t="shared" ref="A5832:B5832" si="18860">A5815</f>
        <v>Lantai 3</v>
      </c>
      <c r="B5832" s="385">
        <f t="shared" si="18860"/>
        <v>52</v>
      </c>
      <c r="C5832" s="393" t="s">
        <v>209</v>
      </c>
      <c r="D5832" s="398">
        <f>VLOOKUP(D5815,'Detail Balok'!$C$10:$AU$140,28,FALSE)</f>
        <v>3</v>
      </c>
      <c r="E5832" s="388" t="s">
        <v>16</v>
      </c>
      <c r="F5832" s="388">
        <f>VLOOKUP(D5815,'Detail Balok'!$C$10:$AU$140,30,FALSE)</f>
        <v>16</v>
      </c>
      <c r="G5832" s="388"/>
      <c r="H5832" s="395"/>
      <c r="I5832" s="388" t="s">
        <v>203</v>
      </c>
      <c r="J5832" s="399">
        <f t="shared" si="18847"/>
        <v>0.23125000000000001</v>
      </c>
      <c r="K5832" s="400" t="s">
        <v>204</v>
      </c>
      <c r="L5832" s="399">
        <f t="shared" ref="L5832" si="18861">MAX(VLOOKUP(F5832,N$6:P$15,3,FALSE)/1000,2/3*D5820/1000)+F$16*F5832/1000</f>
        <v>0.192</v>
      </c>
      <c r="M5832" s="399" t="s">
        <v>176</v>
      </c>
      <c r="N5832" s="399">
        <f t="shared" si="18849"/>
        <v>0.42325000000000002</v>
      </c>
      <c r="O5832" s="399" t="s">
        <v>204</v>
      </c>
      <c r="P5832" s="389">
        <f t="shared" ref="P5832" si="18862">D5832-D5831</f>
        <v>0</v>
      </c>
      <c r="Q5832" s="399" t="s">
        <v>125</v>
      </c>
      <c r="R5832" s="399">
        <f t="shared" ref="R5832" si="18863">IF(P5832&gt;0,$F$18*F5832/1000,0)</f>
        <v>0</v>
      </c>
      <c r="S5832" s="399" t="s">
        <v>205</v>
      </c>
      <c r="T5832" s="399" t="s">
        <v>125</v>
      </c>
      <c r="U5832" s="401">
        <f t="shared" si="18852"/>
        <v>1.5782400000000001</v>
      </c>
      <c r="V5832" s="399"/>
      <c r="W5832" s="399"/>
      <c r="X5832" s="399" t="s">
        <v>125</v>
      </c>
      <c r="Y5832" s="389">
        <f t="shared" ref="Y5832" si="18864">D5821</f>
        <v>1</v>
      </c>
      <c r="Z5832" s="400" t="s">
        <v>176</v>
      </c>
      <c r="AA5832" s="402">
        <f t="shared" ref="AA5832" si="18865">IF(AA5833=0,(D5832*N5832+P5832*R5832)*U5832*Y5832,0)</f>
        <v>0</v>
      </c>
      <c r="AB5832" s="403"/>
    </row>
    <row r="5833" spans="1:28">
      <c r="A5833" s="384" t="str">
        <f t="shared" ref="A5833:B5833" si="18866">A5815</f>
        <v>Lantai 3</v>
      </c>
      <c r="B5833" s="385">
        <f t="shared" si="18866"/>
        <v>52</v>
      </c>
      <c r="C5833" s="393"/>
      <c r="D5833" s="398">
        <f t="shared" ref="D5833:D5893" si="18867">IF(AND(D5830=D5831,D5831=D5832,D5830=D5832),D5830,0)</f>
        <v>3</v>
      </c>
      <c r="E5833" s="388" t="s">
        <v>16</v>
      </c>
      <c r="F5833" s="388">
        <f t="shared" ref="F5833:F5893" si="18868">IF(AND(F5830=F5831,F5830=F5832,F5831=F5832),F5830,0)</f>
        <v>16</v>
      </c>
      <c r="G5833" s="388"/>
      <c r="H5833" s="395"/>
      <c r="I5833" s="388"/>
      <c r="J5833" s="396"/>
      <c r="K5833" s="396"/>
      <c r="L5833" s="404" t="s">
        <v>207</v>
      </c>
      <c r="M5833" s="399" t="s">
        <v>176</v>
      </c>
      <c r="N5833" s="399">
        <f t="shared" ref="N5833" si="18869">IF(AND(D5830=D5831,D5830=D5832,D5831=D5832,F5830=F5831,F5830=F5832,F5831=F5832),SUM(N5830:N5832),0)</f>
        <v>1.3090000000000002</v>
      </c>
      <c r="O5833" s="399" t="s">
        <v>204</v>
      </c>
      <c r="P5833" s="389">
        <f t="shared" ref="P5833" si="18870">IF(N5833&gt;12,ROUNDDOWN(N5833/12,0),0)</f>
        <v>0</v>
      </c>
      <c r="Q5833" s="399" t="s">
        <v>125</v>
      </c>
      <c r="R5833" s="399">
        <f t="shared" ref="R5833" si="18871">IF(P5833&gt;0,MAX(VLOOKUP(F5833,$D$6:$G$15,3,FALSE),600),0)/1000</f>
        <v>0</v>
      </c>
      <c r="S5833" s="396"/>
      <c r="T5833" s="396" t="s">
        <v>125</v>
      </c>
      <c r="U5833" s="401">
        <f t="shared" ref="U5833:U5893" si="18872">U5832</f>
        <v>1.5782400000000001</v>
      </c>
      <c r="V5833" s="396" t="s">
        <v>125</v>
      </c>
      <c r="W5833" s="399">
        <f t="shared" ref="W5833" si="18873">D5833</f>
        <v>3</v>
      </c>
      <c r="X5833" s="399" t="s">
        <v>125</v>
      </c>
      <c r="Y5833" s="389">
        <f t="shared" ref="Y5833:Y5893" si="18874">Y5832</f>
        <v>1</v>
      </c>
      <c r="Z5833" s="400" t="s">
        <v>176</v>
      </c>
      <c r="AA5833" s="402">
        <f t="shared" ref="AA5833" si="18875">(N5833+P5833*R5833/1000)*U5833*W5833*Y5833</f>
        <v>6.1977484800000013</v>
      </c>
      <c r="AB5833" s="403"/>
    </row>
    <row r="5834" spans="1:28">
      <c r="A5834" s="384"/>
      <c r="B5834" s="385"/>
      <c r="C5834" s="393"/>
      <c r="D5834" s="394"/>
      <c r="E5834" s="388"/>
      <c r="F5834" s="388"/>
      <c r="G5834" s="388"/>
      <c r="H5834" s="395"/>
      <c r="I5834" s="388"/>
      <c r="J5834" s="399"/>
      <c r="K5834" s="396"/>
      <c r="L5834" s="396"/>
      <c r="M5834" s="396"/>
      <c r="N5834" s="396"/>
      <c r="O5834" s="396"/>
      <c r="P5834" s="389"/>
      <c r="Q5834" s="396"/>
      <c r="R5834" s="396"/>
      <c r="S5834" s="396"/>
      <c r="T5834" s="396"/>
      <c r="U5834" s="401"/>
      <c r="V5834" s="396"/>
      <c r="W5834" s="388"/>
      <c r="X5834" s="396"/>
      <c r="Y5834" s="389"/>
      <c r="Z5834" s="396"/>
      <c r="AA5834" s="388"/>
      <c r="AB5834" s="390"/>
    </row>
    <row r="5835" spans="1:28">
      <c r="A5835" s="384" t="str">
        <f t="shared" ref="A5835:B5835" si="18876">A5815</f>
        <v>Lantai 3</v>
      </c>
      <c r="B5835" s="385">
        <f t="shared" si="18876"/>
        <v>52</v>
      </c>
      <c r="C5835" s="393" t="s">
        <v>211</v>
      </c>
      <c r="D5835" s="398">
        <f>VLOOKUP(D5815,'Detail Balok'!$C$10:$AU$140,31,FALSE)</f>
        <v>0</v>
      </c>
      <c r="E5835" s="388" t="s">
        <v>16</v>
      </c>
      <c r="F5835" s="388">
        <f>VLOOKUP(D5815,'Detail Balok'!$C$10:$AU$140,33,FALSE)</f>
        <v>10</v>
      </c>
      <c r="G5835" s="405" t="s">
        <v>157</v>
      </c>
      <c r="H5835" s="395">
        <f>VLOOKUP(D5815,'Detail Balok'!$C$10:$AU$140,35,FALSE)</f>
        <v>100</v>
      </c>
      <c r="I5835" s="388"/>
      <c r="J5835" s="400">
        <f t="shared" ref="J5835" si="18877">(IF(D5835=0,(2*(D5816+G5816))-(F$5*8),IF(D5835=3,(2*(D5816+G5816))-(F$5*8)+(G5816-2*F$5),IF(D5835=4,(2*(D5816+G5816))-(F$5*8)+2*(G5816-2*F$5)))))/1000</f>
        <v>0.88</v>
      </c>
      <c r="K5835" s="400" t="s">
        <v>204</v>
      </c>
      <c r="L5835" s="399">
        <f t="shared" ref="L5835:L5837" si="18878">IF(D5835=0,2*MAX(6*F5835,75),(D5835-1)*2*MAX(6*F5835,75))/1000</f>
        <v>0.15</v>
      </c>
      <c r="M5835" s="399" t="s">
        <v>176</v>
      </c>
      <c r="N5835" s="399">
        <f t="shared" ref="N5835:N5837" si="18879">J5835+L5835</f>
        <v>1.03</v>
      </c>
      <c r="O5835" s="399"/>
      <c r="P5835" s="389"/>
      <c r="Q5835" s="399"/>
      <c r="R5835" s="399"/>
      <c r="S5835" s="399"/>
      <c r="T5835" s="399" t="s">
        <v>125</v>
      </c>
      <c r="U5835" s="401">
        <f t="shared" ref="U5835:U5837" si="18880">0.006165*F5835^2</f>
        <v>0.61650000000000005</v>
      </c>
      <c r="V5835" s="399" t="s">
        <v>125</v>
      </c>
      <c r="W5835" s="399">
        <f t="shared" ref="W5835" si="18881">IF(D5818&gt;4*G5816,ROUND(MAX(D5818/4,2*G5816)/H5835,0)+1,ROUND(D5818/H5835,0)+1)</f>
        <v>10</v>
      </c>
      <c r="X5835" s="399" t="s">
        <v>125</v>
      </c>
      <c r="Y5835" s="389">
        <f t="shared" ref="Y5835" si="18882">D5821</f>
        <v>1</v>
      </c>
      <c r="Z5835" s="400" t="s">
        <v>176</v>
      </c>
      <c r="AA5835" s="402">
        <f t="shared" ref="AA5835:AA5837" si="18883">N5835*U5835*W5835*Y5835</f>
        <v>6.3499500000000006</v>
      </c>
      <c r="AB5835" s="403"/>
    </row>
    <row r="5836" spans="1:28">
      <c r="A5836" s="384" t="str">
        <f t="shared" ref="A5836:B5836" si="18884">A5815</f>
        <v>Lantai 3</v>
      </c>
      <c r="B5836" s="385">
        <f t="shared" si="18884"/>
        <v>52</v>
      </c>
      <c r="C5836" s="393" t="s">
        <v>212</v>
      </c>
      <c r="D5836" s="398">
        <f>VLOOKUP(D5815,'Detail Balok'!$C$10:$AU$140,36,FALSE)</f>
        <v>0</v>
      </c>
      <c r="E5836" s="388" t="s">
        <v>16</v>
      </c>
      <c r="F5836" s="388">
        <f>VLOOKUP(D5815,'Detail Balok'!$C$10:$AU$140,38,FALSE)</f>
        <v>10</v>
      </c>
      <c r="G5836" s="405" t="s">
        <v>157</v>
      </c>
      <c r="H5836" s="395">
        <f>VLOOKUP(D5815,'Detail Balok'!$C$10:$AU$140,40,FALSE)</f>
        <v>100</v>
      </c>
      <c r="I5836" s="388"/>
      <c r="J5836" s="400">
        <f t="shared" ref="J5836" si="18885">(IF(D5836=0,(2*(D5816+G5816))-(F$5*8),IF(D5836=3,(2*(D5816+G5816))-(F$5*8)+(G5816-2*F$5),IF(D5836=4,(2*(D5816+G5816))-(F$5*8)+2*(G5816-2*F$5)))))/1000</f>
        <v>0.88</v>
      </c>
      <c r="K5836" s="400" t="s">
        <v>204</v>
      </c>
      <c r="L5836" s="399">
        <f t="shared" si="18878"/>
        <v>0.15</v>
      </c>
      <c r="M5836" s="399" t="s">
        <v>176</v>
      </c>
      <c r="N5836" s="399">
        <f t="shared" si="18879"/>
        <v>1.03</v>
      </c>
      <c r="O5836" s="399"/>
      <c r="P5836" s="389"/>
      <c r="Q5836" s="399"/>
      <c r="R5836" s="399"/>
      <c r="S5836" s="399"/>
      <c r="T5836" s="399" t="s">
        <v>125</v>
      </c>
      <c r="U5836" s="401">
        <f t="shared" si="18880"/>
        <v>0.61650000000000005</v>
      </c>
      <c r="V5836" s="399" t="s">
        <v>125</v>
      </c>
      <c r="W5836" s="399">
        <f t="shared" ref="W5836" si="18886">IF(D5818-MAX(D5818/4,2*G5816)*2&gt;0,ROUND((D5818-MAX(D5818/4,2*G5816)*2)/H5836,0),0)</f>
        <v>0</v>
      </c>
      <c r="X5836" s="399" t="s">
        <v>125</v>
      </c>
      <c r="Y5836" s="389">
        <f t="shared" ref="Y5836" si="18887">D5821</f>
        <v>1</v>
      </c>
      <c r="Z5836" s="400" t="s">
        <v>176</v>
      </c>
      <c r="AA5836" s="402">
        <f t="shared" si="18883"/>
        <v>0</v>
      </c>
      <c r="AB5836" s="403"/>
    </row>
    <row r="5837" spans="1:28">
      <c r="A5837" s="384" t="str">
        <f t="shared" ref="A5837:B5837" si="18888">A5815</f>
        <v>Lantai 3</v>
      </c>
      <c r="B5837" s="385">
        <f t="shared" si="18888"/>
        <v>52</v>
      </c>
      <c r="C5837" s="393" t="s">
        <v>211</v>
      </c>
      <c r="D5837" s="398">
        <f>VLOOKUP(D5815,'Detail Balok'!$C$10:$AU$140,41,FALSE)</f>
        <v>0</v>
      </c>
      <c r="E5837" s="388" t="s">
        <v>16</v>
      </c>
      <c r="F5837" s="388">
        <f>VLOOKUP(D5815,'Detail Balok'!$C$10:$AU$140,43,FALSE)</f>
        <v>10</v>
      </c>
      <c r="G5837" s="405" t="s">
        <v>157</v>
      </c>
      <c r="H5837" s="395">
        <f>VLOOKUP(D5815,'Detail Balok'!$C$10:$AU$140,45,FALSE)</f>
        <v>100</v>
      </c>
      <c r="I5837" s="388"/>
      <c r="J5837" s="400">
        <f t="shared" ref="J5837" si="18889">(IF(D5837=0,(2*(D5816+G5816))-(F$5*8),IF(D5837=3,(2*(D5816+G5816))-(F$5*8)+(G5816-2*F$5),IF(D5837=4,(2*(D5816+G5816))-(F$5*8)+2*(G5816-2*F$5)))))/1000</f>
        <v>0.88</v>
      </c>
      <c r="K5837" s="400" t="s">
        <v>204</v>
      </c>
      <c r="L5837" s="399">
        <f t="shared" si="18878"/>
        <v>0.15</v>
      </c>
      <c r="M5837" s="399" t="s">
        <v>176</v>
      </c>
      <c r="N5837" s="399">
        <f t="shared" si="18879"/>
        <v>1.03</v>
      </c>
      <c r="O5837" s="399"/>
      <c r="P5837" s="389"/>
      <c r="Q5837" s="399"/>
      <c r="R5837" s="399"/>
      <c r="S5837" s="399"/>
      <c r="T5837" s="399" t="s">
        <v>125</v>
      </c>
      <c r="U5837" s="401">
        <f t="shared" si="18880"/>
        <v>0.61650000000000005</v>
      </c>
      <c r="V5837" s="399" t="s">
        <v>125</v>
      </c>
      <c r="W5837" s="399">
        <f t="shared" ref="W5837" si="18890">IF(D5818&gt;4*G5816,ROUND(MAX(D5818/4,2*G5816)/H5837,0)+1,0)</f>
        <v>0</v>
      </c>
      <c r="X5837" s="399" t="s">
        <v>125</v>
      </c>
      <c r="Y5837" s="389">
        <f t="shared" ref="Y5837" si="18891">D5821</f>
        <v>1</v>
      </c>
      <c r="Z5837" s="400" t="s">
        <v>176</v>
      </c>
      <c r="AA5837" s="402">
        <f t="shared" si="18883"/>
        <v>0</v>
      </c>
      <c r="AB5837" s="403"/>
    </row>
    <row r="5838" spans="1:28">
      <c r="A5838" s="384"/>
      <c r="B5838" s="385"/>
      <c r="C5838" s="393"/>
      <c r="D5838" s="394"/>
      <c r="E5838" s="388"/>
      <c r="F5838" s="388"/>
      <c r="G5838" s="388"/>
      <c r="H5838" s="395"/>
      <c r="I5838" s="388"/>
      <c r="J5838" s="399"/>
      <c r="K5838" s="396"/>
      <c r="L5838" s="396"/>
      <c r="M5838" s="396"/>
      <c r="N5838" s="396"/>
      <c r="O5838" s="396"/>
      <c r="P5838" s="389"/>
      <c r="Q5838" s="396"/>
      <c r="R5838" s="396"/>
      <c r="S5838" s="396"/>
      <c r="T5838" s="396"/>
      <c r="U5838" s="401"/>
      <c r="V5838" s="396"/>
      <c r="W5838" s="388"/>
      <c r="X5838" s="396"/>
      <c r="Y5838" s="389"/>
      <c r="Z5838" s="396"/>
      <c r="AA5838" s="388"/>
      <c r="AB5838" s="390"/>
    </row>
    <row r="5839" spans="1:28">
      <c r="A5839" s="384" t="str">
        <f t="shared" ref="A5839:B5839" si="18892">A5815</f>
        <v>Lantai 3</v>
      </c>
      <c r="B5839" s="385">
        <f t="shared" si="18892"/>
        <v>52</v>
      </c>
      <c r="C5839" s="393" t="s">
        <v>213</v>
      </c>
      <c r="D5839" s="398">
        <f>VLOOKUP(D5815,'Detail Balok'!$C$10:$BJ$140,46,FALSE)</f>
        <v>0</v>
      </c>
      <c r="E5839" s="388" t="s">
        <v>16</v>
      </c>
      <c r="F5839" s="388">
        <f>VLOOKUP(D5815,'Detail Balok'!$C$10:$BJ$140,48,FALSE)</f>
        <v>0</v>
      </c>
      <c r="G5839" s="405" t="s">
        <v>157</v>
      </c>
      <c r="H5839" s="395">
        <f>VLOOKUP(D5815,'Detail Balok'!$C$10:$BJ$140,50,FALSE)</f>
        <v>100</v>
      </c>
      <c r="I5839" s="388"/>
      <c r="J5839" s="399">
        <f t="shared" ref="J5839" si="18893">(D5816-2*F$5)/1000</f>
        <v>0.12</v>
      </c>
      <c r="K5839" s="400" t="s">
        <v>204</v>
      </c>
      <c r="L5839" s="399">
        <f t="shared" ref="L5839:L5841" si="18894">IF(D5839=0,2*MAX(6*F5839,75),(D5839-1)*2*MAX(6*F5839,75))/1000</f>
        <v>0.15</v>
      </c>
      <c r="M5839" s="399" t="s">
        <v>176</v>
      </c>
      <c r="N5839" s="399">
        <f t="shared" ref="N5839:N5841" si="18895">J5839+L5839</f>
        <v>0.27</v>
      </c>
      <c r="O5839" s="399"/>
      <c r="P5839" s="399"/>
      <c r="Q5839" s="399"/>
      <c r="R5839" s="399"/>
      <c r="S5839" s="399"/>
      <c r="T5839" s="399" t="s">
        <v>125</v>
      </c>
      <c r="U5839" s="401">
        <f t="shared" ref="U5839:U5841" si="18896">0.006165*F5839^2</f>
        <v>0</v>
      </c>
      <c r="V5839" s="399" t="s">
        <v>125</v>
      </c>
      <c r="W5839" s="399">
        <f t="shared" ref="W5839:W5901" si="18897">W5835</f>
        <v>10</v>
      </c>
      <c r="X5839" s="399" t="s">
        <v>125</v>
      </c>
      <c r="Y5839" s="389">
        <f t="shared" ref="Y5839" si="18898">D5825</f>
        <v>3</v>
      </c>
      <c r="Z5839" s="400" t="s">
        <v>176</v>
      </c>
      <c r="AA5839" s="402">
        <f t="shared" ref="AA5839:AA5841" si="18899">N5839*U5839*W5839*Y5839</f>
        <v>0</v>
      </c>
      <c r="AB5839" s="403"/>
    </row>
    <row r="5840" spans="1:28">
      <c r="A5840" s="384" t="str">
        <f t="shared" ref="A5840:B5840" si="18900">A5815</f>
        <v>Lantai 3</v>
      </c>
      <c r="B5840" s="385">
        <f t="shared" si="18900"/>
        <v>52</v>
      </c>
      <c r="C5840" s="393" t="s">
        <v>214</v>
      </c>
      <c r="D5840" s="398">
        <f>VLOOKUP(D5815,'Detail Balok'!$C$10:$BJ$140,51,FALSE)</f>
        <v>0</v>
      </c>
      <c r="E5840" s="388" t="s">
        <v>16</v>
      </c>
      <c r="F5840" s="388">
        <f>VLOOKUP(D5815,'Detail Balok'!$C$10:$BJ$140,53,FALSE)</f>
        <v>0</v>
      </c>
      <c r="G5840" s="405" t="s">
        <v>157</v>
      </c>
      <c r="H5840" s="395">
        <f>VLOOKUP(D5815,'Detail Balok'!$C$10:$BJ$140,55,FALSE)</f>
        <v>100</v>
      </c>
      <c r="I5840" s="388"/>
      <c r="J5840" s="399">
        <f t="shared" ref="J5840" si="18901">(D5816-2*F$5)/1000</f>
        <v>0.12</v>
      </c>
      <c r="K5840" s="400" t="s">
        <v>204</v>
      </c>
      <c r="L5840" s="399">
        <f t="shared" si="18894"/>
        <v>0.15</v>
      </c>
      <c r="M5840" s="399" t="s">
        <v>176</v>
      </c>
      <c r="N5840" s="399">
        <f t="shared" si="18895"/>
        <v>0.27</v>
      </c>
      <c r="O5840" s="399"/>
      <c r="P5840" s="399"/>
      <c r="Q5840" s="399"/>
      <c r="R5840" s="399"/>
      <c r="S5840" s="399"/>
      <c r="T5840" s="399" t="s">
        <v>125</v>
      </c>
      <c r="U5840" s="401">
        <f t="shared" si="18896"/>
        <v>0</v>
      </c>
      <c r="V5840" s="399" t="s">
        <v>125</v>
      </c>
      <c r="W5840" s="399">
        <f t="shared" si="18897"/>
        <v>0</v>
      </c>
      <c r="X5840" s="399" t="s">
        <v>125</v>
      </c>
      <c r="Y5840" s="389">
        <f t="shared" ref="Y5840" si="18902">D5825</f>
        <v>3</v>
      </c>
      <c r="Z5840" s="400" t="s">
        <v>176</v>
      </c>
      <c r="AA5840" s="402">
        <f t="shared" si="18899"/>
        <v>0</v>
      </c>
      <c r="AB5840" s="403"/>
    </row>
    <row r="5841" spans="1:28">
      <c r="A5841" s="384" t="str">
        <f t="shared" ref="A5841:B5841" si="18903">A5815</f>
        <v>Lantai 3</v>
      </c>
      <c r="B5841" s="385">
        <f t="shared" si="18903"/>
        <v>52</v>
      </c>
      <c r="C5841" s="393" t="s">
        <v>213</v>
      </c>
      <c r="D5841" s="398">
        <f>VLOOKUP(D5815,'Detail Balok'!$C$10:$BJ$140,56,FALSE)</f>
        <v>0</v>
      </c>
      <c r="E5841" s="388" t="s">
        <v>16</v>
      </c>
      <c r="F5841" s="388">
        <f>VLOOKUP(D5815,'Detail Balok'!$C$10:$BJ$140,58,FALSE)</f>
        <v>0</v>
      </c>
      <c r="G5841" s="405" t="s">
        <v>157</v>
      </c>
      <c r="H5841" s="395">
        <f>VLOOKUP(D5815,'Detail Balok'!$C$10:$BJ$140,60,FALSE)</f>
        <v>100</v>
      </c>
      <c r="I5841" s="388"/>
      <c r="J5841" s="399">
        <f t="shared" ref="J5841" si="18904">(D5816-2*F$5)/1000</f>
        <v>0.12</v>
      </c>
      <c r="K5841" s="400" t="s">
        <v>204</v>
      </c>
      <c r="L5841" s="399">
        <f t="shared" si="18894"/>
        <v>0.15</v>
      </c>
      <c r="M5841" s="399" t="s">
        <v>176</v>
      </c>
      <c r="N5841" s="399">
        <f t="shared" si="18895"/>
        <v>0.27</v>
      </c>
      <c r="O5841" s="399"/>
      <c r="P5841" s="399"/>
      <c r="Q5841" s="399"/>
      <c r="R5841" s="399"/>
      <c r="S5841" s="399"/>
      <c r="T5841" s="399" t="s">
        <v>125</v>
      </c>
      <c r="U5841" s="401">
        <f t="shared" si="18896"/>
        <v>0</v>
      </c>
      <c r="V5841" s="399" t="s">
        <v>125</v>
      </c>
      <c r="W5841" s="399">
        <f t="shared" si="18897"/>
        <v>0</v>
      </c>
      <c r="X5841" s="399" t="s">
        <v>125</v>
      </c>
      <c r="Y5841" s="389">
        <f t="shared" ref="Y5841" si="18905">D5825</f>
        <v>3</v>
      </c>
      <c r="Z5841" s="400" t="s">
        <v>176</v>
      </c>
      <c r="AA5841" s="402">
        <f t="shared" si="18899"/>
        <v>0</v>
      </c>
      <c r="AB5841" s="403"/>
    </row>
    <row r="5842" spans="1:28">
      <c r="A5842" s="391"/>
      <c r="B5842" s="392"/>
      <c r="C5842" s="392"/>
      <c r="D5842" s="394"/>
      <c r="E5842" s="388"/>
      <c r="F5842" s="388"/>
      <c r="G5842" s="388"/>
      <c r="H5842" s="395"/>
      <c r="I5842" s="388"/>
      <c r="J5842" s="402"/>
      <c r="K5842" s="388"/>
      <c r="L5842" s="388"/>
      <c r="M5842" s="388"/>
      <c r="N5842" s="388"/>
      <c r="O5842" s="388"/>
      <c r="P5842" s="388"/>
      <c r="Q5842" s="388"/>
      <c r="R5842" s="388"/>
      <c r="S5842" s="388"/>
      <c r="T5842" s="388"/>
      <c r="U5842" s="388"/>
      <c r="V5842" s="388"/>
      <c r="W5842" s="388"/>
      <c r="X5842" s="388"/>
      <c r="Y5842" s="389"/>
      <c r="Z5842" s="388"/>
      <c r="AA5842" s="402"/>
      <c r="AB5842" s="403"/>
    </row>
    <row r="5843" spans="1:28" ht="15.75" thickBot="1">
      <c r="A5843" s="406"/>
      <c r="B5843" s="407"/>
      <c r="C5843" s="407"/>
      <c r="D5843" s="408"/>
      <c r="E5843" s="409"/>
      <c r="F5843" s="409"/>
      <c r="G5843" s="409"/>
      <c r="H5843" s="410"/>
      <c r="I5843" s="409"/>
      <c r="J5843" s="409"/>
      <c r="K5843" s="409"/>
      <c r="L5843" s="409"/>
      <c r="M5843" s="409"/>
      <c r="N5843" s="409"/>
      <c r="O5843" s="409"/>
      <c r="P5843" s="409"/>
      <c r="Q5843" s="409"/>
      <c r="R5843" s="409"/>
      <c r="S5843" s="409"/>
      <c r="T5843" s="409"/>
      <c r="U5843" s="409"/>
      <c r="V5843" s="409"/>
      <c r="W5843" s="409"/>
      <c r="X5843" s="409"/>
      <c r="Y5843" s="411"/>
      <c r="Z5843" s="409"/>
      <c r="AA5843" s="412"/>
      <c r="AB5843" s="413"/>
    </row>
    <row r="5844" spans="1:28">
      <c r="A5844" s="377"/>
      <c r="B5844" s="378"/>
      <c r="C5844" s="378"/>
      <c r="D5844" s="379"/>
      <c r="E5844" s="380"/>
      <c r="F5844" s="380"/>
      <c r="G5844" s="380"/>
      <c r="H5844" s="381"/>
      <c r="I5844" s="380"/>
      <c r="J5844" s="380"/>
      <c r="K5844" s="380"/>
      <c r="L5844" s="380"/>
      <c r="M5844" s="380"/>
      <c r="N5844" s="380"/>
      <c r="O5844" s="380"/>
      <c r="P5844" s="380"/>
      <c r="Q5844" s="380"/>
      <c r="R5844" s="380"/>
      <c r="S5844" s="380"/>
      <c r="T5844" s="380"/>
      <c r="U5844" s="380"/>
      <c r="V5844" s="380"/>
      <c r="W5844" s="380"/>
      <c r="X5844" s="380"/>
      <c r="Y5844" s="382"/>
      <c r="Z5844" s="380"/>
      <c r="AA5844" s="380"/>
      <c r="AB5844" s="383"/>
    </row>
    <row r="5845" spans="1:28">
      <c r="A5845" s="384" t="str">
        <f t="shared" ref="A5845:A5905" si="18906">A5815</f>
        <v>Lantai 3</v>
      </c>
      <c r="B5845" s="385">
        <f t="shared" ref="B5845:B5905" si="18907">B5815+1</f>
        <v>53</v>
      </c>
      <c r="C5845" s="386" t="str">
        <f t="shared" ref="C5845" si="18908">CONCATENATE(A5845," no. ",B5845)</f>
        <v>Lantai 3 no. 53</v>
      </c>
      <c r="D5845" s="2562" t="str">
        <f>VLOOKUP(C5845,'Data Panjang Balok'!$C$9:$N$254,2,FALSE)</f>
        <v>B26-1</v>
      </c>
      <c r="E5845" s="2576"/>
      <c r="F5845" s="2576"/>
      <c r="G5845" s="2576"/>
      <c r="H5845" s="2577"/>
      <c r="I5845" s="387"/>
      <c r="J5845" s="388"/>
      <c r="K5845" s="388"/>
      <c r="L5845" s="388"/>
      <c r="M5845" s="388"/>
      <c r="N5845" s="388"/>
      <c r="O5845" s="388"/>
      <c r="P5845" s="388"/>
      <c r="Q5845" s="388"/>
      <c r="R5845" s="388"/>
      <c r="S5845" s="388"/>
      <c r="T5845" s="388"/>
      <c r="U5845" s="388"/>
      <c r="V5845" s="388"/>
      <c r="W5845" s="388"/>
      <c r="X5845" s="388"/>
      <c r="Y5845" s="389"/>
      <c r="Z5845" s="388"/>
      <c r="AA5845" s="388"/>
      <c r="AB5845" s="390"/>
    </row>
    <row r="5846" spans="1:28">
      <c r="A5846" s="391"/>
      <c r="B5846" s="392"/>
      <c r="C5846" s="393" t="s">
        <v>118</v>
      </c>
      <c r="D5846" s="2578">
        <f>VLOOKUP(D5845,'Detail Balok'!$C$10:$AU$140,2,FALSE)</f>
        <v>200</v>
      </c>
      <c r="E5846" s="2579"/>
      <c r="F5846" s="388" t="s">
        <v>125</v>
      </c>
      <c r="G5846" s="2579">
        <f>VLOOKUP(D5845,'Detail Balok'!$C$10:$AU$140,3,FALSE)</f>
        <v>600</v>
      </c>
      <c r="H5846" s="2580"/>
      <c r="I5846" s="388"/>
      <c r="J5846" s="396"/>
      <c r="K5846" s="396"/>
      <c r="L5846" s="396"/>
      <c r="M5846" s="396"/>
      <c r="N5846" s="396"/>
      <c r="O5846" s="396"/>
      <c r="P5846" s="396"/>
      <c r="Q5846" s="396"/>
      <c r="R5846" s="396"/>
      <c r="S5846" s="396"/>
      <c r="T5846" s="396"/>
      <c r="U5846" s="388"/>
      <c r="V5846" s="396"/>
      <c r="W5846" s="388"/>
      <c r="X5846" s="396"/>
      <c r="Y5846" s="389"/>
      <c r="Z5846" s="396"/>
      <c r="AA5846" s="388"/>
      <c r="AB5846" s="390"/>
    </row>
    <row r="5847" spans="1:28">
      <c r="A5847" s="391"/>
      <c r="B5847" s="392"/>
      <c r="C5847" s="393" t="s">
        <v>198</v>
      </c>
      <c r="D5847" s="2562">
        <f>VLOOKUP(C5845,'Data Panjang Balok'!$C$9:$N$254,4,FALSE)</f>
        <v>6325</v>
      </c>
      <c r="E5847" s="2563"/>
      <c r="F5847" s="2563"/>
      <c r="G5847" s="2563"/>
      <c r="H5847" s="2564"/>
      <c r="I5847" s="397"/>
      <c r="J5847" s="396"/>
      <c r="K5847" s="396"/>
      <c r="L5847" s="396"/>
      <c r="M5847" s="396"/>
      <c r="N5847" s="396"/>
      <c r="O5847" s="396"/>
      <c r="P5847" s="396"/>
      <c r="Q5847" s="396"/>
      <c r="R5847" s="396"/>
      <c r="S5847" s="396"/>
      <c r="T5847" s="396"/>
      <c r="U5847" s="388"/>
      <c r="V5847" s="396"/>
      <c r="W5847" s="388"/>
      <c r="X5847" s="396"/>
      <c r="Y5847" s="389"/>
      <c r="Z5847" s="396"/>
      <c r="AA5847" s="388"/>
      <c r="AB5847" s="390"/>
    </row>
    <row r="5848" spans="1:28">
      <c r="A5848" s="391"/>
      <c r="B5848" s="392"/>
      <c r="C5848" s="393" t="s">
        <v>199</v>
      </c>
      <c r="D5848" s="2562">
        <f>VLOOKUP(C5845,'Data Panjang Balok'!$C$9:$N$254,7,FALSE)</f>
        <v>6325</v>
      </c>
      <c r="E5848" s="2563"/>
      <c r="F5848" s="2563"/>
      <c r="G5848" s="2563"/>
      <c r="H5848" s="2564"/>
      <c r="I5848" s="397"/>
      <c r="J5848" s="396"/>
      <c r="K5848" s="396"/>
      <c r="L5848" s="396"/>
      <c r="M5848" s="396"/>
      <c r="N5848" s="396"/>
      <c r="O5848" s="396"/>
      <c r="P5848" s="396"/>
      <c r="Q5848" s="396"/>
      <c r="R5848" s="396"/>
      <c r="S5848" s="396"/>
      <c r="T5848" s="396"/>
      <c r="U5848" s="388"/>
      <c r="V5848" s="396"/>
      <c r="W5848" s="388"/>
      <c r="X5848" s="396"/>
      <c r="Y5848" s="389"/>
      <c r="Z5848" s="396"/>
      <c r="AA5848" s="388"/>
      <c r="AB5848" s="390"/>
    </row>
    <row r="5849" spans="1:28">
      <c r="A5849" s="391"/>
      <c r="B5849" s="392"/>
      <c r="C5849" s="393" t="s">
        <v>200</v>
      </c>
      <c r="D5849" s="2562">
        <f>VLOOKUP(C5845,'Data Panjang Balok'!$C$9:$N$254,9,FALSE)</f>
        <v>0</v>
      </c>
      <c r="E5849" s="2563"/>
      <c r="F5849" s="2563"/>
      <c r="G5849" s="2563"/>
      <c r="H5849" s="2564"/>
      <c r="I5849" s="397"/>
      <c r="J5849" s="396"/>
      <c r="K5849" s="396"/>
      <c r="L5849" s="396"/>
      <c r="M5849" s="396"/>
      <c r="N5849" s="396"/>
      <c r="O5849" s="396"/>
      <c r="P5849" s="396"/>
      <c r="Q5849" s="396"/>
      <c r="R5849" s="396"/>
      <c r="S5849" s="396"/>
      <c r="T5849" s="396"/>
      <c r="U5849" s="388"/>
      <c r="V5849" s="396"/>
      <c r="W5849" s="388"/>
      <c r="X5849" s="396"/>
      <c r="Y5849" s="389"/>
      <c r="Z5849" s="396"/>
      <c r="AA5849" s="388"/>
      <c r="AB5849" s="390"/>
    </row>
    <row r="5850" spans="1:28">
      <c r="A5850" s="391"/>
      <c r="B5850" s="392"/>
      <c r="C5850" s="393" t="s">
        <v>201</v>
      </c>
      <c r="D5850" s="2562">
        <f>VLOOKUP(C5845,'Data Panjang Balok'!$C$9:$N$254,10,FALSE)</f>
        <v>0</v>
      </c>
      <c r="E5850" s="2563"/>
      <c r="F5850" s="2563"/>
      <c r="G5850" s="2563"/>
      <c r="H5850" s="2564"/>
      <c r="I5850" s="397"/>
      <c r="J5850" s="396"/>
      <c r="K5850" s="396"/>
      <c r="L5850" s="396"/>
      <c r="M5850" s="396"/>
      <c r="N5850" s="396"/>
      <c r="O5850" s="396"/>
      <c r="P5850" s="396"/>
      <c r="Q5850" s="396"/>
      <c r="R5850" s="396"/>
      <c r="S5850" s="396"/>
      <c r="T5850" s="396"/>
      <c r="U5850" s="388"/>
      <c r="V5850" s="396"/>
      <c r="W5850" s="388"/>
      <c r="X5850" s="396"/>
      <c r="Y5850" s="389"/>
      <c r="Z5850" s="396"/>
      <c r="AA5850" s="388"/>
      <c r="AB5850" s="390"/>
    </row>
    <row r="5851" spans="1:28">
      <c r="A5851" s="391"/>
      <c r="B5851" s="392"/>
      <c r="C5851" s="393" t="s">
        <v>48</v>
      </c>
      <c r="D5851" s="2562">
        <f>VLOOKUP(C5845,'Data Panjang Balok'!$C$9:$N$254,3,FALSE)</f>
        <v>1</v>
      </c>
      <c r="E5851" s="2563"/>
      <c r="F5851" s="2563"/>
      <c r="G5851" s="2563"/>
      <c r="H5851" s="2564"/>
      <c r="I5851" s="397"/>
      <c r="J5851" s="396"/>
      <c r="K5851" s="396"/>
      <c r="L5851" s="396"/>
      <c r="M5851" s="396"/>
      <c r="N5851" s="396"/>
      <c r="O5851" s="396"/>
      <c r="P5851" s="396"/>
      <c r="Q5851" s="396"/>
      <c r="R5851" s="396"/>
      <c r="S5851" s="396"/>
      <c r="T5851" s="396"/>
      <c r="U5851" s="388"/>
      <c r="V5851" s="396"/>
      <c r="W5851" s="388"/>
      <c r="X5851" s="396"/>
      <c r="Y5851" s="389"/>
      <c r="Z5851" s="396"/>
      <c r="AA5851" s="388"/>
      <c r="AB5851" s="390"/>
    </row>
    <row r="5852" spans="1:28">
      <c r="A5852" s="384" t="str">
        <f t="shared" ref="A5852:B5852" si="18909">A5845</f>
        <v>Lantai 3</v>
      </c>
      <c r="B5852" s="385">
        <f t="shared" si="18909"/>
        <v>53</v>
      </c>
      <c r="C5852" s="393" t="s">
        <v>202</v>
      </c>
      <c r="D5852" s="398">
        <f>VLOOKUP(D5845,'Detail Balok'!$C$10:$AU$140,4,FALSE)</f>
        <v>4</v>
      </c>
      <c r="E5852" s="388" t="s">
        <v>16</v>
      </c>
      <c r="F5852" s="388">
        <f>VLOOKUP(D5845,'Detail Balok'!$C$10:$AU$140,6,FALSE)</f>
        <v>16</v>
      </c>
      <c r="G5852" s="388"/>
      <c r="H5852" s="395"/>
      <c r="I5852" s="388" t="s">
        <v>203</v>
      </c>
      <c r="J5852" s="399">
        <f t="shared" ref="J5852" si="18910">+D5847/4/1000</f>
        <v>1.58125</v>
      </c>
      <c r="K5852" s="400" t="s">
        <v>204</v>
      </c>
      <c r="L5852" s="399">
        <f t="shared" ref="L5852" si="18911">MAX(VLOOKUP(F5852,N$6:P$15,3,FALSE)/1000,2/3*D5849/1000)+F$16*F5852/1000</f>
        <v>0.192</v>
      </c>
      <c r="M5852" s="399" t="s">
        <v>176</v>
      </c>
      <c r="N5852" s="399">
        <f t="shared" ref="N5852:N5854" si="18912">J5852+L5852</f>
        <v>1.77325</v>
      </c>
      <c r="O5852" s="399" t="s">
        <v>204</v>
      </c>
      <c r="P5852" s="389">
        <f t="shared" ref="P5852" si="18913">D5852-D5853</f>
        <v>1</v>
      </c>
      <c r="Q5852" s="399" t="s">
        <v>125</v>
      </c>
      <c r="R5852" s="399">
        <f t="shared" ref="R5852" si="18914">IF(P5852&gt;0,$F$18*F5852/1000,0)</f>
        <v>0.24</v>
      </c>
      <c r="S5852" s="399" t="s">
        <v>205</v>
      </c>
      <c r="T5852" s="399" t="s">
        <v>125</v>
      </c>
      <c r="U5852" s="401">
        <f t="shared" ref="U5852:U5854" si="18915">0.006165*F5852^2</f>
        <v>1.5782400000000001</v>
      </c>
      <c r="V5852" s="399"/>
      <c r="W5852" s="399"/>
      <c r="X5852" s="399" t="s">
        <v>125</v>
      </c>
      <c r="Y5852" s="389">
        <f t="shared" ref="Y5852" si="18916">D5851</f>
        <v>1</v>
      </c>
      <c r="Z5852" s="400" t="s">
        <v>176</v>
      </c>
      <c r="AA5852" s="402">
        <f t="shared" ref="AA5852" si="18917">IF(AA5855=0,(D5852*N5852+P5852*R5852)*U5852*Y5852,0)</f>
        <v>11.573233920000002</v>
      </c>
      <c r="AB5852" s="403"/>
    </row>
    <row r="5853" spans="1:28">
      <c r="A5853" s="384" t="str">
        <f t="shared" ref="A5853:B5853" si="18918">A5845</f>
        <v>Lantai 3</v>
      </c>
      <c r="B5853" s="385">
        <f t="shared" si="18918"/>
        <v>53</v>
      </c>
      <c r="C5853" s="393" t="s">
        <v>206</v>
      </c>
      <c r="D5853" s="398">
        <f>VLOOKUP(D5845,'Detail Balok'!$C$10:$AU$140,7,FALSE)</f>
        <v>3</v>
      </c>
      <c r="E5853" s="388" t="s">
        <v>16</v>
      </c>
      <c r="F5853" s="388">
        <f>VLOOKUP(D5845,'Detail Balok'!$C$10:$AU$140,9,FALSE)</f>
        <v>16</v>
      </c>
      <c r="G5853" s="388"/>
      <c r="H5853" s="395"/>
      <c r="I5853" s="388" t="s">
        <v>203</v>
      </c>
      <c r="J5853" s="399">
        <f t="shared" ref="J5853" si="18919">+D5847/2/1000</f>
        <v>3.1625000000000001</v>
      </c>
      <c r="K5853" s="400" t="s">
        <v>204</v>
      </c>
      <c r="L5853" s="399"/>
      <c r="M5853" s="399" t="s">
        <v>176</v>
      </c>
      <c r="N5853" s="399">
        <f t="shared" si="18912"/>
        <v>3.1625000000000001</v>
      </c>
      <c r="O5853" s="399" t="s">
        <v>204</v>
      </c>
      <c r="P5853" s="389">
        <f t="shared" ref="P5853" si="18920">MAX(D5853-D5852,D5853-D5854)</f>
        <v>-1</v>
      </c>
      <c r="Q5853" s="399" t="s">
        <v>125</v>
      </c>
      <c r="R5853" s="399">
        <f t="shared" ref="R5853" si="18921">IF(P5853&gt;0,2*(1-2*$F$19-1/2)*D5848/1000,0)</f>
        <v>0</v>
      </c>
      <c r="S5853" s="399" t="s">
        <v>205</v>
      </c>
      <c r="T5853" s="399" t="s">
        <v>125</v>
      </c>
      <c r="U5853" s="401">
        <f t="shared" si="18915"/>
        <v>1.5782400000000001</v>
      </c>
      <c r="V5853" s="399"/>
      <c r="W5853" s="399"/>
      <c r="X5853" s="399" t="s">
        <v>125</v>
      </c>
      <c r="Y5853" s="389">
        <f t="shared" ref="Y5853" si="18922">D5851</f>
        <v>1</v>
      </c>
      <c r="Z5853" s="400" t="s">
        <v>176</v>
      </c>
      <c r="AA5853" s="402">
        <f t="shared" ref="AA5853" si="18923">IF(AA5855=0,(D5853*N5853+P5853*R5853)*U5853*Y5853,0)</f>
        <v>14.973552000000002</v>
      </c>
      <c r="AB5853" s="403"/>
    </row>
    <row r="5854" spans="1:28">
      <c r="A5854" s="384" t="str">
        <f t="shared" ref="A5854:B5854" si="18924">A5845</f>
        <v>Lantai 3</v>
      </c>
      <c r="B5854" s="385">
        <f t="shared" si="18924"/>
        <v>53</v>
      </c>
      <c r="C5854" s="393" t="s">
        <v>202</v>
      </c>
      <c r="D5854" s="398">
        <f>VLOOKUP(D5845,'Detail Balok'!$C$10:$AU$140,10,FALSE)</f>
        <v>4</v>
      </c>
      <c r="E5854" s="388" t="s">
        <v>16</v>
      </c>
      <c r="F5854" s="388">
        <f>VLOOKUP(D5845,'Detail Balok'!$C$10:$AU$140,12,FALSE)</f>
        <v>16</v>
      </c>
      <c r="G5854" s="388"/>
      <c r="H5854" s="395"/>
      <c r="I5854" s="388" t="s">
        <v>203</v>
      </c>
      <c r="J5854" s="399">
        <f t="shared" ref="J5854" si="18925">+D5847/4/1000</f>
        <v>1.58125</v>
      </c>
      <c r="K5854" s="400" t="s">
        <v>204</v>
      </c>
      <c r="L5854" s="399">
        <f t="shared" ref="L5854" si="18926">MAX(VLOOKUP(F5854,N$6:P$15,3,FALSE)/1000,2/3*D5849/1000)+F$16*F5854/1000</f>
        <v>0.192</v>
      </c>
      <c r="M5854" s="399" t="s">
        <v>176</v>
      </c>
      <c r="N5854" s="399">
        <f t="shared" si="18912"/>
        <v>1.77325</v>
      </c>
      <c r="O5854" s="399" t="s">
        <v>204</v>
      </c>
      <c r="P5854" s="389">
        <f t="shared" ref="P5854" si="18927">D5854-D5853</f>
        <v>1</v>
      </c>
      <c r="Q5854" s="399" t="s">
        <v>125</v>
      </c>
      <c r="R5854" s="399">
        <f t="shared" ref="R5854" si="18928">IF(P5854&gt;0,$F$18*F5854/1000,0)</f>
        <v>0.24</v>
      </c>
      <c r="S5854" s="399" t="s">
        <v>205</v>
      </c>
      <c r="T5854" s="399" t="s">
        <v>125</v>
      </c>
      <c r="U5854" s="401">
        <f t="shared" si="18915"/>
        <v>1.5782400000000001</v>
      </c>
      <c r="V5854" s="399"/>
      <c r="W5854" s="399"/>
      <c r="X5854" s="399" t="s">
        <v>125</v>
      </c>
      <c r="Y5854" s="389">
        <f t="shared" ref="Y5854" si="18929">D5851</f>
        <v>1</v>
      </c>
      <c r="Z5854" s="400" t="s">
        <v>176</v>
      </c>
      <c r="AA5854" s="402">
        <f t="shared" ref="AA5854" si="18930">IF(AA5855=0,(D5854*N5854+P5854*R5854)*U5854*Y5854,0)</f>
        <v>11.573233920000002</v>
      </c>
      <c r="AB5854" s="403"/>
    </row>
    <row r="5855" spans="1:28">
      <c r="A5855" s="384" t="str">
        <f t="shared" ref="A5855:B5855" si="18931">A5845</f>
        <v>Lantai 3</v>
      </c>
      <c r="B5855" s="385">
        <f t="shared" si="18931"/>
        <v>53</v>
      </c>
      <c r="C5855" s="393"/>
      <c r="D5855" s="398">
        <f t="shared" si="18827"/>
        <v>0</v>
      </c>
      <c r="E5855" s="388" t="s">
        <v>16</v>
      </c>
      <c r="F5855" s="388">
        <f t="shared" si="18828"/>
        <v>16</v>
      </c>
      <c r="G5855" s="388"/>
      <c r="H5855" s="395"/>
      <c r="I5855" s="388"/>
      <c r="J5855" s="396"/>
      <c r="K5855" s="396"/>
      <c r="L5855" s="404" t="s">
        <v>207</v>
      </c>
      <c r="M5855" s="399" t="s">
        <v>176</v>
      </c>
      <c r="N5855" s="399">
        <f t="shared" ref="N5855" si="18932">IF(AND(D5852=D5853,D5852=D5854,D5853=D5854,F5852=F5853,F5852=F5854,F5853=F5854),SUM(N5852:N5854),0)</f>
        <v>0</v>
      </c>
      <c r="O5855" s="399" t="s">
        <v>204</v>
      </c>
      <c r="P5855" s="389">
        <f t="shared" ref="P5855" si="18933">IF(N5855&gt;12,ROUNDDOWN(N5855/12,0),0)</f>
        <v>0</v>
      </c>
      <c r="Q5855" s="399" t="s">
        <v>125</v>
      </c>
      <c r="R5855" s="399">
        <f t="shared" ref="R5855" si="18934">IF(P5855&gt;0,MAX(VLOOKUP(F5855,$D$6:$G$15,3,FALSE),600),0)/1000</f>
        <v>0</v>
      </c>
      <c r="S5855" s="396"/>
      <c r="T5855" s="396" t="s">
        <v>125</v>
      </c>
      <c r="U5855" s="401">
        <f t="shared" si="18832"/>
        <v>1.5782400000000001</v>
      </c>
      <c r="V5855" s="396" t="s">
        <v>125</v>
      </c>
      <c r="W5855" s="399">
        <f t="shared" ref="W5855" si="18935">D5855</f>
        <v>0</v>
      </c>
      <c r="X5855" s="399" t="s">
        <v>125</v>
      </c>
      <c r="Y5855" s="389">
        <f t="shared" si="18834"/>
        <v>1</v>
      </c>
      <c r="Z5855" s="400" t="s">
        <v>176</v>
      </c>
      <c r="AA5855" s="402">
        <f t="shared" ref="AA5855" si="18936">(N5855+P5855*R5855/1000)*U5855*W5855*Y5855</f>
        <v>0</v>
      </c>
      <c r="AB5855" s="390"/>
    </row>
    <row r="5856" spans="1:28">
      <c r="A5856" s="384"/>
      <c r="B5856" s="385"/>
      <c r="C5856" s="393"/>
      <c r="D5856" s="398"/>
      <c r="E5856" s="388"/>
      <c r="F5856" s="388"/>
      <c r="G5856" s="388"/>
      <c r="H5856" s="395"/>
      <c r="I5856" s="388"/>
      <c r="J5856" s="396"/>
      <c r="K5856" s="396"/>
      <c r="L5856" s="404"/>
      <c r="M5856" s="399"/>
      <c r="N5856" s="399"/>
      <c r="O5856" s="396"/>
      <c r="P5856" s="389"/>
      <c r="Q5856" s="396"/>
      <c r="R5856" s="396"/>
      <c r="S5856" s="396"/>
      <c r="T5856" s="396"/>
      <c r="U5856" s="401"/>
      <c r="V5856" s="396"/>
      <c r="W5856" s="399"/>
      <c r="X5856" s="396"/>
      <c r="Y5856" s="389"/>
      <c r="Z5856" s="396"/>
      <c r="AA5856" s="388"/>
      <c r="AB5856" s="390"/>
    </row>
    <row r="5857" spans="1:28">
      <c r="A5857" s="384" t="str">
        <f t="shared" ref="A5857:B5857" si="18937">A5845</f>
        <v>Lantai 3</v>
      </c>
      <c r="B5857" s="385">
        <f t="shared" si="18937"/>
        <v>53</v>
      </c>
      <c r="C5857" s="393" t="s">
        <v>208</v>
      </c>
      <c r="D5857" s="398">
        <f>VLOOKUP(D5845,'Detail Balok'!$C$10:$AU$140,13,FALSE)</f>
        <v>2</v>
      </c>
      <c r="E5857" s="388" t="s">
        <v>16</v>
      </c>
      <c r="F5857" s="388">
        <f>VLOOKUP(D5845,'Detail Balok'!$C$10:$AU$140,15,FALSE)</f>
        <v>10</v>
      </c>
      <c r="G5857" s="388"/>
      <c r="H5857" s="395"/>
      <c r="I5857" s="388"/>
      <c r="J5857" s="399">
        <f t="shared" ref="J5857" si="18938">+D5847/1000</f>
        <v>6.3250000000000002</v>
      </c>
      <c r="K5857" s="400" t="s">
        <v>204</v>
      </c>
      <c r="L5857" s="399">
        <f t="shared" ref="L5857" si="18939">2*$F$16*F5857/1000</f>
        <v>0.24</v>
      </c>
      <c r="M5857" s="399" t="s">
        <v>176</v>
      </c>
      <c r="N5857" s="399">
        <f t="shared" ref="N5857" si="18940">J5857+L5857</f>
        <v>6.5650000000000004</v>
      </c>
      <c r="O5857" s="399" t="s">
        <v>204</v>
      </c>
      <c r="P5857" s="389">
        <f t="shared" ref="P5857" si="18941">IF(N5857&gt;12,ROUNDDOWN(N5857/12,0),0)</f>
        <v>0</v>
      </c>
      <c r="Q5857" s="399" t="s">
        <v>125</v>
      </c>
      <c r="R5857" s="399">
        <f t="shared" ref="R5857" si="18942">IF(P5857&gt;0,MAX(VLOOKUP(F5857,$D$6:$G$15,3,FALSE),600),0)/1000</f>
        <v>0</v>
      </c>
      <c r="S5857" s="399"/>
      <c r="T5857" s="399" t="s">
        <v>125</v>
      </c>
      <c r="U5857" s="401">
        <f t="shared" ref="U5857" si="18943">0.006165*F5857^2</f>
        <v>0.61650000000000005</v>
      </c>
      <c r="V5857" s="399" t="s">
        <v>125</v>
      </c>
      <c r="W5857" s="399">
        <f t="shared" ref="W5857" si="18944">+D5857</f>
        <v>2</v>
      </c>
      <c r="X5857" s="399" t="s">
        <v>125</v>
      </c>
      <c r="Y5857" s="389">
        <f t="shared" ref="Y5857" si="18945">D5851</f>
        <v>1</v>
      </c>
      <c r="Z5857" s="400" t="s">
        <v>176</v>
      </c>
      <c r="AA5857" s="402">
        <f t="shared" ref="AA5857" si="18946">(N5857+P5857*R5857/1000)*U5857*W5857*Y5857</f>
        <v>8.0946450000000016</v>
      </c>
      <c r="AB5857" s="403"/>
    </row>
    <row r="5858" spans="1:28">
      <c r="A5858" s="384"/>
      <c r="B5858" s="385"/>
      <c r="C5858" s="393"/>
      <c r="D5858" s="398"/>
      <c r="E5858" s="388"/>
      <c r="F5858" s="388"/>
      <c r="G5858" s="388"/>
      <c r="H5858" s="395"/>
      <c r="I5858" s="388"/>
      <c r="J5858" s="399"/>
      <c r="K5858" s="400"/>
      <c r="L5858" s="399"/>
      <c r="M5858" s="399"/>
      <c r="N5858" s="399"/>
      <c r="O5858" s="399"/>
      <c r="P5858" s="389"/>
      <c r="Q5858" s="399"/>
      <c r="R5858" s="399"/>
      <c r="S5858" s="399"/>
      <c r="T5858" s="399"/>
      <c r="U5858" s="401"/>
      <c r="V5858" s="399"/>
      <c r="W5858" s="399"/>
      <c r="X5858" s="399"/>
      <c r="Y5858" s="389"/>
      <c r="Z5858" s="400"/>
      <c r="AA5858" s="402"/>
      <c r="AB5858" s="403"/>
    </row>
    <row r="5859" spans="1:28">
      <c r="A5859" s="384"/>
      <c r="B5859" s="385"/>
      <c r="C5859" s="393"/>
      <c r="D5859" s="398"/>
      <c r="E5859" s="388"/>
      <c r="F5859" s="388"/>
      <c r="G5859" s="388"/>
      <c r="H5859" s="395"/>
      <c r="I5859" s="388"/>
      <c r="J5859" s="396"/>
      <c r="K5859" s="396"/>
      <c r="L5859" s="396"/>
      <c r="M5859" s="396"/>
      <c r="N5859" s="396"/>
      <c r="O5859" s="396"/>
      <c r="P5859" s="389"/>
      <c r="Q5859" s="396"/>
      <c r="R5859" s="396"/>
      <c r="S5859" s="396"/>
      <c r="T5859" s="396"/>
      <c r="U5859" s="401"/>
      <c r="V5859" s="396"/>
      <c r="W5859" s="399"/>
      <c r="X5859" s="396"/>
      <c r="Y5859" s="389"/>
      <c r="Z5859" s="396"/>
      <c r="AA5859" s="388"/>
      <c r="AB5859" s="390"/>
    </row>
    <row r="5860" spans="1:28">
      <c r="A5860" s="384" t="str">
        <f t="shared" ref="A5860:B5860" si="18947">A5845</f>
        <v>Lantai 3</v>
      </c>
      <c r="B5860" s="385">
        <f t="shared" si="18947"/>
        <v>53</v>
      </c>
      <c r="C5860" s="393" t="s">
        <v>209</v>
      </c>
      <c r="D5860" s="398">
        <f>VLOOKUP(D5845,'Detail Balok'!$C$10:$AU$140,22,FALSE)</f>
        <v>3</v>
      </c>
      <c r="E5860" s="388" t="s">
        <v>16</v>
      </c>
      <c r="F5860" s="388">
        <f>VLOOKUP(D5845,'Detail Balok'!$C$10:$AU$140,24,FALSE)</f>
        <v>16</v>
      </c>
      <c r="G5860" s="388"/>
      <c r="H5860" s="395"/>
      <c r="I5860" s="388" t="s">
        <v>203</v>
      </c>
      <c r="J5860" s="399">
        <f t="shared" si="18847"/>
        <v>1.58125</v>
      </c>
      <c r="K5860" s="400" t="s">
        <v>204</v>
      </c>
      <c r="L5860" s="399">
        <f t="shared" ref="L5860" si="18948">MAX(VLOOKUP(F5860,N$6:P$15,3,FALSE)/1000,2/3*D5850/1000)+F$16*F5860/1000</f>
        <v>0.192</v>
      </c>
      <c r="M5860" s="399" t="s">
        <v>176</v>
      </c>
      <c r="N5860" s="399">
        <f t="shared" ref="N5860:N5862" si="18949">J5860+L5860</f>
        <v>1.77325</v>
      </c>
      <c r="O5860" s="399" t="s">
        <v>204</v>
      </c>
      <c r="P5860" s="389">
        <f t="shared" ref="P5860" si="18950">D5860-D5861</f>
        <v>-1</v>
      </c>
      <c r="Q5860" s="399" t="s">
        <v>125</v>
      </c>
      <c r="R5860" s="399">
        <f t="shared" ref="R5860" si="18951">IF(P5860&gt;0,$F$18*F5860/1000,0)</f>
        <v>0</v>
      </c>
      <c r="S5860" s="399" t="s">
        <v>205</v>
      </c>
      <c r="T5860" s="399" t="s">
        <v>125</v>
      </c>
      <c r="U5860" s="401">
        <f t="shared" ref="U5860:U5862" si="18952">0.006165*F5860^2</f>
        <v>1.5782400000000001</v>
      </c>
      <c r="V5860" s="399"/>
      <c r="W5860" s="399"/>
      <c r="X5860" s="399" t="s">
        <v>125</v>
      </c>
      <c r="Y5860" s="389">
        <f t="shared" ref="Y5860" si="18953">D5851</f>
        <v>1</v>
      </c>
      <c r="Z5860" s="400" t="s">
        <v>176</v>
      </c>
      <c r="AA5860" s="402">
        <f t="shared" ref="AA5860" si="18954">IF(AA5863=0,(D5860*N5860+P5860*R5860)*U5860*Y5860,0)</f>
        <v>8.3958422400000003</v>
      </c>
      <c r="AB5860" s="403"/>
    </row>
    <row r="5861" spans="1:28">
      <c r="A5861" s="384" t="str">
        <f t="shared" ref="A5861:B5861" si="18955">A5845</f>
        <v>Lantai 3</v>
      </c>
      <c r="B5861" s="385">
        <f t="shared" si="18955"/>
        <v>53</v>
      </c>
      <c r="C5861" s="393" t="s">
        <v>210</v>
      </c>
      <c r="D5861" s="398">
        <f>VLOOKUP(D5845,'Detail Balok'!$C$10:$AU$140,25,FALSE)</f>
        <v>4</v>
      </c>
      <c r="E5861" s="388" t="s">
        <v>16</v>
      </c>
      <c r="F5861" s="388">
        <f>VLOOKUP(D5845,'Detail Balok'!$C$10:$AU$140,27,FALSE)</f>
        <v>16</v>
      </c>
      <c r="G5861" s="388"/>
      <c r="H5861" s="395"/>
      <c r="I5861" s="388" t="s">
        <v>203</v>
      </c>
      <c r="J5861" s="399">
        <f t="shared" si="18847"/>
        <v>3.1625000000000001</v>
      </c>
      <c r="K5861" s="400" t="s">
        <v>204</v>
      </c>
      <c r="L5861" s="399"/>
      <c r="M5861" s="399" t="s">
        <v>176</v>
      </c>
      <c r="N5861" s="399">
        <f t="shared" si="18949"/>
        <v>3.1625000000000001</v>
      </c>
      <c r="O5861" s="399" t="s">
        <v>204</v>
      </c>
      <c r="P5861" s="389">
        <f t="shared" ref="P5861" si="18956">MAX(D5861-D5860,D5861-D5862)</f>
        <v>1</v>
      </c>
      <c r="Q5861" s="399" t="s">
        <v>125</v>
      </c>
      <c r="R5861" s="399">
        <f t="shared" ref="R5861" si="18957">IF(P5861&gt;0,2*(1-2*$F$19-1/2)*D5848/1000,0)</f>
        <v>1.2649999999999997</v>
      </c>
      <c r="S5861" s="399" t="s">
        <v>205</v>
      </c>
      <c r="T5861" s="399" t="s">
        <v>125</v>
      </c>
      <c r="U5861" s="401">
        <f t="shared" si="18952"/>
        <v>1.5782400000000001</v>
      </c>
      <c r="V5861" s="399"/>
      <c r="W5861" s="399"/>
      <c r="X5861" s="399" t="s">
        <v>125</v>
      </c>
      <c r="Y5861" s="389">
        <f t="shared" ref="Y5861" si="18958">D5851</f>
        <v>1</v>
      </c>
      <c r="Z5861" s="400" t="s">
        <v>176</v>
      </c>
      <c r="AA5861" s="402">
        <f t="shared" ref="AA5861" si="18959">IF(AA5863=0,(D5861*N5861+P5861*R5861)*U5861*Y5861,0)</f>
        <v>21.9612096</v>
      </c>
      <c r="AB5861" s="403"/>
    </row>
    <row r="5862" spans="1:28">
      <c r="A5862" s="384" t="str">
        <f t="shared" ref="A5862:B5862" si="18960">A5845</f>
        <v>Lantai 3</v>
      </c>
      <c r="B5862" s="385">
        <f t="shared" si="18960"/>
        <v>53</v>
      </c>
      <c r="C5862" s="393" t="s">
        <v>209</v>
      </c>
      <c r="D5862" s="398">
        <f>VLOOKUP(D5845,'Detail Balok'!$C$10:$AU$140,28,FALSE)</f>
        <v>3</v>
      </c>
      <c r="E5862" s="388" t="s">
        <v>16</v>
      </c>
      <c r="F5862" s="388">
        <f>VLOOKUP(D5845,'Detail Balok'!$C$10:$AU$140,30,FALSE)</f>
        <v>16</v>
      </c>
      <c r="G5862" s="388"/>
      <c r="H5862" s="395"/>
      <c r="I5862" s="388" t="s">
        <v>203</v>
      </c>
      <c r="J5862" s="399">
        <f t="shared" si="18847"/>
        <v>1.58125</v>
      </c>
      <c r="K5862" s="400" t="s">
        <v>204</v>
      </c>
      <c r="L5862" s="399">
        <f t="shared" ref="L5862" si="18961">MAX(VLOOKUP(F5862,N$6:P$15,3,FALSE)/1000,2/3*D5850/1000)+F$16*F5862/1000</f>
        <v>0.192</v>
      </c>
      <c r="M5862" s="399" t="s">
        <v>176</v>
      </c>
      <c r="N5862" s="399">
        <f t="shared" si="18949"/>
        <v>1.77325</v>
      </c>
      <c r="O5862" s="399" t="s">
        <v>204</v>
      </c>
      <c r="P5862" s="389">
        <f t="shared" ref="P5862" si="18962">D5862-D5861</f>
        <v>-1</v>
      </c>
      <c r="Q5862" s="399" t="s">
        <v>125</v>
      </c>
      <c r="R5862" s="399">
        <f t="shared" ref="R5862" si="18963">IF(P5862&gt;0,$F$18*F5862/1000,0)</f>
        <v>0</v>
      </c>
      <c r="S5862" s="399" t="s">
        <v>205</v>
      </c>
      <c r="T5862" s="399" t="s">
        <v>125</v>
      </c>
      <c r="U5862" s="401">
        <f t="shared" si="18952"/>
        <v>1.5782400000000001</v>
      </c>
      <c r="V5862" s="399"/>
      <c r="W5862" s="399"/>
      <c r="X5862" s="399" t="s">
        <v>125</v>
      </c>
      <c r="Y5862" s="389">
        <f t="shared" ref="Y5862" si="18964">D5851</f>
        <v>1</v>
      </c>
      <c r="Z5862" s="400" t="s">
        <v>176</v>
      </c>
      <c r="AA5862" s="402">
        <f t="shared" ref="AA5862" si="18965">IF(AA5863=0,(D5862*N5862+P5862*R5862)*U5862*Y5862,0)</f>
        <v>8.3958422400000003</v>
      </c>
      <c r="AB5862" s="403"/>
    </row>
    <row r="5863" spans="1:28">
      <c r="A5863" s="384" t="str">
        <f t="shared" ref="A5863:B5863" si="18966">A5845</f>
        <v>Lantai 3</v>
      </c>
      <c r="B5863" s="385">
        <f t="shared" si="18966"/>
        <v>53</v>
      </c>
      <c r="C5863" s="393"/>
      <c r="D5863" s="398">
        <f t="shared" si="18867"/>
        <v>0</v>
      </c>
      <c r="E5863" s="388" t="s">
        <v>16</v>
      </c>
      <c r="F5863" s="388">
        <f t="shared" si="18868"/>
        <v>16</v>
      </c>
      <c r="G5863" s="388"/>
      <c r="H5863" s="395"/>
      <c r="I5863" s="388"/>
      <c r="J5863" s="396"/>
      <c r="K5863" s="396"/>
      <c r="L5863" s="404" t="s">
        <v>207</v>
      </c>
      <c r="M5863" s="399" t="s">
        <v>176</v>
      </c>
      <c r="N5863" s="399">
        <f t="shared" ref="N5863" si="18967">IF(AND(D5860=D5861,D5860=D5862,D5861=D5862,F5860=F5861,F5860=F5862,F5861=F5862),SUM(N5860:N5862),0)</f>
        <v>0</v>
      </c>
      <c r="O5863" s="399" t="s">
        <v>204</v>
      </c>
      <c r="P5863" s="389">
        <f t="shared" ref="P5863" si="18968">IF(N5863&gt;12,ROUNDDOWN(N5863/12,0),0)</f>
        <v>0</v>
      </c>
      <c r="Q5863" s="399" t="s">
        <v>125</v>
      </c>
      <c r="R5863" s="399">
        <f t="shared" ref="R5863" si="18969">IF(P5863&gt;0,MAX(VLOOKUP(F5863,$D$6:$G$15,3,FALSE),600),0)/1000</f>
        <v>0</v>
      </c>
      <c r="S5863" s="396"/>
      <c r="T5863" s="396" t="s">
        <v>125</v>
      </c>
      <c r="U5863" s="401">
        <f t="shared" si="18872"/>
        <v>1.5782400000000001</v>
      </c>
      <c r="V5863" s="396" t="s">
        <v>125</v>
      </c>
      <c r="W5863" s="399">
        <f t="shared" ref="W5863" si="18970">D5863</f>
        <v>0</v>
      </c>
      <c r="X5863" s="399" t="s">
        <v>125</v>
      </c>
      <c r="Y5863" s="389">
        <f t="shared" si="18874"/>
        <v>1</v>
      </c>
      <c r="Z5863" s="400" t="s">
        <v>176</v>
      </c>
      <c r="AA5863" s="402">
        <f t="shared" ref="AA5863" si="18971">(N5863+P5863*R5863/1000)*U5863*W5863*Y5863</f>
        <v>0</v>
      </c>
      <c r="AB5863" s="403"/>
    </row>
    <row r="5864" spans="1:28">
      <c r="A5864" s="384"/>
      <c r="B5864" s="385"/>
      <c r="C5864" s="393"/>
      <c r="D5864" s="394"/>
      <c r="E5864" s="388"/>
      <c r="F5864" s="388"/>
      <c r="G5864" s="388"/>
      <c r="H5864" s="395"/>
      <c r="I5864" s="388"/>
      <c r="J5864" s="399"/>
      <c r="K5864" s="396"/>
      <c r="L5864" s="396"/>
      <c r="M5864" s="396"/>
      <c r="N5864" s="396"/>
      <c r="O5864" s="396"/>
      <c r="P5864" s="389"/>
      <c r="Q5864" s="396"/>
      <c r="R5864" s="396"/>
      <c r="S5864" s="396"/>
      <c r="T5864" s="396"/>
      <c r="U5864" s="401"/>
      <c r="V5864" s="396"/>
      <c r="W5864" s="388"/>
      <c r="X5864" s="396"/>
      <c r="Y5864" s="389"/>
      <c r="Z5864" s="396"/>
      <c r="AA5864" s="388"/>
      <c r="AB5864" s="390"/>
    </row>
    <row r="5865" spans="1:28">
      <c r="A5865" s="384" t="str">
        <f t="shared" ref="A5865:B5865" si="18972">A5845</f>
        <v>Lantai 3</v>
      </c>
      <c r="B5865" s="385">
        <f t="shared" si="18972"/>
        <v>53</v>
      </c>
      <c r="C5865" s="393" t="s">
        <v>211</v>
      </c>
      <c r="D5865" s="398">
        <f>VLOOKUP(D5845,'Detail Balok'!$C$10:$AU$140,31,FALSE)</f>
        <v>0</v>
      </c>
      <c r="E5865" s="388" t="s">
        <v>16</v>
      </c>
      <c r="F5865" s="388">
        <f>VLOOKUP(D5845,'Detail Balok'!$C$10:$AU$140,33,FALSE)</f>
        <v>10</v>
      </c>
      <c r="G5865" s="405" t="s">
        <v>157</v>
      </c>
      <c r="H5865" s="395">
        <f>VLOOKUP(D5845,'Detail Balok'!$C$10:$AU$140,35,FALSE)</f>
        <v>100</v>
      </c>
      <c r="I5865" s="388"/>
      <c r="J5865" s="400">
        <f t="shared" ref="J5865" si="18973">(IF(D5865=0,(2*(D5846+G5846))-(F$5*8),IF(D5865=3,(2*(D5846+G5846))-(F$5*8)+(G5846-2*F$5),IF(D5865=4,(2*(D5846+G5846))-(F$5*8)+2*(G5846-2*F$5)))))/1000</f>
        <v>1.28</v>
      </c>
      <c r="K5865" s="400" t="s">
        <v>204</v>
      </c>
      <c r="L5865" s="399">
        <f t="shared" ref="L5865:L5867" si="18974">IF(D5865=0,2*MAX(6*F5865,75),(D5865-1)*2*MAX(6*F5865,75))/1000</f>
        <v>0.15</v>
      </c>
      <c r="M5865" s="399" t="s">
        <v>176</v>
      </c>
      <c r="N5865" s="399">
        <f t="shared" ref="N5865:N5867" si="18975">J5865+L5865</f>
        <v>1.43</v>
      </c>
      <c r="O5865" s="399"/>
      <c r="P5865" s="389"/>
      <c r="Q5865" s="399"/>
      <c r="R5865" s="399"/>
      <c r="S5865" s="399"/>
      <c r="T5865" s="399" t="s">
        <v>125</v>
      </c>
      <c r="U5865" s="401">
        <f t="shared" ref="U5865:U5867" si="18976">0.006165*F5865^2</f>
        <v>0.61650000000000005</v>
      </c>
      <c r="V5865" s="399" t="s">
        <v>125</v>
      </c>
      <c r="W5865" s="399">
        <f t="shared" ref="W5865" si="18977">IF(D5848&gt;4*G5846,ROUND(MAX(D5848/4,2*G5846)/H5865,0)+1,ROUND(D5848/H5865,0)+1)</f>
        <v>17</v>
      </c>
      <c r="X5865" s="399" t="s">
        <v>125</v>
      </c>
      <c r="Y5865" s="389">
        <f t="shared" ref="Y5865" si="18978">D5851</f>
        <v>1</v>
      </c>
      <c r="Z5865" s="400" t="s">
        <v>176</v>
      </c>
      <c r="AA5865" s="402">
        <f t="shared" ref="AA5865:AA5867" si="18979">N5865*U5865*W5865*Y5865</f>
        <v>14.987115000000001</v>
      </c>
      <c r="AB5865" s="403"/>
    </row>
    <row r="5866" spans="1:28">
      <c r="A5866" s="384" t="str">
        <f t="shared" ref="A5866:B5866" si="18980">A5845</f>
        <v>Lantai 3</v>
      </c>
      <c r="B5866" s="385">
        <f t="shared" si="18980"/>
        <v>53</v>
      </c>
      <c r="C5866" s="393" t="s">
        <v>212</v>
      </c>
      <c r="D5866" s="398">
        <f>VLOOKUP(D5845,'Detail Balok'!$C$10:$AU$140,36,FALSE)</f>
        <v>0</v>
      </c>
      <c r="E5866" s="388" t="s">
        <v>16</v>
      </c>
      <c r="F5866" s="388">
        <f>VLOOKUP(D5845,'Detail Balok'!$C$10:$AU$140,38,FALSE)</f>
        <v>10</v>
      </c>
      <c r="G5866" s="405" t="s">
        <v>157</v>
      </c>
      <c r="H5866" s="395">
        <f>VLOOKUP(D5845,'Detail Balok'!$C$10:$AU$140,40,FALSE)</f>
        <v>150</v>
      </c>
      <c r="I5866" s="388"/>
      <c r="J5866" s="400">
        <f t="shared" ref="J5866" si="18981">(IF(D5866=0,(2*(D5846+G5846))-(F$5*8),IF(D5866=3,(2*(D5846+G5846))-(F$5*8)+(G5846-2*F$5),IF(D5866=4,(2*(D5846+G5846))-(F$5*8)+2*(G5846-2*F$5)))))/1000</f>
        <v>1.28</v>
      </c>
      <c r="K5866" s="400" t="s">
        <v>204</v>
      </c>
      <c r="L5866" s="399">
        <f t="shared" si="18974"/>
        <v>0.15</v>
      </c>
      <c r="M5866" s="399" t="s">
        <v>176</v>
      </c>
      <c r="N5866" s="399">
        <f t="shared" si="18975"/>
        <v>1.43</v>
      </c>
      <c r="O5866" s="399"/>
      <c r="P5866" s="389"/>
      <c r="Q5866" s="399"/>
      <c r="R5866" s="399"/>
      <c r="S5866" s="399"/>
      <c r="T5866" s="399" t="s">
        <v>125</v>
      </c>
      <c r="U5866" s="401">
        <f t="shared" si="18976"/>
        <v>0.61650000000000005</v>
      </c>
      <c r="V5866" s="399" t="s">
        <v>125</v>
      </c>
      <c r="W5866" s="399">
        <f t="shared" ref="W5866" si="18982">IF(D5848-MAX(D5848/4,2*G5846)*2&gt;0,ROUND((D5848-MAX(D5848/4,2*G5846)*2)/H5866,0),0)</f>
        <v>21</v>
      </c>
      <c r="X5866" s="399" t="s">
        <v>125</v>
      </c>
      <c r="Y5866" s="389">
        <f t="shared" ref="Y5866" si="18983">D5851</f>
        <v>1</v>
      </c>
      <c r="Z5866" s="400" t="s">
        <v>176</v>
      </c>
      <c r="AA5866" s="402">
        <f t="shared" si="18979"/>
        <v>18.513494999999999</v>
      </c>
      <c r="AB5866" s="403"/>
    </row>
    <row r="5867" spans="1:28">
      <c r="A5867" s="384" t="str">
        <f t="shared" ref="A5867:B5867" si="18984">A5845</f>
        <v>Lantai 3</v>
      </c>
      <c r="B5867" s="385">
        <f t="shared" si="18984"/>
        <v>53</v>
      </c>
      <c r="C5867" s="393" t="s">
        <v>211</v>
      </c>
      <c r="D5867" s="398">
        <f>VLOOKUP(D5845,'Detail Balok'!$C$10:$AU$140,41,FALSE)</f>
        <v>0</v>
      </c>
      <c r="E5867" s="388" t="s">
        <v>16</v>
      </c>
      <c r="F5867" s="388">
        <f>VLOOKUP(D5845,'Detail Balok'!$C$10:$AU$140,43,FALSE)</f>
        <v>10</v>
      </c>
      <c r="G5867" s="405" t="s">
        <v>157</v>
      </c>
      <c r="H5867" s="395">
        <f>VLOOKUP(D5845,'Detail Balok'!$C$10:$AU$140,45,FALSE)</f>
        <v>100</v>
      </c>
      <c r="I5867" s="388"/>
      <c r="J5867" s="400">
        <f t="shared" ref="J5867" si="18985">(IF(D5867=0,(2*(D5846+G5846))-(F$5*8),IF(D5867=3,(2*(D5846+G5846))-(F$5*8)+(G5846-2*F$5),IF(D5867=4,(2*(D5846+G5846))-(F$5*8)+2*(G5846-2*F$5)))))/1000</f>
        <v>1.28</v>
      </c>
      <c r="K5867" s="400" t="s">
        <v>204</v>
      </c>
      <c r="L5867" s="399">
        <f t="shared" si="18974"/>
        <v>0.15</v>
      </c>
      <c r="M5867" s="399" t="s">
        <v>176</v>
      </c>
      <c r="N5867" s="399">
        <f t="shared" si="18975"/>
        <v>1.43</v>
      </c>
      <c r="O5867" s="399"/>
      <c r="P5867" s="389"/>
      <c r="Q5867" s="399"/>
      <c r="R5867" s="399"/>
      <c r="S5867" s="399"/>
      <c r="T5867" s="399" t="s">
        <v>125</v>
      </c>
      <c r="U5867" s="401">
        <f t="shared" si="18976"/>
        <v>0.61650000000000005</v>
      </c>
      <c r="V5867" s="399" t="s">
        <v>125</v>
      </c>
      <c r="W5867" s="399">
        <f t="shared" ref="W5867" si="18986">IF(D5848&gt;4*G5846,ROUND(MAX(D5848/4,2*G5846)/H5867,0)+1,0)</f>
        <v>17</v>
      </c>
      <c r="X5867" s="399" t="s">
        <v>125</v>
      </c>
      <c r="Y5867" s="389">
        <f t="shared" ref="Y5867" si="18987">D5851</f>
        <v>1</v>
      </c>
      <c r="Z5867" s="400" t="s">
        <v>176</v>
      </c>
      <c r="AA5867" s="402">
        <f t="shared" si="18979"/>
        <v>14.987115000000001</v>
      </c>
      <c r="AB5867" s="403"/>
    </row>
    <row r="5868" spans="1:28">
      <c r="A5868" s="384"/>
      <c r="B5868" s="385"/>
      <c r="C5868" s="393"/>
      <c r="D5868" s="394"/>
      <c r="E5868" s="388"/>
      <c r="F5868" s="388"/>
      <c r="G5868" s="388"/>
      <c r="H5868" s="395"/>
      <c r="I5868" s="388"/>
      <c r="J5868" s="399"/>
      <c r="K5868" s="396"/>
      <c r="L5868" s="396"/>
      <c r="M5868" s="396"/>
      <c r="N5868" s="396"/>
      <c r="O5868" s="396"/>
      <c r="P5868" s="389"/>
      <c r="Q5868" s="396"/>
      <c r="R5868" s="396"/>
      <c r="S5868" s="396"/>
      <c r="T5868" s="396"/>
      <c r="U5868" s="401"/>
      <c r="V5868" s="396"/>
      <c r="W5868" s="388"/>
      <c r="X5868" s="396"/>
      <c r="Y5868" s="389"/>
      <c r="Z5868" s="396"/>
      <c r="AA5868" s="388"/>
      <c r="AB5868" s="390"/>
    </row>
    <row r="5869" spans="1:28">
      <c r="A5869" s="384" t="str">
        <f t="shared" ref="A5869:B5869" si="18988">A5845</f>
        <v>Lantai 3</v>
      </c>
      <c r="B5869" s="385">
        <f t="shared" si="18988"/>
        <v>53</v>
      </c>
      <c r="C5869" s="393" t="s">
        <v>213</v>
      </c>
      <c r="D5869" s="398">
        <f>VLOOKUP(D5845,'Detail Balok'!$C$10:$BJ$140,46,FALSE)</f>
        <v>0</v>
      </c>
      <c r="E5869" s="388" t="s">
        <v>16</v>
      </c>
      <c r="F5869" s="388">
        <f>VLOOKUP(D5845,'Detail Balok'!$C$10:$BJ$140,48,FALSE)</f>
        <v>0</v>
      </c>
      <c r="G5869" s="405" t="s">
        <v>157</v>
      </c>
      <c r="H5869" s="395">
        <f>VLOOKUP(D5845,'Detail Balok'!$C$10:$BJ$140,50,FALSE)</f>
        <v>100</v>
      </c>
      <c r="I5869" s="388"/>
      <c r="J5869" s="399">
        <f t="shared" ref="J5869" si="18989">(D5846-2*F$5)/1000</f>
        <v>0.12</v>
      </c>
      <c r="K5869" s="400" t="s">
        <v>204</v>
      </c>
      <c r="L5869" s="399">
        <f t="shared" ref="L5869:L5871" si="18990">IF(D5869=0,2*MAX(6*F5869,75),(D5869-1)*2*MAX(6*F5869,75))/1000</f>
        <v>0.15</v>
      </c>
      <c r="M5869" s="399" t="s">
        <v>176</v>
      </c>
      <c r="N5869" s="399">
        <f t="shared" ref="N5869:N5871" si="18991">J5869+L5869</f>
        <v>0.27</v>
      </c>
      <c r="O5869" s="399"/>
      <c r="P5869" s="399"/>
      <c r="Q5869" s="399"/>
      <c r="R5869" s="399"/>
      <c r="S5869" s="399"/>
      <c r="T5869" s="399" t="s">
        <v>125</v>
      </c>
      <c r="U5869" s="401">
        <f t="shared" ref="U5869:U5871" si="18992">0.006165*F5869^2</f>
        <v>0</v>
      </c>
      <c r="V5869" s="399" t="s">
        <v>125</v>
      </c>
      <c r="W5869" s="399">
        <f t="shared" si="18897"/>
        <v>17</v>
      </c>
      <c r="X5869" s="399" t="s">
        <v>125</v>
      </c>
      <c r="Y5869" s="389">
        <f t="shared" ref="Y5869" si="18993">D5855</f>
        <v>0</v>
      </c>
      <c r="Z5869" s="400" t="s">
        <v>176</v>
      </c>
      <c r="AA5869" s="402">
        <f t="shared" ref="AA5869:AA5871" si="18994">N5869*U5869*W5869*Y5869</f>
        <v>0</v>
      </c>
      <c r="AB5869" s="403"/>
    </row>
    <row r="5870" spans="1:28">
      <c r="A5870" s="384" t="str">
        <f t="shared" ref="A5870:B5870" si="18995">A5845</f>
        <v>Lantai 3</v>
      </c>
      <c r="B5870" s="385">
        <f t="shared" si="18995"/>
        <v>53</v>
      </c>
      <c r="C5870" s="393" t="s">
        <v>214</v>
      </c>
      <c r="D5870" s="398">
        <f>VLOOKUP(D5845,'Detail Balok'!$C$10:$BJ$140,51,FALSE)</f>
        <v>0</v>
      </c>
      <c r="E5870" s="388" t="s">
        <v>16</v>
      </c>
      <c r="F5870" s="388">
        <f>VLOOKUP(D5845,'Detail Balok'!$C$10:$BJ$140,53,FALSE)</f>
        <v>0</v>
      </c>
      <c r="G5870" s="405" t="s">
        <v>157</v>
      </c>
      <c r="H5870" s="395">
        <f>VLOOKUP(D5845,'Detail Balok'!$C$10:$BJ$140,55,FALSE)</f>
        <v>100</v>
      </c>
      <c r="I5870" s="388"/>
      <c r="J5870" s="399">
        <f t="shared" ref="J5870" si="18996">(D5846-2*F$5)/1000</f>
        <v>0.12</v>
      </c>
      <c r="K5870" s="400" t="s">
        <v>204</v>
      </c>
      <c r="L5870" s="399">
        <f t="shared" si="18990"/>
        <v>0.15</v>
      </c>
      <c r="M5870" s="399" t="s">
        <v>176</v>
      </c>
      <c r="N5870" s="399">
        <f t="shared" si="18991"/>
        <v>0.27</v>
      </c>
      <c r="O5870" s="399"/>
      <c r="P5870" s="399"/>
      <c r="Q5870" s="399"/>
      <c r="R5870" s="399"/>
      <c r="S5870" s="399"/>
      <c r="T5870" s="399" t="s">
        <v>125</v>
      </c>
      <c r="U5870" s="401">
        <f t="shared" si="18992"/>
        <v>0</v>
      </c>
      <c r="V5870" s="399" t="s">
        <v>125</v>
      </c>
      <c r="W5870" s="399">
        <f t="shared" si="18897"/>
        <v>21</v>
      </c>
      <c r="X5870" s="399" t="s">
        <v>125</v>
      </c>
      <c r="Y5870" s="389">
        <f t="shared" ref="Y5870" si="18997">D5855</f>
        <v>0</v>
      </c>
      <c r="Z5870" s="400" t="s">
        <v>176</v>
      </c>
      <c r="AA5870" s="402">
        <f t="shared" si="18994"/>
        <v>0</v>
      </c>
      <c r="AB5870" s="403"/>
    </row>
    <row r="5871" spans="1:28">
      <c r="A5871" s="384" t="str">
        <f t="shared" ref="A5871:B5871" si="18998">A5845</f>
        <v>Lantai 3</v>
      </c>
      <c r="B5871" s="385">
        <f t="shared" si="18998"/>
        <v>53</v>
      </c>
      <c r="C5871" s="393" t="s">
        <v>213</v>
      </c>
      <c r="D5871" s="398">
        <f>VLOOKUP(D5845,'Detail Balok'!$C$10:$BJ$140,56,FALSE)</f>
        <v>0</v>
      </c>
      <c r="E5871" s="388" t="s">
        <v>16</v>
      </c>
      <c r="F5871" s="388">
        <f>VLOOKUP(D5845,'Detail Balok'!$C$10:$BJ$140,58,FALSE)</f>
        <v>0</v>
      </c>
      <c r="G5871" s="405" t="s">
        <v>157</v>
      </c>
      <c r="H5871" s="395">
        <f>VLOOKUP(D5845,'Detail Balok'!$C$10:$BJ$140,60,FALSE)</f>
        <v>100</v>
      </c>
      <c r="I5871" s="388"/>
      <c r="J5871" s="399">
        <f t="shared" ref="J5871" si="18999">(D5846-2*F$5)/1000</f>
        <v>0.12</v>
      </c>
      <c r="K5871" s="400" t="s">
        <v>204</v>
      </c>
      <c r="L5871" s="399">
        <f t="shared" si="18990"/>
        <v>0.15</v>
      </c>
      <c r="M5871" s="399" t="s">
        <v>176</v>
      </c>
      <c r="N5871" s="399">
        <f t="shared" si="18991"/>
        <v>0.27</v>
      </c>
      <c r="O5871" s="399"/>
      <c r="P5871" s="399"/>
      <c r="Q5871" s="399"/>
      <c r="R5871" s="399"/>
      <c r="S5871" s="399"/>
      <c r="T5871" s="399" t="s">
        <v>125</v>
      </c>
      <c r="U5871" s="401">
        <f t="shared" si="18992"/>
        <v>0</v>
      </c>
      <c r="V5871" s="399" t="s">
        <v>125</v>
      </c>
      <c r="W5871" s="399">
        <f t="shared" si="18897"/>
        <v>17</v>
      </c>
      <c r="X5871" s="399" t="s">
        <v>125</v>
      </c>
      <c r="Y5871" s="389">
        <f t="shared" ref="Y5871" si="19000">D5855</f>
        <v>0</v>
      </c>
      <c r="Z5871" s="400" t="s">
        <v>176</v>
      </c>
      <c r="AA5871" s="402">
        <f t="shared" si="18994"/>
        <v>0</v>
      </c>
      <c r="AB5871" s="403"/>
    </row>
    <row r="5872" spans="1:28">
      <c r="A5872" s="391"/>
      <c r="B5872" s="392"/>
      <c r="C5872" s="392"/>
      <c r="D5872" s="394"/>
      <c r="E5872" s="388"/>
      <c r="F5872" s="388"/>
      <c r="G5872" s="388"/>
      <c r="H5872" s="395"/>
      <c r="I5872" s="388"/>
      <c r="J5872" s="402"/>
      <c r="K5872" s="388"/>
      <c r="L5872" s="388"/>
      <c r="M5872" s="388"/>
      <c r="N5872" s="388"/>
      <c r="O5872" s="388"/>
      <c r="P5872" s="388"/>
      <c r="Q5872" s="388"/>
      <c r="R5872" s="388"/>
      <c r="S5872" s="388"/>
      <c r="T5872" s="388"/>
      <c r="U5872" s="388"/>
      <c r="V5872" s="388"/>
      <c r="W5872" s="388"/>
      <c r="X5872" s="388"/>
      <c r="Y5872" s="389"/>
      <c r="Z5872" s="388"/>
      <c r="AA5872" s="402"/>
      <c r="AB5872" s="403"/>
    </row>
    <row r="5873" spans="1:28" ht="15.75" thickBot="1">
      <c r="A5873" s="406"/>
      <c r="B5873" s="407"/>
      <c r="C5873" s="407"/>
      <c r="D5873" s="408"/>
      <c r="E5873" s="409"/>
      <c r="F5873" s="409"/>
      <c r="G5873" s="409"/>
      <c r="H5873" s="410"/>
      <c r="I5873" s="409"/>
      <c r="J5873" s="409"/>
      <c r="K5873" s="409"/>
      <c r="L5873" s="409"/>
      <c r="M5873" s="409"/>
      <c r="N5873" s="409"/>
      <c r="O5873" s="409"/>
      <c r="P5873" s="409"/>
      <c r="Q5873" s="409"/>
      <c r="R5873" s="409"/>
      <c r="S5873" s="409"/>
      <c r="T5873" s="409"/>
      <c r="U5873" s="409"/>
      <c r="V5873" s="409"/>
      <c r="W5873" s="409"/>
      <c r="X5873" s="409"/>
      <c r="Y5873" s="411"/>
      <c r="Z5873" s="409"/>
      <c r="AA5873" s="412"/>
      <c r="AB5873" s="413"/>
    </row>
    <row r="5874" spans="1:28">
      <c r="A5874" s="377"/>
      <c r="B5874" s="378"/>
      <c r="C5874" s="378"/>
      <c r="D5874" s="379"/>
      <c r="E5874" s="380"/>
      <c r="F5874" s="380"/>
      <c r="G5874" s="380"/>
      <c r="H5874" s="381"/>
      <c r="I5874" s="380"/>
      <c r="J5874" s="380"/>
      <c r="K5874" s="380"/>
      <c r="L5874" s="380"/>
      <c r="M5874" s="380"/>
      <c r="N5874" s="380"/>
      <c r="O5874" s="380"/>
      <c r="P5874" s="380"/>
      <c r="Q5874" s="380"/>
      <c r="R5874" s="380"/>
      <c r="S5874" s="380"/>
      <c r="T5874" s="380"/>
      <c r="U5874" s="380"/>
      <c r="V5874" s="380"/>
      <c r="W5874" s="380"/>
      <c r="X5874" s="380"/>
      <c r="Y5874" s="382"/>
      <c r="Z5874" s="380"/>
      <c r="AA5874" s="380"/>
      <c r="AB5874" s="383"/>
    </row>
    <row r="5875" spans="1:28">
      <c r="A5875" s="384" t="str">
        <f t="shared" si="18906"/>
        <v>Lantai 3</v>
      </c>
      <c r="B5875" s="385">
        <f t="shared" si="18907"/>
        <v>54</v>
      </c>
      <c r="C5875" s="386" t="str">
        <f t="shared" ref="C5875" si="19001">CONCATENATE(A5875," no. ",B5875)</f>
        <v>Lantai 3 no. 54</v>
      </c>
      <c r="D5875" s="2562" t="str">
        <f>VLOOKUP(C5875,'Data Panjang Balok'!$C$9:$N$254,2,FALSE)</f>
        <v>B26-1</v>
      </c>
      <c r="E5875" s="2576"/>
      <c r="F5875" s="2576"/>
      <c r="G5875" s="2576"/>
      <c r="H5875" s="2577"/>
      <c r="I5875" s="387"/>
      <c r="J5875" s="388"/>
      <c r="K5875" s="388"/>
      <c r="L5875" s="388"/>
      <c r="M5875" s="388"/>
      <c r="N5875" s="388"/>
      <c r="O5875" s="388"/>
      <c r="P5875" s="388"/>
      <c r="Q5875" s="388"/>
      <c r="R5875" s="388"/>
      <c r="S5875" s="388"/>
      <c r="T5875" s="388"/>
      <c r="U5875" s="388"/>
      <c r="V5875" s="388"/>
      <c r="W5875" s="388"/>
      <c r="X5875" s="388"/>
      <c r="Y5875" s="389"/>
      <c r="Z5875" s="388"/>
      <c r="AA5875" s="388"/>
      <c r="AB5875" s="390"/>
    </row>
    <row r="5876" spans="1:28">
      <c r="A5876" s="391"/>
      <c r="B5876" s="392"/>
      <c r="C5876" s="393" t="s">
        <v>118</v>
      </c>
      <c r="D5876" s="2578">
        <f>VLOOKUP(D5875,'Detail Balok'!$C$10:$AU$140,2,FALSE)</f>
        <v>200</v>
      </c>
      <c r="E5876" s="2579"/>
      <c r="F5876" s="388" t="s">
        <v>125</v>
      </c>
      <c r="G5876" s="2579">
        <f>VLOOKUP(D5875,'Detail Balok'!$C$10:$AU$140,3,FALSE)</f>
        <v>600</v>
      </c>
      <c r="H5876" s="2580"/>
      <c r="I5876" s="388"/>
      <c r="J5876" s="396"/>
      <c r="K5876" s="396"/>
      <c r="L5876" s="396"/>
      <c r="M5876" s="396"/>
      <c r="N5876" s="396"/>
      <c r="O5876" s="396"/>
      <c r="P5876" s="396"/>
      <c r="Q5876" s="396"/>
      <c r="R5876" s="396"/>
      <c r="S5876" s="396"/>
      <c r="T5876" s="396"/>
      <c r="U5876" s="388"/>
      <c r="V5876" s="396"/>
      <c r="W5876" s="388"/>
      <c r="X5876" s="396"/>
      <c r="Y5876" s="389"/>
      <c r="Z5876" s="396"/>
      <c r="AA5876" s="388"/>
      <c r="AB5876" s="390"/>
    </row>
    <row r="5877" spans="1:28">
      <c r="A5877" s="391"/>
      <c r="B5877" s="392"/>
      <c r="C5877" s="393" t="s">
        <v>198</v>
      </c>
      <c r="D5877" s="2562">
        <f>VLOOKUP(C5875,'Data Panjang Balok'!$C$9:$N$254,4,FALSE)</f>
        <v>4555</v>
      </c>
      <c r="E5877" s="2563"/>
      <c r="F5877" s="2563"/>
      <c r="G5877" s="2563"/>
      <c r="H5877" s="2564"/>
      <c r="I5877" s="397"/>
      <c r="J5877" s="396"/>
      <c r="K5877" s="396"/>
      <c r="L5877" s="396"/>
      <c r="M5877" s="396"/>
      <c r="N5877" s="396"/>
      <c r="O5877" s="396"/>
      <c r="P5877" s="396"/>
      <c r="Q5877" s="396"/>
      <c r="R5877" s="396"/>
      <c r="S5877" s="396"/>
      <c r="T5877" s="396"/>
      <c r="U5877" s="388"/>
      <c r="V5877" s="396"/>
      <c r="W5877" s="388"/>
      <c r="X5877" s="396"/>
      <c r="Y5877" s="389"/>
      <c r="Z5877" s="396"/>
      <c r="AA5877" s="388"/>
      <c r="AB5877" s="390"/>
    </row>
    <row r="5878" spans="1:28">
      <c r="A5878" s="391"/>
      <c r="B5878" s="392"/>
      <c r="C5878" s="393" t="s">
        <v>199</v>
      </c>
      <c r="D5878" s="2562">
        <f>VLOOKUP(C5875,'Data Panjang Balok'!$C$9:$N$254,7,FALSE)</f>
        <v>4555</v>
      </c>
      <c r="E5878" s="2563"/>
      <c r="F5878" s="2563"/>
      <c r="G5878" s="2563"/>
      <c r="H5878" s="2564"/>
      <c r="I5878" s="397"/>
      <c r="J5878" s="396"/>
      <c r="K5878" s="396"/>
      <c r="L5878" s="396"/>
      <c r="M5878" s="396"/>
      <c r="N5878" s="396"/>
      <c r="O5878" s="396"/>
      <c r="P5878" s="396"/>
      <c r="Q5878" s="396"/>
      <c r="R5878" s="396"/>
      <c r="S5878" s="396"/>
      <c r="T5878" s="396"/>
      <c r="U5878" s="388"/>
      <c r="V5878" s="396"/>
      <c r="W5878" s="388"/>
      <c r="X5878" s="396"/>
      <c r="Y5878" s="389"/>
      <c r="Z5878" s="396"/>
      <c r="AA5878" s="388"/>
      <c r="AB5878" s="390"/>
    </row>
    <row r="5879" spans="1:28">
      <c r="A5879" s="391"/>
      <c r="B5879" s="392"/>
      <c r="C5879" s="393" t="s">
        <v>200</v>
      </c>
      <c r="D5879" s="2562">
        <f>VLOOKUP(C5875,'Data Panjang Balok'!$C$9:$N$254,9,FALSE)</f>
        <v>0</v>
      </c>
      <c r="E5879" s="2563"/>
      <c r="F5879" s="2563"/>
      <c r="G5879" s="2563"/>
      <c r="H5879" s="2564"/>
      <c r="I5879" s="397"/>
      <c r="J5879" s="396"/>
      <c r="K5879" s="396"/>
      <c r="L5879" s="396"/>
      <c r="M5879" s="396"/>
      <c r="N5879" s="396"/>
      <c r="O5879" s="396"/>
      <c r="P5879" s="396"/>
      <c r="Q5879" s="396"/>
      <c r="R5879" s="396"/>
      <c r="S5879" s="396"/>
      <c r="T5879" s="396"/>
      <c r="U5879" s="388"/>
      <c r="V5879" s="396"/>
      <c r="W5879" s="388"/>
      <c r="X5879" s="396"/>
      <c r="Y5879" s="389"/>
      <c r="Z5879" s="396"/>
      <c r="AA5879" s="388"/>
      <c r="AB5879" s="390"/>
    </row>
    <row r="5880" spans="1:28">
      <c r="A5880" s="391"/>
      <c r="B5880" s="392"/>
      <c r="C5880" s="393" t="s">
        <v>201</v>
      </c>
      <c r="D5880" s="2562">
        <f>VLOOKUP(C5875,'Data Panjang Balok'!$C$9:$N$254,10,FALSE)</f>
        <v>0</v>
      </c>
      <c r="E5880" s="2563"/>
      <c r="F5880" s="2563"/>
      <c r="G5880" s="2563"/>
      <c r="H5880" s="2564"/>
      <c r="I5880" s="397"/>
      <c r="J5880" s="396"/>
      <c r="K5880" s="396"/>
      <c r="L5880" s="396"/>
      <c r="M5880" s="396"/>
      <c r="N5880" s="396"/>
      <c r="O5880" s="396"/>
      <c r="P5880" s="396"/>
      <c r="Q5880" s="396"/>
      <c r="R5880" s="396"/>
      <c r="S5880" s="396"/>
      <c r="T5880" s="396"/>
      <c r="U5880" s="388"/>
      <c r="V5880" s="396"/>
      <c r="W5880" s="388"/>
      <c r="X5880" s="396"/>
      <c r="Y5880" s="389"/>
      <c r="Z5880" s="396"/>
      <c r="AA5880" s="388"/>
      <c r="AB5880" s="390"/>
    </row>
    <row r="5881" spans="1:28">
      <c r="A5881" s="391"/>
      <c r="B5881" s="392"/>
      <c r="C5881" s="393" t="s">
        <v>48</v>
      </c>
      <c r="D5881" s="2562">
        <f>VLOOKUP(C5875,'Data Panjang Balok'!$C$9:$N$254,3,FALSE)</f>
        <v>1</v>
      </c>
      <c r="E5881" s="2563"/>
      <c r="F5881" s="2563"/>
      <c r="G5881" s="2563"/>
      <c r="H5881" s="2564"/>
      <c r="I5881" s="397"/>
      <c r="J5881" s="396"/>
      <c r="K5881" s="396"/>
      <c r="L5881" s="396"/>
      <c r="M5881" s="396"/>
      <c r="N5881" s="396"/>
      <c r="O5881" s="396"/>
      <c r="P5881" s="396"/>
      <c r="Q5881" s="396"/>
      <c r="R5881" s="396"/>
      <c r="S5881" s="396"/>
      <c r="T5881" s="396"/>
      <c r="U5881" s="388"/>
      <c r="V5881" s="396"/>
      <c r="W5881" s="388"/>
      <c r="X5881" s="396"/>
      <c r="Y5881" s="389"/>
      <c r="Z5881" s="396"/>
      <c r="AA5881" s="388"/>
      <c r="AB5881" s="390"/>
    </row>
    <row r="5882" spans="1:28">
      <c r="A5882" s="384" t="str">
        <f t="shared" ref="A5882:B5882" si="19002">A5875</f>
        <v>Lantai 3</v>
      </c>
      <c r="B5882" s="385">
        <f t="shared" si="19002"/>
        <v>54</v>
      </c>
      <c r="C5882" s="393" t="s">
        <v>202</v>
      </c>
      <c r="D5882" s="398">
        <f>VLOOKUP(D5875,'Detail Balok'!$C$10:$AU$140,4,FALSE)</f>
        <v>4</v>
      </c>
      <c r="E5882" s="388" t="s">
        <v>16</v>
      </c>
      <c r="F5882" s="388">
        <f>VLOOKUP(D5875,'Detail Balok'!$C$10:$AU$140,6,FALSE)</f>
        <v>16</v>
      </c>
      <c r="G5882" s="388"/>
      <c r="H5882" s="395"/>
      <c r="I5882" s="388" t="s">
        <v>203</v>
      </c>
      <c r="J5882" s="399">
        <f t="shared" ref="J5882" si="19003">+D5877/4/1000</f>
        <v>1.1387499999999999</v>
      </c>
      <c r="K5882" s="400" t="s">
        <v>204</v>
      </c>
      <c r="L5882" s="399">
        <f t="shared" ref="L5882" si="19004">MAX(VLOOKUP(F5882,N$6:P$15,3,FALSE)/1000,2/3*D5879/1000)+F$16*F5882/1000</f>
        <v>0.192</v>
      </c>
      <c r="M5882" s="399" t="s">
        <v>176</v>
      </c>
      <c r="N5882" s="399">
        <f t="shared" ref="N5882:N5884" si="19005">J5882+L5882</f>
        <v>1.3307499999999999</v>
      </c>
      <c r="O5882" s="399" t="s">
        <v>204</v>
      </c>
      <c r="P5882" s="389">
        <f t="shared" ref="P5882" si="19006">D5882-D5883</f>
        <v>1</v>
      </c>
      <c r="Q5882" s="399" t="s">
        <v>125</v>
      </c>
      <c r="R5882" s="399">
        <f t="shared" ref="R5882" si="19007">IF(P5882&gt;0,$F$18*F5882/1000,0)</f>
        <v>0.24</v>
      </c>
      <c r="S5882" s="399" t="s">
        <v>205</v>
      </c>
      <c r="T5882" s="399" t="s">
        <v>125</v>
      </c>
      <c r="U5882" s="401">
        <f t="shared" ref="U5882:U5884" si="19008">0.006165*F5882^2</f>
        <v>1.5782400000000001</v>
      </c>
      <c r="V5882" s="399"/>
      <c r="W5882" s="399"/>
      <c r="X5882" s="399" t="s">
        <v>125</v>
      </c>
      <c r="Y5882" s="389">
        <f t="shared" ref="Y5882" si="19009">D5881</f>
        <v>1</v>
      </c>
      <c r="Z5882" s="400" t="s">
        <v>176</v>
      </c>
      <c r="AA5882" s="402">
        <f t="shared" ref="AA5882" si="19010">IF(AA5885=0,(D5882*N5882+P5882*R5882)*U5882*Y5882,0)</f>
        <v>8.77974912</v>
      </c>
      <c r="AB5882" s="403"/>
    </row>
    <row r="5883" spans="1:28">
      <c r="A5883" s="384" t="str">
        <f t="shared" ref="A5883:B5883" si="19011">A5875</f>
        <v>Lantai 3</v>
      </c>
      <c r="B5883" s="385">
        <f t="shared" si="19011"/>
        <v>54</v>
      </c>
      <c r="C5883" s="393" t="s">
        <v>206</v>
      </c>
      <c r="D5883" s="398">
        <f>VLOOKUP(D5875,'Detail Balok'!$C$10:$AU$140,7,FALSE)</f>
        <v>3</v>
      </c>
      <c r="E5883" s="388" t="s">
        <v>16</v>
      </c>
      <c r="F5883" s="388">
        <f>VLOOKUP(D5875,'Detail Balok'!$C$10:$AU$140,9,FALSE)</f>
        <v>16</v>
      </c>
      <c r="G5883" s="388"/>
      <c r="H5883" s="395"/>
      <c r="I5883" s="388" t="s">
        <v>203</v>
      </c>
      <c r="J5883" s="399">
        <f t="shared" ref="J5883" si="19012">+D5877/2/1000</f>
        <v>2.2774999999999999</v>
      </c>
      <c r="K5883" s="400" t="s">
        <v>204</v>
      </c>
      <c r="L5883" s="399"/>
      <c r="M5883" s="399" t="s">
        <v>176</v>
      </c>
      <c r="N5883" s="399">
        <f t="shared" si="19005"/>
        <v>2.2774999999999999</v>
      </c>
      <c r="O5883" s="399" t="s">
        <v>204</v>
      </c>
      <c r="P5883" s="389">
        <f t="shared" ref="P5883" si="19013">MAX(D5883-D5882,D5883-D5884)</f>
        <v>-1</v>
      </c>
      <c r="Q5883" s="399" t="s">
        <v>125</v>
      </c>
      <c r="R5883" s="399">
        <f t="shared" ref="R5883" si="19014">IF(P5883&gt;0,2*(1-2*$F$19-1/2)*D5878/1000,0)</f>
        <v>0</v>
      </c>
      <c r="S5883" s="399" t="s">
        <v>205</v>
      </c>
      <c r="T5883" s="399" t="s">
        <v>125</v>
      </c>
      <c r="U5883" s="401">
        <f t="shared" si="19008"/>
        <v>1.5782400000000001</v>
      </c>
      <c r="V5883" s="399"/>
      <c r="W5883" s="399"/>
      <c r="X5883" s="399" t="s">
        <v>125</v>
      </c>
      <c r="Y5883" s="389">
        <f t="shared" ref="Y5883" si="19015">D5881</f>
        <v>1</v>
      </c>
      <c r="Z5883" s="400" t="s">
        <v>176</v>
      </c>
      <c r="AA5883" s="402">
        <f t="shared" ref="AA5883" si="19016">IF(AA5885=0,(D5883*N5883+P5883*R5883)*U5883*Y5883,0)</f>
        <v>10.783324799999999</v>
      </c>
      <c r="AB5883" s="403"/>
    </row>
    <row r="5884" spans="1:28">
      <c r="A5884" s="384" t="str">
        <f t="shared" ref="A5884:B5884" si="19017">A5875</f>
        <v>Lantai 3</v>
      </c>
      <c r="B5884" s="385">
        <f t="shared" si="19017"/>
        <v>54</v>
      </c>
      <c r="C5884" s="393" t="s">
        <v>202</v>
      </c>
      <c r="D5884" s="398">
        <f>VLOOKUP(D5875,'Detail Balok'!$C$10:$AU$140,10,FALSE)</f>
        <v>4</v>
      </c>
      <c r="E5884" s="388" t="s">
        <v>16</v>
      </c>
      <c r="F5884" s="388">
        <f>VLOOKUP(D5875,'Detail Balok'!$C$10:$AU$140,12,FALSE)</f>
        <v>16</v>
      </c>
      <c r="G5884" s="388"/>
      <c r="H5884" s="395"/>
      <c r="I5884" s="388" t="s">
        <v>203</v>
      </c>
      <c r="J5884" s="399">
        <f t="shared" ref="J5884" si="19018">+D5877/4/1000</f>
        <v>1.1387499999999999</v>
      </c>
      <c r="K5884" s="400" t="s">
        <v>204</v>
      </c>
      <c r="L5884" s="399">
        <f t="shared" ref="L5884" si="19019">MAX(VLOOKUP(F5884,N$6:P$15,3,FALSE)/1000,2/3*D5879/1000)+F$16*F5884/1000</f>
        <v>0.192</v>
      </c>
      <c r="M5884" s="399" t="s">
        <v>176</v>
      </c>
      <c r="N5884" s="399">
        <f t="shared" si="19005"/>
        <v>1.3307499999999999</v>
      </c>
      <c r="O5884" s="399" t="s">
        <v>204</v>
      </c>
      <c r="P5884" s="389">
        <f t="shared" ref="P5884" si="19020">D5884-D5883</f>
        <v>1</v>
      </c>
      <c r="Q5884" s="399" t="s">
        <v>125</v>
      </c>
      <c r="R5884" s="399">
        <f t="shared" ref="R5884" si="19021">IF(P5884&gt;0,$F$18*F5884/1000,0)</f>
        <v>0.24</v>
      </c>
      <c r="S5884" s="399" t="s">
        <v>205</v>
      </c>
      <c r="T5884" s="399" t="s">
        <v>125</v>
      </c>
      <c r="U5884" s="401">
        <f t="shared" si="19008"/>
        <v>1.5782400000000001</v>
      </c>
      <c r="V5884" s="399"/>
      <c r="W5884" s="399"/>
      <c r="X5884" s="399" t="s">
        <v>125</v>
      </c>
      <c r="Y5884" s="389">
        <f t="shared" ref="Y5884" si="19022">D5881</f>
        <v>1</v>
      </c>
      <c r="Z5884" s="400" t="s">
        <v>176</v>
      </c>
      <c r="AA5884" s="402">
        <f t="shared" ref="AA5884" si="19023">IF(AA5885=0,(D5884*N5884+P5884*R5884)*U5884*Y5884,0)</f>
        <v>8.77974912</v>
      </c>
      <c r="AB5884" s="403"/>
    </row>
    <row r="5885" spans="1:28">
      <c r="A5885" s="384" t="str">
        <f t="shared" ref="A5885:B5885" si="19024">A5875</f>
        <v>Lantai 3</v>
      </c>
      <c r="B5885" s="385">
        <f t="shared" si="19024"/>
        <v>54</v>
      </c>
      <c r="C5885" s="393"/>
      <c r="D5885" s="398">
        <f t="shared" si="18827"/>
        <v>0</v>
      </c>
      <c r="E5885" s="388" t="s">
        <v>16</v>
      </c>
      <c r="F5885" s="388">
        <f t="shared" si="18828"/>
        <v>16</v>
      </c>
      <c r="G5885" s="388"/>
      <c r="H5885" s="395"/>
      <c r="I5885" s="388"/>
      <c r="J5885" s="396"/>
      <c r="K5885" s="396"/>
      <c r="L5885" s="404" t="s">
        <v>207</v>
      </c>
      <c r="M5885" s="399" t="s">
        <v>176</v>
      </c>
      <c r="N5885" s="399">
        <f t="shared" ref="N5885" si="19025">IF(AND(D5882=D5883,D5882=D5884,D5883=D5884,F5882=F5883,F5882=F5884,F5883=F5884),SUM(N5882:N5884),0)</f>
        <v>0</v>
      </c>
      <c r="O5885" s="399" t="s">
        <v>204</v>
      </c>
      <c r="P5885" s="389">
        <f t="shared" ref="P5885" si="19026">IF(N5885&gt;12,ROUNDDOWN(N5885/12,0),0)</f>
        <v>0</v>
      </c>
      <c r="Q5885" s="399" t="s">
        <v>125</v>
      </c>
      <c r="R5885" s="399">
        <f t="shared" ref="R5885" si="19027">IF(P5885&gt;0,MAX(VLOOKUP(F5885,$D$6:$G$15,3,FALSE),600),0)/1000</f>
        <v>0</v>
      </c>
      <c r="S5885" s="396"/>
      <c r="T5885" s="396" t="s">
        <v>125</v>
      </c>
      <c r="U5885" s="401">
        <f t="shared" si="18832"/>
        <v>1.5782400000000001</v>
      </c>
      <c r="V5885" s="396" t="s">
        <v>125</v>
      </c>
      <c r="W5885" s="399">
        <f t="shared" ref="W5885" si="19028">D5885</f>
        <v>0</v>
      </c>
      <c r="X5885" s="399" t="s">
        <v>125</v>
      </c>
      <c r="Y5885" s="389">
        <f t="shared" si="18834"/>
        <v>1</v>
      </c>
      <c r="Z5885" s="400" t="s">
        <v>176</v>
      </c>
      <c r="AA5885" s="402">
        <f t="shared" ref="AA5885" si="19029">(N5885+P5885*R5885/1000)*U5885*W5885*Y5885</f>
        <v>0</v>
      </c>
      <c r="AB5885" s="390"/>
    </row>
    <row r="5886" spans="1:28">
      <c r="A5886" s="384"/>
      <c r="B5886" s="385"/>
      <c r="C5886" s="393"/>
      <c r="D5886" s="398"/>
      <c r="E5886" s="388"/>
      <c r="F5886" s="388"/>
      <c r="G5886" s="388"/>
      <c r="H5886" s="395"/>
      <c r="I5886" s="388"/>
      <c r="J5886" s="396"/>
      <c r="K5886" s="396"/>
      <c r="L5886" s="404"/>
      <c r="M5886" s="399"/>
      <c r="N5886" s="399"/>
      <c r="O5886" s="396"/>
      <c r="P5886" s="389"/>
      <c r="Q5886" s="396"/>
      <c r="R5886" s="396"/>
      <c r="S5886" s="396"/>
      <c r="T5886" s="396"/>
      <c r="U5886" s="401"/>
      <c r="V5886" s="396"/>
      <c r="W5886" s="399"/>
      <c r="X5886" s="396"/>
      <c r="Y5886" s="389"/>
      <c r="Z5886" s="396"/>
      <c r="AA5886" s="388"/>
      <c r="AB5886" s="390"/>
    </row>
    <row r="5887" spans="1:28">
      <c r="A5887" s="384" t="str">
        <f t="shared" ref="A5887:B5887" si="19030">A5875</f>
        <v>Lantai 3</v>
      </c>
      <c r="B5887" s="385">
        <f t="shared" si="19030"/>
        <v>54</v>
      </c>
      <c r="C5887" s="393" t="s">
        <v>208</v>
      </c>
      <c r="D5887" s="398">
        <f>VLOOKUP(D5875,'Detail Balok'!$C$10:$AU$140,13,FALSE)</f>
        <v>2</v>
      </c>
      <c r="E5887" s="388" t="s">
        <v>16</v>
      </c>
      <c r="F5887" s="388">
        <f>VLOOKUP(D5875,'Detail Balok'!$C$10:$AU$140,15,FALSE)</f>
        <v>10</v>
      </c>
      <c r="G5887" s="388"/>
      <c r="H5887" s="395"/>
      <c r="I5887" s="388"/>
      <c r="J5887" s="399">
        <f t="shared" ref="J5887" si="19031">+D5877/1000</f>
        <v>4.5549999999999997</v>
      </c>
      <c r="K5887" s="400" t="s">
        <v>204</v>
      </c>
      <c r="L5887" s="399">
        <f t="shared" ref="L5887" si="19032">2*$F$16*F5887/1000</f>
        <v>0.24</v>
      </c>
      <c r="M5887" s="399" t="s">
        <v>176</v>
      </c>
      <c r="N5887" s="399">
        <f t="shared" ref="N5887" si="19033">J5887+L5887</f>
        <v>4.7949999999999999</v>
      </c>
      <c r="O5887" s="399" t="s">
        <v>204</v>
      </c>
      <c r="P5887" s="389">
        <f t="shared" ref="P5887" si="19034">IF(N5887&gt;12,ROUNDDOWN(N5887/12,0),0)</f>
        <v>0</v>
      </c>
      <c r="Q5887" s="399" t="s">
        <v>125</v>
      </c>
      <c r="R5887" s="399">
        <f t="shared" ref="R5887" si="19035">IF(P5887&gt;0,MAX(VLOOKUP(F5887,$D$6:$G$15,3,FALSE),600),0)/1000</f>
        <v>0</v>
      </c>
      <c r="S5887" s="399"/>
      <c r="T5887" s="399" t="s">
        <v>125</v>
      </c>
      <c r="U5887" s="401">
        <f t="shared" ref="U5887" si="19036">0.006165*F5887^2</f>
        <v>0.61650000000000005</v>
      </c>
      <c r="V5887" s="399" t="s">
        <v>125</v>
      </c>
      <c r="W5887" s="399">
        <f t="shared" ref="W5887" si="19037">+D5887</f>
        <v>2</v>
      </c>
      <c r="X5887" s="399" t="s">
        <v>125</v>
      </c>
      <c r="Y5887" s="389">
        <f t="shared" ref="Y5887" si="19038">D5881</f>
        <v>1</v>
      </c>
      <c r="Z5887" s="400" t="s">
        <v>176</v>
      </c>
      <c r="AA5887" s="402">
        <f t="shared" ref="AA5887" si="19039">(N5887+P5887*R5887/1000)*U5887*W5887*Y5887</f>
        <v>5.9122350000000008</v>
      </c>
      <c r="AB5887" s="403"/>
    </row>
    <row r="5888" spans="1:28">
      <c r="A5888" s="384"/>
      <c r="B5888" s="385"/>
      <c r="C5888" s="393"/>
      <c r="D5888" s="398"/>
      <c r="E5888" s="388"/>
      <c r="F5888" s="388"/>
      <c r="G5888" s="388"/>
      <c r="H5888" s="395"/>
      <c r="I5888" s="388"/>
      <c r="J5888" s="399"/>
      <c r="K5888" s="400"/>
      <c r="L5888" s="399"/>
      <c r="M5888" s="399"/>
      <c r="N5888" s="399"/>
      <c r="O5888" s="399"/>
      <c r="P5888" s="389"/>
      <c r="Q5888" s="399"/>
      <c r="R5888" s="399"/>
      <c r="S5888" s="399"/>
      <c r="T5888" s="399"/>
      <c r="U5888" s="401"/>
      <c r="V5888" s="399"/>
      <c r="W5888" s="399"/>
      <c r="X5888" s="399"/>
      <c r="Y5888" s="389"/>
      <c r="Z5888" s="400"/>
      <c r="AA5888" s="402"/>
      <c r="AB5888" s="403"/>
    </row>
    <row r="5889" spans="1:28">
      <c r="A5889" s="384"/>
      <c r="B5889" s="385"/>
      <c r="C5889" s="393"/>
      <c r="D5889" s="398"/>
      <c r="E5889" s="388"/>
      <c r="F5889" s="388"/>
      <c r="G5889" s="388"/>
      <c r="H5889" s="395"/>
      <c r="I5889" s="388"/>
      <c r="J5889" s="396"/>
      <c r="K5889" s="396"/>
      <c r="L5889" s="396"/>
      <c r="M5889" s="396"/>
      <c r="N5889" s="396"/>
      <c r="O5889" s="396"/>
      <c r="P5889" s="389"/>
      <c r="Q5889" s="396"/>
      <c r="R5889" s="396"/>
      <c r="S5889" s="396"/>
      <c r="T5889" s="396"/>
      <c r="U5889" s="401"/>
      <c r="V5889" s="396"/>
      <c r="W5889" s="399"/>
      <c r="X5889" s="396"/>
      <c r="Y5889" s="389"/>
      <c r="Z5889" s="396"/>
      <c r="AA5889" s="388"/>
      <c r="AB5889" s="390"/>
    </row>
    <row r="5890" spans="1:28">
      <c r="A5890" s="384" t="str">
        <f t="shared" ref="A5890:B5890" si="19040">A5875</f>
        <v>Lantai 3</v>
      </c>
      <c r="B5890" s="385">
        <f t="shared" si="19040"/>
        <v>54</v>
      </c>
      <c r="C5890" s="393" t="s">
        <v>209</v>
      </c>
      <c r="D5890" s="398">
        <f>VLOOKUP(D5875,'Detail Balok'!$C$10:$AU$140,22,FALSE)</f>
        <v>3</v>
      </c>
      <c r="E5890" s="388" t="s">
        <v>16</v>
      </c>
      <c r="F5890" s="388">
        <f>VLOOKUP(D5875,'Detail Balok'!$C$10:$AU$140,24,FALSE)</f>
        <v>16</v>
      </c>
      <c r="G5890" s="388"/>
      <c r="H5890" s="395"/>
      <c r="I5890" s="388" t="s">
        <v>203</v>
      </c>
      <c r="J5890" s="399">
        <f t="shared" si="18847"/>
        <v>1.1387499999999999</v>
      </c>
      <c r="K5890" s="400" t="s">
        <v>204</v>
      </c>
      <c r="L5890" s="399">
        <f t="shared" ref="L5890" si="19041">MAX(VLOOKUP(F5890,N$6:P$15,3,FALSE)/1000,2/3*D5880/1000)+F$16*F5890/1000</f>
        <v>0.192</v>
      </c>
      <c r="M5890" s="399" t="s">
        <v>176</v>
      </c>
      <c r="N5890" s="399">
        <f t="shared" ref="N5890:N5892" si="19042">J5890+L5890</f>
        <v>1.3307499999999999</v>
      </c>
      <c r="O5890" s="399" t="s">
        <v>204</v>
      </c>
      <c r="P5890" s="389">
        <f t="shared" ref="P5890" si="19043">D5890-D5891</f>
        <v>-1</v>
      </c>
      <c r="Q5890" s="399" t="s">
        <v>125</v>
      </c>
      <c r="R5890" s="399">
        <f t="shared" ref="R5890" si="19044">IF(P5890&gt;0,$F$18*F5890/1000,0)</f>
        <v>0</v>
      </c>
      <c r="S5890" s="399" t="s">
        <v>205</v>
      </c>
      <c r="T5890" s="399" t="s">
        <v>125</v>
      </c>
      <c r="U5890" s="401">
        <f t="shared" ref="U5890:U5892" si="19045">0.006165*F5890^2</f>
        <v>1.5782400000000001</v>
      </c>
      <c r="V5890" s="399"/>
      <c r="W5890" s="399"/>
      <c r="X5890" s="399" t="s">
        <v>125</v>
      </c>
      <c r="Y5890" s="389">
        <f t="shared" ref="Y5890" si="19046">D5881</f>
        <v>1</v>
      </c>
      <c r="Z5890" s="400" t="s">
        <v>176</v>
      </c>
      <c r="AA5890" s="402">
        <f t="shared" ref="AA5890" si="19047">IF(AA5893=0,(D5890*N5890+P5890*R5890)*U5890*Y5890,0)</f>
        <v>6.3007286399999991</v>
      </c>
      <c r="AB5890" s="403"/>
    </row>
    <row r="5891" spans="1:28">
      <c r="A5891" s="384" t="str">
        <f t="shared" ref="A5891:B5891" si="19048">A5875</f>
        <v>Lantai 3</v>
      </c>
      <c r="B5891" s="385">
        <f t="shared" si="19048"/>
        <v>54</v>
      </c>
      <c r="C5891" s="393" t="s">
        <v>210</v>
      </c>
      <c r="D5891" s="398">
        <f>VLOOKUP(D5875,'Detail Balok'!$C$10:$AU$140,25,FALSE)</f>
        <v>4</v>
      </c>
      <c r="E5891" s="388" t="s">
        <v>16</v>
      </c>
      <c r="F5891" s="388">
        <f>VLOOKUP(D5875,'Detail Balok'!$C$10:$AU$140,27,FALSE)</f>
        <v>16</v>
      </c>
      <c r="G5891" s="388"/>
      <c r="H5891" s="395"/>
      <c r="I5891" s="388" t="s">
        <v>203</v>
      </c>
      <c r="J5891" s="399">
        <f t="shared" si="18847"/>
        <v>2.2774999999999999</v>
      </c>
      <c r="K5891" s="400" t="s">
        <v>204</v>
      </c>
      <c r="L5891" s="399"/>
      <c r="M5891" s="399" t="s">
        <v>176</v>
      </c>
      <c r="N5891" s="399">
        <f t="shared" si="19042"/>
        <v>2.2774999999999999</v>
      </c>
      <c r="O5891" s="399" t="s">
        <v>204</v>
      </c>
      <c r="P5891" s="389">
        <f t="shared" ref="P5891" si="19049">MAX(D5891-D5890,D5891-D5892)</f>
        <v>1</v>
      </c>
      <c r="Q5891" s="399" t="s">
        <v>125</v>
      </c>
      <c r="R5891" s="399">
        <f t="shared" ref="R5891" si="19050">IF(P5891&gt;0,2*(1-2*$F$19-1/2)*D5878/1000,0)</f>
        <v>0.91099999999999981</v>
      </c>
      <c r="S5891" s="399" t="s">
        <v>205</v>
      </c>
      <c r="T5891" s="399" t="s">
        <v>125</v>
      </c>
      <c r="U5891" s="401">
        <f t="shared" si="19045"/>
        <v>1.5782400000000001</v>
      </c>
      <c r="V5891" s="399"/>
      <c r="W5891" s="399"/>
      <c r="X5891" s="399" t="s">
        <v>125</v>
      </c>
      <c r="Y5891" s="389">
        <f t="shared" ref="Y5891" si="19051">D5881</f>
        <v>1</v>
      </c>
      <c r="Z5891" s="400" t="s">
        <v>176</v>
      </c>
      <c r="AA5891" s="402">
        <f t="shared" ref="AA5891" si="19052">IF(AA5893=0,(D5891*N5891+P5891*R5891)*U5891*Y5891,0)</f>
        <v>15.81554304</v>
      </c>
      <c r="AB5891" s="403"/>
    </row>
    <row r="5892" spans="1:28">
      <c r="A5892" s="384" t="str">
        <f t="shared" ref="A5892:B5892" si="19053">A5875</f>
        <v>Lantai 3</v>
      </c>
      <c r="B5892" s="385">
        <f t="shared" si="19053"/>
        <v>54</v>
      </c>
      <c r="C5892" s="393" t="s">
        <v>209</v>
      </c>
      <c r="D5892" s="398">
        <f>VLOOKUP(D5875,'Detail Balok'!$C$10:$AU$140,28,FALSE)</f>
        <v>3</v>
      </c>
      <c r="E5892" s="388" t="s">
        <v>16</v>
      </c>
      <c r="F5892" s="388">
        <f>VLOOKUP(D5875,'Detail Balok'!$C$10:$AU$140,30,FALSE)</f>
        <v>16</v>
      </c>
      <c r="G5892" s="388"/>
      <c r="H5892" s="395"/>
      <c r="I5892" s="388" t="s">
        <v>203</v>
      </c>
      <c r="J5892" s="399">
        <f t="shared" si="18847"/>
        <v>1.1387499999999999</v>
      </c>
      <c r="K5892" s="400" t="s">
        <v>204</v>
      </c>
      <c r="L5892" s="399">
        <f t="shared" ref="L5892" si="19054">MAX(VLOOKUP(F5892,N$6:P$15,3,FALSE)/1000,2/3*D5880/1000)+F$16*F5892/1000</f>
        <v>0.192</v>
      </c>
      <c r="M5892" s="399" t="s">
        <v>176</v>
      </c>
      <c r="N5892" s="399">
        <f t="shared" si="19042"/>
        <v>1.3307499999999999</v>
      </c>
      <c r="O5892" s="399" t="s">
        <v>204</v>
      </c>
      <c r="P5892" s="389">
        <f t="shared" ref="P5892" si="19055">D5892-D5891</f>
        <v>-1</v>
      </c>
      <c r="Q5892" s="399" t="s">
        <v>125</v>
      </c>
      <c r="R5892" s="399">
        <f t="shared" ref="R5892" si="19056">IF(P5892&gt;0,$F$18*F5892/1000,0)</f>
        <v>0</v>
      </c>
      <c r="S5892" s="399" t="s">
        <v>205</v>
      </c>
      <c r="T5892" s="399" t="s">
        <v>125</v>
      </c>
      <c r="U5892" s="401">
        <f t="shared" si="19045"/>
        <v>1.5782400000000001</v>
      </c>
      <c r="V5892" s="399"/>
      <c r="W5892" s="399"/>
      <c r="X5892" s="399" t="s">
        <v>125</v>
      </c>
      <c r="Y5892" s="389">
        <f t="shared" ref="Y5892" si="19057">D5881</f>
        <v>1</v>
      </c>
      <c r="Z5892" s="400" t="s">
        <v>176</v>
      </c>
      <c r="AA5892" s="402">
        <f t="shared" ref="AA5892" si="19058">IF(AA5893=0,(D5892*N5892+P5892*R5892)*U5892*Y5892,0)</f>
        <v>6.3007286399999991</v>
      </c>
      <c r="AB5892" s="403"/>
    </row>
    <row r="5893" spans="1:28">
      <c r="A5893" s="384" t="str">
        <f t="shared" ref="A5893:B5893" si="19059">A5875</f>
        <v>Lantai 3</v>
      </c>
      <c r="B5893" s="385">
        <f t="shared" si="19059"/>
        <v>54</v>
      </c>
      <c r="C5893" s="393"/>
      <c r="D5893" s="398">
        <f t="shared" si="18867"/>
        <v>0</v>
      </c>
      <c r="E5893" s="388" t="s">
        <v>16</v>
      </c>
      <c r="F5893" s="388">
        <f t="shared" si="18868"/>
        <v>16</v>
      </c>
      <c r="G5893" s="388"/>
      <c r="H5893" s="395"/>
      <c r="I5893" s="388"/>
      <c r="J5893" s="396"/>
      <c r="K5893" s="396"/>
      <c r="L5893" s="404" t="s">
        <v>207</v>
      </c>
      <c r="M5893" s="399" t="s">
        <v>176</v>
      </c>
      <c r="N5893" s="399">
        <f t="shared" ref="N5893" si="19060">IF(AND(D5890=D5891,D5890=D5892,D5891=D5892,F5890=F5891,F5890=F5892,F5891=F5892),SUM(N5890:N5892),0)</f>
        <v>0</v>
      </c>
      <c r="O5893" s="399" t="s">
        <v>204</v>
      </c>
      <c r="P5893" s="389">
        <f t="shared" ref="P5893" si="19061">IF(N5893&gt;12,ROUNDDOWN(N5893/12,0),0)</f>
        <v>0</v>
      </c>
      <c r="Q5893" s="399" t="s">
        <v>125</v>
      </c>
      <c r="R5893" s="399">
        <f t="shared" ref="R5893" si="19062">IF(P5893&gt;0,MAX(VLOOKUP(F5893,$D$6:$G$15,3,FALSE),600),0)/1000</f>
        <v>0</v>
      </c>
      <c r="S5893" s="396"/>
      <c r="T5893" s="396" t="s">
        <v>125</v>
      </c>
      <c r="U5893" s="401">
        <f t="shared" si="18872"/>
        <v>1.5782400000000001</v>
      </c>
      <c r="V5893" s="396" t="s">
        <v>125</v>
      </c>
      <c r="W5893" s="399">
        <f t="shared" ref="W5893" si="19063">D5893</f>
        <v>0</v>
      </c>
      <c r="X5893" s="399" t="s">
        <v>125</v>
      </c>
      <c r="Y5893" s="389">
        <f t="shared" si="18874"/>
        <v>1</v>
      </c>
      <c r="Z5893" s="400" t="s">
        <v>176</v>
      </c>
      <c r="AA5893" s="402">
        <f t="shared" ref="AA5893" si="19064">(N5893+P5893*R5893/1000)*U5893*W5893*Y5893</f>
        <v>0</v>
      </c>
      <c r="AB5893" s="403"/>
    </row>
    <row r="5894" spans="1:28">
      <c r="A5894" s="384"/>
      <c r="B5894" s="385"/>
      <c r="C5894" s="393"/>
      <c r="D5894" s="394"/>
      <c r="E5894" s="388"/>
      <c r="F5894" s="388"/>
      <c r="G5894" s="388"/>
      <c r="H5894" s="395"/>
      <c r="I5894" s="388"/>
      <c r="J5894" s="399"/>
      <c r="K5894" s="396"/>
      <c r="L5894" s="396"/>
      <c r="M5894" s="396"/>
      <c r="N5894" s="396"/>
      <c r="O5894" s="396"/>
      <c r="P5894" s="389"/>
      <c r="Q5894" s="396"/>
      <c r="R5894" s="396"/>
      <c r="S5894" s="396"/>
      <c r="T5894" s="396"/>
      <c r="U5894" s="401"/>
      <c r="V5894" s="396"/>
      <c r="W5894" s="388"/>
      <c r="X5894" s="396"/>
      <c r="Y5894" s="389"/>
      <c r="Z5894" s="396"/>
      <c r="AA5894" s="388"/>
      <c r="AB5894" s="390"/>
    </row>
    <row r="5895" spans="1:28">
      <c r="A5895" s="384" t="str">
        <f t="shared" ref="A5895:B5895" si="19065">A5875</f>
        <v>Lantai 3</v>
      </c>
      <c r="B5895" s="385">
        <f t="shared" si="19065"/>
        <v>54</v>
      </c>
      <c r="C5895" s="393" t="s">
        <v>211</v>
      </c>
      <c r="D5895" s="398">
        <f>VLOOKUP(D5875,'Detail Balok'!$C$10:$AU$140,31,FALSE)</f>
        <v>0</v>
      </c>
      <c r="E5895" s="388" t="s">
        <v>16</v>
      </c>
      <c r="F5895" s="388">
        <f>VLOOKUP(D5875,'Detail Balok'!$C$10:$AU$140,33,FALSE)</f>
        <v>10</v>
      </c>
      <c r="G5895" s="405" t="s">
        <v>157</v>
      </c>
      <c r="H5895" s="395">
        <f>VLOOKUP(D5875,'Detail Balok'!$C$10:$AU$140,35,FALSE)</f>
        <v>100</v>
      </c>
      <c r="I5895" s="388"/>
      <c r="J5895" s="400">
        <f t="shared" ref="J5895" si="19066">(IF(D5895=0,(2*(D5876+G5876))-(F$5*8),IF(D5895=3,(2*(D5876+G5876))-(F$5*8)+(G5876-2*F$5),IF(D5895=4,(2*(D5876+G5876))-(F$5*8)+2*(G5876-2*F$5)))))/1000</f>
        <v>1.28</v>
      </c>
      <c r="K5895" s="400" t="s">
        <v>204</v>
      </c>
      <c r="L5895" s="399">
        <f t="shared" ref="L5895:L5897" si="19067">IF(D5895=0,2*MAX(6*F5895,75),(D5895-1)*2*MAX(6*F5895,75))/1000</f>
        <v>0.15</v>
      </c>
      <c r="M5895" s="399" t="s">
        <v>176</v>
      </c>
      <c r="N5895" s="399">
        <f t="shared" ref="N5895:N5897" si="19068">J5895+L5895</f>
        <v>1.43</v>
      </c>
      <c r="O5895" s="399"/>
      <c r="P5895" s="389"/>
      <c r="Q5895" s="399"/>
      <c r="R5895" s="399"/>
      <c r="S5895" s="399"/>
      <c r="T5895" s="399" t="s">
        <v>125</v>
      </c>
      <c r="U5895" s="401">
        <f t="shared" ref="U5895:U5897" si="19069">0.006165*F5895^2</f>
        <v>0.61650000000000005</v>
      </c>
      <c r="V5895" s="399" t="s">
        <v>125</v>
      </c>
      <c r="W5895" s="399">
        <f t="shared" ref="W5895" si="19070">IF(D5878&gt;4*G5876,ROUND(MAX(D5878/4,2*G5876)/H5895,0)+1,ROUND(D5878/H5895,0)+1)</f>
        <v>13</v>
      </c>
      <c r="X5895" s="399" t="s">
        <v>125</v>
      </c>
      <c r="Y5895" s="389">
        <f t="shared" ref="Y5895" si="19071">D5881</f>
        <v>1</v>
      </c>
      <c r="Z5895" s="400" t="s">
        <v>176</v>
      </c>
      <c r="AA5895" s="402">
        <f t="shared" ref="AA5895:AA5897" si="19072">N5895*U5895*W5895*Y5895</f>
        <v>11.460735</v>
      </c>
      <c r="AB5895" s="403"/>
    </row>
    <row r="5896" spans="1:28">
      <c r="A5896" s="384" t="str">
        <f t="shared" ref="A5896:B5896" si="19073">A5875</f>
        <v>Lantai 3</v>
      </c>
      <c r="B5896" s="385">
        <f t="shared" si="19073"/>
        <v>54</v>
      </c>
      <c r="C5896" s="393" t="s">
        <v>212</v>
      </c>
      <c r="D5896" s="398">
        <f>VLOOKUP(D5875,'Detail Balok'!$C$10:$AU$140,36,FALSE)</f>
        <v>0</v>
      </c>
      <c r="E5896" s="388" t="s">
        <v>16</v>
      </c>
      <c r="F5896" s="388">
        <f>VLOOKUP(D5875,'Detail Balok'!$C$10:$AU$140,38,FALSE)</f>
        <v>10</v>
      </c>
      <c r="G5896" s="405" t="s">
        <v>157</v>
      </c>
      <c r="H5896" s="395">
        <f>VLOOKUP(D5875,'Detail Balok'!$C$10:$AU$140,40,FALSE)</f>
        <v>150</v>
      </c>
      <c r="I5896" s="388"/>
      <c r="J5896" s="400">
        <f t="shared" ref="J5896" si="19074">(IF(D5896=0,(2*(D5876+G5876))-(F$5*8),IF(D5896=3,(2*(D5876+G5876))-(F$5*8)+(G5876-2*F$5),IF(D5896=4,(2*(D5876+G5876))-(F$5*8)+2*(G5876-2*F$5)))))/1000</f>
        <v>1.28</v>
      </c>
      <c r="K5896" s="400" t="s">
        <v>204</v>
      </c>
      <c r="L5896" s="399">
        <f t="shared" si="19067"/>
        <v>0.15</v>
      </c>
      <c r="M5896" s="399" t="s">
        <v>176</v>
      </c>
      <c r="N5896" s="399">
        <f t="shared" si="19068"/>
        <v>1.43</v>
      </c>
      <c r="O5896" s="399"/>
      <c r="P5896" s="389"/>
      <c r="Q5896" s="399"/>
      <c r="R5896" s="399"/>
      <c r="S5896" s="399"/>
      <c r="T5896" s="399" t="s">
        <v>125</v>
      </c>
      <c r="U5896" s="401">
        <f t="shared" si="19069"/>
        <v>0.61650000000000005</v>
      </c>
      <c r="V5896" s="399" t="s">
        <v>125</v>
      </c>
      <c r="W5896" s="399">
        <f t="shared" ref="W5896" si="19075">IF(D5878-MAX(D5878/4,2*G5876)*2&gt;0,ROUND((D5878-MAX(D5878/4,2*G5876)*2)/H5896,0),0)</f>
        <v>14</v>
      </c>
      <c r="X5896" s="399" t="s">
        <v>125</v>
      </c>
      <c r="Y5896" s="389">
        <f t="shared" ref="Y5896" si="19076">D5881</f>
        <v>1</v>
      </c>
      <c r="Z5896" s="400" t="s">
        <v>176</v>
      </c>
      <c r="AA5896" s="402">
        <f t="shared" si="19072"/>
        <v>12.34233</v>
      </c>
      <c r="AB5896" s="403"/>
    </row>
    <row r="5897" spans="1:28">
      <c r="A5897" s="384" t="str">
        <f t="shared" ref="A5897:B5897" si="19077">A5875</f>
        <v>Lantai 3</v>
      </c>
      <c r="B5897" s="385">
        <f t="shared" si="19077"/>
        <v>54</v>
      </c>
      <c r="C5897" s="393" t="s">
        <v>211</v>
      </c>
      <c r="D5897" s="398">
        <f>VLOOKUP(D5875,'Detail Balok'!$C$10:$AU$140,41,FALSE)</f>
        <v>0</v>
      </c>
      <c r="E5897" s="388" t="s">
        <v>16</v>
      </c>
      <c r="F5897" s="388">
        <f>VLOOKUP(D5875,'Detail Balok'!$C$10:$AU$140,43,FALSE)</f>
        <v>10</v>
      </c>
      <c r="G5897" s="405" t="s">
        <v>157</v>
      </c>
      <c r="H5897" s="395">
        <f>VLOOKUP(D5875,'Detail Balok'!$C$10:$AU$140,45,FALSE)</f>
        <v>100</v>
      </c>
      <c r="I5897" s="388"/>
      <c r="J5897" s="400">
        <f t="shared" ref="J5897" si="19078">(IF(D5897=0,(2*(D5876+G5876))-(F$5*8),IF(D5897=3,(2*(D5876+G5876))-(F$5*8)+(G5876-2*F$5),IF(D5897=4,(2*(D5876+G5876))-(F$5*8)+2*(G5876-2*F$5)))))/1000</f>
        <v>1.28</v>
      </c>
      <c r="K5897" s="400" t="s">
        <v>204</v>
      </c>
      <c r="L5897" s="399">
        <f t="shared" si="19067"/>
        <v>0.15</v>
      </c>
      <c r="M5897" s="399" t="s">
        <v>176</v>
      </c>
      <c r="N5897" s="399">
        <f t="shared" si="19068"/>
        <v>1.43</v>
      </c>
      <c r="O5897" s="399"/>
      <c r="P5897" s="389"/>
      <c r="Q5897" s="399"/>
      <c r="R5897" s="399"/>
      <c r="S5897" s="399"/>
      <c r="T5897" s="399" t="s">
        <v>125</v>
      </c>
      <c r="U5897" s="401">
        <f t="shared" si="19069"/>
        <v>0.61650000000000005</v>
      </c>
      <c r="V5897" s="399" t="s">
        <v>125</v>
      </c>
      <c r="W5897" s="399">
        <f t="shared" ref="W5897" si="19079">IF(D5878&gt;4*G5876,ROUND(MAX(D5878/4,2*G5876)/H5897,0)+1,0)</f>
        <v>13</v>
      </c>
      <c r="X5897" s="399" t="s">
        <v>125</v>
      </c>
      <c r="Y5897" s="389">
        <f t="shared" ref="Y5897" si="19080">D5881</f>
        <v>1</v>
      </c>
      <c r="Z5897" s="400" t="s">
        <v>176</v>
      </c>
      <c r="AA5897" s="402">
        <f t="shared" si="19072"/>
        <v>11.460735</v>
      </c>
      <c r="AB5897" s="403"/>
    </row>
    <row r="5898" spans="1:28">
      <c r="A5898" s="384"/>
      <c r="B5898" s="385"/>
      <c r="C5898" s="393"/>
      <c r="D5898" s="394"/>
      <c r="E5898" s="388"/>
      <c r="F5898" s="388"/>
      <c r="G5898" s="388"/>
      <c r="H5898" s="395"/>
      <c r="I5898" s="388"/>
      <c r="J5898" s="399"/>
      <c r="K5898" s="396"/>
      <c r="L5898" s="396"/>
      <c r="M5898" s="396"/>
      <c r="N5898" s="396"/>
      <c r="O5898" s="396"/>
      <c r="P5898" s="389"/>
      <c r="Q5898" s="396"/>
      <c r="R5898" s="396"/>
      <c r="S5898" s="396"/>
      <c r="T5898" s="396"/>
      <c r="U5898" s="401"/>
      <c r="V5898" s="396"/>
      <c r="W5898" s="388"/>
      <c r="X5898" s="396"/>
      <c r="Y5898" s="389"/>
      <c r="Z5898" s="396"/>
      <c r="AA5898" s="388"/>
      <c r="AB5898" s="390"/>
    </row>
    <row r="5899" spans="1:28">
      <c r="A5899" s="384" t="str">
        <f t="shared" ref="A5899:B5899" si="19081">A5875</f>
        <v>Lantai 3</v>
      </c>
      <c r="B5899" s="385">
        <f t="shared" si="19081"/>
        <v>54</v>
      </c>
      <c r="C5899" s="393" t="s">
        <v>213</v>
      </c>
      <c r="D5899" s="398">
        <f>VLOOKUP(D5875,'Detail Balok'!$C$10:$BJ$140,46,FALSE)</f>
        <v>0</v>
      </c>
      <c r="E5899" s="388" t="s">
        <v>16</v>
      </c>
      <c r="F5899" s="388">
        <f>VLOOKUP(D5875,'Detail Balok'!$C$10:$BJ$140,48,FALSE)</f>
        <v>0</v>
      </c>
      <c r="G5899" s="405" t="s">
        <v>157</v>
      </c>
      <c r="H5899" s="395">
        <f>VLOOKUP(D5875,'Detail Balok'!$C$10:$BJ$140,50,FALSE)</f>
        <v>100</v>
      </c>
      <c r="I5899" s="388"/>
      <c r="J5899" s="399">
        <f t="shared" ref="J5899" si="19082">(D5876-2*F$5)/1000</f>
        <v>0.12</v>
      </c>
      <c r="K5899" s="400" t="s">
        <v>204</v>
      </c>
      <c r="L5899" s="399">
        <f t="shared" ref="L5899:L5901" si="19083">IF(D5899=0,2*MAX(6*F5899,75),(D5899-1)*2*MAX(6*F5899,75))/1000</f>
        <v>0.15</v>
      </c>
      <c r="M5899" s="399" t="s">
        <v>176</v>
      </c>
      <c r="N5899" s="399">
        <f t="shared" ref="N5899:N5901" si="19084">J5899+L5899</f>
        <v>0.27</v>
      </c>
      <c r="O5899" s="399"/>
      <c r="P5899" s="399"/>
      <c r="Q5899" s="399"/>
      <c r="R5899" s="399"/>
      <c r="S5899" s="399"/>
      <c r="T5899" s="399" t="s">
        <v>125</v>
      </c>
      <c r="U5899" s="401">
        <f t="shared" ref="U5899:U5901" si="19085">0.006165*F5899^2</f>
        <v>0</v>
      </c>
      <c r="V5899" s="399" t="s">
        <v>125</v>
      </c>
      <c r="W5899" s="399">
        <f t="shared" si="18897"/>
        <v>13</v>
      </c>
      <c r="X5899" s="399" t="s">
        <v>125</v>
      </c>
      <c r="Y5899" s="389">
        <f t="shared" ref="Y5899" si="19086">D5885</f>
        <v>0</v>
      </c>
      <c r="Z5899" s="400" t="s">
        <v>176</v>
      </c>
      <c r="AA5899" s="402">
        <f t="shared" ref="AA5899:AA5901" si="19087">N5899*U5899*W5899*Y5899</f>
        <v>0</v>
      </c>
      <c r="AB5899" s="403"/>
    </row>
    <row r="5900" spans="1:28">
      <c r="A5900" s="384" t="str">
        <f t="shared" ref="A5900:B5900" si="19088">A5875</f>
        <v>Lantai 3</v>
      </c>
      <c r="B5900" s="385">
        <f t="shared" si="19088"/>
        <v>54</v>
      </c>
      <c r="C5900" s="393" t="s">
        <v>214</v>
      </c>
      <c r="D5900" s="398">
        <f>VLOOKUP(D5875,'Detail Balok'!$C$10:$BJ$140,51,FALSE)</f>
        <v>0</v>
      </c>
      <c r="E5900" s="388" t="s">
        <v>16</v>
      </c>
      <c r="F5900" s="388">
        <f>VLOOKUP(D5875,'Detail Balok'!$C$10:$BJ$140,53,FALSE)</f>
        <v>0</v>
      </c>
      <c r="G5900" s="405" t="s">
        <v>157</v>
      </c>
      <c r="H5900" s="395">
        <f>VLOOKUP(D5875,'Detail Balok'!$C$10:$BJ$140,55,FALSE)</f>
        <v>100</v>
      </c>
      <c r="I5900" s="388"/>
      <c r="J5900" s="399">
        <f t="shared" ref="J5900" si="19089">(D5876-2*F$5)/1000</f>
        <v>0.12</v>
      </c>
      <c r="K5900" s="400" t="s">
        <v>204</v>
      </c>
      <c r="L5900" s="399">
        <f t="shared" si="19083"/>
        <v>0.15</v>
      </c>
      <c r="M5900" s="399" t="s">
        <v>176</v>
      </c>
      <c r="N5900" s="399">
        <f t="shared" si="19084"/>
        <v>0.27</v>
      </c>
      <c r="O5900" s="399"/>
      <c r="P5900" s="399"/>
      <c r="Q5900" s="399"/>
      <c r="R5900" s="399"/>
      <c r="S5900" s="399"/>
      <c r="T5900" s="399" t="s">
        <v>125</v>
      </c>
      <c r="U5900" s="401">
        <f t="shared" si="19085"/>
        <v>0</v>
      </c>
      <c r="V5900" s="399" t="s">
        <v>125</v>
      </c>
      <c r="W5900" s="399">
        <f t="shared" si="18897"/>
        <v>14</v>
      </c>
      <c r="X5900" s="399" t="s">
        <v>125</v>
      </c>
      <c r="Y5900" s="389">
        <f t="shared" ref="Y5900" si="19090">D5885</f>
        <v>0</v>
      </c>
      <c r="Z5900" s="400" t="s">
        <v>176</v>
      </c>
      <c r="AA5900" s="402">
        <f t="shared" si="19087"/>
        <v>0</v>
      </c>
      <c r="AB5900" s="403"/>
    </row>
    <row r="5901" spans="1:28">
      <c r="A5901" s="384" t="str">
        <f t="shared" ref="A5901:B5901" si="19091">A5875</f>
        <v>Lantai 3</v>
      </c>
      <c r="B5901" s="385">
        <f t="shared" si="19091"/>
        <v>54</v>
      </c>
      <c r="C5901" s="393" t="s">
        <v>213</v>
      </c>
      <c r="D5901" s="398">
        <f>VLOOKUP(D5875,'Detail Balok'!$C$10:$BJ$140,56,FALSE)</f>
        <v>0</v>
      </c>
      <c r="E5901" s="388" t="s">
        <v>16</v>
      </c>
      <c r="F5901" s="388">
        <f>VLOOKUP(D5875,'Detail Balok'!$C$10:$BJ$140,58,FALSE)</f>
        <v>0</v>
      </c>
      <c r="G5901" s="405" t="s">
        <v>157</v>
      </c>
      <c r="H5901" s="395">
        <f>VLOOKUP(D5875,'Detail Balok'!$C$10:$BJ$140,60,FALSE)</f>
        <v>100</v>
      </c>
      <c r="I5901" s="388"/>
      <c r="J5901" s="399">
        <f t="shared" ref="J5901" si="19092">(D5876-2*F$5)/1000</f>
        <v>0.12</v>
      </c>
      <c r="K5901" s="400" t="s">
        <v>204</v>
      </c>
      <c r="L5901" s="399">
        <f t="shared" si="19083"/>
        <v>0.15</v>
      </c>
      <c r="M5901" s="399" t="s">
        <v>176</v>
      </c>
      <c r="N5901" s="399">
        <f t="shared" si="19084"/>
        <v>0.27</v>
      </c>
      <c r="O5901" s="399"/>
      <c r="P5901" s="399"/>
      <c r="Q5901" s="399"/>
      <c r="R5901" s="399"/>
      <c r="S5901" s="399"/>
      <c r="T5901" s="399" t="s">
        <v>125</v>
      </c>
      <c r="U5901" s="401">
        <f t="shared" si="19085"/>
        <v>0</v>
      </c>
      <c r="V5901" s="399" t="s">
        <v>125</v>
      </c>
      <c r="W5901" s="399">
        <f t="shared" si="18897"/>
        <v>13</v>
      </c>
      <c r="X5901" s="399" t="s">
        <v>125</v>
      </c>
      <c r="Y5901" s="389">
        <f t="shared" ref="Y5901" si="19093">D5885</f>
        <v>0</v>
      </c>
      <c r="Z5901" s="400" t="s">
        <v>176</v>
      </c>
      <c r="AA5901" s="402">
        <f t="shared" si="19087"/>
        <v>0</v>
      </c>
      <c r="AB5901" s="403"/>
    </row>
    <row r="5902" spans="1:28">
      <c r="A5902" s="391"/>
      <c r="B5902" s="392"/>
      <c r="C5902" s="392"/>
      <c r="D5902" s="394"/>
      <c r="E5902" s="388"/>
      <c r="F5902" s="388"/>
      <c r="G5902" s="388"/>
      <c r="H5902" s="395"/>
      <c r="I5902" s="388"/>
      <c r="J5902" s="402"/>
      <c r="K5902" s="388"/>
      <c r="L5902" s="388"/>
      <c r="M5902" s="388"/>
      <c r="N5902" s="388"/>
      <c r="O5902" s="388"/>
      <c r="P5902" s="388"/>
      <c r="Q5902" s="388"/>
      <c r="R5902" s="388"/>
      <c r="S5902" s="388"/>
      <c r="T5902" s="388"/>
      <c r="U5902" s="388"/>
      <c r="V5902" s="388"/>
      <c r="W5902" s="388"/>
      <c r="X5902" s="388"/>
      <c r="Y5902" s="389"/>
      <c r="Z5902" s="388"/>
      <c r="AA5902" s="402"/>
      <c r="AB5902" s="403"/>
    </row>
    <row r="5903" spans="1:28" ht="15.75" thickBot="1">
      <c r="A5903" s="406"/>
      <c r="B5903" s="407"/>
      <c r="C5903" s="407"/>
      <c r="D5903" s="408"/>
      <c r="E5903" s="409"/>
      <c r="F5903" s="409"/>
      <c r="G5903" s="409"/>
      <c r="H5903" s="410"/>
      <c r="I5903" s="409"/>
      <c r="J5903" s="409"/>
      <c r="K5903" s="409"/>
      <c r="L5903" s="409"/>
      <c r="M5903" s="409"/>
      <c r="N5903" s="409"/>
      <c r="O5903" s="409"/>
      <c r="P5903" s="409"/>
      <c r="Q5903" s="409"/>
      <c r="R5903" s="409"/>
      <c r="S5903" s="409"/>
      <c r="T5903" s="409"/>
      <c r="U5903" s="409"/>
      <c r="V5903" s="409"/>
      <c r="W5903" s="409"/>
      <c r="X5903" s="409"/>
      <c r="Y5903" s="411"/>
      <c r="Z5903" s="409"/>
      <c r="AA5903" s="412"/>
      <c r="AB5903" s="413"/>
    </row>
    <row r="5904" spans="1:28">
      <c r="A5904" s="377"/>
      <c r="B5904" s="378"/>
      <c r="C5904" s="378"/>
      <c r="D5904" s="379"/>
      <c r="E5904" s="380"/>
      <c r="F5904" s="380"/>
      <c r="G5904" s="380"/>
      <c r="H5904" s="381"/>
      <c r="I5904" s="380"/>
      <c r="J5904" s="380"/>
      <c r="K5904" s="380"/>
      <c r="L5904" s="380"/>
      <c r="M5904" s="380"/>
      <c r="N5904" s="380"/>
      <c r="O5904" s="380"/>
      <c r="P5904" s="380"/>
      <c r="Q5904" s="380"/>
      <c r="R5904" s="380"/>
      <c r="S5904" s="380"/>
      <c r="T5904" s="380"/>
      <c r="U5904" s="380"/>
      <c r="V5904" s="380"/>
      <c r="W5904" s="380"/>
      <c r="X5904" s="380"/>
      <c r="Y5904" s="382"/>
      <c r="Z5904" s="380"/>
      <c r="AA5904" s="380"/>
      <c r="AB5904" s="383"/>
    </row>
    <row r="5905" spans="1:28">
      <c r="A5905" s="384" t="str">
        <f t="shared" si="18906"/>
        <v>Lantai 3</v>
      </c>
      <c r="B5905" s="385">
        <f t="shared" si="18907"/>
        <v>55</v>
      </c>
      <c r="C5905" s="386" t="str">
        <f t="shared" ref="C5905" si="19094">CONCATENATE(A5905," no. ",B5905)</f>
        <v>Lantai 3 no. 55</v>
      </c>
      <c r="D5905" s="2562" t="str">
        <f>VLOOKUP(C5905,'Data Panjang Balok'!$C$9:$N$254,2,FALSE)</f>
        <v>CL24-1</v>
      </c>
      <c r="E5905" s="2576"/>
      <c r="F5905" s="2576"/>
      <c r="G5905" s="2576"/>
      <c r="H5905" s="2577"/>
      <c r="I5905" s="387"/>
      <c r="J5905" s="388"/>
      <c r="K5905" s="388"/>
      <c r="L5905" s="388"/>
      <c r="M5905" s="388"/>
      <c r="N5905" s="388"/>
      <c r="O5905" s="388"/>
      <c r="P5905" s="388"/>
      <c r="Q5905" s="388"/>
      <c r="R5905" s="388"/>
      <c r="S5905" s="388"/>
      <c r="T5905" s="388"/>
      <c r="U5905" s="388"/>
      <c r="V5905" s="388"/>
      <c r="W5905" s="388"/>
      <c r="X5905" s="388"/>
      <c r="Y5905" s="389"/>
      <c r="Z5905" s="388"/>
      <c r="AA5905" s="388"/>
      <c r="AB5905" s="390"/>
    </row>
    <row r="5906" spans="1:28">
      <c r="A5906" s="391"/>
      <c r="B5906" s="392"/>
      <c r="C5906" s="393" t="s">
        <v>118</v>
      </c>
      <c r="D5906" s="2578">
        <f>VLOOKUP(D5905,'Detail Balok'!$C$10:$AU$140,2,FALSE)</f>
        <v>200</v>
      </c>
      <c r="E5906" s="2579"/>
      <c r="F5906" s="388" t="s">
        <v>125</v>
      </c>
      <c r="G5906" s="2579">
        <f>VLOOKUP(D5905,'Detail Balok'!$C$10:$AU$140,3,FALSE)</f>
        <v>400</v>
      </c>
      <c r="H5906" s="2580"/>
      <c r="I5906" s="388"/>
      <c r="J5906" s="396"/>
      <c r="K5906" s="396"/>
      <c r="L5906" s="396"/>
      <c r="M5906" s="396"/>
      <c r="N5906" s="396"/>
      <c r="O5906" s="396"/>
      <c r="P5906" s="396"/>
      <c r="Q5906" s="396"/>
      <c r="R5906" s="396"/>
      <c r="S5906" s="396"/>
      <c r="T5906" s="396"/>
      <c r="U5906" s="388"/>
      <c r="V5906" s="396"/>
      <c r="W5906" s="388"/>
      <c r="X5906" s="396"/>
      <c r="Y5906" s="389"/>
      <c r="Z5906" s="396"/>
      <c r="AA5906" s="388"/>
      <c r="AB5906" s="390"/>
    </row>
    <row r="5907" spans="1:28">
      <c r="A5907" s="391"/>
      <c r="B5907" s="392"/>
      <c r="C5907" s="393" t="s">
        <v>198</v>
      </c>
      <c r="D5907" s="2562">
        <f>VLOOKUP(C5905,'Data Panjang Balok'!$C$9:$N$254,4,FALSE)</f>
        <v>5300</v>
      </c>
      <c r="E5907" s="2563"/>
      <c r="F5907" s="2563"/>
      <c r="G5907" s="2563"/>
      <c r="H5907" s="2564"/>
      <c r="I5907" s="397"/>
      <c r="J5907" s="396"/>
      <c r="K5907" s="396"/>
      <c r="L5907" s="396"/>
      <c r="M5907" s="396"/>
      <c r="N5907" s="396"/>
      <c r="O5907" s="396"/>
      <c r="P5907" s="396"/>
      <c r="Q5907" s="396"/>
      <c r="R5907" s="396"/>
      <c r="S5907" s="396"/>
      <c r="T5907" s="396"/>
      <c r="U5907" s="388"/>
      <c r="V5907" s="396"/>
      <c r="W5907" s="388"/>
      <c r="X5907" s="396"/>
      <c r="Y5907" s="389"/>
      <c r="Z5907" s="396"/>
      <c r="AA5907" s="388"/>
      <c r="AB5907" s="390"/>
    </row>
    <row r="5908" spans="1:28">
      <c r="A5908" s="391"/>
      <c r="B5908" s="392"/>
      <c r="C5908" s="393" t="s">
        <v>199</v>
      </c>
      <c r="D5908" s="2562">
        <f>VLOOKUP(C5905,'Data Panjang Balok'!$C$9:$N$254,7,FALSE)</f>
        <v>5300</v>
      </c>
      <c r="E5908" s="2563"/>
      <c r="F5908" s="2563"/>
      <c r="G5908" s="2563"/>
      <c r="H5908" s="2564"/>
      <c r="I5908" s="397"/>
      <c r="J5908" s="396"/>
      <c r="K5908" s="396"/>
      <c r="L5908" s="396"/>
      <c r="M5908" s="396"/>
      <c r="N5908" s="396"/>
      <c r="O5908" s="396"/>
      <c r="P5908" s="396"/>
      <c r="Q5908" s="396"/>
      <c r="R5908" s="396"/>
      <c r="S5908" s="396"/>
      <c r="T5908" s="396"/>
      <c r="U5908" s="388"/>
      <c r="V5908" s="396"/>
      <c r="W5908" s="388"/>
      <c r="X5908" s="396"/>
      <c r="Y5908" s="389"/>
      <c r="Z5908" s="396"/>
      <c r="AA5908" s="388"/>
      <c r="AB5908" s="390"/>
    </row>
    <row r="5909" spans="1:28">
      <c r="A5909" s="391"/>
      <c r="B5909" s="392"/>
      <c r="C5909" s="393" t="s">
        <v>200</v>
      </c>
      <c r="D5909" s="2562">
        <f>VLOOKUP(C5905,'Data Panjang Balok'!$C$9:$N$254,9,FALSE)</f>
        <v>0</v>
      </c>
      <c r="E5909" s="2563"/>
      <c r="F5909" s="2563"/>
      <c r="G5909" s="2563"/>
      <c r="H5909" s="2564"/>
      <c r="I5909" s="397"/>
      <c r="J5909" s="396"/>
      <c r="K5909" s="396"/>
      <c r="L5909" s="396"/>
      <c r="M5909" s="396"/>
      <c r="N5909" s="396"/>
      <c r="O5909" s="396"/>
      <c r="P5909" s="396"/>
      <c r="Q5909" s="396"/>
      <c r="R5909" s="396"/>
      <c r="S5909" s="396"/>
      <c r="T5909" s="396"/>
      <c r="U5909" s="388"/>
      <c r="V5909" s="396"/>
      <c r="W5909" s="388"/>
      <c r="X5909" s="396"/>
      <c r="Y5909" s="389"/>
      <c r="Z5909" s="396"/>
      <c r="AA5909" s="388"/>
      <c r="AB5909" s="390"/>
    </row>
    <row r="5910" spans="1:28">
      <c r="A5910" s="391"/>
      <c r="B5910" s="392"/>
      <c r="C5910" s="393" t="s">
        <v>201</v>
      </c>
      <c r="D5910" s="2562">
        <f>VLOOKUP(C5905,'Data Panjang Balok'!$C$9:$N$254,10,FALSE)</f>
        <v>0</v>
      </c>
      <c r="E5910" s="2563"/>
      <c r="F5910" s="2563"/>
      <c r="G5910" s="2563"/>
      <c r="H5910" s="2564"/>
      <c r="I5910" s="397"/>
      <c r="J5910" s="396"/>
      <c r="K5910" s="396"/>
      <c r="L5910" s="396"/>
      <c r="M5910" s="396"/>
      <c r="N5910" s="396"/>
      <c r="O5910" s="396"/>
      <c r="P5910" s="396"/>
      <c r="Q5910" s="396"/>
      <c r="R5910" s="396"/>
      <c r="S5910" s="396"/>
      <c r="T5910" s="396"/>
      <c r="U5910" s="388"/>
      <c r="V5910" s="396"/>
      <c r="W5910" s="388"/>
      <c r="X5910" s="396"/>
      <c r="Y5910" s="389"/>
      <c r="Z5910" s="396"/>
      <c r="AA5910" s="388"/>
      <c r="AB5910" s="390"/>
    </row>
    <row r="5911" spans="1:28">
      <c r="A5911" s="391"/>
      <c r="B5911" s="392"/>
      <c r="C5911" s="393" t="s">
        <v>48</v>
      </c>
      <c r="D5911" s="2562">
        <f>VLOOKUP(C5905,'Data Panjang Balok'!$C$9:$N$254,3,FALSE)</f>
        <v>1</v>
      </c>
      <c r="E5911" s="2563"/>
      <c r="F5911" s="2563"/>
      <c r="G5911" s="2563"/>
      <c r="H5911" s="2564"/>
      <c r="I5911" s="397"/>
      <c r="J5911" s="396"/>
      <c r="K5911" s="396"/>
      <c r="L5911" s="396"/>
      <c r="M5911" s="396"/>
      <c r="N5911" s="396"/>
      <c r="O5911" s="396"/>
      <c r="P5911" s="396"/>
      <c r="Q5911" s="396"/>
      <c r="R5911" s="396"/>
      <c r="S5911" s="396"/>
      <c r="T5911" s="396"/>
      <c r="U5911" s="388"/>
      <c r="V5911" s="396"/>
      <c r="W5911" s="388"/>
      <c r="X5911" s="396"/>
      <c r="Y5911" s="389"/>
      <c r="Z5911" s="396"/>
      <c r="AA5911" s="388"/>
      <c r="AB5911" s="390"/>
    </row>
    <row r="5912" spans="1:28">
      <c r="A5912" s="384" t="str">
        <f t="shared" ref="A5912:B5912" si="19095">A5905</f>
        <v>Lantai 3</v>
      </c>
      <c r="B5912" s="385">
        <f t="shared" si="19095"/>
        <v>55</v>
      </c>
      <c r="C5912" s="393" t="s">
        <v>202</v>
      </c>
      <c r="D5912" s="398">
        <f>VLOOKUP(D5905,'Detail Balok'!$C$10:$AU$140,4,FALSE)</f>
        <v>3</v>
      </c>
      <c r="E5912" s="388" t="s">
        <v>16</v>
      </c>
      <c r="F5912" s="388">
        <f>VLOOKUP(D5905,'Detail Balok'!$C$10:$AU$140,6,FALSE)</f>
        <v>16</v>
      </c>
      <c r="G5912" s="388"/>
      <c r="H5912" s="395"/>
      <c r="I5912" s="388" t="s">
        <v>203</v>
      </c>
      <c r="J5912" s="399">
        <f t="shared" ref="J5912" si="19096">+D5907/4/1000</f>
        <v>1.325</v>
      </c>
      <c r="K5912" s="400" t="s">
        <v>204</v>
      </c>
      <c r="L5912" s="399">
        <f t="shared" ref="L5912" si="19097">MAX(VLOOKUP(F5912,N$6:P$15,3,FALSE)/1000,2/3*D5909/1000)+F$16*F5912/1000</f>
        <v>0.192</v>
      </c>
      <c r="M5912" s="399" t="s">
        <v>176</v>
      </c>
      <c r="N5912" s="399">
        <f t="shared" ref="N5912:N5914" si="19098">J5912+L5912</f>
        <v>1.5169999999999999</v>
      </c>
      <c r="O5912" s="399" t="s">
        <v>204</v>
      </c>
      <c r="P5912" s="389">
        <f t="shared" ref="P5912" si="19099">D5912-D5913</f>
        <v>0</v>
      </c>
      <c r="Q5912" s="399" t="s">
        <v>125</v>
      </c>
      <c r="R5912" s="399">
        <f t="shared" ref="R5912" si="19100">IF(P5912&gt;0,$F$18*F5912/1000,0)</f>
        <v>0</v>
      </c>
      <c r="S5912" s="399" t="s">
        <v>205</v>
      </c>
      <c r="T5912" s="399" t="s">
        <v>125</v>
      </c>
      <c r="U5912" s="401">
        <f t="shared" ref="U5912:U5914" si="19101">0.006165*F5912^2</f>
        <v>1.5782400000000001</v>
      </c>
      <c r="V5912" s="399"/>
      <c r="W5912" s="399"/>
      <c r="X5912" s="399" t="s">
        <v>125</v>
      </c>
      <c r="Y5912" s="389">
        <f t="shared" ref="Y5912" si="19102">D5911</f>
        <v>1</v>
      </c>
      <c r="Z5912" s="400" t="s">
        <v>176</v>
      </c>
      <c r="AA5912" s="402">
        <f t="shared" ref="AA5912" si="19103">IF(AA5915=0,(D5912*N5912+P5912*R5912)*U5912*Y5912,0)</f>
        <v>0</v>
      </c>
      <c r="AB5912" s="403"/>
    </row>
    <row r="5913" spans="1:28">
      <c r="A5913" s="384" t="str">
        <f t="shared" ref="A5913:B5913" si="19104">A5905</f>
        <v>Lantai 3</v>
      </c>
      <c r="B5913" s="385">
        <f t="shared" si="19104"/>
        <v>55</v>
      </c>
      <c r="C5913" s="393" t="s">
        <v>206</v>
      </c>
      <c r="D5913" s="398">
        <f>VLOOKUP(D5905,'Detail Balok'!$C$10:$AU$140,7,FALSE)</f>
        <v>3</v>
      </c>
      <c r="E5913" s="388" t="s">
        <v>16</v>
      </c>
      <c r="F5913" s="388">
        <f>VLOOKUP(D5905,'Detail Balok'!$C$10:$AU$140,9,FALSE)</f>
        <v>16</v>
      </c>
      <c r="G5913" s="388"/>
      <c r="H5913" s="395"/>
      <c r="I5913" s="388" t="s">
        <v>203</v>
      </c>
      <c r="J5913" s="399">
        <f t="shared" ref="J5913" si="19105">+D5907/2/1000</f>
        <v>2.65</v>
      </c>
      <c r="K5913" s="400" t="s">
        <v>204</v>
      </c>
      <c r="L5913" s="399"/>
      <c r="M5913" s="399" t="s">
        <v>176</v>
      </c>
      <c r="N5913" s="399">
        <f t="shared" si="19098"/>
        <v>2.65</v>
      </c>
      <c r="O5913" s="399" t="s">
        <v>204</v>
      </c>
      <c r="P5913" s="389">
        <f t="shared" ref="P5913" si="19106">MAX(D5913-D5912,D5913-D5914)</f>
        <v>0</v>
      </c>
      <c r="Q5913" s="399" t="s">
        <v>125</v>
      </c>
      <c r="R5913" s="399">
        <f t="shared" ref="R5913" si="19107">IF(P5913&gt;0,2*(1-2*$F$19-1/2)*D5908/1000,0)</f>
        <v>0</v>
      </c>
      <c r="S5913" s="399" t="s">
        <v>205</v>
      </c>
      <c r="T5913" s="399" t="s">
        <v>125</v>
      </c>
      <c r="U5913" s="401">
        <f t="shared" si="19101"/>
        <v>1.5782400000000001</v>
      </c>
      <c r="V5913" s="399"/>
      <c r="W5913" s="399"/>
      <c r="X5913" s="399" t="s">
        <v>125</v>
      </c>
      <c r="Y5913" s="389">
        <f t="shared" ref="Y5913" si="19108">D5911</f>
        <v>1</v>
      </c>
      <c r="Z5913" s="400" t="s">
        <v>176</v>
      </c>
      <c r="AA5913" s="402">
        <f t="shared" ref="AA5913" si="19109">IF(AA5915=0,(D5913*N5913+P5913*R5913)*U5913*Y5913,0)</f>
        <v>0</v>
      </c>
      <c r="AB5913" s="403"/>
    </row>
    <row r="5914" spans="1:28">
      <c r="A5914" s="384" t="str">
        <f t="shared" ref="A5914:B5914" si="19110">A5905</f>
        <v>Lantai 3</v>
      </c>
      <c r="B5914" s="385">
        <f t="shared" si="19110"/>
        <v>55</v>
      </c>
      <c r="C5914" s="393" t="s">
        <v>202</v>
      </c>
      <c r="D5914" s="398">
        <f>VLOOKUP(D5905,'Detail Balok'!$C$10:$AU$140,10,FALSE)</f>
        <v>3</v>
      </c>
      <c r="E5914" s="388" t="s">
        <v>16</v>
      </c>
      <c r="F5914" s="388">
        <f>VLOOKUP(D5905,'Detail Balok'!$C$10:$AU$140,12,FALSE)</f>
        <v>16</v>
      </c>
      <c r="G5914" s="388"/>
      <c r="H5914" s="395"/>
      <c r="I5914" s="388" t="s">
        <v>203</v>
      </c>
      <c r="J5914" s="399">
        <f t="shared" ref="J5914" si="19111">+D5907/4/1000</f>
        <v>1.325</v>
      </c>
      <c r="K5914" s="400" t="s">
        <v>204</v>
      </c>
      <c r="L5914" s="399">
        <f t="shared" ref="L5914" si="19112">MAX(VLOOKUP(F5914,N$6:P$15,3,FALSE)/1000,2/3*D5909/1000)+F$16*F5914/1000</f>
        <v>0.192</v>
      </c>
      <c r="M5914" s="399" t="s">
        <v>176</v>
      </c>
      <c r="N5914" s="399">
        <f t="shared" si="19098"/>
        <v>1.5169999999999999</v>
      </c>
      <c r="O5914" s="399" t="s">
        <v>204</v>
      </c>
      <c r="P5914" s="389">
        <f t="shared" ref="P5914" si="19113">D5914-D5913</f>
        <v>0</v>
      </c>
      <c r="Q5914" s="399" t="s">
        <v>125</v>
      </c>
      <c r="R5914" s="399">
        <f t="shared" ref="R5914" si="19114">IF(P5914&gt;0,$F$18*F5914/1000,0)</f>
        <v>0</v>
      </c>
      <c r="S5914" s="399" t="s">
        <v>205</v>
      </c>
      <c r="T5914" s="399" t="s">
        <v>125</v>
      </c>
      <c r="U5914" s="401">
        <f t="shared" si="19101"/>
        <v>1.5782400000000001</v>
      </c>
      <c r="V5914" s="399"/>
      <c r="W5914" s="399"/>
      <c r="X5914" s="399" t="s">
        <v>125</v>
      </c>
      <c r="Y5914" s="389">
        <f t="shared" ref="Y5914" si="19115">D5911</f>
        <v>1</v>
      </c>
      <c r="Z5914" s="400" t="s">
        <v>176</v>
      </c>
      <c r="AA5914" s="402">
        <f t="shared" ref="AA5914" si="19116">IF(AA5915=0,(D5914*N5914+P5914*R5914)*U5914*Y5914,0)</f>
        <v>0</v>
      </c>
      <c r="AB5914" s="403"/>
    </row>
    <row r="5915" spans="1:28">
      <c r="A5915" s="384" t="str">
        <f t="shared" ref="A5915:B5915" si="19117">A5905</f>
        <v>Lantai 3</v>
      </c>
      <c r="B5915" s="385">
        <f t="shared" si="19117"/>
        <v>55</v>
      </c>
      <c r="C5915" s="393"/>
      <c r="D5915" s="398">
        <f t="shared" ref="D5915" si="19118">IF(AND(D5912=D5913,D5913=D5914,D5912=D5914),D5912,0)</f>
        <v>3</v>
      </c>
      <c r="E5915" s="388" t="s">
        <v>16</v>
      </c>
      <c r="F5915" s="388">
        <f t="shared" ref="F5915" si="19119">IF(AND(F5912=F5913,F5912=F5914,F5913=F5914),F5912,0)</f>
        <v>16</v>
      </c>
      <c r="G5915" s="388"/>
      <c r="H5915" s="395"/>
      <c r="I5915" s="388"/>
      <c r="J5915" s="396"/>
      <c r="K5915" s="396"/>
      <c r="L5915" s="404" t="s">
        <v>207</v>
      </c>
      <c r="M5915" s="399" t="s">
        <v>176</v>
      </c>
      <c r="N5915" s="399">
        <f t="shared" ref="N5915" si="19120">IF(AND(D5912=D5913,D5912=D5914,D5913=D5914,F5912=F5913,F5912=F5914,F5913=F5914),SUM(N5912:N5914),0)</f>
        <v>5.6839999999999993</v>
      </c>
      <c r="O5915" s="399" t="s">
        <v>204</v>
      </c>
      <c r="P5915" s="389">
        <f t="shared" ref="P5915" si="19121">IF(N5915&gt;12,ROUNDDOWN(N5915/12,0),0)</f>
        <v>0</v>
      </c>
      <c r="Q5915" s="399" t="s">
        <v>125</v>
      </c>
      <c r="R5915" s="399">
        <f t="shared" ref="R5915" si="19122">IF(P5915&gt;0,MAX(VLOOKUP(F5915,$D$6:$G$15,3,FALSE),600),0)/1000</f>
        <v>0</v>
      </c>
      <c r="S5915" s="396"/>
      <c r="T5915" s="396" t="s">
        <v>125</v>
      </c>
      <c r="U5915" s="401">
        <f t="shared" ref="U5915" si="19123">U5914</f>
        <v>1.5782400000000001</v>
      </c>
      <c r="V5915" s="396" t="s">
        <v>125</v>
      </c>
      <c r="W5915" s="399">
        <f t="shared" ref="W5915" si="19124">D5915</f>
        <v>3</v>
      </c>
      <c r="X5915" s="399" t="s">
        <v>125</v>
      </c>
      <c r="Y5915" s="389">
        <f t="shared" ref="Y5915" si="19125">Y5914</f>
        <v>1</v>
      </c>
      <c r="Z5915" s="400" t="s">
        <v>176</v>
      </c>
      <c r="AA5915" s="402">
        <f t="shared" ref="AA5915" si="19126">(N5915+P5915*R5915/1000)*U5915*W5915*Y5915</f>
        <v>26.912148479999995</v>
      </c>
      <c r="AB5915" s="390"/>
    </row>
    <row r="5916" spans="1:28">
      <c r="A5916" s="384"/>
      <c r="B5916" s="385"/>
      <c r="C5916" s="393"/>
      <c r="D5916" s="398"/>
      <c r="E5916" s="388"/>
      <c r="F5916" s="388"/>
      <c r="G5916" s="388"/>
      <c r="H5916" s="395"/>
      <c r="I5916" s="388"/>
      <c r="J5916" s="396"/>
      <c r="K5916" s="396"/>
      <c r="L5916" s="404"/>
      <c r="M5916" s="399"/>
      <c r="N5916" s="399"/>
      <c r="O5916" s="396"/>
      <c r="P5916" s="389"/>
      <c r="Q5916" s="396"/>
      <c r="R5916" s="396"/>
      <c r="S5916" s="396"/>
      <c r="T5916" s="396"/>
      <c r="U5916" s="401"/>
      <c r="V5916" s="396"/>
      <c r="W5916" s="399"/>
      <c r="X5916" s="396"/>
      <c r="Y5916" s="389"/>
      <c r="Z5916" s="396"/>
      <c r="AA5916" s="388"/>
      <c r="AB5916" s="390"/>
    </row>
    <row r="5917" spans="1:28">
      <c r="A5917" s="384" t="str">
        <f t="shared" ref="A5917:B5917" si="19127">A5905</f>
        <v>Lantai 3</v>
      </c>
      <c r="B5917" s="385">
        <f t="shared" si="19127"/>
        <v>55</v>
      </c>
      <c r="C5917" s="393" t="s">
        <v>208</v>
      </c>
      <c r="D5917" s="398">
        <f>VLOOKUP(D5905,'Detail Balok'!$C$10:$AU$140,13,FALSE)</f>
        <v>0</v>
      </c>
      <c r="E5917" s="388" t="s">
        <v>16</v>
      </c>
      <c r="F5917" s="388">
        <f>VLOOKUP(D5905,'Detail Balok'!$C$10:$AU$140,15,FALSE)</f>
        <v>8</v>
      </c>
      <c r="G5917" s="388"/>
      <c r="H5917" s="395"/>
      <c r="I5917" s="388"/>
      <c r="J5917" s="399">
        <f t="shared" ref="J5917" si="19128">+D5907/1000</f>
        <v>5.3</v>
      </c>
      <c r="K5917" s="400" t="s">
        <v>204</v>
      </c>
      <c r="L5917" s="399">
        <f t="shared" ref="L5917" si="19129">2*$F$16*F5917/1000</f>
        <v>0.192</v>
      </c>
      <c r="M5917" s="399" t="s">
        <v>176</v>
      </c>
      <c r="N5917" s="399">
        <f t="shared" ref="N5917" si="19130">J5917+L5917</f>
        <v>5.492</v>
      </c>
      <c r="O5917" s="399" t="s">
        <v>204</v>
      </c>
      <c r="P5917" s="389">
        <f t="shared" ref="P5917" si="19131">IF(N5917&gt;12,ROUNDDOWN(N5917/12,0),0)</f>
        <v>0</v>
      </c>
      <c r="Q5917" s="399" t="s">
        <v>125</v>
      </c>
      <c r="R5917" s="399">
        <f t="shared" ref="R5917" si="19132">IF(P5917&gt;0,MAX(VLOOKUP(F5917,$D$6:$G$15,3,FALSE),600),0)/1000</f>
        <v>0</v>
      </c>
      <c r="S5917" s="399"/>
      <c r="T5917" s="399" t="s">
        <v>125</v>
      </c>
      <c r="U5917" s="401">
        <f t="shared" ref="U5917" si="19133">0.006165*F5917^2</f>
        <v>0.39456000000000002</v>
      </c>
      <c r="V5917" s="399" t="s">
        <v>125</v>
      </c>
      <c r="W5917" s="399">
        <f t="shared" ref="W5917" si="19134">+D5917</f>
        <v>0</v>
      </c>
      <c r="X5917" s="399" t="s">
        <v>125</v>
      </c>
      <c r="Y5917" s="389">
        <f t="shared" ref="Y5917" si="19135">D5911</f>
        <v>1</v>
      </c>
      <c r="Z5917" s="400" t="s">
        <v>176</v>
      </c>
      <c r="AA5917" s="402">
        <f t="shared" ref="AA5917" si="19136">(N5917+P5917*R5917/1000)*U5917*W5917*Y5917</f>
        <v>0</v>
      </c>
      <c r="AB5917" s="403"/>
    </row>
    <row r="5918" spans="1:28">
      <c r="A5918" s="384"/>
      <c r="B5918" s="385"/>
      <c r="C5918" s="393"/>
      <c r="D5918" s="398"/>
      <c r="E5918" s="388"/>
      <c r="F5918" s="388"/>
      <c r="G5918" s="388"/>
      <c r="H5918" s="395"/>
      <c r="I5918" s="388"/>
      <c r="J5918" s="399"/>
      <c r="K5918" s="400"/>
      <c r="L5918" s="399"/>
      <c r="M5918" s="399"/>
      <c r="N5918" s="399"/>
      <c r="O5918" s="399"/>
      <c r="P5918" s="389"/>
      <c r="Q5918" s="399"/>
      <c r="R5918" s="399"/>
      <c r="S5918" s="399"/>
      <c r="T5918" s="399"/>
      <c r="U5918" s="401"/>
      <c r="V5918" s="399"/>
      <c r="W5918" s="399"/>
      <c r="X5918" s="399"/>
      <c r="Y5918" s="389"/>
      <c r="Z5918" s="400"/>
      <c r="AA5918" s="402"/>
      <c r="AB5918" s="403"/>
    </row>
    <row r="5919" spans="1:28">
      <c r="A5919" s="384"/>
      <c r="B5919" s="385"/>
      <c r="C5919" s="393"/>
      <c r="D5919" s="398"/>
      <c r="E5919" s="388"/>
      <c r="F5919" s="388"/>
      <c r="G5919" s="388"/>
      <c r="H5919" s="395"/>
      <c r="I5919" s="388"/>
      <c r="J5919" s="396"/>
      <c r="K5919" s="396"/>
      <c r="L5919" s="396"/>
      <c r="M5919" s="396"/>
      <c r="N5919" s="396"/>
      <c r="O5919" s="396"/>
      <c r="P5919" s="389"/>
      <c r="Q5919" s="396"/>
      <c r="R5919" s="396"/>
      <c r="S5919" s="396"/>
      <c r="T5919" s="396"/>
      <c r="U5919" s="401"/>
      <c r="V5919" s="396"/>
      <c r="W5919" s="399"/>
      <c r="X5919" s="396"/>
      <c r="Y5919" s="389"/>
      <c r="Z5919" s="396"/>
      <c r="AA5919" s="388"/>
      <c r="AB5919" s="390"/>
    </row>
    <row r="5920" spans="1:28">
      <c r="A5920" s="384" t="str">
        <f t="shared" ref="A5920:B5920" si="19137">A5905</f>
        <v>Lantai 3</v>
      </c>
      <c r="B5920" s="385">
        <f t="shared" si="19137"/>
        <v>55</v>
      </c>
      <c r="C5920" s="393" t="s">
        <v>209</v>
      </c>
      <c r="D5920" s="398">
        <f>VLOOKUP(D5905,'Detail Balok'!$C$10:$AU$140,22,FALSE)</f>
        <v>3</v>
      </c>
      <c r="E5920" s="388" t="s">
        <v>16</v>
      </c>
      <c r="F5920" s="388">
        <f>VLOOKUP(D5905,'Detail Balok'!$C$10:$AU$140,24,FALSE)</f>
        <v>16</v>
      </c>
      <c r="G5920" s="388"/>
      <c r="H5920" s="395"/>
      <c r="I5920" s="388" t="s">
        <v>203</v>
      </c>
      <c r="J5920" s="399">
        <f t="shared" ref="J5920:J5922" si="19138">+J5912</f>
        <v>1.325</v>
      </c>
      <c r="K5920" s="400" t="s">
        <v>204</v>
      </c>
      <c r="L5920" s="399">
        <f t="shared" ref="L5920" si="19139">MAX(VLOOKUP(F5920,N$6:P$15,3,FALSE)/1000,2/3*D5910/1000)+F$16*F5920/1000</f>
        <v>0.192</v>
      </c>
      <c r="M5920" s="399" t="s">
        <v>176</v>
      </c>
      <c r="N5920" s="399">
        <f t="shared" ref="N5920:N5922" si="19140">J5920+L5920</f>
        <v>1.5169999999999999</v>
      </c>
      <c r="O5920" s="399" t="s">
        <v>204</v>
      </c>
      <c r="P5920" s="389">
        <f t="shared" ref="P5920" si="19141">D5920-D5921</f>
        <v>0</v>
      </c>
      <c r="Q5920" s="399" t="s">
        <v>125</v>
      </c>
      <c r="R5920" s="399">
        <f t="shared" ref="R5920" si="19142">IF(P5920&gt;0,$F$18*F5920/1000,0)</f>
        <v>0</v>
      </c>
      <c r="S5920" s="399" t="s">
        <v>205</v>
      </c>
      <c r="T5920" s="399" t="s">
        <v>125</v>
      </c>
      <c r="U5920" s="401">
        <f t="shared" ref="U5920:U5922" si="19143">0.006165*F5920^2</f>
        <v>1.5782400000000001</v>
      </c>
      <c r="V5920" s="399"/>
      <c r="W5920" s="399"/>
      <c r="X5920" s="399" t="s">
        <v>125</v>
      </c>
      <c r="Y5920" s="389">
        <f t="shared" ref="Y5920" si="19144">D5911</f>
        <v>1</v>
      </c>
      <c r="Z5920" s="400" t="s">
        <v>176</v>
      </c>
      <c r="AA5920" s="402">
        <f t="shared" ref="AA5920" si="19145">IF(AA5923=0,(D5920*N5920+P5920*R5920)*U5920*Y5920,0)</f>
        <v>0</v>
      </c>
      <c r="AB5920" s="403"/>
    </row>
    <row r="5921" spans="1:28">
      <c r="A5921" s="384" t="str">
        <f t="shared" ref="A5921:B5921" si="19146">A5905</f>
        <v>Lantai 3</v>
      </c>
      <c r="B5921" s="385">
        <f t="shared" si="19146"/>
        <v>55</v>
      </c>
      <c r="C5921" s="393" t="s">
        <v>210</v>
      </c>
      <c r="D5921" s="398">
        <f>VLOOKUP(D5905,'Detail Balok'!$C$10:$AU$140,25,FALSE)</f>
        <v>3</v>
      </c>
      <c r="E5921" s="388" t="s">
        <v>16</v>
      </c>
      <c r="F5921" s="388">
        <f>VLOOKUP(D5905,'Detail Balok'!$C$10:$AU$140,27,FALSE)</f>
        <v>16</v>
      </c>
      <c r="G5921" s="388"/>
      <c r="H5921" s="395"/>
      <c r="I5921" s="388" t="s">
        <v>203</v>
      </c>
      <c r="J5921" s="399">
        <f t="shared" si="19138"/>
        <v>2.65</v>
      </c>
      <c r="K5921" s="400" t="s">
        <v>204</v>
      </c>
      <c r="L5921" s="399"/>
      <c r="M5921" s="399" t="s">
        <v>176</v>
      </c>
      <c r="N5921" s="399">
        <f t="shared" si="19140"/>
        <v>2.65</v>
      </c>
      <c r="O5921" s="399" t="s">
        <v>204</v>
      </c>
      <c r="P5921" s="389">
        <f t="shared" ref="P5921" si="19147">MAX(D5921-D5920,D5921-D5922)</f>
        <v>0</v>
      </c>
      <c r="Q5921" s="399" t="s">
        <v>125</v>
      </c>
      <c r="R5921" s="399">
        <f t="shared" ref="R5921" si="19148">IF(P5921&gt;0,2*(1-2*$F$19-1/2)*D5908/1000,0)</f>
        <v>0</v>
      </c>
      <c r="S5921" s="399" t="s">
        <v>205</v>
      </c>
      <c r="T5921" s="399" t="s">
        <v>125</v>
      </c>
      <c r="U5921" s="401">
        <f t="shared" si="19143"/>
        <v>1.5782400000000001</v>
      </c>
      <c r="V5921" s="399"/>
      <c r="W5921" s="399"/>
      <c r="X5921" s="399" t="s">
        <v>125</v>
      </c>
      <c r="Y5921" s="389">
        <f t="shared" ref="Y5921" si="19149">D5911</f>
        <v>1</v>
      </c>
      <c r="Z5921" s="400" t="s">
        <v>176</v>
      </c>
      <c r="AA5921" s="402">
        <f t="shared" ref="AA5921" si="19150">IF(AA5923=0,(D5921*N5921+P5921*R5921)*U5921*Y5921,0)</f>
        <v>0</v>
      </c>
      <c r="AB5921" s="403"/>
    </row>
    <row r="5922" spans="1:28">
      <c r="A5922" s="384" t="str">
        <f t="shared" ref="A5922:B5922" si="19151">A5905</f>
        <v>Lantai 3</v>
      </c>
      <c r="B5922" s="385">
        <f t="shared" si="19151"/>
        <v>55</v>
      </c>
      <c r="C5922" s="393" t="s">
        <v>209</v>
      </c>
      <c r="D5922" s="398">
        <f>VLOOKUP(D5905,'Detail Balok'!$C$10:$AU$140,28,FALSE)</f>
        <v>3</v>
      </c>
      <c r="E5922" s="388" t="s">
        <v>16</v>
      </c>
      <c r="F5922" s="388">
        <f>VLOOKUP(D5905,'Detail Balok'!$C$10:$AU$140,30,FALSE)</f>
        <v>16</v>
      </c>
      <c r="G5922" s="388"/>
      <c r="H5922" s="395"/>
      <c r="I5922" s="388" t="s">
        <v>203</v>
      </c>
      <c r="J5922" s="399">
        <f t="shared" si="19138"/>
        <v>1.325</v>
      </c>
      <c r="K5922" s="400" t="s">
        <v>204</v>
      </c>
      <c r="L5922" s="399">
        <f t="shared" ref="L5922" si="19152">MAX(VLOOKUP(F5922,N$6:P$15,3,FALSE)/1000,2/3*D5910/1000)+F$16*F5922/1000</f>
        <v>0.192</v>
      </c>
      <c r="M5922" s="399" t="s">
        <v>176</v>
      </c>
      <c r="N5922" s="399">
        <f t="shared" si="19140"/>
        <v>1.5169999999999999</v>
      </c>
      <c r="O5922" s="399" t="s">
        <v>204</v>
      </c>
      <c r="P5922" s="389">
        <f t="shared" ref="P5922" si="19153">D5922-D5921</f>
        <v>0</v>
      </c>
      <c r="Q5922" s="399" t="s">
        <v>125</v>
      </c>
      <c r="R5922" s="399">
        <f t="shared" ref="R5922" si="19154">IF(P5922&gt;0,$F$18*F5922/1000,0)</f>
        <v>0</v>
      </c>
      <c r="S5922" s="399" t="s">
        <v>205</v>
      </c>
      <c r="T5922" s="399" t="s">
        <v>125</v>
      </c>
      <c r="U5922" s="401">
        <f t="shared" si="19143"/>
        <v>1.5782400000000001</v>
      </c>
      <c r="V5922" s="399"/>
      <c r="W5922" s="399"/>
      <c r="X5922" s="399" t="s">
        <v>125</v>
      </c>
      <c r="Y5922" s="389">
        <f t="shared" ref="Y5922" si="19155">D5911</f>
        <v>1</v>
      </c>
      <c r="Z5922" s="400" t="s">
        <v>176</v>
      </c>
      <c r="AA5922" s="402">
        <f t="shared" ref="AA5922" si="19156">IF(AA5923=0,(D5922*N5922+P5922*R5922)*U5922*Y5922,0)</f>
        <v>0</v>
      </c>
      <c r="AB5922" s="403"/>
    </row>
    <row r="5923" spans="1:28">
      <c r="A5923" s="384" t="str">
        <f t="shared" ref="A5923:B5923" si="19157">A5905</f>
        <v>Lantai 3</v>
      </c>
      <c r="B5923" s="385">
        <f t="shared" si="19157"/>
        <v>55</v>
      </c>
      <c r="C5923" s="393"/>
      <c r="D5923" s="398">
        <f t="shared" ref="D5923" si="19158">IF(AND(D5920=D5921,D5921=D5922,D5920=D5922),D5920,0)</f>
        <v>3</v>
      </c>
      <c r="E5923" s="388" t="s">
        <v>16</v>
      </c>
      <c r="F5923" s="388">
        <f t="shared" ref="F5923" si="19159">IF(AND(F5920=F5921,F5920=F5922,F5921=F5922),F5920,0)</f>
        <v>16</v>
      </c>
      <c r="G5923" s="388"/>
      <c r="H5923" s="395"/>
      <c r="I5923" s="388"/>
      <c r="J5923" s="396"/>
      <c r="K5923" s="396"/>
      <c r="L5923" s="404" t="s">
        <v>207</v>
      </c>
      <c r="M5923" s="399" t="s">
        <v>176</v>
      </c>
      <c r="N5923" s="399">
        <f t="shared" ref="N5923" si="19160">IF(AND(D5920=D5921,D5920=D5922,D5921=D5922,F5920=F5921,F5920=F5922,F5921=F5922),SUM(N5920:N5922),0)</f>
        <v>5.6839999999999993</v>
      </c>
      <c r="O5923" s="399" t="s">
        <v>204</v>
      </c>
      <c r="P5923" s="389">
        <f t="shared" ref="P5923" si="19161">IF(N5923&gt;12,ROUNDDOWN(N5923/12,0),0)</f>
        <v>0</v>
      </c>
      <c r="Q5923" s="399" t="s">
        <v>125</v>
      </c>
      <c r="R5923" s="399">
        <f t="shared" ref="R5923" si="19162">IF(P5923&gt;0,MAX(VLOOKUP(F5923,$D$6:$G$15,3,FALSE),600),0)/1000</f>
        <v>0</v>
      </c>
      <c r="S5923" s="396"/>
      <c r="T5923" s="396" t="s">
        <v>125</v>
      </c>
      <c r="U5923" s="401">
        <f t="shared" ref="U5923" si="19163">U5922</f>
        <v>1.5782400000000001</v>
      </c>
      <c r="V5923" s="396" t="s">
        <v>125</v>
      </c>
      <c r="W5923" s="399">
        <f t="shared" ref="W5923" si="19164">D5923</f>
        <v>3</v>
      </c>
      <c r="X5923" s="399" t="s">
        <v>125</v>
      </c>
      <c r="Y5923" s="389">
        <f t="shared" ref="Y5923" si="19165">Y5922</f>
        <v>1</v>
      </c>
      <c r="Z5923" s="400" t="s">
        <v>176</v>
      </c>
      <c r="AA5923" s="402">
        <f t="shared" ref="AA5923" si="19166">(N5923+P5923*R5923/1000)*U5923*W5923*Y5923</f>
        <v>26.912148479999995</v>
      </c>
      <c r="AB5923" s="403"/>
    </row>
    <row r="5924" spans="1:28">
      <c r="A5924" s="384"/>
      <c r="B5924" s="385"/>
      <c r="C5924" s="393"/>
      <c r="D5924" s="394"/>
      <c r="E5924" s="388"/>
      <c r="F5924" s="388"/>
      <c r="G5924" s="388"/>
      <c r="H5924" s="395"/>
      <c r="I5924" s="388"/>
      <c r="J5924" s="399"/>
      <c r="K5924" s="396"/>
      <c r="L5924" s="396"/>
      <c r="M5924" s="396"/>
      <c r="N5924" s="396"/>
      <c r="O5924" s="396"/>
      <c r="P5924" s="389"/>
      <c r="Q5924" s="396"/>
      <c r="R5924" s="396"/>
      <c r="S5924" s="396"/>
      <c r="T5924" s="396"/>
      <c r="U5924" s="401"/>
      <c r="V5924" s="396"/>
      <c r="W5924" s="388"/>
      <c r="X5924" s="396"/>
      <c r="Y5924" s="389"/>
      <c r="Z5924" s="396"/>
      <c r="AA5924" s="388"/>
      <c r="AB5924" s="390"/>
    </row>
    <row r="5925" spans="1:28">
      <c r="A5925" s="384" t="str">
        <f t="shared" ref="A5925:B5925" si="19167">A5905</f>
        <v>Lantai 3</v>
      </c>
      <c r="B5925" s="385">
        <f t="shared" si="19167"/>
        <v>55</v>
      </c>
      <c r="C5925" s="393" t="s">
        <v>211</v>
      </c>
      <c r="D5925" s="398">
        <f>VLOOKUP(D5905,'Detail Balok'!$C$10:$AU$140,31,FALSE)</f>
        <v>0</v>
      </c>
      <c r="E5925" s="388" t="s">
        <v>16</v>
      </c>
      <c r="F5925" s="388">
        <f>VLOOKUP(D5905,'Detail Balok'!$C$10:$AU$140,33,FALSE)</f>
        <v>10</v>
      </c>
      <c r="G5925" s="405" t="s">
        <v>157</v>
      </c>
      <c r="H5925" s="395">
        <f>VLOOKUP(D5905,'Detail Balok'!$C$10:$AU$140,35,FALSE)</f>
        <v>100</v>
      </c>
      <c r="I5925" s="388"/>
      <c r="J5925" s="400">
        <f t="shared" ref="J5925" si="19168">(IF(D5925=0,(2*(D5906+G5906))-(F$5*8),IF(D5925=3,(2*(D5906+G5906))-(F$5*8)+(G5906-2*F$5),IF(D5925=4,(2*(D5906+G5906))-(F$5*8)+2*(G5906-2*F$5)))))/1000</f>
        <v>0.88</v>
      </c>
      <c r="K5925" s="400" t="s">
        <v>204</v>
      </c>
      <c r="L5925" s="399">
        <f t="shared" ref="L5925:L5927" si="19169">IF(D5925=0,2*MAX(6*F5925,75),(D5925-1)*2*MAX(6*F5925,75))/1000</f>
        <v>0.15</v>
      </c>
      <c r="M5925" s="399" t="s">
        <v>176</v>
      </c>
      <c r="N5925" s="399">
        <f t="shared" ref="N5925:N5927" si="19170">J5925+L5925</f>
        <v>1.03</v>
      </c>
      <c r="O5925" s="399"/>
      <c r="P5925" s="389"/>
      <c r="Q5925" s="399"/>
      <c r="R5925" s="399"/>
      <c r="S5925" s="399"/>
      <c r="T5925" s="399" t="s">
        <v>125</v>
      </c>
      <c r="U5925" s="401">
        <f t="shared" ref="U5925:U5927" si="19171">0.006165*F5925^2</f>
        <v>0.61650000000000005</v>
      </c>
      <c r="V5925" s="399" t="s">
        <v>125</v>
      </c>
      <c r="W5925" s="399">
        <f t="shared" ref="W5925" si="19172">IF(D5908&gt;4*G5906,ROUND(MAX(D5908/4,2*G5906)/H5925,0)+1,ROUND(D5908/H5925,0)+1)</f>
        <v>14</v>
      </c>
      <c r="X5925" s="399" t="s">
        <v>125</v>
      </c>
      <c r="Y5925" s="389">
        <f t="shared" ref="Y5925" si="19173">D5911</f>
        <v>1</v>
      </c>
      <c r="Z5925" s="400" t="s">
        <v>176</v>
      </c>
      <c r="AA5925" s="402">
        <f t="shared" ref="AA5925:AA5927" si="19174">N5925*U5925*W5925*Y5925</f>
        <v>8.8899300000000014</v>
      </c>
      <c r="AB5925" s="403"/>
    </row>
    <row r="5926" spans="1:28">
      <c r="A5926" s="384" t="str">
        <f t="shared" ref="A5926:B5926" si="19175">A5905</f>
        <v>Lantai 3</v>
      </c>
      <c r="B5926" s="385">
        <f t="shared" si="19175"/>
        <v>55</v>
      </c>
      <c r="C5926" s="393" t="s">
        <v>212</v>
      </c>
      <c r="D5926" s="398">
        <f>VLOOKUP(D5905,'Detail Balok'!$C$10:$AU$140,36,FALSE)</f>
        <v>0</v>
      </c>
      <c r="E5926" s="388" t="s">
        <v>16</v>
      </c>
      <c r="F5926" s="388">
        <f>VLOOKUP(D5905,'Detail Balok'!$C$10:$AU$140,38,FALSE)</f>
        <v>10</v>
      </c>
      <c r="G5926" s="405" t="s">
        <v>157</v>
      </c>
      <c r="H5926" s="395">
        <f>VLOOKUP(D5905,'Detail Balok'!$C$10:$AU$140,40,FALSE)</f>
        <v>100</v>
      </c>
      <c r="I5926" s="388"/>
      <c r="J5926" s="400">
        <f t="shared" ref="J5926" si="19176">(IF(D5926=0,(2*(D5906+G5906))-(F$5*8),IF(D5926=3,(2*(D5906+G5906))-(F$5*8)+(G5906-2*F$5),IF(D5926=4,(2*(D5906+G5906))-(F$5*8)+2*(G5906-2*F$5)))))/1000</f>
        <v>0.88</v>
      </c>
      <c r="K5926" s="400" t="s">
        <v>204</v>
      </c>
      <c r="L5926" s="399">
        <f t="shared" si="19169"/>
        <v>0.15</v>
      </c>
      <c r="M5926" s="399" t="s">
        <v>176</v>
      </c>
      <c r="N5926" s="399">
        <f t="shared" si="19170"/>
        <v>1.03</v>
      </c>
      <c r="O5926" s="399"/>
      <c r="P5926" s="389"/>
      <c r="Q5926" s="399"/>
      <c r="R5926" s="399"/>
      <c r="S5926" s="399"/>
      <c r="T5926" s="399" t="s">
        <v>125</v>
      </c>
      <c r="U5926" s="401">
        <f t="shared" si="19171"/>
        <v>0.61650000000000005</v>
      </c>
      <c r="V5926" s="399" t="s">
        <v>125</v>
      </c>
      <c r="W5926" s="399">
        <f t="shared" ref="W5926" si="19177">IF(D5908-MAX(D5908/4,2*G5906)*2&gt;0,ROUND((D5908-MAX(D5908/4,2*G5906)*2)/H5926,0),0)</f>
        <v>27</v>
      </c>
      <c r="X5926" s="399" t="s">
        <v>125</v>
      </c>
      <c r="Y5926" s="389">
        <f t="shared" ref="Y5926" si="19178">D5911</f>
        <v>1</v>
      </c>
      <c r="Z5926" s="400" t="s">
        <v>176</v>
      </c>
      <c r="AA5926" s="402">
        <f t="shared" si="19174"/>
        <v>17.144865000000003</v>
      </c>
      <c r="AB5926" s="403"/>
    </row>
    <row r="5927" spans="1:28">
      <c r="A5927" s="384" t="str">
        <f t="shared" ref="A5927:B5927" si="19179">A5905</f>
        <v>Lantai 3</v>
      </c>
      <c r="B5927" s="385">
        <f t="shared" si="19179"/>
        <v>55</v>
      </c>
      <c r="C5927" s="393" t="s">
        <v>211</v>
      </c>
      <c r="D5927" s="398">
        <f>VLOOKUP(D5905,'Detail Balok'!$C$10:$AU$140,41,FALSE)</f>
        <v>0</v>
      </c>
      <c r="E5927" s="388" t="s">
        <v>16</v>
      </c>
      <c r="F5927" s="388">
        <f>VLOOKUP(D5905,'Detail Balok'!$C$10:$AU$140,43,FALSE)</f>
        <v>10</v>
      </c>
      <c r="G5927" s="405" t="s">
        <v>157</v>
      </c>
      <c r="H5927" s="395">
        <f>VLOOKUP(D5905,'Detail Balok'!$C$10:$AU$140,45,FALSE)</f>
        <v>100</v>
      </c>
      <c r="I5927" s="388"/>
      <c r="J5927" s="400">
        <f t="shared" ref="J5927" si="19180">(IF(D5927=0,(2*(D5906+G5906))-(F$5*8),IF(D5927=3,(2*(D5906+G5906))-(F$5*8)+(G5906-2*F$5),IF(D5927=4,(2*(D5906+G5906))-(F$5*8)+2*(G5906-2*F$5)))))/1000</f>
        <v>0.88</v>
      </c>
      <c r="K5927" s="400" t="s">
        <v>204</v>
      </c>
      <c r="L5927" s="399">
        <f t="shared" si="19169"/>
        <v>0.15</v>
      </c>
      <c r="M5927" s="399" t="s">
        <v>176</v>
      </c>
      <c r="N5927" s="399">
        <f t="shared" si="19170"/>
        <v>1.03</v>
      </c>
      <c r="O5927" s="399"/>
      <c r="P5927" s="389"/>
      <c r="Q5927" s="399"/>
      <c r="R5927" s="399"/>
      <c r="S5927" s="399"/>
      <c r="T5927" s="399" t="s">
        <v>125</v>
      </c>
      <c r="U5927" s="401">
        <f t="shared" si="19171"/>
        <v>0.61650000000000005</v>
      </c>
      <c r="V5927" s="399" t="s">
        <v>125</v>
      </c>
      <c r="W5927" s="399">
        <f t="shared" ref="W5927" si="19181">IF(D5908&gt;4*G5906,ROUND(MAX(D5908/4,2*G5906)/H5927,0)+1,0)</f>
        <v>14</v>
      </c>
      <c r="X5927" s="399" t="s">
        <v>125</v>
      </c>
      <c r="Y5927" s="389">
        <f t="shared" ref="Y5927" si="19182">D5911</f>
        <v>1</v>
      </c>
      <c r="Z5927" s="400" t="s">
        <v>176</v>
      </c>
      <c r="AA5927" s="402">
        <f t="shared" si="19174"/>
        <v>8.8899300000000014</v>
      </c>
      <c r="AB5927" s="403"/>
    </row>
    <row r="5928" spans="1:28">
      <c r="A5928" s="384"/>
      <c r="B5928" s="385"/>
      <c r="C5928" s="393"/>
      <c r="D5928" s="394"/>
      <c r="E5928" s="388"/>
      <c r="F5928" s="388"/>
      <c r="G5928" s="388"/>
      <c r="H5928" s="395"/>
      <c r="I5928" s="388"/>
      <c r="J5928" s="399"/>
      <c r="K5928" s="396"/>
      <c r="L5928" s="396"/>
      <c r="M5928" s="396"/>
      <c r="N5928" s="396"/>
      <c r="O5928" s="396"/>
      <c r="P5928" s="389"/>
      <c r="Q5928" s="396"/>
      <c r="R5928" s="396"/>
      <c r="S5928" s="396"/>
      <c r="T5928" s="396"/>
      <c r="U5928" s="401"/>
      <c r="V5928" s="396"/>
      <c r="W5928" s="388"/>
      <c r="X5928" s="396"/>
      <c r="Y5928" s="389"/>
      <c r="Z5928" s="396"/>
      <c r="AA5928" s="388"/>
      <c r="AB5928" s="390"/>
    </row>
    <row r="5929" spans="1:28">
      <c r="A5929" s="384" t="str">
        <f t="shared" ref="A5929:B5929" si="19183">A5905</f>
        <v>Lantai 3</v>
      </c>
      <c r="B5929" s="385">
        <f t="shared" si="19183"/>
        <v>55</v>
      </c>
      <c r="C5929" s="393" t="s">
        <v>213</v>
      </c>
      <c r="D5929" s="398">
        <f>VLOOKUP(D5905,'Detail Balok'!$C$10:$BJ$140,46,FALSE)</f>
        <v>0</v>
      </c>
      <c r="E5929" s="388" t="s">
        <v>16</v>
      </c>
      <c r="F5929" s="388">
        <f>VLOOKUP(D5905,'Detail Balok'!$C$10:$BJ$140,48,FALSE)</f>
        <v>0</v>
      </c>
      <c r="G5929" s="405" t="s">
        <v>157</v>
      </c>
      <c r="H5929" s="395">
        <f>VLOOKUP(D5905,'Detail Balok'!$C$10:$BJ$140,50,FALSE)</f>
        <v>100</v>
      </c>
      <c r="I5929" s="388"/>
      <c r="J5929" s="399">
        <f t="shared" ref="J5929" si="19184">(D5906-2*F$5)/1000</f>
        <v>0.12</v>
      </c>
      <c r="K5929" s="400" t="s">
        <v>204</v>
      </c>
      <c r="L5929" s="399">
        <f t="shared" ref="L5929:L5931" si="19185">IF(D5929=0,2*MAX(6*F5929,75),(D5929-1)*2*MAX(6*F5929,75))/1000</f>
        <v>0.15</v>
      </c>
      <c r="M5929" s="399" t="s">
        <v>176</v>
      </c>
      <c r="N5929" s="399">
        <f t="shared" ref="N5929:N5931" si="19186">J5929+L5929</f>
        <v>0.27</v>
      </c>
      <c r="O5929" s="399"/>
      <c r="P5929" s="399"/>
      <c r="Q5929" s="399"/>
      <c r="R5929" s="399"/>
      <c r="S5929" s="399"/>
      <c r="T5929" s="399" t="s">
        <v>125</v>
      </c>
      <c r="U5929" s="401">
        <f t="shared" ref="U5929:U5931" si="19187">0.006165*F5929^2</f>
        <v>0</v>
      </c>
      <c r="V5929" s="399" t="s">
        <v>125</v>
      </c>
      <c r="W5929" s="399">
        <f t="shared" ref="W5929:W5931" si="19188">W5925</f>
        <v>14</v>
      </c>
      <c r="X5929" s="399" t="s">
        <v>125</v>
      </c>
      <c r="Y5929" s="389">
        <f t="shared" ref="Y5929" si="19189">D5915</f>
        <v>3</v>
      </c>
      <c r="Z5929" s="400" t="s">
        <v>176</v>
      </c>
      <c r="AA5929" s="402">
        <f t="shared" ref="AA5929:AA5931" si="19190">N5929*U5929*W5929*Y5929</f>
        <v>0</v>
      </c>
      <c r="AB5929" s="403"/>
    </row>
    <row r="5930" spans="1:28">
      <c r="A5930" s="384" t="str">
        <f t="shared" ref="A5930:B5930" si="19191">A5905</f>
        <v>Lantai 3</v>
      </c>
      <c r="B5930" s="385">
        <f t="shared" si="19191"/>
        <v>55</v>
      </c>
      <c r="C5930" s="393" t="s">
        <v>214</v>
      </c>
      <c r="D5930" s="398">
        <f>VLOOKUP(D5905,'Detail Balok'!$C$10:$BJ$140,51,FALSE)</f>
        <v>0</v>
      </c>
      <c r="E5930" s="388" t="s">
        <v>16</v>
      </c>
      <c r="F5930" s="388">
        <f>VLOOKUP(D5905,'Detail Balok'!$C$10:$BJ$140,53,FALSE)</f>
        <v>0</v>
      </c>
      <c r="G5930" s="405" t="s">
        <v>157</v>
      </c>
      <c r="H5930" s="395">
        <f>VLOOKUP(D5905,'Detail Balok'!$C$10:$BJ$140,55,FALSE)</f>
        <v>100</v>
      </c>
      <c r="I5930" s="388"/>
      <c r="J5930" s="399">
        <f t="shared" ref="J5930" si="19192">(D5906-2*F$5)/1000</f>
        <v>0.12</v>
      </c>
      <c r="K5930" s="400" t="s">
        <v>204</v>
      </c>
      <c r="L5930" s="399">
        <f t="shared" si="19185"/>
        <v>0.15</v>
      </c>
      <c r="M5930" s="399" t="s">
        <v>176</v>
      </c>
      <c r="N5930" s="399">
        <f t="shared" si="19186"/>
        <v>0.27</v>
      </c>
      <c r="O5930" s="399"/>
      <c r="P5930" s="399"/>
      <c r="Q5930" s="399"/>
      <c r="R5930" s="399"/>
      <c r="S5930" s="399"/>
      <c r="T5930" s="399" t="s">
        <v>125</v>
      </c>
      <c r="U5930" s="401">
        <f t="shared" si="19187"/>
        <v>0</v>
      </c>
      <c r="V5930" s="399" t="s">
        <v>125</v>
      </c>
      <c r="W5930" s="399">
        <f t="shared" si="19188"/>
        <v>27</v>
      </c>
      <c r="X5930" s="399" t="s">
        <v>125</v>
      </c>
      <c r="Y5930" s="389">
        <f t="shared" ref="Y5930" si="19193">D5915</f>
        <v>3</v>
      </c>
      <c r="Z5930" s="400" t="s">
        <v>176</v>
      </c>
      <c r="AA5930" s="402">
        <f t="shared" si="19190"/>
        <v>0</v>
      </c>
      <c r="AB5930" s="403"/>
    </row>
    <row r="5931" spans="1:28">
      <c r="A5931" s="384" t="str">
        <f t="shared" ref="A5931:B5931" si="19194">A5905</f>
        <v>Lantai 3</v>
      </c>
      <c r="B5931" s="385">
        <f t="shared" si="19194"/>
        <v>55</v>
      </c>
      <c r="C5931" s="393" t="s">
        <v>213</v>
      </c>
      <c r="D5931" s="398">
        <f>VLOOKUP(D5905,'Detail Balok'!$C$10:$BJ$140,56,FALSE)</f>
        <v>0</v>
      </c>
      <c r="E5931" s="388" t="s">
        <v>16</v>
      </c>
      <c r="F5931" s="388">
        <f>VLOOKUP(D5905,'Detail Balok'!$C$10:$BJ$140,58,FALSE)</f>
        <v>0</v>
      </c>
      <c r="G5931" s="405" t="s">
        <v>157</v>
      </c>
      <c r="H5931" s="395">
        <f>VLOOKUP(D5905,'Detail Balok'!$C$10:$BJ$140,60,FALSE)</f>
        <v>100</v>
      </c>
      <c r="I5931" s="388"/>
      <c r="J5931" s="399">
        <f t="shared" ref="J5931" si="19195">(D5906-2*F$5)/1000</f>
        <v>0.12</v>
      </c>
      <c r="K5931" s="400" t="s">
        <v>204</v>
      </c>
      <c r="L5931" s="399">
        <f t="shared" si="19185"/>
        <v>0.15</v>
      </c>
      <c r="M5931" s="399" t="s">
        <v>176</v>
      </c>
      <c r="N5931" s="399">
        <f t="shared" si="19186"/>
        <v>0.27</v>
      </c>
      <c r="O5931" s="399"/>
      <c r="P5931" s="399"/>
      <c r="Q5931" s="399"/>
      <c r="R5931" s="399"/>
      <c r="S5931" s="399"/>
      <c r="T5931" s="399" t="s">
        <v>125</v>
      </c>
      <c r="U5931" s="401">
        <f t="shared" si="19187"/>
        <v>0</v>
      </c>
      <c r="V5931" s="399" t="s">
        <v>125</v>
      </c>
      <c r="W5931" s="399">
        <f t="shared" si="19188"/>
        <v>14</v>
      </c>
      <c r="X5931" s="399" t="s">
        <v>125</v>
      </c>
      <c r="Y5931" s="389">
        <f t="shared" ref="Y5931" si="19196">D5915</f>
        <v>3</v>
      </c>
      <c r="Z5931" s="400" t="s">
        <v>176</v>
      </c>
      <c r="AA5931" s="402">
        <f t="shared" si="19190"/>
        <v>0</v>
      </c>
      <c r="AB5931" s="403"/>
    </row>
    <row r="5932" spans="1:28">
      <c r="A5932" s="391"/>
      <c r="B5932" s="392"/>
      <c r="C5932" s="392"/>
      <c r="D5932" s="394"/>
      <c r="E5932" s="388"/>
      <c r="F5932" s="388"/>
      <c r="G5932" s="388"/>
      <c r="H5932" s="395"/>
      <c r="I5932" s="388"/>
      <c r="J5932" s="402"/>
      <c r="K5932" s="388"/>
      <c r="L5932" s="388"/>
      <c r="M5932" s="388"/>
      <c r="N5932" s="388"/>
      <c r="O5932" s="388"/>
      <c r="P5932" s="388"/>
      <c r="Q5932" s="388"/>
      <c r="R5932" s="388"/>
      <c r="S5932" s="388"/>
      <c r="T5932" s="388"/>
      <c r="U5932" s="388"/>
      <c r="V5932" s="388"/>
      <c r="W5932" s="388"/>
      <c r="X5932" s="388"/>
      <c r="Y5932" s="389"/>
      <c r="Z5932" s="388"/>
      <c r="AA5932" s="402"/>
      <c r="AB5932" s="403"/>
    </row>
    <row r="5933" spans="1:28" ht="15.75" thickBot="1">
      <c r="A5933" s="406"/>
      <c r="B5933" s="407"/>
      <c r="C5933" s="407"/>
      <c r="D5933" s="408"/>
      <c r="E5933" s="409"/>
      <c r="F5933" s="409"/>
      <c r="G5933" s="409"/>
      <c r="H5933" s="410"/>
      <c r="I5933" s="409"/>
      <c r="J5933" s="409"/>
      <c r="K5933" s="409"/>
      <c r="L5933" s="409"/>
      <c r="M5933" s="409"/>
      <c r="N5933" s="409"/>
      <c r="O5933" s="409"/>
      <c r="P5933" s="409"/>
      <c r="Q5933" s="409"/>
      <c r="R5933" s="409"/>
      <c r="S5933" s="409"/>
      <c r="T5933" s="409"/>
      <c r="U5933" s="409"/>
      <c r="V5933" s="409"/>
      <c r="W5933" s="409"/>
      <c r="X5933" s="409"/>
      <c r="Y5933" s="411"/>
      <c r="Z5933" s="409"/>
      <c r="AA5933" s="412"/>
      <c r="AB5933" s="413"/>
    </row>
    <row r="5934" spans="1:28">
      <c r="A5934" s="377"/>
      <c r="B5934" s="378"/>
      <c r="C5934" s="378"/>
      <c r="D5934" s="379"/>
      <c r="E5934" s="380"/>
      <c r="F5934" s="380"/>
      <c r="G5934" s="380"/>
      <c r="H5934" s="381"/>
      <c r="I5934" s="380"/>
      <c r="J5934" s="380"/>
      <c r="K5934" s="380"/>
      <c r="L5934" s="380"/>
      <c r="M5934" s="380"/>
      <c r="N5934" s="380"/>
      <c r="O5934" s="380"/>
      <c r="P5934" s="380"/>
      <c r="Q5934" s="380"/>
      <c r="R5934" s="380"/>
      <c r="S5934" s="380"/>
      <c r="T5934" s="380"/>
      <c r="U5934" s="380"/>
      <c r="V5934" s="380"/>
      <c r="W5934" s="380"/>
      <c r="X5934" s="380"/>
      <c r="Y5934" s="382"/>
      <c r="Z5934" s="380"/>
      <c r="AA5934" s="380"/>
      <c r="AB5934" s="383"/>
    </row>
    <row r="5935" spans="1:28">
      <c r="A5935" s="384" t="str">
        <f t="shared" ref="A5935:A5965" si="19197">A5905</f>
        <v>Lantai 3</v>
      </c>
      <c r="B5935" s="385">
        <f t="shared" ref="B5935:B5965" si="19198">B5905+1</f>
        <v>56</v>
      </c>
      <c r="C5935" s="386" t="str">
        <f t="shared" ref="C5935" si="19199">CONCATENATE(A5935," no. ",B5935)</f>
        <v>Lantai 3 no. 56</v>
      </c>
      <c r="D5935" s="2562" t="str">
        <f>VLOOKUP(C5935,'Data Panjang Balok'!$C$9:$N$254,2,FALSE)</f>
        <v>CL24-1</v>
      </c>
      <c r="E5935" s="2576"/>
      <c r="F5935" s="2576"/>
      <c r="G5935" s="2576"/>
      <c r="H5935" s="2577"/>
      <c r="I5935" s="387"/>
      <c r="J5935" s="388"/>
      <c r="K5935" s="388"/>
      <c r="L5935" s="388"/>
      <c r="M5935" s="388"/>
      <c r="N5935" s="388"/>
      <c r="O5935" s="388"/>
      <c r="P5935" s="388"/>
      <c r="Q5935" s="388"/>
      <c r="R5935" s="388"/>
      <c r="S5935" s="388"/>
      <c r="T5935" s="388"/>
      <c r="U5935" s="388"/>
      <c r="V5935" s="388"/>
      <c r="W5935" s="388"/>
      <c r="X5935" s="388"/>
      <c r="Y5935" s="389"/>
      <c r="Z5935" s="388"/>
      <c r="AA5935" s="388"/>
      <c r="AB5935" s="390"/>
    </row>
    <row r="5936" spans="1:28">
      <c r="A5936" s="391"/>
      <c r="B5936" s="392"/>
      <c r="C5936" s="393" t="s">
        <v>118</v>
      </c>
      <c r="D5936" s="2578">
        <f>VLOOKUP(D5935,'Detail Balok'!$C$10:$AU$140,2,FALSE)</f>
        <v>200</v>
      </c>
      <c r="E5936" s="2579"/>
      <c r="F5936" s="388" t="s">
        <v>125</v>
      </c>
      <c r="G5936" s="2579">
        <f>VLOOKUP(D5935,'Detail Balok'!$C$10:$AU$140,3,FALSE)</f>
        <v>400</v>
      </c>
      <c r="H5936" s="2580"/>
      <c r="I5936" s="388"/>
      <c r="J5936" s="396"/>
      <c r="K5936" s="396"/>
      <c r="L5936" s="396"/>
      <c r="M5936" s="396"/>
      <c r="N5936" s="396"/>
      <c r="O5936" s="396"/>
      <c r="P5936" s="396"/>
      <c r="Q5936" s="396"/>
      <c r="R5936" s="396"/>
      <c r="S5936" s="396"/>
      <c r="T5936" s="396"/>
      <c r="U5936" s="388"/>
      <c r="V5936" s="396"/>
      <c r="W5936" s="388"/>
      <c r="X5936" s="396"/>
      <c r="Y5936" s="389"/>
      <c r="Z5936" s="396"/>
      <c r="AA5936" s="388"/>
      <c r="AB5936" s="390"/>
    </row>
    <row r="5937" spans="1:28">
      <c r="A5937" s="391"/>
      <c r="B5937" s="392"/>
      <c r="C5937" s="393" t="s">
        <v>198</v>
      </c>
      <c r="D5937" s="2562">
        <f>VLOOKUP(C5935,'Data Panjang Balok'!$C$9:$N$254,4,FALSE)</f>
        <v>1250</v>
      </c>
      <c r="E5937" s="2563"/>
      <c r="F5937" s="2563"/>
      <c r="G5937" s="2563"/>
      <c r="H5937" s="2564"/>
      <c r="I5937" s="397"/>
      <c r="J5937" s="396"/>
      <c r="K5937" s="396"/>
      <c r="L5937" s="396"/>
      <c r="M5937" s="396"/>
      <c r="N5937" s="396"/>
      <c r="O5937" s="396"/>
      <c r="P5937" s="396"/>
      <c r="Q5937" s="396"/>
      <c r="R5937" s="396"/>
      <c r="S5937" s="396"/>
      <c r="T5937" s="396"/>
      <c r="U5937" s="388"/>
      <c r="V5937" s="396"/>
      <c r="W5937" s="388"/>
      <c r="X5937" s="396"/>
      <c r="Y5937" s="389"/>
      <c r="Z5937" s="396"/>
      <c r="AA5937" s="388"/>
      <c r="AB5937" s="390"/>
    </row>
    <row r="5938" spans="1:28">
      <c r="A5938" s="391"/>
      <c r="B5938" s="392"/>
      <c r="C5938" s="393" t="s">
        <v>199</v>
      </c>
      <c r="D5938" s="2562">
        <f>VLOOKUP(C5935,'Data Panjang Balok'!$C$9:$N$254,7,FALSE)</f>
        <v>1250</v>
      </c>
      <c r="E5938" s="2563"/>
      <c r="F5938" s="2563"/>
      <c r="G5938" s="2563"/>
      <c r="H5938" s="2564"/>
      <c r="I5938" s="397"/>
      <c r="J5938" s="396"/>
      <c r="K5938" s="396"/>
      <c r="L5938" s="396"/>
      <c r="M5938" s="396"/>
      <c r="N5938" s="396"/>
      <c r="O5938" s="396"/>
      <c r="P5938" s="396"/>
      <c r="Q5938" s="396"/>
      <c r="R5938" s="396"/>
      <c r="S5938" s="396"/>
      <c r="T5938" s="396"/>
      <c r="U5938" s="388"/>
      <c r="V5938" s="396"/>
      <c r="W5938" s="388"/>
      <c r="X5938" s="396"/>
      <c r="Y5938" s="389"/>
      <c r="Z5938" s="396"/>
      <c r="AA5938" s="388"/>
      <c r="AB5938" s="390"/>
    </row>
    <row r="5939" spans="1:28">
      <c r="A5939" s="391"/>
      <c r="B5939" s="392"/>
      <c r="C5939" s="393" t="s">
        <v>200</v>
      </c>
      <c r="D5939" s="2562">
        <f>VLOOKUP(C5935,'Data Panjang Balok'!$C$9:$N$254,9,FALSE)</f>
        <v>0</v>
      </c>
      <c r="E5939" s="2563"/>
      <c r="F5939" s="2563"/>
      <c r="G5939" s="2563"/>
      <c r="H5939" s="2564"/>
      <c r="I5939" s="397"/>
      <c r="J5939" s="396"/>
      <c r="K5939" s="396"/>
      <c r="L5939" s="396"/>
      <c r="M5939" s="396"/>
      <c r="N5939" s="396"/>
      <c r="O5939" s="396"/>
      <c r="P5939" s="396"/>
      <c r="Q5939" s="396"/>
      <c r="R5939" s="396"/>
      <c r="S5939" s="396"/>
      <c r="T5939" s="396"/>
      <c r="U5939" s="388"/>
      <c r="V5939" s="396"/>
      <c r="W5939" s="388"/>
      <c r="X5939" s="396"/>
      <c r="Y5939" s="389"/>
      <c r="Z5939" s="396"/>
      <c r="AA5939" s="388"/>
      <c r="AB5939" s="390"/>
    </row>
    <row r="5940" spans="1:28">
      <c r="A5940" s="391"/>
      <c r="B5940" s="392"/>
      <c r="C5940" s="393" t="s">
        <v>201</v>
      </c>
      <c r="D5940" s="2562">
        <f>VLOOKUP(C5935,'Data Panjang Balok'!$C$9:$N$254,10,FALSE)</f>
        <v>0</v>
      </c>
      <c r="E5940" s="2563"/>
      <c r="F5940" s="2563"/>
      <c r="G5940" s="2563"/>
      <c r="H5940" s="2564"/>
      <c r="I5940" s="397"/>
      <c r="J5940" s="396"/>
      <c r="K5940" s="396"/>
      <c r="L5940" s="396"/>
      <c r="M5940" s="396"/>
      <c r="N5940" s="396"/>
      <c r="O5940" s="396"/>
      <c r="P5940" s="396"/>
      <c r="Q5940" s="396"/>
      <c r="R5940" s="396"/>
      <c r="S5940" s="396"/>
      <c r="T5940" s="396"/>
      <c r="U5940" s="388"/>
      <c r="V5940" s="396"/>
      <c r="W5940" s="388"/>
      <c r="X5940" s="396"/>
      <c r="Y5940" s="389"/>
      <c r="Z5940" s="396"/>
      <c r="AA5940" s="388"/>
      <c r="AB5940" s="390"/>
    </row>
    <row r="5941" spans="1:28">
      <c r="A5941" s="391"/>
      <c r="B5941" s="392"/>
      <c r="C5941" s="393" t="s">
        <v>48</v>
      </c>
      <c r="D5941" s="2562">
        <f>VLOOKUP(C5935,'Data Panjang Balok'!$C$9:$N$254,3,FALSE)</f>
        <v>1</v>
      </c>
      <c r="E5941" s="2563"/>
      <c r="F5941" s="2563"/>
      <c r="G5941" s="2563"/>
      <c r="H5941" s="2564"/>
      <c r="I5941" s="397"/>
      <c r="J5941" s="396"/>
      <c r="K5941" s="396"/>
      <c r="L5941" s="396"/>
      <c r="M5941" s="396"/>
      <c r="N5941" s="396"/>
      <c r="O5941" s="396"/>
      <c r="P5941" s="396"/>
      <c r="Q5941" s="396"/>
      <c r="R5941" s="396"/>
      <c r="S5941" s="396"/>
      <c r="T5941" s="396"/>
      <c r="U5941" s="388"/>
      <c r="V5941" s="396"/>
      <c r="W5941" s="388"/>
      <c r="X5941" s="396"/>
      <c r="Y5941" s="389"/>
      <c r="Z5941" s="396"/>
      <c r="AA5941" s="388"/>
      <c r="AB5941" s="390"/>
    </row>
    <row r="5942" spans="1:28">
      <c r="A5942" s="384" t="str">
        <f t="shared" ref="A5942:B5942" si="19200">A5935</f>
        <v>Lantai 3</v>
      </c>
      <c r="B5942" s="385">
        <f t="shared" si="19200"/>
        <v>56</v>
      </c>
      <c r="C5942" s="393" t="s">
        <v>202</v>
      </c>
      <c r="D5942" s="398">
        <f>VLOOKUP(D5935,'Detail Balok'!$C$10:$AU$140,4,FALSE)</f>
        <v>3</v>
      </c>
      <c r="E5942" s="388" t="s">
        <v>16</v>
      </c>
      <c r="F5942" s="388">
        <f>VLOOKUP(D5935,'Detail Balok'!$C$10:$AU$140,6,FALSE)</f>
        <v>16</v>
      </c>
      <c r="G5942" s="388"/>
      <c r="H5942" s="395"/>
      <c r="I5942" s="388" t="s">
        <v>203</v>
      </c>
      <c r="J5942" s="399">
        <f t="shared" ref="J5942" si="19201">+D5937/4/1000</f>
        <v>0.3125</v>
      </c>
      <c r="K5942" s="400" t="s">
        <v>204</v>
      </c>
      <c r="L5942" s="399">
        <f t="shared" ref="L5942" si="19202">MAX(VLOOKUP(F5942,N$6:P$15,3,FALSE)/1000,2/3*D5939/1000)+F$16*F5942/1000</f>
        <v>0.192</v>
      </c>
      <c r="M5942" s="399" t="s">
        <v>176</v>
      </c>
      <c r="N5942" s="399">
        <f t="shared" ref="N5942:N5944" si="19203">J5942+L5942</f>
        <v>0.50449999999999995</v>
      </c>
      <c r="O5942" s="399" t="s">
        <v>204</v>
      </c>
      <c r="P5942" s="389">
        <f t="shared" ref="P5942" si="19204">D5942-D5943</f>
        <v>0</v>
      </c>
      <c r="Q5942" s="399" t="s">
        <v>125</v>
      </c>
      <c r="R5942" s="399">
        <f t="shared" ref="R5942" si="19205">IF(P5942&gt;0,$F$18*F5942/1000,0)</f>
        <v>0</v>
      </c>
      <c r="S5942" s="399" t="s">
        <v>205</v>
      </c>
      <c r="T5942" s="399" t="s">
        <v>125</v>
      </c>
      <c r="U5942" s="401">
        <f t="shared" ref="U5942:U5944" si="19206">0.006165*F5942^2</f>
        <v>1.5782400000000001</v>
      </c>
      <c r="V5942" s="399"/>
      <c r="W5942" s="399"/>
      <c r="X5942" s="399" t="s">
        <v>125</v>
      </c>
      <c r="Y5942" s="389">
        <f t="shared" ref="Y5942" si="19207">D5941</f>
        <v>1</v>
      </c>
      <c r="Z5942" s="400" t="s">
        <v>176</v>
      </c>
      <c r="AA5942" s="402">
        <f t="shared" ref="AA5942" si="19208">IF(AA5945=0,(D5942*N5942+P5942*R5942)*U5942*Y5942,0)</f>
        <v>0</v>
      </c>
      <c r="AB5942" s="403"/>
    </row>
    <row r="5943" spans="1:28">
      <c r="A5943" s="384" t="str">
        <f t="shared" ref="A5943:B5943" si="19209">A5935</f>
        <v>Lantai 3</v>
      </c>
      <c r="B5943" s="385">
        <f t="shared" si="19209"/>
        <v>56</v>
      </c>
      <c r="C5943" s="393" t="s">
        <v>206</v>
      </c>
      <c r="D5943" s="398">
        <f>VLOOKUP(D5935,'Detail Balok'!$C$10:$AU$140,7,FALSE)</f>
        <v>3</v>
      </c>
      <c r="E5943" s="388" t="s">
        <v>16</v>
      </c>
      <c r="F5943" s="388">
        <f>VLOOKUP(D5935,'Detail Balok'!$C$10:$AU$140,9,FALSE)</f>
        <v>16</v>
      </c>
      <c r="G5943" s="388"/>
      <c r="H5943" s="395"/>
      <c r="I5943" s="388" t="s">
        <v>203</v>
      </c>
      <c r="J5943" s="399">
        <f t="shared" ref="J5943" si="19210">+D5937/2/1000</f>
        <v>0.625</v>
      </c>
      <c r="K5943" s="400" t="s">
        <v>204</v>
      </c>
      <c r="L5943" s="399"/>
      <c r="M5943" s="399" t="s">
        <v>176</v>
      </c>
      <c r="N5943" s="399">
        <f t="shared" si="19203"/>
        <v>0.625</v>
      </c>
      <c r="O5943" s="399" t="s">
        <v>204</v>
      </c>
      <c r="P5943" s="389">
        <f t="shared" ref="P5943" si="19211">MAX(D5943-D5942,D5943-D5944)</f>
        <v>0</v>
      </c>
      <c r="Q5943" s="399" t="s">
        <v>125</v>
      </c>
      <c r="R5943" s="399">
        <f t="shared" ref="R5943" si="19212">IF(P5943&gt;0,2*(1-2*$F$19-1/2)*D5938/1000,0)</f>
        <v>0</v>
      </c>
      <c r="S5943" s="399" t="s">
        <v>205</v>
      </c>
      <c r="T5943" s="399" t="s">
        <v>125</v>
      </c>
      <c r="U5943" s="401">
        <f t="shared" si="19206"/>
        <v>1.5782400000000001</v>
      </c>
      <c r="V5943" s="399"/>
      <c r="W5943" s="399"/>
      <c r="X5943" s="399" t="s">
        <v>125</v>
      </c>
      <c r="Y5943" s="389">
        <f t="shared" ref="Y5943" si="19213">D5941</f>
        <v>1</v>
      </c>
      <c r="Z5943" s="400" t="s">
        <v>176</v>
      </c>
      <c r="AA5943" s="402">
        <f t="shared" ref="AA5943" si="19214">IF(AA5945=0,(D5943*N5943+P5943*R5943)*U5943*Y5943,0)</f>
        <v>0</v>
      </c>
      <c r="AB5943" s="403"/>
    </row>
    <row r="5944" spans="1:28">
      <c r="A5944" s="384" t="str">
        <f t="shared" ref="A5944:B5944" si="19215">A5935</f>
        <v>Lantai 3</v>
      </c>
      <c r="B5944" s="385">
        <f t="shared" si="19215"/>
        <v>56</v>
      </c>
      <c r="C5944" s="393" t="s">
        <v>202</v>
      </c>
      <c r="D5944" s="398">
        <f>VLOOKUP(D5935,'Detail Balok'!$C$10:$AU$140,10,FALSE)</f>
        <v>3</v>
      </c>
      <c r="E5944" s="388" t="s">
        <v>16</v>
      </c>
      <c r="F5944" s="388">
        <f>VLOOKUP(D5935,'Detail Balok'!$C$10:$AU$140,12,FALSE)</f>
        <v>16</v>
      </c>
      <c r="G5944" s="388"/>
      <c r="H5944" s="395"/>
      <c r="I5944" s="388" t="s">
        <v>203</v>
      </c>
      <c r="J5944" s="399">
        <f t="shared" ref="J5944" si="19216">+D5937/4/1000</f>
        <v>0.3125</v>
      </c>
      <c r="K5944" s="400" t="s">
        <v>204</v>
      </c>
      <c r="L5944" s="399">
        <f t="shared" ref="L5944" si="19217">MAX(VLOOKUP(F5944,N$6:P$15,3,FALSE)/1000,2/3*D5939/1000)+F$16*F5944/1000</f>
        <v>0.192</v>
      </c>
      <c r="M5944" s="399" t="s">
        <v>176</v>
      </c>
      <c r="N5944" s="399">
        <f t="shared" si="19203"/>
        <v>0.50449999999999995</v>
      </c>
      <c r="O5944" s="399" t="s">
        <v>204</v>
      </c>
      <c r="P5944" s="389">
        <f t="shared" ref="P5944" si="19218">D5944-D5943</f>
        <v>0</v>
      </c>
      <c r="Q5944" s="399" t="s">
        <v>125</v>
      </c>
      <c r="R5944" s="399">
        <f t="shared" ref="R5944" si="19219">IF(P5944&gt;0,$F$18*F5944/1000,0)</f>
        <v>0</v>
      </c>
      <c r="S5944" s="399" t="s">
        <v>205</v>
      </c>
      <c r="T5944" s="399" t="s">
        <v>125</v>
      </c>
      <c r="U5944" s="401">
        <f t="shared" si="19206"/>
        <v>1.5782400000000001</v>
      </c>
      <c r="V5944" s="399"/>
      <c r="W5944" s="399"/>
      <c r="X5944" s="399" t="s">
        <v>125</v>
      </c>
      <c r="Y5944" s="389">
        <f t="shared" ref="Y5944" si="19220">D5941</f>
        <v>1</v>
      </c>
      <c r="Z5944" s="400" t="s">
        <v>176</v>
      </c>
      <c r="AA5944" s="402">
        <f t="shared" ref="AA5944" si="19221">IF(AA5945=0,(D5944*N5944+P5944*R5944)*U5944*Y5944,0)</f>
        <v>0</v>
      </c>
      <c r="AB5944" s="403"/>
    </row>
    <row r="5945" spans="1:28">
      <c r="A5945" s="384" t="str">
        <f t="shared" ref="A5945:B5945" si="19222">A5935</f>
        <v>Lantai 3</v>
      </c>
      <c r="B5945" s="385">
        <f t="shared" si="19222"/>
        <v>56</v>
      </c>
      <c r="C5945" s="393"/>
      <c r="D5945" s="398">
        <f t="shared" ref="D5945" si="19223">IF(AND(D5942=D5943,D5943=D5944,D5942=D5944),D5942,0)</f>
        <v>3</v>
      </c>
      <c r="E5945" s="388" t="s">
        <v>16</v>
      </c>
      <c r="F5945" s="388">
        <f t="shared" ref="F5945" si="19224">IF(AND(F5942=F5943,F5942=F5944,F5943=F5944),F5942,0)</f>
        <v>16</v>
      </c>
      <c r="G5945" s="388"/>
      <c r="H5945" s="395"/>
      <c r="I5945" s="388"/>
      <c r="J5945" s="396"/>
      <c r="K5945" s="396"/>
      <c r="L5945" s="404" t="s">
        <v>207</v>
      </c>
      <c r="M5945" s="399" t="s">
        <v>176</v>
      </c>
      <c r="N5945" s="399">
        <f t="shared" ref="N5945" si="19225">IF(AND(D5942=D5943,D5942=D5944,D5943=D5944,F5942=F5943,F5942=F5944,F5943=F5944),SUM(N5942:N5944),0)</f>
        <v>1.6339999999999999</v>
      </c>
      <c r="O5945" s="399" t="s">
        <v>204</v>
      </c>
      <c r="P5945" s="389">
        <f t="shared" ref="P5945" si="19226">IF(N5945&gt;12,ROUNDDOWN(N5945/12,0),0)</f>
        <v>0</v>
      </c>
      <c r="Q5945" s="399" t="s">
        <v>125</v>
      </c>
      <c r="R5945" s="399">
        <f t="shared" ref="R5945" si="19227">IF(P5945&gt;0,MAX(VLOOKUP(F5945,$D$6:$G$15,3,FALSE),600),0)/1000</f>
        <v>0</v>
      </c>
      <c r="S5945" s="396"/>
      <c r="T5945" s="396" t="s">
        <v>125</v>
      </c>
      <c r="U5945" s="401">
        <f t="shared" ref="U5945" si="19228">U5944</f>
        <v>1.5782400000000001</v>
      </c>
      <c r="V5945" s="396" t="s">
        <v>125</v>
      </c>
      <c r="W5945" s="399">
        <f t="shared" ref="W5945" si="19229">D5945</f>
        <v>3</v>
      </c>
      <c r="X5945" s="399" t="s">
        <v>125</v>
      </c>
      <c r="Y5945" s="389">
        <f t="shared" ref="Y5945" si="19230">Y5944</f>
        <v>1</v>
      </c>
      <c r="Z5945" s="400" t="s">
        <v>176</v>
      </c>
      <c r="AA5945" s="402">
        <f t="shared" ref="AA5945" si="19231">(N5945+P5945*R5945/1000)*U5945*W5945*Y5945</f>
        <v>7.7365324800000002</v>
      </c>
      <c r="AB5945" s="390"/>
    </row>
    <row r="5946" spans="1:28">
      <c r="A5946" s="384"/>
      <c r="B5946" s="385"/>
      <c r="C5946" s="393"/>
      <c r="D5946" s="398"/>
      <c r="E5946" s="388"/>
      <c r="F5946" s="388"/>
      <c r="G5946" s="388"/>
      <c r="H5946" s="395"/>
      <c r="I5946" s="388"/>
      <c r="J5946" s="396"/>
      <c r="K5946" s="396"/>
      <c r="L5946" s="404"/>
      <c r="M5946" s="399"/>
      <c r="N5946" s="399"/>
      <c r="O5946" s="396"/>
      <c r="P5946" s="389"/>
      <c r="Q5946" s="396"/>
      <c r="R5946" s="396"/>
      <c r="S5946" s="396"/>
      <c r="T5946" s="396"/>
      <c r="U5946" s="401"/>
      <c r="V5946" s="396"/>
      <c r="W5946" s="399"/>
      <c r="X5946" s="396"/>
      <c r="Y5946" s="389"/>
      <c r="Z5946" s="396"/>
      <c r="AA5946" s="388"/>
      <c r="AB5946" s="390"/>
    </row>
    <row r="5947" spans="1:28">
      <c r="A5947" s="384" t="str">
        <f t="shared" ref="A5947:B5947" si="19232">A5935</f>
        <v>Lantai 3</v>
      </c>
      <c r="B5947" s="385">
        <f t="shared" si="19232"/>
        <v>56</v>
      </c>
      <c r="C5947" s="393" t="s">
        <v>208</v>
      </c>
      <c r="D5947" s="398">
        <f>VLOOKUP(D5935,'Detail Balok'!$C$10:$AU$140,13,FALSE)</f>
        <v>0</v>
      </c>
      <c r="E5947" s="388" t="s">
        <v>16</v>
      </c>
      <c r="F5947" s="388">
        <f>VLOOKUP(D5935,'Detail Balok'!$C$10:$AU$140,15,FALSE)</f>
        <v>8</v>
      </c>
      <c r="G5947" s="388"/>
      <c r="H5947" s="395"/>
      <c r="I5947" s="388"/>
      <c r="J5947" s="399">
        <f t="shared" ref="J5947" si="19233">+D5937/1000</f>
        <v>1.25</v>
      </c>
      <c r="K5947" s="400" t="s">
        <v>204</v>
      </c>
      <c r="L5947" s="399">
        <f t="shared" ref="L5947" si="19234">2*$F$16*F5947/1000</f>
        <v>0.192</v>
      </c>
      <c r="M5947" s="399" t="s">
        <v>176</v>
      </c>
      <c r="N5947" s="399">
        <f t="shared" ref="N5947" si="19235">J5947+L5947</f>
        <v>1.4419999999999999</v>
      </c>
      <c r="O5947" s="399" t="s">
        <v>204</v>
      </c>
      <c r="P5947" s="389">
        <f t="shared" ref="P5947" si="19236">IF(N5947&gt;12,ROUNDDOWN(N5947/12,0),0)</f>
        <v>0</v>
      </c>
      <c r="Q5947" s="399" t="s">
        <v>125</v>
      </c>
      <c r="R5947" s="399">
        <f t="shared" ref="R5947" si="19237">IF(P5947&gt;0,MAX(VLOOKUP(F5947,$D$6:$G$15,3,FALSE),600),0)/1000</f>
        <v>0</v>
      </c>
      <c r="S5947" s="399"/>
      <c r="T5947" s="399" t="s">
        <v>125</v>
      </c>
      <c r="U5947" s="401">
        <f t="shared" ref="U5947" si="19238">0.006165*F5947^2</f>
        <v>0.39456000000000002</v>
      </c>
      <c r="V5947" s="399" t="s">
        <v>125</v>
      </c>
      <c r="W5947" s="399">
        <f t="shared" ref="W5947" si="19239">+D5947</f>
        <v>0</v>
      </c>
      <c r="X5947" s="399" t="s">
        <v>125</v>
      </c>
      <c r="Y5947" s="389">
        <f t="shared" ref="Y5947" si="19240">D5941</f>
        <v>1</v>
      </c>
      <c r="Z5947" s="400" t="s">
        <v>176</v>
      </c>
      <c r="AA5947" s="402">
        <f t="shared" ref="AA5947" si="19241">(N5947+P5947*R5947/1000)*U5947*W5947*Y5947</f>
        <v>0</v>
      </c>
      <c r="AB5947" s="403"/>
    </row>
    <row r="5948" spans="1:28">
      <c r="A5948" s="384"/>
      <c r="B5948" s="385"/>
      <c r="C5948" s="393"/>
      <c r="D5948" s="398"/>
      <c r="E5948" s="388"/>
      <c r="F5948" s="388"/>
      <c r="G5948" s="388"/>
      <c r="H5948" s="395"/>
      <c r="I5948" s="388"/>
      <c r="J5948" s="399"/>
      <c r="K5948" s="400"/>
      <c r="L5948" s="399"/>
      <c r="M5948" s="399"/>
      <c r="N5948" s="399"/>
      <c r="O5948" s="399"/>
      <c r="P5948" s="389"/>
      <c r="Q5948" s="399"/>
      <c r="R5948" s="399"/>
      <c r="S5948" s="399"/>
      <c r="T5948" s="399"/>
      <c r="U5948" s="401"/>
      <c r="V5948" s="399"/>
      <c r="W5948" s="399"/>
      <c r="X5948" s="399"/>
      <c r="Y5948" s="389"/>
      <c r="Z5948" s="400"/>
      <c r="AA5948" s="402"/>
      <c r="AB5948" s="403"/>
    </row>
    <row r="5949" spans="1:28">
      <c r="A5949" s="384"/>
      <c r="B5949" s="385"/>
      <c r="C5949" s="393"/>
      <c r="D5949" s="398"/>
      <c r="E5949" s="388"/>
      <c r="F5949" s="388"/>
      <c r="G5949" s="388"/>
      <c r="H5949" s="395"/>
      <c r="I5949" s="388"/>
      <c r="J5949" s="396"/>
      <c r="K5949" s="396"/>
      <c r="L5949" s="396"/>
      <c r="M5949" s="396"/>
      <c r="N5949" s="396"/>
      <c r="O5949" s="396"/>
      <c r="P5949" s="389"/>
      <c r="Q5949" s="396"/>
      <c r="R5949" s="396"/>
      <c r="S5949" s="396"/>
      <c r="T5949" s="396"/>
      <c r="U5949" s="401"/>
      <c r="V5949" s="396"/>
      <c r="W5949" s="399"/>
      <c r="X5949" s="396"/>
      <c r="Y5949" s="389"/>
      <c r="Z5949" s="396"/>
      <c r="AA5949" s="388"/>
      <c r="AB5949" s="390"/>
    </row>
    <row r="5950" spans="1:28">
      <c r="A5950" s="384" t="str">
        <f t="shared" ref="A5950:B5950" si="19242">A5935</f>
        <v>Lantai 3</v>
      </c>
      <c r="B5950" s="385">
        <f t="shared" si="19242"/>
        <v>56</v>
      </c>
      <c r="C5950" s="393" t="s">
        <v>209</v>
      </c>
      <c r="D5950" s="398">
        <f>VLOOKUP(D5935,'Detail Balok'!$C$10:$AU$140,22,FALSE)</f>
        <v>3</v>
      </c>
      <c r="E5950" s="388" t="s">
        <v>16</v>
      </c>
      <c r="F5950" s="388">
        <f>VLOOKUP(D5935,'Detail Balok'!$C$10:$AU$140,24,FALSE)</f>
        <v>16</v>
      </c>
      <c r="G5950" s="388"/>
      <c r="H5950" s="395"/>
      <c r="I5950" s="388" t="s">
        <v>203</v>
      </c>
      <c r="J5950" s="399">
        <f t="shared" ref="J5950:J5952" si="19243">+J5942</f>
        <v>0.3125</v>
      </c>
      <c r="K5950" s="400" t="s">
        <v>204</v>
      </c>
      <c r="L5950" s="399">
        <f t="shared" ref="L5950" si="19244">MAX(VLOOKUP(F5950,N$6:P$15,3,FALSE)/1000,2/3*D5940/1000)+F$16*F5950/1000</f>
        <v>0.192</v>
      </c>
      <c r="M5950" s="399" t="s">
        <v>176</v>
      </c>
      <c r="N5950" s="399">
        <f t="shared" ref="N5950:N5952" si="19245">J5950+L5950</f>
        <v>0.50449999999999995</v>
      </c>
      <c r="O5950" s="399" t="s">
        <v>204</v>
      </c>
      <c r="P5950" s="389">
        <f t="shared" ref="P5950" si="19246">D5950-D5951</f>
        <v>0</v>
      </c>
      <c r="Q5950" s="399" t="s">
        <v>125</v>
      </c>
      <c r="R5950" s="399">
        <f t="shared" ref="R5950" si="19247">IF(P5950&gt;0,$F$18*F5950/1000,0)</f>
        <v>0</v>
      </c>
      <c r="S5950" s="399" t="s">
        <v>205</v>
      </c>
      <c r="T5950" s="399" t="s">
        <v>125</v>
      </c>
      <c r="U5950" s="401">
        <f t="shared" ref="U5950:U5952" si="19248">0.006165*F5950^2</f>
        <v>1.5782400000000001</v>
      </c>
      <c r="V5950" s="399"/>
      <c r="W5950" s="399"/>
      <c r="X5950" s="399" t="s">
        <v>125</v>
      </c>
      <c r="Y5950" s="389">
        <f t="shared" ref="Y5950" si="19249">D5941</f>
        <v>1</v>
      </c>
      <c r="Z5950" s="400" t="s">
        <v>176</v>
      </c>
      <c r="AA5950" s="402">
        <f t="shared" ref="AA5950" si="19250">IF(AA5953=0,(D5950*N5950+P5950*R5950)*U5950*Y5950,0)</f>
        <v>0</v>
      </c>
      <c r="AB5950" s="403"/>
    </row>
    <row r="5951" spans="1:28">
      <c r="A5951" s="384" t="str">
        <f t="shared" ref="A5951:B5951" si="19251">A5935</f>
        <v>Lantai 3</v>
      </c>
      <c r="B5951" s="385">
        <f t="shared" si="19251"/>
        <v>56</v>
      </c>
      <c r="C5951" s="393" t="s">
        <v>210</v>
      </c>
      <c r="D5951" s="398">
        <f>VLOOKUP(D5935,'Detail Balok'!$C$10:$AU$140,25,FALSE)</f>
        <v>3</v>
      </c>
      <c r="E5951" s="388" t="s">
        <v>16</v>
      </c>
      <c r="F5951" s="388">
        <f>VLOOKUP(D5935,'Detail Balok'!$C$10:$AU$140,27,FALSE)</f>
        <v>16</v>
      </c>
      <c r="G5951" s="388"/>
      <c r="H5951" s="395"/>
      <c r="I5951" s="388" t="s">
        <v>203</v>
      </c>
      <c r="J5951" s="399">
        <f t="shared" si="19243"/>
        <v>0.625</v>
      </c>
      <c r="K5951" s="400" t="s">
        <v>204</v>
      </c>
      <c r="L5951" s="399"/>
      <c r="M5951" s="399" t="s">
        <v>176</v>
      </c>
      <c r="N5951" s="399">
        <f t="shared" si="19245"/>
        <v>0.625</v>
      </c>
      <c r="O5951" s="399" t="s">
        <v>204</v>
      </c>
      <c r="P5951" s="389">
        <f t="shared" ref="P5951" si="19252">MAX(D5951-D5950,D5951-D5952)</f>
        <v>0</v>
      </c>
      <c r="Q5951" s="399" t="s">
        <v>125</v>
      </c>
      <c r="R5951" s="399">
        <f t="shared" ref="R5951" si="19253">IF(P5951&gt;0,2*(1-2*$F$19-1/2)*D5938/1000,0)</f>
        <v>0</v>
      </c>
      <c r="S5951" s="399" t="s">
        <v>205</v>
      </c>
      <c r="T5951" s="399" t="s">
        <v>125</v>
      </c>
      <c r="U5951" s="401">
        <f t="shared" si="19248"/>
        <v>1.5782400000000001</v>
      </c>
      <c r="V5951" s="399"/>
      <c r="W5951" s="399"/>
      <c r="X5951" s="399" t="s">
        <v>125</v>
      </c>
      <c r="Y5951" s="389">
        <f t="shared" ref="Y5951" si="19254">D5941</f>
        <v>1</v>
      </c>
      <c r="Z5951" s="400" t="s">
        <v>176</v>
      </c>
      <c r="AA5951" s="402">
        <f t="shared" ref="AA5951" si="19255">IF(AA5953=0,(D5951*N5951+P5951*R5951)*U5951*Y5951,0)</f>
        <v>0</v>
      </c>
      <c r="AB5951" s="403"/>
    </row>
    <row r="5952" spans="1:28">
      <c r="A5952" s="384" t="str">
        <f t="shared" ref="A5952:B5952" si="19256">A5935</f>
        <v>Lantai 3</v>
      </c>
      <c r="B5952" s="385">
        <f t="shared" si="19256"/>
        <v>56</v>
      </c>
      <c r="C5952" s="393" t="s">
        <v>209</v>
      </c>
      <c r="D5952" s="398">
        <f>VLOOKUP(D5935,'Detail Balok'!$C$10:$AU$140,28,FALSE)</f>
        <v>3</v>
      </c>
      <c r="E5952" s="388" t="s">
        <v>16</v>
      </c>
      <c r="F5952" s="388">
        <f>VLOOKUP(D5935,'Detail Balok'!$C$10:$AU$140,30,FALSE)</f>
        <v>16</v>
      </c>
      <c r="G5952" s="388"/>
      <c r="H5952" s="395"/>
      <c r="I5952" s="388" t="s">
        <v>203</v>
      </c>
      <c r="J5952" s="399">
        <f t="shared" si="19243"/>
        <v>0.3125</v>
      </c>
      <c r="K5952" s="400" t="s">
        <v>204</v>
      </c>
      <c r="L5952" s="399">
        <f t="shared" ref="L5952" si="19257">MAX(VLOOKUP(F5952,N$6:P$15,3,FALSE)/1000,2/3*D5940/1000)+F$16*F5952/1000</f>
        <v>0.192</v>
      </c>
      <c r="M5952" s="399" t="s">
        <v>176</v>
      </c>
      <c r="N5952" s="399">
        <f t="shared" si="19245"/>
        <v>0.50449999999999995</v>
      </c>
      <c r="O5952" s="399" t="s">
        <v>204</v>
      </c>
      <c r="P5952" s="389">
        <f t="shared" ref="P5952" si="19258">D5952-D5951</f>
        <v>0</v>
      </c>
      <c r="Q5952" s="399" t="s">
        <v>125</v>
      </c>
      <c r="R5952" s="399">
        <f t="shared" ref="R5952" si="19259">IF(P5952&gt;0,$F$18*F5952/1000,0)</f>
        <v>0</v>
      </c>
      <c r="S5952" s="399" t="s">
        <v>205</v>
      </c>
      <c r="T5952" s="399" t="s">
        <v>125</v>
      </c>
      <c r="U5952" s="401">
        <f t="shared" si="19248"/>
        <v>1.5782400000000001</v>
      </c>
      <c r="V5952" s="399"/>
      <c r="W5952" s="399"/>
      <c r="X5952" s="399" t="s">
        <v>125</v>
      </c>
      <c r="Y5952" s="389">
        <f t="shared" ref="Y5952" si="19260">D5941</f>
        <v>1</v>
      </c>
      <c r="Z5952" s="400" t="s">
        <v>176</v>
      </c>
      <c r="AA5952" s="402">
        <f t="shared" ref="AA5952" si="19261">IF(AA5953=0,(D5952*N5952+P5952*R5952)*U5952*Y5952,0)</f>
        <v>0</v>
      </c>
      <c r="AB5952" s="403"/>
    </row>
    <row r="5953" spans="1:28">
      <c r="A5953" s="384" t="str">
        <f t="shared" ref="A5953:B5953" si="19262">A5935</f>
        <v>Lantai 3</v>
      </c>
      <c r="B5953" s="385">
        <f t="shared" si="19262"/>
        <v>56</v>
      </c>
      <c r="C5953" s="393"/>
      <c r="D5953" s="398">
        <f t="shared" ref="D5953" si="19263">IF(AND(D5950=D5951,D5951=D5952,D5950=D5952),D5950,0)</f>
        <v>3</v>
      </c>
      <c r="E5953" s="388" t="s">
        <v>16</v>
      </c>
      <c r="F5953" s="388">
        <f t="shared" ref="F5953" si="19264">IF(AND(F5950=F5951,F5950=F5952,F5951=F5952),F5950,0)</f>
        <v>16</v>
      </c>
      <c r="G5953" s="388"/>
      <c r="H5953" s="395"/>
      <c r="I5953" s="388"/>
      <c r="J5953" s="396"/>
      <c r="K5953" s="396"/>
      <c r="L5953" s="404" t="s">
        <v>207</v>
      </c>
      <c r="M5953" s="399" t="s">
        <v>176</v>
      </c>
      <c r="N5953" s="399">
        <f t="shared" ref="N5953" si="19265">IF(AND(D5950=D5951,D5950=D5952,D5951=D5952,F5950=F5951,F5950=F5952,F5951=F5952),SUM(N5950:N5952),0)</f>
        <v>1.6339999999999999</v>
      </c>
      <c r="O5953" s="399" t="s">
        <v>204</v>
      </c>
      <c r="P5953" s="389">
        <f t="shared" ref="P5953" si="19266">IF(N5953&gt;12,ROUNDDOWN(N5953/12,0),0)</f>
        <v>0</v>
      </c>
      <c r="Q5953" s="399" t="s">
        <v>125</v>
      </c>
      <c r="R5953" s="399">
        <f t="shared" ref="R5953" si="19267">IF(P5953&gt;0,MAX(VLOOKUP(F5953,$D$6:$G$15,3,FALSE),600),0)/1000</f>
        <v>0</v>
      </c>
      <c r="S5953" s="396"/>
      <c r="T5953" s="396" t="s">
        <v>125</v>
      </c>
      <c r="U5953" s="401">
        <f t="shared" ref="U5953" si="19268">U5952</f>
        <v>1.5782400000000001</v>
      </c>
      <c r="V5953" s="396" t="s">
        <v>125</v>
      </c>
      <c r="W5953" s="399">
        <f t="shared" ref="W5953" si="19269">D5953</f>
        <v>3</v>
      </c>
      <c r="X5953" s="399" t="s">
        <v>125</v>
      </c>
      <c r="Y5953" s="389">
        <f t="shared" ref="Y5953" si="19270">Y5952</f>
        <v>1</v>
      </c>
      <c r="Z5953" s="400" t="s">
        <v>176</v>
      </c>
      <c r="AA5953" s="402">
        <f t="shared" ref="AA5953" si="19271">(N5953+P5953*R5953/1000)*U5953*W5953*Y5953</f>
        <v>7.7365324800000002</v>
      </c>
      <c r="AB5953" s="403"/>
    </row>
    <row r="5954" spans="1:28">
      <c r="A5954" s="384"/>
      <c r="B5954" s="385"/>
      <c r="C5954" s="393"/>
      <c r="D5954" s="394"/>
      <c r="E5954" s="388"/>
      <c r="F5954" s="388"/>
      <c r="G5954" s="388"/>
      <c r="H5954" s="395"/>
      <c r="I5954" s="388"/>
      <c r="J5954" s="399"/>
      <c r="K5954" s="396"/>
      <c r="L5954" s="396"/>
      <c r="M5954" s="396"/>
      <c r="N5954" s="396"/>
      <c r="O5954" s="396"/>
      <c r="P5954" s="389"/>
      <c r="Q5954" s="396"/>
      <c r="R5954" s="396"/>
      <c r="S5954" s="396"/>
      <c r="T5954" s="396"/>
      <c r="U5954" s="401"/>
      <c r="V5954" s="396"/>
      <c r="W5954" s="388"/>
      <c r="X5954" s="396"/>
      <c r="Y5954" s="389"/>
      <c r="Z5954" s="396"/>
      <c r="AA5954" s="388"/>
      <c r="AB5954" s="390"/>
    </row>
    <row r="5955" spans="1:28">
      <c r="A5955" s="384" t="str">
        <f t="shared" ref="A5955:B5955" si="19272">A5935</f>
        <v>Lantai 3</v>
      </c>
      <c r="B5955" s="385">
        <f t="shared" si="19272"/>
        <v>56</v>
      </c>
      <c r="C5955" s="393" t="s">
        <v>211</v>
      </c>
      <c r="D5955" s="398">
        <f>VLOOKUP(D5935,'Detail Balok'!$C$10:$AU$140,31,FALSE)</f>
        <v>0</v>
      </c>
      <c r="E5955" s="388" t="s">
        <v>16</v>
      </c>
      <c r="F5955" s="388">
        <f>VLOOKUP(D5935,'Detail Balok'!$C$10:$AU$140,33,FALSE)</f>
        <v>10</v>
      </c>
      <c r="G5955" s="405" t="s">
        <v>157</v>
      </c>
      <c r="H5955" s="395">
        <f>VLOOKUP(D5935,'Detail Balok'!$C$10:$AU$140,35,FALSE)</f>
        <v>100</v>
      </c>
      <c r="I5955" s="388"/>
      <c r="J5955" s="400">
        <f t="shared" ref="J5955" si="19273">(IF(D5955=0,(2*(D5936+G5936))-(F$5*8),IF(D5955=3,(2*(D5936+G5936))-(F$5*8)+(G5936-2*F$5),IF(D5955=4,(2*(D5936+G5936))-(F$5*8)+2*(G5936-2*F$5)))))/1000</f>
        <v>0.88</v>
      </c>
      <c r="K5955" s="400" t="s">
        <v>204</v>
      </c>
      <c r="L5955" s="399">
        <f t="shared" ref="L5955:L5957" si="19274">IF(D5955=0,2*MAX(6*F5955,75),(D5955-1)*2*MAX(6*F5955,75))/1000</f>
        <v>0.15</v>
      </c>
      <c r="M5955" s="399" t="s">
        <v>176</v>
      </c>
      <c r="N5955" s="399">
        <f t="shared" ref="N5955:N5957" si="19275">J5955+L5955</f>
        <v>1.03</v>
      </c>
      <c r="O5955" s="399"/>
      <c r="P5955" s="389"/>
      <c r="Q5955" s="399"/>
      <c r="R5955" s="399"/>
      <c r="S5955" s="399"/>
      <c r="T5955" s="399" t="s">
        <v>125</v>
      </c>
      <c r="U5955" s="401">
        <f t="shared" ref="U5955:U5957" si="19276">0.006165*F5955^2</f>
        <v>0.61650000000000005</v>
      </c>
      <c r="V5955" s="399" t="s">
        <v>125</v>
      </c>
      <c r="W5955" s="399">
        <f t="shared" ref="W5955" si="19277">IF(D5938&gt;4*G5936,ROUND(MAX(D5938/4,2*G5936)/H5955,0)+1,ROUND(D5938/H5955,0)+1)</f>
        <v>14</v>
      </c>
      <c r="X5955" s="399" t="s">
        <v>125</v>
      </c>
      <c r="Y5955" s="389">
        <f t="shared" ref="Y5955" si="19278">D5941</f>
        <v>1</v>
      </c>
      <c r="Z5955" s="400" t="s">
        <v>176</v>
      </c>
      <c r="AA5955" s="402">
        <f t="shared" ref="AA5955:AA5957" si="19279">N5955*U5955*W5955*Y5955</f>
        <v>8.8899300000000014</v>
      </c>
      <c r="AB5955" s="403"/>
    </row>
    <row r="5956" spans="1:28">
      <c r="A5956" s="384" t="str">
        <f t="shared" ref="A5956:B5956" si="19280">A5935</f>
        <v>Lantai 3</v>
      </c>
      <c r="B5956" s="385">
        <f t="shared" si="19280"/>
        <v>56</v>
      </c>
      <c r="C5956" s="393" t="s">
        <v>212</v>
      </c>
      <c r="D5956" s="398">
        <f>VLOOKUP(D5935,'Detail Balok'!$C$10:$AU$140,36,FALSE)</f>
        <v>0</v>
      </c>
      <c r="E5956" s="388" t="s">
        <v>16</v>
      </c>
      <c r="F5956" s="388">
        <f>VLOOKUP(D5935,'Detail Balok'!$C$10:$AU$140,38,FALSE)</f>
        <v>10</v>
      </c>
      <c r="G5956" s="405" t="s">
        <v>157</v>
      </c>
      <c r="H5956" s="395">
        <f>VLOOKUP(D5935,'Detail Balok'!$C$10:$AU$140,40,FALSE)</f>
        <v>100</v>
      </c>
      <c r="I5956" s="388"/>
      <c r="J5956" s="400">
        <f t="shared" ref="J5956" si="19281">(IF(D5956=0,(2*(D5936+G5936))-(F$5*8),IF(D5956=3,(2*(D5936+G5936))-(F$5*8)+(G5936-2*F$5),IF(D5956=4,(2*(D5936+G5936))-(F$5*8)+2*(G5936-2*F$5)))))/1000</f>
        <v>0.88</v>
      </c>
      <c r="K5956" s="400" t="s">
        <v>204</v>
      </c>
      <c r="L5956" s="399">
        <f t="shared" si="19274"/>
        <v>0.15</v>
      </c>
      <c r="M5956" s="399" t="s">
        <v>176</v>
      </c>
      <c r="N5956" s="399">
        <f t="shared" si="19275"/>
        <v>1.03</v>
      </c>
      <c r="O5956" s="399"/>
      <c r="P5956" s="389"/>
      <c r="Q5956" s="399"/>
      <c r="R5956" s="399"/>
      <c r="S5956" s="399"/>
      <c r="T5956" s="399" t="s">
        <v>125</v>
      </c>
      <c r="U5956" s="401">
        <f t="shared" si="19276"/>
        <v>0.61650000000000005</v>
      </c>
      <c r="V5956" s="399" t="s">
        <v>125</v>
      </c>
      <c r="W5956" s="399">
        <f t="shared" ref="W5956" si="19282">IF(D5938-MAX(D5938/4,2*G5936)*2&gt;0,ROUND((D5938-MAX(D5938/4,2*G5936)*2)/H5956,0),0)</f>
        <v>0</v>
      </c>
      <c r="X5956" s="399" t="s">
        <v>125</v>
      </c>
      <c r="Y5956" s="389">
        <f t="shared" ref="Y5956" si="19283">D5941</f>
        <v>1</v>
      </c>
      <c r="Z5956" s="400" t="s">
        <v>176</v>
      </c>
      <c r="AA5956" s="402">
        <f t="shared" si="19279"/>
        <v>0</v>
      </c>
      <c r="AB5956" s="403"/>
    </row>
    <row r="5957" spans="1:28">
      <c r="A5957" s="384" t="str">
        <f t="shared" ref="A5957:B5957" si="19284">A5935</f>
        <v>Lantai 3</v>
      </c>
      <c r="B5957" s="385">
        <f t="shared" si="19284"/>
        <v>56</v>
      </c>
      <c r="C5957" s="393" t="s">
        <v>211</v>
      </c>
      <c r="D5957" s="398">
        <f>VLOOKUP(D5935,'Detail Balok'!$C$10:$AU$140,41,FALSE)</f>
        <v>0</v>
      </c>
      <c r="E5957" s="388" t="s">
        <v>16</v>
      </c>
      <c r="F5957" s="388">
        <f>VLOOKUP(D5935,'Detail Balok'!$C$10:$AU$140,43,FALSE)</f>
        <v>10</v>
      </c>
      <c r="G5957" s="405" t="s">
        <v>157</v>
      </c>
      <c r="H5957" s="395">
        <f>VLOOKUP(D5935,'Detail Balok'!$C$10:$AU$140,45,FALSE)</f>
        <v>100</v>
      </c>
      <c r="I5957" s="388"/>
      <c r="J5957" s="400">
        <f t="shared" ref="J5957" si="19285">(IF(D5957=0,(2*(D5936+G5936))-(F$5*8),IF(D5957=3,(2*(D5936+G5936))-(F$5*8)+(G5936-2*F$5),IF(D5957=4,(2*(D5936+G5936))-(F$5*8)+2*(G5936-2*F$5)))))/1000</f>
        <v>0.88</v>
      </c>
      <c r="K5957" s="400" t="s">
        <v>204</v>
      </c>
      <c r="L5957" s="399">
        <f t="shared" si="19274"/>
        <v>0.15</v>
      </c>
      <c r="M5957" s="399" t="s">
        <v>176</v>
      </c>
      <c r="N5957" s="399">
        <f t="shared" si="19275"/>
        <v>1.03</v>
      </c>
      <c r="O5957" s="399"/>
      <c r="P5957" s="389"/>
      <c r="Q5957" s="399"/>
      <c r="R5957" s="399"/>
      <c r="S5957" s="399"/>
      <c r="T5957" s="399" t="s">
        <v>125</v>
      </c>
      <c r="U5957" s="401">
        <f t="shared" si="19276"/>
        <v>0.61650000000000005</v>
      </c>
      <c r="V5957" s="399" t="s">
        <v>125</v>
      </c>
      <c r="W5957" s="399">
        <f t="shared" ref="W5957" si="19286">IF(D5938&gt;4*G5936,ROUND(MAX(D5938/4,2*G5936)/H5957,0)+1,0)</f>
        <v>0</v>
      </c>
      <c r="X5957" s="399" t="s">
        <v>125</v>
      </c>
      <c r="Y5957" s="389">
        <f t="shared" ref="Y5957" si="19287">D5941</f>
        <v>1</v>
      </c>
      <c r="Z5957" s="400" t="s">
        <v>176</v>
      </c>
      <c r="AA5957" s="402">
        <f t="shared" si="19279"/>
        <v>0</v>
      </c>
      <c r="AB5957" s="403"/>
    </row>
    <row r="5958" spans="1:28">
      <c r="A5958" s="384"/>
      <c r="B5958" s="385"/>
      <c r="C5958" s="393"/>
      <c r="D5958" s="394"/>
      <c r="E5958" s="388"/>
      <c r="F5958" s="388"/>
      <c r="G5958" s="388"/>
      <c r="H5958" s="395"/>
      <c r="I5958" s="388"/>
      <c r="J5958" s="399"/>
      <c r="K5958" s="396"/>
      <c r="L5958" s="396"/>
      <c r="M5958" s="396"/>
      <c r="N5958" s="396"/>
      <c r="O5958" s="396"/>
      <c r="P5958" s="389"/>
      <c r="Q5958" s="396"/>
      <c r="R5958" s="396"/>
      <c r="S5958" s="396"/>
      <c r="T5958" s="396"/>
      <c r="U5958" s="401"/>
      <c r="V5958" s="396"/>
      <c r="W5958" s="388"/>
      <c r="X5958" s="396"/>
      <c r="Y5958" s="389"/>
      <c r="Z5958" s="396"/>
      <c r="AA5958" s="388"/>
      <c r="AB5958" s="390"/>
    </row>
    <row r="5959" spans="1:28">
      <c r="A5959" s="384" t="str">
        <f t="shared" ref="A5959:B5959" si="19288">A5935</f>
        <v>Lantai 3</v>
      </c>
      <c r="B5959" s="385">
        <f t="shared" si="19288"/>
        <v>56</v>
      </c>
      <c r="C5959" s="393" t="s">
        <v>213</v>
      </c>
      <c r="D5959" s="398">
        <f>VLOOKUP(D5935,'Detail Balok'!$C$10:$BJ$140,46,FALSE)</f>
        <v>0</v>
      </c>
      <c r="E5959" s="388" t="s">
        <v>16</v>
      </c>
      <c r="F5959" s="388">
        <f>VLOOKUP(D5935,'Detail Balok'!$C$10:$BJ$140,48,FALSE)</f>
        <v>0</v>
      </c>
      <c r="G5959" s="405" t="s">
        <v>157</v>
      </c>
      <c r="H5959" s="395">
        <f>VLOOKUP(D5935,'Detail Balok'!$C$10:$BJ$140,50,FALSE)</f>
        <v>100</v>
      </c>
      <c r="I5959" s="388"/>
      <c r="J5959" s="399">
        <f t="shared" ref="J5959" si="19289">(D5936-2*F$5)/1000</f>
        <v>0.12</v>
      </c>
      <c r="K5959" s="400" t="s">
        <v>204</v>
      </c>
      <c r="L5959" s="399">
        <f t="shared" ref="L5959:L5961" si="19290">IF(D5959=0,2*MAX(6*F5959,75),(D5959-1)*2*MAX(6*F5959,75))/1000</f>
        <v>0.15</v>
      </c>
      <c r="M5959" s="399" t="s">
        <v>176</v>
      </c>
      <c r="N5959" s="399">
        <f t="shared" ref="N5959:N5961" si="19291">J5959+L5959</f>
        <v>0.27</v>
      </c>
      <c r="O5959" s="399"/>
      <c r="P5959" s="399"/>
      <c r="Q5959" s="399"/>
      <c r="R5959" s="399"/>
      <c r="S5959" s="399"/>
      <c r="T5959" s="399" t="s">
        <v>125</v>
      </c>
      <c r="U5959" s="401">
        <f t="shared" ref="U5959:U5961" si="19292">0.006165*F5959^2</f>
        <v>0</v>
      </c>
      <c r="V5959" s="399" t="s">
        <v>125</v>
      </c>
      <c r="W5959" s="399">
        <f t="shared" ref="W5959:W5961" si="19293">W5955</f>
        <v>14</v>
      </c>
      <c r="X5959" s="399" t="s">
        <v>125</v>
      </c>
      <c r="Y5959" s="389">
        <f t="shared" ref="Y5959" si="19294">D5945</f>
        <v>3</v>
      </c>
      <c r="Z5959" s="400" t="s">
        <v>176</v>
      </c>
      <c r="AA5959" s="402">
        <f t="shared" ref="AA5959:AA5961" si="19295">N5959*U5959*W5959*Y5959</f>
        <v>0</v>
      </c>
      <c r="AB5959" s="403"/>
    </row>
    <row r="5960" spans="1:28">
      <c r="A5960" s="384" t="str">
        <f t="shared" ref="A5960:B5960" si="19296">A5935</f>
        <v>Lantai 3</v>
      </c>
      <c r="B5960" s="385">
        <f t="shared" si="19296"/>
        <v>56</v>
      </c>
      <c r="C5960" s="393" t="s">
        <v>214</v>
      </c>
      <c r="D5960" s="398">
        <f>VLOOKUP(D5935,'Detail Balok'!$C$10:$BJ$140,51,FALSE)</f>
        <v>0</v>
      </c>
      <c r="E5960" s="388" t="s">
        <v>16</v>
      </c>
      <c r="F5960" s="388">
        <f>VLOOKUP(D5935,'Detail Balok'!$C$10:$BJ$140,53,FALSE)</f>
        <v>0</v>
      </c>
      <c r="G5960" s="405" t="s">
        <v>157</v>
      </c>
      <c r="H5960" s="395">
        <f>VLOOKUP(D5935,'Detail Balok'!$C$10:$BJ$140,55,FALSE)</f>
        <v>100</v>
      </c>
      <c r="I5960" s="388"/>
      <c r="J5960" s="399">
        <f t="shared" ref="J5960" si="19297">(D5936-2*F$5)/1000</f>
        <v>0.12</v>
      </c>
      <c r="K5960" s="400" t="s">
        <v>204</v>
      </c>
      <c r="L5960" s="399">
        <f t="shared" si="19290"/>
        <v>0.15</v>
      </c>
      <c r="M5960" s="399" t="s">
        <v>176</v>
      </c>
      <c r="N5960" s="399">
        <f t="shared" si="19291"/>
        <v>0.27</v>
      </c>
      <c r="O5960" s="399"/>
      <c r="P5960" s="399"/>
      <c r="Q5960" s="399"/>
      <c r="R5960" s="399"/>
      <c r="S5960" s="399"/>
      <c r="T5960" s="399" t="s">
        <v>125</v>
      </c>
      <c r="U5960" s="401">
        <f t="shared" si="19292"/>
        <v>0</v>
      </c>
      <c r="V5960" s="399" t="s">
        <v>125</v>
      </c>
      <c r="W5960" s="399">
        <f t="shared" si="19293"/>
        <v>0</v>
      </c>
      <c r="X5960" s="399" t="s">
        <v>125</v>
      </c>
      <c r="Y5960" s="389">
        <f t="shared" ref="Y5960" si="19298">D5945</f>
        <v>3</v>
      </c>
      <c r="Z5960" s="400" t="s">
        <v>176</v>
      </c>
      <c r="AA5960" s="402">
        <f t="shared" si="19295"/>
        <v>0</v>
      </c>
      <c r="AB5960" s="403"/>
    </row>
    <row r="5961" spans="1:28">
      <c r="A5961" s="384" t="str">
        <f t="shared" ref="A5961:B5961" si="19299">A5935</f>
        <v>Lantai 3</v>
      </c>
      <c r="B5961" s="385">
        <f t="shared" si="19299"/>
        <v>56</v>
      </c>
      <c r="C5961" s="393" t="s">
        <v>213</v>
      </c>
      <c r="D5961" s="398">
        <f>VLOOKUP(D5935,'Detail Balok'!$C$10:$BJ$140,56,FALSE)</f>
        <v>0</v>
      </c>
      <c r="E5961" s="388" t="s">
        <v>16</v>
      </c>
      <c r="F5961" s="388">
        <f>VLOOKUP(D5935,'Detail Balok'!$C$10:$BJ$140,58,FALSE)</f>
        <v>0</v>
      </c>
      <c r="G5961" s="405" t="s">
        <v>157</v>
      </c>
      <c r="H5961" s="395">
        <f>VLOOKUP(D5935,'Detail Balok'!$C$10:$BJ$140,60,FALSE)</f>
        <v>100</v>
      </c>
      <c r="I5961" s="388"/>
      <c r="J5961" s="399">
        <f t="shared" ref="J5961" si="19300">(D5936-2*F$5)/1000</f>
        <v>0.12</v>
      </c>
      <c r="K5961" s="400" t="s">
        <v>204</v>
      </c>
      <c r="L5961" s="399">
        <f t="shared" si="19290"/>
        <v>0.15</v>
      </c>
      <c r="M5961" s="399" t="s">
        <v>176</v>
      </c>
      <c r="N5961" s="399">
        <f t="shared" si="19291"/>
        <v>0.27</v>
      </c>
      <c r="O5961" s="399"/>
      <c r="P5961" s="399"/>
      <c r="Q5961" s="399"/>
      <c r="R5961" s="399"/>
      <c r="S5961" s="399"/>
      <c r="T5961" s="399" t="s">
        <v>125</v>
      </c>
      <c r="U5961" s="401">
        <f t="shared" si="19292"/>
        <v>0</v>
      </c>
      <c r="V5961" s="399" t="s">
        <v>125</v>
      </c>
      <c r="W5961" s="399">
        <f t="shared" si="19293"/>
        <v>0</v>
      </c>
      <c r="X5961" s="399" t="s">
        <v>125</v>
      </c>
      <c r="Y5961" s="389">
        <f t="shared" ref="Y5961" si="19301">D5945</f>
        <v>3</v>
      </c>
      <c r="Z5961" s="400" t="s">
        <v>176</v>
      </c>
      <c r="AA5961" s="402">
        <f t="shared" si="19295"/>
        <v>0</v>
      </c>
      <c r="AB5961" s="403"/>
    </row>
    <row r="5962" spans="1:28">
      <c r="A5962" s="391"/>
      <c r="B5962" s="392"/>
      <c r="C5962" s="392"/>
      <c r="D5962" s="394"/>
      <c r="E5962" s="388"/>
      <c r="F5962" s="388"/>
      <c r="G5962" s="388"/>
      <c r="H5962" s="395"/>
      <c r="I5962" s="388"/>
      <c r="J5962" s="402"/>
      <c r="K5962" s="388"/>
      <c r="L5962" s="388"/>
      <c r="M5962" s="388"/>
      <c r="N5962" s="388"/>
      <c r="O5962" s="388"/>
      <c r="P5962" s="388"/>
      <c r="Q5962" s="388"/>
      <c r="R5962" s="388"/>
      <c r="S5962" s="388"/>
      <c r="T5962" s="388"/>
      <c r="U5962" s="388"/>
      <c r="V5962" s="388"/>
      <c r="W5962" s="388"/>
      <c r="X5962" s="388"/>
      <c r="Y5962" s="389"/>
      <c r="Z5962" s="388"/>
      <c r="AA5962" s="402"/>
      <c r="AB5962" s="403"/>
    </row>
    <row r="5963" spans="1:28" ht="15.75" thickBot="1">
      <c r="A5963" s="406"/>
      <c r="B5963" s="407"/>
      <c r="C5963" s="407"/>
      <c r="D5963" s="408"/>
      <c r="E5963" s="409"/>
      <c r="F5963" s="409"/>
      <c r="G5963" s="409"/>
      <c r="H5963" s="410"/>
      <c r="I5963" s="409"/>
      <c r="J5963" s="409"/>
      <c r="K5963" s="409"/>
      <c r="L5963" s="409"/>
      <c r="M5963" s="409"/>
      <c r="N5963" s="409"/>
      <c r="O5963" s="409"/>
      <c r="P5963" s="409"/>
      <c r="Q5963" s="409"/>
      <c r="R5963" s="409"/>
      <c r="S5963" s="409"/>
      <c r="T5963" s="409"/>
      <c r="U5963" s="409"/>
      <c r="V5963" s="409"/>
      <c r="W5963" s="409"/>
      <c r="X5963" s="409"/>
      <c r="Y5963" s="411"/>
      <c r="Z5963" s="409"/>
      <c r="AA5963" s="412"/>
      <c r="AB5963" s="413"/>
    </row>
    <row r="5964" spans="1:28">
      <c r="A5964" s="377"/>
      <c r="B5964" s="378"/>
      <c r="C5964" s="378"/>
      <c r="D5964" s="379"/>
      <c r="E5964" s="380"/>
      <c r="F5964" s="380"/>
      <c r="G5964" s="380"/>
      <c r="H5964" s="381"/>
      <c r="I5964" s="380"/>
      <c r="J5964" s="380"/>
      <c r="K5964" s="380"/>
      <c r="L5964" s="380"/>
      <c r="M5964" s="380"/>
      <c r="N5964" s="380"/>
      <c r="O5964" s="380"/>
      <c r="P5964" s="380"/>
      <c r="Q5964" s="380"/>
      <c r="R5964" s="380"/>
      <c r="S5964" s="380"/>
      <c r="T5964" s="380"/>
      <c r="U5964" s="380"/>
      <c r="V5964" s="380"/>
      <c r="W5964" s="380"/>
      <c r="X5964" s="380"/>
      <c r="Y5964" s="382"/>
      <c r="Z5964" s="380"/>
      <c r="AA5964" s="380"/>
      <c r="AB5964" s="383"/>
    </row>
    <row r="5965" spans="1:28">
      <c r="A5965" s="384" t="str">
        <f t="shared" si="19197"/>
        <v>Lantai 3</v>
      </c>
      <c r="B5965" s="385">
        <f t="shared" si="19198"/>
        <v>57</v>
      </c>
      <c r="C5965" s="386" t="str">
        <f t="shared" ref="C5965" si="19302">CONCATENATE(A5965," no. ",B5965)</f>
        <v>Lantai 3 no. 57</v>
      </c>
      <c r="D5965" s="2562" t="str">
        <f>VLOOKUP(C5965,'Data Panjang Balok'!$C$9:$N$254,2,FALSE)</f>
        <v>CL24-1</v>
      </c>
      <c r="E5965" s="2576"/>
      <c r="F5965" s="2576"/>
      <c r="G5965" s="2576"/>
      <c r="H5965" s="2577"/>
      <c r="I5965" s="387"/>
      <c r="J5965" s="388"/>
      <c r="K5965" s="388"/>
      <c r="L5965" s="388"/>
      <c r="M5965" s="388"/>
      <c r="N5965" s="388"/>
      <c r="O5965" s="388"/>
      <c r="P5965" s="388"/>
      <c r="Q5965" s="388"/>
      <c r="R5965" s="388"/>
      <c r="S5965" s="388"/>
      <c r="T5965" s="388"/>
      <c r="U5965" s="388"/>
      <c r="V5965" s="388"/>
      <c r="W5965" s="388"/>
      <c r="X5965" s="388"/>
      <c r="Y5965" s="389"/>
      <c r="Z5965" s="388"/>
      <c r="AA5965" s="388"/>
      <c r="AB5965" s="390"/>
    </row>
    <row r="5966" spans="1:28">
      <c r="A5966" s="391"/>
      <c r="B5966" s="392"/>
      <c r="C5966" s="393" t="s">
        <v>118</v>
      </c>
      <c r="D5966" s="2578">
        <f>VLOOKUP(D5965,'Detail Balok'!$C$10:$AU$140,2,FALSE)</f>
        <v>200</v>
      </c>
      <c r="E5966" s="2579"/>
      <c r="F5966" s="388" t="s">
        <v>125</v>
      </c>
      <c r="G5966" s="2579">
        <f>VLOOKUP(D5965,'Detail Balok'!$C$10:$AU$140,3,FALSE)</f>
        <v>400</v>
      </c>
      <c r="H5966" s="2580"/>
      <c r="I5966" s="388"/>
      <c r="J5966" s="396"/>
      <c r="K5966" s="396"/>
      <c r="L5966" s="396"/>
      <c r="M5966" s="396"/>
      <c r="N5966" s="396"/>
      <c r="O5966" s="396"/>
      <c r="P5966" s="396"/>
      <c r="Q5966" s="396"/>
      <c r="R5966" s="396"/>
      <c r="S5966" s="396"/>
      <c r="T5966" s="396"/>
      <c r="U5966" s="388"/>
      <c r="V5966" s="396"/>
      <c r="W5966" s="388"/>
      <c r="X5966" s="396"/>
      <c r="Y5966" s="389"/>
      <c r="Z5966" s="396"/>
      <c r="AA5966" s="388"/>
      <c r="AB5966" s="390"/>
    </row>
    <row r="5967" spans="1:28">
      <c r="A5967" s="391"/>
      <c r="B5967" s="392"/>
      <c r="C5967" s="393" t="s">
        <v>198</v>
      </c>
      <c r="D5967" s="2562">
        <f>VLOOKUP(C5965,'Data Panjang Balok'!$C$9:$N$254,4,FALSE)</f>
        <v>1250</v>
      </c>
      <c r="E5967" s="2563"/>
      <c r="F5967" s="2563"/>
      <c r="G5967" s="2563"/>
      <c r="H5967" s="2564"/>
      <c r="I5967" s="397"/>
      <c r="J5967" s="396"/>
      <c r="K5967" s="396"/>
      <c r="L5967" s="396"/>
      <c r="M5967" s="396"/>
      <c r="N5967" s="396"/>
      <c r="O5967" s="396"/>
      <c r="P5967" s="396"/>
      <c r="Q5967" s="396"/>
      <c r="R5967" s="396"/>
      <c r="S5967" s="396"/>
      <c r="T5967" s="396"/>
      <c r="U5967" s="388"/>
      <c r="V5967" s="396"/>
      <c r="W5967" s="388"/>
      <c r="X5967" s="396"/>
      <c r="Y5967" s="389"/>
      <c r="Z5967" s="396"/>
      <c r="AA5967" s="388"/>
      <c r="AB5967" s="390"/>
    </row>
    <row r="5968" spans="1:28">
      <c r="A5968" s="391"/>
      <c r="B5968" s="392"/>
      <c r="C5968" s="393" t="s">
        <v>199</v>
      </c>
      <c r="D5968" s="2562">
        <f>VLOOKUP(C5965,'Data Panjang Balok'!$C$9:$N$254,7,FALSE)</f>
        <v>1250</v>
      </c>
      <c r="E5968" s="2563"/>
      <c r="F5968" s="2563"/>
      <c r="G5968" s="2563"/>
      <c r="H5968" s="2564"/>
      <c r="I5968" s="397"/>
      <c r="J5968" s="396"/>
      <c r="K5968" s="396"/>
      <c r="L5968" s="396"/>
      <c r="M5968" s="396"/>
      <c r="N5968" s="396"/>
      <c r="O5968" s="396"/>
      <c r="P5968" s="396"/>
      <c r="Q5968" s="396"/>
      <c r="R5968" s="396"/>
      <c r="S5968" s="396"/>
      <c r="T5968" s="396"/>
      <c r="U5968" s="388"/>
      <c r="V5968" s="396"/>
      <c r="W5968" s="388"/>
      <c r="X5968" s="396"/>
      <c r="Y5968" s="389"/>
      <c r="Z5968" s="396"/>
      <c r="AA5968" s="388"/>
      <c r="AB5968" s="390"/>
    </row>
    <row r="5969" spans="1:28">
      <c r="A5969" s="391"/>
      <c r="B5969" s="392"/>
      <c r="C5969" s="393" t="s">
        <v>200</v>
      </c>
      <c r="D5969" s="2562">
        <f>VLOOKUP(C5965,'Data Panjang Balok'!$C$9:$N$254,9,FALSE)</f>
        <v>0</v>
      </c>
      <c r="E5969" s="2563"/>
      <c r="F5969" s="2563"/>
      <c r="G5969" s="2563"/>
      <c r="H5969" s="2564"/>
      <c r="I5969" s="397"/>
      <c r="J5969" s="396"/>
      <c r="K5969" s="396"/>
      <c r="L5969" s="396"/>
      <c r="M5969" s="396"/>
      <c r="N5969" s="396"/>
      <c r="O5969" s="396"/>
      <c r="P5969" s="396"/>
      <c r="Q5969" s="396"/>
      <c r="R5969" s="396"/>
      <c r="S5969" s="396"/>
      <c r="T5969" s="396"/>
      <c r="U5969" s="388"/>
      <c r="V5969" s="396"/>
      <c r="W5969" s="388"/>
      <c r="X5969" s="396"/>
      <c r="Y5969" s="389"/>
      <c r="Z5969" s="396"/>
      <c r="AA5969" s="388"/>
      <c r="AB5969" s="390"/>
    </row>
    <row r="5970" spans="1:28">
      <c r="A5970" s="391"/>
      <c r="B5970" s="392"/>
      <c r="C5970" s="393" t="s">
        <v>201</v>
      </c>
      <c r="D5970" s="2562">
        <f>VLOOKUP(C5965,'Data Panjang Balok'!$C$9:$N$254,10,FALSE)</f>
        <v>0</v>
      </c>
      <c r="E5970" s="2563"/>
      <c r="F5970" s="2563"/>
      <c r="G5970" s="2563"/>
      <c r="H5970" s="2564"/>
      <c r="I5970" s="397"/>
      <c r="J5970" s="396"/>
      <c r="K5970" s="396"/>
      <c r="L5970" s="396"/>
      <c r="M5970" s="396"/>
      <c r="N5970" s="396"/>
      <c r="O5970" s="396"/>
      <c r="P5970" s="396"/>
      <c r="Q5970" s="396"/>
      <c r="R5970" s="396"/>
      <c r="S5970" s="396"/>
      <c r="T5970" s="396"/>
      <c r="U5970" s="388"/>
      <c r="V5970" s="396"/>
      <c r="W5970" s="388"/>
      <c r="X5970" s="396"/>
      <c r="Y5970" s="389"/>
      <c r="Z5970" s="396"/>
      <c r="AA5970" s="388"/>
      <c r="AB5970" s="390"/>
    </row>
    <row r="5971" spans="1:28">
      <c r="A5971" s="391"/>
      <c r="B5971" s="392"/>
      <c r="C5971" s="393" t="s">
        <v>48</v>
      </c>
      <c r="D5971" s="2562">
        <f>VLOOKUP(C5965,'Data Panjang Balok'!$C$9:$N$254,3,FALSE)</f>
        <v>1</v>
      </c>
      <c r="E5971" s="2563"/>
      <c r="F5971" s="2563"/>
      <c r="G5971" s="2563"/>
      <c r="H5971" s="2564"/>
      <c r="I5971" s="397"/>
      <c r="J5971" s="396"/>
      <c r="K5971" s="396"/>
      <c r="L5971" s="396"/>
      <c r="M5971" s="396"/>
      <c r="N5971" s="396"/>
      <c r="O5971" s="396"/>
      <c r="P5971" s="396"/>
      <c r="Q5971" s="396"/>
      <c r="R5971" s="396"/>
      <c r="S5971" s="396"/>
      <c r="T5971" s="396"/>
      <c r="U5971" s="388"/>
      <c r="V5971" s="396"/>
      <c r="W5971" s="388"/>
      <c r="X5971" s="396"/>
      <c r="Y5971" s="389"/>
      <c r="Z5971" s="396"/>
      <c r="AA5971" s="388"/>
      <c r="AB5971" s="390"/>
    </row>
    <row r="5972" spans="1:28">
      <c r="A5972" s="384" t="str">
        <f t="shared" ref="A5972:B5972" si="19303">A5965</f>
        <v>Lantai 3</v>
      </c>
      <c r="B5972" s="385">
        <f t="shared" si="19303"/>
        <v>57</v>
      </c>
      <c r="C5972" s="393" t="s">
        <v>202</v>
      </c>
      <c r="D5972" s="398">
        <f>VLOOKUP(D5965,'Detail Balok'!$C$10:$AU$140,4,FALSE)</f>
        <v>3</v>
      </c>
      <c r="E5972" s="388" t="s">
        <v>16</v>
      </c>
      <c r="F5972" s="388">
        <f>VLOOKUP(D5965,'Detail Balok'!$C$10:$AU$140,6,FALSE)</f>
        <v>16</v>
      </c>
      <c r="G5972" s="388"/>
      <c r="H5972" s="395"/>
      <c r="I5972" s="388" t="s">
        <v>203</v>
      </c>
      <c r="J5972" s="399">
        <f t="shared" ref="J5972" si="19304">+D5967/4/1000</f>
        <v>0.3125</v>
      </c>
      <c r="K5972" s="400" t="s">
        <v>204</v>
      </c>
      <c r="L5972" s="399">
        <f t="shared" ref="L5972" si="19305">MAX(VLOOKUP(F5972,N$6:P$15,3,FALSE)/1000,2/3*D5969/1000)+F$16*F5972/1000</f>
        <v>0.192</v>
      </c>
      <c r="M5972" s="399" t="s">
        <v>176</v>
      </c>
      <c r="N5972" s="399">
        <f t="shared" ref="N5972:N5974" si="19306">J5972+L5972</f>
        <v>0.50449999999999995</v>
      </c>
      <c r="O5972" s="399" t="s">
        <v>204</v>
      </c>
      <c r="P5972" s="389">
        <f t="shared" ref="P5972" si="19307">D5972-D5973</f>
        <v>0</v>
      </c>
      <c r="Q5972" s="399" t="s">
        <v>125</v>
      </c>
      <c r="R5972" s="399">
        <f t="shared" ref="R5972" si="19308">IF(P5972&gt;0,$F$18*F5972/1000,0)</f>
        <v>0</v>
      </c>
      <c r="S5972" s="399" t="s">
        <v>205</v>
      </c>
      <c r="T5972" s="399" t="s">
        <v>125</v>
      </c>
      <c r="U5972" s="401">
        <f t="shared" ref="U5972:U5974" si="19309">0.006165*F5972^2</f>
        <v>1.5782400000000001</v>
      </c>
      <c r="V5972" s="399"/>
      <c r="W5972" s="399"/>
      <c r="X5972" s="399" t="s">
        <v>125</v>
      </c>
      <c r="Y5972" s="389">
        <f t="shared" ref="Y5972" si="19310">D5971</f>
        <v>1</v>
      </c>
      <c r="Z5972" s="400" t="s">
        <v>176</v>
      </c>
      <c r="AA5972" s="402">
        <f t="shared" ref="AA5972" si="19311">IF(AA5975=0,(D5972*N5972+P5972*R5972)*U5972*Y5972,0)</f>
        <v>0</v>
      </c>
      <c r="AB5972" s="403"/>
    </row>
    <row r="5973" spans="1:28">
      <c r="A5973" s="384" t="str">
        <f t="shared" ref="A5973:B5973" si="19312">A5965</f>
        <v>Lantai 3</v>
      </c>
      <c r="B5973" s="385">
        <f t="shared" si="19312"/>
        <v>57</v>
      </c>
      <c r="C5973" s="393" t="s">
        <v>206</v>
      </c>
      <c r="D5973" s="398">
        <f>VLOOKUP(D5965,'Detail Balok'!$C$10:$AU$140,7,FALSE)</f>
        <v>3</v>
      </c>
      <c r="E5973" s="388" t="s">
        <v>16</v>
      </c>
      <c r="F5973" s="388">
        <f>VLOOKUP(D5965,'Detail Balok'!$C$10:$AU$140,9,FALSE)</f>
        <v>16</v>
      </c>
      <c r="G5973" s="388"/>
      <c r="H5973" s="395"/>
      <c r="I5973" s="388" t="s">
        <v>203</v>
      </c>
      <c r="J5973" s="399">
        <f t="shared" ref="J5973" si="19313">+D5967/2/1000</f>
        <v>0.625</v>
      </c>
      <c r="K5973" s="400" t="s">
        <v>204</v>
      </c>
      <c r="L5973" s="399"/>
      <c r="M5973" s="399" t="s">
        <v>176</v>
      </c>
      <c r="N5973" s="399">
        <f t="shared" si="19306"/>
        <v>0.625</v>
      </c>
      <c r="O5973" s="399" t="s">
        <v>204</v>
      </c>
      <c r="P5973" s="389">
        <f t="shared" ref="P5973" si="19314">MAX(D5973-D5972,D5973-D5974)</f>
        <v>0</v>
      </c>
      <c r="Q5973" s="399" t="s">
        <v>125</v>
      </c>
      <c r="R5973" s="399">
        <f t="shared" ref="R5973" si="19315">IF(P5973&gt;0,2*(1-2*$F$19-1/2)*D5968/1000,0)</f>
        <v>0</v>
      </c>
      <c r="S5973" s="399" t="s">
        <v>205</v>
      </c>
      <c r="T5973" s="399" t="s">
        <v>125</v>
      </c>
      <c r="U5973" s="401">
        <f t="shared" si="19309"/>
        <v>1.5782400000000001</v>
      </c>
      <c r="V5973" s="399"/>
      <c r="W5973" s="399"/>
      <c r="X5973" s="399" t="s">
        <v>125</v>
      </c>
      <c r="Y5973" s="389">
        <f t="shared" ref="Y5973" si="19316">D5971</f>
        <v>1</v>
      </c>
      <c r="Z5973" s="400" t="s">
        <v>176</v>
      </c>
      <c r="AA5973" s="402">
        <f t="shared" ref="AA5973" si="19317">IF(AA5975=0,(D5973*N5973+P5973*R5973)*U5973*Y5973,0)</f>
        <v>0</v>
      </c>
      <c r="AB5973" s="403"/>
    </row>
    <row r="5974" spans="1:28">
      <c r="A5974" s="384" t="str">
        <f t="shared" ref="A5974:B5974" si="19318">A5965</f>
        <v>Lantai 3</v>
      </c>
      <c r="B5974" s="385">
        <f t="shared" si="19318"/>
        <v>57</v>
      </c>
      <c r="C5974" s="393" t="s">
        <v>202</v>
      </c>
      <c r="D5974" s="398">
        <f>VLOOKUP(D5965,'Detail Balok'!$C$10:$AU$140,10,FALSE)</f>
        <v>3</v>
      </c>
      <c r="E5974" s="388" t="s">
        <v>16</v>
      </c>
      <c r="F5974" s="388">
        <f>VLOOKUP(D5965,'Detail Balok'!$C$10:$AU$140,12,FALSE)</f>
        <v>16</v>
      </c>
      <c r="G5974" s="388"/>
      <c r="H5974" s="395"/>
      <c r="I5974" s="388" t="s">
        <v>203</v>
      </c>
      <c r="J5974" s="399">
        <f t="shared" ref="J5974" si="19319">+D5967/4/1000</f>
        <v>0.3125</v>
      </c>
      <c r="K5974" s="400" t="s">
        <v>204</v>
      </c>
      <c r="L5974" s="399">
        <f t="shared" ref="L5974" si="19320">MAX(VLOOKUP(F5974,N$6:P$15,3,FALSE)/1000,2/3*D5969/1000)+F$16*F5974/1000</f>
        <v>0.192</v>
      </c>
      <c r="M5974" s="399" t="s">
        <v>176</v>
      </c>
      <c r="N5974" s="399">
        <f t="shared" si="19306"/>
        <v>0.50449999999999995</v>
      </c>
      <c r="O5974" s="399" t="s">
        <v>204</v>
      </c>
      <c r="P5974" s="389">
        <f t="shared" ref="P5974" si="19321">D5974-D5973</f>
        <v>0</v>
      </c>
      <c r="Q5974" s="399" t="s">
        <v>125</v>
      </c>
      <c r="R5974" s="399">
        <f t="shared" ref="R5974" si="19322">IF(P5974&gt;0,$F$18*F5974/1000,0)</f>
        <v>0</v>
      </c>
      <c r="S5974" s="399" t="s">
        <v>205</v>
      </c>
      <c r="T5974" s="399" t="s">
        <v>125</v>
      </c>
      <c r="U5974" s="401">
        <f t="shared" si="19309"/>
        <v>1.5782400000000001</v>
      </c>
      <c r="V5974" s="399"/>
      <c r="W5974" s="399"/>
      <c r="X5974" s="399" t="s">
        <v>125</v>
      </c>
      <c r="Y5974" s="389">
        <f t="shared" ref="Y5974" si="19323">D5971</f>
        <v>1</v>
      </c>
      <c r="Z5974" s="400" t="s">
        <v>176</v>
      </c>
      <c r="AA5974" s="402">
        <f t="shared" ref="AA5974" si="19324">IF(AA5975=0,(D5974*N5974+P5974*R5974)*U5974*Y5974,0)</f>
        <v>0</v>
      </c>
      <c r="AB5974" s="403"/>
    </row>
    <row r="5975" spans="1:28">
      <c r="A5975" s="384" t="str">
        <f t="shared" ref="A5975:B5975" si="19325">A5965</f>
        <v>Lantai 3</v>
      </c>
      <c r="B5975" s="385">
        <f t="shared" si="19325"/>
        <v>57</v>
      </c>
      <c r="C5975" s="393"/>
      <c r="D5975" s="398">
        <f t="shared" ref="D5975:D6035" si="19326">IF(AND(D5972=D5973,D5973=D5974,D5972=D5974),D5972,0)</f>
        <v>3</v>
      </c>
      <c r="E5975" s="388" t="s">
        <v>16</v>
      </c>
      <c r="F5975" s="388">
        <f t="shared" ref="F5975:F6035" si="19327">IF(AND(F5972=F5973,F5972=F5974,F5973=F5974),F5972,0)</f>
        <v>16</v>
      </c>
      <c r="G5975" s="388"/>
      <c r="H5975" s="395"/>
      <c r="I5975" s="388"/>
      <c r="J5975" s="396"/>
      <c r="K5975" s="396"/>
      <c r="L5975" s="404" t="s">
        <v>207</v>
      </c>
      <c r="M5975" s="399" t="s">
        <v>176</v>
      </c>
      <c r="N5975" s="399">
        <f t="shared" ref="N5975" si="19328">IF(AND(D5972=D5973,D5972=D5974,D5973=D5974,F5972=F5973,F5972=F5974,F5973=F5974),SUM(N5972:N5974),0)</f>
        <v>1.6339999999999999</v>
      </c>
      <c r="O5975" s="399" t="s">
        <v>204</v>
      </c>
      <c r="P5975" s="389">
        <f t="shared" ref="P5975" si="19329">IF(N5975&gt;12,ROUNDDOWN(N5975/12,0),0)</f>
        <v>0</v>
      </c>
      <c r="Q5975" s="399" t="s">
        <v>125</v>
      </c>
      <c r="R5975" s="399">
        <f t="shared" ref="R5975" si="19330">IF(P5975&gt;0,MAX(VLOOKUP(F5975,$D$6:$G$15,3,FALSE),600),0)/1000</f>
        <v>0</v>
      </c>
      <c r="S5975" s="396"/>
      <c r="T5975" s="396" t="s">
        <v>125</v>
      </c>
      <c r="U5975" s="401">
        <f t="shared" ref="U5975:U6035" si="19331">U5974</f>
        <v>1.5782400000000001</v>
      </c>
      <c r="V5975" s="396" t="s">
        <v>125</v>
      </c>
      <c r="W5975" s="399">
        <f t="shared" ref="W5975" si="19332">D5975</f>
        <v>3</v>
      </c>
      <c r="X5975" s="399" t="s">
        <v>125</v>
      </c>
      <c r="Y5975" s="389">
        <f t="shared" ref="Y5975:Y6035" si="19333">Y5974</f>
        <v>1</v>
      </c>
      <c r="Z5975" s="400" t="s">
        <v>176</v>
      </c>
      <c r="AA5975" s="402">
        <f t="shared" ref="AA5975" si="19334">(N5975+P5975*R5975/1000)*U5975*W5975*Y5975</f>
        <v>7.7365324800000002</v>
      </c>
      <c r="AB5975" s="390"/>
    </row>
    <row r="5976" spans="1:28">
      <c r="A5976" s="384"/>
      <c r="B5976" s="385"/>
      <c r="C5976" s="393"/>
      <c r="D5976" s="398"/>
      <c r="E5976" s="388"/>
      <c r="F5976" s="388"/>
      <c r="G5976" s="388"/>
      <c r="H5976" s="395"/>
      <c r="I5976" s="388"/>
      <c r="J5976" s="396"/>
      <c r="K5976" s="396"/>
      <c r="L5976" s="404"/>
      <c r="M5976" s="399"/>
      <c r="N5976" s="399"/>
      <c r="O5976" s="396"/>
      <c r="P5976" s="389"/>
      <c r="Q5976" s="396"/>
      <c r="R5976" s="396"/>
      <c r="S5976" s="396"/>
      <c r="T5976" s="396"/>
      <c r="U5976" s="401"/>
      <c r="V5976" s="396"/>
      <c r="W5976" s="399"/>
      <c r="X5976" s="396"/>
      <c r="Y5976" s="389"/>
      <c r="Z5976" s="396"/>
      <c r="AA5976" s="388"/>
      <c r="AB5976" s="390"/>
    </row>
    <row r="5977" spans="1:28">
      <c r="A5977" s="384" t="str">
        <f t="shared" ref="A5977:B5977" si="19335">A5965</f>
        <v>Lantai 3</v>
      </c>
      <c r="B5977" s="385">
        <f t="shared" si="19335"/>
        <v>57</v>
      </c>
      <c r="C5977" s="393" t="s">
        <v>208</v>
      </c>
      <c r="D5977" s="398">
        <f>VLOOKUP(D5965,'Detail Balok'!$C$10:$AU$140,13,FALSE)</f>
        <v>0</v>
      </c>
      <c r="E5977" s="388" t="s">
        <v>16</v>
      </c>
      <c r="F5977" s="388">
        <f>VLOOKUP(D5965,'Detail Balok'!$C$10:$AU$140,15,FALSE)</f>
        <v>8</v>
      </c>
      <c r="G5977" s="388"/>
      <c r="H5977" s="395"/>
      <c r="I5977" s="388"/>
      <c r="J5977" s="399">
        <f t="shared" ref="J5977" si="19336">+D5967/1000</f>
        <v>1.25</v>
      </c>
      <c r="K5977" s="400" t="s">
        <v>204</v>
      </c>
      <c r="L5977" s="399">
        <f t="shared" ref="L5977" si="19337">2*$F$16*F5977/1000</f>
        <v>0.192</v>
      </c>
      <c r="M5977" s="399" t="s">
        <v>176</v>
      </c>
      <c r="N5977" s="399">
        <f t="shared" ref="N5977" si="19338">J5977+L5977</f>
        <v>1.4419999999999999</v>
      </c>
      <c r="O5977" s="399" t="s">
        <v>204</v>
      </c>
      <c r="P5977" s="389">
        <f t="shared" ref="P5977" si="19339">IF(N5977&gt;12,ROUNDDOWN(N5977/12,0),0)</f>
        <v>0</v>
      </c>
      <c r="Q5977" s="399" t="s">
        <v>125</v>
      </c>
      <c r="R5977" s="399">
        <f t="shared" ref="R5977" si="19340">IF(P5977&gt;0,MAX(VLOOKUP(F5977,$D$6:$G$15,3,FALSE),600),0)/1000</f>
        <v>0</v>
      </c>
      <c r="S5977" s="399"/>
      <c r="T5977" s="399" t="s">
        <v>125</v>
      </c>
      <c r="U5977" s="401">
        <f t="shared" ref="U5977" si="19341">0.006165*F5977^2</f>
        <v>0.39456000000000002</v>
      </c>
      <c r="V5977" s="399" t="s">
        <v>125</v>
      </c>
      <c r="W5977" s="399">
        <f t="shared" ref="W5977" si="19342">+D5977</f>
        <v>0</v>
      </c>
      <c r="X5977" s="399" t="s">
        <v>125</v>
      </c>
      <c r="Y5977" s="389">
        <f t="shared" ref="Y5977" si="19343">D5971</f>
        <v>1</v>
      </c>
      <c r="Z5977" s="400" t="s">
        <v>176</v>
      </c>
      <c r="AA5977" s="402">
        <f t="shared" ref="AA5977" si="19344">(N5977+P5977*R5977/1000)*U5977*W5977*Y5977</f>
        <v>0</v>
      </c>
      <c r="AB5977" s="403"/>
    </row>
    <row r="5978" spans="1:28">
      <c r="A5978" s="384"/>
      <c r="B5978" s="385"/>
      <c r="C5978" s="393"/>
      <c r="D5978" s="398"/>
      <c r="E5978" s="388"/>
      <c r="F5978" s="388"/>
      <c r="G5978" s="388"/>
      <c r="H5978" s="395"/>
      <c r="I5978" s="388"/>
      <c r="J5978" s="399"/>
      <c r="K5978" s="400"/>
      <c r="L5978" s="399"/>
      <c r="M5978" s="399"/>
      <c r="N5978" s="399"/>
      <c r="O5978" s="399"/>
      <c r="P5978" s="389"/>
      <c r="Q5978" s="399"/>
      <c r="R5978" s="399"/>
      <c r="S5978" s="399"/>
      <c r="T5978" s="399"/>
      <c r="U5978" s="401"/>
      <c r="V5978" s="399"/>
      <c r="W5978" s="399"/>
      <c r="X5978" s="399"/>
      <c r="Y5978" s="389"/>
      <c r="Z5978" s="400"/>
      <c r="AA5978" s="402"/>
      <c r="AB5978" s="403"/>
    </row>
    <row r="5979" spans="1:28">
      <c r="A5979" s="384"/>
      <c r="B5979" s="385"/>
      <c r="C5979" s="393"/>
      <c r="D5979" s="398"/>
      <c r="E5979" s="388"/>
      <c r="F5979" s="388"/>
      <c r="G5979" s="388"/>
      <c r="H5979" s="395"/>
      <c r="I5979" s="388"/>
      <c r="J5979" s="396"/>
      <c r="K5979" s="396"/>
      <c r="L5979" s="396"/>
      <c r="M5979" s="396"/>
      <c r="N5979" s="396"/>
      <c r="O5979" s="396"/>
      <c r="P5979" s="389"/>
      <c r="Q5979" s="396"/>
      <c r="R5979" s="396"/>
      <c r="S5979" s="396"/>
      <c r="T5979" s="396"/>
      <c r="U5979" s="401"/>
      <c r="V5979" s="396"/>
      <c r="W5979" s="399"/>
      <c r="X5979" s="396"/>
      <c r="Y5979" s="389"/>
      <c r="Z5979" s="396"/>
      <c r="AA5979" s="388"/>
      <c r="AB5979" s="390"/>
    </row>
    <row r="5980" spans="1:28">
      <c r="A5980" s="384" t="str">
        <f t="shared" ref="A5980:B5980" si="19345">A5965</f>
        <v>Lantai 3</v>
      </c>
      <c r="B5980" s="385">
        <f t="shared" si="19345"/>
        <v>57</v>
      </c>
      <c r="C5980" s="393" t="s">
        <v>209</v>
      </c>
      <c r="D5980" s="398">
        <f>VLOOKUP(D5965,'Detail Balok'!$C$10:$AU$140,22,FALSE)</f>
        <v>3</v>
      </c>
      <c r="E5980" s="388" t="s">
        <v>16</v>
      </c>
      <c r="F5980" s="388">
        <f>VLOOKUP(D5965,'Detail Balok'!$C$10:$AU$140,24,FALSE)</f>
        <v>16</v>
      </c>
      <c r="G5980" s="388"/>
      <c r="H5980" s="395"/>
      <c r="I5980" s="388" t="s">
        <v>203</v>
      </c>
      <c r="J5980" s="399">
        <f t="shared" ref="J5980:J6042" si="19346">+J5972</f>
        <v>0.3125</v>
      </c>
      <c r="K5980" s="400" t="s">
        <v>204</v>
      </c>
      <c r="L5980" s="399">
        <f t="shared" ref="L5980" si="19347">MAX(VLOOKUP(F5980,N$6:P$15,3,FALSE)/1000,2/3*D5970/1000)+F$16*F5980/1000</f>
        <v>0.192</v>
      </c>
      <c r="M5980" s="399" t="s">
        <v>176</v>
      </c>
      <c r="N5980" s="399">
        <f t="shared" ref="N5980:N5982" si="19348">J5980+L5980</f>
        <v>0.50449999999999995</v>
      </c>
      <c r="O5980" s="399" t="s">
        <v>204</v>
      </c>
      <c r="P5980" s="389">
        <f t="shared" ref="P5980" si="19349">D5980-D5981</f>
        <v>0</v>
      </c>
      <c r="Q5980" s="399" t="s">
        <v>125</v>
      </c>
      <c r="R5980" s="399">
        <f t="shared" ref="R5980" si="19350">IF(P5980&gt;0,$F$18*F5980/1000,0)</f>
        <v>0</v>
      </c>
      <c r="S5980" s="399" t="s">
        <v>205</v>
      </c>
      <c r="T5980" s="399" t="s">
        <v>125</v>
      </c>
      <c r="U5980" s="401">
        <f t="shared" ref="U5980:U5982" si="19351">0.006165*F5980^2</f>
        <v>1.5782400000000001</v>
      </c>
      <c r="V5980" s="399"/>
      <c r="W5980" s="399"/>
      <c r="X5980" s="399" t="s">
        <v>125</v>
      </c>
      <c r="Y5980" s="389">
        <f t="shared" ref="Y5980" si="19352">D5971</f>
        <v>1</v>
      </c>
      <c r="Z5980" s="400" t="s">
        <v>176</v>
      </c>
      <c r="AA5980" s="402">
        <f t="shared" ref="AA5980" si="19353">IF(AA5983=0,(D5980*N5980+P5980*R5980)*U5980*Y5980,0)</f>
        <v>0</v>
      </c>
      <c r="AB5980" s="403"/>
    </row>
    <row r="5981" spans="1:28">
      <c r="A5981" s="384" t="str">
        <f t="shared" ref="A5981:B5981" si="19354">A5965</f>
        <v>Lantai 3</v>
      </c>
      <c r="B5981" s="385">
        <f t="shared" si="19354"/>
        <v>57</v>
      </c>
      <c r="C5981" s="393" t="s">
        <v>210</v>
      </c>
      <c r="D5981" s="398">
        <f>VLOOKUP(D5965,'Detail Balok'!$C$10:$AU$140,25,FALSE)</f>
        <v>3</v>
      </c>
      <c r="E5981" s="388" t="s">
        <v>16</v>
      </c>
      <c r="F5981" s="388">
        <f>VLOOKUP(D5965,'Detail Balok'!$C$10:$AU$140,27,FALSE)</f>
        <v>16</v>
      </c>
      <c r="G5981" s="388"/>
      <c r="H5981" s="395"/>
      <c r="I5981" s="388" t="s">
        <v>203</v>
      </c>
      <c r="J5981" s="399">
        <f t="shared" si="19346"/>
        <v>0.625</v>
      </c>
      <c r="K5981" s="400" t="s">
        <v>204</v>
      </c>
      <c r="L5981" s="399"/>
      <c r="M5981" s="399" t="s">
        <v>176</v>
      </c>
      <c r="N5981" s="399">
        <f t="shared" si="19348"/>
        <v>0.625</v>
      </c>
      <c r="O5981" s="399" t="s">
        <v>204</v>
      </c>
      <c r="P5981" s="389">
        <f t="shared" ref="P5981" si="19355">MAX(D5981-D5980,D5981-D5982)</f>
        <v>0</v>
      </c>
      <c r="Q5981" s="399" t="s">
        <v>125</v>
      </c>
      <c r="R5981" s="399">
        <f t="shared" ref="R5981" si="19356">IF(P5981&gt;0,2*(1-2*$F$19-1/2)*D5968/1000,0)</f>
        <v>0</v>
      </c>
      <c r="S5981" s="399" t="s">
        <v>205</v>
      </c>
      <c r="T5981" s="399" t="s">
        <v>125</v>
      </c>
      <c r="U5981" s="401">
        <f t="shared" si="19351"/>
        <v>1.5782400000000001</v>
      </c>
      <c r="V5981" s="399"/>
      <c r="W5981" s="399"/>
      <c r="X5981" s="399" t="s">
        <v>125</v>
      </c>
      <c r="Y5981" s="389">
        <f t="shared" ref="Y5981" si="19357">D5971</f>
        <v>1</v>
      </c>
      <c r="Z5981" s="400" t="s">
        <v>176</v>
      </c>
      <c r="AA5981" s="402">
        <f t="shared" ref="AA5981" si="19358">IF(AA5983=0,(D5981*N5981+P5981*R5981)*U5981*Y5981,0)</f>
        <v>0</v>
      </c>
      <c r="AB5981" s="403"/>
    </row>
    <row r="5982" spans="1:28">
      <c r="A5982" s="384" t="str">
        <f t="shared" ref="A5982:B5982" si="19359">A5965</f>
        <v>Lantai 3</v>
      </c>
      <c r="B5982" s="385">
        <f t="shared" si="19359"/>
        <v>57</v>
      </c>
      <c r="C5982" s="393" t="s">
        <v>209</v>
      </c>
      <c r="D5982" s="398">
        <f>VLOOKUP(D5965,'Detail Balok'!$C$10:$AU$140,28,FALSE)</f>
        <v>3</v>
      </c>
      <c r="E5982" s="388" t="s">
        <v>16</v>
      </c>
      <c r="F5982" s="388">
        <f>VLOOKUP(D5965,'Detail Balok'!$C$10:$AU$140,30,FALSE)</f>
        <v>16</v>
      </c>
      <c r="G5982" s="388"/>
      <c r="H5982" s="395"/>
      <c r="I5982" s="388" t="s">
        <v>203</v>
      </c>
      <c r="J5982" s="399">
        <f t="shared" si="19346"/>
        <v>0.3125</v>
      </c>
      <c r="K5982" s="400" t="s">
        <v>204</v>
      </c>
      <c r="L5982" s="399">
        <f t="shared" ref="L5982" si="19360">MAX(VLOOKUP(F5982,N$6:P$15,3,FALSE)/1000,2/3*D5970/1000)+F$16*F5982/1000</f>
        <v>0.192</v>
      </c>
      <c r="M5982" s="399" t="s">
        <v>176</v>
      </c>
      <c r="N5982" s="399">
        <f t="shared" si="19348"/>
        <v>0.50449999999999995</v>
      </c>
      <c r="O5982" s="399" t="s">
        <v>204</v>
      </c>
      <c r="P5982" s="389">
        <f t="shared" ref="P5982" si="19361">D5982-D5981</f>
        <v>0</v>
      </c>
      <c r="Q5982" s="399" t="s">
        <v>125</v>
      </c>
      <c r="R5982" s="399">
        <f t="shared" ref="R5982" si="19362">IF(P5982&gt;0,$F$18*F5982/1000,0)</f>
        <v>0</v>
      </c>
      <c r="S5982" s="399" t="s">
        <v>205</v>
      </c>
      <c r="T5982" s="399" t="s">
        <v>125</v>
      </c>
      <c r="U5982" s="401">
        <f t="shared" si="19351"/>
        <v>1.5782400000000001</v>
      </c>
      <c r="V5982" s="399"/>
      <c r="W5982" s="399"/>
      <c r="X5982" s="399" t="s">
        <v>125</v>
      </c>
      <c r="Y5982" s="389">
        <f t="shared" ref="Y5982" si="19363">D5971</f>
        <v>1</v>
      </c>
      <c r="Z5982" s="400" t="s">
        <v>176</v>
      </c>
      <c r="AA5982" s="402">
        <f t="shared" ref="AA5982" si="19364">IF(AA5983=0,(D5982*N5982+P5982*R5982)*U5982*Y5982,0)</f>
        <v>0</v>
      </c>
      <c r="AB5982" s="403"/>
    </row>
    <row r="5983" spans="1:28">
      <c r="A5983" s="384" t="str">
        <f t="shared" ref="A5983:B5983" si="19365">A5965</f>
        <v>Lantai 3</v>
      </c>
      <c r="B5983" s="385">
        <f t="shared" si="19365"/>
        <v>57</v>
      </c>
      <c r="C5983" s="393"/>
      <c r="D5983" s="398">
        <f t="shared" ref="D5983:D6043" si="19366">IF(AND(D5980=D5981,D5981=D5982,D5980=D5982),D5980,0)</f>
        <v>3</v>
      </c>
      <c r="E5983" s="388" t="s">
        <v>16</v>
      </c>
      <c r="F5983" s="388">
        <f t="shared" ref="F5983:F6043" si="19367">IF(AND(F5980=F5981,F5980=F5982,F5981=F5982),F5980,0)</f>
        <v>16</v>
      </c>
      <c r="G5983" s="388"/>
      <c r="H5983" s="395"/>
      <c r="I5983" s="388"/>
      <c r="J5983" s="396"/>
      <c r="K5983" s="396"/>
      <c r="L5983" s="404" t="s">
        <v>207</v>
      </c>
      <c r="M5983" s="399" t="s">
        <v>176</v>
      </c>
      <c r="N5983" s="399">
        <f t="shared" ref="N5983" si="19368">IF(AND(D5980=D5981,D5980=D5982,D5981=D5982,F5980=F5981,F5980=F5982,F5981=F5982),SUM(N5980:N5982),0)</f>
        <v>1.6339999999999999</v>
      </c>
      <c r="O5983" s="399" t="s">
        <v>204</v>
      </c>
      <c r="P5983" s="389">
        <f t="shared" ref="P5983" si="19369">IF(N5983&gt;12,ROUNDDOWN(N5983/12,0),0)</f>
        <v>0</v>
      </c>
      <c r="Q5983" s="399" t="s">
        <v>125</v>
      </c>
      <c r="R5983" s="399">
        <f t="shared" ref="R5983" si="19370">IF(P5983&gt;0,MAX(VLOOKUP(F5983,$D$6:$G$15,3,FALSE),600),0)/1000</f>
        <v>0</v>
      </c>
      <c r="S5983" s="396"/>
      <c r="T5983" s="396" t="s">
        <v>125</v>
      </c>
      <c r="U5983" s="401">
        <f t="shared" ref="U5983:U6043" si="19371">U5982</f>
        <v>1.5782400000000001</v>
      </c>
      <c r="V5983" s="396" t="s">
        <v>125</v>
      </c>
      <c r="W5983" s="399">
        <f t="shared" ref="W5983" si="19372">D5983</f>
        <v>3</v>
      </c>
      <c r="X5983" s="399" t="s">
        <v>125</v>
      </c>
      <c r="Y5983" s="389">
        <f t="shared" ref="Y5983:Y6043" si="19373">Y5982</f>
        <v>1</v>
      </c>
      <c r="Z5983" s="400" t="s">
        <v>176</v>
      </c>
      <c r="AA5983" s="402">
        <f t="shared" ref="AA5983" si="19374">(N5983+P5983*R5983/1000)*U5983*W5983*Y5983</f>
        <v>7.7365324800000002</v>
      </c>
      <c r="AB5983" s="403"/>
    </row>
    <row r="5984" spans="1:28">
      <c r="A5984" s="384"/>
      <c r="B5984" s="385"/>
      <c r="C5984" s="393"/>
      <c r="D5984" s="394"/>
      <c r="E5984" s="388"/>
      <c r="F5984" s="388"/>
      <c r="G5984" s="388"/>
      <c r="H5984" s="395"/>
      <c r="I5984" s="388"/>
      <c r="J5984" s="399"/>
      <c r="K5984" s="396"/>
      <c r="L5984" s="396"/>
      <c r="M5984" s="396"/>
      <c r="N5984" s="396"/>
      <c r="O5984" s="396"/>
      <c r="P5984" s="389"/>
      <c r="Q5984" s="396"/>
      <c r="R5984" s="396"/>
      <c r="S5984" s="396"/>
      <c r="T5984" s="396"/>
      <c r="U5984" s="401"/>
      <c r="V5984" s="396"/>
      <c r="W5984" s="388"/>
      <c r="X5984" s="396"/>
      <c r="Y5984" s="389"/>
      <c r="Z5984" s="396"/>
      <c r="AA5984" s="388"/>
      <c r="AB5984" s="390"/>
    </row>
    <row r="5985" spans="1:28">
      <c r="A5985" s="384" t="str">
        <f t="shared" ref="A5985:B5985" si="19375">A5965</f>
        <v>Lantai 3</v>
      </c>
      <c r="B5985" s="385">
        <f t="shared" si="19375"/>
        <v>57</v>
      </c>
      <c r="C5985" s="393" t="s">
        <v>211</v>
      </c>
      <c r="D5985" s="398">
        <f>VLOOKUP(D5965,'Detail Balok'!$C$10:$AU$140,31,FALSE)</f>
        <v>0</v>
      </c>
      <c r="E5985" s="388" t="s">
        <v>16</v>
      </c>
      <c r="F5985" s="388">
        <f>VLOOKUP(D5965,'Detail Balok'!$C$10:$AU$140,33,FALSE)</f>
        <v>10</v>
      </c>
      <c r="G5985" s="405" t="s">
        <v>157</v>
      </c>
      <c r="H5985" s="395">
        <f>VLOOKUP(D5965,'Detail Balok'!$C$10:$AU$140,35,FALSE)</f>
        <v>100</v>
      </c>
      <c r="I5985" s="388"/>
      <c r="J5985" s="400">
        <f t="shared" ref="J5985" si="19376">(IF(D5985=0,(2*(D5966+G5966))-(F$5*8),IF(D5985=3,(2*(D5966+G5966))-(F$5*8)+(G5966-2*F$5),IF(D5985=4,(2*(D5966+G5966))-(F$5*8)+2*(G5966-2*F$5)))))/1000</f>
        <v>0.88</v>
      </c>
      <c r="K5985" s="400" t="s">
        <v>204</v>
      </c>
      <c r="L5985" s="399">
        <f t="shared" ref="L5985:L5987" si="19377">IF(D5985=0,2*MAX(6*F5985,75),(D5985-1)*2*MAX(6*F5985,75))/1000</f>
        <v>0.15</v>
      </c>
      <c r="M5985" s="399" t="s">
        <v>176</v>
      </c>
      <c r="N5985" s="399">
        <f t="shared" ref="N5985:N5987" si="19378">J5985+L5985</f>
        <v>1.03</v>
      </c>
      <c r="O5985" s="399"/>
      <c r="P5985" s="389"/>
      <c r="Q5985" s="399"/>
      <c r="R5985" s="399"/>
      <c r="S5985" s="399"/>
      <c r="T5985" s="399" t="s">
        <v>125</v>
      </c>
      <c r="U5985" s="401">
        <f t="shared" ref="U5985:U5987" si="19379">0.006165*F5985^2</f>
        <v>0.61650000000000005</v>
      </c>
      <c r="V5985" s="399" t="s">
        <v>125</v>
      </c>
      <c r="W5985" s="399">
        <f t="shared" ref="W5985" si="19380">IF(D5968&gt;4*G5966,ROUND(MAX(D5968/4,2*G5966)/H5985,0)+1,ROUND(D5968/H5985,0)+1)</f>
        <v>14</v>
      </c>
      <c r="X5985" s="399" t="s">
        <v>125</v>
      </c>
      <c r="Y5985" s="389">
        <f t="shared" ref="Y5985" si="19381">D5971</f>
        <v>1</v>
      </c>
      <c r="Z5985" s="400" t="s">
        <v>176</v>
      </c>
      <c r="AA5985" s="402">
        <f t="shared" ref="AA5985:AA5987" si="19382">N5985*U5985*W5985*Y5985</f>
        <v>8.8899300000000014</v>
      </c>
      <c r="AB5985" s="403"/>
    </row>
    <row r="5986" spans="1:28">
      <c r="A5986" s="384" t="str">
        <f t="shared" ref="A5986:B5986" si="19383">A5965</f>
        <v>Lantai 3</v>
      </c>
      <c r="B5986" s="385">
        <f t="shared" si="19383"/>
        <v>57</v>
      </c>
      <c r="C5986" s="393" t="s">
        <v>212</v>
      </c>
      <c r="D5986" s="398">
        <f>VLOOKUP(D5965,'Detail Balok'!$C$10:$AU$140,36,FALSE)</f>
        <v>0</v>
      </c>
      <c r="E5986" s="388" t="s">
        <v>16</v>
      </c>
      <c r="F5986" s="388">
        <f>VLOOKUP(D5965,'Detail Balok'!$C$10:$AU$140,38,FALSE)</f>
        <v>10</v>
      </c>
      <c r="G5986" s="405" t="s">
        <v>157</v>
      </c>
      <c r="H5986" s="395">
        <f>VLOOKUP(D5965,'Detail Balok'!$C$10:$AU$140,40,FALSE)</f>
        <v>100</v>
      </c>
      <c r="I5986" s="388"/>
      <c r="J5986" s="400">
        <f t="shared" ref="J5986" si="19384">(IF(D5986=0,(2*(D5966+G5966))-(F$5*8),IF(D5986=3,(2*(D5966+G5966))-(F$5*8)+(G5966-2*F$5),IF(D5986=4,(2*(D5966+G5966))-(F$5*8)+2*(G5966-2*F$5)))))/1000</f>
        <v>0.88</v>
      </c>
      <c r="K5986" s="400" t="s">
        <v>204</v>
      </c>
      <c r="L5986" s="399">
        <f t="shared" si="19377"/>
        <v>0.15</v>
      </c>
      <c r="M5986" s="399" t="s">
        <v>176</v>
      </c>
      <c r="N5986" s="399">
        <f t="shared" si="19378"/>
        <v>1.03</v>
      </c>
      <c r="O5986" s="399"/>
      <c r="P5986" s="389"/>
      <c r="Q5986" s="399"/>
      <c r="R5986" s="399"/>
      <c r="S5986" s="399"/>
      <c r="T5986" s="399" t="s">
        <v>125</v>
      </c>
      <c r="U5986" s="401">
        <f t="shared" si="19379"/>
        <v>0.61650000000000005</v>
      </c>
      <c r="V5986" s="399" t="s">
        <v>125</v>
      </c>
      <c r="W5986" s="399">
        <f t="shared" ref="W5986" si="19385">IF(D5968-MAX(D5968/4,2*G5966)*2&gt;0,ROUND((D5968-MAX(D5968/4,2*G5966)*2)/H5986,0),0)</f>
        <v>0</v>
      </c>
      <c r="X5986" s="399" t="s">
        <v>125</v>
      </c>
      <c r="Y5986" s="389">
        <f t="shared" ref="Y5986" si="19386">D5971</f>
        <v>1</v>
      </c>
      <c r="Z5986" s="400" t="s">
        <v>176</v>
      </c>
      <c r="AA5986" s="402">
        <f t="shared" si="19382"/>
        <v>0</v>
      </c>
      <c r="AB5986" s="403"/>
    </row>
    <row r="5987" spans="1:28">
      <c r="A5987" s="384" t="str">
        <f t="shared" ref="A5987:B5987" si="19387">A5965</f>
        <v>Lantai 3</v>
      </c>
      <c r="B5987" s="385">
        <f t="shared" si="19387"/>
        <v>57</v>
      </c>
      <c r="C5987" s="393" t="s">
        <v>211</v>
      </c>
      <c r="D5987" s="398">
        <f>VLOOKUP(D5965,'Detail Balok'!$C$10:$AU$140,41,FALSE)</f>
        <v>0</v>
      </c>
      <c r="E5987" s="388" t="s">
        <v>16</v>
      </c>
      <c r="F5987" s="388">
        <f>VLOOKUP(D5965,'Detail Balok'!$C$10:$AU$140,43,FALSE)</f>
        <v>10</v>
      </c>
      <c r="G5987" s="405" t="s">
        <v>157</v>
      </c>
      <c r="H5987" s="395">
        <f>VLOOKUP(D5965,'Detail Balok'!$C$10:$AU$140,45,FALSE)</f>
        <v>100</v>
      </c>
      <c r="I5987" s="388"/>
      <c r="J5987" s="400">
        <f t="shared" ref="J5987" si="19388">(IF(D5987=0,(2*(D5966+G5966))-(F$5*8),IF(D5987=3,(2*(D5966+G5966))-(F$5*8)+(G5966-2*F$5),IF(D5987=4,(2*(D5966+G5966))-(F$5*8)+2*(G5966-2*F$5)))))/1000</f>
        <v>0.88</v>
      </c>
      <c r="K5987" s="400" t="s">
        <v>204</v>
      </c>
      <c r="L5987" s="399">
        <f t="shared" si="19377"/>
        <v>0.15</v>
      </c>
      <c r="M5987" s="399" t="s">
        <v>176</v>
      </c>
      <c r="N5987" s="399">
        <f t="shared" si="19378"/>
        <v>1.03</v>
      </c>
      <c r="O5987" s="399"/>
      <c r="P5987" s="389"/>
      <c r="Q5987" s="399"/>
      <c r="R5987" s="399"/>
      <c r="S5987" s="399"/>
      <c r="T5987" s="399" t="s">
        <v>125</v>
      </c>
      <c r="U5987" s="401">
        <f t="shared" si="19379"/>
        <v>0.61650000000000005</v>
      </c>
      <c r="V5987" s="399" t="s">
        <v>125</v>
      </c>
      <c r="W5987" s="399">
        <f t="shared" ref="W5987" si="19389">IF(D5968&gt;4*G5966,ROUND(MAX(D5968/4,2*G5966)/H5987,0)+1,0)</f>
        <v>0</v>
      </c>
      <c r="X5987" s="399" t="s">
        <v>125</v>
      </c>
      <c r="Y5987" s="389">
        <f t="shared" ref="Y5987" si="19390">D5971</f>
        <v>1</v>
      </c>
      <c r="Z5987" s="400" t="s">
        <v>176</v>
      </c>
      <c r="AA5987" s="402">
        <f t="shared" si="19382"/>
        <v>0</v>
      </c>
      <c r="AB5987" s="403"/>
    </row>
    <row r="5988" spans="1:28">
      <c r="A5988" s="384"/>
      <c r="B5988" s="385"/>
      <c r="C5988" s="393"/>
      <c r="D5988" s="394"/>
      <c r="E5988" s="388"/>
      <c r="F5988" s="388"/>
      <c r="G5988" s="388"/>
      <c r="H5988" s="395"/>
      <c r="I5988" s="388"/>
      <c r="J5988" s="399"/>
      <c r="K5988" s="396"/>
      <c r="L5988" s="396"/>
      <c r="M5988" s="396"/>
      <c r="N5988" s="396"/>
      <c r="O5988" s="396"/>
      <c r="P5988" s="389"/>
      <c r="Q5988" s="396"/>
      <c r="R5988" s="396"/>
      <c r="S5988" s="396"/>
      <c r="T5988" s="396"/>
      <c r="U5988" s="401"/>
      <c r="V5988" s="396"/>
      <c r="W5988" s="388"/>
      <c r="X5988" s="396"/>
      <c r="Y5988" s="389"/>
      <c r="Z5988" s="396"/>
      <c r="AA5988" s="388"/>
      <c r="AB5988" s="390"/>
    </row>
    <row r="5989" spans="1:28">
      <c r="A5989" s="384" t="str">
        <f t="shared" ref="A5989:B5989" si="19391">A5965</f>
        <v>Lantai 3</v>
      </c>
      <c r="B5989" s="385">
        <f t="shared" si="19391"/>
        <v>57</v>
      </c>
      <c r="C5989" s="393" t="s">
        <v>213</v>
      </c>
      <c r="D5989" s="398">
        <f>VLOOKUP(D5965,'Detail Balok'!$C$10:$BJ$140,46,FALSE)</f>
        <v>0</v>
      </c>
      <c r="E5989" s="388" t="s">
        <v>16</v>
      </c>
      <c r="F5989" s="388">
        <f>VLOOKUP(D5965,'Detail Balok'!$C$10:$BJ$140,48,FALSE)</f>
        <v>0</v>
      </c>
      <c r="G5989" s="405" t="s">
        <v>157</v>
      </c>
      <c r="H5989" s="395">
        <f>VLOOKUP(D5965,'Detail Balok'!$C$10:$BJ$140,50,FALSE)</f>
        <v>100</v>
      </c>
      <c r="I5989" s="388"/>
      <c r="J5989" s="399">
        <f t="shared" ref="J5989" si="19392">(D5966-2*F$5)/1000</f>
        <v>0.12</v>
      </c>
      <c r="K5989" s="400" t="s">
        <v>204</v>
      </c>
      <c r="L5989" s="399">
        <f t="shared" ref="L5989:L5991" si="19393">IF(D5989=0,2*MAX(6*F5989,75),(D5989-1)*2*MAX(6*F5989,75))/1000</f>
        <v>0.15</v>
      </c>
      <c r="M5989" s="399" t="s">
        <v>176</v>
      </c>
      <c r="N5989" s="399">
        <f t="shared" ref="N5989:N5991" si="19394">J5989+L5989</f>
        <v>0.27</v>
      </c>
      <c r="O5989" s="399"/>
      <c r="P5989" s="399"/>
      <c r="Q5989" s="399"/>
      <c r="R5989" s="399"/>
      <c r="S5989" s="399"/>
      <c r="T5989" s="399" t="s">
        <v>125</v>
      </c>
      <c r="U5989" s="401">
        <f t="shared" ref="U5989:U5991" si="19395">0.006165*F5989^2</f>
        <v>0</v>
      </c>
      <c r="V5989" s="399" t="s">
        <v>125</v>
      </c>
      <c r="W5989" s="399">
        <f t="shared" ref="W5989:W6051" si="19396">W5985</f>
        <v>14</v>
      </c>
      <c r="X5989" s="399" t="s">
        <v>125</v>
      </c>
      <c r="Y5989" s="389">
        <f t="shared" ref="Y5989" si="19397">D5975</f>
        <v>3</v>
      </c>
      <c r="Z5989" s="400" t="s">
        <v>176</v>
      </c>
      <c r="AA5989" s="402">
        <f t="shared" ref="AA5989:AA5991" si="19398">N5989*U5989*W5989*Y5989</f>
        <v>0</v>
      </c>
      <c r="AB5989" s="403"/>
    </row>
    <row r="5990" spans="1:28">
      <c r="A5990" s="384" t="str">
        <f t="shared" ref="A5990:B5990" si="19399">A5965</f>
        <v>Lantai 3</v>
      </c>
      <c r="B5990" s="385">
        <f t="shared" si="19399"/>
        <v>57</v>
      </c>
      <c r="C5990" s="393" t="s">
        <v>214</v>
      </c>
      <c r="D5990" s="398">
        <f>VLOOKUP(D5965,'Detail Balok'!$C$10:$BJ$140,51,FALSE)</f>
        <v>0</v>
      </c>
      <c r="E5990" s="388" t="s">
        <v>16</v>
      </c>
      <c r="F5990" s="388">
        <f>VLOOKUP(D5965,'Detail Balok'!$C$10:$BJ$140,53,FALSE)</f>
        <v>0</v>
      </c>
      <c r="G5990" s="405" t="s">
        <v>157</v>
      </c>
      <c r="H5990" s="395">
        <f>VLOOKUP(D5965,'Detail Balok'!$C$10:$BJ$140,55,FALSE)</f>
        <v>100</v>
      </c>
      <c r="I5990" s="388"/>
      <c r="J5990" s="399">
        <f t="shared" ref="J5990" si="19400">(D5966-2*F$5)/1000</f>
        <v>0.12</v>
      </c>
      <c r="K5990" s="400" t="s">
        <v>204</v>
      </c>
      <c r="L5990" s="399">
        <f t="shared" si="19393"/>
        <v>0.15</v>
      </c>
      <c r="M5990" s="399" t="s">
        <v>176</v>
      </c>
      <c r="N5990" s="399">
        <f t="shared" si="19394"/>
        <v>0.27</v>
      </c>
      <c r="O5990" s="399"/>
      <c r="P5990" s="399"/>
      <c r="Q5990" s="399"/>
      <c r="R5990" s="399"/>
      <c r="S5990" s="399"/>
      <c r="T5990" s="399" t="s">
        <v>125</v>
      </c>
      <c r="U5990" s="401">
        <f t="shared" si="19395"/>
        <v>0</v>
      </c>
      <c r="V5990" s="399" t="s">
        <v>125</v>
      </c>
      <c r="W5990" s="399">
        <f t="shared" si="19396"/>
        <v>0</v>
      </c>
      <c r="X5990" s="399" t="s">
        <v>125</v>
      </c>
      <c r="Y5990" s="389">
        <f t="shared" ref="Y5990" si="19401">D5975</f>
        <v>3</v>
      </c>
      <c r="Z5990" s="400" t="s">
        <v>176</v>
      </c>
      <c r="AA5990" s="402">
        <f t="shared" si="19398"/>
        <v>0</v>
      </c>
      <c r="AB5990" s="403"/>
    </row>
    <row r="5991" spans="1:28">
      <c r="A5991" s="384" t="str">
        <f t="shared" ref="A5991:B5991" si="19402">A5965</f>
        <v>Lantai 3</v>
      </c>
      <c r="B5991" s="385">
        <f t="shared" si="19402"/>
        <v>57</v>
      </c>
      <c r="C5991" s="393" t="s">
        <v>213</v>
      </c>
      <c r="D5991" s="398">
        <f>VLOOKUP(D5965,'Detail Balok'!$C$10:$BJ$140,56,FALSE)</f>
        <v>0</v>
      </c>
      <c r="E5991" s="388" t="s">
        <v>16</v>
      </c>
      <c r="F5991" s="388">
        <f>VLOOKUP(D5965,'Detail Balok'!$C$10:$BJ$140,58,FALSE)</f>
        <v>0</v>
      </c>
      <c r="G5991" s="405" t="s">
        <v>157</v>
      </c>
      <c r="H5991" s="395">
        <f>VLOOKUP(D5965,'Detail Balok'!$C$10:$BJ$140,60,FALSE)</f>
        <v>100</v>
      </c>
      <c r="I5991" s="388"/>
      <c r="J5991" s="399">
        <f t="shared" ref="J5991" si="19403">(D5966-2*F$5)/1000</f>
        <v>0.12</v>
      </c>
      <c r="K5991" s="400" t="s">
        <v>204</v>
      </c>
      <c r="L5991" s="399">
        <f t="shared" si="19393"/>
        <v>0.15</v>
      </c>
      <c r="M5991" s="399" t="s">
        <v>176</v>
      </c>
      <c r="N5991" s="399">
        <f t="shared" si="19394"/>
        <v>0.27</v>
      </c>
      <c r="O5991" s="399"/>
      <c r="P5991" s="399"/>
      <c r="Q5991" s="399"/>
      <c r="R5991" s="399"/>
      <c r="S5991" s="399"/>
      <c r="T5991" s="399" t="s">
        <v>125</v>
      </c>
      <c r="U5991" s="401">
        <f t="shared" si="19395"/>
        <v>0</v>
      </c>
      <c r="V5991" s="399" t="s">
        <v>125</v>
      </c>
      <c r="W5991" s="399">
        <f t="shared" si="19396"/>
        <v>0</v>
      </c>
      <c r="X5991" s="399" t="s">
        <v>125</v>
      </c>
      <c r="Y5991" s="389">
        <f t="shared" ref="Y5991" si="19404">D5975</f>
        <v>3</v>
      </c>
      <c r="Z5991" s="400" t="s">
        <v>176</v>
      </c>
      <c r="AA5991" s="402">
        <f t="shared" si="19398"/>
        <v>0</v>
      </c>
      <c r="AB5991" s="403"/>
    </row>
    <row r="5992" spans="1:28">
      <c r="A5992" s="391"/>
      <c r="B5992" s="392"/>
      <c r="C5992" s="392"/>
      <c r="D5992" s="394"/>
      <c r="E5992" s="388"/>
      <c r="F5992" s="388"/>
      <c r="G5992" s="388"/>
      <c r="H5992" s="395"/>
      <c r="I5992" s="388"/>
      <c r="J5992" s="402"/>
      <c r="K5992" s="388"/>
      <c r="L5992" s="388"/>
      <c r="M5992" s="388"/>
      <c r="N5992" s="388"/>
      <c r="O5992" s="388"/>
      <c r="P5992" s="388"/>
      <c r="Q5992" s="388"/>
      <c r="R5992" s="388"/>
      <c r="S5992" s="388"/>
      <c r="T5992" s="388"/>
      <c r="U5992" s="388"/>
      <c r="V5992" s="388"/>
      <c r="W5992" s="388"/>
      <c r="X5992" s="388"/>
      <c r="Y5992" s="389"/>
      <c r="Z5992" s="388"/>
      <c r="AA5992" s="402"/>
      <c r="AB5992" s="403"/>
    </row>
    <row r="5993" spans="1:28" ht="15.75" thickBot="1">
      <c r="A5993" s="406"/>
      <c r="B5993" s="407"/>
      <c r="C5993" s="407"/>
      <c r="D5993" s="408"/>
      <c r="E5993" s="409"/>
      <c r="F5993" s="409"/>
      <c r="G5993" s="409"/>
      <c r="H5993" s="410"/>
      <c r="I5993" s="409"/>
      <c r="J5993" s="409"/>
      <c r="K5993" s="409"/>
      <c r="L5993" s="409"/>
      <c r="M5993" s="409"/>
      <c r="N5993" s="409"/>
      <c r="O5993" s="409"/>
      <c r="P5993" s="409"/>
      <c r="Q5993" s="409"/>
      <c r="R5993" s="409"/>
      <c r="S5993" s="409"/>
      <c r="T5993" s="409"/>
      <c r="U5993" s="409"/>
      <c r="V5993" s="409"/>
      <c r="W5993" s="409"/>
      <c r="X5993" s="409"/>
      <c r="Y5993" s="411"/>
      <c r="Z5993" s="409"/>
      <c r="AA5993" s="412"/>
      <c r="AB5993" s="413"/>
    </row>
    <row r="5994" spans="1:28">
      <c r="A5994" s="377"/>
      <c r="B5994" s="378"/>
      <c r="C5994" s="378"/>
      <c r="D5994" s="379"/>
      <c r="E5994" s="380"/>
      <c r="F5994" s="380"/>
      <c r="G5994" s="380"/>
      <c r="H5994" s="381"/>
      <c r="I5994" s="380"/>
      <c r="J5994" s="380"/>
      <c r="K5994" s="380"/>
      <c r="L5994" s="380"/>
      <c r="M5994" s="380"/>
      <c r="N5994" s="380"/>
      <c r="O5994" s="380"/>
      <c r="P5994" s="380"/>
      <c r="Q5994" s="380"/>
      <c r="R5994" s="380"/>
      <c r="S5994" s="380"/>
      <c r="T5994" s="380"/>
      <c r="U5994" s="380"/>
      <c r="V5994" s="380"/>
      <c r="W5994" s="380"/>
      <c r="X5994" s="380"/>
      <c r="Y5994" s="382"/>
      <c r="Z5994" s="380"/>
      <c r="AA5994" s="380"/>
      <c r="AB5994" s="383"/>
    </row>
    <row r="5995" spans="1:28">
      <c r="A5995" s="384" t="str">
        <f t="shared" ref="A5995:A6055" si="19405">A5965</f>
        <v>Lantai 3</v>
      </c>
      <c r="B5995" s="385">
        <f t="shared" ref="B5995:B6055" si="19406">B5965+1</f>
        <v>58</v>
      </c>
      <c r="C5995" s="386" t="str">
        <f t="shared" ref="C5995" si="19407">CONCATENATE(A5995," no. ",B5995)</f>
        <v>Lantai 3 no. 58</v>
      </c>
      <c r="D5995" s="2562" t="str">
        <f>VLOOKUP(C5995,'Data Panjang Balok'!$C$9:$N$254,2,FALSE)</f>
        <v>CL24-1</v>
      </c>
      <c r="E5995" s="2576"/>
      <c r="F5995" s="2576"/>
      <c r="G5995" s="2576"/>
      <c r="H5995" s="2577"/>
      <c r="I5995" s="387"/>
      <c r="J5995" s="388"/>
      <c r="K5995" s="388"/>
      <c r="L5995" s="388"/>
      <c r="M5995" s="388"/>
      <c r="N5995" s="388"/>
      <c r="O5995" s="388"/>
      <c r="P5995" s="388"/>
      <c r="Q5995" s="388"/>
      <c r="R5995" s="388"/>
      <c r="S5995" s="388"/>
      <c r="T5995" s="388"/>
      <c r="U5995" s="388"/>
      <c r="V5995" s="388"/>
      <c r="W5995" s="388"/>
      <c r="X5995" s="388"/>
      <c r="Y5995" s="389"/>
      <c r="Z5995" s="388"/>
      <c r="AA5995" s="388"/>
      <c r="AB5995" s="390"/>
    </row>
    <row r="5996" spans="1:28">
      <c r="A5996" s="391"/>
      <c r="B5996" s="392"/>
      <c r="C5996" s="393" t="s">
        <v>118</v>
      </c>
      <c r="D5996" s="2578">
        <f>VLOOKUP(D5995,'Detail Balok'!$C$10:$AU$140,2,FALSE)</f>
        <v>200</v>
      </c>
      <c r="E5996" s="2579"/>
      <c r="F5996" s="388" t="s">
        <v>125</v>
      </c>
      <c r="G5996" s="2579">
        <f>VLOOKUP(D5995,'Detail Balok'!$C$10:$AU$140,3,FALSE)</f>
        <v>400</v>
      </c>
      <c r="H5996" s="2580"/>
      <c r="I5996" s="388"/>
      <c r="J5996" s="396"/>
      <c r="K5996" s="396"/>
      <c r="L5996" s="396"/>
      <c r="M5996" s="396"/>
      <c r="N5996" s="396"/>
      <c r="O5996" s="396"/>
      <c r="P5996" s="396"/>
      <c r="Q5996" s="396"/>
      <c r="R5996" s="396"/>
      <c r="S5996" s="396"/>
      <c r="T5996" s="396"/>
      <c r="U5996" s="388"/>
      <c r="V5996" s="396"/>
      <c r="W5996" s="388"/>
      <c r="X5996" s="396"/>
      <c r="Y5996" s="389"/>
      <c r="Z5996" s="396"/>
      <c r="AA5996" s="388"/>
      <c r="AB5996" s="390"/>
    </row>
    <row r="5997" spans="1:28">
      <c r="A5997" s="391"/>
      <c r="B5997" s="392"/>
      <c r="C5997" s="393" t="s">
        <v>198</v>
      </c>
      <c r="D5997" s="2562">
        <f>VLOOKUP(C5995,'Data Panjang Balok'!$C$9:$N$254,4,FALSE)</f>
        <v>1250</v>
      </c>
      <c r="E5997" s="2563"/>
      <c r="F5997" s="2563"/>
      <c r="G5997" s="2563"/>
      <c r="H5997" s="2564"/>
      <c r="I5997" s="397"/>
      <c r="J5997" s="396"/>
      <c r="K5997" s="396"/>
      <c r="L5997" s="396"/>
      <c r="M5997" s="396"/>
      <c r="N5997" s="396"/>
      <c r="O5997" s="396"/>
      <c r="P5997" s="396"/>
      <c r="Q5997" s="396"/>
      <c r="R5997" s="396"/>
      <c r="S5997" s="396"/>
      <c r="T5997" s="396"/>
      <c r="U5997" s="388"/>
      <c r="V5997" s="396"/>
      <c r="W5997" s="388"/>
      <c r="X5997" s="396"/>
      <c r="Y5997" s="389"/>
      <c r="Z5997" s="396"/>
      <c r="AA5997" s="388"/>
      <c r="AB5997" s="390"/>
    </row>
    <row r="5998" spans="1:28">
      <c r="A5998" s="391"/>
      <c r="B5998" s="392"/>
      <c r="C5998" s="393" t="s">
        <v>199</v>
      </c>
      <c r="D5998" s="2562">
        <f>VLOOKUP(C5995,'Data Panjang Balok'!$C$9:$N$254,7,FALSE)</f>
        <v>1250</v>
      </c>
      <c r="E5998" s="2563"/>
      <c r="F5998" s="2563"/>
      <c r="G5998" s="2563"/>
      <c r="H5998" s="2564"/>
      <c r="I5998" s="397"/>
      <c r="J5998" s="396"/>
      <c r="K5998" s="396"/>
      <c r="L5998" s="396"/>
      <c r="M5998" s="396"/>
      <c r="N5998" s="396"/>
      <c r="O5998" s="396"/>
      <c r="P5998" s="396"/>
      <c r="Q5998" s="396"/>
      <c r="R5998" s="396"/>
      <c r="S5998" s="396"/>
      <c r="T5998" s="396"/>
      <c r="U5998" s="388"/>
      <c r="V5998" s="396"/>
      <c r="W5998" s="388"/>
      <c r="X5998" s="396"/>
      <c r="Y5998" s="389"/>
      <c r="Z5998" s="396"/>
      <c r="AA5998" s="388"/>
      <c r="AB5998" s="390"/>
    </row>
    <row r="5999" spans="1:28">
      <c r="A5999" s="391"/>
      <c r="B5999" s="392"/>
      <c r="C5999" s="393" t="s">
        <v>200</v>
      </c>
      <c r="D5999" s="2562">
        <f>VLOOKUP(C5995,'Data Panjang Balok'!$C$9:$N$254,9,FALSE)</f>
        <v>0</v>
      </c>
      <c r="E5999" s="2563"/>
      <c r="F5999" s="2563"/>
      <c r="G5999" s="2563"/>
      <c r="H5999" s="2564"/>
      <c r="I5999" s="397"/>
      <c r="J5999" s="396"/>
      <c r="K5999" s="396"/>
      <c r="L5999" s="396"/>
      <c r="M5999" s="396"/>
      <c r="N5999" s="396"/>
      <c r="O5999" s="396"/>
      <c r="P5999" s="396"/>
      <c r="Q5999" s="396"/>
      <c r="R5999" s="396"/>
      <c r="S5999" s="396"/>
      <c r="T5999" s="396"/>
      <c r="U5999" s="388"/>
      <c r="V5999" s="396"/>
      <c r="W5999" s="388"/>
      <c r="X5999" s="396"/>
      <c r="Y5999" s="389"/>
      <c r="Z5999" s="396"/>
      <c r="AA5999" s="388"/>
      <c r="AB5999" s="390"/>
    </row>
    <row r="6000" spans="1:28">
      <c r="A6000" s="391"/>
      <c r="B6000" s="392"/>
      <c r="C6000" s="393" t="s">
        <v>201</v>
      </c>
      <c r="D6000" s="2562">
        <f>VLOOKUP(C5995,'Data Panjang Balok'!$C$9:$N$254,10,FALSE)</f>
        <v>0</v>
      </c>
      <c r="E6000" s="2563"/>
      <c r="F6000" s="2563"/>
      <c r="G6000" s="2563"/>
      <c r="H6000" s="2564"/>
      <c r="I6000" s="397"/>
      <c r="J6000" s="396"/>
      <c r="K6000" s="396"/>
      <c r="L6000" s="396"/>
      <c r="M6000" s="396"/>
      <c r="N6000" s="396"/>
      <c r="O6000" s="396"/>
      <c r="P6000" s="396"/>
      <c r="Q6000" s="396"/>
      <c r="R6000" s="396"/>
      <c r="S6000" s="396"/>
      <c r="T6000" s="396"/>
      <c r="U6000" s="388"/>
      <c r="V6000" s="396"/>
      <c r="W6000" s="388"/>
      <c r="X6000" s="396"/>
      <c r="Y6000" s="389"/>
      <c r="Z6000" s="396"/>
      <c r="AA6000" s="388"/>
      <c r="AB6000" s="390"/>
    </row>
    <row r="6001" spans="1:28">
      <c r="A6001" s="391"/>
      <c r="B6001" s="392"/>
      <c r="C6001" s="393" t="s">
        <v>48</v>
      </c>
      <c r="D6001" s="2562">
        <f>VLOOKUP(C5995,'Data Panjang Balok'!$C$9:$N$254,3,FALSE)</f>
        <v>1</v>
      </c>
      <c r="E6001" s="2563"/>
      <c r="F6001" s="2563"/>
      <c r="G6001" s="2563"/>
      <c r="H6001" s="2564"/>
      <c r="I6001" s="397"/>
      <c r="J6001" s="396"/>
      <c r="K6001" s="396"/>
      <c r="L6001" s="396"/>
      <c r="M6001" s="396"/>
      <c r="N6001" s="396"/>
      <c r="O6001" s="396"/>
      <c r="P6001" s="396"/>
      <c r="Q6001" s="396"/>
      <c r="R6001" s="396"/>
      <c r="S6001" s="396"/>
      <c r="T6001" s="396"/>
      <c r="U6001" s="388"/>
      <c r="V6001" s="396"/>
      <c r="W6001" s="388"/>
      <c r="X6001" s="396"/>
      <c r="Y6001" s="389"/>
      <c r="Z6001" s="396"/>
      <c r="AA6001" s="388"/>
      <c r="AB6001" s="390"/>
    </row>
    <row r="6002" spans="1:28">
      <c r="A6002" s="384" t="str">
        <f t="shared" ref="A6002:B6002" si="19408">A5995</f>
        <v>Lantai 3</v>
      </c>
      <c r="B6002" s="385">
        <f t="shared" si="19408"/>
        <v>58</v>
      </c>
      <c r="C6002" s="393" t="s">
        <v>202</v>
      </c>
      <c r="D6002" s="398">
        <f>VLOOKUP(D5995,'Detail Balok'!$C$10:$AU$140,4,FALSE)</f>
        <v>3</v>
      </c>
      <c r="E6002" s="388" t="s">
        <v>16</v>
      </c>
      <c r="F6002" s="388">
        <f>VLOOKUP(D5995,'Detail Balok'!$C$10:$AU$140,6,FALSE)</f>
        <v>16</v>
      </c>
      <c r="G6002" s="388"/>
      <c r="H6002" s="395"/>
      <c r="I6002" s="388" t="s">
        <v>203</v>
      </c>
      <c r="J6002" s="399">
        <f t="shared" ref="J6002" si="19409">+D5997/4/1000</f>
        <v>0.3125</v>
      </c>
      <c r="K6002" s="400" t="s">
        <v>204</v>
      </c>
      <c r="L6002" s="399">
        <f t="shared" ref="L6002" si="19410">MAX(VLOOKUP(F6002,N$6:P$15,3,FALSE)/1000,2/3*D5999/1000)+F$16*F6002/1000</f>
        <v>0.192</v>
      </c>
      <c r="M6002" s="399" t="s">
        <v>176</v>
      </c>
      <c r="N6002" s="399">
        <f t="shared" ref="N6002:N6004" si="19411">J6002+L6002</f>
        <v>0.50449999999999995</v>
      </c>
      <c r="O6002" s="399" t="s">
        <v>204</v>
      </c>
      <c r="P6002" s="389">
        <f t="shared" ref="P6002" si="19412">D6002-D6003</f>
        <v>0</v>
      </c>
      <c r="Q6002" s="399" t="s">
        <v>125</v>
      </c>
      <c r="R6002" s="399">
        <f t="shared" ref="R6002" si="19413">IF(P6002&gt;0,$F$18*F6002/1000,0)</f>
        <v>0</v>
      </c>
      <c r="S6002" s="399" t="s">
        <v>205</v>
      </c>
      <c r="T6002" s="399" t="s">
        <v>125</v>
      </c>
      <c r="U6002" s="401">
        <f t="shared" ref="U6002:U6004" si="19414">0.006165*F6002^2</f>
        <v>1.5782400000000001</v>
      </c>
      <c r="V6002" s="399"/>
      <c r="W6002" s="399"/>
      <c r="X6002" s="399" t="s">
        <v>125</v>
      </c>
      <c r="Y6002" s="389">
        <f t="shared" ref="Y6002" si="19415">D6001</f>
        <v>1</v>
      </c>
      <c r="Z6002" s="400" t="s">
        <v>176</v>
      </c>
      <c r="AA6002" s="402">
        <f t="shared" ref="AA6002" si="19416">IF(AA6005=0,(D6002*N6002+P6002*R6002)*U6002*Y6002,0)</f>
        <v>0</v>
      </c>
      <c r="AB6002" s="403"/>
    </row>
    <row r="6003" spans="1:28">
      <c r="A6003" s="384" t="str">
        <f t="shared" ref="A6003:B6003" si="19417">A5995</f>
        <v>Lantai 3</v>
      </c>
      <c r="B6003" s="385">
        <f t="shared" si="19417"/>
        <v>58</v>
      </c>
      <c r="C6003" s="393" t="s">
        <v>206</v>
      </c>
      <c r="D6003" s="398">
        <f>VLOOKUP(D5995,'Detail Balok'!$C$10:$AU$140,7,FALSE)</f>
        <v>3</v>
      </c>
      <c r="E6003" s="388" t="s">
        <v>16</v>
      </c>
      <c r="F6003" s="388">
        <f>VLOOKUP(D5995,'Detail Balok'!$C$10:$AU$140,9,FALSE)</f>
        <v>16</v>
      </c>
      <c r="G6003" s="388"/>
      <c r="H6003" s="395"/>
      <c r="I6003" s="388" t="s">
        <v>203</v>
      </c>
      <c r="J6003" s="399">
        <f t="shared" ref="J6003" si="19418">+D5997/2/1000</f>
        <v>0.625</v>
      </c>
      <c r="K6003" s="400" t="s">
        <v>204</v>
      </c>
      <c r="L6003" s="399"/>
      <c r="M6003" s="399" t="s">
        <v>176</v>
      </c>
      <c r="N6003" s="399">
        <f t="shared" si="19411"/>
        <v>0.625</v>
      </c>
      <c r="O6003" s="399" t="s">
        <v>204</v>
      </c>
      <c r="P6003" s="389">
        <f t="shared" ref="P6003" si="19419">MAX(D6003-D6002,D6003-D6004)</f>
        <v>0</v>
      </c>
      <c r="Q6003" s="399" t="s">
        <v>125</v>
      </c>
      <c r="R6003" s="399">
        <f t="shared" ref="R6003" si="19420">IF(P6003&gt;0,2*(1-2*$F$19-1/2)*D5998/1000,0)</f>
        <v>0</v>
      </c>
      <c r="S6003" s="399" t="s">
        <v>205</v>
      </c>
      <c r="T6003" s="399" t="s">
        <v>125</v>
      </c>
      <c r="U6003" s="401">
        <f t="shared" si="19414"/>
        <v>1.5782400000000001</v>
      </c>
      <c r="V6003" s="399"/>
      <c r="W6003" s="399"/>
      <c r="X6003" s="399" t="s">
        <v>125</v>
      </c>
      <c r="Y6003" s="389">
        <f t="shared" ref="Y6003" si="19421">D6001</f>
        <v>1</v>
      </c>
      <c r="Z6003" s="400" t="s">
        <v>176</v>
      </c>
      <c r="AA6003" s="402">
        <f t="shared" ref="AA6003" si="19422">IF(AA6005=0,(D6003*N6003+P6003*R6003)*U6003*Y6003,0)</f>
        <v>0</v>
      </c>
      <c r="AB6003" s="403"/>
    </row>
    <row r="6004" spans="1:28">
      <c r="A6004" s="384" t="str">
        <f t="shared" ref="A6004:B6004" si="19423">A5995</f>
        <v>Lantai 3</v>
      </c>
      <c r="B6004" s="385">
        <f t="shared" si="19423"/>
        <v>58</v>
      </c>
      <c r="C6004" s="393" t="s">
        <v>202</v>
      </c>
      <c r="D6004" s="398">
        <f>VLOOKUP(D5995,'Detail Balok'!$C$10:$AU$140,10,FALSE)</f>
        <v>3</v>
      </c>
      <c r="E6004" s="388" t="s">
        <v>16</v>
      </c>
      <c r="F6004" s="388">
        <f>VLOOKUP(D5995,'Detail Balok'!$C$10:$AU$140,12,FALSE)</f>
        <v>16</v>
      </c>
      <c r="G6004" s="388"/>
      <c r="H6004" s="395"/>
      <c r="I6004" s="388" t="s">
        <v>203</v>
      </c>
      <c r="J6004" s="399">
        <f t="shared" ref="J6004" si="19424">+D5997/4/1000</f>
        <v>0.3125</v>
      </c>
      <c r="K6004" s="400" t="s">
        <v>204</v>
      </c>
      <c r="L6004" s="399">
        <f t="shared" ref="L6004" si="19425">MAX(VLOOKUP(F6004,N$6:P$15,3,FALSE)/1000,2/3*D5999/1000)+F$16*F6004/1000</f>
        <v>0.192</v>
      </c>
      <c r="M6004" s="399" t="s">
        <v>176</v>
      </c>
      <c r="N6004" s="399">
        <f t="shared" si="19411"/>
        <v>0.50449999999999995</v>
      </c>
      <c r="O6004" s="399" t="s">
        <v>204</v>
      </c>
      <c r="P6004" s="389">
        <f t="shared" ref="P6004" si="19426">D6004-D6003</f>
        <v>0</v>
      </c>
      <c r="Q6004" s="399" t="s">
        <v>125</v>
      </c>
      <c r="R6004" s="399">
        <f t="shared" ref="R6004" si="19427">IF(P6004&gt;0,$F$18*F6004/1000,0)</f>
        <v>0</v>
      </c>
      <c r="S6004" s="399" t="s">
        <v>205</v>
      </c>
      <c r="T6004" s="399" t="s">
        <v>125</v>
      </c>
      <c r="U6004" s="401">
        <f t="shared" si="19414"/>
        <v>1.5782400000000001</v>
      </c>
      <c r="V6004" s="399"/>
      <c r="W6004" s="399"/>
      <c r="X6004" s="399" t="s">
        <v>125</v>
      </c>
      <c r="Y6004" s="389">
        <f t="shared" ref="Y6004" si="19428">D6001</f>
        <v>1</v>
      </c>
      <c r="Z6004" s="400" t="s">
        <v>176</v>
      </c>
      <c r="AA6004" s="402">
        <f t="shared" ref="AA6004" si="19429">IF(AA6005=0,(D6004*N6004+P6004*R6004)*U6004*Y6004,0)</f>
        <v>0</v>
      </c>
      <c r="AB6004" s="403"/>
    </row>
    <row r="6005" spans="1:28">
      <c r="A6005" s="384" t="str">
        <f t="shared" ref="A6005:B6005" si="19430">A5995</f>
        <v>Lantai 3</v>
      </c>
      <c r="B6005" s="385">
        <f t="shared" si="19430"/>
        <v>58</v>
      </c>
      <c r="C6005" s="393"/>
      <c r="D6005" s="398">
        <f t="shared" si="19326"/>
        <v>3</v>
      </c>
      <c r="E6005" s="388" t="s">
        <v>16</v>
      </c>
      <c r="F6005" s="388">
        <f t="shared" si="19327"/>
        <v>16</v>
      </c>
      <c r="G6005" s="388"/>
      <c r="H6005" s="395"/>
      <c r="I6005" s="388"/>
      <c r="J6005" s="396"/>
      <c r="K6005" s="396"/>
      <c r="L6005" s="404" t="s">
        <v>207</v>
      </c>
      <c r="M6005" s="399" t="s">
        <v>176</v>
      </c>
      <c r="N6005" s="399">
        <f t="shared" ref="N6005" si="19431">IF(AND(D6002=D6003,D6002=D6004,D6003=D6004,F6002=F6003,F6002=F6004,F6003=F6004),SUM(N6002:N6004),0)</f>
        <v>1.6339999999999999</v>
      </c>
      <c r="O6005" s="399" t="s">
        <v>204</v>
      </c>
      <c r="P6005" s="389">
        <f t="shared" ref="P6005" si="19432">IF(N6005&gt;12,ROUNDDOWN(N6005/12,0),0)</f>
        <v>0</v>
      </c>
      <c r="Q6005" s="399" t="s">
        <v>125</v>
      </c>
      <c r="R6005" s="399">
        <f t="shared" ref="R6005" si="19433">IF(P6005&gt;0,MAX(VLOOKUP(F6005,$D$6:$G$15,3,FALSE),600),0)/1000</f>
        <v>0</v>
      </c>
      <c r="S6005" s="396"/>
      <c r="T6005" s="396" t="s">
        <v>125</v>
      </c>
      <c r="U6005" s="401">
        <f t="shared" si="19331"/>
        <v>1.5782400000000001</v>
      </c>
      <c r="V6005" s="396" t="s">
        <v>125</v>
      </c>
      <c r="W6005" s="399">
        <f t="shared" ref="W6005" si="19434">D6005</f>
        <v>3</v>
      </c>
      <c r="X6005" s="399" t="s">
        <v>125</v>
      </c>
      <c r="Y6005" s="389">
        <f t="shared" si="19333"/>
        <v>1</v>
      </c>
      <c r="Z6005" s="400" t="s">
        <v>176</v>
      </c>
      <c r="AA6005" s="402">
        <f t="shared" ref="AA6005" si="19435">(N6005+P6005*R6005/1000)*U6005*W6005*Y6005</f>
        <v>7.7365324800000002</v>
      </c>
      <c r="AB6005" s="390"/>
    </row>
    <row r="6006" spans="1:28">
      <c r="A6006" s="384"/>
      <c r="B6006" s="385"/>
      <c r="C6006" s="393"/>
      <c r="D6006" s="398"/>
      <c r="E6006" s="388"/>
      <c r="F6006" s="388"/>
      <c r="G6006" s="388"/>
      <c r="H6006" s="395"/>
      <c r="I6006" s="388"/>
      <c r="J6006" s="396"/>
      <c r="K6006" s="396"/>
      <c r="L6006" s="404"/>
      <c r="M6006" s="399"/>
      <c r="N6006" s="399"/>
      <c r="O6006" s="396"/>
      <c r="P6006" s="389"/>
      <c r="Q6006" s="396"/>
      <c r="R6006" s="396"/>
      <c r="S6006" s="396"/>
      <c r="T6006" s="396"/>
      <c r="U6006" s="401"/>
      <c r="V6006" s="396"/>
      <c r="W6006" s="399"/>
      <c r="X6006" s="396"/>
      <c r="Y6006" s="389"/>
      <c r="Z6006" s="396"/>
      <c r="AA6006" s="388"/>
      <c r="AB6006" s="390"/>
    </row>
    <row r="6007" spans="1:28">
      <c r="A6007" s="384" t="str">
        <f t="shared" ref="A6007:B6007" si="19436">A5995</f>
        <v>Lantai 3</v>
      </c>
      <c r="B6007" s="385">
        <f t="shared" si="19436"/>
        <v>58</v>
      </c>
      <c r="C6007" s="393" t="s">
        <v>208</v>
      </c>
      <c r="D6007" s="398">
        <f>VLOOKUP(D5995,'Detail Balok'!$C$10:$AU$140,13,FALSE)</f>
        <v>0</v>
      </c>
      <c r="E6007" s="388" t="s">
        <v>16</v>
      </c>
      <c r="F6007" s="388">
        <f>VLOOKUP(D5995,'Detail Balok'!$C$10:$AU$140,15,FALSE)</f>
        <v>8</v>
      </c>
      <c r="G6007" s="388"/>
      <c r="H6007" s="395"/>
      <c r="I6007" s="388"/>
      <c r="J6007" s="399">
        <f t="shared" ref="J6007" si="19437">+D5997/1000</f>
        <v>1.25</v>
      </c>
      <c r="K6007" s="400" t="s">
        <v>204</v>
      </c>
      <c r="L6007" s="399">
        <f t="shared" ref="L6007" si="19438">2*$F$16*F6007/1000</f>
        <v>0.192</v>
      </c>
      <c r="M6007" s="399" t="s">
        <v>176</v>
      </c>
      <c r="N6007" s="399">
        <f t="shared" ref="N6007" si="19439">J6007+L6007</f>
        <v>1.4419999999999999</v>
      </c>
      <c r="O6007" s="399" t="s">
        <v>204</v>
      </c>
      <c r="P6007" s="389">
        <f t="shared" ref="P6007" si="19440">IF(N6007&gt;12,ROUNDDOWN(N6007/12,0),0)</f>
        <v>0</v>
      </c>
      <c r="Q6007" s="399" t="s">
        <v>125</v>
      </c>
      <c r="R6007" s="399">
        <f t="shared" ref="R6007" si="19441">IF(P6007&gt;0,MAX(VLOOKUP(F6007,$D$6:$G$15,3,FALSE),600),0)/1000</f>
        <v>0</v>
      </c>
      <c r="S6007" s="399"/>
      <c r="T6007" s="399" t="s">
        <v>125</v>
      </c>
      <c r="U6007" s="401">
        <f t="shared" ref="U6007" si="19442">0.006165*F6007^2</f>
        <v>0.39456000000000002</v>
      </c>
      <c r="V6007" s="399" t="s">
        <v>125</v>
      </c>
      <c r="W6007" s="399">
        <f t="shared" ref="W6007" si="19443">+D6007</f>
        <v>0</v>
      </c>
      <c r="X6007" s="399" t="s">
        <v>125</v>
      </c>
      <c r="Y6007" s="389">
        <f t="shared" ref="Y6007" si="19444">D6001</f>
        <v>1</v>
      </c>
      <c r="Z6007" s="400" t="s">
        <v>176</v>
      </c>
      <c r="AA6007" s="402">
        <f t="shared" ref="AA6007" si="19445">(N6007+P6007*R6007/1000)*U6007*W6007*Y6007</f>
        <v>0</v>
      </c>
      <c r="AB6007" s="403"/>
    </row>
    <row r="6008" spans="1:28">
      <c r="A6008" s="384"/>
      <c r="B6008" s="385"/>
      <c r="C6008" s="393"/>
      <c r="D6008" s="398"/>
      <c r="E6008" s="388"/>
      <c r="F6008" s="388"/>
      <c r="G6008" s="388"/>
      <c r="H6008" s="395"/>
      <c r="I6008" s="388"/>
      <c r="J6008" s="399"/>
      <c r="K6008" s="400"/>
      <c r="L6008" s="399"/>
      <c r="M6008" s="399"/>
      <c r="N6008" s="399"/>
      <c r="O6008" s="399"/>
      <c r="P6008" s="389"/>
      <c r="Q6008" s="399"/>
      <c r="R6008" s="399"/>
      <c r="S6008" s="399"/>
      <c r="T6008" s="399"/>
      <c r="U6008" s="401"/>
      <c r="V6008" s="399"/>
      <c r="W6008" s="399"/>
      <c r="X6008" s="399"/>
      <c r="Y6008" s="389"/>
      <c r="Z6008" s="400"/>
      <c r="AA6008" s="402"/>
      <c r="AB6008" s="403"/>
    </row>
    <row r="6009" spans="1:28">
      <c r="A6009" s="384"/>
      <c r="B6009" s="385"/>
      <c r="C6009" s="393"/>
      <c r="D6009" s="398"/>
      <c r="E6009" s="388"/>
      <c r="F6009" s="388"/>
      <c r="G6009" s="388"/>
      <c r="H6009" s="395"/>
      <c r="I6009" s="388"/>
      <c r="J6009" s="396"/>
      <c r="K6009" s="396"/>
      <c r="L6009" s="396"/>
      <c r="M6009" s="396"/>
      <c r="N6009" s="396"/>
      <c r="O6009" s="396"/>
      <c r="P6009" s="389"/>
      <c r="Q6009" s="396"/>
      <c r="R6009" s="396"/>
      <c r="S6009" s="396"/>
      <c r="T6009" s="396"/>
      <c r="U6009" s="401"/>
      <c r="V6009" s="396"/>
      <c r="W6009" s="399"/>
      <c r="X6009" s="396"/>
      <c r="Y6009" s="389"/>
      <c r="Z6009" s="396"/>
      <c r="AA6009" s="388"/>
      <c r="AB6009" s="390"/>
    </row>
    <row r="6010" spans="1:28">
      <c r="A6010" s="384" t="str">
        <f t="shared" ref="A6010:B6010" si="19446">A5995</f>
        <v>Lantai 3</v>
      </c>
      <c r="B6010" s="385">
        <f t="shared" si="19446"/>
        <v>58</v>
      </c>
      <c r="C6010" s="393" t="s">
        <v>209</v>
      </c>
      <c r="D6010" s="398">
        <f>VLOOKUP(D5995,'Detail Balok'!$C$10:$AU$140,22,FALSE)</f>
        <v>3</v>
      </c>
      <c r="E6010" s="388" t="s">
        <v>16</v>
      </c>
      <c r="F6010" s="388">
        <f>VLOOKUP(D5995,'Detail Balok'!$C$10:$AU$140,24,FALSE)</f>
        <v>16</v>
      </c>
      <c r="G6010" s="388"/>
      <c r="H6010" s="395"/>
      <c r="I6010" s="388" t="s">
        <v>203</v>
      </c>
      <c r="J6010" s="399">
        <f t="shared" si="19346"/>
        <v>0.3125</v>
      </c>
      <c r="K6010" s="400" t="s">
        <v>204</v>
      </c>
      <c r="L6010" s="399">
        <f t="shared" ref="L6010" si="19447">MAX(VLOOKUP(F6010,N$6:P$15,3,FALSE)/1000,2/3*D6000/1000)+F$16*F6010/1000</f>
        <v>0.192</v>
      </c>
      <c r="M6010" s="399" t="s">
        <v>176</v>
      </c>
      <c r="N6010" s="399">
        <f t="shared" ref="N6010:N6012" si="19448">J6010+L6010</f>
        <v>0.50449999999999995</v>
      </c>
      <c r="O6010" s="399" t="s">
        <v>204</v>
      </c>
      <c r="P6010" s="389">
        <f t="shared" ref="P6010" si="19449">D6010-D6011</f>
        <v>0</v>
      </c>
      <c r="Q6010" s="399" t="s">
        <v>125</v>
      </c>
      <c r="R6010" s="399">
        <f t="shared" ref="R6010" si="19450">IF(P6010&gt;0,$F$18*F6010/1000,0)</f>
        <v>0</v>
      </c>
      <c r="S6010" s="399" t="s">
        <v>205</v>
      </c>
      <c r="T6010" s="399" t="s">
        <v>125</v>
      </c>
      <c r="U6010" s="401">
        <f t="shared" ref="U6010:U6012" si="19451">0.006165*F6010^2</f>
        <v>1.5782400000000001</v>
      </c>
      <c r="V6010" s="399"/>
      <c r="W6010" s="399"/>
      <c r="X6010" s="399" t="s">
        <v>125</v>
      </c>
      <c r="Y6010" s="389">
        <f t="shared" ref="Y6010" si="19452">D6001</f>
        <v>1</v>
      </c>
      <c r="Z6010" s="400" t="s">
        <v>176</v>
      </c>
      <c r="AA6010" s="402">
        <f t="shared" ref="AA6010" si="19453">IF(AA6013=0,(D6010*N6010+P6010*R6010)*U6010*Y6010,0)</f>
        <v>0</v>
      </c>
      <c r="AB6010" s="403"/>
    </row>
    <row r="6011" spans="1:28">
      <c r="A6011" s="384" t="str">
        <f t="shared" ref="A6011:B6011" si="19454">A5995</f>
        <v>Lantai 3</v>
      </c>
      <c r="B6011" s="385">
        <f t="shared" si="19454"/>
        <v>58</v>
      </c>
      <c r="C6011" s="393" t="s">
        <v>210</v>
      </c>
      <c r="D6011" s="398">
        <f>VLOOKUP(D5995,'Detail Balok'!$C$10:$AU$140,25,FALSE)</f>
        <v>3</v>
      </c>
      <c r="E6011" s="388" t="s">
        <v>16</v>
      </c>
      <c r="F6011" s="388">
        <f>VLOOKUP(D5995,'Detail Balok'!$C$10:$AU$140,27,FALSE)</f>
        <v>16</v>
      </c>
      <c r="G6011" s="388"/>
      <c r="H6011" s="395"/>
      <c r="I6011" s="388" t="s">
        <v>203</v>
      </c>
      <c r="J6011" s="399">
        <f t="shared" si="19346"/>
        <v>0.625</v>
      </c>
      <c r="K6011" s="400" t="s">
        <v>204</v>
      </c>
      <c r="L6011" s="399"/>
      <c r="M6011" s="399" t="s">
        <v>176</v>
      </c>
      <c r="N6011" s="399">
        <f t="shared" si="19448"/>
        <v>0.625</v>
      </c>
      <c r="O6011" s="399" t="s">
        <v>204</v>
      </c>
      <c r="P6011" s="389">
        <f t="shared" ref="P6011" si="19455">MAX(D6011-D6010,D6011-D6012)</f>
        <v>0</v>
      </c>
      <c r="Q6011" s="399" t="s">
        <v>125</v>
      </c>
      <c r="R6011" s="399">
        <f t="shared" ref="R6011" si="19456">IF(P6011&gt;0,2*(1-2*$F$19-1/2)*D5998/1000,0)</f>
        <v>0</v>
      </c>
      <c r="S6011" s="399" t="s">
        <v>205</v>
      </c>
      <c r="T6011" s="399" t="s">
        <v>125</v>
      </c>
      <c r="U6011" s="401">
        <f t="shared" si="19451"/>
        <v>1.5782400000000001</v>
      </c>
      <c r="V6011" s="399"/>
      <c r="W6011" s="399"/>
      <c r="X6011" s="399" t="s">
        <v>125</v>
      </c>
      <c r="Y6011" s="389">
        <f t="shared" ref="Y6011" si="19457">D6001</f>
        <v>1</v>
      </c>
      <c r="Z6011" s="400" t="s">
        <v>176</v>
      </c>
      <c r="AA6011" s="402">
        <f t="shared" ref="AA6011" si="19458">IF(AA6013=0,(D6011*N6011+P6011*R6011)*U6011*Y6011,0)</f>
        <v>0</v>
      </c>
      <c r="AB6011" s="403"/>
    </row>
    <row r="6012" spans="1:28">
      <c r="A6012" s="384" t="str">
        <f t="shared" ref="A6012:B6012" si="19459">A5995</f>
        <v>Lantai 3</v>
      </c>
      <c r="B6012" s="385">
        <f t="shared" si="19459"/>
        <v>58</v>
      </c>
      <c r="C6012" s="393" t="s">
        <v>209</v>
      </c>
      <c r="D6012" s="398">
        <f>VLOOKUP(D5995,'Detail Balok'!$C$10:$AU$140,28,FALSE)</f>
        <v>3</v>
      </c>
      <c r="E6012" s="388" t="s">
        <v>16</v>
      </c>
      <c r="F6012" s="388">
        <f>VLOOKUP(D5995,'Detail Balok'!$C$10:$AU$140,30,FALSE)</f>
        <v>16</v>
      </c>
      <c r="G6012" s="388"/>
      <c r="H6012" s="395"/>
      <c r="I6012" s="388" t="s">
        <v>203</v>
      </c>
      <c r="J6012" s="399">
        <f t="shared" si="19346"/>
        <v>0.3125</v>
      </c>
      <c r="K6012" s="400" t="s">
        <v>204</v>
      </c>
      <c r="L6012" s="399">
        <f t="shared" ref="L6012" si="19460">MAX(VLOOKUP(F6012,N$6:P$15,3,FALSE)/1000,2/3*D6000/1000)+F$16*F6012/1000</f>
        <v>0.192</v>
      </c>
      <c r="M6012" s="399" t="s">
        <v>176</v>
      </c>
      <c r="N6012" s="399">
        <f t="shared" si="19448"/>
        <v>0.50449999999999995</v>
      </c>
      <c r="O6012" s="399" t="s">
        <v>204</v>
      </c>
      <c r="P6012" s="389">
        <f t="shared" ref="P6012" si="19461">D6012-D6011</f>
        <v>0</v>
      </c>
      <c r="Q6012" s="399" t="s">
        <v>125</v>
      </c>
      <c r="R6012" s="399">
        <f t="shared" ref="R6012" si="19462">IF(P6012&gt;0,$F$18*F6012/1000,0)</f>
        <v>0</v>
      </c>
      <c r="S6012" s="399" t="s">
        <v>205</v>
      </c>
      <c r="T6012" s="399" t="s">
        <v>125</v>
      </c>
      <c r="U6012" s="401">
        <f t="shared" si="19451"/>
        <v>1.5782400000000001</v>
      </c>
      <c r="V6012" s="399"/>
      <c r="W6012" s="399"/>
      <c r="X6012" s="399" t="s">
        <v>125</v>
      </c>
      <c r="Y6012" s="389">
        <f t="shared" ref="Y6012" si="19463">D6001</f>
        <v>1</v>
      </c>
      <c r="Z6012" s="400" t="s">
        <v>176</v>
      </c>
      <c r="AA6012" s="402">
        <f t="shared" ref="AA6012" si="19464">IF(AA6013=0,(D6012*N6012+P6012*R6012)*U6012*Y6012,0)</f>
        <v>0</v>
      </c>
      <c r="AB6012" s="403"/>
    </row>
    <row r="6013" spans="1:28">
      <c r="A6013" s="384" t="str">
        <f t="shared" ref="A6013:B6013" si="19465">A5995</f>
        <v>Lantai 3</v>
      </c>
      <c r="B6013" s="385">
        <f t="shared" si="19465"/>
        <v>58</v>
      </c>
      <c r="C6013" s="393"/>
      <c r="D6013" s="398">
        <f t="shared" si="19366"/>
        <v>3</v>
      </c>
      <c r="E6013" s="388" t="s">
        <v>16</v>
      </c>
      <c r="F6013" s="388">
        <f t="shared" si="19367"/>
        <v>16</v>
      </c>
      <c r="G6013" s="388"/>
      <c r="H6013" s="395"/>
      <c r="I6013" s="388"/>
      <c r="J6013" s="396"/>
      <c r="K6013" s="396"/>
      <c r="L6013" s="404" t="s">
        <v>207</v>
      </c>
      <c r="M6013" s="399" t="s">
        <v>176</v>
      </c>
      <c r="N6013" s="399">
        <f t="shared" ref="N6013" si="19466">IF(AND(D6010=D6011,D6010=D6012,D6011=D6012,F6010=F6011,F6010=F6012,F6011=F6012),SUM(N6010:N6012),0)</f>
        <v>1.6339999999999999</v>
      </c>
      <c r="O6013" s="399" t="s">
        <v>204</v>
      </c>
      <c r="P6013" s="389">
        <f t="shared" ref="P6013" si="19467">IF(N6013&gt;12,ROUNDDOWN(N6013/12,0),0)</f>
        <v>0</v>
      </c>
      <c r="Q6013" s="399" t="s">
        <v>125</v>
      </c>
      <c r="R6013" s="399">
        <f t="shared" ref="R6013" si="19468">IF(P6013&gt;0,MAX(VLOOKUP(F6013,$D$6:$G$15,3,FALSE),600),0)/1000</f>
        <v>0</v>
      </c>
      <c r="S6013" s="396"/>
      <c r="T6013" s="396" t="s">
        <v>125</v>
      </c>
      <c r="U6013" s="401">
        <f t="shared" si="19371"/>
        <v>1.5782400000000001</v>
      </c>
      <c r="V6013" s="396" t="s">
        <v>125</v>
      </c>
      <c r="W6013" s="399">
        <f t="shared" ref="W6013" si="19469">D6013</f>
        <v>3</v>
      </c>
      <c r="X6013" s="399" t="s">
        <v>125</v>
      </c>
      <c r="Y6013" s="389">
        <f t="shared" si="19373"/>
        <v>1</v>
      </c>
      <c r="Z6013" s="400" t="s">
        <v>176</v>
      </c>
      <c r="AA6013" s="402">
        <f t="shared" ref="AA6013" si="19470">(N6013+P6013*R6013/1000)*U6013*W6013*Y6013</f>
        <v>7.7365324800000002</v>
      </c>
      <c r="AB6013" s="403"/>
    </row>
    <row r="6014" spans="1:28">
      <c r="A6014" s="384"/>
      <c r="B6014" s="385"/>
      <c r="C6014" s="393"/>
      <c r="D6014" s="394"/>
      <c r="E6014" s="388"/>
      <c r="F6014" s="388"/>
      <c r="G6014" s="388"/>
      <c r="H6014" s="395"/>
      <c r="I6014" s="388"/>
      <c r="J6014" s="399"/>
      <c r="K6014" s="396"/>
      <c r="L6014" s="396"/>
      <c r="M6014" s="396"/>
      <c r="N6014" s="396"/>
      <c r="O6014" s="396"/>
      <c r="P6014" s="389"/>
      <c r="Q6014" s="396"/>
      <c r="R6014" s="396"/>
      <c r="S6014" s="396"/>
      <c r="T6014" s="396"/>
      <c r="U6014" s="401"/>
      <c r="V6014" s="396"/>
      <c r="W6014" s="388"/>
      <c r="X6014" s="396"/>
      <c r="Y6014" s="389"/>
      <c r="Z6014" s="396"/>
      <c r="AA6014" s="388"/>
      <c r="AB6014" s="390"/>
    </row>
    <row r="6015" spans="1:28">
      <c r="A6015" s="384" t="str">
        <f t="shared" ref="A6015:B6015" si="19471">A5995</f>
        <v>Lantai 3</v>
      </c>
      <c r="B6015" s="385">
        <f t="shared" si="19471"/>
        <v>58</v>
      </c>
      <c r="C6015" s="393" t="s">
        <v>211</v>
      </c>
      <c r="D6015" s="398">
        <f>VLOOKUP(D5995,'Detail Balok'!$C$10:$AU$140,31,FALSE)</f>
        <v>0</v>
      </c>
      <c r="E6015" s="388" t="s">
        <v>16</v>
      </c>
      <c r="F6015" s="388">
        <f>VLOOKUP(D5995,'Detail Balok'!$C$10:$AU$140,33,FALSE)</f>
        <v>10</v>
      </c>
      <c r="G6015" s="405" t="s">
        <v>157</v>
      </c>
      <c r="H6015" s="395">
        <f>VLOOKUP(D5995,'Detail Balok'!$C$10:$AU$140,35,FALSE)</f>
        <v>100</v>
      </c>
      <c r="I6015" s="388"/>
      <c r="J6015" s="400">
        <f t="shared" ref="J6015" si="19472">(IF(D6015=0,(2*(D5996+G5996))-(F$5*8),IF(D6015=3,(2*(D5996+G5996))-(F$5*8)+(G5996-2*F$5),IF(D6015=4,(2*(D5996+G5996))-(F$5*8)+2*(G5996-2*F$5)))))/1000</f>
        <v>0.88</v>
      </c>
      <c r="K6015" s="400" t="s">
        <v>204</v>
      </c>
      <c r="L6015" s="399">
        <f t="shared" ref="L6015:L6017" si="19473">IF(D6015=0,2*MAX(6*F6015,75),(D6015-1)*2*MAX(6*F6015,75))/1000</f>
        <v>0.15</v>
      </c>
      <c r="M6015" s="399" t="s">
        <v>176</v>
      </c>
      <c r="N6015" s="399">
        <f t="shared" ref="N6015:N6017" si="19474">J6015+L6015</f>
        <v>1.03</v>
      </c>
      <c r="O6015" s="399"/>
      <c r="P6015" s="389"/>
      <c r="Q6015" s="399"/>
      <c r="R6015" s="399"/>
      <c r="S6015" s="399"/>
      <c r="T6015" s="399" t="s">
        <v>125</v>
      </c>
      <c r="U6015" s="401">
        <f t="shared" ref="U6015:U6017" si="19475">0.006165*F6015^2</f>
        <v>0.61650000000000005</v>
      </c>
      <c r="V6015" s="399" t="s">
        <v>125</v>
      </c>
      <c r="W6015" s="399">
        <f t="shared" ref="W6015" si="19476">IF(D5998&gt;4*G5996,ROUND(MAX(D5998/4,2*G5996)/H6015,0)+1,ROUND(D5998/H6015,0)+1)</f>
        <v>14</v>
      </c>
      <c r="X6015" s="399" t="s">
        <v>125</v>
      </c>
      <c r="Y6015" s="389">
        <f t="shared" ref="Y6015" si="19477">D6001</f>
        <v>1</v>
      </c>
      <c r="Z6015" s="400" t="s">
        <v>176</v>
      </c>
      <c r="AA6015" s="402">
        <f t="shared" ref="AA6015:AA6017" si="19478">N6015*U6015*W6015*Y6015</f>
        <v>8.8899300000000014</v>
      </c>
      <c r="AB6015" s="403"/>
    </row>
    <row r="6016" spans="1:28">
      <c r="A6016" s="384" t="str">
        <f t="shared" ref="A6016:B6016" si="19479">A5995</f>
        <v>Lantai 3</v>
      </c>
      <c r="B6016" s="385">
        <f t="shared" si="19479"/>
        <v>58</v>
      </c>
      <c r="C6016" s="393" t="s">
        <v>212</v>
      </c>
      <c r="D6016" s="398">
        <f>VLOOKUP(D5995,'Detail Balok'!$C$10:$AU$140,36,FALSE)</f>
        <v>0</v>
      </c>
      <c r="E6016" s="388" t="s">
        <v>16</v>
      </c>
      <c r="F6016" s="388">
        <f>VLOOKUP(D5995,'Detail Balok'!$C$10:$AU$140,38,FALSE)</f>
        <v>10</v>
      </c>
      <c r="G6016" s="405" t="s">
        <v>157</v>
      </c>
      <c r="H6016" s="395">
        <f>VLOOKUP(D5995,'Detail Balok'!$C$10:$AU$140,40,FALSE)</f>
        <v>100</v>
      </c>
      <c r="I6016" s="388"/>
      <c r="J6016" s="400">
        <f t="shared" ref="J6016" si="19480">(IF(D6016=0,(2*(D5996+G5996))-(F$5*8),IF(D6016=3,(2*(D5996+G5996))-(F$5*8)+(G5996-2*F$5),IF(D6016=4,(2*(D5996+G5996))-(F$5*8)+2*(G5996-2*F$5)))))/1000</f>
        <v>0.88</v>
      </c>
      <c r="K6016" s="400" t="s">
        <v>204</v>
      </c>
      <c r="L6016" s="399">
        <f t="shared" si="19473"/>
        <v>0.15</v>
      </c>
      <c r="M6016" s="399" t="s">
        <v>176</v>
      </c>
      <c r="N6016" s="399">
        <f t="shared" si="19474"/>
        <v>1.03</v>
      </c>
      <c r="O6016" s="399"/>
      <c r="P6016" s="389"/>
      <c r="Q6016" s="399"/>
      <c r="R6016" s="399"/>
      <c r="S6016" s="399"/>
      <c r="T6016" s="399" t="s">
        <v>125</v>
      </c>
      <c r="U6016" s="401">
        <f t="shared" si="19475"/>
        <v>0.61650000000000005</v>
      </c>
      <c r="V6016" s="399" t="s">
        <v>125</v>
      </c>
      <c r="W6016" s="399">
        <f t="shared" ref="W6016" si="19481">IF(D5998-MAX(D5998/4,2*G5996)*2&gt;0,ROUND((D5998-MAX(D5998/4,2*G5996)*2)/H6016,0),0)</f>
        <v>0</v>
      </c>
      <c r="X6016" s="399" t="s">
        <v>125</v>
      </c>
      <c r="Y6016" s="389">
        <f t="shared" ref="Y6016" si="19482">D6001</f>
        <v>1</v>
      </c>
      <c r="Z6016" s="400" t="s">
        <v>176</v>
      </c>
      <c r="AA6016" s="402">
        <f t="shared" si="19478"/>
        <v>0</v>
      </c>
      <c r="AB6016" s="403"/>
    </row>
    <row r="6017" spans="1:28">
      <c r="A6017" s="384" t="str">
        <f t="shared" ref="A6017:B6017" si="19483">A5995</f>
        <v>Lantai 3</v>
      </c>
      <c r="B6017" s="385">
        <f t="shared" si="19483"/>
        <v>58</v>
      </c>
      <c r="C6017" s="393" t="s">
        <v>211</v>
      </c>
      <c r="D6017" s="398">
        <f>VLOOKUP(D5995,'Detail Balok'!$C$10:$AU$140,41,FALSE)</f>
        <v>0</v>
      </c>
      <c r="E6017" s="388" t="s">
        <v>16</v>
      </c>
      <c r="F6017" s="388">
        <f>VLOOKUP(D5995,'Detail Balok'!$C$10:$AU$140,43,FALSE)</f>
        <v>10</v>
      </c>
      <c r="G6017" s="405" t="s">
        <v>157</v>
      </c>
      <c r="H6017" s="395">
        <f>VLOOKUP(D5995,'Detail Balok'!$C$10:$AU$140,45,FALSE)</f>
        <v>100</v>
      </c>
      <c r="I6017" s="388"/>
      <c r="J6017" s="400">
        <f t="shared" ref="J6017" si="19484">(IF(D6017=0,(2*(D5996+G5996))-(F$5*8),IF(D6017=3,(2*(D5996+G5996))-(F$5*8)+(G5996-2*F$5),IF(D6017=4,(2*(D5996+G5996))-(F$5*8)+2*(G5996-2*F$5)))))/1000</f>
        <v>0.88</v>
      </c>
      <c r="K6017" s="400" t="s">
        <v>204</v>
      </c>
      <c r="L6017" s="399">
        <f t="shared" si="19473"/>
        <v>0.15</v>
      </c>
      <c r="M6017" s="399" t="s">
        <v>176</v>
      </c>
      <c r="N6017" s="399">
        <f t="shared" si="19474"/>
        <v>1.03</v>
      </c>
      <c r="O6017" s="399"/>
      <c r="P6017" s="389"/>
      <c r="Q6017" s="399"/>
      <c r="R6017" s="399"/>
      <c r="S6017" s="399"/>
      <c r="T6017" s="399" t="s">
        <v>125</v>
      </c>
      <c r="U6017" s="401">
        <f t="shared" si="19475"/>
        <v>0.61650000000000005</v>
      </c>
      <c r="V6017" s="399" t="s">
        <v>125</v>
      </c>
      <c r="W6017" s="399">
        <f t="shared" ref="W6017" si="19485">IF(D5998&gt;4*G5996,ROUND(MAX(D5998/4,2*G5996)/H6017,0)+1,0)</f>
        <v>0</v>
      </c>
      <c r="X6017" s="399" t="s">
        <v>125</v>
      </c>
      <c r="Y6017" s="389">
        <f t="shared" ref="Y6017" si="19486">D6001</f>
        <v>1</v>
      </c>
      <c r="Z6017" s="400" t="s">
        <v>176</v>
      </c>
      <c r="AA6017" s="402">
        <f t="shared" si="19478"/>
        <v>0</v>
      </c>
      <c r="AB6017" s="403"/>
    </row>
    <row r="6018" spans="1:28">
      <c r="A6018" s="384"/>
      <c r="B6018" s="385"/>
      <c r="C6018" s="393"/>
      <c r="D6018" s="394"/>
      <c r="E6018" s="388"/>
      <c r="F6018" s="388"/>
      <c r="G6018" s="388"/>
      <c r="H6018" s="395"/>
      <c r="I6018" s="388"/>
      <c r="J6018" s="399"/>
      <c r="K6018" s="396"/>
      <c r="L6018" s="396"/>
      <c r="M6018" s="396"/>
      <c r="N6018" s="396"/>
      <c r="O6018" s="396"/>
      <c r="P6018" s="389"/>
      <c r="Q6018" s="396"/>
      <c r="R6018" s="396"/>
      <c r="S6018" s="396"/>
      <c r="T6018" s="396"/>
      <c r="U6018" s="401"/>
      <c r="V6018" s="396"/>
      <c r="W6018" s="388"/>
      <c r="X6018" s="396"/>
      <c r="Y6018" s="389"/>
      <c r="Z6018" s="396"/>
      <c r="AA6018" s="388"/>
      <c r="AB6018" s="390"/>
    </row>
    <row r="6019" spans="1:28">
      <c r="A6019" s="384" t="str">
        <f t="shared" ref="A6019:B6019" si="19487">A5995</f>
        <v>Lantai 3</v>
      </c>
      <c r="B6019" s="385">
        <f t="shared" si="19487"/>
        <v>58</v>
      </c>
      <c r="C6019" s="393" t="s">
        <v>213</v>
      </c>
      <c r="D6019" s="398">
        <f>VLOOKUP(D5995,'Detail Balok'!$C$10:$BJ$140,46,FALSE)</f>
        <v>0</v>
      </c>
      <c r="E6019" s="388" t="s">
        <v>16</v>
      </c>
      <c r="F6019" s="388">
        <f>VLOOKUP(D5995,'Detail Balok'!$C$10:$BJ$140,48,FALSE)</f>
        <v>0</v>
      </c>
      <c r="G6019" s="405" t="s">
        <v>157</v>
      </c>
      <c r="H6019" s="395">
        <f>VLOOKUP(D5995,'Detail Balok'!$C$10:$BJ$140,50,FALSE)</f>
        <v>100</v>
      </c>
      <c r="I6019" s="388"/>
      <c r="J6019" s="399">
        <f t="shared" ref="J6019" si="19488">(D5996-2*F$5)/1000</f>
        <v>0.12</v>
      </c>
      <c r="K6019" s="400" t="s">
        <v>204</v>
      </c>
      <c r="L6019" s="399">
        <f t="shared" ref="L6019:L6021" si="19489">IF(D6019=0,2*MAX(6*F6019,75),(D6019-1)*2*MAX(6*F6019,75))/1000</f>
        <v>0.15</v>
      </c>
      <c r="M6019" s="399" t="s">
        <v>176</v>
      </c>
      <c r="N6019" s="399">
        <f t="shared" ref="N6019:N6021" si="19490">J6019+L6019</f>
        <v>0.27</v>
      </c>
      <c r="O6019" s="399"/>
      <c r="P6019" s="399"/>
      <c r="Q6019" s="399"/>
      <c r="R6019" s="399"/>
      <c r="S6019" s="399"/>
      <c r="T6019" s="399" t="s">
        <v>125</v>
      </c>
      <c r="U6019" s="401">
        <f t="shared" ref="U6019:U6021" si="19491">0.006165*F6019^2</f>
        <v>0</v>
      </c>
      <c r="V6019" s="399" t="s">
        <v>125</v>
      </c>
      <c r="W6019" s="399">
        <f t="shared" si="19396"/>
        <v>14</v>
      </c>
      <c r="X6019" s="399" t="s">
        <v>125</v>
      </c>
      <c r="Y6019" s="389">
        <f t="shared" ref="Y6019" si="19492">D6005</f>
        <v>3</v>
      </c>
      <c r="Z6019" s="400" t="s">
        <v>176</v>
      </c>
      <c r="AA6019" s="402">
        <f t="shared" ref="AA6019:AA6021" si="19493">N6019*U6019*W6019*Y6019</f>
        <v>0</v>
      </c>
      <c r="AB6019" s="403"/>
    </row>
    <row r="6020" spans="1:28">
      <c r="A6020" s="384" t="str">
        <f t="shared" ref="A6020:B6020" si="19494">A5995</f>
        <v>Lantai 3</v>
      </c>
      <c r="B6020" s="385">
        <f t="shared" si="19494"/>
        <v>58</v>
      </c>
      <c r="C6020" s="393" t="s">
        <v>214</v>
      </c>
      <c r="D6020" s="398">
        <f>VLOOKUP(D5995,'Detail Balok'!$C$10:$BJ$140,51,FALSE)</f>
        <v>0</v>
      </c>
      <c r="E6020" s="388" t="s">
        <v>16</v>
      </c>
      <c r="F6020" s="388">
        <f>VLOOKUP(D5995,'Detail Balok'!$C$10:$BJ$140,53,FALSE)</f>
        <v>0</v>
      </c>
      <c r="G6020" s="405" t="s">
        <v>157</v>
      </c>
      <c r="H6020" s="395">
        <f>VLOOKUP(D5995,'Detail Balok'!$C$10:$BJ$140,55,FALSE)</f>
        <v>100</v>
      </c>
      <c r="I6020" s="388"/>
      <c r="J6020" s="399">
        <f t="shared" ref="J6020" si="19495">(D5996-2*F$5)/1000</f>
        <v>0.12</v>
      </c>
      <c r="K6020" s="400" t="s">
        <v>204</v>
      </c>
      <c r="L6020" s="399">
        <f t="shared" si="19489"/>
        <v>0.15</v>
      </c>
      <c r="M6020" s="399" t="s">
        <v>176</v>
      </c>
      <c r="N6020" s="399">
        <f t="shared" si="19490"/>
        <v>0.27</v>
      </c>
      <c r="O6020" s="399"/>
      <c r="P6020" s="399"/>
      <c r="Q6020" s="399"/>
      <c r="R6020" s="399"/>
      <c r="S6020" s="399"/>
      <c r="T6020" s="399" t="s">
        <v>125</v>
      </c>
      <c r="U6020" s="401">
        <f t="shared" si="19491"/>
        <v>0</v>
      </c>
      <c r="V6020" s="399" t="s">
        <v>125</v>
      </c>
      <c r="W6020" s="399">
        <f t="shared" si="19396"/>
        <v>0</v>
      </c>
      <c r="X6020" s="399" t="s">
        <v>125</v>
      </c>
      <c r="Y6020" s="389">
        <f t="shared" ref="Y6020" si="19496">D6005</f>
        <v>3</v>
      </c>
      <c r="Z6020" s="400" t="s">
        <v>176</v>
      </c>
      <c r="AA6020" s="402">
        <f t="shared" si="19493"/>
        <v>0</v>
      </c>
      <c r="AB6020" s="403"/>
    </row>
    <row r="6021" spans="1:28">
      <c r="A6021" s="384" t="str">
        <f t="shared" ref="A6021:B6021" si="19497">A5995</f>
        <v>Lantai 3</v>
      </c>
      <c r="B6021" s="385">
        <f t="shared" si="19497"/>
        <v>58</v>
      </c>
      <c r="C6021" s="393" t="s">
        <v>213</v>
      </c>
      <c r="D6021" s="398">
        <f>VLOOKUP(D5995,'Detail Balok'!$C$10:$BJ$140,56,FALSE)</f>
        <v>0</v>
      </c>
      <c r="E6021" s="388" t="s">
        <v>16</v>
      </c>
      <c r="F6021" s="388">
        <f>VLOOKUP(D5995,'Detail Balok'!$C$10:$BJ$140,58,FALSE)</f>
        <v>0</v>
      </c>
      <c r="G6021" s="405" t="s">
        <v>157</v>
      </c>
      <c r="H6021" s="395">
        <f>VLOOKUP(D5995,'Detail Balok'!$C$10:$BJ$140,60,FALSE)</f>
        <v>100</v>
      </c>
      <c r="I6021" s="388"/>
      <c r="J6021" s="399">
        <f t="shared" ref="J6021" si="19498">(D5996-2*F$5)/1000</f>
        <v>0.12</v>
      </c>
      <c r="K6021" s="400" t="s">
        <v>204</v>
      </c>
      <c r="L6021" s="399">
        <f t="shared" si="19489"/>
        <v>0.15</v>
      </c>
      <c r="M6021" s="399" t="s">
        <v>176</v>
      </c>
      <c r="N6021" s="399">
        <f t="shared" si="19490"/>
        <v>0.27</v>
      </c>
      <c r="O6021" s="399"/>
      <c r="P6021" s="399"/>
      <c r="Q6021" s="399"/>
      <c r="R6021" s="399"/>
      <c r="S6021" s="399"/>
      <c r="T6021" s="399" t="s">
        <v>125</v>
      </c>
      <c r="U6021" s="401">
        <f t="shared" si="19491"/>
        <v>0</v>
      </c>
      <c r="V6021" s="399" t="s">
        <v>125</v>
      </c>
      <c r="W6021" s="399">
        <f t="shared" si="19396"/>
        <v>0</v>
      </c>
      <c r="X6021" s="399" t="s">
        <v>125</v>
      </c>
      <c r="Y6021" s="389">
        <f t="shared" ref="Y6021" si="19499">D6005</f>
        <v>3</v>
      </c>
      <c r="Z6021" s="400" t="s">
        <v>176</v>
      </c>
      <c r="AA6021" s="402">
        <f t="shared" si="19493"/>
        <v>0</v>
      </c>
      <c r="AB6021" s="403"/>
    </row>
    <row r="6022" spans="1:28">
      <c r="A6022" s="391"/>
      <c r="B6022" s="392"/>
      <c r="C6022" s="392"/>
      <c r="D6022" s="394"/>
      <c r="E6022" s="388"/>
      <c r="F6022" s="388"/>
      <c r="G6022" s="388"/>
      <c r="H6022" s="395"/>
      <c r="I6022" s="388"/>
      <c r="J6022" s="402"/>
      <c r="K6022" s="388"/>
      <c r="L6022" s="388"/>
      <c r="M6022" s="388"/>
      <c r="N6022" s="388"/>
      <c r="O6022" s="388"/>
      <c r="P6022" s="388"/>
      <c r="Q6022" s="388"/>
      <c r="R6022" s="388"/>
      <c r="S6022" s="388"/>
      <c r="T6022" s="388"/>
      <c r="U6022" s="388"/>
      <c r="V6022" s="388"/>
      <c r="W6022" s="388"/>
      <c r="X6022" s="388"/>
      <c r="Y6022" s="389"/>
      <c r="Z6022" s="388"/>
      <c r="AA6022" s="402"/>
      <c r="AB6022" s="403"/>
    </row>
    <row r="6023" spans="1:28" ht="15.75" thickBot="1">
      <c r="A6023" s="406"/>
      <c r="B6023" s="407"/>
      <c r="C6023" s="407"/>
      <c r="D6023" s="408"/>
      <c r="E6023" s="409"/>
      <c r="F6023" s="409"/>
      <c r="G6023" s="409"/>
      <c r="H6023" s="410"/>
      <c r="I6023" s="409"/>
      <c r="J6023" s="409"/>
      <c r="K6023" s="409"/>
      <c r="L6023" s="409"/>
      <c r="M6023" s="409"/>
      <c r="N6023" s="409"/>
      <c r="O6023" s="409"/>
      <c r="P6023" s="409"/>
      <c r="Q6023" s="409"/>
      <c r="R6023" s="409"/>
      <c r="S6023" s="409"/>
      <c r="T6023" s="409"/>
      <c r="U6023" s="409"/>
      <c r="V6023" s="409"/>
      <c r="W6023" s="409"/>
      <c r="X6023" s="409"/>
      <c r="Y6023" s="411"/>
      <c r="Z6023" s="409"/>
      <c r="AA6023" s="412"/>
      <c r="AB6023" s="413"/>
    </row>
    <row r="6024" spans="1:28">
      <c r="A6024" s="377"/>
      <c r="B6024" s="378"/>
      <c r="C6024" s="378"/>
      <c r="D6024" s="379"/>
      <c r="E6024" s="380"/>
      <c r="F6024" s="380"/>
      <c r="G6024" s="380"/>
      <c r="H6024" s="381"/>
      <c r="I6024" s="380"/>
      <c r="J6024" s="380"/>
      <c r="K6024" s="380"/>
      <c r="L6024" s="380"/>
      <c r="M6024" s="380"/>
      <c r="N6024" s="380"/>
      <c r="O6024" s="380"/>
      <c r="P6024" s="380"/>
      <c r="Q6024" s="380"/>
      <c r="R6024" s="380"/>
      <c r="S6024" s="380"/>
      <c r="T6024" s="380"/>
      <c r="U6024" s="380"/>
      <c r="V6024" s="380"/>
      <c r="W6024" s="380"/>
      <c r="X6024" s="380"/>
      <c r="Y6024" s="382"/>
      <c r="Z6024" s="380"/>
      <c r="AA6024" s="380"/>
      <c r="AB6024" s="383"/>
    </row>
    <row r="6025" spans="1:28">
      <c r="A6025" s="384" t="str">
        <f t="shared" si="19405"/>
        <v>Lantai 3</v>
      </c>
      <c r="B6025" s="385">
        <f t="shared" si="19406"/>
        <v>59</v>
      </c>
      <c r="C6025" s="386" t="str">
        <f t="shared" ref="C6025" si="19500">CONCATENATE(A6025," no. ",B6025)</f>
        <v>Lantai 3 no. 59</v>
      </c>
      <c r="D6025" s="2562" t="str">
        <f>VLOOKUP(C6025,'Data Panjang Balok'!$C$9:$N$254,2,FALSE)</f>
        <v>CL24-1</v>
      </c>
      <c r="E6025" s="2576"/>
      <c r="F6025" s="2576"/>
      <c r="G6025" s="2576"/>
      <c r="H6025" s="2577"/>
      <c r="I6025" s="387"/>
      <c r="J6025" s="388"/>
      <c r="K6025" s="388"/>
      <c r="L6025" s="388"/>
      <c r="M6025" s="388"/>
      <c r="N6025" s="388"/>
      <c r="O6025" s="388"/>
      <c r="P6025" s="388"/>
      <c r="Q6025" s="388"/>
      <c r="R6025" s="388"/>
      <c r="S6025" s="388"/>
      <c r="T6025" s="388"/>
      <c r="U6025" s="388"/>
      <c r="V6025" s="388"/>
      <c r="W6025" s="388"/>
      <c r="X6025" s="388"/>
      <c r="Y6025" s="389"/>
      <c r="Z6025" s="388"/>
      <c r="AA6025" s="388"/>
      <c r="AB6025" s="390"/>
    </row>
    <row r="6026" spans="1:28">
      <c r="A6026" s="391"/>
      <c r="B6026" s="392"/>
      <c r="C6026" s="393" t="s">
        <v>118</v>
      </c>
      <c r="D6026" s="2578">
        <f>VLOOKUP(D6025,'Detail Balok'!$C$10:$AU$140,2,FALSE)</f>
        <v>200</v>
      </c>
      <c r="E6026" s="2579"/>
      <c r="F6026" s="388" t="s">
        <v>125</v>
      </c>
      <c r="G6026" s="2579">
        <f>VLOOKUP(D6025,'Detail Balok'!$C$10:$AU$140,3,FALSE)</f>
        <v>400</v>
      </c>
      <c r="H6026" s="2580"/>
      <c r="I6026" s="388"/>
      <c r="J6026" s="396"/>
      <c r="K6026" s="396"/>
      <c r="L6026" s="396"/>
      <c r="M6026" s="396"/>
      <c r="N6026" s="396"/>
      <c r="O6026" s="396"/>
      <c r="P6026" s="396"/>
      <c r="Q6026" s="396"/>
      <c r="R6026" s="396"/>
      <c r="S6026" s="396"/>
      <c r="T6026" s="396"/>
      <c r="U6026" s="388"/>
      <c r="V6026" s="396"/>
      <c r="W6026" s="388"/>
      <c r="X6026" s="396"/>
      <c r="Y6026" s="389"/>
      <c r="Z6026" s="396"/>
      <c r="AA6026" s="388"/>
      <c r="AB6026" s="390"/>
    </row>
    <row r="6027" spans="1:28">
      <c r="A6027" s="391"/>
      <c r="B6027" s="392"/>
      <c r="C6027" s="393" t="s">
        <v>198</v>
      </c>
      <c r="D6027" s="2562">
        <f>VLOOKUP(C6025,'Data Panjang Balok'!$C$9:$N$254,4,FALSE)</f>
        <v>1325</v>
      </c>
      <c r="E6027" s="2563"/>
      <c r="F6027" s="2563"/>
      <c r="G6027" s="2563"/>
      <c r="H6027" s="2564"/>
      <c r="I6027" s="397"/>
      <c r="J6027" s="396"/>
      <c r="K6027" s="396"/>
      <c r="L6027" s="396"/>
      <c r="M6027" s="396"/>
      <c r="N6027" s="396"/>
      <c r="O6027" s="396"/>
      <c r="P6027" s="396"/>
      <c r="Q6027" s="396"/>
      <c r="R6027" s="396"/>
      <c r="S6027" s="396"/>
      <c r="T6027" s="396"/>
      <c r="U6027" s="388"/>
      <c r="V6027" s="396"/>
      <c r="W6027" s="388"/>
      <c r="X6027" s="396"/>
      <c r="Y6027" s="389"/>
      <c r="Z6027" s="396"/>
      <c r="AA6027" s="388"/>
      <c r="AB6027" s="390"/>
    </row>
    <row r="6028" spans="1:28">
      <c r="A6028" s="391"/>
      <c r="B6028" s="392"/>
      <c r="C6028" s="393" t="s">
        <v>199</v>
      </c>
      <c r="D6028" s="2562">
        <f>VLOOKUP(C6025,'Data Panjang Balok'!$C$9:$N$254,7,FALSE)</f>
        <v>1325</v>
      </c>
      <c r="E6028" s="2563"/>
      <c r="F6028" s="2563"/>
      <c r="G6028" s="2563"/>
      <c r="H6028" s="2564"/>
      <c r="I6028" s="397"/>
      <c r="J6028" s="396"/>
      <c r="K6028" s="396"/>
      <c r="L6028" s="396"/>
      <c r="M6028" s="396"/>
      <c r="N6028" s="396"/>
      <c r="O6028" s="396"/>
      <c r="P6028" s="396"/>
      <c r="Q6028" s="396"/>
      <c r="R6028" s="396"/>
      <c r="S6028" s="396"/>
      <c r="T6028" s="396"/>
      <c r="U6028" s="388"/>
      <c r="V6028" s="396"/>
      <c r="W6028" s="388"/>
      <c r="X6028" s="396"/>
      <c r="Y6028" s="389"/>
      <c r="Z6028" s="396"/>
      <c r="AA6028" s="388"/>
      <c r="AB6028" s="390"/>
    </row>
    <row r="6029" spans="1:28">
      <c r="A6029" s="391"/>
      <c r="B6029" s="392"/>
      <c r="C6029" s="393" t="s">
        <v>200</v>
      </c>
      <c r="D6029" s="2562">
        <f>VLOOKUP(C6025,'Data Panjang Balok'!$C$9:$N$254,9,FALSE)</f>
        <v>0</v>
      </c>
      <c r="E6029" s="2563"/>
      <c r="F6029" s="2563"/>
      <c r="G6029" s="2563"/>
      <c r="H6029" s="2564"/>
      <c r="I6029" s="397"/>
      <c r="J6029" s="396"/>
      <c r="K6029" s="396"/>
      <c r="L6029" s="396"/>
      <c r="M6029" s="396"/>
      <c r="N6029" s="396"/>
      <c r="O6029" s="396"/>
      <c r="P6029" s="396"/>
      <c r="Q6029" s="396"/>
      <c r="R6029" s="396"/>
      <c r="S6029" s="396"/>
      <c r="T6029" s="396"/>
      <c r="U6029" s="388"/>
      <c r="V6029" s="396"/>
      <c r="W6029" s="388"/>
      <c r="X6029" s="396"/>
      <c r="Y6029" s="389"/>
      <c r="Z6029" s="396"/>
      <c r="AA6029" s="388"/>
      <c r="AB6029" s="390"/>
    </row>
    <row r="6030" spans="1:28">
      <c r="A6030" s="391"/>
      <c r="B6030" s="392"/>
      <c r="C6030" s="393" t="s">
        <v>201</v>
      </c>
      <c r="D6030" s="2562">
        <f>VLOOKUP(C6025,'Data Panjang Balok'!$C$9:$N$254,10,FALSE)</f>
        <v>0</v>
      </c>
      <c r="E6030" s="2563"/>
      <c r="F6030" s="2563"/>
      <c r="G6030" s="2563"/>
      <c r="H6030" s="2564"/>
      <c r="I6030" s="397"/>
      <c r="J6030" s="396"/>
      <c r="K6030" s="396"/>
      <c r="L6030" s="396"/>
      <c r="M6030" s="396"/>
      <c r="N6030" s="396"/>
      <c r="O6030" s="396"/>
      <c r="P6030" s="396"/>
      <c r="Q6030" s="396"/>
      <c r="R6030" s="396"/>
      <c r="S6030" s="396"/>
      <c r="T6030" s="396"/>
      <c r="U6030" s="388"/>
      <c r="V6030" s="396"/>
      <c r="W6030" s="388"/>
      <c r="X6030" s="396"/>
      <c r="Y6030" s="389"/>
      <c r="Z6030" s="396"/>
      <c r="AA6030" s="388"/>
      <c r="AB6030" s="390"/>
    </row>
    <row r="6031" spans="1:28">
      <c r="A6031" s="391"/>
      <c r="B6031" s="392"/>
      <c r="C6031" s="393" t="s">
        <v>48</v>
      </c>
      <c r="D6031" s="2562">
        <f>VLOOKUP(C6025,'Data Panjang Balok'!$C$9:$N$254,3,FALSE)</f>
        <v>1</v>
      </c>
      <c r="E6031" s="2563"/>
      <c r="F6031" s="2563"/>
      <c r="G6031" s="2563"/>
      <c r="H6031" s="2564"/>
      <c r="I6031" s="397"/>
      <c r="J6031" s="396"/>
      <c r="K6031" s="396"/>
      <c r="L6031" s="396"/>
      <c r="M6031" s="396"/>
      <c r="N6031" s="396"/>
      <c r="O6031" s="396"/>
      <c r="P6031" s="396"/>
      <c r="Q6031" s="396"/>
      <c r="R6031" s="396"/>
      <c r="S6031" s="396"/>
      <c r="T6031" s="396"/>
      <c r="U6031" s="388"/>
      <c r="V6031" s="396"/>
      <c r="W6031" s="388"/>
      <c r="X6031" s="396"/>
      <c r="Y6031" s="389"/>
      <c r="Z6031" s="396"/>
      <c r="AA6031" s="388"/>
      <c r="AB6031" s="390"/>
    </row>
    <row r="6032" spans="1:28">
      <c r="A6032" s="384" t="str">
        <f t="shared" ref="A6032:B6032" si="19501">A6025</f>
        <v>Lantai 3</v>
      </c>
      <c r="B6032" s="385">
        <f t="shared" si="19501"/>
        <v>59</v>
      </c>
      <c r="C6032" s="393" t="s">
        <v>202</v>
      </c>
      <c r="D6032" s="398">
        <f>VLOOKUP(D6025,'Detail Balok'!$C$10:$AU$140,4,FALSE)</f>
        <v>3</v>
      </c>
      <c r="E6032" s="388" t="s">
        <v>16</v>
      </c>
      <c r="F6032" s="388">
        <f>VLOOKUP(D6025,'Detail Balok'!$C$10:$AU$140,6,FALSE)</f>
        <v>16</v>
      </c>
      <c r="G6032" s="388"/>
      <c r="H6032" s="395"/>
      <c r="I6032" s="388" t="s">
        <v>203</v>
      </c>
      <c r="J6032" s="399">
        <f t="shared" ref="J6032" si="19502">+D6027/4/1000</f>
        <v>0.33124999999999999</v>
      </c>
      <c r="K6032" s="400" t="s">
        <v>204</v>
      </c>
      <c r="L6032" s="399">
        <f t="shared" ref="L6032" si="19503">MAX(VLOOKUP(F6032,N$6:P$15,3,FALSE)/1000,2/3*D6029/1000)+F$16*F6032/1000</f>
        <v>0.192</v>
      </c>
      <c r="M6032" s="399" t="s">
        <v>176</v>
      </c>
      <c r="N6032" s="399">
        <f t="shared" ref="N6032:N6034" si="19504">J6032+L6032</f>
        <v>0.52324999999999999</v>
      </c>
      <c r="O6032" s="399" t="s">
        <v>204</v>
      </c>
      <c r="P6032" s="389">
        <f t="shared" ref="P6032" si="19505">D6032-D6033</f>
        <v>0</v>
      </c>
      <c r="Q6032" s="399" t="s">
        <v>125</v>
      </c>
      <c r="R6032" s="399">
        <f t="shared" ref="R6032" si="19506">IF(P6032&gt;0,$F$18*F6032/1000,0)</f>
        <v>0</v>
      </c>
      <c r="S6032" s="399" t="s">
        <v>205</v>
      </c>
      <c r="T6032" s="399" t="s">
        <v>125</v>
      </c>
      <c r="U6032" s="401">
        <f t="shared" ref="U6032:U6034" si="19507">0.006165*F6032^2</f>
        <v>1.5782400000000001</v>
      </c>
      <c r="V6032" s="399"/>
      <c r="W6032" s="399"/>
      <c r="X6032" s="399" t="s">
        <v>125</v>
      </c>
      <c r="Y6032" s="389">
        <f t="shared" ref="Y6032" si="19508">D6031</f>
        <v>1</v>
      </c>
      <c r="Z6032" s="400" t="s">
        <v>176</v>
      </c>
      <c r="AA6032" s="402">
        <f t="shared" ref="AA6032" si="19509">IF(AA6035=0,(D6032*N6032+P6032*R6032)*U6032*Y6032,0)</f>
        <v>0</v>
      </c>
      <c r="AB6032" s="403"/>
    </row>
    <row r="6033" spans="1:28">
      <c r="A6033" s="384" t="str">
        <f t="shared" ref="A6033:B6033" si="19510">A6025</f>
        <v>Lantai 3</v>
      </c>
      <c r="B6033" s="385">
        <f t="shared" si="19510"/>
        <v>59</v>
      </c>
      <c r="C6033" s="393" t="s">
        <v>206</v>
      </c>
      <c r="D6033" s="398">
        <f>VLOOKUP(D6025,'Detail Balok'!$C$10:$AU$140,7,FALSE)</f>
        <v>3</v>
      </c>
      <c r="E6033" s="388" t="s">
        <v>16</v>
      </c>
      <c r="F6033" s="388">
        <f>VLOOKUP(D6025,'Detail Balok'!$C$10:$AU$140,9,FALSE)</f>
        <v>16</v>
      </c>
      <c r="G6033" s="388"/>
      <c r="H6033" s="395"/>
      <c r="I6033" s="388" t="s">
        <v>203</v>
      </c>
      <c r="J6033" s="399">
        <f t="shared" ref="J6033" si="19511">+D6027/2/1000</f>
        <v>0.66249999999999998</v>
      </c>
      <c r="K6033" s="400" t="s">
        <v>204</v>
      </c>
      <c r="L6033" s="399"/>
      <c r="M6033" s="399" t="s">
        <v>176</v>
      </c>
      <c r="N6033" s="399">
        <f t="shared" si="19504"/>
        <v>0.66249999999999998</v>
      </c>
      <c r="O6033" s="399" t="s">
        <v>204</v>
      </c>
      <c r="P6033" s="389">
        <f t="shared" ref="P6033" si="19512">MAX(D6033-D6032,D6033-D6034)</f>
        <v>0</v>
      </c>
      <c r="Q6033" s="399" t="s">
        <v>125</v>
      </c>
      <c r="R6033" s="399">
        <f t="shared" ref="R6033" si="19513">IF(P6033&gt;0,2*(1-2*$F$19-1/2)*D6028/1000,0)</f>
        <v>0</v>
      </c>
      <c r="S6033" s="399" t="s">
        <v>205</v>
      </c>
      <c r="T6033" s="399" t="s">
        <v>125</v>
      </c>
      <c r="U6033" s="401">
        <f t="shared" si="19507"/>
        <v>1.5782400000000001</v>
      </c>
      <c r="V6033" s="399"/>
      <c r="W6033" s="399"/>
      <c r="X6033" s="399" t="s">
        <v>125</v>
      </c>
      <c r="Y6033" s="389">
        <f t="shared" ref="Y6033" si="19514">D6031</f>
        <v>1</v>
      </c>
      <c r="Z6033" s="400" t="s">
        <v>176</v>
      </c>
      <c r="AA6033" s="402">
        <f t="shared" ref="AA6033" si="19515">IF(AA6035=0,(D6033*N6033+P6033*R6033)*U6033*Y6033,0)</f>
        <v>0</v>
      </c>
      <c r="AB6033" s="403"/>
    </row>
    <row r="6034" spans="1:28">
      <c r="A6034" s="384" t="str">
        <f t="shared" ref="A6034:B6034" si="19516">A6025</f>
        <v>Lantai 3</v>
      </c>
      <c r="B6034" s="385">
        <f t="shared" si="19516"/>
        <v>59</v>
      </c>
      <c r="C6034" s="393" t="s">
        <v>202</v>
      </c>
      <c r="D6034" s="398">
        <f>VLOOKUP(D6025,'Detail Balok'!$C$10:$AU$140,10,FALSE)</f>
        <v>3</v>
      </c>
      <c r="E6034" s="388" t="s">
        <v>16</v>
      </c>
      <c r="F6034" s="388">
        <f>VLOOKUP(D6025,'Detail Balok'!$C$10:$AU$140,12,FALSE)</f>
        <v>16</v>
      </c>
      <c r="G6034" s="388"/>
      <c r="H6034" s="395"/>
      <c r="I6034" s="388" t="s">
        <v>203</v>
      </c>
      <c r="J6034" s="399">
        <f t="shared" ref="J6034" si="19517">+D6027/4/1000</f>
        <v>0.33124999999999999</v>
      </c>
      <c r="K6034" s="400" t="s">
        <v>204</v>
      </c>
      <c r="L6034" s="399">
        <f t="shared" ref="L6034" si="19518">MAX(VLOOKUP(F6034,N$6:P$15,3,FALSE)/1000,2/3*D6029/1000)+F$16*F6034/1000</f>
        <v>0.192</v>
      </c>
      <c r="M6034" s="399" t="s">
        <v>176</v>
      </c>
      <c r="N6034" s="399">
        <f t="shared" si="19504"/>
        <v>0.52324999999999999</v>
      </c>
      <c r="O6034" s="399" t="s">
        <v>204</v>
      </c>
      <c r="P6034" s="389">
        <f t="shared" ref="P6034" si="19519">D6034-D6033</f>
        <v>0</v>
      </c>
      <c r="Q6034" s="399" t="s">
        <v>125</v>
      </c>
      <c r="R6034" s="399">
        <f t="shared" ref="R6034" si="19520">IF(P6034&gt;0,$F$18*F6034/1000,0)</f>
        <v>0</v>
      </c>
      <c r="S6034" s="399" t="s">
        <v>205</v>
      </c>
      <c r="T6034" s="399" t="s">
        <v>125</v>
      </c>
      <c r="U6034" s="401">
        <f t="shared" si="19507"/>
        <v>1.5782400000000001</v>
      </c>
      <c r="V6034" s="399"/>
      <c r="W6034" s="399"/>
      <c r="X6034" s="399" t="s">
        <v>125</v>
      </c>
      <c r="Y6034" s="389">
        <f t="shared" ref="Y6034" si="19521">D6031</f>
        <v>1</v>
      </c>
      <c r="Z6034" s="400" t="s">
        <v>176</v>
      </c>
      <c r="AA6034" s="402">
        <f t="shared" ref="AA6034" si="19522">IF(AA6035=0,(D6034*N6034+P6034*R6034)*U6034*Y6034,0)</f>
        <v>0</v>
      </c>
      <c r="AB6034" s="403"/>
    </row>
    <row r="6035" spans="1:28">
      <c r="A6035" s="384" t="str">
        <f t="shared" ref="A6035:B6035" si="19523">A6025</f>
        <v>Lantai 3</v>
      </c>
      <c r="B6035" s="385">
        <f t="shared" si="19523"/>
        <v>59</v>
      </c>
      <c r="C6035" s="393"/>
      <c r="D6035" s="398">
        <f t="shared" si="19326"/>
        <v>3</v>
      </c>
      <c r="E6035" s="388" t="s">
        <v>16</v>
      </c>
      <c r="F6035" s="388">
        <f t="shared" si="19327"/>
        <v>16</v>
      </c>
      <c r="G6035" s="388"/>
      <c r="H6035" s="395"/>
      <c r="I6035" s="388"/>
      <c r="J6035" s="396"/>
      <c r="K6035" s="396"/>
      <c r="L6035" s="404" t="s">
        <v>207</v>
      </c>
      <c r="M6035" s="399" t="s">
        <v>176</v>
      </c>
      <c r="N6035" s="399">
        <f t="shared" ref="N6035" si="19524">IF(AND(D6032=D6033,D6032=D6034,D6033=D6034,F6032=F6033,F6032=F6034,F6033=F6034),SUM(N6032:N6034),0)</f>
        <v>1.7090000000000001</v>
      </c>
      <c r="O6035" s="399" t="s">
        <v>204</v>
      </c>
      <c r="P6035" s="389">
        <f t="shared" ref="P6035" si="19525">IF(N6035&gt;12,ROUNDDOWN(N6035/12,0),0)</f>
        <v>0</v>
      </c>
      <c r="Q6035" s="399" t="s">
        <v>125</v>
      </c>
      <c r="R6035" s="399">
        <f t="shared" ref="R6035" si="19526">IF(P6035&gt;0,MAX(VLOOKUP(F6035,$D$6:$G$15,3,FALSE),600),0)/1000</f>
        <v>0</v>
      </c>
      <c r="S6035" s="396"/>
      <c r="T6035" s="396" t="s">
        <v>125</v>
      </c>
      <c r="U6035" s="401">
        <f t="shared" si="19331"/>
        <v>1.5782400000000001</v>
      </c>
      <c r="V6035" s="396" t="s">
        <v>125</v>
      </c>
      <c r="W6035" s="399">
        <f t="shared" ref="W6035" si="19527">D6035</f>
        <v>3</v>
      </c>
      <c r="X6035" s="399" t="s">
        <v>125</v>
      </c>
      <c r="Y6035" s="389">
        <f t="shared" si="19333"/>
        <v>1</v>
      </c>
      <c r="Z6035" s="400" t="s">
        <v>176</v>
      </c>
      <c r="AA6035" s="402">
        <f t="shared" ref="AA6035" si="19528">(N6035+P6035*R6035/1000)*U6035*W6035*Y6035</f>
        <v>8.0916364800000018</v>
      </c>
      <c r="AB6035" s="390"/>
    </row>
    <row r="6036" spans="1:28">
      <c r="A6036" s="384"/>
      <c r="B6036" s="385"/>
      <c r="C6036" s="393"/>
      <c r="D6036" s="398"/>
      <c r="E6036" s="388"/>
      <c r="F6036" s="388"/>
      <c r="G6036" s="388"/>
      <c r="H6036" s="395"/>
      <c r="I6036" s="388"/>
      <c r="J6036" s="396"/>
      <c r="K6036" s="396"/>
      <c r="L6036" s="404"/>
      <c r="M6036" s="399"/>
      <c r="N6036" s="399"/>
      <c r="O6036" s="396"/>
      <c r="P6036" s="389"/>
      <c r="Q6036" s="396"/>
      <c r="R6036" s="396"/>
      <c r="S6036" s="396"/>
      <c r="T6036" s="396"/>
      <c r="U6036" s="401"/>
      <c r="V6036" s="396"/>
      <c r="W6036" s="399"/>
      <c r="X6036" s="396"/>
      <c r="Y6036" s="389"/>
      <c r="Z6036" s="396"/>
      <c r="AA6036" s="388"/>
      <c r="AB6036" s="390"/>
    </row>
    <row r="6037" spans="1:28">
      <c r="A6037" s="384" t="str">
        <f t="shared" ref="A6037:B6037" si="19529">A6025</f>
        <v>Lantai 3</v>
      </c>
      <c r="B6037" s="385">
        <f t="shared" si="19529"/>
        <v>59</v>
      </c>
      <c r="C6037" s="393" t="s">
        <v>208</v>
      </c>
      <c r="D6037" s="398">
        <f>VLOOKUP(D6025,'Detail Balok'!$C$10:$AU$140,13,FALSE)</f>
        <v>0</v>
      </c>
      <c r="E6037" s="388" t="s">
        <v>16</v>
      </c>
      <c r="F6037" s="388">
        <f>VLOOKUP(D6025,'Detail Balok'!$C$10:$AU$140,15,FALSE)</f>
        <v>8</v>
      </c>
      <c r="G6037" s="388"/>
      <c r="H6037" s="395"/>
      <c r="I6037" s="388"/>
      <c r="J6037" s="399">
        <f t="shared" ref="J6037" si="19530">+D6027/1000</f>
        <v>1.325</v>
      </c>
      <c r="K6037" s="400" t="s">
        <v>204</v>
      </c>
      <c r="L6037" s="399">
        <f t="shared" ref="L6037" si="19531">2*$F$16*F6037/1000</f>
        <v>0.192</v>
      </c>
      <c r="M6037" s="399" t="s">
        <v>176</v>
      </c>
      <c r="N6037" s="399">
        <f t="shared" ref="N6037" si="19532">J6037+L6037</f>
        <v>1.5169999999999999</v>
      </c>
      <c r="O6037" s="399" t="s">
        <v>204</v>
      </c>
      <c r="P6037" s="389">
        <f t="shared" ref="P6037" si="19533">IF(N6037&gt;12,ROUNDDOWN(N6037/12,0),0)</f>
        <v>0</v>
      </c>
      <c r="Q6037" s="399" t="s">
        <v>125</v>
      </c>
      <c r="R6037" s="399">
        <f t="shared" ref="R6037" si="19534">IF(P6037&gt;0,MAX(VLOOKUP(F6037,$D$6:$G$15,3,FALSE),600),0)/1000</f>
        <v>0</v>
      </c>
      <c r="S6037" s="399"/>
      <c r="T6037" s="399" t="s">
        <v>125</v>
      </c>
      <c r="U6037" s="401">
        <f t="shared" ref="U6037" si="19535">0.006165*F6037^2</f>
        <v>0.39456000000000002</v>
      </c>
      <c r="V6037" s="399" t="s">
        <v>125</v>
      </c>
      <c r="W6037" s="399">
        <f t="shared" ref="W6037" si="19536">+D6037</f>
        <v>0</v>
      </c>
      <c r="X6037" s="399" t="s">
        <v>125</v>
      </c>
      <c r="Y6037" s="389">
        <f t="shared" ref="Y6037" si="19537">D6031</f>
        <v>1</v>
      </c>
      <c r="Z6037" s="400" t="s">
        <v>176</v>
      </c>
      <c r="AA6037" s="402">
        <f t="shared" ref="AA6037" si="19538">(N6037+P6037*R6037/1000)*U6037*W6037*Y6037</f>
        <v>0</v>
      </c>
      <c r="AB6037" s="403"/>
    </row>
    <row r="6038" spans="1:28">
      <c r="A6038" s="384"/>
      <c r="B6038" s="385"/>
      <c r="C6038" s="393"/>
      <c r="D6038" s="398"/>
      <c r="E6038" s="388"/>
      <c r="F6038" s="388"/>
      <c r="G6038" s="388"/>
      <c r="H6038" s="395"/>
      <c r="I6038" s="388"/>
      <c r="J6038" s="399"/>
      <c r="K6038" s="400"/>
      <c r="L6038" s="399"/>
      <c r="M6038" s="399"/>
      <c r="N6038" s="399"/>
      <c r="O6038" s="399"/>
      <c r="P6038" s="389"/>
      <c r="Q6038" s="399"/>
      <c r="R6038" s="399"/>
      <c r="S6038" s="399"/>
      <c r="T6038" s="399"/>
      <c r="U6038" s="401"/>
      <c r="V6038" s="399"/>
      <c r="W6038" s="399"/>
      <c r="X6038" s="399"/>
      <c r="Y6038" s="389"/>
      <c r="Z6038" s="400"/>
      <c r="AA6038" s="402"/>
      <c r="AB6038" s="403"/>
    </row>
    <row r="6039" spans="1:28">
      <c r="A6039" s="384"/>
      <c r="B6039" s="385"/>
      <c r="C6039" s="393"/>
      <c r="D6039" s="398"/>
      <c r="E6039" s="388"/>
      <c r="F6039" s="388"/>
      <c r="G6039" s="388"/>
      <c r="H6039" s="395"/>
      <c r="I6039" s="388"/>
      <c r="J6039" s="396"/>
      <c r="K6039" s="396"/>
      <c r="L6039" s="396"/>
      <c r="M6039" s="396"/>
      <c r="N6039" s="396"/>
      <c r="O6039" s="396"/>
      <c r="P6039" s="389"/>
      <c r="Q6039" s="396"/>
      <c r="R6039" s="396"/>
      <c r="S6039" s="396"/>
      <c r="T6039" s="396"/>
      <c r="U6039" s="401"/>
      <c r="V6039" s="396"/>
      <c r="W6039" s="399"/>
      <c r="X6039" s="396"/>
      <c r="Y6039" s="389"/>
      <c r="Z6039" s="396"/>
      <c r="AA6039" s="388"/>
      <c r="AB6039" s="390"/>
    </row>
    <row r="6040" spans="1:28">
      <c r="A6040" s="384" t="str">
        <f t="shared" ref="A6040:B6040" si="19539">A6025</f>
        <v>Lantai 3</v>
      </c>
      <c r="B6040" s="385">
        <f t="shared" si="19539"/>
        <v>59</v>
      </c>
      <c r="C6040" s="393" t="s">
        <v>209</v>
      </c>
      <c r="D6040" s="398">
        <f>VLOOKUP(D6025,'Detail Balok'!$C$10:$AU$140,22,FALSE)</f>
        <v>3</v>
      </c>
      <c r="E6040" s="388" t="s">
        <v>16</v>
      </c>
      <c r="F6040" s="388">
        <f>VLOOKUP(D6025,'Detail Balok'!$C$10:$AU$140,24,FALSE)</f>
        <v>16</v>
      </c>
      <c r="G6040" s="388"/>
      <c r="H6040" s="395"/>
      <c r="I6040" s="388" t="s">
        <v>203</v>
      </c>
      <c r="J6040" s="399">
        <f t="shared" si="19346"/>
        <v>0.33124999999999999</v>
      </c>
      <c r="K6040" s="400" t="s">
        <v>204</v>
      </c>
      <c r="L6040" s="399">
        <f t="shared" ref="L6040" si="19540">MAX(VLOOKUP(F6040,N$6:P$15,3,FALSE)/1000,2/3*D6030/1000)+F$16*F6040/1000</f>
        <v>0.192</v>
      </c>
      <c r="M6040" s="399" t="s">
        <v>176</v>
      </c>
      <c r="N6040" s="399">
        <f t="shared" ref="N6040:N6042" si="19541">J6040+L6040</f>
        <v>0.52324999999999999</v>
      </c>
      <c r="O6040" s="399" t="s">
        <v>204</v>
      </c>
      <c r="P6040" s="389">
        <f t="shared" ref="P6040" si="19542">D6040-D6041</f>
        <v>0</v>
      </c>
      <c r="Q6040" s="399" t="s">
        <v>125</v>
      </c>
      <c r="R6040" s="399">
        <f t="shared" ref="R6040" si="19543">IF(P6040&gt;0,$F$18*F6040/1000,0)</f>
        <v>0</v>
      </c>
      <c r="S6040" s="399" t="s">
        <v>205</v>
      </c>
      <c r="T6040" s="399" t="s">
        <v>125</v>
      </c>
      <c r="U6040" s="401">
        <f t="shared" ref="U6040:U6042" si="19544">0.006165*F6040^2</f>
        <v>1.5782400000000001</v>
      </c>
      <c r="V6040" s="399"/>
      <c r="W6040" s="399"/>
      <c r="X6040" s="399" t="s">
        <v>125</v>
      </c>
      <c r="Y6040" s="389">
        <f t="shared" ref="Y6040" si="19545">D6031</f>
        <v>1</v>
      </c>
      <c r="Z6040" s="400" t="s">
        <v>176</v>
      </c>
      <c r="AA6040" s="402">
        <f t="shared" ref="AA6040" si="19546">IF(AA6043=0,(D6040*N6040+P6040*R6040)*U6040*Y6040,0)</f>
        <v>0</v>
      </c>
      <c r="AB6040" s="403"/>
    </row>
    <row r="6041" spans="1:28">
      <c r="A6041" s="384" t="str">
        <f t="shared" ref="A6041:B6041" si="19547">A6025</f>
        <v>Lantai 3</v>
      </c>
      <c r="B6041" s="385">
        <f t="shared" si="19547"/>
        <v>59</v>
      </c>
      <c r="C6041" s="393" t="s">
        <v>210</v>
      </c>
      <c r="D6041" s="398">
        <f>VLOOKUP(D6025,'Detail Balok'!$C$10:$AU$140,25,FALSE)</f>
        <v>3</v>
      </c>
      <c r="E6041" s="388" t="s">
        <v>16</v>
      </c>
      <c r="F6041" s="388">
        <f>VLOOKUP(D6025,'Detail Balok'!$C$10:$AU$140,27,FALSE)</f>
        <v>16</v>
      </c>
      <c r="G6041" s="388"/>
      <c r="H6041" s="395"/>
      <c r="I6041" s="388" t="s">
        <v>203</v>
      </c>
      <c r="J6041" s="399">
        <f t="shared" si="19346"/>
        <v>0.66249999999999998</v>
      </c>
      <c r="K6041" s="400" t="s">
        <v>204</v>
      </c>
      <c r="L6041" s="399"/>
      <c r="M6041" s="399" t="s">
        <v>176</v>
      </c>
      <c r="N6041" s="399">
        <f t="shared" si="19541"/>
        <v>0.66249999999999998</v>
      </c>
      <c r="O6041" s="399" t="s">
        <v>204</v>
      </c>
      <c r="P6041" s="389">
        <f t="shared" ref="P6041" si="19548">MAX(D6041-D6040,D6041-D6042)</f>
        <v>0</v>
      </c>
      <c r="Q6041" s="399" t="s">
        <v>125</v>
      </c>
      <c r="R6041" s="399">
        <f t="shared" ref="R6041" si="19549">IF(P6041&gt;0,2*(1-2*$F$19-1/2)*D6028/1000,0)</f>
        <v>0</v>
      </c>
      <c r="S6041" s="399" t="s">
        <v>205</v>
      </c>
      <c r="T6041" s="399" t="s">
        <v>125</v>
      </c>
      <c r="U6041" s="401">
        <f t="shared" si="19544"/>
        <v>1.5782400000000001</v>
      </c>
      <c r="V6041" s="399"/>
      <c r="W6041" s="399"/>
      <c r="X6041" s="399" t="s">
        <v>125</v>
      </c>
      <c r="Y6041" s="389">
        <f t="shared" ref="Y6041" si="19550">D6031</f>
        <v>1</v>
      </c>
      <c r="Z6041" s="400" t="s">
        <v>176</v>
      </c>
      <c r="AA6041" s="402">
        <f t="shared" ref="AA6041" si="19551">IF(AA6043=0,(D6041*N6041+P6041*R6041)*U6041*Y6041,0)</f>
        <v>0</v>
      </c>
      <c r="AB6041" s="403"/>
    </row>
    <row r="6042" spans="1:28">
      <c r="A6042" s="384" t="str">
        <f t="shared" ref="A6042:B6042" si="19552">A6025</f>
        <v>Lantai 3</v>
      </c>
      <c r="B6042" s="385">
        <f t="shared" si="19552"/>
        <v>59</v>
      </c>
      <c r="C6042" s="393" t="s">
        <v>209</v>
      </c>
      <c r="D6042" s="398">
        <f>VLOOKUP(D6025,'Detail Balok'!$C$10:$AU$140,28,FALSE)</f>
        <v>3</v>
      </c>
      <c r="E6042" s="388" t="s">
        <v>16</v>
      </c>
      <c r="F6042" s="388">
        <f>VLOOKUP(D6025,'Detail Balok'!$C$10:$AU$140,30,FALSE)</f>
        <v>16</v>
      </c>
      <c r="G6042" s="388"/>
      <c r="H6042" s="395"/>
      <c r="I6042" s="388" t="s">
        <v>203</v>
      </c>
      <c r="J6042" s="399">
        <f t="shared" si="19346"/>
        <v>0.33124999999999999</v>
      </c>
      <c r="K6042" s="400" t="s">
        <v>204</v>
      </c>
      <c r="L6042" s="399">
        <f t="shared" ref="L6042" si="19553">MAX(VLOOKUP(F6042,N$6:P$15,3,FALSE)/1000,2/3*D6030/1000)+F$16*F6042/1000</f>
        <v>0.192</v>
      </c>
      <c r="M6042" s="399" t="s">
        <v>176</v>
      </c>
      <c r="N6042" s="399">
        <f t="shared" si="19541"/>
        <v>0.52324999999999999</v>
      </c>
      <c r="O6042" s="399" t="s">
        <v>204</v>
      </c>
      <c r="P6042" s="389">
        <f t="shared" ref="P6042" si="19554">D6042-D6041</f>
        <v>0</v>
      </c>
      <c r="Q6042" s="399" t="s">
        <v>125</v>
      </c>
      <c r="R6042" s="399">
        <f t="shared" ref="R6042" si="19555">IF(P6042&gt;0,$F$18*F6042/1000,0)</f>
        <v>0</v>
      </c>
      <c r="S6042" s="399" t="s">
        <v>205</v>
      </c>
      <c r="T6042" s="399" t="s">
        <v>125</v>
      </c>
      <c r="U6042" s="401">
        <f t="shared" si="19544"/>
        <v>1.5782400000000001</v>
      </c>
      <c r="V6042" s="399"/>
      <c r="W6042" s="399"/>
      <c r="X6042" s="399" t="s">
        <v>125</v>
      </c>
      <c r="Y6042" s="389">
        <f t="shared" ref="Y6042" si="19556">D6031</f>
        <v>1</v>
      </c>
      <c r="Z6042" s="400" t="s">
        <v>176</v>
      </c>
      <c r="AA6042" s="402">
        <f t="shared" ref="AA6042" si="19557">IF(AA6043=0,(D6042*N6042+P6042*R6042)*U6042*Y6042,0)</f>
        <v>0</v>
      </c>
      <c r="AB6042" s="403"/>
    </row>
    <row r="6043" spans="1:28">
      <c r="A6043" s="384" t="str">
        <f t="shared" ref="A6043:B6043" si="19558">A6025</f>
        <v>Lantai 3</v>
      </c>
      <c r="B6043" s="385">
        <f t="shared" si="19558"/>
        <v>59</v>
      </c>
      <c r="C6043" s="393"/>
      <c r="D6043" s="398">
        <f t="shared" si="19366"/>
        <v>3</v>
      </c>
      <c r="E6043" s="388" t="s">
        <v>16</v>
      </c>
      <c r="F6043" s="388">
        <f t="shared" si="19367"/>
        <v>16</v>
      </c>
      <c r="G6043" s="388"/>
      <c r="H6043" s="395"/>
      <c r="I6043" s="388"/>
      <c r="J6043" s="396"/>
      <c r="K6043" s="396"/>
      <c r="L6043" s="404" t="s">
        <v>207</v>
      </c>
      <c r="M6043" s="399" t="s">
        <v>176</v>
      </c>
      <c r="N6043" s="399">
        <f t="shared" ref="N6043" si="19559">IF(AND(D6040=D6041,D6040=D6042,D6041=D6042,F6040=F6041,F6040=F6042,F6041=F6042),SUM(N6040:N6042),0)</f>
        <v>1.7090000000000001</v>
      </c>
      <c r="O6043" s="399" t="s">
        <v>204</v>
      </c>
      <c r="P6043" s="389">
        <f t="shared" ref="P6043" si="19560">IF(N6043&gt;12,ROUNDDOWN(N6043/12,0),0)</f>
        <v>0</v>
      </c>
      <c r="Q6043" s="399" t="s">
        <v>125</v>
      </c>
      <c r="R6043" s="399">
        <f t="shared" ref="R6043" si="19561">IF(P6043&gt;0,MAX(VLOOKUP(F6043,$D$6:$G$15,3,FALSE),600),0)/1000</f>
        <v>0</v>
      </c>
      <c r="S6043" s="396"/>
      <c r="T6043" s="396" t="s">
        <v>125</v>
      </c>
      <c r="U6043" s="401">
        <f t="shared" si="19371"/>
        <v>1.5782400000000001</v>
      </c>
      <c r="V6043" s="396" t="s">
        <v>125</v>
      </c>
      <c r="W6043" s="399">
        <f t="shared" ref="W6043" si="19562">D6043</f>
        <v>3</v>
      </c>
      <c r="X6043" s="399" t="s">
        <v>125</v>
      </c>
      <c r="Y6043" s="389">
        <f t="shared" si="19373"/>
        <v>1</v>
      </c>
      <c r="Z6043" s="400" t="s">
        <v>176</v>
      </c>
      <c r="AA6043" s="402">
        <f t="shared" ref="AA6043" si="19563">(N6043+P6043*R6043/1000)*U6043*W6043*Y6043</f>
        <v>8.0916364800000018</v>
      </c>
      <c r="AB6043" s="403"/>
    </row>
    <row r="6044" spans="1:28">
      <c r="A6044" s="384"/>
      <c r="B6044" s="385"/>
      <c r="C6044" s="393"/>
      <c r="D6044" s="394"/>
      <c r="E6044" s="388"/>
      <c r="F6044" s="388"/>
      <c r="G6044" s="388"/>
      <c r="H6044" s="395"/>
      <c r="I6044" s="388"/>
      <c r="J6044" s="399"/>
      <c r="K6044" s="396"/>
      <c r="L6044" s="396"/>
      <c r="M6044" s="396"/>
      <c r="N6044" s="396"/>
      <c r="O6044" s="396"/>
      <c r="P6044" s="389"/>
      <c r="Q6044" s="396"/>
      <c r="R6044" s="396"/>
      <c r="S6044" s="396"/>
      <c r="T6044" s="396"/>
      <c r="U6044" s="401"/>
      <c r="V6044" s="396"/>
      <c r="W6044" s="388"/>
      <c r="X6044" s="396"/>
      <c r="Y6044" s="389"/>
      <c r="Z6044" s="396"/>
      <c r="AA6044" s="388"/>
      <c r="AB6044" s="390"/>
    </row>
    <row r="6045" spans="1:28">
      <c r="A6045" s="384" t="str">
        <f t="shared" ref="A6045:B6045" si="19564">A6025</f>
        <v>Lantai 3</v>
      </c>
      <c r="B6045" s="385">
        <f t="shared" si="19564"/>
        <v>59</v>
      </c>
      <c r="C6045" s="393" t="s">
        <v>211</v>
      </c>
      <c r="D6045" s="398">
        <f>VLOOKUP(D6025,'Detail Balok'!$C$10:$AU$140,31,FALSE)</f>
        <v>0</v>
      </c>
      <c r="E6045" s="388" t="s">
        <v>16</v>
      </c>
      <c r="F6045" s="388">
        <f>VLOOKUP(D6025,'Detail Balok'!$C$10:$AU$140,33,FALSE)</f>
        <v>10</v>
      </c>
      <c r="G6045" s="405" t="s">
        <v>157</v>
      </c>
      <c r="H6045" s="395">
        <f>VLOOKUP(D6025,'Detail Balok'!$C$10:$AU$140,35,FALSE)</f>
        <v>100</v>
      </c>
      <c r="I6045" s="388"/>
      <c r="J6045" s="400">
        <f t="shared" ref="J6045" si="19565">(IF(D6045=0,(2*(D6026+G6026))-(F$5*8),IF(D6045=3,(2*(D6026+G6026))-(F$5*8)+(G6026-2*F$5),IF(D6045=4,(2*(D6026+G6026))-(F$5*8)+2*(G6026-2*F$5)))))/1000</f>
        <v>0.88</v>
      </c>
      <c r="K6045" s="400" t="s">
        <v>204</v>
      </c>
      <c r="L6045" s="399">
        <f t="shared" ref="L6045:L6047" si="19566">IF(D6045=0,2*MAX(6*F6045,75),(D6045-1)*2*MAX(6*F6045,75))/1000</f>
        <v>0.15</v>
      </c>
      <c r="M6045" s="399" t="s">
        <v>176</v>
      </c>
      <c r="N6045" s="399">
        <f t="shared" ref="N6045:N6047" si="19567">J6045+L6045</f>
        <v>1.03</v>
      </c>
      <c r="O6045" s="399"/>
      <c r="P6045" s="389"/>
      <c r="Q6045" s="399"/>
      <c r="R6045" s="399"/>
      <c r="S6045" s="399"/>
      <c r="T6045" s="399" t="s">
        <v>125</v>
      </c>
      <c r="U6045" s="401">
        <f t="shared" ref="U6045:U6047" si="19568">0.006165*F6045^2</f>
        <v>0.61650000000000005</v>
      </c>
      <c r="V6045" s="399" t="s">
        <v>125</v>
      </c>
      <c r="W6045" s="399">
        <f t="shared" ref="W6045" si="19569">IF(D6028&gt;4*G6026,ROUND(MAX(D6028/4,2*G6026)/H6045,0)+1,ROUND(D6028/H6045,0)+1)</f>
        <v>14</v>
      </c>
      <c r="X6045" s="399" t="s">
        <v>125</v>
      </c>
      <c r="Y6045" s="389">
        <f t="shared" ref="Y6045" si="19570">D6031</f>
        <v>1</v>
      </c>
      <c r="Z6045" s="400" t="s">
        <v>176</v>
      </c>
      <c r="AA6045" s="402">
        <f t="shared" ref="AA6045:AA6047" si="19571">N6045*U6045*W6045*Y6045</f>
        <v>8.8899300000000014</v>
      </c>
      <c r="AB6045" s="403"/>
    </row>
    <row r="6046" spans="1:28">
      <c r="A6046" s="384" t="str">
        <f t="shared" ref="A6046:B6046" si="19572">A6025</f>
        <v>Lantai 3</v>
      </c>
      <c r="B6046" s="385">
        <f t="shared" si="19572"/>
        <v>59</v>
      </c>
      <c r="C6046" s="393" t="s">
        <v>212</v>
      </c>
      <c r="D6046" s="398">
        <f>VLOOKUP(D6025,'Detail Balok'!$C$10:$AU$140,36,FALSE)</f>
        <v>0</v>
      </c>
      <c r="E6046" s="388" t="s">
        <v>16</v>
      </c>
      <c r="F6046" s="388">
        <f>VLOOKUP(D6025,'Detail Balok'!$C$10:$AU$140,38,FALSE)</f>
        <v>10</v>
      </c>
      <c r="G6046" s="405" t="s">
        <v>157</v>
      </c>
      <c r="H6046" s="395">
        <f>VLOOKUP(D6025,'Detail Balok'!$C$10:$AU$140,40,FALSE)</f>
        <v>100</v>
      </c>
      <c r="I6046" s="388"/>
      <c r="J6046" s="400">
        <f t="shared" ref="J6046" si="19573">(IF(D6046=0,(2*(D6026+G6026))-(F$5*8),IF(D6046=3,(2*(D6026+G6026))-(F$5*8)+(G6026-2*F$5),IF(D6046=4,(2*(D6026+G6026))-(F$5*8)+2*(G6026-2*F$5)))))/1000</f>
        <v>0.88</v>
      </c>
      <c r="K6046" s="400" t="s">
        <v>204</v>
      </c>
      <c r="L6046" s="399">
        <f t="shared" si="19566"/>
        <v>0.15</v>
      </c>
      <c r="M6046" s="399" t="s">
        <v>176</v>
      </c>
      <c r="N6046" s="399">
        <f t="shared" si="19567"/>
        <v>1.03</v>
      </c>
      <c r="O6046" s="399"/>
      <c r="P6046" s="389"/>
      <c r="Q6046" s="399"/>
      <c r="R6046" s="399"/>
      <c r="S6046" s="399"/>
      <c r="T6046" s="399" t="s">
        <v>125</v>
      </c>
      <c r="U6046" s="401">
        <f t="shared" si="19568"/>
        <v>0.61650000000000005</v>
      </c>
      <c r="V6046" s="399" t="s">
        <v>125</v>
      </c>
      <c r="W6046" s="399">
        <f t="shared" ref="W6046" si="19574">IF(D6028-MAX(D6028/4,2*G6026)*2&gt;0,ROUND((D6028-MAX(D6028/4,2*G6026)*2)/H6046,0),0)</f>
        <v>0</v>
      </c>
      <c r="X6046" s="399" t="s">
        <v>125</v>
      </c>
      <c r="Y6046" s="389">
        <f t="shared" ref="Y6046" si="19575">D6031</f>
        <v>1</v>
      </c>
      <c r="Z6046" s="400" t="s">
        <v>176</v>
      </c>
      <c r="AA6046" s="402">
        <f t="shared" si="19571"/>
        <v>0</v>
      </c>
      <c r="AB6046" s="403"/>
    </row>
    <row r="6047" spans="1:28">
      <c r="A6047" s="384" t="str">
        <f t="shared" ref="A6047:B6047" si="19576">A6025</f>
        <v>Lantai 3</v>
      </c>
      <c r="B6047" s="385">
        <f t="shared" si="19576"/>
        <v>59</v>
      </c>
      <c r="C6047" s="393" t="s">
        <v>211</v>
      </c>
      <c r="D6047" s="398">
        <f>VLOOKUP(D6025,'Detail Balok'!$C$10:$AU$140,41,FALSE)</f>
        <v>0</v>
      </c>
      <c r="E6047" s="388" t="s">
        <v>16</v>
      </c>
      <c r="F6047" s="388">
        <f>VLOOKUP(D6025,'Detail Balok'!$C$10:$AU$140,43,FALSE)</f>
        <v>10</v>
      </c>
      <c r="G6047" s="405" t="s">
        <v>157</v>
      </c>
      <c r="H6047" s="395">
        <f>VLOOKUP(D6025,'Detail Balok'!$C$10:$AU$140,45,FALSE)</f>
        <v>100</v>
      </c>
      <c r="I6047" s="388"/>
      <c r="J6047" s="400">
        <f t="shared" ref="J6047" si="19577">(IF(D6047=0,(2*(D6026+G6026))-(F$5*8),IF(D6047=3,(2*(D6026+G6026))-(F$5*8)+(G6026-2*F$5),IF(D6047=4,(2*(D6026+G6026))-(F$5*8)+2*(G6026-2*F$5)))))/1000</f>
        <v>0.88</v>
      </c>
      <c r="K6047" s="400" t="s">
        <v>204</v>
      </c>
      <c r="L6047" s="399">
        <f t="shared" si="19566"/>
        <v>0.15</v>
      </c>
      <c r="M6047" s="399" t="s">
        <v>176</v>
      </c>
      <c r="N6047" s="399">
        <f t="shared" si="19567"/>
        <v>1.03</v>
      </c>
      <c r="O6047" s="399"/>
      <c r="P6047" s="389"/>
      <c r="Q6047" s="399"/>
      <c r="R6047" s="399"/>
      <c r="S6047" s="399"/>
      <c r="T6047" s="399" t="s">
        <v>125</v>
      </c>
      <c r="U6047" s="401">
        <f t="shared" si="19568"/>
        <v>0.61650000000000005</v>
      </c>
      <c r="V6047" s="399" t="s">
        <v>125</v>
      </c>
      <c r="W6047" s="399">
        <f t="shared" ref="W6047" si="19578">IF(D6028&gt;4*G6026,ROUND(MAX(D6028/4,2*G6026)/H6047,0)+1,0)</f>
        <v>0</v>
      </c>
      <c r="X6047" s="399" t="s">
        <v>125</v>
      </c>
      <c r="Y6047" s="389">
        <f t="shared" ref="Y6047" si="19579">D6031</f>
        <v>1</v>
      </c>
      <c r="Z6047" s="400" t="s">
        <v>176</v>
      </c>
      <c r="AA6047" s="402">
        <f t="shared" si="19571"/>
        <v>0</v>
      </c>
      <c r="AB6047" s="403"/>
    </row>
    <row r="6048" spans="1:28">
      <c r="A6048" s="384"/>
      <c r="B6048" s="385"/>
      <c r="C6048" s="393"/>
      <c r="D6048" s="394"/>
      <c r="E6048" s="388"/>
      <c r="F6048" s="388"/>
      <c r="G6048" s="388"/>
      <c r="H6048" s="395"/>
      <c r="I6048" s="388"/>
      <c r="J6048" s="399"/>
      <c r="K6048" s="396"/>
      <c r="L6048" s="396"/>
      <c r="M6048" s="396"/>
      <c r="N6048" s="396"/>
      <c r="O6048" s="396"/>
      <c r="P6048" s="389"/>
      <c r="Q6048" s="396"/>
      <c r="R6048" s="396"/>
      <c r="S6048" s="396"/>
      <c r="T6048" s="396"/>
      <c r="U6048" s="401"/>
      <c r="V6048" s="396"/>
      <c r="W6048" s="388"/>
      <c r="X6048" s="396"/>
      <c r="Y6048" s="389"/>
      <c r="Z6048" s="396"/>
      <c r="AA6048" s="388"/>
      <c r="AB6048" s="390"/>
    </row>
    <row r="6049" spans="1:28">
      <c r="A6049" s="384" t="str">
        <f t="shared" ref="A6049:B6049" si="19580">A6025</f>
        <v>Lantai 3</v>
      </c>
      <c r="B6049" s="385">
        <f t="shared" si="19580"/>
        <v>59</v>
      </c>
      <c r="C6049" s="393" t="s">
        <v>213</v>
      </c>
      <c r="D6049" s="398">
        <f>VLOOKUP(D6025,'Detail Balok'!$C$10:$BJ$140,46,FALSE)</f>
        <v>0</v>
      </c>
      <c r="E6049" s="388" t="s">
        <v>16</v>
      </c>
      <c r="F6049" s="388">
        <f>VLOOKUP(D6025,'Detail Balok'!$C$10:$BJ$140,48,FALSE)</f>
        <v>0</v>
      </c>
      <c r="G6049" s="405" t="s">
        <v>157</v>
      </c>
      <c r="H6049" s="395">
        <f>VLOOKUP(D6025,'Detail Balok'!$C$10:$BJ$140,50,FALSE)</f>
        <v>100</v>
      </c>
      <c r="I6049" s="388"/>
      <c r="J6049" s="399">
        <f t="shared" ref="J6049" si="19581">(D6026-2*F$5)/1000</f>
        <v>0.12</v>
      </c>
      <c r="K6049" s="400" t="s">
        <v>204</v>
      </c>
      <c r="L6049" s="399">
        <f t="shared" ref="L6049:L6051" si="19582">IF(D6049=0,2*MAX(6*F6049,75),(D6049-1)*2*MAX(6*F6049,75))/1000</f>
        <v>0.15</v>
      </c>
      <c r="M6049" s="399" t="s">
        <v>176</v>
      </c>
      <c r="N6049" s="399">
        <f t="shared" ref="N6049:N6051" si="19583">J6049+L6049</f>
        <v>0.27</v>
      </c>
      <c r="O6049" s="399"/>
      <c r="P6049" s="399"/>
      <c r="Q6049" s="399"/>
      <c r="R6049" s="399"/>
      <c r="S6049" s="399"/>
      <c r="T6049" s="399" t="s">
        <v>125</v>
      </c>
      <c r="U6049" s="401">
        <f t="shared" ref="U6049:U6051" si="19584">0.006165*F6049^2</f>
        <v>0</v>
      </c>
      <c r="V6049" s="399" t="s">
        <v>125</v>
      </c>
      <c r="W6049" s="399">
        <f t="shared" si="19396"/>
        <v>14</v>
      </c>
      <c r="X6049" s="399" t="s">
        <v>125</v>
      </c>
      <c r="Y6049" s="389">
        <f t="shared" ref="Y6049" si="19585">D6035</f>
        <v>3</v>
      </c>
      <c r="Z6049" s="400" t="s">
        <v>176</v>
      </c>
      <c r="AA6049" s="402">
        <f t="shared" ref="AA6049:AA6051" si="19586">N6049*U6049*W6049*Y6049</f>
        <v>0</v>
      </c>
      <c r="AB6049" s="403"/>
    </row>
    <row r="6050" spans="1:28">
      <c r="A6050" s="384" t="str">
        <f t="shared" ref="A6050:B6050" si="19587">A6025</f>
        <v>Lantai 3</v>
      </c>
      <c r="B6050" s="385">
        <f t="shared" si="19587"/>
        <v>59</v>
      </c>
      <c r="C6050" s="393" t="s">
        <v>214</v>
      </c>
      <c r="D6050" s="398">
        <f>VLOOKUP(D6025,'Detail Balok'!$C$10:$BJ$140,51,FALSE)</f>
        <v>0</v>
      </c>
      <c r="E6050" s="388" t="s">
        <v>16</v>
      </c>
      <c r="F6050" s="388">
        <f>VLOOKUP(D6025,'Detail Balok'!$C$10:$BJ$140,53,FALSE)</f>
        <v>0</v>
      </c>
      <c r="G6050" s="405" t="s">
        <v>157</v>
      </c>
      <c r="H6050" s="395">
        <f>VLOOKUP(D6025,'Detail Balok'!$C$10:$BJ$140,55,FALSE)</f>
        <v>100</v>
      </c>
      <c r="I6050" s="388"/>
      <c r="J6050" s="399">
        <f t="shared" ref="J6050" si="19588">(D6026-2*F$5)/1000</f>
        <v>0.12</v>
      </c>
      <c r="K6050" s="400" t="s">
        <v>204</v>
      </c>
      <c r="L6050" s="399">
        <f t="shared" si="19582"/>
        <v>0.15</v>
      </c>
      <c r="M6050" s="399" t="s">
        <v>176</v>
      </c>
      <c r="N6050" s="399">
        <f t="shared" si="19583"/>
        <v>0.27</v>
      </c>
      <c r="O6050" s="399"/>
      <c r="P6050" s="399"/>
      <c r="Q6050" s="399"/>
      <c r="R6050" s="399"/>
      <c r="S6050" s="399"/>
      <c r="T6050" s="399" t="s">
        <v>125</v>
      </c>
      <c r="U6050" s="401">
        <f t="shared" si="19584"/>
        <v>0</v>
      </c>
      <c r="V6050" s="399" t="s">
        <v>125</v>
      </c>
      <c r="W6050" s="399">
        <f t="shared" si="19396"/>
        <v>0</v>
      </c>
      <c r="X6050" s="399" t="s">
        <v>125</v>
      </c>
      <c r="Y6050" s="389">
        <f t="shared" ref="Y6050" si="19589">D6035</f>
        <v>3</v>
      </c>
      <c r="Z6050" s="400" t="s">
        <v>176</v>
      </c>
      <c r="AA6050" s="402">
        <f t="shared" si="19586"/>
        <v>0</v>
      </c>
      <c r="AB6050" s="403"/>
    </row>
    <row r="6051" spans="1:28">
      <c r="A6051" s="384" t="str">
        <f t="shared" ref="A6051:B6051" si="19590">A6025</f>
        <v>Lantai 3</v>
      </c>
      <c r="B6051" s="385">
        <f t="shared" si="19590"/>
        <v>59</v>
      </c>
      <c r="C6051" s="393" t="s">
        <v>213</v>
      </c>
      <c r="D6051" s="398">
        <f>VLOOKUP(D6025,'Detail Balok'!$C$10:$BJ$140,56,FALSE)</f>
        <v>0</v>
      </c>
      <c r="E6051" s="388" t="s">
        <v>16</v>
      </c>
      <c r="F6051" s="388">
        <f>VLOOKUP(D6025,'Detail Balok'!$C$10:$BJ$140,58,FALSE)</f>
        <v>0</v>
      </c>
      <c r="G6051" s="405" t="s">
        <v>157</v>
      </c>
      <c r="H6051" s="395">
        <f>VLOOKUP(D6025,'Detail Balok'!$C$10:$BJ$140,60,FALSE)</f>
        <v>100</v>
      </c>
      <c r="I6051" s="388"/>
      <c r="J6051" s="399">
        <f t="shared" ref="J6051" si="19591">(D6026-2*F$5)/1000</f>
        <v>0.12</v>
      </c>
      <c r="K6051" s="400" t="s">
        <v>204</v>
      </c>
      <c r="L6051" s="399">
        <f t="shared" si="19582"/>
        <v>0.15</v>
      </c>
      <c r="M6051" s="399" t="s">
        <v>176</v>
      </c>
      <c r="N6051" s="399">
        <f t="shared" si="19583"/>
        <v>0.27</v>
      </c>
      <c r="O6051" s="399"/>
      <c r="P6051" s="399"/>
      <c r="Q6051" s="399"/>
      <c r="R6051" s="399"/>
      <c r="S6051" s="399"/>
      <c r="T6051" s="399" t="s">
        <v>125</v>
      </c>
      <c r="U6051" s="401">
        <f t="shared" si="19584"/>
        <v>0</v>
      </c>
      <c r="V6051" s="399" t="s">
        <v>125</v>
      </c>
      <c r="W6051" s="399">
        <f t="shared" si="19396"/>
        <v>0</v>
      </c>
      <c r="X6051" s="399" t="s">
        <v>125</v>
      </c>
      <c r="Y6051" s="389">
        <f t="shared" ref="Y6051" si="19592">D6035</f>
        <v>3</v>
      </c>
      <c r="Z6051" s="400" t="s">
        <v>176</v>
      </c>
      <c r="AA6051" s="402">
        <f t="shared" si="19586"/>
        <v>0</v>
      </c>
      <c r="AB6051" s="403"/>
    </row>
    <row r="6052" spans="1:28">
      <c r="A6052" s="391"/>
      <c r="B6052" s="392"/>
      <c r="C6052" s="392"/>
      <c r="D6052" s="394"/>
      <c r="E6052" s="388"/>
      <c r="F6052" s="388"/>
      <c r="G6052" s="388"/>
      <c r="H6052" s="395"/>
      <c r="I6052" s="388"/>
      <c r="J6052" s="402"/>
      <c r="K6052" s="388"/>
      <c r="L6052" s="388"/>
      <c r="M6052" s="388"/>
      <c r="N6052" s="388"/>
      <c r="O6052" s="388"/>
      <c r="P6052" s="388"/>
      <c r="Q6052" s="388"/>
      <c r="R6052" s="388"/>
      <c r="S6052" s="388"/>
      <c r="T6052" s="388"/>
      <c r="U6052" s="388"/>
      <c r="V6052" s="388"/>
      <c r="W6052" s="388"/>
      <c r="X6052" s="388"/>
      <c r="Y6052" s="389"/>
      <c r="Z6052" s="388"/>
      <c r="AA6052" s="402"/>
      <c r="AB6052" s="403"/>
    </row>
    <row r="6053" spans="1:28" ht="15.75" thickBot="1">
      <c r="A6053" s="406"/>
      <c r="B6053" s="407"/>
      <c r="C6053" s="407"/>
      <c r="D6053" s="408"/>
      <c r="E6053" s="409"/>
      <c r="F6053" s="409"/>
      <c r="G6053" s="409"/>
      <c r="H6053" s="410"/>
      <c r="I6053" s="409"/>
      <c r="J6053" s="409"/>
      <c r="K6053" s="409"/>
      <c r="L6053" s="409"/>
      <c r="M6053" s="409"/>
      <c r="N6053" s="409"/>
      <c r="O6053" s="409"/>
      <c r="P6053" s="409"/>
      <c r="Q6053" s="409"/>
      <c r="R6053" s="409"/>
      <c r="S6053" s="409"/>
      <c r="T6053" s="409"/>
      <c r="U6053" s="409"/>
      <c r="V6053" s="409"/>
      <c r="W6053" s="409"/>
      <c r="X6053" s="409"/>
      <c r="Y6053" s="411"/>
      <c r="Z6053" s="409"/>
      <c r="AA6053" s="412"/>
      <c r="AB6053" s="413"/>
    </row>
    <row r="6054" spans="1:28">
      <c r="A6054" s="377"/>
      <c r="B6054" s="378"/>
      <c r="C6054" s="378"/>
      <c r="D6054" s="379"/>
      <c r="E6054" s="380"/>
      <c r="F6054" s="380"/>
      <c r="G6054" s="380"/>
      <c r="H6054" s="381"/>
      <c r="I6054" s="380"/>
      <c r="J6054" s="380"/>
      <c r="K6054" s="380"/>
      <c r="L6054" s="380"/>
      <c r="M6054" s="380"/>
      <c r="N6054" s="380"/>
      <c r="O6054" s="380"/>
      <c r="P6054" s="380"/>
      <c r="Q6054" s="380"/>
      <c r="R6054" s="380"/>
      <c r="S6054" s="380"/>
      <c r="T6054" s="380"/>
      <c r="U6054" s="380"/>
      <c r="V6054" s="380"/>
      <c r="W6054" s="380"/>
      <c r="X6054" s="380"/>
      <c r="Y6054" s="382"/>
      <c r="Z6054" s="380"/>
      <c r="AA6054" s="380"/>
      <c r="AB6054" s="383"/>
    </row>
    <row r="6055" spans="1:28">
      <c r="A6055" s="384" t="str">
        <f t="shared" si="19405"/>
        <v>Lantai 3</v>
      </c>
      <c r="B6055" s="385">
        <f t="shared" si="19406"/>
        <v>60</v>
      </c>
      <c r="C6055" s="386" t="str">
        <f t="shared" ref="C6055" si="19593">CONCATENATE(A6055," no. ",B6055)</f>
        <v>Lantai 3 no. 60</v>
      </c>
      <c r="D6055" s="2562" t="str">
        <f>VLOOKUP(C6055,'Data Panjang Balok'!$C$9:$N$254,2,FALSE)</f>
        <v>CL24-1</v>
      </c>
      <c r="E6055" s="2576"/>
      <c r="F6055" s="2576"/>
      <c r="G6055" s="2576"/>
      <c r="H6055" s="2577"/>
      <c r="I6055" s="387"/>
      <c r="J6055" s="388"/>
      <c r="K6055" s="388"/>
      <c r="L6055" s="388"/>
      <c r="M6055" s="388"/>
      <c r="N6055" s="388"/>
      <c r="O6055" s="388"/>
      <c r="P6055" s="388"/>
      <c r="Q6055" s="388"/>
      <c r="R6055" s="388"/>
      <c r="S6055" s="388"/>
      <c r="T6055" s="388"/>
      <c r="U6055" s="388"/>
      <c r="V6055" s="388"/>
      <c r="W6055" s="388"/>
      <c r="X6055" s="388"/>
      <c r="Y6055" s="389"/>
      <c r="Z6055" s="388"/>
      <c r="AA6055" s="388"/>
      <c r="AB6055" s="390"/>
    </row>
    <row r="6056" spans="1:28">
      <c r="A6056" s="391"/>
      <c r="B6056" s="392"/>
      <c r="C6056" s="393" t="s">
        <v>118</v>
      </c>
      <c r="D6056" s="2578">
        <f>VLOOKUP(D6055,'Detail Balok'!$C$10:$AU$140,2,FALSE)</f>
        <v>200</v>
      </c>
      <c r="E6056" s="2579"/>
      <c r="F6056" s="388" t="s">
        <v>125</v>
      </c>
      <c r="G6056" s="2579">
        <f>VLOOKUP(D6055,'Detail Balok'!$C$10:$AU$140,3,FALSE)</f>
        <v>400</v>
      </c>
      <c r="H6056" s="2580"/>
      <c r="I6056" s="388"/>
      <c r="J6056" s="396"/>
      <c r="K6056" s="396"/>
      <c r="L6056" s="396"/>
      <c r="M6056" s="396"/>
      <c r="N6056" s="396"/>
      <c r="O6056" s="396"/>
      <c r="P6056" s="396"/>
      <c r="Q6056" s="396"/>
      <c r="R6056" s="396"/>
      <c r="S6056" s="396"/>
      <c r="T6056" s="396"/>
      <c r="U6056" s="388"/>
      <c r="V6056" s="396"/>
      <c r="W6056" s="388"/>
      <c r="X6056" s="396"/>
      <c r="Y6056" s="389"/>
      <c r="Z6056" s="396"/>
      <c r="AA6056" s="388"/>
      <c r="AB6056" s="390"/>
    </row>
    <row r="6057" spans="1:28">
      <c r="A6057" s="391"/>
      <c r="B6057" s="392"/>
      <c r="C6057" s="393" t="s">
        <v>198</v>
      </c>
      <c r="D6057" s="2562">
        <f>VLOOKUP(C6055,'Data Panjang Balok'!$C$9:$N$254,4,FALSE)</f>
        <v>1250</v>
      </c>
      <c r="E6057" s="2563"/>
      <c r="F6057" s="2563"/>
      <c r="G6057" s="2563"/>
      <c r="H6057" s="2564"/>
      <c r="I6057" s="397"/>
      <c r="J6057" s="396"/>
      <c r="K6057" s="396"/>
      <c r="L6057" s="396"/>
      <c r="M6057" s="396"/>
      <c r="N6057" s="396"/>
      <c r="O6057" s="396"/>
      <c r="P6057" s="396"/>
      <c r="Q6057" s="396"/>
      <c r="R6057" s="396"/>
      <c r="S6057" s="396"/>
      <c r="T6057" s="396"/>
      <c r="U6057" s="388"/>
      <c r="V6057" s="396"/>
      <c r="W6057" s="388"/>
      <c r="X6057" s="396"/>
      <c r="Y6057" s="389"/>
      <c r="Z6057" s="396"/>
      <c r="AA6057" s="388"/>
      <c r="AB6057" s="390"/>
    </row>
    <row r="6058" spans="1:28">
      <c r="A6058" s="391"/>
      <c r="B6058" s="392"/>
      <c r="C6058" s="393" t="s">
        <v>199</v>
      </c>
      <c r="D6058" s="2562">
        <f>VLOOKUP(C6055,'Data Panjang Balok'!$C$9:$N$254,7,FALSE)</f>
        <v>1250</v>
      </c>
      <c r="E6058" s="2563"/>
      <c r="F6058" s="2563"/>
      <c r="G6058" s="2563"/>
      <c r="H6058" s="2564"/>
      <c r="I6058" s="397"/>
      <c r="J6058" s="396"/>
      <c r="K6058" s="396"/>
      <c r="L6058" s="396"/>
      <c r="M6058" s="396"/>
      <c r="N6058" s="396"/>
      <c r="O6058" s="396"/>
      <c r="P6058" s="396"/>
      <c r="Q6058" s="396"/>
      <c r="R6058" s="396"/>
      <c r="S6058" s="396"/>
      <c r="T6058" s="396"/>
      <c r="U6058" s="388"/>
      <c r="V6058" s="396"/>
      <c r="W6058" s="388"/>
      <c r="X6058" s="396"/>
      <c r="Y6058" s="389"/>
      <c r="Z6058" s="396"/>
      <c r="AA6058" s="388"/>
      <c r="AB6058" s="390"/>
    </row>
    <row r="6059" spans="1:28">
      <c r="A6059" s="391"/>
      <c r="B6059" s="392"/>
      <c r="C6059" s="393" t="s">
        <v>200</v>
      </c>
      <c r="D6059" s="2562">
        <f>VLOOKUP(C6055,'Data Panjang Balok'!$C$9:$N$254,9,FALSE)</f>
        <v>0</v>
      </c>
      <c r="E6059" s="2563"/>
      <c r="F6059" s="2563"/>
      <c r="G6059" s="2563"/>
      <c r="H6059" s="2564"/>
      <c r="I6059" s="397"/>
      <c r="J6059" s="396"/>
      <c r="K6059" s="396"/>
      <c r="L6059" s="396"/>
      <c r="M6059" s="396"/>
      <c r="N6059" s="396"/>
      <c r="O6059" s="396"/>
      <c r="P6059" s="396"/>
      <c r="Q6059" s="396"/>
      <c r="R6059" s="396"/>
      <c r="S6059" s="396"/>
      <c r="T6059" s="396"/>
      <c r="U6059" s="388"/>
      <c r="V6059" s="396"/>
      <c r="W6059" s="388"/>
      <c r="X6059" s="396"/>
      <c r="Y6059" s="389"/>
      <c r="Z6059" s="396"/>
      <c r="AA6059" s="388"/>
      <c r="AB6059" s="390"/>
    </row>
    <row r="6060" spans="1:28">
      <c r="A6060" s="391"/>
      <c r="B6060" s="392"/>
      <c r="C6060" s="393" t="s">
        <v>201</v>
      </c>
      <c r="D6060" s="2562">
        <f>VLOOKUP(C6055,'Data Panjang Balok'!$C$9:$N$254,10,FALSE)</f>
        <v>0</v>
      </c>
      <c r="E6060" s="2563"/>
      <c r="F6060" s="2563"/>
      <c r="G6060" s="2563"/>
      <c r="H6060" s="2564"/>
      <c r="I6060" s="397"/>
      <c r="J6060" s="396"/>
      <c r="K6060" s="396"/>
      <c r="L6060" s="396"/>
      <c r="M6060" s="396"/>
      <c r="N6060" s="396"/>
      <c r="O6060" s="396"/>
      <c r="P6060" s="396"/>
      <c r="Q6060" s="396"/>
      <c r="R6060" s="396"/>
      <c r="S6060" s="396"/>
      <c r="T6060" s="396"/>
      <c r="U6060" s="388"/>
      <c r="V6060" s="396"/>
      <c r="W6060" s="388"/>
      <c r="X6060" s="396"/>
      <c r="Y6060" s="389"/>
      <c r="Z6060" s="396"/>
      <c r="AA6060" s="388"/>
      <c r="AB6060" s="390"/>
    </row>
    <row r="6061" spans="1:28">
      <c r="A6061" s="391"/>
      <c r="B6061" s="392"/>
      <c r="C6061" s="393" t="s">
        <v>48</v>
      </c>
      <c r="D6061" s="2562">
        <f>VLOOKUP(C6055,'Data Panjang Balok'!$C$9:$N$254,3,FALSE)</f>
        <v>1</v>
      </c>
      <c r="E6061" s="2563"/>
      <c r="F6061" s="2563"/>
      <c r="G6061" s="2563"/>
      <c r="H6061" s="2564"/>
      <c r="I6061" s="397"/>
      <c r="J6061" s="396"/>
      <c r="K6061" s="396"/>
      <c r="L6061" s="396"/>
      <c r="M6061" s="396"/>
      <c r="N6061" s="396"/>
      <c r="O6061" s="396"/>
      <c r="P6061" s="396"/>
      <c r="Q6061" s="396"/>
      <c r="R6061" s="396"/>
      <c r="S6061" s="396"/>
      <c r="T6061" s="396"/>
      <c r="U6061" s="388"/>
      <c r="V6061" s="396"/>
      <c r="W6061" s="388"/>
      <c r="X6061" s="396"/>
      <c r="Y6061" s="389"/>
      <c r="Z6061" s="396"/>
      <c r="AA6061" s="388"/>
      <c r="AB6061" s="390"/>
    </row>
    <row r="6062" spans="1:28">
      <c r="A6062" s="384" t="str">
        <f t="shared" ref="A6062:B6062" si="19594">A6055</f>
        <v>Lantai 3</v>
      </c>
      <c r="B6062" s="385">
        <f t="shared" si="19594"/>
        <v>60</v>
      </c>
      <c r="C6062" s="393" t="s">
        <v>202</v>
      </c>
      <c r="D6062" s="398">
        <f>VLOOKUP(D6055,'Detail Balok'!$C$10:$AU$140,4,FALSE)</f>
        <v>3</v>
      </c>
      <c r="E6062" s="388" t="s">
        <v>16</v>
      </c>
      <c r="F6062" s="388">
        <f>VLOOKUP(D6055,'Detail Balok'!$C$10:$AU$140,6,FALSE)</f>
        <v>16</v>
      </c>
      <c r="G6062" s="388"/>
      <c r="H6062" s="395"/>
      <c r="I6062" s="388" t="s">
        <v>203</v>
      </c>
      <c r="J6062" s="399">
        <f t="shared" ref="J6062" si="19595">+D6057/4/1000</f>
        <v>0.3125</v>
      </c>
      <c r="K6062" s="400" t="s">
        <v>204</v>
      </c>
      <c r="L6062" s="399">
        <f t="shared" ref="L6062" si="19596">MAX(VLOOKUP(F6062,N$6:P$15,3,FALSE)/1000,2/3*D6059/1000)+F$16*F6062/1000</f>
        <v>0.192</v>
      </c>
      <c r="M6062" s="399" t="s">
        <v>176</v>
      </c>
      <c r="N6062" s="399">
        <f t="shared" ref="N6062:N6064" si="19597">J6062+L6062</f>
        <v>0.50449999999999995</v>
      </c>
      <c r="O6062" s="399" t="s">
        <v>204</v>
      </c>
      <c r="P6062" s="389">
        <f t="shared" ref="P6062" si="19598">D6062-D6063</f>
        <v>0</v>
      </c>
      <c r="Q6062" s="399" t="s">
        <v>125</v>
      </c>
      <c r="R6062" s="399">
        <f t="shared" ref="R6062" si="19599">IF(P6062&gt;0,$F$18*F6062/1000,0)</f>
        <v>0</v>
      </c>
      <c r="S6062" s="399" t="s">
        <v>205</v>
      </c>
      <c r="T6062" s="399" t="s">
        <v>125</v>
      </c>
      <c r="U6062" s="401">
        <f t="shared" ref="U6062:U6064" si="19600">0.006165*F6062^2</f>
        <v>1.5782400000000001</v>
      </c>
      <c r="V6062" s="399"/>
      <c r="W6062" s="399"/>
      <c r="X6062" s="399" t="s">
        <v>125</v>
      </c>
      <c r="Y6062" s="389">
        <f t="shared" ref="Y6062" si="19601">D6061</f>
        <v>1</v>
      </c>
      <c r="Z6062" s="400" t="s">
        <v>176</v>
      </c>
      <c r="AA6062" s="402">
        <f t="shared" ref="AA6062" si="19602">IF(AA6065=0,(D6062*N6062+P6062*R6062)*U6062*Y6062,0)</f>
        <v>0</v>
      </c>
      <c r="AB6062" s="403"/>
    </row>
    <row r="6063" spans="1:28">
      <c r="A6063" s="384" t="str">
        <f t="shared" ref="A6063:B6063" si="19603">A6055</f>
        <v>Lantai 3</v>
      </c>
      <c r="B6063" s="385">
        <f t="shared" si="19603"/>
        <v>60</v>
      </c>
      <c r="C6063" s="393" t="s">
        <v>206</v>
      </c>
      <c r="D6063" s="398">
        <f>VLOOKUP(D6055,'Detail Balok'!$C$10:$AU$140,7,FALSE)</f>
        <v>3</v>
      </c>
      <c r="E6063" s="388" t="s">
        <v>16</v>
      </c>
      <c r="F6063" s="388">
        <f>VLOOKUP(D6055,'Detail Balok'!$C$10:$AU$140,9,FALSE)</f>
        <v>16</v>
      </c>
      <c r="G6063" s="388"/>
      <c r="H6063" s="395"/>
      <c r="I6063" s="388" t="s">
        <v>203</v>
      </c>
      <c r="J6063" s="399">
        <f t="shared" ref="J6063" si="19604">+D6057/2/1000</f>
        <v>0.625</v>
      </c>
      <c r="K6063" s="400" t="s">
        <v>204</v>
      </c>
      <c r="L6063" s="399"/>
      <c r="M6063" s="399" t="s">
        <v>176</v>
      </c>
      <c r="N6063" s="399">
        <f t="shared" si="19597"/>
        <v>0.625</v>
      </c>
      <c r="O6063" s="399" t="s">
        <v>204</v>
      </c>
      <c r="P6063" s="389">
        <f t="shared" ref="P6063" si="19605">MAX(D6063-D6062,D6063-D6064)</f>
        <v>0</v>
      </c>
      <c r="Q6063" s="399" t="s">
        <v>125</v>
      </c>
      <c r="R6063" s="399">
        <f t="shared" ref="R6063" si="19606">IF(P6063&gt;0,2*(1-2*$F$19-1/2)*D6058/1000,0)</f>
        <v>0</v>
      </c>
      <c r="S6063" s="399" t="s">
        <v>205</v>
      </c>
      <c r="T6063" s="399" t="s">
        <v>125</v>
      </c>
      <c r="U6063" s="401">
        <f t="shared" si="19600"/>
        <v>1.5782400000000001</v>
      </c>
      <c r="V6063" s="399"/>
      <c r="W6063" s="399"/>
      <c r="X6063" s="399" t="s">
        <v>125</v>
      </c>
      <c r="Y6063" s="389">
        <f t="shared" ref="Y6063" si="19607">D6061</f>
        <v>1</v>
      </c>
      <c r="Z6063" s="400" t="s">
        <v>176</v>
      </c>
      <c r="AA6063" s="402">
        <f t="shared" ref="AA6063" si="19608">IF(AA6065=0,(D6063*N6063+P6063*R6063)*U6063*Y6063,0)</f>
        <v>0</v>
      </c>
      <c r="AB6063" s="403"/>
    </row>
    <row r="6064" spans="1:28">
      <c r="A6064" s="384" t="str">
        <f t="shared" ref="A6064:B6064" si="19609">A6055</f>
        <v>Lantai 3</v>
      </c>
      <c r="B6064" s="385">
        <f t="shared" si="19609"/>
        <v>60</v>
      </c>
      <c r="C6064" s="393" t="s">
        <v>202</v>
      </c>
      <c r="D6064" s="398">
        <f>VLOOKUP(D6055,'Detail Balok'!$C$10:$AU$140,10,FALSE)</f>
        <v>3</v>
      </c>
      <c r="E6064" s="388" t="s">
        <v>16</v>
      </c>
      <c r="F6064" s="388">
        <f>VLOOKUP(D6055,'Detail Balok'!$C$10:$AU$140,12,FALSE)</f>
        <v>16</v>
      </c>
      <c r="G6064" s="388"/>
      <c r="H6064" s="395"/>
      <c r="I6064" s="388" t="s">
        <v>203</v>
      </c>
      <c r="J6064" s="399">
        <f t="shared" ref="J6064" si="19610">+D6057/4/1000</f>
        <v>0.3125</v>
      </c>
      <c r="K6064" s="400" t="s">
        <v>204</v>
      </c>
      <c r="L6064" s="399">
        <f t="shared" ref="L6064" si="19611">MAX(VLOOKUP(F6064,N$6:P$15,3,FALSE)/1000,2/3*D6059/1000)+F$16*F6064/1000</f>
        <v>0.192</v>
      </c>
      <c r="M6064" s="399" t="s">
        <v>176</v>
      </c>
      <c r="N6064" s="399">
        <f t="shared" si="19597"/>
        <v>0.50449999999999995</v>
      </c>
      <c r="O6064" s="399" t="s">
        <v>204</v>
      </c>
      <c r="P6064" s="389">
        <f t="shared" ref="P6064" si="19612">D6064-D6063</f>
        <v>0</v>
      </c>
      <c r="Q6064" s="399" t="s">
        <v>125</v>
      </c>
      <c r="R6064" s="399">
        <f t="shared" ref="R6064" si="19613">IF(P6064&gt;0,$F$18*F6064/1000,0)</f>
        <v>0</v>
      </c>
      <c r="S6064" s="399" t="s">
        <v>205</v>
      </c>
      <c r="T6064" s="399" t="s">
        <v>125</v>
      </c>
      <c r="U6064" s="401">
        <f t="shared" si="19600"/>
        <v>1.5782400000000001</v>
      </c>
      <c r="V6064" s="399"/>
      <c r="W6064" s="399"/>
      <c r="X6064" s="399" t="s">
        <v>125</v>
      </c>
      <c r="Y6064" s="389">
        <f t="shared" ref="Y6064" si="19614">D6061</f>
        <v>1</v>
      </c>
      <c r="Z6064" s="400" t="s">
        <v>176</v>
      </c>
      <c r="AA6064" s="402">
        <f t="shared" ref="AA6064" si="19615">IF(AA6065=0,(D6064*N6064+P6064*R6064)*U6064*Y6064,0)</f>
        <v>0</v>
      </c>
      <c r="AB6064" s="403"/>
    </row>
    <row r="6065" spans="1:28">
      <c r="A6065" s="384" t="str">
        <f t="shared" ref="A6065:B6065" si="19616">A6055</f>
        <v>Lantai 3</v>
      </c>
      <c r="B6065" s="385">
        <f t="shared" si="19616"/>
        <v>60</v>
      </c>
      <c r="C6065" s="393"/>
      <c r="D6065" s="398">
        <f t="shared" ref="D6065" si="19617">IF(AND(D6062=D6063,D6063=D6064,D6062=D6064),D6062,0)</f>
        <v>3</v>
      </c>
      <c r="E6065" s="388" t="s">
        <v>16</v>
      </c>
      <c r="F6065" s="388">
        <f t="shared" ref="F6065" si="19618">IF(AND(F6062=F6063,F6062=F6064,F6063=F6064),F6062,0)</f>
        <v>16</v>
      </c>
      <c r="G6065" s="388"/>
      <c r="H6065" s="395"/>
      <c r="I6065" s="388"/>
      <c r="J6065" s="396"/>
      <c r="K6065" s="396"/>
      <c r="L6065" s="404" t="s">
        <v>207</v>
      </c>
      <c r="M6065" s="399" t="s">
        <v>176</v>
      </c>
      <c r="N6065" s="399">
        <f t="shared" ref="N6065" si="19619">IF(AND(D6062=D6063,D6062=D6064,D6063=D6064,F6062=F6063,F6062=F6064,F6063=F6064),SUM(N6062:N6064),0)</f>
        <v>1.6339999999999999</v>
      </c>
      <c r="O6065" s="399" t="s">
        <v>204</v>
      </c>
      <c r="P6065" s="389">
        <f t="shared" ref="P6065" si="19620">IF(N6065&gt;12,ROUNDDOWN(N6065/12,0),0)</f>
        <v>0</v>
      </c>
      <c r="Q6065" s="399" t="s">
        <v>125</v>
      </c>
      <c r="R6065" s="399">
        <f t="shared" ref="R6065" si="19621">IF(P6065&gt;0,MAX(VLOOKUP(F6065,$D$6:$G$15,3,FALSE),600),0)/1000</f>
        <v>0</v>
      </c>
      <c r="S6065" s="396"/>
      <c r="T6065" s="396" t="s">
        <v>125</v>
      </c>
      <c r="U6065" s="401">
        <f t="shared" ref="U6065" si="19622">U6064</f>
        <v>1.5782400000000001</v>
      </c>
      <c r="V6065" s="396" t="s">
        <v>125</v>
      </c>
      <c r="W6065" s="399">
        <f t="shared" ref="W6065" si="19623">D6065</f>
        <v>3</v>
      </c>
      <c r="X6065" s="399" t="s">
        <v>125</v>
      </c>
      <c r="Y6065" s="389">
        <f t="shared" ref="Y6065" si="19624">Y6064</f>
        <v>1</v>
      </c>
      <c r="Z6065" s="400" t="s">
        <v>176</v>
      </c>
      <c r="AA6065" s="402">
        <f t="shared" ref="AA6065" si="19625">(N6065+P6065*R6065/1000)*U6065*W6065*Y6065</f>
        <v>7.7365324800000002</v>
      </c>
      <c r="AB6065" s="390"/>
    </row>
    <row r="6066" spans="1:28">
      <c r="A6066" s="384"/>
      <c r="B6066" s="385"/>
      <c r="C6066" s="393"/>
      <c r="D6066" s="398"/>
      <c r="E6066" s="388"/>
      <c r="F6066" s="388"/>
      <c r="G6066" s="388"/>
      <c r="H6066" s="395"/>
      <c r="I6066" s="388"/>
      <c r="J6066" s="396"/>
      <c r="K6066" s="396"/>
      <c r="L6066" s="404"/>
      <c r="M6066" s="399"/>
      <c r="N6066" s="399"/>
      <c r="O6066" s="396"/>
      <c r="P6066" s="389"/>
      <c r="Q6066" s="396"/>
      <c r="R6066" s="396"/>
      <c r="S6066" s="396"/>
      <c r="T6066" s="396"/>
      <c r="U6066" s="401"/>
      <c r="V6066" s="396"/>
      <c r="W6066" s="399"/>
      <c r="X6066" s="396"/>
      <c r="Y6066" s="389"/>
      <c r="Z6066" s="396"/>
      <c r="AA6066" s="388"/>
      <c r="AB6066" s="390"/>
    </row>
    <row r="6067" spans="1:28">
      <c r="A6067" s="384" t="str">
        <f t="shared" ref="A6067:B6067" si="19626">A6055</f>
        <v>Lantai 3</v>
      </c>
      <c r="B6067" s="385">
        <f t="shared" si="19626"/>
        <v>60</v>
      </c>
      <c r="C6067" s="393" t="s">
        <v>208</v>
      </c>
      <c r="D6067" s="398">
        <f>VLOOKUP(D6055,'Detail Balok'!$C$10:$AU$140,13,FALSE)</f>
        <v>0</v>
      </c>
      <c r="E6067" s="388" t="s">
        <v>16</v>
      </c>
      <c r="F6067" s="388">
        <f>VLOOKUP(D6055,'Detail Balok'!$C$10:$AU$140,15,FALSE)</f>
        <v>8</v>
      </c>
      <c r="G6067" s="388"/>
      <c r="H6067" s="395"/>
      <c r="I6067" s="388"/>
      <c r="J6067" s="399">
        <f t="shared" ref="J6067" si="19627">+D6057/1000</f>
        <v>1.25</v>
      </c>
      <c r="K6067" s="400" t="s">
        <v>204</v>
      </c>
      <c r="L6067" s="399">
        <f t="shared" ref="L6067" si="19628">2*$F$16*F6067/1000</f>
        <v>0.192</v>
      </c>
      <c r="M6067" s="399" t="s">
        <v>176</v>
      </c>
      <c r="N6067" s="399">
        <f t="shared" ref="N6067" si="19629">J6067+L6067</f>
        <v>1.4419999999999999</v>
      </c>
      <c r="O6067" s="399" t="s">
        <v>204</v>
      </c>
      <c r="P6067" s="389">
        <f t="shared" ref="P6067" si="19630">IF(N6067&gt;12,ROUNDDOWN(N6067/12,0),0)</f>
        <v>0</v>
      </c>
      <c r="Q6067" s="399" t="s">
        <v>125</v>
      </c>
      <c r="R6067" s="399">
        <f t="shared" ref="R6067" si="19631">IF(P6067&gt;0,MAX(VLOOKUP(F6067,$D$6:$G$15,3,FALSE),600),0)/1000</f>
        <v>0</v>
      </c>
      <c r="S6067" s="399"/>
      <c r="T6067" s="399" t="s">
        <v>125</v>
      </c>
      <c r="U6067" s="401">
        <f t="shared" ref="U6067" si="19632">0.006165*F6067^2</f>
        <v>0.39456000000000002</v>
      </c>
      <c r="V6067" s="399" t="s">
        <v>125</v>
      </c>
      <c r="W6067" s="399">
        <f t="shared" ref="W6067" si="19633">+D6067</f>
        <v>0</v>
      </c>
      <c r="X6067" s="399" t="s">
        <v>125</v>
      </c>
      <c r="Y6067" s="389">
        <f t="shared" ref="Y6067" si="19634">D6061</f>
        <v>1</v>
      </c>
      <c r="Z6067" s="400" t="s">
        <v>176</v>
      </c>
      <c r="AA6067" s="402">
        <f t="shared" ref="AA6067" si="19635">(N6067+P6067*R6067/1000)*U6067*W6067*Y6067</f>
        <v>0</v>
      </c>
      <c r="AB6067" s="403"/>
    </row>
    <row r="6068" spans="1:28">
      <c r="A6068" s="384"/>
      <c r="B6068" s="385"/>
      <c r="C6068" s="393"/>
      <c r="D6068" s="398"/>
      <c r="E6068" s="388"/>
      <c r="F6068" s="388"/>
      <c r="G6068" s="388"/>
      <c r="H6068" s="395"/>
      <c r="I6068" s="388"/>
      <c r="J6068" s="399"/>
      <c r="K6068" s="400"/>
      <c r="L6068" s="399"/>
      <c r="M6068" s="399"/>
      <c r="N6068" s="399"/>
      <c r="O6068" s="399"/>
      <c r="P6068" s="389"/>
      <c r="Q6068" s="399"/>
      <c r="R6068" s="399"/>
      <c r="S6068" s="399"/>
      <c r="T6068" s="399"/>
      <c r="U6068" s="401"/>
      <c r="V6068" s="399"/>
      <c r="W6068" s="399"/>
      <c r="X6068" s="399"/>
      <c r="Y6068" s="389"/>
      <c r="Z6068" s="400"/>
      <c r="AA6068" s="402"/>
      <c r="AB6068" s="403"/>
    </row>
    <row r="6069" spans="1:28">
      <c r="A6069" s="384"/>
      <c r="B6069" s="385"/>
      <c r="C6069" s="393"/>
      <c r="D6069" s="398"/>
      <c r="E6069" s="388"/>
      <c r="F6069" s="388"/>
      <c r="G6069" s="388"/>
      <c r="H6069" s="395"/>
      <c r="I6069" s="388"/>
      <c r="J6069" s="396"/>
      <c r="K6069" s="396"/>
      <c r="L6069" s="396"/>
      <c r="M6069" s="396"/>
      <c r="N6069" s="396"/>
      <c r="O6069" s="396"/>
      <c r="P6069" s="389"/>
      <c r="Q6069" s="396"/>
      <c r="R6069" s="396"/>
      <c r="S6069" s="396"/>
      <c r="T6069" s="396"/>
      <c r="U6069" s="401"/>
      <c r="V6069" s="396"/>
      <c r="W6069" s="399"/>
      <c r="X6069" s="396"/>
      <c r="Y6069" s="389"/>
      <c r="Z6069" s="396"/>
      <c r="AA6069" s="388"/>
      <c r="AB6069" s="390"/>
    </row>
    <row r="6070" spans="1:28">
      <c r="A6070" s="384" t="str">
        <f t="shared" ref="A6070:B6070" si="19636">A6055</f>
        <v>Lantai 3</v>
      </c>
      <c r="B6070" s="385">
        <f t="shared" si="19636"/>
        <v>60</v>
      </c>
      <c r="C6070" s="393" t="s">
        <v>209</v>
      </c>
      <c r="D6070" s="398">
        <f>VLOOKUP(D6055,'Detail Balok'!$C$10:$AU$140,22,FALSE)</f>
        <v>3</v>
      </c>
      <c r="E6070" s="388" t="s">
        <v>16</v>
      </c>
      <c r="F6070" s="388">
        <f>VLOOKUP(D6055,'Detail Balok'!$C$10:$AU$140,24,FALSE)</f>
        <v>16</v>
      </c>
      <c r="G6070" s="388"/>
      <c r="H6070" s="395"/>
      <c r="I6070" s="388" t="s">
        <v>203</v>
      </c>
      <c r="J6070" s="399">
        <f t="shared" ref="J6070:J6072" si="19637">+J6062</f>
        <v>0.3125</v>
      </c>
      <c r="K6070" s="400" t="s">
        <v>204</v>
      </c>
      <c r="L6070" s="399">
        <f t="shared" ref="L6070" si="19638">MAX(VLOOKUP(F6070,N$6:P$15,3,FALSE)/1000,2/3*D6060/1000)+F$16*F6070/1000</f>
        <v>0.192</v>
      </c>
      <c r="M6070" s="399" t="s">
        <v>176</v>
      </c>
      <c r="N6070" s="399">
        <f t="shared" ref="N6070:N6072" si="19639">J6070+L6070</f>
        <v>0.50449999999999995</v>
      </c>
      <c r="O6070" s="399" t="s">
        <v>204</v>
      </c>
      <c r="P6070" s="389">
        <f t="shared" ref="P6070" si="19640">D6070-D6071</f>
        <v>0</v>
      </c>
      <c r="Q6070" s="399" t="s">
        <v>125</v>
      </c>
      <c r="R6070" s="399">
        <f t="shared" ref="R6070" si="19641">IF(P6070&gt;0,$F$18*F6070/1000,0)</f>
        <v>0</v>
      </c>
      <c r="S6070" s="399" t="s">
        <v>205</v>
      </c>
      <c r="T6070" s="399" t="s">
        <v>125</v>
      </c>
      <c r="U6070" s="401">
        <f t="shared" ref="U6070:U6072" si="19642">0.006165*F6070^2</f>
        <v>1.5782400000000001</v>
      </c>
      <c r="V6070" s="399"/>
      <c r="W6070" s="399"/>
      <c r="X6070" s="399" t="s">
        <v>125</v>
      </c>
      <c r="Y6070" s="389">
        <f t="shared" ref="Y6070" si="19643">D6061</f>
        <v>1</v>
      </c>
      <c r="Z6070" s="400" t="s">
        <v>176</v>
      </c>
      <c r="AA6070" s="402">
        <f t="shared" ref="AA6070" si="19644">IF(AA6073=0,(D6070*N6070+P6070*R6070)*U6070*Y6070,0)</f>
        <v>0</v>
      </c>
      <c r="AB6070" s="403"/>
    </row>
    <row r="6071" spans="1:28">
      <c r="A6071" s="384" t="str">
        <f t="shared" ref="A6071:B6071" si="19645">A6055</f>
        <v>Lantai 3</v>
      </c>
      <c r="B6071" s="385">
        <f t="shared" si="19645"/>
        <v>60</v>
      </c>
      <c r="C6071" s="393" t="s">
        <v>210</v>
      </c>
      <c r="D6071" s="398">
        <f>VLOOKUP(D6055,'Detail Balok'!$C$10:$AU$140,25,FALSE)</f>
        <v>3</v>
      </c>
      <c r="E6071" s="388" t="s">
        <v>16</v>
      </c>
      <c r="F6071" s="388">
        <f>VLOOKUP(D6055,'Detail Balok'!$C$10:$AU$140,27,FALSE)</f>
        <v>16</v>
      </c>
      <c r="G6071" s="388"/>
      <c r="H6071" s="395"/>
      <c r="I6071" s="388" t="s">
        <v>203</v>
      </c>
      <c r="J6071" s="399">
        <f t="shared" si="19637"/>
        <v>0.625</v>
      </c>
      <c r="K6071" s="400" t="s">
        <v>204</v>
      </c>
      <c r="L6071" s="399"/>
      <c r="M6071" s="399" t="s">
        <v>176</v>
      </c>
      <c r="N6071" s="399">
        <f t="shared" si="19639"/>
        <v>0.625</v>
      </c>
      <c r="O6071" s="399" t="s">
        <v>204</v>
      </c>
      <c r="P6071" s="389">
        <f t="shared" ref="P6071" si="19646">MAX(D6071-D6070,D6071-D6072)</f>
        <v>0</v>
      </c>
      <c r="Q6071" s="399" t="s">
        <v>125</v>
      </c>
      <c r="R6071" s="399">
        <f t="shared" ref="R6071" si="19647">IF(P6071&gt;0,2*(1-2*$F$19-1/2)*D6058/1000,0)</f>
        <v>0</v>
      </c>
      <c r="S6071" s="399" t="s">
        <v>205</v>
      </c>
      <c r="T6071" s="399" t="s">
        <v>125</v>
      </c>
      <c r="U6071" s="401">
        <f t="shared" si="19642"/>
        <v>1.5782400000000001</v>
      </c>
      <c r="V6071" s="399"/>
      <c r="W6071" s="399"/>
      <c r="X6071" s="399" t="s">
        <v>125</v>
      </c>
      <c r="Y6071" s="389">
        <f t="shared" ref="Y6071" si="19648">D6061</f>
        <v>1</v>
      </c>
      <c r="Z6071" s="400" t="s">
        <v>176</v>
      </c>
      <c r="AA6071" s="402">
        <f t="shared" ref="AA6071" si="19649">IF(AA6073=0,(D6071*N6071+P6071*R6071)*U6071*Y6071,0)</f>
        <v>0</v>
      </c>
      <c r="AB6071" s="403"/>
    </row>
    <row r="6072" spans="1:28">
      <c r="A6072" s="384" t="str">
        <f t="shared" ref="A6072:B6072" si="19650">A6055</f>
        <v>Lantai 3</v>
      </c>
      <c r="B6072" s="385">
        <f t="shared" si="19650"/>
        <v>60</v>
      </c>
      <c r="C6072" s="393" t="s">
        <v>209</v>
      </c>
      <c r="D6072" s="398">
        <f>VLOOKUP(D6055,'Detail Balok'!$C$10:$AU$140,28,FALSE)</f>
        <v>3</v>
      </c>
      <c r="E6072" s="388" t="s">
        <v>16</v>
      </c>
      <c r="F6072" s="388">
        <f>VLOOKUP(D6055,'Detail Balok'!$C$10:$AU$140,30,FALSE)</f>
        <v>16</v>
      </c>
      <c r="G6072" s="388"/>
      <c r="H6072" s="395"/>
      <c r="I6072" s="388" t="s">
        <v>203</v>
      </c>
      <c r="J6072" s="399">
        <f t="shared" si="19637"/>
        <v>0.3125</v>
      </c>
      <c r="K6072" s="400" t="s">
        <v>204</v>
      </c>
      <c r="L6072" s="399">
        <f t="shared" ref="L6072" si="19651">MAX(VLOOKUP(F6072,N$6:P$15,3,FALSE)/1000,2/3*D6060/1000)+F$16*F6072/1000</f>
        <v>0.192</v>
      </c>
      <c r="M6072" s="399" t="s">
        <v>176</v>
      </c>
      <c r="N6072" s="399">
        <f t="shared" si="19639"/>
        <v>0.50449999999999995</v>
      </c>
      <c r="O6072" s="399" t="s">
        <v>204</v>
      </c>
      <c r="P6072" s="389">
        <f t="shared" ref="P6072" si="19652">D6072-D6071</f>
        <v>0</v>
      </c>
      <c r="Q6072" s="399" t="s">
        <v>125</v>
      </c>
      <c r="R6072" s="399">
        <f t="shared" ref="R6072" si="19653">IF(P6072&gt;0,$F$18*F6072/1000,0)</f>
        <v>0</v>
      </c>
      <c r="S6072" s="399" t="s">
        <v>205</v>
      </c>
      <c r="T6072" s="399" t="s">
        <v>125</v>
      </c>
      <c r="U6072" s="401">
        <f t="shared" si="19642"/>
        <v>1.5782400000000001</v>
      </c>
      <c r="V6072" s="399"/>
      <c r="W6072" s="399"/>
      <c r="X6072" s="399" t="s">
        <v>125</v>
      </c>
      <c r="Y6072" s="389">
        <f t="shared" ref="Y6072" si="19654">D6061</f>
        <v>1</v>
      </c>
      <c r="Z6072" s="400" t="s">
        <v>176</v>
      </c>
      <c r="AA6072" s="402">
        <f t="shared" ref="AA6072" si="19655">IF(AA6073=0,(D6072*N6072+P6072*R6072)*U6072*Y6072,0)</f>
        <v>0</v>
      </c>
      <c r="AB6072" s="403"/>
    </row>
    <row r="6073" spans="1:28">
      <c r="A6073" s="384" t="str">
        <f t="shared" ref="A6073:B6073" si="19656">A6055</f>
        <v>Lantai 3</v>
      </c>
      <c r="B6073" s="385">
        <f t="shared" si="19656"/>
        <v>60</v>
      </c>
      <c r="C6073" s="393"/>
      <c r="D6073" s="398">
        <f t="shared" ref="D6073" si="19657">IF(AND(D6070=D6071,D6071=D6072,D6070=D6072),D6070,0)</f>
        <v>3</v>
      </c>
      <c r="E6073" s="388" t="s">
        <v>16</v>
      </c>
      <c r="F6073" s="388">
        <f t="shared" ref="F6073" si="19658">IF(AND(F6070=F6071,F6070=F6072,F6071=F6072),F6070,0)</f>
        <v>16</v>
      </c>
      <c r="G6073" s="388"/>
      <c r="H6073" s="395"/>
      <c r="I6073" s="388"/>
      <c r="J6073" s="396"/>
      <c r="K6073" s="396"/>
      <c r="L6073" s="404" t="s">
        <v>207</v>
      </c>
      <c r="M6073" s="399" t="s">
        <v>176</v>
      </c>
      <c r="N6073" s="399">
        <f t="shared" ref="N6073" si="19659">IF(AND(D6070=D6071,D6070=D6072,D6071=D6072,F6070=F6071,F6070=F6072,F6071=F6072),SUM(N6070:N6072),0)</f>
        <v>1.6339999999999999</v>
      </c>
      <c r="O6073" s="399" t="s">
        <v>204</v>
      </c>
      <c r="P6073" s="389">
        <f t="shared" ref="P6073" si="19660">IF(N6073&gt;12,ROUNDDOWN(N6073/12,0),0)</f>
        <v>0</v>
      </c>
      <c r="Q6073" s="399" t="s">
        <v>125</v>
      </c>
      <c r="R6073" s="399">
        <f t="shared" ref="R6073" si="19661">IF(P6073&gt;0,MAX(VLOOKUP(F6073,$D$6:$G$15,3,FALSE),600),0)/1000</f>
        <v>0</v>
      </c>
      <c r="S6073" s="396"/>
      <c r="T6073" s="396" t="s">
        <v>125</v>
      </c>
      <c r="U6073" s="401">
        <f t="shared" ref="U6073" si="19662">U6072</f>
        <v>1.5782400000000001</v>
      </c>
      <c r="V6073" s="396" t="s">
        <v>125</v>
      </c>
      <c r="W6073" s="399">
        <f t="shared" ref="W6073" si="19663">D6073</f>
        <v>3</v>
      </c>
      <c r="X6073" s="399" t="s">
        <v>125</v>
      </c>
      <c r="Y6073" s="389">
        <f t="shared" ref="Y6073" si="19664">Y6072</f>
        <v>1</v>
      </c>
      <c r="Z6073" s="400" t="s">
        <v>176</v>
      </c>
      <c r="AA6073" s="402">
        <f t="shared" ref="AA6073" si="19665">(N6073+P6073*R6073/1000)*U6073*W6073*Y6073</f>
        <v>7.7365324800000002</v>
      </c>
      <c r="AB6073" s="403"/>
    </row>
    <row r="6074" spans="1:28">
      <c r="A6074" s="384"/>
      <c r="B6074" s="385"/>
      <c r="C6074" s="393"/>
      <c r="D6074" s="394"/>
      <c r="E6074" s="388"/>
      <c r="F6074" s="388"/>
      <c r="G6074" s="388"/>
      <c r="H6074" s="395"/>
      <c r="I6074" s="388"/>
      <c r="J6074" s="399"/>
      <c r="K6074" s="396"/>
      <c r="L6074" s="396"/>
      <c r="M6074" s="396"/>
      <c r="N6074" s="396"/>
      <c r="O6074" s="396"/>
      <c r="P6074" s="389"/>
      <c r="Q6074" s="396"/>
      <c r="R6074" s="396"/>
      <c r="S6074" s="396"/>
      <c r="T6074" s="396"/>
      <c r="U6074" s="401"/>
      <c r="V6074" s="396"/>
      <c r="W6074" s="388"/>
      <c r="X6074" s="396"/>
      <c r="Y6074" s="389"/>
      <c r="Z6074" s="396"/>
      <c r="AA6074" s="388"/>
      <c r="AB6074" s="390"/>
    </row>
    <row r="6075" spans="1:28">
      <c r="A6075" s="384" t="str">
        <f t="shared" ref="A6075:B6075" si="19666">A6055</f>
        <v>Lantai 3</v>
      </c>
      <c r="B6075" s="385">
        <f t="shared" si="19666"/>
        <v>60</v>
      </c>
      <c r="C6075" s="393" t="s">
        <v>211</v>
      </c>
      <c r="D6075" s="398">
        <f>VLOOKUP(D6055,'Detail Balok'!$C$10:$AU$140,31,FALSE)</f>
        <v>0</v>
      </c>
      <c r="E6075" s="388" t="s">
        <v>16</v>
      </c>
      <c r="F6075" s="388">
        <f>VLOOKUP(D6055,'Detail Balok'!$C$10:$AU$140,33,FALSE)</f>
        <v>10</v>
      </c>
      <c r="G6075" s="405" t="s">
        <v>157</v>
      </c>
      <c r="H6075" s="395">
        <f>VLOOKUP(D6055,'Detail Balok'!$C$10:$AU$140,35,FALSE)</f>
        <v>100</v>
      </c>
      <c r="I6075" s="388"/>
      <c r="J6075" s="400">
        <f t="shared" ref="J6075" si="19667">(IF(D6075=0,(2*(D6056+G6056))-(F$5*8),IF(D6075=3,(2*(D6056+G6056))-(F$5*8)+(G6056-2*F$5),IF(D6075=4,(2*(D6056+G6056))-(F$5*8)+2*(G6056-2*F$5)))))/1000</f>
        <v>0.88</v>
      </c>
      <c r="K6075" s="400" t="s">
        <v>204</v>
      </c>
      <c r="L6075" s="399">
        <f t="shared" ref="L6075:L6077" si="19668">IF(D6075=0,2*MAX(6*F6075,75),(D6075-1)*2*MAX(6*F6075,75))/1000</f>
        <v>0.15</v>
      </c>
      <c r="M6075" s="399" t="s">
        <v>176</v>
      </c>
      <c r="N6075" s="399">
        <f t="shared" ref="N6075:N6077" si="19669">J6075+L6075</f>
        <v>1.03</v>
      </c>
      <c r="O6075" s="399"/>
      <c r="P6075" s="389"/>
      <c r="Q6075" s="399"/>
      <c r="R6075" s="399"/>
      <c r="S6075" s="399"/>
      <c r="T6075" s="399" t="s">
        <v>125</v>
      </c>
      <c r="U6075" s="401">
        <f t="shared" ref="U6075:U6077" si="19670">0.006165*F6075^2</f>
        <v>0.61650000000000005</v>
      </c>
      <c r="V6075" s="399" t="s">
        <v>125</v>
      </c>
      <c r="W6075" s="399">
        <f t="shared" ref="W6075" si="19671">IF(D6058&gt;4*G6056,ROUND(MAX(D6058/4,2*G6056)/H6075,0)+1,ROUND(D6058/H6075,0)+1)</f>
        <v>14</v>
      </c>
      <c r="X6075" s="399" t="s">
        <v>125</v>
      </c>
      <c r="Y6075" s="389">
        <f t="shared" ref="Y6075" si="19672">D6061</f>
        <v>1</v>
      </c>
      <c r="Z6075" s="400" t="s">
        <v>176</v>
      </c>
      <c r="AA6075" s="402">
        <f t="shared" ref="AA6075:AA6077" si="19673">N6075*U6075*W6075*Y6075</f>
        <v>8.8899300000000014</v>
      </c>
      <c r="AB6075" s="403"/>
    </row>
    <row r="6076" spans="1:28">
      <c r="A6076" s="384" t="str">
        <f t="shared" ref="A6076:B6076" si="19674">A6055</f>
        <v>Lantai 3</v>
      </c>
      <c r="B6076" s="385">
        <f t="shared" si="19674"/>
        <v>60</v>
      </c>
      <c r="C6076" s="393" t="s">
        <v>212</v>
      </c>
      <c r="D6076" s="398">
        <f>VLOOKUP(D6055,'Detail Balok'!$C$10:$AU$140,36,FALSE)</f>
        <v>0</v>
      </c>
      <c r="E6076" s="388" t="s">
        <v>16</v>
      </c>
      <c r="F6076" s="388">
        <f>VLOOKUP(D6055,'Detail Balok'!$C$10:$AU$140,38,FALSE)</f>
        <v>10</v>
      </c>
      <c r="G6076" s="405" t="s">
        <v>157</v>
      </c>
      <c r="H6076" s="395">
        <f>VLOOKUP(D6055,'Detail Balok'!$C$10:$AU$140,40,FALSE)</f>
        <v>100</v>
      </c>
      <c r="I6076" s="388"/>
      <c r="J6076" s="400">
        <f t="shared" ref="J6076" si="19675">(IF(D6076=0,(2*(D6056+G6056))-(F$5*8),IF(D6076=3,(2*(D6056+G6056))-(F$5*8)+(G6056-2*F$5),IF(D6076=4,(2*(D6056+G6056))-(F$5*8)+2*(G6056-2*F$5)))))/1000</f>
        <v>0.88</v>
      </c>
      <c r="K6076" s="400" t="s">
        <v>204</v>
      </c>
      <c r="L6076" s="399">
        <f t="shared" si="19668"/>
        <v>0.15</v>
      </c>
      <c r="M6076" s="399" t="s">
        <v>176</v>
      </c>
      <c r="N6076" s="399">
        <f t="shared" si="19669"/>
        <v>1.03</v>
      </c>
      <c r="O6076" s="399"/>
      <c r="P6076" s="389"/>
      <c r="Q6076" s="399"/>
      <c r="R6076" s="399"/>
      <c r="S6076" s="399"/>
      <c r="T6076" s="399" t="s">
        <v>125</v>
      </c>
      <c r="U6076" s="401">
        <f t="shared" si="19670"/>
        <v>0.61650000000000005</v>
      </c>
      <c r="V6076" s="399" t="s">
        <v>125</v>
      </c>
      <c r="W6076" s="399">
        <f t="shared" ref="W6076" si="19676">IF(D6058-MAX(D6058/4,2*G6056)*2&gt;0,ROUND((D6058-MAX(D6058/4,2*G6056)*2)/H6076,0),0)</f>
        <v>0</v>
      </c>
      <c r="X6076" s="399" t="s">
        <v>125</v>
      </c>
      <c r="Y6076" s="389">
        <f t="shared" ref="Y6076" si="19677">D6061</f>
        <v>1</v>
      </c>
      <c r="Z6076" s="400" t="s">
        <v>176</v>
      </c>
      <c r="AA6076" s="402">
        <f t="shared" si="19673"/>
        <v>0</v>
      </c>
      <c r="AB6076" s="403"/>
    </row>
    <row r="6077" spans="1:28">
      <c r="A6077" s="384" t="str">
        <f t="shared" ref="A6077:B6077" si="19678">A6055</f>
        <v>Lantai 3</v>
      </c>
      <c r="B6077" s="385">
        <f t="shared" si="19678"/>
        <v>60</v>
      </c>
      <c r="C6077" s="393" t="s">
        <v>211</v>
      </c>
      <c r="D6077" s="398">
        <f>VLOOKUP(D6055,'Detail Balok'!$C$10:$AU$140,41,FALSE)</f>
        <v>0</v>
      </c>
      <c r="E6077" s="388" t="s">
        <v>16</v>
      </c>
      <c r="F6077" s="388">
        <f>VLOOKUP(D6055,'Detail Balok'!$C$10:$AU$140,43,FALSE)</f>
        <v>10</v>
      </c>
      <c r="G6077" s="405" t="s">
        <v>157</v>
      </c>
      <c r="H6077" s="395">
        <f>VLOOKUP(D6055,'Detail Balok'!$C$10:$AU$140,45,FALSE)</f>
        <v>100</v>
      </c>
      <c r="I6077" s="388"/>
      <c r="J6077" s="400">
        <f t="shared" ref="J6077" si="19679">(IF(D6077=0,(2*(D6056+G6056))-(F$5*8),IF(D6077=3,(2*(D6056+G6056))-(F$5*8)+(G6056-2*F$5),IF(D6077=4,(2*(D6056+G6056))-(F$5*8)+2*(G6056-2*F$5)))))/1000</f>
        <v>0.88</v>
      </c>
      <c r="K6077" s="400" t="s">
        <v>204</v>
      </c>
      <c r="L6077" s="399">
        <f t="shared" si="19668"/>
        <v>0.15</v>
      </c>
      <c r="M6077" s="399" t="s">
        <v>176</v>
      </c>
      <c r="N6077" s="399">
        <f t="shared" si="19669"/>
        <v>1.03</v>
      </c>
      <c r="O6077" s="399"/>
      <c r="P6077" s="389"/>
      <c r="Q6077" s="399"/>
      <c r="R6077" s="399"/>
      <c r="S6077" s="399"/>
      <c r="T6077" s="399" t="s">
        <v>125</v>
      </c>
      <c r="U6077" s="401">
        <f t="shared" si="19670"/>
        <v>0.61650000000000005</v>
      </c>
      <c r="V6077" s="399" t="s">
        <v>125</v>
      </c>
      <c r="W6077" s="399">
        <f t="shared" ref="W6077" si="19680">IF(D6058&gt;4*G6056,ROUND(MAX(D6058/4,2*G6056)/H6077,0)+1,0)</f>
        <v>0</v>
      </c>
      <c r="X6077" s="399" t="s">
        <v>125</v>
      </c>
      <c r="Y6077" s="389">
        <f t="shared" ref="Y6077" si="19681">D6061</f>
        <v>1</v>
      </c>
      <c r="Z6077" s="400" t="s">
        <v>176</v>
      </c>
      <c r="AA6077" s="402">
        <f t="shared" si="19673"/>
        <v>0</v>
      </c>
      <c r="AB6077" s="403"/>
    </row>
    <row r="6078" spans="1:28">
      <c r="A6078" s="384"/>
      <c r="B6078" s="385"/>
      <c r="C6078" s="393"/>
      <c r="D6078" s="394"/>
      <c r="E6078" s="388"/>
      <c r="F6078" s="388"/>
      <c r="G6078" s="388"/>
      <c r="H6078" s="395"/>
      <c r="I6078" s="388"/>
      <c r="J6078" s="399"/>
      <c r="K6078" s="396"/>
      <c r="L6078" s="396"/>
      <c r="M6078" s="396"/>
      <c r="N6078" s="396"/>
      <c r="O6078" s="396"/>
      <c r="P6078" s="389"/>
      <c r="Q6078" s="396"/>
      <c r="R6078" s="396"/>
      <c r="S6078" s="396"/>
      <c r="T6078" s="396"/>
      <c r="U6078" s="401"/>
      <c r="V6078" s="396"/>
      <c r="W6078" s="388"/>
      <c r="X6078" s="396"/>
      <c r="Y6078" s="389"/>
      <c r="Z6078" s="396"/>
      <c r="AA6078" s="388"/>
      <c r="AB6078" s="390"/>
    </row>
    <row r="6079" spans="1:28">
      <c r="A6079" s="384" t="str">
        <f t="shared" ref="A6079:B6079" si="19682">A6055</f>
        <v>Lantai 3</v>
      </c>
      <c r="B6079" s="385">
        <f t="shared" si="19682"/>
        <v>60</v>
      </c>
      <c r="C6079" s="393" t="s">
        <v>213</v>
      </c>
      <c r="D6079" s="398">
        <f>VLOOKUP(D6055,'Detail Balok'!$C$10:$BJ$140,46,FALSE)</f>
        <v>0</v>
      </c>
      <c r="E6079" s="388" t="s">
        <v>16</v>
      </c>
      <c r="F6079" s="388">
        <f>VLOOKUP(D6055,'Detail Balok'!$C$10:$BJ$140,48,FALSE)</f>
        <v>0</v>
      </c>
      <c r="G6079" s="405" t="s">
        <v>157</v>
      </c>
      <c r="H6079" s="395">
        <f>VLOOKUP(D6055,'Detail Balok'!$C$10:$BJ$140,50,FALSE)</f>
        <v>100</v>
      </c>
      <c r="I6079" s="388"/>
      <c r="J6079" s="399">
        <f t="shared" ref="J6079" si="19683">(D6056-2*F$5)/1000</f>
        <v>0.12</v>
      </c>
      <c r="K6079" s="400" t="s">
        <v>204</v>
      </c>
      <c r="L6079" s="399">
        <f t="shared" ref="L6079:L6081" si="19684">IF(D6079=0,2*MAX(6*F6079,75),(D6079-1)*2*MAX(6*F6079,75))/1000</f>
        <v>0.15</v>
      </c>
      <c r="M6079" s="399" t="s">
        <v>176</v>
      </c>
      <c r="N6079" s="399">
        <f t="shared" ref="N6079:N6081" si="19685">J6079+L6079</f>
        <v>0.27</v>
      </c>
      <c r="O6079" s="399"/>
      <c r="P6079" s="399"/>
      <c r="Q6079" s="399"/>
      <c r="R6079" s="399"/>
      <c r="S6079" s="399"/>
      <c r="T6079" s="399" t="s">
        <v>125</v>
      </c>
      <c r="U6079" s="401">
        <f t="shared" ref="U6079:U6081" si="19686">0.006165*F6079^2</f>
        <v>0</v>
      </c>
      <c r="V6079" s="399" t="s">
        <v>125</v>
      </c>
      <c r="W6079" s="399">
        <f t="shared" ref="W6079:W6081" si="19687">W6075</f>
        <v>14</v>
      </c>
      <c r="X6079" s="399" t="s">
        <v>125</v>
      </c>
      <c r="Y6079" s="389">
        <f t="shared" ref="Y6079" si="19688">D6065</f>
        <v>3</v>
      </c>
      <c r="Z6079" s="400" t="s">
        <v>176</v>
      </c>
      <c r="AA6079" s="402">
        <f t="shared" ref="AA6079:AA6081" si="19689">N6079*U6079*W6079*Y6079</f>
        <v>0</v>
      </c>
      <c r="AB6079" s="403"/>
    </row>
    <row r="6080" spans="1:28">
      <c r="A6080" s="384" t="str">
        <f t="shared" ref="A6080:B6080" si="19690">A6055</f>
        <v>Lantai 3</v>
      </c>
      <c r="B6080" s="385">
        <f t="shared" si="19690"/>
        <v>60</v>
      </c>
      <c r="C6080" s="393" t="s">
        <v>214</v>
      </c>
      <c r="D6080" s="398">
        <f>VLOOKUP(D6055,'Detail Balok'!$C$10:$BJ$140,51,FALSE)</f>
        <v>0</v>
      </c>
      <c r="E6080" s="388" t="s">
        <v>16</v>
      </c>
      <c r="F6080" s="388">
        <f>VLOOKUP(D6055,'Detail Balok'!$C$10:$BJ$140,53,FALSE)</f>
        <v>0</v>
      </c>
      <c r="G6080" s="405" t="s">
        <v>157</v>
      </c>
      <c r="H6080" s="395">
        <f>VLOOKUP(D6055,'Detail Balok'!$C$10:$BJ$140,55,FALSE)</f>
        <v>100</v>
      </c>
      <c r="I6080" s="388"/>
      <c r="J6080" s="399">
        <f t="shared" ref="J6080" si="19691">(D6056-2*F$5)/1000</f>
        <v>0.12</v>
      </c>
      <c r="K6080" s="400" t="s">
        <v>204</v>
      </c>
      <c r="L6080" s="399">
        <f t="shared" si="19684"/>
        <v>0.15</v>
      </c>
      <c r="M6080" s="399" t="s">
        <v>176</v>
      </c>
      <c r="N6080" s="399">
        <f t="shared" si="19685"/>
        <v>0.27</v>
      </c>
      <c r="O6080" s="399"/>
      <c r="P6080" s="399"/>
      <c r="Q6080" s="399"/>
      <c r="R6080" s="399"/>
      <c r="S6080" s="399"/>
      <c r="T6080" s="399" t="s">
        <v>125</v>
      </c>
      <c r="U6080" s="401">
        <f t="shared" si="19686"/>
        <v>0</v>
      </c>
      <c r="V6080" s="399" t="s">
        <v>125</v>
      </c>
      <c r="W6080" s="399">
        <f t="shared" si="19687"/>
        <v>0</v>
      </c>
      <c r="X6080" s="399" t="s">
        <v>125</v>
      </c>
      <c r="Y6080" s="389">
        <f t="shared" ref="Y6080" si="19692">D6065</f>
        <v>3</v>
      </c>
      <c r="Z6080" s="400" t="s">
        <v>176</v>
      </c>
      <c r="AA6080" s="402">
        <f t="shared" si="19689"/>
        <v>0</v>
      </c>
      <c r="AB6080" s="403"/>
    </row>
    <row r="6081" spans="1:28">
      <c r="A6081" s="384" t="str">
        <f t="shared" ref="A6081:B6081" si="19693">A6055</f>
        <v>Lantai 3</v>
      </c>
      <c r="B6081" s="385">
        <f t="shared" si="19693"/>
        <v>60</v>
      </c>
      <c r="C6081" s="393" t="s">
        <v>213</v>
      </c>
      <c r="D6081" s="398">
        <f>VLOOKUP(D6055,'Detail Balok'!$C$10:$BJ$140,56,FALSE)</f>
        <v>0</v>
      </c>
      <c r="E6081" s="388" t="s">
        <v>16</v>
      </c>
      <c r="F6081" s="388">
        <f>VLOOKUP(D6055,'Detail Balok'!$C$10:$BJ$140,58,FALSE)</f>
        <v>0</v>
      </c>
      <c r="G6081" s="405" t="s">
        <v>157</v>
      </c>
      <c r="H6081" s="395">
        <f>VLOOKUP(D6055,'Detail Balok'!$C$10:$BJ$140,60,FALSE)</f>
        <v>100</v>
      </c>
      <c r="I6081" s="388"/>
      <c r="J6081" s="399">
        <f t="shared" ref="J6081" si="19694">(D6056-2*F$5)/1000</f>
        <v>0.12</v>
      </c>
      <c r="K6081" s="400" t="s">
        <v>204</v>
      </c>
      <c r="L6081" s="399">
        <f t="shared" si="19684"/>
        <v>0.15</v>
      </c>
      <c r="M6081" s="399" t="s">
        <v>176</v>
      </c>
      <c r="N6081" s="399">
        <f t="shared" si="19685"/>
        <v>0.27</v>
      </c>
      <c r="O6081" s="399"/>
      <c r="P6081" s="399"/>
      <c r="Q6081" s="399"/>
      <c r="R6081" s="399"/>
      <c r="S6081" s="399"/>
      <c r="T6081" s="399" t="s">
        <v>125</v>
      </c>
      <c r="U6081" s="401">
        <f t="shared" si="19686"/>
        <v>0</v>
      </c>
      <c r="V6081" s="399" t="s">
        <v>125</v>
      </c>
      <c r="W6081" s="399">
        <f t="shared" si="19687"/>
        <v>0</v>
      </c>
      <c r="X6081" s="399" t="s">
        <v>125</v>
      </c>
      <c r="Y6081" s="389">
        <f t="shared" ref="Y6081" si="19695">D6065</f>
        <v>3</v>
      </c>
      <c r="Z6081" s="400" t="s">
        <v>176</v>
      </c>
      <c r="AA6081" s="402">
        <f t="shared" si="19689"/>
        <v>0</v>
      </c>
      <c r="AB6081" s="403"/>
    </row>
    <row r="6082" spans="1:28">
      <c r="A6082" s="391"/>
      <c r="B6082" s="392"/>
      <c r="C6082" s="392"/>
      <c r="D6082" s="394"/>
      <c r="E6082" s="388"/>
      <c r="F6082" s="388"/>
      <c r="G6082" s="388"/>
      <c r="H6082" s="395"/>
      <c r="I6082" s="388"/>
      <c r="J6082" s="402"/>
      <c r="K6082" s="388"/>
      <c r="L6082" s="388"/>
      <c r="M6082" s="388"/>
      <c r="N6082" s="388"/>
      <c r="O6082" s="388"/>
      <c r="P6082" s="388"/>
      <c r="Q6082" s="388"/>
      <c r="R6082" s="388"/>
      <c r="S6082" s="388"/>
      <c r="T6082" s="388"/>
      <c r="U6082" s="388"/>
      <c r="V6082" s="388"/>
      <c r="W6082" s="388"/>
      <c r="X6082" s="388"/>
      <c r="Y6082" s="389"/>
      <c r="Z6082" s="388"/>
      <c r="AA6082" s="402"/>
      <c r="AB6082" s="403"/>
    </row>
    <row r="6083" spans="1:28" ht="15.75" thickBot="1">
      <c r="A6083" s="406"/>
      <c r="B6083" s="407"/>
      <c r="C6083" s="407"/>
      <c r="D6083" s="408"/>
      <c r="E6083" s="409"/>
      <c r="F6083" s="409"/>
      <c r="G6083" s="409"/>
      <c r="H6083" s="410"/>
      <c r="I6083" s="409"/>
      <c r="J6083" s="409"/>
      <c r="K6083" s="409"/>
      <c r="L6083" s="409"/>
      <c r="M6083" s="409"/>
      <c r="N6083" s="409"/>
      <c r="O6083" s="409"/>
      <c r="P6083" s="409"/>
      <c r="Q6083" s="409"/>
      <c r="R6083" s="409"/>
      <c r="S6083" s="409"/>
      <c r="T6083" s="409"/>
      <c r="U6083" s="409"/>
      <c r="V6083" s="409"/>
      <c r="W6083" s="409"/>
      <c r="X6083" s="409"/>
      <c r="Y6083" s="411"/>
      <c r="Z6083" s="409"/>
      <c r="AA6083" s="412"/>
      <c r="AB6083" s="413"/>
    </row>
    <row r="6084" spans="1:28">
      <c r="A6084" s="377"/>
      <c r="B6084" s="378"/>
      <c r="C6084" s="378"/>
      <c r="D6084" s="379"/>
      <c r="E6084" s="380"/>
      <c r="F6084" s="380"/>
      <c r="G6084" s="380"/>
      <c r="H6084" s="381"/>
      <c r="I6084" s="380"/>
      <c r="J6084" s="380"/>
      <c r="K6084" s="380"/>
      <c r="L6084" s="380"/>
      <c r="M6084" s="380"/>
      <c r="N6084" s="380"/>
      <c r="O6084" s="380"/>
      <c r="P6084" s="380"/>
      <c r="Q6084" s="380"/>
      <c r="R6084" s="380"/>
      <c r="S6084" s="380"/>
      <c r="T6084" s="380"/>
      <c r="U6084" s="380"/>
      <c r="V6084" s="380"/>
      <c r="W6084" s="380"/>
      <c r="X6084" s="380"/>
      <c r="Y6084" s="382"/>
      <c r="Z6084" s="380"/>
      <c r="AA6084" s="380"/>
      <c r="AB6084" s="383"/>
    </row>
    <row r="6085" spans="1:28">
      <c r="A6085" s="384" t="str">
        <f t="shared" ref="A6085" si="19696">A6055</f>
        <v>Lantai 3</v>
      </c>
      <c r="B6085" s="385">
        <f t="shared" ref="B6085" si="19697">B6055+1</f>
        <v>61</v>
      </c>
      <c r="C6085" s="386" t="str">
        <f t="shared" ref="C6085" si="19698">CONCATENATE(A6085," no. ",B6085)</f>
        <v>Lantai 3 no. 61</v>
      </c>
      <c r="D6085" s="2562" t="str">
        <f>VLOOKUP(C6085,'Data Panjang Balok'!$C$9:$N$254,2,FALSE)</f>
        <v>B4-1</v>
      </c>
      <c r="E6085" s="2576"/>
      <c r="F6085" s="2576"/>
      <c r="G6085" s="2576"/>
      <c r="H6085" s="2577"/>
      <c r="I6085" s="387"/>
      <c r="J6085" s="388"/>
      <c r="K6085" s="388"/>
      <c r="L6085" s="388"/>
      <c r="M6085" s="388"/>
      <c r="N6085" s="388"/>
      <c r="O6085" s="388"/>
      <c r="P6085" s="388"/>
      <c r="Q6085" s="388"/>
      <c r="R6085" s="388"/>
      <c r="S6085" s="388"/>
      <c r="T6085" s="388"/>
      <c r="U6085" s="388"/>
      <c r="V6085" s="388"/>
      <c r="W6085" s="388"/>
      <c r="X6085" s="388"/>
      <c r="Y6085" s="389"/>
      <c r="Z6085" s="388"/>
      <c r="AA6085" s="388"/>
      <c r="AB6085" s="390"/>
    </row>
    <row r="6086" spans="1:28">
      <c r="A6086" s="391"/>
      <c r="B6086" s="392"/>
      <c r="C6086" s="393" t="s">
        <v>118</v>
      </c>
      <c r="D6086" s="2578">
        <f>VLOOKUP(D6085,'Detail Balok'!$C$10:$AU$140,2,FALSE)</f>
        <v>130</v>
      </c>
      <c r="E6086" s="2579"/>
      <c r="F6086" s="388" t="s">
        <v>125</v>
      </c>
      <c r="G6086" s="2579">
        <f>VLOOKUP(D6085,'Detail Balok'!$C$10:$AU$140,3,FALSE)</f>
        <v>400</v>
      </c>
      <c r="H6086" s="2580"/>
      <c r="I6086" s="388"/>
      <c r="J6086" s="396"/>
      <c r="K6086" s="396"/>
      <c r="L6086" s="396"/>
      <c r="M6086" s="396"/>
      <c r="N6086" s="396"/>
      <c r="O6086" s="396"/>
      <c r="P6086" s="396"/>
      <c r="Q6086" s="396"/>
      <c r="R6086" s="396"/>
      <c r="S6086" s="396"/>
      <c r="T6086" s="396"/>
      <c r="U6086" s="388"/>
      <c r="V6086" s="396"/>
      <c r="W6086" s="388"/>
      <c r="X6086" s="396"/>
      <c r="Y6086" s="389"/>
      <c r="Z6086" s="396"/>
      <c r="AA6086" s="388"/>
      <c r="AB6086" s="390"/>
    </row>
    <row r="6087" spans="1:28">
      <c r="A6087" s="391"/>
      <c r="B6087" s="392"/>
      <c r="C6087" s="393" t="s">
        <v>198</v>
      </c>
      <c r="D6087" s="2562">
        <f>VLOOKUP(C6085,'Data Panjang Balok'!$C$9:$N$254,4,FALSE)</f>
        <v>10750</v>
      </c>
      <c r="E6087" s="2563"/>
      <c r="F6087" s="2563"/>
      <c r="G6087" s="2563"/>
      <c r="H6087" s="2564"/>
      <c r="I6087" s="397"/>
      <c r="J6087" s="396"/>
      <c r="K6087" s="396"/>
      <c r="L6087" s="396"/>
      <c r="M6087" s="396"/>
      <c r="N6087" s="396"/>
      <c r="O6087" s="396"/>
      <c r="P6087" s="396"/>
      <c r="Q6087" s="396"/>
      <c r="R6087" s="396"/>
      <c r="S6087" s="396"/>
      <c r="T6087" s="396"/>
      <c r="U6087" s="388"/>
      <c r="V6087" s="396"/>
      <c r="W6087" s="388"/>
      <c r="X6087" s="396"/>
      <c r="Y6087" s="389"/>
      <c r="Z6087" s="396"/>
      <c r="AA6087" s="388"/>
      <c r="AB6087" s="390"/>
    </row>
    <row r="6088" spans="1:28">
      <c r="A6088" s="391"/>
      <c r="B6088" s="392"/>
      <c r="C6088" s="393" t="s">
        <v>199</v>
      </c>
      <c r="D6088" s="2562">
        <f>VLOOKUP(C6085,'Data Panjang Balok'!$C$9:$N$254,7,FALSE)</f>
        <v>10750</v>
      </c>
      <c r="E6088" s="2563"/>
      <c r="F6088" s="2563"/>
      <c r="G6088" s="2563"/>
      <c r="H6088" s="2564"/>
      <c r="I6088" s="397"/>
      <c r="J6088" s="396"/>
      <c r="K6088" s="396"/>
      <c r="L6088" s="396"/>
      <c r="M6088" s="396"/>
      <c r="N6088" s="396"/>
      <c r="O6088" s="396"/>
      <c r="P6088" s="396"/>
      <c r="Q6088" s="396"/>
      <c r="R6088" s="396"/>
      <c r="S6088" s="396"/>
      <c r="T6088" s="396"/>
      <c r="U6088" s="388"/>
      <c r="V6088" s="396"/>
      <c r="W6088" s="388"/>
      <c r="X6088" s="396"/>
      <c r="Y6088" s="389"/>
      <c r="Z6088" s="396"/>
      <c r="AA6088" s="388"/>
      <c r="AB6088" s="390"/>
    </row>
    <row r="6089" spans="1:28">
      <c r="A6089" s="391"/>
      <c r="B6089" s="392"/>
      <c r="C6089" s="393" t="s">
        <v>200</v>
      </c>
      <c r="D6089" s="2562">
        <f>VLOOKUP(C6085,'Data Panjang Balok'!$C$9:$N$254,9,FALSE)</f>
        <v>0</v>
      </c>
      <c r="E6089" s="2563"/>
      <c r="F6089" s="2563"/>
      <c r="G6089" s="2563"/>
      <c r="H6089" s="2564"/>
      <c r="I6089" s="397"/>
      <c r="J6089" s="396"/>
      <c r="K6089" s="396"/>
      <c r="L6089" s="396"/>
      <c r="M6089" s="396"/>
      <c r="N6089" s="396"/>
      <c r="O6089" s="396"/>
      <c r="P6089" s="396"/>
      <c r="Q6089" s="396"/>
      <c r="R6089" s="396"/>
      <c r="S6089" s="396"/>
      <c r="T6089" s="396"/>
      <c r="U6089" s="388"/>
      <c r="V6089" s="396"/>
      <c r="W6089" s="388"/>
      <c r="X6089" s="396"/>
      <c r="Y6089" s="389"/>
      <c r="Z6089" s="396"/>
      <c r="AA6089" s="388"/>
      <c r="AB6089" s="390"/>
    </row>
    <row r="6090" spans="1:28">
      <c r="A6090" s="391"/>
      <c r="B6090" s="392"/>
      <c r="C6090" s="393" t="s">
        <v>201</v>
      </c>
      <c r="D6090" s="2562">
        <f>VLOOKUP(C6085,'Data Panjang Balok'!$C$9:$N$254,10,FALSE)</f>
        <v>0</v>
      </c>
      <c r="E6090" s="2563"/>
      <c r="F6090" s="2563"/>
      <c r="G6090" s="2563"/>
      <c r="H6090" s="2564"/>
      <c r="I6090" s="397"/>
      <c r="J6090" s="396"/>
      <c r="K6090" s="396"/>
      <c r="L6090" s="396"/>
      <c r="M6090" s="396"/>
      <c r="N6090" s="396"/>
      <c r="O6090" s="396"/>
      <c r="P6090" s="396"/>
      <c r="Q6090" s="396"/>
      <c r="R6090" s="396"/>
      <c r="S6090" s="396"/>
      <c r="T6090" s="396"/>
      <c r="U6090" s="388"/>
      <c r="V6090" s="396"/>
      <c r="W6090" s="388"/>
      <c r="X6090" s="396"/>
      <c r="Y6090" s="389"/>
      <c r="Z6090" s="396"/>
      <c r="AA6090" s="388"/>
      <c r="AB6090" s="390"/>
    </row>
    <row r="6091" spans="1:28">
      <c r="A6091" s="391"/>
      <c r="B6091" s="392"/>
      <c r="C6091" s="393" t="s">
        <v>48</v>
      </c>
      <c r="D6091" s="2562">
        <f>VLOOKUP(C6085,'Data Panjang Balok'!$C$9:$N$254,3,FALSE)</f>
        <v>1</v>
      </c>
      <c r="E6091" s="2563"/>
      <c r="F6091" s="2563"/>
      <c r="G6091" s="2563"/>
      <c r="H6091" s="2564"/>
      <c r="I6091" s="397"/>
      <c r="J6091" s="396"/>
      <c r="K6091" s="396"/>
      <c r="L6091" s="396"/>
      <c r="M6091" s="396"/>
      <c r="N6091" s="396"/>
      <c r="O6091" s="396"/>
      <c r="P6091" s="396"/>
      <c r="Q6091" s="396"/>
      <c r="R6091" s="396"/>
      <c r="S6091" s="396"/>
      <c r="T6091" s="396"/>
      <c r="U6091" s="388"/>
      <c r="V6091" s="396"/>
      <c r="W6091" s="388"/>
      <c r="X6091" s="396"/>
      <c r="Y6091" s="389"/>
      <c r="Z6091" s="396"/>
      <c r="AA6091" s="388"/>
      <c r="AB6091" s="390"/>
    </row>
    <row r="6092" spans="1:28">
      <c r="A6092" s="384" t="str">
        <f t="shared" ref="A6092:B6092" si="19699">A6085</f>
        <v>Lantai 3</v>
      </c>
      <c r="B6092" s="385">
        <f t="shared" si="19699"/>
        <v>61</v>
      </c>
      <c r="C6092" s="393" t="s">
        <v>202</v>
      </c>
      <c r="D6092" s="398">
        <f>VLOOKUP(D6085,'Detail Balok'!$C$10:$AU$140,4,FALSE)</f>
        <v>2</v>
      </c>
      <c r="E6092" s="388" t="s">
        <v>16</v>
      </c>
      <c r="F6092" s="388">
        <f>VLOOKUP(D6085,'Detail Balok'!$C$10:$AU$140,6,FALSE)</f>
        <v>13</v>
      </c>
      <c r="G6092" s="388"/>
      <c r="H6092" s="395"/>
      <c r="I6092" s="388" t="s">
        <v>203</v>
      </c>
      <c r="J6092" s="399">
        <f t="shared" ref="J6092" si="19700">+D6087/4/1000</f>
        <v>2.6875</v>
      </c>
      <c r="K6092" s="400" t="s">
        <v>204</v>
      </c>
      <c r="L6092" s="399">
        <f t="shared" ref="L6092" si="19701">MAX(VLOOKUP(F6092,N$6:P$15,3,FALSE)/1000,2/3*D6089/1000)+F$16*F6092/1000</f>
        <v>0.156</v>
      </c>
      <c r="M6092" s="399" t="s">
        <v>176</v>
      </c>
      <c r="N6092" s="399">
        <f t="shared" ref="N6092:N6094" si="19702">J6092+L6092</f>
        <v>2.8435000000000001</v>
      </c>
      <c r="O6092" s="399" t="s">
        <v>204</v>
      </c>
      <c r="P6092" s="389">
        <f t="shared" ref="P6092" si="19703">D6092-D6093</f>
        <v>0</v>
      </c>
      <c r="Q6092" s="399" t="s">
        <v>125</v>
      </c>
      <c r="R6092" s="399">
        <f t="shared" ref="R6092" si="19704">IF(P6092&gt;0,$F$18*F6092/1000,0)</f>
        <v>0</v>
      </c>
      <c r="S6092" s="399" t="s">
        <v>205</v>
      </c>
      <c r="T6092" s="399" t="s">
        <v>125</v>
      </c>
      <c r="U6092" s="401">
        <f t="shared" ref="U6092:U6094" si="19705">0.006165*F6092^2</f>
        <v>1.041885</v>
      </c>
      <c r="V6092" s="399"/>
      <c r="W6092" s="399"/>
      <c r="X6092" s="399" t="s">
        <v>125</v>
      </c>
      <c r="Y6092" s="389">
        <f t="shared" ref="Y6092" si="19706">D6091</f>
        <v>1</v>
      </c>
      <c r="Z6092" s="400" t="s">
        <v>176</v>
      </c>
      <c r="AA6092" s="402">
        <f t="shared" ref="AA6092" si="19707">IF(AA6095=0,(D6092*N6092+P6092*R6092)*U6092*Y6092,0)</f>
        <v>0</v>
      </c>
      <c r="AB6092" s="403"/>
    </row>
    <row r="6093" spans="1:28">
      <c r="A6093" s="384" t="str">
        <f t="shared" ref="A6093:B6093" si="19708">A6085</f>
        <v>Lantai 3</v>
      </c>
      <c r="B6093" s="385">
        <f t="shared" si="19708"/>
        <v>61</v>
      </c>
      <c r="C6093" s="393" t="s">
        <v>206</v>
      </c>
      <c r="D6093" s="398">
        <f>VLOOKUP(D6085,'Detail Balok'!$C$10:$AU$140,7,FALSE)</f>
        <v>2</v>
      </c>
      <c r="E6093" s="388" t="s">
        <v>16</v>
      </c>
      <c r="F6093" s="388">
        <f>VLOOKUP(D6085,'Detail Balok'!$C$10:$AU$140,9,FALSE)</f>
        <v>13</v>
      </c>
      <c r="G6093" s="388"/>
      <c r="H6093" s="395"/>
      <c r="I6093" s="388" t="s">
        <v>203</v>
      </c>
      <c r="J6093" s="399">
        <f t="shared" ref="J6093" si="19709">+D6087/2/1000</f>
        <v>5.375</v>
      </c>
      <c r="K6093" s="400" t="s">
        <v>204</v>
      </c>
      <c r="L6093" s="399"/>
      <c r="M6093" s="399" t="s">
        <v>176</v>
      </c>
      <c r="N6093" s="399">
        <f t="shared" si="19702"/>
        <v>5.375</v>
      </c>
      <c r="O6093" s="399" t="s">
        <v>204</v>
      </c>
      <c r="P6093" s="389">
        <f t="shared" ref="P6093" si="19710">MAX(D6093-D6092,D6093-D6094)</f>
        <v>0</v>
      </c>
      <c r="Q6093" s="399" t="s">
        <v>125</v>
      </c>
      <c r="R6093" s="399">
        <f t="shared" ref="R6093" si="19711">IF(P6093&gt;0,2*(1-2*$F$19-1/2)*D6088/1000,0)</f>
        <v>0</v>
      </c>
      <c r="S6093" s="399" t="s">
        <v>205</v>
      </c>
      <c r="T6093" s="399" t="s">
        <v>125</v>
      </c>
      <c r="U6093" s="401">
        <f t="shared" si="19705"/>
        <v>1.041885</v>
      </c>
      <c r="V6093" s="399"/>
      <c r="W6093" s="399"/>
      <c r="X6093" s="399" t="s">
        <v>125</v>
      </c>
      <c r="Y6093" s="389">
        <f t="shared" ref="Y6093" si="19712">D6091</f>
        <v>1</v>
      </c>
      <c r="Z6093" s="400" t="s">
        <v>176</v>
      </c>
      <c r="AA6093" s="402">
        <f t="shared" ref="AA6093" si="19713">IF(AA6095=0,(D6093*N6093+P6093*R6093)*U6093*Y6093,0)</f>
        <v>0</v>
      </c>
      <c r="AB6093" s="403"/>
    </row>
    <row r="6094" spans="1:28">
      <c r="A6094" s="384" t="str">
        <f t="shared" ref="A6094:B6094" si="19714">A6085</f>
        <v>Lantai 3</v>
      </c>
      <c r="B6094" s="385">
        <f t="shared" si="19714"/>
        <v>61</v>
      </c>
      <c r="C6094" s="393" t="s">
        <v>202</v>
      </c>
      <c r="D6094" s="398">
        <f>VLOOKUP(D6085,'Detail Balok'!$C$10:$AU$140,10,FALSE)</f>
        <v>2</v>
      </c>
      <c r="E6094" s="388" t="s">
        <v>16</v>
      </c>
      <c r="F6094" s="388">
        <f>VLOOKUP(D6085,'Detail Balok'!$C$10:$AU$140,12,FALSE)</f>
        <v>13</v>
      </c>
      <c r="G6094" s="388"/>
      <c r="H6094" s="395"/>
      <c r="I6094" s="388" t="s">
        <v>203</v>
      </c>
      <c r="J6094" s="399">
        <f t="shared" ref="J6094" si="19715">+D6087/4/1000</f>
        <v>2.6875</v>
      </c>
      <c r="K6094" s="400" t="s">
        <v>204</v>
      </c>
      <c r="L6094" s="399">
        <f t="shared" ref="L6094" si="19716">MAX(VLOOKUP(F6094,N$6:P$15,3,FALSE)/1000,2/3*D6089/1000)+F$16*F6094/1000</f>
        <v>0.156</v>
      </c>
      <c r="M6094" s="399" t="s">
        <v>176</v>
      </c>
      <c r="N6094" s="399">
        <f t="shared" si="19702"/>
        <v>2.8435000000000001</v>
      </c>
      <c r="O6094" s="399" t="s">
        <v>204</v>
      </c>
      <c r="P6094" s="389">
        <f t="shared" ref="P6094" si="19717">D6094-D6093</f>
        <v>0</v>
      </c>
      <c r="Q6094" s="399" t="s">
        <v>125</v>
      </c>
      <c r="R6094" s="399">
        <f t="shared" ref="R6094" si="19718">IF(P6094&gt;0,$F$18*F6094/1000,0)</f>
        <v>0</v>
      </c>
      <c r="S6094" s="399" t="s">
        <v>205</v>
      </c>
      <c r="T6094" s="399" t="s">
        <v>125</v>
      </c>
      <c r="U6094" s="401">
        <f t="shared" si="19705"/>
        <v>1.041885</v>
      </c>
      <c r="V6094" s="399"/>
      <c r="W6094" s="399"/>
      <c r="X6094" s="399" t="s">
        <v>125</v>
      </c>
      <c r="Y6094" s="389">
        <f t="shared" ref="Y6094" si="19719">D6091</f>
        <v>1</v>
      </c>
      <c r="Z6094" s="400" t="s">
        <v>176</v>
      </c>
      <c r="AA6094" s="402">
        <f t="shared" ref="AA6094" si="19720">IF(AA6095=0,(D6094*N6094+P6094*R6094)*U6094*Y6094,0)</f>
        <v>0</v>
      </c>
      <c r="AB6094" s="403"/>
    </row>
    <row r="6095" spans="1:28">
      <c r="A6095" s="384" t="str">
        <f t="shared" ref="A6095:B6095" si="19721">A6085</f>
        <v>Lantai 3</v>
      </c>
      <c r="B6095" s="385">
        <f t="shared" si="19721"/>
        <v>61</v>
      </c>
      <c r="C6095" s="393"/>
      <c r="D6095" s="398">
        <f t="shared" ref="D6095" si="19722">IF(AND(D6092=D6093,D6093=D6094,D6092=D6094),D6092,0)</f>
        <v>2</v>
      </c>
      <c r="E6095" s="388" t="s">
        <v>16</v>
      </c>
      <c r="F6095" s="388">
        <f t="shared" ref="F6095" si="19723">IF(AND(F6092=F6093,F6092=F6094,F6093=F6094),F6092,0)</f>
        <v>13</v>
      </c>
      <c r="G6095" s="388"/>
      <c r="H6095" s="395"/>
      <c r="I6095" s="388"/>
      <c r="J6095" s="396"/>
      <c r="K6095" s="396"/>
      <c r="L6095" s="404" t="s">
        <v>207</v>
      </c>
      <c r="M6095" s="399" t="s">
        <v>176</v>
      </c>
      <c r="N6095" s="399">
        <f t="shared" ref="N6095" si="19724">IF(AND(D6092=D6093,D6092=D6094,D6093=D6094,F6092=F6093,F6092=F6094,F6093=F6094),SUM(N6092:N6094),0)</f>
        <v>11.062000000000001</v>
      </c>
      <c r="O6095" s="399" t="s">
        <v>204</v>
      </c>
      <c r="P6095" s="389">
        <f t="shared" ref="P6095" si="19725">IF(N6095&gt;12,ROUNDDOWN(N6095/12,0),0)</f>
        <v>0</v>
      </c>
      <c r="Q6095" s="399" t="s">
        <v>125</v>
      </c>
      <c r="R6095" s="399">
        <f t="shared" ref="R6095" si="19726">IF(P6095&gt;0,MAX(VLOOKUP(F6095,$D$6:$G$15,3,FALSE),600),0)/1000</f>
        <v>0</v>
      </c>
      <c r="S6095" s="396"/>
      <c r="T6095" s="396" t="s">
        <v>125</v>
      </c>
      <c r="U6095" s="401">
        <f t="shared" ref="U6095" si="19727">U6094</f>
        <v>1.041885</v>
      </c>
      <c r="V6095" s="396" t="s">
        <v>125</v>
      </c>
      <c r="W6095" s="399">
        <f t="shared" ref="W6095" si="19728">D6095</f>
        <v>2</v>
      </c>
      <c r="X6095" s="399" t="s">
        <v>125</v>
      </c>
      <c r="Y6095" s="389">
        <f t="shared" ref="Y6095" si="19729">Y6094</f>
        <v>1</v>
      </c>
      <c r="Z6095" s="400" t="s">
        <v>176</v>
      </c>
      <c r="AA6095" s="402">
        <f t="shared" ref="AA6095" si="19730">(N6095+P6095*R6095/1000)*U6095*W6095*Y6095</f>
        <v>23.050663740000001</v>
      </c>
      <c r="AB6095" s="390"/>
    </row>
    <row r="6096" spans="1:28">
      <c r="A6096" s="384"/>
      <c r="B6096" s="385"/>
      <c r="C6096" s="393"/>
      <c r="D6096" s="398"/>
      <c r="E6096" s="388"/>
      <c r="F6096" s="388"/>
      <c r="G6096" s="388"/>
      <c r="H6096" s="395"/>
      <c r="I6096" s="388"/>
      <c r="J6096" s="396"/>
      <c r="K6096" s="396"/>
      <c r="L6096" s="404"/>
      <c r="M6096" s="399"/>
      <c r="N6096" s="399"/>
      <c r="O6096" s="396"/>
      <c r="P6096" s="389"/>
      <c r="Q6096" s="396"/>
      <c r="R6096" s="396"/>
      <c r="S6096" s="396"/>
      <c r="T6096" s="396"/>
      <c r="U6096" s="401"/>
      <c r="V6096" s="396"/>
      <c r="W6096" s="399"/>
      <c r="X6096" s="396"/>
      <c r="Y6096" s="389"/>
      <c r="Z6096" s="396"/>
      <c r="AA6096" s="388"/>
      <c r="AB6096" s="390"/>
    </row>
    <row r="6097" spans="1:28">
      <c r="A6097" s="384" t="str">
        <f t="shared" ref="A6097:B6097" si="19731">A6085</f>
        <v>Lantai 3</v>
      </c>
      <c r="B6097" s="385">
        <f t="shared" si="19731"/>
        <v>61</v>
      </c>
      <c r="C6097" s="393" t="s">
        <v>208</v>
      </c>
      <c r="D6097" s="398">
        <f>VLOOKUP(D6085,'Detail Balok'!$C$10:$AU$140,13,FALSE)</f>
        <v>0</v>
      </c>
      <c r="E6097" s="388" t="s">
        <v>16</v>
      </c>
      <c r="F6097" s="388">
        <f>VLOOKUP(D6085,'Detail Balok'!$C$10:$AU$140,15,FALSE)</f>
        <v>8</v>
      </c>
      <c r="G6097" s="388"/>
      <c r="H6097" s="395"/>
      <c r="I6097" s="388"/>
      <c r="J6097" s="399">
        <f t="shared" ref="J6097" si="19732">+D6087/1000</f>
        <v>10.75</v>
      </c>
      <c r="K6097" s="400" t="s">
        <v>204</v>
      </c>
      <c r="L6097" s="399">
        <f t="shared" ref="L6097" si="19733">2*$F$16*F6097/1000</f>
        <v>0.192</v>
      </c>
      <c r="M6097" s="399" t="s">
        <v>176</v>
      </c>
      <c r="N6097" s="399">
        <f t="shared" ref="N6097" si="19734">J6097+L6097</f>
        <v>10.942</v>
      </c>
      <c r="O6097" s="399" t="s">
        <v>204</v>
      </c>
      <c r="P6097" s="389">
        <f t="shared" ref="P6097" si="19735">IF(N6097&gt;12,ROUNDDOWN(N6097/12,0),0)</f>
        <v>0</v>
      </c>
      <c r="Q6097" s="399" t="s">
        <v>125</v>
      </c>
      <c r="R6097" s="399">
        <f t="shared" ref="R6097" si="19736">IF(P6097&gt;0,MAX(VLOOKUP(F6097,$D$6:$G$15,3,FALSE),600),0)/1000</f>
        <v>0</v>
      </c>
      <c r="S6097" s="399"/>
      <c r="T6097" s="399" t="s">
        <v>125</v>
      </c>
      <c r="U6097" s="401">
        <f t="shared" ref="U6097" si="19737">0.006165*F6097^2</f>
        <v>0.39456000000000002</v>
      </c>
      <c r="V6097" s="399" t="s">
        <v>125</v>
      </c>
      <c r="W6097" s="399">
        <f t="shared" ref="W6097" si="19738">+D6097</f>
        <v>0</v>
      </c>
      <c r="X6097" s="399" t="s">
        <v>125</v>
      </c>
      <c r="Y6097" s="389">
        <f t="shared" ref="Y6097" si="19739">D6091</f>
        <v>1</v>
      </c>
      <c r="Z6097" s="400" t="s">
        <v>176</v>
      </c>
      <c r="AA6097" s="402">
        <f t="shared" ref="AA6097" si="19740">(N6097+P6097*R6097/1000)*U6097*W6097*Y6097</f>
        <v>0</v>
      </c>
      <c r="AB6097" s="403"/>
    </row>
    <row r="6098" spans="1:28">
      <c r="A6098" s="384"/>
      <c r="B6098" s="385"/>
      <c r="C6098" s="393"/>
      <c r="D6098" s="398"/>
      <c r="E6098" s="388"/>
      <c r="F6098" s="388"/>
      <c r="G6098" s="388"/>
      <c r="H6098" s="395"/>
      <c r="I6098" s="388"/>
      <c r="J6098" s="399"/>
      <c r="K6098" s="400"/>
      <c r="L6098" s="399"/>
      <c r="M6098" s="399"/>
      <c r="N6098" s="399"/>
      <c r="O6098" s="399"/>
      <c r="P6098" s="389"/>
      <c r="Q6098" s="399"/>
      <c r="R6098" s="399"/>
      <c r="S6098" s="399"/>
      <c r="T6098" s="399"/>
      <c r="U6098" s="401"/>
      <c r="V6098" s="399"/>
      <c r="W6098" s="399"/>
      <c r="X6098" s="399"/>
      <c r="Y6098" s="389"/>
      <c r="Z6098" s="400"/>
      <c r="AA6098" s="402"/>
      <c r="AB6098" s="403"/>
    </row>
    <row r="6099" spans="1:28">
      <c r="A6099" s="384"/>
      <c r="B6099" s="385"/>
      <c r="C6099" s="393"/>
      <c r="D6099" s="398"/>
      <c r="E6099" s="388"/>
      <c r="F6099" s="388"/>
      <c r="G6099" s="388"/>
      <c r="H6099" s="395"/>
      <c r="I6099" s="388"/>
      <c r="J6099" s="396"/>
      <c r="K6099" s="396"/>
      <c r="L6099" s="396"/>
      <c r="M6099" s="396"/>
      <c r="N6099" s="396"/>
      <c r="O6099" s="396"/>
      <c r="P6099" s="389"/>
      <c r="Q6099" s="396"/>
      <c r="R6099" s="396"/>
      <c r="S6099" s="396"/>
      <c r="T6099" s="396"/>
      <c r="U6099" s="401"/>
      <c r="V6099" s="396"/>
      <c r="W6099" s="399"/>
      <c r="X6099" s="396"/>
      <c r="Y6099" s="389"/>
      <c r="Z6099" s="396"/>
      <c r="AA6099" s="388"/>
      <c r="AB6099" s="390"/>
    </row>
    <row r="6100" spans="1:28">
      <c r="A6100" s="384" t="str">
        <f t="shared" ref="A6100:B6100" si="19741">A6085</f>
        <v>Lantai 3</v>
      </c>
      <c r="B6100" s="385">
        <f t="shared" si="19741"/>
        <v>61</v>
      </c>
      <c r="C6100" s="393" t="s">
        <v>209</v>
      </c>
      <c r="D6100" s="398">
        <f>VLOOKUP(D6085,'Detail Balok'!$C$10:$AU$140,22,FALSE)</f>
        <v>2</v>
      </c>
      <c r="E6100" s="388" t="s">
        <v>16</v>
      </c>
      <c r="F6100" s="388">
        <f>VLOOKUP(D6085,'Detail Balok'!$C$10:$AU$140,24,FALSE)</f>
        <v>13</v>
      </c>
      <c r="G6100" s="388"/>
      <c r="H6100" s="395"/>
      <c r="I6100" s="388" t="s">
        <v>203</v>
      </c>
      <c r="J6100" s="399">
        <f t="shared" ref="J6100:J6102" si="19742">+J6092</f>
        <v>2.6875</v>
      </c>
      <c r="K6100" s="400" t="s">
        <v>204</v>
      </c>
      <c r="L6100" s="399">
        <f t="shared" ref="L6100" si="19743">MAX(VLOOKUP(F6100,N$6:P$15,3,FALSE)/1000,2/3*D6090/1000)+F$16*F6100/1000</f>
        <v>0.156</v>
      </c>
      <c r="M6100" s="399" t="s">
        <v>176</v>
      </c>
      <c r="N6100" s="399">
        <f t="shared" ref="N6100:N6102" si="19744">J6100+L6100</f>
        <v>2.8435000000000001</v>
      </c>
      <c r="O6100" s="399" t="s">
        <v>204</v>
      </c>
      <c r="P6100" s="389">
        <f t="shared" ref="P6100" si="19745">D6100-D6101</f>
        <v>0</v>
      </c>
      <c r="Q6100" s="399" t="s">
        <v>125</v>
      </c>
      <c r="R6100" s="399">
        <f t="shared" ref="R6100" si="19746">IF(P6100&gt;0,$F$18*F6100/1000,0)</f>
        <v>0</v>
      </c>
      <c r="S6100" s="399" t="s">
        <v>205</v>
      </c>
      <c r="T6100" s="399" t="s">
        <v>125</v>
      </c>
      <c r="U6100" s="401">
        <f t="shared" ref="U6100:U6102" si="19747">0.006165*F6100^2</f>
        <v>1.041885</v>
      </c>
      <c r="V6100" s="399"/>
      <c r="W6100" s="399"/>
      <c r="X6100" s="399" t="s">
        <v>125</v>
      </c>
      <c r="Y6100" s="389">
        <f t="shared" ref="Y6100" si="19748">D6091</f>
        <v>1</v>
      </c>
      <c r="Z6100" s="400" t="s">
        <v>176</v>
      </c>
      <c r="AA6100" s="402">
        <f t="shared" ref="AA6100" si="19749">IF(AA6103=0,(D6100*N6100+P6100*R6100)*U6100*Y6100,0)</f>
        <v>0</v>
      </c>
      <c r="AB6100" s="403"/>
    </row>
    <row r="6101" spans="1:28">
      <c r="A6101" s="384" t="str">
        <f t="shared" ref="A6101:B6101" si="19750">A6085</f>
        <v>Lantai 3</v>
      </c>
      <c r="B6101" s="385">
        <f t="shared" si="19750"/>
        <v>61</v>
      </c>
      <c r="C6101" s="393" t="s">
        <v>210</v>
      </c>
      <c r="D6101" s="398">
        <f>VLOOKUP(D6085,'Detail Balok'!$C$10:$AU$140,25,FALSE)</f>
        <v>2</v>
      </c>
      <c r="E6101" s="388" t="s">
        <v>16</v>
      </c>
      <c r="F6101" s="388">
        <f>VLOOKUP(D6085,'Detail Balok'!$C$10:$AU$140,27,FALSE)</f>
        <v>13</v>
      </c>
      <c r="G6101" s="388"/>
      <c r="H6101" s="395"/>
      <c r="I6101" s="388" t="s">
        <v>203</v>
      </c>
      <c r="J6101" s="399">
        <f t="shared" si="19742"/>
        <v>5.375</v>
      </c>
      <c r="K6101" s="400" t="s">
        <v>204</v>
      </c>
      <c r="L6101" s="399"/>
      <c r="M6101" s="399" t="s">
        <v>176</v>
      </c>
      <c r="N6101" s="399">
        <f t="shared" si="19744"/>
        <v>5.375</v>
      </c>
      <c r="O6101" s="399" t="s">
        <v>204</v>
      </c>
      <c r="P6101" s="389">
        <f t="shared" ref="P6101" si="19751">MAX(D6101-D6100,D6101-D6102)</f>
        <v>0</v>
      </c>
      <c r="Q6101" s="399" t="s">
        <v>125</v>
      </c>
      <c r="R6101" s="399">
        <f t="shared" ref="R6101" si="19752">IF(P6101&gt;0,2*(1-2*$F$19-1/2)*D6088/1000,0)</f>
        <v>0</v>
      </c>
      <c r="S6101" s="399" t="s">
        <v>205</v>
      </c>
      <c r="T6101" s="399" t="s">
        <v>125</v>
      </c>
      <c r="U6101" s="401">
        <f t="shared" si="19747"/>
        <v>1.041885</v>
      </c>
      <c r="V6101" s="399"/>
      <c r="W6101" s="399"/>
      <c r="X6101" s="399" t="s">
        <v>125</v>
      </c>
      <c r="Y6101" s="389">
        <f t="shared" ref="Y6101" si="19753">D6091</f>
        <v>1</v>
      </c>
      <c r="Z6101" s="400" t="s">
        <v>176</v>
      </c>
      <c r="AA6101" s="402">
        <f t="shared" ref="AA6101" si="19754">IF(AA6103=0,(D6101*N6101+P6101*R6101)*U6101*Y6101,0)</f>
        <v>0</v>
      </c>
      <c r="AB6101" s="403"/>
    </row>
    <row r="6102" spans="1:28">
      <c r="A6102" s="384" t="str">
        <f t="shared" ref="A6102:B6102" si="19755">A6085</f>
        <v>Lantai 3</v>
      </c>
      <c r="B6102" s="385">
        <f t="shared" si="19755"/>
        <v>61</v>
      </c>
      <c r="C6102" s="393" t="s">
        <v>209</v>
      </c>
      <c r="D6102" s="398">
        <f>VLOOKUP(D6085,'Detail Balok'!$C$10:$AU$140,28,FALSE)</f>
        <v>2</v>
      </c>
      <c r="E6102" s="388" t="s">
        <v>16</v>
      </c>
      <c r="F6102" s="388">
        <f>VLOOKUP(D6085,'Detail Balok'!$C$10:$AU$140,30,FALSE)</f>
        <v>13</v>
      </c>
      <c r="G6102" s="388"/>
      <c r="H6102" s="395"/>
      <c r="I6102" s="388" t="s">
        <v>203</v>
      </c>
      <c r="J6102" s="399">
        <f t="shared" si="19742"/>
        <v>2.6875</v>
      </c>
      <c r="K6102" s="400" t="s">
        <v>204</v>
      </c>
      <c r="L6102" s="399">
        <f t="shared" ref="L6102" si="19756">MAX(VLOOKUP(F6102,N$6:P$15,3,FALSE)/1000,2/3*D6090/1000)+F$16*F6102/1000</f>
        <v>0.156</v>
      </c>
      <c r="M6102" s="399" t="s">
        <v>176</v>
      </c>
      <c r="N6102" s="399">
        <f t="shared" si="19744"/>
        <v>2.8435000000000001</v>
      </c>
      <c r="O6102" s="399" t="s">
        <v>204</v>
      </c>
      <c r="P6102" s="389">
        <f t="shared" ref="P6102" si="19757">D6102-D6101</f>
        <v>0</v>
      </c>
      <c r="Q6102" s="399" t="s">
        <v>125</v>
      </c>
      <c r="R6102" s="399">
        <f t="shared" ref="R6102" si="19758">IF(P6102&gt;0,$F$18*F6102/1000,0)</f>
        <v>0</v>
      </c>
      <c r="S6102" s="399" t="s">
        <v>205</v>
      </c>
      <c r="T6102" s="399" t="s">
        <v>125</v>
      </c>
      <c r="U6102" s="401">
        <f t="shared" si="19747"/>
        <v>1.041885</v>
      </c>
      <c r="V6102" s="399"/>
      <c r="W6102" s="399"/>
      <c r="X6102" s="399" t="s">
        <v>125</v>
      </c>
      <c r="Y6102" s="389">
        <f t="shared" ref="Y6102" si="19759">D6091</f>
        <v>1</v>
      </c>
      <c r="Z6102" s="400" t="s">
        <v>176</v>
      </c>
      <c r="AA6102" s="402">
        <f t="shared" ref="AA6102" si="19760">IF(AA6103=0,(D6102*N6102+P6102*R6102)*U6102*Y6102,0)</f>
        <v>0</v>
      </c>
      <c r="AB6102" s="403"/>
    </row>
    <row r="6103" spans="1:28">
      <c r="A6103" s="384" t="str">
        <f t="shared" ref="A6103:B6103" si="19761">A6085</f>
        <v>Lantai 3</v>
      </c>
      <c r="B6103" s="385">
        <f t="shared" si="19761"/>
        <v>61</v>
      </c>
      <c r="C6103" s="393"/>
      <c r="D6103" s="398">
        <f t="shared" ref="D6103" si="19762">IF(AND(D6100=D6101,D6101=D6102,D6100=D6102),D6100,0)</f>
        <v>2</v>
      </c>
      <c r="E6103" s="388" t="s">
        <v>16</v>
      </c>
      <c r="F6103" s="388">
        <f t="shared" ref="F6103" si="19763">IF(AND(F6100=F6101,F6100=F6102,F6101=F6102),F6100,0)</f>
        <v>13</v>
      </c>
      <c r="G6103" s="388"/>
      <c r="H6103" s="395"/>
      <c r="I6103" s="388"/>
      <c r="J6103" s="396"/>
      <c r="K6103" s="396"/>
      <c r="L6103" s="404" t="s">
        <v>207</v>
      </c>
      <c r="M6103" s="399" t="s">
        <v>176</v>
      </c>
      <c r="N6103" s="399">
        <f t="shared" ref="N6103" si="19764">IF(AND(D6100=D6101,D6100=D6102,D6101=D6102,F6100=F6101,F6100=F6102,F6101=F6102),SUM(N6100:N6102),0)</f>
        <v>11.062000000000001</v>
      </c>
      <c r="O6103" s="399" t="s">
        <v>204</v>
      </c>
      <c r="P6103" s="389">
        <f t="shared" ref="P6103" si="19765">IF(N6103&gt;12,ROUNDDOWN(N6103/12,0),0)</f>
        <v>0</v>
      </c>
      <c r="Q6103" s="399" t="s">
        <v>125</v>
      </c>
      <c r="R6103" s="399">
        <f t="shared" ref="R6103" si="19766">IF(P6103&gt;0,MAX(VLOOKUP(F6103,$D$6:$G$15,3,FALSE),600),0)/1000</f>
        <v>0</v>
      </c>
      <c r="S6103" s="396"/>
      <c r="T6103" s="396" t="s">
        <v>125</v>
      </c>
      <c r="U6103" s="401">
        <f t="shared" ref="U6103" si="19767">U6102</f>
        <v>1.041885</v>
      </c>
      <c r="V6103" s="396" t="s">
        <v>125</v>
      </c>
      <c r="W6103" s="399">
        <f t="shared" ref="W6103" si="19768">D6103</f>
        <v>2</v>
      </c>
      <c r="X6103" s="399" t="s">
        <v>125</v>
      </c>
      <c r="Y6103" s="389">
        <f t="shared" ref="Y6103" si="19769">Y6102</f>
        <v>1</v>
      </c>
      <c r="Z6103" s="400" t="s">
        <v>176</v>
      </c>
      <c r="AA6103" s="402">
        <f t="shared" ref="AA6103" si="19770">(N6103+P6103*R6103/1000)*U6103*W6103*Y6103</f>
        <v>23.050663740000001</v>
      </c>
      <c r="AB6103" s="403"/>
    </row>
    <row r="6104" spans="1:28">
      <c r="A6104" s="384"/>
      <c r="B6104" s="385"/>
      <c r="C6104" s="393"/>
      <c r="D6104" s="394"/>
      <c r="E6104" s="388"/>
      <c r="F6104" s="388"/>
      <c r="G6104" s="388"/>
      <c r="H6104" s="395"/>
      <c r="I6104" s="388"/>
      <c r="J6104" s="399"/>
      <c r="K6104" s="396"/>
      <c r="L6104" s="396"/>
      <c r="M6104" s="396"/>
      <c r="N6104" s="396"/>
      <c r="O6104" s="396"/>
      <c r="P6104" s="389"/>
      <c r="Q6104" s="396"/>
      <c r="R6104" s="396"/>
      <c r="S6104" s="396"/>
      <c r="T6104" s="396"/>
      <c r="U6104" s="401"/>
      <c r="V6104" s="396"/>
      <c r="W6104" s="388"/>
      <c r="X6104" s="396"/>
      <c r="Y6104" s="389"/>
      <c r="Z6104" s="396"/>
      <c r="AA6104" s="388"/>
      <c r="AB6104" s="390"/>
    </row>
    <row r="6105" spans="1:28">
      <c r="A6105" s="384" t="str">
        <f t="shared" ref="A6105:B6105" si="19771">A6085</f>
        <v>Lantai 3</v>
      </c>
      <c r="B6105" s="385">
        <f t="shared" si="19771"/>
        <v>61</v>
      </c>
      <c r="C6105" s="393" t="s">
        <v>211</v>
      </c>
      <c r="D6105" s="398">
        <f>VLOOKUP(D6085,'Detail Balok'!$C$10:$AU$140,31,FALSE)</f>
        <v>0</v>
      </c>
      <c r="E6105" s="388" t="s">
        <v>16</v>
      </c>
      <c r="F6105" s="388">
        <f>VLOOKUP(D6085,'Detail Balok'!$C$10:$AU$140,33,FALSE)</f>
        <v>8</v>
      </c>
      <c r="G6105" s="405" t="s">
        <v>157</v>
      </c>
      <c r="H6105" s="395">
        <f>VLOOKUP(D6085,'Detail Balok'!$C$10:$AU$140,35,FALSE)</f>
        <v>150</v>
      </c>
      <c r="I6105" s="388"/>
      <c r="J6105" s="400">
        <f t="shared" ref="J6105" si="19772">(IF(D6105=0,(2*(D6086+G6086))-(F$5*8),IF(D6105=3,(2*(D6086+G6086))-(F$5*8)+(G6086-2*F$5),IF(D6105=4,(2*(D6086+G6086))-(F$5*8)+2*(G6086-2*F$5)))))/1000</f>
        <v>0.74</v>
      </c>
      <c r="K6105" s="400" t="s">
        <v>204</v>
      </c>
      <c r="L6105" s="399">
        <f t="shared" ref="L6105:L6107" si="19773">IF(D6105=0,2*MAX(6*F6105,75),(D6105-1)*2*MAX(6*F6105,75))/1000</f>
        <v>0.15</v>
      </c>
      <c r="M6105" s="399" t="s">
        <v>176</v>
      </c>
      <c r="N6105" s="399">
        <f t="shared" ref="N6105:N6107" si="19774">J6105+L6105</f>
        <v>0.89</v>
      </c>
      <c r="O6105" s="399"/>
      <c r="P6105" s="389"/>
      <c r="Q6105" s="399"/>
      <c r="R6105" s="399"/>
      <c r="S6105" s="399"/>
      <c r="T6105" s="399" t="s">
        <v>125</v>
      </c>
      <c r="U6105" s="401">
        <f t="shared" ref="U6105:U6107" si="19775">0.006165*F6105^2</f>
        <v>0.39456000000000002</v>
      </c>
      <c r="V6105" s="399" t="s">
        <v>125</v>
      </c>
      <c r="W6105" s="399">
        <f t="shared" ref="W6105" si="19776">IF(D6088&gt;4*G6086,ROUND(MAX(D6088/4,2*G6086)/H6105,0)+1,ROUND(D6088/H6105,0)+1)</f>
        <v>19</v>
      </c>
      <c r="X6105" s="399" t="s">
        <v>125</v>
      </c>
      <c r="Y6105" s="389">
        <f t="shared" ref="Y6105" si="19777">D6091</f>
        <v>1</v>
      </c>
      <c r="Z6105" s="400" t="s">
        <v>176</v>
      </c>
      <c r="AA6105" s="402">
        <f t="shared" ref="AA6105:AA6107" si="19778">N6105*U6105*W6105*Y6105</f>
        <v>6.6720096000000009</v>
      </c>
      <c r="AB6105" s="403"/>
    </row>
    <row r="6106" spans="1:28">
      <c r="A6106" s="384" t="str">
        <f t="shared" ref="A6106:B6106" si="19779">A6085</f>
        <v>Lantai 3</v>
      </c>
      <c r="B6106" s="385">
        <f t="shared" si="19779"/>
        <v>61</v>
      </c>
      <c r="C6106" s="393" t="s">
        <v>212</v>
      </c>
      <c r="D6106" s="398">
        <f>VLOOKUP(D6085,'Detail Balok'!$C$10:$AU$140,36,FALSE)</f>
        <v>0</v>
      </c>
      <c r="E6106" s="388" t="s">
        <v>16</v>
      </c>
      <c r="F6106" s="388">
        <f>VLOOKUP(D6085,'Detail Balok'!$C$10:$AU$140,38,FALSE)</f>
        <v>8</v>
      </c>
      <c r="G6106" s="405" t="s">
        <v>157</v>
      </c>
      <c r="H6106" s="395">
        <f>VLOOKUP(D6085,'Detail Balok'!$C$10:$AU$140,40,FALSE)</f>
        <v>200</v>
      </c>
      <c r="I6106" s="388"/>
      <c r="J6106" s="400">
        <f t="shared" ref="J6106" si="19780">(IF(D6106=0,(2*(D6086+G6086))-(F$5*8),IF(D6106=3,(2*(D6086+G6086))-(F$5*8)+(G6086-2*F$5),IF(D6106=4,(2*(D6086+G6086))-(F$5*8)+2*(G6086-2*F$5)))))/1000</f>
        <v>0.74</v>
      </c>
      <c r="K6106" s="400" t="s">
        <v>204</v>
      </c>
      <c r="L6106" s="399">
        <f t="shared" si="19773"/>
        <v>0.15</v>
      </c>
      <c r="M6106" s="399" t="s">
        <v>176</v>
      </c>
      <c r="N6106" s="399">
        <f t="shared" si="19774"/>
        <v>0.89</v>
      </c>
      <c r="O6106" s="399"/>
      <c r="P6106" s="389"/>
      <c r="Q6106" s="399"/>
      <c r="R6106" s="399"/>
      <c r="S6106" s="399"/>
      <c r="T6106" s="399" t="s">
        <v>125</v>
      </c>
      <c r="U6106" s="401">
        <f t="shared" si="19775"/>
        <v>0.39456000000000002</v>
      </c>
      <c r="V6106" s="399" t="s">
        <v>125</v>
      </c>
      <c r="W6106" s="399">
        <f t="shared" ref="W6106" si="19781">IF(D6088-MAX(D6088/4,2*G6086)*2&gt;0,ROUND((D6088-MAX(D6088/4,2*G6086)*2)/H6106,0),0)</f>
        <v>27</v>
      </c>
      <c r="X6106" s="399" t="s">
        <v>125</v>
      </c>
      <c r="Y6106" s="389">
        <f t="shared" ref="Y6106" si="19782">D6091</f>
        <v>1</v>
      </c>
      <c r="Z6106" s="400" t="s">
        <v>176</v>
      </c>
      <c r="AA6106" s="402">
        <f t="shared" si="19778"/>
        <v>9.4812768000000016</v>
      </c>
      <c r="AB6106" s="403"/>
    </row>
    <row r="6107" spans="1:28">
      <c r="A6107" s="384" t="str">
        <f t="shared" ref="A6107:B6107" si="19783">A6085</f>
        <v>Lantai 3</v>
      </c>
      <c r="B6107" s="385">
        <f t="shared" si="19783"/>
        <v>61</v>
      </c>
      <c r="C6107" s="393" t="s">
        <v>211</v>
      </c>
      <c r="D6107" s="398">
        <f>VLOOKUP(D6085,'Detail Balok'!$C$10:$AU$140,41,FALSE)</f>
        <v>0</v>
      </c>
      <c r="E6107" s="388" t="s">
        <v>16</v>
      </c>
      <c r="F6107" s="388">
        <f>VLOOKUP(D6085,'Detail Balok'!$C$10:$AU$140,43,FALSE)</f>
        <v>8</v>
      </c>
      <c r="G6107" s="405" t="s">
        <v>157</v>
      </c>
      <c r="H6107" s="395">
        <f>VLOOKUP(D6085,'Detail Balok'!$C$10:$AU$140,45,FALSE)</f>
        <v>150</v>
      </c>
      <c r="I6107" s="388"/>
      <c r="J6107" s="400">
        <f t="shared" ref="J6107" si="19784">(IF(D6107=0,(2*(D6086+G6086))-(F$5*8),IF(D6107=3,(2*(D6086+G6086))-(F$5*8)+(G6086-2*F$5),IF(D6107=4,(2*(D6086+G6086))-(F$5*8)+2*(G6086-2*F$5)))))/1000</f>
        <v>0.74</v>
      </c>
      <c r="K6107" s="400" t="s">
        <v>204</v>
      </c>
      <c r="L6107" s="399">
        <f t="shared" si="19773"/>
        <v>0.15</v>
      </c>
      <c r="M6107" s="399" t="s">
        <v>176</v>
      </c>
      <c r="N6107" s="399">
        <f t="shared" si="19774"/>
        <v>0.89</v>
      </c>
      <c r="O6107" s="399"/>
      <c r="P6107" s="389"/>
      <c r="Q6107" s="399"/>
      <c r="R6107" s="399"/>
      <c r="S6107" s="399"/>
      <c r="T6107" s="399" t="s">
        <v>125</v>
      </c>
      <c r="U6107" s="401">
        <f t="shared" si="19775"/>
        <v>0.39456000000000002</v>
      </c>
      <c r="V6107" s="399" t="s">
        <v>125</v>
      </c>
      <c r="W6107" s="399">
        <f t="shared" ref="W6107" si="19785">IF(D6088&gt;4*G6086,ROUND(MAX(D6088/4,2*G6086)/H6107,0)+1,0)</f>
        <v>19</v>
      </c>
      <c r="X6107" s="399" t="s">
        <v>125</v>
      </c>
      <c r="Y6107" s="389">
        <f t="shared" ref="Y6107" si="19786">D6091</f>
        <v>1</v>
      </c>
      <c r="Z6107" s="400" t="s">
        <v>176</v>
      </c>
      <c r="AA6107" s="402">
        <f t="shared" si="19778"/>
        <v>6.6720096000000009</v>
      </c>
      <c r="AB6107" s="403"/>
    </row>
    <row r="6108" spans="1:28">
      <c r="A6108" s="384"/>
      <c r="B6108" s="385"/>
      <c r="C6108" s="393"/>
      <c r="D6108" s="394"/>
      <c r="E6108" s="388"/>
      <c r="F6108" s="388"/>
      <c r="G6108" s="388"/>
      <c r="H6108" s="395"/>
      <c r="I6108" s="388"/>
      <c r="J6108" s="399"/>
      <c r="K6108" s="396"/>
      <c r="L6108" s="396"/>
      <c r="M6108" s="396"/>
      <c r="N6108" s="396"/>
      <c r="O6108" s="396"/>
      <c r="P6108" s="389"/>
      <c r="Q6108" s="396"/>
      <c r="R6108" s="396"/>
      <c r="S6108" s="396"/>
      <c r="T6108" s="396"/>
      <c r="U6108" s="401"/>
      <c r="V6108" s="396"/>
      <c r="W6108" s="388"/>
      <c r="X6108" s="396"/>
      <c r="Y6108" s="389"/>
      <c r="Z6108" s="396"/>
      <c r="AA6108" s="388"/>
      <c r="AB6108" s="390"/>
    </row>
    <row r="6109" spans="1:28">
      <c r="A6109" s="384" t="str">
        <f t="shared" ref="A6109:B6109" si="19787">A6085</f>
        <v>Lantai 3</v>
      </c>
      <c r="B6109" s="385">
        <f t="shared" si="19787"/>
        <v>61</v>
      </c>
      <c r="C6109" s="393" t="s">
        <v>213</v>
      </c>
      <c r="D6109" s="398">
        <f>VLOOKUP(D6085,'Detail Balok'!$C$10:$BJ$140,46,FALSE)</f>
        <v>0</v>
      </c>
      <c r="E6109" s="388" t="s">
        <v>16</v>
      </c>
      <c r="F6109" s="388">
        <f>VLOOKUP(D6085,'Detail Balok'!$C$10:$BJ$140,48,FALSE)</f>
        <v>0</v>
      </c>
      <c r="G6109" s="405" t="s">
        <v>157</v>
      </c>
      <c r="H6109" s="395">
        <f>VLOOKUP(D6085,'Detail Balok'!$C$10:$BJ$140,50,FALSE)</f>
        <v>100</v>
      </c>
      <c r="I6109" s="388"/>
      <c r="J6109" s="399">
        <f t="shared" ref="J6109" si="19788">(D6086-2*F$5)/1000</f>
        <v>0.05</v>
      </c>
      <c r="K6109" s="400" t="s">
        <v>204</v>
      </c>
      <c r="L6109" s="399">
        <f t="shared" ref="L6109:L6111" si="19789">IF(D6109=0,2*MAX(6*F6109,75),(D6109-1)*2*MAX(6*F6109,75))/1000</f>
        <v>0.15</v>
      </c>
      <c r="M6109" s="399" t="s">
        <v>176</v>
      </c>
      <c r="N6109" s="399">
        <f t="shared" ref="N6109:N6111" si="19790">J6109+L6109</f>
        <v>0.2</v>
      </c>
      <c r="O6109" s="399"/>
      <c r="P6109" s="399"/>
      <c r="Q6109" s="399"/>
      <c r="R6109" s="399"/>
      <c r="S6109" s="399"/>
      <c r="T6109" s="399" t="s">
        <v>125</v>
      </c>
      <c r="U6109" s="401">
        <f t="shared" ref="U6109:U6111" si="19791">0.006165*F6109^2</f>
        <v>0</v>
      </c>
      <c r="V6109" s="399" t="s">
        <v>125</v>
      </c>
      <c r="W6109" s="399">
        <f t="shared" ref="W6109:W6111" si="19792">W6105</f>
        <v>19</v>
      </c>
      <c r="X6109" s="399" t="s">
        <v>125</v>
      </c>
      <c r="Y6109" s="389">
        <f t="shared" ref="Y6109" si="19793">D6095</f>
        <v>2</v>
      </c>
      <c r="Z6109" s="400" t="s">
        <v>176</v>
      </c>
      <c r="AA6109" s="402">
        <f t="shared" ref="AA6109:AA6111" si="19794">N6109*U6109*W6109*Y6109</f>
        <v>0</v>
      </c>
      <c r="AB6109" s="403"/>
    </row>
    <row r="6110" spans="1:28">
      <c r="A6110" s="384" t="str">
        <f t="shared" ref="A6110:B6110" si="19795">A6085</f>
        <v>Lantai 3</v>
      </c>
      <c r="B6110" s="385">
        <f t="shared" si="19795"/>
        <v>61</v>
      </c>
      <c r="C6110" s="393" t="s">
        <v>214</v>
      </c>
      <c r="D6110" s="398">
        <f>VLOOKUP(D6085,'Detail Balok'!$C$10:$BJ$140,51,FALSE)</f>
        <v>0</v>
      </c>
      <c r="E6110" s="388" t="s">
        <v>16</v>
      </c>
      <c r="F6110" s="388">
        <f>VLOOKUP(D6085,'Detail Balok'!$C$10:$BJ$140,53,FALSE)</f>
        <v>0</v>
      </c>
      <c r="G6110" s="405" t="s">
        <v>157</v>
      </c>
      <c r="H6110" s="395">
        <f>VLOOKUP(D6085,'Detail Balok'!$C$10:$BJ$140,55,FALSE)</f>
        <v>100</v>
      </c>
      <c r="I6110" s="388"/>
      <c r="J6110" s="399">
        <f t="shared" ref="J6110" si="19796">(D6086-2*F$5)/1000</f>
        <v>0.05</v>
      </c>
      <c r="K6110" s="400" t="s">
        <v>204</v>
      </c>
      <c r="L6110" s="399">
        <f t="shared" si="19789"/>
        <v>0.15</v>
      </c>
      <c r="M6110" s="399" t="s">
        <v>176</v>
      </c>
      <c r="N6110" s="399">
        <f t="shared" si="19790"/>
        <v>0.2</v>
      </c>
      <c r="O6110" s="399"/>
      <c r="P6110" s="399"/>
      <c r="Q6110" s="399"/>
      <c r="R6110" s="399"/>
      <c r="S6110" s="399"/>
      <c r="T6110" s="399" t="s">
        <v>125</v>
      </c>
      <c r="U6110" s="401">
        <f t="shared" si="19791"/>
        <v>0</v>
      </c>
      <c r="V6110" s="399" t="s">
        <v>125</v>
      </c>
      <c r="W6110" s="399">
        <f t="shared" si="19792"/>
        <v>27</v>
      </c>
      <c r="X6110" s="399" t="s">
        <v>125</v>
      </c>
      <c r="Y6110" s="389">
        <f t="shared" ref="Y6110" si="19797">D6095</f>
        <v>2</v>
      </c>
      <c r="Z6110" s="400" t="s">
        <v>176</v>
      </c>
      <c r="AA6110" s="402">
        <f t="shared" si="19794"/>
        <v>0</v>
      </c>
      <c r="AB6110" s="403"/>
    </row>
    <row r="6111" spans="1:28">
      <c r="A6111" s="384" t="str">
        <f t="shared" ref="A6111:B6111" si="19798">A6085</f>
        <v>Lantai 3</v>
      </c>
      <c r="B6111" s="385">
        <f t="shared" si="19798"/>
        <v>61</v>
      </c>
      <c r="C6111" s="393" t="s">
        <v>213</v>
      </c>
      <c r="D6111" s="398">
        <f>VLOOKUP(D6085,'Detail Balok'!$C$10:$BJ$140,56,FALSE)</f>
        <v>0</v>
      </c>
      <c r="E6111" s="388" t="s">
        <v>16</v>
      </c>
      <c r="F6111" s="388">
        <f>VLOOKUP(D6085,'Detail Balok'!$C$10:$BJ$140,58,FALSE)</f>
        <v>0</v>
      </c>
      <c r="G6111" s="405" t="s">
        <v>157</v>
      </c>
      <c r="H6111" s="395">
        <f>VLOOKUP(D6085,'Detail Balok'!$C$10:$BJ$140,60,FALSE)</f>
        <v>100</v>
      </c>
      <c r="I6111" s="388"/>
      <c r="J6111" s="399">
        <f t="shared" ref="J6111" si="19799">(D6086-2*F$5)/1000</f>
        <v>0.05</v>
      </c>
      <c r="K6111" s="400" t="s">
        <v>204</v>
      </c>
      <c r="L6111" s="399">
        <f t="shared" si="19789"/>
        <v>0.15</v>
      </c>
      <c r="M6111" s="399" t="s">
        <v>176</v>
      </c>
      <c r="N6111" s="399">
        <f t="shared" si="19790"/>
        <v>0.2</v>
      </c>
      <c r="O6111" s="399"/>
      <c r="P6111" s="399"/>
      <c r="Q6111" s="399"/>
      <c r="R6111" s="399"/>
      <c r="S6111" s="399"/>
      <c r="T6111" s="399" t="s">
        <v>125</v>
      </c>
      <c r="U6111" s="401">
        <f t="shared" si="19791"/>
        <v>0</v>
      </c>
      <c r="V6111" s="399" t="s">
        <v>125</v>
      </c>
      <c r="W6111" s="399">
        <f t="shared" si="19792"/>
        <v>19</v>
      </c>
      <c r="X6111" s="399" t="s">
        <v>125</v>
      </c>
      <c r="Y6111" s="389">
        <f t="shared" ref="Y6111" si="19800">D6095</f>
        <v>2</v>
      </c>
      <c r="Z6111" s="400" t="s">
        <v>176</v>
      </c>
      <c r="AA6111" s="402">
        <f t="shared" si="19794"/>
        <v>0</v>
      </c>
      <c r="AB6111" s="403"/>
    </row>
    <row r="6112" spans="1:28">
      <c r="A6112" s="391"/>
      <c r="B6112" s="392"/>
      <c r="C6112" s="392"/>
      <c r="D6112" s="394"/>
      <c r="E6112" s="388"/>
      <c r="F6112" s="388"/>
      <c r="G6112" s="388"/>
      <c r="H6112" s="395"/>
      <c r="I6112" s="388"/>
      <c r="J6112" s="402"/>
      <c r="K6112" s="388"/>
      <c r="L6112" s="388"/>
      <c r="M6112" s="388"/>
      <c r="N6112" s="388"/>
      <c r="O6112" s="388"/>
      <c r="P6112" s="388"/>
      <c r="Q6112" s="388"/>
      <c r="R6112" s="388"/>
      <c r="S6112" s="388"/>
      <c r="T6112" s="388"/>
      <c r="U6112" s="388"/>
      <c r="V6112" s="388"/>
      <c r="W6112" s="388"/>
      <c r="X6112" s="388"/>
      <c r="Y6112" s="389"/>
      <c r="Z6112" s="388"/>
      <c r="AA6112" s="402"/>
      <c r="AB6112" s="403"/>
    </row>
    <row r="6113" spans="1:28" ht="15.75" thickBot="1">
      <c r="A6113" s="406"/>
      <c r="B6113" s="407"/>
      <c r="C6113" s="407"/>
      <c r="D6113" s="408"/>
      <c r="E6113" s="409"/>
      <c r="F6113" s="409"/>
      <c r="G6113" s="409"/>
      <c r="H6113" s="410"/>
      <c r="I6113" s="409"/>
      <c r="J6113" s="409"/>
      <c r="K6113" s="409"/>
      <c r="L6113" s="409"/>
      <c r="M6113" s="409"/>
      <c r="N6113" s="409"/>
      <c r="O6113" s="409"/>
      <c r="P6113" s="409"/>
      <c r="Q6113" s="409"/>
      <c r="R6113" s="409"/>
      <c r="S6113" s="409"/>
      <c r="T6113" s="409"/>
      <c r="U6113" s="409"/>
      <c r="V6113" s="409"/>
      <c r="W6113" s="409"/>
      <c r="X6113" s="409"/>
      <c r="Y6113" s="411"/>
      <c r="Z6113" s="409"/>
      <c r="AA6113" s="412"/>
      <c r="AB6113" s="413"/>
    </row>
    <row r="6114" spans="1:28">
      <c r="A6114" s="377"/>
      <c r="B6114" s="378"/>
      <c r="C6114" s="378"/>
      <c r="D6114" s="379"/>
      <c r="E6114" s="380"/>
      <c r="F6114" s="380"/>
      <c r="G6114" s="380"/>
      <c r="H6114" s="381"/>
      <c r="I6114" s="380"/>
      <c r="J6114" s="380"/>
      <c r="K6114" s="380"/>
      <c r="L6114" s="380"/>
      <c r="M6114" s="380"/>
      <c r="N6114" s="380"/>
      <c r="O6114" s="380"/>
      <c r="P6114" s="380"/>
      <c r="Q6114" s="380"/>
      <c r="R6114" s="380"/>
      <c r="S6114" s="380"/>
      <c r="T6114" s="380"/>
      <c r="U6114" s="380"/>
      <c r="V6114" s="380"/>
      <c r="W6114" s="380"/>
      <c r="X6114" s="380"/>
      <c r="Y6114" s="382"/>
      <c r="Z6114" s="380"/>
      <c r="AA6114" s="380"/>
      <c r="AB6114" s="383"/>
    </row>
    <row r="6115" spans="1:28">
      <c r="A6115" s="384" t="str">
        <f t="shared" ref="A6115" si="19801">A6085</f>
        <v>Lantai 3</v>
      </c>
      <c r="B6115" s="385">
        <f t="shared" ref="B6115" si="19802">B6085+1</f>
        <v>62</v>
      </c>
      <c r="C6115" s="386" t="str">
        <f t="shared" ref="C6115" si="19803">CONCATENATE(A6115," no. ",B6115)</f>
        <v>Lantai 3 no. 62</v>
      </c>
      <c r="D6115" s="2562" t="str">
        <f>VLOOKUP(C6115,'Data Panjang Balok'!$C$9:$N$254,2,FALSE)</f>
        <v>B23-1</v>
      </c>
      <c r="E6115" s="2576"/>
      <c r="F6115" s="2576"/>
      <c r="G6115" s="2576"/>
      <c r="H6115" s="2577"/>
      <c r="I6115" s="387"/>
      <c r="J6115" s="388"/>
      <c r="K6115" s="388"/>
      <c r="L6115" s="388"/>
      <c r="M6115" s="388"/>
      <c r="N6115" s="388"/>
      <c r="O6115" s="388"/>
      <c r="P6115" s="388"/>
      <c r="Q6115" s="388"/>
      <c r="R6115" s="388"/>
      <c r="S6115" s="388"/>
      <c r="T6115" s="388"/>
      <c r="U6115" s="388"/>
      <c r="V6115" s="388"/>
      <c r="W6115" s="388"/>
      <c r="X6115" s="388"/>
      <c r="Y6115" s="389"/>
      <c r="Z6115" s="388"/>
      <c r="AA6115" s="388"/>
      <c r="AB6115" s="390"/>
    </row>
    <row r="6116" spans="1:28">
      <c r="A6116" s="391"/>
      <c r="B6116" s="392"/>
      <c r="C6116" s="393" t="s">
        <v>118</v>
      </c>
      <c r="D6116" s="2578">
        <f>VLOOKUP(D6115,'Detail Balok'!$C$10:$AU$140,2,FALSE)</f>
        <v>200</v>
      </c>
      <c r="E6116" s="2579"/>
      <c r="F6116" s="388" t="s">
        <v>125</v>
      </c>
      <c r="G6116" s="2579">
        <f>VLOOKUP(D6115,'Detail Balok'!$C$10:$AU$140,3,FALSE)</f>
        <v>300</v>
      </c>
      <c r="H6116" s="2580"/>
      <c r="I6116" s="388"/>
      <c r="J6116" s="396"/>
      <c r="K6116" s="396"/>
      <c r="L6116" s="396"/>
      <c r="M6116" s="396"/>
      <c r="N6116" s="396"/>
      <c r="O6116" s="396"/>
      <c r="P6116" s="396"/>
      <c r="Q6116" s="396"/>
      <c r="R6116" s="396"/>
      <c r="S6116" s="396"/>
      <c r="T6116" s="396"/>
      <c r="U6116" s="388"/>
      <c r="V6116" s="396"/>
      <c r="W6116" s="388"/>
      <c r="X6116" s="396"/>
      <c r="Y6116" s="389"/>
      <c r="Z6116" s="396"/>
      <c r="AA6116" s="388"/>
      <c r="AB6116" s="390"/>
    </row>
    <row r="6117" spans="1:28">
      <c r="A6117" s="391"/>
      <c r="B6117" s="392"/>
      <c r="C6117" s="393" t="s">
        <v>198</v>
      </c>
      <c r="D6117" s="2562">
        <f>VLOOKUP(C6115,'Data Panjang Balok'!$C$9:$N$254,4,FALSE)</f>
        <v>4175</v>
      </c>
      <c r="E6117" s="2563"/>
      <c r="F6117" s="2563"/>
      <c r="G6117" s="2563"/>
      <c r="H6117" s="2564"/>
      <c r="I6117" s="397"/>
      <c r="J6117" s="396"/>
      <c r="K6117" s="396"/>
      <c r="L6117" s="396"/>
      <c r="M6117" s="396"/>
      <c r="N6117" s="396"/>
      <c r="O6117" s="396"/>
      <c r="P6117" s="396"/>
      <c r="Q6117" s="396"/>
      <c r="R6117" s="396"/>
      <c r="S6117" s="396"/>
      <c r="T6117" s="396"/>
      <c r="U6117" s="388"/>
      <c r="V6117" s="396"/>
      <c r="W6117" s="388"/>
      <c r="X6117" s="396"/>
      <c r="Y6117" s="389"/>
      <c r="Z6117" s="396"/>
      <c r="AA6117" s="388"/>
      <c r="AB6117" s="390"/>
    </row>
    <row r="6118" spans="1:28">
      <c r="A6118" s="391"/>
      <c r="B6118" s="392"/>
      <c r="C6118" s="393" t="s">
        <v>199</v>
      </c>
      <c r="D6118" s="2562">
        <f>VLOOKUP(C6115,'Data Panjang Balok'!$C$9:$N$254,7,FALSE)</f>
        <v>4175</v>
      </c>
      <c r="E6118" s="2563"/>
      <c r="F6118" s="2563"/>
      <c r="G6118" s="2563"/>
      <c r="H6118" s="2564"/>
      <c r="I6118" s="397"/>
      <c r="J6118" s="396"/>
      <c r="K6118" s="396"/>
      <c r="L6118" s="396"/>
      <c r="M6118" s="396"/>
      <c r="N6118" s="396"/>
      <c r="O6118" s="396"/>
      <c r="P6118" s="396"/>
      <c r="Q6118" s="396"/>
      <c r="R6118" s="396"/>
      <c r="S6118" s="396"/>
      <c r="T6118" s="396"/>
      <c r="U6118" s="388"/>
      <c r="V6118" s="396"/>
      <c r="W6118" s="388"/>
      <c r="X6118" s="396"/>
      <c r="Y6118" s="389"/>
      <c r="Z6118" s="396"/>
      <c r="AA6118" s="388"/>
      <c r="AB6118" s="390"/>
    </row>
    <row r="6119" spans="1:28">
      <c r="A6119" s="391"/>
      <c r="B6119" s="392"/>
      <c r="C6119" s="393" t="s">
        <v>200</v>
      </c>
      <c r="D6119" s="2562">
        <f>VLOOKUP(C6115,'Data Panjang Balok'!$C$9:$N$254,9,FALSE)</f>
        <v>0</v>
      </c>
      <c r="E6119" s="2563"/>
      <c r="F6119" s="2563"/>
      <c r="G6119" s="2563"/>
      <c r="H6119" s="2564"/>
      <c r="I6119" s="397"/>
      <c r="J6119" s="396"/>
      <c r="K6119" s="396"/>
      <c r="L6119" s="396"/>
      <c r="M6119" s="396"/>
      <c r="N6119" s="396"/>
      <c r="O6119" s="396"/>
      <c r="P6119" s="396"/>
      <c r="Q6119" s="396"/>
      <c r="R6119" s="396"/>
      <c r="S6119" s="396"/>
      <c r="T6119" s="396"/>
      <c r="U6119" s="388"/>
      <c r="V6119" s="396"/>
      <c r="W6119" s="388"/>
      <c r="X6119" s="396"/>
      <c r="Y6119" s="389"/>
      <c r="Z6119" s="396"/>
      <c r="AA6119" s="388"/>
      <c r="AB6119" s="390"/>
    </row>
    <row r="6120" spans="1:28">
      <c r="A6120" s="391"/>
      <c r="B6120" s="392"/>
      <c r="C6120" s="393" t="s">
        <v>201</v>
      </c>
      <c r="D6120" s="2562">
        <f>VLOOKUP(C6115,'Data Panjang Balok'!$C$9:$N$254,10,FALSE)</f>
        <v>0</v>
      </c>
      <c r="E6120" s="2563"/>
      <c r="F6120" s="2563"/>
      <c r="G6120" s="2563"/>
      <c r="H6120" s="2564"/>
      <c r="I6120" s="397"/>
      <c r="J6120" s="396"/>
      <c r="K6120" s="396"/>
      <c r="L6120" s="396"/>
      <c r="M6120" s="396"/>
      <c r="N6120" s="396"/>
      <c r="O6120" s="396"/>
      <c r="P6120" s="396"/>
      <c r="Q6120" s="396"/>
      <c r="R6120" s="396"/>
      <c r="S6120" s="396"/>
      <c r="T6120" s="396"/>
      <c r="U6120" s="388"/>
      <c r="V6120" s="396"/>
      <c r="W6120" s="388"/>
      <c r="X6120" s="396"/>
      <c r="Y6120" s="389"/>
      <c r="Z6120" s="396"/>
      <c r="AA6120" s="388"/>
      <c r="AB6120" s="390"/>
    </row>
    <row r="6121" spans="1:28">
      <c r="A6121" s="391"/>
      <c r="B6121" s="392"/>
      <c r="C6121" s="393" t="s">
        <v>48</v>
      </c>
      <c r="D6121" s="2562">
        <f>VLOOKUP(C6115,'Data Panjang Balok'!$C$9:$N$254,3,FALSE)</f>
        <v>1</v>
      </c>
      <c r="E6121" s="2563"/>
      <c r="F6121" s="2563"/>
      <c r="G6121" s="2563"/>
      <c r="H6121" s="2564"/>
      <c r="I6121" s="397"/>
      <c r="J6121" s="396"/>
      <c r="K6121" s="396"/>
      <c r="L6121" s="396"/>
      <c r="M6121" s="396"/>
      <c r="N6121" s="396"/>
      <c r="O6121" s="396"/>
      <c r="P6121" s="396"/>
      <c r="Q6121" s="396"/>
      <c r="R6121" s="396"/>
      <c r="S6121" s="396"/>
      <c r="T6121" s="396"/>
      <c r="U6121" s="388"/>
      <c r="V6121" s="396"/>
      <c r="W6121" s="388"/>
      <c r="X6121" s="396"/>
      <c r="Y6121" s="389"/>
      <c r="Z6121" s="396"/>
      <c r="AA6121" s="388"/>
      <c r="AB6121" s="390"/>
    </row>
    <row r="6122" spans="1:28">
      <c r="A6122" s="384" t="str">
        <f t="shared" ref="A6122:B6122" si="19804">A6115</f>
        <v>Lantai 3</v>
      </c>
      <c r="B6122" s="385">
        <f t="shared" si="19804"/>
        <v>62</v>
      </c>
      <c r="C6122" s="393" t="s">
        <v>202</v>
      </c>
      <c r="D6122" s="398">
        <f>VLOOKUP(D6115,'Detail Balok'!$C$10:$AU$140,4,FALSE)</f>
        <v>3</v>
      </c>
      <c r="E6122" s="388" t="s">
        <v>16</v>
      </c>
      <c r="F6122" s="388">
        <f>VLOOKUP(D6115,'Detail Balok'!$C$10:$AU$140,6,FALSE)</f>
        <v>13</v>
      </c>
      <c r="G6122" s="388"/>
      <c r="H6122" s="395"/>
      <c r="I6122" s="388" t="s">
        <v>203</v>
      </c>
      <c r="J6122" s="399">
        <f t="shared" ref="J6122" si="19805">+D6117/4/1000</f>
        <v>1.04375</v>
      </c>
      <c r="K6122" s="400" t="s">
        <v>204</v>
      </c>
      <c r="L6122" s="399">
        <f t="shared" ref="L6122" si="19806">MAX(VLOOKUP(F6122,N$6:P$15,3,FALSE)/1000,2/3*D6119/1000)+F$16*F6122/1000</f>
        <v>0.156</v>
      </c>
      <c r="M6122" s="399" t="s">
        <v>176</v>
      </c>
      <c r="N6122" s="399">
        <f t="shared" ref="N6122:N6124" si="19807">J6122+L6122</f>
        <v>1.1997499999999999</v>
      </c>
      <c r="O6122" s="399" t="s">
        <v>204</v>
      </c>
      <c r="P6122" s="389">
        <f t="shared" ref="P6122" si="19808">D6122-D6123</f>
        <v>0</v>
      </c>
      <c r="Q6122" s="399" t="s">
        <v>125</v>
      </c>
      <c r="R6122" s="399">
        <f t="shared" ref="R6122" si="19809">IF(P6122&gt;0,$F$18*F6122/1000,0)</f>
        <v>0</v>
      </c>
      <c r="S6122" s="399" t="s">
        <v>205</v>
      </c>
      <c r="T6122" s="399" t="s">
        <v>125</v>
      </c>
      <c r="U6122" s="401">
        <f t="shared" ref="U6122:U6124" si="19810">0.006165*F6122^2</f>
        <v>1.041885</v>
      </c>
      <c r="V6122" s="399"/>
      <c r="W6122" s="399"/>
      <c r="X6122" s="399" t="s">
        <v>125</v>
      </c>
      <c r="Y6122" s="389">
        <f t="shared" ref="Y6122" si="19811">D6121</f>
        <v>1</v>
      </c>
      <c r="Z6122" s="400" t="s">
        <v>176</v>
      </c>
      <c r="AA6122" s="402">
        <f t="shared" ref="AA6122" si="19812">IF(AA6125=0,(D6122*N6122+P6122*R6122)*U6122*Y6122,0)</f>
        <v>0</v>
      </c>
      <c r="AB6122" s="403"/>
    </row>
    <row r="6123" spans="1:28">
      <c r="A6123" s="384" t="str">
        <f t="shared" ref="A6123:B6123" si="19813">A6115</f>
        <v>Lantai 3</v>
      </c>
      <c r="B6123" s="385">
        <f t="shared" si="19813"/>
        <v>62</v>
      </c>
      <c r="C6123" s="393" t="s">
        <v>206</v>
      </c>
      <c r="D6123" s="398">
        <f>VLOOKUP(D6115,'Detail Balok'!$C$10:$AU$140,7,FALSE)</f>
        <v>3</v>
      </c>
      <c r="E6123" s="388" t="s">
        <v>16</v>
      </c>
      <c r="F6123" s="388">
        <f>VLOOKUP(D6115,'Detail Balok'!$C$10:$AU$140,9,FALSE)</f>
        <v>13</v>
      </c>
      <c r="G6123" s="388"/>
      <c r="H6123" s="395"/>
      <c r="I6123" s="388" t="s">
        <v>203</v>
      </c>
      <c r="J6123" s="399">
        <f t="shared" ref="J6123" si="19814">+D6117/2/1000</f>
        <v>2.0874999999999999</v>
      </c>
      <c r="K6123" s="400" t="s">
        <v>204</v>
      </c>
      <c r="L6123" s="399"/>
      <c r="M6123" s="399" t="s">
        <v>176</v>
      </c>
      <c r="N6123" s="399">
        <f t="shared" si="19807"/>
        <v>2.0874999999999999</v>
      </c>
      <c r="O6123" s="399" t="s">
        <v>204</v>
      </c>
      <c r="P6123" s="389">
        <f t="shared" ref="P6123" si="19815">MAX(D6123-D6122,D6123-D6124)</f>
        <v>0</v>
      </c>
      <c r="Q6123" s="399" t="s">
        <v>125</v>
      </c>
      <c r="R6123" s="399">
        <f t="shared" ref="R6123" si="19816">IF(P6123&gt;0,2*(1-2*$F$19-1/2)*D6118/1000,0)</f>
        <v>0</v>
      </c>
      <c r="S6123" s="399" t="s">
        <v>205</v>
      </c>
      <c r="T6123" s="399" t="s">
        <v>125</v>
      </c>
      <c r="U6123" s="401">
        <f t="shared" si="19810"/>
        <v>1.041885</v>
      </c>
      <c r="V6123" s="399"/>
      <c r="W6123" s="399"/>
      <c r="X6123" s="399" t="s">
        <v>125</v>
      </c>
      <c r="Y6123" s="389">
        <f t="shared" ref="Y6123" si="19817">D6121</f>
        <v>1</v>
      </c>
      <c r="Z6123" s="400" t="s">
        <v>176</v>
      </c>
      <c r="AA6123" s="402">
        <f t="shared" ref="AA6123" si="19818">IF(AA6125=0,(D6123*N6123+P6123*R6123)*U6123*Y6123,0)</f>
        <v>0</v>
      </c>
      <c r="AB6123" s="403"/>
    </row>
    <row r="6124" spans="1:28">
      <c r="A6124" s="384" t="str">
        <f t="shared" ref="A6124:B6124" si="19819">A6115</f>
        <v>Lantai 3</v>
      </c>
      <c r="B6124" s="385">
        <f t="shared" si="19819"/>
        <v>62</v>
      </c>
      <c r="C6124" s="393" t="s">
        <v>202</v>
      </c>
      <c r="D6124" s="398">
        <f>VLOOKUP(D6115,'Detail Balok'!$C$10:$AU$140,10,FALSE)</f>
        <v>3</v>
      </c>
      <c r="E6124" s="388" t="s">
        <v>16</v>
      </c>
      <c r="F6124" s="388">
        <f>VLOOKUP(D6115,'Detail Balok'!$C$10:$AU$140,12,FALSE)</f>
        <v>13</v>
      </c>
      <c r="G6124" s="388"/>
      <c r="H6124" s="395"/>
      <c r="I6124" s="388" t="s">
        <v>203</v>
      </c>
      <c r="J6124" s="399">
        <f t="shared" ref="J6124" si="19820">+D6117/4/1000</f>
        <v>1.04375</v>
      </c>
      <c r="K6124" s="400" t="s">
        <v>204</v>
      </c>
      <c r="L6124" s="399">
        <f t="shared" ref="L6124" si="19821">MAX(VLOOKUP(F6124,N$6:P$15,3,FALSE)/1000,2/3*D6119/1000)+F$16*F6124/1000</f>
        <v>0.156</v>
      </c>
      <c r="M6124" s="399" t="s">
        <v>176</v>
      </c>
      <c r="N6124" s="399">
        <f t="shared" si="19807"/>
        <v>1.1997499999999999</v>
      </c>
      <c r="O6124" s="399" t="s">
        <v>204</v>
      </c>
      <c r="P6124" s="389">
        <f t="shared" ref="P6124" si="19822">D6124-D6123</f>
        <v>0</v>
      </c>
      <c r="Q6124" s="399" t="s">
        <v>125</v>
      </c>
      <c r="R6124" s="399">
        <f t="shared" ref="R6124" si="19823">IF(P6124&gt;0,$F$18*F6124/1000,0)</f>
        <v>0</v>
      </c>
      <c r="S6124" s="399" t="s">
        <v>205</v>
      </c>
      <c r="T6124" s="399" t="s">
        <v>125</v>
      </c>
      <c r="U6124" s="401">
        <f t="shared" si="19810"/>
        <v>1.041885</v>
      </c>
      <c r="V6124" s="399"/>
      <c r="W6124" s="399"/>
      <c r="X6124" s="399" t="s">
        <v>125</v>
      </c>
      <c r="Y6124" s="389">
        <f t="shared" ref="Y6124" si="19824">D6121</f>
        <v>1</v>
      </c>
      <c r="Z6124" s="400" t="s">
        <v>176</v>
      </c>
      <c r="AA6124" s="402">
        <f t="shared" ref="AA6124" si="19825">IF(AA6125=0,(D6124*N6124+P6124*R6124)*U6124*Y6124,0)</f>
        <v>0</v>
      </c>
      <c r="AB6124" s="403"/>
    </row>
    <row r="6125" spans="1:28">
      <c r="A6125" s="384" t="str">
        <f t="shared" ref="A6125:B6125" si="19826">A6115</f>
        <v>Lantai 3</v>
      </c>
      <c r="B6125" s="385">
        <f t="shared" si="19826"/>
        <v>62</v>
      </c>
      <c r="C6125" s="393"/>
      <c r="D6125" s="398">
        <f t="shared" ref="D6125" si="19827">IF(AND(D6122=D6123,D6123=D6124,D6122=D6124),D6122,0)</f>
        <v>3</v>
      </c>
      <c r="E6125" s="388" t="s">
        <v>16</v>
      </c>
      <c r="F6125" s="388">
        <f t="shared" ref="F6125" si="19828">IF(AND(F6122=F6123,F6122=F6124,F6123=F6124),F6122,0)</f>
        <v>13</v>
      </c>
      <c r="G6125" s="388"/>
      <c r="H6125" s="395"/>
      <c r="I6125" s="388"/>
      <c r="J6125" s="396"/>
      <c r="K6125" s="396"/>
      <c r="L6125" s="404" t="s">
        <v>207</v>
      </c>
      <c r="M6125" s="399" t="s">
        <v>176</v>
      </c>
      <c r="N6125" s="399">
        <f t="shared" ref="N6125" si="19829">IF(AND(D6122=D6123,D6122=D6124,D6123=D6124,F6122=F6123,F6122=F6124,F6123=F6124),SUM(N6122:N6124),0)</f>
        <v>4.4870000000000001</v>
      </c>
      <c r="O6125" s="399" t="s">
        <v>204</v>
      </c>
      <c r="P6125" s="389">
        <f t="shared" ref="P6125" si="19830">IF(N6125&gt;12,ROUNDDOWN(N6125/12,0),0)</f>
        <v>0</v>
      </c>
      <c r="Q6125" s="399" t="s">
        <v>125</v>
      </c>
      <c r="R6125" s="399">
        <f t="shared" ref="R6125" si="19831">IF(P6125&gt;0,MAX(VLOOKUP(F6125,$D$6:$G$15,3,FALSE),600),0)/1000</f>
        <v>0</v>
      </c>
      <c r="S6125" s="396"/>
      <c r="T6125" s="396" t="s">
        <v>125</v>
      </c>
      <c r="U6125" s="401">
        <f t="shared" ref="U6125" si="19832">U6124</f>
        <v>1.041885</v>
      </c>
      <c r="V6125" s="396" t="s">
        <v>125</v>
      </c>
      <c r="W6125" s="399">
        <f t="shared" ref="W6125" si="19833">D6125</f>
        <v>3</v>
      </c>
      <c r="X6125" s="399" t="s">
        <v>125</v>
      </c>
      <c r="Y6125" s="389">
        <f t="shared" ref="Y6125" si="19834">Y6124</f>
        <v>1</v>
      </c>
      <c r="Z6125" s="400" t="s">
        <v>176</v>
      </c>
      <c r="AA6125" s="402">
        <f t="shared" ref="AA6125" si="19835">(N6125+P6125*R6125/1000)*U6125*W6125*Y6125</f>
        <v>14.024813984999998</v>
      </c>
      <c r="AB6125" s="390"/>
    </row>
    <row r="6126" spans="1:28">
      <c r="A6126" s="384"/>
      <c r="B6126" s="385"/>
      <c r="C6126" s="393"/>
      <c r="D6126" s="398"/>
      <c r="E6126" s="388"/>
      <c r="F6126" s="388"/>
      <c r="G6126" s="388"/>
      <c r="H6126" s="395"/>
      <c r="I6126" s="388"/>
      <c r="J6126" s="396"/>
      <c r="K6126" s="396"/>
      <c r="L6126" s="404"/>
      <c r="M6126" s="399"/>
      <c r="N6126" s="399"/>
      <c r="O6126" s="396"/>
      <c r="P6126" s="389"/>
      <c r="Q6126" s="396"/>
      <c r="R6126" s="396"/>
      <c r="S6126" s="396"/>
      <c r="T6126" s="396"/>
      <c r="U6126" s="401"/>
      <c r="V6126" s="396"/>
      <c r="W6126" s="399"/>
      <c r="X6126" s="396"/>
      <c r="Y6126" s="389"/>
      <c r="Z6126" s="396"/>
      <c r="AA6126" s="388"/>
      <c r="AB6126" s="390"/>
    </row>
    <row r="6127" spans="1:28">
      <c r="A6127" s="384" t="str">
        <f t="shared" ref="A6127:B6127" si="19836">A6115</f>
        <v>Lantai 3</v>
      </c>
      <c r="B6127" s="385">
        <f t="shared" si="19836"/>
        <v>62</v>
      </c>
      <c r="C6127" s="393" t="s">
        <v>208</v>
      </c>
      <c r="D6127" s="398">
        <f>VLOOKUP(D6115,'Detail Balok'!$C$10:$AU$140,13,FALSE)</f>
        <v>0</v>
      </c>
      <c r="E6127" s="388" t="s">
        <v>16</v>
      </c>
      <c r="F6127" s="388">
        <f>VLOOKUP(D6115,'Detail Balok'!$C$10:$AU$140,15,FALSE)</f>
        <v>8</v>
      </c>
      <c r="G6127" s="388"/>
      <c r="H6127" s="395"/>
      <c r="I6127" s="388"/>
      <c r="J6127" s="399">
        <f t="shared" ref="J6127" si="19837">+D6117/1000</f>
        <v>4.1749999999999998</v>
      </c>
      <c r="K6127" s="400" t="s">
        <v>204</v>
      </c>
      <c r="L6127" s="399">
        <f t="shared" ref="L6127" si="19838">2*$F$16*F6127/1000</f>
        <v>0.192</v>
      </c>
      <c r="M6127" s="399" t="s">
        <v>176</v>
      </c>
      <c r="N6127" s="399">
        <f t="shared" ref="N6127" si="19839">J6127+L6127</f>
        <v>4.367</v>
      </c>
      <c r="O6127" s="399" t="s">
        <v>204</v>
      </c>
      <c r="P6127" s="389">
        <f t="shared" ref="P6127" si="19840">IF(N6127&gt;12,ROUNDDOWN(N6127/12,0),0)</f>
        <v>0</v>
      </c>
      <c r="Q6127" s="399" t="s">
        <v>125</v>
      </c>
      <c r="R6127" s="399">
        <f t="shared" ref="R6127" si="19841">IF(P6127&gt;0,MAX(VLOOKUP(F6127,$D$6:$G$15,3,FALSE),600),0)/1000</f>
        <v>0</v>
      </c>
      <c r="S6127" s="399"/>
      <c r="T6127" s="399" t="s">
        <v>125</v>
      </c>
      <c r="U6127" s="401">
        <f t="shared" ref="U6127" si="19842">0.006165*F6127^2</f>
        <v>0.39456000000000002</v>
      </c>
      <c r="V6127" s="399" t="s">
        <v>125</v>
      </c>
      <c r="W6127" s="399">
        <f t="shared" ref="W6127" si="19843">+D6127</f>
        <v>0</v>
      </c>
      <c r="X6127" s="399" t="s">
        <v>125</v>
      </c>
      <c r="Y6127" s="389">
        <f t="shared" ref="Y6127" si="19844">D6121</f>
        <v>1</v>
      </c>
      <c r="Z6127" s="400" t="s">
        <v>176</v>
      </c>
      <c r="AA6127" s="402">
        <f t="shared" ref="AA6127" si="19845">(N6127+P6127*R6127/1000)*U6127*W6127*Y6127</f>
        <v>0</v>
      </c>
      <c r="AB6127" s="403"/>
    </row>
    <row r="6128" spans="1:28">
      <c r="A6128" s="384"/>
      <c r="B6128" s="385"/>
      <c r="C6128" s="393"/>
      <c r="D6128" s="398"/>
      <c r="E6128" s="388"/>
      <c r="F6128" s="388"/>
      <c r="G6128" s="388"/>
      <c r="H6128" s="395"/>
      <c r="I6128" s="388"/>
      <c r="J6128" s="399"/>
      <c r="K6128" s="400"/>
      <c r="L6128" s="399"/>
      <c r="M6128" s="399"/>
      <c r="N6128" s="399"/>
      <c r="O6128" s="399"/>
      <c r="P6128" s="389"/>
      <c r="Q6128" s="399"/>
      <c r="R6128" s="399"/>
      <c r="S6128" s="399"/>
      <c r="T6128" s="399"/>
      <c r="U6128" s="401"/>
      <c r="V6128" s="399"/>
      <c r="W6128" s="399"/>
      <c r="X6128" s="399"/>
      <c r="Y6128" s="389"/>
      <c r="Z6128" s="400"/>
      <c r="AA6128" s="402"/>
      <c r="AB6128" s="403"/>
    </row>
    <row r="6129" spans="1:28">
      <c r="A6129" s="384"/>
      <c r="B6129" s="385"/>
      <c r="C6129" s="393"/>
      <c r="D6129" s="398"/>
      <c r="E6129" s="388"/>
      <c r="F6129" s="388"/>
      <c r="G6129" s="388"/>
      <c r="H6129" s="395"/>
      <c r="I6129" s="388"/>
      <c r="J6129" s="396"/>
      <c r="K6129" s="396"/>
      <c r="L6129" s="396"/>
      <c r="M6129" s="396"/>
      <c r="N6129" s="396"/>
      <c r="O6129" s="396"/>
      <c r="P6129" s="389"/>
      <c r="Q6129" s="396"/>
      <c r="R6129" s="396"/>
      <c r="S6129" s="396"/>
      <c r="T6129" s="396"/>
      <c r="U6129" s="401"/>
      <c r="V6129" s="396"/>
      <c r="W6129" s="399"/>
      <c r="X6129" s="396"/>
      <c r="Y6129" s="389"/>
      <c r="Z6129" s="396"/>
      <c r="AA6129" s="388"/>
      <c r="AB6129" s="390"/>
    </row>
    <row r="6130" spans="1:28">
      <c r="A6130" s="384" t="str">
        <f t="shared" ref="A6130:B6130" si="19846">A6115</f>
        <v>Lantai 3</v>
      </c>
      <c r="B6130" s="385">
        <f t="shared" si="19846"/>
        <v>62</v>
      </c>
      <c r="C6130" s="393" t="s">
        <v>209</v>
      </c>
      <c r="D6130" s="398">
        <f>VLOOKUP(D6115,'Detail Balok'!$C$10:$AU$140,22,FALSE)</f>
        <v>3</v>
      </c>
      <c r="E6130" s="388" t="s">
        <v>16</v>
      </c>
      <c r="F6130" s="388">
        <f>VLOOKUP(D6115,'Detail Balok'!$C$10:$AU$140,24,FALSE)</f>
        <v>13</v>
      </c>
      <c r="G6130" s="388"/>
      <c r="H6130" s="395"/>
      <c r="I6130" s="388" t="s">
        <v>203</v>
      </c>
      <c r="J6130" s="399">
        <f t="shared" ref="J6130:J6132" si="19847">+J6122</f>
        <v>1.04375</v>
      </c>
      <c r="K6130" s="400" t="s">
        <v>204</v>
      </c>
      <c r="L6130" s="399">
        <f t="shared" ref="L6130" si="19848">MAX(VLOOKUP(F6130,N$6:P$15,3,FALSE)/1000,2/3*D6120/1000)+F$16*F6130/1000</f>
        <v>0.156</v>
      </c>
      <c r="M6130" s="399" t="s">
        <v>176</v>
      </c>
      <c r="N6130" s="399">
        <f t="shared" ref="N6130:N6132" si="19849">J6130+L6130</f>
        <v>1.1997499999999999</v>
      </c>
      <c r="O6130" s="399" t="s">
        <v>204</v>
      </c>
      <c r="P6130" s="389">
        <f t="shared" ref="P6130" si="19850">D6130-D6131</f>
        <v>0</v>
      </c>
      <c r="Q6130" s="399" t="s">
        <v>125</v>
      </c>
      <c r="R6130" s="399">
        <f t="shared" ref="R6130" si="19851">IF(P6130&gt;0,$F$18*F6130/1000,0)</f>
        <v>0</v>
      </c>
      <c r="S6130" s="399" t="s">
        <v>205</v>
      </c>
      <c r="T6130" s="399" t="s">
        <v>125</v>
      </c>
      <c r="U6130" s="401">
        <f t="shared" ref="U6130:U6132" si="19852">0.006165*F6130^2</f>
        <v>1.041885</v>
      </c>
      <c r="V6130" s="399"/>
      <c r="W6130" s="399"/>
      <c r="X6130" s="399" t="s">
        <v>125</v>
      </c>
      <c r="Y6130" s="389">
        <f t="shared" ref="Y6130" si="19853">D6121</f>
        <v>1</v>
      </c>
      <c r="Z6130" s="400" t="s">
        <v>176</v>
      </c>
      <c r="AA6130" s="402">
        <f t="shared" ref="AA6130" si="19854">IF(AA6133=0,(D6130*N6130+P6130*R6130)*U6130*Y6130,0)</f>
        <v>0</v>
      </c>
      <c r="AB6130" s="403"/>
    </row>
    <row r="6131" spans="1:28">
      <c r="A6131" s="384" t="str">
        <f t="shared" ref="A6131:B6131" si="19855">A6115</f>
        <v>Lantai 3</v>
      </c>
      <c r="B6131" s="385">
        <f t="shared" si="19855"/>
        <v>62</v>
      </c>
      <c r="C6131" s="393" t="s">
        <v>210</v>
      </c>
      <c r="D6131" s="398">
        <f>VLOOKUP(D6115,'Detail Balok'!$C$10:$AU$140,25,FALSE)</f>
        <v>3</v>
      </c>
      <c r="E6131" s="388" t="s">
        <v>16</v>
      </c>
      <c r="F6131" s="388">
        <f>VLOOKUP(D6115,'Detail Balok'!$C$10:$AU$140,27,FALSE)</f>
        <v>13</v>
      </c>
      <c r="G6131" s="388"/>
      <c r="H6131" s="395"/>
      <c r="I6131" s="388" t="s">
        <v>203</v>
      </c>
      <c r="J6131" s="399">
        <f t="shared" si="19847"/>
        <v>2.0874999999999999</v>
      </c>
      <c r="K6131" s="400" t="s">
        <v>204</v>
      </c>
      <c r="L6131" s="399"/>
      <c r="M6131" s="399" t="s">
        <v>176</v>
      </c>
      <c r="N6131" s="399">
        <f t="shared" si="19849"/>
        <v>2.0874999999999999</v>
      </c>
      <c r="O6131" s="399" t="s">
        <v>204</v>
      </c>
      <c r="P6131" s="389">
        <f t="shared" ref="P6131" si="19856">MAX(D6131-D6130,D6131-D6132)</f>
        <v>0</v>
      </c>
      <c r="Q6131" s="399" t="s">
        <v>125</v>
      </c>
      <c r="R6131" s="399">
        <f t="shared" ref="R6131" si="19857">IF(P6131&gt;0,2*(1-2*$F$19-1/2)*D6118/1000,0)</f>
        <v>0</v>
      </c>
      <c r="S6131" s="399" t="s">
        <v>205</v>
      </c>
      <c r="T6131" s="399" t="s">
        <v>125</v>
      </c>
      <c r="U6131" s="401">
        <f t="shared" si="19852"/>
        <v>1.041885</v>
      </c>
      <c r="V6131" s="399"/>
      <c r="W6131" s="399"/>
      <c r="X6131" s="399" t="s">
        <v>125</v>
      </c>
      <c r="Y6131" s="389">
        <f t="shared" ref="Y6131" si="19858">D6121</f>
        <v>1</v>
      </c>
      <c r="Z6131" s="400" t="s">
        <v>176</v>
      </c>
      <c r="AA6131" s="402">
        <f t="shared" ref="AA6131" si="19859">IF(AA6133=0,(D6131*N6131+P6131*R6131)*U6131*Y6131,0)</f>
        <v>0</v>
      </c>
      <c r="AB6131" s="403"/>
    </row>
    <row r="6132" spans="1:28">
      <c r="A6132" s="384" t="str">
        <f t="shared" ref="A6132:B6132" si="19860">A6115</f>
        <v>Lantai 3</v>
      </c>
      <c r="B6132" s="385">
        <f t="shared" si="19860"/>
        <v>62</v>
      </c>
      <c r="C6132" s="393" t="s">
        <v>209</v>
      </c>
      <c r="D6132" s="398">
        <f>VLOOKUP(D6115,'Detail Balok'!$C$10:$AU$140,28,FALSE)</f>
        <v>3</v>
      </c>
      <c r="E6132" s="388" t="s">
        <v>16</v>
      </c>
      <c r="F6132" s="388">
        <f>VLOOKUP(D6115,'Detail Balok'!$C$10:$AU$140,30,FALSE)</f>
        <v>13</v>
      </c>
      <c r="G6132" s="388"/>
      <c r="H6132" s="395"/>
      <c r="I6132" s="388" t="s">
        <v>203</v>
      </c>
      <c r="J6132" s="399">
        <f t="shared" si="19847"/>
        <v>1.04375</v>
      </c>
      <c r="K6132" s="400" t="s">
        <v>204</v>
      </c>
      <c r="L6132" s="399">
        <f t="shared" ref="L6132" si="19861">MAX(VLOOKUP(F6132,N$6:P$15,3,FALSE)/1000,2/3*D6120/1000)+F$16*F6132/1000</f>
        <v>0.156</v>
      </c>
      <c r="M6132" s="399" t="s">
        <v>176</v>
      </c>
      <c r="N6132" s="399">
        <f t="shared" si="19849"/>
        <v>1.1997499999999999</v>
      </c>
      <c r="O6132" s="399" t="s">
        <v>204</v>
      </c>
      <c r="P6132" s="389">
        <f t="shared" ref="P6132" si="19862">D6132-D6131</f>
        <v>0</v>
      </c>
      <c r="Q6132" s="399" t="s">
        <v>125</v>
      </c>
      <c r="R6132" s="399">
        <f t="shared" ref="R6132" si="19863">IF(P6132&gt;0,$F$18*F6132/1000,0)</f>
        <v>0</v>
      </c>
      <c r="S6132" s="399" t="s">
        <v>205</v>
      </c>
      <c r="T6132" s="399" t="s">
        <v>125</v>
      </c>
      <c r="U6132" s="401">
        <f t="shared" si="19852"/>
        <v>1.041885</v>
      </c>
      <c r="V6132" s="399"/>
      <c r="W6132" s="399"/>
      <c r="X6132" s="399" t="s">
        <v>125</v>
      </c>
      <c r="Y6132" s="389">
        <f t="shared" ref="Y6132" si="19864">D6121</f>
        <v>1</v>
      </c>
      <c r="Z6132" s="400" t="s">
        <v>176</v>
      </c>
      <c r="AA6132" s="402">
        <f t="shared" ref="AA6132" si="19865">IF(AA6133=0,(D6132*N6132+P6132*R6132)*U6132*Y6132,0)</f>
        <v>0</v>
      </c>
      <c r="AB6132" s="403"/>
    </row>
    <row r="6133" spans="1:28">
      <c r="A6133" s="384" t="str">
        <f t="shared" ref="A6133:B6133" si="19866">A6115</f>
        <v>Lantai 3</v>
      </c>
      <c r="B6133" s="385">
        <f t="shared" si="19866"/>
        <v>62</v>
      </c>
      <c r="C6133" s="393"/>
      <c r="D6133" s="398">
        <f t="shared" ref="D6133" si="19867">IF(AND(D6130=D6131,D6131=D6132,D6130=D6132),D6130,0)</f>
        <v>3</v>
      </c>
      <c r="E6133" s="388" t="s">
        <v>16</v>
      </c>
      <c r="F6133" s="388">
        <f t="shared" ref="F6133" si="19868">IF(AND(F6130=F6131,F6130=F6132,F6131=F6132),F6130,0)</f>
        <v>13</v>
      </c>
      <c r="G6133" s="388"/>
      <c r="H6133" s="395"/>
      <c r="I6133" s="388"/>
      <c r="J6133" s="396"/>
      <c r="K6133" s="396"/>
      <c r="L6133" s="404" t="s">
        <v>207</v>
      </c>
      <c r="M6133" s="399" t="s">
        <v>176</v>
      </c>
      <c r="N6133" s="399">
        <f t="shared" ref="N6133" si="19869">IF(AND(D6130=D6131,D6130=D6132,D6131=D6132,F6130=F6131,F6130=F6132,F6131=F6132),SUM(N6130:N6132),0)</f>
        <v>4.4870000000000001</v>
      </c>
      <c r="O6133" s="399" t="s">
        <v>204</v>
      </c>
      <c r="P6133" s="389">
        <f t="shared" ref="P6133" si="19870">IF(N6133&gt;12,ROUNDDOWN(N6133/12,0),0)</f>
        <v>0</v>
      </c>
      <c r="Q6133" s="399" t="s">
        <v>125</v>
      </c>
      <c r="R6133" s="399">
        <f t="shared" ref="R6133" si="19871">IF(P6133&gt;0,MAX(VLOOKUP(F6133,$D$6:$G$15,3,FALSE),600),0)/1000</f>
        <v>0</v>
      </c>
      <c r="S6133" s="396"/>
      <c r="T6133" s="396" t="s">
        <v>125</v>
      </c>
      <c r="U6133" s="401">
        <f t="shared" ref="U6133" si="19872">U6132</f>
        <v>1.041885</v>
      </c>
      <c r="V6133" s="396" t="s">
        <v>125</v>
      </c>
      <c r="W6133" s="399">
        <f t="shared" ref="W6133" si="19873">D6133</f>
        <v>3</v>
      </c>
      <c r="X6133" s="399" t="s">
        <v>125</v>
      </c>
      <c r="Y6133" s="389">
        <f t="shared" ref="Y6133" si="19874">Y6132</f>
        <v>1</v>
      </c>
      <c r="Z6133" s="400" t="s">
        <v>176</v>
      </c>
      <c r="AA6133" s="402">
        <f t="shared" ref="AA6133" si="19875">(N6133+P6133*R6133/1000)*U6133*W6133*Y6133</f>
        <v>14.024813984999998</v>
      </c>
      <c r="AB6133" s="403"/>
    </row>
    <row r="6134" spans="1:28">
      <c r="A6134" s="384"/>
      <c r="B6134" s="385"/>
      <c r="C6134" s="393"/>
      <c r="D6134" s="394"/>
      <c r="E6134" s="388"/>
      <c r="F6134" s="388"/>
      <c r="G6134" s="388"/>
      <c r="H6134" s="395"/>
      <c r="I6134" s="388"/>
      <c r="J6134" s="399"/>
      <c r="K6134" s="396"/>
      <c r="L6134" s="396"/>
      <c r="M6134" s="396"/>
      <c r="N6134" s="396"/>
      <c r="O6134" s="396"/>
      <c r="P6134" s="389"/>
      <c r="Q6134" s="396"/>
      <c r="R6134" s="396"/>
      <c r="S6134" s="396"/>
      <c r="T6134" s="396"/>
      <c r="U6134" s="401"/>
      <c r="V6134" s="396"/>
      <c r="W6134" s="388"/>
      <c r="X6134" s="396"/>
      <c r="Y6134" s="389"/>
      <c r="Z6134" s="396"/>
      <c r="AA6134" s="388"/>
      <c r="AB6134" s="390"/>
    </row>
    <row r="6135" spans="1:28">
      <c r="A6135" s="384" t="str">
        <f t="shared" ref="A6135:B6135" si="19876">A6115</f>
        <v>Lantai 3</v>
      </c>
      <c r="B6135" s="385">
        <f t="shared" si="19876"/>
        <v>62</v>
      </c>
      <c r="C6135" s="393" t="s">
        <v>211</v>
      </c>
      <c r="D6135" s="398">
        <f>VLOOKUP(D6115,'Detail Balok'!$C$10:$AU$140,31,FALSE)</f>
        <v>0</v>
      </c>
      <c r="E6135" s="388" t="s">
        <v>16</v>
      </c>
      <c r="F6135" s="388">
        <f>VLOOKUP(D6115,'Detail Balok'!$C$10:$AU$140,33,FALSE)</f>
        <v>10</v>
      </c>
      <c r="G6135" s="405" t="s">
        <v>157</v>
      </c>
      <c r="H6135" s="395">
        <f>VLOOKUP(D6115,'Detail Balok'!$C$10:$AU$140,35,FALSE)</f>
        <v>100</v>
      </c>
      <c r="I6135" s="388"/>
      <c r="J6135" s="400">
        <f t="shared" ref="J6135" si="19877">(IF(D6135=0,(2*(D6116+G6116))-(F$5*8),IF(D6135=3,(2*(D6116+G6116))-(F$5*8)+(G6116-2*F$5),IF(D6135=4,(2*(D6116+G6116))-(F$5*8)+2*(G6116-2*F$5)))))/1000</f>
        <v>0.68</v>
      </c>
      <c r="K6135" s="400" t="s">
        <v>204</v>
      </c>
      <c r="L6135" s="399">
        <f t="shared" ref="L6135:L6137" si="19878">IF(D6135=0,2*MAX(6*F6135,75),(D6135-1)*2*MAX(6*F6135,75))/1000</f>
        <v>0.15</v>
      </c>
      <c r="M6135" s="399" t="s">
        <v>176</v>
      </c>
      <c r="N6135" s="399">
        <f t="shared" ref="N6135:N6137" si="19879">J6135+L6135</f>
        <v>0.83000000000000007</v>
      </c>
      <c r="O6135" s="399"/>
      <c r="P6135" s="389"/>
      <c r="Q6135" s="399"/>
      <c r="R6135" s="399"/>
      <c r="S6135" s="399"/>
      <c r="T6135" s="399" t="s">
        <v>125</v>
      </c>
      <c r="U6135" s="401">
        <f t="shared" ref="U6135:U6137" si="19880">0.006165*F6135^2</f>
        <v>0.61650000000000005</v>
      </c>
      <c r="V6135" s="399" t="s">
        <v>125</v>
      </c>
      <c r="W6135" s="399">
        <f t="shared" ref="W6135" si="19881">IF(D6118&gt;4*G6116,ROUND(MAX(D6118/4,2*G6116)/H6135,0)+1,ROUND(D6118/H6135,0)+1)</f>
        <v>11</v>
      </c>
      <c r="X6135" s="399" t="s">
        <v>125</v>
      </c>
      <c r="Y6135" s="389">
        <f t="shared" ref="Y6135" si="19882">D6121</f>
        <v>1</v>
      </c>
      <c r="Z6135" s="400" t="s">
        <v>176</v>
      </c>
      <c r="AA6135" s="402">
        <f t="shared" ref="AA6135:AA6137" si="19883">N6135*U6135*W6135*Y6135</f>
        <v>5.6286450000000015</v>
      </c>
      <c r="AB6135" s="403"/>
    </row>
    <row r="6136" spans="1:28">
      <c r="A6136" s="384" t="str">
        <f t="shared" ref="A6136:B6136" si="19884">A6115</f>
        <v>Lantai 3</v>
      </c>
      <c r="B6136" s="385">
        <f t="shared" si="19884"/>
        <v>62</v>
      </c>
      <c r="C6136" s="393" t="s">
        <v>212</v>
      </c>
      <c r="D6136" s="398">
        <f>VLOOKUP(D6115,'Detail Balok'!$C$10:$AU$140,36,FALSE)</f>
        <v>0</v>
      </c>
      <c r="E6136" s="388" t="s">
        <v>16</v>
      </c>
      <c r="F6136" s="388">
        <f>VLOOKUP(D6115,'Detail Balok'!$C$10:$AU$140,38,FALSE)</f>
        <v>10</v>
      </c>
      <c r="G6136" s="405" t="s">
        <v>157</v>
      </c>
      <c r="H6136" s="395">
        <f>VLOOKUP(D6115,'Detail Balok'!$C$10:$AU$140,40,FALSE)</f>
        <v>200</v>
      </c>
      <c r="I6136" s="388"/>
      <c r="J6136" s="400">
        <f t="shared" ref="J6136" si="19885">(IF(D6136=0,(2*(D6116+G6116))-(F$5*8),IF(D6136=3,(2*(D6116+G6116))-(F$5*8)+(G6116-2*F$5),IF(D6136=4,(2*(D6116+G6116))-(F$5*8)+2*(G6116-2*F$5)))))/1000</f>
        <v>0.68</v>
      </c>
      <c r="K6136" s="400" t="s">
        <v>204</v>
      </c>
      <c r="L6136" s="399">
        <f t="shared" si="19878"/>
        <v>0.15</v>
      </c>
      <c r="M6136" s="399" t="s">
        <v>176</v>
      </c>
      <c r="N6136" s="399">
        <f t="shared" si="19879"/>
        <v>0.83000000000000007</v>
      </c>
      <c r="O6136" s="399"/>
      <c r="P6136" s="389"/>
      <c r="Q6136" s="399"/>
      <c r="R6136" s="399"/>
      <c r="S6136" s="399"/>
      <c r="T6136" s="399" t="s">
        <v>125</v>
      </c>
      <c r="U6136" s="401">
        <f t="shared" si="19880"/>
        <v>0.61650000000000005</v>
      </c>
      <c r="V6136" s="399" t="s">
        <v>125</v>
      </c>
      <c r="W6136" s="399">
        <f t="shared" ref="W6136" si="19886">IF(D6118-MAX(D6118/4,2*G6116)*2&gt;0,ROUND((D6118-MAX(D6118/4,2*G6116)*2)/H6136,0),0)</f>
        <v>10</v>
      </c>
      <c r="X6136" s="399" t="s">
        <v>125</v>
      </c>
      <c r="Y6136" s="389">
        <f t="shared" ref="Y6136" si="19887">D6121</f>
        <v>1</v>
      </c>
      <c r="Z6136" s="400" t="s">
        <v>176</v>
      </c>
      <c r="AA6136" s="402">
        <f t="shared" si="19883"/>
        <v>5.116950000000001</v>
      </c>
      <c r="AB6136" s="403"/>
    </row>
    <row r="6137" spans="1:28">
      <c r="A6137" s="384" t="str">
        <f t="shared" ref="A6137:B6137" si="19888">A6115</f>
        <v>Lantai 3</v>
      </c>
      <c r="B6137" s="385">
        <f t="shared" si="19888"/>
        <v>62</v>
      </c>
      <c r="C6137" s="393" t="s">
        <v>211</v>
      </c>
      <c r="D6137" s="398">
        <f>VLOOKUP(D6115,'Detail Balok'!$C$10:$AU$140,41,FALSE)</f>
        <v>0</v>
      </c>
      <c r="E6137" s="388" t="s">
        <v>16</v>
      </c>
      <c r="F6137" s="388">
        <f>VLOOKUP(D6115,'Detail Balok'!$C$10:$AU$140,43,FALSE)</f>
        <v>10</v>
      </c>
      <c r="G6137" s="405" t="s">
        <v>157</v>
      </c>
      <c r="H6137" s="395">
        <f>VLOOKUP(D6115,'Detail Balok'!$C$10:$AU$140,45,FALSE)</f>
        <v>100</v>
      </c>
      <c r="I6137" s="388"/>
      <c r="J6137" s="400">
        <f t="shared" ref="J6137" si="19889">(IF(D6137=0,(2*(D6116+G6116))-(F$5*8),IF(D6137=3,(2*(D6116+G6116))-(F$5*8)+(G6116-2*F$5),IF(D6137=4,(2*(D6116+G6116))-(F$5*8)+2*(G6116-2*F$5)))))/1000</f>
        <v>0.68</v>
      </c>
      <c r="K6137" s="400" t="s">
        <v>204</v>
      </c>
      <c r="L6137" s="399">
        <f t="shared" si="19878"/>
        <v>0.15</v>
      </c>
      <c r="M6137" s="399" t="s">
        <v>176</v>
      </c>
      <c r="N6137" s="399">
        <f t="shared" si="19879"/>
        <v>0.83000000000000007</v>
      </c>
      <c r="O6137" s="399"/>
      <c r="P6137" s="389"/>
      <c r="Q6137" s="399"/>
      <c r="R6137" s="399"/>
      <c r="S6137" s="399"/>
      <c r="T6137" s="399" t="s">
        <v>125</v>
      </c>
      <c r="U6137" s="401">
        <f t="shared" si="19880"/>
        <v>0.61650000000000005</v>
      </c>
      <c r="V6137" s="399" t="s">
        <v>125</v>
      </c>
      <c r="W6137" s="399">
        <f t="shared" ref="W6137" si="19890">IF(D6118&gt;4*G6116,ROUND(MAX(D6118/4,2*G6116)/H6137,0)+1,0)</f>
        <v>11</v>
      </c>
      <c r="X6137" s="399" t="s">
        <v>125</v>
      </c>
      <c r="Y6137" s="389">
        <f t="shared" ref="Y6137" si="19891">D6121</f>
        <v>1</v>
      </c>
      <c r="Z6137" s="400" t="s">
        <v>176</v>
      </c>
      <c r="AA6137" s="402">
        <f t="shared" si="19883"/>
        <v>5.6286450000000015</v>
      </c>
      <c r="AB6137" s="403"/>
    </row>
    <row r="6138" spans="1:28">
      <c r="A6138" s="384"/>
      <c r="B6138" s="385"/>
      <c r="C6138" s="393"/>
      <c r="D6138" s="394"/>
      <c r="E6138" s="388"/>
      <c r="F6138" s="388"/>
      <c r="G6138" s="388"/>
      <c r="H6138" s="395"/>
      <c r="I6138" s="388"/>
      <c r="J6138" s="399"/>
      <c r="K6138" s="396"/>
      <c r="L6138" s="396"/>
      <c r="M6138" s="396"/>
      <c r="N6138" s="396"/>
      <c r="O6138" s="396"/>
      <c r="P6138" s="389"/>
      <c r="Q6138" s="396"/>
      <c r="R6138" s="396"/>
      <c r="S6138" s="396"/>
      <c r="T6138" s="396"/>
      <c r="U6138" s="401"/>
      <c r="V6138" s="396"/>
      <c r="W6138" s="388"/>
      <c r="X6138" s="396"/>
      <c r="Y6138" s="389"/>
      <c r="Z6138" s="396"/>
      <c r="AA6138" s="388"/>
      <c r="AB6138" s="390"/>
    </row>
    <row r="6139" spans="1:28">
      <c r="A6139" s="384" t="str">
        <f t="shared" ref="A6139:B6139" si="19892">A6115</f>
        <v>Lantai 3</v>
      </c>
      <c r="B6139" s="385">
        <f t="shared" si="19892"/>
        <v>62</v>
      </c>
      <c r="C6139" s="393" t="s">
        <v>213</v>
      </c>
      <c r="D6139" s="398">
        <f>VLOOKUP(D6115,'Detail Balok'!$C$10:$BJ$140,46,FALSE)</f>
        <v>0</v>
      </c>
      <c r="E6139" s="388" t="s">
        <v>16</v>
      </c>
      <c r="F6139" s="388">
        <f>VLOOKUP(D6115,'Detail Balok'!$C$10:$BJ$140,48,FALSE)</f>
        <v>0</v>
      </c>
      <c r="G6139" s="405" t="s">
        <v>157</v>
      </c>
      <c r="H6139" s="395">
        <f>VLOOKUP(D6115,'Detail Balok'!$C$10:$BJ$140,50,FALSE)</f>
        <v>100</v>
      </c>
      <c r="I6139" s="388"/>
      <c r="J6139" s="399">
        <f t="shared" ref="J6139" si="19893">(D6116-2*F$5)/1000</f>
        <v>0.12</v>
      </c>
      <c r="K6139" s="400" t="s">
        <v>204</v>
      </c>
      <c r="L6139" s="399">
        <f t="shared" ref="L6139:L6141" si="19894">IF(D6139=0,2*MAX(6*F6139,75),(D6139-1)*2*MAX(6*F6139,75))/1000</f>
        <v>0.15</v>
      </c>
      <c r="M6139" s="399" t="s">
        <v>176</v>
      </c>
      <c r="N6139" s="399">
        <f t="shared" ref="N6139:N6141" si="19895">J6139+L6139</f>
        <v>0.27</v>
      </c>
      <c r="O6139" s="399"/>
      <c r="P6139" s="399"/>
      <c r="Q6139" s="399"/>
      <c r="R6139" s="399"/>
      <c r="S6139" s="399"/>
      <c r="T6139" s="399" t="s">
        <v>125</v>
      </c>
      <c r="U6139" s="401">
        <f t="shared" ref="U6139:U6141" si="19896">0.006165*F6139^2</f>
        <v>0</v>
      </c>
      <c r="V6139" s="399" t="s">
        <v>125</v>
      </c>
      <c r="W6139" s="399">
        <f t="shared" ref="W6139:W6141" si="19897">W6135</f>
        <v>11</v>
      </c>
      <c r="X6139" s="399" t="s">
        <v>125</v>
      </c>
      <c r="Y6139" s="389">
        <f t="shared" ref="Y6139" si="19898">D6125</f>
        <v>3</v>
      </c>
      <c r="Z6139" s="400" t="s">
        <v>176</v>
      </c>
      <c r="AA6139" s="402">
        <f t="shared" ref="AA6139:AA6141" si="19899">N6139*U6139*W6139*Y6139</f>
        <v>0</v>
      </c>
      <c r="AB6139" s="403"/>
    </row>
    <row r="6140" spans="1:28">
      <c r="A6140" s="384" t="str">
        <f t="shared" ref="A6140:B6140" si="19900">A6115</f>
        <v>Lantai 3</v>
      </c>
      <c r="B6140" s="385">
        <f t="shared" si="19900"/>
        <v>62</v>
      </c>
      <c r="C6140" s="393" t="s">
        <v>214</v>
      </c>
      <c r="D6140" s="398">
        <f>VLOOKUP(D6115,'Detail Balok'!$C$10:$BJ$140,51,FALSE)</f>
        <v>0</v>
      </c>
      <c r="E6140" s="388" t="s">
        <v>16</v>
      </c>
      <c r="F6140" s="388">
        <f>VLOOKUP(D6115,'Detail Balok'!$C$10:$BJ$140,53,FALSE)</f>
        <v>0</v>
      </c>
      <c r="G6140" s="405" t="s">
        <v>157</v>
      </c>
      <c r="H6140" s="395">
        <f>VLOOKUP(D6115,'Detail Balok'!$C$10:$BJ$140,55,FALSE)</f>
        <v>100</v>
      </c>
      <c r="I6140" s="388"/>
      <c r="J6140" s="399">
        <f t="shared" ref="J6140" si="19901">(D6116-2*F$5)/1000</f>
        <v>0.12</v>
      </c>
      <c r="K6140" s="400" t="s">
        <v>204</v>
      </c>
      <c r="L6140" s="399">
        <f t="shared" si="19894"/>
        <v>0.15</v>
      </c>
      <c r="M6140" s="399" t="s">
        <v>176</v>
      </c>
      <c r="N6140" s="399">
        <f t="shared" si="19895"/>
        <v>0.27</v>
      </c>
      <c r="O6140" s="399"/>
      <c r="P6140" s="399"/>
      <c r="Q6140" s="399"/>
      <c r="R6140" s="399"/>
      <c r="S6140" s="399"/>
      <c r="T6140" s="399" t="s">
        <v>125</v>
      </c>
      <c r="U6140" s="401">
        <f t="shared" si="19896"/>
        <v>0</v>
      </c>
      <c r="V6140" s="399" t="s">
        <v>125</v>
      </c>
      <c r="W6140" s="399">
        <f t="shared" si="19897"/>
        <v>10</v>
      </c>
      <c r="X6140" s="399" t="s">
        <v>125</v>
      </c>
      <c r="Y6140" s="389">
        <f t="shared" ref="Y6140" si="19902">D6125</f>
        <v>3</v>
      </c>
      <c r="Z6140" s="400" t="s">
        <v>176</v>
      </c>
      <c r="AA6140" s="402">
        <f t="shared" si="19899"/>
        <v>0</v>
      </c>
      <c r="AB6140" s="403"/>
    </row>
    <row r="6141" spans="1:28">
      <c r="A6141" s="384" t="str">
        <f t="shared" ref="A6141:B6141" si="19903">A6115</f>
        <v>Lantai 3</v>
      </c>
      <c r="B6141" s="385">
        <f t="shared" si="19903"/>
        <v>62</v>
      </c>
      <c r="C6141" s="393" t="s">
        <v>213</v>
      </c>
      <c r="D6141" s="398">
        <f>VLOOKUP(D6115,'Detail Balok'!$C$10:$BJ$140,56,FALSE)</f>
        <v>0</v>
      </c>
      <c r="E6141" s="388" t="s">
        <v>16</v>
      </c>
      <c r="F6141" s="388">
        <f>VLOOKUP(D6115,'Detail Balok'!$C$10:$BJ$140,58,FALSE)</f>
        <v>0</v>
      </c>
      <c r="G6141" s="405" t="s">
        <v>157</v>
      </c>
      <c r="H6141" s="395">
        <f>VLOOKUP(D6115,'Detail Balok'!$C$10:$BJ$140,60,FALSE)</f>
        <v>100</v>
      </c>
      <c r="I6141" s="388"/>
      <c r="J6141" s="399">
        <f t="shared" ref="J6141" si="19904">(D6116-2*F$5)/1000</f>
        <v>0.12</v>
      </c>
      <c r="K6141" s="400" t="s">
        <v>204</v>
      </c>
      <c r="L6141" s="399">
        <f t="shared" si="19894"/>
        <v>0.15</v>
      </c>
      <c r="M6141" s="399" t="s">
        <v>176</v>
      </c>
      <c r="N6141" s="399">
        <f t="shared" si="19895"/>
        <v>0.27</v>
      </c>
      <c r="O6141" s="399"/>
      <c r="P6141" s="399"/>
      <c r="Q6141" s="399"/>
      <c r="R6141" s="399"/>
      <c r="S6141" s="399"/>
      <c r="T6141" s="399" t="s">
        <v>125</v>
      </c>
      <c r="U6141" s="401">
        <f t="shared" si="19896"/>
        <v>0</v>
      </c>
      <c r="V6141" s="399" t="s">
        <v>125</v>
      </c>
      <c r="W6141" s="399">
        <f t="shared" si="19897"/>
        <v>11</v>
      </c>
      <c r="X6141" s="399" t="s">
        <v>125</v>
      </c>
      <c r="Y6141" s="389">
        <f t="shared" ref="Y6141" si="19905">D6125</f>
        <v>3</v>
      </c>
      <c r="Z6141" s="400" t="s">
        <v>176</v>
      </c>
      <c r="AA6141" s="402">
        <f t="shared" si="19899"/>
        <v>0</v>
      </c>
      <c r="AB6141" s="403"/>
    </row>
    <row r="6142" spans="1:28">
      <c r="A6142" s="391"/>
      <c r="B6142" s="392"/>
      <c r="C6142" s="392"/>
      <c r="D6142" s="394"/>
      <c r="E6142" s="388"/>
      <c r="F6142" s="388"/>
      <c r="G6142" s="388"/>
      <c r="H6142" s="395"/>
      <c r="I6142" s="388"/>
      <c r="J6142" s="402"/>
      <c r="K6142" s="388"/>
      <c r="L6142" s="388"/>
      <c r="M6142" s="388"/>
      <c r="N6142" s="388"/>
      <c r="O6142" s="388"/>
      <c r="P6142" s="388"/>
      <c r="Q6142" s="388"/>
      <c r="R6142" s="388"/>
      <c r="S6142" s="388"/>
      <c r="T6142" s="388"/>
      <c r="U6142" s="388"/>
      <c r="V6142" s="388"/>
      <c r="W6142" s="388"/>
      <c r="X6142" s="388"/>
      <c r="Y6142" s="389"/>
      <c r="Z6142" s="388"/>
      <c r="AA6142" s="402"/>
      <c r="AB6142" s="403"/>
    </row>
    <row r="6143" spans="1:28" ht="15.75" thickBot="1">
      <c r="A6143" s="406"/>
      <c r="B6143" s="407"/>
      <c r="C6143" s="407"/>
      <c r="D6143" s="408"/>
      <c r="E6143" s="409"/>
      <c r="F6143" s="409"/>
      <c r="G6143" s="409"/>
      <c r="H6143" s="410"/>
      <c r="I6143" s="409"/>
      <c r="J6143" s="409"/>
      <c r="K6143" s="409"/>
      <c r="L6143" s="409"/>
      <c r="M6143" s="409"/>
      <c r="N6143" s="409"/>
      <c r="O6143" s="409"/>
      <c r="P6143" s="409"/>
      <c r="Q6143" s="409"/>
      <c r="R6143" s="409"/>
      <c r="S6143" s="409"/>
      <c r="T6143" s="409"/>
      <c r="U6143" s="409"/>
      <c r="V6143" s="409"/>
      <c r="W6143" s="409"/>
      <c r="X6143" s="409"/>
      <c r="Y6143" s="411"/>
      <c r="Z6143" s="409"/>
      <c r="AA6143" s="412"/>
      <c r="AB6143" s="413"/>
    </row>
    <row r="6144" spans="1:28">
      <c r="A6144" s="377"/>
      <c r="B6144" s="378"/>
      <c r="C6144" s="378"/>
      <c r="D6144" s="379"/>
      <c r="E6144" s="380"/>
      <c r="F6144" s="380"/>
      <c r="G6144" s="380"/>
      <c r="H6144" s="381"/>
      <c r="I6144" s="380"/>
      <c r="J6144" s="380"/>
      <c r="K6144" s="380"/>
      <c r="L6144" s="380"/>
      <c r="M6144" s="380"/>
      <c r="N6144" s="380"/>
      <c r="O6144" s="380"/>
      <c r="P6144" s="380"/>
      <c r="Q6144" s="380"/>
      <c r="R6144" s="380"/>
      <c r="S6144" s="380"/>
      <c r="T6144" s="380"/>
      <c r="U6144" s="380"/>
      <c r="V6144" s="380"/>
      <c r="W6144" s="380"/>
      <c r="X6144" s="380"/>
      <c r="Y6144" s="382"/>
      <c r="Z6144" s="380"/>
      <c r="AA6144" s="380"/>
      <c r="AB6144" s="383"/>
    </row>
    <row r="6145" spans="1:28">
      <c r="A6145" s="384" t="str">
        <f t="shared" ref="A6145" si="19906">A6115</f>
        <v>Lantai 3</v>
      </c>
      <c r="B6145" s="385">
        <f t="shared" ref="B6145" si="19907">B6115+1</f>
        <v>63</v>
      </c>
      <c r="C6145" s="386" t="str">
        <f t="shared" ref="C6145" si="19908">CONCATENATE(A6145," no. ",B6145)</f>
        <v>Lantai 3 no. 63</v>
      </c>
      <c r="D6145" s="2562" t="str">
        <f>VLOOKUP(C6145,'Data Panjang Balok'!$C$9:$N$254,2,FALSE)</f>
        <v>B23-1</v>
      </c>
      <c r="E6145" s="2576"/>
      <c r="F6145" s="2576"/>
      <c r="G6145" s="2576"/>
      <c r="H6145" s="2577"/>
      <c r="I6145" s="387"/>
      <c r="J6145" s="388"/>
      <c r="K6145" s="388"/>
      <c r="L6145" s="388"/>
      <c r="M6145" s="388"/>
      <c r="N6145" s="388"/>
      <c r="O6145" s="388"/>
      <c r="P6145" s="388"/>
      <c r="Q6145" s="388"/>
      <c r="R6145" s="388"/>
      <c r="S6145" s="388"/>
      <c r="T6145" s="388"/>
      <c r="U6145" s="388"/>
      <c r="V6145" s="388"/>
      <c r="W6145" s="388"/>
      <c r="X6145" s="388"/>
      <c r="Y6145" s="389"/>
      <c r="Z6145" s="388"/>
      <c r="AA6145" s="388"/>
      <c r="AB6145" s="390"/>
    </row>
    <row r="6146" spans="1:28">
      <c r="A6146" s="391"/>
      <c r="B6146" s="392"/>
      <c r="C6146" s="393" t="s">
        <v>118</v>
      </c>
      <c r="D6146" s="2578">
        <f>VLOOKUP(D6145,'Detail Balok'!$C$10:$AU$140,2,FALSE)</f>
        <v>200</v>
      </c>
      <c r="E6146" s="2579"/>
      <c r="F6146" s="388" t="s">
        <v>125</v>
      </c>
      <c r="G6146" s="2579">
        <f>VLOOKUP(D6145,'Detail Balok'!$C$10:$AU$140,3,FALSE)</f>
        <v>300</v>
      </c>
      <c r="H6146" s="2580"/>
      <c r="I6146" s="388"/>
      <c r="J6146" s="396"/>
      <c r="K6146" s="396"/>
      <c r="L6146" s="396"/>
      <c r="M6146" s="396"/>
      <c r="N6146" s="396"/>
      <c r="O6146" s="396"/>
      <c r="P6146" s="396"/>
      <c r="Q6146" s="396"/>
      <c r="R6146" s="396"/>
      <c r="S6146" s="396"/>
      <c r="T6146" s="396"/>
      <c r="U6146" s="388"/>
      <c r="V6146" s="396"/>
      <c r="W6146" s="388"/>
      <c r="X6146" s="396"/>
      <c r="Y6146" s="389"/>
      <c r="Z6146" s="396"/>
      <c r="AA6146" s="388"/>
      <c r="AB6146" s="390"/>
    </row>
    <row r="6147" spans="1:28">
      <c r="A6147" s="391"/>
      <c r="B6147" s="392"/>
      <c r="C6147" s="393" t="s">
        <v>198</v>
      </c>
      <c r="D6147" s="2562">
        <f>VLOOKUP(C6145,'Data Panjang Balok'!$C$9:$N$254,4,FALSE)</f>
        <v>4175</v>
      </c>
      <c r="E6147" s="2563"/>
      <c r="F6147" s="2563"/>
      <c r="G6147" s="2563"/>
      <c r="H6147" s="2564"/>
      <c r="I6147" s="397"/>
      <c r="J6147" s="396"/>
      <c r="K6147" s="396"/>
      <c r="L6147" s="396"/>
      <c r="M6147" s="396"/>
      <c r="N6147" s="396"/>
      <c r="O6147" s="396"/>
      <c r="P6147" s="396"/>
      <c r="Q6147" s="396"/>
      <c r="R6147" s="396"/>
      <c r="S6147" s="396"/>
      <c r="T6147" s="396"/>
      <c r="U6147" s="388"/>
      <c r="V6147" s="396"/>
      <c r="W6147" s="388"/>
      <c r="X6147" s="396"/>
      <c r="Y6147" s="389"/>
      <c r="Z6147" s="396"/>
      <c r="AA6147" s="388"/>
      <c r="AB6147" s="390"/>
    </row>
    <row r="6148" spans="1:28">
      <c r="A6148" s="391"/>
      <c r="B6148" s="392"/>
      <c r="C6148" s="393" t="s">
        <v>199</v>
      </c>
      <c r="D6148" s="2562">
        <f>VLOOKUP(C6145,'Data Panjang Balok'!$C$9:$N$254,7,FALSE)</f>
        <v>4175</v>
      </c>
      <c r="E6148" s="2563"/>
      <c r="F6148" s="2563"/>
      <c r="G6148" s="2563"/>
      <c r="H6148" s="2564"/>
      <c r="I6148" s="397"/>
      <c r="J6148" s="396"/>
      <c r="K6148" s="396"/>
      <c r="L6148" s="396"/>
      <c r="M6148" s="396"/>
      <c r="N6148" s="396"/>
      <c r="O6148" s="396"/>
      <c r="P6148" s="396"/>
      <c r="Q6148" s="396"/>
      <c r="R6148" s="396"/>
      <c r="S6148" s="396"/>
      <c r="T6148" s="396"/>
      <c r="U6148" s="388"/>
      <c r="V6148" s="396"/>
      <c r="W6148" s="388"/>
      <c r="X6148" s="396"/>
      <c r="Y6148" s="389"/>
      <c r="Z6148" s="396"/>
      <c r="AA6148" s="388"/>
      <c r="AB6148" s="390"/>
    </row>
    <row r="6149" spans="1:28">
      <c r="A6149" s="391"/>
      <c r="B6149" s="392"/>
      <c r="C6149" s="393" t="s">
        <v>200</v>
      </c>
      <c r="D6149" s="2562">
        <f>VLOOKUP(C6145,'Data Panjang Balok'!$C$9:$N$254,9,FALSE)</f>
        <v>0</v>
      </c>
      <c r="E6149" s="2563"/>
      <c r="F6149" s="2563"/>
      <c r="G6149" s="2563"/>
      <c r="H6149" s="2564"/>
      <c r="I6149" s="397"/>
      <c r="J6149" s="396"/>
      <c r="K6149" s="396"/>
      <c r="L6149" s="396"/>
      <c r="M6149" s="396"/>
      <c r="N6149" s="396"/>
      <c r="O6149" s="396"/>
      <c r="P6149" s="396"/>
      <c r="Q6149" s="396"/>
      <c r="R6149" s="396"/>
      <c r="S6149" s="396"/>
      <c r="T6149" s="396"/>
      <c r="U6149" s="388"/>
      <c r="V6149" s="396"/>
      <c r="W6149" s="388"/>
      <c r="X6149" s="396"/>
      <c r="Y6149" s="389"/>
      <c r="Z6149" s="396"/>
      <c r="AA6149" s="388"/>
      <c r="AB6149" s="390"/>
    </row>
    <row r="6150" spans="1:28">
      <c r="A6150" s="391"/>
      <c r="B6150" s="392"/>
      <c r="C6150" s="393" t="s">
        <v>201</v>
      </c>
      <c r="D6150" s="2562">
        <f>VLOOKUP(C6145,'Data Panjang Balok'!$C$9:$N$254,10,FALSE)</f>
        <v>0</v>
      </c>
      <c r="E6150" s="2563"/>
      <c r="F6150" s="2563"/>
      <c r="G6150" s="2563"/>
      <c r="H6150" s="2564"/>
      <c r="I6150" s="397"/>
      <c r="J6150" s="396"/>
      <c r="K6150" s="396"/>
      <c r="L6150" s="396"/>
      <c r="M6150" s="396"/>
      <c r="N6150" s="396"/>
      <c r="O6150" s="396"/>
      <c r="P6150" s="396"/>
      <c r="Q6150" s="396"/>
      <c r="R6150" s="396"/>
      <c r="S6150" s="396"/>
      <c r="T6150" s="396"/>
      <c r="U6150" s="388"/>
      <c r="V6150" s="396"/>
      <c r="W6150" s="388"/>
      <c r="X6150" s="396"/>
      <c r="Y6150" s="389"/>
      <c r="Z6150" s="396"/>
      <c r="AA6150" s="388"/>
      <c r="AB6150" s="390"/>
    </row>
    <row r="6151" spans="1:28">
      <c r="A6151" s="391"/>
      <c r="B6151" s="392"/>
      <c r="C6151" s="393" t="s">
        <v>48</v>
      </c>
      <c r="D6151" s="2562">
        <f>VLOOKUP(C6145,'Data Panjang Balok'!$C$9:$N$254,3,FALSE)</f>
        <v>1</v>
      </c>
      <c r="E6151" s="2563"/>
      <c r="F6151" s="2563"/>
      <c r="G6151" s="2563"/>
      <c r="H6151" s="2564"/>
      <c r="I6151" s="397"/>
      <c r="J6151" s="396"/>
      <c r="K6151" s="396"/>
      <c r="L6151" s="396"/>
      <c r="M6151" s="396"/>
      <c r="N6151" s="396"/>
      <c r="O6151" s="396"/>
      <c r="P6151" s="396"/>
      <c r="Q6151" s="396"/>
      <c r="R6151" s="396"/>
      <c r="S6151" s="396"/>
      <c r="T6151" s="396"/>
      <c r="U6151" s="388"/>
      <c r="V6151" s="396"/>
      <c r="W6151" s="388"/>
      <c r="X6151" s="396"/>
      <c r="Y6151" s="389"/>
      <c r="Z6151" s="396"/>
      <c r="AA6151" s="388"/>
      <c r="AB6151" s="390"/>
    </row>
    <row r="6152" spans="1:28">
      <c r="A6152" s="384" t="str">
        <f t="shared" ref="A6152:B6152" si="19909">A6145</f>
        <v>Lantai 3</v>
      </c>
      <c r="B6152" s="385">
        <f t="shared" si="19909"/>
        <v>63</v>
      </c>
      <c r="C6152" s="393" t="s">
        <v>202</v>
      </c>
      <c r="D6152" s="398">
        <f>VLOOKUP(D6145,'Detail Balok'!$C$10:$AU$140,4,FALSE)</f>
        <v>3</v>
      </c>
      <c r="E6152" s="388" t="s">
        <v>16</v>
      </c>
      <c r="F6152" s="388">
        <f>VLOOKUP(D6145,'Detail Balok'!$C$10:$AU$140,6,FALSE)</f>
        <v>13</v>
      </c>
      <c r="G6152" s="388"/>
      <c r="H6152" s="395"/>
      <c r="I6152" s="388" t="s">
        <v>203</v>
      </c>
      <c r="J6152" s="399">
        <f t="shared" ref="J6152" si="19910">+D6147/4/1000</f>
        <v>1.04375</v>
      </c>
      <c r="K6152" s="400" t="s">
        <v>204</v>
      </c>
      <c r="L6152" s="399">
        <f t="shared" ref="L6152" si="19911">MAX(VLOOKUP(F6152,N$6:P$15,3,FALSE)/1000,2/3*D6149/1000)+F$16*F6152/1000</f>
        <v>0.156</v>
      </c>
      <c r="M6152" s="399" t="s">
        <v>176</v>
      </c>
      <c r="N6152" s="399">
        <f t="shared" ref="N6152:N6154" si="19912">J6152+L6152</f>
        <v>1.1997499999999999</v>
      </c>
      <c r="O6152" s="399" t="s">
        <v>204</v>
      </c>
      <c r="P6152" s="389">
        <f t="shared" ref="P6152" si="19913">D6152-D6153</f>
        <v>0</v>
      </c>
      <c r="Q6152" s="399" t="s">
        <v>125</v>
      </c>
      <c r="R6152" s="399">
        <f t="shared" ref="R6152" si="19914">IF(P6152&gt;0,$F$18*F6152/1000,0)</f>
        <v>0</v>
      </c>
      <c r="S6152" s="399" t="s">
        <v>205</v>
      </c>
      <c r="T6152" s="399" t="s">
        <v>125</v>
      </c>
      <c r="U6152" s="401">
        <f t="shared" ref="U6152:U6154" si="19915">0.006165*F6152^2</f>
        <v>1.041885</v>
      </c>
      <c r="V6152" s="399"/>
      <c r="W6152" s="399"/>
      <c r="X6152" s="399" t="s">
        <v>125</v>
      </c>
      <c r="Y6152" s="389">
        <f t="shared" ref="Y6152" si="19916">D6151</f>
        <v>1</v>
      </c>
      <c r="Z6152" s="400" t="s">
        <v>176</v>
      </c>
      <c r="AA6152" s="402">
        <f t="shared" ref="AA6152" si="19917">IF(AA6155=0,(D6152*N6152+P6152*R6152)*U6152*Y6152,0)</f>
        <v>0</v>
      </c>
      <c r="AB6152" s="403"/>
    </row>
    <row r="6153" spans="1:28">
      <c r="A6153" s="384" t="str">
        <f t="shared" ref="A6153:B6153" si="19918">A6145</f>
        <v>Lantai 3</v>
      </c>
      <c r="B6153" s="385">
        <f t="shared" si="19918"/>
        <v>63</v>
      </c>
      <c r="C6153" s="393" t="s">
        <v>206</v>
      </c>
      <c r="D6153" s="398">
        <f>VLOOKUP(D6145,'Detail Balok'!$C$10:$AU$140,7,FALSE)</f>
        <v>3</v>
      </c>
      <c r="E6153" s="388" t="s">
        <v>16</v>
      </c>
      <c r="F6153" s="388">
        <f>VLOOKUP(D6145,'Detail Balok'!$C$10:$AU$140,9,FALSE)</f>
        <v>13</v>
      </c>
      <c r="G6153" s="388"/>
      <c r="H6153" s="395"/>
      <c r="I6153" s="388" t="s">
        <v>203</v>
      </c>
      <c r="J6153" s="399">
        <f t="shared" ref="J6153" si="19919">+D6147/2/1000</f>
        <v>2.0874999999999999</v>
      </c>
      <c r="K6153" s="400" t="s">
        <v>204</v>
      </c>
      <c r="L6153" s="399"/>
      <c r="M6153" s="399" t="s">
        <v>176</v>
      </c>
      <c r="N6153" s="399">
        <f t="shared" si="19912"/>
        <v>2.0874999999999999</v>
      </c>
      <c r="O6153" s="399" t="s">
        <v>204</v>
      </c>
      <c r="P6153" s="389">
        <f t="shared" ref="P6153" si="19920">MAX(D6153-D6152,D6153-D6154)</f>
        <v>0</v>
      </c>
      <c r="Q6153" s="399" t="s">
        <v>125</v>
      </c>
      <c r="R6153" s="399">
        <f t="shared" ref="R6153" si="19921">IF(P6153&gt;0,2*(1-2*$F$19-1/2)*D6148/1000,0)</f>
        <v>0</v>
      </c>
      <c r="S6153" s="399" t="s">
        <v>205</v>
      </c>
      <c r="T6153" s="399" t="s">
        <v>125</v>
      </c>
      <c r="U6153" s="401">
        <f t="shared" si="19915"/>
        <v>1.041885</v>
      </c>
      <c r="V6153" s="399"/>
      <c r="W6153" s="399"/>
      <c r="X6153" s="399" t="s">
        <v>125</v>
      </c>
      <c r="Y6153" s="389">
        <f t="shared" ref="Y6153" si="19922">D6151</f>
        <v>1</v>
      </c>
      <c r="Z6153" s="400" t="s">
        <v>176</v>
      </c>
      <c r="AA6153" s="402">
        <f t="shared" ref="AA6153" si="19923">IF(AA6155=0,(D6153*N6153+P6153*R6153)*U6153*Y6153,0)</f>
        <v>0</v>
      </c>
      <c r="AB6153" s="403"/>
    </row>
    <row r="6154" spans="1:28">
      <c r="A6154" s="384" t="str">
        <f t="shared" ref="A6154:B6154" si="19924">A6145</f>
        <v>Lantai 3</v>
      </c>
      <c r="B6154" s="385">
        <f t="shared" si="19924"/>
        <v>63</v>
      </c>
      <c r="C6154" s="393" t="s">
        <v>202</v>
      </c>
      <c r="D6154" s="398">
        <f>VLOOKUP(D6145,'Detail Balok'!$C$10:$AU$140,10,FALSE)</f>
        <v>3</v>
      </c>
      <c r="E6154" s="388" t="s">
        <v>16</v>
      </c>
      <c r="F6154" s="388">
        <f>VLOOKUP(D6145,'Detail Balok'!$C$10:$AU$140,12,FALSE)</f>
        <v>13</v>
      </c>
      <c r="G6154" s="388"/>
      <c r="H6154" s="395"/>
      <c r="I6154" s="388" t="s">
        <v>203</v>
      </c>
      <c r="J6154" s="399">
        <f t="shared" ref="J6154" si="19925">+D6147/4/1000</f>
        <v>1.04375</v>
      </c>
      <c r="K6154" s="400" t="s">
        <v>204</v>
      </c>
      <c r="L6154" s="399">
        <f t="shared" ref="L6154" si="19926">MAX(VLOOKUP(F6154,N$6:P$15,3,FALSE)/1000,2/3*D6149/1000)+F$16*F6154/1000</f>
        <v>0.156</v>
      </c>
      <c r="M6154" s="399" t="s">
        <v>176</v>
      </c>
      <c r="N6154" s="399">
        <f t="shared" si="19912"/>
        <v>1.1997499999999999</v>
      </c>
      <c r="O6154" s="399" t="s">
        <v>204</v>
      </c>
      <c r="P6154" s="389">
        <f t="shared" ref="P6154" si="19927">D6154-D6153</f>
        <v>0</v>
      </c>
      <c r="Q6154" s="399" t="s">
        <v>125</v>
      </c>
      <c r="R6154" s="399">
        <f t="shared" ref="R6154" si="19928">IF(P6154&gt;0,$F$18*F6154/1000,0)</f>
        <v>0</v>
      </c>
      <c r="S6154" s="399" t="s">
        <v>205</v>
      </c>
      <c r="T6154" s="399" t="s">
        <v>125</v>
      </c>
      <c r="U6154" s="401">
        <f t="shared" si="19915"/>
        <v>1.041885</v>
      </c>
      <c r="V6154" s="399"/>
      <c r="W6154" s="399"/>
      <c r="X6154" s="399" t="s">
        <v>125</v>
      </c>
      <c r="Y6154" s="389">
        <f t="shared" ref="Y6154" si="19929">D6151</f>
        <v>1</v>
      </c>
      <c r="Z6154" s="400" t="s">
        <v>176</v>
      </c>
      <c r="AA6154" s="402">
        <f t="shared" ref="AA6154" si="19930">IF(AA6155=0,(D6154*N6154+P6154*R6154)*U6154*Y6154,0)</f>
        <v>0</v>
      </c>
      <c r="AB6154" s="403"/>
    </row>
    <row r="6155" spans="1:28">
      <c r="A6155" s="384" t="str">
        <f t="shared" ref="A6155:B6155" si="19931">A6145</f>
        <v>Lantai 3</v>
      </c>
      <c r="B6155" s="385">
        <f t="shared" si="19931"/>
        <v>63</v>
      </c>
      <c r="C6155" s="393"/>
      <c r="D6155" s="398">
        <f t="shared" ref="D6155" si="19932">IF(AND(D6152=D6153,D6153=D6154,D6152=D6154),D6152,0)</f>
        <v>3</v>
      </c>
      <c r="E6155" s="388" t="s">
        <v>16</v>
      </c>
      <c r="F6155" s="388">
        <f t="shared" ref="F6155" si="19933">IF(AND(F6152=F6153,F6152=F6154,F6153=F6154),F6152,0)</f>
        <v>13</v>
      </c>
      <c r="G6155" s="388"/>
      <c r="H6155" s="395"/>
      <c r="I6155" s="388"/>
      <c r="J6155" s="396"/>
      <c r="K6155" s="396"/>
      <c r="L6155" s="404" t="s">
        <v>207</v>
      </c>
      <c r="M6155" s="399" t="s">
        <v>176</v>
      </c>
      <c r="N6155" s="399">
        <f t="shared" ref="N6155" si="19934">IF(AND(D6152=D6153,D6152=D6154,D6153=D6154,F6152=F6153,F6152=F6154,F6153=F6154),SUM(N6152:N6154),0)</f>
        <v>4.4870000000000001</v>
      </c>
      <c r="O6155" s="399" t="s">
        <v>204</v>
      </c>
      <c r="P6155" s="389">
        <f t="shared" ref="P6155" si="19935">IF(N6155&gt;12,ROUNDDOWN(N6155/12,0),0)</f>
        <v>0</v>
      </c>
      <c r="Q6155" s="399" t="s">
        <v>125</v>
      </c>
      <c r="R6155" s="399">
        <f t="shared" ref="R6155" si="19936">IF(P6155&gt;0,MAX(VLOOKUP(F6155,$D$6:$G$15,3,FALSE),600),0)/1000</f>
        <v>0</v>
      </c>
      <c r="S6155" s="396"/>
      <c r="T6155" s="396" t="s">
        <v>125</v>
      </c>
      <c r="U6155" s="401">
        <f t="shared" ref="U6155" si="19937">U6154</f>
        <v>1.041885</v>
      </c>
      <c r="V6155" s="396" t="s">
        <v>125</v>
      </c>
      <c r="W6155" s="399">
        <f t="shared" ref="W6155" si="19938">D6155</f>
        <v>3</v>
      </c>
      <c r="X6155" s="399" t="s">
        <v>125</v>
      </c>
      <c r="Y6155" s="389">
        <f t="shared" ref="Y6155" si="19939">Y6154</f>
        <v>1</v>
      </c>
      <c r="Z6155" s="400" t="s">
        <v>176</v>
      </c>
      <c r="AA6155" s="402">
        <f t="shared" ref="AA6155" si="19940">(N6155+P6155*R6155/1000)*U6155*W6155*Y6155</f>
        <v>14.024813984999998</v>
      </c>
      <c r="AB6155" s="390"/>
    </row>
    <row r="6156" spans="1:28">
      <c r="A6156" s="384"/>
      <c r="B6156" s="385"/>
      <c r="C6156" s="393"/>
      <c r="D6156" s="398"/>
      <c r="E6156" s="388"/>
      <c r="F6156" s="388"/>
      <c r="G6156" s="388"/>
      <c r="H6156" s="395"/>
      <c r="I6156" s="388"/>
      <c r="J6156" s="396"/>
      <c r="K6156" s="396"/>
      <c r="L6156" s="404"/>
      <c r="M6156" s="399"/>
      <c r="N6156" s="399"/>
      <c r="O6156" s="396"/>
      <c r="P6156" s="389"/>
      <c r="Q6156" s="396"/>
      <c r="R6156" s="396"/>
      <c r="S6156" s="396"/>
      <c r="T6156" s="396"/>
      <c r="U6156" s="401"/>
      <c r="V6156" s="396"/>
      <c r="W6156" s="399"/>
      <c r="X6156" s="396"/>
      <c r="Y6156" s="389"/>
      <c r="Z6156" s="396"/>
      <c r="AA6156" s="388"/>
      <c r="AB6156" s="390"/>
    </row>
    <row r="6157" spans="1:28">
      <c r="A6157" s="384" t="str">
        <f t="shared" ref="A6157:B6157" si="19941">A6145</f>
        <v>Lantai 3</v>
      </c>
      <c r="B6157" s="385">
        <f t="shared" si="19941"/>
        <v>63</v>
      </c>
      <c r="C6157" s="393" t="s">
        <v>208</v>
      </c>
      <c r="D6157" s="398">
        <f>VLOOKUP(D6145,'Detail Balok'!$C$10:$AU$140,13,FALSE)</f>
        <v>0</v>
      </c>
      <c r="E6157" s="388" t="s">
        <v>16</v>
      </c>
      <c r="F6157" s="388">
        <f>VLOOKUP(D6145,'Detail Balok'!$C$10:$AU$140,15,FALSE)</f>
        <v>8</v>
      </c>
      <c r="G6157" s="388"/>
      <c r="H6157" s="395"/>
      <c r="I6157" s="388"/>
      <c r="J6157" s="399">
        <f t="shared" ref="J6157" si="19942">+D6147/1000</f>
        <v>4.1749999999999998</v>
      </c>
      <c r="K6157" s="400" t="s">
        <v>204</v>
      </c>
      <c r="L6157" s="399">
        <f t="shared" ref="L6157" si="19943">2*$F$16*F6157/1000</f>
        <v>0.192</v>
      </c>
      <c r="M6157" s="399" t="s">
        <v>176</v>
      </c>
      <c r="N6157" s="399">
        <f t="shared" ref="N6157" si="19944">J6157+L6157</f>
        <v>4.367</v>
      </c>
      <c r="O6157" s="399" t="s">
        <v>204</v>
      </c>
      <c r="P6157" s="389">
        <f t="shared" ref="P6157" si="19945">IF(N6157&gt;12,ROUNDDOWN(N6157/12,0),0)</f>
        <v>0</v>
      </c>
      <c r="Q6157" s="399" t="s">
        <v>125</v>
      </c>
      <c r="R6157" s="399">
        <f t="shared" ref="R6157" si="19946">IF(P6157&gt;0,MAX(VLOOKUP(F6157,$D$6:$G$15,3,FALSE),600),0)/1000</f>
        <v>0</v>
      </c>
      <c r="S6157" s="399"/>
      <c r="T6157" s="399" t="s">
        <v>125</v>
      </c>
      <c r="U6157" s="401">
        <f t="shared" ref="U6157" si="19947">0.006165*F6157^2</f>
        <v>0.39456000000000002</v>
      </c>
      <c r="V6157" s="399" t="s">
        <v>125</v>
      </c>
      <c r="W6157" s="399">
        <f t="shared" ref="W6157" si="19948">+D6157</f>
        <v>0</v>
      </c>
      <c r="X6157" s="399" t="s">
        <v>125</v>
      </c>
      <c r="Y6157" s="389">
        <f t="shared" ref="Y6157" si="19949">D6151</f>
        <v>1</v>
      </c>
      <c r="Z6157" s="400" t="s">
        <v>176</v>
      </c>
      <c r="AA6157" s="402">
        <f t="shared" ref="AA6157" si="19950">(N6157+P6157*R6157/1000)*U6157*W6157*Y6157</f>
        <v>0</v>
      </c>
      <c r="AB6157" s="403"/>
    </row>
    <row r="6158" spans="1:28">
      <c r="A6158" s="384"/>
      <c r="B6158" s="385"/>
      <c r="C6158" s="393"/>
      <c r="D6158" s="398"/>
      <c r="E6158" s="388"/>
      <c r="F6158" s="388"/>
      <c r="G6158" s="388"/>
      <c r="H6158" s="395"/>
      <c r="I6158" s="388"/>
      <c r="J6158" s="399"/>
      <c r="K6158" s="400"/>
      <c r="L6158" s="399"/>
      <c r="M6158" s="399"/>
      <c r="N6158" s="399"/>
      <c r="O6158" s="399"/>
      <c r="P6158" s="389"/>
      <c r="Q6158" s="399"/>
      <c r="R6158" s="399"/>
      <c r="S6158" s="399"/>
      <c r="T6158" s="399"/>
      <c r="U6158" s="401"/>
      <c r="V6158" s="399"/>
      <c r="W6158" s="399"/>
      <c r="X6158" s="399"/>
      <c r="Y6158" s="389"/>
      <c r="Z6158" s="400"/>
      <c r="AA6158" s="402"/>
      <c r="AB6158" s="403"/>
    </row>
    <row r="6159" spans="1:28">
      <c r="A6159" s="384"/>
      <c r="B6159" s="385"/>
      <c r="C6159" s="393"/>
      <c r="D6159" s="398"/>
      <c r="E6159" s="388"/>
      <c r="F6159" s="388"/>
      <c r="G6159" s="388"/>
      <c r="H6159" s="395"/>
      <c r="I6159" s="388"/>
      <c r="J6159" s="396"/>
      <c r="K6159" s="396"/>
      <c r="L6159" s="396"/>
      <c r="M6159" s="396"/>
      <c r="N6159" s="396"/>
      <c r="O6159" s="396"/>
      <c r="P6159" s="389"/>
      <c r="Q6159" s="396"/>
      <c r="R6159" s="396"/>
      <c r="S6159" s="396"/>
      <c r="T6159" s="396"/>
      <c r="U6159" s="401"/>
      <c r="V6159" s="396"/>
      <c r="W6159" s="399"/>
      <c r="X6159" s="396"/>
      <c r="Y6159" s="389"/>
      <c r="Z6159" s="396"/>
      <c r="AA6159" s="388"/>
      <c r="AB6159" s="390"/>
    </row>
    <row r="6160" spans="1:28">
      <c r="A6160" s="384" t="str">
        <f t="shared" ref="A6160:B6160" si="19951">A6145</f>
        <v>Lantai 3</v>
      </c>
      <c r="B6160" s="385">
        <f t="shared" si="19951"/>
        <v>63</v>
      </c>
      <c r="C6160" s="393" t="s">
        <v>209</v>
      </c>
      <c r="D6160" s="398">
        <f>VLOOKUP(D6145,'Detail Balok'!$C$10:$AU$140,22,FALSE)</f>
        <v>3</v>
      </c>
      <c r="E6160" s="388" t="s">
        <v>16</v>
      </c>
      <c r="F6160" s="388">
        <f>VLOOKUP(D6145,'Detail Balok'!$C$10:$AU$140,24,FALSE)</f>
        <v>13</v>
      </c>
      <c r="G6160" s="388"/>
      <c r="H6160" s="395"/>
      <c r="I6160" s="388" t="s">
        <v>203</v>
      </c>
      <c r="J6160" s="399">
        <f t="shared" ref="J6160:J6162" si="19952">+J6152</f>
        <v>1.04375</v>
      </c>
      <c r="K6160" s="400" t="s">
        <v>204</v>
      </c>
      <c r="L6160" s="399">
        <f t="shared" ref="L6160" si="19953">MAX(VLOOKUP(F6160,N$6:P$15,3,FALSE)/1000,2/3*D6150/1000)+F$16*F6160/1000</f>
        <v>0.156</v>
      </c>
      <c r="M6160" s="399" t="s">
        <v>176</v>
      </c>
      <c r="N6160" s="399">
        <f t="shared" ref="N6160:N6162" si="19954">J6160+L6160</f>
        <v>1.1997499999999999</v>
      </c>
      <c r="O6160" s="399" t="s">
        <v>204</v>
      </c>
      <c r="P6160" s="389">
        <f t="shared" ref="P6160" si="19955">D6160-D6161</f>
        <v>0</v>
      </c>
      <c r="Q6160" s="399" t="s">
        <v>125</v>
      </c>
      <c r="R6160" s="399">
        <f t="shared" ref="R6160" si="19956">IF(P6160&gt;0,$F$18*F6160/1000,0)</f>
        <v>0</v>
      </c>
      <c r="S6160" s="399" t="s">
        <v>205</v>
      </c>
      <c r="T6160" s="399" t="s">
        <v>125</v>
      </c>
      <c r="U6160" s="401">
        <f t="shared" ref="U6160:U6162" si="19957">0.006165*F6160^2</f>
        <v>1.041885</v>
      </c>
      <c r="V6160" s="399"/>
      <c r="W6160" s="399"/>
      <c r="X6160" s="399" t="s">
        <v>125</v>
      </c>
      <c r="Y6160" s="389">
        <f t="shared" ref="Y6160" si="19958">D6151</f>
        <v>1</v>
      </c>
      <c r="Z6160" s="400" t="s">
        <v>176</v>
      </c>
      <c r="AA6160" s="402">
        <f t="shared" ref="AA6160" si="19959">IF(AA6163=0,(D6160*N6160+P6160*R6160)*U6160*Y6160,0)</f>
        <v>0</v>
      </c>
      <c r="AB6160" s="403"/>
    </row>
    <row r="6161" spans="1:28">
      <c r="A6161" s="384" t="str">
        <f t="shared" ref="A6161:B6161" si="19960">A6145</f>
        <v>Lantai 3</v>
      </c>
      <c r="B6161" s="385">
        <f t="shared" si="19960"/>
        <v>63</v>
      </c>
      <c r="C6161" s="393" t="s">
        <v>210</v>
      </c>
      <c r="D6161" s="398">
        <f>VLOOKUP(D6145,'Detail Balok'!$C$10:$AU$140,25,FALSE)</f>
        <v>3</v>
      </c>
      <c r="E6161" s="388" t="s">
        <v>16</v>
      </c>
      <c r="F6161" s="388">
        <f>VLOOKUP(D6145,'Detail Balok'!$C$10:$AU$140,27,FALSE)</f>
        <v>13</v>
      </c>
      <c r="G6161" s="388"/>
      <c r="H6161" s="395"/>
      <c r="I6161" s="388" t="s">
        <v>203</v>
      </c>
      <c r="J6161" s="399">
        <f t="shared" si="19952"/>
        <v>2.0874999999999999</v>
      </c>
      <c r="K6161" s="400" t="s">
        <v>204</v>
      </c>
      <c r="L6161" s="399"/>
      <c r="M6161" s="399" t="s">
        <v>176</v>
      </c>
      <c r="N6161" s="399">
        <f t="shared" si="19954"/>
        <v>2.0874999999999999</v>
      </c>
      <c r="O6161" s="399" t="s">
        <v>204</v>
      </c>
      <c r="P6161" s="389">
        <f t="shared" ref="P6161" si="19961">MAX(D6161-D6160,D6161-D6162)</f>
        <v>0</v>
      </c>
      <c r="Q6161" s="399" t="s">
        <v>125</v>
      </c>
      <c r="R6161" s="399">
        <f t="shared" ref="R6161" si="19962">IF(P6161&gt;0,2*(1-2*$F$19-1/2)*D6148/1000,0)</f>
        <v>0</v>
      </c>
      <c r="S6161" s="399" t="s">
        <v>205</v>
      </c>
      <c r="T6161" s="399" t="s">
        <v>125</v>
      </c>
      <c r="U6161" s="401">
        <f t="shared" si="19957"/>
        <v>1.041885</v>
      </c>
      <c r="V6161" s="399"/>
      <c r="W6161" s="399"/>
      <c r="X6161" s="399" t="s">
        <v>125</v>
      </c>
      <c r="Y6161" s="389">
        <f t="shared" ref="Y6161" si="19963">D6151</f>
        <v>1</v>
      </c>
      <c r="Z6161" s="400" t="s">
        <v>176</v>
      </c>
      <c r="AA6161" s="402">
        <f t="shared" ref="AA6161" si="19964">IF(AA6163=0,(D6161*N6161+P6161*R6161)*U6161*Y6161,0)</f>
        <v>0</v>
      </c>
      <c r="AB6161" s="403"/>
    </row>
    <row r="6162" spans="1:28">
      <c r="A6162" s="384" t="str">
        <f t="shared" ref="A6162:B6162" si="19965">A6145</f>
        <v>Lantai 3</v>
      </c>
      <c r="B6162" s="385">
        <f t="shared" si="19965"/>
        <v>63</v>
      </c>
      <c r="C6162" s="393" t="s">
        <v>209</v>
      </c>
      <c r="D6162" s="398">
        <f>VLOOKUP(D6145,'Detail Balok'!$C$10:$AU$140,28,FALSE)</f>
        <v>3</v>
      </c>
      <c r="E6162" s="388" t="s">
        <v>16</v>
      </c>
      <c r="F6162" s="388">
        <f>VLOOKUP(D6145,'Detail Balok'!$C$10:$AU$140,30,FALSE)</f>
        <v>13</v>
      </c>
      <c r="G6162" s="388"/>
      <c r="H6162" s="395"/>
      <c r="I6162" s="388" t="s">
        <v>203</v>
      </c>
      <c r="J6162" s="399">
        <f t="shared" si="19952"/>
        <v>1.04375</v>
      </c>
      <c r="K6162" s="400" t="s">
        <v>204</v>
      </c>
      <c r="L6162" s="399">
        <f t="shared" ref="L6162" si="19966">MAX(VLOOKUP(F6162,N$6:P$15,3,FALSE)/1000,2/3*D6150/1000)+F$16*F6162/1000</f>
        <v>0.156</v>
      </c>
      <c r="M6162" s="399" t="s">
        <v>176</v>
      </c>
      <c r="N6162" s="399">
        <f t="shared" si="19954"/>
        <v>1.1997499999999999</v>
      </c>
      <c r="O6162" s="399" t="s">
        <v>204</v>
      </c>
      <c r="P6162" s="389">
        <f t="shared" ref="P6162" si="19967">D6162-D6161</f>
        <v>0</v>
      </c>
      <c r="Q6162" s="399" t="s">
        <v>125</v>
      </c>
      <c r="R6162" s="399">
        <f t="shared" ref="R6162" si="19968">IF(P6162&gt;0,$F$18*F6162/1000,0)</f>
        <v>0</v>
      </c>
      <c r="S6162" s="399" t="s">
        <v>205</v>
      </c>
      <c r="T6162" s="399" t="s">
        <v>125</v>
      </c>
      <c r="U6162" s="401">
        <f t="shared" si="19957"/>
        <v>1.041885</v>
      </c>
      <c r="V6162" s="399"/>
      <c r="W6162" s="399"/>
      <c r="X6162" s="399" t="s">
        <v>125</v>
      </c>
      <c r="Y6162" s="389">
        <f t="shared" ref="Y6162" si="19969">D6151</f>
        <v>1</v>
      </c>
      <c r="Z6162" s="400" t="s">
        <v>176</v>
      </c>
      <c r="AA6162" s="402">
        <f t="shared" ref="AA6162" si="19970">IF(AA6163=0,(D6162*N6162+P6162*R6162)*U6162*Y6162,0)</f>
        <v>0</v>
      </c>
      <c r="AB6162" s="403"/>
    </row>
    <row r="6163" spans="1:28">
      <c r="A6163" s="384" t="str">
        <f t="shared" ref="A6163:B6163" si="19971">A6145</f>
        <v>Lantai 3</v>
      </c>
      <c r="B6163" s="385">
        <f t="shared" si="19971"/>
        <v>63</v>
      </c>
      <c r="C6163" s="393"/>
      <c r="D6163" s="398">
        <f t="shared" ref="D6163" si="19972">IF(AND(D6160=D6161,D6161=D6162,D6160=D6162),D6160,0)</f>
        <v>3</v>
      </c>
      <c r="E6163" s="388" t="s">
        <v>16</v>
      </c>
      <c r="F6163" s="388">
        <f t="shared" ref="F6163" si="19973">IF(AND(F6160=F6161,F6160=F6162,F6161=F6162),F6160,0)</f>
        <v>13</v>
      </c>
      <c r="G6163" s="388"/>
      <c r="H6163" s="395"/>
      <c r="I6163" s="388"/>
      <c r="J6163" s="396"/>
      <c r="K6163" s="396"/>
      <c r="L6163" s="404" t="s">
        <v>207</v>
      </c>
      <c r="M6163" s="399" t="s">
        <v>176</v>
      </c>
      <c r="N6163" s="399">
        <f t="shared" ref="N6163" si="19974">IF(AND(D6160=D6161,D6160=D6162,D6161=D6162,F6160=F6161,F6160=F6162,F6161=F6162),SUM(N6160:N6162),0)</f>
        <v>4.4870000000000001</v>
      </c>
      <c r="O6163" s="399" t="s">
        <v>204</v>
      </c>
      <c r="P6163" s="389">
        <f t="shared" ref="P6163" si="19975">IF(N6163&gt;12,ROUNDDOWN(N6163/12,0),0)</f>
        <v>0</v>
      </c>
      <c r="Q6163" s="399" t="s">
        <v>125</v>
      </c>
      <c r="R6163" s="399">
        <f t="shared" ref="R6163" si="19976">IF(P6163&gt;0,MAX(VLOOKUP(F6163,$D$6:$G$15,3,FALSE),600),0)/1000</f>
        <v>0</v>
      </c>
      <c r="S6163" s="396"/>
      <c r="T6163" s="396" t="s">
        <v>125</v>
      </c>
      <c r="U6163" s="401">
        <f t="shared" ref="U6163" si="19977">U6162</f>
        <v>1.041885</v>
      </c>
      <c r="V6163" s="396" t="s">
        <v>125</v>
      </c>
      <c r="W6163" s="399">
        <f t="shared" ref="W6163" si="19978">D6163</f>
        <v>3</v>
      </c>
      <c r="X6163" s="399" t="s">
        <v>125</v>
      </c>
      <c r="Y6163" s="389">
        <f t="shared" ref="Y6163" si="19979">Y6162</f>
        <v>1</v>
      </c>
      <c r="Z6163" s="400" t="s">
        <v>176</v>
      </c>
      <c r="AA6163" s="402">
        <f t="shared" ref="AA6163" si="19980">(N6163+P6163*R6163/1000)*U6163*W6163*Y6163</f>
        <v>14.024813984999998</v>
      </c>
      <c r="AB6163" s="403"/>
    </row>
    <row r="6164" spans="1:28">
      <c r="A6164" s="384"/>
      <c r="B6164" s="385"/>
      <c r="C6164" s="393"/>
      <c r="D6164" s="394"/>
      <c r="E6164" s="388"/>
      <c r="F6164" s="388"/>
      <c r="G6164" s="388"/>
      <c r="H6164" s="395"/>
      <c r="I6164" s="388"/>
      <c r="J6164" s="399"/>
      <c r="K6164" s="396"/>
      <c r="L6164" s="396"/>
      <c r="M6164" s="396"/>
      <c r="N6164" s="396"/>
      <c r="O6164" s="396"/>
      <c r="P6164" s="389"/>
      <c r="Q6164" s="396"/>
      <c r="R6164" s="396"/>
      <c r="S6164" s="396"/>
      <c r="T6164" s="396"/>
      <c r="U6164" s="401"/>
      <c r="V6164" s="396"/>
      <c r="W6164" s="388"/>
      <c r="X6164" s="396"/>
      <c r="Y6164" s="389"/>
      <c r="Z6164" s="396"/>
      <c r="AA6164" s="388"/>
      <c r="AB6164" s="390"/>
    </row>
    <row r="6165" spans="1:28">
      <c r="A6165" s="384" t="str">
        <f t="shared" ref="A6165:B6165" si="19981">A6145</f>
        <v>Lantai 3</v>
      </c>
      <c r="B6165" s="385">
        <f t="shared" si="19981"/>
        <v>63</v>
      </c>
      <c r="C6165" s="393" t="s">
        <v>211</v>
      </c>
      <c r="D6165" s="398">
        <f>VLOOKUP(D6145,'Detail Balok'!$C$10:$AU$140,31,FALSE)</f>
        <v>0</v>
      </c>
      <c r="E6165" s="388" t="s">
        <v>16</v>
      </c>
      <c r="F6165" s="388">
        <f>VLOOKUP(D6145,'Detail Balok'!$C$10:$AU$140,33,FALSE)</f>
        <v>10</v>
      </c>
      <c r="G6165" s="405" t="s">
        <v>157</v>
      </c>
      <c r="H6165" s="395">
        <f>VLOOKUP(D6145,'Detail Balok'!$C$10:$AU$140,35,FALSE)</f>
        <v>100</v>
      </c>
      <c r="I6165" s="388"/>
      <c r="J6165" s="400">
        <f t="shared" ref="J6165" si="19982">(IF(D6165=0,(2*(D6146+G6146))-(F$5*8),IF(D6165=3,(2*(D6146+G6146))-(F$5*8)+(G6146-2*F$5),IF(D6165=4,(2*(D6146+G6146))-(F$5*8)+2*(G6146-2*F$5)))))/1000</f>
        <v>0.68</v>
      </c>
      <c r="K6165" s="400" t="s">
        <v>204</v>
      </c>
      <c r="L6165" s="399">
        <f t="shared" ref="L6165:L6167" si="19983">IF(D6165=0,2*MAX(6*F6165,75),(D6165-1)*2*MAX(6*F6165,75))/1000</f>
        <v>0.15</v>
      </c>
      <c r="M6165" s="399" t="s">
        <v>176</v>
      </c>
      <c r="N6165" s="399">
        <f t="shared" ref="N6165:N6167" si="19984">J6165+L6165</f>
        <v>0.83000000000000007</v>
      </c>
      <c r="O6165" s="399"/>
      <c r="P6165" s="389"/>
      <c r="Q6165" s="399"/>
      <c r="R6165" s="399"/>
      <c r="S6165" s="399"/>
      <c r="T6165" s="399" t="s">
        <v>125</v>
      </c>
      <c r="U6165" s="401">
        <f t="shared" ref="U6165:U6167" si="19985">0.006165*F6165^2</f>
        <v>0.61650000000000005</v>
      </c>
      <c r="V6165" s="399" t="s">
        <v>125</v>
      </c>
      <c r="W6165" s="399">
        <f t="shared" ref="W6165" si="19986">IF(D6148&gt;4*G6146,ROUND(MAX(D6148/4,2*G6146)/H6165,0)+1,ROUND(D6148/H6165,0)+1)</f>
        <v>11</v>
      </c>
      <c r="X6165" s="399" t="s">
        <v>125</v>
      </c>
      <c r="Y6165" s="389">
        <f t="shared" ref="Y6165" si="19987">D6151</f>
        <v>1</v>
      </c>
      <c r="Z6165" s="400" t="s">
        <v>176</v>
      </c>
      <c r="AA6165" s="402">
        <f t="shared" ref="AA6165:AA6167" si="19988">N6165*U6165*W6165*Y6165</f>
        <v>5.6286450000000015</v>
      </c>
      <c r="AB6165" s="403"/>
    </row>
    <row r="6166" spans="1:28">
      <c r="A6166" s="384" t="str">
        <f t="shared" ref="A6166:B6166" si="19989">A6145</f>
        <v>Lantai 3</v>
      </c>
      <c r="B6166" s="385">
        <f t="shared" si="19989"/>
        <v>63</v>
      </c>
      <c r="C6166" s="393" t="s">
        <v>212</v>
      </c>
      <c r="D6166" s="398">
        <f>VLOOKUP(D6145,'Detail Balok'!$C$10:$AU$140,36,FALSE)</f>
        <v>0</v>
      </c>
      <c r="E6166" s="388" t="s">
        <v>16</v>
      </c>
      <c r="F6166" s="388">
        <f>VLOOKUP(D6145,'Detail Balok'!$C$10:$AU$140,38,FALSE)</f>
        <v>10</v>
      </c>
      <c r="G6166" s="405" t="s">
        <v>157</v>
      </c>
      <c r="H6166" s="395">
        <f>VLOOKUP(D6145,'Detail Balok'!$C$10:$AU$140,40,FALSE)</f>
        <v>200</v>
      </c>
      <c r="I6166" s="388"/>
      <c r="J6166" s="400">
        <f t="shared" ref="J6166" si="19990">(IF(D6166=0,(2*(D6146+G6146))-(F$5*8),IF(D6166=3,(2*(D6146+G6146))-(F$5*8)+(G6146-2*F$5),IF(D6166=4,(2*(D6146+G6146))-(F$5*8)+2*(G6146-2*F$5)))))/1000</f>
        <v>0.68</v>
      </c>
      <c r="K6166" s="400" t="s">
        <v>204</v>
      </c>
      <c r="L6166" s="399">
        <f t="shared" si="19983"/>
        <v>0.15</v>
      </c>
      <c r="M6166" s="399" t="s">
        <v>176</v>
      </c>
      <c r="N6166" s="399">
        <f t="shared" si="19984"/>
        <v>0.83000000000000007</v>
      </c>
      <c r="O6166" s="399"/>
      <c r="P6166" s="389"/>
      <c r="Q6166" s="399"/>
      <c r="R6166" s="399"/>
      <c r="S6166" s="399"/>
      <c r="T6166" s="399" t="s">
        <v>125</v>
      </c>
      <c r="U6166" s="401">
        <f t="shared" si="19985"/>
        <v>0.61650000000000005</v>
      </c>
      <c r="V6166" s="399" t="s">
        <v>125</v>
      </c>
      <c r="W6166" s="399">
        <f t="shared" ref="W6166" si="19991">IF(D6148-MAX(D6148/4,2*G6146)*2&gt;0,ROUND((D6148-MAX(D6148/4,2*G6146)*2)/H6166,0),0)</f>
        <v>10</v>
      </c>
      <c r="X6166" s="399" t="s">
        <v>125</v>
      </c>
      <c r="Y6166" s="389">
        <f t="shared" ref="Y6166" si="19992">D6151</f>
        <v>1</v>
      </c>
      <c r="Z6166" s="400" t="s">
        <v>176</v>
      </c>
      <c r="AA6166" s="402">
        <f t="shared" si="19988"/>
        <v>5.116950000000001</v>
      </c>
      <c r="AB6166" s="403"/>
    </row>
    <row r="6167" spans="1:28">
      <c r="A6167" s="384" t="str">
        <f t="shared" ref="A6167:B6167" si="19993">A6145</f>
        <v>Lantai 3</v>
      </c>
      <c r="B6167" s="385">
        <f t="shared" si="19993"/>
        <v>63</v>
      </c>
      <c r="C6167" s="393" t="s">
        <v>211</v>
      </c>
      <c r="D6167" s="398">
        <f>VLOOKUP(D6145,'Detail Balok'!$C$10:$AU$140,41,FALSE)</f>
        <v>0</v>
      </c>
      <c r="E6167" s="388" t="s">
        <v>16</v>
      </c>
      <c r="F6167" s="388">
        <f>VLOOKUP(D6145,'Detail Balok'!$C$10:$AU$140,43,FALSE)</f>
        <v>10</v>
      </c>
      <c r="G6167" s="405" t="s">
        <v>157</v>
      </c>
      <c r="H6167" s="395">
        <f>VLOOKUP(D6145,'Detail Balok'!$C$10:$AU$140,45,FALSE)</f>
        <v>100</v>
      </c>
      <c r="I6167" s="388"/>
      <c r="J6167" s="400">
        <f t="shared" ref="J6167" si="19994">(IF(D6167=0,(2*(D6146+G6146))-(F$5*8),IF(D6167=3,(2*(D6146+G6146))-(F$5*8)+(G6146-2*F$5),IF(D6167=4,(2*(D6146+G6146))-(F$5*8)+2*(G6146-2*F$5)))))/1000</f>
        <v>0.68</v>
      </c>
      <c r="K6167" s="400" t="s">
        <v>204</v>
      </c>
      <c r="L6167" s="399">
        <f t="shared" si="19983"/>
        <v>0.15</v>
      </c>
      <c r="M6167" s="399" t="s">
        <v>176</v>
      </c>
      <c r="N6167" s="399">
        <f t="shared" si="19984"/>
        <v>0.83000000000000007</v>
      </c>
      <c r="O6167" s="399"/>
      <c r="P6167" s="389"/>
      <c r="Q6167" s="399"/>
      <c r="R6167" s="399"/>
      <c r="S6167" s="399"/>
      <c r="T6167" s="399" t="s">
        <v>125</v>
      </c>
      <c r="U6167" s="401">
        <f t="shared" si="19985"/>
        <v>0.61650000000000005</v>
      </c>
      <c r="V6167" s="399" t="s">
        <v>125</v>
      </c>
      <c r="W6167" s="399">
        <f t="shared" ref="W6167" si="19995">IF(D6148&gt;4*G6146,ROUND(MAX(D6148/4,2*G6146)/H6167,0)+1,0)</f>
        <v>11</v>
      </c>
      <c r="X6167" s="399" t="s">
        <v>125</v>
      </c>
      <c r="Y6167" s="389">
        <f t="shared" ref="Y6167" si="19996">D6151</f>
        <v>1</v>
      </c>
      <c r="Z6167" s="400" t="s">
        <v>176</v>
      </c>
      <c r="AA6167" s="402">
        <f t="shared" si="19988"/>
        <v>5.6286450000000015</v>
      </c>
      <c r="AB6167" s="403"/>
    </row>
    <row r="6168" spans="1:28">
      <c r="A6168" s="384"/>
      <c r="B6168" s="385"/>
      <c r="C6168" s="393"/>
      <c r="D6168" s="394"/>
      <c r="E6168" s="388"/>
      <c r="F6168" s="388"/>
      <c r="G6168" s="388"/>
      <c r="H6168" s="395"/>
      <c r="I6168" s="388"/>
      <c r="J6168" s="399"/>
      <c r="K6168" s="396"/>
      <c r="L6168" s="396"/>
      <c r="M6168" s="396"/>
      <c r="N6168" s="396"/>
      <c r="O6168" s="396"/>
      <c r="P6168" s="389"/>
      <c r="Q6168" s="396"/>
      <c r="R6168" s="396"/>
      <c r="S6168" s="396"/>
      <c r="T6168" s="396"/>
      <c r="U6168" s="401"/>
      <c r="V6168" s="396"/>
      <c r="W6168" s="388"/>
      <c r="X6168" s="396"/>
      <c r="Y6168" s="389"/>
      <c r="Z6168" s="396"/>
      <c r="AA6168" s="388"/>
      <c r="AB6168" s="390"/>
    </row>
    <row r="6169" spans="1:28">
      <c r="A6169" s="384" t="str">
        <f t="shared" ref="A6169:B6169" si="19997">A6145</f>
        <v>Lantai 3</v>
      </c>
      <c r="B6169" s="385">
        <f t="shared" si="19997"/>
        <v>63</v>
      </c>
      <c r="C6169" s="393" t="s">
        <v>213</v>
      </c>
      <c r="D6169" s="398">
        <f>VLOOKUP(D6145,'Detail Balok'!$C$10:$BJ$140,46,FALSE)</f>
        <v>0</v>
      </c>
      <c r="E6169" s="388" t="s">
        <v>16</v>
      </c>
      <c r="F6169" s="388">
        <f>VLOOKUP(D6145,'Detail Balok'!$C$10:$BJ$140,48,FALSE)</f>
        <v>0</v>
      </c>
      <c r="G6169" s="405" t="s">
        <v>157</v>
      </c>
      <c r="H6169" s="395">
        <f>VLOOKUP(D6145,'Detail Balok'!$C$10:$BJ$140,50,FALSE)</f>
        <v>100</v>
      </c>
      <c r="I6169" s="388"/>
      <c r="J6169" s="399">
        <f t="shared" ref="J6169" si="19998">(D6146-2*F$5)/1000</f>
        <v>0.12</v>
      </c>
      <c r="K6169" s="400" t="s">
        <v>204</v>
      </c>
      <c r="L6169" s="399">
        <f t="shared" ref="L6169:L6171" si="19999">IF(D6169=0,2*MAX(6*F6169,75),(D6169-1)*2*MAX(6*F6169,75))/1000</f>
        <v>0.15</v>
      </c>
      <c r="M6169" s="399" t="s">
        <v>176</v>
      </c>
      <c r="N6169" s="399">
        <f t="shared" ref="N6169:N6171" si="20000">J6169+L6169</f>
        <v>0.27</v>
      </c>
      <c r="O6169" s="399"/>
      <c r="P6169" s="399"/>
      <c r="Q6169" s="399"/>
      <c r="R6169" s="399"/>
      <c r="S6169" s="399"/>
      <c r="T6169" s="399" t="s">
        <v>125</v>
      </c>
      <c r="U6169" s="401">
        <f t="shared" ref="U6169:U6171" si="20001">0.006165*F6169^2</f>
        <v>0</v>
      </c>
      <c r="V6169" s="399" t="s">
        <v>125</v>
      </c>
      <c r="W6169" s="399">
        <f t="shared" ref="W6169:W6171" si="20002">W6165</f>
        <v>11</v>
      </c>
      <c r="X6169" s="399" t="s">
        <v>125</v>
      </c>
      <c r="Y6169" s="389">
        <f t="shared" ref="Y6169" si="20003">D6155</f>
        <v>3</v>
      </c>
      <c r="Z6169" s="400" t="s">
        <v>176</v>
      </c>
      <c r="AA6169" s="402">
        <f t="shared" ref="AA6169:AA6171" si="20004">N6169*U6169*W6169*Y6169</f>
        <v>0</v>
      </c>
      <c r="AB6169" s="403"/>
    </row>
    <row r="6170" spans="1:28">
      <c r="A6170" s="384" t="str">
        <f t="shared" ref="A6170:B6170" si="20005">A6145</f>
        <v>Lantai 3</v>
      </c>
      <c r="B6170" s="385">
        <f t="shared" si="20005"/>
        <v>63</v>
      </c>
      <c r="C6170" s="393" t="s">
        <v>214</v>
      </c>
      <c r="D6170" s="398">
        <f>VLOOKUP(D6145,'Detail Balok'!$C$10:$BJ$140,51,FALSE)</f>
        <v>0</v>
      </c>
      <c r="E6170" s="388" t="s">
        <v>16</v>
      </c>
      <c r="F6170" s="388">
        <f>VLOOKUP(D6145,'Detail Balok'!$C$10:$BJ$140,53,FALSE)</f>
        <v>0</v>
      </c>
      <c r="G6170" s="405" t="s">
        <v>157</v>
      </c>
      <c r="H6170" s="395">
        <f>VLOOKUP(D6145,'Detail Balok'!$C$10:$BJ$140,55,FALSE)</f>
        <v>100</v>
      </c>
      <c r="I6170" s="388"/>
      <c r="J6170" s="399">
        <f t="shared" ref="J6170" si="20006">(D6146-2*F$5)/1000</f>
        <v>0.12</v>
      </c>
      <c r="K6170" s="400" t="s">
        <v>204</v>
      </c>
      <c r="L6170" s="399">
        <f t="shared" si="19999"/>
        <v>0.15</v>
      </c>
      <c r="M6170" s="399" t="s">
        <v>176</v>
      </c>
      <c r="N6170" s="399">
        <f t="shared" si="20000"/>
        <v>0.27</v>
      </c>
      <c r="O6170" s="399"/>
      <c r="P6170" s="399"/>
      <c r="Q6170" s="399"/>
      <c r="R6170" s="399"/>
      <c r="S6170" s="399"/>
      <c r="T6170" s="399" t="s">
        <v>125</v>
      </c>
      <c r="U6170" s="401">
        <f t="shared" si="20001"/>
        <v>0</v>
      </c>
      <c r="V6170" s="399" t="s">
        <v>125</v>
      </c>
      <c r="W6170" s="399">
        <f t="shared" si="20002"/>
        <v>10</v>
      </c>
      <c r="X6170" s="399" t="s">
        <v>125</v>
      </c>
      <c r="Y6170" s="389">
        <f t="shared" ref="Y6170" si="20007">D6155</f>
        <v>3</v>
      </c>
      <c r="Z6170" s="400" t="s">
        <v>176</v>
      </c>
      <c r="AA6170" s="402">
        <f t="shared" si="20004"/>
        <v>0</v>
      </c>
      <c r="AB6170" s="403"/>
    </row>
    <row r="6171" spans="1:28">
      <c r="A6171" s="384" t="str">
        <f t="shared" ref="A6171:B6171" si="20008">A6145</f>
        <v>Lantai 3</v>
      </c>
      <c r="B6171" s="385">
        <f t="shared" si="20008"/>
        <v>63</v>
      </c>
      <c r="C6171" s="393" t="s">
        <v>213</v>
      </c>
      <c r="D6171" s="398">
        <f>VLOOKUP(D6145,'Detail Balok'!$C$10:$BJ$140,56,FALSE)</f>
        <v>0</v>
      </c>
      <c r="E6171" s="388" t="s">
        <v>16</v>
      </c>
      <c r="F6171" s="388">
        <f>VLOOKUP(D6145,'Detail Balok'!$C$10:$BJ$140,58,FALSE)</f>
        <v>0</v>
      </c>
      <c r="G6171" s="405" t="s">
        <v>157</v>
      </c>
      <c r="H6171" s="395">
        <f>VLOOKUP(D6145,'Detail Balok'!$C$10:$BJ$140,60,FALSE)</f>
        <v>100</v>
      </c>
      <c r="I6171" s="388"/>
      <c r="J6171" s="399">
        <f t="shared" ref="J6171" si="20009">(D6146-2*F$5)/1000</f>
        <v>0.12</v>
      </c>
      <c r="K6171" s="400" t="s">
        <v>204</v>
      </c>
      <c r="L6171" s="399">
        <f t="shared" si="19999"/>
        <v>0.15</v>
      </c>
      <c r="M6171" s="399" t="s">
        <v>176</v>
      </c>
      <c r="N6171" s="399">
        <f t="shared" si="20000"/>
        <v>0.27</v>
      </c>
      <c r="O6171" s="399"/>
      <c r="P6171" s="399"/>
      <c r="Q6171" s="399"/>
      <c r="R6171" s="399"/>
      <c r="S6171" s="399"/>
      <c r="T6171" s="399" t="s">
        <v>125</v>
      </c>
      <c r="U6171" s="401">
        <f t="shared" si="20001"/>
        <v>0</v>
      </c>
      <c r="V6171" s="399" t="s">
        <v>125</v>
      </c>
      <c r="W6171" s="399">
        <f t="shared" si="20002"/>
        <v>11</v>
      </c>
      <c r="X6171" s="399" t="s">
        <v>125</v>
      </c>
      <c r="Y6171" s="389">
        <f t="shared" ref="Y6171" si="20010">D6155</f>
        <v>3</v>
      </c>
      <c r="Z6171" s="400" t="s">
        <v>176</v>
      </c>
      <c r="AA6171" s="402">
        <f t="shared" si="20004"/>
        <v>0</v>
      </c>
      <c r="AB6171" s="403"/>
    </row>
    <row r="6172" spans="1:28">
      <c r="A6172" s="391"/>
      <c r="B6172" s="392"/>
      <c r="C6172" s="392"/>
      <c r="D6172" s="394"/>
      <c r="E6172" s="388"/>
      <c r="F6172" s="388"/>
      <c r="G6172" s="388"/>
      <c r="H6172" s="395"/>
      <c r="I6172" s="388"/>
      <c r="J6172" s="402"/>
      <c r="K6172" s="388"/>
      <c r="L6172" s="388"/>
      <c r="M6172" s="388"/>
      <c r="N6172" s="388"/>
      <c r="O6172" s="388"/>
      <c r="P6172" s="388"/>
      <c r="Q6172" s="388"/>
      <c r="R6172" s="388"/>
      <c r="S6172" s="388"/>
      <c r="T6172" s="388"/>
      <c r="U6172" s="388"/>
      <c r="V6172" s="388"/>
      <c r="W6172" s="388"/>
      <c r="X6172" s="388"/>
      <c r="Y6172" s="389"/>
      <c r="Z6172" s="388"/>
      <c r="AA6172" s="402"/>
      <c r="AB6172" s="403"/>
    </row>
    <row r="6173" spans="1:28" ht="15.75" thickBot="1">
      <c r="A6173" s="406"/>
      <c r="B6173" s="407"/>
      <c r="C6173" s="407"/>
      <c r="D6173" s="408"/>
      <c r="E6173" s="409"/>
      <c r="F6173" s="409"/>
      <c r="G6173" s="409"/>
      <c r="H6173" s="410"/>
      <c r="I6173" s="409"/>
      <c r="J6173" s="409"/>
      <c r="K6173" s="409"/>
      <c r="L6173" s="409"/>
      <c r="M6173" s="409"/>
      <c r="N6173" s="409"/>
      <c r="O6173" s="409"/>
      <c r="P6173" s="409"/>
      <c r="Q6173" s="409"/>
      <c r="R6173" s="409"/>
      <c r="S6173" s="409"/>
      <c r="T6173" s="409"/>
      <c r="U6173" s="409"/>
      <c r="V6173" s="409"/>
      <c r="W6173" s="409"/>
      <c r="X6173" s="409"/>
      <c r="Y6173" s="411"/>
      <c r="Z6173" s="409"/>
      <c r="AA6173" s="412"/>
      <c r="AB6173" s="413"/>
    </row>
    <row r="6174" spans="1:28">
      <c r="A6174" s="377"/>
      <c r="B6174" s="378"/>
      <c r="C6174" s="378"/>
      <c r="D6174" s="379"/>
      <c r="E6174" s="380"/>
      <c r="F6174" s="380"/>
      <c r="G6174" s="380"/>
      <c r="H6174" s="381"/>
      <c r="I6174" s="380"/>
      <c r="J6174" s="380"/>
      <c r="K6174" s="380"/>
      <c r="L6174" s="380"/>
      <c r="M6174" s="380"/>
      <c r="N6174" s="380"/>
      <c r="O6174" s="380"/>
      <c r="P6174" s="380"/>
      <c r="Q6174" s="380"/>
      <c r="R6174" s="380"/>
      <c r="S6174" s="380"/>
      <c r="T6174" s="380"/>
      <c r="U6174" s="380"/>
      <c r="V6174" s="380"/>
      <c r="W6174" s="380"/>
      <c r="X6174" s="380"/>
      <c r="Y6174" s="382"/>
      <c r="Z6174" s="380"/>
      <c r="AA6174" s="380"/>
      <c r="AB6174" s="383"/>
    </row>
    <row r="6175" spans="1:28">
      <c r="A6175" s="384" t="str">
        <f t="shared" ref="A6175" si="20011">A6145</f>
        <v>Lantai 3</v>
      </c>
      <c r="B6175" s="385">
        <f t="shared" ref="B6175" si="20012">B6145+1</f>
        <v>64</v>
      </c>
      <c r="C6175" s="386" t="str">
        <f t="shared" ref="C6175" si="20013">CONCATENATE(A6175," no. ",B6175)</f>
        <v>Lantai 3 no. 64</v>
      </c>
      <c r="D6175" s="2562" t="str">
        <f>VLOOKUP(C6175,'Data Panjang Balok'!$C$9:$N$254,2,FALSE)</f>
        <v>B4-1</v>
      </c>
      <c r="E6175" s="2576"/>
      <c r="F6175" s="2576"/>
      <c r="G6175" s="2576"/>
      <c r="H6175" s="2577"/>
      <c r="I6175" s="387"/>
      <c r="J6175" s="388"/>
      <c r="K6175" s="388"/>
      <c r="L6175" s="388"/>
      <c r="M6175" s="388"/>
      <c r="N6175" s="388"/>
      <c r="O6175" s="388"/>
      <c r="P6175" s="388"/>
      <c r="Q6175" s="388"/>
      <c r="R6175" s="388"/>
      <c r="S6175" s="388"/>
      <c r="T6175" s="388"/>
      <c r="U6175" s="388"/>
      <c r="V6175" s="388"/>
      <c r="W6175" s="388"/>
      <c r="X6175" s="388"/>
      <c r="Y6175" s="389"/>
      <c r="Z6175" s="388"/>
      <c r="AA6175" s="388"/>
      <c r="AB6175" s="390"/>
    </row>
    <row r="6176" spans="1:28">
      <c r="A6176" s="391"/>
      <c r="B6176" s="392"/>
      <c r="C6176" s="393" t="s">
        <v>118</v>
      </c>
      <c r="D6176" s="2578">
        <f>VLOOKUP(D6175,'Detail Balok'!$C$10:$AU$140,2,FALSE)</f>
        <v>130</v>
      </c>
      <c r="E6176" s="2579"/>
      <c r="F6176" s="388" t="s">
        <v>125</v>
      </c>
      <c r="G6176" s="2579">
        <f>VLOOKUP(D6175,'Detail Balok'!$C$10:$AU$140,3,FALSE)</f>
        <v>400</v>
      </c>
      <c r="H6176" s="2580"/>
      <c r="I6176" s="388"/>
      <c r="J6176" s="396"/>
      <c r="K6176" s="396"/>
      <c r="L6176" s="396"/>
      <c r="M6176" s="396"/>
      <c r="N6176" s="396"/>
      <c r="O6176" s="396"/>
      <c r="P6176" s="396"/>
      <c r="Q6176" s="396"/>
      <c r="R6176" s="396"/>
      <c r="S6176" s="396"/>
      <c r="T6176" s="396"/>
      <c r="U6176" s="388"/>
      <c r="V6176" s="396"/>
      <c r="W6176" s="388"/>
      <c r="X6176" s="396"/>
      <c r="Y6176" s="389"/>
      <c r="Z6176" s="396"/>
      <c r="AA6176" s="388"/>
      <c r="AB6176" s="390"/>
    </row>
    <row r="6177" spans="1:28">
      <c r="A6177" s="391"/>
      <c r="B6177" s="392"/>
      <c r="C6177" s="393" t="s">
        <v>198</v>
      </c>
      <c r="D6177" s="2562">
        <f>VLOOKUP(C6175,'Data Panjang Balok'!$C$9:$N$254,4,FALSE)</f>
        <v>6570</v>
      </c>
      <c r="E6177" s="2563"/>
      <c r="F6177" s="2563"/>
      <c r="G6177" s="2563"/>
      <c r="H6177" s="2564"/>
      <c r="I6177" s="397"/>
      <c r="J6177" s="396"/>
      <c r="K6177" s="396"/>
      <c r="L6177" s="396"/>
      <c r="M6177" s="396"/>
      <c r="N6177" s="396"/>
      <c r="O6177" s="396"/>
      <c r="P6177" s="396"/>
      <c r="Q6177" s="396"/>
      <c r="R6177" s="396"/>
      <c r="S6177" s="396"/>
      <c r="T6177" s="396"/>
      <c r="U6177" s="388"/>
      <c r="V6177" s="396"/>
      <c r="W6177" s="388"/>
      <c r="X6177" s="396"/>
      <c r="Y6177" s="389"/>
      <c r="Z6177" s="396"/>
      <c r="AA6177" s="388"/>
      <c r="AB6177" s="390"/>
    </row>
    <row r="6178" spans="1:28">
      <c r="A6178" s="391"/>
      <c r="B6178" s="392"/>
      <c r="C6178" s="393" t="s">
        <v>199</v>
      </c>
      <c r="D6178" s="2562">
        <f>VLOOKUP(C6175,'Data Panjang Balok'!$C$9:$N$254,7,FALSE)</f>
        <v>6570</v>
      </c>
      <c r="E6178" s="2563"/>
      <c r="F6178" s="2563"/>
      <c r="G6178" s="2563"/>
      <c r="H6178" s="2564"/>
      <c r="I6178" s="397"/>
      <c r="J6178" s="396"/>
      <c r="K6178" s="396"/>
      <c r="L6178" s="396"/>
      <c r="M6178" s="396"/>
      <c r="N6178" s="396"/>
      <c r="O6178" s="396"/>
      <c r="P6178" s="396"/>
      <c r="Q6178" s="396"/>
      <c r="R6178" s="396"/>
      <c r="S6178" s="396"/>
      <c r="T6178" s="396"/>
      <c r="U6178" s="388"/>
      <c r="V6178" s="396"/>
      <c r="W6178" s="388"/>
      <c r="X6178" s="396"/>
      <c r="Y6178" s="389"/>
      <c r="Z6178" s="396"/>
      <c r="AA6178" s="388"/>
      <c r="AB6178" s="390"/>
    </row>
    <row r="6179" spans="1:28">
      <c r="A6179" s="391"/>
      <c r="B6179" s="392"/>
      <c r="C6179" s="393" t="s">
        <v>200</v>
      </c>
      <c r="D6179" s="2562">
        <f>VLOOKUP(C6175,'Data Panjang Balok'!$C$9:$N$254,9,FALSE)</f>
        <v>0</v>
      </c>
      <c r="E6179" s="2563"/>
      <c r="F6179" s="2563"/>
      <c r="G6179" s="2563"/>
      <c r="H6179" s="2564"/>
      <c r="I6179" s="397"/>
      <c r="J6179" s="396"/>
      <c r="K6179" s="396"/>
      <c r="L6179" s="396"/>
      <c r="M6179" s="396"/>
      <c r="N6179" s="396"/>
      <c r="O6179" s="396"/>
      <c r="P6179" s="396"/>
      <c r="Q6179" s="396"/>
      <c r="R6179" s="396"/>
      <c r="S6179" s="396"/>
      <c r="T6179" s="396"/>
      <c r="U6179" s="388"/>
      <c r="V6179" s="396"/>
      <c r="W6179" s="388"/>
      <c r="X6179" s="396"/>
      <c r="Y6179" s="389"/>
      <c r="Z6179" s="396"/>
      <c r="AA6179" s="388"/>
      <c r="AB6179" s="390"/>
    </row>
    <row r="6180" spans="1:28">
      <c r="A6180" s="391"/>
      <c r="B6180" s="392"/>
      <c r="C6180" s="393" t="s">
        <v>201</v>
      </c>
      <c r="D6180" s="2562">
        <f>VLOOKUP(C6175,'Data Panjang Balok'!$C$9:$N$254,10,FALSE)</f>
        <v>0</v>
      </c>
      <c r="E6180" s="2563"/>
      <c r="F6180" s="2563"/>
      <c r="G6180" s="2563"/>
      <c r="H6180" s="2564"/>
      <c r="I6180" s="397"/>
      <c r="J6180" s="396"/>
      <c r="K6180" s="396"/>
      <c r="L6180" s="396"/>
      <c r="M6180" s="396"/>
      <c r="N6180" s="396"/>
      <c r="O6180" s="396"/>
      <c r="P6180" s="396"/>
      <c r="Q6180" s="396"/>
      <c r="R6180" s="396"/>
      <c r="S6180" s="396"/>
      <c r="T6180" s="396"/>
      <c r="U6180" s="388"/>
      <c r="V6180" s="396"/>
      <c r="W6180" s="388"/>
      <c r="X6180" s="396"/>
      <c r="Y6180" s="389"/>
      <c r="Z6180" s="396"/>
      <c r="AA6180" s="388"/>
      <c r="AB6180" s="390"/>
    </row>
    <row r="6181" spans="1:28">
      <c r="A6181" s="391"/>
      <c r="B6181" s="392"/>
      <c r="C6181" s="393" t="s">
        <v>48</v>
      </c>
      <c r="D6181" s="2562">
        <f>VLOOKUP(C6175,'Data Panjang Balok'!$C$9:$N$254,3,FALSE)</f>
        <v>1</v>
      </c>
      <c r="E6181" s="2563"/>
      <c r="F6181" s="2563"/>
      <c r="G6181" s="2563"/>
      <c r="H6181" s="2564"/>
      <c r="I6181" s="397"/>
      <c r="J6181" s="396"/>
      <c r="K6181" s="396"/>
      <c r="L6181" s="396"/>
      <c r="M6181" s="396"/>
      <c r="N6181" s="396"/>
      <c r="O6181" s="396"/>
      <c r="P6181" s="396"/>
      <c r="Q6181" s="396"/>
      <c r="R6181" s="396"/>
      <c r="S6181" s="396"/>
      <c r="T6181" s="396"/>
      <c r="U6181" s="388"/>
      <c r="V6181" s="396"/>
      <c r="W6181" s="388"/>
      <c r="X6181" s="396"/>
      <c r="Y6181" s="389"/>
      <c r="Z6181" s="396"/>
      <c r="AA6181" s="388"/>
      <c r="AB6181" s="390"/>
    </row>
    <row r="6182" spans="1:28">
      <c r="A6182" s="384" t="str">
        <f t="shared" ref="A6182:B6182" si="20014">A6175</f>
        <v>Lantai 3</v>
      </c>
      <c r="B6182" s="385">
        <f t="shared" si="20014"/>
        <v>64</v>
      </c>
      <c r="C6182" s="393" t="s">
        <v>202</v>
      </c>
      <c r="D6182" s="398">
        <f>VLOOKUP(D6175,'Detail Balok'!$C$10:$AU$140,4,FALSE)</f>
        <v>2</v>
      </c>
      <c r="E6182" s="388" t="s">
        <v>16</v>
      </c>
      <c r="F6182" s="388">
        <f>VLOOKUP(D6175,'Detail Balok'!$C$10:$AU$140,6,FALSE)</f>
        <v>13</v>
      </c>
      <c r="G6182" s="388"/>
      <c r="H6182" s="395"/>
      <c r="I6182" s="388" t="s">
        <v>203</v>
      </c>
      <c r="J6182" s="399">
        <f t="shared" ref="J6182" si="20015">+D6177/4/1000</f>
        <v>1.6425000000000001</v>
      </c>
      <c r="K6182" s="400" t="s">
        <v>204</v>
      </c>
      <c r="L6182" s="399">
        <f t="shared" ref="L6182" si="20016">MAX(VLOOKUP(F6182,N$6:P$15,3,FALSE)/1000,2/3*D6179/1000)+F$16*F6182/1000</f>
        <v>0.156</v>
      </c>
      <c r="M6182" s="399" t="s">
        <v>176</v>
      </c>
      <c r="N6182" s="399">
        <f t="shared" ref="N6182:N6184" si="20017">J6182+L6182</f>
        <v>1.7985</v>
      </c>
      <c r="O6182" s="399" t="s">
        <v>204</v>
      </c>
      <c r="P6182" s="389">
        <f t="shared" ref="P6182" si="20018">D6182-D6183</f>
        <v>0</v>
      </c>
      <c r="Q6182" s="399" t="s">
        <v>125</v>
      </c>
      <c r="R6182" s="399">
        <f t="shared" ref="R6182" si="20019">IF(P6182&gt;0,$F$18*F6182/1000,0)</f>
        <v>0</v>
      </c>
      <c r="S6182" s="399" t="s">
        <v>205</v>
      </c>
      <c r="T6182" s="399" t="s">
        <v>125</v>
      </c>
      <c r="U6182" s="401">
        <f t="shared" ref="U6182:U6184" si="20020">0.006165*F6182^2</f>
        <v>1.041885</v>
      </c>
      <c r="V6182" s="399"/>
      <c r="W6182" s="399"/>
      <c r="X6182" s="399" t="s">
        <v>125</v>
      </c>
      <c r="Y6182" s="389">
        <f t="shared" ref="Y6182" si="20021">D6181</f>
        <v>1</v>
      </c>
      <c r="Z6182" s="400" t="s">
        <v>176</v>
      </c>
      <c r="AA6182" s="402">
        <f t="shared" ref="AA6182" si="20022">IF(AA6185=0,(D6182*N6182+P6182*R6182)*U6182*Y6182,0)</f>
        <v>0</v>
      </c>
      <c r="AB6182" s="403"/>
    </row>
    <row r="6183" spans="1:28">
      <c r="A6183" s="384" t="str">
        <f t="shared" ref="A6183:B6183" si="20023">A6175</f>
        <v>Lantai 3</v>
      </c>
      <c r="B6183" s="385">
        <f t="shared" si="20023"/>
        <v>64</v>
      </c>
      <c r="C6183" s="393" t="s">
        <v>206</v>
      </c>
      <c r="D6183" s="398">
        <f>VLOOKUP(D6175,'Detail Balok'!$C$10:$AU$140,7,FALSE)</f>
        <v>2</v>
      </c>
      <c r="E6183" s="388" t="s">
        <v>16</v>
      </c>
      <c r="F6183" s="388">
        <f>VLOOKUP(D6175,'Detail Balok'!$C$10:$AU$140,9,FALSE)</f>
        <v>13</v>
      </c>
      <c r="G6183" s="388"/>
      <c r="H6183" s="395"/>
      <c r="I6183" s="388" t="s">
        <v>203</v>
      </c>
      <c r="J6183" s="399">
        <f t="shared" ref="J6183" si="20024">+D6177/2/1000</f>
        <v>3.2850000000000001</v>
      </c>
      <c r="K6183" s="400" t="s">
        <v>204</v>
      </c>
      <c r="L6183" s="399"/>
      <c r="M6183" s="399" t="s">
        <v>176</v>
      </c>
      <c r="N6183" s="399">
        <f t="shared" si="20017"/>
        <v>3.2850000000000001</v>
      </c>
      <c r="O6183" s="399" t="s">
        <v>204</v>
      </c>
      <c r="P6183" s="389">
        <f t="shared" ref="P6183" si="20025">MAX(D6183-D6182,D6183-D6184)</f>
        <v>0</v>
      </c>
      <c r="Q6183" s="399" t="s">
        <v>125</v>
      </c>
      <c r="R6183" s="399">
        <f t="shared" ref="R6183" si="20026">IF(P6183&gt;0,2*(1-2*$F$19-1/2)*D6178/1000,0)</f>
        <v>0</v>
      </c>
      <c r="S6183" s="399" t="s">
        <v>205</v>
      </c>
      <c r="T6183" s="399" t="s">
        <v>125</v>
      </c>
      <c r="U6183" s="401">
        <f t="shared" si="20020"/>
        <v>1.041885</v>
      </c>
      <c r="V6183" s="399"/>
      <c r="W6183" s="399"/>
      <c r="X6183" s="399" t="s">
        <v>125</v>
      </c>
      <c r="Y6183" s="389">
        <f t="shared" ref="Y6183" si="20027">D6181</f>
        <v>1</v>
      </c>
      <c r="Z6183" s="400" t="s">
        <v>176</v>
      </c>
      <c r="AA6183" s="402">
        <f t="shared" ref="AA6183" si="20028">IF(AA6185=0,(D6183*N6183+P6183*R6183)*U6183*Y6183,0)</f>
        <v>0</v>
      </c>
      <c r="AB6183" s="403"/>
    </row>
    <row r="6184" spans="1:28">
      <c r="A6184" s="384" t="str">
        <f t="shared" ref="A6184:B6184" si="20029">A6175</f>
        <v>Lantai 3</v>
      </c>
      <c r="B6184" s="385">
        <f t="shared" si="20029"/>
        <v>64</v>
      </c>
      <c r="C6184" s="393" t="s">
        <v>202</v>
      </c>
      <c r="D6184" s="398">
        <f>VLOOKUP(D6175,'Detail Balok'!$C$10:$AU$140,10,FALSE)</f>
        <v>2</v>
      </c>
      <c r="E6184" s="388" t="s">
        <v>16</v>
      </c>
      <c r="F6184" s="388">
        <f>VLOOKUP(D6175,'Detail Balok'!$C$10:$AU$140,12,FALSE)</f>
        <v>13</v>
      </c>
      <c r="G6184" s="388"/>
      <c r="H6184" s="395"/>
      <c r="I6184" s="388" t="s">
        <v>203</v>
      </c>
      <c r="J6184" s="399">
        <f t="shared" ref="J6184" si="20030">+D6177/4/1000</f>
        <v>1.6425000000000001</v>
      </c>
      <c r="K6184" s="400" t="s">
        <v>204</v>
      </c>
      <c r="L6184" s="399">
        <f t="shared" ref="L6184" si="20031">MAX(VLOOKUP(F6184,N$6:P$15,3,FALSE)/1000,2/3*D6179/1000)+F$16*F6184/1000</f>
        <v>0.156</v>
      </c>
      <c r="M6184" s="399" t="s">
        <v>176</v>
      </c>
      <c r="N6184" s="399">
        <f t="shared" si="20017"/>
        <v>1.7985</v>
      </c>
      <c r="O6184" s="399" t="s">
        <v>204</v>
      </c>
      <c r="P6184" s="389">
        <f t="shared" ref="P6184" si="20032">D6184-D6183</f>
        <v>0</v>
      </c>
      <c r="Q6184" s="399" t="s">
        <v>125</v>
      </c>
      <c r="R6184" s="399">
        <f t="shared" ref="R6184" si="20033">IF(P6184&gt;0,$F$18*F6184/1000,0)</f>
        <v>0</v>
      </c>
      <c r="S6184" s="399" t="s">
        <v>205</v>
      </c>
      <c r="T6184" s="399" t="s">
        <v>125</v>
      </c>
      <c r="U6184" s="401">
        <f t="shared" si="20020"/>
        <v>1.041885</v>
      </c>
      <c r="V6184" s="399"/>
      <c r="W6184" s="399"/>
      <c r="X6184" s="399" t="s">
        <v>125</v>
      </c>
      <c r="Y6184" s="389">
        <f t="shared" ref="Y6184" si="20034">D6181</f>
        <v>1</v>
      </c>
      <c r="Z6184" s="400" t="s">
        <v>176</v>
      </c>
      <c r="AA6184" s="402">
        <f t="shared" ref="AA6184" si="20035">IF(AA6185=0,(D6184*N6184+P6184*R6184)*U6184*Y6184,0)</f>
        <v>0</v>
      </c>
      <c r="AB6184" s="403"/>
    </row>
    <row r="6185" spans="1:28">
      <c r="A6185" s="384" t="str">
        <f t="shared" ref="A6185:B6185" si="20036">A6175</f>
        <v>Lantai 3</v>
      </c>
      <c r="B6185" s="385">
        <f t="shared" si="20036"/>
        <v>64</v>
      </c>
      <c r="C6185" s="393"/>
      <c r="D6185" s="398">
        <f t="shared" ref="D6185" si="20037">IF(AND(D6182=D6183,D6183=D6184,D6182=D6184),D6182,0)</f>
        <v>2</v>
      </c>
      <c r="E6185" s="388" t="s">
        <v>16</v>
      </c>
      <c r="F6185" s="388">
        <f t="shared" ref="F6185" si="20038">IF(AND(F6182=F6183,F6182=F6184,F6183=F6184),F6182,0)</f>
        <v>13</v>
      </c>
      <c r="G6185" s="388"/>
      <c r="H6185" s="395"/>
      <c r="I6185" s="388"/>
      <c r="J6185" s="396"/>
      <c r="K6185" s="396"/>
      <c r="L6185" s="404" t="s">
        <v>207</v>
      </c>
      <c r="M6185" s="399" t="s">
        <v>176</v>
      </c>
      <c r="N6185" s="399">
        <f t="shared" ref="N6185" si="20039">IF(AND(D6182=D6183,D6182=D6184,D6183=D6184,F6182=F6183,F6182=F6184,F6183=F6184),SUM(N6182:N6184),0)</f>
        <v>6.8819999999999997</v>
      </c>
      <c r="O6185" s="399" t="s">
        <v>204</v>
      </c>
      <c r="P6185" s="389">
        <f t="shared" ref="P6185" si="20040">IF(N6185&gt;12,ROUNDDOWN(N6185/12,0),0)</f>
        <v>0</v>
      </c>
      <c r="Q6185" s="399" t="s">
        <v>125</v>
      </c>
      <c r="R6185" s="399">
        <f t="shared" ref="R6185" si="20041">IF(P6185&gt;0,MAX(VLOOKUP(F6185,$D$6:$G$15,3,FALSE),600),0)/1000</f>
        <v>0</v>
      </c>
      <c r="S6185" s="396"/>
      <c r="T6185" s="396" t="s">
        <v>125</v>
      </c>
      <c r="U6185" s="401">
        <f t="shared" ref="U6185" si="20042">U6184</f>
        <v>1.041885</v>
      </c>
      <c r="V6185" s="396" t="s">
        <v>125</v>
      </c>
      <c r="W6185" s="399">
        <f t="shared" ref="W6185" si="20043">D6185</f>
        <v>2</v>
      </c>
      <c r="X6185" s="399" t="s">
        <v>125</v>
      </c>
      <c r="Y6185" s="389">
        <f t="shared" ref="Y6185" si="20044">Y6184</f>
        <v>1</v>
      </c>
      <c r="Z6185" s="400" t="s">
        <v>176</v>
      </c>
      <c r="AA6185" s="402">
        <f t="shared" ref="AA6185" si="20045">(N6185+P6185*R6185/1000)*U6185*W6185*Y6185</f>
        <v>14.340505139999999</v>
      </c>
      <c r="AB6185" s="390"/>
    </row>
    <row r="6186" spans="1:28">
      <c r="A6186" s="384"/>
      <c r="B6186" s="385"/>
      <c r="C6186" s="393"/>
      <c r="D6186" s="398"/>
      <c r="E6186" s="388"/>
      <c r="F6186" s="388"/>
      <c r="G6186" s="388"/>
      <c r="H6186" s="395"/>
      <c r="I6186" s="388"/>
      <c r="J6186" s="396"/>
      <c r="K6186" s="396"/>
      <c r="L6186" s="404"/>
      <c r="M6186" s="399"/>
      <c r="N6186" s="399"/>
      <c r="O6186" s="396"/>
      <c r="P6186" s="389"/>
      <c r="Q6186" s="396"/>
      <c r="R6186" s="396"/>
      <c r="S6186" s="396"/>
      <c r="T6186" s="396"/>
      <c r="U6186" s="401"/>
      <c r="V6186" s="396"/>
      <c r="W6186" s="399"/>
      <c r="X6186" s="396"/>
      <c r="Y6186" s="389"/>
      <c r="Z6186" s="396"/>
      <c r="AA6186" s="388"/>
      <c r="AB6186" s="390"/>
    </row>
    <row r="6187" spans="1:28">
      <c r="A6187" s="384" t="str">
        <f t="shared" ref="A6187:B6187" si="20046">A6175</f>
        <v>Lantai 3</v>
      </c>
      <c r="B6187" s="385">
        <f t="shared" si="20046"/>
        <v>64</v>
      </c>
      <c r="C6187" s="393" t="s">
        <v>208</v>
      </c>
      <c r="D6187" s="398">
        <f>VLOOKUP(D6175,'Detail Balok'!$C$10:$AU$140,13,FALSE)</f>
        <v>0</v>
      </c>
      <c r="E6187" s="388" t="s">
        <v>16</v>
      </c>
      <c r="F6187" s="388">
        <f>VLOOKUP(D6175,'Detail Balok'!$C$10:$AU$140,15,FALSE)</f>
        <v>8</v>
      </c>
      <c r="G6187" s="388"/>
      <c r="H6187" s="395"/>
      <c r="I6187" s="388"/>
      <c r="J6187" s="399">
        <f t="shared" ref="J6187" si="20047">+D6177/1000</f>
        <v>6.57</v>
      </c>
      <c r="K6187" s="400" t="s">
        <v>204</v>
      </c>
      <c r="L6187" s="399">
        <f t="shared" ref="L6187" si="20048">2*$F$16*F6187/1000</f>
        <v>0.192</v>
      </c>
      <c r="M6187" s="399" t="s">
        <v>176</v>
      </c>
      <c r="N6187" s="399">
        <f t="shared" ref="N6187" si="20049">J6187+L6187</f>
        <v>6.7620000000000005</v>
      </c>
      <c r="O6187" s="399" t="s">
        <v>204</v>
      </c>
      <c r="P6187" s="389">
        <f t="shared" ref="P6187" si="20050">IF(N6187&gt;12,ROUNDDOWN(N6187/12,0),0)</f>
        <v>0</v>
      </c>
      <c r="Q6187" s="399" t="s">
        <v>125</v>
      </c>
      <c r="R6187" s="399">
        <f t="shared" ref="R6187" si="20051">IF(P6187&gt;0,MAX(VLOOKUP(F6187,$D$6:$G$15,3,FALSE),600),0)/1000</f>
        <v>0</v>
      </c>
      <c r="S6187" s="399"/>
      <c r="T6187" s="399" t="s">
        <v>125</v>
      </c>
      <c r="U6187" s="401">
        <f t="shared" ref="U6187" si="20052">0.006165*F6187^2</f>
        <v>0.39456000000000002</v>
      </c>
      <c r="V6187" s="399" t="s">
        <v>125</v>
      </c>
      <c r="W6187" s="399">
        <f t="shared" ref="W6187" si="20053">+D6187</f>
        <v>0</v>
      </c>
      <c r="X6187" s="399" t="s">
        <v>125</v>
      </c>
      <c r="Y6187" s="389">
        <f t="shared" ref="Y6187" si="20054">D6181</f>
        <v>1</v>
      </c>
      <c r="Z6187" s="400" t="s">
        <v>176</v>
      </c>
      <c r="AA6187" s="402">
        <f t="shared" ref="AA6187" si="20055">(N6187+P6187*R6187/1000)*U6187*W6187*Y6187</f>
        <v>0</v>
      </c>
      <c r="AB6187" s="403"/>
    </row>
    <row r="6188" spans="1:28">
      <c r="A6188" s="384"/>
      <c r="B6188" s="385"/>
      <c r="C6188" s="393"/>
      <c r="D6188" s="398"/>
      <c r="E6188" s="388"/>
      <c r="F6188" s="388"/>
      <c r="G6188" s="388"/>
      <c r="H6188" s="395"/>
      <c r="I6188" s="388"/>
      <c r="J6188" s="399"/>
      <c r="K6188" s="400"/>
      <c r="L6188" s="399"/>
      <c r="M6188" s="399"/>
      <c r="N6188" s="399"/>
      <c r="O6188" s="399"/>
      <c r="P6188" s="389"/>
      <c r="Q6188" s="399"/>
      <c r="R6188" s="399"/>
      <c r="S6188" s="399"/>
      <c r="T6188" s="399"/>
      <c r="U6188" s="401"/>
      <c r="V6188" s="399"/>
      <c r="W6188" s="399"/>
      <c r="X6188" s="399"/>
      <c r="Y6188" s="389"/>
      <c r="Z6188" s="400"/>
      <c r="AA6188" s="402"/>
      <c r="AB6188" s="403"/>
    </row>
    <row r="6189" spans="1:28">
      <c r="A6189" s="384"/>
      <c r="B6189" s="385"/>
      <c r="C6189" s="393"/>
      <c r="D6189" s="398"/>
      <c r="E6189" s="388"/>
      <c r="F6189" s="388"/>
      <c r="G6189" s="388"/>
      <c r="H6189" s="395"/>
      <c r="I6189" s="388"/>
      <c r="J6189" s="396"/>
      <c r="K6189" s="396"/>
      <c r="L6189" s="396"/>
      <c r="M6189" s="396"/>
      <c r="N6189" s="396"/>
      <c r="O6189" s="396"/>
      <c r="P6189" s="389"/>
      <c r="Q6189" s="396"/>
      <c r="R6189" s="396"/>
      <c r="S6189" s="396"/>
      <c r="T6189" s="396"/>
      <c r="U6189" s="401"/>
      <c r="V6189" s="396"/>
      <c r="W6189" s="399"/>
      <c r="X6189" s="396"/>
      <c r="Y6189" s="389"/>
      <c r="Z6189" s="396"/>
      <c r="AA6189" s="388"/>
      <c r="AB6189" s="390"/>
    </row>
    <row r="6190" spans="1:28">
      <c r="A6190" s="384" t="str">
        <f t="shared" ref="A6190:B6190" si="20056">A6175</f>
        <v>Lantai 3</v>
      </c>
      <c r="B6190" s="385">
        <f t="shared" si="20056"/>
        <v>64</v>
      </c>
      <c r="C6190" s="393" t="s">
        <v>209</v>
      </c>
      <c r="D6190" s="398">
        <f>VLOOKUP(D6175,'Detail Balok'!$C$10:$AU$140,22,FALSE)</f>
        <v>2</v>
      </c>
      <c r="E6190" s="388" t="s">
        <v>16</v>
      </c>
      <c r="F6190" s="388">
        <f>VLOOKUP(D6175,'Detail Balok'!$C$10:$AU$140,24,FALSE)</f>
        <v>13</v>
      </c>
      <c r="G6190" s="388"/>
      <c r="H6190" s="395"/>
      <c r="I6190" s="388" t="s">
        <v>203</v>
      </c>
      <c r="J6190" s="399">
        <f t="shared" ref="J6190:J6192" si="20057">+J6182</f>
        <v>1.6425000000000001</v>
      </c>
      <c r="K6190" s="400" t="s">
        <v>204</v>
      </c>
      <c r="L6190" s="399">
        <f t="shared" ref="L6190" si="20058">MAX(VLOOKUP(F6190,N$6:P$15,3,FALSE)/1000,2/3*D6180/1000)+F$16*F6190/1000</f>
        <v>0.156</v>
      </c>
      <c r="M6190" s="399" t="s">
        <v>176</v>
      </c>
      <c r="N6190" s="399">
        <f t="shared" ref="N6190:N6192" si="20059">J6190+L6190</f>
        <v>1.7985</v>
      </c>
      <c r="O6190" s="399" t="s">
        <v>204</v>
      </c>
      <c r="P6190" s="389">
        <f t="shared" ref="P6190" si="20060">D6190-D6191</f>
        <v>0</v>
      </c>
      <c r="Q6190" s="399" t="s">
        <v>125</v>
      </c>
      <c r="R6190" s="399">
        <f t="shared" ref="R6190" si="20061">IF(P6190&gt;0,$F$18*F6190/1000,0)</f>
        <v>0</v>
      </c>
      <c r="S6190" s="399" t="s">
        <v>205</v>
      </c>
      <c r="T6190" s="399" t="s">
        <v>125</v>
      </c>
      <c r="U6190" s="401">
        <f t="shared" ref="U6190:U6192" si="20062">0.006165*F6190^2</f>
        <v>1.041885</v>
      </c>
      <c r="V6190" s="399"/>
      <c r="W6190" s="399"/>
      <c r="X6190" s="399" t="s">
        <v>125</v>
      </c>
      <c r="Y6190" s="389">
        <f t="shared" ref="Y6190" si="20063">D6181</f>
        <v>1</v>
      </c>
      <c r="Z6190" s="400" t="s">
        <v>176</v>
      </c>
      <c r="AA6190" s="402">
        <f t="shared" ref="AA6190" si="20064">IF(AA6193=0,(D6190*N6190+P6190*R6190)*U6190*Y6190,0)</f>
        <v>0</v>
      </c>
      <c r="AB6190" s="403"/>
    </row>
    <row r="6191" spans="1:28">
      <c r="A6191" s="384" t="str">
        <f t="shared" ref="A6191:B6191" si="20065">A6175</f>
        <v>Lantai 3</v>
      </c>
      <c r="B6191" s="385">
        <f t="shared" si="20065"/>
        <v>64</v>
      </c>
      <c r="C6191" s="393" t="s">
        <v>210</v>
      </c>
      <c r="D6191" s="398">
        <f>VLOOKUP(D6175,'Detail Balok'!$C$10:$AU$140,25,FALSE)</f>
        <v>2</v>
      </c>
      <c r="E6191" s="388" t="s">
        <v>16</v>
      </c>
      <c r="F6191" s="388">
        <f>VLOOKUP(D6175,'Detail Balok'!$C$10:$AU$140,27,FALSE)</f>
        <v>13</v>
      </c>
      <c r="G6191" s="388"/>
      <c r="H6191" s="395"/>
      <c r="I6191" s="388" t="s">
        <v>203</v>
      </c>
      <c r="J6191" s="399">
        <f t="shared" si="20057"/>
        <v>3.2850000000000001</v>
      </c>
      <c r="K6191" s="400" t="s">
        <v>204</v>
      </c>
      <c r="L6191" s="399"/>
      <c r="M6191" s="399" t="s">
        <v>176</v>
      </c>
      <c r="N6191" s="399">
        <f t="shared" si="20059"/>
        <v>3.2850000000000001</v>
      </c>
      <c r="O6191" s="399" t="s">
        <v>204</v>
      </c>
      <c r="P6191" s="389">
        <f t="shared" ref="P6191" si="20066">MAX(D6191-D6190,D6191-D6192)</f>
        <v>0</v>
      </c>
      <c r="Q6191" s="399" t="s">
        <v>125</v>
      </c>
      <c r="R6191" s="399">
        <f t="shared" ref="R6191" si="20067">IF(P6191&gt;0,2*(1-2*$F$19-1/2)*D6178/1000,0)</f>
        <v>0</v>
      </c>
      <c r="S6191" s="399" t="s">
        <v>205</v>
      </c>
      <c r="T6191" s="399" t="s">
        <v>125</v>
      </c>
      <c r="U6191" s="401">
        <f t="shared" si="20062"/>
        <v>1.041885</v>
      </c>
      <c r="V6191" s="399"/>
      <c r="W6191" s="399"/>
      <c r="X6191" s="399" t="s">
        <v>125</v>
      </c>
      <c r="Y6191" s="389">
        <f t="shared" ref="Y6191" si="20068">D6181</f>
        <v>1</v>
      </c>
      <c r="Z6191" s="400" t="s">
        <v>176</v>
      </c>
      <c r="AA6191" s="402">
        <f t="shared" ref="AA6191" si="20069">IF(AA6193=0,(D6191*N6191+P6191*R6191)*U6191*Y6191,0)</f>
        <v>0</v>
      </c>
      <c r="AB6191" s="403"/>
    </row>
    <row r="6192" spans="1:28">
      <c r="A6192" s="384" t="str">
        <f t="shared" ref="A6192:B6192" si="20070">A6175</f>
        <v>Lantai 3</v>
      </c>
      <c r="B6192" s="385">
        <f t="shared" si="20070"/>
        <v>64</v>
      </c>
      <c r="C6192" s="393" t="s">
        <v>209</v>
      </c>
      <c r="D6192" s="398">
        <f>VLOOKUP(D6175,'Detail Balok'!$C$10:$AU$140,28,FALSE)</f>
        <v>2</v>
      </c>
      <c r="E6192" s="388" t="s">
        <v>16</v>
      </c>
      <c r="F6192" s="388">
        <f>VLOOKUP(D6175,'Detail Balok'!$C$10:$AU$140,30,FALSE)</f>
        <v>13</v>
      </c>
      <c r="G6192" s="388"/>
      <c r="H6192" s="395"/>
      <c r="I6192" s="388" t="s">
        <v>203</v>
      </c>
      <c r="J6192" s="399">
        <f t="shared" si="20057"/>
        <v>1.6425000000000001</v>
      </c>
      <c r="K6192" s="400" t="s">
        <v>204</v>
      </c>
      <c r="L6192" s="399">
        <f t="shared" ref="L6192" si="20071">MAX(VLOOKUP(F6192,N$6:P$15,3,FALSE)/1000,2/3*D6180/1000)+F$16*F6192/1000</f>
        <v>0.156</v>
      </c>
      <c r="M6192" s="399" t="s">
        <v>176</v>
      </c>
      <c r="N6192" s="399">
        <f t="shared" si="20059"/>
        <v>1.7985</v>
      </c>
      <c r="O6192" s="399" t="s">
        <v>204</v>
      </c>
      <c r="P6192" s="389">
        <f t="shared" ref="P6192" si="20072">D6192-D6191</f>
        <v>0</v>
      </c>
      <c r="Q6192" s="399" t="s">
        <v>125</v>
      </c>
      <c r="R6192" s="399">
        <f t="shared" ref="R6192" si="20073">IF(P6192&gt;0,$F$18*F6192/1000,0)</f>
        <v>0</v>
      </c>
      <c r="S6192" s="399" t="s">
        <v>205</v>
      </c>
      <c r="T6192" s="399" t="s">
        <v>125</v>
      </c>
      <c r="U6192" s="401">
        <f t="shared" si="20062"/>
        <v>1.041885</v>
      </c>
      <c r="V6192" s="399"/>
      <c r="W6192" s="399"/>
      <c r="X6192" s="399" t="s">
        <v>125</v>
      </c>
      <c r="Y6192" s="389">
        <f t="shared" ref="Y6192" si="20074">D6181</f>
        <v>1</v>
      </c>
      <c r="Z6192" s="400" t="s">
        <v>176</v>
      </c>
      <c r="AA6192" s="402">
        <f t="shared" ref="AA6192" si="20075">IF(AA6193=0,(D6192*N6192+P6192*R6192)*U6192*Y6192,0)</f>
        <v>0</v>
      </c>
      <c r="AB6192" s="403"/>
    </row>
    <row r="6193" spans="1:28">
      <c r="A6193" s="384" t="str">
        <f t="shared" ref="A6193:B6193" si="20076">A6175</f>
        <v>Lantai 3</v>
      </c>
      <c r="B6193" s="385">
        <f t="shared" si="20076"/>
        <v>64</v>
      </c>
      <c r="C6193" s="393"/>
      <c r="D6193" s="398">
        <f t="shared" ref="D6193" si="20077">IF(AND(D6190=D6191,D6191=D6192,D6190=D6192),D6190,0)</f>
        <v>2</v>
      </c>
      <c r="E6193" s="388" t="s">
        <v>16</v>
      </c>
      <c r="F6193" s="388">
        <f t="shared" ref="F6193" si="20078">IF(AND(F6190=F6191,F6190=F6192,F6191=F6192),F6190,0)</f>
        <v>13</v>
      </c>
      <c r="G6193" s="388"/>
      <c r="H6193" s="395"/>
      <c r="I6193" s="388"/>
      <c r="J6193" s="396"/>
      <c r="K6193" s="396"/>
      <c r="L6193" s="404" t="s">
        <v>207</v>
      </c>
      <c r="M6193" s="399" t="s">
        <v>176</v>
      </c>
      <c r="N6193" s="399">
        <f t="shared" ref="N6193" si="20079">IF(AND(D6190=D6191,D6190=D6192,D6191=D6192,F6190=F6191,F6190=F6192,F6191=F6192),SUM(N6190:N6192),0)</f>
        <v>6.8819999999999997</v>
      </c>
      <c r="O6193" s="399" t="s">
        <v>204</v>
      </c>
      <c r="P6193" s="389">
        <f t="shared" ref="P6193" si="20080">IF(N6193&gt;12,ROUNDDOWN(N6193/12,0),0)</f>
        <v>0</v>
      </c>
      <c r="Q6193" s="399" t="s">
        <v>125</v>
      </c>
      <c r="R6193" s="399">
        <f t="shared" ref="R6193" si="20081">IF(P6193&gt;0,MAX(VLOOKUP(F6193,$D$6:$G$15,3,FALSE),600),0)/1000</f>
        <v>0</v>
      </c>
      <c r="S6193" s="396"/>
      <c r="T6193" s="396" t="s">
        <v>125</v>
      </c>
      <c r="U6193" s="401">
        <f t="shared" ref="U6193" si="20082">U6192</f>
        <v>1.041885</v>
      </c>
      <c r="V6193" s="396" t="s">
        <v>125</v>
      </c>
      <c r="W6193" s="399">
        <f t="shared" ref="W6193" si="20083">D6193</f>
        <v>2</v>
      </c>
      <c r="X6193" s="399" t="s">
        <v>125</v>
      </c>
      <c r="Y6193" s="389">
        <f t="shared" ref="Y6193" si="20084">Y6192</f>
        <v>1</v>
      </c>
      <c r="Z6193" s="400" t="s">
        <v>176</v>
      </c>
      <c r="AA6193" s="402">
        <f t="shared" ref="AA6193" si="20085">(N6193+P6193*R6193/1000)*U6193*W6193*Y6193</f>
        <v>14.340505139999999</v>
      </c>
      <c r="AB6193" s="403"/>
    </row>
    <row r="6194" spans="1:28">
      <c r="A6194" s="384"/>
      <c r="B6194" s="385"/>
      <c r="C6194" s="393"/>
      <c r="D6194" s="394"/>
      <c r="E6194" s="388"/>
      <c r="F6194" s="388"/>
      <c r="G6194" s="388"/>
      <c r="H6194" s="395"/>
      <c r="I6194" s="388"/>
      <c r="J6194" s="399"/>
      <c r="K6194" s="396"/>
      <c r="L6194" s="396"/>
      <c r="M6194" s="396"/>
      <c r="N6194" s="396"/>
      <c r="O6194" s="396"/>
      <c r="P6194" s="389"/>
      <c r="Q6194" s="396"/>
      <c r="R6194" s="396"/>
      <c r="S6194" s="396"/>
      <c r="T6194" s="396"/>
      <c r="U6194" s="401"/>
      <c r="V6194" s="396"/>
      <c r="W6194" s="388"/>
      <c r="X6194" s="396"/>
      <c r="Y6194" s="389"/>
      <c r="Z6194" s="396"/>
      <c r="AA6194" s="388"/>
      <c r="AB6194" s="390"/>
    </row>
    <row r="6195" spans="1:28">
      <c r="A6195" s="384" t="str">
        <f t="shared" ref="A6195:B6195" si="20086">A6175</f>
        <v>Lantai 3</v>
      </c>
      <c r="B6195" s="385">
        <f t="shared" si="20086"/>
        <v>64</v>
      </c>
      <c r="C6195" s="393" t="s">
        <v>211</v>
      </c>
      <c r="D6195" s="398">
        <f>VLOOKUP(D6175,'Detail Balok'!$C$10:$AU$140,31,FALSE)</f>
        <v>0</v>
      </c>
      <c r="E6195" s="388" t="s">
        <v>16</v>
      </c>
      <c r="F6195" s="388">
        <f>VLOOKUP(D6175,'Detail Balok'!$C$10:$AU$140,33,FALSE)</f>
        <v>8</v>
      </c>
      <c r="G6195" s="405" t="s">
        <v>157</v>
      </c>
      <c r="H6195" s="395">
        <f>VLOOKUP(D6175,'Detail Balok'!$C$10:$AU$140,35,FALSE)</f>
        <v>150</v>
      </c>
      <c r="I6195" s="388"/>
      <c r="J6195" s="400">
        <f t="shared" ref="J6195" si="20087">(IF(D6195=0,(2*(D6176+G6176))-(F$5*8),IF(D6195=3,(2*(D6176+G6176))-(F$5*8)+(G6176-2*F$5),IF(D6195=4,(2*(D6176+G6176))-(F$5*8)+2*(G6176-2*F$5)))))/1000</f>
        <v>0.74</v>
      </c>
      <c r="K6195" s="400" t="s">
        <v>204</v>
      </c>
      <c r="L6195" s="399">
        <f t="shared" ref="L6195:L6197" si="20088">IF(D6195=0,2*MAX(6*F6195,75),(D6195-1)*2*MAX(6*F6195,75))/1000</f>
        <v>0.15</v>
      </c>
      <c r="M6195" s="399" t="s">
        <v>176</v>
      </c>
      <c r="N6195" s="399">
        <f t="shared" ref="N6195:N6197" si="20089">J6195+L6195</f>
        <v>0.89</v>
      </c>
      <c r="O6195" s="399"/>
      <c r="P6195" s="389"/>
      <c r="Q6195" s="399"/>
      <c r="R6195" s="399"/>
      <c r="S6195" s="399"/>
      <c r="T6195" s="399" t="s">
        <v>125</v>
      </c>
      <c r="U6195" s="401">
        <f t="shared" ref="U6195:U6197" si="20090">0.006165*F6195^2</f>
        <v>0.39456000000000002</v>
      </c>
      <c r="V6195" s="399" t="s">
        <v>125</v>
      </c>
      <c r="W6195" s="399">
        <f t="shared" ref="W6195" si="20091">IF(D6178&gt;4*G6176,ROUND(MAX(D6178/4,2*G6176)/H6195,0)+1,ROUND(D6178/H6195,0)+1)</f>
        <v>12</v>
      </c>
      <c r="X6195" s="399" t="s">
        <v>125</v>
      </c>
      <c r="Y6195" s="389">
        <f t="shared" ref="Y6195" si="20092">D6181</f>
        <v>1</v>
      </c>
      <c r="Z6195" s="400" t="s">
        <v>176</v>
      </c>
      <c r="AA6195" s="402">
        <f t="shared" ref="AA6195:AA6197" si="20093">N6195*U6195*W6195*Y6195</f>
        <v>4.2139008000000002</v>
      </c>
      <c r="AB6195" s="403"/>
    </row>
    <row r="6196" spans="1:28">
      <c r="A6196" s="384" t="str">
        <f t="shared" ref="A6196:B6196" si="20094">A6175</f>
        <v>Lantai 3</v>
      </c>
      <c r="B6196" s="385">
        <f t="shared" si="20094"/>
        <v>64</v>
      </c>
      <c r="C6196" s="393" t="s">
        <v>212</v>
      </c>
      <c r="D6196" s="398">
        <f>VLOOKUP(D6175,'Detail Balok'!$C$10:$AU$140,36,FALSE)</f>
        <v>0</v>
      </c>
      <c r="E6196" s="388" t="s">
        <v>16</v>
      </c>
      <c r="F6196" s="388">
        <f>VLOOKUP(D6175,'Detail Balok'!$C$10:$AU$140,38,FALSE)</f>
        <v>8</v>
      </c>
      <c r="G6196" s="405" t="s">
        <v>157</v>
      </c>
      <c r="H6196" s="395">
        <f>VLOOKUP(D6175,'Detail Balok'!$C$10:$AU$140,40,FALSE)</f>
        <v>200</v>
      </c>
      <c r="I6196" s="388"/>
      <c r="J6196" s="400">
        <f t="shared" ref="J6196" si="20095">(IF(D6196=0,(2*(D6176+G6176))-(F$5*8),IF(D6196=3,(2*(D6176+G6176))-(F$5*8)+(G6176-2*F$5),IF(D6196=4,(2*(D6176+G6176))-(F$5*8)+2*(G6176-2*F$5)))))/1000</f>
        <v>0.74</v>
      </c>
      <c r="K6196" s="400" t="s">
        <v>204</v>
      </c>
      <c r="L6196" s="399">
        <f t="shared" si="20088"/>
        <v>0.15</v>
      </c>
      <c r="M6196" s="399" t="s">
        <v>176</v>
      </c>
      <c r="N6196" s="399">
        <f t="shared" si="20089"/>
        <v>0.89</v>
      </c>
      <c r="O6196" s="399"/>
      <c r="P6196" s="389"/>
      <c r="Q6196" s="399"/>
      <c r="R6196" s="399"/>
      <c r="S6196" s="399"/>
      <c r="T6196" s="399" t="s">
        <v>125</v>
      </c>
      <c r="U6196" s="401">
        <f t="shared" si="20090"/>
        <v>0.39456000000000002</v>
      </c>
      <c r="V6196" s="399" t="s">
        <v>125</v>
      </c>
      <c r="W6196" s="399">
        <f t="shared" ref="W6196" si="20096">IF(D6178-MAX(D6178/4,2*G6176)*2&gt;0,ROUND((D6178-MAX(D6178/4,2*G6176)*2)/H6196,0),0)</f>
        <v>16</v>
      </c>
      <c r="X6196" s="399" t="s">
        <v>125</v>
      </c>
      <c r="Y6196" s="389">
        <f t="shared" ref="Y6196" si="20097">D6181</f>
        <v>1</v>
      </c>
      <c r="Z6196" s="400" t="s">
        <v>176</v>
      </c>
      <c r="AA6196" s="402">
        <f t="shared" si="20093"/>
        <v>5.6185344000000006</v>
      </c>
      <c r="AB6196" s="403"/>
    </row>
    <row r="6197" spans="1:28">
      <c r="A6197" s="384" t="str">
        <f t="shared" ref="A6197:B6197" si="20098">A6175</f>
        <v>Lantai 3</v>
      </c>
      <c r="B6197" s="385">
        <f t="shared" si="20098"/>
        <v>64</v>
      </c>
      <c r="C6197" s="393" t="s">
        <v>211</v>
      </c>
      <c r="D6197" s="398">
        <f>VLOOKUP(D6175,'Detail Balok'!$C$10:$AU$140,41,FALSE)</f>
        <v>0</v>
      </c>
      <c r="E6197" s="388" t="s">
        <v>16</v>
      </c>
      <c r="F6197" s="388">
        <f>VLOOKUP(D6175,'Detail Balok'!$C$10:$AU$140,43,FALSE)</f>
        <v>8</v>
      </c>
      <c r="G6197" s="405" t="s">
        <v>157</v>
      </c>
      <c r="H6197" s="395">
        <f>VLOOKUP(D6175,'Detail Balok'!$C$10:$AU$140,45,FALSE)</f>
        <v>150</v>
      </c>
      <c r="I6197" s="388"/>
      <c r="J6197" s="400">
        <f t="shared" ref="J6197" si="20099">(IF(D6197=0,(2*(D6176+G6176))-(F$5*8),IF(D6197=3,(2*(D6176+G6176))-(F$5*8)+(G6176-2*F$5),IF(D6197=4,(2*(D6176+G6176))-(F$5*8)+2*(G6176-2*F$5)))))/1000</f>
        <v>0.74</v>
      </c>
      <c r="K6197" s="400" t="s">
        <v>204</v>
      </c>
      <c r="L6197" s="399">
        <f t="shared" si="20088"/>
        <v>0.15</v>
      </c>
      <c r="M6197" s="399" t="s">
        <v>176</v>
      </c>
      <c r="N6197" s="399">
        <f t="shared" si="20089"/>
        <v>0.89</v>
      </c>
      <c r="O6197" s="399"/>
      <c r="P6197" s="389"/>
      <c r="Q6197" s="399"/>
      <c r="R6197" s="399"/>
      <c r="S6197" s="399"/>
      <c r="T6197" s="399" t="s">
        <v>125</v>
      </c>
      <c r="U6197" s="401">
        <f t="shared" si="20090"/>
        <v>0.39456000000000002</v>
      </c>
      <c r="V6197" s="399" t="s">
        <v>125</v>
      </c>
      <c r="W6197" s="399">
        <f t="shared" ref="W6197" si="20100">IF(D6178&gt;4*G6176,ROUND(MAX(D6178/4,2*G6176)/H6197,0)+1,0)</f>
        <v>12</v>
      </c>
      <c r="X6197" s="399" t="s">
        <v>125</v>
      </c>
      <c r="Y6197" s="389">
        <f t="shared" ref="Y6197" si="20101">D6181</f>
        <v>1</v>
      </c>
      <c r="Z6197" s="400" t="s">
        <v>176</v>
      </c>
      <c r="AA6197" s="402">
        <f t="shared" si="20093"/>
        <v>4.2139008000000002</v>
      </c>
      <c r="AB6197" s="403"/>
    </row>
    <row r="6198" spans="1:28">
      <c r="A6198" s="384"/>
      <c r="B6198" s="385"/>
      <c r="C6198" s="393"/>
      <c r="D6198" s="394"/>
      <c r="E6198" s="388"/>
      <c r="F6198" s="388"/>
      <c r="G6198" s="388"/>
      <c r="H6198" s="395"/>
      <c r="I6198" s="388"/>
      <c r="J6198" s="399"/>
      <c r="K6198" s="396"/>
      <c r="L6198" s="396"/>
      <c r="M6198" s="396"/>
      <c r="N6198" s="396"/>
      <c r="O6198" s="396"/>
      <c r="P6198" s="389"/>
      <c r="Q6198" s="396"/>
      <c r="R6198" s="396"/>
      <c r="S6198" s="396"/>
      <c r="T6198" s="396"/>
      <c r="U6198" s="401"/>
      <c r="V6198" s="396"/>
      <c r="W6198" s="388"/>
      <c r="X6198" s="396"/>
      <c r="Y6198" s="389"/>
      <c r="Z6198" s="396"/>
      <c r="AA6198" s="388"/>
      <c r="AB6198" s="390"/>
    </row>
    <row r="6199" spans="1:28">
      <c r="A6199" s="384" t="str">
        <f t="shared" ref="A6199:B6199" si="20102">A6175</f>
        <v>Lantai 3</v>
      </c>
      <c r="B6199" s="385">
        <f t="shared" si="20102"/>
        <v>64</v>
      </c>
      <c r="C6199" s="393" t="s">
        <v>213</v>
      </c>
      <c r="D6199" s="398">
        <f>VLOOKUP(D6175,'Detail Balok'!$C$10:$BJ$140,46,FALSE)</f>
        <v>0</v>
      </c>
      <c r="E6199" s="388" t="s">
        <v>16</v>
      </c>
      <c r="F6199" s="388">
        <f>VLOOKUP(D6175,'Detail Balok'!$C$10:$BJ$140,48,FALSE)</f>
        <v>0</v>
      </c>
      <c r="G6199" s="405" t="s">
        <v>157</v>
      </c>
      <c r="H6199" s="395">
        <f>VLOOKUP(D6175,'Detail Balok'!$C$10:$BJ$140,50,FALSE)</f>
        <v>100</v>
      </c>
      <c r="I6199" s="388"/>
      <c r="J6199" s="399">
        <f t="shared" ref="J6199" si="20103">(D6176-2*F$5)/1000</f>
        <v>0.05</v>
      </c>
      <c r="K6199" s="400" t="s">
        <v>204</v>
      </c>
      <c r="L6199" s="399">
        <f t="shared" ref="L6199:L6201" si="20104">IF(D6199=0,2*MAX(6*F6199,75),(D6199-1)*2*MAX(6*F6199,75))/1000</f>
        <v>0.15</v>
      </c>
      <c r="M6199" s="399" t="s">
        <v>176</v>
      </c>
      <c r="N6199" s="399">
        <f t="shared" ref="N6199:N6201" si="20105">J6199+L6199</f>
        <v>0.2</v>
      </c>
      <c r="O6199" s="399"/>
      <c r="P6199" s="399"/>
      <c r="Q6199" s="399"/>
      <c r="R6199" s="399"/>
      <c r="S6199" s="399"/>
      <c r="T6199" s="399" t="s">
        <v>125</v>
      </c>
      <c r="U6199" s="401">
        <f t="shared" ref="U6199:U6201" si="20106">0.006165*F6199^2</f>
        <v>0</v>
      </c>
      <c r="V6199" s="399" t="s">
        <v>125</v>
      </c>
      <c r="W6199" s="399">
        <f t="shared" ref="W6199:W6201" si="20107">W6195</f>
        <v>12</v>
      </c>
      <c r="X6199" s="399" t="s">
        <v>125</v>
      </c>
      <c r="Y6199" s="389">
        <f t="shared" ref="Y6199" si="20108">D6185</f>
        <v>2</v>
      </c>
      <c r="Z6199" s="400" t="s">
        <v>176</v>
      </c>
      <c r="AA6199" s="402">
        <f t="shared" ref="AA6199:AA6201" si="20109">N6199*U6199*W6199*Y6199</f>
        <v>0</v>
      </c>
      <c r="AB6199" s="403"/>
    </row>
    <row r="6200" spans="1:28">
      <c r="A6200" s="384" t="str">
        <f t="shared" ref="A6200:B6200" si="20110">A6175</f>
        <v>Lantai 3</v>
      </c>
      <c r="B6200" s="385">
        <f t="shared" si="20110"/>
        <v>64</v>
      </c>
      <c r="C6200" s="393" t="s">
        <v>214</v>
      </c>
      <c r="D6200" s="398">
        <f>VLOOKUP(D6175,'Detail Balok'!$C$10:$BJ$140,51,FALSE)</f>
        <v>0</v>
      </c>
      <c r="E6200" s="388" t="s">
        <v>16</v>
      </c>
      <c r="F6200" s="388">
        <f>VLOOKUP(D6175,'Detail Balok'!$C$10:$BJ$140,53,FALSE)</f>
        <v>0</v>
      </c>
      <c r="G6200" s="405" t="s">
        <v>157</v>
      </c>
      <c r="H6200" s="395">
        <f>VLOOKUP(D6175,'Detail Balok'!$C$10:$BJ$140,55,FALSE)</f>
        <v>100</v>
      </c>
      <c r="I6200" s="388"/>
      <c r="J6200" s="399">
        <f t="shared" ref="J6200" si="20111">(D6176-2*F$5)/1000</f>
        <v>0.05</v>
      </c>
      <c r="K6200" s="400" t="s">
        <v>204</v>
      </c>
      <c r="L6200" s="399">
        <f t="shared" si="20104"/>
        <v>0.15</v>
      </c>
      <c r="M6200" s="399" t="s">
        <v>176</v>
      </c>
      <c r="N6200" s="399">
        <f t="shared" si="20105"/>
        <v>0.2</v>
      </c>
      <c r="O6200" s="399"/>
      <c r="P6200" s="399"/>
      <c r="Q6200" s="399"/>
      <c r="R6200" s="399"/>
      <c r="S6200" s="399"/>
      <c r="T6200" s="399" t="s">
        <v>125</v>
      </c>
      <c r="U6200" s="401">
        <f t="shared" si="20106"/>
        <v>0</v>
      </c>
      <c r="V6200" s="399" t="s">
        <v>125</v>
      </c>
      <c r="W6200" s="399">
        <f t="shared" si="20107"/>
        <v>16</v>
      </c>
      <c r="X6200" s="399" t="s">
        <v>125</v>
      </c>
      <c r="Y6200" s="389">
        <f t="shared" ref="Y6200" si="20112">D6185</f>
        <v>2</v>
      </c>
      <c r="Z6200" s="400" t="s">
        <v>176</v>
      </c>
      <c r="AA6200" s="402">
        <f t="shared" si="20109"/>
        <v>0</v>
      </c>
      <c r="AB6200" s="403"/>
    </row>
    <row r="6201" spans="1:28">
      <c r="A6201" s="384" t="str">
        <f t="shared" ref="A6201:B6201" si="20113">A6175</f>
        <v>Lantai 3</v>
      </c>
      <c r="B6201" s="385">
        <f t="shared" si="20113"/>
        <v>64</v>
      </c>
      <c r="C6201" s="393" t="s">
        <v>213</v>
      </c>
      <c r="D6201" s="398">
        <f>VLOOKUP(D6175,'Detail Balok'!$C$10:$BJ$140,56,FALSE)</f>
        <v>0</v>
      </c>
      <c r="E6201" s="388" t="s">
        <v>16</v>
      </c>
      <c r="F6201" s="388">
        <f>VLOOKUP(D6175,'Detail Balok'!$C$10:$BJ$140,58,FALSE)</f>
        <v>0</v>
      </c>
      <c r="G6201" s="405" t="s">
        <v>157</v>
      </c>
      <c r="H6201" s="395">
        <f>VLOOKUP(D6175,'Detail Balok'!$C$10:$BJ$140,60,FALSE)</f>
        <v>100</v>
      </c>
      <c r="I6201" s="388"/>
      <c r="J6201" s="399">
        <f t="shared" ref="J6201" si="20114">(D6176-2*F$5)/1000</f>
        <v>0.05</v>
      </c>
      <c r="K6201" s="400" t="s">
        <v>204</v>
      </c>
      <c r="L6201" s="399">
        <f t="shared" si="20104"/>
        <v>0.15</v>
      </c>
      <c r="M6201" s="399" t="s">
        <v>176</v>
      </c>
      <c r="N6201" s="399">
        <f t="shared" si="20105"/>
        <v>0.2</v>
      </c>
      <c r="O6201" s="399"/>
      <c r="P6201" s="399"/>
      <c r="Q6201" s="399"/>
      <c r="R6201" s="399"/>
      <c r="S6201" s="399"/>
      <c r="T6201" s="399" t="s">
        <v>125</v>
      </c>
      <c r="U6201" s="401">
        <f t="shared" si="20106"/>
        <v>0</v>
      </c>
      <c r="V6201" s="399" t="s">
        <v>125</v>
      </c>
      <c r="W6201" s="399">
        <f t="shared" si="20107"/>
        <v>12</v>
      </c>
      <c r="X6201" s="399" t="s">
        <v>125</v>
      </c>
      <c r="Y6201" s="389">
        <f t="shared" ref="Y6201" si="20115">D6185</f>
        <v>2</v>
      </c>
      <c r="Z6201" s="400" t="s">
        <v>176</v>
      </c>
      <c r="AA6201" s="402">
        <f t="shared" si="20109"/>
        <v>0</v>
      </c>
      <c r="AB6201" s="403"/>
    </row>
    <row r="6202" spans="1:28">
      <c r="A6202" s="391"/>
      <c r="B6202" s="392"/>
      <c r="C6202" s="392"/>
      <c r="D6202" s="394"/>
      <c r="E6202" s="388"/>
      <c r="F6202" s="388"/>
      <c r="G6202" s="388"/>
      <c r="H6202" s="395"/>
      <c r="I6202" s="388"/>
      <c r="J6202" s="402"/>
      <c r="K6202" s="388"/>
      <c r="L6202" s="388"/>
      <c r="M6202" s="388"/>
      <c r="N6202" s="388"/>
      <c r="O6202" s="388"/>
      <c r="P6202" s="388"/>
      <c r="Q6202" s="388"/>
      <c r="R6202" s="388"/>
      <c r="S6202" s="388"/>
      <c r="T6202" s="388"/>
      <c r="U6202" s="388"/>
      <c r="V6202" s="388"/>
      <c r="W6202" s="388"/>
      <c r="X6202" s="388"/>
      <c r="Y6202" s="389"/>
      <c r="Z6202" s="388"/>
      <c r="AA6202" s="402"/>
      <c r="AB6202" s="403"/>
    </row>
    <row r="6203" spans="1:28" ht="15.75" thickBot="1">
      <c r="A6203" s="406"/>
      <c r="B6203" s="407"/>
      <c r="C6203" s="407"/>
      <c r="D6203" s="408"/>
      <c r="E6203" s="409"/>
      <c r="F6203" s="409"/>
      <c r="G6203" s="409"/>
      <c r="H6203" s="410"/>
      <c r="I6203" s="409"/>
      <c r="J6203" s="409"/>
      <c r="K6203" s="409"/>
      <c r="L6203" s="409"/>
      <c r="M6203" s="409"/>
      <c r="N6203" s="409"/>
      <c r="O6203" s="409"/>
      <c r="P6203" s="409"/>
      <c r="Q6203" s="409"/>
      <c r="R6203" s="409"/>
      <c r="S6203" s="409"/>
      <c r="T6203" s="409"/>
      <c r="U6203" s="409"/>
      <c r="V6203" s="409"/>
      <c r="W6203" s="409"/>
      <c r="X6203" s="409"/>
      <c r="Y6203" s="411"/>
      <c r="Z6203" s="409"/>
      <c r="AA6203" s="412"/>
      <c r="AB6203" s="413"/>
    </row>
    <row r="6204" spans="1:28">
      <c r="A6204" s="377"/>
      <c r="B6204" s="378"/>
      <c r="C6204" s="378"/>
      <c r="D6204" s="379"/>
      <c r="E6204" s="380"/>
      <c r="F6204" s="380"/>
      <c r="G6204" s="380"/>
      <c r="H6204" s="381"/>
      <c r="I6204" s="380"/>
      <c r="J6204" s="380"/>
      <c r="K6204" s="380"/>
      <c r="L6204" s="380"/>
      <c r="M6204" s="380"/>
      <c r="N6204" s="380"/>
      <c r="O6204" s="380"/>
      <c r="P6204" s="380"/>
      <c r="Q6204" s="380"/>
      <c r="R6204" s="380"/>
      <c r="S6204" s="380"/>
      <c r="T6204" s="380"/>
      <c r="U6204" s="380"/>
      <c r="V6204" s="380"/>
      <c r="W6204" s="380"/>
      <c r="X6204" s="380"/>
      <c r="Y6204" s="382"/>
      <c r="Z6204" s="380"/>
      <c r="AA6204" s="380"/>
      <c r="AB6204" s="383"/>
    </row>
    <row r="6205" spans="1:28">
      <c r="A6205" s="384" t="s">
        <v>137</v>
      </c>
      <c r="B6205" s="385">
        <v>1</v>
      </c>
      <c r="C6205" s="386" t="str">
        <f t="shared" ref="C6205" si="20116">CONCATENATE(A6205," no. ",B6205)</f>
        <v>Lantai Atap no. 1</v>
      </c>
      <c r="D6205" s="2562" t="str">
        <f>VLOOKUP(C6205,'Data Panjang Balok'!$C$9:$N$254,2,FALSE)</f>
        <v>B4-1</v>
      </c>
      <c r="E6205" s="2576"/>
      <c r="F6205" s="2576"/>
      <c r="G6205" s="2576"/>
      <c r="H6205" s="2577"/>
      <c r="I6205" s="387"/>
      <c r="J6205" s="388"/>
      <c r="K6205" s="388"/>
      <c r="L6205" s="388"/>
      <c r="M6205" s="388"/>
      <c r="N6205" s="388"/>
      <c r="O6205" s="388"/>
      <c r="P6205" s="388"/>
      <c r="Q6205" s="388"/>
      <c r="R6205" s="388"/>
      <c r="S6205" s="388"/>
      <c r="T6205" s="388"/>
      <c r="U6205" s="388"/>
      <c r="V6205" s="388"/>
      <c r="W6205" s="388"/>
      <c r="X6205" s="388"/>
      <c r="Y6205" s="389"/>
      <c r="Z6205" s="388"/>
      <c r="AA6205" s="388"/>
      <c r="AB6205" s="390"/>
    </row>
    <row r="6206" spans="1:28">
      <c r="A6206" s="391"/>
      <c r="B6206" s="392"/>
      <c r="C6206" s="393" t="s">
        <v>118</v>
      </c>
      <c r="D6206" s="2578">
        <f>VLOOKUP(D6205,'Detail Balok'!$C$10:$AU$140,2,FALSE)</f>
        <v>130</v>
      </c>
      <c r="E6206" s="2579"/>
      <c r="F6206" s="388" t="s">
        <v>125</v>
      </c>
      <c r="G6206" s="2579">
        <f>VLOOKUP(D6205,'Detail Balok'!$C$10:$AU$140,3,FALSE)</f>
        <v>400</v>
      </c>
      <c r="H6206" s="2580"/>
      <c r="I6206" s="388"/>
      <c r="J6206" s="396"/>
      <c r="K6206" s="396"/>
      <c r="L6206" s="396"/>
      <c r="M6206" s="396"/>
      <c r="N6206" s="396"/>
      <c r="O6206" s="396"/>
      <c r="P6206" s="396"/>
      <c r="Q6206" s="396"/>
      <c r="R6206" s="396"/>
      <c r="S6206" s="396"/>
      <c r="T6206" s="396"/>
      <c r="U6206" s="388"/>
      <c r="V6206" s="396"/>
      <c r="W6206" s="388"/>
      <c r="X6206" s="396"/>
      <c r="Y6206" s="389"/>
      <c r="Z6206" s="396"/>
      <c r="AA6206" s="388"/>
      <c r="AB6206" s="390"/>
    </row>
    <row r="6207" spans="1:28">
      <c r="A6207" s="391"/>
      <c r="B6207" s="392"/>
      <c r="C6207" s="393" t="s">
        <v>198</v>
      </c>
      <c r="D6207" s="2562">
        <f>VLOOKUP(C6205,'Data Panjang Balok'!$C$9:$N$254,4,FALSE)</f>
        <v>9250</v>
      </c>
      <c r="E6207" s="2563"/>
      <c r="F6207" s="2563"/>
      <c r="G6207" s="2563"/>
      <c r="H6207" s="2564"/>
      <c r="I6207" s="397"/>
      <c r="J6207" s="396"/>
      <c r="K6207" s="396"/>
      <c r="L6207" s="396"/>
      <c r="M6207" s="396"/>
      <c r="N6207" s="396"/>
      <c r="O6207" s="396"/>
      <c r="P6207" s="396"/>
      <c r="Q6207" s="396"/>
      <c r="R6207" s="396"/>
      <c r="S6207" s="396"/>
      <c r="T6207" s="396"/>
      <c r="U6207" s="388"/>
      <c r="V6207" s="396"/>
      <c r="W6207" s="388"/>
      <c r="X6207" s="396"/>
      <c r="Y6207" s="389"/>
      <c r="Z6207" s="396"/>
      <c r="AA6207" s="388"/>
      <c r="AB6207" s="390"/>
    </row>
    <row r="6208" spans="1:28">
      <c r="A6208" s="391"/>
      <c r="B6208" s="392"/>
      <c r="C6208" s="393" t="s">
        <v>199</v>
      </c>
      <c r="D6208" s="2562">
        <f>VLOOKUP(C6205,'Data Panjang Balok'!$C$9:$N$254,7,FALSE)</f>
        <v>9250</v>
      </c>
      <c r="E6208" s="2563"/>
      <c r="F6208" s="2563"/>
      <c r="G6208" s="2563"/>
      <c r="H6208" s="2564"/>
      <c r="I6208" s="397"/>
      <c r="J6208" s="396"/>
      <c r="K6208" s="396"/>
      <c r="L6208" s="396"/>
      <c r="M6208" s="396"/>
      <c r="N6208" s="396"/>
      <c r="O6208" s="396"/>
      <c r="P6208" s="396"/>
      <c r="Q6208" s="396"/>
      <c r="R6208" s="396"/>
      <c r="S6208" s="396"/>
      <c r="T6208" s="396"/>
      <c r="U6208" s="388"/>
      <c r="V6208" s="396"/>
      <c r="W6208" s="388"/>
      <c r="X6208" s="396"/>
      <c r="Y6208" s="389"/>
      <c r="Z6208" s="396"/>
      <c r="AA6208" s="388"/>
      <c r="AB6208" s="390"/>
    </row>
    <row r="6209" spans="1:28">
      <c r="A6209" s="391"/>
      <c r="B6209" s="392"/>
      <c r="C6209" s="393" t="s">
        <v>200</v>
      </c>
      <c r="D6209" s="2562">
        <f>VLOOKUP(C6205,'Data Panjang Balok'!$C$9:$N$254,9,FALSE)</f>
        <v>0</v>
      </c>
      <c r="E6209" s="2563"/>
      <c r="F6209" s="2563"/>
      <c r="G6209" s="2563"/>
      <c r="H6209" s="2564"/>
      <c r="I6209" s="397"/>
      <c r="J6209" s="396"/>
      <c r="K6209" s="396"/>
      <c r="L6209" s="396"/>
      <c r="M6209" s="396"/>
      <c r="N6209" s="396"/>
      <c r="O6209" s="396"/>
      <c r="P6209" s="396"/>
      <c r="Q6209" s="396"/>
      <c r="R6209" s="396"/>
      <c r="S6209" s="396"/>
      <c r="T6209" s="396"/>
      <c r="U6209" s="388"/>
      <c r="V6209" s="396"/>
      <c r="W6209" s="388"/>
      <c r="X6209" s="396"/>
      <c r="Y6209" s="389"/>
      <c r="Z6209" s="396"/>
      <c r="AA6209" s="388"/>
      <c r="AB6209" s="390"/>
    </row>
    <row r="6210" spans="1:28">
      <c r="A6210" s="391"/>
      <c r="B6210" s="392"/>
      <c r="C6210" s="393" t="s">
        <v>201</v>
      </c>
      <c r="D6210" s="2562">
        <f>VLOOKUP(C6205,'Data Panjang Balok'!$C$9:$N$254,10,FALSE)</f>
        <v>0</v>
      </c>
      <c r="E6210" s="2563"/>
      <c r="F6210" s="2563"/>
      <c r="G6210" s="2563"/>
      <c r="H6210" s="2564"/>
      <c r="I6210" s="397"/>
      <c r="J6210" s="396"/>
      <c r="K6210" s="396"/>
      <c r="L6210" s="396"/>
      <c r="M6210" s="396"/>
      <c r="N6210" s="396"/>
      <c r="O6210" s="396"/>
      <c r="P6210" s="396"/>
      <c r="Q6210" s="396"/>
      <c r="R6210" s="396"/>
      <c r="S6210" s="396"/>
      <c r="T6210" s="396"/>
      <c r="U6210" s="388"/>
      <c r="V6210" s="396"/>
      <c r="W6210" s="388"/>
      <c r="X6210" s="396"/>
      <c r="Y6210" s="389"/>
      <c r="Z6210" s="396"/>
      <c r="AA6210" s="388"/>
      <c r="AB6210" s="390"/>
    </row>
    <row r="6211" spans="1:28">
      <c r="A6211" s="391"/>
      <c r="B6211" s="392"/>
      <c r="C6211" s="393" t="s">
        <v>48</v>
      </c>
      <c r="D6211" s="2562">
        <f>VLOOKUP(C6205,'Data Panjang Balok'!$C$9:$N$254,3,FALSE)</f>
        <v>1</v>
      </c>
      <c r="E6211" s="2563"/>
      <c r="F6211" s="2563"/>
      <c r="G6211" s="2563"/>
      <c r="H6211" s="2564"/>
      <c r="I6211" s="397"/>
      <c r="J6211" s="396"/>
      <c r="K6211" s="396"/>
      <c r="L6211" s="396"/>
      <c r="M6211" s="396"/>
      <c r="N6211" s="396"/>
      <c r="O6211" s="396"/>
      <c r="P6211" s="396"/>
      <c r="Q6211" s="396"/>
      <c r="R6211" s="396"/>
      <c r="S6211" s="396"/>
      <c r="T6211" s="396"/>
      <c r="U6211" s="388"/>
      <c r="V6211" s="396"/>
      <c r="W6211" s="388"/>
      <c r="X6211" s="396"/>
      <c r="Y6211" s="389"/>
      <c r="Z6211" s="396"/>
      <c r="AA6211" s="388"/>
      <c r="AB6211" s="390"/>
    </row>
    <row r="6212" spans="1:28">
      <c r="A6212" s="384" t="str">
        <f t="shared" ref="A6212:B6212" si="20117">A6205</f>
        <v>Lantai Atap</v>
      </c>
      <c r="B6212" s="385">
        <f t="shared" si="20117"/>
        <v>1</v>
      </c>
      <c r="C6212" s="393" t="s">
        <v>202</v>
      </c>
      <c r="D6212" s="398">
        <f>VLOOKUP(D6205,'Detail Balok'!$C$10:$AU$140,4,FALSE)</f>
        <v>2</v>
      </c>
      <c r="E6212" s="388" t="s">
        <v>16</v>
      </c>
      <c r="F6212" s="388">
        <f>VLOOKUP(D6205,'Detail Balok'!$C$10:$AU$140,6,FALSE)</f>
        <v>13</v>
      </c>
      <c r="G6212" s="388"/>
      <c r="H6212" s="395"/>
      <c r="I6212" s="388" t="s">
        <v>203</v>
      </c>
      <c r="J6212" s="399">
        <f t="shared" ref="J6212" si="20118">+D6207/4/1000</f>
        <v>2.3125</v>
      </c>
      <c r="K6212" s="400" t="s">
        <v>204</v>
      </c>
      <c r="L6212" s="399">
        <f t="shared" ref="L6212" si="20119">MAX(VLOOKUP(F6212,N$6:P$15,3,FALSE)/1000,2/3*D6209/1000)+F$16*F6212/1000</f>
        <v>0.156</v>
      </c>
      <c r="M6212" s="399" t="s">
        <v>176</v>
      </c>
      <c r="N6212" s="399">
        <f t="shared" ref="N6212:N6214" si="20120">J6212+L6212</f>
        <v>2.4685000000000001</v>
      </c>
      <c r="O6212" s="399" t="s">
        <v>204</v>
      </c>
      <c r="P6212" s="389">
        <f t="shared" ref="P6212" si="20121">D6212-D6213</f>
        <v>0</v>
      </c>
      <c r="Q6212" s="399" t="s">
        <v>125</v>
      </c>
      <c r="R6212" s="399">
        <f t="shared" ref="R6212" si="20122">IF(P6212&gt;0,$F$18*F6212/1000,0)</f>
        <v>0</v>
      </c>
      <c r="S6212" s="399" t="s">
        <v>205</v>
      </c>
      <c r="T6212" s="399" t="s">
        <v>125</v>
      </c>
      <c r="U6212" s="401">
        <f t="shared" ref="U6212:U6214" si="20123">0.006165*F6212^2</f>
        <v>1.041885</v>
      </c>
      <c r="V6212" s="399"/>
      <c r="W6212" s="399"/>
      <c r="X6212" s="399" t="s">
        <v>125</v>
      </c>
      <c r="Y6212" s="389">
        <f t="shared" ref="Y6212" si="20124">D6211</f>
        <v>1</v>
      </c>
      <c r="Z6212" s="400" t="s">
        <v>176</v>
      </c>
      <c r="AA6212" s="402">
        <f t="shared" ref="AA6212" si="20125">IF(AA6215=0,(D6212*N6212+P6212*R6212)*U6212*Y6212,0)</f>
        <v>0</v>
      </c>
      <c r="AB6212" s="403"/>
    </row>
    <row r="6213" spans="1:28">
      <c r="A6213" s="384" t="str">
        <f t="shared" ref="A6213:B6213" si="20126">A6205</f>
        <v>Lantai Atap</v>
      </c>
      <c r="B6213" s="385">
        <f t="shared" si="20126"/>
        <v>1</v>
      </c>
      <c r="C6213" s="393" t="s">
        <v>206</v>
      </c>
      <c r="D6213" s="398">
        <f>VLOOKUP(D6205,'Detail Balok'!$C$10:$AU$140,7,FALSE)</f>
        <v>2</v>
      </c>
      <c r="E6213" s="388" t="s">
        <v>16</v>
      </c>
      <c r="F6213" s="388">
        <f>VLOOKUP(D6205,'Detail Balok'!$C$10:$AU$140,9,FALSE)</f>
        <v>13</v>
      </c>
      <c r="G6213" s="388"/>
      <c r="H6213" s="395"/>
      <c r="I6213" s="388" t="s">
        <v>203</v>
      </c>
      <c r="J6213" s="399">
        <f t="shared" ref="J6213" si="20127">+D6207/2/1000</f>
        <v>4.625</v>
      </c>
      <c r="K6213" s="400" t="s">
        <v>204</v>
      </c>
      <c r="L6213" s="399"/>
      <c r="M6213" s="399" t="s">
        <v>176</v>
      </c>
      <c r="N6213" s="399">
        <f t="shared" si="20120"/>
        <v>4.625</v>
      </c>
      <c r="O6213" s="399" t="s">
        <v>204</v>
      </c>
      <c r="P6213" s="389">
        <f t="shared" ref="P6213" si="20128">MAX(D6213-D6212,D6213-D6214)</f>
        <v>0</v>
      </c>
      <c r="Q6213" s="399" t="s">
        <v>125</v>
      </c>
      <c r="R6213" s="399">
        <f t="shared" ref="R6213" si="20129">IF(P6213&gt;0,2*(1-2*$F$19-1/2)*D6208/1000,0)</f>
        <v>0</v>
      </c>
      <c r="S6213" s="399" t="s">
        <v>205</v>
      </c>
      <c r="T6213" s="399" t="s">
        <v>125</v>
      </c>
      <c r="U6213" s="401">
        <f t="shared" si="20123"/>
        <v>1.041885</v>
      </c>
      <c r="V6213" s="399"/>
      <c r="W6213" s="399"/>
      <c r="X6213" s="399" t="s">
        <v>125</v>
      </c>
      <c r="Y6213" s="389">
        <f t="shared" ref="Y6213" si="20130">D6211</f>
        <v>1</v>
      </c>
      <c r="Z6213" s="400" t="s">
        <v>176</v>
      </c>
      <c r="AA6213" s="402">
        <f t="shared" ref="AA6213" si="20131">IF(AA6215=0,(D6213*N6213+P6213*R6213)*U6213*Y6213,0)</f>
        <v>0</v>
      </c>
      <c r="AB6213" s="403"/>
    </row>
    <row r="6214" spans="1:28">
      <c r="A6214" s="384" t="str">
        <f t="shared" ref="A6214:B6214" si="20132">A6205</f>
        <v>Lantai Atap</v>
      </c>
      <c r="B6214" s="385">
        <f t="shared" si="20132"/>
        <v>1</v>
      </c>
      <c r="C6214" s="393" t="s">
        <v>202</v>
      </c>
      <c r="D6214" s="398">
        <f>VLOOKUP(D6205,'Detail Balok'!$C$10:$AU$140,10,FALSE)</f>
        <v>2</v>
      </c>
      <c r="E6214" s="388" t="s">
        <v>16</v>
      </c>
      <c r="F6214" s="388">
        <f>VLOOKUP(D6205,'Detail Balok'!$C$10:$AU$140,12,FALSE)</f>
        <v>13</v>
      </c>
      <c r="G6214" s="388"/>
      <c r="H6214" s="395"/>
      <c r="I6214" s="388" t="s">
        <v>203</v>
      </c>
      <c r="J6214" s="399">
        <f t="shared" ref="J6214" si="20133">+D6207/4/1000</f>
        <v>2.3125</v>
      </c>
      <c r="K6214" s="400" t="s">
        <v>204</v>
      </c>
      <c r="L6214" s="399">
        <f t="shared" ref="L6214" si="20134">MAX(VLOOKUP(F6214,N$6:P$15,3,FALSE)/1000,2/3*D6209/1000)+F$16*F6214/1000</f>
        <v>0.156</v>
      </c>
      <c r="M6214" s="399" t="s">
        <v>176</v>
      </c>
      <c r="N6214" s="399">
        <f t="shared" si="20120"/>
        <v>2.4685000000000001</v>
      </c>
      <c r="O6214" s="399" t="s">
        <v>204</v>
      </c>
      <c r="P6214" s="389">
        <f t="shared" ref="P6214" si="20135">D6214-D6213</f>
        <v>0</v>
      </c>
      <c r="Q6214" s="399" t="s">
        <v>125</v>
      </c>
      <c r="R6214" s="399">
        <f t="shared" ref="R6214" si="20136">IF(P6214&gt;0,$F$18*F6214/1000,0)</f>
        <v>0</v>
      </c>
      <c r="S6214" s="399" t="s">
        <v>205</v>
      </c>
      <c r="T6214" s="399" t="s">
        <v>125</v>
      </c>
      <c r="U6214" s="401">
        <f t="shared" si="20123"/>
        <v>1.041885</v>
      </c>
      <c r="V6214" s="399"/>
      <c r="W6214" s="399"/>
      <c r="X6214" s="399" t="s">
        <v>125</v>
      </c>
      <c r="Y6214" s="389">
        <f t="shared" ref="Y6214" si="20137">D6211</f>
        <v>1</v>
      </c>
      <c r="Z6214" s="400" t="s">
        <v>176</v>
      </c>
      <c r="AA6214" s="402">
        <f t="shared" ref="AA6214" si="20138">IF(AA6215=0,(D6214*N6214+P6214*R6214)*U6214*Y6214,0)</f>
        <v>0</v>
      </c>
      <c r="AB6214" s="403"/>
    </row>
    <row r="6215" spans="1:28">
      <c r="A6215" s="384" t="str">
        <f t="shared" ref="A6215:B6215" si="20139">A6205</f>
        <v>Lantai Atap</v>
      </c>
      <c r="B6215" s="385">
        <f t="shared" si="20139"/>
        <v>1</v>
      </c>
      <c r="C6215" s="393"/>
      <c r="D6215" s="398">
        <f t="shared" ref="D6215" si="20140">IF(AND(D6212=D6213,D6213=D6214,D6212=D6214),D6212,0)</f>
        <v>2</v>
      </c>
      <c r="E6215" s="388" t="s">
        <v>16</v>
      </c>
      <c r="F6215" s="388">
        <f t="shared" ref="F6215" si="20141">IF(AND(F6212=F6213,F6212=F6214,F6213=F6214),F6212,0)</f>
        <v>13</v>
      </c>
      <c r="G6215" s="388"/>
      <c r="H6215" s="395"/>
      <c r="I6215" s="388"/>
      <c r="J6215" s="396"/>
      <c r="K6215" s="396"/>
      <c r="L6215" s="404" t="s">
        <v>207</v>
      </c>
      <c r="M6215" s="399" t="s">
        <v>176</v>
      </c>
      <c r="N6215" s="399">
        <f t="shared" ref="N6215" si="20142">IF(AND(D6212=D6213,D6212=D6214,D6213=D6214,F6212=F6213,F6212=F6214,F6213=F6214),SUM(N6212:N6214),0)</f>
        <v>9.5620000000000012</v>
      </c>
      <c r="O6215" s="399" t="s">
        <v>204</v>
      </c>
      <c r="P6215" s="389">
        <f t="shared" ref="P6215" si="20143">IF(N6215&gt;12,ROUNDDOWN(N6215/12,0),0)</f>
        <v>0</v>
      </c>
      <c r="Q6215" s="399" t="s">
        <v>125</v>
      </c>
      <c r="R6215" s="399">
        <f t="shared" ref="R6215" si="20144">IF(P6215&gt;0,MAX(VLOOKUP(F6215,$D$6:$G$15,3,FALSE),600),0)/1000</f>
        <v>0</v>
      </c>
      <c r="S6215" s="396"/>
      <c r="T6215" s="396" t="s">
        <v>125</v>
      </c>
      <c r="U6215" s="401">
        <f t="shared" ref="U6215" si="20145">U6214</f>
        <v>1.041885</v>
      </c>
      <c r="V6215" s="396" t="s">
        <v>125</v>
      </c>
      <c r="W6215" s="399">
        <f t="shared" ref="W6215" si="20146">D6215</f>
        <v>2</v>
      </c>
      <c r="X6215" s="399" t="s">
        <v>125</v>
      </c>
      <c r="Y6215" s="389">
        <f t="shared" ref="Y6215" si="20147">Y6214</f>
        <v>1</v>
      </c>
      <c r="Z6215" s="400" t="s">
        <v>176</v>
      </c>
      <c r="AA6215" s="402">
        <f t="shared" ref="AA6215" si="20148">(N6215+P6215*R6215/1000)*U6215*W6215*Y6215</f>
        <v>19.925008740000003</v>
      </c>
      <c r="AB6215" s="390"/>
    </row>
    <row r="6216" spans="1:28">
      <c r="A6216" s="384"/>
      <c r="B6216" s="385"/>
      <c r="C6216" s="393"/>
      <c r="D6216" s="398"/>
      <c r="E6216" s="388"/>
      <c r="F6216" s="388"/>
      <c r="G6216" s="388"/>
      <c r="H6216" s="395"/>
      <c r="I6216" s="388"/>
      <c r="J6216" s="396"/>
      <c r="K6216" s="396"/>
      <c r="L6216" s="404"/>
      <c r="M6216" s="399"/>
      <c r="N6216" s="399"/>
      <c r="O6216" s="396"/>
      <c r="P6216" s="389"/>
      <c r="Q6216" s="396"/>
      <c r="R6216" s="396"/>
      <c r="S6216" s="396"/>
      <c r="T6216" s="396"/>
      <c r="U6216" s="401"/>
      <c r="V6216" s="396"/>
      <c r="W6216" s="399"/>
      <c r="X6216" s="396"/>
      <c r="Y6216" s="389"/>
      <c r="Z6216" s="396"/>
      <c r="AA6216" s="388"/>
      <c r="AB6216" s="390"/>
    </row>
    <row r="6217" spans="1:28">
      <c r="A6217" s="384" t="str">
        <f t="shared" ref="A6217:B6217" si="20149">A6205</f>
        <v>Lantai Atap</v>
      </c>
      <c r="B6217" s="385">
        <f t="shared" si="20149"/>
        <v>1</v>
      </c>
      <c r="C6217" s="393" t="s">
        <v>208</v>
      </c>
      <c r="D6217" s="398">
        <f>VLOOKUP(D6205,'Detail Balok'!$C$10:$AU$140,13,FALSE)</f>
        <v>0</v>
      </c>
      <c r="E6217" s="388" t="s">
        <v>16</v>
      </c>
      <c r="F6217" s="388">
        <f>VLOOKUP(D6205,'Detail Balok'!$C$10:$AU$140,15,FALSE)</f>
        <v>8</v>
      </c>
      <c r="G6217" s="388"/>
      <c r="H6217" s="395"/>
      <c r="I6217" s="388"/>
      <c r="J6217" s="399">
        <f t="shared" ref="J6217" si="20150">+D6207/1000</f>
        <v>9.25</v>
      </c>
      <c r="K6217" s="400" t="s">
        <v>204</v>
      </c>
      <c r="L6217" s="399">
        <f t="shared" ref="L6217" si="20151">2*$F$16*F6217/1000</f>
        <v>0.192</v>
      </c>
      <c r="M6217" s="399" t="s">
        <v>176</v>
      </c>
      <c r="N6217" s="399">
        <f t="shared" ref="N6217" si="20152">J6217+L6217</f>
        <v>9.4420000000000002</v>
      </c>
      <c r="O6217" s="399" t="s">
        <v>204</v>
      </c>
      <c r="P6217" s="389">
        <f t="shared" ref="P6217" si="20153">IF(N6217&gt;12,ROUNDDOWN(N6217/12,0),0)</f>
        <v>0</v>
      </c>
      <c r="Q6217" s="399" t="s">
        <v>125</v>
      </c>
      <c r="R6217" s="399">
        <f t="shared" ref="R6217" si="20154">IF(P6217&gt;0,MAX(VLOOKUP(F6217,$D$6:$G$15,3,FALSE),600),0)/1000</f>
        <v>0</v>
      </c>
      <c r="S6217" s="399"/>
      <c r="T6217" s="399" t="s">
        <v>125</v>
      </c>
      <c r="U6217" s="401">
        <f t="shared" ref="U6217" si="20155">0.006165*F6217^2</f>
        <v>0.39456000000000002</v>
      </c>
      <c r="V6217" s="399" t="s">
        <v>125</v>
      </c>
      <c r="W6217" s="399">
        <f t="shared" ref="W6217" si="20156">+D6217</f>
        <v>0</v>
      </c>
      <c r="X6217" s="399" t="s">
        <v>125</v>
      </c>
      <c r="Y6217" s="389">
        <f t="shared" ref="Y6217" si="20157">D6211</f>
        <v>1</v>
      </c>
      <c r="Z6217" s="400" t="s">
        <v>176</v>
      </c>
      <c r="AA6217" s="402">
        <f t="shared" ref="AA6217" si="20158">(N6217+P6217*R6217/1000)*U6217*W6217*Y6217</f>
        <v>0</v>
      </c>
      <c r="AB6217" s="403"/>
    </row>
    <row r="6218" spans="1:28">
      <c r="A6218" s="384"/>
      <c r="B6218" s="385"/>
      <c r="C6218" s="393"/>
      <c r="D6218" s="398"/>
      <c r="E6218" s="388"/>
      <c r="F6218" s="388"/>
      <c r="G6218" s="388"/>
      <c r="H6218" s="395"/>
      <c r="I6218" s="388"/>
      <c r="J6218" s="399"/>
      <c r="K6218" s="400"/>
      <c r="L6218" s="399"/>
      <c r="M6218" s="399"/>
      <c r="N6218" s="399"/>
      <c r="O6218" s="399"/>
      <c r="P6218" s="389"/>
      <c r="Q6218" s="399"/>
      <c r="R6218" s="399"/>
      <c r="S6218" s="399"/>
      <c r="T6218" s="399"/>
      <c r="U6218" s="401"/>
      <c r="V6218" s="399"/>
      <c r="W6218" s="399"/>
      <c r="X6218" s="399"/>
      <c r="Y6218" s="389"/>
      <c r="Z6218" s="400"/>
      <c r="AA6218" s="402"/>
      <c r="AB6218" s="403"/>
    </row>
    <row r="6219" spans="1:28">
      <c r="A6219" s="384"/>
      <c r="B6219" s="385"/>
      <c r="C6219" s="393"/>
      <c r="D6219" s="398"/>
      <c r="E6219" s="388"/>
      <c r="F6219" s="388"/>
      <c r="G6219" s="388"/>
      <c r="H6219" s="395"/>
      <c r="I6219" s="388"/>
      <c r="J6219" s="396"/>
      <c r="K6219" s="396"/>
      <c r="L6219" s="396"/>
      <c r="M6219" s="396"/>
      <c r="N6219" s="396"/>
      <c r="O6219" s="396"/>
      <c r="P6219" s="389"/>
      <c r="Q6219" s="396"/>
      <c r="R6219" s="396"/>
      <c r="S6219" s="396"/>
      <c r="T6219" s="396"/>
      <c r="U6219" s="401"/>
      <c r="V6219" s="396"/>
      <c r="W6219" s="399"/>
      <c r="X6219" s="396"/>
      <c r="Y6219" s="389"/>
      <c r="Z6219" s="396"/>
      <c r="AA6219" s="388"/>
      <c r="AB6219" s="390"/>
    </row>
    <row r="6220" spans="1:28">
      <c r="A6220" s="384" t="str">
        <f t="shared" ref="A6220:B6220" si="20159">A6205</f>
        <v>Lantai Atap</v>
      </c>
      <c r="B6220" s="385">
        <f t="shared" si="20159"/>
        <v>1</v>
      </c>
      <c r="C6220" s="393" t="s">
        <v>209</v>
      </c>
      <c r="D6220" s="398">
        <f>VLOOKUP(D6205,'Detail Balok'!$C$10:$AU$140,22,FALSE)</f>
        <v>2</v>
      </c>
      <c r="E6220" s="388" t="s">
        <v>16</v>
      </c>
      <c r="F6220" s="388">
        <f>VLOOKUP(D6205,'Detail Balok'!$C$10:$AU$140,24,FALSE)</f>
        <v>13</v>
      </c>
      <c r="G6220" s="388"/>
      <c r="H6220" s="395"/>
      <c r="I6220" s="388" t="s">
        <v>203</v>
      </c>
      <c r="J6220" s="399">
        <f t="shared" ref="J6220:J6222" si="20160">+J6212</f>
        <v>2.3125</v>
      </c>
      <c r="K6220" s="400" t="s">
        <v>204</v>
      </c>
      <c r="L6220" s="399">
        <f t="shared" ref="L6220" si="20161">MAX(VLOOKUP(F6220,N$6:P$15,3,FALSE)/1000,2/3*D6210/1000)+F$16*F6220/1000</f>
        <v>0.156</v>
      </c>
      <c r="M6220" s="399" t="s">
        <v>176</v>
      </c>
      <c r="N6220" s="399">
        <f t="shared" ref="N6220:N6222" si="20162">J6220+L6220</f>
        <v>2.4685000000000001</v>
      </c>
      <c r="O6220" s="399" t="s">
        <v>204</v>
      </c>
      <c r="P6220" s="389">
        <f t="shared" ref="P6220" si="20163">D6220-D6221</f>
        <v>0</v>
      </c>
      <c r="Q6220" s="399" t="s">
        <v>125</v>
      </c>
      <c r="R6220" s="399">
        <f t="shared" ref="R6220" si="20164">IF(P6220&gt;0,$F$18*F6220/1000,0)</f>
        <v>0</v>
      </c>
      <c r="S6220" s="399" t="s">
        <v>205</v>
      </c>
      <c r="T6220" s="399" t="s">
        <v>125</v>
      </c>
      <c r="U6220" s="401">
        <f t="shared" ref="U6220:U6222" si="20165">0.006165*F6220^2</f>
        <v>1.041885</v>
      </c>
      <c r="V6220" s="399"/>
      <c r="W6220" s="399"/>
      <c r="X6220" s="399" t="s">
        <v>125</v>
      </c>
      <c r="Y6220" s="389">
        <f t="shared" ref="Y6220" si="20166">D6211</f>
        <v>1</v>
      </c>
      <c r="Z6220" s="400" t="s">
        <v>176</v>
      </c>
      <c r="AA6220" s="402">
        <f t="shared" ref="AA6220" si="20167">IF(AA6223=0,(D6220*N6220+P6220*R6220)*U6220*Y6220,0)</f>
        <v>0</v>
      </c>
      <c r="AB6220" s="403"/>
    </row>
    <row r="6221" spans="1:28">
      <c r="A6221" s="384" t="str">
        <f t="shared" ref="A6221:B6221" si="20168">A6205</f>
        <v>Lantai Atap</v>
      </c>
      <c r="B6221" s="385">
        <f t="shared" si="20168"/>
        <v>1</v>
      </c>
      <c r="C6221" s="393" t="s">
        <v>210</v>
      </c>
      <c r="D6221" s="398">
        <f>VLOOKUP(D6205,'Detail Balok'!$C$10:$AU$140,25,FALSE)</f>
        <v>2</v>
      </c>
      <c r="E6221" s="388" t="s">
        <v>16</v>
      </c>
      <c r="F6221" s="388">
        <f>VLOOKUP(D6205,'Detail Balok'!$C$10:$AU$140,27,FALSE)</f>
        <v>13</v>
      </c>
      <c r="G6221" s="388"/>
      <c r="H6221" s="395"/>
      <c r="I6221" s="388" t="s">
        <v>203</v>
      </c>
      <c r="J6221" s="399">
        <f t="shared" si="20160"/>
        <v>4.625</v>
      </c>
      <c r="K6221" s="400" t="s">
        <v>204</v>
      </c>
      <c r="L6221" s="399"/>
      <c r="M6221" s="399" t="s">
        <v>176</v>
      </c>
      <c r="N6221" s="399">
        <f t="shared" si="20162"/>
        <v>4.625</v>
      </c>
      <c r="O6221" s="399" t="s">
        <v>204</v>
      </c>
      <c r="P6221" s="389">
        <f t="shared" ref="P6221" si="20169">MAX(D6221-D6220,D6221-D6222)</f>
        <v>0</v>
      </c>
      <c r="Q6221" s="399" t="s">
        <v>125</v>
      </c>
      <c r="R6221" s="399">
        <f t="shared" ref="R6221" si="20170">IF(P6221&gt;0,2*(1-2*$F$19-1/2)*D6208/1000,0)</f>
        <v>0</v>
      </c>
      <c r="S6221" s="399" t="s">
        <v>205</v>
      </c>
      <c r="T6221" s="399" t="s">
        <v>125</v>
      </c>
      <c r="U6221" s="401">
        <f t="shared" si="20165"/>
        <v>1.041885</v>
      </c>
      <c r="V6221" s="399"/>
      <c r="W6221" s="399"/>
      <c r="X6221" s="399" t="s">
        <v>125</v>
      </c>
      <c r="Y6221" s="389">
        <f t="shared" ref="Y6221" si="20171">D6211</f>
        <v>1</v>
      </c>
      <c r="Z6221" s="400" t="s">
        <v>176</v>
      </c>
      <c r="AA6221" s="402">
        <f t="shared" ref="AA6221" si="20172">IF(AA6223=0,(D6221*N6221+P6221*R6221)*U6221*Y6221,0)</f>
        <v>0</v>
      </c>
      <c r="AB6221" s="403"/>
    </row>
    <row r="6222" spans="1:28">
      <c r="A6222" s="384" t="str">
        <f t="shared" ref="A6222:B6222" si="20173">A6205</f>
        <v>Lantai Atap</v>
      </c>
      <c r="B6222" s="385">
        <f t="shared" si="20173"/>
        <v>1</v>
      </c>
      <c r="C6222" s="393" t="s">
        <v>209</v>
      </c>
      <c r="D6222" s="398">
        <f>VLOOKUP(D6205,'Detail Balok'!$C$10:$AU$140,28,FALSE)</f>
        <v>2</v>
      </c>
      <c r="E6222" s="388" t="s">
        <v>16</v>
      </c>
      <c r="F6222" s="388">
        <f>VLOOKUP(D6205,'Detail Balok'!$C$10:$AU$140,30,FALSE)</f>
        <v>13</v>
      </c>
      <c r="G6222" s="388"/>
      <c r="H6222" s="395"/>
      <c r="I6222" s="388" t="s">
        <v>203</v>
      </c>
      <c r="J6222" s="399">
        <f t="shared" si="20160"/>
        <v>2.3125</v>
      </c>
      <c r="K6222" s="400" t="s">
        <v>204</v>
      </c>
      <c r="L6222" s="399">
        <f t="shared" ref="L6222" si="20174">MAX(VLOOKUP(F6222,N$6:P$15,3,FALSE)/1000,2/3*D6210/1000)+F$16*F6222/1000</f>
        <v>0.156</v>
      </c>
      <c r="M6222" s="399" t="s">
        <v>176</v>
      </c>
      <c r="N6222" s="399">
        <f t="shared" si="20162"/>
        <v>2.4685000000000001</v>
      </c>
      <c r="O6222" s="399" t="s">
        <v>204</v>
      </c>
      <c r="P6222" s="389">
        <f t="shared" ref="P6222" si="20175">D6222-D6221</f>
        <v>0</v>
      </c>
      <c r="Q6222" s="399" t="s">
        <v>125</v>
      </c>
      <c r="R6222" s="399">
        <f t="shared" ref="R6222" si="20176">IF(P6222&gt;0,$F$18*F6222/1000,0)</f>
        <v>0</v>
      </c>
      <c r="S6222" s="399" t="s">
        <v>205</v>
      </c>
      <c r="T6222" s="399" t="s">
        <v>125</v>
      </c>
      <c r="U6222" s="401">
        <f t="shared" si="20165"/>
        <v>1.041885</v>
      </c>
      <c r="V6222" s="399"/>
      <c r="W6222" s="399"/>
      <c r="X6222" s="399" t="s">
        <v>125</v>
      </c>
      <c r="Y6222" s="389">
        <f t="shared" ref="Y6222" si="20177">D6211</f>
        <v>1</v>
      </c>
      <c r="Z6222" s="400" t="s">
        <v>176</v>
      </c>
      <c r="AA6222" s="402">
        <f t="shared" ref="AA6222" si="20178">IF(AA6223=0,(D6222*N6222+P6222*R6222)*U6222*Y6222,0)</f>
        <v>0</v>
      </c>
      <c r="AB6222" s="403"/>
    </row>
    <row r="6223" spans="1:28">
      <c r="A6223" s="384" t="str">
        <f t="shared" ref="A6223:B6223" si="20179">A6205</f>
        <v>Lantai Atap</v>
      </c>
      <c r="B6223" s="385">
        <f t="shared" si="20179"/>
        <v>1</v>
      </c>
      <c r="C6223" s="393"/>
      <c r="D6223" s="398">
        <f t="shared" ref="D6223" si="20180">IF(AND(D6220=D6221,D6221=D6222,D6220=D6222),D6220,0)</f>
        <v>2</v>
      </c>
      <c r="E6223" s="388" t="s">
        <v>16</v>
      </c>
      <c r="F6223" s="388">
        <f t="shared" ref="F6223" si="20181">IF(AND(F6220=F6221,F6220=F6222,F6221=F6222),F6220,0)</f>
        <v>13</v>
      </c>
      <c r="G6223" s="388"/>
      <c r="H6223" s="395"/>
      <c r="I6223" s="388"/>
      <c r="J6223" s="396"/>
      <c r="K6223" s="396"/>
      <c r="L6223" s="404" t="s">
        <v>207</v>
      </c>
      <c r="M6223" s="399" t="s">
        <v>176</v>
      </c>
      <c r="N6223" s="399">
        <f t="shared" ref="N6223" si="20182">IF(AND(D6220=D6221,D6220=D6222,D6221=D6222,F6220=F6221,F6220=F6222,F6221=F6222),SUM(N6220:N6222),0)</f>
        <v>9.5620000000000012</v>
      </c>
      <c r="O6223" s="399" t="s">
        <v>204</v>
      </c>
      <c r="P6223" s="389">
        <f t="shared" ref="P6223" si="20183">IF(N6223&gt;12,ROUNDDOWN(N6223/12,0),0)</f>
        <v>0</v>
      </c>
      <c r="Q6223" s="399" t="s">
        <v>125</v>
      </c>
      <c r="R6223" s="399">
        <f t="shared" ref="R6223" si="20184">IF(P6223&gt;0,MAX(VLOOKUP(F6223,$D$6:$G$15,3,FALSE),600),0)/1000</f>
        <v>0</v>
      </c>
      <c r="S6223" s="396"/>
      <c r="T6223" s="396" t="s">
        <v>125</v>
      </c>
      <c r="U6223" s="401">
        <f t="shared" ref="U6223" si="20185">U6222</f>
        <v>1.041885</v>
      </c>
      <c r="V6223" s="396" t="s">
        <v>125</v>
      </c>
      <c r="W6223" s="399">
        <f t="shared" ref="W6223" si="20186">D6223</f>
        <v>2</v>
      </c>
      <c r="X6223" s="399" t="s">
        <v>125</v>
      </c>
      <c r="Y6223" s="389">
        <f t="shared" ref="Y6223" si="20187">Y6222</f>
        <v>1</v>
      </c>
      <c r="Z6223" s="400" t="s">
        <v>176</v>
      </c>
      <c r="AA6223" s="402">
        <f t="shared" ref="AA6223" si="20188">(N6223+P6223*R6223/1000)*U6223*W6223*Y6223</f>
        <v>19.925008740000003</v>
      </c>
      <c r="AB6223" s="403"/>
    </row>
    <row r="6224" spans="1:28">
      <c r="A6224" s="384"/>
      <c r="B6224" s="385"/>
      <c r="C6224" s="393"/>
      <c r="D6224" s="394"/>
      <c r="E6224" s="388"/>
      <c r="F6224" s="388"/>
      <c r="G6224" s="388"/>
      <c r="H6224" s="395"/>
      <c r="I6224" s="388"/>
      <c r="J6224" s="399"/>
      <c r="K6224" s="396"/>
      <c r="L6224" s="396"/>
      <c r="M6224" s="396"/>
      <c r="N6224" s="396"/>
      <c r="O6224" s="396"/>
      <c r="P6224" s="389"/>
      <c r="Q6224" s="396"/>
      <c r="R6224" s="396"/>
      <c r="S6224" s="396"/>
      <c r="T6224" s="396"/>
      <c r="U6224" s="401"/>
      <c r="V6224" s="396"/>
      <c r="W6224" s="388"/>
      <c r="X6224" s="396"/>
      <c r="Y6224" s="389"/>
      <c r="Z6224" s="396"/>
      <c r="AA6224" s="388"/>
      <c r="AB6224" s="390"/>
    </row>
    <row r="6225" spans="1:28">
      <c r="A6225" s="384" t="str">
        <f t="shared" ref="A6225:B6225" si="20189">A6205</f>
        <v>Lantai Atap</v>
      </c>
      <c r="B6225" s="385">
        <f t="shared" si="20189"/>
        <v>1</v>
      </c>
      <c r="C6225" s="393" t="s">
        <v>211</v>
      </c>
      <c r="D6225" s="398">
        <f>VLOOKUP(D6205,'Detail Balok'!$C$10:$AU$140,31,FALSE)</f>
        <v>0</v>
      </c>
      <c r="E6225" s="388" t="s">
        <v>16</v>
      </c>
      <c r="F6225" s="388">
        <f>VLOOKUP(D6205,'Detail Balok'!$C$10:$AU$140,33,FALSE)</f>
        <v>8</v>
      </c>
      <c r="G6225" s="405" t="s">
        <v>157</v>
      </c>
      <c r="H6225" s="395">
        <f>VLOOKUP(D6205,'Detail Balok'!$C$10:$AU$140,35,FALSE)</f>
        <v>150</v>
      </c>
      <c r="I6225" s="388"/>
      <c r="J6225" s="400">
        <f t="shared" ref="J6225" si="20190">(IF(D6225=0,(2*(D6206+G6206))-(F$5*8),IF(D6225=3,(2*(D6206+G6206))-(F$5*8)+(G6206-2*F$5),IF(D6225=4,(2*(D6206+G6206))-(F$5*8)+2*(G6206-2*F$5)))))/1000</f>
        <v>0.74</v>
      </c>
      <c r="K6225" s="400" t="s">
        <v>204</v>
      </c>
      <c r="L6225" s="399">
        <f t="shared" ref="L6225:L6227" si="20191">IF(D6225=0,2*MAX(6*F6225,75),(D6225-1)*2*MAX(6*F6225,75))/1000</f>
        <v>0.15</v>
      </c>
      <c r="M6225" s="399" t="s">
        <v>176</v>
      </c>
      <c r="N6225" s="399">
        <f t="shared" ref="N6225:N6227" si="20192">J6225+L6225</f>
        <v>0.89</v>
      </c>
      <c r="O6225" s="399"/>
      <c r="P6225" s="389"/>
      <c r="Q6225" s="399"/>
      <c r="R6225" s="399"/>
      <c r="S6225" s="399"/>
      <c r="T6225" s="399" t="s">
        <v>125</v>
      </c>
      <c r="U6225" s="401">
        <f t="shared" ref="U6225:U6227" si="20193">0.006165*F6225^2</f>
        <v>0.39456000000000002</v>
      </c>
      <c r="V6225" s="399" t="s">
        <v>125</v>
      </c>
      <c r="W6225" s="399">
        <f t="shared" ref="W6225" si="20194">IF(D6208&gt;4*G6206,ROUND(MAX(D6208/4,2*G6206)/H6225,0)+1,ROUND(D6208/H6225,0)+1)</f>
        <v>16</v>
      </c>
      <c r="X6225" s="399" t="s">
        <v>125</v>
      </c>
      <c r="Y6225" s="389">
        <f t="shared" ref="Y6225" si="20195">D6211</f>
        <v>1</v>
      </c>
      <c r="Z6225" s="400" t="s">
        <v>176</v>
      </c>
      <c r="AA6225" s="402">
        <f t="shared" ref="AA6225:AA6227" si="20196">N6225*U6225*W6225*Y6225</f>
        <v>5.6185344000000006</v>
      </c>
      <c r="AB6225" s="403"/>
    </row>
    <row r="6226" spans="1:28">
      <c r="A6226" s="384" t="str">
        <f t="shared" ref="A6226:B6226" si="20197">A6205</f>
        <v>Lantai Atap</v>
      </c>
      <c r="B6226" s="385">
        <f t="shared" si="20197"/>
        <v>1</v>
      </c>
      <c r="C6226" s="393" t="s">
        <v>212</v>
      </c>
      <c r="D6226" s="398">
        <f>VLOOKUP(D6205,'Detail Balok'!$C$10:$AU$140,36,FALSE)</f>
        <v>0</v>
      </c>
      <c r="E6226" s="388" t="s">
        <v>16</v>
      </c>
      <c r="F6226" s="388">
        <f>VLOOKUP(D6205,'Detail Balok'!$C$10:$AU$140,38,FALSE)</f>
        <v>8</v>
      </c>
      <c r="G6226" s="405" t="s">
        <v>157</v>
      </c>
      <c r="H6226" s="395">
        <f>VLOOKUP(D6205,'Detail Balok'!$C$10:$AU$140,40,FALSE)</f>
        <v>200</v>
      </c>
      <c r="I6226" s="388"/>
      <c r="J6226" s="400">
        <f t="shared" ref="J6226" si="20198">(IF(D6226=0,(2*(D6206+G6206))-(F$5*8),IF(D6226=3,(2*(D6206+G6206))-(F$5*8)+(G6206-2*F$5),IF(D6226=4,(2*(D6206+G6206))-(F$5*8)+2*(G6206-2*F$5)))))/1000</f>
        <v>0.74</v>
      </c>
      <c r="K6226" s="400" t="s">
        <v>204</v>
      </c>
      <c r="L6226" s="399">
        <f t="shared" si="20191"/>
        <v>0.15</v>
      </c>
      <c r="M6226" s="399" t="s">
        <v>176</v>
      </c>
      <c r="N6226" s="399">
        <f t="shared" si="20192"/>
        <v>0.89</v>
      </c>
      <c r="O6226" s="399"/>
      <c r="P6226" s="389"/>
      <c r="Q6226" s="399"/>
      <c r="R6226" s="399"/>
      <c r="S6226" s="399"/>
      <c r="T6226" s="399" t="s">
        <v>125</v>
      </c>
      <c r="U6226" s="401">
        <f t="shared" si="20193"/>
        <v>0.39456000000000002</v>
      </c>
      <c r="V6226" s="399" t="s">
        <v>125</v>
      </c>
      <c r="W6226" s="399">
        <f t="shared" ref="W6226" si="20199">IF(D6208-MAX(D6208/4,2*G6206)*2&gt;0,ROUND((D6208-MAX(D6208/4,2*G6206)*2)/H6226,0),0)</f>
        <v>23</v>
      </c>
      <c r="X6226" s="399" t="s">
        <v>125</v>
      </c>
      <c r="Y6226" s="389">
        <f t="shared" ref="Y6226" si="20200">D6211</f>
        <v>1</v>
      </c>
      <c r="Z6226" s="400" t="s">
        <v>176</v>
      </c>
      <c r="AA6226" s="402">
        <f t="shared" si="20196"/>
        <v>8.0766432000000012</v>
      </c>
      <c r="AB6226" s="403"/>
    </row>
    <row r="6227" spans="1:28">
      <c r="A6227" s="384" t="str">
        <f t="shared" ref="A6227:B6227" si="20201">A6205</f>
        <v>Lantai Atap</v>
      </c>
      <c r="B6227" s="385">
        <f t="shared" si="20201"/>
        <v>1</v>
      </c>
      <c r="C6227" s="393" t="s">
        <v>211</v>
      </c>
      <c r="D6227" s="398">
        <f>VLOOKUP(D6205,'Detail Balok'!$C$10:$AU$140,41,FALSE)</f>
        <v>0</v>
      </c>
      <c r="E6227" s="388" t="s">
        <v>16</v>
      </c>
      <c r="F6227" s="388">
        <f>VLOOKUP(D6205,'Detail Balok'!$C$10:$AU$140,43,FALSE)</f>
        <v>8</v>
      </c>
      <c r="G6227" s="405" t="s">
        <v>157</v>
      </c>
      <c r="H6227" s="395">
        <f>VLOOKUP(D6205,'Detail Balok'!$C$10:$AU$140,45,FALSE)</f>
        <v>150</v>
      </c>
      <c r="I6227" s="388"/>
      <c r="J6227" s="400">
        <f t="shared" ref="J6227" si="20202">(IF(D6227=0,(2*(D6206+G6206))-(F$5*8),IF(D6227=3,(2*(D6206+G6206))-(F$5*8)+(G6206-2*F$5),IF(D6227=4,(2*(D6206+G6206))-(F$5*8)+2*(G6206-2*F$5)))))/1000</f>
        <v>0.74</v>
      </c>
      <c r="K6227" s="400" t="s">
        <v>204</v>
      </c>
      <c r="L6227" s="399">
        <f t="shared" si="20191"/>
        <v>0.15</v>
      </c>
      <c r="M6227" s="399" t="s">
        <v>176</v>
      </c>
      <c r="N6227" s="399">
        <f t="shared" si="20192"/>
        <v>0.89</v>
      </c>
      <c r="O6227" s="399"/>
      <c r="P6227" s="389"/>
      <c r="Q6227" s="399"/>
      <c r="R6227" s="399"/>
      <c r="S6227" s="399"/>
      <c r="T6227" s="399" t="s">
        <v>125</v>
      </c>
      <c r="U6227" s="401">
        <f t="shared" si="20193"/>
        <v>0.39456000000000002</v>
      </c>
      <c r="V6227" s="399" t="s">
        <v>125</v>
      </c>
      <c r="W6227" s="399">
        <f t="shared" ref="W6227" si="20203">IF(D6208&gt;4*G6206,ROUND(MAX(D6208/4,2*G6206)/H6227,0)+1,0)</f>
        <v>16</v>
      </c>
      <c r="X6227" s="399" t="s">
        <v>125</v>
      </c>
      <c r="Y6227" s="389">
        <f t="shared" ref="Y6227" si="20204">D6211</f>
        <v>1</v>
      </c>
      <c r="Z6227" s="400" t="s">
        <v>176</v>
      </c>
      <c r="AA6227" s="402">
        <f t="shared" si="20196"/>
        <v>5.6185344000000006</v>
      </c>
      <c r="AB6227" s="403"/>
    </row>
    <row r="6228" spans="1:28">
      <c r="A6228" s="384"/>
      <c r="B6228" s="385"/>
      <c r="C6228" s="393"/>
      <c r="D6228" s="394"/>
      <c r="E6228" s="388"/>
      <c r="F6228" s="388"/>
      <c r="G6228" s="388"/>
      <c r="H6228" s="395"/>
      <c r="I6228" s="388"/>
      <c r="J6228" s="399"/>
      <c r="K6228" s="396"/>
      <c r="L6228" s="396"/>
      <c r="M6228" s="396"/>
      <c r="N6228" s="396"/>
      <c r="O6228" s="396"/>
      <c r="P6228" s="389"/>
      <c r="Q6228" s="396"/>
      <c r="R6228" s="396"/>
      <c r="S6228" s="396"/>
      <c r="T6228" s="396"/>
      <c r="U6228" s="401"/>
      <c r="V6228" s="396"/>
      <c r="W6228" s="388"/>
      <c r="X6228" s="396"/>
      <c r="Y6228" s="389"/>
      <c r="Z6228" s="396"/>
      <c r="AA6228" s="388"/>
      <c r="AB6228" s="390"/>
    </row>
    <row r="6229" spans="1:28">
      <c r="A6229" s="384" t="str">
        <f t="shared" ref="A6229:B6229" si="20205">A6205</f>
        <v>Lantai Atap</v>
      </c>
      <c r="B6229" s="385">
        <f t="shared" si="20205"/>
        <v>1</v>
      </c>
      <c r="C6229" s="393" t="s">
        <v>213</v>
      </c>
      <c r="D6229" s="398">
        <f>VLOOKUP(D6205,'Detail Balok'!$C$10:$BJ$140,46,FALSE)</f>
        <v>0</v>
      </c>
      <c r="E6229" s="388" t="s">
        <v>16</v>
      </c>
      <c r="F6229" s="388">
        <f>VLOOKUP(D6205,'Detail Balok'!$C$10:$BJ$140,48,FALSE)</f>
        <v>0</v>
      </c>
      <c r="G6229" s="405" t="s">
        <v>157</v>
      </c>
      <c r="H6229" s="395">
        <f>VLOOKUP(D6205,'Detail Balok'!$C$10:$BJ$140,50,FALSE)</f>
        <v>100</v>
      </c>
      <c r="I6229" s="388"/>
      <c r="J6229" s="399">
        <f t="shared" ref="J6229" si="20206">(D6206-2*F$5)/1000</f>
        <v>0.05</v>
      </c>
      <c r="K6229" s="400" t="s">
        <v>204</v>
      </c>
      <c r="L6229" s="399">
        <f t="shared" ref="L6229:L6231" si="20207">IF(D6229=0,2*MAX(6*F6229,75),(D6229-1)*2*MAX(6*F6229,75))/1000</f>
        <v>0.15</v>
      </c>
      <c r="M6229" s="399" t="s">
        <v>176</v>
      </c>
      <c r="N6229" s="399">
        <f t="shared" ref="N6229:N6231" si="20208">J6229+L6229</f>
        <v>0.2</v>
      </c>
      <c r="O6229" s="399"/>
      <c r="P6229" s="399"/>
      <c r="Q6229" s="399"/>
      <c r="R6229" s="399"/>
      <c r="S6229" s="399"/>
      <c r="T6229" s="399" t="s">
        <v>125</v>
      </c>
      <c r="U6229" s="401">
        <f t="shared" ref="U6229:U6231" si="20209">0.006165*F6229^2</f>
        <v>0</v>
      </c>
      <c r="V6229" s="399" t="s">
        <v>125</v>
      </c>
      <c r="W6229" s="399">
        <f t="shared" ref="W6229:W6231" si="20210">W6225</f>
        <v>16</v>
      </c>
      <c r="X6229" s="399" t="s">
        <v>125</v>
      </c>
      <c r="Y6229" s="389">
        <f t="shared" ref="Y6229" si="20211">D6215</f>
        <v>2</v>
      </c>
      <c r="Z6229" s="400" t="s">
        <v>176</v>
      </c>
      <c r="AA6229" s="402">
        <f t="shared" ref="AA6229:AA6231" si="20212">N6229*U6229*W6229*Y6229</f>
        <v>0</v>
      </c>
      <c r="AB6229" s="403"/>
    </row>
    <row r="6230" spans="1:28">
      <c r="A6230" s="384" t="str">
        <f t="shared" ref="A6230:B6230" si="20213">A6205</f>
        <v>Lantai Atap</v>
      </c>
      <c r="B6230" s="385">
        <f t="shared" si="20213"/>
        <v>1</v>
      </c>
      <c r="C6230" s="393" t="s">
        <v>214</v>
      </c>
      <c r="D6230" s="398">
        <f>VLOOKUP(D6205,'Detail Balok'!$C$10:$BJ$140,51,FALSE)</f>
        <v>0</v>
      </c>
      <c r="E6230" s="388" t="s">
        <v>16</v>
      </c>
      <c r="F6230" s="388">
        <f>VLOOKUP(D6205,'Detail Balok'!$C$10:$BJ$140,53,FALSE)</f>
        <v>0</v>
      </c>
      <c r="G6230" s="405" t="s">
        <v>157</v>
      </c>
      <c r="H6230" s="395">
        <f>VLOOKUP(D6205,'Detail Balok'!$C$10:$BJ$140,55,FALSE)</f>
        <v>100</v>
      </c>
      <c r="I6230" s="388"/>
      <c r="J6230" s="399">
        <f t="shared" ref="J6230" si="20214">(D6206-2*F$5)/1000</f>
        <v>0.05</v>
      </c>
      <c r="K6230" s="400" t="s">
        <v>204</v>
      </c>
      <c r="L6230" s="399">
        <f t="shared" si="20207"/>
        <v>0.15</v>
      </c>
      <c r="M6230" s="399" t="s">
        <v>176</v>
      </c>
      <c r="N6230" s="399">
        <f t="shared" si="20208"/>
        <v>0.2</v>
      </c>
      <c r="O6230" s="399"/>
      <c r="P6230" s="399"/>
      <c r="Q6230" s="399"/>
      <c r="R6230" s="399"/>
      <c r="S6230" s="399"/>
      <c r="T6230" s="399" t="s">
        <v>125</v>
      </c>
      <c r="U6230" s="401">
        <f t="shared" si="20209"/>
        <v>0</v>
      </c>
      <c r="V6230" s="399" t="s">
        <v>125</v>
      </c>
      <c r="W6230" s="399">
        <f t="shared" si="20210"/>
        <v>23</v>
      </c>
      <c r="X6230" s="399" t="s">
        <v>125</v>
      </c>
      <c r="Y6230" s="389">
        <f t="shared" ref="Y6230" si="20215">D6215</f>
        <v>2</v>
      </c>
      <c r="Z6230" s="400" t="s">
        <v>176</v>
      </c>
      <c r="AA6230" s="402">
        <f t="shared" si="20212"/>
        <v>0</v>
      </c>
      <c r="AB6230" s="403"/>
    </row>
    <row r="6231" spans="1:28">
      <c r="A6231" s="384" t="str">
        <f t="shared" ref="A6231:B6231" si="20216">A6205</f>
        <v>Lantai Atap</v>
      </c>
      <c r="B6231" s="385">
        <f t="shared" si="20216"/>
        <v>1</v>
      </c>
      <c r="C6231" s="393" t="s">
        <v>213</v>
      </c>
      <c r="D6231" s="398">
        <f>VLOOKUP(D6205,'Detail Balok'!$C$10:$BJ$140,56,FALSE)</f>
        <v>0</v>
      </c>
      <c r="E6231" s="388" t="s">
        <v>16</v>
      </c>
      <c r="F6231" s="388">
        <f>VLOOKUP(D6205,'Detail Balok'!$C$10:$BJ$140,58,FALSE)</f>
        <v>0</v>
      </c>
      <c r="G6231" s="405" t="s">
        <v>157</v>
      </c>
      <c r="H6231" s="395">
        <f>VLOOKUP(D6205,'Detail Balok'!$C$10:$BJ$140,60,FALSE)</f>
        <v>100</v>
      </c>
      <c r="I6231" s="388"/>
      <c r="J6231" s="399">
        <f t="shared" ref="J6231" si="20217">(D6206-2*F$5)/1000</f>
        <v>0.05</v>
      </c>
      <c r="K6231" s="400" t="s">
        <v>204</v>
      </c>
      <c r="L6231" s="399">
        <f t="shared" si="20207"/>
        <v>0.15</v>
      </c>
      <c r="M6231" s="399" t="s">
        <v>176</v>
      </c>
      <c r="N6231" s="399">
        <f t="shared" si="20208"/>
        <v>0.2</v>
      </c>
      <c r="O6231" s="399"/>
      <c r="P6231" s="399"/>
      <c r="Q6231" s="399"/>
      <c r="R6231" s="399"/>
      <c r="S6231" s="399"/>
      <c r="T6231" s="399" t="s">
        <v>125</v>
      </c>
      <c r="U6231" s="401">
        <f t="shared" si="20209"/>
        <v>0</v>
      </c>
      <c r="V6231" s="399" t="s">
        <v>125</v>
      </c>
      <c r="W6231" s="399">
        <f t="shared" si="20210"/>
        <v>16</v>
      </c>
      <c r="X6231" s="399" t="s">
        <v>125</v>
      </c>
      <c r="Y6231" s="389">
        <f t="shared" ref="Y6231" si="20218">D6215</f>
        <v>2</v>
      </c>
      <c r="Z6231" s="400" t="s">
        <v>176</v>
      </c>
      <c r="AA6231" s="402">
        <f t="shared" si="20212"/>
        <v>0</v>
      </c>
      <c r="AB6231" s="403"/>
    </row>
    <row r="6232" spans="1:28">
      <c r="A6232" s="391"/>
      <c r="B6232" s="392"/>
      <c r="C6232" s="392"/>
      <c r="D6232" s="394"/>
      <c r="E6232" s="388"/>
      <c r="F6232" s="388"/>
      <c r="G6232" s="388"/>
      <c r="H6232" s="395"/>
      <c r="I6232" s="388"/>
      <c r="J6232" s="402"/>
      <c r="K6232" s="388"/>
      <c r="L6232" s="388"/>
      <c r="M6232" s="388"/>
      <c r="N6232" s="388"/>
      <c r="O6232" s="388"/>
      <c r="P6232" s="388"/>
      <c r="Q6232" s="388"/>
      <c r="R6232" s="388"/>
      <c r="S6232" s="388"/>
      <c r="T6232" s="388"/>
      <c r="U6232" s="388"/>
      <c r="V6232" s="388"/>
      <c r="W6232" s="388"/>
      <c r="X6232" s="388"/>
      <c r="Y6232" s="389"/>
      <c r="Z6232" s="388"/>
      <c r="AA6232" s="402"/>
      <c r="AB6232" s="403"/>
    </row>
    <row r="6233" spans="1:28" ht="15.75" thickBot="1">
      <c r="A6233" s="406"/>
      <c r="B6233" s="407"/>
      <c r="C6233" s="407"/>
      <c r="D6233" s="408"/>
      <c r="E6233" s="409"/>
      <c r="F6233" s="409"/>
      <c r="G6233" s="409"/>
      <c r="H6233" s="410"/>
      <c r="I6233" s="409"/>
      <c r="J6233" s="409"/>
      <c r="K6233" s="409"/>
      <c r="L6233" s="409"/>
      <c r="M6233" s="409"/>
      <c r="N6233" s="409"/>
      <c r="O6233" s="409"/>
      <c r="P6233" s="409"/>
      <c r="Q6233" s="409"/>
      <c r="R6233" s="409"/>
      <c r="S6233" s="409"/>
      <c r="T6233" s="409"/>
      <c r="U6233" s="409"/>
      <c r="V6233" s="409"/>
      <c r="W6233" s="409"/>
      <c r="X6233" s="409"/>
      <c r="Y6233" s="411"/>
      <c r="Z6233" s="409"/>
      <c r="AA6233" s="412"/>
      <c r="AB6233" s="413"/>
    </row>
    <row r="6234" spans="1:28">
      <c r="A6234" s="377"/>
      <c r="B6234" s="378"/>
      <c r="C6234" s="378"/>
      <c r="D6234" s="379"/>
      <c r="E6234" s="380"/>
      <c r="F6234" s="380"/>
      <c r="G6234" s="380"/>
      <c r="H6234" s="381"/>
      <c r="I6234" s="380"/>
      <c r="J6234" s="380"/>
      <c r="K6234" s="380"/>
      <c r="L6234" s="380"/>
      <c r="M6234" s="380"/>
      <c r="N6234" s="380"/>
      <c r="O6234" s="380"/>
      <c r="P6234" s="380"/>
      <c r="Q6234" s="380"/>
      <c r="R6234" s="380"/>
      <c r="S6234" s="380"/>
      <c r="T6234" s="380"/>
      <c r="U6234" s="380"/>
      <c r="V6234" s="380"/>
      <c r="W6234" s="380"/>
      <c r="X6234" s="380"/>
      <c r="Y6234" s="382"/>
      <c r="Z6234" s="380"/>
      <c r="AA6234" s="380"/>
      <c r="AB6234" s="383"/>
    </row>
    <row r="6235" spans="1:28">
      <c r="A6235" s="384" t="str">
        <f t="shared" ref="A6235" si="20219">A6205</f>
        <v>Lantai Atap</v>
      </c>
      <c r="B6235" s="385">
        <f t="shared" ref="B6235" si="20220">B6205+1</f>
        <v>2</v>
      </c>
      <c r="C6235" s="386" t="str">
        <f t="shared" ref="C6235" si="20221">CONCATENATE(A6235," no. ",B6235)</f>
        <v>Lantai Atap no. 2</v>
      </c>
      <c r="D6235" s="2562" t="str">
        <f>VLOOKUP(C6235,'Data Panjang Balok'!$C$9:$N$254,2,FALSE)</f>
        <v>B4-1</v>
      </c>
      <c r="E6235" s="2576"/>
      <c r="F6235" s="2576"/>
      <c r="G6235" s="2576"/>
      <c r="H6235" s="2577"/>
      <c r="I6235" s="387"/>
      <c r="J6235" s="388"/>
      <c r="K6235" s="388"/>
      <c r="L6235" s="388"/>
      <c r="M6235" s="388"/>
      <c r="N6235" s="388"/>
      <c r="O6235" s="388"/>
      <c r="P6235" s="388"/>
      <c r="Q6235" s="388"/>
      <c r="R6235" s="388"/>
      <c r="S6235" s="388"/>
      <c r="T6235" s="388"/>
      <c r="U6235" s="388"/>
      <c r="V6235" s="388"/>
      <c r="W6235" s="388"/>
      <c r="X6235" s="388"/>
      <c r="Y6235" s="389"/>
      <c r="Z6235" s="388"/>
      <c r="AA6235" s="388"/>
      <c r="AB6235" s="390"/>
    </row>
    <row r="6236" spans="1:28">
      <c r="A6236" s="391"/>
      <c r="B6236" s="392"/>
      <c r="C6236" s="393" t="s">
        <v>118</v>
      </c>
      <c r="D6236" s="2578">
        <f>VLOOKUP(D6235,'Detail Balok'!$C$10:$AU$140,2,FALSE)</f>
        <v>130</v>
      </c>
      <c r="E6236" s="2579"/>
      <c r="F6236" s="388" t="s">
        <v>125</v>
      </c>
      <c r="G6236" s="2579">
        <f>VLOOKUP(D6235,'Detail Balok'!$C$10:$AU$140,3,FALSE)</f>
        <v>400</v>
      </c>
      <c r="H6236" s="2580"/>
      <c r="I6236" s="388"/>
      <c r="J6236" s="396"/>
      <c r="K6236" s="396"/>
      <c r="L6236" s="396"/>
      <c r="M6236" s="396"/>
      <c r="N6236" s="396"/>
      <c r="O6236" s="396"/>
      <c r="P6236" s="396"/>
      <c r="Q6236" s="396"/>
      <c r="R6236" s="396"/>
      <c r="S6236" s="396"/>
      <c r="T6236" s="396"/>
      <c r="U6236" s="388"/>
      <c r="V6236" s="396"/>
      <c r="W6236" s="388"/>
      <c r="X6236" s="396"/>
      <c r="Y6236" s="389"/>
      <c r="Z6236" s="396"/>
      <c r="AA6236" s="388"/>
      <c r="AB6236" s="390"/>
    </row>
    <row r="6237" spans="1:28">
      <c r="A6237" s="391"/>
      <c r="B6237" s="392"/>
      <c r="C6237" s="393" t="s">
        <v>198</v>
      </c>
      <c r="D6237" s="2562">
        <f>VLOOKUP(C6235,'Data Panjang Balok'!$C$9:$N$254,4,FALSE)</f>
        <v>5145</v>
      </c>
      <c r="E6237" s="2563"/>
      <c r="F6237" s="2563"/>
      <c r="G6237" s="2563"/>
      <c r="H6237" s="2564"/>
      <c r="I6237" s="397"/>
      <c r="J6237" s="396"/>
      <c r="K6237" s="396"/>
      <c r="L6237" s="396"/>
      <c r="M6237" s="396"/>
      <c r="N6237" s="396"/>
      <c r="O6237" s="396"/>
      <c r="P6237" s="396"/>
      <c r="Q6237" s="396"/>
      <c r="R6237" s="396"/>
      <c r="S6237" s="396"/>
      <c r="T6237" s="396"/>
      <c r="U6237" s="388"/>
      <c r="V6237" s="396"/>
      <c r="W6237" s="388"/>
      <c r="X6237" s="396"/>
      <c r="Y6237" s="389"/>
      <c r="Z6237" s="396"/>
      <c r="AA6237" s="388"/>
      <c r="AB6237" s="390"/>
    </row>
    <row r="6238" spans="1:28">
      <c r="A6238" s="391"/>
      <c r="B6238" s="392"/>
      <c r="C6238" s="393" t="s">
        <v>199</v>
      </c>
      <c r="D6238" s="2562">
        <f>VLOOKUP(C6235,'Data Panjang Balok'!$C$9:$N$254,7,FALSE)</f>
        <v>5145</v>
      </c>
      <c r="E6238" s="2563"/>
      <c r="F6238" s="2563"/>
      <c r="G6238" s="2563"/>
      <c r="H6238" s="2564"/>
      <c r="I6238" s="397"/>
      <c r="J6238" s="396"/>
      <c r="K6238" s="396"/>
      <c r="L6238" s="396"/>
      <c r="M6238" s="396"/>
      <c r="N6238" s="396"/>
      <c r="O6238" s="396"/>
      <c r="P6238" s="396"/>
      <c r="Q6238" s="396"/>
      <c r="R6238" s="396"/>
      <c r="S6238" s="396"/>
      <c r="T6238" s="396"/>
      <c r="U6238" s="388"/>
      <c r="V6238" s="396"/>
      <c r="W6238" s="388"/>
      <c r="X6238" s="396"/>
      <c r="Y6238" s="389"/>
      <c r="Z6238" s="396"/>
      <c r="AA6238" s="388"/>
      <c r="AB6238" s="390"/>
    </row>
    <row r="6239" spans="1:28">
      <c r="A6239" s="391"/>
      <c r="B6239" s="392"/>
      <c r="C6239" s="393" t="s">
        <v>200</v>
      </c>
      <c r="D6239" s="2562">
        <f>VLOOKUP(C6235,'Data Panjang Balok'!$C$9:$N$254,9,FALSE)</f>
        <v>0</v>
      </c>
      <c r="E6239" s="2563"/>
      <c r="F6239" s="2563"/>
      <c r="G6239" s="2563"/>
      <c r="H6239" s="2564"/>
      <c r="I6239" s="397"/>
      <c r="J6239" s="396"/>
      <c r="K6239" s="396"/>
      <c r="L6239" s="396"/>
      <c r="M6239" s="396"/>
      <c r="N6239" s="396"/>
      <c r="O6239" s="396"/>
      <c r="P6239" s="396"/>
      <c r="Q6239" s="396"/>
      <c r="R6239" s="396"/>
      <c r="S6239" s="396"/>
      <c r="T6239" s="396"/>
      <c r="U6239" s="388"/>
      <c r="V6239" s="396"/>
      <c r="W6239" s="388"/>
      <c r="X6239" s="396"/>
      <c r="Y6239" s="389"/>
      <c r="Z6239" s="396"/>
      <c r="AA6239" s="388"/>
      <c r="AB6239" s="390"/>
    </row>
    <row r="6240" spans="1:28">
      <c r="A6240" s="391"/>
      <c r="B6240" s="392"/>
      <c r="C6240" s="393" t="s">
        <v>201</v>
      </c>
      <c r="D6240" s="2562">
        <f>VLOOKUP(C6235,'Data Panjang Balok'!$C$9:$N$254,10,FALSE)</f>
        <v>0</v>
      </c>
      <c r="E6240" s="2563"/>
      <c r="F6240" s="2563"/>
      <c r="G6240" s="2563"/>
      <c r="H6240" s="2564"/>
      <c r="I6240" s="397"/>
      <c r="J6240" s="396"/>
      <c r="K6240" s="396"/>
      <c r="L6240" s="396"/>
      <c r="M6240" s="396"/>
      <c r="N6240" s="396"/>
      <c r="O6240" s="396"/>
      <c r="P6240" s="396"/>
      <c r="Q6240" s="396"/>
      <c r="R6240" s="396"/>
      <c r="S6240" s="396"/>
      <c r="T6240" s="396"/>
      <c r="U6240" s="388"/>
      <c r="V6240" s="396"/>
      <c r="W6240" s="388"/>
      <c r="X6240" s="396"/>
      <c r="Y6240" s="389"/>
      <c r="Z6240" s="396"/>
      <c r="AA6240" s="388"/>
      <c r="AB6240" s="390"/>
    </row>
    <row r="6241" spans="1:28">
      <c r="A6241" s="391"/>
      <c r="B6241" s="392"/>
      <c r="C6241" s="393" t="s">
        <v>48</v>
      </c>
      <c r="D6241" s="2562">
        <f>VLOOKUP(C6235,'Data Panjang Balok'!$C$9:$N$254,3,FALSE)</f>
        <v>1</v>
      </c>
      <c r="E6241" s="2563"/>
      <c r="F6241" s="2563"/>
      <c r="G6241" s="2563"/>
      <c r="H6241" s="2564"/>
      <c r="I6241" s="397"/>
      <c r="J6241" s="396"/>
      <c r="K6241" s="396"/>
      <c r="L6241" s="396"/>
      <c r="M6241" s="396"/>
      <c r="N6241" s="396"/>
      <c r="O6241" s="396"/>
      <c r="P6241" s="396"/>
      <c r="Q6241" s="396"/>
      <c r="R6241" s="396"/>
      <c r="S6241" s="396"/>
      <c r="T6241" s="396"/>
      <c r="U6241" s="388"/>
      <c r="V6241" s="396"/>
      <c r="W6241" s="388"/>
      <c r="X6241" s="396"/>
      <c r="Y6241" s="389"/>
      <c r="Z6241" s="396"/>
      <c r="AA6241" s="388"/>
      <c r="AB6241" s="390"/>
    </row>
    <row r="6242" spans="1:28">
      <c r="A6242" s="384" t="str">
        <f t="shared" ref="A6242:B6242" si="20222">A6235</f>
        <v>Lantai Atap</v>
      </c>
      <c r="B6242" s="385">
        <f t="shared" si="20222"/>
        <v>2</v>
      </c>
      <c r="C6242" s="393" t="s">
        <v>202</v>
      </c>
      <c r="D6242" s="398">
        <f>VLOOKUP(D6235,'Detail Balok'!$C$10:$AU$140,4,FALSE)</f>
        <v>2</v>
      </c>
      <c r="E6242" s="388" t="s">
        <v>16</v>
      </c>
      <c r="F6242" s="388">
        <f>VLOOKUP(D6235,'Detail Balok'!$C$10:$AU$140,6,FALSE)</f>
        <v>13</v>
      </c>
      <c r="G6242" s="388"/>
      <c r="H6242" s="395"/>
      <c r="I6242" s="388" t="s">
        <v>203</v>
      </c>
      <c r="J6242" s="399">
        <f t="shared" ref="J6242" si="20223">+D6237/4/1000</f>
        <v>1.2862499999999999</v>
      </c>
      <c r="K6242" s="400" t="s">
        <v>204</v>
      </c>
      <c r="L6242" s="399">
        <f t="shared" ref="L6242" si="20224">MAX(VLOOKUP(F6242,N$6:P$15,3,FALSE)/1000,2/3*D6239/1000)+F$16*F6242/1000</f>
        <v>0.156</v>
      </c>
      <c r="M6242" s="399" t="s">
        <v>176</v>
      </c>
      <c r="N6242" s="399">
        <f t="shared" ref="N6242:N6244" si="20225">J6242+L6242</f>
        <v>1.4422499999999998</v>
      </c>
      <c r="O6242" s="399" t="s">
        <v>204</v>
      </c>
      <c r="P6242" s="389">
        <f t="shared" ref="P6242" si="20226">D6242-D6243</f>
        <v>0</v>
      </c>
      <c r="Q6242" s="399" t="s">
        <v>125</v>
      </c>
      <c r="R6242" s="399">
        <f t="shared" ref="R6242" si="20227">IF(P6242&gt;0,$F$18*F6242/1000,0)</f>
        <v>0</v>
      </c>
      <c r="S6242" s="399" t="s">
        <v>205</v>
      </c>
      <c r="T6242" s="399" t="s">
        <v>125</v>
      </c>
      <c r="U6242" s="401">
        <f t="shared" ref="U6242:U6244" si="20228">0.006165*F6242^2</f>
        <v>1.041885</v>
      </c>
      <c r="V6242" s="399"/>
      <c r="W6242" s="399"/>
      <c r="X6242" s="399" t="s">
        <v>125</v>
      </c>
      <c r="Y6242" s="389">
        <f t="shared" ref="Y6242" si="20229">D6241</f>
        <v>1</v>
      </c>
      <c r="Z6242" s="400" t="s">
        <v>176</v>
      </c>
      <c r="AA6242" s="402">
        <f t="shared" ref="AA6242" si="20230">IF(AA6245=0,(D6242*N6242+P6242*R6242)*U6242*Y6242,0)</f>
        <v>0</v>
      </c>
      <c r="AB6242" s="403"/>
    </row>
    <row r="6243" spans="1:28">
      <c r="A6243" s="384" t="str">
        <f t="shared" ref="A6243:B6243" si="20231">A6235</f>
        <v>Lantai Atap</v>
      </c>
      <c r="B6243" s="385">
        <f t="shared" si="20231"/>
        <v>2</v>
      </c>
      <c r="C6243" s="393" t="s">
        <v>206</v>
      </c>
      <c r="D6243" s="398">
        <f>VLOOKUP(D6235,'Detail Balok'!$C$10:$AU$140,7,FALSE)</f>
        <v>2</v>
      </c>
      <c r="E6243" s="388" t="s">
        <v>16</v>
      </c>
      <c r="F6243" s="388">
        <f>VLOOKUP(D6235,'Detail Balok'!$C$10:$AU$140,9,FALSE)</f>
        <v>13</v>
      </c>
      <c r="G6243" s="388"/>
      <c r="H6243" s="395"/>
      <c r="I6243" s="388" t="s">
        <v>203</v>
      </c>
      <c r="J6243" s="399">
        <f t="shared" ref="J6243" si="20232">+D6237/2/1000</f>
        <v>2.5724999999999998</v>
      </c>
      <c r="K6243" s="400" t="s">
        <v>204</v>
      </c>
      <c r="L6243" s="399"/>
      <c r="M6243" s="399" t="s">
        <v>176</v>
      </c>
      <c r="N6243" s="399">
        <f t="shared" si="20225"/>
        <v>2.5724999999999998</v>
      </c>
      <c r="O6243" s="399" t="s">
        <v>204</v>
      </c>
      <c r="P6243" s="389">
        <f t="shared" ref="P6243" si="20233">MAX(D6243-D6242,D6243-D6244)</f>
        <v>0</v>
      </c>
      <c r="Q6243" s="399" t="s">
        <v>125</v>
      </c>
      <c r="R6243" s="399">
        <f t="shared" ref="R6243" si="20234">IF(P6243&gt;0,2*(1-2*$F$19-1/2)*D6238/1000,0)</f>
        <v>0</v>
      </c>
      <c r="S6243" s="399" t="s">
        <v>205</v>
      </c>
      <c r="T6243" s="399" t="s">
        <v>125</v>
      </c>
      <c r="U6243" s="401">
        <f t="shared" si="20228"/>
        <v>1.041885</v>
      </c>
      <c r="V6243" s="399"/>
      <c r="W6243" s="399"/>
      <c r="X6243" s="399" t="s">
        <v>125</v>
      </c>
      <c r="Y6243" s="389">
        <f t="shared" ref="Y6243" si="20235">D6241</f>
        <v>1</v>
      </c>
      <c r="Z6243" s="400" t="s">
        <v>176</v>
      </c>
      <c r="AA6243" s="402">
        <f t="shared" ref="AA6243" si="20236">IF(AA6245=0,(D6243*N6243+P6243*R6243)*U6243*Y6243,0)</f>
        <v>0</v>
      </c>
      <c r="AB6243" s="403"/>
    </row>
    <row r="6244" spans="1:28">
      <c r="A6244" s="384" t="str">
        <f t="shared" ref="A6244:B6244" si="20237">A6235</f>
        <v>Lantai Atap</v>
      </c>
      <c r="B6244" s="385">
        <f t="shared" si="20237"/>
        <v>2</v>
      </c>
      <c r="C6244" s="393" t="s">
        <v>202</v>
      </c>
      <c r="D6244" s="398">
        <f>VLOOKUP(D6235,'Detail Balok'!$C$10:$AU$140,10,FALSE)</f>
        <v>2</v>
      </c>
      <c r="E6244" s="388" t="s">
        <v>16</v>
      </c>
      <c r="F6244" s="388">
        <f>VLOOKUP(D6235,'Detail Balok'!$C$10:$AU$140,12,FALSE)</f>
        <v>13</v>
      </c>
      <c r="G6244" s="388"/>
      <c r="H6244" s="395"/>
      <c r="I6244" s="388" t="s">
        <v>203</v>
      </c>
      <c r="J6244" s="399">
        <f t="shared" ref="J6244" si="20238">+D6237/4/1000</f>
        <v>1.2862499999999999</v>
      </c>
      <c r="K6244" s="400" t="s">
        <v>204</v>
      </c>
      <c r="L6244" s="399">
        <f t="shared" ref="L6244" si="20239">MAX(VLOOKUP(F6244,N$6:P$15,3,FALSE)/1000,2/3*D6239/1000)+F$16*F6244/1000</f>
        <v>0.156</v>
      </c>
      <c r="M6244" s="399" t="s">
        <v>176</v>
      </c>
      <c r="N6244" s="399">
        <f t="shared" si="20225"/>
        <v>1.4422499999999998</v>
      </c>
      <c r="O6244" s="399" t="s">
        <v>204</v>
      </c>
      <c r="P6244" s="389">
        <f t="shared" ref="P6244" si="20240">D6244-D6243</f>
        <v>0</v>
      </c>
      <c r="Q6244" s="399" t="s">
        <v>125</v>
      </c>
      <c r="R6244" s="399">
        <f t="shared" ref="R6244" si="20241">IF(P6244&gt;0,$F$18*F6244/1000,0)</f>
        <v>0</v>
      </c>
      <c r="S6244" s="399" t="s">
        <v>205</v>
      </c>
      <c r="T6244" s="399" t="s">
        <v>125</v>
      </c>
      <c r="U6244" s="401">
        <f t="shared" si="20228"/>
        <v>1.041885</v>
      </c>
      <c r="V6244" s="399"/>
      <c r="W6244" s="399"/>
      <c r="X6244" s="399" t="s">
        <v>125</v>
      </c>
      <c r="Y6244" s="389">
        <f t="shared" ref="Y6244" si="20242">D6241</f>
        <v>1</v>
      </c>
      <c r="Z6244" s="400" t="s">
        <v>176</v>
      </c>
      <c r="AA6244" s="402">
        <f t="shared" ref="AA6244" si="20243">IF(AA6245=0,(D6244*N6244+P6244*R6244)*U6244*Y6244,0)</f>
        <v>0</v>
      </c>
      <c r="AB6244" s="403"/>
    </row>
    <row r="6245" spans="1:28">
      <c r="A6245" s="384" t="str">
        <f t="shared" ref="A6245:B6245" si="20244">A6235</f>
        <v>Lantai Atap</v>
      </c>
      <c r="B6245" s="385">
        <f t="shared" si="20244"/>
        <v>2</v>
      </c>
      <c r="C6245" s="393"/>
      <c r="D6245" s="398">
        <f t="shared" ref="D6245:D6305" si="20245">IF(AND(D6242=D6243,D6243=D6244,D6242=D6244),D6242,0)</f>
        <v>2</v>
      </c>
      <c r="E6245" s="388" t="s">
        <v>16</v>
      </c>
      <c r="F6245" s="388">
        <f t="shared" ref="F6245:F6305" si="20246">IF(AND(F6242=F6243,F6242=F6244,F6243=F6244),F6242,0)</f>
        <v>13</v>
      </c>
      <c r="G6245" s="388"/>
      <c r="H6245" s="395"/>
      <c r="I6245" s="388"/>
      <c r="J6245" s="396"/>
      <c r="K6245" s="396"/>
      <c r="L6245" s="404" t="s">
        <v>207</v>
      </c>
      <c r="M6245" s="399" t="s">
        <v>176</v>
      </c>
      <c r="N6245" s="399">
        <f t="shared" ref="N6245" si="20247">IF(AND(D6242=D6243,D6242=D6244,D6243=D6244,F6242=F6243,F6242=F6244,F6243=F6244),SUM(N6242:N6244),0)</f>
        <v>5.456999999999999</v>
      </c>
      <c r="O6245" s="399" t="s">
        <v>204</v>
      </c>
      <c r="P6245" s="389">
        <f t="shared" ref="P6245" si="20248">IF(N6245&gt;12,ROUNDDOWN(N6245/12,0),0)</f>
        <v>0</v>
      </c>
      <c r="Q6245" s="399" t="s">
        <v>125</v>
      </c>
      <c r="R6245" s="399">
        <f t="shared" ref="R6245" si="20249">IF(P6245&gt;0,MAX(VLOOKUP(F6245,$D$6:$G$15,3,FALSE),600),0)/1000</f>
        <v>0</v>
      </c>
      <c r="S6245" s="396"/>
      <c r="T6245" s="396" t="s">
        <v>125</v>
      </c>
      <c r="U6245" s="401">
        <f t="shared" ref="U6245:U6305" si="20250">U6244</f>
        <v>1.041885</v>
      </c>
      <c r="V6245" s="396" t="s">
        <v>125</v>
      </c>
      <c r="W6245" s="399">
        <f t="shared" ref="W6245" si="20251">D6245</f>
        <v>2</v>
      </c>
      <c r="X6245" s="399" t="s">
        <v>125</v>
      </c>
      <c r="Y6245" s="389">
        <f t="shared" ref="Y6245:Y6305" si="20252">Y6244</f>
        <v>1</v>
      </c>
      <c r="Z6245" s="400" t="s">
        <v>176</v>
      </c>
      <c r="AA6245" s="402">
        <f t="shared" ref="AA6245" si="20253">(N6245+P6245*R6245/1000)*U6245*W6245*Y6245</f>
        <v>11.371132889999997</v>
      </c>
      <c r="AB6245" s="390"/>
    </row>
    <row r="6246" spans="1:28">
      <c r="A6246" s="384"/>
      <c r="B6246" s="385"/>
      <c r="C6246" s="393"/>
      <c r="D6246" s="398"/>
      <c r="E6246" s="388"/>
      <c r="F6246" s="388"/>
      <c r="G6246" s="388"/>
      <c r="H6246" s="395"/>
      <c r="I6246" s="388"/>
      <c r="J6246" s="396"/>
      <c r="K6246" s="396"/>
      <c r="L6246" s="404"/>
      <c r="M6246" s="399"/>
      <c r="N6246" s="399"/>
      <c r="O6246" s="396"/>
      <c r="P6246" s="389"/>
      <c r="Q6246" s="396"/>
      <c r="R6246" s="396"/>
      <c r="S6246" s="396"/>
      <c r="T6246" s="396"/>
      <c r="U6246" s="401"/>
      <c r="V6246" s="396"/>
      <c r="W6246" s="399"/>
      <c r="X6246" s="396"/>
      <c r="Y6246" s="389"/>
      <c r="Z6246" s="396"/>
      <c r="AA6246" s="388"/>
      <c r="AB6246" s="390"/>
    </row>
    <row r="6247" spans="1:28">
      <c r="A6247" s="384" t="str">
        <f t="shared" ref="A6247:B6247" si="20254">A6235</f>
        <v>Lantai Atap</v>
      </c>
      <c r="B6247" s="385">
        <f t="shared" si="20254"/>
        <v>2</v>
      </c>
      <c r="C6247" s="393" t="s">
        <v>208</v>
      </c>
      <c r="D6247" s="398">
        <f>VLOOKUP(D6235,'Detail Balok'!$C$10:$AU$140,13,FALSE)</f>
        <v>0</v>
      </c>
      <c r="E6247" s="388" t="s">
        <v>16</v>
      </c>
      <c r="F6247" s="388">
        <f>VLOOKUP(D6235,'Detail Balok'!$C$10:$AU$140,15,FALSE)</f>
        <v>8</v>
      </c>
      <c r="G6247" s="388"/>
      <c r="H6247" s="395"/>
      <c r="I6247" s="388"/>
      <c r="J6247" s="399">
        <f t="shared" ref="J6247" si="20255">+D6237/1000</f>
        <v>5.1449999999999996</v>
      </c>
      <c r="K6247" s="400" t="s">
        <v>204</v>
      </c>
      <c r="L6247" s="399">
        <f t="shared" ref="L6247" si="20256">2*$F$16*F6247/1000</f>
        <v>0.192</v>
      </c>
      <c r="M6247" s="399" t="s">
        <v>176</v>
      </c>
      <c r="N6247" s="399">
        <f t="shared" ref="N6247" si="20257">J6247+L6247</f>
        <v>5.3369999999999997</v>
      </c>
      <c r="O6247" s="399" t="s">
        <v>204</v>
      </c>
      <c r="P6247" s="389">
        <f t="shared" ref="P6247" si="20258">IF(N6247&gt;12,ROUNDDOWN(N6247/12,0),0)</f>
        <v>0</v>
      </c>
      <c r="Q6247" s="399" t="s">
        <v>125</v>
      </c>
      <c r="R6247" s="399">
        <f t="shared" ref="R6247" si="20259">IF(P6247&gt;0,MAX(VLOOKUP(F6247,$D$6:$G$15,3,FALSE),600),0)/1000</f>
        <v>0</v>
      </c>
      <c r="S6247" s="399"/>
      <c r="T6247" s="399" t="s">
        <v>125</v>
      </c>
      <c r="U6247" s="401">
        <f t="shared" ref="U6247" si="20260">0.006165*F6247^2</f>
        <v>0.39456000000000002</v>
      </c>
      <c r="V6247" s="399" t="s">
        <v>125</v>
      </c>
      <c r="W6247" s="399">
        <f t="shared" ref="W6247" si="20261">+D6247</f>
        <v>0</v>
      </c>
      <c r="X6247" s="399" t="s">
        <v>125</v>
      </c>
      <c r="Y6247" s="389">
        <f t="shared" ref="Y6247" si="20262">D6241</f>
        <v>1</v>
      </c>
      <c r="Z6247" s="400" t="s">
        <v>176</v>
      </c>
      <c r="AA6247" s="402">
        <f t="shared" ref="AA6247" si="20263">(N6247+P6247*R6247/1000)*U6247*W6247*Y6247</f>
        <v>0</v>
      </c>
      <c r="AB6247" s="403"/>
    </row>
    <row r="6248" spans="1:28">
      <c r="A6248" s="384"/>
      <c r="B6248" s="385"/>
      <c r="C6248" s="393"/>
      <c r="D6248" s="398"/>
      <c r="E6248" s="388"/>
      <c r="F6248" s="388"/>
      <c r="G6248" s="388"/>
      <c r="H6248" s="395"/>
      <c r="I6248" s="388"/>
      <c r="J6248" s="399"/>
      <c r="K6248" s="400"/>
      <c r="L6248" s="399"/>
      <c r="M6248" s="399"/>
      <c r="N6248" s="399"/>
      <c r="O6248" s="399"/>
      <c r="P6248" s="389"/>
      <c r="Q6248" s="399"/>
      <c r="R6248" s="399"/>
      <c r="S6248" s="399"/>
      <c r="T6248" s="399"/>
      <c r="U6248" s="401"/>
      <c r="V6248" s="399"/>
      <c r="W6248" s="399"/>
      <c r="X6248" s="399"/>
      <c r="Y6248" s="389"/>
      <c r="Z6248" s="400"/>
      <c r="AA6248" s="402"/>
      <c r="AB6248" s="403"/>
    </row>
    <row r="6249" spans="1:28">
      <c r="A6249" s="384"/>
      <c r="B6249" s="385"/>
      <c r="C6249" s="393"/>
      <c r="D6249" s="398"/>
      <c r="E6249" s="388"/>
      <c r="F6249" s="388"/>
      <c r="G6249" s="388"/>
      <c r="H6249" s="395"/>
      <c r="I6249" s="388"/>
      <c r="J6249" s="396"/>
      <c r="K6249" s="396"/>
      <c r="L6249" s="396"/>
      <c r="M6249" s="396"/>
      <c r="N6249" s="396"/>
      <c r="O6249" s="396"/>
      <c r="P6249" s="389"/>
      <c r="Q6249" s="396"/>
      <c r="R6249" s="396"/>
      <c r="S6249" s="396"/>
      <c r="T6249" s="396"/>
      <c r="U6249" s="401"/>
      <c r="V6249" s="396"/>
      <c r="W6249" s="399"/>
      <c r="X6249" s="396"/>
      <c r="Y6249" s="389"/>
      <c r="Z6249" s="396"/>
      <c r="AA6249" s="388"/>
      <c r="AB6249" s="390"/>
    </row>
    <row r="6250" spans="1:28">
      <c r="A6250" s="384" t="str">
        <f t="shared" ref="A6250:B6250" si="20264">A6235</f>
        <v>Lantai Atap</v>
      </c>
      <c r="B6250" s="385">
        <f t="shared" si="20264"/>
        <v>2</v>
      </c>
      <c r="C6250" s="393" t="s">
        <v>209</v>
      </c>
      <c r="D6250" s="398">
        <f>VLOOKUP(D6235,'Detail Balok'!$C$10:$AU$140,22,FALSE)</f>
        <v>2</v>
      </c>
      <c r="E6250" s="388" t="s">
        <v>16</v>
      </c>
      <c r="F6250" s="388">
        <f>VLOOKUP(D6235,'Detail Balok'!$C$10:$AU$140,24,FALSE)</f>
        <v>13</v>
      </c>
      <c r="G6250" s="388"/>
      <c r="H6250" s="395"/>
      <c r="I6250" s="388" t="s">
        <v>203</v>
      </c>
      <c r="J6250" s="399">
        <f t="shared" ref="J6250:J6312" si="20265">+J6242</f>
        <v>1.2862499999999999</v>
      </c>
      <c r="K6250" s="400" t="s">
        <v>204</v>
      </c>
      <c r="L6250" s="399">
        <f t="shared" ref="L6250" si="20266">MAX(VLOOKUP(F6250,N$6:P$15,3,FALSE)/1000,2/3*D6240/1000)+F$16*F6250/1000</f>
        <v>0.156</v>
      </c>
      <c r="M6250" s="399" t="s">
        <v>176</v>
      </c>
      <c r="N6250" s="399">
        <f t="shared" ref="N6250:N6252" si="20267">J6250+L6250</f>
        <v>1.4422499999999998</v>
      </c>
      <c r="O6250" s="399" t="s">
        <v>204</v>
      </c>
      <c r="P6250" s="389">
        <f t="shared" ref="P6250" si="20268">D6250-D6251</f>
        <v>0</v>
      </c>
      <c r="Q6250" s="399" t="s">
        <v>125</v>
      </c>
      <c r="R6250" s="399">
        <f t="shared" ref="R6250" si="20269">IF(P6250&gt;0,$F$18*F6250/1000,0)</f>
        <v>0</v>
      </c>
      <c r="S6250" s="399" t="s">
        <v>205</v>
      </c>
      <c r="T6250" s="399" t="s">
        <v>125</v>
      </c>
      <c r="U6250" s="401">
        <f t="shared" ref="U6250:U6252" si="20270">0.006165*F6250^2</f>
        <v>1.041885</v>
      </c>
      <c r="V6250" s="399"/>
      <c r="W6250" s="399"/>
      <c r="X6250" s="399" t="s">
        <v>125</v>
      </c>
      <c r="Y6250" s="389">
        <f t="shared" ref="Y6250" si="20271">D6241</f>
        <v>1</v>
      </c>
      <c r="Z6250" s="400" t="s">
        <v>176</v>
      </c>
      <c r="AA6250" s="402">
        <f t="shared" ref="AA6250" si="20272">IF(AA6253=0,(D6250*N6250+P6250*R6250)*U6250*Y6250,0)</f>
        <v>0</v>
      </c>
      <c r="AB6250" s="403"/>
    </row>
    <row r="6251" spans="1:28">
      <c r="A6251" s="384" t="str">
        <f t="shared" ref="A6251:B6251" si="20273">A6235</f>
        <v>Lantai Atap</v>
      </c>
      <c r="B6251" s="385">
        <f t="shared" si="20273"/>
        <v>2</v>
      </c>
      <c r="C6251" s="393" t="s">
        <v>210</v>
      </c>
      <c r="D6251" s="398">
        <f>VLOOKUP(D6235,'Detail Balok'!$C$10:$AU$140,25,FALSE)</f>
        <v>2</v>
      </c>
      <c r="E6251" s="388" t="s">
        <v>16</v>
      </c>
      <c r="F6251" s="388">
        <f>VLOOKUP(D6235,'Detail Balok'!$C$10:$AU$140,27,FALSE)</f>
        <v>13</v>
      </c>
      <c r="G6251" s="388"/>
      <c r="H6251" s="395"/>
      <c r="I6251" s="388" t="s">
        <v>203</v>
      </c>
      <c r="J6251" s="399">
        <f t="shared" si="20265"/>
        <v>2.5724999999999998</v>
      </c>
      <c r="K6251" s="400" t="s">
        <v>204</v>
      </c>
      <c r="L6251" s="399"/>
      <c r="M6251" s="399" t="s">
        <v>176</v>
      </c>
      <c r="N6251" s="399">
        <f t="shared" si="20267"/>
        <v>2.5724999999999998</v>
      </c>
      <c r="O6251" s="399" t="s">
        <v>204</v>
      </c>
      <c r="P6251" s="389">
        <f t="shared" ref="P6251" si="20274">MAX(D6251-D6250,D6251-D6252)</f>
        <v>0</v>
      </c>
      <c r="Q6251" s="399" t="s">
        <v>125</v>
      </c>
      <c r="R6251" s="399">
        <f t="shared" ref="R6251" si="20275">IF(P6251&gt;0,2*(1-2*$F$19-1/2)*D6238/1000,0)</f>
        <v>0</v>
      </c>
      <c r="S6251" s="399" t="s">
        <v>205</v>
      </c>
      <c r="T6251" s="399" t="s">
        <v>125</v>
      </c>
      <c r="U6251" s="401">
        <f t="shared" si="20270"/>
        <v>1.041885</v>
      </c>
      <c r="V6251" s="399"/>
      <c r="W6251" s="399"/>
      <c r="X6251" s="399" t="s">
        <v>125</v>
      </c>
      <c r="Y6251" s="389">
        <f t="shared" ref="Y6251" si="20276">D6241</f>
        <v>1</v>
      </c>
      <c r="Z6251" s="400" t="s">
        <v>176</v>
      </c>
      <c r="AA6251" s="402">
        <f t="shared" ref="AA6251" si="20277">IF(AA6253=0,(D6251*N6251+P6251*R6251)*U6251*Y6251,0)</f>
        <v>0</v>
      </c>
      <c r="AB6251" s="403"/>
    </row>
    <row r="6252" spans="1:28">
      <c r="A6252" s="384" t="str">
        <f t="shared" ref="A6252:B6252" si="20278">A6235</f>
        <v>Lantai Atap</v>
      </c>
      <c r="B6252" s="385">
        <f t="shared" si="20278"/>
        <v>2</v>
      </c>
      <c r="C6252" s="393" t="s">
        <v>209</v>
      </c>
      <c r="D6252" s="398">
        <f>VLOOKUP(D6235,'Detail Balok'!$C$10:$AU$140,28,FALSE)</f>
        <v>2</v>
      </c>
      <c r="E6252" s="388" t="s">
        <v>16</v>
      </c>
      <c r="F6252" s="388">
        <f>VLOOKUP(D6235,'Detail Balok'!$C$10:$AU$140,30,FALSE)</f>
        <v>13</v>
      </c>
      <c r="G6252" s="388"/>
      <c r="H6252" s="395"/>
      <c r="I6252" s="388" t="s">
        <v>203</v>
      </c>
      <c r="J6252" s="399">
        <f t="shared" si="20265"/>
        <v>1.2862499999999999</v>
      </c>
      <c r="K6252" s="400" t="s">
        <v>204</v>
      </c>
      <c r="L6252" s="399">
        <f t="shared" ref="L6252" si="20279">MAX(VLOOKUP(F6252,N$6:P$15,3,FALSE)/1000,2/3*D6240/1000)+F$16*F6252/1000</f>
        <v>0.156</v>
      </c>
      <c r="M6252" s="399" t="s">
        <v>176</v>
      </c>
      <c r="N6252" s="399">
        <f t="shared" si="20267"/>
        <v>1.4422499999999998</v>
      </c>
      <c r="O6252" s="399" t="s">
        <v>204</v>
      </c>
      <c r="P6252" s="389">
        <f t="shared" ref="P6252" si="20280">D6252-D6251</f>
        <v>0</v>
      </c>
      <c r="Q6252" s="399" t="s">
        <v>125</v>
      </c>
      <c r="R6252" s="399">
        <f t="shared" ref="R6252" si="20281">IF(P6252&gt;0,$F$18*F6252/1000,0)</f>
        <v>0</v>
      </c>
      <c r="S6252" s="399" t="s">
        <v>205</v>
      </c>
      <c r="T6252" s="399" t="s">
        <v>125</v>
      </c>
      <c r="U6252" s="401">
        <f t="shared" si="20270"/>
        <v>1.041885</v>
      </c>
      <c r="V6252" s="399"/>
      <c r="W6252" s="399"/>
      <c r="X6252" s="399" t="s">
        <v>125</v>
      </c>
      <c r="Y6252" s="389">
        <f t="shared" ref="Y6252" si="20282">D6241</f>
        <v>1</v>
      </c>
      <c r="Z6252" s="400" t="s">
        <v>176</v>
      </c>
      <c r="AA6252" s="402">
        <f t="shared" ref="AA6252" si="20283">IF(AA6253=0,(D6252*N6252+P6252*R6252)*U6252*Y6252,0)</f>
        <v>0</v>
      </c>
      <c r="AB6252" s="403"/>
    </row>
    <row r="6253" spans="1:28">
      <c r="A6253" s="384" t="str">
        <f t="shared" ref="A6253:B6253" si="20284">A6235</f>
        <v>Lantai Atap</v>
      </c>
      <c r="B6253" s="385">
        <f t="shared" si="20284"/>
        <v>2</v>
      </c>
      <c r="C6253" s="393"/>
      <c r="D6253" s="398">
        <f t="shared" ref="D6253:D6313" si="20285">IF(AND(D6250=D6251,D6251=D6252,D6250=D6252),D6250,0)</f>
        <v>2</v>
      </c>
      <c r="E6253" s="388" t="s">
        <v>16</v>
      </c>
      <c r="F6253" s="388">
        <f t="shared" ref="F6253:F6313" si="20286">IF(AND(F6250=F6251,F6250=F6252,F6251=F6252),F6250,0)</f>
        <v>13</v>
      </c>
      <c r="G6253" s="388"/>
      <c r="H6253" s="395"/>
      <c r="I6253" s="388"/>
      <c r="J6253" s="396"/>
      <c r="K6253" s="396"/>
      <c r="L6253" s="404" t="s">
        <v>207</v>
      </c>
      <c r="M6253" s="399" t="s">
        <v>176</v>
      </c>
      <c r="N6253" s="399">
        <f t="shared" ref="N6253" si="20287">IF(AND(D6250=D6251,D6250=D6252,D6251=D6252,F6250=F6251,F6250=F6252,F6251=F6252),SUM(N6250:N6252),0)</f>
        <v>5.456999999999999</v>
      </c>
      <c r="O6253" s="399" t="s">
        <v>204</v>
      </c>
      <c r="P6253" s="389">
        <f t="shared" ref="P6253" si="20288">IF(N6253&gt;12,ROUNDDOWN(N6253/12,0),0)</f>
        <v>0</v>
      </c>
      <c r="Q6253" s="399" t="s">
        <v>125</v>
      </c>
      <c r="R6253" s="399">
        <f t="shared" ref="R6253" si="20289">IF(P6253&gt;0,MAX(VLOOKUP(F6253,$D$6:$G$15,3,FALSE),600),0)/1000</f>
        <v>0</v>
      </c>
      <c r="S6253" s="396"/>
      <c r="T6253" s="396" t="s">
        <v>125</v>
      </c>
      <c r="U6253" s="401">
        <f t="shared" ref="U6253:U6313" si="20290">U6252</f>
        <v>1.041885</v>
      </c>
      <c r="V6253" s="396" t="s">
        <v>125</v>
      </c>
      <c r="W6253" s="399">
        <f t="shared" ref="W6253" si="20291">D6253</f>
        <v>2</v>
      </c>
      <c r="X6253" s="399" t="s">
        <v>125</v>
      </c>
      <c r="Y6253" s="389">
        <f t="shared" ref="Y6253:Y6313" si="20292">Y6252</f>
        <v>1</v>
      </c>
      <c r="Z6253" s="400" t="s">
        <v>176</v>
      </c>
      <c r="AA6253" s="402">
        <f t="shared" ref="AA6253" si="20293">(N6253+P6253*R6253/1000)*U6253*W6253*Y6253</f>
        <v>11.371132889999997</v>
      </c>
      <c r="AB6253" s="403"/>
    </row>
    <row r="6254" spans="1:28">
      <c r="A6254" s="384"/>
      <c r="B6254" s="385"/>
      <c r="C6254" s="393"/>
      <c r="D6254" s="394"/>
      <c r="E6254" s="388"/>
      <c r="F6254" s="388"/>
      <c r="G6254" s="388"/>
      <c r="H6254" s="395"/>
      <c r="I6254" s="388"/>
      <c r="J6254" s="399"/>
      <c r="K6254" s="396"/>
      <c r="L6254" s="396"/>
      <c r="M6254" s="396"/>
      <c r="N6254" s="396"/>
      <c r="O6254" s="396"/>
      <c r="P6254" s="389"/>
      <c r="Q6254" s="396"/>
      <c r="R6254" s="396"/>
      <c r="S6254" s="396"/>
      <c r="T6254" s="396"/>
      <c r="U6254" s="401"/>
      <c r="V6254" s="396"/>
      <c r="W6254" s="388"/>
      <c r="X6254" s="396"/>
      <c r="Y6254" s="389"/>
      <c r="Z6254" s="396"/>
      <c r="AA6254" s="388"/>
      <c r="AB6254" s="390"/>
    </row>
    <row r="6255" spans="1:28">
      <c r="A6255" s="384" t="str">
        <f t="shared" ref="A6255:B6255" si="20294">A6235</f>
        <v>Lantai Atap</v>
      </c>
      <c r="B6255" s="385">
        <f t="shared" si="20294"/>
        <v>2</v>
      </c>
      <c r="C6255" s="393" t="s">
        <v>211</v>
      </c>
      <c r="D6255" s="398">
        <f>VLOOKUP(D6235,'Detail Balok'!$C$10:$AU$140,31,FALSE)</f>
        <v>0</v>
      </c>
      <c r="E6255" s="388" t="s">
        <v>16</v>
      </c>
      <c r="F6255" s="388">
        <f>VLOOKUP(D6235,'Detail Balok'!$C$10:$AU$140,33,FALSE)</f>
        <v>8</v>
      </c>
      <c r="G6255" s="405" t="s">
        <v>157</v>
      </c>
      <c r="H6255" s="395">
        <f>VLOOKUP(D6235,'Detail Balok'!$C$10:$AU$140,35,FALSE)</f>
        <v>150</v>
      </c>
      <c r="I6255" s="388"/>
      <c r="J6255" s="400">
        <f t="shared" ref="J6255" si="20295">(IF(D6255=0,(2*(D6236+G6236))-(F$5*8),IF(D6255=3,(2*(D6236+G6236))-(F$5*8)+(G6236-2*F$5),IF(D6255=4,(2*(D6236+G6236))-(F$5*8)+2*(G6236-2*F$5)))))/1000</f>
        <v>0.74</v>
      </c>
      <c r="K6255" s="400" t="s">
        <v>204</v>
      </c>
      <c r="L6255" s="399">
        <f t="shared" ref="L6255:L6257" si="20296">IF(D6255=0,2*MAX(6*F6255,75),(D6255-1)*2*MAX(6*F6255,75))/1000</f>
        <v>0.15</v>
      </c>
      <c r="M6255" s="399" t="s">
        <v>176</v>
      </c>
      <c r="N6255" s="399">
        <f t="shared" ref="N6255:N6257" si="20297">J6255+L6255</f>
        <v>0.89</v>
      </c>
      <c r="O6255" s="399"/>
      <c r="P6255" s="389"/>
      <c r="Q6255" s="399"/>
      <c r="R6255" s="399"/>
      <c r="S6255" s="399"/>
      <c r="T6255" s="399" t="s">
        <v>125</v>
      </c>
      <c r="U6255" s="401">
        <f t="shared" ref="U6255:U6257" si="20298">0.006165*F6255^2</f>
        <v>0.39456000000000002</v>
      </c>
      <c r="V6255" s="399" t="s">
        <v>125</v>
      </c>
      <c r="W6255" s="399">
        <f t="shared" ref="W6255" si="20299">IF(D6238&gt;4*G6236,ROUND(MAX(D6238/4,2*G6236)/H6255,0)+1,ROUND(D6238/H6255,0)+1)</f>
        <v>10</v>
      </c>
      <c r="X6255" s="399" t="s">
        <v>125</v>
      </c>
      <c r="Y6255" s="389">
        <f t="shared" ref="Y6255" si="20300">D6241</f>
        <v>1</v>
      </c>
      <c r="Z6255" s="400" t="s">
        <v>176</v>
      </c>
      <c r="AA6255" s="402">
        <f t="shared" ref="AA6255:AA6257" si="20301">N6255*U6255*W6255*Y6255</f>
        <v>3.5115840000000005</v>
      </c>
      <c r="AB6255" s="403"/>
    </row>
    <row r="6256" spans="1:28">
      <c r="A6256" s="384" t="str">
        <f t="shared" ref="A6256:B6256" si="20302">A6235</f>
        <v>Lantai Atap</v>
      </c>
      <c r="B6256" s="385">
        <f t="shared" si="20302"/>
        <v>2</v>
      </c>
      <c r="C6256" s="393" t="s">
        <v>212</v>
      </c>
      <c r="D6256" s="398">
        <f>VLOOKUP(D6235,'Detail Balok'!$C$10:$AU$140,36,FALSE)</f>
        <v>0</v>
      </c>
      <c r="E6256" s="388" t="s">
        <v>16</v>
      </c>
      <c r="F6256" s="388">
        <f>VLOOKUP(D6235,'Detail Balok'!$C$10:$AU$140,38,FALSE)</f>
        <v>8</v>
      </c>
      <c r="G6256" s="405" t="s">
        <v>157</v>
      </c>
      <c r="H6256" s="395">
        <f>VLOOKUP(D6235,'Detail Balok'!$C$10:$AU$140,40,FALSE)</f>
        <v>200</v>
      </c>
      <c r="I6256" s="388"/>
      <c r="J6256" s="400">
        <f t="shared" ref="J6256" si="20303">(IF(D6256=0,(2*(D6236+G6236))-(F$5*8),IF(D6256=3,(2*(D6236+G6236))-(F$5*8)+(G6236-2*F$5),IF(D6256=4,(2*(D6236+G6236))-(F$5*8)+2*(G6236-2*F$5)))))/1000</f>
        <v>0.74</v>
      </c>
      <c r="K6256" s="400" t="s">
        <v>204</v>
      </c>
      <c r="L6256" s="399">
        <f t="shared" si="20296"/>
        <v>0.15</v>
      </c>
      <c r="M6256" s="399" t="s">
        <v>176</v>
      </c>
      <c r="N6256" s="399">
        <f t="shared" si="20297"/>
        <v>0.89</v>
      </c>
      <c r="O6256" s="399"/>
      <c r="P6256" s="389"/>
      <c r="Q6256" s="399"/>
      <c r="R6256" s="399"/>
      <c r="S6256" s="399"/>
      <c r="T6256" s="399" t="s">
        <v>125</v>
      </c>
      <c r="U6256" s="401">
        <f t="shared" si="20298"/>
        <v>0.39456000000000002</v>
      </c>
      <c r="V6256" s="399" t="s">
        <v>125</v>
      </c>
      <c r="W6256" s="399">
        <f t="shared" ref="W6256" si="20304">IF(D6238-MAX(D6238/4,2*G6236)*2&gt;0,ROUND((D6238-MAX(D6238/4,2*G6236)*2)/H6256,0),0)</f>
        <v>13</v>
      </c>
      <c r="X6256" s="399" t="s">
        <v>125</v>
      </c>
      <c r="Y6256" s="389">
        <f t="shared" ref="Y6256" si="20305">D6241</f>
        <v>1</v>
      </c>
      <c r="Z6256" s="400" t="s">
        <v>176</v>
      </c>
      <c r="AA6256" s="402">
        <f t="shared" si="20301"/>
        <v>4.5650592000000003</v>
      </c>
      <c r="AB6256" s="403"/>
    </row>
    <row r="6257" spans="1:28">
      <c r="A6257" s="384" t="str">
        <f t="shared" ref="A6257:B6257" si="20306">A6235</f>
        <v>Lantai Atap</v>
      </c>
      <c r="B6257" s="385">
        <f t="shared" si="20306"/>
        <v>2</v>
      </c>
      <c r="C6257" s="393" t="s">
        <v>211</v>
      </c>
      <c r="D6257" s="398">
        <f>VLOOKUP(D6235,'Detail Balok'!$C$10:$AU$140,41,FALSE)</f>
        <v>0</v>
      </c>
      <c r="E6257" s="388" t="s">
        <v>16</v>
      </c>
      <c r="F6257" s="388">
        <f>VLOOKUP(D6235,'Detail Balok'!$C$10:$AU$140,43,FALSE)</f>
        <v>8</v>
      </c>
      <c r="G6257" s="405" t="s">
        <v>157</v>
      </c>
      <c r="H6257" s="395">
        <f>VLOOKUP(D6235,'Detail Balok'!$C$10:$AU$140,45,FALSE)</f>
        <v>150</v>
      </c>
      <c r="I6257" s="388"/>
      <c r="J6257" s="400">
        <f t="shared" ref="J6257" si="20307">(IF(D6257=0,(2*(D6236+G6236))-(F$5*8),IF(D6257=3,(2*(D6236+G6236))-(F$5*8)+(G6236-2*F$5),IF(D6257=4,(2*(D6236+G6236))-(F$5*8)+2*(G6236-2*F$5)))))/1000</f>
        <v>0.74</v>
      </c>
      <c r="K6257" s="400" t="s">
        <v>204</v>
      </c>
      <c r="L6257" s="399">
        <f t="shared" si="20296"/>
        <v>0.15</v>
      </c>
      <c r="M6257" s="399" t="s">
        <v>176</v>
      </c>
      <c r="N6257" s="399">
        <f t="shared" si="20297"/>
        <v>0.89</v>
      </c>
      <c r="O6257" s="399"/>
      <c r="P6257" s="389"/>
      <c r="Q6257" s="399"/>
      <c r="R6257" s="399"/>
      <c r="S6257" s="399"/>
      <c r="T6257" s="399" t="s">
        <v>125</v>
      </c>
      <c r="U6257" s="401">
        <f t="shared" si="20298"/>
        <v>0.39456000000000002</v>
      </c>
      <c r="V6257" s="399" t="s">
        <v>125</v>
      </c>
      <c r="W6257" s="399">
        <f t="shared" ref="W6257" si="20308">IF(D6238&gt;4*G6236,ROUND(MAX(D6238/4,2*G6236)/H6257,0)+1,0)</f>
        <v>10</v>
      </c>
      <c r="X6257" s="399" t="s">
        <v>125</v>
      </c>
      <c r="Y6257" s="389">
        <f t="shared" ref="Y6257" si="20309">D6241</f>
        <v>1</v>
      </c>
      <c r="Z6257" s="400" t="s">
        <v>176</v>
      </c>
      <c r="AA6257" s="402">
        <f t="shared" si="20301"/>
        <v>3.5115840000000005</v>
      </c>
      <c r="AB6257" s="403"/>
    </row>
    <row r="6258" spans="1:28">
      <c r="A6258" s="384"/>
      <c r="B6258" s="385"/>
      <c r="C6258" s="393"/>
      <c r="D6258" s="394"/>
      <c r="E6258" s="388"/>
      <c r="F6258" s="388"/>
      <c r="G6258" s="388"/>
      <c r="H6258" s="395"/>
      <c r="I6258" s="388"/>
      <c r="J6258" s="399"/>
      <c r="K6258" s="396"/>
      <c r="L6258" s="396"/>
      <c r="M6258" s="396"/>
      <c r="N6258" s="396"/>
      <c r="O6258" s="396"/>
      <c r="P6258" s="389"/>
      <c r="Q6258" s="396"/>
      <c r="R6258" s="396"/>
      <c r="S6258" s="396"/>
      <c r="T6258" s="396"/>
      <c r="U6258" s="401"/>
      <c r="V6258" s="396"/>
      <c r="W6258" s="388"/>
      <c r="X6258" s="396"/>
      <c r="Y6258" s="389"/>
      <c r="Z6258" s="396"/>
      <c r="AA6258" s="388"/>
      <c r="AB6258" s="390"/>
    </row>
    <row r="6259" spans="1:28">
      <c r="A6259" s="384" t="str">
        <f t="shared" ref="A6259:B6259" si="20310">A6235</f>
        <v>Lantai Atap</v>
      </c>
      <c r="B6259" s="385">
        <f t="shared" si="20310"/>
        <v>2</v>
      </c>
      <c r="C6259" s="393" t="s">
        <v>213</v>
      </c>
      <c r="D6259" s="398">
        <f>VLOOKUP(D6235,'Detail Balok'!$C$10:$BJ$140,46,FALSE)</f>
        <v>0</v>
      </c>
      <c r="E6259" s="388" t="s">
        <v>16</v>
      </c>
      <c r="F6259" s="388">
        <f>VLOOKUP(D6235,'Detail Balok'!$C$10:$BJ$140,48,FALSE)</f>
        <v>0</v>
      </c>
      <c r="G6259" s="405" t="s">
        <v>157</v>
      </c>
      <c r="H6259" s="395">
        <f>VLOOKUP(D6235,'Detail Balok'!$C$10:$BJ$140,50,FALSE)</f>
        <v>100</v>
      </c>
      <c r="I6259" s="388"/>
      <c r="J6259" s="399">
        <f t="shared" ref="J6259" si="20311">(D6236-2*F$5)/1000</f>
        <v>0.05</v>
      </c>
      <c r="K6259" s="400" t="s">
        <v>204</v>
      </c>
      <c r="L6259" s="399">
        <f t="shared" ref="L6259:L6261" si="20312">IF(D6259=0,2*MAX(6*F6259,75),(D6259-1)*2*MAX(6*F6259,75))/1000</f>
        <v>0.15</v>
      </c>
      <c r="M6259" s="399" t="s">
        <v>176</v>
      </c>
      <c r="N6259" s="399">
        <f t="shared" ref="N6259:N6261" si="20313">J6259+L6259</f>
        <v>0.2</v>
      </c>
      <c r="O6259" s="399"/>
      <c r="P6259" s="399"/>
      <c r="Q6259" s="399"/>
      <c r="R6259" s="399"/>
      <c r="S6259" s="399"/>
      <c r="T6259" s="399" t="s">
        <v>125</v>
      </c>
      <c r="U6259" s="401">
        <f t="shared" ref="U6259:U6261" si="20314">0.006165*F6259^2</f>
        <v>0</v>
      </c>
      <c r="V6259" s="399" t="s">
        <v>125</v>
      </c>
      <c r="W6259" s="399">
        <f t="shared" ref="W6259:W6321" si="20315">W6255</f>
        <v>10</v>
      </c>
      <c r="X6259" s="399" t="s">
        <v>125</v>
      </c>
      <c r="Y6259" s="389">
        <f t="shared" ref="Y6259" si="20316">D6245</f>
        <v>2</v>
      </c>
      <c r="Z6259" s="400" t="s">
        <v>176</v>
      </c>
      <c r="AA6259" s="402">
        <f t="shared" ref="AA6259:AA6261" si="20317">N6259*U6259*W6259*Y6259</f>
        <v>0</v>
      </c>
      <c r="AB6259" s="403"/>
    </row>
    <row r="6260" spans="1:28">
      <c r="A6260" s="384" t="str">
        <f t="shared" ref="A6260:B6260" si="20318">A6235</f>
        <v>Lantai Atap</v>
      </c>
      <c r="B6260" s="385">
        <f t="shared" si="20318"/>
        <v>2</v>
      </c>
      <c r="C6260" s="393" t="s">
        <v>214</v>
      </c>
      <c r="D6260" s="398">
        <f>VLOOKUP(D6235,'Detail Balok'!$C$10:$BJ$140,51,FALSE)</f>
        <v>0</v>
      </c>
      <c r="E6260" s="388" t="s">
        <v>16</v>
      </c>
      <c r="F6260" s="388">
        <f>VLOOKUP(D6235,'Detail Balok'!$C$10:$BJ$140,53,FALSE)</f>
        <v>0</v>
      </c>
      <c r="G6260" s="405" t="s">
        <v>157</v>
      </c>
      <c r="H6260" s="395">
        <f>VLOOKUP(D6235,'Detail Balok'!$C$10:$BJ$140,55,FALSE)</f>
        <v>100</v>
      </c>
      <c r="I6260" s="388"/>
      <c r="J6260" s="399">
        <f t="shared" ref="J6260" si="20319">(D6236-2*F$5)/1000</f>
        <v>0.05</v>
      </c>
      <c r="K6260" s="400" t="s">
        <v>204</v>
      </c>
      <c r="L6260" s="399">
        <f t="shared" si="20312"/>
        <v>0.15</v>
      </c>
      <c r="M6260" s="399" t="s">
        <v>176</v>
      </c>
      <c r="N6260" s="399">
        <f t="shared" si="20313"/>
        <v>0.2</v>
      </c>
      <c r="O6260" s="399"/>
      <c r="P6260" s="399"/>
      <c r="Q6260" s="399"/>
      <c r="R6260" s="399"/>
      <c r="S6260" s="399"/>
      <c r="T6260" s="399" t="s">
        <v>125</v>
      </c>
      <c r="U6260" s="401">
        <f t="shared" si="20314"/>
        <v>0</v>
      </c>
      <c r="V6260" s="399" t="s">
        <v>125</v>
      </c>
      <c r="W6260" s="399">
        <f t="shared" si="20315"/>
        <v>13</v>
      </c>
      <c r="X6260" s="399" t="s">
        <v>125</v>
      </c>
      <c r="Y6260" s="389">
        <f t="shared" ref="Y6260" si="20320">D6245</f>
        <v>2</v>
      </c>
      <c r="Z6260" s="400" t="s">
        <v>176</v>
      </c>
      <c r="AA6260" s="402">
        <f t="shared" si="20317"/>
        <v>0</v>
      </c>
      <c r="AB6260" s="403"/>
    </row>
    <row r="6261" spans="1:28">
      <c r="A6261" s="384" t="str">
        <f t="shared" ref="A6261:B6261" si="20321">A6235</f>
        <v>Lantai Atap</v>
      </c>
      <c r="B6261" s="385">
        <f t="shared" si="20321"/>
        <v>2</v>
      </c>
      <c r="C6261" s="393" t="s">
        <v>213</v>
      </c>
      <c r="D6261" s="398">
        <f>VLOOKUP(D6235,'Detail Balok'!$C$10:$BJ$140,56,FALSE)</f>
        <v>0</v>
      </c>
      <c r="E6261" s="388" t="s">
        <v>16</v>
      </c>
      <c r="F6261" s="388">
        <f>VLOOKUP(D6235,'Detail Balok'!$C$10:$BJ$140,58,FALSE)</f>
        <v>0</v>
      </c>
      <c r="G6261" s="405" t="s">
        <v>157</v>
      </c>
      <c r="H6261" s="395">
        <f>VLOOKUP(D6235,'Detail Balok'!$C$10:$BJ$140,60,FALSE)</f>
        <v>100</v>
      </c>
      <c r="I6261" s="388"/>
      <c r="J6261" s="399">
        <f t="shared" ref="J6261" si="20322">(D6236-2*F$5)/1000</f>
        <v>0.05</v>
      </c>
      <c r="K6261" s="400" t="s">
        <v>204</v>
      </c>
      <c r="L6261" s="399">
        <f t="shared" si="20312"/>
        <v>0.15</v>
      </c>
      <c r="M6261" s="399" t="s">
        <v>176</v>
      </c>
      <c r="N6261" s="399">
        <f t="shared" si="20313"/>
        <v>0.2</v>
      </c>
      <c r="O6261" s="399"/>
      <c r="P6261" s="399"/>
      <c r="Q6261" s="399"/>
      <c r="R6261" s="399"/>
      <c r="S6261" s="399"/>
      <c r="T6261" s="399" t="s">
        <v>125</v>
      </c>
      <c r="U6261" s="401">
        <f t="shared" si="20314"/>
        <v>0</v>
      </c>
      <c r="V6261" s="399" t="s">
        <v>125</v>
      </c>
      <c r="W6261" s="399">
        <f t="shared" si="20315"/>
        <v>10</v>
      </c>
      <c r="X6261" s="399" t="s">
        <v>125</v>
      </c>
      <c r="Y6261" s="389">
        <f t="shared" ref="Y6261" si="20323">D6245</f>
        <v>2</v>
      </c>
      <c r="Z6261" s="400" t="s">
        <v>176</v>
      </c>
      <c r="AA6261" s="402">
        <f t="shared" si="20317"/>
        <v>0</v>
      </c>
      <c r="AB6261" s="403"/>
    </row>
    <row r="6262" spans="1:28">
      <c r="A6262" s="391"/>
      <c r="B6262" s="392"/>
      <c r="C6262" s="392"/>
      <c r="D6262" s="394"/>
      <c r="E6262" s="388"/>
      <c r="F6262" s="388"/>
      <c r="G6262" s="388"/>
      <c r="H6262" s="395"/>
      <c r="I6262" s="388"/>
      <c r="J6262" s="402"/>
      <c r="K6262" s="388"/>
      <c r="L6262" s="388"/>
      <c r="M6262" s="388"/>
      <c r="N6262" s="388"/>
      <c r="O6262" s="388"/>
      <c r="P6262" s="388"/>
      <c r="Q6262" s="388"/>
      <c r="R6262" s="388"/>
      <c r="S6262" s="388"/>
      <c r="T6262" s="388"/>
      <c r="U6262" s="388"/>
      <c r="V6262" s="388"/>
      <c r="W6262" s="388"/>
      <c r="X6262" s="388"/>
      <c r="Y6262" s="389"/>
      <c r="Z6262" s="388"/>
      <c r="AA6262" s="402"/>
      <c r="AB6262" s="403"/>
    </row>
    <row r="6263" spans="1:28" ht="15.75" thickBot="1">
      <c r="A6263" s="406"/>
      <c r="B6263" s="407"/>
      <c r="C6263" s="407"/>
      <c r="D6263" s="408"/>
      <c r="E6263" s="409"/>
      <c r="F6263" s="409"/>
      <c r="G6263" s="409"/>
      <c r="H6263" s="410"/>
      <c r="I6263" s="409"/>
      <c r="J6263" s="409"/>
      <c r="K6263" s="409"/>
      <c r="L6263" s="409"/>
      <c r="M6263" s="409"/>
      <c r="N6263" s="409"/>
      <c r="O6263" s="409"/>
      <c r="P6263" s="409"/>
      <c r="Q6263" s="409"/>
      <c r="R6263" s="409"/>
      <c r="S6263" s="409"/>
      <c r="T6263" s="409"/>
      <c r="U6263" s="409"/>
      <c r="V6263" s="409"/>
      <c r="W6263" s="409"/>
      <c r="X6263" s="409"/>
      <c r="Y6263" s="411"/>
      <c r="Z6263" s="409"/>
      <c r="AA6263" s="412"/>
      <c r="AB6263" s="413"/>
    </row>
    <row r="6264" spans="1:28">
      <c r="A6264" s="377"/>
      <c r="B6264" s="378"/>
      <c r="C6264" s="378"/>
      <c r="D6264" s="379"/>
      <c r="E6264" s="380"/>
      <c r="F6264" s="380"/>
      <c r="G6264" s="380"/>
      <c r="H6264" s="381"/>
      <c r="I6264" s="380"/>
      <c r="J6264" s="380"/>
      <c r="K6264" s="380"/>
      <c r="L6264" s="380"/>
      <c r="M6264" s="380"/>
      <c r="N6264" s="380"/>
      <c r="O6264" s="380"/>
      <c r="P6264" s="380"/>
      <c r="Q6264" s="380"/>
      <c r="R6264" s="380"/>
      <c r="S6264" s="380"/>
      <c r="T6264" s="380"/>
      <c r="U6264" s="380"/>
      <c r="V6264" s="380"/>
      <c r="W6264" s="380"/>
      <c r="X6264" s="380"/>
      <c r="Y6264" s="382"/>
      <c r="Z6264" s="380"/>
      <c r="AA6264" s="380"/>
      <c r="AB6264" s="383"/>
    </row>
    <row r="6265" spans="1:28">
      <c r="A6265" s="384" t="str">
        <f t="shared" ref="A6265:A6325" si="20324">A6235</f>
        <v>Lantai Atap</v>
      </c>
      <c r="B6265" s="385">
        <f t="shared" ref="B6265:B6325" si="20325">B6235+1</f>
        <v>3</v>
      </c>
      <c r="C6265" s="386" t="str">
        <f t="shared" ref="C6265" si="20326">CONCATENATE(A6265," no. ",B6265)</f>
        <v>Lantai Atap no. 3</v>
      </c>
      <c r="D6265" s="2562" t="str">
        <f>VLOOKUP(C6265,'Data Panjang Balok'!$C$9:$N$254,2,FALSE)</f>
        <v>B4-1</v>
      </c>
      <c r="E6265" s="2576"/>
      <c r="F6265" s="2576"/>
      <c r="G6265" s="2576"/>
      <c r="H6265" s="2577"/>
      <c r="I6265" s="387"/>
      <c r="J6265" s="388"/>
      <c r="K6265" s="388"/>
      <c r="L6265" s="388"/>
      <c r="M6265" s="388"/>
      <c r="N6265" s="388"/>
      <c r="O6265" s="388"/>
      <c r="P6265" s="388"/>
      <c r="Q6265" s="388"/>
      <c r="R6265" s="388"/>
      <c r="S6265" s="388"/>
      <c r="T6265" s="388"/>
      <c r="U6265" s="388"/>
      <c r="V6265" s="388"/>
      <c r="W6265" s="388"/>
      <c r="X6265" s="388"/>
      <c r="Y6265" s="389"/>
      <c r="Z6265" s="388"/>
      <c r="AA6265" s="388"/>
      <c r="AB6265" s="390"/>
    </row>
    <row r="6266" spans="1:28">
      <c r="A6266" s="391"/>
      <c r="B6266" s="392"/>
      <c r="C6266" s="393" t="s">
        <v>118</v>
      </c>
      <c r="D6266" s="2578">
        <f>VLOOKUP(D6265,'Detail Balok'!$C$10:$AU$140,2,FALSE)</f>
        <v>130</v>
      </c>
      <c r="E6266" s="2579"/>
      <c r="F6266" s="388" t="s">
        <v>125</v>
      </c>
      <c r="G6266" s="2579">
        <f>VLOOKUP(D6265,'Detail Balok'!$C$10:$AU$140,3,FALSE)</f>
        <v>400</v>
      </c>
      <c r="H6266" s="2580"/>
      <c r="I6266" s="388"/>
      <c r="J6266" s="396"/>
      <c r="K6266" s="396"/>
      <c r="L6266" s="396"/>
      <c r="M6266" s="396"/>
      <c r="N6266" s="396"/>
      <c r="O6266" s="396"/>
      <c r="P6266" s="396"/>
      <c r="Q6266" s="396"/>
      <c r="R6266" s="396"/>
      <c r="S6266" s="396"/>
      <c r="T6266" s="396"/>
      <c r="U6266" s="388"/>
      <c r="V6266" s="396"/>
      <c r="W6266" s="388"/>
      <c r="X6266" s="396"/>
      <c r="Y6266" s="389"/>
      <c r="Z6266" s="396"/>
      <c r="AA6266" s="388"/>
      <c r="AB6266" s="390"/>
    </row>
    <row r="6267" spans="1:28">
      <c r="A6267" s="391"/>
      <c r="B6267" s="392"/>
      <c r="C6267" s="393" t="s">
        <v>198</v>
      </c>
      <c r="D6267" s="2562">
        <f>VLOOKUP(C6265,'Data Panjang Balok'!$C$9:$N$254,4,FALSE)</f>
        <v>4075</v>
      </c>
      <c r="E6267" s="2563"/>
      <c r="F6267" s="2563"/>
      <c r="G6267" s="2563"/>
      <c r="H6267" s="2564"/>
      <c r="I6267" s="397"/>
      <c r="J6267" s="396"/>
      <c r="K6267" s="396"/>
      <c r="L6267" s="396"/>
      <c r="M6267" s="396"/>
      <c r="N6267" s="396"/>
      <c r="O6267" s="396"/>
      <c r="P6267" s="396"/>
      <c r="Q6267" s="396"/>
      <c r="R6267" s="396"/>
      <c r="S6267" s="396"/>
      <c r="T6267" s="396"/>
      <c r="U6267" s="388"/>
      <c r="V6267" s="396"/>
      <c r="W6267" s="388"/>
      <c r="X6267" s="396"/>
      <c r="Y6267" s="389"/>
      <c r="Z6267" s="396"/>
      <c r="AA6267" s="388"/>
      <c r="AB6267" s="390"/>
    </row>
    <row r="6268" spans="1:28">
      <c r="A6268" s="391"/>
      <c r="B6268" s="392"/>
      <c r="C6268" s="393" t="s">
        <v>199</v>
      </c>
      <c r="D6268" s="2562">
        <f>VLOOKUP(C6265,'Data Panjang Balok'!$C$9:$N$254,7,FALSE)</f>
        <v>4075</v>
      </c>
      <c r="E6268" s="2563"/>
      <c r="F6268" s="2563"/>
      <c r="G6268" s="2563"/>
      <c r="H6268" s="2564"/>
      <c r="I6268" s="397"/>
      <c r="J6268" s="396"/>
      <c r="K6268" s="396"/>
      <c r="L6268" s="396"/>
      <c r="M6268" s="396"/>
      <c r="N6268" s="396"/>
      <c r="O6268" s="396"/>
      <c r="P6268" s="396"/>
      <c r="Q6268" s="396"/>
      <c r="R6268" s="396"/>
      <c r="S6268" s="396"/>
      <c r="T6268" s="396"/>
      <c r="U6268" s="388"/>
      <c r="V6268" s="396"/>
      <c r="W6268" s="388"/>
      <c r="X6268" s="396"/>
      <c r="Y6268" s="389"/>
      <c r="Z6268" s="396"/>
      <c r="AA6268" s="388"/>
      <c r="AB6268" s="390"/>
    </row>
    <row r="6269" spans="1:28">
      <c r="A6269" s="391"/>
      <c r="B6269" s="392"/>
      <c r="C6269" s="393" t="s">
        <v>200</v>
      </c>
      <c r="D6269" s="2562">
        <f>VLOOKUP(C6265,'Data Panjang Balok'!$C$9:$N$254,9,FALSE)</f>
        <v>0</v>
      </c>
      <c r="E6269" s="2563"/>
      <c r="F6269" s="2563"/>
      <c r="G6269" s="2563"/>
      <c r="H6269" s="2564"/>
      <c r="I6269" s="397"/>
      <c r="J6269" s="396"/>
      <c r="K6269" s="396"/>
      <c r="L6269" s="396"/>
      <c r="M6269" s="396"/>
      <c r="N6269" s="396"/>
      <c r="O6269" s="396"/>
      <c r="P6269" s="396"/>
      <c r="Q6269" s="396"/>
      <c r="R6269" s="396"/>
      <c r="S6269" s="396"/>
      <c r="T6269" s="396"/>
      <c r="U6269" s="388"/>
      <c r="V6269" s="396"/>
      <c r="W6269" s="388"/>
      <c r="X6269" s="396"/>
      <c r="Y6269" s="389"/>
      <c r="Z6269" s="396"/>
      <c r="AA6269" s="388"/>
      <c r="AB6269" s="390"/>
    </row>
    <row r="6270" spans="1:28">
      <c r="A6270" s="391"/>
      <c r="B6270" s="392"/>
      <c r="C6270" s="393" t="s">
        <v>201</v>
      </c>
      <c r="D6270" s="2562">
        <f>VLOOKUP(C6265,'Data Panjang Balok'!$C$9:$N$254,10,FALSE)</f>
        <v>0</v>
      </c>
      <c r="E6270" s="2563"/>
      <c r="F6270" s="2563"/>
      <c r="G6270" s="2563"/>
      <c r="H6270" s="2564"/>
      <c r="I6270" s="397"/>
      <c r="J6270" s="396"/>
      <c r="K6270" s="396"/>
      <c r="L6270" s="396"/>
      <c r="M6270" s="396"/>
      <c r="N6270" s="396"/>
      <c r="O6270" s="396"/>
      <c r="P6270" s="396"/>
      <c r="Q6270" s="396"/>
      <c r="R6270" s="396"/>
      <c r="S6270" s="396"/>
      <c r="T6270" s="396"/>
      <c r="U6270" s="388"/>
      <c r="V6270" s="396"/>
      <c r="W6270" s="388"/>
      <c r="X6270" s="396"/>
      <c r="Y6270" s="389"/>
      <c r="Z6270" s="396"/>
      <c r="AA6270" s="388"/>
      <c r="AB6270" s="390"/>
    </row>
    <row r="6271" spans="1:28">
      <c r="A6271" s="391"/>
      <c r="B6271" s="392"/>
      <c r="C6271" s="393" t="s">
        <v>48</v>
      </c>
      <c r="D6271" s="2562">
        <f>VLOOKUP(C6265,'Data Panjang Balok'!$C$9:$N$254,3,FALSE)</f>
        <v>1</v>
      </c>
      <c r="E6271" s="2563"/>
      <c r="F6271" s="2563"/>
      <c r="G6271" s="2563"/>
      <c r="H6271" s="2564"/>
      <c r="I6271" s="397"/>
      <c r="J6271" s="396"/>
      <c r="K6271" s="396"/>
      <c r="L6271" s="396"/>
      <c r="M6271" s="396"/>
      <c r="N6271" s="396"/>
      <c r="O6271" s="396"/>
      <c r="P6271" s="396"/>
      <c r="Q6271" s="396"/>
      <c r="R6271" s="396"/>
      <c r="S6271" s="396"/>
      <c r="T6271" s="396"/>
      <c r="U6271" s="388"/>
      <c r="V6271" s="396"/>
      <c r="W6271" s="388"/>
      <c r="X6271" s="396"/>
      <c r="Y6271" s="389"/>
      <c r="Z6271" s="396"/>
      <c r="AA6271" s="388"/>
      <c r="AB6271" s="390"/>
    </row>
    <row r="6272" spans="1:28">
      <c r="A6272" s="384" t="str">
        <f t="shared" ref="A6272:B6272" si="20327">A6265</f>
        <v>Lantai Atap</v>
      </c>
      <c r="B6272" s="385">
        <f t="shared" si="20327"/>
        <v>3</v>
      </c>
      <c r="C6272" s="393" t="s">
        <v>202</v>
      </c>
      <c r="D6272" s="398">
        <f>VLOOKUP(D6265,'Detail Balok'!$C$10:$AU$140,4,FALSE)</f>
        <v>2</v>
      </c>
      <c r="E6272" s="388" t="s">
        <v>16</v>
      </c>
      <c r="F6272" s="388">
        <f>VLOOKUP(D6265,'Detail Balok'!$C$10:$AU$140,6,FALSE)</f>
        <v>13</v>
      </c>
      <c r="G6272" s="388"/>
      <c r="H6272" s="395"/>
      <c r="I6272" s="388" t="s">
        <v>203</v>
      </c>
      <c r="J6272" s="399">
        <f t="shared" ref="J6272" si="20328">+D6267/4/1000</f>
        <v>1.01875</v>
      </c>
      <c r="K6272" s="400" t="s">
        <v>204</v>
      </c>
      <c r="L6272" s="399">
        <f t="shared" ref="L6272" si="20329">MAX(VLOOKUP(F6272,N$6:P$15,3,FALSE)/1000,2/3*D6269/1000)+F$16*F6272/1000</f>
        <v>0.156</v>
      </c>
      <c r="M6272" s="399" t="s">
        <v>176</v>
      </c>
      <c r="N6272" s="399">
        <f t="shared" ref="N6272:N6274" si="20330">J6272+L6272</f>
        <v>1.17475</v>
      </c>
      <c r="O6272" s="399" t="s">
        <v>204</v>
      </c>
      <c r="P6272" s="389">
        <f t="shared" ref="P6272" si="20331">D6272-D6273</f>
        <v>0</v>
      </c>
      <c r="Q6272" s="399" t="s">
        <v>125</v>
      </c>
      <c r="R6272" s="399">
        <f t="shared" ref="R6272" si="20332">IF(P6272&gt;0,$F$18*F6272/1000,0)</f>
        <v>0</v>
      </c>
      <c r="S6272" s="399" t="s">
        <v>205</v>
      </c>
      <c r="T6272" s="399" t="s">
        <v>125</v>
      </c>
      <c r="U6272" s="401">
        <f t="shared" ref="U6272:U6274" si="20333">0.006165*F6272^2</f>
        <v>1.041885</v>
      </c>
      <c r="V6272" s="399"/>
      <c r="W6272" s="399"/>
      <c r="X6272" s="399" t="s">
        <v>125</v>
      </c>
      <c r="Y6272" s="389">
        <f t="shared" ref="Y6272" si="20334">D6271</f>
        <v>1</v>
      </c>
      <c r="Z6272" s="400" t="s">
        <v>176</v>
      </c>
      <c r="AA6272" s="402">
        <f t="shared" ref="AA6272" si="20335">IF(AA6275=0,(D6272*N6272+P6272*R6272)*U6272*Y6272,0)</f>
        <v>0</v>
      </c>
      <c r="AB6272" s="403"/>
    </row>
    <row r="6273" spans="1:28">
      <c r="A6273" s="384" t="str">
        <f t="shared" ref="A6273:B6273" si="20336">A6265</f>
        <v>Lantai Atap</v>
      </c>
      <c r="B6273" s="385">
        <f t="shared" si="20336"/>
        <v>3</v>
      </c>
      <c r="C6273" s="393" t="s">
        <v>206</v>
      </c>
      <c r="D6273" s="398">
        <f>VLOOKUP(D6265,'Detail Balok'!$C$10:$AU$140,7,FALSE)</f>
        <v>2</v>
      </c>
      <c r="E6273" s="388" t="s">
        <v>16</v>
      </c>
      <c r="F6273" s="388">
        <f>VLOOKUP(D6265,'Detail Balok'!$C$10:$AU$140,9,FALSE)</f>
        <v>13</v>
      </c>
      <c r="G6273" s="388"/>
      <c r="H6273" s="395"/>
      <c r="I6273" s="388" t="s">
        <v>203</v>
      </c>
      <c r="J6273" s="399">
        <f t="shared" ref="J6273" si="20337">+D6267/2/1000</f>
        <v>2.0375000000000001</v>
      </c>
      <c r="K6273" s="400" t="s">
        <v>204</v>
      </c>
      <c r="L6273" s="399"/>
      <c r="M6273" s="399" t="s">
        <v>176</v>
      </c>
      <c r="N6273" s="399">
        <f t="shared" si="20330"/>
        <v>2.0375000000000001</v>
      </c>
      <c r="O6273" s="399" t="s">
        <v>204</v>
      </c>
      <c r="P6273" s="389">
        <f t="shared" ref="P6273" si="20338">MAX(D6273-D6272,D6273-D6274)</f>
        <v>0</v>
      </c>
      <c r="Q6273" s="399" t="s">
        <v>125</v>
      </c>
      <c r="R6273" s="399">
        <f t="shared" ref="R6273" si="20339">IF(P6273&gt;0,2*(1-2*$F$19-1/2)*D6268/1000,0)</f>
        <v>0</v>
      </c>
      <c r="S6273" s="399" t="s">
        <v>205</v>
      </c>
      <c r="T6273" s="399" t="s">
        <v>125</v>
      </c>
      <c r="U6273" s="401">
        <f t="shared" si="20333"/>
        <v>1.041885</v>
      </c>
      <c r="V6273" s="399"/>
      <c r="W6273" s="399"/>
      <c r="X6273" s="399" t="s">
        <v>125</v>
      </c>
      <c r="Y6273" s="389">
        <f t="shared" ref="Y6273" si="20340">D6271</f>
        <v>1</v>
      </c>
      <c r="Z6273" s="400" t="s">
        <v>176</v>
      </c>
      <c r="AA6273" s="402">
        <f t="shared" ref="AA6273" si="20341">IF(AA6275=0,(D6273*N6273+P6273*R6273)*U6273*Y6273,0)</f>
        <v>0</v>
      </c>
      <c r="AB6273" s="403"/>
    </row>
    <row r="6274" spans="1:28">
      <c r="A6274" s="384" t="str">
        <f t="shared" ref="A6274:B6274" si="20342">A6265</f>
        <v>Lantai Atap</v>
      </c>
      <c r="B6274" s="385">
        <f t="shared" si="20342"/>
        <v>3</v>
      </c>
      <c r="C6274" s="393" t="s">
        <v>202</v>
      </c>
      <c r="D6274" s="398">
        <f>VLOOKUP(D6265,'Detail Balok'!$C$10:$AU$140,10,FALSE)</f>
        <v>2</v>
      </c>
      <c r="E6274" s="388" t="s">
        <v>16</v>
      </c>
      <c r="F6274" s="388">
        <f>VLOOKUP(D6265,'Detail Balok'!$C$10:$AU$140,12,FALSE)</f>
        <v>13</v>
      </c>
      <c r="G6274" s="388"/>
      <c r="H6274" s="395"/>
      <c r="I6274" s="388" t="s">
        <v>203</v>
      </c>
      <c r="J6274" s="399">
        <f t="shared" ref="J6274" si="20343">+D6267/4/1000</f>
        <v>1.01875</v>
      </c>
      <c r="K6274" s="400" t="s">
        <v>204</v>
      </c>
      <c r="L6274" s="399">
        <f t="shared" ref="L6274" si="20344">MAX(VLOOKUP(F6274,N$6:P$15,3,FALSE)/1000,2/3*D6269/1000)+F$16*F6274/1000</f>
        <v>0.156</v>
      </c>
      <c r="M6274" s="399" t="s">
        <v>176</v>
      </c>
      <c r="N6274" s="399">
        <f t="shared" si="20330"/>
        <v>1.17475</v>
      </c>
      <c r="O6274" s="399" t="s">
        <v>204</v>
      </c>
      <c r="P6274" s="389">
        <f t="shared" ref="P6274" si="20345">D6274-D6273</f>
        <v>0</v>
      </c>
      <c r="Q6274" s="399" t="s">
        <v>125</v>
      </c>
      <c r="R6274" s="399">
        <f t="shared" ref="R6274" si="20346">IF(P6274&gt;0,$F$18*F6274/1000,0)</f>
        <v>0</v>
      </c>
      <c r="S6274" s="399" t="s">
        <v>205</v>
      </c>
      <c r="T6274" s="399" t="s">
        <v>125</v>
      </c>
      <c r="U6274" s="401">
        <f t="shared" si="20333"/>
        <v>1.041885</v>
      </c>
      <c r="V6274" s="399"/>
      <c r="W6274" s="399"/>
      <c r="X6274" s="399" t="s">
        <v>125</v>
      </c>
      <c r="Y6274" s="389">
        <f t="shared" ref="Y6274" si="20347">D6271</f>
        <v>1</v>
      </c>
      <c r="Z6274" s="400" t="s">
        <v>176</v>
      </c>
      <c r="AA6274" s="402">
        <f t="shared" ref="AA6274" si="20348">IF(AA6275=0,(D6274*N6274+P6274*R6274)*U6274*Y6274,0)</f>
        <v>0</v>
      </c>
      <c r="AB6274" s="403"/>
    </row>
    <row r="6275" spans="1:28">
      <c r="A6275" s="384" t="str">
        <f t="shared" ref="A6275:B6275" si="20349">A6265</f>
        <v>Lantai Atap</v>
      </c>
      <c r="B6275" s="385">
        <f t="shared" si="20349"/>
        <v>3</v>
      </c>
      <c r="C6275" s="393"/>
      <c r="D6275" s="398">
        <f t="shared" si="20245"/>
        <v>2</v>
      </c>
      <c r="E6275" s="388" t="s">
        <v>16</v>
      </c>
      <c r="F6275" s="388">
        <f t="shared" si="20246"/>
        <v>13</v>
      </c>
      <c r="G6275" s="388"/>
      <c r="H6275" s="395"/>
      <c r="I6275" s="388"/>
      <c r="J6275" s="396"/>
      <c r="K6275" s="396"/>
      <c r="L6275" s="404" t="s">
        <v>207</v>
      </c>
      <c r="M6275" s="399" t="s">
        <v>176</v>
      </c>
      <c r="N6275" s="399">
        <f t="shared" ref="N6275" si="20350">IF(AND(D6272=D6273,D6272=D6274,D6273=D6274,F6272=F6273,F6272=F6274,F6273=F6274),SUM(N6272:N6274),0)</f>
        <v>4.3870000000000005</v>
      </c>
      <c r="O6275" s="399" t="s">
        <v>204</v>
      </c>
      <c r="P6275" s="389">
        <f t="shared" ref="P6275" si="20351">IF(N6275&gt;12,ROUNDDOWN(N6275/12,0),0)</f>
        <v>0</v>
      </c>
      <c r="Q6275" s="399" t="s">
        <v>125</v>
      </c>
      <c r="R6275" s="399">
        <f t="shared" ref="R6275" si="20352">IF(P6275&gt;0,MAX(VLOOKUP(F6275,$D$6:$G$15,3,FALSE),600),0)/1000</f>
        <v>0</v>
      </c>
      <c r="S6275" s="396"/>
      <c r="T6275" s="396" t="s">
        <v>125</v>
      </c>
      <c r="U6275" s="401">
        <f t="shared" si="20250"/>
        <v>1.041885</v>
      </c>
      <c r="V6275" s="396" t="s">
        <v>125</v>
      </c>
      <c r="W6275" s="399">
        <f t="shared" ref="W6275" si="20353">D6275</f>
        <v>2</v>
      </c>
      <c r="X6275" s="399" t="s">
        <v>125</v>
      </c>
      <c r="Y6275" s="389">
        <f t="shared" si="20252"/>
        <v>1</v>
      </c>
      <c r="Z6275" s="400" t="s">
        <v>176</v>
      </c>
      <c r="AA6275" s="402">
        <f t="shared" ref="AA6275" si="20354">(N6275+P6275*R6275/1000)*U6275*W6275*Y6275</f>
        <v>9.1414989900000005</v>
      </c>
      <c r="AB6275" s="390"/>
    </row>
    <row r="6276" spans="1:28">
      <c r="A6276" s="384"/>
      <c r="B6276" s="385"/>
      <c r="C6276" s="393"/>
      <c r="D6276" s="398"/>
      <c r="E6276" s="388"/>
      <c r="F6276" s="388"/>
      <c r="G6276" s="388"/>
      <c r="H6276" s="395"/>
      <c r="I6276" s="388"/>
      <c r="J6276" s="396"/>
      <c r="K6276" s="396"/>
      <c r="L6276" s="404"/>
      <c r="M6276" s="399"/>
      <c r="N6276" s="399"/>
      <c r="O6276" s="396"/>
      <c r="P6276" s="389"/>
      <c r="Q6276" s="396"/>
      <c r="R6276" s="396"/>
      <c r="S6276" s="396"/>
      <c r="T6276" s="396"/>
      <c r="U6276" s="401"/>
      <c r="V6276" s="396"/>
      <c r="W6276" s="399"/>
      <c r="X6276" s="396"/>
      <c r="Y6276" s="389"/>
      <c r="Z6276" s="396"/>
      <c r="AA6276" s="388"/>
      <c r="AB6276" s="390"/>
    </row>
    <row r="6277" spans="1:28">
      <c r="A6277" s="384" t="str">
        <f t="shared" ref="A6277:B6277" si="20355">A6265</f>
        <v>Lantai Atap</v>
      </c>
      <c r="B6277" s="385">
        <f t="shared" si="20355"/>
        <v>3</v>
      </c>
      <c r="C6277" s="393" t="s">
        <v>208</v>
      </c>
      <c r="D6277" s="398">
        <f>VLOOKUP(D6265,'Detail Balok'!$C$10:$AU$140,13,FALSE)</f>
        <v>0</v>
      </c>
      <c r="E6277" s="388" t="s">
        <v>16</v>
      </c>
      <c r="F6277" s="388">
        <f>VLOOKUP(D6265,'Detail Balok'!$C$10:$AU$140,15,FALSE)</f>
        <v>8</v>
      </c>
      <c r="G6277" s="388"/>
      <c r="H6277" s="395"/>
      <c r="I6277" s="388"/>
      <c r="J6277" s="399">
        <f t="shared" ref="J6277" si="20356">+D6267/1000</f>
        <v>4.0750000000000002</v>
      </c>
      <c r="K6277" s="400" t="s">
        <v>204</v>
      </c>
      <c r="L6277" s="399">
        <f t="shared" ref="L6277" si="20357">2*$F$16*F6277/1000</f>
        <v>0.192</v>
      </c>
      <c r="M6277" s="399" t="s">
        <v>176</v>
      </c>
      <c r="N6277" s="399">
        <f t="shared" ref="N6277" si="20358">J6277+L6277</f>
        <v>4.2670000000000003</v>
      </c>
      <c r="O6277" s="399" t="s">
        <v>204</v>
      </c>
      <c r="P6277" s="389">
        <f t="shared" ref="P6277" si="20359">IF(N6277&gt;12,ROUNDDOWN(N6277/12,0),0)</f>
        <v>0</v>
      </c>
      <c r="Q6277" s="399" t="s">
        <v>125</v>
      </c>
      <c r="R6277" s="399">
        <f t="shared" ref="R6277" si="20360">IF(P6277&gt;0,MAX(VLOOKUP(F6277,$D$6:$G$15,3,FALSE),600),0)/1000</f>
        <v>0</v>
      </c>
      <c r="S6277" s="399"/>
      <c r="T6277" s="399" t="s">
        <v>125</v>
      </c>
      <c r="U6277" s="401">
        <f t="shared" ref="U6277" si="20361">0.006165*F6277^2</f>
        <v>0.39456000000000002</v>
      </c>
      <c r="V6277" s="399" t="s">
        <v>125</v>
      </c>
      <c r="W6277" s="399">
        <f t="shared" ref="W6277" si="20362">+D6277</f>
        <v>0</v>
      </c>
      <c r="X6277" s="399" t="s">
        <v>125</v>
      </c>
      <c r="Y6277" s="389">
        <f t="shared" ref="Y6277" si="20363">D6271</f>
        <v>1</v>
      </c>
      <c r="Z6277" s="400" t="s">
        <v>176</v>
      </c>
      <c r="AA6277" s="402">
        <f t="shared" ref="AA6277" si="20364">(N6277+P6277*R6277/1000)*U6277*W6277*Y6277</f>
        <v>0</v>
      </c>
      <c r="AB6277" s="403"/>
    </row>
    <row r="6278" spans="1:28">
      <c r="A6278" s="384"/>
      <c r="B6278" s="385"/>
      <c r="C6278" s="393"/>
      <c r="D6278" s="398"/>
      <c r="E6278" s="388"/>
      <c r="F6278" s="388"/>
      <c r="G6278" s="388"/>
      <c r="H6278" s="395"/>
      <c r="I6278" s="388"/>
      <c r="J6278" s="399"/>
      <c r="K6278" s="400"/>
      <c r="L6278" s="399"/>
      <c r="M6278" s="399"/>
      <c r="N6278" s="399"/>
      <c r="O6278" s="399"/>
      <c r="P6278" s="389"/>
      <c r="Q6278" s="399"/>
      <c r="R6278" s="399"/>
      <c r="S6278" s="399"/>
      <c r="T6278" s="399"/>
      <c r="U6278" s="401"/>
      <c r="V6278" s="399"/>
      <c r="W6278" s="399"/>
      <c r="X6278" s="399"/>
      <c r="Y6278" s="389"/>
      <c r="Z6278" s="400"/>
      <c r="AA6278" s="402"/>
      <c r="AB6278" s="403"/>
    </row>
    <row r="6279" spans="1:28">
      <c r="A6279" s="384"/>
      <c r="B6279" s="385"/>
      <c r="C6279" s="393"/>
      <c r="D6279" s="398"/>
      <c r="E6279" s="388"/>
      <c r="F6279" s="388"/>
      <c r="G6279" s="388"/>
      <c r="H6279" s="395"/>
      <c r="I6279" s="388"/>
      <c r="J6279" s="396"/>
      <c r="K6279" s="396"/>
      <c r="L6279" s="396"/>
      <c r="M6279" s="396"/>
      <c r="N6279" s="396"/>
      <c r="O6279" s="396"/>
      <c r="P6279" s="389"/>
      <c r="Q6279" s="396"/>
      <c r="R6279" s="396"/>
      <c r="S6279" s="396"/>
      <c r="T6279" s="396"/>
      <c r="U6279" s="401"/>
      <c r="V6279" s="396"/>
      <c r="W6279" s="399"/>
      <c r="X6279" s="396"/>
      <c r="Y6279" s="389"/>
      <c r="Z6279" s="396"/>
      <c r="AA6279" s="388"/>
      <c r="AB6279" s="390"/>
    </row>
    <row r="6280" spans="1:28">
      <c r="A6280" s="384" t="str">
        <f t="shared" ref="A6280:B6280" si="20365">A6265</f>
        <v>Lantai Atap</v>
      </c>
      <c r="B6280" s="385">
        <f t="shared" si="20365"/>
        <v>3</v>
      </c>
      <c r="C6280" s="393" t="s">
        <v>209</v>
      </c>
      <c r="D6280" s="398">
        <f>VLOOKUP(D6265,'Detail Balok'!$C$10:$AU$140,22,FALSE)</f>
        <v>2</v>
      </c>
      <c r="E6280" s="388" t="s">
        <v>16</v>
      </c>
      <c r="F6280" s="388">
        <f>VLOOKUP(D6265,'Detail Balok'!$C$10:$AU$140,24,FALSE)</f>
        <v>13</v>
      </c>
      <c r="G6280" s="388"/>
      <c r="H6280" s="395"/>
      <c r="I6280" s="388" t="s">
        <v>203</v>
      </c>
      <c r="J6280" s="399">
        <f t="shared" si="20265"/>
        <v>1.01875</v>
      </c>
      <c r="K6280" s="400" t="s">
        <v>204</v>
      </c>
      <c r="L6280" s="399">
        <f t="shared" ref="L6280" si="20366">MAX(VLOOKUP(F6280,N$6:P$15,3,FALSE)/1000,2/3*D6270/1000)+F$16*F6280/1000</f>
        <v>0.156</v>
      </c>
      <c r="M6280" s="399" t="s">
        <v>176</v>
      </c>
      <c r="N6280" s="399">
        <f t="shared" ref="N6280:N6282" si="20367">J6280+L6280</f>
        <v>1.17475</v>
      </c>
      <c r="O6280" s="399" t="s">
        <v>204</v>
      </c>
      <c r="P6280" s="389">
        <f t="shared" ref="P6280" si="20368">D6280-D6281</f>
        <v>0</v>
      </c>
      <c r="Q6280" s="399" t="s">
        <v>125</v>
      </c>
      <c r="R6280" s="399">
        <f t="shared" ref="R6280" si="20369">IF(P6280&gt;0,$F$18*F6280/1000,0)</f>
        <v>0</v>
      </c>
      <c r="S6280" s="399" t="s">
        <v>205</v>
      </c>
      <c r="T6280" s="399" t="s">
        <v>125</v>
      </c>
      <c r="U6280" s="401">
        <f t="shared" ref="U6280:U6282" si="20370">0.006165*F6280^2</f>
        <v>1.041885</v>
      </c>
      <c r="V6280" s="399"/>
      <c r="W6280" s="399"/>
      <c r="X6280" s="399" t="s">
        <v>125</v>
      </c>
      <c r="Y6280" s="389">
        <f t="shared" ref="Y6280" si="20371">D6271</f>
        <v>1</v>
      </c>
      <c r="Z6280" s="400" t="s">
        <v>176</v>
      </c>
      <c r="AA6280" s="402">
        <f t="shared" ref="AA6280" si="20372">IF(AA6283=0,(D6280*N6280+P6280*R6280)*U6280*Y6280,0)</f>
        <v>0</v>
      </c>
      <c r="AB6280" s="403"/>
    </row>
    <row r="6281" spans="1:28">
      <c r="A6281" s="384" t="str">
        <f t="shared" ref="A6281:B6281" si="20373">A6265</f>
        <v>Lantai Atap</v>
      </c>
      <c r="B6281" s="385">
        <f t="shared" si="20373"/>
        <v>3</v>
      </c>
      <c r="C6281" s="393" t="s">
        <v>210</v>
      </c>
      <c r="D6281" s="398">
        <f>VLOOKUP(D6265,'Detail Balok'!$C$10:$AU$140,25,FALSE)</f>
        <v>2</v>
      </c>
      <c r="E6281" s="388" t="s">
        <v>16</v>
      </c>
      <c r="F6281" s="388">
        <f>VLOOKUP(D6265,'Detail Balok'!$C$10:$AU$140,27,FALSE)</f>
        <v>13</v>
      </c>
      <c r="G6281" s="388"/>
      <c r="H6281" s="395"/>
      <c r="I6281" s="388" t="s">
        <v>203</v>
      </c>
      <c r="J6281" s="399">
        <f t="shared" si="20265"/>
        <v>2.0375000000000001</v>
      </c>
      <c r="K6281" s="400" t="s">
        <v>204</v>
      </c>
      <c r="L6281" s="399"/>
      <c r="M6281" s="399" t="s">
        <v>176</v>
      </c>
      <c r="N6281" s="399">
        <f t="shared" si="20367"/>
        <v>2.0375000000000001</v>
      </c>
      <c r="O6281" s="399" t="s">
        <v>204</v>
      </c>
      <c r="P6281" s="389">
        <f t="shared" ref="P6281" si="20374">MAX(D6281-D6280,D6281-D6282)</f>
        <v>0</v>
      </c>
      <c r="Q6281" s="399" t="s">
        <v>125</v>
      </c>
      <c r="R6281" s="399">
        <f t="shared" ref="R6281" si="20375">IF(P6281&gt;0,2*(1-2*$F$19-1/2)*D6268/1000,0)</f>
        <v>0</v>
      </c>
      <c r="S6281" s="399" t="s">
        <v>205</v>
      </c>
      <c r="T6281" s="399" t="s">
        <v>125</v>
      </c>
      <c r="U6281" s="401">
        <f t="shared" si="20370"/>
        <v>1.041885</v>
      </c>
      <c r="V6281" s="399"/>
      <c r="W6281" s="399"/>
      <c r="X6281" s="399" t="s">
        <v>125</v>
      </c>
      <c r="Y6281" s="389">
        <f t="shared" ref="Y6281" si="20376">D6271</f>
        <v>1</v>
      </c>
      <c r="Z6281" s="400" t="s">
        <v>176</v>
      </c>
      <c r="AA6281" s="402">
        <f t="shared" ref="AA6281" si="20377">IF(AA6283=0,(D6281*N6281+P6281*R6281)*U6281*Y6281,0)</f>
        <v>0</v>
      </c>
      <c r="AB6281" s="403"/>
    </row>
    <row r="6282" spans="1:28">
      <c r="A6282" s="384" t="str">
        <f t="shared" ref="A6282:B6282" si="20378">A6265</f>
        <v>Lantai Atap</v>
      </c>
      <c r="B6282" s="385">
        <f t="shared" si="20378"/>
        <v>3</v>
      </c>
      <c r="C6282" s="393" t="s">
        <v>209</v>
      </c>
      <c r="D6282" s="398">
        <f>VLOOKUP(D6265,'Detail Balok'!$C$10:$AU$140,28,FALSE)</f>
        <v>2</v>
      </c>
      <c r="E6282" s="388" t="s">
        <v>16</v>
      </c>
      <c r="F6282" s="388">
        <f>VLOOKUP(D6265,'Detail Balok'!$C$10:$AU$140,30,FALSE)</f>
        <v>13</v>
      </c>
      <c r="G6282" s="388"/>
      <c r="H6282" s="395"/>
      <c r="I6282" s="388" t="s">
        <v>203</v>
      </c>
      <c r="J6282" s="399">
        <f t="shared" si="20265"/>
        <v>1.01875</v>
      </c>
      <c r="K6282" s="400" t="s">
        <v>204</v>
      </c>
      <c r="L6282" s="399">
        <f t="shared" ref="L6282" si="20379">MAX(VLOOKUP(F6282,N$6:P$15,3,FALSE)/1000,2/3*D6270/1000)+F$16*F6282/1000</f>
        <v>0.156</v>
      </c>
      <c r="M6282" s="399" t="s">
        <v>176</v>
      </c>
      <c r="N6282" s="399">
        <f t="shared" si="20367"/>
        <v>1.17475</v>
      </c>
      <c r="O6282" s="399" t="s">
        <v>204</v>
      </c>
      <c r="P6282" s="389">
        <f t="shared" ref="P6282" si="20380">D6282-D6281</f>
        <v>0</v>
      </c>
      <c r="Q6282" s="399" t="s">
        <v>125</v>
      </c>
      <c r="R6282" s="399">
        <f t="shared" ref="R6282" si="20381">IF(P6282&gt;0,$F$18*F6282/1000,0)</f>
        <v>0</v>
      </c>
      <c r="S6282" s="399" t="s">
        <v>205</v>
      </c>
      <c r="T6282" s="399" t="s">
        <v>125</v>
      </c>
      <c r="U6282" s="401">
        <f t="shared" si="20370"/>
        <v>1.041885</v>
      </c>
      <c r="V6282" s="399"/>
      <c r="W6282" s="399"/>
      <c r="X6282" s="399" t="s">
        <v>125</v>
      </c>
      <c r="Y6282" s="389">
        <f t="shared" ref="Y6282" si="20382">D6271</f>
        <v>1</v>
      </c>
      <c r="Z6282" s="400" t="s">
        <v>176</v>
      </c>
      <c r="AA6282" s="402">
        <f t="shared" ref="AA6282" si="20383">IF(AA6283=0,(D6282*N6282+P6282*R6282)*U6282*Y6282,0)</f>
        <v>0</v>
      </c>
      <c r="AB6282" s="403"/>
    </row>
    <row r="6283" spans="1:28">
      <c r="A6283" s="384" t="str">
        <f t="shared" ref="A6283:B6283" si="20384">A6265</f>
        <v>Lantai Atap</v>
      </c>
      <c r="B6283" s="385">
        <f t="shared" si="20384"/>
        <v>3</v>
      </c>
      <c r="C6283" s="393"/>
      <c r="D6283" s="398">
        <f t="shared" si="20285"/>
        <v>2</v>
      </c>
      <c r="E6283" s="388" t="s">
        <v>16</v>
      </c>
      <c r="F6283" s="388">
        <f t="shared" si="20286"/>
        <v>13</v>
      </c>
      <c r="G6283" s="388"/>
      <c r="H6283" s="395"/>
      <c r="I6283" s="388"/>
      <c r="J6283" s="396"/>
      <c r="K6283" s="396"/>
      <c r="L6283" s="404" t="s">
        <v>207</v>
      </c>
      <c r="M6283" s="399" t="s">
        <v>176</v>
      </c>
      <c r="N6283" s="399">
        <f t="shared" ref="N6283" si="20385">IF(AND(D6280=D6281,D6280=D6282,D6281=D6282,F6280=F6281,F6280=F6282,F6281=F6282),SUM(N6280:N6282),0)</f>
        <v>4.3870000000000005</v>
      </c>
      <c r="O6283" s="399" t="s">
        <v>204</v>
      </c>
      <c r="P6283" s="389">
        <f t="shared" ref="P6283" si="20386">IF(N6283&gt;12,ROUNDDOWN(N6283/12,0),0)</f>
        <v>0</v>
      </c>
      <c r="Q6283" s="399" t="s">
        <v>125</v>
      </c>
      <c r="R6283" s="399">
        <f t="shared" ref="R6283" si="20387">IF(P6283&gt;0,MAX(VLOOKUP(F6283,$D$6:$G$15,3,FALSE),600),0)/1000</f>
        <v>0</v>
      </c>
      <c r="S6283" s="396"/>
      <c r="T6283" s="396" t="s">
        <v>125</v>
      </c>
      <c r="U6283" s="401">
        <f t="shared" si="20290"/>
        <v>1.041885</v>
      </c>
      <c r="V6283" s="396" t="s">
        <v>125</v>
      </c>
      <c r="W6283" s="399">
        <f t="shared" ref="W6283" si="20388">D6283</f>
        <v>2</v>
      </c>
      <c r="X6283" s="399" t="s">
        <v>125</v>
      </c>
      <c r="Y6283" s="389">
        <f t="shared" si="20292"/>
        <v>1</v>
      </c>
      <c r="Z6283" s="400" t="s">
        <v>176</v>
      </c>
      <c r="AA6283" s="402">
        <f t="shared" ref="AA6283" si="20389">(N6283+P6283*R6283/1000)*U6283*W6283*Y6283</f>
        <v>9.1414989900000005</v>
      </c>
      <c r="AB6283" s="403"/>
    </row>
    <row r="6284" spans="1:28">
      <c r="A6284" s="384"/>
      <c r="B6284" s="385"/>
      <c r="C6284" s="393"/>
      <c r="D6284" s="394"/>
      <c r="E6284" s="388"/>
      <c r="F6284" s="388"/>
      <c r="G6284" s="388"/>
      <c r="H6284" s="395"/>
      <c r="I6284" s="388"/>
      <c r="J6284" s="399"/>
      <c r="K6284" s="396"/>
      <c r="L6284" s="396"/>
      <c r="M6284" s="396"/>
      <c r="N6284" s="396"/>
      <c r="O6284" s="396"/>
      <c r="P6284" s="389"/>
      <c r="Q6284" s="396"/>
      <c r="R6284" s="396"/>
      <c r="S6284" s="396"/>
      <c r="T6284" s="396"/>
      <c r="U6284" s="401"/>
      <c r="V6284" s="396"/>
      <c r="W6284" s="388"/>
      <c r="X6284" s="396"/>
      <c r="Y6284" s="389"/>
      <c r="Z6284" s="396"/>
      <c r="AA6284" s="388"/>
      <c r="AB6284" s="390"/>
    </row>
    <row r="6285" spans="1:28">
      <c r="A6285" s="384" t="str">
        <f t="shared" ref="A6285:B6285" si="20390">A6265</f>
        <v>Lantai Atap</v>
      </c>
      <c r="B6285" s="385">
        <f t="shared" si="20390"/>
        <v>3</v>
      </c>
      <c r="C6285" s="393" t="s">
        <v>211</v>
      </c>
      <c r="D6285" s="398">
        <f>VLOOKUP(D6265,'Detail Balok'!$C$10:$AU$140,31,FALSE)</f>
        <v>0</v>
      </c>
      <c r="E6285" s="388" t="s">
        <v>16</v>
      </c>
      <c r="F6285" s="388">
        <f>VLOOKUP(D6265,'Detail Balok'!$C$10:$AU$140,33,FALSE)</f>
        <v>8</v>
      </c>
      <c r="G6285" s="405" t="s">
        <v>157</v>
      </c>
      <c r="H6285" s="395">
        <f>VLOOKUP(D6265,'Detail Balok'!$C$10:$AU$140,35,FALSE)</f>
        <v>150</v>
      </c>
      <c r="I6285" s="388"/>
      <c r="J6285" s="400">
        <f t="shared" ref="J6285" si="20391">(IF(D6285=0,(2*(D6266+G6266))-(F$5*8),IF(D6285=3,(2*(D6266+G6266))-(F$5*8)+(G6266-2*F$5),IF(D6285=4,(2*(D6266+G6266))-(F$5*8)+2*(G6266-2*F$5)))))/1000</f>
        <v>0.74</v>
      </c>
      <c r="K6285" s="400" t="s">
        <v>204</v>
      </c>
      <c r="L6285" s="399">
        <f t="shared" ref="L6285:L6287" si="20392">IF(D6285=0,2*MAX(6*F6285,75),(D6285-1)*2*MAX(6*F6285,75))/1000</f>
        <v>0.15</v>
      </c>
      <c r="M6285" s="399" t="s">
        <v>176</v>
      </c>
      <c r="N6285" s="399">
        <f t="shared" ref="N6285:N6287" si="20393">J6285+L6285</f>
        <v>0.89</v>
      </c>
      <c r="O6285" s="399"/>
      <c r="P6285" s="389"/>
      <c r="Q6285" s="399"/>
      <c r="R6285" s="399"/>
      <c r="S6285" s="399"/>
      <c r="T6285" s="399" t="s">
        <v>125</v>
      </c>
      <c r="U6285" s="401">
        <f t="shared" ref="U6285:U6287" si="20394">0.006165*F6285^2</f>
        <v>0.39456000000000002</v>
      </c>
      <c r="V6285" s="399" t="s">
        <v>125</v>
      </c>
      <c r="W6285" s="399">
        <f t="shared" ref="W6285" si="20395">IF(D6268&gt;4*G6266,ROUND(MAX(D6268/4,2*G6266)/H6285,0)+1,ROUND(D6268/H6285,0)+1)</f>
        <v>8</v>
      </c>
      <c r="X6285" s="399" t="s">
        <v>125</v>
      </c>
      <c r="Y6285" s="389">
        <f t="shared" ref="Y6285" si="20396">D6271</f>
        <v>1</v>
      </c>
      <c r="Z6285" s="400" t="s">
        <v>176</v>
      </c>
      <c r="AA6285" s="402">
        <f t="shared" ref="AA6285:AA6287" si="20397">N6285*U6285*W6285*Y6285</f>
        <v>2.8092672000000003</v>
      </c>
      <c r="AB6285" s="403"/>
    </row>
    <row r="6286" spans="1:28">
      <c r="A6286" s="384" t="str">
        <f t="shared" ref="A6286:B6286" si="20398">A6265</f>
        <v>Lantai Atap</v>
      </c>
      <c r="B6286" s="385">
        <f t="shared" si="20398"/>
        <v>3</v>
      </c>
      <c r="C6286" s="393" t="s">
        <v>212</v>
      </c>
      <c r="D6286" s="398">
        <f>VLOOKUP(D6265,'Detail Balok'!$C$10:$AU$140,36,FALSE)</f>
        <v>0</v>
      </c>
      <c r="E6286" s="388" t="s">
        <v>16</v>
      </c>
      <c r="F6286" s="388">
        <f>VLOOKUP(D6265,'Detail Balok'!$C$10:$AU$140,38,FALSE)</f>
        <v>8</v>
      </c>
      <c r="G6286" s="405" t="s">
        <v>157</v>
      </c>
      <c r="H6286" s="395">
        <f>VLOOKUP(D6265,'Detail Balok'!$C$10:$AU$140,40,FALSE)</f>
        <v>200</v>
      </c>
      <c r="I6286" s="388"/>
      <c r="J6286" s="400">
        <f t="shared" ref="J6286" si="20399">(IF(D6286=0,(2*(D6266+G6266))-(F$5*8),IF(D6286=3,(2*(D6266+G6266))-(F$5*8)+(G6266-2*F$5),IF(D6286=4,(2*(D6266+G6266))-(F$5*8)+2*(G6266-2*F$5)))))/1000</f>
        <v>0.74</v>
      </c>
      <c r="K6286" s="400" t="s">
        <v>204</v>
      </c>
      <c r="L6286" s="399">
        <f t="shared" si="20392"/>
        <v>0.15</v>
      </c>
      <c r="M6286" s="399" t="s">
        <v>176</v>
      </c>
      <c r="N6286" s="399">
        <f t="shared" si="20393"/>
        <v>0.89</v>
      </c>
      <c r="O6286" s="399"/>
      <c r="P6286" s="389"/>
      <c r="Q6286" s="399"/>
      <c r="R6286" s="399"/>
      <c r="S6286" s="399"/>
      <c r="T6286" s="399" t="s">
        <v>125</v>
      </c>
      <c r="U6286" s="401">
        <f t="shared" si="20394"/>
        <v>0.39456000000000002</v>
      </c>
      <c r="V6286" s="399" t="s">
        <v>125</v>
      </c>
      <c r="W6286" s="399">
        <f t="shared" ref="W6286" si="20400">IF(D6268-MAX(D6268/4,2*G6266)*2&gt;0,ROUND((D6268-MAX(D6268/4,2*G6266)*2)/H6286,0),0)</f>
        <v>10</v>
      </c>
      <c r="X6286" s="399" t="s">
        <v>125</v>
      </c>
      <c r="Y6286" s="389">
        <f t="shared" ref="Y6286" si="20401">D6271</f>
        <v>1</v>
      </c>
      <c r="Z6286" s="400" t="s">
        <v>176</v>
      </c>
      <c r="AA6286" s="402">
        <f t="shared" si="20397"/>
        <v>3.5115840000000005</v>
      </c>
      <c r="AB6286" s="403"/>
    </row>
    <row r="6287" spans="1:28">
      <c r="A6287" s="384" t="str">
        <f t="shared" ref="A6287:B6287" si="20402">A6265</f>
        <v>Lantai Atap</v>
      </c>
      <c r="B6287" s="385">
        <f t="shared" si="20402"/>
        <v>3</v>
      </c>
      <c r="C6287" s="393" t="s">
        <v>211</v>
      </c>
      <c r="D6287" s="398">
        <f>VLOOKUP(D6265,'Detail Balok'!$C$10:$AU$140,41,FALSE)</f>
        <v>0</v>
      </c>
      <c r="E6287" s="388" t="s">
        <v>16</v>
      </c>
      <c r="F6287" s="388">
        <f>VLOOKUP(D6265,'Detail Balok'!$C$10:$AU$140,43,FALSE)</f>
        <v>8</v>
      </c>
      <c r="G6287" s="405" t="s">
        <v>157</v>
      </c>
      <c r="H6287" s="395">
        <f>VLOOKUP(D6265,'Detail Balok'!$C$10:$AU$140,45,FALSE)</f>
        <v>150</v>
      </c>
      <c r="I6287" s="388"/>
      <c r="J6287" s="400">
        <f t="shared" ref="J6287" si="20403">(IF(D6287=0,(2*(D6266+G6266))-(F$5*8),IF(D6287=3,(2*(D6266+G6266))-(F$5*8)+(G6266-2*F$5),IF(D6287=4,(2*(D6266+G6266))-(F$5*8)+2*(G6266-2*F$5)))))/1000</f>
        <v>0.74</v>
      </c>
      <c r="K6287" s="400" t="s">
        <v>204</v>
      </c>
      <c r="L6287" s="399">
        <f t="shared" si="20392"/>
        <v>0.15</v>
      </c>
      <c r="M6287" s="399" t="s">
        <v>176</v>
      </c>
      <c r="N6287" s="399">
        <f t="shared" si="20393"/>
        <v>0.89</v>
      </c>
      <c r="O6287" s="399"/>
      <c r="P6287" s="389"/>
      <c r="Q6287" s="399"/>
      <c r="R6287" s="399"/>
      <c r="S6287" s="399"/>
      <c r="T6287" s="399" t="s">
        <v>125</v>
      </c>
      <c r="U6287" s="401">
        <f t="shared" si="20394"/>
        <v>0.39456000000000002</v>
      </c>
      <c r="V6287" s="399" t="s">
        <v>125</v>
      </c>
      <c r="W6287" s="399">
        <f t="shared" ref="W6287" si="20404">IF(D6268&gt;4*G6266,ROUND(MAX(D6268/4,2*G6266)/H6287,0)+1,0)</f>
        <v>8</v>
      </c>
      <c r="X6287" s="399" t="s">
        <v>125</v>
      </c>
      <c r="Y6287" s="389">
        <f t="shared" ref="Y6287" si="20405">D6271</f>
        <v>1</v>
      </c>
      <c r="Z6287" s="400" t="s">
        <v>176</v>
      </c>
      <c r="AA6287" s="402">
        <f t="shared" si="20397"/>
        <v>2.8092672000000003</v>
      </c>
      <c r="AB6287" s="403"/>
    </row>
    <row r="6288" spans="1:28">
      <c r="A6288" s="384"/>
      <c r="B6288" s="385"/>
      <c r="C6288" s="393"/>
      <c r="D6288" s="394"/>
      <c r="E6288" s="388"/>
      <c r="F6288" s="388"/>
      <c r="G6288" s="388"/>
      <c r="H6288" s="395"/>
      <c r="I6288" s="388"/>
      <c r="J6288" s="399"/>
      <c r="K6288" s="396"/>
      <c r="L6288" s="396"/>
      <c r="M6288" s="396"/>
      <c r="N6288" s="396"/>
      <c r="O6288" s="396"/>
      <c r="P6288" s="389"/>
      <c r="Q6288" s="396"/>
      <c r="R6288" s="396"/>
      <c r="S6288" s="396"/>
      <c r="T6288" s="396"/>
      <c r="U6288" s="401"/>
      <c r="V6288" s="396"/>
      <c r="W6288" s="388"/>
      <c r="X6288" s="396"/>
      <c r="Y6288" s="389"/>
      <c r="Z6288" s="396"/>
      <c r="AA6288" s="388"/>
      <c r="AB6288" s="390"/>
    </row>
    <row r="6289" spans="1:28">
      <c r="A6289" s="384" t="str">
        <f t="shared" ref="A6289:B6289" si="20406">A6265</f>
        <v>Lantai Atap</v>
      </c>
      <c r="B6289" s="385">
        <f t="shared" si="20406"/>
        <v>3</v>
      </c>
      <c r="C6289" s="393" t="s">
        <v>213</v>
      </c>
      <c r="D6289" s="398">
        <f>VLOOKUP(D6265,'Detail Balok'!$C$10:$BJ$140,46,FALSE)</f>
        <v>0</v>
      </c>
      <c r="E6289" s="388" t="s">
        <v>16</v>
      </c>
      <c r="F6289" s="388">
        <f>VLOOKUP(D6265,'Detail Balok'!$C$10:$BJ$140,48,FALSE)</f>
        <v>0</v>
      </c>
      <c r="G6289" s="405" t="s">
        <v>157</v>
      </c>
      <c r="H6289" s="395">
        <f>VLOOKUP(D6265,'Detail Balok'!$C$10:$BJ$140,50,FALSE)</f>
        <v>100</v>
      </c>
      <c r="I6289" s="388"/>
      <c r="J6289" s="399">
        <f t="shared" ref="J6289" si="20407">(D6266-2*F$5)/1000</f>
        <v>0.05</v>
      </c>
      <c r="K6289" s="400" t="s">
        <v>204</v>
      </c>
      <c r="L6289" s="399">
        <f t="shared" ref="L6289:L6291" si="20408">IF(D6289=0,2*MAX(6*F6289,75),(D6289-1)*2*MAX(6*F6289,75))/1000</f>
        <v>0.15</v>
      </c>
      <c r="M6289" s="399" t="s">
        <v>176</v>
      </c>
      <c r="N6289" s="399">
        <f t="shared" ref="N6289:N6291" si="20409">J6289+L6289</f>
        <v>0.2</v>
      </c>
      <c r="O6289" s="399"/>
      <c r="P6289" s="399"/>
      <c r="Q6289" s="399"/>
      <c r="R6289" s="399"/>
      <c r="S6289" s="399"/>
      <c r="T6289" s="399" t="s">
        <v>125</v>
      </c>
      <c r="U6289" s="401">
        <f t="shared" ref="U6289:U6291" si="20410">0.006165*F6289^2</f>
        <v>0</v>
      </c>
      <c r="V6289" s="399" t="s">
        <v>125</v>
      </c>
      <c r="W6289" s="399">
        <f t="shared" si="20315"/>
        <v>8</v>
      </c>
      <c r="X6289" s="399" t="s">
        <v>125</v>
      </c>
      <c r="Y6289" s="389">
        <f t="shared" ref="Y6289" si="20411">D6275</f>
        <v>2</v>
      </c>
      <c r="Z6289" s="400" t="s">
        <v>176</v>
      </c>
      <c r="AA6289" s="402">
        <f t="shared" ref="AA6289:AA6291" si="20412">N6289*U6289*W6289*Y6289</f>
        <v>0</v>
      </c>
      <c r="AB6289" s="403"/>
    </row>
    <row r="6290" spans="1:28">
      <c r="A6290" s="384" t="str">
        <f t="shared" ref="A6290:B6290" si="20413">A6265</f>
        <v>Lantai Atap</v>
      </c>
      <c r="B6290" s="385">
        <f t="shared" si="20413"/>
        <v>3</v>
      </c>
      <c r="C6290" s="393" t="s">
        <v>214</v>
      </c>
      <c r="D6290" s="398">
        <f>VLOOKUP(D6265,'Detail Balok'!$C$10:$BJ$140,51,FALSE)</f>
        <v>0</v>
      </c>
      <c r="E6290" s="388" t="s">
        <v>16</v>
      </c>
      <c r="F6290" s="388">
        <f>VLOOKUP(D6265,'Detail Balok'!$C$10:$BJ$140,53,FALSE)</f>
        <v>0</v>
      </c>
      <c r="G6290" s="405" t="s">
        <v>157</v>
      </c>
      <c r="H6290" s="395">
        <f>VLOOKUP(D6265,'Detail Balok'!$C$10:$BJ$140,55,FALSE)</f>
        <v>100</v>
      </c>
      <c r="I6290" s="388"/>
      <c r="J6290" s="399">
        <f t="shared" ref="J6290" si="20414">(D6266-2*F$5)/1000</f>
        <v>0.05</v>
      </c>
      <c r="K6290" s="400" t="s">
        <v>204</v>
      </c>
      <c r="L6290" s="399">
        <f t="shared" si="20408"/>
        <v>0.15</v>
      </c>
      <c r="M6290" s="399" t="s">
        <v>176</v>
      </c>
      <c r="N6290" s="399">
        <f t="shared" si="20409"/>
        <v>0.2</v>
      </c>
      <c r="O6290" s="399"/>
      <c r="P6290" s="399"/>
      <c r="Q6290" s="399"/>
      <c r="R6290" s="399"/>
      <c r="S6290" s="399"/>
      <c r="T6290" s="399" t="s">
        <v>125</v>
      </c>
      <c r="U6290" s="401">
        <f t="shared" si="20410"/>
        <v>0</v>
      </c>
      <c r="V6290" s="399" t="s">
        <v>125</v>
      </c>
      <c r="W6290" s="399">
        <f t="shared" si="20315"/>
        <v>10</v>
      </c>
      <c r="X6290" s="399" t="s">
        <v>125</v>
      </c>
      <c r="Y6290" s="389">
        <f t="shared" ref="Y6290" si="20415">D6275</f>
        <v>2</v>
      </c>
      <c r="Z6290" s="400" t="s">
        <v>176</v>
      </c>
      <c r="AA6290" s="402">
        <f t="shared" si="20412"/>
        <v>0</v>
      </c>
      <c r="AB6290" s="403"/>
    </row>
    <row r="6291" spans="1:28">
      <c r="A6291" s="384" t="str">
        <f t="shared" ref="A6291:B6291" si="20416">A6265</f>
        <v>Lantai Atap</v>
      </c>
      <c r="B6291" s="385">
        <f t="shared" si="20416"/>
        <v>3</v>
      </c>
      <c r="C6291" s="393" t="s">
        <v>213</v>
      </c>
      <c r="D6291" s="398">
        <f>VLOOKUP(D6265,'Detail Balok'!$C$10:$BJ$140,56,FALSE)</f>
        <v>0</v>
      </c>
      <c r="E6291" s="388" t="s">
        <v>16</v>
      </c>
      <c r="F6291" s="388">
        <f>VLOOKUP(D6265,'Detail Balok'!$C$10:$BJ$140,58,FALSE)</f>
        <v>0</v>
      </c>
      <c r="G6291" s="405" t="s">
        <v>157</v>
      </c>
      <c r="H6291" s="395">
        <f>VLOOKUP(D6265,'Detail Balok'!$C$10:$BJ$140,60,FALSE)</f>
        <v>100</v>
      </c>
      <c r="I6291" s="388"/>
      <c r="J6291" s="399">
        <f t="shared" ref="J6291" si="20417">(D6266-2*F$5)/1000</f>
        <v>0.05</v>
      </c>
      <c r="K6291" s="400" t="s">
        <v>204</v>
      </c>
      <c r="L6291" s="399">
        <f t="shared" si="20408"/>
        <v>0.15</v>
      </c>
      <c r="M6291" s="399" t="s">
        <v>176</v>
      </c>
      <c r="N6291" s="399">
        <f t="shared" si="20409"/>
        <v>0.2</v>
      </c>
      <c r="O6291" s="399"/>
      <c r="P6291" s="399"/>
      <c r="Q6291" s="399"/>
      <c r="R6291" s="399"/>
      <c r="S6291" s="399"/>
      <c r="T6291" s="399" t="s">
        <v>125</v>
      </c>
      <c r="U6291" s="401">
        <f t="shared" si="20410"/>
        <v>0</v>
      </c>
      <c r="V6291" s="399" t="s">
        <v>125</v>
      </c>
      <c r="W6291" s="399">
        <f t="shared" si="20315"/>
        <v>8</v>
      </c>
      <c r="X6291" s="399" t="s">
        <v>125</v>
      </c>
      <c r="Y6291" s="389">
        <f t="shared" ref="Y6291" si="20418">D6275</f>
        <v>2</v>
      </c>
      <c r="Z6291" s="400" t="s">
        <v>176</v>
      </c>
      <c r="AA6291" s="402">
        <f t="shared" si="20412"/>
        <v>0</v>
      </c>
      <c r="AB6291" s="403"/>
    </row>
    <row r="6292" spans="1:28">
      <c r="A6292" s="391"/>
      <c r="B6292" s="392"/>
      <c r="C6292" s="392"/>
      <c r="D6292" s="394"/>
      <c r="E6292" s="388"/>
      <c r="F6292" s="388"/>
      <c r="G6292" s="388"/>
      <c r="H6292" s="395"/>
      <c r="I6292" s="388"/>
      <c r="J6292" s="402"/>
      <c r="K6292" s="388"/>
      <c r="L6292" s="388"/>
      <c r="M6292" s="388"/>
      <c r="N6292" s="388"/>
      <c r="O6292" s="388"/>
      <c r="P6292" s="388"/>
      <c r="Q6292" s="388"/>
      <c r="R6292" s="388"/>
      <c r="S6292" s="388"/>
      <c r="T6292" s="388"/>
      <c r="U6292" s="388"/>
      <c r="V6292" s="388"/>
      <c r="W6292" s="388"/>
      <c r="X6292" s="388"/>
      <c r="Y6292" s="389"/>
      <c r="Z6292" s="388"/>
      <c r="AA6292" s="402"/>
      <c r="AB6292" s="403"/>
    </row>
    <row r="6293" spans="1:28" ht="15.75" thickBot="1">
      <c r="A6293" s="406"/>
      <c r="B6293" s="407"/>
      <c r="C6293" s="407"/>
      <c r="D6293" s="408"/>
      <c r="E6293" s="409"/>
      <c r="F6293" s="409"/>
      <c r="G6293" s="409"/>
      <c r="H6293" s="410"/>
      <c r="I6293" s="409"/>
      <c r="J6293" s="409"/>
      <c r="K6293" s="409"/>
      <c r="L6293" s="409"/>
      <c r="M6293" s="409"/>
      <c r="N6293" s="409"/>
      <c r="O6293" s="409"/>
      <c r="P6293" s="409"/>
      <c r="Q6293" s="409"/>
      <c r="R6293" s="409"/>
      <c r="S6293" s="409"/>
      <c r="T6293" s="409"/>
      <c r="U6293" s="409"/>
      <c r="V6293" s="409"/>
      <c r="W6293" s="409"/>
      <c r="X6293" s="409"/>
      <c r="Y6293" s="411"/>
      <c r="Z6293" s="409"/>
      <c r="AA6293" s="412"/>
      <c r="AB6293" s="413"/>
    </row>
    <row r="6294" spans="1:28">
      <c r="A6294" s="377"/>
      <c r="B6294" s="378"/>
      <c r="C6294" s="378"/>
      <c r="D6294" s="379"/>
      <c r="E6294" s="380"/>
      <c r="F6294" s="380"/>
      <c r="G6294" s="380"/>
      <c r="H6294" s="381"/>
      <c r="I6294" s="380"/>
      <c r="J6294" s="380"/>
      <c r="K6294" s="380"/>
      <c r="L6294" s="380"/>
      <c r="M6294" s="380"/>
      <c r="N6294" s="380"/>
      <c r="O6294" s="380"/>
      <c r="P6294" s="380"/>
      <c r="Q6294" s="380"/>
      <c r="R6294" s="380"/>
      <c r="S6294" s="380"/>
      <c r="T6294" s="380"/>
      <c r="U6294" s="380"/>
      <c r="V6294" s="380"/>
      <c r="W6294" s="380"/>
      <c r="X6294" s="380"/>
      <c r="Y6294" s="382"/>
      <c r="Z6294" s="380"/>
      <c r="AA6294" s="380"/>
      <c r="AB6294" s="383"/>
    </row>
    <row r="6295" spans="1:28">
      <c r="A6295" s="384" t="str">
        <f t="shared" si="20324"/>
        <v>Lantai Atap</v>
      </c>
      <c r="B6295" s="385">
        <f t="shared" si="20325"/>
        <v>4</v>
      </c>
      <c r="C6295" s="386" t="str">
        <f t="shared" ref="C6295" si="20419">CONCATENATE(A6295," no. ",B6295)</f>
        <v>Lantai Atap no. 4</v>
      </c>
      <c r="D6295" s="2562" t="str">
        <f>VLOOKUP(C6295,'Data Panjang Balok'!$C$9:$N$254,2,FALSE)</f>
        <v>B4-1</v>
      </c>
      <c r="E6295" s="2576"/>
      <c r="F6295" s="2576"/>
      <c r="G6295" s="2576"/>
      <c r="H6295" s="2577"/>
      <c r="I6295" s="387"/>
      <c r="J6295" s="388"/>
      <c r="K6295" s="388"/>
      <c r="L6295" s="388"/>
      <c r="M6295" s="388"/>
      <c r="N6295" s="388"/>
      <c r="O6295" s="388"/>
      <c r="P6295" s="388"/>
      <c r="Q6295" s="388"/>
      <c r="R6295" s="388"/>
      <c r="S6295" s="388"/>
      <c r="T6295" s="388"/>
      <c r="U6295" s="388"/>
      <c r="V6295" s="388"/>
      <c r="W6295" s="388"/>
      <c r="X6295" s="388"/>
      <c r="Y6295" s="389"/>
      <c r="Z6295" s="388"/>
      <c r="AA6295" s="388"/>
      <c r="AB6295" s="390"/>
    </row>
    <row r="6296" spans="1:28">
      <c r="A6296" s="391"/>
      <c r="B6296" s="392"/>
      <c r="C6296" s="393" t="s">
        <v>118</v>
      </c>
      <c r="D6296" s="2578">
        <f>VLOOKUP(D6295,'Detail Balok'!$C$10:$AU$140,2,FALSE)</f>
        <v>130</v>
      </c>
      <c r="E6296" s="2579"/>
      <c r="F6296" s="388" t="s">
        <v>125</v>
      </c>
      <c r="G6296" s="2579">
        <f>VLOOKUP(D6295,'Detail Balok'!$C$10:$AU$140,3,FALSE)</f>
        <v>400</v>
      </c>
      <c r="H6296" s="2580"/>
      <c r="I6296" s="388"/>
      <c r="J6296" s="396"/>
      <c r="K6296" s="396"/>
      <c r="L6296" s="396"/>
      <c r="M6296" s="396"/>
      <c r="N6296" s="396"/>
      <c r="O6296" s="396"/>
      <c r="P6296" s="396"/>
      <c r="Q6296" s="396"/>
      <c r="R6296" s="396"/>
      <c r="S6296" s="396"/>
      <c r="T6296" s="396"/>
      <c r="U6296" s="388"/>
      <c r="V6296" s="396"/>
      <c r="W6296" s="388"/>
      <c r="X6296" s="396"/>
      <c r="Y6296" s="389"/>
      <c r="Z6296" s="396"/>
      <c r="AA6296" s="388"/>
      <c r="AB6296" s="390"/>
    </row>
    <row r="6297" spans="1:28">
      <c r="A6297" s="391"/>
      <c r="B6297" s="392"/>
      <c r="C6297" s="393" t="s">
        <v>198</v>
      </c>
      <c r="D6297" s="2562">
        <f>VLOOKUP(C6295,'Data Panjang Balok'!$C$9:$N$254,4,FALSE)</f>
        <v>5160</v>
      </c>
      <c r="E6297" s="2563"/>
      <c r="F6297" s="2563"/>
      <c r="G6297" s="2563"/>
      <c r="H6297" s="2564"/>
      <c r="I6297" s="397"/>
      <c r="J6297" s="396"/>
      <c r="K6297" s="396"/>
      <c r="L6297" s="396"/>
      <c r="M6297" s="396"/>
      <c r="N6297" s="396"/>
      <c r="O6297" s="396"/>
      <c r="P6297" s="396"/>
      <c r="Q6297" s="396"/>
      <c r="R6297" s="396"/>
      <c r="S6297" s="396"/>
      <c r="T6297" s="396"/>
      <c r="U6297" s="388"/>
      <c r="V6297" s="396"/>
      <c r="W6297" s="388"/>
      <c r="X6297" s="396"/>
      <c r="Y6297" s="389"/>
      <c r="Z6297" s="396"/>
      <c r="AA6297" s="388"/>
      <c r="AB6297" s="390"/>
    </row>
    <row r="6298" spans="1:28">
      <c r="A6298" s="391"/>
      <c r="B6298" s="392"/>
      <c r="C6298" s="393" t="s">
        <v>199</v>
      </c>
      <c r="D6298" s="2562">
        <f>VLOOKUP(C6295,'Data Panjang Balok'!$C$9:$N$254,7,FALSE)</f>
        <v>5160</v>
      </c>
      <c r="E6298" s="2563"/>
      <c r="F6298" s="2563"/>
      <c r="G6298" s="2563"/>
      <c r="H6298" s="2564"/>
      <c r="I6298" s="397"/>
      <c r="J6298" s="396"/>
      <c r="K6298" s="396"/>
      <c r="L6298" s="396"/>
      <c r="M6298" s="396"/>
      <c r="N6298" s="396"/>
      <c r="O6298" s="396"/>
      <c r="P6298" s="396"/>
      <c r="Q6298" s="396"/>
      <c r="R6298" s="396"/>
      <c r="S6298" s="396"/>
      <c r="T6298" s="396"/>
      <c r="U6298" s="388"/>
      <c r="V6298" s="396"/>
      <c r="W6298" s="388"/>
      <c r="X6298" s="396"/>
      <c r="Y6298" s="389"/>
      <c r="Z6298" s="396"/>
      <c r="AA6298" s="388"/>
      <c r="AB6298" s="390"/>
    </row>
    <row r="6299" spans="1:28">
      <c r="A6299" s="391"/>
      <c r="B6299" s="392"/>
      <c r="C6299" s="393" t="s">
        <v>200</v>
      </c>
      <c r="D6299" s="2562">
        <f>VLOOKUP(C6295,'Data Panjang Balok'!$C$9:$N$254,9,FALSE)</f>
        <v>0</v>
      </c>
      <c r="E6299" s="2563"/>
      <c r="F6299" s="2563"/>
      <c r="G6299" s="2563"/>
      <c r="H6299" s="2564"/>
      <c r="I6299" s="397"/>
      <c r="J6299" s="396"/>
      <c r="K6299" s="396"/>
      <c r="L6299" s="396"/>
      <c r="M6299" s="396"/>
      <c r="N6299" s="396"/>
      <c r="O6299" s="396"/>
      <c r="P6299" s="396"/>
      <c r="Q6299" s="396"/>
      <c r="R6299" s="396"/>
      <c r="S6299" s="396"/>
      <c r="T6299" s="396"/>
      <c r="U6299" s="388"/>
      <c r="V6299" s="396"/>
      <c r="W6299" s="388"/>
      <c r="X6299" s="396"/>
      <c r="Y6299" s="389"/>
      <c r="Z6299" s="396"/>
      <c r="AA6299" s="388"/>
      <c r="AB6299" s="390"/>
    </row>
    <row r="6300" spans="1:28">
      <c r="A6300" s="391"/>
      <c r="B6300" s="392"/>
      <c r="C6300" s="393" t="s">
        <v>201</v>
      </c>
      <c r="D6300" s="2562">
        <f>VLOOKUP(C6295,'Data Panjang Balok'!$C$9:$N$254,10,FALSE)</f>
        <v>0</v>
      </c>
      <c r="E6300" s="2563"/>
      <c r="F6300" s="2563"/>
      <c r="G6300" s="2563"/>
      <c r="H6300" s="2564"/>
      <c r="I6300" s="397"/>
      <c r="J6300" s="396"/>
      <c r="K6300" s="396"/>
      <c r="L6300" s="396"/>
      <c r="M6300" s="396"/>
      <c r="N6300" s="396"/>
      <c r="O6300" s="396"/>
      <c r="P6300" s="396"/>
      <c r="Q6300" s="396"/>
      <c r="R6300" s="396"/>
      <c r="S6300" s="396"/>
      <c r="T6300" s="396"/>
      <c r="U6300" s="388"/>
      <c r="V6300" s="396"/>
      <c r="W6300" s="388"/>
      <c r="X6300" s="396"/>
      <c r="Y6300" s="389"/>
      <c r="Z6300" s="396"/>
      <c r="AA6300" s="388"/>
      <c r="AB6300" s="390"/>
    </row>
    <row r="6301" spans="1:28">
      <c r="A6301" s="391"/>
      <c r="B6301" s="392"/>
      <c r="C6301" s="393" t="s">
        <v>48</v>
      </c>
      <c r="D6301" s="2562">
        <f>VLOOKUP(C6295,'Data Panjang Balok'!$C$9:$N$254,3,FALSE)</f>
        <v>1</v>
      </c>
      <c r="E6301" s="2563"/>
      <c r="F6301" s="2563"/>
      <c r="G6301" s="2563"/>
      <c r="H6301" s="2564"/>
      <c r="I6301" s="397"/>
      <c r="J6301" s="396"/>
      <c r="K6301" s="396"/>
      <c r="L6301" s="396"/>
      <c r="M6301" s="396"/>
      <c r="N6301" s="396"/>
      <c r="O6301" s="396"/>
      <c r="P6301" s="396"/>
      <c r="Q6301" s="396"/>
      <c r="R6301" s="396"/>
      <c r="S6301" s="396"/>
      <c r="T6301" s="396"/>
      <c r="U6301" s="388"/>
      <c r="V6301" s="396"/>
      <c r="W6301" s="388"/>
      <c r="X6301" s="396"/>
      <c r="Y6301" s="389"/>
      <c r="Z6301" s="396"/>
      <c r="AA6301" s="388"/>
      <c r="AB6301" s="390"/>
    </row>
    <row r="6302" spans="1:28">
      <c r="A6302" s="384" t="str">
        <f t="shared" ref="A6302:B6302" si="20420">A6295</f>
        <v>Lantai Atap</v>
      </c>
      <c r="B6302" s="385">
        <f t="shared" si="20420"/>
        <v>4</v>
      </c>
      <c r="C6302" s="393" t="s">
        <v>202</v>
      </c>
      <c r="D6302" s="398">
        <f>VLOOKUP(D6295,'Detail Balok'!$C$10:$AU$140,4,FALSE)</f>
        <v>2</v>
      </c>
      <c r="E6302" s="388" t="s">
        <v>16</v>
      </c>
      <c r="F6302" s="388">
        <f>VLOOKUP(D6295,'Detail Balok'!$C$10:$AU$140,6,FALSE)</f>
        <v>13</v>
      </c>
      <c r="G6302" s="388"/>
      <c r="H6302" s="395"/>
      <c r="I6302" s="388" t="s">
        <v>203</v>
      </c>
      <c r="J6302" s="399">
        <f t="shared" ref="J6302" si="20421">+D6297/4/1000</f>
        <v>1.29</v>
      </c>
      <c r="K6302" s="400" t="s">
        <v>204</v>
      </c>
      <c r="L6302" s="399">
        <f t="shared" ref="L6302" si="20422">MAX(VLOOKUP(F6302,N$6:P$15,3,FALSE)/1000,2/3*D6299/1000)+F$16*F6302/1000</f>
        <v>0.156</v>
      </c>
      <c r="M6302" s="399" t="s">
        <v>176</v>
      </c>
      <c r="N6302" s="399">
        <f t="shared" ref="N6302:N6304" si="20423">J6302+L6302</f>
        <v>1.446</v>
      </c>
      <c r="O6302" s="399" t="s">
        <v>204</v>
      </c>
      <c r="P6302" s="389">
        <f t="shared" ref="P6302" si="20424">D6302-D6303</f>
        <v>0</v>
      </c>
      <c r="Q6302" s="399" t="s">
        <v>125</v>
      </c>
      <c r="R6302" s="399">
        <f t="shared" ref="R6302" si="20425">IF(P6302&gt;0,$F$18*F6302/1000,0)</f>
        <v>0</v>
      </c>
      <c r="S6302" s="399" t="s">
        <v>205</v>
      </c>
      <c r="T6302" s="399" t="s">
        <v>125</v>
      </c>
      <c r="U6302" s="401">
        <f t="shared" ref="U6302:U6304" si="20426">0.006165*F6302^2</f>
        <v>1.041885</v>
      </c>
      <c r="V6302" s="399"/>
      <c r="W6302" s="399"/>
      <c r="X6302" s="399" t="s">
        <v>125</v>
      </c>
      <c r="Y6302" s="389">
        <f t="shared" ref="Y6302" si="20427">D6301</f>
        <v>1</v>
      </c>
      <c r="Z6302" s="400" t="s">
        <v>176</v>
      </c>
      <c r="AA6302" s="402">
        <f t="shared" ref="AA6302" si="20428">IF(AA6305=0,(D6302*N6302+P6302*R6302)*U6302*Y6302,0)</f>
        <v>0</v>
      </c>
      <c r="AB6302" s="403"/>
    </row>
    <row r="6303" spans="1:28">
      <c r="A6303" s="384" t="str">
        <f t="shared" ref="A6303:B6303" si="20429">A6295</f>
        <v>Lantai Atap</v>
      </c>
      <c r="B6303" s="385">
        <f t="shared" si="20429"/>
        <v>4</v>
      </c>
      <c r="C6303" s="393" t="s">
        <v>206</v>
      </c>
      <c r="D6303" s="398">
        <f>VLOOKUP(D6295,'Detail Balok'!$C$10:$AU$140,7,FALSE)</f>
        <v>2</v>
      </c>
      <c r="E6303" s="388" t="s">
        <v>16</v>
      </c>
      <c r="F6303" s="388">
        <f>VLOOKUP(D6295,'Detail Balok'!$C$10:$AU$140,9,FALSE)</f>
        <v>13</v>
      </c>
      <c r="G6303" s="388"/>
      <c r="H6303" s="395"/>
      <c r="I6303" s="388" t="s">
        <v>203</v>
      </c>
      <c r="J6303" s="399">
        <f t="shared" ref="J6303" si="20430">+D6297/2/1000</f>
        <v>2.58</v>
      </c>
      <c r="K6303" s="400" t="s">
        <v>204</v>
      </c>
      <c r="L6303" s="399"/>
      <c r="M6303" s="399" t="s">
        <v>176</v>
      </c>
      <c r="N6303" s="399">
        <f t="shared" si="20423"/>
        <v>2.58</v>
      </c>
      <c r="O6303" s="399" t="s">
        <v>204</v>
      </c>
      <c r="P6303" s="389">
        <f t="shared" ref="P6303" si="20431">MAX(D6303-D6302,D6303-D6304)</f>
        <v>0</v>
      </c>
      <c r="Q6303" s="399" t="s">
        <v>125</v>
      </c>
      <c r="R6303" s="399">
        <f t="shared" ref="R6303" si="20432">IF(P6303&gt;0,2*(1-2*$F$19-1/2)*D6298/1000,0)</f>
        <v>0</v>
      </c>
      <c r="S6303" s="399" t="s">
        <v>205</v>
      </c>
      <c r="T6303" s="399" t="s">
        <v>125</v>
      </c>
      <c r="U6303" s="401">
        <f t="shared" si="20426"/>
        <v>1.041885</v>
      </c>
      <c r="V6303" s="399"/>
      <c r="W6303" s="399"/>
      <c r="X6303" s="399" t="s">
        <v>125</v>
      </c>
      <c r="Y6303" s="389">
        <f t="shared" ref="Y6303" si="20433">D6301</f>
        <v>1</v>
      </c>
      <c r="Z6303" s="400" t="s">
        <v>176</v>
      </c>
      <c r="AA6303" s="402">
        <f t="shared" ref="AA6303" si="20434">IF(AA6305=0,(D6303*N6303+P6303*R6303)*U6303*Y6303,0)</f>
        <v>0</v>
      </c>
      <c r="AB6303" s="403"/>
    </row>
    <row r="6304" spans="1:28">
      <c r="A6304" s="384" t="str">
        <f t="shared" ref="A6304:B6304" si="20435">A6295</f>
        <v>Lantai Atap</v>
      </c>
      <c r="B6304" s="385">
        <f t="shared" si="20435"/>
        <v>4</v>
      </c>
      <c r="C6304" s="393" t="s">
        <v>202</v>
      </c>
      <c r="D6304" s="398">
        <f>VLOOKUP(D6295,'Detail Balok'!$C$10:$AU$140,10,FALSE)</f>
        <v>2</v>
      </c>
      <c r="E6304" s="388" t="s">
        <v>16</v>
      </c>
      <c r="F6304" s="388">
        <f>VLOOKUP(D6295,'Detail Balok'!$C$10:$AU$140,12,FALSE)</f>
        <v>13</v>
      </c>
      <c r="G6304" s="388"/>
      <c r="H6304" s="395"/>
      <c r="I6304" s="388" t="s">
        <v>203</v>
      </c>
      <c r="J6304" s="399">
        <f t="shared" ref="J6304" si="20436">+D6297/4/1000</f>
        <v>1.29</v>
      </c>
      <c r="K6304" s="400" t="s">
        <v>204</v>
      </c>
      <c r="L6304" s="399">
        <f t="shared" ref="L6304" si="20437">MAX(VLOOKUP(F6304,N$6:P$15,3,FALSE)/1000,2/3*D6299/1000)+F$16*F6304/1000</f>
        <v>0.156</v>
      </c>
      <c r="M6304" s="399" t="s">
        <v>176</v>
      </c>
      <c r="N6304" s="399">
        <f t="shared" si="20423"/>
        <v>1.446</v>
      </c>
      <c r="O6304" s="399" t="s">
        <v>204</v>
      </c>
      <c r="P6304" s="389">
        <f t="shared" ref="P6304" si="20438">D6304-D6303</f>
        <v>0</v>
      </c>
      <c r="Q6304" s="399" t="s">
        <v>125</v>
      </c>
      <c r="R6304" s="399">
        <f t="shared" ref="R6304" si="20439">IF(P6304&gt;0,$F$18*F6304/1000,0)</f>
        <v>0</v>
      </c>
      <c r="S6304" s="399" t="s">
        <v>205</v>
      </c>
      <c r="T6304" s="399" t="s">
        <v>125</v>
      </c>
      <c r="U6304" s="401">
        <f t="shared" si="20426"/>
        <v>1.041885</v>
      </c>
      <c r="V6304" s="399"/>
      <c r="W6304" s="399"/>
      <c r="X6304" s="399" t="s">
        <v>125</v>
      </c>
      <c r="Y6304" s="389">
        <f t="shared" ref="Y6304" si="20440">D6301</f>
        <v>1</v>
      </c>
      <c r="Z6304" s="400" t="s">
        <v>176</v>
      </c>
      <c r="AA6304" s="402">
        <f t="shared" ref="AA6304" si="20441">IF(AA6305=0,(D6304*N6304+P6304*R6304)*U6304*Y6304,0)</f>
        <v>0</v>
      </c>
      <c r="AB6304" s="403"/>
    </row>
    <row r="6305" spans="1:28">
      <c r="A6305" s="384" t="str">
        <f t="shared" ref="A6305:B6305" si="20442">A6295</f>
        <v>Lantai Atap</v>
      </c>
      <c r="B6305" s="385">
        <f t="shared" si="20442"/>
        <v>4</v>
      </c>
      <c r="C6305" s="393"/>
      <c r="D6305" s="398">
        <f t="shared" si="20245"/>
        <v>2</v>
      </c>
      <c r="E6305" s="388" t="s">
        <v>16</v>
      </c>
      <c r="F6305" s="388">
        <f t="shared" si="20246"/>
        <v>13</v>
      </c>
      <c r="G6305" s="388"/>
      <c r="H6305" s="395"/>
      <c r="I6305" s="388"/>
      <c r="J6305" s="396"/>
      <c r="K6305" s="396"/>
      <c r="L6305" s="404" t="s">
        <v>207</v>
      </c>
      <c r="M6305" s="399" t="s">
        <v>176</v>
      </c>
      <c r="N6305" s="399">
        <f t="shared" ref="N6305" si="20443">IF(AND(D6302=D6303,D6302=D6304,D6303=D6304,F6302=F6303,F6302=F6304,F6303=F6304),SUM(N6302:N6304),0)</f>
        <v>5.4719999999999995</v>
      </c>
      <c r="O6305" s="399" t="s">
        <v>204</v>
      </c>
      <c r="P6305" s="389">
        <f t="shared" ref="P6305" si="20444">IF(N6305&gt;12,ROUNDDOWN(N6305/12,0),0)</f>
        <v>0</v>
      </c>
      <c r="Q6305" s="399" t="s">
        <v>125</v>
      </c>
      <c r="R6305" s="399">
        <f t="shared" ref="R6305" si="20445">IF(P6305&gt;0,MAX(VLOOKUP(F6305,$D$6:$G$15,3,FALSE),600),0)/1000</f>
        <v>0</v>
      </c>
      <c r="S6305" s="396"/>
      <c r="T6305" s="396" t="s">
        <v>125</v>
      </c>
      <c r="U6305" s="401">
        <f t="shared" si="20250"/>
        <v>1.041885</v>
      </c>
      <c r="V6305" s="396" t="s">
        <v>125</v>
      </c>
      <c r="W6305" s="399">
        <f t="shared" ref="W6305" si="20446">D6305</f>
        <v>2</v>
      </c>
      <c r="X6305" s="399" t="s">
        <v>125</v>
      </c>
      <c r="Y6305" s="389">
        <f t="shared" si="20252"/>
        <v>1</v>
      </c>
      <c r="Z6305" s="400" t="s">
        <v>176</v>
      </c>
      <c r="AA6305" s="402">
        <f t="shared" ref="AA6305" si="20447">(N6305+P6305*R6305/1000)*U6305*W6305*Y6305</f>
        <v>11.402389439999999</v>
      </c>
      <c r="AB6305" s="390"/>
    </row>
    <row r="6306" spans="1:28">
      <c r="A6306" s="384"/>
      <c r="B6306" s="385"/>
      <c r="C6306" s="393"/>
      <c r="D6306" s="398"/>
      <c r="E6306" s="388"/>
      <c r="F6306" s="388"/>
      <c r="G6306" s="388"/>
      <c r="H6306" s="395"/>
      <c r="I6306" s="388"/>
      <c r="J6306" s="396"/>
      <c r="K6306" s="396"/>
      <c r="L6306" s="404"/>
      <c r="M6306" s="399"/>
      <c r="N6306" s="399"/>
      <c r="O6306" s="396"/>
      <c r="P6306" s="389"/>
      <c r="Q6306" s="396"/>
      <c r="R6306" s="396"/>
      <c r="S6306" s="396"/>
      <c r="T6306" s="396"/>
      <c r="U6306" s="401"/>
      <c r="V6306" s="396"/>
      <c r="W6306" s="399"/>
      <c r="X6306" s="396"/>
      <c r="Y6306" s="389"/>
      <c r="Z6306" s="396"/>
      <c r="AA6306" s="388"/>
      <c r="AB6306" s="390"/>
    </row>
    <row r="6307" spans="1:28">
      <c r="A6307" s="384" t="str">
        <f t="shared" ref="A6307:B6307" si="20448">A6295</f>
        <v>Lantai Atap</v>
      </c>
      <c r="B6307" s="385">
        <f t="shared" si="20448"/>
        <v>4</v>
      </c>
      <c r="C6307" s="393" t="s">
        <v>208</v>
      </c>
      <c r="D6307" s="398">
        <f>VLOOKUP(D6295,'Detail Balok'!$C$10:$AU$140,13,FALSE)</f>
        <v>0</v>
      </c>
      <c r="E6307" s="388" t="s">
        <v>16</v>
      </c>
      <c r="F6307" s="388">
        <f>VLOOKUP(D6295,'Detail Balok'!$C$10:$AU$140,15,FALSE)</f>
        <v>8</v>
      </c>
      <c r="G6307" s="388"/>
      <c r="H6307" s="395"/>
      <c r="I6307" s="388"/>
      <c r="J6307" s="399">
        <f t="shared" ref="J6307" si="20449">+D6297/1000</f>
        <v>5.16</v>
      </c>
      <c r="K6307" s="400" t="s">
        <v>204</v>
      </c>
      <c r="L6307" s="399">
        <f t="shared" ref="L6307" si="20450">2*$F$16*F6307/1000</f>
        <v>0.192</v>
      </c>
      <c r="M6307" s="399" t="s">
        <v>176</v>
      </c>
      <c r="N6307" s="399">
        <f t="shared" ref="N6307" si="20451">J6307+L6307</f>
        <v>5.3520000000000003</v>
      </c>
      <c r="O6307" s="399" t="s">
        <v>204</v>
      </c>
      <c r="P6307" s="389">
        <f t="shared" ref="P6307" si="20452">IF(N6307&gt;12,ROUNDDOWN(N6307/12,0),0)</f>
        <v>0</v>
      </c>
      <c r="Q6307" s="399" t="s">
        <v>125</v>
      </c>
      <c r="R6307" s="399">
        <f t="shared" ref="R6307" si="20453">IF(P6307&gt;0,MAX(VLOOKUP(F6307,$D$6:$G$15,3,FALSE),600),0)/1000</f>
        <v>0</v>
      </c>
      <c r="S6307" s="399"/>
      <c r="T6307" s="399" t="s">
        <v>125</v>
      </c>
      <c r="U6307" s="401">
        <f t="shared" ref="U6307" si="20454">0.006165*F6307^2</f>
        <v>0.39456000000000002</v>
      </c>
      <c r="V6307" s="399" t="s">
        <v>125</v>
      </c>
      <c r="W6307" s="399">
        <f t="shared" ref="W6307" si="20455">+D6307</f>
        <v>0</v>
      </c>
      <c r="X6307" s="399" t="s">
        <v>125</v>
      </c>
      <c r="Y6307" s="389">
        <f t="shared" ref="Y6307" si="20456">D6301</f>
        <v>1</v>
      </c>
      <c r="Z6307" s="400" t="s">
        <v>176</v>
      </c>
      <c r="AA6307" s="402">
        <f t="shared" ref="AA6307" si="20457">(N6307+P6307*R6307/1000)*U6307*W6307*Y6307</f>
        <v>0</v>
      </c>
      <c r="AB6307" s="403"/>
    </row>
    <row r="6308" spans="1:28">
      <c r="A6308" s="384"/>
      <c r="B6308" s="385"/>
      <c r="C6308" s="393"/>
      <c r="D6308" s="398"/>
      <c r="E6308" s="388"/>
      <c r="F6308" s="388"/>
      <c r="G6308" s="388"/>
      <c r="H6308" s="395"/>
      <c r="I6308" s="388"/>
      <c r="J6308" s="399"/>
      <c r="K6308" s="400"/>
      <c r="L6308" s="399"/>
      <c r="M6308" s="399"/>
      <c r="N6308" s="399"/>
      <c r="O6308" s="399"/>
      <c r="P6308" s="389"/>
      <c r="Q6308" s="399"/>
      <c r="R6308" s="399"/>
      <c r="S6308" s="399"/>
      <c r="T6308" s="399"/>
      <c r="U6308" s="401"/>
      <c r="V6308" s="399"/>
      <c r="W6308" s="399"/>
      <c r="X6308" s="399"/>
      <c r="Y6308" s="389"/>
      <c r="Z6308" s="400"/>
      <c r="AA6308" s="402"/>
      <c r="AB6308" s="403"/>
    </row>
    <row r="6309" spans="1:28">
      <c r="A6309" s="384"/>
      <c r="B6309" s="385"/>
      <c r="C6309" s="393"/>
      <c r="D6309" s="398"/>
      <c r="E6309" s="388"/>
      <c r="F6309" s="388"/>
      <c r="G6309" s="388"/>
      <c r="H6309" s="395"/>
      <c r="I6309" s="388"/>
      <c r="J6309" s="396"/>
      <c r="K6309" s="396"/>
      <c r="L6309" s="396"/>
      <c r="M6309" s="396"/>
      <c r="N6309" s="396"/>
      <c r="O6309" s="396"/>
      <c r="P6309" s="389"/>
      <c r="Q6309" s="396"/>
      <c r="R6309" s="396"/>
      <c r="S6309" s="396"/>
      <c r="T6309" s="396"/>
      <c r="U6309" s="401"/>
      <c r="V6309" s="396"/>
      <c r="W6309" s="399"/>
      <c r="X6309" s="396"/>
      <c r="Y6309" s="389"/>
      <c r="Z6309" s="396"/>
      <c r="AA6309" s="388"/>
      <c r="AB6309" s="390"/>
    </row>
    <row r="6310" spans="1:28">
      <c r="A6310" s="384" t="str">
        <f t="shared" ref="A6310:B6310" si="20458">A6295</f>
        <v>Lantai Atap</v>
      </c>
      <c r="B6310" s="385">
        <f t="shared" si="20458"/>
        <v>4</v>
      </c>
      <c r="C6310" s="393" t="s">
        <v>209</v>
      </c>
      <c r="D6310" s="398">
        <f>VLOOKUP(D6295,'Detail Balok'!$C$10:$AU$140,22,FALSE)</f>
        <v>2</v>
      </c>
      <c r="E6310" s="388" t="s">
        <v>16</v>
      </c>
      <c r="F6310" s="388">
        <f>VLOOKUP(D6295,'Detail Balok'!$C$10:$AU$140,24,FALSE)</f>
        <v>13</v>
      </c>
      <c r="G6310" s="388"/>
      <c r="H6310" s="395"/>
      <c r="I6310" s="388" t="s">
        <v>203</v>
      </c>
      <c r="J6310" s="399">
        <f t="shared" si="20265"/>
        <v>1.29</v>
      </c>
      <c r="K6310" s="400" t="s">
        <v>204</v>
      </c>
      <c r="L6310" s="399">
        <f t="shared" ref="L6310" si="20459">MAX(VLOOKUP(F6310,N$6:P$15,3,FALSE)/1000,2/3*D6300/1000)+F$16*F6310/1000</f>
        <v>0.156</v>
      </c>
      <c r="M6310" s="399" t="s">
        <v>176</v>
      </c>
      <c r="N6310" s="399">
        <f t="shared" ref="N6310:N6312" si="20460">J6310+L6310</f>
        <v>1.446</v>
      </c>
      <c r="O6310" s="399" t="s">
        <v>204</v>
      </c>
      <c r="P6310" s="389">
        <f t="shared" ref="P6310" si="20461">D6310-D6311</f>
        <v>0</v>
      </c>
      <c r="Q6310" s="399" t="s">
        <v>125</v>
      </c>
      <c r="R6310" s="399">
        <f t="shared" ref="R6310" si="20462">IF(P6310&gt;0,$F$18*F6310/1000,0)</f>
        <v>0</v>
      </c>
      <c r="S6310" s="399" t="s">
        <v>205</v>
      </c>
      <c r="T6310" s="399" t="s">
        <v>125</v>
      </c>
      <c r="U6310" s="401">
        <f t="shared" ref="U6310:U6312" si="20463">0.006165*F6310^2</f>
        <v>1.041885</v>
      </c>
      <c r="V6310" s="399"/>
      <c r="W6310" s="399"/>
      <c r="X6310" s="399" t="s">
        <v>125</v>
      </c>
      <c r="Y6310" s="389">
        <f t="shared" ref="Y6310" si="20464">D6301</f>
        <v>1</v>
      </c>
      <c r="Z6310" s="400" t="s">
        <v>176</v>
      </c>
      <c r="AA6310" s="402">
        <f t="shared" ref="AA6310" si="20465">IF(AA6313=0,(D6310*N6310+P6310*R6310)*U6310*Y6310,0)</f>
        <v>0</v>
      </c>
      <c r="AB6310" s="403"/>
    </row>
    <row r="6311" spans="1:28">
      <c r="A6311" s="384" t="str">
        <f t="shared" ref="A6311:B6311" si="20466">A6295</f>
        <v>Lantai Atap</v>
      </c>
      <c r="B6311" s="385">
        <f t="shared" si="20466"/>
        <v>4</v>
      </c>
      <c r="C6311" s="393" t="s">
        <v>210</v>
      </c>
      <c r="D6311" s="398">
        <f>VLOOKUP(D6295,'Detail Balok'!$C$10:$AU$140,25,FALSE)</f>
        <v>2</v>
      </c>
      <c r="E6311" s="388" t="s">
        <v>16</v>
      </c>
      <c r="F6311" s="388">
        <f>VLOOKUP(D6295,'Detail Balok'!$C$10:$AU$140,27,FALSE)</f>
        <v>13</v>
      </c>
      <c r="G6311" s="388"/>
      <c r="H6311" s="395"/>
      <c r="I6311" s="388" t="s">
        <v>203</v>
      </c>
      <c r="J6311" s="399">
        <f t="shared" si="20265"/>
        <v>2.58</v>
      </c>
      <c r="K6311" s="400" t="s">
        <v>204</v>
      </c>
      <c r="L6311" s="399"/>
      <c r="M6311" s="399" t="s">
        <v>176</v>
      </c>
      <c r="N6311" s="399">
        <f t="shared" si="20460"/>
        <v>2.58</v>
      </c>
      <c r="O6311" s="399" t="s">
        <v>204</v>
      </c>
      <c r="P6311" s="389">
        <f t="shared" ref="P6311" si="20467">MAX(D6311-D6310,D6311-D6312)</f>
        <v>0</v>
      </c>
      <c r="Q6311" s="399" t="s">
        <v>125</v>
      </c>
      <c r="R6311" s="399">
        <f t="shared" ref="R6311" si="20468">IF(P6311&gt;0,2*(1-2*$F$19-1/2)*D6298/1000,0)</f>
        <v>0</v>
      </c>
      <c r="S6311" s="399" t="s">
        <v>205</v>
      </c>
      <c r="T6311" s="399" t="s">
        <v>125</v>
      </c>
      <c r="U6311" s="401">
        <f t="shared" si="20463"/>
        <v>1.041885</v>
      </c>
      <c r="V6311" s="399"/>
      <c r="W6311" s="399"/>
      <c r="X6311" s="399" t="s">
        <v>125</v>
      </c>
      <c r="Y6311" s="389">
        <f t="shared" ref="Y6311" si="20469">D6301</f>
        <v>1</v>
      </c>
      <c r="Z6311" s="400" t="s">
        <v>176</v>
      </c>
      <c r="AA6311" s="402">
        <f t="shared" ref="AA6311" si="20470">IF(AA6313=0,(D6311*N6311+P6311*R6311)*U6311*Y6311,0)</f>
        <v>0</v>
      </c>
      <c r="AB6311" s="403"/>
    </row>
    <row r="6312" spans="1:28">
      <c r="A6312" s="384" t="str">
        <f t="shared" ref="A6312:B6312" si="20471">A6295</f>
        <v>Lantai Atap</v>
      </c>
      <c r="B6312" s="385">
        <f t="shared" si="20471"/>
        <v>4</v>
      </c>
      <c r="C6312" s="393" t="s">
        <v>209</v>
      </c>
      <c r="D6312" s="398">
        <f>VLOOKUP(D6295,'Detail Balok'!$C$10:$AU$140,28,FALSE)</f>
        <v>2</v>
      </c>
      <c r="E6312" s="388" t="s">
        <v>16</v>
      </c>
      <c r="F6312" s="388">
        <f>VLOOKUP(D6295,'Detail Balok'!$C$10:$AU$140,30,FALSE)</f>
        <v>13</v>
      </c>
      <c r="G6312" s="388"/>
      <c r="H6312" s="395"/>
      <c r="I6312" s="388" t="s">
        <v>203</v>
      </c>
      <c r="J6312" s="399">
        <f t="shared" si="20265"/>
        <v>1.29</v>
      </c>
      <c r="K6312" s="400" t="s">
        <v>204</v>
      </c>
      <c r="L6312" s="399">
        <f t="shared" ref="L6312" si="20472">MAX(VLOOKUP(F6312,N$6:P$15,3,FALSE)/1000,2/3*D6300/1000)+F$16*F6312/1000</f>
        <v>0.156</v>
      </c>
      <c r="M6312" s="399" t="s">
        <v>176</v>
      </c>
      <c r="N6312" s="399">
        <f t="shared" si="20460"/>
        <v>1.446</v>
      </c>
      <c r="O6312" s="399" t="s">
        <v>204</v>
      </c>
      <c r="P6312" s="389">
        <f t="shared" ref="P6312" si="20473">D6312-D6311</f>
        <v>0</v>
      </c>
      <c r="Q6312" s="399" t="s">
        <v>125</v>
      </c>
      <c r="R6312" s="399">
        <f t="shared" ref="R6312" si="20474">IF(P6312&gt;0,$F$18*F6312/1000,0)</f>
        <v>0</v>
      </c>
      <c r="S6312" s="399" t="s">
        <v>205</v>
      </c>
      <c r="T6312" s="399" t="s">
        <v>125</v>
      </c>
      <c r="U6312" s="401">
        <f t="shared" si="20463"/>
        <v>1.041885</v>
      </c>
      <c r="V6312" s="399"/>
      <c r="W6312" s="399"/>
      <c r="X6312" s="399" t="s">
        <v>125</v>
      </c>
      <c r="Y6312" s="389">
        <f t="shared" ref="Y6312" si="20475">D6301</f>
        <v>1</v>
      </c>
      <c r="Z6312" s="400" t="s">
        <v>176</v>
      </c>
      <c r="AA6312" s="402">
        <f t="shared" ref="AA6312" si="20476">IF(AA6313=0,(D6312*N6312+P6312*R6312)*U6312*Y6312,0)</f>
        <v>0</v>
      </c>
      <c r="AB6312" s="403"/>
    </row>
    <row r="6313" spans="1:28">
      <c r="A6313" s="384" t="str">
        <f t="shared" ref="A6313:B6313" si="20477">A6295</f>
        <v>Lantai Atap</v>
      </c>
      <c r="B6313" s="385">
        <f t="shared" si="20477"/>
        <v>4</v>
      </c>
      <c r="C6313" s="393"/>
      <c r="D6313" s="398">
        <f t="shared" si="20285"/>
        <v>2</v>
      </c>
      <c r="E6313" s="388" t="s">
        <v>16</v>
      </c>
      <c r="F6313" s="388">
        <f t="shared" si="20286"/>
        <v>13</v>
      </c>
      <c r="G6313" s="388"/>
      <c r="H6313" s="395"/>
      <c r="I6313" s="388"/>
      <c r="J6313" s="396"/>
      <c r="K6313" s="396"/>
      <c r="L6313" s="404" t="s">
        <v>207</v>
      </c>
      <c r="M6313" s="399" t="s">
        <v>176</v>
      </c>
      <c r="N6313" s="399">
        <f t="shared" ref="N6313" si="20478">IF(AND(D6310=D6311,D6310=D6312,D6311=D6312,F6310=F6311,F6310=F6312,F6311=F6312),SUM(N6310:N6312),0)</f>
        <v>5.4719999999999995</v>
      </c>
      <c r="O6313" s="399" t="s">
        <v>204</v>
      </c>
      <c r="P6313" s="389">
        <f t="shared" ref="P6313" si="20479">IF(N6313&gt;12,ROUNDDOWN(N6313/12,0),0)</f>
        <v>0</v>
      </c>
      <c r="Q6313" s="399" t="s">
        <v>125</v>
      </c>
      <c r="R6313" s="399">
        <f t="shared" ref="R6313" si="20480">IF(P6313&gt;0,MAX(VLOOKUP(F6313,$D$6:$G$15,3,FALSE),600),0)/1000</f>
        <v>0</v>
      </c>
      <c r="S6313" s="396"/>
      <c r="T6313" s="396" t="s">
        <v>125</v>
      </c>
      <c r="U6313" s="401">
        <f t="shared" si="20290"/>
        <v>1.041885</v>
      </c>
      <c r="V6313" s="396" t="s">
        <v>125</v>
      </c>
      <c r="W6313" s="399">
        <f t="shared" ref="W6313" si="20481">D6313</f>
        <v>2</v>
      </c>
      <c r="X6313" s="399" t="s">
        <v>125</v>
      </c>
      <c r="Y6313" s="389">
        <f t="shared" si="20292"/>
        <v>1</v>
      </c>
      <c r="Z6313" s="400" t="s">
        <v>176</v>
      </c>
      <c r="AA6313" s="402">
        <f t="shared" ref="AA6313" si="20482">(N6313+P6313*R6313/1000)*U6313*W6313*Y6313</f>
        <v>11.402389439999999</v>
      </c>
      <c r="AB6313" s="403"/>
    </row>
    <row r="6314" spans="1:28">
      <c r="A6314" s="384"/>
      <c r="B6314" s="385"/>
      <c r="C6314" s="393"/>
      <c r="D6314" s="394"/>
      <c r="E6314" s="388"/>
      <c r="F6314" s="388"/>
      <c r="G6314" s="388"/>
      <c r="H6314" s="395"/>
      <c r="I6314" s="388"/>
      <c r="J6314" s="399"/>
      <c r="K6314" s="396"/>
      <c r="L6314" s="396"/>
      <c r="M6314" s="396"/>
      <c r="N6314" s="396"/>
      <c r="O6314" s="396"/>
      <c r="P6314" s="389"/>
      <c r="Q6314" s="396"/>
      <c r="R6314" s="396"/>
      <c r="S6314" s="396"/>
      <c r="T6314" s="396"/>
      <c r="U6314" s="401"/>
      <c r="V6314" s="396"/>
      <c r="W6314" s="388"/>
      <c r="X6314" s="396"/>
      <c r="Y6314" s="389"/>
      <c r="Z6314" s="396"/>
      <c r="AA6314" s="388"/>
      <c r="AB6314" s="390"/>
    </row>
    <row r="6315" spans="1:28">
      <c r="A6315" s="384" t="str">
        <f t="shared" ref="A6315:B6315" si="20483">A6295</f>
        <v>Lantai Atap</v>
      </c>
      <c r="B6315" s="385">
        <f t="shared" si="20483"/>
        <v>4</v>
      </c>
      <c r="C6315" s="393" t="s">
        <v>211</v>
      </c>
      <c r="D6315" s="398">
        <f>VLOOKUP(D6295,'Detail Balok'!$C$10:$AU$140,31,FALSE)</f>
        <v>0</v>
      </c>
      <c r="E6315" s="388" t="s">
        <v>16</v>
      </c>
      <c r="F6315" s="388">
        <f>VLOOKUP(D6295,'Detail Balok'!$C$10:$AU$140,33,FALSE)</f>
        <v>8</v>
      </c>
      <c r="G6315" s="405" t="s">
        <v>157</v>
      </c>
      <c r="H6315" s="395">
        <f>VLOOKUP(D6295,'Detail Balok'!$C$10:$AU$140,35,FALSE)</f>
        <v>150</v>
      </c>
      <c r="I6315" s="388"/>
      <c r="J6315" s="400">
        <f t="shared" ref="J6315" si="20484">(IF(D6315=0,(2*(D6296+G6296))-(F$5*8),IF(D6315=3,(2*(D6296+G6296))-(F$5*8)+(G6296-2*F$5),IF(D6315=4,(2*(D6296+G6296))-(F$5*8)+2*(G6296-2*F$5)))))/1000</f>
        <v>0.74</v>
      </c>
      <c r="K6315" s="400" t="s">
        <v>204</v>
      </c>
      <c r="L6315" s="399">
        <f t="shared" ref="L6315:L6317" si="20485">IF(D6315=0,2*MAX(6*F6315,75),(D6315-1)*2*MAX(6*F6315,75))/1000</f>
        <v>0.15</v>
      </c>
      <c r="M6315" s="399" t="s">
        <v>176</v>
      </c>
      <c r="N6315" s="399">
        <f t="shared" ref="N6315:N6317" si="20486">J6315+L6315</f>
        <v>0.89</v>
      </c>
      <c r="O6315" s="399"/>
      <c r="P6315" s="389"/>
      <c r="Q6315" s="399"/>
      <c r="R6315" s="399"/>
      <c r="S6315" s="399"/>
      <c r="T6315" s="399" t="s">
        <v>125</v>
      </c>
      <c r="U6315" s="401">
        <f t="shared" ref="U6315:U6317" si="20487">0.006165*F6315^2</f>
        <v>0.39456000000000002</v>
      </c>
      <c r="V6315" s="399" t="s">
        <v>125</v>
      </c>
      <c r="W6315" s="399">
        <f t="shared" ref="W6315" si="20488">IF(D6298&gt;4*G6296,ROUND(MAX(D6298/4,2*G6296)/H6315,0)+1,ROUND(D6298/H6315,0)+1)</f>
        <v>10</v>
      </c>
      <c r="X6315" s="399" t="s">
        <v>125</v>
      </c>
      <c r="Y6315" s="389">
        <f t="shared" ref="Y6315" si="20489">D6301</f>
        <v>1</v>
      </c>
      <c r="Z6315" s="400" t="s">
        <v>176</v>
      </c>
      <c r="AA6315" s="402">
        <f t="shared" ref="AA6315:AA6317" si="20490">N6315*U6315*W6315*Y6315</f>
        <v>3.5115840000000005</v>
      </c>
      <c r="AB6315" s="403"/>
    </row>
    <row r="6316" spans="1:28">
      <c r="A6316" s="384" t="str">
        <f t="shared" ref="A6316:B6316" si="20491">A6295</f>
        <v>Lantai Atap</v>
      </c>
      <c r="B6316" s="385">
        <f t="shared" si="20491"/>
        <v>4</v>
      </c>
      <c r="C6316" s="393" t="s">
        <v>212</v>
      </c>
      <c r="D6316" s="398">
        <f>VLOOKUP(D6295,'Detail Balok'!$C$10:$AU$140,36,FALSE)</f>
        <v>0</v>
      </c>
      <c r="E6316" s="388" t="s">
        <v>16</v>
      </c>
      <c r="F6316" s="388">
        <f>VLOOKUP(D6295,'Detail Balok'!$C$10:$AU$140,38,FALSE)</f>
        <v>8</v>
      </c>
      <c r="G6316" s="405" t="s">
        <v>157</v>
      </c>
      <c r="H6316" s="395">
        <f>VLOOKUP(D6295,'Detail Balok'!$C$10:$AU$140,40,FALSE)</f>
        <v>200</v>
      </c>
      <c r="I6316" s="388"/>
      <c r="J6316" s="400">
        <f t="shared" ref="J6316" si="20492">(IF(D6316=0,(2*(D6296+G6296))-(F$5*8),IF(D6316=3,(2*(D6296+G6296))-(F$5*8)+(G6296-2*F$5),IF(D6316=4,(2*(D6296+G6296))-(F$5*8)+2*(G6296-2*F$5)))))/1000</f>
        <v>0.74</v>
      </c>
      <c r="K6316" s="400" t="s">
        <v>204</v>
      </c>
      <c r="L6316" s="399">
        <f t="shared" si="20485"/>
        <v>0.15</v>
      </c>
      <c r="M6316" s="399" t="s">
        <v>176</v>
      </c>
      <c r="N6316" s="399">
        <f t="shared" si="20486"/>
        <v>0.89</v>
      </c>
      <c r="O6316" s="399"/>
      <c r="P6316" s="389"/>
      <c r="Q6316" s="399"/>
      <c r="R6316" s="399"/>
      <c r="S6316" s="399"/>
      <c r="T6316" s="399" t="s">
        <v>125</v>
      </c>
      <c r="U6316" s="401">
        <f t="shared" si="20487"/>
        <v>0.39456000000000002</v>
      </c>
      <c r="V6316" s="399" t="s">
        <v>125</v>
      </c>
      <c r="W6316" s="399">
        <f t="shared" ref="W6316" si="20493">IF(D6298-MAX(D6298/4,2*G6296)*2&gt;0,ROUND((D6298-MAX(D6298/4,2*G6296)*2)/H6316,0),0)</f>
        <v>13</v>
      </c>
      <c r="X6316" s="399" t="s">
        <v>125</v>
      </c>
      <c r="Y6316" s="389">
        <f t="shared" ref="Y6316" si="20494">D6301</f>
        <v>1</v>
      </c>
      <c r="Z6316" s="400" t="s">
        <v>176</v>
      </c>
      <c r="AA6316" s="402">
        <f t="shared" si="20490"/>
        <v>4.5650592000000003</v>
      </c>
      <c r="AB6316" s="403"/>
    </row>
    <row r="6317" spans="1:28">
      <c r="A6317" s="384" t="str">
        <f t="shared" ref="A6317:B6317" si="20495">A6295</f>
        <v>Lantai Atap</v>
      </c>
      <c r="B6317" s="385">
        <f t="shared" si="20495"/>
        <v>4</v>
      </c>
      <c r="C6317" s="393" t="s">
        <v>211</v>
      </c>
      <c r="D6317" s="398">
        <f>VLOOKUP(D6295,'Detail Balok'!$C$10:$AU$140,41,FALSE)</f>
        <v>0</v>
      </c>
      <c r="E6317" s="388" t="s">
        <v>16</v>
      </c>
      <c r="F6317" s="388">
        <f>VLOOKUP(D6295,'Detail Balok'!$C$10:$AU$140,43,FALSE)</f>
        <v>8</v>
      </c>
      <c r="G6317" s="405" t="s">
        <v>157</v>
      </c>
      <c r="H6317" s="395">
        <f>VLOOKUP(D6295,'Detail Balok'!$C$10:$AU$140,45,FALSE)</f>
        <v>150</v>
      </c>
      <c r="I6317" s="388"/>
      <c r="J6317" s="400">
        <f t="shared" ref="J6317" si="20496">(IF(D6317=0,(2*(D6296+G6296))-(F$5*8),IF(D6317=3,(2*(D6296+G6296))-(F$5*8)+(G6296-2*F$5),IF(D6317=4,(2*(D6296+G6296))-(F$5*8)+2*(G6296-2*F$5)))))/1000</f>
        <v>0.74</v>
      </c>
      <c r="K6317" s="400" t="s">
        <v>204</v>
      </c>
      <c r="L6317" s="399">
        <f t="shared" si="20485"/>
        <v>0.15</v>
      </c>
      <c r="M6317" s="399" t="s">
        <v>176</v>
      </c>
      <c r="N6317" s="399">
        <f t="shared" si="20486"/>
        <v>0.89</v>
      </c>
      <c r="O6317" s="399"/>
      <c r="P6317" s="389"/>
      <c r="Q6317" s="399"/>
      <c r="R6317" s="399"/>
      <c r="S6317" s="399"/>
      <c r="T6317" s="399" t="s">
        <v>125</v>
      </c>
      <c r="U6317" s="401">
        <f t="shared" si="20487"/>
        <v>0.39456000000000002</v>
      </c>
      <c r="V6317" s="399" t="s">
        <v>125</v>
      </c>
      <c r="W6317" s="399">
        <f t="shared" ref="W6317" si="20497">IF(D6298&gt;4*G6296,ROUND(MAX(D6298/4,2*G6296)/H6317,0)+1,0)</f>
        <v>10</v>
      </c>
      <c r="X6317" s="399" t="s">
        <v>125</v>
      </c>
      <c r="Y6317" s="389">
        <f t="shared" ref="Y6317" si="20498">D6301</f>
        <v>1</v>
      </c>
      <c r="Z6317" s="400" t="s">
        <v>176</v>
      </c>
      <c r="AA6317" s="402">
        <f t="shared" si="20490"/>
        <v>3.5115840000000005</v>
      </c>
      <c r="AB6317" s="403"/>
    </row>
    <row r="6318" spans="1:28">
      <c r="A6318" s="384"/>
      <c r="B6318" s="385"/>
      <c r="C6318" s="393"/>
      <c r="D6318" s="394"/>
      <c r="E6318" s="388"/>
      <c r="F6318" s="388"/>
      <c r="G6318" s="388"/>
      <c r="H6318" s="395"/>
      <c r="I6318" s="388"/>
      <c r="J6318" s="399"/>
      <c r="K6318" s="396"/>
      <c r="L6318" s="396"/>
      <c r="M6318" s="396"/>
      <c r="N6318" s="396"/>
      <c r="O6318" s="396"/>
      <c r="P6318" s="389"/>
      <c r="Q6318" s="396"/>
      <c r="R6318" s="396"/>
      <c r="S6318" s="396"/>
      <c r="T6318" s="396"/>
      <c r="U6318" s="401"/>
      <c r="V6318" s="396"/>
      <c r="W6318" s="388"/>
      <c r="X6318" s="396"/>
      <c r="Y6318" s="389"/>
      <c r="Z6318" s="396"/>
      <c r="AA6318" s="388"/>
      <c r="AB6318" s="390"/>
    </row>
    <row r="6319" spans="1:28">
      <c r="A6319" s="384" t="str">
        <f t="shared" ref="A6319:B6319" si="20499">A6295</f>
        <v>Lantai Atap</v>
      </c>
      <c r="B6319" s="385">
        <f t="shared" si="20499"/>
        <v>4</v>
      </c>
      <c r="C6319" s="393" t="s">
        <v>213</v>
      </c>
      <c r="D6319" s="398">
        <f>VLOOKUP(D6295,'Detail Balok'!$C$10:$BJ$140,46,FALSE)</f>
        <v>0</v>
      </c>
      <c r="E6319" s="388" t="s">
        <v>16</v>
      </c>
      <c r="F6319" s="388">
        <f>VLOOKUP(D6295,'Detail Balok'!$C$10:$BJ$140,48,FALSE)</f>
        <v>0</v>
      </c>
      <c r="G6319" s="405" t="s">
        <v>157</v>
      </c>
      <c r="H6319" s="395">
        <f>VLOOKUP(D6295,'Detail Balok'!$C$10:$BJ$140,50,FALSE)</f>
        <v>100</v>
      </c>
      <c r="I6319" s="388"/>
      <c r="J6319" s="399">
        <f t="shared" ref="J6319" si="20500">(D6296-2*F$5)/1000</f>
        <v>0.05</v>
      </c>
      <c r="K6319" s="400" t="s">
        <v>204</v>
      </c>
      <c r="L6319" s="399">
        <f t="shared" ref="L6319:L6321" si="20501">IF(D6319=0,2*MAX(6*F6319,75),(D6319-1)*2*MAX(6*F6319,75))/1000</f>
        <v>0.15</v>
      </c>
      <c r="M6319" s="399" t="s">
        <v>176</v>
      </c>
      <c r="N6319" s="399">
        <f t="shared" ref="N6319:N6321" si="20502">J6319+L6319</f>
        <v>0.2</v>
      </c>
      <c r="O6319" s="399"/>
      <c r="P6319" s="399"/>
      <c r="Q6319" s="399"/>
      <c r="R6319" s="399"/>
      <c r="S6319" s="399"/>
      <c r="T6319" s="399" t="s">
        <v>125</v>
      </c>
      <c r="U6319" s="401">
        <f t="shared" ref="U6319:U6321" si="20503">0.006165*F6319^2</f>
        <v>0</v>
      </c>
      <c r="V6319" s="399" t="s">
        <v>125</v>
      </c>
      <c r="W6319" s="399">
        <f t="shared" si="20315"/>
        <v>10</v>
      </c>
      <c r="X6319" s="399" t="s">
        <v>125</v>
      </c>
      <c r="Y6319" s="389">
        <f t="shared" ref="Y6319" si="20504">D6305</f>
        <v>2</v>
      </c>
      <c r="Z6319" s="400" t="s">
        <v>176</v>
      </c>
      <c r="AA6319" s="402">
        <f t="shared" ref="AA6319:AA6321" si="20505">N6319*U6319*W6319*Y6319</f>
        <v>0</v>
      </c>
      <c r="AB6319" s="403"/>
    </row>
    <row r="6320" spans="1:28">
      <c r="A6320" s="384" t="str">
        <f t="shared" ref="A6320:B6320" si="20506">A6295</f>
        <v>Lantai Atap</v>
      </c>
      <c r="B6320" s="385">
        <f t="shared" si="20506"/>
        <v>4</v>
      </c>
      <c r="C6320" s="393" t="s">
        <v>214</v>
      </c>
      <c r="D6320" s="398">
        <f>VLOOKUP(D6295,'Detail Balok'!$C$10:$BJ$140,51,FALSE)</f>
        <v>0</v>
      </c>
      <c r="E6320" s="388" t="s">
        <v>16</v>
      </c>
      <c r="F6320" s="388">
        <f>VLOOKUP(D6295,'Detail Balok'!$C$10:$BJ$140,53,FALSE)</f>
        <v>0</v>
      </c>
      <c r="G6320" s="405" t="s">
        <v>157</v>
      </c>
      <c r="H6320" s="395">
        <f>VLOOKUP(D6295,'Detail Balok'!$C$10:$BJ$140,55,FALSE)</f>
        <v>100</v>
      </c>
      <c r="I6320" s="388"/>
      <c r="J6320" s="399">
        <f t="shared" ref="J6320" si="20507">(D6296-2*F$5)/1000</f>
        <v>0.05</v>
      </c>
      <c r="K6320" s="400" t="s">
        <v>204</v>
      </c>
      <c r="L6320" s="399">
        <f t="shared" si="20501"/>
        <v>0.15</v>
      </c>
      <c r="M6320" s="399" t="s">
        <v>176</v>
      </c>
      <c r="N6320" s="399">
        <f t="shared" si="20502"/>
        <v>0.2</v>
      </c>
      <c r="O6320" s="399"/>
      <c r="P6320" s="399"/>
      <c r="Q6320" s="399"/>
      <c r="R6320" s="399"/>
      <c r="S6320" s="399"/>
      <c r="T6320" s="399" t="s">
        <v>125</v>
      </c>
      <c r="U6320" s="401">
        <f t="shared" si="20503"/>
        <v>0</v>
      </c>
      <c r="V6320" s="399" t="s">
        <v>125</v>
      </c>
      <c r="W6320" s="399">
        <f t="shared" si="20315"/>
        <v>13</v>
      </c>
      <c r="X6320" s="399" t="s">
        <v>125</v>
      </c>
      <c r="Y6320" s="389">
        <f t="shared" ref="Y6320" si="20508">D6305</f>
        <v>2</v>
      </c>
      <c r="Z6320" s="400" t="s">
        <v>176</v>
      </c>
      <c r="AA6320" s="402">
        <f t="shared" si="20505"/>
        <v>0</v>
      </c>
      <c r="AB6320" s="403"/>
    </row>
    <row r="6321" spans="1:28">
      <c r="A6321" s="384" t="str">
        <f t="shared" ref="A6321:B6321" si="20509">A6295</f>
        <v>Lantai Atap</v>
      </c>
      <c r="B6321" s="385">
        <f t="shared" si="20509"/>
        <v>4</v>
      </c>
      <c r="C6321" s="393" t="s">
        <v>213</v>
      </c>
      <c r="D6321" s="398">
        <f>VLOOKUP(D6295,'Detail Balok'!$C$10:$BJ$140,56,FALSE)</f>
        <v>0</v>
      </c>
      <c r="E6321" s="388" t="s">
        <v>16</v>
      </c>
      <c r="F6321" s="388">
        <f>VLOOKUP(D6295,'Detail Balok'!$C$10:$BJ$140,58,FALSE)</f>
        <v>0</v>
      </c>
      <c r="G6321" s="405" t="s">
        <v>157</v>
      </c>
      <c r="H6321" s="395">
        <f>VLOOKUP(D6295,'Detail Balok'!$C$10:$BJ$140,60,FALSE)</f>
        <v>100</v>
      </c>
      <c r="I6321" s="388"/>
      <c r="J6321" s="399">
        <f t="shared" ref="J6321" si="20510">(D6296-2*F$5)/1000</f>
        <v>0.05</v>
      </c>
      <c r="K6321" s="400" t="s">
        <v>204</v>
      </c>
      <c r="L6321" s="399">
        <f t="shared" si="20501"/>
        <v>0.15</v>
      </c>
      <c r="M6321" s="399" t="s">
        <v>176</v>
      </c>
      <c r="N6321" s="399">
        <f t="shared" si="20502"/>
        <v>0.2</v>
      </c>
      <c r="O6321" s="399"/>
      <c r="P6321" s="399"/>
      <c r="Q6321" s="399"/>
      <c r="R6321" s="399"/>
      <c r="S6321" s="399"/>
      <c r="T6321" s="399" t="s">
        <v>125</v>
      </c>
      <c r="U6321" s="401">
        <f t="shared" si="20503"/>
        <v>0</v>
      </c>
      <c r="V6321" s="399" t="s">
        <v>125</v>
      </c>
      <c r="W6321" s="399">
        <f t="shared" si="20315"/>
        <v>10</v>
      </c>
      <c r="X6321" s="399" t="s">
        <v>125</v>
      </c>
      <c r="Y6321" s="389">
        <f t="shared" ref="Y6321" si="20511">D6305</f>
        <v>2</v>
      </c>
      <c r="Z6321" s="400" t="s">
        <v>176</v>
      </c>
      <c r="AA6321" s="402">
        <f t="shared" si="20505"/>
        <v>0</v>
      </c>
      <c r="AB6321" s="403"/>
    </row>
    <row r="6322" spans="1:28">
      <c r="A6322" s="391"/>
      <c r="B6322" s="392"/>
      <c r="C6322" s="392"/>
      <c r="D6322" s="394"/>
      <c r="E6322" s="388"/>
      <c r="F6322" s="388"/>
      <c r="G6322" s="388"/>
      <c r="H6322" s="395"/>
      <c r="I6322" s="388"/>
      <c r="J6322" s="402"/>
      <c r="K6322" s="388"/>
      <c r="L6322" s="388"/>
      <c r="M6322" s="388"/>
      <c r="N6322" s="388"/>
      <c r="O6322" s="388"/>
      <c r="P6322" s="388"/>
      <c r="Q6322" s="388"/>
      <c r="R6322" s="388"/>
      <c r="S6322" s="388"/>
      <c r="T6322" s="388"/>
      <c r="U6322" s="388"/>
      <c r="V6322" s="388"/>
      <c r="W6322" s="388"/>
      <c r="X6322" s="388"/>
      <c r="Y6322" s="389"/>
      <c r="Z6322" s="388"/>
      <c r="AA6322" s="402"/>
      <c r="AB6322" s="403"/>
    </row>
    <row r="6323" spans="1:28" ht="15.75" thickBot="1">
      <c r="A6323" s="406"/>
      <c r="B6323" s="407"/>
      <c r="C6323" s="407"/>
      <c r="D6323" s="408"/>
      <c r="E6323" s="409"/>
      <c r="F6323" s="409"/>
      <c r="G6323" s="409"/>
      <c r="H6323" s="410"/>
      <c r="I6323" s="409"/>
      <c r="J6323" s="409"/>
      <c r="K6323" s="409"/>
      <c r="L6323" s="409"/>
      <c r="M6323" s="409"/>
      <c r="N6323" s="409"/>
      <c r="O6323" s="409"/>
      <c r="P6323" s="409"/>
      <c r="Q6323" s="409"/>
      <c r="R6323" s="409"/>
      <c r="S6323" s="409"/>
      <c r="T6323" s="409"/>
      <c r="U6323" s="409"/>
      <c r="V6323" s="409"/>
      <c r="W6323" s="409"/>
      <c r="X6323" s="409"/>
      <c r="Y6323" s="411"/>
      <c r="Z6323" s="409"/>
      <c r="AA6323" s="412"/>
      <c r="AB6323" s="413"/>
    </row>
    <row r="6324" spans="1:28">
      <c r="A6324" s="377"/>
      <c r="B6324" s="378"/>
      <c r="C6324" s="378"/>
      <c r="D6324" s="379"/>
      <c r="E6324" s="380"/>
      <c r="F6324" s="380"/>
      <c r="G6324" s="380"/>
      <c r="H6324" s="381"/>
      <c r="I6324" s="380"/>
      <c r="J6324" s="380"/>
      <c r="K6324" s="380"/>
      <c r="L6324" s="380"/>
      <c r="M6324" s="380"/>
      <c r="N6324" s="380"/>
      <c r="O6324" s="380"/>
      <c r="P6324" s="380"/>
      <c r="Q6324" s="380"/>
      <c r="R6324" s="380"/>
      <c r="S6324" s="380"/>
      <c r="T6324" s="380"/>
      <c r="U6324" s="380"/>
      <c r="V6324" s="380"/>
      <c r="W6324" s="380"/>
      <c r="X6324" s="380"/>
      <c r="Y6324" s="382"/>
      <c r="Z6324" s="380"/>
      <c r="AA6324" s="380"/>
      <c r="AB6324" s="383"/>
    </row>
    <row r="6325" spans="1:28">
      <c r="A6325" s="384" t="str">
        <f t="shared" si="20324"/>
        <v>Lantai Atap</v>
      </c>
      <c r="B6325" s="385">
        <f t="shared" si="20325"/>
        <v>5</v>
      </c>
      <c r="C6325" s="386" t="str">
        <f t="shared" ref="C6325" si="20512">CONCATENATE(A6325," no. ",B6325)</f>
        <v>Lantai Atap no. 5</v>
      </c>
      <c r="D6325" s="2562" t="str">
        <f>VLOOKUP(C6325,'Data Panjang Balok'!$C$9:$N$254,2,FALSE)</f>
        <v>B5-1</v>
      </c>
      <c r="E6325" s="2576"/>
      <c r="F6325" s="2576"/>
      <c r="G6325" s="2576"/>
      <c r="H6325" s="2577"/>
      <c r="I6325" s="387"/>
      <c r="J6325" s="388"/>
      <c r="K6325" s="388"/>
      <c r="L6325" s="388"/>
      <c r="M6325" s="388"/>
      <c r="N6325" s="388"/>
      <c r="O6325" s="388"/>
      <c r="P6325" s="388"/>
      <c r="Q6325" s="388"/>
      <c r="R6325" s="388"/>
      <c r="S6325" s="388"/>
      <c r="T6325" s="388"/>
      <c r="U6325" s="388"/>
      <c r="V6325" s="388"/>
      <c r="W6325" s="388"/>
      <c r="X6325" s="388"/>
      <c r="Y6325" s="389"/>
      <c r="Z6325" s="388"/>
      <c r="AA6325" s="388"/>
      <c r="AB6325" s="390"/>
    </row>
    <row r="6326" spans="1:28">
      <c r="A6326" s="391"/>
      <c r="B6326" s="392"/>
      <c r="C6326" s="393" t="s">
        <v>118</v>
      </c>
      <c r="D6326" s="2578">
        <f>VLOOKUP(D6325,'Detail Balok'!$C$10:$AU$140,2,FALSE)</f>
        <v>130</v>
      </c>
      <c r="E6326" s="2579"/>
      <c r="F6326" s="388" t="s">
        <v>125</v>
      </c>
      <c r="G6326" s="2579">
        <f>VLOOKUP(D6325,'Detail Balok'!$C$10:$AU$140,3,FALSE)</f>
        <v>500</v>
      </c>
      <c r="H6326" s="2580"/>
      <c r="I6326" s="388"/>
      <c r="J6326" s="396"/>
      <c r="K6326" s="396"/>
      <c r="L6326" s="396"/>
      <c r="M6326" s="396"/>
      <c r="N6326" s="396"/>
      <c r="O6326" s="396"/>
      <c r="P6326" s="396"/>
      <c r="Q6326" s="396"/>
      <c r="R6326" s="396"/>
      <c r="S6326" s="396"/>
      <c r="T6326" s="396"/>
      <c r="U6326" s="388"/>
      <c r="V6326" s="396"/>
      <c r="W6326" s="388"/>
      <c r="X6326" s="396"/>
      <c r="Y6326" s="389"/>
      <c r="Z6326" s="396"/>
      <c r="AA6326" s="388"/>
      <c r="AB6326" s="390"/>
    </row>
    <row r="6327" spans="1:28">
      <c r="A6327" s="391"/>
      <c r="B6327" s="392"/>
      <c r="C6327" s="393" t="s">
        <v>198</v>
      </c>
      <c r="D6327" s="2562">
        <f>VLOOKUP(C6325,'Data Panjang Balok'!$C$9:$N$254,4,FALSE)</f>
        <v>6015</v>
      </c>
      <c r="E6327" s="2563"/>
      <c r="F6327" s="2563"/>
      <c r="G6327" s="2563"/>
      <c r="H6327" s="2564"/>
      <c r="I6327" s="397"/>
      <c r="J6327" s="396"/>
      <c r="K6327" s="396"/>
      <c r="L6327" s="396"/>
      <c r="M6327" s="396"/>
      <c r="N6327" s="396"/>
      <c r="O6327" s="396"/>
      <c r="P6327" s="396"/>
      <c r="Q6327" s="396"/>
      <c r="R6327" s="396"/>
      <c r="S6327" s="396"/>
      <c r="T6327" s="396"/>
      <c r="U6327" s="388"/>
      <c r="V6327" s="396"/>
      <c r="W6327" s="388"/>
      <c r="X6327" s="396"/>
      <c r="Y6327" s="389"/>
      <c r="Z6327" s="396"/>
      <c r="AA6327" s="388"/>
      <c r="AB6327" s="390"/>
    </row>
    <row r="6328" spans="1:28">
      <c r="A6328" s="391"/>
      <c r="B6328" s="392"/>
      <c r="C6328" s="393" t="s">
        <v>199</v>
      </c>
      <c r="D6328" s="2562">
        <f>VLOOKUP(C6325,'Data Panjang Balok'!$C$9:$N$254,7,FALSE)</f>
        <v>6015</v>
      </c>
      <c r="E6328" s="2563"/>
      <c r="F6328" s="2563"/>
      <c r="G6328" s="2563"/>
      <c r="H6328" s="2564"/>
      <c r="I6328" s="397"/>
      <c r="J6328" s="396"/>
      <c r="K6328" s="396"/>
      <c r="L6328" s="396"/>
      <c r="M6328" s="396"/>
      <c r="N6328" s="396"/>
      <c r="O6328" s="396"/>
      <c r="P6328" s="396"/>
      <c r="Q6328" s="396"/>
      <c r="R6328" s="396"/>
      <c r="S6328" s="396"/>
      <c r="T6328" s="396"/>
      <c r="U6328" s="388"/>
      <c r="V6328" s="396"/>
      <c r="W6328" s="388"/>
      <c r="X6328" s="396"/>
      <c r="Y6328" s="389"/>
      <c r="Z6328" s="396"/>
      <c r="AA6328" s="388"/>
      <c r="AB6328" s="390"/>
    </row>
    <row r="6329" spans="1:28">
      <c r="A6329" s="391"/>
      <c r="B6329" s="392"/>
      <c r="C6329" s="393" t="s">
        <v>200</v>
      </c>
      <c r="D6329" s="2562">
        <f>VLOOKUP(C6325,'Data Panjang Balok'!$C$9:$N$254,9,FALSE)</f>
        <v>0</v>
      </c>
      <c r="E6329" s="2563"/>
      <c r="F6329" s="2563"/>
      <c r="G6329" s="2563"/>
      <c r="H6329" s="2564"/>
      <c r="I6329" s="397"/>
      <c r="J6329" s="396"/>
      <c r="K6329" s="396"/>
      <c r="L6329" s="396"/>
      <c r="M6329" s="396"/>
      <c r="N6329" s="396"/>
      <c r="O6329" s="396"/>
      <c r="P6329" s="396"/>
      <c r="Q6329" s="396"/>
      <c r="R6329" s="396"/>
      <c r="S6329" s="396"/>
      <c r="T6329" s="396"/>
      <c r="U6329" s="388"/>
      <c r="V6329" s="396"/>
      <c r="W6329" s="388"/>
      <c r="X6329" s="396"/>
      <c r="Y6329" s="389"/>
      <c r="Z6329" s="396"/>
      <c r="AA6329" s="388"/>
      <c r="AB6329" s="390"/>
    </row>
    <row r="6330" spans="1:28">
      <c r="A6330" s="391"/>
      <c r="B6330" s="392"/>
      <c r="C6330" s="393" t="s">
        <v>201</v>
      </c>
      <c r="D6330" s="2562">
        <f>VLOOKUP(C6325,'Data Panjang Balok'!$C$9:$N$254,10,FALSE)</f>
        <v>0</v>
      </c>
      <c r="E6330" s="2563"/>
      <c r="F6330" s="2563"/>
      <c r="G6330" s="2563"/>
      <c r="H6330" s="2564"/>
      <c r="I6330" s="397"/>
      <c r="J6330" s="396"/>
      <c r="K6330" s="396"/>
      <c r="L6330" s="396"/>
      <c r="M6330" s="396"/>
      <c r="N6330" s="396"/>
      <c r="O6330" s="396"/>
      <c r="P6330" s="396"/>
      <c r="Q6330" s="396"/>
      <c r="R6330" s="396"/>
      <c r="S6330" s="396"/>
      <c r="T6330" s="396"/>
      <c r="U6330" s="388"/>
      <c r="V6330" s="396"/>
      <c r="W6330" s="388"/>
      <c r="X6330" s="396"/>
      <c r="Y6330" s="389"/>
      <c r="Z6330" s="396"/>
      <c r="AA6330" s="388"/>
      <c r="AB6330" s="390"/>
    </row>
    <row r="6331" spans="1:28">
      <c r="A6331" s="391"/>
      <c r="B6331" s="392"/>
      <c r="C6331" s="393" t="s">
        <v>48</v>
      </c>
      <c r="D6331" s="2562">
        <f>VLOOKUP(C6325,'Data Panjang Balok'!$C$9:$N$254,3,FALSE)</f>
        <v>1</v>
      </c>
      <c r="E6331" s="2563"/>
      <c r="F6331" s="2563"/>
      <c r="G6331" s="2563"/>
      <c r="H6331" s="2564"/>
      <c r="I6331" s="397"/>
      <c r="J6331" s="396"/>
      <c r="K6331" s="396"/>
      <c r="L6331" s="396"/>
      <c r="M6331" s="396"/>
      <c r="N6331" s="396"/>
      <c r="O6331" s="396"/>
      <c r="P6331" s="396"/>
      <c r="Q6331" s="396"/>
      <c r="R6331" s="396"/>
      <c r="S6331" s="396"/>
      <c r="T6331" s="396"/>
      <c r="U6331" s="388"/>
      <c r="V6331" s="396"/>
      <c r="W6331" s="388"/>
      <c r="X6331" s="396"/>
      <c r="Y6331" s="389"/>
      <c r="Z6331" s="396"/>
      <c r="AA6331" s="388"/>
      <c r="AB6331" s="390"/>
    </row>
    <row r="6332" spans="1:28">
      <c r="A6332" s="384" t="str">
        <f t="shared" ref="A6332:B6332" si="20513">A6325</f>
        <v>Lantai Atap</v>
      </c>
      <c r="B6332" s="385">
        <f t="shared" si="20513"/>
        <v>5</v>
      </c>
      <c r="C6332" s="393" t="s">
        <v>202</v>
      </c>
      <c r="D6332" s="398">
        <f>VLOOKUP(D6325,'Detail Balok'!$C$10:$AU$140,4,FALSE)</f>
        <v>3</v>
      </c>
      <c r="E6332" s="388" t="s">
        <v>16</v>
      </c>
      <c r="F6332" s="388">
        <f>VLOOKUP(D6325,'Detail Balok'!$C$10:$AU$140,6,FALSE)</f>
        <v>13</v>
      </c>
      <c r="G6332" s="388"/>
      <c r="H6332" s="395"/>
      <c r="I6332" s="388" t="s">
        <v>203</v>
      </c>
      <c r="J6332" s="399">
        <f t="shared" ref="J6332" si="20514">+D6327/4/1000</f>
        <v>1.5037499999999999</v>
      </c>
      <c r="K6332" s="400" t="s">
        <v>204</v>
      </c>
      <c r="L6332" s="399">
        <f t="shared" ref="L6332" si="20515">MAX(VLOOKUP(F6332,N$6:P$15,3,FALSE)/1000,2/3*D6329/1000)+F$16*F6332/1000</f>
        <v>0.156</v>
      </c>
      <c r="M6332" s="399" t="s">
        <v>176</v>
      </c>
      <c r="N6332" s="399">
        <f t="shared" ref="N6332:N6334" si="20516">J6332+L6332</f>
        <v>1.6597499999999998</v>
      </c>
      <c r="O6332" s="399" t="s">
        <v>204</v>
      </c>
      <c r="P6332" s="389">
        <f t="shared" ref="P6332" si="20517">D6332-D6333</f>
        <v>0</v>
      </c>
      <c r="Q6332" s="399" t="s">
        <v>125</v>
      </c>
      <c r="R6332" s="399">
        <f t="shared" ref="R6332" si="20518">IF(P6332&gt;0,$F$18*F6332/1000,0)</f>
        <v>0</v>
      </c>
      <c r="S6332" s="399" t="s">
        <v>205</v>
      </c>
      <c r="T6332" s="399" t="s">
        <v>125</v>
      </c>
      <c r="U6332" s="401">
        <f t="shared" ref="U6332:U6334" si="20519">0.006165*F6332^2</f>
        <v>1.041885</v>
      </c>
      <c r="V6332" s="399"/>
      <c r="W6332" s="399"/>
      <c r="X6332" s="399" t="s">
        <v>125</v>
      </c>
      <c r="Y6332" s="389">
        <f t="shared" ref="Y6332" si="20520">D6331</f>
        <v>1</v>
      </c>
      <c r="Z6332" s="400" t="s">
        <v>176</v>
      </c>
      <c r="AA6332" s="402">
        <f t="shared" ref="AA6332" si="20521">IF(AA6335=0,(D6332*N6332+P6332*R6332)*U6332*Y6332,0)</f>
        <v>0</v>
      </c>
      <c r="AB6332" s="403"/>
    </row>
    <row r="6333" spans="1:28">
      <c r="A6333" s="384" t="str">
        <f t="shared" ref="A6333:B6333" si="20522">A6325</f>
        <v>Lantai Atap</v>
      </c>
      <c r="B6333" s="385">
        <f t="shared" si="20522"/>
        <v>5</v>
      </c>
      <c r="C6333" s="393" t="s">
        <v>206</v>
      </c>
      <c r="D6333" s="398">
        <f>VLOOKUP(D6325,'Detail Balok'!$C$10:$AU$140,7,FALSE)</f>
        <v>3</v>
      </c>
      <c r="E6333" s="388" t="s">
        <v>16</v>
      </c>
      <c r="F6333" s="388">
        <f>VLOOKUP(D6325,'Detail Balok'!$C$10:$AU$140,9,FALSE)</f>
        <v>13</v>
      </c>
      <c r="G6333" s="388"/>
      <c r="H6333" s="395"/>
      <c r="I6333" s="388" t="s">
        <v>203</v>
      </c>
      <c r="J6333" s="399">
        <f t="shared" ref="J6333" si="20523">+D6327/2/1000</f>
        <v>3.0074999999999998</v>
      </c>
      <c r="K6333" s="400" t="s">
        <v>204</v>
      </c>
      <c r="L6333" s="399"/>
      <c r="M6333" s="399" t="s">
        <v>176</v>
      </c>
      <c r="N6333" s="399">
        <f t="shared" si="20516"/>
        <v>3.0074999999999998</v>
      </c>
      <c r="O6333" s="399" t="s">
        <v>204</v>
      </c>
      <c r="P6333" s="389">
        <f t="shared" ref="P6333" si="20524">MAX(D6333-D6332,D6333-D6334)</f>
        <v>0</v>
      </c>
      <c r="Q6333" s="399" t="s">
        <v>125</v>
      </c>
      <c r="R6333" s="399">
        <f t="shared" ref="R6333" si="20525">IF(P6333&gt;0,2*(1-2*$F$19-1/2)*D6328/1000,0)</f>
        <v>0</v>
      </c>
      <c r="S6333" s="399" t="s">
        <v>205</v>
      </c>
      <c r="T6333" s="399" t="s">
        <v>125</v>
      </c>
      <c r="U6333" s="401">
        <f t="shared" si="20519"/>
        <v>1.041885</v>
      </c>
      <c r="V6333" s="399"/>
      <c r="W6333" s="399"/>
      <c r="X6333" s="399" t="s">
        <v>125</v>
      </c>
      <c r="Y6333" s="389">
        <f t="shared" ref="Y6333" si="20526">D6331</f>
        <v>1</v>
      </c>
      <c r="Z6333" s="400" t="s">
        <v>176</v>
      </c>
      <c r="AA6333" s="402">
        <f t="shared" ref="AA6333" si="20527">IF(AA6335=0,(D6333*N6333+P6333*R6333)*U6333*Y6333,0)</f>
        <v>0</v>
      </c>
      <c r="AB6333" s="403"/>
    </row>
    <row r="6334" spans="1:28">
      <c r="A6334" s="384" t="str">
        <f t="shared" ref="A6334:B6334" si="20528">A6325</f>
        <v>Lantai Atap</v>
      </c>
      <c r="B6334" s="385">
        <f t="shared" si="20528"/>
        <v>5</v>
      </c>
      <c r="C6334" s="393" t="s">
        <v>202</v>
      </c>
      <c r="D6334" s="398">
        <f>VLOOKUP(D6325,'Detail Balok'!$C$10:$AU$140,10,FALSE)</f>
        <v>3</v>
      </c>
      <c r="E6334" s="388" t="s">
        <v>16</v>
      </c>
      <c r="F6334" s="388">
        <f>VLOOKUP(D6325,'Detail Balok'!$C$10:$AU$140,12,FALSE)</f>
        <v>13</v>
      </c>
      <c r="G6334" s="388"/>
      <c r="H6334" s="395"/>
      <c r="I6334" s="388" t="s">
        <v>203</v>
      </c>
      <c r="J6334" s="399">
        <f t="shared" ref="J6334" si="20529">+D6327/4/1000</f>
        <v>1.5037499999999999</v>
      </c>
      <c r="K6334" s="400" t="s">
        <v>204</v>
      </c>
      <c r="L6334" s="399">
        <f t="shared" ref="L6334" si="20530">MAX(VLOOKUP(F6334,N$6:P$15,3,FALSE)/1000,2/3*D6329/1000)+F$16*F6334/1000</f>
        <v>0.156</v>
      </c>
      <c r="M6334" s="399" t="s">
        <v>176</v>
      </c>
      <c r="N6334" s="399">
        <f t="shared" si="20516"/>
        <v>1.6597499999999998</v>
      </c>
      <c r="O6334" s="399" t="s">
        <v>204</v>
      </c>
      <c r="P6334" s="389">
        <f t="shared" ref="P6334" si="20531">D6334-D6333</f>
        <v>0</v>
      </c>
      <c r="Q6334" s="399" t="s">
        <v>125</v>
      </c>
      <c r="R6334" s="399">
        <f t="shared" ref="R6334" si="20532">IF(P6334&gt;0,$F$18*F6334/1000,0)</f>
        <v>0</v>
      </c>
      <c r="S6334" s="399" t="s">
        <v>205</v>
      </c>
      <c r="T6334" s="399" t="s">
        <v>125</v>
      </c>
      <c r="U6334" s="401">
        <f t="shared" si="20519"/>
        <v>1.041885</v>
      </c>
      <c r="V6334" s="399"/>
      <c r="W6334" s="399"/>
      <c r="X6334" s="399" t="s">
        <v>125</v>
      </c>
      <c r="Y6334" s="389">
        <f t="shared" ref="Y6334" si="20533">D6331</f>
        <v>1</v>
      </c>
      <c r="Z6334" s="400" t="s">
        <v>176</v>
      </c>
      <c r="AA6334" s="402">
        <f t="shared" ref="AA6334" si="20534">IF(AA6335=0,(D6334*N6334+P6334*R6334)*U6334*Y6334,0)</f>
        <v>0</v>
      </c>
      <c r="AB6334" s="403"/>
    </row>
    <row r="6335" spans="1:28">
      <c r="A6335" s="384" t="str">
        <f t="shared" ref="A6335:B6335" si="20535">A6325</f>
        <v>Lantai Atap</v>
      </c>
      <c r="B6335" s="385">
        <f t="shared" si="20535"/>
        <v>5</v>
      </c>
      <c r="C6335" s="393"/>
      <c r="D6335" s="398">
        <f t="shared" ref="D6335:D6395" si="20536">IF(AND(D6332=D6333,D6333=D6334,D6332=D6334),D6332,0)</f>
        <v>3</v>
      </c>
      <c r="E6335" s="388" t="s">
        <v>16</v>
      </c>
      <c r="F6335" s="388">
        <f t="shared" ref="F6335:F6395" si="20537">IF(AND(F6332=F6333,F6332=F6334,F6333=F6334),F6332,0)</f>
        <v>13</v>
      </c>
      <c r="G6335" s="388"/>
      <c r="H6335" s="395"/>
      <c r="I6335" s="388"/>
      <c r="J6335" s="396"/>
      <c r="K6335" s="396"/>
      <c r="L6335" s="404" t="s">
        <v>207</v>
      </c>
      <c r="M6335" s="399" t="s">
        <v>176</v>
      </c>
      <c r="N6335" s="399">
        <f t="shared" ref="N6335" si="20538">IF(AND(D6332=D6333,D6332=D6334,D6333=D6334,F6332=F6333,F6332=F6334,F6333=F6334),SUM(N6332:N6334),0)</f>
        <v>6.3269999999999991</v>
      </c>
      <c r="O6335" s="399" t="s">
        <v>204</v>
      </c>
      <c r="P6335" s="389">
        <f t="shared" ref="P6335" si="20539">IF(N6335&gt;12,ROUNDDOWN(N6335/12,0),0)</f>
        <v>0</v>
      </c>
      <c r="Q6335" s="399" t="s">
        <v>125</v>
      </c>
      <c r="R6335" s="399">
        <f t="shared" ref="R6335" si="20540">IF(P6335&gt;0,MAX(VLOOKUP(F6335,$D$6:$G$15,3,FALSE),600),0)/1000</f>
        <v>0</v>
      </c>
      <c r="S6335" s="396"/>
      <c r="T6335" s="396" t="s">
        <v>125</v>
      </c>
      <c r="U6335" s="401">
        <f t="shared" ref="U6335:U6395" si="20541">U6334</f>
        <v>1.041885</v>
      </c>
      <c r="V6335" s="396" t="s">
        <v>125</v>
      </c>
      <c r="W6335" s="399">
        <f t="shared" ref="W6335" si="20542">D6335</f>
        <v>3</v>
      </c>
      <c r="X6335" s="399" t="s">
        <v>125</v>
      </c>
      <c r="Y6335" s="389">
        <f t="shared" ref="Y6335:Y6395" si="20543">Y6334</f>
        <v>1</v>
      </c>
      <c r="Z6335" s="400" t="s">
        <v>176</v>
      </c>
      <c r="AA6335" s="402">
        <f t="shared" ref="AA6335" si="20544">(N6335+P6335*R6335/1000)*U6335*W6335*Y6335</f>
        <v>19.776019184999996</v>
      </c>
      <c r="AB6335" s="390"/>
    </row>
    <row r="6336" spans="1:28">
      <c r="A6336" s="384"/>
      <c r="B6336" s="385"/>
      <c r="C6336" s="393"/>
      <c r="D6336" s="398"/>
      <c r="E6336" s="388"/>
      <c r="F6336" s="388"/>
      <c r="G6336" s="388"/>
      <c r="H6336" s="395"/>
      <c r="I6336" s="388"/>
      <c r="J6336" s="396"/>
      <c r="K6336" s="396"/>
      <c r="L6336" s="404"/>
      <c r="M6336" s="399"/>
      <c r="N6336" s="399"/>
      <c r="O6336" s="396"/>
      <c r="P6336" s="389"/>
      <c r="Q6336" s="396"/>
      <c r="R6336" s="396"/>
      <c r="S6336" s="396"/>
      <c r="T6336" s="396"/>
      <c r="U6336" s="401"/>
      <c r="V6336" s="396"/>
      <c r="W6336" s="399"/>
      <c r="X6336" s="396"/>
      <c r="Y6336" s="389"/>
      <c r="Z6336" s="396"/>
      <c r="AA6336" s="388"/>
      <c r="AB6336" s="390"/>
    </row>
    <row r="6337" spans="1:28">
      <c r="A6337" s="384" t="str">
        <f t="shared" ref="A6337:B6337" si="20545">A6325</f>
        <v>Lantai Atap</v>
      </c>
      <c r="B6337" s="385">
        <f t="shared" si="20545"/>
        <v>5</v>
      </c>
      <c r="C6337" s="393" t="s">
        <v>208</v>
      </c>
      <c r="D6337" s="398">
        <f>VLOOKUP(D6325,'Detail Balok'!$C$10:$AU$140,13,FALSE)</f>
        <v>2</v>
      </c>
      <c r="E6337" s="388" t="s">
        <v>16</v>
      </c>
      <c r="F6337" s="388">
        <f>VLOOKUP(D6325,'Detail Balok'!$C$10:$AU$140,15,FALSE)</f>
        <v>10</v>
      </c>
      <c r="G6337" s="388"/>
      <c r="H6337" s="395"/>
      <c r="I6337" s="388"/>
      <c r="J6337" s="399">
        <f t="shared" ref="J6337" si="20546">+D6327/1000</f>
        <v>6.0149999999999997</v>
      </c>
      <c r="K6337" s="400" t="s">
        <v>204</v>
      </c>
      <c r="L6337" s="399">
        <f t="shared" ref="L6337" si="20547">2*$F$16*F6337/1000</f>
        <v>0.24</v>
      </c>
      <c r="M6337" s="399" t="s">
        <v>176</v>
      </c>
      <c r="N6337" s="399">
        <f t="shared" ref="N6337" si="20548">J6337+L6337</f>
        <v>6.2549999999999999</v>
      </c>
      <c r="O6337" s="399" t="s">
        <v>204</v>
      </c>
      <c r="P6337" s="389">
        <f t="shared" ref="P6337" si="20549">IF(N6337&gt;12,ROUNDDOWN(N6337/12,0),0)</f>
        <v>0</v>
      </c>
      <c r="Q6337" s="399" t="s">
        <v>125</v>
      </c>
      <c r="R6337" s="399">
        <f t="shared" ref="R6337" si="20550">IF(P6337&gt;0,MAX(VLOOKUP(F6337,$D$6:$G$15,3,FALSE),600),0)/1000</f>
        <v>0</v>
      </c>
      <c r="S6337" s="399"/>
      <c r="T6337" s="399" t="s">
        <v>125</v>
      </c>
      <c r="U6337" s="401">
        <f t="shared" ref="U6337" si="20551">0.006165*F6337^2</f>
        <v>0.61650000000000005</v>
      </c>
      <c r="V6337" s="399" t="s">
        <v>125</v>
      </c>
      <c r="W6337" s="399">
        <f t="shared" ref="W6337" si="20552">+D6337</f>
        <v>2</v>
      </c>
      <c r="X6337" s="399" t="s">
        <v>125</v>
      </c>
      <c r="Y6337" s="389">
        <f t="shared" ref="Y6337" si="20553">D6331</f>
        <v>1</v>
      </c>
      <c r="Z6337" s="400" t="s">
        <v>176</v>
      </c>
      <c r="AA6337" s="402">
        <f t="shared" ref="AA6337" si="20554">(N6337+P6337*R6337/1000)*U6337*W6337*Y6337</f>
        <v>7.7124150000000009</v>
      </c>
      <c r="AB6337" s="403"/>
    </row>
    <row r="6338" spans="1:28">
      <c r="A6338" s="384"/>
      <c r="B6338" s="385"/>
      <c r="C6338" s="393"/>
      <c r="D6338" s="398"/>
      <c r="E6338" s="388"/>
      <c r="F6338" s="388"/>
      <c r="G6338" s="388"/>
      <c r="H6338" s="395"/>
      <c r="I6338" s="388"/>
      <c r="J6338" s="399"/>
      <c r="K6338" s="400"/>
      <c r="L6338" s="399"/>
      <c r="M6338" s="399"/>
      <c r="N6338" s="399"/>
      <c r="O6338" s="399"/>
      <c r="P6338" s="389"/>
      <c r="Q6338" s="399"/>
      <c r="R6338" s="399"/>
      <c r="S6338" s="399"/>
      <c r="T6338" s="399"/>
      <c r="U6338" s="401"/>
      <c r="V6338" s="399"/>
      <c r="W6338" s="399"/>
      <c r="X6338" s="399"/>
      <c r="Y6338" s="389"/>
      <c r="Z6338" s="400"/>
      <c r="AA6338" s="402"/>
      <c r="AB6338" s="403"/>
    </row>
    <row r="6339" spans="1:28">
      <c r="A6339" s="384"/>
      <c r="B6339" s="385"/>
      <c r="C6339" s="393"/>
      <c r="D6339" s="398"/>
      <c r="E6339" s="388"/>
      <c r="F6339" s="388"/>
      <c r="G6339" s="388"/>
      <c r="H6339" s="395"/>
      <c r="I6339" s="388"/>
      <c r="J6339" s="396"/>
      <c r="K6339" s="396"/>
      <c r="L6339" s="396"/>
      <c r="M6339" s="396"/>
      <c r="N6339" s="396"/>
      <c r="O6339" s="396"/>
      <c r="P6339" s="389"/>
      <c r="Q6339" s="396"/>
      <c r="R6339" s="396"/>
      <c r="S6339" s="396"/>
      <c r="T6339" s="396"/>
      <c r="U6339" s="401"/>
      <c r="V6339" s="396"/>
      <c r="W6339" s="399"/>
      <c r="X6339" s="396"/>
      <c r="Y6339" s="389"/>
      <c r="Z6339" s="396"/>
      <c r="AA6339" s="388"/>
      <c r="AB6339" s="390"/>
    </row>
    <row r="6340" spans="1:28">
      <c r="A6340" s="384" t="str">
        <f t="shared" ref="A6340:B6340" si="20555">A6325</f>
        <v>Lantai Atap</v>
      </c>
      <c r="B6340" s="385">
        <f t="shared" si="20555"/>
        <v>5</v>
      </c>
      <c r="C6340" s="393" t="s">
        <v>209</v>
      </c>
      <c r="D6340" s="398">
        <f>VLOOKUP(D6325,'Detail Balok'!$C$10:$AU$140,22,FALSE)</f>
        <v>3</v>
      </c>
      <c r="E6340" s="388" t="s">
        <v>16</v>
      </c>
      <c r="F6340" s="388">
        <f>VLOOKUP(D6325,'Detail Balok'!$C$10:$AU$140,24,FALSE)</f>
        <v>13</v>
      </c>
      <c r="G6340" s="388"/>
      <c r="H6340" s="395"/>
      <c r="I6340" s="388" t="s">
        <v>203</v>
      </c>
      <c r="J6340" s="399">
        <f t="shared" ref="J6340:J6402" si="20556">+J6332</f>
        <v>1.5037499999999999</v>
      </c>
      <c r="K6340" s="400" t="s">
        <v>204</v>
      </c>
      <c r="L6340" s="399">
        <f t="shared" ref="L6340" si="20557">MAX(VLOOKUP(F6340,N$6:P$15,3,FALSE)/1000,2/3*D6330/1000)+F$16*F6340/1000</f>
        <v>0.156</v>
      </c>
      <c r="M6340" s="399" t="s">
        <v>176</v>
      </c>
      <c r="N6340" s="399">
        <f t="shared" ref="N6340:N6342" si="20558">J6340+L6340</f>
        <v>1.6597499999999998</v>
      </c>
      <c r="O6340" s="399" t="s">
        <v>204</v>
      </c>
      <c r="P6340" s="389">
        <f t="shared" ref="P6340" si="20559">D6340-D6341</f>
        <v>0</v>
      </c>
      <c r="Q6340" s="399" t="s">
        <v>125</v>
      </c>
      <c r="R6340" s="399">
        <f t="shared" ref="R6340" si="20560">IF(P6340&gt;0,$F$18*F6340/1000,0)</f>
        <v>0</v>
      </c>
      <c r="S6340" s="399" t="s">
        <v>205</v>
      </c>
      <c r="T6340" s="399" t="s">
        <v>125</v>
      </c>
      <c r="U6340" s="401">
        <f t="shared" ref="U6340:U6342" si="20561">0.006165*F6340^2</f>
        <v>1.041885</v>
      </c>
      <c r="V6340" s="399"/>
      <c r="W6340" s="399"/>
      <c r="X6340" s="399" t="s">
        <v>125</v>
      </c>
      <c r="Y6340" s="389">
        <f t="shared" ref="Y6340" si="20562">D6331</f>
        <v>1</v>
      </c>
      <c r="Z6340" s="400" t="s">
        <v>176</v>
      </c>
      <c r="AA6340" s="402">
        <f t="shared" ref="AA6340" si="20563">IF(AA6343=0,(D6340*N6340+P6340*R6340)*U6340*Y6340,0)</f>
        <v>0</v>
      </c>
      <c r="AB6340" s="403"/>
    </row>
    <row r="6341" spans="1:28">
      <c r="A6341" s="384" t="str">
        <f t="shared" ref="A6341:B6341" si="20564">A6325</f>
        <v>Lantai Atap</v>
      </c>
      <c r="B6341" s="385">
        <f t="shared" si="20564"/>
        <v>5</v>
      </c>
      <c r="C6341" s="393" t="s">
        <v>210</v>
      </c>
      <c r="D6341" s="398">
        <f>VLOOKUP(D6325,'Detail Balok'!$C$10:$AU$140,25,FALSE)</f>
        <v>3</v>
      </c>
      <c r="E6341" s="388" t="s">
        <v>16</v>
      </c>
      <c r="F6341" s="388">
        <f>VLOOKUP(D6325,'Detail Balok'!$C$10:$AU$140,27,FALSE)</f>
        <v>13</v>
      </c>
      <c r="G6341" s="388"/>
      <c r="H6341" s="395"/>
      <c r="I6341" s="388" t="s">
        <v>203</v>
      </c>
      <c r="J6341" s="399">
        <f t="shared" si="20556"/>
        <v>3.0074999999999998</v>
      </c>
      <c r="K6341" s="400" t="s">
        <v>204</v>
      </c>
      <c r="L6341" s="399"/>
      <c r="M6341" s="399" t="s">
        <v>176</v>
      </c>
      <c r="N6341" s="399">
        <f t="shared" si="20558"/>
        <v>3.0074999999999998</v>
      </c>
      <c r="O6341" s="399" t="s">
        <v>204</v>
      </c>
      <c r="P6341" s="389">
        <f t="shared" ref="P6341" si="20565">MAX(D6341-D6340,D6341-D6342)</f>
        <v>0</v>
      </c>
      <c r="Q6341" s="399" t="s">
        <v>125</v>
      </c>
      <c r="R6341" s="399">
        <f t="shared" ref="R6341" si="20566">IF(P6341&gt;0,2*(1-2*$F$19-1/2)*D6328/1000,0)</f>
        <v>0</v>
      </c>
      <c r="S6341" s="399" t="s">
        <v>205</v>
      </c>
      <c r="T6341" s="399" t="s">
        <v>125</v>
      </c>
      <c r="U6341" s="401">
        <f t="shared" si="20561"/>
        <v>1.041885</v>
      </c>
      <c r="V6341" s="399"/>
      <c r="W6341" s="399"/>
      <c r="X6341" s="399" t="s">
        <v>125</v>
      </c>
      <c r="Y6341" s="389">
        <f t="shared" ref="Y6341" si="20567">D6331</f>
        <v>1</v>
      </c>
      <c r="Z6341" s="400" t="s">
        <v>176</v>
      </c>
      <c r="AA6341" s="402">
        <f t="shared" ref="AA6341" si="20568">IF(AA6343=0,(D6341*N6341+P6341*R6341)*U6341*Y6341,0)</f>
        <v>0</v>
      </c>
      <c r="AB6341" s="403"/>
    </row>
    <row r="6342" spans="1:28">
      <c r="A6342" s="384" t="str">
        <f t="shared" ref="A6342:B6342" si="20569">A6325</f>
        <v>Lantai Atap</v>
      </c>
      <c r="B6342" s="385">
        <f t="shared" si="20569"/>
        <v>5</v>
      </c>
      <c r="C6342" s="393" t="s">
        <v>209</v>
      </c>
      <c r="D6342" s="398">
        <f>VLOOKUP(D6325,'Detail Balok'!$C$10:$AU$140,28,FALSE)</f>
        <v>3</v>
      </c>
      <c r="E6342" s="388" t="s">
        <v>16</v>
      </c>
      <c r="F6342" s="388">
        <f>VLOOKUP(D6325,'Detail Balok'!$C$10:$AU$140,30,FALSE)</f>
        <v>13</v>
      </c>
      <c r="G6342" s="388"/>
      <c r="H6342" s="395"/>
      <c r="I6342" s="388" t="s">
        <v>203</v>
      </c>
      <c r="J6342" s="399">
        <f t="shared" si="20556"/>
        <v>1.5037499999999999</v>
      </c>
      <c r="K6342" s="400" t="s">
        <v>204</v>
      </c>
      <c r="L6342" s="399">
        <f t="shared" ref="L6342" si="20570">MAX(VLOOKUP(F6342,N$6:P$15,3,FALSE)/1000,2/3*D6330/1000)+F$16*F6342/1000</f>
        <v>0.156</v>
      </c>
      <c r="M6342" s="399" t="s">
        <v>176</v>
      </c>
      <c r="N6342" s="399">
        <f t="shared" si="20558"/>
        <v>1.6597499999999998</v>
      </c>
      <c r="O6342" s="399" t="s">
        <v>204</v>
      </c>
      <c r="P6342" s="389">
        <f t="shared" ref="P6342" si="20571">D6342-D6341</f>
        <v>0</v>
      </c>
      <c r="Q6342" s="399" t="s">
        <v>125</v>
      </c>
      <c r="R6342" s="399">
        <f t="shared" ref="R6342" si="20572">IF(P6342&gt;0,$F$18*F6342/1000,0)</f>
        <v>0</v>
      </c>
      <c r="S6342" s="399" t="s">
        <v>205</v>
      </c>
      <c r="T6342" s="399" t="s">
        <v>125</v>
      </c>
      <c r="U6342" s="401">
        <f t="shared" si="20561"/>
        <v>1.041885</v>
      </c>
      <c r="V6342" s="399"/>
      <c r="W6342" s="399"/>
      <c r="X6342" s="399" t="s">
        <v>125</v>
      </c>
      <c r="Y6342" s="389">
        <f t="shared" ref="Y6342" si="20573">D6331</f>
        <v>1</v>
      </c>
      <c r="Z6342" s="400" t="s">
        <v>176</v>
      </c>
      <c r="AA6342" s="402">
        <f t="shared" ref="AA6342" si="20574">IF(AA6343=0,(D6342*N6342+P6342*R6342)*U6342*Y6342,0)</f>
        <v>0</v>
      </c>
      <c r="AB6342" s="403"/>
    </row>
    <row r="6343" spans="1:28">
      <c r="A6343" s="384" t="str">
        <f t="shared" ref="A6343:B6343" si="20575">A6325</f>
        <v>Lantai Atap</v>
      </c>
      <c r="B6343" s="385">
        <f t="shared" si="20575"/>
        <v>5</v>
      </c>
      <c r="C6343" s="393"/>
      <c r="D6343" s="398">
        <f t="shared" ref="D6343:D6403" si="20576">IF(AND(D6340=D6341,D6341=D6342,D6340=D6342),D6340,0)</f>
        <v>3</v>
      </c>
      <c r="E6343" s="388" t="s">
        <v>16</v>
      </c>
      <c r="F6343" s="388">
        <f t="shared" ref="F6343:F6403" si="20577">IF(AND(F6340=F6341,F6340=F6342,F6341=F6342),F6340,0)</f>
        <v>13</v>
      </c>
      <c r="G6343" s="388"/>
      <c r="H6343" s="395"/>
      <c r="I6343" s="388"/>
      <c r="J6343" s="396"/>
      <c r="K6343" s="396"/>
      <c r="L6343" s="404" t="s">
        <v>207</v>
      </c>
      <c r="M6343" s="399" t="s">
        <v>176</v>
      </c>
      <c r="N6343" s="399">
        <f t="shared" ref="N6343" si="20578">IF(AND(D6340=D6341,D6340=D6342,D6341=D6342,F6340=F6341,F6340=F6342,F6341=F6342),SUM(N6340:N6342),0)</f>
        <v>6.3269999999999991</v>
      </c>
      <c r="O6343" s="399" t="s">
        <v>204</v>
      </c>
      <c r="P6343" s="389">
        <f t="shared" ref="P6343" si="20579">IF(N6343&gt;12,ROUNDDOWN(N6343/12,0),0)</f>
        <v>0</v>
      </c>
      <c r="Q6343" s="399" t="s">
        <v>125</v>
      </c>
      <c r="R6343" s="399">
        <f t="shared" ref="R6343" si="20580">IF(P6343&gt;0,MAX(VLOOKUP(F6343,$D$6:$G$15,3,FALSE),600),0)/1000</f>
        <v>0</v>
      </c>
      <c r="S6343" s="396"/>
      <c r="T6343" s="396" t="s">
        <v>125</v>
      </c>
      <c r="U6343" s="401">
        <f t="shared" ref="U6343:U6403" si="20581">U6342</f>
        <v>1.041885</v>
      </c>
      <c r="V6343" s="396" t="s">
        <v>125</v>
      </c>
      <c r="W6343" s="399">
        <f t="shared" ref="W6343" si="20582">D6343</f>
        <v>3</v>
      </c>
      <c r="X6343" s="399" t="s">
        <v>125</v>
      </c>
      <c r="Y6343" s="389">
        <f t="shared" ref="Y6343:Y6403" si="20583">Y6342</f>
        <v>1</v>
      </c>
      <c r="Z6343" s="400" t="s">
        <v>176</v>
      </c>
      <c r="AA6343" s="402">
        <f t="shared" ref="AA6343" si="20584">(N6343+P6343*R6343/1000)*U6343*W6343*Y6343</f>
        <v>19.776019184999996</v>
      </c>
      <c r="AB6343" s="403"/>
    </row>
    <row r="6344" spans="1:28">
      <c r="A6344" s="384"/>
      <c r="B6344" s="385"/>
      <c r="C6344" s="393"/>
      <c r="D6344" s="394"/>
      <c r="E6344" s="388"/>
      <c r="F6344" s="388"/>
      <c r="G6344" s="388"/>
      <c r="H6344" s="395"/>
      <c r="I6344" s="388"/>
      <c r="J6344" s="399"/>
      <c r="K6344" s="396"/>
      <c r="L6344" s="396"/>
      <c r="M6344" s="396"/>
      <c r="N6344" s="396"/>
      <c r="O6344" s="396"/>
      <c r="P6344" s="389"/>
      <c r="Q6344" s="396"/>
      <c r="R6344" s="396"/>
      <c r="S6344" s="396"/>
      <c r="T6344" s="396"/>
      <c r="U6344" s="401"/>
      <c r="V6344" s="396"/>
      <c r="W6344" s="388"/>
      <c r="X6344" s="396"/>
      <c r="Y6344" s="389"/>
      <c r="Z6344" s="396"/>
      <c r="AA6344" s="388"/>
      <c r="AB6344" s="390"/>
    </row>
    <row r="6345" spans="1:28">
      <c r="A6345" s="384" t="str">
        <f t="shared" ref="A6345:B6345" si="20585">A6325</f>
        <v>Lantai Atap</v>
      </c>
      <c r="B6345" s="385">
        <f t="shared" si="20585"/>
        <v>5</v>
      </c>
      <c r="C6345" s="393" t="s">
        <v>211</v>
      </c>
      <c r="D6345" s="398">
        <f>VLOOKUP(D6325,'Detail Balok'!$C$10:$AU$140,31,FALSE)</f>
        <v>0</v>
      </c>
      <c r="E6345" s="388" t="s">
        <v>16</v>
      </c>
      <c r="F6345" s="388">
        <f>VLOOKUP(D6325,'Detail Balok'!$C$10:$AU$140,33,FALSE)</f>
        <v>8</v>
      </c>
      <c r="G6345" s="405" t="s">
        <v>157</v>
      </c>
      <c r="H6345" s="395">
        <f>VLOOKUP(D6325,'Detail Balok'!$C$10:$AU$140,35,FALSE)</f>
        <v>150</v>
      </c>
      <c r="I6345" s="388"/>
      <c r="J6345" s="400">
        <f t="shared" ref="J6345" si="20586">(IF(D6345=0,(2*(D6326+G6326))-(F$5*8),IF(D6345=3,(2*(D6326+G6326))-(F$5*8)+(G6326-2*F$5),IF(D6345=4,(2*(D6326+G6326))-(F$5*8)+2*(G6326-2*F$5)))))/1000</f>
        <v>0.94</v>
      </c>
      <c r="K6345" s="400" t="s">
        <v>204</v>
      </c>
      <c r="L6345" s="399">
        <f t="shared" ref="L6345:L6347" si="20587">IF(D6345=0,2*MAX(6*F6345,75),(D6345-1)*2*MAX(6*F6345,75))/1000</f>
        <v>0.15</v>
      </c>
      <c r="M6345" s="399" t="s">
        <v>176</v>
      </c>
      <c r="N6345" s="399">
        <f t="shared" ref="N6345:N6347" si="20588">J6345+L6345</f>
        <v>1.0899999999999999</v>
      </c>
      <c r="O6345" s="399"/>
      <c r="P6345" s="389"/>
      <c r="Q6345" s="399"/>
      <c r="R6345" s="399"/>
      <c r="S6345" s="399"/>
      <c r="T6345" s="399" t="s">
        <v>125</v>
      </c>
      <c r="U6345" s="401">
        <f t="shared" ref="U6345:U6347" si="20589">0.006165*F6345^2</f>
        <v>0.39456000000000002</v>
      </c>
      <c r="V6345" s="399" t="s">
        <v>125</v>
      </c>
      <c r="W6345" s="399">
        <f t="shared" ref="W6345" si="20590">IF(D6328&gt;4*G6326,ROUND(MAX(D6328/4,2*G6326)/H6345,0)+1,ROUND(D6328/H6345,0)+1)</f>
        <v>11</v>
      </c>
      <c r="X6345" s="399" t="s">
        <v>125</v>
      </c>
      <c r="Y6345" s="389">
        <f t="shared" ref="Y6345" si="20591">D6331</f>
        <v>1</v>
      </c>
      <c r="Z6345" s="400" t="s">
        <v>176</v>
      </c>
      <c r="AA6345" s="402">
        <f t="shared" ref="AA6345:AA6347" si="20592">N6345*U6345*W6345*Y6345</f>
        <v>4.7307743999999996</v>
      </c>
      <c r="AB6345" s="403"/>
    </row>
    <row r="6346" spans="1:28">
      <c r="A6346" s="384" t="str">
        <f t="shared" ref="A6346:B6346" si="20593">A6325</f>
        <v>Lantai Atap</v>
      </c>
      <c r="B6346" s="385">
        <f t="shared" si="20593"/>
        <v>5</v>
      </c>
      <c r="C6346" s="393" t="s">
        <v>212</v>
      </c>
      <c r="D6346" s="398">
        <f>VLOOKUP(D6325,'Detail Balok'!$C$10:$AU$140,36,FALSE)</f>
        <v>0</v>
      </c>
      <c r="E6346" s="388" t="s">
        <v>16</v>
      </c>
      <c r="F6346" s="388">
        <f>VLOOKUP(D6325,'Detail Balok'!$C$10:$AU$140,38,FALSE)</f>
        <v>8</v>
      </c>
      <c r="G6346" s="405" t="s">
        <v>157</v>
      </c>
      <c r="H6346" s="395">
        <f>VLOOKUP(D6325,'Detail Balok'!$C$10:$AU$140,40,FALSE)</f>
        <v>200</v>
      </c>
      <c r="I6346" s="388"/>
      <c r="J6346" s="400">
        <f t="shared" ref="J6346" si="20594">(IF(D6346=0,(2*(D6326+G6326))-(F$5*8),IF(D6346=3,(2*(D6326+G6326))-(F$5*8)+(G6326-2*F$5),IF(D6346=4,(2*(D6326+G6326))-(F$5*8)+2*(G6326-2*F$5)))))/1000</f>
        <v>0.94</v>
      </c>
      <c r="K6346" s="400" t="s">
        <v>204</v>
      </c>
      <c r="L6346" s="399">
        <f t="shared" si="20587"/>
        <v>0.15</v>
      </c>
      <c r="M6346" s="399" t="s">
        <v>176</v>
      </c>
      <c r="N6346" s="399">
        <f t="shared" si="20588"/>
        <v>1.0899999999999999</v>
      </c>
      <c r="O6346" s="399"/>
      <c r="P6346" s="389"/>
      <c r="Q6346" s="399"/>
      <c r="R6346" s="399"/>
      <c r="S6346" s="399"/>
      <c r="T6346" s="399" t="s">
        <v>125</v>
      </c>
      <c r="U6346" s="401">
        <f t="shared" si="20589"/>
        <v>0.39456000000000002</v>
      </c>
      <c r="V6346" s="399" t="s">
        <v>125</v>
      </c>
      <c r="W6346" s="399">
        <f t="shared" ref="W6346" si="20595">IF(D6328-MAX(D6328/4,2*G6326)*2&gt;0,ROUND((D6328-MAX(D6328/4,2*G6326)*2)/H6346,0),0)</f>
        <v>15</v>
      </c>
      <c r="X6346" s="399" t="s">
        <v>125</v>
      </c>
      <c r="Y6346" s="389">
        <f t="shared" ref="Y6346" si="20596">D6331</f>
        <v>1</v>
      </c>
      <c r="Z6346" s="400" t="s">
        <v>176</v>
      </c>
      <c r="AA6346" s="402">
        <f t="shared" si="20592"/>
        <v>6.4510559999999995</v>
      </c>
      <c r="AB6346" s="403"/>
    </row>
    <row r="6347" spans="1:28">
      <c r="A6347" s="384" t="str">
        <f t="shared" ref="A6347:B6347" si="20597">A6325</f>
        <v>Lantai Atap</v>
      </c>
      <c r="B6347" s="385">
        <f t="shared" si="20597"/>
        <v>5</v>
      </c>
      <c r="C6347" s="393" t="s">
        <v>211</v>
      </c>
      <c r="D6347" s="398">
        <f>VLOOKUP(D6325,'Detail Balok'!$C$10:$AU$140,41,FALSE)</f>
        <v>0</v>
      </c>
      <c r="E6347" s="388" t="s">
        <v>16</v>
      </c>
      <c r="F6347" s="388">
        <f>VLOOKUP(D6325,'Detail Balok'!$C$10:$AU$140,43,FALSE)</f>
        <v>8</v>
      </c>
      <c r="G6347" s="405" t="s">
        <v>157</v>
      </c>
      <c r="H6347" s="395">
        <f>VLOOKUP(D6325,'Detail Balok'!$C$10:$AU$140,45,FALSE)</f>
        <v>150</v>
      </c>
      <c r="I6347" s="388"/>
      <c r="J6347" s="400">
        <f t="shared" ref="J6347" si="20598">(IF(D6347=0,(2*(D6326+G6326))-(F$5*8),IF(D6347=3,(2*(D6326+G6326))-(F$5*8)+(G6326-2*F$5),IF(D6347=4,(2*(D6326+G6326))-(F$5*8)+2*(G6326-2*F$5)))))/1000</f>
        <v>0.94</v>
      </c>
      <c r="K6347" s="400" t="s">
        <v>204</v>
      </c>
      <c r="L6347" s="399">
        <f t="shared" si="20587"/>
        <v>0.15</v>
      </c>
      <c r="M6347" s="399" t="s">
        <v>176</v>
      </c>
      <c r="N6347" s="399">
        <f t="shared" si="20588"/>
        <v>1.0899999999999999</v>
      </c>
      <c r="O6347" s="399"/>
      <c r="P6347" s="389"/>
      <c r="Q6347" s="399"/>
      <c r="R6347" s="399"/>
      <c r="S6347" s="399"/>
      <c r="T6347" s="399" t="s">
        <v>125</v>
      </c>
      <c r="U6347" s="401">
        <f t="shared" si="20589"/>
        <v>0.39456000000000002</v>
      </c>
      <c r="V6347" s="399" t="s">
        <v>125</v>
      </c>
      <c r="W6347" s="399">
        <f t="shared" ref="W6347" si="20599">IF(D6328&gt;4*G6326,ROUND(MAX(D6328/4,2*G6326)/H6347,0)+1,0)</f>
        <v>11</v>
      </c>
      <c r="X6347" s="399" t="s">
        <v>125</v>
      </c>
      <c r="Y6347" s="389">
        <f t="shared" ref="Y6347" si="20600">D6331</f>
        <v>1</v>
      </c>
      <c r="Z6347" s="400" t="s">
        <v>176</v>
      </c>
      <c r="AA6347" s="402">
        <f t="shared" si="20592"/>
        <v>4.7307743999999996</v>
      </c>
      <c r="AB6347" s="403"/>
    </row>
    <row r="6348" spans="1:28">
      <c r="A6348" s="384"/>
      <c r="B6348" s="385"/>
      <c r="C6348" s="393"/>
      <c r="D6348" s="394"/>
      <c r="E6348" s="388"/>
      <c r="F6348" s="388"/>
      <c r="G6348" s="388"/>
      <c r="H6348" s="395"/>
      <c r="I6348" s="388"/>
      <c r="J6348" s="399"/>
      <c r="K6348" s="396"/>
      <c r="L6348" s="396"/>
      <c r="M6348" s="396"/>
      <c r="N6348" s="396"/>
      <c r="O6348" s="396"/>
      <c r="P6348" s="389"/>
      <c r="Q6348" s="396"/>
      <c r="R6348" s="396"/>
      <c r="S6348" s="396"/>
      <c r="T6348" s="396"/>
      <c r="U6348" s="401"/>
      <c r="V6348" s="396"/>
      <c r="W6348" s="388"/>
      <c r="X6348" s="396"/>
      <c r="Y6348" s="389"/>
      <c r="Z6348" s="396"/>
      <c r="AA6348" s="388"/>
      <c r="AB6348" s="390"/>
    </row>
    <row r="6349" spans="1:28">
      <c r="A6349" s="384" t="str">
        <f t="shared" ref="A6349:B6349" si="20601">A6325</f>
        <v>Lantai Atap</v>
      </c>
      <c r="B6349" s="385">
        <f t="shared" si="20601"/>
        <v>5</v>
      </c>
      <c r="C6349" s="393" t="s">
        <v>213</v>
      </c>
      <c r="D6349" s="398">
        <f>VLOOKUP(D6325,'Detail Balok'!$C$10:$BJ$140,46,FALSE)</f>
        <v>0</v>
      </c>
      <c r="E6349" s="388" t="s">
        <v>16</v>
      </c>
      <c r="F6349" s="388">
        <f>VLOOKUP(D6325,'Detail Balok'!$C$10:$BJ$140,48,FALSE)</f>
        <v>0</v>
      </c>
      <c r="G6349" s="405" t="s">
        <v>157</v>
      </c>
      <c r="H6349" s="395">
        <f>VLOOKUP(D6325,'Detail Balok'!$C$10:$BJ$140,50,FALSE)</f>
        <v>100</v>
      </c>
      <c r="I6349" s="388"/>
      <c r="J6349" s="399">
        <f t="shared" ref="J6349" si="20602">(D6326-2*F$5)/1000</f>
        <v>0.05</v>
      </c>
      <c r="K6349" s="400" t="s">
        <v>204</v>
      </c>
      <c r="L6349" s="399">
        <f t="shared" ref="L6349:L6351" si="20603">IF(D6349=0,2*MAX(6*F6349,75),(D6349-1)*2*MAX(6*F6349,75))/1000</f>
        <v>0.15</v>
      </c>
      <c r="M6349" s="399" t="s">
        <v>176</v>
      </c>
      <c r="N6349" s="399">
        <f t="shared" ref="N6349:N6351" si="20604">J6349+L6349</f>
        <v>0.2</v>
      </c>
      <c r="O6349" s="399"/>
      <c r="P6349" s="399"/>
      <c r="Q6349" s="399"/>
      <c r="R6349" s="399"/>
      <c r="S6349" s="399"/>
      <c r="T6349" s="399" t="s">
        <v>125</v>
      </c>
      <c r="U6349" s="401">
        <f t="shared" ref="U6349:U6351" si="20605">0.006165*F6349^2</f>
        <v>0</v>
      </c>
      <c r="V6349" s="399" t="s">
        <v>125</v>
      </c>
      <c r="W6349" s="399">
        <f t="shared" ref="W6349:W6411" si="20606">W6345</f>
        <v>11</v>
      </c>
      <c r="X6349" s="399" t="s">
        <v>125</v>
      </c>
      <c r="Y6349" s="389">
        <f t="shared" ref="Y6349" si="20607">D6335</f>
        <v>3</v>
      </c>
      <c r="Z6349" s="400" t="s">
        <v>176</v>
      </c>
      <c r="AA6349" s="402">
        <f t="shared" ref="AA6349:AA6351" si="20608">N6349*U6349*W6349*Y6349</f>
        <v>0</v>
      </c>
      <c r="AB6349" s="403"/>
    </row>
    <row r="6350" spans="1:28">
      <c r="A6350" s="384" t="str">
        <f t="shared" ref="A6350:B6350" si="20609">A6325</f>
        <v>Lantai Atap</v>
      </c>
      <c r="B6350" s="385">
        <f t="shared" si="20609"/>
        <v>5</v>
      </c>
      <c r="C6350" s="393" t="s">
        <v>214</v>
      </c>
      <c r="D6350" s="398">
        <f>VLOOKUP(D6325,'Detail Balok'!$C$10:$BJ$140,51,FALSE)</f>
        <v>0</v>
      </c>
      <c r="E6350" s="388" t="s">
        <v>16</v>
      </c>
      <c r="F6350" s="388">
        <f>VLOOKUP(D6325,'Detail Balok'!$C$10:$BJ$140,53,FALSE)</f>
        <v>0</v>
      </c>
      <c r="G6350" s="405" t="s">
        <v>157</v>
      </c>
      <c r="H6350" s="395">
        <f>VLOOKUP(D6325,'Detail Balok'!$C$10:$BJ$140,55,FALSE)</f>
        <v>100</v>
      </c>
      <c r="I6350" s="388"/>
      <c r="J6350" s="399">
        <f t="shared" ref="J6350" si="20610">(D6326-2*F$5)/1000</f>
        <v>0.05</v>
      </c>
      <c r="K6350" s="400" t="s">
        <v>204</v>
      </c>
      <c r="L6350" s="399">
        <f t="shared" si="20603"/>
        <v>0.15</v>
      </c>
      <c r="M6350" s="399" t="s">
        <v>176</v>
      </c>
      <c r="N6350" s="399">
        <f t="shared" si="20604"/>
        <v>0.2</v>
      </c>
      <c r="O6350" s="399"/>
      <c r="P6350" s="399"/>
      <c r="Q6350" s="399"/>
      <c r="R6350" s="399"/>
      <c r="S6350" s="399"/>
      <c r="T6350" s="399" t="s">
        <v>125</v>
      </c>
      <c r="U6350" s="401">
        <f t="shared" si="20605"/>
        <v>0</v>
      </c>
      <c r="V6350" s="399" t="s">
        <v>125</v>
      </c>
      <c r="W6350" s="399">
        <f t="shared" si="20606"/>
        <v>15</v>
      </c>
      <c r="X6350" s="399" t="s">
        <v>125</v>
      </c>
      <c r="Y6350" s="389">
        <f t="shared" ref="Y6350" si="20611">D6335</f>
        <v>3</v>
      </c>
      <c r="Z6350" s="400" t="s">
        <v>176</v>
      </c>
      <c r="AA6350" s="402">
        <f t="shared" si="20608"/>
        <v>0</v>
      </c>
      <c r="AB6350" s="403"/>
    </row>
    <row r="6351" spans="1:28">
      <c r="A6351" s="384" t="str">
        <f t="shared" ref="A6351:B6351" si="20612">A6325</f>
        <v>Lantai Atap</v>
      </c>
      <c r="B6351" s="385">
        <f t="shared" si="20612"/>
        <v>5</v>
      </c>
      <c r="C6351" s="393" t="s">
        <v>213</v>
      </c>
      <c r="D6351" s="398">
        <f>VLOOKUP(D6325,'Detail Balok'!$C$10:$BJ$140,56,FALSE)</f>
        <v>0</v>
      </c>
      <c r="E6351" s="388" t="s">
        <v>16</v>
      </c>
      <c r="F6351" s="388">
        <f>VLOOKUP(D6325,'Detail Balok'!$C$10:$BJ$140,58,FALSE)</f>
        <v>0</v>
      </c>
      <c r="G6351" s="405" t="s">
        <v>157</v>
      </c>
      <c r="H6351" s="395">
        <f>VLOOKUP(D6325,'Detail Balok'!$C$10:$BJ$140,60,FALSE)</f>
        <v>100</v>
      </c>
      <c r="I6351" s="388"/>
      <c r="J6351" s="399">
        <f t="shared" ref="J6351" si="20613">(D6326-2*F$5)/1000</f>
        <v>0.05</v>
      </c>
      <c r="K6351" s="400" t="s">
        <v>204</v>
      </c>
      <c r="L6351" s="399">
        <f t="shared" si="20603"/>
        <v>0.15</v>
      </c>
      <c r="M6351" s="399" t="s">
        <v>176</v>
      </c>
      <c r="N6351" s="399">
        <f t="shared" si="20604"/>
        <v>0.2</v>
      </c>
      <c r="O6351" s="399"/>
      <c r="P6351" s="399"/>
      <c r="Q6351" s="399"/>
      <c r="R6351" s="399"/>
      <c r="S6351" s="399"/>
      <c r="T6351" s="399" t="s">
        <v>125</v>
      </c>
      <c r="U6351" s="401">
        <f t="shared" si="20605"/>
        <v>0</v>
      </c>
      <c r="V6351" s="399" t="s">
        <v>125</v>
      </c>
      <c r="W6351" s="399">
        <f t="shared" si="20606"/>
        <v>11</v>
      </c>
      <c r="X6351" s="399" t="s">
        <v>125</v>
      </c>
      <c r="Y6351" s="389">
        <f t="shared" ref="Y6351" si="20614">D6335</f>
        <v>3</v>
      </c>
      <c r="Z6351" s="400" t="s">
        <v>176</v>
      </c>
      <c r="AA6351" s="402">
        <f t="shared" si="20608"/>
        <v>0</v>
      </c>
      <c r="AB6351" s="403"/>
    </row>
    <row r="6352" spans="1:28">
      <c r="A6352" s="391"/>
      <c r="B6352" s="392"/>
      <c r="C6352" s="392"/>
      <c r="D6352" s="394"/>
      <c r="E6352" s="388"/>
      <c r="F6352" s="388"/>
      <c r="G6352" s="388"/>
      <c r="H6352" s="395"/>
      <c r="I6352" s="388"/>
      <c r="J6352" s="402"/>
      <c r="K6352" s="388"/>
      <c r="L6352" s="388"/>
      <c r="M6352" s="388"/>
      <c r="N6352" s="388"/>
      <c r="O6352" s="388"/>
      <c r="P6352" s="388"/>
      <c r="Q6352" s="388"/>
      <c r="R6352" s="388"/>
      <c r="S6352" s="388"/>
      <c r="T6352" s="388"/>
      <c r="U6352" s="388"/>
      <c r="V6352" s="388"/>
      <c r="W6352" s="388"/>
      <c r="X6352" s="388"/>
      <c r="Y6352" s="389"/>
      <c r="Z6352" s="388"/>
      <c r="AA6352" s="402"/>
      <c r="AB6352" s="403"/>
    </row>
    <row r="6353" spans="1:28" ht="15.75" thickBot="1">
      <c r="A6353" s="406"/>
      <c r="B6353" s="407"/>
      <c r="C6353" s="407"/>
      <c r="D6353" s="408"/>
      <c r="E6353" s="409"/>
      <c r="F6353" s="409"/>
      <c r="G6353" s="409"/>
      <c r="H6353" s="410"/>
      <c r="I6353" s="409"/>
      <c r="J6353" s="409"/>
      <c r="K6353" s="409"/>
      <c r="L6353" s="409"/>
      <c r="M6353" s="409"/>
      <c r="N6353" s="409"/>
      <c r="O6353" s="409"/>
      <c r="P6353" s="409"/>
      <c r="Q6353" s="409"/>
      <c r="R6353" s="409"/>
      <c r="S6353" s="409"/>
      <c r="T6353" s="409"/>
      <c r="U6353" s="409"/>
      <c r="V6353" s="409"/>
      <c r="W6353" s="409"/>
      <c r="X6353" s="409"/>
      <c r="Y6353" s="411"/>
      <c r="Z6353" s="409"/>
      <c r="AA6353" s="412"/>
      <c r="AB6353" s="413"/>
    </row>
    <row r="6354" spans="1:28">
      <c r="A6354" s="377"/>
      <c r="B6354" s="378"/>
      <c r="C6354" s="378"/>
      <c r="D6354" s="379"/>
      <c r="E6354" s="380"/>
      <c r="F6354" s="380"/>
      <c r="G6354" s="380"/>
      <c r="H6354" s="381"/>
      <c r="I6354" s="380"/>
      <c r="J6354" s="380"/>
      <c r="K6354" s="380"/>
      <c r="L6354" s="380"/>
      <c r="M6354" s="380"/>
      <c r="N6354" s="380"/>
      <c r="O6354" s="380"/>
      <c r="P6354" s="380"/>
      <c r="Q6354" s="380"/>
      <c r="R6354" s="380"/>
      <c r="S6354" s="380"/>
      <c r="T6354" s="380"/>
      <c r="U6354" s="380"/>
      <c r="V6354" s="380"/>
      <c r="W6354" s="380"/>
      <c r="X6354" s="380"/>
      <c r="Y6354" s="382"/>
      <c r="Z6354" s="380"/>
      <c r="AA6354" s="380"/>
      <c r="AB6354" s="383"/>
    </row>
    <row r="6355" spans="1:28">
      <c r="A6355" s="384" t="str">
        <f t="shared" ref="A6355:A6415" si="20615">A6325</f>
        <v>Lantai Atap</v>
      </c>
      <c r="B6355" s="385">
        <f t="shared" ref="B6355:B6415" si="20616">B6325+1</f>
        <v>6</v>
      </c>
      <c r="C6355" s="386" t="str">
        <f t="shared" ref="C6355" si="20617">CONCATENATE(A6355," no. ",B6355)</f>
        <v>Lantai Atap no. 6</v>
      </c>
      <c r="D6355" s="2562" t="str">
        <f>VLOOKUP(C6355,'Data Panjang Balok'!$C$9:$N$254,2,FALSE)</f>
        <v>B24-1</v>
      </c>
      <c r="E6355" s="2576"/>
      <c r="F6355" s="2576"/>
      <c r="G6355" s="2576"/>
      <c r="H6355" s="2577"/>
      <c r="I6355" s="387"/>
      <c r="J6355" s="388"/>
      <c r="K6355" s="388"/>
      <c r="L6355" s="388"/>
      <c r="M6355" s="388"/>
      <c r="N6355" s="388"/>
      <c r="O6355" s="388"/>
      <c r="P6355" s="388"/>
      <c r="Q6355" s="388"/>
      <c r="R6355" s="388"/>
      <c r="S6355" s="388"/>
      <c r="T6355" s="388"/>
      <c r="U6355" s="388"/>
      <c r="V6355" s="388"/>
      <c r="W6355" s="388"/>
      <c r="X6355" s="388"/>
      <c r="Y6355" s="389"/>
      <c r="Z6355" s="388"/>
      <c r="AA6355" s="388"/>
      <c r="AB6355" s="390"/>
    </row>
    <row r="6356" spans="1:28">
      <c r="A6356" s="391"/>
      <c r="B6356" s="392"/>
      <c r="C6356" s="393" t="s">
        <v>118</v>
      </c>
      <c r="D6356" s="2578">
        <f>VLOOKUP(D6355,'Detail Balok'!$C$10:$AU$140,2,FALSE)</f>
        <v>200</v>
      </c>
      <c r="E6356" s="2579"/>
      <c r="F6356" s="388" t="s">
        <v>125</v>
      </c>
      <c r="G6356" s="2579">
        <f>VLOOKUP(D6355,'Detail Balok'!$C$10:$AU$140,3,FALSE)</f>
        <v>400</v>
      </c>
      <c r="H6356" s="2580"/>
      <c r="I6356" s="388"/>
      <c r="J6356" s="396"/>
      <c r="K6356" s="396"/>
      <c r="L6356" s="396"/>
      <c r="M6356" s="396"/>
      <c r="N6356" s="396"/>
      <c r="O6356" s="396"/>
      <c r="P6356" s="396"/>
      <c r="Q6356" s="396"/>
      <c r="R6356" s="396"/>
      <c r="S6356" s="396"/>
      <c r="T6356" s="396"/>
      <c r="U6356" s="388"/>
      <c r="V6356" s="396"/>
      <c r="W6356" s="388"/>
      <c r="X6356" s="396"/>
      <c r="Y6356" s="389"/>
      <c r="Z6356" s="396"/>
      <c r="AA6356" s="388"/>
      <c r="AB6356" s="390"/>
    </row>
    <row r="6357" spans="1:28">
      <c r="A6357" s="391"/>
      <c r="B6357" s="392"/>
      <c r="C6357" s="393" t="s">
        <v>198</v>
      </c>
      <c r="D6357" s="2562">
        <f>VLOOKUP(C6355,'Data Panjang Balok'!$C$9:$N$254,4,FALSE)</f>
        <v>3925</v>
      </c>
      <c r="E6357" s="2563"/>
      <c r="F6357" s="2563"/>
      <c r="G6357" s="2563"/>
      <c r="H6357" s="2564"/>
      <c r="I6357" s="397"/>
      <c r="J6357" s="396"/>
      <c r="K6357" s="396"/>
      <c r="L6357" s="396"/>
      <c r="M6357" s="396"/>
      <c r="N6357" s="396"/>
      <c r="O6357" s="396"/>
      <c r="P6357" s="396"/>
      <c r="Q6357" s="396"/>
      <c r="R6357" s="396"/>
      <c r="S6357" s="396"/>
      <c r="T6357" s="396"/>
      <c r="U6357" s="388"/>
      <c r="V6357" s="396"/>
      <c r="W6357" s="388"/>
      <c r="X6357" s="396"/>
      <c r="Y6357" s="389"/>
      <c r="Z6357" s="396"/>
      <c r="AA6357" s="388"/>
      <c r="AB6357" s="390"/>
    </row>
    <row r="6358" spans="1:28">
      <c r="A6358" s="391"/>
      <c r="B6358" s="392"/>
      <c r="C6358" s="393" t="s">
        <v>199</v>
      </c>
      <c r="D6358" s="2562">
        <f>VLOOKUP(C6355,'Data Panjang Balok'!$C$9:$N$254,7,FALSE)</f>
        <v>3925</v>
      </c>
      <c r="E6358" s="2563"/>
      <c r="F6358" s="2563"/>
      <c r="G6358" s="2563"/>
      <c r="H6358" s="2564"/>
      <c r="I6358" s="397"/>
      <c r="J6358" s="396"/>
      <c r="K6358" s="396"/>
      <c r="L6358" s="396"/>
      <c r="M6358" s="396"/>
      <c r="N6358" s="396"/>
      <c r="O6358" s="396"/>
      <c r="P6358" s="396"/>
      <c r="Q6358" s="396"/>
      <c r="R6358" s="396"/>
      <c r="S6358" s="396"/>
      <c r="T6358" s="396"/>
      <c r="U6358" s="388"/>
      <c r="V6358" s="396"/>
      <c r="W6358" s="388"/>
      <c r="X6358" s="396"/>
      <c r="Y6358" s="389"/>
      <c r="Z6358" s="396"/>
      <c r="AA6358" s="388"/>
      <c r="AB6358" s="390"/>
    </row>
    <row r="6359" spans="1:28">
      <c r="A6359" s="391"/>
      <c r="B6359" s="392"/>
      <c r="C6359" s="393" t="s">
        <v>200</v>
      </c>
      <c r="D6359" s="2562">
        <f>VLOOKUP(C6355,'Data Panjang Balok'!$C$9:$N$254,9,FALSE)</f>
        <v>0</v>
      </c>
      <c r="E6359" s="2563"/>
      <c r="F6359" s="2563"/>
      <c r="G6359" s="2563"/>
      <c r="H6359" s="2564"/>
      <c r="I6359" s="397"/>
      <c r="J6359" s="396"/>
      <c r="K6359" s="396"/>
      <c r="L6359" s="396"/>
      <c r="M6359" s="396"/>
      <c r="N6359" s="396"/>
      <c r="O6359" s="396"/>
      <c r="P6359" s="396"/>
      <c r="Q6359" s="396"/>
      <c r="R6359" s="396"/>
      <c r="S6359" s="396"/>
      <c r="T6359" s="396"/>
      <c r="U6359" s="388"/>
      <c r="V6359" s="396"/>
      <c r="W6359" s="388"/>
      <c r="X6359" s="396"/>
      <c r="Y6359" s="389"/>
      <c r="Z6359" s="396"/>
      <c r="AA6359" s="388"/>
      <c r="AB6359" s="390"/>
    </row>
    <row r="6360" spans="1:28">
      <c r="A6360" s="391"/>
      <c r="B6360" s="392"/>
      <c r="C6360" s="393" t="s">
        <v>201</v>
      </c>
      <c r="D6360" s="2562">
        <f>VLOOKUP(C6355,'Data Panjang Balok'!$C$9:$N$254,10,FALSE)</f>
        <v>0</v>
      </c>
      <c r="E6360" s="2563"/>
      <c r="F6360" s="2563"/>
      <c r="G6360" s="2563"/>
      <c r="H6360" s="2564"/>
      <c r="I6360" s="397"/>
      <c r="J6360" s="396"/>
      <c r="K6360" s="396"/>
      <c r="L6360" s="396"/>
      <c r="M6360" s="396"/>
      <c r="N6360" s="396"/>
      <c r="O6360" s="396"/>
      <c r="P6360" s="396"/>
      <c r="Q6360" s="396"/>
      <c r="R6360" s="396"/>
      <c r="S6360" s="396"/>
      <c r="T6360" s="396"/>
      <c r="U6360" s="388"/>
      <c r="V6360" s="396"/>
      <c r="W6360" s="388"/>
      <c r="X6360" s="396"/>
      <c r="Y6360" s="389"/>
      <c r="Z6360" s="396"/>
      <c r="AA6360" s="388"/>
      <c r="AB6360" s="390"/>
    </row>
    <row r="6361" spans="1:28">
      <c r="A6361" s="391"/>
      <c r="B6361" s="392"/>
      <c r="C6361" s="393" t="s">
        <v>48</v>
      </c>
      <c r="D6361" s="2562">
        <f>VLOOKUP(C6355,'Data Panjang Balok'!$C$9:$N$254,3,FALSE)</f>
        <v>1</v>
      </c>
      <c r="E6361" s="2563"/>
      <c r="F6361" s="2563"/>
      <c r="G6361" s="2563"/>
      <c r="H6361" s="2564"/>
      <c r="I6361" s="397"/>
      <c r="J6361" s="396"/>
      <c r="K6361" s="396"/>
      <c r="L6361" s="396"/>
      <c r="M6361" s="396"/>
      <c r="N6361" s="396"/>
      <c r="O6361" s="396"/>
      <c r="P6361" s="396"/>
      <c r="Q6361" s="396"/>
      <c r="R6361" s="396"/>
      <c r="S6361" s="396"/>
      <c r="T6361" s="396"/>
      <c r="U6361" s="388"/>
      <c r="V6361" s="396"/>
      <c r="W6361" s="388"/>
      <c r="X6361" s="396"/>
      <c r="Y6361" s="389"/>
      <c r="Z6361" s="396"/>
      <c r="AA6361" s="388"/>
      <c r="AB6361" s="390"/>
    </row>
    <row r="6362" spans="1:28">
      <c r="A6362" s="384" t="str">
        <f t="shared" ref="A6362:B6362" si="20618">A6355</f>
        <v>Lantai Atap</v>
      </c>
      <c r="B6362" s="385">
        <f t="shared" si="20618"/>
        <v>6</v>
      </c>
      <c r="C6362" s="393" t="s">
        <v>202</v>
      </c>
      <c r="D6362" s="398">
        <f>VLOOKUP(D6355,'Detail Balok'!$C$10:$AU$140,4,FALSE)</f>
        <v>3</v>
      </c>
      <c r="E6362" s="388" t="s">
        <v>16</v>
      </c>
      <c r="F6362" s="388">
        <f>VLOOKUP(D6355,'Detail Balok'!$C$10:$AU$140,6,FALSE)</f>
        <v>13</v>
      </c>
      <c r="G6362" s="388"/>
      <c r="H6362" s="395"/>
      <c r="I6362" s="388" t="s">
        <v>203</v>
      </c>
      <c r="J6362" s="399">
        <f t="shared" ref="J6362" si="20619">+D6357/4/1000</f>
        <v>0.98124999999999996</v>
      </c>
      <c r="K6362" s="400" t="s">
        <v>204</v>
      </c>
      <c r="L6362" s="399">
        <f t="shared" ref="L6362" si="20620">MAX(VLOOKUP(F6362,N$6:P$15,3,FALSE)/1000,2/3*D6359/1000)+F$16*F6362/1000</f>
        <v>0.156</v>
      </c>
      <c r="M6362" s="399" t="s">
        <v>176</v>
      </c>
      <c r="N6362" s="399">
        <f t="shared" ref="N6362:N6364" si="20621">J6362+L6362</f>
        <v>1.1372499999999999</v>
      </c>
      <c r="O6362" s="399" t="s">
        <v>204</v>
      </c>
      <c r="P6362" s="389">
        <f t="shared" ref="P6362" si="20622">D6362-D6363</f>
        <v>0</v>
      </c>
      <c r="Q6362" s="399" t="s">
        <v>125</v>
      </c>
      <c r="R6362" s="399">
        <f t="shared" ref="R6362" si="20623">IF(P6362&gt;0,$F$18*F6362/1000,0)</f>
        <v>0</v>
      </c>
      <c r="S6362" s="399" t="s">
        <v>205</v>
      </c>
      <c r="T6362" s="399" t="s">
        <v>125</v>
      </c>
      <c r="U6362" s="401">
        <f t="shared" ref="U6362:U6364" si="20624">0.006165*F6362^2</f>
        <v>1.041885</v>
      </c>
      <c r="V6362" s="399"/>
      <c r="W6362" s="399"/>
      <c r="X6362" s="399" t="s">
        <v>125</v>
      </c>
      <c r="Y6362" s="389">
        <f t="shared" ref="Y6362" si="20625">D6361</f>
        <v>1</v>
      </c>
      <c r="Z6362" s="400" t="s">
        <v>176</v>
      </c>
      <c r="AA6362" s="402">
        <f t="shared" ref="AA6362" si="20626">IF(AA6365=0,(D6362*N6362+P6362*R6362)*U6362*Y6362,0)</f>
        <v>0</v>
      </c>
      <c r="AB6362" s="403"/>
    </row>
    <row r="6363" spans="1:28">
      <c r="A6363" s="384" t="str">
        <f t="shared" ref="A6363:B6363" si="20627">A6355</f>
        <v>Lantai Atap</v>
      </c>
      <c r="B6363" s="385">
        <f t="shared" si="20627"/>
        <v>6</v>
      </c>
      <c r="C6363" s="393" t="s">
        <v>206</v>
      </c>
      <c r="D6363" s="398">
        <f>VLOOKUP(D6355,'Detail Balok'!$C$10:$AU$140,7,FALSE)</f>
        <v>3</v>
      </c>
      <c r="E6363" s="388" t="s">
        <v>16</v>
      </c>
      <c r="F6363" s="388">
        <f>VLOOKUP(D6355,'Detail Balok'!$C$10:$AU$140,9,FALSE)</f>
        <v>13</v>
      </c>
      <c r="G6363" s="388"/>
      <c r="H6363" s="395"/>
      <c r="I6363" s="388" t="s">
        <v>203</v>
      </c>
      <c r="J6363" s="399">
        <f t="shared" ref="J6363" si="20628">+D6357/2/1000</f>
        <v>1.9624999999999999</v>
      </c>
      <c r="K6363" s="400" t="s">
        <v>204</v>
      </c>
      <c r="L6363" s="399"/>
      <c r="M6363" s="399" t="s">
        <v>176</v>
      </c>
      <c r="N6363" s="399">
        <f t="shared" si="20621"/>
        <v>1.9624999999999999</v>
      </c>
      <c r="O6363" s="399" t="s">
        <v>204</v>
      </c>
      <c r="P6363" s="389">
        <f t="shared" ref="P6363" si="20629">MAX(D6363-D6362,D6363-D6364)</f>
        <v>0</v>
      </c>
      <c r="Q6363" s="399" t="s">
        <v>125</v>
      </c>
      <c r="R6363" s="399">
        <f t="shared" ref="R6363" si="20630">IF(P6363&gt;0,2*(1-2*$F$19-1/2)*D6358/1000,0)</f>
        <v>0</v>
      </c>
      <c r="S6363" s="399" t="s">
        <v>205</v>
      </c>
      <c r="T6363" s="399" t="s">
        <v>125</v>
      </c>
      <c r="U6363" s="401">
        <f t="shared" si="20624"/>
        <v>1.041885</v>
      </c>
      <c r="V6363" s="399"/>
      <c r="W6363" s="399"/>
      <c r="X6363" s="399" t="s">
        <v>125</v>
      </c>
      <c r="Y6363" s="389">
        <f t="shared" ref="Y6363" si="20631">D6361</f>
        <v>1</v>
      </c>
      <c r="Z6363" s="400" t="s">
        <v>176</v>
      </c>
      <c r="AA6363" s="402">
        <f t="shared" ref="AA6363" si="20632">IF(AA6365=0,(D6363*N6363+P6363*R6363)*U6363*Y6363,0)</f>
        <v>0</v>
      </c>
      <c r="AB6363" s="403"/>
    </row>
    <row r="6364" spans="1:28">
      <c r="A6364" s="384" t="str">
        <f t="shared" ref="A6364:B6364" si="20633">A6355</f>
        <v>Lantai Atap</v>
      </c>
      <c r="B6364" s="385">
        <f t="shared" si="20633"/>
        <v>6</v>
      </c>
      <c r="C6364" s="393" t="s">
        <v>202</v>
      </c>
      <c r="D6364" s="398">
        <f>VLOOKUP(D6355,'Detail Balok'!$C$10:$AU$140,10,FALSE)</f>
        <v>3</v>
      </c>
      <c r="E6364" s="388" t="s">
        <v>16</v>
      </c>
      <c r="F6364" s="388">
        <f>VLOOKUP(D6355,'Detail Balok'!$C$10:$AU$140,12,FALSE)</f>
        <v>13</v>
      </c>
      <c r="G6364" s="388"/>
      <c r="H6364" s="395"/>
      <c r="I6364" s="388" t="s">
        <v>203</v>
      </c>
      <c r="J6364" s="399">
        <f t="shared" ref="J6364" si="20634">+D6357/4/1000</f>
        <v>0.98124999999999996</v>
      </c>
      <c r="K6364" s="400" t="s">
        <v>204</v>
      </c>
      <c r="L6364" s="399">
        <f t="shared" ref="L6364" si="20635">MAX(VLOOKUP(F6364,N$6:P$15,3,FALSE)/1000,2/3*D6359/1000)+F$16*F6364/1000</f>
        <v>0.156</v>
      </c>
      <c r="M6364" s="399" t="s">
        <v>176</v>
      </c>
      <c r="N6364" s="399">
        <f t="shared" si="20621"/>
        <v>1.1372499999999999</v>
      </c>
      <c r="O6364" s="399" t="s">
        <v>204</v>
      </c>
      <c r="P6364" s="389">
        <f t="shared" ref="P6364" si="20636">D6364-D6363</f>
        <v>0</v>
      </c>
      <c r="Q6364" s="399" t="s">
        <v>125</v>
      </c>
      <c r="R6364" s="399">
        <f t="shared" ref="R6364" si="20637">IF(P6364&gt;0,$F$18*F6364/1000,0)</f>
        <v>0</v>
      </c>
      <c r="S6364" s="399" t="s">
        <v>205</v>
      </c>
      <c r="T6364" s="399" t="s">
        <v>125</v>
      </c>
      <c r="U6364" s="401">
        <f t="shared" si="20624"/>
        <v>1.041885</v>
      </c>
      <c r="V6364" s="399"/>
      <c r="W6364" s="399"/>
      <c r="X6364" s="399" t="s">
        <v>125</v>
      </c>
      <c r="Y6364" s="389">
        <f t="shared" ref="Y6364" si="20638">D6361</f>
        <v>1</v>
      </c>
      <c r="Z6364" s="400" t="s">
        <v>176</v>
      </c>
      <c r="AA6364" s="402">
        <f t="shared" ref="AA6364" si="20639">IF(AA6365=0,(D6364*N6364+P6364*R6364)*U6364*Y6364,0)</f>
        <v>0</v>
      </c>
      <c r="AB6364" s="403"/>
    </row>
    <row r="6365" spans="1:28">
      <c r="A6365" s="384" t="str">
        <f t="shared" ref="A6365:B6365" si="20640">A6355</f>
        <v>Lantai Atap</v>
      </c>
      <c r="B6365" s="385">
        <f t="shared" si="20640"/>
        <v>6</v>
      </c>
      <c r="C6365" s="393"/>
      <c r="D6365" s="398">
        <f t="shared" si="20536"/>
        <v>3</v>
      </c>
      <c r="E6365" s="388" t="s">
        <v>16</v>
      </c>
      <c r="F6365" s="388">
        <f t="shared" si="20537"/>
        <v>13</v>
      </c>
      <c r="G6365" s="388"/>
      <c r="H6365" s="395"/>
      <c r="I6365" s="388"/>
      <c r="J6365" s="396"/>
      <c r="K6365" s="396"/>
      <c r="L6365" s="404" t="s">
        <v>207</v>
      </c>
      <c r="M6365" s="399" t="s">
        <v>176</v>
      </c>
      <c r="N6365" s="399">
        <f t="shared" ref="N6365" si="20641">IF(AND(D6362=D6363,D6362=D6364,D6363=D6364,F6362=F6363,F6362=F6364,F6363=F6364),SUM(N6362:N6364),0)</f>
        <v>4.2370000000000001</v>
      </c>
      <c r="O6365" s="399" t="s">
        <v>204</v>
      </c>
      <c r="P6365" s="389">
        <f t="shared" ref="P6365" si="20642">IF(N6365&gt;12,ROUNDDOWN(N6365/12,0),0)</f>
        <v>0</v>
      </c>
      <c r="Q6365" s="399" t="s">
        <v>125</v>
      </c>
      <c r="R6365" s="399">
        <f t="shared" ref="R6365" si="20643">IF(P6365&gt;0,MAX(VLOOKUP(F6365,$D$6:$G$15,3,FALSE),600),0)/1000</f>
        <v>0</v>
      </c>
      <c r="S6365" s="396"/>
      <c r="T6365" s="396" t="s">
        <v>125</v>
      </c>
      <c r="U6365" s="401">
        <f t="shared" si="20541"/>
        <v>1.041885</v>
      </c>
      <c r="V6365" s="396" t="s">
        <v>125</v>
      </c>
      <c r="W6365" s="399">
        <f t="shared" ref="W6365" si="20644">D6365</f>
        <v>3</v>
      </c>
      <c r="X6365" s="399" t="s">
        <v>125</v>
      </c>
      <c r="Y6365" s="389">
        <f t="shared" si="20543"/>
        <v>1</v>
      </c>
      <c r="Z6365" s="400" t="s">
        <v>176</v>
      </c>
      <c r="AA6365" s="402">
        <f t="shared" ref="AA6365" si="20645">(N6365+P6365*R6365/1000)*U6365*W6365*Y6365</f>
        <v>13.243400234999999</v>
      </c>
      <c r="AB6365" s="390"/>
    </row>
    <row r="6366" spans="1:28">
      <c r="A6366" s="384"/>
      <c r="B6366" s="385"/>
      <c r="C6366" s="393"/>
      <c r="D6366" s="398"/>
      <c r="E6366" s="388"/>
      <c r="F6366" s="388"/>
      <c r="G6366" s="388"/>
      <c r="H6366" s="395"/>
      <c r="I6366" s="388"/>
      <c r="J6366" s="396"/>
      <c r="K6366" s="396"/>
      <c r="L6366" s="404"/>
      <c r="M6366" s="399"/>
      <c r="N6366" s="399"/>
      <c r="O6366" s="396"/>
      <c r="P6366" s="389"/>
      <c r="Q6366" s="396"/>
      <c r="R6366" s="396"/>
      <c r="S6366" s="396"/>
      <c r="T6366" s="396"/>
      <c r="U6366" s="401"/>
      <c r="V6366" s="396"/>
      <c r="W6366" s="399"/>
      <c r="X6366" s="396"/>
      <c r="Y6366" s="389"/>
      <c r="Z6366" s="396"/>
      <c r="AA6366" s="388"/>
      <c r="AB6366" s="390"/>
    </row>
    <row r="6367" spans="1:28">
      <c r="A6367" s="384" t="str">
        <f t="shared" ref="A6367:B6367" si="20646">A6355</f>
        <v>Lantai Atap</v>
      </c>
      <c r="B6367" s="385">
        <f t="shared" si="20646"/>
        <v>6</v>
      </c>
      <c r="C6367" s="393" t="s">
        <v>208</v>
      </c>
      <c r="D6367" s="398">
        <f>VLOOKUP(D6355,'Detail Balok'!$C$10:$AU$140,13,FALSE)</f>
        <v>0</v>
      </c>
      <c r="E6367" s="388" t="s">
        <v>16</v>
      </c>
      <c r="F6367" s="388">
        <f>VLOOKUP(D6355,'Detail Balok'!$C$10:$AU$140,15,FALSE)</f>
        <v>8</v>
      </c>
      <c r="G6367" s="388"/>
      <c r="H6367" s="395"/>
      <c r="I6367" s="388"/>
      <c r="J6367" s="399">
        <f t="shared" ref="J6367" si="20647">+D6357/1000</f>
        <v>3.9249999999999998</v>
      </c>
      <c r="K6367" s="400" t="s">
        <v>204</v>
      </c>
      <c r="L6367" s="399">
        <f t="shared" ref="L6367" si="20648">2*$F$16*F6367/1000</f>
        <v>0.192</v>
      </c>
      <c r="M6367" s="399" t="s">
        <v>176</v>
      </c>
      <c r="N6367" s="399">
        <f t="shared" ref="N6367" si="20649">J6367+L6367</f>
        <v>4.117</v>
      </c>
      <c r="O6367" s="399" t="s">
        <v>204</v>
      </c>
      <c r="P6367" s="389">
        <f t="shared" ref="P6367" si="20650">IF(N6367&gt;12,ROUNDDOWN(N6367/12,0),0)</f>
        <v>0</v>
      </c>
      <c r="Q6367" s="399" t="s">
        <v>125</v>
      </c>
      <c r="R6367" s="399">
        <f t="shared" ref="R6367" si="20651">IF(P6367&gt;0,MAX(VLOOKUP(F6367,$D$6:$G$15,3,FALSE),600),0)/1000</f>
        <v>0</v>
      </c>
      <c r="S6367" s="399"/>
      <c r="T6367" s="399" t="s">
        <v>125</v>
      </c>
      <c r="U6367" s="401">
        <f t="shared" ref="U6367" si="20652">0.006165*F6367^2</f>
        <v>0.39456000000000002</v>
      </c>
      <c r="V6367" s="399" t="s">
        <v>125</v>
      </c>
      <c r="W6367" s="399">
        <f t="shared" ref="W6367" si="20653">+D6367</f>
        <v>0</v>
      </c>
      <c r="X6367" s="399" t="s">
        <v>125</v>
      </c>
      <c r="Y6367" s="389">
        <f t="shared" ref="Y6367" si="20654">D6361</f>
        <v>1</v>
      </c>
      <c r="Z6367" s="400" t="s">
        <v>176</v>
      </c>
      <c r="AA6367" s="402">
        <f t="shared" ref="AA6367" si="20655">(N6367+P6367*R6367/1000)*U6367*W6367*Y6367</f>
        <v>0</v>
      </c>
      <c r="AB6367" s="403"/>
    </row>
    <row r="6368" spans="1:28">
      <c r="A6368" s="384"/>
      <c r="B6368" s="385"/>
      <c r="C6368" s="393"/>
      <c r="D6368" s="398"/>
      <c r="E6368" s="388"/>
      <c r="F6368" s="388"/>
      <c r="G6368" s="388"/>
      <c r="H6368" s="395"/>
      <c r="I6368" s="388"/>
      <c r="J6368" s="399"/>
      <c r="K6368" s="400"/>
      <c r="L6368" s="399"/>
      <c r="M6368" s="399"/>
      <c r="N6368" s="399"/>
      <c r="O6368" s="399"/>
      <c r="P6368" s="389"/>
      <c r="Q6368" s="399"/>
      <c r="R6368" s="399"/>
      <c r="S6368" s="399"/>
      <c r="T6368" s="399"/>
      <c r="U6368" s="401"/>
      <c r="V6368" s="399"/>
      <c r="W6368" s="399"/>
      <c r="X6368" s="399"/>
      <c r="Y6368" s="389"/>
      <c r="Z6368" s="400"/>
      <c r="AA6368" s="402"/>
      <c r="AB6368" s="403"/>
    </row>
    <row r="6369" spans="1:28">
      <c r="A6369" s="384"/>
      <c r="B6369" s="385"/>
      <c r="C6369" s="393"/>
      <c r="D6369" s="398"/>
      <c r="E6369" s="388"/>
      <c r="F6369" s="388"/>
      <c r="G6369" s="388"/>
      <c r="H6369" s="395"/>
      <c r="I6369" s="388"/>
      <c r="J6369" s="396"/>
      <c r="K6369" s="396"/>
      <c r="L6369" s="396"/>
      <c r="M6369" s="396"/>
      <c r="N6369" s="396"/>
      <c r="O6369" s="396"/>
      <c r="P6369" s="389"/>
      <c r="Q6369" s="396"/>
      <c r="R6369" s="396"/>
      <c r="S6369" s="396"/>
      <c r="T6369" s="396"/>
      <c r="U6369" s="401"/>
      <c r="V6369" s="396"/>
      <c r="W6369" s="399"/>
      <c r="X6369" s="396"/>
      <c r="Y6369" s="389"/>
      <c r="Z6369" s="396"/>
      <c r="AA6369" s="388"/>
      <c r="AB6369" s="390"/>
    </row>
    <row r="6370" spans="1:28">
      <c r="A6370" s="384" t="str">
        <f t="shared" ref="A6370:B6370" si="20656">A6355</f>
        <v>Lantai Atap</v>
      </c>
      <c r="B6370" s="385">
        <f t="shared" si="20656"/>
        <v>6</v>
      </c>
      <c r="C6370" s="393" t="s">
        <v>209</v>
      </c>
      <c r="D6370" s="398">
        <f>VLOOKUP(D6355,'Detail Balok'!$C$10:$AU$140,22,FALSE)</f>
        <v>3</v>
      </c>
      <c r="E6370" s="388" t="s">
        <v>16</v>
      </c>
      <c r="F6370" s="388">
        <f>VLOOKUP(D6355,'Detail Balok'!$C$10:$AU$140,24,FALSE)</f>
        <v>13</v>
      </c>
      <c r="G6370" s="388"/>
      <c r="H6370" s="395"/>
      <c r="I6370" s="388" t="s">
        <v>203</v>
      </c>
      <c r="J6370" s="399">
        <f t="shared" si="20556"/>
        <v>0.98124999999999996</v>
      </c>
      <c r="K6370" s="400" t="s">
        <v>204</v>
      </c>
      <c r="L6370" s="399">
        <f t="shared" ref="L6370" si="20657">MAX(VLOOKUP(F6370,N$6:P$15,3,FALSE)/1000,2/3*D6360/1000)+F$16*F6370/1000</f>
        <v>0.156</v>
      </c>
      <c r="M6370" s="399" t="s">
        <v>176</v>
      </c>
      <c r="N6370" s="399">
        <f t="shared" ref="N6370:N6372" si="20658">J6370+L6370</f>
        <v>1.1372499999999999</v>
      </c>
      <c r="O6370" s="399" t="s">
        <v>204</v>
      </c>
      <c r="P6370" s="389">
        <f t="shared" ref="P6370" si="20659">D6370-D6371</f>
        <v>0</v>
      </c>
      <c r="Q6370" s="399" t="s">
        <v>125</v>
      </c>
      <c r="R6370" s="399">
        <f t="shared" ref="R6370" si="20660">IF(P6370&gt;0,$F$18*F6370/1000,0)</f>
        <v>0</v>
      </c>
      <c r="S6370" s="399" t="s">
        <v>205</v>
      </c>
      <c r="T6370" s="399" t="s">
        <v>125</v>
      </c>
      <c r="U6370" s="401">
        <f t="shared" ref="U6370:U6372" si="20661">0.006165*F6370^2</f>
        <v>1.041885</v>
      </c>
      <c r="V6370" s="399"/>
      <c r="W6370" s="399"/>
      <c r="X6370" s="399" t="s">
        <v>125</v>
      </c>
      <c r="Y6370" s="389">
        <f t="shared" ref="Y6370" si="20662">D6361</f>
        <v>1</v>
      </c>
      <c r="Z6370" s="400" t="s">
        <v>176</v>
      </c>
      <c r="AA6370" s="402">
        <f t="shared" ref="AA6370" si="20663">IF(AA6373=0,(D6370*N6370+P6370*R6370)*U6370*Y6370,0)</f>
        <v>0</v>
      </c>
      <c r="AB6370" s="403"/>
    </row>
    <row r="6371" spans="1:28">
      <c r="A6371" s="384" t="str">
        <f t="shared" ref="A6371:B6371" si="20664">A6355</f>
        <v>Lantai Atap</v>
      </c>
      <c r="B6371" s="385">
        <f t="shared" si="20664"/>
        <v>6</v>
      </c>
      <c r="C6371" s="393" t="s">
        <v>210</v>
      </c>
      <c r="D6371" s="398">
        <f>VLOOKUP(D6355,'Detail Balok'!$C$10:$AU$140,25,FALSE)</f>
        <v>3</v>
      </c>
      <c r="E6371" s="388" t="s">
        <v>16</v>
      </c>
      <c r="F6371" s="388">
        <f>VLOOKUP(D6355,'Detail Balok'!$C$10:$AU$140,27,FALSE)</f>
        <v>13</v>
      </c>
      <c r="G6371" s="388"/>
      <c r="H6371" s="395"/>
      <c r="I6371" s="388" t="s">
        <v>203</v>
      </c>
      <c r="J6371" s="399">
        <f t="shared" si="20556"/>
        <v>1.9624999999999999</v>
      </c>
      <c r="K6371" s="400" t="s">
        <v>204</v>
      </c>
      <c r="L6371" s="399"/>
      <c r="M6371" s="399" t="s">
        <v>176</v>
      </c>
      <c r="N6371" s="399">
        <f t="shared" si="20658"/>
        <v>1.9624999999999999</v>
      </c>
      <c r="O6371" s="399" t="s">
        <v>204</v>
      </c>
      <c r="P6371" s="389">
        <f t="shared" ref="P6371" si="20665">MAX(D6371-D6370,D6371-D6372)</f>
        <v>0</v>
      </c>
      <c r="Q6371" s="399" t="s">
        <v>125</v>
      </c>
      <c r="R6371" s="399">
        <f t="shared" ref="R6371" si="20666">IF(P6371&gt;0,2*(1-2*$F$19-1/2)*D6358/1000,0)</f>
        <v>0</v>
      </c>
      <c r="S6371" s="399" t="s">
        <v>205</v>
      </c>
      <c r="T6371" s="399" t="s">
        <v>125</v>
      </c>
      <c r="U6371" s="401">
        <f t="shared" si="20661"/>
        <v>1.041885</v>
      </c>
      <c r="V6371" s="399"/>
      <c r="W6371" s="399"/>
      <c r="X6371" s="399" t="s">
        <v>125</v>
      </c>
      <c r="Y6371" s="389">
        <f t="shared" ref="Y6371" si="20667">D6361</f>
        <v>1</v>
      </c>
      <c r="Z6371" s="400" t="s">
        <v>176</v>
      </c>
      <c r="AA6371" s="402">
        <f t="shared" ref="AA6371" si="20668">IF(AA6373=0,(D6371*N6371+P6371*R6371)*U6371*Y6371,0)</f>
        <v>0</v>
      </c>
      <c r="AB6371" s="403"/>
    </row>
    <row r="6372" spans="1:28">
      <c r="A6372" s="384" t="str">
        <f t="shared" ref="A6372:B6372" si="20669">A6355</f>
        <v>Lantai Atap</v>
      </c>
      <c r="B6372" s="385">
        <f t="shared" si="20669"/>
        <v>6</v>
      </c>
      <c r="C6372" s="393" t="s">
        <v>209</v>
      </c>
      <c r="D6372" s="398">
        <f>VLOOKUP(D6355,'Detail Balok'!$C$10:$AU$140,28,FALSE)</f>
        <v>3</v>
      </c>
      <c r="E6372" s="388" t="s">
        <v>16</v>
      </c>
      <c r="F6372" s="388">
        <f>VLOOKUP(D6355,'Detail Balok'!$C$10:$AU$140,30,FALSE)</f>
        <v>13</v>
      </c>
      <c r="G6372" s="388"/>
      <c r="H6372" s="395"/>
      <c r="I6372" s="388" t="s">
        <v>203</v>
      </c>
      <c r="J6372" s="399">
        <f t="shared" si="20556"/>
        <v>0.98124999999999996</v>
      </c>
      <c r="K6372" s="400" t="s">
        <v>204</v>
      </c>
      <c r="L6372" s="399">
        <f t="shared" ref="L6372" si="20670">MAX(VLOOKUP(F6372,N$6:P$15,3,FALSE)/1000,2/3*D6360/1000)+F$16*F6372/1000</f>
        <v>0.156</v>
      </c>
      <c r="M6372" s="399" t="s">
        <v>176</v>
      </c>
      <c r="N6372" s="399">
        <f t="shared" si="20658"/>
        <v>1.1372499999999999</v>
      </c>
      <c r="O6372" s="399" t="s">
        <v>204</v>
      </c>
      <c r="P6372" s="389">
        <f t="shared" ref="P6372" si="20671">D6372-D6371</f>
        <v>0</v>
      </c>
      <c r="Q6372" s="399" t="s">
        <v>125</v>
      </c>
      <c r="R6372" s="399">
        <f t="shared" ref="R6372" si="20672">IF(P6372&gt;0,$F$18*F6372/1000,0)</f>
        <v>0</v>
      </c>
      <c r="S6372" s="399" t="s">
        <v>205</v>
      </c>
      <c r="T6372" s="399" t="s">
        <v>125</v>
      </c>
      <c r="U6372" s="401">
        <f t="shared" si="20661"/>
        <v>1.041885</v>
      </c>
      <c r="V6372" s="399"/>
      <c r="W6372" s="399"/>
      <c r="X6372" s="399" t="s">
        <v>125</v>
      </c>
      <c r="Y6372" s="389">
        <f t="shared" ref="Y6372" si="20673">D6361</f>
        <v>1</v>
      </c>
      <c r="Z6372" s="400" t="s">
        <v>176</v>
      </c>
      <c r="AA6372" s="402">
        <f t="shared" ref="AA6372" si="20674">IF(AA6373=0,(D6372*N6372+P6372*R6372)*U6372*Y6372,0)</f>
        <v>0</v>
      </c>
      <c r="AB6372" s="403"/>
    </row>
    <row r="6373" spans="1:28">
      <c r="A6373" s="384" t="str">
        <f t="shared" ref="A6373:B6373" si="20675">A6355</f>
        <v>Lantai Atap</v>
      </c>
      <c r="B6373" s="385">
        <f t="shared" si="20675"/>
        <v>6</v>
      </c>
      <c r="C6373" s="393"/>
      <c r="D6373" s="398">
        <f t="shared" si="20576"/>
        <v>3</v>
      </c>
      <c r="E6373" s="388" t="s">
        <v>16</v>
      </c>
      <c r="F6373" s="388">
        <f t="shared" si="20577"/>
        <v>13</v>
      </c>
      <c r="G6373" s="388"/>
      <c r="H6373" s="395"/>
      <c r="I6373" s="388"/>
      <c r="J6373" s="396"/>
      <c r="K6373" s="396"/>
      <c r="L6373" s="404" t="s">
        <v>207</v>
      </c>
      <c r="M6373" s="399" t="s">
        <v>176</v>
      </c>
      <c r="N6373" s="399">
        <f t="shared" ref="N6373" si="20676">IF(AND(D6370=D6371,D6370=D6372,D6371=D6372,F6370=F6371,F6370=F6372,F6371=F6372),SUM(N6370:N6372),0)</f>
        <v>4.2370000000000001</v>
      </c>
      <c r="O6373" s="399" t="s">
        <v>204</v>
      </c>
      <c r="P6373" s="389">
        <f t="shared" ref="P6373" si="20677">IF(N6373&gt;12,ROUNDDOWN(N6373/12,0),0)</f>
        <v>0</v>
      </c>
      <c r="Q6373" s="399" t="s">
        <v>125</v>
      </c>
      <c r="R6373" s="399">
        <f t="shared" ref="R6373" si="20678">IF(P6373&gt;0,MAX(VLOOKUP(F6373,$D$6:$G$15,3,FALSE),600),0)/1000</f>
        <v>0</v>
      </c>
      <c r="S6373" s="396"/>
      <c r="T6373" s="396" t="s">
        <v>125</v>
      </c>
      <c r="U6373" s="401">
        <f t="shared" si="20581"/>
        <v>1.041885</v>
      </c>
      <c r="V6373" s="396" t="s">
        <v>125</v>
      </c>
      <c r="W6373" s="399">
        <f t="shared" ref="W6373" si="20679">D6373</f>
        <v>3</v>
      </c>
      <c r="X6373" s="399" t="s">
        <v>125</v>
      </c>
      <c r="Y6373" s="389">
        <f t="shared" si="20583"/>
        <v>1</v>
      </c>
      <c r="Z6373" s="400" t="s">
        <v>176</v>
      </c>
      <c r="AA6373" s="402">
        <f t="shared" ref="AA6373" si="20680">(N6373+P6373*R6373/1000)*U6373*W6373*Y6373</f>
        <v>13.243400234999999</v>
      </c>
      <c r="AB6373" s="403"/>
    </row>
    <row r="6374" spans="1:28">
      <c r="A6374" s="384"/>
      <c r="B6374" s="385"/>
      <c r="C6374" s="393"/>
      <c r="D6374" s="394"/>
      <c r="E6374" s="388"/>
      <c r="F6374" s="388"/>
      <c r="G6374" s="388"/>
      <c r="H6374" s="395"/>
      <c r="I6374" s="388"/>
      <c r="J6374" s="399"/>
      <c r="K6374" s="396"/>
      <c r="L6374" s="396"/>
      <c r="M6374" s="396"/>
      <c r="N6374" s="396"/>
      <c r="O6374" s="396"/>
      <c r="P6374" s="389"/>
      <c r="Q6374" s="396"/>
      <c r="R6374" s="396"/>
      <c r="S6374" s="396"/>
      <c r="T6374" s="396"/>
      <c r="U6374" s="401"/>
      <c r="V6374" s="396"/>
      <c r="W6374" s="388"/>
      <c r="X6374" s="396"/>
      <c r="Y6374" s="389"/>
      <c r="Z6374" s="396"/>
      <c r="AA6374" s="388"/>
      <c r="AB6374" s="390"/>
    </row>
    <row r="6375" spans="1:28">
      <c r="A6375" s="384" t="str">
        <f t="shared" ref="A6375:B6375" si="20681">A6355</f>
        <v>Lantai Atap</v>
      </c>
      <c r="B6375" s="385">
        <f t="shared" si="20681"/>
        <v>6</v>
      </c>
      <c r="C6375" s="393" t="s">
        <v>211</v>
      </c>
      <c r="D6375" s="398">
        <f>VLOOKUP(D6355,'Detail Balok'!$C$10:$AU$140,31,FALSE)</f>
        <v>0</v>
      </c>
      <c r="E6375" s="388" t="s">
        <v>16</v>
      </c>
      <c r="F6375" s="388">
        <f>VLOOKUP(D6355,'Detail Balok'!$C$10:$AU$140,33,FALSE)</f>
        <v>10</v>
      </c>
      <c r="G6375" s="405" t="s">
        <v>157</v>
      </c>
      <c r="H6375" s="395">
        <f>VLOOKUP(D6355,'Detail Balok'!$C$10:$AU$140,35,FALSE)</f>
        <v>100</v>
      </c>
      <c r="I6375" s="388"/>
      <c r="J6375" s="400">
        <f t="shared" ref="J6375" si="20682">(IF(D6375=0,(2*(D6356+G6356))-(F$5*8),IF(D6375=3,(2*(D6356+G6356))-(F$5*8)+(G6356-2*F$5),IF(D6375=4,(2*(D6356+G6356))-(F$5*8)+2*(G6356-2*F$5)))))/1000</f>
        <v>0.88</v>
      </c>
      <c r="K6375" s="400" t="s">
        <v>204</v>
      </c>
      <c r="L6375" s="399">
        <f t="shared" ref="L6375:L6377" si="20683">IF(D6375=0,2*MAX(6*F6375,75),(D6375-1)*2*MAX(6*F6375,75))/1000</f>
        <v>0.15</v>
      </c>
      <c r="M6375" s="399" t="s">
        <v>176</v>
      </c>
      <c r="N6375" s="399">
        <f t="shared" ref="N6375:N6377" si="20684">J6375+L6375</f>
        <v>1.03</v>
      </c>
      <c r="O6375" s="399"/>
      <c r="P6375" s="389"/>
      <c r="Q6375" s="399"/>
      <c r="R6375" s="399"/>
      <c r="S6375" s="399"/>
      <c r="T6375" s="399" t="s">
        <v>125</v>
      </c>
      <c r="U6375" s="401">
        <f t="shared" ref="U6375:U6377" si="20685">0.006165*F6375^2</f>
        <v>0.61650000000000005</v>
      </c>
      <c r="V6375" s="399" t="s">
        <v>125</v>
      </c>
      <c r="W6375" s="399">
        <f t="shared" ref="W6375" si="20686">IF(D6358&gt;4*G6356,ROUND(MAX(D6358/4,2*G6356)/H6375,0)+1,ROUND(D6358/H6375,0)+1)</f>
        <v>11</v>
      </c>
      <c r="X6375" s="399" t="s">
        <v>125</v>
      </c>
      <c r="Y6375" s="389">
        <f t="shared" ref="Y6375" si="20687">D6361</f>
        <v>1</v>
      </c>
      <c r="Z6375" s="400" t="s">
        <v>176</v>
      </c>
      <c r="AA6375" s="402">
        <f t="shared" ref="AA6375:AA6377" si="20688">N6375*U6375*W6375*Y6375</f>
        <v>6.9849450000000006</v>
      </c>
      <c r="AB6375" s="403"/>
    </row>
    <row r="6376" spans="1:28">
      <c r="A6376" s="384" t="str">
        <f t="shared" ref="A6376:B6376" si="20689">A6355</f>
        <v>Lantai Atap</v>
      </c>
      <c r="B6376" s="385">
        <f t="shared" si="20689"/>
        <v>6</v>
      </c>
      <c r="C6376" s="393" t="s">
        <v>212</v>
      </c>
      <c r="D6376" s="398">
        <f>VLOOKUP(D6355,'Detail Balok'!$C$10:$AU$140,36,FALSE)</f>
        <v>0</v>
      </c>
      <c r="E6376" s="388" t="s">
        <v>16</v>
      </c>
      <c r="F6376" s="388">
        <f>VLOOKUP(D6355,'Detail Balok'!$C$10:$AU$140,38,FALSE)</f>
        <v>10</v>
      </c>
      <c r="G6376" s="405" t="s">
        <v>157</v>
      </c>
      <c r="H6376" s="395">
        <f>VLOOKUP(D6355,'Detail Balok'!$C$10:$AU$140,40,FALSE)</f>
        <v>200</v>
      </c>
      <c r="I6376" s="388"/>
      <c r="J6376" s="400">
        <f t="shared" ref="J6376" si="20690">(IF(D6376=0,(2*(D6356+G6356))-(F$5*8),IF(D6376=3,(2*(D6356+G6356))-(F$5*8)+(G6356-2*F$5),IF(D6376=4,(2*(D6356+G6356))-(F$5*8)+2*(G6356-2*F$5)))))/1000</f>
        <v>0.88</v>
      </c>
      <c r="K6376" s="400" t="s">
        <v>204</v>
      </c>
      <c r="L6376" s="399">
        <f t="shared" si="20683"/>
        <v>0.15</v>
      </c>
      <c r="M6376" s="399" t="s">
        <v>176</v>
      </c>
      <c r="N6376" s="399">
        <f t="shared" si="20684"/>
        <v>1.03</v>
      </c>
      <c r="O6376" s="399"/>
      <c r="P6376" s="389"/>
      <c r="Q6376" s="399"/>
      <c r="R6376" s="399"/>
      <c r="S6376" s="399"/>
      <c r="T6376" s="399" t="s">
        <v>125</v>
      </c>
      <c r="U6376" s="401">
        <f t="shared" si="20685"/>
        <v>0.61650000000000005</v>
      </c>
      <c r="V6376" s="399" t="s">
        <v>125</v>
      </c>
      <c r="W6376" s="399">
        <f t="shared" ref="W6376" si="20691">IF(D6358-MAX(D6358/4,2*G6356)*2&gt;0,ROUND((D6358-MAX(D6358/4,2*G6356)*2)/H6376,0),0)</f>
        <v>10</v>
      </c>
      <c r="X6376" s="399" t="s">
        <v>125</v>
      </c>
      <c r="Y6376" s="389">
        <f t="shared" ref="Y6376" si="20692">D6361</f>
        <v>1</v>
      </c>
      <c r="Z6376" s="400" t="s">
        <v>176</v>
      </c>
      <c r="AA6376" s="402">
        <f t="shared" si="20688"/>
        <v>6.3499500000000006</v>
      </c>
      <c r="AB6376" s="403"/>
    </row>
    <row r="6377" spans="1:28">
      <c r="A6377" s="384" t="str">
        <f t="shared" ref="A6377:B6377" si="20693">A6355</f>
        <v>Lantai Atap</v>
      </c>
      <c r="B6377" s="385">
        <f t="shared" si="20693"/>
        <v>6</v>
      </c>
      <c r="C6377" s="393" t="s">
        <v>211</v>
      </c>
      <c r="D6377" s="398">
        <f>VLOOKUP(D6355,'Detail Balok'!$C$10:$AU$140,41,FALSE)</f>
        <v>0</v>
      </c>
      <c r="E6377" s="388" t="s">
        <v>16</v>
      </c>
      <c r="F6377" s="388">
        <f>VLOOKUP(D6355,'Detail Balok'!$C$10:$AU$140,43,FALSE)</f>
        <v>10</v>
      </c>
      <c r="G6377" s="405" t="s">
        <v>157</v>
      </c>
      <c r="H6377" s="395">
        <f>VLOOKUP(D6355,'Detail Balok'!$C$10:$AU$140,45,FALSE)</f>
        <v>100</v>
      </c>
      <c r="I6377" s="388"/>
      <c r="J6377" s="400">
        <f t="shared" ref="J6377" si="20694">(IF(D6377=0,(2*(D6356+G6356))-(F$5*8),IF(D6377=3,(2*(D6356+G6356))-(F$5*8)+(G6356-2*F$5),IF(D6377=4,(2*(D6356+G6356))-(F$5*8)+2*(G6356-2*F$5)))))/1000</f>
        <v>0.88</v>
      </c>
      <c r="K6377" s="400" t="s">
        <v>204</v>
      </c>
      <c r="L6377" s="399">
        <f t="shared" si="20683"/>
        <v>0.15</v>
      </c>
      <c r="M6377" s="399" t="s">
        <v>176</v>
      </c>
      <c r="N6377" s="399">
        <f t="shared" si="20684"/>
        <v>1.03</v>
      </c>
      <c r="O6377" s="399"/>
      <c r="P6377" s="389"/>
      <c r="Q6377" s="399"/>
      <c r="R6377" s="399"/>
      <c r="S6377" s="399"/>
      <c r="T6377" s="399" t="s">
        <v>125</v>
      </c>
      <c r="U6377" s="401">
        <f t="shared" si="20685"/>
        <v>0.61650000000000005</v>
      </c>
      <c r="V6377" s="399" t="s">
        <v>125</v>
      </c>
      <c r="W6377" s="399">
        <f t="shared" ref="W6377" si="20695">IF(D6358&gt;4*G6356,ROUND(MAX(D6358/4,2*G6356)/H6377,0)+1,0)</f>
        <v>11</v>
      </c>
      <c r="X6377" s="399" t="s">
        <v>125</v>
      </c>
      <c r="Y6377" s="389">
        <f t="shared" ref="Y6377" si="20696">D6361</f>
        <v>1</v>
      </c>
      <c r="Z6377" s="400" t="s">
        <v>176</v>
      </c>
      <c r="AA6377" s="402">
        <f t="shared" si="20688"/>
        <v>6.9849450000000006</v>
      </c>
      <c r="AB6377" s="403"/>
    </row>
    <row r="6378" spans="1:28">
      <c r="A6378" s="384"/>
      <c r="B6378" s="385"/>
      <c r="C6378" s="393"/>
      <c r="D6378" s="394"/>
      <c r="E6378" s="388"/>
      <c r="F6378" s="388"/>
      <c r="G6378" s="388"/>
      <c r="H6378" s="395"/>
      <c r="I6378" s="388"/>
      <c r="J6378" s="399"/>
      <c r="K6378" s="396"/>
      <c r="L6378" s="396"/>
      <c r="M6378" s="396"/>
      <c r="N6378" s="396"/>
      <c r="O6378" s="396"/>
      <c r="P6378" s="389"/>
      <c r="Q6378" s="396"/>
      <c r="R6378" s="396"/>
      <c r="S6378" s="396"/>
      <c r="T6378" s="396"/>
      <c r="U6378" s="401"/>
      <c r="V6378" s="396"/>
      <c r="W6378" s="388"/>
      <c r="X6378" s="396"/>
      <c r="Y6378" s="389"/>
      <c r="Z6378" s="396"/>
      <c r="AA6378" s="388"/>
      <c r="AB6378" s="390"/>
    </row>
    <row r="6379" spans="1:28">
      <c r="A6379" s="384" t="str">
        <f t="shared" ref="A6379:B6379" si="20697">A6355</f>
        <v>Lantai Atap</v>
      </c>
      <c r="B6379" s="385">
        <f t="shared" si="20697"/>
        <v>6</v>
      </c>
      <c r="C6379" s="393" t="s">
        <v>213</v>
      </c>
      <c r="D6379" s="398">
        <f>VLOOKUP(D6355,'Detail Balok'!$C$10:$BJ$140,46,FALSE)</f>
        <v>0</v>
      </c>
      <c r="E6379" s="388" t="s">
        <v>16</v>
      </c>
      <c r="F6379" s="388">
        <f>VLOOKUP(D6355,'Detail Balok'!$C$10:$BJ$140,48,FALSE)</f>
        <v>0</v>
      </c>
      <c r="G6379" s="405" t="s">
        <v>157</v>
      </c>
      <c r="H6379" s="395">
        <f>VLOOKUP(D6355,'Detail Balok'!$C$10:$BJ$140,50,FALSE)</f>
        <v>100</v>
      </c>
      <c r="I6379" s="388"/>
      <c r="J6379" s="399">
        <f t="shared" ref="J6379" si="20698">(D6356-2*F$5)/1000</f>
        <v>0.12</v>
      </c>
      <c r="K6379" s="400" t="s">
        <v>204</v>
      </c>
      <c r="L6379" s="399">
        <f t="shared" ref="L6379:L6381" si="20699">IF(D6379=0,2*MAX(6*F6379,75),(D6379-1)*2*MAX(6*F6379,75))/1000</f>
        <v>0.15</v>
      </c>
      <c r="M6379" s="399" t="s">
        <v>176</v>
      </c>
      <c r="N6379" s="399">
        <f t="shared" ref="N6379:N6381" si="20700">J6379+L6379</f>
        <v>0.27</v>
      </c>
      <c r="O6379" s="399"/>
      <c r="P6379" s="399"/>
      <c r="Q6379" s="399"/>
      <c r="R6379" s="399"/>
      <c r="S6379" s="399"/>
      <c r="T6379" s="399" t="s">
        <v>125</v>
      </c>
      <c r="U6379" s="401">
        <f t="shared" ref="U6379:U6381" si="20701">0.006165*F6379^2</f>
        <v>0</v>
      </c>
      <c r="V6379" s="399" t="s">
        <v>125</v>
      </c>
      <c r="W6379" s="399">
        <f t="shared" si="20606"/>
        <v>11</v>
      </c>
      <c r="X6379" s="399" t="s">
        <v>125</v>
      </c>
      <c r="Y6379" s="389">
        <f t="shared" ref="Y6379" si="20702">D6365</f>
        <v>3</v>
      </c>
      <c r="Z6379" s="400" t="s">
        <v>176</v>
      </c>
      <c r="AA6379" s="402">
        <f t="shared" ref="AA6379:AA6381" si="20703">N6379*U6379*W6379*Y6379</f>
        <v>0</v>
      </c>
      <c r="AB6379" s="403"/>
    </row>
    <row r="6380" spans="1:28">
      <c r="A6380" s="384" t="str">
        <f t="shared" ref="A6380:B6380" si="20704">A6355</f>
        <v>Lantai Atap</v>
      </c>
      <c r="B6380" s="385">
        <f t="shared" si="20704"/>
        <v>6</v>
      </c>
      <c r="C6380" s="393" t="s">
        <v>214</v>
      </c>
      <c r="D6380" s="398">
        <f>VLOOKUP(D6355,'Detail Balok'!$C$10:$BJ$140,51,FALSE)</f>
        <v>0</v>
      </c>
      <c r="E6380" s="388" t="s">
        <v>16</v>
      </c>
      <c r="F6380" s="388">
        <f>VLOOKUP(D6355,'Detail Balok'!$C$10:$BJ$140,53,FALSE)</f>
        <v>0</v>
      </c>
      <c r="G6380" s="405" t="s">
        <v>157</v>
      </c>
      <c r="H6380" s="395">
        <f>VLOOKUP(D6355,'Detail Balok'!$C$10:$BJ$140,55,FALSE)</f>
        <v>100</v>
      </c>
      <c r="I6380" s="388"/>
      <c r="J6380" s="399">
        <f t="shared" ref="J6380" si="20705">(D6356-2*F$5)/1000</f>
        <v>0.12</v>
      </c>
      <c r="K6380" s="400" t="s">
        <v>204</v>
      </c>
      <c r="L6380" s="399">
        <f t="shared" si="20699"/>
        <v>0.15</v>
      </c>
      <c r="M6380" s="399" t="s">
        <v>176</v>
      </c>
      <c r="N6380" s="399">
        <f t="shared" si="20700"/>
        <v>0.27</v>
      </c>
      <c r="O6380" s="399"/>
      <c r="P6380" s="399"/>
      <c r="Q6380" s="399"/>
      <c r="R6380" s="399"/>
      <c r="S6380" s="399"/>
      <c r="T6380" s="399" t="s">
        <v>125</v>
      </c>
      <c r="U6380" s="401">
        <f t="shared" si="20701"/>
        <v>0</v>
      </c>
      <c r="V6380" s="399" t="s">
        <v>125</v>
      </c>
      <c r="W6380" s="399">
        <f t="shared" si="20606"/>
        <v>10</v>
      </c>
      <c r="X6380" s="399" t="s">
        <v>125</v>
      </c>
      <c r="Y6380" s="389">
        <f t="shared" ref="Y6380" si="20706">D6365</f>
        <v>3</v>
      </c>
      <c r="Z6380" s="400" t="s">
        <v>176</v>
      </c>
      <c r="AA6380" s="402">
        <f t="shared" si="20703"/>
        <v>0</v>
      </c>
      <c r="AB6380" s="403"/>
    </row>
    <row r="6381" spans="1:28">
      <c r="A6381" s="384" t="str">
        <f t="shared" ref="A6381:B6381" si="20707">A6355</f>
        <v>Lantai Atap</v>
      </c>
      <c r="B6381" s="385">
        <f t="shared" si="20707"/>
        <v>6</v>
      </c>
      <c r="C6381" s="393" t="s">
        <v>213</v>
      </c>
      <c r="D6381" s="398">
        <f>VLOOKUP(D6355,'Detail Balok'!$C$10:$BJ$140,56,FALSE)</f>
        <v>0</v>
      </c>
      <c r="E6381" s="388" t="s">
        <v>16</v>
      </c>
      <c r="F6381" s="388">
        <f>VLOOKUP(D6355,'Detail Balok'!$C$10:$BJ$140,58,FALSE)</f>
        <v>0</v>
      </c>
      <c r="G6381" s="405" t="s">
        <v>157</v>
      </c>
      <c r="H6381" s="395">
        <f>VLOOKUP(D6355,'Detail Balok'!$C$10:$BJ$140,60,FALSE)</f>
        <v>100</v>
      </c>
      <c r="I6381" s="388"/>
      <c r="J6381" s="399">
        <f t="shared" ref="J6381" si="20708">(D6356-2*F$5)/1000</f>
        <v>0.12</v>
      </c>
      <c r="K6381" s="400" t="s">
        <v>204</v>
      </c>
      <c r="L6381" s="399">
        <f t="shared" si="20699"/>
        <v>0.15</v>
      </c>
      <c r="M6381" s="399" t="s">
        <v>176</v>
      </c>
      <c r="N6381" s="399">
        <f t="shared" si="20700"/>
        <v>0.27</v>
      </c>
      <c r="O6381" s="399"/>
      <c r="P6381" s="399"/>
      <c r="Q6381" s="399"/>
      <c r="R6381" s="399"/>
      <c r="S6381" s="399"/>
      <c r="T6381" s="399" t="s">
        <v>125</v>
      </c>
      <c r="U6381" s="401">
        <f t="shared" si="20701"/>
        <v>0</v>
      </c>
      <c r="V6381" s="399" t="s">
        <v>125</v>
      </c>
      <c r="W6381" s="399">
        <f t="shared" si="20606"/>
        <v>11</v>
      </c>
      <c r="X6381" s="399" t="s">
        <v>125</v>
      </c>
      <c r="Y6381" s="389">
        <f t="shared" ref="Y6381" si="20709">D6365</f>
        <v>3</v>
      </c>
      <c r="Z6381" s="400" t="s">
        <v>176</v>
      </c>
      <c r="AA6381" s="402">
        <f t="shared" si="20703"/>
        <v>0</v>
      </c>
      <c r="AB6381" s="403"/>
    </row>
    <row r="6382" spans="1:28">
      <c r="A6382" s="391"/>
      <c r="B6382" s="392"/>
      <c r="C6382" s="392"/>
      <c r="D6382" s="394"/>
      <c r="E6382" s="388"/>
      <c r="F6382" s="388"/>
      <c r="G6382" s="388"/>
      <c r="H6382" s="395"/>
      <c r="I6382" s="388"/>
      <c r="J6382" s="402"/>
      <c r="K6382" s="388"/>
      <c r="L6382" s="388"/>
      <c r="M6382" s="388"/>
      <c r="N6382" s="388"/>
      <c r="O6382" s="388"/>
      <c r="P6382" s="388"/>
      <c r="Q6382" s="388"/>
      <c r="R6382" s="388"/>
      <c r="S6382" s="388"/>
      <c r="T6382" s="388"/>
      <c r="U6382" s="388"/>
      <c r="V6382" s="388"/>
      <c r="W6382" s="388"/>
      <c r="X6382" s="388"/>
      <c r="Y6382" s="389"/>
      <c r="Z6382" s="388"/>
      <c r="AA6382" s="402"/>
      <c r="AB6382" s="403"/>
    </row>
    <row r="6383" spans="1:28" ht="15.75" thickBot="1">
      <c r="A6383" s="406"/>
      <c r="B6383" s="407"/>
      <c r="C6383" s="407"/>
      <c r="D6383" s="408"/>
      <c r="E6383" s="409"/>
      <c r="F6383" s="409"/>
      <c r="G6383" s="409"/>
      <c r="H6383" s="410"/>
      <c r="I6383" s="409"/>
      <c r="J6383" s="409"/>
      <c r="K6383" s="409"/>
      <c r="L6383" s="409"/>
      <c r="M6383" s="409"/>
      <c r="N6383" s="409"/>
      <c r="O6383" s="409"/>
      <c r="P6383" s="409"/>
      <c r="Q6383" s="409"/>
      <c r="R6383" s="409"/>
      <c r="S6383" s="409"/>
      <c r="T6383" s="409"/>
      <c r="U6383" s="409"/>
      <c r="V6383" s="409"/>
      <c r="W6383" s="409"/>
      <c r="X6383" s="409"/>
      <c r="Y6383" s="411"/>
      <c r="Z6383" s="409"/>
      <c r="AA6383" s="412"/>
      <c r="AB6383" s="413"/>
    </row>
    <row r="6384" spans="1:28">
      <c r="A6384" s="377"/>
      <c r="B6384" s="378"/>
      <c r="C6384" s="378"/>
      <c r="D6384" s="379"/>
      <c r="E6384" s="380"/>
      <c r="F6384" s="380"/>
      <c r="G6384" s="380"/>
      <c r="H6384" s="381"/>
      <c r="I6384" s="380"/>
      <c r="J6384" s="380"/>
      <c r="K6384" s="380"/>
      <c r="L6384" s="380"/>
      <c r="M6384" s="380"/>
      <c r="N6384" s="380"/>
      <c r="O6384" s="380"/>
      <c r="P6384" s="380"/>
      <c r="Q6384" s="380"/>
      <c r="R6384" s="380"/>
      <c r="S6384" s="380"/>
      <c r="T6384" s="380"/>
      <c r="U6384" s="380"/>
      <c r="V6384" s="380"/>
      <c r="W6384" s="380"/>
      <c r="X6384" s="380"/>
      <c r="Y6384" s="382"/>
      <c r="Z6384" s="380"/>
      <c r="AA6384" s="380"/>
      <c r="AB6384" s="383"/>
    </row>
    <row r="6385" spans="1:28">
      <c r="A6385" s="384" t="str">
        <f t="shared" si="20615"/>
        <v>Lantai Atap</v>
      </c>
      <c r="B6385" s="385">
        <f t="shared" si="20616"/>
        <v>7</v>
      </c>
      <c r="C6385" s="386" t="str">
        <f t="shared" ref="C6385" si="20710">CONCATENATE(A6385," no. ",B6385)</f>
        <v>Lantai Atap no. 7</v>
      </c>
      <c r="D6385" s="2562" t="str">
        <f>VLOOKUP(C6385,'Data Panjang Balok'!$C$9:$N$254,2,FALSE)</f>
        <v>B2A4A-1</v>
      </c>
      <c r="E6385" s="2576"/>
      <c r="F6385" s="2576"/>
      <c r="G6385" s="2576"/>
      <c r="H6385" s="2577"/>
      <c r="I6385" s="387"/>
      <c r="J6385" s="388"/>
      <c r="K6385" s="388"/>
      <c r="L6385" s="388"/>
      <c r="M6385" s="388"/>
      <c r="N6385" s="388"/>
      <c r="O6385" s="388"/>
      <c r="P6385" s="388"/>
      <c r="Q6385" s="388"/>
      <c r="R6385" s="388"/>
      <c r="S6385" s="388"/>
      <c r="T6385" s="388"/>
      <c r="U6385" s="388"/>
      <c r="V6385" s="388"/>
      <c r="W6385" s="388"/>
      <c r="X6385" s="388"/>
      <c r="Y6385" s="389"/>
      <c r="Z6385" s="388"/>
      <c r="AA6385" s="388"/>
      <c r="AB6385" s="390"/>
    </row>
    <row r="6386" spans="1:28">
      <c r="A6386" s="391"/>
      <c r="B6386" s="392"/>
      <c r="C6386" s="393" t="s">
        <v>118</v>
      </c>
      <c r="D6386" s="2578">
        <f>VLOOKUP(D6385,'Detail Balok'!$C$10:$AU$140,2,FALSE)</f>
        <v>250</v>
      </c>
      <c r="E6386" s="2579"/>
      <c r="F6386" s="388" t="s">
        <v>125</v>
      </c>
      <c r="G6386" s="2579">
        <f>VLOOKUP(D6385,'Detail Balok'!$C$10:$AU$140,3,FALSE)</f>
        <v>450</v>
      </c>
      <c r="H6386" s="2580"/>
      <c r="I6386" s="388"/>
      <c r="J6386" s="396"/>
      <c r="K6386" s="396"/>
      <c r="L6386" s="396"/>
      <c r="M6386" s="396"/>
      <c r="N6386" s="396"/>
      <c r="O6386" s="396"/>
      <c r="P6386" s="396"/>
      <c r="Q6386" s="396"/>
      <c r="R6386" s="396"/>
      <c r="S6386" s="396"/>
      <c r="T6386" s="396"/>
      <c r="U6386" s="388"/>
      <c r="V6386" s="396"/>
      <c r="W6386" s="388"/>
      <c r="X6386" s="396"/>
      <c r="Y6386" s="389"/>
      <c r="Z6386" s="396"/>
      <c r="AA6386" s="388"/>
      <c r="AB6386" s="390"/>
    </row>
    <row r="6387" spans="1:28">
      <c r="A6387" s="391"/>
      <c r="B6387" s="392"/>
      <c r="C6387" s="393" t="s">
        <v>198</v>
      </c>
      <c r="D6387" s="2562">
        <f>VLOOKUP(C6385,'Data Panjang Balok'!$C$9:$N$254,4,FALSE)</f>
        <v>11150</v>
      </c>
      <c r="E6387" s="2563"/>
      <c r="F6387" s="2563"/>
      <c r="G6387" s="2563"/>
      <c r="H6387" s="2564"/>
      <c r="I6387" s="397"/>
      <c r="J6387" s="396"/>
      <c r="K6387" s="396"/>
      <c r="L6387" s="396"/>
      <c r="M6387" s="396"/>
      <c r="N6387" s="396"/>
      <c r="O6387" s="396"/>
      <c r="P6387" s="396"/>
      <c r="Q6387" s="396"/>
      <c r="R6387" s="396"/>
      <c r="S6387" s="396"/>
      <c r="T6387" s="396"/>
      <c r="U6387" s="388"/>
      <c r="V6387" s="396"/>
      <c r="W6387" s="388"/>
      <c r="X6387" s="396"/>
      <c r="Y6387" s="389"/>
      <c r="Z6387" s="396"/>
      <c r="AA6387" s="388"/>
      <c r="AB6387" s="390"/>
    </row>
    <row r="6388" spans="1:28">
      <c r="A6388" s="391"/>
      <c r="B6388" s="392"/>
      <c r="C6388" s="393" t="s">
        <v>199</v>
      </c>
      <c r="D6388" s="2562">
        <f>VLOOKUP(C6385,'Data Panjang Balok'!$C$9:$N$254,7,FALSE)</f>
        <v>11150</v>
      </c>
      <c r="E6388" s="2563"/>
      <c r="F6388" s="2563"/>
      <c r="G6388" s="2563"/>
      <c r="H6388" s="2564"/>
      <c r="I6388" s="397"/>
      <c r="J6388" s="396"/>
      <c r="K6388" s="396"/>
      <c r="L6388" s="396"/>
      <c r="M6388" s="396"/>
      <c r="N6388" s="396"/>
      <c r="O6388" s="396"/>
      <c r="P6388" s="396"/>
      <c r="Q6388" s="396"/>
      <c r="R6388" s="396"/>
      <c r="S6388" s="396"/>
      <c r="T6388" s="396"/>
      <c r="U6388" s="388"/>
      <c r="V6388" s="396"/>
      <c r="W6388" s="388"/>
      <c r="X6388" s="396"/>
      <c r="Y6388" s="389"/>
      <c r="Z6388" s="396"/>
      <c r="AA6388" s="388"/>
      <c r="AB6388" s="390"/>
    </row>
    <row r="6389" spans="1:28">
      <c r="A6389" s="391"/>
      <c r="B6389" s="392"/>
      <c r="C6389" s="393" t="s">
        <v>200</v>
      </c>
      <c r="D6389" s="2562">
        <f>VLOOKUP(C6385,'Data Panjang Balok'!$C$9:$N$254,9,FALSE)</f>
        <v>0</v>
      </c>
      <c r="E6389" s="2563"/>
      <c r="F6389" s="2563"/>
      <c r="G6389" s="2563"/>
      <c r="H6389" s="2564"/>
      <c r="I6389" s="397"/>
      <c r="J6389" s="396"/>
      <c r="K6389" s="396"/>
      <c r="L6389" s="396"/>
      <c r="M6389" s="396"/>
      <c r="N6389" s="396"/>
      <c r="O6389" s="396"/>
      <c r="P6389" s="396"/>
      <c r="Q6389" s="396"/>
      <c r="R6389" s="396"/>
      <c r="S6389" s="396"/>
      <c r="T6389" s="396"/>
      <c r="U6389" s="388"/>
      <c r="V6389" s="396"/>
      <c r="W6389" s="388"/>
      <c r="X6389" s="396"/>
      <c r="Y6389" s="389"/>
      <c r="Z6389" s="396"/>
      <c r="AA6389" s="388"/>
      <c r="AB6389" s="390"/>
    </row>
    <row r="6390" spans="1:28">
      <c r="A6390" s="391"/>
      <c r="B6390" s="392"/>
      <c r="C6390" s="393" t="s">
        <v>201</v>
      </c>
      <c r="D6390" s="2562">
        <f>VLOOKUP(C6385,'Data Panjang Balok'!$C$9:$N$254,10,FALSE)</f>
        <v>0</v>
      </c>
      <c r="E6390" s="2563"/>
      <c r="F6390" s="2563"/>
      <c r="G6390" s="2563"/>
      <c r="H6390" s="2564"/>
      <c r="I6390" s="397"/>
      <c r="J6390" s="396"/>
      <c r="K6390" s="396"/>
      <c r="L6390" s="396"/>
      <c r="M6390" s="396"/>
      <c r="N6390" s="396"/>
      <c r="O6390" s="396"/>
      <c r="P6390" s="396"/>
      <c r="Q6390" s="396"/>
      <c r="R6390" s="396"/>
      <c r="S6390" s="396"/>
      <c r="T6390" s="396"/>
      <c r="U6390" s="388"/>
      <c r="V6390" s="396"/>
      <c r="W6390" s="388"/>
      <c r="X6390" s="396"/>
      <c r="Y6390" s="389"/>
      <c r="Z6390" s="396"/>
      <c r="AA6390" s="388"/>
      <c r="AB6390" s="390"/>
    </row>
    <row r="6391" spans="1:28">
      <c r="A6391" s="391"/>
      <c r="B6391" s="392"/>
      <c r="C6391" s="393" t="s">
        <v>48</v>
      </c>
      <c r="D6391" s="2562">
        <f>VLOOKUP(C6385,'Data Panjang Balok'!$C$9:$N$254,3,FALSE)</f>
        <v>1</v>
      </c>
      <c r="E6391" s="2563"/>
      <c r="F6391" s="2563"/>
      <c r="G6391" s="2563"/>
      <c r="H6391" s="2564"/>
      <c r="I6391" s="397"/>
      <c r="J6391" s="396"/>
      <c r="K6391" s="396"/>
      <c r="L6391" s="396"/>
      <c r="M6391" s="396"/>
      <c r="N6391" s="396"/>
      <c r="O6391" s="396"/>
      <c r="P6391" s="396"/>
      <c r="Q6391" s="396"/>
      <c r="R6391" s="396"/>
      <c r="S6391" s="396"/>
      <c r="T6391" s="396"/>
      <c r="U6391" s="388"/>
      <c r="V6391" s="396"/>
      <c r="W6391" s="388"/>
      <c r="X6391" s="396"/>
      <c r="Y6391" s="389"/>
      <c r="Z6391" s="396"/>
      <c r="AA6391" s="388"/>
      <c r="AB6391" s="390"/>
    </row>
    <row r="6392" spans="1:28">
      <c r="A6392" s="384" t="str">
        <f t="shared" ref="A6392:B6392" si="20711">A6385</f>
        <v>Lantai Atap</v>
      </c>
      <c r="B6392" s="385">
        <f t="shared" si="20711"/>
        <v>7</v>
      </c>
      <c r="C6392" s="393" t="s">
        <v>202</v>
      </c>
      <c r="D6392" s="398">
        <f>VLOOKUP(D6385,'Detail Balok'!$C$10:$AU$140,4,FALSE)</f>
        <v>3</v>
      </c>
      <c r="E6392" s="388" t="s">
        <v>16</v>
      </c>
      <c r="F6392" s="388">
        <f>VLOOKUP(D6385,'Detail Balok'!$C$10:$AU$140,6,FALSE)</f>
        <v>13</v>
      </c>
      <c r="G6392" s="388"/>
      <c r="H6392" s="395"/>
      <c r="I6392" s="388" t="s">
        <v>203</v>
      </c>
      <c r="J6392" s="399">
        <f t="shared" ref="J6392" si="20712">+D6387/4/1000</f>
        <v>2.7875000000000001</v>
      </c>
      <c r="K6392" s="400" t="s">
        <v>204</v>
      </c>
      <c r="L6392" s="399">
        <f t="shared" ref="L6392" si="20713">MAX(VLOOKUP(F6392,N$6:P$15,3,FALSE)/1000,2/3*D6389/1000)+F$16*F6392/1000</f>
        <v>0.156</v>
      </c>
      <c r="M6392" s="399" t="s">
        <v>176</v>
      </c>
      <c r="N6392" s="399">
        <f t="shared" ref="N6392:N6394" si="20714">J6392+L6392</f>
        <v>2.9435000000000002</v>
      </c>
      <c r="O6392" s="399" t="s">
        <v>204</v>
      </c>
      <c r="P6392" s="389">
        <f t="shared" ref="P6392" si="20715">D6392-D6393</f>
        <v>0</v>
      </c>
      <c r="Q6392" s="399" t="s">
        <v>125</v>
      </c>
      <c r="R6392" s="399">
        <f t="shared" ref="R6392" si="20716">IF(P6392&gt;0,$F$18*F6392/1000,0)</f>
        <v>0</v>
      </c>
      <c r="S6392" s="399" t="s">
        <v>205</v>
      </c>
      <c r="T6392" s="399" t="s">
        <v>125</v>
      </c>
      <c r="U6392" s="401">
        <f t="shared" ref="U6392:U6394" si="20717">0.006165*F6392^2</f>
        <v>1.041885</v>
      </c>
      <c r="V6392" s="399"/>
      <c r="W6392" s="399"/>
      <c r="X6392" s="399" t="s">
        <v>125</v>
      </c>
      <c r="Y6392" s="389">
        <f t="shared" ref="Y6392" si="20718">D6391</f>
        <v>1</v>
      </c>
      <c r="Z6392" s="400" t="s">
        <v>176</v>
      </c>
      <c r="AA6392" s="402">
        <f t="shared" ref="AA6392" si="20719">IF(AA6395=0,(D6392*N6392+P6392*R6392)*U6392*Y6392,0)</f>
        <v>0</v>
      </c>
      <c r="AB6392" s="403"/>
    </row>
    <row r="6393" spans="1:28">
      <c r="A6393" s="384" t="str">
        <f t="shared" ref="A6393:B6393" si="20720">A6385</f>
        <v>Lantai Atap</v>
      </c>
      <c r="B6393" s="385">
        <f t="shared" si="20720"/>
        <v>7</v>
      </c>
      <c r="C6393" s="393" t="s">
        <v>206</v>
      </c>
      <c r="D6393" s="398">
        <f>VLOOKUP(D6385,'Detail Balok'!$C$10:$AU$140,7,FALSE)</f>
        <v>3</v>
      </c>
      <c r="E6393" s="388" t="s">
        <v>16</v>
      </c>
      <c r="F6393" s="388">
        <f>VLOOKUP(D6385,'Detail Balok'!$C$10:$AU$140,9,FALSE)</f>
        <v>13</v>
      </c>
      <c r="G6393" s="388"/>
      <c r="H6393" s="395"/>
      <c r="I6393" s="388" t="s">
        <v>203</v>
      </c>
      <c r="J6393" s="399">
        <f t="shared" ref="J6393" si="20721">+D6387/2/1000</f>
        <v>5.5750000000000002</v>
      </c>
      <c r="K6393" s="400" t="s">
        <v>204</v>
      </c>
      <c r="L6393" s="399"/>
      <c r="M6393" s="399" t="s">
        <v>176</v>
      </c>
      <c r="N6393" s="399">
        <f t="shared" si="20714"/>
        <v>5.5750000000000002</v>
      </c>
      <c r="O6393" s="399" t="s">
        <v>204</v>
      </c>
      <c r="P6393" s="389">
        <f t="shared" ref="P6393" si="20722">MAX(D6393-D6392,D6393-D6394)</f>
        <v>0</v>
      </c>
      <c r="Q6393" s="399" t="s">
        <v>125</v>
      </c>
      <c r="R6393" s="399">
        <f t="shared" ref="R6393" si="20723">IF(P6393&gt;0,2*(1-2*$F$19-1/2)*D6388/1000,0)</f>
        <v>0</v>
      </c>
      <c r="S6393" s="399" t="s">
        <v>205</v>
      </c>
      <c r="T6393" s="399" t="s">
        <v>125</v>
      </c>
      <c r="U6393" s="401">
        <f t="shared" si="20717"/>
        <v>1.041885</v>
      </c>
      <c r="V6393" s="399"/>
      <c r="W6393" s="399"/>
      <c r="X6393" s="399" t="s">
        <v>125</v>
      </c>
      <c r="Y6393" s="389">
        <f t="shared" ref="Y6393" si="20724">D6391</f>
        <v>1</v>
      </c>
      <c r="Z6393" s="400" t="s">
        <v>176</v>
      </c>
      <c r="AA6393" s="402">
        <f t="shared" ref="AA6393" si="20725">IF(AA6395=0,(D6393*N6393+P6393*R6393)*U6393*Y6393,0)</f>
        <v>0</v>
      </c>
      <c r="AB6393" s="403"/>
    </row>
    <row r="6394" spans="1:28">
      <c r="A6394" s="384" t="str">
        <f t="shared" ref="A6394:B6394" si="20726">A6385</f>
        <v>Lantai Atap</v>
      </c>
      <c r="B6394" s="385">
        <f t="shared" si="20726"/>
        <v>7</v>
      </c>
      <c r="C6394" s="393" t="s">
        <v>202</v>
      </c>
      <c r="D6394" s="398">
        <f>VLOOKUP(D6385,'Detail Balok'!$C$10:$AU$140,10,FALSE)</f>
        <v>3</v>
      </c>
      <c r="E6394" s="388" t="s">
        <v>16</v>
      </c>
      <c r="F6394" s="388">
        <f>VLOOKUP(D6385,'Detail Balok'!$C$10:$AU$140,12,FALSE)</f>
        <v>13</v>
      </c>
      <c r="G6394" s="388"/>
      <c r="H6394" s="395"/>
      <c r="I6394" s="388" t="s">
        <v>203</v>
      </c>
      <c r="J6394" s="399">
        <f t="shared" ref="J6394" si="20727">+D6387/4/1000</f>
        <v>2.7875000000000001</v>
      </c>
      <c r="K6394" s="400" t="s">
        <v>204</v>
      </c>
      <c r="L6394" s="399">
        <f t="shared" ref="L6394" si="20728">MAX(VLOOKUP(F6394,N$6:P$15,3,FALSE)/1000,2/3*D6389/1000)+F$16*F6394/1000</f>
        <v>0.156</v>
      </c>
      <c r="M6394" s="399" t="s">
        <v>176</v>
      </c>
      <c r="N6394" s="399">
        <f t="shared" si="20714"/>
        <v>2.9435000000000002</v>
      </c>
      <c r="O6394" s="399" t="s">
        <v>204</v>
      </c>
      <c r="P6394" s="389">
        <f t="shared" ref="P6394" si="20729">D6394-D6393</f>
        <v>0</v>
      </c>
      <c r="Q6394" s="399" t="s">
        <v>125</v>
      </c>
      <c r="R6394" s="399">
        <f t="shared" ref="R6394" si="20730">IF(P6394&gt;0,$F$18*F6394/1000,0)</f>
        <v>0</v>
      </c>
      <c r="S6394" s="399" t="s">
        <v>205</v>
      </c>
      <c r="T6394" s="399" t="s">
        <v>125</v>
      </c>
      <c r="U6394" s="401">
        <f t="shared" si="20717"/>
        <v>1.041885</v>
      </c>
      <c r="V6394" s="399"/>
      <c r="W6394" s="399"/>
      <c r="X6394" s="399" t="s">
        <v>125</v>
      </c>
      <c r="Y6394" s="389">
        <f t="shared" ref="Y6394" si="20731">D6391</f>
        <v>1</v>
      </c>
      <c r="Z6394" s="400" t="s">
        <v>176</v>
      </c>
      <c r="AA6394" s="402">
        <f t="shared" ref="AA6394" si="20732">IF(AA6395=0,(D6394*N6394+P6394*R6394)*U6394*Y6394,0)</f>
        <v>0</v>
      </c>
      <c r="AB6394" s="403"/>
    </row>
    <row r="6395" spans="1:28">
      <c r="A6395" s="384" t="str">
        <f t="shared" ref="A6395:B6395" si="20733">A6385</f>
        <v>Lantai Atap</v>
      </c>
      <c r="B6395" s="385">
        <f t="shared" si="20733"/>
        <v>7</v>
      </c>
      <c r="C6395" s="393"/>
      <c r="D6395" s="398">
        <f t="shared" si="20536"/>
        <v>3</v>
      </c>
      <c r="E6395" s="388" t="s">
        <v>16</v>
      </c>
      <c r="F6395" s="388">
        <f t="shared" si="20537"/>
        <v>13</v>
      </c>
      <c r="G6395" s="388"/>
      <c r="H6395" s="395"/>
      <c r="I6395" s="388"/>
      <c r="J6395" s="396"/>
      <c r="K6395" s="396"/>
      <c r="L6395" s="404" t="s">
        <v>207</v>
      </c>
      <c r="M6395" s="399" t="s">
        <v>176</v>
      </c>
      <c r="N6395" s="399">
        <f t="shared" ref="N6395" si="20734">IF(AND(D6392=D6393,D6392=D6394,D6393=D6394,F6392=F6393,F6392=F6394,F6393=F6394),SUM(N6392:N6394),0)</f>
        <v>11.462</v>
      </c>
      <c r="O6395" s="399" t="s">
        <v>204</v>
      </c>
      <c r="P6395" s="389">
        <f t="shared" ref="P6395" si="20735">IF(N6395&gt;12,ROUNDDOWN(N6395/12,0),0)</f>
        <v>0</v>
      </c>
      <c r="Q6395" s="399" t="s">
        <v>125</v>
      </c>
      <c r="R6395" s="399">
        <f t="shared" ref="R6395" si="20736">IF(P6395&gt;0,MAX(VLOOKUP(F6395,$D$6:$G$15,3,FALSE),600),0)/1000</f>
        <v>0</v>
      </c>
      <c r="S6395" s="396"/>
      <c r="T6395" s="396" t="s">
        <v>125</v>
      </c>
      <c r="U6395" s="401">
        <f t="shared" si="20541"/>
        <v>1.041885</v>
      </c>
      <c r="V6395" s="396" t="s">
        <v>125</v>
      </c>
      <c r="W6395" s="399">
        <f t="shared" ref="W6395" si="20737">D6395</f>
        <v>3</v>
      </c>
      <c r="X6395" s="399" t="s">
        <v>125</v>
      </c>
      <c r="Y6395" s="389">
        <f t="shared" si="20543"/>
        <v>1</v>
      </c>
      <c r="Z6395" s="400" t="s">
        <v>176</v>
      </c>
      <c r="AA6395" s="402">
        <f t="shared" ref="AA6395" si="20738">(N6395+P6395*R6395/1000)*U6395*W6395*Y6395</f>
        <v>35.826257609999999</v>
      </c>
      <c r="AB6395" s="390"/>
    </row>
    <row r="6396" spans="1:28">
      <c r="A6396" s="384"/>
      <c r="B6396" s="385"/>
      <c r="C6396" s="393"/>
      <c r="D6396" s="398"/>
      <c r="E6396" s="388"/>
      <c r="F6396" s="388"/>
      <c r="G6396" s="388"/>
      <c r="H6396" s="395"/>
      <c r="I6396" s="388"/>
      <c r="J6396" s="396"/>
      <c r="K6396" s="396"/>
      <c r="L6396" s="404"/>
      <c r="M6396" s="399"/>
      <c r="N6396" s="399"/>
      <c r="O6396" s="396"/>
      <c r="P6396" s="389"/>
      <c r="Q6396" s="396"/>
      <c r="R6396" s="396"/>
      <c r="S6396" s="396"/>
      <c r="T6396" s="396"/>
      <c r="U6396" s="401"/>
      <c r="V6396" s="396"/>
      <c r="W6396" s="399"/>
      <c r="X6396" s="396"/>
      <c r="Y6396" s="389"/>
      <c r="Z6396" s="396"/>
      <c r="AA6396" s="388"/>
      <c r="AB6396" s="390"/>
    </row>
    <row r="6397" spans="1:28">
      <c r="A6397" s="384" t="str">
        <f t="shared" ref="A6397:B6397" si="20739">A6385</f>
        <v>Lantai Atap</v>
      </c>
      <c r="B6397" s="385">
        <f t="shared" si="20739"/>
        <v>7</v>
      </c>
      <c r="C6397" s="393" t="s">
        <v>208</v>
      </c>
      <c r="D6397" s="398">
        <f>VLOOKUP(D6385,'Detail Balok'!$C$10:$AU$140,13,FALSE)</f>
        <v>0</v>
      </c>
      <c r="E6397" s="388" t="s">
        <v>16</v>
      </c>
      <c r="F6397" s="388">
        <f>VLOOKUP(D6385,'Detail Balok'!$C$10:$AU$140,15,FALSE)</f>
        <v>8</v>
      </c>
      <c r="G6397" s="388"/>
      <c r="H6397" s="395"/>
      <c r="I6397" s="388"/>
      <c r="J6397" s="399">
        <f t="shared" ref="J6397" si="20740">+D6387/1000</f>
        <v>11.15</v>
      </c>
      <c r="K6397" s="400" t="s">
        <v>204</v>
      </c>
      <c r="L6397" s="399">
        <f t="shared" ref="L6397" si="20741">2*$F$16*F6397/1000</f>
        <v>0.192</v>
      </c>
      <c r="M6397" s="399" t="s">
        <v>176</v>
      </c>
      <c r="N6397" s="399">
        <f t="shared" ref="N6397" si="20742">J6397+L6397</f>
        <v>11.342000000000001</v>
      </c>
      <c r="O6397" s="399" t="s">
        <v>204</v>
      </c>
      <c r="P6397" s="389">
        <f t="shared" ref="P6397" si="20743">IF(N6397&gt;12,ROUNDDOWN(N6397/12,0),0)</f>
        <v>0</v>
      </c>
      <c r="Q6397" s="399" t="s">
        <v>125</v>
      </c>
      <c r="R6397" s="399">
        <f t="shared" ref="R6397" si="20744">IF(P6397&gt;0,MAX(VLOOKUP(F6397,$D$6:$G$15,3,FALSE),600),0)/1000</f>
        <v>0</v>
      </c>
      <c r="S6397" s="399"/>
      <c r="T6397" s="399" t="s">
        <v>125</v>
      </c>
      <c r="U6397" s="401">
        <f t="shared" ref="U6397" si="20745">0.006165*F6397^2</f>
        <v>0.39456000000000002</v>
      </c>
      <c r="V6397" s="399" t="s">
        <v>125</v>
      </c>
      <c r="W6397" s="399">
        <f t="shared" ref="W6397" si="20746">+D6397</f>
        <v>0</v>
      </c>
      <c r="X6397" s="399" t="s">
        <v>125</v>
      </c>
      <c r="Y6397" s="389">
        <f t="shared" ref="Y6397" si="20747">D6391</f>
        <v>1</v>
      </c>
      <c r="Z6397" s="400" t="s">
        <v>176</v>
      </c>
      <c r="AA6397" s="402">
        <f t="shared" ref="AA6397" si="20748">(N6397+P6397*R6397/1000)*U6397*W6397*Y6397</f>
        <v>0</v>
      </c>
      <c r="AB6397" s="403"/>
    </row>
    <row r="6398" spans="1:28">
      <c r="A6398" s="384"/>
      <c r="B6398" s="385"/>
      <c r="C6398" s="393"/>
      <c r="D6398" s="398"/>
      <c r="E6398" s="388"/>
      <c r="F6398" s="388"/>
      <c r="G6398" s="388"/>
      <c r="H6398" s="395"/>
      <c r="I6398" s="388"/>
      <c r="J6398" s="399"/>
      <c r="K6398" s="400"/>
      <c r="L6398" s="399"/>
      <c r="M6398" s="399"/>
      <c r="N6398" s="399"/>
      <c r="O6398" s="399"/>
      <c r="P6398" s="389"/>
      <c r="Q6398" s="399"/>
      <c r="R6398" s="399"/>
      <c r="S6398" s="399"/>
      <c r="T6398" s="399"/>
      <c r="U6398" s="401"/>
      <c r="V6398" s="399"/>
      <c r="W6398" s="399"/>
      <c r="X6398" s="399"/>
      <c r="Y6398" s="389"/>
      <c r="Z6398" s="400"/>
      <c r="AA6398" s="402"/>
      <c r="AB6398" s="403"/>
    </row>
    <row r="6399" spans="1:28">
      <c r="A6399" s="384"/>
      <c r="B6399" s="385"/>
      <c r="C6399" s="393"/>
      <c r="D6399" s="398"/>
      <c r="E6399" s="388"/>
      <c r="F6399" s="388"/>
      <c r="G6399" s="388"/>
      <c r="H6399" s="395"/>
      <c r="I6399" s="388"/>
      <c r="J6399" s="396"/>
      <c r="K6399" s="396"/>
      <c r="L6399" s="396"/>
      <c r="M6399" s="396"/>
      <c r="N6399" s="396"/>
      <c r="O6399" s="396"/>
      <c r="P6399" s="389"/>
      <c r="Q6399" s="396"/>
      <c r="R6399" s="396"/>
      <c r="S6399" s="396"/>
      <c r="T6399" s="396"/>
      <c r="U6399" s="401"/>
      <c r="V6399" s="396"/>
      <c r="W6399" s="399"/>
      <c r="X6399" s="396"/>
      <c r="Y6399" s="389"/>
      <c r="Z6399" s="396"/>
      <c r="AA6399" s="388"/>
      <c r="AB6399" s="390"/>
    </row>
    <row r="6400" spans="1:28">
      <c r="A6400" s="384" t="str">
        <f t="shared" ref="A6400:B6400" si="20749">A6385</f>
        <v>Lantai Atap</v>
      </c>
      <c r="B6400" s="385">
        <f t="shared" si="20749"/>
        <v>7</v>
      </c>
      <c r="C6400" s="393" t="s">
        <v>209</v>
      </c>
      <c r="D6400" s="398">
        <f>VLOOKUP(D6385,'Detail Balok'!$C$10:$AU$140,22,FALSE)</f>
        <v>3</v>
      </c>
      <c r="E6400" s="388" t="s">
        <v>16</v>
      </c>
      <c r="F6400" s="388">
        <f>VLOOKUP(D6385,'Detail Balok'!$C$10:$AU$140,24,FALSE)</f>
        <v>13</v>
      </c>
      <c r="G6400" s="388"/>
      <c r="H6400" s="395"/>
      <c r="I6400" s="388" t="s">
        <v>203</v>
      </c>
      <c r="J6400" s="399">
        <f t="shared" si="20556"/>
        <v>2.7875000000000001</v>
      </c>
      <c r="K6400" s="400" t="s">
        <v>204</v>
      </c>
      <c r="L6400" s="399">
        <f t="shared" ref="L6400" si="20750">MAX(VLOOKUP(F6400,N$6:P$15,3,FALSE)/1000,2/3*D6390/1000)+F$16*F6400/1000</f>
        <v>0.156</v>
      </c>
      <c r="M6400" s="399" t="s">
        <v>176</v>
      </c>
      <c r="N6400" s="399">
        <f t="shared" ref="N6400:N6402" si="20751">J6400+L6400</f>
        <v>2.9435000000000002</v>
      </c>
      <c r="O6400" s="399" t="s">
        <v>204</v>
      </c>
      <c r="P6400" s="389">
        <f t="shared" ref="P6400" si="20752">D6400-D6401</f>
        <v>0</v>
      </c>
      <c r="Q6400" s="399" t="s">
        <v>125</v>
      </c>
      <c r="R6400" s="399">
        <f t="shared" ref="R6400" si="20753">IF(P6400&gt;0,$F$18*F6400/1000,0)</f>
        <v>0</v>
      </c>
      <c r="S6400" s="399" t="s">
        <v>205</v>
      </c>
      <c r="T6400" s="399" t="s">
        <v>125</v>
      </c>
      <c r="U6400" s="401">
        <f t="shared" ref="U6400:U6402" si="20754">0.006165*F6400^2</f>
        <v>1.041885</v>
      </c>
      <c r="V6400" s="399"/>
      <c r="W6400" s="399"/>
      <c r="X6400" s="399" t="s">
        <v>125</v>
      </c>
      <c r="Y6400" s="389">
        <f t="shared" ref="Y6400" si="20755">D6391</f>
        <v>1</v>
      </c>
      <c r="Z6400" s="400" t="s">
        <v>176</v>
      </c>
      <c r="AA6400" s="402">
        <f t="shared" ref="AA6400" si="20756">IF(AA6403=0,(D6400*N6400+P6400*R6400)*U6400*Y6400,0)</f>
        <v>0</v>
      </c>
      <c r="AB6400" s="403"/>
    </row>
    <row r="6401" spans="1:28">
      <c r="A6401" s="384" t="str">
        <f t="shared" ref="A6401:B6401" si="20757">A6385</f>
        <v>Lantai Atap</v>
      </c>
      <c r="B6401" s="385">
        <f t="shared" si="20757"/>
        <v>7</v>
      </c>
      <c r="C6401" s="393" t="s">
        <v>210</v>
      </c>
      <c r="D6401" s="398">
        <f>VLOOKUP(D6385,'Detail Balok'!$C$10:$AU$140,25,FALSE)</f>
        <v>3</v>
      </c>
      <c r="E6401" s="388" t="s">
        <v>16</v>
      </c>
      <c r="F6401" s="388">
        <f>VLOOKUP(D6385,'Detail Balok'!$C$10:$AU$140,27,FALSE)</f>
        <v>13</v>
      </c>
      <c r="G6401" s="388"/>
      <c r="H6401" s="395"/>
      <c r="I6401" s="388" t="s">
        <v>203</v>
      </c>
      <c r="J6401" s="399">
        <f t="shared" si="20556"/>
        <v>5.5750000000000002</v>
      </c>
      <c r="K6401" s="400" t="s">
        <v>204</v>
      </c>
      <c r="L6401" s="399"/>
      <c r="M6401" s="399" t="s">
        <v>176</v>
      </c>
      <c r="N6401" s="399">
        <f t="shared" si="20751"/>
        <v>5.5750000000000002</v>
      </c>
      <c r="O6401" s="399" t="s">
        <v>204</v>
      </c>
      <c r="P6401" s="389">
        <f t="shared" ref="P6401" si="20758">MAX(D6401-D6400,D6401-D6402)</f>
        <v>0</v>
      </c>
      <c r="Q6401" s="399" t="s">
        <v>125</v>
      </c>
      <c r="R6401" s="399">
        <f t="shared" ref="R6401" si="20759">IF(P6401&gt;0,2*(1-2*$F$19-1/2)*D6388/1000,0)</f>
        <v>0</v>
      </c>
      <c r="S6401" s="399" t="s">
        <v>205</v>
      </c>
      <c r="T6401" s="399" t="s">
        <v>125</v>
      </c>
      <c r="U6401" s="401">
        <f t="shared" si="20754"/>
        <v>1.041885</v>
      </c>
      <c r="V6401" s="399"/>
      <c r="W6401" s="399"/>
      <c r="X6401" s="399" t="s">
        <v>125</v>
      </c>
      <c r="Y6401" s="389">
        <f t="shared" ref="Y6401" si="20760">D6391</f>
        <v>1</v>
      </c>
      <c r="Z6401" s="400" t="s">
        <v>176</v>
      </c>
      <c r="AA6401" s="402">
        <f t="shared" ref="AA6401" si="20761">IF(AA6403=0,(D6401*N6401+P6401*R6401)*U6401*Y6401,0)</f>
        <v>0</v>
      </c>
      <c r="AB6401" s="403"/>
    </row>
    <row r="6402" spans="1:28">
      <c r="A6402" s="384" t="str">
        <f t="shared" ref="A6402:B6402" si="20762">A6385</f>
        <v>Lantai Atap</v>
      </c>
      <c r="B6402" s="385">
        <f t="shared" si="20762"/>
        <v>7</v>
      </c>
      <c r="C6402" s="393" t="s">
        <v>209</v>
      </c>
      <c r="D6402" s="398">
        <f>VLOOKUP(D6385,'Detail Balok'!$C$10:$AU$140,28,FALSE)</f>
        <v>3</v>
      </c>
      <c r="E6402" s="388" t="s">
        <v>16</v>
      </c>
      <c r="F6402" s="388">
        <f>VLOOKUP(D6385,'Detail Balok'!$C$10:$AU$140,30,FALSE)</f>
        <v>13</v>
      </c>
      <c r="G6402" s="388"/>
      <c r="H6402" s="395"/>
      <c r="I6402" s="388" t="s">
        <v>203</v>
      </c>
      <c r="J6402" s="399">
        <f t="shared" si="20556"/>
        <v>2.7875000000000001</v>
      </c>
      <c r="K6402" s="400" t="s">
        <v>204</v>
      </c>
      <c r="L6402" s="399">
        <f t="shared" ref="L6402" si="20763">MAX(VLOOKUP(F6402,N$6:P$15,3,FALSE)/1000,2/3*D6390/1000)+F$16*F6402/1000</f>
        <v>0.156</v>
      </c>
      <c r="M6402" s="399" t="s">
        <v>176</v>
      </c>
      <c r="N6402" s="399">
        <f t="shared" si="20751"/>
        <v>2.9435000000000002</v>
      </c>
      <c r="O6402" s="399" t="s">
        <v>204</v>
      </c>
      <c r="P6402" s="389">
        <f t="shared" ref="P6402" si="20764">D6402-D6401</f>
        <v>0</v>
      </c>
      <c r="Q6402" s="399" t="s">
        <v>125</v>
      </c>
      <c r="R6402" s="399">
        <f t="shared" ref="R6402" si="20765">IF(P6402&gt;0,$F$18*F6402/1000,0)</f>
        <v>0</v>
      </c>
      <c r="S6402" s="399" t="s">
        <v>205</v>
      </c>
      <c r="T6402" s="399" t="s">
        <v>125</v>
      </c>
      <c r="U6402" s="401">
        <f t="shared" si="20754"/>
        <v>1.041885</v>
      </c>
      <c r="V6402" s="399"/>
      <c r="W6402" s="399"/>
      <c r="X6402" s="399" t="s">
        <v>125</v>
      </c>
      <c r="Y6402" s="389">
        <f t="shared" ref="Y6402" si="20766">D6391</f>
        <v>1</v>
      </c>
      <c r="Z6402" s="400" t="s">
        <v>176</v>
      </c>
      <c r="AA6402" s="402">
        <f t="shared" ref="AA6402" si="20767">IF(AA6403=0,(D6402*N6402+P6402*R6402)*U6402*Y6402,0)</f>
        <v>0</v>
      </c>
      <c r="AB6402" s="403"/>
    </row>
    <row r="6403" spans="1:28">
      <c r="A6403" s="384" t="str">
        <f t="shared" ref="A6403:B6403" si="20768">A6385</f>
        <v>Lantai Atap</v>
      </c>
      <c r="B6403" s="385">
        <f t="shared" si="20768"/>
        <v>7</v>
      </c>
      <c r="C6403" s="393"/>
      <c r="D6403" s="398">
        <f t="shared" si="20576"/>
        <v>3</v>
      </c>
      <c r="E6403" s="388" t="s">
        <v>16</v>
      </c>
      <c r="F6403" s="388">
        <f t="shared" si="20577"/>
        <v>13</v>
      </c>
      <c r="G6403" s="388"/>
      <c r="H6403" s="395"/>
      <c r="I6403" s="388"/>
      <c r="J6403" s="396"/>
      <c r="K6403" s="396"/>
      <c r="L6403" s="404" t="s">
        <v>207</v>
      </c>
      <c r="M6403" s="399" t="s">
        <v>176</v>
      </c>
      <c r="N6403" s="399">
        <f t="shared" ref="N6403" si="20769">IF(AND(D6400=D6401,D6400=D6402,D6401=D6402,F6400=F6401,F6400=F6402,F6401=F6402),SUM(N6400:N6402),0)</f>
        <v>11.462</v>
      </c>
      <c r="O6403" s="399" t="s">
        <v>204</v>
      </c>
      <c r="P6403" s="389">
        <f t="shared" ref="P6403" si="20770">IF(N6403&gt;12,ROUNDDOWN(N6403/12,0),0)</f>
        <v>0</v>
      </c>
      <c r="Q6403" s="399" t="s">
        <v>125</v>
      </c>
      <c r="R6403" s="399">
        <f t="shared" ref="R6403" si="20771">IF(P6403&gt;0,MAX(VLOOKUP(F6403,$D$6:$G$15,3,FALSE),600),0)/1000</f>
        <v>0</v>
      </c>
      <c r="S6403" s="396"/>
      <c r="T6403" s="396" t="s">
        <v>125</v>
      </c>
      <c r="U6403" s="401">
        <f t="shared" si="20581"/>
        <v>1.041885</v>
      </c>
      <c r="V6403" s="396" t="s">
        <v>125</v>
      </c>
      <c r="W6403" s="399">
        <f t="shared" ref="W6403" si="20772">D6403</f>
        <v>3</v>
      </c>
      <c r="X6403" s="399" t="s">
        <v>125</v>
      </c>
      <c r="Y6403" s="389">
        <f t="shared" si="20583"/>
        <v>1</v>
      </c>
      <c r="Z6403" s="400" t="s">
        <v>176</v>
      </c>
      <c r="AA6403" s="402">
        <f t="shared" ref="AA6403" si="20773">(N6403+P6403*R6403/1000)*U6403*W6403*Y6403</f>
        <v>35.826257609999999</v>
      </c>
      <c r="AB6403" s="403"/>
    </row>
    <row r="6404" spans="1:28">
      <c r="A6404" s="384"/>
      <c r="B6404" s="385"/>
      <c r="C6404" s="393"/>
      <c r="D6404" s="394"/>
      <c r="E6404" s="388"/>
      <c r="F6404" s="388"/>
      <c r="G6404" s="388"/>
      <c r="H6404" s="395"/>
      <c r="I6404" s="388"/>
      <c r="J6404" s="399"/>
      <c r="K6404" s="396"/>
      <c r="L6404" s="396"/>
      <c r="M6404" s="396"/>
      <c r="N6404" s="396"/>
      <c r="O6404" s="396"/>
      <c r="P6404" s="389"/>
      <c r="Q6404" s="396"/>
      <c r="R6404" s="396"/>
      <c r="S6404" s="396"/>
      <c r="T6404" s="396"/>
      <c r="U6404" s="401"/>
      <c r="V6404" s="396"/>
      <c r="W6404" s="388"/>
      <c r="X6404" s="396"/>
      <c r="Y6404" s="389"/>
      <c r="Z6404" s="396"/>
      <c r="AA6404" s="388"/>
      <c r="AB6404" s="390"/>
    </row>
    <row r="6405" spans="1:28">
      <c r="A6405" s="384" t="str">
        <f t="shared" ref="A6405:B6405" si="20774">A6385</f>
        <v>Lantai Atap</v>
      </c>
      <c r="B6405" s="385">
        <f t="shared" si="20774"/>
        <v>7</v>
      </c>
      <c r="C6405" s="393" t="s">
        <v>211</v>
      </c>
      <c r="D6405" s="398">
        <f>VLOOKUP(D6385,'Detail Balok'!$C$10:$AU$140,31,FALSE)</f>
        <v>0</v>
      </c>
      <c r="E6405" s="388" t="s">
        <v>16</v>
      </c>
      <c r="F6405" s="388">
        <f>VLOOKUP(D6385,'Detail Balok'!$C$10:$AU$140,33,FALSE)</f>
        <v>10</v>
      </c>
      <c r="G6405" s="405" t="s">
        <v>157</v>
      </c>
      <c r="H6405" s="395">
        <f>VLOOKUP(D6385,'Detail Balok'!$C$10:$AU$140,35,FALSE)</f>
        <v>100</v>
      </c>
      <c r="I6405" s="388"/>
      <c r="J6405" s="400">
        <f t="shared" ref="J6405" si="20775">(IF(D6405=0,(2*(D6386+G6386))-(F$5*8),IF(D6405=3,(2*(D6386+G6386))-(F$5*8)+(G6386-2*F$5),IF(D6405=4,(2*(D6386+G6386))-(F$5*8)+2*(G6386-2*F$5)))))/1000</f>
        <v>1.08</v>
      </c>
      <c r="K6405" s="400" t="s">
        <v>204</v>
      </c>
      <c r="L6405" s="399">
        <f t="shared" ref="L6405:L6407" si="20776">IF(D6405=0,2*MAX(6*F6405,75),(D6405-1)*2*MAX(6*F6405,75))/1000</f>
        <v>0.15</v>
      </c>
      <c r="M6405" s="399" t="s">
        <v>176</v>
      </c>
      <c r="N6405" s="399">
        <f t="shared" ref="N6405:N6407" si="20777">J6405+L6405</f>
        <v>1.23</v>
      </c>
      <c r="O6405" s="399"/>
      <c r="P6405" s="389"/>
      <c r="Q6405" s="399"/>
      <c r="R6405" s="399"/>
      <c r="S6405" s="399"/>
      <c r="T6405" s="399" t="s">
        <v>125</v>
      </c>
      <c r="U6405" s="401">
        <f t="shared" ref="U6405:U6407" si="20778">0.006165*F6405^2</f>
        <v>0.61650000000000005</v>
      </c>
      <c r="V6405" s="399" t="s">
        <v>125</v>
      </c>
      <c r="W6405" s="399">
        <f t="shared" ref="W6405" si="20779">IF(D6388&gt;4*G6386,ROUND(MAX(D6388/4,2*G6386)/H6405,0)+1,ROUND(D6388/H6405,0)+1)</f>
        <v>29</v>
      </c>
      <c r="X6405" s="399" t="s">
        <v>125</v>
      </c>
      <c r="Y6405" s="389">
        <f t="shared" ref="Y6405" si="20780">D6391</f>
        <v>1</v>
      </c>
      <c r="Z6405" s="400" t="s">
        <v>176</v>
      </c>
      <c r="AA6405" s="402">
        <f t="shared" ref="AA6405:AA6407" si="20781">N6405*U6405*W6405*Y6405</f>
        <v>21.990555000000001</v>
      </c>
      <c r="AB6405" s="403"/>
    </row>
    <row r="6406" spans="1:28">
      <c r="A6406" s="384" t="str">
        <f t="shared" ref="A6406:B6406" si="20782">A6385</f>
        <v>Lantai Atap</v>
      </c>
      <c r="B6406" s="385">
        <f t="shared" si="20782"/>
        <v>7</v>
      </c>
      <c r="C6406" s="393" t="s">
        <v>212</v>
      </c>
      <c r="D6406" s="398">
        <f>VLOOKUP(D6385,'Detail Balok'!$C$10:$AU$140,36,FALSE)</f>
        <v>0</v>
      </c>
      <c r="E6406" s="388" t="s">
        <v>16</v>
      </c>
      <c r="F6406" s="388">
        <f>VLOOKUP(D6385,'Detail Balok'!$C$10:$AU$140,38,FALSE)</f>
        <v>10</v>
      </c>
      <c r="G6406" s="405" t="s">
        <v>157</v>
      </c>
      <c r="H6406" s="395">
        <f>VLOOKUP(D6385,'Detail Balok'!$C$10:$AU$140,40,FALSE)</f>
        <v>200</v>
      </c>
      <c r="I6406" s="388"/>
      <c r="J6406" s="400">
        <f t="shared" ref="J6406" si="20783">(IF(D6406=0,(2*(D6386+G6386))-(F$5*8),IF(D6406=3,(2*(D6386+G6386))-(F$5*8)+(G6386-2*F$5),IF(D6406=4,(2*(D6386+G6386))-(F$5*8)+2*(G6386-2*F$5)))))/1000</f>
        <v>1.08</v>
      </c>
      <c r="K6406" s="400" t="s">
        <v>204</v>
      </c>
      <c r="L6406" s="399">
        <f t="shared" si="20776"/>
        <v>0.15</v>
      </c>
      <c r="M6406" s="399" t="s">
        <v>176</v>
      </c>
      <c r="N6406" s="399">
        <f t="shared" si="20777"/>
        <v>1.23</v>
      </c>
      <c r="O6406" s="399"/>
      <c r="P6406" s="389"/>
      <c r="Q6406" s="399"/>
      <c r="R6406" s="399"/>
      <c r="S6406" s="399"/>
      <c r="T6406" s="399" t="s">
        <v>125</v>
      </c>
      <c r="U6406" s="401">
        <f t="shared" si="20778"/>
        <v>0.61650000000000005</v>
      </c>
      <c r="V6406" s="399" t="s">
        <v>125</v>
      </c>
      <c r="W6406" s="399">
        <f t="shared" ref="W6406" si="20784">IF(D6388-MAX(D6388/4,2*G6386)*2&gt;0,ROUND((D6388-MAX(D6388/4,2*G6386)*2)/H6406,0),0)</f>
        <v>28</v>
      </c>
      <c r="X6406" s="399" t="s">
        <v>125</v>
      </c>
      <c r="Y6406" s="389">
        <f t="shared" ref="Y6406" si="20785">D6391</f>
        <v>1</v>
      </c>
      <c r="Z6406" s="400" t="s">
        <v>176</v>
      </c>
      <c r="AA6406" s="402">
        <f t="shared" si="20781"/>
        <v>21.23226</v>
      </c>
      <c r="AB6406" s="403"/>
    </row>
    <row r="6407" spans="1:28">
      <c r="A6407" s="384" t="str">
        <f t="shared" ref="A6407:B6407" si="20786">A6385</f>
        <v>Lantai Atap</v>
      </c>
      <c r="B6407" s="385">
        <f t="shared" si="20786"/>
        <v>7</v>
      </c>
      <c r="C6407" s="393" t="s">
        <v>211</v>
      </c>
      <c r="D6407" s="398">
        <f>VLOOKUP(D6385,'Detail Balok'!$C$10:$AU$140,41,FALSE)</f>
        <v>0</v>
      </c>
      <c r="E6407" s="388" t="s">
        <v>16</v>
      </c>
      <c r="F6407" s="388">
        <f>VLOOKUP(D6385,'Detail Balok'!$C$10:$AU$140,43,FALSE)</f>
        <v>10</v>
      </c>
      <c r="G6407" s="405" t="s">
        <v>157</v>
      </c>
      <c r="H6407" s="395">
        <f>VLOOKUP(D6385,'Detail Balok'!$C$10:$AU$140,45,FALSE)</f>
        <v>100</v>
      </c>
      <c r="I6407" s="388"/>
      <c r="J6407" s="400">
        <f t="shared" ref="J6407" si="20787">(IF(D6407=0,(2*(D6386+G6386))-(F$5*8),IF(D6407=3,(2*(D6386+G6386))-(F$5*8)+(G6386-2*F$5),IF(D6407=4,(2*(D6386+G6386))-(F$5*8)+2*(G6386-2*F$5)))))/1000</f>
        <v>1.08</v>
      </c>
      <c r="K6407" s="400" t="s">
        <v>204</v>
      </c>
      <c r="L6407" s="399">
        <f t="shared" si="20776"/>
        <v>0.15</v>
      </c>
      <c r="M6407" s="399" t="s">
        <v>176</v>
      </c>
      <c r="N6407" s="399">
        <f t="shared" si="20777"/>
        <v>1.23</v>
      </c>
      <c r="O6407" s="399"/>
      <c r="P6407" s="389"/>
      <c r="Q6407" s="399"/>
      <c r="R6407" s="399"/>
      <c r="S6407" s="399"/>
      <c r="T6407" s="399" t="s">
        <v>125</v>
      </c>
      <c r="U6407" s="401">
        <f t="shared" si="20778"/>
        <v>0.61650000000000005</v>
      </c>
      <c r="V6407" s="399" t="s">
        <v>125</v>
      </c>
      <c r="W6407" s="399">
        <f t="shared" ref="W6407" si="20788">IF(D6388&gt;4*G6386,ROUND(MAX(D6388/4,2*G6386)/H6407,0)+1,0)</f>
        <v>29</v>
      </c>
      <c r="X6407" s="399" t="s">
        <v>125</v>
      </c>
      <c r="Y6407" s="389">
        <f t="shared" ref="Y6407" si="20789">D6391</f>
        <v>1</v>
      </c>
      <c r="Z6407" s="400" t="s">
        <v>176</v>
      </c>
      <c r="AA6407" s="402">
        <f t="shared" si="20781"/>
        <v>21.990555000000001</v>
      </c>
      <c r="AB6407" s="403"/>
    </row>
    <row r="6408" spans="1:28">
      <c r="A6408" s="384"/>
      <c r="B6408" s="385"/>
      <c r="C6408" s="393"/>
      <c r="D6408" s="394"/>
      <c r="E6408" s="388"/>
      <c r="F6408" s="388"/>
      <c r="G6408" s="388"/>
      <c r="H6408" s="395"/>
      <c r="I6408" s="388"/>
      <c r="J6408" s="399"/>
      <c r="K6408" s="396"/>
      <c r="L6408" s="396"/>
      <c r="M6408" s="396"/>
      <c r="N6408" s="396"/>
      <c r="O6408" s="396"/>
      <c r="P6408" s="389"/>
      <c r="Q6408" s="396"/>
      <c r="R6408" s="396"/>
      <c r="S6408" s="396"/>
      <c r="T6408" s="396"/>
      <c r="U6408" s="401"/>
      <c r="V6408" s="396"/>
      <c r="W6408" s="388"/>
      <c r="X6408" s="396"/>
      <c r="Y6408" s="389"/>
      <c r="Z6408" s="396"/>
      <c r="AA6408" s="388"/>
      <c r="AB6408" s="390"/>
    </row>
    <row r="6409" spans="1:28">
      <c r="A6409" s="384" t="str">
        <f t="shared" ref="A6409:B6409" si="20790">A6385</f>
        <v>Lantai Atap</v>
      </c>
      <c r="B6409" s="385">
        <f t="shared" si="20790"/>
        <v>7</v>
      </c>
      <c r="C6409" s="393" t="s">
        <v>213</v>
      </c>
      <c r="D6409" s="398">
        <f>VLOOKUP(D6385,'Detail Balok'!$C$10:$BJ$140,46,FALSE)</f>
        <v>0</v>
      </c>
      <c r="E6409" s="388" t="s">
        <v>16</v>
      </c>
      <c r="F6409" s="388">
        <f>VLOOKUP(D6385,'Detail Balok'!$C$10:$BJ$140,48,FALSE)</f>
        <v>0</v>
      </c>
      <c r="G6409" s="405" t="s">
        <v>157</v>
      </c>
      <c r="H6409" s="395">
        <f>VLOOKUP(D6385,'Detail Balok'!$C$10:$BJ$140,50,FALSE)</f>
        <v>100</v>
      </c>
      <c r="I6409" s="388"/>
      <c r="J6409" s="399">
        <f t="shared" ref="J6409" si="20791">(D6386-2*F$5)/1000</f>
        <v>0.17</v>
      </c>
      <c r="K6409" s="400" t="s">
        <v>204</v>
      </c>
      <c r="L6409" s="399">
        <f t="shared" ref="L6409:L6411" si="20792">IF(D6409=0,2*MAX(6*F6409,75),(D6409-1)*2*MAX(6*F6409,75))/1000</f>
        <v>0.15</v>
      </c>
      <c r="M6409" s="399" t="s">
        <v>176</v>
      </c>
      <c r="N6409" s="399">
        <f t="shared" ref="N6409:N6411" si="20793">J6409+L6409</f>
        <v>0.32</v>
      </c>
      <c r="O6409" s="399"/>
      <c r="P6409" s="399"/>
      <c r="Q6409" s="399"/>
      <c r="R6409" s="399"/>
      <c r="S6409" s="399"/>
      <c r="T6409" s="399" t="s">
        <v>125</v>
      </c>
      <c r="U6409" s="401">
        <f t="shared" ref="U6409:U6411" si="20794">0.006165*F6409^2</f>
        <v>0</v>
      </c>
      <c r="V6409" s="399" t="s">
        <v>125</v>
      </c>
      <c r="W6409" s="399">
        <f t="shared" si="20606"/>
        <v>29</v>
      </c>
      <c r="X6409" s="399" t="s">
        <v>125</v>
      </c>
      <c r="Y6409" s="389">
        <f t="shared" ref="Y6409" si="20795">D6395</f>
        <v>3</v>
      </c>
      <c r="Z6409" s="400" t="s">
        <v>176</v>
      </c>
      <c r="AA6409" s="402">
        <f t="shared" ref="AA6409:AA6411" si="20796">N6409*U6409*W6409*Y6409</f>
        <v>0</v>
      </c>
      <c r="AB6409" s="403"/>
    </row>
    <row r="6410" spans="1:28">
      <c r="A6410" s="384" t="str">
        <f t="shared" ref="A6410:B6410" si="20797">A6385</f>
        <v>Lantai Atap</v>
      </c>
      <c r="B6410" s="385">
        <f t="shared" si="20797"/>
        <v>7</v>
      </c>
      <c r="C6410" s="393" t="s">
        <v>214</v>
      </c>
      <c r="D6410" s="398">
        <f>VLOOKUP(D6385,'Detail Balok'!$C$10:$BJ$140,51,FALSE)</f>
        <v>0</v>
      </c>
      <c r="E6410" s="388" t="s">
        <v>16</v>
      </c>
      <c r="F6410" s="388">
        <f>VLOOKUP(D6385,'Detail Balok'!$C$10:$BJ$140,53,FALSE)</f>
        <v>0</v>
      </c>
      <c r="G6410" s="405" t="s">
        <v>157</v>
      </c>
      <c r="H6410" s="395">
        <f>VLOOKUP(D6385,'Detail Balok'!$C$10:$BJ$140,55,FALSE)</f>
        <v>100</v>
      </c>
      <c r="I6410" s="388"/>
      <c r="J6410" s="399">
        <f t="shared" ref="J6410" si="20798">(D6386-2*F$5)/1000</f>
        <v>0.17</v>
      </c>
      <c r="K6410" s="400" t="s">
        <v>204</v>
      </c>
      <c r="L6410" s="399">
        <f t="shared" si="20792"/>
        <v>0.15</v>
      </c>
      <c r="M6410" s="399" t="s">
        <v>176</v>
      </c>
      <c r="N6410" s="399">
        <f t="shared" si="20793"/>
        <v>0.32</v>
      </c>
      <c r="O6410" s="399"/>
      <c r="P6410" s="399"/>
      <c r="Q6410" s="399"/>
      <c r="R6410" s="399"/>
      <c r="S6410" s="399"/>
      <c r="T6410" s="399" t="s">
        <v>125</v>
      </c>
      <c r="U6410" s="401">
        <f t="shared" si="20794"/>
        <v>0</v>
      </c>
      <c r="V6410" s="399" t="s">
        <v>125</v>
      </c>
      <c r="W6410" s="399">
        <f t="shared" si="20606"/>
        <v>28</v>
      </c>
      <c r="X6410" s="399" t="s">
        <v>125</v>
      </c>
      <c r="Y6410" s="389">
        <f t="shared" ref="Y6410" si="20799">D6395</f>
        <v>3</v>
      </c>
      <c r="Z6410" s="400" t="s">
        <v>176</v>
      </c>
      <c r="AA6410" s="402">
        <f t="shared" si="20796"/>
        <v>0</v>
      </c>
      <c r="AB6410" s="403"/>
    </row>
    <row r="6411" spans="1:28">
      <c r="A6411" s="384" t="str">
        <f t="shared" ref="A6411:B6411" si="20800">A6385</f>
        <v>Lantai Atap</v>
      </c>
      <c r="B6411" s="385">
        <f t="shared" si="20800"/>
        <v>7</v>
      </c>
      <c r="C6411" s="393" t="s">
        <v>213</v>
      </c>
      <c r="D6411" s="398">
        <f>VLOOKUP(D6385,'Detail Balok'!$C$10:$BJ$140,56,FALSE)</f>
        <v>0</v>
      </c>
      <c r="E6411" s="388" t="s">
        <v>16</v>
      </c>
      <c r="F6411" s="388">
        <f>VLOOKUP(D6385,'Detail Balok'!$C$10:$BJ$140,58,FALSE)</f>
        <v>0</v>
      </c>
      <c r="G6411" s="405" t="s">
        <v>157</v>
      </c>
      <c r="H6411" s="395">
        <f>VLOOKUP(D6385,'Detail Balok'!$C$10:$BJ$140,60,FALSE)</f>
        <v>100</v>
      </c>
      <c r="I6411" s="388"/>
      <c r="J6411" s="399">
        <f t="shared" ref="J6411" si="20801">(D6386-2*F$5)/1000</f>
        <v>0.17</v>
      </c>
      <c r="K6411" s="400" t="s">
        <v>204</v>
      </c>
      <c r="L6411" s="399">
        <f t="shared" si="20792"/>
        <v>0.15</v>
      </c>
      <c r="M6411" s="399" t="s">
        <v>176</v>
      </c>
      <c r="N6411" s="399">
        <f t="shared" si="20793"/>
        <v>0.32</v>
      </c>
      <c r="O6411" s="399"/>
      <c r="P6411" s="399"/>
      <c r="Q6411" s="399"/>
      <c r="R6411" s="399"/>
      <c r="S6411" s="399"/>
      <c r="T6411" s="399" t="s">
        <v>125</v>
      </c>
      <c r="U6411" s="401">
        <f t="shared" si="20794"/>
        <v>0</v>
      </c>
      <c r="V6411" s="399" t="s">
        <v>125</v>
      </c>
      <c r="W6411" s="399">
        <f t="shared" si="20606"/>
        <v>29</v>
      </c>
      <c r="X6411" s="399" t="s">
        <v>125</v>
      </c>
      <c r="Y6411" s="389">
        <f t="shared" ref="Y6411" si="20802">D6395</f>
        <v>3</v>
      </c>
      <c r="Z6411" s="400" t="s">
        <v>176</v>
      </c>
      <c r="AA6411" s="402">
        <f t="shared" si="20796"/>
        <v>0</v>
      </c>
      <c r="AB6411" s="403"/>
    </row>
    <row r="6412" spans="1:28">
      <c r="A6412" s="391"/>
      <c r="B6412" s="392"/>
      <c r="C6412" s="392"/>
      <c r="D6412" s="394"/>
      <c r="E6412" s="388"/>
      <c r="F6412" s="388"/>
      <c r="G6412" s="388"/>
      <c r="H6412" s="395"/>
      <c r="I6412" s="388"/>
      <c r="J6412" s="402"/>
      <c r="K6412" s="388"/>
      <c r="L6412" s="388"/>
      <c r="M6412" s="388"/>
      <c r="N6412" s="388"/>
      <c r="O6412" s="388"/>
      <c r="P6412" s="388"/>
      <c r="Q6412" s="388"/>
      <c r="R6412" s="388"/>
      <c r="S6412" s="388"/>
      <c r="T6412" s="388"/>
      <c r="U6412" s="388"/>
      <c r="V6412" s="388"/>
      <c r="W6412" s="388"/>
      <c r="X6412" s="388"/>
      <c r="Y6412" s="389"/>
      <c r="Z6412" s="388"/>
      <c r="AA6412" s="402"/>
      <c r="AB6412" s="403"/>
    </row>
    <row r="6413" spans="1:28" ht="15.75" thickBot="1">
      <c r="A6413" s="406"/>
      <c r="B6413" s="407"/>
      <c r="C6413" s="407"/>
      <c r="D6413" s="408"/>
      <c r="E6413" s="409"/>
      <c r="F6413" s="409"/>
      <c r="G6413" s="409"/>
      <c r="H6413" s="410"/>
      <c r="I6413" s="409"/>
      <c r="J6413" s="409"/>
      <c r="K6413" s="409"/>
      <c r="L6413" s="409"/>
      <c r="M6413" s="409"/>
      <c r="N6413" s="409"/>
      <c r="O6413" s="409"/>
      <c r="P6413" s="409"/>
      <c r="Q6413" s="409"/>
      <c r="R6413" s="409"/>
      <c r="S6413" s="409"/>
      <c r="T6413" s="409"/>
      <c r="U6413" s="409"/>
      <c r="V6413" s="409"/>
      <c r="W6413" s="409"/>
      <c r="X6413" s="409"/>
      <c r="Y6413" s="411"/>
      <c r="Z6413" s="409"/>
      <c r="AA6413" s="412"/>
      <c r="AB6413" s="413"/>
    </row>
    <row r="6414" spans="1:28">
      <c r="A6414" s="377"/>
      <c r="B6414" s="378"/>
      <c r="C6414" s="378"/>
      <c r="D6414" s="379"/>
      <c r="E6414" s="380"/>
      <c r="F6414" s="380"/>
      <c r="G6414" s="380"/>
      <c r="H6414" s="381"/>
      <c r="I6414" s="380"/>
      <c r="J6414" s="380"/>
      <c r="K6414" s="380"/>
      <c r="L6414" s="380"/>
      <c r="M6414" s="380"/>
      <c r="N6414" s="380"/>
      <c r="O6414" s="380"/>
      <c r="P6414" s="380"/>
      <c r="Q6414" s="380"/>
      <c r="R6414" s="380"/>
      <c r="S6414" s="380"/>
      <c r="T6414" s="380"/>
      <c r="U6414" s="380"/>
      <c r="V6414" s="380"/>
      <c r="W6414" s="380"/>
      <c r="X6414" s="380"/>
      <c r="Y6414" s="382"/>
      <c r="Z6414" s="380"/>
      <c r="AA6414" s="380"/>
      <c r="AB6414" s="383"/>
    </row>
    <row r="6415" spans="1:28">
      <c r="A6415" s="384" t="str">
        <f t="shared" si="20615"/>
        <v>Lantai Atap</v>
      </c>
      <c r="B6415" s="385">
        <f t="shared" si="20616"/>
        <v>8</v>
      </c>
      <c r="C6415" s="386" t="str">
        <f t="shared" ref="C6415" si="20803">CONCATENATE(A6415," no. ",B6415)</f>
        <v>Lantai Atap no. 8</v>
      </c>
      <c r="D6415" s="2562" t="str">
        <f>VLOOKUP(C6415,'Data Panjang Balok'!$C$9:$N$254,2,FALSE)</f>
        <v>B24-1</v>
      </c>
      <c r="E6415" s="2576"/>
      <c r="F6415" s="2576"/>
      <c r="G6415" s="2576"/>
      <c r="H6415" s="2577"/>
      <c r="I6415" s="387"/>
      <c r="J6415" s="388"/>
      <c r="K6415" s="388"/>
      <c r="L6415" s="388"/>
      <c r="M6415" s="388"/>
      <c r="N6415" s="388"/>
      <c r="O6415" s="388"/>
      <c r="P6415" s="388"/>
      <c r="Q6415" s="388"/>
      <c r="R6415" s="388"/>
      <c r="S6415" s="388"/>
      <c r="T6415" s="388"/>
      <c r="U6415" s="388"/>
      <c r="V6415" s="388"/>
      <c r="W6415" s="388"/>
      <c r="X6415" s="388"/>
      <c r="Y6415" s="389"/>
      <c r="Z6415" s="388"/>
      <c r="AA6415" s="388"/>
      <c r="AB6415" s="390"/>
    </row>
    <row r="6416" spans="1:28">
      <c r="A6416" s="391"/>
      <c r="B6416" s="392"/>
      <c r="C6416" s="393" t="s">
        <v>118</v>
      </c>
      <c r="D6416" s="2578">
        <f>VLOOKUP(D6415,'Detail Balok'!$C$10:$AU$140,2,FALSE)</f>
        <v>200</v>
      </c>
      <c r="E6416" s="2579"/>
      <c r="F6416" s="388" t="s">
        <v>125</v>
      </c>
      <c r="G6416" s="2579">
        <f>VLOOKUP(D6415,'Detail Balok'!$C$10:$AU$140,3,FALSE)</f>
        <v>400</v>
      </c>
      <c r="H6416" s="2580"/>
      <c r="I6416" s="388"/>
      <c r="J6416" s="396"/>
      <c r="K6416" s="396"/>
      <c r="L6416" s="396"/>
      <c r="M6416" s="396"/>
      <c r="N6416" s="396"/>
      <c r="O6416" s="396"/>
      <c r="P6416" s="396"/>
      <c r="Q6416" s="396"/>
      <c r="R6416" s="396"/>
      <c r="S6416" s="396"/>
      <c r="T6416" s="396"/>
      <c r="U6416" s="388"/>
      <c r="V6416" s="396"/>
      <c r="W6416" s="388"/>
      <c r="X6416" s="396"/>
      <c r="Y6416" s="389"/>
      <c r="Z6416" s="396"/>
      <c r="AA6416" s="388"/>
      <c r="AB6416" s="390"/>
    </row>
    <row r="6417" spans="1:28">
      <c r="A6417" s="391"/>
      <c r="B6417" s="392"/>
      <c r="C6417" s="393" t="s">
        <v>198</v>
      </c>
      <c r="D6417" s="2562">
        <f>VLOOKUP(C6415,'Data Panjang Balok'!$C$9:$N$254,4,FALSE)</f>
        <v>3925</v>
      </c>
      <c r="E6417" s="2563"/>
      <c r="F6417" s="2563"/>
      <c r="G6417" s="2563"/>
      <c r="H6417" s="2564"/>
      <c r="I6417" s="397"/>
      <c r="J6417" s="396"/>
      <c r="K6417" s="396"/>
      <c r="L6417" s="396"/>
      <c r="M6417" s="396"/>
      <c r="N6417" s="396"/>
      <c r="O6417" s="396"/>
      <c r="P6417" s="396"/>
      <c r="Q6417" s="396"/>
      <c r="R6417" s="396"/>
      <c r="S6417" s="396"/>
      <c r="T6417" s="396"/>
      <c r="U6417" s="388"/>
      <c r="V6417" s="396"/>
      <c r="W6417" s="388"/>
      <c r="X6417" s="396"/>
      <c r="Y6417" s="389"/>
      <c r="Z6417" s="396"/>
      <c r="AA6417" s="388"/>
      <c r="AB6417" s="390"/>
    </row>
    <row r="6418" spans="1:28">
      <c r="A6418" s="391"/>
      <c r="B6418" s="392"/>
      <c r="C6418" s="393" t="s">
        <v>199</v>
      </c>
      <c r="D6418" s="2562">
        <f>VLOOKUP(C6415,'Data Panjang Balok'!$C$9:$N$254,7,FALSE)</f>
        <v>3925</v>
      </c>
      <c r="E6418" s="2563"/>
      <c r="F6418" s="2563"/>
      <c r="G6418" s="2563"/>
      <c r="H6418" s="2564"/>
      <c r="I6418" s="397"/>
      <c r="J6418" s="396"/>
      <c r="K6418" s="396"/>
      <c r="L6418" s="396"/>
      <c r="M6418" s="396"/>
      <c r="N6418" s="396"/>
      <c r="O6418" s="396"/>
      <c r="P6418" s="396"/>
      <c r="Q6418" s="396"/>
      <c r="R6418" s="396"/>
      <c r="S6418" s="396"/>
      <c r="T6418" s="396"/>
      <c r="U6418" s="388"/>
      <c r="V6418" s="396"/>
      <c r="W6418" s="388"/>
      <c r="X6418" s="396"/>
      <c r="Y6418" s="389"/>
      <c r="Z6418" s="396"/>
      <c r="AA6418" s="388"/>
      <c r="AB6418" s="390"/>
    </row>
    <row r="6419" spans="1:28">
      <c r="A6419" s="391"/>
      <c r="B6419" s="392"/>
      <c r="C6419" s="393" t="s">
        <v>200</v>
      </c>
      <c r="D6419" s="2562">
        <f>VLOOKUP(C6415,'Data Panjang Balok'!$C$9:$N$254,9,FALSE)</f>
        <v>0</v>
      </c>
      <c r="E6419" s="2563"/>
      <c r="F6419" s="2563"/>
      <c r="G6419" s="2563"/>
      <c r="H6419" s="2564"/>
      <c r="I6419" s="397"/>
      <c r="J6419" s="396"/>
      <c r="K6419" s="396"/>
      <c r="L6419" s="396"/>
      <c r="M6419" s="396"/>
      <c r="N6419" s="396"/>
      <c r="O6419" s="396"/>
      <c r="P6419" s="396"/>
      <c r="Q6419" s="396"/>
      <c r="R6419" s="396"/>
      <c r="S6419" s="396"/>
      <c r="T6419" s="396"/>
      <c r="U6419" s="388"/>
      <c r="V6419" s="396"/>
      <c r="W6419" s="388"/>
      <c r="X6419" s="396"/>
      <c r="Y6419" s="389"/>
      <c r="Z6419" s="396"/>
      <c r="AA6419" s="388"/>
      <c r="AB6419" s="390"/>
    </row>
    <row r="6420" spans="1:28">
      <c r="A6420" s="391"/>
      <c r="B6420" s="392"/>
      <c r="C6420" s="393" t="s">
        <v>201</v>
      </c>
      <c r="D6420" s="2562">
        <f>VLOOKUP(C6415,'Data Panjang Balok'!$C$9:$N$254,10,FALSE)</f>
        <v>0</v>
      </c>
      <c r="E6420" s="2563"/>
      <c r="F6420" s="2563"/>
      <c r="G6420" s="2563"/>
      <c r="H6420" s="2564"/>
      <c r="I6420" s="397"/>
      <c r="J6420" s="396"/>
      <c r="K6420" s="396"/>
      <c r="L6420" s="396"/>
      <c r="M6420" s="396"/>
      <c r="N6420" s="396"/>
      <c r="O6420" s="396"/>
      <c r="P6420" s="396"/>
      <c r="Q6420" s="396"/>
      <c r="R6420" s="396"/>
      <c r="S6420" s="396"/>
      <c r="T6420" s="396"/>
      <c r="U6420" s="388"/>
      <c r="V6420" s="396"/>
      <c r="W6420" s="388"/>
      <c r="X6420" s="396"/>
      <c r="Y6420" s="389"/>
      <c r="Z6420" s="396"/>
      <c r="AA6420" s="388"/>
      <c r="AB6420" s="390"/>
    </row>
    <row r="6421" spans="1:28">
      <c r="A6421" s="391"/>
      <c r="B6421" s="392"/>
      <c r="C6421" s="393" t="s">
        <v>48</v>
      </c>
      <c r="D6421" s="2562">
        <f>VLOOKUP(C6415,'Data Panjang Balok'!$C$9:$N$254,3,FALSE)</f>
        <v>1</v>
      </c>
      <c r="E6421" s="2563"/>
      <c r="F6421" s="2563"/>
      <c r="G6421" s="2563"/>
      <c r="H6421" s="2564"/>
      <c r="I6421" s="397"/>
      <c r="J6421" s="396"/>
      <c r="K6421" s="396"/>
      <c r="L6421" s="396"/>
      <c r="M6421" s="396"/>
      <c r="N6421" s="396"/>
      <c r="O6421" s="396"/>
      <c r="P6421" s="396"/>
      <c r="Q6421" s="396"/>
      <c r="R6421" s="396"/>
      <c r="S6421" s="396"/>
      <c r="T6421" s="396"/>
      <c r="U6421" s="388"/>
      <c r="V6421" s="396"/>
      <c r="W6421" s="388"/>
      <c r="X6421" s="396"/>
      <c r="Y6421" s="389"/>
      <c r="Z6421" s="396"/>
      <c r="AA6421" s="388"/>
      <c r="AB6421" s="390"/>
    </row>
    <row r="6422" spans="1:28">
      <c r="A6422" s="384" t="str">
        <f t="shared" ref="A6422:B6422" si="20804">A6415</f>
        <v>Lantai Atap</v>
      </c>
      <c r="B6422" s="385">
        <f t="shared" si="20804"/>
        <v>8</v>
      </c>
      <c r="C6422" s="393" t="s">
        <v>202</v>
      </c>
      <c r="D6422" s="398">
        <f>VLOOKUP(D6415,'Detail Balok'!$C$10:$AU$140,4,FALSE)</f>
        <v>3</v>
      </c>
      <c r="E6422" s="388" t="s">
        <v>16</v>
      </c>
      <c r="F6422" s="388">
        <f>VLOOKUP(D6415,'Detail Balok'!$C$10:$AU$140,6,FALSE)</f>
        <v>13</v>
      </c>
      <c r="G6422" s="388"/>
      <c r="H6422" s="395"/>
      <c r="I6422" s="388" t="s">
        <v>203</v>
      </c>
      <c r="J6422" s="399">
        <f t="shared" ref="J6422" si="20805">+D6417/4/1000</f>
        <v>0.98124999999999996</v>
      </c>
      <c r="K6422" s="400" t="s">
        <v>204</v>
      </c>
      <c r="L6422" s="399">
        <f t="shared" ref="L6422" si="20806">MAX(VLOOKUP(F6422,N$6:P$15,3,FALSE)/1000,2/3*D6419/1000)+F$16*F6422/1000</f>
        <v>0.156</v>
      </c>
      <c r="M6422" s="399" t="s">
        <v>176</v>
      </c>
      <c r="N6422" s="399">
        <f t="shared" ref="N6422:N6424" si="20807">J6422+L6422</f>
        <v>1.1372499999999999</v>
      </c>
      <c r="O6422" s="399" t="s">
        <v>204</v>
      </c>
      <c r="P6422" s="389">
        <f t="shared" ref="P6422" si="20808">D6422-D6423</f>
        <v>0</v>
      </c>
      <c r="Q6422" s="399" t="s">
        <v>125</v>
      </c>
      <c r="R6422" s="399">
        <f t="shared" ref="R6422" si="20809">IF(P6422&gt;0,$F$18*F6422/1000,0)</f>
        <v>0</v>
      </c>
      <c r="S6422" s="399" t="s">
        <v>205</v>
      </c>
      <c r="T6422" s="399" t="s">
        <v>125</v>
      </c>
      <c r="U6422" s="401">
        <f t="shared" ref="U6422:U6424" si="20810">0.006165*F6422^2</f>
        <v>1.041885</v>
      </c>
      <c r="V6422" s="399"/>
      <c r="W6422" s="399"/>
      <c r="X6422" s="399" t="s">
        <v>125</v>
      </c>
      <c r="Y6422" s="389">
        <f t="shared" ref="Y6422" si="20811">D6421</f>
        <v>1</v>
      </c>
      <c r="Z6422" s="400" t="s">
        <v>176</v>
      </c>
      <c r="AA6422" s="402">
        <f t="shared" ref="AA6422" si="20812">IF(AA6425=0,(D6422*N6422+P6422*R6422)*U6422*Y6422,0)</f>
        <v>0</v>
      </c>
      <c r="AB6422" s="403"/>
    </row>
    <row r="6423" spans="1:28">
      <c r="A6423" s="384" t="str">
        <f t="shared" ref="A6423:B6423" si="20813">A6415</f>
        <v>Lantai Atap</v>
      </c>
      <c r="B6423" s="385">
        <f t="shared" si="20813"/>
        <v>8</v>
      </c>
      <c r="C6423" s="393" t="s">
        <v>206</v>
      </c>
      <c r="D6423" s="398">
        <f>VLOOKUP(D6415,'Detail Balok'!$C$10:$AU$140,7,FALSE)</f>
        <v>3</v>
      </c>
      <c r="E6423" s="388" t="s">
        <v>16</v>
      </c>
      <c r="F6423" s="388">
        <f>VLOOKUP(D6415,'Detail Balok'!$C$10:$AU$140,9,FALSE)</f>
        <v>13</v>
      </c>
      <c r="G6423" s="388"/>
      <c r="H6423" s="395"/>
      <c r="I6423" s="388" t="s">
        <v>203</v>
      </c>
      <c r="J6423" s="399">
        <f t="shared" ref="J6423" si="20814">+D6417/2/1000</f>
        <v>1.9624999999999999</v>
      </c>
      <c r="K6423" s="400" t="s">
        <v>204</v>
      </c>
      <c r="L6423" s="399"/>
      <c r="M6423" s="399" t="s">
        <v>176</v>
      </c>
      <c r="N6423" s="399">
        <f t="shared" si="20807"/>
        <v>1.9624999999999999</v>
      </c>
      <c r="O6423" s="399" t="s">
        <v>204</v>
      </c>
      <c r="P6423" s="389">
        <f t="shared" ref="P6423" si="20815">MAX(D6423-D6422,D6423-D6424)</f>
        <v>0</v>
      </c>
      <c r="Q6423" s="399" t="s">
        <v>125</v>
      </c>
      <c r="R6423" s="399">
        <f t="shared" ref="R6423" si="20816">IF(P6423&gt;0,2*(1-2*$F$19-1/2)*D6418/1000,0)</f>
        <v>0</v>
      </c>
      <c r="S6423" s="399" t="s">
        <v>205</v>
      </c>
      <c r="T6423" s="399" t="s">
        <v>125</v>
      </c>
      <c r="U6423" s="401">
        <f t="shared" si="20810"/>
        <v>1.041885</v>
      </c>
      <c r="V6423" s="399"/>
      <c r="W6423" s="399"/>
      <c r="X6423" s="399" t="s">
        <v>125</v>
      </c>
      <c r="Y6423" s="389">
        <f t="shared" ref="Y6423" si="20817">D6421</f>
        <v>1</v>
      </c>
      <c r="Z6423" s="400" t="s">
        <v>176</v>
      </c>
      <c r="AA6423" s="402">
        <f t="shared" ref="AA6423" si="20818">IF(AA6425=0,(D6423*N6423+P6423*R6423)*U6423*Y6423,0)</f>
        <v>0</v>
      </c>
      <c r="AB6423" s="403"/>
    </row>
    <row r="6424" spans="1:28">
      <c r="A6424" s="384" t="str">
        <f t="shared" ref="A6424:B6424" si="20819">A6415</f>
        <v>Lantai Atap</v>
      </c>
      <c r="B6424" s="385">
        <f t="shared" si="20819"/>
        <v>8</v>
      </c>
      <c r="C6424" s="393" t="s">
        <v>202</v>
      </c>
      <c r="D6424" s="398">
        <f>VLOOKUP(D6415,'Detail Balok'!$C$10:$AU$140,10,FALSE)</f>
        <v>3</v>
      </c>
      <c r="E6424" s="388" t="s">
        <v>16</v>
      </c>
      <c r="F6424" s="388">
        <f>VLOOKUP(D6415,'Detail Balok'!$C$10:$AU$140,12,FALSE)</f>
        <v>13</v>
      </c>
      <c r="G6424" s="388"/>
      <c r="H6424" s="395"/>
      <c r="I6424" s="388" t="s">
        <v>203</v>
      </c>
      <c r="J6424" s="399">
        <f t="shared" ref="J6424" si="20820">+D6417/4/1000</f>
        <v>0.98124999999999996</v>
      </c>
      <c r="K6424" s="400" t="s">
        <v>204</v>
      </c>
      <c r="L6424" s="399">
        <f t="shared" ref="L6424" si="20821">MAX(VLOOKUP(F6424,N$6:P$15,3,FALSE)/1000,2/3*D6419/1000)+F$16*F6424/1000</f>
        <v>0.156</v>
      </c>
      <c r="M6424" s="399" t="s">
        <v>176</v>
      </c>
      <c r="N6424" s="399">
        <f t="shared" si="20807"/>
        <v>1.1372499999999999</v>
      </c>
      <c r="O6424" s="399" t="s">
        <v>204</v>
      </c>
      <c r="P6424" s="389">
        <f t="shared" ref="P6424" si="20822">D6424-D6423</f>
        <v>0</v>
      </c>
      <c r="Q6424" s="399" t="s">
        <v>125</v>
      </c>
      <c r="R6424" s="399">
        <f t="shared" ref="R6424" si="20823">IF(P6424&gt;0,$F$18*F6424/1000,0)</f>
        <v>0</v>
      </c>
      <c r="S6424" s="399" t="s">
        <v>205</v>
      </c>
      <c r="T6424" s="399" t="s">
        <v>125</v>
      </c>
      <c r="U6424" s="401">
        <f t="shared" si="20810"/>
        <v>1.041885</v>
      </c>
      <c r="V6424" s="399"/>
      <c r="W6424" s="399"/>
      <c r="X6424" s="399" t="s">
        <v>125</v>
      </c>
      <c r="Y6424" s="389">
        <f t="shared" ref="Y6424" si="20824">D6421</f>
        <v>1</v>
      </c>
      <c r="Z6424" s="400" t="s">
        <v>176</v>
      </c>
      <c r="AA6424" s="402">
        <f t="shared" ref="AA6424" si="20825">IF(AA6425=0,(D6424*N6424+P6424*R6424)*U6424*Y6424,0)</f>
        <v>0</v>
      </c>
      <c r="AB6424" s="403"/>
    </row>
    <row r="6425" spans="1:28">
      <c r="A6425" s="384" t="str">
        <f t="shared" ref="A6425:B6425" si="20826">A6415</f>
        <v>Lantai Atap</v>
      </c>
      <c r="B6425" s="385">
        <f t="shared" si="20826"/>
        <v>8</v>
      </c>
      <c r="C6425" s="393"/>
      <c r="D6425" s="398">
        <f t="shared" ref="D6425:D6485" si="20827">IF(AND(D6422=D6423,D6423=D6424,D6422=D6424),D6422,0)</f>
        <v>3</v>
      </c>
      <c r="E6425" s="388" t="s">
        <v>16</v>
      </c>
      <c r="F6425" s="388">
        <f t="shared" ref="F6425:F6485" si="20828">IF(AND(F6422=F6423,F6422=F6424,F6423=F6424),F6422,0)</f>
        <v>13</v>
      </c>
      <c r="G6425" s="388"/>
      <c r="H6425" s="395"/>
      <c r="I6425" s="388"/>
      <c r="J6425" s="396"/>
      <c r="K6425" s="396"/>
      <c r="L6425" s="404" t="s">
        <v>207</v>
      </c>
      <c r="M6425" s="399" t="s">
        <v>176</v>
      </c>
      <c r="N6425" s="399">
        <f t="shared" ref="N6425" si="20829">IF(AND(D6422=D6423,D6422=D6424,D6423=D6424,F6422=F6423,F6422=F6424,F6423=F6424),SUM(N6422:N6424),0)</f>
        <v>4.2370000000000001</v>
      </c>
      <c r="O6425" s="399" t="s">
        <v>204</v>
      </c>
      <c r="P6425" s="389">
        <f t="shared" ref="P6425" si="20830">IF(N6425&gt;12,ROUNDDOWN(N6425/12,0),0)</f>
        <v>0</v>
      </c>
      <c r="Q6425" s="399" t="s">
        <v>125</v>
      </c>
      <c r="R6425" s="399">
        <f t="shared" ref="R6425" si="20831">IF(P6425&gt;0,MAX(VLOOKUP(F6425,$D$6:$G$15,3,FALSE),600),0)/1000</f>
        <v>0</v>
      </c>
      <c r="S6425" s="396"/>
      <c r="T6425" s="396" t="s">
        <v>125</v>
      </c>
      <c r="U6425" s="401">
        <f t="shared" ref="U6425:U6485" si="20832">U6424</f>
        <v>1.041885</v>
      </c>
      <c r="V6425" s="396" t="s">
        <v>125</v>
      </c>
      <c r="W6425" s="399">
        <f t="shared" ref="W6425" si="20833">D6425</f>
        <v>3</v>
      </c>
      <c r="X6425" s="399" t="s">
        <v>125</v>
      </c>
      <c r="Y6425" s="389">
        <f t="shared" ref="Y6425:Y6485" si="20834">Y6424</f>
        <v>1</v>
      </c>
      <c r="Z6425" s="400" t="s">
        <v>176</v>
      </c>
      <c r="AA6425" s="402">
        <f t="shared" ref="AA6425" si="20835">(N6425+P6425*R6425/1000)*U6425*W6425*Y6425</f>
        <v>13.243400234999999</v>
      </c>
      <c r="AB6425" s="390"/>
    </row>
    <row r="6426" spans="1:28">
      <c r="A6426" s="384"/>
      <c r="B6426" s="385"/>
      <c r="C6426" s="393"/>
      <c r="D6426" s="398"/>
      <c r="E6426" s="388"/>
      <c r="F6426" s="388"/>
      <c r="G6426" s="388"/>
      <c r="H6426" s="395"/>
      <c r="I6426" s="388"/>
      <c r="J6426" s="396"/>
      <c r="K6426" s="396"/>
      <c r="L6426" s="404"/>
      <c r="M6426" s="399"/>
      <c r="N6426" s="399"/>
      <c r="O6426" s="396"/>
      <c r="P6426" s="389"/>
      <c r="Q6426" s="396"/>
      <c r="R6426" s="396"/>
      <c r="S6426" s="396"/>
      <c r="T6426" s="396"/>
      <c r="U6426" s="401"/>
      <c r="V6426" s="396"/>
      <c r="W6426" s="399"/>
      <c r="X6426" s="396"/>
      <c r="Y6426" s="389"/>
      <c r="Z6426" s="396"/>
      <c r="AA6426" s="388"/>
      <c r="AB6426" s="390"/>
    </row>
    <row r="6427" spans="1:28">
      <c r="A6427" s="384" t="str">
        <f t="shared" ref="A6427:B6427" si="20836">A6415</f>
        <v>Lantai Atap</v>
      </c>
      <c r="B6427" s="385">
        <f t="shared" si="20836"/>
        <v>8</v>
      </c>
      <c r="C6427" s="393" t="s">
        <v>208</v>
      </c>
      <c r="D6427" s="398">
        <f>VLOOKUP(D6415,'Detail Balok'!$C$10:$AU$140,13,FALSE)</f>
        <v>0</v>
      </c>
      <c r="E6427" s="388" t="s">
        <v>16</v>
      </c>
      <c r="F6427" s="388">
        <f>VLOOKUP(D6415,'Detail Balok'!$C$10:$AU$140,15,FALSE)</f>
        <v>8</v>
      </c>
      <c r="G6427" s="388"/>
      <c r="H6427" s="395"/>
      <c r="I6427" s="388"/>
      <c r="J6427" s="399">
        <f t="shared" ref="J6427" si="20837">+D6417/1000</f>
        <v>3.9249999999999998</v>
      </c>
      <c r="K6427" s="400" t="s">
        <v>204</v>
      </c>
      <c r="L6427" s="399">
        <f t="shared" ref="L6427" si="20838">2*$F$16*F6427/1000</f>
        <v>0.192</v>
      </c>
      <c r="M6427" s="399" t="s">
        <v>176</v>
      </c>
      <c r="N6427" s="399">
        <f t="shared" ref="N6427" si="20839">J6427+L6427</f>
        <v>4.117</v>
      </c>
      <c r="O6427" s="399" t="s">
        <v>204</v>
      </c>
      <c r="P6427" s="389">
        <f t="shared" ref="P6427" si="20840">IF(N6427&gt;12,ROUNDDOWN(N6427/12,0),0)</f>
        <v>0</v>
      </c>
      <c r="Q6427" s="399" t="s">
        <v>125</v>
      </c>
      <c r="R6427" s="399">
        <f t="shared" ref="R6427" si="20841">IF(P6427&gt;0,MAX(VLOOKUP(F6427,$D$6:$G$15,3,FALSE),600),0)/1000</f>
        <v>0</v>
      </c>
      <c r="S6427" s="399"/>
      <c r="T6427" s="399" t="s">
        <v>125</v>
      </c>
      <c r="U6427" s="401">
        <f t="shared" ref="U6427" si="20842">0.006165*F6427^2</f>
        <v>0.39456000000000002</v>
      </c>
      <c r="V6427" s="399" t="s">
        <v>125</v>
      </c>
      <c r="W6427" s="399">
        <f t="shared" ref="W6427" si="20843">+D6427</f>
        <v>0</v>
      </c>
      <c r="X6427" s="399" t="s">
        <v>125</v>
      </c>
      <c r="Y6427" s="389">
        <f t="shared" ref="Y6427" si="20844">D6421</f>
        <v>1</v>
      </c>
      <c r="Z6427" s="400" t="s">
        <v>176</v>
      </c>
      <c r="AA6427" s="402">
        <f t="shared" ref="AA6427" si="20845">(N6427+P6427*R6427/1000)*U6427*W6427*Y6427</f>
        <v>0</v>
      </c>
      <c r="AB6427" s="403"/>
    </row>
    <row r="6428" spans="1:28">
      <c r="A6428" s="384"/>
      <c r="B6428" s="385"/>
      <c r="C6428" s="393"/>
      <c r="D6428" s="398"/>
      <c r="E6428" s="388"/>
      <c r="F6428" s="388"/>
      <c r="G6428" s="388"/>
      <c r="H6428" s="395"/>
      <c r="I6428" s="388"/>
      <c r="J6428" s="399"/>
      <c r="K6428" s="400"/>
      <c r="L6428" s="399"/>
      <c r="M6428" s="399"/>
      <c r="N6428" s="399"/>
      <c r="O6428" s="399"/>
      <c r="P6428" s="389"/>
      <c r="Q6428" s="399"/>
      <c r="R6428" s="399"/>
      <c r="S6428" s="399"/>
      <c r="T6428" s="399"/>
      <c r="U6428" s="401"/>
      <c r="V6428" s="399"/>
      <c r="W6428" s="399"/>
      <c r="X6428" s="399"/>
      <c r="Y6428" s="389"/>
      <c r="Z6428" s="400"/>
      <c r="AA6428" s="402"/>
      <c r="AB6428" s="403"/>
    </row>
    <row r="6429" spans="1:28">
      <c r="A6429" s="384"/>
      <c r="B6429" s="385"/>
      <c r="C6429" s="393"/>
      <c r="D6429" s="398"/>
      <c r="E6429" s="388"/>
      <c r="F6429" s="388"/>
      <c r="G6429" s="388"/>
      <c r="H6429" s="395"/>
      <c r="I6429" s="388"/>
      <c r="J6429" s="396"/>
      <c r="K6429" s="396"/>
      <c r="L6429" s="396"/>
      <c r="M6429" s="396"/>
      <c r="N6429" s="396"/>
      <c r="O6429" s="396"/>
      <c r="P6429" s="389"/>
      <c r="Q6429" s="396"/>
      <c r="R6429" s="396"/>
      <c r="S6429" s="396"/>
      <c r="T6429" s="396"/>
      <c r="U6429" s="401"/>
      <c r="V6429" s="396"/>
      <c r="W6429" s="399"/>
      <c r="X6429" s="396"/>
      <c r="Y6429" s="389"/>
      <c r="Z6429" s="396"/>
      <c r="AA6429" s="388"/>
      <c r="AB6429" s="390"/>
    </row>
    <row r="6430" spans="1:28">
      <c r="A6430" s="384" t="str">
        <f t="shared" ref="A6430:B6430" si="20846">A6415</f>
        <v>Lantai Atap</v>
      </c>
      <c r="B6430" s="385">
        <f t="shared" si="20846"/>
        <v>8</v>
      </c>
      <c r="C6430" s="393" t="s">
        <v>209</v>
      </c>
      <c r="D6430" s="398">
        <f>VLOOKUP(D6415,'Detail Balok'!$C$10:$AU$140,22,FALSE)</f>
        <v>3</v>
      </c>
      <c r="E6430" s="388" t="s">
        <v>16</v>
      </c>
      <c r="F6430" s="388">
        <f>VLOOKUP(D6415,'Detail Balok'!$C$10:$AU$140,24,FALSE)</f>
        <v>13</v>
      </c>
      <c r="G6430" s="388"/>
      <c r="H6430" s="395"/>
      <c r="I6430" s="388" t="s">
        <v>203</v>
      </c>
      <c r="J6430" s="399">
        <f t="shared" ref="J6430:J6492" si="20847">+J6422</f>
        <v>0.98124999999999996</v>
      </c>
      <c r="K6430" s="400" t="s">
        <v>204</v>
      </c>
      <c r="L6430" s="399">
        <f t="shared" ref="L6430" si="20848">MAX(VLOOKUP(F6430,N$6:P$15,3,FALSE)/1000,2/3*D6420/1000)+F$16*F6430/1000</f>
        <v>0.156</v>
      </c>
      <c r="M6430" s="399" t="s">
        <v>176</v>
      </c>
      <c r="N6430" s="399">
        <f t="shared" ref="N6430:N6432" si="20849">J6430+L6430</f>
        <v>1.1372499999999999</v>
      </c>
      <c r="O6430" s="399" t="s">
        <v>204</v>
      </c>
      <c r="P6430" s="389">
        <f t="shared" ref="P6430" si="20850">D6430-D6431</f>
        <v>0</v>
      </c>
      <c r="Q6430" s="399" t="s">
        <v>125</v>
      </c>
      <c r="R6430" s="399">
        <f t="shared" ref="R6430" si="20851">IF(P6430&gt;0,$F$18*F6430/1000,0)</f>
        <v>0</v>
      </c>
      <c r="S6430" s="399" t="s">
        <v>205</v>
      </c>
      <c r="T6430" s="399" t="s">
        <v>125</v>
      </c>
      <c r="U6430" s="401">
        <f t="shared" ref="U6430:U6432" si="20852">0.006165*F6430^2</f>
        <v>1.041885</v>
      </c>
      <c r="V6430" s="399"/>
      <c r="W6430" s="399"/>
      <c r="X6430" s="399" t="s">
        <v>125</v>
      </c>
      <c r="Y6430" s="389">
        <f t="shared" ref="Y6430" si="20853">D6421</f>
        <v>1</v>
      </c>
      <c r="Z6430" s="400" t="s">
        <v>176</v>
      </c>
      <c r="AA6430" s="402">
        <f t="shared" ref="AA6430" si="20854">IF(AA6433=0,(D6430*N6430+P6430*R6430)*U6430*Y6430,0)</f>
        <v>0</v>
      </c>
      <c r="AB6430" s="403"/>
    </row>
    <row r="6431" spans="1:28">
      <c r="A6431" s="384" t="str">
        <f t="shared" ref="A6431:B6431" si="20855">A6415</f>
        <v>Lantai Atap</v>
      </c>
      <c r="B6431" s="385">
        <f t="shared" si="20855"/>
        <v>8</v>
      </c>
      <c r="C6431" s="393" t="s">
        <v>210</v>
      </c>
      <c r="D6431" s="398">
        <f>VLOOKUP(D6415,'Detail Balok'!$C$10:$AU$140,25,FALSE)</f>
        <v>3</v>
      </c>
      <c r="E6431" s="388" t="s">
        <v>16</v>
      </c>
      <c r="F6431" s="388">
        <f>VLOOKUP(D6415,'Detail Balok'!$C$10:$AU$140,27,FALSE)</f>
        <v>13</v>
      </c>
      <c r="G6431" s="388"/>
      <c r="H6431" s="395"/>
      <c r="I6431" s="388" t="s">
        <v>203</v>
      </c>
      <c r="J6431" s="399">
        <f t="shared" si="20847"/>
        <v>1.9624999999999999</v>
      </c>
      <c r="K6431" s="400" t="s">
        <v>204</v>
      </c>
      <c r="L6431" s="399"/>
      <c r="M6431" s="399" t="s">
        <v>176</v>
      </c>
      <c r="N6431" s="399">
        <f t="shared" si="20849"/>
        <v>1.9624999999999999</v>
      </c>
      <c r="O6431" s="399" t="s">
        <v>204</v>
      </c>
      <c r="P6431" s="389">
        <f t="shared" ref="P6431" si="20856">MAX(D6431-D6430,D6431-D6432)</f>
        <v>0</v>
      </c>
      <c r="Q6431" s="399" t="s">
        <v>125</v>
      </c>
      <c r="R6431" s="399">
        <f t="shared" ref="R6431" si="20857">IF(P6431&gt;0,2*(1-2*$F$19-1/2)*D6418/1000,0)</f>
        <v>0</v>
      </c>
      <c r="S6431" s="399" t="s">
        <v>205</v>
      </c>
      <c r="T6431" s="399" t="s">
        <v>125</v>
      </c>
      <c r="U6431" s="401">
        <f t="shared" si="20852"/>
        <v>1.041885</v>
      </c>
      <c r="V6431" s="399"/>
      <c r="W6431" s="399"/>
      <c r="X6431" s="399" t="s">
        <v>125</v>
      </c>
      <c r="Y6431" s="389">
        <f t="shared" ref="Y6431" si="20858">D6421</f>
        <v>1</v>
      </c>
      <c r="Z6431" s="400" t="s">
        <v>176</v>
      </c>
      <c r="AA6431" s="402">
        <f t="shared" ref="AA6431" si="20859">IF(AA6433=0,(D6431*N6431+P6431*R6431)*U6431*Y6431,0)</f>
        <v>0</v>
      </c>
      <c r="AB6431" s="403"/>
    </row>
    <row r="6432" spans="1:28">
      <c r="A6432" s="384" t="str">
        <f t="shared" ref="A6432:B6432" si="20860">A6415</f>
        <v>Lantai Atap</v>
      </c>
      <c r="B6432" s="385">
        <f t="shared" si="20860"/>
        <v>8</v>
      </c>
      <c r="C6432" s="393" t="s">
        <v>209</v>
      </c>
      <c r="D6432" s="398">
        <f>VLOOKUP(D6415,'Detail Balok'!$C$10:$AU$140,28,FALSE)</f>
        <v>3</v>
      </c>
      <c r="E6432" s="388" t="s">
        <v>16</v>
      </c>
      <c r="F6432" s="388">
        <f>VLOOKUP(D6415,'Detail Balok'!$C$10:$AU$140,30,FALSE)</f>
        <v>13</v>
      </c>
      <c r="G6432" s="388"/>
      <c r="H6432" s="395"/>
      <c r="I6432" s="388" t="s">
        <v>203</v>
      </c>
      <c r="J6432" s="399">
        <f t="shared" si="20847"/>
        <v>0.98124999999999996</v>
      </c>
      <c r="K6432" s="400" t="s">
        <v>204</v>
      </c>
      <c r="L6432" s="399">
        <f t="shared" ref="L6432" si="20861">MAX(VLOOKUP(F6432,N$6:P$15,3,FALSE)/1000,2/3*D6420/1000)+F$16*F6432/1000</f>
        <v>0.156</v>
      </c>
      <c r="M6432" s="399" t="s">
        <v>176</v>
      </c>
      <c r="N6432" s="399">
        <f t="shared" si="20849"/>
        <v>1.1372499999999999</v>
      </c>
      <c r="O6432" s="399" t="s">
        <v>204</v>
      </c>
      <c r="P6432" s="389">
        <f t="shared" ref="P6432" si="20862">D6432-D6431</f>
        <v>0</v>
      </c>
      <c r="Q6432" s="399" t="s">
        <v>125</v>
      </c>
      <c r="R6432" s="399">
        <f t="shared" ref="R6432" si="20863">IF(P6432&gt;0,$F$18*F6432/1000,0)</f>
        <v>0</v>
      </c>
      <c r="S6432" s="399" t="s">
        <v>205</v>
      </c>
      <c r="T6432" s="399" t="s">
        <v>125</v>
      </c>
      <c r="U6432" s="401">
        <f t="shared" si="20852"/>
        <v>1.041885</v>
      </c>
      <c r="V6432" s="399"/>
      <c r="W6432" s="399"/>
      <c r="X6432" s="399" t="s">
        <v>125</v>
      </c>
      <c r="Y6432" s="389">
        <f t="shared" ref="Y6432" si="20864">D6421</f>
        <v>1</v>
      </c>
      <c r="Z6432" s="400" t="s">
        <v>176</v>
      </c>
      <c r="AA6432" s="402">
        <f t="shared" ref="AA6432" si="20865">IF(AA6433=0,(D6432*N6432+P6432*R6432)*U6432*Y6432,0)</f>
        <v>0</v>
      </c>
      <c r="AB6432" s="403"/>
    </row>
    <row r="6433" spans="1:28">
      <c r="A6433" s="384" t="str">
        <f t="shared" ref="A6433:B6433" si="20866">A6415</f>
        <v>Lantai Atap</v>
      </c>
      <c r="B6433" s="385">
        <f t="shared" si="20866"/>
        <v>8</v>
      </c>
      <c r="C6433" s="393"/>
      <c r="D6433" s="398">
        <f t="shared" ref="D6433:D6493" si="20867">IF(AND(D6430=D6431,D6431=D6432,D6430=D6432),D6430,0)</f>
        <v>3</v>
      </c>
      <c r="E6433" s="388" t="s">
        <v>16</v>
      </c>
      <c r="F6433" s="388">
        <f t="shared" ref="F6433:F6493" si="20868">IF(AND(F6430=F6431,F6430=F6432,F6431=F6432),F6430,0)</f>
        <v>13</v>
      </c>
      <c r="G6433" s="388"/>
      <c r="H6433" s="395"/>
      <c r="I6433" s="388"/>
      <c r="J6433" s="396"/>
      <c r="K6433" s="396"/>
      <c r="L6433" s="404" t="s">
        <v>207</v>
      </c>
      <c r="M6433" s="399" t="s">
        <v>176</v>
      </c>
      <c r="N6433" s="399">
        <f t="shared" ref="N6433" si="20869">IF(AND(D6430=D6431,D6430=D6432,D6431=D6432,F6430=F6431,F6430=F6432,F6431=F6432),SUM(N6430:N6432),0)</f>
        <v>4.2370000000000001</v>
      </c>
      <c r="O6433" s="399" t="s">
        <v>204</v>
      </c>
      <c r="P6433" s="389">
        <f t="shared" ref="P6433" si="20870">IF(N6433&gt;12,ROUNDDOWN(N6433/12,0),0)</f>
        <v>0</v>
      </c>
      <c r="Q6433" s="399" t="s">
        <v>125</v>
      </c>
      <c r="R6433" s="399">
        <f t="shared" ref="R6433" si="20871">IF(P6433&gt;0,MAX(VLOOKUP(F6433,$D$6:$G$15,3,FALSE),600),0)/1000</f>
        <v>0</v>
      </c>
      <c r="S6433" s="396"/>
      <c r="T6433" s="396" t="s">
        <v>125</v>
      </c>
      <c r="U6433" s="401">
        <f t="shared" ref="U6433:U6493" si="20872">U6432</f>
        <v>1.041885</v>
      </c>
      <c r="V6433" s="396" t="s">
        <v>125</v>
      </c>
      <c r="W6433" s="399">
        <f t="shared" ref="W6433" si="20873">D6433</f>
        <v>3</v>
      </c>
      <c r="X6433" s="399" t="s">
        <v>125</v>
      </c>
      <c r="Y6433" s="389">
        <f t="shared" ref="Y6433:Y6493" si="20874">Y6432</f>
        <v>1</v>
      </c>
      <c r="Z6433" s="400" t="s">
        <v>176</v>
      </c>
      <c r="AA6433" s="402">
        <f t="shared" ref="AA6433" si="20875">(N6433+P6433*R6433/1000)*U6433*W6433*Y6433</f>
        <v>13.243400234999999</v>
      </c>
      <c r="AB6433" s="403"/>
    </row>
    <row r="6434" spans="1:28">
      <c r="A6434" s="384"/>
      <c r="B6434" s="385"/>
      <c r="C6434" s="393"/>
      <c r="D6434" s="394"/>
      <c r="E6434" s="388"/>
      <c r="F6434" s="388"/>
      <c r="G6434" s="388"/>
      <c r="H6434" s="395"/>
      <c r="I6434" s="388"/>
      <c r="J6434" s="399"/>
      <c r="K6434" s="396"/>
      <c r="L6434" s="396"/>
      <c r="M6434" s="396"/>
      <c r="N6434" s="396"/>
      <c r="O6434" s="396"/>
      <c r="P6434" s="389"/>
      <c r="Q6434" s="396"/>
      <c r="R6434" s="396"/>
      <c r="S6434" s="396"/>
      <c r="T6434" s="396"/>
      <c r="U6434" s="401"/>
      <c r="V6434" s="396"/>
      <c r="W6434" s="388"/>
      <c r="X6434" s="396"/>
      <c r="Y6434" s="389"/>
      <c r="Z6434" s="396"/>
      <c r="AA6434" s="388"/>
      <c r="AB6434" s="390"/>
    </row>
    <row r="6435" spans="1:28">
      <c r="A6435" s="384" t="str">
        <f t="shared" ref="A6435:B6435" si="20876">A6415</f>
        <v>Lantai Atap</v>
      </c>
      <c r="B6435" s="385">
        <f t="shared" si="20876"/>
        <v>8</v>
      </c>
      <c r="C6435" s="393" t="s">
        <v>211</v>
      </c>
      <c r="D6435" s="398">
        <f>VLOOKUP(D6415,'Detail Balok'!$C$10:$AU$140,31,FALSE)</f>
        <v>0</v>
      </c>
      <c r="E6435" s="388" t="s">
        <v>16</v>
      </c>
      <c r="F6435" s="388">
        <f>VLOOKUP(D6415,'Detail Balok'!$C$10:$AU$140,33,FALSE)</f>
        <v>10</v>
      </c>
      <c r="G6435" s="405" t="s">
        <v>157</v>
      </c>
      <c r="H6435" s="395">
        <f>VLOOKUP(D6415,'Detail Balok'!$C$10:$AU$140,35,FALSE)</f>
        <v>100</v>
      </c>
      <c r="I6435" s="388"/>
      <c r="J6435" s="400">
        <f t="shared" ref="J6435" si="20877">(IF(D6435=0,(2*(D6416+G6416))-(F$5*8),IF(D6435=3,(2*(D6416+G6416))-(F$5*8)+(G6416-2*F$5),IF(D6435=4,(2*(D6416+G6416))-(F$5*8)+2*(G6416-2*F$5)))))/1000</f>
        <v>0.88</v>
      </c>
      <c r="K6435" s="400" t="s">
        <v>204</v>
      </c>
      <c r="L6435" s="399">
        <f t="shared" ref="L6435:L6437" si="20878">IF(D6435=0,2*MAX(6*F6435,75),(D6435-1)*2*MAX(6*F6435,75))/1000</f>
        <v>0.15</v>
      </c>
      <c r="M6435" s="399" t="s">
        <v>176</v>
      </c>
      <c r="N6435" s="399">
        <f t="shared" ref="N6435:N6437" si="20879">J6435+L6435</f>
        <v>1.03</v>
      </c>
      <c r="O6435" s="399"/>
      <c r="P6435" s="389"/>
      <c r="Q6435" s="399"/>
      <c r="R6435" s="399"/>
      <c r="S6435" s="399"/>
      <c r="T6435" s="399" t="s">
        <v>125</v>
      </c>
      <c r="U6435" s="401">
        <f t="shared" ref="U6435:U6437" si="20880">0.006165*F6435^2</f>
        <v>0.61650000000000005</v>
      </c>
      <c r="V6435" s="399" t="s">
        <v>125</v>
      </c>
      <c r="W6435" s="399">
        <f t="shared" ref="W6435" si="20881">IF(D6418&gt;4*G6416,ROUND(MAX(D6418/4,2*G6416)/H6435,0)+1,ROUND(D6418/H6435,0)+1)</f>
        <v>11</v>
      </c>
      <c r="X6435" s="399" t="s">
        <v>125</v>
      </c>
      <c r="Y6435" s="389">
        <f t="shared" ref="Y6435" si="20882">D6421</f>
        <v>1</v>
      </c>
      <c r="Z6435" s="400" t="s">
        <v>176</v>
      </c>
      <c r="AA6435" s="402">
        <f t="shared" ref="AA6435:AA6437" si="20883">N6435*U6435*W6435*Y6435</f>
        <v>6.9849450000000006</v>
      </c>
      <c r="AB6435" s="403"/>
    </row>
    <row r="6436" spans="1:28">
      <c r="A6436" s="384" t="str">
        <f t="shared" ref="A6436:B6436" si="20884">A6415</f>
        <v>Lantai Atap</v>
      </c>
      <c r="B6436" s="385">
        <f t="shared" si="20884"/>
        <v>8</v>
      </c>
      <c r="C6436" s="393" t="s">
        <v>212</v>
      </c>
      <c r="D6436" s="398">
        <f>VLOOKUP(D6415,'Detail Balok'!$C$10:$AU$140,36,FALSE)</f>
        <v>0</v>
      </c>
      <c r="E6436" s="388" t="s">
        <v>16</v>
      </c>
      <c r="F6436" s="388">
        <f>VLOOKUP(D6415,'Detail Balok'!$C$10:$AU$140,38,FALSE)</f>
        <v>10</v>
      </c>
      <c r="G6436" s="405" t="s">
        <v>157</v>
      </c>
      <c r="H6436" s="395">
        <f>VLOOKUP(D6415,'Detail Balok'!$C$10:$AU$140,40,FALSE)</f>
        <v>200</v>
      </c>
      <c r="I6436" s="388"/>
      <c r="J6436" s="400">
        <f t="shared" ref="J6436" si="20885">(IF(D6436=0,(2*(D6416+G6416))-(F$5*8),IF(D6436=3,(2*(D6416+G6416))-(F$5*8)+(G6416-2*F$5),IF(D6436=4,(2*(D6416+G6416))-(F$5*8)+2*(G6416-2*F$5)))))/1000</f>
        <v>0.88</v>
      </c>
      <c r="K6436" s="400" t="s">
        <v>204</v>
      </c>
      <c r="L6436" s="399">
        <f t="shared" si="20878"/>
        <v>0.15</v>
      </c>
      <c r="M6436" s="399" t="s">
        <v>176</v>
      </c>
      <c r="N6436" s="399">
        <f t="shared" si="20879"/>
        <v>1.03</v>
      </c>
      <c r="O6436" s="399"/>
      <c r="P6436" s="389"/>
      <c r="Q6436" s="399"/>
      <c r="R6436" s="399"/>
      <c r="S6436" s="399"/>
      <c r="T6436" s="399" t="s">
        <v>125</v>
      </c>
      <c r="U6436" s="401">
        <f t="shared" si="20880"/>
        <v>0.61650000000000005</v>
      </c>
      <c r="V6436" s="399" t="s">
        <v>125</v>
      </c>
      <c r="W6436" s="399">
        <f t="shared" ref="W6436" si="20886">IF(D6418-MAX(D6418/4,2*G6416)*2&gt;0,ROUND((D6418-MAX(D6418/4,2*G6416)*2)/H6436,0),0)</f>
        <v>10</v>
      </c>
      <c r="X6436" s="399" t="s">
        <v>125</v>
      </c>
      <c r="Y6436" s="389">
        <f t="shared" ref="Y6436" si="20887">D6421</f>
        <v>1</v>
      </c>
      <c r="Z6436" s="400" t="s">
        <v>176</v>
      </c>
      <c r="AA6436" s="402">
        <f t="shared" si="20883"/>
        <v>6.3499500000000006</v>
      </c>
      <c r="AB6436" s="403"/>
    </row>
    <row r="6437" spans="1:28">
      <c r="A6437" s="384" t="str">
        <f t="shared" ref="A6437:B6437" si="20888">A6415</f>
        <v>Lantai Atap</v>
      </c>
      <c r="B6437" s="385">
        <f t="shared" si="20888"/>
        <v>8</v>
      </c>
      <c r="C6437" s="393" t="s">
        <v>211</v>
      </c>
      <c r="D6437" s="398">
        <f>VLOOKUP(D6415,'Detail Balok'!$C$10:$AU$140,41,FALSE)</f>
        <v>0</v>
      </c>
      <c r="E6437" s="388" t="s">
        <v>16</v>
      </c>
      <c r="F6437" s="388">
        <f>VLOOKUP(D6415,'Detail Balok'!$C$10:$AU$140,43,FALSE)</f>
        <v>10</v>
      </c>
      <c r="G6437" s="405" t="s">
        <v>157</v>
      </c>
      <c r="H6437" s="395">
        <f>VLOOKUP(D6415,'Detail Balok'!$C$10:$AU$140,45,FALSE)</f>
        <v>100</v>
      </c>
      <c r="I6437" s="388"/>
      <c r="J6437" s="400">
        <f t="shared" ref="J6437" si="20889">(IF(D6437=0,(2*(D6416+G6416))-(F$5*8),IF(D6437=3,(2*(D6416+G6416))-(F$5*8)+(G6416-2*F$5),IF(D6437=4,(2*(D6416+G6416))-(F$5*8)+2*(G6416-2*F$5)))))/1000</f>
        <v>0.88</v>
      </c>
      <c r="K6437" s="400" t="s">
        <v>204</v>
      </c>
      <c r="L6437" s="399">
        <f t="shared" si="20878"/>
        <v>0.15</v>
      </c>
      <c r="M6437" s="399" t="s">
        <v>176</v>
      </c>
      <c r="N6437" s="399">
        <f t="shared" si="20879"/>
        <v>1.03</v>
      </c>
      <c r="O6437" s="399"/>
      <c r="P6437" s="389"/>
      <c r="Q6437" s="399"/>
      <c r="R6437" s="399"/>
      <c r="S6437" s="399"/>
      <c r="T6437" s="399" t="s">
        <v>125</v>
      </c>
      <c r="U6437" s="401">
        <f t="shared" si="20880"/>
        <v>0.61650000000000005</v>
      </c>
      <c r="V6437" s="399" t="s">
        <v>125</v>
      </c>
      <c r="W6437" s="399">
        <f t="shared" ref="W6437" si="20890">IF(D6418&gt;4*G6416,ROUND(MAX(D6418/4,2*G6416)/H6437,0)+1,0)</f>
        <v>11</v>
      </c>
      <c r="X6437" s="399" t="s">
        <v>125</v>
      </c>
      <c r="Y6437" s="389">
        <f t="shared" ref="Y6437" si="20891">D6421</f>
        <v>1</v>
      </c>
      <c r="Z6437" s="400" t="s">
        <v>176</v>
      </c>
      <c r="AA6437" s="402">
        <f t="shared" si="20883"/>
        <v>6.9849450000000006</v>
      </c>
      <c r="AB6437" s="403"/>
    </row>
    <row r="6438" spans="1:28">
      <c r="A6438" s="384"/>
      <c r="B6438" s="385"/>
      <c r="C6438" s="393"/>
      <c r="D6438" s="394"/>
      <c r="E6438" s="388"/>
      <c r="F6438" s="388"/>
      <c r="G6438" s="388"/>
      <c r="H6438" s="395"/>
      <c r="I6438" s="388"/>
      <c r="J6438" s="399"/>
      <c r="K6438" s="396"/>
      <c r="L6438" s="396"/>
      <c r="M6438" s="396"/>
      <c r="N6438" s="396"/>
      <c r="O6438" s="396"/>
      <c r="P6438" s="389"/>
      <c r="Q6438" s="396"/>
      <c r="R6438" s="396"/>
      <c r="S6438" s="396"/>
      <c r="T6438" s="396"/>
      <c r="U6438" s="401"/>
      <c r="V6438" s="396"/>
      <c r="W6438" s="388"/>
      <c r="X6438" s="396"/>
      <c r="Y6438" s="389"/>
      <c r="Z6438" s="396"/>
      <c r="AA6438" s="388"/>
      <c r="AB6438" s="390"/>
    </row>
    <row r="6439" spans="1:28">
      <c r="A6439" s="384" t="str">
        <f t="shared" ref="A6439:B6439" si="20892">A6415</f>
        <v>Lantai Atap</v>
      </c>
      <c r="B6439" s="385">
        <f t="shared" si="20892"/>
        <v>8</v>
      </c>
      <c r="C6439" s="393" t="s">
        <v>213</v>
      </c>
      <c r="D6439" s="398">
        <f>VLOOKUP(D6415,'Detail Balok'!$C$10:$BJ$140,46,FALSE)</f>
        <v>0</v>
      </c>
      <c r="E6439" s="388" t="s">
        <v>16</v>
      </c>
      <c r="F6439" s="388">
        <f>VLOOKUP(D6415,'Detail Balok'!$C$10:$BJ$140,48,FALSE)</f>
        <v>0</v>
      </c>
      <c r="G6439" s="405" t="s">
        <v>157</v>
      </c>
      <c r="H6439" s="395">
        <f>VLOOKUP(D6415,'Detail Balok'!$C$10:$BJ$140,50,FALSE)</f>
        <v>100</v>
      </c>
      <c r="I6439" s="388"/>
      <c r="J6439" s="399">
        <f t="shared" ref="J6439" si="20893">(D6416-2*F$5)/1000</f>
        <v>0.12</v>
      </c>
      <c r="K6439" s="400" t="s">
        <v>204</v>
      </c>
      <c r="L6439" s="399">
        <f t="shared" ref="L6439:L6441" si="20894">IF(D6439=0,2*MAX(6*F6439,75),(D6439-1)*2*MAX(6*F6439,75))/1000</f>
        <v>0.15</v>
      </c>
      <c r="M6439" s="399" t="s">
        <v>176</v>
      </c>
      <c r="N6439" s="399">
        <f t="shared" ref="N6439:N6441" si="20895">J6439+L6439</f>
        <v>0.27</v>
      </c>
      <c r="O6439" s="399"/>
      <c r="P6439" s="399"/>
      <c r="Q6439" s="399"/>
      <c r="R6439" s="399"/>
      <c r="S6439" s="399"/>
      <c r="T6439" s="399" t="s">
        <v>125</v>
      </c>
      <c r="U6439" s="401">
        <f t="shared" ref="U6439:U6441" si="20896">0.006165*F6439^2</f>
        <v>0</v>
      </c>
      <c r="V6439" s="399" t="s">
        <v>125</v>
      </c>
      <c r="W6439" s="399">
        <f t="shared" ref="W6439:W6501" si="20897">W6435</f>
        <v>11</v>
      </c>
      <c r="X6439" s="399" t="s">
        <v>125</v>
      </c>
      <c r="Y6439" s="389">
        <f t="shared" ref="Y6439" si="20898">D6425</f>
        <v>3</v>
      </c>
      <c r="Z6439" s="400" t="s">
        <v>176</v>
      </c>
      <c r="AA6439" s="402">
        <f t="shared" ref="AA6439:AA6441" si="20899">N6439*U6439*W6439*Y6439</f>
        <v>0</v>
      </c>
      <c r="AB6439" s="403"/>
    </row>
    <row r="6440" spans="1:28">
      <c r="A6440" s="384" t="str">
        <f t="shared" ref="A6440:B6440" si="20900">A6415</f>
        <v>Lantai Atap</v>
      </c>
      <c r="B6440" s="385">
        <f t="shared" si="20900"/>
        <v>8</v>
      </c>
      <c r="C6440" s="393" t="s">
        <v>214</v>
      </c>
      <c r="D6440" s="398">
        <f>VLOOKUP(D6415,'Detail Balok'!$C$10:$BJ$140,51,FALSE)</f>
        <v>0</v>
      </c>
      <c r="E6440" s="388" t="s">
        <v>16</v>
      </c>
      <c r="F6440" s="388">
        <f>VLOOKUP(D6415,'Detail Balok'!$C$10:$BJ$140,53,FALSE)</f>
        <v>0</v>
      </c>
      <c r="G6440" s="405" t="s">
        <v>157</v>
      </c>
      <c r="H6440" s="395">
        <f>VLOOKUP(D6415,'Detail Balok'!$C$10:$BJ$140,55,FALSE)</f>
        <v>100</v>
      </c>
      <c r="I6440" s="388"/>
      <c r="J6440" s="399">
        <f t="shared" ref="J6440" si="20901">(D6416-2*F$5)/1000</f>
        <v>0.12</v>
      </c>
      <c r="K6440" s="400" t="s">
        <v>204</v>
      </c>
      <c r="L6440" s="399">
        <f t="shared" si="20894"/>
        <v>0.15</v>
      </c>
      <c r="M6440" s="399" t="s">
        <v>176</v>
      </c>
      <c r="N6440" s="399">
        <f t="shared" si="20895"/>
        <v>0.27</v>
      </c>
      <c r="O6440" s="399"/>
      <c r="P6440" s="399"/>
      <c r="Q6440" s="399"/>
      <c r="R6440" s="399"/>
      <c r="S6440" s="399"/>
      <c r="T6440" s="399" t="s">
        <v>125</v>
      </c>
      <c r="U6440" s="401">
        <f t="shared" si="20896"/>
        <v>0</v>
      </c>
      <c r="V6440" s="399" t="s">
        <v>125</v>
      </c>
      <c r="W6440" s="399">
        <f t="shared" si="20897"/>
        <v>10</v>
      </c>
      <c r="X6440" s="399" t="s">
        <v>125</v>
      </c>
      <c r="Y6440" s="389">
        <f t="shared" ref="Y6440" si="20902">D6425</f>
        <v>3</v>
      </c>
      <c r="Z6440" s="400" t="s">
        <v>176</v>
      </c>
      <c r="AA6440" s="402">
        <f t="shared" si="20899"/>
        <v>0</v>
      </c>
      <c r="AB6440" s="403"/>
    </row>
    <row r="6441" spans="1:28">
      <c r="A6441" s="384" t="str">
        <f t="shared" ref="A6441:B6441" si="20903">A6415</f>
        <v>Lantai Atap</v>
      </c>
      <c r="B6441" s="385">
        <f t="shared" si="20903"/>
        <v>8</v>
      </c>
      <c r="C6441" s="393" t="s">
        <v>213</v>
      </c>
      <c r="D6441" s="398">
        <f>VLOOKUP(D6415,'Detail Balok'!$C$10:$BJ$140,56,FALSE)</f>
        <v>0</v>
      </c>
      <c r="E6441" s="388" t="s">
        <v>16</v>
      </c>
      <c r="F6441" s="388">
        <f>VLOOKUP(D6415,'Detail Balok'!$C$10:$BJ$140,58,FALSE)</f>
        <v>0</v>
      </c>
      <c r="G6441" s="405" t="s">
        <v>157</v>
      </c>
      <c r="H6441" s="395">
        <f>VLOOKUP(D6415,'Detail Balok'!$C$10:$BJ$140,60,FALSE)</f>
        <v>100</v>
      </c>
      <c r="I6441" s="388"/>
      <c r="J6441" s="399">
        <f t="shared" ref="J6441" si="20904">(D6416-2*F$5)/1000</f>
        <v>0.12</v>
      </c>
      <c r="K6441" s="400" t="s">
        <v>204</v>
      </c>
      <c r="L6441" s="399">
        <f t="shared" si="20894"/>
        <v>0.15</v>
      </c>
      <c r="M6441" s="399" t="s">
        <v>176</v>
      </c>
      <c r="N6441" s="399">
        <f t="shared" si="20895"/>
        <v>0.27</v>
      </c>
      <c r="O6441" s="399"/>
      <c r="P6441" s="399"/>
      <c r="Q6441" s="399"/>
      <c r="R6441" s="399"/>
      <c r="S6441" s="399"/>
      <c r="T6441" s="399" t="s">
        <v>125</v>
      </c>
      <c r="U6441" s="401">
        <f t="shared" si="20896"/>
        <v>0</v>
      </c>
      <c r="V6441" s="399" t="s">
        <v>125</v>
      </c>
      <c r="W6441" s="399">
        <f t="shared" si="20897"/>
        <v>11</v>
      </c>
      <c r="X6441" s="399" t="s">
        <v>125</v>
      </c>
      <c r="Y6441" s="389">
        <f t="shared" ref="Y6441" si="20905">D6425</f>
        <v>3</v>
      </c>
      <c r="Z6441" s="400" t="s">
        <v>176</v>
      </c>
      <c r="AA6441" s="402">
        <f t="shared" si="20899"/>
        <v>0</v>
      </c>
      <c r="AB6441" s="403"/>
    </row>
    <row r="6442" spans="1:28">
      <c r="A6442" s="391"/>
      <c r="B6442" s="392"/>
      <c r="C6442" s="392"/>
      <c r="D6442" s="394"/>
      <c r="E6442" s="388"/>
      <c r="F6442" s="388"/>
      <c r="G6442" s="388"/>
      <c r="H6442" s="395"/>
      <c r="I6442" s="388"/>
      <c r="J6442" s="402"/>
      <c r="K6442" s="388"/>
      <c r="L6442" s="388"/>
      <c r="M6442" s="388"/>
      <c r="N6442" s="388"/>
      <c r="O6442" s="388"/>
      <c r="P6442" s="388"/>
      <c r="Q6442" s="388"/>
      <c r="R6442" s="388"/>
      <c r="S6442" s="388"/>
      <c r="T6442" s="388"/>
      <c r="U6442" s="388"/>
      <c r="V6442" s="388"/>
      <c r="W6442" s="388"/>
      <c r="X6442" s="388"/>
      <c r="Y6442" s="389"/>
      <c r="Z6442" s="388"/>
      <c r="AA6442" s="402"/>
      <c r="AB6442" s="403"/>
    </row>
    <row r="6443" spans="1:28" ht="15.75" thickBot="1">
      <c r="A6443" s="406"/>
      <c r="B6443" s="407"/>
      <c r="C6443" s="407"/>
      <c r="D6443" s="408"/>
      <c r="E6443" s="409"/>
      <c r="F6443" s="409"/>
      <c r="G6443" s="409"/>
      <c r="H6443" s="410"/>
      <c r="I6443" s="409"/>
      <c r="J6443" s="409"/>
      <c r="K6443" s="409"/>
      <c r="L6443" s="409"/>
      <c r="M6443" s="409"/>
      <c r="N6443" s="409"/>
      <c r="O6443" s="409"/>
      <c r="P6443" s="409"/>
      <c r="Q6443" s="409"/>
      <c r="R6443" s="409"/>
      <c r="S6443" s="409"/>
      <c r="T6443" s="409"/>
      <c r="U6443" s="409"/>
      <c r="V6443" s="409"/>
      <c r="W6443" s="409"/>
      <c r="X6443" s="409"/>
      <c r="Y6443" s="411"/>
      <c r="Z6443" s="409"/>
      <c r="AA6443" s="412"/>
      <c r="AB6443" s="413"/>
    </row>
    <row r="6444" spans="1:28">
      <c r="A6444" s="377"/>
      <c r="B6444" s="378"/>
      <c r="C6444" s="378"/>
      <c r="D6444" s="379"/>
      <c r="E6444" s="380"/>
      <c r="F6444" s="380"/>
      <c r="G6444" s="380"/>
      <c r="H6444" s="381"/>
      <c r="I6444" s="380"/>
      <c r="J6444" s="380"/>
      <c r="K6444" s="380"/>
      <c r="L6444" s="380"/>
      <c r="M6444" s="380"/>
      <c r="N6444" s="380"/>
      <c r="O6444" s="380"/>
      <c r="P6444" s="380"/>
      <c r="Q6444" s="380"/>
      <c r="R6444" s="380"/>
      <c r="S6444" s="380"/>
      <c r="T6444" s="380"/>
      <c r="U6444" s="380"/>
      <c r="V6444" s="380"/>
      <c r="W6444" s="380"/>
      <c r="X6444" s="380"/>
      <c r="Y6444" s="382"/>
      <c r="Z6444" s="380"/>
      <c r="AA6444" s="380"/>
      <c r="AB6444" s="383"/>
    </row>
    <row r="6445" spans="1:28">
      <c r="A6445" s="384" t="str">
        <f t="shared" ref="A6445:A6505" si="20906">A6415</f>
        <v>Lantai Atap</v>
      </c>
      <c r="B6445" s="385">
        <f t="shared" ref="B6445:B6505" si="20907">B6415+1</f>
        <v>9</v>
      </c>
      <c r="C6445" s="386" t="str">
        <f t="shared" ref="C6445" si="20908">CONCATENATE(A6445," no. ",B6445)</f>
        <v>Lantai Atap no. 9</v>
      </c>
      <c r="D6445" s="2562" t="str">
        <f>VLOOKUP(C6445,'Data Panjang Balok'!$C$9:$N$254,2,FALSE)</f>
        <v>B2A4A-1</v>
      </c>
      <c r="E6445" s="2576"/>
      <c r="F6445" s="2576"/>
      <c r="G6445" s="2576"/>
      <c r="H6445" s="2577"/>
      <c r="I6445" s="387"/>
      <c r="J6445" s="388"/>
      <c r="K6445" s="388"/>
      <c r="L6445" s="388"/>
      <c r="M6445" s="388"/>
      <c r="N6445" s="388"/>
      <c r="O6445" s="388"/>
      <c r="P6445" s="388"/>
      <c r="Q6445" s="388"/>
      <c r="R6445" s="388"/>
      <c r="S6445" s="388"/>
      <c r="T6445" s="388"/>
      <c r="U6445" s="388"/>
      <c r="V6445" s="388"/>
      <c r="W6445" s="388"/>
      <c r="X6445" s="388"/>
      <c r="Y6445" s="389"/>
      <c r="Z6445" s="388"/>
      <c r="AA6445" s="388"/>
      <c r="AB6445" s="390"/>
    </row>
    <row r="6446" spans="1:28">
      <c r="A6446" s="391"/>
      <c r="B6446" s="392"/>
      <c r="C6446" s="393" t="s">
        <v>118</v>
      </c>
      <c r="D6446" s="2578">
        <f>VLOOKUP(D6445,'Detail Balok'!$C$10:$AU$140,2,FALSE)</f>
        <v>250</v>
      </c>
      <c r="E6446" s="2579"/>
      <c r="F6446" s="388" t="s">
        <v>125</v>
      </c>
      <c r="G6446" s="2579">
        <f>VLOOKUP(D6445,'Detail Balok'!$C$10:$AU$140,3,FALSE)</f>
        <v>450</v>
      </c>
      <c r="H6446" s="2580"/>
      <c r="I6446" s="388"/>
      <c r="J6446" s="396"/>
      <c r="K6446" s="396"/>
      <c r="L6446" s="396"/>
      <c r="M6446" s="396"/>
      <c r="N6446" s="396"/>
      <c r="O6446" s="396"/>
      <c r="P6446" s="396"/>
      <c r="Q6446" s="396"/>
      <c r="R6446" s="396"/>
      <c r="S6446" s="396"/>
      <c r="T6446" s="396"/>
      <c r="U6446" s="388"/>
      <c r="V6446" s="396"/>
      <c r="W6446" s="388"/>
      <c r="X6446" s="396"/>
      <c r="Y6446" s="389"/>
      <c r="Z6446" s="396"/>
      <c r="AA6446" s="388"/>
      <c r="AB6446" s="390"/>
    </row>
    <row r="6447" spans="1:28">
      <c r="A6447" s="391"/>
      <c r="B6447" s="392"/>
      <c r="C6447" s="393" t="s">
        <v>198</v>
      </c>
      <c r="D6447" s="2562">
        <f>VLOOKUP(C6445,'Data Panjang Balok'!$C$9:$N$254,4,FALSE)</f>
        <v>6000</v>
      </c>
      <c r="E6447" s="2563"/>
      <c r="F6447" s="2563"/>
      <c r="G6447" s="2563"/>
      <c r="H6447" s="2564"/>
      <c r="I6447" s="397"/>
      <c r="J6447" s="396"/>
      <c r="K6447" s="396"/>
      <c r="L6447" s="396"/>
      <c r="M6447" s="396"/>
      <c r="N6447" s="396"/>
      <c r="O6447" s="396"/>
      <c r="P6447" s="396"/>
      <c r="Q6447" s="396"/>
      <c r="R6447" s="396"/>
      <c r="S6447" s="396"/>
      <c r="T6447" s="396"/>
      <c r="U6447" s="388"/>
      <c r="V6447" s="396"/>
      <c r="W6447" s="388"/>
      <c r="X6447" s="396"/>
      <c r="Y6447" s="389"/>
      <c r="Z6447" s="396"/>
      <c r="AA6447" s="388"/>
      <c r="AB6447" s="390"/>
    </row>
    <row r="6448" spans="1:28">
      <c r="A6448" s="391"/>
      <c r="B6448" s="392"/>
      <c r="C6448" s="393" t="s">
        <v>199</v>
      </c>
      <c r="D6448" s="2562">
        <f>VLOOKUP(C6445,'Data Panjang Balok'!$C$9:$N$254,7,FALSE)</f>
        <v>6000</v>
      </c>
      <c r="E6448" s="2563"/>
      <c r="F6448" s="2563"/>
      <c r="G6448" s="2563"/>
      <c r="H6448" s="2564"/>
      <c r="I6448" s="397"/>
      <c r="J6448" s="396"/>
      <c r="K6448" s="396"/>
      <c r="L6448" s="396"/>
      <c r="M6448" s="396"/>
      <c r="N6448" s="396"/>
      <c r="O6448" s="396"/>
      <c r="P6448" s="396"/>
      <c r="Q6448" s="396"/>
      <c r="R6448" s="396"/>
      <c r="S6448" s="396"/>
      <c r="T6448" s="396"/>
      <c r="U6448" s="388"/>
      <c r="V6448" s="396"/>
      <c r="W6448" s="388"/>
      <c r="X6448" s="396"/>
      <c r="Y6448" s="389"/>
      <c r="Z6448" s="396"/>
      <c r="AA6448" s="388"/>
      <c r="AB6448" s="390"/>
    </row>
    <row r="6449" spans="1:28">
      <c r="A6449" s="391"/>
      <c r="B6449" s="392"/>
      <c r="C6449" s="393" t="s">
        <v>200</v>
      </c>
      <c r="D6449" s="2562">
        <f>VLOOKUP(C6445,'Data Panjang Balok'!$C$9:$N$254,9,FALSE)</f>
        <v>0</v>
      </c>
      <c r="E6449" s="2563"/>
      <c r="F6449" s="2563"/>
      <c r="G6449" s="2563"/>
      <c r="H6449" s="2564"/>
      <c r="I6449" s="397"/>
      <c r="J6449" s="396"/>
      <c r="K6449" s="396"/>
      <c r="L6449" s="396"/>
      <c r="M6449" s="396"/>
      <c r="N6449" s="396"/>
      <c r="O6449" s="396"/>
      <c r="P6449" s="396"/>
      <c r="Q6449" s="396"/>
      <c r="R6449" s="396"/>
      <c r="S6449" s="396"/>
      <c r="T6449" s="396"/>
      <c r="U6449" s="388"/>
      <c r="V6449" s="396"/>
      <c r="W6449" s="388"/>
      <c r="X6449" s="396"/>
      <c r="Y6449" s="389"/>
      <c r="Z6449" s="396"/>
      <c r="AA6449" s="388"/>
      <c r="AB6449" s="390"/>
    </row>
    <row r="6450" spans="1:28">
      <c r="A6450" s="391"/>
      <c r="B6450" s="392"/>
      <c r="C6450" s="393" t="s">
        <v>201</v>
      </c>
      <c r="D6450" s="2562">
        <f>VLOOKUP(C6445,'Data Panjang Balok'!$C$9:$N$254,10,FALSE)</f>
        <v>0</v>
      </c>
      <c r="E6450" s="2563"/>
      <c r="F6450" s="2563"/>
      <c r="G6450" s="2563"/>
      <c r="H6450" s="2564"/>
      <c r="I6450" s="397"/>
      <c r="J6450" s="396"/>
      <c r="K6450" s="396"/>
      <c r="L6450" s="396"/>
      <c r="M6450" s="396"/>
      <c r="N6450" s="396"/>
      <c r="O6450" s="396"/>
      <c r="P6450" s="396"/>
      <c r="Q6450" s="396"/>
      <c r="R6450" s="396"/>
      <c r="S6450" s="396"/>
      <c r="T6450" s="396"/>
      <c r="U6450" s="388"/>
      <c r="V6450" s="396"/>
      <c r="W6450" s="388"/>
      <c r="X6450" s="396"/>
      <c r="Y6450" s="389"/>
      <c r="Z6450" s="396"/>
      <c r="AA6450" s="388"/>
      <c r="AB6450" s="390"/>
    </row>
    <row r="6451" spans="1:28">
      <c r="A6451" s="391"/>
      <c r="B6451" s="392"/>
      <c r="C6451" s="393" t="s">
        <v>48</v>
      </c>
      <c r="D6451" s="2562">
        <f>VLOOKUP(C6445,'Data Panjang Balok'!$C$9:$N$254,3,FALSE)</f>
        <v>1</v>
      </c>
      <c r="E6451" s="2563"/>
      <c r="F6451" s="2563"/>
      <c r="G6451" s="2563"/>
      <c r="H6451" s="2564"/>
      <c r="I6451" s="397"/>
      <c r="J6451" s="396"/>
      <c r="K6451" s="396"/>
      <c r="L6451" s="396"/>
      <c r="M6451" s="396"/>
      <c r="N6451" s="396"/>
      <c r="O6451" s="396"/>
      <c r="P6451" s="396"/>
      <c r="Q6451" s="396"/>
      <c r="R6451" s="396"/>
      <c r="S6451" s="396"/>
      <c r="T6451" s="396"/>
      <c r="U6451" s="388"/>
      <c r="V6451" s="396"/>
      <c r="W6451" s="388"/>
      <c r="X6451" s="396"/>
      <c r="Y6451" s="389"/>
      <c r="Z6451" s="396"/>
      <c r="AA6451" s="388"/>
      <c r="AB6451" s="390"/>
    </row>
    <row r="6452" spans="1:28">
      <c r="A6452" s="384" t="str">
        <f t="shared" ref="A6452:B6452" si="20909">A6445</f>
        <v>Lantai Atap</v>
      </c>
      <c r="B6452" s="385">
        <f t="shared" si="20909"/>
        <v>9</v>
      </c>
      <c r="C6452" s="393" t="s">
        <v>202</v>
      </c>
      <c r="D6452" s="398">
        <f>VLOOKUP(D6445,'Detail Balok'!$C$10:$AU$140,4,FALSE)</f>
        <v>3</v>
      </c>
      <c r="E6452" s="388" t="s">
        <v>16</v>
      </c>
      <c r="F6452" s="388">
        <f>VLOOKUP(D6445,'Detail Balok'!$C$10:$AU$140,6,FALSE)</f>
        <v>13</v>
      </c>
      <c r="G6452" s="388"/>
      <c r="H6452" s="395"/>
      <c r="I6452" s="388" t="s">
        <v>203</v>
      </c>
      <c r="J6452" s="399">
        <f t="shared" ref="J6452" si="20910">+D6447/4/1000</f>
        <v>1.5</v>
      </c>
      <c r="K6452" s="400" t="s">
        <v>204</v>
      </c>
      <c r="L6452" s="399">
        <f t="shared" ref="L6452" si="20911">MAX(VLOOKUP(F6452,N$6:P$15,3,FALSE)/1000,2/3*D6449/1000)+F$16*F6452/1000</f>
        <v>0.156</v>
      </c>
      <c r="M6452" s="399" t="s">
        <v>176</v>
      </c>
      <c r="N6452" s="399">
        <f t="shared" ref="N6452:N6454" si="20912">J6452+L6452</f>
        <v>1.6559999999999999</v>
      </c>
      <c r="O6452" s="399" t="s">
        <v>204</v>
      </c>
      <c r="P6452" s="389">
        <f t="shared" ref="P6452" si="20913">D6452-D6453</f>
        <v>0</v>
      </c>
      <c r="Q6452" s="399" t="s">
        <v>125</v>
      </c>
      <c r="R6452" s="399">
        <f t="shared" ref="R6452" si="20914">IF(P6452&gt;0,$F$18*F6452/1000,0)</f>
        <v>0</v>
      </c>
      <c r="S6452" s="399" t="s">
        <v>205</v>
      </c>
      <c r="T6452" s="399" t="s">
        <v>125</v>
      </c>
      <c r="U6452" s="401">
        <f t="shared" ref="U6452:U6454" si="20915">0.006165*F6452^2</f>
        <v>1.041885</v>
      </c>
      <c r="V6452" s="399"/>
      <c r="W6452" s="399"/>
      <c r="X6452" s="399" t="s">
        <v>125</v>
      </c>
      <c r="Y6452" s="389">
        <f t="shared" ref="Y6452" si="20916">D6451</f>
        <v>1</v>
      </c>
      <c r="Z6452" s="400" t="s">
        <v>176</v>
      </c>
      <c r="AA6452" s="402">
        <f t="shared" ref="AA6452" si="20917">IF(AA6455=0,(D6452*N6452+P6452*R6452)*U6452*Y6452,0)</f>
        <v>0</v>
      </c>
      <c r="AB6452" s="403"/>
    </row>
    <row r="6453" spans="1:28">
      <c r="A6453" s="384" t="str">
        <f t="shared" ref="A6453:B6453" si="20918">A6445</f>
        <v>Lantai Atap</v>
      </c>
      <c r="B6453" s="385">
        <f t="shared" si="20918"/>
        <v>9</v>
      </c>
      <c r="C6453" s="393" t="s">
        <v>206</v>
      </c>
      <c r="D6453" s="398">
        <f>VLOOKUP(D6445,'Detail Balok'!$C$10:$AU$140,7,FALSE)</f>
        <v>3</v>
      </c>
      <c r="E6453" s="388" t="s">
        <v>16</v>
      </c>
      <c r="F6453" s="388">
        <f>VLOOKUP(D6445,'Detail Balok'!$C$10:$AU$140,9,FALSE)</f>
        <v>13</v>
      </c>
      <c r="G6453" s="388"/>
      <c r="H6453" s="395"/>
      <c r="I6453" s="388" t="s">
        <v>203</v>
      </c>
      <c r="J6453" s="399">
        <f t="shared" ref="J6453" si="20919">+D6447/2/1000</f>
        <v>3</v>
      </c>
      <c r="K6453" s="400" t="s">
        <v>204</v>
      </c>
      <c r="L6453" s="399"/>
      <c r="M6453" s="399" t="s">
        <v>176</v>
      </c>
      <c r="N6453" s="399">
        <f t="shared" si="20912"/>
        <v>3</v>
      </c>
      <c r="O6453" s="399" t="s">
        <v>204</v>
      </c>
      <c r="P6453" s="389">
        <f t="shared" ref="P6453" si="20920">MAX(D6453-D6452,D6453-D6454)</f>
        <v>0</v>
      </c>
      <c r="Q6453" s="399" t="s">
        <v>125</v>
      </c>
      <c r="R6453" s="399">
        <f t="shared" ref="R6453" si="20921">IF(P6453&gt;0,2*(1-2*$F$19-1/2)*D6448/1000,0)</f>
        <v>0</v>
      </c>
      <c r="S6453" s="399" t="s">
        <v>205</v>
      </c>
      <c r="T6453" s="399" t="s">
        <v>125</v>
      </c>
      <c r="U6453" s="401">
        <f t="shared" si="20915"/>
        <v>1.041885</v>
      </c>
      <c r="V6453" s="399"/>
      <c r="W6453" s="399"/>
      <c r="X6453" s="399" t="s">
        <v>125</v>
      </c>
      <c r="Y6453" s="389">
        <f t="shared" ref="Y6453" si="20922">D6451</f>
        <v>1</v>
      </c>
      <c r="Z6453" s="400" t="s">
        <v>176</v>
      </c>
      <c r="AA6453" s="402">
        <f t="shared" ref="AA6453" si="20923">IF(AA6455=0,(D6453*N6453+P6453*R6453)*U6453*Y6453,0)</f>
        <v>0</v>
      </c>
      <c r="AB6453" s="403"/>
    </row>
    <row r="6454" spans="1:28">
      <c r="A6454" s="384" t="str">
        <f t="shared" ref="A6454:B6454" si="20924">A6445</f>
        <v>Lantai Atap</v>
      </c>
      <c r="B6454" s="385">
        <f t="shared" si="20924"/>
        <v>9</v>
      </c>
      <c r="C6454" s="393" t="s">
        <v>202</v>
      </c>
      <c r="D6454" s="398">
        <f>VLOOKUP(D6445,'Detail Balok'!$C$10:$AU$140,10,FALSE)</f>
        <v>3</v>
      </c>
      <c r="E6454" s="388" t="s">
        <v>16</v>
      </c>
      <c r="F6454" s="388">
        <f>VLOOKUP(D6445,'Detail Balok'!$C$10:$AU$140,12,FALSE)</f>
        <v>13</v>
      </c>
      <c r="G6454" s="388"/>
      <c r="H6454" s="395"/>
      <c r="I6454" s="388" t="s">
        <v>203</v>
      </c>
      <c r="J6454" s="399">
        <f t="shared" ref="J6454" si="20925">+D6447/4/1000</f>
        <v>1.5</v>
      </c>
      <c r="K6454" s="400" t="s">
        <v>204</v>
      </c>
      <c r="L6454" s="399">
        <f t="shared" ref="L6454" si="20926">MAX(VLOOKUP(F6454,N$6:P$15,3,FALSE)/1000,2/3*D6449/1000)+F$16*F6454/1000</f>
        <v>0.156</v>
      </c>
      <c r="M6454" s="399" t="s">
        <v>176</v>
      </c>
      <c r="N6454" s="399">
        <f t="shared" si="20912"/>
        <v>1.6559999999999999</v>
      </c>
      <c r="O6454" s="399" t="s">
        <v>204</v>
      </c>
      <c r="P6454" s="389">
        <f t="shared" ref="P6454" si="20927">D6454-D6453</f>
        <v>0</v>
      </c>
      <c r="Q6454" s="399" t="s">
        <v>125</v>
      </c>
      <c r="R6454" s="399">
        <f t="shared" ref="R6454" si="20928">IF(P6454&gt;0,$F$18*F6454/1000,0)</f>
        <v>0</v>
      </c>
      <c r="S6454" s="399" t="s">
        <v>205</v>
      </c>
      <c r="T6454" s="399" t="s">
        <v>125</v>
      </c>
      <c r="U6454" s="401">
        <f t="shared" si="20915"/>
        <v>1.041885</v>
      </c>
      <c r="V6454" s="399"/>
      <c r="W6454" s="399"/>
      <c r="X6454" s="399" t="s">
        <v>125</v>
      </c>
      <c r="Y6454" s="389">
        <f t="shared" ref="Y6454" si="20929">D6451</f>
        <v>1</v>
      </c>
      <c r="Z6454" s="400" t="s">
        <v>176</v>
      </c>
      <c r="AA6454" s="402">
        <f t="shared" ref="AA6454" si="20930">IF(AA6455=0,(D6454*N6454+P6454*R6454)*U6454*Y6454,0)</f>
        <v>0</v>
      </c>
      <c r="AB6454" s="403"/>
    </row>
    <row r="6455" spans="1:28">
      <c r="A6455" s="384" t="str">
        <f t="shared" ref="A6455:B6455" si="20931">A6445</f>
        <v>Lantai Atap</v>
      </c>
      <c r="B6455" s="385">
        <f t="shared" si="20931"/>
        <v>9</v>
      </c>
      <c r="C6455" s="393"/>
      <c r="D6455" s="398">
        <f t="shared" si="20827"/>
        <v>3</v>
      </c>
      <c r="E6455" s="388" t="s">
        <v>16</v>
      </c>
      <c r="F6455" s="388">
        <f t="shared" si="20828"/>
        <v>13</v>
      </c>
      <c r="G6455" s="388"/>
      <c r="H6455" s="395"/>
      <c r="I6455" s="388"/>
      <c r="J6455" s="396"/>
      <c r="K6455" s="396"/>
      <c r="L6455" s="404" t="s">
        <v>207</v>
      </c>
      <c r="M6455" s="399" t="s">
        <v>176</v>
      </c>
      <c r="N6455" s="399">
        <f t="shared" ref="N6455" si="20932">IF(AND(D6452=D6453,D6452=D6454,D6453=D6454,F6452=F6453,F6452=F6454,F6453=F6454),SUM(N6452:N6454),0)</f>
        <v>6.3119999999999994</v>
      </c>
      <c r="O6455" s="399" t="s">
        <v>204</v>
      </c>
      <c r="P6455" s="389">
        <f t="shared" ref="P6455" si="20933">IF(N6455&gt;12,ROUNDDOWN(N6455/12,0),0)</f>
        <v>0</v>
      </c>
      <c r="Q6455" s="399" t="s">
        <v>125</v>
      </c>
      <c r="R6455" s="399">
        <f t="shared" ref="R6455" si="20934">IF(P6455&gt;0,MAX(VLOOKUP(F6455,$D$6:$G$15,3,FALSE),600),0)/1000</f>
        <v>0</v>
      </c>
      <c r="S6455" s="396"/>
      <c r="T6455" s="396" t="s">
        <v>125</v>
      </c>
      <c r="U6455" s="401">
        <f t="shared" si="20832"/>
        <v>1.041885</v>
      </c>
      <c r="V6455" s="396" t="s">
        <v>125</v>
      </c>
      <c r="W6455" s="399">
        <f t="shared" ref="W6455" si="20935">D6455</f>
        <v>3</v>
      </c>
      <c r="X6455" s="399" t="s">
        <v>125</v>
      </c>
      <c r="Y6455" s="389">
        <f t="shared" si="20834"/>
        <v>1</v>
      </c>
      <c r="Z6455" s="400" t="s">
        <v>176</v>
      </c>
      <c r="AA6455" s="402">
        <f t="shared" ref="AA6455" si="20936">(N6455+P6455*R6455/1000)*U6455*W6455*Y6455</f>
        <v>19.729134359999996</v>
      </c>
      <c r="AB6455" s="390"/>
    </row>
    <row r="6456" spans="1:28">
      <c r="A6456" s="384"/>
      <c r="B6456" s="385"/>
      <c r="C6456" s="393"/>
      <c r="D6456" s="398"/>
      <c r="E6456" s="388"/>
      <c r="F6456" s="388"/>
      <c r="G6456" s="388"/>
      <c r="H6456" s="395"/>
      <c r="I6456" s="388"/>
      <c r="J6456" s="396"/>
      <c r="K6456" s="396"/>
      <c r="L6456" s="404"/>
      <c r="M6456" s="399"/>
      <c r="N6456" s="399"/>
      <c r="O6456" s="396"/>
      <c r="P6456" s="389"/>
      <c r="Q6456" s="396"/>
      <c r="R6456" s="396"/>
      <c r="S6456" s="396"/>
      <c r="T6456" s="396"/>
      <c r="U6456" s="401"/>
      <c r="V6456" s="396"/>
      <c r="W6456" s="399"/>
      <c r="X6456" s="396"/>
      <c r="Y6456" s="389"/>
      <c r="Z6456" s="396"/>
      <c r="AA6456" s="388"/>
      <c r="AB6456" s="390"/>
    </row>
    <row r="6457" spans="1:28">
      <c r="A6457" s="384" t="str">
        <f t="shared" ref="A6457:B6457" si="20937">A6445</f>
        <v>Lantai Atap</v>
      </c>
      <c r="B6457" s="385">
        <f t="shared" si="20937"/>
        <v>9</v>
      </c>
      <c r="C6457" s="393" t="s">
        <v>208</v>
      </c>
      <c r="D6457" s="398">
        <f>VLOOKUP(D6445,'Detail Balok'!$C$10:$AU$140,13,FALSE)</f>
        <v>0</v>
      </c>
      <c r="E6457" s="388" t="s">
        <v>16</v>
      </c>
      <c r="F6457" s="388">
        <f>VLOOKUP(D6445,'Detail Balok'!$C$10:$AU$140,15,FALSE)</f>
        <v>8</v>
      </c>
      <c r="G6457" s="388"/>
      <c r="H6457" s="395"/>
      <c r="I6457" s="388"/>
      <c r="J6457" s="399">
        <f t="shared" ref="J6457" si="20938">+D6447/1000</f>
        <v>6</v>
      </c>
      <c r="K6457" s="400" t="s">
        <v>204</v>
      </c>
      <c r="L6457" s="399">
        <f t="shared" ref="L6457" si="20939">2*$F$16*F6457/1000</f>
        <v>0.192</v>
      </c>
      <c r="M6457" s="399" t="s">
        <v>176</v>
      </c>
      <c r="N6457" s="399">
        <f t="shared" ref="N6457" si="20940">J6457+L6457</f>
        <v>6.1920000000000002</v>
      </c>
      <c r="O6457" s="399" t="s">
        <v>204</v>
      </c>
      <c r="P6457" s="389">
        <f t="shared" ref="P6457" si="20941">IF(N6457&gt;12,ROUNDDOWN(N6457/12,0),0)</f>
        <v>0</v>
      </c>
      <c r="Q6457" s="399" t="s">
        <v>125</v>
      </c>
      <c r="R6457" s="399">
        <f t="shared" ref="R6457" si="20942">IF(P6457&gt;0,MAX(VLOOKUP(F6457,$D$6:$G$15,3,FALSE),600),0)/1000</f>
        <v>0</v>
      </c>
      <c r="S6457" s="399"/>
      <c r="T6457" s="399" t="s">
        <v>125</v>
      </c>
      <c r="U6457" s="401">
        <f t="shared" ref="U6457" si="20943">0.006165*F6457^2</f>
        <v>0.39456000000000002</v>
      </c>
      <c r="V6457" s="399" t="s">
        <v>125</v>
      </c>
      <c r="W6457" s="399">
        <f t="shared" ref="W6457" si="20944">+D6457</f>
        <v>0</v>
      </c>
      <c r="X6457" s="399" t="s">
        <v>125</v>
      </c>
      <c r="Y6457" s="389">
        <f t="shared" ref="Y6457" si="20945">D6451</f>
        <v>1</v>
      </c>
      <c r="Z6457" s="400" t="s">
        <v>176</v>
      </c>
      <c r="AA6457" s="402">
        <f t="shared" ref="AA6457" si="20946">(N6457+P6457*R6457/1000)*U6457*W6457*Y6457</f>
        <v>0</v>
      </c>
      <c r="AB6457" s="403"/>
    </row>
    <row r="6458" spans="1:28">
      <c r="A6458" s="384"/>
      <c r="B6458" s="385"/>
      <c r="C6458" s="393"/>
      <c r="D6458" s="398"/>
      <c r="E6458" s="388"/>
      <c r="F6458" s="388"/>
      <c r="G6458" s="388"/>
      <c r="H6458" s="395"/>
      <c r="I6458" s="388"/>
      <c r="J6458" s="399"/>
      <c r="K6458" s="400"/>
      <c r="L6458" s="399"/>
      <c r="M6458" s="399"/>
      <c r="N6458" s="399"/>
      <c r="O6458" s="399"/>
      <c r="P6458" s="389"/>
      <c r="Q6458" s="399"/>
      <c r="R6458" s="399"/>
      <c r="S6458" s="399"/>
      <c r="T6458" s="399"/>
      <c r="U6458" s="401"/>
      <c r="V6458" s="399"/>
      <c r="W6458" s="399"/>
      <c r="X6458" s="399"/>
      <c r="Y6458" s="389"/>
      <c r="Z6458" s="400"/>
      <c r="AA6458" s="402"/>
      <c r="AB6458" s="403"/>
    </row>
    <row r="6459" spans="1:28">
      <c r="A6459" s="384"/>
      <c r="B6459" s="385"/>
      <c r="C6459" s="393"/>
      <c r="D6459" s="398"/>
      <c r="E6459" s="388"/>
      <c r="F6459" s="388"/>
      <c r="G6459" s="388"/>
      <c r="H6459" s="395"/>
      <c r="I6459" s="388"/>
      <c r="J6459" s="396"/>
      <c r="K6459" s="396"/>
      <c r="L6459" s="396"/>
      <c r="M6459" s="396"/>
      <c r="N6459" s="396"/>
      <c r="O6459" s="396"/>
      <c r="P6459" s="389"/>
      <c r="Q6459" s="396"/>
      <c r="R6459" s="396"/>
      <c r="S6459" s="396"/>
      <c r="T6459" s="396"/>
      <c r="U6459" s="401"/>
      <c r="V6459" s="396"/>
      <c r="W6459" s="399"/>
      <c r="X6459" s="396"/>
      <c r="Y6459" s="389"/>
      <c r="Z6459" s="396"/>
      <c r="AA6459" s="388"/>
      <c r="AB6459" s="390"/>
    </row>
    <row r="6460" spans="1:28">
      <c r="A6460" s="384" t="str">
        <f t="shared" ref="A6460:B6460" si="20947">A6445</f>
        <v>Lantai Atap</v>
      </c>
      <c r="B6460" s="385">
        <f t="shared" si="20947"/>
        <v>9</v>
      </c>
      <c r="C6460" s="393" t="s">
        <v>209</v>
      </c>
      <c r="D6460" s="398">
        <f>VLOOKUP(D6445,'Detail Balok'!$C$10:$AU$140,22,FALSE)</f>
        <v>3</v>
      </c>
      <c r="E6460" s="388" t="s">
        <v>16</v>
      </c>
      <c r="F6460" s="388">
        <f>VLOOKUP(D6445,'Detail Balok'!$C$10:$AU$140,24,FALSE)</f>
        <v>13</v>
      </c>
      <c r="G6460" s="388"/>
      <c r="H6460" s="395"/>
      <c r="I6460" s="388" t="s">
        <v>203</v>
      </c>
      <c r="J6460" s="399">
        <f t="shared" si="20847"/>
        <v>1.5</v>
      </c>
      <c r="K6460" s="400" t="s">
        <v>204</v>
      </c>
      <c r="L6460" s="399">
        <f t="shared" ref="L6460" si="20948">MAX(VLOOKUP(F6460,N$6:P$15,3,FALSE)/1000,2/3*D6450/1000)+F$16*F6460/1000</f>
        <v>0.156</v>
      </c>
      <c r="M6460" s="399" t="s">
        <v>176</v>
      </c>
      <c r="N6460" s="399">
        <f t="shared" ref="N6460:N6462" si="20949">J6460+L6460</f>
        <v>1.6559999999999999</v>
      </c>
      <c r="O6460" s="399" t="s">
        <v>204</v>
      </c>
      <c r="P6460" s="389">
        <f t="shared" ref="P6460" si="20950">D6460-D6461</f>
        <v>0</v>
      </c>
      <c r="Q6460" s="399" t="s">
        <v>125</v>
      </c>
      <c r="R6460" s="399">
        <f t="shared" ref="R6460" si="20951">IF(P6460&gt;0,$F$18*F6460/1000,0)</f>
        <v>0</v>
      </c>
      <c r="S6460" s="399" t="s">
        <v>205</v>
      </c>
      <c r="T6460" s="399" t="s">
        <v>125</v>
      </c>
      <c r="U6460" s="401">
        <f t="shared" ref="U6460:U6462" si="20952">0.006165*F6460^2</f>
        <v>1.041885</v>
      </c>
      <c r="V6460" s="399"/>
      <c r="W6460" s="399"/>
      <c r="X6460" s="399" t="s">
        <v>125</v>
      </c>
      <c r="Y6460" s="389">
        <f t="shared" ref="Y6460" si="20953">D6451</f>
        <v>1</v>
      </c>
      <c r="Z6460" s="400" t="s">
        <v>176</v>
      </c>
      <c r="AA6460" s="402">
        <f t="shared" ref="AA6460" si="20954">IF(AA6463=0,(D6460*N6460+P6460*R6460)*U6460*Y6460,0)</f>
        <v>0</v>
      </c>
      <c r="AB6460" s="403"/>
    </row>
    <row r="6461" spans="1:28">
      <c r="A6461" s="384" t="str">
        <f t="shared" ref="A6461:B6461" si="20955">A6445</f>
        <v>Lantai Atap</v>
      </c>
      <c r="B6461" s="385">
        <f t="shared" si="20955"/>
        <v>9</v>
      </c>
      <c r="C6461" s="393" t="s">
        <v>210</v>
      </c>
      <c r="D6461" s="398">
        <f>VLOOKUP(D6445,'Detail Balok'!$C$10:$AU$140,25,FALSE)</f>
        <v>3</v>
      </c>
      <c r="E6461" s="388" t="s">
        <v>16</v>
      </c>
      <c r="F6461" s="388">
        <f>VLOOKUP(D6445,'Detail Balok'!$C$10:$AU$140,27,FALSE)</f>
        <v>13</v>
      </c>
      <c r="G6461" s="388"/>
      <c r="H6461" s="395"/>
      <c r="I6461" s="388" t="s">
        <v>203</v>
      </c>
      <c r="J6461" s="399">
        <f t="shared" si="20847"/>
        <v>3</v>
      </c>
      <c r="K6461" s="400" t="s">
        <v>204</v>
      </c>
      <c r="L6461" s="399"/>
      <c r="M6461" s="399" t="s">
        <v>176</v>
      </c>
      <c r="N6461" s="399">
        <f t="shared" si="20949"/>
        <v>3</v>
      </c>
      <c r="O6461" s="399" t="s">
        <v>204</v>
      </c>
      <c r="P6461" s="389">
        <f t="shared" ref="P6461" si="20956">MAX(D6461-D6460,D6461-D6462)</f>
        <v>0</v>
      </c>
      <c r="Q6461" s="399" t="s">
        <v>125</v>
      </c>
      <c r="R6461" s="399">
        <f t="shared" ref="R6461" si="20957">IF(P6461&gt;0,2*(1-2*$F$19-1/2)*D6448/1000,0)</f>
        <v>0</v>
      </c>
      <c r="S6461" s="399" t="s">
        <v>205</v>
      </c>
      <c r="T6461" s="399" t="s">
        <v>125</v>
      </c>
      <c r="U6461" s="401">
        <f t="shared" si="20952"/>
        <v>1.041885</v>
      </c>
      <c r="V6461" s="399"/>
      <c r="W6461" s="399"/>
      <c r="X6461" s="399" t="s">
        <v>125</v>
      </c>
      <c r="Y6461" s="389">
        <f t="shared" ref="Y6461" si="20958">D6451</f>
        <v>1</v>
      </c>
      <c r="Z6461" s="400" t="s">
        <v>176</v>
      </c>
      <c r="AA6461" s="402">
        <f t="shared" ref="AA6461" si="20959">IF(AA6463=0,(D6461*N6461+P6461*R6461)*U6461*Y6461,0)</f>
        <v>0</v>
      </c>
      <c r="AB6461" s="403"/>
    </row>
    <row r="6462" spans="1:28">
      <c r="A6462" s="384" t="str">
        <f t="shared" ref="A6462:B6462" si="20960">A6445</f>
        <v>Lantai Atap</v>
      </c>
      <c r="B6462" s="385">
        <f t="shared" si="20960"/>
        <v>9</v>
      </c>
      <c r="C6462" s="393" t="s">
        <v>209</v>
      </c>
      <c r="D6462" s="398">
        <f>VLOOKUP(D6445,'Detail Balok'!$C$10:$AU$140,28,FALSE)</f>
        <v>3</v>
      </c>
      <c r="E6462" s="388" t="s">
        <v>16</v>
      </c>
      <c r="F6462" s="388">
        <f>VLOOKUP(D6445,'Detail Balok'!$C$10:$AU$140,30,FALSE)</f>
        <v>13</v>
      </c>
      <c r="G6462" s="388"/>
      <c r="H6462" s="395"/>
      <c r="I6462" s="388" t="s">
        <v>203</v>
      </c>
      <c r="J6462" s="399">
        <f t="shared" si="20847"/>
        <v>1.5</v>
      </c>
      <c r="K6462" s="400" t="s">
        <v>204</v>
      </c>
      <c r="L6462" s="399">
        <f t="shared" ref="L6462" si="20961">MAX(VLOOKUP(F6462,N$6:P$15,3,FALSE)/1000,2/3*D6450/1000)+F$16*F6462/1000</f>
        <v>0.156</v>
      </c>
      <c r="M6462" s="399" t="s">
        <v>176</v>
      </c>
      <c r="N6462" s="399">
        <f t="shared" si="20949"/>
        <v>1.6559999999999999</v>
      </c>
      <c r="O6462" s="399" t="s">
        <v>204</v>
      </c>
      <c r="P6462" s="389">
        <f t="shared" ref="P6462" si="20962">D6462-D6461</f>
        <v>0</v>
      </c>
      <c r="Q6462" s="399" t="s">
        <v>125</v>
      </c>
      <c r="R6462" s="399">
        <f t="shared" ref="R6462" si="20963">IF(P6462&gt;0,$F$18*F6462/1000,0)</f>
        <v>0</v>
      </c>
      <c r="S6462" s="399" t="s">
        <v>205</v>
      </c>
      <c r="T6462" s="399" t="s">
        <v>125</v>
      </c>
      <c r="U6462" s="401">
        <f t="shared" si="20952"/>
        <v>1.041885</v>
      </c>
      <c r="V6462" s="399"/>
      <c r="W6462" s="399"/>
      <c r="X6462" s="399" t="s">
        <v>125</v>
      </c>
      <c r="Y6462" s="389">
        <f t="shared" ref="Y6462" si="20964">D6451</f>
        <v>1</v>
      </c>
      <c r="Z6462" s="400" t="s">
        <v>176</v>
      </c>
      <c r="AA6462" s="402">
        <f t="shared" ref="AA6462" si="20965">IF(AA6463=0,(D6462*N6462+P6462*R6462)*U6462*Y6462,0)</f>
        <v>0</v>
      </c>
      <c r="AB6462" s="403"/>
    </row>
    <row r="6463" spans="1:28">
      <c r="A6463" s="384" t="str">
        <f t="shared" ref="A6463:B6463" si="20966">A6445</f>
        <v>Lantai Atap</v>
      </c>
      <c r="B6463" s="385">
        <f t="shared" si="20966"/>
        <v>9</v>
      </c>
      <c r="C6463" s="393"/>
      <c r="D6463" s="398">
        <f t="shared" si="20867"/>
        <v>3</v>
      </c>
      <c r="E6463" s="388" t="s">
        <v>16</v>
      </c>
      <c r="F6463" s="388">
        <f t="shared" si="20868"/>
        <v>13</v>
      </c>
      <c r="G6463" s="388"/>
      <c r="H6463" s="395"/>
      <c r="I6463" s="388"/>
      <c r="J6463" s="396"/>
      <c r="K6463" s="396"/>
      <c r="L6463" s="404" t="s">
        <v>207</v>
      </c>
      <c r="M6463" s="399" t="s">
        <v>176</v>
      </c>
      <c r="N6463" s="399">
        <f t="shared" ref="N6463" si="20967">IF(AND(D6460=D6461,D6460=D6462,D6461=D6462,F6460=F6461,F6460=F6462,F6461=F6462),SUM(N6460:N6462),0)</f>
        <v>6.3119999999999994</v>
      </c>
      <c r="O6463" s="399" t="s">
        <v>204</v>
      </c>
      <c r="P6463" s="389">
        <f t="shared" ref="P6463" si="20968">IF(N6463&gt;12,ROUNDDOWN(N6463/12,0),0)</f>
        <v>0</v>
      </c>
      <c r="Q6463" s="399" t="s">
        <v>125</v>
      </c>
      <c r="R6463" s="399">
        <f t="shared" ref="R6463" si="20969">IF(P6463&gt;0,MAX(VLOOKUP(F6463,$D$6:$G$15,3,FALSE),600),0)/1000</f>
        <v>0</v>
      </c>
      <c r="S6463" s="396"/>
      <c r="T6463" s="396" t="s">
        <v>125</v>
      </c>
      <c r="U6463" s="401">
        <f t="shared" si="20872"/>
        <v>1.041885</v>
      </c>
      <c r="V6463" s="396" t="s">
        <v>125</v>
      </c>
      <c r="W6463" s="399">
        <f t="shared" ref="W6463" si="20970">D6463</f>
        <v>3</v>
      </c>
      <c r="X6463" s="399" t="s">
        <v>125</v>
      </c>
      <c r="Y6463" s="389">
        <f t="shared" si="20874"/>
        <v>1</v>
      </c>
      <c r="Z6463" s="400" t="s">
        <v>176</v>
      </c>
      <c r="AA6463" s="402">
        <f t="shared" ref="AA6463" si="20971">(N6463+P6463*R6463/1000)*U6463*W6463*Y6463</f>
        <v>19.729134359999996</v>
      </c>
      <c r="AB6463" s="403"/>
    </row>
    <row r="6464" spans="1:28">
      <c r="A6464" s="384"/>
      <c r="B6464" s="385"/>
      <c r="C6464" s="393"/>
      <c r="D6464" s="394"/>
      <c r="E6464" s="388"/>
      <c r="F6464" s="388"/>
      <c r="G6464" s="388"/>
      <c r="H6464" s="395"/>
      <c r="I6464" s="388"/>
      <c r="J6464" s="399"/>
      <c r="K6464" s="396"/>
      <c r="L6464" s="396"/>
      <c r="M6464" s="396"/>
      <c r="N6464" s="396"/>
      <c r="O6464" s="396"/>
      <c r="P6464" s="389"/>
      <c r="Q6464" s="396"/>
      <c r="R6464" s="396"/>
      <c r="S6464" s="396"/>
      <c r="T6464" s="396"/>
      <c r="U6464" s="401"/>
      <c r="V6464" s="396"/>
      <c r="W6464" s="388"/>
      <c r="X6464" s="396"/>
      <c r="Y6464" s="389"/>
      <c r="Z6464" s="396"/>
      <c r="AA6464" s="388"/>
      <c r="AB6464" s="390"/>
    </row>
    <row r="6465" spans="1:28">
      <c r="A6465" s="384" t="str">
        <f t="shared" ref="A6465:B6465" si="20972">A6445</f>
        <v>Lantai Atap</v>
      </c>
      <c r="B6465" s="385">
        <f t="shared" si="20972"/>
        <v>9</v>
      </c>
      <c r="C6465" s="393" t="s">
        <v>211</v>
      </c>
      <c r="D6465" s="398">
        <f>VLOOKUP(D6445,'Detail Balok'!$C$10:$AU$140,31,FALSE)</f>
        <v>0</v>
      </c>
      <c r="E6465" s="388" t="s">
        <v>16</v>
      </c>
      <c r="F6465" s="388">
        <f>VLOOKUP(D6445,'Detail Balok'!$C$10:$AU$140,33,FALSE)</f>
        <v>10</v>
      </c>
      <c r="G6465" s="405" t="s">
        <v>157</v>
      </c>
      <c r="H6465" s="395">
        <f>VLOOKUP(D6445,'Detail Balok'!$C$10:$AU$140,35,FALSE)</f>
        <v>100</v>
      </c>
      <c r="I6465" s="388"/>
      <c r="J6465" s="400">
        <f t="shared" ref="J6465" si="20973">(IF(D6465=0,(2*(D6446+G6446))-(F$5*8),IF(D6465=3,(2*(D6446+G6446))-(F$5*8)+(G6446-2*F$5),IF(D6465=4,(2*(D6446+G6446))-(F$5*8)+2*(G6446-2*F$5)))))/1000</f>
        <v>1.08</v>
      </c>
      <c r="K6465" s="400" t="s">
        <v>204</v>
      </c>
      <c r="L6465" s="399">
        <f t="shared" ref="L6465:L6467" si="20974">IF(D6465=0,2*MAX(6*F6465,75),(D6465-1)*2*MAX(6*F6465,75))/1000</f>
        <v>0.15</v>
      </c>
      <c r="M6465" s="399" t="s">
        <v>176</v>
      </c>
      <c r="N6465" s="399">
        <f t="shared" ref="N6465:N6467" si="20975">J6465+L6465</f>
        <v>1.23</v>
      </c>
      <c r="O6465" s="399"/>
      <c r="P6465" s="389"/>
      <c r="Q6465" s="399"/>
      <c r="R6465" s="399"/>
      <c r="S6465" s="399"/>
      <c r="T6465" s="399" t="s">
        <v>125</v>
      </c>
      <c r="U6465" s="401">
        <f t="shared" ref="U6465:U6467" si="20976">0.006165*F6465^2</f>
        <v>0.61650000000000005</v>
      </c>
      <c r="V6465" s="399" t="s">
        <v>125</v>
      </c>
      <c r="W6465" s="399">
        <f t="shared" ref="W6465" si="20977">IF(D6448&gt;4*G6446,ROUND(MAX(D6448/4,2*G6446)/H6465,0)+1,ROUND(D6448/H6465,0)+1)</f>
        <v>16</v>
      </c>
      <c r="X6465" s="399" t="s">
        <v>125</v>
      </c>
      <c r="Y6465" s="389">
        <f t="shared" ref="Y6465" si="20978">D6451</f>
        <v>1</v>
      </c>
      <c r="Z6465" s="400" t="s">
        <v>176</v>
      </c>
      <c r="AA6465" s="402">
        <f t="shared" ref="AA6465:AA6467" si="20979">N6465*U6465*W6465*Y6465</f>
        <v>12.132720000000001</v>
      </c>
      <c r="AB6465" s="403"/>
    </row>
    <row r="6466" spans="1:28">
      <c r="A6466" s="384" t="str">
        <f t="shared" ref="A6466:B6466" si="20980">A6445</f>
        <v>Lantai Atap</v>
      </c>
      <c r="B6466" s="385">
        <f t="shared" si="20980"/>
        <v>9</v>
      </c>
      <c r="C6466" s="393" t="s">
        <v>212</v>
      </c>
      <c r="D6466" s="398">
        <f>VLOOKUP(D6445,'Detail Balok'!$C$10:$AU$140,36,FALSE)</f>
        <v>0</v>
      </c>
      <c r="E6466" s="388" t="s">
        <v>16</v>
      </c>
      <c r="F6466" s="388">
        <f>VLOOKUP(D6445,'Detail Balok'!$C$10:$AU$140,38,FALSE)</f>
        <v>10</v>
      </c>
      <c r="G6466" s="405" t="s">
        <v>157</v>
      </c>
      <c r="H6466" s="395">
        <f>VLOOKUP(D6445,'Detail Balok'!$C$10:$AU$140,40,FALSE)</f>
        <v>200</v>
      </c>
      <c r="I6466" s="388"/>
      <c r="J6466" s="400">
        <f t="shared" ref="J6466" si="20981">(IF(D6466=0,(2*(D6446+G6446))-(F$5*8),IF(D6466=3,(2*(D6446+G6446))-(F$5*8)+(G6446-2*F$5),IF(D6466=4,(2*(D6446+G6446))-(F$5*8)+2*(G6446-2*F$5)))))/1000</f>
        <v>1.08</v>
      </c>
      <c r="K6466" s="400" t="s">
        <v>204</v>
      </c>
      <c r="L6466" s="399">
        <f t="shared" si="20974"/>
        <v>0.15</v>
      </c>
      <c r="M6466" s="399" t="s">
        <v>176</v>
      </c>
      <c r="N6466" s="399">
        <f t="shared" si="20975"/>
        <v>1.23</v>
      </c>
      <c r="O6466" s="399"/>
      <c r="P6466" s="389"/>
      <c r="Q6466" s="399"/>
      <c r="R6466" s="399"/>
      <c r="S6466" s="399"/>
      <c r="T6466" s="399" t="s">
        <v>125</v>
      </c>
      <c r="U6466" s="401">
        <f t="shared" si="20976"/>
        <v>0.61650000000000005</v>
      </c>
      <c r="V6466" s="399" t="s">
        <v>125</v>
      </c>
      <c r="W6466" s="399">
        <f t="shared" ref="W6466" si="20982">IF(D6448-MAX(D6448/4,2*G6446)*2&gt;0,ROUND((D6448-MAX(D6448/4,2*G6446)*2)/H6466,0),0)</f>
        <v>15</v>
      </c>
      <c r="X6466" s="399" t="s">
        <v>125</v>
      </c>
      <c r="Y6466" s="389">
        <f t="shared" ref="Y6466" si="20983">D6451</f>
        <v>1</v>
      </c>
      <c r="Z6466" s="400" t="s">
        <v>176</v>
      </c>
      <c r="AA6466" s="402">
        <f t="shared" si="20979"/>
        <v>11.374425</v>
      </c>
      <c r="AB6466" s="403"/>
    </row>
    <row r="6467" spans="1:28">
      <c r="A6467" s="384" t="str">
        <f t="shared" ref="A6467:B6467" si="20984">A6445</f>
        <v>Lantai Atap</v>
      </c>
      <c r="B6467" s="385">
        <f t="shared" si="20984"/>
        <v>9</v>
      </c>
      <c r="C6467" s="393" t="s">
        <v>211</v>
      </c>
      <c r="D6467" s="398">
        <f>VLOOKUP(D6445,'Detail Balok'!$C$10:$AU$140,41,FALSE)</f>
        <v>0</v>
      </c>
      <c r="E6467" s="388" t="s">
        <v>16</v>
      </c>
      <c r="F6467" s="388">
        <f>VLOOKUP(D6445,'Detail Balok'!$C$10:$AU$140,43,FALSE)</f>
        <v>10</v>
      </c>
      <c r="G6467" s="405" t="s">
        <v>157</v>
      </c>
      <c r="H6467" s="395">
        <f>VLOOKUP(D6445,'Detail Balok'!$C$10:$AU$140,45,FALSE)</f>
        <v>100</v>
      </c>
      <c r="I6467" s="388"/>
      <c r="J6467" s="400">
        <f t="shared" ref="J6467" si="20985">(IF(D6467=0,(2*(D6446+G6446))-(F$5*8),IF(D6467=3,(2*(D6446+G6446))-(F$5*8)+(G6446-2*F$5),IF(D6467=4,(2*(D6446+G6446))-(F$5*8)+2*(G6446-2*F$5)))))/1000</f>
        <v>1.08</v>
      </c>
      <c r="K6467" s="400" t="s">
        <v>204</v>
      </c>
      <c r="L6467" s="399">
        <f t="shared" si="20974"/>
        <v>0.15</v>
      </c>
      <c r="M6467" s="399" t="s">
        <v>176</v>
      </c>
      <c r="N6467" s="399">
        <f t="shared" si="20975"/>
        <v>1.23</v>
      </c>
      <c r="O6467" s="399"/>
      <c r="P6467" s="389"/>
      <c r="Q6467" s="399"/>
      <c r="R6467" s="399"/>
      <c r="S6467" s="399"/>
      <c r="T6467" s="399" t="s">
        <v>125</v>
      </c>
      <c r="U6467" s="401">
        <f t="shared" si="20976"/>
        <v>0.61650000000000005</v>
      </c>
      <c r="V6467" s="399" t="s">
        <v>125</v>
      </c>
      <c r="W6467" s="399">
        <f t="shared" ref="W6467" si="20986">IF(D6448&gt;4*G6446,ROUND(MAX(D6448/4,2*G6446)/H6467,0)+1,0)</f>
        <v>16</v>
      </c>
      <c r="X6467" s="399" t="s">
        <v>125</v>
      </c>
      <c r="Y6467" s="389">
        <f t="shared" ref="Y6467" si="20987">D6451</f>
        <v>1</v>
      </c>
      <c r="Z6467" s="400" t="s">
        <v>176</v>
      </c>
      <c r="AA6467" s="402">
        <f t="shared" si="20979"/>
        <v>12.132720000000001</v>
      </c>
      <c r="AB6467" s="403"/>
    </row>
    <row r="6468" spans="1:28">
      <c r="A6468" s="384"/>
      <c r="B6468" s="385"/>
      <c r="C6468" s="393"/>
      <c r="D6468" s="394"/>
      <c r="E6468" s="388"/>
      <c r="F6468" s="388"/>
      <c r="G6468" s="388"/>
      <c r="H6468" s="395"/>
      <c r="I6468" s="388"/>
      <c r="J6468" s="399"/>
      <c r="K6468" s="396"/>
      <c r="L6468" s="396"/>
      <c r="M6468" s="396"/>
      <c r="N6468" s="396"/>
      <c r="O6468" s="396"/>
      <c r="P6468" s="389"/>
      <c r="Q6468" s="396"/>
      <c r="R6468" s="396"/>
      <c r="S6468" s="396"/>
      <c r="T6468" s="396"/>
      <c r="U6468" s="401"/>
      <c r="V6468" s="396"/>
      <c r="W6468" s="388"/>
      <c r="X6468" s="396"/>
      <c r="Y6468" s="389"/>
      <c r="Z6468" s="396"/>
      <c r="AA6468" s="388"/>
      <c r="AB6468" s="390"/>
    </row>
    <row r="6469" spans="1:28">
      <c r="A6469" s="384" t="str">
        <f t="shared" ref="A6469:B6469" si="20988">A6445</f>
        <v>Lantai Atap</v>
      </c>
      <c r="B6469" s="385">
        <f t="shared" si="20988"/>
        <v>9</v>
      </c>
      <c r="C6469" s="393" t="s">
        <v>213</v>
      </c>
      <c r="D6469" s="398">
        <f>VLOOKUP(D6445,'Detail Balok'!$C$10:$BJ$140,46,FALSE)</f>
        <v>0</v>
      </c>
      <c r="E6469" s="388" t="s">
        <v>16</v>
      </c>
      <c r="F6469" s="388">
        <f>VLOOKUP(D6445,'Detail Balok'!$C$10:$BJ$140,48,FALSE)</f>
        <v>0</v>
      </c>
      <c r="G6469" s="405" t="s">
        <v>157</v>
      </c>
      <c r="H6469" s="395">
        <f>VLOOKUP(D6445,'Detail Balok'!$C$10:$BJ$140,50,FALSE)</f>
        <v>100</v>
      </c>
      <c r="I6469" s="388"/>
      <c r="J6469" s="399">
        <f t="shared" ref="J6469" si="20989">(D6446-2*F$5)/1000</f>
        <v>0.17</v>
      </c>
      <c r="K6469" s="400" t="s">
        <v>204</v>
      </c>
      <c r="L6469" s="399">
        <f t="shared" ref="L6469:L6471" si="20990">IF(D6469=0,2*MAX(6*F6469,75),(D6469-1)*2*MAX(6*F6469,75))/1000</f>
        <v>0.15</v>
      </c>
      <c r="M6469" s="399" t="s">
        <v>176</v>
      </c>
      <c r="N6469" s="399">
        <f t="shared" ref="N6469:N6471" si="20991">J6469+L6469</f>
        <v>0.32</v>
      </c>
      <c r="O6469" s="399"/>
      <c r="P6469" s="399"/>
      <c r="Q6469" s="399"/>
      <c r="R6469" s="399"/>
      <c r="S6469" s="399"/>
      <c r="T6469" s="399" t="s">
        <v>125</v>
      </c>
      <c r="U6469" s="401">
        <f t="shared" ref="U6469:U6471" si="20992">0.006165*F6469^2</f>
        <v>0</v>
      </c>
      <c r="V6469" s="399" t="s">
        <v>125</v>
      </c>
      <c r="W6469" s="399">
        <f t="shared" si="20897"/>
        <v>16</v>
      </c>
      <c r="X6469" s="399" t="s">
        <v>125</v>
      </c>
      <c r="Y6469" s="389">
        <f t="shared" ref="Y6469" si="20993">D6455</f>
        <v>3</v>
      </c>
      <c r="Z6469" s="400" t="s">
        <v>176</v>
      </c>
      <c r="AA6469" s="402">
        <f t="shared" ref="AA6469:AA6471" si="20994">N6469*U6469*W6469*Y6469</f>
        <v>0</v>
      </c>
      <c r="AB6469" s="403"/>
    </row>
    <row r="6470" spans="1:28">
      <c r="A6470" s="384" t="str">
        <f t="shared" ref="A6470:B6470" si="20995">A6445</f>
        <v>Lantai Atap</v>
      </c>
      <c r="B6470" s="385">
        <f t="shared" si="20995"/>
        <v>9</v>
      </c>
      <c r="C6470" s="393" t="s">
        <v>214</v>
      </c>
      <c r="D6470" s="398">
        <f>VLOOKUP(D6445,'Detail Balok'!$C$10:$BJ$140,51,FALSE)</f>
        <v>0</v>
      </c>
      <c r="E6470" s="388" t="s">
        <v>16</v>
      </c>
      <c r="F6470" s="388">
        <f>VLOOKUP(D6445,'Detail Balok'!$C$10:$BJ$140,53,FALSE)</f>
        <v>0</v>
      </c>
      <c r="G6470" s="405" t="s">
        <v>157</v>
      </c>
      <c r="H6470" s="395">
        <f>VLOOKUP(D6445,'Detail Balok'!$C$10:$BJ$140,55,FALSE)</f>
        <v>100</v>
      </c>
      <c r="I6470" s="388"/>
      <c r="J6470" s="399">
        <f t="shared" ref="J6470" si="20996">(D6446-2*F$5)/1000</f>
        <v>0.17</v>
      </c>
      <c r="K6470" s="400" t="s">
        <v>204</v>
      </c>
      <c r="L6470" s="399">
        <f t="shared" si="20990"/>
        <v>0.15</v>
      </c>
      <c r="M6470" s="399" t="s">
        <v>176</v>
      </c>
      <c r="N6470" s="399">
        <f t="shared" si="20991"/>
        <v>0.32</v>
      </c>
      <c r="O6470" s="399"/>
      <c r="P6470" s="399"/>
      <c r="Q6470" s="399"/>
      <c r="R6470" s="399"/>
      <c r="S6470" s="399"/>
      <c r="T6470" s="399" t="s">
        <v>125</v>
      </c>
      <c r="U6470" s="401">
        <f t="shared" si="20992"/>
        <v>0</v>
      </c>
      <c r="V6470" s="399" t="s">
        <v>125</v>
      </c>
      <c r="W6470" s="399">
        <f t="shared" si="20897"/>
        <v>15</v>
      </c>
      <c r="X6470" s="399" t="s">
        <v>125</v>
      </c>
      <c r="Y6470" s="389">
        <f t="shared" ref="Y6470" si="20997">D6455</f>
        <v>3</v>
      </c>
      <c r="Z6470" s="400" t="s">
        <v>176</v>
      </c>
      <c r="AA6470" s="402">
        <f t="shared" si="20994"/>
        <v>0</v>
      </c>
      <c r="AB6470" s="403"/>
    </row>
    <row r="6471" spans="1:28">
      <c r="A6471" s="384" t="str">
        <f t="shared" ref="A6471:B6471" si="20998">A6445</f>
        <v>Lantai Atap</v>
      </c>
      <c r="B6471" s="385">
        <f t="shared" si="20998"/>
        <v>9</v>
      </c>
      <c r="C6471" s="393" t="s">
        <v>213</v>
      </c>
      <c r="D6471" s="398">
        <f>VLOOKUP(D6445,'Detail Balok'!$C$10:$BJ$140,56,FALSE)</f>
        <v>0</v>
      </c>
      <c r="E6471" s="388" t="s">
        <v>16</v>
      </c>
      <c r="F6471" s="388">
        <f>VLOOKUP(D6445,'Detail Balok'!$C$10:$BJ$140,58,FALSE)</f>
        <v>0</v>
      </c>
      <c r="G6471" s="405" t="s">
        <v>157</v>
      </c>
      <c r="H6471" s="395">
        <f>VLOOKUP(D6445,'Detail Balok'!$C$10:$BJ$140,60,FALSE)</f>
        <v>100</v>
      </c>
      <c r="I6471" s="388"/>
      <c r="J6471" s="399">
        <f t="shared" ref="J6471" si="20999">(D6446-2*F$5)/1000</f>
        <v>0.17</v>
      </c>
      <c r="K6471" s="400" t="s">
        <v>204</v>
      </c>
      <c r="L6471" s="399">
        <f t="shared" si="20990"/>
        <v>0.15</v>
      </c>
      <c r="M6471" s="399" t="s">
        <v>176</v>
      </c>
      <c r="N6471" s="399">
        <f t="shared" si="20991"/>
        <v>0.32</v>
      </c>
      <c r="O6471" s="399"/>
      <c r="P6471" s="399"/>
      <c r="Q6471" s="399"/>
      <c r="R6471" s="399"/>
      <c r="S6471" s="399"/>
      <c r="T6471" s="399" t="s">
        <v>125</v>
      </c>
      <c r="U6471" s="401">
        <f t="shared" si="20992"/>
        <v>0</v>
      </c>
      <c r="V6471" s="399" t="s">
        <v>125</v>
      </c>
      <c r="W6471" s="399">
        <f t="shared" si="20897"/>
        <v>16</v>
      </c>
      <c r="X6471" s="399" t="s">
        <v>125</v>
      </c>
      <c r="Y6471" s="389">
        <f t="shared" ref="Y6471" si="21000">D6455</f>
        <v>3</v>
      </c>
      <c r="Z6471" s="400" t="s">
        <v>176</v>
      </c>
      <c r="AA6471" s="402">
        <f t="shared" si="20994"/>
        <v>0</v>
      </c>
      <c r="AB6471" s="403"/>
    </row>
    <row r="6472" spans="1:28">
      <c r="A6472" s="391"/>
      <c r="B6472" s="392"/>
      <c r="C6472" s="392"/>
      <c r="D6472" s="394"/>
      <c r="E6472" s="388"/>
      <c r="F6472" s="388"/>
      <c r="G6472" s="388"/>
      <c r="H6472" s="395"/>
      <c r="I6472" s="388"/>
      <c r="J6472" s="402"/>
      <c r="K6472" s="388"/>
      <c r="L6472" s="388"/>
      <c r="M6472" s="388"/>
      <c r="N6472" s="388"/>
      <c r="O6472" s="388"/>
      <c r="P6472" s="388"/>
      <c r="Q6472" s="388"/>
      <c r="R6472" s="388"/>
      <c r="S6472" s="388"/>
      <c r="T6472" s="388"/>
      <c r="U6472" s="388"/>
      <c r="V6472" s="388"/>
      <c r="W6472" s="388"/>
      <c r="X6472" s="388"/>
      <c r="Y6472" s="389"/>
      <c r="Z6472" s="388"/>
      <c r="AA6472" s="402"/>
      <c r="AB6472" s="403"/>
    </row>
    <row r="6473" spans="1:28" ht="15.75" thickBot="1">
      <c r="A6473" s="406"/>
      <c r="B6473" s="407"/>
      <c r="C6473" s="407"/>
      <c r="D6473" s="408"/>
      <c r="E6473" s="409"/>
      <c r="F6473" s="409"/>
      <c r="G6473" s="409"/>
      <c r="H6473" s="410"/>
      <c r="I6473" s="409"/>
      <c r="J6473" s="409"/>
      <c r="K6473" s="409"/>
      <c r="L6473" s="409"/>
      <c r="M6473" s="409"/>
      <c r="N6473" s="409"/>
      <c r="O6473" s="409"/>
      <c r="P6473" s="409"/>
      <c r="Q6473" s="409"/>
      <c r="R6473" s="409"/>
      <c r="S6473" s="409"/>
      <c r="T6473" s="409"/>
      <c r="U6473" s="409"/>
      <c r="V6473" s="409"/>
      <c r="W6473" s="409"/>
      <c r="X6473" s="409"/>
      <c r="Y6473" s="411"/>
      <c r="Z6473" s="409"/>
      <c r="AA6473" s="412"/>
      <c r="AB6473" s="413"/>
    </row>
    <row r="6474" spans="1:28">
      <c r="A6474" s="377"/>
      <c r="B6474" s="378"/>
      <c r="C6474" s="378"/>
      <c r="D6474" s="379"/>
      <c r="E6474" s="380"/>
      <c r="F6474" s="380"/>
      <c r="G6474" s="380"/>
      <c r="H6474" s="381"/>
      <c r="I6474" s="380"/>
      <c r="J6474" s="380"/>
      <c r="K6474" s="380"/>
      <c r="L6474" s="380"/>
      <c r="M6474" s="380"/>
      <c r="N6474" s="380"/>
      <c r="O6474" s="380"/>
      <c r="P6474" s="380"/>
      <c r="Q6474" s="380"/>
      <c r="R6474" s="380"/>
      <c r="S6474" s="380"/>
      <c r="T6474" s="380"/>
      <c r="U6474" s="380"/>
      <c r="V6474" s="380"/>
      <c r="W6474" s="380"/>
      <c r="X6474" s="380"/>
      <c r="Y6474" s="382"/>
      <c r="Z6474" s="380"/>
      <c r="AA6474" s="380"/>
      <c r="AB6474" s="383"/>
    </row>
    <row r="6475" spans="1:28">
      <c r="A6475" s="384" t="str">
        <f t="shared" si="20906"/>
        <v>Lantai Atap</v>
      </c>
      <c r="B6475" s="385">
        <f t="shared" si="20907"/>
        <v>10</v>
      </c>
      <c r="C6475" s="386" t="str">
        <f t="shared" ref="C6475" si="21001">CONCATENATE(A6475," no. ",B6475)</f>
        <v>Lantai Atap no. 10</v>
      </c>
      <c r="D6475" s="2562" t="str">
        <f>VLOOKUP(C6475,'Data Panjang Balok'!$C$9:$N$254,2,FALSE)</f>
        <v>B24-1</v>
      </c>
      <c r="E6475" s="2576"/>
      <c r="F6475" s="2576"/>
      <c r="G6475" s="2576"/>
      <c r="H6475" s="2577"/>
      <c r="I6475" s="387"/>
      <c r="J6475" s="388"/>
      <c r="K6475" s="388"/>
      <c r="L6475" s="388"/>
      <c r="M6475" s="388"/>
      <c r="N6475" s="388"/>
      <c r="O6475" s="388"/>
      <c r="P6475" s="388"/>
      <c r="Q6475" s="388"/>
      <c r="R6475" s="388"/>
      <c r="S6475" s="388"/>
      <c r="T6475" s="388"/>
      <c r="U6475" s="388"/>
      <c r="V6475" s="388"/>
      <c r="W6475" s="388"/>
      <c r="X6475" s="388"/>
      <c r="Y6475" s="389"/>
      <c r="Z6475" s="388"/>
      <c r="AA6475" s="388"/>
      <c r="AB6475" s="390"/>
    </row>
    <row r="6476" spans="1:28">
      <c r="A6476" s="391"/>
      <c r="B6476" s="392"/>
      <c r="C6476" s="393" t="s">
        <v>118</v>
      </c>
      <c r="D6476" s="2578">
        <f>VLOOKUP(D6475,'Detail Balok'!$C$10:$AU$140,2,FALSE)</f>
        <v>200</v>
      </c>
      <c r="E6476" s="2579"/>
      <c r="F6476" s="388" t="s">
        <v>125</v>
      </c>
      <c r="G6476" s="2579">
        <f>VLOOKUP(D6475,'Detail Balok'!$C$10:$AU$140,3,FALSE)</f>
        <v>400</v>
      </c>
      <c r="H6476" s="2580"/>
      <c r="I6476" s="388"/>
      <c r="J6476" s="396"/>
      <c r="K6476" s="396"/>
      <c r="L6476" s="396"/>
      <c r="M6476" s="396"/>
      <c r="N6476" s="396"/>
      <c r="O6476" s="396"/>
      <c r="P6476" s="396"/>
      <c r="Q6476" s="396"/>
      <c r="R6476" s="396"/>
      <c r="S6476" s="396"/>
      <c r="T6476" s="396"/>
      <c r="U6476" s="388"/>
      <c r="V6476" s="396"/>
      <c r="W6476" s="388"/>
      <c r="X6476" s="396"/>
      <c r="Y6476" s="389"/>
      <c r="Z6476" s="396"/>
      <c r="AA6476" s="388"/>
      <c r="AB6476" s="390"/>
    </row>
    <row r="6477" spans="1:28">
      <c r="A6477" s="391"/>
      <c r="B6477" s="392"/>
      <c r="C6477" s="393" t="s">
        <v>198</v>
      </c>
      <c r="D6477" s="2562">
        <f>VLOOKUP(C6475,'Data Panjang Balok'!$C$9:$N$254,4,FALSE)</f>
        <v>4075</v>
      </c>
      <c r="E6477" s="2563"/>
      <c r="F6477" s="2563"/>
      <c r="G6477" s="2563"/>
      <c r="H6477" s="2564"/>
      <c r="I6477" s="397"/>
      <c r="J6477" s="396"/>
      <c r="K6477" s="396"/>
      <c r="L6477" s="396"/>
      <c r="M6477" s="396"/>
      <c r="N6477" s="396"/>
      <c r="O6477" s="396"/>
      <c r="P6477" s="396"/>
      <c r="Q6477" s="396"/>
      <c r="R6477" s="396"/>
      <c r="S6477" s="396"/>
      <c r="T6477" s="396"/>
      <c r="U6477" s="388"/>
      <c r="V6477" s="396"/>
      <c r="W6477" s="388"/>
      <c r="X6477" s="396"/>
      <c r="Y6477" s="389"/>
      <c r="Z6477" s="396"/>
      <c r="AA6477" s="388"/>
      <c r="AB6477" s="390"/>
    </row>
    <row r="6478" spans="1:28">
      <c r="A6478" s="391"/>
      <c r="B6478" s="392"/>
      <c r="C6478" s="393" t="s">
        <v>199</v>
      </c>
      <c r="D6478" s="2562">
        <f>VLOOKUP(C6475,'Data Panjang Balok'!$C$9:$N$254,7,FALSE)</f>
        <v>4075</v>
      </c>
      <c r="E6478" s="2563"/>
      <c r="F6478" s="2563"/>
      <c r="G6478" s="2563"/>
      <c r="H6478" s="2564"/>
      <c r="I6478" s="397"/>
      <c r="J6478" s="396"/>
      <c r="K6478" s="396"/>
      <c r="L6478" s="396"/>
      <c r="M6478" s="396"/>
      <c r="N6478" s="396"/>
      <c r="O6478" s="396"/>
      <c r="P6478" s="396"/>
      <c r="Q6478" s="396"/>
      <c r="R6478" s="396"/>
      <c r="S6478" s="396"/>
      <c r="T6478" s="396"/>
      <c r="U6478" s="388"/>
      <c r="V6478" s="396"/>
      <c r="W6478" s="388"/>
      <c r="X6478" s="396"/>
      <c r="Y6478" s="389"/>
      <c r="Z6478" s="396"/>
      <c r="AA6478" s="388"/>
      <c r="AB6478" s="390"/>
    </row>
    <row r="6479" spans="1:28">
      <c r="A6479" s="391"/>
      <c r="B6479" s="392"/>
      <c r="C6479" s="393" t="s">
        <v>200</v>
      </c>
      <c r="D6479" s="2562">
        <f>VLOOKUP(C6475,'Data Panjang Balok'!$C$9:$N$254,9,FALSE)</f>
        <v>0</v>
      </c>
      <c r="E6479" s="2563"/>
      <c r="F6479" s="2563"/>
      <c r="G6479" s="2563"/>
      <c r="H6479" s="2564"/>
      <c r="I6479" s="397"/>
      <c r="J6479" s="396"/>
      <c r="K6479" s="396"/>
      <c r="L6479" s="396"/>
      <c r="M6479" s="396"/>
      <c r="N6479" s="396"/>
      <c r="O6479" s="396"/>
      <c r="P6479" s="396"/>
      <c r="Q6479" s="396"/>
      <c r="R6479" s="396"/>
      <c r="S6479" s="396"/>
      <c r="T6479" s="396"/>
      <c r="U6479" s="388"/>
      <c r="V6479" s="396"/>
      <c r="W6479" s="388"/>
      <c r="X6479" s="396"/>
      <c r="Y6479" s="389"/>
      <c r="Z6479" s="396"/>
      <c r="AA6479" s="388"/>
      <c r="AB6479" s="390"/>
    </row>
    <row r="6480" spans="1:28">
      <c r="A6480" s="391"/>
      <c r="B6480" s="392"/>
      <c r="C6480" s="393" t="s">
        <v>201</v>
      </c>
      <c r="D6480" s="2562">
        <f>VLOOKUP(C6475,'Data Panjang Balok'!$C$9:$N$254,10,FALSE)</f>
        <v>0</v>
      </c>
      <c r="E6480" s="2563"/>
      <c r="F6480" s="2563"/>
      <c r="G6480" s="2563"/>
      <c r="H6480" s="2564"/>
      <c r="I6480" s="397"/>
      <c r="J6480" s="396"/>
      <c r="K6480" s="396"/>
      <c r="L6480" s="396"/>
      <c r="M6480" s="396"/>
      <c r="N6480" s="396"/>
      <c r="O6480" s="396"/>
      <c r="P6480" s="396"/>
      <c r="Q6480" s="396"/>
      <c r="R6480" s="396"/>
      <c r="S6480" s="396"/>
      <c r="T6480" s="396"/>
      <c r="U6480" s="388"/>
      <c r="V6480" s="396"/>
      <c r="W6480" s="388"/>
      <c r="X6480" s="396"/>
      <c r="Y6480" s="389"/>
      <c r="Z6480" s="396"/>
      <c r="AA6480" s="388"/>
      <c r="AB6480" s="390"/>
    </row>
    <row r="6481" spans="1:28">
      <c r="A6481" s="391"/>
      <c r="B6481" s="392"/>
      <c r="C6481" s="393" t="s">
        <v>48</v>
      </c>
      <c r="D6481" s="2562">
        <f>VLOOKUP(C6475,'Data Panjang Balok'!$C$9:$N$254,3,FALSE)</f>
        <v>1</v>
      </c>
      <c r="E6481" s="2563"/>
      <c r="F6481" s="2563"/>
      <c r="G6481" s="2563"/>
      <c r="H6481" s="2564"/>
      <c r="I6481" s="397"/>
      <c r="J6481" s="396"/>
      <c r="K6481" s="396"/>
      <c r="L6481" s="396"/>
      <c r="M6481" s="396"/>
      <c r="N6481" s="396"/>
      <c r="O6481" s="396"/>
      <c r="P6481" s="396"/>
      <c r="Q6481" s="396"/>
      <c r="R6481" s="396"/>
      <c r="S6481" s="396"/>
      <c r="T6481" s="396"/>
      <c r="U6481" s="388"/>
      <c r="V6481" s="396"/>
      <c r="W6481" s="388"/>
      <c r="X6481" s="396"/>
      <c r="Y6481" s="389"/>
      <c r="Z6481" s="396"/>
      <c r="AA6481" s="388"/>
      <c r="AB6481" s="390"/>
    </row>
    <row r="6482" spans="1:28">
      <c r="A6482" s="384" t="str">
        <f t="shared" ref="A6482:B6482" si="21002">A6475</f>
        <v>Lantai Atap</v>
      </c>
      <c r="B6482" s="385">
        <f t="shared" si="21002"/>
        <v>10</v>
      </c>
      <c r="C6482" s="393" t="s">
        <v>202</v>
      </c>
      <c r="D6482" s="398">
        <f>VLOOKUP(D6475,'Detail Balok'!$C$10:$AU$140,4,FALSE)</f>
        <v>3</v>
      </c>
      <c r="E6482" s="388" t="s">
        <v>16</v>
      </c>
      <c r="F6482" s="388">
        <f>VLOOKUP(D6475,'Detail Balok'!$C$10:$AU$140,6,FALSE)</f>
        <v>13</v>
      </c>
      <c r="G6482" s="388"/>
      <c r="H6482" s="395"/>
      <c r="I6482" s="388" t="s">
        <v>203</v>
      </c>
      <c r="J6482" s="399">
        <f t="shared" ref="J6482" si="21003">+D6477/4/1000</f>
        <v>1.01875</v>
      </c>
      <c r="K6482" s="400" t="s">
        <v>204</v>
      </c>
      <c r="L6482" s="399">
        <f t="shared" ref="L6482" si="21004">MAX(VLOOKUP(F6482,N$6:P$15,3,FALSE)/1000,2/3*D6479/1000)+F$16*F6482/1000</f>
        <v>0.156</v>
      </c>
      <c r="M6482" s="399" t="s">
        <v>176</v>
      </c>
      <c r="N6482" s="399">
        <f t="shared" ref="N6482:N6484" si="21005">J6482+L6482</f>
        <v>1.17475</v>
      </c>
      <c r="O6482" s="399" t="s">
        <v>204</v>
      </c>
      <c r="P6482" s="389">
        <f t="shared" ref="P6482" si="21006">D6482-D6483</f>
        <v>0</v>
      </c>
      <c r="Q6482" s="399" t="s">
        <v>125</v>
      </c>
      <c r="R6482" s="399">
        <f t="shared" ref="R6482" si="21007">IF(P6482&gt;0,$F$18*F6482/1000,0)</f>
        <v>0</v>
      </c>
      <c r="S6482" s="399" t="s">
        <v>205</v>
      </c>
      <c r="T6482" s="399" t="s">
        <v>125</v>
      </c>
      <c r="U6482" s="401">
        <f t="shared" ref="U6482:U6484" si="21008">0.006165*F6482^2</f>
        <v>1.041885</v>
      </c>
      <c r="V6482" s="399"/>
      <c r="W6482" s="399"/>
      <c r="X6482" s="399" t="s">
        <v>125</v>
      </c>
      <c r="Y6482" s="389">
        <f t="shared" ref="Y6482" si="21009">D6481</f>
        <v>1</v>
      </c>
      <c r="Z6482" s="400" t="s">
        <v>176</v>
      </c>
      <c r="AA6482" s="402">
        <f t="shared" ref="AA6482" si="21010">IF(AA6485=0,(D6482*N6482+P6482*R6482)*U6482*Y6482,0)</f>
        <v>0</v>
      </c>
      <c r="AB6482" s="403"/>
    </row>
    <row r="6483" spans="1:28">
      <c r="A6483" s="384" t="str">
        <f t="shared" ref="A6483:B6483" si="21011">A6475</f>
        <v>Lantai Atap</v>
      </c>
      <c r="B6483" s="385">
        <f t="shared" si="21011"/>
        <v>10</v>
      </c>
      <c r="C6483" s="393" t="s">
        <v>206</v>
      </c>
      <c r="D6483" s="398">
        <f>VLOOKUP(D6475,'Detail Balok'!$C$10:$AU$140,7,FALSE)</f>
        <v>3</v>
      </c>
      <c r="E6483" s="388" t="s">
        <v>16</v>
      </c>
      <c r="F6483" s="388">
        <f>VLOOKUP(D6475,'Detail Balok'!$C$10:$AU$140,9,FALSE)</f>
        <v>13</v>
      </c>
      <c r="G6483" s="388"/>
      <c r="H6483" s="395"/>
      <c r="I6483" s="388" t="s">
        <v>203</v>
      </c>
      <c r="J6483" s="399">
        <f t="shared" ref="J6483" si="21012">+D6477/2/1000</f>
        <v>2.0375000000000001</v>
      </c>
      <c r="K6483" s="400" t="s">
        <v>204</v>
      </c>
      <c r="L6483" s="399"/>
      <c r="M6483" s="399" t="s">
        <v>176</v>
      </c>
      <c r="N6483" s="399">
        <f t="shared" si="21005"/>
        <v>2.0375000000000001</v>
      </c>
      <c r="O6483" s="399" t="s">
        <v>204</v>
      </c>
      <c r="P6483" s="389">
        <f t="shared" ref="P6483" si="21013">MAX(D6483-D6482,D6483-D6484)</f>
        <v>0</v>
      </c>
      <c r="Q6483" s="399" t="s">
        <v>125</v>
      </c>
      <c r="R6483" s="399">
        <f t="shared" ref="R6483" si="21014">IF(P6483&gt;0,2*(1-2*$F$19-1/2)*D6478/1000,0)</f>
        <v>0</v>
      </c>
      <c r="S6483" s="399" t="s">
        <v>205</v>
      </c>
      <c r="T6483" s="399" t="s">
        <v>125</v>
      </c>
      <c r="U6483" s="401">
        <f t="shared" si="21008"/>
        <v>1.041885</v>
      </c>
      <c r="V6483" s="399"/>
      <c r="W6483" s="399"/>
      <c r="X6483" s="399" t="s">
        <v>125</v>
      </c>
      <c r="Y6483" s="389">
        <f t="shared" ref="Y6483" si="21015">D6481</f>
        <v>1</v>
      </c>
      <c r="Z6483" s="400" t="s">
        <v>176</v>
      </c>
      <c r="AA6483" s="402">
        <f t="shared" ref="AA6483" si="21016">IF(AA6485=0,(D6483*N6483+P6483*R6483)*U6483*Y6483,0)</f>
        <v>0</v>
      </c>
      <c r="AB6483" s="403"/>
    </row>
    <row r="6484" spans="1:28">
      <c r="A6484" s="384" t="str">
        <f t="shared" ref="A6484:B6484" si="21017">A6475</f>
        <v>Lantai Atap</v>
      </c>
      <c r="B6484" s="385">
        <f t="shared" si="21017"/>
        <v>10</v>
      </c>
      <c r="C6484" s="393" t="s">
        <v>202</v>
      </c>
      <c r="D6484" s="398">
        <f>VLOOKUP(D6475,'Detail Balok'!$C$10:$AU$140,10,FALSE)</f>
        <v>3</v>
      </c>
      <c r="E6484" s="388" t="s">
        <v>16</v>
      </c>
      <c r="F6484" s="388">
        <f>VLOOKUP(D6475,'Detail Balok'!$C$10:$AU$140,12,FALSE)</f>
        <v>13</v>
      </c>
      <c r="G6484" s="388"/>
      <c r="H6484" s="395"/>
      <c r="I6484" s="388" t="s">
        <v>203</v>
      </c>
      <c r="J6484" s="399">
        <f t="shared" ref="J6484" si="21018">+D6477/4/1000</f>
        <v>1.01875</v>
      </c>
      <c r="K6484" s="400" t="s">
        <v>204</v>
      </c>
      <c r="L6484" s="399">
        <f t="shared" ref="L6484" si="21019">MAX(VLOOKUP(F6484,N$6:P$15,3,FALSE)/1000,2/3*D6479/1000)+F$16*F6484/1000</f>
        <v>0.156</v>
      </c>
      <c r="M6484" s="399" t="s">
        <v>176</v>
      </c>
      <c r="N6484" s="399">
        <f t="shared" si="21005"/>
        <v>1.17475</v>
      </c>
      <c r="O6484" s="399" t="s">
        <v>204</v>
      </c>
      <c r="P6484" s="389">
        <f t="shared" ref="P6484" si="21020">D6484-D6483</f>
        <v>0</v>
      </c>
      <c r="Q6484" s="399" t="s">
        <v>125</v>
      </c>
      <c r="R6484" s="399">
        <f t="shared" ref="R6484" si="21021">IF(P6484&gt;0,$F$18*F6484/1000,0)</f>
        <v>0</v>
      </c>
      <c r="S6484" s="399" t="s">
        <v>205</v>
      </c>
      <c r="T6484" s="399" t="s">
        <v>125</v>
      </c>
      <c r="U6484" s="401">
        <f t="shared" si="21008"/>
        <v>1.041885</v>
      </c>
      <c r="V6484" s="399"/>
      <c r="W6484" s="399"/>
      <c r="X6484" s="399" t="s">
        <v>125</v>
      </c>
      <c r="Y6484" s="389">
        <f t="shared" ref="Y6484" si="21022">D6481</f>
        <v>1</v>
      </c>
      <c r="Z6484" s="400" t="s">
        <v>176</v>
      </c>
      <c r="AA6484" s="402">
        <f t="shared" ref="AA6484" si="21023">IF(AA6485=0,(D6484*N6484+P6484*R6484)*U6484*Y6484,0)</f>
        <v>0</v>
      </c>
      <c r="AB6484" s="403"/>
    </row>
    <row r="6485" spans="1:28">
      <c r="A6485" s="384" t="str">
        <f t="shared" ref="A6485:B6485" si="21024">A6475</f>
        <v>Lantai Atap</v>
      </c>
      <c r="B6485" s="385">
        <f t="shared" si="21024"/>
        <v>10</v>
      </c>
      <c r="C6485" s="393"/>
      <c r="D6485" s="398">
        <f t="shared" si="20827"/>
        <v>3</v>
      </c>
      <c r="E6485" s="388" t="s">
        <v>16</v>
      </c>
      <c r="F6485" s="388">
        <f t="shared" si="20828"/>
        <v>13</v>
      </c>
      <c r="G6485" s="388"/>
      <c r="H6485" s="395"/>
      <c r="I6485" s="388"/>
      <c r="J6485" s="396"/>
      <c r="K6485" s="396"/>
      <c r="L6485" s="404" t="s">
        <v>207</v>
      </c>
      <c r="M6485" s="399" t="s">
        <v>176</v>
      </c>
      <c r="N6485" s="399">
        <f t="shared" ref="N6485" si="21025">IF(AND(D6482=D6483,D6482=D6484,D6483=D6484,F6482=F6483,F6482=F6484,F6483=F6484),SUM(N6482:N6484),0)</f>
        <v>4.3870000000000005</v>
      </c>
      <c r="O6485" s="399" t="s">
        <v>204</v>
      </c>
      <c r="P6485" s="389">
        <f t="shared" ref="P6485" si="21026">IF(N6485&gt;12,ROUNDDOWN(N6485/12,0),0)</f>
        <v>0</v>
      </c>
      <c r="Q6485" s="399" t="s">
        <v>125</v>
      </c>
      <c r="R6485" s="399">
        <f t="shared" ref="R6485" si="21027">IF(P6485&gt;0,MAX(VLOOKUP(F6485,$D$6:$G$15,3,FALSE),600),0)/1000</f>
        <v>0</v>
      </c>
      <c r="S6485" s="396"/>
      <c r="T6485" s="396" t="s">
        <v>125</v>
      </c>
      <c r="U6485" s="401">
        <f t="shared" si="20832"/>
        <v>1.041885</v>
      </c>
      <c r="V6485" s="396" t="s">
        <v>125</v>
      </c>
      <c r="W6485" s="399">
        <f t="shared" ref="W6485" si="21028">D6485</f>
        <v>3</v>
      </c>
      <c r="X6485" s="399" t="s">
        <v>125</v>
      </c>
      <c r="Y6485" s="389">
        <f t="shared" si="20834"/>
        <v>1</v>
      </c>
      <c r="Z6485" s="400" t="s">
        <v>176</v>
      </c>
      <c r="AA6485" s="402">
        <f t="shared" ref="AA6485" si="21029">(N6485+P6485*R6485/1000)*U6485*W6485*Y6485</f>
        <v>13.712248485</v>
      </c>
      <c r="AB6485" s="390"/>
    </row>
    <row r="6486" spans="1:28">
      <c r="A6486" s="384"/>
      <c r="B6486" s="385"/>
      <c r="C6486" s="393"/>
      <c r="D6486" s="398"/>
      <c r="E6486" s="388"/>
      <c r="F6486" s="388"/>
      <c r="G6486" s="388"/>
      <c r="H6486" s="395"/>
      <c r="I6486" s="388"/>
      <c r="J6486" s="396"/>
      <c r="K6486" s="396"/>
      <c r="L6486" s="404"/>
      <c r="M6486" s="399"/>
      <c r="N6486" s="399"/>
      <c r="O6486" s="396"/>
      <c r="P6486" s="389"/>
      <c r="Q6486" s="396"/>
      <c r="R6486" s="396"/>
      <c r="S6486" s="396"/>
      <c r="T6486" s="396"/>
      <c r="U6486" s="401"/>
      <c r="V6486" s="396"/>
      <c r="W6486" s="399"/>
      <c r="X6486" s="396"/>
      <c r="Y6486" s="389"/>
      <c r="Z6486" s="396"/>
      <c r="AA6486" s="388"/>
      <c r="AB6486" s="390"/>
    </row>
    <row r="6487" spans="1:28">
      <c r="A6487" s="384" t="str">
        <f t="shared" ref="A6487:B6487" si="21030">A6475</f>
        <v>Lantai Atap</v>
      </c>
      <c r="B6487" s="385">
        <f t="shared" si="21030"/>
        <v>10</v>
      </c>
      <c r="C6487" s="393" t="s">
        <v>208</v>
      </c>
      <c r="D6487" s="398">
        <f>VLOOKUP(D6475,'Detail Balok'!$C$10:$AU$140,13,FALSE)</f>
        <v>0</v>
      </c>
      <c r="E6487" s="388" t="s">
        <v>16</v>
      </c>
      <c r="F6487" s="388">
        <f>VLOOKUP(D6475,'Detail Balok'!$C$10:$AU$140,15,FALSE)</f>
        <v>8</v>
      </c>
      <c r="G6487" s="388"/>
      <c r="H6487" s="395"/>
      <c r="I6487" s="388"/>
      <c r="J6487" s="399">
        <f t="shared" ref="J6487" si="21031">+D6477/1000</f>
        <v>4.0750000000000002</v>
      </c>
      <c r="K6487" s="400" t="s">
        <v>204</v>
      </c>
      <c r="L6487" s="399">
        <f t="shared" ref="L6487" si="21032">2*$F$16*F6487/1000</f>
        <v>0.192</v>
      </c>
      <c r="M6487" s="399" t="s">
        <v>176</v>
      </c>
      <c r="N6487" s="399">
        <f t="shared" ref="N6487" si="21033">J6487+L6487</f>
        <v>4.2670000000000003</v>
      </c>
      <c r="O6487" s="399" t="s">
        <v>204</v>
      </c>
      <c r="P6487" s="389">
        <f t="shared" ref="P6487" si="21034">IF(N6487&gt;12,ROUNDDOWN(N6487/12,0),0)</f>
        <v>0</v>
      </c>
      <c r="Q6487" s="399" t="s">
        <v>125</v>
      </c>
      <c r="R6487" s="399">
        <f t="shared" ref="R6487" si="21035">IF(P6487&gt;0,MAX(VLOOKUP(F6487,$D$6:$G$15,3,FALSE),600),0)/1000</f>
        <v>0</v>
      </c>
      <c r="S6487" s="399"/>
      <c r="T6487" s="399" t="s">
        <v>125</v>
      </c>
      <c r="U6487" s="401">
        <f t="shared" ref="U6487" si="21036">0.006165*F6487^2</f>
        <v>0.39456000000000002</v>
      </c>
      <c r="V6487" s="399" t="s">
        <v>125</v>
      </c>
      <c r="W6487" s="399">
        <f t="shared" ref="W6487" si="21037">+D6487</f>
        <v>0</v>
      </c>
      <c r="X6487" s="399" t="s">
        <v>125</v>
      </c>
      <c r="Y6487" s="389">
        <f t="shared" ref="Y6487" si="21038">D6481</f>
        <v>1</v>
      </c>
      <c r="Z6487" s="400" t="s">
        <v>176</v>
      </c>
      <c r="AA6487" s="402">
        <f t="shared" ref="AA6487" si="21039">(N6487+P6487*R6487/1000)*U6487*W6487*Y6487</f>
        <v>0</v>
      </c>
      <c r="AB6487" s="403"/>
    </row>
    <row r="6488" spans="1:28">
      <c r="A6488" s="384"/>
      <c r="B6488" s="385"/>
      <c r="C6488" s="393"/>
      <c r="D6488" s="398"/>
      <c r="E6488" s="388"/>
      <c r="F6488" s="388"/>
      <c r="G6488" s="388"/>
      <c r="H6488" s="395"/>
      <c r="I6488" s="388"/>
      <c r="J6488" s="399"/>
      <c r="K6488" s="400"/>
      <c r="L6488" s="399"/>
      <c r="M6488" s="399"/>
      <c r="N6488" s="399"/>
      <c r="O6488" s="399"/>
      <c r="P6488" s="389"/>
      <c r="Q6488" s="399"/>
      <c r="R6488" s="399"/>
      <c r="S6488" s="399"/>
      <c r="T6488" s="399"/>
      <c r="U6488" s="401"/>
      <c r="V6488" s="399"/>
      <c r="W6488" s="399"/>
      <c r="X6488" s="399"/>
      <c r="Y6488" s="389"/>
      <c r="Z6488" s="400"/>
      <c r="AA6488" s="402"/>
      <c r="AB6488" s="403"/>
    </row>
    <row r="6489" spans="1:28">
      <c r="A6489" s="384"/>
      <c r="B6489" s="385"/>
      <c r="C6489" s="393"/>
      <c r="D6489" s="398"/>
      <c r="E6489" s="388"/>
      <c r="F6489" s="388"/>
      <c r="G6489" s="388"/>
      <c r="H6489" s="395"/>
      <c r="I6489" s="388"/>
      <c r="J6489" s="396"/>
      <c r="K6489" s="396"/>
      <c r="L6489" s="396"/>
      <c r="M6489" s="396"/>
      <c r="N6489" s="396"/>
      <c r="O6489" s="396"/>
      <c r="P6489" s="389"/>
      <c r="Q6489" s="396"/>
      <c r="R6489" s="396"/>
      <c r="S6489" s="396"/>
      <c r="T6489" s="396"/>
      <c r="U6489" s="401"/>
      <c r="V6489" s="396"/>
      <c r="W6489" s="399"/>
      <c r="X6489" s="396"/>
      <c r="Y6489" s="389"/>
      <c r="Z6489" s="396"/>
      <c r="AA6489" s="388"/>
      <c r="AB6489" s="390"/>
    </row>
    <row r="6490" spans="1:28">
      <c r="A6490" s="384" t="str">
        <f t="shared" ref="A6490:B6490" si="21040">A6475</f>
        <v>Lantai Atap</v>
      </c>
      <c r="B6490" s="385">
        <f t="shared" si="21040"/>
        <v>10</v>
      </c>
      <c r="C6490" s="393" t="s">
        <v>209</v>
      </c>
      <c r="D6490" s="398">
        <f>VLOOKUP(D6475,'Detail Balok'!$C$10:$AU$140,22,FALSE)</f>
        <v>3</v>
      </c>
      <c r="E6490" s="388" t="s">
        <v>16</v>
      </c>
      <c r="F6490" s="388">
        <f>VLOOKUP(D6475,'Detail Balok'!$C$10:$AU$140,24,FALSE)</f>
        <v>13</v>
      </c>
      <c r="G6490" s="388"/>
      <c r="H6490" s="395"/>
      <c r="I6490" s="388" t="s">
        <v>203</v>
      </c>
      <c r="J6490" s="399">
        <f t="shared" si="20847"/>
        <v>1.01875</v>
      </c>
      <c r="K6490" s="400" t="s">
        <v>204</v>
      </c>
      <c r="L6490" s="399">
        <f t="shared" ref="L6490" si="21041">MAX(VLOOKUP(F6490,N$6:P$15,3,FALSE)/1000,2/3*D6480/1000)+F$16*F6490/1000</f>
        <v>0.156</v>
      </c>
      <c r="M6490" s="399" t="s">
        <v>176</v>
      </c>
      <c r="N6490" s="399">
        <f t="shared" ref="N6490:N6492" si="21042">J6490+L6490</f>
        <v>1.17475</v>
      </c>
      <c r="O6490" s="399" t="s">
        <v>204</v>
      </c>
      <c r="P6490" s="389">
        <f t="shared" ref="P6490" si="21043">D6490-D6491</f>
        <v>0</v>
      </c>
      <c r="Q6490" s="399" t="s">
        <v>125</v>
      </c>
      <c r="R6490" s="399">
        <f t="shared" ref="R6490" si="21044">IF(P6490&gt;0,$F$18*F6490/1000,0)</f>
        <v>0</v>
      </c>
      <c r="S6490" s="399" t="s">
        <v>205</v>
      </c>
      <c r="T6490" s="399" t="s">
        <v>125</v>
      </c>
      <c r="U6490" s="401">
        <f t="shared" ref="U6490:U6492" si="21045">0.006165*F6490^2</f>
        <v>1.041885</v>
      </c>
      <c r="V6490" s="399"/>
      <c r="W6490" s="399"/>
      <c r="X6490" s="399" t="s">
        <v>125</v>
      </c>
      <c r="Y6490" s="389">
        <f t="shared" ref="Y6490" si="21046">D6481</f>
        <v>1</v>
      </c>
      <c r="Z6490" s="400" t="s">
        <v>176</v>
      </c>
      <c r="AA6490" s="402">
        <f t="shared" ref="AA6490" si="21047">IF(AA6493=0,(D6490*N6490+P6490*R6490)*U6490*Y6490,0)</f>
        <v>0</v>
      </c>
      <c r="AB6490" s="403"/>
    </row>
    <row r="6491" spans="1:28">
      <c r="A6491" s="384" t="str">
        <f t="shared" ref="A6491:B6491" si="21048">A6475</f>
        <v>Lantai Atap</v>
      </c>
      <c r="B6491" s="385">
        <f t="shared" si="21048"/>
        <v>10</v>
      </c>
      <c r="C6491" s="393" t="s">
        <v>210</v>
      </c>
      <c r="D6491" s="398">
        <f>VLOOKUP(D6475,'Detail Balok'!$C$10:$AU$140,25,FALSE)</f>
        <v>3</v>
      </c>
      <c r="E6491" s="388" t="s">
        <v>16</v>
      </c>
      <c r="F6491" s="388">
        <f>VLOOKUP(D6475,'Detail Balok'!$C$10:$AU$140,27,FALSE)</f>
        <v>13</v>
      </c>
      <c r="G6491" s="388"/>
      <c r="H6491" s="395"/>
      <c r="I6491" s="388" t="s">
        <v>203</v>
      </c>
      <c r="J6491" s="399">
        <f t="shared" si="20847"/>
        <v>2.0375000000000001</v>
      </c>
      <c r="K6491" s="400" t="s">
        <v>204</v>
      </c>
      <c r="L6491" s="399"/>
      <c r="M6491" s="399" t="s">
        <v>176</v>
      </c>
      <c r="N6491" s="399">
        <f t="shared" si="21042"/>
        <v>2.0375000000000001</v>
      </c>
      <c r="O6491" s="399" t="s">
        <v>204</v>
      </c>
      <c r="P6491" s="389">
        <f t="shared" ref="P6491" si="21049">MAX(D6491-D6490,D6491-D6492)</f>
        <v>0</v>
      </c>
      <c r="Q6491" s="399" t="s">
        <v>125</v>
      </c>
      <c r="R6491" s="399">
        <f t="shared" ref="R6491" si="21050">IF(P6491&gt;0,2*(1-2*$F$19-1/2)*D6478/1000,0)</f>
        <v>0</v>
      </c>
      <c r="S6491" s="399" t="s">
        <v>205</v>
      </c>
      <c r="T6491" s="399" t="s">
        <v>125</v>
      </c>
      <c r="U6491" s="401">
        <f t="shared" si="21045"/>
        <v>1.041885</v>
      </c>
      <c r="V6491" s="399"/>
      <c r="W6491" s="399"/>
      <c r="X6491" s="399" t="s">
        <v>125</v>
      </c>
      <c r="Y6491" s="389">
        <f t="shared" ref="Y6491" si="21051">D6481</f>
        <v>1</v>
      </c>
      <c r="Z6491" s="400" t="s">
        <v>176</v>
      </c>
      <c r="AA6491" s="402">
        <f t="shared" ref="AA6491" si="21052">IF(AA6493=0,(D6491*N6491+P6491*R6491)*U6491*Y6491,0)</f>
        <v>0</v>
      </c>
      <c r="AB6491" s="403"/>
    </row>
    <row r="6492" spans="1:28">
      <c r="A6492" s="384" t="str">
        <f t="shared" ref="A6492:B6492" si="21053">A6475</f>
        <v>Lantai Atap</v>
      </c>
      <c r="B6492" s="385">
        <f t="shared" si="21053"/>
        <v>10</v>
      </c>
      <c r="C6492" s="393" t="s">
        <v>209</v>
      </c>
      <c r="D6492" s="398">
        <f>VLOOKUP(D6475,'Detail Balok'!$C$10:$AU$140,28,FALSE)</f>
        <v>3</v>
      </c>
      <c r="E6492" s="388" t="s">
        <v>16</v>
      </c>
      <c r="F6492" s="388">
        <f>VLOOKUP(D6475,'Detail Balok'!$C$10:$AU$140,30,FALSE)</f>
        <v>13</v>
      </c>
      <c r="G6492" s="388"/>
      <c r="H6492" s="395"/>
      <c r="I6492" s="388" t="s">
        <v>203</v>
      </c>
      <c r="J6492" s="399">
        <f t="shared" si="20847"/>
        <v>1.01875</v>
      </c>
      <c r="K6492" s="400" t="s">
        <v>204</v>
      </c>
      <c r="L6492" s="399">
        <f t="shared" ref="L6492" si="21054">MAX(VLOOKUP(F6492,N$6:P$15,3,FALSE)/1000,2/3*D6480/1000)+F$16*F6492/1000</f>
        <v>0.156</v>
      </c>
      <c r="M6492" s="399" t="s">
        <v>176</v>
      </c>
      <c r="N6492" s="399">
        <f t="shared" si="21042"/>
        <v>1.17475</v>
      </c>
      <c r="O6492" s="399" t="s">
        <v>204</v>
      </c>
      <c r="P6492" s="389">
        <f t="shared" ref="P6492" si="21055">D6492-D6491</f>
        <v>0</v>
      </c>
      <c r="Q6492" s="399" t="s">
        <v>125</v>
      </c>
      <c r="R6492" s="399">
        <f t="shared" ref="R6492" si="21056">IF(P6492&gt;0,$F$18*F6492/1000,0)</f>
        <v>0</v>
      </c>
      <c r="S6492" s="399" t="s">
        <v>205</v>
      </c>
      <c r="T6492" s="399" t="s">
        <v>125</v>
      </c>
      <c r="U6492" s="401">
        <f t="shared" si="21045"/>
        <v>1.041885</v>
      </c>
      <c r="V6492" s="399"/>
      <c r="W6492" s="399"/>
      <c r="X6492" s="399" t="s">
        <v>125</v>
      </c>
      <c r="Y6492" s="389">
        <f t="shared" ref="Y6492" si="21057">D6481</f>
        <v>1</v>
      </c>
      <c r="Z6492" s="400" t="s">
        <v>176</v>
      </c>
      <c r="AA6492" s="402">
        <f t="shared" ref="AA6492" si="21058">IF(AA6493=0,(D6492*N6492+P6492*R6492)*U6492*Y6492,0)</f>
        <v>0</v>
      </c>
      <c r="AB6492" s="403"/>
    </row>
    <row r="6493" spans="1:28">
      <c r="A6493" s="384" t="str">
        <f t="shared" ref="A6493:B6493" si="21059">A6475</f>
        <v>Lantai Atap</v>
      </c>
      <c r="B6493" s="385">
        <f t="shared" si="21059"/>
        <v>10</v>
      </c>
      <c r="C6493" s="393"/>
      <c r="D6493" s="398">
        <f t="shared" si="20867"/>
        <v>3</v>
      </c>
      <c r="E6493" s="388" t="s">
        <v>16</v>
      </c>
      <c r="F6493" s="388">
        <f t="shared" si="20868"/>
        <v>13</v>
      </c>
      <c r="G6493" s="388"/>
      <c r="H6493" s="395"/>
      <c r="I6493" s="388"/>
      <c r="J6493" s="396"/>
      <c r="K6493" s="396"/>
      <c r="L6493" s="404" t="s">
        <v>207</v>
      </c>
      <c r="M6493" s="399" t="s">
        <v>176</v>
      </c>
      <c r="N6493" s="399">
        <f t="shared" ref="N6493" si="21060">IF(AND(D6490=D6491,D6490=D6492,D6491=D6492,F6490=F6491,F6490=F6492,F6491=F6492),SUM(N6490:N6492),0)</f>
        <v>4.3870000000000005</v>
      </c>
      <c r="O6493" s="399" t="s">
        <v>204</v>
      </c>
      <c r="P6493" s="389">
        <f t="shared" ref="P6493" si="21061">IF(N6493&gt;12,ROUNDDOWN(N6493/12,0),0)</f>
        <v>0</v>
      </c>
      <c r="Q6493" s="399" t="s">
        <v>125</v>
      </c>
      <c r="R6493" s="399">
        <f t="shared" ref="R6493" si="21062">IF(P6493&gt;0,MAX(VLOOKUP(F6493,$D$6:$G$15,3,FALSE),600),0)/1000</f>
        <v>0</v>
      </c>
      <c r="S6493" s="396"/>
      <c r="T6493" s="396" t="s">
        <v>125</v>
      </c>
      <c r="U6493" s="401">
        <f t="shared" si="20872"/>
        <v>1.041885</v>
      </c>
      <c r="V6493" s="396" t="s">
        <v>125</v>
      </c>
      <c r="W6493" s="399">
        <f t="shared" ref="W6493" si="21063">D6493</f>
        <v>3</v>
      </c>
      <c r="X6493" s="399" t="s">
        <v>125</v>
      </c>
      <c r="Y6493" s="389">
        <f t="shared" si="20874"/>
        <v>1</v>
      </c>
      <c r="Z6493" s="400" t="s">
        <v>176</v>
      </c>
      <c r="AA6493" s="402">
        <f t="shared" ref="AA6493" si="21064">(N6493+P6493*R6493/1000)*U6493*W6493*Y6493</f>
        <v>13.712248485</v>
      </c>
      <c r="AB6493" s="403"/>
    </row>
    <row r="6494" spans="1:28">
      <c r="A6494" s="384"/>
      <c r="B6494" s="385"/>
      <c r="C6494" s="393"/>
      <c r="D6494" s="394"/>
      <c r="E6494" s="388"/>
      <c r="F6494" s="388"/>
      <c r="G6494" s="388"/>
      <c r="H6494" s="395"/>
      <c r="I6494" s="388"/>
      <c r="J6494" s="399"/>
      <c r="K6494" s="396"/>
      <c r="L6494" s="396"/>
      <c r="M6494" s="396"/>
      <c r="N6494" s="396"/>
      <c r="O6494" s="396"/>
      <c r="P6494" s="389"/>
      <c r="Q6494" s="396"/>
      <c r="R6494" s="396"/>
      <c r="S6494" s="396"/>
      <c r="T6494" s="396"/>
      <c r="U6494" s="401"/>
      <c r="V6494" s="396"/>
      <c r="W6494" s="388"/>
      <c r="X6494" s="396"/>
      <c r="Y6494" s="389"/>
      <c r="Z6494" s="396"/>
      <c r="AA6494" s="388"/>
      <c r="AB6494" s="390"/>
    </row>
    <row r="6495" spans="1:28">
      <c r="A6495" s="384" t="str">
        <f t="shared" ref="A6495:B6495" si="21065">A6475</f>
        <v>Lantai Atap</v>
      </c>
      <c r="B6495" s="385">
        <f t="shared" si="21065"/>
        <v>10</v>
      </c>
      <c r="C6495" s="393" t="s">
        <v>211</v>
      </c>
      <c r="D6495" s="398">
        <f>VLOOKUP(D6475,'Detail Balok'!$C$10:$AU$140,31,FALSE)</f>
        <v>0</v>
      </c>
      <c r="E6495" s="388" t="s">
        <v>16</v>
      </c>
      <c r="F6495" s="388">
        <f>VLOOKUP(D6475,'Detail Balok'!$C$10:$AU$140,33,FALSE)</f>
        <v>10</v>
      </c>
      <c r="G6495" s="405" t="s">
        <v>157</v>
      </c>
      <c r="H6495" s="395">
        <f>VLOOKUP(D6475,'Detail Balok'!$C$10:$AU$140,35,FALSE)</f>
        <v>100</v>
      </c>
      <c r="I6495" s="388"/>
      <c r="J6495" s="400">
        <f t="shared" ref="J6495" si="21066">(IF(D6495=0,(2*(D6476+G6476))-(F$5*8),IF(D6495=3,(2*(D6476+G6476))-(F$5*8)+(G6476-2*F$5),IF(D6495=4,(2*(D6476+G6476))-(F$5*8)+2*(G6476-2*F$5)))))/1000</f>
        <v>0.88</v>
      </c>
      <c r="K6495" s="400" t="s">
        <v>204</v>
      </c>
      <c r="L6495" s="399">
        <f t="shared" ref="L6495:L6497" si="21067">IF(D6495=0,2*MAX(6*F6495,75),(D6495-1)*2*MAX(6*F6495,75))/1000</f>
        <v>0.15</v>
      </c>
      <c r="M6495" s="399" t="s">
        <v>176</v>
      </c>
      <c r="N6495" s="399">
        <f t="shared" ref="N6495:N6497" si="21068">J6495+L6495</f>
        <v>1.03</v>
      </c>
      <c r="O6495" s="399"/>
      <c r="P6495" s="389"/>
      <c r="Q6495" s="399"/>
      <c r="R6495" s="399"/>
      <c r="S6495" s="399"/>
      <c r="T6495" s="399" t="s">
        <v>125</v>
      </c>
      <c r="U6495" s="401">
        <f t="shared" ref="U6495:U6497" si="21069">0.006165*F6495^2</f>
        <v>0.61650000000000005</v>
      </c>
      <c r="V6495" s="399" t="s">
        <v>125</v>
      </c>
      <c r="W6495" s="399">
        <f t="shared" ref="W6495" si="21070">IF(D6478&gt;4*G6476,ROUND(MAX(D6478/4,2*G6476)/H6495,0)+1,ROUND(D6478/H6495,0)+1)</f>
        <v>11</v>
      </c>
      <c r="X6495" s="399" t="s">
        <v>125</v>
      </c>
      <c r="Y6495" s="389">
        <f t="shared" ref="Y6495" si="21071">D6481</f>
        <v>1</v>
      </c>
      <c r="Z6495" s="400" t="s">
        <v>176</v>
      </c>
      <c r="AA6495" s="402">
        <f t="shared" ref="AA6495:AA6497" si="21072">N6495*U6495*W6495*Y6495</f>
        <v>6.9849450000000006</v>
      </c>
      <c r="AB6495" s="403"/>
    </row>
    <row r="6496" spans="1:28">
      <c r="A6496" s="384" t="str">
        <f t="shared" ref="A6496:B6496" si="21073">A6475</f>
        <v>Lantai Atap</v>
      </c>
      <c r="B6496" s="385">
        <f t="shared" si="21073"/>
        <v>10</v>
      </c>
      <c r="C6496" s="393" t="s">
        <v>212</v>
      </c>
      <c r="D6496" s="398">
        <f>VLOOKUP(D6475,'Detail Balok'!$C$10:$AU$140,36,FALSE)</f>
        <v>0</v>
      </c>
      <c r="E6496" s="388" t="s">
        <v>16</v>
      </c>
      <c r="F6496" s="388">
        <f>VLOOKUP(D6475,'Detail Balok'!$C$10:$AU$140,38,FALSE)</f>
        <v>10</v>
      </c>
      <c r="G6496" s="405" t="s">
        <v>157</v>
      </c>
      <c r="H6496" s="395">
        <f>VLOOKUP(D6475,'Detail Balok'!$C$10:$AU$140,40,FALSE)</f>
        <v>200</v>
      </c>
      <c r="I6496" s="388"/>
      <c r="J6496" s="400">
        <f t="shared" ref="J6496" si="21074">(IF(D6496=0,(2*(D6476+G6476))-(F$5*8),IF(D6496=3,(2*(D6476+G6476))-(F$5*8)+(G6476-2*F$5),IF(D6496=4,(2*(D6476+G6476))-(F$5*8)+2*(G6476-2*F$5)))))/1000</f>
        <v>0.88</v>
      </c>
      <c r="K6496" s="400" t="s">
        <v>204</v>
      </c>
      <c r="L6496" s="399">
        <f t="shared" si="21067"/>
        <v>0.15</v>
      </c>
      <c r="M6496" s="399" t="s">
        <v>176</v>
      </c>
      <c r="N6496" s="399">
        <f t="shared" si="21068"/>
        <v>1.03</v>
      </c>
      <c r="O6496" s="399"/>
      <c r="P6496" s="389"/>
      <c r="Q6496" s="399"/>
      <c r="R6496" s="399"/>
      <c r="S6496" s="399"/>
      <c r="T6496" s="399" t="s">
        <v>125</v>
      </c>
      <c r="U6496" s="401">
        <f t="shared" si="21069"/>
        <v>0.61650000000000005</v>
      </c>
      <c r="V6496" s="399" t="s">
        <v>125</v>
      </c>
      <c r="W6496" s="399">
        <f t="shared" ref="W6496" si="21075">IF(D6478-MAX(D6478/4,2*G6476)*2&gt;0,ROUND((D6478-MAX(D6478/4,2*G6476)*2)/H6496,0),0)</f>
        <v>10</v>
      </c>
      <c r="X6496" s="399" t="s">
        <v>125</v>
      </c>
      <c r="Y6496" s="389">
        <f t="shared" ref="Y6496" si="21076">D6481</f>
        <v>1</v>
      </c>
      <c r="Z6496" s="400" t="s">
        <v>176</v>
      </c>
      <c r="AA6496" s="402">
        <f t="shared" si="21072"/>
        <v>6.3499500000000006</v>
      </c>
      <c r="AB6496" s="403"/>
    </row>
    <row r="6497" spans="1:28">
      <c r="A6497" s="384" t="str">
        <f t="shared" ref="A6497:B6497" si="21077">A6475</f>
        <v>Lantai Atap</v>
      </c>
      <c r="B6497" s="385">
        <f t="shared" si="21077"/>
        <v>10</v>
      </c>
      <c r="C6497" s="393" t="s">
        <v>211</v>
      </c>
      <c r="D6497" s="398">
        <f>VLOOKUP(D6475,'Detail Balok'!$C$10:$AU$140,41,FALSE)</f>
        <v>0</v>
      </c>
      <c r="E6497" s="388" t="s">
        <v>16</v>
      </c>
      <c r="F6497" s="388">
        <f>VLOOKUP(D6475,'Detail Balok'!$C$10:$AU$140,43,FALSE)</f>
        <v>10</v>
      </c>
      <c r="G6497" s="405" t="s">
        <v>157</v>
      </c>
      <c r="H6497" s="395">
        <f>VLOOKUP(D6475,'Detail Balok'!$C$10:$AU$140,45,FALSE)</f>
        <v>100</v>
      </c>
      <c r="I6497" s="388"/>
      <c r="J6497" s="400">
        <f t="shared" ref="J6497" si="21078">(IF(D6497=0,(2*(D6476+G6476))-(F$5*8),IF(D6497=3,(2*(D6476+G6476))-(F$5*8)+(G6476-2*F$5),IF(D6497=4,(2*(D6476+G6476))-(F$5*8)+2*(G6476-2*F$5)))))/1000</f>
        <v>0.88</v>
      </c>
      <c r="K6497" s="400" t="s">
        <v>204</v>
      </c>
      <c r="L6497" s="399">
        <f t="shared" si="21067"/>
        <v>0.15</v>
      </c>
      <c r="M6497" s="399" t="s">
        <v>176</v>
      </c>
      <c r="N6497" s="399">
        <f t="shared" si="21068"/>
        <v>1.03</v>
      </c>
      <c r="O6497" s="399"/>
      <c r="P6497" s="389"/>
      <c r="Q6497" s="399"/>
      <c r="R6497" s="399"/>
      <c r="S6497" s="399"/>
      <c r="T6497" s="399" t="s">
        <v>125</v>
      </c>
      <c r="U6497" s="401">
        <f t="shared" si="21069"/>
        <v>0.61650000000000005</v>
      </c>
      <c r="V6497" s="399" t="s">
        <v>125</v>
      </c>
      <c r="W6497" s="399">
        <f t="shared" ref="W6497" si="21079">IF(D6478&gt;4*G6476,ROUND(MAX(D6478/4,2*G6476)/H6497,0)+1,0)</f>
        <v>11</v>
      </c>
      <c r="X6497" s="399" t="s">
        <v>125</v>
      </c>
      <c r="Y6497" s="389">
        <f t="shared" ref="Y6497" si="21080">D6481</f>
        <v>1</v>
      </c>
      <c r="Z6497" s="400" t="s">
        <v>176</v>
      </c>
      <c r="AA6497" s="402">
        <f t="shared" si="21072"/>
        <v>6.9849450000000006</v>
      </c>
      <c r="AB6497" s="403"/>
    </row>
    <row r="6498" spans="1:28">
      <c r="A6498" s="384"/>
      <c r="B6498" s="385"/>
      <c r="C6498" s="393"/>
      <c r="D6498" s="394"/>
      <c r="E6498" s="388"/>
      <c r="F6498" s="388"/>
      <c r="G6498" s="388"/>
      <c r="H6498" s="395"/>
      <c r="I6498" s="388"/>
      <c r="J6498" s="399"/>
      <c r="K6498" s="396"/>
      <c r="L6498" s="396"/>
      <c r="M6498" s="396"/>
      <c r="N6498" s="396"/>
      <c r="O6498" s="396"/>
      <c r="P6498" s="389"/>
      <c r="Q6498" s="396"/>
      <c r="R6498" s="396"/>
      <c r="S6498" s="396"/>
      <c r="T6498" s="396"/>
      <c r="U6498" s="401"/>
      <c r="V6498" s="396"/>
      <c r="W6498" s="388"/>
      <c r="X6498" s="396"/>
      <c r="Y6498" s="389"/>
      <c r="Z6498" s="396"/>
      <c r="AA6498" s="388"/>
      <c r="AB6498" s="390"/>
    </row>
    <row r="6499" spans="1:28">
      <c r="A6499" s="384" t="str">
        <f t="shared" ref="A6499:B6499" si="21081">A6475</f>
        <v>Lantai Atap</v>
      </c>
      <c r="B6499" s="385">
        <f t="shared" si="21081"/>
        <v>10</v>
      </c>
      <c r="C6499" s="393" t="s">
        <v>213</v>
      </c>
      <c r="D6499" s="398">
        <f>VLOOKUP(D6475,'Detail Balok'!$C$10:$BJ$140,46,FALSE)</f>
        <v>0</v>
      </c>
      <c r="E6499" s="388" t="s">
        <v>16</v>
      </c>
      <c r="F6499" s="388">
        <f>VLOOKUP(D6475,'Detail Balok'!$C$10:$BJ$140,48,FALSE)</f>
        <v>0</v>
      </c>
      <c r="G6499" s="405" t="s">
        <v>157</v>
      </c>
      <c r="H6499" s="395">
        <f>VLOOKUP(D6475,'Detail Balok'!$C$10:$BJ$140,50,FALSE)</f>
        <v>100</v>
      </c>
      <c r="I6499" s="388"/>
      <c r="J6499" s="399">
        <f t="shared" ref="J6499" si="21082">(D6476-2*F$5)/1000</f>
        <v>0.12</v>
      </c>
      <c r="K6499" s="400" t="s">
        <v>204</v>
      </c>
      <c r="L6499" s="399">
        <f t="shared" ref="L6499:L6501" si="21083">IF(D6499=0,2*MAX(6*F6499,75),(D6499-1)*2*MAX(6*F6499,75))/1000</f>
        <v>0.15</v>
      </c>
      <c r="M6499" s="399" t="s">
        <v>176</v>
      </c>
      <c r="N6499" s="399">
        <f t="shared" ref="N6499:N6501" si="21084">J6499+L6499</f>
        <v>0.27</v>
      </c>
      <c r="O6499" s="399"/>
      <c r="P6499" s="399"/>
      <c r="Q6499" s="399"/>
      <c r="R6499" s="399"/>
      <c r="S6499" s="399"/>
      <c r="T6499" s="399" t="s">
        <v>125</v>
      </c>
      <c r="U6499" s="401">
        <f t="shared" ref="U6499:U6501" si="21085">0.006165*F6499^2</f>
        <v>0</v>
      </c>
      <c r="V6499" s="399" t="s">
        <v>125</v>
      </c>
      <c r="W6499" s="399">
        <f t="shared" si="20897"/>
        <v>11</v>
      </c>
      <c r="X6499" s="399" t="s">
        <v>125</v>
      </c>
      <c r="Y6499" s="389">
        <f t="shared" ref="Y6499" si="21086">D6485</f>
        <v>3</v>
      </c>
      <c r="Z6499" s="400" t="s">
        <v>176</v>
      </c>
      <c r="AA6499" s="402">
        <f t="shared" ref="AA6499:AA6501" si="21087">N6499*U6499*W6499*Y6499</f>
        <v>0</v>
      </c>
      <c r="AB6499" s="403"/>
    </row>
    <row r="6500" spans="1:28">
      <c r="A6500" s="384" t="str">
        <f t="shared" ref="A6500:B6500" si="21088">A6475</f>
        <v>Lantai Atap</v>
      </c>
      <c r="B6500" s="385">
        <f t="shared" si="21088"/>
        <v>10</v>
      </c>
      <c r="C6500" s="393" t="s">
        <v>214</v>
      </c>
      <c r="D6500" s="398">
        <f>VLOOKUP(D6475,'Detail Balok'!$C$10:$BJ$140,51,FALSE)</f>
        <v>0</v>
      </c>
      <c r="E6500" s="388" t="s">
        <v>16</v>
      </c>
      <c r="F6500" s="388">
        <f>VLOOKUP(D6475,'Detail Balok'!$C$10:$BJ$140,53,FALSE)</f>
        <v>0</v>
      </c>
      <c r="G6500" s="405" t="s">
        <v>157</v>
      </c>
      <c r="H6500" s="395">
        <f>VLOOKUP(D6475,'Detail Balok'!$C$10:$BJ$140,55,FALSE)</f>
        <v>100</v>
      </c>
      <c r="I6500" s="388"/>
      <c r="J6500" s="399">
        <f t="shared" ref="J6500" si="21089">(D6476-2*F$5)/1000</f>
        <v>0.12</v>
      </c>
      <c r="K6500" s="400" t="s">
        <v>204</v>
      </c>
      <c r="L6500" s="399">
        <f t="shared" si="21083"/>
        <v>0.15</v>
      </c>
      <c r="M6500" s="399" t="s">
        <v>176</v>
      </c>
      <c r="N6500" s="399">
        <f t="shared" si="21084"/>
        <v>0.27</v>
      </c>
      <c r="O6500" s="399"/>
      <c r="P6500" s="399"/>
      <c r="Q6500" s="399"/>
      <c r="R6500" s="399"/>
      <c r="S6500" s="399"/>
      <c r="T6500" s="399" t="s">
        <v>125</v>
      </c>
      <c r="U6500" s="401">
        <f t="shared" si="21085"/>
        <v>0</v>
      </c>
      <c r="V6500" s="399" t="s">
        <v>125</v>
      </c>
      <c r="W6500" s="399">
        <f t="shared" si="20897"/>
        <v>10</v>
      </c>
      <c r="X6500" s="399" t="s">
        <v>125</v>
      </c>
      <c r="Y6500" s="389">
        <f t="shared" ref="Y6500" si="21090">D6485</f>
        <v>3</v>
      </c>
      <c r="Z6500" s="400" t="s">
        <v>176</v>
      </c>
      <c r="AA6500" s="402">
        <f t="shared" si="21087"/>
        <v>0</v>
      </c>
      <c r="AB6500" s="403"/>
    </row>
    <row r="6501" spans="1:28">
      <c r="A6501" s="384" t="str">
        <f t="shared" ref="A6501:B6501" si="21091">A6475</f>
        <v>Lantai Atap</v>
      </c>
      <c r="B6501" s="385">
        <f t="shared" si="21091"/>
        <v>10</v>
      </c>
      <c r="C6501" s="393" t="s">
        <v>213</v>
      </c>
      <c r="D6501" s="398">
        <f>VLOOKUP(D6475,'Detail Balok'!$C$10:$BJ$140,56,FALSE)</f>
        <v>0</v>
      </c>
      <c r="E6501" s="388" t="s">
        <v>16</v>
      </c>
      <c r="F6501" s="388">
        <f>VLOOKUP(D6475,'Detail Balok'!$C$10:$BJ$140,58,FALSE)</f>
        <v>0</v>
      </c>
      <c r="G6501" s="405" t="s">
        <v>157</v>
      </c>
      <c r="H6501" s="395">
        <f>VLOOKUP(D6475,'Detail Balok'!$C$10:$BJ$140,60,FALSE)</f>
        <v>100</v>
      </c>
      <c r="I6501" s="388"/>
      <c r="J6501" s="399">
        <f t="shared" ref="J6501" si="21092">(D6476-2*F$5)/1000</f>
        <v>0.12</v>
      </c>
      <c r="K6501" s="400" t="s">
        <v>204</v>
      </c>
      <c r="L6501" s="399">
        <f t="shared" si="21083"/>
        <v>0.15</v>
      </c>
      <c r="M6501" s="399" t="s">
        <v>176</v>
      </c>
      <c r="N6501" s="399">
        <f t="shared" si="21084"/>
        <v>0.27</v>
      </c>
      <c r="O6501" s="399"/>
      <c r="P6501" s="399"/>
      <c r="Q6501" s="399"/>
      <c r="R6501" s="399"/>
      <c r="S6501" s="399"/>
      <c r="T6501" s="399" t="s">
        <v>125</v>
      </c>
      <c r="U6501" s="401">
        <f t="shared" si="21085"/>
        <v>0</v>
      </c>
      <c r="V6501" s="399" t="s">
        <v>125</v>
      </c>
      <c r="W6501" s="399">
        <f t="shared" si="20897"/>
        <v>11</v>
      </c>
      <c r="X6501" s="399" t="s">
        <v>125</v>
      </c>
      <c r="Y6501" s="389">
        <f t="shared" ref="Y6501" si="21093">D6485</f>
        <v>3</v>
      </c>
      <c r="Z6501" s="400" t="s">
        <v>176</v>
      </c>
      <c r="AA6501" s="402">
        <f t="shared" si="21087"/>
        <v>0</v>
      </c>
      <c r="AB6501" s="403"/>
    </row>
    <row r="6502" spans="1:28">
      <c r="A6502" s="391"/>
      <c r="B6502" s="392"/>
      <c r="C6502" s="392"/>
      <c r="D6502" s="394"/>
      <c r="E6502" s="388"/>
      <c r="F6502" s="388"/>
      <c r="G6502" s="388"/>
      <c r="H6502" s="395"/>
      <c r="I6502" s="388"/>
      <c r="J6502" s="402"/>
      <c r="K6502" s="388"/>
      <c r="L6502" s="388"/>
      <c r="M6502" s="388"/>
      <c r="N6502" s="388"/>
      <c r="O6502" s="388"/>
      <c r="P6502" s="388"/>
      <c r="Q6502" s="388"/>
      <c r="R6502" s="388"/>
      <c r="S6502" s="388"/>
      <c r="T6502" s="388"/>
      <c r="U6502" s="388"/>
      <c r="V6502" s="388"/>
      <c r="W6502" s="388"/>
      <c r="X6502" s="388"/>
      <c r="Y6502" s="389"/>
      <c r="Z6502" s="388"/>
      <c r="AA6502" s="402"/>
      <c r="AB6502" s="403"/>
    </row>
    <row r="6503" spans="1:28" ht="15.75" thickBot="1">
      <c r="A6503" s="406"/>
      <c r="B6503" s="407"/>
      <c r="C6503" s="407"/>
      <c r="D6503" s="408"/>
      <c r="E6503" s="409"/>
      <c r="F6503" s="409"/>
      <c r="G6503" s="409"/>
      <c r="H6503" s="410"/>
      <c r="I6503" s="409"/>
      <c r="J6503" s="409"/>
      <c r="K6503" s="409"/>
      <c r="L6503" s="409"/>
      <c r="M6503" s="409"/>
      <c r="N6503" s="409"/>
      <c r="O6503" s="409"/>
      <c r="P6503" s="409"/>
      <c r="Q6503" s="409"/>
      <c r="R6503" s="409"/>
      <c r="S6503" s="409"/>
      <c r="T6503" s="409"/>
      <c r="U6503" s="409"/>
      <c r="V6503" s="409"/>
      <c r="W6503" s="409"/>
      <c r="X6503" s="409"/>
      <c r="Y6503" s="411"/>
      <c r="Z6503" s="409"/>
      <c r="AA6503" s="412"/>
      <c r="AB6503" s="413"/>
    </row>
    <row r="6504" spans="1:28">
      <c r="A6504" s="377"/>
      <c r="B6504" s="378"/>
      <c r="C6504" s="378"/>
      <c r="D6504" s="379"/>
      <c r="E6504" s="380"/>
      <c r="F6504" s="380"/>
      <c r="G6504" s="380"/>
      <c r="H6504" s="381"/>
      <c r="I6504" s="380"/>
      <c r="J6504" s="380"/>
      <c r="K6504" s="380"/>
      <c r="L6504" s="380"/>
      <c r="M6504" s="380"/>
      <c r="N6504" s="380"/>
      <c r="O6504" s="380"/>
      <c r="P6504" s="380"/>
      <c r="Q6504" s="380"/>
      <c r="R6504" s="380"/>
      <c r="S6504" s="380"/>
      <c r="T6504" s="380"/>
      <c r="U6504" s="380"/>
      <c r="V6504" s="380"/>
      <c r="W6504" s="380"/>
      <c r="X6504" s="380"/>
      <c r="Y6504" s="382"/>
      <c r="Z6504" s="380"/>
      <c r="AA6504" s="380"/>
      <c r="AB6504" s="383"/>
    </row>
    <row r="6505" spans="1:28">
      <c r="A6505" s="384" t="str">
        <f t="shared" si="20906"/>
        <v>Lantai Atap</v>
      </c>
      <c r="B6505" s="385">
        <f t="shared" si="20907"/>
        <v>11</v>
      </c>
      <c r="C6505" s="386" t="str">
        <f t="shared" ref="C6505" si="21094">CONCATENATE(A6505," no. ",B6505)</f>
        <v>Lantai Atap no. 11</v>
      </c>
      <c r="D6505" s="2562" t="str">
        <f>VLOOKUP(C6505,'Data Panjang Balok'!$C$9:$N$254,2,FALSE)</f>
        <v>B24-1</v>
      </c>
      <c r="E6505" s="2576"/>
      <c r="F6505" s="2576"/>
      <c r="G6505" s="2576"/>
      <c r="H6505" s="2577"/>
      <c r="I6505" s="387"/>
      <c r="J6505" s="388"/>
      <c r="K6505" s="388"/>
      <c r="L6505" s="388"/>
      <c r="M6505" s="388"/>
      <c r="N6505" s="388"/>
      <c r="O6505" s="388"/>
      <c r="P6505" s="388"/>
      <c r="Q6505" s="388"/>
      <c r="R6505" s="388"/>
      <c r="S6505" s="388"/>
      <c r="T6505" s="388"/>
      <c r="U6505" s="388"/>
      <c r="V6505" s="388"/>
      <c r="W6505" s="388"/>
      <c r="X6505" s="388"/>
      <c r="Y6505" s="389"/>
      <c r="Z6505" s="388"/>
      <c r="AA6505" s="388"/>
      <c r="AB6505" s="390"/>
    </row>
    <row r="6506" spans="1:28">
      <c r="A6506" s="391"/>
      <c r="B6506" s="392"/>
      <c r="C6506" s="393" t="s">
        <v>118</v>
      </c>
      <c r="D6506" s="2578">
        <f>VLOOKUP(D6505,'Detail Balok'!$C$10:$AU$140,2,FALSE)</f>
        <v>200</v>
      </c>
      <c r="E6506" s="2579"/>
      <c r="F6506" s="388" t="s">
        <v>125</v>
      </c>
      <c r="G6506" s="2579">
        <f>VLOOKUP(D6505,'Detail Balok'!$C$10:$AU$140,3,FALSE)</f>
        <v>400</v>
      </c>
      <c r="H6506" s="2580"/>
      <c r="I6506" s="388"/>
      <c r="J6506" s="396"/>
      <c r="K6506" s="396"/>
      <c r="L6506" s="396"/>
      <c r="M6506" s="396"/>
      <c r="N6506" s="396"/>
      <c r="O6506" s="396"/>
      <c r="P6506" s="396"/>
      <c r="Q6506" s="396"/>
      <c r="R6506" s="396"/>
      <c r="S6506" s="396"/>
      <c r="T6506" s="396"/>
      <c r="U6506" s="388"/>
      <c r="V6506" s="396"/>
      <c r="W6506" s="388"/>
      <c r="X6506" s="396"/>
      <c r="Y6506" s="389"/>
      <c r="Z6506" s="396"/>
      <c r="AA6506" s="388"/>
      <c r="AB6506" s="390"/>
    </row>
    <row r="6507" spans="1:28">
      <c r="A6507" s="391"/>
      <c r="B6507" s="392"/>
      <c r="C6507" s="393" t="s">
        <v>198</v>
      </c>
      <c r="D6507" s="2562">
        <f>VLOOKUP(C6505,'Data Panjang Balok'!$C$9:$N$254,4,FALSE)</f>
        <v>5150</v>
      </c>
      <c r="E6507" s="2563"/>
      <c r="F6507" s="2563"/>
      <c r="G6507" s="2563"/>
      <c r="H6507" s="2564"/>
      <c r="I6507" s="397"/>
      <c r="J6507" s="396"/>
      <c r="K6507" s="396"/>
      <c r="L6507" s="396"/>
      <c r="M6507" s="396"/>
      <c r="N6507" s="396"/>
      <c r="O6507" s="396"/>
      <c r="P6507" s="396"/>
      <c r="Q6507" s="396"/>
      <c r="R6507" s="396"/>
      <c r="S6507" s="396"/>
      <c r="T6507" s="396"/>
      <c r="U6507" s="388"/>
      <c r="V6507" s="396"/>
      <c r="W6507" s="388"/>
      <c r="X6507" s="396"/>
      <c r="Y6507" s="389"/>
      <c r="Z6507" s="396"/>
      <c r="AA6507" s="388"/>
      <c r="AB6507" s="390"/>
    </row>
    <row r="6508" spans="1:28">
      <c r="A6508" s="391"/>
      <c r="B6508" s="392"/>
      <c r="C6508" s="393" t="s">
        <v>199</v>
      </c>
      <c r="D6508" s="2562">
        <f>VLOOKUP(C6505,'Data Panjang Balok'!$C$9:$N$254,7,FALSE)</f>
        <v>5150</v>
      </c>
      <c r="E6508" s="2563"/>
      <c r="F6508" s="2563"/>
      <c r="G6508" s="2563"/>
      <c r="H6508" s="2564"/>
      <c r="I6508" s="397"/>
      <c r="J6508" s="396"/>
      <c r="K6508" s="396"/>
      <c r="L6508" s="396"/>
      <c r="M6508" s="396"/>
      <c r="N6508" s="396"/>
      <c r="O6508" s="396"/>
      <c r="P6508" s="396"/>
      <c r="Q6508" s="396"/>
      <c r="R6508" s="396"/>
      <c r="S6508" s="396"/>
      <c r="T6508" s="396"/>
      <c r="U6508" s="388"/>
      <c r="V6508" s="396"/>
      <c r="W6508" s="388"/>
      <c r="X6508" s="396"/>
      <c r="Y6508" s="389"/>
      <c r="Z6508" s="396"/>
      <c r="AA6508" s="388"/>
      <c r="AB6508" s="390"/>
    </row>
    <row r="6509" spans="1:28">
      <c r="A6509" s="391"/>
      <c r="B6509" s="392"/>
      <c r="C6509" s="393" t="s">
        <v>200</v>
      </c>
      <c r="D6509" s="2562">
        <f>VLOOKUP(C6505,'Data Panjang Balok'!$C$9:$N$254,9,FALSE)</f>
        <v>0</v>
      </c>
      <c r="E6509" s="2563"/>
      <c r="F6509" s="2563"/>
      <c r="G6509" s="2563"/>
      <c r="H6509" s="2564"/>
      <c r="I6509" s="397"/>
      <c r="J6509" s="396"/>
      <c r="K6509" s="396"/>
      <c r="L6509" s="396"/>
      <c r="M6509" s="396"/>
      <c r="N6509" s="396"/>
      <c r="O6509" s="396"/>
      <c r="P6509" s="396"/>
      <c r="Q6509" s="396"/>
      <c r="R6509" s="396"/>
      <c r="S6509" s="396"/>
      <c r="T6509" s="396"/>
      <c r="U6509" s="388"/>
      <c r="V6509" s="396"/>
      <c r="W6509" s="388"/>
      <c r="X6509" s="396"/>
      <c r="Y6509" s="389"/>
      <c r="Z6509" s="396"/>
      <c r="AA6509" s="388"/>
      <c r="AB6509" s="390"/>
    </row>
    <row r="6510" spans="1:28">
      <c r="A6510" s="391"/>
      <c r="B6510" s="392"/>
      <c r="C6510" s="393" t="s">
        <v>201</v>
      </c>
      <c r="D6510" s="2562">
        <f>VLOOKUP(C6505,'Data Panjang Balok'!$C$9:$N$254,10,FALSE)</f>
        <v>0</v>
      </c>
      <c r="E6510" s="2563"/>
      <c r="F6510" s="2563"/>
      <c r="G6510" s="2563"/>
      <c r="H6510" s="2564"/>
      <c r="I6510" s="397"/>
      <c r="J6510" s="396"/>
      <c r="K6510" s="396"/>
      <c r="L6510" s="396"/>
      <c r="M6510" s="396"/>
      <c r="N6510" s="396"/>
      <c r="O6510" s="396"/>
      <c r="P6510" s="396"/>
      <c r="Q6510" s="396"/>
      <c r="R6510" s="396"/>
      <c r="S6510" s="396"/>
      <c r="T6510" s="396"/>
      <c r="U6510" s="388"/>
      <c r="V6510" s="396"/>
      <c r="W6510" s="388"/>
      <c r="X6510" s="396"/>
      <c r="Y6510" s="389"/>
      <c r="Z6510" s="396"/>
      <c r="AA6510" s="388"/>
      <c r="AB6510" s="390"/>
    </row>
    <row r="6511" spans="1:28">
      <c r="A6511" s="391"/>
      <c r="B6511" s="392"/>
      <c r="C6511" s="393" t="s">
        <v>48</v>
      </c>
      <c r="D6511" s="2562">
        <f>VLOOKUP(C6505,'Data Panjang Balok'!$C$9:$N$254,3,FALSE)</f>
        <v>1</v>
      </c>
      <c r="E6511" s="2563"/>
      <c r="F6511" s="2563"/>
      <c r="G6511" s="2563"/>
      <c r="H6511" s="2564"/>
      <c r="I6511" s="397"/>
      <c r="J6511" s="396"/>
      <c r="K6511" s="396"/>
      <c r="L6511" s="396"/>
      <c r="M6511" s="396"/>
      <c r="N6511" s="396"/>
      <c r="O6511" s="396"/>
      <c r="P6511" s="396"/>
      <c r="Q6511" s="396"/>
      <c r="R6511" s="396"/>
      <c r="S6511" s="396"/>
      <c r="T6511" s="396"/>
      <c r="U6511" s="388"/>
      <c r="V6511" s="396"/>
      <c r="W6511" s="388"/>
      <c r="X6511" s="396"/>
      <c r="Y6511" s="389"/>
      <c r="Z6511" s="396"/>
      <c r="AA6511" s="388"/>
      <c r="AB6511" s="390"/>
    </row>
    <row r="6512" spans="1:28">
      <c r="A6512" s="384" t="str">
        <f t="shared" ref="A6512:B6512" si="21095">A6505</f>
        <v>Lantai Atap</v>
      </c>
      <c r="B6512" s="385">
        <f t="shared" si="21095"/>
        <v>11</v>
      </c>
      <c r="C6512" s="393" t="s">
        <v>202</v>
      </c>
      <c r="D6512" s="398">
        <f>VLOOKUP(D6505,'Detail Balok'!$C$10:$AU$140,4,FALSE)</f>
        <v>3</v>
      </c>
      <c r="E6512" s="388" t="s">
        <v>16</v>
      </c>
      <c r="F6512" s="388">
        <f>VLOOKUP(D6505,'Detail Balok'!$C$10:$AU$140,6,FALSE)</f>
        <v>13</v>
      </c>
      <c r="G6512" s="388"/>
      <c r="H6512" s="395"/>
      <c r="I6512" s="388" t="s">
        <v>203</v>
      </c>
      <c r="J6512" s="399">
        <f t="shared" ref="J6512" si="21096">+D6507/4/1000</f>
        <v>1.2875000000000001</v>
      </c>
      <c r="K6512" s="400" t="s">
        <v>204</v>
      </c>
      <c r="L6512" s="399">
        <f t="shared" ref="L6512" si="21097">MAX(VLOOKUP(F6512,N$6:P$15,3,FALSE)/1000,2/3*D6509/1000)+F$16*F6512/1000</f>
        <v>0.156</v>
      </c>
      <c r="M6512" s="399" t="s">
        <v>176</v>
      </c>
      <c r="N6512" s="399">
        <f t="shared" ref="N6512:N6514" si="21098">J6512+L6512</f>
        <v>1.4435</v>
      </c>
      <c r="O6512" s="399" t="s">
        <v>204</v>
      </c>
      <c r="P6512" s="389">
        <f t="shared" ref="P6512" si="21099">D6512-D6513</f>
        <v>0</v>
      </c>
      <c r="Q6512" s="399" t="s">
        <v>125</v>
      </c>
      <c r="R6512" s="399">
        <f t="shared" ref="R6512" si="21100">IF(P6512&gt;0,$F$18*F6512/1000,0)</f>
        <v>0</v>
      </c>
      <c r="S6512" s="399" t="s">
        <v>205</v>
      </c>
      <c r="T6512" s="399" t="s">
        <v>125</v>
      </c>
      <c r="U6512" s="401">
        <f t="shared" ref="U6512:U6514" si="21101">0.006165*F6512^2</f>
        <v>1.041885</v>
      </c>
      <c r="V6512" s="399"/>
      <c r="W6512" s="399"/>
      <c r="X6512" s="399" t="s">
        <v>125</v>
      </c>
      <c r="Y6512" s="389">
        <f t="shared" ref="Y6512" si="21102">D6511</f>
        <v>1</v>
      </c>
      <c r="Z6512" s="400" t="s">
        <v>176</v>
      </c>
      <c r="AA6512" s="402">
        <f t="shared" ref="AA6512" si="21103">IF(AA6515=0,(D6512*N6512+P6512*R6512)*U6512*Y6512,0)</f>
        <v>0</v>
      </c>
      <c r="AB6512" s="403"/>
    </row>
    <row r="6513" spans="1:28">
      <c r="A6513" s="384" t="str">
        <f t="shared" ref="A6513:B6513" si="21104">A6505</f>
        <v>Lantai Atap</v>
      </c>
      <c r="B6513" s="385">
        <f t="shared" si="21104"/>
        <v>11</v>
      </c>
      <c r="C6513" s="393" t="s">
        <v>206</v>
      </c>
      <c r="D6513" s="398">
        <f>VLOOKUP(D6505,'Detail Balok'!$C$10:$AU$140,7,FALSE)</f>
        <v>3</v>
      </c>
      <c r="E6513" s="388" t="s">
        <v>16</v>
      </c>
      <c r="F6513" s="388">
        <f>VLOOKUP(D6505,'Detail Balok'!$C$10:$AU$140,9,FALSE)</f>
        <v>13</v>
      </c>
      <c r="G6513" s="388"/>
      <c r="H6513" s="395"/>
      <c r="I6513" s="388" t="s">
        <v>203</v>
      </c>
      <c r="J6513" s="399">
        <f t="shared" ref="J6513" si="21105">+D6507/2/1000</f>
        <v>2.5750000000000002</v>
      </c>
      <c r="K6513" s="400" t="s">
        <v>204</v>
      </c>
      <c r="L6513" s="399"/>
      <c r="M6513" s="399" t="s">
        <v>176</v>
      </c>
      <c r="N6513" s="399">
        <f t="shared" si="21098"/>
        <v>2.5750000000000002</v>
      </c>
      <c r="O6513" s="399" t="s">
        <v>204</v>
      </c>
      <c r="P6513" s="389">
        <f t="shared" ref="P6513" si="21106">MAX(D6513-D6512,D6513-D6514)</f>
        <v>0</v>
      </c>
      <c r="Q6513" s="399" t="s">
        <v>125</v>
      </c>
      <c r="R6513" s="399">
        <f t="shared" ref="R6513" si="21107">IF(P6513&gt;0,2*(1-2*$F$19-1/2)*D6508/1000,0)</f>
        <v>0</v>
      </c>
      <c r="S6513" s="399" t="s">
        <v>205</v>
      </c>
      <c r="T6513" s="399" t="s">
        <v>125</v>
      </c>
      <c r="U6513" s="401">
        <f t="shared" si="21101"/>
        <v>1.041885</v>
      </c>
      <c r="V6513" s="399"/>
      <c r="W6513" s="399"/>
      <c r="X6513" s="399" t="s">
        <v>125</v>
      </c>
      <c r="Y6513" s="389">
        <f t="shared" ref="Y6513" si="21108">D6511</f>
        <v>1</v>
      </c>
      <c r="Z6513" s="400" t="s">
        <v>176</v>
      </c>
      <c r="AA6513" s="402">
        <f t="shared" ref="AA6513" si="21109">IF(AA6515=0,(D6513*N6513+P6513*R6513)*U6513*Y6513,0)</f>
        <v>0</v>
      </c>
      <c r="AB6513" s="403"/>
    </row>
    <row r="6514" spans="1:28">
      <c r="A6514" s="384" t="str">
        <f t="shared" ref="A6514:B6514" si="21110">A6505</f>
        <v>Lantai Atap</v>
      </c>
      <c r="B6514" s="385">
        <f t="shared" si="21110"/>
        <v>11</v>
      </c>
      <c r="C6514" s="393" t="s">
        <v>202</v>
      </c>
      <c r="D6514" s="398">
        <f>VLOOKUP(D6505,'Detail Balok'!$C$10:$AU$140,10,FALSE)</f>
        <v>3</v>
      </c>
      <c r="E6514" s="388" t="s">
        <v>16</v>
      </c>
      <c r="F6514" s="388">
        <f>VLOOKUP(D6505,'Detail Balok'!$C$10:$AU$140,12,FALSE)</f>
        <v>13</v>
      </c>
      <c r="G6514" s="388"/>
      <c r="H6514" s="395"/>
      <c r="I6514" s="388" t="s">
        <v>203</v>
      </c>
      <c r="J6514" s="399">
        <f t="shared" ref="J6514" si="21111">+D6507/4/1000</f>
        <v>1.2875000000000001</v>
      </c>
      <c r="K6514" s="400" t="s">
        <v>204</v>
      </c>
      <c r="L6514" s="399">
        <f t="shared" ref="L6514" si="21112">MAX(VLOOKUP(F6514,N$6:P$15,3,FALSE)/1000,2/3*D6509/1000)+F$16*F6514/1000</f>
        <v>0.156</v>
      </c>
      <c r="M6514" s="399" t="s">
        <v>176</v>
      </c>
      <c r="N6514" s="399">
        <f t="shared" si="21098"/>
        <v>1.4435</v>
      </c>
      <c r="O6514" s="399" t="s">
        <v>204</v>
      </c>
      <c r="P6514" s="389">
        <f t="shared" ref="P6514" si="21113">D6514-D6513</f>
        <v>0</v>
      </c>
      <c r="Q6514" s="399" t="s">
        <v>125</v>
      </c>
      <c r="R6514" s="399">
        <f t="shared" ref="R6514" si="21114">IF(P6514&gt;0,$F$18*F6514/1000,0)</f>
        <v>0</v>
      </c>
      <c r="S6514" s="399" t="s">
        <v>205</v>
      </c>
      <c r="T6514" s="399" t="s">
        <v>125</v>
      </c>
      <c r="U6514" s="401">
        <f t="shared" si="21101"/>
        <v>1.041885</v>
      </c>
      <c r="V6514" s="399"/>
      <c r="W6514" s="399"/>
      <c r="X6514" s="399" t="s">
        <v>125</v>
      </c>
      <c r="Y6514" s="389">
        <f t="shared" ref="Y6514" si="21115">D6511</f>
        <v>1</v>
      </c>
      <c r="Z6514" s="400" t="s">
        <v>176</v>
      </c>
      <c r="AA6514" s="402">
        <f t="shared" ref="AA6514" si="21116">IF(AA6515=0,(D6514*N6514+P6514*R6514)*U6514*Y6514,0)</f>
        <v>0</v>
      </c>
      <c r="AB6514" s="403"/>
    </row>
    <row r="6515" spans="1:28">
      <c r="A6515" s="384" t="str">
        <f t="shared" ref="A6515:B6515" si="21117">A6505</f>
        <v>Lantai Atap</v>
      </c>
      <c r="B6515" s="385">
        <f t="shared" si="21117"/>
        <v>11</v>
      </c>
      <c r="C6515" s="393"/>
      <c r="D6515" s="398">
        <f t="shared" ref="D6515:D6575" si="21118">IF(AND(D6512=D6513,D6513=D6514,D6512=D6514),D6512,0)</f>
        <v>3</v>
      </c>
      <c r="E6515" s="388" t="s">
        <v>16</v>
      </c>
      <c r="F6515" s="388">
        <f t="shared" ref="F6515:F6575" si="21119">IF(AND(F6512=F6513,F6512=F6514,F6513=F6514),F6512,0)</f>
        <v>13</v>
      </c>
      <c r="G6515" s="388"/>
      <c r="H6515" s="395"/>
      <c r="I6515" s="388"/>
      <c r="J6515" s="396"/>
      <c r="K6515" s="396"/>
      <c r="L6515" s="404" t="s">
        <v>207</v>
      </c>
      <c r="M6515" s="399" t="s">
        <v>176</v>
      </c>
      <c r="N6515" s="399">
        <f t="shared" ref="N6515" si="21120">IF(AND(D6512=D6513,D6512=D6514,D6513=D6514,F6512=F6513,F6512=F6514,F6513=F6514),SUM(N6512:N6514),0)</f>
        <v>5.4620000000000006</v>
      </c>
      <c r="O6515" s="399" t="s">
        <v>204</v>
      </c>
      <c r="P6515" s="389">
        <f t="shared" ref="P6515" si="21121">IF(N6515&gt;12,ROUNDDOWN(N6515/12,0),0)</f>
        <v>0</v>
      </c>
      <c r="Q6515" s="399" t="s">
        <v>125</v>
      </c>
      <c r="R6515" s="399">
        <f t="shared" ref="R6515" si="21122">IF(P6515&gt;0,MAX(VLOOKUP(F6515,$D$6:$G$15,3,FALSE),600),0)/1000</f>
        <v>0</v>
      </c>
      <c r="S6515" s="396"/>
      <c r="T6515" s="396" t="s">
        <v>125</v>
      </c>
      <c r="U6515" s="401">
        <f t="shared" ref="U6515:U6575" si="21123">U6514</f>
        <v>1.041885</v>
      </c>
      <c r="V6515" s="396" t="s">
        <v>125</v>
      </c>
      <c r="W6515" s="399">
        <f t="shared" ref="W6515" si="21124">D6515</f>
        <v>3</v>
      </c>
      <c r="X6515" s="399" t="s">
        <v>125</v>
      </c>
      <c r="Y6515" s="389">
        <f t="shared" ref="Y6515:Y6575" si="21125">Y6514</f>
        <v>1</v>
      </c>
      <c r="Z6515" s="400" t="s">
        <v>176</v>
      </c>
      <c r="AA6515" s="402">
        <f t="shared" ref="AA6515" si="21126">(N6515+P6515*R6515/1000)*U6515*W6515*Y6515</f>
        <v>17.072327610000002</v>
      </c>
      <c r="AB6515" s="390"/>
    </row>
    <row r="6516" spans="1:28">
      <c r="A6516" s="384"/>
      <c r="B6516" s="385"/>
      <c r="C6516" s="393"/>
      <c r="D6516" s="398"/>
      <c r="E6516" s="388"/>
      <c r="F6516" s="388"/>
      <c r="G6516" s="388"/>
      <c r="H6516" s="395"/>
      <c r="I6516" s="388"/>
      <c r="J6516" s="396"/>
      <c r="K6516" s="396"/>
      <c r="L6516" s="404"/>
      <c r="M6516" s="399"/>
      <c r="N6516" s="399"/>
      <c r="O6516" s="396"/>
      <c r="P6516" s="389"/>
      <c r="Q6516" s="396"/>
      <c r="R6516" s="396"/>
      <c r="S6516" s="396"/>
      <c r="T6516" s="396"/>
      <c r="U6516" s="401"/>
      <c r="V6516" s="396"/>
      <c r="W6516" s="399"/>
      <c r="X6516" s="396"/>
      <c r="Y6516" s="389"/>
      <c r="Z6516" s="396"/>
      <c r="AA6516" s="388"/>
      <c r="AB6516" s="390"/>
    </row>
    <row r="6517" spans="1:28">
      <c r="A6517" s="384" t="str">
        <f t="shared" ref="A6517:B6517" si="21127">A6505</f>
        <v>Lantai Atap</v>
      </c>
      <c r="B6517" s="385">
        <f t="shared" si="21127"/>
        <v>11</v>
      </c>
      <c r="C6517" s="393" t="s">
        <v>208</v>
      </c>
      <c r="D6517" s="398">
        <f>VLOOKUP(D6505,'Detail Balok'!$C$10:$AU$140,13,FALSE)</f>
        <v>0</v>
      </c>
      <c r="E6517" s="388" t="s">
        <v>16</v>
      </c>
      <c r="F6517" s="388">
        <f>VLOOKUP(D6505,'Detail Balok'!$C$10:$AU$140,15,FALSE)</f>
        <v>8</v>
      </c>
      <c r="G6517" s="388"/>
      <c r="H6517" s="395"/>
      <c r="I6517" s="388"/>
      <c r="J6517" s="399">
        <f t="shared" ref="J6517" si="21128">+D6507/1000</f>
        <v>5.15</v>
      </c>
      <c r="K6517" s="400" t="s">
        <v>204</v>
      </c>
      <c r="L6517" s="399">
        <f t="shared" ref="L6517" si="21129">2*$F$16*F6517/1000</f>
        <v>0.192</v>
      </c>
      <c r="M6517" s="399" t="s">
        <v>176</v>
      </c>
      <c r="N6517" s="399">
        <f t="shared" ref="N6517" si="21130">J6517+L6517</f>
        <v>5.3420000000000005</v>
      </c>
      <c r="O6517" s="399" t="s">
        <v>204</v>
      </c>
      <c r="P6517" s="389">
        <f t="shared" ref="P6517" si="21131">IF(N6517&gt;12,ROUNDDOWN(N6517/12,0),0)</f>
        <v>0</v>
      </c>
      <c r="Q6517" s="399" t="s">
        <v>125</v>
      </c>
      <c r="R6517" s="399">
        <f t="shared" ref="R6517" si="21132">IF(P6517&gt;0,MAX(VLOOKUP(F6517,$D$6:$G$15,3,FALSE),600),0)/1000</f>
        <v>0</v>
      </c>
      <c r="S6517" s="399"/>
      <c r="T6517" s="399" t="s">
        <v>125</v>
      </c>
      <c r="U6517" s="401">
        <f t="shared" ref="U6517" si="21133">0.006165*F6517^2</f>
        <v>0.39456000000000002</v>
      </c>
      <c r="V6517" s="399" t="s">
        <v>125</v>
      </c>
      <c r="W6517" s="399">
        <f t="shared" ref="W6517" si="21134">+D6517</f>
        <v>0</v>
      </c>
      <c r="X6517" s="399" t="s">
        <v>125</v>
      </c>
      <c r="Y6517" s="389">
        <f t="shared" ref="Y6517" si="21135">D6511</f>
        <v>1</v>
      </c>
      <c r="Z6517" s="400" t="s">
        <v>176</v>
      </c>
      <c r="AA6517" s="402">
        <f t="shared" ref="AA6517" si="21136">(N6517+P6517*R6517/1000)*U6517*W6517*Y6517</f>
        <v>0</v>
      </c>
      <c r="AB6517" s="403"/>
    </row>
    <row r="6518" spans="1:28">
      <c r="A6518" s="384"/>
      <c r="B6518" s="385"/>
      <c r="C6518" s="393"/>
      <c r="D6518" s="398"/>
      <c r="E6518" s="388"/>
      <c r="F6518" s="388"/>
      <c r="G6518" s="388"/>
      <c r="H6518" s="395"/>
      <c r="I6518" s="388"/>
      <c r="J6518" s="399"/>
      <c r="K6518" s="400"/>
      <c r="L6518" s="399"/>
      <c r="M6518" s="399"/>
      <c r="N6518" s="399"/>
      <c r="O6518" s="399"/>
      <c r="P6518" s="389"/>
      <c r="Q6518" s="399"/>
      <c r="R6518" s="399"/>
      <c r="S6518" s="399"/>
      <c r="T6518" s="399"/>
      <c r="U6518" s="401"/>
      <c r="V6518" s="399"/>
      <c r="W6518" s="399"/>
      <c r="X6518" s="399"/>
      <c r="Y6518" s="389"/>
      <c r="Z6518" s="400"/>
      <c r="AA6518" s="402"/>
      <c r="AB6518" s="403"/>
    </row>
    <row r="6519" spans="1:28">
      <c r="A6519" s="384"/>
      <c r="B6519" s="385"/>
      <c r="C6519" s="393"/>
      <c r="D6519" s="398"/>
      <c r="E6519" s="388"/>
      <c r="F6519" s="388"/>
      <c r="G6519" s="388"/>
      <c r="H6519" s="395"/>
      <c r="I6519" s="388"/>
      <c r="J6519" s="396"/>
      <c r="K6519" s="396"/>
      <c r="L6519" s="396"/>
      <c r="M6519" s="396"/>
      <c r="N6519" s="396"/>
      <c r="O6519" s="396"/>
      <c r="P6519" s="389"/>
      <c r="Q6519" s="396"/>
      <c r="R6519" s="396"/>
      <c r="S6519" s="396"/>
      <c r="T6519" s="396"/>
      <c r="U6519" s="401"/>
      <c r="V6519" s="396"/>
      <c r="W6519" s="399"/>
      <c r="X6519" s="396"/>
      <c r="Y6519" s="389"/>
      <c r="Z6519" s="396"/>
      <c r="AA6519" s="388"/>
      <c r="AB6519" s="390"/>
    </row>
    <row r="6520" spans="1:28">
      <c r="A6520" s="384" t="str">
        <f t="shared" ref="A6520:B6520" si="21137">A6505</f>
        <v>Lantai Atap</v>
      </c>
      <c r="B6520" s="385">
        <f t="shared" si="21137"/>
        <v>11</v>
      </c>
      <c r="C6520" s="393" t="s">
        <v>209</v>
      </c>
      <c r="D6520" s="398">
        <f>VLOOKUP(D6505,'Detail Balok'!$C$10:$AU$140,22,FALSE)</f>
        <v>3</v>
      </c>
      <c r="E6520" s="388" t="s">
        <v>16</v>
      </c>
      <c r="F6520" s="388">
        <f>VLOOKUP(D6505,'Detail Balok'!$C$10:$AU$140,24,FALSE)</f>
        <v>13</v>
      </c>
      <c r="G6520" s="388"/>
      <c r="H6520" s="395"/>
      <c r="I6520" s="388" t="s">
        <v>203</v>
      </c>
      <c r="J6520" s="399">
        <f t="shared" ref="J6520:J6582" si="21138">+J6512</f>
        <v>1.2875000000000001</v>
      </c>
      <c r="K6520" s="400" t="s">
        <v>204</v>
      </c>
      <c r="L6520" s="399">
        <f t="shared" ref="L6520" si="21139">MAX(VLOOKUP(F6520,N$6:P$15,3,FALSE)/1000,2/3*D6510/1000)+F$16*F6520/1000</f>
        <v>0.156</v>
      </c>
      <c r="M6520" s="399" t="s">
        <v>176</v>
      </c>
      <c r="N6520" s="399">
        <f t="shared" ref="N6520:N6522" si="21140">J6520+L6520</f>
        <v>1.4435</v>
      </c>
      <c r="O6520" s="399" t="s">
        <v>204</v>
      </c>
      <c r="P6520" s="389">
        <f t="shared" ref="P6520" si="21141">D6520-D6521</f>
        <v>0</v>
      </c>
      <c r="Q6520" s="399" t="s">
        <v>125</v>
      </c>
      <c r="R6520" s="399">
        <f t="shared" ref="R6520" si="21142">IF(P6520&gt;0,$F$18*F6520/1000,0)</f>
        <v>0</v>
      </c>
      <c r="S6520" s="399" t="s">
        <v>205</v>
      </c>
      <c r="T6520" s="399" t="s">
        <v>125</v>
      </c>
      <c r="U6520" s="401">
        <f t="shared" ref="U6520:U6522" si="21143">0.006165*F6520^2</f>
        <v>1.041885</v>
      </c>
      <c r="V6520" s="399"/>
      <c r="W6520" s="399"/>
      <c r="X6520" s="399" t="s">
        <v>125</v>
      </c>
      <c r="Y6520" s="389">
        <f t="shared" ref="Y6520" si="21144">D6511</f>
        <v>1</v>
      </c>
      <c r="Z6520" s="400" t="s">
        <v>176</v>
      </c>
      <c r="AA6520" s="402">
        <f t="shared" ref="AA6520" si="21145">IF(AA6523=0,(D6520*N6520+P6520*R6520)*U6520*Y6520,0)</f>
        <v>0</v>
      </c>
      <c r="AB6520" s="403"/>
    </row>
    <row r="6521" spans="1:28">
      <c r="A6521" s="384" t="str">
        <f t="shared" ref="A6521:B6521" si="21146">A6505</f>
        <v>Lantai Atap</v>
      </c>
      <c r="B6521" s="385">
        <f t="shared" si="21146"/>
        <v>11</v>
      </c>
      <c r="C6521" s="393" t="s">
        <v>210</v>
      </c>
      <c r="D6521" s="398">
        <f>VLOOKUP(D6505,'Detail Balok'!$C$10:$AU$140,25,FALSE)</f>
        <v>3</v>
      </c>
      <c r="E6521" s="388" t="s">
        <v>16</v>
      </c>
      <c r="F6521" s="388">
        <f>VLOOKUP(D6505,'Detail Balok'!$C$10:$AU$140,27,FALSE)</f>
        <v>13</v>
      </c>
      <c r="G6521" s="388"/>
      <c r="H6521" s="395"/>
      <c r="I6521" s="388" t="s">
        <v>203</v>
      </c>
      <c r="J6521" s="399">
        <f t="shared" si="21138"/>
        <v>2.5750000000000002</v>
      </c>
      <c r="K6521" s="400" t="s">
        <v>204</v>
      </c>
      <c r="L6521" s="399"/>
      <c r="M6521" s="399" t="s">
        <v>176</v>
      </c>
      <c r="N6521" s="399">
        <f t="shared" si="21140"/>
        <v>2.5750000000000002</v>
      </c>
      <c r="O6521" s="399" t="s">
        <v>204</v>
      </c>
      <c r="P6521" s="389">
        <f t="shared" ref="P6521" si="21147">MAX(D6521-D6520,D6521-D6522)</f>
        <v>0</v>
      </c>
      <c r="Q6521" s="399" t="s">
        <v>125</v>
      </c>
      <c r="R6521" s="399">
        <f t="shared" ref="R6521" si="21148">IF(P6521&gt;0,2*(1-2*$F$19-1/2)*D6508/1000,0)</f>
        <v>0</v>
      </c>
      <c r="S6521" s="399" t="s">
        <v>205</v>
      </c>
      <c r="T6521" s="399" t="s">
        <v>125</v>
      </c>
      <c r="U6521" s="401">
        <f t="shared" si="21143"/>
        <v>1.041885</v>
      </c>
      <c r="V6521" s="399"/>
      <c r="W6521" s="399"/>
      <c r="X6521" s="399" t="s">
        <v>125</v>
      </c>
      <c r="Y6521" s="389">
        <f t="shared" ref="Y6521" si="21149">D6511</f>
        <v>1</v>
      </c>
      <c r="Z6521" s="400" t="s">
        <v>176</v>
      </c>
      <c r="AA6521" s="402">
        <f t="shared" ref="AA6521" si="21150">IF(AA6523=0,(D6521*N6521+P6521*R6521)*U6521*Y6521,0)</f>
        <v>0</v>
      </c>
      <c r="AB6521" s="403"/>
    </row>
    <row r="6522" spans="1:28">
      <c r="A6522" s="384" t="str">
        <f t="shared" ref="A6522:B6522" si="21151">A6505</f>
        <v>Lantai Atap</v>
      </c>
      <c r="B6522" s="385">
        <f t="shared" si="21151"/>
        <v>11</v>
      </c>
      <c r="C6522" s="393" t="s">
        <v>209</v>
      </c>
      <c r="D6522" s="398">
        <f>VLOOKUP(D6505,'Detail Balok'!$C$10:$AU$140,28,FALSE)</f>
        <v>3</v>
      </c>
      <c r="E6522" s="388" t="s">
        <v>16</v>
      </c>
      <c r="F6522" s="388">
        <f>VLOOKUP(D6505,'Detail Balok'!$C$10:$AU$140,30,FALSE)</f>
        <v>13</v>
      </c>
      <c r="G6522" s="388"/>
      <c r="H6522" s="395"/>
      <c r="I6522" s="388" t="s">
        <v>203</v>
      </c>
      <c r="J6522" s="399">
        <f t="shared" si="21138"/>
        <v>1.2875000000000001</v>
      </c>
      <c r="K6522" s="400" t="s">
        <v>204</v>
      </c>
      <c r="L6522" s="399">
        <f t="shared" ref="L6522" si="21152">MAX(VLOOKUP(F6522,N$6:P$15,3,FALSE)/1000,2/3*D6510/1000)+F$16*F6522/1000</f>
        <v>0.156</v>
      </c>
      <c r="M6522" s="399" t="s">
        <v>176</v>
      </c>
      <c r="N6522" s="399">
        <f t="shared" si="21140"/>
        <v>1.4435</v>
      </c>
      <c r="O6522" s="399" t="s">
        <v>204</v>
      </c>
      <c r="P6522" s="389">
        <f t="shared" ref="P6522" si="21153">D6522-D6521</f>
        <v>0</v>
      </c>
      <c r="Q6522" s="399" t="s">
        <v>125</v>
      </c>
      <c r="R6522" s="399">
        <f t="shared" ref="R6522" si="21154">IF(P6522&gt;0,$F$18*F6522/1000,0)</f>
        <v>0</v>
      </c>
      <c r="S6522" s="399" t="s">
        <v>205</v>
      </c>
      <c r="T6522" s="399" t="s">
        <v>125</v>
      </c>
      <c r="U6522" s="401">
        <f t="shared" si="21143"/>
        <v>1.041885</v>
      </c>
      <c r="V6522" s="399"/>
      <c r="W6522" s="399"/>
      <c r="X6522" s="399" t="s">
        <v>125</v>
      </c>
      <c r="Y6522" s="389">
        <f t="shared" ref="Y6522" si="21155">D6511</f>
        <v>1</v>
      </c>
      <c r="Z6522" s="400" t="s">
        <v>176</v>
      </c>
      <c r="AA6522" s="402">
        <f t="shared" ref="AA6522" si="21156">IF(AA6523=0,(D6522*N6522+P6522*R6522)*U6522*Y6522,0)</f>
        <v>0</v>
      </c>
      <c r="AB6522" s="403"/>
    </row>
    <row r="6523" spans="1:28">
      <c r="A6523" s="384" t="str">
        <f t="shared" ref="A6523:B6523" si="21157">A6505</f>
        <v>Lantai Atap</v>
      </c>
      <c r="B6523" s="385">
        <f t="shared" si="21157"/>
        <v>11</v>
      </c>
      <c r="C6523" s="393"/>
      <c r="D6523" s="398">
        <f t="shared" ref="D6523:D6583" si="21158">IF(AND(D6520=D6521,D6521=D6522,D6520=D6522),D6520,0)</f>
        <v>3</v>
      </c>
      <c r="E6523" s="388" t="s">
        <v>16</v>
      </c>
      <c r="F6523" s="388">
        <f t="shared" ref="F6523:F6583" si="21159">IF(AND(F6520=F6521,F6520=F6522,F6521=F6522),F6520,0)</f>
        <v>13</v>
      </c>
      <c r="G6523" s="388"/>
      <c r="H6523" s="395"/>
      <c r="I6523" s="388"/>
      <c r="J6523" s="396"/>
      <c r="K6523" s="396"/>
      <c r="L6523" s="404" t="s">
        <v>207</v>
      </c>
      <c r="M6523" s="399" t="s">
        <v>176</v>
      </c>
      <c r="N6523" s="399">
        <f t="shared" ref="N6523" si="21160">IF(AND(D6520=D6521,D6520=D6522,D6521=D6522,F6520=F6521,F6520=F6522,F6521=F6522),SUM(N6520:N6522),0)</f>
        <v>5.4620000000000006</v>
      </c>
      <c r="O6523" s="399" t="s">
        <v>204</v>
      </c>
      <c r="P6523" s="389">
        <f t="shared" ref="P6523" si="21161">IF(N6523&gt;12,ROUNDDOWN(N6523/12,0),0)</f>
        <v>0</v>
      </c>
      <c r="Q6523" s="399" t="s">
        <v>125</v>
      </c>
      <c r="R6523" s="399">
        <f t="shared" ref="R6523" si="21162">IF(P6523&gt;0,MAX(VLOOKUP(F6523,$D$6:$G$15,3,FALSE),600),0)/1000</f>
        <v>0</v>
      </c>
      <c r="S6523" s="396"/>
      <c r="T6523" s="396" t="s">
        <v>125</v>
      </c>
      <c r="U6523" s="401">
        <f t="shared" ref="U6523:U6583" si="21163">U6522</f>
        <v>1.041885</v>
      </c>
      <c r="V6523" s="396" t="s">
        <v>125</v>
      </c>
      <c r="W6523" s="399">
        <f t="shared" ref="W6523" si="21164">D6523</f>
        <v>3</v>
      </c>
      <c r="X6523" s="399" t="s">
        <v>125</v>
      </c>
      <c r="Y6523" s="389">
        <f t="shared" ref="Y6523:Y6583" si="21165">Y6522</f>
        <v>1</v>
      </c>
      <c r="Z6523" s="400" t="s">
        <v>176</v>
      </c>
      <c r="AA6523" s="402">
        <f t="shared" ref="AA6523" si="21166">(N6523+P6523*R6523/1000)*U6523*W6523*Y6523</f>
        <v>17.072327610000002</v>
      </c>
      <c r="AB6523" s="403"/>
    </row>
    <row r="6524" spans="1:28">
      <c r="A6524" s="384"/>
      <c r="B6524" s="385"/>
      <c r="C6524" s="393"/>
      <c r="D6524" s="394"/>
      <c r="E6524" s="388"/>
      <c r="F6524" s="388"/>
      <c r="G6524" s="388"/>
      <c r="H6524" s="395"/>
      <c r="I6524" s="388"/>
      <c r="J6524" s="399"/>
      <c r="K6524" s="396"/>
      <c r="L6524" s="396"/>
      <c r="M6524" s="396"/>
      <c r="N6524" s="396"/>
      <c r="O6524" s="396"/>
      <c r="P6524" s="389"/>
      <c r="Q6524" s="396"/>
      <c r="R6524" s="396"/>
      <c r="S6524" s="396"/>
      <c r="T6524" s="396"/>
      <c r="U6524" s="401"/>
      <c r="V6524" s="396"/>
      <c r="W6524" s="388"/>
      <c r="X6524" s="396"/>
      <c r="Y6524" s="389"/>
      <c r="Z6524" s="396"/>
      <c r="AA6524" s="388"/>
      <c r="AB6524" s="390"/>
    </row>
    <row r="6525" spans="1:28">
      <c r="A6525" s="384" t="str">
        <f t="shared" ref="A6525:B6525" si="21167">A6505</f>
        <v>Lantai Atap</v>
      </c>
      <c r="B6525" s="385">
        <f t="shared" si="21167"/>
        <v>11</v>
      </c>
      <c r="C6525" s="393" t="s">
        <v>211</v>
      </c>
      <c r="D6525" s="398">
        <f>VLOOKUP(D6505,'Detail Balok'!$C$10:$AU$140,31,FALSE)</f>
        <v>0</v>
      </c>
      <c r="E6525" s="388" t="s">
        <v>16</v>
      </c>
      <c r="F6525" s="388">
        <f>VLOOKUP(D6505,'Detail Balok'!$C$10:$AU$140,33,FALSE)</f>
        <v>10</v>
      </c>
      <c r="G6525" s="405" t="s">
        <v>157</v>
      </c>
      <c r="H6525" s="395">
        <f>VLOOKUP(D6505,'Detail Balok'!$C$10:$AU$140,35,FALSE)</f>
        <v>100</v>
      </c>
      <c r="I6525" s="388"/>
      <c r="J6525" s="400">
        <f t="shared" ref="J6525" si="21168">(IF(D6525=0,(2*(D6506+G6506))-(F$5*8),IF(D6525=3,(2*(D6506+G6506))-(F$5*8)+(G6506-2*F$5),IF(D6525=4,(2*(D6506+G6506))-(F$5*8)+2*(G6506-2*F$5)))))/1000</f>
        <v>0.88</v>
      </c>
      <c r="K6525" s="400" t="s">
        <v>204</v>
      </c>
      <c r="L6525" s="399">
        <f t="shared" ref="L6525:L6527" si="21169">IF(D6525=0,2*MAX(6*F6525,75),(D6525-1)*2*MAX(6*F6525,75))/1000</f>
        <v>0.15</v>
      </c>
      <c r="M6525" s="399" t="s">
        <v>176</v>
      </c>
      <c r="N6525" s="399">
        <f t="shared" ref="N6525:N6527" si="21170">J6525+L6525</f>
        <v>1.03</v>
      </c>
      <c r="O6525" s="399"/>
      <c r="P6525" s="389"/>
      <c r="Q6525" s="399"/>
      <c r="R6525" s="399"/>
      <c r="S6525" s="399"/>
      <c r="T6525" s="399" t="s">
        <v>125</v>
      </c>
      <c r="U6525" s="401">
        <f t="shared" ref="U6525:U6527" si="21171">0.006165*F6525^2</f>
        <v>0.61650000000000005</v>
      </c>
      <c r="V6525" s="399" t="s">
        <v>125</v>
      </c>
      <c r="W6525" s="399">
        <f t="shared" ref="W6525" si="21172">IF(D6508&gt;4*G6506,ROUND(MAX(D6508/4,2*G6506)/H6525,0)+1,ROUND(D6508/H6525,0)+1)</f>
        <v>14</v>
      </c>
      <c r="X6525" s="399" t="s">
        <v>125</v>
      </c>
      <c r="Y6525" s="389">
        <f t="shared" ref="Y6525" si="21173">D6511</f>
        <v>1</v>
      </c>
      <c r="Z6525" s="400" t="s">
        <v>176</v>
      </c>
      <c r="AA6525" s="402">
        <f t="shared" ref="AA6525:AA6527" si="21174">N6525*U6525*W6525*Y6525</f>
        <v>8.8899300000000014</v>
      </c>
      <c r="AB6525" s="403"/>
    </row>
    <row r="6526" spans="1:28">
      <c r="A6526" s="384" t="str">
        <f t="shared" ref="A6526:B6526" si="21175">A6505</f>
        <v>Lantai Atap</v>
      </c>
      <c r="B6526" s="385">
        <f t="shared" si="21175"/>
        <v>11</v>
      </c>
      <c r="C6526" s="393" t="s">
        <v>212</v>
      </c>
      <c r="D6526" s="398">
        <f>VLOOKUP(D6505,'Detail Balok'!$C$10:$AU$140,36,FALSE)</f>
        <v>0</v>
      </c>
      <c r="E6526" s="388" t="s">
        <v>16</v>
      </c>
      <c r="F6526" s="388">
        <f>VLOOKUP(D6505,'Detail Balok'!$C$10:$AU$140,38,FALSE)</f>
        <v>10</v>
      </c>
      <c r="G6526" s="405" t="s">
        <v>157</v>
      </c>
      <c r="H6526" s="395">
        <f>VLOOKUP(D6505,'Detail Balok'!$C$10:$AU$140,40,FALSE)</f>
        <v>200</v>
      </c>
      <c r="I6526" s="388"/>
      <c r="J6526" s="400">
        <f t="shared" ref="J6526" si="21176">(IF(D6526=0,(2*(D6506+G6506))-(F$5*8),IF(D6526=3,(2*(D6506+G6506))-(F$5*8)+(G6506-2*F$5),IF(D6526=4,(2*(D6506+G6506))-(F$5*8)+2*(G6506-2*F$5)))))/1000</f>
        <v>0.88</v>
      </c>
      <c r="K6526" s="400" t="s">
        <v>204</v>
      </c>
      <c r="L6526" s="399">
        <f t="shared" si="21169"/>
        <v>0.15</v>
      </c>
      <c r="M6526" s="399" t="s">
        <v>176</v>
      </c>
      <c r="N6526" s="399">
        <f t="shared" si="21170"/>
        <v>1.03</v>
      </c>
      <c r="O6526" s="399"/>
      <c r="P6526" s="389"/>
      <c r="Q6526" s="399"/>
      <c r="R6526" s="399"/>
      <c r="S6526" s="399"/>
      <c r="T6526" s="399" t="s">
        <v>125</v>
      </c>
      <c r="U6526" s="401">
        <f t="shared" si="21171"/>
        <v>0.61650000000000005</v>
      </c>
      <c r="V6526" s="399" t="s">
        <v>125</v>
      </c>
      <c r="W6526" s="399">
        <f t="shared" ref="W6526" si="21177">IF(D6508-MAX(D6508/4,2*G6506)*2&gt;0,ROUND((D6508-MAX(D6508/4,2*G6506)*2)/H6526,0),0)</f>
        <v>13</v>
      </c>
      <c r="X6526" s="399" t="s">
        <v>125</v>
      </c>
      <c r="Y6526" s="389">
        <f t="shared" ref="Y6526" si="21178">D6511</f>
        <v>1</v>
      </c>
      <c r="Z6526" s="400" t="s">
        <v>176</v>
      </c>
      <c r="AA6526" s="402">
        <f t="shared" si="21174"/>
        <v>8.2549350000000015</v>
      </c>
      <c r="AB6526" s="403"/>
    </row>
    <row r="6527" spans="1:28">
      <c r="A6527" s="384" t="str">
        <f t="shared" ref="A6527:B6527" si="21179">A6505</f>
        <v>Lantai Atap</v>
      </c>
      <c r="B6527" s="385">
        <f t="shared" si="21179"/>
        <v>11</v>
      </c>
      <c r="C6527" s="393" t="s">
        <v>211</v>
      </c>
      <c r="D6527" s="398">
        <f>VLOOKUP(D6505,'Detail Balok'!$C$10:$AU$140,41,FALSE)</f>
        <v>0</v>
      </c>
      <c r="E6527" s="388" t="s">
        <v>16</v>
      </c>
      <c r="F6527" s="388">
        <f>VLOOKUP(D6505,'Detail Balok'!$C$10:$AU$140,43,FALSE)</f>
        <v>10</v>
      </c>
      <c r="G6527" s="405" t="s">
        <v>157</v>
      </c>
      <c r="H6527" s="395">
        <f>VLOOKUP(D6505,'Detail Balok'!$C$10:$AU$140,45,FALSE)</f>
        <v>100</v>
      </c>
      <c r="I6527" s="388"/>
      <c r="J6527" s="400">
        <f t="shared" ref="J6527" si="21180">(IF(D6527=0,(2*(D6506+G6506))-(F$5*8),IF(D6527=3,(2*(D6506+G6506))-(F$5*8)+(G6506-2*F$5),IF(D6527=4,(2*(D6506+G6506))-(F$5*8)+2*(G6506-2*F$5)))))/1000</f>
        <v>0.88</v>
      </c>
      <c r="K6527" s="400" t="s">
        <v>204</v>
      </c>
      <c r="L6527" s="399">
        <f t="shared" si="21169"/>
        <v>0.15</v>
      </c>
      <c r="M6527" s="399" t="s">
        <v>176</v>
      </c>
      <c r="N6527" s="399">
        <f t="shared" si="21170"/>
        <v>1.03</v>
      </c>
      <c r="O6527" s="399"/>
      <c r="P6527" s="389"/>
      <c r="Q6527" s="399"/>
      <c r="R6527" s="399"/>
      <c r="S6527" s="399"/>
      <c r="T6527" s="399" t="s">
        <v>125</v>
      </c>
      <c r="U6527" s="401">
        <f t="shared" si="21171"/>
        <v>0.61650000000000005</v>
      </c>
      <c r="V6527" s="399" t="s">
        <v>125</v>
      </c>
      <c r="W6527" s="399">
        <f t="shared" ref="W6527" si="21181">IF(D6508&gt;4*G6506,ROUND(MAX(D6508/4,2*G6506)/H6527,0)+1,0)</f>
        <v>14</v>
      </c>
      <c r="X6527" s="399" t="s">
        <v>125</v>
      </c>
      <c r="Y6527" s="389">
        <f t="shared" ref="Y6527" si="21182">D6511</f>
        <v>1</v>
      </c>
      <c r="Z6527" s="400" t="s">
        <v>176</v>
      </c>
      <c r="AA6527" s="402">
        <f t="shared" si="21174"/>
        <v>8.8899300000000014</v>
      </c>
      <c r="AB6527" s="403"/>
    </row>
    <row r="6528" spans="1:28">
      <c r="A6528" s="384"/>
      <c r="B6528" s="385"/>
      <c r="C6528" s="393"/>
      <c r="D6528" s="394"/>
      <c r="E6528" s="388"/>
      <c r="F6528" s="388"/>
      <c r="G6528" s="388"/>
      <c r="H6528" s="395"/>
      <c r="I6528" s="388"/>
      <c r="J6528" s="399"/>
      <c r="K6528" s="396"/>
      <c r="L6528" s="396"/>
      <c r="M6528" s="396"/>
      <c r="N6528" s="396"/>
      <c r="O6528" s="396"/>
      <c r="P6528" s="389"/>
      <c r="Q6528" s="396"/>
      <c r="R6528" s="396"/>
      <c r="S6528" s="396"/>
      <c r="T6528" s="396"/>
      <c r="U6528" s="401"/>
      <c r="V6528" s="396"/>
      <c r="W6528" s="388"/>
      <c r="X6528" s="396"/>
      <c r="Y6528" s="389"/>
      <c r="Z6528" s="396"/>
      <c r="AA6528" s="388"/>
      <c r="AB6528" s="390"/>
    </row>
    <row r="6529" spans="1:28">
      <c r="A6529" s="384" t="str">
        <f t="shared" ref="A6529:B6529" si="21183">A6505</f>
        <v>Lantai Atap</v>
      </c>
      <c r="B6529" s="385">
        <f t="shared" si="21183"/>
        <v>11</v>
      </c>
      <c r="C6529" s="393" t="s">
        <v>213</v>
      </c>
      <c r="D6529" s="398">
        <f>VLOOKUP(D6505,'Detail Balok'!$C$10:$BJ$140,46,FALSE)</f>
        <v>0</v>
      </c>
      <c r="E6529" s="388" t="s">
        <v>16</v>
      </c>
      <c r="F6529" s="388">
        <f>VLOOKUP(D6505,'Detail Balok'!$C$10:$BJ$140,48,FALSE)</f>
        <v>0</v>
      </c>
      <c r="G6529" s="405" t="s">
        <v>157</v>
      </c>
      <c r="H6529" s="395">
        <f>VLOOKUP(D6505,'Detail Balok'!$C$10:$BJ$140,50,FALSE)</f>
        <v>100</v>
      </c>
      <c r="I6529" s="388"/>
      <c r="J6529" s="399">
        <f t="shared" ref="J6529" si="21184">(D6506-2*F$5)/1000</f>
        <v>0.12</v>
      </c>
      <c r="K6529" s="400" t="s">
        <v>204</v>
      </c>
      <c r="L6529" s="399">
        <f t="shared" ref="L6529:L6531" si="21185">IF(D6529=0,2*MAX(6*F6529,75),(D6529-1)*2*MAX(6*F6529,75))/1000</f>
        <v>0.15</v>
      </c>
      <c r="M6529" s="399" t="s">
        <v>176</v>
      </c>
      <c r="N6529" s="399">
        <f t="shared" ref="N6529:N6531" si="21186">J6529+L6529</f>
        <v>0.27</v>
      </c>
      <c r="O6529" s="399"/>
      <c r="P6529" s="399"/>
      <c r="Q6529" s="399"/>
      <c r="R6529" s="399"/>
      <c r="S6529" s="399"/>
      <c r="T6529" s="399" t="s">
        <v>125</v>
      </c>
      <c r="U6529" s="401">
        <f t="shared" ref="U6529:U6531" si="21187">0.006165*F6529^2</f>
        <v>0</v>
      </c>
      <c r="V6529" s="399" t="s">
        <v>125</v>
      </c>
      <c r="W6529" s="399">
        <f t="shared" ref="W6529:W6591" si="21188">W6525</f>
        <v>14</v>
      </c>
      <c r="X6529" s="399" t="s">
        <v>125</v>
      </c>
      <c r="Y6529" s="389">
        <f t="shared" ref="Y6529" si="21189">D6515</f>
        <v>3</v>
      </c>
      <c r="Z6529" s="400" t="s">
        <v>176</v>
      </c>
      <c r="AA6529" s="402">
        <f t="shared" ref="AA6529:AA6531" si="21190">N6529*U6529*W6529*Y6529</f>
        <v>0</v>
      </c>
      <c r="AB6529" s="403"/>
    </row>
    <row r="6530" spans="1:28">
      <c r="A6530" s="384" t="str">
        <f t="shared" ref="A6530:B6530" si="21191">A6505</f>
        <v>Lantai Atap</v>
      </c>
      <c r="B6530" s="385">
        <f t="shared" si="21191"/>
        <v>11</v>
      </c>
      <c r="C6530" s="393" t="s">
        <v>214</v>
      </c>
      <c r="D6530" s="398">
        <f>VLOOKUP(D6505,'Detail Balok'!$C$10:$BJ$140,51,FALSE)</f>
        <v>0</v>
      </c>
      <c r="E6530" s="388" t="s">
        <v>16</v>
      </c>
      <c r="F6530" s="388">
        <f>VLOOKUP(D6505,'Detail Balok'!$C$10:$BJ$140,53,FALSE)</f>
        <v>0</v>
      </c>
      <c r="G6530" s="405" t="s">
        <v>157</v>
      </c>
      <c r="H6530" s="395">
        <f>VLOOKUP(D6505,'Detail Balok'!$C$10:$BJ$140,55,FALSE)</f>
        <v>100</v>
      </c>
      <c r="I6530" s="388"/>
      <c r="J6530" s="399">
        <f t="shared" ref="J6530" si="21192">(D6506-2*F$5)/1000</f>
        <v>0.12</v>
      </c>
      <c r="K6530" s="400" t="s">
        <v>204</v>
      </c>
      <c r="L6530" s="399">
        <f t="shared" si="21185"/>
        <v>0.15</v>
      </c>
      <c r="M6530" s="399" t="s">
        <v>176</v>
      </c>
      <c r="N6530" s="399">
        <f t="shared" si="21186"/>
        <v>0.27</v>
      </c>
      <c r="O6530" s="399"/>
      <c r="P6530" s="399"/>
      <c r="Q6530" s="399"/>
      <c r="R6530" s="399"/>
      <c r="S6530" s="399"/>
      <c r="T6530" s="399" t="s">
        <v>125</v>
      </c>
      <c r="U6530" s="401">
        <f t="shared" si="21187"/>
        <v>0</v>
      </c>
      <c r="V6530" s="399" t="s">
        <v>125</v>
      </c>
      <c r="W6530" s="399">
        <f t="shared" si="21188"/>
        <v>13</v>
      </c>
      <c r="X6530" s="399" t="s">
        <v>125</v>
      </c>
      <c r="Y6530" s="389">
        <f t="shared" ref="Y6530" si="21193">D6515</f>
        <v>3</v>
      </c>
      <c r="Z6530" s="400" t="s">
        <v>176</v>
      </c>
      <c r="AA6530" s="402">
        <f t="shared" si="21190"/>
        <v>0</v>
      </c>
      <c r="AB6530" s="403"/>
    </row>
    <row r="6531" spans="1:28">
      <c r="A6531" s="384" t="str">
        <f t="shared" ref="A6531:B6531" si="21194">A6505</f>
        <v>Lantai Atap</v>
      </c>
      <c r="B6531" s="385">
        <f t="shared" si="21194"/>
        <v>11</v>
      </c>
      <c r="C6531" s="393" t="s">
        <v>213</v>
      </c>
      <c r="D6531" s="398">
        <f>VLOOKUP(D6505,'Detail Balok'!$C$10:$BJ$140,56,FALSE)</f>
        <v>0</v>
      </c>
      <c r="E6531" s="388" t="s">
        <v>16</v>
      </c>
      <c r="F6531" s="388">
        <f>VLOOKUP(D6505,'Detail Balok'!$C$10:$BJ$140,58,FALSE)</f>
        <v>0</v>
      </c>
      <c r="G6531" s="405" t="s">
        <v>157</v>
      </c>
      <c r="H6531" s="395">
        <f>VLOOKUP(D6505,'Detail Balok'!$C$10:$BJ$140,60,FALSE)</f>
        <v>100</v>
      </c>
      <c r="I6531" s="388"/>
      <c r="J6531" s="399">
        <f t="shared" ref="J6531" si="21195">(D6506-2*F$5)/1000</f>
        <v>0.12</v>
      </c>
      <c r="K6531" s="400" t="s">
        <v>204</v>
      </c>
      <c r="L6531" s="399">
        <f t="shared" si="21185"/>
        <v>0.15</v>
      </c>
      <c r="M6531" s="399" t="s">
        <v>176</v>
      </c>
      <c r="N6531" s="399">
        <f t="shared" si="21186"/>
        <v>0.27</v>
      </c>
      <c r="O6531" s="399"/>
      <c r="P6531" s="399"/>
      <c r="Q6531" s="399"/>
      <c r="R6531" s="399"/>
      <c r="S6531" s="399"/>
      <c r="T6531" s="399" t="s">
        <v>125</v>
      </c>
      <c r="U6531" s="401">
        <f t="shared" si="21187"/>
        <v>0</v>
      </c>
      <c r="V6531" s="399" t="s">
        <v>125</v>
      </c>
      <c r="W6531" s="399">
        <f t="shared" si="21188"/>
        <v>14</v>
      </c>
      <c r="X6531" s="399" t="s">
        <v>125</v>
      </c>
      <c r="Y6531" s="389">
        <f t="shared" ref="Y6531" si="21196">D6515</f>
        <v>3</v>
      </c>
      <c r="Z6531" s="400" t="s">
        <v>176</v>
      </c>
      <c r="AA6531" s="402">
        <f t="shared" si="21190"/>
        <v>0</v>
      </c>
      <c r="AB6531" s="403"/>
    </row>
    <row r="6532" spans="1:28">
      <c r="A6532" s="391"/>
      <c r="B6532" s="392"/>
      <c r="C6532" s="392"/>
      <c r="D6532" s="394"/>
      <c r="E6532" s="388"/>
      <c r="F6532" s="388"/>
      <c r="G6532" s="388"/>
      <c r="H6532" s="395"/>
      <c r="I6532" s="388"/>
      <c r="J6532" s="402"/>
      <c r="K6532" s="388"/>
      <c r="L6532" s="388"/>
      <c r="M6532" s="388"/>
      <c r="N6532" s="388"/>
      <c r="O6532" s="388"/>
      <c r="P6532" s="388"/>
      <c r="Q6532" s="388"/>
      <c r="R6532" s="388"/>
      <c r="S6532" s="388"/>
      <c r="T6532" s="388"/>
      <c r="U6532" s="388"/>
      <c r="V6532" s="388"/>
      <c r="W6532" s="388"/>
      <c r="X6532" s="388"/>
      <c r="Y6532" s="389"/>
      <c r="Z6532" s="388"/>
      <c r="AA6532" s="402"/>
      <c r="AB6532" s="403"/>
    </row>
    <row r="6533" spans="1:28" ht="15.75" thickBot="1">
      <c r="A6533" s="406"/>
      <c r="B6533" s="407"/>
      <c r="C6533" s="407"/>
      <c r="D6533" s="408"/>
      <c r="E6533" s="409"/>
      <c r="F6533" s="409"/>
      <c r="G6533" s="409"/>
      <c r="H6533" s="410"/>
      <c r="I6533" s="409"/>
      <c r="J6533" s="409"/>
      <c r="K6533" s="409"/>
      <c r="L6533" s="409"/>
      <c r="M6533" s="409"/>
      <c r="N6533" s="409"/>
      <c r="O6533" s="409"/>
      <c r="P6533" s="409"/>
      <c r="Q6533" s="409"/>
      <c r="R6533" s="409"/>
      <c r="S6533" s="409"/>
      <c r="T6533" s="409"/>
      <c r="U6533" s="409"/>
      <c r="V6533" s="409"/>
      <c r="W6533" s="409"/>
      <c r="X6533" s="409"/>
      <c r="Y6533" s="411"/>
      <c r="Z6533" s="409"/>
      <c r="AA6533" s="412"/>
      <c r="AB6533" s="413"/>
    </row>
    <row r="6534" spans="1:28">
      <c r="A6534" s="377"/>
      <c r="B6534" s="378"/>
      <c r="C6534" s="378"/>
      <c r="D6534" s="379"/>
      <c r="E6534" s="380"/>
      <c r="F6534" s="380"/>
      <c r="G6534" s="380"/>
      <c r="H6534" s="381"/>
      <c r="I6534" s="380"/>
      <c r="J6534" s="380"/>
      <c r="K6534" s="380"/>
      <c r="L6534" s="380"/>
      <c r="M6534" s="380"/>
      <c r="N6534" s="380"/>
      <c r="O6534" s="380"/>
      <c r="P6534" s="380"/>
      <c r="Q6534" s="380"/>
      <c r="R6534" s="380"/>
      <c r="S6534" s="380"/>
      <c r="T6534" s="380"/>
      <c r="U6534" s="380"/>
      <c r="V6534" s="380"/>
      <c r="W6534" s="380"/>
      <c r="X6534" s="380"/>
      <c r="Y6534" s="382"/>
      <c r="Z6534" s="380"/>
      <c r="AA6534" s="380"/>
      <c r="AB6534" s="383"/>
    </row>
    <row r="6535" spans="1:28">
      <c r="A6535" s="384" t="str">
        <f t="shared" ref="A6535:A6565" si="21197">A6505</f>
        <v>Lantai Atap</v>
      </c>
      <c r="B6535" s="385">
        <f t="shared" ref="B6535:B6565" si="21198">B6505+1</f>
        <v>12</v>
      </c>
      <c r="C6535" s="386" t="str">
        <f t="shared" ref="C6535" si="21199">CONCATENATE(A6535," no. ",B6535)</f>
        <v>Lantai Atap no. 12</v>
      </c>
      <c r="D6535" s="2562" t="str">
        <f>VLOOKUP(C6535,'Data Panjang Balok'!$C$9:$N$254,2,FALSE)</f>
        <v>B2A4A-1</v>
      </c>
      <c r="E6535" s="2576"/>
      <c r="F6535" s="2576"/>
      <c r="G6535" s="2576"/>
      <c r="H6535" s="2577"/>
      <c r="I6535" s="387"/>
      <c r="J6535" s="388"/>
      <c r="K6535" s="388"/>
      <c r="L6535" s="388"/>
      <c r="M6535" s="388"/>
      <c r="N6535" s="388"/>
      <c r="O6535" s="388"/>
      <c r="P6535" s="388"/>
      <c r="Q6535" s="388"/>
      <c r="R6535" s="388"/>
      <c r="S6535" s="388"/>
      <c r="T6535" s="388"/>
      <c r="U6535" s="388"/>
      <c r="V6535" s="388"/>
      <c r="W6535" s="388"/>
      <c r="X6535" s="388"/>
      <c r="Y6535" s="389"/>
      <c r="Z6535" s="388"/>
      <c r="AA6535" s="388"/>
      <c r="AB6535" s="390"/>
    </row>
    <row r="6536" spans="1:28">
      <c r="A6536" s="391"/>
      <c r="B6536" s="392"/>
      <c r="C6536" s="393" t="s">
        <v>118</v>
      </c>
      <c r="D6536" s="2578">
        <f>VLOOKUP(D6535,'Detail Balok'!$C$10:$AU$140,2,FALSE)</f>
        <v>250</v>
      </c>
      <c r="E6536" s="2579"/>
      <c r="F6536" s="388" t="s">
        <v>125</v>
      </c>
      <c r="G6536" s="2579">
        <f>VLOOKUP(D6535,'Detail Balok'!$C$10:$AU$140,3,FALSE)</f>
        <v>450</v>
      </c>
      <c r="H6536" s="2580"/>
      <c r="I6536" s="388"/>
      <c r="J6536" s="396"/>
      <c r="K6536" s="396"/>
      <c r="L6536" s="396"/>
      <c r="M6536" s="396"/>
      <c r="N6536" s="396"/>
      <c r="O6536" s="396"/>
      <c r="P6536" s="396"/>
      <c r="Q6536" s="396"/>
      <c r="R6536" s="396"/>
      <c r="S6536" s="396"/>
      <c r="T6536" s="396"/>
      <c r="U6536" s="388"/>
      <c r="V6536" s="396"/>
      <c r="W6536" s="388"/>
      <c r="X6536" s="396"/>
      <c r="Y6536" s="389"/>
      <c r="Z6536" s="396"/>
      <c r="AA6536" s="388"/>
      <c r="AB6536" s="390"/>
    </row>
    <row r="6537" spans="1:28">
      <c r="A6537" s="391"/>
      <c r="B6537" s="392"/>
      <c r="C6537" s="393" t="s">
        <v>198</v>
      </c>
      <c r="D6537" s="2562">
        <f>VLOOKUP(C6535,'Data Panjang Balok'!$C$9:$N$254,4,FALSE)</f>
        <v>6015</v>
      </c>
      <c r="E6537" s="2563"/>
      <c r="F6537" s="2563"/>
      <c r="G6537" s="2563"/>
      <c r="H6537" s="2564"/>
      <c r="I6537" s="397"/>
      <c r="J6537" s="396"/>
      <c r="K6537" s="396"/>
      <c r="L6537" s="396"/>
      <c r="M6537" s="396"/>
      <c r="N6537" s="396"/>
      <c r="O6537" s="396"/>
      <c r="P6537" s="396"/>
      <c r="Q6537" s="396"/>
      <c r="R6537" s="396"/>
      <c r="S6537" s="396"/>
      <c r="T6537" s="396"/>
      <c r="U6537" s="388"/>
      <c r="V6537" s="396"/>
      <c r="W6537" s="388"/>
      <c r="X6537" s="396"/>
      <c r="Y6537" s="389"/>
      <c r="Z6537" s="396"/>
      <c r="AA6537" s="388"/>
      <c r="AB6537" s="390"/>
    </row>
    <row r="6538" spans="1:28">
      <c r="A6538" s="391"/>
      <c r="B6538" s="392"/>
      <c r="C6538" s="393" t="s">
        <v>199</v>
      </c>
      <c r="D6538" s="2562">
        <f>VLOOKUP(C6535,'Data Panjang Balok'!$C$9:$N$254,7,FALSE)</f>
        <v>6015</v>
      </c>
      <c r="E6538" s="2563"/>
      <c r="F6538" s="2563"/>
      <c r="G6538" s="2563"/>
      <c r="H6538" s="2564"/>
      <c r="I6538" s="397"/>
      <c r="J6538" s="396"/>
      <c r="K6538" s="396"/>
      <c r="L6538" s="396"/>
      <c r="M6538" s="396"/>
      <c r="N6538" s="396"/>
      <c r="O6538" s="396"/>
      <c r="P6538" s="396"/>
      <c r="Q6538" s="396"/>
      <c r="R6538" s="396"/>
      <c r="S6538" s="396"/>
      <c r="T6538" s="396"/>
      <c r="U6538" s="388"/>
      <c r="V6538" s="396"/>
      <c r="W6538" s="388"/>
      <c r="X6538" s="396"/>
      <c r="Y6538" s="389"/>
      <c r="Z6538" s="396"/>
      <c r="AA6538" s="388"/>
      <c r="AB6538" s="390"/>
    </row>
    <row r="6539" spans="1:28">
      <c r="A6539" s="391"/>
      <c r="B6539" s="392"/>
      <c r="C6539" s="393" t="s">
        <v>200</v>
      </c>
      <c r="D6539" s="2562">
        <f>VLOOKUP(C6535,'Data Panjang Balok'!$C$9:$N$254,9,FALSE)</f>
        <v>0</v>
      </c>
      <c r="E6539" s="2563"/>
      <c r="F6539" s="2563"/>
      <c r="G6539" s="2563"/>
      <c r="H6539" s="2564"/>
      <c r="I6539" s="397"/>
      <c r="J6539" s="396"/>
      <c r="K6539" s="396"/>
      <c r="L6539" s="396"/>
      <c r="M6539" s="396"/>
      <c r="N6539" s="396"/>
      <c r="O6539" s="396"/>
      <c r="P6539" s="396"/>
      <c r="Q6539" s="396"/>
      <c r="R6539" s="396"/>
      <c r="S6539" s="396"/>
      <c r="T6539" s="396"/>
      <c r="U6539" s="388"/>
      <c r="V6539" s="396"/>
      <c r="W6539" s="388"/>
      <c r="X6539" s="396"/>
      <c r="Y6539" s="389"/>
      <c r="Z6539" s="396"/>
      <c r="AA6539" s="388"/>
      <c r="AB6539" s="390"/>
    </row>
    <row r="6540" spans="1:28">
      <c r="A6540" s="391"/>
      <c r="B6540" s="392"/>
      <c r="C6540" s="393" t="s">
        <v>201</v>
      </c>
      <c r="D6540" s="2562">
        <f>VLOOKUP(C6535,'Data Panjang Balok'!$C$9:$N$254,10,FALSE)</f>
        <v>0</v>
      </c>
      <c r="E6540" s="2563"/>
      <c r="F6540" s="2563"/>
      <c r="G6540" s="2563"/>
      <c r="H6540" s="2564"/>
      <c r="I6540" s="397"/>
      <c r="J6540" s="396"/>
      <c r="K6540" s="396"/>
      <c r="L6540" s="396"/>
      <c r="M6540" s="396"/>
      <c r="N6540" s="396"/>
      <c r="O6540" s="396"/>
      <c r="P6540" s="396"/>
      <c r="Q6540" s="396"/>
      <c r="R6540" s="396"/>
      <c r="S6540" s="396"/>
      <c r="T6540" s="396"/>
      <c r="U6540" s="388"/>
      <c r="V6540" s="396"/>
      <c r="W6540" s="388"/>
      <c r="X6540" s="396"/>
      <c r="Y6540" s="389"/>
      <c r="Z6540" s="396"/>
      <c r="AA6540" s="388"/>
      <c r="AB6540" s="390"/>
    </row>
    <row r="6541" spans="1:28">
      <c r="A6541" s="391"/>
      <c r="B6541" s="392"/>
      <c r="C6541" s="393" t="s">
        <v>48</v>
      </c>
      <c r="D6541" s="2562">
        <f>VLOOKUP(C6535,'Data Panjang Balok'!$C$9:$N$254,3,FALSE)</f>
        <v>1</v>
      </c>
      <c r="E6541" s="2563"/>
      <c r="F6541" s="2563"/>
      <c r="G6541" s="2563"/>
      <c r="H6541" s="2564"/>
      <c r="I6541" s="397"/>
      <c r="J6541" s="396"/>
      <c r="K6541" s="396"/>
      <c r="L6541" s="396"/>
      <c r="M6541" s="396"/>
      <c r="N6541" s="396"/>
      <c r="O6541" s="396"/>
      <c r="P6541" s="396"/>
      <c r="Q6541" s="396"/>
      <c r="R6541" s="396"/>
      <c r="S6541" s="396"/>
      <c r="T6541" s="396"/>
      <c r="U6541" s="388"/>
      <c r="V6541" s="396"/>
      <c r="W6541" s="388"/>
      <c r="X6541" s="396"/>
      <c r="Y6541" s="389"/>
      <c r="Z6541" s="396"/>
      <c r="AA6541" s="388"/>
      <c r="AB6541" s="390"/>
    </row>
    <row r="6542" spans="1:28">
      <c r="A6542" s="384" t="str">
        <f t="shared" ref="A6542:B6542" si="21200">A6535</f>
        <v>Lantai Atap</v>
      </c>
      <c r="B6542" s="385">
        <f t="shared" si="21200"/>
        <v>12</v>
      </c>
      <c r="C6542" s="393" t="s">
        <v>202</v>
      </c>
      <c r="D6542" s="398">
        <f>VLOOKUP(D6535,'Detail Balok'!$C$10:$AU$140,4,FALSE)</f>
        <v>3</v>
      </c>
      <c r="E6542" s="388" t="s">
        <v>16</v>
      </c>
      <c r="F6542" s="388">
        <f>VLOOKUP(D6535,'Detail Balok'!$C$10:$AU$140,6,FALSE)</f>
        <v>13</v>
      </c>
      <c r="G6542" s="388"/>
      <c r="H6542" s="395"/>
      <c r="I6542" s="388" t="s">
        <v>203</v>
      </c>
      <c r="J6542" s="399">
        <f t="shared" ref="J6542" si="21201">+D6537/4/1000</f>
        <v>1.5037499999999999</v>
      </c>
      <c r="K6542" s="400" t="s">
        <v>204</v>
      </c>
      <c r="L6542" s="399">
        <f t="shared" ref="L6542" si="21202">MAX(VLOOKUP(F6542,N$6:P$15,3,FALSE)/1000,2/3*D6539/1000)+F$16*F6542/1000</f>
        <v>0.156</v>
      </c>
      <c r="M6542" s="399" t="s">
        <v>176</v>
      </c>
      <c r="N6542" s="399">
        <f t="shared" ref="N6542:N6544" si="21203">J6542+L6542</f>
        <v>1.6597499999999998</v>
      </c>
      <c r="O6542" s="399" t="s">
        <v>204</v>
      </c>
      <c r="P6542" s="389">
        <f t="shared" ref="P6542" si="21204">D6542-D6543</f>
        <v>0</v>
      </c>
      <c r="Q6542" s="399" t="s">
        <v>125</v>
      </c>
      <c r="R6542" s="399">
        <f t="shared" ref="R6542" si="21205">IF(P6542&gt;0,$F$18*F6542/1000,0)</f>
        <v>0</v>
      </c>
      <c r="S6542" s="399" t="s">
        <v>205</v>
      </c>
      <c r="T6542" s="399" t="s">
        <v>125</v>
      </c>
      <c r="U6542" s="401">
        <f t="shared" ref="U6542:U6544" si="21206">0.006165*F6542^2</f>
        <v>1.041885</v>
      </c>
      <c r="V6542" s="399"/>
      <c r="W6542" s="399"/>
      <c r="X6542" s="399" t="s">
        <v>125</v>
      </c>
      <c r="Y6542" s="389">
        <f t="shared" ref="Y6542" si="21207">D6541</f>
        <v>1</v>
      </c>
      <c r="Z6542" s="400" t="s">
        <v>176</v>
      </c>
      <c r="AA6542" s="402">
        <f t="shared" ref="AA6542" si="21208">IF(AA6545=0,(D6542*N6542+P6542*R6542)*U6542*Y6542,0)</f>
        <v>0</v>
      </c>
      <c r="AB6542" s="403"/>
    </row>
    <row r="6543" spans="1:28">
      <c r="A6543" s="384" t="str">
        <f t="shared" ref="A6543:B6543" si="21209">A6535</f>
        <v>Lantai Atap</v>
      </c>
      <c r="B6543" s="385">
        <f t="shared" si="21209"/>
        <v>12</v>
      </c>
      <c r="C6543" s="393" t="s">
        <v>206</v>
      </c>
      <c r="D6543" s="398">
        <f>VLOOKUP(D6535,'Detail Balok'!$C$10:$AU$140,7,FALSE)</f>
        <v>3</v>
      </c>
      <c r="E6543" s="388" t="s">
        <v>16</v>
      </c>
      <c r="F6543" s="388">
        <f>VLOOKUP(D6535,'Detail Balok'!$C$10:$AU$140,9,FALSE)</f>
        <v>13</v>
      </c>
      <c r="G6543" s="388"/>
      <c r="H6543" s="395"/>
      <c r="I6543" s="388" t="s">
        <v>203</v>
      </c>
      <c r="J6543" s="399">
        <f t="shared" ref="J6543" si="21210">+D6537/2/1000</f>
        <v>3.0074999999999998</v>
      </c>
      <c r="K6543" s="400" t="s">
        <v>204</v>
      </c>
      <c r="L6543" s="399"/>
      <c r="M6543" s="399" t="s">
        <v>176</v>
      </c>
      <c r="N6543" s="399">
        <f t="shared" si="21203"/>
        <v>3.0074999999999998</v>
      </c>
      <c r="O6543" s="399" t="s">
        <v>204</v>
      </c>
      <c r="P6543" s="389">
        <f t="shared" ref="P6543" si="21211">MAX(D6543-D6542,D6543-D6544)</f>
        <v>0</v>
      </c>
      <c r="Q6543" s="399" t="s">
        <v>125</v>
      </c>
      <c r="R6543" s="399">
        <f t="shared" ref="R6543" si="21212">IF(P6543&gt;0,2*(1-2*$F$19-1/2)*D6538/1000,0)</f>
        <v>0</v>
      </c>
      <c r="S6543" s="399" t="s">
        <v>205</v>
      </c>
      <c r="T6543" s="399" t="s">
        <v>125</v>
      </c>
      <c r="U6543" s="401">
        <f t="shared" si="21206"/>
        <v>1.041885</v>
      </c>
      <c r="V6543" s="399"/>
      <c r="W6543" s="399"/>
      <c r="X6543" s="399" t="s">
        <v>125</v>
      </c>
      <c r="Y6543" s="389">
        <f t="shared" ref="Y6543" si="21213">D6541</f>
        <v>1</v>
      </c>
      <c r="Z6543" s="400" t="s">
        <v>176</v>
      </c>
      <c r="AA6543" s="402">
        <f t="shared" ref="AA6543" si="21214">IF(AA6545=0,(D6543*N6543+P6543*R6543)*U6543*Y6543,0)</f>
        <v>0</v>
      </c>
      <c r="AB6543" s="403"/>
    </row>
    <row r="6544" spans="1:28">
      <c r="A6544" s="384" t="str">
        <f t="shared" ref="A6544:B6544" si="21215">A6535</f>
        <v>Lantai Atap</v>
      </c>
      <c r="B6544" s="385">
        <f t="shared" si="21215"/>
        <v>12</v>
      </c>
      <c r="C6544" s="393" t="s">
        <v>202</v>
      </c>
      <c r="D6544" s="398">
        <f>VLOOKUP(D6535,'Detail Balok'!$C$10:$AU$140,10,FALSE)</f>
        <v>3</v>
      </c>
      <c r="E6544" s="388" t="s">
        <v>16</v>
      </c>
      <c r="F6544" s="388">
        <f>VLOOKUP(D6535,'Detail Balok'!$C$10:$AU$140,12,FALSE)</f>
        <v>13</v>
      </c>
      <c r="G6544" s="388"/>
      <c r="H6544" s="395"/>
      <c r="I6544" s="388" t="s">
        <v>203</v>
      </c>
      <c r="J6544" s="399">
        <f t="shared" ref="J6544" si="21216">+D6537/4/1000</f>
        <v>1.5037499999999999</v>
      </c>
      <c r="K6544" s="400" t="s">
        <v>204</v>
      </c>
      <c r="L6544" s="399">
        <f t="shared" ref="L6544" si="21217">MAX(VLOOKUP(F6544,N$6:P$15,3,FALSE)/1000,2/3*D6539/1000)+F$16*F6544/1000</f>
        <v>0.156</v>
      </c>
      <c r="M6544" s="399" t="s">
        <v>176</v>
      </c>
      <c r="N6544" s="399">
        <f t="shared" si="21203"/>
        <v>1.6597499999999998</v>
      </c>
      <c r="O6544" s="399" t="s">
        <v>204</v>
      </c>
      <c r="P6544" s="389">
        <f t="shared" ref="P6544" si="21218">D6544-D6543</f>
        <v>0</v>
      </c>
      <c r="Q6544" s="399" t="s">
        <v>125</v>
      </c>
      <c r="R6544" s="399">
        <f t="shared" ref="R6544" si="21219">IF(P6544&gt;0,$F$18*F6544/1000,0)</f>
        <v>0</v>
      </c>
      <c r="S6544" s="399" t="s">
        <v>205</v>
      </c>
      <c r="T6544" s="399" t="s">
        <v>125</v>
      </c>
      <c r="U6544" s="401">
        <f t="shared" si="21206"/>
        <v>1.041885</v>
      </c>
      <c r="V6544" s="399"/>
      <c r="W6544" s="399"/>
      <c r="X6544" s="399" t="s">
        <v>125</v>
      </c>
      <c r="Y6544" s="389">
        <f t="shared" ref="Y6544" si="21220">D6541</f>
        <v>1</v>
      </c>
      <c r="Z6544" s="400" t="s">
        <v>176</v>
      </c>
      <c r="AA6544" s="402">
        <f t="shared" ref="AA6544" si="21221">IF(AA6545=0,(D6544*N6544+P6544*R6544)*U6544*Y6544,0)</f>
        <v>0</v>
      </c>
      <c r="AB6544" s="403"/>
    </row>
    <row r="6545" spans="1:28">
      <c r="A6545" s="384" t="str">
        <f t="shared" ref="A6545:B6545" si="21222">A6535</f>
        <v>Lantai Atap</v>
      </c>
      <c r="B6545" s="385">
        <f t="shared" si="21222"/>
        <v>12</v>
      </c>
      <c r="C6545" s="393"/>
      <c r="D6545" s="398">
        <f t="shared" si="21118"/>
        <v>3</v>
      </c>
      <c r="E6545" s="388" t="s">
        <v>16</v>
      </c>
      <c r="F6545" s="388">
        <f t="shared" si="21119"/>
        <v>13</v>
      </c>
      <c r="G6545" s="388"/>
      <c r="H6545" s="395"/>
      <c r="I6545" s="388"/>
      <c r="J6545" s="396"/>
      <c r="K6545" s="396"/>
      <c r="L6545" s="404" t="s">
        <v>207</v>
      </c>
      <c r="M6545" s="399" t="s">
        <v>176</v>
      </c>
      <c r="N6545" s="399">
        <f t="shared" ref="N6545" si="21223">IF(AND(D6542=D6543,D6542=D6544,D6543=D6544,F6542=F6543,F6542=F6544,F6543=F6544),SUM(N6542:N6544),0)</f>
        <v>6.3269999999999991</v>
      </c>
      <c r="O6545" s="399" t="s">
        <v>204</v>
      </c>
      <c r="P6545" s="389">
        <f t="shared" ref="P6545" si="21224">IF(N6545&gt;12,ROUNDDOWN(N6545/12,0),0)</f>
        <v>0</v>
      </c>
      <c r="Q6545" s="399" t="s">
        <v>125</v>
      </c>
      <c r="R6545" s="399">
        <f t="shared" ref="R6545" si="21225">IF(P6545&gt;0,MAX(VLOOKUP(F6545,$D$6:$G$15,3,FALSE),600),0)/1000</f>
        <v>0</v>
      </c>
      <c r="S6545" s="396"/>
      <c r="T6545" s="396" t="s">
        <v>125</v>
      </c>
      <c r="U6545" s="401">
        <f t="shared" si="21123"/>
        <v>1.041885</v>
      </c>
      <c r="V6545" s="396" t="s">
        <v>125</v>
      </c>
      <c r="W6545" s="399">
        <f t="shared" ref="W6545" si="21226">D6545</f>
        <v>3</v>
      </c>
      <c r="X6545" s="399" t="s">
        <v>125</v>
      </c>
      <c r="Y6545" s="389">
        <f t="shared" si="21125"/>
        <v>1</v>
      </c>
      <c r="Z6545" s="400" t="s">
        <v>176</v>
      </c>
      <c r="AA6545" s="402">
        <f t="shared" ref="AA6545" si="21227">(N6545+P6545*R6545/1000)*U6545*W6545*Y6545</f>
        <v>19.776019184999996</v>
      </c>
      <c r="AB6545" s="390"/>
    </row>
    <row r="6546" spans="1:28">
      <c r="A6546" s="384"/>
      <c r="B6546" s="385"/>
      <c r="C6546" s="393"/>
      <c r="D6546" s="398"/>
      <c r="E6546" s="388"/>
      <c r="F6546" s="388"/>
      <c r="G6546" s="388"/>
      <c r="H6546" s="395"/>
      <c r="I6546" s="388"/>
      <c r="J6546" s="396"/>
      <c r="K6546" s="396"/>
      <c r="L6546" s="404"/>
      <c r="M6546" s="399"/>
      <c r="N6546" s="399"/>
      <c r="O6546" s="396"/>
      <c r="P6546" s="389"/>
      <c r="Q6546" s="396"/>
      <c r="R6546" s="396"/>
      <c r="S6546" s="396"/>
      <c r="T6546" s="396"/>
      <c r="U6546" s="401"/>
      <c r="V6546" s="396"/>
      <c r="W6546" s="399"/>
      <c r="X6546" s="396"/>
      <c r="Y6546" s="389"/>
      <c r="Z6546" s="396"/>
      <c r="AA6546" s="388"/>
      <c r="AB6546" s="390"/>
    </row>
    <row r="6547" spans="1:28">
      <c r="A6547" s="384" t="str">
        <f t="shared" ref="A6547:B6547" si="21228">A6535</f>
        <v>Lantai Atap</v>
      </c>
      <c r="B6547" s="385">
        <f t="shared" si="21228"/>
        <v>12</v>
      </c>
      <c r="C6547" s="393" t="s">
        <v>208</v>
      </c>
      <c r="D6547" s="398">
        <f>VLOOKUP(D6535,'Detail Balok'!$C$10:$AU$140,13,FALSE)</f>
        <v>0</v>
      </c>
      <c r="E6547" s="388" t="s">
        <v>16</v>
      </c>
      <c r="F6547" s="388">
        <f>VLOOKUP(D6535,'Detail Balok'!$C$10:$AU$140,15,FALSE)</f>
        <v>8</v>
      </c>
      <c r="G6547" s="388"/>
      <c r="H6547" s="395"/>
      <c r="I6547" s="388"/>
      <c r="J6547" s="399">
        <f t="shared" ref="J6547" si="21229">+D6537/1000</f>
        <v>6.0149999999999997</v>
      </c>
      <c r="K6547" s="400" t="s">
        <v>204</v>
      </c>
      <c r="L6547" s="399">
        <f t="shared" ref="L6547" si="21230">2*$F$16*F6547/1000</f>
        <v>0.192</v>
      </c>
      <c r="M6547" s="399" t="s">
        <v>176</v>
      </c>
      <c r="N6547" s="399">
        <f t="shared" ref="N6547" si="21231">J6547+L6547</f>
        <v>6.2069999999999999</v>
      </c>
      <c r="O6547" s="399" t="s">
        <v>204</v>
      </c>
      <c r="P6547" s="389">
        <f t="shared" ref="P6547" si="21232">IF(N6547&gt;12,ROUNDDOWN(N6547/12,0),0)</f>
        <v>0</v>
      </c>
      <c r="Q6547" s="399" t="s">
        <v>125</v>
      </c>
      <c r="R6547" s="399">
        <f t="shared" ref="R6547" si="21233">IF(P6547&gt;0,MAX(VLOOKUP(F6547,$D$6:$G$15,3,FALSE),600),0)/1000</f>
        <v>0</v>
      </c>
      <c r="S6547" s="399"/>
      <c r="T6547" s="399" t="s">
        <v>125</v>
      </c>
      <c r="U6547" s="401">
        <f t="shared" ref="U6547" si="21234">0.006165*F6547^2</f>
        <v>0.39456000000000002</v>
      </c>
      <c r="V6547" s="399" t="s">
        <v>125</v>
      </c>
      <c r="W6547" s="399">
        <f t="shared" ref="W6547" si="21235">+D6547</f>
        <v>0</v>
      </c>
      <c r="X6547" s="399" t="s">
        <v>125</v>
      </c>
      <c r="Y6547" s="389">
        <f t="shared" ref="Y6547" si="21236">D6541</f>
        <v>1</v>
      </c>
      <c r="Z6547" s="400" t="s">
        <v>176</v>
      </c>
      <c r="AA6547" s="402">
        <f t="shared" ref="AA6547" si="21237">(N6547+P6547*R6547/1000)*U6547*W6547*Y6547</f>
        <v>0</v>
      </c>
      <c r="AB6547" s="403"/>
    </row>
    <row r="6548" spans="1:28">
      <c r="A6548" s="384"/>
      <c r="B6548" s="385"/>
      <c r="C6548" s="393"/>
      <c r="D6548" s="398"/>
      <c r="E6548" s="388"/>
      <c r="F6548" s="388"/>
      <c r="G6548" s="388"/>
      <c r="H6548" s="395"/>
      <c r="I6548" s="388"/>
      <c r="J6548" s="399"/>
      <c r="K6548" s="400"/>
      <c r="L6548" s="399"/>
      <c r="M6548" s="399"/>
      <c r="N6548" s="399"/>
      <c r="O6548" s="399"/>
      <c r="P6548" s="389"/>
      <c r="Q6548" s="399"/>
      <c r="R6548" s="399"/>
      <c r="S6548" s="399"/>
      <c r="T6548" s="399"/>
      <c r="U6548" s="401"/>
      <c r="V6548" s="399"/>
      <c r="W6548" s="399"/>
      <c r="X6548" s="399"/>
      <c r="Y6548" s="389"/>
      <c r="Z6548" s="400"/>
      <c r="AA6548" s="402"/>
      <c r="AB6548" s="403"/>
    </row>
    <row r="6549" spans="1:28">
      <c r="A6549" s="384"/>
      <c r="B6549" s="385"/>
      <c r="C6549" s="393"/>
      <c r="D6549" s="398"/>
      <c r="E6549" s="388"/>
      <c r="F6549" s="388"/>
      <c r="G6549" s="388"/>
      <c r="H6549" s="395"/>
      <c r="I6549" s="388"/>
      <c r="J6549" s="396"/>
      <c r="K6549" s="396"/>
      <c r="L6549" s="396"/>
      <c r="M6549" s="396"/>
      <c r="N6549" s="396"/>
      <c r="O6549" s="396"/>
      <c r="P6549" s="389"/>
      <c r="Q6549" s="396"/>
      <c r="R6549" s="396"/>
      <c r="S6549" s="396"/>
      <c r="T6549" s="396"/>
      <c r="U6549" s="401"/>
      <c r="V6549" s="396"/>
      <c r="W6549" s="399"/>
      <c r="X6549" s="396"/>
      <c r="Y6549" s="389"/>
      <c r="Z6549" s="396"/>
      <c r="AA6549" s="388"/>
      <c r="AB6549" s="390"/>
    </row>
    <row r="6550" spans="1:28">
      <c r="A6550" s="384" t="str">
        <f t="shared" ref="A6550:B6550" si="21238">A6535</f>
        <v>Lantai Atap</v>
      </c>
      <c r="B6550" s="385">
        <f t="shared" si="21238"/>
        <v>12</v>
      </c>
      <c r="C6550" s="393" t="s">
        <v>209</v>
      </c>
      <c r="D6550" s="398">
        <f>VLOOKUP(D6535,'Detail Balok'!$C$10:$AU$140,22,FALSE)</f>
        <v>3</v>
      </c>
      <c r="E6550" s="388" t="s">
        <v>16</v>
      </c>
      <c r="F6550" s="388">
        <f>VLOOKUP(D6535,'Detail Balok'!$C$10:$AU$140,24,FALSE)</f>
        <v>13</v>
      </c>
      <c r="G6550" s="388"/>
      <c r="H6550" s="395"/>
      <c r="I6550" s="388" t="s">
        <v>203</v>
      </c>
      <c r="J6550" s="399">
        <f t="shared" si="21138"/>
        <v>1.5037499999999999</v>
      </c>
      <c r="K6550" s="400" t="s">
        <v>204</v>
      </c>
      <c r="L6550" s="399">
        <f t="shared" ref="L6550" si="21239">MAX(VLOOKUP(F6550,N$6:P$15,3,FALSE)/1000,2/3*D6540/1000)+F$16*F6550/1000</f>
        <v>0.156</v>
      </c>
      <c r="M6550" s="399" t="s">
        <v>176</v>
      </c>
      <c r="N6550" s="399">
        <f t="shared" ref="N6550:N6552" si="21240">J6550+L6550</f>
        <v>1.6597499999999998</v>
      </c>
      <c r="O6550" s="399" t="s">
        <v>204</v>
      </c>
      <c r="P6550" s="389">
        <f t="shared" ref="P6550" si="21241">D6550-D6551</f>
        <v>0</v>
      </c>
      <c r="Q6550" s="399" t="s">
        <v>125</v>
      </c>
      <c r="R6550" s="399">
        <f t="shared" ref="R6550" si="21242">IF(P6550&gt;0,$F$18*F6550/1000,0)</f>
        <v>0</v>
      </c>
      <c r="S6550" s="399" t="s">
        <v>205</v>
      </c>
      <c r="T6550" s="399" t="s">
        <v>125</v>
      </c>
      <c r="U6550" s="401">
        <f t="shared" ref="U6550:U6552" si="21243">0.006165*F6550^2</f>
        <v>1.041885</v>
      </c>
      <c r="V6550" s="399"/>
      <c r="W6550" s="399"/>
      <c r="X6550" s="399" t="s">
        <v>125</v>
      </c>
      <c r="Y6550" s="389">
        <f t="shared" ref="Y6550" si="21244">D6541</f>
        <v>1</v>
      </c>
      <c r="Z6550" s="400" t="s">
        <v>176</v>
      </c>
      <c r="AA6550" s="402">
        <f t="shared" ref="AA6550" si="21245">IF(AA6553=0,(D6550*N6550+P6550*R6550)*U6550*Y6550,0)</f>
        <v>0</v>
      </c>
      <c r="AB6550" s="403"/>
    </row>
    <row r="6551" spans="1:28">
      <c r="A6551" s="384" t="str">
        <f t="shared" ref="A6551:B6551" si="21246">A6535</f>
        <v>Lantai Atap</v>
      </c>
      <c r="B6551" s="385">
        <f t="shared" si="21246"/>
        <v>12</v>
      </c>
      <c r="C6551" s="393" t="s">
        <v>210</v>
      </c>
      <c r="D6551" s="398">
        <f>VLOOKUP(D6535,'Detail Balok'!$C$10:$AU$140,25,FALSE)</f>
        <v>3</v>
      </c>
      <c r="E6551" s="388" t="s">
        <v>16</v>
      </c>
      <c r="F6551" s="388">
        <f>VLOOKUP(D6535,'Detail Balok'!$C$10:$AU$140,27,FALSE)</f>
        <v>13</v>
      </c>
      <c r="G6551" s="388"/>
      <c r="H6551" s="395"/>
      <c r="I6551" s="388" t="s">
        <v>203</v>
      </c>
      <c r="J6551" s="399">
        <f t="shared" si="21138"/>
        <v>3.0074999999999998</v>
      </c>
      <c r="K6551" s="400" t="s">
        <v>204</v>
      </c>
      <c r="L6551" s="399"/>
      <c r="M6551" s="399" t="s">
        <v>176</v>
      </c>
      <c r="N6551" s="399">
        <f t="shared" si="21240"/>
        <v>3.0074999999999998</v>
      </c>
      <c r="O6551" s="399" t="s">
        <v>204</v>
      </c>
      <c r="P6551" s="389">
        <f t="shared" ref="P6551" si="21247">MAX(D6551-D6550,D6551-D6552)</f>
        <v>0</v>
      </c>
      <c r="Q6551" s="399" t="s">
        <v>125</v>
      </c>
      <c r="R6551" s="399">
        <f t="shared" ref="R6551" si="21248">IF(P6551&gt;0,2*(1-2*$F$19-1/2)*D6538/1000,0)</f>
        <v>0</v>
      </c>
      <c r="S6551" s="399" t="s">
        <v>205</v>
      </c>
      <c r="T6551" s="399" t="s">
        <v>125</v>
      </c>
      <c r="U6551" s="401">
        <f t="shared" si="21243"/>
        <v>1.041885</v>
      </c>
      <c r="V6551" s="399"/>
      <c r="W6551" s="399"/>
      <c r="X6551" s="399" t="s">
        <v>125</v>
      </c>
      <c r="Y6551" s="389">
        <f t="shared" ref="Y6551" si="21249">D6541</f>
        <v>1</v>
      </c>
      <c r="Z6551" s="400" t="s">
        <v>176</v>
      </c>
      <c r="AA6551" s="402">
        <f t="shared" ref="AA6551" si="21250">IF(AA6553=0,(D6551*N6551+P6551*R6551)*U6551*Y6551,0)</f>
        <v>0</v>
      </c>
      <c r="AB6551" s="403"/>
    </row>
    <row r="6552" spans="1:28">
      <c r="A6552" s="384" t="str">
        <f t="shared" ref="A6552:B6552" si="21251">A6535</f>
        <v>Lantai Atap</v>
      </c>
      <c r="B6552" s="385">
        <f t="shared" si="21251"/>
        <v>12</v>
      </c>
      <c r="C6552" s="393" t="s">
        <v>209</v>
      </c>
      <c r="D6552" s="398">
        <f>VLOOKUP(D6535,'Detail Balok'!$C$10:$AU$140,28,FALSE)</f>
        <v>3</v>
      </c>
      <c r="E6552" s="388" t="s">
        <v>16</v>
      </c>
      <c r="F6552" s="388">
        <f>VLOOKUP(D6535,'Detail Balok'!$C$10:$AU$140,30,FALSE)</f>
        <v>13</v>
      </c>
      <c r="G6552" s="388"/>
      <c r="H6552" s="395"/>
      <c r="I6552" s="388" t="s">
        <v>203</v>
      </c>
      <c r="J6552" s="399">
        <f t="shared" si="21138"/>
        <v>1.5037499999999999</v>
      </c>
      <c r="K6552" s="400" t="s">
        <v>204</v>
      </c>
      <c r="L6552" s="399">
        <f t="shared" ref="L6552" si="21252">MAX(VLOOKUP(F6552,N$6:P$15,3,FALSE)/1000,2/3*D6540/1000)+F$16*F6552/1000</f>
        <v>0.156</v>
      </c>
      <c r="M6552" s="399" t="s">
        <v>176</v>
      </c>
      <c r="N6552" s="399">
        <f t="shared" si="21240"/>
        <v>1.6597499999999998</v>
      </c>
      <c r="O6552" s="399" t="s">
        <v>204</v>
      </c>
      <c r="P6552" s="389">
        <f t="shared" ref="P6552" si="21253">D6552-D6551</f>
        <v>0</v>
      </c>
      <c r="Q6552" s="399" t="s">
        <v>125</v>
      </c>
      <c r="R6552" s="399">
        <f t="shared" ref="R6552" si="21254">IF(P6552&gt;0,$F$18*F6552/1000,0)</f>
        <v>0</v>
      </c>
      <c r="S6552" s="399" t="s">
        <v>205</v>
      </c>
      <c r="T6552" s="399" t="s">
        <v>125</v>
      </c>
      <c r="U6552" s="401">
        <f t="shared" si="21243"/>
        <v>1.041885</v>
      </c>
      <c r="V6552" s="399"/>
      <c r="W6552" s="399"/>
      <c r="X6552" s="399" t="s">
        <v>125</v>
      </c>
      <c r="Y6552" s="389">
        <f t="shared" ref="Y6552" si="21255">D6541</f>
        <v>1</v>
      </c>
      <c r="Z6552" s="400" t="s">
        <v>176</v>
      </c>
      <c r="AA6552" s="402">
        <f t="shared" ref="AA6552" si="21256">IF(AA6553=0,(D6552*N6552+P6552*R6552)*U6552*Y6552,0)</f>
        <v>0</v>
      </c>
      <c r="AB6552" s="403"/>
    </row>
    <row r="6553" spans="1:28">
      <c r="A6553" s="384" t="str">
        <f t="shared" ref="A6553:B6553" si="21257">A6535</f>
        <v>Lantai Atap</v>
      </c>
      <c r="B6553" s="385">
        <f t="shared" si="21257"/>
        <v>12</v>
      </c>
      <c r="C6553" s="393"/>
      <c r="D6553" s="398">
        <f t="shared" si="21158"/>
        <v>3</v>
      </c>
      <c r="E6553" s="388" t="s">
        <v>16</v>
      </c>
      <c r="F6553" s="388">
        <f t="shared" si="21159"/>
        <v>13</v>
      </c>
      <c r="G6553" s="388"/>
      <c r="H6553" s="395"/>
      <c r="I6553" s="388"/>
      <c r="J6553" s="396"/>
      <c r="K6553" s="396"/>
      <c r="L6553" s="404" t="s">
        <v>207</v>
      </c>
      <c r="M6553" s="399" t="s">
        <v>176</v>
      </c>
      <c r="N6553" s="399">
        <f t="shared" ref="N6553" si="21258">IF(AND(D6550=D6551,D6550=D6552,D6551=D6552,F6550=F6551,F6550=F6552,F6551=F6552),SUM(N6550:N6552),0)</f>
        <v>6.3269999999999991</v>
      </c>
      <c r="O6553" s="399" t="s">
        <v>204</v>
      </c>
      <c r="P6553" s="389">
        <f t="shared" ref="P6553" si="21259">IF(N6553&gt;12,ROUNDDOWN(N6553/12,0),0)</f>
        <v>0</v>
      </c>
      <c r="Q6553" s="399" t="s">
        <v>125</v>
      </c>
      <c r="R6553" s="399">
        <f t="shared" ref="R6553" si="21260">IF(P6553&gt;0,MAX(VLOOKUP(F6553,$D$6:$G$15,3,FALSE),600),0)/1000</f>
        <v>0</v>
      </c>
      <c r="S6553" s="396"/>
      <c r="T6553" s="396" t="s">
        <v>125</v>
      </c>
      <c r="U6553" s="401">
        <f t="shared" si="21163"/>
        <v>1.041885</v>
      </c>
      <c r="V6553" s="396" t="s">
        <v>125</v>
      </c>
      <c r="W6553" s="399">
        <f t="shared" ref="W6553" si="21261">D6553</f>
        <v>3</v>
      </c>
      <c r="X6553" s="399" t="s">
        <v>125</v>
      </c>
      <c r="Y6553" s="389">
        <f t="shared" si="21165"/>
        <v>1</v>
      </c>
      <c r="Z6553" s="400" t="s">
        <v>176</v>
      </c>
      <c r="AA6553" s="402">
        <f t="shared" ref="AA6553" si="21262">(N6553+P6553*R6553/1000)*U6553*W6553*Y6553</f>
        <v>19.776019184999996</v>
      </c>
      <c r="AB6553" s="403"/>
    </row>
    <row r="6554" spans="1:28">
      <c r="A6554" s="384"/>
      <c r="B6554" s="385"/>
      <c r="C6554" s="393"/>
      <c r="D6554" s="394"/>
      <c r="E6554" s="388"/>
      <c r="F6554" s="388"/>
      <c r="G6554" s="388"/>
      <c r="H6554" s="395"/>
      <c r="I6554" s="388"/>
      <c r="J6554" s="399"/>
      <c r="K6554" s="396"/>
      <c r="L6554" s="396"/>
      <c r="M6554" s="396"/>
      <c r="N6554" s="396"/>
      <c r="O6554" s="396"/>
      <c r="P6554" s="389"/>
      <c r="Q6554" s="396"/>
      <c r="R6554" s="396"/>
      <c r="S6554" s="396"/>
      <c r="T6554" s="396"/>
      <c r="U6554" s="401"/>
      <c r="V6554" s="396"/>
      <c r="W6554" s="388"/>
      <c r="X6554" s="396"/>
      <c r="Y6554" s="389"/>
      <c r="Z6554" s="396"/>
      <c r="AA6554" s="388"/>
      <c r="AB6554" s="390"/>
    </row>
    <row r="6555" spans="1:28">
      <c r="A6555" s="384" t="str">
        <f t="shared" ref="A6555:B6555" si="21263">A6535</f>
        <v>Lantai Atap</v>
      </c>
      <c r="B6555" s="385">
        <f t="shared" si="21263"/>
        <v>12</v>
      </c>
      <c r="C6555" s="393" t="s">
        <v>211</v>
      </c>
      <c r="D6555" s="398">
        <f>VLOOKUP(D6535,'Detail Balok'!$C$10:$AU$140,31,FALSE)</f>
        <v>0</v>
      </c>
      <c r="E6555" s="388" t="s">
        <v>16</v>
      </c>
      <c r="F6555" s="388">
        <f>VLOOKUP(D6535,'Detail Balok'!$C$10:$AU$140,33,FALSE)</f>
        <v>10</v>
      </c>
      <c r="G6555" s="405" t="s">
        <v>157</v>
      </c>
      <c r="H6555" s="395">
        <f>VLOOKUP(D6535,'Detail Balok'!$C$10:$AU$140,35,FALSE)</f>
        <v>100</v>
      </c>
      <c r="I6555" s="388"/>
      <c r="J6555" s="400">
        <f t="shared" ref="J6555" si="21264">(IF(D6555=0,(2*(D6536+G6536))-(F$5*8),IF(D6555=3,(2*(D6536+G6536))-(F$5*8)+(G6536-2*F$5),IF(D6555=4,(2*(D6536+G6536))-(F$5*8)+2*(G6536-2*F$5)))))/1000</f>
        <v>1.08</v>
      </c>
      <c r="K6555" s="400" t="s">
        <v>204</v>
      </c>
      <c r="L6555" s="399">
        <f t="shared" ref="L6555:L6557" si="21265">IF(D6555=0,2*MAX(6*F6555,75),(D6555-1)*2*MAX(6*F6555,75))/1000</f>
        <v>0.15</v>
      </c>
      <c r="M6555" s="399" t="s">
        <v>176</v>
      </c>
      <c r="N6555" s="399">
        <f t="shared" ref="N6555:N6557" si="21266">J6555+L6555</f>
        <v>1.23</v>
      </c>
      <c r="O6555" s="399"/>
      <c r="P6555" s="389"/>
      <c r="Q6555" s="399"/>
      <c r="R6555" s="399"/>
      <c r="S6555" s="399"/>
      <c r="T6555" s="399" t="s">
        <v>125</v>
      </c>
      <c r="U6555" s="401">
        <f t="shared" ref="U6555:U6557" si="21267">0.006165*F6555^2</f>
        <v>0.61650000000000005</v>
      </c>
      <c r="V6555" s="399" t="s">
        <v>125</v>
      </c>
      <c r="W6555" s="399">
        <f t="shared" ref="W6555" si="21268">IF(D6538&gt;4*G6536,ROUND(MAX(D6538/4,2*G6536)/H6555,0)+1,ROUND(D6538/H6555,0)+1)</f>
        <v>16</v>
      </c>
      <c r="X6555" s="399" t="s">
        <v>125</v>
      </c>
      <c r="Y6555" s="389">
        <f t="shared" ref="Y6555" si="21269">D6541</f>
        <v>1</v>
      </c>
      <c r="Z6555" s="400" t="s">
        <v>176</v>
      </c>
      <c r="AA6555" s="402">
        <f t="shared" ref="AA6555:AA6557" si="21270">N6555*U6555*W6555*Y6555</f>
        <v>12.132720000000001</v>
      </c>
      <c r="AB6555" s="403"/>
    </row>
    <row r="6556" spans="1:28">
      <c r="A6556" s="384" t="str">
        <f t="shared" ref="A6556:B6556" si="21271">A6535</f>
        <v>Lantai Atap</v>
      </c>
      <c r="B6556" s="385">
        <f t="shared" si="21271"/>
        <v>12</v>
      </c>
      <c r="C6556" s="393" t="s">
        <v>212</v>
      </c>
      <c r="D6556" s="398">
        <f>VLOOKUP(D6535,'Detail Balok'!$C$10:$AU$140,36,FALSE)</f>
        <v>0</v>
      </c>
      <c r="E6556" s="388" t="s">
        <v>16</v>
      </c>
      <c r="F6556" s="388">
        <f>VLOOKUP(D6535,'Detail Balok'!$C$10:$AU$140,38,FALSE)</f>
        <v>10</v>
      </c>
      <c r="G6556" s="405" t="s">
        <v>157</v>
      </c>
      <c r="H6556" s="395">
        <f>VLOOKUP(D6535,'Detail Balok'!$C$10:$AU$140,40,FALSE)</f>
        <v>200</v>
      </c>
      <c r="I6556" s="388"/>
      <c r="J6556" s="400">
        <f t="shared" ref="J6556" si="21272">(IF(D6556=0,(2*(D6536+G6536))-(F$5*8),IF(D6556=3,(2*(D6536+G6536))-(F$5*8)+(G6536-2*F$5),IF(D6556=4,(2*(D6536+G6536))-(F$5*8)+2*(G6536-2*F$5)))))/1000</f>
        <v>1.08</v>
      </c>
      <c r="K6556" s="400" t="s">
        <v>204</v>
      </c>
      <c r="L6556" s="399">
        <f t="shared" si="21265"/>
        <v>0.15</v>
      </c>
      <c r="M6556" s="399" t="s">
        <v>176</v>
      </c>
      <c r="N6556" s="399">
        <f t="shared" si="21266"/>
        <v>1.23</v>
      </c>
      <c r="O6556" s="399"/>
      <c r="P6556" s="389"/>
      <c r="Q6556" s="399"/>
      <c r="R6556" s="399"/>
      <c r="S6556" s="399"/>
      <c r="T6556" s="399" t="s">
        <v>125</v>
      </c>
      <c r="U6556" s="401">
        <f t="shared" si="21267"/>
        <v>0.61650000000000005</v>
      </c>
      <c r="V6556" s="399" t="s">
        <v>125</v>
      </c>
      <c r="W6556" s="399">
        <f t="shared" ref="W6556" si="21273">IF(D6538-MAX(D6538/4,2*G6536)*2&gt;0,ROUND((D6538-MAX(D6538/4,2*G6536)*2)/H6556,0),0)</f>
        <v>15</v>
      </c>
      <c r="X6556" s="399" t="s">
        <v>125</v>
      </c>
      <c r="Y6556" s="389">
        <f t="shared" ref="Y6556" si="21274">D6541</f>
        <v>1</v>
      </c>
      <c r="Z6556" s="400" t="s">
        <v>176</v>
      </c>
      <c r="AA6556" s="402">
        <f t="shared" si="21270"/>
        <v>11.374425</v>
      </c>
      <c r="AB6556" s="403"/>
    </row>
    <row r="6557" spans="1:28">
      <c r="A6557" s="384" t="str">
        <f t="shared" ref="A6557:B6557" si="21275">A6535</f>
        <v>Lantai Atap</v>
      </c>
      <c r="B6557" s="385">
        <f t="shared" si="21275"/>
        <v>12</v>
      </c>
      <c r="C6557" s="393" t="s">
        <v>211</v>
      </c>
      <c r="D6557" s="398">
        <f>VLOOKUP(D6535,'Detail Balok'!$C$10:$AU$140,41,FALSE)</f>
        <v>0</v>
      </c>
      <c r="E6557" s="388" t="s">
        <v>16</v>
      </c>
      <c r="F6557" s="388">
        <f>VLOOKUP(D6535,'Detail Balok'!$C$10:$AU$140,43,FALSE)</f>
        <v>10</v>
      </c>
      <c r="G6557" s="405" t="s">
        <v>157</v>
      </c>
      <c r="H6557" s="395">
        <f>VLOOKUP(D6535,'Detail Balok'!$C$10:$AU$140,45,FALSE)</f>
        <v>100</v>
      </c>
      <c r="I6557" s="388"/>
      <c r="J6557" s="400">
        <f t="shared" ref="J6557" si="21276">(IF(D6557=0,(2*(D6536+G6536))-(F$5*8),IF(D6557=3,(2*(D6536+G6536))-(F$5*8)+(G6536-2*F$5),IF(D6557=4,(2*(D6536+G6536))-(F$5*8)+2*(G6536-2*F$5)))))/1000</f>
        <v>1.08</v>
      </c>
      <c r="K6557" s="400" t="s">
        <v>204</v>
      </c>
      <c r="L6557" s="399">
        <f t="shared" si="21265"/>
        <v>0.15</v>
      </c>
      <c r="M6557" s="399" t="s">
        <v>176</v>
      </c>
      <c r="N6557" s="399">
        <f t="shared" si="21266"/>
        <v>1.23</v>
      </c>
      <c r="O6557" s="399"/>
      <c r="P6557" s="389"/>
      <c r="Q6557" s="399"/>
      <c r="R6557" s="399"/>
      <c r="S6557" s="399"/>
      <c r="T6557" s="399" t="s">
        <v>125</v>
      </c>
      <c r="U6557" s="401">
        <f t="shared" si="21267"/>
        <v>0.61650000000000005</v>
      </c>
      <c r="V6557" s="399" t="s">
        <v>125</v>
      </c>
      <c r="W6557" s="399">
        <f t="shared" ref="W6557" si="21277">IF(D6538&gt;4*G6536,ROUND(MAX(D6538/4,2*G6536)/H6557,0)+1,0)</f>
        <v>16</v>
      </c>
      <c r="X6557" s="399" t="s">
        <v>125</v>
      </c>
      <c r="Y6557" s="389">
        <f t="shared" ref="Y6557" si="21278">D6541</f>
        <v>1</v>
      </c>
      <c r="Z6557" s="400" t="s">
        <v>176</v>
      </c>
      <c r="AA6557" s="402">
        <f t="shared" si="21270"/>
        <v>12.132720000000001</v>
      </c>
      <c r="AB6557" s="403"/>
    </row>
    <row r="6558" spans="1:28">
      <c r="A6558" s="384"/>
      <c r="B6558" s="385"/>
      <c r="C6558" s="393"/>
      <c r="D6558" s="394"/>
      <c r="E6558" s="388"/>
      <c r="F6558" s="388"/>
      <c r="G6558" s="388"/>
      <c r="H6558" s="395"/>
      <c r="I6558" s="388"/>
      <c r="J6558" s="399"/>
      <c r="K6558" s="396"/>
      <c r="L6558" s="396"/>
      <c r="M6558" s="396"/>
      <c r="N6558" s="396"/>
      <c r="O6558" s="396"/>
      <c r="P6558" s="389"/>
      <c r="Q6558" s="396"/>
      <c r="R6558" s="396"/>
      <c r="S6558" s="396"/>
      <c r="T6558" s="396"/>
      <c r="U6558" s="401"/>
      <c r="V6558" s="396"/>
      <c r="W6558" s="388"/>
      <c r="X6558" s="396"/>
      <c r="Y6558" s="389"/>
      <c r="Z6558" s="396"/>
      <c r="AA6558" s="388"/>
      <c r="AB6558" s="390"/>
    </row>
    <row r="6559" spans="1:28">
      <c r="A6559" s="384" t="str">
        <f t="shared" ref="A6559:B6559" si="21279">A6535</f>
        <v>Lantai Atap</v>
      </c>
      <c r="B6559" s="385">
        <f t="shared" si="21279"/>
        <v>12</v>
      </c>
      <c r="C6559" s="393" t="s">
        <v>213</v>
      </c>
      <c r="D6559" s="398">
        <f>VLOOKUP(D6535,'Detail Balok'!$C$10:$BJ$140,46,FALSE)</f>
        <v>0</v>
      </c>
      <c r="E6559" s="388" t="s">
        <v>16</v>
      </c>
      <c r="F6559" s="388">
        <f>VLOOKUP(D6535,'Detail Balok'!$C$10:$BJ$140,48,FALSE)</f>
        <v>0</v>
      </c>
      <c r="G6559" s="405" t="s">
        <v>157</v>
      </c>
      <c r="H6559" s="395">
        <f>VLOOKUP(D6535,'Detail Balok'!$C$10:$BJ$140,50,FALSE)</f>
        <v>100</v>
      </c>
      <c r="I6559" s="388"/>
      <c r="J6559" s="399">
        <f t="shared" ref="J6559" si="21280">(D6536-2*F$5)/1000</f>
        <v>0.17</v>
      </c>
      <c r="K6559" s="400" t="s">
        <v>204</v>
      </c>
      <c r="L6559" s="399">
        <f t="shared" ref="L6559:L6561" si="21281">IF(D6559=0,2*MAX(6*F6559,75),(D6559-1)*2*MAX(6*F6559,75))/1000</f>
        <v>0.15</v>
      </c>
      <c r="M6559" s="399" t="s">
        <v>176</v>
      </c>
      <c r="N6559" s="399">
        <f t="shared" ref="N6559:N6561" si="21282">J6559+L6559</f>
        <v>0.32</v>
      </c>
      <c r="O6559" s="399"/>
      <c r="P6559" s="399"/>
      <c r="Q6559" s="399"/>
      <c r="R6559" s="399"/>
      <c r="S6559" s="399"/>
      <c r="T6559" s="399" t="s">
        <v>125</v>
      </c>
      <c r="U6559" s="401">
        <f t="shared" ref="U6559:U6561" si="21283">0.006165*F6559^2</f>
        <v>0</v>
      </c>
      <c r="V6559" s="399" t="s">
        <v>125</v>
      </c>
      <c r="W6559" s="399">
        <f t="shared" si="21188"/>
        <v>16</v>
      </c>
      <c r="X6559" s="399" t="s">
        <v>125</v>
      </c>
      <c r="Y6559" s="389">
        <f t="shared" ref="Y6559" si="21284">D6545</f>
        <v>3</v>
      </c>
      <c r="Z6559" s="400" t="s">
        <v>176</v>
      </c>
      <c r="AA6559" s="402">
        <f t="shared" ref="AA6559:AA6561" si="21285">N6559*U6559*W6559*Y6559</f>
        <v>0</v>
      </c>
      <c r="AB6559" s="403"/>
    </row>
    <row r="6560" spans="1:28">
      <c r="A6560" s="384" t="str">
        <f t="shared" ref="A6560:B6560" si="21286">A6535</f>
        <v>Lantai Atap</v>
      </c>
      <c r="B6560" s="385">
        <f t="shared" si="21286"/>
        <v>12</v>
      </c>
      <c r="C6560" s="393" t="s">
        <v>214</v>
      </c>
      <c r="D6560" s="398">
        <f>VLOOKUP(D6535,'Detail Balok'!$C$10:$BJ$140,51,FALSE)</f>
        <v>0</v>
      </c>
      <c r="E6560" s="388" t="s">
        <v>16</v>
      </c>
      <c r="F6560" s="388">
        <f>VLOOKUP(D6535,'Detail Balok'!$C$10:$BJ$140,53,FALSE)</f>
        <v>0</v>
      </c>
      <c r="G6560" s="405" t="s">
        <v>157</v>
      </c>
      <c r="H6560" s="395">
        <f>VLOOKUP(D6535,'Detail Balok'!$C$10:$BJ$140,55,FALSE)</f>
        <v>100</v>
      </c>
      <c r="I6560" s="388"/>
      <c r="J6560" s="399">
        <f t="shared" ref="J6560" si="21287">(D6536-2*F$5)/1000</f>
        <v>0.17</v>
      </c>
      <c r="K6560" s="400" t="s">
        <v>204</v>
      </c>
      <c r="L6560" s="399">
        <f t="shared" si="21281"/>
        <v>0.15</v>
      </c>
      <c r="M6560" s="399" t="s">
        <v>176</v>
      </c>
      <c r="N6560" s="399">
        <f t="shared" si="21282"/>
        <v>0.32</v>
      </c>
      <c r="O6560" s="399"/>
      <c r="P6560" s="399"/>
      <c r="Q6560" s="399"/>
      <c r="R6560" s="399"/>
      <c r="S6560" s="399"/>
      <c r="T6560" s="399" t="s">
        <v>125</v>
      </c>
      <c r="U6560" s="401">
        <f t="shared" si="21283"/>
        <v>0</v>
      </c>
      <c r="V6560" s="399" t="s">
        <v>125</v>
      </c>
      <c r="W6560" s="399">
        <f t="shared" si="21188"/>
        <v>15</v>
      </c>
      <c r="X6560" s="399" t="s">
        <v>125</v>
      </c>
      <c r="Y6560" s="389">
        <f t="shared" ref="Y6560" si="21288">D6545</f>
        <v>3</v>
      </c>
      <c r="Z6560" s="400" t="s">
        <v>176</v>
      </c>
      <c r="AA6560" s="402">
        <f t="shared" si="21285"/>
        <v>0</v>
      </c>
      <c r="AB6560" s="403"/>
    </row>
    <row r="6561" spans="1:28">
      <c r="A6561" s="384" t="str">
        <f t="shared" ref="A6561:B6561" si="21289">A6535</f>
        <v>Lantai Atap</v>
      </c>
      <c r="B6561" s="385">
        <f t="shared" si="21289"/>
        <v>12</v>
      </c>
      <c r="C6561" s="393" t="s">
        <v>213</v>
      </c>
      <c r="D6561" s="398">
        <f>VLOOKUP(D6535,'Detail Balok'!$C$10:$BJ$140,56,FALSE)</f>
        <v>0</v>
      </c>
      <c r="E6561" s="388" t="s">
        <v>16</v>
      </c>
      <c r="F6561" s="388">
        <f>VLOOKUP(D6535,'Detail Balok'!$C$10:$BJ$140,58,FALSE)</f>
        <v>0</v>
      </c>
      <c r="G6561" s="405" t="s">
        <v>157</v>
      </c>
      <c r="H6561" s="395">
        <f>VLOOKUP(D6535,'Detail Balok'!$C$10:$BJ$140,60,FALSE)</f>
        <v>100</v>
      </c>
      <c r="I6561" s="388"/>
      <c r="J6561" s="399">
        <f t="shared" ref="J6561" si="21290">(D6536-2*F$5)/1000</f>
        <v>0.17</v>
      </c>
      <c r="K6561" s="400" t="s">
        <v>204</v>
      </c>
      <c r="L6561" s="399">
        <f t="shared" si="21281"/>
        <v>0.15</v>
      </c>
      <c r="M6561" s="399" t="s">
        <v>176</v>
      </c>
      <c r="N6561" s="399">
        <f t="shared" si="21282"/>
        <v>0.32</v>
      </c>
      <c r="O6561" s="399"/>
      <c r="P6561" s="399"/>
      <c r="Q6561" s="399"/>
      <c r="R6561" s="399"/>
      <c r="S6561" s="399"/>
      <c r="T6561" s="399" t="s">
        <v>125</v>
      </c>
      <c r="U6561" s="401">
        <f t="shared" si="21283"/>
        <v>0</v>
      </c>
      <c r="V6561" s="399" t="s">
        <v>125</v>
      </c>
      <c r="W6561" s="399">
        <f t="shared" si="21188"/>
        <v>16</v>
      </c>
      <c r="X6561" s="399" t="s">
        <v>125</v>
      </c>
      <c r="Y6561" s="389">
        <f t="shared" ref="Y6561" si="21291">D6545</f>
        <v>3</v>
      </c>
      <c r="Z6561" s="400" t="s">
        <v>176</v>
      </c>
      <c r="AA6561" s="402">
        <f t="shared" si="21285"/>
        <v>0</v>
      </c>
      <c r="AB6561" s="403"/>
    </row>
    <row r="6562" spans="1:28">
      <c r="A6562" s="391"/>
      <c r="B6562" s="392"/>
      <c r="C6562" s="392"/>
      <c r="D6562" s="394"/>
      <c r="E6562" s="388"/>
      <c r="F6562" s="388"/>
      <c r="G6562" s="388"/>
      <c r="H6562" s="395"/>
      <c r="I6562" s="388"/>
      <c r="J6562" s="402"/>
      <c r="K6562" s="388"/>
      <c r="L6562" s="388"/>
      <c r="M6562" s="388"/>
      <c r="N6562" s="388"/>
      <c r="O6562" s="388"/>
      <c r="P6562" s="388"/>
      <c r="Q6562" s="388"/>
      <c r="R6562" s="388"/>
      <c r="S6562" s="388"/>
      <c r="T6562" s="388"/>
      <c r="U6562" s="388"/>
      <c r="V6562" s="388"/>
      <c r="W6562" s="388"/>
      <c r="X6562" s="388"/>
      <c r="Y6562" s="389"/>
      <c r="Z6562" s="388"/>
      <c r="AA6562" s="402"/>
      <c r="AB6562" s="403"/>
    </row>
    <row r="6563" spans="1:28" ht="15.75" thickBot="1">
      <c r="A6563" s="406"/>
      <c r="B6563" s="407"/>
      <c r="C6563" s="407"/>
      <c r="D6563" s="408"/>
      <c r="E6563" s="409"/>
      <c r="F6563" s="409"/>
      <c r="G6563" s="409"/>
      <c r="H6563" s="410"/>
      <c r="I6563" s="409"/>
      <c r="J6563" s="409"/>
      <c r="K6563" s="409"/>
      <c r="L6563" s="409"/>
      <c r="M6563" s="409"/>
      <c r="N6563" s="409"/>
      <c r="O6563" s="409"/>
      <c r="P6563" s="409"/>
      <c r="Q6563" s="409"/>
      <c r="R6563" s="409"/>
      <c r="S6563" s="409"/>
      <c r="T6563" s="409"/>
      <c r="U6563" s="409"/>
      <c r="V6563" s="409"/>
      <c r="W6563" s="409"/>
      <c r="X6563" s="409"/>
      <c r="Y6563" s="411"/>
      <c r="Z6563" s="409"/>
      <c r="AA6563" s="412"/>
      <c r="AB6563" s="413"/>
    </row>
    <row r="6564" spans="1:28">
      <c r="A6564" s="377"/>
      <c r="B6564" s="378"/>
      <c r="C6564" s="378"/>
      <c r="D6564" s="379"/>
      <c r="E6564" s="380"/>
      <c r="F6564" s="380"/>
      <c r="G6564" s="380"/>
      <c r="H6564" s="381"/>
      <c r="I6564" s="380"/>
      <c r="J6564" s="380"/>
      <c r="K6564" s="380"/>
      <c r="L6564" s="380"/>
      <c r="M6564" s="380"/>
      <c r="N6564" s="380"/>
      <c r="O6564" s="380"/>
      <c r="P6564" s="380"/>
      <c r="Q6564" s="380"/>
      <c r="R6564" s="380"/>
      <c r="S6564" s="380"/>
      <c r="T6564" s="380"/>
      <c r="U6564" s="380"/>
      <c r="V6564" s="380"/>
      <c r="W6564" s="380"/>
      <c r="X6564" s="380"/>
      <c r="Y6564" s="382"/>
      <c r="Z6564" s="380"/>
      <c r="AA6564" s="380"/>
      <c r="AB6564" s="383"/>
    </row>
    <row r="6565" spans="1:28">
      <c r="A6565" s="384" t="str">
        <f t="shared" si="21197"/>
        <v>Lantai Atap</v>
      </c>
      <c r="B6565" s="385">
        <f t="shared" si="21198"/>
        <v>13</v>
      </c>
      <c r="C6565" s="386" t="str">
        <f t="shared" ref="C6565" si="21292">CONCATENATE(A6565," no. ",B6565)</f>
        <v>Lantai Atap no. 13</v>
      </c>
      <c r="D6565" s="2562" t="str">
        <f>VLOOKUP(C6565,'Data Panjang Balok'!$C$9:$N$254,2,FALSE)</f>
        <v>B2A4A-1</v>
      </c>
      <c r="E6565" s="2576"/>
      <c r="F6565" s="2576"/>
      <c r="G6565" s="2576"/>
      <c r="H6565" s="2577"/>
      <c r="I6565" s="387"/>
      <c r="J6565" s="388"/>
      <c r="K6565" s="388"/>
      <c r="L6565" s="388"/>
      <c r="M6565" s="388"/>
      <c r="N6565" s="388"/>
      <c r="O6565" s="388"/>
      <c r="P6565" s="388"/>
      <c r="Q6565" s="388"/>
      <c r="R6565" s="388"/>
      <c r="S6565" s="388"/>
      <c r="T6565" s="388"/>
      <c r="U6565" s="388"/>
      <c r="V6565" s="388"/>
      <c r="W6565" s="388"/>
      <c r="X6565" s="388"/>
      <c r="Y6565" s="389"/>
      <c r="Z6565" s="388"/>
      <c r="AA6565" s="388"/>
      <c r="AB6565" s="390"/>
    </row>
    <row r="6566" spans="1:28">
      <c r="A6566" s="391"/>
      <c r="B6566" s="392"/>
      <c r="C6566" s="393" t="s">
        <v>118</v>
      </c>
      <c r="D6566" s="2578">
        <f>VLOOKUP(D6565,'Detail Balok'!$C$10:$AU$140,2,FALSE)</f>
        <v>250</v>
      </c>
      <c r="E6566" s="2579"/>
      <c r="F6566" s="388" t="s">
        <v>125</v>
      </c>
      <c r="G6566" s="2579">
        <f>VLOOKUP(D6565,'Detail Balok'!$C$10:$AU$140,3,FALSE)</f>
        <v>450</v>
      </c>
      <c r="H6566" s="2580"/>
      <c r="I6566" s="388"/>
      <c r="J6566" s="396"/>
      <c r="K6566" s="396"/>
      <c r="L6566" s="396"/>
      <c r="M6566" s="396"/>
      <c r="N6566" s="396"/>
      <c r="O6566" s="396"/>
      <c r="P6566" s="396"/>
      <c r="Q6566" s="396"/>
      <c r="R6566" s="396"/>
      <c r="S6566" s="396"/>
      <c r="T6566" s="396"/>
      <c r="U6566" s="388"/>
      <c r="V6566" s="396"/>
      <c r="W6566" s="388"/>
      <c r="X6566" s="396"/>
      <c r="Y6566" s="389"/>
      <c r="Z6566" s="396"/>
      <c r="AA6566" s="388"/>
      <c r="AB6566" s="390"/>
    </row>
    <row r="6567" spans="1:28">
      <c r="A6567" s="391"/>
      <c r="B6567" s="392"/>
      <c r="C6567" s="393" t="s">
        <v>198</v>
      </c>
      <c r="D6567" s="2562">
        <f>VLOOKUP(C6565,'Data Panjang Balok'!$C$9:$N$254,4,FALSE)</f>
        <v>9685</v>
      </c>
      <c r="E6567" s="2563"/>
      <c r="F6567" s="2563"/>
      <c r="G6567" s="2563"/>
      <c r="H6567" s="2564"/>
      <c r="I6567" s="397"/>
      <c r="J6567" s="396"/>
      <c r="K6567" s="396"/>
      <c r="L6567" s="396"/>
      <c r="M6567" s="396"/>
      <c r="N6567" s="396"/>
      <c r="O6567" s="396"/>
      <c r="P6567" s="396"/>
      <c r="Q6567" s="396"/>
      <c r="R6567" s="396"/>
      <c r="S6567" s="396"/>
      <c r="T6567" s="396"/>
      <c r="U6567" s="388"/>
      <c r="V6567" s="396"/>
      <c r="W6567" s="388"/>
      <c r="X6567" s="396"/>
      <c r="Y6567" s="389"/>
      <c r="Z6567" s="396"/>
      <c r="AA6567" s="388"/>
      <c r="AB6567" s="390"/>
    </row>
    <row r="6568" spans="1:28">
      <c r="A6568" s="391"/>
      <c r="B6568" s="392"/>
      <c r="C6568" s="393" t="s">
        <v>199</v>
      </c>
      <c r="D6568" s="2562">
        <f>VLOOKUP(C6565,'Data Panjang Balok'!$C$9:$N$254,7,FALSE)</f>
        <v>9685</v>
      </c>
      <c r="E6568" s="2563"/>
      <c r="F6568" s="2563"/>
      <c r="G6568" s="2563"/>
      <c r="H6568" s="2564"/>
      <c r="I6568" s="397"/>
      <c r="J6568" s="396"/>
      <c r="K6568" s="396"/>
      <c r="L6568" s="396"/>
      <c r="M6568" s="396"/>
      <c r="N6568" s="396"/>
      <c r="O6568" s="396"/>
      <c r="P6568" s="396"/>
      <c r="Q6568" s="396"/>
      <c r="R6568" s="396"/>
      <c r="S6568" s="396"/>
      <c r="T6568" s="396"/>
      <c r="U6568" s="388"/>
      <c r="V6568" s="396"/>
      <c r="W6568" s="388"/>
      <c r="X6568" s="396"/>
      <c r="Y6568" s="389"/>
      <c r="Z6568" s="396"/>
      <c r="AA6568" s="388"/>
      <c r="AB6568" s="390"/>
    </row>
    <row r="6569" spans="1:28">
      <c r="A6569" s="391"/>
      <c r="B6569" s="392"/>
      <c r="C6569" s="393" t="s">
        <v>200</v>
      </c>
      <c r="D6569" s="2562">
        <f>VLOOKUP(C6565,'Data Panjang Balok'!$C$9:$N$254,9,FALSE)</f>
        <v>0</v>
      </c>
      <c r="E6569" s="2563"/>
      <c r="F6569" s="2563"/>
      <c r="G6569" s="2563"/>
      <c r="H6569" s="2564"/>
      <c r="I6569" s="397"/>
      <c r="J6569" s="396"/>
      <c r="K6569" s="396"/>
      <c r="L6569" s="396"/>
      <c r="M6569" s="396"/>
      <c r="N6569" s="396"/>
      <c r="O6569" s="396"/>
      <c r="P6569" s="396"/>
      <c r="Q6569" s="396"/>
      <c r="R6569" s="396"/>
      <c r="S6569" s="396"/>
      <c r="T6569" s="396"/>
      <c r="U6569" s="388"/>
      <c r="V6569" s="396"/>
      <c r="W6569" s="388"/>
      <c r="X6569" s="396"/>
      <c r="Y6569" s="389"/>
      <c r="Z6569" s="396"/>
      <c r="AA6569" s="388"/>
      <c r="AB6569" s="390"/>
    </row>
    <row r="6570" spans="1:28">
      <c r="A6570" s="391"/>
      <c r="B6570" s="392"/>
      <c r="C6570" s="393" t="s">
        <v>201</v>
      </c>
      <c r="D6570" s="2562">
        <f>VLOOKUP(C6565,'Data Panjang Balok'!$C$9:$N$254,10,FALSE)</f>
        <v>0</v>
      </c>
      <c r="E6570" s="2563"/>
      <c r="F6570" s="2563"/>
      <c r="G6570" s="2563"/>
      <c r="H6570" s="2564"/>
      <c r="I6570" s="397"/>
      <c r="J6570" s="396"/>
      <c r="K6570" s="396"/>
      <c r="L6570" s="396"/>
      <c r="M6570" s="396"/>
      <c r="N6570" s="396"/>
      <c r="O6570" s="396"/>
      <c r="P6570" s="396"/>
      <c r="Q6570" s="396"/>
      <c r="R6570" s="396"/>
      <c r="S6570" s="396"/>
      <c r="T6570" s="396"/>
      <c r="U6570" s="388"/>
      <c r="V6570" s="396"/>
      <c r="W6570" s="388"/>
      <c r="X6570" s="396"/>
      <c r="Y6570" s="389"/>
      <c r="Z6570" s="396"/>
      <c r="AA6570" s="388"/>
      <c r="AB6570" s="390"/>
    </row>
    <row r="6571" spans="1:28">
      <c r="A6571" s="391"/>
      <c r="B6571" s="392"/>
      <c r="C6571" s="393" t="s">
        <v>48</v>
      </c>
      <c r="D6571" s="2562">
        <f>VLOOKUP(C6565,'Data Panjang Balok'!$C$9:$N$254,3,FALSE)</f>
        <v>1</v>
      </c>
      <c r="E6571" s="2563"/>
      <c r="F6571" s="2563"/>
      <c r="G6571" s="2563"/>
      <c r="H6571" s="2564"/>
      <c r="I6571" s="397"/>
      <c r="J6571" s="396"/>
      <c r="K6571" s="396"/>
      <c r="L6571" s="396"/>
      <c r="M6571" s="396"/>
      <c r="N6571" s="396"/>
      <c r="O6571" s="396"/>
      <c r="P6571" s="396"/>
      <c r="Q6571" s="396"/>
      <c r="R6571" s="396"/>
      <c r="S6571" s="396"/>
      <c r="T6571" s="396"/>
      <c r="U6571" s="388"/>
      <c r="V6571" s="396"/>
      <c r="W6571" s="388"/>
      <c r="X6571" s="396"/>
      <c r="Y6571" s="389"/>
      <c r="Z6571" s="396"/>
      <c r="AA6571" s="388"/>
      <c r="AB6571" s="390"/>
    </row>
    <row r="6572" spans="1:28">
      <c r="A6572" s="384" t="str">
        <f t="shared" ref="A6572:B6572" si="21293">A6565</f>
        <v>Lantai Atap</v>
      </c>
      <c r="B6572" s="385">
        <f t="shared" si="21293"/>
        <v>13</v>
      </c>
      <c r="C6572" s="393" t="s">
        <v>202</v>
      </c>
      <c r="D6572" s="398">
        <f>VLOOKUP(D6565,'Detail Balok'!$C$10:$AU$140,4,FALSE)</f>
        <v>3</v>
      </c>
      <c r="E6572" s="388" t="s">
        <v>16</v>
      </c>
      <c r="F6572" s="388">
        <f>VLOOKUP(D6565,'Detail Balok'!$C$10:$AU$140,6,FALSE)</f>
        <v>13</v>
      </c>
      <c r="G6572" s="388"/>
      <c r="H6572" s="395"/>
      <c r="I6572" s="388" t="s">
        <v>203</v>
      </c>
      <c r="J6572" s="399">
        <f t="shared" ref="J6572" si="21294">+D6567/4/1000</f>
        <v>2.4212500000000001</v>
      </c>
      <c r="K6572" s="400" t="s">
        <v>204</v>
      </c>
      <c r="L6572" s="399">
        <f t="shared" ref="L6572" si="21295">MAX(VLOOKUP(F6572,N$6:P$15,3,FALSE)/1000,2/3*D6569/1000)+F$16*F6572/1000</f>
        <v>0.156</v>
      </c>
      <c r="M6572" s="399" t="s">
        <v>176</v>
      </c>
      <c r="N6572" s="399">
        <f t="shared" ref="N6572:N6574" si="21296">J6572+L6572</f>
        <v>2.5772500000000003</v>
      </c>
      <c r="O6572" s="399" t="s">
        <v>204</v>
      </c>
      <c r="P6572" s="389">
        <f t="shared" ref="P6572" si="21297">D6572-D6573</f>
        <v>0</v>
      </c>
      <c r="Q6572" s="399" t="s">
        <v>125</v>
      </c>
      <c r="R6572" s="399">
        <f t="shared" ref="R6572" si="21298">IF(P6572&gt;0,$F$18*F6572/1000,0)</f>
        <v>0</v>
      </c>
      <c r="S6572" s="399" t="s">
        <v>205</v>
      </c>
      <c r="T6572" s="399" t="s">
        <v>125</v>
      </c>
      <c r="U6572" s="401">
        <f t="shared" ref="U6572:U6574" si="21299">0.006165*F6572^2</f>
        <v>1.041885</v>
      </c>
      <c r="V6572" s="399"/>
      <c r="W6572" s="399"/>
      <c r="X6572" s="399" t="s">
        <v>125</v>
      </c>
      <c r="Y6572" s="389">
        <f t="shared" ref="Y6572" si="21300">D6571</f>
        <v>1</v>
      </c>
      <c r="Z6572" s="400" t="s">
        <v>176</v>
      </c>
      <c r="AA6572" s="402">
        <f t="shared" ref="AA6572" si="21301">IF(AA6575=0,(D6572*N6572+P6572*R6572)*U6572*Y6572,0)</f>
        <v>0</v>
      </c>
      <c r="AB6572" s="403"/>
    </row>
    <row r="6573" spans="1:28">
      <c r="A6573" s="384" t="str">
        <f t="shared" ref="A6573:B6573" si="21302">A6565</f>
        <v>Lantai Atap</v>
      </c>
      <c r="B6573" s="385">
        <f t="shared" si="21302"/>
        <v>13</v>
      </c>
      <c r="C6573" s="393" t="s">
        <v>206</v>
      </c>
      <c r="D6573" s="398">
        <f>VLOOKUP(D6565,'Detail Balok'!$C$10:$AU$140,7,FALSE)</f>
        <v>3</v>
      </c>
      <c r="E6573" s="388" t="s">
        <v>16</v>
      </c>
      <c r="F6573" s="388">
        <f>VLOOKUP(D6565,'Detail Balok'!$C$10:$AU$140,9,FALSE)</f>
        <v>13</v>
      </c>
      <c r="G6573" s="388"/>
      <c r="H6573" s="395"/>
      <c r="I6573" s="388" t="s">
        <v>203</v>
      </c>
      <c r="J6573" s="399">
        <f t="shared" ref="J6573" si="21303">+D6567/2/1000</f>
        <v>4.8425000000000002</v>
      </c>
      <c r="K6573" s="400" t="s">
        <v>204</v>
      </c>
      <c r="L6573" s="399"/>
      <c r="M6573" s="399" t="s">
        <v>176</v>
      </c>
      <c r="N6573" s="399">
        <f t="shared" si="21296"/>
        <v>4.8425000000000002</v>
      </c>
      <c r="O6573" s="399" t="s">
        <v>204</v>
      </c>
      <c r="P6573" s="389">
        <f t="shared" ref="P6573" si="21304">MAX(D6573-D6572,D6573-D6574)</f>
        <v>0</v>
      </c>
      <c r="Q6573" s="399" t="s">
        <v>125</v>
      </c>
      <c r="R6573" s="399">
        <f t="shared" ref="R6573" si="21305">IF(P6573&gt;0,2*(1-2*$F$19-1/2)*D6568/1000,0)</f>
        <v>0</v>
      </c>
      <c r="S6573" s="399" t="s">
        <v>205</v>
      </c>
      <c r="T6573" s="399" t="s">
        <v>125</v>
      </c>
      <c r="U6573" s="401">
        <f t="shared" si="21299"/>
        <v>1.041885</v>
      </c>
      <c r="V6573" s="399"/>
      <c r="W6573" s="399"/>
      <c r="X6573" s="399" t="s">
        <v>125</v>
      </c>
      <c r="Y6573" s="389">
        <f t="shared" ref="Y6573" si="21306">D6571</f>
        <v>1</v>
      </c>
      <c r="Z6573" s="400" t="s">
        <v>176</v>
      </c>
      <c r="AA6573" s="402">
        <f t="shared" ref="AA6573" si="21307">IF(AA6575=0,(D6573*N6573+P6573*R6573)*U6573*Y6573,0)</f>
        <v>0</v>
      </c>
      <c r="AB6573" s="403"/>
    </row>
    <row r="6574" spans="1:28">
      <c r="A6574" s="384" t="str">
        <f t="shared" ref="A6574:B6574" si="21308">A6565</f>
        <v>Lantai Atap</v>
      </c>
      <c r="B6574" s="385">
        <f t="shared" si="21308"/>
        <v>13</v>
      </c>
      <c r="C6574" s="393" t="s">
        <v>202</v>
      </c>
      <c r="D6574" s="398">
        <f>VLOOKUP(D6565,'Detail Balok'!$C$10:$AU$140,10,FALSE)</f>
        <v>3</v>
      </c>
      <c r="E6574" s="388" t="s">
        <v>16</v>
      </c>
      <c r="F6574" s="388">
        <f>VLOOKUP(D6565,'Detail Balok'!$C$10:$AU$140,12,FALSE)</f>
        <v>13</v>
      </c>
      <c r="G6574" s="388"/>
      <c r="H6574" s="395"/>
      <c r="I6574" s="388" t="s">
        <v>203</v>
      </c>
      <c r="J6574" s="399">
        <f t="shared" ref="J6574" si="21309">+D6567/4/1000</f>
        <v>2.4212500000000001</v>
      </c>
      <c r="K6574" s="400" t="s">
        <v>204</v>
      </c>
      <c r="L6574" s="399">
        <f t="shared" ref="L6574" si="21310">MAX(VLOOKUP(F6574,N$6:P$15,3,FALSE)/1000,2/3*D6569/1000)+F$16*F6574/1000</f>
        <v>0.156</v>
      </c>
      <c r="M6574" s="399" t="s">
        <v>176</v>
      </c>
      <c r="N6574" s="399">
        <f t="shared" si="21296"/>
        <v>2.5772500000000003</v>
      </c>
      <c r="O6574" s="399" t="s">
        <v>204</v>
      </c>
      <c r="P6574" s="389">
        <f t="shared" ref="P6574" si="21311">D6574-D6573</f>
        <v>0</v>
      </c>
      <c r="Q6574" s="399" t="s">
        <v>125</v>
      </c>
      <c r="R6574" s="399">
        <f t="shared" ref="R6574" si="21312">IF(P6574&gt;0,$F$18*F6574/1000,0)</f>
        <v>0</v>
      </c>
      <c r="S6574" s="399" t="s">
        <v>205</v>
      </c>
      <c r="T6574" s="399" t="s">
        <v>125</v>
      </c>
      <c r="U6574" s="401">
        <f t="shared" si="21299"/>
        <v>1.041885</v>
      </c>
      <c r="V6574" s="399"/>
      <c r="W6574" s="399"/>
      <c r="X6574" s="399" t="s">
        <v>125</v>
      </c>
      <c r="Y6574" s="389">
        <f t="shared" ref="Y6574" si="21313">D6571</f>
        <v>1</v>
      </c>
      <c r="Z6574" s="400" t="s">
        <v>176</v>
      </c>
      <c r="AA6574" s="402">
        <f t="shared" ref="AA6574" si="21314">IF(AA6575=0,(D6574*N6574+P6574*R6574)*U6574*Y6574,0)</f>
        <v>0</v>
      </c>
      <c r="AB6574" s="403"/>
    </row>
    <row r="6575" spans="1:28">
      <c r="A6575" s="384" t="str">
        <f t="shared" ref="A6575:B6575" si="21315">A6565</f>
        <v>Lantai Atap</v>
      </c>
      <c r="B6575" s="385">
        <f t="shared" si="21315"/>
        <v>13</v>
      </c>
      <c r="C6575" s="393"/>
      <c r="D6575" s="398">
        <f t="shared" si="21118"/>
        <v>3</v>
      </c>
      <c r="E6575" s="388" t="s">
        <v>16</v>
      </c>
      <c r="F6575" s="388">
        <f t="shared" si="21119"/>
        <v>13</v>
      </c>
      <c r="G6575" s="388"/>
      <c r="H6575" s="395"/>
      <c r="I6575" s="388"/>
      <c r="J6575" s="396"/>
      <c r="K6575" s="396"/>
      <c r="L6575" s="404" t="s">
        <v>207</v>
      </c>
      <c r="M6575" s="399" t="s">
        <v>176</v>
      </c>
      <c r="N6575" s="399">
        <f t="shared" ref="N6575" si="21316">IF(AND(D6572=D6573,D6572=D6574,D6573=D6574,F6572=F6573,F6572=F6574,F6573=F6574),SUM(N6572:N6574),0)</f>
        <v>9.9969999999999999</v>
      </c>
      <c r="O6575" s="399" t="s">
        <v>204</v>
      </c>
      <c r="P6575" s="389">
        <f t="shared" ref="P6575" si="21317">IF(N6575&gt;12,ROUNDDOWN(N6575/12,0),0)</f>
        <v>0</v>
      </c>
      <c r="Q6575" s="399" t="s">
        <v>125</v>
      </c>
      <c r="R6575" s="399">
        <f t="shared" ref="R6575" si="21318">IF(P6575&gt;0,MAX(VLOOKUP(F6575,$D$6:$G$15,3,FALSE),600),0)/1000</f>
        <v>0</v>
      </c>
      <c r="S6575" s="396"/>
      <c r="T6575" s="396" t="s">
        <v>125</v>
      </c>
      <c r="U6575" s="401">
        <f t="shared" si="21123"/>
        <v>1.041885</v>
      </c>
      <c r="V6575" s="396" t="s">
        <v>125</v>
      </c>
      <c r="W6575" s="399">
        <f t="shared" ref="W6575" si="21319">D6575</f>
        <v>3</v>
      </c>
      <c r="X6575" s="399" t="s">
        <v>125</v>
      </c>
      <c r="Y6575" s="389">
        <f t="shared" si="21125"/>
        <v>1</v>
      </c>
      <c r="Z6575" s="400" t="s">
        <v>176</v>
      </c>
      <c r="AA6575" s="402">
        <f t="shared" ref="AA6575" si="21320">(N6575+P6575*R6575/1000)*U6575*W6575*Y6575</f>
        <v>31.247173034999996</v>
      </c>
      <c r="AB6575" s="390"/>
    </row>
    <row r="6576" spans="1:28">
      <c r="A6576" s="384"/>
      <c r="B6576" s="385"/>
      <c r="C6576" s="393"/>
      <c r="D6576" s="398"/>
      <c r="E6576" s="388"/>
      <c r="F6576" s="388"/>
      <c r="G6576" s="388"/>
      <c r="H6576" s="395"/>
      <c r="I6576" s="388"/>
      <c r="J6576" s="396"/>
      <c r="K6576" s="396"/>
      <c r="L6576" s="404"/>
      <c r="M6576" s="399"/>
      <c r="N6576" s="399"/>
      <c r="O6576" s="396"/>
      <c r="P6576" s="389"/>
      <c r="Q6576" s="396"/>
      <c r="R6576" s="396"/>
      <c r="S6576" s="396"/>
      <c r="T6576" s="396"/>
      <c r="U6576" s="401"/>
      <c r="V6576" s="396"/>
      <c r="W6576" s="399"/>
      <c r="X6576" s="396"/>
      <c r="Y6576" s="389"/>
      <c r="Z6576" s="396"/>
      <c r="AA6576" s="388"/>
      <c r="AB6576" s="390"/>
    </row>
    <row r="6577" spans="1:28">
      <c r="A6577" s="384" t="str">
        <f t="shared" ref="A6577:B6577" si="21321">A6565</f>
        <v>Lantai Atap</v>
      </c>
      <c r="B6577" s="385">
        <f t="shared" si="21321"/>
        <v>13</v>
      </c>
      <c r="C6577" s="393" t="s">
        <v>208</v>
      </c>
      <c r="D6577" s="398">
        <f>VLOOKUP(D6565,'Detail Balok'!$C$10:$AU$140,13,FALSE)</f>
        <v>0</v>
      </c>
      <c r="E6577" s="388" t="s">
        <v>16</v>
      </c>
      <c r="F6577" s="388">
        <f>VLOOKUP(D6565,'Detail Balok'!$C$10:$AU$140,15,FALSE)</f>
        <v>8</v>
      </c>
      <c r="G6577" s="388"/>
      <c r="H6577" s="395"/>
      <c r="I6577" s="388"/>
      <c r="J6577" s="399">
        <f t="shared" ref="J6577" si="21322">+D6567/1000</f>
        <v>9.6850000000000005</v>
      </c>
      <c r="K6577" s="400" t="s">
        <v>204</v>
      </c>
      <c r="L6577" s="399">
        <f t="shared" ref="L6577" si="21323">2*$F$16*F6577/1000</f>
        <v>0.192</v>
      </c>
      <c r="M6577" s="399" t="s">
        <v>176</v>
      </c>
      <c r="N6577" s="399">
        <f t="shared" ref="N6577" si="21324">J6577+L6577</f>
        <v>9.8770000000000007</v>
      </c>
      <c r="O6577" s="399" t="s">
        <v>204</v>
      </c>
      <c r="P6577" s="389">
        <f t="shared" ref="P6577" si="21325">IF(N6577&gt;12,ROUNDDOWN(N6577/12,0),0)</f>
        <v>0</v>
      </c>
      <c r="Q6577" s="399" t="s">
        <v>125</v>
      </c>
      <c r="R6577" s="399">
        <f t="shared" ref="R6577" si="21326">IF(P6577&gt;0,MAX(VLOOKUP(F6577,$D$6:$G$15,3,FALSE),600),0)/1000</f>
        <v>0</v>
      </c>
      <c r="S6577" s="399"/>
      <c r="T6577" s="399" t="s">
        <v>125</v>
      </c>
      <c r="U6577" s="401">
        <f t="shared" ref="U6577" si="21327">0.006165*F6577^2</f>
        <v>0.39456000000000002</v>
      </c>
      <c r="V6577" s="399" t="s">
        <v>125</v>
      </c>
      <c r="W6577" s="399">
        <f t="shared" ref="W6577" si="21328">+D6577</f>
        <v>0</v>
      </c>
      <c r="X6577" s="399" t="s">
        <v>125</v>
      </c>
      <c r="Y6577" s="389">
        <f t="shared" ref="Y6577" si="21329">D6571</f>
        <v>1</v>
      </c>
      <c r="Z6577" s="400" t="s">
        <v>176</v>
      </c>
      <c r="AA6577" s="402">
        <f t="shared" ref="AA6577" si="21330">(N6577+P6577*R6577/1000)*U6577*W6577*Y6577</f>
        <v>0</v>
      </c>
      <c r="AB6577" s="403"/>
    </row>
    <row r="6578" spans="1:28">
      <c r="A6578" s="384"/>
      <c r="B6578" s="385"/>
      <c r="C6578" s="393"/>
      <c r="D6578" s="398"/>
      <c r="E6578" s="388"/>
      <c r="F6578" s="388"/>
      <c r="G6578" s="388"/>
      <c r="H6578" s="395"/>
      <c r="I6578" s="388"/>
      <c r="J6578" s="399"/>
      <c r="K6578" s="400"/>
      <c r="L6578" s="399"/>
      <c r="M6578" s="399"/>
      <c r="N6578" s="399"/>
      <c r="O6578" s="399"/>
      <c r="P6578" s="389"/>
      <c r="Q6578" s="399"/>
      <c r="R6578" s="399"/>
      <c r="S6578" s="399"/>
      <c r="T6578" s="399"/>
      <c r="U6578" s="401"/>
      <c r="V6578" s="399"/>
      <c r="W6578" s="399"/>
      <c r="X6578" s="399"/>
      <c r="Y6578" s="389"/>
      <c r="Z6578" s="400"/>
      <c r="AA6578" s="402"/>
      <c r="AB6578" s="403"/>
    </row>
    <row r="6579" spans="1:28">
      <c r="A6579" s="384"/>
      <c r="B6579" s="385"/>
      <c r="C6579" s="393"/>
      <c r="D6579" s="398"/>
      <c r="E6579" s="388"/>
      <c r="F6579" s="388"/>
      <c r="G6579" s="388"/>
      <c r="H6579" s="395"/>
      <c r="I6579" s="388"/>
      <c r="J6579" s="396"/>
      <c r="K6579" s="396"/>
      <c r="L6579" s="396"/>
      <c r="M6579" s="396"/>
      <c r="N6579" s="396"/>
      <c r="O6579" s="396"/>
      <c r="P6579" s="389"/>
      <c r="Q6579" s="396"/>
      <c r="R6579" s="396"/>
      <c r="S6579" s="396"/>
      <c r="T6579" s="396"/>
      <c r="U6579" s="401"/>
      <c r="V6579" s="396"/>
      <c r="W6579" s="399"/>
      <c r="X6579" s="396"/>
      <c r="Y6579" s="389"/>
      <c r="Z6579" s="396"/>
      <c r="AA6579" s="388"/>
      <c r="AB6579" s="390"/>
    </row>
    <row r="6580" spans="1:28">
      <c r="A6580" s="384" t="str">
        <f t="shared" ref="A6580:B6580" si="21331">A6565</f>
        <v>Lantai Atap</v>
      </c>
      <c r="B6580" s="385">
        <f t="shared" si="21331"/>
        <v>13</v>
      </c>
      <c r="C6580" s="393" t="s">
        <v>209</v>
      </c>
      <c r="D6580" s="398">
        <f>VLOOKUP(D6565,'Detail Balok'!$C$10:$AU$140,22,FALSE)</f>
        <v>3</v>
      </c>
      <c r="E6580" s="388" t="s">
        <v>16</v>
      </c>
      <c r="F6580" s="388">
        <f>VLOOKUP(D6565,'Detail Balok'!$C$10:$AU$140,24,FALSE)</f>
        <v>13</v>
      </c>
      <c r="G6580" s="388"/>
      <c r="H6580" s="395"/>
      <c r="I6580" s="388" t="s">
        <v>203</v>
      </c>
      <c r="J6580" s="399">
        <f t="shared" si="21138"/>
        <v>2.4212500000000001</v>
      </c>
      <c r="K6580" s="400" t="s">
        <v>204</v>
      </c>
      <c r="L6580" s="399">
        <f t="shared" ref="L6580" si="21332">MAX(VLOOKUP(F6580,N$6:P$15,3,FALSE)/1000,2/3*D6570/1000)+F$16*F6580/1000</f>
        <v>0.156</v>
      </c>
      <c r="M6580" s="399" t="s">
        <v>176</v>
      </c>
      <c r="N6580" s="399">
        <f t="shared" ref="N6580:N6582" si="21333">J6580+L6580</f>
        <v>2.5772500000000003</v>
      </c>
      <c r="O6580" s="399" t="s">
        <v>204</v>
      </c>
      <c r="P6580" s="389">
        <f t="shared" ref="P6580" si="21334">D6580-D6581</f>
        <v>0</v>
      </c>
      <c r="Q6580" s="399" t="s">
        <v>125</v>
      </c>
      <c r="R6580" s="399">
        <f t="shared" ref="R6580" si="21335">IF(P6580&gt;0,$F$18*F6580/1000,0)</f>
        <v>0</v>
      </c>
      <c r="S6580" s="399" t="s">
        <v>205</v>
      </c>
      <c r="T6580" s="399" t="s">
        <v>125</v>
      </c>
      <c r="U6580" s="401">
        <f t="shared" ref="U6580:U6582" si="21336">0.006165*F6580^2</f>
        <v>1.041885</v>
      </c>
      <c r="V6580" s="399"/>
      <c r="W6580" s="399"/>
      <c r="X6580" s="399" t="s">
        <v>125</v>
      </c>
      <c r="Y6580" s="389">
        <f t="shared" ref="Y6580" si="21337">D6571</f>
        <v>1</v>
      </c>
      <c r="Z6580" s="400" t="s">
        <v>176</v>
      </c>
      <c r="AA6580" s="402">
        <f t="shared" ref="AA6580" si="21338">IF(AA6583=0,(D6580*N6580+P6580*R6580)*U6580*Y6580,0)</f>
        <v>0</v>
      </c>
      <c r="AB6580" s="403"/>
    </row>
    <row r="6581" spans="1:28">
      <c r="A6581" s="384" t="str">
        <f t="shared" ref="A6581:B6581" si="21339">A6565</f>
        <v>Lantai Atap</v>
      </c>
      <c r="B6581" s="385">
        <f t="shared" si="21339"/>
        <v>13</v>
      </c>
      <c r="C6581" s="393" t="s">
        <v>210</v>
      </c>
      <c r="D6581" s="398">
        <f>VLOOKUP(D6565,'Detail Balok'!$C$10:$AU$140,25,FALSE)</f>
        <v>3</v>
      </c>
      <c r="E6581" s="388" t="s">
        <v>16</v>
      </c>
      <c r="F6581" s="388">
        <f>VLOOKUP(D6565,'Detail Balok'!$C$10:$AU$140,27,FALSE)</f>
        <v>13</v>
      </c>
      <c r="G6581" s="388"/>
      <c r="H6581" s="395"/>
      <c r="I6581" s="388" t="s">
        <v>203</v>
      </c>
      <c r="J6581" s="399">
        <f t="shared" si="21138"/>
        <v>4.8425000000000002</v>
      </c>
      <c r="K6581" s="400" t="s">
        <v>204</v>
      </c>
      <c r="L6581" s="399"/>
      <c r="M6581" s="399" t="s">
        <v>176</v>
      </c>
      <c r="N6581" s="399">
        <f t="shared" si="21333"/>
        <v>4.8425000000000002</v>
      </c>
      <c r="O6581" s="399" t="s">
        <v>204</v>
      </c>
      <c r="P6581" s="389">
        <f t="shared" ref="P6581" si="21340">MAX(D6581-D6580,D6581-D6582)</f>
        <v>0</v>
      </c>
      <c r="Q6581" s="399" t="s">
        <v>125</v>
      </c>
      <c r="R6581" s="399">
        <f t="shared" ref="R6581" si="21341">IF(P6581&gt;0,2*(1-2*$F$19-1/2)*D6568/1000,0)</f>
        <v>0</v>
      </c>
      <c r="S6581" s="399" t="s">
        <v>205</v>
      </c>
      <c r="T6581" s="399" t="s">
        <v>125</v>
      </c>
      <c r="U6581" s="401">
        <f t="shared" si="21336"/>
        <v>1.041885</v>
      </c>
      <c r="V6581" s="399"/>
      <c r="W6581" s="399"/>
      <c r="X6581" s="399" t="s">
        <v>125</v>
      </c>
      <c r="Y6581" s="389">
        <f t="shared" ref="Y6581" si="21342">D6571</f>
        <v>1</v>
      </c>
      <c r="Z6581" s="400" t="s">
        <v>176</v>
      </c>
      <c r="AA6581" s="402">
        <f t="shared" ref="AA6581" si="21343">IF(AA6583=0,(D6581*N6581+P6581*R6581)*U6581*Y6581,0)</f>
        <v>0</v>
      </c>
      <c r="AB6581" s="403"/>
    </row>
    <row r="6582" spans="1:28">
      <c r="A6582" s="384" t="str">
        <f t="shared" ref="A6582:B6582" si="21344">A6565</f>
        <v>Lantai Atap</v>
      </c>
      <c r="B6582" s="385">
        <f t="shared" si="21344"/>
        <v>13</v>
      </c>
      <c r="C6582" s="393" t="s">
        <v>209</v>
      </c>
      <c r="D6582" s="398">
        <f>VLOOKUP(D6565,'Detail Balok'!$C$10:$AU$140,28,FALSE)</f>
        <v>3</v>
      </c>
      <c r="E6582" s="388" t="s">
        <v>16</v>
      </c>
      <c r="F6582" s="388">
        <f>VLOOKUP(D6565,'Detail Balok'!$C$10:$AU$140,30,FALSE)</f>
        <v>13</v>
      </c>
      <c r="G6582" s="388"/>
      <c r="H6582" s="395"/>
      <c r="I6582" s="388" t="s">
        <v>203</v>
      </c>
      <c r="J6582" s="399">
        <f t="shared" si="21138"/>
        <v>2.4212500000000001</v>
      </c>
      <c r="K6582" s="400" t="s">
        <v>204</v>
      </c>
      <c r="L6582" s="399">
        <f t="shared" ref="L6582" si="21345">MAX(VLOOKUP(F6582,N$6:P$15,3,FALSE)/1000,2/3*D6570/1000)+F$16*F6582/1000</f>
        <v>0.156</v>
      </c>
      <c r="M6582" s="399" t="s">
        <v>176</v>
      </c>
      <c r="N6582" s="399">
        <f t="shared" si="21333"/>
        <v>2.5772500000000003</v>
      </c>
      <c r="O6582" s="399" t="s">
        <v>204</v>
      </c>
      <c r="P6582" s="389">
        <f t="shared" ref="P6582" si="21346">D6582-D6581</f>
        <v>0</v>
      </c>
      <c r="Q6582" s="399" t="s">
        <v>125</v>
      </c>
      <c r="R6582" s="399">
        <f t="shared" ref="R6582" si="21347">IF(P6582&gt;0,$F$18*F6582/1000,0)</f>
        <v>0</v>
      </c>
      <c r="S6582" s="399" t="s">
        <v>205</v>
      </c>
      <c r="T6582" s="399" t="s">
        <v>125</v>
      </c>
      <c r="U6582" s="401">
        <f t="shared" si="21336"/>
        <v>1.041885</v>
      </c>
      <c r="V6582" s="399"/>
      <c r="W6582" s="399"/>
      <c r="X6582" s="399" t="s">
        <v>125</v>
      </c>
      <c r="Y6582" s="389">
        <f t="shared" ref="Y6582" si="21348">D6571</f>
        <v>1</v>
      </c>
      <c r="Z6582" s="400" t="s">
        <v>176</v>
      </c>
      <c r="AA6582" s="402">
        <f t="shared" ref="AA6582" si="21349">IF(AA6583=0,(D6582*N6582+P6582*R6582)*U6582*Y6582,0)</f>
        <v>0</v>
      </c>
      <c r="AB6582" s="403"/>
    </row>
    <row r="6583" spans="1:28">
      <c r="A6583" s="384" t="str">
        <f t="shared" ref="A6583:B6583" si="21350">A6565</f>
        <v>Lantai Atap</v>
      </c>
      <c r="B6583" s="385">
        <f t="shared" si="21350"/>
        <v>13</v>
      </c>
      <c r="C6583" s="393"/>
      <c r="D6583" s="398">
        <f t="shared" si="21158"/>
        <v>3</v>
      </c>
      <c r="E6583" s="388" t="s">
        <v>16</v>
      </c>
      <c r="F6583" s="388">
        <f t="shared" si="21159"/>
        <v>13</v>
      </c>
      <c r="G6583" s="388"/>
      <c r="H6583" s="395"/>
      <c r="I6583" s="388"/>
      <c r="J6583" s="396"/>
      <c r="K6583" s="396"/>
      <c r="L6583" s="404" t="s">
        <v>207</v>
      </c>
      <c r="M6583" s="399" t="s">
        <v>176</v>
      </c>
      <c r="N6583" s="399">
        <f t="shared" ref="N6583" si="21351">IF(AND(D6580=D6581,D6580=D6582,D6581=D6582,F6580=F6581,F6580=F6582,F6581=F6582),SUM(N6580:N6582),0)</f>
        <v>9.9969999999999999</v>
      </c>
      <c r="O6583" s="399" t="s">
        <v>204</v>
      </c>
      <c r="P6583" s="389">
        <f t="shared" ref="P6583" si="21352">IF(N6583&gt;12,ROUNDDOWN(N6583/12,0),0)</f>
        <v>0</v>
      </c>
      <c r="Q6583" s="399" t="s">
        <v>125</v>
      </c>
      <c r="R6583" s="399">
        <f t="shared" ref="R6583" si="21353">IF(P6583&gt;0,MAX(VLOOKUP(F6583,$D$6:$G$15,3,FALSE),600),0)/1000</f>
        <v>0</v>
      </c>
      <c r="S6583" s="396"/>
      <c r="T6583" s="396" t="s">
        <v>125</v>
      </c>
      <c r="U6583" s="401">
        <f t="shared" si="21163"/>
        <v>1.041885</v>
      </c>
      <c r="V6583" s="396" t="s">
        <v>125</v>
      </c>
      <c r="W6583" s="399">
        <f t="shared" ref="W6583" si="21354">D6583</f>
        <v>3</v>
      </c>
      <c r="X6583" s="399" t="s">
        <v>125</v>
      </c>
      <c r="Y6583" s="389">
        <f t="shared" si="21165"/>
        <v>1</v>
      </c>
      <c r="Z6583" s="400" t="s">
        <v>176</v>
      </c>
      <c r="AA6583" s="402">
        <f t="shared" ref="AA6583" si="21355">(N6583+P6583*R6583/1000)*U6583*W6583*Y6583</f>
        <v>31.247173034999996</v>
      </c>
      <c r="AB6583" s="403"/>
    </row>
    <row r="6584" spans="1:28">
      <c r="A6584" s="384"/>
      <c r="B6584" s="385"/>
      <c r="C6584" s="393"/>
      <c r="D6584" s="394"/>
      <c r="E6584" s="388"/>
      <c r="F6584" s="388"/>
      <c r="G6584" s="388"/>
      <c r="H6584" s="395"/>
      <c r="I6584" s="388"/>
      <c r="J6584" s="399"/>
      <c r="K6584" s="396"/>
      <c r="L6584" s="396"/>
      <c r="M6584" s="396"/>
      <c r="N6584" s="396"/>
      <c r="O6584" s="396"/>
      <c r="P6584" s="389"/>
      <c r="Q6584" s="396"/>
      <c r="R6584" s="396"/>
      <c r="S6584" s="396"/>
      <c r="T6584" s="396"/>
      <c r="U6584" s="401"/>
      <c r="V6584" s="396"/>
      <c r="W6584" s="388"/>
      <c r="X6584" s="396"/>
      <c r="Y6584" s="389"/>
      <c r="Z6584" s="396"/>
      <c r="AA6584" s="388"/>
      <c r="AB6584" s="390"/>
    </row>
    <row r="6585" spans="1:28">
      <c r="A6585" s="384" t="str">
        <f t="shared" ref="A6585:B6585" si="21356">A6565</f>
        <v>Lantai Atap</v>
      </c>
      <c r="B6585" s="385">
        <f t="shared" si="21356"/>
        <v>13</v>
      </c>
      <c r="C6585" s="393" t="s">
        <v>211</v>
      </c>
      <c r="D6585" s="398">
        <f>VLOOKUP(D6565,'Detail Balok'!$C$10:$AU$140,31,FALSE)</f>
        <v>0</v>
      </c>
      <c r="E6585" s="388" t="s">
        <v>16</v>
      </c>
      <c r="F6585" s="388">
        <f>VLOOKUP(D6565,'Detail Balok'!$C$10:$AU$140,33,FALSE)</f>
        <v>10</v>
      </c>
      <c r="G6585" s="405" t="s">
        <v>157</v>
      </c>
      <c r="H6585" s="395">
        <f>VLOOKUP(D6565,'Detail Balok'!$C$10:$AU$140,35,FALSE)</f>
        <v>100</v>
      </c>
      <c r="I6585" s="388"/>
      <c r="J6585" s="400">
        <f t="shared" ref="J6585" si="21357">(IF(D6585=0,(2*(D6566+G6566))-(F$5*8),IF(D6585=3,(2*(D6566+G6566))-(F$5*8)+(G6566-2*F$5),IF(D6585=4,(2*(D6566+G6566))-(F$5*8)+2*(G6566-2*F$5)))))/1000</f>
        <v>1.08</v>
      </c>
      <c r="K6585" s="400" t="s">
        <v>204</v>
      </c>
      <c r="L6585" s="399">
        <f t="shared" ref="L6585:L6587" si="21358">IF(D6585=0,2*MAX(6*F6585,75),(D6585-1)*2*MAX(6*F6585,75))/1000</f>
        <v>0.15</v>
      </c>
      <c r="M6585" s="399" t="s">
        <v>176</v>
      </c>
      <c r="N6585" s="399">
        <f t="shared" ref="N6585:N6587" si="21359">J6585+L6585</f>
        <v>1.23</v>
      </c>
      <c r="O6585" s="399"/>
      <c r="P6585" s="389"/>
      <c r="Q6585" s="399"/>
      <c r="R6585" s="399"/>
      <c r="S6585" s="399"/>
      <c r="T6585" s="399" t="s">
        <v>125</v>
      </c>
      <c r="U6585" s="401">
        <f t="shared" ref="U6585:U6587" si="21360">0.006165*F6585^2</f>
        <v>0.61650000000000005</v>
      </c>
      <c r="V6585" s="399" t="s">
        <v>125</v>
      </c>
      <c r="W6585" s="399">
        <f t="shared" ref="W6585" si="21361">IF(D6568&gt;4*G6566,ROUND(MAX(D6568/4,2*G6566)/H6585,0)+1,ROUND(D6568/H6585,0)+1)</f>
        <v>25</v>
      </c>
      <c r="X6585" s="399" t="s">
        <v>125</v>
      </c>
      <c r="Y6585" s="389">
        <f t="shared" ref="Y6585" si="21362">D6571</f>
        <v>1</v>
      </c>
      <c r="Z6585" s="400" t="s">
        <v>176</v>
      </c>
      <c r="AA6585" s="402">
        <f t="shared" ref="AA6585:AA6587" si="21363">N6585*U6585*W6585*Y6585</f>
        <v>18.957375000000003</v>
      </c>
      <c r="AB6585" s="403"/>
    </row>
    <row r="6586" spans="1:28">
      <c r="A6586" s="384" t="str">
        <f t="shared" ref="A6586:B6586" si="21364">A6565</f>
        <v>Lantai Atap</v>
      </c>
      <c r="B6586" s="385">
        <f t="shared" si="21364"/>
        <v>13</v>
      </c>
      <c r="C6586" s="393" t="s">
        <v>212</v>
      </c>
      <c r="D6586" s="398">
        <f>VLOOKUP(D6565,'Detail Balok'!$C$10:$AU$140,36,FALSE)</f>
        <v>0</v>
      </c>
      <c r="E6586" s="388" t="s">
        <v>16</v>
      </c>
      <c r="F6586" s="388">
        <f>VLOOKUP(D6565,'Detail Balok'!$C$10:$AU$140,38,FALSE)</f>
        <v>10</v>
      </c>
      <c r="G6586" s="405" t="s">
        <v>157</v>
      </c>
      <c r="H6586" s="395">
        <f>VLOOKUP(D6565,'Detail Balok'!$C$10:$AU$140,40,FALSE)</f>
        <v>200</v>
      </c>
      <c r="I6586" s="388"/>
      <c r="J6586" s="400">
        <f t="shared" ref="J6586" si="21365">(IF(D6586=0,(2*(D6566+G6566))-(F$5*8),IF(D6586=3,(2*(D6566+G6566))-(F$5*8)+(G6566-2*F$5),IF(D6586=4,(2*(D6566+G6566))-(F$5*8)+2*(G6566-2*F$5)))))/1000</f>
        <v>1.08</v>
      </c>
      <c r="K6586" s="400" t="s">
        <v>204</v>
      </c>
      <c r="L6586" s="399">
        <f t="shared" si="21358"/>
        <v>0.15</v>
      </c>
      <c r="M6586" s="399" t="s">
        <v>176</v>
      </c>
      <c r="N6586" s="399">
        <f t="shared" si="21359"/>
        <v>1.23</v>
      </c>
      <c r="O6586" s="399"/>
      <c r="P6586" s="389"/>
      <c r="Q6586" s="399"/>
      <c r="R6586" s="399"/>
      <c r="S6586" s="399"/>
      <c r="T6586" s="399" t="s">
        <v>125</v>
      </c>
      <c r="U6586" s="401">
        <f t="shared" si="21360"/>
        <v>0.61650000000000005</v>
      </c>
      <c r="V6586" s="399" t="s">
        <v>125</v>
      </c>
      <c r="W6586" s="399">
        <f t="shared" ref="W6586" si="21366">IF(D6568-MAX(D6568/4,2*G6566)*2&gt;0,ROUND((D6568-MAX(D6568/4,2*G6566)*2)/H6586,0),0)</f>
        <v>24</v>
      </c>
      <c r="X6586" s="399" t="s">
        <v>125</v>
      </c>
      <c r="Y6586" s="389">
        <f t="shared" ref="Y6586" si="21367">D6571</f>
        <v>1</v>
      </c>
      <c r="Z6586" s="400" t="s">
        <v>176</v>
      </c>
      <c r="AA6586" s="402">
        <f t="shared" si="21363"/>
        <v>18.199080000000002</v>
      </c>
      <c r="AB6586" s="403"/>
    </row>
    <row r="6587" spans="1:28">
      <c r="A6587" s="384" t="str">
        <f t="shared" ref="A6587:B6587" si="21368">A6565</f>
        <v>Lantai Atap</v>
      </c>
      <c r="B6587" s="385">
        <f t="shared" si="21368"/>
        <v>13</v>
      </c>
      <c r="C6587" s="393" t="s">
        <v>211</v>
      </c>
      <c r="D6587" s="398">
        <f>VLOOKUP(D6565,'Detail Balok'!$C$10:$AU$140,41,FALSE)</f>
        <v>0</v>
      </c>
      <c r="E6587" s="388" t="s">
        <v>16</v>
      </c>
      <c r="F6587" s="388">
        <f>VLOOKUP(D6565,'Detail Balok'!$C$10:$AU$140,43,FALSE)</f>
        <v>10</v>
      </c>
      <c r="G6587" s="405" t="s">
        <v>157</v>
      </c>
      <c r="H6587" s="395">
        <f>VLOOKUP(D6565,'Detail Balok'!$C$10:$AU$140,45,FALSE)</f>
        <v>100</v>
      </c>
      <c r="I6587" s="388"/>
      <c r="J6587" s="400">
        <f t="shared" ref="J6587" si="21369">(IF(D6587=0,(2*(D6566+G6566))-(F$5*8),IF(D6587=3,(2*(D6566+G6566))-(F$5*8)+(G6566-2*F$5),IF(D6587=4,(2*(D6566+G6566))-(F$5*8)+2*(G6566-2*F$5)))))/1000</f>
        <v>1.08</v>
      </c>
      <c r="K6587" s="400" t="s">
        <v>204</v>
      </c>
      <c r="L6587" s="399">
        <f t="shared" si="21358"/>
        <v>0.15</v>
      </c>
      <c r="M6587" s="399" t="s">
        <v>176</v>
      </c>
      <c r="N6587" s="399">
        <f t="shared" si="21359"/>
        <v>1.23</v>
      </c>
      <c r="O6587" s="399"/>
      <c r="P6587" s="389"/>
      <c r="Q6587" s="399"/>
      <c r="R6587" s="399"/>
      <c r="S6587" s="399"/>
      <c r="T6587" s="399" t="s">
        <v>125</v>
      </c>
      <c r="U6587" s="401">
        <f t="shared" si="21360"/>
        <v>0.61650000000000005</v>
      </c>
      <c r="V6587" s="399" t="s">
        <v>125</v>
      </c>
      <c r="W6587" s="399">
        <f t="shared" ref="W6587" si="21370">IF(D6568&gt;4*G6566,ROUND(MAX(D6568/4,2*G6566)/H6587,0)+1,0)</f>
        <v>25</v>
      </c>
      <c r="X6587" s="399" t="s">
        <v>125</v>
      </c>
      <c r="Y6587" s="389">
        <f t="shared" ref="Y6587" si="21371">D6571</f>
        <v>1</v>
      </c>
      <c r="Z6587" s="400" t="s">
        <v>176</v>
      </c>
      <c r="AA6587" s="402">
        <f t="shared" si="21363"/>
        <v>18.957375000000003</v>
      </c>
      <c r="AB6587" s="403"/>
    </row>
    <row r="6588" spans="1:28">
      <c r="A6588" s="384"/>
      <c r="B6588" s="385"/>
      <c r="C6588" s="393"/>
      <c r="D6588" s="394"/>
      <c r="E6588" s="388"/>
      <c r="F6588" s="388"/>
      <c r="G6588" s="388"/>
      <c r="H6588" s="395"/>
      <c r="I6588" s="388"/>
      <c r="J6588" s="399"/>
      <c r="K6588" s="396"/>
      <c r="L6588" s="396"/>
      <c r="M6588" s="396"/>
      <c r="N6588" s="396"/>
      <c r="O6588" s="396"/>
      <c r="P6588" s="389"/>
      <c r="Q6588" s="396"/>
      <c r="R6588" s="396"/>
      <c r="S6588" s="396"/>
      <c r="T6588" s="396"/>
      <c r="U6588" s="401"/>
      <c r="V6588" s="396"/>
      <c r="W6588" s="388"/>
      <c r="X6588" s="396"/>
      <c r="Y6588" s="389"/>
      <c r="Z6588" s="396"/>
      <c r="AA6588" s="388"/>
      <c r="AB6588" s="390"/>
    </row>
    <row r="6589" spans="1:28">
      <c r="A6589" s="384" t="str">
        <f t="shared" ref="A6589:B6589" si="21372">A6565</f>
        <v>Lantai Atap</v>
      </c>
      <c r="B6589" s="385">
        <f t="shared" si="21372"/>
        <v>13</v>
      </c>
      <c r="C6589" s="393" t="s">
        <v>213</v>
      </c>
      <c r="D6589" s="398">
        <f>VLOOKUP(D6565,'Detail Balok'!$C$10:$BJ$140,46,FALSE)</f>
        <v>0</v>
      </c>
      <c r="E6589" s="388" t="s">
        <v>16</v>
      </c>
      <c r="F6589" s="388">
        <f>VLOOKUP(D6565,'Detail Balok'!$C$10:$BJ$140,48,FALSE)</f>
        <v>0</v>
      </c>
      <c r="G6589" s="405" t="s">
        <v>157</v>
      </c>
      <c r="H6589" s="395">
        <f>VLOOKUP(D6565,'Detail Balok'!$C$10:$BJ$140,50,FALSE)</f>
        <v>100</v>
      </c>
      <c r="I6589" s="388"/>
      <c r="J6589" s="399">
        <f t="shared" ref="J6589" si="21373">(D6566-2*F$5)/1000</f>
        <v>0.17</v>
      </c>
      <c r="K6589" s="400" t="s">
        <v>204</v>
      </c>
      <c r="L6589" s="399">
        <f t="shared" ref="L6589:L6591" si="21374">IF(D6589=0,2*MAX(6*F6589,75),(D6589-1)*2*MAX(6*F6589,75))/1000</f>
        <v>0.15</v>
      </c>
      <c r="M6589" s="399" t="s">
        <v>176</v>
      </c>
      <c r="N6589" s="399">
        <f t="shared" ref="N6589:N6591" si="21375">J6589+L6589</f>
        <v>0.32</v>
      </c>
      <c r="O6589" s="399"/>
      <c r="P6589" s="399"/>
      <c r="Q6589" s="399"/>
      <c r="R6589" s="399"/>
      <c r="S6589" s="399"/>
      <c r="T6589" s="399" t="s">
        <v>125</v>
      </c>
      <c r="U6589" s="401">
        <f t="shared" ref="U6589:U6591" si="21376">0.006165*F6589^2</f>
        <v>0</v>
      </c>
      <c r="V6589" s="399" t="s">
        <v>125</v>
      </c>
      <c r="W6589" s="399">
        <f t="shared" si="21188"/>
        <v>25</v>
      </c>
      <c r="X6589" s="399" t="s">
        <v>125</v>
      </c>
      <c r="Y6589" s="389">
        <f t="shared" ref="Y6589" si="21377">D6575</f>
        <v>3</v>
      </c>
      <c r="Z6589" s="400" t="s">
        <v>176</v>
      </c>
      <c r="AA6589" s="402">
        <f t="shared" ref="AA6589:AA6591" si="21378">N6589*U6589*W6589*Y6589</f>
        <v>0</v>
      </c>
      <c r="AB6589" s="403"/>
    </row>
    <row r="6590" spans="1:28">
      <c r="A6590" s="384" t="str">
        <f t="shared" ref="A6590:B6590" si="21379">A6565</f>
        <v>Lantai Atap</v>
      </c>
      <c r="B6590" s="385">
        <f t="shared" si="21379"/>
        <v>13</v>
      </c>
      <c r="C6590" s="393" t="s">
        <v>214</v>
      </c>
      <c r="D6590" s="398">
        <f>VLOOKUP(D6565,'Detail Balok'!$C$10:$BJ$140,51,FALSE)</f>
        <v>0</v>
      </c>
      <c r="E6590" s="388" t="s">
        <v>16</v>
      </c>
      <c r="F6590" s="388">
        <f>VLOOKUP(D6565,'Detail Balok'!$C$10:$BJ$140,53,FALSE)</f>
        <v>0</v>
      </c>
      <c r="G6590" s="405" t="s">
        <v>157</v>
      </c>
      <c r="H6590" s="395">
        <f>VLOOKUP(D6565,'Detail Balok'!$C$10:$BJ$140,55,FALSE)</f>
        <v>100</v>
      </c>
      <c r="I6590" s="388"/>
      <c r="J6590" s="399">
        <f t="shared" ref="J6590" si="21380">(D6566-2*F$5)/1000</f>
        <v>0.17</v>
      </c>
      <c r="K6590" s="400" t="s">
        <v>204</v>
      </c>
      <c r="L6590" s="399">
        <f t="shared" si="21374"/>
        <v>0.15</v>
      </c>
      <c r="M6590" s="399" t="s">
        <v>176</v>
      </c>
      <c r="N6590" s="399">
        <f t="shared" si="21375"/>
        <v>0.32</v>
      </c>
      <c r="O6590" s="399"/>
      <c r="P6590" s="399"/>
      <c r="Q6590" s="399"/>
      <c r="R6590" s="399"/>
      <c r="S6590" s="399"/>
      <c r="T6590" s="399" t="s">
        <v>125</v>
      </c>
      <c r="U6590" s="401">
        <f t="shared" si="21376"/>
        <v>0</v>
      </c>
      <c r="V6590" s="399" t="s">
        <v>125</v>
      </c>
      <c r="W6590" s="399">
        <f t="shared" si="21188"/>
        <v>24</v>
      </c>
      <c r="X6590" s="399" t="s">
        <v>125</v>
      </c>
      <c r="Y6590" s="389">
        <f t="shared" ref="Y6590" si="21381">D6575</f>
        <v>3</v>
      </c>
      <c r="Z6590" s="400" t="s">
        <v>176</v>
      </c>
      <c r="AA6590" s="402">
        <f t="shared" si="21378"/>
        <v>0</v>
      </c>
      <c r="AB6590" s="403"/>
    </row>
    <row r="6591" spans="1:28">
      <c r="A6591" s="384" t="str">
        <f t="shared" ref="A6591:B6591" si="21382">A6565</f>
        <v>Lantai Atap</v>
      </c>
      <c r="B6591" s="385">
        <f t="shared" si="21382"/>
        <v>13</v>
      </c>
      <c r="C6591" s="393" t="s">
        <v>213</v>
      </c>
      <c r="D6591" s="398">
        <f>VLOOKUP(D6565,'Detail Balok'!$C$10:$BJ$140,56,FALSE)</f>
        <v>0</v>
      </c>
      <c r="E6591" s="388" t="s">
        <v>16</v>
      </c>
      <c r="F6591" s="388">
        <f>VLOOKUP(D6565,'Detail Balok'!$C$10:$BJ$140,58,FALSE)</f>
        <v>0</v>
      </c>
      <c r="G6591" s="405" t="s">
        <v>157</v>
      </c>
      <c r="H6591" s="395">
        <f>VLOOKUP(D6565,'Detail Balok'!$C$10:$BJ$140,60,FALSE)</f>
        <v>100</v>
      </c>
      <c r="I6591" s="388"/>
      <c r="J6591" s="399">
        <f t="shared" ref="J6591" si="21383">(D6566-2*F$5)/1000</f>
        <v>0.17</v>
      </c>
      <c r="K6591" s="400" t="s">
        <v>204</v>
      </c>
      <c r="L6591" s="399">
        <f t="shared" si="21374"/>
        <v>0.15</v>
      </c>
      <c r="M6591" s="399" t="s">
        <v>176</v>
      </c>
      <c r="N6591" s="399">
        <f t="shared" si="21375"/>
        <v>0.32</v>
      </c>
      <c r="O6591" s="399"/>
      <c r="P6591" s="399"/>
      <c r="Q6591" s="399"/>
      <c r="R6591" s="399"/>
      <c r="S6591" s="399"/>
      <c r="T6591" s="399" t="s">
        <v>125</v>
      </c>
      <c r="U6591" s="401">
        <f t="shared" si="21376"/>
        <v>0</v>
      </c>
      <c r="V6591" s="399" t="s">
        <v>125</v>
      </c>
      <c r="W6591" s="399">
        <f t="shared" si="21188"/>
        <v>25</v>
      </c>
      <c r="X6591" s="399" t="s">
        <v>125</v>
      </c>
      <c r="Y6591" s="389">
        <f t="shared" ref="Y6591" si="21384">D6575</f>
        <v>3</v>
      </c>
      <c r="Z6591" s="400" t="s">
        <v>176</v>
      </c>
      <c r="AA6591" s="402">
        <f t="shared" si="21378"/>
        <v>0</v>
      </c>
      <c r="AB6591" s="403"/>
    </row>
    <row r="6592" spans="1:28">
      <c r="A6592" s="391"/>
      <c r="B6592" s="392"/>
      <c r="C6592" s="392"/>
      <c r="D6592" s="394"/>
      <c r="E6592" s="388"/>
      <c r="F6592" s="388"/>
      <c r="G6592" s="388"/>
      <c r="H6592" s="395"/>
      <c r="I6592" s="388"/>
      <c r="J6592" s="402"/>
      <c r="K6592" s="388"/>
      <c r="L6592" s="388"/>
      <c r="M6592" s="388"/>
      <c r="N6592" s="388"/>
      <c r="O6592" s="388"/>
      <c r="P6592" s="388"/>
      <c r="Q6592" s="388"/>
      <c r="R6592" s="388"/>
      <c r="S6592" s="388"/>
      <c r="T6592" s="388"/>
      <c r="U6592" s="388"/>
      <c r="V6592" s="388"/>
      <c r="W6592" s="388"/>
      <c r="X6592" s="388"/>
      <c r="Y6592" s="389"/>
      <c r="Z6592" s="388"/>
      <c r="AA6592" s="402"/>
      <c r="AB6592" s="403"/>
    </row>
    <row r="6593" spans="1:28" ht="15.75" thickBot="1">
      <c r="A6593" s="406"/>
      <c r="B6593" s="407"/>
      <c r="C6593" s="407"/>
      <c r="D6593" s="408"/>
      <c r="E6593" s="409"/>
      <c r="F6593" s="409"/>
      <c r="G6593" s="409"/>
      <c r="H6593" s="410"/>
      <c r="I6593" s="409"/>
      <c r="J6593" s="409"/>
      <c r="K6593" s="409"/>
      <c r="L6593" s="409"/>
      <c r="M6593" s="409"/>
      <c r="N6593" s="409"/>
      <c r="O6593" s="409"/>
      <c r="P6593" s="409"/>
      <c r="Q6593" s="409"/>
      <c r="R6593" s="409"/>
      <c r="S6593" s="409"/>
      <c r="T6593" s="409"/>
      <c r="U6593" s="409"/>
      <c r="V6593" s="409"/>
      <c r="W6593" s="409"/>
      <c r="X6593" s="409"/>
      <c r="Y6593" s="411"/>
      <c r="Z6593" s="409"/>
      <c r="AA6593" s="412"/>
      <c r="AB6593" s="413"/>
    </row>
    <row r="6594" spans="1:28">
      <c r="A6594" s="377"/>
      <c r="B6594" s="378"/>
      <c r="C6594" s="378"/>
      <c r="D6594" s="379"/>
      <c r="E6594" s="380"/>
      <c r="F6594" s="380"/>
      <c r="G6594" s="380"/>
      <c r="H6594" s="381"/>
      <c r="I6594" s="380"/>
      <c r="J6594" s="380"/>
      <c r="K6594" s="380"/>
      <c r="L6594" s="380"/>
      <c r="M6594" s="380"/>
      <c r="N6594" s="380"/>
      <c r="O6594" s="380"/>
      <c r="P6594" s="380"/>
      <c r="Q6594" s="380"/>
      <c r="R6594" s="380"/>
      <c r="S6594" s="380"/>
      <c r="T6594" s="380"/>
      <c r="U6594" s="380"/>
      <c r="V6594" s="380"/>
      <c r="W6594" s="380"/>
      <c r="X6594" s="380"/>
      <c r="Y6594" s="382"/>
      <c r="Z6594" s="380"/>
      <c r="AA6594" s="380"/>
      <c r="AB6594" s="383"/>
    </row>
    <row r="6595" spans="1:28">
      <c r="A6595" s="384" t="str">
        <f t="shared" ref="A6595" si="21385">A6565</f>
        <v>Lantai Atap</v>
      </c>
      <c r="B6595" s="385" t="s">
        <v>2324</v>
      </c>
      <c r="C6595" s="386" t="str">
        <f t="shared" ref="C6595" si="21386">CONCATENATE(A6595," no. ",B6595)</f>
        <v>Lantai Atap no. 13A</v>
      </c>
      <c r="D6595" s="2562" t="str">
        <f>VLOOKUP(C6595,'Data Panjang Balok'!$C$9:$N$254,2,FALSE)</f>
        <v>B2A4A-1</v>
      </c>
      <c r="E6595" s="2576"/>
      <c r="F6595" s="2576"/>
      <c r="G6595" s="2576"/>
      <c r="H6595" s="2577"/>
      <c r="I6595" s="387"/>
      <c r="J6595" s="388"/>
      <c r="K6595" s="388"/>
      <c r="L6595" s="388"/>
      <c r="M6595" s="388"/>
      <c r="N6595" s="388"/>
      <c r="O6595" s="388"/>
      <c r="P6595" s="388"/>
      <c r="Q6595" s="388"/>
      <c r="R6595" s="388"/>
      <c r="S6595" s="388"/>
      <c r="T6595" s="388"/>
      <c r="U6595" s="388"/>
      <c r="V6595" s="388"/>
      <c r="W6595" s="388"/>
      <c r="X6595" s="388"/>
      <c r="Y6595" s="389"/>
      <c r="Z6595" s="388"/>
      <c r="AA6595" s="388"/>
      <c r="AB6595" s="390"/>
    </row>
    <row r="6596" spans="1:28">
      <c r="A6596" s="391"/>
      <c r="B6596" s="392"/>
      <c r="C6596" s="393" t="s">
        <v>118</v>
      </c>
      <c r="D6596" s="2578">
        <f>VLOOKUP(D6595,'Detail Balok'!$C$10:$AU$140,2,FALSE)</f>
        <v>250</v>
      </c>
      <c r="E6596" s="2579"/>
      <c r="F6596" s="388" t="s">
        <v>125</v>
      </c>
      <c r="G6596" s="2579">
        <f>VLOOKUP(D6595,'Detail Balok'!$C$10:$AU$140,3,FALSE)</f>
        <v>450</v>
      </c>
      <c r="H6596" s="2580"/>
      <c r="I6596" s="388"/>
      <c r="J6596" s="396"/>
      <c r="K6596" s="396"/>
      <c r="L6596" s="396"/>
      <c r="M6596" s="396"/>
      <c r="N6596" s="396"/>
      <c r="O6596" s="396"/>
      <c r="P6596" s="396"/>
      <c r="Q6596" s="396"/>
      <c r="R6596" s="396"/>
      <c r="S6596" s="396"/>
      <c r="T6596" s="396"/>
      <c r="U6596" s="388"/>
      <c r="V6596" s="396"/>
      <c r="W6596" s="388"/>
      <c r="X6596" s="396"/>
      <c r="Y6596" s="389"/>
      <c r="Z6596" s="396"/>
      <c r="AA6596" s="388"/>
      <c r="AB6596" s="390"/>
    </row>
    <row r="6597" spans="1:28">
      <c r="A6597" s="391"/>
      <c r="B6597" s="392"/>
      <c r="C6597" s="393" t="s">
        <v>198</v>
      </c>
      <c r="D6597" s="2562">
        <f>VLOOKUP(C6595,'Data Panjang Balok'!$C$9:$N$254,4,FALSE)</f>
        <v>1025</v>
      </c>
      <c r="E6597" s="2563"/>
      <c r="F6597" s="2563"/>
      <c r="G6597" s="2563"/>
      <c r="H6597" s="2564"/>
      <c r="I6597" s="397"/>
      <c r="J6597" s="396"/>
      <c r="K6597" s="396"/>
      <c r="L6597" s="396"/>
      <c r="M6597" s="396"/>
      <c r="N6597" s="396"/>
      <c r="O6597" s="396"/>
      <c r="P6597" s="396"/>
      <c r="Q6597" s="396"/>
      <c r="R6597" s="396"/>
      <c r="S6597" s="396"/>
      <c r="T6597" s="396"/>
      <c r="U6597" s="388"/>
      <c r="V6597" s="396"/>
      <c r="W6597" s="388"/>
      <c r="X6597" s="396"/>
      <c r="Y6597" s="389"/>
      <c r="Z6597" s="396"/>
      <c r="AA6597" s="388"/>
      <c r="AB6597" s="390"/>
    </row>
    <row r="6598" spans="1:28">
      <c r="A6598" s="391"/>
      <c r="B6598" s="392"/>
      <c r="C6598" s="393" t="s">
        <v>199</v>
      </c>
      <c r="D6598" s="2562">
        <f>VLOOKUP(C6595,'Data Panjang Balok'!$C$9:$N$254,7,FALSE)</f>
        <v>1025</v>
      </c>
      <c r="E6598" s="2563"/>
      <c r="F6598" s="2563"/>
      <c r="G6598" s="2563"/>
      <c r="H6598" s="2564"/>
      <c r="I6598" s="397"/>
      <c r="J6598" s="396"/>
      <c r="K6598" s="396"/>
      <c r="L6598" s="396"/>
      <c r="M6598" s="396"/>
      <c r="N6598" s="396"/>
      <c r="O6598" s="396"/>
      <c r="P6598" s="396"/>
      <c r="Q6598" s="396"/>
      <c r="R6598" s="396"/>
      <c r="S6598" s="396"/>
      <c r="T6598" s="396"/>
      <c r="U6598" s="388"/>
      <c r="V6598" s="396"/>
      <c r="W6598" s="388"/>
      <c r="X6598" s="396"/>
      <c r="Y6598" s="389"/>
      <c r="Z6598" s="396"/>
      <c r="AA6598" s="388"/>
      <c r="AB6598" s="390"/>
    </row>
    <row r="6599" spans="1:28">
      <c r="A6599" s="391"/>
      <c r="B6599" s="392"/>
      <c r="C6599" s="393" t="s">
        <v>200</v>
      </c>
      <c r="D6599" s="2562">
        <f>VLOOKUP(C6595,'Data Panjang Balok'!$C$9:$N$254,9,FALSE)</f>
        <v>0</v>
      </c>
      <c r="E6599" s="2563"/>
      <c r="F6599" s="2563"/>
      <c r="G6599" s="2563"/>
      <c r="H6599" s="2564"/>
      <c r="I6599" s="397"/>
      <c r="J6599" s="396"/>
      <c r="K6599" s="396"/>
      <c r="L6599" s="396"/>
      <c r="M6599" s="396"/>
      <c r="N6599" s="396"/>
      <c r="O6599" s="396"/>
      <c r="P6599" s="396"/>
      <c r="Q6599" s="396"/>
      <c r="R6599" s="396"/>
      <c r="S6599" s="396"/>
      <c r="T6599" s="396"/>
      <c r="U6599" s="388"/>
      <c r="V6599" s="396"/>
      <c r="W6599" s="388"/>
      <c r="X6599" s="396"/>
      <c r="Y6599" s="389"/>
      <c r="Z6599" s="396"/>
      <c r="AA6599" s="388"/>
      <c r="AB6599" s="390"/>
    </row>
    <row r="6600" spans="1:28">
      <c r="A6600" s="391"/>
      <c r="B6600" s="392"/>
      <c r="C6600" s="393" t="s">
        <v>201</v>
      </c>
      <c r="D6600" s="2562">
        <f>VLOOKUP(C6595,'Data Panjang Balok'!$C$9:$N$254,10,FALSE)</f>
        <v>0</v>
      </c>
      <c r="E6600" s="2563"/>
      <c r="F6600" s="2563"/>
      <c r="G6600" s="2563"/>
      <c r="H6600" s="2564"/>
      <c r="I6600" s="397"/>
      <c r="J6600" s="396"/>
      <c r="K6600" s="396"/>
      <c r="L6600" s="396"/>
      <c r="M6600" s="396"/>
      <c r="N6600" s="396"/>
      <c r="O6600" s="396"/>
      <c r="P6600" s="396"/>
      <c r="Q6600" s="396"/>
      <c r="R6600" s="396"/>
      <c r="S6600" s="396"/>
      <c r="T6600" s="396"/>
      <c r="U6600" s="388"/>
      <c r="V6600" s="396"/>
      <c r="W6600" s="388"/>
      <c r="X6600" s="396"/>
      <c r="Y6600" s="389"/>
      <c r="Z6600" s="396"/>
      <c r="AA6600" s="388"/>
      <c r="AB6600" s="390"/>
    </row>
    <row r="6601" spans="1:28">
      <c r="A6601" s="391"/>
      <c r="B6601" s="392"/>
      <c r="C6601" s="393" t="s">
        <v>48</v>
      </c>
      <c r="D6601" s="2562">
        <f>VLOOKUP(C6595,'Data Panjang Balok'!$C$9:$N$254,3,FALSE)</f>
        <v>1</v>
      </c>
      <c r="E6601" s="2563"/>
      <c r="F6601" s="2563"/>
      <c r="G6601" s="2563"/>
      <c r="H6601" s="2564"/>
      <c r="I6601" s="397"/>
      <c r="J6601" s="396"/>
      <c r="K6601" s="396"/>
      <c r="L6601" s="396"/>
      <c r="M6601" s="396"/>
      <c r="N6601" s="396"/>
      <c r="O6601" s="396"/>
      <c r="P6601" s="396"/>
      <c r="Q6601" s="396"/>
      <c r="R6601" s="396"/>
      <c r="S6601" s="396"/>
      <c r="T6601" s="396"/>
      <c r="U6601" s="388"/>
      <c r="V6601" s="396"/>
      <c r="W6601" s="388"/>
      <c r="X6601" s="396"/>
      <c r="Y6601" s="389"/>
      <c r="Z6601" s="396"/>
      <c r="AA6601" s="388"/>
      <c r="AB6601" s="390"/>
    </row>
    <row r="6602" spans="1:28">
      <c r="A6602" s="384" t="str">
        <f t="shared" ref="A6602:B6602" si="21387">A6595</f>
        <v>Lantai Atap</v>
      </c>
      <c r="B6602" s="385" t="str">
        <f t="shared" si="21387"/>
        <v>13A</v>
      </c>
      <c r="C6602" s="393" t="s">
        <v>202</v>
      </c>
      <c r="D6602" s="398">
        <f>VLOOKUP(D6595,'Detail Balok'!$C$10:$AU$140,4,FALSE)</f>
        <v>3</v>
      </c>
      <c r="E6602" s="388" t="s">
        <v>16</v>
      </c>
      <c r="F6602" s="388">
        <f>VLOOKUP(D6595,'Detail Balok'!$C$10:$AU$140,6,FALSE)</f>
        <v>13</v>
      </c>
      <c r="G6602" s="388"/>
      <c r="H6602" s="395"/>
      <c r="I6602" s="388" t="s">
        <v>203</v>
      </c>
      <c r="J6602" s="399">
        <f t="shared" ref="J6602" si="21388">+D6597/4/1000</f>
        <v>0.25624999999999998</v>
      </c>
      <c r="K6602" s="400" t="s">
        <v>204</v>
      </c>
      <c r="L6602" s="399">
        <f t="shared" ref="L6602" si="21389">MAX(VLOOKUP(F6602,N$6:P$15,3,FALSE)/1000,2/3*D6599/1000)+F$16*F6602/1000</f>
        <v>0.156</v>
      </c>
      <c r="M6602" s="399" t="s">
        <v>176</v>
      </c>
      <c r="N6602" s="399">
        <f t="shared" ref="N6602:N6604" si="21390">J6602+L6602</f>
        <v>0.41225000000000001</v>
      </c>
      <c r="O6602" s="399" t="s">
        <v>204</v>
      </c>
      <c r="P6602" s="389">
        <f t="shared" ref="P6602" si="21391">D6602-D6603</f>
        <v>0</v>
      </c>
      <c r="Q6602" s="399" t="s">
        <v>125</v>
      </c>
      <c r="R6602" s="399">
        <f t="shared" ref="R6602" si="21392">IF(P6602&gt;0,$F$18*F6602/1000,0)</f>
        <v>0</v>
      </c>
      <c r="S6602" s="399" t="s">
        <v>205</v>
      </c>
      <c r="T6602" s="399" t="s">
        <v>125</v>
      </c>
      <c r="U6602" s="401">
        <f t="shared" ref="U6602:U6604" si="21393">0.006165*F6602^2</f>
        <v>1.041885</v>
      </c>
      <c r="V6602" s="399"/>
      <c r="W6602" s="399"/>
      <c r="X6602" s="399" t="s">
        <v>125</v>
      </c>
      <c r="Y6602" s="389">
        <f t="shared" ref="Y6602" si="21394">D6601</f>
        <v>1</v>
      </c>
      <c r="Z6602" s="400" t="s">
        <v>176</v>
      </c>
      <c r="AA6602" s="402">
        <f t="shared" ref="AA6602" si="21395">IF(AA6605=0,(D6602*N6602+P6602*R6602)*U6602*Y6602,0)</f>
        <v>0</v>
      </c>
      <c r="AB6602" s="403"/>
    </row>
    <row r="6603" spans="1:28">
      <c r="A6603" s="384" t="str">
        <f t="shared" ref="A6603:B6603" si="21396">A6595</f>
        <v>Lantai Atap</v>
      </c>
      <c r="B6603" s="385" t="str">
        <f t="shared" si="21396"/>
        <v>13A</v>
      </c>
      <c r="C6603" s="393" t="s">
        <v>206</v>
      </c>
      <c r="D6603" s="398">
        <f>VLOOKUP(D6595,'Detail Balok'!$C$10:$AU$140,7,FALSE)</f>
        <v>3</v>
      </c>
      <c r="E6603" s="388" t="s">
        <v>16</v>
      </c>
      <c r="F6603" s="388">
        <f>VLOOKUP(D6595,'Detail Balok'!$C$10:$AU$140,9,FALSE)</f>
        <v>13</v>
      </c>
      <c r="G6603" s="388"/>
      <c r="H6603" s="395"/>
      <c r="I6603" s="388" t="s">
        <v>203</v>
      </c>
      <c r="J6603" s="399">
        <f t="shared" ref="J6603" si="21397">+D6597/2/1000</f>
        <v>0.51249999999999996</v>
      </c>
      <c r="K6603" s="400" t="s">
        <v>204</v>
      </c>
      <c r="L6603" s="399"/>
      <c r="M6603" s="399" t="s">
        <v>176</v>
      </c>
      <c r="N6603" s="399">
        <f t="shared" si="21390"/>
        <v>0.51249999999999996</v>
      </c>
      <c r="O6603" s="399" t="s">
        <v>204</v>
      </c>
      <c r="P6603" s="389">
        <f t="shared" ref="P6603" si="21398">MAX(D6603-D6602,D6603-D6604)</f>
        <v>0</v>
      </c>
      <c r="Q6603" s="399" t="s">
        <v>125</v>
      </c>
      <c r="R6603" s="399">
        <f t="shared" ref="R6603" si="21399">IF(P6603&gt;0,2*(1-2*$F$19-1/2)*D6598/1000,0)</f>
        <v>0</v>
      </c>
      <c r="S6603" s="399" t="s">
        <v>205</v>
      </c>
      <c r="T6603" s="399" t="s">
        <v>125</v>
      </c>
      <c r="U6603" s="401">
        <f t="shared" si="21393"/>
        <v>1.041885</v>
      </c>
      <c r="V6603" s="399"/>
      <c r="W6603" s="399"/>
      <c r="X6603" s="399" t="s">
        <v>125</v>
      </c>
      <c r="Y6603" s="389">
        <f t="shared" ref="Y6603" si="21400">D6601</f>
        <v>1</v>
      </c>
      <c r="Z6603" s="400" t="s">
        <v>176</v>
      </c>
      <c r="AA6603" s="402">
        <f t="shared" ref="AA6603" si="21401">IF(AA6605=0,(D6603*N6603+P6603*R6603)*U6603*Y6603,0)</f>
        <v>0</v>
      </c>
      <c r="AB6603" s="403"/>
    </row>
    <row r="6604" spans="1:28">
      <c r="A6604" s="384" t="str">
        <f t="shared" ref="A6604:B6604" si="21402">A6595</f>
        <v>Lantai Atap</v>
      </c>
      <c r="B6604" s="385" t="str">
        <f t="shared" si="21402"/>
        <v>13A</v>
      </c>
      <c r="C6604" s="393" t="s">
        <v>202</v>
      </c>
      <c r="D6604" s="398">
        <f>VLOOKUP(D6595,'Detail Balok'!$C$10:$AU$140,10,FALSE)</f>
        <v>3</v>
      </c>
      <c r="E6604" s="388" t="s">
        <v>16</v>
      </c>
      <c r="F6604" s="388">
        <f>VLOOKUP(D6595,'Detail Balok'!$C$10:$AU$140,12,FALSE)</f>
        <v>13</v>
      </c>
      <c r="G6604" s="388"/>
      <c r="H6604" s="395"/>
      <c r="I6604" s="388" t="s">
        <v>203</v>
      </c>
      <c r="J6604" s="399">
        <f t="shared" ref="J6604" si="21403">+D6597/4/1000</f>
        <v>0.25624999999999998</v>
      </c>
      <c r="K6604" s="400" t="s">
        <v>204</v>
      </c>
      <c r="L6604" s="399">
        <f t="shared" ref="L6604" si="21404">MAX(VLOOKUP(F6604,N$6:P$15,3,FALSE)/1000,2/3*D6599/1000)+F$16*F6604/1000</f>
        <v>0.156</v>
      </c>
      <c r="M6604" s="399" t="s">
        <v>176</v>
      </c>
      <c r="N6604" s="399">
        <f t="shared" si="21390"/>
        <v>0.41225000000000001</v>
      </c>
      <c r="O6604" s="399" t="s">
        <v>204</v>
      </c>
      <c r="P6604" s="389">
        <f t="shared" ref="P6604" si="21405">D6604-D6603</f>
        <v>0</v>
      </c>
      <c r="Q6604" s="399" t="s">
        <v>125</v>
      </c>
      <c r="R6604" s="399">
        <f t="shared" ref="R6604" si="21406">IF(P6604&gt;0,$F$18*F6604/1000,0)</f>
        <v>0</v>
      </c>
      <c r="S6604" s="399" t="s">
        <v>205</v>
      </c>
      <c r="T6604" s="399" t="s">
        <v>125</v>
      </c>
      <c r="U6604" s="401">
        <f t="shared" si="21393"/>
        <v>1.041885</v>
      </c>
      <c r="V6604" s="399"/>
      <c r="W6604" s="399"/>
      <c r="X6604" s="399" t="s">
        <v>125</v>
      </c>
      <c r="Y6604" s="389">
        <f t="shared" ref="Y6604" si="21407">D6601</f>
        <v>1</v>
      </c>
      <c r="Z6604" s="400" t="s">
        <v>176</v>
      </c>
      <c r="AA6604" s="402">
        <f t="shared" ref="AA6604" si="21408">IF(AA6605=0,(D6604*N6604+P6604*R6604)*U6604*Y6604,0)</f>
        <v>0</v>
      </c>
      <c r="AB6604" s="403"/>
    </row>
    <row r="6605" spans="1:28">
      <c r="A6605" s="384" t="str">
        <f t="shared" ref="A6605:B6605" si="21409">A6595</f>
        <v>Lantai Atap</v>
      </c>
      <c r="B6605" s="385" t="str">
        <f t="shared" si="21409"/>
        <v>13A</v>
      </c>
      <c r="C6605" s="393"/>
      <c r="D6605" s="398">
        <f t="shared" ref="D6605" si="21410">IF(AND(D6602=D6603,D6603=D6604,D6602=D6604),D6602,0)</f>
        <v>3</v>
      </c>
      <c r="E6605" s="388" t="s">
        <v>16</v>
      </c>
      <c r="F6605" s="388">
        <f t="shared" ref="F6605" si="21411">IF(AND(F6602=F6603,F6602=F6604,F6603=F6604),F6602,0)</f>
        <v>13</v>
      </c>
      <c r="G6605" s="388"/>
      <c r="H6605" s="395"/>
      <c r="I6605" s="388"/>
      <c r="J6605" s="396"/>
      <c r="K6605" s="396"/>
      <c r="L6605" s="404" t="s">
        <v>207</v>
      </c>
      <c r="M6605" s="399" t="s">
        <v>176</v>
      </c>
      <c r="N6605" s="399">
        <f t="shared" ref="N6605" si="21412">IF(AND(D6602=D6603,D6602=D6604,D6603=D6604,F6602=F6603,F6602=F6604,F6603=F6604),SUM(N6602:N6604),0)</f>
        <v>1.337</v>
      </c>
      <c r="O6605" s="399" t="s">
        <v>204</v>
      </c>
      <c r="P6605" s="389">
        <f t="shared" ref="P6605" si="21413">IF(N6605&gt;12,ROUNDDOWN(N6605/12,0),0)</f>
        <v>0</v>
      </c>
      <c r="Q6605" s="399" t="s">
        <v>125</v>
      </c>
      <c r="R6605" s="399">
        <f t="shared" ref="R6605" si="21414">IF(P6605&gt;0,MAX(VLOOKUP(F6605,$D$6:$G$15,3,FALSE),600),0)/1000</f>
        <v>0</v>
      </c>
      <c r="S6605" s="396"/>
      <c r="T6605" s="396" t="s">
        <v>125</v>
      </c>
      <c r="U6605" s="401">
        <f t="shared" ref="U6605" si="21415">U6604</f>
        <v>1.041885</v>
      </c>
      <c r="V6605" s="396" t="s">
        <v>125</v>
      </c>
      <c r="W6605" s="399">
        <f t="shared" ref="W6605" si="21416">D6605</f>
        <v>3</v>
      </c>
      <c r="X6605" s="399" t="s">
        <v>125</v>
      </c>
      <c r="Y6605" s="389">
        <f t="shared" ref="Y6605" si="21417">Y6604</f>
        <v>1</v>
      </c>
      <c r="Z6605" s="400" t="s">
        <v>176</v>
      </c>
      <c r="AA6605" s="402">
        <f t="shared" ref="AA6605" si="21418">(N6605+P6605*R6605/1000)*U6605*W6605*Y6605</f>
        <v>4.1790007349999998</v>
      </c>
      <c r="AB6605" s="390"/>
    </row>
    <row r="6606" spans="1:28">
      <c r="A6606" s="384"/>
      <c r="B6606" s="385"/>
      <c r="C6606" s="393"/>
      <c r="D6606" s="398"/>
      <c r="E6606" s="388"/>
      <c r="F6606" s="388"/>
      <c r="G6606" s="388"/>
      <c r="H6606" s="395"/>
      <c r="I6606" s="388"/>
      <c r="J6606" s="396"/>
      <c r="K6606" s="396"/>
      <c r="L6606" s="404"/>
      <c r="M6606" s="399"/>
      <c r="N6606" s="399"/>
      <c r="O6606" s="396"/>
      <c r="P6606" s="389"/>
      <c r="Q6606" s="396"/>
      <c r="R6606" s="396"/>
      <c r="S6606" s="396"/>
      <c r="T6606" s="396"/>
      <c r="U6606" s="401"/>
      <c r="V6606" s="396"/>
      <c r="W6606" s="399"/>
      <c r="X6606" s="396"/>
      <c r="Y6606" s="389"/>
      <c r="Z6606" s="396"/>
      <c r="AA6606" s="388"/>
      <c r="AB6606" s="390"/>
    </row>
    <row r="6607" spans="1:28">
      <c r="A6607" s="384" t="str">
        <f t="shared" ref="A6607:B6607" si="21419">A6595</f>
        <v>Lantai Atap</v>
      </c>
      <c r="B6607" s="385" t="str">
        <f t="shared" si="21419"/>
        <v>13A</v>
      </c>
      <c r="C6607" s="393" t="s">
        <v>208</v>
      </c>
      <c r="D6607" s="398">
        <f>VLOOKUP(D6595,'Detail Balok'!$C$10:$AU$140,13,FALSE)</f>
        <v>0</v>
      </c>
      <c r="E6607" s="388" t="s">
        <v>16</v>
      </c>
      <c r="F6607" s="388">
        <f>VLOOKUP(D6595,'Detail Balok'!$C$10:$AU$140,15,FALSE)</f>
        <v>8</v>
      </c>
      <c r="G6607" s="388"/>
      <c r="H6607" s="395"/>
      <c r="I6607" s="388"/>
      <c r="J6607" s="399">
        <f t="shared" ref="J6607" si="21420">+D6597/1000</f>
        <v>1.0249999999999999</v>
      </c>
      <c r="K6607" s="400" t="s">
        <v>204</v>
      </c>
      <c r="L6607" s="399">
        <f t="shared" ref="L6607" si="21421">2*$F$16*F6607/1000</f>
        <v>0.192</v>
      </c>
      <c r="M6607" s="399" t="s">
        <v>176</v>
      </c>
      <c r="N6607" s="399">
        <f t="shared" ref="N6607" si="21422">J6607+L6607</f>
        <v>1.2169999999999999</v>
      </c>
      <c r="O6607" s="399" t="s">
        <v>204</v>
      </c>
      <c r="P6607" s="389">
        <f t="shared" ref="P6607" si="21423">IF(N6607&gt;12,ROUNDDOWN(N6607/12,0),0)</f>
        <v>0</v>
      </c>
      <c r="Q6607" s="399" t="s">
        <v>125</v>
      </c>
      <c r="R6607" s="399">
        <f t="shared" ref="R6607" si="21424">IF(P6607&gt;0,MAX(VLOOKUP(F6607,$D$6:$G$15,3,FALSE),600),0)/1000</f>
        <v>0</v>
      </c>
      <c r="S6607" s="399"/>
      <c r="T6607" s="399" t="s">
        <v>125</v>
      </c>
      <c r="U6607" s="401">
        <f t="shared" ref="U6607" si="21425">0.006165*F6607^2</f>
        <v>0.39456000000000002</v>
      </c>
      <c r="V6607" s="399" t="s">
        <v>125</v>
      </c>
      <c r="W6607" s="399">
        <f t="shared" ref="W6607" si="21426">+D6607</f>
        <v>0</v>
      </c>
      <c r="X6607" s="399" t="s">
        <v>125</v>
      </c>
      <c r="Y6607" s="389">
        <f t="shared" ref="Y6607" si="21427">D6601</f>
        <v>1</v>
      </c>
      <c r="Z6607" s="400" t="s">
        <v>176</v>
      </c>
      <c r="AA6607" s="402">
        <f t="shared" ref="AA6607" si="21428">(N6607+P6607*R6607/1000)*U6607*W6607*Y6607</f>
        <v>0</v>
      </c>
      <c r="AB6607" s="403"/>
    </row>
    <row r="6608" spans="1:28">
      <c r="A6608" s="384"/>
      <c r="B6608" s="385"/>
      <c r="C6608" s="393"/>
      <c r="D6608" s="398"/>
      <c r="E6608" s="388"/>
      <c r="F6608" s="388"/>
      <c r="G6608" s="388"/>
      <c r="H6608" s="395"/>
      <c r="I6608" s="388"/>
      <c r="J6608" s="399"/>
      <c r="K6608" s="400"/>
      <c r="L6608" s="399"/>
      <c r="M6608" s="399"/>
      <c r="N6608" s="399"/>
      <c r="O6608" s="399"/>
      <c r="P6608" s="389"/>
      <c r="Q6608" s="399"/>
      <c r="R6608" s="399"/>
      <c r="S6608" s="399"/>
      <c r="T6608" s="399"/>
      <c r="U6608" s="401"/>
      <c r="V6608" s="399"/>
      <c r="W6608" s="399"/>
      <c r="X6608" s="399"/>
      <c r="Y6608" s="389"/>
      <c r="Z6608" s="400"/>
      <c r="AA6608" s="402"/>
      <c r="AB6608" s="403"/>
    </row>
    <row r="6609" spans="1:28">
      <c r="A6609" s="384"/>
      <c r="B6609" s="385"/>
      <c r="C6609" s="393"/>
      <c r="D6609" s="398"/>
      <c r="E6609" s="388"/>
      <c r="F6609" s="388"/>
      <c r="G6609" s="388"/>
      <c r="H6609" s="395"/>
      <c r="I6609" s="388"/>
      <c r="J6609" s="396"/>
      <c r="K6609" s="396"/>
      <c r="L6609" s="396"/>
      <c r="M6609" s="396"/>
      <c r="N6609" s="396"/>
      <c r="O6609" s="396"/>
      <c r="P6609" s="389"/>
      <c r="Q6609" s="396"/>
      <c r="R6609" s="396"/>
      <c r="S6609" s="396"/>
      <c r="T6609" s="396"/>
      <c r="U6609" s="401"/>
      <c r="V6609" s="396"/>
      <c r="W6609" s="399"/>
      <c r="X6609" s="396"/>
      <c r="Y6609" s="389"/>
      <c r="Z6609" s="396"/>
      <c r="AA6609" s="388"/>
      <c r="AB6609" s="390"/>
    </row>
    <row r="6610" spans="1:28">
      <c r="A6610" s="384" t="str">
        <f t="shared" ref="A6610:B6610" si="21429">A6595</f>
        <v>Lantai Atap</v>
      </c>
      <c r="B6610" s="385" t="str">
        <f t="shared" si="21429"/>
        <v>13A</v>
      </c>
      <c r="C6610" s="393" t="s">
        <v>209</v>
      </c>
      <c r="D6610" s="398">
        <f>VLOOKUP(D6595,'Detail Balok'!$C$10:$AU$140,22,FALSE)</f>
        <v>3</v>
      </c>
      <c r="E6610" s="388" t="s">
        <v>16</v>
      </c>
      <c r="F6610" s="388">
        <f>VLOOKUP(D6595,'Detail Balok'!$C$10:$AU$140,24,FALSE)</f>
        <v>13</v>
      </c>
      <c r="G6610" s="388"/>
      <c r="H6610" s="395"/>
      <c r="I6610" s="388" t="s">
        <v>203</v>
      </c>
      <c r="J6610" s="399">
        <f t="shared" ref="J6610:J6612" si="21430">+J6602</f>
        <v>0.25624999999999998</v>
      </c>
      <c r="K6610" s="400" t="s">
        <v>204</v>
      </c>
      <c r="L6610" s="399">
        <f t="shared" ref="L6610" si="21431">MAX(VLOOKUP(F6610,N$6:P$15,3,FALSE)/1000,2/3*D6600/1000)+F$16*F6610/1000</f>
        <v>0.156</v>
      </c>
      <c r="M6610" s="399" t="s">
        <v>176</v>
      </c>
      <c r="N6610" s="399">
        <f t="shared" ref="N6610:N6612" si="21432">J6610+L6610</f>
        <v>0.41225000000000001</v>
      </c>
      <c r="O6610" s="399" t="s">
        <v>204</v>
      </c>
      <c r="P6610" s="389">
        <f t="shared" ref="P6610" si="21433">D6610-D6611</f>
        <v>0</v>
      </c>
      <c r="Q6610" s="399" t="s">
        <v>125</v>
      </c>
      <c r="R6610" s="399">
        <f t="shared" ref="R6610" si="21434">IF(P6610&gt;0,$F$18*F6610/1000,0)</f>
        <v>0</v>
      </c>
      <c r="S6610" s="399" t="s">
        <v>205</v>
      </c>
      <c r="T6610" s="399" t="s">
        <v>125</v>
      </c>
      <c r="U6610" s="401">
        <f t="shared" ref="U6610:U6612" si="21435">0.006165*F6610^2</f>
        <v>1.041885</v>
      </c>
      <c r="V6610" s="399"/>
      <c r="W6610" s="399"/>
      <c r="X6610" s="399" t="s">
        <v>125</v>
      </c>
      <c r="Y6610" s="389">
        <f t="shared" ref="Y6610" si="21436">D6601</f>
        <v>1</v>
      </c>
      <c r="Z6610" s="400" t="s">
        <v>176</v>
      </c>
      <c r="AA6610" s="402">
        <f t="shared" ref="AA6610" si="21437">IF(AA6613=0,(D6610*N6610+P6610*R6610)*U6610*Y6610,0)</f>
        <v>0</v>
      </c>
      <c r="AB6610" s="403"/>
    </row>
    <row r="6611" spans="1:28">
      <c r="A6611" s="384" t="str">
        <f t="shared" ref="A6611:B6611" si="21438">A6595</f>
        <v>Lantai Atap</v>
      </c>
      <c r="B6611" s="385" t="str">
        <f t="shared" si="21438"/>
        <v>13A</v>
      </c>
      <c r="C6611" s="393" t="s">
        <v>210</v>
      </c>
      <c r="D6611" s="398">
        <f>VLOOKUP(D6595,'Detail Balok'!$C$10:$AU$140,25,FALSE)</f>
        <v>3</v>
      </c>
      <c r="E6611" s="388" t="s">
        <v>16</v>
      </c>
      <c r="F6611" s="388">
        <f>VLOOKUP(D6595,'Detail Balok'!$C$10:$AU$140,27,FALSE)</f>
        <v>13</v>
      </c>
      <c r="G6611" s="388"/>
      <c r="H6611" s="395"/>
      <c r="I6611" s="388" t="s">
        <v>203</v>
      </c>
      <c r="J6611" s="399">
        <f t="shared" si="21430"/>
        <v>0.51249999999999996</v>
      </c>
      <c r="K6611" s="400" t="s">
        <v>204</v>
      </c>
      <c r="L6611" s="399"/>
      <c r="M6611" s="399" t="s">
        <v>176</v>
      </c>
      <c r="N6611" s="399">
        <f t="shared" si="21432"/>
        <v>0.51249999999999996</v>
      </c>
      <c r="O6611" s="399" t="s">
        <v>204</v>
      </c>
      <c r="P6611" s="389">
        <f t="shared" ref="P6611" si="21439">MAX(D6611-D6610,D6611-D6612)</f>
        <v>0</v>
      </c>
      <c r="Q6611" s="399" t="s">
        <v>125</v>
      </c>
      <c r="R6611" s="399">
        <f t="shared" ref="R6611" si="21440">IF(P6611&gt;0,2*(1-2*$F$19-1/2)*D6598/1000,0)</f>
        <v>0</v>
      </c>
      <c r="S6611" s="399" t="s">
        <v>205</v>
      </c>
      <c r="T6611" s="399" t="s">
        <v>125</v>
      </c>
      <c r="U6611" s="401">
        <f t="shared" si="21435"/>
        <v>1.041885</v>
      </c>
      <c r="V6611" s="399"/>
      <c r="W6611" s="399"/>
      <c r="X6611" s="399" t="s">
        <v>125</v>
      </c>
      <c r="Y6611" s="389">
        <f t="shared" ref="Y6611" si="21441">D6601</f>
        <v>1</v>
      </c>
      <c r="Z6611" s="400" t="s">
        <v>176</v>
      </c>
      <c r="AA6611" s="402">
        <f t="shared" ref="AA6611" si="21442">IF(AA6613=0,(D6611*N6611+P6611*R6611)*U6611*Y6611,0)</f>
        <v>0</v>
      </c>
      <c r="AB6611" s="403"/>
    </row>
    <row r="6612" spans="1:28">
      <c r="A6612" s="384" t="str">
        <f t="shared" ref="A6612:B6612" si="21443">A6595</f>
        <v>Lantai Atap</v>
      </c>
      <c r="B6612" s="385" t="str">
        <f t="shared" si="21443"/>
        <v>13A</v>
      </c>
      <c r="C6612" s="393" t="s">
        <v>209</v>
      </c>
      <c r="D6612" s="398">
        <f>VLOOKUP(D6595,'Detail Balok'!$C$10:$AU$140,28,FALSE)</f>
        <v>3</v>
      </c>
      <c r="E6612" s="388" t="s">
        <v>16</v>
      </c>
      <c r="F6612" s="388">
        <f>VLOOKUP(D6595,'Detail Balok'!$C$10:$AU$140,30,FALSE)</f>
        <v>13</v>
      </c>
      <c r="G6612" s="388"/>
      <c r="H6612" s="395"/>
      <c r="I6612" s="388" t="s">
        <v>203</v>
      </c>
      <c r="J6612" s="399">
        <f t="shared" si="21430"/>
        <v>0.25624999999999998</v>
      </c>
      <c r="K6612" s="400" t="s">
        <v>204</v>
      </c>
      <c r="L6612" s="399">
        <f t="shared" ref="L6612" si="21444">MAX(VLOOKUP(F6612,N$6:P$15,3,FALSE)/1000,2/3*D6600/1000)+F$16*F6612/1000</f>
        <v>0.156</v>
      </c>
      <c r="M6612" s="399" t="s">
        <v>176</v>
      </c>
      <c r="N6612" s="399">
        <f t="shared" si="21432"/>
        <v>0.41225000000000001</v>
      </c>
      <c r="O6612" s="399" t="s">
        <v>204</v>
      </c>
      <c r="P6612" s="389">
        <f t="shared" ref="P6612" si="21445">D6612-D6611</f>
        <v>0</v>
      </c>
      <c r="Q6612" s="399" t="s">
        <v>125</v>
      </c>
      <c r="R6612" s="399">
        <f t="shared" ref="R6612" si="21446">IF(P6612&gt;0,$F$18*F6612/1000,0)</f>
        <v>0</v>
      </c>
      <c r="S6612" s="399" t="s">
        <v>205</v>
      </c>
      <c r="T6612" s="399" t="s">
        <v>125</v>
      </c>
      <c r="U6612" s="401">
        <f t="shared" si="21435"/>
        <v>1.041885</v>
      </c>
      <c r="V6612" s="399"/>
      <c r="W6612" s="399"/>
      <c r="X6612" s="399" t="s">
        <v>125</v>
      </c>
      <c r="Y6612" s="389">
        <f t="shared" ref="Y6612" si="21447">D6601</f>
        <v>1</v>
      </c>
      <c r="Z6612" s="400" t="s">
        <v>176</v>
      </c>
      <c r="AA6612" s="402">
        <f t="shared" ref="AA6612" si="21448">IF(AA6613=0,(D6612*N6612+P6612*R6612)*U6612*Y6612,0)</f>
        <v>0</v>
      </c>
      <c r="AB6612" s="403"/>
    </row>
    <row r="6613" spans="1:28">
      <c r="A6613" s="384" t="str">
        <f t="shared" ref="A6613:B6613" si="21449">A6595</f>
        <v>Lantai Atap</v>
      </c>
      <c r="B6613" s="385" t="str">
        <f t="shared" si="21449"/>
        <v>13A</v>
      </c>
      <c r="C6613" s="393"/>
      <c r="D6613" s="398">
        <f t="shared" ref="D6613" si="21450">IF(AND(D6610=D6611,D6611=D6612,D6610=D6612),D6610,0)</f>
        <v>3</v>
      </c>
      <c r="E6613" s="388" t="s">
        <v>16</v>
      </c>
      <c r="F6613" s="388">
        <f t="shared" ref="F6613" si="21451">IF(AND(F6610=F6611,F6610=F6612,F6611=F6612),F6610,0)</f>
        <v>13</v>
      </c>
      <c r="G6613" s="388"/>
      <c r="H6613" s="395"/>
      <c r="I6613" s="388"/>
      <c r="J6613" s="396"/>
      <c r="K6613" s="396"/>
      <c r="L6613" s="404" t="s">
        <v>207</v>
      </c>
      <c r="M6613" s="399" t="s">
        <v>176</v>
      </c>
      <c r="N6613" s="399">
        <f t="shared" ref="N6613" si="21452">IF(AND(D6610=D6611,D6610=D6612,D6611=D6612,F6610=F6611,F6610=F6612,F6611=F6612),SUM(N6610:N6612),0)</f>
        <v>1.337</v>
      </c>
      <c r="O6613" s="399" t="s">
        <v>204</v>
      </c>
      <c r="P6613" s="389">
        <f t="shared" ref="P6613" si="21453">IF(N6613&gt;12,ROUNDDOWN(N6613/12,0),0)</f>
        <v>0</v>
      </c>
      <c r="Q6613" s="399" t="s">
        <v>125</v>
      </c>
      <c r="R6613" s="399">
        <f t="shared" ref="R6613" si="21454">IF(P6613&gt;0,MAX(VLOOKUP(F6613,$D$6:$G$15,3,FALSE),600),0)/1000</f>
        <v>0</v>
      </c>
      <c r="S6613" s="396"/>
      <c r="T6613" s="396" t="s">
        <v>125</v>
      </c>
      <c r="U6613" s="401">
        <f t="shared" ref="U6613" si="21455">U6612</f>
        <v>1.041885</v>
      </c>
      <c r="V6613" s="396" t="s">
        <v>125</v>
      </c>
      <c r="W6613" s="399">
        <f t="shared" ref="W6613" si="21456">D6613</f>
        <v>3</v>
      </c>
      <c r="X6613" s="399" t="s">
        <v>125</v>
      </c>
      <c r="Y6613" s="389">
        <f t="shared" ref="Y6613" si="21457">Y6612</f>
        <v>1</v>
      </c>
      <c r="Z6613" s="400" t="s">
        <v>176</v>
      </c>
      <c r="AA6613" s="402">
        <f t="shared" ref="AA6613" si="21458">(N6613+P6613*R6613/1000)*U6613*W6613*Y6613</f>
        <v>4.1790007349999998</v>
      </c>
      <c r="AB6613" s="403"/>
    </row>
    <row r="6614" spans="1:28">
      <c r="A6614" s="384"/>
      <c r="B6614" s="385"/>
      <c r="C6614" s="393"/>
      <c r="D6614" s="394"/>
      <c r="E6614" s="388"/>
      <c r="F6614" s="388"/>
      <c r="G6614" s="388"/>
      <c r="H6614" s="395"/>
      <c r="I6614" s="388"/>
      <c r="J6614" s="399"/>
      <c r="K6614" s="396"/>
      <c r="L6614" s="396"/>
      <c r="M6614" s="396"/>
      <c r="N6614" s="396"/>
      <c r="O6614" s="396"/>
      <c r="P6614" s="389"/>
      <c r="Q6614" s="396"/>
      <c r="R6614" s="396"/>
      <c r="S6614" s="396"/>
      <c r="T6614" s="396"/>
      <c r="U6614" s="401"/>
      <c r="V6614" s="396"/>
      <c r="W6614" s="388"/>
      <c r="X6614" s="396"/>
      <c r="Y6614" s="389"/>
      <c r="Z6614" s="396"/>
      <c r="AA6614" s="388"/>
      <c r="AB6614" s="390"/>
    </row>
    <row r="6615" spans="1:28">
      <c r="A6615" s="384" t="str">
        <f t="shared" ref="A6615:B6615" si="21459">A6595</f>
        <v>Lantai Atap</v>
      </c>
      <c r="B6615" s="385" t="str">
        <f t="shared" si="21459"/>
        <v>13A</v>
      </c>
      <c r="C6615" s="393" t="s">
        <v>211</v>
      </c>
      <c r="D6615" s="398">
        <f>VLOOKUP(D6595,'Detail Balok'!$C$10:$AU$140,31,FALSE)</f>
        <v>0</v>
      </c>
      <c r="E6615" s="388" t="s">
        <v>16</v>
      </c>
      <c r="F6615" s="388">
        <f>VLOOKUP(D6595,'Detail Balok'!$C$10:$AU$140,33,FALSE)</f>
        <v>10</v>
      </c>
      <c r="G6615" s="405" t="s">
        <v>157</v>
      </c>
      <c r="H6615" s="395">
        <f>VLOOKUP(D6595,'Detail Balok'!$C$10:$AU$140,35,FALSE)</f>
        <v>100</v>
      </c>
      <c r="I6615" s="388"/>
      <c r="J6615" s="400">
        <f t="shared" ref="J6615" si="21460">(IF(D6615=0,(2*(D6596+G6596))-(F$5*8),IF(D6615=3,(2*(D6596+G6596))-(F$5*8)+(G6596-2*F$5),IF(D6615=4,(2*(D6596+G6596))-(F$5*8)+2*(G6596-2*F$5)))))/1000</f>
        <v>1.08</v>
      </c>
      <c r="K6615" s="400" t="s">
        <v>204</v>
      </c>
      <c r="L6615" s="399">
        <f t="shared" ref="L6615:L6617" si="21461">IF(D6615=0,2*MAX(6*F6615,75),(D6615-1)*2*MAX(6*F6615,75))/1000</f>
        <v>0.15</v>
      </c>
      <c r="M6615" s="399" t="s">
        <v>176</v>
      </c>
      <c r="N6615" s="399">
        <f t="shared" ref="N6615:N6617" si="21462">J6615+L6615</f>
        <v>1.23</v>
      </c>
      <c r="O6615" s="399"/>
      <c r="P6615" s="389"/>
      <c r="Q6615" s="399"/>
      <c r="R6615" s="399"/>
      <c r="S6615" s="399"/>
      <c r="T6615" s="399" t="s">
        <v>125</v>
      </c>
      <c r="U6615" s="401">
        <f t="shared" ref="U6615:U6617" si="21463">0.006165*F6615^2</f>
        <v>0.61650000000000005</v>
      </c>
      <c r="V6615" s="399" t="s">
        <v>125</v>
      </c>
      <c r="W6615" s="399">
        <f t="shared" ref="W6615" si="21464">IF(D6598&gt;4*G6596,ROUND(MAX(D6598/4,2*G6596)/H6615,0)+1,ROUND(D6598/H6615,0)+1)</f>
        <v>11</v>
      </c>
      <c r="X6615" s="399" t="s">
        <v>125</v>
      </c>
      <c r="Y6615" s="389">
        <f t="shared" ref="Y6615" si="21465">D6601</f>
        <v>1</v>
      </c>
      <c r="Z6615" s="400" t="s">
        <v>176</v>
      </c>
      <c r="AA6615" s="402">
        <f t="shared" ref="AA6615:AA6617" si="21466">N6615*U6615*W6615*Y6615</f>
        <v>8.3412450000000007</v>
      </c>
      <c r="AB6615" s="403"/>
    </row>
    <row r="6616" spans="1:28">
      <c r="A6616" s="384" t="str">
        <f t="shared" ref="A6616:B6616" si="21467">A6595</f>
        <v>Lantai Atap</v>
      </c>
      <c r="B6616" s="385" t="str">
        <f t="shared" si="21467"/>
        <v>13A</v>
      </c>
      <c r="C6616" s="393" t="s">
        <v>212</v>
      </c>
      <c r="D6616" s="398">
        <f>VLOOKUP(D6595,'Detail Balok'!$C$10:$AU$140,36,FALSE)</f>
        <v>0</v>
      </c>
      <c r="E6616" s="388" t="s">
        <v>16</v>
      </c>
      <c r="F6616" s="388">
        <f>VLOOKUP(D6595,'Detail Balok'!$C$10:$AU$140,38,FALSE)</f>
        <v>10</v>
      </c>
      <c r="G6616" s="405" t="s">
        <v>157</v>
      </c>
      <c r="H6616" s="395">
        <f>VLOOKUP(D6595,'Detail Balok'!$C$10:$AU$140,40,FALSE)</f>
        <v>200</v>
      </c>
      <c r="I6616" s="388"/>
      <c r="J6616" s="400">
        <f t="shared" ref="J6616" si="21468">(IF(D6616=0,(2*(D6596+G6596))-(F$5*8),IF(D6616=3,(2*(D6596+G6596))-(F$5*8)+(G6596-2*F$5),IF(D6616=4,(2*(D6596+G6596))-(F$5*8)+2*(G6596-2*F$5)))))/1000</f>
        <v>1.08</v>
      </c>
      <c r="K6616" s="400" t="s">
        <v>204</v>
      </c>
      <c r="L6616" s="399">
        <f t="shared" si="21461"/>
        <v>0.15</v>
      </c>
      <c r="M6616" s="399" t="s">
        <v>176</v>
      </c>
      <c r="N6616" s="399">
        <f t="shared" si="21462"/>
        <v>1.23</v>
      </c>
      <c r="O6616" s="399"/>
      <c r="P6616" s="389"/>
      <c r="Q6616" s="399"/>
      <c r="R6616" s="399"/>
      <c r="S6616" s="399"/>
      <c r="T6616" s="399" t="s">
        <v>125</v>
      </c>
      <c r="U6616" s="401">
        <f t="shared" si="21463"/>
        <v>0.61650000000000005</v>
      </c>
      <c r="V6616" s="399" t="s">
        <v>125</v>
      </c>
      <c r="W6616" s="399">
        <f t="shared" ref="W6616" si="21469">IF(D6598-MAX(D6598/4,2*G6596)*2&gt;0,ROUND((D6598-MAX(D6598/4,2*G6596)*2)/H6616,0),0)</f>
        <v>0</v>
      </c>
      <c r="X6616" s="399" t="s">
        <v>125</v>
      </c>
      <c r="Y6616" s="389">
        <f t="shared" ref="Y6616" si="21470">D6601</f>
        <v>1</v>
      </c>
      <c r="Z6616" s="400" t="s">
        <v>176</v>
      </c>
      <c r="AA6616" s="402">
        <f t="shared" si="21466"/>
        <v>0</v>
      </c>
      <c r="AB6616" s="403"/>
    </row>
    <row r="6617" spans="1:28">
      <c r="A6617" s="384" t="str">
        <f t="shared" ref="A6617:B6617" si="21471">A6595</f>
        <v>Lantai Atap</v>
      </c>
      <c r="B6617" s="385" t="str">
        <f t="shared" si="21471"/>
        <v>13A</v>
      </c>
      <c r="C6617" s="393" t="s">
        <v>211</v>
      </c>
      <c r="D6617" s="398">
        <f>VLOOKUP(D6595,'Detail Balok'!$C$10:$AU$140,41,FALSE)</f>
        <v>0</v>
      </c>
      <c r="E6617" s="388" t="s">
        <v>16</v>
      </c>
      <c r="F6617" s="388">
        <f>VLOOKUP(D6595,'Detail Balok'!$C$10:$AU$140,43,FALSE)</f>
        <v>10</v>
      </c>
      <c r="G6617" s="405" t="s">
        <v>157</v>
      </c>
      <c r="H6617" s="395">
        <f>VLOOKUP(D6595,'Detail Balok'!$C$10:$AU$140,45,FALSE)</f>
        <v>100</v>
      </c>
      <c r="I6617" s="388"/>
      <c r="J6617" s="400">
        <f t="shared" ref="J6617" si="21472">(IF(D6617=0,(2*(D6596+G6596))-(F$5*8),IF(D6617=3,(2*(D6596+G6596))-(F$5*8)+(G6596-2*F$5),IF(D6617=4,(2*(D6596+G6596))-(F$5*8)+2*(G6596-2*F$5)))))/1000</f>
        <v>1.08</v>
      </c>
      <c r="K6617" s="400" t="s">
        <v>204</v>
      </c>
      <c r="L6617" s="399">
        <f t="shared" si="21461"/>
        <v>0.15</v>
      </c>
      <c r="M6617" s="399" t="s">
        <v>176</v>
      </c>
      <c r="N6617" s="399">
        <f t="shared" si="21462"/>
        <v>1.23</v>
      </c>
      <c r="O6617" s="399"/>
      <c r="P6617" s="389"/>
      <c r="Q6617" s="399"/>
      <c r="R6617" s="399"/>
      <c r="S6617" s="399"/>
      <c r="T6617" s="399" t="s">
        <v>125</v>
      </c>
      <c r="U6617" s="401">
        <f t="shared" si="21463"/>
        <v>0.61650000000000005</v>
      </c>
      <c r="V6617" s="399" t="s">
        <v>125</v>
      </c>
      <c r="W6617" s="399">
        <f t="shared" ref="W6617" si="21473">IF(D6598&gt;4*G6596,ROUND(MAX(D6598/4,2*G6596)/H6617,0)+1,0)</f>
        <v>0</v>
      </c>
      <c r="X6617" s="399" t="s">
        <v>125</v>
      </c>
      <c r="Y6617" s="389">
        <f t="shared" ref="Y6617" si="21474">D6601</f>
        <v>1</v>
      </c>
      <c r="Z6617" s="400" t="s">
        <v>176</v>
      </c>
      <c r="AA6617" s="402">
        <f t="shared" si="21466"/>
        <v>0</v>
      </c>
      <c r="AB6617" s="403"/>
    </row>
    <row r="6618" spans="1:28">
      <c r="A6618" s="384"/>
      <c r="B6618" s="385"/>
      <c r="C6618" s="393"/>
      <c r="D6618" s="394"/>
      <c r="E6618" s="388"/>
      <c r="F6618" s="388"/>
      <c r="G6618" s="388"/>
      <c r="H6618" s="395"/>
      <c r="I6618" s="388"/>
      <c r="J6618" s="399"/>
      <c r="K6618" s="396"/>
      <c r="L6618" s="396"/>
      <c r="M6618" s="396"/>
      <c r="N6618" s="396"/>
      <c r="O6618" s="396"/>
      <c r="P6618" s="389"/>
      <c r="Q6618" s="396"/>
      <c r="R6618" s="396"/>
      <c r="S6618" s="396"/>
      <c r="T6618" s="396"/>
      <c r="U6618" s="401"/>
      <c r="V6618" s="396"/>
      <c r="W6618" s="388"/>
      <c r="X6618" s="396"/>
      <c r="Y6618" s="389"/>
      <c r="Z6618" s="396"/>
      <c r="AA6618" s="388"/>
      <c r="AB6618" s="390"/>
    </row>
    <row r="6619" spans="1:28">
      <c r="A6619" s="384" t="str">
        <f t="shared" ref="A6619:B6619" si="21475">A6595</f>
        <v>Lantai Atap</v>
      </c>
      <c r="B6619" s="385" t="str">
        <f t="shared" si="21475"/>
        <v>13A</v>
      </c>
      <c r="C6619" s="393" t="s">
        <v>213</v>
      </c>
      <c r="D6619" s="398">
        <f>VLOOKUP(D6595,'Detail Balok'!$C$10:$BJ$140,46,FALSE)</f>
        <v>0</v>
      </c>
      <c r="E6619" s="388" t="s">
        <v>16</v>
      </c>
      <c r="F6619" s="388">
        <f>VLOOKUP(D6595,'Detail Balok'!$C$10:$BJ$140,48,FALSE)</f>
        <v>0</v>
      </c>
      <c r="G6619" s="405" t="s">
        <v>157</v>
      </c>
      <c r="H6619" s="395">
        <f>VLOOKUP(D6595,'Detail Balok'!$C$10:$BJ$140,50,FALSE)</f>
        <v>100</v>
      </c>
      <c r="I6619" s="388"/>
      <c r="J6619" s="399">
        <f t="shared" ref="J6619" si="21476">(D6596-2*F$5)/1000</f>
        <v>0.17</v>
      </c>
      <c r="K6619" s="400" t="s">
        <v>204</v>
      </c>
      <c r="L6619" s="399">
        <f t="shared" ref="L6619:L6621" si="21477">IF(D6619=0,2*MAX(6*F6619,75),(D6619-1)*2*MAX(6*F6619,75))/1000</f>
        <v>0.15</v>
      </c>
      <c r="M6619" s="399" t="s">
        <v>176</v>
      </c>
      <c r="N6619" s="399">
        <f t="shared" ref="N6619:N6621" si="21478">J6619+L6619</f>
        <v>0.32</v>
      </c>
      <c r="O6619" s="399"/>
      <c r="P6619" s="399"/>
      <c r="Q6619" s="399"/>
      <c r="R6619" s="399"/>
      <c r="S6619" s="399"/>
      <c r="T6619" s="399" t="s">
        <v>125</v>
      </c>
      <c r="U6619" s="401">
        <f t="shared" ref="U6619:U6621" si="21479">0.006165*F6619^2</f>
        <v>0</v>
      </c>
      <c r="V6619" s="399" t="s">
        <v>125</v>
      </c>
      <c r="W6619" s="399">
        <f t="shared" ref="W6619:W6621" si="21480">W6615</f>
        <v>11</v>
      </c>
      <c r="X6619" s="399" t="s">
        <v>125</v>
      </c>
      <c r="Y6619" s="389">
        <f t="shared" ref="Y6619" si="21481">D6605</f>
        <v>3</v>
      </c>
      <c r="Z6619" s="400" t="s">
        <v>176</v>
      </c>
      <c r="AA6619" s="402">
        <f t="shared" ref="AA6619:AA6621" si="21482">N6619*U6619*W6619*Y6619</f>
        <v>0</v>
      </c>
      <c r="AB6619" s="403"/>
    </row>
    <row r="6620" spans="1:28">
      <c r="A6620" s="384" t="str">
        <f t="shared" ref="A6620:B6620" si="21483">A6595</f>
        <v>Lantai Atap</v>
      </c>
      <c r="B6620" s="385" t="str">
        <f t="shared" si="21483"/>
        <v>13A</v>
      </c>
      <c r="C6620" s="393" t="s">
        <v>214</v>
      </c>
      <c r="D6620" s="398">
        <f>VLOOKUP(D6595,'Detail Balok'!$C$10:$BJ$140,51,FALSE)</f>
        <v>0</v>
      </c>
      <c r="E6620" s="388" t="s">
        <v>16</v>
      </c>
      <c r="F6620" s="388">
        <f>VLOOKUP(D6595,'Detail Balok'!$C$10:$BJ$140,53,FALSE)</f>
        <v>0</v>
      </c>
      <c r="G6620" s="405" t="s">
        <v>157</v>
      </c>
      <c r="H6620" s="395">
        <f>VLOOKUP(D6595,'Detail Balok'!$C$10:$BJ$140,55,FALSE)</f>
        <v>100</v>
      </c>
      <c r="I6620" s="388"/>
      <c r="J6620" s="399">
        <f t="shared" ref="J6620" si="21484">(D6596-2*F$5)/1000</f>
        <v>0.17</v>
      </c>
      <c r="K6620" s="400" t="s">
        <v>204</v>
      </c>
      <c r="L6620" s="399">
        <f t="shared" si="21477"/>
        <v>0.15</v>
      </c>
      <c r="M6620" s="399" t="s">
        <v>176</v>
      </c>
      <c r="N6620" s="399">
        <f t="shared" si="21478"/>
        <v>0.32</v>
      </c>
      <c r="O6620" s="399"/>
      <c r="P6620" s="399"/>
      <c r="Q6620" s="399"/>
      <c r="R6620" s="399"/>
      <c r="S6620" s="399"/>
      <c r="T6620" s="399" t="s">
        <v>125</v>
      </c>
      <c r="U6620" s="401">
        <f t="shared" si="21479"/>
        <v>0</v>
      </c>
      <c r="V6620" s="399" t="s">
        <v>125</v>
      </c>
      <c r="W6620" s="399">
        <f t="shared" si="21480"/>
        <v>0</v>
      </c>
      <c r="X6620" s="399" t="s">
        <v>125</v>
      </c>
      <c r="Y6620" s="389">
        <f t="shared" ref="Y6620" si="21485">D6605</f>
        <v>3</v>
      </c>
      <c r="Z6620" s="400" t="s">
        <v>176</v>
      </c>
      <c r="AA6620" s="402">
        <f t="shared" si="21482"/>
        <v>0</v>
      </c>
      <c r="AB6620" s="403"/>
    </row>
    <row r="6621" spans="1:28">
      <c r="A6621" s="384" t="str">
        <f t="shared" ref="A6621:B6621" si="21486">A6595</f>
        <v>Lantai Atap</v>
      </c>
      <c r="B6621" s="385" t="str">
        <f t="shared" si="21486"/>
        <v>13A</v>
      </c>
      <c r="C6621" s="393" t="s">
        <v>213</v>
      </c>
      <c r="D6621" s="398">
        <f>VLOOKUP(D6595,'Detail Balok'!$C$10:$BJ$140,56,FALSE)</f>
        <v>0</v>
      </c>
      <c r="E6621" s="388" t="s">
        <v>16</v>
      </c>
      <c r="F6621" s="388">
        <f>VLOOKUP(D6595,'Detail Balok'!$C$10:$BJ$140,58,FALSE)</f>
        <v>0</v>
      </c>
      <c r="G6621" s="405" t="s">
        <v>157</v>
      </c>
      <c r="H6621" s="395">
        <f>VLOOKUP(D6595,'Detail Balok'!$C$10:$BJ$140,60,FALSE)</f>
        <v>100</v>
      </c>
      <c r="I6621" s="388"/>
      <c r="J6621" s="399">
        <f t="shared" ref="J6621" si="21487">(D6596-2*F$5)/1000</f>
        <v>0.17</v>
      </c>
      <c r="K6621" s="400" t="s">
        <v>204</v>
      </c>
      <c r="L6621" s="399">
        <f t="shared" si="21477"/>
        <v>0.15</v>
      </c>
      <c r="M6621" s="399" t="s">
        <v>176</v>
      </c>
      <c r="N6621" s="399">
        <f t="shared" si="21478"/>
        <v>0.32</v>
      </c>
      <c r="O6621" s="399"/>
      <c r="P6621" s="399"/>
      <c r="Q6621" s="399"/>
      <c r="R6621" s="399"/>
      <c r="S6621" s="399"/>
      <c r="T6621" s="399" t="s">
        <v>125</v>
      </c>
      <c r="U6621" s="401">
        <f t="shared" si="21479"/>
        <v>0</v>
      </c>
      <c r="V6621" s="399" t="s">
        <v>125</v>
      </c>
      <c r="W6621" s="399">
        <f t="shared" si="21480"/>
        <v>0</v>
      </c>
      <c r="X6621" s="399" t="s">
        <v>125</v>
      </c>
      <c r="Y6621" s="389">
        <f t="shared" ref="Y6621" si="21488">D6605</f>
        <v>3</v>
      </c>
      <c r="Z6621" s="400" t="s">
        <v>176</v>
      </c>
      <c r="AA6621" s="402">
        <f t="shared" si="21482"/>
        <v>0</v>
      </c>
      <c r="AB6621" s="403"/>
    </row>
    <row r="6622" spans="1:28">
      <c r="A6622" s="391"/>
      <c r="B6622" s="392"/>
      <c r="C6622" s="392"/>
      <c r="D6622" s="394"/>
      <c r="E6622" s="388"/>
      <c r="F6622" s="388"/>
      <c r="G6622" s="388"/>
      <c r="H6622" s="395"/>
      <c r="I6622" s="388"/>
      <c r="J6622" s="402"/>
      <c r="K6622" s="388"/>
      <c r="L6622" s="388"/>
      <c r="M6622" s="388"/>
      <c r="N6622" s="388"/>
      <c r="O6622" s="388"/>
      <c r="P6622" s="388"/>
      <c r="Q6622" s="388"/>
      <c r="R6622" s="388"/>
      <c r="S6622" s="388"/>
      <c r="T6622" s="388"/>
      <c r="U6622" s="388"/>
      <c r="V6622" s="388"/>
      <c r="W6622" s="388"/>
      <c r="X6622" s="388"/>
      <c r="Y6622" s="389"/>
      <c r="Z6622" s="388"/>
      <c r="AA6622" s="402"/>
      <c r="AB6622" s="403"/>
    </row>
    <row r="6623" spans="1:28" ht="15.75" thickBot="1">
      <c r="A6623" s="406"/>
      <c r="B6623" s="407"/>
      <c r="C6623" s="407"/>
      <c r="D6623" s="408"/>
      <c r="E6623" s="409"/>
      <c r="F6623" s="409"/>
      <c r="G6623" s="409"/>
      <c r="H6623" s="410"/>
      <c r="I6623" s="409"/>
      <c r="J6623" s="409"/>
      <c r="K6623" s="409"/>
      <c r="L6623" s="409"/>
      <c r="M6623" s="409"/>
      <c r="N6623" s="409"/>
      <c r="O6623" s="409"/>
      <c r="P6623" s="409"/>
      <c r="Q6623" s="409"/>
      <c r="R6623" s="409"/>
      <c r="S6623" s="409"/>
      <c r="T6623" s="409"/>
      <c r="U6623" s="409"/>
      <c r="V6623" s="409"/>
      <c r="W6623" s="409"/>
      <c r="X6623" s="409"/>
      <c r="Y6623" s="411"/>
      <c r="Z6623" s="409"/>
      <c r="AA6623" s="412"/>
      <c r="AB6623" s="413"/>
    </row>
    <row r="6624" spans="1:28">
      <c r="A6624" s="377"/>
      <c r="B6624" s="378"/>
      <c r="C6624" s="378"/>
      <c r="D6624" s="379"/>
      <c r="E6624" s="380"/>
      <c r="F6624" s="380"/>
      <c r="G6624" s="380"/>
      <c r="H6624" s="381"/>
      <c r="I6624" s="380"/>
      <c r="J6624" s="380"/>
      <c r="K6624" s="380"/>
      <c r="L6624" s="380"/>
      <c r="M6624" s="380"/>
      <c r="N6624" s="380"/>
      <c r="O6624" s="380"/>
      <c r="P6624" s="380"/>
      <c r="Q6624" s="380"/>
      <c r="R6624" s="380"/>
      <c r="S6624" s="380"/>
      <c r="T6624" s="380"/>
      <c r="U6624" s="380"/>
      <c r="V6624" s="380"/>
      <c r="W6624" s="380"/>
      <c r="X6624" s="380"/>
      <c r="Y6624" s="382"/>
      <c r="Z6624" s="380"/>
      <c r="AA6624" s="380"/>
      <c r="AB6624" s="383"/>
    </row>
    <row r="6625" spans="1:28">
      <c r="A6625" s="384" t="str">
        <f>A6565</f>
        <v>Lantai Atap</v>
      </c>
      <c r="B6625" s="385">
        <f>B6565+1</f>
        <v>14</v>
      </c>
      <c r="C6625" s="386" t="str">
        <f t="shared" ref="C6625" si="21489">CONCATENATE(A6625," no. ",B6625)</f>
        <v>Lantai Atap no. 14</v>
      </c>
      <c r="D6625" s="2562" t="str">
        <f>VLOOKUP(C6625,'Data Panjang Balok'!$C$9:$N$254,2,FALSE)</f>
        <v>B24-1</v>
      </c>
      <c r="E6625" s="2576"/>
      <c r="F6625" s="2576"/>
      <c r="G6625" s="2576"/>
      <c r="H6625" s="2577"/>
      <c r="I6625" s="387"/>
      <c r="J6625" s="388"/>
      <c r="K6625" s="388"/>
      <c r="L6625" s="388"/>
      <c r="M6625" s="388"/>
      <c r="N6625" s="388"/>
      <c r="O6625" s="388"/>
      <c r="P6625" s="388"/>
      <c r="Q6625" s="388"/>
      <c r="R6625" s="388"/>
      <c r="S6625" s="388"/>
      <c r="T6625" s="388"/>
      <c r="U6625" s="388"/>
      <c r="V6625" s="388"/>
      <c r="W6625" s="388"/>
      <c r="X6625" s="388"/>
      <c r="Y6625" s="389"/>
      <c r="Z6625" s="388"/>
      <c r="AA6625" s="388"/>
      <c r="AB6625" s="390"/>
    </row>
    <row r="6626" spans="1:28">
      <c r="A6626" s="391"/>
      <c r="B6626" s="392"/>
      <c r="C6626" s="393" t="s">
        <v>118</v>
      </c>
      <c r="D6626" s="2578">
        <f>VLOOKUP(D6625,'Detail Balok'!$C$10:$AU$140,2,FALSE)</f>
        <v>200</v>
      </c>
      <c r="E6626" s="2579"/>
      <c r="F6626" s="388" t="s">
        <v>125</v>
      </c>
      <c r="G6626" s="2579">
        <f>VLOOKUP(D6625,'Detail Balok'!$C$10:$AU$140,3,FALSE)</f>
        <v>400</v>
      </c>
      <c r="H6626" s="2580"/>
      <c r="I6626" s="388"/>
      <c r="J6626" s="396"/>
      <c r="K6626" s="396"/>
      <c r="L6626" s="396"/>
      <c r="M6626" s="396"/>
      <c r="N6626" s="396"/>
      <c r="O6626" s="396"/>
      <c r="P6626" s="396"/>
      <c r="Q6626" s="396"/>
      <c r="R6626" s="396"/>
      <c r="S6626" s="396"/>
      <c r="T6626" s="396"/>
      <c r="U6626" s="388"/>
      <c r="V6626" s="396"/>
      <c r="W6626" s="388"/>
      <c r="X6626" s="396"/>
      <c r="Y6626" s="389"/>
      <c r="Z6626" s="396"/>
      <c r="AA6626" s="388"/>
      <c r="AB6626" s="390"/>
    </row>
    <row r="6627" spans="1:28">
      <c r="A6627" s="391"/>
      <c r="B6627" s="392"/>
      <c r="C6627" s="393" t="s">
        <v>198</v>
      </c>
      <c r="D6627" s="2562">
        <f>VLOOKUP(C6625,'Data Panjang Balok'!$C$9:$N$254,4,FALSE)</f>
        <v>5150</v>
      </c>
      <c r="E6627" s="2563"/>
      <c r="F6627" s="2563"/>
      <c r="G6627" s="2563"/>
      <c r="H6627" s="2564"/>
      <c r="I6627" s="397"/>
      <c r="J6627" s="396"/>
      <c r="K6627" s="396"/>
      <c r="L6627" s="396"/>
      <c r="M6627" s="396"/>
      <c r="N6627" s="396"/>
      <c r="O6627" s="396"/>
      <c r="P6627" s="396"/>
      <c r="Q6627" s="396"/>
      <c r="R6627" s="396"/>
      <c r="S6627" s="396"/>
      <c r="T6627" s="396"/>
      <c r="U6627" s="388"/>
      <c r="V6627" s="396"/>
      <c r="W6627" s="388"/>
      <c r="X6627" s="396"/>
      <c r="Y6627" s="389"/>
      <c r="Z6627" s="396"/>
      <c r="AA6627" s="388"/>
      <c r="AB6627" s="390"/>
    </row>
    <row r="6628" spans="1:28">
      <c r="A6628" s="391"/>
      <c r="B6628" s="392"/>
      <c r="C6628" s="393" t="s">
        <v>199</v>
      </c>
      <c r="D6628" s="2562">
        <f>VLOOKUP(C6625,'Data Panjang Balok'!$C$9:$N$254,7,FALSE)</f>
        <v>5150</v>
      </c>
      <c r="E6628" s="2563"/>
      <c r="F6628" s="2563"/>
      <c r="G6628" s="2563"/>
      <c r="H6628" s="2564"/>
      <c r="I6628" s="397"/>
      <c r="J6628" s="396"/>
      <c r="K6628" s="396"/>
      <c r="L6628" s="396"/>
      <c r="M6628" s="396"/>
      <c r="N6628" s="396"/>
      <c r="O6628" s="396"/>
      <c r="P6628" s="396"/>
      <c r="Q6628" s="396"/>
      <c r="R6628" s="396"/>
      <c r="S6628" s="396"/>
      <c r="T6628" s="396"/>
      <c r="U6628" s="388"/>
      <c r="V6628" s="396"/>
      <c r="W6628" s="388"/>
      <c r="X6628" s="396"/>
      <c r="Y6628" s="389"/>
      <c r="Z6628" s="396"/>
      <c r="AA6628" s="388"/>
      <c r="AB6628" s="390"/>
    </row>
    <row r="6629" spans="1:28">
      <c r="A6629" s="391"/>
      <c r="B6629" s="392"/>
      <c r="C6629" s="393" t="s">
        <v>200</v>
      </c>
      <c r="D6629" s="2562">
        <f>VLOOKUP(C6625,'Data Panjang Balok'!$C$9:$N$254,9,FALSE)</f>
        <v>0</v>
      </c>
      <c r="E6629" s="2563"/>
      <c r="F6629" s="2563"/>
      <c r="G6629" s="2563"/>
      <c r="H6629" s="2564"/>
      <c r="I6629" s="397"/>
      <c r="J6629" s="396"/>
      <c r="K6629" s="396"/>
      <c r="L6629" s="396"/>
      <c r="M6629" s="396"/>
      <c r="N6629" s="396"/>
      <c r="O6629" s="396"/>
      <c r="P6629" s="396"/>
      <c r="Q6629" s="396"/>
      <c r="R6629" s="396"/>
      <c r="S6629" s="396"/>
      <c r="T6629" s="396"/>
      <c r="U6629" s="388"/>
      <c r="V6629" s="396"/>
      <c r="W6629" s="388"/>
      <c r="X6629" s="396"/>
      <c r="Y6629" s="389"/>
      <c r="Z6629" s="396"/>
      <c r="AA6629" s="388"/>
      <c r="AB6629" s="390"/>
    </row>
    <row r="6630" spans="1:28">
      <c r="A6630" s="391"/>
      <c r="B6630" s="392"/>
      <c r="C6630" s="393" t="s">
        <v>201</v>
      </c>
      <c r="D6630" s="2562">
        <f>VLOOKUP(C6625,'Data Panjang Balok'!$C$9:$N$254,10,FALSE)</f>
        <v>0</v>
      </c>
      <c r="E6630" s="2563"/>
      <c r="F6630" s="2563"/>
      <c r="G6630" s="2563"/>
      <c r="H6630" s="2564"/>
      <c r="I6630" s="397"/>
      <c r="J6630" s="396"/>
      <c r="K6630" s="396"/>
      <c r="L6630" s="396"/>
      <c r="M6630" s="396"/>
      <c r="N6630" s="396"/>
      <c r="O6630" s="396"/>
      <c r="P6630" s="396"/>
      <c r="Q6630" s="396"/>
      <c r="R6630" s="396"/>
      <c r="S6630" s="396"/>
      <c r="T6630" s="396"/>
      <c r="U6630" s="388"/>
      <c r="V6630" s="396"/>
      <c r="W6630" s="388"/>
      <c r="X6630" s="396"/>
      <c r="Y6630" s="389"/>
      <c r="Z6630" s="396"/>
      <c r="AA6630" s="388"/>
      <c r="AB6630" s="390"/>
    </row>
    <row r="6631" spans="1:28">
      <c r="A6631" s="391"/>
      <c r="B6631" s="392"/>
      <c r="C6631" s="393" t="s">
        <v>48</v>
      </c>
      <c r="D6631" s="2562">
        <f>VLOOKUP(C6625,'Data Panjang Balok'!$C$9:$N$254,3,FALSE)</f>
        <v>1</v>
      </c>
      <c r="E6631" s="2563"/>
      <c r="F6631" s="2563"/>
      <c r="G6631" s="2563"/>
      <c r="H6631" s="2564"/>
      <c r="I6631" s="397"/>
      <c r="J6631" s="396"/>
      <c r="K6631" s="396"/>
      <c r="L6631" s="396"/>
      <c r="M6631" s="396"/>
      <c r="N6631" s="396"/>
      <c r="O6631" s="396"/>
      <c r="P6631" s="396"/>
      <c r="Q6631" s="396"/>
      <c r="R6631" s="396"/>
      <c r="S6631" s="396"/>
      <c r="T6631" s="396"/>
      <c r="U6631" s="388"/>
      <c r="V6631" s="396"/>
      <c r="W6631" s="388"/>
      <c r="X6631" s="396"/>
      <c r="Y6631" s="389"/>
      <c r="Z6631" s="396"/>
      <c r="AA6631" s="388"/>
      <c r="AB6631" s="390"/>
    </row>
    <row r="6632" spans="1:28">
      <c r="A6632" s="384" t="str">
        <f t="shared" ref="A6632:B6632" si="21490">A6625</f>
        <v>Lantai Atap</v>
      </c>
      <c r="B6632" s="385">
        <f t="shared" si="21490"/>
        <v>14</v>
      </c>
      <c r="C6632" s="393" t="s">
        <v>202</v>
      </c>
      <c r="D6632" s="398">
        <f>VLOOKUP(D6625,'Detail Balok'!$C$10:$AU$140,4,FALSE)</f>
        <v>3</v>
      </c>
      <c r="E6632" s="388" t="s">
        <v>16</v>
      </c>
      <c r="F6632" s="388">
        <f>VLOOKUP(D6625,'Detail Balok'!$C$10:$AU$140,6,FALSE)</f>
        <v>13</v>
      </c>
      <c r="G6632" s="388"/>
      <c r="H6632" s="395"/>
      <c r="I6632" s="388" t="s">
        <v>203</v>
      </c>
      <c r="J6632" s="399">
        <f t="shared" ref="J6632" si="21491">+D6627/4/1000</f>
        <v>1.2875000000000001</v>
      </c>
      <c r="K6632" s="400" t="s">
        <v>204</v>
      </c>
      <c r="L6632" s="399">
        <f t="shared" ref="L6632" si="21492">MAX(VLOOKUP(F6632,N$6:P$15,3,FALSE)/1000,2/3*D6629/1000)+F$16*F6632/1000</f>
        <v>0.156</v>
      </c>
      <c r="M6632" s="399" t="s">
        <v>176</v>
      </c>
      <c r="N6632" s="399">
        <f t="shared" ref="N6632:N6634" si="21493">J6632+L6632</f>
        <v>1.4435</v>
      </c>
      <c r="O6632" s="399" t="s">
        <v>204</v>
      </c>
      <c r="P6632" s="389">
        <f t="shared" ref="P6632" si="21494">D6632-D6633</f>
        <v>0</v>
      </c>
      <c r="Q6632" s="399" t="s">
        <v>125</v>
      </c>
      <c r="R6632" s="399">
        <f t="shared" ref="R6632" si="21495">IF(P6632&gt;0,$F$18*F6632/1000,0)</f>
        <v>0</v>
      </c>
      <c r="S6632" s="399" t="s">
        <v>205</v>
      </c>
      <c r="T6632" s="399" t="s">
        <v>125</v>
      </c>
      <c r="U6632" s="401">
        <f t="shared" ref="U6632:U6634" si="21496">0.006165*F6632^2</f>
        <v>1.041885</v>
      </c>
      <c r="V6632" s="399"/>
      <c r="W6632" s="399"/>
      <c r="X6632" s="399" t="s">
        <v>125</v>
      </c>
      <c r="Y6632" s="389">
        <f t="shared" ref="Y6632" si="21497">D6631</f>
        <v>1</v>
      </c>
      <c r="Z6632" s="400" t="s">
        <v>176</v>
      </c>
      <c r="AA6632" s="402">
        <f t="shared" ref="AA6632" si="21498">IF(AA6635=0,(D6632*N6632+P6632*R6632)*U6632*Y6632,0)</f>
        <v>0</v>
      </c>
      <c r="AB6632" s="403"/>
    </row>
    <row r="6633" spans="1:28">
      <c r="A6633" s="384" t="str">
        <f t="shared" ref="A6633:B6633" si="21499">A6625</f>
        <v>Lantai Atap</v>
      </c>
      <c r="B6633" s="385">
        <f t="shared" si="21499"/>
        <v>14</v>
      </c>
      <c r="C6633" s="393" t="s">
        <v>206</v>
      </c>
      <c r="D6633" s="398">
        <f>VLOOKUP(D6625,'Detail Balok'!$C$10:$AU$140,7,FALSE)</f>
        <v>3</v>
      </c>
      <c r="E6633" s="388" t="s">
        <v>16</v>
      </c>
      <c r="F6633" s="388">
        <f>VLOOKUP(D6625,'Detail Balok'!$C$10:$AU$140,9,FALSE)</f>
        <v>13</v>
      </c>
      <c r="G6633" s="388"/>
      <c r="H6633" s="395"/>
      <c r="I6633" s="388" t="s">
        <v>203</v>
      </c>
      <c r="J6633" s="399">
        <f t="shared" ref="J6633" si="21500">+D6627/2/1000</f>
        <v>2.5750000000000002</v>
      </c>
      <c r="K6633" s="400" t="s">
        <v>204</v>
      </c>
      <c r="L6633" s="399"/>
      <c r="M6633" s="399" t="s">
        <v>176</v>
      </c>
      <c r="N6633" s="399">
        <f t="shared" si="21493"/>
        <v>2.5750000000000002</v>
      </c>
      <c r="O6633" s="399" t="s">
        <v>204</v>
      </c>
      <c r="P6633" s="389">
        <f t="shared" ref="P6633" si="21501">MAX(D6633-D6632,D6633-D6634)</f>
        <v>0</v>
      </c>
      <c r="Q6633" s="399" t="s">
        <v>125</v>
      </c>
      <c r="R6633" s="399">
        <f t="shared" ref="R6633" si="21502">IF(P6633&gt;0,2*(1-2*$F$19-1/2)*D6628/1000,0)</f>
        <v>0</v>
      </c>
      <c r="S6633" s="399" t="s">
        <v>205</v>
      </c>
      <c r="T6633" s="399" t="s">
        <v>125</v>
      </c>
      <c r="U6633" s="401">
        <f t="shared" si="21496"/>
        <v>1.041885</v>
      </c>
      <c r="V6633" s="399"/>
      <c r="W6633" s="399"/>
      <c r="X6633" s="399" t="s">
        <v>125</v>
      </c>
      <c r="Y6633" s="389">
        <f t="shared" ref="Y6633" si="21503">D6631</f>
        <v>1</v>
      </c>
      <c r="Z6633" s="400" t="s">
        <v>176</v>
      </c>
      <c r="AA6633" s="402">
        <f t="shared" ref="AA6633" si="21504">IF(AA6635=0,(D6633*N6633+P6633*R6633)*U6633*Y6633,0)</f>
        <v>0</v>
      </c>
      <c r="AB6633" s="403"/>
    </row>
    <row r="6634" spans="1:28">
      <c r="A6634" s="384" t="str">
        <f t="shared" ref="A6634:B6634" si="21505">A6625</f>
        <v>Lantai Atap</v>
      </c>
      <c r="B6634" s="385">
        <f t="shared" si="21505"/>
        <v>14</v>
      </c>
      <c r="C6634" s="393" t="s">
        <v>202</v>
      </c>
      <c r="D6634" s="398">
        <f>VLOOKUP(D6625,'Detail Balok'!$C$10:$AU$140,10,FALSE)</f>
        <v>3</v>
      </c>
      <c r="E6634" s="388" t="s">
        <v>16</v>
      </c>
      <c r="F6634" s="388">
        <f>VLOOKUP(D6625,'Detail Balok'!$C$10:$AU$140,12,FALSE)</f>
        <v>13</v>
      </c>
      <c r="G6634" s="388"/>
      <c r="H6634" s="395"/>
      <c r="I6634" s="388" t="s">
        <v>203</v>
      </c>
      <c r="J6634" s="399">
        <f t="shared" ref="J6634" si="21506">+D6627/4/1000</f>
        <v>1.2875000000000001</v>
      </c>
      <c r="K6634" s="400" t="s">
        <v>204</v>
      </c>
      <c r="L6634" s="399">
        <f t="shared" ref="L6634" si="21507">MAX(VLOOKUP(F6634,N$6:P$15,3,FALSE)/1000,2/3*D6629/1000)+F$16*F6634/1000</f>
        <v>0.156</v>
      </c>
      <c r="M6634" s="399" t="s">
        <v>176</v>
      </c>
      <c r="N6634" s="399">
        <f t="shared" si="21493"/>
        <v>1.4435</v>
      </c>
      <c r="O6634" s="399" t="s">
        <v>204</v>
      </c>
      <c r="P6634" s="389">
        <f t="shared" ref="P6634" si="21508">D6634-D6633</f>
        <v>0</v>
      </c>
      <c r="Q6634" s="399" t="s">
        <v>125</v>
      </c>
      <c r="R6634" s="399">
        <f t="shared" ref="R6634" si="21509">IF(P6634&gt;0,$F$18*F6634/1000,0)</f>
        <v>0</v>
      </c>
      <c r="S6634" s="399" t="s">
        <v>205</v>
      </c>
      <c r="T6634" s="399" t="s">
        <v>125</v>
      </c>
      <c r="U6634" s="401">
        <f t="shared" si="21496"/>
        <v>1.041885</v>
      </c>
      <c r="V6634" s="399"/>
      <c r="W6634" s="399"/>
      <c r="X6634" s="399" t="s">
        <v>125</v>
      </c>
      <c r="Y6634" s="389">
        <f t="shared" ref="Y6634" si="21510">D6631</f>
        <v>1</v>
      </c>
      <c r="Z6634" s="400" t="s">
        <v>176</v>
      </c>
      <c r="AA6634" s="402">
        <f t="shared" ref="AA6634" si="21511">IF(AA6635=0,(D6634*N6634+P6634*R6634)*U6634*Y6634,0)</f>
        <v>0</v>
      </c>
      <c r="AB6634" s="403"/>
    </row>
    <row r="6635" spans="1:28">
      <c r="A6635" s="384" t="str">
        <f t="shared" ref="A6635:B6635" si="21512">A6625</f>
        <v>Lantai Atap</v>
      </c>
      <c r="B6635" s="385">
        <f t="shared" si="21512"/>
        <v>14</v>
      </c>
      <c r="C6635" s="393"/>
      <c r="D6635" s="398">
        <f t="shared" ref="D6635:D6695" si="21513">IF(AND(D6632=D6633,D6633=D6634,D6632=D6634),D6632,0)</f>
        <v>3</v>
      </c>
      <c r="E6635" s="388" t="s">
        <v>16</v>
      </c>
      <c r="F6635" s="388">
        <f t="shared" ref="F6635:F6695" si="21514">IF(AND(F6632=F6633,F6632=F6634,F6633=F6634),F6632,0)</f>
        <v>13</v>
      </c>
      <c r="G6635" s="388"/>
      <c r="H6635" s="395"/>
      <c r="I6635" s="388"/>
      <c r="J6635" s="396"/>
      <c r="K6635" s="396"/>
      <c r="L6635" s="404" t="s">
        <v>207</v>
      </c>
      <c r="M6635" s="399" t="s">
        <v>176</v>
      </c>
      <c r="N6635" s="399">
        <f t="shared" ref="N6635" si="21515">IF(AND(D6632=D6633,D6632=D6634,D6633=D6634,F6632=F6633,F6632=F6634,F6633=F6634),SUM(N6632:N6634),0)</f>
        <v>5.4620000000000006</v>
      </c>
      <c r="O6635" s="399" t="s">
        <v>204</v>
      </c>
      <c r="P6635" s="389">
        <f t="shared" ref="P6635" si="21516">IF(N6635&gt;12,ROUNDDOWN(N6635/12,0),0)</f>
        <v>0</v>
      </c>
      <c r="Q6635" s="399" t="s">
        <v>125</v>
      </c>
      <c r="R6635" s="399">
        <f t="shared" ref="R6635" si="21517">IF(P6635&gt;0,MAX(VLOOKUP(F6635,$D$6:$G$15,3,FALSE),600),0)/1000</f>
        <v>0</v>
      </c>
      <c r="S6635" s="396"/>
      <c r="T6635" s="396" t="s">
        <v>125</v>
      </c>
      <c r="U6635" s="401">
        <f t="shared" ref="U6635:U6695" si="21518">U6634</f>
        <v>1.041885</v>
      </c>
      <c r="V6635" s="396" t="s">
        <v>125</v>
      </c>
      <c r="W6635" s="399">
        <f t="shared" ref="W6635" si="21519">D6635</f>
        <v>3</v>
      </c>
      <c r="X6635" s="399" t="s">
        <v>125</v>
      </c>
      <c r="Y6635" s="389">
        <f t="shared" ref="Y6635:Y6695" si="21520">Y6634</f>
        <v>1</v>
      </c>
      <c r="Z6635" s="400" t="s">
        <v>176</v>
      </c>
      <c r="AA6635" s="402">
        <f t="shared" ref="AA6635" si="21521">(N6635+P6635*R6635/1000)*U6635*W6635*Y6635</f>
        <v>17.072327610000002</v>
      </c>
      <c r="AB6635" s="390"/>
    </row>
    <row r="6636" spans="1:28">
      <c r="A6636" s="384"/>
      <c r="B6636" s="385"/>
      <c r="C6636" s="393"/>
      <c r="D6636" s="398"/>
      <c r="E6636" s="388"/>
      <c r="F6636" s="388"/>
      <c r="G6636" s="388"/>
      <c r="H6636" s="395"/>
      <c r="I6636" s="388"/>
      <c r="J6636" s="396"/>
      <c r="K6636" s="396"/>
      <c r="L6636" s="404"/>
      <c r="M6636" s="399"/>
      <c r="N6636" s="399"/>
      <c r="O6636" s="396"/>
      <c r="P6636" s="389"/>
      <c r="Q6636" s="396"/>
      <c r="R6636" s="396"/>
      <c r="S6636" s="396"/>
      <c r="T6636" s="396"/>
      <c r="U6636" s="401"/>
      <c r="V6636" s="396"/>
      <c r="W6636" s="399"/>
      <c r="X6636" s="396"/>
      <c r="Y6636" s="389"/>
      <c r="Z6636" s="396"/>
      <c r="AA6636" s="388"/>
      <c r="AB6636" s="390"/>
    </row>
    <row r="6637" spans="1:28">
      <c r="A6637" s="384" t="str">
        <f t="shared" ref="A6637:B6637" si="21522">A6625</f>
        <v>Lantai Atap</v>
      </c>
      <c r="B6637" s="385">
        <f t="shared" si="21522"/>
        <v>14</v>
      </c>
      <c r="C6637" s="393" t="s">
        <v>208</v>
      </c>
      <c r="D6637" s="398">
        <f>VLOOKUP(D6625,'Detail Balok'!$C$10:$AU$140,13,FALSE)</f>
        <v>0</v>
      </c>
      <c r="E6637" s="388" t="s">
        <v>16</v>
      </c>
      <c r="F6637" s="388">
        <f>VLOOKUP(D6625,'Detail Balok'!$C$10:$AU$140,15,FALSE)</f>
        <v>8</v>
      </c>
      <c r="G6637" s="388"/>
      <c r="H6637" s="395"/>
      <c r="I6637" s="388"/>
      <c r="J6637" s="399">
        <f t="shared" ref="J6637" si="21523">+D6627/1000</f>
        <v>5.15</v>
      </c>
      <c r="K6637" s="400" t="s">
        <v>204</v>
      </c>
      <c r="L6637" s="399">
        <f t="shared" ref="L6637" si="21524">2*$F$16*F6637/1000</f>
        <v>0.192</v>
      </c>
      <c r="M6637" s="399" t="s">
        <v>176</v>
      </c>
      <c r="N6637" s="399">
        <f t="shared" ref="N6637" si="21525">J6637+L6637</f>
        <v>5.3420000000000005</v>
      </c>
      <c r="O6637" s="399" t="s">
        <v>204</v>
      </c>
      <c r="P6637" s="389">
        <f t="shared" ref="P6637" si="21526">IF(N6637&gt;12,ROUNDDOWN(N6637/12,0),0)</f>
        <v>0</v>
      </c>
      <c r="Q6637" s="399" t="s">
        <v>125</v>
      </c>
      <c r="R6637" s="399">
        <f t="shared" ref="R6637" si="21527">IF(P6637&gt;0,MAX(VLOOKUP(F6637,$D$6:$G$15,3,FALSE),600),0)/1000</f>
        <v>0</v>
      </c>
      <c r="S6637" s="399"/>
      <c r="T6637" s="399" t="s">
        <v>125</v>
      </c>
      <c r="U6637" s="401">
        <f t="shared" ref="U6637" si="21528">0.006165*F6637^2</f>
        <v>0.39456000000000002</v>
      </c>
      <c r="V6637" s="399" t="s">
        <v>125</v>
      </c>
      <c r="W6637" s="399">
        <f t="shared" ref="W6637" si="21529">+D6637</f>
        <v>0</v>
      </c>
      <c r="X6637" s="399" t="s">
        <v>125</v>
      </c>
      <c r="Y6637" s="389">
        <f t="shared" ref="Y6637" si="21530">D6631</f>
        <v>1</v>
      </c>
      <c r="Z6637" s="400" t="s">
        <v>176</v>
      </c>
      <c r="AA6637" s="402">
        <f t="shared" ref="AA6637" si="21531">(N6637+P6637*R6637/1000)*U6637*W6637*Y6637</f>
        <v>0</v>
      </c>
      <c r="AB6637" s="403"/>
    </row>
    <row r="6638" spans="1:28">
      <c r="A6638" s="384"/>
      <c r="B6638" s="385"/>
      <c r="C6638" s="393"/>
      <c r="D6638" s="398"/>
      <c r="E6638" s="388"/>
      <c r="F6638" s="388"/>
      <c r="G6638" s="388"/>
      <c r="H6638" s="395"/>
      <c r="I6638" s="388"/>
      <c r="J6638" s="399"/>
      <c r="K6638" s="400"/>
      <c r="L6638" s="399"/>
      <c r="M6638" s="399"/>
      <c r="N6638" s="399"/>
      <c r="O6638" s="399"/>
      <c r="P6638" s="389"/>
      <c r="Q6638" s="399"/>
      <c r="R6638" s="399"/>
      <c r="S6638" s="399"/>
      <c r="T6638" s="399"/>
      <c r="U6638" s="401"/>
      <c r="V6638" s="399"/>
      <c r="W6638" s="399"/>
      <c r="X6638" s="399"/>
      <c r="Y6638" s="389"/>
      <c r="Z6638" s="400"/>
      <c r="AA6638" s="402"/>
      <c r="AB6638" s="403"/>
    </row>
    <row r="6639" spans="1:28">
      <c r="A6639" s="384"/>
      <c r="B6639" s="385"/>
      <c r="C6639" s="393"/>
      <c r="D6639" s="398"/>
      <c r="E6639" s="388"/>
      <c r="F6639" s="388"/>
      <c r="G6639" s="388"/>
      <c r="H6639" s="395"/>
      <c r="I6639" s="388"/>
      <c r="J6639" s="396"/>
      <c r="K6639" s="396"/>
      <c r="L6639" s="396"/>
      <c r="M6639" s="396"/>
      <c r="N6639" s="396"/>
      <c r="O6639" s="396"/>
      <c r="P6639" s="389"/>
      <c r="Q6639" s="396"/>
      <c r="R6639" s="396"/>
      <c r="S6639" s="396"/>
      <c r="T6639" s="396"/>
      <c r="U6639" s="401"/>
      <c r="V6639" s="396"/>
      <c r="W6639" s="399"/>
      <c r="X6639" s="396"/>
      <c r="Y6639" s="389"/>
      <c r="Z6639" s="396"/>
      <c r="AA6639" s="388"/>
      <c r="AB6639" s="390"/>
    </row>
    <row r="6640" spans="1:28">
      <c r="A6640" s="384" t="str">
        <f t="shared" ref="A6640:B6640" si="21532">A6625</f>
        <v>Lantai Atap</v>
      </c>
      <c r="B6640" s="385">
        <f t="shared" si="21532"/>
        <v>14</v>
      </c>
      <c r="C6640" s="393" t="s">
        <v>209</v>
      </c>
      <c r="D6640" s="398">
        <f>VLOOKUP(D6625,'Detail Balok'!$C$10:$AU$140,22,FALSE)</f>
        <v>3</v>
      </c>
      <c r="E6640" s="388" t="s">
        <v>16</v>
      </c>
      <c r="F6640" s="388">
        <f>VLOOKUP(D6625,'Detail Balok'!$C$10:$AU$140,24,FALSE)</f>
        <v>13</v>
      </c>
      <c r="G6640" s="388"/>
      <c r="H6640" s="395"/>
      <c r="I6640" s="388" t="s">
        <v>203</v>
      </c>
      <c r="J6640" s="399">
        <f t="shared" ref="J6640:J6702" si="21533">+J6632</f>
        <v>1.2875000000000001</v>
      </c>
      <c r="K6640" s="400" t="s">
        <v>204</v>
      </c>
      <c r="L6640" s="399">
        <f t="shared" ref="L6640" si="21534">MAX(VLOOKUP(F6640,N$6:P$15,3,FALSE)/1000,2/3*D6630/1000)+F$16*F6640/1000</f>
        <v>0.156</v>
      </c>
      <c r="M6640" s="399" t="s">
        <v>176</v>
      </c>
      <c r="N6640" s="399">
        <f t="shared" ref="N6640:N6642" si="21535">J6640+L6640</f>
        <v>1.4435</v>
      </c>
      <c r="O6640" s="399" t="s">
        <v>204</v>
      </c>
      <c r="P6640" s="389">
        <f t="shared" ref="P6640" si="21536">D6640-D6641</f>
        <v>0</v>
      </c>
      <c r="Q6640" s="399" t="s">
        <v>125</v>
      </c>
      <c r="R6640" s="399">
        <f t="shared" ref="R6640" si="21537">IF(P6640&gt;0,$F$18*F6640/1000,0)</f>
        <v>0</v>
      </c>
      <c r="S6640" s="399" t="s">
        <v>205</v>
      </c>
      <c r="T6640" s="399" t="s">
        <v>125</v>
      </c>
      <c r="U6640" s="401">
        <f t="shared" ref="U6640:U6642" si="21538">0.006165*F6640^2</f>
        <v>1.041885</v>
      </c>
      <c r="V6640" s="399"/>
      <c r="W6640" s="399"/>
      <c r="X6640" s="399" t="s">
        <v>125</v>
      </c>
      <c r="Y6640" s="389">
        <f t="shared" ref="Y6640" si="21539">D6631</f>
        <v>1</v>
      </c>
      <c r="Z6640" s="400" t="s">
        <v>176</v>
      </c>
      <c r="AA6640" s="402">
        <f t="shared" ref="AA6640" si="21540">IF(AA6643=0,(D6640*N6640+P6640*R6640)*U6640*Y6640,0)</f>
        <v>0</v>
      </c>
      <c r="AB6640" s="403"/>
    </row>
    <row r="6641" spans="1:28">
      <c r="A6641" s="384" t="str">
        <f t="shared" ref="A6641:B6641" si="21541">A6625</f>
        <v>Lantai Atap</v>
      </c>
      <c r="B6641" s="385">
        <f t="shared" si="21541"/>
        <v>14</v>
      </c>
      <c r="C6641" s="393" t="s">
        <v>210</v>
      </c>
      <c r="D6641" s="398">
        <f>VLOOKUP(D6625,'Detail Balok'!$C$10:$AU$140,25,FALSE)</f>
        <v>3</v>
      </c>
      <c r="E6641" s="388" t="s">
        <v>16</v>
      </c>
      <c r="F6641" s="388">
        <f>VLOOKUP(D6625,'Detail Balok'!$C$10:$AU$140,27,FALSE)</f>
        <v>13</v>
      </c>
      <c r="G6641" s="388"/>
      <c r="H6641" s="395"/>
      <c r="I6641" s="388" t="s">
        <v>203</v>
      </c>
      <c r="J6641" s="399">
        <f t="shared" si="21533"/>
        <v>2.5750000000000002</v>
      </c>
      <c r="K6641" s="400" t="s">
        <v>204</v>
      </c>
      <c r="L6641" s="399"/>
      <c r="M6641" s="399" t="s">
        <v>176</v>
      </c>
      <c r="N6641" s="399">
        <f t="shared" si="21535"/>
        <v>2.5750000000000002</v>
      </c>
      <c r="O6641" s="399" t="s">
        <v>204</v>
      </c>
      <c r="P6641" s="389">
        <f t="shared" ref="P6641" si="21542">MAX(D6641-D6640,D6641-D6642)</f>
        <v>0</v>
      </c>
      <c r="Q6641" s="399" t="s">
        <v>125</v>
      </c>
      <c r="R6641" s="399">
        <f t="shared" ref="R6641" si="21543">IF(P6641&gt;0,2*(1-2*$F$19-1/2)*D6628/1000,0)</f>
        <v>0</v>
      </c>
      <c r="S6641" s="399" t="s">
        <v>205</v>
      </c>
      <c r="T6641" s="399" t="s">
        <v>125</v>
      </c>
      <c r="U6641" s="401">
        <f t="shared" si="21538"/>
        <v>1.041885</v>
      </c>
      <c r="V6641" s="399"/>
      <c r="W6641" s="399"/>
      <c r="X6641" s="399" t="s">
        <v>125</v>
      </c>
      <c r="Y6641" s="389">
        <f t="shared" ref="Y6641" si="21544">D6631</f>
        <v>1</v>
      </c>
      <c r="Z6641" s="400" t="s">
        <v>176</v>
      </c>
      <c r="AA6641" s="402">
        <f t="shared" ref="AA6641" si="21545">IF(AA6643=0,(D6641*N6641+P6641*R6641)*U6641*Y6641,0)</f>
        <v>0</v>
      </c>
      <c r="AB6641" s="403"/>
    </row>
    <row r="6642" spans="1:28">
      <c r="A6642" s="384" t="str">
        <f t="shared" ref="A6642:B6642" si="21546">A6625</f>
        <v>Lantai Atap</v>
      </c>
      <c r="B6642" s="385">
        <f t="shared" si="21546"/>
        <v>14</v>
      </c>
      <c r="C6642" s="393" t="s">
        <v>209</v>
      </c>
      <c r="D6642" s="398">
        <f>VLOOKUP(D6625,'Detail Balok'!$C$10:$AU$140,28,FALSE)</f>
        <v>3</v>
      </c>
      <c r="E6642" s="388" t="s">
        <v>16</v>
      </c>
      <c r="F6642" s="388">
        <f>VLOOKUP(D6625,'Detail Balok'!$C$10:$AU$140,30,FALSE)</f>
        <v>13</v>
      </c>
      <c r="G6642" s="388"/>
      <c r="H6642" s="395"/>
      <c r="I6642" s="388" t="s">
        <v>203</v>
      </c>
      <c r="J6642" s="399">
        <f t="shared" si="21533"/>
        <v>1.2875000000000001</v>
      </c>
      <c r="K6642" s="400" t="s">
        <v>204</v>
      </c>
      <c r="L6642" s="399">
        <f t="shared" ref="L6642" si="21547">MAX(VLOOKUP(F6642,N$6:P$15,3,FALSE)/1000,2/3*D6630/1000)+F$16*F6642/1000</f>
        <v>0.156</v>
      </c>
      <c r="M6642" s="399" t="s">
        <v>176</v>
      </c>
      <c r="N6642" s="399">
        <f t="shared" si="21535"/>
        <v>1.4435</v>
      </c>
      <c r="O6642" s="399" t="s">
        <v>204</v>
      </c>
      <c r="P6642" s="389">
        <f t="shared" ref="P6642" si="21548">D6642-D6641</f>
        <v>0</v>
      </c>
      <c r="Q6642" s="399" t="s">
        <v>125</v>
      </c>
      <c r="R6642" s="399">
        <f t="shared" ref="R6642" si="21549">IF(P6642&gt;0,$F$18*F6642/1000,0)</f>
        <v>0</v>
      </c>
      <c r="S6642" s="399" t="s">
        <v>205</v>
      </c>
      <c r="T6642" s="399" t="s">
        <v>125</v>
      </c>
      <c r="U6642" s="401">
        <f t="shared" si="21538"/>
        <v>1.041885</v>
      </c>
      <c r="V6642" s="399"/>
      <c r="W6642" s="399"/>
      <c r="X6642" s="399" t="s">
        <v>125</v>
      </c>
      <c r="Y6642" s="389">
        <f t="shared" ref="Y6642" si="21550">D6631</f>
        <v>1</v>
      </c>
      <c r="Z6642" s="400" t="s">
        <v>176</v>
      </c>
      <c r="AA6642" s="402">
        <f t="shared" ref="AA6642" si="21551">IF(AA6643=0,(D6642*N6642+P6642*R6642)*U6642*Y6642,0)</f>
        <v>0</v>
      </c>
      <c r="AB6642" s="403"/>
    </row>
    <row r="6643" spans="1:28">
      <c r="A6643" s="384" t="str">
        <f t="shared" ref="A6643:B6643" si="21552">A6625</f>
        <v>Lantai Atap</v>
      </c>
      <c r="B6643" s="385">
        <f t="shared" si="21552"/>
        <v>14</v>
      </c>
      <c r="C6643" s="393"/>
      <c r="D6643" s="398">
        <f t="shared" ref="D6643:D6703" si="21553">IF(AND(D6640=D6641,D6641=D6642,D6640=D6642),D6640,0)</f>
        <v>3</v>
      </c>
      <c r="E6643" s="388" t="s">
        <v>16</v>
      </c>
      <c r="F6643" s="388">
        <f t="shared" ref="F6643:F6703" si="21554">IF(AND(F6640=F6641,F6640=F6642,F6641=F6642),F6640,0)</f>
        <v>13</v>
      </c>
      <c r="G6643" s="388"/>
      <c r="H6643" s="395"/>
      <c r="I6643" s="388"/>
      <c r="J6643" s="396"/>
      <c r="K6643" s="396"/>
      <c r="L6643" s="404" t="s">
        <v>207</v>
      </c>
      <c r="M6643" s="399" t="s">
        <v>176</v>
      </c>
      <c r="N6643" s="399">
        <f t="shared" ref="N6643" si="21555">IF(AND(D6640=D6641,D6640=D6642,D6641=D6642,F6640=F6641,F6640=F6642,F6641=F6642),SUM(N6640:N6642),0)</f>
        <v>5.4620000000000006</v>
      </c>
      <c r="O6643" s="399" t="s">
        <v>204</v>
      </c>
      <c r="P6643" s="389">
        <f t="shared" ref="P6643" si="21556">IF(N6643&gt;12,ROUNDDOWN(N6643/12,0),0)</f>
        <v>0</v>
      </c>
      <c r="Q6643" s="399" t="s">
        <v>125</v>
      </c>
      <c r="R6643" s="399">
        <f t="shared" ref="R6643" si="21557">IF(P6643&gt;0,MAX(VLOOKUP(F6643,$D$6:$G$15,3,FALSE),600),0)/1000</f>
        <v>0</v>
      </c>
      <c r="S6643" s="396"/>
      <c r="T6643" s="396" t="s">
        <v>125</v>
      </c>
      <c r="U6643" s="401">
        <f t="shared" ref="U6643:U6703" si="21558">U6642</f>
        <v>1.041885</v>
      </c>
      <c r="V6643" s="396" t="s">
        <v>125</v>
      </c>
      <c r="W6643" s="399">
        <f t="shared" ref="W6643" si="21559">D6643</f>
        <v>3</v>
      </c>
      <c r="X6643" s="399" t="s">
        <v>125</v>
      </c>
      <c r="Y6643" s="389">
        <f t="shared" ref="Y6643:Y6703" si="21560">Y6642</f>
        <v>1</v>
      </c>
      <c r="Z6643" s="400" t="s">
        <v>176</v>
      </c>
      <c r="AA6643" s="402">
        <f t="shared" ref="AA6643" si="21561">(N6643+P6643*R6643/1000)*U6643*W6643*Y6643</f>
        <v>17.072327610000002</v>
      </c>
      <c r="AB6643" s="403"/>
    </row>
    <row r="6644" spans="1:28">
      <c r="A6644" s="384"/>
      <c r="B6644" s="385"/>
      <c r="C6644" s="393"/>
      <c r="D6644" s="394"/>
      <c r="E6644" s="388"/>
      <c r="F6644" s="388"/>
      <c r="G6644" s="388"/>
      <c r="H6644" s="395"/>
      <c r="I6644" s="388"/>
      <c r="J6644" s="399"/>
      <c r="K6644" s="396"/>
      <c r="L6644" s="396"/>
      <c r="M6644" s="396"/>
      <c r="N6644" s="396"/>
      <c r="O6644" s="396"/>
      <c r="P6644" s="389"/>
      <c r="Q6644" s="396"/>
      <c r="R6644" s="396"/>
      <c r="S6644" s="396"/>
      <c r="T6644" s="396"/>
      <c r="U6644" s="401"/>
      <c r="V6644" s="396"/>
      <c r="W6644" s="388"/>
      <c r="X6644" s="396"/>
      <c r="Y6644" s="389"/>
      <c r="Z6644" s="396"/>
      <c r="AA6644" s="388"/>
      <c r="AB6644" s="390"/>
    </row>
    <row r="6645" spans="1:28">
      <c r="A6645" s="384" t="str">
        <f t="shared" ref="A6645:B6645" si="21562">A6625</f>
        <v>Lantai Atap</v>
      </c>
      <c r="B6645" s="385">
        <f t="shared" si="21562"/>
        <v>14</v>
      </c>
      <c r="C6645" s="393" t="s">
        <v>211</v>
      </c>
      <c r="D6645" s="398">
        <f>VLOOKUP(D6625,'Detail Balok'!$C$10:$AU$140,31,FALSE)</f>
        <v>0</v>
      </c>
      <c r="E6645" s="388" t="s">
        <v>16</v>
      </c>
      <c r="F6645" s="388">
        <f>VLOOKUP(D6625,'Detail Balok'!$C$10:$AU$140,33,FALSE)</f>
        <v>10</v>
      </c>
      <c r="G6645" s="405" t="s">
        <v>157</v>
      </c>
      <c r="H6645" s="395">
        <f>VLOOKUP(D6625,'Detail Balok'!$C$10:$AU$140,35,FALSE)</f>
        <v>100</v>
      </c>
      <c r="I6645" s="388"/>
      <c r="J6645" s="400">
        <f t="shared" ref="J6645" si="21563">(IF(D6645=0,(2*(D6626+G6626))-(F$5*8),IF(D6645=3,(2*(D6626+G6626))-(F$5*8)+(G6626-2*F$5),IF(D6645=4,(2*(D6626+G6626))-(F$5*8)+2*(G6626-2*F$5)))))/1000</f>
        <v>0.88</v>
      </c>
      <c r="K6645" s="400" t="s">
        <v>204</v>
      </c>
      <c r="L6645" s="399">
        <f t="shared" ref="L6645:L6647" si="21564">IF(D6645=0,2*MAX(6*F6645,75),(D6645-1)*2*MAX(6*F6645,75))/1000</f>
        <v>0.15</v>
      </c>
      <c r="M6645" s="399" t="s">
        <v>176</v>
      </c>
      <c r="N6645" s="399">
        <f t="shared" ref="N6645:N6647" si="21565">J6645+L6645</f>
        <v>1.03</v>
      </c>
      <c r="O6645" s="399"/>
      <c r="P6645" s="389"/>
      <c r="Q6645" s="399"/>
      <c r="R6645" s="399"/>
      <c r="S6645" s="399"/>
      <c r="T6645" s="399" t="s">
        <v>125</v>
      </c>
      <c r="U6645" s="401">
        <f t="shared" ref="U6645:U6647" si="21566">0.006165*F6645^2</f>
        <v>0.61650000000000005</v>
      </c>
      <c r="V6645" s="399" t="s">
        <v>125</v>
      </c>
      <c r="W6645" s="399">
        <f t="shared" ref="W6645" si="21567">IF(D6628&gt;4*G6626,ROUND(MAX(D6628/4,2*G6626)/H6645,0)+1,ROUND(D6628/H6645,0)+1)</f>
        <v>14</v>
      </c>
      <c r="X6645" s="399" t="s">
        <v>125</v>
      </c>
      <c r="Y6645" s="389">
        <f t="shared" ref="Y6645" si="21568">D6631</f>
        <v>1</v>
      </c>
      <c r="Z6645" s="400" t="s">
        <v>176</v>
      </c>
      <c r="AA6645" s="402">
        <f t="shared" ref="AA6645:AA6647" si="21569">N6645*U6645*W6645*Y6645</f>
        <v>8.8899300000000014</v>
      </c>
      <c r="AB6645" s="403"/>
    </row>
    <row r="6646" spans="1:28">
      <c r="A6646" s="384" t="str">
        <f t="shared" ref="A6646:B6646" si="21570">A6625</f>
        <v>Lantai Atap</v>
      </c>
      <c r="B6646" s="385">
        <f t="shared" si="21570"/>
        <v>14</v>
      </c>
      <c r="C6646" s="393" t="s">
        <v>212</v>
      </c>
      <c r="D6646" s="398">
        <f>VLOOKUP(D6625,'Detail Balok'!$C$10:$AU$140,36,FALSE)</f>
        <v>0</v>
      </c>
      <c r="E6646" s="388" t="s">
        <v>16</v>
      </c>
      <c r="F6646" s="388">
        <f>VLOOKUP(D6625,'Detail Balok'!$C$10:$AU$140,38,FALSE)</f>
        <v>10</v>
      </c>
      <c r="G6646" s="405" t="s">
        <v>157</v>
      </c>
      <c r="H6646" s="395">
        <f>VLOOKUP(D6625,'Detail Balok'!$C$10:$AU$140,40,FALSE)</f>
        <v>200</v>
      </c>
      <c r="I6646" s="388"/>
      <c r="J6646" s="400">
        <f t="shared" ref="J6646" si="21571">(IF(D6646=0,(2*(D6626+G6626))-(F$5*8),IF(D6646=3,(2*(D6626+G6626))-(F$5*8)+(G6626-2*F$5),IF(D6646=4,(2*(D6626+G6626))-(F$5*8)+2*(G6626-2*F$5)))))/1000</f>
        <v>0.88</v>
      </c>
      <c r="K6646" s="400" t="s">
        <v>204</v>
      </c>
      <c r="L6646" s="399">
        <f t="shared" si="21564"/>
        <v>0.15</v>
      </c>
      <c r="M6646" s="399" t="s">
        <v>176</v>
      </c>
      <c r="N6646" s="399">
        <f t="shared" si="21565"/>
        <v>1.03</v>
      </c>
      <c r="O6646" s="399"/>
      <c r="P6646" s="389"/>
      <c r="Q6646" s="399"/>
      <c r="R6646" s="399"/>
      <c r="S6646" s="399"/>
      <c r="T6646" s="399" t="s">
        <v>125</v>
      </c>
      <c r="U6646" s="401">
        <f t="shared" si="21566"/>
        <v>0.61650000000000005</v>
      </c>
      <c r="V6646" s="399" t="s">
        <v>125</v>
      </c>
      <c r="W6646" s="399">
        <f t="shared" ref="W6646" si="21572">IF(D6628-MAX(D6628/4,2*G6626)*2&gt;0,ROUND((D6628-MAX(D6628/4,2*G6626)*2)/H6646,0),0)</f>
        <v>13</v>
      </c>
      <c r="X6646" s="399" t="s">
        <v>125</v>
      </c>
      <c r="Y6646" s="389">
        <f t="shared" ref="Y6646" si="21573">D6631</f>
        <v>1</v>
      </c>
      <c r="Z6646" s="400" t="s">
        <v>176</v>
      </c>
      <c r="AA6646" s="402">
        <f t="shared" si="21569"/>
        <v>8.2549350000000015</v>
      </c>
      <c r="AB6646" s="403"/>
    </row>
    <row r="6647" spans="1:28">
      <c r="A6647" s="384" t="str">
        <f t="shared" ref="A6647:B6647" si="21574">A6625</f>
        <v>Lantai Atap</v>
      </c>
      <c r="B6647" s="385">
        <f t="shared" si="21574"/>
        <v>14</v>
      </c>
      <c r="C6647" s="393" t="s">
        <v>211</v>
      </c>
      <c r="D6647" s="398">
        <f>VLOOKUP(D6625,'Detail Balok'!$C$10:$AU$140,41,FALSE)</f>
        <v>0</v>
      </c>
      <c r="E6647" s="388" t="s">
        <v>16</v>
      </c>
      <c r="F6647" s="388">
        <f>VLOOKUP(D6625,'Detail Balok'!$C$10:$AU$140,43,FALSE)</f>
        <v>10</v>
      </c>
      <c r="G6647" s="405" t="s">
        <v>157</v>
      </c>
      <c r="H6647" s="395">
        <f>VLOOKUP(D6625,'Detail Balok'!$C$10:$AU$140,45,FALSE)</f>
        <v>100</v>
      </c>
      <c r="I6647" s="388"/>
      <c r="J6647" s="400">
        <f t="shared" ref="J6647" si="21575">(IF(D6647=0,(2*(D6626+G6626))-(F$5*8),IF(D6647=3,(2*(D6626+G6626))-(F$5*8)+(G6626-2*F$5),IF(D6647=4,(2*(D6626+G6626))-(F$5*8)+2*(G6626-2*F$5)))))/1000</f>
        <v>0.88</v>
      </c>
      <c r="K6647" s="400" t="s">
        <v>204</v>
      </c>
      <c r="L6647" s="399">
        <f t="shared" si="21564"/>
        <v>0.15</v>
      </c>
      <c r="M6647" s="399" t="s">
        <v>176</v>
      </c>
      <c r="N6647" s="399">
        <f t="shared" si="21565"/>
        <v>1.03</v>
      </c>
      <c r="O6647" s="399"/>
      <c r="P6647" s="389"/>
      <c r="Q6647" s="399"/>
      <c r="R6647" s="399"/>
      <c r="S6647" s="399"/>
      <c r="T6647" s="399" t="s">
        <v>125</v>
      </c>
      <c r="U6647" s="401">
        <f t="shared" si="21566"/>
        <v>0.61650000000000005</v>
      </c>
      <c r="V6647" s="399" t="s">
        <v>125</v>
      </c>
      <c r="W6647" s="399">
        <f t="shared" ref="W6647" si="21576">IF(D6628&gt;4*G6626,ROUND(MAX(D6628/4,2*G6626)/H6647,0)+1,0)</f>
        <v>14</v>
      </c>
      <c r="X6647" s="399" t="s">
        <v>125</v>
      </c>
      <c r="Y6647" s="389">
        <f t="shared" ref="Y6647" si="21577">D6631</f>
        <v>1</v>
      </c>
      <c r="Z6647" s="400" t="s">
        <v>176</v>
      </c>
      <c r="AA6647" s="402">
        <f t="shared" si="21569"/>
        <v>8.8899300000000014</v>
      </c>
      <c r="AB6647" s="403"/>
    </row>
    <row r="6648" spans="1:28">
      <c r="A6648" s="384"/>
      <c r="B6648" s="385"/>
      <c r="C6648" s="393"/>
      <c r="D6648" s="394"/>
      <c r="E6648" s="388"/>
      <c r="F6648" s="388"/>
      <c r="G6648" s="388"/>
      <c r="H6648" s="395"/>
      <c r="I6648" s="388"/>
      <c r="J6648" s="399"/>
      <c r="K6648" s="396"/>
      <c r="L6648" s="396"/>
      <c r="M6648" s="396"/>
      <c r="N6648" s="396"/>
      <c r="O6648" s="396"/>
      <c r="P6648" s="389"/>
      <c r="Q6648" s="396"/>
      <c r="R6648" s="396"/>
      <c r="S6648" s="396"/>
      <c r="T6648" s="396"/>
      <c r="U6648" s="401"/>
      <c r="V6648" s="396"/>
      <c r="W6648" s="388"/>
      <c r="X6648" s="396"/>
      <c r="Y6648" s="389"/>
      <c r="Z6648" s="396"/>
      <c r="AA6648" s="388"/>
      <c r="AB6648" s="390"/>
    </row>
    <row r="6649" spans="1:28">
      <c r="A6649" s="384" t="str">
        <f t="shared" ref="A6649:B6649" si="21578">A6625</f>
        <v>Lantai Atap</v>
      </c>
      <c r="B6649" s="385">
        <f t="shared" si="21578"/>
        <v>14</v>
      </c>
      <c r="C6649" s="393" t="s">
        <v>213</v>
      </c>
      <c r="D6649" s="398">
        <f>VLOOKUP(D6625,'Detail Balok'!$C$10:$BJ$140,46,FALSE)</f>
        <v>0</v>
      </c>
      <c r="E6649" s="388" t="s">
        <v>16</v>
      </c>
      <c r="F6649" s="388">
        <f>VLOOKUP(D6625,'Detail Balok'!$C$10:$BJ$140,48,FALSE)</f>
        <v>0</v>
      </c>
      <c r="G6649" s="405" t="s">
        <v>157</v>
      </c>
      <c r="H6649" s="395">
        <f>VLOOKUP(D6625,'Detail Balok'!$C$10:$BJ$140,50,FALSE)</f>
        <v>100</v>
      </c>
      <c r="I6649" s="388"/>
      <c r="J6649" s="399">
        <f t="shared" ref="J6649" si="21579">(D6626-2*F$5)/1000</f>
        <v>0.12</v>
      </c>
      <c r="K6649" s="400" t="s">
        <v>204</v>
      </c>
      <c r="L6649" s="399">
        <f t="shared" ref="L6649:L6651" si="21580">IF(D6649=0,2*MAX(6*F6649,75),(D6649-1)*2*MAX(6*F6649,75))/1000</f>
        <v>0.15</v>
      </c>
      <c r="M6649" s="399" t="s">
        <v>176</v>
      </c>
      <c r="N6649" s="399">
        <f t="shared" ref="N6649:N6651" si="21581">J6649+L6649</f>
        <v>0.27</v>
      </c>
      <c r="O6649" s="399"/>
      <c r="P6649" s="399"/>
      <c r="Q6649" s="399"/>
      <c r="R6649" s="399"/>
      <c r="S6649" s="399"/>
      <c r="T6649" s="399" t="s">
        <v>125</v>
      </c>
      <c r="U6649" s="401">
        <f t="shared" ref="U6649:U6651" si="21582">0.006165*F6649^2</f>
        <v>0</v>
      </c>
      <c r="V6649" s="399" t="s">
        <v>125</v>
      </c>
      <c r="W6649" s="399">
        <f t="shared" ref="W6649:W6711" si="21583">W6645</f>
        <v>14</v>
      </c>
      <c r="X6649" s="399" t="s">
        <v>125</v>
      </c>
      <c r="Y6649" s="389">
        <f t="shared" ref="Y6649" si="21584">D6635</f>
        <v>3</v>
      </c>
      <c r="Z6649" s="400" t="s">
        <v>176</v>
      </c>
      <c r="AA6649" s="402">
        <f t="shared" ref="AA6649:AA6651" si="21585">N6649*U6649*W6649*Y6649</f>
        <v>0</v>
      </c>
      <c r="AB6649" s="403"/>
    </row>
    <row r="6650" spans="1:28">
      <c r="A6650" s="384" t="str">
        <f t="shared" ref="A6650:B6650" si="21586">A6625</f>
        <v>Lantai Atap</v>
      </c>
      <c r="B6650" s="385">
        <f t="shared" si="21586"/>
        <v>14</v>
      </c>
      <c r="C6650" s="393" t="s">
        <v>214</v>
      </c>
      <c r="D6650" s="398">
        <f>VLOOKUP(D6625,'Detail Balok'!$C$10:$BJ$140,51,FALSE)</f>
        <v>0</v>
      </c>
      <c r="E6650" s="388" t="s">
        <v>16</v>
      </c>
      <c r="F6650" s="388">
        <f>VLOOKUP(D6625,'Detail Balok'!$C$10:$BJ$140,53,FALSE)</f>
        <v>0</v>
      </c>
      <c r="G6650" s="405" t="s">
        <v>157</v>
      </c>
      <c r="H6650" s="395">
        <f>VLOOKUP(D6625,'Detail Balok'!$C$10:$BJ$140,55,FALSE)</f>
        <v>100</v>
      </c>
      <c r="I6650" s="388"/>
      <c r="J6650" s="399">
        <f t="shared" ref="J6650" si="21587">(D6626-2*F$5)/1000</f>
        <v>0.12</v>
      </c>
      <c r="K6650" s="400" t="s">
        <v>204</v>
      </c>
      <c r="L6650" s="399">
        <f t="shared" si="21580"/>
        <v>0.15</v>
      </c>
      <c r="M6650" s="399" t="s">
        <v>176</v>
      </c>
      <c r="N6650" s="399">
        <f t="shared" si="21581"/>
        <v>0.27</v>
      </c>
      <c r="O6650" s="399"/>
      <c r="P6650" s="399"/>
      <c r="Q6650" s="399"/>
      <c r="R6650" s="399"/>
      <c r="S6650" s="399"/>
      <c r="T6650" s="399" t="s">
        <v>125</v>
      </c>
      <c r="U6650" s="401">
        <f t="shared" si="21582"/>
        <v>0</v>
      </c>
      <c r="V6650" s="399" t="s">
        <v>125</v>
      </c>
      <c r="W6650" s="399">
        <f t="shared" si="21583"/>
        <v>13</v>
      </c>
      <c r="X6650" s="399" t="s">
        <v>125</v>
      </c>
      <c r="Y6650" s="389">
        <f t="shared" ref="Y6650" si="21588">D6635</f>
        <v>3</v>
      </c>
      <c r="Z6650" s="400" t="s">
        <v>176</v>
      </c>
      <c r="AA6650" s="402">
        <f t="shared" si="21585"/>
        <v>0</v>
      </c>
      <c r="AB6650" s="403"/>
    </row>
    <row r="6651" spans="1:28">
      <c r="A6651" s="384" t="str">
        <f t="shared" ref="A6651:B6651" si="21589">A6625</f>
        <v>Lantai Atap</v>
      </c>
      <c r="B6651" s="385">
        <f t="shared" si="21589"/>
        <v>14</v>
      </c>
      <c r="C6651" s="393" t="s">
        <v>213</v>
      </c>
      <c r="D6651" s="398">
        <f>VLOOKUP(D6625,'Detail Balok'!$C$10:$BJ$140,56,FALSE)</f>
        <v>0</v>
      </c>
      <c r="E6651" s="388" t="s">
        <v>16</v>
      </c>
      <c r="F6651" s="388">
        <f>VLOOKUP(D6625,'Detail Balok'!$C$10:$BJ$140,58,FALSE)</f>
        <v>0</v>
      </c>
      <c r="G6651" s="405" t="s">
        <v>157</v>
      </c>
      <c r="H6651" s="395">
        <f>VLOOKUP(D6625,'Detail Balok'!$C$10:$BJ$140,60,FALSE)</f>
        <v>100</v>
      </c>
      <c r="I6651" s="388"/>
      <c r="J6651" s="399">
        <f t="shared" ref="J6651" si="21590">(D6626-2*F$5)/1000</f>
        <v>0.12</v>
      </c>
      <c r="K6651" s="400" t="s">
        <v>204</v>
      </c>
      <c r="L6651" s="399">
        <f t="shared" si="21580"/>
        <v>0.15</v>
      </c>
      <c r="M6651" s="399" t="s">
        <v>176</v>
      </c>
      <c r="N6651" s="399">
        <f t="shared" si="21581"/>
        <v>0.27</v>
      </c>
      <c r="O6651" s="399"/>
      <c r="P6651" s="399"/>
      <c r="Q6651" s="399"/>
      <c r="R6651" s="399"/>
      <c r="S6651" s="399"/>
      <c r="T6651" s="399" t="s">
        <v>125</v>
      </c>
      <c r="U6651" s="401">
        <f t="shared" si="21582"/>
        <v>0</v>
      </c>
      <c r="V6651" s="399" t="s">
        <v>125</v>
      </c>
      <c r="W6651" s="399">
        <f t="shared" si="21583"/>
        <v>14</v>
      </c>
      <c r="X6651" s="399" t="s">
        <v>125</v>
      </c>
      <c r="Y6651" s="389">
        <f t="shared" ref="Y6651" si="21591">D6635</f>
        <v>3</v>
      </c>
      <c r="Z6651" s="400" t="s">
        <v>176</v>
      </c>
      <c r="AA6651" s="402">
        <f t="shared" si="21585"/>
        <v>0</v>
      </c>
      <c r="AB6651" s="403"/>
    </row>
    <row r="6652" spans="1:28">
      <c r="A6652" s="391"/>
      <c r="B6652" s="392"/>
      <c r="C6652" s="392"/>
      <c r="D6652" s="394"/>
      <c r="E6652" s="388"/>
      <c r="F6652" s="388"/>
      <c r="G6652" s="388"/>
      <c r="H6652" s="395"/>
      <c r="I6652" s="388"/>
      <c r="J6652" s="402"/>
      <c r="K6652" s="388"/>
      <c r="L6652" s="388"/>
      <c r="M6652" s="388"/>
      <c r="N6652" s="388"/>
      <c r="O6652" s="388"/>
      <c r="P6652" s="388"/>
      <c r="Q6652" s="388"/>
      <c r="R6652" s="388"/>
      <c r="S6652" s="388"/>
      <c r="T6652" s="388"/>
      <c r="U6652" s="388"/>
      <c r="V6652" s="388"/>
      <c r="W6652" s="388"/>
      <c r="X6652" s="388"/>
      <c r="Y6652" s="389"/>
      <c r="Z6652" s="388"/>
      <c r="AA6652" s="402"/>
      <c r="AB6652" s="403"/>
    </row>
    <row r="6653" spans="1:28" ht="15.75" thickBot="1">
      <c r="A6653" s="406"/>
      <c r="B6653" s="407"/>
      <c r="C6653" s="407"/>
      <c r="D6653" s="408"/>
      <c r="E6653" s="409"/>
      <c r="F6653" s="409"/>
      <c r="G6653" s="409"/>
      <c r="H6653" s="410"/>
      <c r="I6653" s="409"/>
      <c r="J6653" s="409"/>
      <c r="K6653" s="409"/>
      <c r="L6653" s="409"/>
      <c r="M6653" s="409"/>
      <c r="N6653" s="409"/>
      <c r="O6653" s="409"/>
      <c r="P6653" s="409"/>
      <c r="Q6653" s="409"/>
      <c r="R6653" s="409"/>
      <c r="S6653" s="409"/>
      <c r="T6653" s="409"/>
      <c r="U6653" s="409"/>
      <c r="V6653" s="409"/>
      <c r="W6653" s="409"/>
      <c r="X6653" s="409"/>
      <c r="Y6653" s="411"/>
      <c r="Z6653" s="409"/>
      <c r="AA6653" s="412"/>
      <c r="AB6653" s="413"/>
    </row>
    <row r="6654" spans="1:28">
      <c r="A6654" s="377"/>
      <c r="B6654" s="378"/>
      <c r="C6654" s="378"/>
      <c r="D6654" s="379"/>
      <c r="E6654" s="380"/>
      <c r="F6654" s="380"/>
      <c r="G6654" s="380"/>
      <c r="H6654" s="381"/>
      <c r="I6654" s="380"/>
      <c r="J6654" s="380"/>
      <c r="K6654" s="380"/>
      <c r="L6654" s="380"/>
      <c r="M6654" s="380"/>
      <c r="N6654" s="380"/>
      <c r="O6654" s="380"/>
      <c r="P6654" s="380"/>
      <c r="Q6654" s="380"/>
      <c r="R6654" s="380"/>
      <c r="S6654" s="380"/>
      <c r="T6654" s="380"/>
      <c r="U6654" s="380"/>
      <c r="V6654" s="380"/>
      <c r="W6654" s="380"/>
      <c r="X6654" s="380"/>
      <c r="Y6654" s="382"/>
      <c r="Z6654" s="380"/>
      <c r="AA6654" s="380"/>
      <c r="AB6654" s="383"/>
    </row>
    <row r="6655" spans="1:28">
      <c r="A6655" s="384" t="str">
        <f t="shared" ref="A6655:A6715" si="21592">A6625</f>
        <v>Lantai Atap</v>
      </c>
      <c r="B6655" s="385">
        <f t="shared" ref="B6655:B6715" si="21593">B6625+1</f>
        <v>15</v>
      </c>
      <c r="C6655" s="386" t="str">
        <f t="shared" ref="C6655" si="21594">CONCATENATE(A6655," no. ",B6655)</f>
        <v>Lantai Atap no. 15</v>
      </c>
      <c r="D6655" s="2562" t="str">
        <f>VLOOKUP(C6655,'Data Panjang Balok'!$C$9:$N$254,2,FALSE)</f>
        <v>B5-1</v>
      </c>
      <c r="E6655" s="2576"/>
      <c r="F6655" s="2576"/>
      <c r="G6655" s="2576"/>
      <c r="H6655" s="2577"/>
      <c r="I6655" s="387"/>
      <c r="J6655" s="388"/>
      <c r="K6655" s="388"/>
      <c r="L6655" s="388"/>
      <c r="M6655" s="388"/>
      <c r="N6655" s="388"/>
      <c r="O6655" s="388"/>
      <c r="P6655" s="388"/>
      <c r="Q6655" s="388"/>
      <c r="R6655" s="388"/>
      <c r="S6655" s="388"/>
      <c r="T6655" s="388"/>
      <c r="U6655" s="388"/>
      <c r="V6655" s="388"/>
      <c r="W6655" s="388"/>
      <c r="X6655" s="388"/>
      <c r="Y6655" s="389"/>
      <c r="Z6655" s="388"/>
      <c r="AA6655" s="388"/>
      <c r="AB6655" s="390"/>
    </row>
    <row r="6656" spans="1:28">
      <c r="A6656" s="391"/>
      <c r="B6656" s="392"/>
      <c r="C6656" s="393" t="s">
        <v>118</v>
      </c>
      <c r="D6656" s="2578">
        <f>VLOOKUP(D6655,'Detail Balok'!$C$10:$AU$140,2,FALSE)</f>
        <v>130</v>
      </c>
      <c r="E6656" s="2579"/>
      <c r="F6656" s="388" t="s">
        <v>125</v>
      </c>
      <c r="G6656" s="2579">
        <f>VLOOKUP(D6655,'Detail Balok'!$C$10:$AU$140,3,FALSE)</f>
        <v>500</v>
      </c>
      <c r="H6656" s="2580"/>
      <c r="I6656" s="388"/>
      <c r="J6656" s="396"/>
      <c r="K6656" s="396"/>
      <c r="L6656" s="396"/>
      <c r="M6656" s="396"/>
      <c r="N6656" s="396"/>
      <c r="O6656" s="396"/>
      <c r="P6656" s="396"/>
      <c r="Q6656" s="396"/>
      <c r="R6656" s="396"/>
      <c r="S6656" s="396"/>
      <c r="T6656" s="396"/>
      <c r="U6656" s="388"/>
      <c r="V6656" s="396"/>
      <c r="W6656" s="388"/>
      <c r="X6656" s="396"/>
      <c r="Y6656" s="389"/>
      <c r="Z6656" s="396"/>
      <c r="AA6656" s="388"/>
      <c r="AB6656" s="390"/>
    </row>
    <row r="6657" spans="1:28">
      <c r="A6657" s="391"/>
      <c r="B6657" s="392"/>
      <c r="C6657" s="393" t="s">
        <v>198</v>
      </c>
      <c r="D6657" s="2562">
        <f>VLOOKUP(C6655,'Data Panjang Balok'!$C$9:$N$254,4,FALSE)</f>
        <v>6150</v>
      </c>
      <c r="E6657" s="2563"/>
      <c r="F6657" s="2563"/>
      <c r="G6657" s="2563"/>
      <c r="H6657" s="2564"/>
      <c r="I6657" s="397"/>
      <c r="J6657" s="396"/>
      <c r="K6657" s="396"/>
      <c r="L6657" s="396"/>
      <c r="M6657" s="396"/>
      <c r="N6657" s="396"/>
      <c r="O6657" s="396"/>
      <c r="P6657" s="396"/>
      <c r="Q6657" s="396"/>
      <c r="R6657" s="396"/>
      <c r="S6657" s="396"/>
      <c r="T6657" s="396"/>
      <c r="U6657" s="388"/>
      <c r="V6657" s="396"/>
      <c r="W6657" s="388"/>
      <c r="X6657" s="396"/>
      <c r="Y6657" s="389"/>
      <c r="Z6657" s="396"/>
      <c r="AA6657" s="388"/>
      <c r="AB6657" s="390"/>
    </row>
    <row r="6658" spans="1:28">
      <c r="A6658" s="391"/>
      <c r="B6658" s="392"/>
      <c r="C6658" s="393" t="s">
        <v>199</v>
      </c>
      <c r="D6658" s="2562">
        <f>VLOOKUP(C6655,'Data Panjang Balok'!$C$9:$N$254,7,FALSE)</f>
        <v>6150</v>
      </c>
      <c r="E6658" s="2563"/>
      <c r="F6658" s="2563"/>
      <c r="G6658" s="2563"/>
      <c r="H6658" s="2564"/>
      <c r="I6658" s="397"/>
      <c r="J6658" s="396"/>
      <c r="K6658" s="396"/>
      <c r="L6658" s="396"/>
      <c r="M6658" s="396"/>
      <c r="N6658" s="396"/>
      <c r="O6658" s="396"/>
      <c r="P6658" s="396"/>
      <c r="Q6658" s="396"/>
      <c r="R6658" s="396"/>
      <c r="S6658" s="396"/>
      <c r="T6658" s="396"/>
      <c r="U6658" s="388"/>
      <c r="V6658" s="396"/>
      <c r="W6658" s="388"/>
      <c r="X6658" s="396"/>
      <c r="Y6658" s="389"/>
      <c r="Z6658" s="396"/>
      <c r="AA6658" s="388"/>
      <c r="AB6658" s="390"/>
    </row>
    <row r="6659" spans="1:28">
      <c r="A6659" s="391"/>
      <c r="B6659" s="392"/>
      <c r="C6659" s="393" t="s">
        <v>200</v>
      </c>
      <c r="D6659" s="2562">
        <f>VLOOKUP(C6655,'Data Panjang Balok'!$C$9:$N$254,9,FALSE)</f>
        <v>0</v>
      </c>
      <c r="E6659" s="2563"/>
      <c r="F6659" s="2563"/>
      <c r="G6659" s="2563"/>
      <c r="H6659" s="2564"/>
      <c r="I6659" s="397"/>
      <c r="J6659" s="396"/>
      <c r="K6659" s="396"/>
      <c r="L6659" s="396"/>
      <c r="M6659" s="396"/>
      <c r="N6659" s="396"/>
      <c r="O6659" s="396"/>
      <c r="P6659" s="396"/>
      <c r="Q6659" s="396"/>
      <c r="R6659" s="396"/>
      <c r="S6659" s="396"/>
      <c r="T6659" s="396"/>
      <c r="U6659" s="388"/>
      <c r="V6659" s="396"/>
      <c r="W6659" s="388"/>
      <c r="X6659" s="396"/>
      <c r="Y6659" s="389"/>
      <c r="Z6659" s="396"/>
      <c r="AA6659" s="388"/>
      <c r="AB6659" s="390"/>
    </row>
    <row r="6660" spans="1:28">
      <c r="A6660" s="391"/>
      <c r="B6660" s="392"/>
      <c r="C6660" s="393" t="s">
        <v>201</v>
      </c>
      <c r="D6660" s="2562">
        <f>VLOOKUP(C6655,'Data Panjang Balok'!$C$9:$N$254,10,FALSE)</f>
        <v>0</v>
      </c>
      <c r="E6660" s="2563"/>
      <c r="F6660" s="2563"/>
      <c r="G6660" s="2563"/>
      <c r="H6660" s="2564"/>
      <c r="I6660" s="397"/>
      <c r="J6660" s="396"/>
      <c r="K6660" s="396"/>
      <c r="L6660" s="396"/>
      <c r="M6660" s="396"/>
      <c r="N6660" s="396"/>
      <c r="O6660" s="396"/>
      <c r="P6660" s="396"/>
      <c r="Q6660" s="396"/>
      <c r="R6660" s="396"/>
      <c r="S6660" s="396"/>
      <c r="T6660" s="396"/>
      <c r="U6660" s="388"/>
      <c r="V6660" s="396"/>
      <c r="W6660" s="388"/>
      <c r="X6660" s="396"/>
      <c r="Y6660" s="389"/>
      <c r="Z6660" s="396"/>
      <c r="AA6660" s="388"/>
      <c r="AB6660" s="390"/>
    </row>
    <row r="6661" spans="1:28">
      <c r="A6661" s="391"/>
      <c r="B6661" s="392"/>
      <c r="C6661" s="393" t="s">
        <v>48</v>
      </c>
      <c r="D6661" s="2562">
        <f>VLOOKUP(C6655,'Data Panjang Balok'!$C$9:$N$254,3,FALSE)</f>
        <v>1</v>
      </c>
      <c r="E6661" s="2563"/>
      <c r="F6661" s="2563"/>
      <c r="G6661" s="2563"/>
      <c r="H6661" s="2564"/>
      <c r="I6661" s="397"/>
      <c r="J6661" s="396"/>
      <c r="K6661" s="396"/>
      <c r="L6661" s="396"/>
      <c r="M6661" s="396"/>
      <c r="N6661" s="396"/>
      <c r="O6661" s="396"/>
      <c r="P6661" s="396"/>
      <c r="Q6661" s="396"/>
      <c r="R6661" s="396"/>
      <c r="S6661" s="396"/>
      <c r="T6661" s="396"/>
      <c r="U6661" s="388"/>
      <c r="V6661" s="396"/>
      <c r="W6661" s="388"/>
      <c r="X6661" s="396"/>
      <c r="Y6661" s="389"/>
      <c r="Z6661" s="396"/>
      <c r="AA6661" s="388"/>
      <c r="AB6661" s="390"/>
    </row>
    <row r="6662" spans="1:28">
      <c r="A6662" s="384" t="str">
        <f t="shared" ref="A6662:B6662" si="21595">A6655</f>
        <v>Lantai Atap</v>
      </c>
      <c r="B6662" s="385">
        <f t="shared" si="21595"/>
        <v>15</v>
      </c>
      <c r="C6662" s="393" t="s">
        <v>202</v>
      </c>
      <c r="D6662" s="398">
        <f>VLOOKUP(D6655,'Detail Balok'!$C$10:$AU$140,4,FALSE)</f>
        <v>3</v>
      </c>
      <c r="E6662" s="388" t="s">
        <v>16</v>
      </c>
      <c r="F6662" s="388">
        <f>VLOOKUP(D6655,'Detail Balok'!$C$10:$AU$140,6,FALSE)</f>
        <v>13</v>
      </c>
      <c r="G6662" s="388"/>
      <c r="H6662" s="395"/>
      <c r="I6662" s="388" t="s">
        <v>203</v>
      </c>
      <c r="J6662" s="399">
        <f t="shared" ref="J6662" si="21596">+D6657/4/1000</f>
        <v>1.5375000000000001</v>
      </c>
      <c r="K6662" s="400" t="s">
        <v>204</v>
      </c>
      <c r="L6662" s="399">
        <f t="shared" ref="L6662" si="21597">MAX(VLOOKUP(F6662,N$6:P$15,3,FALSE)/1000,2/3*D6659/1000)+F$16*F6662/1000</f>
        <v>0.156</v>
      </c>
      <c r="M6662" s="399" t="s">
        <v>176</v>
      </c>
      <c r="N6662" s="399">
        <f t="shared" ref="N6662:N6664" si="21598">J6662+L6662</f>
        <v>1.6935</v>
      </c>
      <c r="O6662" s="399" t="s">
        <v>204</v>
      </c>
      <c r="P6662" s="389">
        <f t="shared" ref="P6662" si="21599">D6662-D6663</f>
        <v>0</v>
      </c>
      <c r="Q6662" s="399" t="s">
        <v>125</v>
      </c>
      <c r="R6662" s="399">
        <f t="shared" ref="R6662" si="21600">IF(P6662&gt;0,$F$18*F6662/1000,0)</f>
        <v>0</v>
      </c>
      <c r="S6662" s="399" t="s">
        <v>205</v>
      </c>
      <c r="T6662" s="399" t="s">
        <v>125</v>
      </c>
      <c r="U6662" s="401">
        <f t="shared" ref="U6662:U6664" si="21601">0.006165*F6662^2</f>
        <v>1.041885</v>
      </c>
      <c r="V6662" s="399"/>
      <c r="W6662" s="399"/>
      <c r="X6662" s="399" t="s">
        <v>125</v>
      </c>
      <c r="Y6662" s="389">
        <f t="shared" ref="Y6662" si="21602">D6661</f>
        <v>1</v>
      </c>
      <c r="Z6662" s="400" t="s">
        <v>176</v>
      </c>
      <c r="AA6662" s="402">
        <f t="shared" ref="AA6662" si="21603">IF(AA6665=0,(D6662*N6662+P6662*R6662)*U6662*Y6662,0)</f>
        <v>0</v>
      </c>
      <c r="AB6662" s="403"/>
    </row>
    <row r="6663" spans="1:28">
      <c r="A6663" s="384" t="str">
        <f t="shared" ref="A6663:B6663" si="21604">A6655</f>
        <v>Lantai Atap</v>
      </c>
      <c r="B6663" s="385">
        <f t="shared" si="21604"/>
        <v>15</v>
      </c>
      <c r="C6663" s="393" t="s">
        <v>206</v>
      </c>
      <c r="D6663" s="398">
        <f>VLOOKUP(D6655,'Detail Balok'!$C$10:$AU$140,7,FALSE)</f>
        <v>3</v>
      </c>
      <c r="E6663" s="388" t="s">
        <v>16</v>
      </c>
      <c r="F6663" s="388">
        <f>VLOOKUP(D6655,'Detail Balok'!$C$10:$AU$140,9,FALSE)</f>
        <v>13</v>
      </c>
      <c r="G6663" s="388"/>
      <c r="H6663" s="395"/>
      <c r="I6663" s="388" t="s">
        <v>203</v>
      </c>
      <c r="J6663" s="399">
        <f t="shared" ref="J6663" si="21605">+D6657/2/1000</f>
        <v>3.0750000000000002</v>
      </c>
      <c r="K6663" s="400" t="s">
        <v>204</v>
      </c>
      <c r="L6663" s="399"/>
      <c r="M6663" s="399" t="s">
        <v>176</v>
      </c>
      <c r="N6663" s="399">
        <f t="shared" si="21598"/>
        <v>3.0750000000000002</v>
      </c>
      <c r="O6663" s="399" t="s">
        <v>204</v>
      </c>
      <c r="P6663" s="389">
        <f t="shared" ref="P6663" si="21606">MAX(D6663-D6662,D6663-D6664)</f>
        <v>0</v>
      </c>
      <c r="Q6663" s="399" t="s">
        <v>125</v>
      </c>
      <c r="R6663" s="399">
        <f t="shared" ref="R6663" si="21607">IF(P6663&gt;0,2*(1-2*$F$19-1/2)*D6658/1000,0)</f>
        <v>0</v>
      </c>
      <c r="S6663" s="399" t="s">
        <v>205</v>
      </c>
      <c r="T6663" s="399" t="s">
        <v>125</v>
      </c>
      <c r="U6663" s="401">
        <f t="shared" si="21601"/>
        <v>1.041885</v>
      </c>
      <c r="V6663" s="399"/>
      <c r="W6663" s="399"/>
      <c r="X6663" s="399" t="s">
        <v>125</v>
      </c>
      <c r="Y6663" s="389">
        <f t="shared" ref="Y6663" si="21608">D6661</f>
        <v>1</v>
      </c>
      <c r="Z6663" s="400" t="s">
        <v>176</v>
      </c>
      <c r="AA6663" s="402">
        <f t="shared" ref="AA6663" si="21609">IF(AA6665=0,(D6663*N6663+P6663*R6663)*U6663*Y6663,0)</f>
        <v>0</v>
      </c>
      <c r="AB6663" s="403"/>
    </row>
    <row r="6664" spans="1:28">
      <c r="A6664" s="384" t="str">
        <f t="shared" ref="A6664:B6664" si="21610">A6655</f>
        <v>Lantai Atap</v>
      </c>
      <c r="B6664" s="385">
        <f t="shared" si="21610"/>
        <v>15</v>
      </c>
      <c r="C6664" s="393" t="s">
        <v>202</v>
      </c>
      <c r="D6664" s="398">
        <f>VLOOKUP(D6655,'Detail Balok'!$C$10:$AU$140,10,FALSE)</f>
        <v>3</v>
      </c>
      <c r="E6664" s="388" t="s">
        <v>16</v>
      </c>
      <c r="F6664" s="388">
        <f>VLOOKUP(D6655,'Detail Balok'!$C$10:$AU$140,12,FALSE)</f>
        <v>13</v>
      </c>
      <c r="G6664" s="388"/>
      <c r="H6664" s="395"/>
      <c r="I6664" s="388" t="s">
        <v>203</v>
      </c>
      <c r="J6664" s="399">
        <f t="shared" ref="J6664" si="21611">+D6657/4/1000</f>
        <v>1.5375000000000001</v>
      </c>
      <c r="K6664" s="400" t="s">
        <v>204</v>
      </c>
      <c r="L6664" s="399">
        <f t="shared" ref="L6664" si="21612">MAX(VLOOKUP(F6664,N$6:P$15,3,FALSE)/1000,2/3*D6659/1000)+F$16*F6664/1000</f>
        <v>0.156</v>
      </c>
      <c r="M6664" s="399" t="s">
        <v>176</v>
      </c>
      <c r="N6664" s="399">
        <f t="shared" si="21598"/>
        <v>1.6935</v>
      </c>
      <c r="O6664" s="399" t="s">
        <v>204</v>
      </c>
      <c r="P6664" s="389">
        <f t="shared" ref="P6664" si="21613">D6664-D6663</f>
        <v>0</v>
      </c>
      <c r="Q6664" s="399" t="s">
        <v>125</v>
      </c>
      <c r="R6664" s="399">
        <f t="shared" ref="R6664" si="21614">IF(P6664&gt;0,$F$18*F6664/1000,0)</f>
        <v>0</v>
      </c>
      <c r="S6664" s="399" t="s">
        <v>205</v>
      </c>
      <c r="T6664" s="399" t="s">
        <v>125</v>
      </c>
      <c r="U6664" s="401">
        <f t="shared" si="21601"/>
        <v>1.041885</v>
      </c>
      <c r="V6664" s="399"/>
      <c r="W6664" s="399"/>
      <c r="X6664" s="399" t="s">
        <v>125</v>
      </c>
      <c r="Y6664" s="389">
        <f t="shared" ref="Y6664" si="21615">D6661</f>
        <v>1</v>
      </c>
      <c r="Z6664" s="400" t="s">
        <v>176</v>
      </c>
      <c r="AA6664" s="402">
        <f t="shared" ref="AA6664" si="21616">IF(AA6665=0,(D6664*N6664+P6664*R6664)*U6664*Y6664,0)</f>
        <v>0</v>
      </c>
      <c r="AB6664" s="403"/>
    </row>
    <row r="6665" spans="1:28">
      <c r="A6665" s="384" t="str">
        <f t="shared" ref="A6665:B6665" si="21617">A6655</f>
        <v>Lantai Atap</v>
      </c>
      <c r="B6665" s="385">
        <f t="shared" si="21617"/>
        <v>15</v>
      </c>
      <c r="C6665" s="393"/>
      <c r="D6665" s="398">
        <f t="shared" si="21513"/>
        <v>3</v>
      </c>
      <c r="E6665" s="388" t="s">
        <v>16</v>
      </c>
      <c r="F6665" s="388">
        <f t="shared" si="21514"/>
        <v>13</v>
      </c>
      <c r="G6665" s="388"/>
      <c r="H6665" s="395"/>
      <c r="I6665" s="388"/>
      <c r="J6665" s="396"/>
      <c r="K6665" s="396"/>
      <c r="L6665" s="404" t="s">
        <v>207</v>
      </c>
      <c r="M6665" s="399" t="s">
        <v>176</v>
      </c>
      <c r="N6665" s="399">
        <f t="shared" ref="N6665" si="21618">IF(AND(D6662=D6663,D6662=D6664,D6663=D6664,F6662=F6663,F6662=F6664,F6663=F6664),SUM(N6662:N6664),0)</f>
        <v>6.4620000000000006</v>
      </c>
      <c r="O6665" s="399" t="s">
        <v>204</v>
      </c>
      <c r="P6665" s="389">
        <f t="shared" ref="P6665" si="21619">IF(N6665&gt;12,ROUNDDOWN(N6665/12,0),0)</f>
        <v>0</v>
      </c>
      <c r="Q6665" s="399" t="s">
        <v>125</v>
      </c>
      <c r="R6665" s="399">
        <f t="shared" ref="R6665" si="21620">IF(P6665&gt;0,MAX(VLOOKUP(F6665,$D$6:$G$15,3,FALSE),600),0)/1000</f>
        <v>0</v>
      </c>
      <c r="S6665" s="396"/>
      <c r="T6665" s="396" t="s">
        <v>125</v>
      </c>
      <c r="U6665" s="401">
        <f t="shared" si="21518"/>
        <v>1.041885</v>
      </c>
      <c r="V6665" s="396" t="s">
        <v>125</v>
      </c>
      <c r="W6665" s="399">
        <f t="shared" ref="W6665" si="21621">D6665</f>
        <v>3</v>
      </c>
      <c r="X6665" s="399" t="s">
        <v>125</v>
      </c>
      <c r="Y6665" s="389">
        <f t="shared" si="21520"/>
        <v>1</v>
      </c>
      <c r="Z6665" s="400" t="s">
        <v>176</v>
      </c>
      <c r="AA6665" s="402">
        <f t="shared" ref="AA6665" si="21622">(N6665+P6665*R6665/1000)*U6665*W6665*Y6665</f>
        <v>20.19798261</v>
      </c>
      <c r="AB6665" s="390"/>
    </row>
    <row r="6666" spans="1:28">
      <c r="A6666" s="384"/>
      <c r="B6666" s="385"/>
      <c r="C6666" s="393"/>
      <c r="D6666" s="398"/>
      <c r="E6666" s="388"/>
      <c r="F6666" s="388"/>
      <c r="G6666" s="388"/>
      <c r="H6666" s="395"/>
      <c r="I6666" s="388"/>
      <c r="J6666" s="396"/>
      <c r="K6666" s="396"/>
      <c r="L6666" s="404"/>
      <c r="M6666" s="399"/>
      <c r="N6666" s="399"/>
      <c r="O6666" s="396"/>
      <c r="P6666" s="389"/>
      <c r="Q6666" s="396"/>
      <c r="R6666" s="396"/>
      <c r="S6666" s="396"/>
      <c r="T6666" s="396"/>
      <c r="U6666" s="401"/>
      <c r="V6666" s="396"/>
      <c r="W6666" s="399"/>
      <c r="X6666" s="396"/>
      <c r="Y6666" s="389"/>
      <c r="Z6666" s="396"/>
      <c r="AA6666" s="388"/>
      <c r="AB6666" s="390"/>
    </row>
    <row r="6667" spans="1:28">
      <c r="A6667" s="384" t="str">
        <f t="shared" ref="A6667:B6667" si="21623">A6655</f>
        <v>Lantai Atap</v>
      </c>
      <c r="B6667" s="385">
        <f t="shared" si="21623"/>
        <v>15</v>
      </c>
      <c r="C6667" s="393" t="s">
        <v>208</v>
      </c>
      <c r="D6667" s="398">
        <f>VLOOKUP(D6655,'Detail Balok'!$C$10:$AU$140,13,FALSE)</f>
        <v>2</v>
      </c>
      <c r="E6667" s="388" t="s">
        <v>16</v>
      </c>
      <c r="F6667" s="388">
        <f>VLOOKUP(D6655,'Detail Balok'!$C$10:$AU$140,15,FALSE)</f>
        <v>10</v>
      </c>
      <c r="G6667" s="388"/>
      <c r="H6667" s="395"/>
      <c r="I6667" s="388"/>
      <c r="J6667" s="399">
        <f t="shared" ref="J6667" si="21624">+D6657/1000</f>
        <v>6.15</v>
      </c>
      <c r="K6667" s="400" t="s">
        <v>204</v>
      </c>
      <c r="L6667" s="399">
        <f t="shared" ref="L6667" si="21625">2*$F$16*F6667/1000</f>
        <v>0.24</v>
      </c>
      <c r="M6667" s="399" t="s">
        <v>176</v>
      </c>
      <c r="N6667" s="399">
        <f t="shared" ref="N6667" si="21626">J6667+L6667</f>
        <v>6.3900000000000006</v>
      </c>
      <c r="O6667" s="399" t="s">
        <v>204</v>
      </c>
      <c r="P6667" s="389">
        <f t="shared" ref="P6667" si="21627">IF(N6667&gt;12,ROUNDDOWN(N6667/12,0),0)</f>
        <v>0</v>
      </c>
      <c r="Q6667" s="399" t="s">
        <v>125</v>
      </c>
      <c r="R6667" s="399">
        <f t="shared" ref="R6667" si="21628">IF(P6667&gt;0,MAX(VLOOKUP(F6667,$D$6:$G$15,3,FALSE),600),0)/1000</f>
        <v>0</v>
      </c>
      <c r="S6667" s="399"/>
      <c r="T6667" s="399" t="s">
        <v>125</v>
      </c>
      <c r="U6667" s="401">
        <f t="shared" ref="U6667" si="21629">0.006165*F6667^2</f>
        <v>0.61650000000000005</v>
      </c>
      <c r="V6667" s="399" t="s">
        <v>125</v>
      </c>
      <c r="W6667" s="399">
        <f t="shared" ref="W6667" si="21630">+D6667</f>
        <v>2</v>
      </c>
      <c r="X6667" s="399" t="s">
        <v>125</v>
      </c>
      <c r="Y6667" s="389">
        <f t="shared" ref="Y6667" si="21631">D6661</f>
        <v>1</v>
      </c>
      <c r="Z6667" s="400" t="s">
        <v>176</v>
      </c>
      <c r="AA6667" s="402">
        <f t="shared" ref="AA6667" si="21632">(N6667+P6667*R6667/1000)*U6667*W6667*Y6667</f>
        <v>7.8788700000000009</v>
      </c>
      <c r="AB6667" s="403"/>
    </row>
    <row r="6668" spans="1:28">
      <c r="A6668" s="384"/>
      <c r="B6668" s="385"/>
      <c r="C6668" s="393"/>
      <c r="D6668" s="398"/>
      <c r="E6668" s="388"/>
      <c r="F6668" s="388"/>
      <c r="G6668" s="388"/>
      <c r="H6668" s="395"/>
      <c r="I6668" s="388"/>
      <c r="J6668" s="399"/>
      <c r="K6668" s="400"/>
      <c r="L6668" s="399"/>
      <c r="M6668" s="399"/>
      <c r="N6668" s="399"/>
      <c r="O6668" s="399"/>
      <c r="P6668" s="389"/>
      <c r="Q6668" s="399"/>
      <c r="R6668" s="399"/>
      <c r="S6668" s="399"/>
      <c r="T6668" s="399"/>
      <c r="U6668" s="401"/>
      <c r="V6668" s="399"/>
      <c r="W6668" s="399"/>
      <c r="X6668" s="399"/>
      <c r="Y6668" s="389"/>
      <c r="Z6668" s="400"/>
      <c r="AA6668" s="402"/>
      <c r="AB6668" s="403"/>
    </row>
    <row r="6669" spans="1:28">
      <c r="A6669" s="384"/>
      <c r="B6669" s="385"/>
      <c r="C6669" s="393"/>
      <c r="D6669" s="398"/>
      <c r="E6669" s="388"/>
      <c r="F6669" s="388"/>
      <c r="G6669" s="388"/>
      <c r="H6669" s="395"/>
      <c r="I6669" s="388"/>
      <c r="J6669" s="396"/>
      <c r="K6669" s="396"/>
      <c r="L6669" s="396"/>
      <c r="M6669" s="396"/>
      <c r="N6669" s="396"/>
      <c r="O6669" s="396"/>
      <c r="P6669" s="389"/>
      <c r="Q6669" s="396"/>
      <c r="R6669" s="396"/>
      <c r="S6669" s="396"/>
      <c r="T6669" s="396"/>
      <c r="U6669" s="401"/>
      <c r="V6669" s="396"/>
      <c r="W6669" s="399"/>
      <c r="X6669" s="396"/>
      <c r="Y6669" s="389"/>
      <c r="Z6669" s="396"/>
      <c r="AA6669" s="388"/>
      <c r="AB6669" s="390"/>
    </row>
    <row r="6670" spans="1:28">
      <c r="A6670" s="384" t="str">
        <f t="shared" ref="A6670:B6670" si="21633">A6655</f>
        <v>Lantai Atap</v>
      </c>
      <c r="B6670" s="385">
        <f t="shared" si="21633"/>
        <v>15</v>
      </c>
      <c r="C6670" s="393" t="s">
        <v>209</v>
      </c>
      <c r="D6670" s="398">
        <f>VLOOKUP(D6655,'Detail Balok'!$C$10:$AU$140,22,FALSE)</f>
        <v>3</v>
      </c>
      <c r="E6670" s="388" t="s">
        <v>16</v>
      </c>
      <c r="F6670" s="388">
        <f>VLOOKUP(D6655,'Detail Balok'!$C$10:$AU$140,24,FALSE)</f>
        <v>13</v>
      </c>
      <c r="G6670" s="388"/>
      <c r="H6670" s="395"/>
      <c r="I6670" s="388" t="s">
        <v>203</v>
      </c>
      <c r="J6670" s="399">
        <f t="shared" si="21533"/>
        <v>1.5375000000000001</v>
      </c>
      <c r="K6670" s="400" t="s">
        <v>204</v>
      </c>
      <c r="L6670" s="399">
        <f t="shared" ref="L6670" si="21634">MAX(VLOOKUP(F6670,N$6:P$15,3,FALSE)/1000,2/3*D6660/1000)+F$16*F6670/1000</f>
        <v>0.156</v>
      </c>
      <c r="M6670" s="399" t="s">
        <v>176</v>
      </c>
      <c r="N6670" s="399">
        <f t="shared" ref="N6670:N6672" si="21635">J6670+L6670</f>
        <v>1.6935</v>
      </c>
      <c r="O6670" s="399" t="s">
        <v>204</v>
      </c>
      <c r="P6670" s="389">
        <f t="shared" ref="P6670" si="21636">D6670-D6671</f>
        <v>0</v>
      </c>
      <c r="Q6670" s="399" t="s">
        <v>125</v>
      </c>
      <c r="R6670" s="399">
        <f t="shared" ref="R6670" si="21637">IF(P6670&gt;0,$F$18*F6670/1000,0)</f>
        <v>0</v>
      </c>
      <c r="S6670" s="399" t="s">
        <v>205</v>
      </c>
      <c r="T6670" s="399" t="s">
        <v>125</v>
      </c>
      <c r="U6670" s="401">
        <f t="shared" ref="U6670:U6672" si="21638">0.006165*F6670^2</f>
        <v>1.041885</v>
      </c>
      <c r="V6670" s="399"/>
      <c r="W6670" s="399"/>
      <c r="X6670" s="399" t="s">
        <v>125</v>
      </c>
      <c r="Y6670" s="389">
        <f t="shared" ref="Y6670" si="21639">D6661</f>
        <v>1</v>
      </c>
      <c r="Z6670" s="400" t="s">
        <v>176</v>
      </c>
      <c r="AA6670" s="402">
        <f t="shared" ref="AA6670" si="21640">IF(AA6673=0,(D6670*N6670+P6670*R6670)*U6670*Y6670,0)</f>
        <v>0</v>
      </c>
      <c r="AB6670" s="403"/>
    </row>
    <row r="6671" spans="1:28">
      <c r="A6671" s="384" t="str">
        <f t="shared" ref="A6671:B6671" si="21641">A6655</f>
        <v>Lantai Atap</v>
      </c>
      <c r="B6671" s="385">
        <f t="shared" si="21641"/>
        <v>15</v>
      </c>
      <c r="C6671" s="393" t="s">
        <v>210</v>
      </c>
      <c r="D6671" s="398">
        <f>VLOOKUP(D6655,'Detail Balok'!$C$10:$AU$140,25,FALSE)</f>
        <v>3</v>
      </c>
      <c r="E6671" s="388" t="s">
        <v>16</v>
      </c>
      <c r="F6671" s="388">
        <f>VLOOKUP(D6655,'Detail Balok'!$C$10:$AU$140,27,FALSE)</f>
        <v>13</v>
      </c>
      <c r="G6671" s="388"/>
      <c r="H6671" s="395"/>
      <c r="I6671" s="388" t="s">
        <v>203</v>
      </c>
      <c r="J6671" s="399">
        <f t="shared" si="21533"/>
        <v>3.0750000000000002</v>
      </c>
      <c r="K6671" s="400" t="s">
        <v>204</v>
      </c>
      <c r="L6671" s="399"/>
      <c r="M6671" s="399" t="s">
        <v>176</v>
      </c>
      <c r="N6671" s="399">
        <f t="shared" si="21635"/>
        <v>3.0750000000000002</v>
      </c>
      <c r="O6671" s="399" t="s">
        <v>204</v>
      </c>
      <c r="P6671" s="389">
        <f t="shared" ref="P6671" si="21642">MAX(D6671-D6670,D6671-D6672)</f>
        <v>0</v>
      </c>
      <c r="Q6671" s="399" t="s">
        <v>125</v>
      </c>
      <c r="R6671" s="399">
        <f t="shared" ref="R6671" si="21643">IF(P6671&gt;0,2*(1-2*$F$19-1/2)*D6658/1000,0)</f>
        <v>0</v>
      </c>
      <c r="S6671" s="399" t="s">
        <v>205</v>
      </c>
      <c r="T6671" s="399" t="s">
        <v>125</v>
      </c>
      <c r="U6671" s="401">
        <f t="shared" si="21638"/>
        <v>1.041885</v>
      </c>
      <c r="V6671" s="399"/>
      <c r="W6671" s="399"/>
      <c r="X6671" s="399" t="s">
        <v>125</v>
      </c>
      <c r="Y6671" s="389">
        <f t="shared" ref="Y6671" si="21644">D6661</f>
        <v>1</v>
      </c>
      <c r="Z6671" s="400" t="s">
        <v>176</v>
      </c>
      <c r="AA6671" s="402">
        <f t="shared" ref="AA6671" si="21645">IF(AA6673=0,(D6671*N6671+P6671*R6671)*U6671*Y6671,0)</f>
        <v>0</v>
      </c>
      <c r="AB6671" s="403"/>
    </row>
    <row r="6672" spans="1:28">
      <c r="A6672" s="384" t="str">
        <f t="shared" ref="A6672:B6672" si="21646">A6655</f>
        <v>Lantai Atap</v>
      </c>
      <c r="B6672" s="385">
        <f t="shared" si="21646"/>
        <v>15</v>
      </c>
      <c r="C6672" s="393" t="s">
        <v>209</v>
      </c>
      <c r="D6672" s="398">
        <f>VLOOKUP(D6655,'Detail Balok'!$C$10:$AU$140,28,FALSE)</f>
        <v>3</v>
      </c>
      <c r="E6672" s="388" t="s">
        <v>16</v>
      </c>
      <c r="F6672" s="388">
        <f>VLOOKUP(D6655,'Detail Balok'!$C$10:$AU$140,30,FALSE)</f>
        <v>13</v>
      </c>
      <c r="G6672" s="388"/>
      <c r="H6672" s="395"/>
      <c r="I6672" s="388" t="s">
        <v>203</v>
      </c>
      <c r="J6672" s="399">
        <f t="shared" si="21533"/>
        <v>1.5375000000000001</v>
      </c>
      <c r="K6672" s="400" t="s">
        <v>204</v>
      </c>
      <c r="L6672" s="399">
        <f t="shared" ref="L6672" si="21647">MAX(VLOOKUP(F6672,N$6:P$15,3,FALSE)/1000,2/3*D6660/1000)+F$16*F6672/1000</f>
        <v>0.156</v>
      </c>
      <c r="M6672" s="399" t="s">
        <v>176</v>
      </c>
      <c r="N6672" s="399">
        <f t="shared" si="21635"/>
        <v>1.6935</v>
      </c>
      <c r="O6672" s="399" t="s">
        <v>204</v>
      </c>
      <c r="P6672" s="389">
        <f t="shared" ref="P6672" si="21648">D6672-D6671</f>
        <v>0</v>
      </c>
      <c r="Q6672" s="399" t="s">
        <v>125</v>
      </c>
      <c r="R6672" s="399">
        <f t="shared" ref="R6672" si="21649">IF(P6672&gt;0,$F$18*F6672/1000,0)</f>
        <v>0</v>
      </c>
      <c r="S6672" s="399" t="s">
        <v>205</v>
      </c>
      <c r="T6672" s="399" t="s">
        <v>125</v>
      </c>
      <c r="U6672" s="401">
        <f t="shared" si="21638"/>
        <v>1.041885</v>
      </c>
      <c r="V6672" s="399"/>
      <c r="W6672" s="399"/>
      <c r="X6672" s="399" t="s">
        <v>125</v>
      </c>
      <c r="Y6672" s="389">
        <f t="shared" ref="Y6672" si="21650">D6661</f>
        <v>1</v>
      </c>
      <c r="Z6672" s="400" t="s">
        <v>176</v>
      </c>
      <c r="AA6672" s="402">
        <f t="shared" ref="AA6672" si="21651">IF(AA6673=0,(D6672*N6672+P6672*R6672)*U6672*Y6672,0)</f>
        <v>0</v>
      </c>
      <c r="AB6672" s="403"/>
    </row>
    <row r="6673" spans="1:28">
      <c r="A6673" s="384" t="str">
        <f t="shared" ref="A6673:B6673" si="21652">A6655</f>
        <v>Lantai Atap</v>
      </c>
      <c r="B6673" s="385">
        <f t="shared" si="21652"/>
        <v>15</v>
      </c>
      <c r="C6673" s="393"/>
      <c r="D6673" s="398">
        <f t="shared" si="21553"/>
        <v>3</v>
      </c>
      <c r="E6673" s="388" t="s">
        <v>16</v>
      </c>
      <c r="F6673" s="388">
        <f t="shared" si="21554"/>
        <v>13</v>
      </c>
      <c r="G6673" s="388"/>
      <c r="H6673" s="395"/>
      <c r="I6673" s="388"/>
      <c r="J6673" s="396"/>
      <c r="K6673" s="396"/>
      <c r="L6673" s="404" t="s">
        <v>207</v>
      </c>
      <c r="M6673" s="399" t="s">
        <v>176</v>
      </c>
      <c r="N6673" s="399">
        <f t="shared" ref="N6673" si="21653">IF(AND(D6670=D6671,D6670=D6672,D6671=D6672,F6670=F6671,F6670=F6672,F6671=F6672),SUM(N6670:N6672),0)</f>
        <v>6.4620000000000006</v>
      </c>
      <c r="O6673" s="399" t="s">
        <v>204</v>
      </c>
      <c r="P6673" s="389">
        <f t="shared" ref="P6673" si="21654">IF(N6673&gt;12,ROUNDDOWN(N6673/12,0),0)</f>
        <v>0</v>
      </c>
      <c r="Q6673" s="399" t="s">
        <v>125</v>
      </c>
      <c r="R6673" s="399">
        <f t="shared" ref="R6673" si="21655">IF(P6673&gt;0,MAX(VLOOKUP(F6673,$D$6:$G$15,3,FALSE),600),0)/1000</f>
        <v>0</v>
      </c>
      <c r="S6673" s="396"/>
      <c r="T6673" s="396" t="s">
        <v>125</v>
      </c>
      <c r="U6673" s="401">
        <f t="shared" si="21558"/>
        <v>1.041885</v>
      </c>
      <c r="V6673" s="396" t="s">
        <v>125</v>
      </c>
      <c r="W6673" s="399">
        <f t="shared" ref="W6673" si="21656">D6673</f>
        <v>3</v>
      </c>
      <c r="X6673" s="399" t="s">
        <v>125</v>
      </c>
      <c r="Y6673" s="389">
        <f t="shared" si="21560"/>
        <v>1</v>
      </c>
      <c r="Z6673" s="400" t="s">
        <v>176</v>
      </c>
      <c r="AA6673" s="402">
        <f t="shared" ref="AA6673" si="21657">(N6673+P6673*R6673/1000)*U6673*W6673*Y6673</f>
        <v>20.19798261</v>
      </c>
      <c r="AB6673" s="403"/>
    </row>
    <row r="6674" spans="1:28">
      <c r="A6674" s="384"/>
      <c r="B6674" s="385"/>
      <c r="C6674" s="393"/>
      <c r="D6674" s="394"/>
      <c r="E6674" s="388"/>
      <c r="F6674" s="388"/>
      <c r="G6674" s="388"/>
      <c r="H6674" s="395"/>
      <c r="I6674" s="388"/>
      <c r="J6674" s="399"/>
      <c r="K6674" s="396"/>
      <c r="L6674" s="396"/>
      <c r="M6674" s="396"/>
      <c r="N6674" s="396"/>
      <c r="O6674" s="396"/>
      <c r="P6674" s="389"/>
      <c r="Q6674" s="396"/>
      <c r="R6674" s="396"/>
      <c r="S6674" s="396"/>
      <c r="T6674" s="396"/>
      <c r="U6674" s="401"/>
      <c r="V6674" s="396"/>
      <c r="W6674" s="388"/>
      <c r="X6674" s="396"/>
      <c r="Y6674" s="389"/>
      <c r="Z6674" s="396"/>
      <c r="AA6674" s="388"/>
      <c r="AB6674" s="390"/>
    </row>
    <row r="6675" spans="1:28">
      <c r="A6675" s="384" t="str">
        <f t="shared" ref="A6675:B6675" si="21658">A6655</f>
        <v>Lantai Atap</v>
      </c>
      <c r="B6675" s="385">
        <f t="shared" si="21658"/>
        <v>15</v>
      </c>
      <c r="C6675" s="393" t="s">
        <v>211</v>
      </c>
      <c r="D6675" s="398">
        <f>VLOOKUP(D6655,'Detail Balok'!$C$10:$AU$140,31,FALSE)</f>
        <v>0</v>
      </c>
      <c r="E6675" s="388" t="s">
        <v>16</v>
      </c>
      <c r="F6675" s="388">
        <f>VLOOKUP(D6655,'Detail Balok'!$C$10:$AU$140,33,FALSE)</f>
        <v>8</v>
      </c>
      <c r="G6675" s="405" t="s">
        <v>157</v>
      </c>
      <c r="H6675" s="395">
        <f>VLOOKUP(D6655,'Detail Balok'!$C$10:$AU$140,35,FALSE)</f>
        <v>150</v>
      </c>
      <c r="I6675" s="388"/>
      <c r="J6675" s="400">
        <f t="shared" ref="J6675" si="21659">(IF(D6675=0,(2*(D6656+G6656))-(F$5*8),IF(D6675=3,(2*(D6656+G6656))-(F$5*8)+(G6656-2*F$5),IF(D6675=4,(2*(D6656+G6656))-(F$5*8)+2*(G6656-2*F$5)))))/1000</f>
        <v>0.94</v>
      </c>
      <c r="K6675" s="400" t="s">
        <v>204</v>
      </c>
      <c r="L6675" s="399">
        <f t="shared" ref="L6675:L6677" si="21660">IF(D6675=0,2*MAX(6*F6675,75),(D6675-1)*2*MAX(6*F6675,75))/1000</f>
        <v>0.15</v>
      </c>
      <c r="M6675" s="399" t="s">
        <v>176</v>
      </c>
      <c r="N6675" s="399">
        <f t="shared" ref="N6675:N6677" si="21661">J6675+L6675</f>
        <v>1.0899999999999999</v>
      </c>
      <c r="O6675" s="399"/>
      <c r="P6675" s="389"/>
      <c r="Q6675" s="399"/>
      <c r="R6675" s="399"/>
      <c r="S6675" s="399"/>
      <c r="T6675" s="399" t="s">
        <v>125</v>
      </c>
      <c r="U6675" s="401">
        <f t="shared" ref="U6675:U6677" si="21662">0.006165*F6675^2</f>
        <v>0.39456000000000002</v>
      </c>
      <c r="V6675" s="399" t="s">
        <v>125</v>
      </c>
      <c r="W6675" s="399">
        <f t="shared" ref="W6675" si="21663">IF(D6658&gt;4*G6656,ROUND(MAX(D6658/4,2*G6656)/H6675,0)+1,ROUND(D6658/H6675,0)+1)</f>
        <v>11</v>
      </c>
      <c r="X6675" s="399" t="s">
        <v>125</v>
      </c>
      <c r="Y6675" s="389">
        <f t="shared" ref="Y6675" si="21664">D6661</f>
        <v>1</v>
      </c>
      <c r="Z6675" s="400" t="s">
        <v>176</v>
      </c>
      <c r="AA6675" s="402">
        <f t="shared" ref="AA6675:AA6677" si="21665">N6675*U6675*W6675*Y6675</f>
        <v>4.7307743999999996</v>
      </c>
      <c r="AB6675" s="403"/>
    </row>
    <row r="6676" spans="1:28">
      <c r="A6676" s="384" t="str">
        <f t="shared" ref="A6676:B6676" si="21666">A6655</f>
        <v>Lantai Atap</v>
      </c>
      <c r="B6676" s="385">
        <f t="shared" si="21666"/>
        <v>15</v>
      </c>
      <c r="C6676" s="393" t="s">
        <v>212</v>
      </c>
      <c r="D6676" s="398">
        <f>VLOOKUP(D6655,'Detail Balok'!$C$10:$AU$140,36,FALSE)</f>
        <v>0</v>
      </c>
      <c r="E6676" s="388" t="s">
        <v>16</v>
      </c>
      <c r="F6676" s="388">
        <f>VLOOKUP(D6655,'Detail Balok'!$C$10:$AU$140,38,FALSE)</f>
        <v>8</v>
      </c>
      <c r="G6676" s="405" t="s">
        <v>157</v>
      </c>
      <c r="H6676" s="395">
        <f>VLOOKUP(D6655,'Detail Balok'!$C$10:$AU$140,40,FALSE)</f>
        <v>200</v>
      </c>
      <c r="I6676" s="388"/>
      <c r="J6676" s="400">
        <f t="shared" ref="J6676" si="21667">(IF(D6676=0,(2*(D6656+G6656))-(F$5*8),IF(D6676=3,(2*(D6656+G6656))-(F$5*8)+(G6656-2*F$5),IF(D6676=4,(2*(D6656+G6656))-(F$5*8)+2*(G6656-2*F$5)))))/1000</f>
        <v>0.94</v>
      </c>
      <c r="K6676" s="400" t="s">
        <v>204</v>
      </c>
      <c r="L6676" s="399">
        <f t="shared" si="21660"/>
        <v>0.15</v>
      </c>
      <c r="M6676" s="399" t="s">
        <v>176</v>
      </c>
      <c r="N6676" s="399">
        <f t="shared" si="21661"/>
        <v>1.0899999999999999</v>
      </c>
      <c r="O6676" s="399"/>
      <c r="P6676" s="389"/>
      <c r="Q6676" s="399"/>
      <c r="R6676" s="399"/>
      <c r="S6676" s="399"/>
      <c r="T6676" s="399" t="s">
        <v>125</v>
      </c>
      <c r="U6676" s="401">
        <f t="shared" si="21662"/>
        <v>0.39456000000000002</v>
      </c>
      <c r="V6676" s="399" t="s">
        <v>125</v>
      </c>
      <c r="W6676" s="399">
        <f t="shared" ref="W6676" si="21668">IF(D6658-MAX(D6658/4,2*G6656)*2&gt;0,ROUND((D6658-MAX(D6658/4,2*G6656)*2)/H6676,0),0)</f>
        <v>15</v>
      </c>
      <c r="X6676" s="399" t="s">
        <v>125</v>
      </c>
      <c r="Y6676" s="389">
        <f t="shared" ref="Y6676" si="21669">D6661</f>
        <v>1</v>
      </c>
      <c r="Z6676" s="400" t="s">
        <v>176</v>
      </c>
      <c r="AA6676" s="402">
        <f t="shared" si="21665"/>
        <v>6.4510559999999995</v>
      </c>
      <c r="AB6676" s="403"/>
    </row>
    <row r="6677" spans="1:28">
      <c r="A6677" s="384" t="str">
        <f t="shared" ref="A6677:B6677" si="21670">A6655</f>
        <v>Lantai Atap</v>
      </c>
      <c r="B6677" s="385">
        <f t="shared" si="21670"/>
        <v>15</v>
      </c>
      <c r="C6677" s="393" t="s">
        <v>211</v>
      </c>
      <c r="D6677" s="398">
        <f>VLOOKUP(D6655,'Detail Balok'!$C$10:$AU$140,41,FALSE)</f>
        <v>0</v>
      </c>
      <c r="E6677" s="388" t="s">
        <v>16</v>
      </c>
      <c r="F6677" s="388">
        <f>VLOOKUP(D6655,'Detail Balok'!$C$10:$AU$140,43,FALSE)</f>
        <v>8</v>
      </c>
      <c r="G6677" s="405" t="s">
        <v>157</v>
      </c>
      <c r="H6677" s="395">
        <f>VLOOKUP(D6655,'Detail Balok'!$C$10:$AU$140,45,FALSE)</f>
        <v>150</v>
      </c>
      <c r="I6677" s="388"/>
      <c r="J6677" s="400">
        <f t="shared" ref="J6677" si="21671">(IF(D6677=0,(2*(D6656+G6656))-(F$5*8),IF(D6677=3,(2*(D6656+G6656))-(F$5*8)+(G6656-2*F$5),IF(D6677=4,(2*(D6656+G6656))-(F$5*8)+2*(G6656-2*F$5)))))/1000</f>
        <v>0.94</v>
      </c>
      <c r="K6677" s="400" t="s">
        <v>204</v>
      </c>
      <c r="L6677" s="399">
        <f t="shared" si="21660"/>
        <v>0.15</v>
      </c>
      <c r="M6677" s="399" t="s">
        <v>176</v>
      </c>
      <c r="N6677" s="399">
        <f t="shared" si="21661"/>
        <v>1.0899999999999999</v>
      </c>
      <c r="O6677" s="399"/>
      <c r="P6677" s="389"/>
      <c r="Q6677" s="399"/>
      <c r="R6677" s="399"/>
      <c r="S6677" s="399"/>
      <c r="T6677" s="399" t="s">
        <v>125</v>
      </c>
      <c r="U6677" s="401">
        <f t="shared" si="21662"/>
        <v>0.39456000000000002</v>
      </c>
      <c r="V6677" s="399" t="s">
        <v>125</v>
      </c>
      <c r="W6677" s="399">
        <f t="shared" ref="W6677" si="21672">IF(D6658&gt;4*G6656,ROUND(MAX(D6658/4,2*G6656)/H6677,0)+1,0)</f>
        <v>11</v>
      </c>
      <c r="X6677" s="399" t="s">
        <v>125</v>
      </c>
      <c r="Y6677" s="389">
        <f t="shared" ref="Y6677" si="21673">D6661</f>
        <v>1</v>
      </c>
      <c r="Z6677" s="400" t="s">
        <v>176</v>
      </c>
      <c r="AA6677" s="402">
        <f t="shared" si="21665"/>
        <v>4.7307743999999996</v>
      </c>
      <c r="AB6677" s="403"/>
    </row>
    <row r="6678" spans="1:28">
      <c r="A6678" s="384"/>
      <c r="B6678" s="385"/>
      <c r="C6678" s="393"/>
      <c r="D6678" s="394"/>
      <c r="E6678" s="388"/>
      <c r="F6678" s="388"/>
      <c r="G6678" s="388"/>
      <c r="H6678" s="395"/>
      <c r="I6678" s="388"/>
      <c r="J6678" s="399"/>
      <c r="K6678" s="396"/>
      <c r="L6678" s="396"/>
      <c r="M6678" s="396"/>
      <c r="N6678" s="396"/>
      <c r="O6678" s="396"/>
      <c r="P6678" s="389"/>
      <c r="Q6678" s="396"/>
      <c r="R6678" s="396"/>
      <c r="S6678" s="396"/>
      <c r="T6678" s="396"/>
      <c r="U6678" s="401"/>
      <c r="V6678" s="396"/>
      <c r="W6678" s="388"/>
      <c r="X6678" s="396"/>
      <c r="Y6678" s="389"/>
      <c r="Z6678" s="396"/>
      <c r="AA6678" s="388"/>
      <c r="AB6678" s="390"/>
    </row>
    <row r="6679" spans="1:28">
      <c r="A6679" s="384" t="str">
        <f t="shared" ref="A6679:B6679" si="21674">A6655</f>
        <v>Lantai Atap</v>
      </c>
      <c r="B6679" s="385">
        <f t="shared" si="21674"/>
        <v>15</v>
      </c>
      <c r="C6679" s="393" t="s">
        <v>213</v>
      </c>
      <c r="D6679" s="398">
        <f>VLOOKUP(D6655,'Detail Balok'!$C$10:$BJ$140,46,FALSE)</f>
        <v>0</v>
      </c>
      <c r="E6679" s="388" t="s">
        <v>16</v>
      </c>
      <c r="F6679" s="388">
        <f>VLOOKUP(D6655,'Detail Balok'!$C$10:$BJ$140,48,FALSE)</f>
        <v>0</v>
      </c>
      <c r="G6679" s="405" t="s">
        <v>157</v>
      </c>
      <c r="H6679" s="395">
        <f>VLOOKUP(D6655,'Detail Balok'!$C$10:$BJ$140,50,FALSE)</f>
        <v>100</v>
      </c>
      <c r="I6679" s="388"/>
      <c r="J6679" s="399">
        <f t="shared" ref="J6679" si="21675">(D6656-2*F$5)/1000</f>
        <v>0.05</v>
      </c>
      <c r="K6679" s="400" t="s">
        <v>204</v>
      </c>
      <c r="L6679" s="399">
        <f t="shared" ref="L6679:L6681" si="21676">IF(D6679=0,2*MAX(6*F6679,75),(D6679-1)*2*MAX(6*F6679,75))/1000</f>
        <v>0.15</v>
      </c>
      <c r="M6679" s="399" t="s">
        <v>176</v>
      </c>
      <c r="N6679" s="399">
        <f t="shared" ref="N6679:N6681" si="21677">J6679+L6679</f>
        <v>0.2</v>
      </c>
      <c r="O6679" s="399"/>
      <c r="P6679" s="399"/>
      <c r="Q6679" s="399"/>
      <c r="R6679" s="399"/>
      <c r="S6679" s="399"/>
      <c r="T6679" s="399" t="s">
        <v>125</v>
      </c>
      <c r="U6679" s="401">
        <f t="shared" ref="U6679:U6681" si="21678">0.006165*F6679^2</f>
        <v>0</v>
      </c>
      <c r="V6679" s="399" t="s">
        <v>125</v>
      </c>
      <c r="W6679" s="399">
        <f t="shared" si="21583"/>
        <v>11</v>
      </c>
      <c r="X6679" s="399" t="s">
        <v>125</v>
      </c>
      <c r="Y6679" s="389">
        <f t="shared" ref="Y6679" si="21679">D6665</f>
        <v>3</v>
      </c>
      <c r="Z6679" s="400" t="s">
        <v>176</v>
      </c>
      <c r="AA6679" s="402">
        <f t="shared" ref="AA6679:AA6681" si="21680">N6679*U6679*W6679*Y6679</f>
        <v>0</v>
      </c>
      <c r="AB6679" s="403"/>
    </row>
    <row r="6680" spans="1:28">
      <c r="A6680" s="384" t="str">
        <f t="shared" ref="A6680:B6680" si="21681">A6655</f>
        <v>Lantai Atap</v>
      </c>
      <c r="B6680" s="385">
        <f t="shared" si="21681"/>
        <v>15</v>
      </c>
      <c r="C6680" s="393" t="s">
        <v>214</v>
      </c>
      <c r="D6680" s="398">
        <f>VLOOKUP(D6655,'Detail Balok'!$C$10:$BJ$140,51,FALSE)</f>
        <v>0</v>
      </c>
      <c r="E6680" s="388" t="s">
        <v>16</v>
      </c>
      <c r="F6680" s="388">
        <f>VLOOKUP(D6655,'Detail Balok'!$C$10:$BJ$140,53,FALSE)</f>
        <v>0</v>
      </c>
      <c r="G6680" s="405" t="s">
        <v>157</v>
      </c>
      <c r="H6680" s="395">
        <f>VLOOKUP(D6655,'Detail Balok'!$C$10:$BJ$140,55,FALSE)</f>
        <v>100</v>
      </c>
      <c r="I6680" s="388"/>
      <c r="J6680" s="399">
        <f t="shared" ref="J6680" si="21682">(D6656-2*F$5)/1000</f>
        <v>0.05</v>
      </c>
      <c r="K6680" s="400" t="s">
        <v>204</v>
      </c>
      <c r="L6680" s="399">
        <f t="shared" si="21676"/>
        <v>0.15</v>
      </c>
      <c r="M6680" s="399" t="s">
        <v>176</v>
      </c>
      <c r="N6680" s="399">
        <f t="shared" si="21677"/>
        <v>0.2</v>
      </c>
      <c r="O6680" s="399"/>
      <c r="P6680" s="399"/>
      <c r="Q6680" s="399"/>
      <c r="R6680" s="399"/>
      <c r="S6680" s="399"/>
      <c r="T6680" s="399" t="s">
        <v>125</v>
      </c>
      <c r="U6680" s="401">
        <f t="shared" si="21678"/>
        <v>0</v>
      </c>
      <c r="V6680" s="399" t="s">
        <v>125</v>
      </c>
      <c r="W6680" s="399">
        <f t="shared" si="21583"/>
        <v>15</v>
      </c>
      <c r="X6680" s="399" t="s">
        <v>125</v>
      </c>
      <c r="Y6680" s="389">
        <f t="shared" ref="Y6680" si="21683">D6665</f>
        <v>3</v>
      </c>
      <c r="Z6680" s="400" t="s">
        <v>176</v>
      </c>
      <c r="AA6680" s="402">
        <f t="shared" si="21680"/>
        <v>0</v>
      </c>
      <c r="AB6680" s="403"/>
    </row>
    <row r="6681" spans="1:28">
      <c r="A6681" s="384" t="str">
        <f t="shared" ref="A6681:B6681" si="21684">A6655</f>
        <v>Lantai Atap</v>
      </c>
      <c r="B6681" s="385">
        <f t="shared" si="21684"/>
        <v>15</v>
      </c>
      <c r="C6681" s="393" t="s">
        <v>213</v>
      </c>
      <c r="D6681" s="398">
        <f>VLOOKUP(D6655,'Detail Balok'!$C$10:$BJ$140,56,FALSE)</f>
        <v>0</v>
      </c>
      <c r="E6681" s="388" t="s">
        <v>16</v>
      </c>
      <c r="F6681" s="388">
        <f>VLOOKUP(D6655,'Detail Balok'!$C$10:$BJ$140,58,FALSE)</f>
        <v>0</v>
      </c>
      <c r="G6681" s="405" t="s">
        <v>157</v>
      </c>
      <c r="H6681" s="395">
        <f>VLOOKUP(D6655,'Detail Balok'!$C$10:$BJ$140,60,FALSE)</f>
        <v>100</v>
      </c>
      <c r="I6681" s="388"/>
      <c r="J6681" s="399">
        <f t="shared" ref="J6681" si="21685">(D6656-2*F$5)/1000</f>
        <v>0.05</v>
      </c>
      <c r="K6681" s="400" t="s">
        <v>204</v>
      </c>
      <c r="L6681" s="399">
        <f t="shared" si="21676"/>
        <v>0.15</v>
      </c>
      <c r="M6681" s="399" t="s">
        <v>176</v>
      </c>
      <c r="N6681" s="399">
        <f t="shared" si="21677"/>
        <v>0.2</v>
      </c>
      <c r="O6681" s="399"/>
      <c r="P6681" s="399"/>
      <c r="Q6681" s="399"/>
      <c r="R6681" s="399"/>
      <c r="S6681" s="399"/>
      <c r="T6681" s="399" t="s">
        <v>125</v>
      </c>
      <c r="U6681" s="401">
        <f t="shared" si="21678"/>
        <v>0</v>
      </c>
      <c r="V6681" s="399" t="s">
        <v>125</v>
      </c>
      <c r="W6681" s="399">
        <f t="shared" si="21583"/>
        <v>11</v>
      </c>
      <c r="X6681" s="399" t="s">
        <v>125</v>
      </c>
      <c r="Y6681" s="389">
        <f t="shared" ref="Y6681" si="21686">D6665</f>
        <v>3</v>
      </c>
      <c r="Z6681" s="400" t="s">
        <v>176</v>
      </c>
      <c r="AA6681" s="402">
        <f t="shared" si="21680"/>
        <v>0</v>
      </c>
      <c r="AB6681" s="403"/>
    </row>
    <row r="6682" spans="1:28">
      <c r="A6682" s="391"/>
      <c r="B6682" s="392"/>
      <c r="C6682" s="392"/>
      <c r="D6682" s="394"/>
      <c r="E6682" s="388"/>
      <c r="F6682" s="388"/>
      <c r="G6682" s="388"/>
      <c r="H6682" s="395"/>
      <c r="I6682" s="388"/>
      <c r="J6682" s="402"/>
      <c r="K6682" s="388"/>
      <c r="L6682" s="388"/>
      <c r="M6682" s="388"/>
      <c r="N6682" s="388"/>
      <c r="O6682" s="388"/>
      <c r="P6682" s="388"/>
      <c r="Q6682" s="388"/>
      <c r="R6682" s="388"/>
      <c r="S6682" s="388"/>
      <c r="T6682" s="388"/>
      <c r="U6682" s="388"/>
      <c r="V6682" s="388"/>
      <c r="W6682" s="388"/>
      <c r="X6682" s="388"/>
      <c r="Y6682" s="389"/>
      <c r="Z6682" s="388"/>
      <c r="AA6682" s="402"/>
      <c r="AB6682" s="403"/>
    </row>
    <row r="6683" spans="1:28" ht="15.75" thickBot="1">
      <c r="A6683" s="406"/>
      <c r="B6683" s="407"/>
      <c r="C6683" s="407"/>
      <c r="D6683" s="408"/>
      <c r="E6683" s="409"/>
      <c r="F6683" s="409"/>
      <c r="G6683" s="409"/>
      <c r="H6683" s="410"/>
      <c r="I6683" s="409"/>
      <c r="J6683" s="409"/>
      <c r="K6683" s="409"/>
      <c r="L6683" s="409"/>
      <c r="M6683" s="409"/>
      <c r="N6683" s="409"/>
      <c r="O6683" s="409"/>
      <c r="P6683" s="409"/>
      <c r="Q6683" s="409"/>
      <c r="R6683" s="409"/>
      <c r="S6683" s="409"/>
      <c r="T6683" s="409"/>
      <c r="U6683" s="409"/>
      <c r="V6683" s="409"/>
      <c r="W6683" s="409"/>
      <c r="X6683" s="409"/>
      <c r="Y6683" s="411"/>
      <c r="Z6683" s="409"/>
      <c r="AA6683" s="412"/>
      <c r="AB6683" s="413"/>
    </row>
    <row r="6684" spans="1:28">
      <c r="A6684" s="377"/>
      <c r="B6684" s="378"/>
      <c r="C6684" s="378"/>
      <c r="D6684" s="379"/>
      <c r="E6684" s="380"/>
      <c r="F6684" s="380"/>
      <c r="G6684" s="380"/>
      <c r="H6684" s="381"/>
      <c r="I6684" s="380"/>
      <c r="J6684" s="380"/>
      <c r="K6684" s="380"/>
      <c r="L6684" s="380"/>
      <c r="M6684" s="380"/>
      <c r="N6684" s="380"/>
      <c r="O6684" s="380"/>
      <c r="P6684" s="380"/>
      <c r="Q6684" s="380"/>
      <c r="R6684" s="380"/>
      <c r="S6684" s="380"/>
      <c r="T6684" s="380"/>
      <c r="U6684" s="380"/>
      <c r="V6684" s="380"/>
      <c r="W6684" s="380"/>
      <c r="X6684" s="380"/>
      <c r="Y6684" s="382"/>
      <c r="Z6684" s="380"/>
      <c r="AA6684" s="380"/>
      <c r="AB6684" s="383"/>
    </row>
    <row r="6685" spans="1:28">
      <c r="A6685" s="384" t="str">
        <f t="shared" si="21592"/>
        <v>Lantai Atap</v>
      </c>
      <c r="B6685" s="385">
        <f t="shared" si="21593"/>
        <v>16</v>
      </c>
      <c r="C6685" s="386" t="str">
        <f t="shared" ref="C6685" si="21687">CONCATENATE(A6685," no. ",B6685)</f>
        <v>Lantai Atap no. 16</v>
      </c>
      <c r="D6685" s="2562" t="str">
        <f>VLOOKUP(C6685,'Data Panjang Balok'!$C$9:$N$254,2,FALSE)</f>
        <v>B4-1</v>
      </c>
      <c r="E6685" s="2576"/>
      <c r="F6685" s="2576"/>
      <c r="G6685" s="2576"/>
      <c r="H6685" s="2577"/>
      <c r="I6685" s="387"/>
      <c r="J6685" s="388"/>
      <c r="K6685" s="388"/>
      <c r="L6685" s="388"/>
      <c r="M6685" s="388"/>
      <c r="N6685" s="388"/>
      <c r="O6685" s="388"/>
      <c r="P6685" s="388"/>
      <c r="Q6685" s="388"/>
      <c r="R6685" s="388"/>
      <c r="S6685" s="388"/>
      <c r="T6685" s="388"/>
      <c r="U6685" s="388"/>
      <c r="V6685" s="388"/>
      <c r="W6685" s="388"/>
      <c r="X6685" s="388"/>
      <c r="Y6685" s="389"/>
      <c r="Z6685" s="388"/>
      <c r="AA6685" s="388"/>
      <c r="AB6685" s="390"/>
    </row>
    <row r="6686" spans="1:28">
      <c r="A6686" s="391"/>
      <c r="B6686" s="392"/>
      <c r="C6686" s="393" t="s">
        <v>118</v>
      </c>
      <c r="D6686" s="2578">
        <f>VLOOKUP(D6685,'Detail Balok'!$C$10:$AU$140,2,FALSE)</f>
        <v>130</v>
      </c>
      <c r="E6686" s="2579"/>
      <c r="F6686" s="388" t="s">
        <v>125</v>
      </c>
      <c r="G6686" s="2579">
        <f>VLOOKUP(D6685,'Detail Balok'!$C$10:$AU$140,3,FALSE)</f>
        <v>400</v>
      </c>
      <c r="H6686" s="2580"/>
      <c r="I6686" s="388"/>
      <c r="J6686" s="396"/>
      <c r="K6686" s="396"/>
      <c r="L6686" s="396"/>
      <c r="M6686" s="396"/>
      <c r="N6686" s="396"/>
      <c r="O6686" s="396"/>
      <c r="P6686" s="396"/>
      <c r="Q6686" s="396"/>
      <c r="R6686" s="396"/>
      <c r="S6686" s="396"/>
      <c r="T6686" s="396"/>
      <c r="U6686" s="388"/>
      <c r="V6686" s="396"/>
      <c r="W6686" s="388"/>
      <c r="X6686" s="396"/>
      <c r="Y6686" s="389"/>
      <c r="Z6686" s="396"/>
      <c r="AA6686" s="388"/>
      <c r="AB6686" s="390"/>
    </row>
    <row r="6687" spans="1:28">
      <c r="A6687" s="391"/>
      <c r="B6687" s="392"/>
      <c r="C6687" s="393" t="s">
        <v>198</v>
      </c>
      <c r="D6687" s="2562">
        <f>VLOOKUP(C6685,'Data Panjang Balok'!$C$9:$N$254,4,FALSE)</f>
        <v>2425</v>
      </c>
      <c r="E6687" s="2563"/>
      <c r="F6687" s="2563"/>
      <c r="G6687" s="2563"/>
      <c r="H6687" s="2564"/>
      <c r="I6687" s="397"/>
      <c r="J6687" s="396"/>
      <c r="K6687" s="396"/>
      <c r="L6687" s="396"/>
      <c r="M6687" s="396"/>
      <c r="N6687" s="396"/>
      <c r="O6687" s="396"/>
      <c r="P6687" s="396"/>
      <c r="Q6687" s="396"/>
      <c r="R6687" s="396"/>
      <c r="S6687" s="396"/>
      <c r="T6687" s="396"/>
      <c r="U6687" s="388"/>
      <c r="V6687" s="396"/>
      <c r="W6687" s="388"/>
      <c r="X6687" s="396"/>
      <c r="Y6687" s="389"/>
      <c r="Z6687" s="396"/>
      <c r="AA6687" s="388"/>
      <c r="AB6687" s="390"/>
    </row>
    <row r="6688" spans="1:28">
      <c r="A6688" s="391"/>
      <c r="B6688" s="392"/>
      <c r="C6688" s="393" t="s">
        <v>199</v>
      </c>
      <c r="D6688" s="2562">
        <f>VLOOKUP(C6685,'Data Panjang Balok'!$C$9:$N$254,7,FALSE)</f>
        <v>2425</v>
      </c>
      <c r="E6688" s="2563"/>
      <c r="F6688" s="2563"/>
      <c r="G6688" s="2563"/>
      <c r="H6688" s="2564"/>
      <c r="I6688" s="397"/>
      <c r="J6688" s="396"/>
      <c r="K6688" s="396"/>
      <c r="L6688" s="396"/>
      <c r="M6688" s="396"/>
      <c r="N6688" s="396"/>
      <c r="O6688" s="396"/>
      <c r="P6688" s="396"/>
      <c r="Q6688" s="396"/>
      <c r="R6688" s="396"/>
      <c r="S6688" s="396"/>
      <c r="T6688" s="396"/>
      <c r="U6688" s="388"/>
      <c r="V6688" s="396"/>
      <c r="W6688" s="388"/>
      <c r="X6688" s="396"/>
      <c r="Y6688" s="389"/>
      <c r="Z6688" s="396"/>
      <c r="AA6688" s="388"/>
      <c r="AB6688" s="390"/>
    </row>
    <row r="6689" spans="1:28">
      <c r="A6689" s="391"/>
      <c r="B6689" s="392"/>
      <c r="C6689" s="393" t="s">
        <v>200</v>
      </c>
      <c r="D6689" s="2562">
        <f>VLOOKUP(C6685,'Data Panjang Balok'!$C$9:$N$254,9,FALSE)</f>
        <v>0</v>
      </c>
      <c r="E6689" s="2563"/>
      <c r="F6689" s="2563"/>
      <c r="G6689" s="2563"/>
      <c r="H6689" s="2564"/>
      <c r="I6689" s="397"/>
      <c r="J6689" s="396"/>
      <c r="K6689" s="396"/>
      <c r="L6689" s="396"/>
      <c r="M6689" s="396"/>
      <c r="N6689" s="396"/>
      <c r="O6689" s="396"/>
      <c r="P6689" s="396"/>
      <c r="Q6689" s="396"/>
      <c r="R6689" s="396"/>
      <c r="S6689" s="396"/>
      <c r="T6689" s="396"/>
      <c r="U6689" s="388"/>
      <c r="V6689" s="396"/>
      <c r="W6689" s="388"/>
      <c r="X6689" s="396"/>
      <c r="Y6689" s="389"/>
      <c r="Z6689" s="396"/>
      <c r="AA6689" s="388"/>
      <c r="AB6689" s="390"/>
    </row>
    <row r="6690" spans="1:28">
      <c r="A6690" s="391"/>
      <c r="B6690" s="392"/>
      <c r="C6690" s="393" t="s">
        <v>201</v>
      </c>
      <c r="D6690" s="2562">
        <f>VLOOKUP(C6685,'Data Panjang Balok'!$C$9:$N$254,10,FALSE)</f>
        <v>0</v>
      </c>
      <c r="E6690" s="2563"/>
      <c r="F6690" s="2563"/>
      <c r="G6690" s="2563"/>
      <c r="H6690" s="2564"/>
      <c r="I6690" s="397"/>
      <c r="J6690" s="396"/>
      <c r="K6690" s="396"/>
      <c r="L6690" s="396"/>
      <c r="M6690" s="396"/>
      <c r="N6690" s="396"/>
      <c r="O6690" s="396"/>
      <c r="P6690" s="396"/>
      <c r="Q6690" s="396"/>
      <c r="R6690" s="396"/>
      <c r="S6690" s="396"/>
      <c r="T6690" s="396"/>
      <c r="U6690" s="388"/>
      <c r="V6690" s="396"/>
      <c r="W6690" s="388"/>
      <c r="X6690" s="396"/>
      <c r="Y6690" s="389"/>
      <c r="Z6690" s="396"/>
      <c r="AA6690" s="388"/>
      <c r="AB6690" s="390"/>
    </row>
    <row r="6691" spans="1:28">
      <c r="A6691" s="391"/>
      <c r="B6691" s="392"/>
      <c r="C6691" s="393" t="s">
        <v>48</v>
      </c>
      <c r="D6691" s="2562">
        <f>VLOOKUP(C6685,'Data Panjang Balok'!$C$9:$N$254,3,FALSE)</f>
        <v>1</v>
      </c>
      <c r="E6691" s="2563"/>
      <c r="F6691" s="2563"/>
      <c r="G6691" s="2563"/>
      <c r="H6691" s="2564"/>
      <c r="I6691" s="397"/>
      <c r="J6691" s="396"/>
      <c r="K6691" s="396"/>
      <c r="L6691" s="396"/>
      <c r="M6691" s="396"/>
      <c r="N6691" s="396"/>
      <c r="O6691" s="396"/>
      <c r="P6691" s="396"/>
      <c r="Q6691" s="396"/>
      <c r="R6691" s="396"/>
      <c r="S6691" s="396"/>
      <c r="T6691" s="396"/>
      <c r="U6691" s="388"/>
      <c r="V6691" s="396"/>
      <c r="W6691" s="388"/>
      <c r="X6691" s="396"/>
      <c r="Y6691" s="389"/>
      <c r="Z6691" s="396"/>
      <c r="AA6691" s="388"/>
      <c r="AB6691" s="390"/>
    </row>
    <row r="6692" spans="1:28">
      <c r="A6692" s="384" t="str">
        <f t="shared" ref="A6692:B6692" si="21688">A6685</f>
        <v>Lantai Atap</v>
      </c>
      <c r="B6692" s="385">
        <f t="shared" si="21688"/>
        <v>16</v>
      </c>
      <c r="C6692" s="393" t="s">
        <v>202</v>
      </c>
      <c r="D6692" s="398">
        <f>VLOOKUP(D6685,'Detail Balok'!$C$10:$AU$140,4,FALSE)</f>
        <v>2</v>
      </c>
      <c r="E6692" s="388" t="s">
        <v>16</v>
      </c>
      <c r="F6692" s="388">
        <f>VLOOKUP(D6685,'Detail Balok'!$C$10:$AU$140,6,FALSE)</f>
        <v>13</v>
      </c>
      <c r="G6692" s="388"/>
      <c r="H6692" s="395"/>
      <c r="I6692" s="388" t="s">
        <v>203</v>
      </c>
      <c r="J6692" s="399">
        <f t="shared" ref="J6692" si="21689">+D6687/4/1000</f>
        <v>0.60624999999999996</v>
      </c>
      <c r="K6692" s="400" t="s">
        <v>204</v>
      </c>
      <c r="L6692" s="399">
        <f t="shared" ref="L6692" si="21690">MAX(VLOOKUP(F6692,N$6:P$15,3,FALSE)/1000,2/3*D6689/1000)+F$16*F6692/1000</f>
        <v>0.156</v>
      </c>
      <c r="M6692" s="399" t="s">
        <v>176</v>
      </c>
      <c r="N6692" s="399">
        <f t="shared" ref="N6692:N6694" si="21691">J6692+L6692</f>
        <v>0.76224999999999998</v>
      </c>
      <c r="O6692" s="399" t="s">
        <v>204</v>
      </c>
      <c r="P6692" s="389">
        <f t="shared" ref="P6692" si="21692">D6692-D6693</f>
        <v>0</v>
      </c>
      <c r="Q6692" s="399" t="s">
        <v>125</v>
      </c>
      <c r="R6692" s="399">
        <f t="shared" ref="R6692" si="21693">IF(P6692&gt;0,$F$18*F6692/1000,0)</f>
        <v>0</v>
      </c>
      <c r="S6692" s="399" t="s">
        <v>205</v>
      </c>
      <c r="T6692" s="399" t="s">
        <v>125</v>
      </c>
      <c r="U6692" s="401">
        <f t="shared" ref="U6692:U6694" si="21694">0.006165*F6692^2</f>
        <v>1.041885</v>
      </c>
      <c r="V6692" s="399"/>
      <c r="W6692" s="399"/>
      <c r="X6692" s="399" t="s">
        <v>125</v>
      </c>
      <c r="Y6692" s="389">
        <f t="shared" ref="Y6692" si="21695">D6691</f>
        <v>1</v>
      </c>
      <c r="Z6692" s="400" t="s">
        <v>176</v>
      </c>
      <c r="AA6692" s="402">
        <f t="shared" ref="AA6692" si="21696">IF(AA6695=0,(D6692*N6692+P6692*R6692)*U6692*Y6692,0)</f>
        <v>0</v>
      </c>
      <c r="AB6692" s="403"/>
    </row>
    <row r="6693" spans="1:28">
      <c r="A6693" s="384" t="str">
        <f t="shared" ref="A6693:B6693" si="21697">A6685</f>
        <v>Lantai Atap</v>
      </c>
      <c r="B6693" s="385">
        <f t="shared" si="21697"/>
        <v>16</v>
      </c>
      <c r="C6693" s="393" t="s">
        <v>206</v>
      </c>
      <c r="D6693" s="398">
        <f>VLOOKUP(D6685,'Detail Balok'!$C$10:$AU$140,7,FALSE)</f>
        <v>2</v>
      </c>
      <c r="E6693" s="388" t="s">
        <v>16</v>
      </c>
      <c r="F6693" s="388">
        <f>VLOOKUP(D6685,'Detail Balok'!$C$10:$AU$140,9,FALSE)</f>
        <v>13</v>
      </c>
      <c r="G6693" s="388"/>
      <c r="H6693" s="395"/>
      <c r="I6693" s="388" t="s">
        <v>203</v>
      </c>
      <c r="J6693" s="399">
        <f t="shared" ref="J6693" si="21698">+D6687/2/1000</f>
        <v>1.2124999999999999</v>
      </c>
      <c r="K6693" s="400" t="s">
        <v>204</v>
      </c>
      <c r="L6693" s="399"/>
      <c r="M6693" s="399" t="s">
        <v>176</v>
      </c>
      <c r="N6693" s="399">
        <f t="shared" si="21691"/>
        <v>1.2124999999999999</v>
      </c>
      <c r="O6693" s="399" t="s">
        <v>204</v>
      </c>
      <c r="P6693" s="389">
        <f t="shared" ref="P6693" si="21699">MAX(D6693-D6692,D6693-D6694)</f>
        <v>0</v>
      </c>
      <c r="Q6693" s="399" t="s">
        <v>125</v>
      </c>
      <c r="R6693" s="399">
        <f t="shared" ref="R6693" si="21700">IF(P6693&gt;0,2*(1-2*$F$19-1/2)*D6688/1000,0)</f>
        <v>0</v>
      </c>
      <c r="S6693" s="399" t="s">
        <v>205</v>
      </c>
      <c r="T6693" s="399" t="s">
        <v>125</v>
      </c>
      <c r="U6693" s="401">
        <f t="shared" si="21694"/>
        <v>1.041885</v>
      </c>
      <c r="V6693" s="399"/>
      <c r="W6693" s="399"/>
      <c r="X6693" s="399" t="s">
        <v>125</v>
      </c>
      <c r="Y6693" s="389">
        <f t="shared" ref="Y6693" si="21701">D6691</f>
        <v>1</v>
      </c>
      <c r="Z6693" s="400" t="s">
        <v>176</v>
      </c>
      <c r="AA6693" s="402">
        <f t="shared" ref="AA6693" si="21702">IF(AA6695=0,(D6693*N6693+P6693*R6693)*U6693*Y6693,0)</f>
        <v>0</v>
      </c>
      <c r="AB6693" s="403"/>
    </row>
    <row r="6694" spans="1:28">
      <c r="A6694" s="384" t="str">
        <f t="shared" ref="A6694:B6694" si="21703">A6685</f>
        <v>Lantai Atap</v>
      </c>
      <c r="B6694" s="385">
        <f t="shared" si="21703"/>
        <v>16</v>
      </c>
      <c r="C6694" s="393" t="s">
        <v>202</v>
      </c>
      <c r="D6694" s="398">
        <f>VLOOKUP(D6685,'Detail Balok'!$C$10:$AU$140,10,FALSE)</f>
        <v>2</v>
      </c>
      <c r="E6694" s="388" t="s">
        <v>16</v>
      </c>
      <c r="F6694" s="388">
        <f>VLOOKUP(D6685,'Detail Balok'!$C$10:$AU$140,12,FALSE)</f>
        <v>13</v>
      </c>
      <c r="G6694" s="388"/>
      <c r="H6694" s="395"/>
      <c r="I6694" s="388" t="s">
        <v>203</v>
      </c>
      <c r="J6694" s="399">
        <f t="shared" ref="J6694" si="21704">+D6687/4/1000</f>
        <v>0.60624999999999996</v>
      </c>
      <c r="K6694" s="400" t="s">
        <v>204</v>
      </c>
      <c r="L6694" s="399">
        <f t="shared" ref="L6694" si="21705">MAX(VLOOKUP(F6694,N$6:P$15,3,FALSE)/1000,2/3*D6689/1000)+F$16*F6694/1000</f>
        <v>0.156</v>
      </c>
      <c r="M6694" s="399" t="s">
        <v>176</v>
      </c>
      <c r="N6694" s="399">
        <f t="shared" si="21691"/>
        <v>0.76224999999999998</v>
      </c>
      <c r="O6694" s="399" t="s">
        <v>204</v>
      </c>
      <c r="P6694" s="389">
        <f t="shared" ref="P6694" si="21706">D6694-D6693</f>
        <v>0</v>
      </c>
      <c r="Q6694" s="399" t="s">
        <v>125</v>
      </c>
      <c r="R6694" s="399">
        <f t="shared" ref="R6694" si="21707">IF(P6694&gt;0,$F$18*F6694/1000,0)</f>
        <v>0</v>
      </c>
      <c r="S6694" s="399" t="s">
        <v>205</v>
      </c>
      <c r="T6694" s="399" t="s">
        <v>125</v>
      </c>
      <c r="U6694" s="401">
        <f t="shared" si="21694"/>
        <v>1.041885</v>
      </c>
      <c r="V6694" s="399"/>
      <c r="W6694" s="399"/>
      <c r="X6694" s="399" t="s">
        <v>125</v>
      </c>
      <c r="Y6694" s="389">
        <f t="shared" ref="Y6694" si="21708">D6691</f>
        <v>1</v>
      </c>
      <c r="Z6694" s="400" t="s">
        <v>176</v>
      </c>
      <c r="AA6694" s="402">
        <f t="shared" ref="AA6694" si="21709">IF(AA6695=0,(D6694*N6694+P6694*R6694)*U6694*Y6694,0)</f>
        <v>0</v>
      </c>
      <c r="AB6694" s="403"/>
    </row>
    <row r="6695" spans="1:28">
      <c r="A6695" s="384" t="str">
        <f t="shared" ref="A6695:B6695" si="21710">A6685</f>
        <v>Lantai Atap</v>
      </c>
      <c r="B6695" s="385">
        <f t="shared" si="21710"/>
        <v>16</v>
      </c>
      <c r="C6695" s="393"/>
      <c r="D6695" s="398">
        <f t="shared" si="21513"/>
        <v>2</v>
      </c>
      <c r="E6695" s="388" t="s">
        <v>16</v>
      </c>
      <c r="F6695" s="388">
        <f t="shared" si="21514"/>
        <v>13</v>
      </c>
      <c r="G6695" s="388"/>
      <c r="H6695" s="395"/>
      <c r="I6695" s="388"/>
      <c r="J6695" s="396"/>
      <c r="K6695" s="396"/>
      <c r="L6695" s="404" t="s">
        <v>207</v>
      </c>
      <c r="M6695" s="399" t="s">
        <v>176</v>
      </c>
      <c r="N6695" s="399">
        <f t="shared" ref="N6695" si="21711">IF(AND(D6692=D6693,D6692=D6694,D6693=D6694,F6692=F6693,F6692=F6694,F6693=F6694),SUM(N6692:N6694),0)</f>
        <v>2.7369999999999997</v>
      </c>
      <c r="O6695" s="399" t="s">
        <v>204</v>
      </c>
      <c r="P6695" s="389">
        <f t="shared" ref="P6695" si="21712">IF(N6695&gt;12,ROUNDDOWN(N6695/12,0),0)</f>
        <v>0</v>
      </c>
      <c r="Q6695" s="399" t="s">
        <v>125</v>
      </c>
      <c r="R6695" s="399">
        <f t="shared" ref="R6695" si="21713">IF(P6695&gt;0,MAX(VLOOKUP(F6695,$D$6:$G$15,3,FALSE),600),0)/1000</f>
        <v>0</v>
      </c>
      <c r="S6695" s="396"/>
      <c r="T6695" s="396" t="s">
        <v>125</v>
      </c>
      <c r="U6695" s="401">
        <f t="shared" si="21518"/>
        <v>1.041885</v>
      </c>
      <c r="V6695" s="396" t="s">
        <v>125</v>
      </c>
      <c r="W6695" s="399">
        <f t="shared" ref="W6695" si="21714">D6695</f>
        <v>2</v>
      </c>
      <c r="X6695" s="399" t="s">
        <v>125</v>
      </c>
      <c r="Y6695" s="389">
        <f t="shared" si="21520"/>
        <v>1</v>
      </c>
      <c r="Z6695" s="400" t="s">
        <v>176</v>
      </c>
      <c r="AA6695" s="402">
        <f t="shared" ref="AA6695" si="21715">(N6695+P6695*R6695/1000)*U6695*W6695*Y6695</f>
        <v>5.7032784899999989</v>
      </c>
      <c r="AB6695" s="390"/>
    </row>
    <row r="6696" spans="1:28">
      <c r="A6696" s="384"/>
      <c r="B6696" s="385"/>
      <c r="C6696" s="393"/>
      <c r="D6696" s="398"/>
      <c r="E6696" s="388"/>
      <c r="F6696" s="388"/>
      <c r="G6696" s="388"/>
      <c r="H6696" s="395"/>
      <c r="I6696" s="388"/>
      <c r="J6696" s="396"/>
      <c r="K6696" s="396"/>
      <c r="L6696" s="404"/>
      <c r="M6696" s="399"/>
      <c r="N6696" s="399"/>
      <c r="O6696" s="396"/>
      <c r="P6696" s="389"/>
      <c r="Q6696" s="396"/>
      <c r="R6696" s="396"/>
      <c r="S6696" s="396"/>
      <c r="T6696" s="396"/>
      <c r="U6696" s="401"/>
      <c r="V6696" s="396"/>
      <c r="W6696" s="399"/>
      <c r="X6696" s="396"/>
      <c r="Y6696" s="389"/>
      <c r="Z6696" s="396"/>
      <c r="AA6696" s="388"/>
      <c r="AB6696" s="390"/>
    </row>
    <row r="6697" spans="1:28">
      <c r="A6697" s="384" t="str">
        <f t="shared" ref="A6697:B6697" si="21716">A6685</f>
        <v>Lantai Atap</v>
      </c>
      <c r="B6697" s="385">
        <f t="shared" si="21716"/>
        <v>16</v>
      </c>
      <c r="C6697" s="393" t="s">
        <v>208</v>
      </c>
      <c r="D6697" s="398">
        <f>VLOOKUP(D6685,'Detail Balok'!$C$10:$AU$140,13,FALSE)</f>
        <v>0</v>
      </c>
      <c r="E6697" s="388" t="s">
        <v>16</v>
      </c>
      <c r="F6697" s="388">
        <f>VLOOKUP(D6685,'Detail Balok'!$C$10:$AU$140,15,FALSE)</f>
        <v>8</v>
      </c>
      <c r="G6697" s="388"/>
      <c r="H6697" s="395"/>
      <c r="I6697" s="388"/>
      <c r="J6697" s="399">
        <f t="shared" ref="J6697" si="21717">+D6687/1000</f>
        <v>2.4249999999999998</v>
      </c>
      <c r="K6697" s="400" t="s">
        <v>204</v>
      </c>
      <c r="L6697" s="399">
        <f t="shared" ref="L6697" si="21718">2*$F$16*F6697/1000</f>
        <v>0.192</v>
      </c>
      <c r="M6697" s="399" t="s">
        <v>176</v>
      </c>
      <c r="N6697" s="399">
        <f t="shared" ref="N6697" si="21719">J6697+L6697</f>
        <v>2.617</v>
      </c>
      <c r="O6697" s="399" t="s">
        <v>204</v>
      </c>
      <c r="P6697" s="389">
        <f t="shared" ref="P6697" si="21720">IF(N6697&gt;12,ROUNDDOWN(N6697/12,0),0)</f>
        <v>0</v>
      </c>
      <c r="Q6697" s="399" t="s">
        <v>125</v>
      </c>
      <c r="R6697" s="399">
        <f t="shared" ref="R6697" si="21721">IF(P6697&gt;0,MAX(VLOOKUP(F6697,$D$6:$G$15,3,FALSE),600),0)/1000</f>
        <v>0</v>
      </c>
      <c r="S6697" s="399"/>
      <c r="T6697" s="399" t="s">
        <v>125</v>
      </c>
      <c r="U6697" s="401">
        <f t="shared" ref="U6697" si="21722">0.006165*F6697^2</f>
        <v>0.39456000000000002</v>
      </c>
      <c r="V6697" s="399" t="s">
        <v>125</v>
      </c>
      <c r="W6697" s="399">
        <f t="shared" ref="W6697" si="21723">+D6697</f>
        <v>0</v>
      </c>
      <c r="X6697" s="399" t="s">
        <v>125</v>
      </c>
      <c r="Y6697" s="389">
        <f t="shared" ref="Y6697" si="21724">D6691</f>
        <v>1</v>
      </c>
      <c r="Z6697" s="400" t="s">
        <v>176</v>
      </c>
      <c r="AA6697" s="402">
        <f t="shared" ref="AA6697" si="21725">(N6697+P6697*R6697/1000)*U6697*W6697*Y6697</f>
        <v>0</v>
      </c>
      <c r="AB6697" s="403"/>
    </row>
    <row r="6698" spans="1:28">
      <c r="A6698" s="384"/>
      <c r="B6698" s="385"/>
      <c r="C6698" s="393"/>
      <c r="D6698" s="398"/>
      <c r="E6698" s="388"/>
      <c r="F6698" s="388"/>
      <c r="G6698" s="388"/>
      <c r="H6698" s="395"/>
      <c r="I6698" s="388"/>
      <c r="J6698" s="399"/>
      <c r="K6698" s="400"/>
      <c r="L6698" s="399"/>
      <c r="M6698" s="399"/>
      <c r="N6698" s="399"/>
      <c r="O6698" s="399"/>
      <c r="P6698" s="389"/>
      <c r="Q6698" s="399"/>
      <c r="R6698" s="399"/>
      <c r="S6698" s="399"/>
      <c r="T6698" s="399"/>
      <c r="U6698" s="401"/>
      <c r="V6698" s="399"/>
      <c r="W6698" s="399"/>
      <c r="X6698" s="399"/>
      <c r="Y6698" s="389"/>
      <c r="Z6698" s="400"/>
      <c r="AA6698" s="402"/>
      <c r="AB6698" s="403"/>
    </row>
    <row r="6699" spans="1:28">
      <c r="A6699" s="384"/>
      <c r="B6699" s="385"/>
      <c r="C6699" s="393"/>
      <c r="D6699" s="398"/>
      <c r="E6699" s="388"/>
      <c r="F6699" s="388"/>
      <c r="G6699" s="388"/>
      <c r="H6699" s="395"/>
      <c r="I6699" s="388"/>
      <c r="J6699" s="396"/>
      <c r="K6699" s="396"/>
      <c r="L6699" s="396"/>
      <c r="M6699" s="396"/>
      <c r="N6699" s="396"/>
      <c r="O6699" s="396"/>
      <c r="P6699" s="389"/>
      <c r="Q6699" s="396"/>
      <c r="R6699" s="396"/>
      <c r="S6699" s="396"/>
      <c r="T6699" s="396"/>
      <c r="U6699" s="401"/>
      <c r="V6699" s="396"/>
      <c r="W6699" s="399"/>
      <c r="X6699" s="396"/>
      <c r="Y6699" s="389"/>
      <c r="Z6699" s="396"/>
      <c r="AA6699" s="388"/>
      <c r="AB6699" s="390"/>
    </row>
    <row r="6700" spans="1:28">
      <c r="A6700" s="384" t="str">
        <f t="shared" ref="A6700:B6700" si="21726">A6685</f>
        <v>Lantai Atap</v>
      </c>
      <c r="B6700" s="385">
        <f t="shared" si="21726"/>
        <v>16</v>
      </c>
      <c r="C6700" s="393" t="s">
        <v>209</v>
      </c>
      <c r="D6700" s="398">
        <f>VLOOKUP(D6685,'Detail Balok'!$C$10:$AU$140,22,FALSE)</f>
        <v>2</v>
      </c>
      <c r="E6700" s="388" t="s">
        <v>16</v>
      </c>
      <c r="F6700" s="388">
        <f>VLOOKUP(D6685,'Detail Balok'!$C$10:$AU$140,24,FALSE)</f>
        <v>13</v>
      </c>
      <c r="G6700" s="388"/>
      <c r="H6700" s="395"/>
      <c r="I6700" s="388" t="s">
        <v>203</v>
      </c>
      <c r="J6700" s="399">
        <f t="shared" si="21533"/>
        <v>0.60624999999999996</v>
      </c>
      <c r="K6700" s="400" t="s">
        <v>204</v>
      </c>
      <c r="L6700" s="399">
        <f t="shared" ref="L6700" si="21727">MAX(VLOOKUP(F6700,N$6:P$15,3,FALSE)/1000,2/3*D6690/1000)+F$16*F6700/1000</f>
        <v>0.156</v>
      </c>
      <c r="M6700" s="399" t="s">
        <v>176</v>
      </c>
      <c r="N6700" s="399">
        <f t="shared" ref="N6700:N6702" si="21728">J6700+L6700</f>
        <v>0.76224999999999998</v>
      </c>
      <c r="O6700" s="399" t="s">
        <v>204</v>
      </c>
      <c r="P6700" s="389">
        <f t="shared" ref="P6700" si="21729">D6700-D6701</f>
        <v>0</v>
      </c>
      <c r="Q6700" s="399" t="s">
        <v>125</v>
      </c>
      <c r="R6700" s="399">
        <f t="shared" ref="R6700" si="21730">IF(P6700&gt;0,$F$18*F6700/1000,0)</f>
        <v>0</v>
      </c>
      <c r="S6700" s="399" t="s">
        <v>205</v>
      </c>
      <c r="T6700" s="399" t="s">
        <v>125</v>
      </c>
      <c r="U6700" s="401">
        <f t="shared" ref="U6700:U6702" si="21731">0.006165*F6700^2</f>
        <v>1.041885</v>
      </c>
      <c r="V6700" s="399"/>
      <c r="W6700" s="399"/>
      <c r="X6700" s="399" t="s">
        <v>125</v>
      </c>
      <c r="Y6700" s="389">
        <f t="shared" ref="Y6700" si="21732">D6691</f>
        <v>1</v>
      </c>
      <c r="Z6700" s="400" t="s">
        <v>176</v>
      </c>
      <c r="AA6700" s="402">
        <f t="shared" ref="AA6700" si="21733">IF(AA6703=0,(D6700*N6700+P6700*R6700)*U6700*Y6700,0)</f>
        <v>0</v>
      </c>
      <c r="AB6700" s="403"/>
    </row>
    <row r="6701" spans="1:28">
      <c r="A6701" s="384" t="str">
        <f t="shared" ref="A6701:B6701" si="21734">A6685</f>
        <v>Lantai Atap</v>
      </c>
      <c r="B6701" s="385">
        <f t="shared" si="21734"/>
        <v>16</v>
      </c>
      <c r="C6701" s="393" t="s">
        <v>210</v>
      </c>
      <c r="D6701" s="398">
        <f>VLOOKUP(D6685,'Detail Balok'!$C$10:$AU$140,25,FALSE)</f>
        <v>2</v>
      </c>
      <c r="E6701" s="388" t="s">
        <v>16</v>
      </c>
      <c r="F6701" s="388">
        <f>VLOOKUP(D6685,'Detail Balok'!$C$10:$AU$140,27,FALSE)</f>
        <v>13</v>
      </c>
      <c r="G6701" s="388"/>
      <c r="H6701" s="395"/>
      <c r="I6701" s="388" t="s">
        <v>203</v>
      </c>
      <c r="J6701" s="399">
        <f t="shared" si="21533"/>
        <v>1.2124999999999999</v>
      </c>
      <c r="K6701" s="400" t="s">
        <v>204</v>
      </c>
      <c r="L6701" s="399"/>
      <c r="M6701" s="399" t="s">
        <v>176</v>
      </c>
      <c r="N6701" s="399">
        <f t="shared" si="21728"/>
        <v>1.2124999999999999</v>
      </c>
      <c r="O6701" s="399" t="s">
        <v>204</v>
      </c>
      <c r="P6701" s="389">
        <f t="shared" ref="P6701" si="21735">MAX(D6701-D6700,D6701-D6702)</f>
        <v>0</v>
      </c>
      <c r="Q6701" s="399" t="s">
        <v>125</v>
      </c>
      <c r="R6701" s="399">
        <f t="shared" ref="R6701" si="21736">IF(P6701&gt;0,2*(1-2*$F$19-1/2)*D6688/1000,0)</f>
        <v>0</v>
      </c>
      <c r="S6701" s="399" t="s">
        <v>205</v>
      </c>
      <c r="T6701" s="399" t="s">
        <v>125</v>
      </c>
      <c r="U6701" s="401">
        <f t="shared" si="21731"/>
        <v>1.041885</v>
      </c>
      <c r="V6701" s="399"/>
      <c r="W6701" s="399"/>
      <c r="X6701" s="399" t="s">
        <v>125</v>
      </c>
      <c r="Y6701" s="389">
        <f t="shared" ref="Y6701" si="21737">D6691</f>
        <v>1</v>
      </c>
      <c r="Z6701" s="400" t="s">
        <v>176</v>
      </c>
      <c r="AA6701" s="402">
        <f t="shared" ref="AA6701" si="21738">IF(AA6703=0,(D6701*N6701+P6701*R6701)*U6701*Y6701,0)</f>
        <v>0</v>
      </c>
      <c r="AB6701" s="403"/>
    </row>
    <row r="6702" spans="1:28">
      <c r="A6702" s="384" t="str">
        <f t="shared" ref="A6702:B6702" si="21739">A6685</f>
        <v>Lantai Atap</v>
      </c>
      <c r="B6702" s="385">
        <f t="shared" si="21739"/>
        <v>16</v>
      </c>
      <c r="C6702" s="393" t="s">
        <v>209</v>
      </c>
      <c r="D6702" s="398">
        <f>VLOOKUP(D6685,'Detail Balok'!$C$10:$AU$140,28,FALSE)</f>
        <v>2</v>
      </c>
      <c r="E6702" s="388" t="s">
        <v>16</v>
      </c>
      <c r="F6702" s="388">
        <f>VLOOKUP(D6685,'Detail Balok'!$C$10:$AU$140,30,FALSE)</f>
        <v>13</v>
      </c>
      <c r="G6702" s="388"/>
      <c r="H6702" s="395"/>
      <c r="I6702" s="388" t="s">
        <v>203</v>
      </c>
      <c r="J6702" s="399">
        <f t="shared" si="21533"/>
        <v>0.60624999999999996</v>
      </c>
      <c r="K6702" s="400" t="s">
        <v>204</v>
      </c>
      <c r="L6702" s="399">
        <f t="shared" ref="L6702" si="21740">MAX(VLOOKUP(F6702,N$6:P$15,3,FALSE)/1000,2/3*D6690/1000)+F$16*F6702/1000</f>
        <v>0.156</v>
      </c>
      <c r="M6702" s="399" t="s">
        <v>176</v>
      </c>
      <c r="N6702" s="399">
        <f t="shared" si="21728"/>
        <v>0.76224999999999998</v>
      </c>
      <c r="O6702" s="399" t="s">
        <v>204</v>
      </c>
      <c r="P6702" s="389">
        <f t="shared" ref="P6702" si="21741">D6702-D6701</f>
        <v>0</v>
      </c>
      <c r="Q6702" s="399" t="s">
        <v>125</v>
      </c>
      <c r="R6702" s="399">
        <f t="shared" ref="R6702" si="21742">IF(P6702&gt;0,$F$18*F6702/1000,0)</f>
        <v>0</v>
      </c>
      <c r="S6702" s="399" t="s">
        <v>205</v>
      </c>
      <c r="T6702" s="399" t="s">
        <v>125</v>
      </c>
      <c r="U6702" s="401">
        <f t="shared" si="21731"/>
        <v>1.041885</v>
      </c>
      <c r="V6702" s="399"/>
      <c r="W6702" s="399"/>
      <c r="X6702" s="399" t="s">
        <v>125</v>
      </c>
      <c r="Y6702" s="389">
        <f t="shared" ref="Y6702" si="21743">D6691</f>
        <v>1</v>
      </c>
      <c r="Z6702" s="400" t="s">
        <v>176</v>
      </c>
      <c r="AA6702" s="402">
        <f t="shared" ref="AA6702" si="21744">IF(AA6703=0,(D6702*N6702+P6702*R6702)*U6702*Y6702,0)</f>
        <v>0</v>
      </c>
      <c r="AB6702" s="403"/>
    </row>
    <row r="6703" spans="1:28">
      <c r="A6703" s="384" t="str">
        <f t="shared" ref="A6703:B6703" si="21745">A6685</f>
        <v>Lantai Atap</v>
      </c>
      <c r="B6703" s="385">
        <f t="shared" si="21745"/>
        <v>16</v>
      </c>
      <c r="C6703" s="393"/>
      <c r="D6703" s="398">
        <f t="shared" si="21553"/>
        <v>2</v>
      </c>
      <c r="E6703" s="388" t="s">
        <v>16</v>
      </c>
      <c r="F6703" s="388">
        <f t="shared" si="21554"/>
        <v>13</v>
      </c>
      <c r="G6703" s="388"/>
      <c r="H6703" s="395"/>
      <c r="I6703" s="388"/>
      <c r="J6703" s="396"/>
      <c r="K6703" s="396"/>
      <c r="L6703" s="404" t="s">
        <v>207</v>
      </c>
      <c r="M6703" s="399" t="s">
        <v>176</v>
      </c>
      <c r="N6703" s="399">
        <f t="shared" ref="N6703" si="21746">IF(AND(D6700=D6701,D6700=D6702,D6701=D6702,F6700=F6701,F6700=F6702,F6701=F6702),SUM(N6700:N6702),0)</f>
        <v>2.7369999999999997</v>
      </c>
      <c r="O6703" s="399" t="s">
        <v>204</v>
      </c>
      <c r="P6703" s="389">
        <f t="shared" ref="P6703" si="21747">IF(N6703&gt;12,ROUNDDOWN(N6703/12,0),0)</f>
        <v>0</v>
      </c>
      <c r="Q6703" s="399" t="s">
        <v>125</v>
      </c>
      <c r="R6703" s="399">
        <f t="shared" ref="R6703" si="21748">IF(P6703&gt;0,MAX(VLOOKUP(F6703,$D$6:$G$15,3,FALSE),600),0)/1000</f>
        <v>0</v>
      </c>
      <c r="S6703" s="396"/>
      <c r="T6703" s="396" t="s">
        <v>125</v>
      </c>
      <c r="U6703" s="401">
        <f t="shared" si="21558"/>
        <v>1.041885</v>
      </c>
      <c r="V6703" s="396" t="s">
        <v>125</v>
      </c>
      <c r="W6703" s="399">
        <f t="shared" ref="W6703" si="21749">D6703</f>
        <v>2</v>
      </c>
      <c r="X6703" s="399" t="s">
        <v>125</v>
      </c>
      <c r="Y6703" s="389">
        <f t="shared" si="21560"/>
        <v>1</v>
      </c>
      <c r="Z6703" s="400" t="s">
        <v>176</v>
      </c>
      <c r="AA6703" s="402">
        <f t="shared" ref="AA6703" si="21750">(N6703+P6703*R6703/1000)*U6703*W6703*Y6703</f>
        <v>5.7032784899999989</v>
      </c>
      <c r="AB6703" s="403"/>
    </row>
    <row r="6704" spans="1:28">
      <c r="A6704" s="384"/>
      <c r="B6704" s="385"/>
      <c r="C6704" s="393"/>
      <c r="D6704" s="394"/>
      <c r="E6704" s="388"/>
      <c r="F6704" s="388"/>
      <c r="G6704" s="388"/>
      <c r="H6704" s="395"/>
      <c r="I6704" s="388"/>
      <c r="J6704" s="399"/>
      <c r="K6704" s="396"/>
      <c r="L6704" s="396"/>
      <c r="M6704" s="396"/>
      <c r="N6704" s="396"/>
      <c r="O6704" s="396"/>
      <c r="P6704" s="389"/>
      <c r="Q6704" s="396"/>
      <c r="R6704" s="396"/>
      <c r="S6704" s="396"/>
      <c r="T6704" s="396"/>
      <c r="U6704" s="401"/>
      <c r="V6704" s="396"/>
      <c r="W6704" s="388"/>
      <c r="X6704" s="396"/>
      <c r="Y6704" s="389"/>
      <c r="Z6704" s="396"/>
      <c r="AA6704" s="388"/>
      <c r="AB6704" s="390"/>
    </row>
    <row r="6705" spans="1:28">
      <c r="A6705" s="384" t="str">
        <f t="shared" ref="A6705:B6705" si="21751">A6685</f>
        <v>Lantai Atap</v>
      </c>
      <c r="B6705" s="385">
        <f t="shared" si="21751"/>
        <v>16</v>
      </c>
      <c r="C6705" s="393" t="s">
        <v>211</v>
      </c>
      <c r="D6705" s="398">
        <f>VLOOKUP(D6685,'Detail Balok'!$C$10:$AU$140,31,FALSE)</f>
        <v>0</v>
      </c>
      <c r="E6705" s="388" t="s">
        <v>16</v>
      </c>
      <c r="F6705" s="388">
        <f>VLOOKUP(D6685,'Detail Balok'!$C$10:$AU$140,33,FALSE)</f>
        <v>8</v>
      </c>
      <c r="G6705" s="405" t="s">
        <v>157</v>
      </c>
      <c r="H6705" s="395">
        <f>VLOOKUP(D6685,'Detail Balok'!$C$10:$AU$140,35,FALSE)</f>
        <v>150</v>
      </c>
      <c r="I6705" s="388"/>
      <c r="J6705" s="400">
        <f t="shared" ref="J6705" si="21752">(IF(D6705=0,(2*(D6686+G6686))-(F$5*8),IF(D6705=3,(2*(D6686+G6686))-(F$5*8)+(G6686-2*F$5),IF(D6705=4,(2*(D6686+G6686))-(F$5*8)+2*(G6686-2*F$5)))))/1000</f>
        <v>0.74</v>
      </c>
      <c r="K6705" s="400" t="s">
        <v>204</v>
      </c>
      <c r="L6705" s="399">
        <f t="shared" ref="L6705:L6707" si="21753">IF(D6705=0,2*MAX(6*F6705,75),(D6705-1)*2*MAX(6*F6705,75))/1000</f>
        <v>0.15</v>
      </c>
      <c r="M6705" s="399" t="s">
        <v>176</v>
      </c>
      <c r="N6705" s="399">
        <f t="shared" ref="N6705:N6707" si="21754">J6705+L6705</f>
        <v>0.89</v>
      </c>
      <c r="O6705" s="399"/>
      <c r="P6705" s="389"/>
      <c r="Q6705" s="399"/>
      <c r="R6705" s="399"/>
      <c r="S6705" s="399"/>
      <c r="T6705" s="399" t="s">
        <v>125</v>
      </c>
      <c r="U6705" s="401">
        <f t="shared" ref="U6705:U6707" si="21755">0.006165*F6705^2</f>
        <v>0.39456000000000002</v>
      </c>
      <c r="V6705" s="399" t="s">
        <v>125</v>
      </c>
      <c r="W6705" s="399">
        <f t="shared" ref="W6705" si="21756">IF(D6688&gt;4*G6686,ROUND(MAX(D6688/4,2*G6686)/H6705,0)+1,ROUND(D6688/H6705,0)+1)</f>
        <v>6</v>
      </c>
      <c r="X6705" s="399" t="s">
        <v>125</v>
      </c>
      <c r="Y6705" s="389">
        <f t="shared" ref="Y6705" si="21757">D6691</f>
        <v>1</v>
      </c>
      <c r="Z6705" s="400" t="s">
        <v>176</v>
      </c>
      <c r="AA6705" s="402">
        <f t="shared" ref="AA6705:AA6707" si="21758">N6705*U6705*W6705*Y6705</f>
        <v>2.1069504000000001</v>
      </c>
      <c r="AB6705" s="403"/>
    </row>
    <row r="6706" spans="1:28">
      <c r="A6706" s="384" t="str">
        <f t="shared" ref="A6706:B6706" si="21759">A6685</f>
        <v>Lantai Atap</v>
      </c>
      <c r="B6706" s="385">
        <f t="shared" si="21759"/>
        <v>16</v>
      </c>
      <c r="C6706" s="393" t="s">
        <v>212</v>
      </c>
      <c r="D6706" s="398">
        <f>VLOOKUP(D6685,'Detail Balok'!$C$10:$AU$140,36,FALSE)</f>
        <v>0</v>
      </c>
      <c r="E6706" s="388" t="s">
        <v>16</v>
      </c>
      <c r="F6706" s="388">
        <f>VLOOKUP(D6685,'Detail Balok'!$C$10:$AU$140,38,FALSE)</f>
        <v>8</v>
      </c>
      <c r="G6706" s="405" t="s">
        <v>157</v>
      </c>
      <c r="H6706" s="395">
        <f>VLOOKUP(D6685,'Detail Balok'!$C$10:$AU$140,40,FALSE)</f>
        <v>200</v>
      </c>
      <c r="I6706" s="388"/>
      <c r="J6706" s="400">
        <f t="shared" ref="J6706" si="21760">(IF(D6706=0,(2*(D6686+G6686))-(F$5*8),IF(D6706=3,(2*(D6686+G6686))-(F$5*8)+(G6686-2*F$5),IF(D6706=4,(2*(D6686+G6686))-(F$5*8)+2*(G6686-2*F$5)))))/1000</f>
        <v>0.74</v>
      </c>
      <c r="K6706" s="400" t="s">
        <v>204</v>
      </c>
      <c r="L6706" s="399">
        <f t="shared" si="21753"/>
        <v>0.15</v>
      </c>
      <c r="M6706" s="399" t="s">
        <v>176</v>
      </c>
      <c r="N6706" s="399">
        <f t="shared" si="21754"/>
        <v>0.89</v>
      </c>
      <c r="O6706" s="399"/>
      <c r="P6706" s="389"/>
      <c r="Q6706" s="399"/>
      <c r="R6706" s="399"/>
      <c r="S6706" s="399"/>
      <c r="T6706" s="399" t="s">
        <v>125</v>
      </c>
      <c r="U6706" s="401">
        <f t="shared" si="21755"/>
        <v>0.39456000000000002</v>
      </c>
      <c r="V6706" s="399" t="s">
        <v>125</v>
      </c>
      <c r="W6706" s="399">
        <f t="shared" ref="W6706" si="21761">IF(D6688-MAX(D6688/4,2*G6686)*2&gt;0,ROUND((D6688-MAX(D6688/4,2*G6686)*2)/H6706,0),0)</f>
        <v>4</v>
      </c>
      <c r="X6706" s="399" t="s">
        <v>125</v>
      </c>
      <c r="Y6706" s="389">
        <f t="shared" ref="Y6706" si="21762">D6691</f>
        <v>1</v>
      </c>
      <c r="Z6706" s="400" t="s">
        <v>176</v>
      </c>
      <c r="AA6706" s="402">
        <f t="shared" si="21758"/>
        <v>1.4046336000000001</v>
      </c>
      <c r="AB6706" s="403"/>
    </row>
    <row r="6707" spans="1:28">
      <c r="A6707" s="384" t="str">
        <f t="shared" ref="A6707:B6707" si="21763">A6685</f>
        <v>Lantai Atap</v>
      </c>
      <c r="B6707" s="385">
        <f t="shared" si="21763"/>
        <v>16</v>
      </c>
      <c r="C6707" s="393" t="s">
        <v>211</v>
      </c>
      <c r="D6707" s="398">
        <f>VLOOKUP(D6685,'Detail Balok'!$C$10:$AU$140,41,FALSE)</f>
        <v>0</v>
      </c>
      <c r="E6707" s="388" t="s">
        <v>16</v>
      </c>
      <c r="F6707" s="388">
        <f>VLOOKUP(D6685,'Detail Balok'!$C$10:$AU$140,43,FALSE)</f>
        <v>8</v>
      </c>
      <c r="G6707" s="405" t="s">
        <v>157</v>
      </c>
      <c r="H6707" s="395">
        <f>VLOOKUP(D6685,'Detail Balok'!$C$10:$AU$140,45,FALSE)</f>
        <v>150</v>
      </c>
      <c r="I6707" s="388"/>
      <c r="J6707" s="400">
        <f t="shared" ref="J6707" si="21764">(IF(D6707=0,(2*(D6686+G6686))-(F$5*8),IF(D6707=3,(2*(D6686+G6686))-(F$5*8)+(G6686-2*F$5),IF(D6707=4,(2*(D6686+G6686))-(F$5*8)+2*(G6686-2*F$5)))))/1000</f>
        <v>0.74</v>
      </c>
      <c r="K6707" s="400" t="s">
        <v>204</v>
      </c>
      <c r="L6707" s="399">
        <f t="shared" si="21753"/>
        <v>0.15</v>
      </c>
      <c r="M6707" s="399" t="s">
        <v>176</v>
      </c>
      <c r="N6707" s="399">
        <f t="shared" si="21754"/>
        <v>0.89</v>
      </c>
      <c r="O6707" s="399"/>
      <c r="P6707" s="389"/>
      <c r="Q6707" s="399"/>
      <c r="R6707" s="399"/>
      <c r="S6707" s="399"/>
      <c r="T6707" s="399" t="s">
        <v>125</v>
      </c>
      <c r="U6707" s="401">
        <f t="shared" si="21755"/>
        <v>0.39456000000000002</v>
      </c>
      <c r="V6707" s="399" t="s">
        <v>125</v>
      </c>
      <c r="W6707" s="399">
        <f t="shared" ref="W6707" si="21765">IF(D6688&gt;4*G6686,ROUND(MAX(D6688/4,2*G6686)/H6707,0)+1,0)</f>
        <v>6</v>
      </c>
      <c r="X6707" s="399" t="s">
        <v>125</v>
      </c>
      <c r="Y6707" s="389">
        <f t="shared" ref="Y6707" si="21766">D6691</f>
        <v>1</v>
      </c>
      <c r="Z6707" s="400" t="s">
        <v>176</v>
      </c>
      <c r="AA6707" s="402">
        <f t="shared" si="21758"/>
        <v>2.1069504000000001</v>
      </c>
      <c r="AB6707" s="403"/>
    </row>
    <row r="6708" spans="1:28">
      <c r="A6708" s="384"/>
      <c r="B6708" s="385"/>
      <c r="C6708" s="393"/>
      <c r="D6708" s="394"/>
      <c r="E6708" s="388"/>
      <c r="F6708" s="388"/>
      <c r="G6708" s="388"/>
      <c r="H6708" s="395"/>
      <c r="I6708" s="388"/>
      <c r="J6708" s="399"/>
      <c r="K6708" s="396"/>
      <c r="L6708" s="396"/>
      <c r="M6708" s="396"/>
      <c r="N6708" s="396"/>
      <c r="O6708" s="396"/>
      <c r="P6708" s="389"/>
      <c r="Q6708" s="396"/>
      <c r="R6708" s="396"/>
      <c r="S6708" s="396"/>
      <c r="T6708" s="396"/>
      <c r="U6708" s="401"/>
      <c r="V6708" s="396"/>
      <c r="W6708" s="388"/>
      <c r="X6708" s="396"/>
      <c r="Y6708" s="389"/>
      <c r="Z6708" s="396"/>
      <c r="AA6708" s="388"/>
      <c r="AB6708" s="390"/>
    </row>
    <row r="6709" spans="1:28">
      <c r="A6709" s="384" t="str">
        <f t="shared" ref="A6709:B6709" si="21767">A6685</f>
        <v>Lantai Atap</v>
      </c>
      <c r="B6709" s="385">
        <f t="shared" si="21767"/>
        <v>16</v>
      </c>
      <c r="C6709" s="393" t="s">
        <v>213</v>
      </c>
      <c r="D6709" s="398">
        <f>VLOOKUP(D6685,'Detail Balok'!$C$10:$BJ$140,46,FALSE)</f>
        <v>0</v>
      </c>
      <c r="E6709" s="388" t="s">
        <v>16</v>
      </c>
      <c r="F6709" s="388">
        <f>VLOOKUP(D6685,'Detail Balok'!$C$10:$BJ$140,48,FALSE)</f>
        <v>0</v>
      </c>
      <c r="G6709" s="405" t="s">
        <v>157</v>
      </c>
      <c r="H6709" s="395">
        <f>VLOOKUP(D6685,'Detail Balok'!$C$10:$BJ$140,50,FALSE)</f>
        <v>100</v>
      </c>
      <c r="I6709" s="388"/>
      <c r="J6709" s="399">
        <f t="shared" ref="J6709" si="21768">(D6686-2*F$5)/1000</f>
        <v>0.05</v>
      </c>
      <c r="K6709" s="400" t="s">
        <v>204</v>
      </c>
      <c r="L6709" s="399">
        <f t="shared" ref="L6709:L6711" si="21769">IF(D6709=0,2*MAX(6*F6709,75),(D6709-1)*2*MAX(6*F6709,75))/1000</f>
        <v>0.15</v>
      </c>
      <c r="M6709" s="399" t="s">
        <v>176</v>
      </c>
      <c r="N6709" s="399">
        <f t="shared" ref="N6709:N6711" si="21770">J6709+L6709</f>
        <v>0.2</v>
      </c>
      <c r="O6709" s="399"/>
      <c r="P6709" s="399"/>
      <c r="Q6709" s="399"/>
      <c r="R6709" s="399"/>
      <c r="S6709" s="399"/>
      <c r="T6709" s="399" t="s">
        <v>125</v>
      </c>
      <c r="U6709" s="401">
        <f t="shared" ref="U6709:U6711" si="21771">0.006165*F6709^2</f>
        <v>0</v>
      </c>
      <c r="V6709" s="399" t="s">
        <v>125</v>
      </c>
      <c r="W6709" s="399">
        <f t="shared" si="21583"/>
        <v>6</v>
      </c>
      <c r="X6709" s="399" t="s">
        <v>125</v>
      </c>
      <c r="Y6709" s="389">
        <f t="shared" ref="Y6709" si="21772">D6695</f>
        <v>2</v>
      </c>
      <c r="Z6709" s="400" t="s">
        <v>176</v>
      </c>
      <c r="AA6709" s="402">
        <f t="shared" ref="AA6709:AA6711" si="21773">N6709*U6709*W6709*Y6709</f>
        <v>0</v>
      </c>
      <c r="AB6709" s="403"/>
    </row>
    <row r="6710" spans="1:28">
      <c r="A6710" s="384" t="str">
        <f t="shared" ref="A6710:B6710" si="21774">A6685</f>
        <v>Lantai Atap</v>
      </c>
      <c r="B6710" s="385">
        <f t="shared" si="21774"/>
        <v>16</v>
      </c>
      <c r="C6710" s="393" t="s">
        <v>214</v>
      </c>
      <c r="D6710" s="398">
        <f>VLOOKUP(D6685,'Detail Balok'!$C$10:$BJ$140,51,FALSE)</f>
        <v>0</v>
      </c>
      <c r="E6710" s="388" t="s">
        <v>16</v>
      </c>
      <c r="F6710" s="388">
        <f>VLOOKUP(D6685,'Detail Balok'!$C$10:$BJ$140,53,FALSE)</f>
        <v>0</v>
      </c>
      <c r="G6710" s="405" t="s">
        <v>157</v>
      </c>
      <c r="H6710" s="395">
        <f>VLOOKUP(D6685,'Detail Balok'!$C$10:$BJ$140,55,FALSE)</f>
        <v>100</v>
      </c>
      <c r="I6710" s="388"/>
      <c r="J6710" s="399">
        <f t="shared" ref="J6710" si="21775">(D6686-2*F$5)/1000</f>
        <v>0.05</v>
      </c>
      <c r="K6710" s="400" t="s">
        <v>204</v>
      </c>
      <c r="L6710" s="399">
        <f t="shared" si="21769"/>
        <v>0.15</v>
      </c>
      <c r="M6710" s="399" t="s">
        <v>176</v>
      </c>
      <c r="N6710" s="399">
        <f t="shared" si="21770"/>
        <v>0.2</v>
      </c>
      <c r="O6710" s="399"/>
      <c r="P6710" s="399"/>
      <c r="Q6710" s="399"/>
      <c r="R6710" s="399"/>
      <c r="S6710" s="399"/>
      <c r="T6710" s="399" t="s">
        <v>125</v>
      </c>
      <c r="U6710" s="401">
        <f t="shared" si="21771"/>
        <v>0</v>
      </c>
      <c r="V6710" s="399" t="s">
        <v>125</v>
      </c>
      <c r="W6710" s="399">
        <f t="shared" si="21583"/>
        <v>4</v>
      </c>
      <c r="X6710" s="399" t="s">
        <v>125</v>
      </c>
      <c r="Y6710" s="389">
        <f t="shared" ref="Y6710" si="21776">D6695</f>
        <v>2</v>
      </c>
      <c r="Z6710" s="400" t="s">
        <v>176</v>
      </c>
      <c r="AA6710" s="402">
        <f t="shared" si="21773"/>
        <v>0</v>
      </c>
      <c r="AB6710" s="403"/>
    </row>
    <row r="6711" spans="1:28">
      <c r="A6711" s="384" t="str">
        <f t="shared" ref="A6711:B6711" si="21777">A6685</f>
        <v>Lantai Atap</v>
      </c>
      <c r="B6711" s="385">
        <f t="shared" si="21777"/>
        <v>16</v>
      </c>
      <c r="C6711" s="393" t="s">
        <v>213</v>
      </c>
      <c r="D6711" s="398">
        <f>VLOOKUP(D6685,'Detail Balok'!$C$10:$BJ$140,56,FALSE)</f>
        <v>0</v>
      </c>
      <c r="E6711" s="388" t="s">
        <v>16</v>
      </c>
      <c r="F6711" s="388">
        <f>VLOOKUP(D6685,'Detail Balok'!$C$10:$BJ$140,58,FALSE)</f>
        <v>0</v>
      </c>
      <c r="G6711" s="405" t="s">
        <v>157</v>
      </c>
      <c r="H6711" s="395">
        <f>VLOOKUP(D6685,'Detail Balok'!$C$10:$BJ$140,60,FALSE)</f>
        <v>100</v>
      </c>
      <c r="I6711" s="388"/>
      <c r="J6711" s="399">
        <f t="shared" ref="J6711" si="21778">(D6686-2*F$5)/1000</f>
        <v>0.05</v>
      </c>
      <c r="K6711" s="400" t="s">
        <v>204</v>
      </c>
      <c r="L6711" s="399">
        <f t="shared" si="21769"/>
        <v>0.15</v>
      </c>
      <c r="M6711" s="399" t="s">
        <v>176</v>
      </c>
      <c r="N6711" s="399">
        <f t="shared" si="21770"/>
        <v>0.2</v>
      </c>
      <c r="O6711" s="399"/>
      <c r="P6711" s="399"/>
      <c r="Q6711" s="399"/>
      <c r="R6711" s="399"/>
      <c r="S6711" s="399"/>
      <c r="T6711" s="399" t="s">
        <v>125</v>
      </c>
      <c r="U6711" s="401">
        <f t="shared" si="21771"/>
        <v>0</v>
      </c>
      <c r="V6711" s="399" t="s">
        <v>125</v>
      </c>
      <c r="W6711" s="399">
        <f t="shared" si="21583"/>
        <v>6</v>
      </c>
      <c r="X6711" s="399" t="s">
        <v>125</v>
      </c>
      <c r="Y6711" s="389">
        <f t="shared" ref="Y6711" si="21779">D6695</f>
        <v>2</v>
      </c>
      <c r="Z6711" s="400" t="s">
        <v>176</v>
      </c>
      <c r="AA6711" s="402">
        <f t="shared" si="21773"/>
        <v>0</v>
      </c>
      <c r="AB6711" s="403"/>
    </row>
    <row r="6712" spans="1:28">
      <c r="A6712" s="391"/>
      <c r="B6712" s="392"/>
      <c r="C6712" s="392"/>
      <c r="D6712" s="394"/>
      <c r="E6712" s="388"/>
      <c r="F6712" s="388"/>
      <c r="G6712" s="388"/>
      <c r="H6712" s="395"/>
      <c r="I6712" s="388"/>
      <c r="J6712" s="402"/>
      <c r="K6712" s="388"/>
      <c r="L6712" s="388"/>
      <c r="M6712" s="388"/>
      <c r="N6712" s="388"/>
      <c r="O6712" s="388"/>
      <c r="P6712" s="388"/>
      <c r="Q6712" s="388"/>
      <c r="R6712" s="388"/>
      <c r="S6712" s="388"/>
      <c r="T6712" s="388"/>
      <c r="U6712" s="388"/>
      <c r="V6712" s="388"/>
      <c r="W6712" s="388"/>
      <c r="X6712" s="388"/>
      <c r="Y6712" s="389"/>
      <c r="Z6712" s="388"/>
      <c r="AA6712" s="402"/>
      <c r="AB6712" s="403"/>
    </row>
    <row r="6713" spans="1:28" ht="15.75" thickBot="1">
      <c r="A6713" s="406"/>
      <c r="B6713" s="407"/>
      <c r="C6713" s="407"/>
      <c r="D6713" s="408"/>
      <c r="E6713" s="409"/>
      <c r="F6713" s="409"/>
      <c r="G6713" s="409"/>
      <c r="H6713" s="410"/>
      <c r="I6713" s="409"/>
      <c r="J6713" s="409"/>
      <c r="K6713" s="409"/>
      <c r="L6713" s="409"/>
      <c r="M6713" s="409"/>
      <c r="N6713" s="409"/>
      <c r="O6713" s="409"/>
      <c r="P6713" s="409"/>
      <c r="Q6713" s="409"/>
      <c r="R6713" s="409"/>
      <c r="S6713" s="409"/>
      <c r="T6713" s="409"/>
      <c r="U6713" s="409"/>
      <c r="V6713" s="409"/>
      <c r="W6713" s="409"/>
      <c r="X6713" s="409"/>
      <c r="Y6713" s="411"/>
      <c r="Z6713" s="409"/>
      <c r="AA6713" s="412"/>
      <c r="AB6713" s="413"/>
    </row>
    <row r="6714" spans="1:28">
      <c r="A6714" s="377"/>
      <c r="B6714" s="378"/>
      <c r="C6714" s="378"/>
      <c r="D6714" s="379"/>
      <c r="E6714" s="380"/>
      <c r="F6714" s="380"/>
      <c r="G6714" s="380"/>
      <c r="H6714" s="381"/>
      <c r="I6714" s="380"/>
      <c r="J6714" s="380"/>
      <c r="K6714" s="380"/>
      <c r="L6714" s="380"/>
      <c r="M6714" s="380"/>
      <c r="N6714" s="380"/>
      <c r="O6714" s="380"/>
      <c r="P6714" s="380"/>
      <c r="Q6714" s="380"/>
      <c r="R6714" s="380"/>
      <c r="S6714" s="380"/>
      <c r="T6714" s="380"/>
      <c r="U6714" s="380"/>
      <c r="V6714" s="380"/>
      <c r="W6714" s="380"/>
      <c r="X6714" s="380"/>
      <c r="Y6714" s="382"/>
      <c r="Z6714" s="380"/>
      <c r="AA6714" s="380"/>
      <c r="AB6714" s="383"/>
    </row>
    <row r="6715" spans="1:28">
      <c r="A6715" s="384" t="str">
        <f t="shared" si="21592"/>
        <v>Lantai Atap</v>
      </c>
      <c r="B6715" s="385">
        <f t="shared" si="21593"/>
        <v>17</v>
      </c>
      <c r="C6715" s="386" t="str">
        <f t="shared" ref="C6715" si="21780">CONCATENATE(A6715," no. ",B6715)</f>
        <v>Lantai Atap no. 17</v>
      </c>
      <c r="D6715" s="2562" t="str">
        <f>VLOOKUP(C6715,'Data Panjang Balok'!$C$9:$N$254,2,FALSE)</f>
        <v>B5-1</v>
      </c>
      <c r="E6715" s="2576"/>
      <c r="F6715" s="2576"/>
      <c r="G6715" s="2576"/>
      <c r="H6715" s="2577"/>
      <c r="I6715" s="387"/>
      <c r="J6715" s="388"/>
      <c r="K6715" s="388"/>
      <c r="L6715" s="388"/>
      <c r="M6715" s="388"/>
      <c r="N6715" s="388"/>
      <c r="O6715" s="388"/>
      <c r="P6715" s="388"/>
      <c r="Q6715" s="388"/>
      <c r="R6715" s="388"/>
      <c r="S6715" s="388"/>
      <c r="T6715" s="388"/>
      <c r="U6715" s="388"/>
      <c r="V6715" s="388"/>
      <c r="W6715" s="388"/>
      <c r="X6715" s="388"/>
      <c r="Y6715" s="389"/>
      <c r="Z6715" s="388"/>
      <c r="AA6715" s="388"/>
      <c r="AB6715" s="390"/>
    </row>
    <row r="6716" spans="1:28">
      <c r="A6716" s="391"/>
      <c r="B6716" s="392"/>
      <c r="C6716" s="393" t="s">
        <v>118</v>
      </c>
      <c r="D6716" s="2578">
        <f>VLOOKUP(D6715,'Detail Balok'!$C$10:$AU$140,2,FALSE)</f>
        <v>130</v>
      </c>
      <c r="E6716" s="2579"/>
      <c r="F6716" s="388" t="s">
        <v>125</v>
      </c>
      <c r="G6716" s="2579">
        <f>VLOOKUP(D6715,'Detail Balok'!$C$10:$AU$140,3,FALSE)</f>
        <v>500</v>
      </c>
      <c r="H6716" s="2580"/>
      <c r="I6716" s="388"/>
      <c r="J6716" s="396"/>
      <c r="K6716" s="396"/>
      <c r="L6716" s="396"/>
      <c r="M6716" s="396"/>
      <c r="N6716" s="396"/>
      <c r="O6716" s="396"/>
      <c r="P6716" s="396"/>
      <c r="Q6716" s="396"/>
      <c r="R6716" s="396"/>
      <c r="S6716" s="396"/>
      <c r="T6716" s="396"/>
      <c r="U6716" s="388"/>
      <c r="V6716" s="396"/>
      <c r="W6716" s="388"/>
      <c r="X6716" s="396"/>
      <c r="Y6716" s="389"/>
      <c r="Z6716" s="396"/>
      <c r="AA6716" s="388"/>
      <c r="AB6716" s="390"/>
    </row>
    <row r="6717" spans="1:28">
      <c r="A6717" s="391"/>
      <c r="B6717" s="392"/>
      <c r="C6717" s="393" t="s">
        <v>198</v>
      </c>
      <c r="D6717" s="2562">
        <f>VLOOKUP(C6715,'Data Panjang Balok'!$C$9:$N$254,4,FALSE)</f>
        <v>11525</v>
      </c>
      <c r="E6717" s="2563"/>
      <c r="F6717" s="2563"/>
      <c r="G6717" s="2563"/>
      <c r="H6717" s="2564"/>
      <c r="I6717" s="397"/>
      <c r="J6717" s="396"/>
      <c r="K6717" s="396"/>
      <c r="L6717" s="396"/>
      <c r="M6717" s="396"/>
      <c r="N6717" s="396"/>
      <c r="O6717" s="396"/>
      <c r="P6717" s="396"/>
      <c r="Q6717" s="396"/>
      <c r="R6717" s="396"/>
      <c r="S6717" s="396"/>
      <c r="T6717" s="396"/>
      <c r="U6717" s="388"/>
      <c r="V6717" s="396"/>
      <c r="W6717" s="388"/>
      <c r="X6717" s="396"/>
      <c r="Y6717" s="389"/>
      <c r="Z6717" s="396"/>
      <c r="AA6717" s="388"/>
      <c r="AB6717" s="390"/>
    </row>
    <row r="6718" spans="1:28">
      <c r="A6718" s="391"/>
      <c r="B6718" s="392"/>
      <c r="C6718" s="393" t="s">
        <v>199</v>
      </c>
      <c r="D6718" s="2562">
        <f>VLOOKUP(C6715,'Data Panjang Balok'!$C$9:$N$254,7,FALSE)</f>
        <v>11525</v>
      </c>
      <c r="E6718" s="2563"/>
      <c r="F6718" s="2563"/>
      <c r="G6718" s="2563"/>
      <c r="H6718" s="2564"/>
      <c r="I6718" s="397"/>
      <c r="J6718" s="396"/>
      <c r="K6718" s="396"/>
      <c r="L6718" s="396"/>
      <c r="M6718" s="396"/>
      <c r="N6718" s="396"/>
      <c r="O6718" s="396"/>
      <c r="P6718" s="396"/>
      <c r="Q6718" s="396"/>
      <c r="R6718" s="396"/>
      <c r="S6718" s="396"/>
      <c r="T6718" s="396"/>
      <c r="U6718" s="388"/>
      <c r="V6718" s="396"/>
      <c r="W6718" s="388"/>
      <c r="X6718" s="396"/>
      <c r="Y6718" s="389"/>
      <c r="Z6718" s="396"/>
      <c r="AA6718" s="388"/>
      <c r="AB6718" s="390"/>
    </row>
    <row r="6719" spans="1:28">
      <c r="A6719" s="391"/>
      <c r="B6719" s="392"/>
      <c r="C6719" s="393" t="s">
        <v>200</v>
      </c>
      <c r="D6719" s="2562">
        <f>VLOOKUP(C6715,'Data Panjang Balok'!$C$9:$N$254,9,FALSE)</f>
        <v>0</v>
      </c>
      <c r="E6719" s="2563"/>
      <c r="F6719" s="2563"/>
      <c r="G6719" s="2563"/>
      <c r="H6719" s="2564"/>
      <c r="I6719" s="397"/>
      <c r="J6719" s="396"/>
      <c r="K6719" s="396"/>
      <c r="L6719" s="396"/>
      <c r="M6719" s="396"/>
      <c r="N6719" s="396"/>
      <c r="O6719" s="396"/>
      <c r="P6719" s="396"/>
      <c r="Q6719" s="396"/>
      <c r="R6719" s="396"/>
      <c r="S6719" s="396"/>
      <c r="T6719" s="396"/>
      <c r="U6719" s="388"/>
      <c r="V6719" s="396"/>
      <c r="W6719" s="388"/>
      <c r="X6719" s="396"/>
      <c r="Y6719" s="389"/>
      <c r="Z6719" s="396"/>
      <c r="AA6719" s="388"/>
      <c r="AB6719" s="390"/>
    </row>
    <row r="6720" spans="1:28">
      <c r="A6720" s="391"/>
      <c r="B6720" s="392"/>
      <c r="C6720" s="393" t="s">
        <v>201</v>
      </c>
      <c r="D6720" s="2562">
        <f>VLOOKUP(C6715,'Data Panjang Balok'!$C$9:$N$254,10,FALSE)</f>
        <v>0</v>
      </c>
      <c r="E6720" s="2563"/>
      <c r="F6720" s="2563"/>
      <c r="G6720" s="2563"/>
      <c r="H6720" s="2564"/>
      <c r="I6720" s="397"/>
      <c r="J6720" s="396"/>
      <c r="K6720" s="396"/>
      <c r="L6720" s="396"/>
      <c r="M6720" s="396"/>
      <c r="N6720" s="396"/>
      <c r="O6720" s="396"/>
      <c r="P6720" s="396"/>
      <c r="Q6720" s="396"/>
      <c r="R6720" s="396"/>
      <c r="S6720" s="396"/>
      <c r="T6720" s="396"/>
      <c r="U6720" s="388"/>
      <c r="V6720" s="396"/>
      <c r="W6720" s="388"/>
      <c r="X6720" s="396"/>
      <c r="Y6720" s="389"/>
      <c r="Z6720" s="396"/>
      <c r="AA6720" s="388"/>
      <c r="AB6720" s="390"/>
    </row>
    <row r="6721" spans="1:28">
      <c r="A6721" s="391"/>
      <c r="B6721" s="392"/>
      <c r="C6721" s="393" t="s">
        <v>48</v>
      </c>
      <c r="D6721" s="2562">
        <f>VLOOKUP(C6715,'Data Panjang Balok'!$C$9:$N$254,3,FALSE)</f>
        <v>1</v>
      </c>
      <c r="E6721" s="2563"/>
      <c r="F6721" s="2563"/>
      <c r="G6721" s="2563"/>
      <c r="H6721" s="2564"/>
      <c r="I6721" s="397"/>
      <c r="J6721" s="396"/>
      <c r="K6721" s="396"/>
      <c r="L6721" s="396"/>
      <c r="M6721" s="396"/>
      <c r="N6721" s="396"/>
      <c r="O6721" s="396"/>
      <c r="P6721" s="396"/>
      <c r="Q6721" s="396"/>
      <c r="R6721" s="396"/>
      <c r="S6721" s="396"/>
      <c r="T6721" s="396"/>
      <c r="U6721" s="388"/>
      <c r="V6721" s="396"/>
      <c r="W6721" s="388"/>
      <c r="X6721" s="396"/>
      <c r="Y6721" s="389"/>
      <c r="Z6721" s="396"/>
      <c r="AA6721" s="388"/>
      <c r="AB6721" s="390"/>
    </row>
    <row r="6722" spans="1:28">
      <c r="A6722" s="384" t="str">
        <f t="shared" ref="A6722:B6722" si="21781">A6715</f>
        <v>Lantai Atap</v>
      </c>
      <c r="B6722" s="385">
        <f t="shared" si="21781"/>
        <v>17</v>
      </c>
      <c r="C6722" s="393" t="s">
        <v>202</v>
      </c>
      <c r="D6722" s="398">
        <f>VLOOKUP(D6715,'Detail Balok'!$C$10:$AU$140,4,FALSE)</f>
        <v>3</v>
      </c>
      <c r="E6722" s="388" t="s">
        <v>16</v>
      </c>
      <c r="F6722" s="388">
        <f>VLOOKUP(D6715,'Detail Balok'!$C$10:$AU$140,6,FALSE)</f>
        <v>13</v>
      </c>
      <c r="G6722" s="388"/>
      <c r="H6722" s="395"/>
      <c r="I6722" s="388" t="s">
        <v>203</v>
      </c>
      <c r="J6722" s="399">
        <f t="shared" ref="J6722" si="21782">+D6717/4/1000</f>
        <v>2.8812500000000001</v>
      </c>
      <c r="K6722" s="400" t="s">
        <v>204</v>
      </c>
      <c r="L6722" s="399">
        <f t="shared" ref="L6722" si="21783">MAX(VLOOKUP(F6722,N$6:P$15,3,FALSE)/1000,2/3*D6719/1000)+F$16*F6722/1000</f>
        <v>0.156</v>
      </c>
      <c r="M6722" s="399" t="s">
        <v>176</v>
      </c>
      <c r="N6722" s="399">
        <f t="shared" ref="N6722:N6724" si="21784">J6722+L6722</f>
        <v>3.0372500000000002</v>
      </c>
      <c r="O6722" s="399" t="s">
        <v>204</v>
      </c>
      <c r="P6722" s="389">
        <f t="shared" ref="P6722" si="21785">D6722-D6723</f>
        <v>0</v>
      </c>
      <c r="Q6722" s="399" t="s">
        <v>125</v>
      </c>
      <c r="R6722" s="399">
        <f t="shared" ref="R6722" si="21786">IF(P6722&gt;0,$F$18*F6722/1000,0)</f>
        <v>0</v>
      </c>
      <c r="S6722" s="399" t="s">
        <v>205</v>
      </c>
      <c r="T6722" s="399" t="s">
        <v>125</v>
      </c>
      <c r="U6722" s="401">
        <f t="shared" ref="U6722:U6724" si="21787">0.006165*F6722^2</f>
        <v>1.041885</v>
      </c>
      <c r="V6722" s="399"/>
      <c r="W6722" s="399"/>
      <c r="X6722" s="399" t="s">
        <v>125</v>
      </c>
      <c r="Y6722" s="389">
        <f t="shared" ref="Y6722" si="21788">D6721</f>
        <v>1</v>
      </c>
      <c r="Z6722" s="400" t="s">
        <v>176</v>
      </c>
      <c r="AA6722" s="402">
        <f t="shared" ref="AA6722" si="21789">IF(AA6725=0,(D6722*N6722+P6722*R6722)*U6722*Y6722,0)</f>
        <v>0</v>
      </c>
      <c r="AB6722" s="403"/>
    </row>
    <row r="6723" spans="1:28">
      <c r="A6723" s="384" t="str">
        <f t="shared" ref="A6723:B6723" si="21790">A6715</f>
        <v>Lantai Atap</v>
      </c>
      <c r="B6723" s="385">
        <f t="shared" si="21790"/>
        <v>17</v>
      </c>
      <c r="C6723" s="393" t="s">
        <v>206</v>
      </c>
      <c r="D6723" s="398">
        <f>VLOOKUP(D6715,'Detail Balok'!$C$10:$AU$140,7,FALSE)</f>
        <v>3</v>
      </c>
      <c r="E6723" s="388" t="s">
        <v>16</v>
      </c>
      <c r="F6723" s="388">
        <f>VLOOKUP(D6715,'Detail Balok'!$C$10:$AU$140,9,FALSE)</f>
        <v>13</v>
      </c>
      <c r="G6723" s="388"/>
      <c r="H6723" s="395"/>
      <c r="I6723" s="388" t="s">
        <v>203</v>
      </c>
      <c r="J6723" s="399">
        <f t="shared" ref="J6723" si="21791">+D6717/2/1000</f>
        <v>5.7625000000000002</v>
      </c>
      <c r="K6723" s="400" t="s">
        <v>204</v>
      </c>
      <c r="L6723" s="399"/>
      <c r="M6723" s="399" t="s">
        <v>176</v>
      </c>
      <c r="N6723" s="399">
        <f t="shared" si="21784"/>
        <v>5.7625000000000002</v>
      </c>
      <c r="O6723" s="399" t="s">
        <v>204</v>
      </c>
      <c r="P6723" s="389">
        <f t="shared" ref="P6723" si="21792">MAX(D6723-D6722,D6723-D6724)</f>
        <v>0</v>
      </c>
      <c r="Q6723" s="399" t="s">
        <v>125</v>
      </c>
      <c r="R6723" s="399">
        <f t="shared" ref="R6723" si="21793">IF(P6723&gt;0,2*(1-2*$F$19-1/2)*D6718/1000,0)</f>
        <v>0</v>
      </c>
      <c r="S6723" s="399" t="s">
        <v>205</v>
      </c>
      <c r="T6723" s="399" t="s">
        <v>125</v>
      </c>
      <c r="U6723" s="401">
        <f t="shared" si="21787"/>
        <v>1.041885</v>
      </c>
      <c r="V6723" s="399"/>
      <c r="W6723" s="399"/>
      <c r="X6723" s="399" t="s">
        <v>125</v>
      </c>
      <c r="Y6723" s="389">
        <f t="shared" ref="Y6723" si="21794">D6721</f>
        <v>1</v>
      </c>
      <c r="Z6723" s="400" t="s">
        <v>176</v>
      </c>
      <c r="AA6723" s="402">
        <f t="shared" ref="AA6723" si="21795">IF(AA6725=0,(D6723*N6723+P6723*R6723)*U6723*Y6723,0)</f>
        <v>0</v>
      </c>
      <c r="AB6723" s="403"/>
    </row>
    <row r="6724" spans="1:28">
      <c r="A6724" s="384" t="str">
        <f t="shared" ref="A6724:B6724" si="21796">A6715</f>
        <v>Lantai Atap</v>
      </c>
      <c r="B6724" s="385">
        <f t="shared" si="21796"/>
        <v>17</v>
      </c>
      <c r="C6724" s="393" t="s">
        <v>202</v>
      </c>
      <c r="D6724" s="398">
        <f>VLOOKUP(D6715,'Detail Balok'!$C$10:$AU$140,10,FALSE)</f>
        <v>3</v>
      </c>
      <c r="E6724" s="388" t="s">
        <v>16</v>
      </c>
      <c r="F6724" s="388">
        <f>VLOOKUP(D6715,'Detail Balok'!$C$10:$AU$140,12,FALSE)</f>
        <v>13</v>
      </c>
      <c r="G6724" s="388"/>
      <c r="H6724" s="395"/>
      <c r="I6724" s="388" t="s">
        <v>203</v>
      </c>
      <c r="J6724" s="399">
        <f t="shared" ref="J6724" si="21797">+D6717/4/1000</f>
        <v>2.8812500000000001</v>
      </c>
      <c r="K6724" s="400" t="s">
        <v>204</v>
      </c>
      <c r="L6724" s="399">
        <f t="shared" ref="L6724" si="21798">MAX(VLOOKUP(F6724,N$6:P$15,3,FALSE)/1000,2/3*D6719/1000)+F$16*F6724/1000</f>
        <v>0.156</v>
      </c>
      <c r="M6724" s="399" t="s">
        <v>176</v>
      </c>
      <c r="N6724" s="399">
        <f t="shared" si="21784"/>
        <v>3.0372500000000002</v>
      </c>
      <c r="O6724" s="399" t="s">
        <v>204</v>
      </c>
      <c r="P6724" s="389">
        <f t="shared" ref="P6724" si="21799">D6724-D6723</f>
        <v>0</v>
      </c>
      <c r="Q6724" s="399" t="s">
        <v>125</v>
      </c>
      <c r="R6724" s="399">
        <f t="shared" ref="R6724" si="21800">IF(P6724&gt;0,$F$18*F6724/1000,0)</f>
        <v>0</v>
      </c>
      <c r="S6724" s="399" t="s">
        <v>205</v>
      </c>
      <c r="T6724" s="399" t="s">
        <v>125</v>
      </c>
      <c r="U6724" s="401">
        <f t="shared" si="21787"/>
        <v>1.041885</v>
      </c>
      <c r="V6724" s="399"/>
      <c r="W6724" s="399"/>
      <c r="X6724" s="399" t="s">
        <v>125</v>
      </c>
      <c r="Y6724" s="389">
        <f t="shared" ref="Y6724" si="21801">D6721</f>
        <v>1</v>
      </c>
      <c r="Z6724" s="400" t="s">
        <v>176</v>
      </c>
      <c r="AA6724" s="402">
        <f t="shared" ref="AA6724" si="21802">IF(AA6725=0,(D6724*N6724+P6724*R6724)*U6724*Y6724,0)</f>
        <v>0</v>
      </c>
      <c r="AB6724" s="403"/>
    </row>
    <row r="6725" spans="1:28">
      <c r="A6725" s="384" t="str">
        <f t="shared" ref="A6725:B6725" si="21803">A6715</f>
        <v>Lantai Atap</v>
      </c>
      <c r="B6725" s="385">
        <f t="shared" si="21803"/>
        <v>17</v>
      </c>
      <c r="C6725" s="393"/>
      <c r="D6725" s="398">
        <f t="shared" ref="D6725:D6785" si="21804">IF(AND(D6722=D6723,D6723=D6724,D6722=D6724),D6722,0)</f>
        <v>3</v>
      </c>
      <c r="E6725" s="388" t="s">
        <v>16</v>
      </c>
      <c r="F6725" s="388">
        <f t="shared" ref="F6725:F6785" si="21805">IF(AND(F6722=F6723,F6722=F6724,F6723=F6724),F6722,0)</f>
        <v>13</v>
      </c>
      <c r="G6725" s="388"/>
      <c r="H6725" s="395"/>
      <c r="I6725" s="388"/>
      <c r="J6725" s="396"/>
      <c r="K6725" s="396"/>
      <c r="L6725" s="404" t="s">
        <v>207</v>
      </c>
      <c r="M6725" s="399" t="s">
        <v>176</v>
      </c>
      <c r="N6725" s="399">
        <f t="shared" ref="N6725" si="21806">IF(AND(D6722=D6723,D6722=D6724,D6723=D6724,F6722=F6723,F6722=F6724,F6723=F6724),SUM(N6722:N6724),0)</f>
        <v>11.837</v>
      </c>
      <c r="O6725" s="399" t="s">
        <v>204</v>
      </c>
      <c r="P6725" s="389">
        <f t="shared" ref="P6725" si="21807">IF(N6725&gt;12,ROUNDDOWN(N6725/12,0),0)</f>
        <v>0</v>
      </c>
      <c r="Q6725" s="399" t="s">
        <v>125</v>
      </c>
      <c r="R6725" s="399">
        <f t="shared" ref="R6725" si="21808">IF(P6725&gt;0,MAX(VLOOKUP(F6725,$D$6:$G$15,3,FALSE),600),0)/1000</f>
        <v>0</v>
      </c>
      <c r="S6725" s="396"/>
      <c r="T6725" s="396" t="s">
        <v>125</v>
      </c>
      <c r="U6725" s="401">
        <f t="shared" ref="U6725:U6785" si="21809">U6724</f>
        <v>1.041885</v>
      </c>
      <c r="V6725" s="396" t="s">
        <v>125</v>
      </c>
      <c r="W6725" s="399">
        <f t="shared" ref="W6725" si="21810">D6725</f>
        <v>3</v>
      </c>
      <c r="X6725" s="399" t="s">
        <v>125</v>
      </c>
      <c r="Y6725" s="389">
        <f t="shared" ref="Y6725:Y6785" si="21811">Y6724</f>
        <v>1</v>
      </c>
      <c r="Z6725" s="400" t="s">
        <v>176</v>
      </c>
      <c r="AA6725" s="402">
        <f t="shared" ref="AA6725" si="21812">(N6725+P6725*R6725/1000)*U6725*W6725*Y6725</f>
        <v>36.998378234999997</v>
      </c>
      <c r="AB6725" s="390"/>
    </row>
    <row r="6726" spans="1:28">
      <c r="A6726" s="384"/>
      <c r="B6726" s="385"/>
      <c r="C6726" s="393"/>
      <c r="D6726" s="398"/>
      <c r="E6726" s="388"/>
      <c r="F6726" s="388"/>
      <c r="G6726" s="388"/>
      <c r="H6726" s="395"/>
      <c r="I6726" s="388"/>
      <c r="J6726" s="396"/>
      <c r="K6726" s="396"/>
      <c r="L6726" s="404"/>
      <c r="M6726" s="399"/>
      <c r="N6726" s="399"/>
      <c r="O6726" s="396"/>
      <c r="P6726" s="389"/>
      <c r="Q6726" s="396"/>
      <c r="R6726" s="396"/>
      <c r="S6726" s="396"/>
      <c r="T6726" s="396"/>
      <c r="U6726" s="401"/>
      <c r="V6726" s="396"/>
      <c r="W6726" s="399"/>
      <c r="X6726" s="396"/>
      <c r="Y6726" s="389"/>
      <c r="Z6726" s="396"/>
      <c r="AA6726" s="388"/>
      <c r="AB6726" s="390"/>
    </row>
    <row r="6727" spans="1:28">
      <c r="A6727" s="384" t="str">
        <f t="shared" ref="A6727:B6727" si="21813">A6715</f>
        <v>Lantai Atap</v>
      </c>
      <c r="B6727" s="385">
        <f t="shared" si="21813"/>
        <v>17</v>
      </c>
      <c r="C6727" s="393" t="s">
        <v>208</v>
      </c>
      <c r="D6727" s="398">
        <f>VLOOKUP(D6715,'Detail Balok'!$C$10:$AU$140,13,FALSE)</f>
        <v>2</v>
      </c>
      <c r="E6727" s="388" t="s">
        <v>16</v>
      </c>
      <c r="F6727" s="388">
        <f>VLOOKUP(D6715,'Detail Balok'!$C$10:$AU$140,15,FALSE)</f>
        <v>10</v>
      </c>
      <c r="G6727" s="388"/>
      <c r="H6727" s="395"/>
      <c r="I6727" s="388"/>
      <c r="J6727" s="399">
        <f t="shared" ref="J6727" si="21814">+D6717/1000</f>
        <v>11.525</v>
      </c>
      <c r="K6727" s="400" t="s">
        <v>204</v>
      </c>
      <c r="L6727" s="399">
        <f t="shared" ref="L6727" si="21815">2*$F$16*F6727/1000</f>
        <v>0.24</v>
      </c>
      <c r="M6727" s="399" t="s">
        <v>176</v>
      </c>
      <c r="N6727" s="399">
        <f t="shared" ref="N6727" si="21816">J6727+L6727</f>
        <v>11.765000000000001</v>
      </c>
      <c r="O6727" s="399" t="s">
        <v>204</v>
      </c>
      <c r="P6727" s="389">
        <f t="shared" ref="P6727" si="21817">IF(N6727&gt;12,ROUNDDOWN(N6727/12,0),0)</f>
        <v>0</v>
      </c>
      <c r="Q6727" s="399" t="s">
        <v>125</v>
      </c>
      <c r="R6727" s="399">
        <f t="shared" ref="R6727" si="21818">IF(P6727&gt;0,MAX(VLOOKUP(F6727,$D$6:$G$15,3,FALSE),600),0)/1000</f>
        <v>0</v>
      </c>
      <c r="S6727" s="399"/>
      <c r="T6727" s="399" t="s">
        <v>125</v>
      </c>
      <c r="U6727" s="401">
        <f t="shared" ref="U6727" si="21819">0.006165*F6727^2</f>
        <v>0.61650000000000005</v>
      </c>
      <c r="V6727" s="399" t="s">
        <v>125</v>
      </c>
      <c r="W6727" s="399">
        <f t="shared" ref="W6727" si="21820">+D6727</f>
        <v>2</v>
      </c>
      <c r="X6727" s="399" t="s">
        <v>125</v>
      </c>
      <c r="Y6727" s="389">
        <f t="shared" ref="Y6727" si="21821">D6721</f>
        <v>1</v>
      </c>
      <c r="Z6727" s="400" t="s">
        <v>176</v>
      </c>
      <c r="AA6727" s="402">
        <f t="shared" ref="AA6727" si="21822">(N6727+P6727*R6727/1000)*U6727*W6727*Y6727</f>
        <v>14.506245000000002</v>
      </c>
      <c r="AB6727" s="403"/>
    </row>
    <row r="6728" spans="1:28">
      <c r="A6728" s="384"/>
      <c r="B6728" s="385"/>
      <c r="C6728" s="393"/>
      <c r="D6728" s="398"/>
      <c r="E6728" s="388"/>
      <c r="F6728" s="388"/>
      <c r="G6728" s="388"/>
      <c r="H6728" s="395"/>
      <c r="I6728" s="388"/>
      <c r="J6728" s="399"/>
      <c r="K6728" s="400"/>
      <c r="L6728" s="399"/>
      <c r="M6728" s="399"/>
      <c r="N6728" s="399"/>
      <c r="O6728" s="399"/>
      <c r="P6728" s="389"/>
      <c r="Q6728" s="399"/>
      <c r="R6728" s="399"/>
      <c r="S6728" s="399"/>
      <c r="T6728" s="399"/>
      <c r="U6728" s="401"/>
      <c r="V6728" s="399"/>
      <c r="W6728" s="399"/>
      <c r="X6728" s="399"/>
      <c r="Y6728" s="389"/>
      <c r="Z6728" s="400"/>
      <c r="AA6728" s="402"/>
      <c r="AB6728" s="403"/>
    </row>
    <row r="6729" spans="1:28">
      <c r="A6729" s="384"/>
      <c r="B6729" s="385"/>
      <c r="C6729" s="393"/>
      <c r="D6729" s="398"/>
      <c r="E6729" s="388"/>
      <c r="F6729" s="388"/>
      <c r="G6729" s="388"/>
      <c r="H6729" s="395"/>
      <c r="I6729" s="388"/>
      <c r="J6729" s="396"/>
      <c r="K6729" s="396"/>
      <c r="L6729" s="396"/>
      <c r="M6729" s="396"/>
      <c r="N6729" s="396"/>
      <c r="O6729" s="396"/>
      <c r="P6729" s="389"/>
      <c r="Q6729" s="396"/>
      <c r="R6729" s="396"/>
      <c r="S6729" s="396"/>
      <c r="T6729" s="396"/>
      <c r="U6729" s="401"/>
      <c r="V6729" s="396"/>
      <c r="W6729" s="399"/>
      <c r="X6729" s="396"/>
      <c r="Y6729" s="389"/>
      <c r="Z6729" s="396"/>
      <c r="AA6729" s="388"/>
      <c r="AB6729" s="390"/>
    </row>
    <row r="6730" spans="1:28">
      <c r="A6730" s="384" t="str">
        <f t="shared" ref="A6730:B6730" si="21823">A6715</f>
        <v>Lantai Atap</v>
      </c>
      <c r="B6730" s="385">
        <f t="shared" si="21823"/>
        <v>17</v>
      </c>
      <c r="C6730" s="393" t="s">
        <v>209</v>
      </c>
      <c r="D6730" s="398">
        <f>VLOOKUP(D6715,'Detail Balok'!$C$10:$AU$140,22,FALSE)</f>
        <v>3</v>
      </c>
      <c r="E6730" s="388" t="s">
        <v>16</v>
      </c>
      <c r="F6730" s="388">
        <f>VLOOKUP(D6715,'Detail Balok'!$C$10:$AU$140,24,FALSE)</f>
        <v>13</v>
      </c>
      <c r="G6730" s="388"/>
      <c r="H6730" s="395"/>
      <c r="I6730" s="388" t="s">
        <v>203</v>
      </c>
      <c r="J6730" s="399">
        <f t="shared" ref="J6730:J6792" si="21824">+J6722</f>
        <v>2.8812500000000001</v>
      </c>
      <c r="K6730" s="400" t="s">
        <v>204</v>
      </c>
      <c r="L6730" s="399">
        <f t="shared" ref="L6730" si="21825">MAX(VLOOKUP(F6730,N$6:P$15,3,FALSE)/1000,2/3*D6720/1000)+F$16*F6730/1000</f>
        <v>0.156</v>
      </c>
      <c r="M6730" s="399" t="s">
        <v>176</v>
      </c>
      <c r="N6730" s="399">
        <f t="shared" ref="N6730:N6732" si="21826">J6730+L6730</f>
        <v>3.0372500000000002</v>
      </c>
      <c r="O6730" s="399" t="s">
        <v>204</v>
      </c>
      <c r="P6730" s="389">
        <f t="shared" ref="P6730" si="21827">D6730-D6731</f>
        <v>0</v>
      </c>
      <c r="Q6730" s="399" t="s">
        <v>125</v>
      </c>
      <c r="R6730" s="399">
        <f t="shared" ref="R6730" si="21828">IF(P6730&gt;0,$F$18*F6730/1000,0)</f>
        <v>0</v>
      </c>
      <c r="S6730" s="399" t="s">
        <v>205</v>
      </c>
      <c r="T6730" s="399" t="s">
        <v>125</v>
      </c>
      <c r="U6730" s="401">
        <f t="shared" ref="U6730:U6732" si="21829">0.006165*F6730^2</f>
        <v>1.041885</v>
      </c>
      <c r="V6730" s="399"/>
      <c r="W6730" s="399"/>
      <c r="X6730" s="399" t="s">
        <v>125</v>
      </c>
      <c r="Y6730" s="389">
        <f t="shared" ref="Y6730" si="21830">D6721</f>
        <v>1</v>
      </c>
      <c r="Z6730" s="400" t="s">
        <v>176</v>
      </c>
      <c r="AA6730" s="402">
        <f t="shared" ref="AA6730" si="21831">IF(AA6733=0,(D6730*N6730+P6730*R6730)*U6730*Y6730,0)</f>
        <v>0</v>
      </c>
      <c r="AB6730" s="403"/>
    </row>
    <row r="6731" spans="1:28">
      <c r="A6731" s="384" t="str">
        <f t="shared" ref="A6731:B6731" si="21832">A6715</f>
        <v>Lantai Atap</v>
      </c>
      <c r="B6731" s="385">
        <f t="shared" si="21832"/>
        <v>17</v>
      </c>
      <c r="C6731" s="393" t="s">
        <v>210</v>
      </c>
      <c r="D6731" s="398">
        <f>VLOOKUP(D6715,'Detail Balok'!$C$10:$AU$140,25,FALSE)</f>
        <v>3</v>
      </c>
      <c r="E6731" s="388" t="s">
        <v>16</v>
      </c>
      <c r="F6731" s="388">
        <f>VLOOKUP(D6715,'Detail Balok'!$C$10:$AU$140,27,FALSE)</f>
        <v>13</v>
      </c>
      <c r="G6731" s="388"/>
      <c r="H6731" s="395"/>
      <c r="I6731" s="388" t="s">
        <v>203</v>
      </c>
      <c r="J6731" s="399">
        <f t="shared" si="21824"/>
        <v>5.7625000000000002</v>
      </c>
      <c r="K6731" s="400" t="s">
        <v>204</v>
      </c>
      <c r="L6731" s="399"/>
      <c r="M6731" s="399" t="s">
        <v>176</v>
      </c>
      <c r="N6731" s="399">
        <f t="shared" si="21826"/>
        <v>5.7625000000000002</v>
      </c>
      <c r="O6731" s="399" t="s">
        <v>204</v>
      </c>
      <c r="P6731" s="389">
        <f t="shared" ref="P6731" si="21833">MAX(D6731-D6730,D6731-D6732)</f>
        <v>0</v>
      </c>
      <c r="Q6731" s="399" t="s">
        <v>125</v>
      </c>
      <c r="R6731" s="399">
        <f t="shared" ref="R6731" si="21834">IF(P6731&gt;0,2*(1-2*$F$19-1/2)*D6718/1000,0)</f>
        <v>0</v>
      </c>
      <c r="S6731" s="399" t="s">
        <v>205</v>
      </c>
      <c r="T6731" s="399" t="s">
        <v>125</v>
      </c>
      <c r="U6731" s="401">
        <f t="shared" si="21829"/>
        <v>1.041885</v>
      </c>
      <c r="V6731" s="399"/>
      <c r="W6731" s="399"/>
      <c r="X6731" s="399" t="s">
        <v>125</v>
      </c>
      <c r="Y6731" s="389">
        <f t="shared" ref="Y6731" si="21835">D6721</f>
        <v>1</v>
      </c>
      <c r="Z6731" s="400" t="s">
        <v>176</v>
      </c>
      <c r="AA6731" s="402">
        <f t="shared" ref="AA6731" si="21836">IF(AA6733=0,(D6731*N6731+P6731*R6731)*U6731*Y6731,0)</f>
        <v>0</v>
      </c>
      <c r="AB6731" s="403"/>
    </row>
    <row r="6732" spans="1:28">
      <c r="A6732" s="384" t="str">
        <f t="shared" ref="A6732:B6732" si="21837">A6715</f>
        <v>Lantai Atap</v>
      </c>
      <c r="B6732" s="385">
        <f t="shared" si="21837"/>
        <v>17</v>
      </c>
      <c r="C6732" s="393" t="s">
        <v>209</v>
      </c>
      <c r="D6732" s="398">
        <f>VLOOKUP(D6715,'Detail Balok'!$C$10:$AU$140,28,FALSE)</f>
        <v>3</v>
      </c>
      <c r="E6732" s="388" t="s">
        <v>16</v>
      </c>
      <c r="F6732" s="388">
        <f>VLOOKUP(D6715,'Detail Balok'!$C$10:$AU$140,30,FALSE)</f>
        <v>13</v>
      </c>
      <c r="G6732" s="388"/>
      <c r="H6732" s="395"/>
      <c r="I6732" s="388" t="s">
        <v>203</v>
      </c>
      <c r="J6732" s="399">
        <f t="shared" si="21824"/>
        <v>2.8812500000000001</v>
      </c>
      <c r="K6732" s="400" t="s">
        <v>204</v>
      </c>
      <c r="L6732" s="399">
        <f t="shared" ref="L6732" si="21838">MAX(VLOOKUP(F6732,N$6:P$15,3,FALSE)/1000,2/3*D6720/1000)+F$16*F6732/1000</f>
        <v>0.156</v>
      </c>
      <c r="M6732" s="399" t="s">
        <v>176</v>
      </c>
      <c r="N6732" s="399">
        <f t="shared" si="21826"/>
        <v>3.0372500000000002</v>
      </c>
      <c r="O6732" s="399" t="s">
        <v>204</v>
      </c>
      <c r="P6732" s="389">
        <f t="shared" ref="P6732" si="21839">D6732-D6731</f>
        <v>0</v>
      </c>
      <c r="Q6732" s="399" t="s">
        <v>125</v>
      </c>
      <c r="R6732" s="399">
        <f t="shared" ref="R6732" si="21840">IF(P6732&gt;0,$F$18*F6732/1000,0)</f>
        <v>0</v>
      </c>
      <c r="S6732" s="399" t="s">
        <v>205</v>
      </c>
      <c r="T6732" s="399" t="s">
        <v>125</v>
      </c>
      <c r="U6732" s="401">
        <f t="shared" si="21829"/>
        <v>1.041885</v>
      </c>
      <c r="V6732" s="399"/>
      <c r="W6732" s="399"/>
      <c r="X6732" s="399" t="s">
        <v>125</v>
      </c>
      <c r="Y6732" s="389">
        <f t="shared" ref="Y6732" si="21841">D6721</f>
        <v>1</v>
      </c>
      <c r="Z6732" s="400" t="s">
        <v>176</v>
      </c>
      <c r="AA6732" s="402">
        <f t="shared" ref="AA6732" si="21842">IF(AA6733=0,(D6732*N6732+P6732*R6732)*U6732*Y6732,0)</f>
        <v>0</v>
      </c>
      <c r="AB6732" s="403"/>
    </row>
    <row r="6733" spans="1:28">
      <c r="A6733" s="384" t="str">
        <f t="shared" ref="A6733:B6733" si="21843">A6715</f>
        <v>Lantai Atap</v>
      </c>
      <c r="B6733" s="385">
        <f t="shared" si="21843"/>
        <v>17</v>
      </c>
      <c r="C6733" s="393"/>
      <c r="D6733" s="398">
        <f t="shared" ref="D6733:D6793" si="21844">IF(AND(D6730=D6731,D6731=D6732,D6730=D6732),D6730,0)</f>
        <v>3</v>
      </c>
      <c r="E6733" s="388" t="s">
        <v>16</v>
      </c>
      <c r="F6733" s="388">
        <f t="shared" ref="F6733:F6793" si="21845">IF(AND(F6730=F6731,F6730=F6732,F6731=F6732),F6730,0)</f>
        <v>13</v>
      </c>
      <c r="G6733" s="388"/>
      <c r="H6733" s="395"/>
      <c r="I6733" s="388"/>
      <c r="J6733" s="396"/>
      <c r="K6733" s="396"/>
      <c r="L6733" s="404" t="s">
        <v>207</v>
      </c>
      <c r="M6733" s="399" t="s">
        <v>176</v>
      </c>
      <c r="N6733" s="399">
        <f t="shared" ref="N6733" si="21846">IF(AND(D6730=D6731,D6730=D6732,D6731=D6732,F6730=F6731,F6730=F6732,F6731=F6732),SUM(N6730:N6732),0)</f>
        <v>11.837</v>
      </c>
      <c r="O6733" s="399" t="s">
        <v>204</v>
      </c>
      <c r="P6733" s="389">
        <f t="shared" ref="P6733" si="21847">IF(N6733&gt;12,ROUNDDOWN(N6733/12,0),0)</f>
        <v>0</v>
      </c>
      <c r="Q6733" s="399" t="s">
        <v>125</v>
      </c>
      <c r="R6733" s="399">
        <f t="shared" ref="R6733" si="21848">IF(P6733&gt;0,MAX(VLOOKUP(F6733,$D$6:$G$15,3,FALSE),600),0)/1000</f>
        <v>0</v>
      </c>
      <c r="S6733" s="396"/>
      <c r="T6733" s="396" t="s">
        <v>125</v>
      </c>
      <c r="U6733" s="401">
        <f t="shared" ref="U6733:U6793" si="21849">U6732</f>
        <v>1.041885</v>
      </c>
      <c r="V6733" s="396" t="s">
        <v>125</v>
      </c>
      <c r="W6733" s="399">
        <f t="shared" ref="W6733" si="21850">D6733</f>
        <v>3</v>
      </c>
      <c r="X6733" s="399" t="s">
        <v>125</v>
      </c>
      <c r="Y6733" s="389">
        <f t="shared" ref="Y6733:Y6793" si="21851">Y6732</f>
        <v>1</v>
      </c>
      <c r="Z6733" s="400" t="s">
        <v>176</v>
      </c>
      <c r="AA6733" s="402">
        <f t="shared" ref="AA6733" si="21852">(N6733+P6733*R6733/1000)*U6733*W6733*Y6733</f>
        <v>36.998378234999997</v>
      </c>
      <c r="AB6733" s="403"/>
    </row>
    <row r="6734" spans="1:28">
      <c r="A6734" s="384"/>
      <c r="B6734" s="385"/>
      <c r="C6734" s="393"/>
      <c r="D6734" s="394"/>
      <c r="E6734" s="388"/>
      <c r="F6734" s="388"/>
      <c r="G6734" s="388"/>
      <c r="H6734" s="395"/>
      <c r="I6734" s="388"/>
      <c r="J6734" s="399"/>
      <c r="K6734" s="396"/>
      <c r="L6734" s="396"/>
      <c r="M6734" s="396"/>
      <c r="N6734" s="396"/>
      <c r="O6734" s="396"/>
      <c r="P6734" s="389"/>
      <c r="Q6734" s="396"/>
      <c r="R6734" s="396"/>
      <c r="S6734" s="396"/>
      <c r="T6734" s="396"/>
      <c r="U6734" s="401"/>
      <c r="V6734" s="396"/>
      <c r="W6734" s="388"/>
      <c r="X6734" s="396"/>
      <c r="Y6734" s="389"/>
      <c r="Z6734" s="396"/>
      <c r="AA6734" s="388"/>
      <c r="AB6734" s="390"/>
    </row>
    <row r="6735" spans="1:28">
      <c r="A6735" s="384" t="str">
        <f t="shared" ref="A6735:B6735" si="21853">A6715</f>
        <v>Lantai Atap</v>
      </c>
      <c r="B6735" s="385">
        <f t="shared" si="21853"/>
        <v>17</v>
      </c>
      <c r="C6735" s="393" t="s">
        <v>211</v>
      </c>
      <c r="D6735" s="398">
        <f>VLOOKUP(D6715,'Detail Balok'!$C$10:$AU$140,31,FALSE)</f>
        <v>0</v>
      </c>
      <c r="E6735" s="388" t="s">
        <v>16</v>
      </c>
      <c r="F6735" s="388">
        <f>VLOOKUP(D6715,'Detail Balok'!$C$10:$AU$140,33,FALSE)</f>
        <v>8</v>
      </c>
      <c r="G6735" s="405" t="s">
        <v>157</v>
      </c>
      <c r="H6735" s="395">
        <f>VLOOKUP(D6715,'Detail Balok'!$C$10:$AU$140,35,FALSE)</f>
        <v>150</v>
      </c>
      <c r="I6735" s="388"/>
      <c r="J6735" s="400">
        <f t="shared" ref="J6735" si="21854">(IF(D6735=0,(2*(D6716+G6716))-(F$5*8),IF(D6735=3,(2*(D6716+G6716))-(F$5*8)+(G6716-2*F$5),IF(D6735=4,(2*(D6716+G6716))-(F$5*8)+2*(G6716-2*F$5)))))/1000</f>
        <v>0.94</v>
      </c>
      <c r="K6735" s="400" t="s">
        <v>204</v>
      </c>
      <c r="L6735" s="399">
        <f t="shared" ref="L6735:L6737" si="21855">IF(D6735=0,2*MAX(6*F6735,75),(D6735-1)*2*MAX(6*F6735,75))/1000</f>
        <v>0.15</v>
      </c>
      <c r="M6735" s="399" t="s">
        <v>176</v>
      </c>
      <c r="N6735" s="399">
        <f t="shared" ref="N6735:N6737" si="21856">J6735+L6735</f>
        <v>1.0899999999999999</v>
      </c>
      <c r="O6735" s="399"/>
      <c r="P6735" s="389"/>
      <c r="Q6735" s="399"/>
      <c r="R6735" s="399"/>
      <c r="S6735" s="399"/>
      <c r="T6735" s="399" t="s">
        <v>125</v>
      </c>
      <c r="U6735" s="401">
        <f t="shared" ref="U6735:U6737" si="21857">0.006165*F6735^2</f>
        <v>0.39456000000000002</v>
      </c>
      <c r="V6735" s="399" t="s">
        <v>125</v>
      </c>
      <c r="W6735" s="399">
        <f t="shared" ref="W6735" si="21858">IF(D6718&gt;4*G6716,ROUND(MAX(D6718/4,2*G6716)/H6735,0)+1,ROUND(D6718/H6735,0)+1)</f>
        <v>20</v>
      </c>
      <c r="X6735" s="399" t="s">
        <v>125</v>
      </c>
      <c r="Y6735" s="389">
        <f t="shared" ref="Y6735" si="21859">D6721</f>
        <v>1</v>
      </c>
      <c r="Z6735" s="400" t="s">
        <v>176</v>
      </c>
      <c r="AA6735" s="402">
        <f t="shared" ref="AA6735:AA6737" si="21860">N6735*U6735*W6735*Y6735</f>
        <v>8.6014079999999993</v>
      </c>
      <c r="AB6735" s="403"/>
    </row>
    <row r="6736" spans="1:28">
      <c r="A6736" s="384" t="str">
        <f t="shared" ref="A6736:B6736" si="21861">A6715</f>
        <v>Lantai Atap</v>
      </c>
      <c r="B6736" s="385">
        <f t="shared" si="21861"/>
        <v>17</v>
      </c>
      <c r="C6736" s="393" t="s">
        <v>212</v>
      </c>
      <c r="D6736" s="398">
        <f>VLOOKUP(D6715,'Detail Balok'!$C$10:$AU$140,36,FALSE)</f>
        <v>0</v>
      </c>
      <c r="E6736" s="388" t="s">
        <v>16</v>
      </c>
      <c r="F6736" s="388">
        <f>VLOOKUP(D6715,'Detail Balok'!$C$10:$AU$140,38,FALSE)</f>
        <v>8</v>
      </c>
      <c r="G6736" s="405" t="s">
        <v>157</v>
      </c>
      <c r="H6736" s="395">
        <f>VLOOKUP(D6715,'Detail Balok'!$C$10:$AU$140,40,FALSE)</f>
        <v>200</v>
      </c>
      <c r="I6736" s="388"/>
      <c r="J6736" s="400">
        <f t="shared" ref="J6736" si="21862">(IF(D6736=0,(2*(D6716+G6716))-(F$5*8),IF(D6736=3,(2*(D6716+G6716))-(F$5*8)+(G6716-2*F$5),IF(D6736=4,(2*(D6716+G6716))-(F$5*8)+2*(G6716-2*F$5)))))/1000</f>
        <v>0.94</v>
      </c>
      <c r="K6736" s="400" t="s">
        <v>204</v>
      </c>
      <c r="L6736" s="399">
        <f t="shared" si="21855"/>
        <v>0.15</v>
      </c>
      <c r="M6736" s="399" t="s">
        <v>176</v>
      </c>
      <c r="N6736" s="399">
        <f t="shared" si="21856"/>
        <v>1.0899999999999999</v>
      </c>
      <c r="O6736" s="399"/>
      <c r="P6736" s="389"/>
      <c r="Q6736" s="399"/>
      <c r="R6736" s="399"/>
      <c r="S6736" s="399"/>
      <c r="T6736" s="399" t="s">
        <v>125</v>
      </c>
      <c r="U6736" s="401">
        <f t="shared" si="21857"/>
        <v>0.39456000000000002</v>
      </c>
      <c r="V6736" s="399" t="s">
        <v>125</v>
      </c>
      <c r="W6736" s="399">
        <f t="shared" ref="W6736" si="21863">IF(D6718-MAX(D6718/4,2*G6716)*2&gt;0,ROUND((D6718-MAX(D6718/4,2*G6716)*2)/H6736,0),0)</f>
        <v>29</v>
      </c>
      <c r="X6736" s="399" t="s">
        <v>125</v>
      </c>
      <c r="Y6736" s="389">
        <f t="shared" ref="Y6736" si="21864">D6721</f>
        <v>1</v>
      </c>
      <c r="Z6736" s="400" t="s">
        <v>176</v>
      </c>
      <c r="AA6736" s="402">
        <f t="shared" si="21860"/>
        <v>12.472041599999999</v>
      </c>
      <c r="AB6736" s="403"/>
    </row>
    <row r="6737" spans="1:28">
      <c r="A6737" s="384" t="str">
        <f t="shared" ref="A6737:B6737" si="21865">A6715</f>
        <v>Lantai Atap</v>
      </c>
      <c r="B6737" s="385">
        <f t="shared" si="21865"/>
        <v>17</v>
      </c>
      <c r="C6737" s="393" t="s">
        <v>211</v>
      </c>
      <c r="D6737" s="398">
        <f>VLOOKUP(D6715,'Detail Balok'!$C$10:$AU$140,41,FALSE)</f>
        <v>0</v>
      </c>
      <c r="E6737" s="388" t="s">
        <v>16</v>
      </c>
      <c r="F6737" s="388">
        <f>VLOOKUP(D6715,'Detail Balok'!$C$10:$AU$140,43,FALSE)</f>
        <v>8</v>
      </c>
      <c r="G6737" s="405" t="s">
        <v>157</v>
      </c>
      <c r="H6737" s="395">
        <f>VLOOKUP(D6715,'Detail Balok'!$C$10:$AU$140,45,FALSE)</f>
        <v>150</v>
      </c>
      <c r="I6737" s="388"/>
      <c r="J6737" s="400">
        <f t="shared" ref="J6737" si="21866">(IF(D6737=0,(2*(D6716+G6716))-(F$5*8),IF(D6737=3,(2*(D6716+G6716))-(F$5*8)+(G6716-2*F$5),IF(D6737=4,(2*(D6716+G6716))-(F$5*8)+2*(G6716-2*F$5)))))/1000</f>
        <v>0.94</v>
      </c>
      <c r="K6737" s="400" t="s">
        <v>204</v>
      </c>
      <c r="L6737" s="399">
        <f t="shared" si="21855"/>
        <v>0.15</v>
      </c>
      <c r="M6737" s="399" t="s">
        <v>176</v>
      </c>
      <c r="N6737" s="399">
        <f t="shared" si="21856"/>
        <v>1.0899999999999999</v>
      </c>
      <c r="O6737" s="399"/>
      <c r="P6737" s="389"/>
      <c r="Q6737" s="399"/>
      <c r="R6737" s="399"/>
      <c r="S6737" s="399"/>
      <c r="T6737" s="399" t="s">
        <v>125</v>
      </c>
      <c r="U6737" s="401">
        <f t="shared" si="21857"/>
        <v>0.39456000000000002</v>
      </c>
      <c r="V6737" s="399" t="s">
        <v>125</v>
      </c>
      <c r="W6737" s="399">
        <f t="shared" ref="W6737" si="21867">IF(D6718&gt;4*G6716,ROUND(MAX(D6718/4,2*G6716)/H6737,0)+1,0)</f>
        <v>20</v>
      </c>
      <c r="X6737" s="399" t="s">
        <v>125</v>
      </c>
      <c r="Y6737" s="389">
        <f t="shared" ref="Y6737" si="21868">D6721</f>
        <v>1</v>
      </c>
      <c r="Z6737" s="400" t="s">
        <v>176</v>
      </c>
      <c r="AA6737" s="402">
        <f t="shared" si="21860"/>
        <v>8.6014079999999993</v>
      </c>
      <c r="AB6737" s="403"/>
    </row>
    <row r="6738" spans="1:28">
      <c r="A6738" s="384"/>
      <c r="B6738" s="385"/>
      <c r="C6738" s="393"/>
      <c r="D6738" s="394"/>
      <c r="E6738" s="388"/>
      <c r="F6738" s="388"/>
      <c r="G6738" s="388"/>
      <c r="H6738" s="395"/>
      <c r="I6738" s="388"/>
      <c r="J6738" s="399"/>
      <c r="K6738" s="396"/>
      <c r="L6738" s="396"/>
      <c r="M6738" s="396"/>
      <c r="N6738" s="396"/>
      <c r="O6738" s="396"/>
      <c r="P6738" s="389"/>
      <c r="Q6738" s="396"/>
      <c r="R6738" s="396"/>
      <c r="S6738" s="396"/>
      <c r="T6738" s="396"/>
      <c r="U6738" s="401"/>
      <c r="V6738" s="396"/>
      <c r="W6738" s="388"/>
      <c r="X6738" s="396"/>
      <c r="Y6738" s="389"/>
      <c r="Z6738" s="396"/>
      <c r="AA6738" s="388"/>
      <c r="AB6738" s="390"/>
    </row>
    <row r="6739" spans="1:28">
      <c r="A6739" s="384" t="str">
        <f t="shared" ref="A6739:B6739" si="21869">A6715</f>
        <v>Lantai Atap</v>
      </c>
      <c r="B6739" s="385">
        <f t="shared" si="21869"/>
        <v>17</v>
      </c>
      <c r="C6739" s="393" t="s">
        <v>213</v>
      </c>
      <c r="D6739" s="398">
        <f>VLOOKUP(D6715,'Detail Balok'!$C$10:$BJ$140,46,FALSE)</f>
        <v>0</v>
      </c>
      <c r="E6739" s="388" t="s">
        <v>16</v>
      </c>
      <c r="F6739" s="388">
        <f>VLOOKUP(D6715,'Detail Balok'!$C$10:$BJ$140,48,FALSE)</f>
        <v>0</v>
      </c>
      <c r="G6739" s="405" t="s">
        <v>157</v>
      </c>
      <c r="H6739" s="395">
        <f>VLOOKUP(D6715,'Detail Balok'!$C$10:$BJ$140,50,FALSE)</f>
        <v>100</v>
      </c>
      <c r="I6739" s="388"/>
      <c r="J6739" s="399">
        <f t="shared" ref="J6739" si="21870">(D6716-2*F$5)/1000</f>
        <v>0.05</v>
      </c>
      <c r="K6739" s="400" t="s">
        <v>204</v>
      </c>
      <c r="L6739" s="399">
        <f t="shared" ref="L6739:L6741" si="21871">IF(D6739=0,2*MAX(6*F6739,75),(D6739-1)*2*MAX(6*F6739,75))/1000</f>
        <v>0.15</v>
      </c>
      <c r="M6739" s="399" t="s">
        <v>176</v>
      </c>
      <c r="N6739" s="399">
        <f t="shared" ref="N6739:N6741" si="21872">J6739+L6739</f>
        <v>0.2</v>
      </c>
      <c r="O6739" s="399"/>
      <c r="P6739" s="399"/>
      <c r="Q6739" s="399"/>
      <c r="R6739" s="399"/>
      <c r="S6739" s="399"/>
      <c r="T6739" s="399" t="s">
        <v>125</v>
      </c>
      <c r="U6739" s="401">
        <f t="shared" ref="U6739:U6741" si="21873">0.006165*F6739^2</f>
        <v>0</v>
      </c>
      <c r="V6739" s="399" t="s">
        <v>125</v>
      </c>
      <c r="W6739" s="399">
        <f t="shared" ref="W6739:W6801" si="21874">W6735</f>
        <v>20</v>
      </c>
      <c r="X6739" s="399" t="s">
        <v>125</v>
      </c>
      <c r="Y6739" s="389">
        <f t="shared" ref="Y6739" si="21875">D6725</f>
        <v>3</v>
      </c>
      <c r="Z6739" s="400" t="s">
        <v>176</v>
      </c>
      <c r="AA6739" s="402">
        <f t="shared" ref="AA6739:AA6741" si="21876">N6739*U6739*W6739*Y6739</f>
        <v>0</v>
      </c>
      <c r="AB6739" s="403"/>
    </row>
    <row r="6740" spans="1:28">
      <c r="A6740" s="384" t="str">
        <f t="shared" ref="A6740:B6740" si="21877">A6715</f>
        <v>Lantai Atap</v>
      </c>
      <c r="B6740" s="385">
        <f t="shared" si="21877"/>
        <v>17</v>
      </c>
      <c r="C6740" s="393" t="s">
        <v>214</v>
      </c>
      <c r="D6740" s="398">
        <f>VLOOKUP(D6715,'Detail Balok'!$C$10:$BJ$140,51,FALSE)</f>
        <v>0</v>
      </c>
      <c r="E6740" s="388" t="s">
        <v>16</v>
      </c>
      <c r="F6740" s="388">
        <f>VLOOKUP(D6715,'Detail Balok'!$C$10:$BJ$140,53,FALSE)</f>
        <v>0</v>
      </c>
      <c r="G6740" s="405" t="s">
        <v>157</v>
      </c>
      <c r="H6740" s="395">
        <f>VLOOKUP(D6715,'Detail Balok'!$C$10:$BJ$140,55,FALSE)</f>
        <v>100</v>
      </c>
      <c r="I6740" s="388"/>
      <c r="J6740" s="399">
        <f t="shared" ref="J6740" si="21878">(D6716-2*F$5)/1000</f>
        <v>0.05</v>
      </c>
      <c r="K6740" s="400" t="s">
        <v>204</v>
      </c>
      <c r="L6740" s="399">
        <f t="shared" si="21871"/>
        <v>0.15</v>
      </c>
      <c r="M6740" s="399" t="s">
        <v>176</v>
      </c>
      <c r="N6740" s="399">
        <f t="shared" si="21872"/>
        <v>0.2</v>
      </c>
      <c r="O6740" s="399"/>
      <c r="P6740" s="399"/>
      <c r="Q6740" s="399"/>
      <c r="R6740" s="399"/>
      <c r="S6740" s="399"/>
      <c r="T6740" s="399" t="s">
        <v>125</v>
      </c>
      <c r="U6740" s="401">
        <f t="shared" si="21873"/>
        <v>0</v>
      </c>
      <c r="V6740" s="399" t="s">
        <v>125</v>
      </c>
      <c r="W6740" s="399">
        <f t="shared" si="21874"/>
        <v>29</v>
      </c>
      <c r="X6740" s="399" t="s">
        <v>125</v>
      </c>
      <c r="Y6740" s="389">
        <f t="shared" ref="Y6740" si="21879">D6725</f>
        <v>3</v>
      </c>
      <c r="Z6740" s="400" t="s">
        <v>176</v>
      </c>
      <c r="AA6740" s="402">
        <f t="shared" si="21876"/>
        <v>0</v>
      </c>
      <c r="AB6740" s="403"/>
    </row>
    <row r="6741" spans="1:28">
      <c r="A6741" s="384" t="str">
        <f t="shared" ref="A6741:B6741" si="21880">A6715</f>
        <v>Lantai Atap</v>
      </c>
      <c r="B6741" s="385">
        <f t="shared" si="21880"/>
        <v>17</v>
      </c>
      <c r="C6741" s="393" t="s">
        <v>213</v>
      </c>
      <c r="D6741" s="398">
        <f>VLOOKUP(D6715,'Detail Balok'!$C$10:$BJ$140,56,FALSE)</f>
        <v>0</v>
      </c>
      <c r="E6741" s="388" t="s">
        <v>16</v>
      </c>
      <c r="F6741" s="388">
        <f>VLOOKUP(D6715,'Detail Balok'!$C$10:$BJ$140,58,FALSE)</f>
        <v>0</v>
      </c>
      <c r="G6741" s="405" t="s">
        <v>157</v>
      </c>
      <c r="H6741" s="395">
        <f>VLOOKUP(D6715,'Detail Balok'!$C$10:$BJ$140,60,FALSE)</f>
        <v>100</v>
      </c>
      <c r="I6741" s="388"/>
      <c r="J6741" s="399">
        <f t="shared" ref="J6741" si="21881">(D6716-2*F$5)/1000</f>
        <v>0.05</v>
      </c>
      <c r="K6741" s="400" t="s">
        <v>204</v>
      </c>
      <c r="L6741" s="399">
        <f t="shared" si="21871"/>
        <v>0.15</v>
      </c>
      <c r="M6741" s="399" t="s">
        <v>176</v>
      </c>
      <c r="N6741" s="399">
        <f t="shared" si="21872"/>
        <v>0.2</v>
      </c>
      <c r="O6741" s="399"/>
      <c r="P6741" s="399"/>
      <c r="Q6741" s="399"/>
      <c r="R6741" s="399"/>
      <c r="S6741" s="399"/>
      <c r="T6741" s="399" t="s">
        <v>125</v>
      </c>
      <c r="U6741" s="401">
        <f t="shared" si="21873"/>
        <v>0</v>
      </c>
      <c r="V6741" s="399" t="s">
        <v>125</v>
      </c>
      <c r="W6741" s="399">
        <f t="shared" si="21874"/>
        <v>20</v>
      </c>
      <c r="X6741" s="399" t="s">
        <v>125</v>
      </c>
      <c r="Y6741" s="389">
        <f t="shared" ref="Y6741" si="21882">D6725</f>
        <v>3</v>
      </c>
      <c r="Z6741" s="400" t="s">
        <v>176</v>
      </c>
      <c r="AA6741" s="402">
        <f t="shared" si="21876"/>
        <v>0</v>
      </c>
      <c r="AB6741" s="403"/>
    </row>
    <row r="6742" spans="1:28">
      <c r="A6742" s="391"/>
      <c r="B6742" s="392"/>
      <c r="C6742" s="392"/>
      <c r="D6742" s="394"/>
      <c r="E6742" s="388"/>
      <c r="F6742" s="388"/>
      <c r="G6742" s="388"/>
      <c r="H6742" s="395"/>
      <c r="I6742" s="388"/>
      <c r="J6742" s="402"/>
      <c r="K6742" s="388"/>
      <c r="L6742" s="388"/>
      <c r="M6742" s="388"/>
      <c r="N6742" s="388"/>
      <c r="O6742" s="388"/>
      <c r="P6742" s="388"/>
      <c r="Q6742" s="388"/>
      <c r="R6742" s="388"/>
      <c r="S6742" s="388"/>
      <c r="T6742" s="388"/>
      <c r="U6742" s="388"/>
      <c r="V6742" s="388"/>
      <c r="W6742" s="388"/>
      <c r="X6742" s="388"/>
      <c r="Y6742" s="389"/>
      <c r="Z6742" s="388"/>
      <c r="AA6742" s="402"/>
      <c r="AB6742" s="403"/>
    </row>
    <row r="6743" spans="1:28" ht="15.75" thickBot="1">
      <c r="A6743" s="406"/>
      <c r="B6743" s="407"/>
      <c r="C6743" s="407"/>
      <c r="D6743" s="408"/>
      <c r="E6743" s="409"/>
      <c r="F6743" s="409"/>
      <c r="G6743" s="409"/>
      <c r="H6743" s="410"/>
      <c r="I6743" s="409"/>
      <c r="J6743" s="409"/>
      <c r="K6743" s="409"/>
      <c r="L6743" s="409"/>
      <c r="M6743" s="409"/>
      <c r="N6743" s="409"/>
      <c r="O6743" s="409"/>
      <c r="P6743" s="409"/>
      <c r="Q6743" s="409"/>
      <c r="R6743" s="409"/>
      <c r="S6743" s="409"/>
      <c r="T6743" s="409"/>
      <c r="U6743" s="409"/>
      <c r="V6743" s="409"/>
      <c r="W6743" s="409"/>
      <c r="X6743" s="409"/>
      <c r="Y6743" s="411"/>
      <c r="Z6743" s="409"/>
      <c r="AA6743" s="412"/>
      <c r="AB6743" s="413"/>
    </row>
    <row r="6744" spans="1:28">
      <c r="A6744" s="377"/>
      <c r="B6744" s="378"/>
      <c r="C6744" s="378"/>
      <c r="D6744" s="379"/>
      <c r="E6744" s="380"/>
      <c r="F6744" s="380"/>
      <c r="G6744" s="380"/>
      <c r="H6744" s="381"/>
      <c r="I6744" s="380"/>
      <c r="J6744" s="380"/>
      <c r="K6744" s="380"/>
      <c r="L6744" s="380"/>
      <c r="M6744" s="380"/>
      <c r="N6744" s="380"/>
      <c r="O6744" s="380"/>
      <c r="P6744" s="380"/>
      <c r="Q6744" s="380"/>
      <c r="R6744" s="380"/>
      <c r="S6744" s="380"/>
      <c r="T6744" s="380"/>
      <c r="U6744" s="380"/>
      <c r="V6744" s="380"/>
      <c r="W6744" s="380"/>
      <c r="X6744" s="380"/>
      <c r="Y6744" s="382"/>
      <c r="Z6744" s="380"/>
      <c r="AA6744" s="380"/>
      <c r="AB6744" s="383"/>
    </row>
    <row r="6745" spans="1:28">
      <c r="A6745" s="384" t="str">
        <f t="shared" ref="A6745:A6805" si="21883">A6715</f>
        <v>Lantai Atap</v>
      </c>
      <c r="B6745" s="385">
        <f t="shared" ref="B6745:B6805" si="21884">B6715+1</f>
        <v>18</v>
      </c>
      <c r="C6745" s="386" t="str">
        <f t="shared" ref="C6745" si="21885">CONCATENATE(A6745," no. ",B6745)</f>
        <v>Lantai Atap no. 18</v>
      </c>
      <c r="D6745" s="2562" t="str">
        <f>VLOOKUP(C6745,'Data Panjang Balok'!$C$9:$N$254,2,FALSE)</f>
        <v>B24-1</v>
      </c>
      <c r="E6745" s="2576"/>
      <c r="F6745" s="2576"/>
      <c r="G6745" s="2576"/>
      <c r="H6745" s="2577"/>
      <c r="I6745" s="387"/>
      <c r="J6745" s="388"/>
      <c r="K6745" s="388"/>
      <c r="L6745" s="388"/>
      <c r="M6745" s="388"/>
      <c r="N6745" s="388"/>
      <c r="O6745" s="388"/>
      <c r="P6745" s="388"/>
      <c r="Q6745" s="388"/>
      <c r="R6745" s="388"/>
      <c r="S6745" s="388"/>
      <c r="T6745" s="388"/>
      <c r="U6745" s="388"/>
      <c r="V6745" s="388"/>
      <c r="W6745" s="388"/>
      <c r="X6745" s="388"/>
      <c r="Y6745" s="389"/>
      <c r="Z6745" s="388"/>
      <c r="AA6745" s="388"/>
      <c r="AB6745" s="390"/>
    </row>
    <row r="6746" spans="1:28">
      <c r="A6746" s="391"/>
      <c r="B6746" s="392"/>
      <c r="C6746" s="393" t="s">
        <v>118</v>
      </c>
      <c r="D6746" s="2578">
        <f>VLOOKUP(D6745,'Detail Balok'!$C$10:$AU$140,2,FALSE)</f>
        <v>200</v>
      </c>
      <c r="E6746" s="2579"/>
      <c r="F6746" s="388" t="s">
        <v>125</v>
      </c>
      <c r="G6746" s="2579">
        <f>VLOOKUP(D6745,'Detail Balok'!$C$10:$AU$140,3,FALSE)</f>
        <v>400</v>
      </c>
      <c r="H6746" s="2580"/>
      <c r="I6746" s="388"/>
      <c r="J6746" s="396"/>
      <c r="K6746" s="396"/>
      <c r="L6746" s="396"/>
      <c r="M6746" s="396"/>
      <c r="N6746" s="396"/>
      <c r="O6746" s="396"/>
      <c r="P6746" s="396"/>
      <c r="Q6746" s="396"/>
      <c r="R6746" s="396"/>
      <c r="S6746" s="396"/>
      <c r="T6746" s="396"/>
      <c r="U6746" s="388"/>
      <c r="V6746" s="396"/>
      <c r="W6746" s="388"/>
      <c r="X6746" s="396"/>
      <c r="Y6746" s="389"/>
      <c r="Z6746" s="396"/>
      <c r="AA6746" s="388"/>
      <c r="AB6746" s="390"/>
    </row>
    <row r="6747" spans="1:28">
      <c r="A6747" s="391"/>
      <c r="B6747" s="392"/>
      <c r="C6747" s="393" t="s">
        <v>198</v>
      </c>
      <c r="D6747" s="2562">
        <f>VLOOKUP(C6745,'Data Panjang Balok'!$C$9:$N$254,4,FALSE)</f>
        <v>13650</v>
      </c>
      <c r="E6747" s="2563"/>
      <c r="F6747" s="2563"/>
      <c r="G6747" s="2563"/>
      <c r="H6747" s="2564"/>
      <c r="I6747" s="397"/>
      <c r="J6747" s="396"/>
      <c r="K6747" s="396"/>
      <c r="L6747" s="396"/>
      <c r="M6747" s="396"/>
      <c r="N6747" s="396"/>
      <c r="O6747" s="396"/>
      <c r="P6747" s="396"/>
      <c r="Q6747" s="396"/>
      <c r="R6747" s="396"/>
      <c r="S6747" s="396"/>
      <c r="T6747" s="396"/>
      <c r="U6747" s="388"/>
      <c r="V6747" s="396"/>
      <c r="W6747" s="388"/>
      <c r="X6747" s="396"/>
      <c r="Y6747" s="389"/>
      <c r="Z6747" s="396"/>
      <c r="AA6747" s="388"/>
      <c r="AB6747" s="390"/>
    </row>
    <row r="6748" spans="1:28">
      <c r="A6748" s="391"/>
      <c r="B6748" s="392"/>
      <c r="C6748" s="393" t="s">
        <v>199</v>
      </c>
      <c r="D6748" s="2562">
        <f>VLOOKUP(C6745,'Data Panjang Balok'!$C$9:$N$254,7,FALSE)</f>
        <v>13650</v>
      </c>
      <c r="E6748" s="2563"/>
      <c r="F6748" s="2563"/>
      <c r="G6748" s="2563"/>
      <c r="H6748" s="2564"/>
      <c r="I6748" s="397"/>
      <c r="J6748" s="396"/>
      <c r="K6748" s="396"/>
      <c r="L6748" s="396"/>
      <c r="M6748" s="396"/>
      <c r="N6748" s="396"/>
      <c r="O6748" s="396"/>
      <c r="P6748" s="396"/>
      <c r="Q6748" s="396"/>
      <c r="R6748" s="396"/>
      <c r="S6748" s="396"/>
      <c r="T6748" s="396"/>
      <c r="U6748" s="388"/>
      <c r="V6748" s="396"/>
      <c r="W6748" s="388"/>
      <c r="X6748" s="396"/>
      <c r="Y6748" s="389"/>
      <c r="Z6748" s="396"/>
      <c r="AA6748" s="388"/>
      <c r="AB6748" s="390"/>
    </row>
    <row r="6749" spans="1:28">
      <c r="A6749" s="391"/>
      <c r="B6749" s="392"/>
      <c r="C6749" s="393" t="s">
        <v>200</v>
      </c>
      <c r="D6749" s="2562">
        <f>VLOOKUP(C6745,'Data Panjang Balok'!$C$9:$N$254,9,FALSE)</f>
        <v>0</v>
      </c>
      <c r="E6749" s="2563"/>
      <c r="F6749" s="2563"/>
      <c r="G6749" s="2563"/>
      <c r="H6749" s="2564"/>
      <c r="I6749" s="397"/>
      <c r="J6749" s="396"/>
      <c r="K6749" s="396"/>
      <c r="L6749" s="396"/>
      <c r="M6749" s="396"/>
      <c r="N6749" s="396"/>
      <c r="O6749" s="396"/>
      <c r="P6749" s="396"/>
      <c r="Q6749" s="396"/>
      <c r="R6749" s="396"/>
      <c r="S6749" s="396"/>
      <c r="T6749" s="396"/>
      <c r="U6749" s="388"/>
      <c r="V6749" s="396"/>
      <c r="W6749" s="388"/>
      <c r="X6749" s="396"/>
      <c r="Y6749" s="389"/>
      <c r="Z6749" s="396"/>
      <c r="AA6749" s="388"/>
      <c r="AB6749" s="390"/>
    </row>
    <row r="6750" spans="1:28">
      <c r="A6750" s="391"/>
      <c r="B6750" s="392"/>
      <c r="C6750" s="393" t="s">
        <v>201</v>
      </c>
      <c r="D6750" s="2562">
        <f>VLOOKUP(C6745,'Data Panjang Balok'!$C$9:$N$254,10,FALSE)</f>
        <v>0</v>
      </c>
      <c r="E6750" s="2563"/>
      <c r="F6750" s="2563"/>
      <c r="G6750" s="2563"/>
      <c r="H6750" s="2564"/>
      <c r="I6750" s="397"/>
      <c r="J6750" s="396"/>
      <c r="K6750" s="396"/>
      <c r="L6750" s="396"/>
      <c r="M6750" s="396"/>
      <c r="N6750" s="396"/>
      <c r="O6750" s="396"/>
      <c r="P6750" s="396"/>
      <c r="Q6750" s="396"/>
      <c r="R6750" s="396"/>
      <c r="S6750" s="396"/>
      <c r="T6750" s="396"/>
      <c r="U6750" s="388"/>
      <c r="V6750" s="396"/>
      <c r="W6750" s="388"/>
      <c r="X6750" s="396"/>
      <c r="Y6750" s="389"/>
      <c r="Z6750" s="396"/>
      <c r="AA6750" s="388"/>
      <c r="AB6750" s="390"/>
    </row>
    <row r="6751" spans="1:28">
      <c r="A6751" s="391"/>
      <c r="B6751" s="392"/>
      <c r="C6751" s="393" t="s">
        <v>48</v>
      </c>
      <c r="D6751" s="2562">
        <f>VLOOKUP(C6745,'Data Panjang Balok'!$C$9:$N$254,3,FALSE)</f>
        <v>1</v>
      </c>
      <c r="E6751" s="2563"/>
      <c r="F6751" s="2563"/>
      <c r="G6751" s="2563"/>
      <c r="H6751" s="2564"/>
      <c r="I6751" s="397"/>
      <c r="J6751" s="396"/>
      <c r="K6751" s="396"/>
      <c r="L6751" s="396"/>
      <c r="M6751" s="396"/>
      <c r="N6751" s="396"/>
      <c r="O6751" s="396"/>
      <c r="P6751" s="396"/>
      <c r="Q6751" s="396"/>
      <c r="R6751" s="396"/>
      <c r="S6751" s="396"/>
      <c r="T6751" s="396"/>
      <c r="U6751" s="388"/>
      <c r="V6751" s="396"/>
      <c r="W6751" s="388"/>
      <c r="X6751" s="396"/>
      <c r="Y6751" s="389"/>
      <c r="Z6751" s="396"/>
      <c r="AA6751" s="388"/>
      <c r="AB6751" s="390"/>
    </row>
    <row r="6752" spans="1:28">
      <c r="A6752" s="384" t="str">
        <f t="shared" ref="A6752:B6752" si="21886">A6745</f>
        <v>Lantai Atap</v>
      </c>
      <c r="B6752" s="385">
        <f t="shared" si="21886"/>
        <v>18</v>
      </c>
      <c r="C6752" s="393" t="s">
        <v>202</v>
      </c>
      <c r="D6752" s="398">
        <f>VLOOKUP(D6745,'Detail Balok'!$C$10:$AU$140,4,FALSE)</f>
        <v>3</v>
      </c>
      <c r="E6752" s="388" t="s">
        <v>16</v>
      </c>
      <c r="F6752" s="388">
        <f>VLOOKUP(D6745,'Detail Balok'!$C$10:$AU$140,6,FALSE)</f>
        <v>13</v>
      </c>
      <c r="G6752" s="388"/>
      <c r="H6752" s="395"/>
      <c r="I6752" s="388" t="s">
        <v>203</v>
      </c>
      <c r="J6752" s="399">
        <f t="shared" ref="J6752" si="21887">+D6747/4/1000</f>
        <v>3.4125000000000001</v>
      </c>
      <c r="K6752" s="400" t="s">
        <v>204</v>
      </c>
      <c r="L6752" s="399">
        <f t="shared" ref="L6752" si="21888">MAX(VLOOKUP(F6752,N$6:P$15,3,FALSE)/1000,2/3*D6749/1000)+F$16*F6752/1000</f>
        <v>0.156</v>
      </c>
      <c r="M6752" s="399" t="s">
        <v>176</v>
      </c>
      <c r="N6752" s="399">
        <f t="shared" ref="N6752:N6754" si="21889">J6752+L6752</f>
        <v>3.5685000000000002</v>
      </c>
      <c r="O6752" s="399" t="s">
        <v>204</v>
      </c>
      <c r="P6752" s="389">
        <f t="shared" ref="P6752" si="21890">D6752-D6753</f>
        <v>0</v>
      </c>
      <c r="Q6752" s="399" t="s">
        <v>125</v>
      </c>
      <c r="R6752" s="399">
        <f t="shared" ref="R6752" si="21891">IF(P6752&gt;0,$F$18*F6752/1000,0)</f>
        <v>0</v>
      </c>
      <c r="S6752" s="399" t="s">
        <v>205</v>
      </c>
      <c r="T6752" s="399" t="s">
        <v>125</v>
      </c>
      <c r="U6752" s="401">
        <f t="shared" ref="U6752:U6754" si="21892">0.006165*F6752^2</f>
        <v>1.041885</v>
      </c>
      <c r="V6752" s="399"/>
      <c r="W6752" s="399"/>
      <c r="X6752" s="399" t="s">
        <v>125</v>
      </c>
      <c r="Y6752" s="389">
        <f t="shared" ref="Y6752" si="21893">D6751</f>
        <v>1</v>
      </c>
      <c r="Z6752" s="400" t="s">
        <v>176</v>
      </c>
      <c r="AA6752" s="402">
        <f t="shared" ref="AA6752" si="21894">IF(AA6755=0,(D6752*N6752+P6752*R6752)*U6752*Y6752,0)</f>
        <v>0</v>
      </c>
      <c r="AB6752" s="403"/>
    </row>
    <row r="6753" spans="1:28">
      <c r="A6753" s="384" t="str">
        <f t="shared" ref="A6753:B6753" si="21895">A6745</f>
        <v>Lantai Atap</v>
      </c>
      <c r="B6753" s="385">
        <f t="shared" si="21895"/>
        <v>18</v>
      </c>
      <c r="C6753" s="393" t="s">
        <v>206</v>
      </c>
      <c r="D6753" s="398">
        <f>VLOOKUP(D6745,'Detail Balok'!$C$10:$AU$140,7,FALSE)</f>
        <v>3</v>
      </c>
      <c r="E6753" s="388" t="s">
        <v>16</v>
      </c>
      <c r="F6753" s="388">
        <f>VLOOKUP(D6745,'Detail Balok'!$C$10:$AU$140,9,FALSE)</f>
        <v>13</v>
      </c>
      <c r="G6753" s="388"/>
      <c r="H6753" s="395"/>
      <c r="I6753" s="388" t="s">
        <v>203</v>
      </c>
      <c r="J6753" s="399">
        <f t="shared" ref="J6753" si="21896">+D6747/2/1000</f>
        <v>6.8250000000000002</v>
      </c>
      <c r="K6753" s="400" t="s">
        <v>204</v>
      </c>
      <c r="L6753" s="399"/>
      <c r="M6753" s="399" t="s">
        <v>176</v>
      </c>
      <c r="N6753" s="399">
        <f t="shared" si="21889"/>
        <v>6.8250000000000002</v>
      </c>
      <c r="O6753" s="399" t="s">
        <v>204</v>
      </c>
      <c r="P6753" s="389">
        <f t="shared" ref="P6753" si="21897">MAX(D6753-D6752,D6753-D6754)</f>
        <v>0</v>
      </c>
      <c r="Q6753" s="399" t="s">
        <v>125</v>
      </c>
      <c r="R6753" s="399">
        <f t="shared" ref="R6753" si="21898">IF(P6753&gt;0,2*(1-2*$F$19-1/2)*D6748/1000,0)</f>
        <v>0</v>
      </c>
      <c r="S6753" s="399" t="s">
        <v>205</v>
      </c>
      <c r="T6753" s="399" t="s">
        <v>125</v>
      </c>
      <c r="U6753" s="401">
        <f t="shared" si="21892"/>
        <v>1.041885</v>
      </c>
      <c r="V6753" s="399"/>
      <c r="W6753" s="399"/>
      <c r="X6753" s="399" t="s">
        <v>125</v>
      </c>
      <c r="Y6753" s="389">
        <f t="shared" ref="Y6753" si="21899">D6751</f>
        <v>1</v>
      </c>
      <c r="Z6753" s="400" t="s">
        <v>176</v>
      </c>
      <c r="AA6753" s="402">
        <f t="shared" ref="AA6753" si="21900">IF(AA6755=0,(D6753*N6753+P6753*R6753)*U6753*Y6753,0)</f>
        <v>0</v>
      </c>
      <c r="AB6753" s="403"/>
    </row>
    <row r="6754" spans="1:28">
      <c r="A6754" s="384" t="str">
        <f t="shared" ref="A6754:B6754" si="21901">A6745</f>
        <v>Lantai Atap</v>
      </c>
      <c r="B6754" s="385">
        <f t="shared" si="21901"/>
        <v>18</v>
      </c>
      <c r="C6754" s="393" t="s">
        <v>202</v>
      </c>
      <c r="D6754" s="398">
        <f>VLOOKUP(D6745,'Detail Balok'!$C$10:$AU$140,10,FALSE)</f>
        <v>3</v>
      </c>
      <c r="E6754" s="388" t="s">
        <v>16</v>
      </c>
      <c r="F6754" s="388">
        <f>VLOOKUP(D6745,'Detail Balok'!$C$10:$AU$140,12,FALSE)</f>
        <v>13</v>
      </c>
      <c r="G6754" s="388"/>
      <c r="H6754" s="395"/>
      <c r="I6754" s="388" t="s">
        <v>203</v>
      </c>
      <c r="J6754" s="399">
        <f t="shared" ref="J6754" si="21902">+D6747/4/1000</f>
        <v>3.4125000000000001</v>
      </c>
      <c r="K6754" s="400" t="s">
        <v>204</v>
      </c>
      <c r="L6754" s="399">
        <f t="shared" ref="L6754" si="21903">MAX(VLOOKUP(F6754,N$6:P$15,3,FALSE)/1000,2/3*D6749/1000)+F$16*F6754/1000</f>
        <v>0.156</v>
      </c>
      <c r="M6754" s="399" t="s">
        <v>176</v>
      </c>
      <c r="N6754" s="399">
        <f t="shared" si="21889"/>
        <v>3.5685000000000002</v>
      </c>
      <c r="O6754" s="399" t="s">
        <v>204</v>
      </c>
      <c r="P6754" s="389">
        <f t="shared" ref="P6754" si="21904">D6754-D6753</f>
        <v>0</v>
      </c>
      <c r="Q6754" s="399" t="s">
        <v>125</v>
      </c>
      <c r="R6754" s="399">
        <f t="shared" ref="R6754" si="21905">IF(P6754&gt;0,$F$18*F6754/1000,0)</f>
        <v>0</v>
      </c>
      <c r="S6754" s="399" t="s">
        <v>205</v>
      </c>
      <c r="T6754" s="399" t="s">
        <v>125</v>
      </c>
      <c r="U6754" s="401">
        <f t="shared" si="21892"/>
        <v>1.041885</v>
      </c>
      <c r="V6754" s="399"/>
      <c r="W6754" s="399"/>
      <c r="X6754" s="399" t="s">
        <v>125</v>
      </c>
      <c r="Y6754" s="389">
        <f t="shared" ref="Y6754" si="21906">D6751</f>
        <v>1</v>
      </c>
      <c r="Z6754" s="400" t="s">
        <v>176</v>
      </c>
      <c r="AA6754" s="402">
        <f t="shared" ref="AA6754" si="21907">IF(AA6755=0,(D6754*N6754+P6754*R6754)*U6754*Y6754,0)</f>
        <v>0</v>
      </c>
      <c r="AB6754" s="403"/>
    </row>
    <row r="6755" spans="1:28">
      <c r="A6755" s="384" t="str">
        <f t="shared" ref="A6755:B6755" si="21908">A6745</f>
        <v>Lantai Atap</v>
      </c>
      <c r="B6755" s="385">
        <f t="shared" si="21908"/>
        <v>18</v>
      </c>
      <c r="C6755" s="393"/>
      <c r="D6755" s="398">
        <f t="shared" si="21804"/>
        <v>3</v>
      </c>
      <c r="E6755" s="388" t="s">
        <v>16</v>
      </c>
      <c r="F6755" s="388">
        <f t="shared" si="21805"/>
        <v>13</v>
      </c>
      <c r="G6755" s="388"/>
      <c r="H6755" s="395"/>
      <c r="I6755" s="388"/>
      <c r="J6755" s="396"/>
      <c r="K6755" s="396"/>
      <c r="L6755" s="404" t="s">
        <v>207</v>
      </c>
      <c r="M6755" s="399" t="s">
        <v>176</v>
      </c>
      <c r="N6755" s="399">
        <f t="shared" ref="N6755" si="21909">IF(AND(D6752=D6753,D6752=D6754,D6753=D6754,F6752=F6753,F6752=F6754,F6753=F6754),SUM(N6752:N6754),0)</f>
        <v>13.962</v>
      </c>
      <c r="O6755" s="399" t="s">
        <v>204</v>
      </c>
      <c r="P6755" s="389">
        <f t="shared" ref="P6755" si="21910">IF(N6755&gt;12,ROUNDDOWN(N6755/12,0),0)</f>
        <v>1</v>
      </c>
      <c r="Q6755" s="399" t="s">
        <v>125</v>
      </c>
      <c r="R6755" s="399">
        <f t="shared" ref="R6755" si="21911">IF(P6755&gt;0,MAX(VLOOKUP(F6755,$D$6:$G$15,3,FALSE),600),0)/1000</f>
        <v>0.65</v>
      </c>
      <c r="S6755" s="396"/>
      <c r="T6755" s="396" t="s">
        <v>125</v>
      </c>
      <c r="U6755" s="401">
        <f t="shared" si="21809"/>
        <v>1.041885</v>
      </c>
      <c r="V6755" s="396" t="s">
        <v>125</v>
      </c>
      <c r="W6755" s="399">
        <f t="shared" ref="W6755" si="21912">D6755</f>
        <v>3</v>
      </c>
      <c r="X6755" s="399" t="s">
        <v>125</v>
      </c>
      <c r="Y6755" s="389">
        <f t="shared" si="21811"/>
        <v>1</v>
      </c>
      <c r="Z6755" s="400" t="s">
        <v>176</v>
      </c>
      <c r="AA6755" s="402">
        <f t="shared" ref="AA6755" si="21913">(N6755+P6755*R6755/1000)*U6755*W6755*Y6755</f>
        <v>43.642426785749997</v>
      </c>
      <c r="AB6755" s="390"/>
    </row>
    <row r="6756" spans="1:28">
      <c r="A6756" s="384"/>
      <c r="B6756" s="385"/>
      <c r="C6756" s="393"/>
      <c r="D6756" s="398"/>
      <c r="E6756" s="388"/>
      <c r="F6756" s="388"/>
      <c r="G6756" s="388"/>
      <c r="H6756" s="395"/>
      <c r="I6756" s="388"/>
      <c r="J6756" s="396"/>
      <c r="K6756" s="396"/>
      <c r="L6756" s="404"/>
      <c r="M6756" s="399"/>
      <c r="N6756" s="399"/>
      <c r="O6756" s="396"/>
      <c r="P6756" s="389"/>
      <c r="Q6756" s="396"/>
      <c r="R6756" s="396"/>
      <c r="S6756" s="396"/>
      <c r="T6756" s="396"/>
      <c r="U6756" s="401"/>
      <c r="V6756" s="396"/>
      <c r="W6756" s="399"/>
      <c r="X6756" s="396"/>
      <c r="Y6756" s="389"/>
      <c r="Z6756" s="396"/>
      <c r="AA6756" s="388"/>
      <c r="AB6756" s="390"/>
    </row>
    <row r="6757" spans="1:28">
      <c r="A6757" s="384" t="str">
        <f t="shared" ref="A6757:B6757" si="21914">A6745</f>
        <v>Lantai Atap</v>
      </c>
      <c r="B6757" s="385">
        <f t="shared" si="21914"/>
        <v>18</v>
      </c>
      <c r="C6757" s="393" t="s">
        <v>208</v>
      </c>
      <c r="D6757" s="398">
        <f>VLOOKUP(D6745,'Detail Balok'!$C$10:$AU$140,13,FALSE)</f>
        <v>0</v>
      </c>
      <c r="E6757" s="388" t="s">
        <v>16</v>
      </c>
      <c r="F6757" s="388">
        <f>VLOOKUP(D6745,'Detail Balok'!$C$10:$AU$140,15,FALSE)</f>
        <v>8</v>
      </c>
      <c r="G6757" s="388"/>
      <c r="H6757" s="395"/>
      <c r="I6757" s="388"/>
      <c r="J6757" s="399">
        <f t="shared" ref="J6757" si="21915">+D6747/1000</f>
        <v>13.65</v>
      </c>
      <c r="K6757" s="400" t="s">
        <v>204</v>
      </c>
      <c r="L6757" s="399">
        <f t="shared" ref="L6757" si="21916">2*$F$16*F6757/1000</f>
        <v>0.192</v>
      </c>
      <c r="M6757" s="399" t="s">
        <v>176</v>
      </c>
      <c r="N6757" s="399">
        <f t="shared" ref="N6757" si="21917">J6757+L6757</f>
        <v>13.842000000000001</v>
      </c>
      <c r="O6757" s="399" t="s">
        <v>204</v>
      </c>
      <c r="P6757" s="389">
        <f t="shared" ref="P6757" si="21918">IF(N6757&gt;12,ROUNDDOWN(N6757/12,0),0)</f>
        <v>1</v>
      </c>
      <c r="Q6757" s="399" t="s">
        <v>125</v>
      </c>
      <c r="R6757" s="399">
        <f t="shared" ref="R6757" si="21919">IF(P6757&gt;0,MAX(VLOOKUP(F6757,$D$6:$G$15,3,FALSE),600),0)/1000</f>
        <v>0.6</v>
      </c>
      <c r="S6757" s="399"/>
      <c r="T6757" s="399" t="s">
        <v>125</v>
      </c>
      <c r="U6757" s="401">
        <f t="shared" ref="U6757" si="21920">0.006165*F6757^2</f>
        <v>0.39456000000000002</v>
      </c>
      <c r="V6757" s="399" t="s">
        <v>125</v>
      </c>
      <c r="W6757" s="399">
        <f t="shared" ref="W6757" si="21921">+D6757</f>
        <v>0</v>
      </c>
      <c r="X6757" s="399" t="s">
        <v>125</v>
      </c>
      <c r="Y6757" s="389">
        <f t="shared" ref="Y6757" si="21922">D6751</f>
        <v>1</v>
      </c>
      <c r="Z6757" s="400" t="s">
        <v>176</v>
      </c>
      <c r="AA6757" s="402">
        <f t="shared" ref="AA6757" si="21923">(N6757+P6757*R6757/1000)*U6757*W6757*Y6757</f>
        <v>0</v>
      </c>
      <c r="AB6757" s="403"/>
    </row>
    <row r="6758" spans="1:28">
      <c r="A6758" s="384"/>
      <c r="B6758" s="385"/>
      <c r="C6758" s="393"/>
      <c r="D6758" s="398"/>
      <c r="E6758" s="388"/>
      <c r="F6758" s="388"/>
      <c r="G6758" s="388"/>
      <c r="H6758" s="395"/>
      <c r="I6758" s="388"/>
      <c r="J6758" s="399"/>
      <c r="K6758" s="400"/>
      <c r="L6758" s="399"/>
      <c r="M6758" s="399"/>
      <c r="N6758" s="399"/>
      <c r="O6758" s="399"/>
      <c r="P6758" s="389"/>
      <c r="Q6758" s="399"/>
      <c r="R6758" s="399"/>
      <c r="S6758" s="399"/>
      <c r="T6758" s="399"/>
      <c r="U6758" s="401"/>
      <c r="V6758" s="399"/>
      <c r="W6758" s="399"/>
      <c r="X6758" s="399"/>
      <c r="Y6758" s="389"/>
      <c r="Z6758" s="400"/>
      <c r="AA6758" s="402"/>
      <c r="AB6758" s="403"/>
    </row>
    <row r="6759" spans="1:28">
      <c r="A6759" s="384"/>
      <c r="B6759" s="385"/>
      <c r="C6759" s="393"/>
      <c r="D6759" s="398"/>
      <c r="E6759" s="388"/>
      <c r="F6759" s="388"/>
      <c r="G6759" s="388"/>
      <c r="H6759" s="395"/>
      <c r="I6759" s="388"/>
      <c r="J6759" s="396"/>
      <c r="K6759" s="396"/>
      <c r="L6759" s="396"/>
      <c r="M6759" s="396"/>
      <c r="N6759" s="396"/>
      <c r="O6759" s="396"/>
      <c r="P6759" s="389"/>
      <c r="Q6759" s="396"/>
      <c r="R6759" s="396"/>
      <c r="S6759" s="396"/>
      <c r="T6759" s="396"/>
      <c r="U6759" s="401"/>
      <c r="V6759" s="396"/>
      <c r="W6759" s="399"/>
      <c r="X6759" s="396"/>
      <c r="Y6759" s="389"/>
      <c r="Z6759" s="396"/>
      <c r="AA6759" s="388"/>
      <c r="AB6759" s="390"/>
    </row>
    <row r="6760" spans="1:28">
      <c r="A6760" s="384" t="str">
        <f t="shared" ref="A6760:B6760" si="21924">A6745</f>
        <v>Lantai Atap</v>
      </c>
      <c r="B6760" s="385">
        <f t="shared" si="21924"/>
        <v>18</v>
      </c>
      <c r="C6760" s="393" t="s">
        <v>209</v>
      </c>
      <c r="D6760" s="398">
        <f>VLOOKUP(D6745,'Detail Balok'!$C$10:$AU$140,22,FALSE)</f>
        <v>3</v>
      </c>
      <c r="E6760" s="388" t="s">
        <v>16</v>
      </c>
      <c r="F6760" s="388">
        <f>VLOOKUP(D6745,'Detail Balok'!$C$10:$AU$140,24,FALSE)</f>
        <v>13</v>
      </c>
      <c r="G6760" s="388"/>
      <c r="H6760" s="395"/>
      <c r="I6760" s="388" t="s">
        <v>203</v>
      </c>
      <c r="J6760" s="399">
        <f t="shared" si="21824"/>
        <v>3.4125000000000001</v>
      </c>
      <c r="K6760" s="400" t="s">
        <v>204</v>
      </c>
      <c r="L6760" s="399">
        <f t="shared" ref="L6760" si="21925">MAX(VLOOKUP(F6760,N$6:P$15,3,FALSE)/1000,2/3*D6750/1000)+F$16*F6760/1000</f>
        <v>0.156</v>
      </c>
      <c r="M6760" s="399" t="s">
        <v>176</v>
      </c>
      <c r="N6760" s="399">
        <f t="shared" ref="N6760:N6762" si="21926">J6760+L6760</f>
        <v>3.5685000000000002</v>
      </c>
      <c r="O6760" s="399" t="s">
        <v>204</v>
      </c>
      <c r="P6760" s="389">
        <f t="shared" ref="P6760" si="21927">D6760-D6761</f>
        <v>0</v>
      </c>
      <c r="Q6760" s="399" t="s">
        <v>125</v>
      </c>
      <c r="R6760" s="399">
        <f t="shared" ref="R6760" si="21928">IF(P6760&gt;0,$F$18*F6760/1000,0)</f>
        <v>0</v>
      </c>
      <c r="S6760" s="399" t="s">
        <v>205</v>
      </c>
      <c r="T6760" s="399" t="s">
        <v>125</v>
      </c>
      <c r="U6760" s="401">
        <f t="shared" ref="U6760:U6762" si="21929">0.006165*F6760^2</f>
        <v>1.041885</v>
      </c>
      <c r="V6760" s="399"/>
      <c r="W6760" s="399"/>
      <c r="X6760" s="399" t="s">
        <v>125</v>
      </c>
      <c r="Y6760" s="389">
        <f t="shared" ref="Y6760" si="21930">D6751</f>
        <v>1</v>
      </c>
      <c r="Z6760" s="400" t="s">
        <v>176</v>
      </c>
      <c r="AA6760" s="402">
        <f t="shared" ref="AA6760" si="21931">IF(AA6763=0,(D6760*N6760+P6760*R6760)*U6760*Y6760,0)</f>
        <v>0</v>
      </c>
      <c r="AB6760" s="403"/>
    </row>
    <row r="6761" spans="1:28">
      <c r="A6761" s="384" t="str">
        <f t="shared" ref="A6761:B6761" si="21932">A6745</f>
        <v>Lantai Atap</v>
      </c>
      <c r="B6761" s="385">
        <f t="shared" si="21932"/>
        <v>18</v>
      </c>
      <c r="C6761" s="393" t="s">
        <v>210</v>
      </c>
      <c r="D6761" s="398">
        <f>VLOOKUP(D6745,'Detail Balok'!$C$10:$AU$140,25,FALSE)</f>
        <v>3</v>
      </c>
      <c r="E6761" s="388" t="s">
        <v>16</v>
      </c>
      <c r="F6761" s="388">
        <f>VLOOKUP(D6745,'Detail Balok'!$C$10:$AU$140,27,FALSE)</f>
        <v>13</v>
      </c>
      <c r="G6761" s="388"/>
      <c r="H6761" s="395"/>
      <c r="I6761" s="388" t="s">
        <v>203</v>
      </c>
      <c r="J6761" s="399">
        <f t="shared" si="21824"/>
        <v>6.8250000000000002</v>
      </c>
      <c r="K6761" s="400" t="s">
        <v>204</v>
      </c>
      <c r="L6761" s="399"/>
      <c r="M6761" s="399" t="s">
        <v>176</v>
      </c>
      <c r="N6761" s="399">
        <f t="shared" si="21926"/>
        <v>6.8250000000000002</v>
      </c>
      <c r="O6761" s="399" t="s">
        <v>204</v>
      </c>
      <c r="P6761" s="389">
        <f t="shared" ref="P6761" si="21933">MAX(D6761-D6760,D6761-D6762)</f>
        <v>0</v>
      </c>
      <c r="Q6761" s="399" t="s">
        <v>125</v>
      </c>
      <c r="R6761" s="399">
        <f t="shared" ref="R6761" si="21934">IF(P6761&gt;0,2*(1-2*$F$19-1/2)*D6748/1000,0)</f>
        <v>0</v>
      </c>
      <c r="S6761" s="399" t="s">
        <v>205</v>
      </c>
      <c r="T6761" s="399" t="s">
        <v>125</v>
      </c>
      <c r="U6761" s="401">
        <f t="shared" si="21929"/>
        <v>1.041885</v>
      </c>
      <c r="V6761" s="399"/>
      <c r="W6761" s="399"/>
      <c r="X6761" s="399" t="s">
        <v>125</v>
      </c>
      <c r="Y6761" s="389">
        <f t="shared" ref="Y6761" si="21935">D6751</f>
        <v>1</v>
      </c>
      <c r="Z6761" s="400" t="s">
        <v>176</v>
      </c>
      <c r="AA6761" s="402">
        <f t="shared" ref="AA6761" si="21936">IF(AA6763=0,(D6761*N6761+P6761*R6761)*U6761*Y6761,0)</f>
        <v>0</v>
      </c>
      <c r="AB6761" s="403"/>
    </row>
    <row r="6762" spans="1:28">
      <c r="A6762" s="384" t="str">
        <f t="shared" ref="A6762:B6762" si="21937">A6745</f>
        <v>Lantai Atap</v>
      </c>
      <c r="B6762" s="385">
        <f t="shared" si="21937"/>
        <v>18</v>
      </c>
      <c r="C6762" s="393" t="s">
        <v>209</v>
      </c>
      <c r="D6762" s="398">
        <f>VLOOKUP(D6745,'Detail Balok'!$C$10:$AU$140,28,FALSE)</f>
        <v>3</v>
      </c>
      <c r="E6762" s="388" t="s">
        <v>16</v>
      </c>
      <c r="F6762" s="388">
        <f>VLOOKUP(D6745,'Detail Balok'!$C$10:$AU$140,30,FALSE)</f>
        <v>13</v>
      </c>
      <c r="G6762" s="388"/>
      <c r="H6762" s="395"/>
      <c r="I6762" s="388" t="s">
        <v>203</v>
      </c>
      <c r="J6762" s="399">
        <f t="shared" si="21824"/>
        <v>3.4125000000000001</v>
      </c>
      <c r="K6762" s="400" t="s">
        <v>204</v>
      </c>
      <c r="L6762" s="399">
        <f t="shared" ref="L6762" si="21938">MAX(VLOOKUP(F6762,N$6:P$15,3,FALSE)/1000,2/3*D6750/1000)+F$16*F6762/1000</f>
        <v>0.156</v>
      </c>
      <c r="M6762" s="399" t="s">
        <v>176</v>
      </c>
      <c r="N6762" s="399">
        <f t="shared" si="21926"/>
        <v>3.5685000000000002</v>
      </c>
      <c r="O6762" s="399" t="s">
        <v>204</v>
      </c>
      <c r="P6762" s="389">
        <f t="shared" ref="P6762" si="21939">D6762-D6761</f>
        <v>0</v>
      </c>
      <c r="Q6762" s="399" t="s">
        <v>125</v>
      </c>
      <c r="R6762" s="399">
        <f t="shared" ref="R6762" si="21940">IF(P6762&gt;0,$F$18*F6762/1000,0)</f>
        <v>0</v>
      </c>
      <c r="S6762" s="399" t="s">
        <v>205</v>
      </c>
      <c r="T6762" s="399" t="s">
        <v>125</v>
      </c>
      <c r="U6762" s="401">
        <f t="shared" si="21929"/>
        <v>1.041885</v>
      </c>
      <c r="V6762" s="399"/>
      <c r="W6762" s="399"/>
      <c r="X6762" s="399" t="s">
        <v>125</v>
      </c>
      <c r="Y6762" s="389">
        <f t="shared" ref="Y6762" si="21941">D6751</f>
        <v>1</v>
      </c>
      <c r="Z6762" s="400" t="s">
        <v>176</v>
      </c>
      <c r="AA6762" s="402">
        <f t="shared" ref="AA6762" si="21942">IF(AA6763=0,(D6762*N6762+P6762*R6762)*U6762*Y6762,0)</f>
        <v>0</v>
      </c>
      <c r="AB6762" s="403"/>
    </row>
    <row r="6763" spans="1:28">
      <c r="A6763" s="384" t="str">
        <f t="shared" ref="A6763:B6763" si="21943">A6745</f>
        <v>Lantai Atap</v>
      </c>
      <c r="B6763" s="385">
        <f t="shared" si="21943"/>
        <v>18</v>
      </c>
      <c r="C6763" s="393"/>
      <c r="D6763" s="398">
        <f t="shared" si="21844"/>
        <v>3</v>
      </c>
      <c r="E6763" s="388" t="s">
        <v>16</v>
      </c>
      <c r="F6763" s="388">
        <f t="shared" si="21845"/>
        <v>13</v>
      </c>
      <c r="G6763" s="388"/>
      <c r="H6763" s="395"/>
      <c r="I6763" s="388"/>
      <c r="J6763" s="396"/>
      <c r="K6763" s="396"/>
      <c r="L6763" s="404" t="s">
        <v>207</v>
      </c>
      <c r="M6763" s="399" t="s">
        <v>176</v>
      </c>
      <c r="N6763" s="399">
        <f t="shared" ref="N6763" si="21944">IF(AND(D6760=D6761,D6760=D6762,D6761=D6762,F6760=F6761,F6760=F6762,F6761=F6762),SUM(N6760:N6762),0)</f>
        <v>13.962</v>
      </c>
      <c r="O6763" s="399" t="s">
        <v>204</v>
      </c>
      <c r="P6763" s="389">
        <f t="shared" ref="P6763" si="21945">IF(N6763&gt;12,ROUNDDOWN(N6763/12,0),0)</f>
        <v>1</v>
      </c>
      <c r="Q6763" s="399" t="s">
        <v>125</v>
      </c>
      <c r="R6763" s="399">
        <f t="shared" ref="R6763" si="21946">IF(P6763&gt;0,MAX(VLOOKUP(F6763,$D$6:$G$15,3,FALSE),600),0)/1000</f>
        <v>0.65</v>
      </c>
      <c r="S6763" s="396"/>
      <c r="T6763" s="396" t="s">
        <v>125</v>
      </c>
      <c r="U6763" s="401">
        <f t="shared" si="21849"/>
        <v>1.041885</v>
      </c>
      <c r="V6763" s="396" t="s">
        <v>125</v>
      </c>
      <c r="W6763" s="399">
        <f t="shared" ref="W6763" si="21947">D6763</f>
        <v>3</v>
      </c>
      <c r="X6763" s="399" t="s">
        <v>125</v>
      </c>
      <c r="Y6763" s="389">
        <f t="shared" si="21851"/>
        <v>1</v>
      </c>
      <c r="Z6763" s="400" t="s">
        <v>176</v>
      </c>
      <c r="AA6763" s="402">
        <f t="shared" ref="AA6763" si="21948">(N6763+P6763*R6763/1000)*U6763*W6763*Y6763</f>
        <v>43.642426785749997</v>
      </c>
      <c r="AB6763" s="403"/>
    </row>
    <row r="6764" spans="1:28">
      <c r="A6764" s="384"/>
      <c r="B6764" s="385"/>
      <c r="C6764" s="393"/>
      <c r="D6764" s="394"/>
      <c r="E6764" s="388"/>
      <c r="F6764" s="388"/>
      <c r="G6764" s="388"/>
      <c r="H6764" s="395"/>
      <c r="I6764" s="388"/>
      <c r="J6764" s="399"/>
      <c r="K6764" s="396"/>
      <c r="L6764" s="396"/>
      <c r="M6764" s="396"/>
      <c r="N6764" s="396"/>
      <c r="O6764" s="396"/>
      <c r="P6764" s="389"/>
      <c r="Q6764" s="396"/>
      <c r="R6764" s="396"/>
      <c r="S6764" s="396"/>
      <c r="T6764" s="396"/>
      <c r="U6764" s="401"/>
      <c r="V6764" s="396"/>
      <c r="W6764" s="388"/>
      <c r="X6764" s="396"/>
      <c r="Y6764" s="389"/>
      <c r="Z6764" s="396"/>
      <c r="AA6764" s="388"/>
      <c r="AB6764" s="390"/>
    </row>
    <row r="6765" spans="1:28">
      <c r="A6765" s="384" t="str">
        <f t="shared" ref="A6765:B6765" si="21949">A6745</f>
        <v>Lantai Atap</v>
      </c>
      <c r="B6765" s="385">
        <f t="shared" si="21949"/>
        <v>18</v>
      </c>
      <c r="C6765" s="393" t="s">
        <v>211</v>
      </c>
      <c r="D6765" s="398">
        <f>VLOOKUP(D6745,'Detail Balok'!$C$10:$AU$140,31,FALSE)</f>
        <v>0</v>
      </c>
      <c r="E6765" s="388" t="s">
        <v>16</v>
      </c>
      <c r="F6765" s="388">
        <f>VLOOKUP(D6745,'Detail Balok'!$C$10:$AU$140,33,FALSE)</f>
        <v>10</v>
      </c>
      <c r="G6765" s="405" t="s">
        <v>157</v>
      </c>
      <c r="H6765" s="395">
        <f>VLOOKUP(D6745,'Detail Balok'!$C$10:$AU$140,35,FALSE)</f>
        <v>100</v>
      </c>
      <c r="I6765" s="388"/>
      <c r="J6765" s="400">
        <f t="shared" ref="J6765" si="21950">(IF(D6765=0,(2*(D6746+G6746))-(F$5*8),IF(D6765=3,(2*(D6746+G6746))-(F$5*8)+(G6746-2*F$5),IF(D6765=4,(2*(D6746+G6746))-(F$5*8)+2*(G6746-2*F$5)))))/1000</f>
        <v>0.88</v>
      </c>
      <c r="K6765" s="400" t="s">
        <v>204</v>
      </c>
      <c r="L6765" s="399">
        <f t="shared" ref="L6765:L6767" si="21951">IF(D6765=0,2*MAX(6*F6765,75),(D6765-1)*2*MAX(6*F6765,75))/1000</f>
        <v>0.15</v>
      </c>
      <c r="M6765" s="399" t="s">
        <v>176</v>
      </c>
      <c r="N6765" s="399">
        <f t="shared" ref="N6765:N6767" si="21952">J6765+L6765</f>
        <v>1.03</v>
      </c>
      <c r="O6765" s="399"/>
      <c r="P6765" s="389"/>
      <c r="Q6765" s="399"/>
      <c r="R6765" s="399"/>
      <c r="S6765" s="399"/>
      <c r="T6765" s="399" t="s">
        <v>125</v>
      </c>
      <c r="U6765" s="401">
        <f t="shared" ref="U6765:U6767" si="21953">0.006165*F6765^2</f>
        <v>0.61650000000000005</v>
      </c>
      <c r="V6765" s="399" t="s">
        <v>125</v>
      </c>
      <c r="W6765" s="399">
        <f t="shared" ref="W6765" si="21954">IF(D6748&gt;4*G6746,ROUND(MAX(D6748/4,2*G6746)/H6765,0)+1,ROUND(D6748/H6765,0)+1)</f>
        <v>35</v>
      </c>
      <c r="X6765" s="399" t="s">
        <v>125</v>
      </c>
      <c r="Y6765" s="389">
        <f t="shared" ref="Y6765" si="21955">D6751</f>
        <v>1</v>
      </c>
      <c r="Z6765" s="400" t="s">
        <v>176</v>
      </c>
      <c r="AA6765" s="402">
        <f t="shared" ref="AA6765:AA6767" si="21956">N6765*U6765*W6765*Y6765</f>
        <v>22.224825000000003</v>
      </c>
      <c r="AB6765" s="403"/>
    </row>
    <row r="6766" spans="1:28">
      <c r="A6766" s="384" t="str">
        <f t="shared" ref="A6766:B6766" si="21957">A6745</f>
        <v>Lantai Atap</v>
      </c>
      <c r="B6766" s="385">
        <f t="shared" si="21957"/>
        <v>18</v>
      </c>
      <c r="C6766" s="393" t="s">
        <v>212</v>
      </c>
      <c r="D6766" s="398">
        <f>VLOOKUP(D6745,'Detail Balok'!$C$10:$AU$140,36,FALSE)</f>
        <v>0</v>
      </c>
      <c r="E6766" s="388" t="s">
        <v>16</v>
      </c>
      <c r="F6766" s="388">
        <f>VLOOKUP(D6745,'Detail Balok'!$C$10:$AU$140,38,FALSE)</f>
        <v>10</v>
      </c>
      <c r="G6766" s="405" t="s">
        <v>157</v>
      </c>
      <c r="H6766" s="395">
        <f>VLOOKUP(D6745,'Detail Balok'!$C$10:$AU$140,40,FALSE)</f>
        <v>200</v>
      </c>
      <c r="I6766" s="388"/>
      <c r="J6766" s="400">
        <f t="shared" ref="J6766" si="21958">(IF(D6766=0,(2*(D6746+G6746))-(F$5*8),IF(D6766=3,(2*(D6746+G6746))-(F$5*8)+(G6746-2*F$5),IF(D6766=4,(2*(D6746+G6746))-(F$5*8)+2*(G6746-2*F$5)))))/1000</f>
        <v>0.88</v>
      </c>
      <c r="K6766" s="400" t="s">
        <v>204</v>
      </c>
      <c r="L6766" s="399">
        <f t="shared" si="21951"/>
        <v>0.15</v>
      </c>
      <c r="M6766" s="399" t="s">
        <v>176</v>
      </c>
      <c r="N6766" s="399">
        <f t="shared" si="21952"/>
        <v>1.03</v>
      </c>
      <c r="O6766" s="399"/>
      <c r="P6766" s="389"/>
      <c r="Q6766" s="399"/>
      <c r="R6766" s="399"/>
      <c r="S6766" s="399"/>
      <c r="T6766" s="399" t="s">
        <v>125</v>
      </c>
      <c r="U6766" s="401">
        <f t="shared" si="21953"/>
        <v>0.61650000000000005</v>
      </c>
      <c r="V6766" s="399" t="s">
        <v>125</v>
      </c>
      <c r="W6766" s="399">
        <f t="shared" ref="W6766" si="21959">IF(D6748-MAX(D6748/4,2*G6746)*2&gt;0,ROUND((D6748-MAX(D6748/4,2*G6746)*2)/H6766,0),0)</f>
        <v>34</v>
      </c>
      <c r="X6766" s="399" t="s">
        <v>125</v>
      </c>
      <c r="Y6766" s="389">
        <f t="shared" ref="Y6766" si="21960">D6751</f>
        <v>1</v>
      </c>
      <c r="Z6766" s="400" t="s">
        <v>176</v>
      </c>
      <c r="AA6766" s="402">
        <f t="shared" si="21956"/>
        <v>21.589830000000003</v>
      </c>
      <c r="AB6766" s="403"/>
    </row>
    <row r="6767" spans="1:28">
      <c r="A6767" s="384" t="str">
        <f t="shared" ref="A6767:B6767" si="21961">A6745</f>
        <v>Lantai Atap</v>
      </c>
      <c r="B6767" s="385">
        <f t="shared" si="21961"/>
        <v>18</v>
      </c>
      <c r="C6767" s="393" t="s">
        <v>211</v>
      </c>
      <c r="D6767" s="398">
        <f>VLOOKUP(D6745,'Detail Balok'!$C$10:$AU$140,41,FALSE)</f>
        <v>0</v>
      </c>
      <c r="E6767" s="388" t="s">
        <v>16</v>
      </c>
      <c r="F6767" s="388">
        <f>VLOOKUP(D6745,'Detail Balok'!$C$10:$AU$140,43,FALSE)</f>
        <v>10</v>
      </c>
      <c r="G6767" s="405" t="s">
        <v>157</v>
      </c>
      <c r="H6767" s="395">
        <f>VLOOKUP(D6745,'Detail Balok'!$C$10:$AU$140,45,FALSE)</f>
        <v>100</v>
      </c>
      <c r="I6767" s="388"/>
      <c r="J6767" s="400">
        <f t="shared" ref="J6767" si="21962">(IF(D6767=0,(2*(D6746+G6746))-(F$5*8),IF(D6767=3,(2*(D6746+G6746))-(F$5*8)+(G6746-2*F$5),IF(D6767=4,(2*(D6746+G6746))-(F$5*8)+2*(G6746-2*F$5)))))/1000</f>
        <v>0.88</v>
      </c>
      <c r="K6767" s="400" t="s">
        <v>204</v>
      </c>
      <c r="L6767" s="399">
        <f t="shared" si="21951"/>
        <v>0.15</v>
      </c>
      <c r="M6767" s="399" t="s">
        <v>176</v>
      </c>
      <c r="N6767" s="399">
        <f t="shared" si="21952"/>
        <v>1.03</v>
      </c>
      <c r="O6767" s="399"/>
      <c r="P6767" s="389"/>
      <c r="Q6767" s="399"/>
      <c r="R6767" s="399"/>
      <c r="S6767" s="399"/>
      <c r="T6767" s="399" t="s">
        <v>125</v>
      </c>
      <c r="U6767" s="401">
        <f t="shared" si="21953"/>
        <v>0.61650000000000005</v>
      </c>
      <c r="V6767" s="399" t="s">
        <v>125</v>
      </c>
      <c r="W6767" s="399">
        <f t="shared" ref="W6767" si="21963">IF(D6748&gt;4*G6746,ROUND(MAX(D6748/4,2*G6746)/H6767,0)+1,0)</f>
        <v>35</v>
      </c>
      <c r="X6767" s="399" t="s">
        <v>125</v>
      </c>
      <c r="Y6767" s="389">
        <f t="shared" ref="Y6767" si="21964">D6751</f>
        <v>1</v>
      </c>
      <c r="Z6767" s="400" t="s">
        <v>176</v>
      </c>
      <c r="AA6767" s="402">
        <f t="shared" si="21956"/>
        <v>22.224825000000003</v>
      </c>
      <c r="AB6767" s="403"/>
    </row>
    <row r="6768" spans="1:28">
      <c r="A6768" s="384"/>
      <c r="B6768" s="385"/>
      <c r="C6768" s="393"/>
      <c r="D6768" s="394"/>
      <c r="E6768" s="388"/>
      <c r="F6768" s="388"/>
      <c r="G6768" s="388"/>
      <c r="H6768" s="395"/>
      <c r="I6768" s="388"/>
      <c r="J6768" s="399"/>
      <c r="K6768" s="396"/>
      <c r="L6768" s="396"/>
      <c r="M6768" s="396"/>
      <c r="N6768" s="396"/>
      <c r="O6768" s="396"/>
      <c r="P6768" s="389"/>
      <c r="Q6768" s="396"/>
      <c r="R6768" s="396"/>
      <c r="S6768" s="396"/>
      <c r="T6768" s="396"/>
      <c r="U6768" s="401"/>
      <c r="V6768" s="396"/>
      <c r="W6768" s="388"/>
      <c r="X6768" s="396"/>
      <c r="Y6768" s="389"/>
      <c r="Z6768" s="396"/>
      <c r="AA6768" s="388"/>
      <c r="AB6768" s="390"/>
    </row>
    <row r="6769" spans="1:28">
      <c r="A6769" s="384" t="str">
        <f t="shared" ref="A6769:B6769" si="21965">A6745</f>
        <v>Lantai Atap</v>
      </c>
      <c r="B6769" s="385">
        <f t="shared" si="21965"/>
        <v>18</v>
      </c>
      <c r="C6769" s="393" t="s">
        <v>213</v>
      </c>
      <c r="D6769" s="398">
        <f>VLOOKUP(D6745,'Detail Balok'!$C$10:$BJ$140,46,FALSE)</f>
        <v>0</v>
      </c>
      <c r="E6769" s="388" t="s">
        <v>16</v>
      </c>
      <c r="F6769" s="388">
        <f>VLOOKUP(D6745,'Detail Balok'!$C$10:$BJ$140,48,FALSE)</f>
        <v>0</v>
      </c>
      <c r="G6769" s="405" t="s">
        <v>157</v>
      </c>
      <c r="H6769" s="395">
        <f>VLOOKUP(D6745,'Detail Balok'!$C$10:$BJ$140,50,FALSE)</f>
        <v>100</v>
      </c>
      <c r="I6769" s="388"/>
      <c r="J6769" s="399">
        <f t="shared" ref="J6769" si="21966">(D6746-2*F$5)/1000</f>
        <v>0.12</v>
      </c>
      <c r="K6769" s="400" t="s">
        <v>204</v>
      </c>
      <c r="L6769" s="399">
        <f t="shared" ref="L6769:L6771" si="21967">IF(D6769=0,2*MAX(6*F6769,75),(D6769-1)*2*MAX(6*F6769,75))/1000</f>
        <v>0.15</v>
      </c>
      <c r="M6769" s="399" t="s">
        <v>176</v>
      </c>
      <c r="N6769" s="399">
        <f t="shared" ref="N6769:N6771" si="21968">J6769+L6769</f>
        <v>0.27</v>
      </c>
      <c r="O6769" s="399"/>
      <c r="P6769" s="399"/>
      <c r="Q6769" s="399"/>
      <c r="R6769" s="399"/>
      <c r="S6769" s="399"/>
      <c r="T6769" s="399" t="s">
        <v>125</v>
      </c>
      <c r="U6769" s="401">
        <f t="shared" ref="U6769:U6771" si="21969">0.006165*F6769^2</f>
        <v>0</v>
      </c>
      <c r="V6769" s="399" t="s">
        <v>125</v>
      </c>
      <c r="W6769" s="399">
        <f t="shared" si="21874"/>
        <v>35</v>
      </c>
      <c r="X6769" s="399" t="s">
        <v>125</v>
      </c>
      <c r="Y6769" s="389">
        <f t="shared" ref="Y6769" si="21970">D6755</f>
        <v>3</v>
      </c>
      <c r="Z6769" s="400" t="s">
        <v>176</v>
      </c>
      <c r="AA6769" s="402">
        <f t="shared" ref="AA6769:AA6771" si="21971">N6769*U6769*W6769*Y6769</f>
        <v>0</v>
      </c>
      <c r="AB6769" s="403"/>
    </row>
    <row r="6770" spans="1:28">
      <c r="A6770" s="384" t="str">
        <f t="shared" ref="A6770:B6770" si="21972">A6745</f>
        <v>Lantai Atap</v>
      </c>
      <c r="B6770" s="385">
        <f t="shared" si="21972"/>
        <v>18</v>
      </c>
      <c r="C6770" s="393" t="s">
        <v>214</v>
      </c>
      <c r="D6770" s="398">
        <f>VLOOKUP(D6745,'Detail Balok'!$C$10:$BJ$140,51,FALSE)</f>
        <v>0</v>
      </c>
      <c r="E6770" s="388" t="s">
        <v>16</v>
      </c>
      <c r="F6770" s="388">
        <f>VLOOKUP(D6745,'Detail Balok'!$C$10:$BJ$140,53,FALSE)</f>
        <v>0</v>
      </c>
      <c r="G6770" s="405" t="s">
        <v>157</v>
      </c>
      <c r="H6770" s="395">
        <f>VLOOKUP(D6745,'Detail Balok'!$C$10:$BJ$140,55,FALSE)</f>
        <v>100</v>
      </c>
      <c r="I6770" s="388"/>
      <c r="J6770" s="399">
        <f t="shared" ref="J6770" si="21973">(D6746-2*F$5)/1000</f>
        <v>0.12</v>
      </c>
      <c r="K6770" s="400" t="s">
        <v>204</v>
      </c>
      <c r="L6770" s="399">
        <f t="shared" si="21967"/>
        <v>0.15</v>
      </c>
      <c r="M6770" s="399" t="s">
        <v>176</v>
      </c>
      <c r="N6770" s="399">
        <f t="shared" si="21968"/>
        <v>0.27</v>
      </c>
      <c r="O6770" s="399"/>
      <c r="P6770" s="399"/>
      <c r="Q6770" s="399"/>
      <c r="R6770" s="399"/>
      <c r="S6770" s="399"/>
      <c r="T6770" s="399" t="s">
        <v>125</v>
      </c>
      <c r="U6770" s="401">
        <f t="shared" si="21969"/>
        <v>0</v>
      </c>
      <c r="V6770" s="399" t="s">
        <v>125</v>
      </c>
      <c r="W6770" s="399">
        <f t="shared" si="21874"/>
        <v>34</v>
      </c>
      <c r="X6770" s="399" t="s">
        <v>125</v>
      </c>
      <c r="Y6770" s="389">
        <f t="shared" ref="Y6770" si="21974">D6755</f>
        <v>3</v>
      </c>
      <c r="Z6770" s="400" t="s">
        <v>176</v>
      </c>
      <c r="AA6770" s="402">
        <f t="shared" si="21971"/>
        <v>0</v>
      </c>
      <c r="AB6770" s="403"/>
    </row>
    <row r="6771" spans="1:28">
      <c r="A6771" s="384" t="str">
        <f t="shared" ref="A6771:B6771" si="21975">A6745</f>
        <v>Lantai Atap</v>
      </c>
      <c r="B6771" s="385">
        <f t="shared" si="21975"/>
        <v>18</v>
      </c>
      <c r="C6771" s="393" t="s">
        <v>213</v>
      </c>
      <c r="D6771" s="398">
        <f>VLOOKUP(D6745,'Detail Balok'!$C$10:$BJ$140,56,FALSE)</f>
        <v>0</v>
      </c>
      <c r="E6771" s="388" t="s">
        <v>16</v>
      </c>
      <c r="F6771" s="388">
        <f>VLOOKUP(D6745,'Detail Balok'!$C$10:$BJ$140,58,FALSE)</f>
        <v>0</v>
      </c>
      <c r="G6771" s="405" t="s">
        <v>157</v>
      </c>
      <c r="H6771" s="395">
        <f>VLOOKUP(D6745,'Detail Balok'!$C$10:$BJ$140,60,FALSE)</f>
        <v>100</v>
      </c>
      <c r="I6771" s="388"/>
      <c r="J6771" s="399">
        <f t="shared" ref="J6771" si="21976">(D6746-2*F$5)/1000</f>
        <v>0.12</v>
      </c>
      <c r="K6771" s="400" t="s">
        <v>204</v>
      </c>
      <c r="L6771" s="399">
        <f t="shared" si="21967"/>
        <v>0.15</v>
      </c>
      <c r="M6771" s="399" t="s">
        <v>176</v>
      </c>
      <c r="N6771" s="399">
        <f t="shared" si="21968"/>
        <v>0.27</v>
      </c>
      <c r="O6771" s="399"/>
      <c r="P6771" s="399"/>
      <c r="Q6771" s="399"/>
      <c r="R6771" s="399"/>
      <c r="S6771" s="399"/>
      <c r="T6771" s="399" t="s">
        <v>125</v>
      </c>
      <c r="U6771" s="401">
        <f t="shared" si="21969"/>
        <v>0</v>
      </c>
      <c r="V6771" s="399" t="s">
        <v>125</v>
      </c>
      <c r="W6771" s="399">
        <f t="shared" si="21874"/>
        <v>35</v>
      </c>
      <c r="X6771" s="399" t="s">
        <v>125</v>
      </c>
      <c r="Y6771" s="389">
        <f t="shared" ref="Y6771" si="21977">D6755</f>
        <v>3</v>
      </c>
      <c r="Z6771" s="400" t="s">
        <v>176</v>
      </c>
      <c r="AA6771" s="402">
        <f t="shared" si="21971"/>
        <v>0</v>
      </c>
      <c r="AB6771" s="403"/>
    </row>
    <row r="6772" spans="1:28">
      <c r="A6772" s="391"/>
      <c r="B6772" s="392"/>
      <c r="C6772" s="392"/>
      <c r="D6772" s="394"/>
      <c r="E6772" s="388"/>
      <c r="F6772" s="388"/>
      <c r="G6772" s="388"/>
      <c r="H6772" s="395"/>
      <c r="I6772" s="388"/>
      <c r="J6772" s="402"/>
      <c r="K6772" s="388"/>
      <c r="L6772" s="388"/>
      <c r="M6772" s="388"/>
      <c r="N6772" s="388"/>
      <c r="O6772" s="388"/>
      <c r="P6772" s="388"/>
      <c r="Q6772" s="388"/>
      <c r="R6772" s="388"/>
      <c r="S6772" s="388"/>
      <c r="T6772" s="388"/>
      <c r="U6772" s="388"/>
      <c r="V6772" s="388"/>
      <c r="W6772" s="388"/>
      <c r="X6772" s="388"/>
      <c r="Y6772" s="389"/>
      <c r="Z6772" s="388"/>
      <c r="AA6772" s="402"/>
      <c r="AB6772" s="403"/>
    </row>
    <row r="6773" spans="1:28" ht="15.75" thickBot="1">
      <c r="A6773" s="406"/>
      <c r="B6773" s="407"/>
      <c r="C6773" s="407"/>
      <c r="D6773" s="408"/>
      <c r="E6773" s="409"/>
      <c r="F6773" s="409"/>
      <c r="G6773" s="409"/>
      <c r="H6773" s="410"/>
      <c r="I6773" s="409"/>
      <c r="J6773" s="409"/>
      <c r="K6773" s="409"/>
      <c r="L6773" s="409"/>
      <c r="M6773" s="409"/>
      <c r="N6773" s="409"/>
      <c r="O6773" s="409"/>
      <c r="P6773" s="409"/>
      <c r="Q6773" s="409"/>
      <c r="R6773" s="409"/>
      <c r="S6773" s="409"/>
      <c r="T6773" s="409"/>
      <c r="U6773" s="409"/>
      <c r="V6773" s="409"/>
      <c r="W6773" s="409"/>
      <c r="X6773" s="409"/>
      <c r="Y6773" s="411"/>
      <c r="Z6773" s="409"/>
      <c r="AA6773" s="412"/>
      <c r="AB6773" s="413"/>
    </row>
    <row r="6774" spans="1:28">
      <c r="A6774" s="377"/>
      <c r="B6774" s="378"/>
      <c r="C6774" s="378"/>
      <c r="D6774" s="379"/>
      <c r="E6774" s="380"/>
      <c r="F6774" s="380"/>
      <c r="G6774" s="380"/>
      <c r="H6774" s="381"/>
      <c r="I6774" s="380"/>
      <c r="J6774" s="380"/>
      <c r="K6774" s="380"/>
      <c r="L6774" s="380"/>
      <c r="M6774" s="380"/>
      <c r="N6774" s="380"/>
      <c r="O6774" s="380"/>
      <c r="P6774" s="380"/>
      <c r="Q6774" s="380"/>
      <c r="R6774" s="380"/>
      <c r="S6774" s="380"/>
      <c r="T6774" s="380"/>
      <c r="U6774" s="380"/>
      <c r="V6774" s="380"/>
      <c r="W6774" s="380"/>
      <c r="X6774" s="380"/>
      <c r="Y6774" s="382"/>
      <c r="Z6774" s="380"/>
      <c r="AA6774" s="380"/>
      <c r="AB6774" s="383"/>
    </row>
    <row r="6775" spans="1:28">
      <c r="A6775" s="384" t="str">
        <f t="shared" si="21883"/>
        <v>Lantai Atap</v>
      </c>
      <c r="B6775" s="385">
        <f t="shared" si="21884"/>
        <v>19</v>
      </c>
      <c r="C6775" s="386" t="str">
        <f t="shared" ref="C6775" si="21978">CONCATENATE(A6775," no. ",B6775)</f>
        <v>Lantai Atap no. 19</v>
      </c>
      <c r="D6775" s="2562" t="str">
        <f>VLOOKUP(C6775,'Data Panjang Balok'!$C$9:$N$254,2,FALSE)</f>
        <v>B2A4A-1</v>
      </c>
      <c r="E6775" s="2576"/>
      <c r="F6775" s="2576"/>
      <c r="G6775" s="2576"/>
      <c r="H6775" s="2577"/>
      <c r="I6775" s="387"/>
      <c r="J6775" s="388"/>
      <c r="K6775" s="388"/>
      <c r="L6775" s="388"/>
      <c r="M6775" s="388"/>
      <c r="N6775" s="388"/>
      <c r="O6775" s="388"/>
      <c r="P6775" s="388"/>
      <c r="Q6775" s="388"/>
      <c r="R6775" s="388"/>
      <c r="S6775" s="388"/>
      <c r="T6775" s="388"/>
      <c r="U6775" s="388"/>
      <c r="V6775" s="388"/>
      <c r="W6775" s="388"/>
      <c r="X6775" s="388"/>
      <c r="Y6775" s="389"/>
      <c r="Z6775" s="388"/>
      <c r="AA6775" s="388"/>
      <c r="AB6775" s="390"/>
    </row>
    <row r="6776" spans="1:28">
      <c r="A6776" s="391"/>
      <c r="B6776" s="392"/>
      <c r="C6776" s="393" t="s">
        <v>118</v>
      </c>
      <c r="D6776" s="2578">
        <f>VLOOKUP(D6775,'Detail Balok'!$C$10:$AU$140,2,FALSE)</f>
        <v>250</v>
      </c>
      <c r="E6776" s="2579"/>
      <c r="F6776" s="388" t="s">
        <v>125</v>
      </c>
      <c r="G6776" s="2579">
        <f>VLOOKUP(D6775,'Detail Balok'!$C$10:$AU$140,3,FALSE)</f>
        <v>450</v>
      </c>
      <c r="H6776" s="2580"/>
      <c r="I6776" s="388"/>
      <c r="J6776" s="396"/>
      <c r="K6776" s="396"/>
      <c r="L6776" s="396"/>
      <c r="M6776" s="396"/>
      <c r="N6776" s="396"/>
      <c r="O6776" s="396"/>
      <c r="P6776" s="396"/>
      <c r="Q6776" s="396"/>
      <c r="R6776" s="396"/>
      <c r="S6776" s="396"/>
      <c r="T6776" s="396"/>
      <c r="U6776" s="388"/>
      <c r="V6776" s="396"/>
      <c r="W6776" s="388"/>
      <c r="X6776" s="396"/>
      <c r="Y6776" s="389"/>
      <c r="Z6776" s="396"/>
      <c r="AA6776" s="388"/>
      <c r="AB6776" s="390"/>
    </row>
    <row r="6777" spans="1:28">
      <c r="A6777" s="391"/>
      <c r="B6777" s="392"/>
      <c r="C6777" s="393" t="s">
        <v>198</v>
      </c>
      <c r="D6777" s="2562">
        <f>VLOOKUP(C6775,'Data Panjang Balok'!$C$9:$N$254,4,FALSE)</f>
        <v>4685</v>
      </c>
      <c r="E6777" s="2563"/>
      <c r="F6777" s="2563"/>
      <c r="G6777" s="2563"/>
      <c r="H6777" s="2564"/>
      <c r="I6777" s="397"/>
      <c r="J6777" s="396"/>
      <c r="K6777" s="396"/>
      <c r="L6777" s="396"/>
      <c r="M6777" s="396"/>
      <c r="N6777" s="396"/>
      <c r="O6777" s="396"/>
      <c r="P6777" s="396"/>
      <c r="Q6777" s="396"/>
      <c r="R6777" s="396"/>
      <c r="S6777" s="396"/>
      <c r="T6777" s="396"/>
      <c r="U6777" s="388"/>
      <c r="V6777" s="396"/>
      <c r="W6777" s="388"/>
      <c r="X6777" s="396"/>
      <c r="Y6777" s="389"/>
      <c r="Z6777" s="396"/>
      <c r="AA6777" s="388"/>
      <c r="AB6777" s="390"/>
    </row>
    <row r="6778" spans="1:28">
      <c r="A6778" s="391"/>
      <c r="B6778" s="392"/>
      <c r="C6778" s="393" t="s">
        <v>199</v>
      </c>
      <c r="D6778" s="2562">
        <f>VLOOKUP(C6775,'Data Panjang Balok'!$C$9:$N$254,7,FALSE)</f>
        <v>4685</v>
      </c>
      <c r="E6778" s="2563"/>
      <c r="F6778" s="2563"/>
      <c r="G6778" s="2563"/>
      <c r="H6778" s="2564"/>
      <c r="I6778" s="397"/>
      <c r="J6778" s="396"/>
      <c r="K6778" s="396"/>
      <c r="L6778" s="396"/>
      <c r="M6778" s="396"/>
      <c r="N6778" s="396"/>
      <c r="O6778" s="396"/>
      <c r="P6778" s="396"/>
      <c r="Q6778" s="396"/>
      <c r="R6778" s="396"/>
      <c r="S6778" s="396"/>
      <c r="T6778" s="396"/>
      <c r="U6778" s="388"/>
      <c r="V6778" s="396"/>
      <c r="W6778" s="388"/>
      <c r="X6778" s="396"/>
      <c r="Y6778" s="389"/>
      <c r="Z6778" s="396"/>
      <c r="AA6778" s="388"/>
      <c r="AB6778" s="390"/>
    </row>
    <row r="6779" spans="1:28">
      <c r="A6779" s="391"/>
      <c r="B6779" s="392"/>
      <c r="C6779" s="393" t="s">
        <v>200</v>
      </c>
      <c r="D6779" s="2562">
        <f>VLOOKUP(C6775,'Data Panjang Balok'!$C$9:$N$254,9,FALSE)</f>
        <v>0</v>
      </c>
      <c r="E6779" s="2563"/>
      <c r="F6779" s="2563"/>
      <c r="G6779" s="2563"/>
      <c r="H6779" s="2564"/>
      <c r="I6779" s="397"/>
      <c r="J6779" s="396"/>
      <c r="K6779" s="396"/>
      <c r="L6779" s="396"/>
      <c r="M6779" s="396"/>
      <c r="N6779" s="396"/>
      <c r="O6779" s="396"/>
      <c r="P6779" s="396"/>
      <c r="Q6779" s="396"/>
      <c r="R6779" s="396"/>
      <c r="S6779" s="396"/>
      <c r="T6779" s="396"/>
      <c r="U6779" s="388"/>
      <c r="V6779" s="396"/>
      <c r="W6779" s="388"/>
      <c r="X6779" s="396"/>
      <c r="Y6779" s="389"/>
      <c r="Z6779" s="396"/>
      <c r="AA6779" s="388"/>
      <c r="AB6779" s="390"/>
    </row>
    <row r="6780" spans="1:28">
      <c r="A6780" s="391"/>
      <c r="B6780" s="392"/>
      <c r="C6780" s="393" t="s">
        <v>201</v>
      </c>
      <c r="D6780" s="2562">
        <f>VLOOKUP(C6775,'Data Panjang Balok'!$C$9:$N$254,10,FALSE)</f>
        <v>0</v>
      </c>
      <c r="E6780" s="2563"/>
      <c r="F6780" s="2563"/>
      <c r="G6780" s="2563"/>
      <c r="H6780" s="2564"/>
      <c r="I6780" s="397"/>
      <c r="J6780" s="396"/>
      <c r="K6780" s="396"/>
      <c r="L6780" s="396"/>
      <c r="M6780" s="396"/>
      <c r="N6780" s="396"/>
      <c r="O6780" s="396"/>
      <c r="P6780" s="396"/>
      <c r="Q6780" s="396"/>
      <c r="R6780" s="396"/>
      <c r="S6780" s="396"/>
      <c r="T6780" s="396"/>
      <c r="U6780" s="388"/>
      <c r="V6780" s="396"/>
      <c r="W6780" s="388"/>
      <c r="X6780" s="396"/>
      <c r="Y6780" s="389"/>
      <c r="Z6780" s="396"/>
      <c r="AA6780" s="388"/>
      <c r="AB6780" s="390"/>
    </row>
    <row r="6781" spans="1:28">
      <c r="A6781" s="391"/>
      <c r="B6781" s="392"/>
      <c r="C6781" s="393" t="s">
        <v>48</v>
      </c>
      <c r="D6781" s="2562">
        <f>VLOOKUP(C6775,'Data Panjang Balok'!$C$9:$N$254,3,FALSE)</f>
        <v>1</v>
      </c>
      <c r="E6781" s="2563"/>
      <c r="F6781" s="2563"/>
      <c r="G6781" s="2563"/>
      <c r="H6781" s="2564"/>
      <c r="I6781" s="397"/>
      <c r="J6781" s="396"/>
      <c r="K6781" s="396"/>
      <c r="L6781" s="396"/>
      <c r="M6781" s="396"/>
      <c r="N6781" s="396"/>
      <c r="O6781" s="396"/>
      <c r="P6781" s="396"/>
      <c r="Q6781" s="396"/>
      <c r="R6781" s="396"/>
      <c r="S6781" s="396"/>
      <c r="T6781" s="396"/>
      <c r="U6781" s="388"/>
      <c r="V6781" s="396"/>
      <c r="W6781" s="388"/>
      <c r="X6781" s="396"/>
      <c r="Y6781" s="389"/>
      <c r="Z6781" s="396"/>
      <c r="AA6781" s="388"/>
      <c r="AB6781" s="390"/>
    </row>
    <row r="6782" spans="1:28">
      <c r="A6782" s="384" t="str">
        <f t="shared" ref="A6782:B6782" si="21979">A6775</f>
        <v>Lantai Atap</v>
      </c>
      <c r="B6782" s="385">
        <f t="shared" si="21979"/>
        <v>19</v>
      </c>
      <c r="C6782" s="393" t="s">
        <v>202</v>
      </c>
      <c r="D6782" s="398">
        <f>VLOOKUP(D6775,'Detail Balok'!$C$10:$AU$140,4,FALSE)</f>
        <v>3</v>
      </c>
      <c r="E6782" s="388" t="s">
        <v>16</v>
      </c>
      <c r="F6782" s="388">
        <f>VLOOKUP(D6775,'Detail Balok'!$C$10:$AU$140,6,FALSE)</f>
        <v>13</v>
      </c>
      <c r="G6782" s="388"/>
      <c r="H6782" s="395"/>
      <c r="I6782" s="388" t="s">
        <v>203</v>
      </c>
      <c r="J6782" s="399">
        <f t="shared" ref="J6782" si="21980">+D6777/4/1000</f>
        <v>1.1712499999999999</v>
      </c>
      <c r="K6782" s="400" t="s">
        <v>204</v>
      </c>
      <c r="L6782" s="399">
        <f t="shared" ref="L6782" si="21981">MAX(VLOOKUP(F6782,N$6:P$15,3,FALSE)/1000,2/3*D6779/1000)+F$16*F6782/1000</f>
        <v>0.156</v>
      </c>
      <c r="M6782" s="399" t="s">
        <v>176</v>
      </c>
      <c r="N6782" s="399">
        <f t="shared" ref="N6782:N6784" si="21982">J6782+L6782</f>
        <v>1.3272499999999998</v>
      </c>
      <c r="O6782" s="399" t="s">
        <v>204</v>
      </c>
      <c r="P6782" s="389">
        <f t="shared" ref="P6782" si="21983">D6782-D6783</f>
        <v>0</v>
      </c>
      <c r="Q6782" s="399" t="s">
        <v>125</v>
      </c>
      <c r="R6782" s="399">
        <f t="shared" ref="R6782" si="21984">IF(P6782&gt;0,$F$18*F6782/1000,0)</f>
        <v>0</v>
      </c>
      <c r="S6782" s="399" t="s">
        <v>205</v>
      </c>
      <c r="T6782" s="399" t="s">
        <v>125</v>
      </c>
      <c r="U6782" s="401">
        <f t="shared" ref="U6782:U6784" si="21985">0.006165*F6782^2</f>
        <v>1.041885</v>
      </c>
      <c r="V6782" s="399"/>
      <c r="W6782" s="399"/>
      <c r="X6782" s="399" t="s">
        <v>125</v>
      </c>
      <c r="Y6782" s="389">
        <f t="shared" ref="Y6782" si="21986">D6781</f>
        <v>1</v>
      </c>
      <c r="Z6782" s="400" t="s">
        <v>176</v>
      </c>
      <c r="AA6782" s="402">
        <f t="shared" ref="AA6782" si="21987">IF(AA6785=0,(D6782*N6782+P6782*R6782)*U6782*Y6782,0)</f>
        <v>0</v>
      </c>
      <c r="AB6782" s="403"/>
    </row>
    <row r="6783" spans="1:28">
      <c r="A6783" s="384" t="str">
        <f t="shared" ref="A6783:B6783" si="21988">A6775</f>
        <v>Lantai Atap</v>
      </c>
      <c r="B6783" s="385">
        <f t="shared" si="21988"/>
        <v>19</v>
      </c>
      <c r="C6783" s="393" t="s">
        <v>206</v>
      </c>
      <c r="D6783" s="398">
        <f>VLOOKUP(D6775,'Detail Balok'!$C$10:$AU$140,7,FALSE)</f>
        <v>3</v>
      </c>
      <c r="E6783" s="388" t="s">
        <v>16</v>
      </c>
      <c r="F6783" s="388">
        <f>VLOOKUP(D6775,'Detail Balok'!$C$10:$AU$140,9,FALSE)</f>
        <v>13</v>
      </c>
      <c r="G6783" s="388"/>
      <c r="H6783" s="395"/>
      <c r="I6783" s="388" t="s">
        <v>203</v>
      </c>
      <c r="J6783" s="399">
        <f t="shared" ref="J6783" si="21989">+D6777/2/1000</f>
        <v>2.3424999999999998</v>
      </c>
      <c r="K6783" s="400" t="s">
        <v>204</v>
      </c>
      <c r="L6783" s="399"/>
      <c r="M6783" s="399" t="s">
        <v>176</v>
      </c>
      <c r="N6783" s="399">
        <f t="shared" si="21982"/>
        <v>2.3424999999999998</v>
      </c>
      <c r="O6783" s="399" t="s">
        <v>204</v>
      </c>
      <c r="P6783" s="389">
        <f t="shared" ref="P6783" si="21990">MAX(D6783-D6782,D6783-D6784)</f>
        <v>0</v>
      </c>
      <c r="Q6783" s="399" t="s">
        <v>125</v>
      </c>
      <c r="R6783" s="399">
        <f t="shared" ref="R6783" si="21991">IF(P6783&gt;0,2*(1-2*$F$19-1/2)*D6778/1000,0)</f>
        <v>0</v>
      </c>
      <c r="S6783" s="399" t="s">
        <v>205</v>
      </c>
      <c r="T6783" s="399" t="s">
        <v>125</v>
      </c>
      <c r="U6783" s="401">
        <f t="shared" si="21985"/>
        <v>1.041885</v>
      </c>
      <c r="V6783" s="399"/>
      <c r="W6783" s="399"/>
      <c r="X6783" s="399" t="s">
        <v>125</v>
      </c>
      <c r="Y6783" s="389">
        <f t="shared" ref="Y6783" si="21992">D6781</f>
        <v>1</v>
      </c>
      <c r="Z6783" s="400" t="s">
        <v>176</v>
      </c>
      <c r="AA6783" s="402">
        <f t="shared" ref="AA6783" si="21993">IF(AA6785=0,(D6783*N6783+P6783*R6783)*U6783*Y6783,0)</f>
        <v>0</v>
      </c>
      <c r="AB6783" s="403"/>
    </row>
    <row r="6784" spans="1:28">
      <c r="A6784" s="384" t="str">
        <f t="shared" ref="A6784:B6784" si="21994">A6775</f>
        <v>Lantai Atap</v>
      </c>
      <c r="B6784" s="385">
        <f t="shared" si="21994"/>
        <v>19</v>
      </c>
      <c r="C6784" s="393" t="s">
        <v>202</v>
      </c>
      <c r="D6784" s="398">
        <f>VLOOKUP(D6775,'Detail Balok'!$C$10:$AU$140,10,FALSE)</f>
        <v>3</v>
      </c>
      <c r="E6784" s="388" t="s">
        <v>16</v>
      </c>
      <c r="F6784" s="388">
        <f>VLOOKUP(D6775,'Detail Balok'!$C$10:$AU$140,12,FALSE)</f>
        <v>13</v>
      </c>
      <c r="G6784" s="388"/>
      <c r="H6784" s="395"/>
      <c r="I6784" s="388" t="s">
        <v>203</v>
      </c>
      <c r="J6784" s="399">
        <f t="shared" ref="J6784" si="21995">+D6777/4/1000</f>
        <v>1.1712499999999999</v>
      </c>
      <c r="K6784" s="400" t="s">
        <v>204</v>
      </c>
      <c r="L6784" s="399">
        <f t="shared" ref="L6784" si="21996">MAX(VLOOKUP(F6784,N$6:P$15,3,FALSE)/1000,2/3*D6779/1000)+F$16*F6784/1000</f>
        <v>0.156</v>
      </c>
      <c r="M6784" s="399" t="s">
        <v>176</v>
      </c>
      <c r="N6784" s="399">
        <f t="shared" si="21982"/>
        <v>1.3272499999999998</v>
      </c>
      <c r="O6784" s="399" t="s">
        <v>204</v>
      </c>
      <c r="P6784" s="389">
        <f t="shared" ref="P6784" si="21997">D6784-D6783</f>
        <v>0</v>
      </c>
      <c r="Q6784" s="399" t="s">
        <v>125</v>
      </c>
      <c r="R6784" s="399">
        <f t="shared" ref="R6784" si="21998">IF(P6784&gt;0,$F$18*F6784/1000,0)</f>
        <v>0</v>
      </c>
      <c r="S6784" s="399" t="s">
        <v>205</v>
      </c>
      <c r="T6784" s="399" t="s">
        <v>125</v>
      </c>
      <c r="U6784" s="401">
        <f t="shared" si="21985"/>
        <v>1.041885</v>
      </c>
      <c r="V6784" s="399"/>
      <c r="W6784" s="399"/>
      <c r="X6784" s="399" t="s">
        <v>125</v>
      </c>
      <c r="Y6784" s="389">
        <f t="shared" ref="Y6784" si="21999">D6781</f>
        <v>1</v>
      </c>
      <c r="Z6784" s="400" t="s">
        <v>176</v>
      </c>
      <c r="AA6784" s="402">
        <f t="shared" ref="AA6784" si="22000">IF(AA6785=0,(D6784*N6784+P6784*R6784)*U6784*Y6784,0)</f>
        <v>0</v>
      </c>
      <c r="AB6784" s="403"/>
    </row>
    <row r="6785" spans="1:28">
      <c r="A6785" s="384" t="str">
        <f t="shared" ref="A6785:B6785" si="22001">A6775</f>
        <v>Lantai Atap</v>
      </c>
      <c r="B6785" s="385">
        <f t="shared" si="22001"/>
        <v>19</v>
      </c>
      <c r="C6785" s="393"/>
      <c r="D6785" s="398">
        <f t="shared" si="21804"/>
        <v>3</v>
      </c>
      <c r="E6785" s="388" t="s">
        <v>16</v>
      </c>
      <c r="F6785" s="388">
        <f t="shared" si="21805"/>
        <v>13</v>
      </c>
      <c r="G6785" s="388"/>
      <c r="H6785" s="395"/>
      <c r="I6785" s="388"/>
      <c r="J6785" s="396"/>
      <c r="K6785" s="396"/>
      <c r="L6785" s="404" t="s">
        <v>207</v>
      </c>
      <c r="M6785" s="399" t="s">
        <v>176</v>
      </c>
      <c r="N6785" s="399">
        <f t="shared" ref="N6785" si="22002">IF(AND(D6782=D6783,D6782=D6784,D6783=D6784,F6782=F6783,F6782=F6784,F6783=F6784),SUM(N6782:N6784),0)</f>
        <v>4.9969999999999999</v>
      </c>
      <c r="O6785" s="399" t="s">
        <v>204</v>
      </c>
      <c r="P6785" s="389">
        <f t="shared" ref="P6785" si="22003">IF(N6785&gt;12,ROUNDDOWN(N6785/12,0),0)</f>
        <v>0</v>
      </c>
      <c r="Q6785" s="399" t="s">
        <v>125</v>
      </c>
      <c r="R6785" s="399">
        <f t="shared" ref="R6785" si="22004">IF(P6785&gt;0,MAX(VLOOKUP(F6785,$D$6:$G$15,3,FALSE),600),0)/1000</f>
        <v>0</v>
      </c>
      <c r="S6785" s="396"/>
      <c r="T6785" s="396" t="s">
        <v>125</v>
      </c>
      <c r="U6785" s="401">
        <f t="shared" si="21809"/>
        <v>1.041885</v>
      </c>
      <c r="V6785" s="396" t="s">
        <v>125</v>
      </c>
      <c r="W6785" s="399">
        <f t="shared" ref="W6785" si="22005">D6785</f>
        <v>3</v>
      </c>
      <c r="X6785" s="399" t="s">
        <v>125</v>
      </c>
      <c r="Y6785" s="389">
        <f t="shared" si="21811"/>
        <v>1</v>
      </c>
      <c r="Z6785" s="400" t="s">
        <v>176</v>
      </c>
      <c r="AA6785" s="402">
        <f t="shared" ref="AA6785" si="22006">(N6785+P6785*R6785/1000)*U6785*W6785*Y6785</f>
        <v>15.618898034999999</v>
      </c>
      <c r="AB6785" s="390"/>
    </row>
    <row r="6786" spans="1:28">
      <c r="A6786" s="384"/>
      <c r="B6786" s="385"/>
      <c r="C6786" s="393"/>
      <c r="D6786" s="398"/>
      <c r="E6786" s="388"/>
      <c r="F6786" s="388"/>
      <c r="G6786" s="388"/>
      <c r="H6786" s="395"/>
      <c r="I6786" s="388"/>
      <c r="J6786" s="396"/>
      <c r="K6786" s="396"/>
      <c r="L6786" s="404"/>
      <c r="M6786" s="399"/>
      <c r="N6786" s="399"/>
      <c r="O6786" s="396"/>
      <c r="P6786" s="389"/>
      <c r="Q6786" s="396"/>
      <c r="R6786" s="396"/>
      <c r="S6786" s="396"/>
      <c r="T6786" s="396"/>
      <c r="U6786" s="401"/>
      <c r="V6786" s="396"/>
      <c r="W6786" s="399"/>
      <c r="X6786" s="396"/>
      <c r="Y6786" s="389"/>
      <c r="Z6786" s="396"/>
      <c r="AA6786" s="388"/>
      <c r="AB6786" s="390"/>
    </row>
    <row r="6787" spans="1:28">
      <c r="A6787" s="384" t="str">
        <f t="shared" ref="A6787:B6787" si="22007">A6775</f>
        <v>Lantai Atap</v>
      </c>
      <c r="B6787" s="385">
        <f t="shared" si="22007"/>
        <v>19</v>
      </c>
      <c r="C6787" s="393" t="s">
        <v>208</v>
      </c>
      <c r="D6787" s="398">
        <f>VLOOKUP(D6775,'Detail Balok'!$C$10:$AU$140,13,FALSE)</f>
        <v>0</v>
      </c>
      <c r="E6787" s="388" t="s">
        <v>16</v>
      </c>
      <c r="F6787" s="388">
        <f>VLOOKUP(D6775,'Detail Balok'!$C$10:$AU$140,15,FALSE)</f>
        <v>8</v>
      </c>
      <c r="G6787" s="388"/>
      <c r="H6787" s="395"/>
      <c r="I6787" s="388"/>
      <c r="J6787" s="399">
        <f t="shared" ref="J6787" si="22008">+D6777/1000</f>
        <v>4.6849999999999996</v>
      </c>
      <c r="K6787" s="400" t="s">
        <v>204</v>
      </c>
      <c r="L6787" s="399">
        <f t="shared" ref="L6787" si="22009">2*$F$16*F6787/1000</f>
        <v>0.192</v>
      </c>
      <c r="M6787" s="399" t="s">
        <v>176</v>
      </c>
      <c r="N6787" s="399">
        <f t="shared" ref="N6787" si="22010">J6787+L6787</f>
        <v>4.8769999999999998</v>
      </c>
      <c r="O6787" s="399" t="s">
        <v>204</v>
      </c>
      <c r="P6787" s="389">
        <f t="shared" ref="P6787" si="22011">IF(N6787&gt;12,ROUNDDOWN(N6787/12,0),0)</f>
        <v>0</v>
      </c>
      <c r="Q6787" s="399" t="s">
        <v>125</v>
      </c>
      <c r="R6787" s="399">
        <f t="shared" ref="R6787" si="22012">IF(P6787&gt;0,MAX(VLOOKUP(F6787,$D$6:$G$15,3,FALSE),600),0)/1000</f>
        <v>0</v>
      </c>
      <c r="S6787" s="399"/>
      <c r="T6787" s="399" t="s">
        <v>125</v>
      </c>
      <c r="U6787" s="401">
        <f t="shared" ref="U6787" si="22013">0.006165*F6787^2</f>
        <v>0.39456000000000002</v>
      </c>
      <c r="V6787" s="399" t="s">
        <v>125</v>
      </c>
      <c r="W6787" s="399">
        <f t="shared" ref="W6787" si="22014">+D6787</f>
        <v>0</v>
      </c>
      <c r="X6787" s="399" t="s">
        <v>125</v>
      </c>
      <c r="Y6787" s="389">
        <f t="shared" ref="Y6787" si="22015">D6781</f>
        <v>1</v>
      </c>
      <c r="Z6787" s="400" t="s">
        <v>176</v>
      </c>
      <c r="AA6787" s="402">
        <f t="shared" ref="AA6787" si="22016">(N6787+P6787*R6787/1000)*U6787*W6787*Y6787</f>
        <v>0</v>
      </c>
      <c r="AB6787" s="403"/>
    </row>
    <row r="6788" spans="1:28">
      <c r="A6788" s="384"/>
      <c r="B6788" s="385"/>
      <c r="C6788" s="393"/>
      <c r="D6788" s="398"/>
      <c r="E6788" s="388"/>
      <c r="F6788" s="388"/>
      <c r="G6788" s="388"/>
      <c r="H6788" s="395"/>
      <c r="I6788" s="388"/>
      <c r="J6788" s="399"/>
      <c r="K6788" s="400"/>
      <c r="L6788" s="399"/>
      <c r="M6788" s="399"/>
      <c r="N6788" s="399"/>
      <c r="O6788" s="399"/>
      <c r="P6788" s="389"/>
      <c r="Q6788" s="399"/>
      <c r="R6788" s="399"/>
      <c r="S6788" s="399"/>
      <c r="T6788" s="399"/>
      <c r="U6788" s="401"/>
      <c r="V6788" s="399"/>
      <c r="W6788" s="399"/>
      <c r="X6788" s="399"/>
      <c r="Y6788" s="389"/>
      <c r="Z6788" s="400"/>
      <c r="AA6788" s="402"/>
      <c r="AB6788" s="403"/>
    </row>
    <row r="6789" spans="1:28">
      <c r="A6789" s="384"/>
      <c r="B6789" s="385"/>
      <c r="C6789" s="393"/>
      <c r="D6789" s="398"/>
      <c r="E6789" s="388"/>
      <c r="F6789" s="388"/>
      <c r="G6789" s="388"/>
      <c r="H6789" s="395"/>
      <c r="I6789" s="388"/>
      <c r="J6789" s="396"/>
      <c r="K6789" s="396"/>
      <c r="L6789" s="396"/>
      <c r="M6789" s="396"/>
      <c r="N6789" s="396"/>
      <c r="O6789" s="396"/>
      <c r="P6789" s="389"/>
      <c r="Q6789" s="396"/>
      <c r="R6789" s="396"/>
      <c r="S6789" s="396"/>
      <c r="T6789" s="396"/>
      <c r="U6789" s="401"/>
      <c r="V6789" s="396"/>
      <c r="W6789" s="399"/>
      <c r="X6789" s="396"/>
      <c r="Y6789" s="389"/>
      <c r="Z6789" s="396"/>
      <c r="AA6789" s="388"/>
      <c r="AB6789" s="390"/>
    </row>
    <row r="6790" spans="1:28">
      <c r="A6790" s="384" t="str">
        <f t="shared" ref="A6790:B6790" si="22017">A6775</f>
        <v>Lantai Atap</v>
      </c>
      <c r="B6790" s="385">
        <f t="shared" si="22017"/>
        <v>19</v>
      </c>
      <c r="C6790" s="393" t="s">
        <v>209</v>
      </c>
      <c r="D6790" s="398">
        <f>VLOOKUP(D6775,'Detail Balok'!$C$10:$AU$140,22,FALSE)</f>
        <v>3</v>
      </c>
      <c r="E6790" s="388" t="s">
        <v>16</v>
      </c>
      <c r="F6790" s="388">
        <f>VLOOKUP(D6775,'Detail Balok'!$C$10:$AU$140,24,FALSE)</f>
        <v>13</v>
      </c>
      <c r="G6790" s="388"/>
      <c r="H6790" s="395"/>
      <c r="I6790" s="388" t="s">
        <v>203</v>
      </c>
      <c r="J6790" s="399">
        <f t="shared" si="21824"/>
        <v>1.1712499999999999</v>
      </c>
      <c r="K6790" s="400" t="s">
        <v>204</v>
      </c>
      <c r="L6790" s="399">
        <f t="shared" ref="L6790" si="22018">MAX(VLOOKUP(F6790,N$6:P$15,3,FALSE)/1000,2/3*D6780/1000)+F$16*F6790/1000</f>
        <v>0.156</v>
      </c>
      <c r="M6790" s="399" t="s">
        <v>176</v>
      </c>
      <c r="N6790" s="399">
        <f t="shared" ref="N6790:N6792" si="22019">J6790+L6790</f>
        <v>1.3272499999999998</v>
      </c>
      <c r="O6790" s="399" t="s">
        <v>204</v>
      </c>
      <c r="P6790" s="389">
        <f t="shared" ref="P6790" si="22020">D6790-D6791</f>
        <v>0</v>
      </c>
      <c r="Q6790" s="399" t="s">
        <v>125</v>
      </c>
      <c r="R6790" s="399">
        <f t="shared" ref="R6790" si="22021">IF(P6790&gt;0,$F$18*F6790/1000,0)</f>
        <v>0</v>
      </c>
      <c r="S6790" s="399" t="s">
        <v>205</v>
      </c>
      <c r="T6790" s="399" t="s">
        <v>125</v>
      </c>
      <c r="U6790" s="401">
        <f t="shared" ref="U6790:U6792" si="22022">0.006165*F6790^2</f>
        <v>1.041885</v>
      </c>
      <c r="V6790" s="399"/>
      <c r="W6790" s="399"/>
      <c r="X6790" s="399" t="s">
        <v>125</v>
      </c>
      <c r="Y6790" s="389">
        <f t="shared" ref="Y6790" si="22023">D6781</f>
        <v>1</v>
      </c>
      <c r="Z6790" s="400" t="s">
        <v>176</v>
      </c>
      <c r="AA6790" s="402">
        <f t="shared" ref="AA6790" si="22024">IF(AA6793=0,(D6790*N6790+P6790*R6790)*U6790*Y6790,0)</f>
        <v>0</v>
      </c>
      <c r="AB6790" s="403"/>
    </row>
    <row r="6791" spans="1:28">
      <c r="A6791" s="384" t="str">
        <f t="shared" ref="A6791:B6791" si="22025">A6775</f>
        <v>Lantai Atap</v>
      </c>
      <c r="B6791" s="385">
        <f t="shared" si="22025"/>
        <v>19</v>
      </c>
      <c r="C6791" s="393" t="s">
        <v>210</v>
      </c>
      <c r="D6791" s="398">
        <f>VLOOKUP(D6775,'Detail Balok'!$C$10:$AU$140,25,FALSE)</f>
        <v>3</v>
      </c>
      <c r="E6791" s="388" t="s">
        <v>16</v>
      </c>
      <c r="F6791" s="388">
        <f>VLOOKUP(D6775,'Detail Balok'!$C$10:$AU$140,27,FALSE)</f>
        <v>13</v>
      </c>
      <c r="G6791" s="388"/>
      <c r="H6791" s="395"/>
      <c r="I6791" s="388" t="s">
        <v>203</v>
      </c>
      <c r="J6791" s="399">
        <f t="shared" si="21824"/>
        <v>2.3424999999999998</v>
      </c>
      <c r="K6791" s="400" t="s">
        <v>204</v>
      </c>
      <c r="L6791" s="399"/>
      <c r="M6791" s="399" t="s">
        <v>176</v>
      </c>
      <c r="N6791" s="399">
        <f t="shared" si="22019"/>
        <v>2.3424999999999998</v>
      </c>
      <c r="O6791" s="399" t="s">
        <v>204</v>
      </c>
      <c r="P6791" s="389">
        <f t="shared" ref="P6791" si="22026">MAX(D6791-D6790,D6791-D6792)</f>
        <v>0</v>
      </c>
      <c r="Q6791" s="399" t="s">
        <v>125</v>
      </c>
      <c r="R6791" s="399">
        <f t="shared" ref="R6791" si="22027">IF(P6791&gt;0,2*(1-2*$F$19-1/2)*D6778/1000,0)</f>
        <v>0</v>
      </c>
      <c r="S6791" s="399" t="s">
        <v>205</v>
      </c>
      <c r="T6791" s="399" t="s">
        <v>125</v>
      </c>
      <c r="U6791" s="401">
        <f t="shared" si="22022"/>
        <v>1.041885</v>
      </c>
      <c r="V6791" s="399"/>
      <c r="W6791" s="399"/>
      <c r="X6791" s="399" t="s">
        <v>125</v>
      </c>
      <c r="Y6791" s="389">
        <f t="shared" ref="Y6791" si="22028">D6781</f>
        <v>1</v>
      </c>
      <c r="Z6791" s="400" t="s">
        <v>176</v>
      </c>
      <c r="AA6791" s="402">
        <f t="shared" ref="AA6791" si="22029">IF(AA6793=0,(D6791*N6791+P6791*R6791)*U6791*Y6791,0)</f>
        <v>0</v>
      </c>
      <c r="AB6791" s="403"/>
    </row>
    <row r="6792" spans="1:28">
      <c r="A6792" s="384" t="str">
        <f t="shared" ref="A6792:B6792" si="22030">A6775</f>
        <v>Lantai Atap</v>
      </c>
      <c r="B6792" s="385">
        <f t="shared" si="22030"/>
        <v>19</v>
      </c>
      <c r="C6792" s="393" t="s">
        <v>209</v>
      </c>
      <c r="D6792" s="398">
        <f>VLOOKUP(D6775,'Detail Balok'!$C$10:$AU$140,28,FALSE)</f>
        <v>3</v>
      </c>
      <c r="E6792" s="388" t="s">
        <v>16</v>
      </c>
      <c r="F6792" s="388">
        <f>VLOOKUP(D6775,'Detail Balok'!$C$10:$AU$140,30,FALSE)</f>
        <v>13</v>
      </c>
      <c r="G6792" s="388"/>
      <c r="H6792" s="395"/>
      <c r="I6792" s="388" t="s">
        <v>203</v>
      </c>
      <c r="J6792" s="399">
        <f t="shared" si="21824"/>
        <v>1.1712499999999999</v>
      </c>
      <c r="K6792" s="400" t="s">
        <v>204</v>
      </c>
      <c r="L6792" s="399">
        <f t="shared" ref="L6792" si="22031">MAX(VLOOKUP(F6792,N$6:P$15,3,FALSE)/1000,2/3*D6780/1000)+F$16*F6792/1000</f>
        <v>0.156</v>
      </c>
      <c r="M6792" s="399" t="s">
        <v>176</v>
      </c>
      <c r="N6792" s="399">
        <f t="shared" si="22019"/>
        <v>1.3272499999999998</v>
      </c>
      <c r="O6792" s="399" t="s">
        <v>204</v>
      </c>
      <c r="P6792" s="389">
        <f t="shared" ref="P6792" si="22032">D6792-D6791</f>
        <v>0</v>
      </c>
      <c r="Q6792" s="399" t="s">
        <v>125</v>
      </c>
      <c r="R6792" s="399">
        <f t="shared" ref="R6792" si="22033">IF(P6792&gt;0,$F$18*F6792/1000,0)</f>
        <v>0</v>
      </c>
      <c r="S6792" s="399" t="s">
        <v>205</v>
      </c>
      <c r="T6792" s="399" t="s">
        <v>125</v>
      </c>
      <c r="U6792" s="401">
        <f t="shared" si="22022"/>
        <v>1.041885</v>
      </c>
      <c r="V6792" s="399"/>
      <c r="W6792" s="399"/>
      <c r="X6792" s="399" t="s">
        <v>125</v>
      </c>
      <c r="Y6792" s="389">
        <f t="shared" ref="Y6792" si="22034">D6781</f>
        <v>1</v>
      </c>
      <c r="Z6792" s="400" t="s">
        <v>176</v>
      </c>
      <c r="AA6792" s="402">
        <f t="shared" ref="AA6792" si="22035">IF(AA6793=0,(D6792*N6792+P6792*R6792)*U6792*Y6792,0)</f>
        <v>0</v>
      </c>
      <c r="AB6792" s="403"/>
    </row>
    <row r="6793" spans="1:28">
      <c r="A6793" s="384" t="str">
        <f t="shared" ref="A6793:B6793" si="22036">A6775</f>
        <v>Lantai Atap</v>
      </c>
      <c r="B6793" s="385">
        <f t="shared" si="22036"/>
        <v>19</v>
      </c>
      <c r="C6793" s="393"/>
      <c r="D6793" s="398">
        <f t="shared" si="21844"/>
        <v>3</v>
      </c>
      <c r="E6793" s="388" t="s">
        <v>16</v>
      </c>
      <c r="F6793" s="388">
        <f t="shared" si="21845"/>
        <v>13</v>
      </c>
      <c r="G6793" s="388"/>
      <c r="H6793" s="395"/>
      <c r="I6793" s="388"/>
      <c r="J6793" s="396"/>
      <c r="K6793" s="396"/>
      <c r="L6793" s="404" t="s">
        <v>207</v>
      </c>
      <c r="M6793" s="399" t="s">
        <v>176</v>
      </c>
      <c r="N6793" s="399">
        <f t="shared" ref="N6793" si="22037">IF(AND(D6790=D6791,D6790=D6792,D6791=D6792,F6790=F6791,F6790=F6792,F6791=F6792),SUM(N6790:N6792),0)</f>
        <v>4.9969999999999999</v>
      </c>
      <c r="O6793" s="399" t="s">
        <v>204</v>
      </c>
      <c r="P6793" s="389">
        <f t="shared" ref="P6793" si="22038">IF(N6793&gt;12,ROUNDDOWN(N6793/12,0),0)</f>
        <v>0</v>
      </c>
      <c r="Q6793" s="399" t="s">
        <v>125</v>
      </c>
      <c r="R6793" s="399">
        <f t="shared" ref="R6793" si="22039">IF(P6793&gt;0,MAX(VLOOKUP(F6793,$D$6:$G$15,3,FALSE),600),0)/1000</f>
        <v>0</v>
      </c>
      <c r="S6793" s="396"/>
      <c r="T6793" s="396" t="s">
        <v>125</v>
      </c>
      <c r="U6793" s="401">
        <f t="shared" si="21849"/>
        <v>1.041885</v>
      </c>
      <c r="V6793" s="396" t="s">
        <v>125</v>
      </c>
      <c r="W6793" s="399">
        <f t="shared" ref="W6793" si="22040">D6793</f>
        <v>3</v>
      </c>
      <c r="X6793" s="399" t="s">
        <v>125</v>
      </c>
      <c r="Y6793" s="389">
        <f t="shared" si="21851"/>
        <v>1</v>
      </c>
      <c r="Z6793" s="400" t="s">
        <v>176</v>
      </c>
      <c r="AA6793" s="402">
        <f t="shared" ref="AA6793" si="22041">(N6793+P6793*R6793/1000)*U6793*W6793*Y6793</f>
        <v>15.618898034999999</v>
      </c>
      <c r="AB6793" s="403"/>
    </row>
    <row r="6794" spans="1:28">
      <c r="A6794" s="384"/>
      <c r="B6794" s="385"/>
      <c r="C6794" s="393"/>
      <c r="D6794" s="394"/>
      <c r="E6794" s="388"/>
      <c r="F6794" s="388"/>
      <c r="G6794" s="388"/>
      <c r="H6794" s="395"/>
      <c r="I6794" s="388"/>
      <c r="J6794" s="399"/>
      <c r="K6794" s="396"/>
      <c r="L6794" s="396"/>
      <c r="M6794" s="396"/>
      <c r="N6794" s="396"/>
      <c r="O6794" s="396"/>
      <c r="P6794" s="389"/>
      <c r="Q6794" s="396"/>
      <c r="R6794" s="396"/>
      <c r="S6794" s="396"/>
      <c r="T6794" s="396"/>
      <c r="U6794" s="401"/>
      <c r="V6794" s="396"/>
      <c r="W6794" s="388"/>
      <c r="X6794" s="396"/>
      <c r="Y6794" s="389"/>
      <c r="Z6794" s="396"/>
      <c r="AA6794" s="388"/>
      <c r="AB6794" s="390"/>
    </row>
    <row r="6795" spans="1:28">
      <c r="A6795" s="384" t="str">
        <f t="shared" ref="A6795:B6795" si="22042">A6775</f>
        <v>Lantai Atap</v>
      </c>
      <c r="B6795" s="385">
        <f t="shared" si="22042"/>
        <v>19</v>
      </c>
      <c r="C6795" s="393" t="s">
        <v>211</v>
      </c>
      <c r="D6795" s="398">
        <f>VLOOKUP(D6775,'Detail Balok'!$C$10:$AU$140,31,FALSE)</f>
        <v>0</v>
      </c>
      <c r="E6795" s="388" t="s">
        <v>16</v>
      </c>
      <c r="F6795" s="388">
        <f>VLOOKUP(D6775,'Detail Balok'!$C$10:$AU$140,33,FALSE)</f>
        <v>10</v>
      </c>
      <c r="G6795" s="405" t="s">
        <v>157</v>
      </c>
      <c r="H6795" s="395">
        <f>VLOOKUP(D6775,'Detail Balok'!$C$10:$AU$140,35,FALSE)</f>
        <v>100</v>
      </c>
      <c r="I6795" s="388"/>
      <c r="J6795" s="400">
        <f t="shared" ref="J6795" si="22043">(IF(D6795=0,(2*(D6776+G6776))-(F$5*8),IF(D6795=3,(2*(D6776+G6776))-(F$5*8)+(G6776-2*F$5),IF(D6795=4,(2*(D6776+G6776))-(F$5*8)+2*(G6776-2*F$5)))))/1000</f>
        <v>1.08</v>
      </c>
      <c r="K6795" s="400" t="s">
        <v>204</v>
      </c>
      <c r="L6795" s="399">
        <f t="shared" ref="L6795:L6797" si="22044">IF(D6795=0,2*MAX(6*F6795,75),(D6795-1)*2*MAX(6*F6795,75))/1000</f>
        <v>0.15</v>
      </c>
      <c r="M6795" s="399" t="s">
        <v>176</v>
      </c>
      <c r="N6795" s="399">
        <f t="shared" ref="N6795:N6797" si="22045">J6795+L6795</f>
        <v>1.23</v>
      </c>
      <c r="O6795" s="399"/>
      <c r="P6795" s="389"/>
      <c r="Q6795" s="399"/>
      <c r="R6795" s="399"/>
      <c r="S6795" s="399"/>
      <c r="T6795" s="399" t="s">
        <v>125</v>
      </c>
      <c r="U6795" s="401">
        <f t="shared" ref="U6795:U6797" si="22046">0.006165*F6795^2</f>
        <v>0.61650000000000005</v>
      </c>
      <c r="V6795" s="399" t="s">
        <v>125</v>
      </c>
      <c r="W6795" s="399">
        <f t="shared" ref="W6795" si="22047">IF(D6778&gt;4*G6776,ROUND(MAX(D6778/4,2*G6776)/H6795,0)+1,ROUND(D6778/H6795,0)+1)</f>
        <v>13</v>
      </c>
      <c r="X6795" s="399" t="s">
        <v>125</v>
      </c>
      <c r="Y6795" s="389">
        <f t="shared" ref="Y6795" si="22048">D6781</f>
        <v>1</v>
      </c>
      <c r="Z6795" s="400" t="s">
        <v>176</v>
      </c>
      <c r="AA6795" s="402">
        <f t="shared" ref="AA6795:AA6797" si="22049">N6795*U6795*W6795*Y6795</f>
        <v>9.8578350000000015</v>
      </c>
      <c r="AB6795" s="403"/>
    </row>
    <row r="6796" spans="1:28">
      <c r="A6796" s="384" t="str">
        <f t="shared" ref="A6796:B6796" si="22050">A6775</f>
        <v>Lantai Atap</v>
      </c>
      <c r="B6796" s="385">
        <f t="shared" si="22050"/>
        <v>19</v>
      </c>
      <c r="C6796" s="393" t="s">
        <v>212</v>
      </c>
      <c r="D6796" s="398">
        <f>VLOOKUP(D6775,'Detail Balok'!$C$10:$AU$140,36,FALSE)</f>
        <v>0</v>
      </c>
      <c r="E6796" s="388" t="s">
        <v>16</v>
      </c>
      <c r="F6796" s="388">
        <f>VLOOKUP(D6775,'Detail Balok'!$C$10:$AU$140,38,FALSE)</f>
        <v>10</v>
      </c>
      <c r="G6796" s="405" t="s">
        <v>157</v>
      </c>
      <c r="H6796" s="395">
        <f>VLOOKUP(D6775,'Detail Balok'!$C$10:$AU$140,40,FALSE)</f>
        <v>200</v>
      </c>
      <c r="I6796" s="388"/>
      <c r="J6796" s="400">
        <f t="shared" ref="J6796" si="22051">(IF(D6796=0,(2*(D6776+G6776))-(F$5*8),IF(D6796=3,(2*(D6776+G6776))-(F$5*8)+(G6776-2*F$5),IF(D6796=4,(2*(D6776+G6776))-(F$5*8)+2*(G6776-2*F$5)))))/1000</f>
        <v>1.08</v>
      </c>
      <c r="K6796" s="400" t="s">
        <v>204</v>
      </c>
      <c r="L6796" s="399">
        <f t="shared" si="22044"/>
        <v>0.15</v>
      </c>
      <c r="M6796" s="399" t="s">
        <v>176</v>
      </c>
      <c r="N6796" s="399">
        <f t="shared" si="22045"/>
        <v>1.23</v>
      </c>
      <c r="O6796" s="399"/>
      <c r="P6796" s="389"/>
      <c r="Q6796" s="399"/>
      <c r="R6796" s="399"/>
      <c r="S6796" s="399"/>
      <c r="T6796" s="399" t="s">
        <v>125</v>
      </c>
      <c r="U6796" s="401">
        <f t="shared" si="22046"/>
        <v>0.61650000000000005</v>
      </c>
      <c r="V6796" s="399" t="s">
        <v>125</v>
      </c>
      <c r="W6796" s="399">
        <f t="shared" ref="W6796" si="22052">IF(D6778-MAX(D6778/4,2*G6776)*2&gt;0,ROUND((D6778-MAX(D6778/4,2*G6776)*2)/H6796,0),0)</f>
        <v>12</v>
      </c>
      <c r="X6796" s="399" t="s">
        <v>125</v>
      </c>
      <c r="Y6796" s="389">
        <f t="shared" ref="Y6796" si="22053">D6781</f>
        <v>1</v>
      </c>
      <c r="Z6796" s="400" t="s">
        <v>176</v>
      </c>
      <c r="AA6796" s="402">
        <f t="shared" si="22049"/>
        <v>9.0995400000000011</v>
      </c>
      <c r="AB6796" s="403"/>
    </row>
    <row r="6797" spans="1:28">
      <c r="A6797" s="384" t="str">
        <f t="shared" ref="A6797:B6797" si="22054">A6775</f>
        <v>Lantai Atap</v>
      </c>
      <c r="B6797" s="385">
        <f t="shared" si="22054"/>
        <v>19</v>
      </c>
      <c r="C6797" s="393" t="s">
        <v>211</v>
      </c>
      <c r="D6797" s="398">
        <f>VLOOKUP(D6775,'Detail Balok'!$C$10:$AU$140,41,FALSE)</f>
        <v>0</v>
      </c>
      <c r="E6797" s="388" t="s">
        <v>16</v>
      </c>
      <c r="F6797" s="388">
        <f>VLOOKUP(D6775,'Detail Balok'!$C$10:$AU$140,43,FALSE)</f>
        <v>10</v>
      </c>
      <c r="G6797" s="405" t="s">
        <v>157</v>
      </c>
      <c r="H6797" s="395">
        <f>VLOOKUP(D6775,'Detail Balok'!$C$10:$AU$140,45,FALSE)</f>
        <v>100</v>
      </c>
      <c r="I6797" s="388"/>
      <c r="J6797" s="400">
        <f t="shared" ref="J6797" si="22055">(IF(D6797=0,(2*(D6776+G6776))-(F$5*8),IF(D6797=3,(2*(D6776+G6776))-(F$5*8)+(G6776-2*F$5),IF(D6797=4,(2*(D6776+G6776))-(F$5*8)+2*(G6776-2*F$5)))))/1000</f>
        <v>1.08</v>
      </c>
      <c r="K6797" s="400" t="s">
        <v>204</v>
      </c>
      <c r="L6797" s="399">
        <f t="shared" si="22044"/>
        <v>0.15</v>
      </c>
      <c r="M6797" s="399" t="s">
        <v>176</v>
      </c>
      <c r="N6797" s="399">
        <f t="shared" si="22045"/>
        <v>1.23</v>
      </c>
      <c r="O6797" s="399"/>
      <c r="P6797" s="389"/>
      <c r="Q6797" s="399"/>
      <c r="R6797" s="399"/>
      <c r="S6797" s="399"/>
      <c r="T6797" s="399" t="s">
        <v>125</v>
      </c>
      <c r="U6797" s="401">
        <f t="shared" si="22046"/>
        <v>0.61650000000000005</v>
      </c>
      <c r="V6797" s="399" t="s">
        <v>125</v>
      </c>
      <c r="W6797" s="399">
        <f t="shared" ref="W6797" si="22056">IF(D6778&gt;4*G6776,ROUND(MAX(D6778/4,2*G6776)/H6797,0)+1,0)</f>
        <v>13</v>
      </c>
      <c r="X6797" s="399" t="s">
        <v>125</v>
      </c>
      <c r="Y6797" s="389">
        <f t="shared" ref="Y6797" si="22057">D6781</f>
        <v>1</v>
      </c>
      <c r="Z6797" s="400" t="s">
        <v>176</v>
      </c>
      <c r="AA6797" s="402">
        <f t="shared" si="22049"/>
        <v>9.8578350000000015</v>
      </c>
      <c r="AB6797" s="403"/>
    </row>
    <row r="6798" spans="1:28">
      <c r="A6798" s="384"/>
      <c r="B6798" s="385"/>
      <c r="C6798" s="393"/>
      <c r="D6798" s="394"/>
      <c r="E6798" s="388"/>
      <c r="F6798" s="388"/>
      <c r="G6798" s="388"/>
      <c r="H6798" s="395"/>
      <c r="I6798" s="388"/>
      <c r="J6798" s="399"/>
      <c r="K6798" s="396"/>
      <c r="L6798" s="396"/>
      <c r="M6798" s="396"/>
      <c r="N6798" s="396"/>
      <c r="O6798" s="396"/>
      <c r="P6798" s="389"/>
      <c r="Q6798" s="396"/>
      <c r="R6798" s="396"/>
      <c r="S6798" s="396"/>
      <c r="T6798" s="396"/>
      <c r="U6798" s="401"/>
      <c r="V6798" s="396"/>
      <c r="W6798" s="388"/>
      <c r="X6798" s="396"/>
      <c r="Y6798" s="389"/>
      <c r="Z6798" s="396"/>
      <c r="AA6798" s="388"/>
      <c r="AB6798" s="390"/>
    </row>
    <row r="6799" spans="1:28">
      <c r="A6799" s="384" t="str">
        <f t="shared" ref="A6799:B6799" si="22058">A6775</f>
        <v>Lantai Atap</v>
      </c>
      <c r="B6799" s="385">
        <f t="shared" si="22058"/>
        <v>19</v>
      </c>
      <c r="C6799" s="393" t="s">
        <v>213</v>
      </c>
      <c r="D6799" s="398">
        <f>VLOOKUP(D6775,'Detail Balok'!$C$10:$BJ$140,46,FALSE)</f>
        <v>0</v>
      </c>
      <c r="E6799" s="388" t="s">
        <v>16</v>
      </c>
      <c r="F6799" s="388">
        <f>VLOOKUP(D6775,'Detail Balok'!$C$10:$BJ$140,48,FALSE)</f>
        <v>0</v>
      </c>
      <c r="G6799" s="405" t="s">
        <v>157</v>
      </c>
      <c r="H6799" s="395">
        <f>VLOOKUP(D6775,'Detail Balok'!$C$10:$BJ$140,50,FALSE)</f>
        <v>100</v>
      </c>
      <c r="I6799" s="388"/>
      <c r="J6799" s="399">
        <f t="shared" ref="J6799" si="22059">(D6776-2*F$5)/1000</f>
        <v>0.17</v>
      </c>
      <c r="K6799" s="400" t="s">
        <v>204</v>
      </c>
      <c r="L6799" s="399">
        <f t="shared" ref="L6799:L6801" si="22060">IF(D6799=0,2*MAX(6*F6799,75),(D6799-1)*2*MAX(6*F6799,75))/1000</f>
        <v>0.15</v>
      </c>
      <c r="M6799" s="399" t="s">
        <v>176</v>
      </c>
      <c r="N6799" s="399">
        <f t="shared" ref="N6799:N6801" si="22061">J6799+L6799</f>
        <v>0.32</v>
      </c>
      <c r="O6799" s="399"/>
      <c r="P6799" s="399"/>
      <c r="Q6799" s="399"/>
      <c r="R6799" s="399"/>
      <c r="S6799" s="399"/>
      <c r="T6799" s="399" t="s">
        <v>125</v>
      </c>
      <c r="U6799" s="401">
        <f t="shared" ref="U6799:U6801" si="22062">0.006165*F6799^2</f>
        <v>0</v>
      </c>
      <c r="V6799" s="399" t="s">
        <v>125</v>
      </c>
      <c r="W6799" s="399">
        <f t="shared" si="21874"/>
        <v>13</v>
      </c>
      <c r="X6799" s="399" t="s">
        <v>125</v>
      </c>
      <c r="Y6799" s="389">
        <f t="shared" ref="Y6799" si="22063">D6785</f>
        <v>3</v>
      </c>
      <c r="Z6799" s="400" t="s">
        <v>176</v>
      </c>
      <c r="AA6799" s="402">
        <f t="shared" ref="AA6799:AA6801" si="22064">N6799*U6799*W6799*Y6799</f>
        <v>0</v>
      </c>
      <c r="AB6799" s="403"/>
    </row>
    <row r="6800" spans="1:28">
      <c r="A6800" s="384" t="str">
        <f t="shared" ref="A6800:B6800" si="22065">A6775</f>
        <v>Lantai Atap</v>
      </c>
      <c r="B6800" s="385">
        <f t="shared" si="22065"/>
        <v>19</v>
      </c>
      <c r="C6800" s="393" t="s">
        <v>214</v>
      </c>
      <c r="D6800" s="398">
        <f>VLOOKUP(D6775,'Detail Balok'!$C$10:$BJ$140,51,FALSE)</f>
        <v>0</v>
      </c>
      <c r="E6800" s="388" t="s">
        <v>16</v>
      </c>
      <c r="F6800" s="388">
        <f>VLOOKUP(D6775,'Detail Balok'!$C$10:$BJ$140,53,FALSE)</f>
        <v>0</v>
      </c>
      <c r="G6800" s="405" t="s">
        <v>157</v>
      </c>
      <c r="H6800" s="395">
        <f>VLOOKUP(D6775,'Detail Balok'!$C$10:$BJ$140,55,FALSE)</f>
        <v>100</v>
      </c>
      <c r="I6800" s="388"/>
      <c r="J6800" s="399">
        <f t="shared" ref="J6800" si="22066">(D6776-2*F$5)/1000</f>
        <v>0.17</v>
      </c>
      <c r="K6800" s="400" t="s">
        <v>204</v>
      </c>
      <c r="L6800" s="399">
        <f t="shared" si="22060"/>
        <v>0.15</v>
      </c>
      <c r="M6800" s="399" t="s">
        <v>176</v>
      </c>
      <c r="N6800" s="399">
        <f t="shared" si="22061"/>
        <v>0.32</v>
      </c>
      <c r="O6800" s="399"/>
      <c r="P6800" s="399"/>
      <c r="Q6800" s="399"/>
      <c r="R6800" s="399"/>
      <c r="S6800" s="399"/>
      <c r="T6800" s="399" t="s">
        <v>125</v>
      </c>
      <c r="U6800" s="401">
        <f t="shared" si="22062"/>
        <v>0</v>
      </c>
      <c r="V6800" s="399" t="s">
        <v>125</v>
      </c>
      <c r="W6800" s="399">
        <f t="shared" si="21874"/>
        <v>12</v>
      </c>
      <c r="X6800" s="399" t="s">
        <v>125</v>
      </c>
      <c r="Y6800" s="389">
        <f t="shared" ref="Y6800" si="22067">D6785</f>
        <v>3</v>
      </c>
      <c r="Z6800" s="400" t="s">
        <v>176</v>
      </c>
      <c r="AA6800" s="402">
        <f t="shared" si="22064"/>
        <v>0</v>
      </c>
      <c r="AB6800" s="403"/>
    </row>
    <row r="6801" spans="1:28">
      <c r="A6801" s="384" t="str">
        <f t="shared" ref="A6801:B6801" si="22068">A6775</f>
        <v>Lantai Atap</v>
      </c>
      <c r="B6801" s="385">
        <f t="shared" si="22068"/>
        <v>19</v>
      </c>
      <c r="C6801" s="393" t="s">
        <v>213</v>
      </c>
      <c r="D6801" s="398">
        <f>VLOOKUP(D6775,'Detail Balok'!$C$10:$BJ$140,56,FALSE)</f>
        <v>0</v>
      </c>
      <c r="E6801" s="388" t="s">
        <v>16</v>
      </c>
      <c r="F6801" s="388">
        <f>VLOOKUP(D6775,'Detail Balok'!$C$10:$BJ$140,58,FALSE)</f>
        <v>0</v>
      </c>
      <c r="G6801" s="405" t="s">
        <v>157</v>
      </c>
      <c r="H6801" s="395">
        <f>VLOOKUP(D6775,'Detail Balok'!$C$10:$BJ$140,60,FALSE)</f>
        <v>100</v>
      </c>
      <c r="I6801" s="388"/>
      <c r="J6801" s="399">
        <f t="shared" ref="J6801" si="22069">(D6776-2*F$5)/1000</f>
        <v>0.17</v>
      </c>
      <c r="K6801" s="400" t="s">
        <v>204</v>
      </c>
      <c r="L6801" s="399">
        <f t="shared" si="22060"/>
        <v>0.15</v>
      </c>
      <c r="M6801" s="399" t="s">
        <v>176</v>
      </c>
      <c r="N6801" s="399">
        <f t="shared" si="22061"/>
        <v>0.32</v>
      </c>
      <c r="O6801" s="399"/>
      <c r="P6801" s="399"/>
      <c r="Q6801" s="399"/>
      <c r="R6801" s="399"/>
      <c r="S6801" s="399"/>
      <c r="T6801" s="399" t="s">
        <v>125</v>
      </c>
      <c r="U6801" s="401">
        <f t="shared" si="22062"/>
        <v>0</v>
      </c>
      <c r="V6801" s="399" t="s">
        <v>125</v>
      </c>
      <c r="W6801" s="399">
        <f t="shared" si="21874"/>
        <v>13</v>
      </c>
      <c r="X6801" s="399" t="s">
        <v>125</v>
      </c>
      <c r="Y6801" s="389">
        <f t="shared" ref="Y6801" si="22070">D6785</f>
        <v>3</v>
      </c>
      <c r="Z6801" s="400" t="s">
        <v>176</v>
      </c>
      <c r="AA6801" s="402">
        <f t="shared" si="22064"/>
        <v>0</v>
      </c>
      <c r="AB6801" s="403"/>
    </row>
    <row r="6802" spans="1:28">
      <c r="A6802" s="391"/>
      <c r="B6802" s="392"/>
      <c r="C6802" s="392"/>
      <c r="D6802" s="394"/>
      <c r="E6802" s="388"/>
      <c r="F6802" s="388"/>
      <c r="G6802" s="388"/>
      <c r="H6802" s="395"/>
      <c r="I6802" s="388"/>
      <c r="J6802" s="402"/>
      <c r="K6802" s="388"/>
      <c r="L6802" s="388"/>
      <c r="M6802" s="388"/>
      <c r="N6802" s="388"/>
      <c r="O6802" s="388"/>
      <c r="P6802" s="388"/>
      <c r="Q6802" s="388"/>
      <c r="R6802" s="388"/>
      <c r="S6802" s="388"/>
      <c r="T6802" s="388"/>
      <c r="U6802" s="388"/>
      <c r="V6802" s="388"/>
      <c r="W6802" s="388"/>
      <c r="X6802" s="388"/>
      <c r="Y6802" s="389"/>
      <c r="Z6802" s="388"/>
      <c r="AA6802" s="402"/>
      <c r="AB6802" s="403"/>
    </row>
    <row r="6803" spans="1:28" ht="15.75" thickBot="1">
      <c r="A6803" s="406"/>
      <c r="B6803" s="407"/>
      <c r="C6803" s="407"/>
      <c r="D6803" s="408"/>
      <c r="E6803" s="409"/>
      <c r="F6803" s="409"/>
      <c r="G6803" s="409"/>
      <c r="H6803" s="410"/>
      <c r="I6803" s="409"/>
      <c r="J6803" s="409"/>
      <c r="K6803" s="409"/>
      <c r="L6803" s="409"/>
      <c r="M6803" s="409"/>
      <c r="N6803" s="409"/>
      <c r="O6803" s="409"/>
      <c r="P6803" s="409"/>
      <c r="Q6803" s="409"/>
      <c r="R6803" s="409"/>
      <c r="S6803" s="409"/>
      <c r="T6803" s="409"/>
      <c r="U6803" s="409"/>
      <c r="V6803" s="409"/>
      <c r="W6803" s="409"/>
      <c r="X6803" s="409"/>
      <c r="Y6803" s="411"/>
      <c r="Z6803" s="409"/>
      <c r="AA6803" s="412"/>
      <c r="AB6803" s="413"/>
    </row>
    <row r="6804" spans="1:28">
      <c r="A6804" s="377"/>
      <c r="B6804" s="378"/>
      <c r="C6804" s="378"/>
      <c r="D6804" s="379"/>
      <c r="E6804" s="380"/>
      <c r="F6804" s="380"/>
      <c r="G6804" s="380"/>
      <c r="H6804" s="381"/>
      <c r="I6804" s="380"/>
      <c r="J6804" s="380"/>
      <c r="K6804" s="380"/>
      <c r="L6804" s="380"/>
      <c r="M6804" s="380"/>
      <c r="N6804" s="380"/>
      <c r="O6804" s="380"/>
      <c r="P6804" s="380"/>
      <c r="Q6804" s="380"/>
      <c r="R6804" s="380"/>
      <c r="S6804" s="380"/>
      <c r="T6804" s="380"/>
      <c r="U6804" s="380"/>
      <c r="V6804" s="380"/>
      <c r="W6804" s="380"/>
      <c r="X6804" s="380"/>
      <c r="Y6804" s="382"/>
      <c r="Z6804" s="380"/>
      <c r="AA6804" s="380"/>
      <c r="AB6804" s="383"/>
    </row>
    <row r="6805" spans="1:28">
      <c r="A6805" s="384" t="str">
        <f t="shared" si="21883"/>
        <v>Lantai Atap</v>
      </c>
      <c r="B6805" s="385">
        <f t="shared" si="21884"/>
        <v>20</v>
      </c>
      <c r="C6805" s="386" t="str">
        <f t="shared" ref="C6805" si="22071">CONCATENATE(A6805," no. ",B6805)</f>
        <v>Lantai Atap no. 20</v>
      </c>
      <c r="D6805" s="2562" t="str">
        <f>VLOOKUP(C6805,'Data Panjang Balok'!$C$9:$N$254,2,FALSE)</f>
        <v>B24-1</v>
      </c>
      <c r="E6805" s="2576"/>
      <c r="F6805" s="2576"/>
      <c r="G6805" s="2576"/>
      <c r="H6805" s="2577"/>
      <c r="I6805" s="387"/>
      <c r="J6805" s="388"/>
      <c r="K6805" s="388"/>
      <c r="L6805" s="388"/>
      <c r="M6805" s="388"/>
      <c r="N6805" s="388"/>
      <c r="O6805" s="388"/>
      <c r="P6805" s="388"/>
      <c r="Q6805" s="388"/>
      <c r="R6805" s="388"/>
      <c r="S6805" s="388"/>
      <c r="T6805" s="388"/>
      <c r="U6805" s="388"/>
      <c r="V6805" s="388"/>
      <c r="W6805" s="388"/>
      <c r="X6805" s="388"/>
      <c r="Y6805" s="389"/>
      <c r="Z6805" s="388"/>
      <c r="AA6805" s="388"/>
      <c r="AB6805" s="390"/>
    </row>
    <row r="6806" spans="1:28">
      <c r="A6806" s="391"/>
      <c r="B6806" s="392"/>
      <c r="C6806" s="393" t="s">
        <v>118</v>
      </c>
      <c r="D6806" s="2578">
        <f>VLOOKUP(D6805,'Detail Balok'!$C$10:$AU$140,2,FALSE)</f>
        <v>200</v>
      </c>
      <c r="E6806" s="2579"/>
      <c r="F6806" s="388" t="s">
        <v>125</v>
      </c>
      <c r="G6806" s="2579">
        <f>VLOOKUP(D6805,'Detail Balok'!$C$10:$AU$140,3,FALSE)</f>
        <v>400</v>
      </c>
      <c r="H6806" s="2580"/>
      <c r="I6806" s="388"/>
      <c r="J6806" s="396"/>
      <c r="K6806" s="396"/>
      <c r="L6806" s="396"/>
      <c r="M6806" s="396"/>
      <c r="N6806" s="396"/>
      <c r="O6806" s="396"/>
      <c r="P6806" s="396"/>
      <c r="Q6806" s="396"/>
      <c r="R6806" s="396"/>
      <c r="S6806" s="396"/>
      <c r="T6806" s="396"/>
      <c r="U6806" s="388"/>
      <c r="V6806" s="396"/>
      <c r="W6806" s="388"/>
      <c r="X6806" s="396"/>
      <c r="Y6806" s="389"/>
      <c r="Z6806" s="396"/>
      <c r="AA6806" s="388"/>
      <c r="AB6806" s="390"/>
    </row>
    <row r="6807" spans="1:28">
      <c r="A6807" s="391"/>
      <c r="B6807" s="392"/>
      <c r="C6807" s="393" t="s">
        <v>198</v>
      </c>
      <c r="D6807" s="2562">
        <f>VLOOKUP(C6805,'Data Panjang Balok'!$C$9:$N$254,4,FALSE)</f>
        <v>9610</v>
      </c>
      <c r="E6807" s="2563"/>
      <c r="F6807" s="2563"/>
      <c r="G6807" s="2563"/>
      <c r="H6807" s="2564"/>
      <c r="I6807" s="397"/>
      <c r="J6807" s="396"/>
      <c r="K6807" s="396"/>
      <c r="L6807" s="396"/>
      <c r="M6807" s="396"/>
      <c r="N6807" s="396"/>
      <c r="O6807" s="396"/>
      <c r="P6807" s="396"/>
      <c r="Q6807" s="396"/>
      <c r="R6807" s="396"/>
      <c r="S6807" s="396"/>
      <c r="T6807" s="396"/>
      <c r="U6807" s="388"/>
      <c r="V6807" s="396"/>
      <c r="W6807" s="388"/>
      <c r="X6807" s="396"/>
      <c r="Y6807" s="389"/>
      <c r="Z6807" s="396"/>
      <c r="AA6807" s="388"/>
      <c r="AB6807" s="390"/>
    </row>
    <row r="6808" spans="1:28">
      <c r="A6808" s="391"/>
      <c r="B6808" s="392"/>
      <c r="C6808" s="393" t="s">
        <v>199</v>
      </c>
      <c r="D6808" s="2562">
        <f>VLOOKUP(C6805,'Data Panjang Balok'!$C$9:$N$254,7,FALSE)</f>
        <v>9610</v>
      </c>
      <c r="E6808" s="2563"/>
      <c r="F6808" s="2563"/>
      <c r="G6808" s="2563"/>
      <c r="H6808" s="2564"/>
      <c r="I6808" s="397"/>
      <c r="J6808" s="396"/>
      <c r="K6808" s="396"/>
      <c r="L6808" s="396"/>
      <c r="M6808" s="396"/>
      <c r="N6808" s="396"/>
      <c r="O6808" s="396"/>
      <c r="P6808" s="396"/>
      <c r="Q6808" s="396"/>
      <c r="R6808" s="396"/>
      <c r="S6808" s="396"/>
      <c r="T6808" s="396"/>
      <c r="U6808" s="388"/>
      <c r="V6808" s="396"/>
      <c r="W6808" s="388"/>
      <c r="X6808" s="396"/>
      <c r="Y6808" s="389"/>
      <c r="Z6808" s="396"/>
      <c r="AA6808" s="388"/>
      <c r="AB6808" s="390"/>
    </row>
    <row r="6809" spans="1:28">
      <c r="A6809" s="391"/>
      <c r="B6809" s="392"/>
      <c r="C6809" s="393" t="s">
        <v>200</v>
      </c>
      <c r="D6809" s="2562">
        <f>VLOOKUP(C6805,'Data Panjang Balok'!$C$9:$N$254,9,FALSE)</f>
        <v>0</v>
      </c>
      <c r="E6809" s="2563"/>
      <c r="F6809" s="2563"/>
      <c r="G6809" s="2563"/>
      <c r="H6809" s="2564"/>
      <c r="I6809" s="397"/>
      <c r="J6809" s="396"/>
      <c r="K6809" s="396"/>
      <c r="L6809" s="396"/>
      <c r="M6809" s="396"/>
      <c r="N6809" s="396"/>
      <c r="O6809" s="396"/>
      <c r="P6809" s="396"/>
      <c r="Q6809" s="396"/>
      <c r="R6809" s="396"/>
      <c r="S6809" s="396"/>
      <c r="T6809" s="396"/>
      <c r="U6809" s="388"/>
      <c r="V6809" s="396"/>
      <c r="W6809" s="388"/>
      <c r="X6809" s="396"/>
      <c r="Y6809" s="389"/>
      <c r="Z6809" s="396"/>
      <c r="AA6809" s="388"/>
      <c r="AB6809" s="390"/>
    </row>
    <row r="6810" spans="1:28">
      <c r="A6810" s="391"/>
      <c r="B6810" s="392"/>
      <c r="C6810" s="393" t="s">
        <v>201</v>
      </c>
      <c r="D6810" s="2562">
        <f>VLOOKUP(C6805,'Data Panjang Balok'!$C$9:$N$254,10,FALSE)</f>
        <v>0</v>
      </c>
      <c r="E6810" s="2563"/>
      <c r="F6810" s="2563"/>
      <c r="G6810" s="2563"/>
      <c r="H6810" s="2564"/>
      <c r="I6810" s="397"/>
      <c r="J6810" s="396"/>
      <c r="K6810" s="396"/>
      <c r="L6810" s="396"/>
      <c r="M6810" s="396"/>
      <c r="N6810" s="396"/>
      <c r="O6810" s="396"/>
      <c r="P6810" s="396"/>
      <c r="Q6810" s="396"/>
      <c r="R6810" s="396"/>
      <c r="S6810" s="396"/>
      <c r="T6810" s="396"/>
      <c r="U6810" s="388"/>
      <c r="V6810" s="396"/>
      <c r="W6810" s="388"/>
      <c r="X6810" s="396"/>
      <c r="Y6810" s="389"/>
      <c r="Z6810" s="396"/>
      <c r="AA6810" s="388"/>
      <c r="AB6810" s="390"/>
    </row>
    <row r="6811" spans="1:28">
      <c r="A6811" s="391"/>
      <c r="B6811" s="392"/>
      <c r="C6811" s="393" t="s">
        <v>48</v>
      </c>
      <c r="D6811" s="2562">
        <f>VLOOKUP(C6805,'Data Panjang Balok'!$C$9:$N$254,3,FALSE)</f>
        <v>1</v>
      </c>
      <c r="E6811" s="2563"/>
      <c r="F6811" s="2563"/>
      <c r="G6811" s="2563"/>
      <c r="H6811" s="2564"/>
      <c r="I6811" s="397"/>
      <c r="J6811" s="396"/>
      <c r="K6811" s="396"/>
      <c r="L6811" s="396"/>
      <c r="M6811" s="396"/>
      <c r="N6811" s="396"/>
      <c r="O6811" s="396"/>
      <c r="P6811" s="396"/>
      <c r="Q6811" s="396"/>
      <c r="R6811" s="396"/>
      <c r="S6811" s="396"/>
      <c r="T6811" s="396"/>
      <c r="U6811" s="388"/>
      <c r="V6811" s="396"/>
      <c r="W6811" s="388"/>
      <c r="X6811" s="396"/>
      <c r="Y6811" s="389"/>
      <c r="Z6811" s="396"/>
      <c r="AA6811" s="388"/>
      <c r="AB6811" s="390"/>
    </row>
    <row r="6812" spans="1:28">
      <c r="A6812" s="384" t="str">
        <f t="shared" ref="A6812:B6812" si="22072">A6805</f>
        <v>Lantai Atap</v>
      </c>
      <c r="B6812" s="385">
        <f t="shared" si="22072"/>
        <v>20</v>
      </c>
      <c r="C6812" s="393" t="s">
        <v>202</v>
      </c>
      <c r="D6812" s="398">
        <f>VLOOKUP(D6805,'Detail Balok'!$C$10:$AU$140,4,FALSE)</f>
        <v>3</v>
      </c>
      <c r="E6812" s="388" t="s">
        <v>16</v>
      </c>
      <c r="F6812" s="388">
        <f>VLOOKUP(D6805,'Detail Balok'!$C$10:$AU$140,6,FALSE)</f>
        <v>13</v>
      </c>
      <c r="G6812" s="388"/>
      <c r="H6812" s="395"/>
      <c r="I6812" s="388" t="s">
        <v>203</v>
      </c>
      <c r="J6812" s="399">
        <f t="shared" ref="J6812" si="22073">+D6807/4/1000</f>
        <v>2.4024999999999999</v>
      </c>
      <c r="K6812" s="400" t="s">
        <v>204</v>
      </c>
      <c r="L6812" s="399">
        <f t="shared" ref="L6812" si="22074">MAX(VLOOKUP(F6812,N$6:P$15,3,FALSE)/1000,2/3*D6809/1000)+F$16*F6812/1000</f>
        <v>0.156</v>
      </c>
      <c r="M6812" s="399" t="s">
        <v>176</v>
      </c>
      <c r="N6812" s="399">
        <f t="shared" ref="N6812:N6814" si="22075">J6812+L6812</f>
        <v>2.5585</v>
      </c>
      <c r="O6812" s="399" t="s">
        <v>204</v>
      </c>
      <c r="P6812" s="389">
        <f t="shared" ref="P6812" si="22076">D6812-D6813</f>
        <v>0</v>
      </c>
      <c r="Q6812" s="399" t="s">
        <v>125</v>
      </c>
      <c r="R6812" s="399">
        <f t="shared" ref="R6812" si="22077">IF(P6812&gt;0,$F$18*F6812/1000,0)</f>
        <v>0</v>
      </c>
      <c r="S6812" s="399" t="s">
        <v>205</v>
      </c>
      <c r="T6812" s="399" t="s">
        <v>125</v>
      </c>
      <c r="U6812" s="401">
        <f t="shared" ref="U6812:U6814" si="22078">0.006165*F6812^2</f>
        <v>1.041885</v>
      </c>
      <c r="V6812" s="399"/>
      <c r="W6812" s="399"/>
      <c r="X6812" s="399" t="s">
        <v>125</v>
      </c>
      <c r="Y6812" s="389">
        <f t="shared" ref="Y6812" si="22079">D6811</f>
        <v>1</v>
      </c>
      <c r="Z6812" s="400" t="s">
        <v>176</v>
      </c>
      <c r="AA6812" s="402">
        <f t="shared" ref="AA6812" si="22080">IF(AA6815=0,(D6812*N6812+P6812*R6812)*U6812*Y6812,0)</f>
        <v>0</v>
      </c>
      <c r="AB6812" s="403"/>
    </row>
    <row r="6813" spans="1:28">
      <c r="A6813" s="384" t="str">
        <f t="shared" ref="A6813:B6813" si="22081">A6805</f>
        <v>Lantai Atap</v>
      </c>
      <c r="B6813" s="385">
        <f t="shared" si="22081"/>
        <v>20</v>
      </c>
      <c r="C6813" s="393" t="s">
        <v>206</v>
      </c>
      <c r="D6813" s="398">
        <f>VLOOKUP(D6805,'Detail Balok'!$C$10:$AU$140,7,FALSE)</f>
        <v>3</v>
      </c>
      <c r="E6813" s="388" t="s">
        <v>16</v>
      </c>
      <c r="F6813" s="388">
        <f>VLOOKUP(D6805,'Detail Balok'!$C$10:$AU$140,9,FALSE)</f>
        <v>13</v>
      </c>
      <c r="G6813" s="388"/>
      <c r="H6813" s="395"/>
      <c r="I6813" s="388" t="s">
        <v>203</v>
      </c>
      <c r="J6813" s="399">
        <f t="shared" ref="J6813" si="22082">+D6807/2/1000</f>
        <v>4.8049999999999997</v>
      </c>
      <c r="K6813" s="400" t="s">
        <v>204</v>
      </c>
      <c r="L6813" s="399"/>
      <c r="M6813" s="399" t="s">
        <v>176</v>
      </c>
      <c r="N6813" s="399">
        <f t="shared" si="22075"/>
        <v>4.8049999999999997</v>
      </c>
      <c r="O6813" s="399" t="s">
        <v>204</v>
      </c>
      <c r="P6813" s="389">
        <f t="shared" ref="P6813" si="22083">MAX(D6813-D6812,D6813-D6814)</f>
        <v>0</v>
      </c>
      <c r="Q6813" s="399" t="s">
        <v>125</v>
      </c>
      <c r="R6813" s="399">
        <f t="shared" ref="R6813" si="22084">IF(P6813&gt;0,2*(1-2*$F$19-1/2)*D6808/1000,0)</f>
        <v>0</v>
      </c>
      <c r="S6813" s="399" t="s">
        <v>205</v>
      </c>
      <c r="T6813" s="399" t="s">
        <v>125</v>
      </c>
      <c r="U6813" s="401">
        <f t="shared" si="22078"/>
        <v>1.041885</v>
      </c>
      <c r="V6813" s="399"/>
      <c r="W6813" s="399"/>
      <c r="X6813" s="399" t="s">
        <v>125</v>
      </c>
      <c r="Y6813" s="389">
        <f t="shared" ref="Y6813" si="22085">D6811</f>
        <v>1</v>
      </c>
      <c r="Z6813" s="400" t="s">
        <v>176</v>
      </c>
      <c r="AA6813" s="402">
        <f t="shared" ref="AA6813" si="22086">IF(AA6815=0,(D6813*N6813+P6813*R6813)*U6813*Y6813,0)</f>
        <v>0</v>
      </c>
      <c r="AB6813" s="403"/>
    </row>
    <row r="6814" spans="1:28">
      <c r="A6814" s="384" t="str">
        <f t="shared" ref="A6814:B6814" si="22087">A6805</f>
        <v>Lantai Atap</v>
      </c>
      <c r="B6814" s="385">
        <f t="shared" si="22087"/>
        <v>20</v>
      </c>
      <c r="C6814" s="393" t="s">
        <v>202</v>
      </c>
      <c r="D6814" s="398">
        <f>VLOOKUP(D6805,'Detail Balok'!$C$10:$AU$140,10,FALSE)</f>
        <v>3</v>
      </c>
      <c r="E6814" s="388" t="s">
        <v>16</v>
      </c>
      <c r="F6814" s="388">
        <f>VLOOKUP(D6805,'Detail Balok'!$C$10:$AU$140,12,FALSE)</f>
        <v>13</v>
      </c>
      <c r="G6814" s="388"/>
      <c r="H6814" s="395"/>
      <c r="I6814" s="388" t="s">
        <v>203</v>
      </c>
      <c r="J6814" s="399">
        <f t="shared" ref="J6814" si="22088">+D6807/4/1000</f>
        <v>2.4024999999999999</v>
      </c>
      <c r="K6814" s="400" t="s">
        <v>204</v>
      </c>
      <c r="L6814" s="399">
        <f t="shared" ref="L6814" si="22089">MAX(VLOOKUP(F6814,N$6:P$15,3,FALSE)/1000,2/3*D6809/1000)+F$16*F6814/1000</f>
        <v>0.156</v>
      </c>
      <c r="M6814" s="399" t="s">
        <v>176</v>
      </c>
      <c r="N6814" s="399">
        <f t="shared" si="22075"/>
        <v>2.5585</v>
      </c>
      <c r="O6814" s="399" t="s">
        <v>204</v>
      </c>
      <c r="P6814" s="389">
        <f t="shared" ref="P6814" si="22090">D6814-D6813</f>
        <v>0</v>
      </c>
      <c r="Q6814" s="399" t="s">
        <v>125</v>
      </c>
      <c r="R6814" s="399">
        <f t="shared" ref="R6814" si="22091">IF(P6814&gt;0,$F$18*F6814/1000,0)</f>
        <v>0</v>
      </c>
      <c r="S6814" s="399" t="s">
        <v>205</v>
      </c>
      <c r="T6814" s="399" t="s">
        <v>125</v>
      </c>
      <c r="U6814" s="401">
        <f t="shared" si="22078"/>
        <v>1.041885</v>
      </c>
      <c r="V6814" s="399"/>
      <c r="W6814" s="399"/>
      <c r="X6814" s="399" t="s">
        <v>125</v>
      </c>
      <c r="Y6814" s="389">
        <f t="shared" ref="Y6814" si="22092">D6811</f>
        <v>1</v>
      </c>
      <c r="Z6814" s="400" t="s">
        <v>176</v>
      </c>
      <c r="AA6814" s="402">
        <f t="shared" ref="AA6814" si="22093">IF(AA6815=0,(D6814*N6814+P6814*R6814)*U6814*Y6814,0)</f>
        <v>0</v>
      </c>
      <c r="AB6814" s="403"/>
    </row>
    <row r="6815" spans="1:28">
      <c r="A6815" s="384" t="str">
        <f t="shared" ref="A6815:B6815" si="22094">A6805</f>
        <v>Lantai Atap</v>
      </c>
      <c r="B6815" s="385">
        <f t="shared" si="22094"/>
        <v>20</v>
      </c>
      <c r="C6815" s="393"/>
      <c r="D6815" s="398">
        <f t="shared" ref="D6815:D6875" si="22095">IF(AND(D6812=D6813,D6813=D6814,D6812=D6814),D6812,0)</f>
        <v>3</v>
      </c>
      <c r="E6815" s="388" t="s">
        <v>16</v>
      </c>
      <c r="F6815" s="388">
        <f t="shared" ref="F6815:F6875" si="22096">IF(AND(F6812=F6813,F6812=F6814,F6813=F6814),F6812,0)</f>
        <v>13</v>
      </c>
      <c r="G6815" s="388"/>
      <c r="H6815" s="395"/>
      <c r="I6815" s="388"/>
      <c r="J6815" s="396"/>
      <c r="K6815" s="396"/>
      <c r="L6815" s="404" t="s">
        <v>207</v>
      </c>
      <c r="M6815" s="399" t="s">
        <v>176</v>
      </c>
      <c r="N6815" s="399">
        <f t="shared" ref="N6815" si="22097">IF(AND(D6812=D6813,D6812=D6814,D6813=D6814,F6812=F6813,F6812=F6814,F6813=F6814),SUM(N6812:N6814),0)</f>
        <v>9.9220000000000006</v>
      </c>
      <c r="O6815" s="399" t="s">
        <v>204</v>
      </c>
      <c r="P6815" s="389">
        <f t="shared" ref="P6815" si="22098">IF(N6815&gt;12,ROUNDDOWN(N6815/12,0),0)</f>
        <v>0</v>
      </c>
      <c r="Q6815" s="399" t="s">
        <v>125</v>
      </c>
      <c r="R6815" s="399">
        <f t="shared" ref="R6815" si="22099">IF(P6815&gt;0,MAX(VLOOKUP(F6815,$D$6:$G$15,3,FALSE),600),0)/1000</f>
        <v>0</v>
      </c>
      <c r="S6815" s="396"/>
      <c r="T6815" s="396" t="s">
        <v>125</v>
      </c>
      <c r="U6815" s="401">
        <f t="shared" ref="U6815:U6875" si="22100">U6814</f>
        <v>1.041885</v>
      </c>
      <c r="V6815" s="396" t="s">
        <v>125</v>
      </c>
      <c r="W6815" s="399">
        <f t="shared" ref="W6815" si="22101">D6815</f>
        <v>3</v>
      </c>
      <c r="X6815" s="399" t="s">
        <v>125</v>
      </c>
      <c r="Y6815" s="389">
        <f t="shared" ref="Y6815:Y6875" si="22102">Y6814</f>
        <v>1</v>
      </c>
      <c r="Z6815" s="400" t="s">
        <v>176</v>
      </c>
      <c r="AA6815" s="402">
        <f t="shared" ref="AA6815" si="22103">(N6815+P6815*R6815/1000)*U6815*W6815*Y6815</f>
        <v>31.012748909999999</v>
      </c>
      <c r="AB6815" s="390"/>
    </row>
    <row r="6816" spans="1:28">
      <c r="A6816" s="384"/>
      <c r="B6816" s="385"/>
      <c r="C6816" s="393"/>
      <c r="D6816" s="398"/>
      <c r="E6816" s="388"/>
      <c r="F6816" s="388"/>
      <c r="G6816" s="388"/>
      <c r="H6816" s="395"/>
      <c r="I6816" s="388"/>
      <c r="J6816" s="396"/>
      <c r="K6816" s="396"/>
      <c r="L6816" s="404"/>
      <c r="M6816" s="399"/>
      <c r="N6816" s="399"/>
      <c r="O6816" s="396"/>
      <c r="P6816" s="389"/>
      <c r="Q6816" s="396"/>
      <c r="R6816" s="396"/>
      <c r="S6816" s="396"/>
      <c r="T6816" s="396"/>
      <c r="U6816" s="401"/>
      <c r="V6816" s="396"/>
      <c r="W6816" s="399"/>
      <c r="X6816" s="396"/>
      <c r="Y6816" s="389"/>
      <c r="Z6816" s="396"/>
      <c r="AA6816" s="388"/>
      <c r="AB6816" s="390"/>
    </row>
    <row r="6817" spans="1:28">
      <c r="A6817" s="384" t="str">
        <f t="shared" ref="A6817:B6817" si="22104">A6805</f>
        <v>Lantai Atap</v>
      </c>
      <c r="B6817" s="385">
        <f t="shared" si="22104"/>
        <v>20</v>
      </c>
      <c r="C6817" s="393" t="s">
        <v>208</v>
      </c>
      <c r="D6817" s="398">
        <f>VLOOKUP(D6805,'Detail Balok'!$C$10:$AU$140,13,FALSE)</f>
        <v>0</v>
      </c>
      <c r="E6817" s="388" t="s">
        <v>16</v>
      </c>
      <c r="F6817" s="388">
        <f>VLOOKUP(D6805,'Detail Balok'!$C$10:$AU$140,15,FALSE)</f>
        <v>8</v>
      </c>
      <c r="G6817" s="388"/>
      <c r="H6817" s="395"/>
      <c r="I6817" s="388"/>
      <c r="J6817" s="399">
        <f t="shared" ref="J6817" si="22105">+D6807/1000</f>
        <v>9.61</v>
      </c>
      <c r="K6817" s="400" t="s">
        <v>204</v>
      </c>
      <c r="L6817" s="399">
        <f t="shared" ref="L6817" si="22106">2*$F$16*F6817/1000</f>
        <v>0.192</v>
      </c>
      <c r="M6817" s="399" t="s">
        <v>176</v>
      </c>
      <c r="N6817" s="399">
        <f t="shared" ref="N6817" si="22107">J6817+L6817</f>
        <v>9.8019999999999996</v>
      </c>
      <c r="O6817" s="399" t="s">
        <v>204</v>
      </c>
      <c r="P6817" s="389">
        <f t="shared" ref="P6817" si="22108">IF(N6817&gt;12,ROUNDDOWN(N6817/12,0),0)</f>
        <v>0</v>
      </c>
      <c r="Q6817" s="399" t="s">
        <v>125</v>
      </c>
      <c r="R6817" s="399">
        <f t="shared" ref="R6817" si="22109">IF(P6817&gt;0,MAX(VLOOKUP(F6817,$D$6:$G$15,3,FALSE),600),0)/1000</f>
        <v>0</v>
      </c>
      <c r="S6817" s="399"/>
      <c r="T6817" s="399" t="s">
        <v>125</v>
      </c>
      <c r="U6817" s="401">
        <f t="shared" ref="U6817" si="22110">0.006165*F6817^2</f>
        <v>0.39456000000000002</v>
      </c>
      <c r="V6817" s="399" t="s">
        <v>125</v>
      </c>
      <c r="W6817" s="399">
        <f t="shared" ref="W6817" si="22111">+D6817</f>
        <v>0</v>
      </c>
      <c r="X6817" s="399" t="s">
        <v>125</v>
      </c>
      <c r="Y6817" s="389">
        <f t="shared" ref="Y6817" si="22112">D6811</f>
        <v>1</v>
      </c>
      <c r="Z6817" s="400" t="s">
        <v>176</v>
      </c>
      <c r="AA6817" s="402">
        <f t="shared" ref="AA6817" si="22113">(N6817+P6817*R6817/1000)*U6817*W6817*Y6817</f>
        <v>0</v>
      </c>
      <c r="AB6817" s="403"/>
    </row>
    <row r="6818" spans="1:28">
      <c r="A6818" s="384"/>
      <c r="B6818" s="385"/>
      <c r="C6818" s="393"/>
      <c r="D6818" s="398"/>
      <c r="E6818" s="388"/>
      <c r="F6818" s="388"/>
      <c r="G6818" s="388"/>
      <c r="H6818" s="395"/>
      <c r="I6818" s="388"/>
      <c r="J6818" s="399"/>
      <c r="K6818" s="400"/>
      <c r="L6818" s="399"/>
      <c r="M6818" s="399"/>
      <c r="N6818" s="399"/>
      <c r="O6818" s="399"/>
      <c r="P6818" s="389"/>
      <c r="Q6818" s="399"/>
      <c r="R6818" s="399"/>
      <c r="S6818" s="399"/>
      <c r="T6818" s="399"/>
      <c r="U6818" s="401"/>
      <c r="V6818" s="399"/>
      <c r="W6818" s="399"/>
      <c r="X6818" s="399"/>
      <c r="Y6818" s="389"/>
      <c r="Z6818" s="400"/>
      <c r="AA6818" s="402"/>
      <c r="AB6818" s="403"/>
    </row>
    <row r="6819" spans="1:28">
      <c r="A6819" s="384"/>
      <c r="B6819" s="385"/>
      <c r="C6819" s="393"/>
      <c r="D6819" s="398"/>
      <c r="E6819" s="388"/>
      <c r="F6819" s="388"/>
      <c r="G6819" s="388"/>
      <c r="H6819" s="395"/>
      <c r="I6819" s="388"/>
      <c r="J6819" s="396"/>
      <c r="K6819" s="396"/>
      <c r="L6819" s="396"/>
      <c r="M6819" s="396"/>
      <c r="N6819" s="396"/>
      <c r="O6819" s="396"/>
      <c r="P6819" s="389"/>
      <c r="Q6819" s="396"/>
      <c r="R6819" s="396"/>
      <c r="S6819" s="396"/>
      <c r="T6819" s="396"/>
      <c r="U6819" s="401"/>
      <c r="V6819" s="396"/>
      <c r="W6819" s="399"/>
      <c r="X6819" s="396"/>
      <c r="Y6819" s="389"/>
      <c r="Z6819" s="396"/>
      <c r="AA6819" s="388"/>
      <c r="AB6819" s="390"/>
    </row>
    <row r="6820" spans="1:28">
      <c r="A6820" s="384" t="str">
        <f t="shared" ref="A6820:B6820" si="22114">A6805</f>
        <v>Lantai Atap</v>
      </c>
      <c r="B6820" s="385">
        <f t="shared" si="22114"/>
        <v>20</v>
      </c>
      <c r="C6820" s="393" t="s">
        <v>209</v>
      </c>
      <c r="D6820" s="398">
        <f>VLOOKUP(D6805,'Detail Balok'!$C$10:$AU$140,22,FALSE)</f>
        <v>3</v>
      </c>
      <c r="E6820" s="388" t="s">
        <v>16</v>
      </c>
      <c r="F6820" s="388">
        <f>VLOOKUP(D6805,'Detail Balok'!$C$10:$AU$140,24,FALSE)</f>
        <v>13</v>
      </c>
      <c r="G6820" s="388"/>
      <c r="H6820" s="395"/>
      <c r="I6820" s="388" t="s">
        <v>203</v>
      </c>
      <c r="J6820" s="399">
        <f t="shared" ref="J6820:J6882" si="22115">+J6812</f>
        <v>2.4024999999999999</v>
      </c>
      <c r="K6820" s="400" t="s">
        <v>204</v>
      </c>
      <c r="L6820" s="399">
        <f t="shared" ref="L6820" si="22116">MAX(VLOOKUP(F6820,N$6:P$15,3,FALSE)/1000,2/3*D6810/1000)+F$16*F6820/1000</f>
        <v>0.156</v>
      </c>
      <c r="M6820" s="399" t="s">
        <v>176</v>
      </c>
      <c r="N6820" s="399">
        <f t="shared" ref="N6820:N6822" si="22117">J6820+L6820</f>
        <v>2.5585</v>
      </c>
      <c r="O6820" s="399" t="s">
        <v>204</v>
      </c>
      <c r="P6820" s="389">
        <f t="shared" ref="P6820" si="22118">D6820-D6821</f>
        <v>0</v>
      </c>
      <c r="Q6820" s="399" t="s">
        <v>125</v>
      </c>
      <c r="R6820" s="399">
        <f t="shared" ref="R6820" si="22119">IF(P6820&gt;0,$F$18*F6820/1000,0)</f>
        <v>0</v>
      </c>
      <c r="S6820" s="399" t="s">
        <v>205</v>
      </c>
      <c r="T6820" s="399" t="s">
        <v>125</v>
      </c>
      <c r="U6820" s="401">
        <f t="shared" ref="U6820:U6822" si="22120">0.006165*F6820^2</f>
        <v>1.041885</v>
      </c>
      <c r="V6820" s="399"/>
      <c r="W6820" s="399"/>
      <c r="X6820" s="399" t="s">
        <v>125</v>
      </c>
      <c r="Y6820" s="389">
        <f t="shared" ref="Y6820" si="22121">D6811</f>
        <v>1</v>
      </c>
      <c r="Z6820" s="400" t="s">
        <v>176</v>
      </c>
      <c r="AA6820" s="402">
        <f t="shared" ref="AA6820" si="22122">IF(AA6823=0,(D6820*N6820+P6820*R6820)*U6820*Y6820,0)</f>
        <v>0</v>
      </c>
      <c r="AB6820" s="403"/>
    </row>
    <row r="6821" spans="1:28">
      <c r="A6821" s="384" t="str">
        <f t="shared" ref="A6821:B6821" si="22123">A6805</f>
        <v>Lantai Atap</v>
      </c>
      <c r="B6821" s="385">
        <f t="shared" si="22123"/>
        <v>20</v>
      </c>
      <c r="C6821" s="393" t="s">
        <v>210</v>
      </c>
      <c r="D6821" s="398">
        <f>VLOOKUP(D6805,'Detail Balok'!$C$10:$AU$140,25,FALSE)</f>
        <v>3</v>
      </c>
      <c r="E6821" s="388" t="s">
        <v>16</v>
      </c>
      <c r="F6821" s="388">
        <f>VLOOKUP(D6805,'Detail Balok'!$C$10:$AU$140,27,FALSE)</f>
        <v>13</v>
      </c>
      <c r="G6821" s="388"/>
      <c r="H6821" s="395"/>
      <c r="I6821" s="388" t="s">
        <v>203</v>
      </c>
      <c r="J6821" s="399">
        <f t="shared" si="22115"/>
        <v>4.8049999999999997</v>
      </c>
      <c r="K6821" s="400" t="s">
        <v>204</v>
      </c>
      <c r="L6821" s="399"/>
      <c r="M6821" s="399" t="s">
        <v>176</v>
      </c>
      <c r="N6821" s="399">
        <f t="shared" si="22117"/>
        <v>4.8049999999999997</v>
      </c>
      <c r="O6821" s="399" t="s">
        <v>204</v>
      </c>
      <c r="P6821" s="389">
        <f t="shared" ref="P6821" si="22124">MAX(D6821-D6820,D6821-D6822)</f>
        <v>0</v>
      </c>
      <c r="Q6821" s="399" t="s">
        <v>125</v>
      </c>
      <c r="R6821" s="399">
        <f t="shared" ref="R6821" si="22125">IF(P6821&gt;0,2*(1-2*$F$19-1/2)*D6808/1000,0)</f>
        <v>0</v>
      </c>
      <c r="S6821" s="399" t="s">
        <v>205</v>
      </c>
      <c r="T6821" s="399" t="s">
        <v>125</v>
      </c>
      <c r="U6821" s="401">
        <f t="shared" si="22120"/>
        <v>1.041885</v>
      </c>
      <c r="V6821" s="399"/>
      <c r="W6821" s="399"/>
      <c r="X6821" s="399" t="s">
        <v>125</v>
      </c>
      <c r="Y6821" s="389">
        <f t="shared" ref="Y6821" si="22126">D6811</f>
        <v>1</v>
      </c>
      <c r="Z6821" s="400" t="s">
        <v>176</v>
      </c>
      <c r="AA6821" s="402">
        <f t="shared" ref="AA6821" si="22127">IF(AA6823=0,(D6821*N6821+P6821*R6821)*U6821*Y6821,0)</f>
        <v>0</v>
      </c>
      <c r="AB6821" s="403"/>
    </row>
    <row r="6822" spans="1:28">
      <c r="A6822" s="384" t="str">
        <f t="shared" ref="A6822:B6822" si="22128">A6805</f>
        <v>Lantai Atap</v>
      </c>
      <c r="B6822" s="385">
        <f t="shared" si="22128"/>
        <v>20</v>
      </c>
      <c r="C6822" s="393" t="s">
        <v>209</v>
      </c>
      <c r="D6822" s="398">
        <f>VLOOKUP(D6805,'Detail Balok'!$C$10:$AU$140,28,FALSE)</f>
        <v>3</v>
      </c>
      <c r="E6822" s="388" t="s">
        <v>16</v>
      </c>
      <c r="F6822" s="388">
        <f>VLOOKUP(D6805,'Detail Balok'!$C$10:$AU$140,30,FALSE)</f>
        <v>13</v>
      </c>
      <c r="G6822" s="388"/>
      <c r="H6822" s="395"/>
      <c r="I6822" s="388" t="s">
        <v>203</v>
      </c>
      <c r="J6822" s="399">
        <f t="shared" si="22115"/>
        <v>2.4024999999999999</v>
      </c>
      <c r="K6822" s="400" t="s">
        <v>204</v>
      </c>
      <c r="L6822" s="399">
        <f t="shared" ref="L6822" si="22129">MAX(VLOOKUP(F6822,N$6:P$15,3,FALSE)/1000,2/3*D6810/1000)+F$16*F6822/1000</f>
        <v>0.156</v>
      </c>
      <c r="M6822" s="399" t="s">
        <v>176</v>
      </c>
      <c r="N6822" s="399">
        <f t="shared" si="22117"/>
        <v>2.5585</v>
      </c>
      <c r="O6822" s="399" t="s">
        <v>204</v>
      </c>
      <c r="P6822" s="389">
        <f t="shared" ref="P6822" si="22130">D6822-D6821</f>
        <v>0</v>
      </c>
      <c r="Q6822" s="399" t="s">
        <v>125</v>
      </c>
      <c r="R6822" s="399">
        <f t="shared" ref="R6822" si="22131">IF(P6822&gt;0,$F$18*F6822/1000,0)</f>
        <v>0</v>
      </c>
      <c r="S6822" s="399" t="s">
        <v>205</v>
      </c>
      <c r="T6822" s="399" t="s">
        <v>125</v>
      </c>
      <c r="U6822" s="401">
        <f t="shared" si="22120"/>
        <v>1.041885</v>
      </c>
      <c r="V6822" s="399"/>
      <c r="W6822" s="399"/>
      <c r="X6822" s="399" t="s">
        <v>125</v>
      </c>
      <c r="Y6822" s="389">
        <f t="shared" ref="Y6822" si="22132">D6811</f>
        <v>1</v>
      </c>
      <c r="Z6822" s="400" t="s">
        <v>176</v>
      </c>
      <c r="AA6822" s="402">
        <f t="shared" ref="AA6822" si="22133">IF(AA6823=0,(D6822*N6822+P6822*R6822)*U6822*Y6822,0)</f>
        <v>0</v>
      </c>
      <c r="AB6822" s="403"/>
    </row>
    <row r="6823" spans="1:28">
      <c r="A6823" s="384" t="str">
        <f t="shared" ref="A6823:B6823" si="22134">A6805</f>
        <v>Lantai Atap</v>
      </c>
      <c r="B6823" s="385">
        <f t="shared" si="22134"/>
        <v>20</v>
      </c>
      <c r="C6823" s="393"/>
      <c r="D6823" s="398">
        <f t="shared" ref="D6823:D6883" si="22135">IF(AND(D6820=D6821,D6821=D6822,D6820=D6822),D6820,0)</f>
        <v>3</v>
      </c>
      <c r="E6823" s="388" t="s">
        <v>16</v>
      </c>
      <c r="F6823" s="388">
        <f t="shared" ref="F6823:F6883" si="22136">IF(AND(F6820=F6821,F6820=F6822,F6821=F6822),F6820,0)</f>
        <v>13</v>
      </c>
      <c r="G6823" s="388"/>
      <c r="H6823" s="395"/>
      <c r="I6823" s="388"/>
      <c r="J6823" s="396"/>
      <c r="K6823" s="396"/>
      <c r="L6823" s="404" t="s">
        <v>207</v>
      </c>
      <c r="M6823" s="399" t="s">
        <v>176</v>
      </c>
      <c r="N6823" s="399">
        <f t="shared" ref="N6823" si="22137">IF(AND(D6820=D6821,D6820=D6822,D6821=D6822,F6820=F6821,F6820=F6822,F6821=F6822),SUM(N6820:N6822),0)</f>
        <v>9.9220000000000006</v>
      </c>
      <c r="O6823" s="399" t="s">
        <v>204</v>
      </c>
      <c r="P6823" s="389">
        <f t="shared" ref="P6823" si="22138">IF(N6823&gt;12,ROUNDDOWN(N6823/12,0),0)</f>
        <v>0</v>
      </c>
      <c r="Q6823" s="399" t="s">
        <v>125</v>
      </c>
      <c r="R6823" s="399">
        <f t="shared" ref="R6823" si="22139">IF(P6823&gt;0,MAX(VLOOKUP(F6823,$D$6:$G$15,3,FALSE),600),0)/1000</f>
        <v>0</v>
      </c>
      <c r="S6823" s="396"/>
      <c r="T6823" s="396" t="s">
        <v>125</v>
      </c>
      <c r="U6823" s="401">
        <f t="shared" ref="U6823:U6883" si="22140">U6822</f>
        <v>1.041885</v>
      </c>
      <c r="V6823" s="396" t="s">
        <v>125</v>
      </c>
      <c r="W6823" s="399">
        <f t="shared" ref="W6823" si="22141">D6823</f>
        <v>3</v>
      </c>
      <c r="X6823" s="399" t="s">
        <v>125</v>
      </c>
      <c r="Y6823" s="389">
        <f t="shared" ref="Y6823:Y6883" si="22142">Y6822</f>
        <v>1</v>
      </c>
      <c r="Z6823" s="400" t="s">
        <v>176</v>
      </c>
      <c r="AA6823" s="402">
        <f t="shared" ref="AA6823" si="22143">(N6823+P6823*R6823/1000)*U6823*W6823*Y6823</f>
        <v>31.012748909999999</v>
      </c>
      <c r="AB6823" s="403"/>
    </row>
    <row r="6824" spans="1:28">
      <c r="A6824" s="384"/>
      <c r="B6824" s="385"/>
      <c r="C6824" s="393"/>
      <c r="D6824" s="394"/>
      <c r="E6824" s="388"/>
      <c r="F6824" s="388"/>
      <c r="G6824" s="388"/>
      <c r="H6824" s="395"/>
      <c r="I6824" s="388"/>
      <c r="J6824" s="399"/>
      <c r="K6824" s="396"/>
      <c r="L6824" s="396"/>
      <c r="M6824" s="396"/>
      <c r="N6824" s="396"/>
      <c r="O6824" s="396"/>
      <c r="P6824" s="389"/>
      <c r="Q6824" s="396"/>
      <c r="R6824" s="396"/>
      <c r="S6824" s="396"/>
      <c r="T6824" s="396"/>
      <c r="U6824" s="401"/>
      <c r="V6824" s="396"/>
      <c r="W6824" s="388"/>
      <c r="X6824" s="396"/>
      <c r="Y6824" s="389"/>
      <c r="Z6824" s="396"/>
      <c r="AA6824" s="388"/>
      <c r="AB6824" s="390"/>
    </row>
    <row r="6825" spans="1:28">
      <c r="A6825" s="384" t="str">
        <f t="shared" ref="A6825:B6825" si="22144">A6805</f>
        <v>Lantai Atap</v>
      </c>
      <c r="B6825" s="385">
        <f t="shared" si="22144"/>
        <v>20</v>
      </c>
      <c r="C6825" s="393" t="s">
        <v>211</v>
      </c>
      <c r="D6825" s="398">
        <f>VLOOKUP(D6805,'Detail Balok'!$C$10:$AU$140,31,FALSE)</f>
        <v>0</v>
      </c>
      <c r="E6825" s="388" t="s">
        <v>16</v>
      </c>
      <c r="F6825" s="388">
        <f>VLOOKUP(D6805,'Detail Balok'!$C$10:$AU$140,33,FALSE)</f>
        <v>10</v>
      </c>
      <c r="G6825" s="405" t="s">
        <v>157</v>
      </c>
      <c r="H6825" s="395">
        <f>VLOOKUP(D6805,'Detail Balok'!$C$10:$AU$140,35,FALSE)</f>
        <v>100</v>
      </c>
      <c r="I6825" s="388"/>
      <c r="J6825" s="400">
        <f t="shared" ref="J6825" si="22145">(IF(D6825=0,(2*(D6806+G6806))-(F$5*8),IF(D6825=3,(2*(D6806+G6806))-(F$5*8)+(G6806-2*F$5),IF(D6825=4,(2*(D6806+G6806))-(F$5*8)+2*(G6806-2*F$5)))))/1000</f>
        <v>0.88</v>
      </c>
      <c r="K6825" s="400" t="s">
        <v>204</v>
      </c>
      <c r="L6825" s="399">
        <f t="shared" ref="L6825:L6827" si="22146">IF(D6825=0,2*MAX(6*F6825,75),(D6825-1)*2*MAX(6*F6825,75))/1000</f>
        <v>0.15</v>
      </c>
      <c r="M6825" s="399" t="s">
        <v>176</v>
      </c>
      <c r="N6825" s="399">
        <f t="shared" ref="N6825:N6827" si="22147">J6825+L6825</f>
        <v>1.03</v>
      </c>
      <c r="O6825" s="399"/>
      <c r="P6825" s="389"/>
      <c r="Q6825" s="399"/>
      <c r="R6825" s="399"/>
      <c r="S6825" s="399"/>
      <c r="T6825" s="399" t="s">
        <v>125</v>
      </c>
      <c r="U6825" s="401">
        <f t="shared" ref="U6825:U6827" si="22148">0.006165*F6825^2</f>
        <v>0.61650000000000005</v>
      </c>
      <c r="V6825" s="399" t="s">
        <v>125</v>
      </c>
      <c r="W6825" s="399">
        <f t="shared" ref="W6825" si="22149">IF(D6808&gt;4*G6806,ROUND(MAX(D6808/4,2*G6806)/H6825,0)+1,ROUND(D6808/H6825,0)+1)</f>
        <v>25</v>
      </c>
      <c r="X6825" s="399" t="s">
        <v>125</v>
      </c>
      <c r="Y6825" s="389">
        <f t="shared" ref="Y6825" si="22150">D6811</f>
        <v>1</v>
      </c>
      <c r="Z6825" s="400" t="s">
        <v>176</v>
      </c>
      <c r="AA6825" s="402">
        <f t="shared" ref="AA6825:AA6827" si="22151">N6825*U6825*W6825*Y6825</f>
        <v>15.874875000000003</v>
      </c>
      <c r="AB6825" s="403"/>
    </row>
    <row r="6826" spans="1:28">
      <c r="A6826" s="384" t="str">
        <f t="shared" ref="A6826:B6826" si="22152">A6805</f>
        <v>Lantai Atap</v>
      </c>
      <c r="B6826" s="385">
        <f t="shared" si="22152"/>
        <v>20</v>
      </c>
      <c r="C6826" s="393" t="s">
        <v>212</v>
      </c>
      <c r="D6826" s="398">
        <f>VLOOKUP(D6805,'Detail Balok'!$C$10:$AU$140,36,FALSE)</f>
        <v>0</v>
      </c>
      <c r="E6826" s="388" t="s">
        <v>16</v>
      </c>
      <c r="F6826" s="388">
        <f>VLOOKUP(D6805,'Detail Balok'!$C$10:$AU$140,38,FALSE)</f>
        <v>10</v>
      </c>
      <c r="G6826" s="405" t="s">
        <v>157</v>
      </c>
      <c r="H6826" s="395">
        <f>VLOOKUP(D6805,'Detail Balok'!$C$10:$AU$140,40,FALSE)</f>
        <v>200</v>
      </c>
      <c r="I6826" s="388"/>
      <c r="J6826" s="400">
        <f t="shared" ref="J6826" si="22153">(IF(D6826=0,(2*(D6806+G6806))-(F$5*8),IF(D6826=3,(2*(D6806+G6806))-(F$5*8)+(G6806-2*F$5),IF(D6826=4,(2*(D6806+G6806))-(F$5*8)+2*(G6806-2*F$5)))))/1000</f>
        <v>0.88</v>
      </c>
      <c r="K6826" s="400" t="s">
        <v>204</v>
      </c>
      <c r="L6826" s="399">
        <f t="shared" si="22146"/>
        <v>0.15</v>
      </c>
      <c r="M6826" s="399" t="s">
        <v>176</v>
      </c>
      <c r="N6826" s="399">
        <f t="shared" si="22147"/>
        <v>1.03</v>
      </c>
      <c r="O6826" s="399"/>
      <c r="P6826" s="389"/>
      <c r="Q6826" s="399"/>
      <c r="R6826" s="399"/>
      <c r="S6826" s="399"/>
      <c r="T6826" s="399" t="s">
        <v>125</v>
      </c>
      <c r="U6826" s="401">
        <f t="shared" si="22148"/>
        <v>0.61650000000000005</v>
      </c>
      <c r="V6826" s="399" t="s">
        <v>125</v>
      </c>
      <c r="W6826" s="399">
        <f t="shared" ref="W6826" si="22154">IF(D6808-MAX(D6808/4,2*G6806)*2&gt;0,ROUND((D6808-MAX(D6808/4,2*G6806)*2)/H6826,0),0)</f>
        <v>24</v>
      </c>
      <c r="X6826" s="399" t="s">
        <v>125</v>
      </c>
      <c r="Y6826" s="389">
        <f t="shared" ref="Y6826" si="22155">D6811</f>
        <v>1</v>
      </c>
      <c r="Z6826" s="400" t="s">
        <v>176</v>
      </c>
      <c r="AA6826" s="402">
        <f t="shared" si="22151"/>
        <v>15.239880000000003</v>
      </c>
      <c r="AB6826" s="403"/>
    </row>
    <row r="6827" spans="1:28">
      <c r="A6827" s="384" t="str">
        <f t="shared" ref="A6827:B6827" si="22156">A6805</f>
        <v>Lantai Atap</v>
      </c>
      <c r="B6827" s="385">
        <f t="shared" si="22156"/>
        <v>20</v>
      </c>
      <c r="C6827" s="393" t="s">
        <v>211</v>
      </c>
      <c r="D6827" s="398">
        <f>VLOOKUP(D6805,'Detail Balok'!$C$10:$AU$140,41,FALSE)</f>
        <v>0</v>
      </c>
      <c r="E6827" s="388" t="s">
        <v>16</v>
      </c>
      <c r="F6827" s="388">
        <f>VLOOKUP(D6805,'Detail Balok'!$C$10:$AU$140,43,FALSE)</f>
        <v>10</v>
      </c>
      <c r="G6827" s="405" t="s">
        <v>157</v>
      </c>
      <c r="H6827" s="395">
        <f>VLOOKUP(D6805,'Detail Balok'!$C$10:$AU$140,45,FALSE)</f>
        <v>100</v>
      </c>
      <c r="I6827" s="388"/>
      <c r="J6827" s="400">
        <f t="shared" ref="J6827" si="22157">(IF(D6827=0,(2*(D6806+G6806))-(F$5*8),IF(D6827=3,(2*(D6806+G6806))-(F$5*8)+(G6806-2*F$5),IF(D6827=4,(2*(D6806+G6806))-(F$5*8)+2*(G6806-2*F$5)))))/1000</f>
        <v>0.88</v>
      </c>
      <c r="K6827" s="400" t="s">
        <v>204</v>
      </c>
      <c r="L6827" s="399">
        <f t="shared" si="22146"/>
        <v>0.15</v>
      </c>
      <c r="M6827" s="399" t="s">
        <v>176</v>
      </c>
      <c r="N6827" s="399">
        <f t="shared" si="22147"/>
        <v>1.03</v>
      </c>
      <c r="O6827" s="399"/>
      <c r="P6827" s="389"/>
      <c r="Q6827" s="399"/>
      <c r="R6827" s="399"/>
      <c r="S6827" s="399"/>
      <c r="T6827" s="399" t="s">
        <v>125</v>
      </c>
      <c r="U6827" s="401">
        <f t="shared" si="22148"/>
        <v>0.61650000000000005</v>
      </c>
      <c r="V6827" s="399" t="s">
        <v>125</v>
      </c>
      <c r="W6827" s="399">
        <f t="shared" ref="W6827" si="22158">IF(D6808&gt;4*G6806,ROUND(MAX(D6808/4,2*G6806)/H6827,0)+1,0)</f>
        <v>25</v>
      </c>
      <c r="X6827" s="399" t="s">
        <v>125</v>
      </c>
      <c r="Y6827" s="389">
        <f t="shared" ref="Y6827" si="22159">D6811</f>
        <v>1</v>
      </c>
      <c r="Z6827" s="400" t="s">
        <v>176</v>
      </c>
      <c r="AA6827" s="402">
        <f t="shared" si="22151"/>
        <v>15.874875000000003</v>
      </c>
      <c r="AB6827" s="403"/>
    </row>
    <row r="6828" spans="1:28">
      <c r="A6828" s="384"/>
      <c r="B6828" s="385"/>
      <c r="C6828" s="393"/>
      <c r="D6828" s="394"/>
      <c r="E6828" s="388"/>
      <c r="F6828" s="388"/>
      <c r="G6828" s="388"/>
      <c r="H6828" s="395"/>
      <c r="I6828" s="388"/>
      <c r="J6828" s="399"/>
      <c r="K6828" s="396"/>
      <c r="L6828" s="396"/>
      <c r="M6828" s="396"/>
      <c r="N6828" s="396"/>
      <c r="O6828" s="396"/>
      <c r="P6828" s="389"/>
      <c r="Q6828" s="396"/>
      <c r="R6828" s="396"/>
      <c r="S6828" s="396"/>
      <c r="T6828" s="396"/>
      <c r="U6828" s="401"/>
      <c r="V6828" s="396"/>
      <c r="W6828" s="388"/>
      <c r="X6828" s="396"/>
      <c r="Y6828" s="389"/>
      <c r="Z6828" s="396"/>
      <c r="AA6828" s="388"/>
      <c r="AB6828" s="390"/>
    </row>
    <row r="6829" spans="1:28">
      <c r="A6829" s="384" t="str">
        <f t="shared" ref="A6829:B6829" si="22160">A6805</f>
        <v>Lantai Atap</v>
      </c>
      <c r="B6829" s="385">
        <f t="shared" si="22160"/>
        <v>20</v>
      </c>
      <c r="C6829" s="393" t="s">
        <v>213</v>
      </c>
      <c r="D6829" s="398">
        <f>VLOOKUP(D6805,'Detail Balok'!$C$10:$BJ$140,46,FALSE)</f>
        <v>0</v>
      </c>
      <c r="E6829" s="388" t="s">
        <v>16</v>
      </c>
      <c r="F6829" s="388">
        <f>VLOOKUP(D6805,'Detail Balok'!$C$10:$BJ$140,48,FALSE)</f>
        <v>0</v>
      </c>
      <c r="G6829" s="405" t="s">
        <v>157</v>
      </c>
      <c r="H6829" s="395">
        <f>VLOOKUP(D6805,'Detail Balok'!$C$10:$BJ$140,50,FALSE)</f>
        <v>100</v>
      </c>
      <c r="I6829" s="388"/>
      <c r="J6829" s="399">
        <f t="shared" ref="J6829" si="22161">(D6806-2*F$5)/1000</f>
        <v>0.12</v>
      </c>
      <c r="K6829" s="400" t="s">
        <v>204</v>
      </c>
      <c r="L6829" s="399">
        <f t="shared" ref="L6829:L6831" si="22162">IF(D6829=0,2*MAX(6*F6829,75),(D6829-1)*2*MAX(6*F6829,75))/1000</f>
        <v>0.15</v>
      </c>
      <c r="M6829" s="399" t="s">
        <v>176</v>
      </c>
      <c r="N6829" s="399">
        <f t="shared" ref="N6829:N6831" si="22163">J6829+L6829</f>
        <v>0.27</v>
      </c>
      <c r="O6829" s="399"/>
      <c r="P6829" s="399"/>
      <c r="Q6829" s="399"/>
      <c r="R6829" s="399"/>
      <c r="S6829" s="399"/>
      <c r="T6829" s="399" t="s">
        <v>125</v>
      </c>
      <c r="U6829" s="401">
        <f t="shared" ref="U6829:U6831" si="22164">0.006165*F6829^2</f>
        <v>0</v>
      </c>
      <c r="V6829" s="399" t="s">
        <v>125</v>
      </c>
      <c r="W6829" s="399">
        <f t="shared" ref="W6829:W6891" si="22165">W6825</f>
        <v>25</v>
      </c>
      <c r="X6829" s="399" t="s">
        <v>125</v>
      </c>
      <c r="Y6829" s="389">
        <f t="shared" ref="Y6829" si="22166">D6815</f>
        <v>3</v>
      </c>
      <c r="Z6829" s="400" t="s">
        <v>176</v>
      </c>
      <c r="AA6829" s="402">
        <f t="shared" ref="AA6829:AA6831" si="22167">N6829*U6829*W6829*Y6829</f>
        <v>0</v>
      </c>
      <c r="AB6829" s="403"/>
    </row>
    <row r="6830" spans="1:28">
      <c r="A6830" s="384" t="str">
        <f t="shared" ref="A6830:B6830" si="22168">A6805</f>
        <v>Lantai Atap</v>
      </c>
      <c r="B6830" s="385">
        <f t="shared" si="22168"/>
        <v>20</v>
      </c>
      <c r="C6830" s="393" t="s">
        <v>214</v>
      </c>
      <c r="D6830" s="398">
        <f>VLOOKUP(D6805,'Detail Balok'!$C$10:$BJ$140,51,FALSE)</f>
        <v>0</v>
      </c>
      <c r="E6830" s="388" t="s">
        <v>16</v>
      </c>
      <c r="F6830" s="388">
        <f>VLOOKUP(D6805,'Detail Balok'!$C$10:$BJ$140,53,FALSE)</f>
        <v>0</v>
      </c>
      <c r="G6830" s="405" t="s">
        <v>157</v>
      </c>
      <c r="H6830" s="395">
        <f>VLOOKUP(D6805,'Detail Balok'!$C$10:$BJ$140,55,FALSE)</f>
        <v>100</v>
      </c>
      <c r="I6830" s="388"/>
      <c r="J6830" s="399">
        <f t="shared" ref="J6830" si="22169">(D6806-2*F$5)/1000</f>
        <v>0.12</v>
      </c>
      <c r="K6830" s="400" t="s">
        <v>204</v>
      </c>
      <c r="L6830" s="399">
        <f t="shared" si="22162"/>
        <v>0.15</v>
      </c>
      <c r="M6830" s="399" t="s">
        <v>176</v>
      </c>
      <c r="N6830" s="399">
        <f t="shared" si="22163"/>
        <v>0.27</v>
      </c>
      <c r="O6830" s="399"/>
      <c r="P6830" s="399"/>
      <c r="Q6830" s="399"/>
      <c r="R6830" s="399"/>
      <c r="S6830" s="399"/>
      <c r="T6830" s="399" t="s">
        <v>125</v>
      </c>
      <c r="U6830" s="401">
        <f t="shared" si="22164"/>
        <v>0</v>
      </c>
      <c r="V6830" s="399" t="s">
        <v>125</v>
      </c>
      <c r="W6830" s="399">
        <f t="shared" si="22165"/>
        <v>24</v>
      </c>
      <c r="X6830" s="399" t="s">
        <v>125</v>
      </c>
      <c r="Y6830" s="389">
        <f t="shared" ref="Y6830" si="22170">D6815</f>
        <v>3</v>
      </c>
      <c r="Z6830" s="400" t="s">
        <v>176</v>
      </c>
      <c r="AA6830" s="402">
        <f t="shared" si="22167"/>
        <v>0</v>
      </c>
      <c r="AB6830" s="403"/>
    </row>
    <row r="6831" spans="1:28">
      <c r="A6831" s="384" t="str">
        <f t="shared" ref="A6831:B6831" si="22171">A6805</f>
        <v>Lantai Atap</v>
      </c>
      <c r="B6831" s="385">
        <f t="shared" si="22171"/>
        <v>20</v>
      </c>
      <c r="C6831" s="393" t="s">
        <v>213</v>
      </c>
      <c r="D6831" s="398">
        <f>VLOOKUP(D6805,'Detail Balok'!$C$10:$BJ$140,56,FALSE)</f>
        <v>0</v>
      </c>
      <c r="E6831" s="388" t="s">
        <v>16</v>
      </c>
      <c r="F6831" s="388">
        <f>VLOOKUP(D6805,'Detail Balok'!$C$10:$BJ$140,58,FALSE)</f>
        <v>0</v>
      </c>
      <c r="G6831" s="405" t="s">
        <v>157</v>
      </c>
      <c r="H6831" s="395">
        <f>VLOOKUP(D6805,'Detail Balok'!$C$10:$BJ$140,60,FALSE)</f>
        <v>100</v>
      </c>
      <c r="I6831" s="388"/>
      <c r="J6831" s="399">
        <f t="shared" ref="J6831" si="22172">(D6806-2*F$5)/1000</f>
        <v>0.12</v>
      </c>
      <c r="K6831" s="400" t="s">
        <v>204</v>
      </c>
      <c r="L6831" s="399">
        <f t="shared" si="22162"/>
        <v>0.15</v>
      </c>
      <c r="M6831" s="399" t="s">
        <v>176</v>
      </c>
      <c r="N6831" s="399">
        <f t="shared" si="22163"/>
        <v>0.27</v>
      </c>
      <c r="O6831" s="399"/>
      <c r="P6831" s="399"/>
      <c r="Q6831" s="399"/>
      <c r="R6831" s="399"/>
      <c r="S6831" s="399"/>
      <c r="T6831" s="399" t="s">
        <v>125</v>
      </c>
      <c r="U6831" s="401">
        <f t="shared" si="22164"/>
        <v>0</v>
      </c>
      <c r="V6831" s="399" t="s">
        <v>125</v>
      </c>
      <c r="W6831" s="399">
        <f t="shared" si="22165"/>
        <v>25</v>
      </c>
      <c r="X6831" s="399" t="s">
        <v>125</v>
      </c>
      <c r="Y6831" s="389">
        <f t="shared" ref="Y6831" si="22173">D6815</f>
        <v>3</v>
      </c>
      <c r="Z6831" s="400" t="s">
        <v>176</v>
      </c>
      <c r="AA6831" s="402">
        <f t="shared" si="22167"/>
        <v>0</v>
      </c>
      <c r="AB6831" s="403"/>
    </row>
    <row r="6832" spans="1:28">
      <c r="A6832" s="391"/>
      <c r="B6832" s="392"/>
      <c r="C6832" s="392"/>
      <c r="D6832" s="394"/>
      <c r="E6832" s="388"/>
      <c r="F6832" s="388"/>
      <c r="G6832" s="388"/>
      <c r="H6832" s="395"/>
      <c r="I6832" s="388"/>
      <c r="J6832" s="402"/>
      <c r="K6832" s="388"/>
      <c r="L6832" s="388"/>
      <c r="M6832" s="388"/>
      <c r="N6832" s="388"/>
      <c r="O6832" s="388"/>
      <c r="P6832" s="388"/>
      <c r="Q6832" s="388"/>
      <c r="R6832" s="388"/>
      <c r="S6832" s="388"/>
      <c r="T6832" s="388"/>
      <c r="U6832" s="388"/>
      <c r="V6832" s="388"/>
      <c r="W6832" s="388"/>
      <c r="X6832" s="388"/>
      <c r="Y6832" s="389"/>
      <c r="Z6832" s="388"/>
      <c r="AA6832" s="402"/>
      <c r="AB6832" s="403"/>
    </row>
    <row r="6833" spans="1:28" ht="15.75" thickBot="1">
      <c r="A6833" s="406"/>
      <c r="B6833" s="407"/>
      <c r="C6833" s="407"/>
      <c r="D6833" s="408"/>
      <c r="E6833" s="409"/>
      <c r="F6833" s="409"/>
      <c r="G6833" s="409"/>
      <c r="H6833" s="410"/>
      <c r="I6833" s="409"/>
      <c r="J6833" s="409"/>
      <c r="K6833" s="409"/>
      <c r="L6833" s="409"/>
      <c r="M6833" s="409"/>
      <c r="N6833" s="409"/>
      <c r="O6833" s="409"/>
      <c r="P6833" s="409"/>
      <c r="Q6833" s="409"/>
      <c r="R6833" s="409"/>
      <c r="S6833" s="409"/>
      <c r="T6833" s="409"/>
      <c r="U6833" s="409"/>
      <c r="V6833" s="409"/>
      <c r="W6833" s="409"/>
      <c r="X6833" s="409"/>
      <c r="Y6833" s="411"/>
      <c r="Z6833" s="409"/>
      <c r="AA6833" s="412"/>
      <c r="AB6833" s="413"/>
    </row>
    <row r="6834" spans="1:28">
      <c r="A6834" s="377"/>
      <c r="B6834" s="378"/>
      <c r="C6834" s="378"/>
      <c r="D6834" s="379"/>
      <c r="E6834" s="380"/>
      <c r="F6834" s="380"/>
      <c r="G6834" s="380"/>
      <c r="H6834" s="381"/>
      <c r="I6834" s="380"/>
      <c r="J6834" s="380"/>
      <c r="K6834" s="380"/>
      <c r="L6834" s="380"/>
      <c r="M6834" s="380"/>
      <c r="N6834" s="380"/>
      <c r="O6834" s="380"/>
      <c r="P6834" s="380"/>
      <c r="Q6834" s="380"/>
      <c r="R6834" s="380"/>
      <c r="S6834" s="380"/>
      <c r="T6834" s="380"/>
      <c r="U6834" s="380"/>
      <c r="V6834" s="380"/>
      <c r="W6834" s="380"/>
      <c r="X6834" s="380"/>
      <c r="Y6834" s="382"/>
      <c r="Z6834" s="380"/>
      <c r="AA6834" s="380"/>
      <c r="AB6834" s="383"/>
    </row>
    <row r="6835" spans="1:28">
      <c r="A6835" s="384" t="str">
        <f t="shared" ref="A6835:A6895" si="22174">A6805</f>
        <v>Lantai Atap</v>
      </c>
      <c r="B6835" s="385">
        <f t="shared" ref="B6835:B6895" si="22175">B6805+1</f>
        <v>21</v>
      </c>
      <c r="C6835" s="386" t="str">
        <f t="shared" ref="C6835" si="22176">CONCATENATE(A6835," no. ",B6835)</f>
        <v>Lantai Atap no. 21</v>
      </c>
      <c r="D6835" s="2562" t="str">
        <f>VLOOKUP(C6835,'Data Panjang Balok'!$C$9:$N$254,2,FALSE)</f>
        <v>B2A4A-1</v>
      </c>
      <c r="E6835" s="2576"/>
      <c r="F6835" s="2576"/>
      <c r="G6835" s="2576"/>
      <c r="H6835" s="2577"/>
      <c r="I6835" s="387"/>
      <c r="J6835" s="388"/>
      <c r="K6835" s="388"/>
      <c r="L6835" s="388"/>
      <c r="M6835" s="388"/>
      <c r="N6835" s="388"/>
      <c r="O6835" s="388"/>
      <c r="P6835" s="388"/>
      <c r="Q6835" s="388"/>
      <c r="R6835" s="388"/>
      <c r="S6835" s="388"/>
      <c r="T6835" s="388"/>
      <c r="U6835" s="388"/>
      <c r="V6835" s="388"/>
      <c r="W6835" s="388"/>
      <c r="X6835" s="388"/>
      <c r="Y6835" s="389"/>
      <c r="Z6835" s="388"/>
      <c r="AA6835" s="388"/>
      <c r="AB6835" s="390"/>
    </row>
    <row r="6836" spans="1:28">
      <c r="A6836" s="391"/>
      <c r="B6836" s="392"/>
      <c r="C6836" s="393" t="s">
        <v>118</v>
      </c>
      <c r="D6836" s="2578">
        <f>VLOOKUP(D6835,'Detail Balok'!$C$10:$AU$140,2,FALSE)</f>
        <v>250</v>
      </c>
      <c r="E6836" s="2579"/>
      <c r="F6836" s="388" t="s">
        <v>125</v>
      </c>
      <c r="G6836" s="2579">
        <f>VLOOKUP(D6835,'Detail Balok'!$C$10:$AU$140,3,FALSE)</f>
        <v>450</v>
      </c>
      <c r="H6836" s="2580"/>
      <c r="I6836" s="388"/>
      <c r="J6836" s="396"/>
      <c r="K6836" s="396"/>
      <c r="L6836" s="396"/>
      <c r="M6836" s="396"/>
      <c r="N6836" s="396"/>
      <c r="O6836" s="396"/>
      <c r="P6836" s="396"/>
      <c r="Q6836" s="396"/>
      <c r="R6836" s="396"/>
      <c r="S6836" s="396"/>
      <c r="T6836" s="396"/>
      <c r="U6836" s="388"/>
      <c r="V6836" s="396"/>
      <c r="W6836" s="388"/>
      <c r="X6836" s="396"/>
      <c r="Y6836" s="389"/>
      <c r="Z6836" s="396"/>
      <c r="AA6836" s="388"/>
      <c r="AB6836" s="390"/>
    </row>
    <row r="6837" spans="1:28">
      <c r="A6837" s="391"/>
      <c r="B6837" s="392"/>
      <c r="C6837" s="393" t="s">
        <v>198</v>
      </c>
      <c r="D6837" s="2562">
        <f>VLOOKUP(C6835,'Data Panjang Balok'!$C$9:$N$254,4,FALSE)</f>
        <v>5140</v>
      </c>
      <c r="E6837" s="2563"/>
      <c r="F6837" s="2563"/>
      <c r="G6837" s="2563"/>
      <c r="H6837" s="2564"/>
      <c r="I6837" s="397"/>
      <c r="J6837" s="396"/>
      <c r="K6837" s="396"/>
      <c r="L6837" s="396"/>
      <c r="M6837" s="396"/>
      <c r="N6837" s="396"/>
      <c r="O6837" s="396"/>
      <c r="P6837" s="396"/>
      <c r="Q6837" s="396"/>
      <c r="R6837" s="396"/>
      <c r="S6837" s="396"/>
      <c r="T6837" s="396"/>
      <c r="U6837" s="388"/>
      <c r="V6837" s="396"/>
      <c r="W6837" s="388"/>
      <c r="X6837" s="396"/>
      <c r="Y6837" s="389"/>
      <c r="Z6837" s="396"/>
      <c r="AA6837" s="388"/>
      <c r="AB6837" s="390"/>
    </row>
    <row r="6838" spans="1:28">
      <c r="A6838" s="391"/>
      <c r="B6838" s="392"/>
      <c r="C6838" s="393" t="s">
        <v>199</v>
      </c>
      <c r="D6838" s="2562">
        <f>VLOOKUP(C6835,'Data Panjang Balok'!$C$9:$N$254,7,FALSE)</f>
        <v>5140</v>
      </c>
      <c r="E6838" s="2563"/>
      <c r="F6838" s="2563"/>
      <c r="G6838" s="2563"/>
      <c r="H6838" s="2564"/>
      <c r="I6838" s="397"/>
      <c r="J6838" s="396"/>
      <c r="K6838" s="396"/>
      <c r="L6838" s="396"/>
      <c r="M6838" s="396"/>
      <c r="N6838" s="396"/>
      <c r="O6838" s="396"/>
      <c r="P6838" s="396"/>
      <c r="Q6838" s="396"/>
      <c r="R6838" s="396"/>
      <c r="S6838" s="396"/>
      <c r="T6838" s="396"/>
      <c r="U6838" s="388"/>
      <c r="V6838" s="396"/>
      <c r="W6838" s="388"/>
      <c r="X6838" s="396"/>
      <c r="Y6838" s="389"/>
      <c r="Z6838" s="396"/>
      <c r="AA6838" s="388"/>
      <c r="AB6838" s="390"/>
    </row>
    <row r="6839" spans="1:28">
      <c r="A6839" s="391"/>
      <c r="B6839" s="392"/>
      <c r="C6839" s="393" t="s">
        <v>200</v>
      </c>
      <c r="D6839" s="2562">
        <f>VLOOKUP(C6835,'Data Panjang Balok'!$C$9:$N$254,9,FALSE)</f>
        <v>0</v>
      </c>
      <c r="E6839" s="2563"/>
      <c r="F6839" s="2563"/>
      <c r="G6839" s="2563"/>
      <c r="H6839" s="2564"/>
      <c r="I6839" s="397"/>
      <c r="J6839" s="396"/>
      <c r="K6839" s="396"/>
      <c r="L6839" s="396"/>
      <c r="M6839" s="396"/>
      <c r="N6839" s="396"/>
      <c r="O6839" s="396"/>
      <c r="P6839" s="396"/>
      <c r="Q6839" s="396"/>
      <c r="R6839" s="396"/>
      <c r="S6839" s="396"/>
      <c r="T6839" s="396"/>
      <c r="U6839" s="388"/>
      <c r="V6839" s="396"/>
      <c r="W6839" s="388"/>
      <c r="X6839" s="396"/>
      <c r="Y6839" s="389"/>
      <c r="Z6839" s="396"/>
      <c r="AA6839" s="388"/>
      <c r="AB6839" s="390"/>
    </row>
    <row r="6840" spans="1:28">
      <c r="A6840" s="391"/>
      <c r="B6840" s="392"/>
      <c r="C6840" s="393" t="s">
        <v>201</v>
      </c>
      <c r="D6840" s="2562">
        <f>VLOOKUP(C6835,'Data Panjang Balok'!$C$9:$N$254,10,FALSE)</f>
        <v>0</v>
      </c>
      <c r="E6840" s="2563"/>
      <c r="F6840" s="2563"/>
      <c r="G6840" s="2563"/>
      <c r="H6840" s="2564"/>
      <c r="I6840" s="397"/>
      <c r="J6840" s="396"/>
      <c r="K6840" s="396"/>
      <c r="L6840" s="396"/>
      <c r="M6840" s="396"/>
      <c r="N6840" s="396"/>
      <c r="O6840" s="396"/>
      <c r="P6840" s="396"/>
      <c r="Q6840" s="396"/>
      <c r="R6840" s="396"/>
      <c r="S6840" s="396"/>
      <c r="T6840" s="396"/>
      <c r="U6840" s="388"/>
      <c r="V6840" s="396"/>
      <c r="W6840" s="388"/>
      <c r="X6840" s="396"/>
      <c r="Y6840" s="389"/>
      <c r="Z6840" s="396"/>
      <c r="AA6840" s="388"/>
      <c r="AB6840" s="390"/>
    </row>
    <row r="6841" spans="1:28">
      <c r="A6841" s="391"/>
      <c r="B6841" s="392"/>
      <c r="C6841" s="393" t="s">
        <v>48</v>
      </c>
      <c r="D6841" s="2562">
        <f>VLOOKUP(C6835,'Data Panjang Balok'!$C$9:$N$254,3,FALSE)</f>
        <v>1</v>
      </c>
      <c r="E6841" s="2563"/>
      <c r="F6841" s="2563"/>
      <c r="G6841" s="2563"/>
      <c r="H6841" s="2564"/>
      <c r="I6841" s="397"/>
      <c r="J6841" s="396"/>
      <c r="K6841" s="396"/>
      <c r="L6841" s="396"/>
      <c r="M6841" s="396"/>
      <c r="N6841" s="396"/>
      <c r="O6841" s="396"/>
      <c r="P6841" s="396"/>
      <c r="Q6841" s="396"/>
      <c r="R6841" s="396"/>
      <c r="S6841" s="396"/>
      <c r="T6841" s="396"/>
      <c r="U6841" s="388"/>
      <c r="V6841" s="396"/>
      <c r="W6841" s="388"/>
      <c r="X6841" s="396"/>
      <c r="Y6841" s="389"/>
      <c r="Z6841" s="396"/>
      <c r="AA6841" s="388"/>
      <c r="AB6841" s="390"/>
    </row>
    <row r="6842" spans="1:28">
      <c r="A6842" s="384" t="str">
        <f t="shared" ref="A6842:B6842" si="22177">A6835</f>
        <v>Lantai Atap</v>
      </c>
      <c r="B6842" s="385">
        <f t="shared" si="22177"/>
        <v>21</v>
      </c>
      <c r="C6842" s="393" t="s">
        <v>202</v>
      </c>
      <c r="D6842" s="398">
        <f>VLOOKUP(D6835,'Detail Balok'!$C$10:$AU$140,4,FALSE)</f>
        <v>3</v>
      </c>
      <c r="E6842" s="388" t="s">
        <v>16</v>
      </c>
      <c r="F6842" s="388">
        <f>VLOOKUP(D6835,'Detail Balok'!$C$10:$AU$140,6,FALSE)</f>
        <v>13</v>
      </c>
      <c r="G6842" s="388"/>
      <c r="H6842" s="395"/>
      <c r="I6842" s="388" t="s">
        <v>203</v>
      </c>
      <c r="J6842" s="399">
        <f t="shared" ref="J6842" si="22178">+D6837/4/1000</f>
        <v>1.2849999999999999</v>
      </c>
      <c r="K6842" s="400" t="s">
        <v>204</v>
      </c>
      <c r="L6842" s="399">
        <f t="shared" ref="L6842" si="22179">MAX(VLOOKUP(F6842,N$6:P$15,3,FALSE)/1000,2/3*D6839/1000)+F$16*F6842/1000</f>
        <v>0.156</v>
      </c>
      <c r="M6842" s="399" t="s">
        <v>176</v>
      </c>
      <c r="N6842" s="399">
        <f t="shared" ref="N6842:N6844" si="22180">J6842+L6842</f>
        <v>1.4409999999999998</v>
      </c>
      <c r="O6842" s="399" t="s">
        <v>204</v>
      </c>
      <c r="P6842" s="389">
        <f t="shared" ref="P6842" si="22181">D6842-D6843</f>
        <v>0</v>
      </c>
      <c r="Q6842" s="399" t="s">
        <v>125</v>
      </c>
      <c r="R6842" s="399">
        <f t="shared" ref="R6842" si="22182">IF(P6842&gt;0,$F$18*F6842/1000,0)</f>
        <v>0</v>
      </c>
      <c r="S6842" s="399" t="s">
        <v>205</v>
      </c>
      <c r="T6842" s="399" t="s">
        <v>125</v>
      </c>
      <c r="U6842" s="401">
        <f t="shared" ref="U6842:U6844" si="22183">0.006165*F6842^2</f>
        <v>1.041885</v>
      </c>
      <c r="V6842" s="399"/>
      <c r="W6842" s="399"/>
      <c r="X6842" s="399" t="s">
        <v>125</v>
      </c>
      <c r="Y6842" s="389">
        <f t="shared" ref="Y6842" si="22184">D6841</f>
        <v>1</v>
      </c>
      <c r="Z6842" s="400" t="s">
        <v>176</v>
      </c>
      <c r="AA6842" s="402">
        <f t="shared" ref="AA6842" si="22185">IF(AA6845=0,(D6842*N6842+P6842*R6842)*U6842*Y6842,0)</f>
        <v>0</v>
      </c>
      <c r="AB6842" s="403"/>
    </row>
    <row r="6843" spans="1:28">
      <c r="A6843" s="384" t="str">
        <f t="shared" ref="A6843:B6843" si="22186">A6835</f>
        <v>Lantai Atap</v>
      </c>
      <c r="B6843" s="385">
        <f t="shared" si="22186"/>
        <v>21</v>
      </c>
      <c r="C6843" s="393" t="s">
        <v>206</v>
      </c>
      <c r="D6843" s="398">
        <f>VLOOKUP(D6835,'Detail Balok'!$C$10:$AU$140,7,FALSE)</f>
        <v>3</v>
      </c>
      <c r="E6843" s="388" t="s">
        <v>16</v>
      </c>
      <c r="F6843" s="388">
        <f>VLOOKUP(D6835,'Detail Balok'!$C$10:$AU$140,9,FALSE)</f>
        <v>13</v>
      </c>
      <c r="G6843" s="388"/>
      <c r="H6843" s="395"/>
      <c r="I6843" s="388" t="s">
        <v>203</v>
      </c>
      <c r="J6843" s="399">
        <f t="shared" ref="J6843" si="22187">+D6837/2/1000</f>
        <v>2.57</v>
      </c>
      <c r="K6843" s="400" t="s">
        <v>204</v>
      </c>
      <c r="L6843" s="399"/>
      <c r="M6843" s="399" t="s">
        <v>176</v>
      </c>
      <c r="N6843" s="399">
        <f t="shared" si="22180"/>
        <v>2.57</v>
      </c>
      <c r="O6843" s="399" t="s">
        <v>204</v>
      </c>
      <c r="P6843" s="389">
        <f t="shared" ref="P6843" si="22188">MAX(D6843-D6842,D6843-D6844)</f>
        <v>0</v>
      </c>
      <c r="Q6843" s="399" t="s">
        <v>125</v>
      </c>
      <c r="R6843" s="399">
        <f t="shared" ref="R6843" si="22189">IF(P6843&gt;0,2*(1-2*$F$19-1/2)*D6838/1000,0)</f>
        <v>0</v>
      </c>
      <c r="S6843" s="399" t="s">
        <v>205</v>
      </c>
      <c r="T6843" s="399" t="s">
        <v>125</v>
      </c>
      <c r="U6843" s="401">
        <f t="shared" si="22183"/>
        <v>1.041885</v>
      </c>
      <c r="V6843" s="399"/>
      <c r="W6843" s="399"/>
      <c r="X6843" s="399" t="s">
        <v>125</v>
      </c>
      <c r="Y6843" s="389">
        <f t="shared" ref="Y6843" si="22190">D6841</f>
        <v>1</v>
      </c>
      <c r="Z6843" s="400" t="s">
        <v>176</v>
      </c>
      <c r="AA6843" s="402">
        <f t="shared" ref="AA6843" si="22191">IF(AA6845=0,(D6843*N6843+P6843*R6843)*U6843*Y6843,0)</f>
        <v>0</v>
      </c>
      <c r="AB6843" s="403"/>
    </row>
    <row r="6844" spans="1:28">
      <c r="A6844" s="384" t="str">
        <f t="shared" ref="A6844:B6844" si="22192">A6835</f>
        <v>Lantai Atap</v>
      </c>
      <c r="B6844" s="385">
        <f t="shared" si="22192"/>
        <v>21</v>
      </c>
      <c r="C6844" s="393" t="s">
        <v>202</v>
      </c>
      <c r="D6844" s="398">
        <f>VLOOKUP(D6835,'Detail Balok'!$C$10:$AU$140,10,FALSE)</f>
        <v>3</v>
      </c>
      <c r="E6844" s="388" t="s">
        <v>16</v>
      </c>
      <c r="F6844" s="388">
        <f>VLOOKUP(D6835,'Detail Balok'!$C$10:$AU$140,12,FALSE)</f>
        <v>13</v>
      </c>
      <c r="G6844" s="388"/>
      <c r="H6844" s="395"/>
      <c r="I6844" s="388" t="s">
        <v>203</v>
      </c>
      <c r="J6844" s="399">
        <f t="shared" ref="J6844" si="22193">+D6837/4/1000</f>
        <v>1.2849999999999999</v>
      </c>
      <c r="K6844" s="400" t="s">
        <v>204</v>
      </c>
      <c r="L6844" s="399">
        <f t="shared" ref="L6844" si="22194">MAX(VLOOKUP(F6844,N$6:P$15,3,FALSE)/1000,2/3*D6839/1000)+F$16*F6844/1000</f>
        <v>0.156</v>
      </c>
      <c r="M6844" s="399" t="s">
        <v>176</v>
      </c>
      <c r="N6844" s="399">
        <f t="shared" si="22180"/>
        <v>1.4409999999999998</v>
      </c>
      <c r="O6844" s="399" t="s">
        <v>204</v>
      </c>
      <c r="P6844" s="389">
        <f t="shared" ref="P6844" si="22195">D6844-D6843</f>
        <v>0</v>
      </c>
      <c r="Q6844" s="399" t="s">
        <v>125</v>
      </c>
      <c r="R6844" s="399">
        <f t="shared" ref="R6844" si="22196">IF(P6844&gt;0,$F$18*F6844/1000,0)</f>
        <v>0</v>
      </c>
      <c r="S6844" s="399" t="s">
        <v>205</v>
      </c>
      <c r="T6844" s="399" t="s">
        <v>125</v>
      </c>
      <c r="U6844" s="401">
        <f t="shared" si="22183"/>
        <v>1.041885</v>
      </c>
      <c r="V6844" s="399"/>
      <c r="W6844" s="399"/>
      <c r="X6844" s="399" t="s">
        <v>125</v>
      </c>
      <c r="Y6844" s="389">
        <f t="shared" ref="Y6844" si="22197">D6841</f>
        <v>1</v>
      </c>
      <c r="Z6844" s="400" t="s">
        <v>176</v>
      </c>
      <c r="AA6844" s="402">
        <f t="shared" ref="AA6844" si="22198">IF(AA6845=0,(D6844*N6844+P6844*R6844)*U6844*Y6844,0)</f>
        <v>0</v>
      </c>
      <c r="AB6844" s="403"/>
    </row>
    <row r="6845" spans="1:28">
      <c r="A6845" s="384" t="str">
        <f t="shared" ref="A6845:B6845" si="22199">A6835</f>
        <v>Lantai Atap</v>
      </c>
      <c r="B6845" s="385">
        <f t="shared" si="22199"/>
        <v>21</v>
      </c>
      <c r="C6845" s="393"/>
      <c r="D6845" s="398">
        <f t="shared" si="22095"/>
        <v>3</v>
      </c>
      <c r="E6845" s="388" t="s">
        <v>16</v>
      </c>
      <c r="F6845" s="388">
        <f t="shared" si="22096"/>
        <v>13</v>
      </c>
      <c r="G6845" s="388"/>
      <c r="H6845" s="395"/>
      <c r="I6845" s="388"/>
      <c r="J6845" s="396"/>
      <c r="K6845" s="396"/>
      <c r="L6845" s="404" t="s">
        <v>207</v>
      </c>
      <c r="M6845" s="399" t="s">
        <v>176</v>
      </c>
      <c r="N6845" s="399">
        <f t="shared" ref="N6845" si="22200">IF(AND(D6842=D6843,D6842=D6844,D6843=D6844,F6842=F6843,F6842=F6844,F6843=F6844),SUM(N6842:N6844),0)</f>
        <v>5.4519999999999991</v>
      </c>
      <c r="O6845" s="399" t="s">
        <v>204</v>
      </c>
      <c r="P6845" s="389">
        <f t="shared" ref="P6845" si="22201">IF(N6845&gt;12,ROUNDDOWN(N6845/12,0),0)</f>
        <v>0</v>
      </c>
      <c r="Q6845" s="399" t="s">
        <v>125</v>
      </c>
      <c r="R6845" s="399">
        <f t="shared" ref="R6845" si="22202">IF(P6845&gt;0,MAX(VLOOKUP(F6845,$D$6:$G$15,3,FALSE),600),0)/1000</f>
        <v>0</v>
      </c>
      <c r="S6845" s="396"/>
      <c r="T6845" s="396" t="s">
        <v>125</v>
      </c>
      <c r="U6845" s="401">
        <f t="shared" si="22100"/>
        <v>1.041885</v>
      </c>
      <c r="V6845" s="396" t="s">
        <v>125</v>
      </c>
      <c r="W6845" s="399">
        <f t="shared" ref="W6845" si="22203">D6845</f>
        <v>3</v>
      </c>
      <c r="X6845" s="399" t="s">
        <v>125</v>
      </c>
      <c r="Y6845" s="389">
        <f t="shared" si="22102"/>
        <v>1</v>
      </c>
      <c r="Z6845" s="400" t="s">
        <v>176</v>
      </c>
      <c r="AA6845" s="402">
        <f t="shared" ref="AA6845" si="22204">(N6845+P6845*R6845/1000)*U6845*W6845*Y6845</f>
        <v>17.041071059999997</v>
      </c>
      <c r="AB6845" s="390"/>
    </row>
    <row r="6846" spans="1:28">
      <c r="A6846" s="384"/>
      <c r="B6846" s="385"/>
      <c r="C6846" s="393"/>
      <c r="D6846" s="398"/>
      <c r="E6846" s="388"/>
      <c r="F6846" s="388"/>
      <c r="G6846" s="388"/>
      <c r="H6846" s="395"/>
      <c r="I6846" s="388"/>
      <c r="J6846" s="396"/>
      <c r="K6846" s="396"/>
      <c r="L6846" s="404"/>
      <c r="M6846" s="399"/>
      <c r="N6846" s="399"/>
      <c r="O6846" s="396"/>
      <c r="P6846" s="389"/>
      <c r="Q6846" s="396"/>
      <c r="R6846" s="396"/>
      <c r="S6846" s="396"/>
      <c r="T6846" s="396"/>
      <c r="U6846" s="401"/>
      <c r="V6846" s="396"/>
      <c r="W6846" s="399"/>
      <c r="X6846" s="396"/>
      <c r="Y6846" s="389"/>
      <c r="Z6846" s="396"/>
      <c r="AA6846" s="388"/>
      <c r="AB6846" s="390"/>
    </row>
    <row r="6847" spans="1:28">
      <c r="A6847" s="384" t="str">
        <f t="shared" ref="A6847:B6847" si="22205">A6835</f>
        <v>Lantai Atap</v>
      </c>
      <c r="B6847" s="385">
        <f t="shared" si="22205"/>
        <v>21</v>
      </c>
      <c r="C6847" s="393" t="s">
        <v>208</v>
      </c>
      <c r="D6847" s="398">
        <f>VLOOKUP(D6835,'Detail Balok'!$C$10:$AU$140,13,FALSE)</f>
        <v>0</v>
      </c>
      <c r="E6847" s="388" t="s">
        <v>16</v>
      </c>
      <c r="F6847" s="388">
        <f>VLOOKUP(D6835,'Detail Balok'!$C$10:$AU$140,15,FALSE)</f>
        <v>8</v>
      </c>
      <c r="G6847" s="388"/>
      <c r="H6847" s="395"/>
      <c r="I6847" s="388"/>
      <c r="J6847" s="399">
        <f t="shared" ref="J6847" si="22206">+D6837/1000</f>
        <v>5.14</v>
      </c>
      <c r="K6847" s="400" t="s">
        <v>204</v>
      </c>
      <c r="L6847" s="399">
        <f t="shared" ref="L6847" si="22207">2*$F$16*F6847/1000</f>
        <v>0.192</v>
      </c>
      <c r="M6847" s="399" t="s">
        <v>176</v>
      </c>
      <c r="N6847" s="399">
        <f t="shared" ref="N6847" si="22208">J6847+L6847</f>
        <v>5.3319999999999999</v>
      </c>
      <c r="O6847" s="399" t="s">
        <v>204</v>
      </c>
      <c r="P6847" s="389">
        <f t="shared" ref="P6847" si="22209">IF(N6847&gt;12,ROUNDDOWN(N6847/12,0),0)</f>
        <v>0</v>
      </c>
      <c r="Q6847" s="399" t="s">
        <v>125</v>
      </c>
      <c r="R6847" s="399">
        <f t="shared" ref="R6847" si="22210">IF(P6847&gt;0,MAX(VLOOKUP(F6847,$D$6:$G$15,3,FALSE),600),0)/1000</f>
        <v>0</v>
      </c>
      <c r="S6847" s="399"/>
      <c r="T6847" s="399" t="s">
        <v>125</v>
      </c>
      <c r="U6847" s="401">
        <f t="shared" ref="U6847" si="22211">0.006165*F6847^2</f>
        <v>0.39456000000000002</v>
      </c>
      <c r="V6847" s="399" t="s">
        <v>125</v>
      </c>
      <c r="W6847" s="399">
        <f t="shared" ref="W6847" si="22212">+D6847</f>
        <v>0</v>
      </c>
      <c r="X6847" s="399" t="s">
        <v>125</v>
      </c>
      <c r="Y6847" s="389">
        <f t="shared" ref="Y6847" si="22213">D6841</f>
        <v>1</v>
      </c>
      <c r="Z6847" s="400" t="s">
        <v>176</v>
      </c>
      <c r="AA6847" s="402">
        <f t="shared" ref="AA6847" si="22214">(N6847+P6847*R6847/1000)*U6847*W6847*Y6847</f>
        <v>0</v>
      </c>
      <c r="AB6847" s="403"/>
    </row>
    <row r="6848" spans="1:28">
      <c r="A6848" s="384"/>
      <c r="B6848" s="385"/>
      <c r="C6848" s="393"/>
      <c r="D6848" s="398"/>
      <c r="E6848" s="388"/>
      <c r="F6848" s="388"/>
      <c r="G6848" s="388"/>
      <c r="H6848" s="395"/>
      <c r="I6848" s="388"/>
      <c r="J6848" s="399"/>
      <c r="K6848" s="400"/>
      <c r="L6848" s="399"/>
      <c r="M6848" s="399"/>
      <c r="N6848" s="399"/>
      <c r="O6848" s="399"/>
      <c r="P6848" s="389"/>
      <c r="Q6848" s="399"/>
      <c r="R6848" s="399"/>
      <c r="S6848" s="399"/>
      <c r="T6848" s="399"/>
      <c r="U6848" s="401"/>
      <c r="V6848" s="399"/>
      <c r="W6848" s="399"/>
      <c r="X6848" s="399"/>
      <c r="Y6848" s="389"/>
      <c r="Z6848" s="400"/>
      <c r="AA6848" s="402"/>
      <c r="AB6848" s="403"/>
    </row>
    <row r="6849" spans="1:28">
      <c r="A6849" s="384"/>
      <c r="B6849" s="385"/>
      <c r="C6849" s="393"/>
      <c r="D6849" s="398"/>
      <c r="E6849" s="388"/>
      <c r="F6849" s="388"/>
      <c r="G6849" s="388"/>
      <c r="H6849" s="395"/>
      <c r="I6849" s="388"/>
      <c r="J6849" s="396"/>
      <c r="K6849" s="396"/>
      <c r="L6849" s="396"/>
      <c r="M6849" s="396"/>
      <c r="N6849" s="396"/>
      <c r="O6849" s="396"/>
      <c r="P6849" s="389"/>
      <c r="Q6849" s="396"/>
      <c r="R6849" s="396"/>
      <c r="S6849" s="396"/>
      <c r="T6849" s="396"/>
      <c r="U6849" s="401"/>
      <c r="V6849" s="396"/>
      <c r="W6849" s="399"/>
      <c r="X6849" s="396"/>
      <c r="Y6849" s="389"/>
      <c r="Z6849" s="396"/>
      <c r="AA6849" s="388"/>
      <c r="AB6849" s="390"/>
    </row>
    <row r="6850" spans="1:28">
      <c r="A6850" s="384" t="str">
        <f t="shared" ref="A6850:B6850" si="22215">A6835</f>
        <v>Lantai Atap</v>
      </c>
      <c r="B6850" s="385">
        <f t="shared" si="22215"/>
        <v>21</v>
      </c>
      <c r="C6850" s="393" t="s">
        <v>209</v>
      </c>
      <c r="D6850" s="398">
        <f>VLOOKUP(D6835,'Detail Balok'!$C$10:$AU$140,22,FALSE)</f>
        <v>3</v>
      </c>
      <c r="E6850" s="388" t="s">
        <v>16</v>
      </c>
      <c r="F6850" s="388">
        <f>VLOOKUP(D6835,'Detail Balok'!$C$10:$AU$140,24,FALSE)</f>
        <v>13</v>
      </c>
      <c r="G6850" s="388"/>
      <c r="H6850" s="395"/>
      <c r="I6850" s="388" t="s">
        <v>203</v>
      </c>
      <c r="J6850" s="399">
        <f t="shared" si="22115"/>
        <v>1.2849999999999999</v>
      </c>
      <c r="K6850" s="400" t="s">
        <v>204</v>
      </c>
      <c r="L6850" s="399">
        <f t="shared" ref="L6850" si="22216">MAX(VLOOKUP(F6850,N$6:P$15,3,FALSE)/1000,2/3*D6840/1000)+F$16*F6850/1000</f>
        <v>0.156</v>
      </c>
      <c r="M6850" s="399" t="s">
        <v>176</v>
      </c>
      <c r="N6850" s="399">
        <f t="shared" ref="N6850:N6852" si="22217">J6850+L6850</f>
        <v>1.4409999999999998</v>
      </c>
      <c r="O6850" s="399" t="s">
        <v>204</v>
      </c>
      <c r="P6850" s="389">
        <f t="shared" ref="P6850" si="22218">D6850-D6851</f>
        <v>0</v>
      </c>
      <c r="Q6850" s="399" t="s">
        <v>125</v>
      </c>
      <c r="R6850" s="399">
        <f t="shared" ref="R6850" si="22219">IF(P6850&gt;0,$F$18*F6850/1000,0)</f>
        <v>0</v>
      </c>
      <c r="S6850" s="399" t="s">
        <v>205</v>
      </c>
      <c r="T6850" s="399" t="s">
        <v>125</v>
      </c>
      <c r="U6850" s="401">
        <f t="shared" ref="U6850:U6852" si="22220">0.006165*F6850^2</f>
        <v>1.041885</v>
      </c>
      <c r="V6850" s="399"/>
      <c r="W6850" s="399"/>
      <c r="X6850" s="399" t="s">
        <v>125</v>
      </c>
      <c r="Y6850" s="389">
        <f t="shared" ref="Y6850" si="22221">D6841</f>
        <v>1</v>
      </c>
      <c r="Z6850" s="400" t="s">
        <v>176</v>
      </c>
      <c r="AA6850" s="402">
        <f t="shared" ref="AA6850" si="22222">IF(AA6853=0,(D6850*N6850+P6850*R6850)*U6850*Y6850,0)</f>
        <v>0</v>
      </c>
      <c r="AB6850" s="403"/>
    </row>
    <row r="6851" spans="1:28">
      <c r="A6851" s="384" t="str">
        <f t="shared" ref="A6851:B6851" si="22223">A6835</f>
        <v>Lantai Atap</v>
      </c>
      <c r="B6851" s="385">
        <f t="shared" si="22223"/>
        <v>21</v>
      </c>
      <c r="C6851" s="393" t="s">
        <v>210</v>
      </c>
      <c r="D6851" s="398">
        <f>VLOOKUP(D6835,'Detail Balok'!$C$10:$AU$140,25,FALSE)</f>
        <v>3</v>
      </c>
      <c r="E6851" s="388" t="s">
        <v>16</v>
      </c>
      <c r="F6851" s="388">
        <f>VLOOKUP(D6835,'Detail Balok'!$C$10:$AU$140,27,FALSE)</f>
        <v>13</v>
      </c>
      <c r="G6851" s="388"/>
      <c r="H6851" s="395"/>
      <c r="I6851" s="388" t="s">
        <v>203</v>
      </c>
      <c r="J6851" s="399">
        <f t="shared" si="22115"/>
        <v>2.57</v>
      </c>
      <c r="K6851" s="400" t="s">
        <v>204</v>
      </c>
      <c r="L6851" s="399"/>
      <c r="M6851" s="399" t="s">
        <v>176</v>
      </c>
      <c r="N6851" s="399">
        <f t="shared" si="22217"/>
        <v>2.57</v>
      </c>
      <c r="O6851" s="399" t="s">
        <v>204</v>
      </c>
      <c r="P6851" s="389">
        <f t="shared" ref="P6851" si="22224">MAX(D6851-D6850,D6851-D6852)</f>
        <v>0</v>
      </c>
      <c r="Q6851" s="399" t="s">
        <v>125</v>
      </c>
      <c r="R6851" s="399">
        <f t="shared" ref="R6851" si="22225">IF(P6851&gt;0,2*(1-2*$F$19-1/2)*D6838/1000,0)</f>
        <v>0</v>
      </c>
      <c r="S6851" s="399" t="s">
        <v>205</v>
      </c>
      <c r="T6851" s="399" t="s">
        <v>125</v>
      </c>
      <c r="U6851" s="401">
        <f t="shared" si="22220"/>
        <v>1.041885</v>
      </c>
      <c r="V6851" s="399"/>
      <c r="W6851" s="399"/>
      <c r="X6851" s="399" t="s">
        <v>125</v>
      </c>
      <c r="Y6851" s="389">
        <f t="shared" ref="Y6851" si="22226">D6841</f>
        <v>1</v>
      </c>
      <c r="Z6851" s="400" t="s">
        <v>176</v>
      </c>
      <c r="AA6851" s="402">
        <f t="shared" ref="AA6851" si="22227">IF(AA6853=0,(D6851*N6851+P6851*R6851)*U6851*Y6851,0)</f>
        <v>0</v>
      </c>
      <c r="AB6851" s="403"/>
    </row>
    <row r="6852" spans="1:28">
      <c r="A6852" s="384" t="str">
        <f t="shared" ref="A6852:B6852" si="22228">A6835</f>
        <v>Lantai Atap</v>
      </c>
      <c r="B6852" s="385">
        <f t="shared" si="22228"/>
        <v>21</v>
      </c>
      <c r="C6852" s="393" t="s">
        <v>209</v>
      </c>
      <c r="D6852" s="398">
        <f>VLOOKUP(D6835,'Detail Balok'!$C$10:$AU$140,28,FALSE)</f>
        <v>3</v>
      </c>
      <c r="E6852" s="388" t="s">
        <v>16</v>
      </c>
      <c r="F6852" s="388">
        <f>VLOOKUP(D6835,'Detail Balok'!$C$10:$AU$140,30,FALSE)</f>
        <v>13</v>
      </c>
      <c r="G6852" s="388"/>
      <c r="H6852" s="395"/>
      <c r="I6852" s="388" t="s">
        <v>203</v>
      </c>
      <c r="J6852" s="399">
        <f t="shared" si="22115"/>
        <v>1.2849999999999999</v>
      </c>
      <c r="K6852" s="400" t="s">
        <v>204</v>
      </c>
      <c r="L6852" s="399">
        <f t="shared" ref="L6852" si="22229">MAX(VLOOKUP(F6852,N$6:P$15,3,FALSE)/1000,2/3*D6840/1000)+F$16*F6852/1000</f>
        <v>0.156</v>
      </c>
      <c r="M6852" s="399" t="s">
        <v>176</v>
      </c>
      <c r="N6852" s="399">
        <f t="shared" si="22217"/>
        <v>1.4409999999999998</v>
      </c>
      <c r="O6852" s="399" t="s">
        <v>204</v>
      </c>
      <c r="P6852" s="389">
        <f t="shared" ref="P6852" si="22230">D6852-D6851</f>
        <v>0</v>
      </c>
      <c r="Q6852" s="399" t="s">
        <v>125</v>
      </c>
      <c r="R6852" s="399">
        <f t="shared" ref="R6852" si="22231">IF(P6852&gt;0,$F$18*F6852/1000,0)</f>
        <v>0</v>
      </c>
      <c r="S6852" s="399" t="s">
        <v>205</v>
      </c>
      <c r="T6852" s="399" t="s">
        <v>125</v>
      </c>
      <c r="U6852" s="401">
        <f t="shared" si="22220"/>
        <v>1.041885</v>
      </c>
      <c r="V6852" s="399"/>
      <c r="W6852" s="399"/>
      <c r="X6852" s="399" t="s">
        <v>125</v>
      </c>
      <c r="Y6852" s="389">
        <f t="shared" ref="Y6852" si="22232">D6841</f>
        <v>1</v>
      </c>
      <c r="Z6852" s="400" t="s">
        <v>176</v>
      </c>
      <c r="AA6852" s="402">
        <f t="shared" ref="AA6852" si="22233">IF(AA6853=0,(D6852*N6852+P6852*R6852)*U6852*Y6852,0)</f>
        <v>0</v>
      </c>
      <c r="AB6852" s="403"/>
    </row>
    <row r="6853" spans="1:28">
      <c r="A6853" s="384" t="str">
        <f t="shared" ref="A6853:B6853" si="22234">A6835</f>
        <v>Lantai Atap</v>
      </c>
      <c r="B6853" s="385">
        <f t="shared" si="22234"/>
        <v>21</v>
      </c>
      <c r="C6853" s="393"/>
      <c r="D6853" s="398">
        <f t="shared" si="22135"/>
        <v>3</v>
      </c>
      <c r="E6853" s="388" t="s">
        <v>16</v>
      </c>
      <c r="F6853" s="388">
        <f t="shared" si="22136"/>
        <v>13</v>
      </c>
      <c r="G6853" s="388"/>
      <c r="H6853" s="395"/>
      <c r="I6853" s="388"/>
      <c r="J6853" s="396"/>
      <c r="K6853" s="396"/>
      <c r="L6853" s="404" t="s">
        <v>207</v>
      </c>
      <c r="M6853" s="399" t="s">
        <v>176</v>
      </c>
      <c r="N6853" s="399">
        <f t="shared" ref="N6853" si="22235">IF(AND(D6850=D6851,D6850=D6852,D6851=D6852,F6850=F6851,F6850=F6852,F6851=F6852),SUM(N6850:N6852),0)</f>
        <v>5.4519999999999991</v>
      </c>
      <c r="O6853" s="399" t="s">
        <v>204</v>
      </c>
      <c r="P6853" s="389">
        <f t="shared" ref="P6853" si="22236">IF(N6853&gt;12,ROUNDDOWN(N6853/12,0),0)</f>
        <v>0</v>
      </c>
      <c r="Q6853" s="399" t="s">
        <v>125</v>
      </c>
      <c r="R6853" s="399">
        <f t="shared" ref="R6853" si="22237">IF(P6853&gt;0,MAX(VLOOKUP(F6853,$D$6:$G$15,3,FALSE),600),0)/1000</f>
        <v>0</v>
      </c>
      <c r="S6853" s="396"/>
      <c r="T6853" s="396" t="s">
        <v>125</v>
      </c>
      <c r="U6853" s="401">
        <f t="shared" si="22140"/>
        <v>1.041885</v>
      </c>
      <c r="V6853" s="396" t="s">
        <v>125</v>
      </c>
      <c r="W6853" s="399">
        <f t="shared" ref="W6853" si="22238">D6853</f>
        <v>3</v>
      </c>
      <c r="X6853" s="399" t="s">
        <v>125</v>
      </c>
      <c r="Y6853" s="389">
        <f t="shared" si="22142"/>
        <v>1</v>
      </c>
      <c r="Z6853" s="400" t="s">
        <v>176</v>
      </c>
      <c r="AA6853" s="402">
        <f t="shared" ref="AA6853" si="22239">(N6853+P6853*R6853/1000)*U6853*W6853*Y6853</f>
        <v>17.041071059999997</v>
      </c>
      <c r="AB6853" s="403"/>
    </row>
    <row r="6854" spans="1:28">
      <c r="A6854" s="384"/>
      <c r="B6854" s="385"/>
      <c r="C6854" s="393"/>
      <c r="D6854" s="394"/>
      <c r="E6854" s="388"/>
      <c r="F6854" s="388"/>
      <c r="G6854" s="388"/>
      <c r="H6854" s="395"/>
      <c r="I6854" s="388"/>
      <c r="J6854" s="399"/>
      <c r="K6854" s="396"/>
      <c r="L6854" s="396"/>
      <c r="M6854" s="396"/>
      <c r="N6854" s="396"/>
      <c r="O6854" s="396"/>
      <c r="P6854" s="389"/>
      <c r="Q6854" s="396"/>
      <c r="R6854" s="396"/>
      <c r="S6854" s="396"/>
      <c r="T6854" s="396"/>
      <c r="U6854" s="401"/>
      <c r="V6854" s="396"/>
      <c r="W6854" s="388"/>
      <c r="X6854" s="396"/>
      <c r="Y6854" s="389"/>
      <c r="Z6854" s="396"/>
      <c r="AA6854" s="388"/>
      <c r="AB6854" s="390"/>
    </row>
    <row r="6855" spans="1:28">
      <c r="A6855" s="384" t="str">
        <f t="shared" ref="A6855:B6855" si="22240">A6835</f>
        <v>Lantai Atap</v>
      </c>
      <c r="B6855" s="385">
        <f t="shared" si="22240"/>
        <v>21</v>
      </c>
      <c r="C6855" s="393" t="s">
        <v>211</v>
      </c>
      <c r="D6855" s="398">
        <f>VLOOKUP(D6835,'Detail Balok'!$C$10:$AU$140,31,FALSE)</f>
        <v>0</v>
      </c>
      <c r="E6855" s="388" t="s">
        <v>16</v>
      </c>
      <c r="F6855" s="388">
        <f>VLOOKUP(D6835,'Detail Balok'!$C$10:$AU$140,33,FALSE)</f>
        <v>10</v>
      </c>
      <c r="G6855" s="405" t="s">
        <v>157</v>
      </c>
      <c r="H6855" s="395">
        <f>VLOOKUP(D6835,'Detail Balok'!$C$10:$AU$140,35,FALSE)</f>
        <v>100</v>
      </c>
      <c r="I6855" s="388"/>
      <c r="J6855" s="400">
        <f t="shared" ref="J6855" si="22241">(IF(D6855=0,(2*(D6836+G6836))-(F$5*8),IF(D6855=3,(2*(D6836+G6836))-(F$5*8)+(G6836-2*F$5),IF(D6855=4,(2*(D6836+G6836))-(F$5*8)+2*(G6836-2*F$5)))))/1000</f>
        <v>1.08</v>
      </c>
      <c r="K6855" s="400" t="s">
        <v>204</v>
      </c>
      <c r="L6855" s="399">
        <f t="shared" ref="L6855:L6857" si="22242">IF(D6855=0,2*MAX(6*F6855,75),(D6855-1)*2*MAX(6*F6855,75))/1000</f>
        <v>0.15</v>
      </c>
      <c r="M6855" s="399" t="s">
        <v>176</v>
      </c>
      <c r="N6855" s="399">
        <f t="shared" ref="N6855:N6857" si="22243">J6855+L6855</f>
        <v>1.23</v>
      </c>
      <c r="O6855" s="399"/>
      <c r="P6855" s="389"/>
      <c r="Q6855" s="399"/>
      <c r="R6855" s="399"/>
      <c r="S6855" s="399"/>
      <c r="T6855" s="399" t="s">
        <v>125</v>
      </c>
      <c r="U6855" s="401">
        <f t="shared" ref="U6855:U6857" si="22244">0.006165*F6855^2</f>
        <v>0.61650000000000005</v>
      </c>
      <c r="V6855" s="399" t="s">
        <v>125</v>
      </c>
      <c r="W6855" s="399">
        <f t="shared" ref="W6855" si="22245">IF(D6838&gt;4*G6836,ROUND(MAX(D6838/4,2*G6836)/H6855,0)+1,ROUND(D6838/H6855,0)+1)</f>
        <v>14</v>
      </c>
      <c r="X6855" s="399" t="s">
        <v>125</v>
      </c>
      <c r="Y6855" s="389">
        <f t="shared" ref="Y6855" si="22246">D6841</f>
        <v>1</v>
      </c>
      <c r="Z6855" s="400" t="s">
        <v>176</v>
      </c>
      <c r="AA6855" s="402">
        <f t="shared" ref="AA6855:AA6857" si="22247">N6855*U6855*W6855*Y6855</f>
        <v>10.61613</v>
      </c>
      <c r="AB6855" s="403"/>
    </row>
    <row r="6856" spans="1:28">
      <c r="A6856" s="384" t="str">
        <f t="shared" ref="A6856:B6856" si="22248">A6835</f>
        <v>Lantai Atap</v>
      </c>
      <c r="B6856" s="385">
        <f t="shared" si="22248"/>
        <v>21</v>
      </c>
      <c r="C6856" s="393" t="s">
        <v>212</v>
      </c>
      <c r="D6856" s="398">
        <f>VLOOKUP(D6835,'Detail Balok'!$C$10:$AU$140,36,FALSE)</f>
        <v>0</v>
      </c>
      <c r="E6856" s="388" t="s">
        <v>16</v>
      </c>
      <c r="F6856" s="388">
        <f>VLOOKUP(D6835,'Detail Balok'!$C$10:$AU$140,38,FALSE)</f>
        <v>10</v>
      </c>
      <c r="G6856" s="405" t="s">
        <v>157</v>
      </c>
      <c r="H6856" s="395">
        <f>VLOOKUP(D6835,'Detail Balok'!$C$10:$AU$140,40,FALSE)</f>
        <v>200</v>
      </c>
      <c r="I6856" s="388"/>
      <c r="J6856" s="400">
        <f t="shared" ref="J6856" si="22249">(IF(D6856=0,(2*(D6836+G6836))-(F$5*8),IF(D6856=3,(2*(D6836+G6836))-(F$5*8)+(G6836-2*F$5),IF(D6856=4,(2*(D6836+G6836))-(F$5*8)+2*(G6836-2*F$5)))))/1000</f>
        <v>1.08</v>
      </c>
      <c r="K6856" s="400" t="s">
        <v>204</v>
      </c>
      <c r="L6856" s="399">
        <f t="shared" si="22242"/>
        <v>0.15</v>
      </c>
      <c r="M6856" s="399" t="s">
        <v>176</v>
      </c>
      <c r="N6856" s="399">
        <f t="shared" si="22243"/>
        <v>1.23</v>
      </c>
      <c r="O6856" s="399"/>
      <c r="P6856" s="389"/>
      <c r="Q6856" s="399"/>
      <c r="R6856" s="399"/>
      <c r="S6856" s="399"/>
      <c r="T6856" s="399" t="s">
        <v>125</v>
      </c>
      <c r="U6856" s="401">
        <f t="shared" si="22244"/>
        <v>0.61650000000000005</v>
      </c>
      <c r="V6856" s="399" t="s">
        <v>125</v>
      </c>
      <c r="W6856" s="399">
        <f t="shared" ref="W6856" si="22250">IF(D6838-MAX(D6838/4,2*G6836)*2&gt;0,ROUND((D6838-MAX(D6838/4,2*G6836)*2)/H6856,0),0)</f>
        <v>13</v>
      </c>
      <c r="X6856" s="399" t="s">
        <v>125</v>
      </c>
      <c r="Y6856" s="389">
        <f t="shared" ref="Y6856" si="22251">D6841</f>
        <v>1</v>
      </c>
      <c r="Z6856" s="400" t="s">
        <v>176</v>
      </c>
      <c r="AA6856" s="402">
        <f t="shared" si="22247"/>
        <v>9.8578350000000015</v>
      </c>
      <c r="AB6856" s="403"/>
    </row>
    <row r="6857" spans="1:28">
      <c r="A6857" s="384" t="str">
        <f t="shared" ref="A6857:B6857" si="22252">A6835</f>
        <v>Lantai Atap</v>
      </c>
      <c r="B6857" s="385">
        <f t="shared" si="22252"/>
        <v>21</v>
      </c>
      <c r="C6857" s="393" t="s">
        <v>211</v>
      </c>
      <c r="D6857" s="398">
        <f>VLOOKUP(D6835,'Detail Balok'!$C$10:$AU$140,41,FALSE)</f>
        <v>0</v>
      </c>
      <c r="E6857" s="388" t="s">
        <v>16</v>
      </c>
      <c r="F6857" s="388">
        <f>VLOOKUP(D6835,'Detail Balok'!$C$10:$AU$140,43,FALSE)</f>
        <v>10</v>
      </c>
      <c r="G6857" s="405" t="s">
        <v>157</v>
      </c>
      <c r="H6857" s="395">
        <f>VLOOKUP(D6835,'Detail Balok'!$C$10:$AU$140,45,FALSE)</f>
        <v>100</v>
      </c>
      <c r="I6857" s="388"/>
      <c r="J6857" s="400">
        <f t="shared" ref="J6857" si="22253">(IF(D6857=0,(2*(D6836+G6836))-(F$5*8),IF(D6857=3,(2*(D6836+G6836))-(F$5*8)+(G6836-2*F$5),IF(D6857=4,(2*(D6836+G6836))-(F$5*8)+2*(G6836-2*F$5)))))/1000</f>
        <v>1.08</v>
      </c>
      <c r="K6857" s="400" t="s">
        <v>204</v>
      </c>
      <c r="L6857" s="399">
        <f t="shared" si="22242"/>
        <v>0.15</v>
      </c>
      <c r="M6857" s="399" t="s">
        <v>176</v>
      </c>
      <c r="N6857" s="399">
        <f t="shared" si="22243"/>
        <v>1.23</v>
      </c>
      <c r="O6857" s="399"/>
      <c r="P6857" s="389"/>
      <c r="Q6857" s="399"/>
      <c r="R6857" s="399"/>
      <c r="S6857" s="399"/>
      <c r="T6857" s="399" t="s">
        <v>125</v>
      </c>
      <c r="U6857" s="401">
        <f t="shared" si="22244"/>
        <v>0.61650000000000005</v>
      </c>
      <c r="V6857" s="399" t="s">
        <v>125</v>
      </c>
      <c r="W6857" s="399">
        <f t="shared" ref="W6857" si="22254">IF(D6838&gt;4*G6836,ROUND(MAX(D6838/4,2*G6836)/H6857,0)+1,0)</f>
        <v>14</v>
      </c>
      <c r="X6857" s="399" t="s">
        <v>125</v>
      </c>
      <c r="Y6857" s="389">
        <f t="shared" ref="Y6857" si="22255">D6841</f>
        <v>1</v>
      </c>
      <c r="Z6857" s="400" t="s">
        <v>176</v>
      </c>
      <c r="AA6857" s="402">
        <f t="shared" si="22247"/>
        <v>10.61613</v>
      </c>
      <c r="AB6857" s="403"/>
    </row>
    <row r="6858" spans="1:28">
      <c r="A6858" s="384"/>
      <c r="B6858" s="385"/>
      <c r="C6858" s="393"/>
      <c r="D6858" s="394"/>
      <c r="E6858" s="388"/>
      <c r="F6858" s="388"/>
      <c r="G6858" s="388"/>
      <c r="H6858" s="395"/>
      <c r="I6858" s="388"/>
      <c r="J6858" s="399"/>
      <c r="K6858" s="396"/>
      <c r="L6858" s="396"/>
      <c r="M6858" s="396"/>
      <c r="N6858" s="396"/>
      <c r="O6858" s="396"/>
      <c r="P6858" s="389"/>
      <c r="Q6858" s="396"/>
      <c r="R6858" s="396"/>
      <c r="S6858" s="396"/>
      <c r="T6858" s="396"/>
      <c r="U6858" s="401"/>
      <c r="V6858" s="396"/>
      <c r="W6858" s="388"/>
      <c r="X6858" s="396"/>
      <c r="Y6858" s="389"/>
      <c r="Z6858" s="396"/>
      <c r="AA6858" s="388"/>
      <c r="AB6858" s="390"/>
    </row>
    <row r="6859" spans="1:28">
      <c r="A6859" s="384" t="str">
        <f t="shared" ref="A6859:B6859" si="22256">A6835</f>
        <v>Lantai Atap</v>
      </c>
      <c r="B6859" s="385">
        <f t="shared" si="22256"/>
        <v>21</v>
      </c>
      <c r="C6859" s="393" t="s">
        <v>213</v>
      </c>
      <c r="D6859" s="398">
        <f>VLOOKUP(D6835,'Detail Balok'!$C$10:$BJ$140,46,FALSE)</f>
        <v>0</v>
      </c>
      <c r="E6859" s="388" t="s">
        <v>16</v>
      </c>
      <c r="F6859" s="388">
        <f>VLOOKUP(D6835,'Detail Balok'!$C$10:$BJ$140,48,FALSE)</f>
        <v>0</v>
      </c>
      <c r="G6859" s="405" t="s">
        <v>157</v>
      </c>
      <c r="H6859" s="395">
        <f>VLOOKUP(D6835,'Detail Balok'!$C$10:$BJ$140,50,FALSE)</f>
        <v>100</v>
      </c>
      <c r="I6859" s="388"/>
      <c r="J6859" s="399">
        <f t="shared" ref="J6859" si="22257">(D6836-2*F$5)/1000</f>
        <v>0.17</v>
      </c>
      <c r="K6859" s="400" t="s">
        <v>204</v>
      </c>
      <c r="L6859" s="399">
        <f t="shared" ref="L6859:L6861" si="22258">IF(D6859=0,2*MAX(6*F6859,75),(D6859-1)*2*MAX(6*F6859,75))/1000</f>
        <v>0.15</v>
      </c>
      <c r="M6859" s="399" t="s">
        <v>176</v>
      </c>
      <c r="N6859" s="399">
        <f t="shared" ref="N6859:N6861" si="22259">J6859+L6859</f>
        <v>0.32</v>
      </c>
      <c r="O6859" s="399"/>
      <c r="P6859" s="399"/>
      <c r="Q6859" s="399"/>
      <c r="R6859" s="399"/>
      <c r="S6859" s="399"/>
      <c r="T6859" s="399" t="s">
        <v>125</v>
      </c>
      <c r="U6859" s="401">
        <f t="shared" ref="U6859:U6861" si="22260">0.006165*F6859^2</f>
        <v>0</v>
      </c>
      <c r="V6859" s="399" t="s">
        <v>125</v>
      </c>
      <c r="W6859" s="399">
        <f t="shared" si="22165"/>
        <v>14</v>
      </c>
      <c r="X6859" s="399" t="s">
        <v>125</v>
      </c>
      <c r="Y6859" s="389">
        <f t="shared" ref="Y6859" si="22261">D6845</f>
        <v>3</v>
      </c>
      <c r="Z6859" s="400" t="s">
        <v>176</v>
      </c>
      <c r="AA6859" s="402">
        <f t="shared" ref="AA6859:AA6861" si="22262">N6859*U6859*W6859*Y6859</f>
        <v>0</v>
      </c>
      <c r="AB6859" s="403"/>
    </row>
    <row r="6860" spans="1:28">
      <c r="A6860" s="384" t="str">
        <f t="shared" ref="A6860:B6860" si="22263">A6835</f>
        <v>Lantai Atap</v>
      </c>
      <c r="B6860" s="385">
        <f t="shared" si="22263"/>
        <v>21</v>
      </c>
      <c r="C6860" s="393" t="s">
        <v>214</v>
      </c>
      <c r="D6860" s="398">
        <f>VLOOKUP(D6835,'Detail Balok'!$C$10:$BJ$140,51,FALSE)</f>
        <v>0</v>
      </c>
      <c r="E6860" s="388" t="s">
        <v>16</v>
      </c>
      <c r="F6860" s="388">
        <f>VLOOKUP(D6835,'Detail Balok'!$C$10:$BJ$140,53,FALSE)</f>
        <v>0</v>
      </c>
      <c r="G6860" s="405" t="s">
        <v>157</v>
      </c>
      <c r="H6860" s="395">
        <f>VLOOKUP(D6835,'Detail Balok'!$C$10:$BJ$140,55,FALSE)</f>
        <v>100</v>
      </c>
      <c r="I6860" s="388"/>
      <c r="J6860" s="399">
        <f t="shared" ref="J6860" si="22264">(D6836-2*F$5)/1000</f>
        <v>0.17</v>
      </c>
      <c r="K6860" s="400" t="s">
        <v>204</v>
      </c>
      <c r="L6860" s="399">
        <f t="shared" si="22258"/>
        <v>0.15</v>
      </c>
      <c r="M6860" s="399" t="s">
        <v>176</v>
      </c>
      <c r="N6860" s="399">
        <f t="shared" si="22259"/>
        <v>0.32</v>
      </c>
      <c r="O6860" s="399"/>
      <c r="P6860" s="399"/>
      <c r="Q6860" s="399"/>
      <c r="R6860" s="399"/>
      <c r="S6860" s="399"/>
      <c r="T6860" s="399" t="s">
        <v>125</v>
      </c>
      <c r="U6860" s="401">
        <f t="shared" si="22260"/>
        <v>0</v>
      </c>
      <c r="V6860" s="399" t="s">
        <v>125</v>
      </c>
      <c r="W6860" s="399">
        <f t="shared" si="22165"/>
        <v>13</v>
      </c>
      <c r="X6860" s="399" t="s">
        <v>125</v>
      </c>
      <c r="Y6860" s="389">
        <f t="shared" ref="Y6860" si="22265">D6845</f>
        <v>3</v>
      </c>
      <c r="Z6860" s="400" t="s">
        <v>176</v>
      </c>
      <c r="AA6860" s="402">
        <f t="shared" si="22262"/>
        <v>0</v>
      </c>
      <c r="AB6860" s="403"/>
    </row>
    <row r="6861" spans="1:28">
      <c r="A6861" s="384" t="str">
        <f t="shared" ref="A6861:B6861" si="22266">A6835</f>
        <v>Lantai Atap</v>
      </c>
      <c r="B6861" s="385">
        <f t="shared" si="22266"/>
        <v>21</v>
      </c>
      <c r="C6861" s="393" t="s">
        <v>213</v>
      </c>
      <c r="D6861" s="398">
        <f>VLOOKUP(D6835,'Detail Balok'!$C$10:$BJ$140,56,FALSE)</f>
        <v>0</v>
      </c>
      <c r="E6861" s="388" t="s">
        <v>16</v>
      </c>
      <c r="F6861" s="388">
        <f>VLOOKUP(D6835,'Detail Balok'!$C$10:$BJ$140,58,FALSE)</f>
        <v>0</v>
      </c>
      <c r="G6861" s="405" t="s">
        <v>157</v>
      </c>
      <c r="H6861" s="395">
        <f>VLOOKUP(D6835,'Detail Balok'!$C$10:$BJ$140,60,FALSE)</f>
        <v>100</v>
      </c>
      <c r="I6861" s="388"/>
      <c r="J6861" s="399">
        <f t="shared" ref="J6861" si="22267">(D6836-2*F$5)/1000</f>
        <v>0.17</v>
      </c>
      <c r="K6861" s="400" t="s">
        <v>204</v>
      </c>
      <c r="L6861" s="399">
        <f t="shared" si="22258"/>
        <v>0.15</v>
      </c>
      <c r="M6861" s="399" t="s">
        <v>176</v>
      </c>
      <c r="N6861" s="399">
        <f t="shared" si="22259"/>
        <v>0.32</v>
      </c>
      <c r="O6861" s="399"/>
      <c r="P6861" s="399"/>
      <c r="Q6861" s="399"/>
      <c r="R6861" s="399"/>
      <c r="S6861" s="399"/>
      <c r="T6861" s="399" t="s">
        <v>125</v>
      </c>
      <c r="U6861" s="401">
        <f t="shared" si="22260"/>
        <v>0</v>
      </c>
      <c r="V6861" s="399" t="s">
        <v>125</v>
      </c>
      <c r="W6861" s="399">
        <f t="shared" si="22165"/>
        <v>14</v>
      </c>
      <c r="X6861" s="399" t="s">
        <v>125</v>
      </c>
      <c r="Y6861" s="389">
        <f t="shared" ref="Y6861" si="22268">D6845</f>
        <v>3</v>
      </c>
      <c r="Z6861" s="400" t="s">
        <v>176</v>
      </c>
      <c r="AA6861" s="402">
        <f t="shared" si="22262"/>
        <v>0</v>
      </c>
      <c r="AB6861" s="403"/>
    </row>
    <row r="6862" spans="1:28">
      <c r="A6862" s="391"/>
      <c r="B6862" s="392"/>
      <c r="C6862" s="392"/>
      <c r="D6862" s="394"/>
      <c r="E6862" s="388"/>
      <c r="F6862" s="388"/>
      <c r="G6862" s="388"/>
      <c r="H6862" s="395"/>
      <c r="I6862" s="388"/>
      <c r="J6862" s="402"/>
      <c r="K6862" s="388"/>
      <c r="L6862" s="388"/>
      <c r="M6862" s="388"/>
      <c r="N6862" s="388"/>
      <c r="O6862" s="388"/>
      <c r="P6862" s="388"/>
      <c r="Q6862" s="388"/>
      <c r="R6862" s="388"/>
      <c r="S6862" s="388"/>
      <c r="T6862" s="388"/>
      <c r="U6862" s="388"/>
      <c r="V6862" s="388"/>
      <c r="W6862" s="388"/>
      <c r="X6862" s="388"/>
      <c r="Y6862" s="389"/>
      <c r="Z6862" s="388"/>
      <c r="AA6862" s="402"/>
      <c r="AB6862" s="403"/>
    </row>
    <row r="6863" spans="1:28" ht="15.75" thickBot="1">
      <c r="A6863" s="406"/>
      <c r="B6863" s="407"/>
      <c r="C6863" s="407"/>
      <c r="D6863" s="408"/>
      <c r="E6863" s="409"/>
      <c r="F6863" s="409"/>
      <c r="G6863" s="409"/>
      <c r="H6863" s="410"/>
      <c r="I6863" s="409"/>
      <c r="J6863" s="409"/>
      <c r="K6863" s="409"/>
      <c r="L6863" s="409"/>
      <c r="M6863" s="409"/>
      <c r="N6863" s="409"/>
      <c r="O6863" s="409"/>
      <c r="P6863" s="409"/>
      <c r="Q6863" s="409"/>
      <c r="R6863" s="409"/>
      <c r="S6863" s="409"/>
      <c r="T6863" s="409"/>
      <c r="U6863" s="409"/>
      <c r="V6863" s="409"/>
      <c r="W6863" s="409"/>
      <c r="X6863" s="409"/>
      <c r="Y6863" s="411"/>
      <c r="Z6863" s="409"/>
      <c r="AA6863" s="412"/>
      <c r="AB6863" s="413"/>
    </row>
    <row r="6864" spans="1:28">
      <c r="A6864" s="377"/>
      <c r="B6864" s="378"/>
      <c r="C6864" s="378"/>
      <c r="D6864" s="379"/>
      <c r="E6864" s="380"/>
      <c r="F6864" s="380"/>
      <c r="G6864" s="380"/>
      <c r="H6864" s="381"/>
      <c r="I6864" s="380"/>
      <c r="J6864" s="380"/>
      <c r="K6864" s="380"/>
      <c r="L6864" s="380"/>
      <c r="M6864" s="380"/>
      <c r="N6864" s="380"/>
      <c r="O6864" s="380"/>
      <c r="P6864" s="380"/>
      <c r="Q6864" s="380"/>
      <c r="R6864" s="380"/>
      <c r="S6864" s="380"/>
      <c r="T6864" s="380"/>
      <c r="U6864" s="380"/>
      <c r="V6864" s="380"/>
      <c r="W6864" s="380"/>
      <c r="X6864" s="380"/>
      <c r="Y6864" s="382"/>
      <c r="Z6864" s="380"/>
      <c r="AA6864" s="380"/>
      <c r="AB6864" s="383"/>
    </row>
    <row r="6865" spans="1:28">
      <c r="A6865" s="384" t="str">
        <f t="shared" si="22174"/>
        <v>Lantai Atap</v>
      </c>
      <c r="B6865" s="385">
        <f t="shared" si="22175"/>
        <v>22</v>
      </c>
      <c r="C6865" s="386" t="str">
        <f t="shared" ref="C6865" si="22269">CONCATENATE(A6865," no. ",B6865)</f>
        <v>Lantai Atap no. 22</v>
      </c>
      <c r="D6865" s="2562" t="str">
        <f>VLOOKUP(C6865,'Data Panjang Balok'!$C$9:$N$254,2,FALSE)</f>
        <v>B25-1</v>
      </c>
      <c r="E6865" s="2576"/>
      <c r="F6865" s="2576"/>
      <c r="G6865" s="2576"/>
      <c r="H6865" s="2577"/>
      <c r="I6865" s="387"/>
      <c r="J6865" s="388"/>
      <c r="K6865" s="388"/>
      <c r="L6865" s="388"/>
      <c r="M6865" s="388"/>
      <c r="N6865" s="388"/>
      <c r="O6865" s="388"/>
      <c r="P6865" s="388"/>
      <c r="Q6865" s="388"/>
      <c r="R6865" s="388"/>
      <c r="S6865" s="388"/>
      <c r="T6865" s="388"/>
      <c r="U6865" s="388"/>
      <c r="V6865" s="388"/>
      <c r="W6865" s="388"/>
      <c r="X6865" s="388"/>
      <c r="Y6865" s="389"/>
      <c r="Z6865" s="388"/>
      <c r="AA6865" s="388"/>
      <c r="AB6865" s="390"/>
    </row>
    <row r="6866" spans="1:28">
      <c r="A6866" s="391"/>
      <c r="B6866" s="392"/>
      <c r="C6866" s="393" t="s">
        <v>118</v>
      </c>
      <c r="D6866" s="2578">
        <f>VLOOKUP(D6865,'Detail Balok'!$C$10:$AU$140,2,FALSE)</f>
        <v>200</v>
      </c>
      <c r="E6866" s="2579"/>
      <c r="F6866" s="388" t="s">
        <v>125</v>
      </c>
      <c r="G6866" s="2579">
        <f>VLOOKUP(D6865,'Detail Balok'!$C$10:$AU$140,3,FALSE)</f>
        <v>500</v>
      </c>
      <c r="H6866" s="2580"/>
      <c r="I6866" s="388"/>
      <c r="J6866" s="396"/>
      <c r="K6866" s="396"/>
      <c r="L6866" s="396"/>
      <c r="M6866" s="396"/>
      <c r="N6866" s="396"/>
      <c r="O6866" s="396"/>
      <c r="P6866" s="396"/>
      <c r="Q6866" s="396"/>
      <c r="R6866" s="396"/>
      <c r="S6866" s="396"/>
      <c r="T6866" s="396"/>
      <c r="U6866" s="388"/>
      <c r="V6866" s="396"/>
      <c r="W6866" s="388"/>
      <c r="X6866" s="396"/>
      <c r="Y6866" s="389"/>
      <c r="Z6866" s="396"/>
      <c r="AA6866" s="388"/>
      <c r="AB6866" s="390"/>
    </row>
    <row r="6867" spans="1:28">
      <c r="A6867" s="391"/>
      <c r="B6867" s="392"/>
      <c r="C6867" s="393" t="s">
        <v>198</v>
      </c>
      <c r="D6867" s="2562">
        <f>VLOOKUP(C6865,'Data Panjang Balok'!$C$9:$N$254,4,FALSE)</f>
        <v>10650</v>
      </c>
      <c r="E6867" s="2563"/>
      <c r="F6867" s="2563"/>
      <c r="G6867" s="2563"/>
      <c r="H6867" s="2564"/>
      <c r="I6867" s="397"/>
      <c r="J6867" s="396"/>
      <c r="K6867" s="396"/>
      <c r="L6867" s="396"/>
      <c r="M6867" s="396"/>
      <c r="N6867" s="396"/>
      <c r="O6867" s="396"/>
      <c r="P6867" s="396"/>
      <c r="Q6867" s="396"/>
      <c r="R6867" s="396"/>
      <c r="S6867" s="396"/>
      <c r="T6867" s="396"/>
      <c r="U6867" s="388"/>
      <c r="V6867" s="396"/>
      <c r="W6867" s="388"/>
      <c r="X6867" s="396"/>
      <c r="Y6867" s="389"/>
      <c r="Z6867" s="396"/>
      <c r="AA6867" s="388"/>
      <c r="AB6867" s="390"/>
    </row>
    <row r="6868" spans="1:28">
      <c r="A6868" s="391"/>
      <c r="B6868" s="392"/>
      <c r="C6868" s="393" t="s">
        <v>199</v>
      </c>
      <c r="D6868" s="2562">
        <f>VLOOKUP(C6865,'Data Panjang Balok'!$C$9:$N$254,7,FALSE)</f>
        <v>10650</v>
      </c>
      <c r="E6868" s="2563"/>
      <c r="F6868" s="2563"/>
      <c r="G6868" s="2563"/>
      <c r="H6868" s="2564"/>
      <c r="I6868" s="397"/>
      <c r="J6868" s="396"/>
      <c r="K6868" s="396"/>
      <c r="L6868" s="396"/>
      <c r="M6868" s="396"/>
      <c r="N6868" s="396"/>
      <c r="O6868" s="396"/>
      <c r="P6868" s="396"/>
      <c r="Q6868" s="396"/>
      <c r="R6868" s="396"/>
      <c r="S6868" s="396"/>
      <c r="T6868" s="396"/>
      <c r="U6868" s="388"/>
      <c r="V6868" s="396"/>
      <c r="W6868" s="388"/>
      <c r="X6868" s="396"/>
      <c r="Y6868" s="389"/>
      <c r="Z6868" s="396"/>
      <c r="AA6868" s="388"/>
      <c r="AB6868" s="390"/>
    </row>
    <row r="6869" spans="1:28">
      <c r="A6869" s="391"/>
      <c r="B6869" s="392"/>
      <c r="C6869" s="393" t="s">
        <v>200</v>
      </c>
      <c r="D6869" s="2562">
        <f>VLOOKUP(C6865,'Data Panjang Balok'!$C$9:$N$254,9,FALSE)</f>
        <v>0</v>
      </c>
      <c r="E6869" s="2563"/>
      <c r="F6869" s="2563"/>
      <c r="G6869" s="2563"/>
      <c r="H6869" s="2564"/>
      <c r="I6869" s="397"/>
      <c r="J6869" s="396"/>
      <c r="K6869" s="396"/>
      <c r="L6869" s="396"/>
      <c r="M6869" s="396"/>
      <c r="N6869" s="396"/>
      <c r="O6869" s="396"/>
      <c r="P6869" s="396"/>
      <c r="Q6869" s="396"/>
      <c r="R6869" s="396"/>
      <c r="S6869" s="396"/>
      <c r="T6869" s="396"/>
      <c r="U6869" s="388"/>
      <c r="V6869" s="396"/>
      <c r="W6869" s="388"/>
      <c r="X6869" s="396"/>
      <c r="Y6869" s="389"/>
      <c r="Z6869" s="396"/>
      <c r="AA6869" s="388"/>
      <c r="AB6869" s="390"/>
    </row>
    <row r="6870" spans="1:28">
      <c r="A6870" s="391"/>
      <c r="B6870" s="392"/>
      <c r="C6870" s="393" t="s">
        <v>201</v>
      </c>
      <c r="D6870" s="2562">
        <f>VLOOKUP(C6865,'Data Panjang Balok'!$C$9:$N$254,10,FALSE)</f>
        <v>0</v>
      </c>
      <c r="E6870" s="2563"/>
      <c r="F6870" s="2563"/>
      <c r="G6870" s="2563"/>
      <c r="H6870" s="2564"/>
      <c r="I6870" s="397"/>
      <c r="J6870" s="396"/>
      <c r="K6870" s="396"/>
      <c r="L6870" s="396"/>
      <c r="M6870" s="396"/>
      <c r="N6870" s="396"/>
      <c r="O6870" s="396"/>
      <c r="P6870" s="396"/>
      <c r="Q6870" s="396"/>
      <c r="R6870" s="396"/>
      <c r="S6870" s="396"/>
      <c r="T6870" s="396"/>
      <c r="U6870" s="388"/>
      <c r="V6870" s="396"/>
      <c r="W6870" s="388"/>
      <c r="X6870" s="396"/>
      <c r="Y6870" s="389"/>
      <c r="Z6870" s="396"/>
      <c r="AA6870" s="388"/>
      <c r="AB6870" s="390"/>
    </row>
    <row r="6871" spans="1:28">
      <c r="A6871" s="391"/>
      <c r="B6871" s="392"/>
      <c r="C6871" s="393" t="s">
        <v>48</v>
      </c>
      <c r="D6871" s="2562">
        <f>VLOOKUP(C6865,'Data Panjang Balok'!$C$9:$N$254,3,FALSE)</f>
        <v>1</v>
      </c>
      <c r="E6871" s="2563"/>
      <c r="F6871" s="2563"/>
      <c r="G6871" s="2563"/>
      <c r="H6871" s="2564"/>
      <c r="I6871" s="397"/>
      <c r="J6871" s="396"/>
      <c r="K6871" s="396"/>
      <c r="L6871" s="396"/>
      <c r="M6871" s="396"/>
      <c r="N6871" s="396"/>
      <c r="O6871" s="396"/>
      <c r="P6871" s="396"/>
      <c r="Q6871" s="396"/>
      <c r="R6871" s="396"/>
      <c r="S6871" s="396"/>
      <c r="T6871" s="396"/>
      <c r="U6871" s="388"/>
      <c r="V6871" s="396"/>
      <c r="W6871" s="388"/>
      <c r="X6871" s="396"/>
      <c r="Y6871" s="389"/>
      <c r="Z6871" s="396"/>
      <c r="AA6871" s="388"/>
      <c r="AB6871" s="390"/>
    </row>
    <row r="6872" spans="1:28">
      <c r="A6872" s="384" t="str">
        <f t="shared" ref="A6872:B6872" si="22270">A6865</f>
        <v>Lantai Atap</v>
      </c>
      <c r="B6872" s="385">
        <f t="shared" si="22270"/>
        <v>22</v>
      </c>
      <c r="C6872" s="393" t="s">
        <v>202</v>
      </c>
      <c r="D6872" s="398">
        <f>VLOOKUP(D6865,'Detail Balok'!$C$10:$AU$140,4,FALSE)</f>
        <v>4</v>
      </c>
      <c r="E6872" s="388" t="s">
        <v>16</v>
      </c>
      <c r="F6872" s="388">
        <f>VLOOKUP(D6865,'Detail Balok'!$C$10:$AU$140,6,FALSE)</f>
        <v>16</v>
      </c>
      <c r="G6872" s="388"/>
      <c r="H6872" s="395"/>
      <c r="I6872" s="388" t="s">
        <v>203</v>
      </c>
      <c r="J6872" s="399">
        <f t="shared" ref="J6872" si="22271">+D6867/4/1000</f>
        <v>2.6625000000000001</v>
      </c>
      <c r="K6872" s="400" t="s">
        <v>204</v>
      </c>
      <c r="L6872" s="399">
        <f t="shared" ref="L6872" si="22272">MAX(VLOOKUP(F6872,N$6:P$15,3,FALSE)/1000,2/3*D6869/1000)+F$16*F6872/1000</f>
        <v>0.192</v>
      </c>
      <c r="M6872" s="399" t="s">
        <v>176</v>
      </c>
      <c r="N6872" s="399">
        <f t="shared" ref="N6872:N6874" si="22273">J6872+L6872</f>
        <v>2.8545000000000003</v>
      </c>
      <c r="O6872" s="399" t="s">
        <v>204</v>
      </c>
      <c r="P6872" s="389">
        <f t="shared" ref="P6872" si="22274">D6872-D6873</f>
        <v>0</v>
      </c>
      <c r="Q6872" s="399" t="s">
        <v>125</v>
      </c>
      <c r="R6872" s="399">
        <f t="shared" ref="R6872" si="22275">IF(P6872&gt;0,$F$18*F6872/1000,0)</f>
        <v>0</v>
      </c>
      <c r="S6872" s="399" t="s">
        <v>205</v>
      </c>
      <c r="T6872" s="399" t="s">
        <v>125</v>
      </c>
      <c r="U6872" s="401">
        <f t="shared" ref="U6872:U6874" si="22276">0.006165*F6872^2</f>
        <v>1.5782400000000001</v>
      </c>
      <c r="V6872" s="399"/>
      <c r="W6872" s="399"/>
      <c r="X6872" s="399" t="s">
        <v>125</v>
      </c>
      <c r="Y6872" s="389">
        <f t="shared" ref="Y6872" si="22277">D6871</f>
        <v>1</v>
      </c>
      <c r="Z6872" s="400" t="s">
        <v>176</v>
      </c>
      <c r="AA6872" s="402">
        <f t="shared" ref="AA6872" si="22278">IF(AA6875=0,(D6872*N6872+P6872*R6872)*U6872*Y6872,0)</f>
        <v>0</v>
      </c>
      <c r="AB6872" s="403"/>
    </row>
    <row r="6873" spans="1:28">
      <c r="A6873" s="384" t="str">
        <f t="shared" ref="A6873:B6873" si="22279">A6865</f>
        <v>Lantai Atap</v>
      </c>
      <c r="B6873" s="385">
        <f t="shared" si="22279"/>
        <v>22</v>
      </c>
      <c r="C6873" s="393" t="s">
        <v>206</v>
      </c>
      <c r="D6873" s="398">
        <f>VLOOKUP(D6865,'Detail Balok'!$C$10:$AU$140,7,FALSE)</f>
        <v>4</v>
      </c>
      <c r="E6873" s="388" t="s">
        <v>16</v>
      </c>
      <c r="F6873" s="388">
        <f>VLOOKUP(D6865,'Detail Balok'!$C$10:$AU$140,9,FALSE)</f>
        <v>16</v>
      </c>
      <c r="G6873" s="388"/>
      <c r="H6873" s="395"/>
      <c r="I6873" s="388" t="s">
        <v>203</v>
      </c>
      <c r="J6873" s="399">
        <f t="shared" ref="J6873" si="22280">+D6867/2/1000</f>
        <v>5.3250000000000002</v>
      </c>
      <c r="K6873" s="400" t="s">
        <v>204</v>
      </c>
      <c r="L6873" s="399"/>
      <c r="M6873" s="399" t="s">
        <v>176</v>
      </c>
      <c r="N6873" s="399">
        <f t="shared" si="22273"/>
        <v>5.3250000000000002</v>
      </c>
      <c r="O6873" s="399" t="s">
        <v>204</v>
      </c>
      <c r="P6873" s="389">
        <f t="shared" ref="P6873" si="22281">MAX(D6873-D6872,D6873-D6874)</f>
        <v>0</v>
      </c>
      <c r="Q6873" s="399" t="s">
        <v>125</v>
      </c>
      <c r="R6873" s="399">
        <f t="shared" ref="R6873" si="22282">IF(P6873&gt;0,2*(1-2*$F$19-1/2)*D6868/1000,0)</f>
        <v>0</v>
      </c>
      <c r="S6873" s="399" t="s">
        <v>205</v>
      </c>
      <c r="T6873" s="399" t="s">
        <v>125</v>
      </c>
      <c r="U6873" s="401">
        <f t="shared" si="22276"/>
        <v>1.5782400000000001</v>
      </c>
      <c r="V6873" s="399"/>
      <c r="W6873" s="399"/>
      <c r="X6873" s="399" t="s">
        <v>125</v>
      </c>
      <c r="Y6873" s="389">
        <f t="shared" ref="Y6873" si="22283">D6871</f>
        <v>1</v>
      </c>
      <c r="Z6873" s="400" t="s">
        <v>176</v>
      </c>
      <c r="AA6873" s="402">
        <f t="shared" ref="AA6873" si="22284">IF(AA6875=0,(D6873*N6873+P6873*R6873)*U6873*Y6873,0)</f>
        <v>0</v>
      </c>
      <c r="AB6873" s="403"/>
    </row>
    <row r="6874" spans="1:28">
      <c r="A6874" s="384" t="str">
        <f t="shared" ref="A6874:B6874" si="22285">A6865</f>
        <v>Lantai Atap</v>
      </c>
      <c r="B6874" s="385">
        <f t="shared" si="22285"/>
        <v>22</v>
      </c>
      <c r="C6874" s="393" t="s">
        <v>202</v>
      </c>
      <c r="D6874" s="398">
        <f>VLOOKUP(D6865,'Detail Balok'!$C$10:$AU$140,10,FALSE)</f>
        <v>4</v>
      </c>
      <c r="E6874" s="388" t="s">
        <v>16</v>
      </c>
      <c r="F6874" s="388">
        <f>VLOOKUP(D6865,'Detail Balok'!$C$10:$AU$140,12,FALSE)</f>
        <v>16</v>
      </c>
      <c r="G6874" s="388"/>
      <c r="H6874" s="395"/>
      <c r="I6874" s="388" t="s">
        <v>203</v>
      </c>
      <c r="J6874" s="399">
        <f t="shared" ref="J6874" si="22286">+D6867/4/1000</f>
        <v>2.6625000000000001</v>
      </c>
      <c r="K6874" s="400" t="s">
        <v>204</v>
      </c>
      <c r="L6874" s="399">
        <f t="shared" ref="L6874" si="22287">MAX(VLOOKUP(F6874,N$6:P$15,3,FALSE)/1000,2/3*D6869/1000)+F$16*F6874/1000</f>
        <v>0.192</v>
      </c>
      <c r="M6874" s="399" t="s">
        <v>176</v>
      </c>
      <c r="N6874" s="399">
        <f t="shared" si="22273"/>
        <v>2.8545000000000003</v>
      </c>
      <c r="O6874" s="399" t="s">
        <v>204</v>
      </c>
      <c r="P6874" s="389">
        <f t="shared" ref="P6874" si="22288">D6874-D6873</f>
        <v>0</v>
      </c>
      <c r="Q6874" s="399" t="s">
        <v>125</v>
      </c>
      <c r="R6874" s="399">
        <f t="shared" ref="R6874" si="22289">IF(P6874&gt;0,$F$18*F6874/1000,0)</f>
        <v>0</v>
      </c>
      <c r="S6874" s="399" t="s">
        <v>205</v>
      </c>
      <c r="T6874" s="399" t="s">
        <v>125</v>
      </c>
      <c r="U6874" s="401">
        <f t="shared" si="22276"/>
        <v>1.5782400000000001</v>
      </c>
      <c r="V6874" s="399"/>
      <c r="W6874" s="399"/>
      <c r="X6874" s="399" t="s">
        <v>125</v>
      </c>
      <c r="Y6874" s="389">
        <f t="shared" ref="Y6874" si="22290">D6871</f>
        <v>1</v>
      </c>
      <c r="Z6874" s="400" t="s">
        <v>176</v>
      </c>
      <c r="AA6874" s="402">
        <f t="shared" ref="AA6874" si="22291">IF(AA6875=0,(D6874*N6874+P6874*R6874)*U6874*Y6874,0)</f>
        <v>0</v>
      </c>
      <c r="AB6874" s="403"/>
    </row>
    <row r="6875" spans="1:28">
      <c r="A6875" s="384" t="str">
        <f t="shared" ref="A6875:B6875" si="22292">A6865</f>
        <v>Lantai Atap</v>
      </c>
      <c r="B6875" s="385">
        <f t="shared" si="22292"/>
        <v>22</v>
      </c>
      <c r="C6875" s="393"/>
      <c r="D6875" s="398">
        <f t="shared" si="22095"/>
        <v>4</v>
      </c>
      <c r="E6875" s="388" t="s">
        <v>16</v>
      </c>
      <c r="F6875" s="388">
        <f t="shared" si="22096"/>
        <v>16</v>
      </c>
      <c r="G6875" s="388"/>
      <c r="H6875" s="395"/>
      <c r="I6875" s="388"/>
      <c r="J6875" s="396"/>
      <c r="K6875" s="396"/>
      <c r="L6875" s="404" t="s">
        <v>207</v>
      </c>
      <c r="M6875" s="399" t="s">
        <v>176</v>
      </c>
      <c r="N6875" s="399">
        <f t="shared" ref="N6875" si="22293">IF(AND(D6872=D6873,D6872=D6874,D6873=D6874,F6872=F6873,F6872=F6874,F6873=F6874),SUM(N6872:N6874),0)</f>
        <v>11.034000000000001</v>
      </c>
      <c r="O6875" s="399" t="s">
        <v>204</v>
      </c>
      <c r="P6875" s="389">
        <f t="shared" ref="P6875" si="22294">IF(N6875&gt;12,ROUNDDOWN(N6875/12,0),0)</f>
        <v>0</v>
      </c>
      <c r="Q6875" s="399" t="s">
        <v>125</v>
      </c>
      <c r="R6875" s="399">
        <f t="shared" ref="R6875" si="22295">IF(P6875&gt;0,MAX(VLOOKUP(F6875,$D$6:$G$15,3,FALSE),600),0)/1000</f>
        <v>0</v>
      </c>
      <c r="S6875" s="396"/>
      <c r="T6875" s="396" t="s">
        <v>125</v>
      </c>
      <c r="U6875" s="401">
        <f t="shared" si="22100"/>
        <v>1.5782400000000001</v>
      </c>
      <c r="V6875" s="396" t="s">
        <v>125</v>
      </c>
      <c r="W6875" s="399">
        <f t="shared" ref="W6875" si="22296">D6875</f>
        <v>4</v>
      </c>
      <c r="X6875" s="399" t="s">
        <v>125</v>
      </c>
      <c r="Y6875" s="389">
        <f t="shared" si="22102"/>
        <v>1</v>
      </c>
      <c r="Z6875" s="400" t="s">
        <v>176</v>
      </c>
      <c r="AA6875" s="402">
        <f t="shared" ref="AA6875" si="22297">(N6875+P6875*R6875/1000)*U6875*W6875*Y6875</f>
        <v>69.657200640000013</v>
      </c>
      <c r="AB6875" s="390"/>
    </row>
    <row r="6876" spans="1:28">
      <c r="A6876" s="384"/>
      <c r="B6876" s="385"/>
      <c r="C6876" s="393"/>
      <c r="D6876" s="398"/>
      <c r="E6876" s="388"/>
      <c r="F6876" s="388"/>
      <c r="G6876" s="388"/>
      <c r="H6876" s="395"/>
      <c r="I6876" s="388"/>
      <c r="J6876" s="396"/>
      <c r="K6876" s="396"/>
      <c r="L6876" s="404"/>
      <c r="M6876" s="399"/>
      <c r="N6876" s="399"/>
      <c r="O6876" s="396"/>
      <c r="P6876" s="389"/>
      <c r="Q6876" s="396"/>
      <c r="R6876" s="396"/>
      <c r="S6876" s="396"/>
      <c r="T6876" s="396"/>
      <c r="U6876" s="401"/>
      <c r="V6876" s="396"/>
      <c r="W6876" s="399"/>
      <c r="X6876" s="396"/>
      <c r="Y6876" s="389"/>
      <c r="Z6876" s="396"/>
      <c r="AA6876" s="388"/>
      <c r="AB6876" s="390"/>
    </row>
    <row r="6877" spans="1:28">
      <c r="A6877" s="384" t="str">
        <f t="shared" ref="A6877:B6877" si="22298">A6865</f>
        <v>Lantai Atap</v>
      </c>
      <c r="B6877" s="385">
        <f t="shared" si="22298"/>
        <v>22</v>
      </c>
      <c r="C6877" s="393" t="s">
        <v>208</v>
      </c>
      <c r="D6877" s="398">
        <f>VLOOKUP(D6865,'Detail Balok'!$C$10:$AU$140,13,FALSE)</f>
        <v>2</v>
      </c>
      <c r="E6877" s="388" t="s">
        <v>16</v>
      </c>
      <c r="F6877" s="388">
        <f>VLOOKUP(D6865,'Detail Balok'!$C$10:$AU$140,15,FALSE)</f>
        <v>10</v>
      </c>
      <c r="G6877" s="388"/>
      <c r="H6877" s="395"/>
      <c r="I6877" s="388"/>
      <c r="J6877" s="399">
        <f t="shared" ref="J6877" si="22299">+D6867/1000</f>
        <v>10.65</v>
      </c>
      <c r="K6877" s="400" t="s">
        <v>204</v>
      </c>
      <c r="L6877" s="399">
        <f t="shared" ref="L6877" si="22300">2*$F$16*F6877/1000</f>
        <v>0.24</v>
      </c>
      <c r="M6877" s="399" t="s">
        <v>176</v>
      </c>
      <c r="N6877" s="399">
        <f t="shared" ref="N6877" si="22301">J6877+L6877</f>
        <v>10.89</v>
      </c>
      <c r="O6877" s="399" t="s">
        <v>204</v>
      </c>
      <c r="P6877" s="389">
        <f t="shared" ref="P6877" si="22302">IF(N6877&gt;12,ROUNDDOWN(N6877/12,0),0)</f>
        <v>0</v>
      </c>
      <c r="Q6877" s="399" t="s">
        <v>125</v>
      </c>
      <c r="R6877" s="399">
        <f t="shared" ref="R6877" si="22303">IF(P6877&gt;0,MAX(VLOOKUP(F6877,$D$6:$G$15,3,FALSE),600),0)/1000</f>
        <v>0</v>
      </c>
      <c r="S6877" s="399"/>
      <c r="T6877" s="399" t="s">
        <v>125</v>
      </c>
      <c r="U6877" s="401">
        <f t="shared" ref="U6877" si="22304">0.006165*F6877^2</f>
        <v>0.61650000000000005</v>
      </c>
      <c r="V6877" s="399" t="s">
        <v>125</v>
      </c>
      <c r="W6877" s="399">
        <f t="shared" ref="W6877" si="22305">+D6877</f>
        <v>2</v>
      </c>
      <c r="X6877" s="399" t="s">
        <v>125</v>
      </c>
      <c r="Y6877" s="389">
        <f t="shared" ref="Y6877" si="22306">D6871</f>
        <v>1</v>
      </c>
      <c r="Z6877" s="400" t="s">
        <v>176</v>
      </c>
      <c r="AA6877" s="402">
        <f t="shared" ref="AA6877" si="22307">(N6877+P6877*R6877/1000)*U6877*W6877*Y6877</f>
        <v>13.427370000000002</v>
      </c>
      <c r="AB6877" s="403"/>
    </row>
    <row r="6878" spans="1:28">
      <c r="A6878" s="384"/>
      <c r="B6878" s="385"/>
      <c r="C6878" s="393"/>
      <c r="D6878" s="398"/>
      <c r="E6878" s="388"/>
      <c r="F6878" s="388"/>
      <c r="G6878" s="388"/>
      <c r="H6878" s="395"/>
      <c r="I6878" s="388"/>
      <c r="J6878" s="399"/>
      <c r="K6878" s="400"/>
      <c r="L6878" s="399"/>
      <c r="M6878" s="399"/>
      <c r="N6878" s="399"/>
      <c r="O6878" s="399"/>
      <c r="P6878" s="389"/>
      <c r="Q6878" s="399"/>
      <c r="R6878" s="399"/>
      <c r="S6878" s="399"/>
      <c r="T6878" s="399"/>
      <c r="U6878" s="401"/>
      <c r="V6878" s="399"/>
      <c r="W6878" s="399"/>
      <c r="X6878" s="399"/>
      <c r="Y6878" s="389"/>
      <c r="Z6878" s="400"/>
      <c r="AA6878" s="402"/>
      <c r="AB6878" s="403"/>
    </row>
    <row r="6879" spans="1:28">
      <c r="A6879" s="384"/>
      <c r="B6879" s="385"/>
      <c r="C6879" s="393"/>
      <c r="D6879" s="398"/>
      <c r="E6879" s="388"/>
      <c r="F6879" s="388"/>
      <c r="G6879" s="388"/>
      <c r="H6879" s="395"/>
      <c r="I6879" s="388"/>
      <c r="J6879" s="396"/>
      <c r="K6879" s="396"/>
      <c r="L6879" s="396"/>
      <c r="M6879" s="396"/>
      <c r="N6879" s="396"/>
      <c r="O6879" s="396"/>
      <c r="P6879" s="389"/>
      <c r="Q6879" s="396"/>
      <c r="R6879" s="396"/>
      <c r="S6879" s="396"/>
      <c r="T6879" s="396"/>
      <c r="U6879" s="401"/>
      <c r="V6879" s="396"/>
      <c r="W6879" s="399"/>
      <c r="X6879" s="396"/>
      <c r="Y6879" s="389"/>
      <c r="Z6879" s="396"/>
      <c r="AA6879" s="388"/>
      <c r="AB6879" s="390"/>
    </row>
    <row r="6880" spans="1:28">
      <c r="A6880" s="384" t="str">
        <f t="shared" ref="A6880:B6880" si="22308">A6865</f>
        <v>Lantai Atap</v>
      </c>
      <c r="B6880" s="385">
        <f t="shared" si="22308"/>
        <v>22</v>
      </c>
      <c r="C6880" s="393" t="s">
        <v>209</v>
      </c>
      <c r="D6880" s="398">
        <f>VLOOKUP(D6865,'Detail Balok'!$C$10:$AU$140,22,FALSE)</f>
        <v>4</v>
      </c>
      <c r="E6880" s="388" t="s">
        <v>16</v>
      </c>
      <c r="F6880" s="388">
        <f>VLOOKUP(D6865,'Detail Balok'!$C$10:$AU$140,24,FALSE)</f>
        <v>16</v>
      </c>
      <c r="G6880" s="388"/>
      <c r="H6880" s="395"/>
      <c r="I6880" s="388" t="s">
        <v>203</v>
      </c>
      <c r="J6880" s="399">
        <f t="shared" si="22115"/>
        <v>2.6625000000000001</v>
      </c>
      <c r="K6880" s="400" t="s">
        <v>204</v>
      </c>
      <c r="L6880" s="399">
        <f t="shared" ref="L6880" si="22309">MAX(VLOOKUP(F6880,N$6:P$15,3,FALSE)/1000,2/3*D6870/1000)+F$16*F6880/1000</f>
        <v>0.192</v>
      </c>
      <c r="M6880" s="399" t="s">
        <v>176</v>
      </c>
      <c r="N6880" s="399">
        <f t="shared" ref="N6880:N6882" si="22310">J6880+L6880</f>
        <v>2.8545000000000003</v>
      </c>
      <c r="O6880" s="399" t="s">
        <v>204</v>
      </c>
      <c r="P6880" s="389">
        <f t="shared" ref="P6880" si="22311">D6880-D6881</f>
        <v>0</v>
      </c>
      <c r="Q6880" s="399" t="s">
        <v>125</v>
      </c>
      <c r="R6880" s="399">
        <f t="shared" ref="R6880" si="22312">IF(P6880&gt;0,$F$18*F6880/1000,0)</f>
        <v>0</v>
      </c>
      <c r="S6880" s="399" t="s">
        <v>205</v>
      </c>
      <c r="T6880" s="399" t="s">
        <v>125</v>
      </c>
      <c r="U6880" s="401">
        <f t="shared" ref="U6880:U6882" si="22313">0.006165*F6880^2</f>
        <v>1.5782400000000001</v>
      </c>
      <c r="V6880" s="399"/>
      <c r="W6880" s="399"/>
      <c r="X6880" s="399" t="s">
        <v>125</v>
      </c>
      <c r="Y6880" s="389">
        <f t="shared" ref="Y6880" si="22314">D6871</f>
        <v>1</v>
      </c>
      <c r="Z6880" s="400" t="s">
        <v>176</v>
      </c>
      <c r="AA6880" s="402">
        <f t="shared" ref="AA6880" si="22315">IF(AA6883=0,(D6880*N6880+P6880*R6880)*U6880*Y6880,0)</f>
        <v>0</v>
      </c>
      <c r="AB6880" s="403"/>
    </row>
    <row r="6881" spans="1:28">
      <c r="A6881" s="384" t="str">
        <f t="shared" ref="A6881:B6881" si="22316">A6865</f>
        <v>Lantai Atap</v>
      </c>
      <c r="B6881" s="385">
        <f t="shared" si="22316"/>
        <v>22</v>
      </c>
      <c r="C6881" s="393" t="s">
        <v>210</v>
      </c>
      <c r="D6881" s="398">
        <f>VLOOKUP(D6865,'Detail Balok'!$C$10:$AU$140,25,FALSE)</f>
        <v>4</v>
      </c>
      <c r="E6881" s="388" t="s">
        <v>16</v>
      </c>
      <c r="F6881" s="388">
        <f>VLOOKUP(D6865,'Detail Balok'!$C$10:$AU$140,27,FALSE)</f>
        <v>16</v>
      </c>
      <c r="G6881" s="388"/>
      <c r="H6881" s="395"/>
      <c r="I6881" s="388" t="s">
        <v>203</v>
      </c>
      <c r="J6881" s="399">
        <f t="shared" si="22115"/>
        <v>5.3250000000000002</v>
      </c>
      <c r="K6881" s="400" t="s">
        <v>204</v>
      </c>
      <c r="L6881" s="399"/>
      <c r="M6881" s="399" t="s">
        <v>176</v>
      </c>
      <c r="N6881" s="399">
        <f t="shared" si="22310"/>
        <v>5.3250000000000002</v>
      </c>
      <c r="O6881" s="399" t="s">
        <v>204</v>
      </c>
      <c r="P6881" s="389">
        <f t="shared" ref="P6881" si="22317">MAX(D6881-D6880,D6881-D6882)</f>
        <v>0</v>
      </c>
      <c r="Q6881" s="399" t="s">
        <v>125</v>
      </c>
      <c r="R6881" s="399">
        <f t="shared" ref="R6881" si="22318">IF(P6881&gt;0,2*(1-2*$F$19-1/2)*D6868/1000,0)</f>
        <v>0</v>
      </c>
      <c r="S6881" s="399" t="s">
        <v>205</v>
      </c>
      <c r="T6881" s="399" t="s">
        <v>125</v>
      </c>
      <c r="U6881" s="401">
        <f t="shared" si="22313"/>
        <v>1.5782400000000001</v>
      </c>
      <c r="V6881" s="399"/>
      <c r="W6881" s="399"/>
      <c r="X6881" s="399" t="s">
        <v>125</v>
      </c>
      <c r="Y6881" s="389">
        <f t="shared" ref="Y6881" si="22319">D6871</f>
        <v>1</v>
      </c>
      <c r="Z6881" s="400" t="s">
        <v>176</v>
      </c>
      <c r="AA6881" s="402">
        <f t="shared" ref="AA6881" si="22320">IF(AA6883=0,(D6881*N6881+P6881*R6881)*U6881*Y6881,0)</f>
        <v>0</v>
      </c>
      <c r="AB6881" s="403"/>
    </row>
    <row r="6882" spans="1:28">
      <c r="A6882" s="384" t="str">
        <f t="shared" ref="A6882:B6882" si="22321">A6865</f>
        <v>Lantai Atap</v>
      </c>
      <c r="B6882" s="385">
        <f t="shared" si="22321"/>
        <v>22</v>
      </c>
      <c r="C6882" s="393" t="s">
        <v>209</v>
      </c>
      <c r="D6882" s="398">
        <f>VLOOKUP(D6865,'Detail Balok'!$C$10:$AU$140,28,FALSE)</f>
        <v>4</v>
      </c>
      <c r="E6882" s="388" t="s">
        <v>16</v>
      </c>
      <c r="F6882" s="388">
        <f>VLOOKUP(D6865,'Detail Balok'!$C$10:$AU$140,30,FALSE)</f>
        <v>16</v>
      </c>
      <c r="G6882" s="388"/>
      <c r="H6882" s="395"/>
      <c r="I6882" s="388" t="s">
        <v>203</v>
      </c>
      <c r="J6882" s="399">
        <f t="shared" si="22115"/>
        <v>2.6625000000000001</v>
      </c>
      <c r="K6882" s="400" t="s">
        <v>204</v>
      </c>
      <c r="L6882" s="399">
        <f t="shared" ref="L6882" si="22322">MAX(VLOOKUP(F6882,N$6:P$15,3,FALSE)/1000,2/3*D6870/1000)+F$16*F6882/1000</f>
        <v>0.192</v>
      </c>
      <c r="M6882" s="399" t="s">
        <v>176</v>
      </c>
      <c r="N6882" s="399">
        <f t="shared" si="22310"/>
        <v>2.8545000000000003</v>
      </c>
      <c r="O6882" s="399" t="s">
        <v>204</v>
      </c>
      <c r="P6882" s="389">
        <f t="shared" ref="P6882" si="22323">D6882-D6881</f>
        <v>0</v>
      </c>
      <c r="Q6882" s="399" t="s">
        <v>125</v>
      </c>
      <c r="R6882" s="399">
        <f t="shared" ref="R6882" si="22324">IF(P6882&gt;0,$F$18*F6882/1000,0)</f>
        <v>0</v>
      </c>
      <c r="S6882" s="399" t="s">
        <v>205</v>
      </c>
      <c r="T6882" s="399" t="s">
        <v>125</v>
      </c>
      <c r="U6882" s="401">
        <f t="shared" si="22313"/>
        <v>1.5782400000000001</v>
      </c>
      <c r="V6882" s="399"/>
      <c r="W6882" s="399"/>
      <c r="X6882" s="399" t="s">
        <v>125</v>
      </c>
      <c r="Y6882" s="389">
        <f t="shared" ref="Y6882" si="22325">D6871</f>
        <v>1</v>
      </c>
      <c r="Z6882" s="400" t="s">
        <v>176</v>
      </c>
      <c r="AA6882" s="402">
        <f t="shared" ref="AA6882" si="22326">IF(AA6883=0,(D6882*N6882+P6882*R6882)*U6882*Y6882,0)</f>
        <v>0</v>
      </c>
      <c r="AB6882" s="403"/>
    </row>
    <row r="6883" spans="1:28">
      <c r="A6883" s="384" t="str">
        <f t="shared" ref="A6883:B6883" si="22327">A6865</f>
        <v>Lantai Atap</v>
      </c>
      <c r="B6883" s="385">
        <f t="shared" si="22327"/>
        <v>22</v>
      </c>
      <c r="C6883" s="393"/>
      <c r="D6883" s="398">
        <f t="shared" si="22135"/>
        <v>4</v>
      </c>
      <c r="E6883" s="388" t="s">
        <v>16</v>
      </c>
      <c r="F6883" s="388">
        <f t="shared" si="22136"/>
        <v>16</v>
      </c>
      <c r="G6883" s="388"/>
      <c r="H6883" s="395"/>
      <c r="I6883" s="388"/>
      <c r="J6883" s="396"/>
      <c r="K6883" s="396"/>
      <c r="L6883" s="404" t="s">
        <v>207</v>
      </c>
      <c r="M6883" s="399" t="s">
        <v>176</v>
      </c>
      <c r="N6883" s="399">
        <f t="shared" ref="N6883" si="22328">IF(AND(D6880=D6881,D6880=D6882,D6881=D6882,F6880=F6881,F6880=F6882,F6881=F6882),SUM(N6880:N6882),0)</f>
        <v>11.034000000000001</v>
      </c>
      <c r="O6883" s="399" t="s">
        <v>204</v>
      </c>
      <c r="P6883" s="389">
        <f t="shared" ref="P6883" si="22329">IF(N6883&gt;12,ROUNDDOWN(N6883/12,0),0)</f>
        <v>0</v>
      </c>
      <c r="Q6883" s="399" t="s">
        <v>125</v>
      </c>
      <c r="R6883" s="399">
        <f t="shared" ref="R6883" si="22330">IF(P6883&gt;0,MAX(VLOOKUP(F6883,$D$6:$G$15,3,FALSE),600),0)/1000</f>
        <v>0</v>
      </c>
      <c r="S6883" s="396"/>
      <c r="T6883" s="396" t="s">
        <v>125</v>
      </c>
      <c r="U6883" s="401">
        <f t="shared" si="22140"/>
        <v>1.5782400000000001</v>
      </c>
      <c r="V6883" s="396" t="s">
        <v>125</v>
      </c>
      <c r="W6883" s="399">
        <f t="shared" ref="W6883" si="22331">D6883</f>
        <v>4</v>
      </c>
      <c r="X6883" s="399" t="s">
        <v>125</v>
      </c>
      <c r="Y6883" s="389">
        <f t="shared" si="22142"/>
        <v>1</v>
      </c>
      <c r="Z6883" s="400" t="s">
        <v>176</v>
      </c>
      <c r="AA6883" s="402">
        <f t="shared" ref="AA6883" si="22332">(N6883+P6883*R6883/1000)*U6883*W6883*Y6883</f>
        <v>69.657200640000013</v>
      </c>
      <c r="AB6883" s="403"/>
    </row>
    <row r="6884" spans="1:28">
      <c r="A6884" s="384"/>
      <c r="B6884" s="385"/>
      <c r="C6884" s="393"/>
      <c r="D6884" s="394"/>
      <c r="E6884" s="388"/>
      <c r="F6884" s="388"/>
      <c r="G6884" s="388"/>
      <c r="H6884" s="395"/>
      <c r="I6884" s="388"/>
      <c r="J6884" s="399"/>
      <c r="K6884" s="396"/>
      <c r="L6884" s="396"/>
      <c r="M6884" s="396"/>
      <c r="N6884" s="396"/>
      <c r="O6884" s="396"/>
      <c r="P6884" s="389"/>
      <c r="Q6884" s="396"/>
      <c r="R6884" s="396"/>
      <c r="S6884" s="396"/>
      <c r="T6884" s="396"/>
      <c r="U6884" s="401"/>
      <c r="V6884" s="396"/>
      <c r="W6884" s="388"/>
      <c r="X6884" s="396"/>
      <c r="Y6884" s="389"/>
      <c r="Z6884" s="396"/>
      <c r="AA6884" s="388"/>
      <c r="AB6884" s="390"/>
    </row>
    <row r="6885" spans="1:28">
      <c r="A6885" s="384" t="str">
        <f t="shared" ref="A6885:B6885" si="22333">A6865</f>
        <v>Lantai Atap</v>
      </c>
      <c r="B6885" s="385">
        <f t="shared" si="22333"/>
        <v>22</v>
      </c>
      <c r="C6885" s="393" t="s">
        <v>211</v>
      </c>
      <c r="D6885" s="398">
        <f>VLOOKUP(D6865,'Detail Balok'!$C$10:$AU$140,31,FALSE)</f>
        <v>0</v>
      </c>
      <c r="E6885" s="388" t="s">
        <v>16</v>
      </c>
      <c r="F6885" s="388">
        <f>VLOOKUP(D6865,'Detail Balok'!$C$10:$AU$140,33,FALSE)</f>
        <v>10</v>
      </c>
      <c r="G6885" s="405" t="s">
        <v>157</v>
      </c>
      <c r="H6885" s="395">
        <f>VLOOKUP(D6865,'Detail Balok'!$C$10:$AU$140,35,FALSE)</f>
        <v>150</v>
      </c>
      <c r="I6885" s="388"/>
      <c r="J6885" s="400">
        <f t="shared" ref="J6885" si="22334">(IF(D6885=0,(2*(D6866+G6866))-(F$5*8),IF(D6885=3,(2*(D6866+G6866))-(F$5*8)+(G6866-2*F$5),IF(D6885=4,(2*(D6866+G6866))-(F$5*8)+2*(G6866-2*F$5)))))/1000</f>
        <v>1.08</v>
      </c>
      <c r="K6885" s="400" t="s">
        <v>204</v>
      </c>
      <c r="L6885" s="399">
        <f t="shared" ref="L6885:L6887" si="22335">IF(D6885=0,2*MAX(6*F6885,75),(D6885-1)*2*MAX(6*F6885,75))/1000</f>
        <v>0.15</v>
      </c>
      <c r="M6885" s="399" t="s">
        <v>176</v>
      </c>
      <c r="N6885" s="399">
        <f t="shared" ref="N6885:N6887" si="22336">J6885+L6885</f>
        <v>1.23</v>
      </c>
      <c r="O6885" s="399"/>
      <c r="P6885" s="389"/>
      <c r="Q6885" s="399"/>
      <c r="R6885" s="399"/>
      <c r="S6885" s="399"/>
      <c r="T6885" s="399" t="s">
        <v>125</v>
      </c>
      <c r="U6885" s="401">
        <f t="shared" ref="U6885:U6887" si="22337">0.006165*F6885^2</f>
        <v>0.61650000000000005</v>
      </c>
      <c r="V6885" s="399" t="s">
        <v>125</v>
      </c>
      <c r="W6885" s="399">
        <f t="shared" ref="W6885" si="22338">IF(D6868&gt;4*G6866,ROUND(MAX(D6868/4,2*G6866)/H6885,0)+1,ROUND(D6868/H6885,0)+1)</f>
        <v>19</v>
      </c>
      <c r="X6885" s="399" t="s">
        <v>125</v>
      </c>
      <c r="Y6885" s="389">
        <f t="shared" ref="Y6885" si="22339">D6871</f>
        <v>1</v>
      </c>
      <c r="Z6885" s="400" t="s">
        <v>176</v>
      </c>
      <c r="AA6885" s="402">
        <f t="shared" ref="AA6885:AA6887" si="22340">N6885*U6885*W6885*Y6885</f>
        <v>14.407605</v>
      </c>
      <c r="AB6885" s="403"/>
    </row>
    <row r="6886" spans="1:28">
      <c r="A6886" s="384" t="str">
        <f t="shared" ref="A6886:B6886" si="22341">A6865</f>
        <v>Lantai Atap</v>
      </c>
      <c r="B6886" s="385">
        <f t="shared" si="22341"/>
        <v>22</v>
      </c>
      <c r="C6886" s="393" t="s">
        <v>212</v>
      </c>
      <c r="D6886" s="398">
        <f>VLOOKUP(D6865,'Detail Balok'!$C$10:$AU$140,36,FALSE)</f>
        <v>0</v>
      </c>
      <c r="E6886" s="388" t="s">
        <v>16</v>
      </c>
      <c r="F6886" s="388">
        <f>VLOOKUP(D6865,'Detail Balok'!$C$10:$AU$140,38,FALSE)</f>
        <v>10</v>
      </c>
      <c r="G6886" s="405" t="s">
        <v>157</v>
      </c>
      <c r="H6886" s="395">
        <f>VLOOKUP(D6865,'Detail Balok'!$C$10:$AU$140,40,FALSE)</f>
        <v>200</v>
      </c>
      <c r="I6886" s="388"/>
      <c r="J6886" s="400">
        <f t="shared" ref="J6886" si="22342">(IF(D6886=0,(2*(D6866+G6866))-(F$5*8),IF(D6886=3,(2*(D6866+G6866))-(F$5*8)+(G6866-2*F$5),IF(D6886=4,(2*(D6866+G6866))-(F$5*8)+2*(G6866-2*F$5)))))/1000</f>
        <v>1.08</v>
      </c>
      <c r="K6886" s="400" t="s">
        <v>204</v>
      </c>
      <c r="L6886" s="399">
        <f t="shared" si="22335"/>
        <v>0.15</v>
      </c>
      <c r="M6886" s="399" t="s">
        <v>176</v>
      </c>
      <c r="N6886" s="399">
        <f t="shared" si="22336"/>
        <v>1.23</v>
      </c>
      <c r="O6886" s="399"/>
      <c r="P6886" s="389"/>
      <c r="Q6886" s="399"/>
      <c r="R6886" s="399"/>
      <c r="S6886" s="399"/>
      <c r="T6886" s="399" t="s">
        <v>125</v>
      </c>
      <c r="U6886" s="401">
        <f t="shared" si="22337"/>
        <v>0.61650000000000005</v>
      </c>
      <c r="V6886" s="399" t="s">
        <v>125</v>
      </c>
      <c r="W6886" s="399">
        <f t="shared" ref="W6886" si="22343">IF(D6868-MAX(D6868/4,2*G6866)*2&gt;0,ROUND((D6868-MAX(D6868/4,2*G6866)*2)/H6886,0),0)</f>
        <v>27</v>
      </c>
      <c r="X6886" s="399" t="s">
        <v>125</v>
      </c>
      <c r="Y6886" s="389">
        <f t="shared" ref="Y6886" si="22344">D6871</f>
        <v>1</v>
      </c>
      <c r="Z6886" s="400" t="s">
        <v>176</v>
      </c>
      <c r="AA6886" s="402">
        <f t="shared" si="22340"/>
        <v>20.473965</v>
      </c>
      <c r="AB6886" s="403"/>
    </row>
    <row r="6887" spans="1:28">
      <c r="A6887" s="384" t="str">
        <f t="shared" ref="A6887:B6887" si="22345">A6865</f>
        <v>Lantai Atap</v>
      </c>
      <c r="B6887" s="385">
        <f t="shared" si="22345"/>
        <v>22</v>
      </c>
      <c r="C6887" s="393" t="s">
        <v>211</v>
      </c>
      <c r="D6887" s="398">
        <f>VLOOKUP(D6865,'Detail Balok'!$C$10:$AU$140,41,FALSE)</f>
        <v>0</v>
      </c>
      <c r="E6887" s="388" t="s">
        <v>16</v>
      </c>
      <c r="F6887" s="388">
        <f>VLOOKUP(D6865,'Detail Balok'!$C$10:$AU$140,43,FALSE)</f>
        <v>10</v>
      </c>
      <c r="G6887" s="405" t="s">
        <v>157</v>
      </c>
      <c r="H6887" s="395">
        <f>VLOOKUP(D6865,'Detail Balok'!$C$10:$AU$140,45,FALSE)</f>
        <v>150</v>
      </c>
      <c r="I6887" s="388"/>
      <c r="J6887" s="400">
        <f t="shared" ref="J6887" si="22346">(IF(D6887=0,(2*(D6866+G6866))-(F$5*8),IF(D6887=3,(2*(D6866+G6866))-(F$5*8)+(G6866-2*F$5),IF(D6887=4,(2*(D6866+G6866))-(F$5*8)+2*(G6866-2*F$5)))))/1000</f>
        <v>1.08</v>
      </c>
      <c r="K6887" s="400" t="s">
        <v>204</v>
      </c>
      <c r="L6887" s="399">
        <f t="shared" si="22335"/>
        <v>0.15</v>
      </c>
      <c r="M6887" s="399" t="s">
        <v>176</v>
      </c>
      <c r="N6887" s="399">
        <f t="shared" si="22336"/>
        <v>1.23</v>
      </c>
      <c r="O6887" s="399"/>
      <c r="P6887" s="389"/>
      <c r="Q6887" s="399"/>
      <c r="R6887" s="399"/>
      <c r="S6887" s="399"/>
      <c r="T6887" s="399" t="s">
        <v>125</v>
      </c>
      <c r="U6887" s="401">
        <f t="shared" si="22337"/>
        <v>0.61650000000000005</v>
      </c>
      <c r="V6887" s="399" t="s">
        <v>125</v>
      </c>
      <c r="W6887" s="399">
        <f t="shared" ref="W6887" si="22347">IF(D6868&gt;4*G6866,ROUND(MAX(D6868/4,2*G6866)/H6887,0)+1,0)</f>
        <v>19</v>
      </c>
      <c r="X6887" s="399" t="s">
        <v>125</v>
      </c>
      <c r="Y6887" s="389">
        <f t="shared" ref="Y6887" si="22348">D6871</f>
        <v>1</v>
      </c>
      <c r="Z6887" s="400" t="s">
        <v>176</v>
      </c>
      <c r="AA6887" s="402">
        <f t="shared" si="22340"/>
        <v>14.407605</v>
      </c>
      <c r="AB6887" s="403"/>
    </row>
    <row r="6888" spans="1:28">
      <c r="A6888" s="384"/>
      <c r="B6888" s="385"/>
      <c r="C6888" s="393"/>
      <c r="D6888" s="394"/>
      <c r="E6888" s="388"/>
      <c r="F6888" s="388"/>
      <c r="G6888" s="388"/>
      <c r="H6888" s="395"/>
      <c r="I6888" s="388"/>
      <c r="J6888" s="399"/>
      <c r="K6888" s="396"/>
      <c r="L6888" s="396"/>
      <c r="M6888" s="396"/>
      <c r="N6888" s="396"/>
      <c r="O6888" s="396"/>
      <c r="P6888" s="389"/>
      <c r="Q6888" s="396"/>
      <c r="R6888" s="396"/>
      <c r="S6888" s="396"/>
      <c r="T6888" s="396"/>
      <c r="U6888" s="401"/>
      <c r="V6888" s="396"/>
      <c r="W6888" s="388"/>
      <c r="X6888" s="396"/>
      <c r="Y6888" s="389"/>
      <c r="Z6888" s="396"/>
      <c r="AA6888" s="388"/>
      <c r="AB6888" s="390"/>
    </row>
    <row r="6889" spans="1:28">
      <c r="A6889" s="384" t="str">
        <f t="shared" ref="A6889:B6889" si="22349">A6865</f>
        <v>Lantai Atap</v>
      </c>
      <c r="B6889" s="385">
        <f t="shared" si="22349"/>
        <v>22</v>
      </c>
      <c r="C6889" s="393" t="s">
        <v>213</v>
      </c>
      <c r="D6889" s="398">
        <f>VLOOKUP(D6865,'Detail Balok'!$C$10:$BJ$140,46,FALSE)</f>
        <v>0</v>
      </c>
      <c r="E6889" s="388" t="s">
        <v>16</v>
      </c>
      <c r="F6889" s="388">
        <f>VLOOKUP(D6865,'Detail Balok'!$C$10:$BJ$140,48,FALSE)</f>
        <v>0</v>
      </c>
      <c r="G6889" s="405" t="s">
        <v>157</v>
      </c>
      <c r="H6889" s="395">
        <f>VLOOKUP(D6865,'Detail Balok'!$C$10:$BJ$140,50,FALSE)</f>
        <v>100</v>
      </c>
      <c r="I6889" s="388"/>
      <c r="J6889" s="399">
        <f t="shared" ref="J6889" si="22350">(D6866-2*F$5)/1000</f>
        <v>0.12</v>
      </c>
      <c r="K6889" s="400" t="s">
        <v>204</v>
      </c>
      <c r="L6889" s="399">
        <f t="shared" ref="L6889:L6891" si="22351">IF(D6889=0,2*MAX(6*F6889,75),(D6889-1)*2*MAX(6*F6889,75))/1000</f>
        <v>0.15</v>
      </c>
      <c r="M6889" s="399" t="s">
        <v>176</v>
      </c>
      <c r="N6889" s="399">
        <f t="shared" ref="N6889:N6891" si="22352">J6889+L6889</f>
        <v>0.27</v>
      </c>
      <c r="O6889" s="399"/>
      <c r="P6889" s="399"/>
      <c r="Q6889" s="399"/>
      <c r="R6889" s="399"/>
      <c r="S6889" s="399"/>
      <c r="T6889" s="399" t="s">
        <v>125</v>
      </c>
      <c r="U6889" s="401">
        <f t="shared" ref="U6889:U6891" si="22353">0.006165*F6889^2</f>
        <v>0</v>
      </c>
      <c r="V6889" s="399" t="s">
        <v>125</v>
      </c>
      <c r="W6889" s="399">
        <f t="shared" si="22165"/>
        <v>19</v>
      </c>
      <c r="X6889" s="399" t="s">
        <v>125</v>
      </c>
      <c r="Y6889" s="389">
        <f t="shared" ref="Y6889" si="22354">D6875</f>
        <v>4</v>
      </c>
      <c r="Z6889" s="400" t="s">
        <v>176</v>
      </c>
      <c r="AA6889" s="402">
        <f t="shared" ref="AA6889:AA6891" si="22355">N6889*U6889*W6889*Y6889</f>
        <v>0</v>
      </c>
      <c r="AB6889" s="403"/>
    </row>
    <row r="6890" spans="1:28">
      <c r="A6890" s="384" t="str">
        <f t="shared" ref="A6890:B6890" si="22356">A6865</f>
        <v>Lantai Atap</v>
      </c>
      <c r="B6890" s="385">
        <f t="shared" si="22356"/>
        <v>22</v>
      </c>
      <c r="C6890" s="393" t="s">
        <v>214</v>
      </c>
      <c r="D6890" s="398">
        <f>VLOOKUP(D6865,'Detail Balok'!$C$10:$BJ$140,51,FALSE)</f>
        <v>0</v>
      </c>
      <c r="E6890" s="388" t="s">
        <v>16</v>
      </c>
      <c r="F6890" s="388">
        <f>VLOOKUP(D6865,'Detail Balok'!$C$10:$BJ$140,53,FALSE)</f>
        <v>0</v>
      </c>
      <c r="G6890" s="405" t="s">
        <v>157</v>
      </c>
      <c r="H6890" s="395">
        <f>VLOOKUP(D6865,'Detail Balok'!$C$10:$BJ$140,55,FALSE)</f>
        <v>100</v>
      </c>
      <c r="I6890" s="388"/>
      <c r="J6890" s="399">
        <f t="shared" ref="J6890" si="22357">(D6866-2*F$5)/1000</f>
        <v>0.12</v>
      </c>
      <c r="K6890" s="400" t="s">
        <v>204</v>
      </c>
      <c r="L6890" s="399">
        <f t="shared" si="22351"/>
        <v>0.15</v>
      </c>
      <c r="M6890" s="399" t="s">
        <v>176</v>
      </c>
      <c r="N6890" s="399">
        <f t="shared" si="22352"/>
        <v>0.27</v>
      </c>
      <c r="O6890" s="399"/>
      <c r="P6890" s="399"/>
      <c r="Q6890" s="399"/>
      <c r="R6890" s="399"/>
      <c r="S6890" s="399"/>
      <c r="T6890" s="399" t="s">
        <v>125</v>
      </c>
      <c r="U6890" s="401">
        <f t="shared" si="22353"/>
        <v>0</v>
      </c>
      <c r="V6890" s="399" t="s">
        <v>125</v>
      </c>
      <c r="W6890" s="399">
        <f t="shared" si="22165"/>
        <v>27</v>
      </c>
      <c r="X6890" s="399" t="s">
        <v>125</v>
      </c>
      <c r="Y6890" s="389">
        <f t="shared" ref="Y6890" si="22358">D6875</f>
        <v>4</v>
      </c>
      <c r="Z6890" s="400" t="s">
        <v>176</v>
      </c>
      <c r="AA6890" s="402">
        <f t="shared" si="22355"/>
        <v>0</v>
      </c>
      <c r="AB6890" s="403"/>
    </row>
    <row r="6891" spans="1:28">
      <c r="A6891" s="384" t="str">
        <f t="shared" ref="A6891:B6891" si="22359">A6865</f>
        <v>Lantai Atap</v>
      </c>
      <c r="B6891" s="385">
        <f t="shared" si="22359"/>
        <v>22</v>
      </c>
      <c r="C6891" s="393" t="s">
        <v>213</v>
      </c>
      <c r="D6891" s="398">
        <f>VLOOKUP(D6865,'Detail Balok'!$C$10:$BJ$140,56,FALSE)</f>
        <v>0</v>
      </c>
      <c r="E6891" s="388" t="s">
        <v>16</v>
      </c>
      <c r="F6891" s="388">
        <f>VLOOKUP(D6865,'Detail Balok'!$C$10:$BJ$140,58,FALSE)</f>
        <v>0</v>
      </c>
      <c r="G6891" s="405" t="s">
        <v>157</v>
      </c>
      <c r="H6891" s="395">
        <f>VLOOKUP(D6865,'Detail Balok'!$C$10:$BJ$140,60,FALSE)</f>
        <v>100</v>
      </c>
      <c r="I6891" s="388"/>
      <c r="J6891" s="399">
        <f t="shared" ref="J6891" si="22360">(D6866-2*F$5)/1000</f>
        <v>0.12</v>
      </c>
      <c r="K6891" s="400" t="s">
        <v>204</v>
      </c>
      <c r="L6891" s="399">
        <f t="shared" si="22351"/>
        <v>0.15</v>
      </c>
      <c r="M6891" s="399" t="s">
        <v>176</v>
      </c>
      <c r="N6891" s="399">
        <f t="shared" si="22352"/>
        <v>0.27</v>
      </c>
      <c r="O6891" s="399"/>
      <c r="P6891" s="399"/>
      <c r="Q6891" s="399"/>
      <c r="R6891" s="399"/>
      <c r="S6891" s="399"/>
      <c r="T6891" s="399" t="s">
        <v>125</v>
      </c>
      <c r="U6891" s="401">
        <f t="shared" si="22353"/>
        <v>0</v>
      </c>
      <c r="V6891" s="399" t="s">
        <v>125</v>
      </c>
      <c r="W6891" s="399">
        <f t="shared" si="22165"/>
        <v>19</v>
      </c>
      <c r="X6891" s="399" t="s">
        <v>125</v>
      </c>
      <c r="Y6891" s="389">
        <f t="shared" ref="Y6891" si="22361">D6875</f>
        <v>4</v>
      </c>
      <c r="Z6891" s="400" t="s">
        <v>176</v>
      </c>
      <c r="AA6891" s="402">
        <f t="shared" si="22355"/>
        <v>0</v>
      </c>
      <c r="AB6891" s="403"/>
    </row>
    <row r="6892" spans="1:28">
      <c r="A6892" s="391"/>
      <c r="B6892" s="392"/>
      <c r="C6892" s="392"/>
      <c r="D6892" s="394"/>
      <c r="E6892" s="388"/>
      <c r="F6892" s="388"/>
      <c r="G6892" s="388"/>
      <c r="H6892" s="395"/>
      <c r="I6892" s="388"/>
      <c r="J6892" s="402"/>
      <c r="K6892" s="388"/>
      <c r="L6892" s="388"/>
      <c r="M6892" s="388"/>
      <c r="N6892" s="388"/>
      <c r="O6892" s="388"/>
      <c r="P6892" s="388"/>
      <c r="Q6892" s="388"/>
      <c r="R6892" s="388"/>
      <c r="S6892" s="388"/>
      <c r="T6892" s="388"/>
      <c r="U6892" s="388"/>
      <c r="V6892" s="388"/>
      <c r="W6892" s="388"/>
      <c r="X6892" s="388"/>
      <c r="Y6892" s="389"/>
      <c r="Z6892" s="388"/>
      <c r="AA6892" s="402"/>
      <c r="AB6892" s="403"/>
    </row>
    <row r="6893" spans="1:28" ht="15.75" thickBot="1">
      <c r="A6893" s="406"/>
      <c r="B6893" s="407"/>
      <c r="C6893" s="407"/>
      <c r="D6893" s="408"/>
      <c r="E6893" s="409"/>
      <c r="F6893" s="409"/>
      <c r="G6893" s="409"/>
      <c r="H6893" s="410"/>
      <c r="I6893" s="409"/>
      <c r="J6893" s="409"/>
      <c r="K6893" s="409"/>
      <c r="L6893" s="409"/>
      <c r="M6893" s="409"/>
      <c r="N6893" s="409"/>
      <c r="O6893" s="409"/>
      <c r="P6893" s="409"/>
      <c r="Q6893" s="409"/>
      <c r="R6893" s="409"/>
      <c r="S6893" s="409"/>
      <c r="T6893" s="409"/>
      <c r="U6893" s="409"/>
      <c r="V6893" s="409"/>
      <c r="W6893" s="409"/>
      <c r="X6893" s="409"/>
      <c r="Y6893" s="411"/>
      <c r="Z6893" s="409"/>
      <c r="AA6893" s="412"/>
      <c r="AB6893" s="413"/>
    </row>
    <row r="6894" spans="1:28">
      <c r="A6894" s="377"/>
      <c r="B6894" s="378"/>
      <c r="C6894" s="378"/>
      <c r="D6894" s="379"/>
      <c r="E6894" s="380"/>
      <c r="F6894" s="380"/>
      <c r="G6894" s="380"/>
      <c r="H6894" s="381"/>
      <c r="I6894" s="380"/>
      <c r="J6894" s="380"/>
      <c r="K6894" s="380"/>
      <c r="L6894" s="380"/>
      <c r="M6894" s="380"/>
      <c r="N6894" s="380"/>
      <c r="O6894" s="380"/>
      <c r="P6894" s="380"/>
      <c r="Q6894" s="380"/>
      <c r="R6894" s="380"/>
      <c r="S6894" s="380"/>
      <c r="T6894" s="380"/>
      <c r="U6894" s="380"/>
      <c r="V6894" s="380"/>
      <c r="W6894" s="380"/>
      <c r="X6894" s="380"/>
      <c r="Y6894" s="382"/>
      <c r="Z6894" s="380"/>
      <c r="AA6894" s="380"/>
      <c r="AB6894" s="383"/>
    </row>
    <row r="6895" spans="1:28">
      <c r="A6895" s="384" t="str">
        <f t="shared" si="22174"/>
        <v>Lantai Atap</v>
      </c>
      <c r="B6895" s="385">
        <f t="shared" si="22175"/>
        <v>23</v>
      </c>
      <c r="C6895" s="386" t="str">
        <f t="shared" ref="C6895" si="22362">CONCATENATE(A6895," no. ",B6895)</f>
        <v>Lantai Atap no. 23</v>
      </c>
      <c r="D6895" s="2562" t="str">
        <f>VLOOKUP(C6895,'Data Panjang Balok'!$C$9:$N$254,2,FALSE)</f>
        <v>B4-1</v>
      </c>
      <c r="E6895" s="2576"/>
      <c r="F6895" s="2576"/>
      <c r="G6895" s="2576"/>
      <c r="H6895" s="2577"/>
      <c r="I6895" s="387"/>
      <c r="J6895" s="388"/>
      <c r="K6895" s="388"/>
      <c r="L6895" s="388"/>
      <c r="M6895" s="388"/>
      <c r="N6895" s="388"/>
      <c r="O6895" s="388"/>
      <c r="P6895" s="388"/>
      <c r="Q6895" s="388"/>
      <c r="R6895" s="388"/>
      <c r="S6895" s="388"/>
      <c r="T6895" s="388"/>
      <c r="U6895" s="388"/>
      <c r="V6895" s="388"/>
      <c r="W6895" s="388"/>
      <c r="X6895" s="388"/>
      <c r="Y6895" s="389"/>
      <c r="Z6895" s="388"/>
      <c r="AA6895" s="388"/>
      <c r="AB6895" s="390"/>
    </row>
    <row r="6896" spans="1:28">
      <c r="A6896" s="391"/>
      <c r="B6896" s="392"/>
      <c r="C6896" s="393" t="s">
        <v>118</v>
      </c>
      <c r="D6896" s="2578">
        <f>VLOOKUP(D6895,'Detail Balok'!$C$10:$AU$140,2,FALSE)</f>
        <v>130</v>
      </c>
      <c r="E6896" s="2579"/>
      <c r="F6896" s="388" t="s">
        <v>125</v>
      </c>
      <c r="G6896" s="2579">
        <f>VLOOKUP(D6895,'Detail Balok'!$C$10:$AU$140,3,FALSE)</f>
        <v>400</v>
      </c>
      <c r="H6896" s="2580"/>
      <c r="I6896" s="388"/>
      <c r="J6896" s="396"/>
      <c r="K6896" s="396"/>
      <c r="L6896" s="396"/>
      <c r="M6896" s="396"/>
      <c r="N6896" s="396"/>
      <c r="O6896" s="396"/>
      <c r="P6896" s="396"/>
      <c r="Q6896" s="396"/>
      <c r="R6896" s="396"/>
      <c r="S6896" s="396"/>
      <c r="T6896" s="396"/>
      <c r="U6896" s="388"/>
      <c r="V6896" s="396"/>
      <c r="W6896" s="388"/>
      <c r="X6896" s="396"/>
      <c r="Y6896" s="389"/>
      <c r="Z6896" s="396"/>
      <c r="AA6896" s="388"/>
      <c r="AB6896" s="390"/>
    </row>
    <row r="6897" spans="1:28">
      <c r="A6897" s="391"/>
      <c r="B6897" s="392"/>
      <c r="C6897" s="393" t="s">
        <v>198</v>
      </c>
      <c r="D6897" s="2562">
        <f>VLOOKUP(C6895,'Data Panjang Balok'!$C$9:$N$254,4,FALSE)</f>
        <v>1950</v>
      </c>
      <c r="E6897" s="2563"/>
      <c r="F6897" s="2563"/>
      <c r="G6897" s="2563"/>
      <c r="H6897" s="2564"/>
      <c r="I6897" s="397"/>
      <c r="J6897" s="396"/>
      <c r="K6897" s="396"/>
      <c r="L6897" s="396"/>
      <c r="M6897" s="396"/>
      <c r="N6897" s="396"/>
      <c r="O6897" s="396"/>
      <c r="P6897" s="396"/>
      <c r="Q6897" s="396"/>
      <c r="R6897" s="396"/>
      <c r="S6897" s="396"/>
      <c r="T6897" s="396"/>
      <c r="U6897" s="388"/>
      <c r="V6897" s="396"/>
      <c r="W6897" s="388"/>
      <c r="X6897" s="396"/>
      <c r="Y6897" s="389"/>
      <c r="Z6897" s="396"/>
      <c r="AA6897" s="388"/>
      <c r="AB6897" s="390"/>
    </row>
    <row r="6898" spans="1:28">
      <c r="A6898" s="391"/>
      <c r="B6898" s="392"/>
      <c r="C6898" s="393" t="s">
        <v>199</v>
      </c>
      <c r="D6898" s="2562">
        <f>VLOOKUP(C6895,'Data Panjang Balok'!$C$9:$N$254,7,FALSE)</f>
        <v>1950</v>
      </c>
      <c r="E6898" s="2563"/>
      <c r="F6898" s="2563"/>
      <c r="G6898" s="2563"/>
      <c r="H6898" s="2564"/>
      <c r="I6898" s="397"/>
      <c r="J6898" s="396"/>
      <c r="K6898" s="396"/>
      <c r="L6898" s="396"/>
      <c r="M6898" s="396"/>
      <c r="N6898" s="396"/>
      <c r="O6898" s="396"/>
      <c r="P6898" s="396"/>
      <c r="Q6898" s="396"/>
      <c r="R6898" s="396"/>
      <c r="S6898" s="396"/>
      <c r="T6898" s="396"/>
      <c r="U6898" s="388"/>
      <c r="V6898" s="396"/>
      <c r="W6898" s="388"/>
      <c r="X6898" s="396"/>
      <c r="Y6898" s="389"/>
      <c r="Z6898" s="396"/>
      <c r="AA6898" s="388"/>
      <c r="AB6898" s="390"/>
    </row>
    <row r="6899" spans="1:28">
      <c r="A6899" s="391"/>
      <c r="B6899" s="392"/>
      <c r="C6899" s="393" t="s">
        <v>200</v>
      </c>
      <c r="D6899" s="2562">
        <f>VLOOKUP(C6895,'Data Panjang Balok'!$C$9:$N$254,9,FALSE)</f>
        <v>0</v>
      </c>
      <c r="E6899" s="2563"/>
      <c r="F6899" s="2563"/>
      <c r="G6899" s="2563"/>
      <c r="H6899" s="2564"/>
      <c r="I6899" s="397"/>
      <c r="J6899" s="396"/>
      <c r="K6899" s="396"/>
      <c r="L6899" s="396"/>
      <c r="M6899" s="396"/>
      <c r="N6899" s="396"/>
      <c r="O6899" s="396"/>
      <c r="P6899" s="396"/>
      <c r="Q6899" s="396"/>
      <c r="R6899" s="396"/>
      <c r="S6899" s="396"/>
      <c r="T6899" s="396"/>
      <c r="U6899" s="388"/>
      <c r="V6899" s="396"/>
      <c r="W6899" s="388"/>
      <c r="X6899" s="396"/>
      <c r="Y6899" s="389"/>
      <c r="Z6899" s="396"/>
      <c r="AA6899" s="388"/>
      <c r="AB6899" s="390"/>
    </row>
    <row r="6900" spans="1:28">
      <c r="A6900" s="391"/>
      <c r="B6900" s="392"/>
      <c r="C6900" s="393" t="s">
        <v>201</v>
      </c>
      <c r="D6900" s="2562">
        <f>VLOOKUP(C6895,'Data Panjang Balok'!$C$9:$N$254,10,FALSE)</f>
        <v>0</v>
      </c>
      <c r="E6900" s="2563"/>
      <c r="F6900" s="2563"/>
      <c r="G6900" s="2563"/>
      <c r="H6900" s="2564"/>
      <c r="I6900" s="397"/>
      <c r="J6900" s="396"/>
      <c r="K6900" s="396"/>
      <c r="L6900" s="396"/>
      <c r="M6900" s="396"/>
      <c r="N6900" s="396"/>
      <c r="O6900" s="396"/>
      <c r="P6900" s="396"/>
      <c r="Q6900" s="396"/>
      <c r="R6900" s="396"/>
      <c r="S6900" s="396"/>
      <c r="T6900" s="396"/>
      <c r="U6900" s="388"/>
      <c r="V6900" s="396"/>
      <c r="W6900" s="388"/>
      <c r="X6900" s="396"/>
      <c r="Y6900" s="389"/>
      <c r="Z6900" s="396"/>
      <c r="AA6900" s="388"/>
      <c r="AB6900" s="390"/>
    </row>
    <row r="6901" spans="1:28">
      <c r="A6901" s="391"/>
      <c r="B6901" s="392"/>
      <c r="C6901" s="393" t="s">
        <v>48</v>
      </c>
      <c r="D6901" s="2562">
        <f>VLOOKUP(C6895,'Data Panjang Balok'!$C$9:$N$254,3,FALSE)</f>
        <v>1</v>
      </c>
      <c r="E6901" s="2563"/>
      <c r="F6901" s="2563"/>
      <c r="G6901" s="2563"/>
      <c r="H6901" s="2564"/>
      <c r="I6901" s="397"/>
      <c r="J6901" s="396"/>
      <c r="K6901" s="396"/>
      <c r="L6901" s="396"/>
      <c r="M6901" s="396"/>
      <c r="N6901" s="396"/>
      <c r="O6901" s="396"/>
      <c r="P6901" s="396"/>
      <c r="Q6901" s="396"/>
      <c r="R6901" s="396"/>
      <c r="S6901" s="396"/>
      <c r="T6901" s="396"/>
      <c r="U6901" s="388"/>
      <c r="V6901" s="396"/>
      <c r="W6901" s="388"/>
      <c r="X6901" s="396"/>
      <c r="Y6901" s="389"/>
      <c r="Z6901" s="396"/>
      <c r="AA6901" s="388"/>
      <c r="AB6901" s="390"/>
    </row>
    <row r="6902" spans="1:28">
      <c r="A6902" s="384" t="str">
        <f t="shared" ref="A6902:B6902" si="22363">A6895</f>
        <v>Lantai Atap</v>
      </c>
      <c r="B6902" s="385">
        <f t="shared" si="22363"/>
        <v>23</v>
      </c>
      <c r="C6902" s="393" t="s">
        <v>202</v>
      </c>
      <c r="D6902" s="398">
        <f>VLOOKUP(D6895,'Detail Balok'!$C$10:$AU$140,4,FALSE)</f>
        <v>2</v>
      </c>
      <c r="E6902" s="388" t="s">
        <v>16</v>
      </c>
      <c r="F6902" s="388">
        <f>VLOOKUP(D6895,'Detail Balok'!$C$10:$AU$140,6,FALSE)</f>
        <v>13</v>
      </c>
      <c r="G6902" s="388"/>
      <c r="H6902" s="395"/>
      <c r="I6902" s="388" t="s">
        <v>203</v>
      </c>
      <c r="J6902" s="399">
        <f t="shared" ref="J6902" si="22364">+D6897/4/1000</f>
        <v>0.48749999999999999</v>
      </c>
      <c r="K6902" s="400" t="s">
        <v>204</v>
      </c>
      <c r="L6902" s="399">
        <f t="shared" ref="L6902" si="22365">MAX(VLOOKUP(F6902,N$6:P$15,3,FALSE)/1000,2/3*D6899/1000)+F$16*F6902/1000</f>
        <v>0.156</v>
      </c>
      <c r="M6902" s="399" t="s">
        <v>176</v>
      </c>
      <c r="N6902" s="399">
        <f t="shared" ref="N6902:N6904" si="22366">J6902+L6902</f>
        <v>0.64349999999999996</v>
      </c>
      <c r="O6902" s="399" t="s">
        <v>204</v>
      </c>
      <c r="P6902" s="389">
        <f t="shared" ref="P6902" si="22367">D6902-D6903</f>
        <v>0</v>
      </c>
      <c r="Q6902" s="399" t="s">
        <v>125</v>
      </c>
      <c r="R6902" s="399">
        <f t="shared" ref="R6902" si="22368">IF(P6902&gt;0,$F$18*F6902/1000,0)</f>
        <v>0</v>
      </c>
      <c r="S6902" s="399" t="s">
        <v>205</v>
      </c>
      <c r="T6902" s="399" t="s">
        <v>125</v>
      </c>
      <c r="U6902" s="401">
        <f t="shared" ref="U6902:U6904" si="22369">0.006165*F6902^2</f>
        <v>1.041885</v>
      </c>
      <c r="V6902" s="399"/>
      <c r="W6902" s="399"/>
      <c r="X6902" s="399" t="s">
        <v>125</v>
      </c>
      <c r="Y6902" s="389">
        <f t="shared" ref="Y6902" si="22370">D6901</f>
        <v>1</v>
      </c>
      <c r="Z6902" s="400" t="s">
        <v>176</v>
      </c>
      <c r="AA6902" s="402">
        <f t="shared" ref="AA6902" si="22371">IF(AA6905=0,(D6902*N6902+P6902*R6902)*U6902*Y6902,0)</f>
        <v>0</v>
      </c>
      <c r="AB6902" s="403"/>
    </row>
    <row r="6903" spans="1:28">
      <c r="A6903" s="384" t="str">
        <f t="shared" ref="A6903:B6903" si="22372">A6895</f>
        <v>Lantai Atap</v>
      </c>
      <c r="B6903" s="385">
        <f t="shared" si="22372"/>
        <v>23</v>
      </c>
      <c r="C6903" s="393" t="s">
        <v>206</v>
      </c>
      <c r="D6903" s="398">
        <f>VLOOKUP(D6895,'Detail Balok'!$C$10:$AU$140,7,FALSE)</f>
        <v>2</v>
      </c>
      <c r="E6903" s="388" t="s">
        <v>16</v>
      </c>
      <c r="F6903" s="388">
        <f>VLOOKUP(D6895,'Detail Balok'!$C$10:$AU$140,9,FALSE)</f>
        <v>13</v>
      </c>
      <c r="G6903" s="388"/>
      <c r="H6903" s="395"/>
      <c r="I6903" s="388" t="s">
        <v>203</v>
      </c>
      <c r="J6903" s="399">
        <f t="shared" ref="J6903" si="22373">+D6897/2/1000</f>
        <v>0.97499999999999998</v>
      </c>
      <c r="K6903" s="400" t="s">
        <v>204</v>
      </c>
      <c r="L6903" s="399"/>
      <c r="M6903" s="399" t="s">
        <v>176</v>
      </c>
      <c r="N6903" s="399">
        <f t="shared" si="22366"/>
        <v>0.97499999999999998</v>
      </c>
      <c r="O6903" s="399" t="s">
        <v>204</v>
      </c>
      <c r="P6903" s="389">
        <f t="shared" ref="P6903" si="22374">MAX(D6903-D6902,D6903-D6904)</f>
        <v>0</v>
      </c>
      <c r="Q6903" s="399" t="s">
        <v>125</v>
      </c>
      <c r="R6903" s="399">
        <f t="shared" ref="R6903" si="22375">IF(P6903&gt;0,2*(1-2*$F$19-1/2)*D6898/1000,0)</f>
        <v>0</v>
      </c>
      <c r="S6903" s="399" t="s">
        <v>205</v>
      </c>
      <c r="T6903" s="399" t="s">
        <v>125</v>
      </c>
      <c r="U6903" s="401">
        <f t="shared" si="22369"/>
        <v>1.041885</v>
      </c>
      <c r="V6903" s="399"/>
      <c r="W6903" s="399"/>
      <c r="X6903" s="399" t="s">
        <v>125</v>
      </c>
      <c r="Y6903" s="389">
        <f t="shared" ref="Y6903" si="22376">D6901</f>
        <v>1</v>
      </c>
      <c r="Z6903" s="400" t="s">
        <v>176</v>
      </c>
      <c r="AA6903" s="402">
        <f t="shared" ref="AA6903" si="22377">IF(AA6905=0,(D6903*N6903+P6903*R6903)*U6903*Y6903,0)</f>
        <v>0</v>
      </c>
      <c r="AB6903" s="403"/>
    </row>
    <row r="6904" spans="1:28">
      <c r="A6904" s="384" t="str">
        <f t="shared" ref="A6904:B6904" si="22378">A6895</f>
        <v>Lantai Atap</v>
      </c>
      <c r="B6904" s="385">
        <f t="shared" si="22378"/>
        <v>23</v>
      </c>
      <c r="C6904" s="393" t="s">
        <v>202</v>
      </c>
      <c r="D6904" s="398">
        <f>VLOOKUP(D6895,'Detail Balok'!$C$10:$AU$140,10,FALSE)</f>
        <v>2</v>
      </c>
      <c r="E6904" s="388" t="s">
        <v>16</v>
      </c>
      <c r="F6904" s="388">
        <f>VLOOKUP(D6895,'Detail Balok'!$C$10:$AU$140,12,FALSE)</f>
        <v>13</v>
      </c>
      <c r="G6904" s="388"/>
      <c r="H6904" s="395"/>
      <c r="I6904" s="388" t="s">
        <v>203</v>
      </c>
      <c r="J6904" s="399">
        <f t="shared" ref="J6904" si="22379">+D6897/4/1000</f>
        <v>0.48749999999999999</v>
      </c>
      <c r="K6904" s="400" t="s">
        <v>204</v>
      </c>
      <c r="L6904" s="399">
        <f t="shared" ref="L6904" si="22380">MAX(VLOOKUP(F6904,N$6:P$15,3,FALSE)/1000,2/3*D6899/1000)+F$16*F6904/1000</f>
        <v>0.156</v>
      </c>
      <c r="M6904" s="399" t="s">
        <v>176</v>
      </c>
      <c r="N6904" s="399">
        <f t="shared" si="22366"/>
        <v>0.64349999999999996</v>
      </c>
      <c r="O6904" s="399" t="s">
        <v>204</v>
      </c>
      <c r="P6904" s="389">
        <f t="shared" ref="P6904" si="22381">D6904-D6903</f>
        <v>0</v>
      </c>
      <c r="Q6904" s="399" t="s">
        <v>125</v>
      </c>
      <c r="R6904" s="399">
        <f t="shared" ref="R6904" si="22382">IF(P6904&gt;0,$F$18*F6904/1000,0)</f>
        <v>0</v>
      </c>
      <c r="S6904" s="399" t="s">
        <v>205</v>
      </c>
      <c r="T6904" s="399" t="s">
        <v>125</v>
      </c>
      <c r="U6904" s="401">
        <f t="shared" si="22369"/>
        <v>1.041885</v>
      </c>
      <c r="V6904" s="399"/>
      <c r="W6904" s="399"/>
      <c r="X6904" s="399" t="s">
        <v>125</v>
      </c>
      <c r="Y6904" s="389">
        <f t="shared" ref="Y6904" si="22383">D6901</f>
        <v>1</v>
      </c>
      <c r="Z6904" s="400" t="s">
        <v>176</v>
      </c>
      <c r="AA6904" s="402">
        <f t="shared" ref="AA6904" si="22384">IF(AA6905=0,(D6904*N6904+P6904*R6904)*U6904*Y6904,0)</f>
        <v>0</v>
      </c>
      <c r="AB6904" s="403"/>
    </row>
    <row r="6905" spans="1:28">
      <c r="A6905" s="384" t="str">
        <f t="shared" ref="A6905:B6905" si="22385">A6895</f>
        <v>Lantai Atap</v>
      </c>
      <c r="B6905" s="385">
        <f t="shared" si="22385"/>
        <v>23</v>
      </c>
      <c r="C6905" s="393"/>
      <c r="D6905" s="398">
        <f t="shared" ref="D6905:D6965" si="22386">IF(AND(D6902=D6903,D6903=D6904,D6902=D6904),D6902,0)</f>
        <v>2</v>
      </c>
      <c r="E6905" s="388" t="s">
        <v>16</v>
      </c>
      <c r="F6905" s="388">
        <f t="shared" ref="F6905:F6965" si="22387">IF(AND(F6902=F6903,F6902=F6904,F6903=F6904),F6902,0)</f>
        <v>13</v>
      </c>
      <c r="G6905" s="388"/>
      <c r="H6905" s="395"/>
      <c r="I6905" s="388"/>
      <c r="J6905" s="396"/>
      <c r="K6905" s="396"/>
      <c r="L6905" s="404" t="s">
        <v>207</v>
      </c>
      <c r="M6905" s="399" t="s">
        <v>176</v>
      </c>
      <c r="N6905" s="399">
        <f t="shared" ref="N6905" si="22388">IF(AND(D6902=D6903,D6902=D6904,D6903=D6904,F6902=F6903,F6902=F6904,F6903=F6904),SUM(N6902:N6904),0)</f>
        <v>2.262</v>
      </c>
      <c r="O6905" s="399" t="s">
        <v>204</v>
      </c>
      <c r="P6905" s="389">
        <f t="shared" ref="P6905" si="22389">IF(N6905&gt;12,ROUNDDOWN(N6905/12,0),0)</f>
        <v>0</v>
      </c>
      <c r="Q6905" s="399" t="s">
        <v>125</v>
      </c>
      <c r="R6905" s="399">
        <f t="shared" ref="R6905" si="22390">IF(P6905&gt;0,MAX(VLOOKUP(F6905,$D$6:$G$15,3,FALSE),600),0)/1000</f>
        <v>0</v>
      </c>
      <c r="S6905" s="396"/>
      <c r="T6905" s="396" t="s">
        <v>125</v>
      </c>
      <c r="U6905" s="401">
        <f t="shared" ref="U6905:U6965" si="22391">U6904</f>
        <v>1.041885</v>
      </c>
      <c r="V6905" s="396" t="s">
        <v>125</v>
      </c>
      <c r="W6905" s="399">
        <f t="shared" ref="W6905" si="22392">D6905</f>
        <v>2</v>
      </c>
      <c r="X6905" s="399" t="s">
        <v>125</v>
      </c>
      <c r="Y6905" s="389">
        <f t="shared" ref="Y6905:Y6965" si="22393">Y6904</f>
        <v>1</v>
      </c>
      <c r="Z6905" s="400" t="s">
        <v>176</v>
      </c>
      <c r="AA6905" s="402">
        <f t="shared" ref="AA6905" si="22394">(N6905+P6905*R6905/1000)*U6905*W6905*Y6905</f>
        <v>4.7134877399999997</v>
      </c>
      <c r="AB6905" s="390"/>
    </row>
    <row r="6906" spans="1:28">
      <c r="A6906" s="384"/>
      <c r="B6906" s="385"/>
      <c r="C6906" s="393"/>
      <c r="D6906" s="398"/>
      <c r="E6906" s="388"/>
      <c r="F6906" s="388"/>
      <c r="G6906" s="388"/>
      <c r="H6906" s="395"/>
      <c r="I6906" s="388"/>
      <c r="J6906" s="396"/>
      <c r="K6906" s="396"/>
      <c r="L6906" s="404"/>
      <c r="M6906" s="399"/>
      <c r="N6906" s="399"/>
      <c r="O6906" s="396"/>
      <c r="P6906" s="389"/>
      <c r="Q6906" s="396"/>
      <c r="R6906" s="396"/>
      <c r="S6906" s="396"/>
      <c r="T6906" s="396"/>
      <c r="U6906" s="401"/>
      <c r="V6906" s="396"/>
      <c r="W6906" s="399"/>
      <c r="X6906" s="396"/>
      <c r="Y6906" s="389"/>
      <c r="Z6906" s="396"/>
      <c r="AA6906" s="388"/>
      <c r="AB6906" s="390"/>
    </row>
    <row r="6907" spans="1:28">
      <c r="A6907" s="384" t="str">
        <f t="shared" ref="A6907:B6907" si="22395">A6895</f>
        <v>Lantai Atap</v>
      </c>
      <c r="B6907" s="385">
        <f t="shared" si="22395"/>
        <v>23</v>
      </c>
      <c r="C6907" s="393" t="s">
        <v>208</v>
      </c>
      <c r="D6907" s="398">
        <f>VLOOKUP(D6895,'Detail Balok'!$C$10:$AU$140,13,FALSE)</f>
        <v>0</v>
      </c>
      <c r="E6907" s="388" t="s">
        <v>16</v>
      </c>
      <c r="F6907" s="388">
        <f>VLOOKUP(D6895,'Detail Balok'!$C$10:$AU$140,15,FALSE)</f>
        <v>8</v>
      </c>
      <c r="G6907" s="388"/>
      <c r="H6907" s="395"/>
      <c r="I6907" s="388"/>
      <c r="J6907" s="399">
        <f t="shared" ref="J6907" si="22396">+D6897/1000</f>
        <v>1.95</v>
      </c>
      <c r="K6907" s="400" t="s">
        <v>204</v>
      </c>
      <c r="L6907" s="399">
        <f t="shared" ref="L6907" si="22397">2*$F$16*F6907/1000</f>
        <v>0.192</v>
      </c>
      <c r="M6907" s="399" t="s">
        <v>176</v>
      </c>
      <c r="N6907" s="399">
        <f t="shared" ref="N6907" si="22398">J6907+L6907</f>
        <v>2.1419999999999999</v>
      </c>
      <c r="O6907" s="399" t="s">
        <v>204</v>
      </c>
      <c r="P6907" s="389">
        <f t="shared" ref="P6907" si="22399">IF(N6907&gt;12,ROUNDDOWN(N6907/12,0),0)</f>
        <v>0</v>
      </c>
      <c r="Q6907" s="399" t="s">
        <v>125</v>
      </c>
      <c r="R6907" s="399">
        <f t="shared" ref="R6907" si="22400">IF(P6907&gt;0,MAX(VLOOKUP(F6907,$D$6:$G$15,3,FALSE),600),0)/1000</f>
        <v>0</v>
      </c>
      <c r="S6907" s="399"/>
      <c r="T6907" s="399" t="s">
        <v>125</v>
      </c>
      <c r="U6907" s="401">
        <f t="shared" ref="U6907" si="22401">0.006165*F6907^2</f>
        <v>0.39456000000000002</v>
      </c>
      <c r="V6907" s="399" t="s">
        <v>125</v>
      </c>
      <c r="W6907" s="399">
        <f t="shared" ref="W6907" si="22402">+D6907</f>
        <v>0</v>
      </c>
      <c r="X6907" s="399" t="s">
        <v>125</v>
      </c>
      <c r="Y6907" s="389">
        <f t="shared" ref="Y6907" si="22403">D6901</f>
        <v>1</v>
      </c>
      <c r="Z6907" s="400" t="s">
        <v>176</v>
      </c>
      <c r="AA6907" s="402">
        <f t="shared" ref="AA6907" si="22404">(N6907+P6907*R6907/1000)*U6907*W6907*Y6907</f>
        <v>0</v>
      </c>
      <c r="AB6907" s="403"/>
    </row>
    <row r="6908" spans="1:28">
      <c r="A6908" s="384"/>
      <c r="B6908" s="385"/>
      <c r="C6908" s="393"/>
      <c r="D6908" s="398"/>
      <c r="E6908" s="388"/>
      <c r="F6908" s="388"/>
      <c r="G6908" s="388"/>
      <c r="H6908" s="395"/>
      <c r="I6908" s="388"/>
      <c r="J6908" s="399"/>
      <c r="K6908" s="400"/>
      <c r="L6908" s="399"/>
      <c r="M6908" s="399"/>
      <c r="N6908" s="399"/>
      <c r="O6908" s="399"/>
      <c r="P6908" s="389"/>
      <c r="Q6908" s="399"/>
      <c r="R6908" s="399"/>
      <c r="S6908" s="399"/>
      <c r="T6908" s="399"/>
      <c r="U6908" s="401"/>
      <c r="V6908" s="399"/>
      <c r="W6908" s="399"/>
      <c r="X6908" s="399"/>
      <c r="Y6908" s="389"/>
      <c r="Z6908" s="400"/>
      <c r="AA6908" s="402"/>
      <c r="AB6908" s="403"/>
    </row>
    <row r="6909" spans="1:28">
      <c r="A6909" s="384"/>
      <c r="B6909" s="385"/>
      <c r="C6909" s="393"/>
      <c r="D6909" s="398"/>
      <c r="E6909" s="388"/>
      <c r="F6909" s="388"/>
      <c r="G6909" s="388"/>
      <c r="H6909" s="395"/>
      <c r="I6909" s="388"/>
      <c r="J6909" s="396"/>
      <c r="K6909" s="396"/>
      <c r="L6909" s="396"/>
      <c r="M6909" s="396"/>
      <c r="N6909" s="396"/>
      <c r="O6909" s="396"/>
      <c r="P6909" s="389"/>
      <c r="Q6909" s="396"/>
      <c r="R6909" s="396"/>
      <c r="S6909" s="396"/>
      <c r="T6909" s="396"/>
      <c r="U6909" s="401"/>
      <c r="V6909" s="396"/>
      <c r="W6909" s="399"/>
      <c r="X6909" s="396"/>
      <c r="Y6909" s="389"/>
      <c r="Z6909" s="396"/>
      <c r="AA6909" s="388"/>
      <c r="AB6909" s="390"/>
    </row>
    <row r="6910" spans="1:28">
      <c r="A6910" s="384" t="str">
        <f t="shared" ref="A6910:B6910" si="22405">A6895</f>
        <v>Lantai Atap</v>
      </c>
      <c r="B6910" s="385">
        <f t="shared" si="22405"/>
        <v>23</v>
      </c>
      <c r="C6910" s="393" t="s">
        <v>209</v>
      </c>
      <c r="D6910" s="398">
        <f>VLOOKUP(D6895,'Detail Balok'!$C$10:$AU$140,22,FALSE)</f>
        <v>2</v>
      </c>
      <c r="E6910" s="388" t="s">
        <v>16</v>
      </c>
      <c r="F6910" s="388">
        <f>VLOOKUP(D6895,'Detail Balok'!$C$10:$AU$140,24,FALSE)</f>
        <v>13</v>
      </c>
      <c r="G6910" s="388"/>
      <c r="H6910" s="395"/>
      <c r="I6910" s="388" t="s">
        <v>203</v>
      </c>
      <c r="J6910" s="399">
        <f t="shared" ref="J6910:J6972" si="22406">+J6902</f>
        <v>0.48749999999999999</v>
      </c>
      <c r="K6910" s="400" t="s">
        <v>204</v>
      </c>
      <c r="L6910" s="399">
        <f t="shared" ref="L6910" si="22407">MAX(VLOOKUP(F6910,N$6:P$15,3,FALSE)/1000,2/3*D6900/1000)+F$16*F6910/1000</f>
        <v>0.156</v>
      </c>
      <c r="M6910" s="399" t="s">
        <v>176</v>
      </c>
      <c r="N6910" s="399">
        <f t="shared" ref="N6910:N6912" si="22408">J6910+L6910</f>
        <v>0.64349999999999996</v>
      </c>
      <c r="O6910" s="399" t="s">
        <v>204</v>
      </c>
      <c r="P6910" s="389">
        <f t="shared" ref="P6910" si="22409">D6910-D6911</f>
        <v>0</v>
      </c>
      <c r="Q6910" s="399" t="s">
        <v>125</v>
      </c>
      <c r="R6910" s="399">
        <f t="shared" ref="R6910" si="22410">IF(P6910&gt;0,$F$18*F6910/1000,0)</f>
        <v>0</v>
      </c>
      <c r="S6910" s="399" t="s">
        <v>205</v>
      </c>
      <c r="T6910" s="399" t="s">
        <v>125</v>
      </c>
      <c r="U6910" s="401">
        <f t="shared" ref="U6910:U6912" si="22411">0.006165*F6910^2</f>
        <v>1.041885</v>
      </c>
      <c r="V6910" s="399"/>
      <c r="W6910" s="399"/>
      <c r="X6910" s="399" t="s">
        <v>125</v>
      </c>
      <c r="Y6910" s="389">
        <f t="shared" ref="Y6910" si="22412">D6901</f>
        <v>1</v>
      </c>
      <c r="Z6910" s="400" t="s">
        <v>176</v>
      </c>
      <c r="AA6910" s="402">
        <f t="shared" ref="AA6910" si="22413">IF(AA6913=0,(D6910*N6910+P6910*R6910)*U6910*Y6910,0)</f>
        <v>0</v>
      </c>
      <c r="AB6910" s="403"/>
    </row>
    <row r="6911" spans="1:28">
      <c r="A6911" s="384" t="str">
        <f t="shared" ref="A6911:B6911" si="22414">A6895</f>
        <v>Lantai Atap</v>
      </c>
      <c r="B6911" s="385">
        <f t="shared" si="22414"/>
        <v>23</v>
      </c>
      <c r="C6911" s="393" t="s">
        <v>210</v>
      </c>
      <c r="D6911" s="398">
        <f>VLOOKUP(D6895,'Detail Balok'!$C$10:$AU$140,25,FALSE)</f>
        <v>2</v>
      </c>
      <c r="E6911" s="388" t="s">
        <v>16</v>
      </c>
      <c r="F6911" s="388">
        <f>VLOOKUP(D6895,'Detail Balok'!$C$10:$AU$140,27,FALSE)</f>
        <v>13</v>
      </c>
      <c r="G6911" s="388"/>
      <c r="H6911" s="395"/>
      <c r="I6911" s="388" t="s">
        <v>203</v>
      </c>
      <c r="J6911" s="399">
        <f t="shared" si="22406"/>
        <v>0.97499999999999998</v>
      </c>
      <c r="K6911" s="400" t="s">
        <v>204</v>
      </c>
      <c r="L6911" s="399"/>
      <c r="M6911" s="399" t="s">
        <v>176</v>
      </c>
      <c r="N6911" s="399">
        <f t="shared" si="22408"/>
        <v>0.97499999999999998</v>
      </c>
      <c r="O6911" s="399" t="s">
        <v>204</v>
      </c>
      <c r="P6911" s="389">
        <f t="shared" ref="P6911" si="22415">MAX(D6911-D6910,D6911-D6912)</f>
        <v>0</v>
      </c>
      <c r="Q6911" s="399" t="s">
        <v>125</v>
      </c>
      <c r="R6911" s="399">
        <f t="shared" ref="R6911" si="22416">IF(P6911&gt;0,2*(1-2*$F$19-1/2)*D6898/1000,0)</f>
        <v>0</v>
      </c>
      <c r="S6911" s="399" t="s">
        <v>205</v>
      </c>
      <c r="T6911" s="399" t="s">
        <v>125</v>
      </c>
      <c r="U6911" s="401">
        <f t="shared" si="22411"/>
        <v>1.041885</v>
      </c>
      <c r="V6911" s="399"/>
      <c r="W6911" s="399"/>
      <c r="X6911" s="399" t="s">
        <v>125</v>
      </c>
      <c r="Y6911" s="389">
        <f t="shared" ref="Y6911" si="22417">D6901</f>
        <v>1</v>
      </c>
      <c r="Z6911" s="400" t="s">
        <v>176</v>
      </c>
      <c r="AA6911" s="402">
        <f t="shared" ref="AA6911" si="22418">IF(AA6913=0,(D6911*N6911+P6911*R6911)*U6911*Y6911,0)</f>
        <v>0</v>
      </c>
      <c r="AB6911" s="403"/>
    </row>
    <row r="6912" spans="1:28">
      <c r="A6912" s="384" t="str">
        <f t="shared" ref="A6912:B6912" si="22419">A6895</f>
        <v>Lantai Atap</v>
      </c>
      <c r="B6912" s="385">
        <f t="shared" si="22419"/>
        <v>23</v>
      </c>
      <c r="C6912" s="393" t="s">
        <v>209</v>
      </c>
      <c r="D6912" s="398">
        <f>VLOOKUP(D6895,'Detail Balok'!$C$10:$AU$140,28,FALSE)</f>
        <v>2</v>
      </c>
      <c r="E6912" s="388" t="s">
        <v>16</v>
      </c>
      <c r="F6912" s="388">
        <f>VLOOKUP(D6895,'Detail Balok'!$C$10:$AU$140,30,FALSE)</f>
        <v>13</v>
      </c>
      <c r="G6912" s="388"/>
      <c r="H6912" s="395"/>
      <c r="I6912" s="388" t="s">
        <v>203</v>
      </c>
      <c r="J6912" s="399">
        <f t="shared" si="22406"/>
        <v>0.48749999999999999</v>
      </c>
      <c r="K6912" s="400" t="s">
        <v>204</v>
      </c>
      <c r="L6912" s="399">
        <f t="shared" ref="L6912" si="22420">MAX(VLOOKUP(F6912,N$6:P$15,3,FALSE)/1000,2/3*D6900/1000)+F$16*F6912/1000</f>
        <v>0.156</v>
      </c>
      <c r="M6912" s="399" t="s">
        <v>176</v>
      </c>
      <c r="N6912" s="399">
        <f t="shared" si="22408"/>
        <v>0.64349999999999996</v>
      </c>
      <c r="O6912" s="399" t="s">
        <v>204</v>
      </c>
      <c r="P6912" s="389">
        <f t="shared" ref="P6912" si="22421">D6912-D6911</f>
        <v>0</v>
      </c>
      <c r="Q6912" s="399" t="s">
        <v>125</v>
      </c>
      <c r="R6912" s="399">
        <f t="shared" ref="R6912" si="22422">IF(P6912&gt;0,$F$18*F6912/1000,0)</f>
        <v>0</v>
      </c>
      <c r="S6912" s="399" t="s">
        <v>205</v>
      </c>
      <c r="T6912" s="399" t="s">
        <v>125</v>
      </c>
      <c r="U6912" s="401">
        <f t="shared" si="22411"/>
        <v>1.041885</v>
      </c>
      <c r="V6912" s="399"/>
      <c r="W6912" s="399"/>
      <c r="X6912" s="399" t="s">
        <v>125</v>
      </c>
      <c r="Y6912" s="389">
        <f t="shared" ref="Y6912" si="22423">D6901</f>
        <v>1</v>
      </c>
      <c r="Z6912" s="400" t="s">
        <v>176</v>
      </c>
      <c r="AA6912" s="402">
        <f t="shared" ref="AA6912" si="22424">IF(AA6913=0,(D6912*N6912+P6912*R6912)*U6912*Y6912,0)</f>
        <v>0</v>
      </c>
      <c r="AB6912" s="403"/>
    </row>
    <row r="6913" spans="1:28">
      <c r="A6913" s="384" t="str">
        <f t="shared" ref="A6913:B6913" si="22425">A6895</f>
        <v>Lantai Atap</v>
      </c>
      <c r="B6913" s="385">
        <f t="shared" si="22425"/>
        <v>23</v>
      </c>
      <c r="C6913" s="393"/>
      <c r="D6913" s="398">
        <f t="shared" ref="D6913:D6973" si="22426">IF(AND(D6910=D6911,D6911=D6912,D6910=D6912),D6910,0)</f>
        <v>2</v>
      </c>
      <c r="E6913" s="388" t="s">
        <v>16</v>
      </c>
      <c r="F6913" s="388">
        <f t="shared" ref="F6913:F6973" si="22427">IF(AND(F6910=F6911,F6910=F6912,F6911=F6912),F6910,0)</f>
        <v>13</v>
      </c>
      <c r="G6913" s="388"/>
      <c r="H6913" s="395"/>
      <c r="I6913" s="388"/>
      <c r="J6913" s="396"/>
      <c r="K6913" s="396"/>
      <c r="L6913" s="404" t="s">
        <v>207</v>
      </c>
      <c r="M6913" s="399" t="s">
        <v>176</v>
      </c>
      <c r="N6913" s="399">
        <f t="shared" ref="N6913" si="22428">IF(AND(D6910=D6911,D6910=D6912,D6911=D6912,F6910=F6911,F6910=F6912,F6911=F6912),SUM(N6910:N6912),0)</f>
        <v>2.262</v>
      </c>
      <c r="O6913" s="399" t="s">
        <v>204</v>
      </c>
      <c r="P6913" s="389">
        <f t="shared" ref="P6913" si="22429">IF(N6913&gt;12,ROUNDDOWN(N6913/12,0),0)</f>
        <v>0</v>
      </c>
      <c r="Q6913" s="399" t="s">
        <v>125</v>
      </c>
      <c r="R6913" s="399">
        <f t="shared" ref="R6913" si="22430">IF(P6913&gt;0,MAX(VLOOKUP(F6913,$D$6:$G$15,3,FALSE),600),0)/1000</f>
        <v>0</v>
      </c>
      <c r="S6913" s="396"/>
      <c r="T6913" s="396" t="s">
        <v>125</v>
      </c>
      <c r="U6913" s="401">
        <f t="shared" ref="U6913:U6973" si="22431">U6912</f>
        <v>1.041885</v>
      </c>
      <c r="V6913" s="396" t="s">
        <v>125</v>
      </c>
      <c r="W6913" s="399">
        <f t="shared" ref="W6913" si="22432">D6913</f>
        <v>2</v>
      </c>
      <c r="X6913" s="399" t="s">
        <v>125</v>
      </c>
      <c r="Y6913" s="389">
        <f t="shared" ref="Y6913:Y6973" si="22433">Y6912</f>
        <v>1</v>
      </c>
      <c r="Z6913" s="400" t="s">
        <v>176</v>
      </c>
      <c r="AA6913" s="402">
        <f t="shared" ref="AA6913" si="22434">(N6913+P6913*R6913/1000)*U6913*W6913*Y6913</f>
        <v>4.7134877399999997</v>
      </c>
      <c r="AB6913" s="403"/>
    </row>
    <row r="6914" spans="1:28">
      <c r="A6914" s="384"/>
      <c r="B6914" s="385"/>
      <c r="C6914" s="393"/>
      <c r="D6914" s="394"/>
      <c r="E6914" s="388"/>
      <c r="F6914" s="388"/>
      <c r="G6914" s="388"/>
      <c r="H6914" s="395"/>
      <c r="I6914" s="388"/>
      <c r="J6914" s="399"/>
      <c r="K6914" s="396"/>
      <c r="L6914" s="396"/>
      <c r="M6914" s="396"/>
      <c r="N6914" s="396"/>
      <c r="O6914" s="396"/>
      <c r="P6914" s="389"/>
      <c r="Q6914" s="396"/>
      <c r="R6914" s="396"/>
      <c r="S6914" s="396"/>
      <c r="T6914" s="396"/>
      <c r="U6914" s="401"/>
      <c r="V6914" s="396"/>
      <c r="W6914" s="388"/>
      <c r="X6914" s="396"/>
      <c r="Y6914" s="389"/>
      <c r="Z6914" s="396"/>
      <c r="AA6914" s="388"/>
      <c r="AB6914" s="390"/>
    </row>
    <row r="6915" spans="1:28">
      <c r="A6915" s="384" t="str">
        <f t="shared" ref="A6915:B6915" si="22435">A6895</f>
        <v>Lantai Atap</v>
      </c>
      <c r="B6915" s="385">
        <f t="shared" si="22435"/>
        <v>23</v>
      </c>
      <c r="C6915" s="393" t="s">
        <v>211</v>
      </c>
      <c r="D6915" s="398">
        <f>VLOOKUP(D6895,'Detail Balok'!$C$10:$AU$140,31,FALSE)</f>
        <v>0</v>
      </c>
      <c r="E6915" s="388" t="s">
        <v>16</v>
      </c>
      <c r="F6915" s="388">
        <f>VLOOKUP(D6895,'Detail Balok'!$C$10:$AU$140,33,FALSE)</f>
        <v>8</v>
      </c>
      <c r="G6915" s="405" t="s">
        <v>157</v>
      </c>
      <c r="H6915" s="395">
        <f>VLOOKUP(D6895,'Detail Balok'!$C$10:$AU$140,35,FALSE)</f>
        <v>150</v>
      </c>
      <c r="I6915" s="388"/>
      <c r="J6915" s="400">
        <f t="shared" ref="J6915" si="22436">(IF(D6915=0,(2*(D6896+G6896))-(F$5*8),IF(D6915=3,(2*(D6896+G6896))-(F$5*8)+(G6896-2*F$5),IF(D6915=4,(2*(D6896+G6896))-(F$5*8)+2*(G6896-2*F$5)))))/1000</f>
        <v>0.74</v>
      </c>
      <c r="K6915" s="400" t="s">
        <v>204</v>
      </c>
      <c r="L6915" s="399">
        <f t="shared" ref="L6915:L6917" si="22437">IF(D6915=0,2*MAX(6*F6915,75),(D6915-1)*2*MAX(6*F6915,75))/1000</f>
        <v>0.15</v>
      </c>
      <c r="M6915" s="399" t="s">
        <v>176</v>
      </c>
      <c r="N6915" s="399">
        <f t="shared" ref="N6915:N6917" si="22438">J6915+L6915</f>
        <v>0.89</v>
      </c>
      <c r="O6915" s="399"/>
      <c r="P6915" s="389"/>
      <c r="Q6915" s="399"/>
      <c r="R6915" s="399"/>
      <c r="S6915" s="399"/>
      <c r="T6915" s="399" t="s">
        <v>125</v>
      </c>
      <c r="U6915" s="401">
        <f t="shared" ref="U6915:U6917" si="22439">0.006165*F6915^2</f>
        <v>0.39456000000000002</v>
      </c>
      <c r="V6915" s="399" t="s">
        <v>125</v>
      </c>
      <c r="W6915" s="399">
        <f t="shared" ref="W6915" si="22440">IF(D6898&gt;4*G6896,ROUND(MAX(D6898/4,2*G6896)/H6915,0)+1,ROUND(D6898/H6915,0)+1)</f>
        <v>6</v>
      </c>
      <c r="X6915" s="399" t="s">
        <v>125</v>
      </c>
      <c r="Y6915" s="389">
        <f t="shared" ref="Y6915" si="22441">D6901</f>
        <v>1</v>
      </c>
      <c r="Z6915" s="400" t="s">
        <v>176</v>
      </c>
      <c r="AA6915" s="402">
        <f t="shared" ref="AA6915:AA6917" si="22442">N6915*U6915*W6915*Y6915</f>
        <v>2.1069504000000001</v>
      </c>
      <c r="AB6915" s="403"/>
    </row>
    <row r="6916" spans="1:28">
      <c r="A6916" s="384" t="str">
        <f t="shared" ref="A6916:B6916" si="22443">A6895</f>
        <v>Lantai Atap</v>
      </c>
      <c r="B6916" s="385">
        <f t="shared" si="22443"/>
        <v>23</v>
      </c>
      <c r="C6916" s="393" t="s">
        <v>212</v>
      </c>
      <c r="D6916" s="398">
        <f>VLOOKUP(D6895,'Detail Balok'!$C$10:$AU$140,36,FALSE)</f>
        <v>0</v>
      </c>
      <c r="E6916" s="388" t="s">
        <v>16</v>
      </c>
      <c r="F6916" s="388">
        <f>VLOOKUP(D6895,'Detail Balok'!$C$10:$AU$140,38,FALSE)</f>
        <v>8</v>
      </c>
      <c r="G6916" s="405" t="s">
        <v>157</v>
      </c>
      <c r="H6916" s="395">
        <f>VLOOKUP(D6895,'Detail Balok'!$C$10:$AU$140,40,FALSE)</f>
        <v>200</v>
      </c>
      <c r="I6916" s="388"/>
      <c r="J6916" s="400">
        <f t="shared" ref="J6916" si="22444">(IF(D6916=0,(2*(D6896+G6896))-(F$5*8),IF(D6916=3,(2*(D6896+G6896))-(F$5*8)+(G6896-2*F$5),IF(D6916=4,(2*(D6896+G6896))-(F$5*8)+2*(G6896-2*F$5)))))/1000</f>
        <v>0.74</v>
      </c>
      <c r="K6916" s="400" t="s">
        <v>204</v>
      </c>
      <c r="L6916" s="399">
        <f t="shared" si="22437"/>
        <v>0.15</v>
      </c>
      <c r="M6916" s="399" t="s">
        <v>176</v>
      </c>
      <c r="N6916" s="399">
        <f t="shared" si="22438"/>
        <v>0.89</v>
      </c>
      <c r="O6916" s="399"/>
      <c r="P6916" s="389"/>
      <c r="Q6916" s="399"/>
      <c r="R6916" s="399"/>
      <c r="S6916" s="399"/>
      <c r="T6916" s="399" t="s">
        <v>125</v>
      </c>
      <c r="U6916" s="401">
        <f t="shared" si="22439"/>
        <v>0.39456000000000002</v>
      </c>
      <c r="V6916" s="399" t="s">
        <v>125</v>
      </c>
      <c r="W6916" s="399">
        <f t="shared" ref="W6916" si="22445">IF(D6898-MAX(D6898/4,2*G6896)*2&gt;0,ROUND((D6898-MAX(D6898/4,2*G6896)*2)/H6916,0),0)</f>
        <v>2</v>
      </c>
      <c r="X6916" s="399" t="s">
        <v>125</v>
      </c>
      <c r="Y6916" s="389">
        <f t="shared" ref="Y6916" si="22446">D6901</f>
        <v>1</v>
      </c>
      <c r="Z6916" s="400" t="s">
        <v>176</v>
      </c>
      <c r="AA6916" s="402">
        <f t="shared" si="22442"/>
        <v>0.70231680000000007</v>
      </c>
      <c r="AB6916" s="403"/>
    </row>
    <row r="6917" spans="1:28">
      <c r="A6917" s="384" t="str">
        <f t="shared" ref="A6917:B6917" si="22447">A6895</f>
        <v>Lantai Atap</v>
      </c>
      <c r="B6917" s="385">
        <f t="shared" si="22447"/>
        <v>23</v>
      </c>
      <c r="C6917" s="393" t="s">
        <v>211</v>
      </c>
      <c r="D6917" s="398">
        <f>VLOOKUP(D6895,'Detail Balok'!$C$10:$AU$140,41,FALSE)</f>
        <v>0</v>
      </c>
      <c r="E6917" s="388" t="s">
        <v>16</v>
      </c>
      <c r="F6917" s="388">
        <f>VLOOKUP(D6895,'Detail Balok'!$C$10:$AU$140,43,FALSE)</f>
        <v>8</v>
      </c>
      <c r="G6917" s="405" t="s">
        <v>157</v>
      </c>
      <c r="H6917" s="395">
        <f>VLOOKUP(D6895,'Detail Balok'!$C$10:$AU$140,45,FALSE)</f>
        <v>150</v>
      </c>
      <c r="I6917" s="388"/>
      <c r="J6917" s="400">
        <f t="shared" ref="J6917" si="22448">(IF(D6917=0,(2*(D6896+G6896))-(F$5*8),IF(D6917=3,(2*(D6896+G6896))-(F$5*8)+(G6896-2*F$5),IF(D6917=4,(2*(D6896+G6896))-(F$5*8)+2*(G6896-2*F$5)))))/1000</f>
        <v>0.74</v>
      </c>
      <c r="K6917" s="400" t="s">
        <v>204</v>
      </c>
      <c r="L6917" s="399">
        <f t="shared" si="22437"/>
        <v>0.15</v>
      </c>
      <c r="M6917" s="399" t="s">
        <v>176</v>
      </c>
      <c r="N6917" s="399">
        <f t="shared" si="22438"/>
        <v>0.89</v>
      </c>
      <c r="O6917" s="399"/>
      <c r="P6917" s="389"/>
      <c r="Q6917" s="399"/>
      <c r="R6917" s="399"/>
      <c r="S6917" s="399"/>
      <c r="T6917" s="399" t="s">
        <v>125</v>
      </c>
      <c r="U6917" s="401">
        <f t="shared" si="22439"/>
        <v>0.39456000000000002</v>
      </c>
      <c r="V6917" s="399" t="s">
        <v>125</v>
      </c>
      <c r="W6917" s="399">
        <f t="shared" ref="W6917" si="22449">IF(D6898&gt;4*G6896,ROUND(MAX(D6898/4,2*G6896)/H6917,0)+1,0)</f>
        <v>6</v>
      </c>
      <c r="X6917" s="399" t="s">
        <v>125</v>
      </c>
      <c r="Y6917" s="389">
        <f t="shared" ref="Y6917" si="22450">D6901</f>
        <v>1</v>
      </c>
      <c r="Z6917" s="400" t="s">
        <v>176</v>
      </c>
      <c r="AA6917" s="402">
        <f t="shared" si="22442"/>
        <v>2.1069504000000001</v>
      </c>
      <c r="AB6917" s="403"/>
    </row>
    <row r="6918" spans="1:28">
      <c r="A6918" s="384"/>
      <c r="B6918" s="385"/>
      <c r="C6918" s="393"/>
      <c r="D6918" s="394"/>
      <c r="E6918" s="388"/>
      <c r="F6918" s="388"/>
      <c r="G6918" s="388"/>
      <c r="H6918" s="395"/>
      <c r="I6918" s="388"/>
      <c r="J6918" s="399"/>
      <c r="K6918" s="396"/>
      <c r="L6918" s="396"/>
      <c r="M6918" s="396"/>
      <c r="N6918" s="396"/>
      <c r="O6918" s="396"/>
      <c r="P6918" s="389"/>
      <c r="Q6918" s="396"/>
      <c r="R6918" s="396"/>
      <c r="S6918" s="396"/>
      <c r="T6918" s="396"/>
      <c r="U6918" s="401"/>
      <c r="V6918" s="396"/>
      <c r="W6918" s="388"/>
      <c r="X6918" s="396"/>
      <c r="Y6918" s="389"/>
      <c r="Z6918" s="396"/>
      <c r="AA6918" s="388"/>
      <c r="AB6918" s="390"/>
    </row>
    <row r="6919" spans="1:28">
      <c r="A6919" s="384" t="str">
        <f t="shared" ref="A6919:B6919" si="22451">A6895</f>
        <v>Lantai Atap</v>
      </c>
      <c r="B6919" s="385">
        <f t="shared" si="22451"/>
        <v>23</v>
      </c>
      <c r="C6919" s="393" t="s">
        <v>213</v>
      </c>
      <c r="D6919" s="398">
        <f>VLOOKUP(D6895,'Detail Balok'!$C$10:$BJ$140,46,FALSE)</f>
        <v>0</v>
      </c>
      <c r="E6919" s="388" t="s">
        <v>16</v>
      </c>
      <c r="F6919" s="388">
        <f>VLOOKUP(D6895,'Detail Balok'!$C$10:$BJ$140,48,FALSE)</f>
        <v>0</v>
      </c>
      <c r="G6919" s="405" t="s">
        <v>157</v>
      </c>
      <c r="H6919" s="395">
        <f>VLOOKUP(D6895,'Detail Balok'!$C$10:$BJ$140,50,FALSE)</f>
        <v>100</v>
      </c>
      <c r="I6919" s="388"/>
      <c r="J6919" s="399">
        <f t="shared" ref="J6919" si="22452">(D6896-2*F$5)/1000</f>
        <v>0.05</v>
      </c>
      <c r="K6919" s="400" t="s">
        <v>204</v>
      </c>
      <c r="L6919" s="399">
        <f t="shared" ref="L6919:L6921" si="22453">IF(D6919=0,2*MAX(6*F6919,75),(D6919-1)*2*MAX(6*F6919,75))/1000</f>
        <v>0.15</v>
      </c>
      <c r="M6919" s="399" t="s">
        <v>176</v>
      </c>
      <c r="N6919" s="399">
        <f t="shared" ref="N6919:N6921" si="22454">J6919+L6919</f>
        <v>0.2</v>
      </c>
      <c r="O6919" s="399"/>
      <c r="P6919" s="399"/>
      <c r="Q6919" s="399"/>
      <c r="R6919" s="399"/>
      <c r="S6919" s="399"/>
      <c r="T6919" s="399" t="s">
        <v>125</v>
      </c>
      <c r="U6919" s="401">
        <f t="shared" ref="U6919:U6921" si="22455">0.006165*F6919^2</f>
        <v>0</v>
      </c>
      <c r="V6919" s="399" t="s">
        <v>125</v>
      </c>
      <c r="W6919" s="399">
        <f t="shared" ref="W6919:W6981" si="22456">W6915</f>
        <v>6</v>
      </c>
      <c r="X6919" s="399" t="s">
        <v>125</v>
      </c>
      <c r="Y6919" s="389">
        <f t="shared" ref="Y6919" si="22457">D6905</f>
        <v>2</v>
      </c>
      <c r="Z6919" s="400" t="s">
        <v>176</v>
      </c>
      <c r="AA6919" s="402">
        <f t="shared" ref="AA6919:AA6921" si="22458">N6919*U6919*W6919*Y6919</f>
        <v>0</v>
      </c>
      <c r="AB6919" s="403"/>
    </row>
    <row r="6920" spans="1:28">
      <c r="A6920" s="384" t="str">
        <f t="shared" ref="A6920:B6920" si="22459">A6895</f>
        <v>Lantai Atap</v>
      </c>
      <c r="B6920" s="385">
        <f t="shared" si="22459"/>
        <v>23</v>
      </c>
      <c r="C6920" s="393" t="s">
        <v>214</v>
      </c>
      <c r="D6920" s="398">
        <f>VLOOKUP(D6895,'Detail Balok'!$C$10:$BJ$140,51,FALSE)</f>
        <v>0</v>
      </c>
      <c r="E6920" s="388" t="s">
        <v>16</v>
      </c>
      <c r="F6920" s="388">
        <f>VLOOKUP(D6895,'Detail Balok'!$C$10:$BJ$140,53,FALSE)</f>
        <v>0</v>
      </c>
      <c r="G6920" s="405" t="s">
        <v>157</v>
      </c>
      <c r="H6920" s="395">
        <f>VLOOKUP(D6895,'Detail Balok'!$C$10:$BJ$140,55,FALSE)</f>
        <v>100</v>
      </c>
      <c r="I6920" s="388"/>
      <c r="J6920" s="399">
        <f t="shared" ref="J6920" si="22460">(D6896-2*F$5)/1000</f>
        <v>0.05</v>
      </c>
      <c r="K6920" s="400" t="s">
        <v>204</v>
      </c>
      <c r="L6920" s="399">
        <f t="shared" si="22453"/>
        <v>0.15</v>
      </c>
      <c r="M6920" s="399" t="s">
        <v>176</v>
      </c>
      <c r="N6920" s="399">
        <f t="shared" si="22454"/>
        <v>0.2</v>
      </c>
      <c r="O6920" s="399"/>
      <c r="P6920" s="399"/>
      <c r="Q6920" s="399"/>
      <c r="R6920" s="399"/>
      <c r="S6920" s="399"/>
      <c r="T6920" s="399" t="s">
        <v>125</v>
      </c>
      <c r="U6920" s="401">
        <f t="shared" si="22455"/>
        <v>0</v>
      </c>
      <c r="V6920" s="399" t="s">
        <v>125</v>
      </c>
      <c r="W6920" s="399">
        <f t="shared" si="22456"/>
        <v>2</v>
      </c>
      <c r="X6920" s="399" t="s">
        <v>125</v>
      </c>
      <c r="Y6920" s="389">
        <f t="shared" ref="Y6920" si="22461">D6905</f>
        <v>2</v>
      </c>
      <c r="Z6920" s="400" t="s">
        <v>176</v>
      </c>
      <c r="AA6920" s="402">
        <f t="shared" si="22458"/>
        <v>0</v>
      </c>
      <c r="AB6920" s="403"/>
    </row>
    <row r="6921" spans="1:28">
      <c r="A6921" s="384" t="str">
        <f t="shared" ref="A6921:B6921" si="22462">A6895</f>
        <v>Lantai Atap</v>
      </c>
      <c r="B6921" s="385">
        <f t="shared" si="22462"/>
        <v>23</v>
      </c>
      <c r="C6921" s="393" t="s">
        <v>213</v>
      </c>
      <c r="D6921" s="398">
        <f>VLOOKUP(D6895,'Detail Balok'!$C$10:$BJ$140,56,FALSE)</f>
        <v>0</v>
      </c>
      <c r="E6921" s="388" t="s">
        <v>16</v>
      </c>
      <c r="F6921" s="388">
        <f>VLOOKUP(D6895,'Detail Balok'!$C$10:$BJ$140,58,FALSE)</f>
        <v>0</v>
      </c>
      <c r="G6921" s="405" t="s">
        <v>157</v>
      </c>
      <c r="H6921" s="395">
        <f>VLOOKUP(D6895,'Detail Balok'!$C$10:$BJ$140,60,FALSE)</f>
        <v>100</v>
      </c>
      <c r="I6921" s="388"/>
      <c r="J6921" s="399">
        <f t="shared" ref="J6921" si="22463">(D6896-2*F$5)/1000</f>
        <v>0.05</v>
      </c>
      <c r="K6921" s="400" t="s">
        <v>204</v>
      </c>
      <c r="L6921" s="399">
        <f t="shared" si="22453"/>
        <v>0.15</v>
      </c>
      <c r="M6921" s="399" t="s">
        <v>176</v>
      </c>
      <c r="N6921" s="399">
        <f t="shared" si="22454"/>
        <v>0.2</v>
      </c>
      <c r="O6921" s="399"/>
      <c r="P6921" s="399"/>
      <c r="Q6921" s="399"/>
      <c r="R6921" s="399"/>
      <c r="S6921" s="399"/>
      <c r="T6921" s="399" t="s">
        <v>125</v>
      </c>
      <c r="U6921" s="401">
        <f t="shared" si="22455"/>
        <v>0</v>
      </c>
      <c r="V6921" s="399" t="s">
        <v>125</v>
      </c>
      <c r="W6921" s="399">
        <f t="shared" si="22456"/>
        <v>6</v>
      </c>
      <c r="X6921" s="399" t="s">
        <v>125</v>
      </c>
      <c r="Y6921" s="389">
        <f t="shared" ref="Y6921" si="22464">D6905</f>
        <v>2</v>
      </c>
      <c r="Z6921" s="400" t="s">
        <v>176</v>
      </c>
      <c r="AA6921" s="402">
        <f t="shared" si="22458"/>
        <v>0</v>
      </c>
      <c r="AB6921" s="403"/>
    </row>
    <row r="6922" spans="1:28">
      <c r="A6922" s="391"/>
      <c r="B6922" s="392"/>
      <c r="C6922" s="392"/>
      <c r="D6922" s="394"/>
      <c r="E6922" s="388"/>
      <c r="F6922" s="388"/>
      <c r="G6922" s="388"/>
      <c r="H6922" s="395"/>
      <c r="I6922" s="388"/>
      <c r="J6922" s="402"/>
      <c r="K6922" s="388"/>
      <c r="L6922" s="388"/>
      <c r="M6922" s="388"/>
      <c r="N6922" s="388"/>
      <c r="O6922" s="388"/>
      <c r="P6922" s="388"/>
      <c r="Q6922" s="388"/>
      <c r="R6922" s="388"/>
      <c r="S6922" s="388"/>
      <c r="T6922" s="388"/>
      <c r="U6922" s="388"/>
      <c r="V6922" s="388"/>
      <c r="W6922" s="388"/>
      <c r="X6922" s="388"/>
      <c r="Y6922" s="389"/>
      <c r="Z6922" s="388"/>
      <c r="AA6922" s="402"/>
      <c r="AB6922" s="403"/>
    </row>
    <row r="6923" spans="1:28" ht="15.75" thickBot="1">
      <c r="A6923" s="406"/>
      <c r="B6923" s="407"/>
      <c r="C6923" s="407"/>
      <c r="D6923" s="408"/>
      <c r="E6923" s="409"/>
      <c r="F6923" s="409"/>
      <c r="G6923" s="409"/>
      <c r="H6923" s="410"/>
      <c r="I6923" s="409"/>
      <c r="J6923" s="409"/>
      <c r="K6923" s="409"/>
      <c r="L6923" s="409"/>
      <c r="M6923" s="409"/>
      <c r="N6923" s="409"/>
      <c r="O6923" s="409"/>
      <c r="P6923" s="409"/>
      <c r="Q6923" s="409"/>
      <c r="R6923" s="409"/>
      <c r="S6923" s="409"/>
      <c r="T6923" s="409"/>
      <c r="U6923" s="409"/>
      <c r="V6923" s="409"/>
      <c r="W6923" s="409"/>
      <c r="X6923" s="409"/>
      <c r="Y6923" s="411"/>
      <c r="Z6923" s="409"/>
      <c r="AA6923" s="412"/>
      <c r="AB6923" s="413"/>
    </row>
    <row r="6924" spans="1:28">
      <c r="A6924" s="377"/>
      <c r="B6924" s="378"/>
      <c r="C6924" s="378"/>
      <c r="D6924" s="379"/>
      <c r="E6924" s="380"/>
      <c r="F6924" s="380"/>
      <c r="G6924" s="380"/>
      <c r="H6924" s="381"/>
      <c r="I6924" s="380"/>
      <c r="J6924" s="380"/>
      <c r="K6924" s="380"/>
      <c r="L6924" s="380"/>
      <c r="M6924" s="380"/>
      <c r="N6924" s="380"/>
      <c r="O6924" s="380"/>
      <c r="P6924" s="380"/>
      <c r="Q6924" s="380"/>
      <c r="R6924" s="380"/>
      <c r="S6924" s="380"/>
      <c r="T6924" s="380"/>
      <c r="U6924" s="380"/>
      <c r="V6924" s="380"/>
      <c r="W6924" s="380"/>
      <c r="X6924" s="380"/>
      <c r="Y6924" s="382"/>
      <c r="Z6924" s="380"/>
      <c r="AA6924" s="380"/>
      <c r="AB6924" s="383"/>
    </row>
    <row r="6925" spans="1:28">
      <c r="A6925" s="384" t="str">
        <f t="shared" ref="A6925:A6985" si="22465">A6895</f>
        <v>Lantai Atap</v>
      </c>
      <c r="B6925" s="385">
        <f t="shared" ref="B6925:B6985" si="22466">B6895+1</f>
        <v>24</v>
      </c>
      <c r="C6925" s="386" t="str">
        <f t="shared" ref="C6925" si="22467">CONCATENATE(A6925," no. ",B6925)</f>
        <v>Lantai Atap no. 24</v>
      </c>
      <c r="D6925" s="2562" t="str">
        <f>VLOOKUP(C6925,'Data Panjang Balok'!$C$9:$N$254,2,FALSE)</f>
        <v>B4-1</v>
      </c>
      <c r="E6925" s="2576"/>
      <c r="F6925" s="2576"/>
      <c r="G6925" s="2576"/>
      <c r="H6925" s="2577"/>
      <c r="I6925" s="387"/>
      <c r="J6925" s="388"/>
      <c r="K6925" s="388"/>
      <c r="L6925" s="388"/>
      <c r="M6925" s="388"/>
      <c r="N6925" s="388"/>
      <c r="O6925" s="388"/>
      <c r="P6925" s="388"/>
      <c r="Q6925" s="388"/>
      <c r="R6925" s="388"/>
      <c r="S6925" s="388"/>
      <c r="T6925" s="388"/>
      <c r="U6925" s="388"/>
      <c r="V6925" s="388"/>
      <c r="W6925" s="388"/>
      <c r="X6925" s="388"/>
      <c r="Y6925" s="389"/>
      <c r="Z6925" s="388"/>
      <c r="AA6925" s="388"/>
      <c r="AB6925" s="390"/>
    </row>
    <row r="6926" spans="1:28">
      <c r="A6926" s="391"/>
      <c r="B6926" s="392"/>
      <c r="C6926" s="393" t="s">
        <v>118</v>
      </c>
      <c r="D6926" s="2578">
        <f>VLOOKUP(D6925,'Detail Balok'!$C$10:$AU$140,2,FALSE)</f>
        <v>130</v>
      </c>
      <c r="E6926" s="2579"/>
      <c r="F6926" s="388" t="s">
        <v>125</v>
      </c>
      <c r="G6926" s="2579">
        <f>VLOOKUP(D6925,'Detail Balok'!$C$10:$AU$140,3,FALSE)</f>
        <v>400</v>
      </c>
      <c r="H6926" s="2580"/>
      <c r="I6926" s="388"/>
      <c r="J6926" s="396"/>
      <c r="K6926" s="396"/>
      <c r="L6926" s="396"/>
      <c r="M6926" s="396"/>
      <c r="N6926" s="396"/>
      <c r="O6926" s="396"/>
      <c r="P6926" s="396"/>
      <c r="Q6926" s="396"/>
      <c r="R6926" s="396"/>
      <c r="S6926" s="396"/>
      <c r="T6926" s="396"/>
      <c r="U6926" s="388"/>
      <c r="V6926" s="396"/>
      <c r="W6926" s="388"/>
      <c r="X6926" s="396"/>
      <c r="Y6926" s="389"/>
      <c r="Z6926" s="396"/>
      <c r="AA6926" s="388"/>
      <c r="AB6926" s="390"/>
    </row>
    <row r="6927" spans="1:28">
      <c r="A6927" s="391"/>
      <c r="B6927" s="392"/>
      <c r="C6927" s="393" t="s">
        <v>198</v>
      </c>
      <c r="D6927" s="2562">
        <f>VLOOKUP(C6925,'Data Panjang Balok'!$C$9:$N$254,4,FALSE)</f>
        <v>1950</v>
      </c>
      <c r="E6927" s="2563"/>
      <c r="F6927" s="2563"/>
      <c r="G6927" s="2563"/>
      <c r="H6927" s="2564"/>
      <c r="I6927" s="397"/>
      <c r="J6927" s="396"/>
      <c r="K6927" s="396"/>
      <c r="L6927" s="396"/>
      <c r="M6927" s="396"/>
      <c r="N6927" s="396"/>
      <c r="O6927" s="396"/>
      <c r="P6927" s="396"/>
      <c r="Q6927" s="396"/>
      <c r="R6927" s="396"/>
      <c r="S6927" s="396"/>
      <c r="T6927" s="396"/>
      <c r="U6927" s="388"/>
      <c r="V6927" s="396"/>
      <c r="W6927" s="388"/>
      <c r="X6927" s="396"/>
      <c r="Y6927" s="389"/>
      <c r="Z6927" s="396"/>
      <c r="AA6927" s="388"/>
      <c r="AB6927" s="390"/>
    </row>
    <row r="6928" spans="1:28">
      <c r="A6928" s="391"/>
      <c r="B6928" s="392"/>
      <c r="C6928" s="393" t="s">
        <v>199</v>
      </c>
      <c r="D6928" s="2562">
        <f>VLOOKUP(C6925,'Data Panjang Balok'!$C$9:$N$254,7,FALSE)</f>
        <v>1950</v>
      </c>
      <c r="E6928" s="2563"/>
      <c r="F6928" s="2563"/>
      <c r="G6928" s="2563"/>
      <c r="H6928" s="2564"/>
      <c r="I6928" s="397"/>
      <c r="J6928" s="396"/>
      <c r="K6928" s="396"/>
      <c r="L6928" s="396"/>
      <c r="M6928" s="396"/>
      <c r="N6928" s="396"/>
      <c r="O6928" s="396"/>
      <c r="P6928" s="396"/>
      <c r="Q6928" s="396"/>
      <c r="R6928" s="396"/>
      <c r="S6928" s="396"/>
      <c r="T6928" s="396"/>
      <c r="U6928" s="388"/>
      <c r="V6928" s="396"/>
      <c r="W6928" s="388"/>
      <c r="X6928" s="396"/>
      <c r="Y6928" s="389"/>
      <c r="Z6928" s="396"/>
      <c r="AA6928" s="388"/>
      <c r="AB6928" s="390"/>
    </row>
    <row r="6929" spans="1:28">
      <c r="A6929" s="391"/>
      <c r="B6929" s="392"/>
      <c r="C6929" s="393" t="s">
        <v>200</v>
      </c>
      <c r="D6929" s="2562">
        <f>VLOOKUP(C6925,'Data Panjang Balok'!$C$9:$N$254,9,FALSE)</f>
        <v>0</v>
      </c>
      <c r="E6929" s="2563"/>
      <c r="F6929" s="2563"/>
      <c r="G6929" s="2563"/>
      <c r="H6929" s="2564"/>
      <c r="I6929" s="397"/>
      <c r="J6929" s="396"/>
      <c r="K6929" s="396"/>
      <c r="L6929" s="396"/>
      <c r="M6929" s="396"/>
      <c r="N6929" s="396"/>
      <c r="O6929" s="396"/>
      <c r="P6929" s="396"/>
      <c r="Q6929" s="396"/>
      <c r="R6929" s="396"/>
      <c r="S6929" s="396"/>
      <c r="T6929" s="396"/>
      <c r="U6929" s="388"/>
      <c r="V6929" s="396"/>
      <c r="W6929" s="388"/>
      <c r="X6929" s="396"/>
      <c r="Y6929" s="389"/>
      <c r="Z6929" s="396"/>
      <c r="AA6929" s="388"/>
      <c r="AB6929" s="390"/>
    </row>
    <row r="6930" spans="1:28">
      <c r="A6930" s="391"/>
      <c r="B6930" s="392"/>
      <c r="C6930" s="393" t="s">
        <v>201</v>
      </c>
      <c r="D6930" s="2562">
        <f>VLOOKUP(C6925,'Data Panjang Balok'!$C$9:$N$254,10,FALSE)</f>
        <v>0</v>
      </c>
      <c r="E6930" s="2563"/>
      <c r="F6930" s="2563"/>
      <c r="G6930" s="2563"/>
      <c r="H6930" s="2564"/>
      <c r="I6930" s="397"/>
      <c r="J6930" s="396"/>
      <c r="K6930" s="396"/>
      <c r="L6930" s="396"/>
      <c r="M6930" s="396"/>
      <c r="N6930" s="396"/>
      <c r="O6930" s="396"/>
      <c r="P6930" s="396"/>
      <c r="Q6930" s="396"/>
      <c r="R6930" s="396"/>
      <c r="S6930" s="396"/>
      <c r="T6930" s="396"/>
      <c r="U6930" s="388"/>
      <c r="V6930" s="396"/>
      <c r="W6930" s="388"/>
      <c r="X6930" s="396"/>
      <c r="Y6930" s="389"/>
      <c r="Z6930" s="396"/>
      <c r="AA6930" s="388"/>
      <c r="AB6930" s="390"/>
    </row>
    <row r="6931" spans="1:28">
      <c r="A6931" s="391"/>
      <c r="B6931" s="392"/>
      <c r="C6931" s="393" t="s">
        <v>48</v>
      </c>
      <c r="D6931" s="2562">
        <f>VLOOKUP(C6925,'Data Panjang Balok'!$C$9:$N$254,3,FALSE)</f>
        <v>1</v>
      </c>
      <c r="E6931" s="2563"/>
      <c r="F6931" s="2563"/>
      <c r="G6931" s="2563"/>
      <c r="H6931" s="2564"/>
      <c r="I6931" s="397"/>
      <c r="J6931" s="396"/>
      <c r="K6931" s="396"/>
      <c r="L6931" s="396"/>
      <c r="M6931" s="396"/>
      <c r="N6931" s="396"/>
      <c r="O6931" s="396"/>
      <c r="P6931" s="396"/>
      <c r="Q6931" s="396"/>
      <c r="R6931" s="396"/>
      <c r="S6931" s="396"/>
      <c r="T6931" s="396"/>
      <c r="U6931" s="388"/>
      <c r="V6931" s="396"/>
      <c r="W6931" s="388"/>
      <c r="X6931" s="396"/>
      <c r="Y6931" s="389"/>
      <c r="Z6931" s="396"/>
      <c r="AA6931" s="388"/>
      <c r="AB6931" s="390"/>
    </row>
    <row r="6932" spans="1:28">
      <c r="A6932" s="384" t="str">
        <f t="shared" ref="A6932:B6932" si="22468">A6925</f>
        <v>Lantai Atap</v>
      </c>
      <c r="B6932" s="385">
        <f t="shared" si="22468"/>
        <v>24</v>
      </c>
      <c r="C6932" s="393" t="s">
        <v>202</v>
      </c>
      <c r="D6932" s="398">
        <f>VLOOKUP(D6925,'Detail Balok'!$C$10:$AU$140,4,FALSE)</f>
        <v>2</v>
      </c>
      <c r="E6932" s="388" t="s">
        <v>16</v>
      </c>
      <c r="F6932" s="388">
        <f>VLOOKUP(D6925,'Detail Balok'!$C$10:$AU$140,6,FALSE)</f>
        <v>13</v>
      </c>
      <c r="G6932" s="388"/>
      <c r="H6932" s="395"/>
      <c r="I6932" s="388" t="s">
        <v>203</v>
      </c>
      <c r="J6932" s="399">
        <f t="shared" ref="J6932" si="22469">+D6927/4/1000</f>
        <v>0.48749999999999999</v>
      </c>
      <c r="K6932" s="400" t="s">
        <v>204</v>
      </c>
      <c r="L6932" s="399">
        <f t="shared" ref="L6932" si="22470">MAX(VLOOKUP(F6932,N$6:P$15,3,FALSE)/1000,2/3*D6929/1000)+F$16*F6932/1000</f>
        <v>0.156</v>
      </c>
      <c r="M6932" s="399" t="s">
        <v>176</v>
      </c>
      <c r="N6932" s="399">
        <f t="shared" ref="N6932:N6934" si="22471">J6932+L6932</f>
        <v>0.64349999999999996</v>
      </c>
      <c r="O6932" s="399" t="s">
        <v>204</v>
      </c>
      <c r="P6932" s="389">
        <f t="shared" ref="P6932" si="22472">D6932-D6933</f>
        <v>0</v>
      </c>
      <c r="Q6932" s="399" t="s">
        <v>125</v>
      </c>
      <c r="R6932" s="399">
        <f t="shared" ref="R6932" si="22473">IF(P6932&gt;0,$F$18*F6932/1000,0)</f>
        <v>0</v>
      </c>
      <c r="S6932" s="399" t="s">
        <v>205</v>
      </c>
      <c r="T6932" s="399" t="s">
        <v>125</v>
      </c>
      <c r="U6932" s="401">
        <f t="shared" ref="U6932:U6934" si="22474">0.006165*F6932^2</f>
        <v>1.041885</v>
      </c>
      <c r="V6932" s="399"/>
      <c r="W6932" s="399"/>
      <c r="X6932" s="399" t="s">
        <v>125</v>
      </c>
      <c r="Y6932" s="389">
        <f t="shared" ref="Y6932" si="22475">D6931</f>
        <v>1</v>
      </c>
      <c r="Z6932" s="400" t="s">
        <v>176</v>
      </c>
      <c r="AA6932" s="402">
        <f t="shared" ref="AA6932" si="22476">IF(AA6935=0,(D6932*N6932+P6932*R6932)*U6932*Y6932,0)</f>
        <v>0</v>
      </c>
      <c r="AB6932" s="403"/>
    </row>
    <row r="6933" spans="1:28">
      <c r="A6933" s="384" t="str">
        <f t="shared" ref="A6933:B6933" si="22477">A6925</f>
        <v>Lantai Atap</v>
      </c>
      <c r="B6933" s="385">
        <f t="shared" si="22477"/>
        <v>24</v>
      </c>
      <c r="C6933" s="393" t="s">
        <v>206</v>
      </c>
      <c r="D6933" s="398">
        <f>VLOOKUP(D6925,'Detail Balok'!$C$10:$AU$140,7,FALSE)</f>
        <v>2</v>
      </c>
      <c r="E6933" s="388" t="s">
        <v>16</v>
      </c>
      <c r="F6933" s="388">
        <f>VLOOKUP(D6925,'Detail Balok'!$C$10:$AU$140,9,FALSE)</f>
        <v>13</v>
      </c>
      <c r="G6933" s="388"/>
      <c r="H6933" s="395"/>
      <c r="I6933" s="388" t="s">
        <v>203</v>
      </c>
      <c r="J6933" s="399">
        <f t="shared" ref="J6933" si="22478">+D6927/2/1000</f>
        <v>0.97499999999999998</v>
      </c>
      <c r="K6933" s="400" t="s">
        <v>204</v>
      </c>
      <c r="L6933" s="399"/>
      <c r="M6933" s="399" t="s">
        <v>176</v>
      </c>
      <c r="N6933" s="399">
        <f t="shared" si="22471"/>
        <v>0.97499999999999998</v>
      </c>
      <c r="O6933" s="399" t="s">
        <v>204</v>
      </c>
      <c r="P6933" s="389">
        <f t="shared" ref="P6933" si="22479">MAX(D6933-D6932,D6933-D6934)</f>
        <v>0</v>
      </c>
      <c r="Q6933" s="399" t="s">
        <v>125</v>
      </c>
      <c r="R6933" s="399">
        <f t="shared" ref="R6933" si="22480">IF(P6933&gt;0,2*(1-2*$F$19-1/2)*D6928/1000,0)</f>
        <v>0</v>
      </c>
      <c r="S6933" s="399" t="s">
        <v>205</v>
      </c>
      <c r="T6933" s="399" t="s">
        <v>125</v>
      </c>
      <c r="U6933" s="401">
        <f t="shared" si="22474"/>
        <v>1.041885</v>
      </c>
      <c r="V6933" s="399"/>
      <c r="W6933" s="399"/>
      <c r="X6933" s="399" t="s">
        <v>125</v>
      </c>
      <c r="Y6933" s="389">
        <f t="shared" ref="Y6933" si="22481">D6931</f>
        <v>1</v>
      </c>
      <c r="Z6933" s="400" t="s">
        <v>176</v>
      </c>
      <c r="AA6933" s="402">
        <f t="shared" ref="AA6933" si="22482">IF(AA6935=0,(D6933*N6933+P6933*R6933)*U6933*Y6933,0)</f>
        <v>0</v>
      </c>
      <c r="AB6933" s="403"/>
    </row>
    <row r="6934" spans="1:28">
      <c r="A6934" s="384" t="str">
        <f t="shared" ref="A6934:B6934" si="22483">A6925</f>
        <v>Lantai Atap</v>
      </c>
      <c r="B6934" s="385">
        <f t="shared" si="22483"/>
        <v>24</v>
      </c>
      <c r="C6934" s="393" t="s">
        <v>202</v>
      </c>
      <c r="D6934" s="398">
        <f>VLOOKUP(D6925,'Detail Balok'!$C$10:$AU$140,10,FALSE)</f>
        <v>2</v>
      </c>
      <c r="E6934" s="388" t="s">
        <v>16</v>
      </c>
      <c r="F6934" s="388">
        <f>VLOOKUP(D6925,'Detail Balok'!$C$10:$AU$140,12,FALSE)</f>
        <v>13</v>
      </c>
      <c r="G6934" s="388"/>
      <c r="H6934" s="395"/>
      <c r="I6934" s="388" t="s">
        <v>203</v>
      </c>
      <c r="J6934" s="399">
        <f t="shared" ref="J6934" si="22484">+D6927/4/1000</f>
        <v>0.48749999999999999</v>
      </c>
      <c r="K6934" s="400" t="s">
        <v>204</v>
      </c>
      <c r="L6934" s="399">
        <f t="shared" ref="L6934" si="22485">MAX(VLOOKUP(F6934,N$6:P$15,3,FALSE)/1000,2/3*D6929/1000)+F$16*F6934/1000</f>
        <v>0.156</v>
      </c>
      <c r="M6934" s="399" t="s">
        <v>176</v>
      </c>
      <c r="N6934" s="399">
        <f t="shared" si="22471"/>
        <v>0.64349999999999996</v>
      </c>
      <c r="O6934" s="399" t="s">
        <v>204</v>
      </c>
      <c r="P6934" s="389">
        <f t="shared" ref="P6934" si="22486">D6934-D6933</f>
        <v>0</v>
      </c>
      <c r="Q6934" s="399" t="s">
        <v>125</v>
      </c>
      <c r="R6934" s="399">
        <f t="shared" ref="R6934" si="22487">IF(P6934&gt;0,$F$18*F6934/1000,0)</f>
        <v>0</v>
      </c>
      <c r="S6934" s="399" t="s">
        <v>205</v>
      </c>
      <c r="T6934" s="399" t="s">
        <v>125</v>
      </c>
      <c r="U6934" s="401">
        <f t="shared" si="22474"/>
        <v>1.041885</v>
      </c>
      <c r="V6934" s="399"/>
      <c r="W6934" s="399"/>
      <c r="X6934" s="399" t="s">
        <v>125</v>
      </c>
      <c r="Y6934" s="389">
        <f t="shared" ref="Y6934" si="22488">D6931</f>
        <v>1</v>
      </c>
      <c r="Z6934" s="400" t="s">
        <v>176</v>
      </c>
      <c r="AA6934" s="402">
        <f t="shared" ref="AA6934" si="22489">IF(AA6935=0,(D6934*N6934+P6934*R6934)*U6934*Y6934,0)</f>
        <v>0</v>
      </c>
      <c r="AB6934" s="403"/>
    </row>
    <row r="6935" spans="1:28">
      <c r="A6935" s="384" t="str">
        <f t="shared" ref="A6935:B6935" si="22490">A6925</f>
        <v>Lantai Atap</v>
      </c>
      <c r="B6935" s="385">
        <f t="shared" si="22490"/>
        <v>24</v>
      </c>
      <c r="C6935" s="393"/>
      <c r="D6935" s="398">
        <f t="shared" si="22386"/>
        <v>2</v>
      </c>
      <c r="E6935" s="388" t="s">
        <v>16</v>
      </c>
      <c r="F6935" s="388">
        <f t="shared" si="22387"/>
        <v>13</v>
      </c>
      <c r="G6935" s="388"/>
      <c r="H6935" s="395"/>
      <c r="I6935" s="388"/>
      <c r="J6935" s="396"/>
      <c r="K6935" s="396"/>
      <c r="L6935" s="404" t="s">
        <v>207</v>
      </c>
      <c r="M6935" s="399" t="s">
        <v>176</v>
      </c>
      <c r="N6935" s="399">
        <f t="shared" ref="N6935" si="22491">IF(AND(D6932=D6933,D6932=D6934,D6933=D6934,F6932=F6933,F6932=F6934,F6933=F6934),SUM(N6932:N6934),0)</f>
        <v>2.262</v>
      </c>
      <c r="O6935" s="399" t="s">
        <v>204</v>
      </c>
      <c r="P6935" s="389">
        <f t="shared" ref="P6935" si="22492">IF(N6935&gt;12,ROUNDDOWN(N6935/12,0),0)</f>
        <v>0</v>
      </c>
      <c r="Q6935" s="399" t="s">
        <v>125</v>
      </c>
      <c r="R6935" s="399">
        <f t="shared" ref="R6935" si="22493">IF(P6935&gt;0,MAX(VLOOKUP(F6935,$D$6:$G$15,3,FALSE),600),0)/1000</f>
        <v>0</v>
      </c>
      <c r="S6935" s="396"/>
      <c r="T6935" s="396" t="s">
        <v>125</v>
      </c>
      <c r="U6935" s="401">
        <f t="shared" si="22391"/>
        <v>1.041885</v>
      </c>
      <c r="V6935" s="396" t="s">
        <v>125</v>
      </c>
      <c r="W6935" s="399">
        <f t="shared" ref="W6935" si="22494">D6935</f>
        <v>2</v>
      </c>
      <c r="X6935" s="399" t="s">
        <v>125</v>
      </c>
      <c r="Y6935" s="389">
        <f t="shared" si="22393"/>
        <v>1</v>
      </c>
      <c r="Z6935" s="400" t="s">
        <v>176</v>
      </c>
      <c r="AA6935" s="402">
        <f t="shared" ref="AA6935" si="22495">(N6935+P6935*R6935/1000)*U6935*W6935*Y6935</f>
        <v>4.7134877399999997</v>
      </c>
      <c r="AB6935" s="390"/>
    </row>
    <row r="6936" spans="1:28">
      <c r="A6936" s="384"/>
      <c r="B6936" s="385"/>
      <c r="C6936" s="393"/>
      <c r="D6936" s="398"/>
      <c r="E6936" s="388"/>
      <c r="F6936" s="388"/>
      <c r="G6936" s="388"/>
      <c r="H6936" s="395"/>
      <c r="I6936" s="388"/>
      <c r="J6936" s="396"/>
      <c r="K6936" s="396"/>
      <c r="L6936" s="404"/>
      <c r="M6936" s="399"/>
      <c r="N6936" s="399"/>
      <c r="O6936" s="396"/>
      <c r="P6936" s="389"/>
      <c r="Q6936" s="396"/>
      <c r="R6936" s="396"/>
      <c r="S6936" s="396"/>
      <c r="T6936" s="396"/>
      <c r="U6936" s="401"/>
      <c r="V6936" s="396"/>
      <c r="W6936" s="399"/>
      <c r="X6936" s="396"/>
      <c r="Y6936" s="389"/>
      <c r="Z6936" s="396"/>
      <c r="AA6936" s="388"/>
      <c r="AB6936" s="390"/>
    </row>
    <row r="6937" spans="1:28">
      <c r="A6937" s="384" t="str">
        <f t="shared" ref="A6937:B6937" si="22496">A6925</f>
        <v>Lantai Atap</v>
      </c>
      <c r="B6937" s="385">
        <f t="shared" si="22496"/>
        <v>24</v>
      </c>
      <c r="C6937" s="393" t="s">
        <v>208</v>
      </c>
      <c r="D6937" s="398">
        <f>VLOOKUP(D6925,'Detail Balok'!$C$10:$AU$140,13,FALSE)</f>
        <v>0</v>
      </c>
      <c r="E6937" s="388" t="s">
        <v>16</v>
      </c>
      <c r="F6937" s="388">
        <f>VLOOKUP(D6925,'Detail Balok'!$C$10:$AU$140,15,FALSE)</f>
        <v>8</v>
      </c>
      <c r="G6937" s="388"/>
      <c r="H6937" s="395"/>
      <c r="I6937" s="388"/>
      <c r="J6937" s="399">
        <f t="shared" ref="J6937" si="22497">+D6927/1000</f>
        <v>1.95</v>
      </c>
      <c r="K6937" s="400" t="s">
        <v>204</v>
      </c>
      <c r="L6937" s="399">
        <f t="shared" ref="L6937" si="22498">2*$F$16*F6937/1000</f>
        <v>0.192</v>
      </c>
      <c r="M6937" s="399" t="s">
        <v>176</v>
      </c>
      <c r="N6937" s="399">
        <f t="shared" ref="N6937" si="22499">J6937+L6937</f>
        <v>2.1419999999999999</v>
      </c>
      <c r="O6937" s="399" t="s">
        <v>204</v>
      </c>
      <c r="P6937" s="389">
        <f t="shared" ref="P6937" si="22500">IF(N6937&gt;12,ROUNDDOWN(N6937/12,0),0)</f>
        <v>0</v>
      </c>
      <c r="Q6937" s="399" t="s">
        <v>125</v>
      </c>
      <c r="R6937" s="399">
        <f t="shared" ref="R6937" si="22501">IF(P6937&gt;0,MAX(VLOOKUP(F6937,$D$6:$G$15,3,FALSE),600),0)/1000</f>
        <v>0</v>
      </c>
      <c r="S6937" s="399"/>
      <c r="T6937" s="399" t="s">
        <v>125</v>
      </c>
      <c r="U6937" s="401">
        <f t="shared" ref="U6937" si="22502">0.006165*F6937^2</f>
        <v>0.39456000000000002</v>
      </c>
      <c r="V6937" s="399" t="s">
        <v>125</v>
      </c>
      <c r="W6937" s="399">
        <f t="shared" ref="W6937" si="22503">+D6937</f>
        <v>0</v>
      </c>
      <c r="X6937" s="399" t="s">
        <v>125</v>
      </c>
      <c r="Y6937" s="389">
        <f t="shared" ref="Y6937" si="22504">D6931</f>
        <v>1</v>
      </c>
      <c r="Z6937" s="400" t="s">
        <v>176</v>
      </c>
      <c r="AA6937" s="402">
        <f t="shared" ref="AA6937" si="22505">(N6937+P6937*R6937/1000)*U6937*W6937*Y6937</f>
        <v>0</v>
      </c>
      <c r="AB6937" s="403"/>
    </row>
    <row r="6938" spans="1:28">
      <c r="A6938" s="384"/>
      <c r="B6938" s="385"/>
      <c r="C6938" s="393"/>
      <c r="D6938" s="398"/>
      <c r="E6938" s="388"/>
      <c r="F6938" s="388"/>
      <c r="G6938" s="388"/>
      <c r="H6938" s="395"/>
      <c r="I6938" s="388"/>
      <c r="J6938" s="399"/>
      <c r="K6938" s="400"/>
      <c r="L6938" s="399"/>
      <c r="M6938" s="399"/>
      <c r="N6938" s="399"/>
      <c r="O6938" s="399"/>
      <c r="P6938" s="389"/>
      <c r="Q6938" s="399"/>
      <c r="R6938" s="399"/>
      <c r="S6938" s="399"/>
      <c r="T6938" s="399"/>
      <c r="U6938" s="401"/>
      <c r="V6938" s="399"/>
      <c r="W6938" s="399"/>
      <c r="X6938" s="399"/>
      <c r="Y6938" s="389"/>
      <c r="Z6938" s="400"/>
      <c r="AA6938" s="402"/>
      <c r="AB6938" s="403"/>
    </row>
    <row r="6939" spans="1:28">
      <c r="A6939" s="384"/>
      <c r="B6939" s="385"/>
      <c r="C6939" s="393"/>
      <c r="D6939" s="398"/>
      <c r="E6939" s="388"/>
      <c r="F6939" s="388"/>
      <c r="G6939" s="388"/>
      <c r="H6939" s="395"/>
      <c r="I6939" s="388"/>
      <c r="J6939" s="396"/>
      <c r="K6939" s="396"/>
      <c r="L6939" s="396"/>
      <c r="M6939" s="396"/>
      <c r="N6939" s="396"/>
      <c r="O6939" s="396"/>
      <c r="P6939" s="389"/>
      <c r="Q6939" s="396"/>
      <c r="R6939" s="396"/>
      <c r="S6939" s="396"/>
      <c r="T6939" s="396"/>
      <c r="U6939" s="401"/>
      <c r="V6939" s="396"/>
      <c r="W6939" s="399"/>
      <c r="X6939" s="396"/>
      <c r="Y6939" s="389"/>
      <c r="Z6939" s="396"/>
      <c r="AA6939" s="388"/>
      <c r="AB6939" s="390"/>
    </row>
    <row r="6940" spans="1:28">
      <c r="A6940" s="384" t="str">
        <f t="shared" ref="A6940:B6940" si="22506">A6925</f>
        <v>Lantai Atap</v>
      </c>
      <c r="B6940" s="385">
        <f t="shared" si="22506"/>
        <v>24</v>
      </c>
      <c r="C6940" s="393" t="s">
        <v>209</v>
      </c>
      <c r="D6940" s="398">
        <f>VLOOKUP(D6925,'Detail Balok'!$C$10:$AU$140,22,FALSE)</f>
        <v>2</v>
      </c>
      <c r="E6940" s="388" t="s">
        <v>16</v>
      </c>
      <c r="F6940" s="388">
        <f>VLOOKUP(D6925,'Detail Balok'!$C$10:$AU$140,24,FALSE)</f>
        <v>13</v>
      </c>
      <c r="G6940" s="388"/>
      <c r="H6940" s="395"/>
      <c r="I6940" s="388" t="s">
        <v>203</v>
      </c>
      <c r="J6940" s="399">
        <f t="shared" si="22406"/>
        <v>0.48749999999999999</v>
      </c>
      <c r="K6940" s="400" t="s">
        <v>204</v>
      </c>
      <c r="L6940" s="399">
        <f t="shared" ref="L6940" si="22507">MAX(VLOOKUP(F6940,N$6:P$15,3,FALSE)/1000,2/3*D6930/1000)+F$16*F6940/1000</f>
        <v>0.156</v>
      </c>
      <c r="M6940" s="399" t="s">
        <v>176</v>
      </c>
      <c r="N6940" s="399">
        <f t="shared" ref="N6940:N6942" si="22508">J6940+L6940</f>
        <v>0.64349999999999996</v>
      </c>
      <c r="O6940" s="399" t="s">
        <v>204</v>
      </c>
      <c r="P6940" s="389">
        <f t="shared" ref="P6940" si="22509">D6940-D6941</f>
        <v>0</v>
      </c>
      <c r="Q6940" s="399" t="s">
        <v>125</v>
      </c>
      <c r="R6940" s="399">
        <f t="shared" ref="R6940" si="22510">IF(P6940&gt;0,$F$18*F6940/1000,0)</f>
        <v>0</v>
      </c>
      <c r="S6940" s="399" t="s">
        <v>205</v>
      </c>
      <c r="T6940" s="399" t="s">
        <v>125</v>
      </c>
      <c r="U6940" s="401">
        <f t="shared" ref="U6940:U6942" si="22511">0.006165*F6940^2</f>
        <v>1.041885</v>
      </c>
      <c r="V6940" s="399"/>
      <c r="W6940" s="399"/>
      <c r="X6940" s="399" t="s">
        <v>125</v>
      </c>
      <c r="Y6940" s="389">
        <f t="shared" ref="Y6940" si="22512">D6931</f>
        <v>1</v>
      </c>
      <c r="Z6940" s="400" t="s">
        <v>176</v>
      </c>
      <c r="AA6940" s="402">
        <f t="shared" ref="AA6940" si="22513">IF(AA6943=0,(D6940*N6940+P6940*R6940)*U6940*Y6940,0)</f>
        <v>0</v>
      </c>
      <c r="AB6940" s="403"/>
    </row>
    <row r="6941" spans="1:28">
      <c r="A6941" s="384" t="str">
        <f t="shared" ref="A6941:B6941" si="22514">A6925</f>
        <v>Lantai Atap</v>
      </c>
      <c r="B6941" s="385">
        <f t="shared" si="22514"/>
        <v>24</v>
      </c>
      <c r="C6941" s="393" t="s">
        <v>210</v>
      </c>
      <c r="D6941" s="398">
        <f>VLOOKUP(D6925,'Detail Balok'!$C$10:$AU$140,25,FALSE)</f>
        <v>2</v>
      </c>
      <c r="E6941" s="388" t="s">
        <v>16</v>
      </c>
      <c r="F6941" s="388">
        <f>VLOOKUP(D6925,'Detail Balok'!$C$10:$AU$140,27,FALSE)</f>
        <v>13</v>
      </c>
      <c r="G6941" s="388"/>
      <c r="H6941" s="395"/>
      <c r="I6941" s="388" t="s">
        <v>203</v>
      </c>
      <c r="J6941" s="399">
        <f t="shared" si="22406"/>
        <v>0.97499999999999998</v>
      </c>
      <c r="K6941" s="400" t="s">
        <v>204</v>
      </c>
      <c r="L6941" s="399"/>
      <c r="M6941" s="399" t="s">
        <v>176</v>
      </c>
      <c r="N6941" s="399">
        <f t="shared" si="22508"/>
        <v>0.97499999999999998</v>
      </c>
      <c r="O6941" s="399" t="s">
        <v>204</v>
      </c>
      <c r="P6941" s="389">
        <f t="shared" ref="P6941" si="22515">MAX(D6941-D6940,D6941-D6942)</f>
        <v>0</v>
      </c>
      <c r="Q6941" s="399" t="s">
        <v>125</v>
      </c>
      <c r="R6941" s="399">
        <f t="shared" ref="R6941" si="22516">IF(P6941&gt;0,2*(1-2*$F$19-1/2)*D6928/1000,0)</f>
        <v>0</v>
      </c>
      <c r="S6941" s="399" t="s">
        <v>205</v>
      </c>
      <c r="T6941" s="399" t="s">
        <v>125</v>
      </c>
      <c r="U6941" s="401">
        <f t="shared" si="22511"/>
        <v>1.041885</v>
      </c>
      <c r="V6941" s="399"/>
      <c r="W6941" s="399"/>
      <c r="X6941" s="399" t="s">
        <v>125</v>
      </c>
      <c r="Y6941" s="389">
        <f t="shared" ref="Y6941" si="22517">D6931</f>
        <v>1</v>
      </c>
      <c r="Z6941" s="400" t="s">
        <v>176</v>
      </c>
      <c r="AA6941" s="402">
        <f t="shared" ref="AA6941" si="22518">IF(AA6943=0,(D6941*N6941+P6941*R6941)*U6941*Y6941,0)</f>
        <v>0</v>
      </c>
      <c r="AB6941" s="403"/>
    </row>
    <row r="6942" spans="1:28">
      <c r="A6942" s="384" t="str">
        <f t="shared" ref="A6942:B6942" si="22519">A6925</f>
        <v>Lantai Atap</v>
      </c>
      <c r="B6942" s="385">
        <f t="shared" si="22519"/>
        <v>24</v>
      </c>
      <c r="C6942" s="393" t="s">
        <v>209</v>
      </c>
      <c r="D6942" s="398">
        <f>VLOOKUP(D6925,'Detail Balok'!$C$10:$AU$140,28,FALSE)</f>
        <v>2</v>
      </c>
      <c r="E6942" s="388" t="s">
        <v>16</v>
      </c>
      <c r="F6942" s="388">
        <f>VLOOKUP(D6925,'Detail Balok'!$C$10:$AU$140,30,FALSE)</f>
        <v>13</v>
      </c>
      <c r="G6942" s="388"/>
      <c r="H6942" s="395"/>
      <c r="I6942" s="388" t="s">
        <v>203</v>
      </c>
      <c r="J6942" s="399">
        <f t="shared" si="22406"/>
        <v>0.48749999999999999</v>
      </c>
      <c r="K6942" s="400" t="s">
        <v>204</v>
      </c>
      <c r="L6942" s="399">
        <f t="shared" ref="L6942" si="22520">MAX(VLOOKUP(F6942,N$6:P$15,3,FALSE)/1000,2/3*D6930/1000)+F$16*F6942/1000</f>
        <v>0.156</v>
      </c>
      <c r="M6942" s="399" t="s">
        <v>176</v>
      </c>
      <c r="N6942" s="399">
        <f t="shared" si="22508"/>
        <v>0.64349999999999996</v>
      </c>
      <c r="O6942" s="399" t="s">
        <v>204</v>
      </c>
      <c r="P6942" s="389">
        <f t="shared" ref="P6942" si="22521">D6942-D6941</f>
        <v>0</v>
      </c>
      <c r="Q6942" s="399" t="s">
        <v>125</v>
      </c>
      <c r="R6942" s="399">
        <f t="shared" ref="R6942" si="22522">IF(P6942&gt;0,$F$18*F6942/1000,0)</f>
        <v>0</v>
      </c>
      <c r="S6942" s="399" t="s">
        <v>205</v>
      </c>
      <c r="T6942" s="399" t="s">
        <v>125</v>
      </c>
      <c r="U6942" s="401">
        <f t="shared" si="22511"/>
        <v>1.041885</v>
      </c>
      <c r="V6942" s="399"/>
      <c r="W6942" s="399"/>
      <c r="X6942" s="399" t="s">
        <v>125</v>
      </c>
      <c r="Y6942" s="389">
        <f t="shared" ref="Y6942" si="22523">D6931</f>
        <v>1</v>
      </c>
      <c r="Z6942" s="400" t="s">
        <v>176</v>
      </c>
      <c r="AA6942" s="402">
        <f t="shared" ref="AA6942" si="22524">IF(AA6943=0,(D6942*N6942+P6942*R6942)*U6942*Y6942,0)</f>
        <v>0</v>
      </c>
      <c r="AB6942" s="403"/>
    </row>
    <row r="6943" spans="1:28">
      <c r="A6943" s="384" t="str">
        <f t="shared" ref="A6943:B6943" si="22525">A6925</f>
        <v>Lantai Atap</v>
      </c>
      <c r="B6943" s="385">
        <f t="shared" si="22525"/>
        <v>24</v>
      </c>
      <c r="C6943" s="393"/>
      <c r="D6943" s="398">
        <f t="shared" si="22426"/>
        <v>2</v>
      </c>
      <c r="E6943" s="388" t="s">
        <v>16</v>
      </c>
      <c r="F6943" s="388">
        <f t="shared" si="22427"/>
        <v>13</v>
      </c>
      <c r="G6943" s="388"/>
      <c r="H6943" s="395"/>
      <c r="I6943" s="388"/>
      <c r="J6943" s="396"/>
      <c r="K6943" s="396"/>
      <c r="L6943" s="404" t="s">
        <v>207</v>
      </c>
      <c r="M6943" s="399" t="s">
        <v>176</v>
      </c>
      <c r="N6943" s="399">
        <f t="shared" ref="N6943" si="22526">IF(AND(D6940=D6941,D6940=D6942,D6941=D6942,F6940=F6941,F6940=F6942,F6941=F6942),SUM(N6940:N6942),0)</f>
        <v>2.262</v>
      </c>
      <c r="O6943" s="399" t="s">
        <v>204</v>
      </c>
      <c r="P6943" s="389">
        <f t="shared" ref="P6943" si="22527">IF(N6943&gt;12,ROUNDDOWN(N6943/12,0),0)</f>
        <v>0</v>
      </c>
      <c r="Q6943" s="399" t="s">
        <v>125</v>
      </c>
      <c r="R6943" s="399">
        <f t="shared" ref="R6943" si="22528">IF(P6943&gt;0,MAX(VLOOKUP(F6943,$D$6:$G$15,3,FALSE),600),0)/1000</f>
        <v>0</v>
      </c>
      <c r="S6943" s="396"/>
      <c r="T6943" s="396" t="s">
        <v>125</v>
      </c>
      <c r="U6943" s="401">
        <f t="shared" si="22431"/>
        <v>1.041885</v>
      </c>
      <c r="V6943" s="396" t="s">
        <v>125</v>
      </c>
      <c r="W6943" s="399">
        <f t="shared" ref="W6943" si="22529">D6943</f>
        <v>2</v>
      </c>
      <c r="X6943" s="399" t="s">
        <v>125</v>
      </c>
      <c r="Y6943" s="389">
        <f t="shared" si="22433"/>
        <v>1</v>
      </c>
      <c r="Z6943" s="400" t="s">
        <v>176</v>
      </c>
      <c r="AA6943" s="402">
        <f t="shared" ref="AA6943" si="22530">(N6943+P6943*R6943/1000)*U6943*W6943*Y6943</f>
        <v>4.7134877399999997</v>
      </c>
      <c r="AB6943" s="403"/>
    </row>
    <row r="6944" spans="1:28">
      <c r="A6944" s="384"/>
      <c r="B6944" s="385"/>
      <c r="C6944" s="393"/>
      <c r="D6944" s="394"/>
      <c r="E6944" s="388"/>
      <c r="F6944" s="388"/>
      <c r="G6944" s="388"/>
      <c r="H6944" s="395"/>
      <c r="I6944" s="388"/>
      <c r="J6944" s="399"/>
      <c r="K6944" s="396"/>
      <c r="L6944" s="396"/>
      <c r="M6944" s="396"/>
      <c r="N6944" s="396"/>
      <c r="O6944" s="396"/>
      <c r="P6944" s="389"/>
      <c r="Q6944" s="396"/>
      <c r="R6944" s="396"/>
      <c r="S6944" s="396"/>
      <c r="T6944" s="396"/>
      <c r="U6944" s="401"/>
      <c r="V6944" s="396"/>
      <c r="W6944" s="388"/>
      <c r="X6944" s="396"/>
      <c r="Y6944" s="389"/>
      <c r="Z6944" s="396"/>
      <c r="AA6944" s="388"/>
      <c r="AB6944" s="390"/>
    </row>
    <row r="6945" spans="1:28">
      <c r="A6945" s="384" t="str">
        <f t="shared" ref="A6945:B6945" si="22531">A6925</f>
        <v>Lantai Atap</v>
      </c>
      <c r="B6945" s="385">
        <f t="shared" si="22531"/>
        <v>24</v>
      </c>
      <c r="C6945" s="393" t="s">
        <v>211</v>
      </c>
      <c r="D6945" s="398">
        <f>VLOOKUP(D6925,'Detail Balok'!$C$10:$AU$140,31,FALSE)</f>
        <v>0</v>
      </c>
      <c r="E6945" s="388" t="s">
        <v>16</v>
      </c>
      <c r="F6945" s="388">
        <f>VLOOKUP(D6925,'Detail Balok'!$C$10:$AU$140,33,FALSE)</f>
        <v>8</v>
      </c>
      <c r="G6945" s="405" t="s">
        <v>157</v>
      </c>
      <c r="H6945" s="395">
        <f>VLOOKUP(D6925,'Detail Balok'!$C$10:$AU$140,35,FALSE)</f>
        <v>150</v>
      </c>
      <c r="I6945" s="388"/>
      <c r="J6945" s="400">
        <f t="shared" ref="J6945" si="22532">(IF(D6945=0,(2*(D6926+G6926))-(F$5*8),IF(D6945=3,(2*(D6926+G6926))-(F$5*8)+(G6926-2*F$5),IF(D6945=4,(2*(D6926+G6926))-(F$5*8)+2*(G6926-2*F$5)))))/1000</f>
        <v>0.74</v>
      </c>
      <c r="K6945" s="400" t="s">
        <v>204</v>
      </c>
      <c r="L6945" s="399">
        <f t="shared" ref="L6945:L6947" si="22533">IF(D6945=0,2*MAX(6*F6945,75),(D6945-1)*2*MAX(6*F6945,75))/1000</f>
        <v>0.15</v>
      </c>
      <c r="M6945" s="399" t="s">
        <v>176</v>
      </c>
      <c r="N6945" s="399">
        <f t="shared" ref="N6945:N6947" si="22534">J6945+L6945</f>
        <v>0.89</v>
      </c>
      <c r="O6945" s="399"/>
      <c r="P6945" s="389"/>
      <c r="Q6945" s="399"/>
      <c r="R6945" s="399"/>
      <c r="S6945" s="399"/>
      <c r="T6945" s="399" t="s">
        <v>125</v>
      </c>
      <c r="U6945" s="401">
        <f t="shared" ref="U6945:U6947" si="22535">0.006165*F6945^2</f>
        <v>0.39456000000000002</v>
      </c>
      <c r="V6945" s="399" t="s">
        <v>125</v>
      </c>
      <c r="W6945" s="399">
        <f t="shared" ref="W6945" si="22536">IF(D6928&gt;4*G6926,ROUND(MAX(D6928/4,2*G6926)/H6945,0)+1,ROUND(D6928/H6945,0)+1)</f>
        <v>6</v>
      </c>
      <c r="X6945" s="399" t="s">
        <v>125</v>
      </c>
      <c r="Y6945" s="389">
        <f t="shared" ref="Y6945" si="22537">D6931</f>
        <v>1</v>
      </c>
      <c r="Z6945" s="400" t="s">
        <v>176</v>
      </c>
      <c r="AA6945" s="402">
        <f t="shared" ref="AA6945:AA6947" si="22538">N6945*U6945*W6945*Y6945</f>
        <v>2.1069504000000001</v>
      </c>
      <c r="AB6945" s="403"/>
    </row>
    <row r="6946" spans="1:28">
      <c r="A6946" s="384" t="str">
        <f t="shared" ref="A6946:B6946" si="22539">A6925</f>
        <v>Lantai Atap</v>
      </c>
      <c r="B6946" s="385">
        <f t="shared" si="22539"/>
        <v>24</v>
      </c>
      <c r="C6946" s="393" t="s">
        <v>212</v>
      </c>
      <c r="D6946" s="398">
        <f>VLOOKUP(D6925,'Detail Balok'!$C$10:$AU$140,36,FALSE)</f>
        <v>0</v>
      </c>
      <c r="E6946" s="388" t="s">
        <v>16</v>
      </c>
      <c r="F6946" s="388">
        <f>VLOOKUP(D6925,'Detail Balok'!$C$10:$AU$140,38,FALSE)</f>
        <v>8</v>
      </c>
      <c r="G6946" s="405" t="s">
        <v>157</v>
      </c>
      <c r="H6946" s="395">
        <f>VLOOKUP(D6925,'Detail Balok'!$C$10:$AU$140,40,FALSE)</f>
        <v>200</v>
      </c>
      <c r="I6946" s="388"/>
      <c r="J6946" s="400">
        <f t="shared" ref="J6946" si="22540">(IF(D6946=0,(2*(D6926+G6926))-(F$5*8),IF(D6946=3,(2*(D6926+G6926))-(F$5*8)+(G6926-2*F$5),IF(D6946=4,(2*(D6926+G6926))-(F$5*8)+2*(G6926-2*F$5)))))/1000</f>
        <v>0.74</v>
      </c>
      <c r="K6946" s="400" t="s">
        <v>204</v>
      </c>
      <c r="L6946" s="399">
        <f t="shared" si="22533"/>
        <v>0.15</v>
      </c>
      <c r="M6946" s="399" t="s">
        <v>176</v>
      </c>
      <c r="N6946" s="399">
        <f t="shared" si="22534"/>
        <v>0.89</v>
      </c>
      <c r="O6946" s="399"/>
      <c r="P6946" s="389"/>
      <c r="Q6946" s="399"/>
      <c r="R6946" s="399"/>
      <c r="S6946" s="399"/>
      <c r="T6946" s="399" t="s">
        <v>125</v>
      </c>
      <c r="U6946" s="401">
        <f t="shared" si="22535"/>
        <v>0.39456000000000002</v>
      </c>
      <c r="V6946" s="399" t="s">
        <v>125</v>
      </c>
      <c r="W6946" s="399">
        <f t="shared" ref="W6946" si="22541">IF(D6928-MAX(D6928/4,2*G6926)*2&gt;0,ROUND((D6928-MAX(D6928/4,2*G6926)*2)/H6946,0),0)</f>
        <v>2</v>
      </c>
      <c r="X6946" s="399" t="s">
        <v>125</v>
      </c>
      <c r="Y6946" s="389">
        <f t="shared" ref="Y6946" si="22542">D6931</f>
        <v>1</v>
      </c>
      <c r="Z6946" s="400" t="s">
        <v>176</v>
      </c>
      <c r="AA6946" s="402">
        <f t="shared" si="22538"/>
        <v>0.70231680000000007</v>
      </c>
      <c r="AB6946" s="403"/>
    </row>
    <row r="6947" spans="1:28">
      <c r="A6947" s="384" t="str">
        <f t="shared" ref="A6947:B6947" si="22543">A6925</f>
        <v>Lantai Atap</v>
      </c>
      <c r="B6947" s="385">
        <f t="shared" si="22543"/>
        <v>24</v>
      </c>
      <c r="C6947" s="393" t="s">
        <v>211</v>
      </c>
      <c r="D6947" s="398">
        <f>VLOOKUP(D6925,'Detail Balok'!$C$10:$AU$140,41,FALSE)</f>
        <v>0</v>
      </c>
      <c r="E6947" s="388" t="s">
        <v>16</v>
      </c>
      <c r="F6947" s="388">
        <f>VLOOKUP(D6925,'Detail Balok'!$C$10:$AU$140,43,FALSE)</f>
        <v>8</v>
      </c>
      <c r="G6947" s="405" t="s">
        <v>157</v>
      </c>
      <c r="H6947" s="395">
        <f>VLOOKUP(D6925,'Detail Balok'!$C$10:$AU$140,45,FALSE)</f>
        <v>150</v>
      </c>
      <c r="I6947" s="388"/>
      <c r="J6947" s="400">
        <f t="shared" ref="J6947" si="22544">(IF(D6947=0,(2*(D6926+G6926))-(F$5*8),IF(D6947=3,(2*(D6926+G6926))-(F$5*8)+(G6926-2*F$5),IF(D6947=4,(2*(D6926+G6926))-(F$5*8)+2*(G6926-2*F$5)))))/1000</f>
        <v>0.74</v>
      </c>
      <c r="K6947" s="400" t="s">
        <v>204</v>
      </c>
      <c r="L6947" s="399">
        <f t="shared" si="22533"/>
        <v>0.15</v>
      </c>
      <c r="M6947" s="399" t="s">
        <v>176</v>
      </c>
      <c r="N6947" s="399">
        <f t="shared" si="22534"/>
        <v>0.89</v>
      </c>
      <c r="O6947" s="399"/>
      <c r="P6947" s="389"/>
      <c r="Q6947" s="399"/>
      <c r="R6947" s="399"/>
      <c r="S6947" s="399"/>
      <c r="T6947" s="399" t="s">
        <v>125</v>
      </c>
      <c r="U6947" s="401">
        <f t="shared" si="22535"/>
        <v>0.39456000000000002</v>
      </c>
      <c r="V6947" s="399" t="s">
        <v>125</v>
      </c>
      <c r="W6947" s="399">
        <f t="shared" ref="W6947" si="22545">IF(D6928&gt;4*G6926,ROUND(MAX(D6928/4,2*G6926)/H6947,0)+1,0)</f>
        <v>6</v>
      </c>
      <c r="X6947" s="399" t="s">
        <v>125</v>
      </c>
      <c r="Y6947" s="389">
        <f t="shared" ref="Y6947" si="22546">D6931</f>
        <v>1</v>
      </c>
      <c r="Z6947" s="400" t="s">
        <v>176</v>
      </c>
      <c r="AA6947" s="402">
        <f t="shared" si="22538"/>
        <v>2.1069504000000001</v>
      </c>
      <c r="AB6947" s="403"/>
    </row>
    <row r="6948" spans="1:28">
      <c r="A6948" s="384"/>
      <c r="B6948" s="385"/>
      <c r="C6948" s="393"/>
      <c r="D6948" s="394"/>
      <c r="E6948" s="388"/>
      <c r="F6948" s="388"/>
      <c r="G6948" s="388"/>
      <c r="H6948" s="395"/>
      <c r="I6948" s="388"/>
      <c r="J6948" s="399"/>
      <c r="K6948" s="396"/>
      <c r="L6948" s="396"/>
      <c r="M6948" s="396"/>
      <c r="N6948" s="396"/>
      <c r="O6948" s="396"/>
      <c r="P6948" s="389"/>
      <c r="Q6948" s="396"/>
      <c r="R6948" s="396"/>
      <c r="S6948" s="396"/>
      <c r="T6948" s="396"/>
      <c r="U6948" s="401"/>
      <c r="V6948" s="396"/>
      <c r="W6948" s="388"/>
      <c r="X6948" s="396"/>
      <c r="Y6948" s="389"/>
      <c r="Z6948" s="396"/>
      <c r="AA6948" s="388"/>
      <c r="AB6948" s="390"/>
    </row>
    <row r="6949" spans="1:28">
      <c r="A6949" s="384" t="str">
        <f t="shared" ref="A6949:B6949" si="22547">A6925</f>
        <v>Lantai Atap</v>
      </c>
      <c r="B6949" s="385">
        <f t="shared" si="22547"/>
        <v>24</v>
      </c>
      <c r="C6949" s="393" t="s">
        <v>213</v>
      </c>
      <c r="D6949" s="398">
        <f>VLOOKUP(D6925,'Detail Balok'!$C$10:$BJ$140,46,FALSE)</f>
        <v>0</v>
      </c>
      <c r="E6949" s="388" t="s">
        <v>16</v>
      </c>
      <c r="F6949" s="388">
        <f>VLOOKUP(D6925,'Detail Balok'!$C$10:$BJ$140,48,FALSE)</f>
        <v>0</v>
      </c>
      <c r="G6949" s="405" t="s">
        <v>157</v>
      </c>
      <c r="H6949" s="395">
        <f>VLOOKUP(D6925,'Detail Balok'!$C$10:$BJ$140,50,FALSE)</f>
        <v>100</v>
      </c>
      <c r="I6949" s="388"/>
      <c r="J6949" s="399">
        <f t="shared" ref="J6949" si="22548">(D6926-2*F$5)/1000</f>
        <v>0.05</v>
      </c>
      <c r="K6949" s="400" t="s">
        <v>204</v>
      </c>
      <c r="L6949" s="399">
        <f t="shared" ref="L6949:L6951" si="22549">IF(D6949=0,2*MAX(6*F6949,75),(D6949-1)*2*MAX(6*F6949,75))/1000</f>
        <v>0.15</v>
      </c>
      <c r="M6949" s="399" t="s">
        <v>176</v>
      </c>
      <c r="N6949" s="399">
        <f t="shared" ref="N6949:N6951" si="22550">J6949+L6949</f>
        <v>0.2</v>
      </c>
      <c r="O6949" s="399"/>
      <c r="P6949" s="399"/>
      <c r="Q6949" s="399"/>
      <c r="R6949" s="399"/>
      <c r="S6949" s="399"/>
      <c r="T6949" s="399" t="s">
        <v>125</v>
      </c>
      <c r="U6949" s="401">
        <f t="shared" ref="U6949:U6951" si="22551">0.006165*F6949^2</f>
        <v>0</v>
      </c>
      <c r="V6949" s="399" t="s">
        <v>125</v>
      </c>
      <c r="W6949" s="399">
        <f t="shared" si="22456"/>
        <v>6</v>
      </c>
      <c r="X6949" s="399" t="s">
        <v>125</v>
      </c>
      <c r="Y6949" s="389">
        <f t="shared" ref="Y6949" si="22552">D6935</f>
        <v>2</v>
      </c>
      <c r="Z6949" s="400" t="s">
        <v>176</v>
      </c>
      <c r="AA6949" s="402">
        <f t="shared" ref="AA6949:AA6951" si="22553">N6949*U6949*W6949*Y6949</f>
        <v>0</v>
      </c>
      <c r="AB6949" s="403"/>
    </row>
    <row r="6950" spans="1:28">
      <c r="A6950" s="384" t="str">
        <f t="shared" ref="A6950:B6950" si="22554">A6925</f>
        <v>Lantai Atap</v>
      </c>
      <c r="B6950" s="385">
        <f t="shared" si="22554"/>
        <v>24</v>
      </c>
      <c r="C6950" s="393" t="s">
        <v>214</v>
      </c>
      <c r="D6950" s="398">
        <f>VLOOKUP(D6925,'Detail Balok'!$C$10:$BJ$140,51,FALSE)</f>
        <v>0</v>
      </c>
      <c r="E6950" s="388" t="s">
        <v>16</v>
      </c>
      <c r="F6950" s="388">
        <f>VLOOKUP(D6925,'Detail Balok'!$C$10:$BJ$140,53,FALSE)</f>
        <v>0</v>
      </c>
      <c r="G6950" s="405" t="s">
        <v>157</v>
      </c>
      <c r="H6950" s="395">
        <f>VLOOKUP(D6925,'Detail Balok'!$C$10:$BJ$140,55,FALSE)</f>
        <v>100</v>
      </c>
      <c r="I6950" s="388"/>
      <c r="J6950" s="399">
        <f t="shared" ref="J6950" si="22555">(D6926-2*F$5)/1000</f>
        <v>0.05</v>
      </c>
      <c r="K6950" s="400" t="s">
        <v>204</v>
      </c>
      <c r="L6950" s="399">
        <f t="shared" si="22549"/>
        <v>0.15</v>
      </c>
      <c r="M6950" s="399" t="s">
        <v>176</v>
      </c>
      <c r="N6950" s="399">
        <f t="shared" si="22550"/>
        <v>0.2</v>
      </c>
      <c r="O6950" s="399"/>
      <c r="P6950" s="399"/>
      <c r="Q6950" s="399"/>
      <c r="R6950" s="399"/>
      <c r="S6950" s="399"/>
      <c r="T6950" s="399" t="s">
        <v>125</v>
      </c>
      <c r="U6950" s="401">
        <f t="shared" si="22551"/>
        <v>0</v>
      </c>
      <c r="V6950" s="399" t="s">
        <v>125</v>
      </c>
      <c r="W6950" s="399">
        <f t="shared" si="22456"/>
        <v>2</v>
      </c>
      <c r="X6950" s="399" t="s">
        <v>125</v>
      </c>
      <c r="Y6950" s="389">
        <f t="shared" ref="Y6950" si="22556">D6935</f>
        <v>2</v>
      </c>
      <c r="Z6950" s="400" t="s">
        <v>176</v>
      </c>
      <c r="AA6950" s="402">
        <f t="shared" si="22553"/>
        <v>0</v>
      </c>
      <c r="AB6950" s="403"/>
    </row>
    <row r="6951" spans="1:28">
      <c r="A6951" s="384" t="str">
        <f t="shared" ref="A6951:B6951" si="22557">A6925</f>
        <v>Lantai Atap</v>
      </c>
      <c r="B6951" s="385">
        <f t="shared" si="22557"/>
        <v>24</v>
      </c>
      <c r="C6951" s="393" t="s">
        <v>213</v>
      </c>
      <c r="D6951" s="398">
        <f>VLOOKUP(D6925,'Detail Balok'!$C$10:$BJ$140,56,FALSE)</f>
        <v>0</v>
      </c>
      <c r="E6951" s="388" t="s">
        <v>16</v>
      </c>
      <c r="F6951" s="388">
        <f>VLOOKUP(D6925,'Detail Balok'!$C$10:$BJ$140,58,FALSE)</f>
        <v>0</v>
      </c>
      <c r="G6951" s="405" t="s">
        <v>157</v>
      </c>
      <c r="H6951" s="395">
        <f>VLOOKUP(D6925,'Detail Balok'!$C$10:$BJ$140,60,FALSE)</f>
        <v>100</v>
      </c>
      <c r="I6951" s="388"/>
      <c r="J6951" s="399">
        <f t="shared" ref="J6951" si="22558">(D6926-2*F$5)/1000</f>
        <v>0.05</v>
      </c>
      <c r="K6951" s="400" t="s">
        <v>204</v>
      </c>
      <c r="L6951" s="399">
        <f t="shared" si="22549"/>
        <v>0.15</v>
      </c>
      <c r="M6951" s="399" t="s">
        <v>176</v>
      </c>
      <c r="N6951" s="399">
        <f t="shared" si="22550"/>
        <v>0.2</v>
      </c>
      <c r="O6951" s="399"/>
      <c r="P6951" s="399"/>
      <c r="Q6951" s="399"/>
      <c r="R6951" s="399"/>
      <c r="S6951" s="399"/>
      <c r="T6951" s="399" t="s">
        <v>125</v>
      </c>
      <c r="U6951" s="401">
        <f t="shared" si="22551"/>
        <v>0</v>
      </c>
      <c r="V6951" s="399" t="s">
        <v>125</v>
      </c>
      <c r="W6951" s="399">
        <f t="shared" si="22456"/>
        <v>6</v>
      </c>
      <c r="X6951" s="399" t="s">
        <v>125</v>
      </c>
      <c r="Y6951" s="389">
        <f t="shared" ref="Y6951" si="22559">D6935</f>
        <v>2</v>
      </c>
      <c r="Z6951" s="400" t="s">
        <v>176</v>
      </c>
      <c r="AA6951" s="402">
        <f t="shared" si="22553"/>
        <v>0</v>
      </c>
      <c r="AB6951" s="403"/>
    </row>
    <row r="6952" spans="1:28">
      <c r="A6952" s="391"/>
      <c r="B6952" s="392"/>
      <c r="C6952" s="392"/>
      <c r="D6952" s="394"/>
      <c r="E6952" s="388"/>
      <c r="F6952" s="388"/>
      <c r="G6952" s="388"/>
      <c r="H6952" s="395"/>
      <c r="I6952" s="388"/>
      <c r="J6952" s="402"/>
      <c r="K6952" s="388"/>
      <c r="L6952" s="388"/>
      <c r="M6952" s="388"/>
      <c r="N6952" s="388"/>
      <c r="O6952" s="388"/>
      <c r="P6952" s="388"/>
      <c r="Q6952" s="388"/>
      <c r="R6952" s="388"/>
      <c r="S6952" s="388"/>
      <c r="T6952" s="388"/>
      <c r="U6952" s="388"/>
      <c r="V6952" s="388"/>
      <c r="W6952" s="388"/>
      <c r="X6952" s="388"/>
      <c r="Y6952" s="389"/>
      <c r="Z6952" s="388"/>
      <c r="AA6952" s="402"/>
      <c r="AB6952" s="403"/>
    </row>
    <row r="6953" spans="1:28" ht="15.75" thickBot="1">
      <c r="A6953" s="406"/>
      <c r="B6953" s="407"/>
      <c r="C6953" s="407"/>
      <c r="D6953" s="408"/>
      <c r="E6953" s="409"/>
      <c r="F6953" s="409"/>
      <c r="G6953" s="409"/>
      <c r="H6953" s="410"/>
      <c r="I6953" s="409"/>
      <c r="J6953" s="409"/>
      <c r="K6953" s="409"/>
      <c r="L6953" s="409"/>
      <c r="M6953" s="409"/>
      <c r="N6953" s="409"/>
      <c r="O6953" s="409"/>
      <c r="P6953" s="409"/>
      <c r="Q6953" s="409"/>
      <c r="R6953" s="409"/>
      <c r="S6953" s="409"/>
      <c r="T6953" s="409"/>
      <c r="U6953" s="409"/>
      <c r="V6953" s="409"/>
      <c r="W6953" s="409"/>
      <c r="X6953" s="409"/>
      <c r="Y6953" s="411"/>
      <c r="Z6953" s="409"/>
      <c r="AA6953" s="412"/>
      <c r="AB6953" s="413"/>
    </row>
    <row r="6954" spans="1:28">
      <c r="A6954" s="377"/>
      <c r="B6954" s="378"/>
      <c r="C6954" s="378"/>
      <c r="D6954" s="379"/>
      <c r="E6954" s="380"/>
      <c r="F6954" s="380"/>
      <c r="G6954" s="380"/>
      <c r="H6954" s="381"/>
      <c r="I6954" s="380"/>
      <c r="J6954" s="380"/>
      <c r="K6954" s="380"/>
      <c r="L6954" s="380"/>
      <c r="M6954" s="380"/>
      <c r="N6954" s="380"/>
      <c r="O6954" s="380"/>
      <c r="P6954" s="380"/>
      <c r="Q6954" s="380"/>
      <c r="R6954" s="380"/>
      <c r="S6954" s="380"/>
      <c r="T6954" s="380"/>
      <c r="U6954" s="380"/>
      <c r="V6954" s="380"/>
      <c r="W6954" s="380"/>
      <c r="X6954" s="380"/>
      <c r="Y6954" s="382"/>
      <c r="Z6954" s="380"/>
      <c r="AA6954" s="380"/>
      <c r="AB6954" s="383"/>
    </row>
    <row r="6955" spans="1:28">
      <c r="A6955" s="384" t="str">
        <f t="shared" si="22465"/>
        <v>Lantai Atap</v>
      </c>
      <c r="B6955" s="385">
        <f t="shared" si="22466"/>
        <v>25</v>
      </c>
      <c r="C6955" s="386" t="str">
        <f t="shared" ref="C6955" si="22560">CONCATENATE(A6955," no. ",B6955)</f>
        <v>Lantai Atap no. 25</v>
      </c>
      <c r="D6955" s="2562" t="str">
        <f>VLOOKUP(C6955,'Data Panjang Balok'!$C$9:$N$254,2,FALSE)</f>
        <v>B4-1</v>
      </c>
      <c r="E6955" s="2576"/>
      <c r="F6955" s="2576"/>
      <c r="G6955" s="2576"/>
      <c r="H6955" s="2577"/>
      <c r="I6955" s="387"/>
      <c r="J6955" s="388"/>
      <c r="K6955" s="388"/>
      <c r="L6955" s="388"/>
      <c r="M6955" s="388"/>
      <c r="N6955" s="388"/>
      <c r="O6955" s="388"/>
      <c r="P6955" s="388"/>
      <c r="Q6955" s="388"/>
      <c r="R6955" s="388"/>
      <c r="S6955" s="388"/>
      <c r="T6955" s="388"/>
      <c r="U6955" s="388"/>
      <c r="V6955" s="388"/>
      <c r="W6955" s="388"/>
      <c r="X6955" s="388"/>
      <c r="Y6955" s="389"/>
      <c r="Z6955" s="388"/>
      <c r="AA6955" s="388"/>
      <c r="AB6955" s="390"/>
    </row>
    <row r="6956" spans="1:28">
      <c r="A6956" s="391"/>
      <c r="B6956" s="392"/>
      <c r="C6956" s="393" t="s">
        <v>118</v>
      </c>
      <c r="D6956" s="2578">
        <f>VLOOKUP(D6955,'Detail Balok'!$C$10:$AU$140,2,FALSE)</f>
        <v>130</v>
      </c>
      <c r="E6956" s="2579"/>
      <c r="F6956" s="388" t="s">
        <v>125</v>
      </c>
      <c r="G6956" s="2579">
        <f>VLOOKUP(D6955,'Detail Balok'!$C$10:$AU$140,3,FALSE)</f>
        <v>400</v>
      </c>
      <c r="H6956" s="2580"/>
      <c r="I6956" s="388"/>
      <c r="J6956" s="396"/>
      <c r="K6956" s="396"/>
      <c r="L6956" s="396"/>
      <c r="M6956" s="396"/>
      <c r="N6956" s="396"/>
      <c r="O6956" s="396"/>
      <c r="P6956" s="396"/>
      <c r="Q6956" s="396"/>
      <c r="R6956" s="396"/>
      <c r="S6956" s="396"/>
      <c r="T6956" s="396"/>
      <c r="U6956" s="388"/>
      <c r="V6956" s="396"/>
      <c r="W6956" s="388"/>
      <c r="X6956" s="396"/>
      <c r="Y6956" s="389"/>
      <c r="Z6956" s="396"/>
      <c r="AA6956" s="388"/>
      <c r="AB6956" s="390"/>
    </row>
    <row r="6957" spans="1:28">
      <c r="A6957" s="391"/>
      <c r="B6957" s="392"/>
      <c r="C6957" s="393" t="s">
        <v>198</v>
      </c>
      <c r="D6957" s="2562">
        <f>VLOOKUP(C6955,'Data Panjang Balok'!$C$9:$N$254,4,FALSE)</f>
        <v>2600</v>
      </c>
      <c r="E6957" s="2563"/>
      <c r="F6957" s="2563"/>
      <c r="G6957" s="2563"/>
      <c r="H6957" s="2564"/>
      <c r="I6957" s="397"/>
      <c r="J6957" s="396"/>
      <c r="K6957" s="396"/>
      <c r="L6957" s="396"/>
      <c r="M6957" s="396"/>
      <c r="N6957" s="396"/>
      <c r="O6957" s="396"/>
      <c r="P6957" s="396"/>
      <c r="Q6957" s="396"/>
      <c r="R6957" s="396"/>
      <c r="S6957" s="396"/>
      <c r="T6957" s="396"/>
      <c r="U6957" s="388"/>
      <c r="V6957" s="396"/>
      <c r="W6957" s="388"/>
      <c r="X6957" s="396"/>
      <c r="Y6957" s="389"/>
      <c r="Z6957" s="396"/>
      <c r="AA6957" s="388"/>
      <c r="AB6957" s="390"/>
    </row>
    <row r="6958" spans="1:28">
      <c r="A6958" s="391"/>
      <c r="B6958" s="392"/>
      <c r="C6958" s="393" t="s">
        <v>199</v>
      </c>
      <c r="D6958" s="2562">
        <f>VLOOKUP(C6955,'Data Panjang Balok'!$C$9:$N$254,7,FALSE)</f>
        <v>2600</v>
      </c>
      <c r="E6958" s="2563"/>
      <c r="F6958" s="2563"/>
      <c r="G6958" s="2563"/>
      <c r="H6958" s="2564"/>
      <c r="I6958" s="397"/>
      <c r="J6958" s="396"/>
      <c r="K6958" s="396"/>
      <c r="L6958" s="396"/>
      <c r="M6958" s="396"/>
      <c r="N6958" s="396"/>
      <c r="O6958" s="396"/>
      <c r="P6958" s="396"/>
      <c r="Q6958" s="396"/>
      <c r="R6958" s="396"/>
      <c r="S6958" s="396"/>
      <c r="T6958" s="396"/>
      <c r="U6958" s="388"/>
      <c r="V6958" s="396"/>
      <c r="W6958" s="388"/>
      <c r="X6958" s="396"/>
      <c r="Y6958" s="389"/>
      <c r="Z6958" s="396"/>
      <c r="AA6958" s="388"/>
      <c r="AB6958" s="390"/>
    </row>
    <row r="6959" spans="1:28">
      <c r="A6959" s="391"/>
      <c r="B6959" s="392"/>
      <c r="C6959" s="393" t="s">
        <v>200</v>
      </c>
      <c r="D6959" s="2562">
        <f>VLOOKUP(C6955,'Data Panjang Balok'!$C$9:$N$254,9,FALSE)</f>
        <v>0</v>
      </c>
      <c r="E6959" s="2563"/>
      <c r="F6959" s="2563"/>
      <c r="G6959" s="2563"/>
      <c r="H6959" s="2564"/>
      <c r="I6959" s="397"/>
      <c r="J6959" s="396"/>
      <c r="K6959" s="396"/>
      <c r="L6959" s="396"/>
      <c r="M6959" s="396"/>
      <c r="N6959" s="396"/>
      <c r="O6959" s="396"/>
      <c r="P6959" s="396"/>
      <c r="Q6959" s="396"/>
      <c r="R6959" s="396"/>
      <c r="S6959" s="396"/>
      <c r="T6959" s="396"/>
      <c r="U6959" s="388"/>
      <c r="V6959" s="396"/>
      <c r="W6959" s="388"/>
      <c r="X6959" s="396"/>
      <c r="Y6959" s="389"/>
      <c r="Z6959" s="396"/>
      <c r="AA6959" s="388"/>
      <c r="AB6959" s="390"/>
    </row>
    <row r="6960" spans="1:28">
      <c r="A6960" s="391"/>
      <c r="B6960" s="392"/>
      <c r="C6960" s="393" t="s">
        <v>201</v>
      </c>
      <c r="D6960" s="2562">
        <f>VLOOKUP(C6955,'Data Panjang Balok'!$C$9:$N$254,10,FALSE)</f>
        <v>0</v>
      </c>
      <c r="E6960" s="2563"/>
      <c r="F6960" s="2563"/>
      <c r="G6960" s="2563"/>
      <c r="H6960" s="2564"/>
      <c r="I6960" s="397"/>
      <c r="J6960" s="396"/>
      <c r="K6960" s="396"/>
      <c r="L6960" s="396"/>
      <c r="M6960" s="396"/>
      <c r="N6960" s="396"/>
      <c r="O6960" s="396"/>
      <c r="P6960" s="396"/>
      <c r="Q6960" s="396"/>
      <c r="R6960" s="396"/>
      <c r="S6960" s="396"/>
      <c r="T6960" s="396"/>
      <c r="U6960" s="388"/>
      <c r="V6960" s="396"/>
      <c r="W6960" s="388"/>
      <c r="X6960" s="396"/>
      <c r="Y6960" s="389"/>
      <c r="Z6960" s="396"/>
      <c r="AA6960" s="388"/>
      <c r="AB6960" s="390"/>
    </row>
    <row r="6961" spans="1:28">
      <c r="A6961" s="391"/>
      <c r="B6961" s="392"/>
      <c r="C6961" s="393" t="s">
        <v>48</v>
      </c>
      <c r="D6961" s="2562">
        <f>VLOOKUP(C6955,'Data Panjang Balok'!$C$9:$N$254,3,FALSE)</f>
        <v>1</v>
      </c>
      <c r="E6961" s="2563"/>
      <c r="F6961" s="2563"/>
      <c r="G6961" s="2563"/>
      <c r="H6961" s="2564"/>
      <c r="I6961" s="397"/>
      <c r="J6961" s="396"/>
      <c r="K6961" s="396"/>
      <c r="L6961" s="396"/>
      <c r="M6961" s="396"/>
      <c r="N6961" s="396"/>
      <c r="O6961" s="396"/>
      <c r="P6961" s="396"/>
      <c r="Q6961" s="396"/>
      <c r="R6961" s="396"/>
      <c r="S6961" s="396"/>
      <c r="T6961" s="396"/>
      <c r="U6961" s="388"/>
      <c r="V6961" s="396"/>
      <c r="W6961" s="388"/>
      <c r="X6961" s="396"/>
      <c r="Y6961" s="389"/>
      <c r="Z6961" s="396"/>
      <c r="AA6961" s="388"/>
      <c r="AB6961" s="390"/>
    </row>
    <row r="6962" spans="1:28">
      <c r="A6962" s="384" t="str">
        <f t="shared" ref="A6962:B6962" si="22561">A6955</f>
        <v>Lantai Atap</v>
      </c>
      <c r="B6962" s="385">
        <f t="shared" si="22561"/>
        <v>25</v>
      </c>
      <c r="C6962" s="393" t="s">
        <v>202</v>
      </c>
      <c r="D6962" s="398">
        <f>VLOOKUP(D6955,'Detail Balok'!$C$10:$AU$140,4,FALSE)</f>
        <v>2</v>
      </c>
      <c r="E6962" s="388" t="s">
        <v>16</v>
      </c>
      <c r="F6962" s="388">
        <f>VLOOKUP(D6955,'Detail Balok'!$C$10:$AU$140,6,FALSE)</f>
        <v>13</v>
      </c>
      <c r="G6962" s="388"/>
      <c r="H6962" s="395"/>
      <c r="I6962" s="388" t="s">
        <v>203</v>
      </c>
      <c r="J6962" s="399">
        <f t="shared" ref="J6962" si="22562">+D6957/4/1000</f>
        <v>0.65</v>
      </c>
      <c r="K6962" s="400" t="s">
        <v>204</v>
      </c>
      <c r="L6962" s="399">
        <f t="shared" ref="L6962" si="22563">MAX(VLOOKUP(F6962,N$6:P$15,3,FALSE)/1000,2/3*D6959/1000)+F$16*F6962/1000</f>
        <v>0.156</v>
      </c>
      <c r="M6962" s="399" t="s">
        <v>176</v>
      </c>
      <c r="N6962" s="399">
        <f t="shared" ref="N6962:N6964" si="22564">J6962+L6962</f>
        <v>0.80600000000000005</v>
      </c>
      <c r="O6962" s="399" t="s">
        <v>204</v>
      </c>
      <c r="P6962" s="389">
        <f t="shared" ref="P6962" si="22565">D6962-D6963</f>
        <v>0</v>
      </c>
      <c r="Q6962" s="399" t="s">
        <v>125</v>
      </c>
      <c r="R6962" s="399">
        <f t="shared" ref="R6962" si="22566">IF(P6962&gt;0,$F$18*F6962/1000,0)</f>
        <v>0</v>
      </c>
      <c r="S6962" s="399" t="s">
        <v>205</v>
      </c>
      <c r="T6962" s="399" t="s">
        <v>125</v>
      </c>
      <c r="U6962" s="401">
        <f t="shared" ref="U6962:U6964" si="22567">0.006165*F6962^2</f>
        <v>1.041885</v>
      </c>
      <c r="V6962" s="399"/>
      <c r="W6962" s="399"/>
      <c r="X6962" s="399" t="s">
        <v>125</v>
      </c>
      <c r="Y6962" s="389">
        <f t="shared" ref="Y6962" si="22568">D6961</f>
        <v>1</v>
      </c>
      <c r="Z6962" s="400" t="s">
        <v>176</v>
      </c>
      <c r="AA6962" s="402">
        <f t="shared" ref="AA6962" si="22569">IF(AA6965=0,(D6962*N6962+P6962*R6962)*U6962*Y6962,0)</f>
        <v>0</v>
      </c>
      <c r="AB6962" s="403"/>
    </row>
    <row r="6963" spans="1:28">
      <c r="A6963" s="384" t="str">
        <f t="shared" ref="A6963:B6963" si="22570">A6955</f>
        <v>Lantai Atap</v>
      </c>
      <c r="B6963" s="385">
        <f t="shared" si="22570"/>
        <v>25</v>
      </c>
      <c r="C6963" s="393" t="s">
        <v>206</v>
      </c>
      <c r="D6963" s="398">
        <f>VLOOKUP(D6955,'Detail Balok'!$C$10:$AU$140,7,FALSE)</f>
        <v>2</v>
      </c>
      <c r="E6963" s="388" t="s">
        <v>16</v>
      </c>
      <c r="F6963" s="388">
        <f>VLOOKUP(D6955,'Detail Balok'!$C$10:$AU$140,9,FALSE)</f>
        <v>13</v>
      </c>
      <c r="G6963" s="388"/>
      <c r="H6963" s="395"/>
      <c r="I6963" s="388" t="s">
        <v>203</v>
      </c>
      <c r="J6963" s="399">
        <f t="shared" ref="J6963" si="22571">+D6957/2/1000</f>
        <v>1.3</v>
      </c>
      <c r="K6963" s="400" t="s">
        <v>204</v>
      </c>
      <c r="L6963" s="399"/>
      <c r="M6963" s="399" t="s">
        <v>176</v>
      </c>
      <c r="N6963" s="399">
        <f t="shared" si="22564"/>
        <v>1.3</v>
      </c>
      <c r="O6963" s="399" t="s">
        <v>204</v>
      </c>
      <c r="P6963" s="389">
        <f t="shared" ref="P6963" si="22572">MAX(D6963-D6962,D6963-D6964)</f>
        <v>0</v>
      </c>
      <c r="Q6963" s="399" t="s">
        <v>125</v>
      </c>
      <c r="R6963" s="399">
        <f t="shared" ref="R6963" si="22573">IF(P6963&gt;0,2*(1-2*$F$19-1/2)*D6958/1000,0)</f>
        <v>0</v>
      </c>
      <c r="S6963" s="399" t="s">
        <v>205</v>
      </c>
      <c r="T6963" s="399" t="s">
        <v>125</v>
      </c>
      <c r="U6963" s="401">
        <f t="shared" si="22567"/>
        <v>1.041885</v>
      </c>
      <c r="V6963" s="399"/>
      <c r="W6963" s="399"/>
      <c r="X6963" s="399" t="s">
        <v>125</v>
      </c>
      <c r="Y6963" s="389">
        <f t="shared" ref="Y6963" si="22574">D6961</f>
        <v>1</v>
      </c>
      <c r="Z6963" s="400" t="s">
        <v>176</v>
      </c>
      <c r="AA6963" s="402">
        <f t="shared" ref="AA6963" si="22575">IF(AA6965=0,(D6963*N6963+P6963*R6963)*U6963*Y6963,0)</f>
        <v>0</v>
      </c>
      <c r="AB6963" s="403"/>
    </row>
    <row r="6964" spans="1:28">
      <c r="A6964" s="384" t="str">
        <f t="shared" ref="A6964:B6964" si="22576">A6955</f>
        <v>Lantai Atap</v>
      </c>
      <c r="B6964" s="385">
        <f t="shared" si="22576"/>
        <v>25</v>
      </c>
      <c r="C6964" s="393" t="s">
        <v>202</v>
      </c>
      <c r="D6964" s="398">
        <f>VLOOKUP(D6955,'Detail Balok'!$C$10:$AU$140,10,FALSE)</f>
        <v>2</v>
      </c>
      <c r="E6964" s="388" t="s">
        <v>16</v>
      </c>
      <c r="F6964" s="388">
        <f>VLOOKUP(D6955,'Detail Balok'!$C$10:$AU$140,12,FALSE)</f>
        <v>13</v>
      </c>
      <c r="G6964" s="388"/>
      <c r="H6964" s="395"/>
      <c r="I6964" s="388" t="s">
        <v>203</v>
      </c>
      <c r="J6964" s="399">
        <f t="shared" ref="J6964" si="22577">+D6957/4/1000</f>
        <v>0.65</v>
      </c>
      <c r="K6964" s="400" t="s">
        <v>204</v>
      </c>
      <c r="L6964" s="399">
        <f t="shared" ref="L6964" si="22578">MAX(VLOOKUP(F6964,N$6:P$15,3,FALSE)/1000,2/3*D6959/1000)+F$16*F6964/1000</f>
        <v>0.156</v>
      </c>
      <c r="M6964" s="399" t="s">
        <v>176</v>
      </c>
      <c r="N6964" s="399">
        <f t="shared" si="22564"/>
        <v>0.80600000000000005</v>
      </c>
      <c r="O6964" s="399" t="s">
        <v>204</v>
      </c>
      <c r="P6964" s="389">
        <f t="shared" ref="P6964" si="22579">D6964-D6963</f>
        <v>0</v>
      </c>
      <c r="Q6964" s="399" t="s">
        <v>125</v>
      </c>
      <c r="R6964" s="399">
        <f t="shared" ref="R6964" si="22580">IF(P6964&gt;0,$F$18*F6964/1000,0)</f>
        <v>0</v>
      </c>
      <c r="S6964" s="399" t="s">
        <v>205</v>
      </c>
      <c r="T6964" s="399" t="s">
        <v>125</v>
      </c>
      <c r="U6964" s="401">
        <f t="shared" si="22567"/>
        <v>1.041885</v>
      </c>
      <c r="V6964" s="399"/>
      <c r="W6964" s="399"/>
      <c r="X6964" s="399" t="s">
        <v>125</v>
      </c>
      <c r="Y6964" s="389">
        <f t="shared" ref="Y6964" si="22581">D6961</f>
        <v>1</v>
      </c>
      <c r="Z6964" s="400" t="s">
        <v>176</v>
      </c>
      <c r="AA6964" s="402">
        <f t="shared" ref="AA6964" si="22582">IF(AA6965=0,(D6964*N6964+P6964*R6964)*U6964*Y6964,0)</f>
        <v>0</v>
      </c>
      <c r="AB6964" s="403"/>
    </row>
    <row r="6965" spans="1:28">
      <c r="A6965" s="384" t="str">
        <f t="shared" ref="A6965:B6965" si="22583">A6955</f>
        <v>Lantai Atap</v>
      </c>
      <c r="B6965" s="385">
        <f t="shared" si="22583"/>
        <v>25</v>
      </c>
      <c r="C6965" s="393"/>
      <c r="D6965" s="398">
        <f t="shared" si="22386"/>
        <v>2</v>
      </c>
      <c r="E6965" s="388" t="s">
        <v>16</v>
      </c>
      <c r="F6965" s="388">
        <f t="shared" si="22387"/>
        <v>13</v>
      </c>
      <c r="G6965" s="388"/>
      <c r="H6965" s="395"/>
      <c r="I6965" s="388"/>
      <c r="J6965" s="396"/>
      <c r="K6965" s="396"/>
      <c r="L6965" s="404" t="s">
        <v>207</v>
      </c>
      <c r="M6965" s="399" t="s">
        <v>176</v>
      </c>
      <c r="N6965" s="399">
        <f t="shared" ref="N6965" si="22584">IF(AND(D6962=D6963,D6962=D6964,D6963=D6964,F6962=F6963,F6962=F6964,F6963=F6964),SUM(N6962:N6964),0)</f>
        <v>2.9119999999999999</v>
      </c>
      <c r="O6965" s="399" t="s">
        <v>204</v>
      </c>
      <c r="P6965" s="389">
        <f t="shared" ref="P6965" si="22585">IF(N6965&gt;12,ROUNDDOWN(N6965/12,0),0)</f>
        <v>0</v>
      </c>
      <c r="Q6965" s="399" t="s">
        <v>125</v>
      </c>
      <c r="R6965" s="399">
        <f t="shared" ref="R6965" si="22586">IF(P6965&gt;0,MAX(VLOOKUP(F6965,$D$6:$G$15,3,FALSE),600),0)/1000</f>
        <v>0</v>
      </c>
      <c r="S6965" s="396"/>
      <c r="T6965" s="396" t="s">
        <v>125</v>
      </c>
      <c r="U6965" s="401">
        <f t="shared" si="22391"/>
        <v>1.041885</v>
      </c>
      <c r="V6965" s="396" t="s">
        <v>125</v>
      </c>
      <c r="W6965" s="399">
        <f t="shared" ref="W6965" si="22587">D6965</f>
        <v>2</v>
      </c>
      <c r="X6965" s="399" t="s">
        <v>125</v>
      </c>
      <c r="Y6965" s="389">
        <f t="shared" si="22393"/>
        <v>1</v>
      </c>
      <c r="Z6965" s="400" t="s">
        <v>176</v>
      </c>
      <c r="AA6965" s="402">
        <f t="shared" ref="AA6965" si="22588">(N6965+P6965*R6965/1000)*U6965*W6965*Y6965</f>
        <v>6.0679382399999993</v>
      </c>
      <c r="AB6965" s="390"/>
    </row>
    <row r="6966" spans="1:28">
      <c r="A6966" s="384"/>
      <c r="B6966" s="385"/>
      <c r="C6966" s="393"/>
      <c r="D6966" s="398"/>
      <c r="E6966" s="388"/>
      <c r="F6966" s="388"/>
      <c r="G6966" s="388"/>
      <c r="H6966" s="395"/>
      <c r="I6966" s="388"/>
      <c r="J6966" s="396"/>
      <c r="K6966" s="396"/>
      <c r="L6966" s="404"/>
      <c r="M6966" s="399"/>
      <c r="N6966" s="399"/>
      <c r="O6966" s="396"/>
      <c r="P6966" s="389"/>
      <c r="Q6966" s="396"/>
      <c r="R6966" s="396"/>
      <c r="S6966" s="396"/>
      <c r="T6966" s="396"/>
      <c r="U6966" s="401"/>
      <c r="V6966" s="396"/>
      <c r="W6966" s="399"/>
      <c r="X6966" s="396"/>
      <c r="Y6966" s="389"/>
      <c r="Z6966" s="396"/>
      <c r="AA6966" s="388"/>
      <c r="AB6966" s="390"/>
    </row>
    <row r="6967" spans="1:28">
      <c r="A6967" s="384" t="str">
        <f t="shared" ref="A6967:B6967" si="22589">A6955</f>
        <v>Lantai Atap</v>
      </c>
      <c r="B6967" s="385">
        <f t="shared" si="22589"/>
        <v>25</v>
      </c>
      <c r="C6967" s="393" t="s">
        <v>208</v>
      </c>
      <c r="D6967" s="398">
        <f>VLOOKUP(D6955,'Detail Balok'!$C$10:$AU$140,13,FALSE)</f>
        <v>0</v>
      </c>
      <c r="E6967" s="388" t="s">
        <v>16</v>
      </c>
      <c r="F6967" s="388">
        <f>VLOOKUP(D6955,'Detail Balok'!$C$10:$AU$140,15,FALSE)</f>
        <v>8</v>
      </c>
      <c r="G6967" s="388"/>
      <c r="H6967" s="395"/>
      <c r="I6967" s="388"/>
      <c r="J6967" s="399">
        <f t="shared" ref="J6967" si="22590">+D6957/1000</f>
        <v>2.6</v>
      </c>
      <c r="K6967" s="400" t="s">
        <v>204</v>
      </c>
      <c r="L6967" s="399">
        <f t="shared" ref="L6967" si="22591">2*$F$16*F6967/1000</f>
        <v>0.192</v>
      </c>
      <c r="M6967" s="399" t="s">
        <v>176</v>
      </c>
      <c r="N6967" s="399">
        <f t="shared" ref="N6967" si="22592">J6967+L6967</f>
        <v>2.7920000000000003</v>
      </c>
      <c r="O6967" s="399" t="s">
        <v>204</v>
      </c>
      <c r="P6967" s="389">
        <f t="shared" ref="P6967" si="22593">IF(N6967&gt;12,ROUNDDOWN(N6967/12,0),0)</f>
        <v>0</v>
      </c>
      <c r="Q6967" s="399" t="s">
        <v>125</v>
      </c>
      <c r="R6967" s="399">
        <f t="shared" ref="R6967" si="22594">IF(P6967&gt;0,MAX(VLOOKUP(F6967,$D$6:$G$15,3,FALSE),600),0)/1000</f>
        <v>0</v>
      </c>
      <c r="S6967" s="399"/>
      <c r="T6967" s="399" t="s">
        <v>125</v>
      </c>
      <c r="U6967" s="401">
        <f t="shared" ref="U6967" si="22595">0.006165*F6967^2</f>
        <v>0.39456000000000002</v>
      </c>
      <c r="V6967" s="399" t="s">
        <v>125</v>
      </c>
      <c r="W6967" s="399">
        <f t="shared" ref="W6967" si="22596">+D6967</f>
        <v>0</v>
      </c>
      <c r="X6967" s="399" t="s">
        <v>125</v>
      </c>
      <c r="Y6967" s="389">
        <f t="shared" ref="Y6967" si="22597">D6961</f>
        <v>1</v>
      </c>
      <c r="Z6967" s="400" t="s">
        <v>176</v>
      </c>
      <c r="AA6967" s="402">
        <f t="shared" ref="AA6967" si="22598">(N6967+P6967*R6967/1000)*U6967*W6967*Y6967</f>
        <v>0</v>
      </c>
      <c r="AB6967" s="403"/>
    </row>
    <row r="6968" spans="1:28">
      <c r="A6968" s="384"/>
      <c r="B6968" s="385"/>
      <c r="C6968" s="393"/>
      <c r="D6968" s="398"/>
      <c r="E6968" s="388"/>
      <c r="F6968" s="388"/>
      <c r="G6968" s="388"/>
      <c r="H6968" s="395"/>
      <c r="I6968" s="388"/>
      <c r="J6968" s="399"/>
      <c r="K6968" s="400"/>
      <c r="L6968" s="399"/>
      <c r="M6968" s="399"/>
      <c r="N6968" s="399"/>
      <c r="O6968" s="399"/>
      <c r="P6968" s="389"/>
      <c r="Q6968" s="399"/>
      <c r="R6968" s="399"/>
      <c r="S6968" s="399"/>
      <c r="T6968" s="399"/>
      <c r="U6968" s="401"/>
      <c r="V6968" s="399"/>
      <c r="W6968" s="399"/>
      <c r="X6968" s="399"/>
      <c r="Y6968" s="389"/>
      <c r="Z6968" s="400"/>
      <c r="AA6968" s="402"/>
      <c r="AB6968" s="403"/>
    </row>
    <row r="6969" spans="1:28">
      <c r="A6969" s="384"/>
      <c r="B6969" s="385"/>
      <c r="C6969" s="393"/>
      <c r="D6969" s="398"/>
      <c r="E6969" s="388"/>
      <c r="F6969" s="388"/>
      <c r="G6969" s="388"/>
      <c r="H6969" s="395"/>
      <c r="I6969" s="388"/>
      <c r="J6969" s="396"/>
      <c r="K6969" s="396"/>
      <c r="L6969" s="396"/>
      <c r="M6969" s="396"/>
      <c r="N6969" s="396"/>
      <c r="O6969" s="396"/>
      <c r="P6969" s="389"/>
      <c r="Q6969" s="396"/>
      <c r="R6969" s="396"/>
      <c r="S6969" s="396"/>
      <c r="T6969" s="396"/>
      <c r="U6969" s="401"/>
      <c r="V6969" s="396"/>
      <c r="W6969" s="399"/>
      <c r="X6969" s="396"/>
      <c r="Y6969" s="389"/>
      <c r="Z6969" s="396"/>
      <c r="AA6969" s="388"/>
      <c r="AB6969" s="390"/>
    </row>
    <row r="6970" spans="1:28">
      <c r="A6970" s="384" t="str">
        <f t="shared" ref="A6970:B6970" si="22599">A6955</f>
        <v>Lantai Atap</v>
      </c>
      <c r="B6970" s="385">
        <f t="shared" si="22599"/>
        <v>25</v>
      </c>
      <c r="C6970" s="393" t="s">
        <v>209</v>
      </c>
      <c r="D6970" s="398">
        <f>VLOOKUP(D6955,'Detail Balok'!$C$10:$AU$140,22,FALSE)</f>
        <v>2</v>
      </c>
      <c r="E6970" s="388" t="s">
        <v>16</v>
      </c>
      <c r="F6970" s="388">
        <f>VLOOKUP(D6955,'Detail Balok'!$C$10:$AU$140,24,FALSE)</f>
        <v>13</v>
      </c>
      <c r="G6970" s="388"/>
      <c r="H6970" s="395"/>
      <c r="I6970" s="388" t="s">
        <v>203</v>
      </c>
      <c r="J6970" s="399">
        <f t="shared" si="22406"/>
        <v>0.65</v>
      </c>
      <c r="K6970" s="400" t="s">
        <v>204</v>
      </c>
      <c r="L6970" s="399">
        <f t="shared" ref="L6970" si="22600">MAX(VLOOKUP(F6970,N$6:P$15,3,FALSE)/1000,2/3*D6960/1000)+F$16*F6970/1000</f>
        <v>0.156</v>
      </c>
      <c r="M6970" s="399" t="s">
        <v>176</v>
      </c>
      <c r="N6970" s="399">
        <f t="shared" ref="N6970:N6972" si="22601">J6970+L6970</f>
        <v>0.80600000000000005</v>
      </c>
      <c r="O6970" s="399" t="s">
        <v>204</v>
      </c>
      <c r="P6970" s="389">
        <f t="shared" ref="P6970" si="22602">D6970-D6971</f>
        <v>0</v>
      </c>
      <c r="Q6970" s="399" t="s">
        <v>125</v>
      </c>
      <c r="R6970" s="399">
        <f t="shared" ref="R6970" si="22603">IF(P6970&gt;0,$F$18*F6970/1000,0)</f>
        <v>0</v>
      </c>
      <c r="S6970" s="399" t="s">
        <v>205</v>
      </c>
      <c r="T6970" s="399" t="s">
        <v>125</v>
      </c>
      <c r="U6970" s="401">
        <f t="shared" ref="U6970:U6972" si="22604">0.006165*F6970^2</f>
        <v>1.041885</v>
      </c>
      <c r="V6970" s="399"/>
      <c r="W6970" s="399"/>
      <c r="X6970" s="399" t="s">
        <v>125</v>
      </c>
      <c r="Y6970" s="389">
        <f t="shared" ref="Y6970" si="22605">D6961</f>
        <v>1</v>
      </c>
      <c r="Z6970" s="400" t="s">
        <v>176</v>
      </c>
      <c r="AA6970" s="402">
        <f t="shared" ref="AA6970" si="22606">IF(AA6973=0,(D6970*N6970+P6970*R6970)*U6970*Y6970,0)</f>
        <v>0</v>
      </c>
      <c r="AB6970" s="403"/>
    </row>
    <row r="6971" spans="1:28">
      <c r="A6971" s="384" t="str">
        <f t="shared" ref="A6971:B6971" si="22607">A6955</f>
        <v>Lantai Atap</v>
      </c>
      <c r="B6971" s="385">
        <f t="shared" si="22607"/>
        <v>25</v>
      </c>
      <c r="C6971" s="393" t="s">
        <v>210</v>
      </c>
      <c r="D6971" s="398">
        <f>VLOOKUP(D6955,'Detail Balok'!$C$10:$AU$140,25,FALSE)</f>
        <v>2</v>
      </c>
      <c r="E6971" s="388" t="s">
        <v>16</v>
      </c>
      <c r="F6971" s="388">
        <f>VLOOKUP(D6955,'Detail Balok'!$C$10:$AU$140,27,FALSE)</f>
        <v>13</v>
      </c>
      <c r="G6971" s="388"/>
      <c r="H6971" s="395"/>
      <c r="I6971" s="388" t="s">
        <v>203</v>
      </c>
      <c r="J6971" s="399">
        <f t="shared" si="22406"/>
        <v>1.3</v>
      </c>
      <c r="K6971" s="400" t="s">
        <v>204</v>
      </c>
      <c r="L6971" s="399"/>
      <c r="M6971" s="399" t="s">
        <v>176</v>
      </c>
      <c r="N6971" s="399">
        <f t="shared" si="22601"/>
        <v>1.3</v>
      </c>
      <c r="O6971" s="399" t="s">
        <v>204</v>
      </c>
      <c r="P6971" s="389">
        <f t="shared" ref="P6971" si="22608">MAX(D6971-D6970,D6971-D6972)</f>
        <v>0</v>
      </c>
      <c r="Q6971" s="399" t="s">
        <v>125</v>
      </c>
      <c r="R6971" s="399">
        <f t="shared" ref="R6971" si="22609">IF(P6971&gt;0,2*(1-2*$F$19-1/2)*D6958/1000,0)</f>
        <v>0</v>
      </c>
      <c r="S6971" s="399" t="s">
        <v>205</v>
      </c>
      <c r="T6971" s="399" t="s">
        <v>125</v>
      </c>
      <c r="U6971" s="401">
        <f t="shared" si="22604"/>
        <v>1.041885</v>
      </c>
      <c r="V6971" s="399"/>
      <c r="W6971" s="399"/>
      <c r="X6971" s="399" t="s">
        <v>125</v>
      </c>
      <c r="Y6971" s="389">
        <f t="shared" ref="Y6971" si="22610">D6961</f>
        <v>1</v>
      </c>
      <c r="Z6971" s="400" t="s">
        <v>176</v>
      </c>
      <c r="AA6971" s="402">
        <f t="shared" ref="AA6971" si="22611">IF(AA6973=0,(D6971*N6971+P6971*R6971)*U6971*Y6971,0)</f>
        <v>0</v>
      </c>
      <c r="AB6971" s="403"/>
    </row>
    <row r="6972" spans="1:28">
      <c r="A6972" s="384" t="str">
        <f t="shared" ref="A6972:B6972" si="22612">A6955</f>
        <v>Lantai Atap</v>
      </c>
      <c r="B6972" s="385">
        <f t="shared" si="22612"/>
        <v>25</v>
      </c>
      <c r="C6972" s="393" t="s">
        <v>209</v>
      </c>
      <c r="D6972" s="398">
        <f>VLOOKUP(D6955,'Detail Balok'!$C$10:$AU$140,28,FALSE)</f>
        <v>2</v>
      </c>
      <c r="E6972" s="388" t="s">
        <v>16</v>
      </c>
      <c r="F6972" s="388">
        <f>VLOOKUP(D6955,'Detail Balok'!$C$10:$AU$140,30,FALSE)</f>
        <v>13</v>
      </c>
      <c r="G6972" s="388"/>
      <c r="H6972" s="395"/>
      <c r="I6972" s="388" t="s">
        <v>203</v>
      </c>
      <c r="J6972" s="399">
        <f t="shared" si="22406"/>
        <v>0.65</v>
      </c>
      <c r="K6972" s="400" t="s">
        <v>204</v>
      </c>
      <c r="L6972" s="399">
        <f t="shared" ref="L6972" si="22613">MAX(VLOOKUP(F6972,N$6:P$15,3,FALSE)/1000,2/3*D6960/1000)+F$16*F6972/1000</f>
        <v>0.156</v>
      </c>
      <c r="M6972" s="399" t="s">
        <v>176</v>
      </c>
      <c r="N6972" s="399">
        <f t="shared" si="22601"/>
        <v>0.80600000000000005</v>
      </c>
      <c r="O6972" s="399" t="s">
        <v>204</v>
      </c>
      <c r="P6972" s="389">
        <f t="shared" ref="P6972" si="22614">D6972-D6971</f>
        <v>0</v>
      </c>
      <c r="Q6972" s="399" t="s">
        <v>125</v>
      </c>
      <c r="R6972" s="399">
        <f t="shared" ref="R6972" si="22615">IF(P6972&gt;0,$F$18*F6972/1000,0)</f>
        <v>0</v>
      </c>
      <c r="S6972" s="399" t="s">
        <v>205</v>
      </c>
      <c r="T6972" s="399" t="s">
        <v>125</v>
      </c>
      <c r="U6972" s="401">
        <f t="shared" si="22604"/>
        <v>1.041885</v>
      </c>
      <c r="V6972" s="399"/>
      <c r="W6972" s="399"/>
      <c r="X6972" s="399" t="s">
        <v>125</v>
      </c>
      <c r="Y6972" s="389">
        <f t="shared" ref="Y6972" si="22616">D6961</f>
        <v>1</v>
      </c>
      <c r="Z6972" s="400" t="s">
        <v>176</v>
      </c>
      <c r="AA6972" s="402">
        <f t="shared" ref="AA6972" si="22617">IF(AA6973=0,(D6972*N6972+P6972*R6972)*U6972*Y6972,0)</f>
        <v>0</v>
      </c>
      <c r="AB6972" s="403"/>
    </row>
    <row r="6973" spans="1:28">
      <c r="A6973" s="384" t="str">
        <f t="shared" ref="A6973:B6973" si="22618">A6955</f>
        <v>Lantai Atap</v>
      </c>
      <c r="B6973" s="385">
        <f t="shared" si="22618"/>
        <v>25</v>
      </c>
      <c r="C6973" s="393"/>
      <c r="D6973" s="398">
        <f t="shared" si="22426"/>
        <v>2</v>
      </c>
      <c r="E6973" s="388" t="s">
        <v>16</v>
      </c>
      <c r="F6973" s="388">
        <f t="shared" si="22427"/>
        <v>13</v>
      </c>
      <c r="G6973" s="388"/>
      <c r="H6973" s="395"/>
      <c r="I6973" s="388"/>
      <c r="J6973" s="396"/>
      <c r="K6973" s="396"/>
      <c r="L6973" s="404" t="s">
        <v>207</v>
      </c>
      <c r="M6973" s="399" t="s">
        <v>176</v>
      </c>
      <c r="N6973" s="399">
        <f t="shared" ref="N6973" si="22619">IF(AND(D6970=D6971,D6970=D6972,D6971=D6972,F6970=F6971,F6970=F6972,F6971=F6972),SUM(N6970:N6972),0)</f>
        <v>2.9119999999999999</v>
      </c>
      <c r="O6973" s="399" t="s">
        <v>204</v>
      </c>
      <c r="P6973" s="389">
        <f t="shared" ref="P6973" si="22620">IF(N6973&gt;12,ROUNDDOWN(N6973/12,0),0)</f>
        <v>0</v>
      </c>
      <c r="Q6973" s="399" t="s">
        <v>125</v>
      </c>
      <c r="R6973" s="399">
        <f t="shared" ref="R6973" si="22621">IF(P6973&gt;0,MAX(VLOOKUP(F6973,$D$6:$G$15,3,FALSE),600),0)/1000</f>
        <v>0</v>
      </c>
      <c r="S6973" s="396"/>
      <c r="T6973" s="396" t="s">
        <v>125</v>
      </c>
      <c r="U6973" s="401">
        <f t="shared" si="22431"/>
        <v>1.041885</v>
      </c>
      <c r="V6973" s="396" t="s">
        <v>125</v>
      </c>
      <c r="W6973" s="399">
        <f t="shared" ref="W6973" si="22622">D6973</f>
        <v>2</v>
      </c>
      <c r="X6973" s="399" t="s">
        <v>125</v>
      </c>
      <c r="Y6973" s="389">
        <f t="shared" si="22433"/>
        <v>1</v>
      </c>
      <c r="Z6973" s="400" t="s">
        <v>176</v>
      </c>
      <c r="AA6973" s="402">
        <f t="shared" ref="AA6973" si="22623">(N6973+P6973*R6973/1000)*U6973*W6973*Y6973</f>
        <v>6.0679382399999993</v>
      </c>
      <c r="AB6973" s="403"/>
    </row>
    <row r="6974" spans="1:28">
      <c r="A6974" s="384"/>
      <c r="B6974" s="385"/>
      <c r="C6974" s="393"/>
      <c r="D6974" s="394"/>
      <c r="E6974" s="388"/>
      <c r="F6974" s="388"/>
      <c r="G6974" s="388"/>
      <c r="H6974" s="395"/>
      <c r="I6974" s="388"/>
      <c r="J6974" s="399"/>
      <c r="K6974" s="396"/>
      <c r="L6974" s="396"/>
      <c r="M6974" s="396"/>
      <c r="N6974" s="396"/>
      <c r="O6974" s="396"/>
      <c r="P6974" s="389"/>
      <c r="Q6974" s="396"/>
      <c r="R6974" s="396"/>
      <c r="S6974" s="396"/>
      <c r="T6974" s="396"/>
      <c r="U6974" s="401"/>
      <c r="V6974" s="396"/>
      <c r="W6974" s="388"/>
      <c r="X6974" s="396"/>
      <c r="Y6974" s="389"/>
      <c r="Z6974" s="396"/>
      <c r="AA6974" s="388"/>
      <c r="AB6974" s="390"/>
    </row>
    <row r="6975" spans="1:28">
      <c r="A6975" s="384" t="str">
        <f t="shared" ref="A6975:B6975" si="22624">A6955</f>
        <v>Lantai Atap</v>
      </c>
      <c r="B6975" s="385">
        <f t="shared" si="22624"/>
        <v>25</v>
      </c>
      <c r="C6975" s="393" t="s">
        <v>211</v>
      </c>
      <c r="D6975" s="398">
        <f>VLOOKUP(D6955,'Detail Balok'!$C$10:$AU$140,31,FALSE)</f>
        <v>0</v>
      </c>
      <c r="E6975" s="388" t="s">
        <v>16</v>
      </c>
      <c r="F6975" s="388">
        <f>VLOOKUP(D6955,'Detail Balok'!$C$10:$AU$140,33,FALSE)</f>
        <v>8</v>
      </c>
      <c r="G6975" s="405" t="s">
        <v>157</v>
      </c>
      <c r="H6975" s="395">
        <f>VLOOKUP(D6955,'Detail Balok'!$C$10:$AU$140,35,FALSE)</f>
        <v>150</v>
      </c>
      <c r="I6975" s="388"/>
      <c r="J6975" s="400">
        <f t="shared" ref="J6975" si="22625">(IF(D6975=0,(2*(D6956+G6956))-(F$5*8),IF(D6975=3,(2*(D6956+G6956))-(F$5*8)+(G6956-2*F$5),IF(D6975=4,(2*(D6956+G6956))-(F$5*8)+2*(G6956-2*F$5)))))/1000</f>
        <v>0.74</v>
      </c>
      <c r="K6975" s="400" t="s">
        <v>204</v>
      </c>
      <c r="L6975" s="399">
        <f t="shared" ref="L6975:L6977" si="22626">IF(D6975=0,2*MAX(6*F6975,75),(D6975-1)*2*MAX(6*F6975,75))/1000</f>
        <v>0.15</v>
      </c>
      <c r="M6975" s="399" t="s">
        <v>176</v>
      </c>
      <c r="N6975" s="399">
        <f t="shared" ref="N6975:N6977" si="22627">J6975+L6975</f>
        <v>0.89</v>
      </c>
      <c r="O6975" s="399"/>
      <c r="P6975" s="389"/>
      <c r="Q6975" s="399"/>
      <c r="R6975" s="399"/>
      <c r="S6975" s="399"/>
      <c r="T6975" s="399" t="s">
        <v>125</v>
      </c>
      <c r="U6975" s="401">
        <f t="shared" ref="U6975:U6977" si="22628">0.006165*F6975^2</f>
        <v>0.39456000000000002</v>
      </c>
      <c r="V6975" s="399" t="s">
        <v>125</v>
      </c>
      <c r="W6975" s="399">
        <f t="shared" ref="W6975" si="22629">IF(D6958&gt;4*G6956,ROUND(MAX(D6958/4,2*G6956)/H6975,0)+1,ROUND(D6958/H6975,0)+1)</f>
        <v>6</v>
      </c>
      <c r="X6975" s="399" t="s">
        <v>125</v>
      </c>
      <c r="Y6975" s="389">
        <f t="shared" ref="Y6975" si="22630">D6961</f>
        <v>1</v>
      </c>
      <c r="Z6975" s="400" t="s">
        <v>176</v>
      </c>
      <c r="AA6975" s="402">
        <f t="shared" ref="AA6975:AA6977" si="22631">N6975*U6975*W6975*Y6975</f>
        <v>2.1069504000000001</v>
      </c>
      <c r="AB6975" s="403"/>
    </row>
    <row r="6976" spans="1:28">
      <c r="A6976" s="384" t="str">
        <f t="shared" ref="A6976:B6976" si="22632">A6955</f>
        <v>Lantai Atap</v>
      </c>
      <c r="B6976" s="385">
        <f t="shared" si="22632"/>
        <v>25</v>
      </c>
      <c r="C6976" s="393" t="s">
        <v>212</v>
      </c>
      <c r="D6976" s="398">
        <f>VLOOKUP(D6955,'Detail Balok'!$C$10:$AU$140,36,FALSE)</f>
        <v>0</v>
      </c>
      <c r="E6976" s="388" t="s">
        <v>16</v>
      </c>
      <c r="F6976" s="388">
        <f>VLOOKUP(D6955,'Detail Balok'!$C$10:$AU$140,38,FALSE)</f>
        <v>8</v>
      </c>
      <c r="G6976" s="405" t="s">
        <v>157</v>
      </c>
      <c r="H6976" s="395">
        <f>VLOOKUP(D6955,'Detail Balok'!$C$10:$AU$140,40,FALSE)</f>
        <v>200</v>
      </c>
      <c r="I6976" s="388"/>
      <c r="J6976" s="400">
        <f t="shared" ref="J6976" si="22633">(IF(D6976=0,(2*(D6956+G6956))-(F$5*8),IF(D6976=3,(2*(D6956+G6956))-(F$5*8)+(G6956-2*F$5),IF(D6976=4,(2*(D6956+G6956))-(F$5*8)+2*(G6956-2*F$5)))))/1000</f>
        <v>0.74</v>
      </c>
      <c r="K6976" s="400" t="s">
        <v>204</v>
      </c>
      <c r="L6976" s="399">
        <f t="shared" si="22626"/>
        <v>0.15</v>
      </c>
      <c r="M6976" s="399" t="s">
        <v>176</v>
      </c>
      <c r="N6976" s="399">
        <f t="shared" si="22627"/>
        <v>0.89</v>
      </c>
      <c r="O6976" s="399"/>
      <c r="P6976" s="389"/>
      <c r="Q6976" s="399"/>
      <c r="R6976" s="399"/>
      <c r="S6976" s="399"/>
      <c r="T6976" s="399" t="s">
        <v>125</v>
      </c>
      <c r="U6976" s="401">
        <f t="shared" si="22628"/>
        <v>0.39456000000000002</v>
      </c>
      <c r="V6976" s="399" t="s">
        <v>125</v>
      </c>
      <c r="W6976" s="399">
        <f t="shared" ref="W6976" si="22634">IF(D6958-MAX(D6958/4,2*G6956)*2&gt;0,ROUND((D6958-MAX(D6958/4,2*G6956)*2)/H6976,0),0)</f>
        <v>5</v>
      </c>
      <c r="X6976" s="399" t="s">
        <v>125</v>
      </c>
      <c r="Y6976" s="389">
        <f t="shared" ref="Y6976" si="22635">D6961</f>
        <v>1</v>
      </c>
      <c r="Z6976" s="400" t="s">
        <v>176</v>
      </c>
      <c r="AA6976" s="402">
        <f t="shared" si="22631"/>
        <v>1.7557920000000002</v>
      </c>
      <c r="AB6976" s="403"/>
    </row>
    <row r="6977" spans="1:28">
      <c r="A6977" s="384" t="str">
        <f t="shared" ref="A6977:B6977" si="22636">A6955</f>
        <v>Lantai Atap</v>
      </c>
      <c r="B6977" s="385">
        <f t="shared" si="22636"/>
        <v>25</v>
      </c>
      <c r="C6977" s="393" t="s">
        <v>211</v>
      </c>
      <c r="D6977" s="398">
        <f>VLOOKUP(D6955,'Detail Balok'!$C$10:$AU$140,41,FALSE)</f>
        <v>0</v>
      </c>
      <c r="E6977" s="388" t="s">
        <v>16</v>
      </c>
      <c r="F6977" s="388">
        <f>VLOOKUP(D6955,'Detail Balok'!$C$10:$AU$140,43,FALSE)</f>
        <v>8</v>
      </c>
      <c r="G6977" s="405" t="s">
        <v>157</v>
      </c>
      <c r="H6977" s="395">
        <f>VLOOKUP(D6955,'Detail Balok'!$C$10:$AU$140,45,FALSE)</f>
        <v>150</v>
      </c>
      <c r="I6977" s="388"/>
      <c r="J6977" s="400">
        <f t="shared" ref="J6977" si="22637">(IF(D6977=0,(2*(D6956+G6956))-(F$5*8),IF(D6977=3,(2*(D6956+G6956))-(F$5*8)+(G6956-2*F$5),IF(D6977=4,(2*(D6956+G6956))-(F$5*8)+2*(G6956-2*F$5)))))/1000</f>
        <v>0.74</v>
      </c>
      <c r="K6977" s="400" t="s">
        <v>204</v>
      </c>
      <c r="L6977" s="399">
        <f t="shared" si="22626"/>
        <v>0.15</v>
      </c>
      <c r="M6977" s="399" t="s">
        <v>176</v>
      </c>
      <c r="N6977" s="399">
        <f t="shared" si="22627"/>
        <v>0.89</v>
      </c>
      <c r="O6977" s="399"/>
      <c r="P6977" s="389"/>
      <c r="Q6977" s="399"/>
      <c r="R6977" s="399"/>
      <c r="S6977" s="399"/>
      <c r="T6977" s="399" t="s">
        <v>125</v>
      </c>
      <c r="U6977" s="401">
        <f t="shared" si="22628"/>
        <v>0.39456000000000002</v>
      </c>
      <c r="V6977" s="399" t="s">
        <v>125</v>
      </c>
      <c r="W6977" s="399">
        <f t="shared" ref="W6977" si="22638">IF(D6958&gt;4*G6956,ROUND(MAX(D6958/4,2*G6956)/H6977,0)+1,0)</f>
        <v>6</v>
      </c>
      <c r="X6977" s="399" t="s">
        <v>125</v>
      </c>
      <c r="Y6977" s="389">
        <f t="shared" ref="Y6977" si="22639">D6961</f>
        <v>1</v>
      </c>
      <c r="Z6977" s="400" t="s">
        <v>176</v>
      </c>
      <c r="AA6977" s="402">
        <f t="shared" si="22631"/>
        <v>2.1069504000000001</v>
      </c>
      <c r="AB6977" s="403"/>
    </row>
    <row r="6978" spans="1:28">
      <c r="A6978" s="384"/>
      <c r="B6978" s="385"/>
      <c r="C6978" s="393"/>
      <c r="D6978" s="394"/>
      <c r="E6978" s="388"/>
      <c r="F6978" s="388"/>
      <c r="G6978" s="388"/>
      <c r="H6978" s="395"/>
      <c r="I6978" s="388"/>
      <c r="J6978" s="399"/>
      <c r="K6978" s="396"/>
      <c r="L6978" s="396"/>
      <c r="M6978" s="396"/>
      <c r="N6978" s="396"/>
      <c r="O6978" s="396"/>
      <c r="P6978" s="389"/>
      <c r="Q6978" s="396"/>
      <c r="R6978" s="396"/>
      <c r="S6978" s="396"/>
      <c r="T6978" s="396"/>
      <c r="U6978" s="401"/>
      <c r="V6978" s="396"/>
      <c r="W6978" s="388"/>
      <c r="X6978" s="396"/>
      <c r="Y6978" s="389"/>
      <c r="Z6978" s="396"/>
      <c r="AA6978" s="388"/>
      <c r="AB6978" s="390"/>
    </row>
    <row r="6979" spans="1:28">
      <c r="A6979" s="384" t="str">
        <f t="shared" ref="A6979:B6979" si="22640">A6955</f>
        <v>Lantai Atap</v>
      </c>
      <c r="B6979" s="385">
        <f t="shared" si="22640"/>
        <v>25</v>
      </c>
      <c r="C6979" s="393" t="s">
        <v>213</v>
      </c>
      <c r="D6979" s="398">
        <f>VLOOKUP(D6955,'Detail Balok'!$C$10:$BJ$140,46,FALSE)</f>
        <v>0</v>
      </c>
      <c r="E6979" s="388" t="s">
        <v>16</v>
      </c>
      <c r="F6979" s="388">
        <f>VLOOKUP(D6955,'Detail Balok'!$C$10:$BJ$140,48,FALSE)</f>
        <v>0</v>
      </c>
      <c r="G6979" s="405" t="s">
        <v>157</v>
      </c>
      <c r="H6979" s="395">
        <f>VLOOKUP(D6955,'Detail Balok'!$C$10:$BJ$140,50,FALSE)</f>
        <v>100</v>
      </c>
      <c r="I6979" s="388"/>
      <c r="J6979" s="399">
        <f t="shared" ref="J6979" si="22641">(D6956-2*F$5)/1000</f>
        <v>0.05</v>
      </c>
      <c r="K6979" s="400" t="s">
        <v>204</v>
      </c>
      <c r="L6979" s="399">
        <f t="shared" ref="L6979:L6981" si="22642">IF(D6979=0,2*MAX(6*F6979,75),(D6979-1)*2*MAX(6*F6979,75))/1000</f>
        <v>0.15</v>
      </c>
      <c r="M6979" s="399" t="s">
        <v>176</v>
      </c>
      <c r="N6979" s="399">
        <f t="shared" ref="N6979:N6981" si="22643">J6979+L6979</f>
        <v>0.2</v>
      </c>
      <c r="O6979" s="399"/>
      <c r="P6979" s="399"/>
      <c r="Q6979" s="399"/>
      <c r="R6979" s="399"/>
      <c r="S6979" s="399"/>
      <c r="T6979" s="399" t="s">
        <v>125</v>
      </c>
      <c r="U6979" s="401">
        <f t="shared" ref="U6979:U6981" si="22644">0.006165*F6979^2</f>
        <v>0</v>
      </c>
      <c r="V6979" s="399" t="s">
        <v>125</v>
      </c>
      <c r="W6979" s="399">
        <f t="shared" si="22456"/>
        <v>6</v>
      </c>
      <c r="X6979" s="399" t="s">
        <v>125</v>
      </c>
      <c r="Y6979" s="389">
        <f t="shared" ref="Y6979" si="22645">D6965</f>
        <v>2</v>
      </c>
      <c r="Z6979" s="400" t="s">
        <v>176</v>
      </c>
      <c r="AA6979" s="402">
        <f t="shared" ref="AA6979:AA6981" si="22646">N6979*U6979*W6979*Y6979</f>
        <v>0</v>
      </c>
      <c r="AB6979" s="403"/>
    </row>
    <row r="6980" spans="1:28">
      <c r="A6980" s="384" t="str">
        <f t="shared" ref="A6980:B6980" si="22647">A6955</f>
        <v>Lantai Atap</v>
      </c>
      <c r="B6980" s="385">
        <f t="shared" si="22647"/>
        <v>25</v>
      </c>
      <c r="C6980" s="393" t="s">
        <v>214</v>
      </c>
      <c r="D6980" s="398">
        <f>VLOOKUP(D6955,'Detail Balok'!$C$10:$BJ$140,51,FALSE)</f>
        <v>0</v>
      </c>
      <c r="E6980" s="388" t="s">
        <v>16</v>
      </c>
      <c r="F6980" s="388">
        <f>VLOOKUP(D6955,'Detail Balok'!$C$10:$BJ$140,53,FALSE)</f>
        <v>0</v>
      </c>
      <c r="G6980" s="405" t="s">
        <v>157</v>
      </c>
      <c r="H6980" s="395">
        <f>VLOOKUP(D6955,'Detail Balok'!$C$10:$BJ$140,55,FALSE)</f>
        <v>100</v>
      </c>
      <c r="I6980" s="388"/>
      <c r="J6980" s="399">
        <f t="shared" ref="J6980" si="22648">(D6956-2*F$5)/1000</f>
        <v>0.05</v>
      </c>
      <c r="K6980" s="400" t="s">
        <v>204</v>
      </c>
      <c r="L6980" s="399">
        <f t="shared" si="22642"/>
        <v>0.15</v>
      </c>
      <c r="M6980" s="399" t="s">
        <v>176</v>
      </c>
      <c r="N6980" s="399">
        <f t="shared" si="22643"/>
        <v>0.2</v>
      </c>
      <c r="O6980" s="399"/>
      <c r="P6980" s="399"/>
      <c r="Q6980" s="399"/>
      <c r="R6980" s="399"/>
      <c r="S6980" s="399"/>
      <c r="T6980" s="399" t="s">
        <v>125</v>
      </c>
      <c r="U6980" s="401">
        <f t="shared" si="22644"/>
        <v>0</v>
      </c>
      <c r="V6980" s="399" t="s">
        <v>125</v>
      </c>
      <c r="W6980" s="399">
        <f t="shared" si="22456"/>
        <v>5</v>
      </c>
      <c r="X6980" s="399" t="s">
        <v>125</v>
      </c>
      <c r="Y6980" s="389">
        <f t="shared" ref="Y6980" si="22649">D6965</f>
        <v>2</v>
      </c>
      <c r="Z6980" s="400" t="s">
        <v>176</v>
      </c>
      <c r="AA6980" s="402">
        <f t="shared" si="22646"/>
        <v>0</v>
      </c>
      <c r="AB6980" s="403"/>
    </row>
    <row r="6981" spans="1:28">
      <c r="A6981" s="384" t="str">
        <f t="shared" ref="A6981:B6981" si="22650">A6955</f>
        <v>Lantai Atap</v>
      </c>
      <c r="B6981" s="385">
        <f t="shared" si="22650"/>
        <v>25</v>
      </c>
      <c r="C6981" s="393" t="s">
        <v>213</v>
      </c>
      <c r="D6981" s="398">
        <f>VLOOKUP(D6955,'Detail Balok'!$C$10:$BJ$140,56,FALSE)</f>
        <v>0</v>
      </c>
      <c r="E6981" s="388" t="s">
        <v>16</v>
      </c>
      <c r="F6981" s="388">
        <f>VLOOKUP(D6955,'Detail Balok'!$C$10:$BJ$140,58,FALSE)</f>
        <v>0</v>
      </c>
      <c r="G6981" s="405" t="s">
        <v>157</v>
      </c>
      <c r="H6981" s="395">
        <f>VLOOKUP(D6955,'Detail Balok'!$C$10:$BJ$140,60,FALSE)</f>
        <v>100</v>
      </c>
      <c r="I6981" s="388"/>
      <c r="J6981" s="399">
        <f t="shared" ref="J6981" si="22651">(D6956-2*F$5)/1000</f>
        <v>0.05</v>
      </c>
      <c r="K6981" s="400" t="s">
        <v>204</v>
      </c>
      <c r="L6981" s="399">
        <f t="shared" si="22642"/>
        <v>0.15</v>
      </c>
      <c r="M6981" s="399" t="s">
        <v>176</v>
      </c>
      <c r="N6981" s="399">
        <f t="shared" si="22643"/>
        <v>0.2</v>
      </c>
      <c r="O6981" s="399"/>
      <c r="P6981" s="399"/>
      <c r="Q6981" s="399"/>
      <c r="R6981" s="399"/>
      <c r="S6981" s="399"/>
      <c r="T6981" s="399" t="s">
        <v>125</v>
      </c>
      <c r="U6981" s="401">
        <f t="shared" si="22644"/>
        <v>0</v>
      </c>
      <c r="V6981" s="399" t="s">
        <v>125</v>
      </c>
      <c r="W6981" s="399">
        <f t="shared" si="22456"/>
        <v>6</v>
      </c>
      <c r="X6981" s="399" t="s">
        <v>125</v>
      </c>
      <c r="Y6981" s="389">
        <f t="shared" ref="Y6981" si="22652">D6965</f>
        <v>2</v>
      </c>
      <c r="Z6981" s="400" t="s">
        <v>176</v>
      </c>
      <c r="AA6981" s="402">
        <f t="shared" si="22646"/>
        <v>0</v>
      </c>
      <c r="AB6981" s="403"/>
    </row>
    <row r="6982" spans="1:28">
      <c r="A6982" s="391"/>
      <c r="B6982" s="392"/>
      <c r="C6982" s="392"/>
      <c r="D6982" s="394"/>
      <c r="E6982" s="388"/>
      <c r="F6982" s="388"/>
      <c r="G6982" s="388"/>
      <c r="H6982" s="395"/>
      <c r="I6982" s="388"/>
      <c r="J6982" s="402"/>
      <c r="K6982" s="388"/>
      <c r="L6982" s="388"/>
      <c r="M6982" s="388"/>
      <c r="N6982" s="388"/>
      <c r="O6982" s="388"/>
      <c r="P6982" s="388"/>
      <c r="Q6982" s="388"/>
      <c r="R6982" s="388"/>
      <c r="S6982" s="388"/>
      <c r="T6982" s="388"/>
      <c r="U6982" s="388"/>
      <c r="V6982" s="388"/>
      <c r="W6982" s="388"/>
      <c r="X6982" s="388"/>
      <c r="Y6982" s="389"/>
      <c r="Z6982" s="388"/>
      <c r="AA6982" s="402"/>
      <c r="AB6982" s="403"/>
    </row>
    <row r="6983" spans="1:28" ht="15.75" thickBot="1">
      <c r="A6983" s="406"/>
      <c r="B6983" s="407"/>
      <c r="C6983" s="407"/>
      <c r="D6983" s="408"/>
      <c r="E6983" s="409"/>
      <c r="F6983" s="409"/>
      <c r="G6983" s="409"/>
      <c r="H6983" s="410"/>
      <c r="I6983" s="409"/>
      <c r="J6983" s="409"/>
      <c r="K6983" s="409"/>
      <c r="L6983" s="409"/>
      <c r="M6983" s="409"/>
      <c r="N6983" s="409"/>
      <c r="O6983" s="409"/>
      <c r="P6983" s="409"/>
      <c r="Q6983" s="409"/>
      <c r="R6983" s="409"/>
      <c r="S6983" s="409"/>
      <c r="T6983" s="409"/>
      <c r="U6983" s="409"/>
      <c r="V6983" s="409"/>
      <c r="W6983" s="409"/>
      <c r="X6983" s="409"/>
      <c r="Y6983" s="411"/>
      <c r="Z6983" s="409"/>
      <c r="AA6983" s="412"/>
      <c r="AB6983" s="413"/>
    </row>
    <row r="6984" spans="1:28">
      <c r="A6984" s="377"/>
      <c r="B6984" s="378"/>
      <c r="C6984" s="378"/>
      <c r="D6984" s="379"/>
      <c r="E6984" s="380"/>
      <c r="F6984" s="380"/>
      <c r="G6984" s="380"/>
      <c r="H6984" s="381"/>
      <c r="I6984" s="380"/>
      <c r="J6984" s="380"/>
      <c r="K6984" s="380"/>
      <c r="L6984" s="380"/>
      <c r="M6984" s="380"/>
      <c r="N6984" s="380"/>
      <c r="O6984" s="380"/>
      <c r="P6984" s="380"/>
      <c r="Q6984" s="380"/>
      <c r="R6984" s="380"/>
      <c r="S6984" s="380"/>
      <c r="T6984" s="380"/>
      <c r="U6984" s="380"/>
      <c r="V6984" s="380"/>
      <c r="W6984" s="380"/>
      <c r="X6984" s="380"/>
      <c r="Y6984" s="382"/>
      <c r="Z6984" s="380"/>
      <c r="AA6984" s="380"/>
      <c r="AB6984" s="383"/>
    </row>
    <row r="6985" spans="1:28">
      <c r="A6985" s="384" t="str">
        <f t="shared" si="22465"/>
        <v>Lantai Atap</v>
      </c>
      <c r="B6985" s="385">
        <f t="shared" si="22466"/>
        <v>26</v>
      </c>
      <c r="C6985" s="386" t="str">
        <f t="shared" ref="C6985" si="22653">CONCATENATE(A6985," no. ",B6985)</f>
        <v>Lantai Atap no. 26</v>
      </c>
      <c r="D6985" s="2562" t="str">
        <f>VLOOKUP(C6985,'Data Panjang Balok'!$C$9:$N$254,2,FALSE)</f>
        <v>B4-1</v>
      </c>
      <c r="E6985" s="2576"/>
      <c r="F6985" s="2576"/>
      <c r="G6985" s="2576"/>
      <c r="H6985" s="2577"/>
      <c r="I6985" s="387"/>
      <c r="J6985" s="388"/>
      <c r="K6985" s="388"/>
      <c r="L6985" s="388"/>
      <c r="M6985" s="388"/>
      <c r="N6985" s="388"/>
      <c r="O6985" s="388"/>
      <c r="P6985" s="388"/>
      <c r="Q6985" s="388"/>
      <c r="R6985" s="388"/>
      <c r="S6985" s="388"/>
      <c r="T6985" s="388"/>
      <c r="U6985" s="388"/>
      <c r="V6985" s="388"/>
      <c r="W6985" s="388"/>
      <c r="X6985" s="388"/>
      <c r="Y6985" s="389"/>
      <c r="Z6985" s="388"/>
      <c r="AA6985" s="388"/>
      <c r="AB6985" s="390"/>
    </row>
    <row r="6986" spans="1:28">
      <c r="A6986" s="391"/>
      <c r="B6986" s="392"/>
      <c r="C6986" s="393" t="s">
        <v>118</v>
      </c>
      <c r="D6986" s="2578">
        <f>VLOOKUP(D6985,'Detail Balok'!$C$10:$AU$140,2,FALSE)</f>
        <v>130</v>
      </c>
      <c r="E6986" s="2579"/>
      <c r="F6986" s="388" t="s">
        <v>125</v>
      </c>
      <c r="G6986" s="2579">
        <f>VLOOKUP(D6985,'Detail Balok'!$C$10:$AU$140,3,FALSE)</f>
        <v>400</v>
      </c>
      <c r="H6986" s="2580"/>
      <c r="I6986" s="388"/>
      <c r="J6986" s="396"/>
      <c r="K6986" s="396"/>
      <c r="L6986" s="396"/>
      <c r="M6986" s="396"/>
      <c r="N6986" s="396"/>
      <c r="O6986" s="396"/>
      <c r="P6986" s="396"/>
      <c r="Q6986" s="396"/>
      <c r="R6986" s="396"/>
      <c r="S6986" s="396"/>
      <c r="T6986" s="396"/>
      <c r="U6986" s="388"/>
      <c r="V6986" s="396"/>
      <c r="W6986" s="388"/>
      <c r="X6986" s="396"/>
      <c r="Y6986" s="389"/>
      <c r="Z6986" s="396"/>
      <c r="AA6986" s="388"/>
      <c r="AB6986" s="390"/>
    </row>
    <row r="6987" spans="1:28">
      <c r="A6987" s="391"/>
      <c r="B6987" s="392"/>
      <c r="C6987" s="393" t="s">
        <v>198</v>
      </c>
      <c r="D6987" s="2562">
        <f>VLOOKUP(C6985,'Data Panjang Balok'!$C$9:$N$254,4,FALSE)</f>
        <v>2600</v>
      </c>
      <c r="E6987" s="2563"/>
      <c r="F6987" s="2563"/>
      <c r="G6987" s="2563"/>
      <c r="H6987" s="2564"/>
      <c r="I6987" s="397"/>
      <c r="J6987" s="396"/>
      <c r="K6987" s="396"/>
      <c r="L6987" s="396"/>
      <c r="M6987" s="396"/>
      <c r="N6987" s="396"/>
      <c r="O6987" s="396"/>
      <c r="P6987" s="396"/>
      <c r="Q6987" s="396"/>
      <c r="R6987" s="396"/>
      <c r="S6987" s="396"/>
      <c r="T6987" s="396"/>
      <c r="U6987" s="388"/>
      <c r="V6987" s="396"/>
      <c r="W6987" s="388"/>
      <c r="X6987" s="396"/>
      <c r="Y6987" s="389"/>
      <c r="Z6987" s="396"/>
      <c r="AA6987" s="388"/>
      <c r="AB6987" s="390"/>
    </row>
    <row r="6988" spans="1:28">
      <c r="A6988" s="391"/>
      <c r="B6988" s="392"/>
      <c r="C6988" s="393" t="s">
        <v>199</v>
      </c>
      <c r="D6988" s="2562">
        <f>VLOOKUP(C6985,'Data Panjang Balok'!$C$9:$N$254,7,FALSE)</f>
        <v>2600</v>
      </c>
      <c r="E6988" s="2563"/>
      <c r="F6988" s="2563"/>
      <c r="G6988" s="2563"/>
      <c r="H6988" s="2564"/>
      <c r="I6988" s="397"/>
      <c r="J6988" s="396"/>
      <c r="K6988" s="396"/>
      <c r="L6988" s="396"/>
      <c r="M6988" s="396"/>
      <c r="N6988" s="396"/>
      <c r="O6988" s="396"/>
      <c r="P6988" s="396"/>
      <c r="Q6988" s="396"/>
      <c r="R6988" s="396"/>
      <c r="S6988" s="396"/>
      <c r="T6988" s="396"/>
      <c r="U6988" s="388"/>
      <c r="V6988" s="396"/>
      <c r="W6988" s="388"/>
      <c r="X6988" s="396"/>
      <c r="Y6988" s="389"/>
      <c r="Z6988" s="396"/>
      <c r="AA6988" s="388"/>
      <c r="AB6988" s="390"/>
    </row>
    <row r="6989" spans="1:28">
      <c r="A6989" s="391"/>
      <c r="B6989" s="392"/>
      <c r="C6989" s="393" t="s">
        <v>200</v>
      </c>
      <c r="D6989" s="2562">
        <f>VLOOKUP(C6985,'Data Panjang Balok'!$C$9:$N$254,9,FALSE)</f>
        <v>0</v>
      </c>
      <c r="E6989" s="2563"/>
      <c r="F6989" s="2563"/>
      <c r="G6989" s="2563"/>
      <c r="H6989" s="2564"/>
      <c r="I6989" s="397"/>
      <c r="J6989" s="396"/>
      <c r="K6989" s="396"/>
      <c r="L6989" s="396"/>
      <c r="M6989" s="396"/>
      <c r="N6989" s="396"/>
      <c r="O6989" s="396"/>
      <c r="P6989" s="396"/>
      <c r="Q6989" s="396"/>
      <c r="R6989" s="396"/>
      <c r="S6989" s="396"/>
      <c r="T6989" s="396"/>
      <c r="U6989" s="388"/>
      <c r="V6989" s="396"/>
      <c r="W6989" s="388"/>
      <c r="X6989" s="396"/>
      <c r="Y6989" s="389"/>
      <c r="Z6989" s="396"/>
      <c r="AA6989" s="388"/>
      <c r="AB6989" s="390"/>
    </row>
    <row r="6990" spans="1:28">
      <c r="A6990" s="391"/>
      <c r="B6990" s="392"/>
      <c r="C6990" s="393" t="s">
        <v>201</v>
      </c>
      <c r="D6990" s="2562">
        <f>VLOOKUP(C6985,'Data Panjang Balok'!$C$9:$N$254,10,FALSE)</f>
        <v>0</v>
      </c>
      <c r="E6990" s="2563"/>
      <c r="F6990" s="2563"/>
      <c r="G6990" s="2563"/>
      <c r="H6990" s="2564"/>
      <c r="I6990" s="397"/>
      <c r="J6990" s="396"/>
      <c r="K6990" s="396"/>
      <c r="L6990" s="396"/>
      <c r="M6990" s="396"/>
      <c r="N6990" s="396"/>
      <c r="O6990" s="396"/>
      <c r="P6990" s="396"/>
      <c r="Q6990" s="396"/>
      <c r="R6990" s="396"/>
      <c r="S6990" s="396"/>
      <c r="T6990" s="396"/>
      <c r="U6990" s="388"/>
      <c r="V6990" s="396"/>
      <c r="W6990" s="388"/>
      <c r="X6990" s="396"/>
      <c r="Y6990" s="389"/>
      <c r="Z6990" s="396"/>
      <c r="AA6990" s="388"/>
      <c r="AB6990" s="390"/>
    </row>
    <row r="6991" spans="1:28">
      <c r="A6991" s="391"/>
      <c r="B6991" s="392"/>
      <c r="C6991" s="393" t="s">
        <v>48</v>
      </c>
      <c r="D6991" s="2562">
        <f>VLOOKUP(C6985,'Data Panjang Balok'!$C$9:$N$254,3,FALSE)</f>
        <v>1</v>
      </c>
      <c r="E6991" s="2563"/>
      <c r="F6991" s="2563"/>
      <c r="G6991" s="2563"/>
      <c r="H6991" s="2564"/>
      <c r="I6991" s="397"/>
      <c r="J6991" s="396"/>
      <c r="K6991" s="396"/>
      <c r="L6991" s="396"/>
      <c r="M6991" s="396"/>
      <c r="N6991" s="396"/>
      <c r="O6991" s="396"/>
      <c r="P6991" s="396"/>
      <c r="Q6991" s="396"/>
      <c r="R6991" s="396"/>
      <c r="S6991" s="396"/>
      <c r="T6991" s="396"/>
      <c r="U6991" s="388"/>
      <c r="V6991" s="396"/>
      <c r="W6991" s="388"/>
      <c r="X6991" s="396"/>
      <c r="Y6991" s="389"/>
      <c r="Z6991" s="396"/>
      <c r="AA6991" s="388"/>
      <c r="AB6991" s="390"/>
    </row>
    <row r="6992" spans="1:28">
      <c r="A6992" s="384" t="str">
        <f t="shared" ref="A6992:B6992" si="22654">A6985</f>
        <v>Lantai Atap</v>
      </c>
      <c r="B6992" s="385">
        <f t="shared" si="22654"/>
        <v>26</v>
      </c>
      <c r="C6992" s="393" t="s">
        <v>202</v>
      </c>
      <c r="D6992" s="398">
        <f>VLOOKUP(D6985,'Detail Balok'!$C$10:$AU$140,4,FALSE)</f>
        <v>2</v>
      </c>
      <c r="E6992" s="388" t="s">
        <v>16</v>
      </c>
      <c r="F6992" s="388">
        <f>VLOOKUP(D6985,'Detail Balok'!$C$10:$AU$140,6,FALSE)</f>
        <v>13</v>
      </c>
      <c r="G6992" s="388"/>
      <c r="H6992" s="395"/>
      <c r="I6992" s="388" t="s">
        <v>203</v>
      </c>
      <c r="J6992" s="399">
        <f t="shared" ref="J6992" si="22655">+D6987/4/1000</f>
        <v>0.65</v>
      </c>
      <c r="K6992" s="400" t="s">
        <v>204</v>
      </c>
      <c r="L6992" s="399">
        <f t="shared" ref="L6992" si="22656">MAX(VLOOKUP(F6992,N$6:P$15,3,FALSE)/1000,2/3*D6989/1000)+F$16*F6992/1000</f>
        <v>0.156</v>
      </c>
      <c r="M6992" s="399" t="s">
        <v>176</v>
      </c>
      <c r="N6992" s="399">
        <f t="shared" ref="N6992:N6994" si="22657">J6992+L6992</f>
        <v>0.80600000000000005</v>
      </c>
      <c r="O6992" s="399" t="s">
        <v>204</v>
      </c>
      <c r="P6992" s="389">
        <f t="shared" ref="P6992" si="22658">D6992-D6993</f>
        <v>0</v>
      </c>
      <c r="Q6992" s="399" t="s">
        <v>125</v>
      </c>
      <c r="R6992" s="399">
        <f t="shared" ref="R6992" si="22659">IF(P6992&gt;0,$F$18*F6992/1000,0)</f>
        <v>0</v>
      </c>
      <c r="S6992" s="399" t="s">
        <v>205</v>
      </c>
      <c r="T6992" s="399" t="s">
        <v>125</v>
      </c>
      <c r="U6992" s="401">
        <f t="shared" ref="U6992:U6994" si="22660">0.006165*F6992^2</f>
        <v>1.041885</v>
      </c>
      <c r="V6992" s="399"/>
      <c r="W6992" s="399"/>
      <c r="X6992" s="399" t="s">
        <v>125</v>
      </c>
      <c r="Y6992" s="389">
        <f t="shared" ref="Y6992" si="22661">D6991</f>
        <v>1</v>
      </c>
      <c r="Z6992" s="400" t="s">
        <v>176</v>
      </c>
      <c r="AA6992" s="402">
        <f t="shared" ref="AA6992" si="22662">IF(AA6995=0,(D6992*N6992+P6992*R6992)*U6992*Y6992,0)</f>
        <v>0</v>
      </c>
      <c r="AB6992" s="403"/>
    </row>
    <row r="6993" spans="1:28">
      <c r="A6993" s="384" t="str">
        <f t="shared" ref="A6993:B6993" si="22663">A6985</f>
        <v>Lantai Atap</v>
      </c>
      <c r="B6993" s="385">
        <f t="shared" si="22663"/>
        <v>26</v>
      </c>
      <c r="C6993" s="393" t="s">
        <v>206</v>
      </c>
      <c r="D6993" s="398">
        <f>VLOOKUP(D6985,'Detail Balok'!$C$10:$AU$140,7,FALSE)</f>
        <v>2</v>
      </c>
      <c r="E6993" s="388" t="s">
        <v>16</v>
      </c>
      <c r="F6993" s="388">
        <f>VLOOKUP(D6985,'Detail Balok'!$C$10:$AU$140,9,FALSE)</f>
        <v>13</v>
      </c>
      <c r="G6993" s="388"/>
      <c r="H6993" s="395"/>
      <c r="I6993" s="388" t="s">
        <v>203</v>
      </c>
      <c r="J6993" s="399">
        <f t="shared" ref="J6993" si="22664">+D6987/2/1000</f>
        <v>1.3</v>
      </c>
      <c r="K6993" s="400" t="s">
        <v>204</v>
      </c>
      <c r="L6993" s="399"/>
      <c r="M6993" s="399" t="s">
        <v>176</v>
      </c>
      <c r="N6993" s="399">
        <f t="shared" si="22657"/>
        <v>1.3</v>
      </c>
      <c r="O6993" s="399" t="s">
        <v>204</v>
      </c>
      <c r="P6993" s="389">
        <f t="shared" ref="P6993" si="22665">MAX(D6993-D6992,D6993-D6994)</f>
        <v>0</v>
      </c>
      <c r="Q6993" s="399" t="s">
        <v>125</v>
      </c>
      <c r="R6993" s="399">
        <f t="shared" ref="R6993" si="22666">IF(P6993&gt;0,2*(1-2*$F$19-1/2)*D6988/1000,0)</f>
        <v>0</v>
      </c>
      <c r="S6993" s="399" t="s">
        <v>205</v>
      </c>
      <c r="T6993" s="399" t="s">
        <v>125</v>
      </c>
      <c r="U6993" s="401">
        <f t="shared" si="22660"/>
        <v>1.041885</v>
      </c>
      <c r="V6993" s="399"/>
      <c r="W6993" s="399"/>
      <c r="X6993" s="399" t="s">
        <v>125</v>
      </c>
      <c r="Y6993" s="389">
        <f t="shared" ref="Y6993" si="22667">D6991</f>
        <v>1</v>
      </c>
      <c r="Z6993" s="400" t="s">
        <v>176</v>
      </c>
      <c r="AA6993" s="402">
        <f t="shared" ref="AA6993" si="22668">IF(AA6995=0,(D6993*N6993+P6993*R6993)*U6993*Y6993,0)</f>
        <v>0</v>
      </c>
      <c r="AB6993" s="403"/>
    </row>
    <row r="6994" spans="1:28">
      <c r="A6994" s="384" t="str">
        <f t="shared" ref="A6994:B6994" si="22669">A6985</f>
        <v>Lantai Atap</v>
      </c>
      <c r="B6994" s="385">
        <f t="shared" si="22669"/>
        <v>26</v>
      </c>
      <c r="C6994" s="393" t="s">
        <v>202</v>
      </c>
      <c r="D6994" s="398">
        <f>VLOOKUP(D6985,'Detail Balok'!$C$10:$AU$140,10,FALSE)</f>
        <v>2</v>
      </c>
      <c r="E6994" s="388" t="s">
        <v>16</v>
      </c>
      <c r="F6994" s="388">
        <f>VLOOKUP(D6985,'Detail Balok'!$C$10:$AU$140,12,FALSE)</f>
        <v>13</v>
      </c>
      <c r="G6994" s="388"/>
      <c r="H6994" s="395"/>
      <c r="I6994" s="388" t="s">
        <v>203</v>
      </c>
      <c r="J6994" s="399">
        <f t="shared" ref="J6994" si="22670">+D6987/4/1000</f>
        <v>0.65</v>
      </c>
      <c r="K6994" s="400" t="s">
        <v>204</v>
      </c>
      <c r="L6994" s="399">
        <f t="shared" ref="L6994" si="22671">MAX(VLOOKUP(F6994,N$6:P$15,3,FALSE)/1000,2/3*D6989/1000)+F$16*F6994/1000</f>
        <v>0.156</v>
      </c>
      <c r="M6994" s="399" t="s">
        <v>176</v>
      </c>
      <c r="N6994" s="399">
        <f t="shared" si="22657"/>
        <v>0.80600000000000005</v>
      </c>
      <c r="O6994" s="399" t="s">
        <v>204</v>
      </c>
      <c r="P6994" s="389">
        <f t="shared" ref="P6994" si="22672">D6994-D6993</f>
        <v>0</v>
      </c>
      <c r="Q6994" s="399" t="s">
        <v>125</v>
      </c>
      <c r="R6994" s="399">
        <f t="shared" ref="R6994" si="22673">IF(P6994&gt;0,$F$18*F6994/1000,0)</f>
        <v>0</v>
      </c>
      <c r="S6994" s="399" t="s">
        <v>205</v>
      </c>
      <c r="T6994" s="399" t="s">
        <v>125</v>
      </c>
      <c r="U6994" s="401">
        <f t="shared" si="22660"/>
        <v>1.041885</v>
      </c>
      <c r="V6994" s="399"/>
      <c r="W6994" s="399"/>
      <c r="X6994" s="399" t="s">
        <v>125</v>
      </c>
      <c r="Y6994" s="389">
        <f t="shared" ref="Y6994" si="22674">D6991</f>
        <v>1</v>
      </c>
      <c r="Z6994" s="400" t="s">
        <v>176</v>
      </c>
      <c r="AA6994" s="402">
        <f t="shared" ref="AA6994" si="22675">IF(AA6995=0,(D6994*N6994+P6994*R6994)*U6994*Y6994,0)</f>
        <v>0</v>
      </c>
      <c r="AB6994" s="403"/>
    </row>
    <row r="6995" spans="1:28">
      <c r="A6995" s="384" t="str">
        <f t="shared" ref="A6995:B6995" si="22676">A6985</f>
        <v>Lantai Atap</v>
      </c>
      <c r="B6995" s="385">
        <f t="shared" si="22676"/>
        <v>26</v>
      </c>
      <c r="C6995" s="393"/>
      <c r="D6995" s="398">
        <f t="shared" ref="D6995:D7085" si="22677">IF(AND(D6992=D6993,D6993=D6994,D6992=D6994),D6992,0)</f>
        <v>2</v>
      </c>
      <c r="E6995" s="388" t="s">
        <v>16</v>
      </c>
      <c r="F6995" s="388">
        <f t="shared" ref="F6995:F7085" si="22678">IF(AND(F6992=F6993,F6992=F6994,F6993=F6994),F6992,0)</f>
        <v>13</v>
      </c>
      <c r="G6995" s="388"/>
      <c r="H6995" s="395"/>
      <c r="I6995" s="388"/>
      <c r="J6995" s="396"/>
      <c r="K6995" s="396"/>
      <c r="L6995" s="404" t="s">
        <v>207</v>
      </c>
      <c r="M6995" s="399" t="s">
        <v>176</v>
      </c>
      <c r="N6995" s="399">
        <f t="shared" ref="N6995" si="22679">IF(AND(D6992=D6993,D6992=D6994,D6993=D6994,F6992=F6993,F6992=F6994,F6993=F6994),SUM(N6992:N6994),0)</f>
        <v>2.9119999999999999</v>
      </c>
      <c r="O6995" s="399" t="s">
        <v>204</v>
      </c>
      <c r="P6995" s="389">
        <f t="shared" ref="P6995" si="22680">IF(N6995&gt;12,ROUNDDOWN(N6995/12,0),0)</f>
        <v>0</v>
      </c>
      <c r="Q6995" s="399" t="s">
        <v>125</v>
      </c>
      <c r="R6995" s="399">
        <f t="shared" ref="R6995" si="22681">IF(P6995&gt;0,MAX(VLOOKUP(F6995,$D$6:$G$15,3,FALSE),600),0)/1000</f>
        <v>0</v>
      </c>
      <c r="S6995" s="396"/>
      <c r="T6995" s="396" t="s">
        <v>125</v>
      </c>
      <c r="U6995" s="401">
        <f t="shared" ref="U6995:U7085" si="22682">U6994</f>
        <v>1.041885</v>
      </c>
      <c r="V6995" s="396" t="s">
        <v>125</v>
      </c>
      <c r="W6995" s="399">
        <f t="shared" ref="W6995" si="22683">D6995</f>
        <v>2</v>
      </c>
      <c r="X6995" s="399" t="s">
        <v>125</v>
      </c>
      <c r="Y6995" s="389">
        <f t="shared" ref="Y6995:Y7085" si="22684">Y6994</f>
        <v>1</v>
      </c>
      <c r="Z6995" s="400" t="s">
        <v>176</v>
      </c>
      <c r="AA6995" s="402">
        <f t="shared" ref="AA6995" si="22685">(N6995+P6995*R6995/1000)*U6995*W6995*Y6995</f>
        <v>6.0679382399999993</v>
      </c>
      <c r="AB6995" s="390"/>
    </row>
    <row r="6996" spans="1:28">
      <c r="A6996" s="384"/>
      <c r="B6996" s="385"/>
      <c r="C6996" s="393"/>
      <c r="D6996" s="398"/>
      <c r="E6996" s="388"/>
      <c r="F6996" s="388"/>
      <c r="G6996" s="388"/>
      <c r="H6996" s="395"/>
      <c r="I6996" s="388"/>
      <c r="J6996" s="396"/>
      <c r="K6996" s="396"/>
      <c r="L6996" s="404"/>
      <c r="M6996" s="399"/>
      <c r="N6996" s="399"/>
      <c r="O6996" s="396"/>
      <c r="P6996" s="389"/>
      <c r="Q6996" s="396"/>
      <c r="R6996" s="396"/>
      <c r="S6996" s="396"/>
      <c r="T6996" s="396"/>
      <c r="U6996" s="401"/>
      <c r="V6996" s="396"/>
      <c r="W6996" s="399"/>
      <c r="X6996" s="396"/>
      <c r="Y6996" s="389"/>
      <c r="Z6996" s="396"/>
      <c r="AA6996" s="388"/>
      <c r="AB6996" s="390"/>
    </row>
    <row r="6997" spans="1:28">
      <c r="A6997" s="384" t="str">
        <f t="shared" ref="A6997:B6997" si="22686">A6985</f>
        <v>Lantai Atap</v>
      </c>
      <c r="B6997" s="385">
        <f t="shared" si="22686"/>
        <v>26</v>
      </c>
      <c r="C6997" s="393" t="s">
        <v>208</v>
      </c>
      <c r="D6997" s="398">
        <f>VLOOKUP(D6985,'Detail Balok'!$C$10:$AU$140,13,FALSE)</f>
        <v>0</v>
      </c>
      <c r="E6997" s="388" t="s">
        <v>16</v>
      </c>
      <c r="F6997" s="388">
        <f>VLOOKUP(D6985,'Detail Balok'!$C$10:$AU$140,15,FALSE)</f>
        <v>8</v>
      </c>
      <c r="G6997" s="388"/>
      <c r="H6997" s="395"/>
      <c r="I6997" s="388"/>
      <c r="J6997" s="399">
        <f t="shared" ref="J6997" si="22687">+D6987/1000</f>
        <v>2.6</v>
      </c>
      <c r="K6997" s="400" t="s">
        <v>204</v>
      </c>
      <c r="L6997" s="399">
        <f t="shared" ref="L6997" si="22688">2*$F$16*F6997/1000</f>
        <v>0.192</v>
      </c>
      <c r="M6997" s="399" t="s">
        <v>176</v>
      </c>
      <c r="N6997" s="399">
        <f t="shared" ref="N6997" si="22689">J6997+L6997</f>
        <v>2.7920000000000003</v>
      </c>
      <c r="O6997" s="399" t="s">
        <v>204</v>
      </c>
      <c r="P6997" s="389">
        <f t="shared" ref="P6997" si="22690">IF(N6997&gt;12,ROUNDDOWN(N6997/12,0),0)</f>
        <v>0</v>
      </c>
      <c r="Q6997" s="399" t="s">
        <v>125</v>
      </c>
      <c r="R6997" s="399">
        <f t="shared" ref="R6997" si="22691">IF(P6997&gt;0,MAX(VLOOKUP(F6997,$D$6:$G$15,3,FALSE),600),0)/1000</f>
        <v>0</v>
      </c>
      <c r="S6997" s="399"/>
      <c r="T6997" s="399" t="s">
        <v>125</v>
      </c>
      <c r="U6997" s="401">
        <f t="shared" ref="U6997" si="22692">0.006165*F6997^2</f>
        <v>0.39456000000000002</v>
      </c>
      <c r="V6997" s="399" t="s">
        <v>125</v>
      </c>
      <c r="W6997" s="399">
        <f t="shared" ref="W6997" si="22693">+D6997</f>
        <v>0</v>
      </c>
      <c r="X6997" s="399" t="s">
        <v>125</v>
      </c>
      <c r="Y6997" s="389">
        <f t="shared" ref="Y6997" si="22694">D6991</f>
        <v>1</v>
      </c>
      <c r="Z6997" s="400" t="s">
        <v>176</v>
      </c>
      <c r="AA6997" s="402">
        <f t="shared" ref="AA6997" si="22695">(N6997+P6997*R6997/1000)*U6997*W6997*Y6997</f>
        <v>0</v>
      </c>
      <c r="AB6997" s="403"/>
    </row>
    <row r="6998" spans="1:28">
      <c r="A6998" s="384"/>
      <c r="B6998" s="385"/>
      <c r="C6998" s="393"/>
      <c r="D6998" s="398"/>
      <c r="E6998" s="388"/>
      <c r="F6998" s="388"/>
      <c r="G6998" s="388"/>
      <c r="H6998" s="395"/>
      <c r="I6998" s="388"/>
      <c r="J6998" s="399"/>
      <c r="K6998" s="400"/>
      <c r="L6998" s="399"/>
      <c r="M6998" s="399"/>
      <c r="N6998" s="399"/>
      <c r="O6998" s="399"/>
      <c r="P6998" s="389"/>
      <c r="Q6998" s="399"/>
      <c r="R6998" s="399"/>
      <c r="S6998" s="399"/>
      <c r="T6998" s="399"/>
      <c r="U6998" s="401"/>
      <c r="V6998" s="399"/>
      <c r="W6998" s="399"/>
      <c r="X6998" s="399"/>
      <c r="Y6998" s="389"/>
      <c r="Z6998" s="400"/>
      <c r="AA6998" s="402"/>
      <c r="AB6998" s="403"/>
    </row>
    <row r="6999" spans="1:28">
      <c r="A6999" s="384"/>
      <c r="B6999" s="385"/>
      <c r="C6999" s="393"/>
      <c r="D6999" s="398"/>
      <c r="E6999" s="388"/>
      <c r="F6999" s="388"/>
      <c r="G6999" s="388"/>
      <c r="H6999" s="395"/>
      <c r="I6999" s="388"/>
      <c r="J6999" s="396"/>
      <c r="K6999" s="396"/>
      <c r="L6999" s="396"/>
      <c r="M6999" s="396"/>
      <c r="N6999" s="396"/>
      <c r="O6999" s="396"/>
      <c r="P6999" s="389"/>
      <c r="Q6999" s="396"/>
      <c r="R6999" s="396"/>
      <c r="S6999" s="396"/>
      <c r="T6999" s="396"/>
      <c r="U6999" s="401"/>
      <c r="V6999" s="396"/>
      <c r="W6999" s="399"/>
      <c r="X6999" s="396"/>
      <c r="Y6999" s="389"/>
      <c r="Z6999" s="396"/>
      <c r="AA6999" s="388"/>
      <c r="AB6999" s="390"/>
    </row>
    <row r="7000" spans="1:28">
      <c r="A7000" s="384" t="str">
        <f t="shared" ref="A7000:B7000" si="22696">A6985</f>
        <v>Lantai Atap</v>
      </c>
      <c r="B7000" s="385">
        <f t="shared" si="22696"/>
        <v>26</v>
      </c>
      <c r="C7000" s="393" t="s">
        <v>209</v>
      </c>
      <c r="D7000" s="398">
        <f>VLOOKUP(D6985,'Detail Balok'!$C$10:$AU$140,22,FALSE)</f>
        <v>2</v>
      </c>
      <c r="E7000" s="388" t="s">
        <v>16</v>
      </c>
      <c r="F7000" s="388">
        <f>VLOOKUP(D6985,'Detail Balok'!$C$10:$AU$140,24,FALSE)</f>
        <v>13</v>
      </c>
      <c r="G7000" s="388"/>
      <c r="H7000" s="395"/>
      <c r="I7000" s="388" t="s">
        <v>203</v>
      </c>
      <c r="J7000" s="399">
        <f t="shared" ref="J7000:J7092" si="22697">+J6992</f>
        <v>0.65</v>
      </c>
      <c r="K7000" s="400" t="s">
        <v>204</v>
      </c>
      <c r="L7000" s="399">
        <f t="shared" ref="L7000" si="22698">MAX(VLOOKUP(F7000,N$6:P$15,3,FALSE)/1000,2/3*D6990/1000)+F$16*F7000/1000</f>
        <v>0.156</v>
      </c>
      <c r="M7000" s="399" t="s">
        <v>176</v>
      </c>
      <c r="N7000" s="399">
        <f t="shared" ref="N7000:N7002" si="22699">J7000+L7000</f>
        <v>0.80600000000000005</v>
      </c>
      <c r="O7000" s="399" t="s">
        <v>204</v>
      </c>
      <c r="P7000" s="389">
        <f t="shared" ref="P7000" si="22700">D7000-D7001</f>
        <v>0</v>
      </c>
      <c r="Q7000" s="399" t="s">
        <v>125</v>
      </c>
      <c r="R7000" s="399">
        <f t="shared" ref="R7000" si="22701">IF(P7000&gt;0,$F$18*F7000/1000,0)</f>
        <v>0</v>
      </c>
      <c r="S7000" s="399" t="s">
        <v>205</v>
      </c>
      <c r="T7000" s="399" t="s">
        <v>125</v>
      </c>
      <c r="U7000" s="401">
        <f t="shared" ref="U7000:U7002" si="22702">0.006165*F7000^2</f>
        <v>1.041885</v>
      </c>
      <c r="V7000" s="399"/>
      <c r="W7000" s="399"/>
      <c r="X7000" s="399" t="s">
        <v>125</v>
      </c>
      <c r="Y7000" s="389">
        <f t="shared" ref="Y7000" si="22703">D6991</f>
        <v>1</v>
      </c>
      <c r="Z7000" s="400" t="s">
        <v>176</v>
      </c>
      <c r="AA7000" s="402">
        <f t="shared" ref="AA7000" si="22704">IF(AA7003=0,(D7000*N7000+P7000*R7000)*U7000*Y7000,0)</f>
        <v>0</v>
      </c>
      <c r="AB7000" s="403"/>
    </row>
    <row r="7001" spans="1:28">
      <c r="A7001" s="384" t="str">
        <f t="shared" ref="A7001:B7001" si="22705">A6985</f>
        <v>Lantai Atap</v>
      </c>
      <c r="B7001" s="385">
        <f t="shared" si="22705"/>
        <v>26</v>
      </c>
      <c r="C7001" s="393" t="s">
        <v>210</v>
      </c>
      <c r="D7001" s="398">
        <f>VLOOKUP(D6985,'Detail Balok'!$C$10:$AU$140,25,FALSE)</f>
        <v>2</v>
      </c>
      <c r="E7001" s="388" t="s">
        <v>16</v>
      </c>
      <c r="F7001" s="388">
        <f>VLOOKUP(D6985,'Detail Balok'!$C$10:$AU$140,27,FALSE)</f>
        <v>13</v>
      </c>
      <c r="G7001" s="388"/>
      <c r="H7001" s="395"/>
      <c r="I7001" s="388" t="s">
        <v>203</v>
      </c>
      <c r="J7001" s="399">
        <f t="shared" si="22697"/>
        <v>1.3</v>
      </c>
      <c r="K7001" s="400" t="s">
        <v>204</v>
      </c>
      <c r="L7001" s="399"/>
      <c r="M7001" s="399" t="s">
        <v>176</v>
      </c>
      <c r="N7001" s="399">
        <f t="shared" si="22699"/>
        <v>1.3</v>
      </c>
      <c r="O7001" s="399" t="s">
        <v>204</v>
      </c>
      <c r="P7001" s="389">
        <f t="shared" ref="P7001" si="22706">MAX(D7001-D7000,D7001-D7002)</f>
        <v>0</v>
      </c>
      <c r="Q7001" s="399" t="s">
        <v>125</v>
      </c>
      <c r="R7001" s="399">
        <f t="shared" ref="R7001" si="22707">IF(P7001&gt;0,2*(1-2*$F$19-1/2)*D6988/1000,0)</f>
        <v>0</v>
      </c>
      <c r="S7001" s="399" t="s">
        <v>205</v>
      </c>
      <c r="T7001" s="399" t="s">
        <v>125</v>
      </c>
      <c r="U7001" s="401">
        <f t="shared" si="22702"/>
        <v>1.041885</v>
      </c>
      <c r="V7001" s="399"/>
      <c r="W7001" s="399"/>
      <c r="X7001" s="399" t="s">
        <v>125</v>
      </c>
      <c r="Y7001" s="389">
        <f t="shared" ref="Y7001" si="22708">D6991</f>
        <v>1</v>
      </c>
      <c r="Z7001" s="400" t="s">
        <v>176</v>
      </c>
      <c r="AA7001" s="402">
        <f t="shared" ref="AA7001" si="22709">IF(AA7003=0,(D7001*N7001+P7001*R7001)*U7001*Y7001,0)</f>
        <v>0</v>
      </c>
      <c r="AB7001" s="403"/>
    </row>
    <row r="7002" spans="1:28">
      <c r="A7002" s="384" t="str">
        <f t="shared" ref="A7002:B7002" si="22710">A6985</f>
        <v>Lantai Atap</v>
      </c>
      <c r="B7002" s="385">
        <f t="shared" si="22710"/>
        <v>26</v>
      </c>
      <c r="C7002" s="393" t="s">
        <v>209</v>
      </c>
      <c r="D7002" s="398">
        <f>VLOOKUP(D6985,'Detail Balok'!$C$10:$AU$140,28,FALSE)</f>
        <v>2</v>
      </c>
      <c r="E7002" s="388" t="s">
        <v>16</v>
      </c>
      <c r="F7002" s="388">
        <f>VLOOKUP(D6985,'Detail Balok'!$C$10:$AU$140,30,FALSE)</f>
        <v>13</v>
      </c>
      <c r="G7002" s="388"/>
      <c r="H7002" s="395"/>
      <c r="I7002" s="388" t="s">
        <v>203</v>
      </c>
      <c r="J7002" s="399">
        <f t="shared" si="22697"/>
        <v>0.65</v>
      </c>
      <c r="K7002" s="400" t="s">
        <v>204</v>
      </c>
      <c r="L7002" s="399">
        <f t="shared" ref="L7002" si="22711">MAX(VLOOKUP(F7002,N$6:P$15,3,FALSE)/1000,2/3*D6990/1000)+F$16*F7002/1000</f>
        <v>0.156</v>
      </c>
      <c r="M7002" s="399" t="s">
        <v>176</v>
      </c>
      <c r="N7002" s="399">
        <f t="shared" si="22699"/>
        <v>0.80600000000000005</v>
      </c>
      <c r="O7002" s="399" t="s">
        <v>204</v>
      </c>
      <c r="P7002" s="389">
        <f t="shared" ref="P7002" si="22712">D7002-D7001</f>
        <v>0</v>
      </c>
      <c r="Q7002" s="399" t="s">
        <v>125</v>
      </c>
      <c r="R7002" s="399">
        <f t="shared" ref="R7002" si="22713">IF(P7002&gt;0,$F$18*F7002/1000,0)</f>
        <v>0</v>
      </c>
      <c r="S7002" s="399" t="s">
        <v>205</v>
      </c>
      <c r="T7002" s="399" t="s">
        <v>125</v>
      </c>
      <c r="U7002" s="401">
        <f t="shared" si="22702"/>
        <v>1.041885</v>
      </c>
      <c r="V7002" s="399"/>
      <c r="W7002" s="399"/>
      <c r="X7002" s="399" t="s">
        <v>125</v>
      </c>
      <c r="Y7002" s="389">
        <f t="shared" ref="Y7002" si="22714">D6991</f>
        <v>1</v>
      </c>
      <c r="Z7002" s="400" t="s">
        <v>176</v>
      </c>
      <c r="AA7002" s="402">
        <f t="shared" ref="AA7002" si="22715">IF(AA7003=0,(D7002*N7002+P7002*R7002)*U7002*Y7002,0)</f>
        <v>0</v>
      </c>
      <c r="AB7002" s="403"/>
    </row>
    <row r="7003" spans="1:28">
      <c r="A7003" s="384" t="str">
        <f t="shared" ref="A7003:B7003" si="22716">A6985</f>
        <v>Lantai Atap</v>
      </c>
      <c r="B7003" s="385">
        <f t="shared" si="22716"/>
        <v>26</v>
      </c>
      <c r="C7003" s="393"/>
      <c r="D7003" s="398">
        <f t="shared" ref="D7003:D7093" si="22717">IF(AND(D7000=D7001,D7001=D7002,D7000=D7002),D7000,0)</f>
        <v>2</v>
      </c>
      <c r="E7003" s="388" t="s">
        <v>16</v>
      </c>
      <c r="F7003" s="388">
        <f t="shared" ref="F7003:F7093" si="22718">IF(AND(F7000=F7001,F7000=F7002,F7001=F7002),F7000,0)</f>
        <v>13</v>
      </c>
      <c r="G7003" s="388"/>
      <c r="H7003" s="395"/>
      <c r="I7003" s="388"/>
      <c r="J7003" s="396"/>
      <c r="K7003" s="396"/>
      <c r="L7003" s="404" t="s">
        <v>207</v>
      </c>
      <c r="M7003" s="399" t="s">
        <v>176</v>
      </c>
      <c r="N7003" s="399">
        <f t="shared" ref="N7003" si="22719">IF(AND(D7000=D7001,D7000=D7002,D7001=D7002,F7000=F7001,F7000=F7002,F7001=F7002),SUM(N7000:N7002),0)</f>
        <v>2.9119999999999999</v>
      </c>
      <c r="O7003" s="399" t="s">
        <v>204</v>
      </c>
      <c r="P7003" s="389">
        <f t="shared" ref="P7003" si="22720">IF(N7003&gt;12,ROUNDDOWN(N7003/12,0),0)</f>
        <v>0</v>
      </c>
      <c r="Q7003" s="399" t="s">
        <v>125</v>
      </c>
      <c r="R7003" s="399">
        <f t="shared" ref="R7003" si="22721">IF(P7003&gt;0,MAX(VLOOKUP(F7003,$D$6:$G$15,3,FALSE),600),0)/1000</f>
        <v>0</v>
      </c>
      <c r="S7003" s="396"/>
      <c r="T7003" s="396" t="s">
        <v>125</v>
      </c>
      <c r="U7003" s="401">
        <f t="shared" ref="U7003:U7093" si="22722">U7002</f>
        <v>1.041885</v>
      </c>
      <c r="V7003" s="396" t="s">
        <v>125</v>
      </c>
      <c r="W7003" s="399">
        <f t="shared" ref="W7003" si="22723">D7003</f>
        <v>2</v>
      </c>
      <c r="X7003" s="399" t="s">
        <v>125</v>
      </c>
      <c r="Y7003" s="389">
        <f t="shared" ref="Y7003:Y7093" si="22724">Y7002</f>
        <v>1</v>
      </c>
      <c r="Z7003" s="400" t="s">
        <v>176</v>
      </c>
      <c r="AA7003" s="402">
        <f t="shared" ref="AA7003" si="22725">(N7003+P7003*R7003/1000)*U7003*W7003*Y7003</f>
        <v>6.0679382399999993</v>
      </c>
      <c r="AB7003" s="403"/>
    </row>
    <row r="7004" spans="1:28">
      <c r="A7004" s="384"/>
      <c r="B7004" s="385"/>
      <c r="C7004" s="393"/>
      <c r="D7004" s="394"/>
      <c r="E7004" s="388"/>
      <c r="F7004" s="388"/>
      <c r="G7004" s="388"/>
      <c r="H7004" s="395"/>
      <c r="I7004" s="388"/>
      <c r="J7004" s="399"/>
      <c r="K7004" s="396"/>
      <c r="L7004" s="396"/>
      <c r="M7004" s="396"/>
      <c r="N7004" s="396"/>
      <c r="O7004" s="396"/>
      <c r="P7004" s="389"/>
      <c r="Q7004" s="396"/>
      <c r="R7004" s="396"/>
      <c r="S7004" s="396"/>
      <c r="T7004" s="396"/>
      <c r="U7004" s="401"/>
      <c r="V7004" s="396"/>
      <c r="W7004" s="388"/>
      <c r="X7004" s="396"/>
      <c r="Y7004" s="389"/>
      <c r="Z7004" s="396"/>
      <c r="AA7004" s="388"/>
      <c r="AB7004" s="390"/>
    </row>
    <row r="7005" spans="1:28">
      <c r="A7005" s="384" t="str">
        <f t="shared" ref="A7005:B7005" si="22726">A6985</f>
        <v>Lantai Atap</v>
      </c>
      <c r="B7005" s="385">
        <f t="shared" si="22726"/>
        <v>26</v>
      </c>
      <c r="C7005" s="393" t="s">
        <v>211</v>
      </c>
      <c r="D7005" s="398">
        <f>VLOOKUP(D6985,'Detail Balok'!$C$10:$AU$140,31,FALSE)</f>
        <v>0</v>
      </c>
      <c r="E7005" s="388" t="s">
        <v>16</v>
      </c>
      <c r="F7005" s="388">
        <f>VLOOKUP(D6985,'Detail Balok'!$C$10:$AU$140,33,FALSE)</f>
        <v>8</v>
      </c>
      <c r="G7005" s="405" t="s">
        <v>157</v>
      </c>
      <c r="H7005" s="395">
        <f>VLOOKUP(D6985,'Detail Balok'!$C$10:$AU$140,35,FALSE)</f>
        <v>150</v>
      </c>
      <c r="I7005" s="388"/>
      <c r="J7005" s="400">
        <f t="shared" ref="J7005" si="22727">(IF(D7005=0,(2*(D6986+G6986))-(F$5*8),IF(D7005=3,(2*(D6986+G6986))-(F$5*8)+(G6986-2*F$5),IF(D7005=4,(2*(D6986+G6986))-(F$5*8)+2*(G6986-2*F$5)))))/1000</f>
        <v>0.74</v>
      </c>
      <c r="K7005" s="400" t="s">
        <v>204</v>
      </c>
      <c r="L7005" s="399">
        <f t="shared" ref="L7005:L7007" si="22728">IF(D7005=0,2*MAX(6*F7005,75),(D7005-1)*2*MAX(6*F7005,75))/1000</f>
        <v>0.15</v>
      </c>
      <c r="M7005" s="399" t="s">
        <v>176</v>
      </c>
      <c r="N7005" s="399">
        <f t="shared" ref="N7005:N7007" si="22729">J7005+L7005</f>
        <v>0.89</v>
      </c>
      <c r="O7005" s="399"/>
      <c r="P7005" s="389"/>
      <c r="Q7005" s="399"/>
      <c r="R7005" s="399"/>
      <c r="S7005" s="399"/>
      <c r="T7005" s="399" t="s">
        <v>125</v>
      </c>
      <c r="U7005" s="401">
        <f t="shared" ref="U7005:U7007" si="22730">0.006165*F7005^2</f>
        <v>0.39456000000000002</v>
      </c>
      <c r="V7005" s="399" t="s">
        <v>125</v>
      </c>
      <c r="W7005" s="399">
        <f t="shared" ref="W7005" si="22731">IF(D6988&gt;4*G6986,ROUND(MAX(D6988/4,2*G6986)/H7005,0)+1,ROUND(D6988/H7005,0)+1)</f>
        <v>6</v>
      </c>
      <c r="X7005" s="399" t="s">
        <v>125</v>
      </c>
      <c r="Y7005" s="389">
        <f t="shared" ref="Y7005" si="22732">D6991</f>
        <v>1</v>
      </c>
      <c r="Z7005" s="400" t="s">
        <v>176</v>
      </c>
      <c r="AA7005" s="402">
        <f t="shared" ref="AA7005:AA7007" si="22733">N7005*U7005*W7005*Y7005</f>
        <v>2.1069504000000001</v>
      </c>
      <c r="AB7005" s="403"/>
    </row>
    <row r="7006" spans="1:28">
      <c r="A7006" s="384" t="str">
        <f t="shared" ref="A7006:B7006" si="22734">A6985</f>
        <v>Lantai Atap</v>
      </c>
      <c r="B7006" s="385">
        <f t="shared" si="22734"/>
        <v>26</v>
      </c>
      <c r="C7006" s="393" t="s">
        <v>212</v>
      </c>
      <c r="D7006" s="398">
        <f>VLOOKUP(D6985,'Detail Balok'!$C$10:$AU$140,36,FALSE)</f>
        <v>0</v>
      </c>
      <c r="E7006" s="388" t="s">
        <v>16</v>
      </c>
      <c r="F7006" s="388">
        <f>VLOOKUP(D6985,'Detail Balok'!$C$10:$AU$140,38,FALSE)</f>
        <v>8</v>
      </c>
      <c r="G7006" s="405" t="s">
        <v>157</v>
      </c>
      <c r="H7006" s="395">
        <f>VLOOKUP(D6985,'Detail Balok'!$C$10:$AU$140,40,FALSE)</f>
        <v>200</v>
      </c>
      <c r="I7006" s="388"/>
      <c r="J7006" s="400">
        <f t="shared" ref="J7006" si="22735">(IF(D7006=0,(2*(D6986+G6986))-(F$5*8),IF(D7006=3,(2*(D6986+G6986))-(F$5*8)+(G6986-2*F$5),IF(D7006=4,(2*(D6986+G6986))-(F$5*8)+2*(G6986-2*F$5)))))/1000</f>
        <v>0.74</v>
      </c>
      <c r="K7006" s="400" t="s">
        <v>204</v>
      </c>
      <c r="L7006" s="399">
        <f t="shared" si="22728"/>
        <v>0.15</v>
      </c>
      <c r="M7006" s="399" t="s">
        <v>176</v>
      </c>
      <c r="N7006" s="399">
        <f t="shared" si="22729"/>
        <v>0.89</v>
      </c>
      <c r="O7006" s="399"/>
      <c r="P7006" s="389"/>
      <c r="Q7006" s="399"/>
      <c r="R7006" s="399"/>
      <c r="S7006" s="399"/>
      <c r="T7006" s="399" t="s">
        <v>125</v>
      </c>
      <c r="U7006" s="401">
        <f t="shared" si="22730"/>
        <v>0.39456000000000002</v>
      </c>
      <c r="V7006" s="399" t="s">
        <v>125</v>
      </c>
      <c r="W7006" s="399">
        <f t="shared" ref="W7006" si="22736">IF(D6988-MAX(D6988/4,2*G6986)*2&gt;0,ROUND((D6988-MAX(D6988/4,2*G6986)*2)/H7006,0),0)</f>
        <v>5</v>
      </c>
      <c r="X7006" s="399" t="s">
        <v>125</v>
      </c>
      <c r="Y7006" s="389">
        <f t="shared" ref="Y7006" si="22737">D6991</f>
        <v>1</v>
      </c>
      <c r="Z7006" s="400" t="s">
        <v>176</v>
      </c>
      <c r="AA7006" s="402">
        <f t="shared" si="22733"/>
        <v>1.7557920000000002</v>
      </c>
      <c r="AB7006" s="403"/>
    </row>
    <row r="7007" spans="1:28">
      <c r="A7007" s="384" t="str">
        <f t="shared" ref="A7007:B7007" si="22738">A6985</f>
        <v>Lantai Atap</v>
      </c>
      <c r="B7007" s="385">
        <f t="shared" si="22738"/>
        <v>26</v>
      </c>
      <c r="C7007" s="393" t="s">
        <v>211</v>
      </c>
      <c r="D7007" s="398">
        <f>VLOOKUP(D6985,'Detail Balok'!$C$10:$AU$140,41,FALSE)</f>
        <v>0</v>
      </c>
      <c r="E7007" s="388" t="s">
        <v>16</v>
      </c>
      <c r="F7007" s="388">
        <f>VLOOKUP(D6985,'Detail Balok'!$C$10:$AU$140,43,FALSE)</f>
        <v>8</v>
      </c>
      <c r="G7007" s="405" t="s">
        <v>157</v>
      </c>
      <c r="H7007" s="395">
        <f>VLOOKUP(D6985,'Detail Balok'!$C$10:$AU$140,45,FALSE)</f>
        <v>150</v>
      </c>
      <c r="I7007" s="388"/>
      <c r="J7007" s="400">
        <f t="shared" ref="J7007" si="22739">(IF(D7007=0,(2*(D6986+G6986))-(F$5*8),IF(D7007=3,(2*(D6986+G6986))-(F$5*8)+(G6986-2*F$5),IF(D7007=4,(2*(D6986+G6986))-(F$5*8)+2*(G6986-2*F$5)))))/1000</f>
        <v>0.74</v>
      </c>
      <c r="K7007" s="400" t="s">
        <v>204</v>
      </c>
      <c r="L7007" s="399">
        <f t="shared" si="22728"/>
        <v>0.15</v>
      </c>
      <c r="M7007" s="399" t="s">
        <v>176</v>
      </c>
      <c r="N7007" s="399">
        <f t="shared" si="22729"/>
        <v>0.89</v>
      </c>
      <c r="O7007" s="399"/>
      <c r="P7007" s="389"/>
      <c r="Q7007" s="399"/>
      <c r="R7007" s="399"/>
      <c r="S7007" s="399"/>
      <c r="T7007" s="399" t="s">
        <v>125</v>
      </c>
      <c r="U7007" s="401">
        <f t="shared" si="22730"/>
        <v>0.39456000000000002</v>
      </c>
      <c r="V7007" s="399" t="s">
        <v>125</v>
      </c>
      <c r="W7007" s="399">
        <f t="shared" ref="W7007" si="22740">IF(D6988&gt;4*G6986,ROUND(MAX(D6988/4,2*G6986)/H7007,0)+1,0)</f>
        <v>6</v>
      </c>
      <c r="X7007" s="399" t="s">
        <v>125</v>
      </c>
      <c r="Y7007" s="389">
        <f t="shared" ref="Y7007" si="22741">D6991</f>
        <v>1</v>
      </c>
      <c r="Z7007" s="400" t="s">
        <v>176</v>
      </c>
      <c r="AA7007" s="402">
        <f t="shared" si="22733"/>
        <v>2.1069504000000001</v>
      </c>
      <c r="AB7007" s="403"/>
    </row>
    <row r="7008" spans="1:28">
      <c r="A7008" s="384"/>
      <c r="B7008" s="385"/>
      <c r="C7008" s="393"/>
      <c r="D7008" s="394"/>
      <c r="E7008" s="388"/>
      <c r="F7008" s="388"/>
      <c r="G7008" s="388"/>
      <c r="H7008" s="395"/>
      <c r="I7008" s="388"/>
      <c r="J7008" s="399"/>
      <c r="K7008" s="396"/>
      <c r="L7008" s="396"/>
      <c r="M7008" s="396"/>
      <c r="N7008" s="396"/>
      <c r="O7008" s="396"/>
      <c r="P7008" s="389"/>
      <c r="Q7008" s="396"/>
      <c r="R7008" s="396"/>
      <c r="S7008" s="396"/>
      <c r="T7008" s="396"/>
      <c r="U7008" s="401"/>
      <c r="V7008" s="396"/>
      <c r="W7008" s="388"/>
      <c r="X7008" s="396"/>
      <c r="Y7008" s="389"/>
      <c r="Z7008" s="396"/>
      <c r="AA7008" s="388"/>
      <c r="AB7008" s="390"/>
    </row>
    <row r="7009" spans="1:28">
      <c r="A7009" s="384" t="str">
        <f t="shared" ref="A7009:B7009" si="22742">A6985</f>
        <v>Lantai Atap</v>
      </c>
      <c r="B7009" s="385">
        <f t="shared" si="22742"/>
        <v>26</v>
      </c>
      <c r="C7009" s="393" t="s">
        <v>213</v>
      </c>
      <c r="D7009" s="398">
        <f>VLOOKUP(D6985,'Detail Balok'!$C$10:$BJ$140,46,FALSE)</f>
        <v>0</v>
      </c>
      <c r="E7009" s="388" t="s">
        <v>16</v>
      </c>
      <c r="F7009" s="388">
        <f>VLOOKUP(D6985,'Detail Balok'!$C$10:$BJ$140,48,FALSE)</f>
        <v>0</v>
      </c>
      <c r="G7009" s="405" t="s">
        <v>157</v>
      </c>
      <c r="H7009" s="395">
        <f>VLOOKUP(D6985,'Detail Balok'!$C$10:$BJ$140,50,FALSE)</f>
        <v>100</v>
      </c>
      <c r="I7009" s="388"/>
      <c r="J7009" s="399">
        <f t="shared" ref="J7009" si="22743">(D6986-2*F$5)/1000</f>
        <v>0.05</v>
      </c>
      <c r="K7009" s="400" t="s">
        <v>204</v>
      </c>
      <c r="L7009" s="399">
        <f t="shared" ref="L7009:L7011" si="22744">IF(D7009=0,2*MAX(6*F7009,75),(D7009-1)*2*MAX(6*F7009,75))/1000</f>
        <v>0.15</v>
      </c>
      <c r="M7009" s="399" t="s">
        <v>176</v>
      </c>
      <c r="N7009" s="399">
        <f t="shared" ref="N7009:N7011" si="22745">J7009+L7009</f>
        <v>0.2</v>
      </c>
      <c r="O7009" s="399"/>
      <c r="P7009" s="399"/>
      <c r="Q7009" s="399"/>
      <c r="R7009" s="399"/>
      <c r="S7009" s="399"/>
      <c r="T7009" s="399" t="s">
        <v>125</v>
      </c>
      <c r="U7009" s="401">
        <f t="shared" ref="U7009:U7011" si="22746">0.006165*F7009^2</f>
        <v>0</v>
      </c>
      <c r="V7009" s="399" t="s">
        <v>125</v>
      </c>
      <c r="W7009" s="399">
        <f t="shared" ref="W7009:W7101" si="22747">W7005</f>
        <v>6</v>
      </c>
      <c r="X7009" s="399" t="s">
        <v>125</v>
      </c>
      <c r="Y7009" s="389">
        <f t="shared" ref="Y7009" si="22748">D6995</f>
        <v>2</v>
      </c>
      <c r="Z7009" s="400" t="s">
        <v>176</v>
      </c>
      <c r="AA7009" s="402">
        <f t="shared" ref="AA7009:AA7011" si="22749">N7009*U7009*W7009*Y7009</f>
        <v>0</v>
      </c>
      <c r="AB7009" s="403"/>
    </row>
    <row r="7010" spans="1:28">
      <c r="A7010" s="384" t="str">
        <f t="shared" ref="A7010:B7010" si="22750">A6985</f>
        <v>Lantai Atap</v>
      </c>
      <c r="B7010" s="385">
        <f t="shared" si="22750"/>
        <v>26</v>
      </c>
      <c r="C7010" s="393" t="s">
        <v>214</v>
      </c>
      <c r="D7010" s="398">
        <f>VLOOKUP(D6985,'Detail Balok'!$C$10:$BJ$140,51,FALSE)</f>
        <v>0</v>
      </c>
      <c r="E7010" s="388" t="s">
        <v>16</v>
      </c>
      <c r="F7010" s="388">
        <f>VLOOKUP(D6985,'Detail Balok'!$C$10:$BJ$140,53,FALSE)</f>
        <v>0</v>
      </c>
      <c r="G7010" s="405" t="s">
        <v>157</v>
      </c>
      <c r="H7010" s="395">
        <f>VLOOKUP(D6985,'Detail Balok'!$C$10:$BJ$140,55,FALSE)</f>
        <v>100</v>
      </c>
      <c r="I7010" s="388"/>
      <c r="J7010" s="399">
        <f t="shared" ref="J7010" si="22751">(D6986-2*F$5)/1000</f>
        <v>0.05</v>
      </c>
      <c r="K7010" s="400" t="s">
        <v>204</v>
      </c>
      <c r="L7010" s="399">
        <f t="shared" si="22744"/>
        <v>0.15</v>
      </c>
      <c r="M7010" s="399" t="s">
        <v>176</v>
      </c>
      <c r="N7010" s="399">
        <f t="shared" si="22745"/>
        <v>0.2</v>
      </c>
      <c r="O7010" s="399"/>
      <c r="P7010" s="399"/>
      <c r="Q7010" s="399"/>
      <c r="R7010" s="399"/>
      <c r="S7010" s="399"/>
      <c r="T7010" s="399" t="s">
        <v>125</v>
      </c>
      <c r="U7010" s="401">
        <f t="shared" si="22746"/>
        <v>0</v>
      </c>
      <c r="V7010" s="399" t="s">
        <v>125</v>
      </c>
      <c r="W7010" s="399">
        <f t="shared" si="22747"/>
        <v>5</v>
      </c>
      <c r="X7010" s="399" t="s">
        <v>125</v>
      </c>
      <c r="Y7010" s="389">
        <f t="shared" ref="Y7010" si="22752">D6995</f>
        <v>2</v>
      </c>
      <c r="Z7010" s="400" t="s">
        <v>176</v>
      </c>
      <c r="AA7010" s="402">
        <f t="shared" si="22749"/>
        <v>0</v>
      </c>
      <c r="AB7010" s="403"/>
    </row>
    <row r="7011" spans="1:28">
      <c r="A7011" s="384" t="str">
        <f t="shared" ref="A7011:B7011" si="22753">A6985</f>
        <v>Lantai Atap</v>
      </c>
      <c r="B7011" s="385">
        <f t="shared" si="22753"/>
        <v>26</v>
      </c>
      <c r="C7011" s="393" t="s">
        <v>213</v>
      </c>
      <c r="D7011" s="398">
        <f>VLOOKUP(D6985,'Detail Balok'!$C$10:$BJ$140,56,FALSE)</f>
        <v>0</v>
      </c>
      <c r="E7011" s="388" t="s">
        <v>16</v>
      </c>
      <c r="F7011" s="388">
        <f>VLOOKUP(D6985,'Detail Balok'!$C$10:$BJ$140,58,FALSE)</f>
        <v>0</v>
      </c>
      <c r="G7011" s="405" t="s">
        <v>157</v>
      </c>
      <c r="H7011" s="395">
        <f>VLOOKUP(D6985,'Detail Balok'!$C$10:$BJ$140,60,FALSE)</f>
        <v>100</v>
      </c>
      <c r="I7011" s="388"/>
      <c r="J7011" s="399">
        <f t="shared" ref="J7011" si="22754">(D6986-2*F$5)/1000</f>
        <v>0.05</v>
      </c>
      <c r="K7011" s="400" t="s">
        <v>204</v>
      </c>
      <c r="L7011" s="399">
        <f t="shared" si="22744"/>
        <v>0.15</v>
      </c>
      <c r="M7011" s="399" t="s">
        <v>176</v>
      </c>
      <c r="N7011" s="399">
        <f t="shared" si="22745"/>
        <v>0.2</v>
      </c>
      <c r="O7011" s="399"/>
      <c r="P7011" s="399"/>
      <c r="Q7011" s="399"/>
      <c r="R7011" s="399"/>
      <c r="S7011" s="399"/>
      <c r="T7011" s="399" t="s">
        <v>125</v>
      </c>
      <c r="U7011" s="401">
        <f t="shared" si="22746"/>
        <v>0</v>
      </c>
      <c r="V7011" s="399" t="s">
        <v>125</v>
      </c>
      <c r="W7011" s="399">
        <f t="shared" si="22747"/>
        <v>6</v>
      </c>
      <c r="X7011" s="399" t="s">
        <v>125</v>
      </c>
      <c r="Y7011" s="389">
        <f t="shared" ref="Y7011" si="22755">D6995</f>
        <v>2</v>
      </c>
      <c r="Z7011" s="400" t="s">
        <v>176</v>
      </c>
      <c r="AA7011" s="402">
        <f t="shared" si="22749"/>
        <v>0</v>
      </c>
      <c r="AB7011" s="403"/>
    </row>
    <row r="7012" spans="1:28">
      <c r="A7012" s="391"/>
      <c r="B7012" s="392"/>
      <c r="C7012" s="392"/>
      <c r="D7012" s="394"/>
      <c r="E7012" s="388"/>
      <c r="F7012" s="388"/>
      <c r="G7012" s="388"/>
      <c r="H7012" s="395"/>
      <c r="I7012" s="388"/>
      <c r="J7012" s="402"/>
      <c r="K7012" s="388"/>
      <c r="L7012" s="388"/>
      <c r="M7012" s="388"/>
      <c r="N7012" s="388"/>
      <c r="O7012" s="388"/>
      <c r="P7012" s="388"/>
      <c r="Q7012" s="388"/>
      <c r="R7012" s="388"/>
      <c r="S7012" s="388"/>
      <c r="T7012" s="388"/>
      <c r="U7012" s="388"/>
      <c r="V7012" s="388"/>
      <c r="W7012" s="388"/>
      <c r="X7012" s="388"/>
      <c r="Y7012" s="389"/>
      <c r="Z7012" s="388"/>
      <c r="AA7012" s="402"/>
      <c r="AB7012" s="403"/>
    </row>
    <row r="7013" spans="1:28" ht="15.75" thickBot="1">
      <c r="A7013" s="406"/>
      <c r="B7013" s="407"/>
      <c r="C7013" s="407"/>
      <c r="D7013" s="408"/>
      <c r="E7013" s="409"/>
      <c r="F7013" s="409"/>
      <c r="G7013" s="409"/>
      <c r="H7013" s="410"/>
      <c r="I7013" s="409"/>
      <c r="J7013" s="409"/>
      <c r="K7013" s="409"/>
      <c r="L7013" s="409"/>
      <c r="M7013" s="409"/>
      <c r="N7013" s="409"/>
      <c r="O7013" s="409"/>
      <c r="P7013" s="409"/>
      <c r="Q7013" s="409"/>
      <c r="R7013" s="409"/>
      <c r="S7013" s="409"/>
      <c r="T7013" s="409"/>
      <c r="U7013" s="409"/>
      <c r="V7013" s="409"/>
      <c r="W7013" s="409"/>
      <c r="X7013" s="409"/>
      <c r="Y7013" s="411"/>
      <c r="Z7013" s="409"/>
      <c r="AA7013" s="412"/>
      <c r="AB7013" s="413"/>
    </row>
    <row r="7014" spans="1:28">
      <c r="A7014" s="377"/>
      <c r="B7014" s="378"/>
      <c r="C7014" s="378"/>
      <c r="D7014" s="379"/>
      <c r="E7014" s="380"/>
      <c r="F7014" s="380"/>
      <c r="G7014" s="380"/>
      <c r="H7014" s="381"/>
      <c r="I7014" s="380"/>
      <c r="J7014" s="380"/>
      <c r="K7014" s="380"/>
      <c r="L7014" s="380"/>
      <c r="M7014" s="380"/>
      <c r="N7014" s="380"/>
      <c r="O7014" s="380"/>
      <c r="P7014" s="380"/>
      <c r="Q7014" s="380"/>
      <c r="R7014" s="380"/>
      <c r="S7014" s="380"/>
      <c r="T7014" s="380"/>
      <c r="U7014" s="380"/>
      <c r="V7014" s="380"/>
      <c r="W7014" s="380"/>
      <c r="X7014" s="380"/>
      <c r="Y7014" s="382"/>
      <c r="Z7014" s="380"/>
      <c r="AA7014" s="380"/>
      <c r="AB7014" s="383"/>
    </row>
    <row r="7015" spans="1:28">
      <c r="A7015" s="384" t="str">
        <f t="shared" ref="A7015:A7105" si="22756">A6985</f>
        <v>Lantai Atap</v>
      </c>
      <c r="B7015" s="385">
        <f t="shared" ref="B7015:B7105" si="22757">B6985+1</f>
        <v>27</v>
      </c>
      <c r="C7015" s="386" t="str">
        <f t="shared" ref="C7015" si="22758">CONCATENATE(A7015," no. ",B7015)</f>
        <v>Lantai Atap no. 27</v>
      </c>
      <c r="D7015" s="2562" t="str">
        <f>VLOOKUP(C7015,'Data Panjang Balok'!$C$9:$N$254,2,FALSE)</f>
        <v>B24-1</v>
      </c>
      <c r="E7015" s="2576"/>
      <c r="F7015" s="2576"/>
      <c r="G7015" s="2576"/>
      <c r="H7015" s="2577"/>
      <c r="I7015" s="387"/>
      <c r="J7015" s="388"/>
      <c r="K7015" s="388"/>
      <c r="L7015" s="388"/>
      <c r="M7015" s="388"/>
      <c r="N7015" s="388"/>
      <c r="O7015" s="388"/>
      <c r="P7015" s="388"/>
      <c r="Q7015" s="388"/>
      <c r="R7015" s="388"/>
      <c r="S7015" s="388"/>
      <c r="T7015" s="388"/>
      <c r="U7015" s="388"/>
      <c r="V7015" s="388"/>
      <c r="W7015" s="388"/>
      <c r="X7015" s="388"/>
      <c r="Y7015" s="389"/>
      <c r="Z7015" s="388"/>
      <c r="AA7015" s="388"/>
      <c r="AB7015" s="390"/>
    </row>
    <row r="7016" spans="1:28">
      <c r="A7016" s="391"/>
      <c r="B7016" s="392"/>
      <c r="C7016" s="393" t="s">
        <v>118</v>
      </c>
      <c r="D7016" s="2578">
        <f>VLOOKUP(D7015,'Detail Balok'!$C$10:$AU$140,2,FALSE)</f>
        <v>200</v>
      </c>
      <c r="E7016" s="2579"/>
      <c r="F7016" s="388" t="s">
        <v>125</v>
      </c>
      <c r="G7016" s="2579">
        <f>VLOOKUP(D7015,'Detail Balok'!$C$10:$AU$140,3,FALSE)</f>
        <v>400</v>
      </c>
      <c r="H7016" s="2580"/>
      <c r="I7016" s="388"/>
      <c r="J7016" s="396"/>
      <c r="K7016" s="396"/>
      <c r="L7016" s="396"/>
      <c r="M7016" s="396"/>
      <c r="N7016" s="396"/>
      <c r="O7016" s="396"/>
      <c r="P7016" s="396"/>
      <c r="Q7016" s="396"/>
      <c r="R7016" s="396"/>
      <c r="S7016" s="396"/>
      <c r="T7016" s="396"/>
      <c r="U7016" s="388"/>
      <c r="V7016" s="396"/>
      <c r="W7016" s="388"/>
      <c r="X7016" s="396"/>
      <c r="Y7016" s="389"/>
      <c r="Z7016" s="396"/>
      <c r="AA7016" s="388"/>
      <c r="AB7016" s="390"/>
    </row>
    <row r="7017" spans="1:28">
      <c r="A7017" s="391"/>
      <c r="B7017" s="392"/>
      <c r="C7017" s="393" t="s">
        <v>198</v>
      </c>
      <c r="D7017" s="2562">
        <f>VLOOKUP(C7015,'Data Panjang Balok'!$C$9:$N$254,4,FALSE)</f>
        <v>4555</v>
      </c>
      <c r="E7017" s="2563"/>
      <c r="F7017" s="2563"/>
      <c r="G7017" s="2563"/>
      <c r="H7017" s="2564"/>
      <c r="I7017" s="397"/>
      <c r="J7017" s="396"/>
      <c r="K7017" s="396"/>
      <c r="L7017" s="396"/>
      <c r="M7017" s="396"/>
      <c r="N7017" s="396"/>
      <c r="O7017" s="396"/>
      <c r="P7017" s="396"/>
      <c r="Q7017" s="396"/>
      <c r="R7017" s="396"/>
      <c r="S7017" s="396"/>
      <c r="T7017" s="396"/>
      <c r="U7017" s="388"/>
      <c r="V7017" s="396"/>
      <c r="W7017" s="388"/>
      <c r="X7017" s="396"/>
      <c r="Y7017" s="389"/>
      <c r="Z7017" s="396"/>
      <c r="AA7017" s="388"/>
      <c r="AB7017" s="390"/>
    </row>
    <row r="7018" spans="1:28">
      <c r="A7018" s="391"/>
      <c r="B7018" s="392"/>
      <c r="C7018" s="393" t="s">
        <v>199</v>
      </c>
      <c r="D7018" s="2562">
        <f>VLOOKUP(C7015,'Data Panjang Balok'!$C$9:$N$254,7,FALSE)</f>
        <v>4555</v>
      </c>
      <c r="E7018" s="2563"/>
      <c r="F7018" s="2563"/>
      <c r="G7018" s="2563"/>
      <c r="H7018" s="2564"/>
      <c r="I7018" s="397"/>
      <c r="J7018" s="396"/>
      <c r="K7018" s="396"/>
      <c r="L7018" s="396"/>
      <c r="M7018" s="396"/>
      <c r="N7018" s="396"/>
      <c r="O7018" s="396"/>
      <c r="P7018" s="396"/>
      <c r="Q7018" s="396"/>
      <c r="R7018" s="396"/>
      <c r="S7018" s="396"/>
      <c r="T7018" s="396"/>
      <c r="U7018" s="388"/>
      <c r="V7018" s="396"/>
      <c r="W7018" s="388"/>
      <c r="X7018" s="396"/>
      <c r="Y7018" s="389"/>
      <c r="Z7018" s="396"/>
      <c r="AA7018" s="388"/>
      <c r="AB7018" s="390"/>
    </row>
    <row r="7019" spans="1:28">
      <c r="A7019" s="391"/>
      <c r="B7019" s="392"/>
      <c r="C7019" s="393" t="s">
        <v>200</v>
      </c>
      <c r="D7019" s="2562">
        <f>VLOOKUP(C7015,'Data Panjang Balok'!$C$9:$N$254,9,FALSE)</f>
        <v>0</v>
      </c>
      <c r="E7019" s="2563"/>
      <c r="F7019" s="2563"/>
      <c r="G7019" s="2563"/>
      <c r="H7019" s="2564"/>
      <c r="I7019" s="397"/>
      <c r="J7019" s="396"/>
      <c r="K7019" s="396"/>
      <c r="L7019" s="396"/>
      <c r="M7019" s="396"/>
      <c r="N7019" s="396"/>
      <c r="O7019" s="396"/>
      <c r="P7019" s="396"/>
      <c r="Q7019" s="396"/>
      <c r="R7019" s="396"/>
      <c r="S7019" s="396"/>
      <c r="T7019" s="396"/>
      <c r="U7019" s="388"/>
      <c r="V7019" s="396"/>
      <c r="W7019" s="388"/>
      <c r="X7019" s="396"/>
      <c r="Y7019" s="389"/>
      <c r="Z7019" s="396"/>
      <c r="AA7019" s="388"/>
      <c r="AB7019" s="390"/>
    </row>
    <row r="7020" spans="1:28">
      <c r="A7020" s="391"/>
      <c r="B7020" s="392"/>
      <c r="C7020" s="393" t="s">
        <v>201</v>
      </c>
      <c r="D7020" s="2562">
        <f>VLOOKUP(C7015,'Data Panjang Balok'!$C$9:$N$254,10,FALSE)</f>
        <v>0</v>
      </c>
      <c r="E7020" s="2563"/>
      <c r="F7020" s="2563"/>
      <c r="G7020" s="2563"/>
      <c r="H7020" s="2564"/>
      <c r="I7020" s="397"/>
      <c r="J7020" s="396"/>
      <c r="K7020" s="396"/>
      <c r="L7020" s="396"/>
      <c r="M7020" s="396"/>
      <c r="N7020" s="396"/>
      <c r="O7020" s="396"/>
      <c r="P7020" s="396"/>
      <c r="Q7020" s="396"/>
      <c r="R7020" s="396"/>
      <c r="S7020" s="396"/>
      <c r="T7020" s="396"/>
      <c r="U7020" s="388"/>
      <c r="V7020" s="396"/>
      <c r="W7020" s="388"/>
      <c r="X7020" s="396"/>
      <c r="Y7020" s="389"/>
      <c r="Z7020" s="396"/>
      <c r="AA7020" s="388"/>
      <c r="AB7020" s="390"/>
    </row>
    <row r="7021" spans="1:28">
      <c r="A7021" s="391"/>
      <c r="B7021" s="392"/>
      <c r="C7021" s="393" t="s">
        <v>48</v>
      </c>
      <c r="D7021" s="2562">
        <f>VLOOKUP(C7015,'Data Panjang Balok'!$C$9:$N$254,3,FALSE)</f>
        <v>1</v>
      </c>
      <c r="E7021" s="2563"/>
      <c r="F7021" s="2563"/>
      <c r="G7021" s="2563"/>
      <c r="H7021" s="2564"/>
      <c r="I7021" s="397"/>
      <c r="J7021" s="396"/>
      <c r="K7021" s="396"/>
      <c r="L7021" s="396"/>
      <c r="M7021" s="396"/>
      <c r="N7021" s="396"/>
      <c r="O7021" s="396"/>
      <c r="P7021" s="396"/>
      <c r="Q7021" s="396"/>
      <c r="R7021" s="396"/>
      <c r="S7021" s="396"/>
      <c r="T7021" s="396"/>
      <c r="U7021" s="388"/>
      <c r="V7021" s="396"/>
      <c r="W7021" s="388"/>
      <c r="X7021" s="396"/>
      <c r="Y7021" s="389"/>
      <c r="Z7021" s="396"/>
      <c r="AA7021" s="388"/>
      <c r="AB7021" s="390"/>
    </row>
    <row r="7022" spans="1:28">
      <c r="A7022" s="384" t="str">
        <f t="shared" ref="A7022:B7022" si="22759">A7015</f>
        <v>Lantai Atap</v>
      </c>
      <c r="B7022" s="385">
        <f t="shared" si="22759"/>
        <v>27</v>
      </c>
      <c r="C7022" s="393" t="s">
        <v>202</v>
      </c>
      <c r="D7022" s="398">
        <f>VLOOKUP(D7015,'Detail Balok'!$C$10:$AU$140,4,FALSE)</f>
        <v>3</v>
      </c>
      <c r="E7022" s="388" t="s">
        <v>16</v>
      </c>
      <c r="F7022" s="388">
        <f>VLOOKUP(D7015,'Detail Balok'!$C$10:$AU$140,6,FALSE)</f>
        <v>13</v>
      </c>
      <c r="G7022" s="388"/>
      <c r="H7022" s="395"/>
      <c r="I7022" s="388" t="s">
        <v>203</v>
      </c>
      <c r="J7022" s="399">
        <f t="shared" ref="J7022" si="22760">+D7017/4/1000</f>
        <v>1.1387499999999999</v>
      </c>
      <c r="K7022" s="400" t="s">
        <v>204</v>
      </c>
      <c r="L7022" s="399">
        <f t="shared" ref="L7022" si="22761">MAX(VLOOKUP(F7022,N$6:P$15,3,FALSE)/1000,2/3*D7019/1000)+F$16*F7022/1000</f>
        <v>0.156</v>
      </c>
      <c r="M7022" s="399" t="s">
        <v>176</v>
      </c>
      <c r="N7022" s="399">
        <f t="shared" ref="N7022:N7024" si="22762">J7022+L7022</f>
        <v>1.2947499999999998</v>
      </c>
      <c r="O7022" s="399" t="s">
        <v>204</v>
      </c>
      <c r="P7022" s="389">
        <f t="shared" ref="P7022" si="22763">D7022-D7023</f>
        <v>0</v>
      </c>
      <c r="Q7022" s="399" t="s">
        <v>125</v>
      </c>
      <c r="R7022" s="399">
        <f t="shared" ref="R7022" si="22764">IF(P7022&gt;0,$F$18*F7022/1000,0)</f>
        <v>0</v>
      </c>
      <c r="S7022" s="399" t="s">
        <v>205</v>
      </c>
      <c r="T7022" s="399" t="s">
        <v>125</v>
      </c>
      <c r="U7022" s="401">
        <f t="shared" ref="U7022:U7024" si="22765">0.006165*F7022^2</f>
        <v>1.041885</v>
      </c>
      <c r="V7022" s="399"/>
      <c r="W7022" s="399"/>
      <c r="X7022" s="399" t="s">
        <v>125</v>
      </c>
      <c r="Y7022" s="389">
        <f t="shared" ref="Y7022" si="22766">D7021</f>
        <v>1</v>
      </c>
      <c r="Z7022" s="400" t="s">
        <v>176</v>
      </c>
      <c r="AA7022" s="402">
        <f t="shared" ref="AA7022" si="22767">IF(AA7025=0,(D7022*N7022+P7022*R7022)*U7022*Y7022,0)</f>
        <v>0</v>
      </c>
      <c r="AB7022" s="403"/>
    </row>
    <row r="7023" spans="1:28">
      <c r="A7023" s="384" t="str">
        <f t="shared" ref="A7023:B7023" si="22768">A7015</f>
        <v>Lantai Atap</v>
      </c>
      <c r="B7023" s="385">
        <f t="shared" si="22768"/>
        <v>27</v>
      </c>
      <c r="C7023" s="393" t="s">
        <v>206</v>
      </c>
      <c r="D7023" s="398">
        <f>VLOOKUP(D7015,'Detail Balok'!$C$10:$AU$140,7,FALSE)</f>
        <v>3</v>
      </c>
      <c r="E7023" s="388" t="s">
        <v>16</v>
      </c>
      <c r="F7023" s="388">
        <f>VLOOKUP(D7015,'Detail Balok'!$C$10:$AU$140,9,FALSE)</f>
        <v>13</v>
      </c>
      <c r="G7023" s="388"/>
      <c r="H7023" s="395"/>
      <c r="I7023" s="388" t="s">
        <v>203</v>
      </c>
      <c r="J7023" s="399">
        <f t="shared" ref="J7023" si="22769">+D7017/2/1000</f>
        <v>2.2774999999999999</v>
      </c>
      <c r="K7023" s="400" t="s">
        <v>204</v>
      </c>
      <c r="L7023" s="399"/>
      <c r="M7023" s="399" t="s">
        <v>176</v>
      </c>
      <c r="N7023" s="399">
        <f t="shared" si="22762"/>
        <v>2.2774999999999999</v>
      </c>
      <c r="O7023" s="399" t="s">
        <v>204</v>
      </c>
      <c r="P7023" s="389">
        <f t="shared" ref="P7023" si="22770">MAX(D7023-D7022,D7023-D7024)</f>
        <v>0</v>
      </c>
      <c r="Q7023" s="399" t="s">
        <v>125</v>
      </c>
      <c r="R7023" s="399">
        <f t="shared" ref="R7023" si="22771">IF(P7023&gt;0,2*(1-2*$F$19-1/2)*D7018/1000,0)</f>
        <v>0</v>
      </c>
      <c r="S7023" s="399" t="s">
        <v>205</v>
      </c>
      <c r="T7023" s="399" t="s">
        <v>125</v>
      </c>
      <c r="U7023" s="401">
        <f t="shared" si="22765"/>
        <v>1.041885</v>
      </c>
      <c r="V7023" s="399"/>
      <c r="W7023" s="399"/>
      <c r="X7023" s="399" t="s">
        <v>125</v>
      </c>
      <c r="Y7023" s="389">
        <f t="shared" ref="Y7023" si="22772">D7021</f>
        <v>1</v>
      </c>
      <c r="Z7023" s="400" t="s">
        <v>176</v>
      </c>
      <c r="AA7023" s="402">
        <f t="shared" ref="AA7023" si="22773">IF(AA7025=0,(D7023*N7023+P7023*R7023)*U7023*Y7023,0)</f>
        <v>0</v>
      </c>
      <c r="AB7023" s="403"/>
    </row>
    <row r="7024" spans="1:28">
      <c r="A7024" s="384" t="str">
        <f t="shared" ref="A7024:B7024" si="22774">A7015</f>
        <v>Lantai Atap</v>
      </c>
      <c r="B7024" s="385">
        <f t="shared" si="22774"/>
        <v>27</v>
      </c>
      <c r="C7024" s="393" t="s">
        <v>202</v>
      </c>
      <c r="D7024" s="398">
        <f>VLOOKUP(D7015,'Detail Balok'!$C$10:$AU$140,10,FALSE)</f>
        <v>3</v>
      </c>
      <c r="E7024" s="388" t="s">
        <v>16</v>
      </c>
      <c r="F7024" s="388">
        <f>VLOOKUP(D7015,'Detail Balok'!$C$10:$AU$140,12,FALSE)</f>
        <v>13</v>
      </c>
      <c r="G7024" s="388"/>
      <c r="H7024" s="395"/>
      <c r="I7024" s="388" t="s">
        <v>203</v>
      </c>
      <c r="J7024" s="399">
        <f t="shared" ref="J7024" si="22775">+D7017/4/1000</f>
        <v>1.1387499999999999</v>
      </c>
      <c r="K7024" s="400" t="s">
        <v>204</v>
      </c>
      <c r="L7024" s="399">
        <f t="shared" ref="L7024" si="22776">MAX(VLOOKUP(F7024,N$6:P$15,3,FALSE)/1000,2/3*D7019/1000)+F$16*F7024/1000</f>
        <v>0.156</v>
      </c>
      <c r="M7024" s="399" t="s">
        <v>176</v>
      </c>
      <c r="N7024" s="399">
        <f t="shared" si="22762"/>
        <v>1.2947499999999998</v>
      </c>
      <c r="O7024" s="399" t="s">
        <v>204</v>
      </c>
      <c r="P7024" s="389">
        <f t="shared" ref="P7024" si="22777">D7024-D7023</f>
        <v>0</v>
      </c>
      <c r="Q7024" s="399" t="s">
        <v>125</v>
      </c>
      <c r="R7024" s="399">
        <f t="shared" ref="R7024" si="22778">IF(P7024&gt;0,$F$18*F7024/1000,0)</f>
        <v>0</v>
      </c>
      <c r="S7024" s="399" t="s">
        <v>205</v>
      </c>
      <c r="T7024" s="399" t="s">
        <v>125</v>
      </c>
      <c r="U7024" s="401">
        <f t="shared" si="22765"/>
        <v>1.041885</v>
      </c>
      <c r="V7024" s="399"/>
      <c r="W7024" s="399"/>
      <c r="X7024" s="399" t="s">
        <v>125</v>
      </c>
      <c r="Y7024" s="389">
        <f t="shared" ref="Y7024" si="22779">D7021</f>
        <v>1</v>
      </c>
      <c r="Z7024" s="400" t="s">
        <v>176</v>
      </c>
      <c r="AA7024" s="402">
        <f t="shared" ref="AA7024" si="22780">IF(AA7025=0,(D7024*N7024+P7024*R7024)*U7024*Y7024,0)</f>
        <v>0</v>
      </c>
      <c r="AB7024" s="403"/>
    </row>
    <row r="7025" spans="1:28">
      <c r="A7025" s="384" t="str">
        <f t="shared" ref="A7025:B7025" si="22781">A7015</f>
        <v>Lantai Atap</v>
      </c>
      <c r="B7025" s="385">
        <f t="shared" si="22781"/>
        <v>27</v>
      </c>
      <c r="C7025" s="393"/>
      <c r="D7025" s="398">
        <f t="shared" si="22677"/>
        <v>3</v>
      </c>
      <c r="E7025" s="388" t="s">
        <v>16</v>
      </c>
      <c r="F7025" s="388">
        <f t="shared" si="22678"/>
        <v>13</v>
      </c>
      <c r="G7025" s="388"/>
      <c r="H7025" s="395"/>
      <c r="I7025" s="388"/>
      <c r="J7025" s="396"/>
      <c r="K7025" s="396"/>
      <c r="L7025" s="404" t="s">
        <v>207</v>
      </c>
      <c r="M7025" s="399" t="s">
        <v>176</v>
      </c>
      <c r="N7025" s="399">
        <f t="shared" ref="N7025" si="22782">IF(AND(D7022=D7023,D7022=D7024,D7023=D7024,F7022=F7023,F7022=F7024,F7023=F7024),SUM(N7022:N7024),0)</f>
        <v>4.8669999999999991</v>
      </c>
      <c r="O7025" s="399" t="s">
        <v>204</v>
      </c>
      <c r="P7025" s="389">
        <f t="shared" ref="P7025" si="22783">IF(N7025&gt;12,ROUNDDOWN(N7025/12,0),0)</f>
        <v>0</v>
      </c>
      <c r="Q7025" s="399" t="s">
        <v>125</v>
      </c>
      <c r="R7025" s="399">
        <f t="shared" ref="R7025" si="22784">IF(P7025&gt;0,MAX(VLOOKUP(F7025,$D$6:$G$15,3,FALSE),600),0)/1000</f>
        <v>0</v>
      </c>
      <c r="S7025" s="396"/>
      <c r="T7025" s="396" t="s">
        <v>125</v>
      </c>
      <c r="U7025" s="401">
        <f t="shared" si="22682"/>
        <v>1.041885</v>
      </c>
      <c r="V7025" s="396" t="s">
        <v>125</v>
      </c>
      <c r="W7025" s="399">
        <f t="shared" ref="W7025" si="22785">D7025</f>
        <v>3</v>
      </c>
      <c r="X7025" s="399" t="s">
        <v>125</v>
      </c>
      <c r="Y7025" s="389">
        <f t="shared" si="22684"/>
        <v>1</v>
      </c>
      <c r="Z7025" s="400" t="s">
        <v>176</v>
      </c>
      <c r="AA7025" s="402">
        <f t="shared" ref="AA7025" si="22786">(N7025+P7025*R7025/1000)*U7025*W7025*Y7025</f>
        <v>15.212562884999995</v>
      </c>
      <c r="AB7025" s="390"/>
    </row>
    <row r="7026" spans="1:28">
      <c r="A7026" s="384"/>
      <c r="B7026" s="385"/>
      <c r="C7026" s="393"/>
      <c r="D7026" s="398"/>
      <c r="E7026" s="388"/>
      <c r="F7026" s="388"/>
      <c r="G7026" s="388"/>
      <c r="H7026" s="395"/>
      <c r="I7026" s="388"/>
      <c r="J7026" s="396"/>
      <c r="K7026" s="396"/>
      <c r="L7026" s="404"/>
      <c r="M7026" s="399"/>
      <c r="N7026" s="399"/>
      <c r="O7026" s="396"/>
      <c r="P7026" s="389"/>
      <c r="Q7026" s="396"/>
      <c r="R7026" s="396"/>
      <c r="S7026" s="396"/>
      <c r="T7026" s="396"/>
      <c r="U7026" s="401"/>
      <c r="V7026" s="396"/>
      <c r="W7026" s="399"/>
      <c r="X7026" s="396"/>
      <c r="Y7026" s="389"/>
      <c r="Z7026" s="396"/>
      <c r="AA7026" s="388"/>
      <c r="AB7026" s="390"/>
    </row>
    <row r="7027" spans="1:28">
      <c r="A7027" s="384" t="str">
        <f t="shared" ref="A7027:B7027" si="22787">A7015</f>
        <v>Lantai Atap</v>
      </c>
      <c r="B7027" s="385">
        <f t="shared" si="22787"/>
        <v>27</v>
      </c>
      <c r="C7027" s="393" t="s">
        <v>208</v>
      </c>
      <c r="D7027" s="398">
        <f>VLOOKUP(D7015,'Detail Balok'!$C$10:$AU$140,13,FALSE)</f>
        <v>0</v>
      </c>
      <c r="E7027" s="388" t="s">
        <v>16</v>
      </c>
      <c r="F7027" s="388">
        <f>VLOOKUP(D7015,'Detail Balok'!$C$10:$AU$140,15,FALSE)</f>
        <v>8</v>
      </c>
      <c r="G7027" s="388"/>
      <c r="H7027" s="395"/>
      <c r="I7027" s="388"/>
      <c r="J7027" s="399">
        <f t="shared" ref="J7027" si="22788">+D7017/1000</f>
        <v>4.5549999999999997</v>
      </c>
      <c r="K7027" s="400" t="s">
        <v>204</v>
      </c>
      <c r="L7027" s="399">
        <f t="shared" ref="L7027" si="22789">2*$F$16*F7027/1000</f>
        <v>0.192</v>
      </c>
      <c r="M7027" s="399" t="s">
        <v>176</v>
      </c>
      <c r="N7027" s="399">
        <f t="shared" ref="N7027" si="22790">J7027+L7027</f>
        <v>4.7469999999999999</v>
      </c>
      <c r="O7027" s="399" t="s">
        <v>204</v>
      </c>
      <c r="P7027" s="389">
        <f t="shared" ref="P7027" si="22791">IF(N7027&gt;12,ROUNDDOWN(N7027/12,0),0)</f>
        <v>0</v>
      </c>
      <c r="Q7027" s="399" t="s">
        <v>125</v>
      </c>
      <c r="R7027" s="399">
        <f t="shared" ref="R7027" si="22792">IF(P7027&gt;0,MAX(VLOOKUP(F7027,$D$6:$G$15,3,FALSE),600),0)/1000</f>
        <v>0</v>
      </c>
      <c r="S7027" s="399"/>
      <c r="T7027" s="399" t="s">
        <v>125</v>
      </c>
      <c r="U7027" s="401">
        <f t="shared" ref="U7027" si="22793">0.006165*F7027^2</f>
        <v>0.39456000000000002</v>
      </c>
      <c r="V7027" s="399" t="s">
        <v>125</v>
      </c>
      <c r="W7027" s="399">
        <f t="shared" ref="W7027" si="22794">+D7027</f>
        <v>0</v>
      </c>
      <c r="X7027" s="399" t="s">
        <v>125</v>
      </c>
      <c r="Y7027" s="389">
        <f t="shared" ref="Y7027" si="22795">D7021</f>
        <v>1</v>
      </c>
      <c r="Z7027" s="400" t="s">
        <v>176</v>
      </c>
      <c r="AA7027" s="402">
        <f t="shared" ref="AA7027" si="22796">(N7027+P7027*R7027/1000)*U7027*W7027*Y7027</f>
        <v>0</v>
      </c>
      <c r="AB7027" s="403"/>
    </row>
    <row r="7028" spans="1:28">
      <c r="A7028" s="384"/>
      <c r="B7028" s="385"/>
      <c r="C7028" s="393"/>
      <c r="D7028" s="398"/>
      <c r="E7028" s="388"/>
      <c r="F7028" s="388"/>
      <c r="G7028" s="388"/>
      <c r="H7028" s="395"/>
      <c r="I7028" s="388"/>
      <c r="J7028" s="399"/>
      <c r="K7028" s="400"/>
      <c r="L7028" s="399"/>
      <c r="M7028" s="399"/>
      <c r="N7028" s="399"/>
      <c r="O7028" s="399"/>
      <c r="P7028" s="389"/>
      <c r="Q7028" s="399"/>
      <c r="R7028" s="399"/>
      <c r="S7028" s="399"/>
      <c r="T7028" s="399"/>
      <c r="U7028" s="401"/>
      <c r="V7028" s="399"/>
      <c r="W7028" s="399"/>
      <c r="X7028" s="399"/>
      <c r="Y7028" s="389"/>
      <c r="Z7028" s="400"/>
      <c r="AA7028" s="402"/>
      <c r="AB7028" s="403"/>
    </row>
    <row r="7029" spans="1:28">
      <c r="A7029" s="384"/>
      <c r="B7029" s="385"/>
      <c r="C7029" s="393"/>
      <c r="D7029" s="398"/>
      <c r="E7029" s="388"/>
      <c r="F7029" s="388"/>
      <c r="G7029" s="388"/>
      <c r="H7029" s="395"/>
      <c r="I7029" s="388"/>
      <c r="J7029" s="396"/>
      <c r="K7029" s="396"/>
      <c r="L7029" s="396"/>
      <c r="M7029" s="396"/>
      <c r="N7029" s="396"/>
      <c r="O7029" s="396"/>
      <c r="P7029" s="389"/>
      <c r="Q7029" s="396"/>
      <c r="R7029" s="396"/>
      <c r="S7029" s="396"/>
      <c r="T7029" s="396"/>
      <c r="U7029" s="401"/>
      <c r="V7029" s="396"/>
      <c r="W7029" s="399"/>
      <c r="X7029" s="396"/>
      <c r="Y7029" s="389"/>
      <c r="Z7029" s="396"/>
      <c r="AA7029" s="388"/>
      <c r="AB7029" s="390"/>
    </row>
    <row r="7030" spans="1:28">
      <c r="A7030" s="384" t="str">
        <f t="shared" ref="A7030:B7030" si="22797">A7015</f>
        <v>Lantai Atap</v>
      </c>
      <c r="B7030" s="385">
        <f t="shared" si="22797"/>
        <v>27</v>
      </c>
      <c r="C7030" s="393" t="s">
        <v>209</v>
      </c>
      <c r="D7030" s="398">
        <f>VLOOKUP(D7015,'Detail Balok'!$C$10:$AU$140,22,FALSE)</f>
        <v>3</v>
      </c>
      <c r="E7030" s="388" t="s">
        <v>16</v>
      </c>
      <c r="F7030" s="388">
        <f>VLOOKUP(D7015,'Detail Balok'!$C$10:$AU$140,24,FALSE)</f>
        <v>13</v>
      </c>
      <c r="G7030" s="388"/>
      <c r="H7030" s="395"/>
      <c r="I7030" s="388" t="s">
        <v>203</v>
      </c>
      <c r="J7030" s="399">
        <f t="shared" si="22697"/>
        <v>1.1387499999999999</v>
      </c>
      <c r="K7030" s="400" t="s">
        <v>204</v>
      </c>
      <c r="L7030" s="399">
        <f t="shared" ref="L7030" si="22798">MAX(VLOOKUP(F7030,N$6:P$15,3,FALSE)/1000,2/3*D7020/1000)+F$16*F7030/1000</f>
        <v>0.156</v>
      </c>
      <c r="M7030" s="399" t="s">
        <v>176</v>
      </c>
      <c r="N7030" s="399">
        <f t="shared" ref="N7030:N7032" si="22799">J7030+L7030</f>
        <v>1.2947499999999998</v>
      </c>
      <c r="O7030" s="399" t="s">
        <v>204</v>
      </c>
      <c r="P7030" s="389">
        <f t="shared" ref="P7030" si="22800">D7030-D7031</f>
        <v>0</v>
      </c>
      <c r="Q7030" s="399" t="s">
        <v>125</v>
      </c>
      <c r="R7030" s="399">
        <f t="shared" ref="R7030" si="22801">IF(P7030&gt;0,$F$18*F7030/1000,0)</f>
        <v>0</v>
      </c>
      <c r="S7030" s="399" t="s">
        <v>205</v>
      </c>
      <c r="T7030" s="399" t="s">
        <v>125</v>
      </c>
      <c r="U7030" s="401">
        <f t="shared" ref="U7030:U7032" si="22802">0.006165*F7030^2</f>
        <v>1.041885</v>
      </c>
      <c r="V7030" s="399"/>
      <c r="W7030" s="399"/>
      <c r="X7030" s="399" t="s">
        <v>125</v>
      </c>
      <c r="Y7030" s="389">
        <f t="shared" ref="Y7030" si="22803">D7021</f>
        <v>1</v>
      </c>
      <c r="Z7030" s="400" t="s">
        <v>176</v>
      </c>
      <c r="AA7030" s="402">
        <f t="shared" ref="AA7030" si="22804">IF(AA7033=0,(D7030*N7030+P7030*R7030)*U7030*Y7030,0)</f>
        <v>0</v>
      </c>
      <c r="AB7030" s="403"/>
    </row>
    <row r="7031" spans="1:28">
      <c r="A7031" s="384" t="str">
        <f t="shared" ref="A7031:B7031" si="22805">A7015</f>
        <v>Lantai Atap</v>
      </c>
      <c r="B7031" s="385">
        <f t="shared" si="22805"/>
        <v>27</v>
      </c>
      <c r="C7031" s="393" t="s">
        <v>210</v>
      </c>
      <c r="D7031" s="398">
        <f>VLOOKUP(D7015,'Detail Balok'!$C$10:$AU$140,25,FALSE)</f>
        <v>3</v>
      </c>
      <c r="E7031" s="388" t="s">
        <v>16</v>
      </c>
      <c r="F7031" s="388">
        <f>VLOOKUP(D7015,'Detail Balok'!$C$10:$AU$140,27,FALSE)</f>
        <v>13</v>
      </c>
      <c r="G7031" s="388"/>
      <c r="H7031" s="395"/>
      <c r="I7031" s="388" t="s">
        <v>203</v>
      </c>
      <c r="J7031" s="399">
        <f t="shared" si="22697"/>
        <v>2.2774999999999999</v>
      </c>
      <c r="K7031" s="400" t="s">
        <v>204</v>
      </c>
      <c r="L7031" s="399"/>
      <c r="M7031" s="399" t="s">
        <v>176</v>
      </c>
      <c r="N7031" s="399">
        <f t="shared" si="22799"/>
        <v>2.2774999999999999</v>
      </c>
      <c r="O7031" s="399" t="s">
        <v>204</v>
      </c>
      <c r="P7031" s="389">
        <f t="shared" ref="P7031" si="22806">MAX(D7031-D7030,D7031-D7032)</f>
        <v>0</v>
      </c>
      <c r="Q7031" s="399" t="s">
        <v>125</v>
      </c>
      <c r="R7031" s="399">
        <f t="shared" ref="R7031" si="22807">IF(P7031&gt;0,2*(1-2*$F$19-1/2)*D7018/1000,0)</f>
        <v>0</v>
      </c>
      <c r="S7031" s="399" t="s">
        <v>205</v>
      </c>
      <c r="T7031" s="399" t="s">
        <v>125</v>
      </c>
      <c r="U7031" s="401">
        <f t="shared" si="22802"/>
        <v>1.041885</v>
      </c>
      <c r="V7031" s="399"/>
      <c r="W7031" s="399"/>
      <c r="X7031" s="399" t="s">
        <v>125</v>
      </c>
      <c r="Y7031" s="389">
        <f t="shared" ref="Y7031" si="22808">D7021</f>
        <v>1</v>
      </c>
      <c r="Z7031" s="400" t="s">
        <v>176</v>
      </c>
      <c r="AA7031" s="402">
        <f t="shared" ref="AA7031" si="22809">IF(AA7033=0,(D7031*N7031+P7031*R7031)*U7031*Y7031,0)</f>
        <v>0</v>
      </c>
      <c r="AB7031" s="403"/>
    </row>
    <row r="7032" spans="1:28">
      <c r="A7032" s="384" t="str">
        <f t="shared" ref="A7032:B7032" si="22810">A7015</f>
        <v>Lantai Atap</v>
      </c>
      <c r="B7032" s="385">
        <f t="shared" si="22810"/>
        <v>27</v>
      </c>
      <c r="C7032" s="393" t="s">
        <v>209</v>
      </c>
      <c r="D7032" s="398">
        <f>VLOOKUP(D7015,'Detail Balok'!$C$10:$AU$140,28,FALSE)</f>
        <v>3</v>
      </c>
      <c r="E7032" s="388" t="s">
        <v>16</v>
      </c>
      <c r="F7032" s="388">
        <f>VLOOKUP(D7015,'Detail Balok'!$C$10:$AU$140,30,FALSE)</f>
        <v>13</v>
      </c>
      <c r="G7032" s="388"/>
      <c r="H7032" s="395"/>
      <c r="I7032" s="388" t="s">
        <v>203</v>
      </c>
      <c r="J7032" s="399">
        <f t="shared" si="22697"/>
        <v>1.1387499999999999</v>
      </c>
      <c r="K7032" s="400" t="s">
        <v>204</v>
      </c>
      <c r="L7032" s="399">
        <f t="shared" ref="L7032" si="22811">MAX(VLOOKUP(F7032,N$6:P$15,3,FALSE)/1000,2/3*D7020/1000)+F$16*F7032/1000</f>
        <v>0.156</v>
      </c>
      <c r="M7032" s="399" t="s">
        <v>176</v>
      </c>
      <c r="N7032" s="399">
        <f t="shared" si="22799"/>
        <v>1.2947499999999998</v>
      </c>
      <c r="O7032" s="399" t="s">
        <v>204</v>
      </c>
      <c r="P7032" s="389">
        <f t="shared" ref="P7032" si="22812">D7032-D7031</f>
        <v>0</v>
      </c>
      <c r="Q7032" s="399" t="s">
        <v>125</v>
      </c>
      <c r="R7032" s="399">
        <f t="shared" ref="R7032" si="22813">IF(P7032&gt;0,$F$18*F7032/1000,0)</f>
        <v>0</v>
      </c>
      <c r="S7032" s="399" t="s">
        <v>205</v>
      </c>
      <c r="T7032" s="399" t="s">
        <v>125</v>
      </c>
      <c r="U7032" s="401">
        <f t="shared" si="22802"/>
        <v>1.041885</v>
      </c>
      <c r="V7032" s="399"/>
      <c r="W7032" s="399"/>
      <c r="X7032" s="399" t="s">
        <v>125</v>
      </c>
      <c r="Y7032" s="389">
        <f t="shared" ref="Y7032" si="22814">D7021</f>
        <v>1</v>
      </c>
      <c r="Z7032" s="400" t="s">
        <v>176</v>
      </c>
      <c r="AA7032" s="402">
        <f t="shared" ref="AA7032" si="22815">IF(AA7033=0,(D7032*N7032+P7032*R7032)*U7032*Y7032,0)</f>
        <v>0</v>
      </c>
      <c r="AB7032" s="403"/>
    </row>
    <row r="7033" spans="1:28">
      <c r="A7033" s="384" t="str">
        <f t="shared" ref="A7033:B7033" si="22816">A7015</f>
        <v>Lantai Atap</v>
      </c>
      <c r="B7033" s="385">
        <f t="shared" si="22816"/>
        <v>27</v>
      </c>
      <c r="C7033" s="393"/>
      <c r="D7033" s="398">
        <f t="shared" si="22717"/>
        <v>3</v>
      </c>
      <c r="E7033" s="388" t="s">
        <v>16</v>
      </c>
      <c r="F7033" s="388">
        <f t="shared" si="22718"/>
        <v>13</v>
      </c>
      <c r="G7033" s="388"/>
      <c r="H7033" s="395"/>
      <c r="I7033" s="388"/>
      <c r="J7033" s="396"/>
      <c r="K7033" s="396"/>
      <c r="L7033" s="404" t="s">
        <v>207</v>
      </c>
      <c r="M7033" s="399" t="s">
        <v>176</v>
      </c>
      <c r="N7033" s="399">
        <f t="shared" ref="N7033" si="22817">IF(AND(D7030=D7031,D7030=D7032,D7031=D7032,F7030=F7031,F7030=F7032,F7031=F7032),SUM(N7030:N7032),0)</f>
        <v>4.8669999999999991</v>
      </c>
      <c r="O7033" s="399" t="s">
        <v>204</v>
      </c>
      <c r="P7033" s="389">
        <f t="shared" ref="P7033" si="22818">IF(N7033&gt;12,ROUNDDOWN(N7033/12,0),0)</f>
        <v>0</v>
      </c>
      <c r="Q7033" s="399" t="s">
        <v>125</v>
      </c>
      <c r="R7033" s="399">
        <f t="shared" ref="R7033" si="22819">IF(P7033&gt;0,MAX(VLOOKUP(F7033,$D$6:$G$15,3,FALSE),600),0)/1000</f>
        <v>0</v>
      </c>
      <c r="S7033" s="396"/>
      <c r="T7033" s="396" t="s">
        <v>125</v>
      </c>
      <c r="U7033" s="401">
        <f t="shared" si="22722"/>
        <v>1.041885</v>
      </c>
      <c r="V7033" s="396" t="s">
        <v>125</v>
      </c>
      <c r="W7033" s="399">
        <f t="shared" ref="W7033" si="22820">D7033</f>
        <v>3</v>
      </c>
      <c r="X7033" s="399" t="s">
        <v>125</v>
      </c>
      <c r="Y7033" s="389">
        <f t="shared" si="22724"/>
        <v>1</v>
      </c>
      <c r="Z7033" s="400" t="s">
        <v>176</v>
      </c>
      <c r="AA7033" s="402">
        <f t="shared" ref="AA7033" si="22821">(N7033+P7033*R7033/1000)*U7033*W7033*Y7033</f>
        <v>15.212562884999995</v>
      </c>
      <c r="AB7033" s="403"/>
    </row>
    <row r="7034" spans="1:28">
      <c r="A7034" s="384"/>
      <c r="B7034" s="385"/>
      <c r="C7034" s="393"/>
      <c r="D7034" s="394"/>
      <c r="E7034" s="388"/>
      <c r="F7034" s="388"/>
      <c r="G7034" s="388"/>
      <c r="H7034" s="395"/>
      <c r="I7034" s="388"/>
      <c r="J7034" s="399"/>
      <c r="K7034" s="396"/>
      <c r="L7034" s="396"/>
      <c r="M7034" s="396"/>
      <c r="N7034" s="396"/>
      <c r="O7034" s="396"/>
      <c r="P7034" s="389"/>
      <c r="Q7034" s="396"/>
      <c r="R7034" s="396"/>
      <c r="S7034" s="396"/>
      <c r="T7034" s="396"/>
      <c r="U7034" s="401"/>
      <c r="V7034" s="396"/>
      <c r="W7034" s="388"/>
      <c r="X7034" s="396"/>
      <c r="Y7034" s="389"/>
      <c r="Z7034" s="396"/>
      <c r="AA7034" s="388"/>
      <c r="AB7034" s="390"/>
    </row>
    <row r="7035" spans="1:28">
      <c r="A7035" s="384" t="str">
        <f t="shared" ref="A7035:B7035" si="22822">A7015</f>
        <v>Lantai Atap</v>
      </c>
      <c r="B7035" s="385">
        <f t="shared" si="22822"/>
        <v>27</v>
      </c>
      <c r="C7035" s="393" t="s">
        <v>211</v>
      </c>
      <c r="D7035" s="398">
        <f>VLOOKUP(D7015,'Detail Balok'!$C$10:$AU$140,31,FALSE)</f>
        <v>0</v>
      </c>
      <c r="E7035" s="388" t="s">
        <v>16</v>
      </c>
      <c r="F7035" s="388">
        <f>VLOOKUP(D7015,'Detail Balok'!$C$10:$AU$140,33,FALSE)</f>
        <v>10</v>
      </c>
      <c r="G7035" s="405" t="s">
        <v>157</v>
      </c>
      <c r="H7035" s="395">
        <f>VLOOKUP(D7015,'Detail Balok'!$C$10:$AU$140,35,FALSE)</f>
        <v>100</v>
      </c>
      <c r="I7035" s="388"/>
      <c r="J7035" s="400">
        <f t="shared" ref="J7035" si="22823">(IF(D7035=0,(2*(D7016+G7016))-(F$5*8),IF(D7035=3,(2*(D7016+G7016))-(F$5*8)+(G7016-2*F$5),IF(D7035=4,(2*(D7016+G7016))-(F$5*8)+2*(G7016-2*F$5)))))/1000</f>
        <v>0.88</v>
      </c>
      <c r="K7035" s="400" t="s">
        <v>204</v>
      </c>
      <c r="L7035" s="399">
        <f t="shared" ref="L7035:L7037" si="22824">IF(D7035=0,2*MAX(6*F7035,75),(D7035-1)*2*MAX(6*F7035,75))/1000</f>
        <v>0.15</v>
      </c>
      <c r="M7035" s="399" t="s">
        <v>176</v>
      </c>
      <c r="N7035" s="399">
        <f t="shared" ref="N7035:N7037" si="22825">J7035+L7035</f>
        <v>1.03</v>
      </c>
      <c r="O7035" s="399"/>
      <c r="P7035" s="389"/>
      <c r="Q7035" s="399"/>
      <c r="R7035" s="399"/>
      <c r="S7035" s="399"/>
      <c r="T7035" s="399" t="s">
        <v>125</v>
      </c>
      <c r="U7035" s="401">
        <f t="shared" ref="U7035:U7037" si="22826">0.006165*F7035^2</f>
        <v>0.61650000000000005</v>
      </c>
      <c r="V7035" s="399" t="s">
        <v>125</v>
      </c>
      <c r="W7035" s="399">
        <f t="shared" ref="W7035" si="22827">IF(D7018&gt;4*G7016,ROUND(MAX(D7018/4,2*G7016)/H7035,0)+1,ROUND(D7018/H7035,0)+1)</f>
        <v>12</v>
      </c>
      <c r="X7035" s="399" t="s">
        <v>125</v>
      </c>
      <c r="Y7035" s="389">
        <f t="shared" ref="Y7035" si="22828">D7021</f>
        <v>1</v>
      </c>
      <c r="Z7035" s="400" t="s">
        <v>176</v>
      </c>
      <c r="AA7035" s="402">
        <f t="shared" ref="AA7035:AA7037" si="22829">N7035*U7035*W7035*Y7035</f>
        <v>7.6199400000000015</v>
      </c>
      <c r="AB7035" s="403"/>
    </row>
    <row r="7036" spans="1:28">
      <c r="A7036" s="384" t="str">
        <f t="shared" ref="A7036:B7036" si="22830">A7015</f>
        <v>Lantai Atap</v>
      </c>
      <c r="B7036" s="385">
        <f t="shared" si="22830"/>
        <v>27</v>
      </c>
      <c r="C7036" s="393" t="s">
        <v>212</v>
      </c>
      <c r="D7036" s="398">
        <f>VLOOKUP(D7015,'Detail Balok'!$C$10:$AU$140,36,FALSE)</f>
        <v>0</v>
      </c>
      <c r="E7036" s="388" t="s">
        <v>16</v>
      </c>
      <c r="F7036" s="388">
        <f>VLOOKUP(D7015,'Detail Balok'!$C$10:$AU$140,38,FALSE)</f>
        <v>10</v>
      </c>
      <c r="G7036" s="405" t="s">
        <v>157</v>
      </c>
      <c r="H7036" s="395">
        <f>VLOOKUP(D7015,'Detail Balok'!$C$10:$AU$140,40,FALSE)</f>
        <v>200</v>
      </c>
      <c r="I7036" s="388"/>
      <c r="J7036" s="400">
        <f t="shared" ref="J7036" si="22831">(IF(D7036=0,(2*(D7016+G7016))-(F$5*8),IF(D7036=3,(2*(D7016+G7016))-(F$5*8)+(G7016-2*F$5),IF(D7036=4,(2*(D7016+G7016))-(F$5*8)+2*(G7016-2*F$5)))))/1000</f>
        <v>0.88</v>
      </c>
      <c r="K7036" s="400" t="s">
        <v>204</v>
      </c>
      <c r="L7036" s="399">
        <f t="shared" si="22824"/>
        <v>0.15</v>
      </c>
      <c r="M7036" s="399" t="s">
        <v>176</v>
      </c>
      <c r="N7036" s="399">
        <f t="shared" si="22825"/>
        <v>1.03</v>
      </c>
      <c r="O7036" s="399"/>
      <c r="P7036" s="389"/>
      <c r="Q7036" s="399"/>
      <c r="R7036" s="399"/>
      <c r="S7036" s="399"/>
      <c r="T7036" s="399" t="s">
        <v>125</v>
      </c>
      <c r="U7036" s="401">
        <f t="shared" si="22826"/>
        <v>0.61650000000000005</v>
      </c>
      <c r="V7036" s="399" t="s">
        <v>125</v>
      </c>
      <c r="W7036" s="399">
        <f t="shared" ref="W7036" si="22832">IF(D7018-MAX(D7018/4,2*G7016)*2&gt;0,ROUND((D7018-MAX(D7018/4,2*G7016)*2)/H7036,0),0)</f>
        <v>11</v>
      </c>
      <c r="X7036" s="399" t="s">
        <v>125</v>
      </c>
      <c r="Y7036" s="389">
        <f t="shared" ref="Y7036" si="22833">D7021</f>
        <v>1</v>
      </c>
      <c r="Z7036" s="400" t="s">
        <v>176</v>
      </c>
      <c r="AA7036" s="402">
        <f t="shared" si="22829"/>
        <v>6.9849450000000006</v>
      </c>
      <c r="AB7036" s="403"/>
    </row>
    <row r="7037" spans="1:28">
      <c r="A7037" s="384" t="str">
        <f t="shared" ref="A7037:B7037" si="22834">A7015</f>
        <v>Lantai Atap</v>
      </c>
      <c r="B7037" s="385">
        <f t="shared" si="22834"/>
        <v>27</v>
      </c>
      <c r="C7037" s="393" t="s">
        <v>211</v>
      </c>
      <c r="D7037" s="398">
        <f>VLOOKUP(D7015,'Detail Balok'!$C$10:$AU$140,41,FALSE)</f>
        <v>0</v>
      </c>
      <c r="E7037" s="388" t="s">
        <v>16</v>
      </c>
      <c r="F7037" s="388">
        <f>VLOOKUP(D7015,'Detail Balok'!$C$10:$AU$140,43,FALSE)</f>
        <v>10</v>
      </c>
      <c r="G7037" s="405" t="s">
        <v>157</v>
      </c>
      <c r="H7037" s="395">
        <f>VLOOKUP(D7015,'Detail Balok'!$C$10:$AU$140,45,FALSE)</f>
        <v>100</v>
      </c>
      <c r="I7037" s="388"/>
      <c r="J7037" s="400">
        <f t="shared" ref="J7037" si="22835">(IF(D7037=0,(2*(D7016+G7016))-(F$5*8),IF(D7037=3,(2*(D7016+G7016))-(F$5*8)+(G7016-2*F$5),IF(D7037=4,(2*(D7016+G7016))-(F$5*8)+2*(G7016-2*F$5)))))/1000</f>
        <v>0.88</v>
      </c>
      <c r="K7037" s="400" t="s">
        <v>204</v>
      </c>
      <c r="L7037" s="399">
        <f t="shared" si="22824"/>
        <v>0.15</v>
      </c>
      <c r="M7037" s="399" t="s">
        <v>176</v>
      </c>
      <c r="N7037" s="399">
        <f t="shared" si="22825"/>
        <v>1.03</v>
      </c>
      <c r="O7037" s="399"/>
      <c r="P7037" s="389"/>
      <c r="Q7037" s="399"/>
      <c r="R7037" s="399"/>
      <c r="S7037" s="399"/>
      <c r="T7037" s="399" t="s">
        <v>125</v>
      </c>
      <c r="U7037" s="401">
        <f t="shared" si="22826"/>
        <v>0.61650000000000005</v>
      </c>
      <c r="V7037" s="399" t="s">
        <v>125</v>
      </c>
      <c r="W7037" s="399">
        <f t="shared" ref="W7037" si="22836">IF(D7018&gt;4*G7016,ROUND(MAX(D7018/4,2*G7016)/H7037,0)+1,0)</f>
        <v>12</v>
      </c>
      <c r="X7037" s="399" t="s">
        <v>125</v>
      </c>
      <c r="Y7037" s="389">
        <f t="shared" ref="Y7037" si="22837">D7021</f>
        <v>1</v>
      </c>
      <c r="Z7037" s="400" t="s">
        <v>176</v>
      </c>
      <c r="AA7037" s="402">
        <f t="shared" si="22829"/>
        <v>7.6199400000000015</v>
      </c>
      <c r="AB7037" s="403"/>
    </row>
    <row r="7038" spans="1:28">
      <c r="A7038" s="384"/>
      <c r="B7038" s="385"/>
      <c r="C7038" s="393"/>
      <c r="D7038" s="394"/>
      <c r="E7038" s="388"/>
      <c r="F7038" s="388"/>
      <c r="G7038" s="388"/>
      <c r="H7038" s="395"/>
      <c r="I7038" s="388"/>
      <c r="J7038" s="399"/>
      <c r="K7038" s="396"/>
      <c r="L7038" s="396"/>
      <c r="M7038" s="396"/>
      <c r="N7038" s="396"/>
      <c r="O7038" s="396"/>
      <c r="P7038" s="389"/>
      <c r="Q7038" s="396"/>
      <c r="R7038" s="396"/>
      <c r="S7038" s="396"/>
      <c r="T7038" s="396"/>
      <c r="U7038" s="401"/>
      <c r="V7038" s="396"/>
      <c r="W7038" s="388"/>
      <c r="X7038" s="396"/>
      <c r="Y7038" s="389"/>
      <c r="Z7038" s="396"/>
      <c r="AA7038" s="388"/>
      <c r="AB7038" s="390"/>
    </row>
    <row r="7039" spans="1:28">
      <c r="A7039" s="384" t="str">
        <f t="shared" ref="A7039:B7039" si="22838">A7015</f>
        <v>Lantai Atap</v>
      </c>
      <c r="B7039" s="385">
        <f t="shared" si="22838"/>
        <v>27</v>
      </c>
      <c r="C7039" s="393" t="s">
        <v>213</v>
      </c>
      <c r="D7039" s="398">
        <f>VLOOKUP(D7015,'Detail Balok'!$C$10:$BJ$140,46,FALSE)</f>
        <v>0</v>
      </c>
      <c r="E7039" s="388" t="s">
        <v>16</v>
      </c>
      <c r="F7039" s="388">
        <f>VLOOKUP(D7015,'Detail Balok'!$C$10:$BJ$140,48,FALSE)</f>
        <v>0</v>
      </c>
      <c r="G7039" s="405" t="s">
        <v>157</v>
      </c>
      <c r="H7039" s="395">
        <f>VLOOKUP(D7015,'Detail Balok'!$C$10:$BJ$140,50,FALSE)</f>
        <v>100</v>
      </c>
      <c r="I7039" s="388"/>
      <c r="J7039" s="399">
        <f t="shared" ref="J7039" si="22839">(D7016-2*F$5)/1000</f>
        <v>0.12</v>
      </c>
      <c r="K7039" s="400" t="s">
        <v>204</v>
      </c>
      <c r="L7039" s="399">
        <f t="shared" ref="L7039:L7041" si="22840">IF(D7039=0,2*MAX(6*F7039,75),(D7039-1)*2*MAX(6*F7039,75))/1000</f>
        <v>0.15</v>
      </c>
      <c r="M7039" s="399" t="s">
        <v>176</v>
      </c>
      <c r="N7039" s="399">
        <f t="shared" ref="N7039:N7041" si="22841">J7039+L7039</f>
        <v>0.27</v>
      </c>
      <c r="O7039" s="399"/>
      <c r="P7039" s="399"/>
      <c r="Q7039" s="399"/>
      <c r="R7039" s="399"/>
      <c r="S7039" s="399"/>
      <c r="T7039" s="399" t="s">
        <v>125</v>
      </c>
      <c r="U7039" s="401">
        <f t="shared" ref="U7039:U7041" si="22842">0.006165*F7039^2</f>
        <v>0</v>
      </c>
      <c r="V7039" s="399" t="s">
        <v>125</v>
      </c>
      <c r="W7039" s="399">
        <f t="shared" si="22747"/>
        <v>12</v>
      </c>
      <c r="X7039" s="399" t="s">
        <v>125</v>
      </c>
      <c r="Y7039" s="389">
        <f t="shared" ref="Y7039" si="22843">D7025</f>
        <v>3</v>
      </c>
      <c r="Z7039" s="400" t="s">
        <v>176</v>
      </c>
      <c r="AA7039" s="402">
        <f t="shared" ref="AA7039:AA7041" si="22844">N7039*U7039*W7039*Y7039</f>
        <v>0</v>
      </c>
      <c r="AB7039" s="403"/>
    </row>
    <row r="7040" spans="1:28">
      <c r="A7040" s="384" t="str">
        <f t="shared" ref="A7040:B7040" si="22845">A7015</f>
        <v>Lantai Atap</v>
      </c>
      <c r="B7040" s="385">
        <f t="shared" si="22845"/>
        <v>27</v>
      </c>
      <c r="C7040" s="393" t="s">
        <v>214</v>
      </c>
      <c r="D7040" s="398">
        <f>VLOOKUP(D7015,'Detail Balok'!$C$10:$BJ$140,51,FALSE)</f>
        <v>0</v>
      </c>
      <c r="E7040" s="388" t="s">
        <v>16</v>
      </c>
      <c r="F7040" s="388">
        <f>VLOOKUP(D7015,'Detail Balok'!$C$10:$BJ$140,53,FALSE)</f>
        <v>0</v>
      </c>
      <c r="G7040" s="405" t="s">
        <v>157</v>
      </c>
      <c r="H7040" s="395">
        <f>VLOOKUP(D7015,'Detail Balok'!$C$10:$BJ$140,55,FALSE)</f>
        <v>100</v>
      </c>
      <c r="I7040" s="388"/>
      <c r="J7040" s="399">
        <f t="shared" ref="J7040" si="22846">(D7016-2*F$5)/1000</f>
        <v>0.12</v>
      </c>
      <c r="K7040" s="400" t="s">
        <v>204</v>
      </c>
      <c r="L7040" s="399">
        <f t="shared" si="22840"/>
        <v>0.15</v>
      </c>
      <c r="M7040" s="399" t="s">
        <v>176</v>
      </c>
      <c r="N7040" s="399">
        <f t="shared" si="22841"/>
        <v>0.27</v>
      </c>
      <c r="O7040" s="399"/>
      <c r="P7040" s="399"/>
      <c r="Q7040" s="399"/>
      <c r="R7040" s="399"/>
      <c r="S7040" s="399"/>
      <c r="T7040" s="399" t="s">
        <v>125</v>
      </c>
      <c r="U7040" s="401">
        <f t="shared" si="22842"/>
        <v>0</v>
      </c>
      <c r="V7040" s="399" t="s">
        <v>125</v>
      </c>
      <c r="W7040" s="399">
        <f t="shared" si="22747"/>
        <v>11</v>
      </c>
      <c r="X7040" s="399" t="s">
        <v>125</v>
      </c>
      <c r="Y7040" s="389">
        <f t="shared" ref="Y7040" si="22847">D7025</f>
        <v>3</v>
      </c>
      <c r="Z7040" s="400" t="s">
        <v>176</v>
      </c>
      <c r="AA7040" s="402">
        <f t="shared" si="22844"/>
        <v>0</v>
      </c>
      <c r="AB7040" s="403"/>
    </row>
    <row r="7041" spans="1:28">
      <c r="A7041" s="384" t="str">
        <f t="shared" ref="A7041:B7041" si="22848">A7015</f>
        <v>Lantai Atap</v>
      </c>
      <c r="B7041" s="385">
        <f t="shared" si="22848"/>
        <v>27</v>
      </c>
      <c r="C7041" s="393" t="s">
        <v>213</v>
      </c>
      <c r="D7041" s="398">
        <f>VLOOKUP(D7015,'Detail Balok'!$C$10:$BJ$140,56,FALSE)</f>
        <v>0</v>
      </c>
      <c r="E7041" s="388" t="s">
        <v>16</v>
      </c>
      <c r="F7041" s="388">
        <f>VLOOKUP(D7015,'Detail Balok'!$C$10:$BJ$140,58,FALSE)</f>
        <v>0</v>
      </c>
      <c r="G7041" s="405" t="s">
        <v>157</v>
      </c>
      <c r="H7041" s="395">
        <f>VLOOKUP(D7015,'Detail Balok'!$C$10:$BJ$140,60,FALSE)</f>
        <v>100</v>
      </c>
      <c r="I7041" s="388"/>
      <c r="J7041" s="399">
        <f t="shared" ref="J7041" si="22849">(D7016-2*F$5)/1000</f>
        <v>0.12</v>
      </c>
      <c r="K7041" s="400" t="s">
        <v>204</v>
      </c>
      <c r="L7041" s="399">
        <f t="shared" si="22840"/>
        <v>0.15</v>
      </c>
      <c r="M7041" s="399" t="s">
        <v>176</v>
      </c>
      <c r="N7041" s="399">
        <f t="shared" si="22841"/>
        <v>0.27</v>
      </c>
      <c r="O7041" s="399"/>
      <c r="P7041" s="399"/>
      <c r="Q7041" s="399"/>
      <c r="R7041" s="399"/>
      <c r="S7041" s="399"/>
      <c r="T7041" s="399" t="s">
        <v>125</v>
      </c>
      <c r="U7041" s="401">
        <f t="shared" si="22842"/>
        <v>0</v>
      </c>
      <c r="V7041" s="399" t="s">
        <v>125</v>
      </c>
      <c r="W7041" s="399">
        <f t="shared" si="22747"/>
        <v>12</v>
      </c>
      <c r="X7041" s="399" t="s">
        <v>125</v>
      </c>
      <c r="Y7041" s="389">
        <f t="shared" ref="Y7041" si="22850">D7025</f>
        <v>3</v>
      </c>
      <c r="Z7041" s="400" t="s">
        <v>176</v>
      </c>
      <c r="AA7041" s="402">
        <f t="shared" si="22844"/>
        <v>0</v>
      </c>
      <c r="AB7041" s="403"/>
    </row>
    <row r="7042" spans="1:28">
      <c r="A7042" s="391"/>
      <c r="B7042" s="392"/>
      <c r="C7042" s="392"/>
      <c r="D7042" s="394"/>
      <c r="E7042" s="388"/>
      <c r="F7042" s="388"/>
      <c r="G7042" s="388"/>
      <c r="H7042" s="395"/>
      <c r="I7042" s="388"/>
      <c r="J7042" s="402"/>
      <c r="K7042" s="388"/>
      <c r="L7042" s="388"/>
      <c r="M7042" s="388"/>
      <c r="N7042" s="388"/>
      <c r="O7042" s="388"/>
      <c r="P7042" s="388"/>
      <c r="Q7042" s="388"/>
      <c r="R7042" s="388"/>
      <c r="S7042" s="388"/>
      <c r="T7042" s="388"/>
      <c r="U7042" s="388"/>
      <c r="V7042" s="388"/>
      <c r="W7042" s="388"/>
      <c r="X7042" s="388"/>
      <c r="Y7042" s="389"/>
      <c r="Z7042" s="388"/>
      <c r="AA7042" s="402"/>
      <c r="AB7042" s="403"/>
    </row>
    <row r="7043" spans="1:28" ht="15.75" thickBot="1">
      <c r="A7043" s="406"/>
      <c r="B7043" s="407"/>
      <c r="C7043" s="407"/>
      <c r="D7043" s="408"/>
      <c r="E7043" s="409"/>
      <c r="F7043" s="409"/>
      <c r="G7043" s="409"/>
      <c r="H7043" s="410"/>
      <c r="I7043" s="409"/>
      <c r="J7043" s="409"/>
      <c r="K7043" s="409"/>
      <c r="L7043" s="409"/>
      <c r="M7043" s="409"/>
      <c r="N7043" s="409"/>
      <c r="O7043" s="409"/>
      <c r="P7043" s="409"/>
      <c r="Q7043" s="409"/>
      <c r="R7043" s="409"/>
      <c r="S7043" s="409"/>
      <c r="T7043" s="409"/>
      <c r="U7043" s="409"/>
      <c r="V7043" s="409"/>
      <c r="W7043" s="409"/>
      <c r="X7043" s="409"/>
      <c r="Y7043" s="411"/>
      <c r="Z7043" s="409"/>
      <c r="AA7043" s="412"/>
      <c r="AB7043" s="413"/>
    </row>
    <row r="7044" spans="1:28">
      <c r="A7044" s="377"/>
      <c r="B7044" s="378"/>
      <c r="C7044" s="378"/>
      <c r="D7044" s="379"/>
      <c r="E7044" s="380"/>
      <c r="F7044" s="380"/>
      <c r="G7044" s="380"/>
      <c r="H7044" s="381"/>
      <c r="I7044" s="380"/>
      <c r="J7044" s="380"/>
      <c r="K7044" s="380"/>
      <c r="L7044" s="380"/>
      <c r="M7044" s="380"/>
      <c r="N7044" s="380"/>
      <c r="O7044" s="380"/>
      <c r="P7044" s="380"/>
      <c r="Q7044" s="380"/>
      <c r="R7044" s="380"/>
      <c r="S7044" s="380"/>
      <c r="T7044" s="380"/>
      <c r="U7044" s="380"/>
      <c r="V7044" s="380"/>
      <c r="W7044" s="380"/>
      <c r="X7044" s="380"/>
      <c r="Y7044" s="382"/>
      <c r="Z7044" s="380"/>
      <c r="AA7044" s="380"/>
      <c r="AB7044" s="383"/>
    </row>
    <row r="7045" spans="1:28">
      <c r="A7045" s="384" t="str">
        <f t="shared" si="22756"/>
        <v>Lantai Atap</v>
      </c>
      <c r="B7045" s="385" t="s">
        <v>2325</v>
      </c>
      <c r="C7045" s="386" t="str">
        <f t="shared" ref="C7045" si="22851">CONCATENATE(A7045," no. ",B7045)</f>
        <v>Lantai Atap no. 27A</v>
      </c>
      <c r="D7045" s="2562" t="str">
        <f>VLOOKUP(C7045,'Data Panjang Balok'!$C$9:$N$254,2,FALSE)</f>
        <v>B24-1</v>
      </c>
      <c r="E7045" s="2576"/>
      <c r="F7045" s="2576"/>
      <c r="G7045" s="2576"/>
      <c r="H7045" s="2577"/>
      <c r="I7045" s="387"/>
      <c r="J7045" s="388"/>
      <c r="K7045" s="388"/>
      <c r="L7045" s="388"/>
      <c r="M7045" s="388"/>
      <c r="N7045" s="388"/>
      <c r="O7045" s="388"/>
      <c r="P7045" s="388"/>
      <c r="Q7045" s="388"/>
      <c r="R7045" s="388"/>
      <c r="S7045" s="388"/>
      <c r="T7045" s="388"/>
      <c r="U7045" s="388"/>
      <c r="V7045" s="388"/>
      <c r="W7045" s="388"/>
      <c r="X7045" s="388"/>
      <c r="Y7045" s="389"/>
      <c r="Z7045" s="388"/>
      <c r="AA7045" s="388"/>
      <c r="AB7045" s="390"/>
    </row>
    <row r="7046" spans="1:28">
      <c r="A7046" s="391"/>
      <c r="B7046" s="392"/>
      <c r="C7046" s="393" t="s">
        <v>118</v>
      </c>
      <c r="D7046" s="2578">
        <f>VLOOKUP(D7045,'Detail Balok'!$C$10:$AU$140,2,FALSE)</f>
        <v>200</v>
      </c>
      <c r="E7046" s="2579"/>
      <c r="F7046" s="388" t="s">
        <v>125</v>
      </c>
      <c r="G7046" s="2579">
        <f>VLOOKUP(D7045,'Detail Balok'!$C$10:$AU$140,3,FALSE)</f>
        <v>400</v>
      </c>
      <c r="H7046" s="2580"/>
      <c r="I7046" s="388"/>
      <c r="J7046" s="396"/>
      <c r="K7046" s="396"/>
      <c r="L7046" s="396"/>
      <c r="M7046" s="396"/>
      <c r="N7046" s="396"/>
      <c r="O7046" s="396"/>
      <c r="P7046" s="396"/>
      <c r="Q7046" s="396"/>
      <c r="R7046" s="396"/>
      <c r="S7046" s="396"/>
      <c r="T7046" s="396"/>
      <c r="U7046" s="388"/>
      <c r="V7046" s="396"/>
      <c r="W7046" s="388"/>
      <c r="X7046" s="396"/>
      <c r="Y7046" s="389"/>
      <c r="Z7046" s="396"/>
      <c r="AA7046" s="388"/>
      <c r="AB7046" s="390"/>
    </row>
    <row r="7047" spans="1:28">
      <c r="A7047" s="391"/>
      <c r="B7047" s="392"/>
      <c r="C7047" s="393" t="s">
        <v>198</v>
      </c>
      <c r="D7047" s="2562">
        <f>VLOOKUP(C7045,'Data Panjang Balok'!$C$9:$N$254,4,FALSE)</f>
        <v>705</v>
      </c>
      <c r="E7047" s="2563"/>
      <c r="F7047" s="2563"/>
      <c r="G7047" s="2563"/>
      <c r="H7047" s="2564"/>
      <c r="I7047" s="397"/>
      <c r="J7047" s="396"/>
      <c r="K7047" s="396"/>
      <c r="L7047" s="396"/>
      <c r="M7047" s="396"/>
      <c r="N7047" s="396"/>
      <c r="O7047" s="396"/>
      <c r="P7047" s="396"/>
      <c r="Q7047" s="396"/>
      <c r="R7047" s="396"/>
      <c r="S7047" s="396"/>
      <c r="T7047" s="396"/>
      <c r="U7047" s="388"/>
      <c r="V7047" s="396"/>
      <c r="W7047" s="388"/>
      <c r="X7047" s="396"/>
      <c r="Y7047" s="389"/>
      <c r="Z7047" s="396"/>
      <c r="AA7047" s="388"/>
      <c r="AB7047" s="390"/>
    </row>
    <row r="7048" spans="1:28">
      <c r="A7048" s="391"/>
      <c r="B7048" s="392"/>
      <c r="C7048" s="393" t="s">
        <v>199</v>
      </c>
      <c r="D7048" s="2562">
        <f>VLOOKUP(C7045,'Data Panjang Balok'!$C$9:$N$254,7,FALSE)</f>
        <v>705</v>
      </c>
      <c r="E7048" s="2563"/>
      <c r="F7048" s="2563"/>
      <c r="G7048" s="2563"/>
      <c r="H7048" s="2564"/>
      <c r="I7048" s="397"/>
      <c r="J7048" s="396"/>
      <c r="K7048" s="396"/>
      <c r="L7048" s="396"/>
      <c r="M7048" s="396"/>
      <c r="N7048" s="396"/>
      <c r="O7048" s="396"/>
      <c r="P7048" s="396"/>
      <c r="Q7048" s="396"/>
      <c r="R7048" s="396"/>
      <c r="S7048" s="396"/>
      <c r="T7048" s="396"/>
      <c r="U7048" s="388"/>
      <c r="V7048" s="396"/>
      <c r="W7048" s="388"/>
      <c r="X7048" s="396"/>
      <c r="Y7048" s="389"/>
      <c r="Z7048" s="396"/>
      <c r="AA7048" s="388"/>
      <c r="AB7048" s="390"/>
    </row>
    <row r="7049" spans="1:28">
      <c r="A7049" s="391"/>
      <c r="B7049" s="392"/>
      <c r="C7049" s="393" t="s">
        <v>200</v>
      </c>
      <c r="D7049" s="2562">
        <f>VLOOKUP(C7045,'Data Panjang Balok'!$C$9:$N$254,9,FALSE)</f>
        <v>0</v>
      </c>
      <c r="E7049" s="2563"/>
      <c r="F7049" s="2563"/>
      <c r="G7049" s="2563"/>
      <c r="H7049" s="2564"/>
      <c r="I7049" s="397"/>
      <c r="J7049" s="396"/>
      <c r="K7049" s="396"/>
      <c r="L7049" s="396"/>
      <c r="M7049" s="396"/>
      <c r="N7049" s="396"/>
      <c r="O7049" s="396"/>
      <c r="P7049" s="396"/>
      <c r="Q7049" s="396"/>
      <c r="R7049" s="396"/>
      <c r="S7049" s="396"/>
      <c r="T7049" s="396"/>
      <c r="U7049" s="388"/>
      <c r="V7049" s="396"/>
      <c r="W7049" s="388"/>
      <c r="X7049" s="396"/>
      <c r="Y7049" s="389"/>
      <c r="Z7049" s="396"/>
      <c r="AA7049" s="388"/>
      <c r="AB7049" s="390"/>
    </row>
    <row r="7050" spans="1:28">
      <c r="A7050" s="391"/>
      <c r="B7050" s="392"/>
      <c r="C7050" s="393" t="s">
        <v>201</v>
      </c>
      <c r="D7050" s="2562">
        <f>VLOOKUP(C7045,'Data Panjang Balok'!$C$9:$N$254,10,FALSE)</f>
        <v>0</v>
      </c>
      <c r="E7050" s="2563"/>
      <c r="F7050" s="2563"/>
      <c r="G7050" s="2563"/>
      <c r="H7050" s="2564"/>
      <c r="I7050" s="397"/>
      <c r="J7050" s="396"/>
      <c r="K7050" s="396"/>
      <c r="L7050" s="396"/>
      <c r="M7050" s="396"/>
      <c r="N7050" s="396"/>
      <c r="O7050" s="396"/>
      <c r="P7050" s="396"/>
      <c r="Q7050" s="396"/>
      <c r="R7050" s="396"/>
      <c r="S7050" s="396"/>
      <c r="T7050" s="396"/>
      <c r="U7050" s="388"/>
      <c r="V7050" s="396"/>
      <c r="W7050" s="388"/>
      <c r="X7050" s="396"/>
      <c r="Y7050" s="389"/>
      <c r="Z7050" s="396"/>
      <c r="AA7050" s="388"/>
      <c r="AB7050" s="390"/>
    </row>
    <row r="7051" spans="1:28">
      <c r="A7051" s="391"/>
      <c r="B7051" s="392"/>
      <c r="C7051" s="393" t="s">
        <v>48</v>
      </c>
      <c r="D7051" s="2562">
        <f>VLOOKUP(C7045,'Data Panjang Balok'!$C$9:$N$254,3,FALSE)</f>
        <v>1</v>
      </c>
      <c r="E7051" s="2563"/>
      <c r="F7051" s="2563"/>
      <c r="G7051" s="2563"/>
      <c r="H7051" s="2564"/>
      <c r="I7051" s="397"/>
      <c r="J7051" s="396"/>
      <c r="K7051" s="396"/>
      <c r="L7051" s="396"/>
      <c r="M7051" s="396"/>
      <c r="N7051" s="396"/>
      <c r="O7051" s="396"/>
      <c r="P7051" s="396"/>
      <c r="Q7051" s="396"/>
      <c r="R7051" s="396"/>
      <c r="S7051" s="396"/>
      <c r="T7051" s="396"/>
      <c r="U7051" s="388"/>
      <c r="V7051" s="396"/>
      <c r="W7051" s="388"/>
      <c r="X7051" s="396"/>
      <c r="Y7051" s="389"/>
      <c r="Z7051" s="396"/>
      <c r="AA7051" s="388"/>
      <c r="AB7051" s="390"/>
    </row>
    <row r="7052" spans="1:28">
      <c r="A7052" s="384" t="str">
        <f t="shared" ref="A7052:B7052" si="22852">A7045</f>
        <v>Lantai Atap</v>
      </c>
      <c r="B7052" s="385" t="str">
        <f t="shared" si="22852"/>
        <v>27A</v>
      </c>
      <c r="C7052" s="393" t="s">
        <v>202</v>
      </c>
      <c r="D7052" s="398">
        <f>VLOOKUP(D7045,'Detail Balok'!$C$10:$AU$140,4,FALSE)</f>
        <v>3</v>
      </c>
      <c r="E7052" s="388" t="s">
        <v>16</v>
      </c>
      <c r="F7052" s="388">
        <f>VLOOKUP(D7045,'Detail Balok'!$C$10:$AU$140,6,FALSE)</f>
        <v>13</v>
      </c>
      <c r="G7052" s="388"/>
      <c r="H7052" s="395"/>
      <c r="I7052" s="388" t="s">
        <v>203</v>
      </c>
      <c r="J7052" s="399">
        <f t="shared" ref="J7052" si="22853">+D7047/4/1000</f>
        <v>0.17624999999999999</v>
      </c>
      <c r="K7052" s="400" t="s">
        <v>204</v>
      </c>
      <c r="L7052" s="399">
        <f t="shared" ref="L7052" si="22854">MAX(VLOOKUP(F7052,N$6:P$15,3,FALSE)/1000,2/3*D7049/1000)+F$16*F7052/1000</f>
        <v>0.156</v>
      </c>
      <c r="M7052" s="399" t="s">
        <v>176</v>
      </c>
      <c r="N7052" s="399">
        <f t="shared" ref="N7052:N7054" si="22855">J7052+L7052</f>
        <v>0.33224999999999999</v>
      </c>
      <c r="O7052" s="399" t="s">
        <v>204</v>
      </c>
      <c r="P7052" s="389">
        <f t="shared" ref="P7052" si="22856">D7052-D7053</f>
        <v>0</v>
      </c>
      <c r="Q7052" s="399" t="s">
        <v>125</v>
      </c>
      <c r="R7052" s="399">
        <f t="shared" ref="R7052" si="22857">IF(P7052&gt;0,$F$18*F7052/1000,0)</f>
        <v>0</v>
      </c>
      <c r="S7052" s="399" t="s">
        <v>205</v>
      </c>
      <c r="T7052" s="399" t="s">
        <v>125</v>
      </c>
      <c r="U7052" s="401">
        <f t="shared" ref="U7052:U7054" si="22858">0.006165*F7052^2</f>
        <v>1.041885</v>
      </c>
      <c r="V7052" s="399"/>
      <c r="W7052" s="399"/>
      <c r="X7052" s="399" t="s">
        <v>125</v>
      </c>
      <c r="Y7052" s="389">
        <f t="shared" ref="Y7052" si="22859">D7051</f>
        <v>1</v>
      </c>
      <c r="Z7052" s="400" t="s">
        <v>176</v>
      </c>
      <c r="AA7052" s="402">
        <f t="shared" ref="AA7052" si="22860">IF(AA7055=0,(D7052*N7052+P7052*R7052)*U7052*Y7052,0)</f>
        <v>0</v>
      </c>
      <c r="AB7052" s="403"/>
    </row>
    <row r="7053" spans="1:28">
      <c r="A7053" s="384" t="str">
        <f t="shared" ref="A7053:B7053" si="22861">A7045</f>
        <v>Lantai Atap</v>
      </c>
      <c r="B7053" s="385" t="str">
        <f t="shared" si="22861"/>
        <v>27A</v>
      </c>
      <c r="C7053" s="393" t="s">
        <v>206</v>
      </c>
      <c r="D7053" s="398">
        <f>VLOOKUP(D7045,'Detail Balok'!$C$10:$AU$140,7,FALSE)</f>
        <v>3</v>
      </c>
      <c r="E7053" s="388" t="s">
        <v>16</v>
      </c>
      <c r="F7053" s="388">
        <f>VLOOKUP(D7045,'Detail Balok'!$C$10:$AU$140,9,FALSE)</f>
        <v>13</v>
      </c>
      <c r="G7053" s="388"/>
      <c r="H7053" s="395"/>
      <c r="I7053" s="388" t="s">
        <v>203</v>
      </c>
      <c r="J7053" s="399">
        <f t="shared" ref="J7053" si="22862">+D7047/2/1000</f>
        <v>0.35249999999999998</v>
      </c>
      <c r="K7053" s="400" t="s">
        <v>204</v>
      </c>
      <c r="L7053" s="399"/>
      <c r="M7053" s="399" t="s">
        <v>176</v>
      </c>
      <c r="N7053" s="399">
        <f t="shared" si="22855"/>
        <v>0.35249999999999998</v>
      </c>
      <c r="O7053" s="399" t="s">
        <v>204</v>
      </c>
      <c r="P7053" s="389">
        <f t="shared" ref="P7053" si="22863">MAX(D7053-D7052,D7053-D7054)</f>
        <v>0</v>
      </c>
      <c r="Q7053" s="399" t="s">
        <v>125</v>
      </c>
      <c r="R7053" s="399">
        <f t="shared" ref="R7053" si="22864">IF(P7053&gt;0,2*(1-2*$F$19-1/2)*D7048/1000,0)</f>
        <v>0</v>
      </c>
      <c r="S7053" s="399" t="s">
        <v>205</v>
      </c>
      <c r="T7053" s="399" t="s">
        <v>125</v>
      </c>
      <c r="U7053" s="401">
        <f t="shared" si="22858"/>
        <v>1.041885</v>
      </c>
      <c r="V7053" s="399"/>
      <c r="W7053" s="399"/>
      <c r="X7053" s="399" t="s">
        <v>125</v>
      </c>
      <c r="Y7053" s="389">
        <f t="shared" ref="Y7053" si="22865">D7051</f>
        <v>1</v>
      </c>
      <c r="Z7053" s="400" t="s">
        <v>176</v>
      </c>
      <c r="AA7053" s="402">
        <f t="shared" ref="AA7053" si="22866">IF(AA7055=0,(D7053*N7053+P7053*R7053)*U7053*Y7053,0)</f>
        <v>0</v>
      </c>
      <c r="AB7053" s="403"/>
    </row>
    <row r="7054" spans="1:28">
      <c r="A7054" s="384" t="str">
        <f t="shared" ref="A7054:B7054" si="22867">A7045</f>
        <v>Lantai Atap</v>
      </c>
      <c r="B7054" s="385" t="str">
        <f t="shared" si="22867"/>
        <v>27A</v>
      </c>
      <c r="C7054" s="393" t="s">
        <v>202</v>
      </c>
      <c r="D7054" s="398">
        <f>VLOOKUP(D7045,'Detail Balok'!$C$10:$AU$140,10,FALSE)</f>
        <v>3</v>
      </c>
      <c r="E7054" s="388" t="s">
        <v>16</v>
      </c>
      <c r="F7054" s="388">
        <f>VLOOKUP(D7045,'Detail Balok'!$C$10:$AU$140,12,FALSE)</f>
        <v>13</v>
      </c>
      <c r="G7054" s="388"/>
      <c r="H7054" s="395"/>
      <c r="I7054" s="388" t="s">
        <v>203</v>
      </c>
      <c r="J7054" s="399">
        <f t="shared" ref="J7054" si="22868">+D7047/4/1000</f>
        <v>0.17624999999999999</v>
      </c>
      <c r="K7054" s="400" t="s">
        <v>204</v>
      </c>
      <c r="L7054" s="399">
        <f t="shared" ref="L7054" si="22869">MAX(VLOOKUP(F7054,N$6:P$15,3,FALSE)/1000,2/3*D7049/1000)+F$16*F7054/1000</f>
        <v>0.156</v>
      </c>
      <c r="M7054" s="399" t="s">
        <v>176</v>
      </c>
      <c r="N7054" s="399">
        <f t="shared" si="22855"/>
        <v>0.33224999999999999</v>
      </c>
      <c r="O7054" s="399" t="s">
        <v>204</v>
      </c>
      <c r="P7054" s="389">
        <f t="shared" ref="P7054" si="22870">D7054-D7053</f>
        <v>0</v>
      </c>
      <c r="Q7054" s="399" t="s">
        <v>125</v>
      </c>
      <c r="R7054" s="399">
        <f t="shared" ref="R7054" si="22871">IF(P7054&gt;0,$F$18*F7054/1000,0)</f>
        <v>0</v>
      </c>
      <c r="S7054" s="399" t="s">
        <v>205</v>
      </c>
      <c r="T7054" s="399" t="s">
        <v>125</v>
      </c>
      <c r="U7054" s="401">
        <f t="shared" si="22858"/>
        <v>1.041885</v>
      </c>
      <c r="V7054" s="399"/>
      <c r="W7054" s="399"/>
      <c r="X7054" s="399" t="s">
        <v>125</v>
      </c>
      <c r="Y7054" s="389">
        <f t="shared" ref="Y7054" si="22872">D7051</f>
        <v>1</v>
      </c>
      <c r="Z7054" s="400" t="s">
        <v>176</v>
      </c>
      <c r="AA7054" s="402">
        <f t="shared" ref="AA7054" si="22873">IF(AA7055=0,(D7054*N7054+P7054*R7054)*U7054*Y7054,0)</f>
        <v>0</v>
      </c>
      <c r="AB7054" s="403"/>
    </row>
    <row r="7055" spans="1:28">
      <c r="A7055" s="384" t="str">
        <f t="shared" ref="A7055:B7055" si="22874">A7045</f>
        <v>Lantai Atap</v>
      </c>
      <c r="B7055" s="385" t="str">
        <f t="shared" si="22874"/>
        <v>27A</v>
      </c>
      <c r="C7055" s="393"/>
      <c r="D7055" s="398">
        <f t="shared" si="22677"/>
        <v>3</v>
      </c>
      <c r="E7055" s="388" t="s">
        <v>16</v>
      </c>
      <c r="F7055" s="388">
        <f t="shared" si="22678"/>
        <v>13</v>
      </c>
      <c r="G7055" s="388"/>
      <c r="H7055" s="395"/>
      <c r="I7055" s="388"/>
      <c r="J7055" s="396"/>
      <c r="K7055" s="396"/>
      <c r="L7055" s="404" t="s">
        <v>207</v>
      </c>
      <c r="M7055" s="399" t="s">
        <v>176</v>
      </c>
      <c r="N7055" s="399">
        <f t="shared" ref="N7055" si="22875">IF(AND(D7052=D7053,D7052=D7054,D7053=D7054,F7052=F7053,F7052=F7054,F7053=F7054),SUM(N7052:N7054),0)</f>
        <v>1.0169999999999999</v>
      </c>
      <c r="O7055" s="399" t="s">
        <v>204</v>
      </c>
      <c r="P7055" s="389">
        <f t="shared" ref="P7055" si="22876">IF(N7055&gt;12,ROUNDDOWN(N7055/12,0),0)</f>
        <v>0</v>
      </c>
      <c r="Q7055" s="399" t="s">
        <v>125</v>
      </c>
      <c r="R7055" s="399">
        <f t="shared" ref="R7055" si="22877">IF(P7055&gt;0,MAX(VLOOKUP(F7055,$D$6:$G$15,3,FALSE),600),0)/1000</f>
        <v>0</v>
      </c>
      <c r="S7055" s="396"/>
      <c r="T7055" s="396" t="s">
        <v>125</v>
      </c>
      <c r="U7055" s="401">
        <f t="shared" si="22682"/>
        <v>1.041885</v>
      </c>
      <c r="V7055" s="396" t="s">
        <v>125</v>
      </c>
      <c r="W7055" s="399">
        <f t="shared" ref="W7055" si="22878">D7055</f>
        <v>3</v>
      </c>
      <c r="X7055" s="399" t="s">
        <v>125</v>
      </c>
      <c r="Y7055" s="389">
        <f t="shared" si="22684"/>
        <v>1</v>
      </c>
      <c r="Z7055" s="400" t="s">
        <v>176</v>
      </c>
      <c r="AA7055" s="402">
        <f t="shared" ref="AA7055" si="22879">(N7055+P7055*R7055/1000)*U7055*W7055*Y7055</f>
        <v>3.1787911349999995</v>
      </c>
      <c r="AB7055" s="390"/>
    </row>
    <row r="7056" spans="1:28">
      <c r="A7056" s="384"/>
      <c r="B7056" s="385"/>
      <c r="C7056" s="393"/>
      <c r="D7056" s="398"/>
      <c r="E7056" s="388"/>
      <c r="F7056" s="388"/>
      <c r="G7056" s="388"/>
      <c r="H7056" s="395"/>
      <c r="I7056" s="388"/>
      <c r="J7056" s="396"/>
      <c r="K7056" s="396"/>
      <c r="L7056" s="404"/>
      <c r="M7056" s="399"/>
      <c r="N7056" s="399"/>
      <c r="O7056" s="396"/>
      <c r="P7056" s="389"/>
      <c r="Q7056" s="396"/>
      <c r="R7056" s="396"/>
      <c r="S7056" s="396"/>
      <c r="T7056" s="396"/>
      <c r="U7056" s="401"/>
      <c r="V7056" s="396"/>
      <c r="W7056" s="399"/>
      <c r="X7056" s="396"/>
      <c r="Y7056" s="389"/>
      <c r="Z7056" s="396"/>
      <c r="AA7056" s="388"/>
      <c r="AB7056" s="390"/>
    </row>
    <row r="7057" spans="1:28">
      <c r="A7057" s="384" t="str">
        <f t="shared" ref="A7057:B7057" si="22880">A7045</f>
        <v>Lantai Atap</v>
      </c>
      <c r="B7057" s="385" t="str">
        <f t="shared" si="22880"/>
        <v>27A</v>
      </c>
      <c r="C7057" s="393" t="s">
        <v>208</v>
      </c>
      <c r="D7057" s="398">
        <f>VLOOKUP(D7045,'Detail Balok'!$C$10:$AU$140,13,FALSE)</f>
        <v>0</v>
      </c>
      <c r="E7057" s="388" t="s">
        <v>16</v>
      </c>
      <c r="F7057" s="388">
        <f>VLOOKUP(D7045,'Detail Balok'!$C$10:$AU$140,15,FALSE)</f>
        <v>8</v>
      </c>
      <c r="G7057" s="388"/>
      <c r="H7057" s="395"/>
      <c r="I7057" s="388"/>
      <c r="J7057" s="399">
        <f t="shared" ref="J7057" si="22881">+D7047/1000</f>
        <v>0.70499999999999996</v>
      </c>
      <c r="K7057" s="400" t="s">
        <v>204</v>
      </c>
      <c r="L7057" s="399">
        <f t="shared" ref="L7057" si="22882">2*$F$16*F7057/1000</f>
        <v>0.192</v>
      </c>
      <c r="M7057" s="399" t="s">
        <v>176</v>
      </c>
      <c r="N7057" s="399">
        <f t="shared" ref="N7057" si="22883">J7057+L7057</f>
        <v>0.89700000000000002</v>
      </c>
      <c r="O7057" s="399" t="s">
        <v>204</v>
      </c>
      <c r="P7057" s="389">
        <f t="shared" ref="P7057" si="22884">IF(N7057&gt;12,ROUNDDOWN(N7057/12,0),0)</f>
        <v>0</v>
      </c>
      <c r="Q7057" s="399" t="s">
        <v>125</v>
      </c>
      <c r="R7057" s="399">
        <f t="shared" ref="R7057" si="22885">IF(P7057&gt;0,MAX(VLOOKUP(F7057,$D$6:$G$15,3,FALSE),600),0)/1000</f>
        <v>0</v>
      </c>
      <c r="S7057" s="399"/>
      <c r="T7057" s="399" t="s">
        <v>125</v>
      </c>
      <c r="U7057" s="401">
        <f t="shared" ref="U7057" si="22886">0.006165*F7057^2</f>
        <v>0.39456000000000002</v>
      </c>
      <c r="V7057" s="399" t="s">
        <v>125</v>
      </c>
      <c r="W7057" s="399">
        <f t="shared" ref="W7057" si="22887">+D7057</f>
        <v>0</v>
      </c>
      <c r="X7057" s="399" t="s">
        <v>125</v>
      </c>
      <c r="Y7057" s="389">
        <f t="shared" ref="Y7057" si="22888">D7051</f>
        <v>1</v>
      </c>
      <c r="Z7057" s="400" t="s">
        <v>176</v>
      </c>
      <c r="AA7057" s="402">
        <f t="shared" ref="AA7057" si="22889">(N7057+P7057*R7057/1000)*U7057*W7057*Y7057</f>
        <v>0</v>
      </c>
      <c r="AB7057" s="403"/>
    </row>
    <row r="7058" spans="1:28">
      <c r="A7058" s="384"/>
      <c r="B7058" s="385"/>
      <c r="C7058" s="393"/>
      <c r="D7058" s="398"/>
      <c r="E7058" s="388"/>
      <c r="F7058" s="388"/>
      <c r="G7058" s="388"/>
      <c r="H7058" s="395"/>
      <c r="I7058" s="388"/>
      <c r="J7058" s="399"/>
      <c r="K7058" s="400"/>
      <c r="L7058" s="399"/>
      <c r="M7058" s="399"/>
      <c r="N7058" s="399"/>
      <c r="O7058" s="399"/>
      <c r="P7058" s="389"/>
      <c r="Q7058" s="399"/>
      <c r="R7058" s="399"/>
      <c r="S7058" s="399"/>
      <c r="T7058" s="399"/>
      <c r="U7058" s="401"/>
      <c r="V7058" s="399"/>
      <c r="W7058" s="399"/>
      <c r="X7058" s="399"/>
      <c r="Y7058" s="389"/>
      <c r="Z7058" s="400"/>
      <c r="AA7058" s="402"/>
      <c r="AB7058" s="403"/>
    </row>
    <row r="7059" spans="1:28">
      <c r="A7059" s="384"/>
      <c r="B7059" s="385"/>
      <c r="C7059" s="393"/>
      <c r="D7059" s="398"/>
      <c r="E7059" s="388"/>
      <c r="F7059" s="388"/>
      <c r="G7059" s="388"/>
      <c r="H7059" s="395"/>
      <c r="I7059" s="388"/>
      <c r="J7059" s="396"/>
      <c r="K7059" s="396"/>
      <c r="L7059" s="396"/>
      <c r="M7059" s="396"/>
      <c r="N7059" s="396"/>
      <c r="O7059" s="396"/>
      <c r="P7059" s="389"/>
      <c r="Q7059" s="396"/>
      <c r="R7059" s="396"/>
      <c r="S7059" s="396"/>
      <c r="T7059" s="396"/>
      <c r="U7059" s="401"/>
      <c r="V7059" s="396"/>
      <c r="W7059" s="399"/>
      <c r="X7059" s="396"/>
      <c r="Y7059" s="389"/>
      <c r="Z7059" s="396"/>
      <c r="AA7059" s="388"/>
      <c r="AB7059" s="390"/>
    </row>
    <row r="7060" spans="1:28">
      <c r="A7060" s="384" t="str">
        <f t="shared" ref="A7060:B7060" si="22890">A7045</f>
        <v>Lantai Atap</v>
      </c>
      <c r="B7060" s="385" t="str">
        <f t="shared" si="22890"/>
        <v>27A</v>
      </c>
      <c r="C7060" s="393" t="s">
        <v>209</v>
      </c>
      <c r="D7060" s="398">
        <f>VLOOKUP(D7045,'Detail Balok'!$C$10:$AU$140,22,FALSE)</f>
        <v>3</v>
      </c>
      <c r="E7060" s="388" t="s">
        <v>16</v>
      </c>
      <c r="F7060" s="388">
        <f>VLOOKUP(D7045,'Detail Balok'!$C$10:$AU$140,24,FALSE)</f>
        <v>13</v>
      </c>
      <c r="G7060" s="388"/>
      <c r="H7060" s="395"/>
      <c r="I7060" s="388" t="s">
        <v>203</v>
      </c>
      <c r="J7060" s="399">
        <f t="shared" si="22697"/>
        <v>0.17624999999999999</v>
      </c>
      <c r="K7060" s="400" t="s">
        <v>204</v>
      </c>
      <c r="L7060" s="399">
        <f t="shared" ref="L7060" si="22891">MAX(VLOOKUP(F7060,N$6:P$15,3,FALSE)/1000,2/3*D7050/1000)+F$16*F7060/1000</f>
        <v>0.156</v>
      </c>
      <c r="M7060" s="399" t="s">
        <v>176</v>
      </c>
      <c r="N7060" s="399">
        <f t="shared" ref="N7060:N7062" si="22892">J7060+L7060</f>
        <v>0.33224999999999999</v>
      </c>
      <c r="O7060" s="399" t="s">
        <v>204</v>
      </c>
      <c r="P7060" s="389">
        <f t="shared" ref="P7060" si="22893">D7060-D7061</f>
        <v>0</v>
      </c>
      <c r="Q7060" s="399" t="s">
        <v>125</v>
      </c>
      <c r="R7060" s="399">
        <f t="shared" ref="R7060" si="22894">IF(P7060&gt;0,$F$18*F7060/1000,0)</f>
        <v>0</v>
      </c>
      <c r="S7060" s="399" t="s">
        <v>205</v>
      </c>
      <c r="T7060" s="399" t="s">
        <v>125</v>
      </c>
      <c r="U7060" s="401">
        <f t="shared" ref="U7060:U7062" si="22895">0.006165*F7060^2</f>
        <v>1.041885</v>
      </c>
      <c r="V7060" s="399"/>
      <c r="W7060" s="399"/>
      <c r="X7060" s="399" t="s">
        <v>125</v>
      </c>
      <c r="Y7060" s="389">
        <f t="shared" ref="Y7060" si="22896">D7051</f>
        <v>1</v>
      </c>
      <c r="Z7060" s="400" t="s">
        <v>176</v>
      </c>
      <c r="AA7060" s="402">
        <f t="shared" ref="AA7060" si="22897">IF(AA7063=0,(D7060*N7060+P7060*R7060)*U7060*Y7060,0)</f>
        <v>0</v>
      </c>
      <c r="AB7060" s="403"/>
    </row>
    <row r="7061" spans="1:28">
      <c r="A7061" s="384" t="str">
        <f t="shared" ref="A7061:B7061" si="22898">A7045</f>
        <v>Lantai Atap</v>
      </c>
      <c r="B7061" s="385" t="str">
        <f t="shared" si="22898"/>
        <v>27A</v>
      </c>
      <c r="C7061" s="393" t="s">
        <v>210</v>
      </c>
      <c r="D7061" s="398">
        <f>VLOOKUP(D7045,'Detail Balok'!$C$10:$AU$140,25,FALSE)</f>
        <v>3</v>
      </c>
      <c r="E7061" s="388" t="s">
        <v>16</v>
      </c>
      <c r="F7061" s="388">
        <f>VLOOKUP(D7045,'Detail Balok'!$C$10:$AU$140,27,FALSE)</f>
        <v>13</v>
      </c>
      <c r="G7061" s="388"/>
      <c r="H7061" s="395"/>
      <c r="I7061" s="388" t="s">
        <v>203</v>
      </c>
      <c r="J7061" s="399">
        <f t="shared" si="22697"/>
        <v>0.35249999999999998</v>
      </c>
      <c r="K7061" s="400" t="s">
        <v>204</v>
      </c>
      <c r="L7061" s="399"/>
      <c r="M7061" s="399" t="s">
        <v>176</v>
      </c>
      <c r="N7061" s="399">
        <f t="shared" si="22892"/>
        <v>0.35249999999999998</v>
      </c>
      <c r="O7061" s="399" t="s">
        <v>204</v>
      </c>
      <c r="P7061" s="389">
        <f t="shared" ref="P7061" si="22899">MAX(D7061-D7060,D7061-D7062)</f>
        <v>0</v>
      </c>
      <c r="Q7061" s="399" t="s">
        <v>125</v>
      </c>
      <c r="R7061" s="399">
        <f t="shared" ref="R7061" si="22900">IF(P7061&gt;0,2*(1-2*$F$19-1/2)*D7048/1000,0)</f>
        <v>0</v>
      </c>
      <c r="S7061" s="399" t="s">
        <v>205</v>
      </c>
      <c r="T7061" s="399" t="s">
        <v>125</v>
      </c>
      <c r="U7061" s="401">
        <f t="shared" si="22895"/>
        <v>1.041885</v>
      </c>
      <c r="V7061" s="399"/>
      <c r="W7061" s="399"/>
      <c r="X7061" s="399" t="s">
        <v>125</v>
      </c>
      <c r="Y7061" s="389">
        <f t="shared" ref="Y7061" si="22901">D7051</f>
        <v>1</v>
      </c>
      <c r="Z7061" s="400" t="s">
        <v>176</v>
      </c>
      <c r="AA7061" s="402">
        <f t="shared" ref="AA7061" si="22902">IF(AA7063=0,(D7061*N7061+P7061*R7061)*U7061*Y7061,0)</f>
        <v>0</v>
      </c>
      <c r="AB7061" s="403"/>
    </row>
    <row r="7062" spans="1:28">
      <c r="A7062" s="384" t="str">
        <f t="shared" ref="A7062:B7062" si="22903">A7045</f>
        <v>Lantai Atap</v>
      </c>
      <c r="B7062" s="385" t="str">
        <f t="shared" si="22903"/>
        <v>27A</v>
      </c>
      <c r="C7062" s="393" t="s">
        <v>209</v>
      </c>
      <c r="D7062" s="398">
        <f>VLOOKUP(D7045,'Detail Balok'!$C$10:$AU$140,28,FALSE)</f>
        <v>3</v>
      </c>
      <c r="E7062" s="388" t="s">
        <v>16</v>
      </c>
      <c r="F7062" s="388">
        <f>VLOOKUP(D7045,'Detail Balok'!$C$10:$AU$140,30,FALSE)</f>
        <v>13</v>
      </c>
      <c r="G7062" s="388"/>
      <c r="H7062" s="395"/>
      <c r="I7062" s="388" t="s">
        <v>203</v>
      </c>
      <c r="J7062" s="399">
        <f t="shared" si="22697"/>
        <v>0.17624999999999999</v>
      </c>
      <c r="K7062" s="400" t="s">
        <v>204</v>
      </c>
      <c r="L7062" s="399">
        <f t="shared" ref="L7062" si="22904">MAX(VLOOKUP(F7062,N$6:P$15,3,FALSE)/1000,2/3*D7050/1000)+F$16*F7062/1000</f>
        <v>0.156</v>
      </c>
      <c r="M7062" s="399" t="s">
        <v>176</v>
      </c>
      <c r="N7062" s="399">
        <f t="shared" si="22892"/>
        <v>0.33224999999999999</v>
      </c>
      <c r="O7062" s="399" t="s">
        <v>204</v>
      </c>
      <c r="P7062" s="389">
        <f t="shared" ref="P7062" si="22905">D7062-D7061</f>
        <v>0</v>
      </c>
      <c r="Q7062" s="399" t="s">
        <v>125</v>
      </c>
      <c r="R7062" s="399">
        <f t="shared" ref="R7062" si="22906">IF(P7062&gt;0,$F$18*F7062/1000,0)</f>
        <v>0</v>
      </c>
      <c r="S7062" s="399" t="s">
        <v>205</v>
      </c>
      <c r="T7062" s="399" t="s">
        <v>125</v>
      </c>
      <c r="U7062" s="401">
        <f t="shared" si="22895"/>
        <v>1.041885</v>
      </c>
      <c r="V7062" s="399"/>
      <c r="W7062" s="399"/>
      <c r="X7062" s="399" t="s">
        <v>125</v>
      </c>
      <c r="Y7062" s="389">
        <f t="shared" ref="Y7062" si="22907">D7051</f>
        <v>1</v>
      </c>
      <c r="Z7062" s="400" t="s">
        <v>176</v>
      </c>
      <c r="AA7062" s="402">
        <f t="shared" ref="AA7062" si="22908">IF(AA7063=0,(D7062*N7062+P7062*R7062)*U7062*Y7062,0)</f>
        <v>0</v>
      </c>
      <c r="AB7062" s="403"/>
    </row>
    <row r="7063" spans="1:28">
      <c r="A7063" s="384" t="str">
        <f t="shared" ref="A7063:B7063" si="22909">A7045</f>
        <v>Lantai Atap</v>
      </c>
      <c r="B7063" s="385" t="str">
        <f t="shared" si="22909"/>
        <v>27A</v>
      </c>
      <c r="C7063" s="393"/>
      <c r="D7063" s="398">
        <f t="shared" si="22717"/>
        <v>3</v>
      </c>
      <c r="E7063" s="388" t="s">
        <v>16</v>
      </c>
      <c r="F7063" s="388">
        <f t="shared" si="22718"/>
        <v>13</v>
      </c>
      <c r="G7063" s="388"/>
      <c r="H7063" s="395"/>
      <c r="I7063" s="388"/>
      <c r="J7063" s="396"/>
      <c r="K7063" s="396"/>
      <c r="L7063" s="404" t="s">
        <v>207</v>
      </c>
      <c r="M7063" s="399" t="s">
        <v>176</v>
      </c>
      <c r="N7063" s="399">
        <f t="shared" ref="N7063" si="22910">IF(AND(D7060=D7061,D7060=D7062,D7061=D7062,F7060=F7061,F7060=F7062,F7061=F7062),SUM(N7060:N7062),0)</f>
        <v>1.0169999999999999</v>
      </c>
      <c r="O7063" s="399" t="s">
        <v>204</v>
      </c>
      <c r="P7063" s="389">
        <f t="shared" ref="P7063" si="22911">IF(N7063&gt;12,ROUNDDOWN(N7063/12,0),0)</f>
        <v>0</v>
      </c>
      <c r="Q7063" s="399" t="s">
        <v>125</v>
      </c>
      <c r="R7063" s="399">
        <f t="shared" ref="R7063" si="22912">IF(P7063&gt;0,MAX(VLOOKUP(F7063,$D$6:$G$15,3,FALSE),600),0)/1000</f>
        <v>0</v>
      </c>
      <c r="S7063" s="396"/>
      <c r="T7063" s="396" t="s">
        <v>125</v>
      </c>
      <c r="U7063" s="401">
        <f t="shared" si="22722"/>
        <v>1.041885</v>
      </c>
      <c r="V7063" s="396" t="s">
        <v>125</v>
      </c>
      <c r="W7063" s="399">
        <f t="shared" ref="W7063" si="22913">D7063</f>
        <v>3</v>
      </c>
      <c r="X7063" s="399" t="s">
        <v>125</v>
      </c>
      <c r="Y7063" s="389">
        <f t="shared" si="22724"/>
        <v>1</v>
      </c>
      <c r="Z7063" s="400" t="s">
        <v>176</v>
      </c>
      <c r="AA7063" s="402">
        <f t="shared" ref="AA7063" si="22914">(N7063+P7063*R7063/1000)*U7063*W7063*Y7063</f>
        <v>3.1787911349999995</v>
      </c>
      <c r="AB7063" s="403"/>
    </row>
    <row r="7064" spans="1:28">
      <c r="A7064" s="384"/>
      <c r="B7064" s="385"/>
      <c r="C7064" s="393"/>
      <c r="D7064" s="394"/>
      <c r="E7064" s="388"/>
      <c r="F7064" s="388"/>
      <c r="G7064" s="388"/>
      <c r="H7064" s="395"/>
      <c r="I7064" s="388"/>
      <c r="J7064" s="399"/>
      <c r="K7064" s="396"/>
      <c r="L7064" s="396"/>
      <c r="M7064" s="396"/>
      <c r="N7064" s="396"/>
      <c r="O7064" s="396"/>
      <c r="P7064" s="389"/>
      <c r="Q7064" s="396"/>
      <c r="R7064" s="396"/>
      <c r="S7064" s="396"/>
      <c r="T7064" s="396"/>
      <c r="U7064" s="401"/>
      <c r="V7064" s="396"/>
      <c r="W7064" s="388"/>
      <c r="X7064" s="396"/>
      <c r="Y7064" s="389"/>
      <c r="Z7064" s="396"/>
      <c r="AA7064" s="388"/>
      <c r="AB7064" s="390"/>
    </row>
    <row r="7065" spans="1:28">
      <c r="A7065" s="384" t="str">
        <f t="shared" ref="A7065:B7065" si="22915">A7045</f>
        <v>Lantai Atap</v>
      </c>
      <c r="B7065" s="385" t="str">
        <f t="shared" si="22915"/>
        <v>27A</v>
      </c>
      <c r="C7065" s="393" t="s">
        <v>211</v>
      </c>
      <c r="D7065" s="398">
        <f>VLOOKUP(D7045,'Detail Balok'!$C$10:$AU$140,31,FALSE)</f>
        <v>0</v>
      </c>
      <c r="E7065" s="388" t="s">
        <v>16</v>
      </c>
      <c r="F7065" s="388">
        <f>VLOOKUP(D7045,'Detail Balok'!$C$10:$AU$140,33,FALSE)</f>
        <v>10</v>
      </c>
      <c r="G7065" s="405" t="s">
        <v>157</v>
      </c>
      <c r="H7065" s="395">
        <f>VLOOKUP(D7045,'Detail Balok'!$C$10:$AU$140,35,FALSE)</f>
        <v>100</v>
      </c>
      <c r="I7065" s="388"/>
      <c r="J7065" s="400">
        <f t="shared" ref="J7065" si="22916">(IF(D7065=0,(2*(D7046+G7046))-(F$5*8),IF(D7065=3,(2*(D7046+G7046))-(F$5*8)+(G7046-2*F$5),IF(D7065=4,(2*(D7046+G7046))-(F$5*8)+2*(G7046-2*F$5)))))/1000</f>
        <v>0.88</v>
      </c>
      <c r="K7065" s="400" t="s">
        <v>204</v>
      </c>
      <c r="L7065" s="399">
        <f t="shared" ref="L7065:L7067" si="22917">IF(D7065=0,2*MAX(6*F7065,75),(D7065-1)*2*MAX(6*F7065,75))/1000</f>
        <v>0.15</v>
      </c>
      <c r="M7065" s="399" t="s">
        <v>176</v>
      </c>
      <c r="N7065" s="399">
        <f t="shared" ref="N7065:N7067" si="22918">J7065+L7065</f>
        <v>1.03</v>
      </c>
      <c r="O7065" s="399"/>
      <c r="P7065" s="389"/>
      <c r="Q7065" s="399"/>
      <c r="R7065" s="399"/>
      <c r="S7065" s="399"/>
      <c r="T7065" s="399" t="s">
        <v>125</v>
      </c>
      <c r="U7065" s="401">
        <f t="shared" ref="U7065:U7067" si="22919">0.006165*F7065^2</f>
        <v>0.61650000000000005</v>
      </c>
      <c r="V7065" s="399" t="s">
        <v>125</v>
      </c>
      <c r="W7065" s="399">
        <f t="shared" ref="W7065" si="22920">IF(D7048&gt;4*G7046,ROUND(MAX(D7048/4,2*G7046)/H7065,0)+1,ROUND(D7048/H7065,0)+1)</f>
        <v>8</v>
      </c>
      <c r="X7065" s="399" t="s">
        <v>125</v>
      </c>
      <c r="Y7065" s="389">
        <f t="shared" ref="Y7065" si="22921">D7051</f>
        <v>1</v>
      </c>
      <c r="Z7065" s="400" t="s">
        <v>176</v>
      </c>
      <c r="AA7065" s="402">
        <f t="shared" ref="AA7065:AA7067" si="22922">N7065*U7065*W7065*Y7065</f>
        <v>5.0799600000000007</v>
      </c>
      <c r="AB7065" s="403"/>
    </row>
    <row r="7066" spans="1:28">
      <c r="A7066" s="384" t="str">
        <f t="shared" ref="A7066:B7066" si="22923">A7045</f>
        <v>Lantai Atap</v>
      </c>
      <c r="B7066" s="385" t="str">
        <f t="shared" si="22923"/>
        <v>27A</v>
      </c>
      <c r="C7066" s="393" t="s">
        <v>212</v>
      </c>
      <c r="D7066" s="398">
        <f>VLOOKUP(D7045,'Detail Balok'!$C$10:$AU$140,36,FALSE)</f>
        <v>0</v>
      </c>
      <c r="E7066" s="388" t="s">
        <v>16</v>
      </c>
      <c r="F7066" s="388">
        <f>VLOOKUP(D7045,'Detail Balok'!$C$10:$AU$140,38,FALSE)</f>
        <v>10</v>
      </c>
      <c r="G7066" s="405" t="s">
        <v>157</v>
      </c>
      <c r="H7066" s="395">
        <f>VLOOKUP(D7045,'Detail Balok'!$C$10:$AU$140,40,FALSE)</f>
        <v>200</v>
      </c>
      <c r="I7066" s="388"/>
      <c r="J7066" s="400">
        <f t="shared" ref="J7066" si="22924">(IF(D7066=0,(2*(D7046+G7046))-(F$5*8),IF(D7066=3,(2*(D7046+G7046))-(F$5*8)+(G7046-2*F$5),IF(D7066=4,(2*(D7046+G7046))-(F$5*8)+2*(G7046-2*F$5)))))/1000</f>
        <v>0.88</v>
      </c>
      <c r="K7066" s="400" t="s">
        <v>204</v>
      </c>
      <c r="L7066" s="399">
        <f t="shared" si="22917"/>
        <v>0.15</v>
      </c>
      <c r="M7066" s="399" t="s">
        <v>176</v>
      </c>
      <c r="N7066" s="399">
        <f t="shared" si="22918"/>
        <v>1.03</v>
      </c>
      <c r="O7066" s="399"/>
      <c r="P7066" s="389"/>
      <c r="Q7066" s="399"/>
      <c r="R7066" s="399"/>
      <c r="S7066" s="399"/>
      <c r="T7066" s="399" t="s">
        <v>125</v>
      </c>
      <c r="U7066" s="401">
        <f t="shared" si="22919"/>
        <v>0.61650000000000005</v>
      </c>
      <c r="V7066" s="399" t="s">
        <v>125</v>
      </c>
      <c r="W7066" s="399">
        <f t="shared" ref="W7066" si="22925">IF(D7048-MAX(D7048/4,2*G7046)*2&gt;0,ROUND((D7048-MAX(D7048/4,2*G7046)*2)/H7066,0),0)</f>
        <v>0</v>
      </c>
      <c r="X7066" s="399" t="s">
        <v>125</v>
      </c>
      <c r="Y7066" s="389">
        <f t="shared" ref="Y7066" si="22926">D7051</f>
        <v>1</v>
      </c>
      <c r="Z7066" s="400" t="s">
        <v>176</v>
      </c>
      <c r="AA7066" s="402">
        <f t="shared" si="22922"/>
        <v>0</v>
      </c>
      <c r="AB7066" s="403"/>
    </row>
    <row r="7067" spans="1:28">
      <c r="A7067" s="384" t="str">
        <f t="shared" ref="A7067:B7067" si="22927">A7045</f>
        <v>Lantai Atap</v>
      </c>
      <c r="B7067" s="385" t="str">
        <f t="shared" si="22927"/>
        <v>27A</v>
      </c>
      <c r="C7067" s="393" t="s">
        <v>211</v>
      </c>
      <c r="D7067" s="398">
        <f>VLOOKUP(D7045,'Detail Balok'!$C$10:$AU$140,41,FALSE)</f>
        <v>0</v>
      </c>
      <c r="E7067" s="388" t="s">
        <v>16</v>
      </c>
      <c r="F7067" s="388">
        <f>VLOOKUP(D7045,'Detail Balok'!$C$10:$AU$140,43,FALSE)</f>
        <v>10</v>
      </c>
      <c r="G7067" s="405" t="s">
        <v>157</v>
      </c>
      <c r="H7067" s="395">
        <f>VLOOKUP(D7045,'Detail Balok'!$C$10:$AU$140,45,FALSE)</f>
        <v>100</v>
      </c>
      <c r="I7067" s="388"/>
      <c r="J7067" s="400">
        <f t="shared" ref="J7067" si="22928">(IF(D7067=0,(2*(D7046+G7046))-(F$5*8),IF(D7067=3,(2*(D7046+G7046))-(F$5*8)+(G7046-2*F$5),IF(D7067=4,(2*(D7046+G7046))-(F$5*8)+2*(G7046-2*F$5)))))/1000</f>
        <v>0.88</v>
      </c>
      <c r="K7067" s="400" t="s">
        <v>204</v>
      </c>
      <c r="L7067" s="399">
        <f t="shared" si="22917"/>
        <v>0.15</v>
      </c>
      <c r="M7067" s="399" t="s">
        <v>176</v>
      </c>
      <c r="N7067" s="399">
        <f t="shared" si="22918"/>
        <v>1.03</v>
      </c>
      <c r="O7067" s="399"/>
      <c r="P7067" s="389"/>
      <c r="Q7067" s="399"/>
      <c r="R7067" s="399"/>
      <c r="S7067" s="399"/>
      <c r="T7067" s="399" t="s">
        <v>125</v>
      </c>
      <c r="U7067" s="401">
        <f t="shared" si="22919"/>
        <v>0.61650000000000005</v>
      </c>
      <c r="V7067" s="399" t="s">
        <v>125</v>
      </c>
      <c r="W7067" s="399">
        <f t="shared" ref="W7067" si="22929">IF(D7048&gt;4*G7046,ROUND(MAX(D7048/4,2*G7046)/H7067,0)+1,0)</f>
        <v>0</v>
      </c>
      <c r="X7067" s="399" t="s">
        <v>125</v>
      </c>
      <c r="Y7067" s="389">
        <f t="shared" ref="Y7067" si="22930">D7051</f>
        <v>1</v>
      </c>
      <c r="Z7067" s="400" t="s">
        <v>176</v>
      </c>
      <c r="AA7067" s="402">
        <f t="shared" si="22922"/>
        <v>0</v>
      </c>
      <c r="AB7067" s="403"/>
    </row>
    <row r="7068" spans="1:28">
      <c r="A7068" s="384"/>
      <c r="B7068" s="385"/>
      <c r="C7068" s="393"/>
      <c r="D7068" s="394"/>
      <c r="E7068" s="388"/>
      <c r="F7068" s="388"/>
      <c r="G7068" s="388"/>
      <c r="H7068" s="395"/>
      <c r="I7068" s="388"/>
      <c r="J7068" s="399"/>
      <c r="K7068" s="396"/>
      <c r="L7068" s="396"/>
      <c r="M7068" s="396"/>
      <c r="N7068" s="396"/>
      <c r="O7068" s="396"/>
      <c r="P7068" s="389"/>
      <c r="Q7068" s="396"/>
      <c r="R7068" s="396"/>
      <c r="S7068" s="396"/>
      <c r="T7068" s="396"/>
      <c r="U7068" s="401"/>
      <c r="V7068" s="396"/>
      <c r="W7068" s="388"/>
      <c r="X7068" s="396"/>
      <c r="Y7068" s="389"/>
      <c r="Z7068" s="396"/>
      <c r="AA7068" s="388"/>
      <c r="AB7068" s="390"/>
    </row>
    <row r="7069" spans="1:28">
      <c r="A7069" s="384" t="str">
        <f t="shared" ref="A7069:B7069" si="22931">A7045</f>
        <v>Lantai Atap</v>
      </c>
      <c r="B7069" s="385" t="str">
        <f t="shared" si="22931"/>
        <v>27A</v>
      </c>
      <c r="C7069" s="393" t="s">
        <v>213</v>
      </c>
      <c r="D7069" s="398">
        <f>VLOOKUP(D7045,'Detail Balok'!$C$10:$BJ$140,46,FALSE)</f>
        <v>0</v>
      </c>
      <c r="E7069" s="388" t="s">
        <v>16</v>
      </c>
      <c r="F7069" s="388">
        <f>VLOOKUP(D7045,'Detail Balok'!$C$10:$BJ$140,48,FALSE)</f>
        <v>0</v>
      </c>
      <c r="G7069" s="405" t="s">
        <v>157</v>
      </c>
      <c r="H7069" s="395">
        <f>VLOOKUP(D7045,'Detail Balok'!$C$10:$BJ$140,50,FALSE)</f>
        <v>100</v>
      </c>
      <c r="I7069" s="388"/>
      <c r="J7069" s="399">
        <f t="shared" ref="J7069" si="22932">(D7046-2*F$5)/1000</f>
        <v>0.12</v>
      </c>
      <c r="K7069" s="400" t="s">
        <v>204</v>
      </c>
      <c r="L7069" s="399">
        <f t="shared" ref="L7069:L7071" si="22933">IF(D7069=0,2*MAX(6*F7069,75),(D7069-1)*2*MAX(6*F7069,75))/1000</f>
        <v>0.15</v>
      </c>
      <c r="M7069" s="399" t="s">
        <v>176</v>
      </c>
      <c r="N7069" s="399">
        <f t="shared" ref="N7069:N7071" si="22934">J7069+L7069</f>
        <v>0.27</v>
      </c>
      <c r="O7069" s="399"/>
      <c r="P7069" s="399"/>
      <c r="Q7069" s="399"/>
      <c r="R7069" s="399"/>
      <c r="S7069" s="399"/>
      <c r="T7069" s="399" t="s">
        <v>125</v>
      </c>
      <c r="U7069" s="401">
        <f t="shared" ref="U7069:U7071" si="22935">0.006165*F7069^2</f>
        <v>0</v>
      </c>
      <c r="V7069" s="399" t="s">
        <v>125</v>
      </c>
      <c r="W7069" s="399">
        <f t="shared" si="22747"/>
        <v>8</v>
      </c>
      <c r="X7069" s="399" t="s">
        <v>125</v>
      </c>
      <c r="Y7069" s="389">
        <f t="shared" ref="Y7069" si="22936">D7055</f>
        <v>3</v>
      </c>
      <c r="Z7069" s="400" t="s">
        <v>176</v>
      </c>
      <c r="AA7069" s="402">
        <f t="shared" ref="AA7069:AA7071" si="22937">N7069*U7069*W7069*Y7069</f>
        <v>0</v>
      </c>
      <c r="AB7069" s="403"/>
    </row>
    <row r="7070" spans="1:28">
      <c r="A7070" s="384" t="str">
        <f t="shared" ref="A7070:B7070" si="22938">A7045</f>
        <v>Lantai Atap</v>
      </c>
      <c r="B7070" s="385" t="str">
        <f t="shared" si="22938"/>
        <v>27A</v>
      </c>
      <c r="C7070" s="393" t="s">
        <v>214</v>
      </c>
      <c r="D7070" s="398">
        <f>VLOOKUP(D7045,'Detail Balok'!$C$10:$BJ$140,51,FALSE)</f>
        <v>0</v>
      </c>
      <c r="E7070" s="388" t="s">
        <v>16</v>
      </c>
      <c r="F7070" s="388">
        <f>VLOOKUP(D7045,'Detail Balok'!$C$10:$BJ$140,53,FALSE)</f>
        <v>0</v>
      </c>
      <c r="G7070" s="405" t="s">
        <v>157</v>
      </c>
      <c r="H7070" s="395">
        <f>VLOOKUP(D7045,'Detail Balok'!$C$10:$BJ$140,55,FALSE)</f>
        <v>100</v>
      </c>
      <c r="I7070" s="388"/>
      <c r="J7070" s="399">
        <f t="shared" ref="J7070" si="22939">(D7046-2*F$5)/1000</f>
        <v>0.12</v>
      </c>
      <c r="K7070" s="400" t="s">
        <v>204</v>
      </c>
      <c r="L7070" s="399">
        <f t="shared" si="22933"/>
        <v>0.15</v>
      </c>
      <c r="M7070" s="399" t="s">
        <v>176</v>
      </c>
      <c r="N7070" s="399">
        <f t="shared" si="22934"/>
        <v>0.27</v>
      </c>
      <c r="O7070" s="399"/>
      <c r="P7070" s="399"/>
      <c r="Q7070" s="399"/>
      <c r="R7070" s="399"/>
      <c r="S7070" s="399"/>
      <c r="T7070" s="399" t="s">
        <v>125</v>
      </c>
      <c r="U7070" s="401">
        <f t="shared" si="22935"/>
        <v>0</v>
      </c>
      <c r="V7070" s="399" t="s">
        <v>125</v>
      </c>
      <c r="W7070" s="399">
        <f t="shared" si="22747"/>
        <v>0</v>
      </c>
      <c r="X7070" s="399" t="s">
        <v>125</v>
      </c>
      <c r="Y7070" s="389">
        <f t="shared" ref="Y7070" si="22940">D7055</f>
        <v>3</v>
      </c>
      <c r="Z7070" s="400" t="s">
        <v>176</v>
      </c>
      <c r="AA7070" s="402">
        <f t="shared" si="22937"/>
        <v>0</v>
      </c>
      <c r="AB7070" s="403"/>
    </row>
    <row r="7071" spans="1:28">
      <c r="A7071" s="384" t="str">
        <f t="shared" ref="A7071:B7071" si="22941">A7045</f>
        <v>Lantai Atap</v>
      </c>
      <c r="B7071" s="385" t="str">
        <f t="shared" si="22941"/>
        <v>27A</v>
      </c>
      <c r="C7071" s="393" t="s">
        <v>213</v>
      </c>
      <c r="D7071" s="398">
        <f>VLOOKUP(D7045,'Detail Balok'!$C$10:$BJ$140,56,FALSE)</f>
        <v>0</v>
      </c>
      <c r="E7071" s="388" t="s">
        <v>16</v>
      </c>
      <c r="F7071" s="388">
        <f>VLOOKUP(D7045,'Detail Balok'!$C$10:$BJ$140,58,FALSE)</f>
        <v>0</v>
      </c>
      <c r="G7071" s="405" t="s">
        <v>157</v>
      </c>
      <c r="H7071" s="395">
        <f>VLOOKUP(D7045,'Detail Balok'!$C$10:$BJ$140,60,FALSE)</f>
        <v>100</v>
      </c>
      <c r="I7071" s="388"/>
      <c r="J7071" s="399">
        <f t="shared" ref="J7071" si="22942">(D7046-2*F$5)/1000</f>
        <v>0.12</v>
      </c>
      <c r="K7071" s="400" t="s">
        <v>204</v>
      </c>
      <c r="L7071" s="399">
        <f t="shared" si="22933"/>
        <v>0.15</v>
      </c>
      <c r="M7071" s="399" t="s">
        <v>176</v>
      </c>
      <c r="N7071" s="399">
        <f t="shared" si="22934"/>
        <v>0.27</v>
      </c>
      <c r="O7071" s="399"/>
      <c r="P7071" s="399"/>
      <c r="Q7071" s="399"/>
      <c r="R7071" s="399"/>
      <c r="S7071" s="399"/>
      <c r="T7071" s="399" t="s">
        <v>125</v>
      </c>
      <c r="U7071" s="401">
        <f t="shared" si="22935"/>
        <v>0</v>
      </c>
      <c r="V7071" s="399" t="s">
        <v>125</v>
      </c>
      <c r="W7071" s="399">
        <f t="shared" si="22747"/>
        <v>0</v>
      </c>
      <c r="X7071" s="399" t="s">
        <v>125</v>
      </c>
      <c r="Y7071" s="389">
        <f t="shared" ref="Y7071" si="22943">D7055</f>
        <v>3</v>
      </c>
      <c r="Z7071" s="400" t="s">
        <v>176</v>
      </c>
      <c r="AA7071" s="402">
        <f t="shared" si="22937"/>
        <v>0</v>
      </c>
      <c r="AB7071" s="403"/>
    </row>
    <row r="7072" spans="1:28">
      <c r="A7072" s="391"/>
      <c r="B7072" s="392"/>
      <c r="C7072" s="392"/>
      <c r="D7072" s="394"/>
      <c r="E7072" s="388"/>
      <c r="F7072" s="388"/>
      <c r="G7072" s="388"/>
      <c r="H7072" s="395"/>
      <c r="I7072" s="388"/>
      <c r="J7072" s="402"/>
      <c r="K7072" s="388"/>
      <c r="L7072" s="388"/>
      <c r="M7072" s="388"/>
      <c r="N7072" s="388"/>
      <c r="O7072" s="388"/>
      <c r="P7072" s="388"/>
      <c r="Q7072" s="388"/>
      <c r="R7072" s="388"/>
      <c r="S7072" s="388"/>
      <c r="T7072" s="388"/>
      <c r="U7072" s="388"/>
      <c r="V7072" s="388"/>
      <c r="W7072" s="388"/>
      <c r="X7072" s="388"/>
      <c r="Y7072" s="389"/>
      <c r="Z7072" s="388"/>
      <c r="AA7072" s="402"/>
      <c r="AB7072" s="403"/>
    </row>
    <row r="7073" spans="1:28" ht="15.75" thickBot="1">
      <c r="A7073" s="406"/>
      <c r="B7073" s="407"/>
      <c r="C7073" s="407"/>
      <c r="D7073" s="408"/>
      <c r="E7073" s="409"/>
      <c r="F7073" s="409"/>
      <c r="G7073" s="409"/>
      <c r="H7073" s="410"/>
      <c r="I7073" s="409"/>
      <c r="J7073" s="409"/>
      <c r="K7073" s="409"/>
      <c r="L7073" s="409"/>
      <c r="M7073" s="409"/>
      <c r="N7073" s="409"/>
      <c r="O7073" s="409"/>
      <c r="P7073" s="409"/>
      <c r="Q7073" s="409"/>
      <c r="R7073" s="409"/>
      <c r="S7073" s="409"/>
      <c r="T7073" s="409"/>
      <c r="U7073" s="409"/>
      <c r="V7073" s="409"/>
      <c r="W7073" s="409"/>
      <c r="X7073" s="409"/>
      <c r="Y7073" s="411"/>
      <c r="Z7073" s="409"/>
      <c r="AA7073" s="412"/>
      <c r="AB7073" s="413"/>
    </row>
    <row r="7074" spans="1:28">
      <c r="A7074" s="377"/>
      <c r="B7074" s="378"/>
      <c r="C7074" s="378"/>
      <c r="D7074" s="379"/>
      <c r="E7074" s="380"/>
      <c r="F7074" s="380"/>
      <c r="G7074" s="380"/>
      <c r="H7074" s="381"/>
      <c r="I7074" s="380"/>
      <c r="J7074" s="380"/>
      <c r="K7074" s="380"/>
      <c r="L7074" s="380"/>
      <c r="M7074" s="380"/>
      <c r="N7074" s="380"/>
      <c r="O7074" s="380"/>
      <c r="P7074" s="380"/>
      <c r="Q7074" s="380"/>
      <c r="R7074" s="380"/>
      <c r="S7074" s="380"/>
      <c r="T7074" s="380"/>
      <c r="U7074" s="380"/>
      <c r="V7074" s="380"/>
      <c r="W7074" s="380"/>
      <c r="X7074" s="380"/>
      <c r="Y7074" s="382"/>
      <c r="Z7074" s="380"/>
      <c r="AA7074" s="380"/>
      <c r="AB7074" s="383"/>
    </row>
    <row r="7075" spans="1:28">
      <c r="A7075" s="384" t="str">
        <f>A7015</f>
        <v>Lantai Atap</v>
      </c>
      <c r="B7075" s="385">
        <f>B7015+1</f>
        <v>28</v>
      </c>
      <c r="C7075" s="386" t="str">
        <f t="shared" ref="C7075" si="22944">CONCATENATE(A7075," no. ",B7075)</f>
        <v>Lantai Atap no. 28</v>
      </c>
      <c r="D7075" s="2562" t="str">
        <f>VLOOKUP(C7075,'Data Panjang Balok'!$C$9:$N$254,2,FALSE)</f>
        <v>B24-1</v>
      </c>
      <c r="E7075" s="2576"/>
      <c r="F7075" s="2576"/>
      <c r="G7075" s="2576"/>
      <c r="H7075" s="2577"/>
      <c r="I7075" s="387"/>
      <c r="J7075" s="388"/>
      <c r="K7075" s="388"/>
      <c r="L7075" s="388"/>
      <c r="M7075" s="388"/>
      <c r="N7075" s="388"/>
      <c r="O7075" s="388"/>
      <c r="P7075" s="388"/>
      <c r="Q7075" s="388"/>
      <c r="R7075" s="388"/>
      <c r="S7075" s="388"/>
      <c r="T7075" s="388"/>
      <c r="U7075" s="388"/>
      <c r="V7075" s="388"/>
      <c r="W7075" s="388"/>
      <c r="X7075" s="388"/>
      <c r="Y7075" s="389"/>
      <c r="Z7075" s="388"/>
      <c r="AA7075" s="388"/>
      <c r="AB7075" s="390"/>
    </row>
    <row r="7076" spans="1:28">
      <c r="A7076" s="391"/>
      <c r="B7076" s="392"/>
      <c r="C7076" s="393" t="s">
        <v>118</v>
      </c>
      <c r="D7076" s="2578">
        <f>VLOOKUP(D7075,'Detail Balok'!$C$10:$AU$140,2,FALSE)</f>
        <v>200</v>
      </c>
      <c r="E7076" s="2579"/>
      <c r="F7076" s="388" t="s">
        <v>125</v>
      </c>
      <c r="G7076" s="2579">
        <f>VLOOKUP(D7075,'Detail Balok'!$C$10:$AU$140,3,FALSE)</f>
        <v>400</v>
      </c>
      <c r="H7076" s="2580"/>
      <c r="I7076" s="388"/>
      <c r="J7076" s="396"/>
      <c r="K7076" s="396"/>
      <c r="L7076" s="396"/>
      <c r="M7076" s="396"/>
      <c r="N7076" s="396"/>
      <c r="O7076" s="396"/>
      <c r="P7076" s="396"/>
      <c r="Q7076" s="396"/>
      <c r="R7076" s="396"/>
      <c r="S7076" s="396"/>
      <c r="T7076" s="396"/>
      <c r="U7076" s="388"/>
      <c r="V7076" s="396"/>
      <c r="W7076" s="388"/>
      <c r="X7076" s="396"/>
      <c r="Y7076" s="389"/>
      <c r="Z7076" s="396"/>
      <c r="AA7076" s="388"/>
      <c r="AB7076" s="390"/>
    </row>
    <row r="7077" spans="1:28">
      <c r="A7077" s="391"/>
      <c r="B7077" s="392"/>
      <c r="C7077" s="393" t="s">
        <v>198</v>
      </c>
      <c r="D7077" s="2562">
        <f>VLOOKUP(C7075,'Data Panjang Balok'!$C$9:$N$254,4,FALSE)</f>
        <v>5905</v>
      </c>
      <c r="E7077" s="2563"/>
      <c r="F7077" s="2563"/>
      <c r="G7077" s="2563"/>
      <c r="H7077" s="2564"/>
      <c r="I7077" s="397"/>
      <c r="J7077" s="396"/>
      <c r="K7077" s="396"/>
      <c r="L7077" s="396"/>
      <c r="M7077" s="396"/>
      <c r="N7077" s="396"/>
      <c r="O7077" s="396"/>
      <c r="P7077" s="396"/>
      <c r="Q7077" s="396"/>
      <c r="R7077" s="396"/>
      <c r="S7077" s="396"/>
      <c r="T7077" s="396"/>
      <c r="U7077" s="388"/>
      <c r="V7077" s="396"/>
      <c r="W7077" s="388"/>
      <c r="X7077" s="396"/>
      <c r="Y7077" s="389"/>
      <c r="Z7077" s="396"/>
      <c r="AA7077" s="388"/>
      <c r="AB7077" s="390"/>
    </row>
    <row r="7078" spans="1:28">
      <c r="A7078" s="391"/>
      <c r="B7078" s="392"/>
      <c r="C7078" s="393" t="s">
        <v>199</v>
      </c>
      <c r="D7078" s="2562">
        <f>VLOOKUP(C7075,'Data Panjang Balok'!$C$9:$N$254,7,FALSE)</f>
        <v>5905</v>
      </c>
      <c r="E7078" s="2563"/>
      <c r="F7078" s="2563"/>
      <c r="G7078" s="2563"/>
      <c r="H7078" s="2564"/>
      <c r="I7078" s="397"/>
      <c r="J7078" s="396"/>
      <c r="K7078" s="396"/>
      <c r="L7078" s="396"/>
      <c r="M7078" s="396"/>
      <c r="N7078" s="396"/>
      <c r="O7078" s="396"/>
      <c r="P7078" s="396"/>
      <c r="Q7078" s="396"/>
      <c r="R7078" s="396"/>
      <c r="S7078" s="396"/>
      <c r="T7078" s="396"/>
      <c r="U7078" s="388"/>
      <c r="V7078" s="396"/>
      <c r="W7078" s="388"/>
      <c r="X7078" s="396"/>
      <c r="Y7078" s="389"/>
      <c r="Z7078" s="396"/>
      <c r="AA7078" s="388"/>
      <c r="AB7078" s="390"/>
    </row>
    <row r="7079" spans="1:28">
      <c r="A7079" s="391"/>
      <c r="B7079" s="392"/>
      <c r="C7079" s="393" t="s">
        <v>200</v>
      </c>
      <c r="D7079" s="2562">
        <f>VLOOKUP(C7075,'Data Panjang Balok'!$C$9:$N$254,9,FALSE)</f>
        <v>0</v>
      </c>
      <c r="E7079" s="2563"/>
      <c r="F7079" s="2563"/>
      <c r="G7079" s="2563"/>
      <c r="H7079" s="2564"/>
      <c r="I7079" s="397"/>
      <c r="J7079" s="396"/>
      <c r="K7079" s="396"/>
      <c r="L7079" s="396"/>
      <c r="M7079" s="396"/>
      <c r="N7079" s="396"/>
      <c r="O7079" s="396"/>
      <c r="P7079" s="396"/>
      <c r="Q7079" s="396"/>
      <c r="R7079" s="396"/>
      <c r="S7079" s="396"/>
      <c r="T7079" s="396"/>
      <c r="U7079" s="388"/>
      <c r="V7079" s="396"/>
      <c r="W7079" s="388"/>
      <c r="X7079" s="396"/>
      <c r="Y7079" s="389"/>
      <c r="Z7079" s="396"/>
      <c r="AA7079" s="388"/>
      <c r="AB7079" s="390"/>
    </row>
    <row r="7080" spans="1:28">
      <c r="A7080" s="391"/>
      <c r="B7080" s="392"/>
      <c r="C7080" s="393" t="s">
        <v>201</v>
      </c>
      <c r="D7080" s="2562">
        <f>VLOOKUP(C7075,'Data Panjang Balok'!$C$9:$N$254,10,FALSE)</f>
        <v>0</v>
      </c>
      <c r="E7080" s="2563"/>
      <c r="F7080" s="2563"/>
      <c r="G7080" s="2563"/>
      <c r="H7080" s="2564"/>
      <c r="I7080" s="397"/>
      <c r="J7080" s="396"/>
      <c r="K7080" s="396"/>
      <c r="L7080" s="396"/>
      <c r="M7080" s="396"/>
      <c r="N7080" s="396"/>
      <c r="O7080" s="396"/>
      <c r="P7080" s="396"/>
      <c r="Q7080" s="396"/>
      <c r="R7080" s="396"/>
      <c r="S7080" s="396"/>
      <c r="T7080" s="396"/>
      <c r="U7080" s="388"/>
      <c r="V7080" s="396"/>
      <c r="W7080" s="388"/>
      <c r="X7080" s="396"/>
      <c r="Y7080" s="389"/>
      <c r="Z7080" s="396"/>
      <c r="AA7080" s="388"/>
      <c r="AB7080" s="390"/>
    </row>
    <row r="7081" spans="1:28">
      <c r="A7081" s="391"/>
      <c r="B7081" s="392"/>
      <c r="C7081" s="393" t="s">
        <v>48</v>
      </c>
      <c r="D7081" s="2562">
        <f>VLOOKUP(C7075,'Data Panjang Balok'!$C$9:$N$254,3,FALSE)</f>
        <v>1</v>
      </c>
      <c r="E7081" s="2563"/>
      <c r="F7081" s="2563"/>
      <c r="G7081" s="2563"/>
      <c r="H7081" s="2564"/>
      <c r="I7081" s="397"/>
      <c r="J7081" s="396"/>
      <c r="K7081" s="396"/>
      <c r="L7081" s="396"/>
      <c r="M7081" s="396"/>
      <c r="N7081" s="396"/>
      <c r="O7081" s="396"/>
      <c r="P7081" s="396"/>
      <c r="Q7081" s="396"/>
      <c r="R7081" s="396"/>
      <c r="S7081" s="396"/>
      <c r="T7081" s="396"/>
      <c r="U7081" s="388"/>
      <c r="V7081" s="396"/>
      <c r="W7081" s="388"/>
      <c r="X7081" s="396"/>
      <c r="Y7081" s="389"/>
      <c r="Z7081" s="396"/>
      <c r="AA7081" s="388"/>
      <c r="AB7081" s="390"/>
    </row>
    <row r="7082" spans="1:28">
      <c r="A7082" s="384" t="str">
        <f t="shared" ref="A7082:B7082" si="22945">A7075</f>
        <v>Lantai Atap</v>
      </c>
      <c r="B7082" s="385">
        <f t="shared" si="22945"/>
        <v>28</v>
      </c>
      <c r="C7082" s="393" t="s">
        <v>202</v>
      </c>
      <c r="D7082" s="398">
        <f>VLOOKUP(D7075,'Detail Balok'!$C$10:$AU$140,4,FALSE)</f>
        <v>3</v>
      </c>
      <c r="E7082" s="388" t="s">
        <v>16</v>
      </c>
      <c r="F7082" s="388">
        <f>VLOOKUP(D7075,'Detail Balok'!$C$10:$AU$140,6,FALSE)</f>
        <v>13</v>
      </c>
      <c r="G7082" s="388"/>
      <c r="H7082" s="395"/>
      <c r="I7082" s="388" t="s">
        <v>203</v>
      </c>
      <c r="J7082" s="399">
        <f t="shared" ref="J7082" si="22946">+D7077/4/1000</f>
        <v>1.4762500000000001</v>
      </c>
      <c r="K7082" s="400" t="s">
        <v>204</v>
      </c>
      <c r="L7082" s="399">
        <f t="shared" ref="L7082" si="22947">MAX(VLOOKUP(F7082,N$6:P$15,3,FALSE)/1000,2/3*D7079/1000)+F$16*F7082/1000</f>
        <v>0.156</v>
      </c>
      <c r="M7082" s="399" t="s">
        <v>176</v>
      </c>
      <c r="N7082" s="399">
        <f t="shared" ref="N7082:N7084" si="22948">J7082+L7082</f>
        <v>1.63225</v>
      </c>
      <c r="O7082" s="399" t="s">
        <v>204</v>
      </c>
      <c r="P7082" s="389">
        <f t="shared" ref="P7082" si="22949">D7082-D7083</f>
        <v>0</v>
      </c>
      <c r="Q7082" s="399" t="s">
        <v>125</v>
      </c>
      <c r="R7082" s="399">
        <f t="shared" ref="R7082" si="22950">IF(P7082&gt;0,$F$18*F7082/1000,0)</f>
        <v>0</v>
      </c>
      <c r="S7082" s="399" t="s">
        <v>205</v>
      </c>
      <c r="T7082" s="399" t="s">
        <v>125</v>
      </c>
      <c r="U7082" s="401">
        <f t="shared" ref="U7082:U7084" si="22951">0.006165*F7082^2</f>
        <v>1.041885</v>
      </c>
      <c r="V7082" s="399"/>
      <c r="W7082" s="399"/>
      <c r="X7082" s="399" t="s">
        <v>125</v>
      </c>
      <c r="Y7082" s="389">
        <f t="shared" ref="Y7082" si="22952">D7081</f>
        <v>1</v>
      </c>
      <c r="Z7082" s="400" t="s">
        <v>176</v>
      </c>
      <c r="AA7082" s="402">
        <f t="shared" ref="AA7082" si="22953">IF(AA7085=0,(D7082*N7082+P7082*R7082)*U7082*Y7082,0)</f>
        <v>0</v>
      </c>
      <c r="AB7082" s="403"/>
    </row>
    <row r="7083" spans="1:28">
      <c r="A7083" s="384" t="str">
        <f t="shared" ref="A7083:B7083" si="22954">A7075</f>
        <v>Lantai Atap</v>
      </c>
      <c r="B7083" s="385">
        <f t="shared" si="22954"/>
        <v>28</v>
      </c>
      <c r="C7083" s="393" t="s">
        <v>206</v>
      </c>
      <c r="D7083" s="398">
        <f>VLOOKUP(D7075,'Detail Balok'!$C$10:$AU$140,7,FALSE)</f>
        <v>3</v>
      </c>
      <c r="E7083" s="388" t="s">
        <v>16</v>
      </c>
      <c r="F7083" s="388">
        <f>VLOOKUP(D7075,'Detail Balok'!$C$10:$AU$140,9,FALSE)</f>
        <v>13</v>
      </c>
      <c r="G7083" s="388"/>
      <c r="H7083" s="395"/>
      <c r="I7083" s="388" t="s">
        <v>203</v>
      </c>
      <c r="J7083" s="399">
        <f t="shared" ref="J7083" si="22955">+D7077/2/1000</f>
        <v>2.9525000000000001</v>
      </c>
      <c r="K7083" s="400" t="s">
        <v>204</v>
      </c>
      <c r="L7083" s="399"/>
      <c r="M7083" s="399" t="s">
        <v>176</v>
      </c>
      <c r="N7083" s="399">
        <f t="shared" si="22948"/>
        <v>2.9525000000000001</v>
      </c>
      <c r="O7083" s="399" t="s">
        <v>204</v>
      </c>
      <c r="P7083" s="389">
        <f t="shared" ref="P7083" si="22956">MAX(D7083-D7082,D7083-D7084)</f>
        <v>0</v>
      </c>
      <c r="Q7083" s="399" t="s">
        <v>125</v>
      </c>
      <c r="R7083" s="399">
        <f t="shared" ref="R7083" si="22957">IF(P7083&gt;0,2*(1-2*$F$19-1/2)*D7078/1000,0)</f>
        <v>0</v>
      </c>
      <c r="S7083" s="399" t="s">
        <v>205</v>
      </c>
      <c r="T7083" s="399" t="s">
        <v>125</v>
      </c>
      <c r="U7083" s="401">
        <f t="shared" si="22951"/>
        <v>1.041885</v>
      </c>
      <c r="V7083" s="399"/>
      <c r="W7083" s="399"/>
      <c r="X7083" s="399" t="s">
        <v>125</v>
      </c>
      <c r="Y7083" s="389">
        <f t="shared" ref="Y7083" si="22958">D7081</f>
        <v>1</v>
      </c>
      <c r="Z7083" s="400" t="s">
        <v>176</v>
      </c>
      <c r="AA7083" s="402">
        <f t="shared" ref="AA7083" si="22959">IF(AA7085=0,(D7083*N7083+P7083*R7083)*U7083*Y7083,0)</f>
        <v>0</v>
      </c>
      <c r="AB7083" s="403"/>
    </row>
    <row r="7084" spans="1:28">
      <c r="A7084" s="384" t="str">
        <f t="shared" ref="A7084:B7084" si="22960">A7075</f>
        <v>Lantai Atap</v>
      </c>
      <c r="B7084" s="385">
        <f t="shared" si="22960"/>
        <v>28</v>
      </c>
      <c r="C7084" s="393" t="s">
        <v>202</v>
      </c>
      <c r="D7084" s="398">
        <f>VLOOKUP(D7075,'Detail Balok'!$C$10:$AU$140,10,FALSE)</f>
        <v>3</v>
      </c>
      <c r="E7084" s="388" t="s">
        <v>16</v>
      </c>
      <c r="F7084" s="388">
        <f>VLOOKUP(D7075,'Detail Balok'!$C$10:$AU$140,12,FALSE)</f>
        <v>13</v>
      </c>
      <c r="G7084" s="388"/>
      <c r="H7084" s="395"/>
      <c r="I7084" s="388" t="s">
        <v>203</v>
      </c>
      <c r="J7084" s="399">
        <f t="shared" ref="J7084" si="22961">+D7077/4/1000</f>
        <v>1.4762500000000001</v>
      </c>
      <c r="K7084" s="400" t="s">
        <v>204</v>
      </c>
      <c r="L7084" s="399">
        <f t="shared" ref="L7084" si="22962">MAX(VLOOKUP(F7084,N$6:P$15,3,FALSE)/1000,2/3*D7079/1000)+F$16*F7084/1000</f>
        <v>0.156</v>
      </c>
      <c r="M7084" s="399" t="s">
        <v>176</v>
      </c>
      <c r="N7084" s="399">
        <f t="shared" si="22948"/>
        <v>1.63225</v>
      </c>
      <c r="O7084" s="399" t="s">
        <v>204</v>
      </c>
      <c r="P7084" s="389">
        <f t="shared" ref="P7084" si="22963">D7084-D7083</f>
        <v>0</v>
      </c>
      <c r="Q7084" s="399" t="s">
        <v>125</v>
      </c>
      <c r="R7084" s="399">
        <f t="shared" ref="R7084" si="22964">IF(P7084&gt;0,$F$18*F7084/1000,0)</f>
        <v>0</v>
      </c>
      <c r="S7084" s="399" t="s">
        <v>205</v>
      </c>
      <c r="T7084" s="399" t="s">
        <v>125</v>
      </c>
      <c r="U7084" s="401">
        <f t="shared" si="22951"/>
        <v>1.041885</v>
      </c>
      <c r="V7084" s="399"/>
      <c r="W7084" s="399"/>
      <c r="X7084" s="399" t="s">
        <v>125</v>
      </c>
      <c r="Y7084" s="389">
        <f t="shared" ref="Y7084" si="22965">D7081</f>
        <v>1</v>
      </c>
      <c r="Z7084" s="400" t="s">
        <v>176</v>
      </c>
      <c r="AA7084" s="402">
        <f t="shared" ref="AA7084" si="22966">IF(AA7085=0,(D7084*N7084+P7084*R7084)*U7084*Y7084,0)</f>
        <v>0</v>
      </c>
      <c r="AB7084" s="403"/>
    </row>
    <row r="7085" spans="1:28">
      <c r="A7085" s="384" t="str">
        <f t="shared" ref="A7085:B7085" si="22967">A7075</f>
        <v>Lantai Atap</v>
      </c>
      <c r="B7085" s="385">
        <f t="shared" si="22967"/>
        <v>28</v>
      </c>
      <c r="C7085" s="393"/>
      <c r="D7085" s="398">
        <f t="shared" si="22677"/>
        <v>3</v>
      </c>
      <c r="E7085" s="388" t="s">
        <v>16</v>
      </c>
      <c r="F7085" s="388">
        <f t="shared" si="22678"/>
        <v>13</v>
      </c>
      <c r="G7085" s="388"/>
      <c r="H7085" s="395"/>
      <c r="I7085" s="388"/>
      <c r="J7085" s="396"/>
      <c r="K7085" s="396"/>
      <c r="L7085" s="404" t="s">
        <v>207</v>
      </c>
      <c r="M7085" s="399" t="s">
        <v>176</v>
      </c>
      <c r="N7085" s="399">
        <f t="shared" ref="N7085" si="22968">IF(AND(D7082=D7083,D7082=D7084,D7083=D7084,F7082=F7083,F7082=F7084,F7083=F7084),SUM(N7082:N7084),0)</f>
        <v>6.2169999999999996</v>
      </c>
      <c r="O7085" s="399" t="s">
        <v>204</v>
      </c>
      <c r="P7085" s="389">
        <f t="shared" ref="P7085" si="22969">IF(N7085&gt;12,ROUNDDOWN(N7085/12,0),0)</f>
        <v>0</v>
      </c>
      <c r="Q7085" s="399" t="s">
        <v>125</v>
      </c>
      <c r="R7085" s="399">
        <f t="shared" ref="R7085" si="22970">IF(P7085&gt;0,MAX(VLOOKUP(F7085,$D$6:$G$15,3,FALSE),600),0)/1000</f>
        <v>0</v>
      </c>
      <c r="S7085" s="396"/>
      <c r="T7085" s="396" t="s">
        <v>125</v>
      </c>
      <c r="U7085" s="401">
        <f t="shared" si="22682"/>
        <v>1.041885</v>
      </c>
      <c r="V7085" s="396" t="s">
        <v>125</v>
      </c>
      <c r="W7085" s="399">
        <f t="shared" ref="W7085" si="22971">D7085</f>
        <v>3</v>
      </c>
      <c r="X7085" s="399" t="s">
        <v>125</v>
      </c>
      <c r="Y7085" s="389">
        <f t="shared" si="22684"/>
        <v>1</v>
      </c>
      <c r="Z7085" s="400" t="s">
        <v>176</v>
      </c>
      <c r="AA7085" s="402">
        <f t="shared" ref="AA7085" si="22972">(N7085+P7085*R7085/1000)*U7085*W7085*Y7085</f>
        <v>19.432197134999999</v>
      </c>
      <c r="AB7085" s="390"/>
    </row>
    <row r="7086" spans="1:28">
      <c r="A7086" s="384"/>
      <c r="B7086" s="385"/>
      <c r="C7086" s="393"/>
      <c r="D7086" s="398"/>
      <c r="E7086" s="388"/>
      <c r="F7086" s="388"/>
      <c r="G7086" s="388"/>
      <c r="H7086" s="395"/>
      <c r="I7086" s="388"/>
      <c r="J7086" s="396"/>
      <c r="K7086" s="396"/>
      <c r="L7086" s="404"/>
      <c r="M7086" s="399"/>
      <c r="N7086" s="399"/>
      <c r="O7086" s="396"/>
      <c r="P7086" s="389"/>
      <c r="Q7086" s="396"/>
      <c r="R7086" s="396"/>
      <c r="S7086" s="396"/>
      <c r="T7086" s="396"/>
      <c r="U7086" s="401"/>
      <c r="V7086" s="396"/>
      <c r="W7086" s="399"/>
      <c r="X7086" s="396"/>
      <c r="Y7086" s="389"/>
      <c r="Z7086" s="396"/>
      <c r="AA7086" s="388"/>
      <c r="AB7086" s="390"/>
    </row>
    <row r="7087" spans="1:28">
      <c r="A7087" s="384" t="str">
        <f t="shared" ref="A7087:B7087" si="22973">A7075</f>
        <v>Lantai Atap</v>
      </c>
      <c r="B7087" s="385">
        <f t="shared" si="22973"/>
        <v>28</v>
      </c>
      <c r="C7087" s="393" t="s">
        <v>208</v>
      </c>
      <c r="D7087" s="398">
        <f>VLOOKUP(D7075,'Detail Balok'!$C$10:$AU$140,13,FALSE)</f>
        <v>0</v>
      </c>
      <c r="E7087" s="388" t="s">
        <v>16</v>
      </c>
      <c r="F7087" s="388">
        <f>VLOOKUP(D7075,'Detail Balok'!$C$10:$AU$140,15,FALSE)</f>
        <v>8</v>
      </c>
      <c r="G7087" s="388"/>
      <c r="H7087" s="395"/>
      <c r="I7087" s="388"/>
      <c r="J7087" s="399">
        <f t="shared" ref="J7087" si="22974">+D7077/1000</f>
        <v>5.9050000000000002</v>
      </c>
      <c r="K7087" s="400" t="s">
        <v>204</v>
      </c>
      <c r="L7087" s="399">
        <f t="shared" ref="L7087" si="22975">2*$F$16*F7087/1000</f>
        <v>0.192</v>
      </c>
      <c r="M7087" s="399" t="s">
        <v>176</v>
      </c>
      <c r="N7087" s="399">
        <f t="shared" ref="N7087" si="22976">J7087+L7087</f>
        <v>6.0970000000000004</v>
      </c>
      <c r="O7087" s="399" t="s">
        <v>204</v>
      </c>
      <c r="P7087" s="389">
        <f t="shared" ref="P7087" si="22977">IF(N7087&gt;12,ROUNDDOWN(N7087/12,0),0)</f>
        <v>0</v>
      </c>
      <c r="Q7087" s="399" t="s">
        <v>125</v>
      </c>
      <c r="R7087" s="399">
        <f t="shared" ref="R7087" si="22978">IF(P7087&gt;0,MAX(VLOOKUP(F7087,$D$6:$G$15,3,FALSE),600),0)/1000</f>
        <v>0</v>
      </c>
      <c r="S7087" s="399"/>
      <c r="T7087" s="399" t="s">
        <v>125</v>
      </c>
      <c r="U7087" s="401">
        <f t="shared" ref="U7087" si="22979">0.006165*F7087^2</f>
        <v>0.39456000000000002</v>
      </c>
      <c r="V7087" s="399" t="s">
        <v>125</v>
      </c>
      <c r="W7087" s="399">
        <f t="shared" ref="W7087" si="22980">+D7087</f>
        <v>0</v>
      </c>
      <c r="X7087" s="399" t="s">
        <v>125</v>
      </c>
      <c r="Y7087" s="389">
        <f t="shared" ref="Y7087" si="22981">D7081</f>
        <v>1</v>
      </c>
      <c r="Z7087" s="400" t="s">
        <v>176</v>
      </c>
      <c r="AA7087" s="402">
        <f t="shared" ref="AA7087" si="22982">(N7087+P7087*R7087/1000)*U7087*W7087*Y7087</f>
        <v>0</v>
      </c>
      <c r="AB7087" s="403"/>
    </row>
    <row r="7088" spans="1:28">
      <c r="A7088" s="384"/>
      <c r="B7088" s="385"/>
      <c r="C7088" s="393"/>
      <c r="D7088" s="398"/>
      <c r="E7088" s="388"/>
      <c r="F7088" s="388"/>
      <c r="G7088" s="388"/>
      <c r="H7088" s="395"/>
      <c r="I7088" s="388"/>
      <c r="J7088" s="399"/>
      <c r="K7088" s="400"/>
      <c r="L7088" s="399"/>
      <c r="M7088" s="399"/>
      <c r="N7088" s="399"/>
      <c r="O7088" s="399"/>
      <c r="P7088" s="389"/>
      <c r="Q7088" s="399"/>
      <c r="R7088" s="399"/>
      <c r="S7088" s="399"/>
      <c r="T7088" s="399"/>
      <c r="U7088" s="401"/>
      <c r="V7088" s="399"/>
      <c r="W7088" s="399"/>
      <c r="X7088" s="399"/>
      <c r="Y7088" s="389"/>
      <c r="Z7088" s="400"/>
      <c r="AA7088" s="402"/>
      <c r="AB7088" s="403"/>
    </row>
    <row r="7089" spans="1:28">
      <c r="A7089" s="384"/>
      <c r="B7089" s="385"/>
      <c r="C7089" s="393"/>
      <c r="D7089" s="398"/>
      <c r="E7089" s="388"/>
      <c r="F7089" s="388"/>
      <c r="G7089" s="388"/>
      <c r="H7089" s="395"/>
      <c r="I7089" s="388"/>
      <c r="J7089" s="396"/>
      <c r="K7089" s="396"/>
      <c r="L7089" s="396"/>
      <c r="M7089" s="396"/>
      <c r="N7089" s="396"/>
      <c r="O7089" s="396"/>
      <c r="P7089" s="389"/>
      <c r="Q7089" s="396"/>
      <c r="R7089" s="396"/>
      <c r="S7089" s="396"/>
      <c r="T7089" s="396"/>
      <c r="U7089" s="401"/>
      <c r="V7089" s="396"/>
      <c r="W7089" s="399"/>
      <c r="X7089" s="396"/>
      <c r="Y7089" s="389"/>
      <c r="Z7089" s="396"/>
      <c r="AA7089" s="388"/>
      <c r="AB7089" s="390"/>
    </row>
    <row r="7090" spans="1:28">
      <c r="A7090" s="384" t="str">
        <f t="shared" ref="A7090:B7090" si="22983">A7075</f>
        <v>Lantai Atap</v>
      </c>
      <c r="B7090" s="385">
        <f t="shared" si="22983"/>
        <v>28</v>
      </c>
      <c r="C7090" s="393" t="s">
        <v>209</v>
      </c>
      <c r="D7090" s="398">
        <f>VLOOKUP(D7075,'Detail Balok'!$C$10:$AU$140,22,FALSE)</f>
        <v>3</v>
      </c>
      <c r="E7090" s="388" t="s">
        <v>16</v>
      </c>
      <c r="F7090" s="388">
        <f>VLOOKUP(D7075,'Detail Balok'!$C$10:$AU$140,24,FALSE)</f>
        <v>13</v>
      </c>
      <c r="G7090" s="388"/>
      <c r="H7090" s="395"/>
      <c r="I7090" s="388" t="s">
        <v>203</v>
      </c>
      <c r="J7090" s="399">
        <f t="shared" si="22697"/>
        <v>1.4762500000000001</v>
      </c>
      <c r="K7090" s="400" t="s">
        <v>204</v>
      </c>
      <c r="L7090" s="399">
        <f t="shared" ref="L7090" si="22984">MAX(VLOOKUP(F7090,N$6:P$15,3,FALSE)/1000,2/3*D7080/1000)+F$16*F7090/1000</f>
        <v>0.156</v>
      </c>
      <c r="M7090" s="399" t="s">
        <v>176</v>
      </c>
      <c r="N7090" s="399">
        <f t="shared" ref="N7090:N7092" si="22985">J7090+L7090</f>
        <v>1.63225</v>
      </c>
      <c r="O7090" s="399" t="s">
        <v>204</v>
      </c>
      <c r="P7090" s="389">
        <f t="shared" ref="P7090" si="22986">D7090-D7091</f>
        <v>0</v>
      </c>
      <c r="Q7090" s="399" t="s">
        <v>125</v>
      </c>
      <c r="R7090" s="399">
        <f t="shared" ref="R7090" si="22987">IF(P7090&gt;0,$F$18*F7090/1000,0)</f>
        <v>0</v>
      </c>
      <c r="S7090" s="399" t="s">
        <v>205</v>
      </c>
      <c r="T7090" s="399" t="s">
        <v>125</v>
      </c>
      <c r="U7090" s="401">
        <f t="shared" ref="U7090:U7092" si="22988">0.006165*F7090^2</f>
        <v>1.041885</v>
      </c>
      <c r="V7090" s="399"/>
      <c r="W7090" s="399"/>
      <c r="X7090" s="399" t="s">
        <v>125</v>
      </c>
      <c r="Y7090" s="389">
        <f t="shared" ref="Y7090" si="22989">D7081</f>
        <v>1</v>
      </c>
      <c r="Z7090" s="400" t="s">
        <v>176</v>
      </c>
      <c r="AA7090" s="402">
        <f t="shared" ref="AA7090" si="22990">IF(AA7093=0,(D7090*N7090+P7090*R7090)*U7090*Y7090,0)</f>
        <v>0</v>
      </c>
      <c r="AB7090" s="403"/>
    </row>
    <row r="7091" spans="1:28">
      <c r="A7091" s="384" t="str">
        <f t="shared" ref="A7091:B7091" si="22991">A7075</f>
        <v>Lantai Atap</v>
      </c>
      <c r="B7091" s="385">
        <f t="shared" si="22991"/>
        <v>28</v>
      </c>
      <c r="C7091" s="393" t="s">
        <v>210</v>
      </c>
      <c r="D7091" s="398">
        <f>VLOOKUP(D7075,'Detail Balok'!$C$10:$AU$140,25,FALSE)</f>
        <v>3</v>
      </c>
      <c r="E7091" s="388" t="s">
        <v>16</v>
      </c>
      <c r="F7091" s="388">
        <f>VLOOKUP(D7075,'Detail Balok'!$C$10:$AU$140,27,FALSE)</f>
        <v>13</v>
      </c>
      <c r="G7091" s="388"/>
      <c r="H7091" s="395"/>
      <c r="I7091" s="388" t="s">
        <v>203</v>
      </c>
      <c r="J7091" s="399">
        <f t="shared" si="22697"/>
        <v>2.9525000000000001</v>
      </c>
      <c r="K7091" s="400" t="s">
        <v>204</v>
      </c>
      <c r="L7091" s="399"/>
      <c r="M7091" s="399" t="s">
        <v>176</v>
      </c>
      <c r="N7091" s="399">
        <f t="shared" si="22985"/>
        <v>2.9525000000000001</v>
      </c>
      <c r="O7091" s="399" t="s">
        <v>204</v>
      </c>
      <c r="P7091" s="389">
        <f t="shared" ref="P7091" si="22992">MAX(D7091-D7090,D7091-D7092)</f>
        <v>0</v>
      </c>
      <c r="Q7091" s="399" t="s">
        <v>125</v>
      </c>
      <c r="R7091" s="399">
        <f t="shared" ref="R7091" si="22993">IF(P7091&gt;0,2*(1-2*$F$19-1/2)*D7078/1000,0)</f>
        <v>0</v>
      </c>
      <c r="S7091" s="399" t="s">
        <v>205</v>
      </c>
      <c r="T7091" s="399" t="s">
        <v>125</v>
      </c>
      <c r="U7091" s="401">
        <f t="shared" si="22988"/>
        <v>1.041885</v>
      </c>
      <c r="V7091" s="399"/>
      <c r="W7091" s="399"/>
      <c r="X7091" s="399" t="s">
        <v>125</v>
      </c>
      <c r="Y7091" s="389">
        <f t="shared" ref="Y7091" si="22994">D7081</f>
        <v>1</v>
      </c>
      <c r="Z7091" s="400" t="s">
        <v>176</v>
      </c>
      <c r="AA7091" s="402">
        <f t="shared" ref="AA7091" si="22995">IF(AA7093=0,(D7091*N7091+P7091*R7091)*U7091*Y7091,0)</f>
        <v>0</v>
      </c>
      <c r="AB7091" s="403"/>
    </row>
    <row r="7092" spans="1:28">
      <c r="A7092" s="384" t="str">
        <f t="shared" ref="A7092:B7092" si="22996">A7075</f>
        <v>Lantai Atap</v>
      </c>
      <c r="B7092" s="385">
        <f t="shared" si="22996"/>
        <v>28</v>
      </c>
      <c r="C7092" s="393" t="s">
        <v>209</v>
      </c>
      <c r="D7092" s="398">
        <f>VLOOKUP(D7075,'Detail Balok'!$C$10:$AU$140,28,FALSE)</f>
        <v>3</v>
      </c>
      <c r="E7092" s="388" t="s">
        <v>16</v>
      </c>
      <c r="F7092" s="388">
        <f>VLOOKUP(D7075,'Detail Balok'!$C$10:$AU$140,30,FALSE)</f>
        <v>13</v>
      </c>
      <c r="G7092" s="388"/>
      <c r="H7092" s="395"/>
      <c r="I7092" s="388" t="s">
        <v>203</v>
      </c>
      <c r="J7092" s="399">
        <f t="shared" si="22697"/>
        <v>1.4762500000000001</v>
      </c>
      <c r="K7092" s="400" t="s">
        <v>204</v>
      </c>
      <c r="L7092" s="399">
        <f t="shared" ref="L7092" si="22997">MAX(VLOOKUP(F7092,N$6:P$15,3,FALSE)/1000,2/3*D7080/1000)+F$16*F7092/1000</f>
        <v>0.156</v>
      </c>
      <c r="M7092" s="399" t="s">
        <v>176</v>
      </c>
      <c r="N7092" s="399">
        <f t="shared" si="22985"/>
        <v>1.63225</v>
      </c>
      <c r="O7092" s="399" t="s">
        <v>204</v>
      </c>
      <c r="P7092" s="389">
        <f t="shared" ref="P7092" si="22998">D7092-D7091</f>
        <v>0</v>
      </c>
      <c r="Q7092" s="399" t="s">
        <v>125</v>
      </c>
      <c r="R7092" s="399">
        <f t="shared" ref="R7092" si="22999">IF(P7092&gt;0,$F$18*F7092/1000,0)</f>
        <v>0</v>
      </c>
      <c r="S7092" s="399" t="s">
        <v>205</v>
      </c>
      <c r="T7092" s="399" t="s">
        <v>125</v>
      </c>
      <c r="U7092" s="401">
        <f t="shared" si="22988"/>
        <v>1.041885</v>
      </c>
      <c r="V7092" s="399"/>
      <c r="W7092" s="399"/>
      <c r="X7092" s="399" t="s">
        <v>125</v>
      </c>
      <c r="Y7092" s="389">
        <f t="shared" ref="Y7092" si="23000">D7081</f>
        <v>1</v>
      </c>
      <c r="Z7092" s="400" t="s">
        <v>176</v>
      </c>
      <c r="AA7092" s="402">
        <f t="shared" ref="AA7092" si="23001">IF(AA7093=0,(D7092*N7092+P7092*R7092)*U7092*Y7092,0)</f>
        <v>0</v>
      </c>
      <c r="AB7092" s="403"/>
    </row>
    <row r="7093" spans="1:28">
      <c r="A7093" s="384" t="str">
        <f t="shared" ref="A7093:B7093" si="23002">A7075</f>
        <v>Lantai Atap</v>
      </c>
      <c r="B7093" s="385">
        <f t="shared" si="23002"/>
        <v>28</v>
      </c>
      <c r="C7093" s="393"/>
      <c r="D7093" s="398">
        <f t="shared" si="22717"/>
        <v>3</v>
      </c>
      <c r="E7093" s="388" t="s">
        <v>16</v>
      </c>
      <c r="F7093" s="388">
        <f t="shared" si="22718"/>
        <v>13</v>
      </c>
      <c r="G7093" s="388"/>
      <c r="H7093" s="395"/>
      <c r="I7093" s="388"/>
      <c r="J7093" s="396"/>
      <c r="K7093" s="396"/>
      <c r="L7093" s="404" t="s">
        <v>207</v>
      </c>
      <c r="M7093" s="399" t="s">
        <v>176</v>
      </c>
      <c r="N7093" s="399">
        <f t="shared" ref="N7093" si="23003">IF(AND(D7090=D7091,D7090=D7092,D7091=D7092,F7090=F7091,F7090=F7092,F7091=F7092),SUM(N7090:N7092),0)</f>
        <v>6.2169999999999996</v>
      </c>
      <c r="O7093" s="399" t="s">
        <v>204</v>
      </c>
      <c r="P7093" s="389">
        <f t="shared" ref="P7093" si="23004">IF(N7093&gt;12,ROUNDDOWN(N7093/12,0),0)</f>
        <v>0</v>
      </c>
      <c r="Q7093" s="399" t="s">
        <v>125</v>
      </c>
      <c r="R7093" s="399">
        <f t="shared" ref="R7093" si="23005">IF(P7093&gt;0,MAX(VLOOKUP(F7093,$D$6:$G$15,3,FALSE),600),0)/1000</f>
        <v>0</v>
      </c>
      <c r="S7093" s="396"/>
      <c r="T7093" s="396" t="s">
        <v>125</v>
      </c>
      <c r="U7093" s="401">
        <f t="shared" si="22722"/>
        <v>1.041885</v>
      </c>
      <c r="V7093" s="396" t="s">
        <v>125</v>
      </c>
      <c r="W7093" s="399">
        <f t="shared" ref="W7093" si="23006">D7093</f>
        <v>3</v>
      </c>
      <c r="X7093" s="399" t="s">
        <v>125</v>
      </c>
      <c r="Y7093" s="389">
        <f t="shared" si="22724"/>
        <v>1</v>
      </c>
      <c r="Z7093" s="400" t="s">
        <v>176</v>
      </c>
      <c r="AA7093" s="402">
        <f t="shared" ref="AA7093" si="23007">(N7093+P7093*R7093/1000)*U7093*W7093*Y7093</f>
        <v>19.432197134999999</v>
      </c>
      <c r="AB7093" s="403"/>
    </row>
    <row r="7094" spans="1:28">
      <c r="A7094" s="384"/>
      <c r="B7094" s="385"/>
      <c r="C7094" s="393"/>
      <c r="D7094" s="394"/>
      <c r="E7094" s="388"/>
      <c r="F7094" s="388"/>
      <c r="G7094" s="388"/>
      <c r="H7094" s="395"/>
      <c r="I7094" s="388"/>
      <c r="J7094" s="399"/>
      <c r="K7094" s="396"/>
      <c r="L7094" s="396"/>
      <c r="M7094" s="396"/>
      <c r="N7094" s="396"/>
      <c r="O7094" s="396"/>
      <c r="P7094" s="389"/>
      <c r="Q7094" s="396"/>
      <c r="R7094" s="396"/>
      <c r="S7094" s="396"/>
      <c r="T7094" s="396"/>
      <c r="U7094" s="401"/>
      <c r="V7094" s="396"/>
      <c r="W7094" s="388"/>
      <c r="X7094" s="396"/>
      <c r="Y7094" s="389"/>
      <c r="Z7094" s="396"/>
      <c r="AA7094" s="388"/>
      <c r="AB7094" s="390"/>
    </row>
    <row r="7095" spans="1:28">
      <c r="A7095" s="384" t="str">
        <f t="shared" ref="A7095:B7095" si="23008">A7075</f>
        <v>Lantai Atap</v>
      </c>
      <c r="B7095" s="385">
        <f t="shared" si="23008"/>
        <v>28</v>
      </c>
      <c r="C7095" s="393" t="s">
        <v>211</v>
      </c>
      <c r="D7095" s="398">
        <f>VLOOKUP(D7075,'Detail Balok'!$C$10:$AU$140,31,FALSE)</f>
        <v>0</v>
      </c>
      <c r="E7095" s="388" t="s">
        <v>16</v>
      </c>
      <c r="F7095" s="388">
        <f>VLOOKUP(D7075,'Detail Balok'!$C$10:$AU$140,33,FALSE)</f>
        <v>10</v>
      </c>
      <c r="G7095" s="405" t="s">
        <v>157</v>
      </c>
      <c r="H7095" s="395">
        <f>VLOOKUP(D7075,'Detail Balok'!$C$10:$AU$140,35,FALSE)</f>
        <v>100</v>
      </c>
      <c r="I7095" s="388"/>
      <c r="J7095" s="400">
        <f t="shared" ref="J7095" si="23009">(IF(D7095=0,(2*(D7076+G7076))-(F$5*8),IF(D7095=3,(2*(D7076+G7076))-(F$5*8)+(G7076-2*F$5),IF(D7095=4,(2*(D7076+G7076))-(F$5*8)+2*(G7076-2*F$5)))))/1000</f>
        <v>0.88</v>
      </c>
      <c r="K7095" s="400" t="s">
        <v>204</v>
      </c>
      <c r="L7095" s="399">
        <f t="shared" ref="L7095:L7097" si="23010">IF(D7095=0,2*MAX(6*F7095,75),(D7095-1)*2*MAX(6*F7095,75))/1000</f>
        <v>0.15</v>
      </c>
      <c r="M7095" s="399" t="s">
        <v>176</v>
      </c>
      <c r="N7095" s="399">
        <f t="shared" ref="N7095:N7097" si="23011">J7095+L7095</f>
        <v>1.03</v>
      </c>
      <c r="O7095" s="399"/>
      <c r="P7095" s="389"/>
      <c r="Q7095" s="399"/>
      <c r="R7095" s="399"/>
      <c r="S7095" s="399"/>
      <c r="T7095" s="399" t="s">
        <v>125</v>
      </c>
      <c r="U7095" s="401">
        <f t="shared" ref="U7095:U7097" si="23012">0.006165*F7095^2</f>
        <v>0.61650000000000005</v>
      </c>
      <c r="V7095" s="399" t="s">
        <v>125</v>
      </c>
      <c r="W7095" s="399">
        <f t="shared" ref="W7095" si="23013">IF(D7078&gt;4*G7076,ROUND(MAX(D7078/4,2*G7076)/H7095,0)+1,ROUND(D7078/H7095,0)+1)</f>
        <v>16</v>
      </c>
      <c r="X7095" s="399" t="s">
        <v>125</v>
      </c>
      <c r="Y7095" s="389">
        <f t="shared" ref="Y7095" si="23014">D7081</f>
        <v>1</v>
      </c>
      <c r="Z7095" s="400" t="s">
        <v>176</v>
      </c>
      <c r="AA7095" s="402">
        <f t="shared" ref="AA7095:AA7097" si="23015">N7095*U7095*W7095*Y7095</f>
        <v>10.159920000000001</v>
      </c>
      <c r="AB7095" s="403"/>
    </row>
    <row r="7096" spans="1:28">
      <c r="A7096" s="384" t="str">
        <f t="shared" ref="A7096:B7096" si="23016">A7075</f>
        <v>Lantai Atap</v>
      </c>
      <c r="B7096" s="385">
        <f t="shared" si="23016"/>
        <v>28</v>
      </c>
      <c r="C7096" s="393" t="s">
        <v>212</v>
      </c>
      <c r="D7096" s="398">
        <f>VLOOKUP(D7075,'Detail Balok'!$C$10:$AU$140,36,FALSE)</f>
        <v>0</v>
      </c>
      <c r="E7096" s="388" t="s">
        <v>16</v>
      </c>
      <c r="F7096" s="388">
        <f>VLOOKUP(D7075,'Detail Balok'!$C$10:$AU$140,38,FALSE)</f>
        <v>10</v>
      </c>
      <c r="G7096" s="405" t="s">
        <v>157</v>
      </c>
      <c r="H7096" s="395">
        <f>VLOOKUP(D7075,'Detail Balok'!$C$10:$AU$140,40,FALSE)</f>
        <v>200</v>
      </c>
      <c r="I7096" s="388"/>
      <c r="J7096" s="400">
        <f t="shared" ref="J7096" si="23017">(IF(D7096=0,(2*(D7076+G7076))-(F$5*8),IF(D7096=3,(2*(D7076+G7076))-(F$5*8)+(G7076-2*F$5),IF(D7096=4,(2*(D7076+G7076))-(F$5*8)+2*(G7076-2*F$5)))))/1000</f>
        <v>0.88</v>
      </c>
      <c r="K7096" s="400" t="s">
        <v>204</v>
      </c>
      <c r="L7096" s="399">
        <f t="shared" si="23010"/>
        <v>0.15</v>
      </c>
      <c r="M7096" s="399" t="s">
        <v>176</v>
      </c>
      <c r="N7096" s="399">
        <f t="shared" si="23011"/>
        <v>1.03</v>
      </c>
      <c r="O7096" s="399"/>
      <c r="P7096" s="389"/>
      <c r="Q7096" s="399"/>
      <c r="R7096" s="399"/>
      <c r="S7096" s="399"/>
      <c r="T7096" s="399" t="s">
        <v>125</v>
      </c>
      <c r="U7096" s="401">
        <f t="shared" si="23012"/>
        <v>0.61650000000000005</v>
      </c>
      <c r="V7096" s="399" t="s">
        <v>125</v>
      </c>
      <c r="W7096" s="399">
        <f t="shared" ref="W7096" si="23018">IF(D7078-MAX(D7078/4,2*G7076)*2&gt;0,ROUND((D7078-MAX(D7078/4,2*G7076)*2)/H7096,0),0)</f>
        <v>15</v>
      </c>
      <c r="X7096" s="399" t="s">
        <v>125</v>
      </c>
      <c r="Y7096" s="389">
        <f t="shared" ref="Y7096" si="23019">D7081</f>
        <v>1</v>
      </c>
      <c r="Z7096" s="400" t="s">
        <v>176</v>
      </c>
      <c r="AA7096" s="402">
        <f t="shared" si="23015"/>
        <v>9.5249250000000014</v>
      </c>
      <c r="AB7096" s="403"/>
    </row>
    <row r="7097" spans="1:28">
      <c r="A7097" s="384" t="str">
        <f t="shared" ref="A7097:B7097" si="23020">A7075</f>
        <v>Lantai Atap</v>
      </c>
      <c r="B7097" s="385">
        <f t="shared" si="23020"/>
        <v>28</v>
      </c>
      <c r="C7097" s="393" t="s">
        <v>211</v>
      </c>
      <c r="D7097" s="398">
        <f>VLOOKUP(D7075,'Detail Balok'!$C$10:$AU$140,41,FALSE)</f>
        <v>0</v>
      </c>
      <c r="E7097" s="388" t="s">
        <v>16</v>
      </c>
      <c r="F7097" s="388">
        <f>VLOOKUP(D7075,'Detail Balok'!$C$10:$AU$140,43,FALSE)</f>
        <v>10</v>
      </c>
      <c r="G7097" s="405" t="s">
        <v>157</v>
      </c>
      <c r="H7097" s="395">
        <f>VLOOKUP(D7075,'Detail Balok'!$C$10:$AU$140,45,FALSE)</f>
        <v>100</v>
      </c>
      <c r="I7097" s="388"/>
      <c r="J7097" s="400">
        <f t="shared" ref="J7097" si="23021">(IF(D7097=0,(2*(D7076+G7076))-(F$5*8),IF(D7097=3,(2*(D7076+G7076))-(F$5*8)+(G7076-2*F$5),IF(D7097=4,(2*(D7076+G7076))-(F$5*8)+2*(G7076-2*F$5)))))/1000</f>
        <v>0.88</v>
      </c>
      <c r="K7097" s="400" t="s">
        <v>204</v>
      </c>
      <c r="L7097" s="399">
        <f t="shared" si="23010"/>
        <v>0.15</v>
      </c>
      <c r="M7097" s="399" t="s">
        <v>176</v>
      </c>
      <c r="N7097" s="399">
        <f t="shared" si="23011"/>
        <v>1.03</v>
      </c>
      <c r="O7097" s="399"/>
      <c r="P7097" s="389"/>
      <c r="Q7097" s="399"/>
      <c r="R7097" s="399"/>
      <c r="S7097" s="399"/>
      <c r="T7097" s="399" t="s">
        <v>125</v>
      </c>
      <c r="U7097" s="401">
        <f t="shared" si="23012"/>
        <v>0.61650000000000005</v>
      </c>
      <c r="V7097" s="399" t="s">
        <v>125</v>
      </c>
      <c r="W7097" s="399">
        <f t="shared" ref="W7097" si="23022">IF(D7078&gt;4*G7076,ROUND(MAX(D7078/4,2*G7076)/H7097,0)+1,0)</f>
        <v>16</v>
      </c>
      <c r="X7097" s="399" t="s">
        <v>125</v>
      </c>
      <c r="Y7097" s="389">
        <f t="shared" ref="Y7097" si="23023">D7081</f>
        <v>1</v>
      </c>
      <c r="Z7097" s="400" t="s">
        <v>176</v>
      </c>
      <c r="AA7097" s="402">
        <f t="shared" si="23015"/>
        <v>10.159920000000001</v>
      </c>
      <c r="AB7097" s="403"/>
    </row>
    <row r="7098" spans="1:28">
      <c r="A7098" s="384"/>
      <c r="B7098" s="385"/>
      <c r="C7098" s="393"/>
      <c r="D7098" s="394"/>
      <c r="E7098" s="388"/>
      <c r="F7098" s="388"/>
      <c r="G7098" s="388"/>
      <c r="H7098" s="395"/>
      <c r="I7098" s="388"/>
      <c r="J7098" s="399"/>
      <c r="K7098" s="396"/>
      <c r="L7098" s="396"/>
      <c r="M7098" s="396"/>
      <c r="N7098" s="396"/>
      <c r="O7098" s="396"/>
      <c r="P7098" s="389"/>
      <c r="Q7098" s="396"/>
      <c r="R7098" s="396"/>
      <c r="S7098" s="396"/>
      <c r="T7098" s="396"/>
      <c r="U7098" s="401"/>
      <c r="V7098" s="396"/>
      <c r="W7098" s="388"/>
      <c r="X7098" s="396"/>
      <c r="Y7098" s="389"/>
      <c r="Z7098" s="396"/>
      <c r="AA7098" s="388"/>
      <c r="AB7098" s="390"/>
    </row>
    <row r="7099" spans="1:28">
      <c r="A7099" s="384" t="str">
        <f t="shared" ref="A7099:B7099" si="23024">A7075</f>
        <v>Lantai Atap</v>
      </c>
      <c r="B7099" s="385">
        <f t="shared" si="23024"/>
        <v>28</v>
      </c>
      <c r="C7099" s="393" t="s">
        <v>213</v>
      </c>
      <c r="D7099" s="398">
        <f>VLOOKUP(D7075,'Detail Balok'!$C$10:$BJ$140,46,FALSE)</f>
        <v>0</v>
      </c>
      <c r="E7099" s="388" t="s">
        <v>16</v>
      </c>
      <c r="F7099" s="388">
        <f>VLOOKUP(D7075,'Detail Balok'!$C$10:$BJ$140,48,FALSE)</f>
        <v>0</v>
      </c>
      <c r="G7099" s="405" t="s">
        <v>157</v>
      </c>
      <c r="H7099" s="395">
        <f>VLOOKUP(D7075,'Detail Balok'!$C$10:$BJ$140,50,FALSE)</f>
        <v>100</v>
      </c>
      <c r="I7099" s="388"/>
      <c r="J7099" s="399">
        <f t="shared" ref="J7099" si="23025">(D7076-2*F$5)/1000</f>
        <v>0.12</v>
      </c>
      <c r="K7099" s="400" t="s">
        <v>204</v>
      </c>
      <c r="L7099" s="399">
        <f t="shared" ref="L7099:L7101" si="23026">IF(D7099=0,2*MAX(6*F7099,75),(D7099-1)*2*MAX(6*F7099,75))/1000</f>
        <v>0.15</v>
      </c>
      <c r="M7099" s="399" t="s">
        <v>176</v>
      </c>
      <c r="N7099" s="399">
        <f t="shared" ref="N7099:N7101" si="23027">J7099+L7099</f>
        <v>0.27</v>
      </c>
      <c r="O7099" s="399"/>
      <c r="P7099" s="399"/>
      <c r="Q7099" s="399"/>
      <c r="R7099" s="399"/>
      <c r="S7099" s="399"/>
      <c r="T7099" s="399" t="s">
        <v>125</v>
      </c>
      <c r="U7099" s="401">
        <f t="shared" ref="U7099:U7101" si="23028">0.006165*F7099^2</f>
        <v>0</v>
      </c>
      <c r="V7099" s="399" t="s">
        <v>125</v>
      </c>
      <c r="W7099" s="399">
        <f t="shared" si="22747"/>
        <v>16</v>
      </c>
      <c r="X7099" s="399" t="s">
        <v>125</v>
      </c>
      <c r="Y7099" s="389">
        <f t="shared" ref="Y7099" si="23029">D7085</f>
        <v>3</v>
      </c>
      <c r="Z7099" s="400" t="s">
        <v>176</v>
      </c>
      <c r="AA7099" s="402">
        <f t="shared" ref="AA7099:AA7101" si="23030">N7099*U7099*W7099*Y7099</f>
        <v>0</v>
      </c>
      <c r="AB7099" s="403"/>
    </row>
    <row r="7100" spans="1:28">
      <c r="A7100" s="384" t="str">
        <f t="shared" ref="A7100:B7100" si="23031">A7075</f>
        <v>Lantai Atap</v>
      </c>
      <c r="B7100" s="385">
        <f t="shared" si="23031"/>
        <v>28</v>
      </c>
      <c r="C7100" s="393" t="s">
        <v>214</v>
      </c>
      <c r="D7100" s="398">
        <f>VLOOKUP(D7075,'Detail Balok'!$C$10:$BJ$140,51,FALSE)</f>
        <v>0</v>
      </c>
      <c r="E7100" s="388" t="s">
        <v>16</v>
      </c>
      <c r="F7100" s="388">
        <f>VLOOKUP(D7075,'Detail Balok'!$C$10:$BJ$140,53,FALSE)</f>
        <v>0</v>
      </c>
      <c r="G7100" s="405" t="s">
        <v>157</v>
      </c>
      <c r="H7100" s="395">
        <f>VLOOKUP(D7075,'Detail Balok'!$C$10:$BJ$140,55,FALSE)</f>
        <v>100</v>
      </c>
      <c r="I7100" s="388"/>
      <c r="J7100" s="399">
        <f t="shared" ref="J7100" si="23032">(D7076-2*F$5)/1000</f>
        <v>0.12</v>
      </c>
      <c r="K7100" s="400" t="s">
        <v>204</v>
      </c>
      <c r="L7100" s="399">
        <f t="shared" si="23026"/>
        <v>0.15</v>
      </c>
      <c r="M7100" s="399" t="s">
        <v>176</v>
      </c>
      <c r="N7100" s="399">
        <f t="shared" si="23027"/>
        <v>0.27</v>
      </c>
      <c r="O7100" s="399"/>
      <c r="P7100" s="399"/>
      <c r="Q7100" s="399"/>
      <c r="R7100" s="399"/>
      <c r="S7100" s="399"/>
      <c r="T7100" s="399" t="s">
        <v>125</v>
      </c>
      <c r="U7100" s="401">
        <f t="shared" si="23028"/>
        <v>0</v>
      </c>
      <c r="V7100" s="399" t="s">
        <v>125</v>
      </c>
      <c r="W7100" s="399">
        <f t="shared" si="22747"/>
        <v>15</v>
      </c>
      <c r="X7100" s="399" t="s">
        <v>125</v>
      </c>
      <c r="Y7100" s="389">
        <f t="shared" ref="Y7100" si="23033">D7085</f>
        <v>3</v>
      </c>
      <c r="Z7100" s="400" t="s">
        <v>176</v>
      </c>
      <c r="AA7100" s="402">
        <f t="shared" si="23030"/>
        <v>0</v>
      </c>
      <c r="AB7100" s="403"/>
    </row>
    <row r="7101" spans="1:28">
      <c r="A7101" s="384" t="str">
        <f t="shared" ref="A7101:B7101" si="23034">A7075</f>
        <v>Lantai Atap</v>
      </c>
      <c r="B7101" s="385">
        <f t="shared" si="23034"/>
        <v>28</v>
      </c>
      <c r="C7101" s="393" t="s">
        <v>213</v>
      </c>
      <c r="D7101" s="398">
        <f>VLOOKUP(D7075,'Detail Balok'!$C$10:$BJ$140,56,FALSE)</f>
        <v>0</v>
      </c>
      <c r="E7101" s="388" t="s">
        <v>16</v>
      </c>
      <c r="F7101" s="388">
        <f>VLOOKUP(D7075,'Detail Balok'!$C$10:$BJ$140,58,FALSE)</f>
        <v>0</v>
      </c>
      <c r="G7101" s="405" t="s">
        <v>157</v>
      </c>
      <c r="H7101" s="395">
        <f>VLOOKUP(D7075,'Detail Balok'!$C$10:$BJ$140,60,FALSE)</f>
        <v>100</v>
      </c>
      <c r="I7101" s="388"/>
      <c r="J7101" s="399">
        <f t="shared" ref="J7101" si="23035">(D7076-2*F$5)/1000</f>
        <v>0.12</v>
      </c>
      <c r="K7101" s="400" t="s">
        <v>204</v>
      </c>
      <c r="L7101" s="399">
        <f t="shared" si="23026"/>
        <v>0.15</v>
      </c>
      <c r="M7101" s="399" t="s">
        <v>176</v>
      </c>
      <c r="N7101" s="399">
        <f t="shared" si="23027"/>
        <v>0.27</v>
      </c>
      <c r="O7101" s="399"/>
      <c r="P7101" s="399"/>
      <c r="Q7101" s="399"/>
      <c r="R7101" s="399"/>
      <c r="S7101" s="399"/>
      <c r="T7101" s="399" t="s">
        <v>125</v>
      </c>
      <c r="U7101" s="401">
        <f t="shared" si="23028"/>
        <v>0</v>
      </c>
      <c r="V7101" s="399" t="s">
        <v>125</v>
      </c>
      <c r="W7101" s="399">
        <f t="shared" si="22747"/>
        <v>16</v>
      </c>
      <c r="X7101" s="399" t="s">
        <v>125</v>
      </c>
      <c r="Y7101" s="389">
        <f t="shared" ref="Y7101" si="23036">D7085</f>
        <v>3</v>
      </c>
      <c r="Z7101" s="400" t="s">
        <v>176</v>
      </c>
      <c r="AA7101" s="402">
        <f t="shared" si="23030"/>
        <v>0</v>
      </c>
      <c r="AB7101" s="403"/>
    </row>
    <row r="7102" spans="1:28">
      <c r="A7102" s="391"/>
      <c r="B7102" s="392"/>
      <c r="C7102" s="392"/>
      <c r="D7102" s="394"/>
      <c r="E7102" s="388"/>
      <c r="F7102" s="388"/>
      <c r="G7102" s="388"/>
      <c r="H7102" s="395"/>
      <c r="I7102" s="388"/>
      <c r="J7102" s="402"/>
      <c r="K7102" s="388"/>
      <c r="L7102" s="388"/>
      <c r="M7102" s="388"/>
      <c r="N7102" s="388"/>
      <c r="O7102" s="388"/>
      <c r="P7102" s="388"/>
      <c r="Q7102" s="388"/>
      <c r="R7102" s="388"/>
      <c r="S7102" s="388"/>
      <c r="T7102" s="388"/>
      <c r="U7102" s="388"/>
      <c r="V7102" s="388"/>
      <c r="W7102" s="388"/>
      <c r="X7102" s="388"/>
      <c r="Y7102" s="389"/>
      <c r="Z7102" s="388"/>
      <c r="AA7102" s="402"/>
      <c r="AB7102" s="403"/>
    </row>
    <row r="7103" spans="1:28" ht="15.75" thickBot="1">
      <c r="A7103" s="406"/>
      <c r="B7103" s="407"/>
      <c r="C7103" s="407"/>
      <c r="D7103" s="408"/>
      <c r="E7103" s="409"/>
      <c r="F7103" s="409"/>
      <c r="G7103" s="409"/>
      <c r="H7103" s="410"/>
      <c r="I7103" s="409"/>
      <c r="J7103" s="409"/>
      <c r="K7103" s="409"/>
      <c r="L7103" s="409"/>
      <c r="M7103" s="409"/>
      <c r="N7103" s="409"/>
      <c r="O7103" s="409"/>
      <c r="P7103" s="409"/>
      <c r="Q7103" s="409"/>
      <c r="R7103" s="409"/>
      <c r="S7103" s="409"/>
      <c r="T7103" s="409"/>
      <c r="U7103" s="409"/>
      <c r="V7103" s="409"/>
      <c r="W7103" s="409"/>
      <c r="X7103" s="409"/>
      <c r="Y7103" s="411"/>
      <c r="Z7103" s="409"/>
      <c r="AA7103" s="412"/>
      <c r="AB7103" s="413"/>
    </row>
    <row r="7104" spans="1:28">
      <c r="A7104" s="377"/>
      <c r="B7104" s="378"/>
      <c r="C7104" s="378"/>
      <c r="D7104" s="379"/>
      <c r="E7104" s="380"/>
      <c r="F7104" s="380"/>
      <c r="G7104" s="380"/>
      <c r="H7104" s="381"/>
      <c r="I7104" s="380"/>
      <c r="J7104" s="380"/>
      <c r="K7104" s="380"/>
      <c r="L7104" s="380"/>
      <c r="M7104" s="380"/>
      <c r="N7104" s="380"/>
      <c r="O7104" s="380"/>
      <c r="P7104" s="380"/>
      <c r="Q7104" s="380"/>
      <c r="R7104" s="380"/>
      <c r="S7104" s="380"/>
      <c r="T7104" s="380"/>
      <c r="U7104" s="380"/>
      <c r="V7104" s="380"/>
      <c r="W7104" s="380"/>
      <c r="X7104" s="380"/>
      <c r="Y7104" s="382"/>
      <c r="Z7104" s="380"/>
      <c r="AA7104" s="380"/>
      <c r="AB7104" s="383"/>
    </row>
    <row r="7105" spans="1:28">
      <c r="A7105" s="384" t="str">
        <f t="shared" si="22756"/>
        <v>Lantai Atap</v>
      </c>
      <c r="B7105" s="385">
        <f t="shared" si="22757"/>
        <v>29</v>
      </c>
      <c r="C7105" s="386" t="str">
        <f t="shared" ref="C7105" si="23037">CONCATENATE(A7105," no. ",B7105)</f>
        <v>Lantai Atap no. 29</v>
      </c>
      <c r="D7105" s="2562" t="str">
        <f>VLOOKUP(C7105,'Data Panjang Balok'!$C$9:$N$254,2,FALSE)</f>
        <v>B24-1</v>
      </c>
      <c r="E7105" s="2576"/>
      <c r="F7105" s="2576"/>
      <c r="G7105" s="2576"/>
      <c r="H7105" s="2577"/>
      <c r="I7105" s="387"/>
      <c r="J7105" s="388"/>
      <c r="K7105" s="388"/>
      <c r="L7105" s="388"/>
      <c r="M7105" s="388"/>
      <c r="N7105" s="388"/>
      <c r="O7105" s="388"/>
      <c r="P7105" s="388"/>
      <c r="Q7105" s="388"/>
      <c r="R7105" s="388"/>
      <c r="S7105" s="388"/>
      <c r="T7105" s="388"/>
      <c r="U7105" s="388"/>
      <c r="V7105" s="388"/>
      <c r="W7105" s="388"/>
      <c r="X7105" s="388"/>
      <c r="Y7105" s="389"/>
      <c r="Z7105" s="388"/>
      <c r="AA7105" s="388"/>
      <c r="AB7105" s="390"/>
    </row>
    <row r="7106" spans="1:28">
      <c r="A7106" s="391"/>
      <c r="B7106" s="392"/>
      <c r="C7106" s="393" t="s">
        <v>118</v>
      </c>
      <c r="D7106" s="2578">
        <f>VLOOKUP(D7105,'Detail Balok'!$C$10:$AU$140,2,FALSE)</f>
        <v>200</v>
      </c>
      <c r="E7106" s="2579"/>
      <c r="F7106" s="388" t="s">
        <v>125</v>
      </c>
      <c r="G7106" s="2579">
        <f>VLOOKUP(D7105,'Detail Balok'!$C$10:$AU$140,3,FALSE)</f>
        <v>400</v>
      </c>
      <c r="H7106" s="2580"/>
      <c r="I7106" s="388"/>
      <c r="J7106" s="396"/>
      <c r="K7106" s="396"/>
      <c r="L7106" s="396"/>
      <c r="M7106" s="396"/>
      <c r="N7106" s="396"/>
      <c r="O7106" s="396"/>
      <c r="P7106" s="396"/>
      <c r="Q7106" s="396"/>
      <c r="R7106" s="396"/>
      <c r="S7106" s="396"/>
      <c r="T7106" s="396"/>
      <c r="U7106" s="388"/>
      <c r="V7106" s="396"/>
      <c r="W7106" s="388"/>
      <c r="X7106" s="396"/>
      <c r="Y7106" s="389"/>
      <c r="Z7106" s="396"/>
      <c r="AA7106" s="388"/>
      <c r="AB7106" s="390"/>
    </row>
    <row r="7107" spans="1:28">
      <c r="A7107" s="391"/>
      <c r="B7107" s="392"/>
      <c r="C7107" s="393" t="s">
        <v>198</v>
      </c>
      <c r="D7107" s="2562">
        <f>VLOOKUP(C7105,'Data Panjang Balok'!$C$9:$N$254,4,FALSE)</f>
        <v>4635</v>
      </c>
      <c r="E7107" s="2563"/>
      <c r="F7107" s="2563"/>
      <c r="G7107" s="2563"/>
      <c r="H7107" s="2564"/>
      <c r="I7107" s="397"/>
      <c r="J7107" s="396"/>
      <c r="K7107" s="396"/>
      <c r="L7107" s="396"/>
      <c r="M7107" s="396"/>
      <c r="N7107" s="396"/>
      <c r="O7107" s="396"/>
      <c r="P7107" s="396"/>
      <c r="Q7107" s="396"/>
      <c r="R7107" s="396"/>
      <c r="S7107" s="396"/>
      <c r="T7107" s="396"/>
      <c r="U7107" s="388"/>
      <c r="V7107" s="396"/>
      <c r="W7107" s="388"/>
      <c r="X7107" s="396"/>
      <c r="Y7107" s="389"/>
      <c r="Z7107" s="396"/>
      <c r="AA7107" s="388"/>
      <c r="AB7107" s="390"/>
    </row>
    <row r="7108" spans="1:28">
      <c r="A7108" s="391"/>
      <c r="B7108" s="392"/>
      <c r="C7108" s="393" t="s">
        <v>199</v>
      </c>
      <c r="D7108" s="2562">
        <f>VLOOKUP(C7105,'Data Panjang Balok'!$C$9:$N$254,7,FALSE)</f>
        <v>4635</v>
      </c>
      <c r="E7108" s="2563"/>
      <c r="F7108" s="2563"/>
      <c r="G7108" s="2563"/>
      <c r="H7108" s="2564"/>
      <c r="I7108" s="397"/>
      <c r="J7108" s="396"/>
      <c r="K7108" s="396"/>
      <c r="L7108" s="396"/>
      <c r="M7108" s="396"/>
      <c r="N7108" s="396"/>
      <c r="O7108" s="396"/>
      <c r="P7108" s="396"/>
      <c r="Q7108" s="396"/>
      <c r="R7108" s="396"/>
      <c r="S7108" s="396"/>
      <c r="T7108" s="396"/>
      <c r="U7108" s="388"/>
      <c r="V7108" s="396"/>
      <c r="W7108" s="388"/>
      <c r="X7108" s="396"/>
      <c r="Y7108" s="389"/>
      <c r="Z7108" s="396"/>
      <c r="AA7108" s="388"/>
      <c r="AB7108" s="390"/>
    </row>
    <row r="7109" spans="1:28">
      <c r="A7109" s="391"/>
      <c r="B7109" s="392"/>
      <c r="C7109" s="393" t="s">
        <v>200</v>
      </c>
      <c r="D7109" s="2562">
        <f>VLOOKUP(C7105,'Data Panjang Balok'!$C$9:$N$254,9,FALSE)</f>
        <v>0</v>
      </c>
      <c r="E7109" s="2563"/>
      <c r="F7109" s="2563"/>
      <c r="G7109" s="2563"/>
      <c r="H7109" s="2564"/>
      <c r="I7109" s="397"/>
      <c r="J7109" s="396"/>
      <c r="K7109" s="396"/>
      <c r="L7109" s="396"/>
      <c r="M7109" s="396"/>
      <c r="N7109" s="396"/>
      <c r="O7109" s="396"/>
      <c r="P7109" s="396"/>
      <c r="Q7109" s="396"/>
      <c r="R7109" s="396"/>
      <c r="S7109" s="396"/>
      <c r="T7109" s="396"/>
      <c r="U7109" s="388"/>
      <c r="V7109" s="396"/>
      <c r="W7109" s="388"/>
      <c r="X7109" s="396"/>
      <c r="Y7109" s="389"/>
      <c r="Z7109" s="396"/>
      <c r="AA7109" s="388"/>
      <c r="AB7109" s="390"/>
    </row>
    <row r="7110" spans="1:28">
      <c r="A7110" s="391"/>
      <c r="B7110" s="392"/>
      <c r="C7110" s="393" t="s">
        <v>201</v>
      </c>
      <c r="D7110" s="2562">
        <f>VLOOKUP(C7105,'Data Panjang Balok'!$C$9:$N$254,10,FALSE)</f>
        <v>0</v>
      </c>
      <c r="E7110" s="2563"/>
      <c r="F7110" s="2563"/>
      <c r="G7110" s="2563"/>
      <c r="H7110" s="2564"/>
      <c r="I7110" s="397"/>
      <c r="J7110" s="396"/>
      <c r="K7110" s="396"/>
      <c r="L7110" s="396"/>
      <c r="M7110" s="396"/>
      <c r="N7110" s="396"/>
      <c r="O7110" s="396"/>
      <c r="P7110" s="396"/>
      <c r="Q7110" s="396"/>
      <c r="R7110" s="396"/>
      <c r="S7110" s="396"/>
      <c r="T7110" s="396"/>
      <c r="U7110" s="388"/>
      <c r="V7110" s="396"/>
      <c r="W7110" s="388"/>
      <c r="X7110" s="396"/>
      <c r="Y7110" s="389"/>
      <c r="Z7110" s="396"/>
      <c r="AA7110" s="388"/>
      <c r="AB7110" s="390"/>
    </row>
    <row r="7111" spans="1:28">
      <c r="A7111" s="391"/>
      <c r="B7111" s="392"/>
      <c r="C7111" s="393" t="s">
        <v>48</v>
      </c>
      <c r="D7111" s="2562">
        <f>VLOOKUP(C7105,'Data Panjang Balok'!$C$9:$N$254,3,FALSE)</f>
        <v>1</v>
      </c>
      <c r="E7111" s="2563"/>
      <c r="F7111" s="2563"/>
      <c r="G7111" s="2563"/>
      <c r="H7111" s="2564"/>
      <c r="I7111" s="397"/>
      <c r="J7111" s="396"/>
      <c r="K7111" s="396"/>
      <c r="L7111" s="396"/>
      <c r="M7111" s="396"/>
      <c r="N7111" s="396"/>
      <c r="O7111" s="396"/>
      <c r="P7111" s="396"/>
      <c r="Q7111" s="396"/>
      <c r="R7111" s="396"/>
      <c r="S7111" s="396"/>
      <c r="T7111" s="396"/>
      <c r="U7111" s="388"/>
      <c r="V7111" s="396"/>
      <c r="W7111" s="388"/>
      <c r="X7111" s="396"/>
      <c r="Y7111" s="389"/>
      <c r="Z7111" s="396"/>
      <c r="AA7111" s="388"/>
      <c r="AB7111" s="390"/>
    </row>
    <row r="7112" spans="1:28">
      <c r="A7112" s="384" t="str">
        <f t="shared" ref="A7112:B7112" si="23038">A7105</f>
        <v>Lantai Atap</v>
      </c>
      <c r="B7112" s="385">
        <f t="shared" si="23038"/>
        <v>29</v>
      </c>
      <c r="C7112" s="393" t="s">
        <v>202</v>
      </c>
      <c r="D7112" s="398">
        <f>VLOOKUP(D7105,'Detail Balok'!$C$10:$AU$140,4,FALSE)</f>
        <v>3</v>
      </c>
      <c r="E7112" s="388" t="s">
        <v>16</v>
      </c>
      <c r="F7112" s="388">
        <f>VLOOKUP(D7105,'Detail Balok'!$C$10:$AU$140,6,FALSE)</f>
        <v>13</v>
      </c>
      <c r="G7112" s="388"/>
      <c r="H7112" s="395"/>
      <c r="I7112" s="388" t="s">
        <v>203</v>
      </c>
      <c r="J7112" s="399">
        <f t="shared" ref="J7112" si="23039">+D7107/4/1000</f>
        <v>1.1587499999999999</v>
      </c>
      <c r="K7112" s="400" t="s">
        <v>204</v>
      </c>
      <c r="L7112" s="399">
        <f t="shared" ref="L7112" si="23040">MAX(VLOOKUP(F7112,N$6:P$15,3,FALSE)/1000,2/3*D7109/1000)+F$16*F7112/1000</f>
        <v>0.156</v>
      </c>
      <c r="M7112" s="399" t="s">
        <v>176</v>
      </c>
      <c r="N7112" s="399">
        <f t="shared" ref="N7112:N7114" si="23041">J7112+L7112</f>
        <v>1.3147499999999999</v>
      </c>
      <c r="O7112" s="399" t="s">
        <v>204</v>
      </c>
      <c r="P7112" s="389">
        <f t="shared" ref="P7112" si="23042">D7112-D7113</f>
        <v>0</v>
      </c>
      <c r="Q7112" s="399" t="s">
        <v>125</v>
      </c>
      <c r="R7112" s="399">
        <f t="shared" ref="R7112" si="23043">IF(P7112&gt;0,$F$18*F7112/1000,0)</f>
        <v>0</v>
      </c>
      <c r="S7112" s="399" t="s">
        <v>205</v>
      </c>
      <c r="T7112" s="399" t="s">
        <v>125</v>
      </c>
      <c r="U7112" s="401">
        <f t="shared" ref="U7112:U7114" si="23044">0.006165*F7112^2</f>
        <v>1.041885</v>
      </c>
      <c r="V7112" s="399"/>
      <c r="W7112" s="399"/>
      <c r="X7112" s="399" t="s">
        <v>125</v>
      </c>
      <c r="Y7112" s="389">
        <f t="shared" ref="Y7112" si="23045">D7111</f>
        <v>1</v>
      </c>
      <c r="Z7112" s="400" t="s">
        <v>176</v>
      </c>
      <c r="AA7112" s="402">
        <f t="shared" ref="AA7112" si="23046">IF(AA7115=0,(D7112*N7112+P7112*R7112)*U7112*Y7112,0)</f>
        <v>0</v>
      </c>
      <c r="AB7112" s="403"/>
    </row>
    <row r="7113" spans="1:28">
      <c r="A7113" s="384" t="str">
        <f t="shared" ref="A7113:B7113" si="23047">A7105</f>
        <v>Lantai Atap</v>
      </c>
      <c r="B7113" s="385">
        <f t="shared" si="23047"/>
        <v>29</v>
      </c>
      <c r="C7113" s="393" t="s">
        <v>206</v>
      </c>
      <c r="D7113" s="398">
        <f>VLOOKUP(D7105,'Detail Balok'!$C$10:$AU$140,7,FALSE)</f>
        <v>3</v>
      </c>
      <c r="E7113" s="388" t="s">
        <v>16</v>
      </c>
      <c r="F7113" s="388">
        <f>VLOOKUP(D7105,'Detail Balok'!$C$10:$AU$140,9,FALSE)</f>
        <v>13</v>
      </c>
      <c r="G7113" s="388"/>
      <c r="H7113" s="395"/>
      <c r="I7113" s="388" t="s">
        <v>203</v>
      </c>
      <c r="J7113" s="399">
        <f t="shared" ref="J7113" si="23048">+D7107/2/1000</f>
        <v>2.3174999999999999</v>
      </c>
      <c r="K7113" s="400" t="s">
        <v>204</v>
      </c>
      <c r="L7113" s="399"/>
      <c r="M7113" s="399" t="s">
        <v>176</v>
      </c>
      <c r="N7113" s="399">
        <f t="shared" si="23041"/>
        <v>2.3174999999999999</v>
      </c>
      <c r="O7113" s="399" t="s">
        <v>204</v>
      </c>
      <c r="P7113" s="389">
        <f t="shared" ref="P7113" si="23049">MAX(D7113-D7112,D7113-D7114)</f>
        <v>0</v>
      </c>
      <c r="Q7113" s="399" t="s">
        <v>125</v>
      </c>
      <c r="R7113" s="399">
        <f t="shared" ref="R7113" si="23050">IF(P7113&gt;0,2*(1-2*$F$19-1/2)*D7108/1000,0)</f>
        <v>0</v>
      </c>
      <c r="S7113" s="399" t="s">
        <v>205</v>
      </c>
      <c r="T7113" s="399" t="s">
        <v>125</v>
      </c>
      <c r="U7113" s="401">
        <f t="shared" si="23044"/>
        <v>1.041885</v>
      </c>
      <c r="V7113" s="399"/>
      <c r="W7113" s="399"/>
      <c r="X7113" s="399" t="s">
        <v>125</v>
      </c>
      <c r="Y7113" s="389">
        <f t="shared" ref="Y7113" si="23051">D7111</f>
        <v>1</v>
      </c>
      <c r="Z7113" s="400" t="s">
        <v>176</v>
      </c>
      <c r="AA7113" s="402">
        <f t="shared" ref="AA7113" si="23052">IF(AA7115=0,(D7113*N7113+P7113*R7113)*U7113*Y7113,0)</f>
        <v>0</v>
      </c>
      <c r="AB7113" s="403"/>
    </row>
    <row r="7114" spans="1:28">
      <c r="A7114" s="384" t="str">
        <f t="shared" ref="A7114:B7114" si="23053">A7105</f>
        <v>Lantai Atap</v>
      </c>
      <c r="B7114" s="385">
        <f t="shared" si="23053"/>
        <v>29</v>
      </c>
      <c r="C7114" s="393" t="s">
        <v>202</v>
      </c>
      <c r="D7114" s="398">
        <f>VLOOKUP(D7105,'Detail Balok'!$C$10:$AU$140,10,FALSE)</f>
        <v>3</v>
      </c>
      <c r="E7114" s="388" t="s">
        <v>16</v>
      </c>
      <c r="F7114" s="388">
        <f>VLOOKUP(D7105,'Detail Balok'!$C$10:$AU$140,12,FALSE)</f>
        <v>13</v>
      </c>
      <c r="G7114" s="388"/>
      <c r="H7114" s="395"/>
      <c r="I7114" s="388" t="s">
        <v>203</v>
      </c>
      <c r="J7114" s="399">
        <f t="shared" ref="J7114" si="23054">+D7107/4/1000</f>
        <v>1.1587499999999999</v>
      </c>
      <c r="K7114" s="400" t="s">
        <v>204</v>
      </c>
      <c r="L7114" s="399">
        <f t="shared" ref="L7114" si="23055">MAX(VLOOKUP(F7114,N$6:P$15,3,FALSE)/1000,2/3*D7109/1000)+F$16*F7114/1000</f>
        <v>0.156</v>
      </c>
      <c r="M7114" s="399" t="s">
        <v>176</v>
      </c>
      <c r="N7114" s="399">
        <f t="shared" si="23041"/>
        <v>1.3147499999999999</v>
      </c>
      <c r="O7114" s="399" t="s">
        <v>204</v>
      </c>
      <c r="P7114" s="389">
        <f t="shared" ref="P7114" si="23056">D7114-D7113</f>
        <v>0</v>
      </c>
      <c r="Q7114" s="399" t="s">
        <v>125</v>
      </c>
      <c r="R7114" s="399">
        <f t="shared" ref="R7114" si="23057">IF(P7114&gt;0,$F$18*F7114/1000,0)</f>
        <v>0</v>
      </c>
      <c r="S7114" s="399" t="s">
        <v>205</v>
      </c>
      <c r="T7114" s="399" t="s">
        <v>125</v>
      </c>
      <c r="U7114" s="401">
        <f t="shared" si="23044"/>
        <v>1.041885</v>
      </c>
      <c r="V7114" s="399"/>
      <c r="W7114" s="399"/>
      <c r="X7114" s="399" t="s">
        <v>125</v>
      </c>
      <c r="Y7114" s="389">
        <f t="shared" ref="Y7114" si="23058">D7111</f>
        <v>1</v>
      </c>
      <c r="Z7114" s="400" t="s">
        <v>176</v>
      </c>
      <c r="AA7114" s="402">
        <f t="shared" ref="AA7114" si="23059">IF(AA7115=0,(D7114*N7114+P7114*R7114)*U7114*Y7114,0)</f>
        <v>0</v>
      </c>
      <c r="AB7114" s="403"/>
    </row>
    <row r="7115" spans="1:28">
      <c r="A7115" s="384" t="str">
        <f t="shared" ref="A7115:B7115" si="23060">A7105</f>
        <v>Lantai Atap</v>
      </c>
      <c r="B7115" s="385">
        <f t="shared" si="23060"/>
        <v>29</v>
      </c>
      <c r="C7115" s="393"/>
      <c r="D7115" s="398">
        <f t="shared" ref="D7115:D7175" si="23061">IF(AND(D7112=D7113,D7113=D7114,D7112=D7114),D7112,0)</f>
        <v>3</v>
      </c>
      <c r="E7115" s="388" t="s">
        <v>16</v>
      </c>
      <c r="F7115" s="388">
        <f t="shared" ref="F7115:F7175" si="23062">IF(AND(F7112=F7113,F7112=F7114,F7113=F7114),F7112,0)</f>
        <v>13</v>
      </c>
      <c r="G7115" s="388"/>
      <c r="H7115" s="395"/>
      <c r="I7115" s="388"/>
      <c r="J7115" s="396"/>
      <c r="K7115" s="396"/>
      <c r="L7115" s="404" t="s">
        <v>207</v>
      </c>
      <c r="M7115" s="399" t="s">
        <v>176</v>
      </c>
      <c r="N7115" s="399">
        <f t="shared" ref="N7115" si="23063">IF(AND(D7112=D7113,D7112=D7114,D7113=D7114,F7112=F7113,F7112=F7114,F7113=F7114),SUM(N7112:N7114),0)</f>
        <v>4.9470000000000001</v>
      </c>
      <c r="O7115" s="399" t="s">
        <v>204</v>
      </c>
      <c r="P7115" s="389">
        <f t="shared" ref="P7115" si="23064">IF(N7115&gt;12,ROUNDDOWN(N7115/12,0),0)</f>
        <v>0</v>
      </c>
      <c r="Q7115" s="399" t="s">
        <v>125</v>
      </c>
      <c r="R7115" s="399">
        <f t="shared" ref="R7115" si="23065">IF(P7115&gt;0,MAX(VLOOKUP(F7115,$D$6:$G$15,3,FALSE),600),0)/1000</f>
        <v>0</v>
      </c>
      <c r="S7115" s="396"/>
      <c r="T7115" s="396" t="s">
        <v>125</v>
      </c>
      <c r="U7115" s="401">
        <f t="shared" ref="U7115:U7175" si="23066">U7114</f>
        <v>1.041885</v>
      </c>
      <c r="V7115" s="396" t="s">
        <v>125</v>
      </c>
      <c r="W7115" s="399">
        <f t="shared" ref="W7115" si="23067">D7115</f>
        <v>3</v>
      </c>
      <c r="X7115" s="399" t="s">
        <v>125</v>
      </c>
      <c r="Y7115" s="389">
        <f t="shared" ref="Y7115:Y7175" si="23068">Y7114</f>
        <v>1</v>
      </c>
      <c r="Z7115" s="400" t="s">
        <v>176</v>
      </c>
      <c r="AA7115" s="402">
        <f t="shared" ref="AA7115" si="23069">(N7115+P7115*R7115/1000)*U7115*W7115*Y7115</f>
        <v>15.462615285</v>
      </c>
      <c r="AB7115" s="390"/>
    </row>
    <row r="7116" spans="1:28">
      <c r="A7116" s="384"/>
      <c r="B7116" s="385"/>
      <c r="C7116" s="393"/>
      <c r="D7116" s="398"/>
      <c r="E7116" s="388"/>
      <c r="F7116" s="388"/>
      <c r="G7116" s="388"/>
      <c r="H7116" s="395"/>
      <c r="I7116" s="388"/>
      <c r="J7116" s="396"/>
      <c r="K7116" s="396"/>
      <c r="L7116" s="404"/>
      <c r="M7116" s="399"/>
      <c r="N7116" s="399"/>
      <c r="O7116" s="396"/>
      <c r="P7116" s="389"/>
      <c r="Q7116" s="396"/>
      <c r="R7116" s="396"/>
      <c r="S7116" s="396"/>
      <c r="T7116" s="396"/>
      <c r="U7116" s="401"/>
      <c r="V7116" s="396"/>
      <c r="W7116" s="399"/>
      <c r="X7116" s="396"/>
      <c r="Y7116" s="389"/>
      <c r="Z7116" s="396"/>
      <c r="AA7116" s="388"/>
      <c r="AB7116" s="390"/>
    </row>
    <row r="7117" spans="1:28">
      <c r="A7117" s="384" t="str">
        <f t="shared" ref="A7117:B7117" si="23070">A7105</f>
        <v>Lantai Atap</v>
      </c>
      <c r="B7117" s="385">
        <f t="shared" si="23070"/>
        <v>29</v>
      </c>
      <c r="C7117" s="393" t="s">
        <v>208</v>
      </c>
      <c r="D7117" s="398">
        <f>VLOOKUP(D7105,'Detail Balok'!$C$10:$AU$140,13,FALSE)</f>
        <v>0</v>
      </c>
      <c r="E7117" s="388" t="s">
        <v>16</v>
      </c>
      <c r="F7117" s="388">
        <f>VLOOKUP(D7105,'Detail Balok'!$C$10:$AU$140,15,FALSE)</f>
        <v>8</v>
      </c>
      <c r="G7117" s="388"/>
      <c r="H7117" s="395"/>
      <c r="I7117" s="388"/>
      <c r="J7117" s="399">
        <f t="shared" ref="J7117" si="23071">+D7107/1000</f>
        <v>4.6349999999999998</v>
      </c>
      <c r="K7117" s="400" t="s">
        <v>204</v>
      </c>
      <c r="L7117" s="399">
        <f t="shared" ref="L7117" si="23072">2*$F$16*F7117/1000</f>
        <v>0.192</v>
      </c>
      <c r="M7117" s="399" t="s">
        <v>176</v>
      </c>
      <c r="N7117" s="399">
        <f t="shared" ref="N7117" si="23073">J7117+L7117</f>
        <v>4.827</v>
      </c>
      <c r="O7117" s="399" t="s">
        <v>204</v>
      </c>
      <c r="P7117" s="389">
        <f t="shared" ref="P7117" si="23074">IF(N7117&gt;12,ROUNDDOWN(N7117/12,0),0)</f>
        <v>0</v>
      </c>
      <c r="Q7117" s="399" t="s">
        <v>125</v>
      </c>
      <c r="R7117" s="399">
        <f t="shared" ref="R7117" si="23075">IF(P7117&gt;0,MAX(VLOOKUP(F7117,$D$6:$G$15,3,FALSE),600),0)/1000</f>
        <v>0</v>
      </c>
      <c r="S7117" s="399"/>
      <c r="T7117" s="399" t="s">
        <v>125</v>
      </c>
      <c r="U7117" s="401">
        <f t="shared" ref="U7117" si="23076">0.006165*F7117^2</f>
        <v>0.39456000000000002</v>
      </c>
      <c r="V7117" s="399" t="s">
        <v>125</v>
      </c>
      <c r="W7117" s="399">
        <f t="shared" ref="W7117" si="23077">+D7117</f>
        <v>0</v>
      </c>
      <c r="X7117" s="399" t="s">
        <v>125</v>
      </c>
      <c r="Y7117" s="389">
        <f t="shared" ref="Y7117" si="23078">D7111</f>
        <v>1</v>
      </c>
      <c r="Z7117" s="400" t="s">
        <v>176</v>
      </c>
      <c r="AA7117" s="402">
        <f t="shared" ref="AA7117" si="23079">(N7117+P7117*R7117/1000)*U7117*W7117*Y7117</f>
        <v>0</v>
      </c>
      <c r="AB7117" s="403"/>
    </row>
    <row r="7118" spans="1:28">
      <c r="A7118" s="384"/>
      <c r="B7118" s="385"/>
      <c r="C7118" s="393"/>
      <c r="D7118" s="398"/>
      <c r="E7118" s="388"/>
      <c r="F7118" s="388"/>
      <c r="G7118" s="388"/>
      <c r="H7118" s="395"/>
      <c r="I7118" s="388"/>
      <c r="J7118" s="399"/>
      <c r="K7118" s="400"/>
      <c r="L7118" s="399"/>
      <c r="M7118" s="399"/>
      <c r="N7118" s="399"/>
      <c r="O7118" s="399"/>
      <c r="P7118" s="389"/>
      <c r="Q7118" s="399"/>
      <c r="R7118" s="399"/>
      <c r="S7118" s="399"/>
      <c r="T7118" s="399"/>
      <c r="U7118" s="401"/>
      <c r="V7118" s="399"/>
      <c r="W7118" s="399"/>
      <c r="X7118" s="399"/>
      <c r="Y7118" s="389"/>
      <c r="Z7118" s="400"/>
      <c r="AA7118" s="402"/>
      <c r="AB7118" s="403"/>
    </row>
    <row r="7119" spans="1:28">
      <c r="A7119" s="384"/>
      <c r="B7119" s="385"/>
      <c r="C7119" s="393"/>
      <c r="D7119" s="398"/>
      <c r="E7119" s="388"/>
      <c r="F7119" s="388"/>
      <c r="G7119" s="388"/>
      <c r="H7119" s="395"/>
      <c r="I7119" s="388"/>
      <c r="J7119" s="396"/>
      <c r="K7119" s="396"/>
      <c r="L7119" s="396"/>
      <c r="M7119" s="396"/>
      <c r="N7119" s="396"/>
      <c r="O7119" s="396"/>
      <c r="P7119" s="389"/>
      <c r="Q7119" s="396"/>
      <c r="R7119" s="396"/>
      <c r="S7119" s="396"/>
      <c r="T7119" s="396"/>
      <c r="U7119" s="401"/>
      <c r="V7119" s="396"/>
      <c r="W7119" s="399"/>
      <c r="X7119" s="396"/>
      <c r="Y7119" s="389"/>
      <c r="Z7119" s="396"/>
      <c r="AA7119" s="388"/>
      <c r="AB7119" s="390"/>
    </row>
    <row r="7120" spans="1:28">
      <c r="A7120" s="384" t="str">
        <f t="shared" ref="A7120:B7120" si="23080">A7105</f>
        <v>Lantai Atap</v>
      </c>
      <c r="B7120" s="385">
        <f t="shared" si="23080"/>
        <v>29</v>
      </c>
      <c r="C7120" s="393" t="s">
        <v>209</v>
      </c>
      <c r="D7120" s="398">
        <f>VLOOKUP(D7105,'Detail Balok'!$C$10:$AU$140,22,FALSE)</f>
        <v>3</v>
      </c>
      <c r="E7120" s="388" t="s">
        <v>16</v>
      </c>
      <c r="F7120" s="388">
        <f>VLOOKUP(D7105,'Detail Balok'!$C$10:$AU$140,24,FALSE)</f>
        <v>13</v>
      </c>
      <c r="G7120" s="388"/>
      <c r="H7120" s="395"/>
      <c r="I7120" s="388" t="s">
        <v>203</v>
      </c>
      <c r="J7120" s="399">
        <f t="shared" ref="J7120:J7182" si="23081">+J7112</f>
        <v>1.1587499999999999</v>
      </c>
      <c r="K7120" s="400" t="s">
        <v>204</v>
      </c>
      <c r="L7120" s="399">
        <f t="shared" ref="L7120" si="23082">MAX(VLOOKUP(F7120,N$6:P$15,3,FALSE)/1000,2/3*D7110/1000)+F$16*F7120/1000</f>
        <v>0.156</v>
      </c>
      <c r="M7120" s="399" t="s">
        <v>176</v>
      </c>
      <c r="N7120" s="399">
        <f t="shared" ref="N7120:N7122" si="23083">J7120+L7120</f>
        <v>1.3147499999999999</v>
      </c>
      <c r="O7120" s="399" t="s">
        <v>204</v>
      </c>
      <c r="P7120" s="389">
        <f t="shared" ref="P7120" si="23084">D7120-D7121</f>
        <v>0</v>
      </c>
      <c r="Q7120" s="399" t="s">
        <v>125</v>
      </c>
      <c r="R7120" s="399">
        <f t="shared" ref="R7120" si="23085">IF(P7120&gt;0,$F$18*F7120/1000,0)</f>
        <v>0</v>
      </c>
      <c r="S7120" s="399" t="s">
        <v>205</v>
      </c>
      <c r="T7120" s="399" t="s">
        <v>125</v>
      </c>
      <c r="U7120" s="401">
        <f t="shared" ref="U7120:U7122" si="23086">0.006165*F7120^2</f>
        <v>1.041885</v>
      </c>
      <c r="V7120" s="399"/>
      <c r="W7120" s="399"/>
      <c r="X7120" s="399" t="s">
        <v>125</v>
      </c>
      <c r="Y7120" s="389">
        <f t="shared" ref="Y7120" si="23087">D7111</f>
        <v>1</v>
      </c>
      <c r="Z7120" s="400" t="s">
        <v>176</v>
      </c>
      <c r="AA7120" s="402">
        <f t="shared" ref="AA7120" si="23088">IF(AA7123=0,(D7120*N7120+P7120*R7120)*U7120*Y7120,0)</f>
        <v>0</v>
      </c>
      <c r="AB7120" s="403"/>
    </row>
    <row r="7121" spans="1:28">
      <c r="A7121" s="384" t="str">
        <f t="shared" ref="A7121:B7121" si="23089">A7105</f>
        <v>Lantai Atap</v>
      </c>
      <c r="B7121" s="385">
        <f t="shared" si="23089"/>
        <v>29</v>
      </c>
      <c r="C7121" s="393" t="s">
        <v>210</v>
      </c>
      <c r="D7121" s="398">
        <f>VLOOKUP(D7105,'Detail Balok'!$C$10:$AU$140,25,FALSE)</f>
        <v>3</v>
      </c>
      <c r="E7121" s="388" t="s">
        <v>16</v>
      </c>
      <c r="F7121" s="388">
        <f>VLOOKUP(D7105,'Detail Balok'!$C$10:$AU$140,27,FALSE)</f>
        <v>13</v>
      </c>
      <c r="G7121" s="388"/>
      <c r="H7121" s="395"/>
      <c r="I7121" s="388" t="s">
        <v>203</v>
      </c>
      <c r="J7121" s="399">
        <f t="shared" si="23081"/>
        <v>2.3174999999999999</v>
      </c>
      <c r="K7121" s="400" t="s">
        <v>204</v>
      </c>
      <c r="L7121" s="399"/>
      <c r="M7121" s="399" t="s">
        <v>176</v>
      </c>
      <c r="N7121" s="399">
        <f t="shared" si="23083"/>
        <v>2.3174999999999999</v>
      </c>
      <c r="O7121" s="399" t="s">
        <v>204</v>
      </c>
      <c r="P7121" s="389">
        <f t="shared" ref="P7121" si="23090">MAX(D7121-D7120,D7121-D7122)</f>
        <v>0</v>
      </c>
      <c r="Q7121" s="399" t="s">
        <v>125</v>
      </c>
      <c r="R7121" s="399">
        <f t="shared" ref="R7121" si="23091">IF(P7121&gt;0,2*(1-2*$F$19-1/2)*D7108/1000,0)</f>
        <v>0</v>
      </c>
      <c r="S7121" s="399" t="s">
        <v>205</v>
      </c>
      <c r="T7121" s="399" t="s">
        <v>125</v>
      </c>
      <c r="U7121" s="401">
        <f t="shared" si="23086"/>
        <v>1.041885</v>
      </c>
      <c r="V7121" s="399"/>
      <c r="W7121" s="399"/>
      <c r="X7121" s="399" t="s">
        <v>125</v>
      </c>
      <c r="Y7121" s="389">
        <f t="shared" ref="Y7121" si="23092">D7111</f>
        <v>1</v>
      </c>
      <c r="Z7121" s="400" t="s">
        <v>176</v>
      </c>
      <c r="AA7121" s="402">
        <f t="shared" ref="AA7121" si="23093">IF(AA7123=0,(D7121*N7121+P7121*R7121)*U7121*Y7121,0)</f>
        <v>0</v>
      </c>
      <c r="AB7121" s="403"/>
    </row>
    <row r="7122" spans="1:28">
      <c r="A7122" s="384" t="str">
        <f t="shared" ref="A7122:B7122" si="23094">A7105</f>
        <v>Lantai Atap</v>
      </c>
      <c r="B7122" s="385">
        <f t="shared" si="23094"/>
        <v>29</v>
      </c>
      <c r="C7122" s="393" t="s">
        <v>209</v>
      </c>
      <c r="D7122" s="398">
        <f>VLOOKUP(D7105,'Detail Balok'!$C$10:$AU$140,28,FALSE)</f>
        <v>3</v>
      </c>
      <c r="E7122" s="388" t="s">
        <v>16</v>
      </c>
      <c r="F7122" s="388">
        <f>VLOOKUP(D7105,'Detail Balok'!$C$10:$AU$140,30,FALSE)</f>
        <v>13</v>
      </c>
      <c r="G7122" s="388"/>
      <c r="H7122" s="395"/>
      <c r="I7122" s="388" t="s">
        <v>203</v>
      </c>
      <c r="J7122" s="399">
        <f t="shared" si="23081"/>
        <v>1.1587499999999999</v>
      </c>
      <c r="K7122" s="400" t="s">
        <v>204</v>
      </c>
      <c r="L7122" s="399">
        <f t="shared" ref="L7122" si="23095">MAX(VLOOKUP(F7122,N$6:P$15,3,FALSE)/1000,2/3*D7110/1000)+F$16*F7122/1000</f>
        <v>0.156</v>
      </c>
      <c r="M7122" s="399" t="s">
        <v>176</v>
      </c>
      <c r="N7122" s="399">
        <f t="shared" si="23083"/>
        <v>1.3147499999999999</v>
      </c>
      <c r="O7122" s="399" t="s">
        <v>204</v>
      </c>
      <c r="P7122" s="389">
        <f t="shared" ref="P7122" si="23096">D7122-D7121</f>
        <v>0</v>
      </c>
      <c r="Q7122" s="399" t="s">
        <v>125</v>
      </c>
      <c r="R7122" s="399">
        <f t="shared" ref="R7122" si="23097">IF(P7122&gt;0,$F$18*F7122/1000,0)</f>
        <v>0</v>
      </c>
      <c r="S7122" s="399" t="s">
        <v>205</v>
      </c>
      <c r="T7122" s="399" t="s">
        <v>125</v>
      </c>
      <c r="U7122" s="401">
        <f t="shared" si="23086"/>
        <v>1.041885</v>
      </c>
      <c r="V7122" s="399"/>
      <c r="W7122" s="399"/>
      <c r="X7122" s="399" t="s">
        <v>125</v>
      </c>
      <c r="Y7122" s="389">
        <f t="shared" ref="Y7122" si="23098">D7111</f>
        <v>1</v>
      </c>
      <c r="Z7122" s="400" t="s">
        <v>176</v>
      </c>
      <c r="AA7122" s="402">
        <f t="shared" ref="AA7122" si="23099">IF(AA7123=0,(D7122*N7122+P7122*R7122)*U7122*Y7122,0)</f>
        <v>0</v>
      </c>
      <c r="AB7122" s="403"/>
    </row>
    <row r="7123" spans="1:28">
      <c r="A7123" s="384" t="str">
        <f t="shared" ref="A7123:B7123" si="23100">A7105</f>
        <v>Lantai Atap</v>
      </c>
      <c r="B7123" s="385">
        <f t="shared" si="23100"/>
        <v>29</v>
      </c>
      <c r="C7123" s="393"/>
      <c r="D7123" s="398">
        <f t="shared" ref="D7123:D7183" si="23101">IF(AND(D7120=D7121,D7121=D7122,D7120=D7122),D7120,0)</f>
        <v>3</v>
      </c>
      <c r="E7123" s="388" t="s">
        <v>16</v>
      </c>
      <c r="F7123" s="388">
        <f t="shared" ref="F7123:F7183" si="23102">IF(AND(F7120=F7121,F7120=F7122,F7121=F7122),F7120,0)</f>
        <v>13</v>
      </c>
      <c r="G7123" s="388"/>
      <c r="H7123" s="395"/>
      <c r="I7123" s="388"/>
      <c r="J7123" s="396"/>
      <c r="K7123" s="396"/>
      <c r="L7123" s="404" t="s">
        <v>207</v>
      </c>
      <c r="M7123" s="399" t="s">
        <v>176</v>
      </c>
      <c r="N7123" s="399">
        <f t="shared" ref="N7123" si="23103">IF(AND(D7120=D7121,D7120=D7122,D7121=D7122,F7120=F7121,F7120=F7122,F7121=F7122),SUM(N7120:N7122),0)</f>
        <v>4.9470000000000001</v>
      </c>
      <c r="O7123" s="399" t="s">
        <v>204</v>
      </c>
      <c r="P7123" s="389">
        <f t="shared" ref="P7123" si="23104">IF(N7123&gt;12,ROUNDDOWN(N7123/12,0),0)</f>
        <v>0</v>
      </c>
      <c r="Q7123" s="399" t="s">
        <v>125</v>
      </c>
      <c r="R7123" s="399">
        <f t="shared" ref="R7123" si="23105">IF(P7123&gt;0,MAX(VLOOKUP(F7123,$D$6:$G$15,3,FALSE),600),0)/1000</f>
        <v>0</v>
      </c>
      <c r="S7123" s="396"/>
      <c r="T7123" s="396" t="s">
        <v>125</v>
      </c>
      <c r="U7123" s="401">
        <f t="shared" ref="U7123:U7183" si="23106">U7122</f>
        <v>1.041885</v>
      </c>
      <c r="V7123" s="396" t="s">
        <v>125</v>
      </c>
      <c r="W7123" s="399">
        <f t="shared" ref="W7123" si="23107">D7123</f>
        <v>3</v>
      </c>
      <c r="X7123" s="399" t="s">
        <v>125</v>
      </c>
      <c r="Y7123" s="389">
        <f t="shared" ref="Y7123:Y7183" si="23108">Y7122</f>
        <v>1</v>
      </c>
      <c r="Z7123" s="400" t="s">
        <v>176</v>
      </c>
      <c r="AA7123" s="402">
        <f t="shared" ref="AA7123" si="23109">(N7123+P7123*R7123/1000)*U7123*W7123*Y7123</f>
        <v>15.462615285</v>
      </c>
      <c r="AB7123" s="403"/>
    </row>
    <row r="7124" spans="1:28">
      <c r="A7124" s="384"/>
      <c r="B7124" s="385"/>
      <c r="C7124" s="393"/>
      <c r="D7124" s="394"/>
      <c r="E7124" s="388"/>
      <c r="F7124" s="388"/>
      <c r="G7124" s="388"/>
      <c r="H7124" s="395"/>
      <c r="I7124" s="388"/>
      <c r="J7124" s="399"/>
      <c r="K7124" s="396"/>
      <c r="L7124" s="396"/>
      <c r="M7124" s="396"/>
      <c r="N7124" s="396"/>
      <c r="O7124" s="396"/>
      <c r="P7124" s="389"/>
      <c r="Q7124" s="396"/>
      <c r="R7124" s="396"/>
      <c r="S7124" s="396"/>
      <c r="T7124" s="396"/>
      <c r="U7124" s="401"/>
      <c r="V7124" s="396"/>
      <c r="W7124" s="388"/>
      <c r="X7124" s="396"/>
      <c r="Y7124" s="389"/>
      <c r="Z7124" s="396"/>
      <c r="AA7124" s="388"/>
      <c r="AB7124" s="390"/>
    </row>
    <row r="7125" spans="1:28">
      <c r="A7125" s="384" t="str">
        <f t="shared" ref="A7125:B7125" si="23110">A7105</f>
        <v>Lantai Atap</v>
      </c>
      <c r="B7125" s="385">
        <f t="shared" si="23110"/>
        <v>29</v>
      </c>
      <c r="C7125" s="393" t="s">
        <v>211</v>
      </c>
      <c r="D7125" s="398">
        <f>VLOOKUP(D7105,'Detail Balok'!$C$10:$AU$140,31,FALSE)</f>
        <v>0</v>
      </c>
      <c r="E7125" s="388" t="s">
        <v>16</v>
      </c>
      <c r="F7125" s="388">
        <f>VLOOKUP(D7105,'Detail Balok'!$C$10:$AU$140,33,FALSE)</f>
        <v>10</v>
      </c>
      <c r="G7125" s="405" t="s">
        <v>157</v>
      </c>
      <c r="H7125" s="395">
        <f>VLOOKUP(D7105,'Detail Balok'!$C$10:$AU$140,35,FALSE)</f>
        <v>100</v>
      </c>
      <c r="I7125" s="388"/>
      <c r="J7125" s="400">
        <f t="shared" ref="J7125" si="23111">(IF(D7125=0,(2*(D7106+G7106))-(F$5*8),IF(D7125=3,(2*(D7106+G7106))-(F$5*8)+(G7106-2*F$5),IF(D7125=4,(2*(D7106+G7106))-(F$5*8)+2*(G7106-2*F$5)))))/1000</f>
        <v>0.88</v>
      </c>
      <c r="K7125" s="400" t="s">
        <v>204</v>
      </c>
      <c r="L7125" s="399">
        <f t="shared" ref="L7125:L7127" si="23112">IF(D7125=0,2*MAX(6*F7125,75),(D7125-1)*2*MAX(6*F7125,75))/1000</f>
        <v>0.15</v>
      </c>
      <c r="M7125" s="399" t="s">
        <v>176</v>
      </c>
      <c r="N7125" s="399">
        <f t="shared" ref="N7125:N7127" si="23113">J7125+L7125</f>
        <v>1.03</v>
      </c>
      <c r="O7125" s="399"/>
      <c r="P7125" s="389"/>
      <c r="Q7125" s="399"/>
      <c r="R7125" s="399"/>
      <c r="S7125" s="399"/>
      <c r="T7125" s="399" t="s">
        <v>125</v>
      </c>
      <c r="U7125" s="401">
        <f t="shared" ref="U7125:U7127" si="23114">0.006165*F7125^2</f>
        <v>0.61650000000000005</v>
      </c>
      <c r="V7125" s="399" t="s">
        <v>125</v>
      </c>
      <c r="W7125" s="399">
        <f t="shared" ref="W7125" si="23115">IF(D7108&gt;4*G7106,ROUND(MAX(D7108/4,2*G7106)/H7125,0)+1,ROUND(D7108/H7125,0)+1)</f>
        <v>13</v>
      </c>
      <c r="X7125" s="399" t="s">
        <v>125</v>
      </c>
      <c r="Y7125" s="389">
        <f t="shared" ref="Y7125" si="23116">D7111</f>
        <v>1</v>
      </c>
      <c r="Z7125" s="400" t="s">
        <v>176</v>
      </c>
      <c r="AA7125" s="402">
        <f t="shared" ref="AA7125:AA7127" si="23117">N7125*U7125*W7125*Y7125</f>
        <v>8.2549350000000015</v>
      </c>
      <c r="AB7125" s="403"/>
    </row>
    <row r="7126" spans="1:28">
      <c r="A7126" s="384" t="str">
        <f t="shared" ref="A7126:B7126" si="23118">A7105</f>
        <v>Lantai Atap</v>
      </c>
      <c r="B7126" s="385">
        <f t="shared" si="23118"/>
        <v>29</v>
      </c>
      <c r="C7126" s="393" t="s">
        <v>212</v>
      </c>
      <c r="D7126" s="398">
        <f>VLOOKUP(D7105,'Detail Balok'!$C$10:$AU$140,36,FALSE)</f>
        <v>0</v>
      </c>
      <c r="E7126" s="388" t="s">
        <v>16</v>
      </c>
      <c r="F7126" s="388">
        <f>VLOOKUP(D7105,'Detail Balok'!$C$10:$AU$140,38,FALSE)</f>
        <v>10</v>
      </c>
      <c r="G7126" s="405" t="s">
        <v>157</v>
      </c>
      <c r="H7126" s="395">
        <f>VLOOKUP(D7105,'Detail Balok'!$C$10:$AU$140,40,FALSE)</f>
        <v>200</v>
      </c>
      <c r="I7126" s="388"/>
      <c r="J7126" s="400">
        <f t="shared" ref="J7126" si="23119">(IF(D7126=0,(2*(D7106+G7106))-(F$5*8),IF(D7126=3,(2*(D7106+G7106))-(F$5*8)+(G7106-2*F$5),IF(D7126=4,(2*(D7106+G7106))-(F$5*8)+2*(G7106-2*F$5)))))/1000</f>
        <v>0.88</v>
      </c>
      <c r="K7126" s="400" t="s">
        <v>204</v>
      </c>
      <c r="L7126" s="399">
        <f t="shared" si="23112"/>
        <v>0.15</v>
      </c>
      <c r="M7126" s="399" t="s">
        <v>176</v>
      </c>
      <c r="N7126" s="399">
        <f t="shared" si="23113"/>
        <v>1.03</v>
      </c>
      <c r="O7126" s="399"/>
      <c r="P7126" s="389"/>
      <c r="Q7126" s="399"/>
      <c r="R7126" s="399"/>
      <c r="S7126" s="399"/>
      <c r="T7126" s="399" t="s">
        <v>125</v>
      </c>
      <c r="U7126" s="401">
        <f t="shared" si="23114"/>
        <v>0.61650000000000005</v>
      </c>
      <c r="V7126" s="399" t="s">
        <v>125</v>
      </c>
      <c r="W7126" s="399">
        <f t="shared" ref="W7126" si="23120">IF(D7108-MAX(D7108/4,2*G7106)*2&gt;0,ROUND((D7108-MAX(D7108/4,2*G7106)*2)/H7126,0),0)</f>
        <v>12</v>
      </c>
      <c r="X7126" s="399" t="s">
        <v>125</v>
      </c>
      <c r="Y7126" s="389">
        <f t="shared" ref="Y7126" si="23121">D7111</f>
        <v>1</v>
      </c>
      <c r="Z7126" s="400" t="s">
        <v>176</v>
      </c>
      <c r="AA7126" s="402">
        <f t="shared" si="23117"/>
        <v>7.6199400000000015</v>
      </c>
      <c r="AB7126" s="403"/>
    </row>
    <row r="7127" spans="1:28">
      <c r="A7127" s="384" t="str">
        <f t="shared" ref="A7127:B7127" si="23122">A7105</f>
        <v>Lantai Atap</v>
      </c>
      <c r="B7127" s="385">
        <f t="shared" si="23122"/>
        <v>29</v>
      </c>
      <c r="C7127" s="393" t="s">
        <v>211</v>
      </c>
      <c r="D7127" s="398">
        <f>VLOOKUP(D7105,'Detail Balok'!$C$10:$AU$140,41,FALSE)</f>
        <v>0</v>
      </c>
      <c r="E7127" s="388" t="s">
        <v>16</v>
      </c>
      <c r="F7127" s="388">
        <f>VLOOKUP(D7105,'Detail Balok'!$C$10:$AU$140,43,FALSE)</f>
        <v>10</v>
      </c>
      <c r="G7127" s="405" t="s">
        <v>157</v>
      </c>
      <c r="H7127" s="395">
        <f>VLOOKUP(D7105,'Detail Balok'!$C$10:$AU$140,45,FALSE)</f>
        <v>100</v>
      </c>
      <c r="I7127" s="388"/>
      <c r="J7127" s="400">
        <f t="shared" ref="J7127" si="23123">(IF(D7127=0,(2*(D7106+G7106))-(F$5*8),IF(D7127=3,(2*(D7106+G7106))-(F$5*8)+(G7106-2*F$5),IF(D7127=4,(2*(D7106+G7106))-(F$5*8)+2*(G7106-2*F$5)))))/1000</f>
        <v>0.88</v>
      </c>
      <c r="K7127" s="400" t="s">
        <v>204</v>
      </c>
      <c r="L7127" s="399">
        <f t="shared" si="23112"/>
        <v>0.15</v>
      </c>
      <c r="M7127" s="399" t="s">
        <v>176</v>
      </c>
      <c r="N7127" s="399">
        <f t="shared" si="23113"/>
        <v>1.03</v>
      </c>
      <c r="O7127" s="399"/>
      <c r="P7127" s="389"/>
      <c r="Q7127" s="399"/>
      <c r="R7127" s="399"/>
      <c r="S7127" s="399"/>
      <c r="T7127" s="399" t="s">
        <v>125</v>
      </c>
      <c r="U7127" s="401">
        <f t="shared" si="23114"/>
        <v>0.61650000000000005</v>
      </c>
      <c r="V7127" s="399" t="s">
        <v>125</v>
      </c>
      <c r="W7127" s="399">
        <f t="shared" ref="W7127" si="23124">IF(D7108&gt;4*G7106,ROUND(MAX(D7108/4,2*G7106)/H7127,0)+1,0)</f>
        <v>13</v>
      </c>
      <c r="X7127" s="399" t="s">
        <v>125</v>
      </c>
      <c r="Y7127" s="389">
        <f t="shared" ref="Y7127" si="23125">D7111</f>
        <v>1</v>
      </c>
      <c r="Z7127" s="400" t="s">
        <v>176</v>
      </c>
      <c r="AA7127" s="402">
        <f t="shared" si="23117"/>
        <v>8.2549350000000015</v>
      </c>
      <c r="AB7127" s="403"/>
    </row>
    <row r="7128" spans="1:28">
      <c r="A7128" s="384"/>
      <c r="B7128" s="385"/>
      <c r="C7128" s="393"/>
      <c r="D7128" s="394"/>
      <c r="E7128" s="388"/>
      <c r="F7128" s="388"/>
      <c r="G7128" s="388"/>
      <c r="H7128" s="395"/>
      <c r="I7128" s="388"/>
      <c r="J7128" s="399"/>
      <c r="K7128" s="396"/>
      <c r="L7128" s="396"/>
      <c r="M7128" s="396"/>
      <c r="N7128" s="396"/>
      <c r="O7128" s="396"/>
      <c r="P7128" s="389"/>
      <c r="Q7128" s="396"/>
      <c r="R7128" s="396"/>
      <c r="S7128" s="396"/>
      <c r="T7128" s="396"/>
      <c r="U7128" s="401"/>
      <c r="V7128" s="396"/>
      <c r="W7128" s="388"/>
      <c r="X7128" s="396"/>
      <c r="Y7128" s="389"/>
      <c r="Z7128" s="396"/>
      <c r="AA7128" s="388"/>
      <c r="AB7128" s="390"/>
    </row>
    <row r="7129" spans="1:28">
      <c r="A7129" s="384" t="str">
        <f t="shared" ref="A7129:B7129" si="23126">A7105</f>
        <v>Lantai Atap</v>
      </c>
      <c r="B7129" s="385">
        <f t="shared" si="23126"/>
        <v>29</v>
      </c>
      <c r="C7129" s="393" t="s">
        <v>213</v>
      </c>
      <c r="D7129" s="398">
        <f>VLOOKUP(D7105,'Detail Balok'!$C$10:$BJ$140,46,FALSE)</f>
        <v>0</v>
      </c>
      <c r="E7129" s="388" t="s">
        <v>16</v>
      </c>
      <c r="F7129" s="388">
        <f>VLOOKUP(D7105,'Detail Balok'!$C$10:$BJ$140,48,FALSE)</f>
        <v>0</v>
      </c>
      <c r="G7129" s="405" t="s">
        <v>157</v>
      </c>
      <c r="H7129" s="395">
        <f>VLOOKUP(D7105,'Detail Balok'!$C$10:$BJ$140,50,FALSE)</f>
        <v>100</v>
      </c>
      <c r="I7129" s="388"/>
      <c r="J7129" s="399">
        <f t="shared" ref="J7129" si="23127">(D7106-2*F$5)/1000</f>
        <v>0.12</v>
      </c>
      <c r="K7129" s="400" t="s">
        <v>204</v>
      </c>
      <c r="L7129" s="399">
        <f t="shared" ref="L7129:L7131" si="23128">IF(D7129=0,2*MAX(6*F7129,75),(D7129-1)*2*MAX(6*F7129,75))/1000</f>
        <v>0.15</v>
      </c>
      <c r="M7129" s="399" t="s">
        <v>176</v>
      </c>
      <c r="N7129" s="399">
        <f t="shared" ref="N7129:N7131" si="23129">J7129+L7129</f>
        <v>0.27</v>
      </c>
      <c r="O7129" s="399"/>
      <c r="P7129" s="399"/>
      <c r="Q7129" s="399"/>
      <c r="R7129" s="399"/>
      <c r="S7129" s="399"/>
      <c r="T7129" s="399" t="s">
        <v>125</v>
      </c>
      <c r="U7129" s="401">
        <f t="shared" ref="U7129:U7131" si="23130">0.006165*F7129^2</f>
        <v>0</v>
      </c>
      <c r="V7129" s="399" t="s">
        <v>125</v>
      </c>
      <c r="W7129" s="399">
        <f t="shared" ref="W7129:W7191" si="23131">W7125</f>
        <v>13</v>
      </c>
      <c r="X7129" s="399" t="s">
        <v>125</v>
      </c>
      <c r="Y7129" s="389">
        <f t="shared" ref="Y7129" si="23132">D7115</f>
        <v>3</v>
      </c>
      <c r="Z7129" s="400" t="s">
        <v>176</v>
      </c>
      <c r="AA7129" s="402">
        <f t="shared" ref="AA7129:AA7131" si="23133">N7129*U7129*W7129*Y7129</f>
        <v>0</v>
      </c>
      <c r="AB7129" s="403"/>
    </row>
    <row r="7130" spans="1:28">
      <c r="A7130" s="384" t="str">
        <f t="shared" ref="A7130:B7130" si="23134">A7105</f>
        <v>Lantai Atap</v>
      </c>
      <c r="B7130" s="385">
        <f t="shared" si="23134"/>
        <v>29</v>
      </c>
      <c r="C7130" s="393" t="s">
        <v>214</v>
      </c>
      <c r="D7130" s="398">
        <f>VLOOKUP(D7105,'Detail Balok'!$C$10:$BJ$140,51,FALSE)</f>
        <v>0</v>
      </c>
      <c r="E7130" s="388" t="s">
        <v>16</v>
      </c>
      <c r="F7130" s="388">
        <f>VLOOKUP(D7105,'Detail Balok'!$C$10:$BJ$140,53,FALSE)</f>
        <v>0</v>
      </c>
      <c r="G7130" s="405" t="s">
        <v>157</v>
      </c>
      <c r="H7130" s="395">
        <f>VLOOKUP(D7105,'Detail Balok'!$C$10:$BJ$140,55,FALSE)</f>
        <v>100</v>
      </c>
      <c r="I7130" s="388"/>
      <c r="J7130" s="399">
        <f t="shared" ref="J7130" si="23135">(D7106-2*F$5)/1000</f>
        <v>0.12</v>
      </c>
      <c r="K7130" s="400" t="s">
        <v>204</v>
      </c>
      <c r="L7130" s="399">
        <f t="shared" si="23128"/>
        <v>0.15</v>
      </c>
      <c r="M7130" s="399" t="s">
        <v>176</v>
      </c>
      <c r="N7130" s="399">
        <f t="shared" si="23129"/>
        <v>0.27</v>
      </c>
      <c r="O7130" s="399"/>
      <c r="P7130" s="399"/>
      <c r="Q7130" s="399"/>
      <c r="R7130" s="399"/>
      <c r="S7130" s="399"/>
      <c r="T7130" s="399" t="s">
        <v>125</v>
      </c>
      <c r="U7130" s="401">
        <f t="shared" si="23130"/>
        <v>0</v>
      </c>
      <c r="V7130" s="399" t="s">
        <v>125</v>
      </c>
      <c r="W7130" s="399">
        <f t="shared" si="23131"/>
        <v>12</v>
      </c>
      <c r="X7130" s="399" t="s">
        <v>125</v>
      </c>
      <c r="Y7130" s="389">
        <f t="shared" ref="Y7130" si="23136">D7115</f>
        <v>3</v>
      </c>
      <c r="Z7130" s="400" t="s">
        <v>176</v>
      </c>
      <c r="AA7130" s="402">
        <f t="shared" si="23133"/>
        <v>0</v>
      </c>
      <c r="AB7130" s="403"/>
    </row>
    <row r="7131" spans="1:28">
      <c r="A7131" s="384" t="str">
        <f t="shared" ref="A7131:B7131" si="23137">A7105</f>
        <v>Lantai Atap</v>
      </c>
      <c r="B7131" s="385">
        <f t="shared" si="23137"/>
        <v>29</v>
      </c>
      <c r="C7131" s="393" t="s">
        <v>213</v>
      </c>
      <c r="D7131" s="398">
        <f>VLOOKUP(D7105,'Detail Balok'!$C$10:$BJ$140,56,FALSE)</f>
        <v>0</v>
      </c>
      <c r="E7131" s="388" t="s">
        <v>16</v>
      </c>
      <c r="F7131" s="388">
        <f>VLOOKUP(D7105,'Detail Balok'!$C$10:$BJ$140,58,FALSE)</f>
        <v>0</v>
      </c>
      <c r="G7131" s="405" t="s">
        <v>157</v>
      </c>
      <c r="H7131" s="395">
        <f>VLOOKUP(D7105,'Detail Balok'!$C$10:$BJ$140,60,FALSE)</f>
        <v>100</v>
      </c>
      <c r="I7131" s="388"/>
      <c r="J7131" s="399">
        <f t="shared" ref="J7131" si="23138">(D7106-2*F$5)/1000</f>
        <v>0.12</v>
      </c>
      <c r="K7131" s="400" t="s">
        <v>204</v>
      </c>
      <c r="L7131" s="399">
        <f t="shared" si="23128"/>
        <v>0.15</v>
      </c>
      <c r="M7131" s="399" t="s">
        <v>176</v>
      </c>
      <c r="N7131" s="399">
        <f t="shared" si="23129"/>
        <v>0.27</v>
      </c>
      <c r="O7131" s="399"/>
      <c r="P7131" s="399"/>
      <c r="Q7131" s="399"/>
      <c r="R7131" s="399"/>
      <c r="S7131" s="399"/>
      <c r="T7131" s="399" t="s">
        <v>125</v>
      </c>
      <c r="U7131" s="401">
        <f t="shared" si="23130"/>
        <v>0</v>
      </c>
      <c r="V7131" s="399" t="s">
        <v>125</v>
      </c>
      <c r="W7131" s="399">
        <f t="shared" si="23131"/>
        <v>13</v>
      </c>
      <c r="X7131" s="399" t="s">
        <v>125</v>
      </c>
      <c r="Y7131" s="389">
        <f t="shared" ref="Y7131" si="23139">D7115</f>
        <v>3</v>
      </c>
      <c r="Z7131" s="400" t="s">
        <v>176</v>
      </c>
      <c r="AA7131" s="402">
        <f t="shared" si="23133"/>
        <v>0</v>
      </c>
      <c r="AB7131" s="403"/>
    </row>
    <row r="7132" spans="1:28">
      <c r="A7132" s="391"/>
      <c r="B7132" s="392"/>
      <c r="C7132" s="392"/>
      <c r="D7132" s="394"/>
      <c r="E7132" s="388"/>
      <c r="F7132" s="388"/>
      <c r="G7132" s="388"/>
      <c r="H7132" s="395"/>
      <c r="I7132" s="388"/>
      <c r="J7132" s="402"/>
      <c r="K7132" s="388"/>
      <c r="L7132" s="388"/>
      <c r="M7132" s="388"/>
      <c r="N7132" s="388"/>
      <c r="O7132" s="388"/>
      <c r="P7132" s="388"/>
      <c r="Q7132" s="388"/>
      <c r="R7132" s="388"/>
      <c r="S7132" s="388"/>
      <c r="T7132" s="388"/>
      <c r="U7132" s="388"/>
      <c r="V7132" s="388"/>
      <c r="W7132" s="388"/>
      <c r="X7132" s="388"/>
      <c r="Y7132" s="389"/>
      <c r="Z7132" s="388"/>
      <c r="AA7132" s="402"/>
      <c r="AB7132" s="403"/>
    </row>
    <row r="7133" spans="1:28" ht="15.75" thickBot="1">
      <c r="A7133" s="406"/>
      <c r="B7133" s="407"/>
      <c r="C7133" s="407"/>
      <c r="D7133" s="408"/>
      <c r="E7133" s="409"/>
      <c r="F7133" s="409"/>
      <c r="G7133" s="409"/>
      <c r="H7133" s="410"/>
      <c r="I7133" s="409"/>
      <c r="J7133" s="409"/>
      <c r="K7133" s="409"/>
      <c r="L7133" s="409"/>
      <c r="M7133" s="409"/>
      <c r="N7133" s="409"/>
      <c r="O7133" s="409"/>
      <c r="P7133" s="409"/>
      <c r="Q7133" s="409"/>
      <c r="R7133" s="409"/>
      <c r="S7133" s="409"/>
      <c r="T7133" s="409"/>
      <c r="U7133" s="409"/>
      <c r="V7133" s="409"/>
      <c r="W7133" s="409"/>
      <c r="X7133" s="409"/>
      <c r="Y7133" s="411"/>
      <c r="Z7133" s="409"/>
      <c r="AA7133" s="412"/>
      <c r="AB7133" s="413"/>
    </row>
    <row r="7134" spans="1:28">
      <c r="A7134" s="377"/>
      <c r="B7134" s="378"/>
      <c r="C7134" s="378"/>
      <c r="D7134" s="379"/>
      <c r="E7134" s="380"/>
      <c r="F7134" s="380"/>
      <c r="G7134" s="380"/>
      <c r="H7134" s="381"/>
      <c r="I7134" s="380"/>
      <c r="J7134" s="380"/>
      <c r="K7134" s="380"/>
      <c r="L7134" s="380"/>
      <c r="M7134" s="380"/>
      <c r="N7134" s="380"/>
      <c r="O7134" s="380"/>
      <c r="P7134" s="380"/>
      <c r="Q7134" s="380"/>
      <c r="R7134" s="380"/>
      <c r="S7134" s="380"/>
      <c r="T7134" s="380"/>
      <c r="U7134" s="380"/>
      <c r="V7134" s="380"/>
      <c r="W7134" s="380"/>
      <c r="X7134" s="380"/>
      <c r="Y7134" s="382"/>
      <c r="Z7134" s="380"/>
      <c r="AA7134" s="380"/>
      <c r="AB7134" s="383"/>
    </row>
    <row r="7135" spans="1:28">
      <c r="A7135" s="384" t="str">
        <f t="shared" ref="A7135:A7195" si="23140">A7105</f>
        <v>Lantai Atap</v>
      </c>
      <c r="B7135" s="385">
        <f t="shared" ref="B7135:B7195" si="23141">B7105+1</f>
        <v>30</v>
      </c>
      <c r="C7135" s="386" t="str">
        <f t="shared" ref="C7135" si="23142">CONCATENATE(A7135," no. ",B7135)</f>
        <v>Lantai Atap no. 30</v>
      </c>
      <c r="D7135" s="2562" t="str">
        <f>VLOOKUP(C7135,'Data Panjang Balok'!$C$9:$N$254,2,FALSE)</f>
        <v>B24-1</v>
      </c>
      <c r="E7135" s="2576"/>
      <c r="F7135" s="2576"/>
      <c r="G7135" s="2576"/>
      <c r="H7135" s="2577"/>
      <c r="I7135" s="387"/>
      <c r="J7135" s="388"/>
      <c r="K7135" s="388"/>
      <c r="L7135" s="388"/>
      <c r="M7135" s="388"/>
      <c r="N7135" s="388"/>
      <c r="O7135" s="388"/>
      <c r="P7135" s="388"/>
      <c r="Q7135" s="388"/>
      <c r="R7135" s="388"/>
      <c r="S7135" s="388"/>
      <c r="T7135" s="388"/>
      <c r="U7135" s="388"/>
      <c r="V7135" s="388"/>
      <c r="W7135" s="388"/>
      <c r="X7135" s="388"/>
      <c r="Y7135" s="389"/>
      <c r="Z7135" s="388"/>
      <c r="AA7135" s="388"/>
      <c r="AB7135" s="390"/>
    </row>
    <row r="7136" spans="1:28">
      <c r="A7136" s="391"/>
      <c r="B7136" s="392"/>
      <c r="C7136" s="393" t="s">
        <v>118</v>
      </c>
      <c r="D7136" s="2578">
        <f>VLOOKUP(D7135,'Detail Balok'!$C$10:$AU$140,2,FALSE)</f>
        <v>200</v>
      </c>
      <c r="E7136" s="2579"/>
      <c r="F7136" s="388" t="s">
        <v>125</v>
      </c>
      <c r="G7136" s="2579">
        <f>VLOOKUP(D7135,'Detail Balok'!$C$10:$AU$140,3,FALSE)</f>
        <v>400</v>
      </c>
      <c r="H7136" s="2580"/>
      <c r="I7136" s="388"/>
      <c r="J7136" s="396"/>
      <c r="K7136" s="396"/>
      <c r="L7136" s="396"/>
      <c r="M7136" s="396"/>
      <c r="N7136" s="396"/>
      <c r="O7136" s="396"/>
      <c r="P7136" s="396"/>
      <c r="Q7136" s="396"/>
      <c r="R7136" s="396"/>
      <c r="S7136" s="396"/>
      <c r="T7136" s="396"/>
      <c r="U7136" s="388"/>
      <c r="V7136" s="396"/>
      <c r="W7136" s="388"/>
      <c r="X7136" s="396"/>
      <c r="Y7136" s="389"/>
      <c r="Z7136" s="396"/>
      <c r="AA7136" s="388"/>
      <c r="AB7136" s="390"/>
    </row>
    <row r="7137" spans="1:28">
      <c r="A7137" s="391"/>
      <c r="B7137" s="392"/>
      <c r="C7137" s="393" t="s">
        <v>198</v>
      </c>
      <c r="D7137" s="2562">
        <f>VLOOKUP(C7135,'Data Panjang Balok'!$C$9:$N$254,4,FALSE)</f>
        <v>4635</v>
      </c>
      <c r="E7137" s="2563"/>
      <c r="F7137" s="2563"/>
      <c r="G7137" s="2563"/>
      <c r="H7137" s="2564"/>
      <c r="I7137" s="397"/>
      <c r="J7137" s="396"/>
      <c r="K7137" s="396"/>
      <c r="L7137" s="396"/>
      <c r="M7137" s="396"/>
      <c r="N7137" s="396"/>
      <c r="O7137" s="396"/>
      <c r="P7137" s="396"/>
      <c r="Q7137" s="396"/>
      <c r="R7137" s="396"/>
      <c r="S7137" s="396"/>
      <c r="T7137" s="396"/>
      <c r="U7137" s="388"/>
      <c r="V7137" s="396"/>
      <c r="W7137" s="388"/>
      <c r="X7137" s="396"/>
      <c r="Y7137" s="389"/>
      <c r="Z7137" s="396"/>
      <c r="AA7137" s="388"/>
      <c r="AB7137" s="390"/>
    </row>
    <row r="7138" spans="1:28">
      <c r="A7138" s="391"/>
      <c r="B7138" s="392"/>
      <c r="C7138" s="393" t="s">
        <v>199</v>
      </c>
      <c r="D7138" s="2562">
        <f>VLOOKUP(C7135,'Data Panjang Balok'!$C$9:$N$254,7,FALSE)</f>
        <v>4635</v>
      </c>
      <c r="E7138" s="2563"/>
      <c r="F7138" s="2563"/>
      <c r="G7138" s="2563"/>
      <c r="H7138" s="2564"/>
      <c r="I7138" s="397"/>
      <c r="J7138" s="396"/>
      <c r="K7138" s="396"/>
      <c r="L7138" s="396"/>
      <c r="M7138" s="396"/>
      <c r="N7138" s="396"/>
      <c r="O7138" s="396"/>
      <c r="P7138" s="396"/>
      <c r="Q7138" s="396"/>
      <c r="R7138" s="396"/>
      <c r="S7138" s="396"/>
      <c r="T7138" s="396"/>
      <c r="U7138" s="388"/>
      <c r="V7138" s="396"/>
      <c r="W7138" s="388"/>
      <c r="X7138" s="396"/>
      <c r="Y7138" s="389"/>
      <c r="Z7138" s="396"/>
      <c r="AA7138" s="388"/>
      <c r="AB7138" s="390"/>
    </row>
    <row r="7139" spans="1:28">
      <c r="A7139" s="391"/>
      <c r="B7139" s="392"/>
      <c r="C7139" s="393" t="s">
        <v>200</v>
      </c>
      <c r="D7139" s="2562">
        <f>VLOOKUP(C7135,'Data Panjang Balok'!$C$9:$N$254,9,FALSE)</f>
        <v>0</v>
      </c>
      <c r="E7139" s="2563"/>
      <c r="F7139" s="2563"/>
      <c r="G7139" s="2563"/>
      <c r="H7139" s="2564"/>
      <c r="I7139" s="397"/>
      <c r="J7139" s="396"/>
      <c r="K7139" s="396"/>
      <c r="L7139" s="396"/>
      <c r="M7139" s="396"/>
      <c r="N7139" s="396"/>
      <c r="O7139" s="396"/>
      <c r="P7139" s="396"/>
      <c r="Q7139" s="396"/>
      <c r="R7139" s="396"/>
      <c r="S7139" s="396"/>
      <c r="T7139" s="396"/>
      <c r="U7139" s="388"/>
      <c r="V7139" s="396"/>
      <c r="W7139" s="388"/>
      <c r="X7139" s="396"/>
      <c r="Y7139" s="389"/>
      <c r="Z7139" s="396"/>
      <c r="AA7139" s="388"/>
      <c r="AB7139" s="390"/>
    </row>
    <row r="7140" spans="1:28">
      <c r="A7140" s="391"/>
      <c r="B7140" s="392"/>
      <c r="C7140" s="393" t="s">
        <v>201</v>
      </c>
      <c r="D7140" s="2562">
        <f>VLOOKUP(C7135,'Data Panjang Balok'!$C$9:$N$254,10,FALSE)</f>
        <v>0</v>
      </c>
      <c r="E7140" s="2563"/>
      <c r="F7140" s="2563"/>
      <c r="G7140" s="2563"/>
      <c r="H7140" s="2564"/>
      <c r="I7140" s="397"/>
      <c r="J7140" s="396"/>
      <c r="K7140" s="396"/>
      <c r="L7140" s="396"/>
      <c r="M7140" s="396"/>
      <c r="N7140" s="396"/>
      <c r="O7140" s="396"/>
      <c r="P7140" s="396"/>
      <c r="Q7140" s="396"/>
      <c r="R7140" s="396"/>
      <c r="S7140" s="396"/>
      <c r="T7140" s="396"/>
      <c r="U7140" s="388"/>
      <c r="V7140" s="396"/>
      <c r="W7140" s="388"/>
      <c r="X7140" s="396"/>
      <c r="Y7140" s="389"/>
      <c r="Z7140" s="396"/>
      <c r="AA7140" s="388"/>
      <c r="AB7140" s="390"/>
    </row>
    <row r="7141" spans="1:28">
      <c r="A7141" s="391"/>
      <c r="B7141" s="392"/>
      <c r="C7141" s="393" t="s">
        <v>48</v>
      </c>
      <c r="D7141" s="2562">
        <f>VLOOKUP(C7135,'Data Panjang Balok'!$C$9:$N$254,3,FALSE)</f>
        <v>1</v>
      </c>
      <c r="E7141" s="2563"/>
      <c r="F7141" s="2563"/>
      <c r="G7141" s="2563"/>
      <c r="H7141" s="2564"/>
      <c r="I7141" s="397"/>
      <c r="J7141" s="396"/>
      <c r="K7141" s="396"/>
      <c r="L7141" s="396"/>
      <c r="M7141" s="396"/>
      <c r="N7141" s="396"/>
      <c r="O7141" s="396"/>
      <c r="P7141" s="396"/>
      <c r="Q7141" s="396"/>
      <c r="R7141" s="396"/>
      <c r="S7141" s="396"/>
      <c r="T7141" s="396"/>
      <c r="U7141" s="388"/>
      <c r="V7141" s="396"/>
      <c r="W7141" s="388"/>
      <c r="X7141" s="396"/>
      <c r="Y7141" s="389"/>
      <c r="Z7141" s="396"/>
      <c r="AA7141" s="388"/>
      <c r="AB7141" s="390"/>
    </row>
    <row r="7142" spans="1:28">
      <c r="A7142" s="384" t="str">
        <f t="shared" ref="A7142:B7142" si="23143">A7135</f>
        <v>Lantai Atap</v>
      </c>
      <c r="B7142" s="385">
        <f t="shared" si="23143"/>
        <v>30</v>
      </c>
      <c r="C7142" s="393" t="s">
        <v>202</v>
      </c>
      <c r="D7142" s="398">
        <f>VLOOKUP(D7135,'Detail Balok'!$C$10:$AU$140,4,FALSE)</f>
        <v>3</v>
      </c>
      <c r="E7142" s="388" t="s">
        <v>16</v>
      </c>
      <c r="F7142" s="388">
        <f>VLOOKUP(D7135,'Detail Balok'!$C$10:$AU$140,6,FALSE)</f>
        <v>13</v>
      </c>
      <c r="G7142" s="388"/>
      <c r="H7142" s="395"/>
      <c r="I7142" s="388" t="s">
        <v>203</v>
      </c>
      <c r="J7142" s="399">
        <f t="shared" ref="J7142" si="23144">+D7137/4/1000</f>
        <v>1.1587499999999999</v>
      </c>
      <c r="K7142" s="400" t="s">
        <v>204</v>
      </c>
      <c r="L7142" s="399">
        <f t="shared" ref="L7142" si="23145">MAX(VLOOKUP(F7142,N$6:P$15,3,FALSE)/1000,2/3*D7139/1000)+F$16*F7142/1000</f>
        <v>0.156</v>
      </c>
      <c r="M7142" s="399" t="s">
        <v>176</v>
      </c>
      <c r="N7142" s="399">
        <f t="shared" ref="N7142:N7144" si="23146">J7142+L7142</f>
        <v>1.3147499999999999</v>
      </c>
      <c r="O7142" s="399" t="s">
        <v>204</v>
      </c>
      <c r="P7142" s="389">
        <f t="shared" ref="P7142" si="23147">D7142-D7143</f>
        <v>0</v>
      </c>
      <c r="Q7142" s="399" t="s">
        <v>125</v>
      </c>
      <c r="R7142" s="399">
        <f t="shared" ref="R7142" si="23148">IF(P7142&gt;0,$F$18*F7142/1000,0)</f>
        <v>0</v>
      </c>
      <c r="S7142" s="399" t="s">
        <v>205</v>
      </c>
      <c r="T7142" s="399" t="s">
        <v>125</v>
      </c>
      <c r="U7142" s="401">
        <f t="shared" ref="U7142:U7144" si="23149">0.006165*F7142^2</f>
        <v>1.041885</v>
      </c>
      <c r="V7142" s="399"/>
      <c r="W7142" s="399"/>
      <c r="X7142" s="399" t="s">
        <v>125</v>
      </c>
      <c r="Y7142" s="389">
        <f t="shared" ref="Y7142" si="23150">D7141</f>
        <v>1</v>
      </c>
      <c r="Z7142" s="400" t="s">
        <v>176</v>
      </c>
      <c r="AA7142" s="402">
        <f t="shared" ref="AA7142" si="23151">IF(AA7145=0,(D7142*N7142+P7142*R7142)*U7142*Y7142,0)</f>
        <v>0</v>
      </c>
      <c r="AB7142" s="403"/>
    </row>
    <row r="7143" spans="1:28">
      <c r="A7143" s="384" t="str">
        <f t="shared" ref="A7143:B7143" si="23152">A7135</f>
        <v>Lantai Atap</v>
      </c>
      <c r="B7143" s="385">
        <f t="shared" si="23152"/>
        <v>30</v>
      </c>
      <c r="C7143" s="393" t="s">
        <v>206</v>
      </c>
      <c r="D7143" s="398">
        <f>VLOOKUP(D7135,'Detail Balok'!$C$10:$AU$140,7,FALSE)</f>
        <v>3</v>
      </c>
      <c r="E7143" s="388" t="s">
        <v>16</v>
      </c>
      <c r="F7143" s="388">
        <f>VLOOKUP(D7135,'Detail Balok'!$C$10:$AU$140,9,FALSE)</f>
        <v>13</v>
      </c>
      <c r="G7143" s="388"/>
      <c r="H7143" s="395"/>
      <c r="I7143" s="388" t="s">
        <v>203</v>
      </c>
      <c r="J7143" s="399">
        <f t="shared" ref="J7143" si="23153">+D7137/2/1000</f>
        <v>2.3174999999999999</v>
      </c>
      <c r="K7143" s="400" t="s">
        <v>204</v>
      </c>
      <c r="L7143" s="399"/>
      <c r="M7143" s="399" t="s">
        <v>176</v>
      </c>
      <c r="N7143" s="399">
        <f t="shared" si="23146"/>
        <v>2.3174999999999999</v>
      </c>
      <c r="O7143" s="399" t="s">
        <v>204</v>
      </c>
      <c r="P7143" s="389">
        <f t="shared" ref="P7143" si="23154">MAX(D7143-D7142,D7143-D7144)</f>
        <v>0</v>
      </c>
      <c r="Q7143" s="399" t="s">
        <v>125</v>
      </c>
      <c r="R7143" s="399">
        <f t="shared" ref="R7143" si="23155">IF(P7143&gt;0,2*(1-2*$F$19-1/2)*D7138/1000,0)</f>
        <v>0</v>
      </c>
      <c r="S7143" s="399" t="s">
        <v>205</v>
      </c>
      <c r="T7143" s="399" t="s">
        <v>125</v>
      </c>
      <c r="U7143" s="401">
        <f t="shared" si="23149"/>
        <v>1.041885</v>
      </c>
      <c r="V7143" s="399"/>
      <c r="W7143" s="399"/>
      <c r="X7143" s="399" t="s">
        <v>125</v>
      </c>
      <c r="Y7143" s="389">
        <f t="shared" ref="Y7143" si="23156">D7141</f>
        <v>1</v>
      </c>
      <c r="Z7143" s="400" t="s">
        <v>176</v>
      </c>
      <c r="AA7143" s="402">
        <f t="shared" ref="AA7143" si="23157">IF(AA7145=0,(D7143*N7143+P7143*R7143)*U7143*Y7143,0)</f>
        <v>0</v>
      </c>
      <c r="AB7143" s="403"/>
    </row>
    <row r="7144" spans="1:28">
      <c r="A7144" s="384" t="str">
        <f t="shared" ref="A7144:B7144" si="23158">A7135</f>
        <v>Lantai Atap</v>
      </c>
      <c r="B7144" s="385">
        <f t="shared" si="23158"/>
        <v>30</v>
      </c>
      <c r="C7144" s="393" t="s">
        <v>202</v>
      </c>
      <c r="D7144" s="398">
        <f>VLOOKUP(D7135,'Detail Balok'!$C$10:$AU$140,10,FALSE)</f>
        <v>3</v>
      </c>
      <c r="E7144" s="388" t="s">
        <v>16</v>
      </c>
      <c r="F7144" s="388">
        <f>VLOOKUP(D7135,'Detail Balok'!$C$10:$AU$140,12,FALSE)</f>
        <v>13</v>
      </c>
      <c r="G7144" s="388"/>
      <c r="H7144" s="395"/>
      <c r="I7144" s="388" t="s">
        <v>203</v>
      </c>
      <c r="J7144" s="399">
        <f t="shared" ref="J7144" si="23159">+D7137/4/1000</f>
        <v>1.1587499999999999</v>
      </c>
      <c r="K7144" s="400" t="s">
        <v>204</v>
      </c>
      <c r="L7144" s="399">
        <f t="shared" ref="L7144" si="23160">MAX(VLOOKUP(F7144,N$6:P$15,3,FALSE)/1000,2/3*D7139/1000)+F$16*F7144/1000</f>
        <v>0.156</v>
      </c>
      <c r="M7144" s="399" t="s">
        <v>176</v>
      </c>
      <c r="N7144" s="399">
        <f t="shared" si="23146"/>
        <v>1.3147499999999999</v>
      </c>
      <c r="O7144" s="399" t="s">
        <v>204</v>
      </c>
      <c r="P7144" s="389">
        <f t="shared" ref="P7144" si="23161">D7144-D7143</f>
        <v>0</v>
      </c>
      <c r="Q7144" s="399" t="s">
        <v>125</v>
      </c>
      <c r="R7144" s="399">
        <f t="shared" ref="R7144" si="23162">IF(P7144&gt;0,$F$18*F7144/1000,0)</f>
        <v>0</v>
      </c>
      <c r="S7144" s="399" t="s">
        <v>205</v>
      </c>
      <c r="T7144" s="399" t="s">
        <v>125</v>
      </c>
      <c r="U7144" s="401">
        <f t="shared" si="23149"/>
        <v>1.041885</v>
      </c>
      <c r="V7144" s="399"/>
      <c r="W7144" s="399"/>
      <c r="X7144" s="399" t="s">
        <v>125</v>
      </c>
      <c r="Y7144" s="389">
        <f t="shared" ref="Y7144" si="23163">D7141</f>
        <v>1</v>
      </c>
      <c r="Z7144" s="400" t="s">
        <v>176</v>
      </c>
      <c r="AA7144" s="402">
        <f t="shared" ref="AA7144" si="23164">IF(AA7145=0,(D7144*N7144+P7144*R7144)*U7144*Y7144,0)</f>
        <v>0</v>
      </c>
      <c r="AB7144" s="403"/>
    </row>
    <row r="7145" spans="1:28">
      <c r="A7145" s="384" t="str">
        <f t="shared" ref="A7145:B7145" si="23165">A7135</f>
        <v>Lantai Atap</v>
      </c>
      <c r="B7145" s="385">
        <f t="shared" si="23165"/>
        <v>30</v>
      </c>
      <c r="C7145" s="393"/>
      <c r="D7145" s="398">
        <f t="shared" si="23061"/>
        <v>3</v>
      </c>
      <c r="E7145" s="388" t="s">
        <v>16</v>
      </c>
      <c r="F7145" s="388">
        <f t="shared" si="23062"/>
        <v>13</v>
      </c>
      <c r="G7145" s="388"/>
      <c r="H7145" s="395"/>
      <c r="I7145" s="388"/>
      <c r="J7145" s="396"/>
      <c r="K7145" s="396"/>
      <c r="L7145" s="404" t="s">
        <v>207</v>
      </c>
      <c r="M7145" s="399" t="s">
        <v>176</v>
      </c>
      <c r="N7145" s="399">
        <f t="shared" ref="N7145" si="23166">IF(AND(D7142=D7143,D7142=D7144,D7143=D7144,F7142=F7143,F7142=F7144,F7143=F7144),SUM(N7142:N7144),0)</f>
        <v>4.9470000000000001</v>
      </c>
      <c r="O7145" s="399" t="s">
        <v>204</v>
      </c>
      <c r="P7145" s="389">
        <f t="shared" ref="P7145" si="23167">IF(N7145&gt;12,ROUNDDOWN(N7145/12,0),0)</f>
        <v>0</v>
      </c>
      <c r="Q7145" s="399" t="s">
        <v>125</v>
      </c>
      <c r="R7145" s="399">
        <f t="shared" ref="R7145" si="23168">IF(P7145&gt;0,MAX(VLOOKUP(F7145,$D$6:$G$15,3,FALSE),600),0)/1000</f>
        <v>0</v>
      </c>
      <c r="S7145" s="396"/>
      <c r="T7145" s="396" t="s">
        <v>125</v>
      </c>
      <c r="U7145" s="401">
        <f t="shared" si="23066"/>
        <v>1.041885</v>
      </c>
      <c r="V7145" s="396" t="s">
        <v>125</v>
      </c>
      <c r="W7145" s="399">
        <f t="shared" ref="W7145" si="23169">D7145</f>
        <v>3</v>
      </c>
      <c r="X7145" s="399" t="s">
        <v>125</v>
      </c>
      <c r="Y7145" s="389">
        <f t="shared" si="23068"/>
        <v>1</v>
      </c>
      <c r="Z7145" s="400" t="s">
        <v>176</v>
      </c>
      <c r="AA7145" s="402">
        <f t="shared" ref="AA7145" si="23170">(N7145+P7145*R7145/1000)*U7145*W7145*Y7145</f>
        <v>15.462615285</v>
      </c>
      <c r="AB7145" s="390"/>
    </row>
    <row r="7146" spans="1:28">
      <c r="A7146" s="384"/>
      <c r="B7146" s="385"/>
      <c r="C7146" s="393"/>
      <c r="D7146" s="398"/>
      <c r="E7146" s="388"/>
      <c r="F7146" s="388"/>
      <c r="G7146" s="388"/>
      <c r="H7146" s="395"/>
      <c r="I7146" s="388"/>
      <c r="J7146" s="396"/>
      <c r="K7146" s="396"/>
      <c r="L7146" s="404"/>
      <c r="M7146" s="399"/>
      <c r="N7146" s="399"/>
      <c r="O7146" s="396"/>
      <c r="P7146" s="389"/>
      <c r="Q7146" s="396"/>
      <c r="R7146" s="396"/>
      <c r="S7146" s="396"/>
      <c r="T7146" s="396"/>
      <c r="U7146" s="401"/>
      <c r="V7146" s="396"/>
      <c r="W7146" s="399"/>
      <c r="X7146" s="396"/>
      <c r="Y7146" s="389"/>
      <c r="Z7146" s="396"/>
      <c r="AA7146" s="388"/>
      <c r="AB7146" s="390"/>
    </row>
    <row r="7147" spans="1:28">
      <c r="A7147" s="384" t="str">
        <f t="shared" ref="A7147:B7147" si="23171">A7135</f>
        <v>Lantai Atap</v>
      </c>
      <c r="B7147" s="385">
        <f t="shared" si="23171"/>
        <v>30</v>
      </c>
      <c r="C7147" s="393" t="s">
        <v>208</v>
      </c>
      <c r="D7147" s="398">
        <f>VLOOKUP(D7135,'Detail Balok'!$C$10:$AU$140,13,FALSE)</f>
        <v>0</v>
      </c>
      <c r="E7147" s="388" t="s">
        <v>16</v>
      </c>
      <c r="F7147" s="388">
        <f>VLOOKUP(D7135,'Detail Balok'!$C$10:$AU$140,15,FALSE)</f>
        <v>8</v>
      </c>
      <c r="G7147" s="388"/>
      <c r="H7147" s="395"/>
      <c r="I7147" s="388"/>
      <c r="J7147" s="399">
        <f t="shared" ref="J7147" si="23172">+D7137/1000</f>
        <v>4.6349999999999998</v>
      </c>
      <c r="K7147" s="400" t="s">
        <v>204</v>
      </c>
      <c r="L7147" s="399">
        <f t="shared" ref="L7147" si="23173">2*$F$16*F7147/1000</f>
        <v>0.192</v>
      </c>
      <c r="M7147" s="399" t="s">
        <v>176</v>
      </c>
      <c r="N7147" s="399">
        <f t="shared" ref="N7147" si="23174">J7147+L7147</f>
        <v>4.827</v>
      </c>
      <c r="O7147" s="399" t="s">
        <v>204</v>
      </c>
      <c r="P7147" s="389">
        <f t="shared" ref="P7147" si="23175">IF(N7147&gt;12,ROUNDDOWN(N7147/12,0),0)</f>
        <v>0</v>
      </c>
      <c r="Q7147" s="399" t="s">
        <v>125</v>
      </c>
      <c r="R7147" s="399">
        <f t="shared" ref="R7147" si="23176">IF(P7147&gt;0,MAX(VLOOKUP(F7147,$D$6:$G$15,3,FALSE),600),0)/1000</f>
        <v>0</v>
      </c>
      <c r="S7147" s="399"/>
      <c r="T7147" s="399" t="s">
        <v>125</v>
      </c>
      <c r="U7147" s="401">
        <f t="shared" ref="U7147" si="23177">0.006165*F7147^2</f>
        <v>0.39456000000000002</v>
      </c>
      <c r="V7147" s="399" t="s">
        <v>125</v>
      </c>
      <c r="W7147" s="399">
        <f t="shared" ref="W7147" si="23178">+D7147</f>
        <v>0</v>
      </c>
      <c r="X7147" s="399" t="s">
        <v>125</v>
      </c>
      <c r="Y7147" s="389">
        <f t="shared" ref="Y7147" si="23179">D7141</f>
        <v>1</v>
      </c>
      <c r="Z7147" s="400" t="s">
        <v>176</v>
      </c>
      <c r="AA7147" s="402">
        <f t="shared" ref="AA7147" si="23180">(N7147+P7147*R7147/1000)*U7147*W7147*Y7147</f>
        <v>0</v>
      </c>
      <c r="AB7147" s="403"/>
    </row>
    <row r="7148" spans="1:28">
      <c r="A7148" s="384"/>
      <c r="B7148" s="385"/>
      <c r="C7148" s="393"/>
      <c r="D7148" s="398"/>
      <c r="E7148" s="388"/>
      <c r="F7148" s="388"/>
      <c r="G7148" s="388"/>
      <c r="H7148" s="395"/>
      <c r="I7148" s="388"/>
      <c r="J7148" s="399"/>
      <c r="K7148" s="400"/>
      <c r="L7148" s="399"/>
      <c r="M7148" s="399"/>
      <c r="N7148" s="399"/>
      <c r="O7148" s="399"/>
      <c r="P7148" s="389"/>
      <c r="Q7148" s="399"/>
      <c r="R7148" s="399"/>
      <c r="S7148" s="399"/>
      <c r="T7148" s="399"/>
      <c r="U7148" s="401"/>
      <c r="V7148" s="399"/>
      <c r="W7148" s="399"/>
      <c r="X7148" s="399"/>
      <c r="Y7148" s="389"/>
      <c r="Z7148" s="400"/>
      <c r="AA7148" s="402"/>
      <c r="AB7148" s="403"/>
    </row>
    <row r="7149" spans="1:28">
      <c r="A7149" s="384"/>
      <c r="B7149" s="385"/>
      <c r="C7149" s="393"/>
      <c r="D7149" s="398"/>
      <c r="E7149" s="388"/>
      <c r="F7149" s="388"/>
      <c r="G7149" s="388"/>
      <c r="H7149" s="395"/>
      <c r="I7149" s="388"/>
      <c r="J7149" s="396"/>
      <c r="K7149" s="396"/>
      <c r="L7149" s="396"/>
      <c r="M7149" s="396"/>
      <c r="N7149" s="396"/>
      <c r="O7149" s="396"/>
      <c r="P7149" s="389"/>
      <c r="Q7149" s="396"/>
      <c r="R7149" s="396"/>
      <c r="S7149" s="396"/>
      <c r="T7149" s="396"/>
      <c r="U7149" s="401"/>
      <c r="V7149" s="396"/>
      <c r="W7149" s="399"/>
      <c r="X7149" s="396"/>
      <c r="Y7149" s="389"/>
      <c r="Z7149" s="396"/>
      <c r="AA7149" s="388"/>
      <c r="AB7149" s="390"/>
    </row>
    <row r="7150" spans="1:28">
      <c r="A7150" s="384" t="str">
        <f t="shared" ref="A7150:B7150" si="23181">A7135</f>
        <v>Lantai Atap</v>
      </c>
      <c r="B7150" s="385">
        <f t="shared" si="23181"/>
        <v>30</v>
      </c>
      <c r="C7150" s="393" t="s">
        <v>209</v>
      </c>
      <c r="D7150" s="398">
        <f>VLOOKUP(D7135,'Detail Balok'!$C$10:$AU$140,22,FALSE)</f>
        <v>3</v>
      </c>
      <c r="E7150" s="388" t="s">
        <v>16</v>
      </c>
      <c r="F7150" s="388">
        <f>VLOOKUP(D7135,'Detail Balok'!$C$10:$AU$140,24,FALSE)</f>
        <v>13</v>
      </c>
      <c r="G7150" s="388"/>
      <c r="H7150" s="395"/>
      <c r="I7150" s="388" t="s">
        <v>203</v>
      </c>
      <c r="J7150" s="399">
        <f t="shared" si="23081"/>
        <v>1.1587499999999999</v>
      </c>
      <c r="K7150" s="400" t="s">
        <v>204</v>
      </c>
      <c r="L7150" s="399">
        <f t="shared" ref="L7150" si="23182">MAX(VLOOKUP(F7150,N$6:P$15,3,FALSE)/1000,2/3*D7140/1000)+F$16*F7150/1000</f>
        <v>0.156</v>
      </c>
      <c r="M7150" s="399" t="s">
        <v>176</v>
      </c>
      <c r="N7150" s="399">
        <f t="shared" ref="N7150:N7152" si="23183">J7150+L7150</f>
        <v>1.3147499999999999</v>
      </c>
      <c r="O7150" s="399" t="s">
        <v>204</v>
      </c>
      <c r="P7150" s="389">
        <f t="shared" ref="P7150" si="23184">D7150-D7151</f>
        <v>0</v>
      </c>
      <c r="Q7150" s="399" t="s">
        <v>125</v>
      </c>
      <c r="R7150" s="399">
        <f t="shared" ref="R7150" si="23185">IF(P7150&gt;0,$F$18*F7150/1000,0)</f>
        <v>0</v>
      </c>
      <c r="S7150" s="399" t="s">
        <v>205</v>
      </c>
      <c r="T7150" s="399" t="s">
        <v>125</v>
      </c>
      <c r="U7150" s="401">
        <f t="shared" ref="U7150:U7152" si="23186">0.006165*F7150^2</f>
        <v>1.041885</v>
      </c>
      <c r="V7150" s="399"/>
      <c r="W7150" s="399"/>
      <c r="X7150" s="399" t="s">
        <v>125</v>
      </c>
      <c r="Y7150" s="389">
        <f t="shared" ref="Y7150" si="23187">D7141</f>
        <v>1</v>
      </c>
      <c r="Z7150" s="400" t="s">
        <v>176</v>
      </c>
      <c r="AA7150" s="402">
        <f t="shared" ref="AA7150" si="23188">IF(AA7153=0,(D7150*N7150+P7150*R7150)*U7150*Y7150,0)</f>
        <v>0</v>
      </c>
      <c r="AB7150" s="403"/>
    </row>
    <row r="7151" spans="1:28">
      <c r="A7151" s="384" t="str">
        <f t="shared" ref="A7151:B7151" si="23189">A7135</f>
        <v>Lantai Atap</v>
      </c>
      <c r="B7151" s="385">
        <f t="shared" si="23189"/>
        <v>30</v>
      </c>
      <c r="C7151" s="393" t="s">
        <v>210</v>
      </c>
      <c r="D7151" s="398">
        <f>VLOOKUP(D7135,'Detail Balok'!$C$10:$AU$140,25,FALSE)</f>
        <v>3</v>
      </c>
      <c r="E7151" s="388" t="s">
        <v>16</v>
      </c>
      <c r="F7151" s="388">
        <f>VLOOKUP(D7135,'Detail Balok'!$C$10:$AU$140,27,FALSE)</f>
        <v>13</v>
      </c>
      <c r="G7151" s="388"/>
      <c r="H7151" s="395"/>
      <c r="I7151" s="388" t="s">
        <v>203</v>
      </c>
      <c r="J7151" s="399">
        <f t="shared" si="23081"/>
        <v>2.3174999999999999</v>
      </c>
      <c r="K7151" s="400" t="s">
        <v>204</v>
      </c>
      <c r="L7151" s="399"/>
      <c r="M7151" s="399" t="s">
        <v>176</v>
      </c>
      <c r="N7151" s="399">
        <f t="shared" si="23183"/>
        <v>2.3174999999999999</v>
      </c>
      <c r="O7151" s="399" t="s">
        <v>204</v>
      </c>
      <c r="P7151" s="389">
        <f t="shared" ref="P7151" si="23190">MAX(D7151-D7150,D7151-D7152)</f>
        <v>0</v>
      </c>
      <c r="Q7151" s="399" t="s">
        <v>125</v>
      </c>
      <c r="R7151" s="399">
        <f t="shared" ref="R7151" si="23191">IF(P7151&gt;0,2*(1-2*$F$19-1/2)*D7138/1000,0)</f>
        <v>0</v>
      </c>
      <c r="S7151" s="399" t="s">
        <v>205</v>
      </c>
      <c r="T7151" s="399" t="s">
        <v>125</v>
      </c>
      <c r="U7151" s="401">
        <f t="shared" si="23186"/>
        <v>1.041885</v>
      </c>
      <c r="V7151" s="399"/>
      <c r="W7151" s="399"/>
      <c r="X7151" s="399" t="s">
        <v>125</v>
      </c>
      <c r="Y7151" s="389">
        <f t="shared" ref="Y7151" si="23192">D7141</f>
        <v>1</v>
      </c>
      <c r="Z7151" s="400" t="s">
        <v>176</v>
      </c>
      <c r="AA7151" s="402">
        <f t="shared" ref="AA7151" si="23193">IF(AA7153=0,(D7151*N7151+P7151*R7151)*U7151*Y7151,0)</f>
        <v>0</v>
      </c>
      <c r="AB7151" s="403"/>
    </row>
    <row r="7152" spans="1:28">
      <c r="A7152" s="384" t="str">
        <f t="shared" ref="A7152:B7152" si="23194">A7135</f>
        <v>Lantai Atap</v>
      </c>
      <c r="B7152" s="385">
        <f t="shared" si="23194"/>
        <v>30</v>
      </c>
      <c r="C7152" s="393" t="s">
        <v>209</v>
      </c>
      <c r="D7152" s="398">
        <f>VLOOKUP(D7135,'Detail Balok'!$C$10:$AU$140,28,FALSE)</f>
        <v>3</v>
      </c>
      <c r="E7152" s="388" t="s">
        <v>16</v>
      </c>
      <c r="F7152" s="388">
        <f>VLOOKUP(D7135,'Detail Balok'!$C$10:$AU$140,30,FALSE)</f>
        <v>13</v>
      </c>
      <c r="G7152" s="388"/>
      <c r="H7152" s="395"/>
      <c r="I7152" s="388" t="s">
        <v>203</v>
      </c>
      <c r="J7152" s="399">
        <f t="shared" si="23081"/>
        <v>1.1587499999999999</v>
      </c>
      <c r="K7152" s="400" t="s">
        <v>204</v>
      </c>
      <c r="L7152" s="399">
        <f t="shared" ref="L7152" si="23195">MAX(VLOOKUP(F7152,N$6:P$15,3,FALSE)/1000,2/3*D7140/1000)+F$16*F7152/1000</f>
        <v>0.156</v>
      </c>
      <c r="M7152" s="399" t="s">
        <v>176</v>
      </c>
      <c r="N7152" s="399">
        <f t="shared" si="23183"/>
        <v>1.3147499999999999</v>
      </c>
      <c r="O7152" s="399" t="s">
        <v>204</v>
      </c>
      <c r="P7152" s="389">
        <f t="shared" ref="P7152" si="23196">D7152-D7151</f>
        <v>0</v>
      </c>
      <c r="Q7152" s="399" t="s">
        <v>125</v>
      </c>
      <c r="R7152" s="399">
        <f t="shared" ref="R7152" si="23197">IF(P7152&gt;0,$F$18*F7152/1000,0)</f>
        <v>0</v>
      </c>
      <c r="S7152" s="399" t="s">
        <v>205</v>
      </c>
      <c r="T7152" s="399" t="s">
        <v>125</v>
      </c>
      <c r="U7152" s="401">
        <f t="shared" si="23186"/>
        <v>1.041885</v>
      </c>
      <c r="V7152" s="399"/>
      <c r="W7152" s="399"/>
      <c r="X7152" s="399" t="s">
        <v>125</v>
      </c>
      <c r="Y7152" s="389">
        <f t="shared" ref="Y7152" si="23198">D7141</f>
        <v>1</v>
      </c>
      <c r="Z7152" s="400" t="s">
        <v>176</v>
      </c>
      <c r="AA7152" s="402">
        <f t="shared" ref="AA7152" si="23199">IF(AA7153=0,(D7152*N7152+P7152*R7152)*U7152*Y7152,0)</f>
        <v>0</v>
      </c>
      <c r="AB7152" s="403"/>
    </row>
    <row r="7153" spans="1:28">
      <c r="A7153" s="384" t="str">
        <f t="shared" ref="A7153:B7153" si="23200">A7135</f>
        <v>Lantai Atap</v>
      </c>
      <c r="B7153" s="385">
        <f t="shared" si="23200"/>
        <v>30</v>
      </c>
      <c r="C7153" s="393"/>
      <c r="D7153" s="398">
        <f t="shared" si="23101"/>
        <v>3</v>
      </c>
      <c r="E7153" s="388" t="s">
        <v>16</v>
      </c>
      <c r="F7153" s="388">
        <f t="shared" si="23102"/>
        <v>13</v>
      </c>
      <c r="G7153" s="388"/>
      <c r="H7153" s="395"/>
      <c r="I7153" s="388"/>
      <c r="J7153" s="396"/>
      <c r="K7153" s="396"/>
      <c r="L7153" s="404" t="s">
        <v>207</v>
      </c>
      <c r="M7153" s="399" t="s">
        <v>176</v>
      </c>
      <c r="N7153" s="399">
        <f t="shared" ref="N7153" si="23201">IF(AND(D7150=D7151,D7150=D7152,D7151=D7152,F7150=F7151,F7150=F7152,F7151=F7152),SUM(N7150:N7152),0)</f>
        <v>4.9470000000000001</v>
      </c>
      <c r="O7153" s="399" t="s">
        <v>204</v>
      </c>
      <c r="P7153" s="389">
        <f t="shared" ref="P7153" si="23202">IF(N7153&gt;12,ROUNDDOWN(N7153/12,0),0)</f>
        <v>0</v>
      </c>
      <c r="Q7153" s="399" t="s">
        <v>125</v>
      </c>
      <c r="R7153" s="399">
        <f t="shared" ref="R7153" si="23203">IF(P7153&gt;0,MAX(VLOOKUP(F7153,$D$6:$G$15,3,FALSE),600),0)/1000</f>
        <v>0</v>
      </c>
      <c r="S7153" s="396"/>
      <c r="T7153" s="396" t="s">
        <v>125</v>
      </c>
      <c r="U7153" s="401">
        <f t="shared" si="23106"/>
        <v>1.041885</v>
      </c>
      <c r="V7153" s="396" t="s">
        <v>125</v>
      </c>
      <c r="W7153" s="399">
        <f t="shared" ref="W7153" si="23204">D7153</f>
        <v>3</v>
      </c>
      <c r="X7153" s="399" t="s">
        <v>125</v>
      </c>
      <c r="Y7153" s="389">
        <f t="shared" si="23108"/>
        <v>1</v>
      </c>
      <c r="Z7153" s="400" t="s">
        <v>176</v>
      </c>
      <c r="AA7153" s="402">
        <f t="shared" ref="AA7153" si="23205">(N7153+P7153*R7153/1000)*U7153*W7153*Y7153</f>
        <v>15.462615285</v>
      </c>
      <c r="AB7153" s="403"/>
    </row>
    <row r="7154" spans="1:28">
      <c r="A7154" s="384"/>
      <c r="B7154" s="385"/>
      <c r="C7154" s="393"/>
      <c r="D7154" s="394"/>
      <c r="E7154" s="388"/>
      <c r="F7154" s="388"/>
      <c r="G7154" s="388"/>
      <c r="H7154" s="395"/>
      <c r="I7154" s="388"/>
      <c r="J7154" s="399"/>
      <c r="K7154" s="396"/>
      <c r="L7154" s="396"/>
      <c r="M7154" s="396"/>
      <c r="N7154" s="396"/>
      <c r="O7154" s="396"/>
      <c r="P7154" s="389"/>
      <c r="Q7154" s="396"/>
      <c r="R7154" s="396"/>
      <c r="S7154" s="396"/>
      <c r="T7154" s="396"/>
      <c r="U7154" s="401"/>
      <c r="V7154" s="396"/>
      <c r="W7154" s="388"/>
      <c r="X7154" s="396"/>
      <c r="Y7154" s="389"/>
      <c r="Z7154" s="396"/>
      <c r="AA7154" s="388"/>
      <c r="AB7154" s="390"/>
    </row>
    <row r="7155" spans="1:28">
      <c r="A7155" s="384" t="str">
        <f t="shared" ref="A7155:B7155" si="23206">A7135</f>
        <v>Lantai Atap</v>
      </c>
      <c r="B7155" s="385">
        <f t="shared" si="23206"/>
        <v>30</v>
      </c>
      <c r="C7155" s="393" t="s">
        <v>211</v>
      </c>
      <c r="D7155" s="398">
        <f>VLOOKUP(D7135,'Detail Balok'!$C$10:$AU$140,31,FALSE)</f>
        <v>0</v>
      </c>
      <c r="E7155" s="388" t="s">
        <v>16</v>
      </c>
      <c r="F7155" s="388">
        <f>VLOOKUP(D7135,'Detail Balok'!$C$10:$AU$140,33,FALSE)</f>
        <v>10</v>
      </c>
      <c r="G7155" s="405" t="s">
        <v>157</v>
      </c>
      <c r="H7155" s="395">
        <f>VLOOKUP(D7135,'Detail Balok'!$C$10:$AU$140,35,FALSE)</f>
        <v>100</v>
      </c>
      <c r="I7155" s="388"/>
      <c r="J7155" s="400">
        <f t="shared" ref="J7155" si="23207">(IF(D7155=0,(2*(D7136+G7136))-(F$5*8),IF(D7155=3,(2*(D7136+G7136))-(F$5*8)+(G7136-2*F$5),IF(D7155=4,(2*(D7136+G7136))-(F$5*8)+2*(G7136-2*F$5)))))/1000</f>
        <v>0.88</v>
      </c>
      <c r="K7155" s="400" t="s">
        <v>204</v>
      </c>
      <c r="L7155" s="399">
        <f t="shared" ref="L7155:L7157" si="23208">IF(D7155=0,2*MAX(6*F7155,75),(D7155-1)*2*MAX(6*F7155,75))/1000</f>
        <v>0.15</v>
      </c>
      <c r="M7155" s="399" t="s">
        <v>176</v>
      </c>
      <c r="N7155" s="399">
        <f t="shared" ref="N7155:N7157" si="23209">J7155+L7155</f>
        <v>1.03</v>
      </c>
      <c r="O7155" s="399"/>
      <c r="P7155" s="389"/>
      <c r="Q7155" s="399"/>
      <c r="R7155" s="399"/>
      <c r="S7155" s="399"/>
      <c r="T7155" s="399" t="s">
        <v>125</v>
      </c>
      <c r="U7155" s="401">
        <f t="shared" ref="U7155:U7157" si="23210">0.006165*F7155^2</f>
        <v>0.61650000000000005</v>
      </c>
      <c r="V7155" s="399" t="s">
        <v>125</v>
      </c>
      <c r="W7155" s="399">
        <f t="shared" ref="W7155" si="23211">IF(D7138&gt;4*G7136,ROUND(MAX(D7138/4,2*G7136)/H7155,0)+1,ROUND(D7138/H7155,0)+1)</f>
        <v>13</v>
      </c>
      <c r="X7155" s="399" t="s">
        <v>125</v>
      </c>
      <c r="Y7155" s="389">
        <f t="shared" ref="Y7155" si="23212">D7141</f>
        <v>1</v>
      </c>
      <c r="Z7155" s="400" t="s">
        <v>176</v>
      </c>
      <c r="AA7155" s="402">
        <f t="shared" ref="AA7155:AA7157" si="23213">N7155*U7155*W7155*Y7155</f>
        <v>8.2549350000000015</v>
      </c>
      <c r="AB7155" s="403"/>
    </row>
    <row r="7156" spans="1:28">
      <c r="A7156" s="384" t="str">
        <f t="shared" ref="A7156:B7156" si="23214">A7135</f>
        <v>Lantai Atap</v>
      </c>
      <c r="B7156" s="385">
        <f t="shared" si="23214"/>
        <v>30</v>
      </c>
      <c r="C7156" s="393" t="s">
        <v>212</v>
      </c>
      <c r="D7156" s="398">
        <f>VLOOKUP(D7135,'Detail Balok'!$C$10:$AU$140,36,FALSE)</f>
        <v>0</v>
      </c>
      <c r="E7156" s="388" t="s">
        <v>16</v>
      </c>
      <c r="F7156" s="388">
        <f>VLOOKUP(D7135,'Detail Balok'!$C$10:$AU$140,38,FALSE)</f>
        <v>10</v>
      </c>
      <c r="G7156" s="405" t="s">
        <v>157</v>
      </c>
      <c r="H7156" s="395">
        <f>VLOOKUP(D7135,'Detail Balok'!$C$10:$AU$140,40,FALSE)</f>
        <v>200</v>
      </c>
      <c r="I7156" s="388"/>
      <c r="J7156" s="400">
        <f t="shared" ref="J7156" si="23215">(IF(D7156=0,(2*(D7136+G7136))-(F$5*8),IF(D7156=3,(2*(D7136+G7136))-(F$5*8)+(G7136-2*F$5),IF(D7156=4,(2*(D7136+G7136))-(F$5*8)+2*(G7136-2*F$5)))))/1000</f>
        <v>0.88</v>
      </c>
      <c r="K7156" s="400" t="s">
        <v>204</v>
      </c>
      <c r="L7156" s="399">
        <f t="shared" si="23208"/>
        <v>0.15</v>
      </c>
      <c r="M7156" s="399" t="s">
        <v>176</v>
      </c>
      <c r="N7156" s="399">
        <f t="shared" si="23209"/>
        <v>1.03</v>
      </c>
      <c r="O7156" s="399"/>
      <c r="P7156" s="389"/>
      <c r="Q7156" s="399"/>
      <c r="R7156" s="399"/>
      <c r="S7156" s="399"/>
      <c r="T7156" s="399" t="s">
        <v>125</v>
      </c>
      <c r="U7156" s="401">
        <f t="shared" si="23210"/>
        <v>0.61650000000000005</v>
      </c>
      <c r="V7156" s="399" t="s">
        <v>125</v>
      </c>
      <c r="W7156" s="399">
        <f t="shared" ref="W7156" si="23216">IF(D7138-MAX(D7138/4,2*G7136)*2&gt;0,ROUND((D7138-MAX(D7138/4,2*G7136)*2)/H7156,0),0)</f>
        <v>12</v>
      </c>
      <c r="X7156" s="399" t="s">
        <v>125</v>
      </c>
      <c r="Y7156" s="389">
        <f t="shared" ref="Y7156" si="23217">D7141</f>
        <v>1</v>
      </c>
      <c r="Z7156" s="400" t="s">
        <v>176</v>
      </c>
      <c r="AA7156" s="402">
        <f t="shared" si="23213"/>
        <v>7.6199400000000015</v>
      </c>
      <c r="AB7156" s="403"/>
    </row>
    <row r="7157" spans="1:28">
      <c r="A7157" s="384" t="str">
        <f t="shared" ref="A7157:B7157" si="23218">A7135</f>
        <v>Lantai Atap</v>
      </c>
      <c r="B7157" s="385">
        <f t="shared" si="23218"/>
        <v>30</v>
      </c>
      <c r="C7157" s="393" t="s">
        <v>211</v>
      </c>
      <c r="D7157" s="398">
        <f>VLOOKUP(D7135,'Detail Balok'!$C$10:$AU$140,41,FALSE)</f>
        <v>0</v>
      </c>
      <c r="E7157" s="388" t="s">
        <v>16</v>
      </c>
      <c r="F7157" s="388">
        <f>VLOOKUP(D7135,'Detail Balok'!$C$10:$AU$140,43,FALSE)</f>
        <v>10</v>
      </c>
      <c r="G7157" s="405" t="s">
        <v>157</v>
      </c>
      <c r="H7157" s="395">
        <f>VLOOKUP(D7135,'Detail Balok'!$C$10:$AU$140,45,FALSE)</f>
        <v>100</v>
      </c>
      <c r="I7157" s="388"/>
      <c r="J7157" s="400">
        <f t="shared" ref="J7157" si="23219">(IF(D7157=0,(2*(D7136+G7136))-(F$5*8),IF(D7157=3,(2*(D7136+G7136))-(F$5*8)+(G7136-2*F$5),IF(D7157=4,(2*(D7136+G7136))-(F$5*8)+2*(G7136-2*F$5)))))/1000</f>
        <v>0.88</v>
      </c>
      <c r="K7157" s="400" t="s">
        <v>204</v>
      </c>
      <c r="L7157" s="399">
        <f t="shared" si="23208"/>
        <v>0.15</v>
      </c>
      <c r="M7157" s="399" t="s">
        <v>176</v>
      </c>
      <c r="N7157" s="399">
        <f t="shared" si="23209"/>
        <v>1.03</v>
      </c>
      <c r="O7157" s="399"/>
      <c r="P7157" s="389"/>
      <c r="Q7157" s="399"/>
      <c r="R7157" s="399"/>
      <c r="S7157" s="399"/>
      <c r="T7157" s="399" t="s">
        <v>125</v>
      </c>
      <c r="U7157" s="401">
        <f t="shared" si="23210"/>
        <v>0.61650000000000005</v>
      </c>
      <c r="V7157" s="399" t="s">
        <v>125</v>
      </c>
      <c r="W7157" s="399">
        <f t="shared" ref="W7157" si="23220">IF(D7138&gt;4*G7136,ROUND(MAX(D7138/4,2*G7136)/H7157,0)+1,0)</f>
        <v>13</v>
      </c>
      <c r="X7157" s="399" t="s">
        <v>125</v>
      </c>
      <c r="Y7157" s="389">
        <f t="shared" ref="Y7157" si="23221">D7141</f>
        <v>1</v>
      </c>
      <c r="Z7157" s="400" t="s">
        <v>176</v>
      </c>
      <c r="AA7157" s="402">
        <f t="shared" si="23213"/>
        <v>8.2549350000000015</v>
      </c>
      <c r="AB7157" s="403"/>
    </row>
    <row r="7158" spans="1:28">
      <c r="A7158" s="384"/>
      <c r="B7158" s="385"/>
      <c r="C7158" s="393"/>
      <c r="D7158" s="394"/>
      <c r="E7158" s="388"/>
      <c r="F7158" s="388"/>
      <c r="G7158" s="388"/>
      <c r="H7158" s="395"/>
      <c r="I7158" s="388"/>
      <c r="J7158" s="399"/>
      <c r="K7158" s="396"/>
      <c r="L7158" s="396"/>
      <c r="M7158" s="396"/>
      <c r="N7158" s="396"/>
      <c r="O7158" s="396"/>
      <c r="P7158" s="389"/>
      <c r="Q7158" s="396"/>
      <c r="R7158" s="396"/>
      <c r="S7158" s="396"/>
      <c r="T7158" s="396"/>
      <c r="U7158" s="401"/>
      <c r="V7158" s="396"/>
      <c r="W7158" s="388"/>
      <c r="X7158" s="396"/>
      <c r="Y7158" s="389"/>
      <c r="Z7158" s="396"/>
      <c r="AA7158" s="388"/>
      <c r="AB7158" s="390"/>
    </row>
    <row r="7159" spans="1:28">
      <c r="A7159" s="384" t="str">
        <f t="shared" ref="A7159:B7159" si="23222">A7135</f>
        <v>Lantai Atap</v>
      </c>
      <c r="B7159" s="385">
        <f t="shared" si="23222"/>
        <v>30</v>
      </c>
      <c r="C7159" s="393" t="s">
        <v>213</v>
      </c>
      <c r="D7159" s="398">
        <f>VLOOKUP(D7135,'Detail Balok'!$C$10:$BJ$140,46,FALSE)</f>
        <v>0</v>
      </c>
      <c r="E7159" s="388" t="s">
        <v>16</v>
      </c>
      <c r="F7159" s="388">
        <f>VLOOKUP(D7135,'Detail Balok'!$C$10:$BJ$140,48,FALSE)</f>
        <v>0</v>
      </c>
      <c r="G7159" s="405" t="s">
        <v>157</v>
      </c>
      <c r="H7159" s="395">
        <f>VLOOKUP(D7135,'Detail Balok'!$C$10:$BJ$140,50,FALSE)</f>
        <v>100</v>
      </c>
      <c r="I7159" s="388"/>
      <c r="J7159" s="399">
        <f t="shared" ref="J7159" si="23223">(D7136-2*F$5)/1000</f>
        <v>0.12</v>
      </c>
      <c r="K7159" s="400" t="s">
        <v>204</v>
      </c>
      <c r="L7159" s="399">
        <f t="shared" ref="L7159:L7161" si="23224">IF(D7159=0,2*MAX(6*F7159,75),(D7159-1)*2*MAX(6*F7159,75))/1000</f>
        <v>0.15</v>
      </c>
      <c r="M7159" s="399" t="s">
        <v>176</v>
      </c>
      <c r="N7159" s="399">
        <f t="shared" ref="N7159:N7161" si="23225">J7159+L7159</f>
        <v>0.27</v>
      </c>
      <c r="O7159" s="399"/>
      <c r="P7159" s="399"/>
      <c r="Q7159" s="399"/>
      <c r="R7159" s="399"/>
      <c r="S7159" s="399"/>
      <c r="T7159" s="399" t="s">
        <v>125</v>
      </c>
      <c r="U7159" s="401">
        <f t="shared" ref="U7159:U7161" si="23226">0.006165*F7159^2</f>
        <v>0</v>
      </c>
      <c r="V7159" s="399" t="s">
        <v>125</v>
      </c>
      <c r="W7159" s="399">
        <f t="shared" si="23131"/>
        <v>13</v>
      </c>
      <c r="X7159" s="399" t="s">
        <v>125</v>
      </c>
      <c r="Y7159" s="389">
        <f t="shared" ref="Y7159" si="23227">D7145</f>
        <v>3</v>
      </c>
      <c r="Z7159" s="400" t="s">
        <v>176</v>
      </c>
      <c r="AA7159" s="402">
        <f t="shared" ref="AA7159:AA7161" si="23228">N7159*U7159*W7159*Y7159</f>
        <v>0</v>
      </c>
      <c r="AB7159" s="403"/>
    </row>
    <row r="7160" spans="1:28">
      <c r="A7160" s="384" t="str">
        <f t="shared" ref="A7160:B7160" si="23229">A7135</f>
        <v>Lantai Atap</v>
      </c>
      <c r="B7160" s="385">
        <f t="shared" si="23229"/>
        <v>30</v>
      </c>
      <c r="C7160" s="393" t="s">
        <v>214</v>
      </c>
      <c r="D7160" s="398">
        <f>VLOOKUP(D7135,'Detail Balok'!$C$10:$BJ$140,51,FALSE)</f>
        <v>0</v>
      </c>
      <c r="E7160" s="388" t="s">
        <v>16</v>
      </c>
      <c r="F7160" s="388">
        <f>VLOOKUP(D7135,'Detail Balok'!$C$10:$BJ$140,53,FALSE)</f>
        <v>0</v>
      </c>
      <c r="G7160" s="405" t="s">
        <v>157</v>
      </c>
      <c r="H7160" s="395">
        <f>VLOOKUP(D7135,'Detail Balok'!$C$10:$BJ$140,55,FALSE)</f>
        <v>100</v>
      </c>
      <c r="I7160" s="388"/>
      <c r="J7160" s="399">
        <f t="shared" ref="J7160" si="23230">(D7136-2*F$5)/1000</f>
        <v>0.12</v>
      </c>
      <c r="K7160" s="400" t="s">
        <v>204</v>
      </c>
      <c r="L7160" s="399">
        <f t="shared" si="23224"/>
        <v>0.15</v>
      </c>
      <c r="M7160" s="399" t="s">
        <v>176</v>
      </c>
      <c r="N7160" s="399">
        <f t="shared" si="23225"/>
        <v>0.27</v>
      </c>
      <c r="O7160" s="399"/>
      <c r="P7160" s="399"/>
      <c r="Q7160" s="399"/>
      <c r="R7160" s="399"/>
      <c r="S7160" s="399"/>
      <c r="T7160" s="399" t="s">
        <v>125</v>
      </c>
      <c r="U7160" s="401">
        <f t="shared" si="23226"/>
        <v>0</v>
      </c>
      <c r="V7160" s="399" t="s">
        <v>125</v>
      </c>
      <c r="W7160" s="399">
        <f t="shared" si="23131"/>
        <v>12</v>
      </c>
      <c r="X7160" s="399" t="s">
        <v>125</v>
      </c>
      <c r="Y7160" s="389">
        <f t="shared" ref="Y7160" si="23231">D7145</f>
        <v>3</v>
      </c>
      <c r="Z7160" s="400" t="s">
        <v>176</v>
      </c>
      <c r="AA7160" s="402">
        <f t="shared" si="23228"/>
        <v>0</v>
      </c>
      <c r="AB7160" s="403"/>
    </row>
    <row r="7161" spans="1:28">
      <c r="A7161" s="384" t="str">
        <f t="shared" ref="A7161:B7161" si="23232">A7135</f>
        <v>Lantai Atap</v>
      </c>
      <c r="B7161" s="385">
        <f t="shared" si="23232"/>
        <v>30</v>
      </c>
      <c r="C7161" s="393" t="s">
        <v>213</v>
      </c>
      <c r="D7161" s="398">
        <f>VLOOKUP(D7135,'Detail Balok'!$C$10:$BJ$140,56,FALSE)</f>
        <v>0</v>
      </c>
      <c r="E7161" s="388" t="s">
        <v>16</v>
      </c>
      <c r="F7161" s="388">
        <f>VLOOKUP(D7135,'Detail Balok'!$C$10:$BJ$140,58,FALSE)</f>
        <v>0</v>
      </c>
      <c r="G7161" s="405" t="s">
        <v>157</v>
      </c>
      <c r="H7161" s="395">
        <f>VLOOKUP(D7135,'Detail Balok'!$C$10:$BJ$140,60,FALSE)</f>
        <v>100</v>
      </c>
      <c r="I7161" s="388"/>
      <c r="J7161" s="399">
        <f t="shared" ref="J7161" si="23233">(D7136-2*F$5)/1000</f>
        <v>0.12</v>
      </c>
      <c r="K7161" s="400" t="s">
        <v>204</v>
      </c>
      <c r="L7161" s="399">
        <f t="shared" si="23224"/>
        <v>0.15</v>
      </c>
      <c r="M7161" s="399" t="s">
        <v>176</v>
      </c>
      <c r="N7161" s="399">
        <f t="shared" si="23225"/>
        <v>0.27</v>
      </c>
      <c r="O7161" s="399"/>
      <c r="P7161" s="399"/>
      <c r="Q7161" s="399"/>
      <c r="R7161" s="399"/>
      <c r="S7161" s="399"/>
      <c r="T7161" s="399" t="s">
        <v>125</v>
      </c>
      <c r="U7161" s="401">
        <f t="shared" si="23226"/>
        <v>0</v>
      </c>
      <c r="V7161" s="399" t="s">
        <v>125</v>
      </c>
      <c r="W7161" s="399">
        <f t="shared" si="23131"/>
        <v>13</v>
      </c>
      <c r="X7161" s="399" t="s">
        <v>125</v>
      </c>
      <c r="Y7161" s="389">
        <f t="shared" ref="Y7161" si="23234">D7145</f>
        <v>3</v>
      </c>
      <c r="Z7161" s="400" t="s">
        <v>176</v>
      </c>
      <c r="AA7161" s="402">
        <f t="shared" si="23228"/>
        <v>0</v>
      </c>
      <c r="AB7161" s="403"/>
    </row>
    <row r="7162" spans="1:28">
      <c r="A7162" s="391"/>
      <c r="B7162" s="392"/>
      <c r="C7162" s="392"/>
      <c r="D7162" s="394"/>
      <c r="E7162" s="388"/>
      <c r="F7162" s="388"/>
      <c r="G7162" s="388"/>
      <c r="H7162" s="395"/>
      <c r="I7162" s="388"/>
      <c r="J7162" s="402"/>
      <c r="K7162" s="388"/>
      <c r="L7162" s="388"/>
      <c r="M7162" s="388"/>
      <c r="N7162" s="388"/>
      <c r="O7162" s="388"/>
      <c r="P7162" s="388"/>
      <c r="Q7162" s="388"/>
      <c r="R7162" s="388"/>
      <c r="S7162" s="388"/>
      <c r="T7162" s="388"/>
      <c r="U7162" s="388"/>
      <c r="V7162" s="388"/>
      <c r="W7162" s="388"/>
      <c r="X7162" s="388"/>
      <c r="Y7162" s="389"/>
      <c r="Z7162" s="388"/>
      <c r="AA7162" s="402"/>
      <c r="AB7162" s="403"/>
    </row>
    <row r="7163" spans="1:28" ht="15.75" thickBot="1">
      <c r="A7163" s="406"/>
      <c r="B7163" s="407"/>
      <c r="C7163" s="407"/>
      <c r="D7163" s="408"/>
      <c r="E7163" s="409"/>
      <c r="F7163" s="409"/>
      <c r="G7163" s="409"/>
      <c r="H7163" s="410"/>
      <c r="I7163" s="409"/>
      <c r="J7163" s="409"/>
      <c r="K7163" s="409"/>
      <c r="L7163" s="409"/>
      <c r="M7163" s="409"/>
      <c r="N7163" s="409"/>
      <c r="O7163" s="409"/>
      <c r="P7163" s="409"/>
      <c r="Q7163" s="409"/>
      <c r="R7163" s="409"/>
      <c r="S7163" s="409"/>
      <c r="T7163" s="409"/>
      <c r="U7163" s="409"/>
      <c r="V7163" s="409"/>
      <c r="W7163" s="409"/>
      <c r="X7163" s="409"/>
      <c r="Y7163" s="411"/>
      <c r="Z7163" s="409"/>
      <c r="AA7163" s="412"/>
      <c r="AB7163" s="413"/>
    </row>
    <row r="7164" spans="1:28">
      <c r="A7164" s="377"/>
      <c r="B7164" s="378"/>
      <c r="C7164" s="378"/>
      <c r="D7164" s="379"/>
      <c r="E7164" s="380"/>
      <c r="F7164" s="380"/>
      <c r="G7164" s="380"/>
      <c r="H7164" s="381"/>
      <c r="I7164" s="380"/>
      <c r="J7164" s="380"/>
      <c r="K7164" s="380"/>
      <c r="L7164" s="380"/>
      <c r="M7164" s="380"/>
      <c r="N7164" s="380"/>
      <c r="O7164" s="380"/>
      <c r="P7164" s="380"/>
      <c r="Q7164" s="380"/>
      <c r="R7164" s="380"/>
      <c r="S7164" s="380"/>
      <c r="T7164" s="380"/>
      <c r="U7164" s="380"/>
      <c r="V7164" s="380"/>
      <c r="W7164" s="380"/>
      <c r="X7164" s="380"/>
      <c r="Y7164" s="382"/>
      <c r="Z7164" s="380"/>
      <c r="AA7164" s="380"/>
      <c r="AB7164" s="383"/>
    </row>
    <row r="7165" spans="1:28">
      <c r="A7165" s="384" t="str">
        <f t="shared" si="23140"/>
        <v>Lantai Atap</v>
      </c>
      <c r="B7165" s="385">
        <f t="shared" si="23141"/>
        <v>31</v>
      </c>
      <c r="C7165" s="386" t="str">
        <f t="shared" ref="C7165" si="23235">CONCATENATE(A7165," no. ",B7165)</f>
        <v>Lantai Atap no. 31</v>
      </c>
      <c r="D7165" s="2562" t="str">
        <f>VLOOKUP(C7165,'Data Panjang Balok'!$C$9:$N$254,2,FALSE)</f>
        <v>B24-1</v>
      </c>
      <c r="E7165" s="2576"/>
      <c r="F7165" s="2576"/>
      <c r="G7165" s="2576"/>
      <c r="H7165" s="2577"/>
      <c r="I7165" s="387"/>
      <c r="J7165" s="388"/>
      <c r="K7165" s="388"/>
      <c r="L7165" s="388"/>
      <c r="M7165" s="388"/>
      <c r="N7165" s="388"/>
      <c r="O7165" s="388"/>
      <c r="P7165" s="388"/>
      <c r="Q7165" s="388"/>
      <c r="R7165" s="388"/>
      <c r="S7165" s="388"/>
      <c r="T7165" s="388"/>
      <c r="U7165" s="388"/>
      <c r="V7165" s="388"/>
      <c r="W7165" s="388"/>
      <c r="X7165" s="388"/>
      <c r="Y7165" s="389"/>
      <c r="Z7165" s="388"/>
      <c r="AA7165" s="388"/>
      <c r="AB7165" s="390"/>
    </row>
    <row r="7166" spans="1:28">
      <c r="A7166" s="391"/>
      <c r="B7166" s="392"/>
      <c r="C7166" s="393" t="s">
        <v>118</v>
      </c>
      <c r="D7166" s="2578">
        <f>VLOOKUP(D7165,'Detail Balok'!$C$10:$AU$140,2,FALSE)</f>
        <v>200</v>
      </c>
      <c r="E7166" s="2579"/>
      <c r="F7166" s="388" t="s">
        <v>125</v>
      </c>
      <c r="G7166" s="2579">
        <f>VLOOKUP(D7165,'Detail Balok'!$C$10:$AU$140,3,FALSE)</f>
        <v>400</v>
      </c>
      <c r="H7166" s="2580"/>
      <c r="I7166" s="388"/>
      <c r="J7166" s="396"/>
      <c r="K7166" s="396"/>
      <c r="L7166" s="396"/>
      <c r="M7166" s="396"/>
      <c r="N7166" s="396"/>
      <c r="O7166" s="396"/>
      <c r="P7166" s="396"/>
      <c r="Q7166" s="396"/>
      <c r="R7166" s="396"/>
      <c r="S7166" s="396"/>
      <c r="T7166" s="396"/>
      <c r="U7166" s="388"/>
      <c r="V7166" s="396"/>
      <c r="W7166" s="388"/>
      <c r="X7166" s="396"/>
      <c r="Y7166" s="389"/>
      <c r="Z7166" s="396"/>
      <c r="AA7166" s="388"/>
      <c r="AB7166" s="390"/>
    </row>
    <row r="7167" spans="1:28">
      <c r="A7167" s="391"/>
      <c r="B7167" s="392"/>
      <c r="C7167" s="393" t="s">
        <v>198</v>
      </c>
      <c r="D7167" s="2562">
        <f>VLOOKUP(C7165,'Data Panjang Balok'!$C$9:$N$254,4,FALSE)</f>
        <v>5905</v>
      </c>
      <c r="E7167" s="2563"/>
      <c r="F7167" s="2563"/>
      <c r="G7167" s="2563"/>
      <c r="H7167" s="2564"/>
      <c r="I7167" s="397"/>
      <c r="J7167" s="396"/>
      <c r="K7167" s="396"/>
      <c r="L7167" s="396"/>
      <c r="M7167" s="396"/>
      <c r="N7167" s="396"/>
      <c r="O7167" s="396"/>
      <c r="P7167" s="396"/>
      <c r="Q7167" s="396"/>
      <c r="R7167" s="396"/>
      <c r="S7167" s="396"/>
      <c r="T7167" s="396"/>
      <c r="U7167" s="388"/>
      <c r="V7167" s="396"/>
      <c r="W7167" s="388"/>
      <c r="X7167" s="396"/>
      <c r="Y7167" s="389"/>
      <c r="Z7167" s="396"/>
      <c r="AA7167" s="388"/>
      <c r="AB7167" s="390"/>
    </row>
    <row r="7168" spans="1:28">
      <c r="A7168" s="391"/>
      <c r="B7168" s="392"/>
      <c r="C7168" s="393" t="s">
        <v>199</v>
      </c>
      <c r="D7168" s="2562">
        <f>VLOOKUP(C7165,'Data Panjang Balok'!$C$9:$N$254,7,FALSE)</f>
        <v>5905</v>
      </c>
      <c r="E7168" s="2563"/>
      <c r="F7168" s="2563"/>
      <c r="G7168" s="2563"/>
      <c r="H7168" s="2564"/>
      <c r="I7168" s="397"/>
      <c r="J7168" s="396"/>
      <c r="K7168" s="396"/>
      <c r="L7168" s="396"/>
      <c r="M7168" s="396"/>
      <c r="N7168" s="396"/>
      <c r="O7168" s="396"/>
      <c r="P7168" s="396"/>
      <c r="Q7168" s="396"/>
      <c r="R7168" s="396"/>
      <c r="S7168" s="396"/>
      <c r="T7168" s="396"/>
      <c r="U7168" s="388"/>
      <c r="V7168" s="396"/>
      <c r="W7168" s="388"/>
      <c r="X7168" s="396"/>
      <c r="Y7168" s="389"/>
      <c r="Z7168" s="396"/>
      <c r="AA7168" s="388"/>
      <c r="AB7168" s="390"/>
    </row>
    <row r="7169" spans="1:28">
      <c r="A7169" s="391"/>
      <c r="B7169" s="392"/>
      <c r="C7169" s="393" t="s">
        <v>200</v>
      </c>
      <c r="D7169" s="2562">
        <f>VLOOKUP(C7165,'Data Panjang Balok'!$C$9:$N$254,9,FALSE)</f>
        <v>0</v>
      </c>
      <c r="E7169" s="2563"/>
      <c r="F7169" s="2563"/>
      <c r="G7169" s="2563"/>
      <c r="H7169" s="2564"/>
      <c r="I7169" s="397"/>
      <c r="J7169" s="396"/>
      <c r="K7169" s="396"/>
      <c r="L7169" s="396"/>
      <c r="M7169" s="396"/>
      <c r="N7169" s="396"/>
      <c r="O7169" s="396"/>
      <c r="P7169" s="396"/>
      <c r="Q7169" s="396"/>
      <c r="R7169" s="396"/>
      <c r="S7169" s="396"/>
      <c r="T7169" s="396"/>
      <c r="U7169" s="388"/>
      <c r="V7169" s="396"/>
      <c r="W7169" s="388"/>
      <c r="X7169" s="396"/>
      <c r="Y7169" s="389"/>
      <c r="Z7169" s="396"/>
      <c r="AA7169" s="388"/>
      <c r="AB7169" s="390"/>
    </row>
    <row r="7170" spans="1:28">
      <c r="A7170" s="391"/>
      <c r="B7170" s="392"/>
      <c r="C7170" s="393" t="s">
        <v>201</v>
      </c>
      <c r="D7170" s="2562">
        <f>VLOOKUP(C7165,'Data Panjang Balok'!$C$9:$N$254,10,FALSE)</f>
        <v>0</v>
      </c>
      <c r="E7170" s="2563"/>
      <c r="F7170" s="2563"/>
      <c r="G7170" s="2563"/>
      <c r="H7170" s="2564"/>
      <c r="I7170" s="397"/>
      <c r="J7170" s="396"/>
      <c r="K7170" s="396"/>
      <c r="L7170" s="396"/>
      <c r="M7170" s="396"/>
      <c r="N7170" s="396"/>
      <c r="O7170" s="396"/>
      <c r="P7170" s="396"/>
      <c r="Q7170" s="396"/>
      <c r="R7170" s="396"/>
      <c r="S7170" s="396"/>
      <c r="T7170" s="396"/>
      <c r="U7170" s="388"/>
      <c r="V7170" s="396"/>
      <c r="W7170" s="388"/>
      <c r="X7170" s="396"/>
      <c r="Y7170" s="389"/>
      <c r="Z7170" s="396"/>
      <c r="AA7170" s="388"/>
      <c r="AB7170" s="390"/>
    </row>
    <row r="7171" spans="1:28">
      <c r="A7171" s="391"/>
      <c r="B7171" s="392"/>
      <c r="C7171" s="393" t="s">
        <v>48</v>
      </c>
      <c r="D7171" s="2562">
        <f>VLOOKUP(C7165,'Data Panjang Balok'!$C$9:$N$254,3,FALSE)</f>
        <v>1</v>
      </c>
      <c r="E7171" s="2563"/>
      <c r="F7171" s="2563"/>
      <c r="G7171" s="2563"/>
      <c r="H7171" s="2564"/>
      <c r="I7171" s="397"/>
      <c r="J7171" s="396"/>
      <c r="K7171" s="396"/>
      <c r="L7171" s="396"/>
      <c r="M7171" s="396"/>
      <c r="N7171" s="396"/>
      <c r="O7171" s="396"/>
      <c r="P7171" s="396"/>
      <c r="Q7171" s="396"/>
      <c r="R7171" s="396"/>
      <c r="S7171" s="396"/>
      <c r="T7171" s="396"/>
      <c r="U7171" s="388"/>
      <c r="V7171" s="396"/>
      <c r="W7171" s="388"/>
      <c r="X7171" s="396"/>
      <c r="Y7171" s="389"/>
      <c r="Z7171" s="396"/>
      <c r="AA7171" s="388"/>
      <c r="AB7171" s="390"/>
    </row>
    <row r="7172" spans="1:28">
      <c r="A7172" s="384" t="str">
        <f t="shared" ref="A7172:B7172" si="23236">A7165</f>
        <v>Lantai Atap</v>
      </c>
      <c r="B7172" s="385">
        <f t="shared" si="23236"/>
        <v>31</v>
      </c>
      <c r="C7172" s="393" t="s">
        <v>202</v>
      </c>
      <c r="D7172" s="398">
        <f>VLOOKUP(D7165,'Detail Balok'!$C$10:$AU$140,4,FALSE)</f>
        <v>3</v>
      </c>
      <c r="E7172" s="388" t="s">
        <v>16</v>
      </c>
      <c r="F7172" s="388">
        <f>VLOOKUP(D7165,'Detail Balok'!$C$10:$AU$140,6,FALSE)</f>
        <v>13</v>
      </c>
      <c r="G7172" s="388"/>
      <c r="H7172" s="395"/>
      <c r="I7172" s="388" t="s">
        <v>203</v>
      </c>
      <c r="J7172" s="399">
        <f t="shared" ref="J7172" si="23237">+D7167/4/1000</f>
        <v>1.4762500000000001</v>
      </c>
      <c r="K7172" s="400" t="s">
        <v>204</v>
      </c>
      <c r="L7172" s="399">
        <f t="shared" ref="L7172" si="23238">MAX(VLOOKUP(F7172,N$6:P$15,3,FALSE)/1000,2/3*D7169/1000)+F$16*F7172/1000</f>
        <v>0.156</v>
      </c>
      <c r="M7172" s="399" t="s">
        <v>176</v>
      </c>
      <c r="N7172" s="399">
        <f t="shared" ref="N7172:N7174" si="23239">J7172+L7172</f>
        <v>1.63225</v>
      </c>
      <c r="O7172" s="399" t="s">
        <v>204</v>
      </c>
      <c r="P7172" s="389">
        <f t="shared" ref="P7172" si="23240">D7172-D7173</f>
        <v>0</v>
      </c>
      <c r="Q7172" s="399" t="s">
        <v>125</v>
      </c>
      <c r="R7172" s="399">
        <f t="shared" ref="R7172" si="23241">IF(P7172&gt;0,$F$18*F7172/1000,0)</f>
        <v>0</v>
      </c>
      <c r="S7172" s="399" t="s">
        <v>205</v>
      </c>
      <c r="T7172" s="399" t="s">
        <v>125</v>
      </c>
      <c r="U7172" s="401">
        <f t="shared" ref="U7172:U7174" si="23242">0.006165*F7172^2</f>
        <v>1.041885</v>
      </c>
      <c r="V7172" s="399"/>
      <c r="W7172" s="399"/>
      <c r="X7172" s="399" t="s">
        <v>125</v>
      </c>
      <c r="Y7172" s="389">
        <f t="shared" ref="Y7172" si="23243">D7171</f>
        <v>1</v>
      </c>
      <c r="Z7172" s="400" t="s">
        <v>176</v>
      </c>
      <c r="AA7172" s="402">
        <f t="shared" ref="AA7172" si="23244">IF(AA7175=0,(D7172*N7172+P7172*R7172)*U7172*Y7172,0)</f>
        <v>0</v>
      </c>
      <c r="AB7172" s="403"/>
    </row>
    <row r="7173" spans="1:28">
      <c r="A7173" s="384" t="str">
        <f t="shared" ref="A7173:B7173" si="23245">A7165</f>
        <v>Lantai Atap</v>
      </c>
      <c r="B7173" s="385">
        <f t="shared" si="23245"/>
        <v>31</v>
      </c>
      <c r="C7173" s="393" t="s">
        <v>206</v>
      </c>
      <c r="D7173" s="398">
        <f>VLOOKUP(D7165,'Detail Balok'!$C$10:$AU$140,7,FALSE)</f>
        <v>3</v>
      </c>
      <c r="E7173" s="388" t="s">
        <v>16</v>
      </c>
      <c r="F7173" s="388">
        <f>VLOOKUP(D7165,'Detail Balok'!$C$10:$AU$140,9,FALSE)</f>
        <v>13</v>
      </c>
      <c r="G7173" s="388"/>
      <c r="H7173" s="395"/>
      <c r="I7173" s="388" t="s">
        <v>203</v>
      </c>
      <c r="J7173" s="399">
        <f t="shared" ref="J7173" si="23246">+D7167/2/1000</f>
        <v>2.9525000000000001</v>
      </c>
      <c r="K7173" s="400" t="s">
        <v>204</v>
      </c>
      <c r="L7173" s="399"/>
      <c r="M7173" s="399" t="s">
        <v>176</v>
      </c>
      <c r="N7173" s="399">
        <f t="shared" si="23239"/>
        <v>2.9525000000000001</v>
      </c>
      <c r="O7173" s="399" t="s">
        <v>204</v>
      </c>
      <c r="P7173" s="389">
        <f t="shared" ref="P7173" si="23247">MAX(D7173-D7172,D7173-D7174)</f>
        <v>0</v>
      </c>
      <c r="Q7173" s="399" t="s">
        <v>125</v>
      </c>
      <c r="R7173" s="399">
        <f t="shared" ref="R7173" si="23248">IF(P7173&gt;0,2*(1-2*$F$19-1/2)*D7168/1000,0)</f>
        <v>0</v>
      </c>
      <c r="S7173" s="399" t="s">
        <v>205</v>
      </c>
      <c r="T7173" s="399" t="s">
        <v>125</v>
      </c>
      <c r="U7173" s="401">
        <f t="shared" si="23242"/>
        <v>1.041885</v>
      </c>
      <c r="V7173" s="399"/>
      <c r="W7173" s="399"/>
      <c r="X7173" s="399" t="s">
        <v>125</v>
      </c>
      <c r="Y7173" s="389">
        <f t="shared" ref="Y7173" si="23249">D7171</f>
        <v>1</v>
      </c>
      <c r="Z7173" s="400" t="s">
        <v>176</v>
      </c>
      <c r="AA7173" s="402">
        <f t="shared" ref="AA7173" si="23250">IF(AA7175=0,(D7173*N7173+P7173*R7173)*U7173*Y7173,0)</f>
        <v>0</v>
      </c>
      <c r="AB7173" s="403"/>
    </row>
    <row r="7174" spans="1:28">
      <c r="A7174" s="384" t="str">
        <f t="shared" ref="A7174:B7174" si="23251">A7165</f>
        <v>Lantai Atap</v>
      </c>
      <c r="B7174" s="385">
        <f t="shared" si="23251"/>
        <v>31</v>
      </c>
      <c r="C7174" s="393" t="s">
        <v>202</v>
      </c>
      <c r="D7174" s="398">
        <f>VLOOKUP(D7165,'Detail Balok'!$C$10:$AU$140,10,FALSE)</f>
        <v>3</v>
      </c>
      <c r="E7174" s="388" t="s">
        <v>16</v>
      </c>
      <c r="F7174" s="388">
        <f>VLOOKUP(D7165,'Detail Balok'!$C$10:$AU$140,12,FALSE)</f>
        <v>13</v>
      </c>
      <c r="G7174" s="388"/>
      <c r="H7174" s="395"/>
      <c r="I7174" s="388" t="s">
        <v>203</v>
      </c>
      <c r="J7174" s="399">
        <f t="shared" ref="J7174" si="23252">+D7167/4/1000</f>
        <v>1.4762500000000001</v>
      </c>
      <c r="K7174" s="400" t="s">
        <v>204</v>
      </c>
      <c r="L7174" s="399">
        <f t="shared" ref="L7174" si="23253">MAX(VLOOKUP(F7174,N$6:P$15,3,FALSE)/1000,2/3*D7169/1000)+F$16*F7174/1000</f>
        <v>0.156</v>
      </c>
      <c r="M7174" s="399" t="s">
        <v>176</v>
      </c>
      <c r="N7174" s="399">
        <f t="shared" si="23239"/>
        <v>1.63225</v>
      </c>
      <c r="O7174" s="399" t="s">
        <v>204</v>
      </c>
      <c r="P7174" s="389">
        <f t="shared" ref="P7174" si="23254">D7174-D7173</f>
        <v>0</v>
      </c>
      <c r="Q7174" s="399" t="s">
        <v>125</v>
      </c>
      <c r="R7174" s="399">
        <f t="shared" ref="R7174" si="23255">IF(P7174&gt;0,$F$18*F7174/1000,0)</f>
        <v>0</v>
      </c>
      <c r="S7174" s="399" t="s">
        <v>205</v>
      </c>
      <c r="T7174" s="399" t="s">
        <v>125</v>
      </c>
      <c r="U7174" s="401">
        <f t="shared" si="23242"/>
        <v>1.041885</v>
      </c>
      <c r="V7174" s="399"/>
      <c r="W7174" s="399"/>
      <c r="X7174" s="399" t="s">
        <v>125</v>
      </c>
      <c r="Y7174" s="389">
        <f t="shared" ref="Y7174" si="23256">D7171</f>
        <v>1</v>
      </c>
      <c r="Z7174" s="400" t="s">
        <v>176</v>
      </c>
      <c r="AA7174" s="402">
        <f t="shared" ref="AA7174" si="23257">IF(AA7175=0,(D7174*N7174+P7174*R7174)*U7174*Y7174,0)</f>
        <v>0</v>
      </c>
      <c r="AB7174" s="403"/>
    </row>
    <row r="7175" spans="1:28">
      <c r="A7175" s="384" t="str">
        <f t="shared" ref="A7175:B7175" si="23258">A7165</f>
        <v>Lantai Atap</v>
      </c>
      <c r="B7175" s="385">
        <f t="shared" si="23258"/>
        <v>31</v>
      </c>
      <c r="C7175" s="393"/>
      <c r="D7175" s="398">
        <f t="shared" si="23061"/>
        <v>3</v>
      </c>
      <c r="E7175" s="388" t="s">
        <v>16</v>
      </c>
      <c r="F7175" s="388">
        <f t="shared" si="23062"/>
        <v>13</v>
      </c>
      <c r="G7175" s="388"/>
      <c r="H7175" s="395"/>
      <c r="I7175" s="388"/>
      <c r="J7175" s="396"/>
      <c r="K7175" s="396"/>
      <c r="L7175" s="404" t="s">
        <v>207</v>
      </c>
      <c r="M7175" s="399" t="s">
        <v>176</v>
      </c>
      <c r="N7175" s="399">
        <f t="shared" ref="N7175" si="23259">IF(AND(D7172=D7173,D7172=D7174,D7173=D7174,F7172=F7173,F7172=F7174,F7173=F7174),SUM(N7172:N7174),0)</f>
        <v>6.2169999999999996</v>
      </c>
      <c r="O7175" s="399" t="s">
        <v>204</v>
      </c>
      <c r="P7175" s="389">
        <f t="shared" ref="P7175" si="23260">IF(N7175&gt;12,ROUNDDOWN(N7175/12,0),0)</f>
        <v>0</v>
      </c>
      <c r="Q7175" s="399" t="s">
        <v>125</v>
      </c>
      <c r="R7175" s="399">
        <f t="shared" ref="R7175" si="23261">IF(P7175&gt;0,MAX(VLOOKUP(F7175,$D$6:$G$15,3,FALSE),600),0)/1000</f>
        <v>0</v>
      </c>
      <c r="S7175" s="396"/>
      <c r="T7175" s="396" t="s">
        <v>125</v>
      </c>
      <c r="U7175" s="401">
        <f t="shared" si="23066"/>
        <v>1.041885</v>
      </c>
      <c r="V7175" s="396" t="s">
        <v>125</v>
      </c>
      <c r="W7175" s="399">
        <f t="shared" ref="W7175" si="23262">D7175</f>
        <v>3</v>
      </c>
      <c r="X7175" s="399" t="s">
        <v>125</v>
      </c>
      <c r="Y7175" s="389">
        <f t="shared" si="23068"/>
        <v>1</v>
      </c>
      <c r="Z7175" s="400" t="s">
        <v>176</v>
      </c>
      <c r="AA7175" s="402">
        <f t="shared" ref="AA7175" si="23263">(N7175+P7175*R7175/1000)*U7175*W7175*Y7175</f>
        <v>19.432197134999999</v>
      </c>
      <c r="AB7175" s="390"/>
    </row>
    <row r="7176" spans="1:28">
      <c r="A7176" s="384"/>
      <c r="B7176" s="385"/>
      <c r="C7176" s="393"/>
      <c r="D7176" s="398"/>
      <c r="E7176" s="388"/>
      <c r="F7176" s="388"/>
      <c r="G7176" s="388"/>
      <c r="H7176" s="395"/>
      <c r="I7176" s="388"/>
      <c r="J7176" s="396"/>
      <c r="K7176" s="396"/>
      <c r="L7176" s="404"/>
      <c r="M7176" s="399"/>
      <c r="N7176" s="399"/>
      <c r="O7176" s="396"/>
      <c r="P7176" s="389"/>
      <c r="Q7176" s="396"/>
      <c r="R7176" s="396"/>
      <c r="S7176" s="396"/>
      <c r="T7176" s="396"/>
      <c r="U7176" s="401"/>
      <c r="V7176" s="396"/>
      <c r="W7176" s="399"/>
      <c r="X7176" s="396"/>
      <c r="Y7176" s="389"/>
      <c r="Z7176" s="396"/>
      <c r="AA7176" s="388"/>
      <c r="AB7176" s="390"/>
    </row>
    <row r="7177" spans="1:28">
      <c r="A7177" s="384" t="str">
        <f t="shared" ref="A7177:B7177" si="23264">A7165</f>
        <v>Lantai Atap</v>
      </c>
      <c r="B7177" s="385">
        <f t="shared" si="23264"/>
        <v>31</v>
      </c>
      <c r="C7177" s="393" t="s">
        <v>208</v>
      </c>
      <c r="D7177" s="398">
        <f>VLOOKUP(D7165,'Detail Balok'!$C$10:$AU$140,13,FALSE)</f>
        <v>0</v>
      </c>
      <c r="E7177" s="388" t="s">
        <v>16</v>
      </c>
      <c r="F7177" s="388">
        <f>VLOOKUP(D7165,'Detail Balok'!$C$10:$AU$140,15,FALSE)</f>
        <v>8</v>
      </c>
      <c r="G7177" s="388"/>
      <c r="H7177" s="395"/>
      <c r="I7177" s="388"/>
      <c r="J7177" s="399">
        <f t="shared" ref="J7177" si="23265">+D7167/1000</f>
        <v>5.9050000000000002</v>
      </c>
      <c r="K7177" s="400" t="s">
        <v>204</v>
      </c>
      <c r="L7177" s="399">
        <f t="shared" ref="L7177" si="23266">2*$F$16*F7177/1000</f>
        <v>0.192</v>
      </c>
      <c r="M7177" s="399" t="s">
        <v>176</v>
      </c>
      <c r="N7177" s="399">
        <f t="shared" ref="N7177" si="23267">J7177+L7177</f>
        <v>6.0970000000000004</v>
      </c>
      <c r="O7177" s="399" t="s">
        <v>204</v>
      </c>
      <c r="P7177" s="389">
        <f t="shared" ref="P7177" si="23268">IF(N7177&gt;12,ROUNDDOWN(N7177/12,0),0)</f>
        <v>0</v>
      </c>
      <c r="Q7177" s="399" t="s">
        <v>125</v>
      </c>
      <c r="R7177" s="399">
        <f t="shared" ref="R7177" si="23269">IF(P7177&gt;0,MAX(VLOOKUP(F7177,$D$6:$G$15,3,FALSE),600),0)/1000</f>
        <v>0</v>
      </c>
      <c r="S7177" s="399"/>
      <c r="T7177" s="399" t="s">
        <v>125</v>
      </c>
      <c r="U7177" s="401">
        <f t="shared" ref="U7177" si="23270">0.006165*F7177^2</f>
        <v>0.39456000000000002</v>
      </c>
      <c r="V7177" s="399" t="s">
        <v>125</v>
      </c>
      <c r="W7177" s="399">
        <f t="shared" ref="W7177" si="23271">+D7177</f>
        <v>0</v>
      </c>
      <c r="X7177" s="399" t="s">
        <v>125</v>
      </c>
      <c r="Y7177" s="389">
        <f t="shared" ref="Y7177" si="23272">D7171</f>
        <v>1</v>
      </c>
      <c r="Z7177" s="400" t="s">
        <v>176</v>
      </c>
      <c r="AA7177" s="402">
        <f t="shared" ref="AA7177" si="23273">(N7177+P7177*R7177/1000)*U7177*W7177*Y7177</f>
        <v>0</v>
      </c>
      <c r="AB7177" s="403"/>
    </row>
    <row r="7178" spans="1:28">
      <c r="A7178" s="384"/>
      <c r="B7178" s="385"/>
      <c r="C7178" s="393"/>
      <c r="D7178" s="398"/>
      <c r="E7178" s="388"/>
      <c r="F7178" s="388"/>
      <c r="G7178" s="388"/>
      <c r="H7178" s="395"/>
      <c r="I7178" s="388"/>
      <c r="J7178" s="399"/>
      <c r="K7178" s="400"/>
      <c r="L7178" s="399"/>
      <c r="M7178" s="399"/>
      <c r="N7178" s="399"/>
      <c r="O7178" s="399"/>
      <c r="P7178" s="389"/>
      <c r="Q7178" s="399"/>
      <c r="R7178" s="399"/>
      <c r="S7178" s="399"/>
      <c r="T7178" s="399"/>
      <c r="U7178" s="401"/>
      <c r="V7178" s="399"/>
      <c r="W7178" s="399"/>
      <c r="X7178" s="399"/>
      <c r="Y7178" s="389"/>
      <c r="Z7178" s="400"/>
      <c r="AA7178" s="402"/>
      <c r="AB7178" s="403"/>
    </row>
    <row r="7179" spans="1:28">
      <c r="A7179" s="384"/>
      <c r="B7179" s="385"/>
      <c r="C7179" s="393"/>
      <c r="D7179" s="398"/>
      <c r="E7179" s="388"/>
      <c r="F7179" s="388"/>
      <c r="G7179" s="388"/>
      <c r="H7179" s="395"/>
      <c r="I7179" s="388"/>
      <c r="J7179" s="396"/>
      <c r="K7179" s="396"/>
      <c r="L7179" s="396"/>
      <c r="M7179" s="396"/>
      <c r="N7179" s="396"/>
      <c r="O7179" s="396"/>
      <c r="P7179" s="389"/>
      <c r="Q7179" s="396"/>
      <c r="R7179" s="396"/>
      <c r="S7179" s="396"/>
      <c r="T7179" s="396"/>
      <c r="U7179" s="401"/>
      <c r="V7179" s="396"/>
      <c r="W7179" s="399"/>
      <c r="X7179" s="396"/>
      <c r="Y7179" s="389"/>
      <c r="Z7179" s="396"/>
      <c r="AA7179" s="388"/>
      <c r="AB7179" s="390"/>
    </row>
    <row r="7180" spans="1:28">
      <c r="A7180" s="384" t="str">
        <f t="shared" ref="A7180:B7180" si="23274">A7165</f>
        <v>Lantai Atap</v>
      </c>
      <c r="B7180" s="385">
        <f t="shared" si="23274"/>
        <v>31</v>
      </c>
      <c r="C7180" s="393" t="s">
        <v>209</v>
      </c>
      <c r="D7180" s="398">
        <f>VLOOKUP(D7165,'Detail Balok'!$C$10:$AU$140,22,FALSE)</f>
        <v>3</v>
      </c>
      <c r="E7180" s="388" t="s">
        <v>16</v>
      </c>
      <c r="F7180" s="388">
        <f>VLOOKUP(D7165,'Detail Balok'!$C$10:$AU$140,24,FALSE)</f>
        <v>13</v>
      </c>
      <c r="G7180" s="388"/>
      <c r="H7180" s="395"/>
      <c r="I7180" s="388" t="s">
        <v>203</v>
      </c>
      <c r="J7180" s="399">
        <f t="shared" si="23081"/>
        <v>1.4762500000000001</v>
      </c>
      <c r="K7180" s="400" t="s">
        <v>204</v>
      </c>
      <c r="L7180" s="399">
        <f t="shared" ref="L7180" si="23275">MAX(VLOOKUP(F7180,N$6:P$15,3,FALSE)/1000,2/3*D7170/1000)+F$16*F7180/1000</f>
        <v>0.156</v>
      </c>
      <c r="M7180" s="399" t="s">
        <v>176</v>
      </c>
      <c r="N7180" s="399">
        <f t="shared" ref="N7180:N7182" si="23276">J7180+L7180</f>
        <v>1.63225</v>
      </c>
      <c r="O7180" s="399" t="s">
        <v>204</v>
      </c>
      <c r="P7180" s="389">
        <f t="shared" ref="P7180" si="23277">D7180-D7181</f>
        <v>0</v>
      </c>
      <c r="Q7180" s="399" t="s">
        <v>125</v>
      </c>
      <c r="R7180" s="399">
        <f t="shared" ref="R7180" si="23278">IF(P7180&gt;0,$F$18*F7180/1000,0)</f>
        <v>0</v>
      </c>
      <c r="S7180" s="399" t="s">
        <v>205</v>
      </c>
      <c r="T7180" s="399" t="s">
        <v>125</v>
      </c>
      <c r="U7180" s="401">
        <f t="shared" ref="U7180:U7182" si="23279">0.006165*F7180^2</f>
        <v>1.041885</v>
      </c>
      <c r="V7180" s="399"/>
      <c r="W7180" s="399"/>
      <c r="X7180" s="399" t="s">
        <v>125</v>
      </c>
      <c r="Y7180" s="389">
        <f t="shared" ref="Y7180" si="23280">D7171</f>
        <v>1</v>
      </c>
      <c r="Z7180" s="400" t="s">
        <v>176</v>
      </c>
      <c r="AA7180" s="402">
        <f t="shared" ref="AA7180" si="23281">IF(AA7183=0,(D7180*N7180+P7180*R7180)*U7180*Y7180,0)</f>
        <v>0</v>
      </c>
      <c r="AB7180" s="403"/>
    </row>
    <row r="7181" spans="1:28">
      <c r="A7181" s="384" t="str">
        <f t="shared" ref="A7181:B7181" si="23282">A7165</f>
        <v>Lantai Atap</v>
      </c>
      <c r="B7181" s="385">
        <f t="shared" si="23282"/>
        <v>31</v>
      </c>
      <c r="C7181" s="393" t="s">
        <v>210</v>
      </c>
      <c r="D7181" s="398">
        <f>VLOOKUP(D7165,'Detail Balok'!$C$10:$AU$140,25,FALSE)</f>
        <v>3</v>
      </c>
      <c r="E7181" s="388" t="s">
        <v>16</v>
      </c>
      <c r="F7181" s="388">
        <f>VLOOKUP(D7165,'Detail Balok'!$C$10:$AU$140,27,FALSE)</f>
        <v>13</v>
      </c>
      <c r="G7181" s="388"/>
      <c r="H7181" s="395"/>
      <c r="I7181" s="388" t="s">
        <v>203</v>
      </c>
      <c r="J7181" s="399">
        <f t="shared" si="23081"/>
        <v>2.9525000000000001</v>
      </c>
      <c r="K7181" s="400" t="s">
        <v>204</v>
      </c>
      <c r="L7181" s="399"/>
      <c r="M7181" s="399" t="s">
        <v>176</v>
      </c>
      <c r="N7181" s="399">
        <f t="shared" si="23276"/>
        <v>2.9525000000000001</v>
      </c>
      <c r="O7181" s="399" t="s">
        <v>204</v>
      </c>
      <c r="P7181" s="389">
        <f t="shared" ref="P7181" si="23283">MAX(D7181-D7180,D7181-D7182)</f>
        <v>0</v>
      </c>
      <c r="Q7181" s="399" t="s">
        <v>125</v>
      </c>
      <c r="R7181" s="399">
        <f t="shared" ref="R7181" si="23284">IF(P7181&gt;0,2*(1-2*$F$19-1/2)*D7168/1000,0)</f>
        <v>0</v>
      </c>
      <c r="S7181" s="399" t="s">
        <v>205</v>
      </c>
      <c r="T7181" s="399" t="s">
        <v>125</v>
      </c>
      <c r="U7181" s="401">
        <f t="shared" si="23279"/>
        <v>1.041885</v>
      </c>
      <c r="V7181" s="399"/>
      <c r="W7181" s="399"/>
      <c r="X7181" s="399" t="s">
        <v>125</v>
      </c>
      <c r="Y7181" s="389">
        <f t="shared" ref="Y7181" si="23285">D7171</f>
        <v>1</v>
      </c>
      <c r="Z7181" s="400" t="s">
        <v>176</v>
      </c>
      <c r="AA7181" s="402">
        <f t="shared" ref="AA7181" si="23286">IF(AA7183=0,(D7181*N7181+P7181*R7181)*U7181*Y7181,0)</f>
        <v>0</v>
      </c>
      <c r="AB7181" s="403"/>
    </row>
    <row r="7182" spans="1:28">
      <c r="A7182" s="384" t="str">
        <f t="shared" ref="A7182:B7182" si="23287">A7165</f>
        <v>Lantai Atap</v>
      </c>
      <c r="B7182" s="385">
        <f t="shared" si="23287"/>
        <v>31</v>
      </c>
      <c r="C7182" s="393" t="s">
        <v>209</v>
      </c>
      <c r="D7182" s="398">
        <f>VLOOKUP(D7165,'Detail Balok'!$C$10:$AU$140,28,FALSE)</f>
        <v>3</v>
      </c>
      <c r="E7182" s="388" t="s">
        <v>16</v>
      </c>
      <c r="F7182" s="388">
        <f>VLOOKUP(D7165,'Detail Balok'!$C$10:$AU$140,30,FALSE)</f>
        <v>13</v>
      </c>
      <c r="G7182" s="388"/>
      <c r="H7182" s="395"/>
      <c r="I7182" s="388" t="s">
        <v>203</v>
      </c>
      <c r="J7182" s="399">
        <f t="shared" si="23081"/>
        <v>1.4762500000000001</v>
      </c>
      <c r="K7182" s="400" t="s">
        <v>204</v>
      </c>
      <c r="L7182" s="399">
        <f t="shared" ref="L7182" si="23288">MAX(VLOOKUP(F7182,N$6:P$15,3,FALSE)/1000,2/3*D7170/1000)+F$16*F7182/1000</f>
        <v>0.156</v>
      </c>
      <c r="M7182" s="399" t="s">
        <v>176</v>
      </c>
      <c r="N7182" s="399">
        <f t="shared" si="23276"/>
        <v>1.63225</v>
      </c>
      <c r="O7182" s="399" t="s">
        <v>204</v>
      </c>
      <c r="P7182" s="389">
        <f t="shared" ref="P7182" si="23289">D7182-D7181</f>
        <v>0</v>
      </c>
      <c r="Q7182" s="399" t="s">
        <v>125</v>
      </c>
      <c r="R7182" s="399">
        <f t="shared" ref="R7182" si="23290">IF(P7182&gt;0,$F$18*F7182/1000,0)</f>
        <v>0</v>
      </c>
      <c r="S7182" s="399" t="s">
        <v>205</v>
      </c>
      <c r="T7182" s="399" t="s">
        <v>125</v>
      </c>
      <c r="U7182" s="401">
        <f t="shared" si="23279"/>
        <v>1.041885</v>
      </c>
      <c r="V7182" s="399"/>
      <c r="W7182" s="399"/>
      <c r="X7182" s="399" t="s">
        <v>125</v>
      </c>
      <c r="Y7182" s="389">
        <f t="shared" ref="Y7182" si="23291">D7171</f>
        <v>1</v>
      </c>
      <c r="Z7182" s="400" t="s">
        <v>176</v>
      </c>
      <c r="AA7182" s="402">
        <f t="shared" ref="AA7182" si="23292">IF(AA7183=0,(D7182*N7182+P7182*R7182)*U7182*Y7182,0)</f>
        <v>0</v>
      </c>
      <c r="AB7182" s="403"/>
    </row>
    <row r="7183" spans="1:28">
      <c r="A7183" s="384" t="str">
        <f t="shared" ref="A7183:B7183" si="23293">A7165</f>
        <v>Lantai Atap</v>
      </c>
      <c r="B7183" s="385">
        <f t="shared" si="23293"/>
        <v>31</v>
      </c>
      <c r="C7183" s="393"/>
      <c r="D7183" s="398">
        <f t="shared" si="23101"/>
        <v>3</v>
      </c>
      <c r="E7183" s="388" t="s">
        <v>16</v>
      </c>
      <c r="F7183" s="388">
        <f t="shared" si="23102"/>
        <v>13</v>
      </c>
      <c r="G7183" s="388"/>
      <c r="H7183" s="395"/>
      <c r="I7183" s="388"/>
      <c r="J7183" s="396"/>
      <c r="K7183" s="396"/>
      <c r="L7183" s="404" t="s">
        <v>207</v>
      </c>
      <c r="M7183" s="399" t="s">
        <v>176</v>
      </c>
      <c r="N7183" s="399">
        <f t="shared" ref="N7183" si="23294">IF(AND(D7180=D7181,D7180=D7182,D7181=D7182,F7180=F7181,F7180=F7182,F7181=F7182),SUM(N7180:N7182),0)</f>
        <v>6.2169999999999996</v>
      </c>
      <c r="O7183" s="399" t="s">
        <v>204</v>
      </c>
      <c r="P7183" s="389">
        <f t="shared" ref="P7183" si="23295">IF(N7183&gt;12,ROUNDDOWN(N7183/12,0),0)</f>
        <v>0</v>
      </c>
      <c r="Q7183" s="399" t="s">
        <v>125</v>
      </c>
      <c r="R7183" s="399">
        <f t="shared" ref="R7183" si="23296">IF(P7183&gt;0,MAX(VLOOKUP(F7183,$D$6:$G$15,3,FALSE),600),0)/1000</f>
        <v>0</v>
      </c>
      <c r="S7183" s="396"/>
      <c r="T7183" s="396" t="s">
        <v>125</v>
      </c>
      <c r="U7183" s="401">
        <f t="shared" si="23106"/>
        <v>1.041885</v>
      </c>
      <c r="V7183" s="396" t="s">
        <v>125</v>
      </c>
      <c r="W7183" s="399">
        <f t="shared" ref="W7183" si="23297">D7183</f>
        <v>3</v>
      </c>
      <c r="X7183" s="399" t="s">
        <v>125</v>
      </c>
      <c r="Y7183" s="389">
        <f t="shared" si="23108"/>
        <v>1</v>
      </c>
      <c r="Z7183" s="400" t="s">
        <v>176</v>
      </c>
      <c r="AA7183" s="402">
        <f t="shared" ref="AA7183" si="23298">(N7183+P7183*R7183/1000)*U7183*W7183*Y7183</f>
        <v>19.432197134999999</v>
      </c>
      <c r="AB7183" s="403"/>
    </row>
    <row r="7184" spans="1:28">
      <c r="A7184" s="384"/>
      <c r="B7184" s="385"/>
      <c r="C7184" s="393"/>
      <c r="D7184" s="394"/>
      <c r="E7184" s="388"/>
      <c r="F7184" s="388"/>
      <c r="G7184" s="388"/>
      <c r="H7184" s="395"/>
      <c r="I7184" s="388"/>
      <c r="J7184" s="399"/>
      <c r="K7184" s="396"/>
      <c r="L7184" s="396"/>
      <c r="M7184" s="396"/>
      <c r="N7184" s="396"/>
      <c r="O7184" s="396"/>
      <c r="P7184" s="389"/>
      <c r="Q7184" s="396"/>
      <c r="R7184" s="396"/>
      <c r="S7184" s="396"/>
      <c r="T7184" s="396"/>
      <c r="U7184" s="401"/>
      <c r="V7184" s="396"/>
      <c r="W7184" s="388"/>
      <c r="X7184" s="396"/>
      <c r="Y7184" s="389"/>
      <c r="Z7184" s="396"/>
      <c r="AA7184" s="388"/>
      <c r="AB7184" s="390"/>
    </row>
    <row r="7185" spans="1:28">
      <c r="A7185" s="384" t="str">
        <f t="shared" ref="A7185:B7185" si="23299">A7165</f>
        <v>Lantai Atap</v>
      </c>
      <c r="B7185" s="385">
        <f t="shared" si="23299"/>
        <v>31</v>
      </c>
      <c r="C7185" s="393" t="s">
        <v>211</v>
      </c>
      <c r="D7185" s="398">
        <f>VLOOKUP(D7165,'Detail Balok'!$C$10:$AU$140,31,FALSE)</f>
        <v>0</v>
      </c>
      <c r="E7185" s="388" t="s">
        <v>16</v>
      </c>
      <c r="F7185" s="388">
        <f>VLOOKUP(D7165,'Detail Balok'!$C$10:$AU$140,33,FALSE)</f>
        <v>10</v>
      </c>
      <c r="G7185" s="405" t="s">
        <v>157</v>
      </c>
      <c r="H7185" s="395">
        <f>VLOOKUP(D7165,'Detail Balok'!$C$10:$AU$140,35,FALSE)</f>
        <v>100</v>
      </c>
      <c r="I7185" s="388"/>
      <c r="J7185" s="400">
        <f t="shared" ref="J7185" si="23300">(IF(D7185=0,(2*(D7166+G7166))-(F$5*8),IF(D7185=3,(2*(D7166+G7166))-(F$5*8)+(G7166-2*F$5),IF(D7185=4,(2*(D7166+G7166))-(F$5*8)+2*(G7166-2*F$5)))))/1000</f>
        <v>0.88</v>
      </c>
      <c r="K7185" s="400" t="s">
        <v>204</v>
      </c>
      <c r="L7185" s="399">
        <f t="shared" ref="L7185:L7187" si="23301">IF(D7185=0,2*MAX(6*F7185,75),(D7185-1)*2*MAX(6*F7185,75))/1000</f>
        <v>0.15</v>
      </c>
      <c r="M7185" s="399" t="s">
        <v>176</v>
      </c>
      <c r="N7185" s="399">
        <f t="shared" ref="N7185:N7187" si="23302">J7185+L7185</f>
        <v>1.03</v>
      </c>
      <c r="O7185" s="399"/>
      <c r="P7185" s="389"/>
      <c r="Q7185" s="399"/>
      <c r="R7185" s="399"/>
      <c r="S7185" s="399"/>
      <c r="T7185" s="399" t="s">
        <v>125</v>
      </c>
      <c r="U7185" s="401">
        <f t="shared" ref="U7185:U7187" si="23303">0.006165*F7185^2</f>
        <v>0.61650000000000005</v>
      </c>
      <c r="V7185" s="399" t="s">
        <v>125</v>
      </c>
      <c r="W7185" s="399">
        <f t="shared" ref="W7185" si="23304">IF(D7168&gt;4*G7166,ROUND(MAX(D7168/4,2*G7166)/H7185,0)+1,ROUND(D7168/H7185,0)+1)</f>
        <v>16</v>
      </c>
      <c r="X7185" s="399" t="s">
        <v>125</v>
      </c>
      <c r="Y7185" s="389">
        <f t="shared" ref="Y7185" si="23305">D7171</f>
        <v>1</v>
      </c>
      <c r="Z7185" s="400" t="s">
        <v>176</v>
      </c>
      <c r="AA7185" s="402">
        <f t="shared" ref="AA7185:AA7187" si="23306">N7185*U7185*W7185*Y7185</f>
        <v>10.159920000000001</v>
      </c>
      <c r="AB7185" s="403"/>
    </row>
    <row r="7186" spans="1:28">
      <c r="A7186" s="384" t="str">
        <f t="shared" ref="A7186:B7186" si="23307">A7165</f>
        <v>Lantai Atap</v>
      </c>
      <c r="B7186" s="385">
        <f t="shared" si="23307"/>
        <v>31</v>
      </c>
      <c r="C7186" s="393" t="s">
        <v>212</v>
      </c>
      <c r="D7186" s="398">
        <f>VLOOKUP(D7165,'Detail Balok'!$C$10:$AU$140,36,FALSE)</f>
        <v>0</v>
      </c>
      <c r="E7186" s="388" t="s">
        <v>16</v>
      </c>
      <c r="F7186" s="388">
        <f>VLOOKUP(D7165,'Detail Balok'!$C$10:$AU$140,38,FALSE)</f>
        <v>10</v>
      </c>
      <c r="G7186" s="405" t="s">
        <v>157</v>
      </c>
      <c r="H7186" s="395">
        <f>VLOOKUP(D7165,'Detail Balok'!$C$10:$AU$140,40,FALSE)</f>
        <v>200</v>
      </c>
      <c r="I7186" s="388"/>
      <c r="J7186" s="400">
        <f t="shared" ref="J7186" si="23308">(IF(D7186=0,(2*(D7166+G7166))-(F$5*8),IF(D7186=3,(2*(D7166+G7166))-(F$5*8)+(G7166-2*F$5),IF(D7186=4,(2*(D7166+G7166))-(F$5*8)+2*(G7166-2*F$5)))))/1000</f>
        <v>0.88</v>
      </c>
      <c r="K7186" s="400" t="s">
        <v>204</v>
      </c>
      <c r="L7186" s="399">
        <f t="shared" si="23301"/>
        <v>0.15</v>
      </c>
      <c r="M7186" s="399" t="s">
        <v>176</v>
      </c>
      <c r="N7186" s="399">
        <f t="shared" si="23302"/>
        <v>1.03</v>
      </c>
      <c r="O7186" s="399"/>
      <c r="P7186" s="389"/>
      <c r="Q7186" s="399"/>
      <c r="R7186" s="399"/>
      <c r="S7186" s="399"/>
      <c r="T7186" s="399" t="s">
        <v>125</v>
      </c>
      <c r="U7186" s="401">
        <f t="shared" si="23303"/>
        <v>0.61650000000000005</v>
      </c>
      <c r="V7186" s="399" t="s">
        <v>125</v>
      </c>
      <c r="W7186" s="399">
        <f t="shared" ref="W7186" si="23309">IF(D7168-MAX(D7168/4,2*G7166)*2&gt;0,ROUND((D7168-MAX(D7168/4,2*G7166)*2)/H7186,0),0)</f>
        <v>15</v>
      </c>
      <c r="X7186" s="399" t="s">
        <v>125</v>
      </c>
      <c r="Y7186" s="389">
        <f t="shared" ref="Y7186" si="23310">D7171</f>
        <v>1</v>
      </c>
      <c r="Z7186" s="400" t="s">
        <v>176</v>
      </c>
      <c r="AA7186" s="402">
        <f t="shared" si="23306"/>
        <v>9.5249250000000014</v>
      </c>
      <c r="AB7186" s="403"/>
    </row>
    <row r="7187" spans="1:28">
      <c r="A7187" s="384" t="str">
        <f t="shared" ref="A7187:B7187" si="23311">A7165</f>
        <v>Lantai Atap</v>
      </c>
      <c r="B7187" s="385">
        <f t="shared" si="23311"/>
        <v>31</v>
      </c>
      <c r="C7187" s="393" t="s">
        <v>211</v>
      </c>
      <c r="D7187" s="398">
        <f>VLOOKUP(D7165,'Detail Balok'!$C$10:$AU$140,41,FALSE)</f>
        <v>0</v>
      </c>
      <c r="E7187" s="388" t="s">
        <v>16</v>
      </c>
      <c r="F7187" s="388">
        <f>VLOOKUP(D7165,'Detail Balok'!$C$10:$AU$140,43,FALSE)</f>
        <v>10</v>
      </c>
      <c r="G7187" s="405" t="s">
        <v>157</v>
      </c>
      <c r="H7187" s="395">
        <f>VLOOKUP(D7165,'Detail Balok'!$C$10:$AU$140,45,FALSE)</f>
        <v>100</v>
      </c>
      <c r="I7187" s="388"/>
      <c r="J7187" s="400">
        <f t="shared" ref="J7187" si="23312">(IF(D7187=0,(2*(D7166+G7166))-(F$5*8),IF(D7187=3,(2*(D7166+G7166))-(F$5*8)+(G7166-2*F$5),IF(D7187=4,(2*(D7166+G7166))-(F$5*8)+2*(G7166-2*F$5)))))/1000</f>
        <v>0.88</v>
      </c>
      <c r="K7187" s="400" t="s">
        <v>204</v>
      </c>
      <c r="L7187" s="399">
        <f t="shared" si="23301"/>
        <v>0.15</v>
      </c>
      <c r="M7187" s="399" t="s">
        <v>176</v>
      </c>
      <c r="N7187" s="399">
        <f t="shared" si="23302"/>
        <v>1.03</v>
      </c>
      <c r="O7187" s="399"/>
      <c r="P7187" s="389"/>
      <c r="Q7187" s="399"/>
      <c r="R7187" s="399"/>
      <c r="S7187" s="399"/>
      <c r="T7187" s="399" t="s">
        <v>125</v>
      </c>
      <c r="U7187" s="401">
        <f t="shared" si="23303"/>
        <v>0.61650000000000005</v>
      </c>
      <c r="V7187" s="399" t="s">
        <v>125</v>
      </c>
      <c r="W7187" s="399">
        <f t="shared" ref="W7187" si="23313">IF(D7168&gt;4*G7166,ROUND(MAX(D7168/4,2*G7166)/H7187,0)+1,0)</f>
        <v>16</v>
      </c>
      <c r="X7187" s="399" t="s">
        <v>125</v>
      </c>
      <c r="Y7187" s="389">
        <f t="shared" ref="Y7187" si="23314">D7171</f>
        <v>1</v>
      </c>
      <c r="Z7187" s="400" t="s">
        <v>176</v>
      </c>
      <c r="AA7187" s="402">
        <f t="shared" si="23306"/>
        <v>10.159920000000001</v>
      </c>
      <c r="AB7187" s="403"/>
    </row>
    <row r="7188" spans="1:28">
      <c r="A7188" s="384"/>
      <c r="B7188" s="385"/>
      <c r="C7188" s="393"/>
      <c r="D7188" s="394"/>
      <c r="E7188" s="388"/>
      <c r="F7188" s="388"/>
      <c r="G7188" s="388"/>
      <c r="H7188" s="395"/>
      <c r="I7188" s="388"/>
      <c r="J7188" s="399"/>
      <c r="K7188" s="396"/>
      <c r="L7188" s="396"/>
      <c r="M7188" s="396"/>
      <c r="N7188" s="396"/>
      <c r="O7188" s="396"/>
      <c r="P7188" s="389"/>
      <c r="Q7188" s="396"/>
      <c r="R7188" s="396"/>
      <c r="S7188" s="396"/>
      <c r="T7188" s="396"/>
      <c r="U7188" s="401"/>
      <c r="V7188" s="396"/>
      <c r="W7188" s="388"/>
      <c r="X7188" s="396"/>
      <c r="Y7188" s="389"/>
      <c r="Z7188" s="396"/>
      <c r="AA7188" s="388"/>
      <c r="AB7188" s="390"/>
    </row>
    <row r="7189" spans="1:28">
      <c r="A7189" s="384" t="str">
        <f t="shared" ref="A7189:B7189" si="23315">A7165</f>
        <v>Lantai Atap</v>
      </c>
      <c r="B7189" s="385">
        <f t="shared" si="23315"/>
        <v>31</v>
      </c>
      <c r="C7189" s="393" t="s">
        <v>213</v>
      </c>
      <c r="D7189" s="398">
        <f>VLOOKUP(D7165,'Detail Balok'!$C$10:$BJ$140,46,FALSE)</f>
        <v>0</v>
      </c>
      <c r="E7189" s="388" t="s">
        <v>16</v>
      </c>
      <c r="F7189" s="388">
        <f>VLOOKUP(D7165,'Detail Balok'!$C$10:$BJ$140,48,FALSE)</f>
        <v>0</v>
      </c>
      <c r="G7189" s="405" t="s">
        <v>157</v>
      </c>
      <c r="H7189" s="395">
        <f>VLOOKUP(D7165,'Detail Balok'!$C$10:$BJ$140,50,FALSE)</f>
        <v>100</v>
      </c>
      <c r="I7189" s="388"/>
      <c r="J7189" s="399">
        <f t="shared" ref="J7189" si="23316">(D7166-2*F$5)/1000</f>
        <v>0.12</v>
      </c>
      <c r="K7189" s="400" t="s">
        <v>204</v>
      </c>
      <c r="L7189" s="399">
        <f t="shared" ref="L7189:L7191" si="23317">IF(D7189=0,2*MAX(6*F7189,75),(D7189-1)*2*MAX(6*F7189,75))/1000</f>
        <v>0.15</v>
      </c>
      <c r="M7189" s="399" t="s">
        <v>176</v>
      </c>
      <c r="N7189" s="399">
        <f t="shared" ref="N7189:N7191" si="23318">J7189+L7189</f>
        <v>0.27</v>
      </c>
      <c r="O7189" s="399"/>
      <c r="P7189" s="399"/>
      <c r="Q7189" s="399"/>
      <c r="R7189" s="399"/>
      <c r="S7189" s="399"/>
      <c r="T7189" s="399" t="s">
        <v>125</v>
      </c>
      <c r="U7189" s="401">
        <f t="shared" ref="U7189:U7191" si="23319">0.006165*F7189^2</f>
        <v>0</v>
      </c>
      <c r="V7189" s="399" t="s">
        <v>125</v>
      </c>
      <c r="W7189" s="399">
        <f t="shared" si="23131"/>
        <v>16</v>
      </c>
      <c r="X7189" s="399" t="s">
        <v>125</v>
      </c>
      <c r="Y7189" s="389">
        <f t="shared" ref="Y7189" si="23320">D7175</f>
        <v>3</v>
      </c>
      <c r="Z7189" s="400" t="s">
        <v>176</v>
      </c>
      <c r="AA7189" s="402">
        <f t="shared" ref="AA7189:AA7191" si="23321">N7189*U7189*W7189*Y7189</f>
        <v>0</v>
      </c>
      <c r="AB7189" s="403"/>
    </row>
    <row r="7190" spans="1:28">
      <c r="A7190" s="384" t="str">
        <f t="shared" ref="A7190:B7190" si="23322">A7165</f>
        <v>Lantai Atap</v>
      </c>
      <c r="B7190" s="385">
        <f t="shared" si="23322"/>
        <v>31</v>
      </c>
      <c r="C7190" s="393" t="s">
        <v>214</v>
      </c>
      <c r="D7190" s="398">
        <f>VLOOKUP(D7165,'Detail Balok'!$C$10:$BJ$140,51,FALSE)</f>
        <v>0</v>
      </c>
      <c r="E7190" s="388" t="s">
        <v>16</v>
      </c>
      <c r="F7190" s="388">
        <f>VLOOKUP(D7165,'Detail Balok'!$C$10:$BJ$140,53,FALSE)</f>
        <v>0</v>
      </c>
      <c r="G7190" s="405" t="s">
        <v>157</v>
      </c>
      <c r="H7190" s="395">
        <f>VLOOKUP(D7165,'Detail Balok'!$C$10:$BJ$140,55,FALSE)</f>
        <v>100</v>
      </c>
      <c r="I7190" s="388"/>
      <c r="J7190" s="399">
        <f t="shared" ref="J7190" si="23323">(D7166-2*F$5)/1000</f>
        <v>0.12</v>
      </c>
      <c r="K7190" s="400" t="s">
        <v>204</v>
      </c>
      <c r="L7190" s="399">
        <f t="shared" si="23317"/>
        <v>0.15</v>
      </c>
      <c r="M7190" s="399" t="s">
        <v>176</v>
      </c>
      <c r="N7190" s="399">
        <f t="shared" si="23318"/>
        <v>0.27</v>
      </c>
      <c r="O7190" s="399"/>
      <c r="P7190" s="399"/>
      <c r="Q7190" s="399"/>
      <c r="R7190" s="399"/>
      <c r="S7190" s="399"/>
      <c r="T7190" s="399" t="s">
        <v>125</v>
      </c>
      <c r="U7190" s="401">
        <f t="shared" si="23319"/>
        <v>0</v>
      </c>
      <c r="V7190" s="399" t="s">
        <v>125</v>
      </c>
      <c r="W7190" s="399">
        <f t="shared" si="23131"/>
        <v>15</v>
      </c>
      <c r="X7190" s="399" t="s">
        <v>125</v>
      </c>
      <c r="Y7190" s="389">
        <f t="shared" ref="Y7190" si="23324">D7175</f>
        <v>3</v>
      </c>
      <c r="Z7190" s="400" t="s">
        <v>176</v>
      </c>
      <c r="AA7190" s="402">
        <f t="shared" si="23321"/>
        <v>0</v>
      </c>
      <c r="AB7190" s="403"/>
    </row>
    <row r="7191" spans="1:28">
      <c r="A7191" s="384" t="str">
        <f t="shared" ref="A7191:B7191" si="23325">A7165</f>
        <v>Lantai Atap</v>
      </c>
      <c r="B7191" s="385">
        <f t="shared" si="23325"/>
        <v>31</v>
      </c>
      <c r="C7191" s="393" t="s">
        <v>213</v>
      </c>
      <c r="D7191" s="398">
        <f>VLOOKUP(D7165,'Detail Balok'!$C$10:$BJ$140,56,FALSE)</f>
        <v>0</v>
      </c>
      <c r="E7191" s="388" t="s">
        <v>16</v>
      </c>
      <c r="F7191" s="388">
        <f>VLOOKUP(D7165,'Detail Balok'!$C$10:$BJ$140,58,FALSE)</f>
        <v>0</v>
      </c>
      <c r="G7191" s="405" t="s">
        <v>157</v>
      </c>
      <c r="H7191" s="395">
        <f>VLOOKUP(D7165,'Detail Balok'!$C$10:$BJ$140,60,FALSE)</f>
        <v>100</v>
      </c>
      <c r="I7191" s="388"/>
      <c r="J7191" s="399">
        <f t="shared" ref="J7191" si="23326">(D7166-2*F$5)/1000</f>
        <v>0.12</v>
      </c>
      <c r="K7191" s="400" t="s">
        <v>204</v>
      </c>
      <c r="L7191" s="399">
        <f t="shared" si="23317"/>
        <v>0.15</v>
      </c>
      <c r="M7191" s="399" t="s">
        <v>176</v>
      </c>
      <c r="N7191" s="399">
        <f t="shared" si="23318"/>
        <v>0.27</v>
      </c>
      <c r="O7191" s="399"/>
      <c r="P7191" s="399"/>
      <c r="Q7191" s="399"/>
      <c r="R7191" s="399"/>
      <c r="S7191" s="399"/>
      <c r="T7191" s="399" t="s">
        <v>125</v>
      </c>
      <c r="U7191" s="401">
        <f t="shared" si="23319"/>
        <v>0</v>
      </c>
      <c r="V7191" s="399" t="s">
        <v>125</v>
      </c>
      <c r="W7191" s="399">
        <f t="shared" si="23131"/>
        <v>16</v>
      </c>
      <c r="X7191" s="399" t="s">
        <v>125</v>
      </c>
      <c r="Y7191" s="389">
        <f t="shared" ref="Y7191" si="23327">D7175</f>
        <v>3</v>
      </c>
      <c r="Z7191" s="400" t="s">
        <v>176</v>
      </c>
      <c r="AA7191" s="402">
        <f t="shared" si="23321"/>
        <v>0</v>
      </c>
      <c r="AB7191" s="403"/>
    </row>
    <row r="7192" spans="1:28">
      <c r="A7192" s="391"/>
      <c r="B7192" s="392"/>
      <c r="C7192" s="392"/>
      <c r="D7192" s="394"/>
      <c r="E7192" s="388"/>
      <c r="F7192" s="388"/>
      <c r="G7192" s="388"/>
      <c r="H7192" s="395"/>
      <c r="I7192" s="388"/>
      <c r="J7192" s="402"/>
      <c r="K7192" s="388"/>
      <c r="L7192" s="388"/>
      <c r="M7192" s="388"/>
      <c r="N7192" s="388"/>
      <c r="O7192" s="388"/>
      <c r="P7192" s="388"/>
      <c r="Q7192" s="388"/>
      <c r="R7192" s="388"/>
      <c r="S7192" s="388"/>
      <c r="T7192" s="388"/>
      <c r="U7192" s="388"/>
      <c r="V7192" s="388"/>
      <c r="W7192" s="388"/>
      <c r="X7192" s="388"/>
      <c r="Y7192" s="389"/>
      <c r="Z7192" s="388"/>
      <c r="AA7192" s="402"/>
      <c r="AB7192" s="403"/>
    </row>
    <row r="7193" spans="1:28" ht="15.75" thickBot="1">
      <c r="A7193" s="406"/>
      <c r="B7193" s="407"/>
      <c r="C7193" s="407"/>
      <c r="D7193" s="408"/>
      <c r="E7193" s="409"/>
      <c r="F7193" s="409"/>
      <c r="G7193" s="409"/>
      <c r="H7193" s="410"/>
      <c r="I7193" s="409"/>
      <c r="J7193" s="409"/>
      <c r="K7193" s="409"/>
      <c r="L7193" s="409"/>
      <c r="M7193" s="409"/>
      <c r="N7193" s="409"/>
      <c r="O7193" s="409"/>
      <c r="P7193" s="409"/>
      <c r="Q7193" s="409"/>
      <c r="R7193" s="409"/>
      <c r="S7193" s="409"/>
      <c r="T7193" s="409"/>
      <c r="U7193" s="409"/>
      <c r="V7193" s="409"/>
      <c r="W7193" s="409"/>
      <c r="X7193" s="409"/>
      <c r="Y7193" s="411"/>
      <c r="Z7193" s="409"/>
      <c r="AA7193" s="412"/>
      <c r="AB7193" s="413"/>
    </row>
    <row r="7194" spans="1:28">
      <c r="A7194" s="377"/>
      <c r="B7194" s="378"/>
      <c r="C7194" s="378"/>
      <c r="D7194" s="379"/>
      <c r="E7194" s="380"/>
      <c r="F7194" s="380"/>
      <c r="G7194" s="380"/>
      <c r="H7194" s="381"/>
      <c r="I7194" s="380"/>
      <c r="J7194" s="380"/>
      <c r="K7194" s="380"/>
      <c r="L7194" s="380"/>
      <c r="M7194" s="380"/>
      <c r="N7194" s="380"/>
      <c r="O7194" s="380"/>
      <c r="P7194" s="380"/>
      <c r="Q7194" s="380"/>
      <c r="R7194" s="380"/>
      <c r="S7194" s="380"/>
      <c r="T7194" s="380"/>
      <c r="U7194" s="380"/>
      <c r="V7194" s="380"/>
      <c r="W7194" s="380"/>
      <c r="X7194" s="380"/>
      <c r="Y7194" s="382"/>
      <c r="Z7194" s="380"/>
      <c r="AA7194" s="380"/>
      <c r="AB7194" s="383"/>
    </row>
    <row r="7195" spans="1:28">
      <c r="A7195" s="384" t="str">
        <f t="shared" si="23140"/>
        <v>Lantai Atap</v>
      </c>
      <c r="B7195" s="385">
        <f t="shared" si="23141"/>
        <v>32</v>
      </c>
      <c r="C7195" s="386" t="str">
        <f t="shared" ref="C7195" si="23328">CONCATENATE(A7195," no. ",B7195)</f>
        <v>Lantai Atap no. 32</v>
      </c>
      <c r="D7195" s="2562" t="str">
        <f>VLOOKUP(C7195,'Data Panjang Balok'!$C$9:$N$254,2,FALSE)</f>
        <v>B24-1</v>
      </c>
      <c r="E7195" s="2576"/>
      <c r="F7195" s="2576"/>
      <c r="G7195" s="2576"/>
      <c r="H7195" s="2577"/>
      <c r="I7195" s="387"/>
      <c r="J7195" s="388"/>
      <c r="K7195" s="388"/>
      <c r="L7195" s="388"/>
      <c r="M7195" s="388"/>
      <c r="N7195" s="388"/>
      <c r="O7195" s="388"/>
      <c r="P7195" s="388"/>
      <c r="Q7195" s="388"/>
      <c r="R7195" s="388"/>
      <c r="S7195" s="388"/>
      <c r="T7195" s="388"/>
      <c r="U7195" s="388"/>
      <c r="V7195" s="388"/>
      <c r="W7195" s="388"/>
      <c r="X7195" s="388"/>
      <c r="Y7195" s="389"/>
      <c r="Z7195" s="388"/>
      <c r="AA7195" s="388"/>
      <c r="AB7195" s="390"/>
    </row>
    <row r="7196" spans="1:28">
      <c r="A7196" s="391"/>
      <c r="B7196" s="392"/>
      <c r="C7196" s="393" t="s">
        <v>118</v>
      </c>
      <c r="D7196" s="2578">
        <f>VLOOKUP(D7195,'Detail Balok'!$C$10:$AU$140,2,FALSE)</f>
        <v>200</v>
      </c>
      <c r="E7196" s="2579"/>
      <c r="F7196" s="388" t="s">
        <v>125</v>
      </c>
      <c r="G7196" s="2579">
        <f>VLOOKUP(D7195,'Detail Balok'!$C$10:$AU$140,3,FALSE)</f>
        <v>400</v>
      </c>
      <c r="H7196" s="2580"/>
      <c r="I7196" s="388"/>
      <c r="J7196" s="396"/>
      <c r="K7196" s="396"/>
      <c r="L7196" s="396"/>
      <c r="M7196" s="396"/>
      <c r="N7196" s="396"/>
      <c r="O7196" s="396"/>
      <c r="P7196" s="396"/>
      <c r="Q7196" s="396"/>
      <c r="R7196" s="396"/>
      <c r="S7196" s="396"/>
      <c r="T7196" s="396"/>
      <c r="U7196" s="388"/>
      <c r="V7196" s="396"/>
      <c r="W7196" s="388"/>
      <c r="X7196" s="396"/>
      <c r="Y7196" s="389"/>
      <c r="Z7196" s="396"/>
      <c r="AA7196" s="388"/>
      <c r="AB7196" s="390"/>
    </row>
    <row r="7197" spans="1:28">
      <c r="A7197" s="391"/>
      <c r="B7197" s="392"/>
      <c r="C7197" s="393" t="s">
        <v>198</v>
      </c>
      <c r="D7197" s="2562">
        <f>VLOOKUP(C7195,'Data Panjang Balok'!$C$9:$N$254,4,FALSE)</f>
        <v>4635</v>
      </c>
      <c r="E7197" s="2563"/>
      <c r="F7197" s="2563"/>
      <c r="G7197" s="2563"/>
      <c r="H7197" s="2564"/>
      <c r="I7197" s="397"/>
      <c r="J7197" s="396"/>
      <c r="K7197" s="396"/>
      <c r="L7197" s="396"/>
      <c r="M7197" s="396"/>
      <c r="N7197" s="396"/>
      <c r="O7197" s="396"/>
      <c r="P7197" s="396"/>
      <c r="Q7197" s="396"/>
      <c r="R7197" s="396"/>
      <c r="S7197" s="396"/>
      <c r="T7197" s="396"/>
      <c r="U7197" s="388"/>
      <c r="V7197" s="396"/>
      <c r="W7197" s="388"/>
      <c r="X7197" s="396"/>
      <c r="Y7197" s="389"/>
      <c r="Z7197" s="396"/>
      <c r="AA7197" s="388"/>
      <c r="AB7197" s="390"/>
    </row>
    <row r="7198" spans="1:28">
      <c r="A7198" s="391"/>
      <c r="B7198" s="392"/>
      <c r="C7198" s="393" t="s">
        <v>199</v>
      </c>
      <c r="D7198" s="2562">
        <f>VLOOKUP(C7195,'Data Panjang Balok'!$C$9:$N$254,7,FALSE)</f>
        <v>4635</v>
      </c>
      <c r="E7198" s="2563"/>
      <c r="F7198" s="2563"/>
      <c r="G7198" s="2563"/>
      <c r="H7198" s="2564"/>
      <c r="I7198" s="397"/>
      <c r="J7198" s="396"/>
      <c r="K7198" s="396"/>
      <c r="L7198" s="396"/>
      <c r="M7198" s="396"/>
      <c r="N7198" s="396"/>
      <c r="O7198" s="396"/>
      <c r="P7198" s="396"/>
      <c r="Q7198" s="396"/>
      <c r="R7198" s="396"/>
      <c r="S7198" s="396"/>
      <c r="T7198" s="396"/>
      <c r="U7198" s="388"/>
      <c r="V7198" s="396"/>
      <c r="W7198" s="388"/>
      <c r="X7198" s="396"/>
      <c r="Y7198" s="389"/>
      <c r="Z7198" s="396"/>
      <c r="AA7198" s="388"/>
      <c r="AB7198" s="390"/>
    </row>
    <row r="7199" spans="1:28">
      <c r="A7199" s="391"/>
      <c r="B7199" s="392"/>
      <c r="C7199" s="393" t="s">
        <v>200</v>
      </c>
      <c r="D7199" s="2562">
        <f>VLOOKUP(C7195,'Data Panjang Balok'!$C$9:$N$254,9,FALSE)</f>
        <v>0</v>
      </c>
      <c r="E7199" s="2563"/>
      <c r="F7199" s="2563"/>
      <c r="G7199" s="2563"/>
      <c r="H7199" s="2564"/>
      <c r="I7199" s="397"/>
      <c r="J7199" s="396"/>
      <c r="K7199" s="396"/>
      <c r="L7199" s="396"/>
      <c r="M7199" s="396"/>
      <c r="N7199" s="396"/>
      <c r="O7199" s="396"/>
      <c r="P7199" s="396"/>
      <c r="Q7199" s="396"/>
      <c r="R7199" s="396"/>
      <c r="S7199" s="396"/>
      <c r="T7199" s="396"/>
      <c r="U7199" s="388"/>
      <c r="V7199" s="396"/>
      <c r="W7199" s="388"/>
      <c r="X7199" s="396"/>
      <c r="Y7199" s="389"/>
      <c r="Z7199" s="396"/>
      <c r="AA7199" s="388"/>
      <c r="AB7199" s="390"/>
    </row>
    <row r="7200" spans="1:28">
      <c r="A7200" s="391"/>
      <c r="B7200" s="392"/>
      <c r="C7200" s="393" t="s">
        <v>201</v>
      </c>
      <c r="D7200" s="2562">
        <f>VLOOKUP(C7195,'Data Panjang Balok'!$C$9:$N$254,10,FALSE)</f>
        <v>0</v>
      </c>
      <c r="E7200" s="2563"/>
      <c r="F7200" s="2563"/>
      <c r="G7200" s="2563"/>
      <c r="H7200" s="2564"/>
      <c r="I7200" s="397"/>
      <c r="J7200" s="396"/>
      <c r="K7200" s="396"/>
      <c r="L7200" s="396"/>
      <c r="M7200" s="396"/>
      <c r="N7200" s="396"/>
      <c r="O7200" s="396"/>
      <c r="P7200" s="396"/>
      <c r="Q7200" s="396"/>
      <c r="R7200" s="396"/>
      <c r="S7200" s="396"/>
      <c r="T7200" s="396"/>
      <c r="U7200" s="388"/>
      <c r="V7200" s="396"/>
      <c r="W7200" s="388"/>
      <c r="X7200" s="396"/>
      <c r="Y7200" s="389"/>
      <c r="Z7200" s="396"/>
      <c r="AA7200" s="388"/>
      <c r="AB7200" s="390"/>
    </row>
    <row r="7201" spans="1:28">
      <c r="A7201" s="391"/>
      <c r="B7201" s="392"/>
      <c r="C7201" s="393" t="s">
        <v>48</v>
      </c>
      <c r="D7201" s="2562">
        <f>VLOOKUP(C7195,'Data Panjang Balok'!$C$9:$N$254,3,FALSE)</f>
        <v>1</v>
      </c>
      <c r="E7201" s="2563"/>
      <c r="F7201" s="2563"/>
      <c r="G7201" s="2563"/>
      <c r="H7201" s="2564"/>
      <c r="I7201" s="397"/>
      <c r="J7201" s="396"/>
      <c r="K7201" s="396"/>
      <c r="L7201" s="396"/>
      <c r="M7201" s="396"/>
      <c r="N7201" s="396"/>
      <c r="O7201" s="396"/>
      <c r="P7201" s="396"/>
      <c r="Q7201" s="396"/>
      <c r="R7201" s="396"/>
      <c r="S7201" s="396"/>
      <c r="T7201" s="396"/>
      <c r="U7201" s="388"/>
      <c r="V7201" s="396"/>
      <c r="W7201" s="388"/>
      <c r="X7201" s="396"/>
      <c r="Y7201" s="389"/>
      <c r="Z7201" s="396"/>
      <c r="AA7201" s="388"/>
      <c r="AB7201" s="390"/>
    </row>
    <row r="7202" spans="1:28">
      <c r="A7202" s="384" t="str">
        <f t="shared" ref="A7202:B7202" si="23329">A7195</f>
        <v>Lantai Atap</v>
      </c>
      <c r="B7202" s="385">
        <f t="shared" si="23329"/>
        <v>32</v>
      </c>
      <c r="C7202" s="393" t="s">
        <v>202</v>
      </c>
      <c r="D7202" s="398">
        <f>VLOOKUP(D7195,'Detail Balok'!$C$10:$AU$140,4,FALSE)</f>
        <v>3</v>
      </c>
      <c r="E7202" s="388" t="s">
        <v>16</v>
      </c>
      <c r="F7202" s="388">
        <f>VLOOKUP(D7195,'Detail Balok'!$C$10:$AU$140,6,FALSE)</f>
        <v>13</v>
      </c>
      <c r="G7202" s="388"/>
      <c r="H7202" s="395"/>
      <c r="I7202" s="388" t="s">
        <v>203</v>
      </c>
      <c r="J7202" s="399">
        <f t="shared" ref="J7202" si="23330">+D7197/4/1000</f>
        <v>1.1587499999999999</v>
      </c>
      <c r="K7202" s="400" t="s">
        <v>204</v>
      </c>
      <c r="L7202" s="399">
        <f t="shared" ref="L7202" si="23331">MAX(VLOOKUP(F7202,N$6:P$15,3,FALSE)/1000,2/3*D7199/1000)+F$16*F7202/1000</f>
        <v>0.156</v>
      </c>
      <c r="M7202" s="399" t="s">
        <v>176</v>
      </c>
      <c r="N7202" s="399">
        <f t="shared" ref="N7202:N7204" si="23332">J7202+L7202</f>
        <v>1.3147499999999999</v>
      </c>
      <c r="O7202" s="399" t="s">
        <v>204</v>
      </c>
      <c r="P7202" s="389">
        <f t="shared" ref="P7202" si="23333">D7202-D7203</f>
        <v>0</v>
      </c>
      <c r="Q7202" s="399" t="s">
        <v>125</v>
      </c>
      <c r="R7202" s="399">
        <f t="shared" ref="R7202" si="23334">IF(P7202&gt;0,$F$18*F7202/1000,0)</f>
        <v>0</v>
      </c>
      <c r="S7202" s="399" t="s">
        <v>205</v>
      </c>
      <c r="T7202" s="399" t="s">
        <v>125</v>
      </c>
      <c r="U7202" s="401">
        <f t="shared" ref="U7202:U7204" si="23335">0.006165*F7202^2</f>
        <v>1.041885</v>
      </c>
      <c r="V7202" s="399"/>
      <c r="W7202" s="399"/>
      <c r="X7202" s="399" t="s">
        <v>125</v>
      </c>
      <c r="Y7202" s="389">
        <f t="shared" ref="Y7202" si="23336">D7201</f>
        <v>1</v>
      </c>
      <c r="Z7202" s="400" t="s">
        <v>176</v>
      </c>
      <c r="AA7202" s="402">
        <f t="shared" ref="AA7202" si="23337">IF(AA7205=0,(D7202*N7202+P7202*R7202)*U7202*Y7202,0)</f>
        <v>0</v>
      </c>
      <c r="AB7202" s="403"/>
    </row>
    <row r="7203" spans="1:28">
      <c r="A7203" s="384" t="str">
        <f t="shared" ref="A7203:B7203" si="23338">A7195</f>
        <v>Lantai Atap</v>
      </c>
      <c r="B7203" s="385">
        <f t="shared" si="23338"/>
        <v>32</v>
      </c>
      <c r="C7203" s="393" t="s">
        <v>206</v>
      </c>
      <c r="D7203" s="398">
        <f>VLOOKUP(D7195,'Detail Balok'!$C$10:$AU$140,7,FALSE)</f>
        <v>3</v>
      </c>
      <c r="E7203" s="388" t="s">
        <v>16</v>
      </c>
      <c r="F7203" s="388">
        <f>VLOOKUP(D7195,'Detail Balok'!$C$10:$AU$140,9,FALSE)</f>
        <v>13</v>
      </c>
      <c r="G7203" s="388"/>
      <c r="H7203" s="395"/>
      <c r="I7203" s="388" t="s">
        <v>203</v>
      </c>
      <c r="J7203" s="399">
        <f t="shared" ref="J7203" si="23339">+D7197/2/1000</f>
        <v>2.3174999999999999</v>
      </c>
      <c r="K7203" s="400" t="s">
        <v>204</v>
      </c>
      <c r="L7203" s="399"/>
      <c r="M7203" s="399" t="s">
        <v>176</v>
      </c>
      <c r="N7203" s="399">
        <f t="shared" si="23332"/>
        <v>2.3174999999999999</v>
      </c>
      <c r="O7203" s="399" t="s">
        <v>204</v>
      </c>
      <c r="P7203" s="389">
        <f t="shared" ref="P7203" si="23340">MAX(D7203-D7202,D7203-D7204)</f>
        <v>0</v>
      </c>
      <c r="Q7203" s="399" t="s">
        <v>125</v>
      </c>
      <c r="R7203" s="399">
        <f t="shared" ref="R7203" si="23341">IF(P7203&gt;0,2*(1-2*$F$19-1/2)*D7198/1000,0)</f>
        <v>0</v>
      </c>
      <c r="S7203" s="399" t="s">
        <v>205</v>
      </c>
      <c r="T7203" s="399" t="s">
        <v>125</v>
      </c>
      <c r="U7203" s="401">
        <f t="shared" si="23335"/>
        <v>1.041885</v>
      </c>
      <c r="V7203" s="399"/>
      <c r="W7203" s="399"/>
      <c r="X7203" s="399" t="s">
        <v>125</v>
      </c>
      <c r="Y7203" s="389">
        <f t="shared" ref="Y7203" si="23342">D7201</f>
        <v>1</v>
      </c>
      <c r="Z7203" s="400" t="s">
        <v>176</v>
      </c>
      <c r="AA7203" s="402">
        <f t="shared" ref="AA7203" si="23343">IF(AA7205=0,(D7203*N7203+P7203*R7203)*U7203*Y7203,0)</f>
        <v>0</v>
      </c>
      <c r="AB7203" s="403"/>
    </row>
    <row r="7204" spans="1:28">
      <c r="A7204" s="384" t="str">
        <f t="shared" ref="A7204:B7204" si="23344">A7195</f>
        <v>Lantai Atap</v>
      </c>
      <c r="B7204" s="385">
        <f t="shared" si="23344"/>
        <v>32</v>
      </c>
      <c r="C7204" s="393" t="s">
        <v>202</v>
      </c>
      <c r="D7204" s="398">
        <f>VLOOKUP(D7195,'Detail Balok'!$C$10:$AU$140,10,FALSE)</f>
        <v>3</v>
      </c>
      <c r="E7204" s="388" t="s">
        <v>16</v>
      </c>
      <c r="F7204" s="388">
        <f>VLOOKUP(D7195,'Detail Balok'!$C$10:$AU$140,12,FALSE)</f>
        <v>13</v>
      </c>
      <c r="G7204" s="388"/>
      <c r="H7204" s="395"/>
      <c r="I7204" s="388" t="s">
        <v>203</v>
      </c>
      <c r="J7204" s="399">
        <f t="shared" ref="J7204" si="23345">+D7197/4/1000</f>
        <v>1.1587499999999999</v>
      </c>
      <c r="K7204" s="400" t="s">
        <v>204</v>
      </c>
      <c r="L7204" s="399">
        <f t="shared" ref="L7204" si="23346">MAX(VLOOKUP(F7204,N$6:P$15,3,FALSE)/1000,2/3*D7199/1000)+F$16*F7204/1000</f>
        <v>0.156</v>
      </c>
      <c r="M7204" s="399" t="s">
        <v>176</v>
      </c>
      <c r="N7204" s="399">
        <f t="shared" si="23332"/>
        <v>1.3147499999999999</v>
      </c>
      <c r="O7204" s="399" t="s">
        <v>204</v>
      </c>
      <c r="P7204" s="389">
        <f t="shared" ref="P7204" si="23347">D7204-D7203</f>
        <v>0</v>
      </c>
      <c r="Q7204" s="399" t="s">
        <v>125</v>
      </c>
      <c r="R7204" s="399">
        <f t="shared" ref="R7204" si="23348">IF(P7204&gt;0,$F$18*F7204/1000,0)</f>
        <v>0</v>
      </c>
      <c r="S7204" s="399" t="s">
        <v>205</v>
      </c>
      <c r="T7204" s="399" t="s">
        <v>125</v>
      </c>
      <c r="U7204" s="401">
        <f t="shared" si="23335"/>
        <v>1.041885</v>
      </c>
      <c r="V7204" s="399"/>
      <c r="W7204" s="399"/>
      <c r="X7204" s="399" t="s">
        <v>125</v>
      </c>
      <c r="Y7204" s="389">
        <f t="shared" ref="Y7204" si="23349">D7201</f>
        <v>1</v>
      </c>
      <c r="Z7204" s="400" t="s">
        <v>176</v>
      </c>
      <c r="AA7204" s="402">
        <f t="shared" ref="AA7204" si="23350">IF(AA7205=0,(D7204*N7204+P7204*R7204)*U7204*Y7204,0)</f>
        <v>0</v>
      </c>
      <c r="AB7204" s="403"/>
    </row>
    <row r="7205" spans="1:28">
      <c r="A7205" s="384" t="str">
        <f t="shared" ref="A7205:B7205" si="23351">A7195</f>
        <v>Lantai Atap</v>
      </c>
      <c r="B7205" s="385">
        <f t="shared" si="23351"/>
        <v>32</v>
      </c>
      <c r="C7205" s="393"/>
      <c r="D7205" s="398">
        <f t="shared" ref="D7205:D7235" si="23352">IF(AND(D7202=D7203,D7203=D7204,D7202=D7204),D7202,0)</f>
        <v>3</v>
      </c>
      <c r="E7205" s="388" t="s">
        <v>16</v>
      </c>
      <c r="F7205" s="388">
        <f t="shared" ref="F7205:F7235" si="23353">IF(AND(F7202=F7203,F7202=F7204,F7203=F7204),F7202,0)</f>
        <v>13</v>
      </c>
      <c r="G7205" s="388"/>
      <c r="H7205" s="395"/>
      <c r="I7205" s="388"/>
      <c r="J7205" s="396"/>
      <c r="K7205" s="396"/>
      <c r="L7205" s="404" t="s">
        <v>207</v>
      </c>
      <c r="M7205" s="399" t="s">
        <v>176</v>
      </c>
      <c r="N7205" s="399">
        <f t="shared" ref="N7205" si="23354">IF(AND(D7202=D7203,D7202=D7204,D7203=D7204,F7202=F7203,F7202=F7204,F7203=F7204),SUM(N7202:N7204),0)</f>
        <v>4.9470000000000001</v>
      </c>
      <c r="O7205" s="399" t="s">
        <v>204</v>
      </c>
      <c r="P7205" s="389">
        <f t="shared" ref="P7205" si="23355">IF(N7205&gt;12,ROUNDDOWN(N7205/12,0),0)</f>
        <v>0</v>
      </c>
      <c r="Q7205" s="399" t="s">
        <v>125</v>
      </c>
      <c r="R7205" s="399">
        <f t="shared" ref="R7205" si="23356">IF(P7205&gt;0,MAX(VLOOKUP(F7205,$D$6:$G$15,3,FALSE),600),0)/1000</f>
        <v>0</v>
      </c>
      <c r="S7205" s="396"/>
      <c r="T7205" s="396" t="s">
        <v>125</v>
      </c>
      <c r="U7205" s="401">
        <f t="shared" ref="U7205:U7235" si="23357">U7204</f>
        <v>1.041885</v>
      </c>
      <c r="V7205" s="396" t="s">
        <v>125</v>
      </c>
      <c r="W7205" s="399">
        <f t="shared" ref="W7205" si="23358">D7205</f>
        <v>3</v>
      </c>
      <c r="X7205" s="399" t="s">
        <v>125</v>
      </c>
      <c r="Y7205" s="389">
        <f t="shared" ref="Y7205:Y7235" si="23359">Y7204</f>
        <v>1</v>
      </c>
      <c r="Z7205" s="400" t="s">
        <v>176</v>
      </c>
      <c r="AA7205" s="402">
        <f t="shared" ref="AA7205" si="23360">(N7205+P7205*R7205/1000)*U7205*W7205*Y7205</f>
        <v>15.462615285</v>
      </c>
      <c r="AB7205" s="390"/>
    </row>
    <row r="7206" spans="1:28">
      <c r="A7206" s="384"/>
      <c r="B7206" s="385"/>
      <c r="C7206" s="393"/>
      <c r="D7206" s="398"/>
      <c r="E7206" s="388"/>
      <c r="F7206" s="388"/>
      <c r="G7206" s="388"/>
      <c r="H7206" s="395"/>
      <c r="I7206" s="388"/>
      <c r="J7206" s="396"/>
      <c r="K7206" s="396"/>
      <c r="L7206" s="404"/>
      <c r="M7206" s="399"/>
      <c r="N7206" s="399"/>
      <c r="O7206" s="396"/>
      <c r="P7206" s="389"/>
      <c r="Q7206" s="396"/>
      <c r="R7206" s="396"/>
      <c r="S7206" s="396"/>
      <c r="T7206" s="396"/>
      <c r="U7206" s="401"/>
      <c r="V7206" s="396"/>
      <c r="W7206" s="399"/>
      <c r="X7206" s="396"/>
      <c r="Y7206" s="389"/>
      <c r="Z7206" s="396"/>
      <c r="AA7206" s="388"/>
      <c r="AB7206" s="390"/>
    </row>
    <row r="7207" spans="1:28">
      <c r="A7207" s="384" t="str">
        <f t="shared" ref="A7207:B7207" si="23361">A7195</f>
        <v>Lantai Atap</v>
      </c>
      <c r="B7207" s="385">
        <f t="shared" si="23361"/>
        <v>32</v>
      </c>
      <c r="C7207" s="393" t="s">
        <v>208</v>
      </c>
      <c r="D7207" s="398">
        <f>VLOOKUP(D7195,'Detail Balok'!$C$10:$AU$140,13,FALSE)</f>
        <v>0</v>
      </c>
      <c r="E7207" s="388" t="s">
        <v>16</v>
      </c>
      <c r="F7207" s="388">
        <f>VLOOKUP(D7195,'Detail Balok'!$C$10:$AU$140,15,FALSE)</f>
        <v>8</v>
      </c>
      <c r="G7207" s="388"/>
      <c r="H7207" s="395"/>
      <c r="I7207" s="388"/>
      <c r="J7207" s="399">
        <f t="shared" ref="J7207" si="23362">+D7197/1000</f>
        <v>4.6349999999999998</v>
      </c>
      <c r="K7207" s="400" t="s">
        <v>204</v>
      </c>
      <c r="L7207" s="399">
        <f t="shared" ref="L7207" si="23363">2*$F$16*F7207/1000</f>
        <v>0.192</v>
      </c>
      <c r="M7207" s="399" t="s">
        <v>176</v>
      </c>
      <c r="N7207" s="399">
        <f t="shared" ref="N7207" si="23364">J7207+L7207</f>
        <v>4.827</v>
      </c>
      <c r="O7207" s="399" t="s">
        <v>204</v>
      </c>
      <c r="P7207" s="389">
        <f t="shared" ref="P7207" si="23365">IF(N7207&gt;12,ROUNDDOWN(N7207/12,0),0)</f>
        <v>0</v>
      </c>
      <c r="Q7207" s="399" t="s">
        <v>125</v>
      </c>
      <c r="R7207" s="399">
        <f t="shared" ref="R7207" si="23366">IF(P7207&gt;0,MAX(VLOOKUP(F7207,$D$6:$G$15,3,FALSE),600),0)/1000</f>
        <v>0</v>
      </c>
      <c r="S7207" s="399"/>
      <c r="T7207" s="399" t="s">
        <v>125</v>
      </c>
      <c r="U7207" s="401">
        <f t="shared" ref="U7207" si="23367">0.006165*F7207^2</f>
        <v>0.39456000000000002</v>
      </c>
      <c r="V7207" s="399" t="s">
        <v>125</v>
      </c>
      <c r="W7207" s="399">
        <f t="shared" ref="W7207" si="23368">+D7207</f>
        <v>0</v>
      </c>
      <c r="X7207" s="399" t="s">
        <v>125</v>
      </c>
      <c r="Y7207" s="389">
        <f t="shared" ref="Y7207" si="23369">D7201</f>
        <v>1</v>
      </c>
      <c r="Z7207" s="400" t="s">
        <v>176</v>
      </c>
      <c r="AA7207" s="402">
        <f t="shared" ref="AA7207" si="23370">(N7207+P7207*R7207/1000)*U7207*W7207*Y7207</f>
        <v>0</v>
      </c>
      <c r="AB7207" s="403"/>
    </row>
    <row r="7208" spans="1:28">
      <c r="A7208" s="384"/>
      <c r="B7208" s="385"/>
      <c r="C7208" s="393"/>
      <c r="D7208" s="398"/>
      <c r="E7208" s="388"/>
      <c r="F7208" s="388"/>
      <c r="G7208" s="388"/>
      <c r="H7208" s="395"/>
      <c r="I7208" s="388"/>
      <c r="J7208" s="399"/>
      <c r="K7208" s="400"/>
      <c r="L7208" s="399"/>
      <c r="M7208" s="399"/>
      <c r="N7208" s="399"/>
      <c r="O7208" s="399"/>
      <c r="P7208" s="389"/>
      <c r="Q7208" s="399"/>
      <c r="R7208" s="399"/>
      <c r="S7208" s="399"/>
      <c r="T7208" s="399"/>
      <c r="U7208" s="401"/>
      <c r="V7208" s="399"/>
      <c r="W7208" s="399"/>
      <c r="X7208" s="399"/>
      <c r="Y7208" s="389"/>
      <c r="Z7208" s="400"/>
      <c r="AA7208" s="402"/>
      <c r="AB7208" s="403"/>
    </row>
    <row r="7209" spans="1:28">
      <c r="A7209" s="384"/>
      <c r="B7209" s="385"/>
      <c r="C7209" s="393"/>
      <c r="D7209" s="398"/>
      <c r="E7209" s="388"/>
      <c r="F7209" s="388"/>
      <c r="G7209" s="388"/>
      <c r="H7209" s="395"/>
      <c r="I7209" s="388"/>
      <c r="J7209" s="396"/>
      <c r="K7209" s="396"/>
      <c r="L7209" s="396"/>
      <c r="M7209" s="396"/>
      <c r="N7209" s="396"/>
      <c r="O7209" s="396"/>
      <c r="P7209" s="389"/>
      <c r="Q7209" s="396"/>
      <c r="R7209" s="396"/>
      <c r="S7209" s="396"/>
      <c r="T7209" s="396"/>
      <c r="U7209" s="401"/>
      <c r="V7209" s="396"/>
      <c r="W7209" s="399"/>
      <c r="X7209" s="396"/>
      <c r="Y7209" s="389"/>
      <c r="Z7209" s="396"/>
      <c r="AA7209" s="388"/>
      <c r="AB7209" s="390"/>
    </row>
    <row r="7210" spans="1:28">
      <c r="A7210" s="384" t="str">
        <f t="shared" ref="A7210:B7210" si="23371">A7195</f>
        <v>Lantai Atap</v>
      </c>
      <c r="B7210" s="385">
        <f t="shared" si="23371"/>
        <v>32</v>
      </c>
      <c r="C7210" s="393" t="s">
        <v>209</v>
      </c>
      <c r="D7210" s="398">
        <f>VLOOKUP(D7195,'Detail Balok'!$C$10:$AU$140,22,FALSE)</f>
        <v>3</v>
      </c>
      <c r="E7210" s="388" t="s">
        <v>16</v>
      </c>
      <c r="F7210" s="388">
        <f>VLOOKUP(D7195,'Detail Balok'!$C$10:$AU$140,24,FALSE)</f>
        <v>13</v>
      </c>
      <c r="G7210" s="388"/>
      <c r="H7210" s="395"/>
      <c r="I7210" s="388" t="s">
        <v>203</v>
      </c>
      <c r="J7210" s="399">
        <f t="shared" ref="J7210:J7242" si="23372">+J7202</f>
        <v>1.1587499999999999</v>
      </c>
      <c r="K7210" s="400" t="s">
        <v>204</v>
      </c>
      <c r="L7210" s="399">
        <f t="shared" ref="L7210" si="23373">MAX(VLOOKUP(F7210,N$6:P$15,3,FALSE)/1000,2/3*D7200/1000)+F$16*F7210/1000</f>
        <v>0.156</v>
      </c>
      <c r="M7210" s="399" t="s">
        <v>176</v>
      </c>
      <c r="N7210" s="399">
        <f t="shared" ref="N7210:N7212" si="23374">J7210+L7210</f>
        <v>1.3147499999999999</v>
      </c>
      <c r="O7210" s="399" t="s">
        <v>204</v>
      </c>
      <c r="P7210" s="389">
        <f t="shared" ref="P7210" si="23375">D7210-D7211</f>
        <v>0</v>
      </c>
      <c r="Q7210" s="399" t="s">
        <v>125</v>
      </c>
      <c r="R7210" s="399">
        <f t="shared" ref="R7210" si="23376">IF(P7210&gt;0,$F$18*F7210/1000,0)</f>
        <v>0</v>
      </c>
      <c r="S7210" s="399" t="s">
        <v>205</v>
      </c>
      <c r="T7210" s="399" t="s">
        <v>125</v>
      </c>
      <c r="U7210" s="401">
        <f t="shared" ref="U7210:U7212" si="23377">0.006165*F7210^2</f>
        <v>1.041885</v>
      </c>
      <c r="V7210" s="399"/>
      <c r="W7210" s="399"/>
      <c r="X7210" s="399" t="s">
        <v>125</v>
      </c>
      <c r="Y7210" s="389">
        <f t="shared" ref="Y7210" si="23378">D7201</f>
        <v>1</v>
      </c>
      <c r="Z7210" s="400" t="s">
        <v>176</v>
      </c>
      <c r="AA7210" s="402">
        <f t="shared" ref="AA7210" si="23379">IF(AA7213=0,(D7210*N7210+P7210*R7210)*U7210*Y7210,0)</f>
        <v>0</v>
      </c>
      <c r="AB7210" s="403"/>
    </row>
    <row r="7211" spans="1:28">
      <c r="A7211" s="384" t="str">
        <f t="shared" ref="A7211:B7211" si="23380">A7195</f>
        <v>Lantai Atap</v>
      </c>
      <c r="B7211" s="385">
        <f t="shared" si="23380"/>
        <v>32</v>
      </c>
      <c r="C7211" s="393" t="s">
        <v>210</v>
      </c>
      <c r="D7211" s="398">
        <f>VLOOKUP(D7195,'Detail Balok'!$C$10:$AU$140,25,FALSE)</f>
        <v>3</v>
      </c>
      <c r="E7211" s="388" t="s">
        <v>16</v>
      </c>
      <c r="F7211" s="388">
        <f>VLOOKUP(D7195,'Detail Balok'!$C$10:$AU$140,27,FALSE)</f>
        <v>13</v>
      </c>
      <c r="G7211" s="388"/>
      <c r="H7211" s="395"/>
      <c r="I7211" s="388" t="s">
        <v>203</v>
      </c>
      <c r="J7211" s="399">
        <f t="shared" si="23372"/>
        <v>2.3174999999999999</v>
      </c>
      <c r="K7211" s="400" t="s">
        <v>204</v>
      </c>
      <c r="L7211" s="399"/>
      <c r="M7211" s="399" t="s">
        <v>176</v>
      </c>
      <c r="N7211" s="399">
        <f t="shared" si="23374"/>
        <v>2.3174999999999999</v>
      </c>
      <c r="O7211" s="399" t="s">
        <v>204</v>
      </c>
      <c r="P7211" s="389">
        <f t="shared" ref="P7211" si="23381">MAX(D7211-D7210,D7211-D7212)</f>
        <v>0</v>
      </c>
      <c r="Q7211" s="399" t="s">
        <v>125</v>
      </c>
      <c r="R7211" s="399">
        <f t="shared" ref="R7211" si="23382">IF(P7211&gt;0,2*(1-2*$F$19-1/2)*D7198/1000,0)</f>
        <v>0</v>
      </c>
      <c r="S7211" s="399" t="s">
        <v>205</v>
      </c>
      <c r="T7211" s="399" t="s">
        <v>125</v>
      </c>
      <c r="U7211" s="401">
        <f t="shared" si="23377"/>
        <v>1.041885</v>
      </c>
      <c r="V7211" s="399"/>
      <c r="W7211" s="399"/>
      <c r="X7211" s="399" t="s">
        <v>125</v>
      </c>
      <c r="Y7211" s="389">
        <f t="shared" ref="Y7211" si="23383">D7201</f>
        <v>1</v>
      </c>
      <c r="Z7211" s="400" t="s">
        <v>176</v>
      </c>
      <c r="AA7211" s="402">
        <f t="shared" ref="AA7211" si="23384">IF(AA7213=0,(D7211*N7211+P7211*R7211)*U7211*Y7211,0)</f>
        <v>0</v>
      </c>
      <c r="AB7211" s="403"/>
    </row>
    <row r="7212" spans="1:28">
      <c r="A7212" s="384" t="str">
        <f t="shared" ref="A7212:B7212" si="23385">A7195</f>
        <v>Lantai Atap</v>
      </c>
      <c r="B7212" s="385">
        <f t="shared" si="23385"/>
        <v>32</v>
      </c>
      <c r="C7212" s="393" t="s">
        <v>209</v>
      </c>
      <c r="D7212" s="398">
        <f>VLOOKUP(D7195,'Detail Balok'!$C$10:$AU$140,28,FALSE)</f>
        <v>3</v>
      </c>
      <c r="E7212" s="388" t="s">
        <v>16</v>
      </c>
      <c r="F7212" s="388">
        <f>VLOOKUP(D7195,'Detail Balok'!$C$10:$AU$140,30,FALSE)</f>
        <v>13</v>
      </c>
      <c r="G7212" s="388"/>
      <c r="H7212" s="395"/>
      <c r="I7212" s="388" t="s">
        <v>203</v>
      </c>
      <c r="J7212" s="399">
        <f t="shared" si="23372"/>
        <v>1.1587499999999999</v>
      </c>
      <c r="K7212" s="400" t="s">
        <v>204</v>
      </c>
      <c r="L7212" s="399">
        <f t="shared" ref="L7212" si="23386">MAX(VLOOKUP(F7212,N$6:P$15,3,FALSE)/1000,2/3*D7200/1000)+F$16*F7212/1000</f>
        <v>0.156</v>
      </c>
      <c r="M7212" s="399" t="s">
        <v>176</v>
      </c>
      <c r="N7212" s="399">
        <f t="shared" si="23374"/>
        <v>1.3147499999999999</v>
      </c>
      <c r="O7212" s="399" t="s">
        <v>204</v>
      </c>
      <c r="P7212" s="389">
        <f t="shared" ref="P7212" si="23387">D7212-D7211</f>
        <v>0</v>
      </c>
      <c r="Q7212" s="399" t="s">
        <v>125</v>
      </c>
      <c r="R7212" s="399">
        <f t="shared" ref="R7212" si="23388">IF(P7212&gt;0,$F$18*F7212/1000,0)</f>
        <v>0</v>
      </c>
      <c r="S7212" s="399" t="s">
        <v>205</v>
      </c>
      <c r="T7212" s="399" t="s">
        <v>125</v>
      </c>
      <c r="U7212" s="401">
        <f t="shared" si="23377"/>
        <v>1.041885</v>
      </c>
      <c r="V7212" s="399"/>
      <c r="W7212" s="399"/>
      <c r="X7212" s="399" t="s">
        <v>125</v>
      </c>
      <c r="Y7212" s="389">
        <f t="shared" ref="Y7212" si="23389">D7201</f>
        <v>1</v>
      </c>
      <c r="Z7212" s="400" t="s">
        <v>176</v>
      </c>
      <c r="AA7212" s="402">
        <f t="shared" ref="AA7212" si="23390">IF(AA7213=0,(D7212*N7212+P7212*R7212)*U7212*Y7212,0)</f>
        <v>0</v>
      </c>
      <c r="AB7212" s="403"/>
    </row>
    <row r="7213" spans="1:28">
      <c r="A7213" s="384" t="str">
        <f t="shared" ref="A7213:B7213" si="23391">A7195</f>
        <v>Lantai Atap</v>
      </c>
      <c r="B7213" s="385">
        <f t="shared" si="23391"/>
        <v>32</v>
      </c>
      <c r="C7213" s="393"/>
      <c r="D7213" s="398">
        <f t="shared" ref="D7213:D7243" si="23392">IF(AND(D7210=D7211,D7211=D7212,D7210=D7212),D7210,0)</f>
        <v>3</v>
      </c>
      <c r="E7213" s="388" t="s">
        <v>16</v>
      </c>
      <c r="F7213" s="388">
        <f t="shared" ref="F7213:F7243" si="23393">IF(AND(F7210=F7211,F7210=F7212,F7211=F7212),F7210,0)</f>
        <v>13</v>
      </c>
      <c r="G7213" s="388"/>
      <c r="H7213" s="395"/>
      <c r="I7213" s="388"/>
      <c r="J7213" s="396"/>
      <c r="K7213" s="396"/>
      <c r="L7213" s="404" t="s">
        <v>207</v>
      </c>
      <c r="M7213" s="399" t="s">
        <v>176</v>
      </c>
      <c r="N7213" s="399">
        <f t="shared" ref="N7213" si="23394">IF(AND(D7210=D7211,D7210=D7212,D7211=D7212,F7210=F7211,F7210=F7212,F7211=F7212),SUM(N7210:N7212),0)</f>
        <v>4.9470000000000001</v>
      </c>
      <c r="O7213" s="399" t="s">
        <v>204</v>
      </c>
      <c r="P7213" s="389">
        <f t="shared" ref="P7213" si="23395">IF(N7213&gt;12,ROUNDDOWN(N7213/12,0),0)</f>
        <v>0</v>
      </c>
      <c r="Q7213" s="399" t="s">
        <v>125</v>
      </c>
      <c r="R7213" s="399">
        <f t="shared" ref="R7213" si="23396">IF(P7213&gt;0,MAX(VLOOKUP(F7213,$D$6:$G$15,3,FALSE),600),0)/1000</f>
        <v>0</v>
      </c>
      <c r="S7213" s="396"/>
      <c r="T7213" s="396" t="s">
        <v>125</v>
      </c>
      <c r="U7213" s="401">
        <f t="shared" ref="U7213:U7243" si="23397">U7212</f>
        <v>1.041885</v>
      </c>
      <c r="V7213" s="396" t="s">
        <v>125</v>
      </c>
      <c r="W7213" s="399">
        <f t="shared" ref="W7213" si="23398">D7213</f>
        <v>3</v>
      </c>
      <c r="X7213" s="399" t="s">
        <v>125</v>
      </c>
      <c r="Y7213" s="389">
        <f t="shared" ref="Y7213:Y7243" si="23399">Y7212</f>
        <v>1</v>
      </c>
      <c r="Z7213" s="400" t="s">
        <v>176</v>
      </c>
      <c r="AA7213" s="402">
        <f t="shared" ref="AA7213" si="23400">(N7213+P7213*R7213/1000)*U7213*W7213*Y7213</f>
        <v>15.462615285</v>
      </c>
      <c r="AB7213" s="403"/>
    </row>
    <row r="7214" spans="1:28">
      <c r="A7214" s="384"/>
      <c r="B7214" s="385"/>
      <c r="C7214" s="393"/>
      <c r="D7214" s="394"/>
      <c r="E7214" s="388"/>
      <c r="F7214" s="388"/>
      <c r="G7214" s="388"/>
      <c r="H7214" s="395"/>
      <c r="I7214" s="388"/>
      <c r="J7214" s="399"/>
      <c r="K7214" s="396"/>
      <c r="L7214" s="396"/>
      <c r="M7214" s="396"/>
      <c r="N7214" s="396"/>
      <c r="O7214" s="396"/>
      <c r="P7214" s="389"/>
      <c r="Q7214" s="396"/>
      <c r="R7214" s="396"/>
      <c r="S7214" s="396"/>
      <c r="T7214" s="396"/>
      <c r="U7214" s="401"/>
      <c r="V7214" s="396"/>
      <c r="W7214" s="388"/>
      <c r="X7214" s="396"/>
      <c r="Y7214" s="389"/>
      <c r="Z7214" s="396"/>
      <c r="AA7214" s="388"/>
      <c r="AB7214" s="390"/>
    </row>
    <row r="7215" spans="1:28">
      <c r="A7215" s="384" t="str">
        <f t="shared" ref="A7215:B7215" si="23401">A7195</f>
        <v>Lantai Atap</v>
      </c>
      <c r="B7215" s="385">
        <f t="shared" si="23401"/>
        <v>32</v>
      </c>
      <c r="C7215" s="393" t="s">
        <v>211</v>
      </c>
      <c r="D7215" s="398">
        <f>VLOOKUP(D7195,'Detail Balok'!$C$10:$AU$140,31,FALSE)</f>
        <v>0</v>
      </c>
      <c r="E7215" s="388" t="s">
        <v>16</v>
      </c>
      <c r="F7215" s="388">
        <f>VLOOKUP(D7195,'Detail Balok'!$C$10:$AU$140,33,FALSE)</f>
        <v>10</v>
      </c>
      <c r="G7215" s="405" t="s">
        <v>157</v>
      </c>
      <c r="H7215" s="395">
        <f>VLOOKUP(D7195,'Detail Balok'!$C$10:$AU$140,35,FALSE)</f>
        <v>100</v>
      </c>
      <c r="I7215" s="388"/>
      <c r="J7215" s="400">
        <f t="shared" ref="J7215" si="23402">(IF(D7215=0,(2*(D7196+G7196))-(F$5*8),IF(D7215=3,(2*(D7196+G7196))-(F$5*8)+(G7196-2*F$5),IF(D7215=4,(2*(D7196+G7196))-(F$5*8)+2*(G7196-2*F$5)))))/1000</f>
        <v>0.88</v>
      </c>
      <c r="K7215" s="400" t="s">
        <v>204</v>
      </c>
      <c r="L7215" s="399">
        <f t="shared" ref="L7215:L7217" si="23403">IF(D7215=0,2*MAX(6*F7215,75),(D7215-1)*2*MAX(6*F7215,75))/1000</f>
        <v>0.15</v>
      </c>
      <c r="M7215" s="399" t="s">
        <v>176</v>
      </c>
      <c r="N7215" s="399">
        <f t="shared" ref="N7215:N7217" si="23404">J7215+L7215</f>
        <v>1.03</v>
      </c>
      <c r="O7215" s="399"/>
      <c r="P7215" s="389"/>
      <c r="Q7215" s="399"/>
      <c r="R7215" s="399"/>
      <c r="S7215" s="399"/>
      <c r="T7215" s="399" t="s">
        <v>125</v>
      </c>
      <c r="U7215" s="401">
        <f t="shared" ref="U7215:U7217" si="23405">0.006165*F7215^2</f>
        <v>0.61650000000000005</v>
      </c>
      <c r="V7215" s="399" t="s">
        <v>125</v>
      </c>
      <c r="W7215" s="399">
        <f t="shared" ref="W7215" si="23406">IF(D7198&gt;4*G7196,ROUND(MAX(D7198/4,2*G7196)/H7215,0)+1,ROUND(D7198/H7215,0)+1)</f>
        <v>13</v>
      </c>
      <c r="X7215" s="399" t="s">
        <v>125</v>
      </c>
      <c r="Y7215" s="389">
        <f t="shared" ref="Y7215" si="23407">D7201</f>
        <v>1</v>
      </c>
      <c r="Z7215" s="400" t="s">
        <v>176</v>
      </c>
      <c r="AA7215" s="402">
        <f t="shared" ref="AA7215:AA7217" si="23408">N7215*U7215*W7215*Y7215</f>
        <v>8.2549350000000015</v>
      </c>
      <c r="AB7215" s="403"/>
    </row>
    <row r="7216" spans="1:28">
      <c r="A7216" s="384" t="str">
        <f t="shared" ref="A7216:B7216" si="23409">A7195</f>
        <v>Lantai Atap</v>
      </c>
      <c r="B7216" s="385">
        <f t="shared" si="23409"/>
        <v>32</v>
      </c>
      <c r="C7216" s="393" t="s">
        <v>212</v>
      </c>
      <c r="D7216" s="398">
        <f>VLOOKUP(D7195,'Detail Balok'!$C$10:$AU$140,36,FALSE)</f>
        <v>0</v>
      </c>
      <c r="E7216" s="388" t="s">
        <v>16</v>
      </c>
      <c r="F7216" s="388">
        <f>VLOOKUP(D7195,'Detail Balok'!$C$10:$AU$140,38,FALSE)</f>
        <v>10</v>
      </c>
      <c r="G7216" s="405" t="s">
        <v>157</v>
      </c>
      <c r="H7216" s="395">
        <f>VLOOKUP(D7195,'Detail Balok'!$C$10:$AU$140,40,FALSE)</f>
        <v>200</v>
      </c>
      <c r="I7216" s="388"/>
      <c r="J7216" s="400">
        <f t="shared" ref="J7216" si="23410">(IF(D7216=0,(2*(D7196+G7196))-(F$5*8),IF(D7216=3,(2*(D7196+G7196))-(F$5*8)+(G7196-2*F$5),IF(D7216=4,(2*(D7196+G7196))-(F$5*8)+2*(G7196-2*F$5)))))/1000</f>
        <v>0.88</v>
      </c>
      <c r="K7216" s="400" t="s">
        <v>204</v>
      </c>
      <c r="L7216" s="399">
        <f t="shared" si="23403"/>
        <v>0.15</v>
      </c>
      <c r="M7216" s="399" t="s">
        <v>176</v>
      </c>
      <c r="N7216" s="399">
        <f t="shared" si="23404"/>
        <v>1.03</v>
      </c>
      <c r="O7216" s="399"/>
      <c r="P7216" s="389"/>
      <c r="Q7216" s="399"/>
      <c r="R7216" s="399"/>
      <c r="S7216" s="399"/>
      <c r="T7216" s="399" t="s">
        <v>125</v>
      </c>
      <c r="U7216" s="401">
        <f t="shared" si="23405"/>
        <v>0.61650000000000005</v>
      </c>
      <c r="V7216" s="399" t="s">
        <v>125</v>
      </c>
      <c r="W7216" s="399">
        <f t="shared" ref="W7216" si="23411">IF(D7198-MAX(D7198/4,2*G7196)*2&gt;0,ROUND((D7198-MAX(D7198/4,2*G7196)*2)/H7216,0),0)</f>
        <v>12</v>
      </c>
      <c r="X7216" s="399" t="s">
        <v>125</v>
      </c>
      <c r="Y7216" s="389">
        <f t="shared" ref="Y7216" si="23412">D7201</f>
        <v>1</v>
      </c>
      <c r="Z7216" s="400" t="s">
        <v>176</v>
      </c>
      <c r="AA7216" s="402">
        <f t="shared" si="23408"/>
        <v>7.6199400000000015</v>
      </c>
      <c r="AB7216" s="403"/>
    </row>
    <row r="7217" spans="1:28">
      <c r="A7217" s="384" t="str">
        <f t="shared" ref="A7217:B7217" si="23413">A7195</f>
        <v>Lantai Atap</v>
      </c>
      <c r="B7217" s="385">
        <f t="shared" si="23413"/>
        <v>32</v>
      </c>
      <c r="C7217" s="393" t="s">
        <v>211</v>
      </c>
      <c r="D7217" s="398">
        <f>VLOOKUP(D7195,'Detail Balok'!$C$10:$AU$140,41,FALSE)</f>
        <v>0</v>
      </c>
      <c r="E7217" s="388" t="s">
        <v>16</v>
      </c>
      <c r="F7217" s="388">
        <f>VLOOKUP(D7195,'Detail Balok'!$C$10:$AU$140,43,FALSE)</f>
        <v>10</v>
      </c>
      <c r="G7217" s="405" t="s">
        <v>157</v>
      </c>
      <c r="H7217" s="395">
        <f>VLOOKUP(D7195,'Detail Balok'!$C$10:$AU$140,45,FALSE)</f>
        <v>100</v>
      </c>
      <c r="I7217" s="388"/>
      <c r="J7217" s="400">
        <f t="shared" ref="J7217" si="23414">(IF(D7217=0,(2*(D7196+G7196))-(F$5*8),IF(D7217=3,(2*(D7196+G7196))-(F$5*8)+(G7196-2*F$5),IF(D7217=4,(2*(D7196+G7196))-(F$5*8)+2*(G7196-2*F$5)))))/1000</f>
        <v>0.88</v>
      </c>
      <c r="K7217" s="400" t="s">
        <v>204</v>
      </c>
      <c r="L7217" s="399">
        <f t="shared" si="23403"/>
        <v>0.15</v>
      </c>
      <c r="M7217" s="399" t="s">
        <v>176</v>
      </c>
      <c r="N7217" s="399">
        <f t="shared" si="23404"/>
        <v>1.03</v>
      </c>
      <c r="O7217" s="399"/>
      <c r="P7217" s="389"/>
      <c r="Q7217" s="399"/>
      <c r="R7217" s="399"/>
      <c r="S7217" s="399"/>
      <c r="T7217" s="399" t="s">
        <v>125</v>
      </c>
      <c r="U7217" s="401">
        <f t="shared" si="23405"/>
        <v>0.61650000000000005</v>
      </c>
      <c r="V7217" s="399" t="s">
        <v>125</v>
      </c>
      <c r="W7217" s="399">
        <f t="shared" ref="W7217" si="23415">IF(D7198&gt;4*G7196,ROUND(MAX(D7198/4,2*G7196)/H7217,0)+1,0)</f>
        <v>13</v>
      </c>
      <c r="X7217" s="399" t="s">
        <v>125</v>
      </c>
      <c r="Y7217" s="389">
        <f t="shared" ref="Y7217" si="23416">D7201</f>
        <v>1</v>
      </c>
      <c r="Z7217" s="400" t="s">
        <v>176</v>
      </c>
      <c r="AA7217" s="402">
        <f t="shared" si="23408"/>
        <v>8.2549350000000015</v>
      </c>
      <c r="AB7217" s="403"/>
    </row>
    <row r="7218" spans="1:28">
      <c r="A7218" s="384"/>
      <c r="B7218" s="385"/>
      <c r="C7218" s="393"/>
      <c r="D7218" s="394"/>
      <c r="E7218" s="388"/>
      <c r="F7218" s="388"/>
      <c r="G7218" s="388"/>
      <c r="H7218" s="395"/>
      <c r="I7218" s="388"/>
      <c r="J7218" s="399"/>
      <c r="K7218" s="396"/>
      <c r="L7218" s="396"/>
      <c r="M7218" s="396"/>
      <c r="N7218" s="396"/>
      <c r="O7218" s="396"/>
      <c r="P7218" s="389"/>
      <c r="Q7218" s="396"/>
      <c r="R7218" s="396"/>
      <c r="S7218" s="396"/>
      <c r="T7218" s="396"/>
      <c r="U7218" s="401"/>
      <c r="V7218" s="396"/>
      <c r="W7218" s="388"/>
      <c r="X7218" s="396"/>
      <c r="Y7218" s="389"/>
      <c r="Z7218" s="396"/>
      <c r="AA7218" s="388"/>
      <c r="AB7218" s="390"/>
    </row>
    <row r="7219" spans="1:28">
      <c r="A7219" s="384" t="str">
        <f t="shared" ref="A7219:B7219" si="23417">A7195</f>
        <v>Lantai Atap</v>
      </c>
      <c r="B7219" s="385">
        <f t="shared" si="23417"/>
        <v>32</v>
      </c>
      <c r="C7219" s="393" t="s">
        <v>213</v>
      </c>
      <c r="D7219" s="398">
        <f>VLOOKUP(D7195,'Detail Balok'!$C$10:$BJ$140,46,FALSE)</f>
        <v>0</v>
      </c>
      <c r="E7219" s="388" t="s">
        <v>16</v>
      </c>
      <c r="F7219" s="388">
        <f>VLOOKUP(D7195,'Detail Balok'!$C$10:$BJ$140,48,FALSE)</f>
        <v>0</v>
      </c>
      <c r="G7219" s="405" t="s">
        <v>157</v>
      </c>
      <c r="H7219" s="395">
        <f>VLOOKUP(D7195,'Detail Balok'!$C$10:$BJ$140,50,FALSE)</f>
        <v>100</v>
      </c>
      <c r="I7219" s="388"/>
      <c r="J7219" s="399">
        <f t="shared" ref="J7219" si="23418">(D7196-2*F$5)/1000</f>
        <v>0.12</v>
      </c>
      <c r="K7219" s="400" t="s">
        <v>204</v>
      </c>
      <c r="L7219" s="399">
        <f t="shared" ref="L7219:L7221" si="23419">IF(D7219=0,2*MAX(6*F7219,75),(D7219-1)*2*MAX(6*F7219,75))/1000</f>
        <v>0.15</v>
      </c>
      <c r="M7219" s="399" t="s">
        <v>176</v>
      </c>
      <c r="N7219" s="399">
        <f t="shared" ref="N7219:N7221" si="23420">J7219+L7219</f>
        <v>0.27</v>
      </c>
      <c r="O7219" s="399"/>
      <c r="P7219" s="399"/>
      <c r="Q7219" s="399"/>
      <c r="R7219" s="399"/>
      <c r="S7219" s="399"/>
      <c r="T7219" s="399" t="s">
        <v>125</v>
      </c>
      <c r="U7219" s="401">
        <f t="shared" ref="U7219:U7221" si="23421">0.006165*F7219^2</f>
        <v>0</v>
      </c>
      <c r="V7219" s="399" t="s">
        <v>125</v>
      </c>
      <c r="W7219" s="399">
        <f t="shared" ref="W7219:W7251" si="23422">W7215</f>
        <v>13</v>
      </c>
      <c r="X7219" s="399" t="s">
        <v>125</v>
      </c>
      <c r="Y7219" s="389">
        <f t="shared" ref="Y7219" si="23423">D7205</f>
        <v>3</v>
      </c>
      <c r="Z7219" s="400" t="s">
        <v>176</v>
      </c>
      <c r="AA7219" s="402">
        <f t="shared" ref="AA7219:AA7221" si="23424">N7219*U7219*W7219*Y7219</f>
        <v>0</v>
      </c>
      <c r="AB7219" s="403"/>
    </row>
    <row r="7220" spans="1:28">
      <c r="A7220" s="384" t="str">
        <f t="shared" ref="A7220:B7220" si="23425">A7195</f>
        <v>Lantai Atap</v>
      </c>
      <c r="B7220" s="385">
        <f t="shared" si="23425"/>
        <v>32</v>
      </c>
      <c r="C7220" s="393" t="s">
        <v>214</v>
      </c>
      <c r="D7220" s="398">
        <f>VLOOKUP(D7195,'Detail Balok'!$C$10:$BJ$140,51,FALSE)</f>
        <v>0</v>
      </c>
      <c r="E7220" s="388" t="s">
        <v>16</v>
      </c>
      <c r="F7220" s="388">
        <f>VLOOKUP(D7195,'Detail Balok'!$C$10:$BJ$140,53,FALSE)</f>
        <v>0</v>
      </c>
      <c r="G7220" s="405" t="s">
        <v>157</v>
      </c>
      <c r="H7220" s="395">
        <f>VLOOKUP(D7195,'Detail Balok'!$C$10:$BJ$140,55,FALSE)</f>
        <v>100</v>
      </c>
      <c r="I7220" s="388"/>
      <c r="J7220" s="399">
        <f t="shared" ref="J7220" si="23426">(D7196-2*F$5)/1000</f>
        <v>0.12</v>
      </c>
      <c r="K7220" s="400" t="s">
        <v>204</v>
      </c>
      <c r="L7220" s="399">
        <f t="shared" si="23419"/>
        <v>0.15</v>
      </c>
      <c r="M7220" s="399" t="s">
        <v>176</v>
      </c>
      <c r="N7220" s="399">
        <f t="shared" si="23420"/>
        <v>0.27</v>
      </c>
      <c r="O7220" s="399"/>
      <c r="P7220" s="399"/>
      <c r="Q7220" s="399"/>
      <c r="R7220" s="399"/>
      <c r="S7220" s="399"/>
      <c r="T7220" s="399" t="s">
        <v>125</v>
      </c>
      <c r="U7220" s="401">
        <f t="shared" si="23421"/>
        <v>0</v>
      </c>
      <c r="V7220" s="399" t="s">
        <v>125</v>
      </c>
      <c r="W7220" s="399">
        <f t="shared" si="23422"/>
        <v>12</v>
      </c>
      <c r="X7220" s="399" t="s">
        <v>125</v>
      </c>
      <c r="Y7220" s="389">
        <f t="shared" ref="Y7220" si="23427">D7205</f>
        <v>3</v>
      </c>
      <c r="Z7220" s="400" t="s">
        <v>176</v>
      </c>
      <c r="AA7220" s="402">
        <f t="shared" si="23424"/>
        <v>0</v>
      </c>
      <c r="AB7220" s="403"/>
    </row>
    <row r="7221" spans="1:28">
      <c r="A7221" s="384" t="str">
        <f t="shared" ref="A7221:B7221" si="23428">A7195</f>
        <v>Lantai Atap</v>
      </c>
      <c r="B7221" s="385">
        <f t="shared" si="23428"/>
        <v>32</v>
      </c>
      <c r="C7221" s="393" t="s">
        <v>213</v>
      </c>
      <c r="D7221" s="398">
        <f>VLOOKUP(D7195,'Detail Balok'!$C$10:$BJ$140,56,FALSE)</f>
        <v>0</v>
      </c>
      <c r="E7221" s="388" t="s">
        <v>16</v>
      </c>
      <c r="F7221" s="388">
        <f>VLOOKUP(D7195,'Detail Balok'!$C$10:$BJ$140,58,FALSE)</f>
        <v>0</v>
      </c>
      <c r="G7221" s="405" t="s">
        <v>157</v>
      </c>
      <c r="H7221" s="395">
        <f>VLOOKUP(D7195,'Detail Balok'!$C$10:$BJ$140,60,FALSE)</f>
        <v>100</v>
      </c>
      <c r="I7221" s="388"/>
      <c r="J7221" s="399">
        <f t="shared" ref="J7221" si="23429">(D7196-2*F$5)/1000</f>
        <v>0.12</v>
      </c>
      <c r="K7221" s="400" t="s">
        <v>204</v>
      </c>
      <c r="L7221" s="399">
        <f t="shared" si="23419"/>
        <v>0.15</v>
      </c>
      <c r="M7221" s="399" t="s">
        <v>176</v>
      </c>
      <c r="N7221" s="399">
        <f t="shared" si="23420"/>
        <v>0.27</v>
      </c>
      <c r="O7221" s="399"/>
      <c r="P7221" s="399"/>
      <c r="Q7221" s="399"/>
      <c r="R7221" s="399"/>
      <c r="S7221" s="399"/>
      <c r="T7221" s="399" t="s">
        <v>125</v>
      </c>
      <c r="U7221" s="401">
        <f t="shared" si="23421"/>
        <v>0</v>
      </c>
      <c r="V7221" s="399" t="s">
        <v>125</v>
      </c>
      <c r="W7221" s="399">
        <f t="shared" si="23422"/>
        <v>13</v>
      </c>
      <c r="X7221" s="399" t="s">
        <v>125</v>
      </c>
      <c r="Y7221" s="389">
        <f t="shared" ref="Y7221" si="23430">D7205</f>
        <v>3</v>
      </c>
      <c r="Z7221" s="400" t="s">
        <v>176</v>
      </c>
      <c r="AA7221" s="402">
        <f t="shared" si="23424"/>
        <v>0</v>
      </c>
      <c r="AB7221" s="403"/>
    </row>
    <row r="7222" spans="1:28">
      <c r="A7222" s="391"/>
      <c r="B7222" s="392"/>
      <c r="C7222" s="392"/>
      <c r="D7222" s="394"/>
      <c r="E7222" s="388"/>
      <c r="F7222" s="388"/>
      <c r="G7222" s="388"/>
      <c r="H7222" s="395"/>
      <c r="I7222" s="388"/>
      <c r="J7222" s="402"/>
      <c r="K7222" s="388"/>
      <c r="L7222" s="388"/>
      <c r="M7222" s="388"/>
      <c r="N7222" s="388"/>
      <c r="O7222" s="388"/>
      <c r="P7222" s="388"/>
      <c r="Q7222" s="388"/>
      <c r="R7222" s="388"/>
      <c r="S7222" s="388"/>
      <c r="T7222" s="388"/>
      <c r="U7222" s="388"/>
      <c r="V7222" s="388"/>
      <c r="W7222" s="388"/>
      <c r="X7222" s="388"/>
      <c r="Y7222" s="389"/>
      <c r="Z7222" s="388"/>
      <c r="AA7222" s="402"/>
      <c r="AB7222" s="403"/>
    </row>
    <row r="7223" spans="1:28" ht="15.75" thickBot="1">
      <c r="A7223" s="406"/>
      <c r="B7223" s="407"/>
      <c r="C7223" s="407"/>
      <c r="D7223" s="408"/>
      <c r="E7223" s="409"/>
      <c r="F7223" s="409"/>
      <c r="G7223" s="409"/>
      <c r="H7223" s="410"/>
      <c r="I7223" s="409"/>
      <c r="J7223" s="409"/>
      <c r="K7223" s="409"/>
      <c r="L7223" s="409"/>
      <c r="M7223" s="409"/>
      <c r="N7223" s="409"/>
      <c r="O7223" s="409"/>
      <c r="P7223" s="409"/>
      <c r="Q7223" s="409"/>
      <c r="R7223" s="409"/>
      <c r="S7223" s="409"/>
      <c r="T7223" s="409"/>
      <c r="U7223" s="409"/>
      <c r="V7223" s="409"/>
      <c r="W7223" s="409"/>
      <c r="X7223" s="409"/>
      <c r="Y7223" s="411"/>
      <c r="Z7223" s="409"/>
      <c r="AA7223" s="412"/>
      <c r="AB7223" s="413"/>
    </row>
    <row r="7224" spans="1:28">
      <c r="A7224" s="377"/>
      <c r="B7224" s="378"/>
      <c r="C7224" s="378"/>
      <c r="D7224" s="379"/>
      <c r="E7224" s="380"/>
      <c r="F7224" s="380"/>
      <c r="G7224" s="380"/>
      <c r="H7224" s="381"/>
      <c r="I7224" s="380"/>
      <c r="J7224" s="380"/>
      <c r="K7224" s="380"/>
      <c r="L7224" s="380"/>
      <c r="M7224" s="380"/>
      <c r="N7224" s="380"/>
      <c r="O7224" s="380"/>
      <c r="P7224" s="380"/>
      <c r="Q7224" s="380"/>
      <c r="R7224" s="380"/>
      <c r="S7224" s="380"/>
      <c r="T7224" s="380"/>
      <c r="U7224" s="380"/>
      <c r="V7224" s="380"/>
      <c r="W7224" s="380"/>
      <c r="X7224" s="380"/>
      <c r="Y7224" s="382"/>
      <c r="Z7224" s="380"/>
      <c r="AA7224" s="380"/>
      <c r="AB7224" s="383"/>
    </row>
    <row r="7225" spans="1:28">
      <c r="A7225" s="384" t="str">
        <f t="shared" ref="A7225" si="23431">A7195</f>
        <v>Lantai Atap</v>
      </c>
      <c r="B7225" s="385">
        <f t="shared" ref="B7225" si="23432">B7195+1</f>
        <v>33</v>
      </c>
      <c r="C7225" s="386" t="str">
        <f t="shared" ref="C7225" si="23433">CONCATENATE(A7225," no. ",B7225)</f>
        <v>Lantai Atap no. 33</v>
      </c>
      <c r="D7225" s="2562" t="str">
        <f>VLOOKUP(C7225,'Data Panjang Balok'!$C$9:$N$254,2,FALSE)</f>
        <v>B24-1</v>
      </c>
      <c r="E7225" s="2576"/>
      <c r="F7225" s="2576"/>
      <c r="G7225" s="2576"/>
      <c r="H7225" s="2577"/>
      <c r="I7225" s="387"/>
      <c r="J7225" s="388"/>
      <c r="K7225" s="388"/>
      <c r="L7225" s="388"/>
      <c r="M7225" s="388"/>
      <c r="N7225" s="388"/>
      <c r="O7225" s="388"/>
      <c r="P7225" s="388"/>
      <c r="Q7225" s="388"/>
      <c r="R7225" s="388"/>
      <c r="S7225" s="388"/>
      <c r="T7225" s="388"/>
      <c r="U7225" s="388"/>
      <c r="V7225" s="388"/>
      <c r="W7225" s="388"/>
      <c r="X7225" s="388"/>
      <c r="Y7225" s="389"/>
      <c r="Z7225" s="388"/>
      <c r="AA7225" s="388"/>
      <c r="AB7225" s="390"/>
    </row>
    <row r="7226" spans="1:28">
      <c r="A7226" s="391"/>
      <c r="B7226" s="392"/>
      <c r="C7226" s="393" t="s">
        <v>118</v>
      </c>
      <c r="D7226" s="2578">
        <f>VLOOKUP(D7225,'Detail Balok'!$C$10:$AU$140,2,FALSE)</f>
        <v>200</v>
      </c>
      <c r="E7226" s="2579"/>
      <c r="F7226" s="388" t="s">
        <v>125</v>
      </c>
      <c r="G7226" s="2579">
        <f>VLOOKUP(D7225,'Detail Balok'!$C$10:$AU$140,3,FALSE)</f>
        <v>400</v>
      </c>
      <c r="H7226" s="2580"/>
      <c r="I7226" s="388"/>
      <c r="J7226" s="396"/>
      <c r="K7226" s="396"/>
      <c r="L7226" s="396"/>
      <c r="M7226" s="396"/>
      <c r="N7226" s="396"/>
      <c r="O7226" s="396"/>
      <c r="P7226" s="396"/>
      <c r="Q7226" s="396"/>
      <c r="R7226" s="396"/>
      <c r="S7226" s="396"/>
      <c r="T7226" s="396"/>
      <c r="U7226" s="388"/>
      <c r="V7226" s="396"/>
      <c r="W7226" s="388"/>
      <c r="X7226" s="396"/>
      <c r="Y7226" s="389"/>
      <c r="Z7226" s="396"/>
      <c r="AA7226" s="388"/>
      <c r="AB7226" s="390"/>
    </row>
    <row r="7227" spans="1:28">
      <c r="A7227" s="391"/>
      <c r="B7227" s="392"/>
      <c r="C7227" s="393" t="s">
        <v>198</v>
      </c>
      <c r="D7227" s="2562">
        <f>VLOOKUP(C7225,'Data Panjang Balok'!$C$9:$N$254,4,FALSE)</f>
        <v>5905</v>
      </c>
      <c r="E7227" s="2563"/>
      <c r="F7227" s="2563"/>
      <c r="G7227" s="2563"/>
      <c r="H7227" s="2564"/>
      <c r="I7227" s="397"/>
      <c r="J7227" s="396"/>
      <c r="K7227" s="396"/>
      <c r="L7227" s="396"/>
      <c r="M7227" s="396"/>
      <c r="N7227" s="396"/>
      <c r="O7227" s="396"/>
      <c r="P7227" s="396"/>
      <c r="Q7227" s="396"/>
      <c r="R7227" s="396"/>
      <c r="S7227" s="396"/>
      <c r="T7227" s="396"/>
      <c r="U7227" s="388"/>
      <c r="V7227" s="396"/>
      <c r="W7227" s="388"/>
      <c r="X7227" s="396"/>
      <c r="Y7227" s="389"/>
      <c r="Z7227" s="396"/>
      <c r="AA7227" s="388"/>
      <c r="AB7227" s="390"/>
    </row>
    <row r="7228" spans="1:28">
      <c r="A7228" s="391"/>
      <c r="B7228" s="392"/>
      <c r="C7228" s="393" t="s">
        <v>199</v>
      </c>
      <c r="D7228" s="2562">
        <f>VLOOKUP(C7225,'Data Panjang Balok'!$C$9:$N$254,7,FALSE)</f>
        <v>5905</v>
      </c>
      <c r="E7228" s="2563"/>
      <c r="F7228" s="2563"/>
      <c r="G7228" s="2563"/>
      <c r="H7228" s="2564"/>
      <c r="I7228" s="397"/>
      <c r="J7228" s="396"/>
      <c r="K7228" s="396"/>
      <c r="L7228" s="396"/>
      <c r="M7228" s="396"/>
      <c r="N7228" s="396"/>
      <c r="O7228" s="396"/>
      <c r="P7228" s="396"/>
      <c r="Q7228" s="396"/>
      <c r="R7228" s="396"/>
      <c r="S7228" s="396"/>
      <c r="T7228" s="396"/>
      <c r="U7228" s="388"/>
      <c r="V7228" s="396"/>
      <c r="W7228" s="388"/>
      <c r="X7228" s="396"/>
      <c r="Y7228" s="389"/>
      <c r="Z7228" s="396"/>
      <c r="AA7228" s="388"/>
      <c r="AB7228" s="390"/>
    </row>
    <row r="7229" spans="1:28">
      <c r="A7229" s="391"/>
      <c r="B7229" s="392"/>
      <c r="C7229" s="393" t="s">
        <v>200</v>
      </c>
      <c r="D7229" s="2562">
        <f>VLOOKUP(C7225,'Data Panjang Balok'!$C$9:$N$254,9,FALSE)</f>
        <v>0</v>
      </c>
      <c r="E7229" s="2563"/>
      <c r="F7229" s="2563"/>
      <c r="G7229" s="2563"/>
      <c r="H7229" s="2564"/>
      <c r="I7229" s="397"/>
      <c r="J7229" s="396"/>
      <c r="K7229" s="396"/>
      <c r="L7229" s="396"/>
      <c r="M7229" s="396"/>
      <c r="N7229" s="396"/>
      <c r="O7229" s="396"/>
      <c r="P7229" s="396"/>
      <c r="Q7229" s="396"/>
      <c r="R7229" s="396"/>
      <c r="S7229" s="396"/>
      <c r="T7229" s="396"/>
      <c r="U7229" s="388"/>
      <c r="V7229" s="396"/>
      <c r="W7229" s="388"/>
      <c r="X7229" s="396"/>
      <c r="Y7229" s="389"/>
      <c r="Z7229" s="396"/>
      <c r="AA7229" s="388"/>
      <c r="AB7229" s="390"/>
    </row>
    <row r="7230" spans="1:28">
      <c r="A7230" s="391"/>
      <c r="B7230" s="392"/>
      <c r="C7230" s="393" t="s">
        <v>201</v>
      </c>
      <c r="D7230" s="2562">
        <f>VLOOKUP(C7225,'Data Panjang Balok'!$C$9:$N$254,10,FALSE)</f>
        <v>0</v>
      </c>
      <c r="E7230" s="2563"/>
      <c r="F7230" s="2563"/>
      <c r="G7230" s="2563"/>
      <c r="H7230" s="2564"/>
      <c r="I7230" s="397"/>
      <c r="J7230" s="396"/>
      <c r="K7230" s="396"/>
      <c r="L7230" s="396"/>
      <c r="M7230" s="396"/>
      <c r="N7230" s="396"/>
      <c r="O7230" s="396"/>
      <c r="P7230" s="396"/>
      <c r="Q7230" s="396"/>
      <c r="R7230" s="396"/>
      <c r="S7230" s="396"/>
      <c r="T7230" s="396"/>
      <c r="U7230" s="388"/>
      <c r="V7230" s="396"/>
      <c r="W7230" s="388"/>
      <c r="X7230" s="396"/>
      <c r="Y7230" s="389"/>
      <c r="Z7230" s="396"/>
      <c r="AA7230" s="388"/>
      <c r="AB7230" s="390"/>
    </row>
    <row r="7231" spans="1:28">
      <c r="A7231" s="391"/>
      <c r="B7231" s="392"/>
      <c r="C7231" s="393" t="s">
        <v>48</v>
      </c>
      <c r="D7231" s="2562">
        <f>VLOOKUP(C7225,'Data Panjang Balok'!$C$9:$N$254,3,FALSE)</f>
        <v>1</v>
      </c>
      <c r="E7231" s="2563"/>
      <c r="F7231" s="2563"/>
      <c r="G7231" s="2563"/>
      <c r="H7231" s="2564"/>
      <c r="I7231" s="397"/>
      <c r="J7231" s="396"/>
      <c r="K7231" s="396"/>
      <c r="L7231" s="396"/>
      <c r="M7231" s="396"/>
      <c r="N7231" s="396"/>
      <c r="O7231" s="396"/>
      <c r="P7231" s="396"/>
      <c r="Q7231" s="396"/>
      <c r="R7231" s="396"/>
      <c r="S7231" s="396"/>
      <c r="T7231" s="396"/>
      <c r="U7231" s="388"/>
      <c r="V7231" s="396"/>
      <c r="W7231" s="388"/>
      <c r="X7231" s="396"/>
      <c r="Y7231" s="389"/>
      <c r="Z7231" s="396"/>
      <c r="AA7231" s="388"/>
      <c r="AB7231" s="390"/>
    </row>
    <row r="7232" spans="1:28">
      <c r="A7232" s="384" t="str">
        <f t="shared" ref="A7232:B7232" si="23434">A7225</f>
        <v>Lantai Atap</v>
      </c>
      <c r="B7232" s="385">
        <f t="shared" si="23434"/>
        <v>33</v>
      </c>
      <c r="C7232" s="393" t="s">
        <v>202</v>
      </c>
      <c r="D7232" s="398">
        <f>VLOOKUP(D7225,'Detail Balok'!$C$10:$AU$140,4,FALSE)</f>
        <v>3</v>
      </c>
      <c r="E7232" s="388" t="s">
        <v>16</v>
      </c>
      <c r="F7232" s="388">
        <f>VLOOKUP(D7225,'Detail Balok'!$C$10:$AU$140,6,FALSE)</f>
        <v>13</v>
      </c>
      <c r="G7232" s="388"/>
      <c r="H7232" s="395"/>
      <c r="I7232" s="388" t="s">
        <v>203</v>
      </c>
      <c r="J7232" s="399">
        <f t="shared" ref="J7232" si="23435">+D7227/4/1000</f>
        <v>1.4762500000000001</v>
      </c>
      <c r="K7232" s="400" t="s">
        <v>204</v>
      </c>
      <c r="L7232" s="399">
        <f t="shared" ref="L7232" si="23436">MAX(VLOOKUP(F7232,N$6:P$15,3,FALSE)/1000,2/3*D7229/1000)+F$16*F7232/1000</f>
        <v>0.156</v>
      </c>
      <c r="M7232" s="399" t="s">
        <v>176</v>
      </c>
      <c r="N7232" s="399">
        <f t="shared" ref="N7232:N7234" si="23437">J7232+L7232</f>
        <v>1.63225</v>
      </c>
      <c r="O7232" s="399" t="s">
        <v>204</v>
      </c>
      <c r="P7232" s="389">
        <f t="shared" ref="P7232" si="23438">D7232-D7233</f>
        <v>0</v>
      </c>
      <c r="Q7232" s="399" t="s">
        <v>125</v>
      </c>
      <c r="R7232" s="399">
        <f t="shared" ref="R7232" si="23439">IF(P7232&gt;0,$F$18*F7232/1000,0)</f>
        <v>0</v>
      </c>
      <c r="S7232" s="399" t="s">
        <v>205</v>
      </c>
      <c r="T7232" s="399" t="s">
        <v>125</v>
      </c>
      <c r="U7232" s="401">
        <f t="shared" ref="U7232:U7234" si="23440">0.006165*F7232^2</f>
        <v>1.041885</v>
      </c>
      <c r="V7232" s="399"/>
      <c r="W7232" s="399"/>
      <c r="X7232" s="399" t="s">
        <v>125</v>
      </c>
      <c r="Y7232" s="389">
        <f t="shared" ref="Y7232" si="23441">D7231</f>
        <v>1</v>
      </c>
      <c r="Z7232" s="400" t="s">
        <v>176</v>
      </c>
      <c r="AA7232" s="402">
        <f t="shared" ref="AA7232" si="23442">IF(AA7235=0,(D7232*N7232+P7232*R7232)*U7232*Y7232,0)</f>
        <v>0</v>
      </c>
      <c r="AB7232" s="403"/>
    </row>
    <row r="7233" spans="1:28">
      <c r="A7233" s="384" t="str">
        <f t="shared" ref="A7233:B7233" si="23443">A7225</f>
        <v>Lantai Atap</v>
      </c>
      <c r="B7233" s="385">
        <f t="shared" si="23443"/>
        <v>33</v>
      </c>
      <c r="C7233" s="393" t="s">
        <v>206</v>
      </c>
      <c r="D7233" s="398">
        <f>VLOOKUP(D7225,'Detail Balok'!$C$10:$AU$140,7,FALSE)</f>
        <v>3</v>
      </c>
      <c r="E7233" s="388" t="s">
        <v>16</v>
      </c>
      <c r="F7233" s="388">
        <f>VLOOKUP(D7225,'Detail Balok'!$C$10:$AU$140,9,FALSE)</f>
        <v>13</v>
      </c>
      <c r="G7233" s="388"/>
      <c r="H7233" s="395"/>
      <c r="I7233" s="388" t="s">
        <v>203</v>
      </c>
      <c r="J7233" s="399">
        <f t="shared" ref="J7233" si="23444">+D7227/2/1000</f>
        <v>2.9525000000000001</v>
      </c>
      <c r="K7233" s="400" t="s">
        <v>204</v>
      </c>
      <c r="L7233" s="399"/>
      <c r="M7233" s="399" t="s">
        <v>176</v>
      </c>
      <c r="N7233" s="399">
        <f t="shared" si="23437"/>
        <v>2.9525000000000001</v>
      </c>
      <c r="O7233" s="399" t="s">
        <v>204</v>
      </c>
      <c r="P7233" s="389">
        <f t="shared" ref="P7233" si="23445">MAX(D7233-D7232,D7233-D7234)</f>
        <v>0</v>
      </c>
      <c r="Q7233" s="399" t="s">
        <v>125</v>
      </c>
      <c r="R7233" s="399">
        <f t="shared" ref="R7233" si="23446">IF(P7233&gt;0,2*(1-2*$F$19-1/2)*D7228/1000,0)</f>
        <v>0</v>
      </c>
      <c r="S7233" s="399" t="s">
        <v>205</v>
      </c>
      <c r="T7233" s="399" t="s">
        <v>125</v>
      </c>
      <c r="U7233" s="401">
        <f t="shared" si="23440"/>
        <v>1.041885</v>
      </c>
      <c r="V7233" s="399"/>
      <c r="W7233" s="399"/>
      <c r="X7233" s="399" t="s">
        <v>125</v>
      </c>
      <c r="Y7233" s="389">
        <f t="shared" ref="Y7233" si="23447">D7231</f>
        <v>1</v>
      </c>
      <c r="Z7233" s="400" t="s">
        <v>176</v>
      </c>
      <c r="AA7233" s="402">
        <f t="shared" ref="AA7233" si="23448">IF(AA7235=0,(D7233*N7233+P7233*R7233)*U7233*Y7233,0)</f>
        <v>0</v>
      </c>
      <c r="AB7233" s="403"/>
    </row>
    <row r="7234" spans="1:28">
      <c r="A7234" s="384" t="str">
        <f t="shared" ref="A7234:B7234" si="23449">A7225</f>
        <v>Lantai Atap</v>
      </c>
      <c r="B7234" s="385">
        <f t="shared" si="23449"/>
        <v>33</v>
      </c>
      <c r="C7234" s="393" t="s">
        <v>202</v>
      </c>
      <c r="D7234" s="398">
        <f>VLOOKUP(D7225,'Detail Balok'!$C$10:$AU$140,10,FALSE)</f>
        <v>3</v>
      </c>
      <c r="E7234" s="388" t="s">
        <v>16</v>
      </c>
      <c r="F7234" s="388">
        <f>VLOOKUP(D7225,'Detail Balok'!$C$10:$AU$140,12,FALSE)</f>
        <v>13</v>
      </c>
      <c r="G7234" s="388"/>
      <c r="H7234" s="395"/>
      <c r="I7234" s="388" t="s">
        <v>203</v>
      </c>
      <c r="J7234" s="399">
        <f t="shared" ref="J7234" si="23450">+D7227/4/1000</f>
        <v>1.4762500000000001</v>
      </c>
      <c r="K7234" s="400" t="s">
        <v>204</v>
      </c>
      <c r="L7234" s="399">
        <f t="shared" ref="L7234" si="23451">MAX(VLOOKUP(F7234,N$6:P$15,3,FALSE)/1000,2/3*D7229/1000)+F$16*F7234/1000</f>
        <v>0.156</v>
      </c>
      <c r="M7234" s="399" t="s">
        <v>176</v>
      </c>
      <c r="N7234" s="399">
        <f t="shared" si="23437"/>
        <v>1.63225</v>
      </c>
      <c r="O7234" s="399" t="s">
        <v>204</v>
      </c>
      <c r="P7234" s="389">
        <f t="shared" ref="P7234" si="23452">D7234-D7233</f>
        <v>0</v>
      </c>
      <c r="Q7234" s="399" t="s">
        <v>125</v>
      </c>
      <c r="R7234" s="399">
        <f t="shared" ref="R7234" si="23453">IF(P7234&gt;0,$F$18*F7234/1000,0)</f>
        <v>0</v>
      </c>
      <c r="S7234" s="399" t="s">
        <v>205</v>
      </c>
      <c r="T7234" s="399" t="s">
        <v>125</v>
      </c>
      <c r="U7234" s="401">
        <f t="shared" si="23440"/>
        <v>1.041885</v>
      </c>
      <c r="V7234" s="399"/>
      <c r="W7234" s="399"/>
      <c r="X7234" s="399" t="s">
        <v>125</v>
      </c>
      <c r="Y7234" s="389">
        <f t="shared" ref="Y7234" si="23454">D7231</f>
        <v>1</v>
      </c>
      <c r="Z7234" s="400" t="s">
        <v>176</v>
      </c>
      <c r="AA7234" s="402">
        <f t="shared" ref="AA7234" si="23455">IF(AA7235=0,(D7234*N7234+P7234*R7234)*U7234*Y7234,0)</f>
        <v>0</v>
      </c>
      <c r="AB7234" s="403"/>
    </row>
    <row r="7235" spans="1:28">
      <c r="A7235" s="384" t="str">
        <f t="shared" ref="A7235:B7235" si="23456">A7225</f>
        <v>Lantai Atap</v>
      </c>
      <c r="B7235" s="385">
        <f t="shared" si="23456"/>
        <v>33</v>
      </c>
      <c r="C7235" s="393"/>
      <c r="D7235" s="398">
        <f t="shared" si="23352"/>
        <v>3</v>
      </c>
      <c r="E7235" s="388" t="s">
        <v>16</v>
      </c>
      <c r="F7235" s="388">
        <f t="shared" si="23353"/>
        <v>13</v>
      </c>
      <c r="G7235" s="388"/>
      <c r="H7235" s="395"/>
      <c r="I7235" s="388"/>
      <c r="J7235" s="396"/>
      <c r="K7235" s="396"/>
      <c r="L7235" s="404" t="s">
        <v>207</v>
      </c>
      <c r="M7235" s="399" t="s">
        <v>176</v>
      </c>
      <c r="N7235" s="399">
        <f t="shared" ref="N7235" si="23457">IF(AND(D7232=D7233,D7232=D7234,D7233=D7234,F7232=F7233,F7232=F7234,F7233=F7234),SUM(N7232:N7234),0)</f>
        <v>6.2169999999999996</v>
      </c>
      <c r="O7235" s="399" t="s">
        <v>204</v>
      </c>
      <c r="P7235" s="389">
        <f t="shared" ref="P7235" si="23458">IF(N7235&gt;12,ROUNDDOWN(N7235/12,0),0)</f>
        <v>0</v>
      </c>
      <c r="Q7235" s="399" t="s">
        <v>125</v>
      </c>
      <c r="R7235" s="399">
        <f t="shared" ref="R7235" si="23459">IF(P7235&gt;0,MAX(VLOOKUP(F7235,$D$6:$G$15,3,FALSE),600),0)/1000</f>
        <v>0</v>
      </c>
      <c r="S7235" s="396"/>
      <c r="T7235" s="396" t="s">
        <v>125</v>
      </c>
      <c r="U7235" s="401">
        <f t="shared" si="23357"/>
        <v>1.041885</v>
      </c>
      <c r="V7235" s="396" t="s">
        <v>125</v>
      </c>
      <c r="W7235" s="399">
        <f t="shared" ref="W7235" si="23460">D7235</f>
        <v>3</v>
      </c>
      <c r="X7235" s="399" t="s">
        <v>125</v>
      </c>
      <c r="Y7235" s="389">
        <f t="shared" si="23359"/>
        <v>1</v>
      </c>
      <c r="Z7235" s="400" t="s">
        <v>176</v>
      </c>
      <c r="AA7235" s="402">
        <f t="shared" ref="AA7235" si="23461">(N7235+P7235*R7235/1000)*U7235*W7235*Y7235</f>
        <v>19.432197134999999</v>
      </c>
      <c r="AB7235" s="390"/>
    </row>
    <row r="7236" spans="1:28">
      <c r="A7236" s="384"/>
      <c r="B7236" s="385"/>
      <c r="C7236" s="393"/>
      <c r="D7236" s="398"/>
      <c r="E7236" s="388"/>
      <c r="F7236" s="388"/>
      <c r="G7236" s="388"/>
      <c r="H7236" s="395"/>
      <c r="I7236" s="388"/>
      <c r="J7236" s="396"/>
      <c r="K7236" s="396"/>
      <c r="L7236" s="404"/>
      <c r="M7236" s="399"/>
      <c r="N7236" s="399"/>
      <c r="O7236" s="396"/>
      <c r="P7236" s="389"/>
      <c r="Q7236" s="396"/>
      <c r="R7236" s="396"/>
      <c r="S7236" s="396"/>
      <c r="T7236" s="396"/>
      <c r="U7236" s="401"/>
      <c r="V7236" s="396"/>
      <c r="W7236" s="399"/>
      <c r="X7236" s="396"/>
      <c r="Y7236" s="389"/>
      <c r="Z7236" s="396"/>
      <c r="AA7236" s="388"/>
      <c r="AB7236" s="390"/>
    </row>
    <row r="7237" spans="1:28">
      <c r="A7237" s="384" t="str">
        <f t="shared" ref="A7237:B7237" si="23462">A7225</f>
        <v>Lantai Atap</v>
      </c>
      <c r="B7237" s="385">
        <f t="shared" si="23462"/>
        <v>33</v>
      </c>
      <c r="C7237" s="393" t="s">
        <v>208</v>
      </c>
      <c r="D7237" s="398">
        <f>VLOOKUP(D7225,'Detail Balok'!$C$10:$AU$140,13,FALSE)</f>
        <v>0</v>
      </c>
      <c r="E7237" s="388" t="s">
        <v>16</v>
      </c>
      <c r="F7237" s="388">
        <f>VLOOKUP(D7225,'Detail Balok'!$C$10:$AU$140,15,FALSE)</f>
        <v>8</v>
      </c>
      <c r="G7237" s="388"/>
      <c r="H7237" s="395"/>
      <c r="I7237" s="388"/>
      <c r="J7237" s="399">
        <f t="shared" ref="J7237" si="23463">+D7227/1000</f>
        <v>5.9050000000000002</v>
      </c>
      <c r="K7237" s="400" t="s">
        <v>204</v>
      </c>
      <c r="L7237" s="399">
        <f t="shared" ref="L7237" si="23464">2*$F$16*F7237/1000</f>
        <v>0.192</v>
      </c>
      <c r="M7237" s="399" t="s">
        <v>176</v>
      </c>
      <c r="N7237" s="399">
        <f t="shared" ref="N7237" si="23465">J7237+L7237</f>
        <v>6.0970000000000004</v>
      </c>
      <c r="O7237" s="399" t="s">
        <v>204</v>
      </c>
      <c r="P7237" s="389">
        <f t="shared" ref="P7237" si="23466">IF(N7237&gt;12,ROUNDDOWN(N7237/12,0),0)</f>
        <v>0</v>
      </c>
      <c r="Q7237" s="399" t="s">
        <v>125</v>
      </c>
      <c r="R7237" s="399">
        <f t="shared" ref="R7237" si="23467">IF(P7237&gt;0,MAX(VLOOKUP(F7237,$D$6:$G$15,3,FALSE),600),0)/1000</f>
        <v>0</v>
      </c>
      <c r="S7237" s="399"/>
      <c r="T7237" s="399" t="s">
        <v>125</v>
      </c>
      <c r="U7237" s="401">
        <f t="shared" ref="U7237" si="23468">0.006165*F7237^2</f>
        <v>0.39456000000000002</v>
      </c>
      <c r="V7237" s="399" t="s">
        <v>125</v>
      </c>
      <c r="W7237" s="399">
        <f t="shared" ref="W7237" si="23469">+D7237</f>
        <v>0</v>
      </c>
      <c r="X7237" s="399" t="s">
        <v>125</v>
      </c>
      <c r="Y7237" s="389">
        <f t="shared" ref="Y7237" si="23470">D7231</f>
        <v>1</v>
      </c>
      <c r="Z7237" s="400" t="s">
        <v>176</v>
      </c>
      <c r="AA7237" s="402">
        <f t="shared" ref="AA7237" si="23471">(N7237+P7237*R7237/1000)*U7237*W7237*Y7237</f>
        <v>0</v>
      </c>
      <c r="AB7237" s="403"/>
    </row>
    <row r="7238" spans="1:28">
      <c r="A7238" s="384"/>
      <c r="B7238" s="385"/>
      <c r="C7238" s="393"/>
      <c r="D7238" s="398"/>
      <c r="E7238" s="388"/>
      <c r="F7238" s="388"/>
      <c r="G7238" s="388"/>
      <c r="H7238" s="395"/>
      <c r="I7238" s="388"/>
      <c r="J7238" s="399"/>
      <c r="K7238" s="400"/>
      <c r="L7238" s="399"/>
      <c r="M7238" s="399"/>
      <c r="N7238" s="399"/>
      <c r="O7238" s="399"/>
      <c r="P7238" s="389"/>
      <c r="Q7238" s="399"/>
      <c r="R7238" s="399"/>
      <c r="S7238" s="399"/>
      <c r="T7238" s="399"/>
      <c r="U7238" s="401"/>
      <c r="V7238" s="399"/>
      <c r="W7238" s="399"/>
      <c r="X7238" s="399"/>
      <c r="Y7238" s="389"/>
      <c r="Z7238" s="400"/>
      <c r="AA7238" s="402"/>
      <c r="AB7238" s="403"/>
    </row>
    <row r="7239" spans="1:28">
      <c r="A7239" s="384"/>
      <c r="B7239" s="385"/>
      <c r="C7239" s="393"/>
      <c r="D7239" s="398"/>
      <c r="E7239" s="388"/>
      <c r="F7239" s="388"/>
      <c r="G7239" s="388"/>
      <c r="H7239" s="395"/>
      <c r="I7239" s="388"/>
      <c r="J7239" s="396"/>
      <c r="K7239" s="396"/>
      <c r="L7239" s="396"/>
      <c r="M7239" s="396"/>
      <c r="N7239" s="396"/>
      <c r="O7239" s="396"/>
      <c r="P7239" s="389"/>
      <c r="Q7239" s="396"/>
      <c r="R7239" s="396"/>
      <c r="S7239" s="396"/>
      <c r="T7239" s="396"/>
      <c r="U7239" s="401"/>
      <c r="V7239" s="396"/>
      <c r="W7239" s="399"/>
      <c r="X7239" s="396"/>
      <c r="Y7239" s="389"/>
      <c r="Z7239" s="396"/>
      <c r="AA7239" s="388"/>
      <c r="AB7239" s="390"/>
    </row>
    <row r="7240" spans="1:28">
      <c r="A7240" s="384" t="str">
        <f t="shared" ref="A7240:B7240" si="23472">A7225</f>
        <v>Lantai Atap</v>
      </c>
      <c r="B7240" s="385">
        <f t="shared" si="23472"/>
        <v>33</v>
      </c>
      <c r="C7240" s="393" t="s">
        <v>209</v>
      </c>
      <c r="D7240" s="398">
        <f>VLOOKUP(D7225,'Detail Balok'!$C$10:$AU$140,22,FALSE)</f>
        <v>3</v>
      </c>
      <c r="E7240" s="388" t="s">
        <v>16</v>
      </c>
      <c r="F7240" s="388">
        <f>VLOOKUP(D7225,'Detail Balok'!$C$10:$AU$140,24,FALSE)</f>
        <v>13</v>
      </c>
      <c r="G7240" s="388"/>
      <c r="H7240" s="395"/>
      <c r="I7240" s="388" t="s">
        <v>203</v>
      </c>
      <c r="J7240" s="399">
        <f t="shared" si="23372"/>
        <v>1.4762500000000001</v>
      </c>
      <c r="K7240" s="400" t="s">
        <v>204</v>
      </c>
      <c r="L7240" s="399">
        <f t="shared" ref="L7240" si="23473">MAX(VLOOKUP(F7240,N$6:P$15,3,FALSE)/1000,2/3*D7230/1000)+F$16*F7240/1000</f>
        <v>0.156</v>
      </c>
      <c r="M7240" s="399" t="s">
        <v>176</v>
      </c>
      <c r="N7240" s="399">
        <f t="shared" ref="N7240:N7242" si="23474">J7240+L7240</f>
        <v>1.63225</v>
      </c>
      <c r="O7240" s="399" t="s">
        <v>204</v>
      </c>
      <c r="P7240" s="389">
        <f t="shared" ref="P7240" si="23475">D7240-D7241</f>
        <v>0</v>
      </c>
      <c r="Q7240" s="399" t="s">
        <v>125</v>
      </c>
      <c r="R7240" s="399">
        <f t="shared" ref="R7240" si="23476">IF(P7240&gt;0,$F$18*F7240/1000,0)</f>
        <v>0</v>
      </c>
      <c r="S7240" s="399" t="s">
        <v>205</v>
      </c>
      <c r="T7240" s="399" t="s">
        <v>125</v>
      </c>
      <c r="U7240" s="401">
        <f t="shared" ref="U7240:U7242" si="23477">0.006165*F7240^2</f>
        <v>1.041885</v>
      </c>
      <c r="V7240" s="399"/>
      <c r="W7240" s="399"/>
      <c r="X7240" s="399" t="s">
        <v>125</v>
      </c>
      <c r="Y7240" s="389">
        <f t="shared" ref="Y7240" si="23478">D7231</f>
        <v>1</v>
      </c>
      <c r="Z7240" s="400" t="s">
        <v>176</v>
      </c>
      <c r="AA7240" s="402">
        <f t="shared" ref="AA7240" si="23479">IF(AA7243=0,(D7240*N7240+P7240*R7240)*U7240*Y7240,0)</f>
        <v>0</v>
      </c>
      <c r="AB7240" s="403"/>
    </row>
    <row r="7241" spans="1:28">
      <c r="A7241" s="384" t="str">
        <f t="shared" ref="A7241:B7241" si="23480">A7225</f>
        <v>Lantai Atap</v>
      </c>
      <c r="B7241" s="385">
        <f t="shared" si="23480"/>
        <v>33</v>
      </c>
      <c r="C7241" s="393" t="s">
        <v>210</v>
      </c>
      <c r="D7241" s="398">
        <f>VLOOKUP(D7225,'Detail Balok'!$C$10:$AU$140,25,FALSE)</f>
        <v>3</v>
      </c>
      <c r="E7241" s="388" t="s">
        <v>16</v>
      </c>
      <c r="F7241" s="388">
        <f>VLOOKUP(D7225,'Detail Balok'!$C$10:$AU$140,27,FALSE)</f>
        <v>13</v>
      </c>
      <c r="G7241" s="388"/>
      <c r="H7241" s="395"/>
      <c r="I7241" s="388" t="s">
        <v>203</v>
      </c>
      <c r="J7241" s="399">
        <f t="shared" si="23372"/>
        <v>2.9525000000000001</v>
      </c>
      <c r="K7241" s="400" t="s">
        <v>204</v>
      </c>
      <c r="L7241" s="399"/>
      <c r="M7241" s="399" t="s">
        <v>176</v>
      </c>
      <c r="N7241" s="399">
        <f t="shared" si="23474"/>
        <v>2.9525000000000001</v>
      </c>
      <c r="O7241" s="399" t="s">
        <v>204</v>
      </c>
      <c r="P7241" s="389">
        <f t="shared" ref="P7241" si="23481">MAX(D7241-D7240,D7241-D7242)</f>
        <v>0</v>
      </c>
      <c r="Q7241" s="399" t="s">
        <v>125</v>
      </c>
      <c r="R7241" s="399">
        <f t="shared" ref="R7241" si="23482">IF(P7241&gt;0,2*(1-2*$F$19-1/2)*D7228/1000,0)</f>
        <v>0</v>
      </c>
      <c r="S7241" s="399" t="s">
        <v>205</v>
      </c>
      <c r="T7241" s="399" t="s">
        <v>125</v>
      </c>
      <c r="U7241" s="401">
        <f t="shared" si="23477"/>
        <v>1.041885</v>
      </c>
      <c r="V7241" s="399"/>
      <c r="W7241" s="399"/>
      <c r="X7241" s="399" t="s">
        <v>125</v>
      </c>
      <c r="Y7241" s="389">
        <f t="shared" ref="Y7241" si="23483">D7231</f>
        <v>1</v>
      </c>
      <c r="Z7241" s="400" t="s">
        <v>176</v>
      </c>
      <c r="AA7241" s="402">
        <f t="shared" ref="AA7241" si="23484">IF(AA7243=0,(D7241*N7241+P7241*R7241)*U7241*Y7241,0)</f>
        <v>0</v>
      </c>
      <c r="AB7241" s="403"/>
    </row>
    <row r="7242" spans="1:28">
      <c r="A7242" s="384" t="str">
        <f t="shared" ref="A7242:B7242" si="23485">A7225</f>
        <v>Lantai Atap</v>
      </c>
      <c r="B7242" s="385">
        <f t="shared" si="23485"/>
        <v>33</v>
      </c>
      <c r="C7242" s="393" t="s">
        <v>209</v>
      </c>
      <c r="D7242" s="398">
        <f>VLOOKUP(D7225,'Detail Balok'!$C$10:$AU$140,28,FALSE)</f>
        <v>3</v>
      </c>
      <c r="E7242" s="388" t="s">
        <v>16</v>
      </c>
      <c r="F7242" s="388">
        <f>VLOOKUP(D7225,'Detail Balok'!$C$10:$AU$140,30,FALSE)</f>
        <v>13</v>
      </c>
      <c r="G7242" s="388"/>
      <c r="H7242" s="395"/>
      <c r="I7242" s="388" t="s">
        <v>203</v>
      </c>
      <c r="J7242" s="399">
        <f t="shared" si="23372"/>
        <v>1.4762500000000001</v>
      </c>
      <c r="K7242" s="400" t="s">
        <v>204</v>
      </c>
      <c r="L7242" s="399">
        <f t="shared" ref="L7242" si="23486">MAX(VLOOKUP(F7242,N$6:P$15,3,FALSE)/1000,2/3*D7230/1000)+F$16*F7242/1000</f>
        <v>0.156</v>
      </c>
      <c r="M7242" s="399" t="s">
        <v>176</v>
      </c>
      <c r="N7242" s="399">
        <f t="shared" si="23474"/>
        <v>1.63225</v>
      </c>
      <c r="O7242" s="399" t="s">
        <v>204</v>
      </c>
      <c r="P7242" s="389">
        <f t="shared" ref="P7242" si="23487">D7242-D7241</f>
        <v>0</v>
      </c>
      <c r="Q7242" s="399" t="s">
        <v>125</v>
      </c>
      <c r="R7242" s="399">
        <f t="shared" ref="R7242" si="23488">IF(P7242&gt;0,$F$18*F7242/1000,0)</f>
        <v>0</v>
      </c>
      <c r="S7242" s="399" t="s">
        <v>205</v>
      </c>
      <c r="T7242" s="399" t="s">
        <v>125</v>
      </c>
      <c r="U7242" s="401">
        <f t="shared" si="23477"/>
        <v>1.041885</v>
      </c>
      <c r="V7242" s="399"/>
      <c r="W7242" s="399"/>
      <c r="X7242" s="399" t="s">
        <v>125</v>
      </c>
      <c r="Y7242" s="389">
        <f t="shared" ref="Y7242" si="23489">D7231</f>
        <v>1</v>
      </c>
      <c r="Z7242" s="400" t="s">
        <v>176</v>
      </c>
      <c r="AA7242" s="402">
        <f t="shared" ref="AA7242" si="23490">IF(AA7243=0,(D7242*N7242+P7242*R7242)*U7242*Y7242,0)</f>
        <v>0</v>
      </c>
      <c r="AB7242" s="403"/>
    </row>
    <row r="7243" spans="1:28">
      <c r="A7243" s="384" t="str">
        <f t="shared" ref="A7243:B7243" si="23491">A7225</f>
        <v>Lantai Atap</v>
      </c>
      <c r="B7243" s="385">
        <f t="shared" si="23491"/>
        <v>33</v>
      </c>
      <c r="C7243" s="393"/>
      <c r="D7243" s="398">
        <f t="shared" si="23392"/>
        <v>3</v>
      </c>
      <c r="E7243" s="388" t="s">
        <v>16</v>
      </c>
      <c r="F7243" s="388">
        <f t="shared" si="23393"/>
        <v>13</v>
      </c>
      <c r="G7243" s="388"/>
      <c r="H7243" s="395"/>
      <c r="I7243" s="388"/>
      <c r="J7243" s="396"/>
      <c r="K7243" s="396"/>
      <c r="L7243" s="404" t="s">
        <v>207</v>
      </c>
      <c r="M7243" s="399" t="s">
        <v>176</v>
      </c>
      <c r="N7243" s="399">
        <f t="shared" ref="N7243" si="23492">IF(AND(D7240=D7241,D7240=D7242,D7241=D7242,F7240=F7241,F7240=F7242,F7241=F7242),SUM(N7240:N7242),0)</f>
        <v>6.2169999999999996</v>
      </c>
      <c r="O7243" s="399" t="s">
        <v>204</v>
      </c>
      <c r="P7243" s="389">
        <f t="shared" ref="P7243" si="23493">IF(N7243&gt;12,ROUNDDOWN(N7243/12,0),0)</f>
        <v>0</v>
      </c>
      <c r="Q7243" s="399" t="s">
        <v>125</v>
      </c>
      <c r="R7243" s="399">
        <f t="shared" ref="R7243" si="23494">IF(P7243&gt;0,MAX(VLOOKUP(F7243,$D$6:$G$15,3,FALSE),600),0)/1000</f>
        <v>0</v>
      </c>
      <c r="S7243" s="396"/>
      <c r="T7243" s="396" t="s">
        <v>125</v>
      </c>
      <c r="U7243" s="401">
        <f t="shared" si="23397"/>
        <v>1.041885</v>
      </c>
      <c r="V7243" s="396" t="s">
        <v>125</v>
      </c>
      <c r="W7243" s="399">
        <f t="shared" ref="W7243" si="23495">D7243</f>
        <v>3</v>
      </c>
      <c r="X7243" s="399" t="s">
        <v>125</v>
      </c>
      <c r="Y7243" s="389">
        <f t="shared" si="23399"/>
        <v>1</v>
      </c>
      <c r="Z7243" s="400" t="s">
        <v>176</v>
      </c>
      <c r="AA7243" s="402">
        <f t="shared" ref="AA7243" si="23496">(N7243+P7243*R7243/1000)*U7243*W7243*Y7243</f>
        <v>19.432197134999999</v>
      </c>
      <c r="AB7243" s="403"/>
    </row>
    <row r="7244" spans="1:28">
      <c r="A7244" s="384"/>
      <c r="B7244" s="385"/>
      <c r="C7244" s="393"/>
      <c r="D7244" s="394"/>
      <c r="E7244" s="388"/>
      <c r="F7244" s="388"/>
      <c r="G7244" s="388"/>
      <c r="H7244" s="395"/>
      <c r="I7244" s="388"/>
      <c r="J7244" s="399"/>
      <c r="K7244" s="396"/>
      <c r="L7244" s="396"/>
      <c r="M7244" s="396"/>
      <c r="N7244" s="396"/>
      <c r="O7244" s="396"/>
      <c r="P7244" s="389"/>
      <c r="Q7244" s="396"/>
      <c r="R7244" s="396"/>
      <c r="S7244" s="396"/>
      <c r="T7244" s="396"/>
      <c r="U7244" s="401"/>
      <c r="V7244" s="396"/>
      <c r="W7244" s="388"/>
      <c r="X7244" s="396"/>
      <c r="Y7244" s="389"/>
      <c r="Z7244" s="396"/>
      <c r="AA7244" s="388"/>
      <c r="AB7244" s="390"/>
    </row>
    <row r="7245" spans="1:28">
      <c r="A7245" s="384" t="str">
        <f t="shared" ref="A7245:B7245" si="23497">A7225</f>
        <v>Lantai Atap</v>
      </c>
      <c r="B7245" s="385">
        <f t="shared" si="23497"/>
        <v>33</v>
      </c>
      <c r="C7245" s="393" t="s">
        <v>211</v>
      </c>
      <c r="D7245" s="398">
        <f>VLOOKUP(D7225,'Detail Balok'!$C$10:$AU$140,31,FALSE)</f>
        <v>0</v>
      </c>
      <c r="E7245" s="388" t="s">
        <v>16</v>
      </c>
      <c r="F7245" s="388">
        <f>VLOOKUP(D7225,'Detail Balok'!$C$10:$AU$140,33,FALSE)</f>
        <v>10</v>
      </c>
      <c r="G7245" s="405" t="s">
        <v>157</v>
      </c>
      <c r="H7245" s="395">
        <f>VLOOKUP(D7225,'Detail Balok'!$C$10:$AU$140,35,FALSE)</f>
        <v>100</v>
      </c>
      <c r="I7245" s="388"/>
      <c r="J7245" s="400">
        <f t="shared" ref="J7245" si="23498">(IF(D7245=0,(2*(D7226+G7226))-(F$5*8),IF(D7245=3,(2*(D7226+G7226))-(F$5*8)+(G7226-2*F$5),IF(D7245=4,(2*(D7226+G7226))-(F$5*8)+2*(G7226-2*F$5)))))/1000</f>
        <v>0.88</v>
      </c>
      <c r="K7245" s="400" t="s">
        <v>204</v>
      </c>
      <c r="L7245" s="399">
        <f t="shared" ref="L7245:L7247" si="23499">IF(D7245=0,2*MAX(6*F7245,75),(D7245-1)*2*MAX(6*F7245,75))/1000</f>
        <v>0.15</v>
      </c>
      <c r="M7245" s="399" t="s">
        <v>176</v>
      </c>
      <c r="N7245" s="399">
        <f t="shared" ref="N7245:N7247" si="23500">J7245+L7245</f>
        <v>1.03</v>
      </c>
      <c r="O7245" s="399"/>
      <c r="P7245" s="389"/>
      <c r="Q7245" s="399"/>
      <c r="R7245" s="399"/>
      <c r="S7245" s="399"/>
      <c r="T7245" s="399" t="s">
        <v>125</v>
      </c>
      <c r="U7245" s="401">
        <f t="shared" ref="U7245:U7247" si="23501">0.006165*F7245^2</f>
        <v>0.61650000000000005</v>
      </c>
      <c r="V7245" s="399" t="s">
        <v>125</v>
      </c>
      <c r="W7245" s="399">
        <f t="shared" ref="W7245" si="23502">IF(D7228&gt;4*G7226,ROUND(MAX(D7228/4,2*G7226)/H7245,0)+1,ROUND(D7228/H7245,0)+1)</f>
        <v>16</v>
      </c>
      <c r="X7245" s="399" t="s">
        <v>125</v>
      </c>
      <c r="Y7245" s="389">
        <f t="shared" ref="Y7245" si="23503">D7231</f>
        <v>1</v>
      </c>
      <c r="Z7245" s="400" t="s">
        <v>176</v>
      </c>
      <c r="AA7245" s="402">
        <f t="shared" ref="AA7245:AA7247" si="23504">N7245*U7245*W7245*Y7245</f>
        <v>10.159920000000001</v>
      </c>
      <c r="AB7245" s="403"/>
    </row>
    <row r="7246" spans="1:28">
      <c r="A7246" s="384" t="str">
        <f t="shared" ref="A7246:B7246" si="23505">A7225</f>
        <v>Lantai Atap</v>
      </c>
      <c r="B7246" s="385">
        <f t="shared" si="23505"/>
        <v>33</v>
      </c>
      <c r="C7246" s="393" t="s">
        <v>212</v>
      </c>
      <c r="D7246" s="398">
        <f>VLOOKUP(D7225,'Detail Balok'!$C$10:$AU$140,36,FALSE)</f>
        <v>0</v>
      </c>
      <c r="E7246" s="388" t="s">
        <v>16</v>
      </c>
      <c r="F7246" s="388">
        <f>VLOOKUP(D7225,'Detail Balok'!$C$10:$AU$140,38,FALSE)</f>
        <v>10</v>
      </c>
      <c r="G7246" s="405" t="s">
        <v>157</v>
      </c>
      <c r="H7246" s="395">
        <f>VLOOKUP(D7225,'Detail Balok'!$C$10:$AU$140,40,FALSE)</f>
        <v>200</v>
      </c>
      <c r="I7246" s="388"/>
      <c r="J7246" s="400">
        <f t="shared" ref="J7246" si="23506">(IF(D7246=0,(2*(D7226+G7226))-(F$5*8),IF(D7246=3,(2*(D7226+G7226))-(F$5*8)+(G7226-2*F$5),IF(D7246=4,(2*(D7226+G7226))-(F$5*8)+2*(G7226-2*F$5)))))/1000</f>
        <v>0.88</v>
      </c>
      <c r="K7246" s="400" t="s">
        <v>204</v>
      </c>
      <c r="L7246" s="399">
        <f t="shared" si="23499"/>
        <v>0.15</v>
      </c>
      <c r="M7246" s="399" t="s">
        <v>176</v>
      </c>
      <c r="N7246" s="399">
        <f t="shared" si="23500"/>
        <v>1.03</v>
      </c>
      <c r="O7246" s="399"/>
      <c r="P7246" s="389"/>
      <c r="Q7246" s="399"/>
      <c r="R7246" s="399"/>
      <c r="S7246" s="399"/>
      <c r="T7246" s="399" t="s">
        <v>125</v>
      </c>
      <c r="U7246" s="401">
        <f t="shared" si="23501"/>
        <v>0.61650000000000005</v>
      </c>
      <c r="V7246" s="399" t="s">
        <v>125</v>
      </c>
      <c r="W7246" s="399">
        <f t="shared" ref="W7246" si="23507">IF(D7228-MAX(D7228/4,2*G7226)*2&gt;0,ROUND((D7228-MAX(D7228/4,2*G7226)*2)/H7246,0),0)</f>
        <v>15</v>
      </c>
      <c r="X7246" s="399" t="s">
        <v>125</v>
      </c>
      <c r="Y7246" s="389">
        <f t="shared" ref="Y7246" si="23508">D7231</f>
        <v>1</v>
      </c>
      <c r="Z7246" s="400" t="s">
        <v>176</v>
      </c>
      <c r="AA7246" s="402">
        <f t="shared" si="23504"/>
        <v>9.5249250000000014</v>
      </c>
      <c r="AB7246" s="403"/>
    </row>
    <row r="7247" spans="1:28">
      <c r="A7247" s="384" t="str">
        <f t="shared" ref="A7247:B7247" si="23509">A7225</f>
        <v>Lantai Atap</v>
      </c>
      <c r="B7247" s="385">
        <f t="shared" si="23509"/>
        <v>33</v>
      </c>
      <c r="C7247" s="393" t="s">
        <v>211</v>
      </c>
      <c r="D7247" s="398">
        <f>VLOOKUP(D7225,'Detail Balok'!$C$10:$AU$140,41,FALSE)</f>
        <v>0</v>
      </c>
      <c r="E7247" s="388" t="s">
        <v>16</v>
      </c>
      <c r="F7247" s="388">
        <f>VLOOKUP(D7225,'Detail Balok'!$C$10:$AU$140,43,FALSE)</f>
        <v>10</v>
      </c>
      <c r="G7247" s="405" t="s">
        <v>157</v>
      </c>
      <c r="H7247" s="395">
        <f>VLOOKUP(D7225,'Detail Balok'!$C$10:$AU$140,45,FALSE)</f>
        <v>100</v>
      </c>
      <c r="I7247" s="388"/>
      <c r="J7247" s="400">
        <f t="shared" ref="J7247" si="23510">(IF(D7247=0,(2*(D7226+G7226))-(F$5*8),IF(D7247=3,(2*(D7226+G7226))-(F$5*8)+(G7226-2*F$5),IF(D7247=4,(2*(D7226+G7226))-(F$5*8)+2*(G7226-2*F$5)))))/1000</f>
        <v>0.88</v>
      </c>
      <c r="K7247" s="400" t="s">
        <v>204</v>
      </c>
      <c r="L7247" s="399">
        <f t="shared" si="23499"/>
        <v>0.15</v>
      </c>
      <c r="M7247" s="399" t="s">
        <v>176</v>
      </c>
      <c r="N7247" s="399">
        <f t="shared" si="23500"/>
        <v>1.03</v>
      </c>
      <c r="O7247" s="399"/>
      <c r="P7247" s="389"/>
      <c r="Q7247" s="399"/>
      <c r="R7247" s="399"/>
      <c r="S7247" s="399"/>
      <c r="T7247" s="399" t="s">
        <v>125</v>
      </c>
      <c r="U7247" s="401">
        <f t="shared" si="23501"/>
        <v>0.61650000000000005</v>
      </c>
      <c r="V7247" s="399" t="s">
        <v>125</v>
      </c>
      <c r="W7247" s="399">
        <f t="shared" ref="W7247" si="23511">IF(D7228&gt;4*G7226,ROUND(MAX(D7228/4,2*G7226)/H7247,0)+1,0)</f>
        <v>16</v>
      </c>
      <c r="X7247" s="399" t="s">
        <v>125</v>
      </c>
      <c r="Y7247" s="389">
        <f t="shared" ref="Y7247" si="23512">D7231</f>
        <v>1</v>
      </c>
      <c r="Z7247" s="400" t="s">
        <v>176</v>
      </c>
      <c r="AA7247" s="402">
        <f t="shared" si="23504"/>
        <v>10.159920000000001</v>
      </c>
      <c r="AB7247" s="403"/>
    </row>
    <row r="7248" spans="1:28">
      <c r="A7248" s="384"/>
      <c r="B7248" s="385"/>
      <c r="C7248" s="393"/>
      <c r="D7248" s="394"/>
      <c r="E7248" s="388"/>
      <c r="F7248" s="388"/>
      <c r="G7248" s="388"/>
      <c r="H7248" s="395"/>
      <c r="I7248" s="388"/>
      <c r="J7248" s="399"/>
      <c r="K7248" s="396"/>
      <c r="L7248" s="396"/>
      <c r="M7248" s="396"/>
      <c r="N7248" s="396"/>
      <c r="O7248" s="396"/>
      <c r="P7248" s="389"/>
      <c r="Q7248" s="396"/>
      <c r="R7248" s="396"/>
      <c r="S7248" s="396"/>
      <c r="T7248" s="396"/>
      <c r="U7248" s="401"/>
      <c r="V7248" s="396"/>
      <c r="W7248" s="388"/>
      <c r="X7248" s="396"/>
      <c r="Y7248" s="389"/>
      <c r="Z7248" s="396"/>
      <c r="AA7248" s="388"/>
      <c r="AB7248" s="390"/>
    </row>
    <row r="7249" spans="1:28">
      <c r="A7249" s="384" t="str">
        <f t="shared" ref="A7249:B7249" si="23513">A7225</f>
        <v>Lantai Atap</v>
      </c>
      <c r="B7249" s="385">
        <f t="shared" si="23513"/>
        <v>33</v>
      </c>
      <c r="C7249" s="393" t="s">
        <v>213</v>
      </c>
      <c r="D7249" s="398">
        <f>VLOOKUP(D7225,'Detail Balok'!$C$10:$BJ$140,46,FALSE)</f>
        <v>0</v>
      </c>
      <c r="E7249" s="388" t="s">
        <v>16</v>
      </c>
      <c r="F7249" s="388">
        <f>VLOOKUP(D7225,'Detail Balok'!$C$10:$BJ$140,48,FALSE)</f>
        <v>0</v>
      </c>
      <c r="G7249" s="405" t="s">
        <v>157</v>
      </c>
      <c r="H7249" s="395">
        <f>VLOOKUP(D7225,'Detail Balok'!$C$10:$BJ$140,50,FALSE)</f>
        <v>100</v>
      </c>
      <c r="I7249" s="388"/>
      <c r="J7249" s="399">
        <f t="shared" ref="J7249" si="23514">(D7226-2*F$5)/1000</f>
        <v>0.12</v>
      </c>
      <c r="K7249" s="400" t="s">
        <v>204</v>
      </c>
      <c r="L7249" s="399">
        <f t="shared" ref="L7249:L7251" si="23515">IF(D7249=0,2*MAX(6*F7249,75),(D7249-1)*2*MAX(6*F7249,75))/1000</f>
        <v>0.15</v>
      </c>
      <c r="M7249" s="399" t="s">
        <v>176</v>
      </c>
      <c r="N7249" s="399">
        <f t="shared" ref="N7249:N7251" si="23516">J7249+L7249</f>
        <v>0.27</v>
      </c>
      <c r="O7249" s="399"/>
      <c r="P7249" s="399"/>
      <c r="Q7249" s="399"/>
      <c r="R7249" s="399"/>
      <c r="S7249" s="399"/>
      <c r="T7249" s="399" t="s">
        <v>125</v>
      </c>
      <c r="U7249" s="401">
        <f t="shared" ref="U7249:U7251" si="23517">0.006165*F7249^2</f>
        <v>0</v>
      </c>
      <c r="V7249" s="399" t="s">
        <v>125</v>
      </c>
      <c r="W7249" s="399">
        <f t="shared" si="23422"/>
        <v>16</v>
      </c>
      <c r="X7249" s="399" t="s">
        <v>125</v>
      </c>
      <c r="Y7249" s="389">
        <f t="shared" ref="Y7249" si="23518">D7235</f>
        <v>3</v>
      </c>
      <c r="Z7249" s="400" t="s">
        <v>176</v>
      </c>
      <c r="AA7249" s="402">
        <f t="shared" ref="AA7249:AA7251" si="23519">N7249*U7249*W7249*Y7249</f>
        <v>0</v>
      </c>
      <c r="AB7249" s="403"/>
    </row>
    <row r="7250" spans="1:28">
      <c r="A7250" s="384" t="str">
        <f t="shared" ref="A7250:B7250" si="23520">A7225</f>
        <v>Lantai Atap</v>
      </c>
      <c r="B7250" s="385">
        <f t="shared" si="23520"/>
        <v>33</v>
      </c>
      <c r="C7250" s="393" t="s">
        <v>214</v>
      </c>
      <c r="D7250" s="398">
        <f>VLOOKUP(D7225,'Detail Balok'!$C$10:$BJ$140,51,FALSE)</f>
        <v>0</v>
      </c>
      <c r="E7250" s="388" t="s">
        <v>16</v>
      </c>
      <c r="F7250" s="388">
        <f>VLOOKUP(D7225,'Detail Balok'!$C$10:$BJ$140,53,FALSE)</f>
        <v>0</v>
      </c>
      <c r="G7250" s="405" t="s">
        <v>157</v>
      </c>
      <c r="H7250" s="395">
        <f>VLOOKUP(D7225,'Detail Balok'!$C$10:$BJ$140,55,FALSE)</f>
        <v>100</v>
      </c>
      <c r="I7250" s="388"/>
      <c r="J7250" s="399">
        <f t="shared" ref="J7250" si="23521">(D7226-2*F$5)/1000</f>
        <v>0.12</v>
      </c>
      <c r="K7250" s="400" t="s">
        <v>204</v>
      </c>
      <c r="L7250" s="399">
        <f t="shared" si="23515"/>
        <v>0.15</v>
      </c>
      <c r="M7250" s="399" t="s">
        <v>176</v>
      </c>
      <c r="N7250" s="399">
        <f t="shared" si="23516"/>
        <v>0.27</v>
      </c>
      <c r="O7250" s="399"/>
      <c r="P7250" s="399"/>
      <c r="Q7250" s="399"/>
      <c r="R7250" s="399"/>
      <c r="S7250" s="399"/>
      <c r="T7250" s="399" t="s">
        <v>125</v>
      </c>
      <c r="U7250" s="401">
        <f t="shared" si="23517"/>
        <v>0</v>
      </c>
      <c r="V7250" s="399" t="s">
        <v>125</v>
      </c>
      <c r="W7250" s="399">
        <f t="shared" si="23422"/>
        <v>15</v>
      </c>
      <c r="X7250" s="399" t="s">
        <v>125</v>
      </c>
      <c r="Y7250" s="389">
        <f t="shared" ref="Y7250" si="23522">D7235</f>
        <v>3</v>
      </c>
      <c r="Z7250" s="400" t="s">
        <v>176</v>
      </c>
      <c r="AA7250" s="402">
        <f t="shared" si="23519"/>
        <v>0</v>
      </c>
      <c r="AB7250" s="403"/>
    </row>
    <row r="7251" spans="1:28">
      <c r="A7251" s="384" t="str">
        <f t="shared" ref="A7251:B7251" si="23523">A7225</f>
        <v>Lantai Atap</v>
      </c>
      <c r="B7251" s="385">
        <f t="shared" si="23523"/>
        <v>33</v>
      </c>
      <c r="C7251" s="393" t="s">
        <v>213</v>
      </c>
      <c r="D7251" s="398">
        <f>VLOOKUP(D7225,'Detail Balok'!$C$10:$BJ$140,56,FALSE)</f>
        <v>0</v>
      </c>
      <c r="E7251" s="388" t="s">
        <v>16</v>
      </c>
      <c r="F7251" s="388">
        <f>VLOOKUP(D7225,'Detail Balok'!$C$10:$BJ$140,58,FALSE)</f>
        <v>0</v>
      </c>
      <c r="G7251" s="405" t="s">
        <v>157</v>
      </c>
      <c r="H7251" s="395">
        <f>VLOOKUP(D7225,'Detail Balok'!$C$10:$BJ$140,60,FALSE)</f>
        <v>100</v>
      </c>
      <c r="I7251" s="388"/>
      <c r="J7251" s="399">
        <f t="shared" ref="J7251" si="23524">(D7226-2*F$5)/1000</f>
        <v>0.12</v>
      </c>
      <c r="K7251" s="400" t="s">
        <v>204</v>
      </c>
      <c r="L7251" s="399">
        <f t="shared" si="23515"/>
        <v>0.15</v>
      </c>
      <c r="M7251" s="399" t="s">
        <v>176</v>
      </c>
      <c r="N7251" s="399">
        <f t="shared" si="23516"/>
        <v>0.27</v>
      </c>
      <c r="O7251" s="399"/>
      <c r="P7251" s="399"/>
      <c r="Q7251" s="399"/>
      <c r="R7251" s="399"/>
      <c r="S7251" s="399"/>
      <c r="T7251" s="399" t="s">
        <v>125</v>
      </c>
      <c r="U7251" s="401">
        <f t="shared" si="23517"/>
        <v>0</v>
      </c>
      <c r="V7251" s="399" t="s">
        <v>125</v>
      </c>
      <c r="W7251" s="399">
        <f t="shared" si="23422"/>
        <v>16</v>
      </c>
      <c r="X7251" s="399" t="s">
        <v>125</v>
      </c>
      <c r="Y7251" s="389">
        <f t="shared" ref="Y7251" si="23525">D7235</f>
        <v>3</v>
      </c>
      <c r="Z7251" s="400" t="s">
        <v>176</v>
      </c>
      <c r="AA7251" s="402">
        <f t="shared" si="23519"/>
        <v>0</v>
      </c>
      <c r="AB7251" s="403"/>
    </row>
    <row r="7252" spans="1:28">
      <c r="A7252" s="391"/>
      <c r="B7252" s="392"/>
      <c r="C7252" s="392"/>
      <c r="D7252" s="394"/>
      <c r="E7252" s="388"/>
      <c r="F7252" s="388"/>
      <c r="G7252" s="388"/>
      <c r="H7252" s="395"/>
      <c r="I7252" s="388"/>
      <c r="J7252" s="402"/>
      <c r="K7252" s="388"/>
      <c r="L7252" s="388"/>
      <c r="M7252" s="388"/>
      <c r="N7252" s="388"/>
      <c r="O7252" s="388"/>
      <c r="P7252" s="388"/>
      <c r="Q7252" s="388"/>
      <c r="R7252" s="388"/>
      <c r="S7252" s="388"/>
      <c r="T7252" s="388"/>
      <c r="U7252" s="388"/>
      <c r="V7252" s="388"/>
      <c r="W7252" s="388"/>
      <c r="X7252" s="388"/>
      <c r="Y7252" s="389"/>
      <c r="Z7252" s="388"/>
      <c r="AA7252" s="402"/>
      <c r="AB7252" s="403"/>
    </row>
    <row r="7253" spans="1:28" ht="15.75" thickBot="1">
      <c r="A7253" s="406"/>
      <c r="B7253" s="407"/>
      <c r="C7253" s="407"/>
      <c r="D7253" s="408"/>
      <c r="E7253" s="409"/>
      <c r="F7253" s="409"/>
      <c r="G7253" s="409"/>
      <c r="H7253" s="410"/>
      <c r="I7253" s="409"/>
      <c r="J7253" s="409"/>
      <c r="K7253" s="409"/>
      <c r="L7253" s="409"/>
      <c r="M7253" s="409"/>
      <c r="N7253" s="409"/>
      <c r="O7253" s="409"/>
      <c r="P7253" s="409"/>
      <c r="Q7253" s="409"/>
      <c r="R7253" s="409"/>
      <c r="S7253" s="409"/>
      <c r="T7253" s="409"/>
      <c r="U7253" s="409"/>
      <c r="V7253" s="409"/>
      <c r="W7253" s="409"/>
      <c r="X7253" s="409"/>
      <c r="Y7253" s="411"/>
      <c r="Z7253" s="409"/>
      <c r="AA7253" s="412"/>
      <c r="AB7253" s="413"/>
    </row>
    <row r="7254" spans="1:28">
      <c r="A7254" s="384"/>
      <c r="B7254" s="385"/>
      <c r="C7254" s="393"/>
      <c r="D7254" s="398"/>
      <c r="E7254" s="388"/>
      <c r="F7254" s="388"/>
      <c r="G7254" s="405"/>
      <c r="H7254" s="395"/>
      <c r="I7254" s="388"/>
      <c r="J7254" s="400"/>
      <c r="K7254" s="400"/>
      <c r="L7254" s="399"/>
      <c r="M7254" s="399"/>
      <c r="N7254" s="399"/>
      <c r="O7254" s="399"/>
      <c r="P7254" s="399"/>
      <c r="Q7254" s="399"/>
      <c r="R7254" s="399"/>
      <c r="S7254" s="399"/>
      <c r="T7254" s="399"/>
      <c r="U7254" s="401"/>
      <c r="V7254" s="399"/>
      <c r="W7254" s="399"/>
      <c r="X7254" s="399"/>
      <c r="Y7254" s="389"/>
      <c r="Z7254" s="400"/>
      <c r="AA7254" s="389"/>
      <c r="AB7254" s="416"/>
    </row>
    <row r="7255" spans="1:28">
      <c r="A7255" s="417"/>
      <c r="B7255" s="418"/>
      <c r="C7255" s="419"/>
      <c r="D7255" s="420"/>
      <c r="E7255" s="409"/>
      <c r="F7255" s="409"/>
      <c r="G7255" s="421"/>
      <c r="H7255" s="410"/>
      <c r="I7255" s="409"/>
      <c r="J7255" s="422"/>
      <c r="K7255" s="422"/>
      <c r="L7255" s="423"/>
      <c r="M7255" s="423"/>
      <c r="N7255" s="423"/>
      <c r="O7255" s="423"/>
      <c r="P7255" s="423"/>
      <c r="Q7255" s="423"/>
      <c r="R7255" s="423"/>
      <c r="S7255" s="423"/>
      <c r="T7255" s="423"/>
      <c r="U7255" s="424"/>
      <c r="V7255" s="423"/>
      <c r="W7255" s="423"/>
      <c r="X7255" s="423"/>
      <c r="Y7255" s="411"/>
      <c r="Z7255" s="422"/>
      <c r="AA7255" s="411"/>
      <c r="AB7255" s="425"/>
    </row>
    <row r="7256" spans="1:28">
      <c r="A7256" s="384"/>
      <c r="B7256" s="385"/>
      <c r="C7256" s="393"/>
      <c r="D7256" s="398"/>
      <c r="E7256" s="388"/>
      <c r="F7256" s="388"/>
      <c r="G7256" s="405"/>
      <c r="H7256" s="395"/>
      <c r="I7256" s="388"/>
      <c r="J7256" s="400"/>
      <c r="K7256" s="400"/>
      <c r="L7256" s="399"/>
      <c r="M7256" s="399"/>
      <c r="N7256" s="399"/>
      <c r="O7256" s="399"/>
      <c r="P7256" s="399"/>
      <c r="Q7256" s="399"/>
      <c r="R7256" s="399"/>
      <c r="S7256" s="399"/>
      <c r="T7256" s="399"/>
      <c r="U7256" s="401"/>
      <c r="V7256" s="399"/>
      <c r="W7256" s="399"/>
      <c r="X7256" s="399"/>
      <c r="Y7256" s="426"/>
      <c r="Z7256" s="400"/>
      <c r="AA7256" s="426"/>
      <c r="AB7256" s="416"/>
    </row>
    <row r="7257" spans="1:28">
      <c r="A7257" s="384"/>
      <c r="B7257" s="385"/>
      <c r="C7257" s="393"/>
      <c r="D7257" s="398"/>
      <c r="E7257" s="388"/>
      <c r="F7257" s="388"/>
      <c r="G7257" s="405"/>
      <c r="H7257" s="395"/>
      <c r="I7257" s="388"/>
      <c r="J7257" s="400"/>
      <c r="K7257" s="400"/>
      <c r="L7257" s="399"/>
      <c r="M7257" s="399"/>
      <c r="N7257" s="399"/>
      <c r="O7257" s="399"/>
      <c r="P7257" s="399"/>
      <c r="Q7257" s="399"/>
      <c r="R7257" s="399"/>
      <c r="S7257" s="399"/>
      <c r="T7257" s="399"/>
      <c r="U7257" s="401"/>
      <c r="V7257" s="399"/>
      <c r="W7257" s="399"/>
      <c r="X7257" s="399"/>
      <c r="Y7257" s="426"/>
      <c r="Z7257" s="400"/>
      <c r="AA7257" s="426"/>
      <c r="AB7257" s="416"/>
    </row>
    <row r="7258" spans="1:28">
      <c r="A7258" s="384"/>
      <c r="B7258" s="385"/>
      <c r="C7258" s="393"/>
      <c r="D7258" s="398"/>
      <c r="E7258" s="388"/>
      <c r="F7258" s="388"/>
      <c r="G7258" s="405"/>
      <c r="H7258" s="395"/>
      <c r="I7258" s="388"/>
      <c r="J7258" s="400"/>
      <c r="K7258" s="400"/>
      <c r="L7258" s="399"/>
      <c r="M7258" s="399"/>
      <c r="N7258" s="399"/>
      <c r="O7258" s="399"/>
      <c r="P7258" s="399"/>
      <c r="Q7258" s="399"/>
      <c r="R7258" s="399"/>
      <c r="S7258" s="399"/>
      <c r="T7258" s="399"/>
      <c r="U7258" s="401"/>
      <c r="V7258" s="399"/>
      <c r="W7258" s="399"/>
      <c r="X7258" s="399"/>
      <c r="Y7258" s="426"/>
      <c r="Z7258" s="400"/>
      <c r="AA7258" s="426"/>
      <c r="AB7258" s="416"/>
    </row>
    <row r="7259" spans="1:28">
      <c r="A7259" s="384"/>
      <c r="B7259" s="385"/>
      <c r="C7259" s="393"/>
      <c r="D7259" s="398"/>
      <c r="E7259" s="388"/>
      <c r="F7259" s="388"/>
      <c r="G7259" s="405"/>
      <c r="H7259" s="395"/>
      <c r="I7259" s="388"/>
      <c r="J7259" s="400"/>
      <c r="K7259" s="400"/>
      <c r="L7259" s="399"/>
      <c r="M7259" s="399"/>
      <c r="N7259" s="399"/>
      <c r="O7259" s="399"/>
      <c r="P7259" s="399"/>
      <c r="Q7259" s="399"/>
      <c r="R7259" s="399"/>
      <c r="S7259" s="399"/>
      <c r="T7259" s="399"/>
      <c r="U7259" s="401"/>
      <c r="V7259" s="399"/>
      <c r="W7259" s="399"/>
      <c r="X7259" s="399"/>
      <c r="Y7259" s="426"/>
      <c r="Z7259" s="400"/>
      <c r="AA7259" s="426"/>
      <c r="AB7259" s="416"/>
    </row>
    <row r="7260" spans="1:28">
      <c r="A7260" s="391"/>
      <c r="B7260" s="392"/>
      <c r="C7260" s="392"/>
      <c r="D7260" s="394"/>
      <c r="E7260" s="388"/>
      <c r="F7260" s="388"/>
      <c r="G7260" s="388"/>
      <c r="H7260" s="395"/>
      <c r="I7260" s="388"/>
      <c r="J7260" s="402"/>
      <c r="K7260" s="388"/>
      <c r="L7260" s="388"/>
      <c r="M7260" s="388"/>
      <c r="N7260" s="388"/>
      <c r="O7260" s="388"/>
      <c r="P7260" s="388"/>
      <c r="Q7260" s="388"/>
      <c r="R7260" s="388"/>
      <c r="S7260" s="388"/>
      <c r="T7260" s="388"/>
      <c r="U7260" s="388"/>
      <c r="V7260" s="388"/>
      <c r="W7260" s="388"/>
      <c r="X7260" s="388"/>
      <c r="Y7260" s="426"/>
      <c r="Z7260" s="388"/>
      <c r="AA7260" s="426"/>
      <c r="AB7260" s="390"/>
    </row>
    <row r="7261" spans="1:28">
      <c r="A7261" s="406"/>
      <c r="B7261" s="407"/>
      <c r="C7261" s="407"/>
      <c r="D7261" s="408"/>
      <c r="E7261" s="409"/>
      <c r="F7261" s="409"/>
      <c r="G7261" s="409"/>
      <c r="H7261" s="410"/>
      <c r="I7261" s="409"/>
      <c r="J7261" s="409"/>
      <c r="K7261" s="409"/>
      <c r="L7261" s="409"/>
      <c r="M7261" s="409"/>
      <c r="N7261" s="409"/>
      <c r="O7261" s="409"/>
      <c r="P7261" s="409"/>
      <c r="Q7261" s="409"/>
      <c r="R7261" s="409"/>
      <c r="S7261" s="409"/>
      <c r="T7261" s="409"/>
      <c r="U7261" s="409"/>
      <c r="V7261" s="409"/>
      <c r="W7261" s="409"/>
      <c r="X7261" s="409"/>
      <c r="Y7261" s="427"/>
      <c r="Z7261" s="409"/>
      <c r="AA7261" s="427"/>
      <c r="AB7261" s="428"/>
    </row>
    <row r="7262" spans="1:28">
      <c r="A7262" s="429"/>
      <c r="B7262" s="430"/>
      <c r="C7262" s="430"/>
      <c r="D7262" s="430"/>
      <c r="E7262" s="430"/>
      <c r="F7262" s="430"/>
      <c r="G7262" s="430"/>
      <c r="H7262" s="430"/>
      <c r="I7262" s="430"/>
      <c r="J7262" s="430"/>
      <c r="K7262" s="430"/>
      <c r="L7262" s="430"/>
      <c r="M7262" s="430"/>
      <c r="N7262" s="430"/>
      <c r="O7262" s="430"/>
      <c r="P7262" s="430"/>
      <c r="Q7262" s="430"/>
      <c r="R7262" s="430"/>
      <c r="S7262" s="430"/>
      <c r="T7262" s="430"/>
      <c r="U7262" s="430"/>
      <c r="V7262" s="430"/>
      <c r="W7262" s="430"/>
      <c r="X7262" s="430"/>
      <c r="Y7262" s="431"/>
      <c r="Z7262" s="430"/>
      <c r="AA7262" s="431"/>
      <c r="AB7262" s="432"/>
    </row>
    <row r="7263" spans="1:28">
      <c r="A7263" s="433"/>
      <c r="B7263" s="434"/>
      <c r="C7263" s="434"/>
      <c r="D7263" s="434"/>
      <c r="E7263" s="434" t="s">
        <v>215</v>
      </c>
      <c r="F7263" s="434"/>
      <c r="G7263" s="434"/>
      <c r="H7263" s="434"/>
      <c r="I7263" s="434"/>
      <c r="J7263" s="434"/>
      <c r="K7263" s="434"/>
      <c r="L7263" s="434"/>
      <c r="M7263" s="434"/>
      <c r="N7263" s="434"/>
      <c r="O7263" s="434"/>
      <c r="P7263" s="434"/>
      <c r="Q7263" s="434"/>
      <c r="R7263" s="434"/>
      <c r="S7263" s="434"/>
      <c r="T7263" s="434"/>
      <c r="U7263" s="434"/>
      <c r="V7263" s="434"/>
      <c r="W7263" s="434"/>
      <c r="X7263" s="434"/>
      <c r="Y7263" s="435"/>
      <c r="Z7263" s="434"/>
      <c r="AA7263" s="435"/>
      <c r="AB7263" s="436"/>
    </row>
    <row r="7264" spans="1:28">
      <c r="A7264" s="433"/>
      <c r="B7264" s="434"/>
      <c r="C7264" s="434"/>
      <c r="D7264" s="434"/>
      <c r="E7264" s="434" t="s">
        <v>216</v>
      </c>
      <c r="F7264" s="434">
        <v>6</v>
      </c>
      <c r="G7264" s="437" t="s">
        <v>176</v>
      </c>
      <c r="H7264" s="2594">
        <f t="shared" ref="H7264:H7273" si="23526">SUMIF(F$23:F$7261,F7264,AA$23:AA$7261)</f>
        <v>0</v>
      </c>
      <c r="I7264" s="2594"/>
      <c r="J7264" s="2594"/>
      <c r="K7264" s="434" t="s">
        <v>53</v>
      </c>
      <c r="L7264" s="434"/>
      <c r="M7264" s="434"/>
      <c r="N7264" s="434"/>
      <c r="O7264" s="434"/>
      <c r="P7264" s="434"/>
      <c r="Q7264" s="434"/>
      <c r="R7264" s="434"/>
      <c r="S7264" s="434"/>
      <c r="T7264" s="434"/>
      <c r="U7264" s="434"/>
      <c r="V7264" s="434"/>
      <c r="W7264" s="434"/>
      <c r="X7264" s="434"/>
      <c r="Y7264" s="435"/>
      <c r="Z7264" s="434"/>
      <c r="AA7264" s="435"/>
      <c r="AB7264" s="436"/>
    </row>
    <row r="7265" spans="1:28">
      <c r="A7265" s="433"/>
      <c r="B7265" s="434"/>
      <c r="C7265" s="434"/>
      <c r="D7265" s="434"/>
      <c r="E7265" s="434" t="s">
        <v>216</v>
      </c>
      <c r="F7265" s="434">
        <v>8</v>
      </c>
      <c r="G7265" s="437" t="s">
        <v>176</v>
      </c>
      <c r="H7265" s="2594">
        <f>SUMIF(F$23:F$7261,F7265,AA$23:AA$7261)</f>
        <v>1310.6928096000001</v>
      </c>
      <c r="I7265" s="2594"/>
      <c r="J7265" s="2594"/>
      <c r="K7265" s="434" t="s">
        <v>53</v>
      </c>
      <c r="L7265" s="434"/>
      <c r="M7265" s="434"/>
      <c r="N7265" s="434"/>
      <c r="O7265" s="434"/>
      <c r="P7265" s="434"/>
      <c r="Q7265" s="434"/>
      <c r="R7265" s="434"/>
      <c r="S7265" s="434"/>
      <c r="T7265" s="434"/>
      <c r="U7265" s="434"/>
      <c r="V7265" s="434"/>
      <c r="W7265" s="434"/>
      <c r="X7265" s="434"/>
      <c r="Y7265" s="435"/>
      <c r="Z7265" s="434"/>
      <c r="AA7265" s="435"/>
      <c r="AB7265" s="436"/>
    </row>
    <row r="7266" spans="1:28">
      <c r="A7266" s="433"/>
      <c r="B7266" s="434"/>
      <c r="C7266" s="434"/>
      <c r="D7266" s="434"/>
      <c r="E7266" s="434" t="s">
        <v>216</v>
      </c>
      <c r="F7266" s="434">
        <v>10</v>
      </c>
      <c r="G7266" s="437" t="s">
        <v>176</v>
      </c>
      <c r="H7266" s="2594">
        <f>SUMIF(F$23:F$7261,F7266,AA$23:AA$7261)</f>
        <v>4878.0399743999915</v>
      </c>
      <c r="I7266" s="2594"/>
      <c r="J7266" s="2594"/>
      <c r="K7266" s="434" t="s">
        <v>53</v>
      </c>
      <c r="L7266" s="434"/>
      <c r="M7266" s="434"/>
      <c r="N7266" s="434"/>
      <c r="O7266" s="434"/>
      <c r="P7266" s="434"/>
      <c r="Q7266" s="434"/>
      <c r="R7266" s="434"/>
      <c r="S7266" s="434"/>
      <c r="T7266" s="434"/>
      <c r="U7266" s="434"/>
      <c r="V7266" s="434"/>
      <c r="W7266" s="434"/>
      <c r="X7266" s="434"/>
      <c r="Y7266" s="435"/>
      <c r="Z7266" s="434"/>
      <c r="AA7266" s="435"/>
      <c r="AB7266" s="436"/>
    </row>
    <row r="7267" spans="1:28">
      <c r="A7267" s="433"/>
      <c r="B7267" s="434"/>
      <c r="C7267" s="434"/>
      <c r="D7267" s="434"/>
      <c r="E7267" s="434" t="s">
        <v>216</v>
      </c>
      <c r="F7267" s="434">
        <v>12</v>
      </c>
      <c r="G7267" s="437" t="s">
        <v>176</v>
      </c>
      <c r="H7267" s="2594">
        <f>SUMIF(F$23:F$7261,F7267,AA$23:AA$7261)</f>
        <v>0</v>
      </c>
      <c r="I7267" s="2594"/>
      <c r="J7267" s="2594"/>
      <c r="K7267" s="434" t="s">
        <v>53</v>
      </c>
      <c r="L7267" s="434"/>
      <c r="M7267" s="434"/>
      <c r="N7267" s="434"/>
      <c r="O7267" s="434"/>
      <c r="P7267" s="434"/>
      <c r="Q7267" s="434"/>
      <c r="R7267" s="434"/>
      <c r="S7267" s="434"/>
      <c r="T7267" s="434"/>
      <c r="U7267" s="434"/>
      <c r="V7267" s="434"/>
      <c r="W7267" s="434"/>
      <c r="X7267" s="434"/>
      <c r="Y7267" s="435"/>
      <c r="Z7267" s="434"/>
      <c r="AA7267" s="435"/>
      <c r="AB7267" s="436"/>
    </row>
    <row r="7268" spans="1:28">
      <c r="A7268" s="433"/>
      <c r="B7268" s="434"/>
      <c r="C7268" s="434"/>
      <c r="D7268" s="434"/>
      <c r="E7268" s="434" t="s">
        <v>16</v>
      </c>
      <c r="F7268" s="434">
        <v>13</v>
      </c>
      <c r="G7268" s="437" t="s">
        <v>176</v>
      </c>
      <c r="H7268" s="2594">
        <f t="shared" si="23526"/>
        <v>3040.9931961045004</v>
      </c>
      <c r="I7268" s="2594"/>
      <c r="J7268" s="2594"/>
      <c r="K7268" s="434" t="s">
        <v>53</v>
      </c>
      <c r="L7268" s="434"/>
      <c r="M7268" s="434"/>
      <c r="N7268" s="434"/>
      <c r="O7268" s="434"/>
      <c r="P7268" s="434"/>
      <c r="Q7268" s="434"/>
      <c r="R7268" s="434"/>
      <c r="S7268" s="434"/>
      <c r="T7268" s="434"/>
      <c r="U7268" s="434"/>
      <c r="V7268" s="434"/>
      <c r="W7268" s="434"/>
      <c r="X7268" s="434"/>
      <c r="Y7268" s="435"/>
      <c r="Z7268" s="434"/>
      <c r="AA7268" s="435"/>
      <c r="AB7268" s="436"/>
    </row>
    <row r="7269" spans="1:28">
      <c r="A7269" s="433"/>
      <c r="B7269" s="434"/>
      <c r="C7269" s="434"/>
      <c r="D7269" s="434"/>
      <c r="E7269" s="434" t="s">
        <v>16</v>
      </c>
      <c r="F7269" s="434">
        <v>16</v>
      </c>
      <c r="G7269" s="437" t="s">
        <v>176</v>
      </c>
      <c r="H7269" s="2594">
        <f t="shared" si="23526"/>
        <v>8688.9428720639953</v>
      </c>
      <c r="I7269" s="2594"/>
      <c r="J7269" s="2594"/>
      <c r="K7269" s="434" t="s">
        <v>53</v>
      </c>
      <c r="L7269" s="434"/>
      <c r="M7269" s="434"/>
      <c r="N7269" s="434"/>
      <c r="O7269" s="434"/>
      <c r="P7269" s="434"/>
      <c r="Q7269" s="434"/>
      <c r="R7269" s="434"/>
      <c r="S7269" s="434"/>
      <c r="T7269" s="434"/>
      <c r="U7269" s="434"/>
      <c r="V7269" s="434"/>
      <c r="W7269" s="434"/>
      <c r="X7269" s="434"/>
      <c r="Y7269" s="435"/>
      <c r="Z7269" s="434"/>
      <c r="AA7269" s="435"/>
      <c r="AB7269" s="436"/>
    </row>
    <row r="7270" spans="1:28">
      <c r="A7270" s="433"/>
      <c r="B7270" s="434"/>
      <c r="C7270" s="434"/>
      <c r="D7270" s="434"/>
      <c r="E7270" s="434" t="s">
        <v>16</v>
      </c>
      <c r="F7270" s="434">
        <v>19</v>
      </c>
      <c r="G7270" s="437" t="s">
        <v>176</v>
      </c>
      <c r="H7270" s="2594">
        <f t="shared" si="23526"/>
        <v>0</v>
      </c>
      <c r="I7270" s="2594"/>
      <c r="J7270" s="2594"/>
      <c r="K7270" s="434" t="s">
        <v>53</v>
      </c>
      <c r="L7270" s="434"/>
      <c r="M7270" s="434"/>
      <c r="N7270" s="434"/>
      <c r="O7270" s="434"/>
      <c r="P7270" s="434"/>
      <c r="Q7270" s="434"/>
      <c r="R7270" s="434"/>
      <c r="S7270" s="434"/>
      <c r="T7270" s="434"/>
      <c r="U7270" s="434"/>
      <c r="V7270" s="434"/>
      <c r="W7270" s="434"/>
      <c r="X7270" s="434"/>
      <c r="Y7270" s="435"/>
      <c r="Z7270" s="434"/>
      <c r="AA7270" s="435"/>
      <c r="AB7270" s="436"/>
    </row>
    <row r="7271" spans="1:28">
      <c r="A7271" s="433"/>
      <c r="B7271" s="434"/>
      <c r="C7271" s="434"/>
      <c r="D7271" s="434"/>
      <c r="E7271" s="434" t="s">
        <v>16</v>
      </c>
      <c r="F7271" s="434">
        <v>22</v>
      </c>
      <c r="G7271" s="437" t="s">
        <v>176</v>
      </c>
      <c r="H7271" s="2594">
        <f t="shared" si="23526"/>
        <v>0</v>
      </c>
      <c r="I7271" s="2594"/>
      <c r="J7271" s="2594"/>
      <c r="K7271" s="434" t="s">
        <v>53</v>
      </c>
      <c r="L7271" s="434"/>
      <c r="M7271" s="434"/>
      <c r="N7271" s="434"/>
      <c r="O7271" s="434"/>
      <c r="P7271" s="434"/>
      <c r="Q7271" s="434"/>
      <c r="R7271" s="434"/>
      <c r="S7271" s="434"/>
      <c r="T7271" s="434"/>
      <c r="U7271" s="434"/>
      <c r="V7271" s="434"/>
      <c r="W7271" s="434"/>
      <c r="X7271" s="434"/>
      <c r="Y7271" s="435"/>
      <c r="Z7271" s="434"/>
      <c r="AA7271" s="435"/>
      <c r="AB7271" s="436"/>
    </row>
    <row r="7272" spans="1:28">
      <c r="A7272" s="433"/>
      <c r="B7272" s="434"/>
      <c r="C7272" s="434"/>
      <c r="D7272" s="434"/>
      <c r="E7272" s="434" t="s">
        <v>16</v>
      </c>
      <c r="F7272" s="434">
        <v>25</v>
      </c>
      <c r="G7272" s="437" t="s">
        <v>176</v>
      </c>
      <c r="H7272" s="2594">
        <f t="shared" si="23526"/>
        <v>0</v>
      </c>
      <c r="I7272" s="2594"/>
      <c r="J7272" s="2594"/>
      <c r="K7272" s="434" t="s">
        <v>53</v>
      </c>
      <c r="L7272" s="434"/>
      <c r="M7272" s="434"/>
      <c r="N7272" s="434"/>
      <c r="O7272" s="434"/>
      <c r="P7272" s="434"/>
      <c r="Q7272" s="434"/>
      <c r="R7272" s="434"/>
      <c r="S7272" s="434"/>
      <c r="T7272" s="434"/>
      <c r="U7272" s="434"/>
      <c r="V7272" s="434"/>
      <c r="W7272" s="434"/>
      <c r="X7272" s="434"/>
      <c r="Y7272" s="435"/>
      <c r="Z7272" s="434"/>
      <c r="AA7272" s="435"/>
      <c r="AB7272" s="436"/>
    </row>
    <row r="7273" spans="1:28">
      <c r="A7273" s="433"/>
      <c r="B7273" s="434"/>
      <c r="C7273" s="434"/>
      <c r="D7273" s="434"/>
      <c r="E7273" s="434" t="s">
        <v>16</v>
      </c>
      <c r="F7273" s="434">
        <v>29</v>
      </c>
      <c r="G7273" s="437" t="s">
        <v>176</v>
      </c>
      <c r="H7273" s="2594">
        <f t="shared" si="23526"/>
        <v>0</v>
      </c>
      <c r="I7273" s="2594"/>
      <c r="J7273" s="2594"/>
      <c r="K7273" s="434" t="s">
        <v>53</v>
      </c>
      <c r="L7273" s="434"/>
      <c r="M7273" s="434"/>
      <c r="N7273" s="434"/>
      <c r="O7273" s="434"/>
      <c r="P7273" s="434"/>
      <c r="Q7273" s="434"/>
      <c r="R7273" s="434"/>
      <c r="S7273" s="434"/>
      <c r="T7273" s="434"/>
      <c r="U7273" s="434"/>
      <c r="V7273" s="434"/>
      <c r="W7273" s="434"/>
      <c r="X7273" s="434"/>
      <c r="Y7273" s="435"/>
      <c r="Z7273" s="434"/>
      <c r="AA7273" s="435"/>
      <c r="AB7273" s="436"/>
    </row>
    <row r="7274" spans="1:28">
      <c r="A7274" s="433"/>
      <c r="B7274" s="434"/>
      <c r="C7274" s="434"/>
      <c r="D7274" s="434"/>
      <c r="E7274" s="434"/>
      <c r="F7274" s="434"/>
      <c r="G7274" s="437"/>
      <c r="H7274" s="2594"/>
      <c r="I7274" s="2594"/>
      <c r="J7274" s="2594"/>
      <c r="K7274" s="434"/>
      <c r="L7274" s="434"/>
      <c r="M7274" s="434"/>
      <c r="N7274" s="434"/>
      <c r="O7274" s="434"/>
      <c r="P7274" s="434"/>
      <c r="Q7274" s="434"/>
      <c r="R7274" s="434"/>
      <c r="S7274" s="434"/>
      <c r="T7274" s="434"/>
      <c r="U7274" s="434"/>
      <c r="V7274" s="434"/>
      <c r="W7274" s="434"/>
      <c r="X7274" s="434"/>
      <c r="Y7274" s="435"/>
      <c r="Z7274" s="434"/>
      <c r="AA7274" s="435"/>
      <c r="AB7274" s="436"/>
    </row>
    <row r="7275" spans="1:28">
      <c r="A7275" s="433"/>
      <c r="B7275" s="434"/>
      <c r="C7275" s="434"/>
      <c r="D7275" s="434"/>
      <c r="E7275" s="438" t="s">
        <v>217</v>
      </c>
      <c r="F7275" s="434"/>
      <c r="G7275" s="439" t="s">
        <v>176</v>
      </c>
      <c r="H7275" s="2593">
        <f>SUM(H7264:J7274)</f>
        <v>17918.668852168488</v>
      </c>
      <c r="I7275" s="2593"/>
      <c r="J7275" s="2593"/>
      <c r="K7275" s="438" t="s">
        <v>53</v>
      </c>
      <c r="L7275" s="434"/>
      <c r="M7275" s="434"/>
      <c r="N7275" s="434"/>
      <c r="O7275" s="434"/>
      <c r="P7275" s="434"/>
      <c r="Q7275" s="434"/>
      <c r="R7275" s="434"/>
      <c r="S7275" s="434"/>
      <c r="T7275" s="434"/>
      <c r="U7275" s="434"/>
      <c r="V7275" s="434"/>
      <c r="W7275" s="434"/>
      <c r="X7275" s="434"/>
      <c r="Y7275" s="435"/>
      <c r="Z7275" s="434"/>
      <c r="AA7275" s="435"/>
      <c r="AB7275" s="436"/>
    </row>
    <row r="7276" spans="1:28" ht="15.75" thickBot="1">
      <c r="A7276" s="440"/>
      <c r="B7276" s="441"/>
      <c r="C7276" s="441"/>
      <c r="D7276" s="441"/>
      <c r="E7276" s="441"/>
      <c r="F7276" s="441"/>
      <c r="G7276" s="441"/>
      <c r="H7276" s="441"/>
      <c r="I7276" s="441"/>
      <c r="J7276" s="441"/>
      <c r="K7276" s="441"/>
      <c r="L7276" s="441"/>
      <c r="M7276" s="441"/>
      <c r="N7276" s="441"/>
      <c r="O7276" s="441"/>
      <c r="P7276" s="441"/>
      <c r="Q7276" s="441"/>
      <c r="R7276" s="441"/>
      <c r="S7276" s="441"/>
      <c r="T7276" s="441"/>
      <c r="U7276" s="441"/>
      <c r="V7276" s="441"/>
      <c r="W7276" s="441"/>
      <c r="X7276" s="441"/>
      <c r="Y7276" s="442"/>
      <c r="Z7276" s="441"/>
      <c r="AA7276" s="442"/>
      <c r="AB7276" s="443"/>
    </row>
  </sheetData>
  <autoFilter ref="A23:AB23"/>
  <mergeCells count="1960">
    <mergeCell ref="D6146:E6146"/>
    <mergeCell ref="G6146:H6146"/>
    <mergeCell ref="D6147:H6147"/>
    <mergeCell ref="D6148:H6148"/>
    <mergeCell ref="D6149:H6149"/>
    <mergeCell ref="D6150:H6150"/>
    <mergeCell ref="D6151:H6151"/>
    <mergeCell ref="D6175:H6175"/>
    <mergeCell ref="D6176:E6176"/>
    <mergeCell ref="G6176:H6176"/>
    <mergeCell ref="D6177:H6177"/>
    <mergeCell ref="D6178:H6178"/>
    <mergeCell ref="D6179:H6179"/>
    <mergeCell ref="D6180:H6180"/>
    <mergeCell ref="D6181:H6181"/>
    <mergeCell ref="D6595:H6595"/>
    <mergeCell ref="D6596:E6596"/>
    <mergeCell ref="G6596:H6596"/>
    <mergeCell ref="D6569:H6569"/>
    <mergeCell ref="D6570:H6570"/>
    <mergeCell ref="D6571:H6571"/>
    <mergeCell ref="D6507:H6507"/>
    <mergeCell ref="D6508:H6508"/>
    <mergeCell ref="D6509:H6509"/>
    <mergeCell ref="D6510:H6510"/>
    <mergeCell ref="D6511:H6511"/>
    <mergeCell ref="D6535:H6535"/>
    <mergeCell ref="D6536:E6536"/>
    <mergeCell ref="G6536:H6536"/>
    <mergeCell ref="D6537:H6537"/>
    <mergeCell ref="D6476:E6476"/>
    <mergeCell ref="G6476:H6476"/>
    <mergeCell ref="D6085:H6085"/>
    <mergeCell ref="D6086:E6086"/>
    <mergeCell ref="G6086:H6086"/>
    <mergeCell ref="D6087:H6087"/>
    <mergeCell ref="D6088:H6088"/>
    <mergeCell ref="D6089:H6089"/>
    <mergeCell ref="D6090:H6090"/>
    <mergeCell ref="D6091:H6091"/>
    <mergeCell ref="D6115:H6115"/>
    <mergeCell ref="D6116:E6116"/>
    <mergeCell ref="G6116:H6116"/>
    <mergeCell ref="D6117:H6117"/>
    <mergeCell ref="D6118:H6118"/>
    <mergeCell ref="D6119:H6119"/>
    <mergeCell ref="D6120:H6120"/>
    <mergeCell ref="D6121:H6121"/>
    <mergeCell ref="D6145:H6145"/>
    <mergeCell ref="D6057:H6057"/>
    <mergeCell ref="D6058:H6058"/>
    <mergeCell ref="D6059:H6059"/>
    <mergeCell ref="D6060:H6060"/>
    <mergeCell ref="D6061:H6061"/>
    <mergeCell ref="D6026:E6026"/>
    <mergeCell ref="G6026:H6026"/>
    <mergeCell ref="D6027:H6027"/>
    <mergeCell ref="D6028:H6028"/>
    <mergeCell ref="D6029:H6029"/>
    <mergeCell ref="D6030:H6030"/>
    <mergeCell ref="D6031:H6031"/>
    <mergeCell ref="D6055:H6055"/>
    <mergeCell ref="D6056:E6056"/>
    <mergeCell ref="G6056:H6056"/>
    <mergeCell ref="D5995:H5995"/>
    <mergeCell ref="D5996:E5996"/>
    <mergeCell ref="G5996:H5996"/>
    <mergeCell ref="D5997:H5997"/>
    <mergeCell ref="D5998:H5998"/>
    <mergeCell ref="D5999:H5999"/>
    <mergeCell ref="D6000:H6000"/>
    <mergeCell ref="D6001:H6001"/>
    <mergeCell ref="D6025:H6025"/>
    <mergeCell ref="D5941:H5941"/>
    <mergeCell ref="D5965:H5965"/>
    <mergeCell ref="D5966:E5966"/>
    <mergeCell ref="G5966:H5966"/>
    <mergeCell ref="D5967:H5967"/>
    <mergeCell ref="D5968:H5968"/>
    <mergeCell ref="D5969:H5969"/>
    <mergeCell ref="D5970:H5970"/>
    <mergeCell ref="D5971:H5971"/>
    <mergeCell ref="D5910:H5910"/>
    <mergeCell ref="D5911:H5911"/>
    <mergeCell ref="D5935:H5935"/>
    <mergeCell ref="D5936:E5936"/>
    <mergeCell ref="G5936:H5936"/>
    <mergeCell ref="D5937:H5937"/>
    <mergeCell ref="D5938:H5938"/>
    <mergeCell ref="D5939:H5939"/>
    <mergeCell ref="D5940:H5940"/>
    <mergeCell ref="D5879:H5879"/>
    <mergeCell ref="D5880:H5880"/>
    <mergeCell ref="D5881:H5881"/>
    <mergeCell ref="D5905:H5905"/>
    <mergeCell ref="D5906:E5906"/>
    <mergeCell ref="G5906:H5906"/>
    <mergeCell ref="D5907:H5907"/>
    <mergeCell ref="D5908:H5908"/>
    <mergeCell ref="D5909:H5909"/>
    <mergeCell ref="D5848:H5848"/>
    <mergeCell ref="D5849:H5849"/>
    <mergeCell ref="D5850:H5850"/>
    <mergeCell ref="D5851:H5851"/>
    <mergeCell ref="D5875:H5875"/>
    <mergeCell ref="D5876:E5876"/>
    <mergeCell ref="G5876:H5876"/>
    <mergeCell ref="D5877:H5877"/>
    <mergeCell ref="D5878:H5878"/>
    <mergeCell ref="D5817:H5817"/>
    <mergeCell ref="D5818:H5818"/>
    <mergeCell ref="D5819:H5819"/>
    <mergeCell ref="D5820:H5820"/>
    <mergeCell ref="D5821:H5821"/>
    <mergeCell ref="D5845:H5845"/>
    <mergeCell ref="D5846:E5846"/>
    <mergeCell ref="G5846:H5846"/>
    <mergeCell ref="D5847:H5847"/>
    <mergeCell ref="D5786:E5786"/>
    <mergeCell ref="G5786:H5786"/>
    <mergeCell ref="D5787:H5787"/>
    <mergeCell ref="D5788:H5788"/>
    <mergeCell ref="D5789:H5789"/>
    <mergeCell ref="D5790:H5790"/>
    <mergeCell ref="D5791:H5791"/>
    <mergeCell ref="D5815:H5815"/>
    <mergeCell ref="D5816:E5816"/>
    <mergeCell ref="G5816:H5816"/>
    <mergeCell ref="D5755:H5755"/>
    <mergeCell ref="D5756:E5756"/>
    <mergeCell ref="G5756:H5756"/>
    <mergeCell ref="D5757:H5757"/>
    <mergeCell ref="D5758:H5758"/>
    <mergeCell ref="D5759:H5759"/>
    <mergeCell ref="D5760:H5760"/>
    <mergeCell ref="D5761:H5761"/>
    <mergeCell ref="D5785:H5785"/>
    <mergeCell ref="D5701:H5701"/>
    <mergeCell ref="D5725:H5725"/>
    <mergeCell ref="D5726:E5726"/>
    <mergeCell ref="G5726:H5726"/>
    <mergeCell ref="D5727:H5727"/>
    <mergeCell ref="D5728:H5728"/>
    <mergeCell ref="D5729:H5729"/>
    <mergeCell ref="D5730:H5730"/>
    <mergeCell ref="D5731:H5731"/>
    <mergeCell ref="D5670:H5670"/>
    <mergeCell ref="D5671:H5671"/>
    <mergeCell ref="D5695:H5695"/>
    <mergeCell ref="D5696:E5696"/>
    <mergeCell ref="G5696:H5696"/>
    <mergeCell ref="D5697:H5697"/>
    <mergeCell ref="D5698:H5698"/>
    <mergeCell ref="D5699:H5699"/>
    <mergeCell ref="D5700:H5700"/>
    <mergeCell ref="D5639:H5639"/>
    <mergeCell ref="D5640:H5640"/>
    <mergeCell ref="D5641:H5641"/>
    <mergeCell ref="D5665:H5665"/>
    <mergeCell ref="D5666:E5666"/>
    <mergeCell ref="G5666:H5666"/>
    <mergeCell ref="D5667:H5667"/>
    <mergeCell ref="D5668:H5668"/>
    <mergeCell ref="D5669:H5669"/>
    <mergeCell ref="D5608:H5608"/>
    <mergeCell ref="D5609:H5609"/>
    <mergeCell ref="D5610:H5610"/>
    <mergeCell ref="D5611:H5611"/>
    <mergeCell ref="D5635:H5635"/>
    <mergeCell ref="D5636:E5636"/>
    <mergeCell ref="G5636:H5636"/>
    <mergeCell ref="D5637:H5637"/>
    <mergeCell ref="D5638:H5638"/>
    <mergeCell ref="D5577:H5577"/>
    <mergeCell ref="D5578:H5578"/>
    <mergeCell ref="D5579:H5579"/>
    <mergeCell ref="D5580:H5580"/>
    <mergeCell ref="D5581:H5581"/>
    <mergeCell ref="D5605:H5605"/>
    <mergeCell ref="D5606:E5606"/>
    <mergeCell ref="G5606:H5606"/>
    <mergeCell ref="D5607:H5607"/>
    <mergeCell ref="D5546:E5546"/>
    <mergeCell ref="G5546:H5546"/>
    <mergeCell ref="D5547:H5547"/>
    <mergeCell ref="D5548:H5548"/>
    <mergeCell ref="D5549:H5549"/>
    <mergeCell ref="D5550:H5550"/>
    <mergeCell ref="D5551:H5551"/>
    <mergeCell ref="D5575:H5575"/>
    <mergeCell ref="D5576:E5576"/>
    <mergeCell ref="G5576:H5576"/>
    <mergeCell ref="D5515:H5515"/>
    <mergeCell ref="D5516:E5516"/>
    <mergeCell ref="G5516:H5516"/>
    <mergeCell ref="D5517:H5517"/>
    <mergeCell ref="D5518:H5518"/>
    <mergeCell ref="D5519:H5519"/>
    <mergeCell ref="D5520:H5520"/>
    <mergeCell ref="D5521:H5521"/>
    <mergeCell ref="D5545:H5545"/>
    <mergeCell ref="D5461:H5461"/>
    <mergeCell ref="D5485:H5485"/>
    <mergeCell ref="D5486:E5486"/>
    <mergeCell ref="G5486:H5486"/>
    <mergeCell ref="D5487:H5487"/>
    <mergeCell ref="D5488:H5488"/>
    <mergeCell ref="D5489:H5489"/>
    <mergeCell ref="D5490:H5490"/>
    <mergeCell ref="D5491:H5491"/>
    <mergeCell ref="D5430:H5430"/>
    <mergeCell ref="D5431:H5431"/>
    <mergeCell ref="D5455:H5455"/>
    <mergeCell ref="D5456:E5456"/>
    <mergeCell ref="G5456:H5456"/>
    <mergeCell ref="D5457:H5457"/>
    <mergeCell ref="D5458:H5458"/>
    <mergeCell ref="D5459:H5459"/>
    <mergeCell ref="D5460:H5460"/>
    <mergeCell ref="D5399:H5399"/>
    <mergeCell ref="D5400:H5400"/>
    <mergeCell ref="D5401:H5401"/>
    <mergeCell ref="D5425:H5425"/>
    <mergeCell ref="D5426:E5426"/>
    <mergeCell ref="G5426:H5426"/>
    <mergeCell ref="D5427:H5427"/>
    <mergeCell ref="D5428:H5428"/>
    <mergeCell ref="D5429:H5429"/>
    <mergeCell ref="D5368:H5368"/>
    <mergeCell ref="D5369:H5369"/>
    <mergeCell ref="D5370:H5370"/>
    <mergeCell ref="D5371:H5371"/>
    <mergeCell ref="D5395:H5395"/>
    <mergeCell ref="D5396:E5396"/>
    <mergeCell ref="G5396:H5396"/>
    <mergeCell ref="D5397:H5397"/>
    <mergeCell ref="D5398:H5398"/>
    <mergeCell ref="D5337:H5337"/>
    <mergeCell ref="D5338:H5338"/>
    <mergeCell ref="D5339:H5339"/>
    <mergeCell ref="D5340:H5340"/>
    <mergeCell ref="D5341:H5341"/>
    <mergeCell ref="D5365:H5365"/>
    <mergeCell ref="D5366:E5366"/>
    <mergeCell ref="G5366:H5366"/>
    <mergeCell ref="D5367:H5367"/>
    <mergeCell ref="D5306:E5306"/>
    <mergeCell ref="G5306:H5306"/>
    <mergeCell ref="D5307:H5307"/>
    <mergeCell ref="D5308:H5308"/>
    <mergeCell ref="D5309:H5309"/>
    <mergeCell ref="D5310:H5310"/>
    <mergeCell ref="D5311:H5311"/>
    <mergeCell ref="D5335:H5335"/>
    <mergeCell ref="D5336:E5336"/>
    <mergeCell ref="G5336:H5336"/>
    <mergeCell ref="D5275:H5275"/>
    <mergeCell ref="D5276:E5276"/>
    <mergeCell ref="G5276:H5276"/>
    <mergeCell ref="D5277:H5277"/>
    <mergeCell ref="D5278:H5278"/>
    <mergeCell ref="D5279:H5279"/>
    <mergeCell ref="D5280:H5280"/>
    <mergeCell ref="D5281:H5281"/>
    <mergeCell ref="D5305:H5305"/>
    <mergeCell ref="D5221:H5221"/>
    <mergeCell ref="D5245:H5245"/>
    <mergeCell ref="D5246:E5246"/>
    <mergeCell ref="G5246:H5246"/>
    <mergeCell ref="D5247:H5247"/>
    <mergeCell ref="D5248:H5248"/>
    <mergeCell ref="D5249:H5249"/>
    <mergeCell ref="D5250:H5250"/>
    <mergeCell ref="D5251:H5251"/>
    <mergeCell ref="D5190:H5190"/>
    <mergeCell ref="D5191:H5191"/>
    <mergeCell ref="D5215:H5215"/>
    <mergeCell ref="D5216:E5216"/>
    <mergeCell ref="G5216:H5216"/>
    <mergeCell ref="D5217:H5217"/>
    <mergeCell ref="D5218:H5218"/>
    <mergeCell ref="D5219:H5219"/>
    <mergeCell ref="D5220:H5220"/>
    <mergeCell ref="D5159:H5159"/>
    <mergeCell ref="D5160:H5160"/>
    <mergeCell ref="D5161:H5161"/>
    <mergeCell ref="D5185:H5185"/>
    <mergeCell ref="D5186:E5186"/>
    <mergeCell ref="G5186:H5186"/>
    <mergeCell ref="D5187:H5187"/>
    <mergeCell ref="D5188:H5188"/>
    <mergeCell ref="D5189:H5189"/>
    <mergeCell ref="D5128:H5128"/>
    <mergeCell ref="D5129:H5129"/>
    <mergeCell ref="D5130:H5130"/>
    <mergeCell ref="D5131:H5131"/>
    <mergeCell ref="D5155:H5155"/>
    <mergeCell ref="D5156:E5156"/>
    <mergeCell ref="G5156:H5156"/>
    <mergeCell ref="D5157:H5157"/>
    <mergeCell ref="D5158:H5158"/>
    <mergeCell ref="D5097:H5097"/>
    <mergeCell ref="D5098:H5098"/>
    <mergeCell ref="D5099:H5099"/>
    <mergeCell ref="D5100:H5100"/>
    <mergeCell ref="D5101:H5101"/>
    <mergeCell ref="D5125:H5125"/>
    <mergeCell ref="D5126:E5126"/>
    <mergeCell ref="G5126:H5126"/>
    <mergeCell ref="D5127:H5127"/>
    <mergeCell ref="D5066:E5066"/>
    <mergeCell ref="G5066:H5066"/>
    <mergeCell ref="D5067:H5067"/>
    <mergeCell ref="D5068:H5068"/>
    <mergeCell ref="D5069:H5069"/>
    <mergeCell ref="D5070:H5070"/>
    <mergeCell ref="D5071:H5071"/>
    <mergeCell ref="D5095:H5095"/>
    <mergeCell ref="D5096:E5096"/>
    <mergeCell ref="G5096:H5096"/>
    <mergeCell ref="D5035:H5035"/>
    <mergeCell ref="D5036:E5036"/>
    <mergeCell ref="G5036:H5036"/>
    <mergeCell ref="D5037:H5037"/>
    <mergeCell ref="D5038:H5038"/>
    <mergeCell ref="D5039:H5039"/>
    <mergeCell ref="D5040:H5040"/>
    <mergeCell ref="D5041:H5041"/>
    <mergeCell ref="D5065:H5065"/>
    <mergeCell ref="D4981:H4981"/>
    <mergeCell ref="D5005:H5005"/>
    <mergeCell ref="D5006:E5006"/>
    <mergeCell ref="G5006:H5006"/>
    <mergeCell ref="D5007:H5007"/>
    <mergeCell ref="D5008:H5008"/>
    <mergeCell ref="D5009:H5009"/>
    <mergeCell ref="D5010:H5010"/>
    <mergeCell ref="D5011:H5011"/>
    <mergeCell ref="D4950:H4950"/>
    <mergeCell ref="D4951:H4951"/>
    <mergeCell ref="D4975:H4975"/>
    <mergeCell ref="D4976:E4976"/>
    <mergeCell ref="G4976:H4976"/>
    <mergeCell ref="D4977:H4977"/>
    <mergeCell ref="D4978:H4978"/>
    <mergeCell ref="D4979:H4979"/>
    <mergeCell ref="D4980:H4980"/>
    <mergeCell ref="D4919:H4919"/>
    <mergeCell ref="D4920:H4920"/>
    <mergeCell ref="D4921:H4921"/>
    <mergeCell ref="D4945:H4945"/>
    <mergeCell ref="D4946:E4946"/>
    <mergeCell ref="G4946:H4946"/>
    <mergeCell ref="D4947:H4947"/>
    <mergeCell ref="D4948:H4948"/>
    <mergeCell ref="D4949:H4949"/>
    <mergeCell ref="D4888:H4888"/>
    <mergeCell ref="D4889:H4889"/>
    <mergeCell ref="D4890:H4890"/>
    <mergeCell ref="D4891:H4891"/>
    <mergeCell ref="D4915:H4915"/>
    <mergeCell ref="D4916:E4916"/>
    <mergeCell ref="G4916:H4916"/>
    <mergeCell ref="D4917:H4917"/>
    <mergeCell ref="D4918:H4918"/>
    <mergeCell ref="D4857:H4857"/>
    <mergeCell ref="D4858:H4858"/>
    <mergeCell ref="D4859:H4859"/>
    <mergeCell ref="D4860:H4860"/>
    <mergeCell ref="D4861:H4861"/>
    <mergeCell ref="D4885:H4885"/>
    <mergeCell ref="D4886:E4886"/>
    <mergeCell ref="G4886:H4886"/>
    <mergeCell ref="D4887:H4887"/>
    <mergeCell ref="D4826:E4826"/>
    <mergeCell ref="G4826:H4826"/>
    <mergeCell ref="D4827:H4827"/>
    <mergeCell ref="D4828:H4828"/>
    <mergeCell ref="D4829:H4829"/>
    <mergeCell ref="D4830:H4830"/>
    <mergeCell ref="D4831:H4831"/>
    <mergeCell ref="D4855:H4855"/>
    <mergeCell ref="D4856:E4856"/>
    <mergeCell ref="G4856:H4856"/>
    <mergeCell ref="D4795:H4795"/>
    <mergeCell ref="D4796:E4796"/>
    <mergeCell ref="G4796:H4796"/>
    <mergeCell ref="D4797:H4797"/>
    <mergeCell ref="D4798:H4798"/>
    <mergeCell ref="D4799:H4799"/>
    <mergeCell ref="D4800:H4800"/>
    <mergeCell ref="D4801:H4801"/>
    <mergeCell ref="D4825:H4825"/>
    <mergeCell ref="D4741:H4741"/>
    <mergeCell ref="D4765:H4765"/>
    <mergeCell ref="D4766:E4766"/>
    <mergeCell ref="G4766:H4766"/>
    <mergeCell ref="D4767:H4767"/>
    <mergeCell ref="D4768:H4768"/>
    <mergeCell ref="D4769:H4769"/>
    <mergeCell ref="D4770:H4770"/>
    <mergeCell ref="D4771:H4771"/>
    <mergeCell ref="D4710:H4710"/>
    <mergeCell ref="D4711:H4711"/>
    <mergeCell ref="D4735:H4735"/>
    <mergeCell ref="D4736:E4736"/>
    <mergeCell ref="G4736:H4736"/>
    <mergeCell ref="D4737:H4737"/>
    <mergeCell ref="D4738:H4738"/>
    <mergeCell ref="D4739:H4739"/>
    <mergeCell ref="D4740:H4740"/>
    <mergeCell ref="D4679:H4679"/>
    <mergeCell ref="D4680:H4680"/>
    <mergeCell ref="D4681:H4681"/>
    <mergeCell ref="D4705:H4705"/>
    <mergeCell ref="D4706:E4706"/>
    <mergeCell ref="G4706:H4706"/>
    <mergeCell ref="D4707:H4707"/>
    <mergeCell ref="D4708:H4708"/>
    <mergeCell ref="D4709:H4709"/>
    <mergeCell ref="D4648:H4648"/>
    <mergeCell ref="D4649:H4649"/>
    <mergeCell ref="D4650:H4650"/>
    <mergeCell ref="D4651:H4651"/>
    <mergeCell ref="D4675:H4675"/>
    <mergeCell ref="D4676:E4676"/>
    <mergeCell ref="G4676:H4676"/>
    <mergeCell ref="D4677:H4677"/>
    <mergeCell ref="D4678:H4678"/>
    <mergeCell ref="D4617:H4617"/>
    <mergeCell ref="D4618:H4618"/>
    <mergeCell ref="D4619:H4619"/>
    <mergeCell ref="D4620:H4620"/>
    <mergeCell ref="D4621:H4621"/>
    <mergeCell ref="D4645:H4645"/>
    <mergeCell ref="D4646:E4646"/>
    <mergeCell ref="G4646:H4646"/>
    <mergeCell ref="D4647:H4647"/>
    <mergeCell ref="D4586:E4586"/>
    <mergeCell ref="G4586:H4586"/>
    <mergeCell ref="D4587:H4587"/>
    <mergeCell ref="D4588:H4588"/>
    <mergeCell ref="D4589:H4589"/>
    <mergeCell ref="D4590:H4590"/>
    <mergeCell ref="D4591:H4591"/>
    <mergeCell ref="D4615:H4615"/>
    <mergeCell ref="D4616:E4616"/>
    <mergeCell ref="G4616:H4616"/>
    <mergeCell ref="D4555:H4555"/>
    <mergeCell ref="D4556:E4556"/>
    <mergeCell ref="G4556:H4556"/>
    <mergeCell ref="D4557:H4557"/>
    <mergeCell ref="D4558:H4558"/>
    <mergeCell ref="D4559:H4559"/>
    <mergeCell ref="D4560:H4560"/>
    <mergeCell ref="D4561:H4561"/>
    <mergeCell ref="D4585:H4585"/>
    <mergeCell ref="D4501:H4501"/>
    <mergeCell ref="D4525:H4525"/>
    <mergeCell ref="D4526:E4526"/>
    <mergeCell ref="G4526:H4526"/>
    <mergeCell ref="D4527:H4527"/>
    <mergeCell ref="D4528:H4528"/>
    <mergeCell ref="D4529:H4529"/>
    <mergeCell ref="D4530:H4530"/>
    <mergeCell ref="D4531:H4531"/>
    <mergeCell ref="D4470:H4470"/>
    <mergeCell ref="D4471:H4471"/>
    <mergeCell ref="D4495:H4495"/>
    <mergeCell ref="D4496:E4496"/>
    <mergeCell ref="G4496:H4496"/>
    <mergeCell ref="D4497:H4497"/>
    <mergeCell ref="D4498:H4498"/>
    <mergeCell ref="D4499:H4499"/>
    <mergeCell ref="D4500:H4500"/>
    <mergeCell ref="D4285:H4285"/>
    <mergeCell ref="D4286:E4286"/>
    <mergeCell ref="G4286:H4286"/>
    <mergeCell ref="D4465:H4465"/>
    <mergeCell ref="D4466:E4466"/>
    <mergeCell ref="G4466:H4466"/>
    <mergeCell ref="D4467:H4467"/>
    <mergeCell ref="D4468:H4468"/>
    <mergeCell ref="D4469:H4469"/>
    <mergeCell ref="D4411:H4411"/>
    <mergeCell ref="D4435:H4435"/>
    <mergeCell ref="D4436:E4436"/>
    <mergeCell ref="G4436:H4436"/>
    <mergeCell ref="D4437:H4437"/>
    <mergeCell ref="D4438:H4438"/>
    <mergeCell ref="D4439:H4439"/>
    <mergeCell ref="D4440:H4440"/>
    <mergeCell ref="D4441:H4441"/>
    <mergeCell ref="D4380:H4380"/>
    <mergeCell ref="D4381:H4381"/>
    <mergeCell ref="D4405:H4405"/>
    <mergeCell ref="D4406:E4406"/>
    <mergeCell ref="G4406:H4406"/>
    <mergeCell ref="D4407:H4407"/>
    <mergeCell ref="D4408:H4408"/>
    <mergeCell ref="D4409:H4409"/>
    <mergeCell ref="D4410:H4410"/>
    <mergeCell ref="D4349:H4349"/>
    <mergeCell ref="D4350:H4350"/>
    <mergeCell ref="D4351:H4351"/>
    <mergeCell ref="D4375:H4375"/>
    <mergeCell ref="D4376:E4376"/>
    <mergeCell ref="G4376:H4376"/>
    <mergeCell ref="D4377:H4377"/>
    <mergeCell ref="D4378:H4378"/>
    <mergeCell ref="D4379:H4379"/>
    <mergeCell ref="D4318:H4318"/>
    <mergeCell ref="D4319:H4319"/>
    <mergeCell ref="D4320:H4320"/>
    <mergeCell ref="D4321:H4321"/>
    <mergeCell ref="D4345:H4345"/>
    <mergeCell ref="D4346:E4346"/>
    <mergeCell ref="G4346:H4346"/>
    <mergeCell ref="D4347:H4347"/>
    <mergeCell ref="D4348:H4348"/>
    <mergeCell ref="D4287:H4287"/>
    <mergeCell ref="D4288:H4288"/>
    <mergeCell ref="D4289:H4289"/>
    <mergeCell ref="D4290:H4290"/>
    <mergeCell ref="D4291:H4291"/>
    <mergeCell ref="D4315:H4315"/>
    <mergeCell ref="D4316:E4316"/>
    <mergeCell ref="G4316:H4316"/>
    <mergeCell ref="D4317:H4317"/>
    <mergeCell ref="D4256:E4256"/>
    <mergeCell ref="G4256:H4256"/>
    <mergeCell ref="D4257:H4257"/>
    <mergeCell ref="D4258:H4258"/>
    <mergeCell ref="D4259:H4259"/>
    <mergeCell ref="D4260:H4260"/>
    <mergeCell ref="D4261:H4261"/>
    <mergeCell ref="D4225:H4225"/>
    <mergeCell ref="D4226:E4226"/>
    <mergeCell ref="G4226:H4226"/>
    <mergeCell ref="D4227:H4227"/>
    <mergeCell ref="D4228:H4228"/>
    <mergeCell ref="D4229:H4229"/>
    <mergeCell ref="D4230:H4230"/>
    <mergeCell ref="D4231:H4231"/>
    <mergeCell ref="D4255:H4255"/>
    <mergeCell ref="D4171:H4171"/>
    <mergeCell ref="D4195:H4195"/>
    <mergeCell ref="D4196:E4196"/>
    <mergeCell ref="G4196:H4196"/>
    <mergeCell ref="D4197:H4197"/>
    <mergeCell ref="D4198:H4198"/>
    <mergeCell ref="D4199:H4199"/>
    <mergeCell ref="D4200:H4200"/>
    <mergeCell ref="D4201:H4201"/>
    <mergeCell ref="D4140:H4140"/>
    <mergeCell ref="D4141:H4141"/>
    <mergeCell ref="D4165:H4165"/>
    <mergeCell ref="D4166:E4166"/>
    <mergeCell ref="G4166:H4166"/>
    <mergeCell ref="D4167:H4167"/>
    <mergeCell ref="D4168:H4168"/>
    <mergeCell ref="D4169:H4169"/>
    <mergeCell ref="D4170:H4170"/>
    <mergeCell ref="D4109:H4109"/>
    <mergeCell ref="D4110:H4110"/>
    <mergeCell ref="D4111:H4111"/>
    <mergeCell ref="D4135:H4135"/>
    <mergeCell ref="D4136:E4136"/>
    <mergeCell ref="G4136:H4136"/>
    <mergeCell ref="D4137:H4137"/>
    <mergeCell ref="D4138:H4138"/>
    <mergeCell ref="D4139:H4139"/>
    <mergeCell ref="D4078:H4078"/>
    <mergeCell ref="D4079:H4079"/>
    <mergeCell ref="D4080:H4080"/>
    <mergeCell ref="D4081:H4081"/>
    <mergeCell ref="D4105:H4105"/>
    <mergeCell ref="D4106:E4106"/>
    <mergeCell ref="G4106:H4106"/>
    <mergeCell ref="D4107:H4107"/>
    <mergeCell ref="D4108:H4108"/>
    <mergeCell ref="D4047:H4047"/>
    <mergeCell ref="D4048:H4048"/>
    <mergeCell ref="D4049:H4049"/>
    <mergeCell ref="D4050:H4050"/>
    <mergeCell ref="D4051:H4051"/>
    <mergeCell ref="D4075:H4075"/>
    <mergeCell ref="D4076:E4076"/>
    <mergeCell ref="G4076:H4076"/>
    <mergeCell ref="D4077:H4077"/>
    <mergeCell ref="D4016:E4016"/>
    <mergeCell ref="G4016:H4016"/>
    <mergeCell ref="D4017:H4017"/>
    <mergeCell ref="D4018:H4018"/>
    <mergeCell ref="D4019:H4019"/>
    <mergeCell ref="D4020:H4020"/>
    <mergeCell ref="D4021:H4021"/>
    <mergeCell ref="D4045:H4045"/>
    <mergeCell ref="D4046:E4046"/>
    <mergeCell ref="G4046:H4046"/>
    <mergeCell ref="D3985:H3985"/>
    <mergeCell ref="D3986:E3986"/>
    <mergeCell ref="G3986:H3986"/>
    <mergeCell ref="D3987:H3987"/>
    <mergeCell ref="D3988:H3988"/>
    <mergeCell ref="D3989:H3989"/>
    <mergeCell ref="D3990:H3990"/>
    <mergeCell ref="D3991:H3991"/>
    <mergeCell ref="D4015:H4015"/>
    <mergeCell ref="D3931:H3931"/>
    <mergeCell ref="D3955:H3955"/>
    <mergeCell ref="D3956:E3956"/>
    <mergeCell ref="G3956:H3956"/>
    <mergeCell ref="D3957:H3957"/>
    <mergeCell ref="D3958:H3958"/>
    <mergeCell ref="D3959:H3959"/>
    <mergeCell ref="D3960:H3960"/>
    <mergeCell ref="D3961:H3961"/>
    <mergeCell ref="D3900:H3900"/>
    <mergeCell ref="D3901:H3901"/>
    <mergeCell ref="D3925:H3925"/>
    <mergeCell ref="D3926:E3926"/>
    <mergeCell ref="G3926:H3926"/>
    <mergeCell ref="D3927:H3927"/>
    <mergeCell ref="D3928:H3928"/>
    <mergeCell ref="D3929:H3929"/>
    <mergeCell ref="D3930:H3930"/>
    <mergeCell ref="D3869:H3869"/>
    <mergeCell ref="D3870:H3870"/>
    <mergeCell ref="D3871:H3871"/>
    <mergeCell ref="D3895:H3895"/>
    <mergeCell ref="D3896:E3896"/>
    <mergeCell ref="G3896:H3896"/>
    <mergeCell ref="D3897:H3897"/>
    <mergeCell ref="D3898:H3898"/>
    <mergeCell ref="D3899:H3899"/>
    <mergeCell ref="D3838:H3838"/>
    <mergeCell ref="D3839:H3839"/>
    <mergeCell ref="D3840:H3840"/>
    <mergeCell ref="D3841:H3841"/>
    <mergeCell ref="D3865:H3865"/>
    <mergeCell ref="D3866:E3866"/>
    <mergeCell ref="G3866:H3866"/>
    <mergeCell ref="D3867:H3867"/>
    <mergeCell ref="D3868:H3868"/>
    <mergeCell ref="D3807:H3807"/>
    <mergeCell ref="D3808:H3808"/>
    <mergeCell ref="D3809:H3809"/>
    <mergeCell ref="D3810:H3810"/>
    <mergeCell ref="D3811:H3811"/>
    <mergeCell ref="D3835:H3835"/>
    <mergeCell ref="D3836:E3836"/>
    <mergeCell ref="G3836:H3836"/>
    <mergeCell ref="D3837:H3837"/>
    <mergeCell ref="D3776:E3776"/>
    <mergeCell ref="G3776:H3776"/>
    <mergeCell ref="D3777:H3777"/>
    <mergeCell ref="D3778:H3778"/>
    <mergeCell ref="D3779:H3779"/>
    <mergeCell ref="D3780:H3780"/>
    <mergeCell ref="D3781:H3781"/>
    <mergeCell ref="D3805:H3805"/>
    <mergeCell ref="D3806:E3806"/>
    <mergeCell ref="G3806:H3806"/>
    <mergeCell ref="D3745:H3745"/>
    <mergeCell ref="D3746:E3746"/>
    <mergeCell ref="G3746:H3746"/>
    <mergeCell ref="D3747:H3747"/>
    <mergeCell ref="D3748:H3748"/>
    <mergeCell ref="D3749:H3749"/>
    <mergeCell ref="D3750:H3750"/>
    <mergeCell ref="D3751:H3751"/>
    <mergeCell ref="D3775:H3775"/>
    <mergeCell ref="D3691:H3691"/>
    <mergeCell ref="D3715:H3715"/>
    <mergeCell ref="D3716:E3716"/>
    <mergeCell ref="G3716:H3716"/>
    <mergeCell ref="D3717:H3717"/>
    <mergeCell ref="D3718:H3718"/>
    <mergeCell ref="D3719:H3719"/>
    <mergeCell ref="D3720:H3720"/>
    <mergeCell ref="D3721:H3721"/>
    <mergeCell ref="D3660:H3660"/>
    <mergeCell ref="D3661:H3661"/>
    <mergeCell ref="D3685:H3685"/>
    <mergeCell ref="D3686:E3686"/>
    <mergeCell ref="G3686:H3686"/>
    <mergeCell ref="D3687:H3687"/>
    <mergeCell ref="D3688:H3688"/>
    <mergeCell ref="D3689:H3689"/>
    <mergeCell ref="D3690:H3690"/>
    <mergeCell ref="D3629:H3629"/>
    <mergeCell ref="D3630:H3630"/>
    <mergeCell ref="D3631:H3631"/>
    <mergeCell ref="D3655:H3655"/>
    <mergeCell ref="D3656:E3656"/>
    <mergeCell ref="G3656:H3656"/>
    <mergeCell ref="D3657:H3657"/>
    <mergeCell ref="D3658:H3658"/>
    <mergeCell ref="D3659:H3659"/>
    <mergeCell ref="D3598:H3598"/>
    <mergeCell ref="D3599:H3599"/>
    <mergeCell ref="D3600:H3600"/>
    <mergeCell ref="D3601:H3601"/>
    <mergeCell ref="D3625:H3625"/>
    <mergeCell ref="D3626:E3626"/>
    <mergeCell ref="G3626:H3626"/>
    <mergeCell ref="D3627:H3627"/>
    <mergeCell ref="D3628:H3628"/>
    <mergeCell ref="D3567:H3567"/>
    <mergeCell ref="D3568:H3568"/>
    <mergeCell ref="D3569:H3569"/>
    <mergeCell ref="D3570:H3570"/>
    <mergeCell ref="D3571:H3571"/>
    <mergeCell ref="D3595:H3595"/>
    <mergeCell ref="D3596:E3596"/>
    <mergeCell ref="G3596:H3596"/>
    <mergeCell ref="D3597:H3597"/>
    <mergeCell ref="D3536:E3536"/>
    <mergeCell ref="G3536:H3536"/>
    <mergeCell ref="D3537:H3537"/>
    <mergeCell ref="D3538:H3538"/>
    <mergeCell ref="D3539:H3539"/>
    <mergeCell ref="D3540:H3540"/>
    <mergeCell ref="D3541:H3541"/>
    <mergeCell ref="D3565:H3565"/>
    <mergeCell ref="D3566:E3566"/>
    <mergeCell ref="G3566:H3566"/>
    <mergeCell ref="D3505:H3505"/>
    <mergeCell ref="D3506:E3506"/>
    <mergeCell ref="G3506:H3506"/>
    <mergeCell ref="D3507:H3507"/>
    <mergeCell ref="D3508:H3508"/>
    <mergeCell ref="D3509:H3509"/>
    <mergeCell ref="D3510:H3510"/>
    <mergeCell ref="D3511:H3511"/>
    <mergeCell ref="D3535:H3535"/>
    <mergeCell ref="D3451:H3451"/>
    <mergeCell ref="D3475:H3475"/>
    <mergeCell ref="D3476:E3476"/>
    <mergeCell ref="G3476:H3476"/>
    <mergeCell ref="D3477:H3477"/>
    <mergeCell ref="D3478:H3478"/>
    <mergeCell ref="D3479:H3479"/>
    <mergeCell ref="D3480:H3480"/>
    <mergeCell ref="D3481:H3481"/>
    <mergeCell ref="D3420:H3420"/>
    <mergeCell ref="D3421:H3421"/>
    <mergeCell ref="D3445:H3445"/>
    <mergeCell ref="D3446:E3446"/>
    <mergeCell ref="G3446:H3446"/>
    <mergeCell ref="D3447:H3447"/>
    <mergeCell ref="D3448:H3448"/>
    <mergeCell ref="D3449:H3449"/>
    <mergeCell ref="D3450:H3450"/>
    <mergeCell ref="D3389:H3389"/>
    <mergeCell ref="D3390:H3390"/>
    <mergeCell ref="D3391:H3391"/>
    <mergeCell ref="D3415:H3415"/>
    <mergeCell ref="D3416:E3416"/>
    <mergeCell ref="G3416:H3416"/>
    <mergeCell ref="D3417:H3417"/>
    <mergeCell ref="D3418:H3418"/>
    <mergeCell ref="D3419:H3419"/>
    <mergeCell ref="D3358:H3358"/>
    <mergeCell ref="D3359:H3359"/>
    <mergeCell ref="D3360:H3360"/>
    <mergeCell ref="D3361:H3361"/>
    <mergeCell ref="D3385:H3385"/>
    <mergeCell ref="D3386:E3386"/>
    <mergeCell ref="G3386:H3386"/>
    <mergeCell ref="D3387:H3387"/>
    <mergeCell ref="D3388:H3388"/>
    <mergeCell ref="D3327:H3327"/>
    <mergeCell ref="D3328:H3328"/>
    <mergeCell ref="D3329:H3329"/>
    <mergeCell ref="D3330:H3330"/>
    <mergeCell ref="D3331:H3331"/>
    <mergeCell ref="D3355:H3355"/>
    <mergeCell ref="D3356:E3356"/>
    <mergeCell ref="G3356:H3356"/>
    <mergeCell ref="D3357:H3357"/>
    <mergeCell ref="D3296:E3296"/>
    <mergeCell ref="G3296:H3296"/>
    <mergeCell ref="D3297:H3297"/>
    <mergeCell ref="D3298:H3298"/>
    <mergeCell ref="D3299:H3299"/>
    <mergeCell ref="D3300:H3300"/>
    <mergeCell ref="D3301:H3301"/>
    <mergeCell ref="D3325:H3325"/>
    <mergeCell ref="D3326:E3326"/>
    <mergeCell ref="G3326:H3326"/>
    <mergeCell ref="D3265:H3265"/>
    <mergeCell ref="D3266:E3266"/>
    <mergeCell ref="G3266:H3266"/>
    <mergeCell ref="D3267:H3267"/>
    <mergeCell ref="D3268:H3268"/>
    <mergeCell ref="D3269:H3269"/>
    <mergeCell ref="D3270:H3270"/>
    <mergeCell ref="D3271:H3271"/>
    <mergeCell ref="D3295:H3295"/>
    <mergeCell ref="D3211:H3211"/>
    <mergeCell ref="D3235:H3235"/>
    <mergeCell ref="D3236:E3236"/>
    <mergeCell ref="G3236:H3236"/>
    <mergeCell ref="D3237:H3237"/>
    <mergeCell ref="D3238:H3238"/>
    <mergeCell ref="D3239:H3239"/>
    <mergeCell ref="D3240:H3240"/>
    <mergeCell ref="D3241:H3241"/>
    <mergeCell ref="D3180:H3180"/>
    <mergeCell ref="D3181:H3181"/>
    <mergeCell ref="D3205:H3205"/>
    <mergeCell ref="D3206:E3206"/>
    <mergeCell ref="G3206:H3206"/>
    <mergeCell ref="D3207:H3207"/>
    <mergeCell ref="D3208:H3208"/>
    <mergeCell ref="D3209:H3209"/>
    <mergeCell ref="D3210:H3210"/>
    <mergeCell ref="D3149:H3149"/>
    <mergeCell ref="D3150:H3150"/>
    <mergeCell ref="D3151:H3151"/>
    <mergeCell ref="D3175:H3175"/>
    <mergeCell ref="D3176:E3176"/>
    <mergeCell ref="G3176:H3176"/>
    <mergeCell ref="D3177:H3177"/>
    <mergeCell ref="D3178:H3178"/>
    <mergeCell ref="D3179:H3179"/>
    <mergeCell ref="D3118:H3118"/>
    <mergeCell ref="D3119:H3119"/>
    <mergeCell ref="D3120:H3120"/>
    <mergeCell ref="D3121:H3121"/>
    <mergeCell ref="D3145:H3145"/>
    <mergeCell ref="D3146:E3146"/>
    <mergeCell ref="G3146:H3146"/>
    <mergeCell ref="D3147:H3147"/>
    <mergeCell ref="D3148:H3148"/>
    <mergeCell ref="D3087:H3087"/>
    <mergeCell ref="D3088:H3088"/>
    <mergeCell ref="D3089:H3089"/>
    <mergeCell ref="D3090:H3090"/>
    <mergeCell ref="D3091:H3091"/>
    <mergeCell ref="D3115:H3115"/>
    <mergeCell ref="D3116:E3116"/>
    <mergeCell ref="G3116:H3116"/>
    <mergeCell ref="D3117:H3117"/>
    <mergeCell ref="D3056:E3056"/>
    <mergeCell ref="G3056:H3056"/>
    <mergeCell ref="D3057:H3057"/>
    <mergeCell ref="D3058:H3058"/>
    <mergeCell ref="D3059:H3059"/>
    <mergeCell ref="D3060:H3060"/>
    <mergeCell ref="D3061:H3061"/>
    <mergeCell ref="D3085:H3085"/>
    <mergeCell ref="D3086:E3086"/>
    <mergeCell ref="G3086:H3086"/>
    <mergeCell ref="D3025:H3025"/>
    <mergeCell ref="D3026:E3026"/>
    <mergeCell ref="G3026:H3026"/>
    <mergeCell ref="D3027:H3027"/>
    <mergeCell ref="D3028:H3028"/>
    <mergeCell ref="D3029:H3029"/>
    <mergeCell ref="D3030:H3030"/>
    <mergeCell ref="D3031:H3031"/>
    <mergeCell ref="D3055:H3055"/>
    <mergeCell ref="D2971:H2971"/>
    <mergeCell ref="D2995:H2995"/>
    <mergeCell ref="D2996:E2996"/>
    <mergeCell ref="G2996:H2996"/>
    <mergeCell ref="D2997:H2997"/>
    <mergeCell ref="D2998:H2998"/>
    <mergeCell ref="D2999:H2999"/>
    <mergeCell ref="D3000:H3000"/>
    <mergeCell ref="D3001:H3001"/>
    <mergeCell ref="D2940:H2940"/>
    <mergeCell ref="D2941:H2941"/>
    <mergeCell ref="D2965:H2965"/>
    <mergeCell ref="D2966:E2966"/>
    <mergeCell ref="G2966:H2966"/>
    <mergeCell ref="D2967:H2967"/>
    <mergeCell ref="D2968:H2968"/>
    <mergeCell ref="D2969:H2969"/>
    <mergeCell ref="D2970:H2970"/>
    <mergeCell ref="D2909:H2909"/>
    <mergeCell ref="D2910:H2910"/>
    <mergeCell ref="D2911:H2911"/>
    <mergeCell ref="D2935:H2935"/>
    <mergeCell ref="D2936:E2936"/>
    <mergeCell ref="G2936:H2936"/>
    <mergeCell ref="D2937:H2937"/>
    <mergeCell ref="D2938:H2938"/>
    <mergeCell ref="D2939:H2939"/>
    <mergeCell ref="D2878:H2878"/>
    <mergeCell ref="D2879:H2879"/>
    <mergeCell ref="D2880:H2880"/>
    <mergeCell ref="D2881:H2881"/>
    <mergeCell ref="D2905:H2905"/>
    <mergeCell ref="D2906:E2906"/>
    <mergeCell ref="G2906:H2906"/>
    <mergeCell ref="D2907:H2907"/>
    <mergeCell ref="D2908:H2908"/>
    <mergeCell ref="D2847:H2847"/>
    <mergeCell ref="D2848:H2848"/>
    <mergeCell ref="D2849:H2849"/>
    <mergeCell ref="D2850:H2850"/>
    <mergeCell ref="D2851:H2851"/>
    <mergeCell ref="D2875:H2875"/>
    <mergeCell ref="D2876:E2876"/>
    <mergeCell ref="G2876:H2876"/>
    <mergeCell ref="D2877:H2877"/>
    <mergeCell ref="D2816:E2816"/>
    <mergeCell ref="G2816:H2816"/>
    <mergeCell ref="D2817:H2817"/>
    <mergeCell ref="D2818:H2818"/>
    <mergeCell ref="D2819:H2819"/>
    <mergeCell ref="D2820:H2820"/>
    <mergeCell ref="D2821:H2821"/>
    <mergeCell ref="D2845:H2845"/>
    <mergeCell ref="D2846:E2846"/>
    <mergeCell ref="G2846:H2846"/>
    <mergeCell ref="D2785:H2785"/>
    <mergeCell ref="D2786:E2786"/>
    <mergeCell ref="G2786:H2786"/>
    <mergeCell ref="D2787:H2787"/>
    <mergeCell ref="D2788:H2788"/>
    <mergeCell ref="D2789:H2789"/>
    <mergeCell ref="D2790:H2790"/>
    <mergeCell ref="D2791:H2791"/>
    <mergeCell ref="D2815:H2815"/>
    <mergeCell ref="D2731:H2731"/>
    <mergeCell ref="D2755:H2755"/>
    <mergeCell ref="D2756:E2756"/>
    <mergeCell ref="G2756:H2756"/>
    <mergeCell ref="D2757:H2757"/>
    <mergeCell ref="D2758:H2758"/>
    <mergeCell ref="D2759:H2759"/>
    <mergeCell ref="D2760:H2760"/>
    <mergeCell ref="D2761:H2761"/>
    <mergeCell ref="D2700:H2700"/>
    <mergeCell ref="D2701:H2701"/>
    <mergeCell ref="D2725:H2725"/>
    <mergeCell ref="D2726:E2726"/>
    <mergeCell ref="G2726:H2726"/>
    <mergeCell ref="D2727:H2727"/>
    <mergeCell ref="D2728:H2728"/>
    <mergeCell ref="D2729:H2729"/>
    <mergeCell ref="D2730:H2730"/>
    <mergeCell ref="D2669:H2669"/>
    <mergeCell ref="D2670:H2670"/>
    <mergeCell ref="D2671:H2671"/>
    <mergeCell ref="D2695:H2695"/>
    <mergeCell ref="D2696:E2696"/>
    <mergeCell ref="G2696:H2696"/>
    <mergeCell ref="D2697:H2697"/>
    <mergeCell ref="D2698:H2698"/>
    <mergeCell ref="D2699:H2699"/>
    <mergeCell ref="D2638:H2638"/>
    <mergeCell ref="D2639:H2639"/>
    <mergeCell ref="D2640:H2640"/>
    <mergeCell ref="D2641:H2641"/>
    <mergeCell ref="D2665:H2665"/>
    <mergeCell ref="D2666:E2666"/>
    <mergeCell ref="G2666:H2666"/>
    <mergeCell ref="D2667:H2667"/>
    <mergeCell ref="D2668:H2668"/>
    <mergeCell ref="D2607:H2607"/>
    <mergeCell ref="D2608:H2608"/>
    <mergeCell ref="D2609:H2609"/>
    <mergeCell ref="D2610:H2610"/>
    <mergeCell ref="D2611:H2611"/>
    <mergeCell ref="D2635:H2635"/>
    <mergeCell ref="D2636:E2636"/>
    <mergeCell ref="G2636:H2636"/>
    <mergeCell ref="D2637:H2637"/>
    <mergeCell ref="D2576:E2576"/>
    <mergeCell ref="G2576:H2576"/>
    <mergeCell ref="D2577:H2577"/>
    <mergeCell ref="D2578:H2578"/>
    <mergeCell ref="D2579:H2579"/>
    <mergeCell ref="D2580:H2580"/>
    <mergeCell ref="D2581:H2581"/>
    <mergeCell ref="D2605:H2605"/>
    <mergeCell ref="D2606:E2606"/>
    <mergeCell ref="G2606:H2606"/>
    <mergeCell ref="D2545:H2545"/>
    <mergeCell ref="D2546:E2546"/>
    <mergeCell ref="G2546:H2546"/>
    <mergeCell ref="D2547:H2547"/>
    <mergeCell ref="D2548:H2548"/>
    <mergeCell ref="D2549:H2549"/>
    <mergeCell ref="D2550:H2550"/>
    <mergeCell ref="D2551:H2551"/>
    <mergeCell ref="D2575:H2575"/>
    <mergeCell ref="D2491:H2491"/>
    <mergeCell ref="D2515:H2515"/>
    <mergeCell ref="D2516:E2516"/>
    <mergeCell ref="G2516:H2516"/>
    <mergeCell ref="D2517:H2517"/>
    <mergeCell ref="D2518:H2518"/>
    <mergeCell ref="D2519:H2519"/>
    <mergeCell ref="D2520:H2520"/>
    <mergeCell ref="D2521:H2521"/>
    <mergeCell ref="D2460:H2460"/>
    <mergeCell ref="D2461:H2461"/>
    <mergeCell ref="D2485:H2485"/>
    <mergeCell ref="D2486:E2486"/>
    <mergeCell ref="G2486:H2486"/>
    <mergeCell ref="D2487:H2487"/>
    <mergeCell ref="D2488:H2488"/>
    <mergeCell ref="D2489:H2489"/>
    <mergeCell ref="D2490:H2490"/>
    <mergeCell ref="D2429:H2429"/>
    <mergeCell ref="D2430:H2430"/>
    <mergeCell ref="D2431:H2431"/>
    <mergeCell ref="D2455:H2455"/>
    <mergeCell ref="D2456:E2456"/>
    <mergeCell ref="G2456:H2456"/>
    <mergeCell ref="D2457:H2457"/>
    <mergeCell ref="D2458:H2458"/>
    <mergeCell ref="D2459:H2459"/>
    <mergeCell ref="D2398:H2398"/>
    <mergeCell ref="D2399:H2399"/>
    <mergeCell ref="D2400:H2400"/>
    <mergeCell ref="D2401:H2401"/>
    <mergeCell ref="D2425:H2425"/>
    <mergeCell ref="D2426:E2426"/>
    <mergeCell ref="G2426:H2426"/>
    <mergeCell ref="D2427:H2427"/>
    <mergeCell ref="D2428:H2428"/>
    <mergeCell ref="D2367:H2367"/>
    <mergeCell ref="D2368:H2368"/>
    <mergeCell ref="D2369:H2369"/>
    <mergeCell ref="D2370:H2370"/>
    <mergeCell ref="D2371:H2371"/>
    <mergeCell ref="D2395:H2395"/>
    <mergeCell ref="D2396:E2396"/>
    <mergeCell ref="G2396:H2396"/>
    <mergeCell ref="D2397:H2397"/>
    <mergeCell ref="D2336:E2336"/>
    <mergeCell ref="G2336:H2336"/>
    <mergeCell ref="D2337:H2337"/>
    <mergeCell ref="D2338:H2338"/>
    <mergeCell ref="D2339:H2339"/>
    <mergeCell ref="D2340:H2340"/>
    <mergeCell ref="D2341:H2341"/>
    <mergeCell ref="D2365:H2365"/>
    <mergeCell ref="D2366:E2366"/>
    <mergeCell ref="G2366:H2366"/>
    <mergeCell ref="D2305:H2305"/>
    <mergeCell ref="D2306:E2306"/>
    <mergeCell ref="G2306:H2306"/>
    <mergeCell ref="D2307:H2307"/>
    <mergeCell ref="D2308:H2308"/>
    <mergeCell ref="D2309:H2309"/>
    <mergeCell ref="D2310:H2310"/>
    <mergeCell ref="D2311:H2311"/>
    <mergeCell ref="D2335:H2335"/>
    <mergeCell ref="D2251:H2251"/>
    <mergeCell ref="D2275:H2275"/>
    <mergeCell ref="D2276:E2276"/>
    <mergeCell ref="G2276:H2276"/>
    <mergeCell ref="D2277:H2277"/>
    <mergeCell ref="D2278:H2278"/>
    <mergeCell ref="D2279:H2279"/>
    <mergeCell ref="D2280:H2280"/>
    <mergeCell ref="D2281:H2281"/>
    <mergeCell ref="D2220:H2220"/>
    <mergeCell ref="D2221:H2221"/>
    <mergeCell ref="D2245:H2245"/>
    <mergeCell ref="D2246:E2246"/>
    <mergeCell ref="G2246:H2246"/>
    <mergeCell ref="D2247:H2247"/>
    <mergeCell ref="D2248:H2248"/>
    <mergeCell ref="D2249:H2249"/>
    <mergeCell ref="D2250:H2250"/>
    <mergeCell ref="D2189:H2189"/>
    <mergeCell ref="D2190:H2190"/>
    <mergeCell ref="D2191:H2191"/>
    <mergeCell ref="D2215:H2215"/>
    <mergeCell ref="D2216:E2216"/>
    <mergeCell ref="G2216:H2216"/>
    <mergeCell ref="D2217:H2217"/>
    <mergeCell ref="D2218:H2218"/>
    <mergeCell ref="D2219:H2219"/>
    <mergeCell ref="D2158:H2158"/>
    <mergeCell ref="D2159:H2159"/>
    <mergeCell ref="D2160:H2160"/>
    <mergeCell ref="D2161:H2161"/>
    <mergeCell ref="D2185:H2185"/>
    <mergeCell ref="D2186:E2186"/>
    <mergeCell ref="G2186:H2186"/>
    <mergeCell ref="D2187:H2187"/>
    <mergeCell ref="D2188:H2188"/>
    <mergeCell ref="D2127:H2127"/>
    <mergeCell ref="D2128:H2128"/>
    <mergeCell ref="D2129:H2129"/>
    <mergeCell ref="D2130:H2130"/>
    <mergeCell ref="D2131:H2131"/>
    <mergeCell ref="D2155:H2155"/>
    <mergeCell ref="D2156:E2156"/>
    <mergeCell ref="G2156:H2156"/>
    <mergeCell ref="D2157:H2157"/>
    <mergeCell ref="D2096:E2096"/>
    <mergeCell ref="G2096:H2096"/>
    <mergeCell ref="D2097:H2097"/>
    <mergeCell ref="D2098:H2098"/>
    <mergeCell ref="D2099:H2099"/>
    <mergeCell ref="D2100:H2100"/>
    <mergeCell ref="D2101:H2101"/>
    <mergeCell ref="D2125:H2125"/>
    <mergeCell ref="D2126:E2126"/>
    <mergeCell ref="G2126:H2126"/>
    <mergeCell ref="D2065:H2065"/>
    <mergeCell ref="D2066:E2066"/>
    <mergeCell ref="G2066:H2066"/>
    <mergeCell ref="D2067:H2067"/>
    <mergeCell ref="D2068:H2068"/>
    <mergeCell ref="D2069:H2069"/>
    <mergeCell ref="D2070:H2070"/>
    <mergeCell ref="D2071:H2071"/>
    <mergeCell ref="D2095:H2095"/>
    <mergeCell ref="D2011:H2011"/>
    <mergeCell ref="D2035:H2035"/>
    <mergeCell ref="D2036:E2036"/>
    <mergeCell ref="G2036:H2036"/>
    <mergeCell ref="D2037:H2037"/>
    <mergeCell ref="D2038:H2038"/>
    <mergeCell ref="D2039:H2039"/>
    <mergeCell ref="D2040:H2040"/>
    <mergeCell ref="D2041:H2041"/>
    <mergeCell ref="D1980:H1980"/>
    <mergeCell ref="D1981:H1981"/>
    <mergeCell ref="D2005:H2005"/>
    <mergeCell ref="D2006:E2006"/>
    <mergeCell ref="G2006:H2006"/>
    <mergeCell ref="D2007:H2007"/>
    <mergeCell ref="D2008:H2008"/>
    <mergeCell ref="D2009:H2009"/>
    <mergeCell ref="D2010:H2010"/>
    <mergeCell ref="D1949:H1949"/>
    <mergeCell ref="D1950:H1950"/>
    <mergeCell ref="D1951:H1951"/>
    <mergeCell ref="D1975:H1975"/>
    <mergeCell ref="D1976:E1976"/>
    <mergeCell ref="G1976:H1976"/>
    <mergeCell ref="D1977:H1977"/>
    <mergeCell ref="D1978:H1978"/>
    <mergeCell ref="D1979:H1979"/>
    <mergeCell ref="D1918:H1918"/>
    <mergeCell ref="D1919:H1919"/>
    <mergeCell ref="D1920:H1920"/>
    <mergeCell ref="D1921:H1921"/>
    <mergeCell ref="D1945:H1945"/>
    <mergeCell ref="D1946:E1946"/>
    <mergeCell ref="G1946:H1946"/>
    <mergeCell ref="D1947:H1947"/>
    <mergeCell ref="D1948:H1948"/>
    <mergeCell ref="D1887:H1887"/>
    <mergeCell ref="D1888:H1888"/>
    <mergeCell ref="D1889:H1889"/>
    <mergeCell ref="D1890:H1890"/>
    <mergeCell ref="D1891:H1891"/>
    <mergeCell ref="D1915:H1915"/>
    <mergeCell ref="D1916:E1916"/>
    <mergeCell ref="G1916:H1916"/>
    <mergeCell ref="D1917:H1917"/>
    <mergeCell ref="D1856:E1856"/>
    <mergeCell ref="G1856:H1856"/>
    <mergeCell ref="D1857:H1857"/>
    <mergeCell ref="D1858:H1858"/>
    <mergeCell ref="D1859:H1859"/>
    <mergeCell ref="D1860:H1860"/>
    <mergeCell ref="D1861:H1861"/>
    <mergeCell ref="D1885:H1885"/>
    <mergeCell ref="D1886:E1886"/>
    <mergeCell ref="G1886:H1886"/>
    <mergeCell ref="D1825:H1825"/>
    <mergeCell ref="D1826:E1826"/>
    <mergeCell ref="G1826:H1826"/>
    <mergeCell ref="D1827:H1827"/>
    <mergeCell ref="D1828:H1828"/>
    <mergeCell ref="D1829:H1829"/>
    <mergeCell ref="D1830:H1830"/>
    <mergeCell ref="D1831:H1831"/>
    <mergeCell ref="D1855:H1855"/>
    <mergeCell ref="D7225:H7225"/>
    <mergeCell ref="D7226:E7226"/>
    <mergeCell ref="G7226:H7226"/>
    <mergeCell ref="D7227:H7227"/>
    <mergeCell ref="D7228:H7228"/>
    <mergeCell ref="D7229:H7229"/>
    <mergeCell ref="D7230:H7230"/>
    <mergeCell ref="D7231:H7231"/>
    <mergeCell ref="D7171:H7171"/>
    <mergeCell ref="D7195:H7195"/>
    <mergeCell ref="D7196:E7196"/>
    <mergeCell ref="G7196:H7196"/>
    <mergeCell ref="D7197:H7197"/>
    <mergeCell ref="D7198:H7198"/>
    <mergeCell ref="D7199:H7199"/>
    <mergeCell ref="D7200:H7200"/>
    <mergeCell ref="D7201:H7201"/>
    <mergeCell ref="D7140:H7140"/>
    <mergeCell ref="D7141:H7141"/>
    <mergeCell ref="D7165:H7165"/>
    <mergeCell ref="D7166:E7166"/>
    <mergeCell ref="G7166:H7166"/>
    <mergeCell ref="D7167:H7167"/>
    <mergeCell ref="D7168:H7168"/>
    <mergeCell ref="D7169:H7169"/>
    <mergeCell ref="D7170:H7170"/>
    <mergeCell ref="D7109:H7109"/>
    <mergeCell ref="D7110:H7110"/>
    <mergeCell ref="D7111:H7111"/>
    <mergeCell ref="D7135:H7135"/>
    <mergeCell ref="D7136:E7136"/>
    <mergeCell ref="G7136:H7136"/>
    <mergeCell ref="D7137:H7137"/>
    <mergeCell ref="D7138:H7138"/>
    <mergeCell ref="D7139:H7139"/>
    <mergeCell ref="D7078:H7078"/>
    <mergeCell ref="D7079:H7079"/>
    <mergeCell ref="D7080:H7080"/>
    <mergeCell ref="D7081:H7081"/>
    <mergeCell ref="D7105:H7105"/>
    <mergeCell ref="D7106:E7106"/>
    <mergeCell ref="G7106:H7106"/>
    <mergeCell ref="D7107:H7107"/>
    <mergeCell ref="D7108:H7108"/>
    <mergeCell ref="D7017:H7017"/>
    <mergeCell ref="D7018:H7018"/>
    <mergeCell ref="D7019:H7019"/>
    <mergeCell ref="D7020:H7020"/>
    <mergeCell ref="D7021:H7021"/>
    <mergeCell ref="D7075:H7075"/>
    <mergeCell ref="D7076:E7076"/>
    <mergeCell ref="G7076:H7076"/>
    <mergeCell ref="D7077:H7077"/>
    <mergeCell ref="D6986:E6986"/>
    <mergeCell ref="G6986:H6986"/>
    <mergeCell ref="D6987:H6987"/>
    <mergeCell ref="D6988:H6988"/>
    <mergeCell ref="D6989:H6989"/>
    <mergeCell ref="D6990:H6990"/>
    <mergeCell ref="D6991:H6991"/>
    <mergeCell ref="D7015:H7015"/>
    <mergeCell ref="D7016:E7016"/>
    <mergeCell ref="G7016:H7016"/>
    <mergeCell ref="D7045:H7045"/>
    <mergeCell ref="D7046:E7046"/>
    <mergeCell ref="G7046:H7046"/>
    <mergeCell ref="D7047:H7047"/>
    <mergeCell ref="D7048:H7048"/>
    <mergeCell ref="D7049:H7049"/>
    <mergeCell ref="D7050:H7050"/>
    <mergeCell ref="D7051:H7051"/>
    <mergeCell ref="D6955:H6955"/>
    <mergeCell ref="D6956:E6956"/>
    <mergeCell ref="G6956:H6956"/>
    <mergeCell ref="D6957:H6957"/>
    <mergeCell ref="D6958:H6958"/>
    <mergeCell ref="D6959:H6959"/>
    <mergeCell ref="D6960:H6960"/>
    <mergeCell ref="D6961:H6961"/>
    <mergeCell ref="D6985:H6985"/>
    <mergeCell ref="D6901:H6901"/>
    <mergeCell ref="D6925:H6925"/>
    <mergeCell ref="D6926:E6926"/>
    <mergeCell ref="G6926:H6926"/>
    <mergeCell ref="D6927:H6927"/>
    <mergeCell ref="D6928:H6928"/>
    <mergeCell ref="D6929:H6929"/>
    <mergeCell ref="D6930:H6930"/>
    <mergeCell ref="D6931:H6931"/>
    <mergeCell ref="D6870:H6870"/>
    <mergeCell ref="D6871:H6871"/>
    <mergeCell ref="D6895:H6895"/>
    <mergeCell ref="D6896:E6896"/>
    <mergeCell ref="G6896:H6896"/>
    <mergeCell ref="D6897:H6897"/>
    <mergeCell ref="D6898:H6898"/>
    <mergeCell ref="D6899:H6899"/>
    <mergeCell ref="D6900:H6900"/>
    <mergeCell ref="D6839:H6839"/>
    <mergeCell ref="D6840:H6840"/>
    <mergeCell ref="D6841:H6841"/>
    <mergeCell ref="D6865:H6865"/>
    <mergeCell ref="D6866:E6866"/>
    <mergeCell ref="G6866:H6866"/>
    <mergeCell ref="D6867:H6867"/>
    <mergeCell ref="D6868:H6868"/>
    <mergeCell ref="D6869:H6869"/>
    <mergeCell ref="D6808:H6808"/>
    <mergeCell ref="D6809:H6809"/>
    <mergeCell ref="D6810:H6810"/>
    <mergeCell ref="D6811:H6811"/>
    <mergeCell ref="D6835:H6835"/>
    <mergeCell ref="D6836:E6836"/>
    <mergeCell ref="G6836:H6836"/>
    <mergeCell ref="D6837:H6837"/>
    <mergeCell ref="D6838:H6838"/>
    <mergeCell ref="D6777:H6777"/>
    <mergeCell ref="D6778:H6778"/>
    <mergeCell ref="D6779:H6779"/>
    <mergeCell ref="D6780:H6780"/>
    <mergeCell ref="D6781:H6781"/>
    <mergeCell ref="D6805:H6805"/>
    <mergeCell ref="D6806:E6806"/>
    <mergeCell ref="G6806:H6806"/>
    <mergeCell ref="D6807:H6807"/>
    <mergeCell ref="D6746:E6746"/>
    <mergeCell ref="G6746:H6746"/>
    <mergeCell ref="D6747:H6747"/>
    <mergeCell ref="D6748:H6748"/>
    <mergeCell ref="D6749:H6749"/>
    <mergeCell ref="D6750:H6750"/>
    <mergeCell ref="D6751:H6751"/>
    <mergeCell ref="D6775:H6775"/>
    <mergeCell ref="D6776:E6776"/>
    <mergeCell ref="G6776:H6776"/>
    <mergeCell ref="D6715:H6715"/>
    <mergeCell ref="D6716:E6716"/>
    <mergeCell ref="G6716:H6716"/>
    <mergeCell ref="D6717:H6717"/>
    <mergeCell ref="D6718:H6718"/>
    <mergeCell ref="D6719:H6719"/>
    <mergeCell ref="D6720:H6720"/>
    <mergeCell ref="D6721:H6721"/>
    <mergeCell ref="D6745:H6745"/>
    <mergeCell ref="D6661:H6661"/>
    <mergeCell ref="D6685:H6685"/>
    <mergeCell ref="D6686:E6686"/>
    <mergeCell ref="G6686:H6686"/>
    <mergeCell ref="D6687:H6687"/>
    <mergeCell ref="D6688:H6688"/>
    <mergeCell ref="D6689:H6689"/>
    <mergeCell ref="D6690:H6690"/>
    <mergeCell ref="D6691:H6691"/>
    <mergeCell ref="D6630:H6630"/>
    <mergeCell ref="D6631:H6631"/>
    <mergeCell ref="D6655:H6655"/>
    <mergeCell ref="D6656:E6656"/>
    <mergeCell ref="G6656:H6656"/>
    <mergeCell ref="D6657:H6657"/>
    <mergeCell ref="D6658:H6658"/>
    <mergeCell ref="D6659:H6659"/>
    <mergeCell ref="D6660:H6660"/>
    <mergeCell ref="D6625:H6625"/>
    <mergeCell ref="D6626:E6626"/>
    <mergeCell ref="G6626:H6626"/>
    <mergeCell ref="D6627:H6627"/>
    <mergeCell ref="D6628:H6628"/>
    <mergeCell ref="D6629:H6629"/>
    <mergeCell ref="D6538:H6538"/>
    <mergeCell ref="D6539:H6539"/>
    <mergeCell ref="D6540:H6540"/>
    <mergeCell ref="D6541:H6541"/>
    <mergeCell ref="D6565:H6565"/>
    <mergeCell ref="D6566:E6566"/>
    <mergeCell ref="G6566:H6566"/>
    <mergeCell ref="D6567:H6567"/>
    <mergeCell ref="D6568:H6568"/>
    <mergeCell ref="D6597:H6597"/>
    <mergeCell ref="D6598:H6598"/>
    <mergeCell ref="D6599:H6599"/>
    <mergeCell ref="D6600:H6600"/>
    <mergeCell ref="D6601:H6601"/>
    <mergeCell ref="D6477:H6477"/>
    <mergeCell ref="D6478:H6478"/>
    <mergeCell ref="D6479:H6479"/>
    <mergeCell ref="D6480:H6480"/>
    <mergeCell ref="D6481:H6481"/>
    <mergeCell ref="D6505:H6505"/>
    <mergeCell ref="D6506:E6506"/>
    <mergeCell ref="G6506:H6506"/>
    <mergeCell ref="D6445:H6445"/>
    <mergeCell ref="D6446:E6446"/>
    <mergeCell ref="G6446:H6446"/>
    <mergeCell ref="D6447:H6447"/>
    <mergeCell ref="D6448:H6448"/>
    <mergeCell ref="D6449:H6449"/>
    <mergeCell ref="D6450:H6450"/>
    <mergeCell ref="D6451:H6451"/>
    <mergeCell ref="D6475:H6475"/>
    <mergeCell ref="D6391:H6391"/>
    <mergeCell ref="D6415:H6415"/>
    <mergeCell ref="D6416:E6416"/>
    <mergeCell ref="G6416:H6416"/>
    <mergeCell ref="D6417:H6417"/>
    <mergeCell ref="D6418:H6418"/>
    <mergeCell ref="D6419:H6419"/>
    <mergeCell ref="D6420:H6420"/>
    <mergeCell ref="D6421:H6421"/>
    <mergeCell ref="D6360:H6360"/>
    <mergeCell ref="D6361:H6361"/>
    <mergeCell ref="D6385:H6385"/>
    <mergeCell ref="D6386:E6386"/>
    <mergeCell ref="G6386:H6386"/>
    <mergeCell ref="D6387:H6387"/>
    <mergeCell ref="D6388:H6388"/>
    <mergeCell ref="D6389:H6389"/>
    <mergeCell ref="D6390:H6390"/>
    <mergeCell ref="D6329:H6329"/>
    <mergeCell ref="D6330:H6330"/>
    <mergeCell ref="D6331:H6331"/>
    <mergeCell ref="D6355:H6355"/>
    <mergeCell ref="D6356:E6356"/>
    <mergeCell ref="G6356:H6356"/>
    <mergeCell ref="D6357:H6357"/>
    <mergeCell ref="D6358:H6358"/>
    <mergeCell ref="D6359:H6359"/>
    <mergeCell ref="D6298:H6298"/>
    <mergeCell ref="D6299:H6299"/>
    <mergeCell ref="D6300:H6300"/>
    <mergeCell ref="D6301:H6301"/>
    <mergeCell ref="D6325:H6325"/>
    <mergeCell ref="D6326:E6326"/>
    <mergeCell ref="G6326:H6326"/>
    <mergeCell ref="D6327:H6327"/>
    <mergeCell ref="D6328:H6328"/>
    <mergeCell ref="D6267:H6267"/>
    <mergeCell ref="D6268:H6268"/>
    <mergeCell ref="D6269:H6269"/>
    <mergeCell ref="D6270:H6270"/>
    <mergeCell ref="D6271:H6271"/>
    <mergeCell ref="D6295:H6295"/>
    <mergeCell ref="D6296:E6296"/>
    <mergeCell ref="G6296:H6296"/>
    <mergeCell ref="D6297:H6297"/>
    <mergeCell ref="D6236:E6236"/>
    <mergeCell ref="G6236:H6236"/>
    <mergeCell ref="D6237:H6237"/>
    <mergeCell ref="D6238:H6238"/>
    <mergeCell ref="D6239:H6239"/>
    <mergeCell ref="D6240:H6240"/>
    <mergeCell ref="D6241:H6241"/>
    <mergeCell ref="D6265:H6265"/>
    <mergeCell ref="D6266:E6266"/>
    <mergeCell ref="G6266:H6266"/>
    <mergeCell ref="D6205:H6205"/>
    <mergeCell ref="D6206:E6206"/>
    <mergeCell ref="G6206:H6206"/>
    <mergeCell ref="D6207:H6207"/>
    <mergeCell ref="D6208:H6208"/>
    <mergeCell ref="D6209:H6209"/>
    <mergeCell ref="D6210:H6210"/>
    <mergeCell ref="D6211:H6211"/>
    <mergeCell ref="D6235:H6235"/>
    <mergeCell ref="D1799:H1799"/>
    <mergeCell ref="D1679:H1679"/>
    <mergeCell ref="D1680:H1680"/>
    <mergeCell ref="D1681:H1681"/>
    <mergeCell ref="D1705:H1705"/>
    <mergeCell ref="D1706:E1706"/>
    <mergeCell ref="G1706:H1706"/>
    <mergeCell ref="D1707:H1707"/>
    <mergeCell ref="D1708:H1708"/>
    <mergeCell ref="D1709:H1709"/>
    <mergeCell ref="D1710:H1710"/>
    <mergeCell ref="D1711:H1711"/>
    <mergeCell ref="D1735:H1735"/>
    <mergeCell ref="D1736:E1736"/>
    <mergeCell ref="G1736:H1736"/>
    <mergeCell ref="D1737:H1737"/>
    <mergeCell ref="D1738:H1738"/>
    <mergeCell ref="D1739:H1739"/>
    <mergeCell ref="D1740:H1740"/>
    <mergeCell ref="D1741:H1741"/>
    <mergeCell ref="D1765:H1765"/>
    <mergeCell ref="D1766:E1766"/>
    <mergeCell ref="G1796:H1796"/>
    <mergeCell ref="G1766:H1766"/>
    <mergeCell ref="D1767:H1767"/>
    <mergeCell ref="D1768:H1768"/>
    <mergeCell ref="D1769:H1769"/>
    <mergeCell ref="D1770:H1770"/>
    <mergeCell ref="D1771:H1771"/>
    <mergeCell ref="D1797:H1797"/>
    <mergeCell ref="D1798:H1798"/>
    <mergeCell ref="D1558:H1558"/>
    <mergeCell ref="D1496:E1496"/>
    <mergeCell ref="D1557:H1557"/>
    <mergeCell ref="G686:H686"/>
    <mergeCell ref="D687:H687"/>
    <mergeCell ref="D688:H688"/>
    <mergeCell ref="D689:H689"/>
    <mergeCell ref="D690:H690"/>
    <mergeCell ref="D691:H691"/>
    <mergeCell ref="D1467:H1467"/>
    <mergeCell ref="D1468:H1468"/>
    <mergeCell ref="D1469:H1469"/>
    <mergeCell ref="D1321:H1321"/>
    <mergeCell ref="D1345:H1345"/>
    <mergeCell ref="D1346:E1346"/>
    <mergeCell ref="G1346:H1346"/>
    <mergeCell ref="D1347:H1347"/>
    <mergeCell ref="D1348:H1348"/>
    <mergeCell ref="D1406:E1406"/>
    <mergeCell ref="G1406:H1406"/>
    <mergeCell ref="D1407:H1407"/>
    <mergeCell ref="D1408:H1408"/>
    <mergeCell ref="D1377:H1377"/>
    <mergeCell ref="D1378:H1378"/>
    <mergeCell ref="D1379:H1379"/>
    <mergeCell ref="D1380:H1380"/>
    <mergeCell ref="D1381:H1381"/>
    <mergeCell ref="D1470:H1470"/>
    <mergeCell ref="D1409:H1409"/>
    <mergeCell ref="D1410:H1410"/>
    <mergeCell ref="D1499:H1499"/>
    <mergeCell ref="D1500:H1500"/>
    <mergeCell ref="D1501:H1501"/>
    <mergeCell ref="D1555:H1555"/>
    <mergeCell ref="D1556:E1556"/>
    <mergeCell ref="G1556:H1556"/>
    <mergeCell ref="D1471:H1471"/>
    <mergeCell ref="D1495:H1495"/>
    <mergeCell ref="D1439:H1439"/>
    <mergeCell ref="D1440:H1440"/>
    <mergeCell ref="D1441:H1441"/>
    <mergeCell ref="D1465:H1465"/>
    <mergeCell ref="D1466:E1466"/>
    <mergeCell ref="G1466:H1466"/>
    <mergeCell ref="D1411:H1411"/>
    <mergeCell ref="D1435:H1435"/>
    <mergeCell ref="D1436:E1436"/>
    <mergeCell ref="G1436:H1436"/>
    <mergeCell ref="D1437:H1437"/>
    <mergeCell ref="D1438:H1438"/>
    <mergeCell ref="D1525:H1525"/>
    <mergeCell ref="D1526:E1526"/>
    <mergeCell ref="G1526:H1526"/>
    <mergeCell ref="D1527:H1527"/>
    <mergeCell ref="D1528:H1528"/>
    <mergeCell ref="D1529:H1529"/>
    <mergeCell ref="D597:H597"/>
    <mergeCell ref="D598:H598"/>
    <mergeCell ref="D599:H599"/>
    <mergeCell ref="D1587:H1587"/>
    <mergeCell ref="D1588:H1588"/>
    <mergeCell ref="D1589:H1589"/>
    <mergeCell ref="D1590:H1590"/>
    <mergeCell ref="D1591:H1591"/>
    <mergeCell ref="D1559:H1559"/>
    <mergeCell ref="D1560:H1560"/>
    <mergeCell ref="D1561:H1561"/>
    <mergeCell ref="D1585:H1585"/>
    <mergeCell ref="D1586:E1586"/>
    <mergeCell ref="G1586:H1586"/>
    <mergeCell ref="D600:H600"/>
    <mergeCell ref="D601:H601"/>
    <mergeCell ref="D625:H625"/>
    <mergeCell ref="D626:E626"/>
    <mergeCell ref="G626:H626"/>
    <mergeCell ref="D627:H627"/>
    <mergeCell ref="D628:H628"/>
    <mergeCell ref="D629:H629"/>
    <mergeCell ref="D630:H630"/>
    <mergeCell ref="D631:H631"/>
    <mergeCell ref="D1498:H1498"/>
    <mergeCell ref="D1226:E1226"/>
    <mergeCell ref="G1226:H1226"/>
    <mergeCell ref="D1227:H1227"/>
    <mergeCell ref="D1228:H1228"/>
    <mergeCell ref="D1229:H1229"/>
    <mergeCell ref="D1230:H1230"/>
    <mergeCell ref="D1231:H1231"/>
    <mergeCell ref="G566:H566"/>
    <mergeCell ref="D567:H567"/>
    <mergeCell ref="D568:H568"/>
    <mergeCell ref="D569:H569"/>
    <mergeCell ref="D570:H570"/>
    <mergeCell ref="D571:H571"/>
    <mergeCell ref="D595:H595"/>
    <mergeCell ref="D596:E596"/>
    <mergeCell ref="G596:H596"/>
    <mergeCell ref="D511:H511"/>
    <mergeCell ref="D535:H535"/>
    <mergeCell ref="D536:E536"/>
    <mergeCell ref="G536:H536"/>
    <mergeCell ref="D537:H537"/>
    <mergeCell ref="D538:H538"/>
    <mergeCell ref="G1496:H1496"/>
    <mergeCell ref="D1497:H1497"/>
    <mergeCell ref="D655:H655"/>
    <mergeCell ref="D656:E656"/>
    <mergeCell ref="G656:H656"/>
    <mergeCell ref="D657:H657"/>
    <mergeCell ref="D658:H658"/>
    <mergeCell ref="D659:H659"/>
    <mergeCell ref="D660:H660"/>
    <mergeCell ref="D661:H661"/>
    <mergeCell ref="D685:H685"/>
    <mergeCell ref="D686:E686"/>
    <mergeCell ref="D539:H539"/>
    <mergeCell ref="D540:H540"/>
    <mergeCell ref="D541:H541"/>
    <mergeCell ref="D565:H565"/>
    <mergeCell ref="D566:E566"/>
    <mergeCell ref="D480:H480"/>
    <mergeCell ref="D481:H481"/>
    <mergeCell ref="D505:H505"/>
    <mergeCell ref="D506:E506"/>
    <mergeCell ref="G506:H506"/>
    <mergeCell ref="D507:H507"/>
    <mergeCell ref="D508:H508"/>
    <mergeCell ref="D509:H509"/>
    <mergeCell ref="D510:H510"/>
    <mergeCell ref="D449:H449"/>
    <mergeCell ref="D450:H450"/>
    <mergeCell ref="D451:H451"/>
    <mergeCell ref="D475:H475"/>
    <mergeCell ref="D476:E476"/>
    <mergeCell ref="G476:H476"/>
    <mergeCell ref="D477:H477"/>
    <mergeCell ref="D478:H478"/>
    <mergeCell ref="D479:H479"/>
    <mergeCell ref="D388:H388"/>
    <mergeCell ref="D389:H389"/>
    <mergeCell ref="D390:H390"/>
    <mergeCell ref="D391:H391"/>
    <mergeCell ref="D445:H445"/>
    <mergeCell ref="D446:E446"/>
    <mergeCell ref="G446:H446"/>
    <mergeCell ref="D447:H447"/>
    <mergeCell ref="D448:H448"/>
    <mergeCell ref="D357:H357"/>
    <mergeCell ref="D358:H358"/>
    <mergeCell ref="D359:H359"/>
    <mergeCell ref="D360:H360"/>
    <mergeCell ref="D361:H361"/>
    <mergeCell ref="D385:H385"/>
    <mergeCell ref="D386:E386"/>
    <mergeCell ref="G386:H386"/>
    <mergeCell ref="D387:H387"/>
    <mergeCell ref="D326:E326"/>
    <mergeCell ref="G326:H326"/>
    <mergeCell ref="D327:H327"/>
    <mergeCell ref="D328:H328"/>
    <mergeCell ref="D329:H329"/>
    <mergeCell ref="D330:H330"/>
    <mergeCell ref="D331:H331"/>
    <mergeCell ref="D355:H355"/>
    <mergeCell ref="D356:E356"/>
    <mergeCell ref="G356:H356"/>
    <mergeCell ref="D295:H295"/>
    <mergeCell ref="D296:E296"/>
    <mergeCell ref="G296:H296"/>
    <mergeCell ref="D297:H297"/>
    <mergeCell ref="D298:H298"/>
    <mergeCell ref="D299:H299"/>
    <mergeCell ref="D300:H300"/>
    <mergeCell ref="D301:H301"/>
    <mergeCell ref="D325:H325"/>
    <mergeCell ref="D241:H241"/>
    <mergeCell ref="D265:H265"/>
    <mergeCell ref="D266:E266"/>
    <mergeCell ref="G266:H266"/>
    <mergeCell ref="D267:H267"/>
    <mergeCell ref="D268:H268"/>
    <mergeCell ref="D269:H269"/>
    <mergeCell ref="D270:H270"/>
    <mergeCell ref="D271:H271"/>
    <mergeCell ref="D210:H210"/>
    <mergeCell ref="D211:H211"/>
    <mergeCell ref="D235:H235"/>
    <mergeCell ref="D236:E236"/>
    <mergeCell ref="G236:H236"/>
    <mergeCell ref="D237:H237"/>
    <mergeCell ref="D238:H238"/>
    <mergeCell ref="D239:H239"/>
    <mergeCell ref="D240:H240"/>
    <mergeCell ref="D180:H180"/>
    <mergeCell ref="D181:H181"/>
    <mergeCell ref="D205:H205"/>
    <mergeCell ref="D206:E206"/>
    <mergeCell ref="G206:H206"/>
    <mergeCell ref="D207:H207"/>
    <mergeCell ref="D208:H208"/>
    <mergeCell ref="D209:H209"/>
    <mergeCell ref="D148:H148"/>
    <mergeCell ref="D149:H149"/>
    <mergeCell ref="D150:H150"/>
    <mergeCell ref="D151:H151"/>
    <mergeCell ref="D175:H175"/>
    <mergeCell ref="D176:E176"/>
    <mergeCell ref="G176:H176"/>
    <mergeCell ref="D177:H177"/>
    <mergeCell ref="D178:H178"/>
    <mergeCell ref="D56:E56"/>
    <mergeCell ref="G56:H56"/>
    <mergeCell ref="D57:H57"/>
    <mergeCell ref="D58:H58"/>
    <mergeCell ref="D59:H59"/>
    <mergeCell ref="D60:H60"/>
    <mergeCell ref="D61:H61"/>
    <mergeCell ref="D85:H85"/>
    <mergeCell ref="D86:E86"/>
    <mergeCell ref="G86:H86"/>
    <mergeCell ref="D87:H87"/>
    <mergeCell ref="D88:H88"/>
    <mergeCell ref="D89:H89"/>
    <mergeCell ref="D90:H90"/>
    <mergeCell ref="D179:H179"/>
    <mergeCell ref="G146:H146"/>
    <mergeCell ref="D147:H147"/>
    <mergeCell ref="H7275:J7275"/>
    <mergeCell ref="H7269:J7269"/>
    <mergeCell ref="H7270:J7270"/>
    <mergeCell ref="H7271:J7271"/>
    <mergeCell ref="H7272:J7272"/>
    <mergeCell ref="H7273:J7273"/>
    <mergeCell ref="H7274:J7274"/>
    <mergeCell ref="H7264:J7264"/>
    <mergeCell ref="H7265:J7265"/>
    <mergeCell ref="H7266:J7266"/>
    <mergeCell ref="H7267:J7267"/>
    <mergeCell ref="H7268:J7268"/>
    <mergeCell ref="D1801:H1801"/>
    <mergeCell ref="D1619:H1619"/>
    <mergeCell ref="D1620:H1620"/>
    <mergeCell ref="D1615:H1615"/>
    <mergeCell ref="D1650:H1650"/>
    <mergeCell ref="D1651:H1651"/>
    <mergeCell ref="D1675:H1675"/>
    <mergeCell ref="D1676:E1676"/>
    <mergeCell ref="G1676:H1676"/>
    <mergeCell ref="D1677:H1677"/>
    <mergeCell ref="D1678:H1678"/>
    <mergeCell ref="D1616:E1616"/>
    <mergeCell ref="G1616:H1616"/>
    <mergeCell ref="D1617:H1617"/>
    <mergeCell ref="D1618:H1618"/>
    <mergeCell ref="D1621:H1621"/>
    <mergeCell ref="D1645:H1645"/>
    <mergeCell ref="D1646:E1646"/>
    <mergeCell ref="G1646:H1646"/>
    <mergeCell ref="D1647:H1647"/>
    <mergeCell ref="D1648:H1648"/>
    <mergeCell ref="D1649:H1649"/>
    <mergeCell ref="D1795:H1795"/>
    <mergeCell ref="D1796:E1796"/>
    <mergeCell ref="G1256:H1256"/>
    <mergeCell ref="D1257:H1257"/>
    <mergeCell ref="D1258:H1258"/>
    <mergeCell ref="D1405:H1405"/>
    <mergeCell ref="D1349:H1349"/>
    <mergeCell ref="D1350:H1350"/>
    <mergeCell ref="D1351:H1351"/>
    <mergeCell ref="D1375:H1375"/>
    <mergeCell ref="D1376:E1376"/>
    <mergeCell ref="G1376:H1376"/>
    <mergeCell ref="D1318:H1318"/>
    <mergeCell ref="D1319:H1319"/>
    <mergeCell ref="D1320:H1320"/>
    <mergeCell ref="D1316:E1316"/>
    <mergeCell ref="G1316:H1316"/>
    <mergeCell ref="D1317:H1317"/>
    <mergeCell ref="D1259:H1259"/>
    <mergeCell ref="D1260:H1260"/>
    <mergeCell ref="D1261:H1261"/>
    <mergeCell ref="D1285:H1285"/>
    <mergeCell ref="D1286:E1286"/>
    <mergeCell ref="G1286:H1286"/>
    <mergeCell ref="D1287:H1287"/>
    <mergeCell ref="D1288:H1288"/>
    <mergeCell ref="D1289:H1289"/>
    <mergeCell ref="D1290:H1290"/>
    <mergeCell ref="D1291:H1291"/>
    <mergeCell ref="D1315:H1315"/>
    <mergeCell ref="D1255:H1255"/>
    <mergeCell ref="D1256:E1256"/>
    <mergeCell ref="D1197:H1197"/>
    <mergeCell ref="D1198:H1198"/>
    <mergeCell ref="D1199:H1199"/>
    <mergeCell ref="D1200:H1200"/>
    <mergeCell ref="D1201:H1201"/>
    <mergeCell ref="D1225:H1225"/>
    <mergeCell ref="D1136:E1136"/>
    <mergeCell ref="G1136:H1136"/>
    <mergeCell ref="D1137:H1137"/>
    <mergeCell ref="D1138:H1138"/>
    <mergeCell ref="D1139:H1139"/>
    <mergeCell ref="D1140:H1140"/>
    <mergeCell ref="D1195:H1195"/>
    <mergeCell ref="D1196:E1196"/>
    <mergeCell ref="G1196:H1196"/>
    <mergeCell ref="D1165:H1165"/>
    <mergeCell ref="D1166:E1166"/>
    <mergeCell ref="G1166:H1166"/>
    <mergeCell ref="D1167:H1167"/>
    <mergeCell ref="D1168:H1168"/>
    <mergeCell ref="D1169:H1169"/>
    <mergeCell ref="D1170:H1170"/>
    <mergeCell ref="D1171:H1171"/>
    <mergeCell ref="D1051:H1051"/>
    <mergeCell ref="D1075:H1075"/>
    <mergeCell ref="D1076:E1076"/>
    <mergeCell ref="G1076:H1076"/>
    <mergeCell ref="D1077:H1077"/>
    <mergeCell ref="D1078:H1078"/>
    <mergeCell ref="D1107:H1107"/>
    <mergeCell ref="D1108:H1108"/>
    <mergeCell ref="D1109:H1109"/>
    <mergeCell ref="D1110:H1110"/>
    <mergeCell ref="D1111:H1111"/>
    <mergeCell ref="D1135:H1135"/>
    <mergeCell ref="D1141:H1141"/>
    <mergeCell ref="D1079:H1079"/>
    <mergeCell ref="D1080:H1080"/>
    <mergeCell ref="D1081:H1081"/>
    <mergeCell ref="D1105:H1105"/>
    <mergeCell ref="D1106:E1106"/>
    <mergeCell ref="G1106:H1106"/>
    <mergeCell ref="D989:H989"/>
    <mergeCell ref="D990:H990"/>
    <mergeCell ref="D991:H991"/>
    <mergeCell ref="D1015:H1015"/>
    <mergeCell ref="D1016:E1016"/>
    <mergeCell ref="G1016:H1016"/>
    <mergeCell ref="D1046:E1046"/>
    <mergeCell ref="G1046:H1046"/>
    <mergeCell ref="D1047:H1047"/>
    <mergeCell ref="D1048:H1048"/>
    <mergeCell ref="D1049:H1049"/>
    <mergeCell ref="D1050:H1050"/>
    <mergeCell ref="D1017:H1017"/>
    <mergeCell ref="D1018:H1018"/>
    <mergeCell ref="D1019:H1019"/>
    <mergeCell ref="D1020:H1020"/>
    <mergeCell ref="D1021:H1021"/>
    <mergeCell ref="D1045:H1045"/>
    <mergeCell ref="D987:H987"/>
    <mergeCell ref="D988:H988"/>
    <mergeCell ref="D956:E956"/>
    <mergeCell ref="G956:H956"/>
    <mergeCell ref="D957:H957"/>
    <mergeCell ref="D958:H958"/>
    <mergeCell ref="D959:H959"/>
    <mergeCell ref="D960:H960"/>
    <mergeCell ref="D927:H927"/>
    <mergeCell ref="D928:H928"/>
    <mergeCell ref="D929:H929"/>
    <mergeCell ref="D930:H930"/>
    <mergeCell ref="D931:H931"/>
    <mergeCell ref="D955:H955"/>
    <mergeCell ref="D866:E866"/>
    <mergeCell ref="G866:H866"/>
    <mergeCell ref="D867:H867"/>
    <mergeCell ref="D868:H868"/>
    <mergeCell ref="D869:H869"/>
    <mergeCell ref="D870:H870"/>
    <mergeCell ref="D961:H961"/>
    <mergeCell ref="D985:H985"/>
    <mergeCell ref="D986:E986"/>
    <mergeCell ref="G986:H986"/>
    <mergeCell ref="D899:H899"/>
    <mergeCell ref="D900:H900"/>
    <mergeCell ref="D901:H901"/>
    <mergeCell ref="D925:H925"/>
    <mergeCell ref="D926:E926"/>
    <mergeCell ref="G926:H926"/>
    <mergeCell ref="D871:H871"/>
    <mergeCell ref="D895:H895"/>
    <mergeCell ref="G26:H26"/>
    <mergeCell ref="D27:H27"/>
    <mergeCell ref="D28:H28"/>
    <mergeCell ref="D896:E896"/>
    <mergeCell ref="G896:H896"/>
    <mergeCell ref="D897:H897"/>
    <mergeCell ref="D898:H898"/>
    <mergeCell ref="D811:H811"/>
    <mergeCell ref="D835:H835"/>
    <mergeCell ref="D836:E836"/>
    <mergeCell ref="G836:H836"/>
    <mergeCell ref="D781:H781"/>
    <mergeCell ref="D805:H805"/>
    <mergeCell ref="D806:E806"/>
    <mergeCell ref="G806:H806"/>
    <mergeCell ref="D807:H807"/>
    <mergeCell ref="D808:H808"/>
    <mergeCell ref="D719:H719"/>
    <mergeCell ref="D720:H720"/>
    <mergeCell ref="D721:H721"/>
    <mergeCell ref="D745:H745"/>
    <mergeCell ref="D746:E746"/>
    <mergeCell ref="G746:H746"/>
    <mergeCell ref="D750:H750"/>
    <mergeCell ref="D751:H751"/>
    <mergeCell ref="D775:H775"/>
    <mergeCell ref="D29:H29"/>
    <mergeCell ref="D30:H30"/>
    <mergeCell ref="G116:H116"/>
    <mergeCell ref="D776:E776"/>
    <mergeCell ref="D31:H31"/>
    <mergeCell ref="D55:H55"/>
    <mergeCell ref="G776:H776"/>
    <mergeCell ref="D777:H777"/>
    <mergeCell ref="D778:H778"/>
    <mergeCell ref="D779:H779"/>
    <mergeCell ref="D780:H780"/>
    <mergeCell ref="D747:H747"/>
    <mergeCell ref="D748:H748"/>
    <mergeCell ref="D749:H749"/>
    <mergeCell ref="A20:A22"/>
    <mergeCell ref="B20:B22"/>
    <mergeCell ref="C20:C22"/>
    <mergeCell ref="D20:AB20"/>
    <mergeCell ref="D21:H22"/>
    <mergeCell ref="I21:K21"/>
    <mergeCell ref="L21:M21"/>
    <mergeCell ref="N21:O21"/>
    <mergeCell ref="P21:T21"/>
    <mergeCell ref="U21:V21"/>
    <mergeCell ref="D715:H715"/>
    <mergeCell ref="D716:E716"/>
    <mergeCell ref="G716:H716"/>
    <mergeCell ref="D717:H717"/>
    <mergeCell ref="D718:H718"/>
    <mergeCell ref="D117:H117"/>
    <mergeCell ref="D118:H118"/>
    <mergeCell ref="D119:H119"/>
    <mergeCell ref="D120:H120"/>
    <mergeCell ref="D121:H121"/>
    <mergeCell ref="D145:H145"/>
    <mergeCell ref="D146:E146"/>
    <mergeCell ref="D25:H25"/>
    <mergeCell ref="D26:E26"/>
    <mergeCell ref="D1530:H1530"/>
    <mergeCell ref="D1531:H1531"/>
    <mergeCell ref="D415:H415"/>
    <mergeCell ref="D416:E416"/>
    <mergeCell ref="G416:H416"/>
    <mergeCell ref="D417:H417"/>
    <mergeCell ref="D418:H418"/>
    <mergeCell ref="D419:H419"/>
    <mergeCell ref="D420:H420"/>
    <mergeCell ref="D421:H421"/>
    <mergeCell ref="D1800:H1800"/>
    <mergeCell ref="W21:X21"/>
    <mergeCell ref="Y21:Z22"/>
    <mergeCell ref="AA21:AB21"/>
    <mergeCell ref="W22:X22"/>
    <mergeCell ref="AA22:AB22"/>
    <mergeCell ref="I22:K22"/>
    <mergeCell ref="L22:M22"/>
    <mergeCell ref="N22:O22"/>
    <mergeCell ref="P22:T22"/>
    <mergeCell ref="U22:V22"/>
    <mergeCell ref="D837:H837"/>
    <mergeCell ref="D838:H838"/>
    <mergeCell ref="D839:H839"/>
    <mergeCell ref="D840:H840"/>
    <mergeCell ref="D841:H841"/>
    <mergeCell ref="D865:H865"/>
    <mergeCell ref="D809:H809"/>
    <mergeCell ref="D810:H810"/>
    <mergeCell ref="D91:H91"/>
    <mergeCell ref="D115:H115"/>
    <mergeCell ref="D116:E116"/>
  </mergeCells>
  <pageMargins left="0.7" right="0.7" top="0.75" bottom="0.75" header="0.3" footer="0.3"/>
  <pageSetup scale="2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BZ75"/>
  <sheetViews>
    <sheetView showGridLines="0" showZeros="0" zoomScale="85" zoomScaleNormal="85" workbookViewId="0">
      <pane xSplit="5" ySplit="13" topLeftCell="F14" activePane="bottomRight" state="frozen"/>
      <selection activeCell="J33" sqref="J33"/>
      <selection pane="topRight" activeCell="J33" sqref="J33"/>
      <selection pane="bottomLeft" activeCell="J33" sqref="J33"/>
      <selection pane="bottomRight" activeCell="S21" sqref="S21"/>
    </sheetView>
  </sheetViews>
  <sheetFormatPr defaultColWidth="9.140625" defaultRowHeight="12.75"/>
  <cols>
    <col min="1" max="1" width="9.140625" style="21"/>
    <col min="2" max="2" width="9.42578125" style="37" customWidth="1"/>
    <col min="3" max="4" width="7.5703125" style="21" bestFit="1" customWidth="1"/>
    <col min="5" max="6" width="7.5703125" style="21" customWidth="1"/>
    <col min="7" max="7" width="8.5703125" style="21" customWidth="1"/>
    <col min="8" max="8" width="6.7109375" style="21" bestFit="1" customWidth="1"/>
    <col min="9" max="9" width="5.7109375" style="21" customWidth="1"/>
    <col min="10" max="10" width="6.7109375" style="21" bestFit="1" customWidth="1"/>
    <col min="11" max="12" width="5.7109375" style="21" customWidth="1"/>
    <col min="13" max="13" width="7.7109375" style="21" customWidth="1"/>
    <col min="14" max="14" width="7.85546875" style="21" bestFit="1" customWidth="1"/>
    <col min="15" max="15" width="6.85546875" style="21" bestFit="1" customWidth="1"/>
    <col min="16" max="16" width="6.7109375" style="21" customWidth="1"/>
    <col min="17" max="17" width="7.7109375" style="21" bestFit="1" customWidth="1"/>
    <col min="18" max="18" width="8.42578125" style="21" customWidth="1"/>
    <col min="19" max="19" width="8.28515625" style="21" customWidth="1"/>
    <col min="20" max="20" width="5" style="21" customWidth="1"/>
    <col min="21" max="21" width="5.85546875" style="21" bestFit="1" customWidth="1"/>
    <col min="22" max="22" width="7.85546875" style="21" bestFit="1" customWidth="1"/>
    <col min="23" max="23" width="5" style="21" customWidth="1"/>
    <col min="24" max="25" width="7.28515625" style="21" customWidth="1"/>
    <col min="26" max="26" width="8.140625" style="21" bestFit="1" customWidth="1"/>
    <col min="27" max="27" width="7.85546875" style="21" bestFit="1" customWidth="1"/>
    <col min="28" max="28" width="4.7109375" style="21" customWidth="1"/>
    <col min="29" max="29" width="8.5703125" style="21" bestFit="1" customWidth="1"/>
    <col min="30" max="30" width="5.7109375" style="21" customWidth="1"/>
    <col min="31" max="31" width="8.7109375" style="21" bestFit="1" customWidth="1"/>
    <col min="32" max="32" width="7.85546875" style="21" bestFit="1" customWidth="1"/>
    <col min="33" max="33" width="5" style="21" customWidth="1"/>
    <col min="34" max="34" width="6.7109375" style="21" bestFit="1" customWidth="1"/>
    <col min="35" max="35" width="5.7109375" style="21" customWidth="1"/>
    <col min="36" max="36" width="8.42578125" style="21" bestFit="1" customWidth="1"/>
    <col min="37" max="37" width="7.85546875" style="21" bestFit="1" customWidth="1"/>
    <col min="38" max="38" width="4.85546875" style="21" bestFit="1" customWidth="1"/>
    <col min="39" max="39" width="6.7109375" style="21" bestFit="1" customWidth="1"/>
    <col min="40" max="40" width="5.7109375" style="21" customWidth="1"/>
    <col min="41" max="41" width="8.42578125" style="21" bestFit="1" customWidth="1"/>
    <col min="42" max="42" width="7.85546875" style="21" bestFit="1" customWidth="1"/>
    <col min="43" max="43" width="5" style="21" customWidth="1"/>
    <col min="44" max="44" width="5.85546875" style="21" bestFit="1" customWidth="1"/>
    <col min="45" max="45" width="8.5703125" style="21" bestFit="1" customWidth="1"/>
    <col min="46" max="46" width="7.85546875" style="21" bestFit="1" customWidth="1"/>
    <col min="47" max="47" width="5" style="21" customWidth="1"/>
    <col min="48" max="48" width="5.85546875" style="21" bestFit="1" customWidth="1"/>
    <col min="49" max="49" width="8.5703125" style="21" bestFit="1" customWidth="1"/>
    <col min="50" max="50" width="7.85546875" style="21" bestFit="1" customWidth="1"/>
    <col min="51" max="53" width="8.7109375" style="21" customWidth="1"/>
    <col min="54" max="16384" width="9.140625" style="21"/>
  </cols>
  <sheetData>
    <row r="1" spans="1:78" s="4" customFormat="1" ht="22.5">
      <c r="B1" s="1" t="s">
        <v>0</v>
      </c>
      <c r="C1" s="2"/>
      <c r="D1" s="2"/>
      <c r="E1" s="2"/>
      <c r="F1" s="2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  <c r="AZ1" s="3"/>
      <c r="BA1" s="3"/>
    </row>
    <row r="2" spans="1:78" s="4" customFormat="1" ht="36.75" customHeight="1">
      <c r="B2" s="5" t="s">
        <v>1</v>
      </c>
      <c r="C2" s="5"/>
      <c r="D2" s="6" t="s">
        <v>2312</v>
      </c>
      <c r="E2" s="6"/>
      <c r="F2" s="6"/>
      <c r="G2" s="7"/>
      <c r="H2" s="7"/>
      <c r="I2" s="2612"/>
      <c r="J2" s="2612"/>
      <c r="K2" s="261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613" t="s">
        <v>2</v>
      </c>
      <c r="X2" s="2613"/>
      <c r="Y2" s="2613"/>
      <c r="Z2" s="2613"/>
      <c r="AA2" s="2613"/>
      <c r="AB2" s="2613"/>
      <c r="AC2" s="2613"/>
      <c r="AD2" s="2613"/>
      <c r="AE2" s="2613"/>
      <c r="AF2" s="2613"/>
      <c r="AG2" s="2613"/>
      <c r="AH2" s="2613"/>
      <c r="AI2" s="2613"/>
      <c r="AJ2" s="2613"/>
      <c r="AK2" s="2613"/>
      <c r="AL2" s="2613"/>
      <c r="AM2" s="2613"/>
      <c r="AN2" s="2613"/>
      <c r="AO2" s="2613"/>
      <c r="AP2" s="2613"/>
      <c r="AQ2" s="8"/>
      <c r="AR2" s="7"/>
      <c r="AS2" s="7"/>
      <c r="AT2" s="7"/>
      <c r="AU2" s="7"/>
      <c r="AV2" s="7"/>
      <c r="AW2" s="7"/>
      <c r="AX2" s="7"/>
      <c r="AY2" s="3"/>
      <c r="AZ2" s="3"/>
      <c r="BA2" s="3"/>
    </row>
    <row r="3" spans="1:78" s="13" customFormat="1">
      <c r="B3" s="9" t="s">
        <v>3</v>
      </c>
      <c r="C3" s="10"/>
      <c r="D3" s="11" t="s">
        <v>714</v>
      </c>
      <c r="E3" s="12" t="s">
        <v>4</v>
      </c>
      <c r="F3" s="12"/>
      <c r="G3" s="12"/>
      <c r="H3" s="12"/>
      <c r="I3" s="12"/>
      <c r="S3" s="14" t="s">
        <v>5</v>
      </c>
      <c r="T3" s="15">
        <v>0</v>
      </c>
      <c r="U3" s="16"/>
      <c r="W3" s="17" t="s">
        <v>6</v>
      </c>
      <c r="X3" s="18">
        <v>300</v>
      </c>
      <c r="Y3" s="13" t="s">
        <v>4</v>
      </c>
      <c r="AE3" s="10"/>
      <c r="AF3" s="10"/>
    </row>
    <row r="4" spans="1:78" s="13" customFormat="1">
      <c r="B4" s="9" t="s">
        <v>7</v>
      </c>
      <c r="C4" s="10"/>
      <c r="D4" s="19"/>
      <c r="E4" s="12" t="s">
        <v>4</v>
      </c>
      <c r="F4" s="12"/>
      <c r="G4" s="12"/>
      <c r="H4" s="12"/>
      <c r="I4" s="12"/>
      <c r="J4" s="16"/>
      <c r="K4" s="14"/>
      <c r="L4" s="20"/>
      <c r="M4" s="21"/>
      <c r="N4" s="21"/>
      <c r="O4" s="21"/>
      <c r="P4" s="21"/>
      <c r="Q4" s="21"/>
      <c r="R4" s="21"/>
      <c r="S4" s="14" t="s">
        <v>8</v>
      </c>
      <c r="T4" s="22">
        <v>0</v>
      </c>
      <c r="U4" s="16"/>
      <c r="V4" s="23"/>
      <c r="W4" s="17" t="s">
        <v>9</v>
      </c>
      <c r="X4" s="18">
        <v>100</v>
      </c>
      <c r="Y4" s="23" t="s">
        <v>4</v>
      </c>
      <c r="AC4" s="23"/>
      <c r="AD4" s="23"/>
      <c r="AE4" s="10"/>
      <c r="AF4" s="10"/>
    </row>
    <row r="5" spans="1:78" s="13" customFormat="1">
      <c r="B5" s="24" t="s">
        <v>10</v>
      </c>
      <c r="C5" s="25"/>
      <c r="D5" s="26">
        <v>50</v>
      </c>
      <c r="E5" s="27" t="s">
        <v>4</v>
      </c>
      <c r="F5" s="12"/>
      <c r="G5" s="12"/>
      <c r="H5" s="12"/>
      <c r="I5" s="12"/>
      <c r="J5" s="16"/>
      <c r="K5" s="14" t="s">
        <v>11</v>
      </c>
      <c r="L5" s="28">
        <v>0</v>
      </c>
      <c r="M5" s="21" t="s">
        <v>12</v>
      </c>
      <c r="N5" s="21"/>
      <c r="O5" s="21"/>
      <c r="P5" s="21"/>
      <c r="Q5" s="21"/>
      <c r="R5" s="21"/>
      <c r="S5" s="14" t="s">
        <v>13</v>
      </c>
      <c r="T5" s="15">
        <v>0</v>
      </c>
      <c r="U5" s="16"/>
      <c r="V5" s="29"/>
      <c r="W5" s="17" t="s">
        <v>14</v>
      </c>
      <c r="X5" s="18">
        <v>30</v>
      </c>
      <c r="Y5" s="23" t="s">
        <v>4</v>
      </c>
      <c r="AC5" s="23"/>
      <c r="AD5" s="23"/>
      <c r="AE5" s="23"/>
      <c r="AF5" s="23"/>
    </row>
    <row r="6" spans="1:78" s="13" customFormat="1">
      <c r="B6" s="9"/>
      <c r="C6" s="10"/>
      <c r="D6" s="30"/>
      <c r="E6" s="30"/>
      <c r="F6" s="30"/>
      <c r="G6" s="12"/>
      <c r="H6" s="12"/>
      <c r="I6" s="12"/>
      <c r="J6" s="16"/>
      <c r="K6" s="14"/>
      <c r="L6" s="31"/>
      <c r="M6" s="16"/>
      <c r="N6" s="16"/>
      <c r="O6" s="16"/>
      <c r="P6" s="16"/>
      <c r="Q6" s="16"/>
      <c r="R6" s="16"/>
      <c r="S6" s="16"/>
      <c r="T6" s="14"/>
      <c r="U6" s="32"/>
      <c r="V6" s="29"/>
      <c r="W6" s="17" t="s">
        <v>15</v>
      </c>
      <c r="X6" s="18">
        <v>50</v>
      </c>
      <c r="Y6" s="23" t="s">
        <v>16</v>
      </c>
      <c r="Z6" s="13" t="s">
        <v>108</v>
      </c>
      <c r="AC6" s="23"/>
      <c r="AD6" s="23"/>
      <c r="AE6" s="23"/>
      <c r="AF6" s="23"/>
    </row>
    <row r="7" spans="1:78" s="13" customFormat="1" ht="15.75" customHeight="1">
      <c r="B7" s="33"/>
      <c r="C7" s="10"/>
      <c r="D7" s="34"/>
      <c r="E7" s="34"/>
      <c r="F7" s="34"/>
      <c r="G7" s="12"/>
      <c r="H7" s="12"/>
      <c r="I7" s="1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W7" s="17" t="s">
        <v>17</v>
      </c>
      <c r="X7" s="18"/>
      <c r="Y7" s="23" t="s">
        <v>16</v>
      </c>
      <c r="AC7" s="23"/>
      <c r="AD7" s="23"/>
      <c r="AE7" s="23"/>
      <c r="AF7" s="23"/>
    </row>
    <row r="8" spans="1:78" s="13" customFormat="1" ht="15.75" customHeight="1">
      <c r="B8" s="33"/>
      <c r="C8" s="10"/>
      <c r="D8" s="34"/>
      <c r="E8" s="34"/>
      <c r="F8" s="34"/>
      <c r="G8" s="12"/>
      <c r="H8" s="12"/>
      <c r="I8" s="12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W8" s="17"/>
      <c r="X8" s="35"/>
      <c r="Y8" s="35"/>
      <c r="Z8" s="36"/>
      <c r="AC8" s="36"/>
      <c r="AD8" s="36"/>
      <c r="AE8" s="36"/>
      <c r="AF8" s="36"/>
    </row>
    <row r="9" spans="1:78" s="37" customFormat="1" ht="19.5" customHeight="1">
      <c r="B9" s="2604" t="s">
        <v>18</v>
      </c>
      <c r="C9" s="2604" t="s">
        <v>19</v>
      </c>
      <c r="D9" s="2604" t="s">
        <v>20</v>
      </c>
      <c r="E9" s="2604" t="s">
        <v>21</v>
      </c>
      <c r="F9" s="2604" t="s">
        <v>22</v>
      </c>
      <c r="G9" s="2604" t="s">
        <v>23</v>
      </c>
      <c r="H9" s="2616" t="s">
        <v>24</v>
      </c>
      <c r="I9" s="2617"/>
      <c r="J9" s="2617"/>
      <c r="K9" s="2617"/>
      <c r="L9" s="2604" t="s">
        <v>25</v>
      </c>
      <c r="M9" s="2604" t="s">
        <v>26</v>
      </c>
      <c r="N9" s="2604" t="s">
        <v>27</v>
      </c>
      <c r="O9" s="2604" t="s">
        <v>28</v>
      </c>
      <c r="P9" s="2604" t="s">
        <v>29</v>
      </c>
      <c r="Q9" s="2604" t="s">
        <v>30</v>
      </c>
      <c r="R9" s="2604" t="s">
        <v>31</v>
      </c>
      <c r="S9" s="2604" t="s">
        <v>32</v>
      </c>
      <c r="T9" s="2606" t="s">
        <v>33</v>
      </c>
      <c r="U9" s="2607"/>
      <c r="V9" s="2608"/>
      <c r="W9" s="2600" t="s">
        <v>34</v>
      </c>
      <c r="X9" s="2601"/>
      <c r="Y9" s="2601"/>
      <c r="Z9" s="2601"/>
      <c r="AA9" s="2601"/>
      <c r="AB9" s="2601"/>
      <c r="AC9" s="2601"/>
      <c r="AD9" s="2601"/>
      <c r="AE9" s="2601"/>
      <c r="AF9" s="2602"/>
      <c r="AG9" s="2600" t="s">
        <v>35</v>
      </c>
      <c r="AH9" s="2601"/>
      <c r="AI9" s="2601"/>
      <c r="AJ9" s="2601"/>
      <c r="AK9" s="2601"/>
      <c r="AL9" s="2601"/>
      <c r="AM9" s="2601"/>
      <c r="AN9" s="2601"/>
      <c r="AO9" s="2601"/>
      <c r="AP9" s="2603"/>
      <c r="AQ9" s="2606" t="s">
        <v>36</v>
      </c>
      <c r="AR9" s="2607"/>
      <c r="AS9" s="2607"/>
      <c r="AT9" s="2608"/>
      <c r="AU9" s="2606" t="s">
        <v>37</v>
      </c>
      <c r="AV9" s="2607"/>
      <c r="AW9" s="2607"/>
      <c r="AX9" s="2608"/>
      <c r="AZ9" s="2595" t="s">
        <v>38</v>
      </c>
      <c r="BA9" s="2595"/>
      <c r="BB9" s="2595"/>
    </row>
    <row r="10" spans="1:78" s="39" customFormat="1" ht="13.5">
      <c r="B10" s="2605"/>
      <c r="C10" s="2615"/>
      <c r="D10" s="2615"/>
      <c r="E10" s="2605"/>
      <c r="F10" s="2605"/>
      <c r="G10" s="2605"/>
      <c r="H10" s="2597" t="s">
        <v>39</v>
      </c>
      <c r="I10" s="2598"/>
      <c r="J10" s="2598"/>
      <c r="K10" s="2599"/>
      <c r="L10" s="2605"/>
      <c r="M10" s="2605"/>
      <c r="N10" s="2605"/>
      <c r="O10" s="2605"/>
      <c r="P10" s="2605"/>
      <c r="Q10" s="2605"/>
      <c r="R10" s="2605"/>
      <c r="S10" s="2605"/>
      <c r="T10" s="2609"/>
      <c r="U10" s="2610"/>
      <c r="V10" s="2611"/>
      <c r="W10" s="2600" t="s">
        <v>40</v>
      </c>
      <c r="X10" s="2601"/>
      <c r="Y10" s="2601"/>
      <c r="Z10" s="2601"/>
      <c r="AA10" s="2602"/>
      <c r="AB10" s="2600" t="s">
        <v>41</v>
      </c>
      <c r="AC10" s="2601"/>
      <c r="AD10" s="2601"/>
      <c r="AE10" s="2601"/>
      <c r="AF10" s="2602"/>
      <c r="AG10" s="2600" t="s">
        <v>40</v>
      </c>
      <c r="AH10" s="2601"/>
      <c r="AI10" s="2601"/>
      <c r="AJ10" s="2601"/>
      <c r="AK10" s="2602"/>
      <c r="AL10" s="2600" t="s">
        <v>41</v>
      </c>
      <c r="AM10" s="2601"/>
      <c r="AN10" s="2601"/>
      <c r="AO10" s="2601"/>
      <c r="AP10" s="2603"/>
      <c r="AQ10" s="2609"/>
      <c r="AR10" s="2610"/>
      <c r="AS10" s="2610"/>
      <c r="AT10" s="2611"/>
      <c r="AU10" s="2609"/>
      <c r="AV10" s="2610"/>
      <c r="AW10" s="2610"/>
      <c r="AX10" s="2611"/>
      <c r="AY10" s="38"/>
      <c r="AZ10" s="2596"/>
      <c r="BA10" s="2596"/>
      <c r="BB10" s="2596"/>
    </row>
    <row r="11" spans="1:78" s="39" customFormat="1" ht="13.5">
      <c r="B11" s="2605"/>
      <c r="C11" s="2615"/>
      <c r="D11" s="2615"/>
      <c r="E11" s="2605"/>
      <c r="F11" s="2605"/>
      <c r="G11" s="2605"/>
      <c r="H11" s="40" t="s">
        <v>42</v>
      </c>
      <c r="I11" s="40" t="s">
        <v>43</v>
      </c>
      <c r="J11" s="41" t="s">
        <v>44</v>
      </c>
      <c r="K11" s="41" t="s">
        <v>43</v>
      </c>
      <c r="L11" s="2605"/>
      <c r="M11" s="2605"/>
      <c r="N11" s="2605"/>
      <c r="O11" s="2605"/>
      <c r="P11" s="2605"/>
      <c r="Q11" s="2605"/>
      <c r="R11" s="2605"/>
      <c r="S11" s="2605"/>
      <c r="T11" s="7" t="s">
        <v>45</v>
      </c>
      <c r="U11" s="42" t="s">
        <v>16</v>
      </c>
      <c r="V11" s="43" t="s">
        <v>46</v>
      </c>
      <c r="W11" s="44" t="s">
        <v>16</v>
      </c>
      <c r="X11" s="42" t="s">
        <v>47</v>
      </c>
      <c r="Y11" s="42" t="s">
        <v>48</v>
      </c>
      <c r="Z11" s="42" t="s">
        <v>44</v>
      </c>
      <c r="AA11" s="45" t="s">
        <v>46</v>
      </c>
      <c r="AB11" s="44" t="s">
        <v>16</v>
      </c>
      <c r="AC11" s="42" t="s">
        <v>47</v>
      </c>
      <c r="AD11" s="42" t="s">
        <v>48</v>
      </c>
      <c r="AE11" s="42" t="s">
        <v>44</v>
      </c>
      <c r="AF11" s="45" t="s">
        <v>46</v>
      </c>
      <c r="AG11" s="44" t="s">
        <v>16</v>
      </c>
      <c r="AH11" s="42" t="s">
        <v>47</v>
      </c>
      <c r="AI11" s="42" t="s">
        <v>48</v>
      </c>
      <c r="AJ11" s="42" t="s">
        <v>44</v>
      </c>
      <c r="AK11" s="45" t="s">
        <v>46</v>
      </c>
      <c r="AL11" s="44" t="s">
        <v>16</v>
      </c>
      <c r="AM11" s="42" t="s">
        <v>47</v>
      </c>
      <c r="AN11" s="42" t="s">
        <v>48</v>
      </c>
      <c r="AO11" s="42" t="s">
        <v>44</v>
      </c>
      <c r="AP11" s="42" t="s">
        <v>46</v>
      </c>
      <c r="AQ11" s="7" t="s">
        <v>45</v>
      </c>
      <c r="AR11" s="42" t="s">
        <v>16</v>
      </c>
      <c r="AS11" s="45" t="s">
        <v>44</v>
      </c>
      <c r="AT11" s="42" t="s">
        <v>46</v>
      </c>
      <c r="AU11" s="44" t="s">
        <v>16</v>
      </c>
      <c r="AV11" s="42" t="s">
        <v>47</v>
      </c>
      <c r="AW11" s="42" t="s">
        <v>44</v>
      </c>
      <c r="AX11" s="42" t="s">
        <v>46</v>
      </c>
      <c r="AY11" s="38"/>
      <c r="AZ11" s="42" t="s">
        <v>2313</v>
      </c>
      <c r="BA11" s="42"/>
      <c r="BB11" s="42"/>
      <c r="BC11" s="42"/>
    </row>
    <row r="12" spans="1:78" s="39" customFormat="1" ht="13.5">
      <c r="B12" s="2614"/>
      <c r="C12" s="46" t="s">
        <v>4</v>
      </c>
      <c r="D12" s="46" t="s">
        <v>4</v>
      </c>
      <c r="E12" s="46" t="s">
        <v>4</v>
      </c>
      <c r="F12" s="46" t="s">
        <v>4</v>
      </c>
      <c r="G12" s="46" t="s">
        <v>4</v>
      </c>
      <c r="H12" s="47" t="s">
        <v>4</v>
      </c>
      <c r="I12" s="47" t="s">
        <v>4</v>
      </c>
      <c r="J12" s="48" t="s">
        <v>4</v>
      </c>
      <c r="K12" s="48" t="s">
        <v>4</v>
      </c>
      <c r="L12" s="46" t="s">
        <v>4</v>
      </c>
      <c r="M12" s="46" t="s">
        <v>4</v>
      </c>
      <c r="N12" s="46" t="s">
        <v>49</v>
      </c>
      <c r="O12" s="46" t="s">
        <v>50</v>
      </c>
      <c r="P12" s="46" t="s">
        <v>49</v>
      </c>
      <c r="Q12" s="46" t="s">
        <v>51</v>
      </c>
      <c r="R12" s="46" t="s">
        <v>49</v>
      </c>
      <c r="S12" s="46" t="s">
        <v>52</v>
      </c>
      <c r="T12" s="49" t="s">
        <v>52</v>
      </c>
      <c r="U12" s="46" t="s">
        <v>4</v>
      </c>
      <c r="V12" s="50" t="s">
        <v>53</v>
      </c>
      <c r="W12" s="51" t="s">
        <v>4</v>
      </c>
      <c r="X12" s="46" t="s">
        <v>4</v>
      </c>
      <c r="Y12" s="46" t="s">
        <v>52</v>
      </c>
      <c r="Z12" s="46" t="s">
        <v>12</v>
      </c>
      <c r="AA12" s="50" t="s">
        <v>53</v>
      </c>
      <c r="AB12" s="51" t="s">
        <v>4</v>
      </c>
      <c r="AC12" s="46" t="s">
        <v>4</v>
      </c>
      <c r="AD12" s="46" t="s">
        <v>52</v>
      </c>
      <c r="AE12" s="46" t="s">
        <v>12</v>
      </c>
      <c r="AF12" s="50" t="s">
        <v>53</v>
      </c>
      <c r="AG12" s="51" t="s">
        <v>4</v>
      </c>
      <c r="AH12" s="46" t="s">
        <v>4</v>
      </c>
      <c r="AI12" s="46" t="s">
        <v>52</v>
      </c>
      <c r="AJ12" s="46" t="s">
        <v>12</v>
      </c>
      <c r="AK12" s="50" t="s">
        <v>53</v>
      </c>
      <c r="AL12" s="51" t="s">
        <v>4</v>
      </c>
      <c r="AM12" s="46" t="s">
        <v>4</v>
      </c>
      <c r="AN12" s="46" t="s">
        <v>52</v>
      </c>
      <c r="AO12" s="46" t="s">
        <v>12</v>
      </c>
      <c r="AP12" s="46" t="s">
        <v>53</v>
      </c>
      <c r="AQ12" s="49" t="s">
        <v>52</v>
      </c>
      <c r="AR12" s="46" t="s">
        <v>4</v>
      </c>
      <c r="AS12" s="46" t="s">
        <v>4</v>
      </c>
      <c r="AT12" s="46" t="s">
        <v>53</v>
      </c>
      <c r="AU12" s="51" t="s">
        <v>4</v>
      </c>
      <c r="AV12" s="46" t="s">
        <v>4</v>
      </c>
      <c r="AW12" s="46" t="s">
        <v>12</v>
      </c>
      <c r="AX12" s="46" t="s">
        <v>53</v>
      </c>
      <c r="AY12" s="38"/>
      <c r="AZ12" s="38"/>
      <c r="BA12" s="38"/>
    </row>
    <row r="13" spans="1:78" s="54" customFormat="1" ht="13.5">
      <c r="B13" s="52">
        <v>1</v>
      </c>
      <c r="C13" s="52">
        <v>2</v>
      </c>
      <c r="D13" s="52">
        <v>3</v>
      </c>
      <c r="E13" s="52">
        <v>4</v>
      </c>
      <c r="F13" s="52">
        <v>5</v>
      </c>
      <c r="G13" s="52">
        <v>6</v>
      </c>
      <c r="H13" s="52">
        <v>7</v>
      </c>
      <c r="I13" s="52">
        <v>8</v>
      </c>
      <c r="J13" s="52">
        <v>9</v>
      </c>
      <c r="K13" s="52">
        <v>10</v>
      </c>
      <c r="L13" s="52">
        <v>11</v>
      </c>
      <c r="M13" s="52">
        <v>12</v>
      </c>
      <c r="N13" s="52">
        <v>13</v>
      </c>
      <c r="O13" s="52">
        <v>14</v>
      </c>
      <c r="P13" s="52">
        <v>15</v>
      </c>
      <c r="Q13" s="52">
        <v>16</v>
      </c>
      <c r="R13" s="52">
        <v>17</v>
      </c>
      <c r="S13" s="52">
        <v>18</v>
      </c>
      <c r="T13" s="52">
        <v>19</v>
      </c>
      <c r="U13" s="52">
        <v>20</v>
      </c>
      <c r="V13" s="52">
        <v>21</v>
      </c>
      <c r="W13" s="52">
        <f>V13+1</f>
        <v>22</v>
      </c>
      <c r="X13" s="52">
        <f t="shared" ref="X13:AX13" si="0">W13+1</f>
        <v>23</v>
      </c>
      <c r="Y13" s="52">
        <f t="shared" si="0"/>
        <v>24</v>
      </c>
      <c r="Z13" s="52">
        <f t="shared" si="0"/>
        <v>25</v>
      </c>
      <c r="AA13" s="52">
        <f t="shared" si="0"/>
        <v>26</v>
      </c>
      <c r="AB13" s="52">
        <f t="shared" si="0"/>
        <v>27</v>
      </c>
      <c r="AC13" s="52">
        <f t="shared" si="0"/>
        <v>28</v>
      </c>
      <c r="AD13" s="52">
        <f t="shared" si="0"/>
        <v>29</v>
      </c>
      <c r="AE13" s="52">
        <f t="shared" si="0"/>
        <v>30</v>
      </c>
      <c r="AF13" s="52">
        <f t="shared" si="0"/>
        <v>31</v>
      </c>
      <c r="AG13" s="52">
        <f t="shared" si="0"/>
        <v>32</v>
      </c>
      <c r="AH13" s="52">
        <f t="shared" si="0"/>
        <v>33</v>
      </c>
      <c r="AI13" s="52">
        <f t="shared" si="0"/>
        <v>34</v>
      </c>
      <c r="AJ13" s="52">
        <f t="shared" si="0"/>
        <v>35</v>
      </c>
      <c r="AK13" s="52">
        <f t="shared" si="0"/>
        <v>36</v>
      </c>
      <c r="AL13" s="52">
        <f t="shared" si="0"/>
        <v>37</v>
      </c>
      <c r="AM13" s="52">
        <f t="shared" si="0"/>
        <v>38</v>
      </c>
      <c r="AN13" s="52">
        <f t="shared" si="0"/>
        <v>39</v>
      </c>
      <c r="AO13" s="52">
        <f t="shared" si="0"/>
        <v>40</v>
      </c>
      <c r="AP13" s="52">
        <f t="shared" si="0"/>
        <v>41</v>
      </c>
      <c r="AQ13" s="52">
        <f t="shared" si="0"/>
        <v>42</v>
      </c>
      <c r="AR13" s="52">
        <f t="shared" si="0"/>
        <v>43</v>
      </c>
      <c r="AS13" s="52">
        <f t="shared" si="0"/>
        <v>44</v>
      </c>
      <c r="AT13" s="52">
        <f t="shared" si="0"/>
        <v>45</v>
      </c>
      <c r="AU13" s="52">
        <f t="shared" si="0"/>
        <v>46</v>
      </c>
      <c r="AV13" s="52">
        <f t="shared" si="0"/>
        <v>47</v>
      </c>
      <c r="AW13" s="52">
        <f t="shared" si="0"/>
        <v>48</v>
      </c>
      <c r="AX13" s="52">
        <f t="shared" si="0"/>
        <v>49</v>
      </c>
      <c r="AY13" s="53">
        <f>AX13+1</f>
        <v>50</v>
      </c>
      <c r="AZ13" s="53">
        <f>AY13+1</f>
        <v>51</v>
      </c>
      <c r="BA13" s="53">
        <f>AZ13+1</f>
        <v>52</v>
      </c>
      <c r="BB13" s="53">
        <f>BA13+1</f>
        <v>53</v>
      </c>
      <c r="BC13" s="53">
        <f>BB13+1</f>
        <v>54</v>
      </c>
    </row>
    <row r="14" spans="1:78" s="54" customFormat="1" ht="13.5">
      <c r="B14" s="52"/>
      <c r="C14" s="52"/>
      <c r="D14" s="52"/>
      <c r="E14" s="52"/>
      <c r="F14" s="52"/>
      <c r="G14" s="52"/>
      <c r="H14" s="242"/>
      <c r="I14" s="242"/>
      <c r="J14" s="52"/>
      <c r="K14" s="52"/>
      <c r="L14" s="52"/>
      <c r="M14" s="52"/>
      <c r="N14" s="52"/>
      <c r="O14" s="52"/>
      <c r="P14" s="52"/>
      <c r="Q14" s="52"/>
      <c r="R14" s="242"/>
      <c r="S14" s="52"/>
      <c r="T14" s="52"/>
      <c r="U14" s="52"/>
      <c r="V14" s="242"/>
      <c r="W14" s="243"/>
      <c r="X14" s="52"/>
      <c r="Y14" s="52"/>
      <c r="Z14" s="52"/>
      <c r="AA14" s="242"/>
      <c r="AB14" s="243"/>
      <c r="AC14" s="52"/>
      <c r="AD14" s="52"/>
      <c r="AE14" s="52"/>
      <c r="AF14" s="242"/>
      <c r="AG14" s="243"/>
      <c r="AH14" s="52"/>
      <c r="AI14" s="52"/>
      <c r="AJ14" s="52"/>
      <c r="AK14" s="242"/>
      <c r="AL14" s="243"/>
      <c r="AM14" s="52"/>
      <c r="AN14" s="52"/>
      <c r="AO14" s="52"/>
      <c r="AP14" s="242"/>
      <c r="AQ14" s="52"/>
      <c r="AR14" s="52"/>
      <c r="AS14" s="52"/>
      <c r="AT14" s="52"/>
      <c r="AU14" s="243"/>
      <c r="AV14" s="52"/>
      <c r="AW14" s="52"/>
      <c r="AX14" s="52"/>
      <c r="AY14" s="53"/>
      <c r="AZ14" s="53"/>
      <c r="BA14" s="53"/>
      <c r="BB14" s="53"/>
      <c r="BC14" s="53"/>
    </row>
    <row r="15" spans="1:78" ht="13.5">
      <c r="A15" s="21">
        <v>1</v>
      </c>
      <c r="B15" s="55" t="s">
        <v>2304</v>
      </c>
      <c r="C15" s="56">
        <v>500</v>
      </c>
      <c r="D15" s="56">
        <v>500</v>
      </c>
      <c r="E15" s="56">
        <v>500</v>
      </c>
      <c r="F15" s="69">
        <v>0</v>
      </c>
      <c r="G15" s="56">
        <f>E15</f>
        <v>500</v>
      </c>
      <c r="H15" s="231">
        <v>0</v>
      </c>
      <c r="I15" s="231">
        <v>0</v>
      </c>
      <c r="J15" s="240">
        <v>0</v>
      </c>
      <c r="K15" s="240">
        <v>0</v>
      </c>
      <c r="L15" s="232">
        <f t="shared" ref="L15" si="1">M15/2</f>
        <v>220</v>
      </c>
      <c r="M15" s="232">
        <f t="shared" ref="M15" si="2">E15-2*$X$5</f>
        <v>440</v>
      </c>
      <c r="N15" s="72">
        <f t="shared" ref="N15" si="3">(C15*D15-1/2*H15*J15*AVERAGE(I15,K15))/1000000</f>
        <v>0.25</v>
      </c>
      <c r="O15" s="72">
        <f t="shared" ref="O15" si="4">(2*C15-I15*H15+2*D15-K15*J15+(I15+K15)/2*SQRT(H15^2+J15^2))/1000</f>
        <v>2</v>
      </c>
      <c r="P15" s="60">
        <f>(((C15+2*X$3+2*X$4)*(D15+2*X$3+2*X$4))-1/2*H15*J15*AVERAGE(I15,K15))/1000000</f>
        <v>1.69</v>
      </c>
      <c r="Q15" s="72">
        <f t="shared" ref="Q15" si="5">N15*G15/1000</f>
        <v>0.125</v>
      </c>
      <c r="R15" s="73">
        <f t="shared" ref="R15" si="6">O15*G15/1000</f>
        <v>1</v>
      </c>
      <c r="S15" s="62">
        <v>1</v>
      </c>
      <c r="T15" s="63">
        <v>2</v>
      </c>
      <c r="U15" s="63">
        <v>13</v>
      </c>
      <c r="V15" s="73">
        <f>T15*0.006165*U15^2*(O15-(8+(I15+K15))*'Data-PC'!$X$5/1000+2*MAX(6*U15,75)/1000+IF(O15&gt;12,ROUNDDOWN(O15/12,0)*'Data-PC'!$X$6*U15/1000,0))</f>
        <v>3.9925033199999995</v>
      </c>
      <c r="W15" s="65">
        <v>13</v>
      </c>
      <c r="X15" s="63">
        <f>D15/Y15</f>
        <v>125</v>
      </c>
      <c r="Y15" s="63">
        <v>4</v>
      </c>
      <c r="Z15" s="74">
        <f>IF(Y15&gt;0,((C15-2*'Data-PC'!$X$5+2*L15)*Y15),0)/1000</f>
        <v>3.52</v>
      </c>
      <c r="AA15" s="73">
        <f>0.006165*W15^2*Z15</f>
        <v>3.6674351999999999</v>
      </c>
      <c r="AB15" s="65">
        <v>13</v>
      </c>
      <c r="AC15" s="63">
        <f>C15/AD15</f>
        <v>125</v>
      </c>
      <c r="AD15" s="63">
        <v>4</v>
      </c>
      <c r="AE15" s="75">
        <f>IF(AD15&gt;0,((D15-J15-2*'Data-PC'!$X$5+2*L15)*AD15),0)/1000</f>
        <v>3.52</v>
      </c>
      <c r="AF15" s="73">
        <f>0.006165*AB15^2*AE15</f>
        <v>3.6674351999999999</v>
      </c>
      <c r="AG15" s="65">
        <v>13</v>
      </c>
      <c r="AH15" s="63">
        <f>D15/AI15</f>
        <v>125</v>
      </c>
      <c r="AI15" s="63">
        <v>4</v>
      </c>
      <c r="AJ15" s="75">
        <f>IF(AI15&gt;0,((C15-2*'Data-PC'!$X$5+2*M15)*AI15),0)/1000</f>
        <v>5.28</v>
      </c>
      <c r="AK15" s="73">
        <f t="shared" ref="AK15" si="7">0.006165*AG15^2*AJ15</f>
        <v>5.5011527999999998</v>
      </c>
      <c r="AL15" s="65">
        <v>13</v>
      </c>
      <c r="AM15" s="63">
        <f>C15/AN15</f>
        <v>125</v>
      </c>
      <c r="AN15" s="63">
        <v>4</v>
      </c>
      <c r="AO15" s="75">
        <f>IF(AN15&gt;0,((D15-J15-2*'Data-PC'!$X$5+2*M15)*AN15),0)/1000</f>
        <v>5.28</v>
      </c>
      <c r="AP15" s="73">
        <f t="shared" ref="AP15" si="8">0.006165*AL15^2*AO15</f>
        <v>5.5011527999999998</v>
      </c>
      <c r="AQ15" s="63"/>
      <c r="AR15" s="63"/>
      <c r="AS15" s="63">
        <f>2*(E15-2*'Data-PC'!$X$5)+300+2*'Data-PC'!$X$7*AR15</f>
        <v>1180</v>
      </c>
      <c r="AT15" s="72">
        <f t="shared" ref="AT15" si="9">AQ15*0.006165*AR15^2*AS15/1000</f>
        <v>0</v>
      </c>
      <c r="AU15" s="65"/>
      <c r="AV15" s="63"/>
      <c r="AW15" s="72">
        <f>IF(AV15&gt;0,(M15+2*L15*AU15)/1000*(ROUND((C15-2*'Data-PC'!$X$5)/AV15,0)+1)*(ROUND((D15-2*'Data-PC'!$X$5)/AV15,0)+1),0)</f>
        <v>0</v>
      </c>
      <c r="AX15" s="72">
        <f t="shared" ref="AX15" si="10">0.006165*AU15^2*AW15</f>
        <v>0</v>
      </c>
      <c r="AY15" s="67"/>
      <c r="AZ15" s="38"/>
      <c r="BA15" s="38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</row>
    <row r="16" spans="1:78" ht="13.5">
      <c r="A16" s="21">
        <v>2</v>
      </c>
      <c r="B16" s="55" t="s">
        <v>2305</v>
      </c>
      <c r="C16" s="56">
        <v>1100</v>
      </c>
      <c r="D16" s="56">
        <v>500</v>
      </c>
      <c r="E16" s="56">
        <v>600</v>
      </c>
      <c r="F16" s="69">
        <v>0</v>
      </c>
      <c r="G16" s="56">
        <f>E16</f>
        <v>600</v>
      </c>
      <c r="H16" s="231">
        <v>0</v>
      </c>
      <c r="I16" s="231">
        <v>0</v>
      </c>
      <c r="J16" s="240">
        <v>0</v>
      </c>
      <c r="K16" s="240">
        <v>0</v>
      </c>
      <c r="L16" s="232">
        <f t="shared" ref="L16:L18" si="11">M16/2</f>
        <v>270</v>
      </c>
      <c r="M16" s="232">
        <f t="shared" ref="M16:M18" si="12">E16-2*$X$5</f>
        <v>540</v>
      </c>
      <c r="N16" s="72">
        <f t="shared" ref="N16:N18" si="13">(C16*D16-1/2*H16*J16*AVERAGE(I16,K16))/1000000</f>
        <v>0.55000000000000004</v>
      </c>
      <c r="O16" s="72">
        <f t="shared" ref="O16:O18" si="14">(2*C16-I16*H16+2*D16-K16*J16+(I16+K16)/2*SQRT(H16^2+J16^2))/1000</f>
        <v>3.2</v>
      </c>
      <c r="P16" s="60">
        <f>(((C16+2*X$3+2*X$4)*(D16+2*X$3+2*X$4))-1/2*H16*J16*AVERAGE(I16,K16))/1000000</f>
        <v>2.4700000000000002</v>
      </c>
      <c r="Q16" s="72">
        <f t="shared" ref="Q16:Q18" si="15">N16*G16/1000</f>
        <v>0.33</v>
      </c>
      <c r="R16" s="73">
        <f t="shared" ref="R16:R18" si="16">O16*G16/1000</f>
        <v>1.92</v>
      </c>
      <c r="S16" s="62">
        <v>2</v>
      </c>
      <c r="T16" s="63">
        <v>2</v>
      </c>
      <c r="U16" s="63">
        <v>13</v>
      </c>
      <c r="V16" s="73">
        <f>T16*0.006165*U16^2*(O16-(8+(I16+K16))*'Data-PC'!$X$5/1000+2*MAX(6*U16,75)/1000+IF(O16&gt;12,ROUNDDOWN(O16/12,0)*'Data-PC'!$X$6*U16/1000,0))</f>
        <v>6.4930273199999995</v>
      </c>
      <c r="W16" s="65">
        <v>13</v>
      </c>
      <c r="X16" s="63">
        <f>D16/Y16</f>
        <v>125</v>
      </c>
      <c r="Y16" s="63">
        <v>4</v>
      </c>
      <c r="Z16" s="74">
        <f>IF(Y16&gt;0,((C16-2*'Data-PC'!$X$5+2*L16)*Y16),0)/1000</f>
        <v>6.32</v>
      </c>
      <c r="AA16" s="73">
        <f>0.006165*W16^2*Z16</f>
        <v>6.5847132000000004</v>
      </c>
      <c r="AB16" s="65">
        <v>13</v>
      </c>
      <c r="AC16" s="63">
        <f>C16/AD16</f>
        <v>137.5</v>
      </c>
      <c r="AD16" s="63">
        <v>8</v>
      </c>
      <c r="AE16" s="75">
        <f>IF(AD16&gt;0,((D16-J16-2*'Data-PC'!$X$5+2*L16)*AD16),0)/1000</f>
        <v>7.84</v>
      </c>
      <c r="AF16" s="73">
        <f>0.006165*AB16^2*AE16</f>
        <v>8.1683783999999999</v>
      </c>
      <c r="AG16" s="65">
        <v>13</v>
      </c>
      <c r="AH16" s="63">
        <f>D16/AI16</f>
        <v>125</v>
      </c>
      <c r="AI16" s="63">
        <v>4</v>
      </c>
      <c r="AJ16" s="75">
        <f>IF(AI16&gt;0,((C16-2*'Data-PC'!$X$5+2*M16)*AI16),0)/1000</f>
        <v>8.48</v>
      </c>
      <c r="AK16" s="73">
        <f t="shared" ref="AK16:AK18" si="17">0.006165*AG16^2*AJ16</f>
        <v>8.8351848000000004</v>
      </c>
      <c r="AL16" s="65">
        <v>16</v>
      </c>
      <c r="AM16" s="63">
        <f>C16/AN16</f>
        <v>137.5</v>
      </c>
      <c r="AN16" s="63">
        <v>8</v>
      </c>
      <c r="AO16" s="75">
        <f>IF(AN16&gt;0,((D16-J16-2*'Data-PC'!$X$5+2*M16)*AN16),0)/1000</f>
        <v>12.16</v>
      </c>
      <c r="AP16" s="73">
        <f t="shared" ref="AP16:AP18" si="18">0.006165*AL16^2*AO16</f>
        <v>19.191398400000001</v>
      </c>
      <c r="AQ16" s="63"/>
      <c r="AR16" s="63"/>
      <c r="AS16" s="63">
        <f>2*(E16-2*'Data-PC'!$X$5)+300+2*'Data-PC'!$X$7*AR16</f>
        <v>1380</v>
      </c>
      <c r="AT16" s="72">
        <f t="shared" ref="AT16:AT18" si="19">AQ16*0.006165*AR16^2*AS16/1000</f>
        <v>0</v>
      </c>
      <c r="AU16" s="65"/>
      <c r="AV16" s="63"/>
      <c r="AW16" s="72">
        <f>IF(AV16&gt;0,(M16+2*L16*AU16)/1000*(ROUND((C16-2*'Data-PC'!$X$5)/AV16,0)+1)*(ROUND((D16-2*'Data-PC'!$X$5)/AV16,0)+1),0)</f>
        <v>0</v>
      </c>
      <c r="AX16" s="72">
        <f t="shared" ref="AX16:AX18" si="20">0.006165*AU16^2*AW16</f>
        <v>0</v>
      </c>
      <c r="AY16" s="67"/>
      <c r="AZ16" s="38"/>
      <c r="BA16" s="38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</row>
    <row r="17" spans="1:78" s="89" customFormat="1" ht="13.5">
      <c r="A17" s="21">
        <v>3</v>
      </c>
      <c r="B17" s="78" t="s">
        <v>104</v>
      </c>
      <c r="C17" s="79">
        <v>1100</v>
      </c>
      <c r="D17" s="79">
        <v>1020</v>
      </c>
      <c r="E17" s="79">
        <v>600</v>
      </c>
      <c r="F17" s="237">
        <v>0</v>
      </c>
      <c r="G17" s="79">
        <f t="shared" ref="G17" si="21">E17</f>
        <v>600</v>
      </c>
      <c r="H17" s="672">
        <f>2020/5</f>
        <v>404</v>
      </c>
      <c r="I17" s="672">
        <v>2</v>
      </c>
      <c r="J17" s="673">
        <f>3515/5</f>
        <v>703</v>
      </c>
      <c r="K17" s="673">
        <v>2</v>
      </c>
      <c r="L17" s="79">
        <f t="shared" si="11"/>
        <v>270</v>
      </c>
      <c r="M17" s="79">
        <f t="shared" si="12"/>
        <v>540</v>
      </c>
      <c r="N17" s="80">
        <f t="shared" si="13"/>
        <v>0.83798799999999996</v>
      </c>
      <c r="O17" s="80">
        <f t="shared" si="14"/>
        <v>3.6476349774224777</v>
      </c>
      <c r="P17" s="81">
        <f>(((C17+2*X$3+2*X$4)*(D17+2*X$3+2*X$4))-1/2*H17*J17*AVERAGE(I17,K17))/1000000</f>
        <v>3.173988</v>
      </c>
      <c r="Q17" s="80">
        <f t="shared" si="15"/>
        <v>0.50279280000000004</v>
      </c>
      <c r="R17" s="82">
        <f t="shared" si="16"/>
        <v>2.1885809864534869</v>
      </c>
      <c r="S17" s="83">
        <v>3</v>
      </c>
      <c r="T17" s="84">
        <v>2</v>
      </c>
      <c r="U17" s="84">
        <v>13</v>
      </c>
      <c r="V17" s="82">
        <f>T17*0.006165*U17^2*(O17-(8+(I17+K17))*'Data-PC'!$X$5/1000+2*MAX(6*U17,75)/1000+IF(O17&gt;12,ROUNDDOWN(O17/12,0)*'Data-PC'!$X$6*U17/1000,0))</f>
        <v>7.1757432569036368</v>
      </c>
      <c r="W17" s="77">
        <v>13</v>
      </c>
      <c r="X17" s="84">
        <v>150</v>
      </c>
      <c r="Y17" s="84">
        <f>ROUNDUP((D17-2*$X$5)/X17,0)+1</f>
        <v>8</v>
      </c>
      <c r="Z17" s="81">
        <f>IF(X17&gt;0,((C17-2*$X$5+2*L17)*(ROUND((D17-J17-2*$X$5)/X17,0)+1)+(C17-I17/2*H17-2*$X$5+2*M17)*(ROUND(J17/X17,0)+1))/1000,0)</f>
        <v>15.036</v>
      </c>
      <c r="AA17" s="82">
        <f t="shared" ref="AA17" si="22">0.006165*W17^2*Z17</f>
        <v>15.665782859999998</v>
      </c>
      <c r="AB17" s="77">
        <v>13</v>
      </c>
      <c r="AC17" s="84">
        <v>150</v>
      </c>
      <c r="AD17" s="84">
        <f>ROUNDUP((C17-2*$X$5)/AC17,0)+1</f>
        <v>8</v>
      </c>
      <c r="AE17" s="85">
        <f t="shared" ref="AE17" si="23">IF(AC17&gt;0,((D17-J17-2*$X$5+2*L17)*(ROUND((C17-2*$X$5)/AC17,0)+1)+J17*(ROUND((C17-I17/2*H17-2*$X$5)/AC17,0)+1))/1000,0)</f>
        <v>9.891</v>
      </c>
      <c r="AF17" s="82">
        <f t="shared" ref="AF17" si="24">0.006165*AB17^2*AE17</f>
        <v>10.305284535</v>
      </c>
      <c r="AG17" s="77">
        <v>16</v>
      </c>
      <c r="AH17" s="84">
        <v>150</v>
      </c>
      <c r="AI17" s="84">
        <f>ROUNDUP((D17-2*$X$5)/AH17,0)+1</f>
        <v>8</v>
      </c>
      <c r="AJ17" s="85">
        <f t="shared" ref="AJ17" si="25">IF(AH17&gt;0,((C17-2*$X$5+2*M17)*(ROUND((D17-J17-2*$X$5)/AH17,0)+1)+(C17-I17/2*H17-2*$X$5+2*M17)*(ROUND(J17/AH17,0)+1))/1000,0)</f>
        <v>16.655999999999999</v>
      </c>
      <c r="AK17" s="82">
        <f>0.006165*AG17^2*AJ17</f>
        <v>26.287165439999999</v>
      </c>
      <c r="AL17" s="77">
        <v>16</v>
      </c>
      <c r="AM17" s="84">
        <v>150</v>
      </c>
      <c r="AN17" s="84">
        <f>ROUNDUP((C17-2*$X$5)/AM17,0)+1</f>
        <v>8</v>
      </c>
      <c r="AO17" s="85">
        <f t="shared" ref="AO17" si="26">IF(AM17&gt;0,((D17-J17-2*$X$5+2*M17)*(ROUND((C17-2*$X$5)/AM17,0)+1)+J17*(ROUND((C17-I17/2*H17-2*$X$5)/AM17,0)+1))/1000,0)</f>
        <v>14.211</v>
      </c>
      <c r="AP17" s="82">
        <f t="shared" si="18"/>
        <v>22.428368640000002</v>
      </c>
      <c r="AQ17" s="84"/>
      <c r="AR17" s="84"/>
      <c r="AS17" s="84">
        <f>2*(E17-2*'Data-PC'!$X$5)+300+2*'Data-PC'!$X$7*AR17</f>
        <v>1380</v>
      </c>
      <c r="AT17" s="80">
        <f t="shared" si="19"/>
        <v>0</v>
      </c>
      <c r="AU17" s="77"/>
      <c r="AV17" s="84"/>
      <c r="AW17" s="80">
        <f>IF(AV17&gt;0,(M17+2*L17*AU17)/1000*(ROUND((C17-2*'Data-PC'!$X$5)/AV17,0)+1)*(ROUND((D17-2*'Data-PC'!$X$5)/AV17,0)+1),0)</f>
        <v>0</v>
      </c>
      <c r="AX17" s="80">
        <f t="shared" si="20"/>
        <v>0</v>
      </c>
      <c r="AY17" s="86"/>
      <c r="AZ17" s="87"/>
      <c r="BA17" s="87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</row>
    <row r="18" spans="1:78" ht="13.5">
      <c r="A18" s="21">
        <v>4</v>
      </c>
      <c r="B18" s="55" t="s">
        <v>2306</v>
      </c>
      <c r="C18" s="90">
        <v>1100</v>
      </c>
      <c r="D18" s="90">
        <v>1100</v>
      </c>
      <c r="E18" s="90">
        <v>700</v>
      </c>
      <c r="F18" s="230">
        <v>0</v>
      </c>
      <c r="G18" s="90">
        <f t="shared" ref="G18" si="27">E18</f>
        <v>700</v>
      </c>
      <c r="H18" s="231">
        <v>0</v>
      </c>
      <c r="I18" s="231">
        <v>0</v>
      </c>
      <c r="J18" s="240">
        <v>0</v>
      </c>
      <c r="K18" s="240">
        <v>0</v>
      </c>
      <c r="L18" s="232">
        <f t="shared" si="11"/>
        <v>320</v>
      </c>
      <c r="M18" s="232">
        <f t="shared" si="12"/>
        <v>640</v>
      </c>
      <c r="N18" s="72">
        <f t="shared" si="13"/>
        <v>1.21</v>
      </c>
      <c r="O18" s="72">
        <f t="shared" si="14"/>
        <v>4.4000000000000004</v>
      </c>
      <c r="P18" s="60">
        <f t="shared" ref="P18" si="28">(((C18+2*X$3+2*X$4)*(D18+2*X$3+2*X$4))-1/2*H18*J18*AVERAGE(I18,K18))/1000000</f>
        <v>3.61</v>
      </c>
      <c r="Q18" s="72">
        <f t="shared" si="15"/>
        <v>0.84699999999999998</v>
      </c>
      <c r="R18" s="73">
        <f t="shared" si="16"/>
        <v>3.0800000000000005</v>
      </c>
      <c r="S18" s="238">
        <v>4</v>
      </c>
      <c r="T18" s="239">
        <v>3</v>
      </c>
      <c r="U18" s="239">
        <v>13</v>
      </c>
      <c r="V18" s="73">
        <f>T18*0.006165*U18^2*(O18-(8+(I18+K18))*'Data-PC'!$X$5/1000+2*MAX(6*U18,75)/1000+IF(O18&gt;12,ROUNDDOWN(O18/12,0)*'Data-PC'!$X$6*U18/1000,0))</f>
        <v>13.490326979999999</v>
      </c>
      <c r="W18" s="76">
        <v>13</v>
      </c>
      <c r="X18" s="63">
        <f t="shared" ref="X18" si="29">D18/Y18</f>
        <v>137.5</v>
      </c>
      <c r="Y18" s="239">
        <v>8</v>
      </c>
      <c r="Z18" s="74">
        <f>IF(Y18&gt;0,((C18-2*'Data-PC'!$X$5+2*L18)*Y18),0)/1000</f>
        <v>13.44</v>
      </c>
      <c r="AA18" s="73">
        <f t="shared" ref="AA18" si="30">0.006165*W18^2*Z18</f>
        <v>14.002934399999999</v>
      </c>
      <c r="AB18" s="76">
        <v>13</v>
      </c>
      <c r="AC18" s="63">
        <f t="shared" ref="AC18" si="31">C18/AD18</f>
        <v>137.5</v>
      </c>
      <c r="AD18" s="239">
        <v>8</v>
      </c>
      <c r="AE18" s="75">
        <f>IF(AD18&gt;0,((D18-J18-2*'Data-PC'!$X$5+2*L18)*AD18),0)/1000</f>
        <v>13.44</v>
      </c>
      <c r="AF18" s="73">
        <f t="shared" ref="AF18" si="32">0.006165*AB18^2*AE18</f>
        <v>14.002934399999999</v>
      </c>
      <c r="AG18" s="76">
        <v>16</v>
      </c>
      <c r="AH18" s="63">
        <f t="shared" ref="AH18" si="33">D18/AI18</f>
        <v>137.5</v>
      </c>
      <c r="AI18" s="239">
        <v>8</v>
      </c>
      <c r="AJ18" s="75">
        <f>IF(AI18&gt;0,((C18-2*'Data-PC'!$X$5+2*M18)*AI18),0)/1000</f>
        <v>18.559999999999999</v>
      </c>
      <c r="AK18" s="73">
        <f t="shared" si="17"/>
        <v>29.292134399999998</v>
      </c>
      <c r="AL18" s="76">
        <v>16</v>
      </c>
      <c r="AM18" s="63">
        <f t="shared" ref="AM18" si="34">C18/AN18</f>
        <v>137.5</v>
      </c>
      <c r="AN18" s="239">
        <v>8</v>
      </c>
      <c r="AO18" s="75">
        <f>IF(AN18&gt;0,((D18-J18-2*'Data-PC'!$X$5+2*M18)*AN18),0)/1000</f>
        <v>18.559999999999999</v>
      </c>
      <c r="AP18" s="73">
        <f t="shared" si="18"/>
        <v>29.292134399999998</v>
      </c>
      <c r="AQ18" s="239"/>
      <c r="AR18" s="239"/>
      <c r="AS18" s="239">
        <f>2*(E18-2*'Data-PC'!$X$5)+300+2*'Data-PC'!$X$7*AR18</f>
        <v>1580</v>
      </c>
      <c r="AT18" s="72">
        <f t="shared" si="19"/>
        <v>0</v>
      </c>
      <c r="AU18" s="76"/>
      <c r="AV18" s="239"/>
      <c r="AW18" s="72">
        <f>IF(AV18&gt;0,(M18+2*L18*AU18)/1000*(ROUND((C18-2*'Data-PC'!$X$5)/AV18,0)+1)*(ROUND((D18-2*'Data-PC'!$X$5)/AV18,0)+1),0)</f>
        <v>0</v>
      </c>
      <c r="AX18" s="72">
        <f t="shared" si="20"/>
        <v>0</v>
      </c>
      <c r="AY18" s="67"/>
      <c r="AZ18" s="38"/>
      <c r="BA18" s="38"/>
      <c r="BB18" s="234"/>
      <c r="BC18" s="234"/>
      <c r="BD18" s="234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</row>
    <row r="19" spans="1:78" s="233" customFormat="1" ht="13.5">
      <c r="A19" s="21">
        <v>5</v>
      </c>
      <c r="B19" s="55" t="s">
        <v>2307</v>
      </c>
      <c r="C19" s="90">
        <v>1350</v>
      </c>
      <c r="D19" s="90">
        <v>1350</v>
      </c>
      <c r="E19" s="90">
        <v>700</v>
      </c>
      <c r="F19" s="230">
        <v>0</v>
      </c>
      <c r="G19" s="90">
        <f t="shared" ref="G19:G21" si="35">E19</f>
        <v>700</v>
      </c>
      <c r="H19" s="231">
        <v>0</v>
      </c>
      <c r="I19" s="231">
        <v>0</v>
      </c>
      <c r="J19" s="240">
        <v>0</v>
      </c>
      <c r="K19" s="240">
        <v>0</v>
      </c>
      <c r="L19" s="232">
        <f t="shared" ref="L19:L21" si="36">M19/2</f>
        <v>320</v>
      </c>
      <c r="M19" s="232">
        <f t="shared" ref="M19" si="37">E19-2*$X$5</f>
        <v>640</v>
      </c>
      <c r="N19" s="72">
        <f t="shared" ref="N19" si="38">(C19*D19-1/2*H19*J19*AVERAGE(I19,K19))/1000000</f>
        <v>1.8225</v>
      </c>
      <c r="O19" s="72">
        <f t="shared" ref="O19" si="39">(2*C19-I19*H19+2*D19-K19*J19+(I19+K19)/2*SQRT(H19^2+J19^2))/1000</f>
        <v>5.4</v>
      </c>
      <c r="P19" s="60">
        <f t="shared" ref="P19:P21" si="40">(((C19+2*X$3+2*X$4)*(D19+2*X$3+2*X$4))-1/2*H19*J19*AVERAGE(I19,K19))/1000000</f>
        <v>4.6224999999999996</v>
      </c>
      <c r="Q19" s="72">
        <f t="shared" ref="Q19:Q21" si="41">N19*G19/1000</f>
        <v>1.2757499999999999</v>
      </c>
      <c r="R19" s="73">
        <f t="shared" ref="R19:R21" si="42">O19*G19/1000</f>
        <v>3.7800000000000002</v>
      </c>
      <c r="S19" s="238">
        <v>5</v>
      </c>
      <c r="T19" s="239">
        <v>3</v>
      </c>
      <c r="U19" s="239">
        <v>13</v>
      </c>
      <c r="V19" s="73">
        <f>T19*0.006165*U19^2*(O19-(8+(I19+K19))*'Data-PC'!$X$5/1000+2*MAX(6*U19,75)/1000+IF(O19&gt;12,ROUNDDOWN(O19/12,0)*'Data-PC'!$X$6*U19/1000,0))</f>
        <v>16.615981980000001</v>
      </c>
      <c r="W19" s="76">
        <v>13</v>
      </c>
      <c r="X19" s="63">
        <f t="shared" ref="X19:X21" si="43">D19/Y19</f>
        <v>150</v>
      </c>
      <c r="Y19" s="239">
        <v>9</v>
      </c>
      <c r="Z19" s="74">
        <f>IF(Y19&gt;0,((C19-2*'Data-PC'!$X$5+2*L19)*Y19),0)/1000</f>
        <v>17.37</v>
      </c>
      <c r="AA19" s="73">
        <f t="shared" ref="AA19:AA21" si="44">0.006165*W19^2*Z19</f>
        <v>18.097542449999999</v>
      </c>
      <c r="AB19" s="76">
        <v>13</v>
      </c>
      <c r="AC19" s="63">
        <f t="shared" ref="AC19:AC21" si="45">C19/AD19</f>
        <v>150</v>
      </c>
      <c r="AD19" s="239">
        <v>9</v>
      </c>
      <c r="AE19" s="75">
        <f>IF(AD19&gt;0,((D19-J19-2*'Data-PC'!$X$5+2*L19)*AD19),0)/1000</f>
        <v>17.37</v>
      </c>
      <c r="AF19" s="73">
        <f t="shared" ref="AF19:AF21" si="46">0.006165*AB19^2*AE19</f>
        <v>18.097542449999999</v>
      </c>
      <c r="AG19" s="76">
        <v>16</v>
      </c>
      <c r="AH19" s="63">
        <f t="shared" ref="AH19:AH21" si="47">D19/AI19</f>
        <v>150</v>
      </c>
      <c r="AI19" s="239">
        <v>9</v>
      </c>
      <c r="AJ19" s="75">
        <f>IF(AI19&gt;0,((C19-2*'Data-PC'!$X$5+2*M19)*AI19),0)/1000</f>
        <v>23.13</v>
      </c>
      <c r="AK19" s="73">
        <f t="shared" ref="AK19:AK21" si="48">0.006165*AG19^2*AJ19</f>
        <v>36.504691200000003</v>
      </c>
      <c r="AL19" s="76">
        <v>16</v>
      </c>
      <c r="AM19" s="63">
        <f t="shared" ref="AM19:AM21" si="49">C19/AN19</f>
        <v>150</v>
      </c>
      <c r="AN19" s="239">
        <v>9</v>
      </c>
      <c r="AO19" s="75">
        <f>IF(AN19&gt;0,((D19-J19-2*'Data-PC'!$X$5+2*M19)*AN19),0)/1000</f>
        <v>23.13</v>
      </c>
      <c r="AP19" s="73">
        <f t="shared" ref="AP19" si="50">0.006165*AL19^2*AO19</f>
        <v>36.504691200000003</v>
      </c>
      <c r="AQ19" s="239"/>
      <c r="AR19" s="239"/>
      <c r="AS19" s="239">
        <f>2*(E19-2*'Data-PC'!$X$5)+300+2*'Data-PC'!$X$7*AR19</f>
        <v>1580</v>
      </c>
      <c r="AT19" s="72">
        <f t="shared" ref="AT19:AT21" si="51">AQ19*0.006165*AR19^2*AS19/1000</f>
        <v>0</v>
      </c>
      <c r="AU19" s="76"/>
      <c r="AV19" s="239"/>
      <c r="AW19" s="72">
        <f>IF(AV19&gt;0,(M19+2*L19*AU19)/1000*(ROUND((C19-2*'Data-PC'!$X$5)/AV19,0)+1)*(ROUND((D19-2*'Data-PC'!$X$5)/AV19,0)+1),0)</f>
        <v>0</v>
      </c>
      <c r="AX19" s="72">
        <f t="shared" ref="AX19:AX21" si="52">0.006165*AU19^2*AW19</f>
        <v>0</v>
      </c>
      <c r="AY19" s="67"/>
      <c r="AZ19" s="38"/>
      <c r="BA19" s="38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234"/>
      <c r="BT19" s="234"/>
      <c r="BU19" s="234"/>
      <c r="BV19" s="234"/>
      <c r="BW19" s="234"/>
      <c r="BX19" s="234"/>
      <c r="BY19" s="234"/>
      <c r="BZ19" s="234"/>
    </row>
    <row r="20" spans="1:78" ht="13.5">
      <c r="A20" s="21">
        <v>6</v>
      </c>
      <c r="B20" s="55" t="s">
        <v>2308</v>
      </c>
      <c r="C20" s="90">
        <v>2600</v>
      </c>
      <c r="D20" s="90">
        <v>2600</v>
      </c>
      <c r="E20" s="90">
        <v>750</v>
      </c>
      <c r="F20" s="230">
        <v>0</v>
      </c>
      <c r="G20" s="90">
        <f t="shared" ref="G20" si="53">E20</f>
        <v>750</v>
      </c>
      <c r="H20" s="231">
        <v>0</v>
      </c>
      <c r="I20" s="231">
        <v>0</v>
      </c>
      <c r="J20" s="240">
        <v>0</v>
      </c>
      <c r="K20" s="240">
        <v>0</v>
      </c>
      <c r="L20" s="232">
        <f t="shared" ref="L20" si="54">M20/2</f>
        <v>345</v>
      </c>
      <c r="M20" s="232">
        <f t="shared" ref="M20" si="55">E20-2*$X$5</f>
        <v>690</v>
      </c>
      <c r="N20" s="72">
        <f t="shared" ref="N20" si="56">(C20*D20-1/2*H20*J20*AVERAGE(I20,K20))/1000000</f>
        <v>6.76</v>
      </c>
      <c r="O20" s="72">
        <f t="shared" ref="O20" si="57">(2*C20-I20*H20+2*D20-K20*J20+(I20+K20)/2*SQRT(H20^2+J20^2))/1000</f>
        <v>10.4</v>
      </c>
      <c r="P20" s="60">
        <f t="shared" ref="P20" si="58">(((C20+2*X$3+2*X$4)*(D20+2*X$3+2*X$4))-1/2*H20*J20*AVERAGE(I20,K20))/1000000</f>
        <v>11.56</v>
      </c>
      <c r="Q20" s="72">
        <f t="shared" ref="Q20" si="59">N20*G20/1000</f>
        <v>5.07</v>
      </c>
      <c r="R20" s="73">
        <f t="shared" ref="R20" si="60">O20*G20/1000</f>
        <v>7.8</v>
      </c>
      <c r="S20" s="238">
        <v>9</v>
      </c>
      <c r="T20" s="239">
        <v>3</v>
      </c>
      <c r="U20" s="239">
        <v>13</v>
      </c>
      <c r="V20" s="73">
        <f>T20*0.006165*U20^2*(O20-(8+(I20+K20))*'Data-PC'!$X$5/1000+2*MAX(6*U20,75)/1000+IF(O20&gt;12,ROUNDDOWN(O20/12,0)*'Data-PC'!$X$6*U20/1000,0))</f>
        <v>32.244256980000003</v>
      </c>
      <c r="W20" s="76">
        <v>16</v>
      </c>
      <c r="X20" s="63">
        <f t="shared" ref="X20" si="61">D20/Y20</f>
        <v>144.44444444444446</v>
      </c>
      <c r="Y20" s="239">
        <v>18</v>
      </c>
      <c r="Z20" s="74">
        <f>IF(Y20&gt;0,((C20-2*'Data-PC'!$X$5+2*L20)*Y20),0)/1000</f>
        <v>58.14</v>
      </c>
      <c r="AA20" s="73">
        <f t="shared" ref="AA20" si="62">0.006165*W20^2*Z20</f>
        <v>91.758873600000001</v>
      </c>
      <c r="AB20" s="76">
        <v>16</v>
      </c>
      <c r="AC20" s="63">
        <f t="shared" ref="AC20" si="63">C20/AD20</f>
        <v>144.44444444444446</v>
      </c>
      <c r="AD20" s="239">
        <v>18</v>
      </c>
      <c r="AE20" s="75">
        <f>IF(AD20&gt;0,((D20-J20-2*'Data-PC'!$X$5+2*L20)*AD20),0)/1000</f>
        <v>58.14</v>
      </c>
      <c r="AF20" s="73">
        <f t="shared" ref="AF20" si="64">0.006165*AB20^2*AE20</f>
        <v>91.758873600000001</v>
      </c>
      <c r="AG20" s="76">
        <v>16</v>
      </c>
      <c r="AH20" s="63">
        <f t="shared" ref="AH20" si="65">D20/AI20</f>
        <v>144.44444444444446</v>
      </c>
      <c r="AI20" s="239">
        <v>18</v>
      </c>
      <c r="AJ20" s="75">
        <f>IF(AI20&gt;0,((C20-2*'Data-PC'!$X$5+2*M20)*AI20),0)/1000</f>
        <v>70.56</v>
      </c>
      <c r="AK20" s="73">
        <f t="shared" ref="AK20" si="66">0.006165*AG20^2*AJ20</f>
        <v>111.3606144</v>
      </c>
      <c r="AL20" s="76">
        <v>16</v>
      </c>
      <c r="AM20" s="63">
        <f t="shared" ref="AM20" si="67">C20/AN20</f>
        <v>144.44444444444446</v>
      </c>
      <c r="AN20" s="239">
        <v>18</v>
      </c>
      <c r="AO20" s="75">
        <f>IF(AN20&gt;0,((D20-J20-2*'Data-PC'!$X$5+2*M20)*AN20),0)/1000</f>
        <v>70.56</v>
      </c>
      <c r="AP20" s="73">
        <f t="shared" ref="AP20" si="68">0.006165*AL20^2*AO20</f>
        <v>111.3606144</v>
      </c>
      <c r="AQ20" s="239"/>
      <c r="AR20" s="239"/>
      <c r="AS20" s="239">
        <f>2*(E20-2*'Data-PC'!$X$5)+300+2*'Data-PC'!$X$7*AR20</f>
        <v>1680</v>
      </c>
      <c r="AT20" s="72">
        <f t="shared" ref="AT20" si="69">AQ20*0.006165*AR20^2*AS20/1000</f>
        <v>0</v>
      </c>
      <c r="AU20" s="76"/>
      <c r="AV20" s="239"/>
      <c r="AW20" s="72">
        <f>IF(AV20&gt;0,(M20+2*L20*AU20)/1000*(ROUND((C20-2*'Data-PC'!$X$5)/AV20,0)+1)*(ROUND((D20-2*'Data-PC'!$X$5)/AV20,0)+1),0)</f>
        <v>0</v>
      </c>
      <c r="AX20" s="72">
        <f t="shared" ref="AX20" si="70">0.006165*AU20^2*AW20</f>
        <v>0</v>
      </c>
      <c r="AY20" s="67"/>
      <c r="AZ20" s="38"/>
      <c r="BA20" s="38"/>
      <c r="BB20" s="234"/>
      <c r="BC20" s="234"/>
      <c r="BD20" s="234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</row>
    <row r="21" spans="1:78" s="233" customFormat="1" ht="13.5">
      <c r="A21" s="21">
        <v>7</v>
      </c>
      <c r="B21" s="68" t="s">
        <v>2186</v>
      </c>
      <c r="C21" s="90">
        <v>800</v>
      </c>
      <c r="D21" s="90">
        <v>600</v>
      </c>
      <c r="E21" s="90">
        <v>600</v>
      </c>
      <c r="F21" s="230">
        <v>0</v>
      </c>
      <c r="G21" s="90">
        <f t="shared" si="35"/>
        <v>600</v>
      </c>
      <c r="H21" s="231">
        <v>0</v>
      </c>
      <c r="I21" s="231">
        <v>0</v>
      </c>
      <c r="J21" s="240">
        <v>0</v>
      </c>
      <c r="K21" s="240">
        <v>0</v>
      </c>
      <c r="L21" s="232">
        <f t="shared" si="36"/>
        <v>270</v>
      </c>
      <c r="M21" s="232">
        <f>E21-2*$X$5</f>
        <v>540</v>
      </c>
      <c r="N21" s="72">
        <f>(C21*D21-1/2*H21*J21*AVERAGE(I21,K21))/1000000</f>
        <v>0.48</v>
      </c>
      <c r="O21" s="72">
        <f>(2*C21-I21*H21+2*D21-K21*J21+(I21+K21)/2*SQRT(H21^2+J21^2))/1000</f>
        <v>2.8</v>
      </c>
      <c r="P21" s="60">
        <f t="shared" si="40"/>
        <v>2.2400000000000002</v>
      </c>
      <c r="Q21" s="72">
        <f t="shared" si="41"/>
        <v>0.28799999999999998</v>
      </c>
      <c r="R21" s="73">
        <f t="shared" si="42"/>
        <v>1.68</v>
      </c>
      <c r="S21" s="238"/>
      <c r="T21" s="239">
        <v>2</v>
      </c>
      <c r="U21" s="239">
        <v>13</v>
      </c>
      <c r="V21" s="73">
        <f>T21*0.006165*U21^2*(O21-(8+(I21+K21))*'Data-PC'!$X$5/1000+2*MAX(6*U21,75)/1000+IF(O21&gt;12,ROUNDDOWN(O21/12,0)*'Data-PC'!$X$6*U21/1000,0))</f>
        <v>5.6595193199999994</v>
      </c>
      <c r="W21" s="76">
        <v>16</v>
      </c>
      <c r="X21" s="63">
        <f t="shared" si="43"/>
        <v>100</v>
      </c>
      <c r="Y21" s="239">
        <v>6</v>
      </c>
      <c r="Z21" s="74">
        <f>IF(Y21&gt;0,((C21-2*'Data-PC'!$X$5+2*L21)*Y21),0)/1000</f>
        <v>7.68</v>
      </c>
      <c r="AA21" s="73">
        <f t="shared" si="44"/>
        <v>12.1208832</v>
      </c>
      <c r="AB21" s="76">
        <v>13</v>
      </c>
      <c r="AC21" s="63">
        <f t="shared" si="45"/>
        <v>100</v>
      </c>
      <c r="AD21" s="239">
        <v>8</v>
      </c>
      <c r="AE21" s="75">
        <f>IF(AD21&gt;0,((D21-J21-2*'Data-PC'!$X$5+2*L21)*AD21),0)/1000</f>
        <v>8.64</v>
      </c>
      <c r="AF21" s="73">
        <f t="shared" si="46"/>
        <v>9.0018864000000001</v>
      </c>
      <c r="AG21" s="76">
        <v>16</v>
      </c>
      <c r="AH21" s="63">
        <f t="shared" si="47"/>
        <v>100</v>
      </c>
      <c r="AI21" s="239">
        <v>6</v>
      </c>
      <c r="AJ21" s="75">
        <f>IF(AI21&gt;0,((C21-2*'Data-PC'!$X$5+2*M21)*AI21),0)/1000</f>
        <v>10.92</v>
      </c>
      <c r="AK21" s="73">
        <f t="shared" si="48"/>
        <v>17.2343808</v>
      </c>
      <c r="AL21" s="76">
        <v>13</v>
      </c>
      <c r="AM21" s="63">
        <f t="shared" si="49"/>
        <v>100</v>
      </c>
      <c r="AN21" s="239">
        <v>8</v>
      </c>
      <c r="AO21" s="75">
        <f>IF(AN21&gt;0,((D21-J21-2*'Data-PC'!$X$5+2*M21)*AN21),0)/1000</f>
        <v>12.96</v>
      </c>
      <c r="AP21" s="73">
        <f>0.006165*AL21^2*AO21</f>
        <v>13.5028296</v>
      </c>
      <c r="AQ21" s="239"/>
      <c r="AR21" s="239"/>
      <c r="AS21" s="239">
        <f>2*(E21-2*'Data-PC'!$X$5)+300+2*'Data-PC'!$X$7*AR21</f>
        <v>1380</v>
      </c>
      <c r="AT21" s="72">
        <f t="shared" si="51"/>
        <v>0</v>
      </c>
      <c r="AU21" s="76"/>
      <c r="AV21" s="239"/>
      <c r="AW21" s="72">
        <f>IF(AV21&gt;0,(M21+2*L21*AU21)/1000*(ROUND((C21-2*'Data-PC'!$X$5)/AV21,0)+1)*(ROUND((D21-2*'Data-PC'!$X$5)/AV21,0)+1),0)</f>
        <v>0</v>
      </c>
      <c r="AX21" s="72">
        <f t="shared" si="52"/>
        <v>0</v>
      </c>
      <c r="AY21" s="67"/>
      <c r="AZ21" s="38">
        <v>1</v>
      </c>
      <c r="BA21" s="38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234"/>
      <c r="BT21" s="234"/>
      <c r="BU21" s="234"/>
      <c r="BV21" s="234"/>
      <c r="BW21" s="234"/>
      <c r="BX21" s="234"/>
      <c r="BY21" s="234"/>
      <c r="BZ21" s="234"/>
    </row>
    <row r="22" spans="1:78" s="233" customFormat="1" ht="13.5">
      <c r="A22" s="21">
        <v>8</v>
      </c>
      <c r="B22" s="68" t="s">
        <v>2187</v>
      </c>
      <c r="C22" s="90">
        <v>800</v>
      </c>
      <c r="D22" s="90">
        <v>1500</v>
      </c>
      <c r="E22" s="90">
        <v>600</v>
      </c>
      <c r="F22" s="230">
        <v>0</v>
      </c>
      <c r="G22" s="90">
        <f t="shared" ref="G22:G40" si="71">E22</f>
        <v>600</v>
      </c>
      <c r="H22" s="231">
        <v>0</v>
      </c>
      <c r="I22" s="231">
        <v>0</v>
      </c>
      <c r="J22" s="240">
        <v>0</v>
      </c>
      <c r="K22" s="240">
        <v>0</v>
      </c>
      <c r="L22" s="232">
        <f t="shared" ref="L22:L40" si="72">M22/2</f>
        <v>270</v>
      </c>
      <c r="M22" s="232">
        <f t="shared" ref="M22:M30" si="73">E22-2*$X$5</f>
        <v>540</v>
      </c>
      <c r="N22" s="72">
        <f t="shared" ref="N22:N30" si="74">(C22*D22-1/2*H22*J22*AVERAGE(I22,K22))/1000000</f>
        <v>1.2</v>
      </c>
      <c r="O22" s="72">
        <f t="shared" ref="O22:O30" si="75">(2*C22-I22*H22+2*D22-K22*J22+(I22+K22)/2*SQRT(H22^2+J22^2))/1000</f>
        <v>4.5999999999999996</v>
      </c>
      <c r="P22" s="60">
        <f t="shared" ref="P22:P40" si="76">(((C22+2*X$3+2*X$4)*(D22+2*X$3+2*X$4))-1/2*H22*J22*AVERAGE(I22,K22))/1000000</f>
        <v>3.68</v>
      </c>
      <c r="Q22" s="72">
        <f t="shared" ref="Q22:Q40" si="77">N22*G22/1000</f>
        <v>0.72</v>
      </c>
      <c r="R22" s="73">
        <f t="shared" ref="R22:R40" si="78">O22*G22/1000</f>
        <v>2.76</v>
      </c>
      <c r="S22" s="238"/>
      <c r="T22" s="239">
        <v>2</v>
      </c>
      <c r="U22" s="239">
        <v>13</v>
      </c>
      <c r="V22" s="73">
        <f>T22*0.006165*U22^2*(O22-(8+(I22+K22))*'Data-PC'!$X$5/1000+2*MAX(6*U22,75)/1000+IF(O22&gt;12,ROUNDDOWN(O22/12,0)*'Data-PC'!$X$6*U22/1000,0))</f>
        <v>9.4103053199999973</v>
      </c>
      <c r="W22" s="76">
        <v>16</v>
      </c>
      <c r="X22" s="63">
        <f t="shared" ref="X22:X40" si="79">D22/Y22</f>
        <v>100</v>
      </c>
      <c r="Y22" s="239">
        <v>15</v>
      </c>
      <c r="Z22" s="74">
        <f>IF(Y22&gt;0,((C22-2*'Data-PC'!$X$5+2*L22)*Y22),0)/1000</f>
        <v>19.2</v>
      </c>
      <c r="AA22" s="73">
        <f t="shared" ref="AA22:AA40" si="80">0.006165*W22^2*Z22</f>
        <v>30.302208</v>
      </c>
      <c r="AB22" s="76">
        <v>13</v>
      </c>
      <c r="AC22" s="63">
        <f t="shared" ref="AC22:AC40" si="81">C22/AD22</f>
        <v>100</v>
      </c>
      <c r="AD22" s="239">
        <v>8</v>
      </c>
      <c r="AE22" s="75">
        <f>IF(AD22&gt;0,((D22-J22-2*'Data-PC'!$X$5+2*L22)*AD22),0)/1000</f>
        <v>15.84</v>
      </c>
      <c r="AF22" s="73">
        <f t="shared" ref="AF22:AF40" si="82">0.006165*AB22^2*AE22</f>
        <v>16.5034584</v>
      </c>
      <c r="AG22" s="76">
        <v>16</v>
      </c>
      <c r="AH22" s="63">
        <f t="shared" ref="AH22:AH40" si="83">D22/AI22</f>
        <v>100</v>
      </c>
      <c r="AI22" s="239">
        <v>15</v>
      </c>
      <c r="AJ22" s="75">
        <f>IF(AI22&gt;0,((C22-2*'Data-PC'!$X$5+2*M22)*AI22),0)/1000</f>
        <v>27.3</v>
      </c>
      <c r="AK22" s="73">
        <f t="shared" ref="AK22:AK40" si="84">0.006165*AG22^2*AJ22</f>
        <v>43.085952000000006</v>
      </c>
      <c r="AL22" s="76">
        <v>13</v>
      </c>
      <c r="AM22" s="63">
        <f t="shared" ref="AM22:AM40" si="85">C22/AN22</f>
        <v>100</v>
      </c>
      <c r="AN22" s="239">
        <v>8</v>
      </c>
      <c r="AO22" s="75">
        <f>IF(AN22&gt;0,((D22-J22-2*'Data-PC'!$X$5+2*M22)*AN22),0)/1000</f>
        <v>20.16</v>
      </c>
      <c r="AP22" s="73">
        <f t="shared" ref="AP22:AP30" si="86">0.006165*AL22^2*AO22</f>
        <v>21.004401599999998</v>
      </c>
      <c r="AQ22" s="239"/>
      <c r="AR22" s="239"/>
      <c r="AS22" s="239">
        <f>2*(E22-2*'Data-PC'!$X$5)+300+2*'Data-PC'!$X$7*AR22</f>
        <v>1380</v>
      </c>
      <c r="AT22" s="72">
        <f t="shared" ref="AT22:AT40" si="87">AQ22*0.006165*AR22^2*AS22/1000</f>
        <v>0</v>
      </c>
      <c r="AU22" s="76"/>
      <c r="AV22" s="239"/>
      <c r="AW22" s="72">
        <f>IF(AV22&gt;0,(M22+2*L22*AU22)/1000*(ROUND((C22-2*'Data-PC'!$X$5)/AV22,0)+1)*(ROUND((D22-2*'Data-PC'!$X$5)/AV22,0)+1),0)</f>
        <v>0</v>
      </c>
      <c r="AX22" s="72">
        <f t="shared" ref="AX22:AX40" si="88">0.006165*AU22^2*AW22</f>
        <v>0</v>
      </c>
      <c r="AY22" s="67"/>
      <c r="AZ22" s="38">
        <v>2</v>
      </c>
      <c r="BA22" s="38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  <c r="BT22" s="234"/>
      <c r="BU22" s="234"/>
      <c r="BV22" s="234"/>
      <c r="BW22" s="234"/>
      <c r="BX22" s="234"/>
      <c r="BY22" s="234"/>
      <c r="BZ22" s="234"/>
    </row>
    <row r="23" spans="1:78" s="233" customFormat="1" ht="13.5">
      <c r="A23" s="21">
        <v>9</v>
      </c>
      <c r="B23" s="68" t="s">
        <v>2309</v>
      </c>
      <c r="C23" s="90">
        <v>800</v>
      </c>
      <c r="D23" s="90">
        <v>2400</v>
      </c>
      <c r="E23" s="90">
        <v>700</v>
      </c>
      <c r="F23" s="230">
        <v>0</v>
      </c>
      <c r="G23" s="90">
        <f t="shared" si="71"/>
        <v>700</v>
      </c>
      <c r="H23" s="231">
        <v>0</v>
      </c>
      <c r="I23" s="231">
        <v>0</v>
      </c>
      <c r="J23" s="240">
        <v>0</v>
      </c>
      <c r="K23" s="240">
        <v>0</v>
      </c>
      <c r="L23" s="232">
        <f t="shared" si="72"/>
        <v>320</v>
      </c>
      <c r="M23" s="232">
        <f t="shared" si="73"/>
        <v>640</v>
      </c>
      <c r="N23" s="72">
        <f t="shared" si="74"/>
        <v>1.92</v>
      </c>
      <c r="O23" s="72">
        <f t="shared" si="75"/>
        <v>6.4</v>
      </c>
      <c r="P23" s="60">
        <f t="shared" si="76"/>
        <v>5.12</v>
      </c>
      <c r="Q23" s="72">
        <f t="shared" si="77"/>
        <v>1.3440000000000001</v>
      </c>
      <c r="R23" s="73">
        <f t="shared" si="78"/>
        <v>4.4800000000000004</v>
      </c>
      <c r="S23" s="238"/>
      <c r="T23" s="239">
        <v>3</v>
      </c>
      <c r="U23" s="239">
        <v>13</v>
      </c>
      <c r="V23" s="73">
        <f>T23*0.006165*U23^2*(O23-(8+(I23+K23))*'Data-PC'!$X$5/1000+2*MAX(6*U23,75)/1000+IF(O23&gt;12,ROUNDDOWN(O23/12,0)*'Data-PC'!$X$6*U23/1000,0))</f>
        <v>19.741636979999999</v>
      </c>
      <c r="W23" s="76">
        <v>16</v>
      </c>
      <c r="X23" s="63">
        <f t="shared" si="79"/>
        <v>100</v>
      </c>
      <c r="Y23" s="239">
        <v>24</v>
      </c>
      <c r="Z23" s="74">
        <f>IF(Y23&gt;0,((C23-2*'Data-PC'!$X$5+2*L23)*Y23),0)/1000</f>
        <v>33.119999999999997</v>
      </c>
      <c r="AA23" s="73">
        <f t="shared" si="80"/>
        <v>52.2713088</v>
      </c>
      <c r="AB23" s="76">
        <v>13</v>
      </c>
      <c r="AC23" s="63">
        <f t="shared" si="81"/>
        <v>100</v>
      </c>
      <c r="AD23" s="239">
        <v>8</v>
      </c>
      <c r="AE23" s="75">
        <f>IF(AD23&gt;0,((D23-J23-2*'Data-PC'!$X$5+2*L23)*AD23),0)/1000</f>
        <v>23.84</v>
      </c>
      <c r="AF23" s="73">
        <f t="shared" si="82"/>
        <v>24.838538399999997</v>
      </c>
      <c r="AG23" s="76">
        <v>16</v>
      </c>
      <c r="AH23" s="63">
        <f t="shared" si="83"/>
        <v>100</v>
      </c>
      <c r="AI23" s="239">
        <v>24</v>
      </c>
      <c r="AJ23" s="75">
        <f>IF(AI23&gt;0,((C23-2*'Data-PC'!$X$5+2*M23)*AI23),0)/1000</f>
        <v>48.48</v>
      </c>
      <c r="AK23" s="73">
        <f t="shared" si="84"/>
        <v>76.513075200000003</v>
      </c>
      <c r="AL23" s="76">
        <v>13</v>
      </c>
      <c r="AM23" s="63">
        <f t="shared" si="85"/>
        <v>100</v>
      </c>
      <c r="AN23" s="239">
        <v>8</v>
      </c>
      <c r="AO23" s="75">
        <f>IF(AN23&gt;0,((D23-J23-2*'Data-PC'!$X$5+2*M23)*AN23),0)/1000</f>
        <v>28.96</v>
      </c>
      <c r="AP23" s="73">
        <f t="shared" si="86"/>
        <v>30.172989600000001</v>
      </c>
      <c r="AQ23" s="239"/>
      <c r="AR23" s="239"/>
      <c r="AS23" s="239">
        <f>2*(E23-2*'Data-PC'!$X$5)+300+2*'Data-PC'!$X$7*AR23</f>
        <v>1580</v>
      </c>
      <c r="AT23" s="72">
        <f t="shared" si="87"/>
        <v>0</v>
      </c>
      <c r="AU23" s="76"/>
      <c r="AV23" s="239"/>
      <c r="AW23" s="72">
        <f>IF(AV23&gt;0,(M23+2*L23*AU23)/1000*(ROUND((C23-2*'Data-PC'!$X$5)/AV23,0)+1)*(ROUND((D23-2*'Data-PC'!$X$5)/AV23,0)+1),0)</f>
        <v>0</v>
      </c>
      <c r="AX23" s="72">
        <f t="shared" si="88"/>
        <v>0</v>
      </c>
      <c r="AY23" s="67"/>
      <c r="AZ23" s="38">
        <v>3</v>
      </c>
      <c r="BA23" s="38"/>
      <c r="BB23" s="234"/>
      <c r="BC23" s="234"/>
      <c r="BD23" s="234"/>
      <c r="BE23" s="234"/>
      <c r="BF23" s="234"/>
      <c r="BG23" s="234"/>
      <c r="BH23" s="234"/>
      <c r="BI23" s="234"/>
      <c r="BJ23" s="234"/>
      <c r="BK23" s="234"/>
      <c r="BL23" s="234"/>
      <c r="BM23" s="234"/>
      <c r="BN23" s="234"/>
      <c r="BO23" s="234"/>
      <c r="BP23" s="234"/>
      <c r="BQ23" s="234"/>
      <c r="BR23" s="234"/>
      <c r="BS23" s="234"/>
      <c r="BT23" s="234"/>
      <c r="BU23" s="234"/>
      <c r="BV23" s="234"/>
      <c r="BW23" s="234"/>
      <c r="BX23" s="234"/>
      <c r="BY23" s="234"/>
      <c r="BZ23" s="234"/>
    </row>
    <row r="24" spans="1:78" s="89" customFormat="1" ht="13.5">
      <c r="A24" s="21">
        <v>10</v>
      </c>
      <c r="B24" s="78" t="s">
        <v>2310</v>
      </c>
      <c r="C24" s="79">
        <v>1580</v>
      </c>
      <c r="D24" s="79">
        <v>2400</v>
      </c>
      <c r="E24" s="79">
        <v>750</v>
      </c>
      <c r="F24" s="237">
        <v>0</v>
      </c>
      <c r="G24" s="79">
        <f t="shared" si="71"/>
        <v>750</v>
      </c>
      <c r="H24" s="672">
        <f>4995/5</f>
        <v>999</v>
      </c>
      <c r="I24" s="672">
        <v>2</v>
      </c>
      <c r="J24" s="673">
        <f>2880/5</f>
        <v>576</v>
      </c>
      <c r="K24" s="673">
        <v>2</v>
      </c>
      <c r="L24" s="79">
        <f t="shared" si="72"/>
        <v>345</v>
      </c>
      <c r="M24" s="79">
        <f t="shared" si="73"/>
        <v>690</v>
      </c>
      <c r="N24" s="80">
        <f t="shared" si="74"/>
        <v>3.2165759999999999</v>
      </c>
      <c r="O24" s="80">
        <f t="shared" si="75"/>
        <v>7.1163191453049164</v>
      </c>
      <c r="P24" s="81">
        <f t="shared" si="76"/>
        <v>7.0405759999999997</v>
      </c>
      <c r="Q24" s="80">
        <f t="shared" si="77"/>
        <v>2.4124319999999999</v>
      </c>
      <c r="R24" s="82">
        <f t="shared" si="78"/>
        <v>5.3372393589786871</v>
      </c>
      <c r="S24" s="83"/>
      <c r="T24" s="84">
        <v>3</v>
      </c>
      <c r="U24" s="84">
        <v>13</v>
      </c>
      <c r="V24" s="82">
        <f>T24*0.006165*U24^2*(O24-(8+(I24+K24))*'Data-PC'!$X$5/1000+2*MAX(6*U24,75)/1000+IF(O24&gt;12,ROUNDDOWN(O24/12,0)*'Data-PC'!$X$6*U24/1000,0))</f>
        <v>21.605524898118038</v>
      </c>
      <c r="W24" s="77">
        <v>19</v>
      </c>
      <c r="X24" s="84">
        <v>100</v>
      </c>
      <c r="Y24" s="84">
        <f t="shared" ref="Y24:Y25" si="89">ROUNDUP((D24-2*$X$5)/X24,0)+1</f>
        <v>25</v>
      </c>
      <c r="Z24" s="81">
        <f t="shared" ref="Z24:Z25" si="90">IF(X24&gt;0,((C24-2*$X$5+2*L24)*(ROUND((D24-J24-2*$X$5)/X24,0)+1)+(C24-I24/2*H24-2*$X$5+2*M24)*(ROUND(J24/X24,0)+1))/1000,0)</f>
        <v>55.296999999999997</v>
      </c>
      <c r="AA24" s="82">
        <f t="shared" si="80"/>
        <v>123.06706780499999</v>
      </c>
      <c r="AB24" s="77">
        <v>13</v>
      </c>
      <c r="AC24" s="84">
        <v>100</v>
      </c>
      <c r="AD24" s="84">
        <f t="shared" ref="AD24:AD25" si="91">ROUNDUP((C24-2*$X$5)/AC24,0)+1</f>
        <v>17</v>
      </c>
      <c r="AE24" s="85">
        <f t="shared" ref="AE24:AE25" si="92">IF(AC24&gt;0,((D24-J24-2*$X$5+2*L24)*(ROUND((C24-2*$X$5)/AC24,0)+1)+J24*(ROUND((C24-I24/2*H24-2*$X$5)/AC24,0)+1))/1000,0)</f>
        <v>42.72</v>
      </c>
      <c r="AF24" s="82">
        <f t="shared" si="82"/>
        <v>44.509327199999994</v>
      </c>
      <c r="AG24" s="77">
        <v>16</v>
      </c>
      <c r="AH24" s="84">
        <v>100</v>
      </c>
      <c r="AI24" s="84">
        <f t="shared" ref="AI24:AI25" si="93">ROUNDUP((D24-2*$X$5)/AH24,0)+1</f>
        <v>25</v>
      </c>
      <c r="AJ24" s="85">
        <f t="shared" ref="AJ24:AJ25" si="94">IF(AH24&gt;0,((C24-2*$X$5+2*M24)*(ROUND((D24-J24-2*$X$5)/AH24,0)+1)+(C24-I24/2*H24-2*$X$5+2*M24)*(ROUND(J24/AH24,0)+1))/1000,0)</f>
        <v>68.406999999999996</v>
      </c>
      <c r="AK24" s="82">
        <f t="shared" si="84"/>
        <v>107.96266368000001</v>
      </c>
      <c r="AL24" s="77">
        <v>16</v>
      </c>
      <c r="AM24" s="84">
        <v>100</v>
      </c>
      <c r="AN24" s="84">
        <f t="shared" ref="AN24:AN25" si="95">ROUNDUP((C24-2*$X$5)/AM24,0)+1</f>
        <v>17</v>
      </c>
      <c r="AO24" s="85">
        <f t="shared" ref="AO24:AO25" si="96">IF(AM24&gt;0,((D24-J24-2*$X$5+2*M24)*(ROUND((C24-2*$X$5)/AM24,0)+1)+J24*(ROUND((C24-I24/2*H24-2*$X$5)/AM24,0)+1))/1000,0)</f>
        <v>53.76</v>
      </c>
      <c r="AP24" s="82">
        <f t="shared" si="86"/>
        <v>84.846182400000004</v>
      </c>
      <c r="AQ24" s="84"/>
      <c r="AR24" s="84"/>
      <c r="AS24" s="84">
        <f>2*(E24-2*'Data-PC'!$X$5)+300+2*'Data-PC'!$X$7*AR24</f>
        <v>1680</v>
      </c>
      <c r="AT24" s="80">
        <f t="shared" si="87"/>
        <v>0</v>
      </c>
      <c r="AU24" s="77"/>
      <c r="AV24" s="84"/>
      <c r="AW24" s="80">
        <f>IF(AV24&gt;0,(M24+2*L24*AU24)/1000*(ROUND((C24-2*'Data-PC'!$X$5)/AV24,0)+1)*(ROUND((D24-2*'Data-PC'!$X$5)/AV24,0)+1),0)</f>
        <v>0</v>
      </c>
      <c r="AX24" s="80">
        <f t="shared" si="88"/>
        <v>0</v>
      </c>
      <c r="AY24" s="86"/>
      <c r="AZ24" s="87">
        <v>5</v>
      </c>
      <c r="BA24" s="87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</row>
    <row r="25" spans="1:78" s="89" customFormat="1" ht="13.5">
      <c r="A25" s="21">
        <v>11</v>
      </c>
      <c r="B25" s="78" t="s">
        <v>2311</v>
      </c>
      <c r="C25" s="79">
        <v>1550</v>
      </c>
      <c r="D25" s="79">
        <v>1550</v>
      </c>
      <c r="E25" s="79">
        <v>700</v>
      </c>
      <c r="F25" s="237">
        <v>0</v>
      </c>
      <c r="G25" s="79">
        <f t="shared" si="71"/>
        <v>700</v>
      </c>
      <c r="H25" s="672">
        <f>4625/5</f>
        <v>925</v>
      </c>
      <c r="I25" s="672">
        <v>1</v>
      </c>
      <c r="J25" s="672">
        <f>4625/5</f>
        <v>925</v>
      </c>
      <c r="K25" s="673">
        <v>1</v>
      </c>
      <c r="L25" s="79">
        <f t="shared" si="72"/>
        <v>320</v>
      </c>
      <c r="M25" s="79">
        <f t="shared" si="73"/>
        <v>640</v>
      </c>
      <c r="N25" s="80">
        <f t="shared" si="74"/>
        <v>1.9746874999999999</v>
      </c>
      <c r="O25" s="80">
        <f t="shared" si="75"/>
        <v>5.6581475451951126</v>
      </c>
      <c r="P25" s="81">
        <f t="shared" si="76"/>
        <v>5.0946875</v>
      </c>
      <c r="Q25" s="80">
        <f t="shared" si="77"/>
        <v>1.3822812499999999</v>
      </c>
      <c r="R25" s="82">
        <f t="shared" si="78"/>
        <v>3.960703281636579</v>
      </c>
      <c r="S25" s="83"/>
      <c r="T25" s="84">
        <v>3</v>
      </c>
      <c r="U25" s="84">
        <v>13</v>
      </c>
      <c r="V25" s="82">
        <f>T25*0.006165*U25^2*(O25-(8+(I25+K25))*'Data-PC'!$X$5/1000+2*MAX(6*U25,75)/1000+IF(O25&gt;12,ROUNDDOWN(O25/12,0)*'Data-PC'!$X$6*U25/1000,0))</f>
        <v>17.235322845376828</v>
      </c>
      <c r="W25" s="77">
        <v>19</v>
      </c>
      <c r="X25" s="84">
        <v>100</v>
      </c>
      <c r="Y25" s="84">
        <f t="shared" si="89"/>
        <v>16</v>
      </c>
      <c r="Z25" s="81">
        <f t="shared" si="90"/>
        <v>37.984999999999999</v>
      </c>
      <c r="AA25" s="82">
        <f t="shared" si="80"/>
        <v>84.538086524999997</v>
      </c>
      <c r="AB25" s="77">
        <v>19</v>
      </c>
      <c r="AC25" s="84">
        <v>100</v>
      </c>
      <c r="AD25" s="84">
        <f t="shared" si="91"/>
        <v>16</v>
      </c>
      <c r="AE25" s="85">
        <f t="shared" si="92"/>
        <v>29.454999999999998</v>
      </c>
      <c r="AF25" s="82">
        <f t="shared" si="82"/>
        <v>65.55401707499999</v>
      </c>
      <c r="AG25" s="77">
        <v>16</v>
      </c>
      <c r="AH25" s="84">
        <v>100</v>
      </c>
      <c r="AI25" s="84">
        <f t="shared" si="93"/>
        <v>16</v>
      </c>
      <c r="AJ25" s="85">
        <f t="shared" si="94"/>
        <v>42.465000000000003</v>
      </c>
      <c r="AK25" s="82">
        <f t="shared" si="84"/>
        <v>67.019961600000002</v>
      </c>
      <c r="AL25" s="77">
        <v>16</v>
      </c>
      <c r="AM25" s="84">
        <v>100</v>
      </c>
      <c r="AN25" s="84">
        <f t="shared" si="95"/>
        <v>16</v>
      </c>
      <c r="AO25" s="85">
        <f t="shared" si="96"/>
        <v>39.695</v>
      </c>
      <c r="AP25" s="82">
        <f t="shared" si="86"/>
        <v>62.648236800000006</v>
      </c>
      <c r="AQ25" s="84"/>
      <c r="AR25" s="84"/>
      <c r="AS25" s="84">
        <f>2*(E25-2*'Data-PC'!$X$5)+300+2*'Data-PC'!$X$7*AR25</f>
        <v>1580</v>
      </c>
      <c r="AT25" s="80">
        <f t="shared" si="87"/>
        <v>0</v>
      </c>
      <c r="AU25" s="77"/>
      <c r="AV25" s="84"/>
      <c r="AW25" s="80">
        <f>IF(AV25&gt;0,(M25+2*L25*AU25)/1000*(ROUND((C25-2*'Data-PC'!$X$5)/AV25,0)+1)*(ROUND((D25-2*'Data-PC'!$X$5)/AV25,0)+1),0)</f>
        <v>0</v>
      </c>
      <c r="AX25" s="80">
        <f t="shared" si="88"/>
        <v>0</v>
      </c>
      <c r="AY25" s="86"/>
      <c r="AZ25" s="87">
        <v>3</v>
      </c>
      <c r="BA25" s="87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</row>
    <row r="26" spans="1:78" s="233" customFormat="1" ht="13.5">
      <c r="A26" s="21">
        <v>12</v>
      </c>
      <c r="B26" s="68"/>
      <c r="C26" s="90"/>
      <c r="D26" s="90"/>
      <c r="E26" s="90"/>
      <c r="F26" s="230">
        <v>0</v>
      </c>
      <c r="G26" s="90">
        <f t="shared" si="71"/>
        <v>0</v>
      </c>
      <c r="H26" s="231">
        <v>0</v>
      </c>
      <c r="I26" s="231">
        <v>0</v>
      </c>
      <c r="J26" s="240">
        <v>0</v>
      </c>
      <c r="K26" s="240">
        <v>0</v>
      </c>
      <c r="L26" s="232">
        <f t="shared" si="72"/>
        <v>-30</v>
      </c>
      <c r="M26" s="232">
        <f t="shared" si="73"/>
        <v>-60</v>
      </c>
      <c r="N26" s="72">
        <f t="shared" si="74"/>
        <v>0</v>
      </c>
      <c r="O26" s="72">
        <f t="shared" si="75"/>
        <v>0</v>
      </c>
      <c r="P26" s="60">
        <f t="shared" si="76"/>
        <v>0.64</v>
      </c>
      <c r="Q26" s="72">
        <f t="shared" si="77"/>
        <v>0</v>
      </c>
      <c r="R26" s="73">
        <f t="shared" si="78"/>
        <v>0</v>
      </c>
      <c r="S26" s="238"/>
      <c r="T26" s="239"/>
      <c r="U26" s="239"/>
      <c r="V26" s="73">
        <f>T26*0.006165*U26^2*(O26-(8+(I26+K26))*'Data-PC'!$X$5/1000+2*MAX(6*U26,75)/1000+IF(O26&gt;12,ROUNDDOWN(O26/12,0)*'Data-PC'!$X$6*U26/1000,0))</f>
        <v>0</v>
      </c>
      <c r="W26" s="76"/>
      <c r="X26" s="63" t="e">
        <f t="shared" si="79"/>
        <v>#DIV/0!</v>
      </c>
      <c r="Y26" s="239"/>
      <c r="Z26" s="74">
        <f>IF(Y26&gt;0,((C26-2*'Data-PC'!$X$5+2*L26)*Y26),0)/1000</f>
        <v>0</v>
      </c>
      <c r="AA26" s="73">
        <f t="shared" si="80"/>
        <v>0</v>
      </c>
      <c r="AB26" s="76"/>
      <c r="AC26" s="63" t="e">
        <f t="shared" si="81"/>
        <v>#DIV/0!</v>
      </c>
      <c r="AD26" s="239"/>
      <c r="AE26" s="75">
        <f>IF(AD26&gt;0,((D26-J26-2*'Data-PC'!$X$5+2*L26)*AD26),0)/1000</f>
        <v>0</v>
      </c>
      <c r="AF26" s="73">
        <f t="shared" si="82"/>
        <v>0</v>
      </c>
      <c r="AG26" s="76"/>
      <c r="AH26" s="63" t="e">
        <f t="shared" si="83"/>
        <v>#DIV/0!</v>
      </c>
      <c r="AI26" s="239"/>
      <c r="AJ26" s="75">
        <f>IF(AI26&gt;0,((C26-2*'Data-PC'!$X$5+2*M26)*AI26),0)/1000</f>
        <v>0</v>
      </c>
      <c r="AK26" s="73">
        <f t="shared" si="84"/>
        <v>0</v>
      </c>
      <c r="AL26" s="76"/>
      <c r="AM26" s="63" t="e">
        <f t="shared" si="85"/>
        <v>#DIV/0!</v>
      </c>
      <c r="AN26" s="239"/>
      <c r="AO26" s="75">
        <f>IF(AN26&gt;0,((D26-J26-2*'Data-PC'!$X$5+2*M26)*AN26),0)/1000</f>
        <v>0</v>
      </c>
      <c r="AP26" s="73">
        <f t="shared" si="86"/>
        <v>0</v>
      </c>
      <c r="AQ26" s="239"/>
      <c r="AR26" s="239"/>
      <c r="AS26" s="239">
        <f>2*(E26-2*'Data-PC'!$X$5)+300+2*'Data-PC'!$X$7*AR26</f>
        <v>180</v>
      </c>
      <c r="AT26" s="72">
        <f t="shared" si="87"/>
        <v>0</v>
      </c>
      <c r="AU26" s="76"/>
      <c r="AV26" s="239"/>
      <c r="AW26" s="72">
        <f>IF(AV26&gt;0,(M26+2*L26*AU26)/1000*(ROUND((C26-2*'Data-PC'!$X$5)/AV26,0)+1)*(ROUND((D26-2*'Data-PC'!$X$5)/AV26,0)+1),0)</f>
        <v>0</v>
      </c>
      <c r="AX26" s="72">
        <f t="shared" si="88"/>
        <v>0</v>
      </c>
      <c r="AY26" s="67"/>
      <c r="AZ26" s="38"/>
      <c r="BA26" s="38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4"/>
      <c r="BM26" s="234"/>
      <c r="BN26" s="234"/>
      <c r="BO26" s="234"/>
      <c r="BP26" s="234"/>
      <c r="BQ26" s="234"/>
      <c r="BR26" s="234"/>
      <c r="BS26" s="234"/>
      <c r="BT26" s="234"/>
      <c r="BU26" s="234"/>
      <c r="BV26" s="234"/>
      <c r="BW26" s="234"/>
      <c r="BX26" s="234"/>
      <c r="BY26" s="234"/>
      <c r="BZ26" s="234"/>
    </row>
    <row r="27" spans="1:78" s="233" customFormat="1" ht="13.5">
      <c r="A27" s="21">
        <v>13</v>
      </c>
      <c r="B27" s="68"/>
      <c r="C27" s="90"/>
      <c r="D27" s="90"/>
      <c r="E27" s="90"/>
      <c r="F27" s="230">
        <v>0</v>
      </c>
      <c r="G27" s="90">
        <f t="shared" si="71"/>
        <v>0</v>
      </c>
      <c r="H27" s="231">
        <v>0</v>
      </c>
      <c r="I27" s="231">
        <v>0</v>
      </c>
      <c r="J27" s="240">
        <v>0</v>
      </c>
      <c r="K27" s="240">
        <v>0</v>
      </c>
      <c r="L27" s="232">
        <f t="shared" si="72"/>
        <v>-30</v>
      </c>
      <c r="M27" s="232">
        <f t="shared" si="73"/>
        <v>-60</v>
      </c>
      <c r="N27" s="72">
        <f t="shared" si="74"/>
        <v>0</v>
      </c>
      <c r="O27" s="72">
        <f t="shared" si="75"/>
        <v>0</v>
      </c>
      <c r="P27" s="60">
        <f t="shared" si="76"/>
        <v>0.64</v>
      </c>
      <c r="Q27" s="72">
        <f t="shared" si="77"/>
        <v>0</v>
      </c>
      <c r="R27" s="73">
        <f t="shared" si="78"/>
        <v>0</v>
      </c>
      <c r="S27" s="238"/>
      <c r="T27" s="239"/>
      <c r="U27" s="239"/>
      <c r="V27" s="73">
        <f>T27*0.006165*U27^2*(O27-(8+(I27+K27))*'Data-PC'!$X$5/1000+2*MAX(6*U27,75)/1000+IF(O27&gt;12,ROUNDDOWN(O27/12,0)*'Data-PC'!$X$6*U27/1000,0))</f>
        <v>0</v>
      </c>
      <c r="W27" s="76"/>
      <c r="X27" s="63" t="e">
        <f t="shared" si="79"/>
        <v>#DIV/0!</v>
      </c>
      <c r="Y27" s="239"/>
      <c r="Z27" s="74">
        <f>IF(Y27&gt;0,((C27-2*'Data-PC'!$X$5+2*L27)*Y27),0)/1000</f>
        <v>0</v>
      </c>
      <c r="AA27" s="73">
        <f t="shared" si="80"/>
        <v>0</v>
      </c>
      <c r="AB27" s="76"/>
      <c r="AC27" s="63" t="e">
        <f t="shared" si="81"/>
        <v>#DIV/0!</v>
      </c>
      <c r="AD27" s="239"/>
      <c r="AE27" s="75">
        <f>IF(AD27&gt;0,((D27-J27-2*'Data-PC'!$X$5+2*L27)*AD27),0)/1000</f>
        <v>0</v>
      </c>
      <c r="AF27" s="73">
        <f t="shared" si="82"/>
        <v>0</v>
      </c>
      <c r="AG27" s="76"/>
      <c r="AH27" s="63" t="e">
        <f t="shared" si="83"/>
        <v>#DIV/0!</v>
      </c>
      <c r="AI27" s="239"/>
      <c r="AJ27" s="75">
        <f>IF(AI27&gt;0,((C27-2*'Data-PC'!$X$5+2*M27)*AI27),0)/1000</f>
        <v>0</v>
      </c>
      <c r="AK27" s="73">
        <f t="shared" si="84"/>
        <v>0</v>
      </c>
      <c r="AL27" s="76"/>
      <c r="AM27" s="63" t="e">
        <f t="shared" si="85"/>
        <v>#DIV/0!</v>
      </c>
      <c r="AN27" s="239"/>
      <c r="AO27" s="75">
        <f>IF(AN27&gt;0,((D27-J27-2*'Data-PC'!$X$5+2*M27)*AN27),0)/1000</f>
        <v>0</v>
      </c>
      <c r="AP27" s="73">
        <f t="shared" si="86"/>
        <v>0</v>
      </c>
      <c r="AQ27" s="239"/>
      <c r="AR27" s="239"/>
      <c r="AS27" s="239">
        <f>2*(E27-2*'Data-PC'!$X$5)+300+2*'Data-PC'!$X$7*AR27</f>
        <v>180</v>
      </c>
      <c r="AT27" s="72">
        <f t="shared" si="87"/>
        <v>0</v>
      </c>
      <c r="AU27" s="76"/>
      <c r="AV27" s="239"/>
      <c r="AW27" s="72">
        <f>IF(AV27&gt;0,(M27+2*L27*AU27)/1000*(ROUND((C27-2*'Data-PC'!$X$5)/AV27,0)+1)*(ROUND((D27-2*'Data-PC'!$X$5)/AV27,0)+1),0)</f>
        <v>0</v>
      </c>
      <c r="AX27" s="72">
        <f t="shared" si="88"/>
        <v>0</v>
      </c>
      <c r="AY27" s="67"/>
      <c r="AZ27" s="38"/>
      <c r="BA27" s="38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4"/>
      <c r="BN27" s="234"/>
      <c r="BO27" s="234"/>
      <c r="BP27" s="234"/>
      <c r="BQ27" s="234"/>
      <c r="BR27" s="234"/>
      <c r="BS27" s="234"/>
      <c r="BT27" s="234"/>
      <c r="BU27" s="234"/>
      <c r="BV27" s="234"/>
      <c r="BW27" s="234"/>
      <c r="BX27" s="234"/>
      <c r="BY27" s="234"/>
      <c r="BZ27" s="234"/>
    </row>
    <row r="28" spans="1:78" s="233" customFormat="1" ht="13.5">
      <c r="A28" s="21">
        <v>14</v>
      </c>
      <c r="B28" s="68"/>
      <c r="C28" s="90"/>
      <c r="D28" s="90"/>
      <c r="E28" s="90"/>
      <c r="F28" s="230">
        <v>0</v>
      </c>
      <c r="G28" s="90">
        <f t="shared" si="71"/>
        <v>0</v>
      </c>
      <c r="H28" s="231">
        <v>0</v>
      </c>
      <c r="I28" s="231">
        <v>0</v>
      </c>
      <c r="J28" s="240">
        <v>0</v>
      </c>
      <c r="K28" s="240">
        <v>0</v>
      </c>
      <c r="L28" s="232">
        <f t="shared" si="72"/>
        <v>-30</v>
      </c>
      <c r="M28" s="232">
        <f t="shared" si="73"/>
        <v>-60</v>
      </c>
      <c r="N28" s="72">
        <f t="shared" si="74"/>
        <v>0</v>
      </c>
      <c r="O28" s="72">
        <f t="shared" si="75"/>
        <v>0</v>
      </c>
      <c r="P28" s="60">
        <f t="shared" si="76"/>
        <v>0.64</v>
      </c>
      <c r="Q28" s="72">
        <f t="shared" si="77"/>
        <v>0</v>
      </c>
      <c r="R28" s="73">
        <f t="shared" si="78"/>
        <v>0</v>
      </c>
      <c r="S28" s="238"/>
      <c r="T28" s="239"/>
      <c r="U28" s="239"/>
      <c r="V28" s="73">
        <f>T28*0.006165*U28^2*(O28-(8+(I28+K28))*'Data-PC'!$X$5/1000+2*MAX(6*U28,75)/1000+IF(O28&gt;12,ROUNDDOWN(O28/12,0)*'Data-PC'!$X$6*U28/1000,0))</f>
        <v>0</v>
      </c>
      <c r="W28" s="76"/>
      <c r="X28" s="63" t="e">
        <f t="shared" si="79"/>
        <v>#DIV/0!</v>
      </c>
      <c r="Y28" s="239"/>
      <c r="Z28" s="74">
        <f>IF(Y28&gt;0,((C28-2*'Data-PC'!$X$5+2*L28)*Y28),0)/1000</f>
        <v>0</v>
      </c>
      <c r="AA28" s="73">
        <f t="shared" si="80"/>
        <v>0</v>
      </c>
      <c r="AB28" s="76"/>
      <c r="AC28" s="63" t="e">
        <f t="shared" si="81"/>
        <v>#DIV/0!</v>
      </c>
      <c r="AD28" s="239"/>
      <c r="AE28" s="75">
        <f>IF(AD28&gt;0,((D28-J28-2*'Data-PC'!$X$5+2*L28)*AD28),0)/1000</f>
        <v>0</v>
      </c>
      <c r="AF28" s="73">
        <f t="shared" si="82"/>
        <v>0</v>
      </c>
      <c r="AG28" s="76"/>
      <c r="AH28" s="63" t="e">
        <f t="shared" si="83"/>
        <v>#DIV/0!</v>
      </c>
      <c r="AI28" s="239"/>
      <c r="AJ28" s="75">
        <f>IF(AI28&gt;0,((C28-2*'Data-PC'!$X$5+2*M28)*AI28),0)/1000</f>
        <v>0</v>
      </c>
      <c r="AK28" s="73">
        <f t="shared" si="84"/>
        <v>0</v>
      </c>
      <c r="AL28" s="76"/>
      <c r="AM28" s="63" t="e">
        <f t="shared" si="85"/>
        <v>#DIV/0!</v>
      </c>
      <c r="AN28" s="239"/>
      <c r="AO28" s="75">
        <f>IF(AN28&gt;0,((D28-J28-2*'Data-PC'!$X$5+2*M28)*AN28),0)/1000</f>
        <v>0</v>
      </c>
      <c r="AP28" s="73">
        <f t="shared" si="86"/>
        <v>0</v>
      </c>
      <c r="AQ28" s="239"/>
      <c r="AR28" s="239"/>
      <c r="AS28" s="239">
        <f>2*(E28-2*'Data-PC'!$X$5)+300+2*'Data-PC'!$X$7*AR28</f>
        <v>180</v>
      </c>
      <c r="AT28" s="72">
        <f t="shared" si="87"/>
        <v>0</v>
      </c>
      <c r="AU28" s="76"/>
      <c r="AV28" s="239"/>
      <c r="AW28" s="72">
        <f>IF(AV28&gt;0,(M28+2*L28*AU28)/1000*(ROUND((C28-2*'Data-PC'!$X$5)/AV28,0)+1)*(ROUND((D28-2*'Data-PC'!$X$5)/AV28,0)+1),0)</f>
        <v>0</v>
      </c>
      <c r="AX28" s="72">
        <f t="shared" si="88"/>
        <v>0</v>
      </c>
      <c r="AY28" s="67"/>
      <c r="AZ28" s="38"/>
      <c r="BA28" s="38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4"/>
      <c r="BN28" s="234"/>
      <c r="BO28" s="234"/>
      <c r="BP28" s="234"/>
      <c r="BQ28" s="234"/>
      <c r="BR28" s="234"/>
      <c r="BS28" s="234"/>
      <c r="BT28" s="234"/>
      <c r="BU28" s="234"/>
      <c r="BV28" s="234"/>
      <c r="BW28" s="234"/>
      <c r="BX28" s="234"/>
      <c r="BY28" s="234"/>
      <c r="BZ28" s="234"/>
    </row>
    <row r="29" spans="1:78" s="233" customFormat="1" ht="13.5">
      <c r="A29" s="21">
        <v>15</v>
      </c>
      <c r="B29" s="68"/>
      <c r="C29" s="90"/>
      <c r="D29" s="90"/>
      <c r="E29" s="90"/>
      <c r="F29" s="230">
        <v>0</v>
      </c>
      <c r="G29" s="90">
        <f t="shared" si="71"/>
        <v>0</v>
      </c>
      <c r="H29" s="231">
        <v>0</v>
      </c>
      <c r="I29" s="231">
        <v>0</v>
      </c>
      <c r="J29" s="240">
        <v>0</v>
      </c>
      <c r="K29" s="240">
        <v>0</v>
      </c>
      <c r="L29" s="232">
        <f t="shared" si="72"/>
        <v>-30</v>
      </c>
      <c r="M29" s="232">
        <f t="shared" si="73"/>
        <v>-60</v>
      </c>
      <c r="N29" s="72">
        <f t="shared" si="74"/>
        <v>0</v>
      </c>
      <c r="O29" s="72">
        <f t="shared" si="75"/>
        <v>0</v>
      </c>
      <c r="P29" s="60">
        <f t="shared" si="76"/>
        <v>0.64</v>
      </c>
      <c r="Q29" s="72">
        <f t="shared" si="77"/>
        <v>0</v>
      </c>
      <c r="R29" s="73">
        <f t="shared" si="78"/>
        <v>0</v>
      </c>
      <c r="S29" s="238"/>
      <c r="T29" s="239"/>
      <c r="U29" s="239"/>
      <c r="V29" s="73">
        <f>T29*0.006165*U29^2*(O29-(8+(I29+K29))*'Data-PC'!$X$5/1000+2*MAX(6*U29,75)/1000+IF(O29&gt;12,ROUNDDOWN(O29/12,0)*'Data-PC'!$X$6*U29/1000,0))</f>
        <v>0</v>
      </c>
      <c r="W29" s="76"/>
      <c r="X29" s="63" t="e">
        <f t="shared" si="79"/>
        <v>#DIV/0!</v>
      </c>
      <c r="Y29" s="239"/>
      <c r="Z29" s="74">
        <f>IF(Y29&gt;0,((C29-2*'Data-PC'!$X$5+2*L29)*Y29),0)/1000</f>
        <v>0</v>
      </c>
      <c r="AA29" s="73">
        <f t="shared" si="80"/>
        <v>0</v>
      </c>
      <c r="AB29" s="76"/>
      <c r="AC29" s="63" t="e">
        <f t="shared" si="81"/>
        <v>#DIV/0!</v>
      </c>
      <c r="AD29" s="239"/>
      <c r="AE29" s="75">
        <f>IF(AD29&gt;0,((D29-J29-2*'Data-PC'!$X$5+2*L29)*AD29),0)/1000</f>
        <v>0</v>
      </c>
      <c r="AF29" s="73">
        <f t="shared" si="82"/>
        <v>0</v>
      </c>
      <c r="AG29" s="76"/>
      <c r="AH29" s="63" t="e">
        <f t="shared" si="83"/>
        <v>#DIV/0!</v>
      </c>
      <c r="AI29" s="239"/>
      <c r="AJ29" s="75">
        <f>IF(AI29&gt;0,((C29-2*'Data-PC'!$X$5+2*M29)*AI29),0)/1000</f>
        <v>0</v>
      </c>
      <c r="AK29" s="73">
        <f t="shared" si="84"/>
        <v>0</v>
      </c>
      <c r="AL29" s="76"/>
      <c r="AM29" s="63" t="e">
        <f t="shared" si="85"/>
        <v>#DIV/0!</v>
      </c>
      <c r="AN29" s="239"/>
      <c r="AO29" s="75">
        <f>IF(AN29&gt;0,((D29-J29-2*'Data-PC'!$X$5+2*M29)*AN29),0)/1000</f>
        <v>0</v>
      </c>
      <c r="AP29" s="73">
        <f t="shared" si="86"/>
        <v>0</v>
      </c>
      <c r="AQ29" s="239"/>
      <c r="AR29" s="239"/>
      <c r="AS29" s="239">
        <f>2*(E29-2*'Data-PC'!$X$5)+300+2*'Data-PC'!$X$7*AR29</f>
        <v>180</v>
      </c>
      <c r="AT29" s="72">
        <f t="shared" si="87"/>
        <v>0</v>
      </c>
      <c r="AU29" s="76"/>
      <c r="AV29" s="239"/>
      <c r="AW29" s="72">
        <f>IF(AV29&gt;0,(M29+2*L29*AU29)/1000*(ROUND((C29-2*'Data-PC'!$X$5)/AV29,0)+1)*(ROUND((D29-2*'Data-PC'!$X$5)/AV29,0)+1),0)</f>
        <v>0</v>
      </c>
      <c r="AX29" s="72">
        <f t="shared" si="88"/>
        <v>0</v>
      </c>
      <c r="AY29" s="67"/>
      <c r="AZ29" s="38"/>
      <c r="BA29" s="38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</row>
    <row r="30" spans="1:78" s="233" customFormat="1" ht="13.5">
      <c r="A30" s="21">
        <v>16</v>
      </c>
      <c r="B30" s="68"/>
      <c r="C30" s="90"/>
      <c r="D30" s="90"/>
      <c r="E30" s="90"/>
      <c r="F30" s="230">
        <v>0</v>
      </c>
      <c r="G30" s="90">
        <f t="shared" si="71"/>
        <v>0</v>
      </c>
      <c r="H30" s="231">
        <v>0</v>
      </c>
      <c r="I30" s="231">
        <v>0</v>
      </c>
      <c r="J30" s="240">
        <v>0</v>
      </c>
      <c r="K30" s="240">
        <v>0</v>
      </c>
      <c r="L30" s="232">
        <f t="shared" si="72"/>
        <v>-30</v>
      </c>
      <c r="M30" s="232">
        <f t="shared" si="73"/>
        <v>-60</v>
      </c>
      <c r="N30" s="72">
        <f t="shared" si="74"/>
        <v>0</v>
      </c>
      <c r="O30" s="72">
        <f t="shared" si="75"/>
        <v>0</v>
      </c>
      <c r="P30" s="60">
        <f t="shared" si="76"/>
        <v>0.64</v>
      </c>
      <c r="Q30" s="72">
        <f t="shared" si="77"/>
        <v>0</v>
      </c>
      <c r="R30" s="73">
        <f t="shared" si="78"/>
        <v>0</v>
      </c>
      <c r="S30" s="238"/>
      <c r="T30" s="239"/>
      <c r="U30" s="239"/>
      <c r="V30" s="73">
        <f>T30*0.006165*U30^2*(O30-(8+(I30+K30))*'Data-PC'!$X$5/1000+2*MAX(6*U30,75)/1000+IF(O30&gt;12,ROUNDDOWN(O30/12,0)*'Data-PC'!$X$6*U30/1000,0))</f>
        <v>0</v>
      </c>
      <c r="W30" s="76"/>
      <c r="X30" s="63" t="e">
        <f t="shared" si="79"/>
        <v>#DIV/0!</v>
      </c>
      <c r="Y30" s="239"/>
      <c r="Z30" s="74">
        <f>IF(Y30&gt;0,((C30-2*'Data-PC'!$X$5+2*L30)*Y30),0)/1000</f>
        <v>0</v>
      </c>
      <c r="AA30" s="73">
        <f t="shared" si="80"/>
        <v>0</v>
      </c>
      <c r="AB30" s="76"/>
      <c r="AC30" s="63" t="e">
        <f t="shared" si="81"/>
        <v>#DIV/0!</v>
      </c>
      <c r="AD30" s="239"/>
      <c r="AE30" s="75">
        <f>IF(AD30&gt;0,((D30-J30-2*'Data-PC'!$X$5+2*L30)*AD30),0)/1000</f>
        <v>0</v>
      </c>
      <c r="AF30" s="73">
        <f t="shared" si="82"/>
        <v>0</v>
      </c>
      <c r="AG30" s="76"/>
      <c r="AH30" s="63" t="e">
        <f t="shared" si="83"/>
        <v>#DIV/0!</v>
      </c>
      <c r="AI30" s="239"/>
      <c r="AJ30" s="75">
        <f>IF(AI30&gt;0,((C30-2*'Data-PC'!$X$5+2*M30)*AI30),0)/1000</f>
        <v>0</v>
      </c>
      <c r="AK30" s="73">
        <f t="shared" si="84"/>
        <v>0</v>
      </c>
      <c r="AL30" s="76"/>
      <c r="AM30" s="63" t="e">
        <f t="shared" si="85"/>
        <v>#DIV/0!</v>
      </c>
      <c r="AN30" s="239"/>
      <c r="AO30" s="75">
        <f>IF(AN30&gt;0,((D30-J30-2*'Data-PC'!$X$5+2*M30)*AN30),0)/1000</f>
        <v>0</v>
      </c>
      <c r="AP30" s="73">
        <f t="shared" si="86"/>
        <v>0</v>
      </c>
      <c r="AQ30" s="239"/>
      <c r="AR30" s="239"/>
      <c r="AS30" s="239">
        <f>2*(E30-2*'Data-PC'!$X$5)+300+2*'Data-PC'!$X$7*AR30</f>
        <v>180</v>
      </c>
      <c r="AT30" s="72">
        <f t="shared" si="87"/>
        <v>0</v>
      </c>
      <c r="AU30" s="76"/>
      <c r="AV30" s="239"/>
      <c r="AW30" s="72">
        <f>IF(AV30&gt;0,(M30+2*L30*AU30)/1000*(ROUND((C30-2*'Data-PC'!$X$5)/AV30,0)+1)*(ROUND((D30-2*'Data-PC'!$X$5)/AV30,0)+1),0)</f>
        <v>0</v>
      </c>
      <c r="AX30" s="72">
        <f t="shared" si="88"/>
        <v>0</v>
      </c>
      <c r="AY30" s="67"/>
      <c r="AZ30" s="38"/>
      <c r="BA30" s="38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4"/>
      <c r="BU30" s="234"/>
      <c r="BV30" s="234"/>
      <c r="BW30" s="234"/>
      <c r="BX30" s="234"/>
      <c r="BY30" s="234"/>
      <c r="BZ30" s="234"/>
    </row>
    <row r="31" spans="1:78" s="233" customFormat="1" ht="13.5">
      <c r="A31" s="21">
        <v>17</v>
      </c>
      <c r="B31" s="68"/>
      <c r="C31" s="90"/>
      <c r="D31" s="90"/>
      <c r="E31" s="90"/>
      <c r="F31" s="230">
        <v>0</v>
      </c>
      <c r="G31" s="90">
        <f t="shared" si="71"/>
        <v>0</v>
      </c>
      <c r="H31" s="231">
        <v>0</v>
      </c>
      <c r="I31" s="231">
        <v>0</v>
      </c>
      <c r="J31" s="240">
        <v>0</v>
      </c>
      <c r="K31" s="240">
        <v>0</v>
      </c>
      <c r="L31" s="232">
        <f t="shared" si="72"/>
        <v>-30</v>
      </c>
      <c r="M31" s="232">
        <f>E31-2*$X$5</f>
        <v>-60</v>
      </c>
      <c r="N31" s="72">
        <f>(C31*D31-1/2*H31*J31*AVERAGE(I31,K31))/1000000</f>
        <v>0</v>
      </c>
      <c r="O31" s="72">
        <f>(2*C31-I31*H31+2*D31-K31*J31+(I31+K31)/2*SQRT(H31^2+J31^2))/1000</f>
        <v>0</v>
      </c>
      <c r="P31" s="60">
        <f t="shared" si="76"/>
        <v>0.64</v>
      </c>
      <c r="Q31" s="72">
        <f t="shared" si="77"/>
        <v>0</v>
      </c>
      <c r="R31" s="73">
        <f t="shared" si="78"/>
        <v>0</v>
      </c>
      <c r="S31" s="238"/>
      <c r="T31" s="239"/>
      <c r="U31" s="239"/>
      <c r="V31" s="73">
        <f>T31*0.006165*U31^2*(O31-(8+(I31+K31))*'Data-PC'!$X$5/1000+2*MAX(6*U31,75)/1000+IF(O31&gt;12,ROUNDDOWN(O31/12,0)*'Data-PC'!$X$6*U31/1000,0))</f>
        <v>0</v>
      </c>
      <c r="W31" s="76"/>
      <c r="X31" s="63" t="e">
        <f t="shared" si="79"/>
        <v>#DIV/0!</v>
      </c>
      <c r="Y31" s="239"/>
      <c r="Z31" s="74">
        <f>IF(Y31&gt;0,((C31-2*'Data-PC'!$X$5+2*L31)*Y31),0)/1000</f>
        <v>0</v>
      </c>
      <c r="AA31" s="73">
        <f t="shared" si="80"/>
        <v>0</v>
      </c>
      <c r="AB31" s="76"/>
      <c r="AC31" s="63" t="e">
        <f t="shared" si="81"/>
        <v>#DIV/0!</v>
      </c>
      <c r="AD31" s="239"/>
      <c r="AE31" s="75">
        <f>IF(AD31&gt;0,((D31-J31-2*'Data-PC'!$X$5+2*L31)*AD31),0)/1000</f>
        <v>0</v>
      </c>
      <c r="AF31" s="73">
        <f t="shared" si="82"/>
        <v>0</v>
      </c>
      <c r="AG31" s="76"/>
      <c r="AH31" s="63" t="e">
        <f t="shared" si="83"/>
        <v>#DIV/0!</v>
      </c>
      <c r="AI31" s="239"/>
      <c r="AJ31" s="75">
        <f>IF(AI31&gt;0,((C31-2*'Data-PC'!$X$5+2*M31)*AI31),0)/1000</f>
        <v>0</v>
      </c>
      <c r="AK31" s="73">
        <f t="shared" si="84"/>
        <v>0</v>
      </c>
      <c r="AL31" s="76"/>
      <c r="AM31" s="63" t="e">
        <f t="shared" si="85"/>
        <v>#DIV/0!</v>
      </c>
      <c r="AN31" s="239"/>
      <c r="AO31" s="75">
        <f>IF(AN31&gt;0,((D31-J31-2*'Data-PC'!$X$5+2*M31)*AN31),0)/1000</f>
        <v>0</v>
      </c>
      <c r="AP31" s="73">
        <f>0.006165*AL31^2*AO31</f>
        <v>0</v>
      </c>
      <c r="AQ31" s="239"/>
      <c r="AR31" s="239"/>
      <c r="AS31" s="239">
        <f>2*(E31-2*'Data-PC'!$X$5)+300+2*'Data-PC'!$X$7*AR31</f>
        <v>180</v>
      </c>
      <c r="AT31" s="72">
        <f t="shared" si="87"/>
        <v>0</v>
      </c>
      <c r="AU31" s="76"/>
      <c r="AV31" s="239"/>
      <c r="AW31" s="72">
        <f>IF(AV31&gt;0,(M31+2*L31*AU31)/1000*(ROUND((C31-2*'Data-PC'!$X$5)/AV31,0)+1)*(ROUND((D31-2*'Data-PC'!$X$5)/AV31,0)+1),0)</f>
        <v>0</v>
      </c>
      <c r="AX31" s="72">
        <f t="shared" si="88"/>
        <v>0</v>
      </c>
      <c r="AY31" s="67"/>
      <c r="AZ31" s="38"/>
      <c r="BA31" s="38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234"/>
      <c r="BR31" s="234"/>
      <c r="BS31" s="234"/>
      <c r="BT31" s="234"/>
      <c r="BU31" s="234"/>
      <c r="BV31" s="234"/>
      <c r="BW31" s="234"/>
      <c r="BX31" s="234"/>
      <c r="BY31" s="234"/>
      <c r="BZ31" s="234"/>
    </row>
    <row r="32" spans="1:78" s="233" customFormat="1" ht="13.5">
      <c r="A32" s="21">
        <v>18</v>
      </c>
      <c r="B32" s="68"/>
      <c r="C32" s="90"/>
      <c r="D32" s="90"/>
      <c r="E32" s="90"/>
      <c r="F32" s="230">
        <v>0</v>
      </c>
      <c r="G32" s="90">
        <f t="shared" si="71"/>
        <v>0</v>
      </c>
      <c r="H32" s="231">
        <v>0</v>
      </c>
      <c r="I32" s="231">
        <v>0</v>
      </c>
      <c r="J32" s="240">
        <v>0</v>
      </c>
      <c r="K32" s="240">
        <v>0</v>
      </c>
      <c r="L32" s="232">
        <f t="shared" si="72"/>
        <v>-30</v>
      </c>
      <c r="M32" s="232">
        <f t="shared" ref="M32:M40" si="97">E32-2*$X$5</f>
        <v>-60</v>
      </c>
      <c r="N32" s="72">
        <f t="shared" ref="N32:N40" si="98">(C32*D32-1/2*H32*J32*AVERAGE(I32,K32))/1000000</f>
        <v>0</v>
      </c>
      <c r="O32" s="72">
        <f t="shared" ref="O32:O40" si="99">(2*C32-I32*H32+2*D32-K32*J32+(I32+K32)/2*SQRT(H32^2+J32^2))/1000</f>
        <v>0</v>
      </c>
      <c r="P32" s="60">
        <f t="shared" si="76"/>
        <v>0.64</v>
      </c>
      <c r="Q32" s="72">
        <f t="shared" si="77"/>
        <v>0</v>
      </c>
      <c r="R32" s="73">
        <f t="shared" si="78"/>
        <v>0</v>
      </c>
      <c r="S32" s="238"/>
      <c r="T32" s="239"/>
      <c r="U32" s="239"/>
      <c r="V32" s="73">
        <f>T32*0.006165*U32^2*(O32-(8+(I32+K32))*'Data-PC'!$X$5/1000+2*MAX(6*U32,75)/1000+IF(O32&gt;12,ROUNDDOWN(O32/12,0)*'Data-PC'!$X$6*U32/1000,0))</f>
        <v>0</v>
      </c>
      <c r="W32" s="76"/>
      <c r="X32" s="63" t="e">
        <f t="shared" si="79"/>
        <v>#DIV/0!</v>
      </c>
      <c r="Y32" s="239"/>
      <c r="Z32" s="74">
        <f>IF(Y32&gt;0,((C32-2*'Data-PC'!$X$5+2*L32)*Y32),0)/1000</f>
        <v>0</v>
      </c>
      <c r="AA32" s="73">
        <f t="shared" si="80"/>
        <v>0</v>
      </c>
      <c r="AB32" s="76"/>
      <c r="AC32" s="63" t="e">
        <f t="shared" si="81"/>
        <v>#DIV/0!</v>
      </c>
      <c r="AD32" s="239"/>
      <c r="AE32" s="75">
        <f>IF(AD32&gt;0,((D32-J32-2*'Data-PC'!$X$5+2*L32)*AD32),0)/1000</f>
        <v>0</v>
      </c>
      <c r="AF32" s="73">
        <f t="shared" si="82"/>
        <v>0</v>
      </c>
      <c r="AG32" s="76"/>
      <c r="AH32" s="63" t="e">
        <f t="shared" si="83"/>
        <v>#DIV/0!</v>
      </c>
      <c r="AI32" s="239"/>
      <c r="AJ32" s="75">
        <f>IF(AI32&gt;0,((C32-2*'Data-PC'!$X$5+2*M32)*AI32),0)/1000</f>
        <v>0</v>
      </c>
      <c r="AK32" s="73">
        <f t="shared" si="84"/>
        <v>0</v>
      </c>
      <c r="AL32" s="76"/>
      <c r="AM32" s="63" t="e">
        <f t="shared" si="85"/>
        <v>#DIV/0!</v>
      </c>
      <c r="AN32" s="239"/>
      <c r="AO32" s="75">
        <f>IF(AN32&gt;0,((D32-J32-2*'Data-PC'!$X$5+2*M32)*AN32),0)/1000</f>
        <v>0</v>
      </c>
      <c r="AP32" s="73">
        <f t="shared" ref="AP32:AP40" si="100">0.006165*AL32^2*AO32</f>
        <v>0</v>
      </c>
      <c r="AQ32" s="239"/>
      <c r="AR32" s="239"/>
      <c r="AS32" s="239">
        <f>2*(E32-2*'Data-PC'!$X$5)+300+2*'Data-PC'!$X$7*AR32</f>
        <v>180</v>
      </c>
      <c r="AT32" s="72">
        <f t="shared" si="87"/>
        <v>0</v>
      </c>
      <c r="AU32" s="76"/>
      <c r="AV32" s="239"/>
      <c r="AW32" s="72">
        <f>IF(AV32&gt;0,(M32+2*L32*AU32)/1000*(ROUND((C32-2*'Data-PC'!$X$5)/AV32,0)+1)*(ROUND((D32-2*'Data-PC'!$X$5)/AV32,0)+1),0)</f>
        <v>0</v>
      </c>
      <c r="AX32" s="72">
        <f t="shared" si="88"/>
        <v>0</v>
      </c>
      <c r="AY32" s="67"/>
      <c r="AZ32" s="38"/>
      <c r="BA32" s="38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34"/>
      <c r="BV32" s="234"/>
      <c r="BW32" s="234"/>
      <c r="BX32" s="234"/>
      <c r="BY32" s="234"/>
      <c r="BZ32" s="234"/>
    </row>
    <row r="33" spans="1:78" s="233" customFormat="1" ht="13.5">
      <c r="A33" s="21">
        <v>19</v>
      </c>
      <c r="B33" s="68"/>
      <c r="C33" s="90"/>
      <c r="D33" s="90"/>
      <c r="E33" s="90"/>
      <c r="F33" s="230">
        <v>0</v>
      </c>
      <c r="G33" s="90">
        <f t="shared" si="71"/>
        <v>0</v>
      </c>
      <c r="H33" s="231">
        <v>0</v>
      </c>
      <c r="I33" s="231">
        <v>0</v>
      </c>
      <c r="J33" s="240">
        <v>0</v>
      </c>
      <c r="K33" s="240">
        <v>0</v>
      </c>
      <c r="L33" s="232">
        <f t="shared" si="72"/>
        <v>-30</v>
      </c>
      <c r="M33" s="232">
        <f t="shared" si="97"/>
        <v>-60</v>
      </c>
      <c r="N33" s="72">
        <f t="shared" si="98"/>
        <v>0</v>
      </c>
      <c r="O33" s="72">
        <f t="shared" si="99"/>
        <v>0</v>
      </c>
      <c r="P33" s="60">
        <f t="shared" si="76"/>
        <v>0.64</v>
      </c>
      <c r="Q33" s="72">
        <f t="shared" si="77"/>
        <v>0</v>
      </c>
      <c r="R33" s="73">
        <f t="shared" si="78"/>
        <v>0</v>
      </c>
      <c r="S33" s="238"/>
      <c r="T33" s="239"/>
      <c r="U33" s="239"/>
      <c r="V33" s="73">
        <f>T33*0.006165*U33^2*(O33-(8+(I33+K33))*'Data-PC'!$X$5/1000+2*MAX(6*U33,75)/1000+IF(O33&gt;12,ROUNDDOWN(O33/12,0)*'Data-PC'!$X$6*U33/1000,0))</f>
        <v>0</v>
      </c>
      <c r="W33" s="76"/>
      <c r="X33" s="63" t="e">
        <f t="shared" si="79"/>
        <v>#DIV/0!</v>
      </c>
      <c r="Y33" s="239"/>
      <c r="Z33" s="74">
        <f>IF(Y33&gt;0,((C33-2*'Data-PC'!$X$5+2*L33)*Y33),0)/1000</f>
        <v>0</v>
      </c>
      <c r="AA33" s="73">
        <f t="shared" si="80"/>
        <v>0</v>
      </c>
      <c r="AB33" s="76"/>
      <c r="AC33" s="63" t="e">
        <f t="shared" si="81"/>
        <v>#DIV/0!</v>
      </c>
      <c r="AD33" s="239"/>
      <c r="AE33" s="75">
        <f>IF(AD33&gt;0,((D33-J33-2*'Data-PC'!$X$5+2*L33)*AD33),0)/1000</f>
        <v>0</v>
      </c>
      <c r="AF33" s="73">
        <f t="shared" si="82"/>
        <v>0</v>
      </c>
      <c r="AG33" s="76"/>
      <c r="AH33" s="63" t="e">
        <f t="shared" si="83"/>
        <v>#DIV/0!</v>
      </c>
      <c r="AI33" s="239"/>
      <c r="AJ33" s="75">
        <f>IF(AI33&gt;0,((C33-2*'Data-PC'!$X$5+2*M33)*AI33),0)/1000</f>
        <v>0</v>
      </c>
      <c r="AK33" s="73">
        <f t="shared" si="84"/>
        <v>0</v>
      </c>
      <c r="AL33" s="76"/>
      <c r="AM33" s="63" t="e">
        <f t="shared" si="85"/>
        <v>#DIV/0!</v>
      </c>
      <c r="AN33" s="239"/>
      <c r="AO33" s="75">
        <f>IF(AN33&gt;0,((D33-J33-2*'Data-PC'!$X$5+2*M33)*AN33),0)/1000</f>
        <v>0</v>
      </c>
      <c r="AP33" s="73">
        <f t="shared" si="100"/>
        <v>0</v>
      </c>
      <c r="AQ33" s="239"/>
      <c r="AR33" s="239"/>
      <c r="AS33" s="239">
        <f>2*(E33-2*'Data-PC'!$X$5)+300+2*'Data-PC'!$X$7*AR33</f>
        <v>180</v>
      </c>
      <c r="AT33" s="72">
        <f t="shared" si="87"/>
        <v>0</v>
      </c>
      <c r="AU33" s="76"/>
      <c r="AV33" s="239"/>
      <c r="AW33" s="72">
        <f>IF(AV33&gt;0,(M33+2*L33*AU33)/1000*(ROUND((C33-2*'Data-PC'!$X$5)/AV33,0)+1)*(ROUND((D33-2*'Data-PC'!$X$5)/AV33,0)+1),0)</f>
        <v>0</v>
      </c>
      <c r="AX33" s="72">
        <f t="shared" si="88"/>
        <v>0</v>
      </c>
      <c r="AY33" s="67"/>
      <c r="AZ33" s="38"/>
      <c r="BA33" s="38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34"/>
      <c r="BV33" s="234"/>
      <c r="BW33" s="234"/>
      <c r="BX33" s="234"/>
      <c r="BY33" s="234"/>
      <c r="BZ33" s="234"/>
    </row>
    <row r="34" spans="1:78" s="233" customFormat="1" ht="13.5">
      <c r="A34" s="21">
        <v>20</v>
      </c>
      <c r="B34" s="68"/>
      <c r="C34" s="90"/>
      <c r="D34" s="90"/>
      <c r="E34" s="90"/>
      <c r="F34" s="230">
        <v>0</v>
      </c>
      <c r="G34" s="90">
        <f t="shared" si="71"/>
        <v>0</v>
      </c>
      <c r="H34" s="231">
        <v>0</v>
      </c>
      <c r="I34" s="231">
        <v>0</v>
      </c>
      <c r="J34" s="240">
        <v>0</v>
      </c>
      <c r="K34" s="240">
        <v>0</v>
      </c>
      <c r="L34" s="232">
        <f t="shared" si="72"/>
        <v>-30</v>
      </c>
      <c r="M34" s="232">
        <f t="shared" si="97"/>
        <v>-60</v>
      </c>
      <c r="N34" s="72">
        <f t="shared" si="98"/>
        <v>0</v>
      </c>
      <c r="O34" s="72">
        <f t="shared" si="99"/>
        <v>0</v>
      </c>
      <c r="P34" s="60">
        <f t="shared" si="76"/>
        <v>0.64</v>
      </c>
      <c r="Q34" s="72">
        <f t="shared" si="77"/>
        <v>0</v>
      </c>
      <c r="R34" s="73">
        <f t="shared" si="78"/>
        <v>0</v>
      </c>
      <c r="S34" s="238"/>
      <c r="T34" s="239"/>
      <c r="U34" s="239"/>
      <c r="V34" s="73">
        <f>T34*0.006165*U34^2*(O34-(8+(I34+K34))*'Data-PC'!$X$5/1000+2*MAX(6*U34,75)/1000+IF(O34&gt;12,ROUNDDOWN(O34/12,0)*'Data-PC'!$X$6*U34/1000,0))</f>
        <v>0</v>
      </c>
      <c r="W34" s="76"/>
      <c r="X34" s="63" t="e">
        <f t="shared" si="79"/>
        <v>#DIV/0!</v>
      </c>
      <c r="Y34" s="239"/>
      <c r="Z34" s="74">
        <f>IF(Y34&gt;0,((C34-2*'Data-PC'!$X$5+2*L34)*Y34),0)/1000</f>
        <v>0</v>
      </c>
      <c r="AA34" s="73">
        <f t="shared" si="80"/>
        <v>0</v>
      </c>
      <c r="AB34" s="76"/>
      <c r="AC34" s="63" t="e">
        <f t="shared" si="81"/>
        <v>#DIV/0!</v>
      </c>
      <c r="AD34" s="239"/>
      <c r="AE34" s="75">
        <f>IF(AD34&gt;0,((D34-J34-2*'Data-PC'!$X$5+2*L34)*AD34),0)/1000</f>
        <v>0</v>
      </c>
      <c r="AF34" s="73">
        <f t="shared" si="82"/>
        <v>0</v>
      </c>
      <c r="AG34" s="76"/>
      <c r="AH34" s="63" t="e">
        <f t="shared" si="83"/>
        <v>#DIV/0!</v>
      </c>
      <c r="AI34" s="239"/>
      <c r="AJ34" s="75">
        <f>IF(AI34&gt;0,((C34-2*'Data-PC'!$X$5+2*M34)*AI34),0)/1000</f>
        <v>0</v>
      </c>
      <c r="AK34" s="73">
        <f t="shared" si="84"/>
        <v>0</v>
      </c>
      <c r="AL34" s="76"/>
      <c r="AM34" s="63" t="e">
        <f t="shared" si="85"/>
        <v>#DIV/0!</v>
      </c>
      <c r="AN34" s="239"/>
      <c r="AO34" s="75">
        <f>IF(AN34&gt;0,((D34-J34-2*'Data-PC'!$X$5+2*M34)*AN34),0)/1000</f>
        <v>0</v>
      </c>
      <c r="AP34" s="73">
        <f t="shared" si="100"/>
        <v>0</v>
      </c>
      <c r="AQ34" s="239"/>
      <c r="AR34" s="239"/>
      <c r="AS34" s="239">
        <f>2*(E34-2*'Data-PC'!$X$5)+300+2*'Data-PC'!$X$7*AR34</f>
        <v>180</v>
      </c>
      <c r="AT34" s="72">
        <f t="shared" si="87"/>
        <v>0</v>
      </c>
      <c r="AU34" s="76"/>
      <c r="AV34" s="239"/>
      <c r="AW34" s="72">
        <f>IF(AV34&gt;0,(M34+2*L34*AU34)/1000*(ROUND((C34-2*'Data-PC'!$X$5)/AV34,0)+1)*(ROUND((D34-2*'Data-PC'!$X$5)/AV34,0)+1),0)</f>
        <v>0</v>
      </c>
      <c r="AX34" s="72">
        <f t="shared" si="88"/>
        <v>0</v>
      </c>
      <c r="AY34" s="67"/>
      <c r="AZ34" s="38"/>
      <c r="BA34" s="38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34"/>
      <c r="BV34" s="234"/>
      <c r="BW34" s="234"/>
      <c r="BX34" s="234"/>
      <c r="BY34" s="234"/>
      <c r="BZ34" s="234"/>
    </row>
    <row r="35" spans="1:78" s="233" customFormat="1" ht="13.5">
      <c r="A35" s="21">
        <v>21</v>
      </c>
      <c r="B35" s="68"/>
      <c r="C35" s="90"/>
      <c r="D35" s="90"/>
      <c r="E35" s="90"/>
      <c r="F35" s="230">
        <v>0</v>
      </c>
      <c r="G35" s="90">
        <f t="shared" si="71"/>
        <v>0</v>
      </c>
      <c r="H35" s="231">
        <v>0</v>
      </c>
      <c r="I35" s="231">
        <v>0</v>
      </c>
      <c r="J35" s="240">
        <v>0</v>
      </c>
      <c r="K35" s="240">
        <v>0</v>
      </c>
      <c r="L35" s="232">
        <f t="shared" si="72"/>
        <v>-30</v>
      </c>
      <c r="M35" s="232">
        <f t="shared" si="97"/>
        <v>-60</v>
      </c>
      <c r="N35" s="72">
        <f t="shared" si="98"/>
        <v>0</v>
      </c>
      <c r="O35" s="72">
        <f t="shared" si="99"/>
        <v>0</v>
      </c>
      <c r="P35" s="60">
        <f t="shared" si="76"/>
        <v>0.64</v>
      </c>
      <c r="Q35" s="72">
        <f t="shared" si="77"/>
        <v>0</v>
      </c>
      <c r="R35" s="73">
        <f t="shared" si="78"/>
        <v>0</v>
      </c>
      <c r="S35" s="238"/>
      <c r="T35" s="239"/>
      <c r="U35" s="239"/>
      <c r="V35" s="73">
        <f>T35*0.006165*U35^2*(O35-(8+(I35+K35))*'Data-PC'!$X$5/1000+2*MAX(6*U35,75)/1000+IF(O35&gt;12,ROUNDDOWN(O35/12,0)*'Data-PC'!$X$6*U35/1000,0))</f>
        <v>0</v>
      </c>
      <c r="W35" s="76"/>
      <c r="X35" s="63" t="e">
        <f t="shared" si="79"/>
        <v>#DIV/0!</v>
      </c>
      <c r="Y35" s="239"/>
      <c r="Z35" s="74">
        <f>IF(Y35&gt;0,((C35-2*'Data-PC'!$X$5+2*L35)*Y35),0)/1000</f>
        <v>0</v>
      </c>
      <c r="AA35" s="73">
        <f t="shared" si="80"/>
        <v>0</v>
      </c>
      <c r="AB35" s="76"/>
      <c r="AC35" s="63" t="e">
        <f t="shared" si="81"/>
        <v>#DIV/0!</v>
      </c>
      <c r="AD35" s="239"/>
      <c r="AE35" s="75">
        <f>IF(AD35&gt;0,((D35-J35-2*'Data-PC'!$X$5+2*L35)*AD35),0)/1000</f>
        <v>0</v>
      </c>
      <c r="AF35" s="73">
        <f t="shared" si="82"/>
        <v>0</v>
      </c>
      <c r="AG35" s="76"/>
      <c r="AH35" s="63" t="e">
        <f t="shared" si="83"/>
        <v>#DIV/0!</v>
      </c>
      <c r="AI35" s="239"/>
      <c r="AJ35" s="75">
        <f>IF(AI35&gt;0,((C35-2*'Data-PC'!$X$5+2*M35)*AI35),0)/1000</f>
        <v>0</v>
      </c>
      <c r="AK35" s="73">
        <f t="shared" si="84"/>
        <v>0</v>
      </c>
      <c r="AL35" s="76"/>
      <c r="AM35" s="63" t="e">
        <f t="shared" si="85"/>
        <v>#DIV/0!</v>
      </c>
      <c r="AN35" s="239"/>
      <c r="AO35" s="75">
        <f>IF(AN35&gt;0,((D35-J35-2*'Data-PC'!$X$5+2*M35)*AN35),0)/1000</f>
        <v>0</v>
      </c>
      <c r="AP35" s="73">
        <f t="shared" si="100"/>
        <v>0</v>
      </c>
      <c r="AQ35" s="239"/>
      <c r="AR35" s="239"/>
      <c r="AS35" s="239">
        <f>2*(E35-2*'Data-PC'!$X$5)+300+2*'Data-PC'!$X$7*AR35</f>
        <v>180</v>
      </c>
      <c r="AT35" s="72">
        <f t="shared" si="87"/>
        <v>0</v>
      </c>
      <c r="AU35" s="76"/>
      <c r="AV35" s="239"/>
      <c r="AW35" s="72">
        <f>IF(AV35&gt;0,(M35+2*L35*AU35)/1000*(ROUND((C35-2*'Data-PC'!$X$5)/AV35,0)+1)*(ROUND((D35-2*'Data-PC'!$X$5)/AV35,0)+1),0)</f>
        <v>0</v>
      </c>
      <c r="AX35" s="72">
        <f t="shared" si="88"/>
        <v>0</v>
      </c>
      <c r="AY35" s="67"/>
      <c r="AZ35" s="38"/>
      <c r="BA35" s="38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34"/>
      <c r="BV35" s="234"/>
      <c r="BW35" s="234"/>
      <c r="BX35" s="234"/>
      <c r="BY35" s="234"/>
      <c r="BZ35" s="234"/>
    </row>
    <row r="36" spans="1:78" ht="13.5">
      <c r="A36" s="21">
        <v>22</v>
      </c>
      <c r="B36" s="68"/>
      <c r="C36" s="90"/>
      <c r="D36" s="90"/>
      <c r="E36" s="90"/>
      <c r="F36" s="230">
        <v>0</v>
      </c>
      <c r="G36" s="90">
        <f t="shared" si="71"/>
        <v>0</v>
      </c>
      <c r="H36" s="231">
        <v>0</v>
      </c>
      <c r="I36" s="231">
        <v>0</v>
      </c>
      <c r="J36" s="240">
        <v>0</v>
      </c>
      <c r="K36" s="240">
        <v>0</v>
      </c>
      <c r="L36" s="232">
        <f t="shared" si="72"/>
        <v>-30</v>
      </c>
      <c r="M36" s="232">
        <f t="shared" si="97"/>
        <v>-60</v>
      </c>
      <c r="N36" s="72">
        <f t="shared" si="98"/>
        <v>0</v>
      </c>
      <c r="O36" s="72">
        <f t="shared" si="99"/>
        <v>0</v>
      </c>
      <c r="P36" s="60">
        <f t="shared" si="76"/>
        <v>0.64</v>
      </c>
      <c r="Q36" s="72">
        <f t="shared" si="77"/>
        <v>0</v>
      </c>
      <c r="R36" s="73">
        <f t="shared" si="78"/>
        <v>0</v>
      </c>
      <c r="S36" s="238"/>
      <c r="T36" s="239"/>
      <c r="U36" s="239"/>
      <c r="V36" s="73">
        <f>T36*0.006165*U36^2*(O36-(8+(I36+K36))*'Data-PC'!$X$5/1000+2*MAX(6*U36,75)/1000+IF(O36&gt;12,ROUNDDOWN(O36/12,0)*'Data-PC'!$X$6*U36/1000,0))</f>
        <v>0</v>
      </c>
      <c r="W36" s="76"/>
      <c r="X36" s="63" t="e">
        <f t="shared" si="79"/>
        <v>#DIV/0!</v>
      </c>
      <c r="Y36" s="239"/>
      <c r="Z36" s="74">
        <f>IF(Y36&gt;0,((C36-2*'Data-PC'!$X$5+2*L36)*Y36),0)/1000</f>
        <v>0</v>
      </c>
      <c r="AA36" s="73">
        <f t="shared" si="80"/>
        <v>0</v>
      </c>
      <c r="AB36" s="76"/>
      <c r="AC36" s="63" t="e">
        <f t="shared" si="81"/>
        <v>#DIV/0!</v>
      </c>
      <c r="AD36" s="239"/>
      <c r="AE36" s="75">
        <f>IF(AD36&gt;0,((D36-J36-2*'Data-PC'!$X$5+2*L36)*AD36),0)/1000</f>
        <v>0</v>
      </c>
      <c r="AF36" s="73">
        <f t="shared" si="82"/>
        <v>0</v>
      </c>
      <c r="AG36" s="76"/>
      <c r="AH36" s="63" t="e">
        <f t="shared" si="83"/>
        <v>#DIV/0!</v>
      </c>
      <c r="AI36" s="239"/>
      <c r="AJ36" s="75">
        <f>IF(AI36&gt;0,((C36-2*'Data-PC'!$X$5+2*M36)*AI36),0)/1000</f>
        <v>0</v>
      </c>
      <c r="AK36" s="73">
        <f t="shared" si="84"/>
        <v>0</v>
      </c>
      <c r="AL36" s="76"/>
      <c r="AM36" s="63" t="e">
        <f t="shared" si="85"/>
        <v>#DIV/0!</v>
      </c>
      <c r="AN36" s="239"/>
      <c r="AO36" s="75">
        <f>IF(AN36&gt;0,((D36-J36-2*'Data-PC'!$X$5+2*M36)*AN36),0)/1000</f>
        <v>0</v>
      </c>
      <c r="AP36" s="73">
        <f t="shared" si="100"/>
        <v>0</v>
      </c>
      <c r="AQ36" s="239"/>
      <c r="AR36" s="239"/>
      <c r="AS36" s="239">
        <f>2*(E36-2*'Data-PC'!$X$5)+300+2*'Data-PC'!$X$7*AR36</f>
        <v>180</v>
      </c>
      <c r="AT36" s="72">
        <f t="shared" si="87"/>
        <v>0</v>
      </c>
      <c r="AU36" s="76"/>
      <c r="AV36" s="239"/>
      <c r="AW36" s="72">
        <f>IF(AV36&gt;0,(M36+2*L36*AU36)/1000*(ROUND((C36-2*'Data-PC'!$X$5)/AV36,0)+1)*(ROUND((D36-2*'Data-PC'!$X$5)/AV36,0)+1),0)</f>
        <v>0</v>
      </c>
      <c r="AX36" s="72">
        <f t="shared" si="88"/>
        <v>0</v>
      </c>
      <c r="AY36" s="67"/>
      <c r="AZ36" s="38"/>
      <c r="BA36" s="38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</row>
    <row r="37" spans="1:78" ht="13.5">
      <c r="A37" s="21">
        <v>23</v>
      </c>
      <c r="B37" s="68"/>
      <c r="C37" s="90"/>
      <c r="D37" s="90"/>
      <c r="E37" s="90"/>
      <c r="F37" s="230">
        <v>0</v>
      </c>
      <c r="G37" s="90">
        <f t="shared" si="71"/>
        <v>0</v>
      </c>
      <c r="H37" s="231">
        <v>0</v>
      </c>
      <c r="I37" s="231">
        <v>0</v>
      </c>
      <c r="J37" s="240">
        <v>0</v>
      </c>
      <c r="K37" s="240">
        <v>0</v>
      </c>
      <c r="L37" s="232">
        <f t="shared" si="72"/>
        <v>-30</v>
      </c>
      <c r="M37" s="232">
        <f t="shared" si="97"/>
        <v>-60</v>
      </c>
      <c r="N37" s="72">
        <f t="shared" si="98"/>
        <v>0</v>
      </c>
      <c r="O37" s="72">
        <f t="shared" si="99"/>
        <v>0</v>
      </c>
      <c r="P37" s="60">
        <f t="shared" si="76"/>
        <v>0.64</v>
      </c>
      <c r="Q37" s="72">
        <f t="shared" si="77"/>
        <v>0</v>
      </c>
      <c r="R37" s="73">
        <f t="shared" si="78"/>
        <v>0</v>
      </c>
      <c r="S37" s="238"/>
      <c r="T37" s="239"/>
      <c r="U37" s="239"/>
      <c r="V37" s="73">
        <f>T37*0.006165*U37^2*(O37-(8+(I37+K37))*'Data-PC'!$X$5/1000+2*MAX(6*U37,75)/1000+IF(O37&gt;12,ROUNDDOWN(O37/12,0)*'Data-PC'!$X$6*U37/1000,0))</f>
        <v>0</v>
      </c>
      <c r="W37" s="76"/>
      <c r="X37" s="63" t="e">
        <f t="shared" si="79"/>
        <v>#DIV/0!</v>
      </c>
      <c r="Y37" s="239"/>
      <c r="Z37" s="74">
        <f>IF(Y37&gt;0,((C37-2*'Data-PC'!$X$5+2*L37)*Y37),0)/1000</f>
        <v>0</v>
      </c>
      <c r="AA37" s="73">
        <f t="shared" si="80"/>
        <v>0</v>
      </c>
      <c r="AB37" s="76"/>
      <c r="AC37" s="63" t="e">
        <f t="shared" si="81"/>
        <v>#DIV/0!</v>
      </c>
      <c r="AD37" s="239"/>
      <c r="AE37" s="75">
        <f>IF(AD37&gt;0,((D37-J37-2*'Data-PC'!$X$5+2*L37)*AD37),0)/1000</f>
        <v>0</v>
      </c>
      <c r="AF37" s="73">
        <f t="shared" si="82"/>
        <v>0</v>
      </c>
      <c r="AG37" s="76"/>
      <c r="AH37" s="63" t="e">
        <f t="shared" si="83"/>
        <v>#DIV/0!</v>
      </c>
      <c r="AI37" s="239"/>
      <c r="AJ37" s="75">
        <f>IF(AI37&gt;0,((C37-2*'Data-PC'!$X$5+2*M37)*AI37),0)/1000</f>
        <v>0</v>
      </c>
      <c r="AK37" s="73">
        <f t="shared" si="84"/>
        <v>0</v>
      </c>
      <c r="AL37" s="76"/>
      <c r="AM37" s="63" t="e">
        <f t="shared" si="85"/>
        <v>#DIV/0!</v>
      </c>
      <c r="AN37" s="239"/>
      <c r="AO37" s="75">
        <f>IF(AN37&gt;0,((D37-J37-2*'Data-PC'!$X$5+2*M37)*AN37),0)/1000</f>
        <v>0</v>
      </c>
      <c r="AP37" s="73">
        <f t="shared" si="100"/>
        <v>0</v>
      </c>
      <c r="AQ37" s="239"/>
      <c r="AR37" s="239"/>
      <c r="AS37" s="239">
        <f>2*(E37-2*'Data-PC'!$X$5)+300+2*'Data-PC'!$X$7*AR37</f>
        <v>180</v>
      </c>
      <c r="AT37" s="72">
        <f t="shared" si="87"/>
        <v>0</v>
      </c>
      <c r="AU37" s="76"/>
      <c r="AV37" s="239"/>
      <c r="AW37" s="72">
        <f>IF(AV37&gt;0,(M37+2*L37*AU37)/1000*(ROUND((C37-2*'Data-PC'!$X$5)/AV37,0)+1)*(ROUND((D37-2*'Data-PC'!$X$5)/AV37,0)+1),0)</f>
        <v>0</v>
      </c>
      <c r="AX37" s="72">
        <f t="shared" si="88"/>
        <v>0</v>
      </c>
      <c r="AY37" s="67"/>
      <c r="AZ37" s="38"/>
      <c r="BA37" s="38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</row>
    <row r="38" spans="1:78" ht="13.5">
      <c r="A38" s="21">
        <v>24</v>
      </c>
      <c r="B38" s="68"/>
      <c r="C38" s="90"/>
      <c r="D38" s="90"/>
      <c r="E38" s="90"/>
      <c r="F38" s="230">
        <v>0</v>
      </c>
      <c r="G38" s="90">
        <f t="shared" si="71"/>
        <v>0</v>
      </c>
      <c r="H38" s="231">
        <v>0</v>
      </c>
      <c r="I38" s="231">
        <v>0</v>
      </c>
      <c r="J38" s="240">
        <v>0</v>
      </c>
      <c r="K38" s="240">
        <v>0</v>
      </c>
      <c r="L38" s="232">
        <f t="shared" si="72"/>
        <v>-30</v>
      </c>
      <c r="M38" s="232">
        <f t="shared" si="97"/>
        <v>-60</v>
      </c>
      <c r="N38" s="72">
        <f t="shared" si="98"/>
        <v>0</v>
      </c>
      <c r="O38" s="72">
        <f t="shared" si="99"/>
        <v>0</v>
      </c>
      <c r="P38" s="60">
        <f t="shared" si="76"/>
        <v>0.64</v>
      </c>
      <c r="Q38" s="72">
        <f t="shared" si="77"/>
        <v>0</v>
      </c>
      <c r="R38" s="73">
        <f t="shared" si="78"/>
        <v>0</v>
      </c>
      <c r="S38" s="238"/>
      <c r="T38" s="239"/>
      <c r="U38" s="239"/>
      <c r="V38" s="73">
        <f>T38*0.006165*U38^2*(O38-(8+(I38+K38))*'Data-PC'!$X$5/1000+2*MAX(6*U38,75)/1000+IF(O38&gt;12,ROUNDDOWN(O38/12,0)*'Data-PC'!$X$6*U38/1000,0))</f>
        <v>0</v>
      </c>
      <c r="W38" s="76"/>
      <c r="X38" s="63" t="e">
        <f t="shared" si="79"/>
        <v>#DIV/0!</v>
      </c>
      <c r="Y38" s="239"/>
      <c r="Z38" s="74">
        <f>IF(Y38&gt;0,((C38-2*'Data-PC'!$X$5+2*L38)*Y38),0)/1000</f>
        <v>0</v>
      </c>
      <c r="AA38" s="73">
        <f t="shared" si="80"/>
        <v>0</v>
      </c>
      <c r="AB38" s="76"/>
      <c r="AC38" s="63" t="e">
        <f t="shared" si="81"/>
        <v>#DIV/0!</v>
      </c>
      <c r="AD38" s="239"/>
      <c r="AE38" s="75">
        <f>IF(AD38&gt;0,((D38-J38-2*'Data-PC'!$X$5+2*L38)*AD38),0)/1000</f>
        <v>0</v>
      </c>
      <c r="AF38" s="73">
        <f t="shared" si="82"/>
        <v>0</v>
      </c>
      <c r="AG38" s="76"/>
      <c r="AH38" s="63" t="e">
        <f t="shared" si="83"/>
        <v>#DIV/0!</v>
      </c>
      <c r="AI38" s="239"/>
      <c r="AJ38" s="75">
        <f>IF(AI38&gt;0,((C38-2*'Data-PC'!$X$5+2*M38)*AI38),0)/1000</f>
        <v>0</v>
      </c>
      <c r="AK38" s="73">
        <f t="shared" si="84"/>
        <v>0</v>
      </c>
      <c r="AL38" s="76"/>
      <c r="AM38" s="63" t="e">
        <f t="shared" si="85"/>
        <v>#DIV/0!</v>
      </c>
      <c r="AN38" s="239"/>
      <c r="AO38" s="75">
        <f>IF(AN38&gt;0,((D38-J38-2*'Data-PC'!$X$5+2*M38)*AN38),0)/1000</f>
        <v>0</v>
      </c>
      <c r="AP38" s="73">
        <f t="shared" si="100"/>
        <v>0</v>
      </c>
      <c r="AQ38" s="239"/>
      <c r="AR38" s="239"/>
      <c r="AS38" s="239">
        <f>2*(E38-2*'Data-PC'!$X$5)+300+2*'Data-PC'!$X$7*AR38</f>
        <v>180</v>
      </c>
      <c r="AT38" s="72">
        <f t="shared" si="87"/>
        <v>0</v>
      </c>
      <c r="AU38" s="76"/>
      <c r="AV38" s="239"/>
      <c r="AW38" s="72">
        <f>IF(AV38&gt;0,(M38+2*L38*AU38)/1000*(ROUND((C38-2*'Data-PC'!$X$5)/AV38,0)+1)*(ROUND((D38-2*'Data-PC'!$X$5)/AV38,0)+1),0)</f>
        <v>0</v>
      </c>
      <c r="AX38" s="72">
        <f t="shared" si="88"/>
        <v>0</v>
      </c>
      <c r="AY38" s="67"/>
      <c r="AZ38" s="38"/>
      <c r="BA38" s="38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</row>
    <row r="39" spans="1:78" s="233" customFormat="1" ht="13.5">
      <c r="A39" s="21">
        <v>25</v>
      </c>
      <c r="B39" s="68"/>
      <c r="C39" s="90"/>
      <c r="D39" s="90"/>
      <c r="E39" s="90"/>
      <c r="F39" s="230">
        <v>0</v>
      </c>
      <c r="G39" s="90">
        <f t="shared" si="71"/>
        <v>0</v>
      </c>
      <c r="H39" s="231">
        <v>0</v>
      </c>
      <c r="I39" s="231">
        <v>0</v>
      </c>
      <c r="J39" s="240">
        <v>0</v>
      </c>
      <c r="K39" s="240">
        <v>0</v>
      </c>
      <c r="L39" s="232">
        <f t="shared" si="72"/>
        <v>-30</v>
      </c>
      <c r="M39" s="232">
        <f t="shared" si="97"/>
        <v>-60</v>
      </c>
      <c r="N39" s="72">
        <f t="shared" si="98"/>
        <v>0</v>
      </c>
      <c r="O39" s="72">
        <f t="shared" si="99"/>
        <v>0</v>
      </c>
      <c r="P39" s="60">
        <f t="shared" si="76"/>
        <v>0.64</v>
      </c>
      <c r="Q39" s="72">
        <f t="shared" si="77"/>
        <v>0</v>
      </c>
      <c r="R39" s="73">
        <f t="shared" si="78"/>
        <v>0</v>
      </c>
      <c r="S39" s="238"/>
      <c r="T39" s="239"/>
      <c r="U39" s="239"/>
      <c r="V39" s="73">
        <f>T39*0.006165*U39^2*(O39-(8+(I39+K39))*'Data-PC'!$X$5/1000+2*MAX(6*U39,75)/1000+IF(O39&gt;12,ROUNDDOWN(O39/12,0)*'Data-PC'!$X$6*U39/1000,0))</f>
        <v>0</v>
      </c>
      <c r="W39" s="76"/>
      <c r="X39" s="63" t="e">
        <f t="shared" si="79"/>
        <v>#DIV/0!</v>
      </c>
      <c r="Y39" s="239"/>
      <c r="Z39" s="74">
        <f>IF(Y39&gt;0,((C39-2*'Data-PC'!$X$5+2*L39)*Y39),0)/1000</f>
        <v>0</v>
      </c>
      <c r="AA39" s="73">
        <f t="shared" si="80"/>
        <v>0</v>
      </c>
      <c r="AB39" s="76"/>
      <c r="AC39" s="63" t="e">
        <f t="shared" si="81"/>
        <v>#DIV/0!</v>
      </c>
      <c r="AD39" s="239"/>
      <c r="AE39" s="75">
        <f>IF(AD39&gt;0,((D39-J39-2*'Data-PC'!$X$5+2*L39)*AD39),0)/1000</f>
        <v>0</v>
      </c>
      <c r="AF39" s="73">
        <f t="shared" si="82"/>
        <v>0</v>
      </c>
      <c r="AG39" s="76"/>
      <c r="AH39" s="63" t="e">
        <f t="shared" si="83"/>
        <v>#DIV/0!</v>
      </c>
      <c r="AI39" s="239"/>
      <c r="AJ39" s="75">
        <f>IF(AI39&gt;0,((C39-2*'Data-PC'!$X$5+2*M39)*AI39),0)/1000</f>
        <v>0</v>
      </c>
      <c r="AK39" s="73">
        <f t="shared" si="84"/>
        <v>0</v>
      </c>
      <c r="AL39" s="76"/>
      <c r="AM39" s="63" t="e">
        <f t="shared" si="85"/>
        <v>#DIV/0!</v>
      </c>
      <c r="AN39" s="239"/>
      <c r="AO39" s="75">
        <f>IF(AN39&gt;0,((D39-J39-2*'Data-PC'!$X$5+2*M39)*AN39),0)/1000</f>
        <v>0</v>
      </c>
      <c r="AP39" s="73">
        <f t="shared" si="100"/>
        <v>0</v>
      </c>
      <c r="AQ39" s="239"/>
      <c r="AR39" s="239"/>
      <c r="AS39" s="239">
        <f>2*(E39-2*'Data-PC'!$X$5)+300+2*'Data-PC'!$X$7*AR39</f>
        <v>180</v>
      </c>
      <c r="AT39" s="72">
        <f t="shared" si="87"/>
        <v>0</v>
      </c>
      <c r="AU39" s="76"/>
      <c r="AV39" s="239"/>
      <c r="AW39" s="72">
        <f>IF(AV39&gt;0,(M39+2*L39*AU39)/1000*(ROUND((C39-2*'Data-PC'!$X$5)/AV39,0)+1)*(ROUND((D39-2*'Data-PC'!$X$5)/AV39,0)+1),0)</f>
        <v>0</v>
      </c>
      <c r="AX39" s="72">
        <f t="shared" si="88"/>
        <v>0</v>
      </c>
      <c r="AY39" s="67"/>
      <c r="AZ39" s="38"/>
      <c r="BA39" s="38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4"/>
      <c r="BU39" s="234"/>
      <c r="BV39" s="234"/>
      <c r="BW39" s="234"/>
      <c r="BX39" s="234"/>
      <c r="BY39" s="234"/>
      <c r="BZ39" s="234"/>
    </row>
    <row r="40" spans="1:78" s="233" customFormat="1" ht="13.5">
      <c r="A40" s="21">
        <v>26</v>
      </c>
      <c r="B40" s="68"/>
      <c r="C40" s="90"/>
      <c r="D40" s="90"/>
      <c r="E40" s="90"/>
      <c r="F40" s="230">
        <v>0</v>
      </c>
      <c r="G40" s="90">
        <f t="shared" si="71"/>
        <v>0</v>
      </c>
      <c r="H40" s="231">
        <v>0</v>
      </c>
      <c r="I40" s="231">
        <v>0</v>
      </c>
      <c r="J40" s="240">
        <v>0</v>
      </c>
      <c r="K40" s="240">
        <v>0</v>
      </c>
      <c r="L40" s="232">
        <f t="shared" si="72"/>
        <v>-30</v>
      </c>
      <c r="M40" s="232">
        <f t="shared" si="97"/>
        <v>-60</v>
      </c>
      <c r="N40" s="72">
        <f t="shared" si="98"/>
        <v>0</v>
      </c>
      <c r="O40" s="72">
        <f t="shared" si="99"/>
        <v>0</v>
      </c>
      <c r="P40" s="60">
        <f t="shared" si="76"/>
        <v>0.64</v>
      </c>
      <c r="Q40" s="72">
        <f t="shared" si="77"/>
        <v>0</v>
      </c>
      <c r="R40" s="73">
        <f t="shared" si="78"/>
        <v>0</v>
      </c>
      <c r="S40" s="238"/>
      <c r="T40" s="239"/>
      <c r="U40" s="239"/>
      <c r="V40" s="73">
        <f>T40*0.006165*U40^2*(O40-(8+(I40+K40))*'Data-PC'!$X$5/1000+2*MAX(6*U40,75)/1000+IF(O40&gt;12,ROUNDDOWN(O40/12,0)*'Data-PC'!$X$6*U40/1000,0))</f>
        <v>0</v>
      </c>
      <c r="W40" s="76"/>
      <c r="X40" s="63" t="e">
        <f t="shared" si="79"/>
        <v>#DIV/0!</v>
      </c>
      <c r="Y40" s="239"/>
      <c r="Z40" s="74">
        <f>IF(Y40&gt;0,((C40-2*'Data-PC'!$X$5+2*L40)*Y40),0)/1000</f>
        <v>0</v>
      </c>
      <c r="AA40" s="73">
        <f t="shared" si="80"/>
        <v>0</v>
      </c>
      <c r="AB40" s="76"/>
      <c r="AC40" s="63" t="e">
        <f t="shared" si="81"/>
        <v>#DIV/0!</v>
      </c>
      <c r="AD40" s="239"/>
      <c r="AE40" s="75">
        <f>IF(AD40&gt;0,((D40-J40-2*'Data-PC'!$X$5+2*L40)*AD40),0)/1000</f>
        <v>0</v>
      </c>
      <c r="AF40" s="73">
        <f t="shared" si="82"/>
        <v>0</v>
      </c>
      <c r="AG40" s="76"/>
      <c r="AH40" s="63" t="e">
        <f t="shared" si="83"/>
        <v>#DIV/0!</v>
      </c>
      <c r="AI40" s="239"/>
      <c r="AJ40" s="75">
        <f>IF(AI40&gt;0,((C40-2*'Data-PC'!$X$5+2*M40)*AI40),0)/1000</f>
        <v>0</v>
      </c>
      <c r="AK40" s="73">
        <f t="shared" si="84"/>
        <v>0</v>
      </c>
      <c r="AL40" s="76"/>
      <c r="AM40" s="63" t="e">
        <f t="shared" si="85"/>
        <v>#DIV/0!</v>
      </c>
      <c r="AN40" s="239"/>
      <c r="AO40" s="75">
        <f>IF(AN40&gt;0,((D40-J40-2*'Data-PC'!$X$5+2*M40)*AN40),0)/1000</f>
        <v>0</v>
      </c>
      <c r="AP40" s="73">
        <f t="shared" si="100"/>
        <v>0</v>
      </c>
      <c r="AQ40" s="239"/>
      <c r="AR40" s="239"/>
      <c r="AS40" s="239">
        <f>2*(E40-2*'Data-PC'!$X$5)+300+2*'Data-PC'!$X$7*AR40</f>
        <v>180</v>
      </c>
      <c r="AT40" s="72">
        <f t="shared" si="87"/>
        <v>0</v>
      </c>
      <c r="AU40" s="76"/>
      <c r="AV40" s="239"/>
      <c r="AW40" s="72">
        <f>IF(AV40&gt;0,(M40+2*L40*AU40)/1000*(ROUND((C40-2*'Data-PC'!$X$5)/AV40,0)+1)*(ROUND((D40-2*'Data-PC'!$X$5)/AV40,0)+1),0)</f>
        <v>0</v>
      </c>
      <c r="AX40" s="72">
        <f t="shared" si="88"/>
        <v>0</v>
      </c>
      <c r="AY40" s="67"/>
      <c r="AZ40" s="38"/>
      <c r="BA40" s="38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  <c r="BP40" s="234"/>
      <c r="BQ40" s="234"/>
      <c r="BR40" s="234"/>
      <c r="BS40" s="234"/>
      <c r="BT40" s="234"/>
      <c r="BU40" s="234"/>
      <c r="BV40" s="234"/>
      <c r="BW40" s="234"/>
      <c r="BX40" s="234"/>
      <c r="BY40" s="234"/>
      <c r="BZ40" s="234"/>
    </row>
    <row r="41" spans="1:78" s="233" customFormat="1" ht="13.5">
      <c r="A41" s="21">
        <v>27</v>
      </c>
      <c r="B41" s="68"/>
      <c r="C41" s="90"/>
      <c r="D41" s="90"/>
      <c r="E41" s="90"/>
      <c r="F41" s="230">
        <v>0</v>
      </c>
      <c r="G41" s="90">
        <f t="shared" ref="G41:G50" si="101">E41</f>
        <v>0</v>
      </c>
      <c r="H41" s="235">
        <v>0</v>
      </c>
      <c r="I41" s="235">
        <v>0</v>
      </c>
      <c r="J41" s="236">
        <v>0</v>
      </c>
      <c r="K41" s="236">
        <v>0</v>
      </c>
      <c r="L41" s="232">
        <f t="shared" ref="L41:L50" si="102">M41/2</f>
        <v>-30</v>
      </c>
      <c r="M41" s="232">
        <f t="shared" ref="M41:M50" si="103">E41-2*$X$5</f>
        <v>-60</v>
      </c>
      <c r="N41" s="72">
        <f t="shared" ref="N41:N50" si="104">(C41*D41-1/2*H41*J41*AVERAGE(I41,K41))/1000000</f>
        <v>0</v>
      </c>
      <c r="O41" s="72">
        <f t="shared" ref="O41:O50" si="105">(2*C41-I41*H41+2*D41-K41*J41+(I41+K41)/2*SQRT(H41^2+J41^2))/1000</f>
        <v>0</v>
      </c>
      <c r="P41" s="60"/>
      <c r="Q41" s="72">
        <f t="shared" ref="Q41:Q50" si="106">N41*G41/1000</f>
        <v>0</v>
      </c>
      <c r="R41" s="73">
        <f t="shared" ref="R41:R50" si="107">O41*G41/1000</f>
        <v>0</v>
      </c>
      <c r="S41" s="238"/>
      <c r="T41" s="239"/>
      <c r="U41" s="239"/>
      <c r="V41" s="73">
        <f>T41*0.006165*U41^2*(O41-(8+(I41+K41))*'Data-PC'!$X$5/1000+2*MAX(6*U41,75)/1000+IF(O41&gt;12,ROUNDDOWN(O41/12,0)*'Data-PC'!$X$6*U41/1000,0))</f>
        <v>0</v>
      </c>
      <c r="W41" s="76"/>
      <c r="X41" s="239"/>
      <c r="Y41" s="239"/>
      <c r="Z41" s="74">
        <f>IF(Y41&gt;0,((C41-2*'Data-PC'!$X$5+2*L41)*Y41),0)/1000</f>
        <v>0</v>
      </c>
      <c r="AA41" s="73">
        <f t="shared" ref="AA41:AA50" si="108">0.006165*W41^2*Z41</f>
        <v>0</v>
      </c>
      <c r="AB41" s="76"/>
      <c r="AC41" s="239"/>
      <c r="AD41" s="239"/>
      <c r="AE41" s="75">
        <f>IF(AD41&gt;0,((D41-J41-2*'Data-PC'!$X$5+2*L41)*AD41),0)/1000</f>
        <v>0</v>
      </c>
      <c r="AF41" s="73">
        <f t="shared" ref="AF41:AF52" si="109">0.006165*AB41^2*AE41</f>
        <v>0</v>
      </c>
      <c r="AG41" s="76"/>
      <c r="AH41" s="239"/>
      <c r="AI41" s="239"/>
      <c r="AJ41" s="75">
        <f>IF(AI41&gt;0,((C41-2*'Data-PC'!$X$5+2*M41)*AI41),0)/1000</f>
        <v>0</v>
      </c>
      <c r="AK41" s="73">
        <f t="shared" ref="AK41:AK49" si="110">0.006165*AG41^2*AJ41</f>
        <v>0</v>
      </c>
      <c r="AL41" s="76"/>
      <c r="AM41" s="239"/>
      <c r="AN41" s="239"/>
      <c r="AO41" s="75">
        <f>IF(AN41&gt;0,((D41-J41-2*'Data-PC'!$X$5+2*M41)*AN41),0)/1000</f>
        <v>0</v>
      </c>
      <c r="AP41" s="73">
        <f t="shared" ref="AP41:AP50" si="111">0.006165*AL41^2*AO41</f>
        <v>0</v>
      </c>
      <c r="AQ41" s="239"/>
      <c r="AR41" s="239"/>
      <c r="AS41" s="239">
        <f>2*(E41-2*'Data-PC'!$X$5)+300+2*'Data-PC'!$X$7*AR41</f>
        <v>180</v>
      </c>
      <c r="AT41" s="72">
        <f t="shared" ref="AT41:AT50" si="112">AQ41*0.006165*AR41^2*AS41/1000</f>
        <v>0</v>
      </c>
      <c r="AU41" s="76"/>
      <c r="AV41" s="239"/>
      <c r="AW41" s="72">
        <f>IF(AV41&gt;0,(M41+2*L41*AU41)/1000*(ROUND((C41-2*'Data-PC'!$X$5)/AV41,0)+1)*(ROUND((D41-2*'Data-PC'!$X$5)/AV41,0)+1),0)</f>
        <v>0</v>
      </c>
      <c r="AX41" s="72">
        <f t="shared" ref="AX41:AX50" si="113">0.006165*AU41^2*AW41</f>
        <v>0</v>
      </c>
      <c r="AY41" s="67"/>
      <c r="AZ41" s="38"/>
      <c r="BA41" s="38"/>
      <c r="BB41" s="234"/>
      <c r="BC41" s="234"/>
      <c r="BD41" s="234"/>
      <c r="BE41" s="234"/>
      <c r="BF41" s="234"/>
      <c r="BG41" s="234"/>
      <c r="BH41" s="234"/>
      <c r="BI41" s="234"/>
      <c r="BJ41" s="234"/>
      <c r="BK41" s="234"/>
      <c r="BL41" s="234"/>
      <c r="BM41" s="234"/>
      <c r="BN41" s="234"/>
      <c r="BO41" s="234"/>
      <c r="BP41" s="234"/>
      <c r="BQ41" s="234"/>
      <c r="BR41" s="234"/>
      <c r="BS41" s="234"/>
      <c r="BT41" s="234"/>
      <c r="BU41" s="234"/>
      <c r="BV41" s="234"/>
      <c r="BW41" s="234"/>
      <c r="BX41" s="234"/>
      <c r="BY41" s="234"/>
      <c r="BZ41" s="234"/>
    </row>
    <row r="42" spans="1:78" s="233" customFormat="1" ht="13.5">
      <c r="A42" s="21">
        <v>28</v>
      </c>
      <c r="B42" s="68"/>
      <c r="C42" s="90"/>
      <c r="D42" s="90"/>
      <c r="E42" s="90"/>
      <c r="F42" s="230">
        <v>0</v>
      </c>
      <c r="G42" s="90">
        <f t="shared" ref="G42:G44" si="114">E42</f>
        <v>0</v>
      </c>
      <c r="H42" s="235">
        <v>0</v>
      </c>
      <c r="I42" s="235">
        <v>0</v>
      </c>
      <c r="J42" s="236">
        <v>0</v>
      </c>
      <c r="K42" s="236">
        <v>0</v>
      </c>
      <c r="L42" s="232">
        <f t="shared" ref="L42:L44" si="115">M42/2</f>
        <v>-30</v>
      </c>
      <c r="M42" s="232">
        <f t="shared" ref="M42:M44" si="116">E42-2*$X$5</f>
        <v>-60</v>
      </c>
      <c r="N42" s="72">
        <f t="shared" ref="N42:N44" si="117">(C42*D42-1/2*H42*J42*AVERAGE(I42,K42))/1000000</f>
        <v>0</v>
      </c>
      <c r="O42" s="72">
        <f t="shared" ref="O42:O44" si="118">(2*C42-I42*H42+2*D42-K42*J42+(I42+K42)/2*SQRT(H42^2+J42^2))/1000</f>
        <v>0</v>
      </c>
      <c r="P42" s="60"/>
      <c r="Q42" s="72">
        <f t="shared" ref="Q42:Q44" si="119">N42*G42/1000</f>
        <v>0</v>
      </c>
      <c r="R42" s="73">
        <f t="shared" ref="R42:R44" si="120">O42*G42/1000</f>
        <v>0</v>
      </c>
      <c r="S42" s="238"/>
      <c r="T42" s="239"/>
      <c r="U42" s="239"/>
      <c r="V42" s="73">
        <f>T42*0.006165*U42^2*(O42-(8+(I42+K42))*'Data-PC'!$X$5/1000+2*MAX(6*U42,75)/1000+IF(O42&gt;12,ROUNDDOWN(O42/12,0)*'Data-PC'!$X$6*U42/1000,0))</f>
        <v>0</v>
      </c>
      <c r="W42" s="76"/>
      <c r="X42" s="241"/>
      <c r="Y42" s="239"/>
      <c r="Z42" s="74">
        <f>IF(Y42&gt;0,((C42-2*'Data-PC'!$X$5+2*L42)*Y42),0)/1000</f>
        <v>0</v>
      </c>
      <c r="AA42" s="73">
        <f t="shared" ref="AA42:AA44" si="121">0.006165*W42^2*Z42</f>
        <v>0</v>
      </c>
      <c r="AB42" s="76"/>
      <c r="AC42" s="241"/>
      <c r="AD42" s="239"/>
      <c r="AE42" s="75">
        <f>IF(AD42&gt;0,((D42-J42-2*'Data-PC'!$X$5+2*L42)*AD42),0)/1000</f>
        <v>0</v>
      </c>
      <c r="AF42" s="73">
        <f t="shared" si="109"/>
        <v>0</v>
      </c>
      <c r="AG42" s="76"/>
      <c r="AH42" s="241"/>
      <c r="AI42" s="239"/>
      <c r="AJ42" s="75">
        <f>IF(AI42&gt;0,((C42-2*'Data-PC'!$X$5+2*M42)*AI42),0)/1000</f>
        <v>0</v>
      </c>
      <c r="AK42" s="73">
        <f t="shared" ref="AK42:AK44" si="122">0.006165*AG42^2*AJ42</f>
        <v>0</v>
      </c>
      <c r="AL42" s="76"/>
      <c r="AM42" s="241"/>
      <c r="AN42" s="239"/>
      <c r="AO42" s="75">
        <f>IF(AN42&gt;0,((D42-J42-2*'Data-PC'!$X$5+2*M42)*AN42),0)/1000</f>
        <v>0</v>
      </c>
      <c r="AP42" s="73">
        <f t="shared" ref="AP42:AP44" si="123">0.006165*AL42^2*AO42</f>
        <v>0</v>
      </c>
      <c r="AQ42" s="239"/>
      <c r="AR42" s="239"/>
      <c r="AS42" s="239">
        <f>2*(E42-2*'Data-PC'!$X$5)+300+2*'Data-PC'!$X$7*AR42</f>
        <v>180</v>
      </c>
      <c r="AT42" s="72">
        <f t="shared" ref="AT42:AT44" si="124">AQ42*0.006165*AR42^2*AS42/1000</f>
        <v>0</v>
      </c>
      <c r="AU42" s="76"/>
      <c r="AV42" s="239"/>
      <c r="AW42" s="72">
        <f>IF(AV42&gt;0,(M42+2*L42*AU42)/1000*(ROUND((C42-2*'Data-PC'!$X$5)/AV42,0)+1)*(ROUND((D42-2*'Data-PC'!$X$5)/AV42,0)+1),0)</f>
        <v>0</v>
      </c>
      <c r="AX42" s="72">
        <f t="shared" ref="AX42:AX44" si="125">0.006165*AU42^2*AW42</f>
        <v>0</v>
      </c>
      <c r="AY42" s="67"/>
      <c r="AZ42" s="38"/>
      <c r="BA42" s="38"/>
      <c r="BB42" s="234"/>
      <c r="BC42" s="234"/>
      <c r="BD42" s="234"/>
      <c r="BE42" s="234"/>
      <c r="BF42" s="234"/>
      <c r="BG42" s="234"/>
      <c r="BH42" s="234"/>
      <c r="BI42" s="234"/>
      <c r="BJ42" s="234"/>
      <c r="BK42" s="234"/>
      <c r="BL42" s="234"/>
      <c r="BM42" s="234"/>
      <c r="BN42" s="234"/>
      <c r="BO42" s="234"/>
      <c r="BP42" s="234"/>
      <c r="BQ42" s="234"/>
      <c r="BR42" s="234"/>
      <c r="BS42" s="234"/>
      <c r="BT42" s="234"/>
      <c r="BU42" s="234"/>
      <c r="BV42" s="234"/>
      <c r="BW42" s="234"/>
      <c r="BX42" s="234"/>
      <c r="BY42" s="234"/>
      <c r="BZ42" s="234"/>
    </row>
    <row r="43" spans="1:78" s="233" customFormat="1" ht="13.5">
      <c r="A43" s="21">
        <v>29</v>
      </c>
      <c r="B43" s="68"/>
      <c r="C43" s="90"/>
      <c r="D43" s="90"/>
      <c r="E43" s="90"/>
      <c r="F43" s="230">
        <v>0</v>
      </c>
      <c r="G43" s="90">
        <f t="shared" si="114"/>
        <v>0</v>
      </c>
      <c r="H43" s="235">
        <v>0</v>
      </c>
      <c r="I43" s="235">
        <v>0</v>
      </c>
      <c r="J43" s="236">
        <v>0</v>
      </c>
      <c r="K43" s="236">
        <v>0</v>
      </c>
      <c r="L43" s="232">
        <f t="shared" si="115"/>
        <v>-30</v>
      </c>
      <c r="M43" s="232">
        <f t="shared" si="116"/>
        <v>-60</v>
      </c>
      <c r="N43" s="72">
        <f t="shared" si="117"/>
        <v>0</v>
      </c>
      <c r="O43" s="72">
        <f t="shared" si="118"/>
        <v>0</v>
      </c>
      <c r="P43" s="60"/>
      <c r="Q43" s="72">
        <f t="shared" si="119"/>
        <v>0</v>
      </c>
      <c r="R43" s="73">
        <f t="shared" si="120"/>
        <v>0</v>
      </c>
      <c r="S43" s="238"/>
      <c r="T43" s="239"/>
      <c r="U43" s="239"/>
      <c r="V43" s="73">
        <f>T43*0.006165*U43^2*(O43-(8+(I43+K43))*'Data-PC'!$X$5/1000+2*MAX(6*U43,75)/1000+IF(O43&gt;12,ROUNDDOWN(O43/12,0)*'Data-PC'!$X$6*U43/1000,0))</f>
        <v>0</v>
      </c>
      <c r="W43" s="76"/>
      <c r="X43" s="241"/>
      <c r="Y43" s="239"/>
      <c r="Z43" s="74">
        <f>IF(Y43&gt;0,((C43-2*'Data-PC'!$X$5+2*L43)*Y43),0)/1000</f>
        <v>0</v>
      </c>
      <c r="AA43" s="73">
        <f t="shared" si="121"/>
        <v>0</v>
      </c>
      <c r="AB43" s="76"/>
      <c r="AC43" s="241"/>
      <c r="AD43" s="239"/>
      <c r="AE43" s="75">
        <f>IF(AD43&gt;0,((D43-J43-2*'Data-PC'!$X$5+2*L43)*AD43),0)/1000</f>
        <v>0</v>
      </c>
      <c r="AF43" s="73">
        <f t="shared" si="109"/>
        <v>0</v>
      </c>
      <c r="AG43" s="76"/>
      <c r="AH43" s="241"/>
      <c r="AI43" s="239"/>
      <c r="AJ43" s="75">
        <f>IF(AI43&gt;0,((C43-2*'Data-PC'!$X$5+2*M43)*AI43),0)/1000</f>
        <v>0</v>
      </c>
      <c r="AK43" s="73">
        <f t="shared" si="122"/>
        <v>0</v>
      </c>
      <c r="AL43" s="76"/>
      <c r="AM43" s="241"/>
      <c r="AN43" s="239"/>
      <c r="AO43" s="75">
        <f>IF(AN43&gt;0,((D43-J43-2*'Data-PC'!$X$5+2*M43)*AN43),0)/1000</f>
        <v>0</v>
      </c>
      <c r="AP43" s="73">
        <f t="shared" si="123"/>
        <v>0</v>
      </c>
      <c r="AQ43" s="239"/>
      <c r="AR43" s="239"/>
      <c r="AS43" s="239">
        <f>2*(E43-2*'Data-PC'!$X$5)+300+2*'Data-PC'!$X$7*AR43</f>
        <v>180</v>
      </c>
      <c r="AT43" s="72">
        <f t="shared" si="124"/>
        <v>0</v>
      </c>
      <c r="AU43" s="76"/>
      <c r="AV43" s="239"/>
      <c r="AW43" s="72">
        <f>IF(AV43&gt;0,(M43+2*L43*AU43)/1000*(ROUND((C43-2*'Data-PC'!$X$5)/AV43,0)+1)*(ROUND((D43-2*'Data-PC'!$X$5)/AV43,0)+1),0)</f>
        <v>0</v>
      </c>
      <c r="AX43" s="72">
        <f t="shared" si="125"/>
        <v>0</v>
      </c>
      <c r="AY43" s="67"/>
      <c r="AZ43" s="38"/>
      <c r="BA43" s="38"/>
      <c r="BB43" s="234"/>
      <c r="BC43" s="234"/>
      <c r="BD43" s="234"/>
      <c r="BE43" s="234"/>
      <c r="BF43" s="234"/>
      <c r="BG43" s="234"/>
      <c r="BH43" s="234"/>
      <c r="BI43" s="234"/>
      <c r="BJ43" s="234"/>
      <c r="BK43" s="234"/>
      <c r="BL43" s="234"/>
      <c r="BM43" s="234"/>
      <c r="BN43" s="234"/>
      <c r="BO43" s="234"/>
      <c r="BP43" s="234"/>
      <c r="BQ43" s="234"/>
      <c r="BR43" s="234"/>
      <c r="BS43" s="234"/>
      <c r="BT43" s="234"/>
      <c r="BU43" s="234"/>
      <c r="BV43" s="234"/>
      <c r="BW43" s="234"/>
      <c r="BX43" s="234"/>
      <c r="BY43" s="234"/>
      <c r="BZ43" s="234"/>
    </row>
    <row r="44" spans="1:78" s="233" customFormat="1" ht="13.5">
      <c r="A44" s="21">
        <v>30</v>
      </c>
      <c r="B44" s="68"/>
      <c r="C44" s="90"/>
      <c r="D44" s="90"/>
      <c r="E44" s="90"/>
      <c r="F44" s="230">
        <v>0</v>
      </c>
      <c r="G44" s="90">
        <f t="shared" si="114"/>
        <v>0</v>
      </c>
      <c r="H44" s="235">
        <v>0</v>
      </c>
      <c r="I44" s="235">
        <v>0</v>
      </c>
      <c r="J44" s="236">
        <v>0</v>
      </c>
      <c r="K44" s="236">
        <v>0</v>
      </c>
      <c r="L44" s="232">
        <f t="shared" si="115"/>
        <v>-30</v>
      </c>
      <c r="M44" s="232">
        <f t="shared" si="116"/>
        <v>-60</v>
      </c>
      <c r="N44" s="72">
        <f t="shared" si="117"/>
        <v>0</v>
      </c>
      <c r="O44" s="72">
        <f t="shared" si="118"/>
        <v>0</v>
      </c>
      <c r="P44" s="60"/>
      <c r="Q44" s="72">
        <f t="shared" si="119"/>
        <v>0</v>
      </c>
      <c r="R44" s="73">
        <f t="shared" si="120"/>
        <v>0</v>
      </c>
      <c r="S44" s="238"/>
      <c r="T44" s="239"/>
      <c r="U44" s="239"/>
      <c r="V44" s="73">
        <f>T44*0.006165*U44^2*(O44-(8+(I44+K44))*'Data-PC'!$X$5/1000+2*MAX(6*U44,75)/1000+IF(O44&gt;12,ROUNDDOWN(O44/12,0)*'Data-PC'!$X$6*U44/1000,0))</f>
        <v>0</v>
      </c>
      <c r="W44" s="76"/>
      <c r="X44" s="241"/>
      <c r="Y44" s="239"/>
      <c r="Z44" s="74">
        <f>IF(Y44&gt;0,((C44-2*'Data-PC'!$X$5+2*L44)*Y44),0)/1000</f>
        <v>0</v>
      </c>
      <c r="AA44" s="73">
        <f t="shared" si="121"/>
        <v>0</v>
      </c>
      <c r="AB44" s="76"/>
      <c r="AC44" s="241"/>
      <c r="AD44" s="239"/>
      <c r="AE44" s="75">
        <f>IF(AD44&gt;0,((D44-J44-2*'Data-PC'!$X$5+2*L44)*AD44),0)/1000</f>
        <v>0</v>
      </c>
      <c r="AF44" s="73">
        <f t="shared" si="109"/>
        <v>0</v>
      </c>
      <c r="AG44" s="76"/>
      <c r="AH44" s="241"/>
      <c r="AI44" s="239"/>
      <c r="AJ44" s="75">
        <f>IF(AI44&gt;0,((C44-2*'Data-PC'!$X$5+2*M44)*AI44),0)/1000</f>
        <v>0</v>
      </c>
      <c r="AK44" s="73">
        <f t="shared" si="122"/>
        <v>0</v>
      </c>
      <c r="AL44" s="76"/>
      <c r="AM44" s="241"/>
      <c r="AN44" s="239"/>
      <c r="AO44" s="75">
        <f>IF(AN44&gt;0,((D44-J44-2*'Data-PC'!$X$5+2*M44)*AN44),0)/1000</f>
        <v>0</v>
      </c>
      <c r="AP44" s="73">
        <f t="shared" si="123"/>
        <v>0</v>
      </c>
      <c r="AQ44" s="239"/>
      <c r="AR44" s="239"/>
      <c r="AS44" s="239">
        <f>2*(E44-2*'Data-PC'!$X$5)+300+2*'Data-PC'!$X$7*AR44</f>
        <v>180</v>
      </c>
      <c r="AT44" s="72">
        <f t="shared" si="124"/>
        <v>0</v>
      </c>
      <c r="AU44" s="76"/>
      <c r="AV44" s="239"/>
      <c r="AW44" s="72">
        <f>IF(AV44&gt;0,(M44+2*L44*AU44)/1000*(ROUND((C44-2*'Data-PC'!$X$5)/AV44,0)+1)*(ROUND((D44-2*'Data-PC'!$X$5)/AV44,0)+1),0)</f>
        <v>0</v>
      </c>
      <c r="AX44" s="72">
        <f t="shared" si="125"/>
        <v>0</v>
      </c>
      <c r="AY44" s="67"/>
      <c r="AZ44" s="38"/>
      <c r="BA44" s="38"/>
      <c r="BB44" s="234"/>
      <c r="BC44" s="234"/>
      <c r="BD44" s="234"/>
      <c r="BE44" s="234"/>
      <c r="BF44" s="234"/>
      <c r="BG44" s="234"/>
      <c r="BH44" s="234"/>
      <c r="BI44" s="234"/>
      <c r="BJ44" s="234"/>
      <c r="BK44" s="234"/>
      <c r="BL44" s="234"/>
      <c r="BM44" s="234"/>
      <c r="BN44" s="234"/>
      <c r="BO44" s="234"/>
      <c r="BP44" s="234"/>
      <c r="BQ44" s="234"/>
      <c r="BR44" s="234"/>
      <c r="BS44" s="234"/>
      <c r="BT44" s="234"/>
      <c r="BU44" s="234"/>
      <c r="BV44" s="234"/>
      <c r="BW44" s="234"/>
      <c r="BX44" s="234"/>
      <c r="BY44" s="234"/>
      <c r="BZ44" s="234"/>
    </row>
    <row r="45" spans="1:78" s="233" customFormat="1" ht="13.5">
      <c r="A45" s="21">
        <v>31</v>
      </c>
      <c r="B45" s="68"/>
      <c r="C45" s="90"/>
      <c r="D45" s="90"/>
      <c r="E45" s="90"/>
      <c r="F45" s="230">
        <v>0</v>
      </c>
      <c r="G45" s="90">
        <f t="shared" si="101"/>
        <v>0</v>
      </c>
      <c r="H45" s="235">
        <v>0</v>
      </c>
      <c r="I45" s="235">
        <v>0</v>
      </c>
      <c r="J45" s="236">
        <v>0</v>
      </c>
      <c r="K45" s="236">
        <v>0</v>
      </c>
      <c r="L45" s="232">
        <f t="shared" si="102"/>
        <v>-30</v>
      </c>
      <c r="M45" s="232">
        <f t="shared" si="103"/>
        <v>-60</v>
      </c>
      <c r="N45" s="72">
        <f t="shared" si="104"/>
        <v>0</v>
      </c>
      <c r="O45" s="72">
        <f t="shared" si="105"/>
        <v>0</v>
      </c>
      <c r="P45" s="60"/>
      <c r="Q45" s="72">
        <f t="shared" si="106"/>
        <v>0</v>
      </c>
      <c r="R45" s="73">
        <f t="shared" si="107"/>
        <v>0</v>
      </c>
      <c r="S45" s="238"/>
      <c r="T45" s="239"/>
      <c r="U45" s="239"/>
      <c r="V45" s="73">
        <f>T45*0.006165*U45^2*(O45-(8+(I45+K45))*'Data-PC'!$X$5/1000+2*MAX(6*U45,75)/1000+IF(O45&gt;12,ROUNDDOWN(O45/12,0)*'Data-PC'!$X$6*U45/1000,0))</f>
        <v>0</v>
      </c>
      <c r="W45" s="76"/>
      <c r="X45" s="239"/>
      <c r="Y45" s="239"/>
      <c r="Z45" s="74">
        <f>IF(Y45&gt;0,((C45-2*'Data-PC'!$X$5+2*L45)*Y45),0)/1000</f>
        <v>0</v>
      </c>
      <c r="AA45" s="73">
        <f t="shared" si="108"/>
        <v>0</v>
      </c>
      <c r="AB45" s="76"/>
      <c r="AC45" s="239"/>
      <c r="AD45" s="239"/>
      <c r="AE45" s="75">
        <f>IF(AD45&gt;0,((D45-J45-2*'Data-PC'!$X$5+2*L45)*AD45),0)/1000</f>
        <v>0</v>
      </c>
      <c r="AF45" s="73">
        <f t="shared" si="109"/>
        <v>0</v>
      </c>
      <c r="AG45" s="76"/>
      <c r="AH45" s="239"/>
      <c r="AI45" s="239"/>
      <c r="AJ45" s="75">
        <f>IF(AI45&gt;0,((C45-2*'Data-PC'!$X$5+2*M45)*AI45),0)/1000</f>
        <v>0</v>
      </c>
      <c r="AK45" s="73">
        <f t="shared" si="110"/>
        <v>0</v>
      </c>
      <c r="AL45" s="76"/>
      <c r="AM45" s="239"/>
      <c r="AN45" s="239"/>
      <c r="AO45" s="75">
        <f>IF(AN45&gt;0,((D45-J45-2*'Data-PC'!$X$5+2*M45)*AN45),0)/1000</f>
        <v>0</v>
      </c>
      <c r="AP45" s="73">
        <f t="shared" si="111"/>
        <v>0</v>
      </c>
      <c r="AQ45" s="239"/>
      <c r="AR45" s="239"/>
      <c r="AS45" s="239">
        <f>2*(E45-2*'Data-PC'!$X$5)+300+2*'Data-PC'!$X$7*AR45</f>
        <v>180</v>
      </c>
      <c r="AT45" s="72">
        <f t="shared" si="112"/>
        <v>0</v>
      </c>
      <c r="AU45" s="76"/>
      <c r="AV45" s="239"/>
      <c r="AW45" s="72">
        <f>IF(AV45&gt;0,(M45+2*L45*AU45)/1000*(ROUND((C45-2*'Data-PC'!$X$5)/AV45,0)+1)*(ROUND((D45-2*'Data-PC'!$X$5)/AV45,0)+1),0)</f>
        <v>0</v>
      </c>
      <c r="AX45" s="72">
        <f t="shared" si="113"/>
        <v>0</v>
      </c>
      <c r="AY45" s="67"/>
      <c r="AZ45" s="38"/>
      <c r="BA45" s="38"/>
      <c r="BB45" s="234"/>
      <c r="BC45" s="234"/>
      <c r="BD45" s="234"/>
      <c r="BE45" s="234"/>
      <c r="BF45" s="234"/>
      <c r="BG45" s="234"/>
      <c r="BH45" s="234"/>
      <c r="BI45" s="234"/>
      <c r="BJ45" s="234"/>
      <c r="BK45" s="234"/>
      <c r="BL45" s="234"/>
      <c r="BM45" s="234"/>
      <c r="BN45" s="234"/>
      <c r="BO45" s="234"/>
      <c r="BP45" s="234"/>
      <c r="BQ45" s="234"/>
      <c r="BR45" s="234"/>
      <c r="BS45" s="234"/>
      <c r="BT45" s="234"/>
      <c r="BU45" s="234"/>
      <c r="BV45" s="234"/>
      <c r="BW45" s="234"/>
      <c r="BX45" s="234"/>
      <c r="BY45" s="234"/>
      <c r="BZ45" s="234"/>
    </row>
    <row r="46" spans="1:78" s="233" customFormat="1" ht="13.5">
      <c r="A46" s="21">
        <v>32</v>
      </c>
      <c r="B46" s="68"/>
      <c r="C46" s="90"/>
      <c r="D46" s="90"/>
      <c r="E46" s="90"/>
      <c r="F46" s="230">
        <v>0</v>
      </c>
      <c r="G46" s="90">
        <f t="shared" si="101"/>
        <v>0</v>
      </c>
      <c r="H46" s="235">
        <v>0</v>
      </c>
      <c r="I46" s="235">
        <v>0</v>
      </c>
      <c r="J46" s="236">
        <v>0</v>
      </c>
      <c r="K46" s="236">
        <v>0</v>
      </c>
      <c r="L46" s="232">
        <f t="shared" si="102"/>
        <v>-30</v>
      </c>
      <c r="M46" s="232">
        <f t="shared" si="103"/>
        <v>-60</v>
      </c>
      <c r="N46" s="72">
        <f t="shared" si="104"/>
        <v>0</v>
      </c>
      <c r="O46" s="72">
        <f t="shared" si="105"/>
        <v>0</v>
      </c>
      <c r="P46" s="60"/>
      <c r="Q46" s="72">
        <f t="shared" si="106"/>
        <v>0</v>
      </c>
      <c r="R46" s="73">
        <f t="shared" si="107"/>
        <v>0</v>
      </c>
      <c r="S46" s="238"/>
      <c r="T46" s="239"/>
      <c r="U46" s="239"/>
      <c r="V46" s="73">
        <f>T46*0.006165*U46^2*(O46-(8+(I46+K46))*'Data-PC'!$X$5/1000+2*MAX(6*U46,75)/1000+IF(O46&gt;12,ROUNDDOWN(O46/12,0)*'Data-PC'!$X$6*U46/1000,0))</f>
        <v>0</v>
      </c>
      <c r="W46" s="76"/>
      <c r="X46" s="239"/>
      <c r="Y46" s="239"/>
      <c r="Z46" s="74">
        <f>IF(Y46&gt;0,((C46-2*'Data-PC'!$X$5+2*L46)*Y46),0)/1000</f>
        <v>0</v>
      </c>
      <c r="AA46" s="73">
        <f t="shared" si="108"/>
        <v>0</v>
      </c>
      <c r="AB46" s="76"/>
      <c r="AC46" s="239"/>
      <c r="AD46" s="239"/>
      <c r="AE46" s="75">
        <f>IF(AD46&gt;0,((D46-J46-2*'Data-PC'!$X$5+2*L46)*AD46),0)/1000</f>
        <v>0</v>
      </c>
      <c r="AF46" s="73">
        <f t="shared" si="109"/>
        <v>0</v>
      </c>
      <c r="AG46" s="76"/>
      <c r="AH46" s="239"/>
      <c r="AI46" s="239"/>
      <c r="AJ46" s="75">
        <f>IF(AI46&gt;0,((C46-2*'Data-PC'!$X$5+2*M46)*AI46),0)/1000</f>
        <v>0</v>
      </c>
      <c r="AK46" s="73">
        <f t="shared" si="110"/>
        <v>0</v>
      </c>
      <c r="AL46" s="76"/>
      <c r="AM46" s="239"/>
      <c r="AN46" s="239"/>
      <c r="AO46" s="75">
        <f>IF(AN46&gt;0,((D46-J46-2*'Data-PC'!$X$5+2*M46)*AN46),0)/1000</f>
        <v>0</v>
      </c>
      <c r="AP46" s="73">
        <f t="shared" si="111"/>
        <v>0</v>
      </c>
      <c r="AQ46" s="239"/>
      <c r="AR46" s="239"/>
      <c r="AS46" s="239">
        <f>2*(E46-2*'Data-PC'!$X$5)+300+2*'Data-PC'!$X$7*AR46</f>
        <v>180</v>
      </c>
      <c r="AT46" s="72">
        <f t="shared" si="112"/>
        <v>0</v>
      </c>
      <c r="AU46" s="76"/>
      <c r="AV46" s="239"/>
      <c r="AW46" s="72">
        <f>IF(AV46&gt;0,(M46+2*L46*AU46)/1000*(ROUND((C46-2*'Data-PC'!$X$5)/AV46,0)+1)*(ROUND((D46-2*'Data-PC'!$X$5)/AV46,0)+1),0)</f>
        <v>0</v>
      </c>
      <c r="AX46" s="72">
        <f t="shared" si="113"/>
        <v>0</v>
      </c>
      <c r="AY46" s="67"/>
      <c r="AZ46" s="38"/>
      <c r="BA46" s="38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  <c r="BP46" s="234"/>
      <c r="BQ46" s="234"/>
      <c r="BR46" s="234"/>
      <c r="BS46" s="234"/>
      <c r="BT46" s="234"/>
      <c r="BU46" s="234"/>
      <c r="BV46" s="234"/>
      <c r="BW46" s="234"/>
      <c r="BX46" s="234"/>
      <c r="BY46" s="234"/>
      <c r="BZ46" s="234"/>
    </row>
    <row r="47" spans="1:78" s="233" customFormat="1" ht="13.5">
      <c r="A47" s="21">
        <v>33</v>
      </c>
      <c r="B47" s="68"/>
      <c r="C47" s="90"/>
      <c r="D47" s="90"/>
      <c r="E47" s="90"/>
      <c r="F47" s="230">
        <v>0</v>
      </c>
      <c r="G47" s="90">
        <f t="shared" si="101"/>
        <v>0</v>
      </c>
      <c r="H47" s="235">
        <v>0</v>
      </c>
      <c r="I47" s="235">
        <v>0</v>
      </c>
      <c r="J47" s="236">
        <v>0</v>
      </c>
      <c r="K47" s="236">
        <v>0</v>
      </c>
      <c r="L47" s="232">
        <f t="shared" si="102"/>
        <v>-30</v>
      </c>
      <c r="M47" s="232">
        <f t="shared" si="103"/>
        <v>-60</v>
      </c>
      <c r="N47" s="72">
        <f t="shared" si="104"/>
        <v>0</v>
      </c>
      <c r="O47" s="72">
        <f t="shared" si="105"/>
        <v>0</v>
      </c>
      <c r="P47" s="60"/>
      <c r="Q47" s="72">
        <f t="shared" si="106"/>
        <v>0</v>
      </c>
      <c r="R47" s="73">
        <f t="shared" si="107"/>
        <v>0</v>
      </c>
      <c r="S47" s="238"/>
      <c r="T47" s="239"/>
      <c r="U47" s="239"/>
      <c r="V47" s="73">
        <f>T47*0.006165*U47^2*(O47-(8+(I47+K47))*'Data-PC'!$X$5/1000+2*MAX(6*U47,75)/1000+IF(O47&gt;12,ROUNDDOWN(O47/12,0)*'Data-PC'!$X$6*U47/1000,0))</f>
        <v>0</v>
      </c>
      <c r="W47" s="76"/>
      <c r="X47" s="239"/>
      <c r="Y47" s="239"/>
      <c r="Z47" s="74">
        <f>IF(Y47&gt;0,((C47-2*'Data-PC'!$X$5+2*L47)*Y47),0)/1000</f>
        <v>0</v>
      </c>
      <c r="AA47" s="73">
        <f t="shared" si="108"/>
        <v>0</v>
      </c>
      <c r="AB47" s="76"/>
      <c r="AC47" s="239"/>
      <c r="AD47" s="239"/>
      <c r="AE47" s="75">
        <f>IF(AD47&gt;0,((D47-J47-2*'Data-PC'!$X$5+2*L47)*AD47),0)/1000</f>
        <v>0</v>
      </c>
      <c r="AF47" s="73">
        <f t="shared" si="109"/>
        <v>0</v>
      </c>
      <c r="AG47" s="76"/>
      <c r="AH47" s="239"/>
      <c r="AI47" s="239"/>
      <c r="AJ47" s="75">
        <f>IF(AI47&gt;0,((C47-2*'Data-PC'!$X$5+2*M47)*AI47),0)/1000</f>
        <v>0</v>
      </c>
      <c r="AK47" s="73">
        <f t="shared" si="110"/>
        <v>0</v>
      </c>
      <c r="AL47" s="76"/>
      <c r="AM47" s="239"/>
      <c r="AN47" s="239"/>
      <c r="AO47" s="75">
        <f>IF(AN47&gt;0,((D47-J47-2*'Data-PC'!$X$5+2*M47)*AN47),0)/1000</f>
        <v>0</v>
      </c>
      <c r="AP47" s="73">
        <f t="shared" si="111"/>
        <v>0</v>
      </c>
      <c r="AQ47" s="239"/>
      <c r="AR47" s="239"/>
      <c r="AS47" s="239">
        <f>2*(E47-2*'Data-PC'!$X$5)+300+2*'Data-PC'!$X$7*AR47</f>
        <v>180</v>
      </c>
      <c r="AT47" s="72">
        <f t="shared" si="112"/>
        <v>0</v>
      </c>
      <c r="AU47" s="76"/>
      <c r="AV47" s="239"/>
      <c r="AW47" s="72">
        <f>IF(AV47&gt;0,(M47+2*L47*AU47)/1000*(ROUND((C47-2*'Data-PC'!$X$5)/AV47,0)+1)*(ROUND((D47-2*'Data-PC'!$X$5)/AV47,0)+1),0)</f>
        <v>0</v>
      </c>
      <c r="AX47" s="72">
        <f t="shared" si="113"/>
        <v>0</v>
      </c>
      <c r="AY47" s="67"/>
      <c r="AZ47" s="38"/>
      <c r="BA47" s="38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  <c r="BM47" s="234"/>
      <c r="BN47" s="234"/>
      <c r="BO47" s="234"/>
      <c r="BP47" s="234"/>
      <c r="BQ47" s="234"/>
      <c r="BR47" s="234"/>
      <c r="BS47" s="234"/>
      <c r="BT47" s="234"/>
      <c r="BU47" s="234"/>
      <c r="BV47" s="234"/>
      <c r="BW47" s="234"/>
      <c r="BX47" s="234"/>
      <c r="BY47" s="234"/>
      <c r="BZ47" s="234"/>
    </row>
    <row r="48" spans="1:78" s="233" customFormat="1" ht="13.5">
      <c r="A48" s="21">
        <v>34</v>
      </c>
      <c r="B48" s="68"/>
      <c r="C48" s="90"/>
      <c r="D48" s="90"/>
      <c r="E48" s="90"/>
      <c r="F48" s="230">
        <v>0</v>
      </c>
      <c r="G48" s="90">
        <f t="shared" si="101"/>
        <v>0</v>
      </c>
      <c r="H48" s="235">
        <v>0</v>
      </c>
      <c r="I48" s="235">
        <v>0</v>
      </c>
      <c r="J48" s="236">
        <v>0</v>
      </c>
      <c r="K48" s="236">
        <v>0</v>
      </c>
      <c r="L48" s="232">
        <f t="shared" si="102"/>
        <v>-30</v>
      </c>
      <c r="M48" s="232">
        <f t="shared" si="103"/>
        <v>-60</v>
      </c>
      <c r="N48" s="72">
        <f t="shared" si="104"/>
        <v>0</v>
      </c>
      <c r="O48" s="72">
        <f t="shared" si="105"/>
        <v>0</v>
      </c>
      <c r="P48" s="60"/>
      <c r="Q48" s="72">
        <f t="shared" si="106"/>
        <v>0</v>
      </c>
      <c r="R48" s="73">
        <f t="shared" si="107"/>
        <v>0</v>
      </c>
      <c r="S48" s="238"/>
      <c r="T48" s="239"/>
      <c r="U48" s="239"/>
      <c r="V48" s="73">
        <f>T48*0.006165*U48^2*(O48-(8+(I48+K48))*'Data-PC'!$X$5/1000+2*MAX(6*U48,75)/1000+IF(O48&gt;12,ROUNDDOWN(O48/12,0)*'Data-PC'!$X$6*U48/1000,0))</f>
        <v>0</v>
      </c>
      <c r="W48" s="76"/>
      <c r="X48" s="239"/>
      <c r="Y48" s="239"/>
      <c r="Z48" s="74">
        <f>IF(Y48&gt;0,((C48-2*'Data-PC'!$X$5+2*L48)*Y48),0)/1000</f>
        <v>0</v>
      </c>
      <c r="AA48" s="73">
        <f t="shared" si="108"/>
        <v>0</v>
      </c>
      <c r="AB48" s="76"/>
      <c r="AC48" s="239"/>
      <c r="AD48" s="239"/>
      <c r="AE48" s="75">
        <f>IF(AD48&gt;0,((D48-J48-2*'Data-PC'!$X$5+2*L48)*AD48),0)/1000</f>
        <v>0</v>
      </c>
      <c r="AF48" s="73">
        <f t="shared" si="109"/>
        <v>0</v>
      </c>
      <c r="AG48" s="76"/>
      <c r="AH48" s="239"/>
      <c r="AI48" s="239"/>
      <c r="AJ48" s="75">
        <f>IF(AI48&gt;0,((C48-2*'Data-PC'!$X$5+2*M48)*AI48),0)/1000</f>
        <v>0</v>
      </c>
      <c r="AK48" s="73">
        <f t="shared" si="110"/>
        <v>0</v>
      </c>
      <c r="AL48" s="76"/>
      <c r="AM48" s="239"/>
      <c r="AN48" s="239"/>
      <c r="AO48" s="75">
        <f>IF(AN48&gt;0,((D48-J48-2*'Data-PC'!$X$5+2*M48)*AN48),0)/1000</f>
        <v>0</v>
      </c>
      <c r="AP48" s="73">
        <f t="shared" si="111"/>
        <v>0</v>
      </c>
      <c r="AQ48" s="239"/>
      <c r="AR48" s="239"/>
      <c r="AS48" s="239">
        <f>2*(E48-2*'Data-PC'!$X$5)+300+2*'Data-PC'!$X$7*AR48</f>
        <v>180</v>
      </c>
      <c r="AT48" s="72">
        <f t="shared" si="112"/>
        <v>0</v>
      </c>
      <c r="AU48" s="76"/>
      <c r="AV48" s="239"/>
      <c r="AW48" s="72">
        <f>IF(AV48&gt;0,(M48+2*L48*AU48)/1000*(ROUND((C48-2*'Data-PC'!$X$5)/AV48,0)+1)*(ROUND((D48-2*'Data-PC'!$X$5)/AV48,0)+1),0)</f>
        <v>0</v>
      </c>
      <c r="AX48" s="72">
        <f t="shared" si="113"/>
        <v>0</v>
      </c>
      <c r="AY48" s="67"/>
      <c r="AZ48" s="38"/>
      <c r="BA48" s="38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  <c r="BT48" s="234"/>
      <c r="BU48" s="234"/>
      <c r="BV48" s="234"/>
      <c r="BW48" s="234"/>
      <c r="BX48" s="234"/>
      <c r="BY48" s="234"/>
      <c r="BZ48" s="234"/>
    </row>
    <row r="49" spans="1:78" s="233" customFormat="1" ht="13.5">
      <c r="A49" s="21">
        <v>35</v>
      </c>
      <c r="B49" s="68"/>
      <c r="C49" s="90"/>
      <c r="D49" s="90"/>
      <c r="E49" s="90"/>
      <c r="F49" s="230">
        <v>0</v>
      </c>
      <c r="G49" s="90">
        <f t="shared" si="101"/>
        <v>0</v>
      </c>
      <c r="H49" s="235">
        <v>0</v>
      </c>
      <c r="I49" s="235">
        <v>0</v>
      </c>
      <c r="J49" s="236">
        <v>0</v>
      </c>
      <c r="K49" s="236">
        <v>0</v>
      </c>
      <c r="L49" s="232">
        <f t="shared" si="102"/>
        <v>-30</v>
      </c>
      <c r="M49" s="232">
        <f t="shared" si="103"/>
        <v>-60</v>
      </c>
      <c r="N49" s="72">
        <f t="shared" si="104"/>
        <v>0</v>
      </c>
      <c r="O49" s="72">
        <f t="shared" si="105"/>
        <v>0</v>
      </c>
      <c r="P49" s="60"/>
      <c r="Q49" s="72">
        <f t="shared" si="106"/>
        <v>0</v>
      </c>
      <c r="R49" s="73">
        <f t="shared" si="107"/>
        <v>0</v>
      </c>
      <c r="S49" s="238"/>
      <c r="T49" s="239"/>
      <c r="U49" s="239"/>
      <c r="V49" s="73">
        <f>T49*0.006165*U49^2*(O49-(8+(I49+K49))*'Data-PC'!$X$5/1000+2*MAX(6*U49,75)/1000+IF(O49&gt;12,ROUNDDOWN(O49/12,0)*'Data-PC'!$X$6*U49/1000,0))</f>
        <v>0</v>
      </c>
      <c r="W49" s="76"/>
      <c r="X49" s="239"/>
      <c r="Y49" s="239"/>
      <c r="Z49" s="74">
        <f>IF(Y49&gt;0,((C49-2*'Data-PC'!$X$5+2*L49)*Y49),0)/1000</f>
        <v>0</v>
      </c>
      <c r="AA49" s="73">
        <f t="shared" si="108"/>
        <v>0</v>
      </c>
      <c r="AB49" s="76"/>
      <c r="AC49" s="239"/>
      <c r="AD49" s="239"/>
      <c r="AE49" s="75">
        <f>IF(AD49&gt;0,((D49-J49-2*'Data-PC'!$X$5+2*L49)*AD49),0)/1000</f>
        <v>0</v>
      </c>
      <c r="AF49" s="73">
        <f t="shared" si="109"/>
        <v>0</v>
      </c>
      <c r="AG49" s="76"/>
      <c r="AH49" s="239"/>
      <c r="AI49" s="239"/>
      <c r="AJ49" s="75">
        <f>IF(AI49&gt;0,((C49-2*'Data-PC'!$X$5+2*M49)*AI49),0)/1000</f>
        <v>0</v>
      </c>
      <c r="AK49" s="73">
        <f t="shared" si="110"/>
        <v>0</v>
      </c>
      <c r="AL49" s="76"/>
      <c r="AM49" s="239"/>
      <c r="AN49" s="239"/>
      <c r="AO49" s="75">
        <f>IF(AN49&gt;0,((D49-J49-2*'Data-PC'!$X$5+2*M49)*AN49),0)/1000</f>
        <v>0</v>
      </c>
      <c r="AP49" s="73">
        <f t="shared" si="111"/>
        <v>0</v>
      </c>
      <c r="AQ49" s="239"/>
      <c r="AR49" s="239"/>
      <c r="AS49" s="239">
        <f>2*(E49-2*'Data-PC'!$X$5)+300+2*'Data-PC'!$X$7*AR49</f>
        <v>180</v>
      </c>
      <c r="AT49" s="72">
        <f t="shared" si="112"/>
        <v>0</v>
      </c>
      <c r="AU49" s="76"/>
      <c r="AV49" s="239"/>
      <c r="AW49" s="72">
        <f>IF(AV49&gt;0,(M49+2*L49*AU49)/1000*(ROUND((C49-2*'Data-PC'!$X$5)/AV49,0)+1)*(ROUND((D49-2*'Data-PC'!$X$5)/AV49,0)+1),0)</f>
        <v>0</v>
      </c>
      <c r="AX49" s="72">
        <f t="shared" si="113"/>
        <v>0</v>
      </c>
      <c r="AY49" s="67"/>
      <c r="AZ49" s="38"/>
      <c r="BA49" s="38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  <c r="BW49" s="234"/>
      <c r="BX49" s="234"/>
      <c r="BY49" s="234"/>
      <c r="BZ49" s="234"/>
    </row>
    <row r="50" spans="1:78" s="89" customFormat="1" ht="13.5">
      <c r="A50" s="21">
        <v>36</v>
      </c>
      <c r="B50" s="78" t="s">
        <v>104</v>
      </c>
      <c r="C50" s="79"/>
      <c r="D50" s="79"/>
      <c r="E50" s="79"/>
      <c r="F50" s="237">
        <v>0</v>
      </c>
      <c r="G50" s="79">
        <f t="shared" si="101"/>
        <v>0</v>
      </c>
      <c r="H50" s="672">
        <v>0</v>
      </c>
      <c r="I50" s="672">
        <v>0</v>
      </c>
      <c r="J50" s="673">
        <v>0</v>
      </c>
      <c r="K50" s="673">
        <v>0</v>
      </c>
      <c r="L50" s="79">
        <f t="shared" si="102"/>
        <v>-30</v>
      </c>
      <c r="M50" s="79">
        <f t="shared" si="103"/>
        <v>-60</v>
      </c>
      <c r="N50" s="80">
        <f t="shared" si="104"/>
        <v>0</v>
      </c>
      <c r="O50" s="80">
        <f t="shared" si="105"/>
        <v>0</v>
      </c>
      <c r="P50" s="81">
        <f>(((C50+2*X$3+2*X$4)*(D50+2*X$3+2*X$4))-1/2*H50*J50*AVERAGE(I50,K50))/1000000</f>
        <v>0.64</v>
      </c>
      <c r="Q50" s="80">
        <f t="shared" si="106"/>
        <v>0</v>
      </c>
      <c r="R50" s="82">
        <f t="shared" si="107"/>
        <v>0</v>
      </c>
      <c r="S50" s="83"/>
      <c r="T50" s="84"/>
      <c r="U50" s="84"/>
      <c r="V50" s="82">
        <f>T50*0.006165*U50^2*(O50-(8+(I50+K50))*'Data-PC'!$X$5/1000+2*MAX(6*U50,75)/1000+IF(O50&gt;12,ROUNDDOWN(O50/12,0)*'Data-PC'!$X$6*U50/1000,0))</f>
        <v>0</v>
      </c>
      <c r="W50" s="77"/>
      <c r="X50" s="84"/>
      <c r="Y50" s="84"/>
      <c r="Z50" s="81">
        <f>IF(X50&gt;0,((C50-2*$X$5+2*L50)*(ROUND((D50-J50-2*$X$5)/X50,0)+1)+(C50-I50/2*H50-2*$X$5+2*M50)*(ROUND(J50/X50,0)+1))/1000,0)</f>
        <v>0</v>
      </c>
      <c r="AA50" s="82">
        <f t="shared" si="108"/>
        <v>0</v>
      </c>
      <c r="AB50" s="77"/>
      <c r="AC50" s="84"/>
      <c r="AD50" s="84"/>
      <c r="AE50" s="85">
        <f t="shared" ref="AE50" si="126">IF(AC50&gt;0,((D50-J50-2*$X$5+2*L50)*(ROUND((C50-2*$X$5)/AC50,0)+1)+J50*(ROUND((C50-I50/2*H50-2*$X$5)/AC50,0)+1))/1000,0)</f>
        <v>0</v>
      </c>
      <c r="AF50" s="82">
        <f t="shared" si="109"/>
        <v>0</v>
      </c>
      <c r="AG50" s="77"/>
      <c r="AH50" s="84"/>
      <c r="AI50" s="84"/>
      <c r="AJ50" s="85">
        <f t="shared" ref="AJ50" si="127">IF(AH50&gt;0,((C50-2*$X$5+2*M50)*(ROUND((D50-J50-2*$X$5)/AH50,0)+1)+(C50-I50/2*H50-2*$X$5+2*M50)*(ROUND(J50/AH50,0)+1))/1000,0)</f>
        <v>0</v>
      </c>
      <c r="AK50" s="82">
        <f>0.006165*AG50^2*AJ50</f>
        <v>0</v>
      </c>
      <c r="AL50" s="77"/>
      <c r="AM50" s="84"/>
      <c r="AN50" s="84"/>
      <c r="AO50" s="85">
        <f t="shared" ref="AO50" si="128">IF(AM50&gt;0,((D50-J50-2*$X$5+2*M50)*(ROUND((C50-2*$X$5)/AM50,0)+1)+J50*(ROUND((C50-I50/2*H50-2*$X$5)/AM50,0)+1))/1000,0)</f>
        <v>0</v>
      </c>
      <c r="AP50" s="82">
        <f t="shared" si="111"/>
        <v>0</v>
      </c>
      <c r="AQ50" s="84"/>
      <c r="AR50" s="84"/>
      <c r="AS50" s="84">
        <f>2*(E50-2*'Data-PC'!$X$5)+300+2*'Data-PC'!$X$7*AR50</f>
        <v>180</v>
      </c>
      <c r="AT50" s="80">
        <f t="shared" si="112"/>
        <v>0</v>
      </c>
      <c r="AU50" s="77"/>
      <c r="AV50" s="84"/>
      <c r="AW50" s="80">
        <f>IF(AV50&gt;0,(M50+2*L50*AU50)/1000*(ROUND((C50-2*'Data-PC'!$X$5)/AV50,0)+1)*(ROUND((D50-2*'Data-PC'!$X$5)/AV50,0)+1),0)</f>
        <v>0</v>
      </c>
      <c r="AX50" s="80">
        <f t="shared" si="113"/>
        <v>0</v>
      </c>
      <c r="AY50" s="86"/>
      <c r="AZ50" s="87"/>
      <c r="BA50" s="87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</row>
    <row r="51" spans="1:78" s="690" customFormat="1" ht="13.5">
      <c r="A51" s="21">
        <v>37</v>
      </c>
      <c r="B51" s="691" t="s">
        <v>106</v>
      </c>
      <c r="C51" s="692"/>
      <c r="D51" s="692"/>
      <c r="E51" s="692"/>
      <c r="F51" s="693">
        <v>0</v>
      </c>
      <c r="G51" s="692">
        <f>E51</f>
        <v>0</v>
      </c>
      <c r="H51" s="694">
        <v>0</v>
      </c>
      <c r="I51" s="694">
        <v>0</v>
      </c>
      <c r="J51" s="695">
        <v>0</v>
      </c>
      <c r="K51" s="695">
        <v>0</v>
      </c>
      <c r="L51" s="692">
        <f>M51/2</f>
        <v>-30</v>
      </c>
      <c r="M51" s="692">
        <f>E51-2*$X$5</f>
        <v>-60</v>
      </c>
      <c r="N51" s="696">
        <f>(C51*D51-1/2*H51*J51*AVERAGE(I51,K51))/1000000</f>
        <v>0</v>
      </c>
      <c r="O51" s="696">
        <f>(2*C51-I51*H51+2*D51-K51*J51+(I51+K51)/2*SQRT(H51^2+J51^2))/1000</f>
        <v>0</v>
      </c>
      <c r="P51" s="697">
        <f>(((C51+2*X$3+2*X$4)*(D51+2*X$3+2*X$4))-1/2*H51*J51*AVERAGE(I51,K51))/1000000</f>
        <v>0.64</v>
      </c>
      <c r="Q51" s="696">
        <f>N51*G51/1000</f>
        <v>0</v>
      </c>
      <c r="R51" s="698">
        <f>O51*G51/1000</f>
        <v>0</v>
      </c>
      <c r="S51" s="699"/>
      <c r="T51" s="700"/>
      <c r="U51" s="700"/>
      <c r="V51" s="698">
        <f>T51*0.006165*U51^2*(O51-(8+(I51+K51))*'Data-PC'!$X$5/1000+2*MAX(6*U51,75)/1000+IF(O51&gt;12,ROUNDDOWN(O51/12,0)*'Data-PC'!$X$6*U51/1000,0))</f>
        <v>0</v>
      </c>
      <c r="W51" s="701"/>
      <c r="X51" s="700"/>
      <c r="Y51" s="700" t="e">
        <f>ROUNDUP((D51-2*$X$5)/X51,0)+1</f>
        <v>#DIV/0!</v>
      </c>
      <c r="Z51" s="697" t="e">
        <f>IF(Y51&gt;0,((C51-2*'Data-PC'!$X$5+2*L51)*Y51),0)/1000</f>
        <v>#DIV/0!</v>
      </c>
      <c r="AA51" s="698" t="e">
        <f>0.006165*W51^2*Z51</f>
        <v>#DIV/0!</v>
      </c>
      <c r="AB51" s="701"/>
      <c r="AC51" s="700"/>
      <c r="AD51" s="700" t="e">
        <f>ROUNDUP((C51-2*$X$5)/AC51,0)+1</f>
        <v>#DIV/0!</v>
      </c>
      <c r="AE51" s="702" t="e">
        <f>IF(AD51&gt;0,((D51-J51-2*'Data-PC'!$X$5+2*L51)*AD51),0)/1000</f>
        <v>#DIV/0!</v>
      </c>
      <c r="AF51" s="698" t="e">
        <f t="shared" si="109"/>
        <v>#DIV/0!</v>
      </c>
      <c r="AG51" s="701"/>
      <c r="AH51" s="700"/>
      <c r="AI51" s="700" t="e">
        <f>ROUNDUP((D51-2*$X$5)/AH51,0)+1</f>
        <v>#DIV/0!</v>
      </c>
      <c r="AJ51" s="702" t="e">
        <f>IF(AI51&gt;0,((C51-2*'Data-PC'!$X$5+2*M51)*AI51),0)/1000</f>
        <v>#DIV/0!</v>
      </c>
      <c r="AK51" s="698" t="e">
        <f>0.006165*AG51^2*AJ51</f>
        <v>#DIV/0!</v>
      </c>
      <c r="AL51" s="701"/>
      <c r="AM51" s="700"/>
      <c r="AN51" s="700" t="e">
        <f>ROUNDUP((C51-2*$X$5)/AM51,0)+1</f>
        <v>#DIV/0!</v>
      </c>
      <c r="AO51" s="702" t="e">
        <f>IF(AN51&gt;0,((D51-J51-2*'Data-PC'!$X$5+2*M51)*AN51),0)/1000</f>
        <v>#DIV/0!</v>
      </c>
      <c r="AP51" s="698" t="e">
        <f>0.006165*AL51^2*AO51</f>
        <v>#DIV/0!</v>
      </c>
      <c r="AQ51" s="700"/>
      <c r="AR51" s="700"/>
      <c r="AS51" s="700">
        <f>2*(E51-2*'Data-PC'!$X$5)+300+2*'Data-PC'!$X$7*AR51</f>
        <v>180</v>
      </c>
      <c r="AT51" s="696">
        <f>AQ51*0.006165*AR51^2*AS51/1000</f>
        <v>0</v>
      </c>
      <c r="AU51" s="701"/>
      <c r="AV51" s="700"/>
      <c r="AW51" s="696">
        <f>IF(AV51&gt;0,(M51+2*L51*AU51)/1000*(ROUND((C51-2*'Data-PC'!$X$5)/AV51,0)+1)*(ROUND((D51-2*'Data-PC'!$X$5)/AV51,0)+1),0)</f>
        <v>0</v>
      </c>
      <c r="AX51" s="696">
        <f>0.006165*AU51^2*AW51</f>
        <v>0</v>
      </c>
      <c r="AY51" s="703"/>
      <c r="AZ51" s="704"/>
      <c r="BA51" s="704"/>
      <c r="BB51" s="705"/>
      <c r="BC51" s="705"/>
      <c r="BD51" s="705"/>
      <c r="BE51" s="705"/>
      <c r="BF51" s="705"/>
      <c r="BG51" s="705"/>
      <c r="BH51" s="705"/>
      <c r="BI51" s="705"/>
      <c r="BJ51" s="705"/>
      <c r="BK51" s="705"/>
      <c r="BL51" s="705"/>
      <c r="BM51" s="705"/>
      <c r="BN51" s="705"/>
      <c r="BO51" s="705"/>
      <c r="BP51" s="705"/>
      <c r="BQ51" s="705"/>
      <c r="BR51" s="705"/>
      <c r="BS51" s="705"/>
      <c r="BT51" s="705"/>
      <c r="BU51" s="705"/>
      <c r="BV51" s="705"/>
      <c r="BW51" s="705"/>
      <c r="BX51" s="705"/>
      <c r="BY51" s="705"/>
      <c r="BZ51" s="705"/>
    </row>
    <row r="52" spans="1:78" s="674" customFormat="1" ht="13.5">
      <c r="A52" s="21">
        <v>38</v>
      </c>
      <c r="B52" s="675" t="s">
        <v>105</v>
      </c>
      <c r="C52" s="676"/>
      <c r="D52" s="676"/>
      <c r="E52" s="676"/>
      <c r="F52" s="677">
        <v>0</v>
      </c>
      <c r="G52" s="676">
        <f>E52</f>
        <v>0</v>
      </c>
      <c r="H52" s="678">
        <v>0</v>
      </c>
      <c r="I52" s="678">
        <v>0</v>
      </c>
      <c r="J52" s="679">
        <v>0</v>
      </c>
      <c r="K52" s="679">
        <v>0</v>
      </c>
      <c r="L52" s="676">
        <f>M52/2</f>
        <v>-30</v>
      </c>
      <c r="M52" s="676">
        <f>E52-2*$X$5</f>
        <v>-60</v>
      </c>
      <c r="N52" s="680">
        <f>(C52*D52-1/2*H52*J52*AVERAGE(I52,K52))/1000000</f>
        <v>0</v>
      </c>
      <c r="O52" s="681">
        <f>(2*C52-I52*H52+2*D52-K52*J52+(I52+K52)/2*SQRT(H52^2+J52^2))/1000</f>
        <v>0</v>
      </c>
      <c r="P52" s="682">
        <f>(((C52+2*X$3+2*X$4)*(D52+2*X$3+2*X$4))-1/2*H52*J52*AVERAGE(I52,K52))/1000000</f>
        <v>0.64</v>
      </c>
      <c r="Q52" s="681">
        <f>N52*G52/1000</f>
        <v>0</v>
      </c>
      <c r="R52" s="683">
        <f>O52*G52/1000</f>
        <v>0</v>
      </c>
      <c r="S52" s="684"/>
      <c r="T52" s="680"/>
      <c r="U52" s="680"/>
      <c r="V52" s="683">
        <f>T52*0.006165*U52^2*(O52-(8+(I52+K52))*'Data-PC'!$X$5/1000+2*MAX(6*U52,75)/1000+IF(O52&gt;12,ROUNDDOWN(O52/12,0)*'Data-PC'!$X$6*U52/1000,0))</f>
        <v>0</v>
      </c>
      <c r="W52" s="685"/>
      <c r="X52" s="680"/>
      <c r="Y52" s="680" t="e">
        <f>ROUNDUP((D52-2*$X$5)/X52,0)+1</f>
        <v>#DIV/0!</v>
      </c>
      <c r="Z52" s="682">
        <f>IF(X52&gt;0,((C52-2*$X$5+2*L52)*(ROUND((D52-J52-2*$X$5)/X52,0)+1)+(C52-I52/2*H52-2*$X$5+2*M52)*(ROUND(J52/X52,0)+1))/1000,0)</f>
        <v>0</v>
      </c>
      <c r="AA52" s="683">
        <f>0.006165*W52^2*Z52</f>
        <v>0</v>
      </c>
      <c r="AB52" s="685"/>
      <c r="AC52" s="680"/>
      <c r="AD52" s="680" t="e">
        <f>ROUNDUP((C52-2*$X$5)/AC52,0)+1</f>
        <v>#DIV/0!</v>
      </c>
      <c r="AE52" s="686">
        <f>IF(AC52&gt;0,((D52-J52-2*$X$5+2*L52)*(ROUND((C52-2*$X$5)/AC52,0)+1)+J52*(ROUND((C52-I52/2*H52-2*$X$5)/AC52,0)+1))/1000,0)</f>
        <v>0</v>
      </c>
      <c r="AF52" s="683">
        <f t="shared" si="109"/>
        <v>0</v>
      </c>
      <c r="AG52" s="685"/>
      <c r="AH52" s="680"/>
      <c r="AI52" s="680" t="e">
        <f>ROUNDUP((D52-2*$X$5)/AH52,0)+1</f>
        <v>#DIV/0!</v>
      </c>
      <c r="AJ52" s="686">
        <f>IF(AH52&gt;0,((C52-2*$X$5+2*M52)*(ROUND((D52-J52-2*$X$5)/AH52,0)+1)+(C52-I52/2*H52-2*$X$5+2*M52)*(ROUND(J52/AH52,0)+1))/1000,0)</f>
        <v>0</v>
      </c>
      <c r="AK52" s="683">
        <v>16</v>
      </c>
      <c r="AL52" s="685"/>
      <c r="AM52" s="680"/>
      <c r="AN52" s="680" t="e">
        <f>ROUNDUP((C52-2*$X$5)/AM52,0)+1</f>
        <v>#DIV/0!</v>
      </c>
      <c r="AO52" s="686">
        <f>IF(AM52&gt;0,((D52-J52-2*$X$5+2*M52)*(ROUND((C52-2*$X$5)/AM52,0)+1)+J52*(ROUND((C52-I52/2*H52-2*$X$5)/AM52,0)+1))/1000,0)</f>
        <v>0</v>
      </c>
      <c r="AP52" s="681">
        <f>IF(AM52&gt;0,((D52-J52-2*$X$5+2*M52)*(ROUND((C52-2*$X$5)/AM52,0)+1)+J52*(ROUND((C52-I52/2*H52-2*$X$5)/AM52,0)+1))/1000,0)</f>
        <v>0</v>
      </c>
      <c r="AQ52" s="680"/>
      <c r="AR52" s="680"/>
      <c r="AS52" s="680">
        <f>2*(E52-2*'Data-PC'!$X$5)+300+2*'Data-PC'!$X$7*AR52</f>
        <v>180</v>
      </c>
      <c r="AT52" s="681">
        <f>AQ52*0.006165*AR52^2*AS52/1000</f>
        <v>0</v>
      </c>
      <c r="AU52" s="685"/>
      <c r="AV52" s="680"/>
      <c r="AW52" s="681">
        <f>IF(AV52&gt;0,(M52+2*L52*AU52)/1000*(ROUND((C52-2*'Data-PC'!$X$5)/AV52,0)+1)*(ROUND((D52-2*'Data-PC'!$X$5)/AV52,0)+1),0)</f>
        <v>0</v>
      </c>
      <c r="AX52" s="681">
        <f>0.006165*AU52^2*AW52</f>
        <v>0</v>
      </c>
      <c r="AY52" s="687"/>
      <c r="AZ52" s="688"/>
      <c r="BA52" s="688"/>
      <c r="BB52" s="689"/>
      <c r="BC52" s="689"/>
      <c r="BD52" s="689"/>
      <c r="BE52" s="689"/>
      <c r="BF52" s="689"/>
      <c r="BG52" s="689"/>
      <c r="BH52" s="689"/>
      <c r="BI52" s="689"/>
      <c r="BJ52" s="689"/>
      <c r="BK52" s="689"/>
      <c r="BL52" s="689"/>
      <c r="BM52" s="689"/>
      <c r="BN52" s="689"/>
      <c r="BO52" s="689"/>
      <c r="BP52" s="689"/>
      <c r="BQ52" s="689"/>
      <c r="BR52" s="689"/>
      <c r="BS52" s="689"/>
      <c r="BT52" s="689"/>
      <c r="BU52" s="689"/>
      <c r="BV52" s="689"/>
      <c r="BW52" s="689"/>
      <c r="BX52" s="689"/>
      <c r="BY52" s="689"/>
      <c r="BZ52" s="689"/>
    </row>
    <row r="53" spans="1:78" s="106" customFormat="1" ht="13.5">
      <c r="A53" s="21"/>
      <c r="B53" s="91"/>
      <c r="C53" s="92"/>
      <c r="D53" s="92"/>
      <c r="E53" s="92"/>
      <c r="F53" s="92"/>
      <c r="G53" s="92"/>
      <c r="H53" s="93"/>
      <c r="I53" s="93"/>
      <c r="J53" s="94"/>
      <c r="K53" s="94"/>
      <c r="L53" s="92"/>
      <c r="M53" s="92"/>
      <c r="N53" s="95"/>
      <c r="O53" s="95"/>
      <c r="P53" s="96"/>
      <c r="Q53" s="96"/>
      <c r="R53" s="97"/>
      <c r="S53" s="98"/>
      <c r="T53" s="99"/>
      <c r="U53" s="99"/>
      <c r="V53" s="100"/>
      <c r="W53" s="101"/>
      <c r="X53" s="99"/>
      <c r="Y53" s="99"/>
      <c r="Z53" s="96"/>
      <c r="AA53" s="97"/>
      <c r="AB53" s="101"/>
      <c r="AC53" s="99"/>
      <c r="AD53" s="99"/>
      <c r="AE53" s="102"/>
      <c r="AF53" s="97"/>
      <c r="AG53" s="101"/>
      <c r="AH53" s="99"/>
      <c r="AI53" s="99"/>
      <c r="AJ53" s="102"/>
      <c r="AK53" s="97"/>
      <c r="AL53" s="101"/>
      <c r="AM53" s="99"/>
      <c r="AN53" s="99"/>
      <c r="AO53" s="102"/>
      <c r="AP53" s="102"/>
      <c r="AQ53" s="99"/>
      <c r="AR53" s="99"/>
      <c r="AS53" s="99"/>
      <c r="AT53" s="96"/>
      <c r="AU53" s="101"/>
      <c r="AV53" s="99"/>
      <c r="AW53" s="102"/>
      <c r="AX53" s="102"/>
      <c r="AY53" s="103"/>
      <c r="AZ53" s="104"/>
      <c r="BA53" s="104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</row>
    <row r="54" spans="1:78" ht="13.5">
      <c r="B54" s="55" t="s">
        <v>54</v>
      </c>
      <c r="C54" s="56">
        <v>1000</v>
      </c>
      <c r="D54" s="56">
        <v>1000</v>
      </c>
      <c r="E54" s="56">
        <v>500</v>
      </c>
      <c r="F54" s="56">
        <v>0</v>
      </c>
      <c r="G54" s="56">
        <f>E54-F54</f>
        <v>500</v>
      </c>
      <c r="H54" s="70">
        <v>400</v>
      </c>
      <c r="I54" s="70">
        <v>2</v>
      </c>
      <c r="J54" s="71">
        <v>700</v>
      </c>
      <c r="K54" s="71">
        <v>2</v>
      </c>
      <c r="L54" s="57">
        <f>M54/2</f>
        <v>220</v>
      </c>
      <c r="M54" s="57">
        <f>E54-2*'Data-PC'!$X$5</f>
        <v>440</v>
      </c>
      <c r="N54" s="58">
        <f>(C54*D54-1/2*H54*J54*AVERAGE(I54,K54))/1000000</f>
        <v>0.72</v>
      </c>
      <c r="O54" s="58">
        <f>(2*C54-I54*H54+2*D54-K54*J54+(I54+K54)/2*SQRT(H54^2+J54^2))/1000</f>
        <v>3.4124515496597096</v>
      </c>
      <c r="P54" s="59">
        <f>(((C54+2*'Data-PC'!X$3+2*'Data-PC'!X$4)*(D54+2*'Data-PC'!X$3+2*'Data-PC'!X$4))-1/2*H54*J54*AVERAGE(I54,K54))/1000000</f>
        <v>2.96</v>
      </c>
      <c r="Q54" s="60">
        <f>N54*G54/1000</f>
        <v>0.36</v>
      </c>
      <c r="R54" s="61">
        <f>O54*G54/1000</f>
        <v>1.7062257748298548</v>
      </c>
      <c r="S54" s="62"/>
      <c r="T54" s="63">
        <v>1</v>
      </c>
      <c r="U54" s="63">
        <v>10</v>
      </c>
      <c r="V54" s="73">
        <f>T54*0.006165*U54^2*(O54-(8+(I54+K54))*'Data-PC'!$X$5/1000+2*75/1000+IF(O54&gt;12,'Data-PC'!$X$6*U54/1000,0))</f>
        <v>1.9743113803652113</v>
      </c>
      <c r="W54" s="65">
        <v>10</v>
      </c>
      <c r="X54" s="63">
        <v>125</v>
      </c>
      <c r="Y54" s="63"/>
      <c r="Z54" s="60">
        <f>IF(X54&gt;0,((C54-2*'Data-PC'!$X$5+2*L54)*(ROUND((D54-J54-2*'Data-PC'!$X$5)/X54,0)+1)+(C54-I54/2*H54-2*'Data-PC'!$X$5+2*M54)*(ROUND(J54/X54,0)+1))/1000,0)</f>
        <v>14.08</v>
      </c>
      <c r="AA54" s="61">
        <f>0.006165*W54^2*Z54</f>
        <v>8.68032</v>
      </c>
      <c r="AB54" s="65">
        <v>10</v>
      </c>
      <c r="AC54" s="63">
        <v>125</v>
      </c>
      <c r="AD54" s="63"/>
      <c r="AE54" s="66">
        <f>IF(AC54&gt;0,((D54-J54-2*'Data-PC'!$X$5+2*L54)*(ROUND((C54-2*'Data-PC'!$X$5)/AC54,0)+1)+J54*(ROUND((C54-I54/2*H54-2*'Data-PC'!$X$5)/AC54,0)+1))/1000,0)</f>
        <v>9.6199999999999992</v>
      </c>
      <c r="AF54" s="61">
        <f>0.006165*AB54^2*AE54</f>
        <v>5.9307299999999996</v>
      </c>
      <c r="AG54" s="65">
        <v>13</v>
      </c>
      <c r="AH54" s="63">
        <v>125</v>
      </c>
      <c r="AI54" s="63"/>
      <c r="AJ54" s="66">
        <f>IF(AH54&gt;0,((C54-2*'Data-PC'!$X$5+2*M54)*(ROUND((D54-J54-2*'Data-PC'!$X$5)/AH54,0)+1)+(C54-I54/2*H54-2*'Data-PC'!$X$5+2*M54)*(ROUND(J54/AH54,0)+1))/1000,0)</f>
        <v>15.4</v>
      </c>
      <c r="AK54" s="61">
        <f>0.006165*AG54^2*AJ54</f>
        <v>16.045029</v>
      </c>
      <c r="AL54" s="65">
        <v>13</v>
      </c>
      <c r="AM54" s="63">
        <v>125</v>
      </c>
      <c r="AN54" s="63"/>
      <c r="AO54" s="66">
        <f>IF(AM54&gt;0,((D54-J54-2*'Data-PC'!$X$5+2*M54)*(ROUND((C54-2*'Data-PC'!$X$5)/AM54,0)+1)+J54*(ROUND((C54-I54/2*H54-2*'Data-PC'!$X$5)/AM54,0)+1))/1000,0)</f>
        <v>13.58</v>
      </c>
      <c r="AP54" s="66">
        <f>0.006165*AL54^2*AO54</f>
        <v>14.148798299999999</v>
      </c>
      <c r="AQ54" s="63">
        <v>4</v>
      </c>
      <c r="AR54" s="63">
        <v>16</v>
      </c>
      <c r="AS54" s="63">
        <f>2*(E54-2*'Data-PC'!$X$5)+3*(MAX(X54,AC54,AH54,AM54)+'Data-PC'!$X$7*AR54)</f>
        <v>1255</v>
      </c>
      <c r="AT54" s="60">
        <f>AQ54*0.006165*AR54^2*AS54/1000</f>
        <v>7.9227648000000013</v>
      </c>
      <c r="AU54" s="65">
        <v>10</v>
      </c>
      <c r="AV54" s="63">
        <v>400</v>
      </c>
      <c r="AW54" s="66">
        <f>IF(AV54&gt;0,(M54+2*L54*AU54)/1000*(ROUND((C54-2*'Data-PC'!$X$5)/AV54,0)+1)*(ROUND((D54-2*'Data-PC'!$X$5)/AV54,0)+1),0)</f>
        <v>43.56</v>
      </c>
      <c r="AX54" s="66">
        <f>0.006165*AU54^2*AW54</f>
        <v>26.854740000000003</v>
      </c>
      <c r="AY54" s="67"/>
      <c r="AZ54" s="38"/>
      <c r="BA54" s="38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</row>
    <row r="55" spans="1:78" ht="13.5">
      <c r="B55" s="55"/>
      <c r="C55" s="56"/>
      <c r="D55" s="56"/>
      <c r="E55" s="56"/>
      <c r="F55" s="56"/>
      <c r="G55" s="56"/>
      <c r="H55" s="70"/>
      <c r="I55" s="70"/>
      <c r="J55" s="71"/>
      <c r="K55" s="71"/>
      <c r="L55" s="57"/>
      <c r="M55" s="57"/>
      <c r="N55" s="58"/>
      <c r="O55" s="58"/>
      <c r="P55" s="59"/>
      <c r="Q55" s="60"/>
      <c r="R55" s="61"/>
      <c r="S55" s="62"/>
      <c r="T55" s="63"/>
      <c r="U55" s="63"/>
      <c r="V55" s="64"/>
      <c r="W55" s="65"/>
      <c r="X55" s="63"/>
      <c r="Y55" s="63"/>
      <c r="Z55" s="60"/>
      <c r="AA55" s="61"/>
      <c r="AB55" s="65"/>
      <c r="AC55" s="63"/>
      <c r="AD55" s="63"/>
      <c r="AE55" s="66">
        <f>IF(AC55&gt;0,((D55-J55-2*'Data-PC'!$X$5+2*M55)*(ROUND(C55/AC55,0)+1)+J55*(ROUND((C55-I55/2*H55)/AC55,0)+1))/1000,0)</f>
        <v>0</v>
      </c>
      <c r="AF55" s="61">
        <f>0.006165*AB55^2*AE55</f>
        <v>0</v>
      </c>
      <c r="AG55" s="65"/>
      <c r="AH55" s="63"/>
      <c r="AI55" s="63"/>
      <c r="AJ55" s="66"/>
      <c r="AK55" s="61"/>
      <c r="AL55" s="65"/>
      <c r="AM55" s="63"/>
      <c r="AN55" s="63"/>
      <c r="AO55" s="66"/>
      <c r="AP55" s="66"/>
      <c r="AQ55" s="63"/>
      <c r="AR55" s="63"/>
      <c r="AS55" s="63"/>
      <c r="AT55" s="60"/>
      <c r="AU55" s="65"/>
      <c r="AV55" s="63"/>
      <c r="AW55" s="66"/>
      <c r="AX55" s="66"/>
      <c r="AY55" s="67"/>
      <c r="AZ55" s="38"/>
      <c r="BA55" s="38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</row>
    <row r="56" spans="1:78" s="121" customFormat="1" ht="13.5">
      <c r="A56" s="21"/>
      <c r="B56" s="107"/>
      <c r="C56" s="108"/>
      <c r="D56" s="108"/>
      <c r="E56" s="108"/>
      <c r="F56" s="108"/>
      <c r="G56" s="108"/>
      <c r="H56" s="109"/>
      <c r="I56" s="109"/>
      <c r="J56" s="110"/>
      <c r="K56" s="110"/>
      <c r="L56" s="111"/>
      <c r="M56" s="111"/>
      <c r="N56" s="112"/>
      <c r="O56" s="112"/>
      <c r="P56" s="112"/>
      <c r="Q56" s="113"/>
      <c r="R56" s="114"/>
      <c r="S56" s="115"/>
      <c r="T56" s="115"/>
      <c r="U56" s="115"/>
      <c r="V56" s="116"/>
      <c r="W56" s="117"/>
      <c r="X56" s="115"/>
      <c r="Y56" s="115"/>
      <c r="Z56" s="113"/>
      <c r="AA56" s="114"/>
      <c r="AB56" s="117"/>
      <c r="AC56" s="115"/>
      <c r="AD56" s="118"/>
      <c r="AE56" s="66">
        <f>IF(AC56&gt;0,((D56-J56-2*'Data-PC'!$X$5+2*M56)*(ROUND(C56/AC56,0)+1)+J56*(ROUND((C56-I56/2*H56)/AC56,0)+1))/1000,0)</f>
        <v>0</v>
      </c>
      <c r="AF56" s="61">
        <f>0.006165*AB56^2*AE56</f>
        <v>0</v>
      </c>
      <c r="AG56" s="117"/>
      <c r="AH56" s="115"/>
      <c r="AI56" s="115"/>
      <c r="AJ56" s="113"/>
      <c r="AK56" s="114"/>
      <c r="AL56" s="117"/>
      <c r="AM56" s="115"/>
      <c r="AN56" s="115"/>
      <c r="AO56" s="113"/>
      <c r="AP56" s="113"/>
      <c r="AQ56" s="115"/>
      <c r="AR56" s="115"/>
      <c r="AS56" s="115"/>
      <c r="AT56" s="119"/>
      <c r="AU56" s="117"/>
      <c r="AV56" s="115"/>
      <c r="AW56" s="113"/>
      <c r="AX56" s="113"/>
      <c r="AY56" s="38"/>
      <c r="AZ56" s="38"/>
      <c r="BA56" s="38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</row>
    <row r="57" spans="1:78">
      <c r="C57" s="30"/>
      <c r="D57" s="30"/>
      <c r="E57" s="30"/>
      <c r="F57" s="30"/>
      <c r="G57" s="30"/>
      <c r="H57" s="34"/>
      <c r="I57" s="34"/>
      <c r="J57" s="34"/>
      <c r="K57" s="34"/>
      <c r="L57" s="30"/>
      <c r="M57" s="30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</row>
    <row r="58" spans="1:78">
      <c r="B58" s="122" t="s">
        <v>55</v>
      </c>
      <c r="C58" s="30"/>
      <c r="D58" s="30"/>
      <c r="E58" s="30"/>
      <c r="F58" s="30"/>
      <c r="G58" s="30"/>
      <c r="H58" s="34"/>
      <c r="I58" s="34"/>
      <c r="J58" s="34"/>
      <c r="K58" s="34"/>
      <c r="L58" s="30"/>
      <c r="M58" s="30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</row>
    <row r="59" spans="1:78">
      <c r="C59" s="30"/>
      <c r="D59" s="30"/>
      <c r="E59" s="30"/>
      <c r="F59" s="30"/>
      <c r="G59" s="30"/>
      <c r="H59" s="34"/>
      <c r="I59" s="34"/>
      <c r="J59" s="34"/>
      <c r="K59" s="34"/>
      <c r="L59" s="30"/>
      <c r="M59" s="30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</row>
    <row r="60" spans="1:78" s="124" customFormat="1">
      <c r="A60" s="21"/>
      <c r="B60" s="123" t="s">
        <v>56</v>
      </c>
      <c r="D60" s="125"/>
      <c r="E60" s="125"/>
      <c r="F60" s="125"/>
      <c r="G60" s="126"/>
      <c r="H60" s="127"/>
      <c r="I60" s="127"/>
      <c r="J60" s="127"/>
      <c r="K60" s="127"/>
      <c r="L60" s="125"/>
      <c r="M60" s="125"/>
      <c r="N60" s="127"/>
      <c r="O60" s="127"/>
      <c r="P60" s="127"/>
      <c r="Q60" s="127"/>
      <c r="R60" s="127"/>
      <c r="S60" s="127"/>
      <c r="U60" s="127"/>
      <c r="V60" s="127"/>
      <c r="W60" s="127"/>
      <c r="X60" s="127"/>
      <c r="Y60" s="127"/>
      <c r="Z60" s="127" t="e">
        <f>(ROUND((#REF!-#REF!-2*'Data-PC'!$X$5)/#REF!,0)+1)+(ROUND(#REF!/#REF!,0)+1)</f>
        <v>#REF!</v>
      </c>
      <c r="AA60" s="127"/>
      <c r="AB60" s="127"/>
      <c r="AC60" s="127"/>
      <c r="AD60" s="127"/>
      <c r="AE60" s="127" t="e">
        <f>(ROUND((#REF!-2*'Data-PC'!$X$5)/#REF!,0)+1)+(ROUND((#REF!-#REF!/2*#REF!-2*'Data-PC'!$X$5)/#REF!,0)+1)</f>
        <v>#REF!</v>
      </c>
      <c r="AF60" s="127"/>
      <c r="AG60" s="127"/>
      <c r="AH60" s="127"/>
      <c r="AI60" s="127"/>
      <c r="AJ60" s="127" t="e">
        <f>(ROUND((#REF!-#REF!-2*'Data-PC'!$X$5)/#REF!,0)+1)+(ROUND(#REF!/#REF!,0)+1)</f>
        <v>#REF!</v>
      </c>
      <c r="AK60" s="127"/>
      <c r="AL60" s="127"/>
      <c r="AM60" s="127"/>
      <c r="AN60" s="127"/>
      <c r="AO60" s="127" t="e">
        <f>(ROUND((#REF!-2*'Data-PC'!$X$5)/#REF!,0)+1)+(ROUND((#REF!-#REF!/2*#REF!-2*'Data-PC'!$X$5)/#REF!,0)+1)</f>
        <v>#REF!</v>
      </c>
      <c r="AP60" s="127"/>
      <c r="AR60" s="127"/>
      <c r="AS60" s="127"/>
      <c r="AT60" s="127"/>
      <c r="AV60" s="127"/>
      <c r="AW60" s="127"/>
      <c r="AX60" s="127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</row>
    <row r="61" spans="1:78">
      <c r="B61" s="123" t="s">
        <v>57</v>
      </c>
      <c r="H61" s="34"/>
      <c r="I61" s="34"/>
      <c r="J61" s="34"/>
      <c r="K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127" t="e">
        <f>(ROUND((#REF!-#REF!-2*'Data-PC'!$X$5)/#REF!,0)+1)+(ROUND(#REF!/#REF!,0)+1)</f>
        <v>#REF!</v>
      </c>
      <c r="AA61" s="127"/>
      <c r="AB61" s="127"/>
      <c r="AC61" s="127"/>
      <c r="AD61" s="127"/>
      <c r="AE61" s="127" t="e">
        <f>(ROUND((#REF!-2*'Data-PC'!$X$5)/#REF!,0)+1)+(ROUND((#REF!-#REF!/2*#REF!-2*'Data-PC'!$X$5)/#REF!,0)+1)</f>
        <v>#REF!</v>
      </c>
      <c r="AF61" s="127"/>
      <c r="AG61" s="127"/>
      <c r="AH61" s="127"/>
      <c r="AI61" s="127"/>
      <c r="AJ61" s="127" t="e">
        <f>(ROUND((#REF!-#REF!-2*'Data-PC'!$X$5)/#REF!,0)+1)+(ROUND(#REF!/#REF!,0)+1)</f>
        <v>#REF!</v>
      </c>
      <c r="AK61" s="127"/>
      <c r="AL61" s="127"/>
      <c r="AM61" s="127"/>
      <c r="AN61" s="127"/>
      <c r="AO61" s="127" t="e">
        <f>(ROUND((#REF!-2*'Data-PC'!$X$5)/#REF!,0)+1)+(ROUND((#REF!-#REF!/2*#REF!-2*'Data-PC'!$X$5)/#REF!,0)+1)</f>
        <v>#REF!</v>
      </c>
      <c r="AP61" s="34"/>
      <c r="AQ61" s="34"/>
      <c r="AR61" s="34"/>
      <c r="AS61" s="34"/>
      <c r="AT61" s="34"/>
      <c r="AU61" s="34"/>
      <c r="AV61" s="34"/>
      <c r="AW61" s="34"/>
      <c r="AX61" s="34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</row>
    <row r="62" spans="1:78">
      <c r="B62" s="123" t="s">
        <v>58</v>
      </c>
      <c r="D62" s="30"/>
      <c r="E62" s="30"/>
      <c r="F62" s="30"/>
      <c r="G62" s="30"/>
      <c r="H62" s="34"/>
      <c r="I62" s="34"/>
      <c r="J62" s="34"/>
      <c r="K62" s="34"/>
      <c r="L62" s="30"/>
      <c r="M62" s="30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127" t="e">
        <f>(ROUND((#REF!-#REF!-2*'Data-PC'!$X$5)/#REF!,0)+1)+(ROUND(#REF!/#REF!,0)+1)</f>
        <v>#REF!</v>
      </c>
      <c r="AA62" s="127"/>
      <c r="AB62" s="127"/>
      <c r="AC62" s="127"/>
      <c r="AD62" s="127"/>
      <c r="AE62" s="127" t="e">
        <f>(ROUND((#REF!-2*'Data-PC'!$X$5)/#REF!,0)+1)+(ROUND((#REF!-#REF!/2*#REF!-2*'Data-PC'!$X$5)/#REF!,0)+1)</f>
        <v>#REF!</v>
      </c>
      <c r="AF62" s="127"/>
      <c r="AG62" s="127"/>
      <c r="AH62" s="127"/>
      <c r="AI62" s="127"/>
      <c r="AJ62" s="127" t="e">
        <f>(ROUND((#REF!-#REF!-2*'Data-PC'!$X$5)/#REF!,0)+1)+(ROUND(#REF!/#REF!,0)+1)</f>
        <v>#REF!</v>
      </c>
      <c r="AK62" s="127"/>
      <c r="AL62" s="127"/>
      <c r="AM62" s="127"/>
      <c r="AN62" s="127"/>
      <c r="AO62" s="127" t="e">
        <f>(ROUND((#REF!-2*'Data-PC'!$X$5)/#REF!,0)+1)+(ROUND((#REF!-#REF!/2*#REF!-2*'Data-PC'!$X$5)/#REF!,0)+1)</f>
        <v>#REF!</v>
      </c>
      <c r="AP62" s="34"/>
      <c r="AQ62" s="34"/>
      <c r="AR62" s="34"/>
      <c r="AS62" s="34"/>
      <c r="AT62" s="34"/>
      <c r="AU62" s="34"/>
      <c r="AV62" s="34"/>
      <c r="AW62" s="34"/>
      <c r="AX62" s="34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</row>
    <row r="63" spans="1:78">
      <c r="C63" s="38"/>
    </row>
    <row r="65" spans="19:50">
      <c r="S65" s="128"/>
      <c r="T65" s="128"/>
      <c r="U65" s="128"/>
      <c r="V65" s="128"/>
      <c r="AQ65" s="128"/>
      <c r="AR65" s="128"/>
      <c r="AS65" s="128"/>
      <c r="AT65" s="128"/>
      <c r="AU65" s="128"/>
      <c r="AV65" s="128"/>
      <c r="AW65" s="128"/>
      <c r="AX65" s="128"/>
    </row>
    <row r="66" spans="19:50">
      <c r="S66" s="128"/>
      <c r="T66" s="128"/>
      <c r="U66" s="128"/>
      <c r="V66" s="128"/>
      <c r="AQ66" s="128"/>
      <c r="AR66" s="128"/>
      <c r="AS66" s="128"/>
      <c r="AT66" s="128"/>
      <c r="AU66" s="128"/>
      <c r="AV66" s="128"/>
      <c r="AW66" s="128"/>
      <c r="AX66" s="128"/>
    </row>
    <row r="67" spans="19:50">
      <c r="S67" s="128"/>
      <c r="T67" s="128"/>
      <c r="U67" s="128"/>
      <c r="V67" s="128"/>
      <c r="AQ67" s="128"/>
      <c r="AR67" s="128"/>
      <c r="AS67" s="128"/>
      <c r="AT67" s="128"/>
      <c r="AU67" s="128"/>
      <c r="AV67" s="128"/>
      <c r="AW67" s="128"/>
      <c r="AX67" s="128"/>
    </row>
    <row r="68" spans="19:50">
      <c r="S68" s="128"/>
      <c r="T68" s="128"/>
      <c r="U68" s="128"/>
      <c r="V68" s="128"/>
      <c r="AQ68" s="128"/>
      <c r="AR68" s="128"/>
      <c r="AS68" s="128"/>
      <c r="AT68" s="128"/>
      <c r="AU68" s="128"/>
      <c r="AV68" s="128"/>
      <c r="AW68" s="128"/>
      <c r="AX68" s="128"/>
    </row>
    <row r="69" spans="19:50">
      <c r="S69" s="128"/>
      <c r="T69" s="128"/>
      <c r="U69" s="128"/>
      <c r="V69" s="128"/>
      <c r="AQ69" s="128"/>
      <c r="AR69" s="128"/>
      <c r="AS69" s="128"/>
      <c r="AT69" s="128"/>
      <c r="AU69" s="128"/>
      <c r="AV69" s="128"/>
      <c r="AW69" s="128"/>
      <c r="AX69" s="128"/>
    </row>
    <row r="70" spans="19:50">
      <c r="S70" s="128"/>
      <c r="T70" s="128"/>
      <c r="U70" s="128"/>
      <c r="V70" s="128"/>
      <c r="AQ70" s="128"/>
      <c r="AR70" s="128"/>
      <c r="AS70" s="128"/>
      <c r="AT70" s="128"/>
      <c r="AU70" s="128"/>
      <c r="AV70" s="128"/>
      <c r="AW70" s="128"/>
      <c r="AX70" s="128"/>
    </row>
    <row r="71" spans="19:50">
      <c r="S71" s="128"/>
      <c r="T71" s="128"/>
      <c r="U71" s="128"/>
      <c r="V71" s="128"/>
      <c r="AQ71" s="128"/>
      <c r="AR71" s="128"/>
      <c r="AS71" s="128"/>
      <c r="AT71" s="128"/>
      <c r="AU71" s="128"/>
      <c r="AV71" s="128"/>
      <c r="AW71" s="128"/>
      <c r="AX71" s="128"/>
    </row>
    <row r="72" spans="19:50">
      <c r="S72" s="128"/>
      <c r="T72" s="128"/>
      <c r="U72" s="128"/>
      <c r="V72" s="128"/>
      <c r="AQ72" s="128"/>
      <c r="AR72" s="128"/>
      <c r="AS72" s="128"/>
      <c r="AT72" s="128"/>
      <c r="AU72" s="128"/>
      <c r="AV72" s="128"/>
      <c r="AW72" s="128"/>
      <c r="AX72" s="128"/>
    </row>
    <row r="73" spans="19:50">
      <c r="S73" s="128"/>
      <c r="T73" s="128"/>
      <c r="U73" s="128"/>
      <c r="V73" s="128"/>
      <c r="AQ73" s="128"/>
      <c r="AR73" s="128"/>
      <c r="AS73" s="128"/>
      <c r="AT73" s="128"/>
      <c r="AU73" s="128"/>
      <c r="AV73" s="128"/>
      <c r="AW73" s="128"/>
      <c r="AX73" s="128"/>
    </row>
    <row r="74" spans="19:50">
      <c r="S74" s="128"/>
      <c r="T74" s="128"/>
      <c r="U74" s="128"/>
      <c r="V74" s="128"/>
      <c r="AQ74" s="128"/>
      <c r="AR74" s="128"/>
      <c r="AS74" s="128"/>
      <c r="AT74" s="128"/>
      <c r="AU74" s="128"/>
      <c r="AV74" s="128"/>
      <c r="AW74" s="128"/>
      <c r="AX74" s="128"/>
    </row>
    <row r="75" spans="19:50">
      <c r="S75" s="128"/>
      <c r="T75" s="128"/>
      <c r="U75" s="128"/>
      <c r="V75" s="128"/>
      <c r="AQ75" s="128"/>
      <c r="AR75" s="128"/>
      <c r="AS75" s="128"/>
      <c r="AT75" s="128"/>
      <c r="AU75" s="128"/>
      <c r="AV75" s="128"/>
      <c r="AW75" s="128"/>
      <c r="AX75" s="128"/>
    </row>
  </sheetData>
  <sheetProtection insertRows="0" deleteRows="0"/>
  <protectedRanges>
    <protectedRange password="CF66" sqref="W53:Y55 AG53:AI55 AL53:AN55 AB53:AD55 T52 L53:M55 S53:U55 L15:M51 S15:U51 AU15:AV55 AQ15:AS55 B15:G55" name="Range1"/>
    <protectedRange password="CF66" sqref="N53:R55 N15:R51" name="Range1_1"/>
    <protectedRange password="CF66" sqref="Z53:Z55 Z15:Z51" name="Range1_2"/>
    <protectedRange password="CF66" sqref="AE53:AE56 AE15:AE51" name="Range1_3"/>
    <protectedRange password="CF66" sqref="AJ53:AJ55 AJ15:AJ51" name="Range1_4"/>
    <protectedRange password="CF66" sqref="AO53:AO55 AO15:AO51 AW15:AW55" name="Range1_5"/>
    <protectedRange password="CF66" sqref="D3:D5 L4:L5 T3:T5 X3:X8 Y8" name="Range1_6"/>
    <protectedRange password="CF66" sqref="AB41:AD41 AB45:AD50 AB42:AB44 AD42:AD44 AI42:AI44 AG51:AH51 AB51:AC51 AL51:AN52 AI15:AI16 W15:W16 AD15:AD16 W18:W23 AD18:AD23 AB17:AD17 W26:W40 AD26:AD40 AB24:AD25 AG15:AG50 AL15:AL50 AN15:AN50" name="Range1_8"/>
    <protectedRange password="CF66" sqref="B42:E44 G42:G44 B52:E52 L52:M52 AU52:AV52 G52 X52:Y52 AC52:AD52 AH52:AI52 AM52:AN52 S52 AQ52:AS52 U52 AI51 Y51 AD51 AN51" name="Range1_7"/>
    <protectedRange password="CF66" sqref="N52:R52" name="Range1_1_1"/>
    <protectedRange password="CF66" sqref="Z52" name="Range1_2_1"/>
    <protectedRange password="CF66" sqref="AE52" name="Range1_3_1"/>
    <protectedRange password="CF66" sqref="AJ52" name="Range1_4_1"/>
    <protectedRange password="CF66" sqref="AW52 AO52" name="Range1_5_1"/>
  </protectedRanges>
  <mergeCells count="28">
    <mergeCell ref="Q9:Q11"/>
    <mergeCell ref="R9:R11"/>
    <mergeCell ref="I2:K2"/>
    <mergeCell ref="W2:AP2"/>
    <mergeCell ref="B9:B12"/>
    <mergeCell ref="C9:C11"/>
    <mergeCell ref="D9:D11"/>
    <mergeCell ref="E9:E11"/>
    <mergeCell ref="F9:F11"/>
    <mergeCell ref="G9:G11"/>
    <mergeCell ref="H9:K9"/>
    <mergeCell ref="L9:L11"/>
    <mergeCell ref="AZ9:BB10"/>
    <mergeCell ref="H10:K10"/>
    <mergeCell ref="W10:AA10"/>
    <mergeCell ref="AB10:AF10"/>
    <mergeCell ref="AG10:AK10"/>
    <mergeCell ref="AL10:AP10"/>
    <mergeCell ref="S9:S11"/>
    <mergeCell ref="T9:V10"/>
    <mergeCell ref="W9:AF9"/>
    <mergeCell ref="AG9:AP9"/>
    <mergeCell ref="AQ9:AT10"/>
    <mergeCell ref="AU9:AX10"/>
    <mergeCell ref="M9:M11"/>
    <mergeCell ref="N9:N11"/>
    <mergeCell ref="O9:O11"/>
    <mergeCell ref="P9:P11"/>
  </mergeCells>
  <phoneticPr fontId="76" type="noConversion"/>
  <printOptions horizontalCentered="1"/>
  <pageMargins left="0" right="0" top="1.5" bottom="0.75" header="0.25" footer="0.25"/>
  <pageSetup paperSize="9" orientation="landscape" horizontalDpi="300" verticalDpi="300" r:id="rId1"/>
  <headerFooter alignWithMargins="0">
    <oddFooter xml:space="preserve">&amp;L&amp;8&amp;F&amp;C&amp;8&amp;P/&amp;N&amp;R&amp;8&amp;D&amp;10
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69"/>
  <sheetViews>
    <sheetView topLeftCell="A155" zoomScaleNormal="100" workbookViewId="0">
      <selection activeCell="G175" sqref="G175"/>
    </sheetView>
  </sheetViews>
  <sheetFormatPr defaultColWidth="9.140625" defaultRowHeight="12.75"/>
  <cols>
    <col min="1" max="1" width="9.28515625" style="1216" customWidth="1"/>
    <col min="2" max="2" width="7.5703125" style="1216" customWidth="1"/>
    <col min="3" max="3" width="12" style="1216" customWidth="1"/>
    <col min="4" max="4" width="34.5703125" style="1216" customWidth="1"/>
    <col min="5" max="5" width="14.5703125" style="1216" customWidth="1"/>
    <col min="6" max="7" width="12.85546875" style="1216" bestFit="1" customWidth="1"/>
    <col min="8" max="8" width="12.85546875" style="1216" customWidth="1"/>
    <col min="9" max="9" width="12.85546875" style="1216" bestFit="1" customWidth="1"/>
    <col min="10" max="10" width="12.140625" style="1216" bestFit="1" customWidth="1"/>
    <col min="11" max="11" width="12.5703125" style="1216" bestFit="1" customWidth="1"/>
    <col min="12" max="12" width="6.28515625" style="1216" bestFit="1" customWidth="1"/>
    <col min="13" max="13" width="4.42578125" style="1216" bestFit="1" customWidth="1"/>
    <col min="14" max="14" width="28.85546875" style="1216" bestFit="1" customWidth="1"/>
    <col min="15" max="15" width="12.140625" style="1216" bestFit="1" customWidth="1"/>
    <col min="16" max="16" width="11" style="1216" bestFit="1" customWidth="1"/>
    <col min="17" max="17" width="10" style="1216" bestFit="1" customWidth="1"/>
    <col min="18" max="16384" width="9.140625" style="1216"/>
  </cols>
  <sheetData>
    <row r="1" spans="1:31" ht="15.75">
      <c r="A1" s="1505" t="s">
        <v>1763</v>
      </c>
      <c r="B1" s="1505"/>
      <c r="C1" s="1505"/>
      <c r="D1" s="1505"/>
      <c r="E1" s="1505"/>
      <c r="F1" s="1505"/>
      <c r="G1" s="1505"/>
      <c r="H1" s="1505"/>
      <c r="I1" s="1505"/>
      <c r="J1" s="1504"/>
      <c r="K1" s="1504"/>
      <c r="L1" s="1504"/>
      <c r="M1" s="1504"/>
      <c r="N1" s="1504"/>
      <c r="O1" s="1504"/>
      <c r="P1" s="1504"/>
      <c r="Q1" s="1504"/>
      <c r="R1" s="1504"/>
      <c r="S1" s="1504"/>
      <c r="T1" s="1504"/>
      <c r="U1" s="1504"/>
      <c r="V1" s="1504"/>
      <c r="W1" s="1504"/>
      <c r="X1" s="1295"/>
      <c r="Y1" s="1295"/>
      <c r="Z1" s="1295"/>
      <c r="AA1" s="1295"/>
      <c r="AB1" s="1295"/>
      <c r="AC1" s="1295"/>
      <c r="AD1" s="1295"/>
      <c r="AE1" s="1295"/>
    </row>
    <row r="2" spans="1:31">
      <c r="A2" s="1501"/>
      <c r="B2" s="1503"/>
      <c r="C2" s="1502"/>
      <c r="D2" s="1501"/>
      <c r="E2" s="1500"/>
      <c r="F2" s="1500"/>
      <c r="G2" s="1500"/>
      <c r="H2" s="1500"/>
      <c r="I2" s="1500"/>
      <c r="J2" s="1295"/>
      <c r="K2" s="1295"/>
      <c r="L2" s="1295"/>
      <c r="M2" s="1295"/>
      <c r="N2" s="1295"/>
      <c r="O2" s="1295"/>
      <c r="P2" s="1295"/>
      <c r="Q2" s="1295"/>
      <c r="R2" s="1295"/>
      <c r="S2" s="1295"/>
      <c r="T2" s="1295"/>
      <c r="U2" s="1295"/>
      <c r="V2" s="1295"/>
      <c r="W2" s="1295"/>
      <c r="X2" s="1295"/>
      <c r="Y2" s="1295"/>
      <c r="Z2" s="1295"/>
      <c r="AA2" s="1295"/>
      <c r="AB2" s="1295"/>
      <c r="AC2" s="1295"/>
      <c r="AD2" s="1295"/>
      <c r="AE2" s="1295"/>
    </row>
    <row r="3" spans="1:31">
      <c r="A3" s="1494" t="s">
        <v>1762</v>
      </c>
      <c r="B3" s="1495"/>
      <c r="C3" s="1496" t="s">
        <v>1761</v>
      </c>
      <c r="D3" s="1494"/>
      <c r="E3" s="1493"/>
      <c r="F3" s="1498"/>
      <c r="G3" s="1493"/>
      <c r="H3" s="1493"/>
      <c r="I3" s="1493"/>
      <c r="J3" s="1295"/>
      <c r="K3" s="1295"/>
      <c r="L3" s="1295"/>
      <c r="M3" s="1295"/>
      <c r="N3" s="1295"/>
      <c r="O3" s="1295"/>
      <c r="P3" s="1295"/>
      <c r="Q3" s="1295"/>
      <c r="R3" s="1295"/>
      <c r="S3" s="1295"/>
      <c r="T3" s="1295"/>
      <c r="U3" s="1295"/>
      <c r="V3" s="1295"/>
      <c r="W3" s="1295"/>
      <c r="X3" s="1295"/>
      <c r="Y3" s="1295"/>
      <c r="Z3" s="1295"/>
      <c r="AA3" s="1295"/>
      <c r="AB3" s="1295"/>
      <c r="AC3" s="1295"/>
      <c r="AD3" s="1295"/>
      <c r="AE3" s="1295"/>
    </row>
    <row r="4" spans="1:31">
      <c r="A4" s="1494" t="s">
        <v>1760</v>
      </c>
      <c r="B4" s="1495"/>
      <c r="C4" s="1499" t="s">
        <v>1759</v>
      </c>
      <c r="D4" s="1494"/>
      <c r="E4" s="1493"/>
      <c r="F4" s="1498"/>
      <c r="G4" s="1493"/>
      <c r="H4" s="1493"/>
      <c r="I4" s="1493"/>
      <c r="J4" s="1295"/>
      <c r="K4" s="1295"/>
      <c r="L4" s="1295"/>
      <c r="M4" s="1295"/>
      <c r="N4" s="1295"/>
      <c r="O4" s="1295"/>
      <c r="P4" s="1295"/>
      <c r="Q4" s="1295"/>
      <c r="R4" s="1295"/>
      <c r="S4" s="1295"/>
      <c r="T4" s="1295"/>
      <c r="U4" s="1295"/>
      <c r="V4" s="1295"/>
      <c r="W4" s="1295"/>
      <c r="X4" s="1295"/>
      <c r="Y4" s="1295"/>
      <c r="Z4" s="1295"/>
      <c r="AA4" s="1295"/>
      <c r="AB4" s="1295"/>
      <c r="AC4" s="1295"/>
      <c r="AD4" s="1295"/>
      <c r="AE4" s="1295"/>
    </row>
    <row r="5" spans="1:31">
      <c r="A5" s="1494" t="s">
        <v>1756</v>
      </c>
      <c r="B5" s="1495"/>
      <c r="C5" s="1496" t="s">
        <v>1758</v>
      </c>
      <c r="D5" s="1494"/>
      <c r="E5" s="1493"/>
      <c r="F5" s="1497"/>
      <c r="G5" s="1493"/>
      <c r="H5" s="1493"/>
      <c r="I5" s="1493"/>
      <c r="J5" s="1295"/>
      <c r="K5" s="1295"/>
      <c r="L5" s="1295"/>
      <c r="M5" s="1295"/>
      <c r="N5" s="1295"/>
      <c r="O5" s="1295"/>
      <c r="P5" s="1295"/>
      <c r="Q5" s="1295"/>
      <c r="R5" s="1295"/>
      <c r="S5" s="1295"/>
      <c r="T5" s="1295"/>
      <c r="U5" s="1295"/>
      <c r="V5" s="1295"/>
      <c r="W5" s="1295"/>
      <c r="X5" s="1295"/>
      <c r="Y5" s="1295"/>
      <c r="Z5" s="1295"/>
      <c r="AA5" s="1295"/>
      <c r="AB5" s="1295"/>
      <c r="AC5" s="1295"/>
      <c r="AD5" s="1295"/>
      <c r="AE5" s="1295"/>
    </row>
    <row r="6" spans="1:31">
      <c r="A6" s="1494" t="s">
        <v>1757</v>
      </c>
      <c r="B6" s="1495"/>
      <c r="C6" s="1496"/>
      <c r="D6" s="1494"/>
      <c r="E6" s="1493"/>
      <c r="F6" s="1493"/>
      <c r="G6" s="1493"/>
      <c r="H6" s="1493"/>
      <c r="I6" s="1493"/>
      <c r="J6" s="1295"/>
      <c r="K6" s="1295"/>
      <c r="L6" s="1295"/>
      <c r="M6" s="1295"/>
      <c r="N6" s="1295"/>
      <c r="O6" s="1295"/>
      <c r="P6" s="1295"/>
      <c r="Q6" s="1295"/>
      <c r="R6" s="1295"/>
      <c r="S6" s="1295"/>
      <c r="T6" s="1295"/>
      <c r="U6" s="1295"/>
      <c r="V6" s="1295"/>
      <c r="W6" s="1295"/>
      <c r="X6" s="1295"/>
      <c r="Y6" s="1295"/>
      <c r="Z6" s="1295"/>
      <c r="AA6" s="1295"/>
      <c r="AB6" s="1295"/>
      <c r="AC6" s="1295"/>
      <c r="AD6" s="1295"/>
      <c r="AE6" s="1295"/>
    </row>
    <row r="7" spans="1:31">
      <c r="A7" s="1494" t="s">
        <v>1756</v>
      </c>
      <c r="B7" s="1495"/>
      <c r="C7" s="1496"/>
      <c r="D7" s="1494"/>
      <c r="E7" s="1493"/>
      <c r="F7" s="1493"/>
      <c r="G7" s="1493"/>
      <c r="H7" s="1493"/>
      <c r="I7" s="1493"/>
      <c r="J7" s="1295"/>
      <c r="K7" s="1295"/>
      <c r="L7" s="1295"/>
      <c r="M7" s="1295"/>
      <c r="N7" s="1295"/>
      <c r="O7" s="1295"/>
      <c r="P7" s="1295"/>
      <c r="Q7" s="1295"/>
      <c r="R7" s="1295"/>
      <c r="S7" s="1295"/>
      <c r="T7" s="1295"/>
      <c r="U7" s="1295"/>
      <c r="V7" s="1295"/>
      <c r="W7" s="1295"/>
      <c r="X7" s="1295"/>
      <c r="Y7" s="1295"/>
      <c r="Z7" s="1295"/>
      <c r="AA7" s="1295"/>
      <c r="AB7" s="1295"/>
      <c r="AC7" s="1295"/>
      <c r="AD7" s="1295"/>
      <c r="AE7" s="1295"/>
    </row>
    <row r="8" spans="1:31">
      <c r="A8" s="1494"/>
      <c r="B8" s="1495"/>
      <c r="C8" s="1300"/>
      <c r="D8" s="1494"/>
      <c r="E8" s="1493"/>
      <c r="F8" s="1493"/>
      <c r="G8" s="1493"/>
      <c r="H8" s="1493"/>
      <c r="I8" s="1493"/>
      <c r="J8" s="1295"/>
      <c r="K8" s="1295"/>
      <c r="L8" s="1295"/>
      <c r="M8" s="1295"/>
      <c r="N8" s="1295" t="s">
        <v>1755</v>
      </c>
      <c r="O8" s="1460" t="s">
        <v>1747</v>
      </c>
      <c r="P8" s="1438">
        <v>2800000</v>
      </c>
      <c r="Q8" s="1295"/>
      <c r="R8" s="1295"/>
      <c r="S8" s="1295"/>
      <c r="T8" s="1295"/>
      <c r="U8" s="1295"/>
      <c r="V8" s="1295"/>
      <c r="W8" s="1295"/>
      <c r="X8" s="1295"/>
      <c r="Y8" s="1295"/>
      <c r="Z8" s="1295"/>
      <c r="AA8" s="1295"/>
      <c r="AB8" s="1295"/>
      <c r="AC8" s="1295"/>
      <c r="AD8" s="1295"/>
      <c r="AE8" s="1295"/>
    </row>
    <row r="9" spans="1:31">
      <c r="A9" s="1492" t="s">
        <v>63</v>
      </c>
      <c r="B9" s="2211" t="s">
        <v>1754</v>
      </c>
      <c r="C9" s="2211"/>
      <c r="D9" s="2211"/>
      <c r="E9" s="1491" t="s">
        <v>1753</v>
      </c>
      <c r="F9" s="2212" t="s">
        <v>1752</v>
      </c>
      <c r="G9" s="2214" t="s">
        <v>1751</v>
      </c>
      <c r="H9" s="2212" t="s">
        <v>1750</v>
      </c>
      <c r="I9" s="1491" t="s">
        <v>1749</v>
      </c>
      <c r="J9" s="1460"/>
      <c r="K9" s="1460"/>
      <c r="L9" s="1460"/>
      <c r="M9" s="1460"/>
      <c r="N9" s="1460" t="s">
        <v>1748</v>
      </c>
      <c r="O9" s="1460" t="s">
        <v>1747</v>
      </c>
      <c r="P9" s="1481">
        <v>3700000</v>
      </c>
      <c r="Q9" s="1460"/>
      <c r="R9" s="1460"/>
      <c r="S9" s="1460"/>
      <c r="T9" s="1460"/>
      <c r="U9" s="1460"/>
      <c r="V9" s="1460"/>
      <c r="W9" s="1460"/>
      <c r="X9" s="1295"/>
      <c r="Y9" s="1295"/>
      <c r="Z9" s="1295"/>
      <c r="AA9" s="1295"/>
      <c r="AB9" s="1295"/>
      <c r="AC9" s="1295"/>
      <c r="AD9" s="1295"/>
      <c r="AE9" s="1295"/>
    </row>
    <row r="10" spans="1:31">
      <c r="A10" s="1489"/>
      <c r="B10" s="1490"/>
      <c r="C10" s="1300"/>
      <c r="D10" s="1489"/>
      <c r="E10" s="1488" t="s">
        <v>1746</v>
      </c>
      <c r="F10" s="2213"/>
      <c r="G10" s="2215"/>
      <c r="H10" s="2213"/>
      <c r="I10" s="1488" t="s">
        <v>1745</v>
      </c>
      <c r="J10" s="1460"/>
      <c r="K10" s="1460"/>
      <c r="L10" s="1460"/>
      <c r="M10" s="1460"/>
      <c r="N10" s="1460" t="s">
        <v>1744</v>
      </c>
      <c r="O10" s="1460">
        <f>1/(0.05*0.07*4)</f>
        <v>71.428571428571416</v>
      </c>
      <c r="P10" s="1482">
        <f>P8/O10</f>
        <v>39200.000000000007</v>
      </c>
      <c r="Q10" s="1460"/>
      <c r="R10" s="1460"/>
      <c r="S10" s="1460"/>
      <c r="T10" s="1460"/>
      <c r="U10" s="1460"/>
      <c r="V10" s="1460"/>
      <c r="W10" s="1460"/>
      <c r="X10" s="1295"/>
      <c r="Y10" s="1295"/>
      <c r="Z10" s="1295"/>
      <c r="AA10" s="1295"/>
      <c r="AB10" s="1295"/>
      <c r="AC10" s="1295"/>
      <c r="AD10" s="1295"/>
      <c r="AE10" s="1295"/>
    </row>
    <row r="11" spans="1:31">
      <c r="A11" s="1485"/>
      <c r="B11" s="1487"/>
      <c r="C11" s="1486"/>
      <c r="D11" s="1485"/>
      <c r="E11" s="1483" t="s">
        <v>1743</v>
      </c>
      <c r="F11" s="1483" t="s">
        <v>1743</v>
      </c>
      <c r="G11" s="1484" t="s">
        <v>1743</v>
      </c>
      <c r="H11" s="1483"/>
      <c r="I11" s="1483" t="s">
        <v>1743</v>
      </c>
      <c r="J11" s="1460"/>
      <c r="K11" s="1460"/>
      <c r="L11" s="1460"/>
      <c r="M11" s="1460"/>
      <c r="N11" s="1460" t="s">
        <v>1742</v>
      </c>
      <c r="O11" s="1460">
        <f>1/(0.04*0.06*4)</f>
        <v>104.16666666666667</v>
      </c>
      <c r="P11" s="1482">
        <f>P8/O11</f>
        <v>26880</v>
      </c>
      <c r="Q11" s="1460"/>
      <c r="R11" s="1460"/>
      <c r="S11" s="1460"/>
      <c r="T11" s="1460"/>
      <c r="U11" s="1460"/>
      <c r="V11" s="1460"/>
      <c r="W11" s="1460"/>
      <c r="X11" s="1295"/>
      <c r="Y11" s="1295"/>
      <c r="Z11" s="1295"/>
      <c r="AA11" s="1295"/>
      <c r="AB11" s="1295"/>
      <c r="AC11" s="1295"/>
      <c r="AD11" s="1295"/>
      <c r="AE11" s="1295"/>
    </row>
    <row r="12" spans="1:31">
      <c r="A12" s="1302" t="s">
        <v>237</v>
      </c>
      <c r="B12" s="1301" t="s">
        <v>1741</v>
      </c>
      <c r="C12" s="1399"/>
      <c r="D12" s="1423"/>
      <c r="E12" s="1296"/>
      <c r="F12" s="1296"/>
      <c r="G12" s="1297"/>
      <c r="H12" s="1296"/>
      <c r="I12" s="1296"/>
      <c r="J12" s="1295"/>
      <c r="K12" s="1295"/>
      <c r="L12" s="1295"/>
      <c r="M12" s="1295"/>
      <c r="N12" s="1460" t="s">
        <v>1740</v>
      </c>
      <c r="O12" s="1460">
        <f>1/(0.02*0.2*4)</f>
        <v>62.5</v>
      </c>
      <c r="P12" s="1396">
        <f>P8/O12</f>
        <v>44800</v>
      </c>
      <c r="Q12" s="1295"/>
      <c r="R12" s="1295"/>
      <c r="S12" s="1295"/>
      <c r="T12" s="1295"/>
      <c r="U12" s="1295"/>
      <c r="V12" s="1295"/>
      <c r="W12" s="1295"/>
      <c r="X12" s="1295"/>
      <c r="Y12" s="1295"/>
      <c r="Z12" s="1295"/>
      <c r="AA12" s="1295"/>
      <c r="AB12" s="1295"/>
      <c r="AC12" s="1295"/>
      <c r="AD12" s="1295"/>
      <c r="AE12" s="1295"/>
    </row>
    <row r="13" spans="1:31">
      <c r="A13" s="1299"/>
      <c r="B13" s="1295"/>
      <c r="C13" s="1295" t="s">
        <v>1713</v>
      </c>
      <c r="D13" s="1295" t="s">
        <v>1718</v>
      </c>
      <c r="E13" s="1475"/>
      <c r="F13" s="1296"/>
      <c r="G13" s="1295"/>
      <c r="H13" s="1474"/>
      <c r="I13" s="1296"/>
      <c r="J13" s="1295"/>
      <c r="K13" s="1295"/>
      <c r="L13" s="1295"/>
      <c r="M13" s="1295"/>
      <c r="N13" s="1460" t="s">
        <v>1739</v>
      </c>
      <c r="O13" s="1460">
        <f>1/(0.06*0.12*4)</f>
        <v>34.722222222222221</v>
      </c>
      <c r="P13" s="1482">
        <f>P9/O13</f>
        <v>106560</v>
      </c>
      <c r="Q13" s="1295"/>
      <c r="R13" s="1295"/>
      <c r="S13" s="1295"/>
      <c r="T13" s="1295"/>
      <c r="U13" s="1295"/>
      <c r="V13" s="1295"/>
      <c r="W13" s="1295"/>
      <c r="X13" s="1295"/>
      <c r="Y13" s="1295"/>
      <c r="Z13" s="1295"/>
      <c r="AA13" s="1295"/>
      <c r="AB13" s="1295"/>
      <c r="AC13" s="1295"/>
      <c r="AD13" s="1295"/>
      <c r="AE13" s="1295"/>
    </row>
    <row r="14" spans="1:31">
      <c r="A14" s="1299"/>
      <c r="B14" s="1471">
        <v>1.5</v>
      </c>
      <c r="C14" s="1295" t="s">
        <v>1558</v>
      </c>
      <c r="D14" s="1295" t="s">
        <v>1716</v>
      </c>
      <c r="E14" s="1472">
        <f>E15</f>
        <v>39200.000000000007</v>
      </c>
      <c r="F14" s="1296">
        <f>B14*E14</f>
        <v>58800.000000000015</v>
      </c>
      <c r="G14" s="1396"/>
      <c r="H14" s="1395"/>
      <c r="I14" s="1296"/>
      <c r="J14" s="1295"/>
      <c r="K14" s="1295"/>
      <c r="L14" s="1295"/>
      <c r="M14" s="1295"/>
      <c r="N14" s="1460" t="s">
        <v>1738</v>
      </c>
      <c r="O14" s="1460">
        <f>1/(0.08*0.12*4)</f>
        <v>26.041666666666668</v>
      </c>
      <c r="P14" s="1482">
        <f>P9/O14</f>
        <v>142080</v>
      </c>
      <c r="Q14" s="1295"/>
      <c r="R14" s="1295"/>
      <c r="S14" s="1295"/>
      <c r="T14" s="1295"/>
      <c r="U14" s="1295"/>
      <c r="V14" s="1295"/>
      <c r="W14" s="1295"/>
      <c r="X14" s="1295"/>
      <c r="Y14" s="1295"/>
      <c r="Z14" s="1295"/>
      <c r="AA14" s="1295"/>
      <c r="AB14" s="1295"/>
      <c r="AC14" s="1295"/>
      <c r="AD14" s="1295"/>
      <c r="AE14" s="1295"/>
    </row>
    <row r="15" spans="1:31">
      <c r="A15" s="1299"/>
      <c r="B15" s="1471">
        <v>3</v>
      </c>
      <c r="C15" s="1295" t="s">
        <v>1558</v>
      </c>
      <c r="D15" s="1295" t="s">
        <v>1716</v>
      </c>
      <c r="E15" s="1472">
        <f>P10</f>
        <v>39200.000000000007</v>
      </c>
      <c r="F15" s="1296">
        <f>B15*E15</f>
        <v>117600.00000000003</v>
      </c>
      <c r="G15" s="1396"/>
      <c r="H15" s="1395"/>
      <c r="I15" s="1296"/>
      <c r="J15" s="1295"/>
      <c r="K15" s="1295"/>
      <c r="L15" s="1295"/>
      <c r="M15" s="1295"/>
      <c r="N15" s="1460" t="s">
        <v>1737</v>
      </c>
      <c r="O15" s="1481">
        <v>390000</v>
      </c>
      <c r="P15" s="1396">
        <f>O15/30</f>
        <v>13000</v>
      </c>
      <c r="Q15" s="1295"/>
      <c r="R15" s="1295"/>
      <c r="S15" s="1295"/>
      <c r="T15" s="1295"/>
      <c r="U15" s="1295"/>
      <c r="V15" s="1295"/>
      <c r="W15" s="1295"/>
      <c r="X15" s="1295"/>
      <c r="Y15" s="1295"/>
      <c r="Z15" s="1295"/>
      <c r="AA15" s="1295"/>
      <c r="AB15" s="1295"/>
      <c r="AC15" s="1295"/>
      <c r="AD15" s="1295"/>
      <c r="AE15" s="1295"/>
    </row>
    <row r="16" spans="1:31">
      <c r="A16" s="1299"/>
      <c r="B16" s="1471">
        <v>0.5</v>
      </c>
      <c r="C16" s="1295" t="s">
        <v>53</v>
      </c>
      <c r="D16" s="1295" t="s">
        <v>1707</v>
      </c>
      <c r="E16" s="1472">
        <f>P15</f>
        <v>13000</v>
      </c>
      <c r="F16" s="1296">
        <f>B16*E16</f>
        <v>6500</v>
      </c>
      <c r="G16" s="1396"/>
      <c r="H16" s="1395"/>
      <c r="I16" s="1296"/>
      <c r="J16" s="1295"/>
      <c r="K16" s="1295"/>
      <c r="L16" s="1295"/>
      <c r="M16" s="1295"/>
      <c r="N16" s="1460" t="s">
        <v>1736</v>
      </c>
      <c r="O16" s="1460" t="s">
        <v>1733</v>
      </c>
      <c r="P16" s="1481">
        <v>227500</v>
      </c>
      <c r="Q16" s="1295"/>
      <c r="R16" s="1295"/>
      <c r="S16" s="1295"/>
      <c r="T16" s="1295"/>
      <c r="U16" s="1295"/>
      <c r="V16" s="1295"/>
      <c r="W16" s="1295"/>
      <c r="X16" s="1295"/>
      <c r="Y16" s="1295"/>
      <c r="Z16" s="1295"/>
      <c r="AA16" s="1295"/>
      <c r="AB16" s="1295"/>
      <c r="AC16" s="1295"/>
      <c r="AD16" s="1295"/>
      <c r="AE16" s="1295"/>
    </row>
    <row r="17" spans="1:31">
      <c r="A17" s="1299"/>
      <c r="B17" s="1471">
        <f>(4/0.8)*2</f>
        <v>10</v>
      </c>
      <c r="C17" s="1295" t="s">
        <v>1679</v>
      </c>
      <c r="D17" s="1295" t="s">
        <v>1735</v>
      </c>
      <c r="E17" s="1473">
        <v>52000</v>
      </c>
      <c r="F17" s="1296">
        <f>B17*E17</f>
        <v>520000</v>
      </c>
      <c r="G17" s="1396"/>
      <c r="H17" s="1395"/>
      <c r="I17" s="1296"/>
      <c r="J17" s="1295">
        <f>4/0.8</f>
        <v>5</v>
      </c>
      <c r="K17" s="1295"/>
      <c r="L17" s="1295"/>
      <c r="M17" s="1295"/>
      <c r="N17" s="1460" t="s">
        <v>1734</v>
      </c>
      <c r="O17" s="1460" t="s">
        <v>1733</v>
      </c>
      <c r="P17" s="1481">
        <v>197500</v>
      </c>
      <c r="Q17" s="1295"/>
      <c r="R17" s="1295"/>
      <c r="S17" s="1295"/>
      <c r="T17" s="1295"/>
      <c r="U17" s="1295"/>
      <c r="V17" s="1295"/>
      <c r="W17" s="1295"/>
      <c r="X17" s="1295"/>
      <c r="Y17" s="1295"/>
      <c r="Z17" s="1295"/>
      <c r="AA17" s="1295"/>
      <c r="AB17" s="1295"/>
      <c r="AC17" s="1295"/>
      <c r="AD17" s="1295"/>
      <c r="AE17" s="1295"/>
    </row>
    <row r="18" spans="1:31">
      <c r="A18" s="1299"/>
      <c r="B18" s="1471">
        <v>1.5</v>
      </c>
      <c r="C18" s="1295" t="s">
        <v>52</v>
      </c>
      <c r="D18" s="1295" t="s">
        <v>1732</v>
      </c>
      <c r="E18" s="1473">
        <v>150000</v>
      </c>
      <c r="F18" s="1296">
        <f>B18*E18</f>
        <v>225000</v>
      </c>
      <c r="G18" s="1396"/>
      <c r="H18" s="1395"/>
      <c r="I18" s="1296"/>
      <c r="J18" s="1295"/>
      <c r="K18" s="1295"/>
      <c r="L18" s="1295"/>
      <c r="M18" s="1295"/>
      <c r="N18" s="1295"/>
      <c r="O18" s="1460"/>
      <c r="P18" s="1396"/>
      <c r="Q18" s="1295"/>
      <c r="R18" s="1295"/>
      <c r="S18" s="1295"/>
      <c r="T18" s="1295"/>
      <c r="U18" s="1295"/>
      <c r="V18" s="1295"/>
      <c r="W18" s="1295"/>
      <c r="X18" s="1295"/>
      <c r="Y18" s="1295"/>
      <c r="Z18" s="1295"/>
      <c r="AA18" s="1295"/>
      <c r="AB18" s="1295"/>
      <c r="AC18" s="1295"/>
      <c r="AD18" s="1295"/>
      <c r="AE18" s="1295"/>
    </row>
    <row r="19" spans="1:31">
      <c r="A19" s="1299"/>
      <c r="B19" s="1471">
        <v>4</v>
      </c>
      <c r="C19" s="1295" t="s">
        <v>12</v>
      </c>
      <c r="D19" s="1295" t="s">
        <v>1698</v>
      </c>
      <c r="E19" s="1480">
        <v>25000</v>
      </c>
      <c r="F19" s="1477"/>
      <c r="G19" s="1479">
        <f>B19*E19</f>
        <v>100000</v>
      </c>
      <c r="H19" s="1478"/>
      <c r="I19" s="1477"/>
      <c r="J19" s="1295"/>
      <c r="K19" s="1295"/>
      <c r="L19" s="1295"/>
      <c r="M19" s="1295"/>
      <c r="N19" s="1295"/>
      <c r="O19" s="1460"/>
      <c r="P19" s="1396"/>
      <c r="Q19" s="1295"/>
      <c r="R19" s="1295"/>
      <c r="S19" s="1295"/>
      <c r="T19" s="1295"/>
      <c r="U19" s="1295"/>
      <c r="V19" s="1295"/>
      <c r="W19" s="1295"/>
      <c r="X19" s="1295"/>
      <c r="Y19" s="1295"/>
      <c r="Z19" s="1295"/>
      <c r="AA19" s="1295"/>
      <c r="AB19" s="1295"/>
      <c r="AC19" s="1295"/>
      <c r="AD19" s="1295"/>
      <c r="AE19" s="1295"/>
    </row>
    <row r="20" spans="1:31">
      <c r="A20" s="1299"/>
      <c r="B20" s="1295"/>
      <c r="C20" s="1295"/>
      <c r="D20" s="1295"/>
      <c r="E20" s="1469"/>
      <c r="F20" s="1461">
        <f>SUM(F14:F19)</f>
        <v>927900</v>
      </c>
      <c r="G20" s="1468">
        <f>SUM(G19)</f>
        <v>100000</v>
      </c>
      <c r="H20" s="1467"/>
      <c r="I20" s="1461">
        <f>SUM(G20:G20)</f>
        <v>100000</v>
      </c>
      <c r="J20" s="1295"/>
      <c r="K20" s="1295"/>
      <c r="L20" s="1295"/>
      <c r="M20" s="1295"/>
      <c r="N20" s="1295"/>
      <c r="O20" s="1460"/>
      <c r="P20" s="1396"/>
      <c r="Q20" s="1295"/>
      <c r="R20" s="1295"/>
      <c r="S20" s="1295"/>
      <c r="T20" s="1295"/>
      <c r="U20" s="1295"/>
      <c r="V20" s="1295"/>
      <c r="W20" s="1295"/>
      <c r="X20" s="1295"/>
      <c r="Y20" s="1295"/>
      <c r="Z20" s="1295"/>
      <c r="AA20" s="1295"/>
      <c r="AB20" s="1295"/>
      <c r="AC20" s="1295"/>
      <c r="AD20" s="1295"/>
      <c r="AE20" s="1295"/>
    </row>
    <row r="21" spans="1:31">
      <c r="A21" s="1299"/>
      <c r="B21" s="1295"/>
      <c r="C21" s="1295"/>
      <c r="D21" s="1295"/>
      <c r="E21" s="1476" t="s">
        <v>1695</v>
      </c>
      <c r="F21" s="1464"/>
      <c r="G21" s="1465"/>
      <c r="H21" s="1464"/>
      <c r="I21" s="1464">
        <f>I20*0.05</f>
        <v>5000</v>
      </c>
      <c r="J21" s="1295"/>
      <c r="K21" s="1295"/>
      <c r="L21" s="1295"/>
      <c r="M21" s="1295"/>
      <c r="N21" s="1295"/>
      <c r="O21" s="1460"/>
      <c r="P21" s="1396"/>
      <c r="Q21" s="1295"/>
      <c r="R21" s="1295"/>
      <c r="S21" s="1295"/>
      <c r="T21" s="1295"/>
      <c r="U21" s="1295"/>
      <c r="V21" s="1295"/>
      <c r="W21" s="1295"/>
      <c r="X21" s="1295"/>
      <c r="Y21" s="1295"/>
      <c r="Z21" s="1295"/>
      <c r="AA21" s="1295"/>
      <c r="AB21" s="1295"/>
      <c r="AC21" s="1295"/>
      <c r="AD21" s="1295"/>
      <c r="AE21" s="1295"/>
    </row>
    <row r="22" spans="1:31">
      <c r="A22" s="1299"/>
      <c r="B22" s="1301"/>
      <c r="C22" s="1399"/>
      <c r="D22" s="1423"/>
      <c r="E22" s="1461" t="s">
        <v>48</v>
      </c>
      <c r="F22" s="1461"/>
      <c r="G22" s="1462"/>
      <c r="H22" s="1461"/>
      <c r="I22" s="1461">
        <f>SUM(I20:I21)</f>
        <v>105000</v>
      </c>
      <c r="J22" s="1295"/>
      <c r="K22" s="1295"/>
      <c r="L22" s="1295"/>
      <c r="M22" s="1295"/>
      <c r="N22" s="1295"/>
      <c r="O22" s="1460"/>
      <c r="P22" s="1396"/>
      <c r="Q22" s="1295"/>
      <c r="R22" s="1295"/>
      <c r="S22" s="1295"/>
      <c r="T22" s="1295"/>
      <c r="U22" s="1295"/>
      <c r="V22" s="1295"/>
      <c r="W22" s="1295"/>
      <c r="X22" s="1295"/>
      <c r="Y22" s="1295"/>
      <c r="Z22" s="1295"/>
      <c r="AA22" s="1295"/>
      <c r="AB22" s="1295"/>
      <c r="AC22" s="1295"/>
      <c r="AD22" s="1295"/>
      <c r="AE22" s="1295"/>
    </row>
    <row r="23" spans="1:31">
      <c r="A23" s="1299"/>
      <c r="B23" s="1301"/>
      <c r="C23" s="1399"/>
      <c r="D23" s="1423"/>
      <c r="E23" s="1461" t="s">
        <v>1730</v>
      </c>
      <c r="F23" s="1461"/>
      <c r="G23" s="1462"/>
      <c r="H23" s="1461"/>
      <c r="I23" s="1461">
        <f>I22/4</f>
        <v>26250</v>
      </c>
      <c r="J23" s="1295"/>
      <c r="K23" s="1295"/>
      <c r="L23" s="1295"/>
      <c r="M23" s="1295"/>
      <c r="N23" s="1295"/>
      <c r="O23" s="1460"/>
      <c r="P23" s="1396"/>
      <c r="Q23" s="1295"/>
      <c r="R23" s="1295"/>
      <c r="S23" s="1295"/>
      <c r="T23" s="1295"/>
      <c r="U23" s="1295"/>
      <c r="V23" s="1295"/>
      <c r="W23" s="1295"/>
      <c r="X23" s="1295"/>
      <c r="Y23" s="1295"/>
      <c r="Z23" s="1295"/>
      <c r="AA23" s="1295"/>
      <c r="AB23" s="1295"/>
      <c r="AC23" s="1295"/>
      <c r="AD23" s="1295"/>
      <c r="AE23" s="1295"/>
    </row>
    <row r="24" spans="1:31">
      <c r="A24" s="1299"/>
      <c r="B24" s="1301"/>
      <c r="C24" s="1399"/>
      <c r="D24" s="1423"/>
      <c r="E24" s="1296"/>
      <c r="F24" s="1296"/>
      <c r="G24" s="1297"/>
      <c r="H24" s="1296"/>
      <c r="I24" s="1296"/>
      <c r="J24" s="1295"/>
      <c r="K24" s="1295"/>
      <c r="L24" s="1295"/>
      <c r="M24" s="1295"/>
      <c r="N24" s="1295"/>
      <c r="O24" s="1460"/>
      <c r="P24" s="1396"/>
      <c r="Q24" s="1295"/>
      <c r="R24" s="1295"/>
      <c r="S24" s="1295"/>
      <c r="T24" s="1295"/>
      <c r="U24" s="1295"/>
      <c r="V24" s="1295"/>
      <c r="W24" s="1295"/>
      <c r="X24" s="1295"/>
      <c r="Y24" s="1295"/>
      <c r="Z24" s="1295"/>
      <c r="AA24" s="1295"/>
      <c r="AB24" s="1295"/>
      <c r="AC24" s="1295"/>
      <c r="AD24" s="1295"/>
      <c r="AE24" s="1295"/>
    </row>
    <row r="25" spans="1:31">
      <c r="A25" s="1302" t="s">
        <v>151</v>
      </c>
      <c r="B25" s="1301" t="s">
        <v>1731</v>
      </c>
      <c r="C25" s="1399"/>
      <c r="D25" s="1423"/>
      <c r="E25" s="1296"/>
      <c r="F25" s="1296"/>
      <c r="G25" s="1297"/>
      <c r="H25" s="1296"/>
      <c r="I25" s="1296"/>
      <c r="J25" s="1295"/>
      <c r="K25" s="1295"/>
      <c r="L25" s="1295"/>
      <c r="M25" s="1295"/>
      <c r="N25" s="1295"/>
      <c r="O25" s="1460"/>
      <c r="P25" s="1396"/>
      <c r="Q25" s="1295"/>
      <c r="R25" s="1295"/>
      <c r="S25" s="1295"/>
      <c r="T25" s="1295"/>
      <c r="U25" s="1295"/>
      <c r="V25" s="1295"/>
      <c r="W25" s="1295"/>
      <c r="X25" s="1295"/>
      <c r="Y25" s="1295"/>
      <c r="Z25" s="1295"/>
      <c r="AA25" s="1295"/>
      <c r="AB25" s="1295"/>
      <c r="AC25" s="1295"/>
      <c r="AD25" s="1295"/>
      <c r="AE25" s="1295"/>
    </row>
    <row r="26" spans="1:31">
      <c r="A26" s="1299"/>
      <c r="B26" s="1295"/>
      <c r="C26" s="1295" t="s">
        <v>1713</v>
      </c>
      <c r="D26" s="1295" t="s">
        <v>1712</v>
      </c>
      <c r="E26" s="1475"/>
      <c r="F26" s="1296"/>
      <c r="G26" s="1295"/>
      <c r="H26" s="1474"/>
      <c r="I26" s="1296"/>
      <c r="J26" s="1295"/>
      <c r="K26" s="1295"/>
      <c r="L26" s="1295"/>
      <c r="M26" s="1295"/>
      <c r="N26" s="1295"/>
      <c r="O26" s="1460"/>
      <c r="P26" s="1396"/>
      <c r="Q26" s="1295"/>
      <c r="R26" s="1295"/>
      <c r="S26" s="1295"/>
      <c r="T26" s="1295"/>
      <c r="U26" s="1295"/>
      <c r="V26" s="1295"/>
      <c r="W26" s="1295"/>
      <c r="X26" s="1295"/>
      <c r="Y26" s="1295"/>
      <c r="Z26" s="1295"/>
      <c r="AA26" s="1295"/>
      <c r="AB26" s="1295"/>
      <c r="AC26" s="1295"/>
      <c r="AD26" s="1295"/>
      <c r="AE26" s="1295"/>
    </row>
    <row r="27" spans="1:31">
      <c r="A27" s="1299"/>
      <c r="B27" s="1471">
        <v>1</v>
      </c>
      <c r="C27" s="1295" t="s">
        <v>1558</v>
      </c>
      <c r="D27" s="1295" t="s">
        <v>1711</v>
      </c>
      <c r="E27" s="1473">
        <f>E15</f>
        <v>39200.000000000007</v>
      </c>
      <c r="F27" s="1296">
        <f>B27*E27</f>
        <v>39200.000000000007</v>
      </c>
      <c r="G27" s="1396"/>
      <c r="H27" s="1395"/>
      <c r="I27" s="1296"/>
      <c r="J27" s="1295"/>
      <c r="K27" s="1295"/>
      <c r="L27" s="1295"/>
      <c r="M27" s="1295"/>
      <c r="N27" s="1295"/>
      <c r="O27" s="1460"/>
      <c r="P27" s="1396"/>
      <c r="Q27" s="1295"/>
      <c r="R27" s="1295"/>
      <c r="S27" s="1295"/>
      <c r="T27" s="1295"/>
      <c r="U27" s="1295"/>
      <c r="V27" s="1295"/>
      <c r="W27" s="1295"/>
      <c r="X27" s="1295"/>
      <c r="Y27" s="1295"/>
      <c r="Z27" s="1295"/>
      <c r="AA27" s="1295"/>
      <c r="AB27" s="1295"/>
      <c r="AC27" s="1295"/>
      <c r="AD27" s="1295"/>
      <c r="AE27" s="1295"/>
    </row>
    <row r="28" spans="1:31">
      <c r="A28" s="1299"/>
      <c r="B28" s="1471">
        <v>1</v>
      </c>
      <c r="C28" s="1295" t="s">
        <v>1558</v>
      </c>
      <c r="D28" s="1295" t="s">
        <v>1709</v>
      </c>
      <c r="E28" s="1472">
        <f>P12</f>
        <v>44800</v>
      </c>
      <c r="F28" s="1296">
        <f>B28*E28</f>
        <v>44800</v>
      </c>
      <c r="G28" s="1396"/>
      <c r="H28" s="1395"/>
      <c r="I28" s="1296"/>
      <c r="J28" s="1295"/>
      <c r="K28" s="1295"/>
      <c r="L28" s="1295"/>
      <c r="M28" s="1295"/>
      <c r="N28" s="1295"/>
      <c r="O28" s="1460"/>
      <c r="P28" s="1396"/>
      <c r="Q28" s="1295"/>
      <c r="R28" s="1295"/>
      <c r="S28" s="1295"/>
      <c r="T28" s="1295"/>
      <c r="U28" s="1295"/>
      <c r="V28" s="1295"/>
      <c r="W28" s="1295"/>
      <c r="X28" s="1295"/>
      <c r="Y28" s="1295"/>
      <c r="Z28" s="1295"/>
      <c r="AA28" s="1295"/>
      <c r="AB28" s="1295"/>
      <c r="AC28" s="1295"/>
      <c r="AD28" s="1295"/>
      <c r="AE28" s="1295"/>
    </row>
    <row r="29" spans="1:31">
      <c r="A29" s="1299"/>
      <c r="B29" s="1471">
        <v>0.35</v>
      </c>
      <c r="C29" s="1295" t="s">
        <v>53</v>
      </c>
      <c r="D29" s="1295" t="s">
        <v>1707</v>
      </c>
      <c r="E29" s="1472">
        <f>E16</f>
        <v>13000</v>
      </c>
      <c r="F29" s="1296">
        <f>B29*E29</f>
        <v>4550</v>
      </c>
      <c r="G29" s="1396"/>
      <c r="H29" s="1395"/>
      <c r="I29" s="1296"/>
      <c r="J29" s="1295"/>
      <c r="K29" s="1295"/>
      <c r="L29" s="1295"/>
      <c r="M29" s="1295"/>
      <c r="N29" s="1295"/>
      <c r="O29" s="1460"/>
      <c r="P29" s="1396"/>
      <c r="Q29" s="1295"/>
      <c r="R29" s="1295"/>
      <c r="S29" s="1295"/>
      <c r="T29" s="1295"/>
      <c r="U29" s="1295"/>
      <c r="V29" s="1295"/>
      <c r="W29" s="1295"/>
      <c r="X29" s="1295"/>
      <c r="Y29" s="1295"/>
      <c r="Z29" s="1295"/>
      <c r="AA29" s="1295"/>
      <c r="AB29" s="1295"/>
      <c r="AC29" s="1295"/>
      <c r="AD29" s="1295"/>
      <c r="AE29" s="1295"/>
    </row>
    <row r="30" spans="1:31">
      <c r="A30" s="1299"/>
      <c r="B30" s="1471">
        <v>4</v>
      </c>
      <c r="C30" s="1295" t="s">
        <v>50</v>
      </c>
      <c r="D30" s="1295" t="s">
        <v>1705</v>
      </c>
      <c r="E30" s="1470">
        <v>25000</v>
      </c>
      <c r="F30" s="1296"/>
      <c r="G30" s="1396">
        <f>B30*E30</f>
        <v>100000</v>
      </c>
      <c r="H30" s="1395"/>
      <c r="I30" s="1296"/>
      <c r="J30" s="1295"/>
      <c r="K30" s="1295"/>
      <c r="L30" s="1295"/>
      <c r="M30" s="1295"/>
      <c r="N30" s="1295"/>
      <c r="O30" s="1460"/>
      <c r="P30" s="1396"/>
      <c r="Q30" s="1295"/>
      <c r="R30" s="1295"/>
      <c r="S30" s="1295"/>
      <c r="T30" s="1295"/>
      <c r="U30" s="1295"/>
      <c r="V30" s="1295"/>
      <c r="W30" s="1295"/>
      <c r="X30" s="1295"/>
      <c r="Y30" s="1295"/>
      <c r="Z30" s="1295"/>
      <c r="AA30" s="1295"/>
      <c r="AB30" s="1295"/>
      <c r="AC30" s="1295"/>
      <c r="AD30" s="1295"/>
      <c r="AE30" s="1295"/>
    </row>
    <row r="31" spans="1:31">
      <c r="A31" s="1299"/>
      <c r="B31" s="1301"/>
      <c r="C31" s="1399"/>
      <c r="D31" s="1423"/>
      <c r="E31" s="1469"/>
      <c r="F31" s="1461">
        <f>SUM(F25:F30)</f>
        <v>88550</v>
      </c>
      <c r="G31" s="1468">
        <f>SUM(G30)</f>
        <v>100000</v>
      </c>
      <c r="H31" s="1467"/>
      <c r="I31" s="1461">
        <f>SUM(G31:G31)</f>
        <v>100000</v>
      </c>
      <c r="J31" s="1295"/>
      <c r="K31" s="1295"/>
      <c r="L31" s="1295"/>
      <c r="M31" s="1295"/>
      <c r="N31" s="1295"/>
      <c r="O31" s="1460"/>
      <c r="P31" s="1396"/>
      <c r="Q31" s="1295"/>
      <c r="R31" s="1295"/>
      <c r="S31" s="1295"/>
      <c r="T31" s="1295"/>
      <c r="U31" s="1295"/>
      <c r="V31" s="1295"/>
      <c r="W31" s="1295"/>
      <c r="X31" s="1295"/>
      <c r="Y31" s="1295"/>
      <c r="Z31" s="1295"/>
      <c r="AA31" s="1295"/>
      <c r="AB31" s="1295"/>
      <c r="AC31" s="1295"/>
      <c r="AD31" s="1295"/>
      <c r="AE31" s="1295"/>
    </row>
    <row r="32" spans="1:31">
      <c r="A32" s="1299"/>
      <c r="B32" s="1301"/>
      <c r="C32" s="1399"/>
      <c r="D32" s="1423"/>
      <c r="E32" s="1466" t="s">
        <v>1695</v>
      </c>
      <c r="F32" s="1464"/>
      <c r="G32" s="1465"/>
      <c r="H32" s="1464"/>
      <c r="I32" s="1464">
        <f>I31*0.05</f>
        <v>5000</v>
      </c>
      <c r="J32" s="1295"/>
      <c r="K32" s="1295"/>
      <c r="L32" s="1295"/>
      <c r="M32" s="1295"/>
      <c r="N32" s="1295"/>
      <c r="O32" s="1460"/>
      <c r="P32" s="1396"/>
      <c r="Q32" s="1295"/>
      <c r="R32" s="1295"/>
      <c r="S32" s="1295"/>
      <c r="T32" s="1295"/>
      <c r="U32" s="1295"/>
      <c r="V32" s="1295"/>
      <c r="W32" s="1295"/>
      <c r="X32" s="1295"/>
      <c r="Y32" s="1295"/>
      <c r="Z32" s="1295"/>
      <c r="AA32" s="1295"/>
      <c r="AB32" s="1295"/>
      <c r="AC32" s="1295"/>
      <c r="AD32" s="1295"/>
      <c r="AE32" s="1295"/>
    </row>
    <row r="33" spans="1:31">
      <c r="A33" s="1299"/>
      <c r="B33" s="1301"/>
      <c r="C33" s="1399"/>
      <c r="D33" s="1423"/>
      <c r="E33" s="1463" t="s">
        <v>48</v>
      </c>
      <c r="F33" s="1461"/>
      <c r="G33" s="1462"/>
      <c r="H33" s="1461"/>
      <c r="I33" s="1461">
        <f>SUM(I31:I32)</f>
        <v>105000</v>
      </c>
      <c r="J33" s="1295"/>
      <c r="K33" s="1295"/>
      <c r="L33" s="1295"/>
      <c r="M33" s="1295"/>
      <c r="N33" s="1295"/>
      <c r="O33" s="1460"/>
      <c r="P33" s="1396"/>
      <c r="Q33" s="1295"/>
      <c r="R33" s="1295"/>
      <c r="S33" s="1295"/>
      <c r="T33" s="1295"/>
      <c r="U33" s="1295"/>
      <c r="V33" s="1295"/>
      <c r="W33" s="1295"/>
      <c r="X33" s="1295"/>
      <c r="Y33" s="1295"/>
      <c r="Z33" s="1295"/>
      <c r="AA33" s="1295"/>
      <c r="AB33" s="1295"/>
      <c r="AC33" s="1295"/>
      <c r="AD33" s="1295"/>
      <c r="AE33" s="1295"/>
    </row>
    <row r="34" spans="1:31">
      <c r="A34" s="1299"/>
      <c r="B34" s="1301"/>
      <c r="C34" s="1399"/>
      <c r="D34" s="1423"/>
      <c r="E34" s="1463" t="s">
        <v>1730</v>
      </c>
      <c r="F34" s="1461"/>
      <c r="G34" s="1462"/>
      <c r="H34" s="1461"/>
      <c r="I34" s="1461">
        <f>I33/4</f>
        <v>26250</v>
      </c>
      <c r="J34" s="1295"/>
      <c r="K34" s="1295"/>
      <c r="L34" s="1295"/>
      <c r="M34" s="1295"/>
      <c r="N34" s="1295"/>
      <c r="O34" s="1460"/>
      <c r="P34" s="1396"/>
      <c r="Q34" s="1295"/>
      <c r="R34" s="1295"/>
      <c r="S34" s="1295"/>
      <c r="T34" s="1295"/>
      <c r="U34" s="1295"/>
      <c r="V34" s="1295"/>
      <c r="W34" s="1295"/>
      <c r="X34" s="1295"/>
      <c r="Y34" s="1295"/>
      <c r="Z34" s="1295"/>
      <c r="AA34" s="1295"/>
      <c r="AB34" s="1295"/>
      <c r="AC34" s="1295"/>
      <c r="AD34" s="1295"/>
      <c r="AE34" s="1295"/>
    </row>
    <row r="35" spans="1:31">
      <c r="A35" s="1299"/>
      <c r="B35" s="1301"/>
      <c r="C35" s="1399"/>
      <c r="D35" s="1423"/>
      <c r="E35" s="1397"/>
      <c r="F35" s="1296"/>
      <c r="G35" s="1297"/>
      <c r="H35" s="1296"/>
      <c r="I35" s="1296"/>
      <c r="J35" s="1295"/>
      <c r="K35" s="1295"/>
      <c r="L35" s="1295"/>
      <c r="M35" s="1295"/>
      <c r="N35" s="1295"/>
      <c r="O35" s="1460"/>
      <c r="P35" s="1396"/>
      <c r="Q35" s="1295"/>
      <c r="R35" s="1295"/>
      <c r="S35" s="1295"/>
      <c r="T35" s="1295"/>
      <c r="U35" s="1295"/>
      <c r="V35" s="1295"/>
      <c r="W35" s="1295"/>
      <c r="X35" s="1295"/>
      <c r="Y35" s="1295"/>
      <c r="Z35" s="1295"/>
      <c r="AA35" s="1295"/>
      <c r="AB35" s="1295"/>
      <c r="AC35" s="1295"/>
      <c r="AD35" s="1295"/>
      <c r="AE35" s="1295"/>
    </row>
    <row r="36" spans="1:31">
      <c r="A36" s="1299"/>
      <c r="B36" s="1301"/>
      <c r="C36" s="1399"/>
      <c r="D36" s="1423"/>
      <c r="E36" s="1397"/>
      <c r="F36" s="1296"/>
      <c r="G36" s="1297"/>
      <c r="H36" s="1296"/>
      <c r="I36" s="1296"/>
      <c r="J36" s="1295"/>
      <c r="K36" s="1295"/>
      <c r="L36" s="1295"/>
      <c r="M36" s="1295"/>
      <c r="N36" s="1295"/>
      <c r="O36" s="1460"/>
      <c r="P36" s="1396"/>
      <c r="Q36" s="1295"/>
      <c r="R36" s="1295"/>
      <c r="S36" s="1295"/>
      <c r="T36" s="1295"/>
      <c r="U36" s="1295"/>
      <c r="V36" s="1295"/>
      <c r="W36" s="1295"/>
      <c r="X36" s="1295"/>
      <c r="Y36" s="1295"/>
      <c r="Z36" s="1295"/>
      <c r="AA36" s="1295"/>
      <c r="AB36" s="1295"/>
      <c r="AC36" s="1295"/>
      <c r="AD36" s="1295"/>
      <c r="AE36" s="1295"/>
    </row>
    <row r="37" spans="1:31">
      <c r="A37" s="1299"/>
      <c r="B37" s="1301"/>
      <c r="C37" s="1399"/>
      <c r="D37" s="1423"/>
      <c r="E37" s="1397"/>
      <c r="F37" s="1296"/>
      <c r="G37" s="1297"/>
      <c r="H37" s="1296"/>
      <c r="I37" s="1296"/>
      <c r="J37" s="1295"/>
      <c r="K37" s="1295"/>
      <c r="L37" s="1295"/>
      <c r="M37" s="1295"/>
      <c r="N37" s="1295"/>
      <c r="O37" s="1460"/>
      <c r="P37" s="1396"/>
      <c r="Q37" s="1295"/>
      <c r="R37" s="1295"/>
      <c r="S37" s="1295"/>
      <c r="T37" s="1295"/>
      <c r="U37" s="1295"/>
      <c r="V37" s="1295"/>
      <c r="W37" s="1295"/>
      <c r="X37" s="1295"/>
      <c r="Y37" s="1295"/>
      <c r="Z37" s="1295"/>
      <c r="AA37" s="1295"/>
      <c r="AB37" s="1295"/>
      <c r="AC37" s="1295"/>
      <c r="AD37" s="1295"/>
      <c r="AE37" s="1295"/>
    </row>
    <row r="38" spans="1:31">
      <c r="A38" s="1302"/>
      <c r="B38" s="1301"/>
      <c r="C38" s="1399"/>
      <c r="D38" s="1423"/>
      <c r="E38" s="1397"/>
      <c r="F38" s="1296"/>
      <c r="G38" s="1297"/>
      <c r="H38" s="1296"/>
      <c r="I38" s="1296"/>
      <c r="J38" s="1295"/>
      <c r="K38" s="1295"/>
      <c r="L38" s="1295"/>
      <c r="M38" s="1295"/>
      <c r="N38" s="1295"/>
      <c r="O38" s="1460"/>
      <c r="P38" s="1396"/>
      <c r="Q38" s="1295"/>
      <c r="R38" s="1295"/>
      <c r="S38" s="1295"/>
      <c r="T38" s="1295"/>
      <c r="U38" s="1295"/>
      <c r="V38" s="1295"/>
      <c r="W38" s="1295"/>
      <c r="X38" s="1295"/>
      <c r="Y38" s="1295"/>
      <c r="Z38" s="1295"/>
      <c r="AA38" s="1295"/>
      <c r="AB38" s="1295"/>
      <c r="AC38" s="1295"/>
      <c r="AD38" s="1295"/>
      <c r="AE38" s="1295"/>
    </row>
    <row r="39" spans="1:31" s="1217" customFormat="1">
      <c r="A39" s="1275">
        <v>1</v>
      </c>
      <c r="B39" s="1267" t="s">
        <v>1729</v>
      </c>
      <c r="C39" s="1266"/>
      <c r="D39" s="1265"/>
      <c r="E39" s="1274"/>
      <c r="F39" s="1272"/>
      <c r="G39" s="1273"/>
      <c r="H39" s="1272"/>
      <c r="I39" s="1272"/>
      <c r="J39" s="1260"/>
      <c r="K39" s="1260"/>
      <c r="L39" s="1260"/>
      <c r="M39" s="1260"/>
      <c r="N39" s="1260" t="s">
        <v>1728</v>
      </c>
      <c r="O39" s="1260"/>
      <c r="P39" s="1260"/>
      <c r="Q39" s="1260" t="s">
        <v>1725</v>
      </c>
      <c r="R39" s="1260"/>
      <c r="S39" s="1260"/>
      <c r="T39" s="1260"/>
      <c r="U39" s="1260"/>
      <c r="V39" s="1260"/>
      <c r="W39" s="1260"/>
      <c r="X39" s="1260"/>
      <c r="Y39" s="1260"/>
      <c r="Z39" s="1260"/>
      <c r="AA39" s="1260"/>
      <c r="AB39" s="1260"/>
      <c r="AC39" s="1260"/>
      <c r="AD39" s="1260"/>
      <c r="AE39" s="1260"/>
    </row>
    <row r="40" spans="1:31" s="1217" customFormat="1">
      <c r="A40" s="1265"/>
      <c r="B40" s="1271">
        <v>1</v>
      </c>
      <c r="C40" s="1266" t="s">
        <v>1558</v>
      </c>
      <c r="D40" s="1265" t="s">
        <v>1708</v>
      </c>
      <c r="E40" s="1270">
        <f>P13</f>
        <v>106560</v>
      </c>
      <c r="F40" s="1268">
        <f>B40*E40*0.35</f>
        <v>37296</v>
      </c>
      <c r="G40" s="1269"/>
      <c r="H40" s="1268"/>
      <c r="I40" s="1268"/>
      <c r="J40" s="1260"/>
      <c r="K40" s="1260">
        <f>1/(0.02*0.2*4)</f>
        <v>62.5</v>
      </c>
      <c r="L40" s="1260">
        <v>1</v>
      </c>
      <c r="M40" s="1260" t="s">
        <v>1558</v>
      </c>
      <c r="N40" s="1260" t="s">
        <v>1724</v>
      </c>
      <c r="O40" s="1374">
        <v>175000</v>
      </c>
      <c r="P40" s="1342">
        <f>L40*O40*Q40</f>
        <v>43750</v>
      </c>
      <c r="Q40" s="1459">
        <v>0.25</v>
      </c>
      <c r="R40" s="1260"/>
      <c r="S40" s="1260"/>
      <c r="T40" s="1260"/>
      <c r="U40" s="1260"/>
      <c r="V40" s="1260"/>
      <c r="W40" s="1260"/>
      <c r="X40" s="1260"/>
      <c r="Y40" s="1260"/>
      <c r="Z40" s="1260"/>
      <c r="AA40" s="1260"/>
      <c r="AB40" s="1260"/>
      <c r="AC40" s="1260"/>
      <c r="AD40" s="1260"/>
      <c r="AE40" s="1260"/>
    </row>
    <row r="41" spans="1:31" s="1217" customFormat="1">
      <c r="A41" s="1265"/>
      <c r="B41" s="1271">
        <v>1.5</v>
      </c>
      <c r="C41" s="1266" t="s">
        <v>1558</v>
      </c>
      <c r="D41" s="1265" t="s">
        <v>1706</v>
      </c>
      <c r="E41" s="1270">
        <f>E27</f>
        <v>39200.000000000007</v>
      </c>
      <c r="F41" s="1268">
        <f>B41*E41*0.5</f>
        <v>29400.000000000007</v>
      </c>
      <c r="G41" s="1269"/>
      <c r="H41" s="1268"/>
      <c r="I41" s="1268"/>
      <c r="J41" s="1260"/>
      <c r="K41" s="1260">
        <f>1/(0.04*0.06*4)</f>
        <v>104.16666666666667</v>
      </c>
      <c r="L41" s="1260">
        <v>2</v>
      </c>
      <c r="M41" s="1260" t="s">
        <v>1558</v>
      </c>
      <c r="N41" s="1260" t="s">
        <v>1677</v>
      </c>
      <c r="O41" s="1374">
        <v>40000</v>
      </c>
      <c r="P41" s="1342">
        <f>L41*O41*Q41</f>
        <v>40000</v>
      </c>
      <c r="Q41" s="1459">
        <v>0.5</v>
      </c>
      <c r="R41" s="1260"/>
      <c r="S41" s="1260"/>
      <c r="T41" s="1260"/>
      <c r="U41" s="1260"/>
      <c r="V41" s="1260"/>
      <c r="W41" s="1260"/>
      <c r="X41" s="1260"/>
      <c r="Y41" s="1260"/>
      <c r="Z41" s="1260"/>
      <c r="AA41" s="1260"/>
      <c r="AB41" s="1260"/>
      <c r="AC41" s="1260"/>
      <c r="AD41" s="1260"/>
      <c r="AE41" s="1260"/>
    </row>
    <row r="42" spans="1:31" s="1217" customFormat="1">
      <c r="A42" s="1265"/>
      <c r="B42" s="1271">
        <v>3.5</v>
      </c>
      <c r="C42" s="1266" t="s">
        <v>1558</v>
      </c>
      <c r="D42" s="1265" t="s">
        <v>1704</v>
      </c>
      <c r="E42" s="1270">
        <f>P11</f>
        <v>26880</v>
      </c>
      <c r="F42" s="1268">
        <f>B42*E42</f>
        <v>94080</v>
      </c>
      <c r="G42" s="1269"/>
      <c r="H42" s="1268"/>
      <c r="I42" s="1268"/>
      <c r="J42" s="1260">
        <f>2150000/62</f>
        <v>34677.419354838712</v>
      </c>
      <c r="K42" s="1260"/>
      <c r="L42" s="1260">
        <v>2</v>
      </c>
      <c r="M42" s="1260" t="s">
        <v>1702</v>
      </c>
      <c r="N42" s="1260" t="s">
        <v>1723</v>
      </c>
      <c r="O42" s="1374">
        <v>460000</v>
      </c>
      <c r="P42" s="1342">
        <f>L42*O42*Q42</f>
        <v>92000</v>
      </c>
      <c r="Q42" s="1459">
        <v>0.1</v>
      </c>
      <c r="R42" s="1260"/>
      <c r="S42" s="1260"/>
      <c r="T42" s="1260"/>
      <c r="U42" s="1260"/>
      <c r="V42" s="1260"/>
      <c r="W42" s="1260"/>
      <c r="X42" s="1260"/>
      <c r="Y42" s="1260"/>
      <c r="Z42" s="1260"/>
      <c r="AA42" s="1260"/>
      <c r="AB42" s="1260"/>
      <c r="AC42" s="1260"/>
      <c r="AD42" s="1260"/>
      <c r="AE42" s="1260"/>
    </row>
    <row r="43" spans="1:31" s="1217" customFormat="1">
      <c r="A43" s="1265"/>
      <c r="B43" s="1271">
        <v>2.5</v>
      </c>
      <c r="C43" s="1266" t="s">
        <v>1402</v>
      </c>
      <c r="D43" s="1265" t="s">
        <v>1676</v>
      </c>
      <c r="E43" s="1270">
        <f>E29</f>
        <v>13000</v>
      </c>
      <c r="F43" s="1268">
        <f>B43*E43</f>
        <v>32500</v>
      </c>
      <c r="G43" s="1269"/>
      <c r="H43" s="1268"/>
      <c r="I43" s="1268"/>
      <c r="J43" s="1260"/>
      <c r="K43" s="1260">
        <f>2150000/104</f>
        <v>20673.076923076922</v>
      </c>
      <c r="L43" s="1260">
        <v>4</v>
      </c>
      <c r="M43" s="1260" t="s">
        <v>52</v>
      </c>
      <c r="N43" s="1260" t="s">
        <v>1722</v>
      </c>
      <c r="O43" s="1374">
        <v>90000</v>
      </c>
      <c r="P43" s="1342">
        <f>L43*O43*Q43</f>
        <v>36000</v>
      </c>
      <c r="Q43" s="1459">
        <v>0.1</v>
      </c>
      <c r="R43" s="1260"/>
      <c r="S43" s="1260"/>
      <c r="T43" s="1260"/>
      <c r="U43" s="1260"/>
      <c r="V43" s="1260"/>
      <c r="W43" s="1260"/>
      <c r="X43" s="1260"/>
      <c r="Y43" s="1260"/>
      <c r="Z43" s="1260"/>
      <c r="AA43" s="1260"/>
      <c r="AB43" s="1260"/>
      <c r="AC43" s="1260"/>
      <c r="AD43" s="1260"/>
      <c r="AE43" s="1260"/>
    </row>
    <row r="44" spans="1:31" s="1217" customFormat="1">
      <c r="A44" s="1265"/>
      <c r="B44" s="1271">
        <v>2</v>
      </c>
      <c r="C44" s="1266" t="s">
        <v>1702</v>
      </c>
      <c r="D44" s="1265" t="s">
        <v>1701</v>
      </c>
      <c r="E44" s="1270">
        <f>(185000*2+49000*2+6500*4)</f>
        <v>494000</v>
      </c>
      <c r="F44" s="1268">
        <f>B44*E44*0.125</f>
        <v>123500</v>
      </c>
      <c r="G44" s="1269"/>
      <c r="H44" s="1268"/>
      <c r="I44" s="1268"/>
      <c r="J44" s="1260">
        <f>E44*0.125</f>
        <v>61750</v>
      </c>
      <c r="K44" s="1260"/>
      <c r="L44" s="1260"/>
      <c r="M44" s="1260"/>
      <c r="N44" s="1260"/>
      <c r="O44" s="1374"/>
      <c r="P44" s="1342"/>
      <c r="Q44" s="1459"/>
      <c r="R44" s="1260"/>
      <c r="S44" s="1260"/>
      <c r="T44" s="1260"/>
      <c r="U44" s="1260"/>
      <c r="V44" s="1260"/>
      <c r="W44" s="1260"/>
      <c r="X44" s="1260"/>
      <c r="Y44" s="1260"/>
      <c r="Z44" s="1260"/>
      <c r="AA44" s="1260"/>
      <c r="AB44" s="1260"/>
      <c r="AC44" s="1260"/>
      <c r="AD44" s="1260"/>
      <c r="AE44" s="1260"/>
    </row>
    <row r="45" spans="1:31" s="1217" customFormat="1">
      <c r="A45" s="1265"/>
      <c r="B45" s="1271">
        <v>4</v>
      </c>
      <c r="C45" s="1266" t="s">
        <v>52</v>
      </c>
      <c r="D45" s="1265" t="s">
        <v>1700</v>
      </c>
      <c r="E45" s="1270">
        <v>62000</v>
      </c>
      <c r="F45" s="1268">
        <f>B45*E45*0.05</f>
        <v>12400</v>
      </c>
      <c r="G45" s="1269"/>
      <c r="H45" s="1268"/>
      <c r="I45" s="1268"/>
      <c r="J45" s="1260"/>
      <c r="K45" s="1260"/>
      <c r="L45" s="1260"/>
      <c r="M45" s="1260"/>
      <c r="N45" s="1260"/>
      <c r="O45" s="1374"/>
      <c r="P45" s="1342"/>
      <c r="Q45" s="1459"/>
      <c r="R45" s="1260"/>
      <c r="S45" s="1260"/>
      <c r="T45" s="1260"/>
      <c r="U45" s="1260"/>
      <c r="V45" s="1260"/>
      <c r="W45" s="1260"/>
      <c r="X45" s="1260"/>
      <c r="Y45" s="1260"/>
      <c r="Z45" s="1260"/>
      <c r="AA45" s="1260"/>
      <c r="AB45" s="1260"/>
      <c r="AC45" s="1260"/>
      <c r="AD45" s="1260"/>
      <c r="AE45" s="1260"/>
    </row>
    <row r="46" spans="1:31" s="1217" customFormat="1">
      <c r="A46" s="1265"/>
      <c r="B46" s="1271">
        <v>4</v>
      </c>
      <c r="C46" s="1266" t="s">
        <v>52</v>
      </c>
      <c r="D46" s="1265" t="s">
        <v>1699</v>
      </c>
      <c r="E46" s="1270">
        <v>65000</v>
      </c>
      <c r="F46" s="1268">
        <f>B46*E46*0.05</f>
        <v>13000</v>
      </c>
      <c r="G46" s="1269"/>
      <c r="H46" s="1268"/>
      <c r="I46" s="1268"/>
      <c r="J46" s="1260"/>
      <c r="K46" s="1260"/>
      <c r="L46" s="1260"/>
      <c r="M46" s="1260"/>
      <c r="N46" s="1260"/>
      <c r="O46" s="1374"/>
      <c r="P46" s="1342"/>
      <c r="Q46" s="1459"/>
      <c r="R46" s="1260"/>
      <c r="S46" s="1260"/>
      <c r="T46" s="1260"/>
      <c r="U46" s="1260"/>
      <c r="V46" s="1260"/>
      <c r="W46" s="1260"/>
      <c r="X46" s="1260"/>
      <c r="Y46" s="1260"/>
      <c r="Z46" s="1260"/>
      <c r="AA46" s="1260"/>
      <c r="AB46" s="1260"/>
      <c r="AC46" s="1260"/>
      <c r="AD46" s="1260"/>
      <c r="AE46" s="1260"/>
    </row>
    <row r="47" spans="1:31" s="1217" customFormat="1">
      <c r="A47" s="1265"/>
      <c r="B47" s="1271">
        <f>1.2*1.8</f>
        <v>2.16</v>
      </c>
      <c r="C47" s="1266" t="s">
        <v>1697</v>
      </c>
      <c r="D47" s="1265" t="s">
        <v>1698</v>
      </c>
      <c r="E47" s="1270">
        <v>30000</v>
      </c>
      <c r="F47" s="1268"/>
      <c r="G47" s="1269">
        <f>B47*E47</f>
        <v>64800.000000000007</v>
      </c>
      <c r="H47" s="1268"/>
      <c r="I47" s="1268"/>
      <c r="J47" s="1260"/>
      <c r="K47" s="1260"/>
      <c r="L47" s="1260">
        <v>4</v>
      </c>
      <c r="M47" s="1260" t="s">
        <v>52</v>
      </c>
      <c r="N47" s="1260" t="s">
        <v>1721</v>
      </c>
      <c r="O47" s="1374">
        <v>85000</v>
      </c>
      <c r="P47" s="1342">
        <f>L47*O47*Q47</f>
        <v>34000</v>
      </c>
      <c r="Q47" s="1459">
        <v>0.1</v>
      </c>
      <c r="R47" s="1260"/>
      <c r="S47" s="1260"/>
      <c r="T47" s="1260"/>
      <c r="U47" s="1260"/>
      <c r="V47" s="1260"/>
      <c r="W47" s="1260"/>
      <c r="X47" s="1260"/>
      <c r="Y47" s="1260"/>
      <c r="Z47" s="1260"/>
      <c r="AA47" s="1260"/>
      <c r="AB47" s="1260"/>
      <c r="AC47" s="1260"/>
      <c r="AD47" s="1260"/>
      <c r="AE47" s="1260"/>
    </row>
    <row r="48" spans="1:31" s="1217" customFormat="1">
      <c r="A48" s="1265"/>
      <c r="B48" s="1271">
        <f>B47</f>
        <v>2.16</v>
      </c>
      <c r="C48" s="1266" t="s">
        <v>1697</v>
      </c>
      <c r="D48" s="1265" t="s">
        <v>1696</v>
      </c>
      <c r="E48" s="1270">
        <v>15000</v>
      </c>
      <c r="F48" s="1268"/>
      <c r="G48" s="1269">
        <f>B48*E48</f>
        <v>32400.000000000004</v>
      </c>
      <c r="H48" s="1268"/>
      <c r="I48" s="1268"/>
      <c r="J48" s="1260"/>
      <c r="K48" s="1260"/>
      <c r="L48" s="1260">
        <v>2.5</v>
      </c>
      <c r="M48" s="1260" t="s">
        <v>53</v>
      </c>
      <c r="N48" s="1260" t="s">
        <v>1676</v>
      </c>
      <c r="O48" s="1374">
        <v>15000</v>
      </c>
      <c r="P48" s="1342">
        <f>L48*O48*Q48</f>
        <v>37500</v>
      </c>
      <c r="Q48" s="1459">
        <v>1</v>
      </c>
      <c r="R48" s="1260"/>
      <c r="S48" s="1260"/>
      <c r="T48" s="1260"/>
      <c r="U48" s="1260"/>
      <c r="V48" s="1260"/>
      <c r="W48" s="1260"/>
      <c r="X48" s="1260"/>
      <c r="Y48" s="1260"/>
      <c r="Z48" s="1260"/>
      <c r="AA48" s="1260"/>
      <c r="AB48" s="1260"/>
      <c r="AC48" s="1260"/>
      <c r="AD48" s="1260"/>
      <c r="AE48" s="1260"/>
    </row>
    <row r="49" spans="1:31" s="1217" customFormat="1">
      <c r="A49" s="1265"/>
      <c r="B49" s="1267"/>
      <c r="C49" s="1266"/>
      <c r="D49" s="1265"/>
      <c r="E49" s="1443" t="s">
        <v>48</v>
      </c>
      <c r="F49" s="1440">
        <f>SUM(F40:F46)</f>
        <v>342176</v>
      </c>
      <c r="G49" s="1441">
        <f>SUM(G47:G48)</f>
        <v>97200.000000000015</v>
      </c>
      <c r="H49" s="1440"/>
      <c r="I49" s="1440">
        <f>G49+F49</f>
        <v>439376</v>
      </c>
      <c r="J49" s="1260"/>
      <c r="K49" s="1260"/>
      <c r="L49" s="1260">
        <f>1.2*1.8</f>
        <v>2.16</v>
      </c>
      <c r="M49" s="1260" t="s">
        <v>49</v>
      </c>
      <c r="N49" s="1260" t="s">
        <v>1698</v>
      </c>
      <c r="O49" s="1374">
        <v>40000</v>
      </c>
      <c r="P49" s="1342">
        <f>L49*O49*Q49</f>
        <v>86400</v>
      </c>
      <c r="Q49" s="1459">
        <v>1</v>
      </c>
      <c r="R49" s="1260"/>
      <c r="S49" s="1260"/>
      <c r="T49" s="1260"/>
      <c r="U49" s="1260"/>
      <c r="V49" s="1260"/>
      <c r="W49" s="1260"/>
      <c r="X49" s="1260"/>
      <c r="Y49" s="1260"/>
      <c r="Z49" s="1260"/>
      <c r="AA49" s="1260"/>
      <c r="AB49" s="1260"/>
      <c r="AC49" s="1260"/>
      <c r="AD49" s="1260"/>
      <c r="AE49" s="1260"/>
    </row>
    <row r="50" spans="1:31" s="1217" customFormat="1">
      <c r="A50" s="1447"/>
      <c r="B50" s="1449"/>
      <c r="C50" s="1448"/>
      <c r="D50" s="1447"/>
      <c r="E50" s="1446" t="s">
        <v>1695</v>
      </c>
      <c r="F50" s="1444"/>
      <c r="G50" s="1445"/>
      <c r="H50" s="1444"/>
      <c r="I50" s="1444">
        <v>0</v>
      </c>
      <c r="J50" s="1456"/>
      <c r="K50" s="1456"/>
      <c r="L50" s="1456">
        <f>L49</f>
        <v>2.16</v>
      </c>
      <c r="M50" s="1456" t="s">
        <v>49</v>
      </c>
      <c r="N50" s="1456" t="s">
        <v>1696</v>
      </c>
      <c r="O50" s="1458">
        <v>20000</v>
      </c>
      <c r="P50" s="1342">
        <f>L50*O50*Q50</f>
        <v>43200</v>
      </c>
      <c r="Q50" s="1457">
        <v>1</v>
      </c>
      <c r="R50" s="1456"/>
      <c r="S50" s="1456"/>
      <c r="T50" s="1456"/>
      <c r="U50" s="1456"/>
      <c r="V50" s="1456"/>
      <c r="W50" s="1456"/>
      <c r="X50" s="1260"/>
      <c r="Y50" s="1260"/>
      <c r="Z50" s="1260"/>
      <c r="AA50" s="1260"/>
      <c r="AB50" s="1260"/>
      <c r="AC50" s="1260"/>
      <c r="AD50" s="1260"/>
      <c r="AE50" s="1260"/>
    </row>
    <row r="51" spans="1:31" s="1217" customFormat="1">
      <c r="A51" s="1265"/>
      <c r="B51" s="1267"/>
      <c r="C51" s="1266"/>
      <c r="D51" s="1265"/>
      <c r="E51" s="1443" t="s">
        <v>48</v>
      </c>
      <c r="F51" s="1440"/>
      <c r="G51" s="1441"/>
      <c r="H51" s="1440"/>
      <c r="I51" s="1440">
        <f>I49+I50</f>
        <v>439376</v>
      </c>
      <c r="J51" s="1260"/>
      <c r="K51" s="1260"/>
      <c r="L51" s="1260"/>
      <c r="M51" s="1260"/>
      <c r="N51" s="1260"/>
      <c r="O51" s="1260"/>
      <c r="P51" s="1342">
        <f>SUM(P40:P50)</f>
        <v>412850</v>
      </c>
      <c r="Q51" s="1260"/>
      <c r="R51" s="1260"/>
      <c r="S51" s="1260"/>
      <c r="T51" s="1260"/>
      <c r="U51" s="1260"/>
      <c r="V51" s="1260"/>
      <c r="W51" s="1260"/>
      <c r="X51" s="1260"/>
      <c r="Y51" s="1260"/>
      <c r="Z51" s="1260"/>
      <c r="AA51" s="1260"/>
      <c r="AB51" s="1260"/>
      <c r="AC51" s="1260"/>
      <c r="AD51" s="1260"/>
      <c r="AE51" s="1260"/>
    </row>
    <row r="52" spans="1:31" s="1217" customFormat="1">
      <c r="A52" s="1265"/>
      <c r="B52" s="1313"/>
      <c r="C52" s="1312"/>
      <c r="D52" s="1311"/>
      <c r="E52" s="1442" t="s">
        <v>1694</v>
      </c>
      <c r="F52" s="1440"/>
      <c r="G52" s="1441"/>
      <c r="H52" s="1440"/>
      <c r="I52" s="1440">
        <f>I51/(1.8*1.2)</f>
        <v>203414.8148148148</v>
      </c>
      <c r="J52" s="1260"/>
      <c r="K52" s="1260"/>
      <c r="L52" s="1260"/>
      <c r="M52" s="1260"/>
      <c r="N52" s="1260"/>
      <c r="O52" s="1260" t="s">
        <v>1720</v>
      </c>
      <c r="P52" s="1342">
        <f>P51/(1.2*1.8)</f>
        <v>191134.25925925924</v>
      </c>
      <c r="Q52" s="1260"/>
      <c r="R52" s="1260"/>
      <c r="S52" s="1260"/>
      <c r="T52" s="1260"/>
      <c r="U52" s="1260"/>
      <c r="V52" s="1260"/>
      <c r="W52" s="1260"/>
      <c r="X52" s="1260"/>
      <c r="Y52" s="1260"/>
      <c r="Z52" s="1260"/>
      <c r="AA52" s="1260"/>
      <c r="AB52" s="1260"/>
      <c r="AC52" s="1260"/>
      <c r="AD52" s="1260"/>
      <c r="AE52" s="1260"/>
    </row>
    <row r="53" spans="1:31">
      <c r="A53" s="1299"/>
      <c r="B53" s="1301"/>
      <c r="C53" s="1399"/>
      <c r="D53" s="1423"/>
      <c r="E53" s="1436"/>
      <c r="F53" s="1434"/>
      <c r="G53" s="1435"/>
      <c r="H53" s="1434"/>
      <c r="I53" s="1434"/>
      <c r="J53" s="1295"/>
      <c r="K53" s="1295"/>
      <c r="L53" s="1295"/>
      <c r="M53" s="1295"/>
      <c r="N53" s="1295"/>
      <c r="O53" s="1295"/>
      <c r="P53" s="1295"/>
      <c r="Q53" s="1295"/>
      <c r="R53" s="1295"/>
      <c r="S53" s="1295"/>
      <c r="T53" s="1295"/>
      <c r="U53" s="1295"/>
      <c r="V53" s="1295"/>
      <c r="W53" s="1295"/>
      <c r="X53" s="1295"/>
      <c r="Y53" s="1295"/>
      <c r="Z53" s="1295"/>
      <c r="AA53" s="1295"/>
      <c r="AB53" s="1295"/>
      <c r="AC53" s="1295"/>
      <c r="AD53" s="1295"/>
      <c r="AE53" s="1295"/>
    </row>
    <row r="54" spans="1:31">
      <c r="A54" s="1439">
        <v>2</v>
      </c>
      <c r="B54" s="1303" t="s">
        <v>1727</v>
      </c>
      <c r="C54" s="1300"/>
      <c r="D54" s="1299"/>
      <c r="E54" s="1436"/>
      <c r="F54" s="1434"/>
      <c r="G54" s="1435"/>
      <c r="H54" s="1434"/>
      <c r="I54" s="1434"/>
      <c r="J54" s="1295"/>
      <c r="K54" s="1295"/>
      <c r="L54" s="1295"/>
      <c r="M54" s="1295"/>
      <c r="N54" s="1295"/>
      <c r="O54" s="1295"/>
      <c r="P54" s="1295"/>
      <c r="Q54" s="1295"/>
      <c r="R54" s="1295"/>
      <c r="S54" s="1295"/>
      <c r="T54" s="1295"/>
      <c r="U54" s="1295"/>
      <c r="V54" s="1295"/>
      <c r="W54" s="1295"/>
      <c r="X54" s="1295"/>
      <c r="Y54" s="1295"/>
      <c r="Z54" s="1295"/>
      <c r="AA54" s="1295"/>
      <c r="AB54" s="1295"/>
      <c r="AC54" s="1295"/>
      <c r="AD54" s="1295"/>
      <c r="AE54" s="1295"/>
    </row>
    <row r="55" spans="1:31">
      <c r="A55" s="1299"/>
      <c r="B55" s="1437">
        <v>1</v>
      </c>
      <c r="C55" s="1300" t="s">
        <v>1558</v>
      </c>
      <c r="D55" s="1299" t="s">
        <v>1708</v>
      </c>
      <c r="E55" s="1436">
        <f t="shared" ref="E55:E61" si="0">E40</f>
        <v>106560</v>
      </c>
      <c r="F55" s="1434">
        <f>B55*E55*0.35</f>
        <v>37296</v>
      </c>
      <c r="G55" s="1435"/>
      <c r="H55" s="1434"/>
      <c r="I55" s="1434"/>
      <c r="J55" s="1295"/>
      <c r="K55" s="1295">
        <f>1/(0.02*0.2*4)</f>
        <v>62.5</v>
      </c>
      <c r="L55" s="1295"/>
      <c r="M55" s="1295"/>
      <c r="N55" s="1295" t="s">
        <v>1726</v>
      </c>
      <c r="O55" s="1295"/>
      <c r="P55" s="1295"/>
      <c r="Q55" s="1295" t="s">
        <v>1725</v>
      </c>
      <c r="R55" s="1295"/>
      <c r="S55" s="1295"/>
      <c r="T55" s="1295"/>
      <c r="U55" s="1295"/>
      <c r="V55" s="1295"/>
      <c r="W55" s="1295"/>
      <c r="X55" s="1295"/>
      <c r="Y55" s="1295"/>
      <c r="Z55" s="1295"/>
      <c r="AA55" s="1295"/>
      <c r="AB55" s="1295"/>
      <c r="AC55" s="1295"/>
      <c r="AD55" s="1295"/>
      <c r="AE55" s="1295"/>
    </row>
    <row r="56" spans="1:31">
      <c r="A56" s="1299"/>
      <c r="B56" s="1437">
        <v>1.5</v>
      </c>
      <c r="C56" s="1300" t="s">
        <v>1558</v>
      </c>
      <c r="D56" s="1299" t="s">
        <v>1706</v>
      </c>
      <c r="E56" s="1436">
        <f t="shared" si="0"/>
        <v>39200.000000000007</v>
      </c>
      <c r="F56" s="1434">
        <f>B56*E56*0.5</f>
        <v>29400.000000000007</v>
      </c>
      <c r="G56" s="1435"/>
      <c r="H56" s="1434"/>
      <c r="I56" s="1434"/>
      <c r="J56" s="1295"/>
      <c r="K56" s="1295">
        <f>1/(0.04*0.06*4)</f>
        <v>104.16666666666667</v>
      </c>
      <c r="L56" s="1295">
        <v>1</v>
      </c>
      <c r="M56" s="1295" t="s">
        <v>1558</v>
      </c>
      <c r="N56" s="1295" t="s">
        <v>1724</v>
      </c>
      <c r="O56" s="1455">
        <v>175000</v>
      </c>
      <c r="P56" s="1396">
        <f>L56*O56*Q56</f>
        <v>43750</v>
      </c>
      <c r="Q56" s="1454">
        <v>0.25</v>
      </c>
      <c r="R56" s="1295"/>
      <c r="S56" s="1295"/>
      <c r="T56" s="1295"/>
      <c r="U56" s="1295"/>
      <c r="V56" s="1295"/>
      <c r="W56" s="1295"/>
      <c r="X56" s="1295"/>
      <c r="Y56" s="1295"/>
      <c r="Z56" s="1295"/>
      <c r="AA56" s="1295"/>
      <c r="AB56" s="1295"/>
      <c r="AC56" s="1295"/>
      <c r="AD56" s="1295"/>
      <c r="AE56" s="1295"/>
    </row>
    <row r="57" spans="1:31">
      <c r="A57" s="1299"/>
      <c r="B57" s="1437">
        <v>3.5</v>
      </c>
      <c r="C57" s="1300" t="s">
        <v>1558</v>
      </c>
      <c r="D57" s="1299" t="s">
        <v>1704</v>
      </c>
      <c r="E57" s="1436">
        <f t="shared" si="0"/>
        <v>26880</v>
      </c>
      <c r="F57" s="1434">
        <f>B57*E57</f>
        <v>94080</v>
      </c>
      <c r="G57" s="1435"/>
      <c r="H57" s="1434"/>
      <c r="I57" s="1434"/>
      <c r="J57" s="1295">
        <f>1800000/62</f>
        <v>29032.258064516129</v>
      </c>
      <c r="K57" s="1295"/>
      <c r="L57" s="1295">
        <v>2</v>
      </c>
      <c r="M57" s="1295" t="s">
        <v>1558</v>
      </c>
      <c r="N57" s="1295" t="s">
        <v>1677</v>
      </c>
      <c r="O57" s="1455">
        <v>40000</v>
      </c>
      <c r="P57" s="1396">
        <f>L57*O57*Q57</f>
        <v>40000</v>
      </c>
      <c r="Q57" s="1454">
        <v>0.5</v>
      </c>
      <c r="R57" s="1295"/>
      <c r="S57" s="1295"/>
      <c r="T57" s="1295"/>
      <c r="U57" s="1295"/>
      <c r="V57" s="1295"/>
      <c r="W57" s="1295"/>
      <c r="X57" s="1295"/>
      <c r="Y57" s="1295"/>
      <c r="Z57" s="1295"/>
      <c r="AA57" s="1295"/>
      <c r="AB57" s="1295"/>
      <c r="AC57" s="1295"/>
      <c r="AD57" s="1295"/>
      <c r="AE57" s="1295"/>
    </row>
    <row r="58" spans="1:31">
      <c r="A58" s="1299"/>
      <c r="B58" s="1437">
        <v>2.5</v>
      </c>
      <c r="C58" s="1300" t="s">
        <v>1402</v>
      </c>
      <c r="D58" s="1299" t="s">
        <v>1676</v>
      </c>
      <c r="E58" s="1436">
        <f t="shared" si="0"/>
        <v>13000</v>
      </c>
      <c r="F58" s="1434">
        <f>B58*E58</f>
        <v>32500</v>
      </c>
      <c r="G58" s="1435"/>
      <c r="H58" s="1434"/>
      <c r="I58" s="1434"/>
      <c r="J58" s="1295"/>
      <c r="K58" s="1295">
        <f>1550000/104</f>
        <v>14903.846153846154</v>
      </c>
      <c r="L58" s="1295">
        <v>1</v>
      </c>
      <c r="M58" s="1295" t="s">
        <v>1702</v>
      </c>
      <c r="N58" s="1295" t="s">
        <v>1723</v>
      </c>
      <c r="O58" s="1455">
        <v>460000</v>
      </c>
      <c r="P58" s="1396">
        <f>L58*O58*Q58</f>
        <v>46000</v>
      </c>
      <c r="Q58" s="1454">
        <v>0.1</v>
      </c>
      <c r="R58" s="1295"/>
      <c r="S58" s="1295"/>
      <c r="T58" s="1295"/>
      <c r="U58" s="1295"/>
      <c r="V58" s="1295"/>
      <c r="W58" s="1295"/>
      <c r="X58" s="1295"/>
      <c r="Y58" s="1295"/>
      <c r="Z58" s="1295"/>
      <c r="AA58" s="1295"/>
      <c r="AB58" s="1295"/>
      <c r="AC58" s="1295"/>
      <c r="AD58" s="1295"/>
      <c r="AE58" s="1295"/>
    </row>
    <row r="59" spans="1:31">
      <c r="A59" s="1299"/>
      <c r="B59" s="1437">
        <v>1</v>
      </c>
      <c r="C59" s="1300" t="s">
        <v>1702</v>
      </c>
      <c r="D59" s="1299" t="s">
        <v>1701</v>
      </c>
      <c r="E59" s="1436">
        <f t="shared" si="0"/>
        <v>494000</v>
      </c>
      <c r="F59" s="1434">
        <f>B59*E59*0.125</f>
        <v>61750</v>
      </c>
      <c r="G59" s="1435"/>
      <c r="H59" s="1434"/>
      <c r="I59" s="1434"/>
      <c r="J59" s="1295"/>
      <c r="K59" s="1295"/>
      <c r="L59" s="1295"/>
      <c r="M59" s="1295"/>
      <c r="N59" s="1295"/>
      <c r="O59" s="1455"/>
      <c r="P59" s="1396"/>
      <c r="Q59" s="1454"/>
      <c r="R59" s="1295"/>
      <c r="S59" s="1295"/>
      <c r="T59" s="1295"/>
      <c r="U59" s="1295"/>
      <c r="V59" s="1295"/>
      <c r="W59" s="1295"/>
      <c r="X59" s="1295"/>
      <c r="Y59" s="1295"/>
      <c r="Z59" s="1295"/>
      <c r="AA59" s="1295"/>
      <c r="AB59" s="1295"/>
      <c r="AC59" s="1295"/>
      <c r="AD59" s="1295"/>
      <c r="AE59" s="1295"/>
    </row>
    <row r="60" spans="1:31">
      <c r="A60" s="1299"/>
      <c r="B60" s="1437">
        <v>4</v>
      </c>
      <c r="C60" s="1300" t="s">
        <v>52</v>
      </c>
      <c r="D60" s="1299" t="s">
        <v>1700</v>
      </c>
      <c r="E60" s="1436">
        <f t="shared" si="0"/>
        <v>62000</v>
      </c>
      <c r="F60" s="1434">
        <f>B60*E60*0.05</f>
        <v>12400</v>
      </c>
      <c r="G60" s="1435"/>
      <c r="H60" s="1434"/>
      <c r="I60" s="1434"/>
      <c r="J60" s="1295"/>
      <c r="K60" s="1295"/>
      <c r="L60" s="1295"/>
      <c r="M60" s="1295"/>
      <c r="N60" s="1295"/>
      <c r="O60" s="1455"/>
      <c r="P60" s="1396"/>
      <c r="Q60" s="1454"/>
      <c r="R60" s="1295"/>
      <c r="S60" s="1295"/>
      <c r="T60" s="1295"/>
      <c r="U60" s="1295"/>
      <c r="V60" s="1295"/>
      <c r="W60" s="1295"/>
      <c r="X60" s="1295"/>
      <c r="Y60" s="1295"/>
      <c r="Z60" s="1295"/>
      <c r="AA60" s="1295"/>
      <c r="AB60" s="1295"/>
      <c r="AC60" s="1295"/>
      <c r="AD60" s="1295"/>
      <c r="AE60" s="1295"/>
    </row>
    <row r="61" spans="1:31">
      <c r="A61" s="1299"/>
      <c r="B61" s="1437">
        <v>4</v>
      </c>
      <c r="C61" s="1300" t="s">
        <v>52</v>
      </c>
      <c r="D61" s="1299" t="s">
        <v>1699</v>
      </c>
      <c r="E61" s="1436">
        <f t="shared" si="0"/>
        <v>65000</v>
      </c>
      <c r="F61" s="1434">
        <f>B61*E61*0.05</f>
        <v>13000</v>
      </c>
      <c r="G61" s="1435"/>
      <c r="H61" s="1434"/>
      <c r="I61" s="1434"/>
      <c r="J61" s="1295"/>
      <c r="K61" s="1295"/>
      <c r="L61" s="1295"/>
      <c r="M61" s="1295"/>
      <c r="N61" s="1295"/>
      <c r="O61" s="1455"/>
      <c r="P61" s="1396"/>
      <c r="Q61" s="1454"/>
      <c r="R61" s="1295"/>
      <c r="S61" s="1295"/>
      <c r="T61" s="1295"/>
      <c r="U61" s="1295"/>
      <c r="V61" s="1295"/>
      <c r="W61" s="1295"/>
      <c r="X61" s="1295"/>
      <c r="Y61" s="1295"/>
      <c r="Z61" s="1295"/>
      <c r="AA61" s="1295"/>
      <c r="AB61" s="1295"/>
      <c r="AC61" s="1295"/>
      <c r="AD61" s="1295"/>
      <c r="AE61" s="1295"/>
    </row>
    <row r="62" spans="1:31">
      <c r="A62" s="1299"/>
      <c r="B62" s="1437">
        <f>1.2*1.8</f>
        <v>2.16</v>
      </c>
      <c r="C62" s="1300" t="s">
        <v>1697</v>
      </c>
      <c r="D62" s="1299" t="s">
        <v>1698</v>
      </c>
      <c r="E62" s="1436">
        <v>25000</v>
      </c>
      <c r="F62" s="1434"/>
      <c r="G62" s="1435">
        <f>B62*E62</f>
        <v>54000</v>
      </c>
      <c r="H62" s="1434"/>
      <c r="I62" s="1434"/>
      <c r="J62" s="1295"/>
      <c r="K62" s="1295"/>
      <c r="L62" s="1295">
        <v>4</v>
      </c>
      <c r="M62" s="1295" t="s">
        <v>52</v>
      </c>
      <c r="N62" s="1295" t="s">
        <v>1722</v>
      </c>
      <c r="O62" s="1455">
        <v>90000</v>
      </c>
      <c r="P62" s="1396">
        <f>L62*O62*Q62</f>
        <v>36000</v>
      </c>
      <c r="Q62" s="1454">
        <v>0.1</v>
      </c>
      <c r="R62" s="1295"/>
      <c r="S62" s="1295"/>
      <c r="T62" s="1295"/>
      <c r="U62" s="1295"/>
      <c r="V62" s="1295"/>
      <c r="W62" s="1295"/>
      <c r="X62" s="1295"/>
      <c r="Y62" s="1295"/>
      <c r="Z62" s="1295"/>
      <c r="AA62" s="1295"/>
      <c r="AB62" s="1295"/>
      <c r="AC62" s="1295"/>
      <c r="AD62" s="1295"/>
      <c r="AE62" s="1295"/>
    </row>
    <row r="63" spans="1:31">
      <c r="A63" s="1299"/>
      <c r="B63" s="1437">
        <f>B62</f>
        <v>2.16</v>
      </c>
      <c r="C63" s="1300" t="s">
        <v>1697</v>
      </c>
      <c r="D63" s="1299" t="s">
        <v>1696</v>
      </c>
      <c r="E63" s="1436">
        <v>15000</v>
      </c>
      <c r="F63" s="1434"/>
      <c r="G63" s="1435">
        <f>B63*E63</f>
        <v>32400.000000000004</v>
      </c>
      <c r="H63" s="1434"/>
      <c r="I63" s="1434"/>
      <c r="J63" s="1295"/>
      <c r="K63" s="1295"/>
      <c r="L63" s="1295">
        <v>4</v>
      </c>
      <c r="M63" s="1295" t="s">
        <v>52</v>
      </c>
      <c r="N63" s="1295" t="s">
        <v>1721</v>
      </c>
      <c r="O63" s="1455">
        <v>85000</v>
      </c>
      <c r="P63" s="1396">
        <f>L63*O63*Q63</f>
        <v>34000</v>
      </c>
      <c r="Q63" s="1454">
        <v>0.1</v>
      </c>
      <c r="R63" s="1295"/>
      <c r="S63" s="1295"/>
      <c r="T63" s="1295"/>
      <c r="U63" s="1295"/>
      <c r="V63" s="1295"/>
      <c r="W63" s="1295"/>
      <c r="X63" s="1295"/>
      <c r="Y63" s="1295"/>
      <c r="Z63" s="1295"/>
      <c r="AA63" s="1295"/>
      <c r="AB63" s="1295"/>
      <c r="AC63" s="1295"/>
      <c r="AD63" s="1295"/>
      <c r="AE63" s="1295"/>
    </row>
    <row r="64" spans="1:31">
      <c r="A64" s="1299"/>
      <c r="B64" s="1303"/>
      <c r="C64" s="1300"/>
      <c r="D64" s="1299"/>
      <c r="E64" s="1427" t="s">
        <v>48</v>
      </c>
      <c r="F64" s="1424">
        <f>SUM(F55:F58)</f>
        <v>193276</v>
      </c>
      <c r="G64" s="1425">
        <f>SUM(G62:G63)</f>
        <v>86400</v>
      </c>
      <c r="H64" s="1424"/>
      <c r="I64" s="1424">
        <f>G64+F64</f>
        <v>279676</v>
      </c>
      <c r="J64" s="1295"/>
      <c r="K64" s="1295"/>
      <c r="L64" s="1295">
        <v>2.5</v>
      </c>
      <c r="M64" s="1295" t="s">
        <v>53</v>
      </c>
      <c r="N64" s="1295" t="s">
        <v>1676</v>
      </c>
      <c r="O64" s="1455">
        <v>15000</v>
      </c>
      <c r="P64" s="1396">
        <f>L64*O64*Q64</f>
        <v>37500</v>
      </c>
      <c r="Q64" s="1454">
        <v>1</v>
      </c>
      <c r="R64" s="1295"/>
      <c r="S64" s="1295"/>
      <c r="T64" s="1295"/>
      <c r="U64" s="1295"/>
      <c r="V64" s="1295"/>
      <c r="W64" s="1295"/>
      <c r="X64" s="1295"/>
      <c r="Y64" s="1295"/>
      <c r="Z64" s="1295"/>
      <c r="AA64" s="1295"/>
      <c r="AB64" s="1295"/>
      <c r="AC64" s="1295"/>
      <c r="AD64" s="1295"/>
      <c r="AE64" s="1295"/>
    </row>
    <row r="65" spans="1:31">
      <c r="A65" s="1431"/>
      <c r="B65" s="1433"/>
      <c r="C65" s="1432"/>
      <c r="D65" s="1431"/>
      <c r="E65" s="1430" t="s">
        <v>1695</v>
      </c>
      <c r="F65" s="1428"/>
      <c r="G65" s="1429"/>
      <c r="H65" s="1428"/>
      <c r="I65" s="1428">
        <v>0</v>
      </c>
      <c r="J65" s="1453"/>
      <c r="K65" s="1453"/>
      <c r="L65" s="1295">
        <f>1.2*1.8</f>
        <v>2.16</v>
      </c>
      <c r="M65" s="1295" t="s">
        <v>49</v>
      </c>
      <c r="N65" s="1295" t="s">
        <v>1698</v>
      </c>
      <c r="O65" s="1455">
        <v>35000</v>
      </c>
      <c r="P65" s="1396">
        <f>L65*O65*Q65</f>
        <v>75600</v>
      </c>
      <c r="Q65" s="1454">
        <v>1</v>
      </c>
      <c r="R65" s="1453"/>
      <c r="S65" s="1453"/>
      <c r="T65" s="1453"/>
      <c r="U65" s="1453"/>
      <c r="V65" s="1453"/>
      <c r="W65" s="1453"/>
      <c r="X65" s="1295"/>
      <c r="Y65" s="1295"/>
      <c r="Z65" s="1295"/>
      <c r="AA65" s="1295"/>
      <c r="AB65" s="1295"/>
      <c r="AC65" s="1295"/>
      <c r="AD65" s="1295"/>
      <c r="AE65" s="1295"/>
    </row>
    <row r="66" spans="1:31">
      <c r="A66" s="1299"/>
      <c r="B66" s="1303"/>
      <c r="C66" s="1300"/>
      <c r="D66" s="1299"/>
      <c r="E66" s="1427" t="s">
        <v>48</v>
      </c>
      <c r="F66" s="1424"/>
      <c r="G66" s="1425"/>
      <c r="H66" s="1424"/>
      <c r="I66" s="1424">
        <f>I64+I65</f>
        <v>279676</v>
      </c>
      <c r="J66" s="1295"/>
      <c r="K66" s="1295"/>
      <c r="L66" s="1453">
        <f>L65</f>
        <v>2.16</v>
      </c>
      <c r="M66" s="1453" t="s">
        <v>49</v>
      </c>
      <c r="N66" s="1453" t="s">
        <v>1696</v>
      </c>
      <c r="O66" s="1452">
        <v>15000</v>
      </c>
      <c r="P66" s="1396">
        <f>L66*O66*Q66</f>
        <v>32400.000000000004</v>
      </c>
      <c r="Q66" s="1451">
        <v>1</v>
      </c>
      <c r="R66" s="1295"/>
      <c r="S66" s="1295"/>
      <c r="T66" s="1295"/>
      <c r="U66" s="1295"/>
      <c r="V66" s="1295"/>
      <c r="W66" s="1295"/>
      <c r="X66" s="1295"/>
      <c r="Y66" s="1295"/>
      <c r="Z66" s="1295"/>
      <c r="AA66" s="1295"/>
      <c r="AB66" s="1295"/>
      <c r="AC66" s="1295"/>
      <c r="AD66" s="1295"/>
      <c r="AE66" s="1295"/>
    </row>
    <row r="67" spans="1:31">
      <c r="A67" s="1299"/>
      <c r="B67" s="1301"/>
      <c r="C67" s="1399"/>
      <c r="D67" s="1423"/>
      <c r="E67" s="1426" t="s">
        <v>1694</v>
      </c>
      <c r="F67" s="1424"/>
      <c r="G67" s="1425"/>
      <c r="H67" s="1424"/>
      <c r="I67" s="1424">
        <f>I66/(1.8*1.2)</f>
        <v>129479.62962962962</v>
      </c>
      <c r="J67" s="1295"/>
      <c r="K67" s="1295"/>
      <c r="L67" s="1295"/>
      <c r="M67" s="1295"/>
      <c r="N67" s="1295"/>
      <c r="O67" s="1295"/>
      <c r="P67" s="1396">
        <f>SUM(P56:P66)</f>
        <v>345250</v>
      </c>
      <c r="Q67" s="1295"/>
      <c r="R67" s="1295"/>
      <c r="S67" s="1295"/>
      <c r="T67" s="1295"/>
      <c r="U67" s="1295"/>
      <c r="V67" s="1295"/>
      <c r="W67" s="1295"/>
      <c r="X67" s="1295"/>
      <c r="Y67" s="1295"/>
      <c r="Z67" s="1295"/>
      <c r="AA67" s="1295"/>
      <c r="AB67" s="1295"/>
      <c r="AC67" s="1295"/>
      <c r="AD67" s="1295"/>
      <c r="AE67" s="1295"/>
    </row>
    <row r="68" spans="1:31">
      <c r="A68" s="1299"/>
      <c r="B68" s="1301"/>
      <c r="C68" s="1399"/>
      <c r="D68" s="1423"/>
      <c r="E68" s="1436"/>
      <c r="F68" s="1434"/>
      <c r="G68" s="1435"/>
      <c r="H68" s="1434"/>
      <c r="I68" s="1434"/>
      <c r="J68" s="1295"/>
      <c r="K68" s="1295"/>
      <c r="L68" s="1295"/>
      <c r="M68" s="1295"/>
      <c r="N68" s="1295"/>
      <c r="O68" s="1295" t="s">
        <v>1720</v>
      </c>
      <c r="P68" s="1396">
        <f>P67/(1.2*1.8)</f>
        <v>159837.96296296295</v>
      </c>
      <c r="Q68" s="1295"/>
      <c r="R68" s="1295"/>
      <c r="S68" s="1295"/>
      <c r="T68" s="1295"/>
      <c r="U68" s="1295"/>
      <c r="V68" s="1295"/>
      <c r="W68" s="1295"/>
      <c r="X68" s="1295"/>
      <c r="Y68" s="1295"/>
      <c r="Z68" s="1295"/>
      <c r="AA68" s="1295"/>
      <c r="AB68" s="1295"/>
      <c r="AC68" s="1295"/>
      <c r="AD68" s="1295"/>
      <c r="AE68" s="1295"/>
    </row>
    <row r="69" spans="1:31">
      <c r="A69" s="1302"/>
      <c r="B69" s="1301"/>
      <c r="C69" s="1399"/>
      <c r="D69" s="1423"/>
      <c r="E69" s="1436"/>
      <c r="F69" s="1434"/>
      <c r="G69" s="1435"/>
      <c r="H69" s="1434"/>
      <c r="I69" s="1434"/>
      <c r="J69" s="1295"/>
      <c r="K69" s="1295"/>
      <c r="L69" s="1295"/>
      <c r="M69" s="1295"/>
      <c r="N69" s="1295"/>
      <c r="O69" s="1295"/>
      <c r="P69" s="1295"/>
      <c r="Q69" s="1295"/>
      <c r="R69" s="1295"/>
      <c r="S69" s="1295"/>
      <c r="T69" s="1295"/>
      <c r="U69" s="1295"/>
      <c r="V69" s="1295"/>
      <c r="W69" s="1295"/>
      <c r="X69" s="1295"/>
      <c r="Y69" s="1295"/>
      <c r="Z69" s="1295"/>
      <c r="AA69" s="1295"/>
      <c r="AB69" s="1295"/>
      <c r="AC69" s="1295"/>
      <c r="AD69" s="1295"/>
      <c r="AE69" s="1295"/>
    </row>
    <row r="70" spans="1:31" s="1217" customFormat="1">
      <c r="A70" s="1275">
        <v>1</v>
      </c>
      <c r="B70" s="1267" t="s">
        <v>1719</v>
      </c>
      <c r="C70" s="1266"/>
      <c r="D70" s="1265"/>
      <c r="E70" s="1270"/>
      <c r="F70" s="1268"/>
      <c r="G70" s="1269"/>
      <c r="H70" s="1268"/>
      <c r="I70" s="1268"/>
      <c r="J70" s="1260"/>
      <c r="K70" s="1260"/>
      <c r="L70" s="1260"/>
      <c r="M70" s="1260" t="s">
        <v>1713</v>
      </c>
      <c r="N70" s="1260" t="s">
        <v>1718</v>
      </c>
      <c r="O70" s="1260"/>
      <c r="P70" s="1260"/>
      <c r="Q70" s="1260"/>
      <c r="R70" s="1260"/>
      <c r="S70" s="1260"/>
      <c r="T70" s="1260"/>
      <c r="U70" s="1260"/>
      <c r="V70" s="1260"/>
      <c r="W70" s="1260"/>
      <c r="X70" s="1260"/>
      <c r="Y70" s="1260"/>
      <c r="Z70" s="1260"/>
      <c r="AA70" s="1260"/>
      <c r="AB70" s="1260"/>
      <c r="AC70" s="1260"/>
      <c r="AD70" s="1260"/>
      <c r="AE70" s="1260"/>
    </row>
    <row r="71" spans="1:31" s="1217" customFormat="1">
      <c r="A71" s="1265"/>
      <c r="B71" s="1271">
        <v>1</v>
      </c>
      <c r="C71" s="1266" t="s">
        <v>1558</v>
      </c>
      <c r="D71" s="1265" t="s">
        <v>1708</v>
      </c>
      <c r="E71" s="1270">
        <f t="shared" ref="E71:E77" si="1">E55</f>
        <v>106560</v>
      </c>
      <c r="F71" s="1268">
        <f>B71*E71*0.35</f>
        <v>37296</v>
      </c>
      <c r="G71" s="1269"/>
      <c r="H71" s="1268"/>
      <c r="I71" s="1268"/>
      <c r="J71" s="1260"/>
      <c r="K71" s="1260"/>
      <c r="L71" s="1260">
        <v>1.5</v>
      </c>
      <c r="M71" s="1260" t="s">
        <v>1558</v>
      </c>
      <c r="N71" s="1260" t="s">
        <v>1717</v>
      </c>
      <c r="O71" s="1450">
        <f>O56</f>
        <v>175000</v>
      </c>
      <c r="P71" s="1342">
        <f>L71*O71</f>
        <v>262500</v>
      </c>
      <c r="Q71" s="1260"/>
      <c r="R71" s="1260"/>
      <c r="S71" s="1260"/>
      <c r="T71" s="1260"/>
      <c r="U71" s="1260"/>
      <c r="V71" s="1260"/>
      <c r="W71" s="1260"/>
      <c r="X71" s="1260"/>
      <c r="Y71" s="1260"/>
      <c r="Z71" s="1260"/>
      <c r="AA71" s="1260"/>
      <c r="AB71" s="1260"/>
      <c r="AC71" s="1260"/>
      <c r="AD71" s="1260"/>
      <c r="AE71" s="1260"/>
    </row>
    <row r="72" spans="1:31" s="1217" customFormat="1">
      <c r="A72" s="1265"/>
      <c r="B72" s="1271">
        <v>1.5</v>
      </c>
      <c r="C72" s="1266" t="s">
        <v>1558</v>
      </c>
      <c r="D72" s="1265" t="s">
        <v>1706</v>
      </c>
      <c r="E72" s="1270">
        <f t="shared" si="1"/>
        <v>39200.000000000007</v>
      </c>
      <c r="F72" s="1268">
        <f>B72*E72*0.5</f>
        <v>29400.000000000007</v>
      </c>
      <c r="G72" s="1269"/>
      <c r="H72" s="1268"/>
      <c r="I72" s="1268"/>
      <c r="J72" s="1260"/>
      <c r="K72" s="1260"/>
      <c r="L72" s="1260">
        <v>3</v>
      </c>
      <c r="M72" s="1260" t="s">
        <v>1558</v>
      </c>
      <c r="N72" s="1260" t="s">
        <v>1716</v>
      </c>
      <c r="O72" s="1342">
        <f>O57</f>
        <v>40000</v>
      </c>
      <c r="P72" s="1342">
        <f>L72*O72</f>
        <v>120000</v>
      </c>
      <c r="Q72" s="1260"/>
      <c r="R72" s="1260"/>
      <c r="S72" s="1260"/>
      <c r="T72" s="1260"/>
      <c r="U72" s="1260"/>
      <c r="V72" s="1260"/>
      <c r="W72" s="1260"/>
      <c r="X72" s="1260"/>
      <c r="Y72" s="1260"/>
      <c r="Z72" s="1260"/>
      <c r="AA72" s="1260"/>
      <c r="AB72" s="1260"/>
      <c r="AC72" s="1260"/>
      <c r="AD72" s="1260"/>
      <c r="AE72" s="1260"/>
    </row>
    <row r="73" spans="1:31" s="1217" customFormat="1">
      <c r="A73" s="1265"/>
      <c r="B73" s="1271">
        <v>1</v>
      </c>
      <c r="C73" s="1266" t="s">
        <v>1558</v>
      </c>
      <c r="D73" s="1265" t="s">
        <v>1704</v>
      </c>
      <c r="E73" s="1270">
        <f t="shared" si="1"/>
        <v>26880</v>
      </c>
      <c r="F73" s="1268">
        <f>B73*E73</f>
        <v>26880</v>
      </c>
      <c r="G73" s="1269"/>
      <c r="H73" s="1268"/>
      <c r="I73" s="1268"/>
      <c r="J73" s="1260"/>
      <c r="K73" s="1260"/>
      <c r="L73" s="1260">
        <v>0.5</v>
      </c>
      <c r="M73" s="1260" t="s">
        <v>53</v>
      </c>
      <c r="N73" s="1260" t="s">
        <v>1707</v>
      </c>
      <c r="O73" s="1342">
        <f>O66</f>
        <v>15000</v>
      </c>
      <c r="P73" s="1342">
        <f>L73*O73</f>
        <v>7500</v>
      </c>
      <c r="Q73" s="1260"/>
      <c r="R73" s="1260"/>
      <c r="S73" s="1260"/>
      <c r="T73" s="1260"/>
      <c r="U73" s="1260"/>
      <c r="V73" s="1260"/>
      <c r="W73" s="1260"/>
      <c r="X73" s="1260"/>
      <c r="Y73" s="1260"/>
      <c r="Z73" s="1260"/>
      <c r="AA73" s="1260"/>
      <c r="AB73" s="1260"/>
      <c r="AC73" s="1260"/>
      <c r="AD73" s="1260"/>
      <c r="AE73" s="1260"/>
    </row>
    <row r="74" spans="1:31" s="1217" customFormat="1">
      <c r="A74" s="1265"/>
      <c r="B74" s="1271">
        <v>2</v>
      </c>
      <c r="C74" s="1266" t="s">
        <v>1402</v>
      </c>
      <c r="D74" s="1265" t="s">
        <v>1676</v>
      </c>
      <c r="E74" s="1270">
        <f t="shared" si="1"/>
        <v>13000</v>
      </c>
      <c r="F74" s="1268">
        <f>B74*E74</f>
        <v>26000</v>
      </c>
      <c r="G74" s="1269"/>
      <c r="H74" s="1268"/>
      <c r="I74" s="1268"/>
      <c r="J74" s="1260"/>
      <c r="K74" s="1260"/>
      <c r="L74" s="1377">
        <f>2*1.5*4</f>
        <v>12</v>
      </c>
      <c r="M74" s="1260" t="s">
        <v>1679</v>
      </c>
      <c r="N74" s="1260" t="s">
        <v>1715</v>
      </c>
      <c r="O74" s="1450">
        <v>40000</v>
      </c>
      <c r="P74" s="1342">
        <f>L74*O74</f>
        <v>480000</v>
      </c>
      <c r="Q74" s="1260"/>
      <c r="R74" s="1260"/>
      <c r="S74" s="1260"/>
      <c r="T74" s="1260"/>
      <c r="U74" s="1260"/>
      <c r="V74" s="1260"/>
      <c r="W74" s="1260"/>
      <c r="X74" s="1260"/>
      <c r="Y74" s="1260"/>
      <c r="Z74" s="1260"/>
      <c r="AA74" s="1260"/>
      <c r="AB74" s="1260"/>
      <c r="AC74" s="1260"/>
      <c r="AD74" s="1260"/>
      <c r="AE74" s="1260"/>
    </row>
    <row r="75" spans="1:31" s="1217" customFormat="1">
      <c r="A75" s="1265"/>
      <c r="B75" s="1271">
        <v>3</v>
      </c>
      <c r="C75" s="1266" t="s">
        <v>1702</v>
      </c>
      <c r="D75" s="1265" t="s">
        <v>1701</v>
      </c>
      <c r="E75" s="1270">
        <f t="shared" si="1"/>
        <v>494000</v>
      </c>
      <c r="F75" s="1268">
        <f>B75*E75*0.125</f>
        <v>185250</v>
      </c>
      <c r="G75" s="1269"/>
      <c r="H75" s="1268"/>
      <c r="I75" s="1268"/>
      <c r="J75" s="1260">
        <f>E75*0.125</f>
        <v>61750</v>
      </c>
      <c r="K75" s="1260"/>
      <c r="L75" s="1377"/>
      <c r="M75" s="1260"/>
      <c r="N75" s="1260"/>
      <c r="O75" s="1450"/>
      <c r="P75" s="1342"/>
      <c r="Q75" s="1260"/>
      <c r="R75" s="1260"/>
      <c r="S75" s="1260"/>
      <c r="T75" s="1260"/>
      <c r="U75" s="1260"/>
      <c r="V75" s="1260"/>
      <c r="W75" s="1260"/>
      <c r="X75" s="1260"/>
      <c r="Y75" s="1260"/>
      <c r="Z75" s="1260"/>
      <c r="AA75" s="1260"/>
      <c r="AB75" s="1260"/>
      <c r="AC75" s="1260"/>
      <c r="AD75" s="1260"/>
      <c r="AE75" s="1260"/>
    </row>
    <row r="76" spans="1:31" s="1217" customFormat="1">
      <c r="A76" s="1265"/>
      <c r="B76" s="1271">
        <v>6</v>
      </c>
      <c r="C76" s="1266" t="s">
        <v>52</v>
      </c>
      <c r="D76" s="1265" t="s">
        <v>1700</v>
      </c>
      <c r="E76" s="1270">
        <f t="shared" si="1"/>
        <v>62000</v>
      </c>
      <c r="F76" s="1268">
        <f>B76*E76*0.05</f>
        <v>18600</v>
      </c>
      <c r="G76" s="1269"/>
      <c r="H76" s="1268"/>
      <c r="I76" s="1268"/>
      <c r="J76" s="1260"/>
      <c r="K76" s="1260"/>
      <c r="L76" s="1377"/>
      <c r="M76" s="1260"/>
      <c r="N76" s="1260"/>
      <c r="O76" s="1450"/>
      <c r="P76" s="1342"/>
      <c r="Q76" s="1260"/>
      <c r="R76" s="1260"/>
      <c r="S76" s="1260"/>
      <c r="T76" s="1260"/>
      <c r="U76" s="1260"/>
      <c r="V76" s="1260"/>
      <c r="W76" s="1260"/>
      <c r="X76" s="1260"/>
      <c r="Y76" s="1260"/>
      <c r="Z76" s="1260"/>
      <c r="AA76" s="1260"/>
      <c r="AB76" s="1260"/>
      <c r="AC76" s="1260"/>
      <c r="AD76" s="1260"/>
      <c r="AE76" s="1260"/>
    </row>
    <row r="77" spans="1:31" s="1217" customFormat="1">
      <c r="A77" s="1265"/>
      <c r="B77" s="1271">
        <v>6</v>
      </c>
      <c r="C77" s="1266" t="s">
        <v>52</v>
      </c>
      <c r="D77" s="1265" t="s">
        <v>1699</v>
      </c>
      <c r="E77" s="1270">
        <f t="shared" si="1"/>
        <v>65000</v>
      </c>
      <c r="F77" s="1268">
        <f>B77*E77*0.05</f>
        <v>19500</v>
      </c>
      <c r="G77" s="1269"/>
      <c r="H77" s="1268"/>
      <c r="I77" s="1268"/>
      <c r="J77" s="1260"/>
      <c r="K77" s="1260"/>
      <c r="L77" s="1377"/>
      <c r="M77" s="1260"/>
      <c r="N77" s="1260"/>
      <c r="O77" s="1450"/>
      <c r="P77" s="1342"/>
      <c r="Q77" s="1260"/>
      <c r="R77" s="1260"/>
      <c r="S77" s="1260"/>
      <c r="T77" s="1260"/>
      <c r="U77" s="1260"/>
      <c r="V77" s="1260"/>
      <c r="W77" s="1260"/>
      <c r="X77" s="1260"/>
      <c r="Y77" s="1260"/>
      <c r="Z77" s="1260"/>
      <c r="AA77" s="1260"/>
      <c r="AB77" s="1260"/>
      <c r="AC77" s="1260"/>
      <c r="AD77" s="1260"/>
      <c r="AE77" s="1260"/>
    </row>
    <row r="78" spans="1:31" s="1217" customFormat="1">
      <c r="A78" s="1265"/>
      <c r="B78" s="1271">
        <f>1.2*1.8</f>
        <v>2.16</v>
      </c>
      <c r="C78" s="1266" t="s">
        <v>1697</v>
      </c>
      <c r="D78" s="1265" t="s">
        <v>1698</v>
      </c>
      <c r="E78" s="1270">
        <f>E47</f>
        <v>30000</v>
      </c>
      <c r="F78" s="1268"/>
      <c r="G78" s="1269">
        <f>B78*E78</f>
        <v>64800.000000000007</v>
      </c>
      <c r="H78" s="1268"/>
      <c r="I78" s="1268"/>
      <c r="J78" s="1260"/>
      <c r="K78" s="1260"/>
      <c r="L78" s="1260">
        <v>4</v>
      </c>
      <c r="M78" s="1260" t="s">
        <v>50</v>
      </c>
      <c r="N78" s="1260" t="s">
        <v>1698</v>
      </c>
      <c r="O78" s="1450">
        <v>20000</v>
      </c>
      <c r="P78" s="1342">
        <f>L78*O78</f>
        <v>80000</v>
      </c>
      <c r="Q78" s="1260"/>
      <c r="R78" s="1260"/>
      <c r="S78" s="1260"/>
      <c r="T78" s="1260"/>
      <c r="U78" s="1260"/>
      <c r="V78" s="1260"/>
      <c r="W78" s="1260"/>
      <c r="X78" s="1260"/>
      <c r="Y78" s="1260"/>
      <c r="Z78" s="1260"/>
      <c r="AA78" s="1260"/>
      <c r="AB78" s="1260"/>
      <c r="AC78" s="1260"/>
      <c r="AD78" s="1260"/>
      <c r="AE78" s="1260"/>
    </row>
    <row r="79" spans="1:31" s="1217" customFormat="1">
      <c r="A79" s="1265"/>
      <c r="B79" s="1271">
        <f>B78</f>
        <v>2.16</v>
      </c>
      <c r="C79" s="1266" t="s">
        <v>1697</v>
      </c>
      <c r="D79" s="1265" t="s">
        <v>1696</v>
      </c>
      <c r="E79" s="1270">
        <f>E48</f>
        <v>15000</v>
      </c>
      <c r="F79" s="1268"/>
      <c r="G79" s="1269">
        <f>B79*E79</f>
        <v>32400.000000000004</v>
      </c>
      <c r="H79" s="1268"/>
      <c r="I79" s="1268"/>
      <c r="J79" s="1260"/>
      <c r="K79" s="1260"/>
      <c r="L79" s="1260">
        <v>1.5</v>
      </c>
      <c r="M79" s="1260" t="s">
        <v>52</v>
      </c>
      <c r="N79" s="1260" t="s">
        <v>1714</v>
      </c>
      <c r="O79" s="1450">
        <v>100000</v>
      </c>
      <c r="P79" s="1342">
        <f>L79*O79</f>
        <v>150000</v>
      </c>
      <c r="Q79" s="1260"/>
      <c r="R79" s="1260"/>
      <c r="S79" s="1260"/>
      <c r="T79" s="1260"/>
      <c r="U79" s="1260"/>
      <c r="V79" s="1260"/>
      <c r="W79" s="1260"/>
      <c r="X79" s="1260"/>
      <c r="Y79" s="1260"/>
      <c r="Z79" s="1260"/>
      <c r="AA79" s="1260"/>
      <c r="AB79" s="1260"/>
      <c r="AC79" s="1260"/>
      <c r="AD79" s="1260"/>
      <c r="AE79" s="1260"/>
    </row>
    <row r="80" spans="1:31" s="1217" customFormat="1">
      <c r="A80" s="1265"/>
      <c r="B80" s="1267"/>
      <c r="C80" s="1266"/>
      <c r="D80" s="1265"/>
      <c r="E80" s="1443" t="s">
        <v>48</v>
      </c>
      <c r="F80" s="1440">
        <f>SUM(F71:F79)</f>
        <v>342926</v>
      </c>
      <c r="G80" s="1441">
        <f>SUM(G78:G79)</f>
        <v>97200.000000000015</v>
      </c>
      <c r="H80" s="1440"/>
      <c r="I80" s="1440">
        <f>G80+F80</f>
        <v>440126</v>
      </c>
      <c r="J80" s="1260"/>
      <c r="K80" s="1260"/>
      <c r="L80" s="1260"/>
      <c r="M80" s="1260"/>
      <c r="N80" s="1260"/>
      <c r="O80" s="1260"/>
      <c r="P80" s="1342">
        <f>SUM(P71:P79)</f>
        <v>1100000</v>
      </c>
      <c r="Q80" s="1260"/>
      <c r="R80" s="1260"/>
      <c r="S80" s="1260"/>
      <c r="T80" s="1260"/>
      <c r="U80" s="1260"/>
      <c r="V80" s="1260"/>
      <c r="W80" s="1260"/>
      <c r="X80" s="1260"/>
      <c r="Y80" s="1260"/>
      <c r="Z80" s="1260"/>
      <c r="AA80" s="1260"/>
      <c r="AB80" s="1260"/>
      <c r="AC80" s="1260"/>
      <c r="AD80" s="1260"/>
      <c r="AE80" s="1260"/>
    </row>
    <row r="81" spans="1:31" s="1217" customFormat="1">
      <c r="A81" s="1447"/>
      <c r="B81" s="1449"/>
      <c r="C81" s="1448"/>
      <c r="D81" s="1447"/>
      <c r="E81" s="1446" t="s">
        <v>1695</v>
      </c>
      <c r="F81" s="1444"/>
      <c r="G81" s="1445"/>
      <c r="H81" s="1444"/>
      <c r="I81" s="1444">
        <v>0</v>
      </c>
      <c r="J81" s="1260"/>
      <c r="K81" s="1260"/>
      <c r="L81" s="1260"/>
      <c r="M81" s="1260"/>
      <c r="N81" s="1260"/>
      <c r="O81" s="1260" t="s">
        <v>1703</v>
      </c>
      <c r="P81" s="1342">
        <f>P80/4</f>
        <v>275000</v>
      </c>
      <c r="Q81" s="1260"/>
      <c r="R81" s="1260"/>
      <c r="S81" s="1260"/>
      <c r="T81" s="1260"/>
      <c r="U81" s="1260"/>
      <c r="V81" s="1260"/>
      <c r="W81" s="1260"/>
      <c r="X81" s="1260"/>
      <c r="Y81" s="1260"/>
      <c r="Z81" s="1260"/>
      <c r="AA81" s="1260"/>
      <c r="AB81" s="1260"/>
      <c r="AC81" s="1260"/>
      <c r="AD81" s="1260"/>
      <c r="AE81" s="1260"/>
    </row>
    <row r="82" spans="1:31" s="1217" customFormat="1">
      <c r="A82" s="1265"/>
      <c r="B82" s="1267"/>
      <c r="C82" s="1266"/>
      <c r="D82" s="1265"/>
      <c r="E82" s="1443" t="s">
        <v>48</v>
      </c>
      <c r="F82" s="1440"/>
      <c r="G82" s="1441"/>
      <c r="H82" s="1440"/>
      <c r="I82" s="1440">
        <f>I80+I81</f>
        <v>440126</v>
      </c>
      <c r="J82" s="1260"/>
      <c r="K82" s="1260"/>
      <c r="L82" s="1260"/>
      <c r="M82" s="1260"/>
      <c r="N82" s="1260"/>
      <c r="O82" s="1260"/>
      <c r="P82" s="1260"/>
      <c r="Q82" s="1260"/>
      <c r="R82" s="1260"/>
      <c r="S82" s="1260"/>
      <c r="T82" s="1260"/>
      <c r="U82" s="1260"/>
      <c r="V82" s="1260"/>
      <c r="W82" s="1260"/>
      <c r="X82" s="1260"/>
      <c r="Y82" s="1260"/>
      <c r="Z82" s="1260"/>
      <c r="AA82" s="1260"/>
      <c r="AB82" s="1260"/>
      <c r="AC82" s="1260"/>
      <c r="AD82" s="1260"/>
      <c r="AE82" s="1260"/>
    </row>
    <row r="83" spans="1:31" s="1217" customFormat="1">
      <c r="A83" s="1265"/>
      <c r="B83" s="1313"/>
      <c r="C83" s="1312"/>
      <c r="D83" s="1311"/>
      <c r="E83" s="1442" t="s">
        <v>1694</v>
      </c>
      <c r="F83" s="1440"/>
      <c r="G83" s="1441"/>
      <c r="H83" s="1440"/>
      <c r="I83" s="1440">
        <f>I82/(1.2*1.8)</f>
        <v>203762.03703703702</v>
      </c>
      <c r="J83" s="1260"/>
      <c r="K83" s="1260"/>
      <c r="L83" s="1260"/>
      <c r="M83" s="1260" t="s">
        <v>1713</v>
      </c>
      <c r="N83" s="1260" t="s">
        <v>1712</v>
      </c>
      <c r="O83" s="1260"/>
      <c r="P83" s="1260"/>
      <c r="Q83" s="1260"/>
      <c r="R83" s="1260"/>
      <c r="S83" s="1260"/>
      <c r="T83" s="1260"/>
      <c r="U83" s="1260"/>
      <c r="V83" s="1260"/>
      <c r="W83" s="1260"/>
      <c r="X83" s="1260"/>
      <c r="Y83" s="1260"/>
      <c r="Z83" s="1260"/>
      <c r="AA83" s="1260"/>
      <c r="AB83" s="1260"/>
      <c r="AC83" s="1260"/>
      <c r="AD83" s="1260"/>
      <c r="AE83" s="1260"/>
    </row>
    <row r="84" spans="1:31">
      <c r="A84" s="1299"/>
      <c r="B84" s="1301"/>
      <c r="C84" s="1399"/>
      <c r="D84" s="1423"/>
      <c r="E84" s="1436"/>
      <c r="F84" s="1434"/>
      <c r="G84" s="1435"/>
      <c r="H84" s="1434"/>
      <c r="I84" s="1434"/>
      <c r="J84" s="1295"/>
      <c r="K84" s="1295"/>
      <c r="L84" s="1295">
        <v>1</v>
      </c>
      <c r="M84" s="1295" t="s">
        <v>1558</v>
      </c>
      <c r="N84" s="1295" t="s">
        <v>1711</v>
      </c>
      <c r="O84" s="1438">
        <f>O72</f>
        <v>40000</v>
      </c>
      <c r="P84" s="1396">
        <f>L84*O84</f>
        <v>40000</v>
      </c>
      <c r="Q84" s="1295"/>
      <c r="R84" s="1295"/>
      <c r="S84" s="1295"/>
      <c r="T84" s="1295"/>
      <c r="U84" s="1295"/>
      <c r="V84" s="1295"/>
      <c r="W84" s="1295"/>
      <c r="X84" s="1295"/>
      <c r="Y84" s="1295"/>
      <c r="Z84" s="1295"/>
      <c r="AA84" s="1295"/>
      <c r="AB84" s="1295"/>
      <c r="AC84" s="1295"/>
      <c r="AD84" s="1295"/>
      <c r="AE84" s="1295"/>
    </row>
    <row r="85" spans="1:31">
      <c r="A85" s="1439">
        <v>2</v>
      </c>
      <c r="B85" s="1303" t="s">
        <v>1710</v>
      </c>
      <c r="C85" s="1300"/>
      <c r="D85" s="1299"/>
      <c r="E85" s="1436"/>
      <c r="F85" s="1434"/>
      <c r="G85" s="1435"/>
      <c r="H85" s="1434"/>
      <c r="I85" s="1434"/>
      <c r="J85" s="1295"/>
      <c r="K85" s="1295"/>
      <c r="L85" s="1295">
        <v>1</v>
      </c>
      <c r="M85" s="1295" t="s">
        <v>1558</v>
      </c>
      <c r="N85" s="1295" t="s">
        <v>1709</v>
      </c>
      <c r="O85" s="1396">
        <v>43500</v>
      </c>
      <c r="P85" s="1396">
        <f>L85*O85</f>
        <v>43500</v>
      </c>
      <c r="Q85" s="1295"/>
      <c r="R85" s="1295"/>
      <c r="S85" s="1295"/>
      <c r="T85" s="1295"/>
      <c r="U85" s="1295"/>
      <c r="V85" s="1295"/>
      <c r="W85" s="1295"/>
      <c r="X85" s="1295"/>
      <c r="Y85" s="1295"/>
      <c r="Z85" s="1295"/>
      <c r="AA85" s="1295"/>
      <c r="AB85" s="1295"/>
      <c r="AC85" s="1295"/>
      <c r="AD85" s="1295"/>
      <c r="AE85" s="1295"/>
    </row>
    <row r="86" spans="1:31">
      <c r="A86" s="1299"/>
      <c r="B86" s="1437">
        <v>1</v>
      </c>
      <c r="C86" s="1300" t="s">
        <v>1558</v>
      </c>
      <c r="D86" s="1299" t="s">
        <v>1708</v>
      </c>
      <c r="E86" s="1436">
        <f t="shared" ref="E86:E92" si="2">E71</f>
        <v>106560</v>
      </c>
      <c r="F86" s="1434">
        <f>B86*E86*0.35</f>
        <v>37296</v>
      </c>
      <c r="G86" s="1435"/>
      <c r="H86" s="1434"/>
      <c r="I86" s="1434"/>
      <c r="J86" s="1295"/>
      <c r="K86" s="1295"/>
      <c r="L86" s="1295">
        <v>0.35</v>
      </c>
      <c r="M86" s="1295" t="s">
        <v>53</v>
      </c>
      <c r="N86" s="1295" t="s">
        <v>1707</v>
      </c>
      <c r="O86" s="1396">
        <f>O73</f>
        <v>15000</v>
      </c>
      <c r="P86" s="1396">
        <f>L86*O86</f>
        <v>5250</v>
      </c>
      <c r="Q86" s="1295"/>
      <c r="R86" s="1295"/>
      <c r="S86" s="1295"/>
      <c r="T86" s="1295"/>
      <c r="U86" s="1295"/>
      <c r="V86" s="1295"/>
      <c r="W86" s="1295"/>
      <c r="X86" s="1295"/>
      <c r="Y86" s="1295"/>
      <c r="Z86" s="1295"/>
      <c r="AA86" s="1295"/>
      <c r="AB86" s="1295"/>
      <c r="AC86" s="1295"/>
      <c r="AD86" s="1295"/>
      <c r="AE86" s="1295"/>
    </row>
    <row r="87" spans="1:31">
      <c r="A87" s="1299"/>
      <c r="B87" s="1437">
        <v>1.5</v>
      </c>
      <c r="C87" s="1300" t="s">
        <v>1558</v>
      </c>
      <c r="D87" s="1299" t="s">
        <v>1706</v>
      </c>
      <c r="E87" s="1436">
        <f t="shared" si="2"/>
        <v>39200.000000000007</v>
      </c>
      <c r="F87" s="1434">
        <f>B87*E87*0.5</f>
        <v>29400.000000000007</v>
      </c>
      <c r="G87" s="1435"/>
      <c r="H87" s="1434"/>
      <c r="I87" s="1434"/>
      <c r="J87" s="1295"/>
      <c r="K87" s="1295"/>
      <c r="L87" s="1295">
        <v>4</v>
      </c>
      <c r="M87" s="1295" t="s">
        <v>50</v>
      </c>
      <c r="N87" s="1295" t="s">
        <v>1705</v>
      </c>
      <c r="O87" s="1438">
        <v>17000</v>
      </c>
      <c r="P87" s="1396">
        <f>L87*O87</f>
        <v>68000</v>
      </c>
      <c r="Q87" s="1295"/>
      <c r="R87" s="1295"/>
      <c r="S87" s="1295"/>
      <c r="T87" s="1295"/>
      <c r="U87" s="1295"/>
      <c r="V87" s="1295"/>
      <c r="W87" s="1295"/>
      <c r="X87" s="1295"/>
      <c r="Y87" s="1295"/>
      <c r="Z87" s="1295"/>
      <c r="AA87" s="1295"/>
      <c r="AB87" s="1295"/>
      <c r="AC87" s="1295"/>
      <c r="AD87" s="1295"/>
      <c r="AE87" s="1295"/>
    </row>
    <row r="88" spans="1:31">
      <c r="A88" s="1299"/>
      <c r="B88" s="1437">
        <v>1</v>
      </c>
      <c r="C88" s="1300" t="s">
        <v>1558</v>
      </c>
      <c r="D88" s="1299" t="s">
        <v>1704</v>
      </c>
      <c r="E88" s="1436">
        <f t="shared" si="2"/>
        <v>26880</v>
      </c>
      <c r="F88" s="1434">
        <f>B88*E88</f>
        <v>26880</v>
      </c>
      <c r="G88" s="1435"/>
      <c r="H88" s="1434"/>
      <c r="I88" s="1434"/>
      <c r="J88" s="1295"/>
      <c r="K88" s="1295"/>
      <c r="L88" s="1295"/>
      <c r="M88" s="1295"/>
      <c r="N88" s="1295"/>
      <c r="O88" s="1295"/>
      <c r="P88" s="1396">
        <f>SUM(P84:P87)</f>
        <v>156750</v>
      </c>
      <c r="Q88" s="1295"/>
      <c r="R88" s="1295"/>
      <c r="S88" s="1295"/>
      <c r="T88" s="1295"/>
      <c r="U88" s="1295"/>
      <c r="V88" s="1295"/>
      <c r="W88" s="1295"/>
      <c r="X88" s="1295"/>
      <c r="Y88" s="1295"/>
      <c r="Z88" s="1295"/>
      <c r="AA88" s="1295"/>
      <c r="AB88" s="1295"/>
      <c r="AC88" s="1295"/>
      <c r="AD88" s="1295"/>
      <c r="AE88" s="1295"/>
    </row>
    <row r="89" spans="1:31">
      <c r="A89" s="1299"/>
      <c r="B89" s="1437">
        <v>2</v>
      </c>
      <c r="C89" s="1300" t="s">
        <v>1402</v>
      </c>
      <c r="D89" s="1299" t="s">
        <v>1676</v>
      </c>
      <c r="E89" s="1436">
        <f t="shared" si="2"/>
        <v>13000</v>
      </c>
      <c r="F89" s="1434">
        <f>B89*E89</f>
        <v>26000</v>
      </c>
      <c r="G89" s="1435"/>
      <c r="H89" s="1434"/>
      <c r="I89" s="1434"/>
      <c r="J89" s="1295"/>
      <c r="K89" s="1295"/>
      <c r="L89" s="1295"/>
      <c r="M89" s="1295"/>
      <c r="N89" s="1295"/>
      <c r="O89" s="1295" t="s">
        <v>1703</v>
      </c>
      <c r="P89" s="1396">
        <f>P88/4</f>
        <v>39187.5</v>
      </c>
      <c r="Q89" s="1295"/>
      <c r="R89" s="1295"/>
      <c r="S89" s="1295"/>
      <c r="T89" s="1295"/>
      <c r="U89" s="1295"/>
      <c r="V89" s="1295"/>
      <c r="W89" s="1295"/>
      <c r="X89" s="1295"/>
      <c r="Y89" s="1295"/>
      <c r="Z89" s="1295"/>
      <c r="AA89" s="1295"/>
      <c r="AB89" s="1295"/>
      <c r="AC89" s="1295"/>
      <c r="AD89" s="1295"/>
      <c r="AE89" s="1295"/>
    </row>
    <row r="90" spans="1:31">
      <c r="A90" s="1299"/>
      <c r="B90" s="1437">
        <v>1.5</v>
      </c>
      <c r="C90" s="1300" t="s">
        <v>1702</v>
      </c>
      <c r="D90" s="1299" t="s">
        <v>1701</v>
      </c>
      <c r="E90" s="1436">
        <f t="shared" si="2"/>
        <v>494000</v>
      </c>
      <c r="F90" s="1434">
        <f>B90*E90*0.125</f>
        <v>92625</v>
      </c>
      <c r="G90" s="1435"/>
      <c r="H90" s="1434"/>
      <c r="I90" s="1434"/>
      <c r="J90" s="1295"/>
      <c r="K90" s="1295"/>
      <c r="L90" s="1295"/>
      <c r="M90" s="1295"/>
      <c r="N90" s="1295"/>
      <c r="O90" s="1295"/>
      <c r="P90" s="1396"/>
      <c r="Q90" s="1295"/>
      <c r="R90" s="1295"/>
      <c r="S90" s="1295"/>
      <c r="T90" s="1295"/>
      <c r="U90" s="1295"/>
      <c r="V90" s="1295"/>
      <c r="W90" s="1295"/>
      <c r="X90" s="1295"/>
      <c r="Y90" s="1295"/>
      <c r="Z90" s="1295"/>
      <c r="AA90" s="1295"/>
      <c r="AB90" s="1295"/>
      <c r="AC90" s="1295"/>
      <c r="AD90" s="1295"/>
      <c r="AE90" s="1295"/>
    </row>
    <row r="91" spans="1:31">
      <c r="A91" s="1299"/>
      <c r="B91" s="1437">
        <v>6</v>
      </c>
      <c r="C91" s="1300" t="s">
        <v>52</v>
      </c>
      <c r="D91" s="1299" t="s">
        <v>1700</v>
      </c>
      <c r="E91" s="1436">
        <f t="shared" si="2"/>
        <v>62000</v>
      </c>
      <c r="F91" s="1434">
        <f>B91*E91*0.05</f>
        <v>18600</v>
      </c>
      <c r="G91" s="1435"/>
      <c r="H91" s="1434"/>
      <c r="I91" s="1434"/>
      <c r="J91" s="1295"/>
      <c r="K91" s="1295"/>
      <c r="L91" s="1295"/>
      <c r="M91" s="1295"/>
      <c r="N91" s="1295"/>
      <c r="O91" s="1295"/>
      <c r="P91" s="1295"/>
      <c r="Q91" s="1295"/>
      <c r="R91" s="1295"/>
      <c r="S91" s="1295"/>
      <c r="T91" s="1295"/>
      <c r="U91" s="1295"/>
      <c r="V91" s="1295"/>
      <c r="W91" s="1295"/>
      <c r="X91" s="1295"/>
      <c r="Y91" s="1295"/>
      <c r="Z91" s="1295"/>
      <c r="AA91" s="1295"/>
      <c r="AB91" s="1295"/>
      <c r="AC91" s="1295"/>
      <c r="AD91" s="1295"/>
      <c r="AE91" s="1295"/>
    </row>
    <row r="92" spans="1:31">
      <c r="A92" s="1299"/>
      <c r="B92" s="1437">
        <v>6</v>
      </c>
      <c r="C92" s="1300" t="s">
        <v>52</v>
      </c>
      <c r="D92" s="1299" t="s">
        <v>1699</v>
      </c>
      <c r="E92" s="1436">
        <f t="shared" si="2"/>
        <v>65000</v>
      </c>
      <c r="F92" s="1434">
        <f>B92*E92*0.05</f>
        <v>19500</v>
      </c>
      <c r="G92" s="1435"/>
      <c r="H92" s="1434"/>
      <c r="I92" s="1434"/>
      <c r="J92" s="1295"/>
      <c r="K92" s="1295"/>
      <c r="L92" s="1295"/>
      <c r="M92" s="1295"/>
      <c r="N92" s="1295"/>
      <c r="O92" s="1295"/>
      <c r="P92" s="1295"/>
      <c r="Q92" s="1295"/>
      <c r="R92" s="1295"/>
      <c r="S92" s="1295"/>
      <c r="T92" s="1295"/>
      <c r="U92" s="1295"/>
      <c r="V92" s="1295"/>
      <c r="W92" s="1295"/>
      <c r="X92" s="1295"/>
      <c r="Y92" s="1295"/>
      <c r="Z92" s="1295"/>
      <c r="AA92" s="1295"/>
      <c r="AB92" s="1295"/>
      <c r="AC92" s="1295"/>
      <c r="AD92" s="1295"/>
      <c r="AE92" s="1295"/>
    </row>
    <row r="93" spans="1:31">
      <c r="A93" s="1299"/>
      <c r="B93" s="1437">
        <f>1.2*1.8</f>
        <v>2.16</v>
      </c>
      <c r="C93" s="1300" t="s">
        <v>1697</v>
      </c>
      <c r="D93" s="1299" t="s">
        <v>1698</v>
      </c>
      <c r="E93" s="1436">
        <f>E62</f>
        <v>25000</v>
      </c>
      <c r="F93" s="1434"/>
      <c r="G93" s="1435">
        <f>B93*E93</f>
        <v>54000</v>
      </c>
      <c r="H93" s="1434"/>
      <c r="I93" s="1434"/>
      <c r="J93" s="1295"/>
      <c r="K93" s="1295"/>
      <c r="L93" s="1295"/>
      <c r="M93" s="1295"/>
      <c r="N93" s="1295"/>
      <c r="O93" s="1295"/>
      <c r="P93" s="1295"/>
      <c r="Q93" s="1295"/>
      <c r="R93" s="1295"/>
      <c r="S93" s="1295"/>
      <c r="T93" s="1295"/>
      <c r="U93" s="1295"/>
      <c r="V93" s="1295"/>
      <c r="W93" s="1295"/>
      <c r="X93" s="1295"/>
      <c r="Y93" s="1295"/>
      <c r="Z93" s="1295"/>
      <c r="AA93" s="1295"/>
      <c r="AB93" s="1295"/>
      <c r="AC93" s="1295"/>
      <c r="AD93" s="1295"/>
      <c r="AE93" s="1295"/>
    </row>
    <row r="94" spans="1:31">
      <c r="A94" s="1299"/>
      <c r="B94" s="1437">
        <f>B93</f>
        <v>2.16</v>
      </c>
      <c r="C94" s="1300" t="s">
        <v>1697</v>
      </c>
      <c r="D94" s="1299" t="s">
        <v>1696</v>
      </c>
      <c r="E94" s="1436">
        <f>E63</f>
        <v>15000</v>
      </c>
      <c r="F94" s="1434"/>
      <c r="G94" s="1435">
        <f>B94*E94</f>
        <v>32400.000000000004</v>
      </c>
      <c r="H94" s="1434"/>
      <c r="I94" s="1434"/>
      <c r="J94" s="1295"/>
      <c r="K94" s="1295"/>
      <c r="L94" s="1295"/>
      <c r="M94" s="1295"/>
      <c r="N94" s="1295"/>
      <c r="O94" s="1295"/>
      <c r="P94" s="1295"/>
      <c r="Q94" s="1295"/>
      <c r="R94" s="1295"/>
      <c r="S94" s="1295"/>
      <c r="T94" s="1295"/>
      <c r="U94" s="1295"/>
      <c r="V94" s="1295"/>
      <c r="W94" s="1295"/>
      <c r="X94" s="1295"/>
      <c r="Y94" s="1295"/>
      <c r="Z94" s="1295"/>
      <c r="AA94" s="1295"/>
      <c r="AB94" s="1295"/>
      <c r="AC94" s="1295"/>
      <c r="AD94" s="1295"/>
      <c r="AE94" s="1295"/>
    </row>
    <row r="95" spans="1:31">
      <c r="A95" s="1299"/>
      <c r="B95" s="1303"/>
      <c r="C95" s="1300"/>
      <c r="D95" s="1299"/>
      <c r="E95" s="1427" t="s">
        <v>48</v>
      </c>
      <c r="F95" s="1424">
        <f>SUM(F86:F94)</f>
        <v>250301</v>
      </c>
      <c r="G95" s="1425">
        <f>SUM(G93:G94)</f>
        <v>86400</v>
      </c>
      <c r="H95" s="1424"/>
      <c r="I95" s="1424">
        <f>G95+F95</f>
        <v>336701</v>
      </c>
      <c r="J95" s="1295"/>
      <c r="K95" s="1295"/>
      <c r="L95" s="1295"/>
      <c r="M95" s="1295"/>
      <c r="N95" s="1295"/>
      <c r="O95" s="1295"/>
      <c r="P95" s="1295"/>
      <c r="Q95" s="1295"/>
      <c r="R95" s="1295"/>
      <c r="S95" s="1295"/>
      <c r="T95" s="1295"/>
      <c r="U95" s="1295"/>
      <c r="V95" s="1295"/>
      <c r="W95" s="1295"/>
      <c r="X95" s="1295"/>
      <c r="Y95" s="1295"/>
      <c r="Z95" s="1295"/>
      <c r="AA95" s="1295"/>
      <c r="AB95" s="1295"/>
      <c r="AC95" s="1295"/>
      <c r="AD95" s="1295"/>
      <c r="AE95" s="1295"/>
    </row>
    <row r="96" spans="1:31">
      <c r="A96" s="1431"/>
      <c r="B96" s="1433"/>
      <c r="C96" s="1432"/>
      <c r="D96" s="1431"/>
      <c r="E96" s="1430" t="s">
        <v>1695</v>
      </c>
      <c r="F96" s="1428"/>
      <c r="G96" s="1429"/>
      <c r="H96" s="1428"/>
      <c r="I96" s="1428">
        <v>0</v>
      </c>
      <c r="J96" s="1295"/>
      <c r="K96" s="1295"/>
      <c r="L96" s="1295"/>
      <c r="M96" s="1295"/>
      <c r="N96" s="1295"/>
      <c r="O96" s="1295"/>
      <c r="P96" s="1295"/>
      <c r="Q96" s="1295"/>
      <c r="R96" s="1295"/>
      <c r="S96" s="1295"/>
      <c r="T96" s="1295"/>
      <c r="U96" s="1295"/>
      <c r="V96" s="1295"/>
      <c r="W96" s="1295"/>
      <c r="X96" s="1295"/>
      <c r="Y96" s="1295"/>
      <c r="Z96" s="1295"/>
      <c r="AA96" s="1295"/>
      <c r="AB96" s="1295"/>
      <c r="AC96" s="1295"/>
      <c r="AD96" s="1295"/>
      <c r="AE96" s="1295"/>
    </row>
    <row r="97" spans="1:31">
      <c r="A97" s="1299"/>
      <c r="B97" s="1303"/>
      <c r="C97" s="1300"/>
      <c r="D97" s="1299"/>
      <c r="E97" s="1427" t="s">
        <v>48</v>
      </c>
      <c r="F97" s="1424"/>
      <c r="G97" s="1425"/>
      <c r="H97" s="1424"/>
      <c r="I97" s="1424">
        <f>I95+I96</f>
        <v>336701</v>
      </c>
      <c r="J97" s="1295"/>
      <c r="K97" s="1295"/>
      <c r="L97" s="1295"/>
      <c r="M97" s="1295"/>
      <c r="N97" s="1295"/>
      <c r="O97" s="1295"/>
      <c r="P97" s="1295"/>
      <c r="Q97" s="1295"/>
      <c r="R97" s="1295"/>
      <c r="S97" s="1295"/>
      <c r="T97" s="1295"/>
      <c r="U97" s="1295"/>
      <c r="V97" s="1295"/>
      <c r="W97" s="1295"/>
      <c r="X97" s="1295"/>
      <c r="Y97" s="1295"/>
      <c r="Z97" s="1295"/>
      <c r="AA97" s="1295"/>
      <c r="AB97" s="1295"/>
      <c r="AC97" s="1295"/>
      <c r="AD97" s="1295"/>
      <c r="AE97" s="1295"/>
    </row>
    <row r="98" spans="1:31">
      <c r="A98" s="1299"/>
      <c r="B98" s="1301"/>
      <c r="C98" s="1399"/>
      <c r="D98" s="1423"/>
      <c r="E98" s="1426" t="s">
        <v>1694</v>
      </c>
      <c r="F98" s="1424"/>
      <c r="G98" s="1425"/>
      <c r="H98" s="1424"/>
      <c r="I98" s="1424">
        <f>I97/(1.2*1.8)</f>
        <v>155880.09259259258</v>
      </c>
      <c r="J98" s="1295"/>
      <c r="K98" s="1295"/>
      <c r="L98" s="1295"/>
      <c r="M98" s="1295"/>
      <c r="N98" s="1295"/>
      <c r="O98" s="1295"/>
      <c r="P98" s="1295"/>
      <c r="Q98" s="1295"/>
      <c r="R98" s="1295"/>
      <c r="S98" s="1295"/>
      <c r="T98" s="1295"/>
      <c r="U98" s="1295"/>
      <c r="V98" s="1295"/>
      <c r="W98" s="1295"/>
      <c r="X98" s="1295"/>
      <c r="Y98" s="1295"/>
      <c r="Z98" s="1295"/>
      <c r="AA98" s="1295"/>
      <c r="AB98" s="1295"/>
      <c r="AC98" s="1295"/>
      <c r="AD98" s="1295"/>
      <c r="AE98" s="1295"/>
    </row>
    <row r="99" spans="1:31">
      <c r="A99" s="1299"/>
      <c r="B99" s="1301"/>
      <c r="C99" s="1399"/>
      <c r="D99" s="1423"/>
      <c r="E99" s="1397"/>
      <c r="F99" s="1296"/>
      <c r="G99" s="1297"/>
      <c r="H99" s="1296"/>
      <c r="I99" s="1296"/>
      <c r="J99" s="1295"/>
      <c r="K99" s="1295"/>
      <c r="L99" s="1295"/>
      <c r="M99" s="1295"/>
      <c r="N99" s="1295"/>
      <c r="O99" s="1295"/>
      <c r="P99" s="1295"/>
      <c r="Q99" s="1295"/>
      <c r="R99" s="1295"/>
      <c r="S99" s="1295"/>
      <c r="T99" s="1295"/>
      <c r="U99" s="1295"/>
      <c r="V99" s="1295"/>
      <c r="W99" s="1295"/>
      <c r="X99" s="1295"/>
      <c r="Y99" s="1295"/>
      <c r="Z99" s="1295"/>
      <c r="AA99" s="1295"/>
      <c r="AB99" s="1295"/>
      <c r="AC99" s="1295"/>
      <c r="AD99" s="1295"/>
      <c r="AE99" s="1295"/>
    </row>
    <row r="100" spans="1:31" s="1323" customFormat="1">
      <c r="A100" s="1328"/>
      <c r="B100" s="1322"/>
      <c r="C100" s="1321"/>
      <c r="D100" s="1320"/>
      <c r="E100" s="1333"/>
      <c r="F100" s="1331"/>
      <c r="G100" s="1336"/>
      <c r="H100" s="1406"/>
      <c r="I100" s="1331"/>
      <c r="J100" s="1324"/>
      <c r="K100" s="1324"/>
      <c r="L100" s="1324"/>
      <c r="M100" s="1324"/>
      <c r="N100" s="1324"/>
      <c r="O100" s="1324"/>
      <c r="P100" s="1324"/>
      <c r="Q100" s="1324"/>
      <c r="R100" s="1324"/>
      <c r="S100" s="1324"/>
      <c r="T100" s="1324"/>
      <c r="U100" s="1324"/>
      <c r="V100" s="1324"/>
      <c r="W100" s="1324"/>
      <c r="X100" s="1324"/>
      <c r="Y100" s="1324"/>
      <c r="Z100" s="1324"/>
      <c r="AA100" s="1324"/>
      <c r="AB100" s="1324"/>
      <c r="AC100" s="1324"/>
      <c r="AD100" s="1324"/>
      <c r="AE100" s="1324"/>
    </row>
    <row r="101" spans="1:31" s="1323" customFormat="1">
      <c r="A101" s="1366"/>
      <c r="B101" s="1334" t="s">
        <v>1693</v>
      </c>
      <c r="C101" s="1329"/>
      <c r="D101" s="1328"/>
      <c r="E101" s="1333"/>
      <c r="F101" s="1331"/>
      <c r="G101" s="1421"/>
      <c r="H101" s="1421"/>
      <c r="I101" s="1331"/>
      <c r="J101" s="1324"/>
      <c r="K101" s="1324"/>
      <c r="L101" s="1324"/>
      <c r="M101" s="1324"/>
      <c r="N101" s="1324"/>
      <c r="O101" s="1324"/>
      <c r="P101" s="1324"/>
      <c r="Q101" s="1324"/>
      <c r="R101" s="1324"/>
      <c r="S101" s="1324"/>
      <c r="T101" s="1324"/>
      <c r="U101" s="1324"/>
      <c r="V101" s="1324"/>
      <c r="W101" s="1324"/>
      <c r="X101" s="1324"/>
      <c r="Y101" s="1324"/>
      <c r="Z101" s="1324"/>
      <c r="AA101" s="1324"/>
      <c r="AB101" s="1324"/>
      <c r="AC101" s="1324"/>
      <c r="AD101" s="1324"/>
      <c r="AE101" s="1324"/>
    </row>
    <row r="102" spans="1:31" s="1323" customFormat="1">
      <c r="A102" s="1328"/>
      <c r="B102" s="1330">
        <v>70</v>
      </c>
      <c r="C102" s="1329" t="s">
        <v>330</v>
      </c>
      <c r="D102" s="1328" t="s">
        <v>1692</v>
      </c>
      <c r="E102" s="1365">
        <f>Material!$G$76</f>
        <v>750</v>
      </c>
      <c r="F102" s="1362">
        <f>B102*E102</f>
        <v>52500</v>
      </c>
      <c r="H102" s="1391"/>
      <c r="I102" s="1362"/>
      <c r="J102" s="1324"/>
      <c r="K102" s="1422"/>
      <c r="L102" s="1324"/>
      <c r="M102" s="1324"/>
      <c r="N102" s="1324"/>
      <c r="O102" s="1324"/>
      <c r="P102" s="1324"/>
      <c r="Q102" s="1324"/>
      <c r="R102" s="1324"/>
      <c r="S102" s="1324"/>
      <c r="T102" s="1324"/>
      <c r="U102" s="1324"/>
      <c r="V102" s="1324"/>
      <c r="W102" s="1324"/>
      <c r="X102" s="1324"/>
      <c r="Y102" s="1324"/>
      <c r="Z102" s="1324"/>
      <c r="AA102" s="1324"/>
      <c r="AB102" s="1324"/>
      <c r="AC102" s="1324"/>
      <c r="AD102" s="1324"/>
      <c r="AE102" s="1324"/>
    </row>
    <row r="103" spans="1:31" s="1323" customFormat="1">
      <c r="A103" s="1328"/>
      <c r="B103" s="1330">
        <f>0.3*1.2</f>
        <v>0.36</v>
      </c>
      <c r="C103" s="1329" t="s">
        <v>1574</v>
      </c>
      <c r="D103" s="1328" t="s">
        <v>1596</v>
      </c>
      <c r="E103" s="1365">
        <f>Material!$G$14</f>
        <v>65000</v>
      </c>
      <c r="F103" s="1362">
        <f>B103*E103</f>
        <v>23400</v>
      </c>
      <c r="H103" s="1391"/>
      <c r="I103" s="1362"/>
      <c r="J103" s="1324"/>
      <c r="K103" s="1422"/>
      <c r="L103" s="1324"/>
      <c r="M103" s="1324"/>
      <c r="N103" s="1324"/>
      <c r="O103" s="1324"/>
      <c r="P103" s="1324"/>
      <c r="Q103" s="1324"/>
      <c r="R103" s="1324"/>
      <c r="S103" s="1324"/>
      <c r="T103" s="1324"/>
      <c r="U103" s="1324"/>
      <c r="V103" s="1324"/>
      <c r="W103" s="1324"/>
      <c r="X103" s="1324"/>
      <c r="Y103" s="1324"/>
      <c r="Z103" s="1324"/>
      <c r="AA103" s="1324"/>
      <c r="AB103" s="1324"/>
      <c r="AC103" s="1324"/>
      <c r="AD103" s="1324"/>
      <c r="AE103" s="1324"/>
    </row>
    <row r="104" spans="1:31" s="1323" customFormat="1">
      <c r="A104" s="1328"/>
      <c r="B104" s="1330">
        <f>0.06*1.2</f>
        <v>7.1999999999999995E-2</v>
      </c>
      <c r="C104" s="1329" t="s">
        <v>51</v>
      </c>
      <c r="D104" s="1328" t="s">
        <v>1691</v>
      </c>
      <c r="E104" s="1365">
        <f>Material!$G$8</f>
        <v>350000</v>
      </c>
      <c r="F104" s="1362">
        <f>B104*E104</f>
        <v>25199.999999999996</v>
      </c>
      <c r="H104" s="1391"/>
      <c r="I104" s="1362"/>
      <c r="J104" s="1324"/>
      <c r="K104" s="1324"/>
      <c r="L104" s="1324"/>
      <c r="M104" s="1324"/>
      <c r="N104" s="1324"/>
      <c r="O104" s="1324"/>
      <c r="P104" s="1324"/>
      <c r="Q104" s="1324"/>
      <c r="R104" s="1324"/>
      <c r="S104" s="1324"/>
      <c r="T104" s="1324"/>
      <c r="U104" s="1324"/>
      <c r="V104" s="1324"/>
      <c r="W104" s="1324"/>
      <c r="X104" s="1324"/>
      <c r="Y104" s="1324"/>
      <c r="Z104" s="1324"/>
      <c r="AA104" s="1324"/>
      <c r="AB104" s="1324"/>
      <c r="AC104" s="1324"/>
      <c r="AD104" s="1324"/>
      <c r="AE104" s="1324"/>
    </row>
    <row r="105" spans="1:31" s="1323" customFormat="1">
      <c r="A105" s="1328"/>
      <c r="B105" s="1330">
        <f>0.25*1.2</f>
        <v>0.3</v>
      </c>
      <c r="C105" s="1329" t="s">
        <v>51</v>
      </c>
      <c r="D105" s="1328" t="s">
        <v>1572</v>
      </c>
      <c r="E105" s="1365">
        <f>Material!$G$21</f>
        <v>40000</v>
      </c>
      <c r="F105" s="1362">
        <f>B105*E105</f>
        <v>12000</v>
      </c>
      <c r="G105" s="1405"/>
      <c r="H105" s="1405"/>
      <c r="I105" s="1362"/>
      <c r="J105" s="1324"/>
      <c r="K105" s="1324"/>
      <c r="L105" s="1324"/>
      <c r="M105" s="1324"/>
      <c r="N105" s="1324"/>
      <c r="O105" s="1324"/>
      <c r="P105" s="1324"/>
      <c r="Q105" s="1324"/>
      <c r="R105" s="1324"/>
      <c r="S105" s="1324"/>
      <c r="T105" s="1324"/>
      <c r="U105" s="1324"/>
      <c r="V105" s="1324"/>
      <c r="W105" s="1324"/>
      <c r="X105" s="1324"/>
      <c r="Y105" s="1324"/>
      <c r="Z105" s="1324"/>
      <c r="AA105" s="1324"/>
      <c r="AB105" s="1324"/>
      <c r="AC105" s="1324"/>
      <c r="AD105" s="1324"/>
      <c r="AE105" s="1324"/>
    </row>
    <row r="106" spans="1:31" s="1323" customFormat="1" ht="13.5" thickBot="1">
      <c r="A106" s="1328"/>
      <c r="B106" s="1330"/>
      <c r="C106" s="1329"/>
      <c r="D106" s="1328"/>
      <c r="E106" s="1365"/>
      <c r="F106" s="1389"/>
      <c r="G106" s="1405"/>
      <c r="H106" s="1405"/>
      <c r="I106" s="1362"/>
      <c r="J106" s="1324"/>
      <c r="K106" s="1324"/>
      <c r="L106" s="1324"/>
      <c r="M106" s="1324"/>
      <c r="N106" s="1324"/>
      <c r="O106" s="1324"/>
      <c r="P106" s="1324"/>
      <c r="Q106" s="1324"/>
      <c r="R106" s="1324"/>
      <c r="S106" s="1324"/>
      <c r="T106" s="1324"/>
      <c r="U106" s="1324"/>
      <c r="V106" s="1324"/>
      <c r="W106" s="1324"/>
      <c r="X106" s="1324"/>
      <c r="Y106" s="1324"/>
      <c r="Z106" s="1324"/>
      <c r="AA106" s="1324"/>
      <c r="AB106" s="1324"/>
      <c r="AC106" s="1324"/>
      <c r="AD106" s="1324"/>
      <c r="AE106" s="1324"/>
    </row>
    <row r="107" spans="1:31" s="1323" customFormat="1" ht="13.5" thickBot="1">
      <c r="A107" s="1328"/>
      <c r="B107" s="1334"/>
      <c r="C107" s="1329"/>
      <c r="D107" s="1328"/>
      <c r="E107" s="1361" t="s">
        <v>48</v>
      </c>
      <c r="F107" s="1360">
        <f>SUM(F101:F106)</f>
        <v>113100</v>
      </c>
      <c r="G107" s="1359">
        <f>SUM(G101:G106)</f>
        <v>0</v>
      </c>
      <c r="H107" s="1359">
        <f>SUM(H101:H106)</f>
        <v>0</v>
      </c>
      <c r="I107" s="1358">
        <f>SUM(F107:H107)</f>
        <v>113100</v>
      </c>
      <c r="J107" s="1324"/>
      <c r="K107" s="1324"/>
      <c r="L107" s="1324"/>
      <c r="M107" s="1324"/>
      <c r="N107" s="1324"/>
      <c r="O107" s="1324"/>
      <c r="P107" s="1324"/>
      <c r="Q107" s="1324"/>
      <c r="R107" s="1324"/>
      <c r="S107" s="1324"/>
      <c r="T107" s="1324"/>
      <c r="U107" s="1324"/>
      <c r="V107" s="1324"/>
      <c r="W107" s="1324"/>
      <c r="X107" s="1324"/>
      <c r="Y107" s="1324"/>
      <c r="Z107" s="1324"/>
      <c r="AA107" s="1324"/>
      <c r="AB107" s="1324"/>
      <c r="AC107" s="1324"/>
      <c r="AD107" s="1324"/>
      <c r="AE107" s="1324"/>
    </row>
    <row r="108" spans="1:31" s="1323" customFormat="1">
      <c r="A108" s="1328"/>
      <c r="B108" s="1322"/>
      <c r="C108" s="1321"/>
      <c r="D108" s="1320"/>
      <c r="E108" s="1333"/>
      <c r="F108" s="1331"/>
      <c r="G108" s="1336"/>
      <c r="H108" s="1406"/>
      <c r="I108" s="1331"/>
      <c r="J108" s="1324"/>
      <c r="K108" s="1324"/>
      <c r="L108" s="1324"/>
      <c r="M108" s="1324"/>
      <c r="N108" s="1324"/>
      <c r="O108" s="1324"/>
      <c r="P108" s="1324"/>
      <c r="Q108" s="1324"/>
      <c r="R108" s="1324"/>
      <c r="S108" s="1324"/>
      <c r="T108" s="1324"/>
      <c r="U108" s="1324"/>
      <c r="V108" s="1324"/>
      <c r="W108" s="1324"/>
      <c r="X108" s="1324"/>
      <c r="Y108" s="1324"/>
      <c r="Z108" s="1324"/>
      <c r="AA108" s="1324"/>
      <c r="AB108" s="1324"/>
      <c r="AC108" s="1324"/>
      <c r="AD108" s="1324"/>
      <c r="AE108" s="1324"/>
    </row>
    <row r="109" spans="1:31" s="1323" customFormat="1">
      <c r="A109" s="1366"/>
      <c r="B109" s="1334" t="s">
        <v>2086</v>
      </c>
      <c r="C109" s="1329"/>
      <c r="D109" s="1328"/>
      <c r="E109" s="1333"/>
      <c r="F109" s="1331"/>
      <c r="G109" s="1421"/>
      <c r="H109" s="1421"/>
      <c r="I109" s="1331"/>
      <c r="J109" s="1324"/>
      <c r="K109" s="1324"/>
      <c r="L109" s="1324"/>
      <c r="M109" s="1324"/>
      <c r="N109" s="1324"/>
      <c r="O109" s="1324"/>
      <c r="P109" s="1324"/>
      <c r="Q109" s="1324"/>
      <c r="R109" s="1324"/>
      <c r="S109" s="1324"/>
      <c r="T109" s="1324"/>
      <c r="U109" s="1324"/>
      <c r="V109" s="1324"/>
      <c r="W109" s="1324"/>
      <c r="X109" s="1324"/>
      <c r="Y109" s="1324"/>
      <c r="Z109" s="1324"/>
      <c r="AA109" s="1324"/>
      <c r="AB109" s="1324"/>
      <c r="AC109" s="1324"/>
      <c r="AD109" s="1324"/>
      <c r="AE109" s="1324"/>
    </row>
    <row r="110" spans="1:31" s="1323" customFormat="1">
      <c r="A110" s="1328"/>
      <c r="B110" s="1330">
        <f>14</f>
        <v>14</v>
      </c>
      <c r="C110" s="1329" t="s">
        <v>330</v>
      </c>
      <c r="D110" s="1328" t="s">
        <v>2087</v>
      </c>
      <c r="E110" s="1365">
        <f>Material!$G$20</f>
        <v>4500</v>
      </c>
      <c r="F110" s="1362">
        <f>B110*E110</f>
        <v>63000</v>
      </c>
      <c r="H110" s="1391"/>
      <c r="I110" s="1362"/>
      <c r="J110" s="1324"/>
      <c r="K110" s="1422"/>
      <c r="L110" s="1324"/>
      <c r="M110" s="1324"/>
      <c r="N110" s="1324"/>
      <c r="O110" s="1324"/>
      <c r="P110" s="1324"/>
      <c r="Q110" s="1324"/>
      <c r="R110" s="1324"/>
      <c r="S110" s="1324"/>
      <c r="T110" s="1324"/>
      <c r="U110" s="1324"/>
      <c r="V110" s="1324"/>
      <c r="W110" s="1324"/>
      <c r="X110" s="1324"/>
      <c r="Y110" s="1324"/>
      <c r="Z110" s="1324"/>
      <c r="AA110" s="1324"/>
      <c r="AB110" s="1324"/>
      <c r="AC110" s="1324"/>
      <c r="AD110" s="1324"/>
      <c r="AE110" s="1324"/>
    </row>
    <row r="111" spans="1:31" s="1323" customFormat="1">
      <c r="A111" s="1328"/>
      <c r="B111" s="1330">
        <f>6.046*(1*0.1*0.015*6+1*0.1*0.015*3)*1.1</f>
        <v>8.9783100000000018E-2</v>
      </c>
      <c r="C111" s="1329" t="s">
        <v>1574</v>
      </c>
      <c r="D111" s="1328" t="s">
        <v>1596</v>
      </c>
      <c r="E111" s="1365">
        <f>Material!$G$14</f>
        <v>65000</v>
      </c>
      <c r="F111" s="1362">
        <f>B111*E111</f>
        <v>5835.9015000000009</v>
      </c>
      <c r="H111" s="1391"/>
      <c r="I111" s="1362"/>
      <c r="J111" s="1324"/>
      <c r="K111" s="1422"/>
      <c r="L111" s="1324"/>
      <c r="M111" s="1324"/>
      <c r="N111" s="1324"/>
      <c r="O111" s="1324"/>
      <c r="P111" s="1324"/>
      <c r="Q111" s="1324"/>
      <c r="R111" s="1324"/>
      <c r="S111" s="1324"/>
      <c r="T111" s="1324"/>
      <c r="U111" s="1324"/>
      <c r="V111" s="1324"/>
      <c r="W111" s="1324"/>
      <c r="X111" s="1324"/>
      <c r="Y111" s="1324"/>
      <c r="Z111" s="1324"/>
      <c r="AA111" s="1324"/>
      <c r="AB111" s="1324"/>
      <c r="AC111" s="1324"/>
      <c r="AD111" s="1324"/>
      <c r="AE111" s="1324"/>
    </row>
    <row r="112" spans="1:31" s="1323" customFormat="1">
      <c r="A112" s="1328"/>
      <c r="B112" s="1330">
        <f>1.209*(1*0.1*0.015*6+1*0.1*0.015*3)*1.1</f>
        <v>1.7953650000000005E-2</v>
      </c>
      <c r="C112" s="1329" t="s">
        <v>51</v>
      </c>
      <c r="D112" s="1328" t="s">
        <v>1691</v>
      </c>
      <c r="E112" s="1365">
        <f>Material!$G$8</f>
        <v>350000</v>
      </c>
      <c r="F112" s="1362">
        <f>B112*E112</f>
        <v>6283.777500000002</v>
      </c>
      <c r="H112" s="1391"/>
      <c r="I112" s="1362"/>
      <c r="J112" s="1324"/>
      <c r="K112" s="1324"/>
      <c r="L112" s="1324"/>
      <c r="M112" s="1324"/>
      <c r="N112" s="1324"/>
      <c r="O112" s="1324"/>
      <c r="P112" s="1324"/>
      <c r="Q112" s="1324"/>
      <c r="R112" s="1324"/>
      <c r="S112" s="1324"/>
      <c r="T112" s="1324"/>
      <c r="U112" s="1324"/>
      <c r="V112" s="1324"/>
      <c r="W112" s="1324"/>
      <c r="X112" s="1324"/>
      <c r="Y112" s="1324"/>
      <c r="Z112" s="1324"/>
      <c r="AA112" s="1324"/>
      <c r="AB112" s="1324"/>
      <c r="AC112" s="1324"/>
      <c r="AD112" s="1324"/>
      <c r="AE112" s="1324"/>
    </row>
    <row r="113" spans="1:31" s="1323" customFormat="1">
      <c r="A113" s="1328"/>
      <c r="B113" s="1330">
        <f>0.25*1.2</f>
        <v>0.3</v>
      </c>
      <c r="C113" s="1329" t="s">
        <v>51</v>
      </c>
      <c r="D113" s="1328" t="s">
        <v>1572</v>
      </c>
      <c r="E113" s="1365">
        <f>Material!$G$21</f>
        <v>40000</v>
      </c>
      <c r="F113" s="1362">
        <f>B113*E113</f>
        <v>12000</v>
      </c>
      <c r="G113" s="1405"/>
      <c r="H113" s="1405"/>
      <c r="I113" s="1362"/>
      <c r="J113" s="1324"/>
      <c r="K113" s="1324"/>
      <c r="L113" s="1324"/>
      <c r="M113" s="1324"/>
      <c r="N113" s="1324"/>
      <c r="O113" s="1324"/>
      <c r="P113" s="1324"/>
      <c r="Q113" s="1324"/>
      <c r="R113" s="1324"/>
      <c r="S113" s="1324"/>
      <c r="T113" s="1324"/>
      <c r="U113" s="1324"/>
      <c r="V113" s="1324"/>
      <c r="W113" s="1324"/>
      <c r="X113" s="1324"/>
      <c r="Y113" s="1324"/>
      <c r="Z113" s="1324"/>
      <c r="AA113" s="1324"/>
      <c r="AB113" s="1324"/>
      <c r="AC113" s="1324"/>
      <c r="AD113" s="1324"/>
      <c r="AE113" s="1324"/>
    </row>
    <row r="114" spans="1:31" s="1323" customFormat="1" ht="13.5" thickBot="1">
      <c r="A114" s="1328"/>
      <c r="B114" s="1330"/>
      <c r="C114" s="1329"/>
      <c r="D114" s="1328"/>
      <c r="E114" s="1365"/>
      <c r="F114" s="1389"/>
      <c r="G114" s="1405"/>
      <c r="H114" s="1405"/>
      <c r="I114" s="1362"/>
      <c r="J114" s="1324"/>
      <c r="K114" s="1324"/>
      <c r="L114" s="1324"/>
      <c r="M114" s="1324"/>
      <c r="N114" s="1324"/>
      <c r="O114" s="1324"/>
      <c r="P114" s="1324"/>
      <c r="Q114" s="1324"/>
      <c r="R114" s="1324"/>
      <c r="S114" s="1324"/>
      <c r="T114" s="1324"/>
      <c r="U114" s="1324"/>
      <c r="V114" s="1324"/>
      <c r="W114" s="1324"/>
      <c r="X114" s="1324"/>
      <c r="Y114" s="1324"/>
      <c r="Z114" s="1324"/>
      <c r="AA114" s="1324"/>
      <c r="AB114" s="1324"/>
      <c r="AC114" s="1324"/>
      <c r="AD114" s="1324"/>
      <c r="AE114" s="1324"/>
    </row>
    <row r="115" spans="1:31" s="1323" customFormat="1" ht="13.5" thickBot="1">
      <c r="A115" s="1328"/>
      <c r="B115" s="1334"/>
      <c r="C115" s="1329"/>
      <c r="D115" s="1328"/>
      <c r="E115" s="1361" t="s">
        <v>48</v>
      </c>
      <c r="F115" s="1360">
        <f>SUM(F109:F114)</f>
        <v>87119.679000000004</v>
      </c>
      <c r="G115" s="1359">
        <f>SUM(G109:G114)</f>
        <v>0</v>
      </c>
      <c r="H115" s="1359">
        <f>SUM(H109:H114)</f>
        <v>0</v>
      </c>
      <c r="I115" s="1358">
        <f>SUM(F115:H115)</f>
        <v>87119.679000000004</v>
      </c>
      <c r="J115" s="1324"/>
      <c r="K115" s="1324"/>
      <c r="L115" s="1324"/>
      <c r="M115" s="1324"/>
      <c r="N115" s="1324"/>
      <c r="O115" s="1324"/>
      <c r="P115" s="1324"/>
      <c r="Q115" s="1324"/>
      <c r="R115" s="1324"/>
      <c r="S115" s="1324"/>
      <c r="T115" s="1324"/>
      <c r="U115" s="1324"/>
      <c r="V115" s="1324"/>
      <c r="W115" s="1324"/>
      <c r="X115" s="1324"/>
      <c r="Y115" s="1324"/>
      <c r="Z115" s="1324"/>
      <c r="AA115" s="1324"/>
      <c r="AB115" s="1324"/>
      <c r="AC115" s="1324"/>
      <c r="AD115" s="1324"/>
      <c r="AE115" s="1324"/>
    </row>
    <row r="116" spans="1:31" s="1323" customFormat="1">
      <c r="A116" s="1328"/>
      <c r="B116" s="1322"/>
      <c r="C116" s="1321"/>
      <c r="D116" s="1320"/>
      <c r="E116" s="1333"/>
      <c r="F116" s="1331"/>
      <c r="G116" s="1336"/>
      <c r="H116" s="1406"/>
      <c r="I116" s="1331"/>
      <c r="J116" s="1324"/>
      <c r="K116" s="1324"/>
      <c r="L116" s="1324"/>
      <c r="M116" s="1324"/>
      <c r="N116" s="1324"/>
      <c r="O116" s="1324"/>
      <c r="P116" s="1324"/>
      <c r="Q116" s="1324"/>
      <c r="R116" s="1324"/>
      <c r="S116" s="1324"/>
      <c r="T116" s="1324"/>
      <c r="U116" s="1324"/>
      <c r="V116" s="1324"/>
      <c r="W116" s="1324"/>
      <c r="X116" s="1324"/>
      <c r="Y116" s="1324"/>
      <c r="Z116" s="1324"/>
      <c r="AA116" s="1324"/>
      <c r="AB116" s="1324"/>
      <c r="AC116" s="1324"/>
      <c r="AD116" s="1324"/>
      <c r="AE116" s="1324"/>
    </row>
    <row r="117" spans="1:31" s="1323" customFormat="1">
      <c r="A117" s="1366"/>
      <c r="B117" s="1334" t="s">
        <v>2085</v>
      </c>
      <c r="C117" s="1329"/>
      <c r="D117" s="1328"/>
      <c r="E117" s="1333"/>
      <c r="F117" s="1331"/>
      <c r="G117" s="1421"/>
      <c r="H117" s="1421"/>
      <c r="I117" s="1331"/>
      <c r="J117" s="1324"/>
      <c r="K117" s="1324"/>
      <c r="L117" s="1324"/>
      <c r="M117" s="1324"/>
      <c r="N117" s="1324"/>
      <c r="O117" s="1324"/>
      <c r="P117" s="1324"/>
      <c r="Q117" s="1324"/>
      <c r="R117" s="1324"/>
      <c r="S117" s="1324"/>
      <c r="T117" s="1324"/>
      <c r="U117" s="1324"/>
      <c r="V117" s="1324"/>
      <c r="W117" s="1324"/>
      <c r="X117" s="1324"/>
      <c r="Y117" s="1324"/>
      <c r="Z117" s="1324"/>
      <c r="AA117" s="1324"/>
      <c r="AB117" s="1324"/>
      <c r="AC117" s="1324"/>
      <c r="AD117" s="1324"/>
      <c r="AE117" s="1324"/>
    </row>
    <row r="118" spans="1:31" s="1323" customFormat="1">
      <c r="A118" s="1328"/>
      <c r="B118" s="1330">
        <v>26</v>
      </c>
      <c r="C118" s="1329" t="s">
        <v>330</v>
      </c>
      <c r="D118" s="1328" t="s">
        <v>2087</v>
      </c>
      <c r="E118" s="1365">
        <f>Material!$G$20</f>
        <v>4500</v>
      </c>
      <c r="F118" s="1362">
        <f>B118*E118</f>
        <v>117000</v>
      </c>
      <c r="H118" s="1391"/>
      <c r="I118" s="1362"/>
      <c r="J118" s="1324"/>
      <c r="K118" s="1422"/>
      <c r="L118" s="1324"/>
      <c r="M118" s="1324"/>
      <c r="N118" s="1324"/>
      <c r="O118" s="1324"/>
      <c r="P118" s="1324"/>
      <c r="Q118" s="1324"/>
      <c r="R118" s="1324"/>
      <c r="S118" s="1324"/>
      <c r="T118" s="1324"/>
      <c r="U118" s="1324"/>
      <c r="V118" s="1324"/>
      <c r="W118" s="1324"/>
      <c r="X118" s="1324"/>
      <c r="Y118" s="1324"/>
      <c r="Z118" s="1324"/>
      <c r="AA118" s="1324"/>
      <c r="AB118" s="1324"/>
      <c r="AC118" s="1324"/>
      <c r="AD118" s="1324"/>
      <c r="AE118" s="1324"/>
    </row>
    <row r="119" spans="1:31" s="1323" customFormat="1">
      <c r="A119" s="1328"/>
      <c r="B119" s="1330">
        <f>6.046*(1*0.2*0.015*11+1*0.2*0.015*3)*1.1</f>
        <v>0.27932520000000005</v>
      </c>
      <c r="C119" s="1329" t="s">
        <v>1574</v>
      </c>
      <c r="D119" s="1328" t="s">
        <v>1596</v>
      </c>
      <c r="E119" s="1365">
        <f>Material!$G$14</f>
        <v>65000</v>
      </c>
      <c r="F119" s="1362">
        <f>B119*E119</f>
        <v>18156.138000000003</v>
      </c>
      <c r="H119" s="1391"/>
      <c r="I119" s="1362"/>
      <c r="J119" s="1324"/>
      <c r="K119" s="1422"/>
      <c r="L119" s="1324"/>
      <c r="M119" s="1324"/>
      <c r="N119" s="1324"/>
      <c r="O119" s="1324"/>
      <c r="P119" s="1324"/>
      <c r="Q119" s="1324"/>
      <c r="R119" s="1324"/>
      <c r="S119" s="1324"/>
      <c r="T119" s="1324"/>
      <c r="U119" s="1324"/>
      <c r="V119" s="1324"/>
      <c r="W119" s="1324"/>
      <c r="X119" s="1324"/>
      <c r="Y119" s="1324"/>
      <c r="Z119" s="1324"/>
      <c r="AA119" s="1324"/>
      <c r="AB119" s="1324"/>
      <c r="AC119" s="1324"/>
      <c r="AD119" s="1324"/>
      <c r="AE119" s="1324"/>
    </row>
    <row r="120" spans="1:31" s="1323" customFormat="1">
      <c r="A120" s="1328"/>
      <c r="B120" s="1330">
        <f>1.209*(1*0.2*0.015*11+1*0.2*0.015*3)*1.1</f>
        <v>5.5855800000000011E-2</v>
      </c>
      <c r="C120" s="1329" t="s">
        <v>51</v>
      </c>
      <c r="D120" s="1328" t="s">
        <v>1691</v>
      </c>
      <c r="E120" s="1365">
        <f>Material!$G$8</f>
        <v>350000</v>
      </c>
      <c r="F120" s="1362">
        <f>B120*E120</f>
        <v>19549.530000000002</v>
      </c>
      <c r="H120" s="1391"/>
      <c r="I120" s="1362"/>
      <c r="J120" s="1324"/>
      <c r="K120" s="1324"/>
      <c r="L120" s="1324"/>
      <c r="M120" s="1324"/>
      <c r="N120" s="1324"/>
      <c r="O120" s="1324"/>
      <c r="P120" s="1324"/>
      <c r="Q120" s="1324"/>
      <c r="R120" s="1324"/>
      <c r="S120" s="1324"/>
      <c r="T120" s="1324"/>
      <c r="U120" s="1324"/>
      <c r="V120" s="1324"/>
      <c r="W120" s="1324"/>
      <c r="X120" s="1324"/>
      <c r="Y120" s="1324"/>
      <c r="Z120" s="1324"/>
      <c r="AA120" s="1324"/>
      <c r="AB120" s="1324"/>
      <c r="AC120" s="1324"/>
      <c r="AD120" s="1324"/>
      <c r="AE120" s="1324"/>
    </row>
    <row r="121" spans="1:31" s="1323" customFormat="1">
      <c r="A121" s="1328"/>
      <c r="B121" s="1330">
        <f>0.25*1.2</f>
        <v>0.3</v>
      </c>
      <c r="C121" s="1329" t="s">
        <v>51</v>
      </c>
      <c r="D121" s="1328" t="s">
        <v>1572</v>
      </c>
      <c r="E121" s="1365">
        <f>Material!$G$21</f>
        <v>40000</v>
      </c>
      <c r="F121" s="1362">
        <f>B121*E121</f>
        <v>12000</v>
      </c>
      <c r="G121" s="1405"/>
      <c r="H121" s="1405"/>
      <c r="I121" s="1362"/>
      <c r="J121" s="1324"/>
      <c r="K121" s="1324"/>
      <c r="L121" s="1324"/>
      <c r="M121" s="1324"/>
      <c r="N121" s="1324"/>
      <c r="O121" s="1324"/>
      <c r="P121" s="1324"/>
      <c r="Q121" s="1324"/>
      <c r="R121" s="1324"/>
      <c r="S121" s="1324"/>
      <c r="T121" s="1324"/>
      <c r="U121" s="1324"/>
      <c r="V121" s="1324"/>
      <c r="W121" s="1324"/>
      <c r="X121" s="1324"/>
      <c r="Y121" s="1324"/>
      <c r="Z121" s="1324"/>
      <c r="AA121" s="1324"/>
      <c r="AB121" s="1324"/>
      <c r="AC121" s="1324"/>
      <c r="AD121" s="1324"/>
      <c r="AE121" s="1324"/>
    </row>
    <row r="122" spans="1:31" s="1323" customFormat="1" ht="13.5" thickBot="1">
      <c r="A122" s="1328"/>
      <c r="B122" s="1330"/>
      <c r="C122" s="1329"/>
      <c r="D122" s="1328"/>
      <c r="E122" s="1365"/>
      <c r="F122" s="1389"/>
      <c r="G122" s="1405"/>
      <c r="H122" s="1405"/>
      <c r="I122" s="1362"/>
      <c r="J122" s="1324"/>
      <c r="K122" s="1324"/>
      <c r="L122" s="1324"/>
      <c r="M122" s="1324"/>
      <c r="N122" s="1324"/>
      <c r="O122" s="1324"/>
      <c r="P122" s="1324"/>
      <c r="Q122" s="1324"/>
      <c r="R122" s="1324"/>
      <c r="S122" s="1324"/>
      <c r="T122" s="1324"/>
      <c r="U122" s="1324"/>
      <c r="V122" s="1324"/>
      <c r="W122" s="1324"/>
      <c r="X122" s="1324"/>
      <c r="Y122" s="1324"/>
      <c r="Z122" s="1324"/>
      <c r="AA122" s="1324"/>
      <c r="AB122" s="1324"/>
      <c r="AC122" s="1324"/>
      <c r="AD122" s="1324"/>
      <c r="AE122" s="1324"/>
    </row>
    <row r="123" spans="1:31" s="1323" customFormat="1" ht="13.5" thickBot="1">
      <c r="A123" s="1328"/>
      <c r="B123" s="1334"/>
      <c r="C123" s="1329"/>
      <c r="D123" s="1328"/>
      <c r="E123" s="1361" t="s">
        <v>48</v>
      </c>
      <c r="F123" s="1360">
        <f>SUM(F117:F122)</f>
        <v>166705.66800000001</v>
      </c>
      <c r="G123" s="1359">
        <f>SUM(G117:G122)</f>
        <v>0</v>
      </c>
      <c r="H123" s="1359">
        <f>SUM(H117:H122)</f>
        <v>0</v>
      </c>
      <c r="I123" s="1358">
        <f>SUM(F123:H123)</f>
        <v>166705.66800000001</v>
      </c>
      <c r="J123" s="1324"/>
      <c r="K123" s="1324"/>
      <c r="L123" s="1324"/>
      <c r="M123" s="1324"/>
      <c r="N123" s="1324"/>
      <c r="O123" s="1324"/>
      <c r="P123" s="1324"/>
      <c r="Q123" s="1324"/>
      <c r="R123" s="1324"/>
      <c r="S123" s="1324"/>
      <c r="T123" s="1324"/>
      <c r="U123" s="1324"/>
      <c r="V123" s="1324"/>
      <c r="W123" s="1324"/>
      <c r="X123" s="1324"/>
      <c r="Y123" s="1324"/>
      <c r="Z123" s="1324"/>
      <c r="AA123" s="1324"/>
      <c r="AB123" s="1324"/>
      <c r="AC123" s="1324"/>
      <c r="AD123" s="1324"/>
      <c r="AE123" s="1324"/>
    </row>
    <row r="124" spans="1:31" s="1323" customFormat="1">
      <c r="A124" s="1335"/>
      <c r="B124" s="1324" t="s">
        <v>1690</v>
      </c>
      <c r="C124" s="1324"/>
      <c r="D124" s="1324" t="s">
        <v>1689</v>
      </c>
      <c r="E124" s="1333"/>
      <c r="F124" s="1331"/>
      <c r="G124" s="1332"/>
      <c r="H124" s="1421"/>
      <c r="I124" s="1331"/>
      <c r="J124" s="1324"/>
      <c r="K124" s="1324"/>
      <c r="L124" s="1324"/>
      <c r="M124" s="1324"/>
      <c r="N124" s="1324"/>
      <c r="O124" s="1324"/>
      <c r="P124" s="1324"/>
      <c r="Q124" s="1324"/>
      <c r="R124" s="1324"/>
      <c r="S124" s="1324"/>
      <c r="T124" s="1324"/>
      <c r="U124" s="1324"/>
      <c r="V124" s="1324"/>
      <c r="W124" s="1324"/>
      <c r="X124" s="1324"/>
      <c r="Y124" s="1324"/>
      <c r="Z124" s="1324"/>
      <c r="AA124" s="1324"/>
      <c r="AB124" s="1324"/>
      <c r="AC124" s="1324"/>
      <c r="AD124" s="1324"/>
      <c r="AE124" s="1324"/>
    </row>
    <row r="125" spans="1:31" s="1323" customFormat="1">
      <c r="A125" s="1328"/>
      <c r="B125" s="1390">
        <v>2</v>
      </c>
      <c r="C125" s="1324" t="s">
        <v>1679</v>
      </c>
      <c r="D125" s="1324" t="s">
        <v>1678</v>
      </c>
      <c r="E125" s="1365">
        <f>Material!$G$65</f>
        <v>200000</v>
      </c>
      <c r="F125" s="1337">
        <f>B125*E125*1</f>
        <v>400000</v>
      </c>
      <c r="H125" s="1391"/>
      <c r="I125" s="1331"/>
      <c r="J125" s="1324"/>
      <c r="K125" s="1324"/>
      <c r="L125" s="1324"/>
      <c r="M125" s="1324"/>
      <c r="N125" s="1324"/>
      <c r="O125" s="1324"/>
      <c r="P125" s="1324"/>
      <c r="Q125" s="1324"/>
      <c r="R125" s="1324"/>
      <c r="S125" s="1324"/>
      <c r="T125" s="1324"/>
      <c r="U125" s="1324"/>
      <c r="V125" s="1324"/>
      <c r="W125" s="1324"/>
      <c r="X125" s="1324"/>
      <c r="Y125" s="1324"/>
      <c r="Z125" s="1324"/>
      <c r="AA125" s="1324"/>
      <c r="AB125" s="1324"/>
      <c r="AC125" s="1324"/>
      <c r="AD125" s="1324"/>
      <c r="AE125" s="1324"/>
    </row>
    <row r="126" spans="1:31" s="1323" customFormat="1">
      <c r="A126" s="1328"/>
      <c r="B126" s="1390">
        <v>10</v>
      </c>
      <c r="C126" s="1324" t="s">
        <v>1558</v>
      </c>
      <c r="D126" s="1324" t="s">
        <v>1677</v>
      </c>
      <c r="E126" s="1337">
        <f>Material!$G$53</f>
        <v>58800</v>
      </c>
      <c r="F126" s="1337">
        <f>B126*E126</f>
        <v>588000</v>
      </c>
      <c r="H126" s="1391"/>
      <c r="I126" s="1331"/>
      <c r="J126" s="1324"/>
      <c r="K126" s="1324"/>
      <c r="L126" s="1324"/>
      <c r="M126" s="1324"/>
      <c r="N126" s="1324"/>
      <c r="O126" s="1324"/>
      <c r="P126" s="1324"/>
      <c r="Q126" s="1324"/>
      <c r="R126" s="1324"/>
      <c r="S126" s="1324"/>
      <c r="T126" s="1324"/>
      <c r="U126" s="1324"/>
      <c r="V126" s="1324"/>
      <c r="W126" s="1324"/>
      <c r="X126" s="1324"/>
      <c r="Y126" s="1324"/>
      <c r="Z126" s="1324"/>
      <c r="AA126" s="1324"/>
      <c r="AB126" s="1324"/>
      <c r="AC126" s="1324"/>
      <c r="AD126" s="1324"/>
      <c r="AE126" s="1324"/>
    </row>
    <row r="127" spans="1:31" s="1323" customFormat="1">
      <c r="A127" s="1328"/>
      <c r="B127" s="1390">
        <v>2</v>
      </c>
      <c r="C127" s="1324" t="s">
        <v>1558</v>
      </c>
      <c r="D127" s="1324" t="s">
        <v>1677</v>
      </c>
      <c r="E127" s="1337">
        <f>Material!$G$53</f>
        <v>58800</v>
      </c>
      <c r="F127" s="1337">
        <f>B127*E127</f>
        <v>117600</v>
      </c>
      <c r="H127" s="1391"/>
      <c r="I127" s="1331"/>
      <c r="J127" s="1324"/>
      <c r="K127" s="1324"/>
      <c r="L127" s="1324"/>
      <c r="M127" s="1324"/>
      <c r="N127" s="1324"/>
      <c r="O127" s="1324"/>
      <c r="P127" s="1324"/>
      <c r="Q127" s="1324"/>
      <c r="R127" s="1324"/>
      <c r="S127" s="1324"/>
      <c r="T127" s="1324"/>
      <c r="U127" s="1324"/>
      <c r="V127" s="1324"/>
      <c r="W127" s="1324"/>
      <c r="X127" s="1324"/>
      <c r="Y127" s="1324"/>
      <c r="Z127" s="1324"/>
      <c r="AA127" s="1324"/>
      <c r="AB127" s="1324"/>
      <c r="AC127" s="1324"/>
      <c r="AD127" s="1324"/>
      <c r="AE127" s="1324"/>
    </row>
    <row r="128" spans="1:31" s="1323" customFormat="1">
      <c r="A128" s="1328"/>
      <c r="B128" s="1390">
        <v>2</v>
      </c>
      <c r="C128" s="1324" t="s">
        <v>53</v>
      </c>
      <c r="D128" s="1324" t="s">
        <v>1676</v>
      </c>
      <c r="E128" s="1337">
        <f>Material!$G$74</f>
        <v>13000</v>
      </c>
      <c r="F128" s="1337">
        <f>B128*E128</f>
        <v>26000</v>
      </c>
      <c r="H128" s="1391"/>
      <c r="I128" s="1331"/>
      <c r="J128" s="1324"/>
      <c r="K128" s="1324"/>
      <c r="L128" s="1324"/>
      <c r="M128" s="1324"/>
      <c r="N128" s="1324"/>
      <c r="O128" s="1324"/>
      <c r="P128" s="1324"/>
      <c r="Q128" s="1324"/>
      <c r="R128" s="1324"/>
      <c r="S128" s="1324"/>
      <c r="T128" s="1324"/>
      <c r="U128" s="1324"/>
      <c r="V128" s="1324"/>
      <c r="W128" s="1324"/>
      <c r="X128" s="1324"/>
      <c r="Y128" s="1324"/>
      <c r="Z128" s="1324"/>
      <c r="AA128" s="1324"/>
      <c r="AB128" s="1324"/>
      <c r="AC128" s="1324"/>
      <c r="AD128" s="1324"/>
      <c r="AE128" s="1324"/>
    </row>
    <row r="129" spans="1:31" s="1323" customFormat="1">
      <c r="A129" s="1328"/>
      <c r="B129" s="1390">
        <f>0.5*((0.17+0.4)*2*4)</f>
        <v>2.2800000000000002</v>
      </c>
      <c r="C129" s="1324" t="s">
        <v>1644</v>
      </c>
      <c r="D129" s="1324" t="s">
        <v>1675</v>
      </c>
      <c r="E129" s="1337">
        <f>Material!$G$31</f>
        <v>27500</v>
      </c>
      <c r="F129" s="1337">
        <f>B129*E129</f>
        <v>62700.000000000007</v>
      </c>
      <c r="H129" s="1391"/>
      <c r="I129" s="1331"/>
      <c r="J129" s="1324"/>
      <c r="K129" s="1324"/>
      <c r="L129" s="1324"/>
      <c r="M129" s="1324"/>
      <c r="N129" s="1324"/>
      <c r="O129" s="1324"/>
      <c r="P129" s="1324"/>
      <c r="Q129" s="1324"/>
      <c r="R129" s="1324"/>
      <c r="S129" s="1324"/>
      <c r="T129" s="1324"/>
      <c r="U129" s="1324"/>
      <c r="V129" s="1324"/>
      <c r="W129" s="1324"/>
      <c r="X129" s="1324"/>
      <c r="Y129" s="1324"/>
      <c r="Z129" s="1324"/>
      <c r="AA129" s="1324"/>
      <c r="AB129" s="1324"/>
      <c r="AC129" s="1324"/>
      <c r="AD129" s="1324"/>
      <c r="AE129" s="1324"/>
    </row>
    <row r="130" spans="1:31" s="1323" customFormat="1">
      <c r="A130" s="1328"/>
      <c r="B130" s="1390"/>
      <c r="C130" s="1324"/>
      <c r="D130" s="1324"/>
      <c r="E130" s="1365"/>
      <c r="F130" s="1389"/>
      <c r="G130" s="1420"/>
      <c r="H130" s="1406"/>
      <c r="I130" s="1331"/>
      <c r="J130" s="1324"/>
      <c r="K130" s="1324"/>
      <c r="L130" s="1324"/>
      <c r="M130" s="1324"/>
      <c r="N130" s="1324"/>
      <c r="O130" s="1324"/>
      <c r="P130" s="1324"/>
      <c r="Q130" s="1324"/>
      <c r="R130" s="1324"/>
      <c r="S130" s="1324"/>
      <c r="T130" s="1324"/>
      <c r="U130" s="1324"/>
      <c r="V130" s="1324"/>
      <c r="W130" s="1324"/>
      <c r="X130" s="1324"/>
      <c r="Y130" s="1324"/>
      <c r="Z130" s="1324"/>
      <c r="AA130" s="1324"/>
      <c r="AB130" s="1324"/>
      <c r="AC130" s="1324"/>
      <c r="AD130" s="1324"/>
      <c r="AE130" s="1324"/>
    </row>
    <row r="131" spans="1:31" s="1323" customFormat="1" ht="13.5" thickBot="1">
      <c r="A131" s="1328"/>
      <c r="B131" s="1322"/>
      <c r="C131" s="1321"/>
      <c r="D131" s="1320"/>
      <c r="E131" s="1418" t="s">
        <v>48</v>
      </c>
      <c r="F131" s="1417">
        <f>SUM(F124:F129)</f>
        <v>1194300</v>
      </c>
      <c r="G131" s="1416">
        <f>SUM(G124:G129)</f>
        <v>0</v>
      </c>
      <c r="H131" s="1416">
        <f>SUM(H124:H129)</f>
        <v>0</v>
      </c>
      <c r="I131" s="1415">
        <f>SUM(F131:H131)</f>
        <v>1194300</v>
      </c>
      <c r="J131" s="1324"/>
      <c r="K131" s="1324"/>
      <c r="L131" s="1324"/>
      <c r="M131" s="1324"/>
      <c r="N131" s="1324"/>
      <c r="O131" s="1324"/>
      <c r="P131" s="1324"/>
      <c r="Q131" s="1324"/>
      <c r="R131" s="1324"/>
      <c r="S131" s="1324"/>
      <c r="T131" s="1324"/>
      <c r="U131" s="1324"/>
      <c r="V131" s="1324"/>
      <c r="W131" s="1324"/>
      <c r="X131" s="1324"/>
      <c r="Y131" s="1324"/>
      <c r="Z131" s="1324"/>
      <c r="AA131" s="1324"/>
      <c r="AB131" s="1324"/>
      <c r="AC131" s="1324"/>
      <c r="AD131" s="1324"/>
      <c r="AE131" s="1324"/>
    </row>
    <row r="132" spans="1:31" s="1323" customFormat="1" ht="13.5" thickBot="1">
      <c r="A132" s="1328"/>
      <c r="B132" s="1322"/>
      <c r="C132" s="1321"/>
      <c r="D132" s="1320"/>
      <c r="E132" s="1319" t="s">
        <v>1649</v>
      </c>
      <c r="F132" s="1360">
        <f>F131/((0.17+0.4)*2*4)/$K$132</f>
        <v>130953.94736842104</v>
      </c>
      <c r="G132" s="1359">
        <f>G131/((0.17+0.4)*2*4)/$K$132</f>
        <v>0</v>
      </c>
      <c r="H132" s="1359">
        <f>H131/((0.17+0.4)*2*4)/$K$132</f>
        <v>0</v>
      </c>
      <c r="I132" s="1358">
        <f>I131/((0.17+0.4)*2*4)/$K$132</f>
        <v>130953.94736842104</v>
      </c>
      <c r="J132" s="1414" t="s">
        <v>1674</v>
      </c>
      <c r="K132" s="1413">
        <v>2</v>
      </c>
      <c r="L132" s="1324"/>
      <c r="M132" s="1324"/>
      <c r="N132" s="1324"/>
      <c r="O132" s="1324"/>
      <c r="P132" s="1324"/>
      <c r="Q132" s="1324"/>
      <c r="R132" s="1324"/>
      <c r="S132" s="1324"/>
      <c r="T132" s="1324"/>
      <c r="U132" s="1324"/>
      <c r="V132" s="1324"/>
      <c r="W132" s="1324"/>
      <c r="X132" s="1324"/>
      <c r="Y132" s="1324"/>
      <c r="Z132" s="1324"/>
      <c r="AA132" s="1324"/>
      <c r="AB132" s="1324"/>
      <c r="AC132" s="1324"/>
      <c r="AD132" s="1324"/>
      <c r="AE132" s="1324"/>
    </row>
    <row r="133" spans="1:31" s="1323" customFormat="1">
      <c r="A133" s="1328"/>
      <c r="B133" s="1322"/>
      <c r="C133" s="1321"/>
      <c r="D133" s="1320"/>
      <c r="E133" s="1333"/>
      <c r="F133" s="1331"/>
      <c r="G133" s="1336"/>
      <c r="H133" s="1406"/>
      <c r="I133" s="1331"/>
      <c r="J133" s="1324"/>
      <c r="K133" s="1324"/>
      <c r="L133" s="1324"/>
      <c r="M133" s="1324"/>
      <c r="N133" s="1324"/>
      <c r="O133" s="1324"/>
      <c r="P133" s="1324"/>
      <c r="Q133" s="1324"/>
      <c r="R133" s="1324"/>
      <c r="S133" s="1324"/>
      <c r="T133" s="1324"/>
      <c r="U133" s="1324"/>
      <c r="V133" s="1324"/>
      <c r="W133" s="1324"/>
      <c r="X133" s="1324"/>
      <c r="Y133" s="1324"/>
      <c r="Z133" s="1324"/>
      <c r="AA133" s="1324"/>
      <c r="AB133" s="1324"/>
      <c r="AC133" s="1324"/>
      <c r="AD133" s="1324"/>
      <c r="AE133" s="1324"/>
    </row>
    <row r="134" spans="1:31" s="1323" customFormat="1">
      <c r="A134" s="1328"/>
      <c r="B134" s="1324" t="s">
        <v>1688</v>
      </c>
      <c r="C134" s="1324"/>
      <c r="D134" s="1324" t="s">
        <v>1687</v>
      </c>
      <c r="E134" s="1394"/>
      <c r="F134" s="1331"/>
      <c r="G134" s="1324"/>
      <c r="H134" s="1393"/>
      <c r="I134" s="1331"/>
      <c r="J134" s="1324"/>
      <c r="K134" s="1324"/>
      <c r="L134" s="1324"/>
      <c r="M134" s="1324"/>
      <c r="N134" s="1324"/>
      <c r="O134" s="1324"/>
      <c r="P134" s="1324"/>
      <c r="Q134" s="1324"/>
      <c r="R134" s="1324"/>
      <c r="S134" s="1324"/>
      <c r="T134" s="1324"/>
      <c r="U134" s="1324"/>
      <c r="V134" s="1324"/>
      <c r="W134" s="1324"/>
      <c r="X134" s="1324"/>
      <c r="Y134" s="1324"/>
      <c r="Z134" s="1324"/>
      <c r="AA134" s="1324"/>
      <c r="AB134" s="1324"/>
      <c r="AC134" s="1324"/>
      <c r="AD134" s="1324"/>
      <c r="AE134" s="1324"/>
    </row>
    <row r="135" spans="1:31" s="1323" customFormat="1">
      <c r="A135" s="1328"/>
      <c r="B135" s="1390">
        <v>2</v>
      </c>
      <c r="C135" s="1324" t="s">
        <v>1679</v>
      </c>
      <c r="D135" s="1324" t="s">
        <v>1678</v>
      </c>
      <c r="E135" s="1365">
        <f>Material!$G$65</f>
        <v>200000</v>
      </c>
      <c r="F135" s="1365">
        <f>B135*E135*1</f>
        <v>400000</v>
      </c>
      <c r="H135" s="1391"/>
      <c r="I135" s="1362"/>
      <c r="J135" s="1324"/>
      <c r="K135" s="1324"/>
      <c r="L135" s="1324"/>
      <c r="M135" s="1324"/>
      <c r="N135" s="1324"/>
      <c r="O135" s="1324"/>
      <c r="P135" s="1324"/>
      <c r="Q135" s="1324"/>
      <c r="R135" s="1324"/>
      <c r="S135" s="1324"/>
      <c r="T135" s="1324"/>
      <c r="U135" s="1324"/>
      <c r="V135" s="1324"/>
      <c r="W135" s="1324"/>
      <c r="X135" s="1324"/>
      <c r="Y135" s="1324"/>
      <c r="Z135" s="1324"/>
      <c r="AA135" s="1324"/>
      <c r="AB135" s="1324"/>
      <c r="AC135" s="1324"/>
      <c r="AD135" s="1324"/>
      <c r="AE135" s="1324"/>
    </row>
    <row r="136" spans="1:31" s="1323" customFormat="1">
      <c r="A136" s="1328"/>
      <c r="B136" s="1390">
        <v>9</v>
      </c>
      <c r="C136" s="1324" t="s">
        <v>1558</v>
      </c>
      <c r="D136" s="1324" t="s">
        <v>1686</v>
      </c>
      <c r="E136" s="1337">
        <f>Material!$G$53</f>
        <v>58800</v>
      </c>
      <c r="F136" s="1365">
        <f>B136*E136</f>
        <v>529200</v>
      </c>
      <c r="H136" s="1391"/>
      <c r="I136" s="1362"/>
      <c r="J136" s="1324"/>
      <c r="K136" s="1324"/>
      <c r="L136" s="1324"/>
      <c r="M136" s="1324"/>
      <c r="N136" s="1324"/>
      <c r="O136" s="1324"/>
      <c r="P136" s="1324"/>
      <c r="Q136" s="1324"/>
      <c r="R136" s="1324"/>
      <c r="S136" s="1324"/>
      <c r="T136" s="1324"/>
      <c r="U136" s="1324"/>
      <c r="V136" s="1324"/>
      <c r="W136" s="1324"/>
      <c r="X136" s="1324"/>
      <c r="Y136" s="1324"/>
      <c r="Z136" s="1324"/>
      <c r="AA136" s="1324"/>
      <c r="AB136" s="1324"/>
      <c r="AC136" s="1324"/>
      <c r="AD136" s="1324"/>
      <c r="AE136" s="1324"/>
    </row>
    <row r="137" spans="1:31" s="1323" customFormat="1">
      <c r="A137" s="1328"/>
      <c r="B137" s="1390">
        <v>3</v>
      </c>
      <c r="C137" s="1324" t="s">
        <v>1558</v>
      </c>
      <c r="D137" s="1324" t="s">
        <v>1685</v>
      </c>
      <c r="E137" s="1337">
        <f>Material!$G$53</f>
        <v>58800</v>
      </c>
      <c r="F137" s="1365">
        <f>B137*E137</f>
        <v>176400</v>
      </c>
      <c r="H137" s="1391"/>
      <c r="I137" s="1362"/>
      <c r="J137" s="1324"/>
      <c r="K137" s="1324"/>
      <c r="L137" s="1324"/>
      <c r="M137" s="1324"/>
      <c r="N137" s="1324"/>
      <c r="O137" s="1324"/>
      <c r="P137" s="1324"/>
      <c r="Q137" s="1324"/>
      <c r="R137" s="1324"/>
      <c r="S137" s="1324"/>
      <c r="T137" s="1324"/>
      <c r="U137" s="1324"/>
      <c r="V137" s="1324"/>
      <c r="W137" s="1324"/>
      <c r="X137" s="1324"/>
      <c r="Y137" s="1324"/>
      <c r="Z137" s="1324"/>
      <c r="AA137" s="1324"/>
      <c r="AB137" s="1324"/>
      <c r="AC137" s="1324"/>
      <c r="AD137" s="1324"/>
      <c r="AE137" s="1324"/>
    </row>
    <row r="138" spans="1:31" s="1323" customFormat="1">
      <c r="A138" s="1328"/>
      <c r="B138" s="1390">
        <v>1.5</v>
      </c>
      <c r="C138" s="1324" t="s">
        <v>53</v>
      </c>
      <c r="D138" s="1324" t="s">
        <v>1676</v>
      </c>
      <c r="E138" s="1337">
        <f>Material!$G$74</f>
        <v>13000</v>
      </c>
      <c r="F138" s="1365">
        <f>B138*E138</f>
        <v>19500</v>
      </c>
      <c r="H138" s="1391"/>
      <c r="I138" s="1362"/>
      <c r="J138" s="1324"/>
      <c r="K138" s="1324"/>
      <c r="L138" s="1324"/>
      <c r="M138" s="1324"/>
      <c r="N138" s="1324"/>
      <c r="O138" s="1324"/>
      <c r="P138" s="1324"/>
      <c r="Q138" s="1324"/>
      <c r="R138" s="1324"/>
      <c r="S138" s="1324"/>
      <c r="T138" s="1324"/>
      <c r="U138" s="1324"/>
      <c r="V138" s="1324"/>
      <c r="W138" s="1324"/>
      <c r="X138" s="1324"/>
      <c r="Y138" s="1324"/>
      <c r="Z138" s="1324"/>
      <c r="AA138" s="1324"/>
      <c r="AB138" s="1324"/>
      <c r="AC138" s="1324"/>
      <c r="AD138" s="1324"/>
      <c r="AE138" s="1324"/>
    </row>
    <row r="139" spans="1:31" s="1323" customFormat="1">
      <c r="A139" s="1328"/>
      <c r="B139" s="1390">
        <v>0.5</v>
      </c>
      <c r="C139" s="1324" t="s">
        <v>1644</v>
      </c>
      <c r="D139" s="1324" t="s">
        <v>1675</v>
      </c>
      <c r="E139" s="1337">
        <f>Material!$G$31</f>
        <v>27500</v>
      </c>
      <c r="F139" s="1365">
        <f>B139*E139</f>
        <v>13750</v>
      </c>
      <c r="H139" s="1391"/>
      <c r="I139" s="1362"/>
      <c r="J139" s="1324"/>
      <c r="K139" s="1324"/>
      <c r="L139" s="1324"/>
      <c r="M139" s="1324"/>
      <c r="N139" s="1324"/>
      <c r="O139" s="1324"/>
      <c r="P139" s="1324"/>
      <c r="Q139" s="1324"/>
      <c r="R139" s="1324"/>
      <c r="S139" s="1324"/>
      <c r="T139" s="1324"/>
      <c r="U139" s="1324"/>
      <c r="V139" s="1324"/>
      <c r="W139" s="1324"/>
      <c r="X139" s="1324"/>
      <c r="Y139" s="1324"/>
      <c r="Z139" s="1324"/>
      <c r="AA139" s="1324"/>
      <c r="AB139" s="1324"/>
      <c r="AC139" s="1324"/>
      <c r="AD139" s="1324"/>
      <c r="AE139" s="1324"/>
    </row>
    <row r="140" spans="1:31" s="1323" customFormat="1">
      <c r="A140" s="1328"/>
      <c r="B140" s="1390">
        <v>1</v>
      </c>
      <c r="C140" s="1324" t="s">
        <v>49</v>
      </c>
      <c r="D140" s="1324" t="s">
        <v>1684</v>
      </c>
      <c r="E140" s="1337">
        <f>$I$83</f>
        <v>203762.03703703702</v>
      </c>
      <c r="F140" s="1365"/>
      <c r="H140" s="1419">
        <f>B140*E140</f>
        <v>203762.03703703702</v>
      </c>
      <c r="I140" s="1362"/>
      <c r="J140" s="1324"/>
      <c r="K140" s="1324"/>
      <c r="L140" s="1324"/>
      <c r="M140" s="1324"/>
      <c r="N140" s="1324"/>
      <c r="O140" s="1324"/>
      <c r="P140" s="1324"/>
      <c r="Q140" s="1324"/>
      <c r="R140" s="1324"/>
      <c r="S140" s="1324"/>
      <c r="T140" s="1324"/>
      <c r="U140" s="1324"/>
      <c r="V140" s="1324"/>
      <c r="W140" s="1324"/>
      <c r="X140" s="1324"/>
      <c r="Y140" s="1324"/>
      <c r="Z140" s="1324"/>
      <c r="AA140" s="1324"/>
      <c r="AB140" s="1324"/>
      <c r="AC140" s="1324"/>
      <c r="AD140" s="1324"/>
      <c r="AE140" s="1324"/>
    </row>
    <row r="141" spans="1:31" s="1323" customFormat="1">
      <c r="A141" s="1328"/>
      <c r="B141" s="1390"/>
      <c r="C141" s="1324"/>
      <c r="D141" s="1324"/>
      <c r="E141" s="1365"/>
      <c r="F141" s="1389"/>
      <c r="G141" s="1388"/>
      <c r="H141" s="1387"/>
      <c r="I141" s="1362"/>
      <c r="J141" s="1324"/>
      <c r="K141" s="1324"/>
      <c r="L141" s="1324"/>
      <c r="M141" s="1324"/>
      <c r="N141" s="1324"/>
      <c r="O141" s="1324"/>
      <c r="P141" s="1324"/>
      <c r="Q141" s="1324"/>
      <c r="R141" s="1324"/>
      <c r="S141" s="1324"/>
      <c r="T141" s="1324"/>
      <c r="U141" s="1324"/>
      <c r="V141" s="1324"/>
      <c r="W141" s="1324"/>
      <c r="X141" s="1324"/>
      <c r="Y141" s="1324"/>
      <c r="Z141" s="1324"/>
      <c r="AA141" s="1324"/>
      <c r="AB141" s="1324"/>
      <c r="AC141" s="1324"/>
      <c r="AD141" s="1324"/>
      <c r="AE141" s="1324"/>
    </row>
    <row r="142" spans="1:31" s="1323" customFormat="1" ht="13.5" thickBot="1">
      <c r="A142" s="1328"/>
      <c r="B142" s="1324"/>
      <c r="C142" s="1324"/>
      <c r="D142" s="1324"/>
      <c r="E142" s="1418" t="s">
        <v>48</v>
      </c>
      <c r="F142" s="1417">
        <f>SUM(F134:F141)</f>
        <v>1138850</v>
      </c>
      <c r="G142" s="1417">
        <f>SUM(G134:G141)</f>
        <v>0</v>
      </c>
      <c r="H142" s="1417">
        <f>SUM(H134:H141)</f>
        <v>203762.03703703702</v>
      </c>
      <c r="I142" s="1415">
        <f>SUM(F142:H142)</f>
        <v>1342612.0370370371</v>
      </c>
      <c r="J142" s="1324"/>
      <c r="K142" s="1324"/>
      <c r="L142" s="1324"/>
      <c r="M142" s="1324"/>
      <c r="N142" s="1324"/>
      <c r="O142" s="1324"/>
      <c r="P142" s="1324"/>
      <c r="Q142" s="1324"/>
      <c r="R142" s="1324"/>
      <c r="S142" s="1324"/>
      <c r="T142" s="1324"/>
      <c r="U142" s="1324"/>
      <c r="V142" s="1324"/>
      <c r="W142" s="1324"/>
      <c r="X142" s="1324"/>
      <c r="Y142" s="1324"/>
      <c r="Z142" s="1324"/>
      <c r="AA142" s="1324"/>
      <c r="AB142" s="1324"/>
      <c r="AC142" s="1324"/>
      <c r="AD142" s="1324"/>
      <c r="AE142" s="1324"/>
    </row>
    <row r="143" spans="1:31" s="1323" customFormat="1" ht="13.5" thickBot="1">
      <c r="A143" s="1328"/>
      <c r="B143" s="1322"/>
      <c r="C143" s="1321"/>
      <c r="D143" s="1320"/>
      <c r="E143" s="1319" t="s">
        <v>1649</v>
      </c>
      <c r="F143" s="1360">
        <f>F142/((0.3+0.35*2)*4)/$K$143</f>
        <v>284712.5</v>
      </c>
      <c r="G143" s="1359">
        <f>G142/((0.3+0.35*2)*4)/$K$143</f>
        <v>0</v>
      </c>
      <c r="H143" s="1359">
        <f>H142/((0.3+0.35*2)*4)/$K$143</f>
        <v>50940.509259259255</v>
      </c>
      <c r="I143" s="1358">
        <f>I142/((0.3+0.35*2)*4)/$K$143</f>
        <v>335653.00925925927</v>
      </c>
      <c r="J143" s="1414" t="s">
        <v>1674</v>
      </c>
      <c r="K143" s="1413">
        <v>1</v>
      </c>
      <c r="L143" s="1324"/>
      <c r="M143" s="1324"/>
      <c r="N143" s="1324"/>
      <c r="O143" s="1324"/>
      <c r="P143" s="1324"/>
      <c r="Q143" s="1324"/>
      <c r="R143" s="1324"/>
      <c r="S143" s="1324"/>
      <c r="T143" s="1324"/>
      <c r="U143" s="1324"/>
      <c r="V143" s="1324"/>
      <c r="W143" s="1324"/>
      <c r="X143" s="1324"/>
      <c r="Y143" s="1324"/>
      <c r="Z143" s="1324"/>
      <c r="AA143" s="1324"/>
      <c r="AB143" s="1324"/>
      <c r="AC143" s="1324"/>
      <c r="AD143" s="1324"/>
      <c r="AE143" s="1324"/>
    </row>
    <row r="144" spans="1:31" s="1323" customFormat="1">
      <c r="A144" s="1328"/>
      <c r="B144" s="1322"/>
      <c r="C144" s="1321"/>
      <c r="D144" s="1320"/>
      <c r="E144" s="1333"/>
      <c r="F144" s="1331"/>
      <c r="G144" s="1336"/>
      <c r="H144" s="1406"/>
      <c r="I144" s="1331"/>
      <c r="J144" s="1324"/>
      <c r="K144" s="1324"/>
      <c r="L144" s="1324"/>
      <c r="M144" s="1324"/>
      <c r="N144" s="1324"/>
      <c r="O144" s="1324"/>
      <c r="P144" s="1324"/>
      <c r="Q144" s="1324"/>
      <c r="R144" s="1324"/>
      <c r="S144" s="1324"/>
      <c r="T144" s="1324"/>
      <c r="U144" s="1324"/>
      <c r="V144" s="1324"/>
      <c r="W144" s="1324"/>
      <c r="X144" s="1324"/>
      <c r="Y144" s="1324"/>
      <c r="Z144" s="1324"/>
      <c r="AA144" s="1324"/>
      <c r="AB144" s="1324"/>
      <c r="AC144" s="1324"/>
      <c r="AD144" s="1324"/>
      <c r="AE144" s="1324"/>
    </row>
    <row r="145" spans="1:31" s="1323" customFormat="1">
      <c r="A145" s="1328"/>
      <c r="B145" s="1324" t="s">
        <v>1683</v>
      </c>
      <c r="C145" s="1324"/>
      <c r="D145" s="1324" t="s">
        <v>1680</v>
      </c>
      <c r="E145" s="1394"/>
      <c r="F145" s="1331"/>
      <c r="G145" s="1324"/>
      <c r="H145" s="1393"/>
      <c r="I145" s="1331"/>
      <c r="J145" s="1324"/>
      <c r="K145" s="1324"/>
      <c r="L145" s="1324"/>
      <c r="M145" s="1324"/>
      <c r="N145" s="1324"/>
      <c r="O145" s="1324"/>
      <c r="P145" s="1324"/>
      <c r="Q145" s="1324"/>
      <c r="R145" s="1324"/>
      <c r="S145" s="1324"/>
      <c r="T145" s="1324"/>
      <c r="U145" s="1324"/>
      <c r="V145" s="1324"/>
      <c r="W145" s="1324"/>
      <c r="X145" s="1324"/>
      <c r="Y145" s="1324"/>
      <c r="Z145" s="1324"/>
      <c r="AA145" s="1324"/>
      <c r="AB145" s="1324"/>
      <c r="AC145" s="1324"/>
      <c r="AD145" s="1324"/>
      <c r="AE145" s="1324"/>
    </row>
    <row r="146" spans="1:31" s="1323" customFormat="1">
      <c r="A146" s="1328"/>
      <c r="B146" s="1390">
        <v>1</v>
      </c>
      <c r="C146" s="1324" t="s">
        <v>1679</v>
      </c>
      <c r="D146" s="1324" t="s">
        <v>1678</v>
      </c>
      <c r="E146" s="1365">
        <f>Material!$G$65</f>
        <v>200000</v>
      </c>
      <c r="F146" s="1365">
        <f>B146*E146*1</f>
        <v>200000</v>
      </c>
      <c r="G146" s="1388"/>
      <c r="H146" s="1387"/>
      <c r="I146" s="1362"/>
      <c r="J146" s="1324"/>
      <c r="K146" s="1324"/>
      <c r="L146" s="1324"/>
      <c r="M146" s="1324"/>
      <c r="N146" s="1324"/>
      <c r="O146" s="1324"/>
      <c r="P146" s="1324"/>
      <c r="Q146" s="1324"/>
      <c r="R146" s="1324"/>
      <c r="S146" s="1324"/>
      <c r="T146" s="1324"/>
      <c r="U146" s="1324"/>
      <c r="V146" s="1324"/>
      <c r="W146" s="1324"/>
      <c r="X146" s="1324"/>
      <c r="Y146" s="1324"/>
      <c r="Z146" s="1324"/>
      <c r="AA146" s="1324"/>
      <c r="AB146" s="1324"/>
      <c r="AC146" s="1324"/>
      <c r="AD146" s="1324"/>
      <c r="AE146" s="1324"/>
    </row>
    <row r="147" spans="1:31" s="1323" customFormat="1">
      <c r="A147" s="1328"/>
      <c r="B147" s="1390">
        <v>5</v>
      </c>
      <c r="C147" s="1324" t="s">
        <v>1558</v>
      </c>
      <c r="D147" s="1324" t="s">
        <v>1677</v>
      </c>
      <c r="E147" s="1337">
        <f>Material!$G$53</f>
        <v>58800</v>
      </c>
      <c r="F147" s="1365">
        <f>B147*E147</f>
        <v>294000</v>
      </c>
      <c r="G147" s="1388"/>
      <c r="H147" s="1387"/>
      <c r="I147" s="1362"/>
      <c r="J147" s="1324"/>
      <c r="K147" s="1324"/>
      <c r="L147" s="1324"/>
      <c r="M147" s="1324"/>
      <c r="N147" s="1324"/>
      <c r="O147" s="1324"/>
      <c r="P147" s="1324"/>
      <c r="Q147" s="1324"/>
      <c r="R147" s="1324"/>
      <c r="S147" s="1324"/>
      <c r="T147" s="1324"/>
      <c r="U147" s="1324"/>
      <c r="V147" s="1324"/>
      <c r="W147" s="1324"/>
      <c r="X147" s="1324"/>
      <c r="Y147" s="1324"/>
      <c r="Z147" s="1324"/>
      <c r="AA147" s="1324"/>
      <c r="AB147" s="1324"/>
      <c r="AC147" s="1324"/>
      <c r="AD147" s="1324"/>
      <c r="AE147" s="1324"/>
    </row>
    <row r="148" spans="1:31" s="1323" customFormat="1">
      <c r="A148" s="1328"/>
      <c r="B148" s="1390">
        <v>1.5</v>
      </c>
      <c r="C148" s="1324" t="s">
        <v>53</v>
      </c>
      <c r="D148" s="1324" t="s">
        <v>1676</v>
      </c>
      <c r="E148" s="1337">
        <f>Material!$G$74</f>
        <v>13000</v>
      </c>
      <c r="F148" s="1365">
        <f>B148*E148</f>
        <v>19500</v>
      </c>
      <c r="G148" s="1388"/>
      <c r="H148" s="1387"/>
      <c r="I148" s="1362"/>
      <c r="J148" s="1324"/>
      <c r="K148" s="1324"/>
      <c r="L148" s="1324"/>
      <c r="M148" s="1324"/>
      <c r="N148" s="1324"/>
      <c r="O148" s="1324"/>
      <c r="P148" s="1324"/>
      <c r="Q148" s="1324"/>
      <c r="R148" s="1324"/>
      <c r="S148" s="1324"/>
      <c r="T148" s="1324"/>
      <c r="U148" s="1324"/>
      <c r="V148" s="1324"/>
      <c r="W148" s="1324"/>
      <c r="X148" s="1324"/>
      <c r="Y148" s="1324"/>
      <c r="Z148" s="1324"/>
      <c r="AA148" s="1324"/>
      <c r="AB148" s="1324"/>
      <c r="AC148" s="1324"/>
      <c r="AD148" s="1324"/>
      <c r="AE148" s="1324"/>
    </row>
    <row r="149" spans="1:31" s="1323" customFormat="1">
      <c r="A149" s="1328"/>
      <c r="B149" s="1390">
        <f>0.5*1.2*2.4</f>
        <v>1.44</v>
      </c>
      <c r="C149" s="1324" t="s">
        <v>1644</v>
      </c>
      <c r="D149" s="1324" t="s">
        <v>1675</v>
      </c>
      <c r="E149" s="1337">
        <f>Material!$G$31</f>
        <v>27500</v>
      </c>
      <c r="F149" s="1365">
        <f>B149*E149</f>
        <v>39600</v>
      </c>
      <c r="G149" s="1388"/>
      <c r="H149" s="1387"/>
      <c r="I149" s="1362"/>
      <c r="J149" s="1324"/>
      <c r="K149" s="1324"/>
      <c r="L149" s="1324"/>
      <c r="M149" s="1324"/>
      <c r="N149" s="1324"/>
      <c r="O149" s="1324"/>
      <c r="P149" s="1324"/>
      <c r="Q149" s="1324"/>
      <c r="R149" s="1324"/>
      <c r="S149" s="1324"/>
      <c r="T149" s="1324"/>
      <c r="U149" s="1324"/>
      <c r="V149" s="1324"/>
      <c r="W149" s="1324"/>
      <c r="X149" s="1324"/>
      <c r="Y149" s="1324"/>
      <c r="Z149" s="1324"/>
      <c r="AA149" s="1324"/>
      <c r="AB149" s="1324"/>
      <c r="AC149" s="1324"/>
      <c r="AD149" s="1324"/>
      <c r="AE149" s="1324"/>
    </row>
    <row r="150" spans="1:31" s="1323" customFormat="1">
      <c r="A150" s="1328"/>
      <c r="B150" s="1390">
        <v>1</v>
      </c>
      <c r="C150" s="1324" t="s">
        <v>49</v>
      </c>
      <c r="D150" s="1324" t="s">
        <v>1682</v>
      </c>
      <c r="E150" s="1337">
        <f>$I$52</f>
        <v>203414.8148148148</v>
      </c>
      <c r="F150" s="1365"/>
      <c r="G150" s="1388"/>
      <c r="H150" s="1387">
        <f>B150*E150</f>
        <v>203414.8148148148</v>
      </c>
      <c r="I150" s="1362"/>
      <c r="J150" s="1324"/>
      <c r="K150" s="1324"/>
      <c r="L150" s="1324"/>
      <c r="M150" s="1324"/>
      <c r="N150" s="1324"/>
      <c r="O150" s="1324"/>
      <c r="P150" s="1324"/>
      <c r="Q150" s="1324"/>
      <c r="R150" s="1324"/>
      <c r="S150" s="1324"/>
      <c r="T150" s="1324"/>
      <c r="U150" s="1324"/>
      <c r="V150" s="1324"/>
      <c r="W150" s="1324"/>
      <c r="X150" s="1324"/>
      <c r="Y150" s="1324"/>
      <c r="Z150" s="1324"/>
      <c r="AA150" s="1324"/>
      <c r="AB150" s="1324"/>
      <c r="AC150" s="1324"/>
      <c r="AD150" s="1324"/>
      <c r="AE150" s="1324"/>
    </row>
    <row r="151" spans="1:31" s="1323" customFormat="1">
      <c r="A151" s="1328"/>
      <c r="B151" s="1390"/>
      <c r="C151" s="1324"/>
      <c r="D151" s="1324"/>
      <c r="E151" s="1337"/>
      <c r="F151" s="1365"/>
      <c r="G151" s="1388"/>
      <c r="H151" s="1387"/>
      <c r="I151" s="1362"/>
      <c r="J151" s="1324"/>
      <c r="K151" s="1324"/>
      <c r="L151" s="1324"/>
      <c r="M151" s="1324"/>
      <c r="N151" s="1324"/>
      <c r="O151" s="1324"/>
      <c r="P151" s="1324"/>
      <c r="Q151" s="1324"/>
      <c r="R151" s="1324"/>
      <c r="S151" s="1324"/>
      <c r="T151" s="1324"/>
      <c r="U151" s="1324"/>
      <c r="V151" s="1324"/>
      <c r="W151" s="1324"/>
      <c r="X151" s="1324"/>
      <c r="Y151" s="1324"/>
      <c r="Z151" s="1324"/>
      <c r="AA151" s="1324"/>
      <c r="AB151" s="1324"/>
      <c r="AC151" s="1324"/>
      <c r="AD151" s="1324"/>
      <c r="AE151" s="1324"/>
    </row>
    <row r="152" spans="1:31" s="1323" customFormat="1" ht="13.5" thickBot="1">
      <c r="A152" s="1328"/>
      <c r="B152" s="1324"/>
      <c r="C152" s="1324"/>
      <c r="D152" s="1324"/>
      <c r="E152" s="1418" t="s">
        <v>48</v>
      </c>
      <c r="F152" s="1417">
        <f>SUM(F145:F151)</f>
        <v>553100</v>
      </c>
      <c r="G152" s="1416">
        <f>SUM(G145:G151)</f>
        <v>0</v>
      </c>
      <c r="H152" s="1416">
        <f>SUM(H145:H151)</f>
        <v>203414.8148148148</v>
      </c>
      <c r="I152" s="1415">
        <f>SUM(F152:H152)</f>
        <v>756514.81481481483</v>
      </c>
      <c r="J152" s="1324"/>
      <c r="K152" s="1324"/>
      <c r="L152" s="1324"/>
      <c r="M152" s="1324"/>
      <c r="N152" s="1324"/>
      <c r="O152" s="1324"/>
      <c r="P152" s="1324"/>
      <c r="Q152" s="1324"/>
      <c r="R152" s="1324"/>
      <c r="S152" s="1324"/>
      <c r="T152" s="1324"/>
      <c r="U152" s="1324"/>
      <c r="V152" s="1324"/>
      <c r="W152" s="1324"/>
      <c r="X152" s="1324"/>
      <c r="Y152" s="1324"/>
      <c r="Z152" s="1324"/>
      <c r="AA152" s="1324"/>
      <c r="AB152" s="1324"/>
      <c r="AC152" s="1324"/>
      <c r="AD152" s="1324"/>
      <c r="AE152" s="1324"/>
    </row>
    <row r="153" spans="1:31" s="1323" customFormat="1" ht="13.5" thickBot="1">
      <c r="A153" s="1328"/>
      <c r="B153" s="1322"/>
      <c r="C153" s="1321"/>
      <c r="D153" s="1320"/>
      <c r="E153" s="1319" t="s">
        <v>1649</v>
      </c>
      <c r="F153" s="1360">
        <f>F152/(1.2*2.4)/$K$153</f>
        <v>96024.305555555562</v>
      </c>
      <c r="G153" s="1359">
        <f>G152/(1.2*2.4)/$K$153</f>
        <v>0</v>
      </c>
      <c r="H153" s="1359">
        <f>H152/(1.2*2.4)/$K$153</f>
        <v>35315.072016460901</v>
      </c>
      <c r="I153" s="1358">
        <f>I152/(1.2*2.4)/$K$153</f>
        <v>131339.37757201647</v>
      </c>
      <c r="J153" s="1414" t="s">
        <v>1674</v>
      </c>
      <c r="K153" s="1413">
        <v>2</v>
      </c>
      <c r="L153" s="1324"/>
      <c r="M153" s="1324"/>
      <c r="N153" s="1324"/>
      <c r="O153" s="1324"/>
      <c r="P153" s="1324"/>
      <c r="Q153" s="1324"/>
      <c r="R153" s="1324"/>
      <c r="S153" s="1324"/>
      <c r="T153" s="1324"/>
      <c r="U153" s="1324"/>
      <c r="V153" s="1324"/>
      <c r="W153" s="1324"/>
      <c r="X153" s="1324"/>
      <c r="Y153" s="1324"/>
      <c r="Z153" s="1324"/>
      <c r="AA153" s="1324"/>
      <c r="AB153" s="1324"/>
      <c r="AC153" s="1324"/>
      <c r="AD153" s="1324"/>
      <c r="AE153" s="1324"/>
    </row>
    <row r="154" spans="1:31" s="1323" customFormat="1">
      <c r="A154" s="1328"/>
      <c r="B154" s="1322"/>
      <c r="C154" s="1321"/>
      <c r="D154" s="1320"/>
      <c r="E154" s="1333"/>
      <c r="F154" s="1331"/>
      <c r="G154" s="1336"/>
      <c r="H154" s="1406"/>
      <c r="I154" s="1331"/>
      <c r="J154" s="1324"/>
      <c r="K154" s="1324"/>
      <c r="L154" s="1324"/>
      <c r="M154" s="1324"/>
      <c r="N154" s="1324"/>
      <c r="O154" s="1324"/>
      <c r="P154" s="1324"/>
      <c r="Q154" s="1324"/>
      <c r="R154" s="1324"/>
      <c r="S154" s="1324"/>
      <c r="T154" s="1324"/>
      <c r="U154" s="1324"/>
      <c r="V154" s="1324"/>
      <c r="W154" s="1324"/>
      <c r="X154" s="1324"/>
      <c r="Y154" s="1324"/>
      <c r="Z154" s="1324"/>
      <c r="AA154" s="1324"/>
      <c r="AB154" s="1324"/>
      <c r="AC154" s="1324"/>
      <c r="AD154" s="1324"/>
      <c r="AE154" s="1324"/>
    </row>
    <row r="155" spans="1:31" s="1323" customFormat="1">
      <c r="A155" s="1328"/>
      <c r="B155" s="1324" t="s">
        <v>1681</v>
      </c>
      <c r="C155" s="1324"/>
      <c r="D155" s="1324" t="s">
        <v>1680</v>
      </c>
      <c r="E155" s="1394"/>
      <c r="F155" s="1331"/>
      <c r="G155" s="1324"/>
      <c r="H155" s="1393"/>
      <c r="I155" s="1331"/>
      <c r="J155" s="1324"/>
      <c r="K155" s="1324"/>
      <c r="L155" s="1324"/>
      <c r="M155" s="1324"/>
      <c r="N155" s="1324"/>
      <c r="O155" s="1324"/>
      <c r="P155" s="1324"/>
      <c r="Q155" s="1324"/>
      <c r="R155" s="1324"/>
      <c r="S155" s="1324"/>
      <c r="T155" s="1324"/>
      <c r="U155" s="1324"/>
      <c r="V155" s="1324"/>
      <c r="W155" s="1324"/>
      <c r="X155" s="1324"/>
      <c r="Y155" s="1324"/>
      <c r="Z155" s="1324"/>
      <c r="AA155" s="1324"/>
      <c r="AB155" s="1324"/>
      <c r="AC155" s="1324"/>
      <c r="AD155" s="1324"/>
      <c r="AE155" s="1324"/>
    </row>
    <row r="156" spans="1:31" s="1323" customFormat="1">
      <c r="A156" s="1328"/>
      <c r="B156" s="1390">
        <v>1</v>
      </c>
      <c r="C156" s="1324" t="s">
        <v>1679</v>
      </c>
      <c r="D156" s="1324" t="s">
        <v>1678</v>
      </c>
      <c r="E156" s="1365">
        <f>Material!$G$65</f>
        <v>200000</v>
      </c>
      <c r="F156" s="1365">
        <f>B156*E156*1</f>
        <v>200000</v>
      </c>
      <c r="G156" s="1388"/>
      <c r="H156" s="1387"/>
      <c r="I156" s="1362"/>
      <c r="J156" s="1324"/>
      <c r="K156" s="1324"/>
      <c r="L156" s="1324"/>
      <c r="M156" s="1324"/>
      <c r="N156" s="1324"/>
      <c r="O156" s="1324"/>
      <c r="P156" s="1324"/>
      <c r="Q156" s="1324"/>
      <c r="R156" s="1324"/>
      <c r="S156" s="1324"/>
      <c r="T156" s="1324"/>
      <c r="U156" s="1324"/>
      <c r="V156" s="1324"/>
      <c r="W156" s="1324"/>
      <c r="X156" s="1324"/>
      <c r="Y156" s="1324"/>
      <c r="Z156" s="1324"/>
      <c r="AA156" s="1324"/>
      <c r="AB156" s="1324"/>
      <c r="AC156" s="1324"/>
      <c r="AD156" s="1324"/>
      <c r="AE156" s="1324"/>
    </row>
    <row r="157" spans="1:31" s="1323" customFormat="1">
      <c r="A157" s="1328"/>
      <c r="B157" s="1390">
        <v>6</v>
      </c>
      <c r="C157" s="1324" t="s">
        <v>1558</v>
      </c>
      <c r="D157" s="1324" t="s">
        <v>1677</v>
      </c>
      <c r="E157" s="1337">
        <f>Material!$G$53</f>
        <v>58800</v>
      </c>
      <c r="F157" s="1365">
        <f>B157*E157</f>
        <v>352800</v>
      </c>
      <c r="G157" s="1388"/>
      <c r="H157" s="1387"/>
      <c r="I157" s="1362"/>
      <c r="J157" s="1324"/>
      <c r="K157" s="1324"/>
      <c r="L157" s="1324"/>
      <c r="M157" s="1324"/>
      <c r="N157" s="1324"/>
      <c r="O157" s="1324"/>
      <c r="P157" s="1324"/>
      <c r="Q157" s="1324"/>
      <c r="R157" s="1324"/>
      <c r="S157" s="1324"/>
      <c r="T157" s="1324"/>
      <c r="U157" s="1324"/>
      <c r="V157" s="1324"/>
      <c r="W157" s="1324"/>
      <c r="X157" s="1324"/>
      <c r="Y157" s="1324"/>
      <c r="Z157" s="1324"/>
      <c r="AA157" s="1324"/>
      <c r="AB157" s="1324"/>
      <c r="AC157" s="1324"/>
      <c r="AD157" s="1324"/>
      <c r="AE157" s="1324"/>
    </row>
    <row r="158" spans="1:31" s="1323" customFormat="1">
      <c r="A158" s="1328"/>
      <c r="B158" s="1390">
        <v>1.5</v>
      </c>
      <c r="C158" s="1324" t="s">
        <v>53</v>
      </c>
      <c r="D158" s="1324" t="s">
        <v>1676</v>
      </c>
      <c r="E158" s="1337">
        <f>Material!$G$74</f>
        <v>13000</v>
      </c>
      <c r="F158" s="1365">
        <f>B158*E158</f>
        <v>19500</v>
      </c>
      <c r="G158" s="1388"/>
      <c r="H158" s="1387"/>
      <c r="I158" s="1362"/>
      <c r="J158" s="1324"/>
      <c r="K158" s="1324"/>
      <c r="L158" s="1324"/>
      <c r="M158" s="1324"/>
      <c r="N158" s="1324"/>
      <c r="O158" s="1324"/>
      <c r="P158" s="1324"/>
      <c r="Q158" s="1324"/>
      <c r="R158" s="1324"/>
      <c r="S158" s="1324"/>
      <c r="T158" s="1324"/>
      <c r="U158" s="1324"/>
      <c r="V158" s="1324"/>
      <c r="W158" s="1324"/>
      <c r="X158" s="1324"/>
      <c r="Y158" s="1324"/>
      <c r="Z158" s="1324"/>
      <c r="AA158" s="1324"/>
      <c r="AB158" s="1324"/>
      <c r="AC158" s="1324"/>
      <c r="AD158" s="1324"/>
      <c r="AE158" s="1324"/>
    </row>
    <row r="159" spans="1:31" s="1323" customFormat="1">
      <c r="A159" s="1328"/>
      <c r="B159" s="1390">
        <f>0.5*1.2*2.4</f>
        <v>1.44</v>
      </c>
      <c r="C159" s="1324" t="s">
        <v>1644</v>
      </c>
      <c r="D159" s="1324" t="s">
        <v>1675</v>
      </c>
      <c r="E159" s="1337">
        <f>Material!$G$31</f>
        <v>27500</v>
      </c>
      <c r="F159" s="1365">
        <f>B159*E159</f>
        <v>39600</v>
      </c>
      <c r="G159" s="1388"/>
      <c r="H159" s="1387"/>
      <c r="I159" s="1362"/>
      <c r="J159" s="1324"/>
      <c r="K159" s="1324"/>
      <c r="L159" s="1324"/>
      <c r="M159" s="1324"/>
      <c r="N159" s="1324"/>
      <c r="O159" s="1324"/>
      <c r="P159" s="1324"/>
      <c r="Q159" s="1324"/>
      <c r="R159" s="1324"/>
      <c r="S159" s="1324"/>
      <c r="T159" s="1324"/>
      <c r="U159" s="1324"/>
      <c r="V159" s="1324"/>
      <c r="W159" s="1324"/>
      <c r="X159" s="1324"/>
      <c r="Y159" s="1324"/>
      <c r="Z159" s="1324"/>
      <c r="AA159" s="1324"/>
      <c r="AB159" s="1324"/>
      <c r="AC159" s="1324"/>
      <c r="AD159" s="1324"/>
      <c r="AE159" s="1324"/>
    </row>
    <row r="160" spans="1:31" s="1323" customFormat="1">
      <c r="A160" s="1328"/>
      <c r="B160" s="1390"/>
      <c r="C160" s="1324"/>
      <c r="D160" s="1324"/>
      <c r="E160" s="1337"/>
      <c r="F160" s="1365"/>
      <c r="G160" s="1388"/>
      <c r="H160" s="1387"/>
      <c r="I160" s="1362"/>
      <c r="J160" s="1324"/>
      <c r="K160" s="1324"/>
      <c r="L160" s="1324"/>
      <c r="M160" s="1324"/>
      <c r="N160" s="1324"/>
      <c r="O160" s="1324"/>
      <c r="P160" s="1324"/>
      <c r="Q160" s="1324"/>
      <c r="R160" s="1324"/>
      <c r="S160" s="1324"/>
      <c r="T160" s="1324"/>
      <c r="U160" s="1324"/>
      <c r="V160" s="1324"/>
      <c r="W160" s="1324"/>
      <c r="X160" s="1324"/>
      <c r="Y160" s="1324"/>
      <c r="Z160" s="1324"/>
      <c r="AA160" s="1324"/>
      <c r="AB160" s="1324"/>
      <c r="AC160" s="1324"/>
      <c r="AD160" s="1324"/>
      <c r="AE160" s="1324"/>
    </row>
    <row r="161" spans="1:31" s="1323" customFormat="1" ht="13.5" thickBot="1">
      <c r="A161" s="1328"/>
      <c r="B161" s="1324"/>
      <c r="C161" s="1324"/>
      <c r="D161" s="1324"/>
      <c r="E161" s="1418" t="s">
        <v>48</v>
      </c>
      <c r="F161" s="1417">
        <f>SUM(F155:F160)</f>
        <v>611900</v>
      </c>
      <c r="G161" s="1416">
        <f>SUM(G155:G160)</f>
        <v>0</v>
      </c>
      <c r="H161" s="1416">
        <f>SUM(H155:H160)</f>
        <v>0</v>
      </c>
      <c r="I161" s="1415">
        <f>SUM(F161:H161)</f>
        <v>611900</v>
      </c>
      <c r="J161" s="1324"/>
      <c r="K161" s="1324"/>
      <c r="L161" s="1324"/>
      <c r="M161" s="1324"/>
      <c r="N161" s="1324"/>
      <c r="O161" s="1324"/>
      <c r="P161" s="1324"/>
      <c r="Q161" s="1324"/>
      <c r="R161" s="1324"/>
      <c r="S161" s="1324"/>
      <c r="T161" s="1324"/>
      <c r="U161" s="1324"/>
      <c r="V161" s="1324"/>
      <c r="W161" s="1324"/>
      <c r="X161" s="1324"/>
      <c r="Y161" s="1324"/>
      <c r="Z161" s="1324"/>
      <c r="AA161" s="1324"/>
      <c r="AB161" s="1324"/>
      <c r="AC161" s="1324"/>
      <c r="AD161" s="1324"/>
      <c r="AE161" s="1324"/>
    </row>
    <row r="162" spans="1:31" s="1323" customFormat="1" ht="13.5" thickBot="1">
      <c r="A162" s="1328"/>
      <c r="B162" s="1322"/>
      <c r="C162" s="1321"/>
      <c r="D162" s="1320"/>
      <c r="E162" s="1319" t="s">
        <v>1649</v>
      </c>
      <c r="F162" s="1360">
        <f>F161/(1.2*2.4)/$K$162</f>
        <v>106232.63888888889</v>
      </c>
      <c r="G162" s="1359">
        <f>G161/(1.2*2.4)/$K$162</f>
        <v>0</v>
      </c>
      <c r="H162" s="1359">
        <f>H161/(1.2*2.4)/$K$162</f>
        <v>0</v>
      </c>
      <c r="I162" s="1358">
        <f>I161/(1.2*2.4)/$K$162</f>
        <v>106232.63888888889</v>
      </c>
      <c r="J162" s="1414" t="s">
        <v>1674</v>
      </c>
      <c r="K162" s="1413">
        <v>2</v>
      </c>
      <c r="L162" s="1324"/>
      <c r="M162" s="1324"/>
      <c r="N162" s="1324"/>
      <c r="O162" s="1324"/>
      <c r="P162" s="1324"/>
      <c r="Q162" s="1324"/>
      <c r="R162" s="1324"/>
      <c r="S162" s="1324"/>
      <c r="T162" s="1324"/>
      <c r="U162" s="1324"/>
      <c r="V162" s="1324"/>
      <c r="W162" s="1324"/>
      <c r="X162" s="1324"/>
      <c r="Y162" s="1324"/>
      <c r="Z162" s="1324"/>
      <c r="AA162" s="1324"/>
      <c r="AB162" s="1324"/>
      <c r="AC162" s="1324"/>
      <c r="AD162" s="1324"/>
      <c r="AE162" s="1324"/>
    </row>
    <row r="163" spans="1:31" s="1217" customFormat="1">
      <c r="A163" s="1265"/>
      <c r="B163" s="1313"/>
      <c r="C163" s="1312"/>
      <c r="D163" s="1311"/>
      <c r="E163" s="1274"/>
      <c r="F163" s="1272"/>
      <c r="G163" s="1342"/>
      <c r="H163" s="1412"/>
      <c r="I163" s="1272"/>
      <c r="J163" s="1260"/>
      <c r="K163" s="1260"/>
      <c r="L163" s="1260"/>
      <c r="M163" s="1260"/>
      <c r="N163" s="1260"/>
      <c r="O163" s="1260"/>
      <c r="P163" s="1260"/>
      <c r="Q163" s="1260"/>
      <c r="R163" s="1260"/>
      <c r="S163" s="1260"/>
      <c r="T163" s="1260"/>
      <c r="U163" s="1260"/>
      <c r="V163" s="1260"/>
      <c r="W163" s="1260"/>
      <c r="X163" s="1260"/>
      <c r="Y163" s="1260"/>
      <c r="Z163" s="1260"/>
      <c r="AA163" s="1260"/>
      <c r="AB163" s="1260"/>
      <c r="AC163" s="1260"/>
      <c r="AD163" s="1260"/>
      <c r="AE163" s="1260"/>
    </row>
    <row r="164" spans="1:31" s="1217" customFormat="1">
      <c r="A164" s="1265"/>
      <c r="B164" s="1260" t="s">
        <v>1673</v>
      </c>
      <c r="C164" s="1260"/>
      <c r="D164" s="1260"/>
      <c r="E164" s="1378"/>
      <c r="F164" s="1272"/>
      <c r="G164" s="1260"/>
      <c r="H164" s="1411"/>
      <c r="I164" s="1272"/>
      <c r="J164" s="1260"/>
      <c r="K164" s="1260"/>
      <c r="L164" s="1260"/>
      <c r="M164" s="1260"/>
      <c r="N164" s="1260"/>
      <c r="O164" s="1260"/>
      <c r="P164" s="1260"/>
      <c r="Q164" s="1260"/>
      <c r="R164" s="1260"/>
      <c r="S164" s="1260"/>
      <c r="T164" s="1260"/>
      <c r="U164" s="1260"/>
      <c r="V164" s="1260"/>
      <c r="W164" s="1260"/>
      <c r="X164" s="1260"/>
      <c r="Y164" s="1260"/>
      <c r="Z164" s="1260"/>
      <c r="AA164" s="1260"/>
      <c r="AB164" s="1260"/>
      <c r="AC164" s="1260"/>
      <c r="AD164" s="1260"/>
      <c r="AE164" s="1260"/>
    </row>
    <row r="165" spans="1:31" s="1217" customFormat="1">
      <c r="A165" s="1265"/>
      <c r="B165" s="1377">
        <v>1.1000000000000001</v>
      </c>
      <c r="C165" s="1260" t="s">
        <v>49</v>
      </c>
      <c r="D165" s="1260" t="s">
        <v>1672</v>
      </c>
      <c r="E165" s="1375">
        <f>Material!$G$50</f>
        <v>150000</v>
      </c>
      <c r="F165" s="1375">
        <f>B165*E165*1</f>
        <v>165000</v>
      </c>
      <c r="G165" s="1374"/>
      <c r="H165" s="1410"/>
      <c r="I165" s="1373"/>
      <c r="J165" s="1260"/>
      <c r="K165" s="1260"/>
      <c r="L165" s="1260"/>
      <c r="M165" s="1260"/>
      <c r="N165" s="1260"/>
      <c r="O165" s="1260"/>
      <c r="P165" s="1260"/>
      <c r="Q165" s="1260"/>
      <c r="R165" s="1260"/>
      <c r="S165" s="1260"/>
      <c r="T165" s="1260"/>
      <c r="U165" s="1260"/>
      <c r="V165" s="1260"/>
      <c r="W165" s="1260"/>
      <c r="X165" s="1260"/>
      <c r="Y165" s="1260"/>
      <c r="Z165" s="1260"/>
      <c r="AA165" s="1260"/>
      <c r="AB165" s="1260"/>
      <c r="AC165" s="1260"/>
      <c r="AD165" s="1260"/>
      <c r="AE165" s="1260"/>
    </row>
    <row r="166" spans="1:31" s="1217" customFormat="1">
      <c r="A166" s="1265"/>
      <c r="B166" s="1377">
        <v>1</v>
      </c>
      <c r="C166" s="1260" t="s">
        <v>49</v>
      </c>
      <c r="D166" s="1260" t="s">
        <v>1499</v>
      </c>
      <c r="E166" s="1375">
        <f>Upah!$D$30</f>
        <v>85000</v>
      </c>
      <c r="F166" s="1375"/>
      <c r="G166" s="1410">
        <f>B166*E166</f>
        <v>85000</v>
      </c>
      <c r="H166" s="1410"/>
      <c r="I166" s="1373"/>
      <c r="J166" s="1260"/>
      <c r="K166" s="1260"/>
      <c r="L166" s="1260"/>
      <c r="M166" s="1260"/>
      <c r="N166" s="1260"/>
      <c r="O166" s="1260"/>
      <c r="P166" s="1260"/>
      <c r="Q166" s="1260"/>
      <c r="R166" s="1260"/>
      <c r="S166" s="1260"/>
      <c r="T166" s="1260"/>
      <c r="U166" s="1260"/>
      <c r="V166" s="1260"/>
      <c r="W166" s="1260"/>
      <c r="X166" s="1260"/>
      <c r="Y166" s="1260"/>
      <c r="Z166" s="1260"/>
      <c r="AA166" s="1260"/>
      <c r="AB166" s="1260"/>
      <c r="AC166" s="1260"/>
      <c r="AD166" s="1260"/>
      <c r="AE166" s="1260"/>
    </row>
    <row r="167" spans="1:31" s="1217" customFormat="1">
      <c r="A167" s="1265"/>
      <c r="B167" s="1377"/>
      <c r="C167" s="1260"/>
      <c r="D167" s="1260"/>
      <c r="E167" s="1375"/>
      <c r="F167" s="1375"/>
      <c r="G167" s="1410"/>
      <c r="H167" s="1410"/>
      <c r="I167" s="1373"/>
      <c r="J167" s="1260"/>
      <c r="K167" s="1260"/>
      <c r="L167" s="1260"/>
      <c r="M167" s="1260"/>
      <c r="N167" s="1260"/>
      <c r="O167" s="1260"/>
      <c r="P167" s="1260"/>
      <c r="Q167" s="1260"/>
      <c r="R167" s="1260"/>
      <c r="S167" s="1260"/>
      <c r="T167" s="1260"/>
      <c r="U167" s="1260"/>
      <c r="V167" s="1260"/>
      <c r="W167" s="1260"/>
      <c r="X167" s="1260"/>
      <c r="Y167" s="1260"/>
      <c r="Z167" s="1260"/>
      <c r="AA167" s="1260"/>
      <c r="AB167" s="1260"/>
      <c r="AC167" s="1260"/>
      <c r="AD167" s="1260"/>
      <c r="AE167" s="1260"/>
    </row>
    <row r="168" spans="1:31" s="1217" customFormat="1">
      <c r="A168" s="1265"/>
      <c r="B168" s="1313"/>
      <c r="C168" s="1312"/>
      <c r="D168" s="1311"/>
      <c r="E168" s="1264" t="s">
        <v>1649</v>
      </c>
      <c r="F168" s="1371">
        <f>SUM(F164:F167)</f>
        <v>165000</v>
      </c>
      <c r="G168" s="1409">
        <f>SUM(G164:G167)</f>
        <v>85000</v>
      </c>
      <c r="H168" s="1371"/>
      <c r="I168" s="1371">
        <f>SUM(F168:G168)</f>
        <v>250000</v>
      </c>
      <c r="J168" s="1260"/>
      <c r="K168" s="1260"/>
      <c r="L168" s="1260"/>
      <c r="M168" s="1260"/>
      <c r="N168" s="1260"/>
      <c r="O168" s="1260"/>
      <c r="P168" s="1260"/>
      <c r="Q168" s="1260"/>
      <c r="R168" s="1260"/>
      <c r="S168" s="1260"/>
      <c r="T168" s="1260"/>
      <c r="U168" s="1260"/>
      <c r="V168" s="1260"/>
      <c r="W168" s="1260"/>
      <c r="X168" s="1260"/>
      <c r="Y168" s="1260"/>
      <c r="Z168" s="1260"/>
      <c r="AA168" s="1260"/>
      <c r="AB168" s="1260"/>
      <c r="AC168" s="1260"/>
      <c r="AD168" s="1260"/>
      <c r="AE168" s="1260"/>
    </row>
    <row r="169" spans="1:31">
      <c r="A169" s="1299"/>
      <c r="B169" s="1301"/>
      <c r="C169" s="1399"/>
      <c r="D169" s="1398"/>
      <c r="E169" s="1408"/>
      <c r="F169" s="1296"/>
      <c r="G169" s="1396"/>
      <c r="H169" s="1395"/>
      <c r="I169" s="1296"/>
      <c r="J169" s="1295"/>
      <c r="K169" s="1295"/>
      <c r="L169" s="1295"/>
      <c r="M169" s="1295"/>
      <c r="N169" s="1295"/>
      <c r="O169" s="1295"/>
      <c r="P169" s="1295"/>
      <c r="Q169" s="1295"/>
      <c r="R169" s="1295"/>
      <c r="S169" s="1295"/>
      <c r="T169" s="1295"/>
      <c r="U169" s="1295"/>
      <c r="V169" s="1295"/>
      <c r="W169" s="1295"/>
      <c r="X169" s="1295"/>
      <c r="Y169" s="1295"/>
      <c r="Z169" s="1295"/>
      <c r="AA169" s="1295"/>
      <c r="AB169" s="1295"/>
      <c r="AC169" s="1295"/>
      <c r="AD169" s="1295"/>
      <c r="AE169" s="1295"/>
    </row>
    <row r="170" spans="1:31">
      <c r="A170" s="1299"/>
      <c r="B170" s="1407"/>
      <c r="C170" s="1399"/>
      <c r="D170" s="1398"/>
      <c r="E170" s="1397"/>
      <c r="F170" s="1296"/>
      <c r="G170" s="1396"/>
      <c r="H170" s="1395"/>
      <c r="I170" s="1296"/>
      <c r="J170" s="1295"/>
      <c r="K170" s="1295"/>
      <c r="L170" s="1295"/>
      <c r="M170" s="1295"/>
      <c r="N170" s="1295"/>
      <c r="O170" s="1295"/>
      <c r="P170" s="1295"/>
      <c r="Q170" s="1295"/>
      <c r="R170" s="1295"/>
      <c r="S170" s="1295"/>
      <c r="T170" s="1295"/>
      <c r="U170" s="1295"/>
      <c r="V170" s="1295"/>
      <c r="W170" s="1295"/>
      <c r="X170" s="1295"/>
      <c r="Y170" s="1295"/>
      <c r="Z170" s="1295"/>
      <c r="AA170" s="1295"/>
      <c r="AB170" s="1295"/>
      <c r="AC170" s="1295"/>
      <c r="AD170" s="1295"/>
      <c r="AE170" s="1295"/>
    </row>
    <row r="171" spans="1:31" s="1323" customFormat="1">
      <c r="A171" s="1328"/>
      <c r="B171" s="1324" t="s">
        <v>1671</v>
      </c>
      <c r="C171" s="1324"/>
      <c r="D171" s="1324"/>
      <c r="E171" s="1394"/>
      <c r="F171" s="1331"/>
      <c r="G171" s="1324"/>
      <c r="H171" s="1393"/>
      <c r="I171" s="1331"/>
      <c r="J171" s="1324"/>
      <c r="K171" s="1324"/>
      <c r="L171" s="1324"/>
      <c r="M171" s="1324"/>
      <c r="N171" s="1324"/>
      <c r="O171" s="1324"/>
      <c r="P171" s="1324"/>
      <c r="Q171" s="1324"/>
      <c r="R171" s="1324"/>
      <c r="S171" s="1324"/>
      <c r="T171" s="1324"/>
      <c r="U171" s="1324"/>
      <c r="V171" s="1324"/>
      <c r="W171" s="1324"/>
      <c r="X171" s="1324"/>
      <c r="Y171" s="1324"/>
      <c r="Z171" s="1324"/>
      <c r="AA171" s="1324"/>
      <c r="AB171" s="1324"/>
      <c r="AC171" s="1324"/>
      <c r="AD171" s="1324"/>
      <c r="AE171" s="1324"/>
    </row>
    <row r="172" spans="1:31" s="1323" customFormat="1">
      <c r="A172" s="1328"/>
      <c r="B172" s="1390">
        <v>1.2</v>
      </c>
      <c r="C172" s="1324" t="s">
        <v>51</v>
      </c>
      <c r="D172" s="1324" t="s">
        <v>1664</v>
      </c>
      <c r="E172" s="1365">
        <f>Material!$G$12</f>
        <v>1165500</v>
      </c>
      <c r="F172" s="1365">
        <f>B172*E172*1</f>
        <v>1398600</v>
      </c>
      <c r="H172" s="1391"/>
      <c r="I172" s="1362"/>
      <c r="J172" s="1324"/>
      <c r="K172" s="1324"/>
      <c r="L172" s="1324"/>
      <c r="M172" s="1324"/>
      <c r="N172" s="1324"/>
      <c r="O172" s="1324"/>
      <c r="P172" s="1324"/>
      <c r="Q172" s="1324"/>
      <c r="R172" s="1324"/>
      <c r="S172" s="1324"/>
      <c r="T172" s="1324"/>
      <c r="U172" s="1324"/>
      <c r="V172" s="1324"/>
      <c r="W172" s="1324"/>
      <c r="X172" s="1324"/>
      <c r="Y172" s="1324"/>
      <c r="Z172" s="1324"/>
      <c r="AA172" s="1324"/>
      <c r="AB172" s="1324"/>
      <c r="AC172" s="1324"/>
      <c r="AD172" s="1324"/>
      <c r="AE172" s="1324"/>
    </row>
    <row r="173" spans="1:31" s="1323" customFormat="1">
      <c r="A173" s="1328"/>
      <c r="B173" s="1390">
        <v>1</v>
      </c>
      <c r="C173" s="1324" t="s">
        <v>51</v>
      </c>
      <c r="D173" s="1324" t="s">
        <v>1663</v>
      </c>
      <c r="E173" s="1337">
        <f>Upah!$D$21</f>
        <v>15000</v>
      </c>
      <c r="F173" s="1365"/>
      <c r="G173" s="1392"/>
      <c r="H173" s="1405">
        <f>B173*E173</f>
        <v>15000</v>
      </c>
      <c r="I173" s="1362"/>
      <c r="J173" s="1324"/>
      <c r="K173" s="1324"/>
      <c r="L173" s="1324"/>
      <c r="M173" s="1324"/>
      <c r="N173" s="1324"/>
      <c r="O173" s="1324"/>
      <c r="P173" s="1324"/>
      <c r="Q173" s="1324"/>
      <c r="R173" s="1324"/>
      <c r="S173" s="1324"/>
      <c r="T173" s="1324"/>
      <c r="U173" s="1324"/>
      <c r="V173" s="1324"/>
      <c r="W173" s="1324"/>
      <c r="X173" s="1324"/>
      <c r="Y173" s="1324"/>
      <c r="Z173" s="1324"/>
      <c r="AA173" s="1324"/>
      <c r="AB173" s="1324"/>
      <c r="AC173" s="1324"/>
      <c r="AD173" s="1324"/>
      <c r="AE173" s="1324"/>
    </row>
    <row r="174" spans="1:31" s="1323" customFormat="1">
      <c r="A174" s="1328"/>
      <c r="B174" s="1390">
        <v>1</v>
      </c>
      <c r="C174" s="1324" t="s">
        <v>51</v>
      </c>
      <c r="D174" s="1324" t="s">
        <v>1505</v>
      </c>
      <c r="E174" s="1337">
        <v>75000</v>
      </c>
      <c r="F174" s="1365"/>
      <c r="G174" s="1392"/>
      <c r="H174" s="1405">
        <f>B174*E174</f>
        <v>75000</v>
      </c>
      <c r="I174" s="1362"/>
      <c r="J174" s="1324"/>
      <c r="K174" s="1324"/>
      <c r="L174" s="1324"/>
      <c r="M174" s="1324"/>
      <c r="N174" s="1324"/>
      <c r="O174" s="1324"/>
      <c r="P174" s="1324"/>
      <c r="Q174" s="1324"/>
      <c r="R174" s="1324"/>
      <c r="S174" s="1324"/>
      <c r="T174" s="1324"/>
      <c r="U174" s="1324"/>
      <c r="V174" s="1324"/>
      <c r="W174" s="1324"/>
      <c r="X174" s="1324"/>
      <c r="Y174" s="1324"/>
      <c r="Z174" s="1324"/>
      <c r="AA174" s="1324"/>
      <c r="AB174" s="1324"/>
      <c r="AC174" s="1324"/>
      <c r="AD174" s="1324"/>
      <c r="AE174" s="1324"/>
    </row>
    <row r="175" spans="1:31" s="1323" customFormat="1">
      <c r="A175" s="1328"/>
      <c r="B175" s="1390">
        <v>1</v>
      </c>
      <c r="C175" s="1324" t="s">
        <v>51</v>
      </c>
      <c r="D175" s="1324" t="s">
        <v>1662</v>
      </c>
      <c r="E175" s="1337">
        <f>Upah!$D$76</f>
        <v>800000</v>
      </c>
      <c r="F175" s="1389"/>
      <c r="G175" s="1392">
        <f>B175*E175</f>
        <v>800000</v>
      </c>
      <c r="H175" s="1405"/>
      <c r="I175" s="1362"/>
      <c r="J175" s="1324"/>
      <c r="K175" s="1324"/>
      <c r="L175" s="1324"/>
      <c r="M175" s="1324"/>
      <c r="N175" s="1324"/>
      <c r="O175" s="1324"/>
      <c r="P175" s="1324"/>
      <c r="Q175" s="1324"/>
      <c r="R175" s="1324"/>
      <c r="S175" s="1324"/>
      <c r="T175" s="1324"/>
      <c r="U175" s="1324"/>
      <c r="V175" s="1324"/>
      <c r="W175" s="1324"/>
      <c r="X175" s="1324"/>
      <c r="Y175" s="1324"/>
      <c r="Z175" s="1324"/>
      <c r="AA175" s="1324"/>
      <c r="AB175" s="1324"/>
      <c r="AC175" s="1324"/>
      <c r="AD175" s="1324"/>
      <c r="AE175" s="1324"/>
    </row>
    <row r="176" spans="1:31" s="1323" customFormat="1" ht="13.5" thickBot="1">
      <c r="A176" s="1328"/>
      <c r="B176" s="1390"/>
      <c r="C176" s="1324"/>
      <c r="D176" s="1324"/>
      <c r="E176" s="1337"/>
      <c r="F176" s="1389"/>
      <c r="G176" s="1392"/>
      <c r="H176" s="1405"/>
      <c r="I176" s="1362"/>
      <c r="J176" s="1324"/>
      <c r="K176" s="1324"/>
      <c r="L176" s="1324"/>
      <c r="M176" s="1324"/>
      <c r="N176" s="1324"/>
      <c r="O176" s="1324"/>
      <c r="P176" s="1324"/>
      <c r="Q176" s="1324"/>
      <c r="R176" s="1324"/>
      <c r="S176" s="1324"/>
      <c r="T176" s="1324"/>
      <c r="U176" s="1324"/>
      <c r="V176" s="1324"/>
      <c r="W176" s="1324"/>
      <c r="X176" s="1324"/>
      <c r="Y176" s="1324"/>
      <c r="Z176" s="1324"/>
      <c r="AA176" s="1324"/>
      <c r="AB176" s="1324"/>
      <c r="AC176" s="1324"/>
      <c r="AD176" s="1324"/>
      <c r="AE176" s="1324"/>
    </row>
    <row r="177" spans="1:31" s="1323" customFormat="1" ht="13.5" thickBot="1">
      <c r="A177" s="1328"/>
      <c r="B177" s="1322"/>
      <c r="C177" s="1321"/>
      <c r="D177" s="1320"/>
      <c r="E177" s="1319" t="s">
        <v>48</v>
      </c>
      <c r="F177" s="1360">
        <f>SUM(F171:F176)</f>
        <v>1398600</v>
      </c>
      <c r="G177" s="1359">
        <f>SUM(G171:G176)</f>
        <v>800000</v>
      </c>
      <c r="H177" s="1359">
        <f>SUM(H171:H176)</f>
        <v>90000</v>
      </c>
      <c r="I177" s="1358">
        <f>SUM(F177:H177)</f>
        <v>2288600</v>
      </c>
      <c r="J177" s="1324"/>
      <c r="K177" s="1324"/>
      <c r="L177" s="1324"/>
      <c r="M177" s="1324"/>
      <c r="N177" s="1324"/>
      <c r="O177" s="1324"/>
      <c r="P177" s="1324"/>
      <c r="Q177" s="1324"/>
      <c r="R177" s="1324"/>
      <c r="S177" s="1324"/>
      <c r="T177" s="1324"/>
      <c r="U177" s="1324"/>
      <c r="V177" s="1324"/>
      <c r="W177" s="1324"/>
      <c r="X177" s="1324"/>
      <c r="Y177" s="1324"/>
      <c r="Z177" s="1324"/>
      <c r="AA177" s="1324"/>
      <c r="AB177" s="1324"/>
      <c r="AC177" s="1324"/>
      <c r="AD177" s="1324"/>
      <c r="AE177" s="1324"/>
    </row>
    <row r="178" spans="1:31" s="1323" customFormat="1">
      <c r="A178" s="1328"/>
      <c r="B178" s="1322"/>
      <c r="C178" s="1321"/>
      <c r="D178" s="1339"/>
      <c r="E178" s="1338"/>
      <c r="F178" s="1331"/>
      <c r="G178" s="1336"/>
      <c r="H178" s="1406"/>
      <c r="I178" s="1331"/>
      <c r="J178" s="1324"/>
      <c r="K178" s="1324"/>
      <c r="L178" s="1324"/>
      <c r="M178" s="1324"/>
      <c r="N178" s="1324"/>
      <c r="O178" s="1324"/>
      <c r="P178" s="1324"/>
      <c r="Q178" s="1324"/>
      <c r="R178" s="1324"/>
      <c r="S178" s="1324"/>
      <c r="T178" s="1324"/>
      <c r="U178" s="1324"/>
      <c r="V178" s="1324"/>
      <c r="W178" s="1324"/>
      <c r="X178" s="1324"/>
      <c r="Y178" s="1324"/>
      <c r="Z178" s="1324"/>
      <c r="AA178" s="1324"/>
      <c r="AB178" s="1324"/>
      <c r="AC178" s="1324"/>
      <c r="AD178" s="1324"/>
      <c r="AE178" s="1324"/>
    </row>
    <row r="179" spans="1:31" s="1323" customFormat="1">
      <c r="A179" s="1328"/>
      <c r="B179" s="1324" t="s">
        <v>1670</v>
      </c>
      <c r="C179" s="1324"/>
      <c r="D179" s="1324"/>
      <c r="E179" s="1394"/>
      <c r="F179" s="1331"/>
      <c r="G179" s="1324"/>
      <c r="H179" s="1393"/>
      <c r="I179" s="1331"/>
      <c r="J179" s="1324"/>
      <c r="K179" s="1324"/>
      <c r="L179" s="1324"/>
      <c r="M179" s="1324"/>
      <c r="N179" s="1324"/>
      <c r="O179" s="1324"/>
      <c r="P179" s="1324"/>
      <c r="Q179" s="1324"/>
      <c r="R179" s="1324"/>
      <c r="S179" s="1324"/>
      <c r="T179" s="1324"/>
      <c r="U179" s="1324"/>
      <c r="V179" s="1324"/>
      <c r="W179" s="1324"/>
      <c r="X179" s="1324"/>
      <c r="Y179" s="1324"/>
      <c r="Z179" s="1324"/>
      <c r="AA179" s="1324"/>
      <c r="AB179" s="1324"/>
      <c r="AC179" s="1324"/>
      <c r="AD179" s="1324"/>
      <c r="AE179" s="1324"/>
    </row>
    <row r="180" spans="1:31" s="1323" customFormat="1">
      <c r="A180" s="1328"/>
      <c r="B180" s="1390">
        <v>1.2</v>
      </c>
      <c r="C180" s="1324" t="s">
        <v>51</v>
      </c>
      <c r="D180" s="1324" t="s">
        <v>1664</v>
      </c>
      <c r="E180" s="1365">
        <f>Material!$G$12</f>
        <v>1165500</v>
      </c>
      <c r="F180" s="1365">
        <f>B180*E180*1</f>
        <v>1398600</v>
      </c>
      <c r="H180" s="1391"/>
      <c r="I180" s="1362"/>
      <c r="J180" s="1324"/>
      <c r="K180" s="1324"/>
      <c r="L180" s="1324"/>
      <c r="M180" s="1324"/>
      <c r="N180" s="1324"/>
      <c r="O180" s="1324"/>
      <c r="P180" s="1324"/>
      <c r="Q180" s="1324"/>
      <c r="R180" s="1324"/>
      <c r="S180" s="1324"/>
      <c r="T180" s="1324"/>
      <c r="U180" s="1324"/>
      <c r="V180" s="1324"/>
      <c r="W180" s="1324"/>
      <c r="X180" s="1324"/>
      <c r="Y180" s="1324"/>
      <c r="Z180" s="1324"/>
      <c r="AA180" s="1324"/>
      <c r="AB180" s="1324"/>
      <c r="AC180" s="1324"/>
      <c r="AD180" s="1324"/>
      <c r="AE180" s="1324"/>
    </row>
    <row r="181" spans="1:31" s="1323" customFormat="1">
      <c r="A181" s="1328"/>
      <c r="B181" s="1390">
        <v>1</v>
      </c>
      <c r="C181" s="1324" t="s">
        <v>51</v>
      </c>
      <c r="D181" s="1324" t="s">
        <v>1663</v>
      </c>
      <c r="E181" s="1337">
        <f>Upah!$D$21</f>
        <v>15000</v>
      </c>
      <c r="F181" s="1365"/>
      <c r="G181" s="1392"/>
      <c r="H181" s="1405">
        <f>B181*E181</f>
        <v>15000</v>
      </c>
      <c r="I181" s="1362"/>
      <c r="J181" s="1324"/>
      <c r="K181" s="1324"/>
      <c r="L181" s="1324"/>
      <c r="M181" s="1324"/>
      <c r="N181" s="1324"/>
      <c r="O181" s="1324"/>
      <c r="P181" s="1324"/>
      <c r="Q181" s="1324"/>
      <c r="R181" s="1324"/>
      <c r="S181" s="1324"/>
      <c r="T181" s="1324"/>
      <c r="U181" s="1324"/>
      <c r="V181" s="1324"/>
      <c r="W181" s="1324"/>
      <c r="X181" s="1324"/>
      <c r="Y181" s="1324"/>
      <c r="Z181" s="1324"/>
      <c r="AA181" s="1324"/>
      <c r="AB181" s="1324"/>
      <c r="AC181" s="1324"/>
      <c r="AD181" s="1324"/>
      <c r="AE181" s="1324"/>
    </row>
    <row r="182" spans="1:31" s="1323" customFormat="1">
      <c r="A182" s="1328"/>
      <c r="B182" s="1390">
        <v>1</v>
      </c>
      <c r="C182" s="1324" t="s">
        <v>51</v>
      </c>
      <c r="D182" s="1324" t="s">
        <v>1505</v>
      </c>
      <c r="E182" s="1337">
        <v>75000</v>
      </c>
      <c r="F182" s="1365"/>
      <c r="G182" s="1392"/>
      <c r="H182" s="1405">
        <f>B182*E182</f>
        <v>75000</v>
      </c>
      <c r="I182" s="1362"/>
      <c r="J182" s="1324"/>
      <c r="K182" s="1324"/>
      <c r="L182" s="1324"/>
      <c r="M182" s="1324"/>
      <c r="N182" s="1324"/>
      <c r="O182" s="1324"/>
      <c r="P182" s="1324"/>
      <c r="Q182" s="1324"/>
      <c r="R182" s="1324"/>
      <c r="S182" s="1324"/>
      <c r="T182" s="1324"/>
      <c r="U182" s="1324"/>
      <c r="V182" s="1324"/>
      <c r="W182" s="1324"/>
      <c r="X182" s="1324"/>
      <c r="Y182" s="1324"/>
      <c r="Z182" s="1324"/>
      <c r="AA182" s="1324"/>
      <c r="AB182" s="1324"/>
      <c r="AC182" s="1324"/>
      <c r="AD182" s="1324"/>
      <c r="AE182" s="1324"/>
    </row>
    <row r="183" spans="1:31" s="1323" customFormat="1">
      <c r="A183" s="1328"/>
      <c r="B183" s="1390">
        <v>1</v>
      </c>
      <c r="C183" s="1324" t="s">
        <v>51</v>
      </c>
      <c r="D183" s="1324" t="s">
        <v>1662</v>
      </c>
      <c r="E183" s="1337">
        <f>Upah!$D$77</f>
        <v>1100000</v>
      </c>
      <c r="F183" s="1389"/>
      <c r="G183" s="1392">
        <f>B183*E183</f>
        <v>1100000</v>
      </c>
      <c r="H183" s="1405"/>
      <c r="I183" s="1362"/>
      <c r="J183" s="1324"/>
      <c r="K183" s="1324"/>
      <c r="L183" s="1324"/>
      <c r="M183" s="1324"/>
      <c r="N183" s="1324"/>
      <c r="O183" s="1324"/>
      <c r="P183" s="1324"/>
      <c r="Q183" s="1324"/>
      <c r="R183" s="1324"/>
      <c r="S183" s="1324"/>
      <c r="T183" s="1324"/>
      <c r="U183" s="1324"/>
      <c r="V183" s="1324"/>
      <c r="W183" s="1324"/>
      <c r="X183" s="1324"/>
      <c r="Y183" s="1324"/>
      <c r="Z183" s="1324"/>
      <c r="AA183" s="1324"/>
      <c r="AB183" s="1324"/>
      <c r="AC183" s="1324"/>
      <c r="AD183" s="1324"/>
      <c r="AE183" s="1324"/>
    </row>
    <row r="184" spans="1:31" s="1323" customFormat="1" ht="13.5" thickBot="1">
      <c r="A184" s="1328"/>
      <c r="B184" s="1390"/>
      <c r="C184" s="1324"/>
      <c r="D184" s="1324"/>
      <c r="E184" s="1337"/>
      <c r="F184" s="1389"/>
      <c r="G184" s="1392"/>
      <c r="H184" s="1405"/>
      <c r="I184" s="1362"/>
      <c r="J184" s="1324"/>
      <c r="K184" s="1324"/>
      <c r="L184" s="1324"/>
      <c r="M184" s="1324"/>
      <c r="N184" s="1324"/>
      <c r="O184" s="1324"/>
      <c r="P184" s="1324"/>
      <c r="Q184" s="1324"/>
      <c r="R184" s="1324"/>
      <c r="S184" s="1324"/>
      <c r="T184" s="1324"/>
      <c r="U184" s="1324"/>
      <c r="V184" s="1324"/>
      <c r="W184" s="1324"/>
      <c r="X184" s="1324"/>
      <c r="Y184" s="1324"/>
      <c r="Z184" s="1324"/>
      <c r="AA184" s="1324"/>
      <c r="AB184" s="1324"/>
      <c r="AC184" s="1324"/>
      <c r="AD184" s="1324"/>
      <c r="AE184" s="1324"/>
    </row>
    <row r="185" spans="1:31" s="1323" customFormat="1" ht="13.5" thickBot="1">
      <c r="A185" s="1328"/>
      <c r="B185" s="1322"/>
      <c r="C185" s="1321"/>
      <c r="D185" s="1320"/>
      <c r="E185" s="1319" t="s">
        <v>48</v>
      </c>
      <c r="F185" s="1360">
        <f>SUM(F179:F184)</f>
        <v>1398600</v>
      </c>
      <c r="G185" s="1359">
        <f>SUM(G179:G184)</f>
        <v>1100000</v>
      </c>
      <c r="H185" s="1359">
        <f>SUM(H179:H184)</f>
        <v>90000</v>
      </c>
      <c r="I185" s="1358">
        <f>SUM(F185:H185)</f>
        <v>2588600</v>
      </c>
      <c r="J185" s="1324"/>
      <c r="K185" s="1324"/>
      <c r="L185" s="1324"/>
      <c r="M185" s="1324"/>
      <c r="N185" s="1324"/>
      <c r="O185" s="1324"/>
      <c r="P185" s="1324"/>
      <c r="Q185" s="1324"/>
      <c r="R185" s="1324"/>
      <c r="S185" s="1324"/>
      <c r="T185" s="1324"/>
      <c r="U185" s="1324"/>
      <c r="V185" s="1324"/>
      <c r="W185" s="1324"/>
      <c r="X185" s="1324"/>
      <c r="Y185" s="1324"/>
      <c r="Z185" s="1324"/>
      <c r="AA185" s="1324"/>
      <c r="AB185" s="1324"/>
      <c r="AC185" s="1324"/>
      <c r="AD185" s="1324"/>
      <c r="AE185" s="1324"/>
    </row>
    <row r="186" spans="1:31" s="1323" customFormat="1">
      <c r="A186" s="1328"/>
      <c r="B186" s="1322"/>
      <c r="C186" s="1321"/>
      <c r="D186" s="1339"/>
      <c r="E186" s="1338"/>
      <c r="F186" s="1331"/>
      <c r="G186" s="1336"/>
      <c r="H186" s="1406"/>
      <c r="I186" s="1331"/>
      <c r="J186" s="1324"/>
      <c r="K186" s="1324"/>
      <c r="L186" s="1324"/>
      <c r="M186" s="1324"/>
      <c r="N186" s="1324"/>
      <c r="O186" s="1324"/>
      <c r="P186" s="1324"/>
      <c r="Q186" s="1324"/>
      <c r="R186" s="1324"/>
      <c r="S186" s="1324"/>
      <c r="T186" s="1324"/>
      <c r="U186" s="1324"/>
      <c r="V186" s="1324"/>
      <c r="W186" s="1324"/>
      <c r="X186" s="1324"/>
      <c r="Y186" s="1324"/>
      <c r="Z186" s="1324"/>
      <c r="AA186" s="1324"/>
      <c r="AB186" s="1324"/>
      <c r="AC186" s="1324"/>
      <c r="AD186" s="1324"/>
      <c r="AE186" s="1324"/>
    </row>
    <row r="187" spans="1:31" s="1323" customFormat="1">
      <c r="A187" s="1328"/>
      <c r="B187" s="1324" t="s">
        <v>1669</v>
      </c>
      <c r="C187" s="1324"/>
      <c r="D187" s="1324"/>
      <c r="E187" s="1394"/>
      <c r="F187" s="1331"/>
      <c r="G187" s="1324"/>
      <c r="H187" s="1393"/>
      <c r="I187" s="1331"/>
      <c r="J187" s="1324"/>
      <c r="K187" s="1324"/>
      <c r="L187" s="1324"/>
      <c r="M187" s="1324"/>
      <c r="N187" s="1324"/>
      <c r="O187" s="1324"/>
      <c r="P187" s="1324"/>
      <c r="Q187" s="1324"/>
      <c r="R187" s="1324"/>
      <c r="S187" s="1324"/>
      <c r="T187" s="1324"/>
      <c r="U187" s="1324"/>
      <c r="V187" s="1324"/>
      <c r="W187" s="1324"/>
      <c r="X187" s="1324"/>
      <c r="Y187" s="1324"/>
      <c r="Z187" s="1324"/>
      <c r="AA187" s="1324"/>
      <c r="AB187" s="1324"/>
      <c r="AC187" s="1324"/>
      <c r="AD187" s="1324"/>
      <c r="AE187" s="1324"/>
    </row>
    <row r="188" spans="1:31" s="1323" customFormat="1">
      <c r="A188" s="1328"/>
      <c r="B188" s="1390">
        <v>1.05</v>
      </c>
      <c r="C188" s="1324" t="s">
        <v>51</v>
      </c>
      <c r="D188" s="1324" t="s">
        <v>1664</v>
      </c>
      <c r="E188" s="1365">
        <f>Material!$G$12</f>
        <v>1165500</v>
      </c>
      <c r="F188" s="1365">
        <f>B188*E188*1</f>
        <v>1223775</v>
      </c>
      <c r="H188" s="1391"/>
      <c r="I188" s="1362"/>
      <c r="J188" s="1324"/>
      <c r="K188" s="1324"/>
      <c r="L188" s="1324"/>
      <c r="M188" s="1324"/>
      <c r="N188" s="1324"/>
      <c r="O188" s="1324"/>
      <c r="P188" s="1324"/>
      <c r="Q188" s="1324"/>
      <c r="R188" s="1324"/>
      <c r="S188" s="1324"/>
      <c r="T188" s="1324"/>
      <c r="U188" s="1324"/>
      <c r="V188" s="1324"/>
      <c r="W188" s="1324"/>
      <c r="X188" s="1324"/>
      <c r="Y188" s="1324"/>
      <c r="Z188" s="1324"/>
      <c r="AA188" s="1324"/>
      <c r="AB188" s="1324"/>
      <c r="AC188" s="1324"/>
      <c r="AD188" s="1324"/>
      <c r="AE188" s="1324"/>
    </row>
    <row r="189" spans="1:31" s="1323" customFormat="1">
      <c r="A189" s="1328"/>
      <c r="B189" s="1390">
        <v>1</v>
      </c>
      <c r="C189" s="1324" t="s">
        <v>51</v>
      </c>
      <c r="D189" s="1324" t="s">
        <v>1663</v>
      </c>
      <c r="E189" s="1337">
        <f>Upah!$D$21</f>
        <v>15000</v>
      </c>
      <c r="F189" s="1365"/>
      <c r="G189" s="1392"/>
      <c r="H189" s="1405">
        <f>B189*E189</f>
        <v>15000</v>
      </c>
      <c r="I189" s="1362"/>
      <c r="J189" s="1324"/>
      <c r="K189" s="1324"/>
      <c r="L189" s="1324"/>
      <c r="M189" s="1324"/>
      <c r="N189" s="1324"/>
      <c r="O189" s="1324"/>
      <c r="P189" s="1324"/>
      <c r="Q189" s="1324"/>
      <c r="R189" s="1324"/>
      <c r="S189" s="1324"/>
      <c r="T189" s="1324"/>
      <c r="U189" s="1324"/>
      <c r="V189" s="1324"/>
      <c r="W189" s="1324"/>
      <c r="X189" s="1324"/>
      <c r="Y189" s="1324"/>
      <c r="Z189" s="1324"/>
      <c r="AA189" s="1324"/>
      <c r="AB189" s="1324"/>
      <c r="AC189" s="1324"/>
      <c r="AD189" s="1324"/>
      <c r="AE189" s="1324"/>
    </row>
    <row r="190" spans="1:31" s="1323" customFormat="1">
      <c r="A190" s="1328"/>
      <c r="B190" s="1390">
        <v>1</v>
      </c>
      <c r="C190" s="1324" t="s">
        <v>51</v>
      </c>
      <c r="D190" s="1324" t="s">
        <v>1505</v>
      </c>
      <c r="E190" s="1337">
        <v>250000</v>
      </c>
      <c r="F190" s="1365"/>
      <c r="G190" s="1392"/>
      <c r="H190" s="1405">
        <f>B190*E190</f>
        <v>250000</v>
      </c>
      <c r="I190" s="1362"/>
      <c r="J190" s="1324"/>
      <c r="K190" s="1324"/>
      <c r="L190" s="1324"/>
      <c r="M190" s="1324"/>
      <c r="N190" s="1324"/>
      <c r="O190" s="1324"/>
      <c r="P190" s="1324"/>
      <c r="Q190" s="1324"/>
      <c r="R190" s="1324"/>
      <c r="S190" s="1324"/>
      <c r="T190" s="1324"/>
      <c r="U190" s="1324"/>
      <c r="V190" s="1324"/>
      <c r="W190" s="1324"/>
      <c r="X190" s="1324"/>
      <c r="Y190" s="1324"/>
      <c r="Z190" s="1324"/>
      <c r="AA190" s="1324"/>
      <c r="AB190" s="1324"/>
      <c r="AC190" s="1324"/>
      <c r="AD190" s="1324"/>
      <c r="AE190" s="1324"/>
    </row>
    <row r="191" spans="1:31" s="1323" customFormat="1">
      <c r="A191" s="1328"/>
      <c r="B191" s="1390">
        <v>1</v>
      </c>
      <c r="C191" s="1324" t="s">
        <v>51</v>
      </c>
      <c r="D191" s="1324" t="s">
        <v>1662</v>
      </c>
      <c r="E191" s="1337">
        <f>Upah!$D$79</f>
        <v>1600000</v>
      </c>
      <c r="F191" s="1389"/>
      <c r="G191" s="1392">
        <f>B191*E191</f>
        <v>1600000</v>
      </c>
      <c r="H191" s="1405"/>
      <c r="I191" s="1362"/>
      <c r="J191" s="1324"/>
      <c r="K191" s="1324"/>
      <c r="L191" s="1324"/>
      <c r="M191" s="1324"/>
      <c r="N191" s="1324"/>
      <c r="O191" s="1324"/>
      <c r="P191" s="1324"/>
      <c r="Q191" s="1324"/>
      <c r="R191" s="1324"/>
      <c r="S191" s="1324"/>
      <c r="T191" s="1324"/>
      <c r="U191" s="1324"/>
      <c r="V191" s="1324"/>
      <c r="W191" s="1324"/>
      <c r="X191" s="1324"/>
      <c r="Y191" s="1324"/>
      <c r="Z191" s="1324"/>
      <c r="AA191" s="1324"/>
      <c r="AB191" s="1324"/>
      <c r="AC191" s="1324"/>
      <c r="AD191" s="1324"/>
      <c r="AE191" s="1324"/>
    </row>
    <row r="192" spans="1:31" s="1323" customFormat="1" ht="13.5" thickBot="1">
      <c r="A192" s="1328"/>
      <c r="B192" s="1390"/>
      <c r="C192" s="1324"/>
      <c r="D192" s="1324"/>
      <c r="E192" s="1337"/>
      <c r="F192" s="1389"/>
      <c r="G192" s="1392"/>
      <c r="H192" s="1405"/>
      <c r="I192" s="1362"/>
      <c r="J192" s="1324"/>
      <c r="K192" s="1324"/>
      <c r="L192" s="1324"/>
      <c r="M192" s="1324"/>
      <c r="N192" s="1324"/>
      <c r="O192" s="1324"/>
      <c r="P192" s="1324"/>
      <c r="Q192" s="1324"/>
      <c r="R192" s="1324"/>
      <c r="S192" s="1324"/>
      <c r="T192" s="1324"/>
      <c r="U192" s="1324"/>
      <c r="V192" s="1324"/>
      <c r="W192" s="1324"/>
      <c r="X192" s="1324"/>
      <c r="Y192" s="1324"/>
      <c r="Z192" s="1324"/>
      <c r="AA192" s="1324"/>
      <c r="AB192" s="1324"/>
      <c r="AC192" s="1324"/>
      <c r="AD192" s="1324"/>
      <c r="AE192" s="1324"/>
    </row>
    <row r="193" spans="1:31" s="1323" customFormat="1" ht="13.5" thickBot="1">
      <c r="A193" s="1328"/>
      <c r="B193" s="1322"/>
      <c r="C193" s="1321"/>
      <c r="D193" s="1320"/>
      <c r="E193" s="1319" t="s">
        <v>48</v>
      </c>
      <c r="F193" s="1360">
        <f>SUM(F187:F192)</f>
        <v>1223775</v>
      </c>
      <c r="G193" s="1359">
        <f>SUM(G187:G192)</f>
        <v>1600000</v>
      </c>
      <c r="H193" s="1359">
        <f>SUM(H187:H192)</f>
        <v>265000</v>
      </c>
      <c r="I193" s="1358">
        <f>SUM(F193:H193)</f>
        <v>3088775</v>
      </c>
      <c r="J193" s="1324"/>
      <c r="K193" s="1324"/>
      <c r="L193" s="1324"/>
      <c r="M193" s="1324"/>
      <c r="N193" s="1324"/>
      <c r="O193" s="1324"/>
      <c r="P193" s="1324"/>
      <c r="Q193" s="1324"/>
      <c r="R193" s="1324"/>
      <c r="S193" s="1324"/>
      <c r="T193" s="1324"/>
      <c r="U193" s="1324"/>
      <c r="V193" s="1324"/>
      <c r="W193" s="1324"/>
      <c r="X193" s="1324"/>
      <c r="Y193" s="1324"/>
      <c r="Z193" s="1324"/>
      <c r="AA193" s="1324"/>
      <c r="AB193" s="1324"/>
      <c r="AC193" s="1324"/>
      <c r="AD193" s="1324"/>
      <c r="AE193" s="1324"/>
    </row>
    <row r="194" spans="1:31" s="1323" customFormat="1">
      <c r="A194" s="1328"/>
      <c r="B194" s="1322"/>
      <c r="C194" s="1321"/>
      <c r="D194" s="1339"/>
      <c r="E194" s="1338"/>
      <c r="F194" s="1331"/>
      <c r="G194" s="1336"/>
      <c r="H194" s="1406"/>
      <c r="I194" s="1331"/>
      <c r="J194" s="1324"/>
      <c r="K194" s="1324"/>
      <c r="L194" s="1324"/>
      <c r="M194" s="1324"/>
      <c r="N194" s="1324"/>
      <c r="O194" s="1324"/>
      <c r="P194" s="1324"/>
      <c r="Q194" s="1324"/>
      <c r="R194" s="1324"/>
      <c r="S194" s="1324"/>
      <c r="T194" s="1324"/>
      <c r="U194" s="1324"/>
      <c r="V194" s="1324"/>
      <c r="W194" s="1324"/>
      <c r="X194" s="1324"/>
      <c r="Y194" s="1324"/>
      <c r="Z194" s="1324"/>
      <c r="AA194" s="1324"/>
      <c r="AB194" s="1324"/>
      <c r="AC194" s="1324"/>
      <c r="AD194" s="1324"/>
      <c r="AE194" s="1324"/>
    </row>
    <row r="195" spans="1:31" s="1323" customFormat="1">
      <c r="A195" s="1328"/>
      <c r="B195" s="1324" t="s">
        <v>1668</v>
      </c>
      <c r="C195" s="1324"/>
      <c r="D195" s="1324"/>
      <c r="E195" s="1394"/>
      <c r="F195" s="1331"/>
      <c r="G195" s="1324"/>
      <c r="H195" s="1393"/>
      <c r="I195" s="1331"/>
      <c r="J195" s="1324"/>
      <c r="K195" s="1324"/>
      <c r="L195" s="1324"/>
      <c r="M195" s="1324"/>
      <c r="N195" s="1324"/>
      <c r="O195" s="1324"/>
      <c r="P195" s="1324"/>
      <c r="Q195" s="1324"/>
      <c r="R195" s="1324"/>
      <c r="S195" s="1324"/>
      <c r="T195" s="1324"/>
      <c r="U195" s="1324"/>
      <c r="V195" s="1324"/>
      <c r="W195" s="1324"/>
      <c r="X195" s="1324"/>
      <c r="Y195" s="1324"/>
      <c r="Z195" s="1324"/>
      <c r="AA195" s="1324"/>
      <c r="AB195" s="1324"/>
      <c r="AC195" s="1324"/>
      <c r="AD195" s="1324"/>
      <c r="AE195" s="1324"/>
    </row>
    <row r="196" spans="1:31" s="1323" customFormat="1">
      <c r="A196" s="1328"/>
      <c r="B196" s="1390">
        <v>1.05</v>
      </c>
      <c r="C196" s="1324" t="s">
        <v>51</v>
      </c>
      <c r="D196" s="1324" t="s">
        <v>1664</v>
      </c>
      <c r="E196" s="1365">
        <f>Material!$G$11</f>
        <v>1165500</v>
      </c>
      <c r="F196" s="1365">
        <f>B196*E196*1</f>
        <v>1223775</v>
      </c>
      <c r="H196" s="1391"/>
      <c r="I196" s="1362"/>
      <c r="J196" s="1324"/>
      <c r="K196" s="1324"/>
      <c r="L196" s="1324"/>
      <c r="M196" s="1324"/>
      <c r="N196" s="1324"/>
      <c r="O196" s="1324"/>
      <c r="P196" s="1324"/>
      <c r="Q196" s="1324"/>
      <c r="R196" s="1324"/>
      <c r="S196" s="1324"/>
      <c r="T196" s="1324"/>
      <c r="U196" s="1324"/>
      <c r="V196" s="1324"/>
      <c r="W196" s="1324"/>
      <c r="X196" s="1324"/>
      <c r="Y196" s="1324"/>
      <c r="Z196" s="1324"/>
      <c r="AA196" s="1324"/>
      <c r="AB196" s="1324"/>
      <c r="AC196" s="1324"/>
      <c r="AD196" s="1324"/>
      <c r="AE196" s="1324"/>
    </row>
    <row r="197" spans="1:31" s="1323" customFormat="1">
      <c r="A197" s="1328"/>
      <c r="B197" s="1390">
        <v>1</v>
      </c>
      <c r="C197" s="1324" t="s">
        <v>51</v>
      </c>
      <c r="D197" s="1324" t="s">
        <v>1663</v>
      </c>
      <c r="E197" s="1337">
        <f>Upah!$D$21</f>
        <v>15000</v>
      </c>
      <c r="F197" s="1365"/>
      <c r="G197" s="1392"/>
      <c r="H197" s="1405">
        <f>B197*E197</f>
        <v>15000</v>
      </c>
      <c r="I197" s="1362"/>
      <c r="J197" s="1324"/>
      <c r="K197" s="1324"/>
      <c r="L197" s="1324"/>
      <c r="M197" s="1324"/>
      <c r="N197" s="1324"/>
      <c r="O197" s="1324"/>
      <c r="P197" s="1324"/>
      <c r="Q197" s="1324"/>
      <c r="R197" s="1324"/>
      <c r="S197" s="1324"/>
      <c r="T197" s="1324"/>
      <c r="U197" s="1324"/>
      <c r="V197" s="1324"/>
      <c r="W197" s="1324"/>
      <c r="X197" s="1324"/>
      <c r="Y197" s="1324"/>
      <c r="Z197" s="1324"/>
      <c r="AA197" s="1324"/>
      <c r="AB197" s="1324"/>
      <c r="AC197" s="1324"/>
      <c r="AD197" s="1324"/>
      <c r="AE197" s="1324"/>
    </row>
    <row r="198" spans="1:31" s="1323" customFormat="1">
      <c r="A198" s="1328"/>
      <c r="B198" s="1390">
        <v>1</v>
      </c>
      <c r="C198" s="1324" t="s">
        <v>51</v>
      </c>
      <c r="D198" s="1324" t="s">
        <v>1505</v>
      </c>
      <c r="E198" s="1337">
        <v>75000</v>
      </c>
      <c r="F198" s="1365"/>
      <c r="G198" s="1392"/>
      <c r="H198" s="1405">
        <f>B198*E198</f>
        <v>75000</v>
      </c>
      <c r="I198" s="1362"/>
      <c r="J198" s="1324"/>
      <c r="K198" s="1324"/>
      <c r="L198" s="1324"/>
      <c r="M198" s="1324"/>
      <c r="N198" s="1324"/>
      <c r="O198" s="1324"/>
      <c r="P198" s="1324"/>
      <c r="Q198" s="1324"/>
      <c r="R198" s="1324"/>
      <c r="S198" s="1324"/>
      <c r="T198" s="1324"/>
      <c r="U198" s="1324"/>
      <c r="V198" s="1324"/>
      <c r="W198" s="1324"/>
      <c r="X198" s="1324"/>
      <c r="Y198" s="1324"/>
      <c r="Z198" s="1324"/>
      <c r="AA198" s="1324"/>
      <c r="AB198" s="1324"/>
      <c r="AC198" s="1324"/>
      <c r="AD198" s="1324"/>
      <c r="AE198" s="1324"/>
    </row>
    <row r="199" spans="1:31" s="1323" customFormat="1">
      <c r="A199" s="1328"/>
      <c r="B199" s="1390">
        <v>1</v>
      </c>
      <c r="C199" s="1324" t="s">
        <v>51</v>
      </c>
      <c r="D199" s="1324" t="s">
        <v>1662</v>
      </c>
      <c r="E199" s="1337">
        <f>Upah!$D$78</f>
        <v>1500000</v>
      </c>
      <c r="F199" s="1389"/>
      <c r="G199" s="1392">
        <f>B199*E199</f>
        <v>1500000</v>
      </c>
      <c r="H199" s="1405"/>
      <c r="I199" s="1362"/>
      <c r="J199" s="1324"/>
      <c r="K199" s="1324"/>
      <c r="L199" s="1324"/>
      <c r="M199" s="1324"/>
      <c r="N199" s="1324"/>
      <c r="O199" s="1324"/>
      <c r="P199" s="1324"/>
      <c r="Q199" s="1324"/>
      <c r="R199" s="1324"/>
      <c r="S199" s="1324"/>
      <c r="T199" s="1324"/>
      <c r="U199" s="1324"/>
      <c r="V199" s="1324"/>
      <c r="W199" s="1324"/>
      <c r="X199" s="1324"/>
      <c r="Y199" s="1324"/>
      <c r="Z199" s="1324"/>
      <c r="AA199" s="1324"/>
      <c r="AB199" s="1324"/>
      <c r="AC199" s="1324"/>
      <c r="AD199" s="1324"/>
      <c r="AE199" s="1324"/>
    </row>
    <row r="200" spans="1:31" s="1323" customFormat="1" ht="13.5" thickBot="1">
      <c r="A200" s="1328"/>
      <c r="B200" s="1390"/>
      <c r="C200" s="1324"/>
      <c r="D200" s="1324"/>
      <c r="E200" s="1337"/>
      <c r="F200" s="1389"/>
      <c r="G200" s="1392"/>
      <c r="H200" s="1405"/>
      <c r="I200" s="1362"/>
      <c r="J200" s="1324"/>
      <c r="K200" s="1324"/>
      <c r="L200" s="1324"/>
      <c r="M200" s="1324"/>
      <c r="N200" s="1324"/>
      <c r="O200" s="1324"/>
      <c r="P200" s="1324"/>
      <c r="Q200" s="1324"/>
      <c r="R200" s="1324"/>
      <c r="S200" s="1324"/>
      <c r="T200" s="1324"/>
      <c r="U200" s="1324"/>
      <c r="V200" s="1324"/>
      <c r="W200" s="1324"/>
      <c r="X200" s="1324"/>
      <c r="Y200" s="1324"/>
      <c r="Z200" s="1324"/>
      <c r="AA200" s="1324"/>
      <c r="AB200" s="1324"/>
      <c r="AC200" s="1324"/>
      <c r="AD200" s="1324"/>
      <c r="AE200" s="1324"/>
    </row>
    <row r="201" spans="1:31" s="1323" customFormat="1" ht="13.5" thickBot="1">
      <c r="A201" s="1328"/>
      <c r="B201" s="1322"/>
      <c r="C201" s="1321"/>
      <c r="D201" s="1320"/>
      <c r="E201" s="1319" t="s">
        <v>48</v>
      </c>
      <c r="F201" s="1360">
        <f>SUM(F195:F200)</f>
        <v>1223775</v>
      </c>
      <c r="G201" s="1359">
        <f>SUM(G195:G200)</f>
        <v>1500000</v>
      </c>
      <c r="H201" s="1359">
        <f>SUM(H195:H200)</f>
        <v>90000</v>
      </c>
      <c r="I201" s="1358">
        <f>SUM(F201:H201)</f>
        <v>2813775</v>
      </c>
      <c r="J201" s="1324"/>
      <c r="K201" s="1324"/>
      <c r="L201" s="1324"/>
      <c r="M201" s="1324"/>
      <c r="N201" s="1324"/>
      <c r="O201" s="1324"/>
      <c r="P201" s="1324"/>
      <c r="Q201" s="1324"/>
      <c r="R201" s="1324"/>
      <c r="S201" s="1324"/>
      <c r="T201" s="1324"/>
      <c r="U201" s="1324"/>
      <c r="V201" s="1324"/>
      <c r="W201" s="1324"/>
      <c r="X201" s="1324"/>
      <c r="Y201" s="1324"/>
      <c r="Z201" s="1324"/>
      <c r="AA201" s="1324"/>
      <c r="AB201" s="1324"/>
      <c r="AC201" s="1324"/>
      <c r="AD201" s="1324"/>
      <c r="AE201" s="1324"/>
    </row>
    <row r="202" spans="1:31" s="1323" customFormat="1">
      <c r="A202" s="1328"/>
      <c r="B202" s="1322"/>
      <c r="C202" s="1321"/>
      <c r="D202" s="1339"/>
      <c r="E202" s="1338"/>
      <c r="F202" s="1331"/>
      <c r="G202" s="1336"/>
      <c r="H202" s="1406"/>
      <c r="I202" s="1331"/>
      <c r="J202" s="1324"/>
      <c r="K202" s="1324"/>
      <c r="L202" s="1324"/>
      <c r="M202" s="1324"/>
      <c r="N202" s="1324"/>
      <c r="O202" s="1324"/>
      <c r="P202" s="1324"/>
      <c r="Q202" s="1324"/>
      <c r="R202" s="1324"/>
      <c r="S202" s="1324"/>
      <c r="T202" s="1324"/>
      <c r="U202" s="1324"/>
      <c r="V202" s="1324"/>
      <c r="W202" s="1324"/>
      <c r="X202" s="1324"/>
      <c r="Y202" s="1324"/>
      <c r="Z202" s="1324"/>
      <c r="AA202" s="1324"/>
      <c r="AB202" s="1324"/>
      <c r="AC202" s="1324"/>
      <c r="AD202" s="1324"/>
      <c r="AE202" s="1324"/>
    </row>
    <row r="203" spans="1:31" s="1323" customFormat="1">
      <c r="A203" s="1328"/>
      <c r="B203" s="1324" t="s">
        <v>1667</v>
      </c>
      <c r="C203" s="1324"/>
      <c r="D203" s="1324"/>
      <c r="E203" s="1394"/>
      <c r="F203" s="1331"/>
      <c r="G203" s="1324"/>
      <c r="H203" s="1393"/>
      <c r="I203" s="1331"/>
      <c r="J203" s="1324"/>
      <c r="K203" s="1324"/>
      <c r="L203" s="1324"/>
      <c r="M203" s="1324"/>
      <c r="N203" s="1324"/>
      <c r="O203" s="1324"/>
      <c r="P203" s="1324"/>
      <c r="Q203" s="1324"/>
      <c r="R203" s="1324"/>
      <c r="S203" s="1324"/>
      <c r="T203" s="1324"/>
      <c r="U203" s="1324"/>
      <c r="V203" s="1324"/>
      <c r="W203" s="1324"/>
      <c r="X203" s="1324"/>
      <c r="Y203" s="1324"/>
      <c r="Z203" s="1324"/>
      <c r="AA203" s="1324"/>
      <c r="AB203" s="1324"/>
      <c r="AC203" s="1324"/>
      <c r="AD203" s="1324"/>
      <c r="AE203" s="1324"/>
    </row>
    <row r="204" spans="1:31" s="1323" customFormat="1">
      <c r="A204" s="1328"/>
      <c r="B204" s="1390">
        <v>1.05</v>
      </c>
      <c r="C204" s="1324" t="s">
        <v>51</v>
      </c>
      <c r="D204" s="1324" t="s">
        <v>1664</v>
      </c>
      <c r="E204" s="1365">
        <f>Material!$G$12</f>
        <v>1165500</v>
      </c>
      <c r="F204" s="1365">
        <f>B204*E204*1</f>
        <v>1223775</v>
      </c>
      <c r="H204" s="1391"/>
      <c r="I204" s="1362"/>
      <c r="J204" s="1324"/>
      <c r="K204" s="1324"/>
      <c r="L204" s="1324"/>
      <c r="M204" s="1324"/>
      <c r="N204" s="1324"/>
      <c r="O204" s="1324"/>
      <c r="P204" s="1324"/>
      <c r="Q204" s="1324"/>
      <c r="R204" s="1324"/>
      <c r="S204" s="1324"/>
      <c r="T204" s="1324"/>
      <c r="U204" s="1324"/>
      <c r="V204" s="1324"/>
      <c r="W204" s="1324"/>
      <c r="X204" s="1324"/>
      <c r="Y204" s="1324"/>
      <c r="Z204" s="1324"/>
      <c r="AA204" s="1324"/>
      <c r="AB204" s="1324"/>
      <c r="AC204" s="1324"/>
      <c r="AD204" s="1324"/>
      <c r="AE204" s="1324"/>
    </row>
    <row r="205" spans="1:31" s="1323" customFormat="1">
      <c r="A205" s="1328"/>
      <c r="B205" s="1390">
        <v>1</v>
      </c>
      <c r="C205" s="1324" t="s">
        <v>51</v>
      </c>
      <c r="D205" s="1324" t="s">
        <v>1663</v>
      </c>
      <c r="E205" s="1337">
        <f>Upah!$D$21</f>
        <v>15000</v>
      </c>
      <c r="F205" s="1365"/>
      <c r="G205" s="1392"/>
      <c r="H205" s="1405">
        <f>B205*E205</f>
        <v>15000</v>
      </c>
      <c r="I205" s="1362"/>
      <c r="J205" s="1324"/>
      <c r="K205" s="1324"/>
      <c r="L205" s="1324"/>
      <c r="M205" s="1324"/>
      <c r="N205" s="1324"/>
      <c r="O205" s="1324"/>
      <c r="P205" s="1324"/>
      <c r="Q205" s="1324"/>
      <c r="R205" s="1324"/>
      <c r="S205" s="1324"/>
      <c r="T205" s="1324"/>
      <c r="U205" s="1324"/>
      <c r="V205" s="1324"/>
      <c r="W205" s="1324"/>
      <c r="X205" s="1324"/>
      <c r="Y205" s="1324"/>
      <c r="Z205" s="1324"/>
      <c r="AA205" s="1324"/>
      <c r="AB205" s="1324"/>
      <c r="AC205" s="1324"/>
      <c r="AD205" s="1324"/>
      <c r="AE205" s="1324"/>
    </row>
    <row r="206" spans="1:31" s="1323" customFormat="1">
      <c r="A206" s="1328"/>
      <c r="B206" s="1390">
        <v>1</v>
      </c>
      <c r="C206" s="1324" t="s">
        <v>51</v>
      </c>
      <c r="D206" s="1324" t="s">
        <v>1505</v>
      </c>
      <c r="E206" s="1337">
        <v>75000</v>
      </c>
      <c r="F206" s="1365"/>
      <c r="G206" s="1392"/>
      <c r="H206" s="1405">
        <f>B206*E206</f>
        <v>75000</v>
      </c>
      <c r="I206" s="1362"/>
      <c r="J206" s="1324"/>
      <c r="K206" s="1324"/>
      <c r="L206" s="1324"/>
      <c r="M206" s="1324"/>
      <c r="N206" s="1324"/>
      <c r="O206" s="1324"/>
      <c r="P206" s="1324"/>
      <c r="Q206" s="1324"/>
      <c r="R206" s="1324"/>
      <c r="S206" s="1324"/>
      <c r="T206" s="1324"/>
      <c r="U206" s="1324"/>
      <c r="V206" s="1324"/>
      <c r="W206" s="1324"/>
      <c r="X206" s="1324"/>
      <c r="Y206" s="1324"/>
      <c r="Z206" s="1324"/>
      <c r="AA206" s="1324"/>
      <c r="AB206" s="1324"/>
      <c r="AC206" s="1324"/>
      <c r="AD206" s="1324"/>
      <c r="AE206" s="1324"/>
    </row>
    <row r="207" spans="1:31" s="1323" customFormat="1">
      <c r="A207" s="1328"/>
      <c r="B207" s="1390">
        <v>1</v>
      </c>
      <c r="C207" s="1324" t="s">
        <v>51</v>
      </c>
      <c r="D207" s="1324" t="s">
        <v>1662</v>
      </c>
      <c r="E207" s="1337">
        <f>Upah!$D$80</f>
        <v>800000</v>
      </c>
      <c r="F207" s="1389"/>
      <c r="G207" s="1392">
        <f>B207*E207</f>
        <v>800000</v>
      </c>
      <c r="H207" s="1405"/>
      <c r="I207" s="1362"/>
      <c r="J207" s="1324"/>
      <c r="K207" s="1324"/>
      <c r="L207" s="1324"/>
      <c r="M207" s="1324"/>
      <c r="N207" s="1324"/>
      <c r="O207" s="1324"/>
      <c r="P207" s="1324"/>
      <c r="Q207" s="1324"/>
      <c r="R207" s="1324"/>
      <c r="S207" s="1324"/>
      <c r="T207" s="1324"/>
      <c r="U207" s="1324"/>
      <c r="V207" s="1324"/>
      <c r="W207" s="1324"/>
      <c r="X207" s="1324"/>
      <c r="Y207" s="1324"/>
      <c r="Z207" s="1324"/>
      <c r="AA207" s="1324"/>
      <c r="AB207" s="1324"/>
      <c r="AC207" s="1324"/>
      <c r="AD207" s="1324"/>
      <c r="AE207" s="1324"/>
    </row>
    <row r="208" spans="1:31" s="1323" customFormat="1" ht="13.5" thickBot="1">
      <c r="A208" s="1328"/>
      <c r="B208" s="1390"/>
      <c r="C208" s="1324"/>
      <c r="D208" s="1324"/>
      <c r="E208" s="1337"/>
      <c r="F208" s="1389"/>
      <c r="G208" s="1392"/>
      <c r="H208" s="1405"/>
      <c r="I208" s="1362"/>
      <c r="J208" s="1324"/>
      <c r="K208" s="1324"/>
      <c r="L208" s="1324"/>
      <c r="M208" s="1324"/>
      <c r="N208" s="1324"/>
      <c r="O208" s="1324"/>
      <c r="P208" s="1324"/>
      <c r="Q208" s="1324"/>
      <c r="R208" s="1324"/>
      <c r="S208" s="1324"/>
      <c r="T208" s="1324"/>
      <c r="U208" s="1324"/>
      <c r="V208" s="1324"/>
      <c r="W208" s="1324"/>
      <c r="X208" s="1324"/>
      <c r="Y208" s="1324"/>
      <c r="Z208" s="1324"/>
      <c r="AA208" s="1324"/>
      <c r="AB208" s="1324"/>
      <c r="AC208" s="1324"/>
      <c r="AD208" s="1324"/>
      <c r="AE208" s="1324"/>
    </row>
    <row r="209" spans="1:31" s="1323" customFormat="1" ht="13.5" thickBot="1">
      <c r="A209" s="1328"/>
      <c r="B209" s="1322"/>
      <c r="C209" s="1321"/>
      <c r="D209" s="1320"/>
      <c r="E209" s="1319" t="s">
        <v>48</v>
      </c>
      <c r="F209" s="1360">
        <f>SUM(F203:F208)</f>
        <v>1223775</v>
      </c>
      <c r="G209" s="1359">
        <f>SUM(G203:G208)</f>
        <v>800000</v>
      </c>
      <c r="H209" s="1359">
        <f>SUM(H203:H208)</f>
        <v>90000</v>
      </c>
      <c r="I209" s="1358">
        <f>SUM(F209:H209)</f>
        <v>2113775</v>
      </c>
      <c r="J209" s="1324"/>
      <c r="K209" s="1324"/>
      <c r="L209" s="1324"/>
      <c r="M209" s="1324"/>
      <c r="N209" s="1324"/>
      <c r="O209" s="1324"/>
      <c r="P209" s="1324"/>
      <c r="Q209" s="1324"/>
      <c r="R209" s="1324"/>
      <c r="S209" s="1324"/>
      <c r="T209" s="1324"/>
      <c r="U209" s="1324"/>
      <c r="V209" s="1324"/>
      <c r="W209" s="1324"/>
      <c r="X209" s="1324"/>
      <c r="Y209" s="1324"/>
      <c r="Z209" s="1324"/>
      <c r="AA209" s="1324"/>
      <c r="AB209" s="1324"/>
      <c r="AC209" s="1324"/>
      <c r="AD209" s="1324"/>
      <c r="AE209" s="1324"/>
    </row>
    <row r="210" spans="1:31" s="1323" customFormat="1">
      <c r="A210" s="1328"/>
      <c r="B210" s="1322"/>
      <c r="C210" s="1321"/>
      <c r="D210" s="1339"/>
      <c r="E210" s="1338"/>
      <c r="F210" s="1331"/>
      <c r="G210" s="1336"/>
      <c r="H210" s="1406"/>
      <c r="I210" s="1331"/>
      <c r="J210" s="1324"/>
      <c r="K210" s="1324"/>
      <c r="L210" s="1324"/>
      <c r="M210" s="1324"/>
      <c r="N210" s="1324"/>
      <c r="O210" s="1324"/>
      <c r="P210" s="1324"/>
      <c r="Q210" s="1324"/>
      <c r="R210" s="1324"/>
      <c r="S210" s="1324"/>
      <c r="T210" s="1324"/>
      <c r="U210" s="1324"/>
      <c r="V210" s="1324"/>
      <c r="W210" s="1324"/>
      <c r="X210" s="1324"/>
      <c r="Y210" s="1324"/>
      <c r="Z210" s="1324"/>
      <c r="AA210" s="1324"/>
      <c r="AB210" s="1324"/>
      <c r="AC210" s="1324"/>
      <c r="AD210" s="1324"/>
      <c r="AE210" s="1324"/>
    </row>
    <row r="211" spans="1:31" s="1323" customFormat="1">
      <c r="A211" s="1328"/>
      <c r="B211" s="1324" t="s">
        <v>1666</v>
      </c>
      <c r="C211" s="1324"/>
      <c r="D211" s="1324"/>
      <c r="E211" s="1394"/>
      <c r="F211" s="1331"/>
      <c r="G211" s="1324"/>
      <c r="H211" s="1393"/>
      <c r="I211" s="1331"/>
      <c r="J211" s="1324"/>
      <c r="K211" s="1324"/>
      <c r="L211" s="1324"/>
      <c r="M211" s="1324"/>
      <c r="N211" s="1324"/>
      <c r="O211" s="1324"/>
      <c r="P211" s="1324"/>
      <c r="Q211" s="1324"/>
      <c r="R211" s="1324"/>
      <c r="S211" s="1324"/>
      <c r="T211" s="1324"/>
      <c r="U211" s="1324"/>
      <c r="V211" s="1324"/>
      <c r="W211" s="1324"/>
      <c r="X211" s="1324"/>
      <c r="Y211" s="1324"/>
      <c r="Z211" s="1324"/>
      <c r="AA211" s="1324"/>
      <c r="AB211" s="1324"/>
      <c r="AC211" s="1324"/>
      <c r="AD211" s="1324"/>
      <c r="AE211" s="1324"/>
    </row>
    <row r="212" spans="1:31" s="1323" customFormat="1">
      <c r="A212" s="1328"/>
      <c r="B212" s="1390">
        <v>1.05</v>
      </c>
      <c r="C212" s="1324" t="s">
        <v>51</v>
      </c>
      <c r="D212" s="1324" t="s">
        <v>1664</v>
      </c>
      <c r="E212" s="1365">
        <f>Material!$G$11</f>
        <v>1165500</v>
      </c>
      <c r="F212" s="1365">
        <f>B212*E212*1</f>
        <v>1223775</v>
      </c>
      <c r="H212" s="1391"/>
      <c r="I212" s="1362"/>
      <c r="J212" s="1324"/>
      <c r="K212" s="1324"/>
      <c r="L212" s="1324"/>
      <c r="M212" s="1324"/>
      <c r="N212" s="1324"/>
      <c r="O212" s="1324"/>
      <c r="P212" s="1324"/>
      <c r="Q212" s="1324"/>
      <c r="R212" s="1324"/>
      <c r="S212" s="1324"/>
      <c r="T212" s="1324"/>
      <c r="U212" s="1324"/>
      <c r="V212" s="1324"/>
      <c r="W212" s="1324"/>
      <c r="X212" s="1324"/>
      <c r="Y212" s="1324"/>
      <c r="Z212" s="1324"/>
      <c r="AA212" s="1324"/>
      <c r="AB212" s="1324"/>
      <c r="AC212" s="1324"/>
      <c r="AD212" s="1324"/>
      <c r="AE212" s="1324"/>
    </row>
    <row r="213" spans="1:31" s="1323" customFormat="1">
      <c r="A213" s="1328"/>
      <c r="B213" s="1390">
        <v>1</v>
      </c>
      <c r="C213" s="1324" t="s">
        <v>51</v>
      </c>
      <c r="D213" s="1324" t="s">
        <v>1663</v>
      </c>
      <c r="E213" s="1337">
        <f>Upah!$D$21</f>
        <v>15000</v>
      </c>
      <c r="F213" s="1365"/>
      <c r="G213" s="1392"/>
      <c r="H213" s="1405">
        <f>B213*E213</f>
        <v>15000</v>
      </c>
      <c r="I213" s="1362"/>
      <c r="J213" s="1324"/>
      <c r="K213" s="1324"/>
      <c r="L213" s="1324"/>
      <c r="M213" s="1324"/>
      <c r="N213" s="1324"/>
      <c r="O213" s="1324"/>
      <c r="P213" s="1324"/>
      <c r="Q213" s="1324"/>
      <c r="R213" s="1324"/>
      <c r="S213" s="1324"/>
      <c r="T213" s="1324"/>
      <c r="U213" s="1324"/>
      <c r="V213" s="1324"/>
      <c r="W213" s="1324"/>
      <c r="X213" s="1324"/>
      <c r="Y213" s="1324"/>
      <c r="Z213" s="1324"/>
      <c r="AA213" s="1324"/>
      <c r="AB213" s="1324"/>
      <c r="AC213" s="1324"/>
      <c r="AD213" s="1324"/>
      <c r="AE213" s="1324"/>
    </row>
    <row r="214" spans="1:31" s="1323" customFormat="1">
      <c r="A214" s="1328"/>
      <c r="B214" s="1390">
        <v>1</v>
      </c>
      <c r="C214" s="1324" t="s">
        <v>51</v>
      </c>
      <c r="D214" s="1324" t="s">
        <v>1505</v>
      </c>
      <c r="E214" s="1337">
        <v>75000</v>
      </c>
      <c r="F214" s="1365"/>
      <c r="G214" s="1392"/>
      <c r="H214" s="1405">
        <f>B214*E214</f>
        <v>75000</v>
      </c>
      <c r="I214" s="1362"/>
      <c r="J214" s="1324"/>
      <c r="K214" s="1324"/>
      <c r="L214" s="1324"/>
      <c r="M214" s="1324"/>
      <c r="N214" s="1324"/>
      <c r="O214" s="1324"/>
      <c r="P214" s="1324"/>
      <c r="Q214" s="1324"/>
      <c r="R214" s="1324"/>
      <c r="S214" s="1324"/>
      <c r="T214" s="1324"/>
      <c r="U214" s="1324"/>
      <c r="V214" s="1324"/>
      <c r="W214" s="1324"/>
      <c r="X214" s="1324"/>
      <c r="Y214" s="1324"/>
      <c r="Z214" s="1324"/>
      <c r="AA214" s="1324"/>
      <c r="AB214" s="1324"/>
      <c r="AC214" s="1324"/>
      <c r="AD214" s="1324"/>
      <c r="AE214" s="1324"/>
    </row>
    <row r="215" spans="1:31" s="1323" customFormat="1">
      <c r="A215" s="1328"/>
      <c r="B215" s="1390">
        <v>1</v>
      </c>
      <c r="C215" s="1324" t="s">
        <v>51</v>
      </c>
      <c r="D215" s="1324" t="s">
        <v>1662</v>
      </c>
      <c r="E215" s="1337">
        <f>Upah!$D$81</f>
        <v>1250000</v>
      </c>
      <c r="F215" s="1389"/>
      <c r="G215" s="1392">
        <f>B215*E215</f>
        <v>1250000</v>
      </c>
      <c r="H215" s="1405"/>
      <c r="I215" s="1362"/>
      <c r="J215" s="1324"/>
      <c r="K215" s="1324"/>
      <c r="L215" s="1324"/>
      <c r="M215" s="1324"/>
      <c r="N215" s="1324"/>
      <c r="O215" s="1324"/>
      <c r="P215" s="1324"/>
      <c r="Q215" s="1324"/>
      <c r="R215" s="1324"/>
      <c r="S215" s="1324"/>
      <c r="T215" s="1324"/>
      <c r="U215" s="1324"/>
      <c r="V215" s="1324"/>
      <c r="W215" s="1324"/>
      <c r="X215" s="1324"/>
      <c r="Y215" s="1324"/>
      <c r="Z215" s="1324"/>
      <c r="AA215" s="1324"/>
      <c r="AB215" s="1324"/>
      <c r="AC215" s="1324"/>
      <c r="AD215" s="1324"/>
      <c r="AE215" s="1324"/>
    </row>
    <row r="216" spans="1:31" s="1323" customFormat="1" ht="13.5" thickBot="1">
      <c r="A216" s="1328"/>
      <c r="B216" s="1390"/>
      <c r="C216" s="1324"/>
      <c r="D216" s="1324"/>
      <c r="E216" s="1337"/>
      <c r="F216" s="1389"/>
      <c r="G216" s="1392"/>
      <c r="H216" s="1405"/>
      <c r="I216" s="1362"/>
      <c r="J216" s="1324"/>
      <c r="K216" s="1324"/>
      <c r="L216" s="1324"/>
      <c r="M216" s="1324"/>
      <c r="N216" s="1324"/>
      <c r="O216" s="1324"/>
      <c r="P216" s="1324"/>
      <c r="Q216" s="1324"/>
      <c r="R216" s="1324"/>
      <c r="S216" s="1324"/>
      <c r="T216" s="1324"/>
      <c r="U216" s="1324"/>
      <c r="V216" s="1324"/>
      <c r="W216" s="1324"/>
      <c r="X216" s="1324"/>
      <c r="Y216" s="1324"/>
      <c r="Z216" s="1324"/>
      <c r="AA216" s="1324"/>
      <c r="AB216" s="1324"/>
      <c r="AC216" s="1324"/>
      <c r="AD216" s="1324"/>
      <c r="AE216" s="1324"/>
    </row>
    <row r="217" spans="1:31" s="1323" customFormat="1" ht="13.5" thickBot="1">
      <c r="A217" s="1328"/>
      <c r="B217" s="1322"/>
      <c r="C217" s="1321"/>
      <c r="D217" s="1320"/>
      <c r="E217" s="1319" t="s">
        <v>48</v>
      </c>
      <c r="F217" s="1360">
        <f>SUM(F211:F216)</f>
        <v>1223775</v>
      </c>
      <c r="G217" s="1359">
        <f>SUM(G211:G216)</f>
        <v>1250000</v>
      </c>
      <c r="H217" s="1359">
        <f>SUM(H211:H216)</f>
        <v>90000</v>
      </c>
      <c r="I217" s="1358">
        <f>SUM(F217:H217)</f>
        <v>2563775</v>
      </c>
      <c r="J217" s="1324"/>
      <c r="K217" s="1324"/>
      <c r="L217" s="1324"/>
      <c r="M217" s="1324"/>
      <c r="N217" s="1324"/>
      <c r="O217" s="1324"/>
      <c r="P217" s="1324"/>
      <c r="Q217" s="1324"/>
      <c r="R217" s="1324"/>
      <c r="S217" s="1324"/>
      <c r="T217" s="1324"/>
      <c r="U217" s="1324"/>
      <c r="V217" s="1324"/>
      <c r="W217" s="1324"/>
      <c r="X217" s="1324"/>
      <c r="Y217" s="1324"/>
      <c r="Z217" s="1324"/>
      <c r="AA217" s="1324"/>
      <c r="AB217" s="1324"/>
      <c r="AC217" s="1324"/>
      <c r="AD217" s="1324"/>
      <c r="AE217" s="1324"/>
    </row>
    <row r="218" spans="1:31" s="1323" customFormat="1">
      <c r="A218" s="1328"/>
      <c r="B218" s="1322"/>
      <c r="C218" s="1321"/>
      <c r="D218" s="1339"/>
      <c r="E218" s="1338"/>
      <c r="F218" s="1331"/>
      <c r="G218" s="1336"/>
      <c r="H218" s="1406"/>
      <c r="I218" s="1331"/>
      <c r="J218" s="1324"/>
      <c r="K218" s="1324"/>
      <c r="L218" s="1324"/>
      <c r="M218" s="1324"/>
      <c r="N218" s="1324"/>
      <c r="O218" s="1324"/>
      <c r="P218" s="1324"/>
      <c r="Q218" s="1324"/>
      <c r="R218" s="1324"/>
      <c r="S218" s="1324"/>
      <c r="T218" s="1324"/>
      <c r="U218" s="1324"/>
      <c r="V218" s="1324"/>
      <c r="W218" s="1324"/>
      <c r="X218" s="1324"/>
      <c r="Y218" s="1324"/>
      <c r="Z218" s="1324"/>
      <c r="AA218" s="1324"/>
      <c r="AB218" s="1324"/>
      <c r="AC218" s="1324"/>
      <c r="AD218" s="1324"/>
      <c r="AE218" s="1324"/>
    </row>
    <row r="219" spans="1:31" s="1323" customFormat="1">
      <c r="A219" s="1328"/>
      <c r="B219" s="1324" t="s">
        <v>1665</v>
      </c>
      <c r="C219" s="1324"/>
      <c r="D219" s="1324"/>
      <c r="E219" s="1394"/>
      <c r="F219" s="1331"/>
      <c r="G219" s="1324"/>
      <c r="H219" s="1393"/>
      <c r="I219" s="1331"/>
      <c r="J219" s="1324"/>
      <c r="K219" s="1324"/>
      <c r="L219" s="1324"/>
      <c r="M219" s="1324"/>
      <c r="N219" s="1324"/>
      <c r="O219" s="1324"/>
      <c r="P219" s="1324"/>
      <c r="Q219" s="1324"/>
      <c r="R219" s="1324"/>
      <c r="S219" s="1324"/>
      <c r="T219" s="1324"/>
      <c r="U219" s="1324"/>
      <c r="V219" s="1324"/>
      <c r="W219" s="1324"/>
      <c r="X219" s="1324"/>
      <c r="Y219" s="1324"/>
      <c r="Z219" s="1324"/>
      <c r="AA219" s="1324"/>
      <c r="AB219" s="1324"/>
      <c r="AC219" s="1324"/>
      <c r="AD219" s="1324"/>
      <c r="AE219" s="1324"/>
    </row>
    <row r="220" spans="1:31" s="1323" customFormat="1">
      <c r="A220" s="1328"/>
      <c r="B220" s="1390">
        <v>1.05</v>
      </c>
      <c r="C220" s="1324" t="s">
        <v>51</v>
      </c>
      <c r="D220" s="1324" t="s">
        <v>1664</v>
      </c>
      <c r="E220" s="1365">
        <f>Material!$G$12</f>
        <v>1165500</v>
      </c>
      <c r="F220" s="1365">
        <f>B220*E220*1</f>
        <v>1223775</v>
      </c>
      <c r="H220" s="1391"/>
      <c r="I220" s="1362"/>
      <c r="J220" s="1324"/>
      <c r="K220" s="1324"/>
      <c r="L220" s="1324"/>
      <c r="M220" s="1324"/>
      <c r="N220" s="1324"/>
      <c r="O220" s="1324"/>
      <c r="P220" s="1324"/>
      <c r="Q220" s="1324"/>
      <c r="R220" s="1324"/>
      <c r="S220" s="1324"/>
      <c r="T220" s="1324"/>
      <c r="U220" s="1324"/>
      <c r="V220" s="1324"/>
      <c r="W220" s="1324"/>
      <c r="X220" s="1324"/>
      <c r="Y220" s="1324"/>
      <c r="Z220" s="1324"/>
      <c r="AA220" s="1324"/>
      <c r="AB220" s="1324"/>
      <c r="AC220" s="1324"/>
      <c r="AD220" s="1324"/>
      <c r="AE220" s="1324"/>
    </row>
    <row r="221" spans="1:31" s="1323" customFormat="1">
      <c r="A221" s="1328"/>
      <c r="B221" s="1390">
        <v>1</v>
      </c>
      <c r="C221" s="1324" t="s">
        <v>51</v>
      </c>
      <c r="D221" s="1324" t="s">
        <v>1663</v>
      </c>
      <c r="E221" s="1337">
        <f>Upah!$D$21</f>
        <v>15000</v>
      </c>
      <c r="F221" s="1365"/>
      <c r="G221" s="1392"/>
      <c r="H221" s="1405">
        <f>B221*E221</f>
        <v>15000</v>
      </c>
      <c r="I221" s="1362"/>
      <c r="J221" s="1324"/>
      <c r="K221" s="1324"/>
      <c r="L221" s="1324"/>
      <c r="M221" s="1324"/>
      <c r="N221" s="1324"/>
      <c r="O221" s="1324"/>
      <c r="P221" s="1324"/>
      <c r="Q221" s="1324"/>
      <c r="R221" s="1324"/>
      <c r="S221" s="1324"/>
      <c r="T221" s="1324"/>
      <c r="U221" s="1324"/>
      <c r="V221" s="1324"/>
      <c r="W221" s="1324"/>
      <c r="X221" s="1324"/>
      <c r="Y221" s="1324"/>
      <c r="Z221" s="1324"/>
      <c r="AA221" s="1324"/>
      <c r="AB221" s="1324"/>
      <c r="AC221" s="1324"/>
      <c r="AD221" s="1324"/>
      <c r="AE221" s="1324"/>
    </row>
    <row r="222" spans="1:31" s="1323" customFormat="1">
      <c r="A222" s="1328"/>
      <c r="B222" s="1390">
        <v>1</v>
      </c>
      <c r="C222" s="1324" t="s">
        <v>51</v>
      </c>
      <c r="D222" s="1324" t="s">
        <v>1505</v>
      </c>
      <c r="E222" s="1337">
        <v>200000</v>
      </c>
      <c r="F222" s="1365"/>
      <c r="G222" s="1392"/>
      <c r="H222" s="1405">
        <f>B222*E222</f>
        <v>200000</v>
      </c>
      <c r="I222" s="1362"/>
      <c r="J222" s="1324"/>
      <c r="K222" s="1324"/>
      <c r="L222" s="1324"/>
      <c r="M222" s="1324"/>
      <c r="N222" s="1324"/>
      <c r="O222" s="1324"/>
      <c r="P222" s="1324"/>
      <c r="Q222" s="1324"/>
      <c r="R222" s="1324"/>
      <c r="S222" s="1324"/>
      <c r="T222" s="1324"/>
      <c r="U222" s="1324"/>
      <c r="V222" s="1324"/>
      <c r="W222" s="1324"/>
      <c r="X222" s="1324"/>
      <c r="Y222" s="1324"/>
      <c r="Z222" s="1324"/>
      <c r="AA222" s="1324"/>
      <c r="AB222" s="1324"/>
      <c r="AC222" s="1324"/>
      <c r="AD222" s="1324"/>
      <c r="AE222" s="1324"/>
    </row>
    <row r="223" spans="1:31" s="1323" customFormat="1">
      <c r="A223" s="1328"/>
      <c r="B223" s="1390">
        <v>1</v>
      </c>
      <c r="C223" s="1324" t="s">
        <v>51</v>
      </c>
      <c r="D223" s="1324" t="s">
        <v>1662</v>
      </c>
      <c r="E223" s="1337">
        <f>Upah!$D$82</f>
        <v>1200000</v>
      </c>
      <c r="F223" s="1389"/>
      <c r="G223" s="1392">
        <f>B223*E223</f>
        <v>1200000</v>
      </c>
      <c r="H223" s="1405"/>
      <c r="I223" s="1362"/>
      <c r="J223" s="1324"/>
      <c r="K223" s="1324"/>
      <c r="L223" s="1324"/>
      <c r="M223" s="1324"/>
      <c r="N223" s="1324"/>
      <c r="O223" s="1324"/>
      <c r="P223" s="1324"/>
      <c r="Q223" s="1324"/>
      <c r="R223" s="1324"/>
      <c r="S223" s="1324"/>
      <c r="T223" s="1324"/>
      <c r="U223" s="1324"/>
      <c r="V223" s="1324"/>
      <c r="W223" s="1324"/>
      <c r="X223" s="1324"/>
      <c r="Y223" s="1324"/>
      <c r="Z223" s="1324"/>
      <c r="AA223" s="1324"/>
      <c r="AB223" s="1324"/>
      <c r="AC223" s="1324"/>
      <c r="AD223" s="1324"/>
      <c r="AE223" s="1324"/>
    </row>
    <row r="224" spans="1:31" s="1323" customFormat="1" ht="13.5" thickBot="1">
      <c r="A224" s="1328"/>
      <c r="B224" s="1390"/>
      <c r="C224" s="1324"/>
      <c r="D224" s="1324"/>
      <c r="E224" s="1337"/>
      <c r="F224" s="1389"/>
      <c r="G224" s="1392"/>
      <c r="H224" s="1405"/>
      <c r="I224" s="1362"/>
      <c r="J224" s="1324"/>
      <c r="K224" s="1324"/>
      <c r="L224" s="1324"/>
      <c r="M224" s="1324"/>
      <c r="N224" s="1324"/>
      <c r="O224" s="1324"/>
      <c r="P224" s="1324"/>
      <c r="Q224" s="1324"/>
      <c r="R224" s="1324"/>
      <c r="S224" s="1324"/>
      <c r="T224" s="1324"/>
      <c r="U224" s="1324"/>
      <c r="V224" s="1324"/>
      <c r="W224" s="1324"/>
      <c r="X224" s="1324"/>
      <c r="Y224" s="1324"/>
      <c r="Z224" s="1324"/>
      <c r="AA224" s="1324"/>
      <c r="AB224" s="1324"/>
      <c r="AC224" s="1324"/>
      <c r="AD224" s="1324"/>
      <c r="AE224" s="1324"/>
    </row>
    <row r="225" spans="1:31" s="1323" customFormat="1" ht="13.5" thickBot="1">
      <c r="A225" s="1328"/>
      <c r="B225" s="1322"/>
      <c r="C225" s="1321"/>
      <c r="D225" s="1320"/>
      <c r="E225" s="1319" t="s">
        <v>48</v>
      </c>
      <c r="F225" s="1360">
        <f>SUM(F219:F224)</f>
        <v>1223775</v>
      </c>
      <c r="G225" s="1359">
        <f>SUM(G219:G224)</f>
        <v>1200000</v>
      </c>
      <c r="H225" s="1359">
        <f>SUM(H219:H224)</f>
        <v>215000</v>
      </c>
      <c r="I225" s="1358">
        <f>SUM(F225:H225)</f>
        <v>2638775</v>
      </c>
      <c r="J225" s="1324"/>
      <c r="K225" s="1324"/>
      <c r="L225" s="1324"/>
      <c r="M225" s="1324"/>
      <c r="N225" s="1324"/>
      <c r="O225" s="1324"/>
      <c r="P225" s="1324"/>
      <c r="Q225" s="1324"/>
      <c r="R225" s="1324"/>
      <c r="S225" s="1324"/>
      <c r="T225" s="1324"/>
      <c r="U225" s="1324"/>
      <c r="V225" s="1324"/>
      <c r="W225" s="1324"/>
      <c r="X225" s="1324"/>
      <c r="Y225" s="1324"/>
      <c r="Z225" s="1324"/>
      <c r="AA225" s="1324"/>
      <c r="AB225" s="1324"/>
      <c r="AC225" s="1324"/>
      <c r="AD225" s="1324"/>
      <c r="AE225" s="1324"/>
    </row>
    <row r="226" spans="1:31">
      <c r="A226" s="1299"/>
      <c r="B226" s="1301"/>
      <c r="C226" s="1399"/>
      <c r="D226" s="1398"/>
      <c r="E226" s="1404"/>
      <c r="F226" s="1403"/>
      <c r="G226" s="1402"/>
      <c r="H226" s="1401"/>
      <c r="I226" s="1400"/>
      <c r="J226" s="1295"/>
      <c r="K226" s="1295"/>
      <c r="L226" s="1295"/>
      <c r="M226" s="1295"/>
      <c r="N226" s="1295"/>
      <c r="O226" s="1295"/>
      <c r="P226" s="1295"/>
      <c r="Q226" s="1295"/>
      <c r="R226" s="1295"/>
      <c r="S226" s="1295"/>
      <c r="T226" s="1295"/>
      <c r="U226" s="1295"/>
      <c r="V226" s="1295"/>
      <c r="W226" s="1295"/>
      <c r="X226" s="1295"/>
      <c r="Y226" s="1295"/>
      <c r="Z226" s="1295"/>
      <c r="AA226" s="1295"/>
      <c r="AB226" s="1295"/>
      <c r="AC226" s="1295"/>
      <c r="AD226" s="1295"/>
      <c r="AE226" s="1295"/>
    </row>
    <row r="227" spans="1:31">
      <c r="A227" s="1299"/>
      <c r="B227" s="1301"/>
      <c r="C227" s="1399"/>
      <c r="D227" s="1398"/>
      <c r="E227" s="1397"/>
      <c r="F227" s="1296"/>
      <c r="G227" s="1396"/>
      <c r="H227" s="1395"/>
      <c r="I227" s="1296"/>
      <c r="J227" s="1295"/>
      <c r="K227" s="1295"/>
      <c r="L227" s="1295"/>
      <c r="M227" s="1295"/>
      <c r="N227" s="1295"/>
      <c r="O227" s="1295"/>
      <c r="P227" s="1295"/>
      <c r="Q227" s="1295"/>
      <c r="R227" s="1295"/>
      <c r="S227" s="1295"/>
      <c r="T227" s="1295"/>
      <c r="U227" s="1295"/>
      <c r="V227" s="1295"/>
      <c r="W227" s="1295"/>
      <c r="X227" s="1295"/>
      <c r="Y227" s="1295"/>
      <c r="Z227" s="1295"/>
      <c r="AA227" s="1295"/>
      <c r="AB227" s="1295"/>
      <c r="AC227" s="1295"/>
      <c r="AD227" s="1295"/>
      <c r="AE227" s="1295"/>
    </row>
    <row r="228" spans="1:31" s="1323" customFormat="1">
      <c r="A228" s="1328"/>
      <c r="B228" s="1324" t="s">
        <v>1661</v>
      </c>
      <c r="C228" s="1324"/>
      <c r="D228" s="1324"/>
      <c r="E228" s="1394"/>
      <c r="F228" s="1331"/>
      <c r="G228" s="1324"/>
      <c r="H228" s="1393"/>
      <c r="I228" s="1331"/>
      <c r="J228" s="1324"/>
      <c r="K228" s="1324"/>
      <c r="L228" s="1324"/>
      <c r="M228" s="1324"/>
      <c r="N228" s="1324"/>
      <c r="O228" s="1324"/>
      <c r="P228" s="1324"/>
      <c r="Q228" s="1324"/>
      <c r="R228" s="1324"/>
      <c r="S228" s="1324"/>
      <c r="T228" s="1324"/>
      <c r="U228" s="1324"/>
      <c r="V228" s="1324"/>
      <c r="W228" s="1324"/>
      <c r="X228" s="1324"/>
      <c r="Y228" s="1324"/>
      <c r="Z228" s="1324"/>
      <c r="AA228" s="1324"/>
      <c r="AB228" s="1324"/>
      <c r="AC228" s="1324"/>
      <c r="AD228" s="1324"/>
      <c r="AE228" s="1324"/>
    </row>
    <row r="229" spans="1:31" s="1323" customFormat="1">
      <c r="A229" s="1328"/>
      <c r="B229" s="1390">
        <v>1.05</v>
      </c>
      <c r="C229" s="1324" t="s">
        <v>53</v>
      </c>
      <c r="D229" s="1324" t="s">
        <v>1660</v>
      </c>
      <c r="E229" s="1365">
        <f>Material!$G$33</f>
        <v>9500</v>
      </c>
      <c r="F229" s="1365">
        <f>B229*E229</f>
        <v>9975</v>
      </c>
      <c r="H229" s="1391"/>
      <c r="I229" s="1362"/>
      <c r="J229" s="1324"/>
      <c r="K229" s="1324"/>
      <c r="L229" s="1324"/>
      <c r="M229" s="1324"/>
      <c r="N229" s="1324"/>
      <c r="O229" s="1324"/>
      <c r="P229" s="1324"/>
      <c r="Q229" s="1324"/>
      <c r="R229" s="1324"/>
      <c r="S229" s="1324"/>
      <c r="T229" s="1324"/>
      <c r="U229" s="1324"/>
      <c r="V229" s="1324"/>
      <c r="W229" s="1324"/>
      <c r="X229" s="1324"/>
      <c r="Y229" s="1324"/>
      <c r="Z229" s="1324"/>
      <c r="AA229" s="1324"/>
      <c r="AB229" s="1324"/>
      <c r="AC229" s="1324"/>
      <c r="AD229" s="1324"/>
      <c r="AE229" s="1324"/>
    </row>
    <row r="230" spans="1:31" s="1323" customFormat="1">
      <c r="A230" s="1328"/>
      <c r="B230" s="1390">
        <v>1</v>
      </c>
      <c r="C230" s="1324" t="s">
        <v>53</v>
      </c>
      <c r="D230" s="1324" t="s">
        <v>1659</v>
      </c>
      <c r="E230" s="1365">
        <v>100</v>
      </c>
      <c r="F230" s="1365">
        <f>B230*E230</f>
        <v>100</v>
      </c>
      <c r="H230" s="1391"/>
      <c r="I230" s="1362"/>
      <c r="J230" s="1324"/>
      <c r="K230" s="1324"/>
      <c r="L230" s="1324"/>
      <c r="M230" s="1324"/>
      <c r="N230" s="1324"/>
      <c r="O230" s="1324"/>
      <c r="P230" s="1324"/>
      <c r="Q230" s="1324"/>
      <c r="R230" s="1324"/>
      <c r="S230" s="1324"/>
      <c r="T230" s="1324"/>
      <c r="U230" s="1324"/>
      <c r="V230" s="1324"/>
      <c r="W230" s="1324"/>
      <c r="X230" s="1324"/>
      <c r="Y230" s="1324"/>
      <c r="Z230" s="1324"/>
      <c r="AA230" s="1324"/>
      <c r="AB230" s="1324"/>
      <c r="AC230" s="1324"/>
      <c r="AD230" s="1324"/>
      <c r="AE230" s="1324"/>
    </row>
    <row r="231" spans="1:31" s="1323" customFormat="1">
      <c r="A231" s="1328"/>
      <c r="B231" s="1390">
        <f>2%*B229</f>
        <v>2.1000000000000001E-2</v>
      </c>
      <c r="C231" s="1324" t="s">
        <v>53</v>
      </c>
      <c r="D231" s="1324" t="s">
        <v>1654</v>
      </c>
      <c r="E231" s="1337">
        <f>Material!$G$39</f>
        <v>17500</v>
      </c>
      <c r="F231" s="1365">
        <f>B231*E231</f>
        <v>367.5</v>
      </c>
      <c r="G231" s="1392"/>
      <c r="H231" s="1391"/>
      <c r="I231" s="1362"/>
      <c r="J231" s="1324"/>
      <c r="K231" s="1324"/>
      <c r="L231" s="1324"/>
      <c r="M231" s="1324"/>
      <c r="N231" s="1324"/>
      <c r="O231" s="1324"/>
      <c r="P231" s="1324"/>
      <c r="Q231" s="1324"/>
      <c r="R231" s="1324"/>
      <c r="S231" s="1324"/>
      <c r="T231" s="1324"/>
      <c r="U231" s="1324"/>
      <c r="V231" s="1324"/>
      <c r="W231" s="1324"/>
      <c r="X231" s="1324"/>
      <c r="Y231" s="1324"/>
      <c r="Z231" s="1324"/>
      <c r="AA231" s="1324"/>
      <c r="AB231" s="1324"/>
      <c r="AC231" s="1324"/>
      <c r="AD231" s="1324"/>
      <c r="AE231" s="1324"/>
    </row>
    <row r="232" spans="1:31" s="1323" customFormat="1" ht="13.5" thickBot="1">
      <c r="A232" s="1328"/>
      <c r="B232" s="1390"/>
      <c r="C232" s="1324"/>
      <c r="D232" s="1324"/>
      <c r="E232" s="1365"/>
      <c r="F232" s="1389"/>
      <c r="G232" s="1388"/>
      <c r="H232" s="1387"/>
      <c r="I232" s="1362"/>
      <c r="J232" s="1324"/>
      <c r="K232" s="1324"/>
      <c r="L232" s="1324"/>
      <c r="M232" s="1324"/>
      <c r="N232" s="1324"/>
      <c r="O232" s="1324"/>
      <c r="P232" s="1324"/>
      <c r="Q232" s="1324"/>
      <c r="R232" s="1324"/>
      <c r="S232" s="1324"/>
      <c r="T232" s="1324"/>
      <c r="U232" s="1324"/>
      <c r="V232" s="1324"/>
      <c r="W232" s="1324"/>
      <c r="X232" s="1324"/>
      <c r="Y232" s="1324"/>
      <c r="Z232" s="1324"/>
      <c r="AA232" s="1324"/>
      <c r="AB232" s="1324"/>
      <c r="AC232" s="1324"/>
      <c r="AD232" s="1324"/>
      <c r="AE232" s="1324"/>
    </row>
    <row r="233" spans="1:31" s="1323" customFormat="1" ht="13.5" thickBot="1">
      <c r="A233" s="1328"/>
      <c r="B233" s="1322"/>
      <c r="C233" s="1321"/>
      <c r="D233" s="1320"/>
      <c r="E233" s="1319" t="s">
        <v>48</v>
      </c>
      <c r="F233" s="1386">
        <f>SUM(F228:F232)</f>
        <v>10442.5</v>
      </c>
      <c r="G233" s="1385">
        <f>SUM(G228:G232)</f>
        <v>0</v>
      </c>
      <c r="H233" s="1385">
        <f>SUM(H228:H232)</f>
        <v>0</v>
      </c>
      <c r="I233" s="1384">
        <f>SUM(F233:H233)</f>
        <v>10442.5</v>
      </c>
      <c r="J233" s="1324"/>
      <c r="K233" s="1324"/>
      <c r="L233" s="1324"/>
      <c r="M233" s="1324"/>
      <c r="N233" s="1324"/>
      <c r="O233" s="1324"/>
      <c r="P233" s="1324"/>
      <c r="Q233" s="1324"/>
      <c r="R233" s="1324"/>
      <c r="S233" s="1324"/>
      <c r="T233" s="1324"/>
      <c r="U233" s="1324"/>
      <c r="V233" s="1324"/>
      <c r="W233" s="1324"/>
      <c r="X233" s="1324"/>
      <c r="Y233" s="1324"/>
      <c r="Z233" s="1324"/>
      <c r="AA233" s="1324"/>
      <c r="AB233" s="1324"/>
      <c r="AC233" s="1324"/>
      <c r="AD233" s="1324"/>
      <c r="AE233" s="1324"/>
    </row>
    <row r="234" spans="1:31" s="1217" customFormat="1">
      <c r="A234" s="1265"/>
      <c r="B234" s="1313"/>
      <c r="C234" s="1312"/>
      <c r="D234" s="1345"/>
      <c r="E234" s="1344"/>
      <c r="F234" s="1272"/>
      <c r="G234" s="1383"/>
      <c r="H234" s="1342"/>
      <c r="I234" s="1272"/>
      <c r="J234" s="1260"/>
      <c r="K234" s="1260"/>
      <c r="L234" s="1260"/>
      <c r="M234" s="1260"/>
      <c r="N234" s="1260"/>
      <c r="O234" s="1260"/>
      <c r="P234" s="1260"/>
      <c r="Q234" s="1260"/>
      <c r="R234" s="1260"/>
      <c r="S234" s="1260"/>
      <c r="T234" s="1260"/>
      <c r="U234" s="1260"/>
      <c r="V234" s="1260"/>
      <c r="W234" s="1260"/>
      <c r="X234" s="1260"/>
      <c r="Y234" s="1260"/>
      <c r="Z234" s="1260"/>
      <c r="AA234" s="1260"/>
      <c r="AB234" s="1260"/>
      <c r="AC234" s="1260"/>
      <c r="AD234" s="1260"/>
      <c r="AE234" s="1260"/>
    </row>
    <row r="235" spans="1:31" s="1217" customFormat="1">
      <c r="A235" s="1265"/>
      <c r="B235" s="1260" t="s">
        <v>1658</v>
      </c>
      <c r="C235" s="1260"/>
      <c r="D235" s="1260"/>
      <c r="E235" s="1378"/>
      <c r="F235" s="1272"/>
      <c r="G235" s="1378"/>
      <c r="H235" s="1260"/>
      <c r="I235" s="1272"/>
      <c r="J235" s="1260"/>
      <c r="K235" s="1260"/>
      <c r="L235" s="1260"/>
      <c r="M235" s="1260"/>
      <c r="N235" s="1260"/>
      <c r="O235" s="1260"/>
      <c r="P235" s="1260"/>
      <c r="Q235" s="1260"/>
      <c r="R235" s="1260"/>
      <c r="S235" s="1260"/>
      <c r="T235" s="1260"/>
      <c r="U235" s="1260"/>
      <c r="V235" s="1260"/>
      <c r="W235" s="1260"/>
      <c r="X235" s="1260"/>
      <c r="Y235" s="1260"/>
      <c r="Z235" s="1260"/>
      <c r="AA235" s="1260"/>
      <c r="AB235" s="1260"/>
      <c r="AC235" s="1260"/>
      <c r="AD235" s="1260"/>
      <c r="AE235" s="1260"/>
    </row>
    <row r="236" spans="1:31" s="1217" customFormat="1">
      <c r="A236" s="1265"/>
      <c r="B236" s="1377">
        <v>1.1000000000000001</v>
      </c>
      <c r="C236" s="1260" t="s">
        <v>49</v>
      </c>
      <c r="D236" s="1260" t="s">
        <v>1657</v>
      </c>
      <c r="E236" s="1375">
        <f>Material!$G$37</f>
        <v>41716.5</v>
      </c>
      <c r="F236" s="1375">
        <f>B236*E236*1</f>
        <v>45888.15</v>
      </c>
      <c r="G236" s="1376"/>
      <c r="I236" s="1373"/>
      <c r="J236" s="1260"/>
      <c r="K236" s="1260"/>
      <c r="L236" s="1260"/>
      <c r="M236" s="1260"/>
      <c r="N236" s="1260"/>
      <c r="O236" s="1260"/>
      <c r="P236" s="1260"/>
      <c r="Q236" s="1260"/>
      <c r="R236" s="1260"/>
      <c r="S236" s="1260"/>
      <c r="T236" s="1260"/>
      <c r="U236" s="1260"/>
      <c r="V236" s="1260"/>
      <c r="W236" s="1260"/>
      <c r="X236" s="1260"/>
      <c r="Y236" s="1260"/>
      <c r="Z236" s="1260"/>
      <c r="AA236" s="1260"/>
      <c r="AB236" s="1260"/>
      <c r="AC236" s="1260"/>
      <c r="AD236" s="1260"/>
      <c r="AE236" s="1260"/>
    </row>
    <row r="237" spans="1:31" s="1217" customFormat="1">
      <c r="A237" s="1265"/>
      <c r="B237" s="1377">
        <f>1%*B236*Material!$M$37</f>
        <v>4.5888150000000003E-2</v>
      </c>
      <c r="C237" s="1260" t="s">
        <v>53</v>
      </c>
      <c r="D237" s="1260" t="s">
        <v>1654</v>
      </c>
      <c r="E237" s="1343">
        <f>Material!$G$39</f>
        <v>17500</v>
      </c>
      <c r="F237" s="1375">
        <f>B237*E237*1</f>
        <v>803.04262500000004</v>
      </c>
      <c r="G237" s="1376"/>
      <c r="I237" s="1373"/>
      <c r="J237" s="1260"/>
      <c r="K237" s="1260"/>
      <c r="L237" s="1260"/>
      <c r="M237" s="1260"/>
      <c r="N237" s="1260"/>
      <c r="O237" s="1260"/>
      <c r="P237" s="1260"/>
      <c r="Q237" s="1260"/>
      <c r="R237" s="1260"/>
      <c r="S237" s="1260"/>
      <c r="T237" s="1260"/>
      <c r="U237" s="1260"/>
      <c r="V237" s="1260"/>
      <c r="W237" s="1260"/>
      <c r="X237" s="1260"/>
      <c r="Y237" s="1260"/>
      <c r="Z237" s="1260"/>
      <c r="AA237" s="1260"/>
      <c r="AB237" s="1260"/>
      <c r="AC237" s="1260"/>
      <c r="AD237" s="1260"/>
      <c r="AE237" s="1260"/>
    </row>
    <row r="238" spans="1:31" s="1217" customFormat="1" ht="13.5" thickBot="1">
      <c r="A238" s="1265"/>
      <c r="B238" s="1377"/>
      <c r="C238" s="1260"/>
      <c r="D238" s="1260"/>
      <c r="E238" s="1375"/>
      <c r="F238" s="1376"/>
      <c r="G238" s="1375"/>
      <c r="H238" s="1374"/>
      <c r="I238" s="1373"/>
      <c r="J238" s="1260"/>
      <c r="K238" s="1260"/>
      <c r="L238" s="1260"/>
      <c r="M238" s="1260"/>
      <c r="N238" s="1260"/>
      <c r="O238" s="1260"/>
      <c r="P238" s="1260"/>
      <c r="Q238" s="1260"/>
      <c r="R238" s="1260"/>
      <c r="S238" s="1260"/>
      <c r="T238" s="1260"/>
      <c r="U238" s="1260"/>
      <c r="V238" s="1260"/>
      <c r="W238" s="1260"/>
      <c r="X238" s="1260"/>
      <c r="Y238" s="1260"/>
      <c r="Z238" s="1260"/>
      <c r="AA238" s="1260"/>
      <c r="AB238" s="1260"/>
      <c r="AC238" s="1260"/>
      <c r="AD238" s="1260"/>
      <c r="AE238" s="1260"/>
    </row>
    <row r="239" spans="1:31" s="1217" customFormat="1" ht="13.5" thickBot="1">
      <c r="A239" s="1265"/>
      <c r="B239" s="1313"/>
      <c r="C239" s="1312"/>
      <c r="D239" s="1311"/>
      <c r="E239" s="1264" t="s">
        <v>48</v>
      </c>
      <c r="F239" s="1381">
        <f>SUM(F235:F238)</f>
        <v>46691.192625000003</v>
      </c>
      <c r="G239" s="1381">
        <f>SUM(G235:G238)</f>
        <v>0</v>
      </c>
      <c r="H239" s="1380"/>
      <c r="I239" s="1379">
        <f>SUM(F239:G239)</f>
        <v>46691.192625000003</v>
      </c>
      <c r="J239" s="1260"/>
      <c r="K239" s="1260"/>
      <c r="L239" s="1260"/>
      <c r="M239" s="1260"/>
      <c r="N239" s="1260"/>
      <c r="O239" s="1260"/>
      <c r="P239" s="1260"/>
      <c r="Q239" s="1260"/>
      <c r="R239" s="1260"/>
      <c r="S239" s="1260"/>
      <c r="T239" s="1260"/>
      <c r="U239" s="1260"/>
      <c r="V239" s="1260"/>
      <c r="W239" s="1260"/>
      <c r="X239" s="1260"/>
      <c r="Y239" s="1260"/>
      <c r="Z239" s="1260"/>
      <c r="AA239" s="1260"/>
      <c r="AB239" s="1260"/>
      <c r="AC239" s="1260"/>
      <c r="AD239" s="1260"/>
      <c r="AE239" s="1260"/>
    </row>
    <row r="240" spans="1:31" s="1217" customFormat="1">
      <c r="A240" s="1265"/>
      <c r="B240" s="1313"/>
      <c r="C240" s="1312"/>
      <c r="D240" s="1345"/>
      <c r="E240" s="1344"/>
      <c r="F240" s="1272"/>
      <c r="G240" s="1343"/>
      <c r="H240" s="1342"/>
      <c r="I240" s="1272"/>
      <c r="J240" s="1260"/>
      <c r="K240" s="1260"/>
      <c r="L240" s="1260"/>
      <c r="M240" s="1260"/>
      <c r="N240" s="1382"/>
      <c r="O240" s="1260"/>
      <c r="P240" s="1260"/>
      <c r="Q240" s="1260"/>
      <c r="R240" s="1260"/>
      <c r="S240" s="1260"/>
      <c r="T240" s="1260"/>
      <c r="U240" s="1260"/>
      <c r="V240" s="1260"/>
      <c r="W240" s="1260"/>
      <c r="X240" s="1260"/>
      <c r="Y240" s="1260"/>
      <c r="Z240" s="1260"/>
      <c r="AA240" s="1260"/>
      <c r="AB240" s="1260"/>
      <c r="AC240" s="1260"/>
      <c r="AD240" s="1260"/>
      <c r="AE240" s="1260"/>
    </row>
    <row r="241" spans="1:31" s="1217" customFormat="1">
      <c r="A241" s="1265"/>
      <c r="B241" s="1260" t="s">
        <v>1656</v>
      </c>
      <c r="C241" s="1260"/>
      <c r="D241" s="1260"/>
      <c r="E241" s="1378"/>
      <c r="F241" s="1272"/>
      <c r="G241" s="1378"/>
      <c r="H241" s="1260"/>
      <c r="I241" s="1272"/>
      <c r="J241" s="1260"/>
      <c r="K241" s="1260"/>
      <c r="L241" s="1260"/>
      <c r="M241" s="1260"/>
      <c r="N241" s="1260"/>
      <c r="O241" s="1260"/>
      <c r="P241" s="1260"/>
      <c r="Q241" s="1260"/>
      <c r="R241" s="1260"/>
      <c r="S241" s="1260"/>
      <c r="T241" s="1260"/>
      <c r="U241" s="1260"/>
      <c r="V241" s="1260"/>
      <c r="W241" s="1260"/>
      <c r="X241" s="1260"/>
      <c r="Y241" s="1260"/>
      <c r="Z241" s="1260"/>
      <c r="AA241" s="1260"/>
      <c r="AB241" s="1260"/>
      <c r="AC241" s="1260"/>
      <c r="AD241" s="1260"/>
      <c r="AE241" s="1260"/>
    </row>
    <row r="242" spans="1:31" s="1217" customFormat="1">
      <c r="A242" s="1265"/>
      <c r="B242" s="1377">
        <v>1.1000000000000001</v>
      </c>
      <c r="C242" s="1260" t="s">
        <v>49</v>
      </c>
      <c r="D242" s="1260" t="s">
        <v>1655</v>
      </c>
      <c r="E242" s="1375">
        <f>Material!$G$36</f>
        <v>54486.857142857145</v>
      </c>
      <c r="F242" s="1375">
        <f>B242*E242*1</f>
        <v>59935.542857142864</v>
      </c>
      <c r="G242" s="1376"/>
      <c r="I242" s="1373"/>
      <c r="J242" s="1260"/>
      <c r="K242" s="1260"/>
      <c r="L242" s="1260"/>
      <c r="M242" s="1260"/>
      <c r="N242" s="1260"/>
      <c r="O242" s="1260"/>
      <c r="P242" s="1260"/>
      <c r="Q242" s="1260"/>
      <c r="R242" s="1260"/>
      <c r="S242" s="1260"/>
      <c r="T242" s="1260"/>
      <c r="U242" s="1260"/>
      <c r="V242" s="1260"/>
      <c r="W242" s="1260"/>
      <c r="X242" s="1260"/>
      <c r="Y242" s="1260"/>
      <c r="Z242" s="1260"/>
      <c r="AA242" s="1260"/>
      <c r="AB242" s="1260"/>
      <c r="AC242" s="1260"/>
      <c r="AD242" s="1260"/>
      <c r="AE242" s="1260"/>
    </row>
    <row r="243" spans="1:31" s="1217" customFormat="1">
      <c r="A243" s="1265"/>
      <c r="B243" s="1377">
        <f>1%*B242*Material!$M$36</f>
        <v>5.9935542857142865E-2</v>
      </c>
      <c r="C243" s="1260" t="s">
        <v>53</v>
      </c>
      <c r="D243" s="1260" t="s">
        <v>1654</v>
      </c>
      <c r="E243" s="1343">
        <f>Material!$G$39</f>
        <v>17500</v>
      </c>
      <c r="F243" s="1375">
        <f>B243*E243*1</f>
        <v>1048.8720000000001</v>
      </c>
      <c r="G243" s="1376"/>
      <c r="I243" s="1373"/>
      <c r="J243" s="1260"/>
      <c r="K243" s="1260"/>
      <c r="L243" s="1260"/>
      <c r="M243" s="1260"/>
      <c r="N243" s="1260"/>
      <c r="O243" s="1260"/>
      <c r="P243" s="1260"/>
      <c r="Q243" s="1260"/>
      <c r="R243" s="1260"/>
      <c r="S243" s="1260"/>
      <c r="T243" s="1260"/>
      <c r="U243" s="1260"/>
      <c r="V243" s="1260"/>
      <c r="W243" s="1260"/>
      <c r="X243" s="1260"/>
      <c r="Y243" s="1260"/>
      <c r="Z243" s="1260"/>
      <c r="AA243" s="1260"/>
      <c r="AB243" s="1260"/>
      <c r="AC243" s="1260"/>
      <c r="AD243" s="1260"/>
      <c r="AE243" s="1260"/>
    </row>
    <row r="244" spans="1:31" s="1217" customFormat="1" ht="13.5" thickBot="1">
      <c r="A244" s="1265"/>
      <c r="B244" s="1377"/>
      <c r="C244" s="1260"/>
      <c r="D244" s="1260"/>
      <c r="E244" s="1375"/>
      <c r="F244" s="1376"/>
      <c r="G244" s="1375"/>
      <c r="H244" s="1374"/>
      <c r="I244" s="1373"/>
      <c r="J244" s="1260"/>
      <c r="K244" s="1260"/>
      <c r="L244" s="1260"/>
      <c r="M244" s="1260"/>
      <c r="N244" s="1260"/>
      <c r="O244" s="1260"/>
      <c r="P244" s="1260"/>
      <c r="Q244" s="1260"/>
      <c r="R244" s="1260"/>
      <c r="S244" s="1260"/>
      <c r="T244" s="1260"/>
      <c r="U244" s="1260"/>
      <c r="V244" s="1260"/>
      <c r="W244" s="1260"/>
      <c r="X244" s="1260"/>
      <c r="Y244" s="1260"/>
      <c r="Z244" s="1260"/>
      <c r="AA244" s="1260"/>
      <c r="AB244" s="1260"/>
      <c r="AC244" s="1260"/>
      <c r="AD244" s="1260"/>
      <c r="AE244" s="1260"/>
    </row>
    <row r="245" spans="1:31" s="1217" customFormat="1" ht="13.5" thickBot="1">
      <c r="A245" s="1265"/>
      <c r="B245" s="1313"/>
      <c r="C245" s="1312"/>
      <c r="D245" s="1311"/>
      <c r="E245" s="1264" t="s">
        <v>48</v>
      </c>
      <c r="F245" s="1381">
        <f>SUM(F241:F244)</f>
        <v>60984.414857142867</v>
      </c>
      <c r="G245" s="1381">
        <f>SUM(G241:G244)</f>
        <v>0</v>
      </c>
      <c r="H245" s="1380"/>
      <c r="I245" s="1379">
        <f>SUM(F245:G245)</f>
        <v>60984.414857142867</v>
      </c>
      <c r="J245" s="1260"/>
      <c r="K245" s="1260"/>
      <c r="L245" s="1260"/>
      <c r="M245" s="1260"/>
      <c r="N245" s="1260"/>
      <c r="O245" s="1260"/>
      <c r="P245" s="1260"/>
      <c r="Q245" s="1260"/>
      <c r="R245" s="1260"/>
      <c r="S245" s="1260"/>
      <c r="T245" s="1260"/>
      <c r="U245" s="1260"/>
      <c r="V245" s="1260"/>
      <c r="W245" s="1260"/>
      <c r="X245" s="1260"/>
      <c r="Y245" s="1260"/>
      <c r="Z245" s="1260"/>
      <c r="AA245" s="1260"/>
      <c r="AB245" s="1260"/>
      <c r="AC245" s="1260"/>
      <c r="AD245" s="1260"/>
      <c r="AE245" s="1260"/>
    </row>
    <row r="246" spans="1:31" s="1217" customFormat="1">
      <c r="A246" s="1265"/>
      <c r="B246" s="1313"/>
      <c r="C246" s="1312"/>
      <c r="D246" s="1345"/>
      <c r="E246" s="1344"/>
      <c r="F246" s="1272"/>
      <c r="G246" s="1343"/>
      <c r="H246" s="1342"/>
      <c r="I246" s="1272"/>
      <c r="J246" s="1260"/>
      <c r="K246" s="1260"/>
      <c r="L246" s="1260"/>
      <c r="M246" s="1260"/>
      <c r="N246" s="1260"/>
      <c r="O246" s="1260"/>
      <c r="P246" s="1260"/>
      <c r="Q246" s="1260"/>
      <c r="R246" s="1260"/>
      <c r="S246" s="1260"/>
      <c r="T246" s="1260"/>
      <c r="U246" s="1260"/>
      <c r="V246" s="1260"/>
      <c r="W246" s="1260"/>
      <c r="X246" s="1260"/>
      <c r="Y246" s="1260"/>
      <c r="Z246" s="1260"/>
      <c r="AA246" s="1260"/>
      <c r="AB246" s="1260"/>
      <c r="AC246" s="1260"/>
      <c r="AD246" s="1260"/>
      <c r="AE246" s="1260"/>
    </row>
    <row r="247" spans="1:31" s="1217" customFormat="1">
      <c r="A247" s="1265"/>
      <c r="B247" s="1260" t="s">
        <v>1653</v>
      </c>
      <c r="C247" s="1260"/>
      <c r="D247" s="1260"/>
      <c r="E247" s="1378"/>
      <c r="F247" s="1272"/>
      <c r="G247" s="1378"/>
      <c r="H247" s="1260"/>
      <c r="I247" s="1272"/>
      <c r="J247" s="1260"/>
      <c r="K247" s="1260"/>
      <c r="L247" s="1260"/>
      <c r="M247" s="1260"/>
      <c r="N247" s="1260"/>
      <c r="O247" s="1260"/>
      <c r="P247" s="1260"/>
      <c r="Q247" s="1260"/>
      <c r="R247" s="1260"/>
      <c r="S247" s="1260"/>
      <c r="T247" s="1260"/>
      <c r="U247" s="1260"/>
      <c r="V247" s="1260"/>
      <c r="W247" s="1260"/>
      <c r="X247" s="1260"/>
      <c r="Y247" s="1260"/>
      <c r="Z247" s="1260"/>
      <c r="AA247" s="1260"/>
      <c r="AB247" s="1260"/>
      <c r="AC247" s="1260"/>
      <c r="AD247" s="1260"/>
      <c r="AE247" s="1260"/>
    </row>
    <row r="248" spans="1:31" s="1217" customFormat="1">
      <c r="A248" s="1265"/>
      <c r="B248" s="1377">
        <f>0.006165*13^2*0.5*12/3</f>
        <v>2.0837699999999999</v>
      </c>
      <c r="C248" s="1260" t="s">
        <v>53</v>
      </c>
      <c r="D248" s="1260" t="s">
        <v>1651</v>
      </c>
      <c r="E248" s="1375">
        <f>Material!$G$33</f>
        <v>9500</v>
      </c>
      <c r="F248" s="1375">
        <f>B248*E248*1</f>
        <v>19795.814999999999</v>
      </c>
      <c r="G248" s="1376"/>
      <c r="I248" s="1373"/>
      <c r="J248" s="1260"/>
      <c r="K248" s="1260"/>
      <c r="L248" s="1260"/>
      <c r="M248" s="1260"/>
      <c r="N248" s="1260"/>
      <c r="O248" s="1260"/>
      <c r="P248" s="1260"/>
      <c r="Q248" s="1260"/>
      <c r="R248" s="1260"/>
      <c r="S248" s="1260"/>
      <c r="T248" s="1260"/>
      <c r="U248" s="1260"/>
      <c r="V248" s="1260"/>
      <c r="W248" s="1260"/>
      <c r="X248" s="1260"/>
      <c r="Y248" s="1260"/>
      <c r="Z248" s="1260"/>
      <c r="AA248" s="1260"/>
      <c r="AB248" s="1260"/>
      <c r="AC248" s="1260"/>
      <c r="AD248" s="1260"/>
      <c r="AE248" s="1260"/>
    </row>
    <row r="249" spans="1:31" s="1217" customFormat="1">
      <c r="A249" s="1265"/>
      <c r="B249" s="1377">
        <f>B248</f>
        <v>2.0837699999999999</v>
      </c>
      <c r="C249" s="1260" t="s">
        <v>53</v>
      </c>
      <c r="D249" s="1260" t="s">
        <v>1650</v>
      </c>
      <c r="E249" s="1375">
        <f>Upah!$D$24</f>
        <v>2500</v>
      </c>
      <c r="F249" s="1376"/>
      <c r="G249" s="1375">
        <f>B249*E249*1</f>
        <v>5209.4250000000002</v>
      </c>
      <c r="H249" s="1374"/>
      <c r="I249" s="1373"/>
      <c r="J249" s="1260"/>
      <c r="K249" s="1260"/>
      <c r="L249" s="1260"/>
      <c r="M249" s="1260"/>
      <c r="N249" s="1260"/>
      <c r="O249" s="1260"/>
      <c r="P249" s="1260"/>
      <c r="Q249" s="1260"/>
      <c r="R249" s="1260"/>
      <c r="S249" s="1260"/>
      <c r="T249" s="1260"/>
      <c r="U249" s="1260"/>
      <c r="V249" s="1260"/>
      <c r="W249" s="1260"/>
      <c r="X249" s="1260"/>
      <c r="Y249" s="1260"/>
      <c r="Z249" s="1260"/>
      <c r="AA249" s="1260"/>
      <c r="AB249" s="1260"/>
      <c r="AC249" s="1260"/>
      <c r="AD249" s="1260"/>
      <c r="AE249" s="1260"/>
    </row>
    <row r="250" spans="1:31" s="1217" customFormat="1">
      <c r="A250" s="1265"/>
      <c r="B250" s="1377"/>
      <c r="C250" s="1260"/>
      <c r="D250" s="1260"/>
      <c r="E250" s="1375"/>
      <c r="F250" s="1376"/>
      <c r="G250" s="1375"/>
      <c r="H250" s="1374"/>
      <c r="I250" s="1373"/>
      <c r="J250" s="1260"/>
      <c r="K250" s="1260"/>
      <c r="L250" s="1260"/>
      <c r="M250" s="1260"/>
      <c r="N250" s="1260"/>
      <c r="O250" s="1260"/>
      <c r="P250" s="1260"/>
      <c r="Q250" s="1260"/>
      <c r="R250" s="1260"/>
      <c r="S250" s="1260"/>
      <c r="T250" s="1260"/>
      <c r="U250" s="1260"/>
      <c r="V250" s="1260"/>
      <c r="W250" s="1260"/>
      <c r="X250" s="1260"/>
      <c r="Y250" s="1260"/>
      <c r="Z250" s="1260"/>
      <c r="AA250" s="1260"/>
      <c r="AB250" s="1260"/>
      <c r="AC250" s="1260"/>
      <c r="AD250" s="1260"/>
      <c r="AE250" s="1260"/>
    </row>
    <row r="251" spans="1:31" s="1217" customFormat="1">
      <c r="A251" s="1265"/>
      <c r="B251" s="1313"/>
      <c r="C251" s="1312"/>
      <c r="D251" s="1311"/>
      <c r="E251" s="1264" t="s">
        <v>1649</v>
      </c>
      <c r="F251" s="1371">
        <f>SUM(F247:F250)</f>
        <v>19795.814999999999</v>
      </c>
      <c r="G251" s="1371">
        <f>SUM(G247:G250)</f>
        <v>5209.4250000000002</v>
      </c>
      <c r="H251" s="1372"/>
      <c r="I251" s="1371">
        <f>SUM(F251:G251)</f>
        <v>25005.239999999998</v>
      </c>
      <c r="J251" s="1260"/>
      <c r="K251" s="1260"/>
      <c r="L251" s="1260"/>
      <c r="M251" s="1260"/>
      <c r="N251" s="1260"/>
      <c r="O251" s="1260"/>
      <c r="P251" s="1260"/>
      <c r="Q251" s="1260"/>
      <c r="R251" s="1260"/>
      <c r="S251" s="1260"/>
      <c r="T251" s="1260"/>
      <c r="U251" s="1260"/>
      <c r="V251" s="1260"/>
      <c r="W251" s="1260"/>
      <c r="X251" s="1260"/>
      <c r="Y251" s="1260"/>
      <c r="Z251" s="1260"/>
      <c r="AA251" s="1260"/>
      <c r="AB251" s="1260"/>
      <c r="AC251" s="1260"/>
      <c r="AD251" s="1260"/>
      <c r="AE251" s="1260"/>
    </row>
    <row r="252" spans="1:31" s="1217" customFormat="1">
      <c r="A252" s="1265"/>
      <c r="B252" s="1313"/>
      <c r="C252" s="1312"/>
      <c r="D252" s="1345"/>
      <c r="E252" s="1344"/>
      <c r="F252" s="1272"/>
      <c r="G252" s="1343"/>
      <c r="H252" s="1342"/>
      <c r="I252" s="1272"/>
      <c r="J252" s="1260"/>
      <c r="K252" s="1260"/>
      <c r="L252" s="1260"/>
      <c r="M252" s="1260"/>
      <c r="N252" s="1260"/>
      <c r="O252" s="1260"/>
      <c r="P252" s="1260"/>
      <c r="Q252" s="1260"/>
      <c r="R252" s="1260"/>
      <c r="S252" s="1260"/>
      <c r="T252" s="1260"/>
      <c r="U252" s="1260"/>
      <c r="V252" s="1260"/>
      <c r="W252" s="1260"/>
      <c r="X252" s="1260"/>
      <c r="Y252" s="1260"/>
      <c r="Z252" s="1260"/>
      <c r="AA252" s="1260"/>
      <c r="AB252" s="1260"/>
      <c r="AC252" s="1260"/>
      <c r="AD252" s="1260"/>
      <c r="AE252" s="1260"/>
    </row>
    <row r="253" spans="1:31" s="1217" customFormat="1">
      <c r="A253" s="1265"/>
      <c r="B253" s="1260" t="s">
        <v>1652</v>
      </c>
      <c r="C253" s="1260"/>
      <c r="D253" s="1260"/>
      <c r="E253" s="1378"/>
      <c r="F253" s="1272"/>
      <c r="G253" s="1378"/>
      <c r="H253" s="1260"/>
      <c r="I253" s="1272"/>
      <c r="J253" s="1260"/>
      <c r="K253" s="1260"/>
      <c r="L253" s="1260"/>
      <c r="M253" s="1260"/>
      <c r="N253" s="1260"/>
      <c r="O253" s="1260"/>
      <c r="P253" s="1260"/>
      <c r="Q253" s="1260"/>
      <c r="R253" s="1260"/>
      <c r="S253" s="1260"/>
      <c r="T253" s="1260"/>
      <c r="U253" s="1260"/>
      <c r="V253" s="1260"/>
      <c r="W253" s="1260"/>
      <c r="X253" s="1260"/>
      <c r="Y253" s="1260"/>
      <c r="Z253" s="1260"/>
      <c r="AA253" s="1260"/>
      <c r="AB253" s="1260"/>
      <c r="AC253" s="1260"/>
      <c r="AD253" s="1260"/>
      <c r="AE253" s="1260"/>
    </row>
    <row r="254" spans="1:31" s="1217" customFormat="1">
      <c r="A254" s="1265"/>
      <c r="B254" s="1377">
        <f>0.006165*10^2*0.5*11</f>
        <v>3.3907500000000002</v>
      </c>
      <c r="C254" s="1260" t="s">
        <v>53</v>
      </c>
      <c r="D254" s="1260" t="s">
        <v>1651</v>
      </c>
      <c r="E254" s="1375">
        <f>Material!$G$33</f>
        <v>9500</v>
      </c>
      <c r="F254" s="1375">
        <f>B254*E254*1</f>
        <v>32212.125</v>
      </c>
      <c r="G254" s="1376"/>
      <c r="I254" s="1373"/>
      <c r="J254" s="1260"/>
      <c r="K254" s="1260"/>
      <c r="L254" s="1260"/>
      <c r="M254" s="1260"/>
      <c r="N254" s="1260"/>
      <c r="O254" s="1260"/>
      <c r="P254" s="1260"/>
      <c r="Q254" s="1260"/>
      <c r="R254" s="1260"/>
      <c r="S254" s="1260"/>
      <c r="T254" s="1260"/>
      <c r="U254" s="1260"/>
      <c r="V254" s="1260"/>
      <c r="W254" s="1260"/>
      <c r="X254" s="1260"/>
      <c r="Y254" s="1260"/>
      <c r="Z254" s="1260"/>
      <c r="AA254" s="1260"/>
      <c r="AB254" s="1260"/>
      <c r="AC254" s="1260"/>
      <c r="AD254" s="1260"/>
      <c r="AE254" s="1260"/>
    </row>
    <row r="255" spans="1:31" s="1217" customFormat="1">
      <c r="A255" s="1265"/>
      <c r="B255" s="1377">
        <f>B254</f>
        <v>3.3907500000000002</v>
      </c>
      <c r="C255" s="1260" t="s">
        <v>53</v>
      </c>
      <c r="D255" s="1260" t="s">
        <v>1650</v>
      </c>
      <c r="E255" s="1375">
        <f>Upah!$D$24</f>
        <v>2500</v>
      </c>
      <c r="F255" s="1376"/>
      <c r="G255" s="1375">
        <f>B255*E255*1</f>
        <v>8476.875</v>
      </c>
      <c r="H255" s="1374"/>
      <c r="I255" s="1373"/>
      <c r="J255" s="1260"/>
      <c r="K255" s="1260"/>
      <c r="L255" s="1260"/>
      <c r="M255" s="1260"/>
      <c r="N255" s="1260"/>
      <c r="O255" s="1260"/>
      <c r="P255" s="1260"/>
      <c r="Q255" s="1260"/>
      <c r="R255" s="1260"/>
      <c r="S255" s="1260"/>
      <c r="T255" s="1260"/>
      <c r="U255" s="1260"/>
      <c r="V255" s="1260"/>
      <c r="W255" s="1260"/>
      <c r="X255" s="1260"/>
      <c r="Y255" s="1260"/>
      <c r="Z255" s="1260"/>
      <c r="AA255" s="1260"/>
      <c r="AB255" s="1260"/>
      <c r="AC255" s="1260"/>
      <c r="AD255" s="1260"/>
      <c r="AE255" s="1260"/>
    </row>
    <row r="256" spans="1:31" s="1217" customFormat="1">
      <c r="A256" s="1265"/>
      <c r="B256" s="1377"/>
      <c r="C256" s="1260"/>
      <c r="D256" s="1260"/>
      <c r="E256" s="1375"/>
      <c r="F256" s="1376"/>
      <c r="G256" s="1375"/>
      <c r="H256" s="1374"/>
      <c r="I256" s="1373"/>
      <c r="J256" s="1260"/>
      <c r="K256" s="1260"/>
      <c r="L256" s="1260"/>
      <c r="M256" s="1260"/>
      <c r="N256" s="1260"/>
      <c r="O256" s="1260"/>
      <c r="P256" s="1260"/>
      <c r="Q256" s="1260"/>
      <c r="R256" s="1260"/>
      <c r="S256" s="1260"/>
      <c r="T256" s="1260"/>
      <c r="U256" s="1260"/>
      <c r="V256" s="1260"/>
      <c r="W256" s="1260"/>
      <c r="X256" s="1260"/>
      <c r="Y256" s="1260"/>
      <c r="Z256" s="1260"/>
      <c r="AA256" s="1260"/>
      <c r="AB256" s="1260"/>
      <c r="AC256" s="1260"/>
      <c r="AD256" s="1260"/>
      <c r="AE256" s="1260"/>
    </row>
    <row r="257" spans="1:31" s="1217" customFormat="1">
      <c r="A257" s="1265"/>
      <c r="B257" s="1313"/>
      <c r="C257" s="1312"/>
      <c r="D257" s="1311"/>
      <c r="E257" s="1264" t="s">
        <v>1649</v>
      </c>
      <c r="F257" s="1371">
        <f>SUM(F253:F256)</f>
        <v>32212.125</v>
      </c>
      <c r="G257" s="1371">
        <f>SUM(G253:G256)</f>
        <v>8476.875</v>
      </c>
      <c r="H257" s="1372"/>
      <c r="I257" s="1371">
        <f>SUM(F257:G257)</f>
        <v>40689</v>
      </c>
      <c r="J257" s="1260"/>
      <c r="K257" s="1260"/>
      <c r="L257" s="1260"/>
      <c r="M257" s="1260"/>
      <c r="N257" s="1260"/>
      <c r="O257" s="1260"/>
      <c r="P257" s="1260"/>
      <c r="Q257" s="1260"/>
      <c r="R257" s="1260"/>
      <c r="S257" s="1260"/>
      <c r="T257" s="1260"/>
      <c r="U257" s="1260"/>
      <c r="V257" s="1260"/>
      <c r="W257" s="1260"/>
      <c r="X257" s="1260"/>
      <c r="Y257" s="1260"/>
      <c r="Z257" s="1260"/>
      <c r="AA257" s="1260"/>
      <c r="AB257" s="1260"/>
      <c r="AC257" s="1260"/>
      <c r="AD257" s="1260"/>
      <c r="AE257" s="1260"/>
    </row>
    <row r="258" spans="1:31" s="1323" customFormat="1">
      <c r="A258" s="1328"/>
      <c r="B258" s="1322"/>
      <c r="C258" s="1321"/>
      <c r="D258" s="1339"/>
      <c r="E258" s="1338"/>
      <c r="F258" s="1331"/>
      <c r="G258" s="1337"/>
      <c r="H258" s="1336"/>
      <c r="I258" s="1331"/>
      <c r="J258" s="1324"/>
      <c r="K258" s="1324"/>
      <c r="L258" s="1324"/>
      <c r="M258" s="1324"/>
      <c r="N258" s="1324"/>
      <c r="O258" s="1324"/>
      <c r="P258" s="1324"/>
      <c r="Q258" s="1324"/>
      <c r="R258" s="1324"/>
      <c r="S258" s="1324"/>
      <c r="T258" s="1324"/>
      <c r="U258" s="1324"/>
      <c r="V258" s="1324"/>
      <c r="W258" s="1324"/>
      <c r="X258" s="1324"/>
      <c r="Y258" s="1324"/>
      <c r="Z258" s="1324"/>
      <c r="AA258" s="1324"/>
      <c r="AB258" s="1324"/>
      <c r="AC258" s="1324"/>
      <c r="AD258" s="1324"/>
      <c r="AE258" s="1324"/>
    </row>
    <row r="259" spans="1:31" s="1323" customFormat="1">
      <c r="A259" s="1335"/>
      <c r="B259" s="1334" t="s">
        <v>1648</v>
      </c>
      <c r="C259" s="1329"/>
      <c r="D259" s="1328"/>
      <c r="E259" s="1333"/>
      <c r="F259" s="1331"/>
      <c r="G259" s="1331"/>
      <c r="H259" s="1332"/>
      <c r="I259" s="1331"/>
      <c r="J259" s="1324"/>
      <c r="K259" s="1324"/>
      <c r="L259" s="1324"/>
      <c r="M259" s="1324"/>
      <c r="N259" s="1324"/>
      <c r="O259" s="1324"/>
      <c r="P259" s="1324"/>
      <c r="Q259" s="1324"/>
      <c r="R259" s="1324"/>
      <c r="S259" s="1324"/>
      <c r="T259" s="1324"/>
      <c r="U259" s="1324"/>
      <c r="V259" s="1324"/>
      <c r="W259" s="1324"/>
      <c r="X259" s="1324"/>
      <c r="Y259" s="1324"/>
      <c r="Z259" s="1324"/>
      <c r="AA259" s="1324"/>
      <c r="AB259" s="1324"/>
      <c r="AC259" s="1324"/>
      <c r="AD259" s="1324"/>
      <c r="AE259" s="1324"/>
    </row>
    <row r="260" spans="1:31" s="1323" customFormat="1">
      <c r="A260" s="1328"/>
      <c r="B260" s="1330">
        <v>7.42</v>
      </c>
      <c r="C260" s="1329" t="s">
        <v>1574</v>
      </c>
      <c r="D260" s="1328" t="s">
        <v>1596</v>
      </c>
      <c r="E260" s="1327">
        <f>Material!$G$14</f>
        <v>65000</v>
      </c>
      <c r="F260" s="1325">
        <f>B260*E260</f>
        <v>482300</v>
      </c>
      <c r="G260" s="1325"/>
      <c r="H260" s="1326"/>
      <c r="I260" s="1325"/>
      <c r="J260" s="1324"/>
      <c r="K260" s="1324"/>
      <c r="L260" s="1324"/>
      <c r="M260" s="1324"/>
      <c r="N260" s="1324"/>
      <c r="O260" s="1324"/>
      <c r="P260" s="1324"/>
      <c r="Q260" s="1324"/>
      <c r="R260" s="1324"/>
      <c r="S260" s="1324"/>
      <c r="T260" s="1324"/>
      <c r="U260" s="1324"/>
      <c r="V260" s="1324"/>
      <c r="W260" s="1324"/>
      <c r="X260" s="1324"/>
      <c r="Y260" s="1324"/>
      <c r="Z260" s="1324"/>
      <c r="AA260" s="1324"/>
      <c r="AB260" s="1324"/>
      <c r="AC260" s="1324"/>
      <c r="AD260" s="1324"/>
      <c r="AE260" s="1324"/>
    </row>
    <row r="261" spans="1:31" s="1323" customFormat="1">
      <c r="A261" s="1328"/>
      <c r="B261" s="1330">
        <v>0.43630000000000002</v>
      </c>
      <c r="C261" s="1329" t="s">
        <v>51</v>
      </c>
      <c r="D261" s="1328" t="s">
        <v>1580</v>
      </c>
      <c r="E261" s="1327">
        <f>Material!$G$8</f>
        <v>350000</v>
      </c>
      <c r="F261" s="1325">
        <f>B261*E261</f>
        <v>152705</v>
      </c>
      <c r="G261" s="1325"/>
      <c r="H261" s="1326"/>
      <c r="I261" s="1325"/>
      <c r="J261" s="1324"/>
      <c r="K261" s="1324"/>
      <c r="L261" s="1324"/>
      <c r="M261" s="1324"/>
      <c r="N261" s="1324"/>
      <c r="O261" s="1324"/>
      <c r="P261" s="1324"/>
      <c r="Q261" s="1324"/>
      <c r="R261" s="1324"/>
      <c r="S261" s="1324"/>
      <c r="T261" s="1324"/>
      <c r="U261" s="1324"/>
      <c r="V261" s="1324"/>
      <c r="W261" s="1324"/>
      <c r="X261" s="1324"/>
      <c r="Y261" s="1324"/>
      <c r="Z261" s="1324"/>
      <c r="AA261" s="1324"/>
      <c r="AB261" s="1324"/>
      <c r="AC261" s="1324"/>
      <c r="AD261" s="1324"/>
      <c r="AE261" s="1324"/>
    </row>
    <row r="262" spans="1:31" s="1323" customFormat="1">
      <c r="A262" s="1328"/>
      <c r="B262" s="1330">
        <v>0.55100000000000005</v>
      </c>
      <c r="C262" s="1329" t="s">
        <v>51</v>
      </c>
      <c r="D262" s="1328" t="s">
        <v>1645</v>
      </c>
      <c r="E262" s="1327">
        <f>Material!$G$10</f>
        <v>275000</v>
      </c>
      <c r="F262" s="1325">
        <f>B262*E262</f>
        <v>151525</v>
      </c>
      <c r="G262" s="1325"/>
      <c r="H262" s="1326"/>
      <c r="I262" s="1325"/>
      <c r="J262" s="1324"/>
      <c r="K262" s="1324"/>
      <c r="L262" s="1324"/>
      <c r="M262" s="1324"/>
      <c r="N262" s="1324"/>
      <c r="O262" s="1324"/>
      <c r="P262" s="1324"/>
      <c r="Q262" s="1324"/>
      <c r="R262" s="1324"/>
      <c r="S262" s="1324"/>
      <c r="T262" s="1324"/>
      <c r="U262" s="1324"/>
      <c r="V262" s="1324"/>
      <c r="W262" s="1324"/>
      <c r="X262" s="1324"/>
      <c r="Y262" s="1324"/>
      <c r="Z262" s="1324"/>
      <c r="AA262" s="1324"/>
      <c r="AB262" s="1324"/>
      <c r="AC262" s="1324"/>
      <c r="AD262" s="1324"/>
      <c r="AE262" s="1324"/>
    </row>
    <row r="263" spans="1:31" s="1323" customFormat="1">
      <c r="A263" s="1328"/>
      <c r="B263" s="1330">
        <v>1</v>
      </c>
      <c r="C263" s="1329" t="s">
        <v>49</v>
      </c>
      <c r="D263" s="1328" t="s">
        <v>1647</v>
      </c>
      <c r="E263" s="1327">
        <f>Upah!$D$17</f>
        <v>100000</v>
      </c>
      <c r="F263" s="1325"/>
      <c r="G263" s="1325">
        <f>B263*E263</f>
        <v>100000</v>
      </c>
      <c r="H263" s="1326"/>
      <c r="I263" s="1325"/>
      <c r="J263" s="1324"/>
      <c r="K263" s="1324"/>
      <c r="L263" s="1324"/>
      <c r="M263" s="1324"/>
      <c r="N263" s="1324"/>
      <c r="O263" s="1324"/>
      <c r="P263" s="1324"/>
      <c r="Q263" s="1324"/>
      <c r="R263" s="1324"/>
      <c r="S263" s="1324"/>
      <c r="T263" s="1324"/>
      <c r="U263" s="1324"/>
      <c r="V263" s="1324"/>
      <c r="W263" s="1324"/>
      <c r="X263" s="1324"/>
      <c r="Y263" s="1324"/>
      <c r="Z263" s="1324"/>
      <c r="AA263" s="1324"/>
      <c r="AB263" s="1324"/>
      <c r="AC263" s="1324"/>
      <c r="AD263" s="1324"/>
      <c r="AE263" s="1324"/>
    </row>
    <row r="264" spans="1:31" s="1323" customFormat="1" ht="13.5" thickBot="1">
      <c r="A264" s="1328"/>
      <c r="B264" s="1330"/>
      <c r="C264" s="1329"/>
      <c r="D264" s="1328"/>
      <c r="E264" s="1327"/>
      <c r="F264" s="1325"/>
      <c r="G264" s="1325"/>
      <c r="H264" s="1326"/>
      <c r="I264" s="1325"/>
      <c r="J264" s="1324"/>
      <c r="K264" s="1324"/>
      <c r="L264" s="1324"/>
      <c r="M264" s="1324"/>
      <c r="N264" s="1324"/>
      <c r="O264" s="1324"/>
      <c r="P264" s="1324"/>
      <c r="Q264" s="1324"/>
      <c r="R264" s="1324"/>
      <c r="S264" s="1324"/>
      <c r="T264" s="1324"/>
      <c r="U264" s="1324"/>
      <c r="V264" s="1324"/>
      <c r="W264" s="1324"/>
      <c r="X264" s="1324"/>
      <c r="Y264" s="1324"/>
      <c r="Z264" s="1324"/>
      <c r="AA264" s="1324"/>
      <c r="AB264" s="1324"/>
      <c r="AC264" s="1324"/>
      <c r="AD264" s="1324"/>
      <c r="AE264" s="1324"/>
    </row>
    <row r="265" spans="1:31" s="1315" customFormat="1" ht="13.5" thickBot="1">
      <c r="A265" s="1320"/>
      <c r="B265" s="1322"/>
      <c r="C265" s="1321"/>
      <c r="D265" s="1320"/>
      <c r="E265" s="1319" t="s">
        <v>48</v>
      </c>
      <c r="F265" s="1318">
        <f>SUM(F260:F263)</f>
        <v>786530</v>
      </c>
      <c r="G265" s="1318">
        <f>SUM(G263:G263)</f>
        <v>100000</v>
      </c>
      <c r="H265" s="1318">
        <f>SUM(H263:H263)</f>
        <v>0</v>
      </c>
      <c r="I265" s="1317">
        <f>SUM(F265:H265)</f>
        <v>886530</v>
      </c>
      <c r="J265" s="1316"/>
      <c r="K265" s="1316"/>
      <c r="L265" s="1316"/>
      <c r="M265" s="1316"/>
      <c r="N265" s="1316"/>
      <c r="O265" s="1316"/>
      <c r="P265" s="1316"/>
      <c r="Q265" s="1316"/>
      <c r="R265" s="1316"/>
      <c r="S265" s="1316"/>
      <c r="T265" s="1316"/>
      <c r="U265" s="1316"/>
      <c r="V265" s="1316"/>
      <c r="W265" s="1316"/>
      <c r="X265" s="1316"/>
      <c r="Y265" s="1316"/>
      <c r="Z265" s="1316"/>
      <c r="AA265" s="1316"/>
      <c r="AB265" s="1316"/>
      <c r="AC265" s="1316"/>
      <c r="AD265" s="1316"/>
      <c r="AE265" s="1316"/>
    </row>
    <row r="266" spans="1:31" s="1315" customFormat="1">
      <c r="A266" s="1320"/>
      <c r="B266" s="1322"/>
      <c r="C266" s="1321"/>
      <c r="D266" s="1320"/>
      <c r="E266" s="1370"/>
      <c r="F266" s="1369"/>
      <c r="G266" s="1369"/>
      <c r="H266" s="1368"/>
      <c r="I266" s="1367"/>
      <c r="J266" s="1316"/>
      <c r="K266" s="1316"/>
      <c r="L266" s="1316"/>
      <c r="M266" s="1316"/>
      <c r="N266" s="1316"/>
      <c r="O266" s="1316"/>
      <c r="P266" s="1316"/>
      <c r="Q266" s="1316"/>
      <c r="R266" s="1316"/>
      <c r="S266" s="1316"/>
      <c r="T266" s="1316"/>
      <c r="U266" s="1316"/>
      <c r="V266" s="1316"/>
      <c r="W266" s="1316"/>
      <c r="X266" s="1316"/>
      <c r="Y266" s="1316"/>
      <c r="Z266" s="1316"/>
      <c r="AA266" s="1316"/>
      <c r="AB266" s="1316"/>
      <c r="AC266" s="1316"/>
      <c r="AD266" s="1316"/>
      <c r="AE266" s="1316"/>
    </row>
    <row r="267" spans="1:31" s="1323" customFormat="1">
      <c r="A267" s="1366"/>
      <c r="B267" s="1334" t="s">
        <v>1646</v>
      </c>
      <c r="C267" s="1329"/>
      <c r="D267" s="1328"/>
      <c r="E267" s="1333"/>
      <c r="F267" s="1331"/>
      <c r="G267" s="1331"/>
      <c r="H267" s="1332"/>
      <c r="I267" s="1331"/>
      <c r="J267" s="1324"/>
      <c r="K267" s="1324"/>
      <c r="L267" s="1324"/>
      <c r="M267" s="1324"/>
      <c r="N267" s="1324"/>
      <c r="O267" s="1324"/>
      <c r="P267" s="1324"/>
      <c r="Q267" s="1324"/>
      <c r="R267" s="1324"/>
      <c r="S267" s="1324"/>
      <c r="T267" s="1324"/>
      <c r="U267" s="1324"/>
      <c r="V267" s="1324"/>
      <c r="W267" s="1324"/>
      <c r="X267" s="1324"/>
      <c r="Y267" s="1324"/>
      <c r="Z267" s="1324"/>
      <c r="AA267" s="1324"/>
      <c r="AB267" s="1324"/>
      <c r="AC267" s="1324"/>
      <c r="AD267" s="1324"/>
      <c r="AE267" s="1324"/>
    </row>
    <row r="268" spans="1:31" s="1323" customFormat="1">
      <c r="A268" s="1328"/>
      <c r="B268" s="1330">
        <v>4.6429999999999998</v>
      </c>
      <c r="C268" s="1329" t="s">
        <v>1574</v>
      </c>
      <c r="D268" s="1328" t="s">
        <v>1573</v>
      </c>
      <c r="E268" s="1365">
        <f>Material!$G$14</f>
        <v>65000</v>
      </c>
      <c r="F268" s="1362">
        <f>B268*E268</f>
        <v>301795</v>
      </c>
      <c r="G268" s="1362"/>
      <c r="H268" s="1363"/>
      <c r="I268" s="1362"/>
      <c r="J268" s="1324"/>
      <c r="K268" s="1324"/>
      <c r="L268" s="1324"/>
      <c r="M268" s="1324"/>
      <c r="N268" s="1324"/>
      <c r="O268" s="1324"/>
      <c r="P268" s="1324"/>
      <c r="Q268" s="1324"/>
      <c r="R268" s="1324"/>
      <c r="S268" s="1324"/>
      <c r="T268" s="1324"/>
      <c r="U268" s="1324"/>
      <c r="V268" s="1324"/>
      <c r="W268" s="1324"/>
      <c r="X268" s="1324"/>
      <c r="Y268" s="1324"/>
      <c r="Z268" s="1324"/>
      <c r="AA268" s="1324"/>
      <c r="AB268" s="1324"/>
      <c r="AC268" s="1324"/>
      <c r="AD268" s="1324"/>
      <c r="AE268" s="1324"/>
    </row>
    <row r="269" spans="1:31" s="1323" customFormat="1">
      <c r="A269" s="1328"/>
      <c r="B269" s="1330">
        <v>0.55700000000000005</v>
      </c>
      <c r="C269" s="1329" t="s">
        <v>51</v>
      </c>
      <c r="D269" s="1328" t="s">
        <v>1580</v>
      </c>
      <c r="E269" s="1365">
        <f>Material!$G$8</f>
        <v>350000</v>
      </c>
      <c r="F269" s="1362">
        <f>B269*E269</f>
        <v>194950.00000000003</v>
      </c>
      <c r="G269" s="1362"/>
      <c r="H269" s="1363"/>
      <c r="I269" s="1362"/>
      <c r="J269" s="1324"/>
      <c r="K269" s="1324"/>
      <c r="L269" s="1324"/>
      <c r="M269" s="1324"/>
      <c r="N269" s="1324"/>
      <c r="O269" s="1324"/>
      <c r="P269" s="1324"/>
      <c r="Q269" s="1324"/>
      <c r="R269" s="1324"/>
      <c r="S269" s="1324"/>
      <c r="T269" s="1324"/>
      <c r="U269" s="1324"/>
      <c r="V269" s="1324"/>
      <c r="W269" s="1324"/>
      <c r="X269" s="1324"/>
      <c r="Y269" s="1324"/>
      <c r="Z269" s="1324"/>
      <c r="AA269" s="1324"/>
      <c r="AB269" s="1324"/>
      <c r="AC269" s="1324"/>
      <c r="AD269" s="1324"/>
      <c r="AE269" s="1324"/>
    </row>
    <row r="270" spans="1:31" s="1323" customFormat="1">
      <c r="A270" s="1328"/>
      <c r="B270" s="1330">
        <v>0.92900000000000005</v>
      </c>
      <c r="C270" s="1329" t="s">
        <v>51</v>
      </c>
      <c r="D270" s="1328" t="s">
        <v>1645</v>
      </c>
      <c r="E270" s="1327">
        <f>Material!$G$10</f>
        <v>275000</v>
      </c>
      <c r="F270" s="1362">
        <f>B270*E270</f>
        <v>255475</v>
      </c>
      <c r="G270" s="1362"/>
      <c r="H270" s="1363"/>
      <c r="I270" s="1362"/>
      <c r="J270" s="1324"/>
      <c r="K270" s="1324"/>
      <c r="L270" s="1324"/>
      <c r="M270" s="1324"/>
      <c r="N270" s="1324"/>
      <c r="O270" s="1324"/>
      <c r="P270" s="1324"/>
      <c r="Q270" s="1324"/>
      <c r="R270" s="1324"/>
      <c r="S270" s="1324"/>
      <c r="T270" s="1324"/>
      <c r="U270" s="1324"/>
      <c r="V270" s="1324"/>
      <c r="W270" s="1324"/>
      <c r="X270" s="1324"/>
      <c r="Y270" s="1324"/>
      <c r="Z270" s="1324"/>
      <c r="AA270" s="1324"/>
      <c r="AB270" s="1324"/>
      <c r="AC270" s="1324"/>
      <c r="AD270" s="1324"/>
      <c r="AE270" s="1324"/>
    </row>
    <row r="271" spans="1:31" s="1323" customFormat="1">
      <c r="A271" s="1328"/>
      <c r="B271" s="1330">
        <v>0.5</v>
      </c>
      <c r="C271" s="1329" t="s">
        <v>51</v>
      </c>
      <c r="D271" s="1328" t="s">
        <v>1572</v>
      </c>
      <c r="E271" s="1365">
        <f>Material!$G$21</f>
        <v>40000</v>
      </c>
      <c r="F271" s="1362">
        <f>B271*E271</f>
        <v>20000</v>
      </c>
      <c r="G271" s="1362"/>
      <c r="H271" s="1363"/>
      <c r="I271" s="1362"/>
      <c r="J271" s="1324"/>
      <c r="K271" s="1324"/>
      <c r="L271" s="1324"/>
      <c r="M271" s="1324"/>
      <c r="N271" s="1324"/>
      <c r="O271" s="1324"/>
      <c r="P271" s="1324"/>
      <c r="Q271" s="1324"/>
      <c r="R271" s="1324"/>
      <c r="S271" s="1324"/>
      <c r="T271" s="1324"/>
      <c r="U271" s="1324"/>
      <c r="V271" s="1324"/>
      <c r="W271" s="1324"/>
      <c r="X271" s="1324"/>
      <c r="Y271" s="1324"/>
      <c r="Z271" s="1324"/>
      <c r="AA271" s="1324"/>
      <c r="AB271" s="1324"/>
      <c r="AC271" s="1324"/>
      <c r="AD271" s="1324"/>
      <c r="AE271" s="1324"/>
    </row>
    <row r="272" spans="1:31" s="1323" customFormat="1">
      <c r="A272" s="1328"/>
      <c r="B272" s="1330">
        <v>1</v>
      </c>
      <c r="C272" s="1329" t="s">
        <v>1644</v>
      </c>
      <c r="D272" s="1328" t="s">
        <v>1643</v>
      </c>
      <c r="E272" s="1365">
        <f>Material!$G$16</f>
        <v>13000</v>
      </c>
      <c r="F272" s="1362">
        <f>B272*E272</f>
        <v>13000</v>
      </c>
      <c r="G272" s="1362"/>
      <c r="H272" s="1363"/>
      <c r="I272" s="1362"/>
      <c r="J272" s="1324"/>
      <c r="K272" s="1324"/>
      <c r="L272" s="1324"/>
      <c r="M272" s="1324"/>
      <c r="N272" s="1324"/>
      <c r="O272" s="1324"/>
      <c r="P272" s="1324"/>
      <c r="Q272" s="1324"/>
      <c r="R272" s="1324"/>
      <c r="S272" s="1324"/>
      <c r="T272" s="1324"/>
      <c r="U272" s="1324"/>
      <c r="V272" s="1324"/>
      <c r="W272" s="1324"/>
      <c r="X272" s="1324"/>
      <c r="Y272" s="1324"/>
      <c r="Z272" s="1324"/>
      <c r="AA272" s="1324"/>
      <c r="AB272" s="1324"/>
      <c r="AC272" s="1324"/>
      <c r="AD272" s="1324"/>
      <c r="AE272" s="1324"/>
    </row>
    <row r="273" spans="1:31" s="1323" customFormat="1">
      <c r="A273" s="1328"/>
      <c r="B273" s="1330">
        <v>1</v>
      </c>
      <c r="C273" s="1329" t="s">
        <v>51</v>
      </c>
      <c r="D273" s="1328" t="s">
        <v>1642</v>
      </c>
      <c r="E273" s="1365">
        <f>Upah!$D$84</f>
        <v>400000</v>
      </c>
      <c r="F273" s="1362"/>
      <c r="G273" s="1362">
        <f>B273*E273</f>
        <v>400000</v>
      </c>
      <c r="H273" s="1363"/>
      <c r="I273" s="1362"/>
      <c r="J273" s="1324"/>
      <c r="K273" s="1324"/>
      <c r="L273" s="1324"/>
      <c r="M273" s="1324"/>
      <c r="N273" s="1324"/>
      <c r="O273" s="1324"/>
      <c r="P273" s="1324"/>
      <c r="Q273" s="1324"/>
      <c r="R273" s="1324"/>
      <c r="S273" s="1324"/>
      <c r="T273" s="1324"/>
      <c r="U273" s="1324"/>
      <c r="V273" s="1324"/>
      <c r="W273" s="1324"/>
      <c r="X273" s="1324"/>
      <c r="Y273" s="1324"/>
      <c r="Z273" s="1324"/>
      <c r="AA273" s="1324"/>
      <c r="AB273" s="1324"/>
      <c r="AC273" s="1324"/>
      <c r="AD273" s="1324"/>
      <c r="AE273" s="1324"/>
    </row>
    <row r="274" spans="1:31" s="1323" customFormat="1" ht="13.5" thickBot="1">
      <c r="A274" s="1328"/>
      <c r="B274" s="1330"/>
      <c r="C274" s="1329"/>
      <c r="D274" s="1328"/>
      <c r="E274" s="1365"/>
      <c r="F274" s="1362"/>
      <c r="G274" s="1364"/>
      <c r="H274" s="1363"/>
      <c r="I274" s="1362"/>
      <c r="J274" s="1324"/>
      <c r="K274" s="1324"/>
      <c r="L274" s="1324"/>
      <c r="M274" s="1324"/>
      <c r="N274" s="1324"/>
      <c r="O274" s="1324"/>
      <c r="P274" s="1324"/>
      <c r="Q274" s="1324"/>
      <c r="R274" s="1324"/>
      <c r="S274" s="1324"/>
      <c r="T274" s="1324"/>
      <c r="U274" s="1324"/>
      <c r="V274" s="1324"/>
      <c r="W274" s="1324"/>
      <c r="X274" s="1324"/>
      <c r="Y274" s="1324"/>
      <c r="Z274" s="1324"/>
      <c r="AA274" s="1324"/>
      <c r="AB274" s="1324"/>
      <c r="AC274" s="1324"/>
      <c r="AD274" s="1324"/>
      <c r="AE274" s="1324"/>
    </row>
    <row r="275" spans="1:31" s="1323" customFormat="1" ht="13.5" thickBot="1">
      <c r="A275" s="1328"/>
      <c r="B275" s="1334"/>
      <c r="C275" s="1329"/>
      <c r="D275" s="1328"/>
      <c r="E275" s="1361" t="s">
        <v>48</v>
      </c>
      <c r="F275" s="1360">
        <f>SUM(F267:F274)</f>
        <v>785220</v>
      </c>
      <c r="G275" s="1359">
        <f>SUM(G267:G274)</f>
        <v>400000</v>
      </c>
      <c r="H275" s="1359">
        <f>SUM(H267:H274)</f>
        <v>0</v>
      </c>
      <c r="I275" s="1358">
        <f>SUM(F275:H275)</f>
        <v>1185220</v>
      </c>
      <c r="J275" s="1324"/>
      <c r="K275" s="1324"/>
      <c r="L275" s="1324"/>
      <c r="M275" s="1324"/>
      <c r="N275" s="1324"/>
      <c r="O275" s="1324"/>
      <c r="P275" s="1324"/>
      <c r="Q275" s="1324"/>
      <c r="R275" s="1324"/>
      <c r="S275" s="1324"/>
      <c r="T275" s="1324"/>
      <c r="U275" s="1324"/>
      <c r="V275" s="1324"/>
      <c r="W275" s="1324"/>
      <c r="X275" s="1324"/>
      <c r="Y275" s="1324"/>
      <c r="Z275" s="1324"/>
      <c r="AA275" s="1324"/>
      <c r="AB275" s="1324"/>
      <c r="AC275" s="1324"/>
      <c r="AD275" s="1324"/>
      <c r="AE275" s="1324"/>
    </row>
    <row r="276" spans="1:31" s="1277" customFormat="1">
      <c r="A276" s="1283"/>
      <c r="B276" s="1350"/>
      <c r="C276" s="1349"/>
      <c r="D276" s="1357"/>
      <c r="E276" s="1356"/>
      <c r="F276" s="1290"/>
      <c r="G276" s="1355"/>
      <c r="H276" s="1354"/>
      <c r="I276" s="1290"/>
      <c r="J276" s="1278"/>
      <c r="K276" s="1278"/>
      <c r="L276" s="1278"/>
      <c r="M276" s="1278"/>
      <c r="N276" s="1278"/>
      <c r="O276" s="1278"/>
      <c r="P276" s="1278"/>
      <c r="Q276" s="1278"/>
      <c r="R276" s="1278"/>
      <c r="S276" s="1278"/>
      <c r="T276" s="1278"/>
      <c r="U276" s="1278"/>
      <c r="V276" s="1278"/>
      <c r="W276" s="1278"/>
      <c r="X276" s="1278"/>
      <c r="Y276" s="1278"/>
      <c r="Z276" s="1278"/>
      <c r="AA276" s="1278"/>
      <c r="AB276" s="1278"/>
      <c r="AC276" s="1278"/>
      <c r="AD276" s="1278"/>
      <c r="AE276" s="1278"/>
    </row>
    <row r="277" spans="1:31" s="1277" customFormat="1">
      <c r="A277" s="1353"/>
      <c r="B277" s="1285" t="s">
        <v>1641</v>
      </c>
      <c r="C277" s="1284"/>
      <c r="D277" s="1283"/>
      <c r="E277" s="1292"/>
      <c r="F277" s="1290"/>
      <c r="G277" s="1290"/>
      <c r="H277" s="1352"/>
      <c r="I277" s="1290"/>
      <c r="J277" s="1278"/>
      <c r="K277" s="1278"/>
      <c r="L277" s="1278"/>
      <c r="M277" s="1278"/>
      <c r="N277" s="1278"/>
      <c r="O277" s="1278"/>
      <c r="P277" s="1278"/>
      <c r="Q277" s="1278"/>
      <c r="R277" s="1278"/>
      <c r="S277" s="1278"/>
      <c r="T277" s="1278"/>
      <c r="U277" s="1278"/>
      <c r="V277" s="1278"/>
      <c r="W277" s="1278"/>
      <c r="X277" s="1278"/>
      <c r="Y277" s="1278"/>
      <c r="Z277" s="1278"/>
      <c r="AA277" s="1278"/>
      <c r="AB277" s="1278"/>
      <c r="AC277" s="1278"/>
      <c r="AD277" s="1278"/>
      <c r="AE277" s="1278"/>
    </row>
    <row r="278" spans="1:31" s="1277" customFormat="1">
      <c r="A278" s="1283"/>
      <c r="B278" s="1289">
        <f>1/4*PI()*0.3^2*14*1.4</f>
        <v>1.3854423602330987</v>
      </c>
      <c r="C278" s="1284" t="s">
        <v>51</v>
      </c>
      <c r="D278" s="1283" t="s">
        <v>1638</v>
      </c>
      <c r="E278" s="1288">
        <f>Material!$G$12</f>
        <v>1165500</v>
      </c>
      <c r="F278" s="1286">
        <f>B278*E278</f>
        <v>1614733.0708516766</v>
      </c>
      <c r="G278" s="1286"/>
      <c r="H278" s="1351"/>
      <c r="I278" s="1286"/>
      <c r="J278" s="1278"/>
      <c r="K278" s="1278"/>
      <c r="L278" s="1278"/>
      <c r="M278" s="1278"/>
      <c r="N278" s="1278"/>
      <c r="O278" s="1278"/>
      <c r="P278" s="1278"/>
      <c r="Q278" s="1278"/>
      <c r="R278" s="1278"/>
      <c r="S278" s="1278"/>
      <c r="T278" s="1278"/>
      <c r="U278" s="1278"/>
      <c r="V278" s="1278"/>
      <c r="W278" s="1278"/>
      <c r="X278" s="1278"/>
      <c r="Y278" s="1278"/>
      <c r="Z278" s="1278"/>
      <c r="AA278" s="1278"/>
      <c r="AB278" s="1278"/>
      <c r="AC278" s="1278"/>
      <c r="AD278" s="1278"/>
      <c r="AE278" s="1278"/>
    </row>
    <row r="279" spans="1:31" s="1277" customFormat="1">
      <c r="A279" s="1283"/>
      <c r="B279" s="1289">
        <f>0.006165*(10^2*6*(14+(50+40)*10/1000)+8^2*((SQRT((PI()*0.24)^2+0.15^2))*(14000/150)+2*PI()*0.24+6*50*10/1000))</f>
        <v>85.203745473011395</v>
      </c>
      <c r="C279" s="1284" t="s">
        <v>53</v>
      </c>
      <c r="D279" s="1283" t="s">
        <v>2209</v>
      </c>
      <c r="E279" s="1288">
        <f>Material!$G$33</f>
        <v>9500</v>
      </c>
      <c r="F279" s="1286">
        <f>B279*E279</f>
        <v>809435.58199360827</v>
      </c>
      <c r="G279" s="1286"/>
      <c r="H279" s="1351"/>
      <c r="I279" s="1286"/>
      <c r="J279" s="1278"/>
      <c r="K279" s="1278"/>
      <c r="L279" s="1278"/>
      <c r="M279" s="1278"/>
      <c r="N279" s="1278"/>
      <c r="O279" s="1278"/>
      <c r="P279" s="1278"/>
      <c r="Q279" s="1278"/>
      <c r="R279" s="1278"/>
      <c r="S279" s="1278"/>
      <c r="T279" s="1278"/>
      <c r="U279" s="1278"/>
      <c r="V279" s="1278"/>
      <c r="W279" s="1278"/>
      <c r="X279" s="1278"/>
      <c r="Y279" s="1278"/>
      <c r="Z279" s="1278"/>
      <c r="AA279" s="1278"/>
      <c r="AB279" s="1278"/>
      <c r="AC279" s="1278"/>
      <c r="AD279" s="1278"/>
      <c r="AE279" s="1278"/>
    </row>
    <row r="280" spans="1:31" s="1277" customFormat="1">
      <c r="A280" s="1283"/>
      <c r="B280" s="1289">
        <v>14</v>
      </c>
      <c r="C280" s="1284" t="s">
        <v>50</v>
      </c>
      <c r="D280" s="1283" t="s">
        <v>1636</v>
      </c>
      <c r="E280" s="1288">
        <v>175000</v>
      </c>
      <c r="F280" s="1286"/>
      <c r="G280" s="1286">
        <f>B280*E280</f>
        <v>2450000</v>
      </c>
      <c r="H280" s="1351"/>
      <c r="I280" s="1286"/>
      <c r="J280" s="1278"/>
      <c r="K280" s="1278"/>
      <c r="L280" s="1278"/>
      <c r="M280" s="1278"/>
      <c r="N280" s="1278"/>
      <c r="O280" s="1278"/>
      <c r="P280" s="1278"/>
      <c r="Q280" s="1278"/>
      <c r="R280" s="1278"/>
      <c r="S280" s="1278"/>
      <c r="T280" s="1278"/>
      <c r="U280" s="1278"/>
      <c r="V280" s="1278"/>
      <c r="W280" s="1278"/>
      <c r="X280" s="1278"/>
      <c r="Y280" s="1278"/>
      <c r="Z280" s="1278"/>
      <c r="AA280" s="1278"/>
      <c r="AB280" s="1278"/>
      <c r="AC280" s="1278"/>
      <c r="AD280" s="1278"/>
      <c r="AE280" s="1278"/>
    </row>
    <row r="281" spans="1:31" s="1277" customFormat="1" ht="13.5" thickBot="1">
      <c r="A281" s="1283"/>
      <c r="B281" s="1289"/>
      <c r="C281" s="1284"/>
      <c r="D281" s="1283"/>
      <c r="E281" s="1288"/>
      <c r="F281" s="1286"/>
      <c r="G281" s="1286"/>
      <c r="H281" s="1351"/>
      <c r="I281" s="1286"/>
      <c r="J281" s="1278"/>
      <c r="K281" s="1278"/>
      <c r="L281" s="1278"/>
      <c r="M281" s="1278"/>
      <c r="N281" s="1278"/>
      <c r="O281" s="1278"/>
      <c r="P281" s="1278"/>
      <c r="Q281" s="1278"/>
      <c r="R281" s="1278"/>
      <c r="S281" s="1278"/>
      <c r="T281" s="1278"/>
      <c r="U281" s="1278"/>
      <c r="V281" s="1278"/>
      <c r="W281" s="1278"/>
      <c r="X281" s="1278"/>
      <c r="Y281" s="1278"/>
      <c r="Z281" s="1278"/>
      <c r="AA281" s="1278"/>
      <c r="AB281" s="1278"/>
      <c r="AC281" s="1278"/>
      <c r="AD281" s="1278"/>
      <c r="AE281" s="1278"/>
    </row>
    <row r="282" spans="1:31" s="1346" customFormat="1" ht="13.5" thickBot="1">
      <c r="A282" s="1348"/>
      <c r="B282" s="1350"/>
      <c r="C282" s="1349"/>
      <c r="D282" s="1348"/>
      <c r="E282" s="1282" t="s">
        <v>48</v>
      </c>
      <c r="F282" s="1281">
        <f>SUM(F278:F281)</f>
        <v>2424168.6528452849</v>
      </c>
      <c r="G282" s="1281">
        <f>SUM(G278:G281)</f>
        <v>2450000</v>
      </c>
      <c r="H282" s="1281">
        <f>SUM(H278:H281)</f>
        <v>0</v>
      </c>
      <c r="I282" s="1279">
        <f>SUM(F282:H282)</f>
        <v>4874168.6528452849</v>
      </c>
      <c r="J282" s="1347"/>
      <c r="K282" s="1347"/>
      <c r="L282" s="1347"/>
      <c r="M282" s="1347"/>
      <c r="N282" s="1347"/>
      <c r="O282" s="1347"/>
      <c r="P282" s="1347"/>
      <c r="Q282" s="1347"/>
      <c r="R282" s="1347"/>
      <c r="S282" s="1347"/>
      <c r="T282" s="1347"/>
      <c r="U282" s="1347"/>
      <c r="V282" s="1347"/>
      <c r="W282" s="1347"/>
      <c r="X282" s="1347"/>
      <c r="Y282" s="1347"/>
      <c r="Z282" s="1347"/>
      <c r="AA282" s="1347"/>
      <c r="AB282" s="1347"/>
      <c r="AC282" s="1347"/>
      <c r="AD282" s="1347"/>
      <c r="AE282" s="1347"/>
    </row>
    <row r="283" spans="1:31" s="1217" customFormat="1">
      <c r="A283" s="1265"/>
      <c r="B283" s="1313"/>
      <c r="C283" s="1312"/>
      <c r="D283" s="1345"/>
      <c r="E283" s="1344"/>
      <c r="F283" s="1272"/>
      <c r="G283" s="1343"/>
      <c r="H283" s="1342"/>
      <c r="I283" s="1272"/>
      <c r="J283" s="1260"/>
      <c r="K283" s="1260"/>
      <c r="L283" s="1260"/>
      <c r="M283" s="1260"/>
      <c r="N283" s="1260"/>
      <c r="O283" s="1260"/>
      <c r="P283" s="1260"/>
      <c r="Q283" s="1260"/>
      <c r="R283" s="1260"/>
      <c r="S283" s="1260"/>
      <c r="T283" s="1260"/>
      <c r="U283" s="1260"/>
      <c r="V283" s="1260"/>
      <c r="W283" s="1260"/>
      <c r="X283" s="1260"/>
      <c r="Y283" s="1260"/>
      <c r="Z283" s="1260"/>
      <c r="AA283" s="1260"/>
      <c r="AB283" s="1260"/>
      <c r="AC283" s="1260"/>
      <c r="AD283" s="1260"/>
      <c r="AE283" s="1260"/>
    </row>
    <row r="284" spans="1:31" s="1217" customFormat="1">
      <c r="A284" s="1314"/>
      <c r="B284" s="1267" t="s">
        <v>2102</v>
      </c>
      <c r="C284" s="1266"/>
      <c r="D284" s="1265"/>
      <c r="E284" s="1274"/>
      <c r="F284" s="1272"/>
      <c r="G284" s="1272"/>
      <c r="H284" s="1341"/>
      <c r="I284" s="1272"/>
      <c r="J284" s="1260"/>
      <c r="K284" s="1260"/>
      <c r="L284" s="1260"/>
      <c r="M284" s="1260"/>
      <c r="N284" s="1260"/>
      <c r="O284" s="1260"/>
      <c r="P284" s="1260"/>
      <c r="Q284" s="1260"/>
      <c r="R284" s="1260"/>
      <c r="S284" s="1260"/>
      <c r="T284" s="1260"/>
      <c r="U284" s="1260"/>
      <c r="V284" s="1260"/>
      <c r="W284" s="1260"/>
      <c r="X284" s="1260"/>
      <c r="Y284" s="1260"/>
      <c r="Z284" s="1260"/>
      <c r="AA284" s="1260"/>
      <c r="AB284" s="1260"/>
      <c r="AC284" s="1260"/>
      <c r="AD284" s="1260"/>
      <c r="AE284" s="1260"/>
    </row>
    <row r="285" spans="1:31" s="1217" customFormat="1">
      <c r="A285" s="1265"/>
      <c r="B285" s="1271">
        <f>1/4*PI()*0.4^2*14*1.4</f>
        <v>2.4630086404143978</v>
      </c>
      <c r="C285" s="1266" t="s">
        <v>51</v>
      </c>
      <c r="D285" s="1265" t="s">
        <v>1638</v>
      </c>
      <c r="E285" s="1270">
        <f>Material!$G$12</f>
        <v>1165500</v>
      </c>
      <c r="F285" s="1268">
        <f>B285*E285</f>
        <v>2870636.5704029808</v>
      </c>
      <c r="G285" s="1268"/>
      <c r="H285" s="1340"/>
      <c r="I285" s="1268"/>
      <c r="J285" s="1260"/>
      <c r="K285" s="1260"/>
      <c r="L285" s="1260"/>
      <c r="M285" s="1260"/>
      <c r="N285" s="1260"/>
      <c r="O285" s="1260"/>
      <c r="P285" s="1260"/>
      <c r="Q285" s="1260"/>
      <c r="R285" s="1260"/>
      <c r="S285" s="1260"/>
      <c r="T285" s="1260"/>
      <c r="U285" s="1260"/>
      <c r="V285" s="1260"/>
      <c r="W285" s="1260"/>
      <c r="X285" s="1260"/>
      <c r="Y285" s="1260"/>
      <c r="Z285" s="1260"/>
      <c r="AA285" s="1260"/>
      <c r="AB285" s="1260"/>
      <c r="AC285" s="1260"/>
      <c r="AD285" s="1260"/>
      <c r="AE285" s="1260"/>
    </row>
    <row r="286" spans="1:31" s="1217" customFormat="1">
      <c r="A286" s="1265"/>
      <c r="B286" s="1271">
        <f>0.006165*(13^2*6*14+10^2*(SQRT((PI()*(1/0.1)*0.34)^2+(1)^2)+SQRT((PI()*(13/0.2)*0.34)^2+(13)^2)+2*PI()*0.34+2*(6+50)*13/1000+6*0.9+6*0.69))</f>
        <v>145.77523908270186</v>
      </c>
      <c r="C286" s="1266" t="s">
        <v>53</v>
      </c>
      <c r="D286" s="1265" t="s">
        <v>1637</v>
      </c>
      <c r="E286" s="1270">
        <f>Material!$G$33</f>
        <v>9500</v>
      </c>
      <c r="F286" s="1268">
        <f>B286*E286</f>
        <v>1384864.7712856675</v>
      </c>
      <c r="G286" s="1268"/>
      <c r="H286" s="1340"/>
      <c r="I286" s="1268"/>
      <c r="J286" s="1260"/>
      <c r="K286" s="1260"/>
      <c r="L286" s="1260"/>
      <c r="M286" s="1260"/>
      <c r="N286" s="1260"/>
      <c r="O286" s="1260"/>
      <c r="P286" s="1260"/>
      <c r="Q286" s="1260"/>
      <c r="R286" s="1260"/>
      <c r="S286" s="1260"/>
      <c r="T286" s="1260"/>
      <c r="U286" s="1260"/>
      <c r="V286" s="1260"/>
      <c r="W286" s="1260"/>
      <c r="X286" s="1260"/>
      <c r="Y286" s="1260"/>
      <c r="Z286" s="1260"/>
      <c r="AA286" s="1260"/>
      <c r="AB286" s="1260"/>
      <c r="AC286" s="1260"/>
      <c r="AD286" s="1260"/>
      <c r="AE286" s="1260"/>
    </row>
    <row r="287" spans="1:31" s="1217" customFormat="1">
      <c r="A287" s="1265"/>
      <c r="B287" s="1271">
        <v>14</v>
      </c>
      <c r="C287" s="1266" t="s">
        <v>50</v>
      </c>
      <c r="D287" s="1265" t="s">
        <v>1636</v>
      </c>
      <c r="E287" s="1270">
        <v>200000</v>
      </c>
      <c r="F287" s="1268"/>
      <c r="G287" s="1268">
        <f>B287*E287</f>
        <v>2800000</v>
      </c>
      <c r="H287" s="1340"/>
      <c r="I287" s="1268"/>
      <c r="J287" s="1260"/>
      <c r="K287" s="1260"/>
      <c r="L287" s="1260"/>
      <c r="M287" s="1260"/>
      <c r="N287" s="1260"/>
      <c r="O287" s="1260"/>
      <c r="P287" s="1260"/>
      <c r="Q287" s="1260"/>
      <c r="R287" s="1260"/>
      <c r="S287" s="1260"/>
      <c r="T287" s="1260"/>
      <c r="U287" s="1260"/>
      <c r="V287" s="1260"/>
      <c r="W287" s="1260"/>
      <c r="X287" s="1260"/>
      <c r="Y287" s="1260"/>
      <c r="Z287" s="1260"/>
      <c r="AA287" s="1260"/>
      <c r="AB287" s="1260"/>
      <c r="AC287" s="1260"/>
      <c r="AD287" s="1260"/>
      <c r="AE287" s="1260"/>
    </row>
    <row r="288" spans="1:31" s="1217" customFormat="1" ht="13.5" thickBot="1">
      <c r="A288" s="1265"/>
      <c r="B288" s="1271"/>
      <c r="C288" s="1266"/>
      <c r="D288" s="1265"/>
      <c r="E288" s="1270"/>
      <c r="F288" s="1268"/>
      <c r="G288" s="1268"/>
      <c r="H288" s="1340"/>
      <c r="I288" s="1268"/>
      <c r="J288" s="1260"/>
      <c r="K288" s="1260"/>
      <c r="L288" s="1260"/>
      <c r="M288" s="1260"/>
      <c r="N288" s="1260"/>
      <c r="O288" s="1260"/>
      <c r="P288" s="1260"/>
      <c r="Q288" s="1260"/>
      <c r="R288" s="1260"/>
      <c r="S288" s="1260"/>
      <c r="T288" s="1260"/>
      <c r="U288" s="1260"/>
      <c r="V288" s="1260"/>
      <c r="W288" s="1260"/>
      <c r="X288" s="1260"/>
      <c r="Y288" s="1260"/>
      <c r="Z288" s="1260"/>
      <c r="AA288" s="1260"/>
      <c r="AB288" s="1260"/>
      <c r="AC288" s="1260"/>
      <c r="AD288" s="1260"/>
      <c r="AE288" s="1260"/>
    </row>
    <row r="289" spans="1:31" s="1305" customFormat="1" ht="13.5" thickBot="1">
      <c r="A289" s="1311"/>
      <c r="B289" s="1313"/>
      <c r="C289" s="1312"/>
      <c r="D289" s="1311"/>
      <c r="E289" s="1264" t="s">
        <v>48</v>
      </c>
      <c r="F289" s="1263">
        <f>SUM(F285:F288)</f>
        <v>4255501.3416886479</v>
      </c>
      <c r="G289" s="1263">
        <f>SUM(G285:G288)</f>
        <v>2800000</v>
      </c>
      <c r="H289" s="1263">
        <f>SUM(H285:H288)</f>
        <v>0</v>
      </c>
      <c r="I289" s="1261">
        <f>SUM(F289:H289)</f>
        <v>7055501.3416886479</v>
      </c>
      <c r="J289" s="1306"/>
      <c r="K289" s="1306"/>
      <c r="L289" s="1306"/>
      <c r="M289" s="1306"/>
      <c r="N289" s="1306"/>
      <c r="O289" s="1306"/>
      <c r="P289" s="1306"/>
      <c r="Q289" s="1306"/>
      <c r="R289" s="1306"/>
      <c r="S289" s="1306"/>
      <c r="T289" s="1306"/>
      <c r="U289" s="1306"/>
      <c r="V289" s="1306"/>
      <c r="W289" s="1306"/>
      <c r="X289" s="1306"/>
      <c r="Y289" s="1306"/>
      <c r="Z289" s="1306"/>
      <c r="AA289" s="1306"/>
      <c r="AB289" s="1306"/>
      <c r="AC289" s="1306"/>
      <c r="AD289" s="1306"/>
      <c r="AE289" s="1306"/>
    </row>
    <row r="290" spans="1:31" s="1217" customFormat="1">
      <c r="A290" s="1265"/>
      <c r="B290" s="1313"/>
      <c r="C290" s="1312"/>
      <c r="D290" s="1345"/>
      <c r="E290" s="1344"/>
      <c r="F290" s="1272"/>
      <c r="G290" s="1343"/>
      <c r="H290" s="1342"/>
      <c r="I290" s="1272"/>
      <c r="J290" s="1260"/>
      <c r="K290" s="1260"/>
      <c r="L290" s="1260"/>
      <c r="M290" s="1260"/>
      <c r="N290" s="1260"/>
      <c r="O290" s="1260"/>
      <c r="P290" s="1260"/>
      <c r="Q290" s="1260"/>
      <c r="R290" s="1260"/>
      <c r="S290" s="1260"/>
      <c r="T290" s="1260"/>
      <c r="U290" s="1260"/>
      <c r="V290" s="1260"/>
      <c r="W290" s="1260"/>
      <c r="X290" s="1260"/>
      <c r="Y290" s="1260"/>
      <c r="Z290" s="1260"/>
      <c r="AA290" s="1260"/>
      <c r="AB290" s="1260"/>
      <c r="AC290" s="1260"/>
      <c r="AD290" s="1260"/>
      <c r="AE290" s="1260"/>
    </row>
    <row r="291" spans="1:31" s="1217" customFormat="1">
      <c r="A291" s="1314"/>
      <c r="B291" s="1267" t="s">
        <v>1640</v>
      </c>
      <c r="C291" s="1266"/>
      <c r="D291" s="1265"/>
      <c r="E291" s="1274"/>
      <c r="F291" s="1272"/>
      <c r="G291" s="1272"/>
      <c r="H291" s="1341"/>
      <c r="I291" s="1272"/>
      <c r="J291" s="1260"/>
      <c r="K291" s="1260"/>
      <c r="L291" s="1260"/>
      <c r="M291" s="1260"/>
      <c r="N291" s="1260"/>
      <c r="O291" s="1260"/>
      <c r="P291" s="1260"/>
      <c r="Q291" s="1260"/>
      <c r="R291" s="1260"/>
      <c r="S291" s="1260"/>
      <c r="T291" s="1260"/>
      <c r="U291" s="1260"/>
      <c r="V291" s="1260"/>
      <c r="W291" s="1260"/>
      <c r="X291" s="1260"/>
      <c r="Y291" s="1260"/>
      <c r="Z291" s="1260"/>
      <c r="AA291" s="1260"/>
      <c r="AB291" s="1260"/>
      <c r="AC291" s="1260"/>
      <c r="AD291" s="1260"/>
      <c r="AE291" s="1260"/>
    </row>
    <row r="292" spans="1:31" s="1217" customFormat="1">
      <c r="A292" s="1265"/>
      <c r="B292" s="1271">
        <f>1/4*PI()*0.4^2*16.2*1.4</f>
        <v>2.85005285533666</v>
      </c>
      <c r="C292" s="1266" t="s">
        <v>51</v>
      </c>
      <c r="D292" s="1265" t="s">
        <v>1638</v>
      </c>
      <c r="E292" s="1270">
        <f>Material!$G$12</f>
        <v>1165500</v>
      </c>
      <c r="F292" s="1268">
        <f>B292*E292</f>
        <v>3321736.6028948771</v>
      </c>
      <c r="G292" s="1268"/>
      <c r="H292" s="1340"/>
      <c r="I292" s="1268"/>
      <c r="J292" s="1260"/>
      <c r="K292" s="1260"/>
      <c r="L292" s="1260"/>
      <c r="M292" s="1260"/>
      <c r="N292" s="1260"/>
      <c r="O292" s="1260"/>
      <c r="P292" s="1260"/>
      <c r="Q292" s="1260"/>
      <c r="R292" s="1260"/>
      <c r="S292" s="1260"/>
      <c r="T292" s="1260"/>
      <c r="U292" s="1260"/>
      <c r="V292" s="1260"/>
      <c r="W292" s="1260"/>
      <c r="X292" s="1260"/>
      <c r="Y292" s="1260"/>
      <c r="Z292" s="1260"/>
      <c r="AA292" s="1260"/>
      <c r="AB292" s="1260"/>
      <c r="AC292" s="1260"/>
      <c r="AD292" s="1260"/>
      <c r="AE292" s="1260"/>
    </row>
    <row r="293" spans="1:31" s="1217" customFormat="1">
      <c r="A293" s="1265"/>
      <c r="B293" s="1271">
        <f>0.006165*(13^2*6*16+10^2*(SQRT(((PI()*0.34)^2)+0.1^2)*(2300/100)+SQRT(((PI()*0.34)^2)+0.1^2)*(14200/150)+2*PI()*0.34+6*50*10/1000))</f>
        <v>181.01089320845975</v>
      </c>
      <c r="C293" s="1266" t="s">
        <v>53</v>
      </c>
      <c r="D293" s="1265" t="s">
        <v>1637</v>
      </c>
      <c r="E293" s="1270">
        <f>Material!$G$33</f>
        <v>9500</v>
      </c>
      <c r="F293" s="1268">
        <f>B293*E293</f>
        <v>1719603.4854803677</v>
      </c>
      <c r="G293" s="1268"/>
      <c r="H293" s="1340"/>
      <c r="I293" s="1268"/>
      <c r="J293" s="1260"/>
      <c r="K293" s="1260"/>
      <c r="L293" s="1260"/>
      <c r="M293" s="1260"/>
      <c r="N293" s="1260"/>
      <c r="O293" s="1260"/>
      <c r="P293" s="1260"/>
      <c r="Q293" s="1260"/>
      <c r="R293" s="1260"/>
      <c r="S293" s="1260"/>
      <c r="T293" s="1260"/>
      <c r="U293" s="1260"/>
      <c r="V293" s="1260"/>
      <c r="W293" s="1260"/>
      <c r="X293" s="1260"/>
      <c r="Y293" s="1260"/>
      <c r="Z293" s="1260"/>
      <c r="AA293" s="1260"/>
      <c r="AB293" s="1260"/>
      <c r="AC293" s="1260"/>
      <c r="AD293" s="1260"/>
      <c r="AE293" s="1260"/>
    </row>
    <row r="294" spans="1:31" s="1217" customFormat="1">
      <c r="A294" s="1265"/>
      <c r="B294" s="1271">
        <v>16.2</v>
      </c>
      <c r="C294" s="1266" t="s">
        <v>50</v>
      </c>
      <c r="D294" s="1265" t="s">
        <v>1636</v>
      </c>
      <c r="E294" s="1270">
        <v>200000</v>
      </c>
      <c r="F294" s="1268"/>
      <c r="G294" s="1268">
        <f>B294*E294</f>
        <v>3240000</v>
      </c>
      <c r="H294" s="1340"/>
      <c r="I294" s="1268"/>
      <c r="J294" s="1260"/>
      <c r="K294" s="1260"/>
      <c r="L294" s="1260"/>
      <c r="M294" s="1260"/>
      <c r="N294" s="1260"/>
      <c r="O294" s="1260"/>
      <c r="P294" s="1260"/>
      <c r="Q294" s="1260"/>
      <c r="R294" s="1260"/>
      <c r="S294" s="1260"/>
      <c r="T294" s="1260"/>
      <c r="U294" s="1260"/>
      <c r="V294" s="1260"/>
      <c r="W294" s="1260"/>
      <c r="X294" s="1260"/>
      <c r="Y294" s="1260"/>
      <c r="Z294" s="1260"/>
      <c r="AA294" s="1260"/>
      <c r="AB294" s="1260"/>
      <c r="AC294" s="1260"/>
      <c r="AD294" s="1260"/>
      <c r="AE294" s="1260"/>
    </row>
    <row r="295" spans="1:31" s="1217" customFormat="1" ht="13.5" thickBot="1">
      <c r="A295" s="1265"/>
      <c r="B295" s="1271"/>
      <c r="C295" s="1266"/>
      <c r="D295" s="1265"/>
      <c r="E295" s="1270"/>
      <c r="F295" s="1268"/>
      <c r="G295" s="1268"/>
      <c r="H295" s="1340"/>
      <c r="I295" s="1268"/>
      <c r="J295" s="1260"/>
      <c r="K295" s="1260"/>
      <c r="L295" s="1260"/>
      <c r="M295" s="1260"/>
      <c r="N295" s="1260"/>
      <c r="O295" s="1260"/>
      <c r="P295" s="1260"/>
      <c r="Q295" s="1260"/>
      <c r="R295" s="1260"/>
      <c r="S295" s="1260"/>
      <c r="T295" s="1260"/>
      <c r="U295" s="1260"/>
      <c r="V295" s="1260"/>
      <c r="W295" s="1260"/>
      <c r="X295" s="1260"/>
      <c r="Y295" s="1260"/>
      <c r="Z295" s="1260"/>
      <c r="AA295" s="1260"/>
      <c r="AB295" s="1260"/>
      <c r="AC295" s="1260"/>
      <c r="AD295" s="1260"/>
      <c r="AE295" s="1260"/>
    </row>
    <row r="296" spans="1:31" s="1305" customFormat="1" ht="13.5" thickBot="1">
      <c r="A296" s="1311"/>
      <c r="B296" s="1313"/>
      <c r="C296" s="1312"/>
      <c r="D296" s="1311"/>
      <c r="E296" s="1264" t="s">
        <v>48</v>
      </c>
      <c r="F296" s="1263">
        <f>SUM(F292:F295)</f>
        <v>5041340.0883752443</v>
      </c>
      <c r="G296" s="1263">
        <f>SUM(G292:G295)</f>
        <v>3240000</v>
      </c>
      <c r="H296" s="1263">
        <f>SUM(H292:H295)</f>
        <v>0</v>
      </c>
      <c r="I296" s="1261">
        <f>SUM(F296:H296)</f>
        <v>8281340.0883752443</v>
      </c>
      <c r="J296" s="1306"/>
      <c r="K296" s="1306"/>
      <c r="L296" s="1306"/>
      <c r="M296" s="1306"/>
      <c r="N296" s="1306"/>
      <c r="O296" s="1306"/>
      <c r="P296" s="1306"/>
      <c r="Q296" s="1306"/>
      <c r="R296" s="1306"/>
      <c r="S296" s="1306"/>
      <c r="T296" s="1306"/>
      <c r="U296" s="1306"/>
      <c r="V296" s="1306"/>
      <c r="W296" s="1306"/>
      <c r="X296" s="1306"/>
      <c r="Y296" s="1306"/>
      <c r="Z296" s="1306"/>
      <c r="AA296" s="1306"/>
      <c r="AB296" s="1306"/>
      <c r="AC296" s="1306"/>
      <c r="AD296" s="1306"/>
      <c r="AE296" s="1306"/>
    </row>
    <row r="297" spans="1:31" s="1217" customFormat="1">
      <c r="A297" s="1265"/>
      <c r="B297" s="1313"/>
      <c r="C297" s="1312"/>
      <c r="D297" s="1345"/>
      <c r="E297" s="1344"/>
      <c r="F297" s="1272"/>
      <c r="G297" s="1343"/>
      <c r="H297" s="1342"/>
      <c r="I297" s="1272"/>
      <c r="J297" s="1260"/>
      <c r="K297" s="1260"/>
      <c r="L297" s="1260"/>
      <c r="M297" s="1260"/>
      <c r="N297" s="1260"/>
      <c r="O297" s="1260"/>
      <c r="P297" s="1260"/>
      <c r="Q297" s="1260"/>
      <c r="R297" s="1260"/>
      <c r="S297" s="1260"/>
      <c r="T297" s="1260"/>
      <c r="U297" s="1260"/>
      <c r="V297" s="1260"/>
      <c r="W297" s="1260"/>
      <c r="X297" s="1260"/>
      <c r="Y297" s="1260"/>
      <c r="Z297" s="1260"/>
      <c r="AA297" s="1260"/>
      <c r="AB297" s="1260"/>
      <c r="AC297" s="1260"/>
      <c r="AD297" s="1260"/>
      <c r="AE297" s="1260"/>
    </row>
    <row r="298" spans="1:31" s="1217" customFormat="1">
      <c r="A298" s="1314"/>
      <c r="B298" s="1267" t="s">
        <v>1639</v>
      </c>
      <c r="C298" s="1266"/>
      <c r="D298" s="1265"/>
      <c r="E298" s="1274"/>
      <c r="F298" s="1272"/>
      <c r="G298" s="1272"/>
      <c r="H298" s="1341"/>
      <c r="I298" s="1272"/>
      <c r="J298" s="1260"/>
      <c r="K298" s="1260"/>
      <c r="L298" s="1260"/>
      <c r="M298" s="1260"/>
      <c r="N298" s="1260"/>
      <c r="O298" s="1260"/>
      <c r="P298" s="1260"/>
      <c r="Q298" s="1260"/>
      <c r="R298" s="1260"/>
      <c r="S298" s="1260"/>
      <c r="T298" s="1260"/>
      <c r="U298" s="1260"/>
      <c r="V298" s="1260"/>
      <c r="W298" s="1260"/>
      <c r="X298" s="1260"/>
      <c r="Y298" s="1260"/>
      <c r="Z298" s="1260"/>
      <c r="AA298" s="1260"/>
      <c r="AB298" s="1260"/>
      <c r="AC298" s="1260"/>
      <c r="AD298" s="1260"/>
      <c r="AE298" s="1260"/>
    </row>
    <row r="299" spans="1:31" s="1217" customFormat="1">
      <c r="A299" s="1265"/>
      <c r="B299" s="1271">
        <f>1/4*PI()*0.4^2*12.27*1.4</f>
        <v>2.1586511441346188</v>
      </c>
      <c r="C299" s="1266" t="s">
        <v>51</v>
      </c>
      <c r="D299" s="1265" t="s">
        <v>1638</v>
      </c>
      <c r="E299" s="1270">
        <f>Material!$G$12</f>
        <v>1165500</v>
      </c>
      <c r="F299" s="1268">
        <f>B299*E299</f>
        <v>2515907.9084888981</v>
      </c>
      <c r="G299" s="1268"/>
      <c r="H299" s="1340"/>
      <c r="I299" s="1268"/>
      <c r="J299" s="1260"/>
      <c r="K299" s="1260"/>
      <c r="L299" s="1260"/>
      <c r="M299" s="1260"/>
      <c r="N299" s="1260"/>
      <c r="O299" s="1260"/>
      <c r="P299" s="1260"/>
      <c r="Q299" s="1260"/>
      <c r="R299" s="1260"/>
      <c r="S299" s="1260"/>
      <c r="T299" s="1260"/>
      <c r="U299" s="1260"/>
      <c r="V299" s="1260"/>
      <c r="W299" s="1260"/>
      <c r="X299" s="1260"/>
      <c r="Y299" s="1260"/>
      <c r="Z299" s="1260"/>
      <c r="AA299" s="1260"/>
      <c r="AB299" s="1260"/>
      <c r="AC299" s="1260"/>
      <c r="AD299" s="1260"/>
      <c r="AE299" s="1260"/>
    </row>
    <row r="300" spans="1:31" s="1217" customFormat="1">
      <c r="A300" s="1265"/>
      <c r="B300" s="1271">
        <f>0.006165*(13^2*6*12+10^2*(SQRT(((PI()*0.34)^2)+0.1^2)*(2300/100)+SQRT(((PI()*0.34)^2)+0.1^2)*(10270/150)+2*PI()*0.34+5*50*10/1000))</f>
        <v>138.36901681110268</v>
      </c>
      <c r="C300" s="1266" t="s">
        <v>53</v>
      </c>
      <c r="D300" s="1265" t="s">
        <v>1637</v>
      </c>
      <c r="E300" s="1270">
        <f>Material!$G$33</f>
        <v>9500</v>
      </c>
      <c r="F300" s="1268">
        <f>B300*E300</f>
        <v>1314505.6597054754</v>
      </c>
      <c r="G300" s="1268"/>
      <c r="H300" s="1340"/>
      <c r="I300" s="1268"/>
      <c r="J300" s="1260"/>
      <c r="K300" s="1260"/>
      <c r="L300" s="1260"/>
      <c r="M300" s="1260"/>
      <c r="N300" s="1260"/>
      <c r="O300" s="1260"/>
      <c r="P300" s="1260"/>
      <c r="Q300" s="1260"/>
      <c r="R300" s="1260"/>
      <c r="S300" s="1260"/>
      <c r="T300" s="1260"/>
      <c r="U300" s="1260"/>
      <c r="V300" s="1260"/>
      <c r="W300" s="1260"/>
      <c r="X300" s="1260"/>
      <c r="Y300" s="1260"/>
      <c r="Z300" s="1260"/>
      <c r="AA300" s="1260"/>
      <c r="AB300" s="1260"/>
      <c r="AC300" s="1260"/>
      <c r="AD300" s="1260"/>
      <c r="AE300" s="1260"/>
    </row>
    <row r="301" spans="1:31" s="1217" customFormat="1">
      <c r="A301" s="1265"/>
      <c r="B301" s="1271">
        <v>12.27</v>
      </c>
      <c r="C301" s="1266" t="s">
        <v>50</v>
      </c>
      <c r="D301" s="1265" t="s">
        <v>1636</v>
      </c>
      <c r="E301" s="1270">
        <v>200000</v>
      </c>
      <c r="F301" s="1268"/>
      <c r="G301" s="1268">
        <f>B301*E301</f>
        <v>2454000</v>
      </c>
      <c r="H301" s="1340"/>
      <c r="I301" s="1268"/>
      <c r="J301" s="1260"/>
      <c r="K301" s="1260"/>
      <c r="L301" s="1260"/>
      <c r="M301" s="1260"/>
      <c r="N301" s="1260"/>
      <c r="O301" s="1260"/>
      <c r="P301" s="1260"/>
      <c r="Q301" s="1260"/>
      <c r="R301" s="1260"/>
      <c r="S301" s="1260"/>
      <c r="T301" s="1260"/>
      <c r="U301" s="1260"/>
      <c r="V301" s="1260"/>
      <c r="W301" s="1260"/>
      <c r="X301" s="1260"/>
      <c r="Y301" s="1260"/>
      <c r="Z301" s="1260"/>
      <c r="AA301" s="1260"/>
      <c r="AB301" s="1260"/>
      <c r="AC301" s="1260"/>
      <c r="AD301" s="1260"/>
      <c r="AE301" s="1260"/>
    </row>
    <row r="302" spans="1:31" s="1217" customFormat="1" ht="13.5" thickBot="1">
      <c r="A302" s="1265"/>
      <c r="B302" s="1271"/>
      <c r="C302" s="1266"/>
      <c r="D302" s="1265"/>
      <c r="E302" s="1270"/>
      <c r="F302" s="1268"/>
      <c r="G302" s="1268"/>
      <c r="H302" s="1340"/>
      <c r="I302" s="1268"/>
      <c r="J302" s="1260"/>
      <c r="K302" s="1260"/>
      <c r="L302" s="1260"/>
      <c r="M302" s="1260"/>
      <c r="N302" s="1260"/>
      <c r="O302" s="1260"/>
      <c r="P302" s="1260"/>
      <c r="Q302" s="1260"/>
      <c r="R302" s="1260"/>
      <c r="S302" s="1260"/>
      <c r="T302" s="1260"/>
      <c r="U302" s="1260"/>
      <c r="V302" s="1260"/>
      <c r="W302" s="1260"/>
      <c r="X302" s="1260"/>
      <c r="Y302" s="1260"/>
      <c r="Z302" s="1260"/>
      <c r="AA302" s="1260"/>
      <c r="AB302" s="1260"/>
      <c r="AC302" s="1260"/>
      <c r="AD302" s="1260"/>
      <c r="AE302" s="1260"/>
    </row>
    <row r="303" spans="1:31" s="1305" customFormat="1" ht="13.5" thickBot="1">
      <c r="A303" s="1311"/>
      <c r="B303" s="1313"/>
      <c r="C303" s="1312"/>
      <c r="D303" s="1311"/>
      <c r="E303" s="1264" t="s">
        <v>48</v>
      </c>
      <c r="F303" s="1263">
        <f>SUM(F299:F302)</f>
        <v>3830413.5681943735</v>
      </c>
      <c r="G303" s="1263">
        <f>SUM(G299:G302)</f>
        <v>2454000</v>
      </c>
      <c r="H303" s="1263">
        <f>SUM(H299:H302)</f>
        <v>0</v>
      </c>
      <c r="I303" s="1261">
        <f>SUM(F303:H303)</f>
        <v>6284413.5681943735</v>
      </c>
      <c r="J303" s="1306"/>
      <c r="K303" s="1306"/>
      <c r="L303" s="1306"/>
      <c r="M303" s="1306"/>
      <c r="N303" s="1306"/>
      <c r="O303" s="1306"/>
      <c r="P303" s="1306"/>
      <c r="Q303" s="1306"/>
      <c r="R303" s="1306"/>
      <c r="S303" s="1306"/>
      <c r="T303" s="1306"/>
      <c r="U303" s="1306"/>
      <c r="V303" s="1306"/>
      <c r="W303" s="1306"/>
      <c r="X303" s="1306"/>
      <c r="Y303" s="1306"/>
      <c r="Z303" s="1306"/>
      <c r="AA303" s="1306"/>
      <c r="AB303" s="1306"/>
      <c r="AC303" s="1306"/>
      <c r="AD303" s="1306"/>
      <c r="AE303" s="1306"/>
    </row>
    <row r="304" spans="1:31" s="1323" customFormat="1">
      <c r="A304" s="1328"/>
      <c r="B304" s="1322"/>
      <c r="C304" s="1321"/>
      <c r="D304" s="1339"/>
      <c r="E304" s="1338"/>
      <c r="F304" s="1331"/>
      <c r="G304" s="1337"/>
      <c r="H304" s="1336"/>
      <c r="I304" s="1331"/>
      <c r="J304" s="1324"/>
      <c r="K304" s="1324"/>
      <c r="L304" s="1324"/>
      <c r="M304" s="1324"/>
      <c r="N304" s="1324"/>
      <c r="O304" s="1324"/>
      <c r="P304" s="1324"/>
      <c r="Q304" s="1324"/>
      <c r="R304" s="1324"/>
      <c r="S304" s="1324"/>
      <c r="T304" s="1324"/>
      <c r="U304" s="1324"/>
      <c r="V304" s="1324"/>
      <c r="W304" s="1324"/>
      <c r="X304" s="1324"/>
      <c r="Y304" s="1324"/>
      <c r="Z304" s="1324"/>
      <c r="AA304" s="1324"/>
      <c r="AB304" s="1324"/>
      <c r="AC304" s="1324"/>
      <c r="AD304" s="1324"/>
      <c r="AE304" s="1324"/>
    </row>
    <row r="305" spans="1:31" s="1323" customFormat="1">
      <c r="A305" s="1335"/>
      <c r="B305" s="1334" t="s">
        <v>1635</v>
      </c>
      <c r="C305" s="1329"/>
      <c r="D305" s="1328"/>
      <c r="E305" s="1333"/>
      <c r="F305" s="1331"/>
      <c r="G305" s="1331"/>
      <c r="H305" s="1332"/>
      <c r="I305" s="1331"/>
      <c r="J305" s="1324"/>
      <c r="K305" s="1324"/>
      <c r="L305" s="1324"/>
      <c r="M305" s="1324"/>
      <c r="N305" s="1324"/>
      <c r="O305" s="1324"/>
      <c r="P305" s="1324"/>
      <c r="Q305" s="1324"/>
      <c r="R305" s="1324"/>
      <c r="S305" s="1324"/>
      <c r="T305" s="1324"/>
      <c r="U305" s="1324"/>
      <c r="V305" s="1324"/>
      <c r="W305" s="1324"/>
      <c r="X305" s="1324"/>
      <c r="Y305" s="1324"/>
      <c r="Z305" s="1324"/>
      <c r="AA305" s="1324"/>
      <c r="AB305" s="1324"/>
      <c r="AC305" s="1324"/>
      <c r="AD305" s="1324"/>
      <c r="AE305" s="1324"/>
    </row>
    <row r="306" spans="1:31" s="1323" customFormat="1">
      <c r="A306" s="1328"/>
      <c r="B306" s="1330">
        <f>350*1/4*PI()*0.4^2*10</f>
        <v>439.82297150257114</v>
      </c>
      <c r="C306" s="1329" t="s">
        <v>53</v>
      </c>
      <c r="D306" s="1328" t="s">
        <v>1585</v>
      </c>
      <c r="E306" s="1327">
        <f>Material!G14/50</f>
        <v>1300</v>
      </c>
      <c r="F306" s="1325">
        <f>B306*E306</f>
        <v>571769.8629533425</v>
      </c>
      <c r="G306" s="1325"/>
      <c r="H306" s="1326"/>
      <c r="I306" s="1325"/>
      <c r="J306" s="1324"/>
      <c r="K306" s="1324"/>
      <c r="L306" s="1324"/>
      <c r="M306" s="1324"/>
      <c r="N306" s="1324"/>
      <c r="O306" s="1324"/>
      <c r="P306" s="1324"/>
      <c r="Q306" s="1324"/>
      <c r="R306" s="1324"/>
      <c r="S306" s="1324"/>
      <c r="T306" s="1324"/>
      <c r="U306" s="1324"/>
      <c r="V306" s="1324"/>
      <c r="W306" s="1324"/>
      <c r="X306" s="1324"/>
      <c r="Y306" s="1324"/>
      <c r="Z306" s="1324"/>
      <c r="AA306" s="1324"/>
      <c r="AB306" s="1324"/>
      <c r="AC306" s="1324"/>
      <c r="AD306" s="1324"/>
      <c r="AE306" s="1324"/>
    </row>
    <row r="307" spans="1:31" s="1323" customFormat="1">
      <c r="A307" s="1328"/>
      <c r="B307" s="1330">
        <f>70*1/4*PI()*0.4^2*10</f>
        <v>87.964594300514221</v>
      </c>
      <c r="C307" s="1329" t="s">
        <v>53</v>
      </c>
      <c r="D307" s="1328" t="s">
        <v>1634</v>
      </c>
      <c r="E307" s="1327">
        <f>Material!G15</f>
        <v>3000</v>
      </c>
      <c r="F307" s="1325">
        <f>B307*E307</f>
        <v>263893.78290154267</v>
      </c>
      <c r="G307" s="1325"/>
      <c r="H307" s="1326"/>
      <c r="I307" s="1325"/>
      <c r="J307" s="1324"/>
      <c r="K307" s="1324"/>
      <c r="L307" s="1324"/>
      <c r="M307" s="1324"/>
      <c r="N307" s="1324"/>
      <c r="O307" s="1324"/>
      <c r="P307" s="1324"/>
      <c r="Q307" s="1324"/>
      <c r="R307" s="1324"/>
      <c r="S307" s="1324"/>
      <c r="T307" s="1324"/>
      <c r="U307" s="1324"/>
      <c r="V307" s="1324"/>
      <c r="W307" s="1324"/>
      <c r="X307" s="1324"/>
      <c r="Y307" s="1324"/>
      <c r="Z307" s="1324"/>
      <c r="AA307" s="1324"/>
      <c r="AB307" s="1324"/>
      <c r="AC307" s="1324"/>
      <c r="AD307" s="1324"/>
      <c r="AE307" s="1324"/>
    </row>
    <row r="308" spans="1:31" s="1323" customFormat="1">
      <c r="A308" s="1328"/>
      <c r="B308" s="1330">
        <f>10/4*PI()*0.4^2*10</f>
        <v>12.566370614359174</v>
      </c>
      <c r="C308" s="1329" t="s">
        <v>51</v>
      </c>
      <c r="D308" s="1328" t="s">
        <v>1633</v>
      </c>
      <c r="E308" s="1327">
        <f>Material!G21</f>
        <v>40000</v>
      </c>
      <c r="F308" s="1325">
        <f>B308*E308</f>
        <v>502654.82457436697</v>
      </c>
      <c r="G308" s="1325"/>
      <c r="H308" s="1326"/>
      <c r="I308" s="1325"/>
      <c r="J308" s="1324"/>
      <c r="K308" s="1324"/>
      <c r="L308" s="1324"/>
      <c r="M308" s="1324"/>
      <c r="N308" s="1324"/>
      <c r="O308" s="1324"/>
      <c r="P308" s="1324"/>
      <c r="Q308" s="1324"/>
      <c r="R308" s="1324"/>
      <c r="S308" s="1324"/>
      <c r="T308" s="1324"/>
      <c r="U308" s="1324"/>
      <c r="V308" s="1324"/>
      <c r="W308" s="1324"/>
      <c r="X308" s="1324"/>
      <c r="Y308" s="1324"/>
      <c r="Z308" s="1324"/>
      <c r="AA308" s="1324"/>
      <c r="AB308" s="1324"/>
      <c r="AC308" s="1324"/>
      <c r="AD308" s="1324"/>
      <c r="AE308" s="1324"/>
    </row>
    <row r="309" spans="1:31" s="1323" customFormat="1">
      <c r="A309" s="1328"/>
      <c r="B309" s="1330">
        <v>10</v>
      </c>
      <c r="C309" s="1329" t="s">
        <v>50</v>
      </c>
      <c r="D309" s="1328" t="s">
        <v>1632</v>
      </c>
      <c r="E309" s="1327">
        <v>175000</v>
      </c>
      <c r="F309" s="1325"/>
      <c r="G309" s="1325">
        <f>B309*E309</f>
        <v>1750000</v>
      </c>
      <c r="H309" s="1326"/>
      <c r="I309" s="1325"/>
      <c r="J309" s="1324"/>
      <c r="K309" s="1324"/>
      <c r="L309" s="1324"/>
      <c r="M309" s="1324"/>
      <c r="N309" s="1324"/>
      <c r="O309" s="1324"/>
      <c r="P309" s="1324"/>
      <c r="Q309" s="1324"/>
      <c r="R309" s="1324"/>
      <c r="S309" s="1324"/>
      <c r="T309" s="1324"/>
      <c r="U309" s="1324"/>
      <c r="V309" s="1324"/>
      <c r="W309" s="1324"/>
      <c r="X309" s="1324"/>
      <c r="Y309" s="1324"/>
      <c r="Z309" s="1324"/>
      <c r="AA309" s="1324"/>
      <c r="AB309" s="1324"/>
      <c r="AC309" s="1324"/>
      <c r="AD309" s="1324"/>
      <c r="AE309" s="1324"/>
    </row>
    <row r="310" spans="1:31" s="1323" customFormat="1" ht="13.5" thickBot="1">
      <c r="A310" s="1328"/>
      <c r="B310" s="1330"/>
      <c r="C310" s="1329"/>
      <c r="D310" s="1328"/>
      <c r="E310" s="1327"/>
      <c r="F310" s="1325"/>
      <c r="G310" s="1325"/>
      <c r="H310" s="1326"/>
      <c r="I310" s="1325"/>
      <c r="J310" s="1324"/>
      <c r="K310" s="1324"/>
      <c r="L310" s="1324"/>
      <c r="M310" s="1324"/>
      <c r="N310" s="1324"/>
      <c r="O310" s="1324"/>
      <c r="P310" s="1324"/>
      <c r="Q310" s="1324"/>
      <c r="R310" s="1324"/>
      <c r="S310" s="1324"/>
      <c r="T310" s="1324"/>
      <c r="U310" s="1324"/>
      <c r="V310" s="1324"/>
      <c r="W310" s="1324"/>
      <c r="X310" s="1324"/>
      <c r="Y310" s="1324"/>
      <c r="Z310" s="1324"/>
      <c r="AA310" s="1324"/>
      <c r="AB310" s="1324"/>
      <c r="AC310" s="1324"/>
      <c r="AD310" s="1324"/>
      <c r="AE310" s="1324"/>
    </row>
    <row r="311" spans="1:31" s="1315" customFormat="1" ht="13.5" thickBot="1">
      <c r="A311" s="1320"/>
      <c r="B311" s="1322"/>
      <c r="C311" s="1321"/>
      <c r="D311" s="1320"/>
      <c r="E311" s="1319" t="s">
        <v>48</v>
      </c>
      <c r="F311" s="1318">
        <f>SUM(F306:F310)</f>
        <v>1338318.4704292521</v>
      </c>
      <c r="G311" s="1318">
        <f>SUM(G306:G310)</f>
        <v>1750000</v>
      </c>
      <c r="H311" s="1318">
        <f>SUM(H306:H310)</f>
        <v>0</v>
      </c>
      <c r="I311" s="1317">
        <f>SUM(F311:H311)</f>
        <v>3088318.4704292519</v>
      </c>
      <c r="J311" s="1316"/>
      <c r="K311" s="1316"/>
      <c r="L311" s="1316"/>
      <c r="M311" s="1316"/>
      <c r="N311" s="1316"/>
      <c r="O311" s="1316"/>
      <c r="P311" s="1316"/>
      <c r="Q311" s="1316"/>
      <c r="R311" s="1316"/>
      <c r="S311" s="1316"/>
      <c r="T311" s="1316"/>
      <c r="U311" s="1316"/>
      <c r="V311" s="1316"/>
      <c r="W311" s="1316"/>
      <c r="X311" s="1316"/>
      <c r="Y311" s="1316"/>
      <c r="Z311" s="1316"/>
      <c r="AA311" s="1316"/>
      <c r="AB311" s="1316"/>
      <c r="AC311" s="1316"/>
      <c r="AD311" s="1316"/>
      <c r="AE311" s="1316"/>
    </row>
    <row r="312" spans="1:31" s="1323" customFormat="1">
      <c r="A312" s="1328"/>
      <c r="B312" s="1322"/>
      <c r="C312" s="1321"/>
      <c r="D312" s="1339"/>
      <c r="E312" s="1338"/>
      <c r="F312" s="1331"/>
      <c r="G312" s="1337"/>
      <c r="H312" s="1336"/>
      <c r="I312" s="1331"/>
      <c r="J312" s="1324"/>
      <c r="K312" s="1324"/>
      <c r="L312" s="1324"/>
      <c r="M312" s="1324"/>
      <c r="N312" s="1324"/>
      <c r="O312" s="1324"/>
      <c r="P312" s="1324"/>
      <c r="Q312" s="1324"/>
      <c r="R312" s="1324"/>
      <c r="S312" s="1324"/>
      <c r="T312" s="1324"/>
      <c r="U312" s="1324"/>
      <c r="V312" s="1324"/>
      <c r="W312" s="1324"/>
      <c r="X312" s="1324"/>
      <c r="Y312" s="1324"/>
      <c r="Z312" s="1324"/>
      <c r="AA312" s="1324"/>
      <c r="AB312" s="1324"/>
      <c r="AC312" s="1324"/>
      <c r="AD312" s="1324"/>
      <c r="AE312" s="1324"/>
    </row>
    <row r="313" spans="1:31" s="1323" customFormat="1">
      <c r="A313" s="1335"/>
      <c r="B313" s="1334" t="s">
        <v>1631</v>
      </c>
      <c r="C313" s="1329"/>
      <c r="D313" s="1328"/>
      <c r="E313" s="1333"/>
      <c r="F313" s="1331"/>
      <c r="G313" s="1331"/>
      <c r="H313" s="1332"/>
      <c r="I313" s="1331"/>
      <c r="J313" s="1324"/>
      <c r="K313" s="1324"/>
      <c r="L313" s="1324"/>
      <c r="M313" s="1324"/>
      <c r="N313" s="1324"/>
      <c r="O313" s="1324"/>
      <c r="P313" s="1324"/>
      <c r="Q313" s="1324"/>
      <c r="R313" s="1324"/>
      <c r="S313" s="1324"/>
      <c r="T313" s="1324"/>
      <c r="U313" s="1324"/>
      <c r="V313" s="1324"/>
      <c r="W313" s="1324"/>
      <c r="X313" s="1324"/>
      <c r="Y313" s="1324"/>
      <c r="Z313" s="1324"/>
      <c r="AA313" s="1324"/>
      <c r="AB313" s="1324"/>
      <c r="AC313" s="1324"/>
      <c r="AD313" s="1324"/>
      <c r="AE313" s="1324"/>
    </row>
    <row r="314" spans="1:31" s="1323" customFormat="1">
      <c r="A314" s="1328"/>
      <c r="B314" s="1330">
        <v>42</v>
      </c>
      <c r="C314" s="1329" t="s">
        <v>1514</v>
      </c>
      <c r="D314" s="1328" t="s">
        <v>1630</v>
      </c>
      <c r="E314" s="1327">
        <f>I289</f>
        <v>7055501.3416886479</v>
      </c>
      <c r="F314" s="1325">
        <f>B314*F289</f>
        <v>178731056.35092321</v>
      </c>
      <c r="G314" s="1325">
        <f>B314*G289</f>
        <v>117600000</v>
      </c>
      <c r="H314" s="1326"/>
      <c r="I314" s="1325"/>
      <c r="J314" s="1324"/>
      <c r="K314" s="1324"/>
      <c r="L314" s="1324"/>
      <c r="M314" s="1324"/>
      <c r="N314" s="1324"/>
      <c r="O314" s="1324"/>
      <c r="P314" s="1324"/>
      <c r="Q314" s="1324"/>
      <c r="R314" s="1324"/>
      <c r="S314" s="1324"/>
      <c r="T314" s="1324"/>
      <c r="U314" s="1324"/>
      <c r="V314" s="1324"/>
      <c r="W314" s="1324"/>
      <c r="X314" s="1324"/>
      <c r="Y314" s="1324"/>
      <c r="Z314" s="1324"/>
      <c r="AA314" s="1324"/>
      <c r="AB314" s="1324"/>
      <c r="AC314" s="1324"/>
      <c r="AD314" s="1324"/>
      <c r="AE314" s="1324"/>
    </row>
    <row r="315" spans="1:31" s="1323" customFormat="1">
      <c r="A315" s="1328"/>
      <c r="B315" s="1330">
        <v>41</v>
      </c>
      <c r="C315" s="1329" t="s">
        <v>1514</v>
      </c>
      <c r="D315" s="1328" t="s">
        <v>1629</v>
      </c>
      <c r="E315" s="1327">
        <f>I311</f>
        <v>3088318.4704292519</v>
      </c>
      <c r="F315" s="1325">
        <f>B315*F311</f>
        <v>54871057.28759934</v>
      </c>
      <c r="G315" s="1325">
        <f>B315*G311</f>
        <v>71750000</v>
      </c>
      <c r="H315" s="1326"/>
      <c r="I315" s="1325"/>
      <c r="J315" s="1324"/>
      <c r="K315" s="1324"/>
      <c r="L315" s="1324"/>
      <c r="M315" s="1324"/>
      <c r="N315" s="1324"/>
      <c r="O315" s="1324"/>
      <c r="P315" s="1324"/>
      <c r="Q315" s="1324"/>
      <c r="R315" s="1324"/>
      <c r="S315" s="1324"/>
      <c r="T315" s="1324"/>
      <c r="U315" s="1324"/>
      <c r="V315" s="1324"/>
      <c r="W315" s="1324"/>
      <c r="X315" s="1324"/>
      <c r="Y315" s="1324"/>
      <c r="Z315" s="1324"/>
      <c r="AA315" s="1324"/>
      <c r="AB315" s="1324"/>
      <c r="AC315" s="1324"/>
      <c r="AD315" s="1324"/>
      <c r="AE315" s="1324"/>
    </row>
    <row r="316" spans="1:31" s="1323" customFormat="1">
      <c r="A316" s="1328"/>
      <c r="B316" s="1330">
        <v>1</v>
      </c>
      <c r="C316" s="1329" t="s">
        <v>352</v>
      </c>
      <c r="D316" s="1328" t="s">
        <v>1628</v>
      </c>
      <c r="E316" s="1327">
        <v>10000000</v>
      </c>
      <c r="F316" s="1325"/>
      <c r="G316" s="1325">
        <f>B316*E316</f>
        <v>10000000</v>
      </c>
      <c r="H316" s="1326"/>
      <c r="I316" s="1325"/>
      <c r="J316" s="1324"/>
      <c r="K316" s="1324"/>
      <c r="L316" s="1324"/>
      <c r="M316" s="1324"/>
      <c r="N316" s="1324"/>
      <c r="O316" s="1324"/>
      <c r="P316" s="1324"/>
      <c r="Q316" s="1324"/>
      <c r="R316" s="1324"/>
      <c r="S316" s="1324"/>
      <c r="T316" s="1324"/>
      <c r="U316" s="1324"/>
      <c r="V316" s="1324"/>
      <c r="W316" s="1324"/>
      <c r="X316" s="1324"/>
      <c r="Y316" s="1324"/>
      <c r="Z316" s="1324"/>
      <c r="AA316" s="1324"/>
      <c r="AB316" s="1324"/>
      <c r="AC316" s="1324"/>
      <c r="AD316" s="1324"/>
      <c r="AE316" s="1324"/>
    </row>
    <row r="317" spans="1:31" s="1323" customFormat="1" ht="13.5" thickBot="1">
      <c r="A317" s="1328"/>
      <c r="B317" s="1330"/>
      <c r="C317" s="1329"/>
      <c r="D317" s="1328"/>
      <c r="E317" s="1327"/>
      <c r="F317" s="1325"/>
      <c r="G317" s="1325"/>
      <c r="H317" s="1326"/>
      <c r="I317" s="1325"/>
      <c r="J317" s="1324"/>
      <c r="K317" s="1324"/>
      <c r="L317" s="1324"/>
      <c r="M317" s="1324"/>
      <c r="N317" s="1324"/>
      <c r="O317" s="1324"/>
      <c r="P317" s="1324"/>
      <c r="Q317" s="1324"/>
      <c r="R317" s="1324"/>
      <c r="S317" s="1324"/>
      <c r="T317" s="1324"/>
      <c r="U317" s="1324"/>
      <c r="V317" s="1324"/>
      <c r="W317" s="1324"/>
      <c r="X317" s="1324"/>
      <c r="Y317" s="1324"/>
      <c r="Z317" s="1324"/>
      <c r="AA317" s="1324"/>
      <c r="AB317" s="1324"/>
      <c r="AC317" s="1324"/>
      <c r="AD317" s="1324"/>
      <c r="AE317" s="1324"/>
    </row>
    <row r="318" spans="1:31" s="1315" customFormat="1" ht="13.5" thickBot="1">
      <c r="A318" s="1320"/>
      <c r="B318" s="1322"/>
      <c r="C318" s="1321"/>
      <c r="D318" s="1320"/>
      <c r="E318" s="1319" t="s">
        <v>48</v>
      </c>
      <c r="F318" s="1318">
        <f>SUM(F314:F317)</f>
        <v>233602113.63852257</v>
      </c>
      <c r="G318" s="1318">
        <f>SUM(G314:G317)</f>
        <v>199350000</v>
      </c>
      <c r="H318" s="1318">
        <f>SUM(H314:H317)</f>
        <v>0</v>
      </c>
      <c r="I318" s="1317">
        <f>SUM(F318:H318)</f>
        <v>432952113.63852257</v>
      </c>
      <c r="J318" s="1316"/>
      <c r="K318" s="1316"/>
      <c r="L318" s="1316"/>
      <c r="M318" s="1316"/>
      <c r="N318" s="1316"/>
      <c r="O318" s="1316"/>
      <c r="P318" s="1316"/>
      <c r="Q318" s="1316"/>
      <c r="R318" s="1316"/>
      <c r="S318" s="1316"/>
      <c r="T318" s="1316"/>
      <c r="U318" s="1316"/>
      <c r="V318" s="1316"/>
      <c r="W318" s="1316"/>
      <c r="X318" s="1316"/>
      <c r="Y318" s="1316"/>
      <c r="Z318" s="1316"/>
      <c r="AA318" s="1316"/>
      <c r="AB318" s="1316"/>
      <c r="AC318" s="1316"/>
      <c r="AD318" s="1316"/>
      <c r="AE318" s="1316"/>
    </row>
    <row r="319" spans="1:31">
      <c r="A319" s="1299"/>
      <c r="B319" s="1303"/>
      <c r="C319" s="1300"/>
      <c r="D319" s="1299"/>
      <c r="E319" s="1298"/>
      <c r="F319" s="1296"/>
      <c r="G319" s="1297"/>
      <c r="H319" s="1297"/>
      <c r="I319" s="1296"/>
      <c r="J319" s="1295"/>
      <c r="K319" s="1295"/>
      <c r="L319" s="1295"/>
      <c r="M319" s="1295"/>
      <c r="N319" s="1295"/>
      <c r="O319" s="1295"/>
      <c r="P319" s="1295"/>
      <c r="Q319" s="1295"/>
      <c r="R319" s="1295"/>
      <c r="S319" s="1295"/>
      <c r="T319" s="1295"/>
      <c r="U319" s="1295"/>
      <c r="V319" s="1295"/>
      <c r="W319" s="1295"/>
      <c r="X319" s="1295"/>
      <c r="Y319" s="1295"/>
      <c r="Z319" s="1295"/>
      <c r="AA319" s="1295"/>
      <c r="AB319" s="1295"/>
      <c r="AC319" s="1295"/>
      <c r="AD319" s="1295"/>
      <c r="AE319" s="1295"/>
    </row>
    <row r="320" spans="1:31">
      <c r="A320" s="1299"/>
      <c r="B320" s="1301"/>
      <c r="C320" s="1300"/>
      <c r="D320" s="1299"/>
      <c r="E320" s="1298"/>
      <c r="F320" s="1296"/>
      <c r="G320" s="1297"/>
      <c r="H320" s="1297"/>
      <c r="I320" s="1296"/>
      <c r="J320" s="1295"/>
      <c r="K320" s="1295"/>
      <c r="L320" s="1295"/>
      <c r="M320" s="1295"/>
      <c r="N320" s="1295"/>
      <c r="O320" s="1295"/>
      <c r="P320" s="1295"/>
      <c r="Q320" s="1295"/>
      <c r="R320" s="1295"/>
      <c r="S320" s="1295"/>
      <c r="T320" s="1295"/>
      <c r="U320" s="1295"/>
      <c r="V320" s="1295"/>
      <c r="W320" s="1295"/>
      <c r="X320" s="1295"/>
      <c r="Y320" s="1295"/>
      <c r="Z320" s="1295"/>
      <c r="AA320" s="1295"/>
      <c r="AB320" s="1295"/>
      <c r="AC320" s="1295"/>
      <c r="AD320" s="1295"/>
      <c r="AE320" s="1295"/>
    </row>
    <row r="321" spans="1:31" s="1217" customFormat="1">
      <c r="A321" s="1275"/>
      <c r="B321" s="1267" t="s">
        <v>1627</v>
      </c>
      <c r="C321" s="1266"/>
      <c r="D321" s="1265"/>
      <c r="E321" s="1274"/>
      <c r="F321" s="1272"/>
      <c r="G321" s="1273"/>
      <c r="H321" s="1273"/>
      <c r="I321" s="1272"/>
      <c r="J321" s="1260"/>
      <c r="K321" s="1260"/>
      <c r="L321" s="1260"/>
      <c r="M321" s="1260"/>
      <c r="N321" s="1260"/>
      <c r="O321" s="1260"/>
      <c r="P321" s="1260"/>
      <c r="Q321" s="1260"/>
      <c r="R321" s="1260"/>
      <c r="S321" s="1260"/>
      <c r="T321" s="1260"/>
      <c r="U321" s="1260"/>
      <c r="V321" s="1260"/>
      <c r="W321" s="1260"/>
      <c r="X321" s="1260"/>
      <c r="Y321" s="1260"/>
      <c r="Z321" s="1260"/>
      <c r="AA321" s="1260"/>
      <c r="AB321" s="1260"/>
      <c r="AC321" s="1260"/>
      <c r="AD321" s="1260"/>
      <c r="AE321" s="1260"/>
    </row>
    <row r="322" spans="1:31" s="1217" customFormat="1">
      <c r="A322" s="1265"/>
      <c r="B322" s="1271">
        <v>1.2</v>
      </c>
      <c r="C322" s="1266" t="s">
        <v>51</v>
      </c>
      <c r="D322" s="1265" t="s">
        <v>1626</v>
      </c>
      <c r="E322" s="1270">
        <f>Material!$G$17</f>
        <v>175000</v>
      </c>
      <c r="F322" s="1268">
        <f>B322*E322</f>
        <v>210000</v>
      </c>
      <c r="G322" s="1269"/>
      <c r="H322" s="1269"/>
      <c r="I322" s="1268"/>
      <c r="J322" s="1260"/>
      <c r="K322" s="1260"/>
      <c r="L322" s="1260"/>
      <c r="M322" s="1260"/>
      <c r="N322" s="1260"/>
      <c r="O322" s="1260"/>
      <c r="P322" s="1260"/>
      <c r="Q322" s="1260"/>
      <c r="R322" s="1260"/>
      <c r="S322" s="1260"/>
      <c r="T322" s="1260"/>
      <c r="U322" s="1260"/>
      <c r="V322" s="1260"/>
      <c r="W322" s="1260"/>
      <c r="X322" s="1260"/>
      <c r="Y322" s="1260"/>
      <c r="Z322" s="1260"/>
      <c r="AA322" s="1260"/>
      <c r="AB322" s="1260"/>
      <c r="AC322" s="1260"/>
      <c r="AD322" s="1260"/>
      <c r="AE322" s="1260"/>
    </row>
    <row r="323" spans="1:31" s="1217" customFormat="1">
      <c r="A323" s="1265"/>
      <c r="B323" s="1271">
        <v>1</v>
      </c>
      <c r="C323" s="1266" t="s">
        <v>51</v>
      </c>
      <c r="D323" s="1265" t="s">
        <v>1625</v>
      </c>
      <c r="E323" s="1270">
        <v>75000</v>
      </c>
      <c r="F323" s="1268"/>
      <c r="G323" s="1269">
        <f>B323*E323</f>
        <v>75000</v>
      </c>
      <c r="H323" s="1269"/>
      <c r="I323" s="1268"/>
      <c r="J323" s="1260"/>
      <c r="K323" s="1260"/>
      <c r="L323" s="1260"/>
      <c r="M323" s="1260"/>
      <c r="N323" s="1260"/>
      <c r="O323" s="1260"/>
      <c r="P323" s="1260"/>
      <c r="Q323" s="1260"/>
      <c r="R323" s="1260"/>
      <c r="S323" s="1260"/>
      <c r="T323" s="1260"/>
      <c r="U323" s="1260"/>
      <c r="V323" s="1260"/>
      <c r="W323" s="1260"/>
      <c r="X323" s="1260"/>
      <c r="Y323" s="1260"/>
      <c r="Z323" s="1260"/>
      <c r="AA323" s="1260"/>
      <c r="AB323" s="1260"/>
      <c r="AC323" s="1260"/>
      <c r="AD323" s="1260"/>
      <c r="AE323" s="1260"/>
    </row>
    <row r="324" spans="1:31" s="1217" customFormat="1" ht="13.5" thickBot="1">
      <c r="A324" s="1265"/>
      <c r="B324" s="1271"/>
      <c r="C324" s="1266"/>
      <c r="D324" s="1265"/>
      <c r="E324" s="1270"/>
      <c r="F324" s="1268"/>
      <c r="G324" s="1269"/>
      <c r="H324" s="1269"/>
      <c r="I324" s="1268"/>
      <c r="J324" s="1260"/>
      <c r="K324" s="1260"/>
      <c r="L324" s="1260"/>
      <c r="M324" s="1260"/>
      <c r="N324" s="1260"/>
      <c r="O324" s="1260"/>
      <c r="P324" s="1260"/>
      <c r="Q324" s="1260"/>
      <c r="R324" s="1260"/>
      <c r="S324" s="1260"/>
      <c r="T324" s="1260"/>
      <c r="U324" s="1260"/>
      <c r="V324" s="1260"/>
      <c r="W324" s="1260"/>
      <c r="X324" s="1260"/>
      <c r="Y324" s="1260"/>
      <c r="Z324" s="1260"/>
      <c r="AA324" s="1260"/>
      <c r="AB324" s="1260"/>
      <c r="AC324" s="1260"/>
      <c r="AD324" s="1260"/>
      <c r="AE324" s="1260"/>
    </row>
    <row r="325" spans="1:31" s="1217" customFormat="1" ht="13.5" thickBot="1">
      <c r="A325" s="1265"/>
      <c r="B325" s="1267"/>
      <c r="C325" s="1266"/>
      <c r="D325" s="1265"/>
      <c r="E325" s="1264" t="s">
        <v>48</v>
      </c>
      <c r="F325" s="1263">
        <f>SUM(F321:F324)</f>
        <v>210000</v>
      </c>
      <c r="G325" s="1262">
        <f>SUM(G321:G324)</f>
        <v>75000</v>
      </c>
      <c r="H325" s="1262"/>
      <c r="I325" s="1261">
        <f>SUM(F325:G325)</f>
        <v>285000</v>
      </c>
      <c r="J325" s="1260"/>
      <c r="K325" s="1260"/>
      <c r="L325" s="1260"/>
      <c r="M325" s="1260"/>
      <c r="N325" s="1260"/>
      <c r="O325" s="1260"/>
      <c r="P325" s="1260"/>
      <c r="Q325" s="1260"/>
      <c r="R325" s="1260"/>
      <c r="S325" s="1260"/>
      <c r="T325" s="1260"/>
      <c r="U325" s="1260"/>
      <c r="V325" s="1260"/>
      <c r="W325" s="1260"/>
      <c r="X325" s="1260"/>
      <c r="Y325" s="1260"/>
      <c r="Z325" s="1260"/>
      <c r="AA325" s="1260"/>
      <c r="AB325" s="1260"/>
      <c r="AC325" s="1260"/>
      <c r="AD325" s="1260"/>
      <c r="AE325" s="1260"/>
    </row>
    <row r="326" spans="1:31" s="1217" customFormat="1">
      <c r="A326" s="1265"/>
      <c r="B326" s="1267"/>
      <c r="C326" s="1266"/>
      <c r="D326" s="1265"/>
      <c r="E326" s="1276"/>
      <c r="F326" s="1272"/>
      <c r="G326" s="1273"/>
      <c r="H326" s="1273"/>
      <c r="I326" s="1272"/>
      <c r="J326" s="1260"/>
      <c r="K326" s="1260"/>
      <c r="L326" s="1260"/>
      <c r="M326" s="1260"/>
      <c r="N326" s="1260"/>
      <c r="O326" s="1260"/>
      <c r="P326" s="1260"/>
      <c r="Q326" s="1260"/>
      <c r="R326" s="1260"/>
      <c r="S326" s="1260"/>
      <c r="T326" s="1260"/>
      <c r="U326" s="1260"/>
      <c r="V326" s="1260"/>
      <c r="W326" s="1260"/>
      <c r="X326" s="1260"/>
      <c r="Y326" s="1260"/>
      <c r="Z326" s="1260"/>
      <c r="AA326" s="1260"/>
      <c r="AB326" s="1260"/>
      <c r="AC326" s="1260"/>
      <c r="AD326" s="1260"/>
      <c r="AE326" s="1260"/>
    </row>
    <row r="327" spans="1:31" s="1217" customFormat="1">
      <c r="A327" s="1275"/>
      <c r="B327" s="1267" t="s">
        <v>1624</v>
      </c>
      <c r="C327" s="1266"/>
      <c r="D327" s="1265"/>
      <c r="E327" s="1274"/>
      <c r="F327" s="1272"/>
      <c r="G327" s="1273"/>
      <c r="H327" s="1273"/>
      <c r="I327" s="1272"/>
      <c r="J327" s="1260"/>
      <c r="K327" s="1260"/>
      <c r="L327" s="1260"/>
      <c r="M327" s="1260"/>
      <c r="N327" s="1260"/>
      <c r="O327" s="1260"/>
      <c r="P327" s="1260"/>
      <c r="Q327" s="1260"/>
      <c r="R327" s="1260"/>
      <c r="S327" s="1260"/>
      <c r="T327" s="1260"/>
      <c r="U327" s="1260"/>
      <c r="V327" s="1260"/>
      <c r="W327" s="1260"/>
      <c r="X327" s="1260"/>
      <c r="Y327" s="1260"/>
      <c r="Z327" s="1260"/>
      <c r="AA327" s="1260"/>
      <c r="AB327" s="1260"/>
      <c r="AC327" s="1260"/>
      <c r="AD327" s="1260"/>
      <c r="AE327" s="1260"/>
    </row>
    <row r="328" spans="1:31" s="1217" customFormat="1">
      <c r="A328" s="1265"/>
      <c r="B328" s="1271">
        <v>1.2</v>
      </c>
      <c r="C328" s="1266" t="s">
        <v>51</v>
      </c>
      <c r="D328" s="1265" t="s">
        <v>1621</v>
      </c>
      <c r="E328" s="1270">
        <f>Material!$G$19</f>
        <v>250000</v>
      </c>
      <c r="F328" s="1268">
        <f>B328*E328</f>
        <v>300000</v>
      </c>
      <c r="G328" s="1269"/>
      <c r="H328" s="1269"/>
      <c r="I328" s="1268"/>
      <c r="J328" s="1260"/>
      <c r="K328" s="1260"/>
      <c r="L328" s="1260"/>
      <c r="M328" s="1260"/>
      <c r="N328" s="1260"/>
      <c r="O328" s="1260"/>
      <c r="P328" s="1260"/>
      <c r="Q328" s="1260"/>
      <c r="R328" s="1260"/>
      <c r="S328" s="1260"/>
      <c r="T328" s="1260"/>
      <c r="U328" s="1260"/>
      <c r="V328" s="1260"/>
      <c r="W328" s="1260"/>
      <c r="X328" s="1260"/>
      <c r="Y328" s="1260"/>
      <c r="Z328" s="1260"/>
      <c r="AA328" s="1260"/>
      <c r="AB328" s="1260"/>
      <c r="AC328" s="1260"/>
      <c r="AD328" s="1260"/>
      <c r="AE328" s="1260"/>
    </row>
    <row r="329" spans="1:31" s="1217" customFormat="1">
      <c r="A329" s="1265"/>
      <c r="B329" s="1271">
        <v>0.43</v>
      </c>
      <c r="C329" s="1266" t="s">
        <v>51</v>
      </c>
      <c r="D329" s="1265" t="s">
        <v>1620</v>
      </c>
      <c r="E329" s="1270">
        <f>Material!$G$8</f>
        <v>350000</v>
      </c>
      <c r="F329" s="1268">
        <f>B329*E329</f>
        <v>150500</v>
      </c>
      <c r="G329" s="1269"/>
      <c r="H329" s="1269"/>
      <c r="I329" s="1268"/>
      <c r="J329" s="1260"/>
      <c r="K329" s="1260"/>
      <c r="L329" s="1260"/>
      <c r="M329" s="1260"/>
      <c r="N329" s="1260"/>
      <c r="O329" s="1260"/>
      <c r="P329" s="1260"/>
      <c r="Q329" s="1260"/>
      <c r="R329" s="1260"/>
      <c r="S329" s="1260"/>
      <c r="T329" s="1260"/>
      <c r="U329" s="1260"/>
      <c r="V329" s="1260"/>
      <c r="W329" s="1260"/>
      <c r="X329" s="1260"/>
      <c r="Y329" s="1260"/>
      <c r="Z329" s="1260"/>
      <c r="AA329" s="1260"/>
      <c r="AB329" s="1260"/>
      <c r="AC329" s="1260"/>
      <c r="AD329" s="1260"/>
      <c r="AE329" s="1260"/>
    </row>
    <row r="330" spans="1:31" s="1217" customFormat="1">
      <c r="A330" s="1265"/>
      <c r="B330" s="1271">
        <v>1</v>
      </c>
      <c r="C330" s="1266" t="s">
        <v>51</v>
      </c>
      <c r="D330" s="1265" t="s">
        <v>1623</v>
      </c>
      <c r="E330" s="1270">
        <v>200000</v>
      </c>
      <c r="F330" s="1268"/>
      <c r="G330" s="1269">
        <f>B330*E330</f>
        <v>200000</v>
      </c>
      <c r="H330" s="1269"/>
      <c r="I330" s="1268"/>
      <c r="J330" s="1260"/>
      <c r="K330" s="1260"/>
      <c r="L330" s="1260"/>
      <c r="M330" s="1260"/>
      <c r="N330" s="1260"/>
      <c r="O330" s="1260"/>
      <c r="P330" s="1260"/>
      <c r="Q330" s="1260"/>
      <c r="R330" s="1260"/>
      <c r="S330" s="1260"/>
      <c r="T330" s="1260"/>
      <c r="U330" s="1260"/>
      <c r="V330" s="1260"/>
      <c r="W330" s="1260"/>
      <c r="X330" s="1260"/>
      <c r="Y330" s="1260"/>
      <c r="Z330" s="1260"/>
      <c r="AA330" s="1260"/>
      <c r="AB330" s="1260"/>
      <c r="AC330" s="1260"/>
      <c r="AD330" s="1260"/>
      <c r="AE330" s="1260"/>
    </row>
    <row r="331" spans="1:31" s="1217" customFormat="1" ht="13.5" thickBot="1">
      <c r="A331" s="1265"/>
      <c r="B331" s="1271"/>
      <c r="C331" s="1266"/>
      <c r="D331" s="1265"/>
      <c r="E331" s="1270"/>
      <c r="F331" s="1268"/>
      <c r="G331" s="1269"/>
      <c r="H331" s="1269"/>
      <c r="I331" s="1268"/>
      <c r="J331" s="1260"/>
      <c r="K331" s="1260"/>
      <c r="L331" s="1260"/>
      <c r="M331" s="1260"/>
      <c r="N331" s="1260"/>
      <c r="O331" s="1260"/>
      <c r="P331" s="1260"/>
      <c r="Q331" s="1260"/>
      <c r="R331" s="1260"/>
      <c r="S331" s="1260"/>
      <c r="T331" s="1260"/>
      <c r="U331" s="1260"/>
      <c r="V331" s="1260"/>
      <c r="W331" s="1260"/>
      <c r="X331" s="1260"/>
      <c r="Y331" s="1260"/>
      <c r="Z331" s="1260"/>
      <c r="AA331" s="1260"/>
      <c r="AB331" s="1260"/>
      <c r="AC331" s="1260"/>
      <c r="AD331" s="1260"/>
      <c r="AE331" s="1260"/>
    </row>
    <row r="332" spans="1:31" s="1217" customFormat="1" ht="13.5" thickBot="1">
      <c r="A332" s="1265"/>
      <c r="B332" s="1267"/>
      <c r="C332" s="1266"/>
      <c r="D332" s="1265"/>
      <c r="E332" s="1264" t="s">
        <v>48</v>
      </c>
      <c r="F332" s="1263">
        <f>SUM(F327:F331)</f>
        <v>450500</v>
      </c>
      <c r="G332" s="1262">
        <f>SUM(G327:G331)</f>
        <v>200000</v>
      </c>
      <c r="H332" s="1262"/>
      <c r="I332" s="1261">
        <f>SUM(F332:G332)</f>
        <v>650500</v>
      </c>
      <c r="J332" s="1260"/>
      <c r="K332" s="1260"/>
      <c r="L332" s="1260"/>
      <c r="M332" s="1260"/>
      <c r="N332" s="1260"/>
      <c r="O332" s="1260"/>
      <c r="P332" s="1260"/>
      <c r="Q332" s="1260"/>
      <c r="R332" s="1260"/>
      <c r="S332" s="1260"/>
      <c r="T332" s="1260"/>
      <c r="U332" s="1260"/>
      <c r="V332" s="1260"/>
      <c r="W332" s="1260"/>
      <c r="X332" s="1260"/>
      <c r="Y332" s="1260"/>
      <c r="Z332" s="1260"/>
      <c r="AA332" s="1260"/>
      <c r="AB332" s="1260"/>
      <c r="AC332" s="1260"/>
      <c r="AD332" s="1260"/>
      <c r="AE332" s="1260"/>
    </row>
    <row r="333" spans="1:31" s="1217" customFormat="1">
      <c r="A333" s="1265"/>
      <c r="B333" s="1267"/>
      <c r="C333" s="1266"/>
      <c r="D333" s="1265"/>
      <c r="E333" s="1276"/>
      <c r="F333" s="1272"/>
      <c r="G333" s="1273"/>
      <c r="H333" s="1273"/>
      <c r="I333" s="1272"/>
      <c r="J333" s="1260"/>
      <c r="K333" s="1260"/>
      <c r="L333" s="1260"/>
      <c r="M333" s="1260"/>
      <c r="N333" s="1260"/>
      <c r="O333" s="1260"/>
      <c r="P333" s="1260"/>
      <c r="Q333" s="1260"/>
      <c r="R333" s="1260"/>
      <c r="S333" s="1260"/>
      <c r="T333" s="1260"/>
      <c r="U333" s="1260"/>
      <c r="V333" s="1260"/>
      <c r="W333" s="1260"/>
      <c r="X333" s="1260"/>
      <c r="Y333" s="1260"/>
      <c r="Z333" s="1260"/>
      <c r="AA333" s="1260"/>
      <c r="AB333" s="1260"/>
      <c r="AC333" s="1260"/>
      <c r="AD333" s="1260"/>
      <c r="AE333" s="1260"/>
    </row>
    <row r="334" spans="1:31" s="1217" customFormat="1">
      <c r="A334" s="1275"/>
      <c r="B334" s="1267" t="s">
        <v>1622</v>
      </c>
      <c r="C334" s="1266"/>
      <c r="D334" s="1265"/>
      <c r="E334" s="1274"/>
      <c r="F334" s="1272"/>
      <c r="G334" s="1273"/>
      <c r="H334" s="1273"/>
      <c r="I334" s="1272"/>
      <c r="J334" s="1260"/>
      <c r="K334" s="1260"/>
      <c r="L334" s="1260"/>
      <c r="M334" s="1260"/>
      <c r="N334" s="1260"/>
      <c r="O334" s="1260"/>
      <c r="P334" s="1260"/>
      <c r="Q334" s="1260"/>
      <c r="R334" s="1260"/>
      <c r="S334" s="1260"/>
      <c r="T334" s="1260"/>
      <c r="U334" s="1260"/>
      <c r="V334" s="1260"/>
      <c r="W334" s="1260"/>
      <c r="X334" s="1260"/>
      <c r="Y334" s="1260"/>
      <c r="Z334" s="1260"/>
      <c r="AA334" s="1260"/>
      <c r="AB334" s="1260"/>
      <c r="AC334" s="1260"/>
      <c r="AD334" s="1260"/>
      <c r="AE334" s="1260"/>
    </row>
    <row r="335" spans="1:31" s="1217" customFormat="1">
      <c r="A335" s="1265"/>
      <c r="B335" s="1271">
        <v>1.2</v>
      </c>
      <c r="C335" s="1266" t="s">
        <v>51</v>
      </c>
      <c r="D335" s="1265" t="s">
        <v>1621</v>
      </c>
      <c r="E335" s="1270">
        <f>Material!$G$19</f>
        <v>250000</v>
      </c>
      <c r="F335" s="1268">
        <f>B335*E335</f>
        <v>300000</v>
      </c>
      <c r="G335" s="1269"/>
      <c r="H335" s="1269"/>
      <c r="I335" s="1268"/>
      <c r="J335" s="1260"/>
      <c r="K335" s="1260"/>
      <c r="L335" s="1260"/>
      <c r="M335" s="1260"/>
      <c r="N335" s="1260"/>
      <c r="O335" s="1260"/>
      <c r="P335" s="1260"/>
      <c r="Q335" s="1260"/>
      <c r="R335" s="1260"/>
      <c r="S335" s="1260"/>
      <c r="T335" s="1260"/>
      <c r="U335" s="1260"/>
      <c r="V335" s="1260"/>
      <c r="W335" s="1260"/>
      <c r="X335" s="1260"/>
      <c r="Y335" s="1260"/>
      <c r="Z335" s="1260"/>
      <c r="AA335" s="1260"/>
      <c r="AB335" s="1260"/>
      <c r="AC335" s="1260"/>
      <c r="AD335" s="1260"/>
      <c r="AE335" s="1260"/>
    </row>
    <row r="336" spans="1:31" s="1217" customFormat="1">
      <c r="A336" s="1265"/>
      <c r="B336" s="1271">
        <f>6.046/2</f>
        <v>3.0230000000000001</v>
      </c>
      <c r="C336" s="1266" t="s">
        <v>1574</v>
      </c>
      <c r="D336" s="1265" t="s">
        <v>1585</v>
      </c>
      <c r="E336" s="1270">
        <f>Material!$G$14</f>
        <v>65000</v>
      </c>
      <c r="F336" s="1268">
        <f>B336*E336</f>
        <v>196495</v>
      </c>
      <c r="G336" s="1269"/>
      <c r="H336" s="1269"/>
      <c r="I336" s="1268"/>
      <c r="J336" s="1260"/>
      <c r="K336" s="1260"/>
      <c r="L336" s="1260"/>
      <c r="M336" s="1260"/>
      <c r="N336" s="1260"/>
      <c r="O336" s="1260"/>
      <c r="P336" s="1260"/>
      <c r="Q336" s="1260"/>
      <c r="R336" s="1260"/>
      <c r="S336" s="1260"/>
      <c r="T336" s="1260"/>
      <c r="U336" s="1260"/>
      <c r="V336" s="1260"/>
      <c r="W336" s="1260"/>
      <c r="X336" s="1260"/>
      <c r="Y336" s="1260"/>
      <c r="Z336" s="1260"/>
      <c r="AA336" s="1260"/>
      <c r="AB336" s="1260"/>
      <c r="AC336" s="1260"/>
      <c r="AD336" s="1260"/>
      <c r="AE336" s="1260"/>
    </row>
    <row r="337" spans="1:31" s="1217" customFormat="1">
      <c r="A337" s="1265"/>
      <c r="B337" s="1271">
        <f>1.209/2</f>
        <v>0.60450000000000004</v>
      </c>
      <c r="C337" s="1266" t="s">
        <v>51</v>
      </c>
      <c r="D337" s="1265" t="s">
        <v>1620</v>
      </c>
      <c r="E337" s="1270">
        <f>Material!$G$8</f>
        <v>350000</v>
      </c>
      <c r="F337" s="1268">
        <f>B337*E337</f>
        <v>211575</v>
      </c>
      <c r="G337" s="1269"/>
      <c r="H337" s="1269"/>
      <c r="I337" s="1268"/>
      <c r="J337" s="1260"/>
      <c r="K337" s="1260"/>
      <c r="L337" s="1260"/>
      <c r="M337" s="1260"/>
      <c r="N337" s="1260"/>
      <c r="O337" s="1260"/>
      <c r="P337" s="1260"/>
      <c r="Q337" s="1260"/>
      <c r="R337" s="1260"/>
      <c r="S337" s="1260"/>
      <c r="T337" s="1260"/>
      <c r="U337" s="1260"/>
      <c r="V337" s="1260"/>
      <c r="W337" s="1260"/>
      <c r="X337" s="1260"/>
      <c r="Y337" s="1260"/>
      <c r="Z337" s="1260"/>
      <c r="AA337" s="1260"/>
      <c r="AB337" s="1260"/>
      <c r="AC337" s="1260"/>
      <c r="AD337" s="1260"/>
      <c r="AE337" s="1260"/>
    </row>
    <row r="338" spans="1:31" s="1217" customFormat="1">
      <c r="A338" s="1265"/>
      <c r="B338" s="1271">
        <v>1</v>
      </c>
      <c r="C338" s="1266" t="s">
        <v>51</v>
      </c>
      <c r="D338" s="1265" t="s">
        <v>1619</v>
      </c>
      <c r="E338" s="1270">
        <f>Upah!$D$16</f>
        <v>100000</v>
      </c>
      <c r="F338" s="1268"/>
      <c r="G338" s="1269">
        <f>B338*E338</f>
        <v>100000</v>
      </c>
      <c r="H338" s="1269"/>
      <c r="I338" s="1268"/>
      <c r="J338" s="1260"/>
      <c r="K338" s="1260"/>
      <c r="L338" s="1260"/>
      <c r="M338" s="1260"/>
      <c r="N338" s="1260"/>
      <c r="O338" s="1260"/>
      <c r="P338" s="1260"/>
      <c r="Q338" s="1260"/>
      <c r="R338" s="1260"/>
      <c r="S338" s="1260"/>
      <c r="T338" s="1260"/>
      <c r="U338" s="1260"/>
      <c r="V338" s="1260"/>
      <c r="W338" s="1260"/>
      <c r="X338" s="1260"/>
      <c r="Y338" s="1260"/>
      <c r="Z338" s="1260"/>
      <c r="AA338" s="1260"/>
      <c r="AB338" s="1260"/>
      <c r="AC338" s="1260"/>
      <c r="AD338" s="1260"/>
      <c r="AE338" s="1260"/>
    </row>
    <row r="339" spans="1:31" s="1217" customFormat="1" ht="13.5" thickBot="1">
      <c r="A339" s="1265"/>
      <c r="B339" s="1271"/>
      <c r="C339" s="1266"/>
      <c r="D339" s="1265"/>
      <c r="E339" s="1270"/>
      <c r="F339" s="1268"/>
      <c r="G339" s="1269"/>
      <c r="H339" s="1269"/>
      <c r="I339" s="1268"/>
      <c r="J339" s="1260"/>
      <c r="K339" s="1260"/>
      <c r="L339" s="1260"/>
      <c r="M339" s="1260"/>
      <c r="N339" s="1260"/>
      <c r="O339" s="1260"/>
      <c r="P339" s="1260"/>
      <c r="Q339" s="1260"/>
      <c r="R339" s="1260"/>
      <c r="S339" s="1260"/>
      <c r="T339" s="1260"/>
      <c r="U339" s="1260"/>
      <c r="V339" s="1260"/>
      <c r="W339" s="1260"/>
      <c r="X339" s="1260"/>
      <c r="Y339" s="1260"/>
      <c r="Z339" s="1260"/>
      <c r="AA339" s="1260"/>
      <c r="AB339" s="1260"/>
      <c r="AC339" s="1260"/>
      <c r="AD339" s="1260"/>
      <c r="AE339" s="1260"/>
    </row>
    <row r="340" spans="1:31" s="1217" customFormat="1" ht="13.5" thickBot="1">
      <c r="A340" s="1265"/>
      <c r="B340" s="1267"/>
      <c r="C340" s="1266"/>
      <c r="D340" s="1265"/>
      <c r="E340" s="1264" t="s">
        <v>48</v>
      </c>
      <c r="F340" s="1263">
        <f>SUM(F334:F339)</f>
        <v>708070</v>
      </c>
      <c r="G340" s="1262">
        <f>SUM(G334:G339)</f>
        <v>100000</v>
      </c>
      <c r="H340" s="1262"/>
      <c r="I340" s="1261">
        <f>SUM(F340:G340)</f>
        <v>808070</v>
      </c>
      <c r="J340" s="1260"/>
      <c r="K340" s="1260"/>
      <c r="L340" s="1260"/>
      <c r="M340" s="1260"/>
      <c r="N340" s="1260"/>
      <c r="O340" s="1260"/>
      <c r="P340" s="1260"/>
      <c r="Q340" s="1260"/>
      <c r="R340" s="1260"/>
      <c r="S340" s="1260"/>
      <c r="T340" s="1260"/>
      <c r="U340" s="1260"/>
      <c r="V340" s="1260"/>
      <c r="W340" s="1260"/>
      <c r="X340" s="1260"/>
      <c r="Y340" s="1260"/>
      <c r="Z340" s="1260"/>
      <c r="AA340" s="1260"/>
      <c r="AB340" s="1260"/>
      <c r="AC340" s="1260"/>
      <c r="AD340" s="1260"/>
      <c r="AE340" s="1260"/>
    </row>
    <row r="341" spans="1:31" s="1217" customFormat="1">
      <c r="A341" s="1265"/>
      <c r="B341" s="1267"/>
      <c r="C341" s="1266"/>
      <c r="D341" s="1265"/>
      <c r="E341" s="1276"/>
      <c r="F341" s="1272"/>
      <c r="G341" s="1273"/>
      <c r="H341" s="1273"/>
      <c r="I341" s="1272"/>
      <c r="J341" s="1260"/>
      <c r="K341" s="1260"/>
      <c r="L341" s="1260"/>
      <c r="M341" s="1260"/>
      <c r="N341" s="1260"/>
      <c r="O341" s="1260"/>
      <c r="P341" s="1260"/>
      <c r="Q341" s="1260"/>
      <c r="R341" s="1260"/>
      <c r="S341" s="1260"/>
      <c r="T341" s="1260"/>
      <c r="U341" s="1260"/>
      <c r="V341" s="1260"/>
      <c r="W341" s="1260"/>
      <c r="X341" s="1260"/>
      <c r="Y341" s="1260"/>
      <c r="Z341" s="1260"/>
      <c r="AA341" s="1260"/>
      <c r="AB341" s="1260"/>
      <c r="AC341" s="1260"/>
      <c r="AD341" s="1260"/>
      <c r="AE341" s="1260"/>
    </row>
    <row r="342" spans="1:31" s="1217" customFormat="1">
      <c r="A342" s="1275"/>
      <c r="B342" s="1267" t="s">
        <v>1618</v>
      </c>
      <c r="C342" s="1266"/>
      <c r="D342" s="1265"/>
      <c r="E342" s="1274"/>
      <c r="F342" s="1272"/>
      <c r="G342" s="1273"/>
      <c r="H342" s="1273"/>
      <c r="I342" s="1272"/>
      <c r="J342" s="1260"/>
      <c r="K342" s="1260"/>
      <c r="L342" s="1260"/>
      <c r="M342" s="1260"/>
      <c r="N342" s="1260"/>
      <c r="O342" s="1260"/>
      <c r="P342" s="1260"/>
      <c r="Q342" s="1260"/>
      <c r="R342" s="1260"/>
      <c r="S342" s="1260"/>
      <c r="T342" s="1260"/>
      <c r="U342" s="1260"/>
      <c r="V342" s="1260"/>
      <c r="W342" s="1260"/>
      <c r="X342" s="1260"/>
      <c r="Y342" s="1260"/>
      <c r="Z342" s="1260"/>
      <c r="AA342" s="1260"/>
      <c r="AB342" s="1260"/>
      <c r="AC342" s="1260"/>
      <c r="AD342" s="1260"/>
      <c r="AE342" s="1260"/>
    </row>
    <row r="343" spans="1:31" s="1217" customFormat="1">
      <c r="A343" s="1265"/>
      <c r="B343" s="1271">
        <f>0.12*0.12*1.05</f>
        <v>1.512E-2</v>
      </c>
      <c r="C343" s="1266" t="s">
        <v>51</v>
      </c>
      <c r="D343" s="1265" t="s">
        <v>1610</v>
      </c>
      <c r="E343" s="1270">
        <f>$I$265</f>
        <v>886530</v>
      </c>
      <c r="F343" s="1268">
        <f>B343*F265</f>
        <v>11892.3336</v>
      </c>
      <c r="G343" s="1269"/>
      <c r="H343" s="1269"/>
      <c r="I343" s="1268"/>
      <c r="J343" s="1260"/>
      <c r="K343" s="1260"/>
      <c r="L343" s="1260"/>
      <c r="M343" s="1260"/>
      <c r="N343" s="1260"/>
      <c r="O343" s="1260"/>
      <c r="P343" s="1260"/>
      <c r="Q343" s="1260"/>
      <c r="R343" s="1260"/>
      <c r="S343" s="1260"/>
      <c r="T343" s="1260"/>
      <c r="U343" s="1260"/>
      <c r="V343" s="1260"/>
      <c r="W343" s="1260"/>
      <c r="X343" s="1260"/>
      <c r="Y343" s="1260"/>
      <c r="Z343" s="1260"/>
      <c r="AA343" s="1260"/>
      <c r="AB343" s="1260"/>
      <c r="AC343" s="1260"/>
      <c r="AD343" s="1260"/>
      <c r="AE343" s="1260"/>
    </row>
    <row r="344" spans="1:31" s="1217" customFormat="1">
      <c r="A344" s="1265"/>
      <c r="B344" s="1271">
        <f>2*0.2</f>
        <v>0.4</v>
      </c>
      <c r="C344" s="1266" t="s">
        <v>49</v>
      </c>
      <c r="D344" s="1265" t="s">
        <v>96</v>
      </c>
      <c r="E344" s="1270">
        <f>Material!$G$51</f>
        <v>40000</v>
      </c>
      <c r="F344" s="1268">
        <f>B344*E344</f>
        <v>16000</v>
      </c>
      <c r="G344" s="1269"/>
      <c r="H344" s="1269"/>
      <c r="I344" s="1268"/>
      <c r="J344" s="1260"/>
      <c r="K344" s="1260"/>
      <c r="L344" s="1260"/>
      <c r="M344" s="1260"/>
      <c r="N344" s="1260"/>
      <c r="O344" s="1260"/>
      <c r="P344" s="1260"/>
      <c r="Q344" s="1260"/>
      <c r="R344" s="1260"/>
      <c r="S344" s="1260"/>
      <c r="T344" s="1260"/>
      <c r="U344" s="1260"/>
      <c r="V344" s="1260"/>
      <c r="W344" s="1260"/>
      <c r="X344" s="1260"/>
      <c r="Y344" s="1260"/>
      <c r="Z344" s="1260"/>
      <c r="AA344" s="1260"/>
      <c r="AB344" s="1260"/>
      <c r="AC344" s="1260"/>
      <c r="AD344" s="1260"/>
      <c r="AE344" s="1260"/>
    </row>
    <row r="345" spans="1:31" s="1217" customFormat="1">
      <c r="A345" s="1265"/>
      <c r="B345" s="1271">
        <f>0.006165*(4*10^2*1.1+5*8^2*0.5+8^2*1)</f>
        <v>4.0935600000000001</v>
      </c>
      <c r="C345" s="1266" t="s">
        <v>53</v>
      </c>
      <c r="D345" s="1265" t="s">
        <v>1613</v>
      </c>
      <c r="E345" s="1270">
        <f>Material!$G$33</f>
        <v>9500</v>
      </c>
      <c r="F345" s="1268">
        <f>B345*E345</f>
        <v>38888.82</v>
      </c>
      <c r="G345" s="1269"/>
      <c r="H345" s="1269"/>
      <c r="I345" s="1268"/>
      <c r="J345" s="1260"/>
      <c r="K345" s="1260"/>
      <c r="L345" s="1260"/>
      <c r="M345" s="1260"/>
      <c r="N345" s="1260"/>
      <c r="O345" s="1260"/>
      <c r="P345" s="1260"/>
      <c r="Q345" s="1260"/>
      <c r="R345" s="1260"/>
      <c r="S345" s="1260"/>
      <c r="T345" s="1260"/>
      <c r="U345" s="1260"/>
      <c r="V345" s="1260"/>
      <c r="W345" s="1260"/>
      <c r="X345" s="1260"/>
      <c r="Y345" s="1260"/>
      <c r="Z345" s="1260"/>
      <c r="AA345" s="1260"/>
      <c r="AB345" s="1260"/>
      <c r="AC345" s="1260"/>
      <c r="AD345" s="1260"/>
      <c r="AE345" s="1260"/>
    </row>
    <row r="346" spans="1:31" s="1217" customFormat="1">
      <c r="A346" s="1265"/>
      <c r="B346" s="1271">
        <f>0.5*2</f>
        <v>1</v>
      </c>
      <c r="C346" s="1266" t="s">
        <v>49</v>
      </c>
      <c r="D346" s="1265" t="s">
        <v>1556</v>
      </c>
      <c r="E346" s="1270">
        <f>Material!$G$75</f>
        <v>15000</v>
      </c>
      <c r="F346" s="1268">
        <f>B346*E346</f>
        <v>15000</v>
      </c>
      <c r="G346" s="1269"/>
      <c r="H346" s="1269"/>
      <c r="I346" s="1268"/>
      <c r="J346" s="1260"/>
      <c r="K346" s="1260"/>
      <c r="L346" s="1260"/>
      <c r="M346" s="1260"/>
      <c r="N346" s="1260"/>
      <c r="O346" s="1260"/>
      <c r="P346" s="1260"/>
      <c r="Q346" s="1260"/>
      <c r="R346" s="1260"/>
      <c r="S346" s="1260"/>
      <c r="T346" s="1260"/>
      <c r="U346" s="1260"/>
      <c r="V346" s="1260"/>
      <c r="W346" s="1260"/>
      <c r="X346" s="1260"/>
      <c r="Y346" s="1260"/>
      <c r="Z346" s="1260"/>
      <c r="AA346" s="1260"/>
      <c r="AB346" s="1260"/>
      <c r="AC346" s="1260"/>
      <c r="AD346" s="1260"/>
      <c r="AE346" s="1260"/>
    </row>
    <row r="347" spans="1:31" s="1217" customFormat="1">
      <c r="A347" s="1265"/>
      <c r="B347" s="1271">
        <v>1</v>
      </c>
      <c r="C347" s="1266" t="s">
        <v>49</v>
      </c>
      <c r="D347" s="1265" t="s">
        <v>1608</v>
      </c>
      <c r="E347" s="1270">
        <f>Upah!$D$36</f>
        <v>40000</v>
      </c>
      <c r="F347" s="1268"/>
      <c r="G347" s="1269">
        <f>B347*E347</f>
        <v>40000</v>
      </c>
      <c r="H347" s="1269"/>
      <c r="I347" s="1268"/>
      <c r="J347" s="1260"/>
      <c r="K347" s="1260"/>
      <c r="L347" s="1260"/>
      <c r="M347" s="1260"/>
      <c r="N347" s="1260"/>
      <c r="O347" s="1260"/>
      <c r="P347" s="1260"/>
      <c r="Q347" s="1260"/>
      <c r="R347" s="1260"/>
      <c r="S347" s="1260"/>
      <c r="T347" s="1260"/>
      <c r="U347" s="1260"/>
      <c r="V347" s="1260"/>
      <c r="W347" s="1260"/>
      <c r="X347" s="1260"/>
      <c r="Y347" s="1260"/>
      <c r="Z347" s="1260"/>
      <c r="AA347" s="1260"/>
      <c r="AB347" s="1260"/>
      <c r="AC347" s="1260"/>
      <c r="AD347" s="1260"/>
      <c r="AE347" s="1260"/>
    </row>
    <row r="348" spans="1:31" s="1217" customFormat="1" ht="13.5" thickBot="1">
      <c r="A348" s="1265"/>
      <c r="B348" s="1271"/>
      <c r="C348" s="1266"/>
      <c r="D348" s="1265"/>
      <c r="E348" s="1270"/>
      <c r="F348" s="1268"/>
      <c r="G348" s="1269"/>
      <c r="H348" s="1269"/>
      <c r="I348" s="1268"/>
      <c r="J348" s="1260"/>
      <c r="K348" s="1260"/>
      <c r="L348" s="1260"/>
      <c r="M348" s="1260"/>
      <c r="N348" s="1260"/>
      <c r="O348" s="1260"/>
      <c r="P348" s="1260"/>
      <c r="Q348" s="1260"/>
      <c r="R348" s="1260"/>
      <c r="S348" s="1260"/>
      <c r="T348" s="1260"/>
      <c r="U348" s="1260"/>
      <c r="V348" s="1260"/>
      <c r="W348" s="1260"/>
      <c r="X348" s="1260"/>
      <c r="Y348" s="1260"/>
      <c r="Z348" s="1260"/>
      <c r="AA348" s="1260"/>
      <c r="AB348" s="1260"/>
      <c r="AC348" s="1260"/>
      <c r="AD348" s="1260"/>
      <c r="AE348" s="1260"/>
    </row>
    <row r="349" spans="1:31" s="1217" customFormat="1" ht="13.5" thickBot="1">
      <c r="A349" s="1265"/>
      <c r="B349" s="1267"/>
      <c r="C349" s="1266"/>
      <c r="D349" s="1265"/>
      <c r="E349" s="1264" t="s">
        <v>48</v>
      </c>
      <c r="F349" s="1263">
        <f>SUM(F342:F348)</f>
        <v>81781.153599999991</v>
      </c>
      <c r="G349" s="1262">
        <f>SUM(G342:G348)</f>
        <v>40000</v>
      </c>
      <c r="H349" s="1262"/>
      <c r="I349" s="1261">
        <f>SUM(F349:G349)</f>
        <v>121781.15359999999</v>
      </c>
      <c r="J349" s="1260"/>
      <c r="K349" s="1260"/>
      <c r="L349" s="1260"/>
      <c r="M349" s="1260"/>
      <c r="N349" s="1260"/>
      <c r="O349" s="1260"/>
      <c r="P349" s="1260"/>
      <c r="Q349" s="1260"/>
      <c r="R349" s="1260"/>
      <c r="S349" s="1260"/>
      <c r="T349" s="1260"/>
      <c r="U349" s="1260"/>
      <c r="V349" s="1260"/>
      <c r="W349" s="1260"/>
      <c r="X349" s="1260"/>
      <c r="Y349" s="1260"/>
      <c r="Z349" s="1260"/>
      <c r="AA349" s="1260"/>
      <c r="AB349" s="1260"/>
      <c r="AC349" s="1260"/>
      <c r="AD349" s="1260"/>
      <c r="AE349" s="1260"/>
    </row>
    <row r="350" spans="1:31" s="1217" customFormat="1">
      <c r="A350" s="1265"/>
      <c r="B350" s="1267"/>
      <c r="C350" s="1266"/>
      <c r="D350" s="1265"/>
      <c r="E350" s="1276"/>
      <c r="F350" s="1272"/>
      <c r="G350" s="1273"/>
      <c r="H350" s="1273"/>
      <c r="I350" s="1272"/>
      <c r="J350" s="1260"/>
      <c r="K350" s="1260"/>
      <c r="L350" s="1260"/>
      <c r="M350" s="1260"/>
      <c r="N350" s="1260"/>
      <c r="O350" s="1260"/>
      <c r="P350" s="1260"/>
      <c r="Q350" s="1260"/>
      <c r="R350" s="1260"/>
      <c r="S350" s="1260"/>
      <c r="T350" s="1260"/>
      <c r="U350" s="1260"/>
      <c r="V350" s="1260"/>
      <c r="W350" s="1260"/>
      <c r="X350" s="1260"/>
      <c r="Y350" s="1260"/>
      <c r="Z350" s="1260"/>
      <c r="AA350" s="1260"/>
      <c r="AB350" s="1260"/>
      <c r="AC350" s="1260"/>
      <c r="AD350" s="1260"/>
      <c r="AE350" s="1260"/>
    </row>
    <row r="351" spans="1:31" s="1217" customFormat="1">
      <c r="A351" s="1275"/>
      <c r="B351" s="1267" t="s">
        <v>1617</v>
      </c>
      <c r="C351" s="1266"/>
      <c r="D351" s="1265"/>
      <c r="E351" s="1274"/>
      <c r="F351" s="1272"/>
      <c r="G351" s="1273"/>
      <c r="H351" s="1273"/>
      <c r="I351" s="1272"/>
      <c r="J351" s="1260"/>
      <c r="K351" s="1260"/>
      <c r="L351" s="1260"/>
      <c r="M351" s="1260"/>
      <c r="N351" s="1260"/>
      <c r="O351" s="1260"/>
      <c r="P351" s="1260"/>
      <c r="Q351" s="1260"/>
      <c r="R351" s="1260"/>
      <c r="S351" s="1260"/>
      <c r="T351" s="1260"/>
      <c r="U351" s="1260"/>
      <c r="V351" s="1260"/>
      <c r="W351" s="1260"/>
      <c r="X351" s="1260"/>
      <c r="Y351" s="1260"/>
      <c r="Z351" s="1260"/>
      <c r="AA351" s="1260"/>
      <c r="AB351" s="1260"/>
      <c r="AC351" s="1260"/>
      <c r="AD351" s="1260"/>
      <c r="AE351" s="1260"/>
    </row>
    <row r="352" spans="1:31" s="1217" customFormat="1">
      <c r="A352" s="1265"/>
      <c r="B352" s="1271">
        <f>0.12*0.17*1.05</f>
        <v>2.1420000000000002E-2</v>
      </c>
      <c r="C352" s="1266" t="s">
        <v>51</v>
      </c>
      <c r="D352" s="1265" t="s">
        <v>1610</v>
      </c>
      <c r="E352" s="1270">
        <f>$F$265</f>
        <v>786530</v>
      </c>
      <c r="F352" s="1268">
        <f>B352*E352</f>
        <v>16847.472600000001</v>
      </c>
      <c r="G352" s="1269"/>
      <c r="H352" s="1269"/>
      <c r="I352" s="1268"/>
      <c r="J352" s="1260"/>
      <c r="K352" s="1260"/>
      <c r="L352" s="1260"/>
      <c r="M352" s="1260"/>
      <c r="N352" s="1260"/>
      <c r="O352" s="1260"/>
      <c r="P352" s="1260"/>
      <c r="Q352" s="1260"/>
      <c r="R352" s="1260"/>
      <c r="S352" s="1260"/>
      <c r="T352" s="1260"/>
      <c r="U352" s="1260"/>
      <c r="V352" s="1260"/>
      <c r="W352" s="1260"/>
      <c r="X352" s="1260"/>
      <c r="Y352" s="1260"/>
      <c r="Z352" s="1260"/>
      <c r="AA352" s="1260"/>
      <c r="AB352" s="1260"/>
      <c r="AC352" s="1260"/>
      <c r="AD352" s="1260"/>
      <c r="AE352" s="1260"/>
    </row>
    <row r="353" spans="1:31" s="1217" customFormat="1">
      <c r="A353" s="1265"/>
      <c r="B353" s="1271">
        <f>2*0.2</f>
        <v>0.4</v>
      </c>
      <c r="C353" s="1266" t="s">
        <v>49</v>
      </c>
      <c r="D353" s="1265" t="s">
        <v>96</v>
      </c>
      <c r="E353" s="1270">
        <f>Material!$G$51</f>
        <v>40000</v>
      </c>
      <c r="F353" s="1268">
        <f>B353*E353</f>
        <v>16000</v>
      </c>
      <c r="G353" s="1269"/>
      <c r="H353" s="1269"/>
      <c r="I353" s="1268"/>
      <c r="J353" s="1260"/>
      <c r="K353" s="1260"/>
      <c r="L353" s="1260"/>
      <c r="M353" s="1260"/>
      <c r="N353" s="1260"/>
      <c r="O353" s="1260"/>
      <c r="P353" s="1260"/>
      <c r="Q353" s="1260"/>
      <c r="R353" s="1260"/>
      <c r="S353" s="1260"/>
      <c r="T353" s="1260"/>
      <c r="U353" s="1260"/>
      <c r="V353" s="1260"/>
      <c r="W353" s="1260"/>
      <c r="X353" s="1260"/>
      <c r="Y353" s="1260"/>
      <c r="Z353" s="1260"/>
      <c r="AA353" s="1260"/>
      <c r="AB353" s="1260"/>
      <c r="AC353" s="1260"/>
      <c r="AD353" s="1260"/>
      <c r="AE353" s="1260"/>
    </row>
    <row r="354" spans="1:31" s="1217" customFormat="1">
      <c r="A354" s="1265"/>
      <c r="B354" s="1271">
        <f>0.006165*(4*10^2*1.1+5*8^2*0.6+2*8^2*1)</f>
        <v>4.6854000000000005</v>
      </c>
      <c r="C354" s="1266" t="s">
        <v>53</v>
      </c>
      <c r="D354" s="1265" t="s">
        <v>1613</v>
      </c>
      <c r="E354" s="1270">
        <f>Material!$G$33</f>
        <v>9500</v>
      </c>
      <c r="F354" s="1268">
        <f>B354*E354</f>
        <v>44511.3</v>
      </c>
      <c r="G354" s="1269"/>
      <c r="H354" s="1269"/>
      <c r="I354" s="1268"/>
      <c r="J354" s="1260"/>
      <c r="K354" s="1260"/>
      <c r="L354" s="1260"/>
      <c r="M354" s="1260"/>
      <c r="N354" s="1260"/>
      <c r="O354" s="1260"/>
      <c r="P354" s="1260"/>
      <c r="Q354" s="1260"/>
      <c r="R354" s="1260"/>
      <c r="S354" s="1260"/>
      <c r="T354" s="1260"/>
      <c r="U354" s="1260"/>
      <c r="V354" s="1260"/>
      <c r="W354" s="1260"/>
      <c r="X354" s="1260"/>
      <c r="Y354" s="1260"/>
      <c r="Z354" s="1260"/>
      <c r="AA354" s="1260"/>
      <c r="AB354" s="1260"/>
      <c r="AC354" s="1260"/>
      <c r="AD354" s="1260"/>
      <c r="AE354" s="1260"/>
    </row>
    <row r="355" spans="1:31" s="1217" customFormat="1">
      <c r="A355" s="1265"/>
      <c r="B355" s="1271">
        <f>0.5*2</f>
        <v>1</v>
      </c>
      <c r="C355" s="1266" t="s">
        <v>49</v>
      </c>
      <c r="D355" s="1265" t="s">
        <v>1556</v>
      </c>
      <c r="E355" s="1270">
        <f>Material!$G$75</f>
        <v>15000</v>
      </c>
      <c r="F355" s="1268">
        <f>B355*E355</f>
        <v>15000</v>
      </c>
      <c r="G355" s="1269"/>
      <c r="H355" s="1269"/>
      <c r="I355" s="1268"/>
      <c r="J355" s="1260"/>
      <c r="K355" s="1260"/>
      <c r="L355" s="1260"/>
      <c r="M355" s="1260"/>
      <c r="N355" s="1260"/>
      <c r="O355" s="1260"/>
      <c r="P355" s="1260"/>
      <c r="Q355" s="1260"/>
      <c r="R355" s="1260"/>
      <c r="S355" s="1260"/>
      <c r="T355" s="1260"/>
      <c r="U355" s="1260"/>
      <c r="V355" s="1260"/>
      <c r="W355" s="1260"/>
      <c r="X355" s="1260"/>
      <c r="Y355" s="1260"/>
      <c r="Z355" s="1260"/>
      <c r="AA355" s="1260"/>
      <c r="AB355" s="1260"/>
      <c r="AC355" s="1260"/>
      <c r="AD355" s="1260"/>
      <c r="AE355" s="1260"/>
    </row>
    <row r="356" spans="1:31" s="1217" customFormat="1">
      <c r="A356" s="1265"/>
      <c r="B356" s="1271">
        <v>1</v>
      </c>
      <c r="C356" s="1266" t="s">
        <v>49</v>
      </c>
      <c r="D356" s="1265" t="s">
        <v>1608</v>
      </c>
      <c r="E356" s="1270">
        <f>Upah!$D$36</f>
        <v>40000</v>
      </c>
      <c r="F356" s="1268"/>
      <c r="G356" s="1269">
        <f>B356*E356</f>
        <v>40000</v>
      </c>
      <c r="H356" s="1269"/>
      <c r="I356" s="1268"/>
      <c r="J356" s="1260"/>
      <c r="K356" s="1260"/>
      <c r="L356" s="1260"/>
      <c r="M356" s="1260"/>
      <c r="N356" s="1260"/>
      <c r="O356" s="1260"/>
      <c r="P356" s="1260"/>
      <c r="Q356" s="1260"/>
      <c r="R356" s="1260"/>
      <c r="S356" s="1260"/>
      <c r="T356" s="1260"/>
      <c r="U356" s="1260"/>
      <c r="V356" s="1260"/>
      <c r="W356" s="1260"/>
      <c r="X356" s="1260"/>
      <c r="Y356" s="1260"/>
      <c r="Z356" s="1260"/>
      <c r="AA356" s="1260"/>
      <c r="AB356" s="1260"/>
      <c r="AC356" s="1260"/>
      <c r="AD356" s="1260"/>
      <c r="AE356" s="1260"/>
    </row>
    <row r="357" spans="1:31" s="1217" customFormat="1" ht="13.5" thickBot="1">
      <c r="A357" s="1265"/>
      <c r="B357" s="1271"/>
      <c r="C357" s="1266"/>
      <c r="D357" s="1265"/>
      <c r="E357" s="1270"/>
      <c r="F357" s="1268"/>
      <c r="G357" s="1269"/>
      <c r="H357" s="1269"/>
      <c r="I357" s="1268"/>
      <c r="J357" s="1260"/>
      <c r="K357" s="1260"/>
      <c r="L357" s="1260"/>
      <c r="M357" s="1260"/>
      <c r="N357" s="1260"/>
      <c r="O357" s="1260"/>
      <c r="P357" s="1260"/>
      <c r="Q357" s="1260"/>
      <c r="R357" s="1260"/>
      <c r="S357" s="1260"/>
      <c r="T357" s="1260"/>
      <c r="U357" s="1260"/>
      <c r="V357" s="1260"/>
      <c r="W357" s="1260"/>
      <c r="X357" s="1260"/>
      <c r="Y357" s="1260"/>
      <c r="Z357" s="1260"/>
      <c r="AA357" s="1260"/>
      <c r="AB357" s="1260"/>
      <c r="AC357" s="1260"/>
      <c r="AD357" s="1260"/>
      <c r="AE357" s="1260"/>
    </row>
    <row r="358" spans="1:31" s="1217" customFormat="1" ht="13.5" thickBot="1">
      <c r="A358" s="1265"/>
      <c r="B358" s="1267"/>
      <c r="C358" s="1266"/>
      <c r="D358" s="1265"/>
      <c r="E358" s="1264" t="s">
        <v>48</v>
      </c>
      <c r="F358" s="1263">
        <f>SUM(F351:F357)</f>
        <v>92358.772599999997</v>
      </c>
      <c r="G358" s="1262">
        <f>SUM(G351:G357)</f>
        <v>40000</v>
      </c>
      <c r="H358" s="1262"/>
      <c r="I358" s="1261">
        <f>SUM(F358:G358)</f>
        <v>132358.7726</v>
      </c>
      <c r="J358" s="1260"/>
      <c r="K358" s="1260"/>
      <c r="L358" s="1260"/>
      <c r="M358" s="1260"/>
      <c r="N358" s="1260"/>
      <c r="O358" s="1260"/>
      <c r="P358" s="1260"/>
      <c r="Q358" s="1260"/>
      <c r="R358" s="1260"/>
      <c r="S358" s="1260"/>
      <c r="T358" s="1260"/>
      <c r="U358" s="1260"/>
      <c r="V358" s="1260"/>
      <c r="W358" s="1260"/>
      <c r="X358" s="1260"/>
      <c r="Y358" s="1260"/>
      <c r="Z358" s="1260"/>
      <c r="AA358" s="1260"/>
      <c r="AB358" s="1260"/>
      <c r="AC358" s="1260"/>
      <c r="AD358" s="1260"/>
      <c r="AE358" s="1260"/>
    </row>
    <row r="359" spans="1:31" s="1217" customFormat="1">
      <c r="A359" s="1265"/>
      <c r="B359" s="1267"/>
      <c r="C359" s="1266"/>
      <c r="D359" s="1265"/>
      <c r="E359" s="1276"/>
      <c r="F359" s="1272"/>
      <c r="G359" s="1273"/>
      <c r="H359" s="1273"/>
      <c r="I359" s="1272"/>
      <c r="J359" s="1260"/>
      <c r="K359" s="1260"/>
      <c r="L359" s="1260"/>
      <c r="M359" s="1260"/>
      <c r="N359" s="1260"/>
      <c r="O359" s="1260"/>
      <c r="P359" s="1260"/>
      <c r="Q359" s="1260"/>
      <c r="R359" s="1260"/>
      <c r="S359" s="1260"/>
      <c r="T359" s="1260"/>
      <c r="U359" s="1260"/>
      <c r="V359" s="1260"/>
      <c r="W359" s="1260"/>
      <c r="X359" s="1260"/>
      <c r="Y359" s="1260"/>
      <c r="Z359" s="1260"/>
      <c r="AA359" s="1260"/>
      <c r="AB359" s="1260"/>
      <c r="AC359" s="1260"/>
      <c r="AD359" s="1260"/>
      <c r="AE359" s="1260"/>
    </row>
    <row r="360" spans="1:31" s="1217" customFormat="1">
      <c r="A360" s="1275"/>
      <c r="B360" s="1267" t="s">
        <v>1616</v>
      </c>
      <c r="C360" s="1266"/>
      <c r="D360" s="1265"/>
      <c r="E360" s="1274"/>
      <c r="F360" s="1272"/>
      <c r="G360" s="1273"/>
      <c r="H360" s="1273"/>
      <c r="I360" s="1272"/>
      <c r="J360" s="1260"/>
      <c r="K360" s="1260"/>
      <c r="L360" s="1260"/>
      <c r="M360" s="1260"/>
      <c r="N360" s="1260"/>
      <c r="O360" s="1260"/>
      <c r="P360" s="1260"/>
      <c r="Q360" s="1260"/>
      <c r="R360" s="1260"/>
      <c r="S360" s="1260"/>
      <c r="T360" s="1260"/>
      <c r="U360" s="1260"/>
      <c r="V360" s="1260"/>
      <c r="W360" s="1260"/>
      <c r="X360" s="1260"/>
      <c r="Y360" s="1260"/>
      <c r="Z360" s="1260"/>
      <c r="AA360" s="1260"/>
      <c r="AB360" s="1260"/>
      <c r="AC360" s="1260"/>
      <c r="AD360" s="1260"/>
      <c r="AE360" s="1260"/>
    </row>
    <row r="361" spans="1:31" s="1217" customFormat="1">
      <c r="A361" s="1265"/>
      <c r="B361" s="1271">
        <f>0.12*0.22*1.05</f>
        <v>2.7720000000000002E-2</v>
      </c>
      <c r="C361" s="1266" t="s">
        <v>51</v>
      </c>
      <c r="D361" s="1265" t="s">
        <v>1610</v>
      </c>
      <c r="E361" s="1270">
        <f>$F$265</f>
        <v>786530</v>
      </c>
      <c r="F361" s="1268">
        <f>B361*E361</f>
        <v>21802.6116</v>
      </c>
      <c r="G361" s="1269"/>
      <c r="H361" s="1269"/>
      <c r="I361" s="1268"/>
      <c r="J361" s="1260"/>
      <c r="K361" s="1260"/>
      <c r="L361" s="1260"/>
      <c r="M361" s="1260"/>
      <c r="N361" s="1260"/>
      <c r="O361" s="1260"/>
      <c r="P361" s="1260"/>
      <c r="Q361" s="1260"/>
      <c r="R361" s="1260"/>
      <c r="S361" s="1260"/>
      <c r="T361" s="1260"/>
      <c r="U361" s="1260"/>
      <c r="V361" s="1260"/>
      <c r="W361" s="1260"/>
      <c r="X361" s="1260"/>
      <c r="Y361" s="1260"/>
      <c r="Z361" s="1260"/>
      <c r="AA361" s="1260"/>
      <c r="AB361" s="1260"/>
      <c r="AC361" s="1260"/>
      <c r="AD361" s="1260"/>
      <c r="AE361" s="1260"/>
    </row>
    <row r="362" spans="1:31" s="1217" customFormat="1">
      <c r="A362" s="1265"/>
      <c r="B362" s="1271">
        <f>2*0.2</f>
        <v>0.4</v>
      </c>
      <c r="C362" s="1266" t="s">
        <v>49</v>
      </c>
      <c r="D362" s="1265" t="s">
        <v>96</v>
      </c>
      <c r="E362" s="1270">
        <f>Material!$G$51</f>
        <v>40000</v>
      </c>
      <c r="F362" s="1268">
        <f>B362*E362</f>
        <v>16000</v>
      </c>
      <c r="G362" s="1269"/>
      <c r="H362" s="1269"/>
      <c r="I362" s="1268"/>
      <c r="J362" s="1260"/>
      <c r="K362" s="1260"/>
      <c r="L362" s="1260"/>
      <c r="M362" s="1260"/>
      <c r="N362" s="1260"/>
      <c r="O362" s="1260"/>
      <c r="P362" s="1260"/>
      <c r="Q362" s="1260"/>
      <c r="R362" s="1260"/>
      <c r="S362" s="1260"/>
      <c r="T362" s="1260"/>
      <c r="U362" s="1260"/>
      <c r="V362" s="1260"/>
      <c r="W362" s="1260"/>
      <c r="X362" s="1260"/>
      <c r="Y362" s="1260"/>
      <c r="Z362" s="1260"/>
      <c r="AA362" s="1260"/>
      <c r="AB362" s="1260"/>
      <c r="AC362" s="1260"/>
      <c r="AD362" s="1260"/>
      <c r="AE362" s="1260"/>
    </row>
    <row r="363" spans="1:31" s="1217" customFormat="1">
      <c r="A363" s="1265"/>
      <c r="B363" s="1271">
        <f>0.006165*(4*10^2*1.1+5*8^2*0.7+2*8^2*1)</f>
        <v>4.8826800000000006</v>
      </c>
      <c r="C363" s="1266" t="s">
        <v>53</v>
      </c>
      <c r="D363" s="1265" t="s">
        <v>1613</v>
      </c>
      <c r="E363" s="1270">
        <f>Material!$G$33</f>
        <v>9500</v>
      </c>
      <c r="F363" s="1268">
        <f>B363*E363</f>
        <v>46385.460000000006</v>
      </c>
      <c r="G363" s="1269"/>
      <c r="H363" s="1269"/>
      <c r="I363" s="1268"/>
      <c r="J363" s="1260"/>
      <c r="K363" s="1260"/>
      <c r="L363" s="1260"/>
      <c r="M363" s="1260"/>
      <c r="N363" s="1260"/>
      <c r="O363" s="1260"/>
      <c r="P363" s="1260"/>
      <c r="Q363" s="1260"/>
      <c r="R363" s="1260"/>
      <c r="S363" s="1260"/>
      <c r="T363" s="1260"/>
      <c r="U363" s="1260"/>
      <c r="V363" s="1260"/>
      <c r="W363" s="1260"/>
      <c r="X363" s="1260"/>
      <c r="Y363" s="1260"/>
      <c r="Z363" s="1260"/>
      <c r="AA363" s="1260"/>
      <c r="AB363" s="1260"/>
      <c r="AC363" s="1260"/>
      <c r="AD363" s="1260"/>
      <c r="AE363" s="1260"/>
    </row>
    <row r="364" spans="1:31" s="1217" customFormat="1">
      <c r="A364" s="1265"/>
      <c r="B364" s="1271">
        <f>0.5*2</f>
        <v>1</v>
      </c>
      <c r="C364" s="1266" t="s">
        <v>49</v>
      </c>
      <c r="D364" s="1265" t="s">
        <v>1556</v>
      </c>
      <c r="E364" s="1270">
        <f>Material!$G$75</f>
        <v>15000</v>
      </c>
      <c r="F364" s="1268">
        <f>B364*E364</f>
        <v>15000</v>
      </c>
      <c r="G364" s="1269"/>
      <c r="H364" s="1269"/>
      <c r="I364" s="1268"/>
      <c r="J364" s="1260"/>
      <c r="K364" s="1260"/>
      <c r="L364" s="1260"/>
      <c r="M364" s="1260"/>
      <c r="N364" s="1260"/>
      <c r="O364" s="1260"/>
      <c r="P364" s="1260"/>
      <c r="Q364" s="1260"/>
      <c r="R364" s="1260"/>
      <c r="S364" s="1260"/>
      <c r="T364" s="1260"/>
      <c r="U364" s="1260"/>
      <c r="V364" s="1260"/>
      <c r="W364" s="1260"/>
      <c r="X364" s="1260"/>
      <c r="Y364" s="1260"/>
      <c r="Z364" s="1260"/>
      <c r="AA364" s="1260"/>
      <c r="AB364" s="1260"/>
      <c r="AC364" s="1260"/>
      <c r="AD364" s="1260"/>
      <c r="AE364" s="1260"/>
    </row>
    <row r="365" spans="1:31" s="1217" customFormat="1">
      <c r="A365" s="1265"/>
      <c r="B365" s="1271">
        <v>1</v>
      </c>
      <c r="C365" s="1266" t="s">
        <v>49</v>
      </c>
      <c r="D365" s="1265" t="s">
        <v>1608</v>
      </c>
      <c r="E365" s="1270">
        <f>Upah!$D$36</f>
        <v>40000</v>
      </c>
      <c r="F365" s="1268"/>
      <c r="G365" s="1269">
        <f>B365*E365</f>
        <v>40000</v>
      </c>
      <c r="H365" s="1269"/>
      <c r="I365" s="1268"/>
      <c r="J365" s="1260"/>
      <c r="K365" s="1260"/>
      <c r="L365" s="1260"/>
      <c r="M365" s="1260"/>
      <c r="N365" s="1260"/>
      <c r="O365" s="1260"/>
      <c r="P365" s="1260"/>
      <c r="Q365" s="1260"/>
      <c r="R365" s="1260"/>
      <c r="S365" s="1260"/>
      <c r="T365" s="1260"/>
      <c r="U365" s="1260"/>
      <c r="V365" s="1260"/>
      <c r="W365" s="1260"/>
      <c r="X365" s="1260"/>
      <c r="Y365" s="1260"/>
      <c r="Z365" s="1260"/>
      <c r="AA365" s="1260"/>
      <c r="AB365" s="1260"/>
      <c r="AC365" s="1260"/>
      <c r="AD365" s="1260"/>
      <c r="AE365" s="1260"/>
    </row>
    <row r="366" spans="1:31" s="1217" customFormat="1" ht="13.5" thickBot="1">
      <c r="A366" s="1265"/>
      <c r="B366" s="1271"/>
      <c r="C366" s="1266"/>
      <c r="D366" s="1265"/>
      <c r="E366" s="1270"/>
      <c r="F366" s="1268"/>
      <c r="G366" s="1269"/>
      <c r="H366" s="1269"/>
      <c r="I366" s="1268"/>
      <c r="J366" s="1260"/>
      <c r="K366" s="1260"/>
      <c r="L366" s="1260"/>
      <c r="M366" s="1260"/>
      <c r="N366" s="1260"/>
      <c r="O366" s="1260"/>
      <c r="P366" s="1260"/>
      <c r="Q366" s="1260"/>
      <c r="R366" s="1260"/>
      <c r="S366" s="1260"/>
      <c r="T366" s="1260"/>
      <c r="U366" s="1260"/>
      <c r="V366" s="1260"/>
      <c r="W366" s="1260"/>
      <c r="X366" s="1260"/>
      <c r="Y366" s="1260"/>
      <c r="Z366" s="1260"/>
      <c r="AA366" s="1260"/>
      <c r="AB366" s="1260"/>
      <c r="AC366" s="1260"/>
      <c r="AD366" s="1260"/>
      <c r="AE366" s="1260"/>
    </row>
    <row r="367" spans="1:31" s="1217" customFormat="1" ht="13.5" thickBot="1">
      <c r="A367" s="1265"/>
      <c r="B367" s="1267"/>
      <c r="C367" s="1266"/>
      <c r="D367" s="1265"/>
      <c r="E367" s="1264" t="s">
        <v>48</v>
      </c>
      <c r="F367" s="1263">
        <f>SUM(F360:F366)</f>
        <v>99188.07160000001</v>
      </c>
      <c r="G367" s="1262">
        <f>SUM(G360:G366)</f>
        <v>40000</v>
      </c>
      <c r="H367" s="1262"/>
      <c r="I367" s="1261">
        <f>SUM(F367:G367)</f>
        <v>139188.07160000002</v>
      </c>
      <c r="J367" s="1260"/>
      <c r="K367" s="1260"/>
      <c r="L367" s="1260"/>
      <c r="M367" s="1260"/>
      <c r="N367" s="1260"/>
      <c r="O367" s="1260"/>
      <c r="P367" s="1260"/>
      <c r="Q367" s="1260"/>
      <c r="R367" s="1260"/>
      <c r="S367" s="1260"/>
      <c r="T367" s="1260"/>
      <c r="U367" s="1260"/>
      <c r="V367" s="1260"/>
      <c r="W367" s="1260"/>
      <c r="X367" s="1260"/>
      <c r="Y367" s="1260"/>
      <c r="Z367" s="1260"/>
      <c r="AA367" s="1260"/>
      <c r="AB367" s="1260"/>
      <c r="AC367" s="1260"/>
      <c r="AD367" s="1260"/>
      <c r="AE367" s="1260"/>
    </row>
    <row r="368" spans="1:31" s="1217" customFormat="1">
      <c r="A368" s="1265"/>
      <c r="B368" s="1267"/>
      <c r="C368" s="1266"/>
      <c r="D368" s="1265"/>
      <c r="E368" s="1276"/>
      <c r="F368" s="1272"/>
      <c r="G368" s="1273"/>
      <c r="H368" s="1273"/>
      <c r="I368" s="1272"/>
      <c r="J368" s="1260"/>
      <c r="K368" s="1260"/>
      <c r="L368" s="1260"/>
      <c r="M368" s="1260"/>
      <c r="N368" s="1260"/>
      <c r="O368" s="1260"/>
      <c r="P368" s="1260"/>
      <c r="Q368" s="1260"/>
      <c r="R368" s="1260"/>
      <c r="S368" s="1260"/>
      <c r="T368" s="1260"/>
      <c r="U368" s="1260"/>
      <c r="V368" s="1260"/>
      <c r="W368" s="1260"/>
      <c r="X368" s="1260"/>
      <c r="Y368" s="1260"/>
      <c r="Z368" s="1260"/>
      <c r="AA368" s="1260"/>
      <c r="AB368" s="1260"/>
      <c r="AC368" s="1260"/>
      <c r="AD368" s="1260"/>
      <c r="AE368" s="1260"/>
    </row>
    <row r="369" spans="1:31" s="1217" customFormat="1">
      <c r="A369" s="1275"/>
      <c r="B369" s="1267" t="s">
        <v>1615</v>
      </c>
      <c r="C369" s="1266"/>
      <c r="D369" s="1265"/>
      <c r="E369" s="1274"/>
      <c r="F369" s="1272"/>
      <c r="G369" s="1273"/>
      <c r="H369" s="1273"/>
      <c r="I369" s="1272"/>
      <c r="J369" s="1260"/>
      <c r="K369" s="1260"/>
      <c r="L369" s="1260"/>
      <c r="M369" s="1260"/>
      <c r="N369" s="1260"/>
      <c r="O369" s="1260"/>
      <c r="P369" s="1260"/>
      <c r="Q369" s="1260"/>
      <c r="R369" s="1260"/>
      <c r="S369" s="1260"/>
      <c r="T369" s="1260"/>
      <c r="U369" s="1260"/>
      <c r="V369" s="1260"/>
      <c r="W369" s="1260"/>
      <c r="X369" s="1260"/>
      <c r="Y369" s="1260"/>
      <c r="Z369" s="1260"/>
      <c r="AA369" s="1260"/>
      <c r="AB369" s="1260"/>
      <c r="AC369" s="1260"/>
      <c r="AD369" s="1260"/>
      <c r="AE369" s="1260"/>
    </row>
    <row r="370" spans="1:31" s="1217" customFormat="1">
      <c r="A370" s="1265"/>
      <c r="B370" s="1271">
        <f>0.15*0.25*1.05</f>
        <v>3.9375E-2</v>
      </c>
      <c r="C370" s="1266" t="s">
        <v>51</v>
      </c>
      <c r="D370" s="1265" t="s">
        <v>1610</v>
      </c>
      <c r="E370" s="1270">
        <f>$I$265</f>
        <v>886530</v>
      </c>
      <c r="F370" s="1268">
        <f>B370*E370</f>
        <v>34907.118750000001</v>
      </c>
      <c r="G370" s="1269"/>
      <c r="H370" s="1269"/>
      <c r="I370" s="1268"/>
      <c r="J370" s="1260"/>
      <c r="K370" s="1260"/>
      <c r="L370" s="1260"/>
      <c r="M370" s="1260"/>
      <c r="N370" s="1260"/>
      <c r="O370" s="1260"/>
      <c r="P370" s="1260"/>
      <c r="Q370" s="1260"/>
      <c r="R370" s="1260"/>
      <c r="S370" s="1260"/>
      <c r="T370" s="1260"/>
      <c r="U370" s="1260"/>
      <c r="V370" s="1260"/>
      <c r="W370" s="1260"/>
      <c r="X370" s="1260"/>
      <c r="Y370" s="1260"/>
      <c r="Z370" s="1260"/>
      <c r="AA370" s="1260"/>
      <c r="AB370" s="1260"/>
      <c r="AC370" s="1260"/>
      <c r="AD370" s="1260"/>
      <c r="AE370" s="1260"/>
    </row>
    <row r="371" spans="1:31" s="1217" customFormat="1">
      <c r="A371" s="1265"/>
      <c r="B371" s="1271">
        <f>2*0.3</f>
        <v>0.6</v>
      </c>
      <c r="C371" s="1266" t="s">
        <v>49</v>
      </c>
      <c r="D371" s="1265" t="s">
        <v>96</v>
      </c>
      <c r="E371" s="1270">
        <f>Material!$G$51</f>
        <v>40000</v>
      </c>
      <c r="F371" s="1268">
        <f>B371*E371</f>
        <v>24000</v>
      </c>
      <c r="G371" s="1269"/>
      <c r="H371" s="1269"/>
      <c r="I371" s="1268"/>
      <c r="J371" s="1260"/>
      <c r="K371" s="1260"/>
      <c r="L371" s="1260"/>
      <c r="M371" s="1260"/>
      <c r="N371" s="1260"/>
      <c r="O371" s="1260"/>
      <c r="P371" s="1260"/>
      <c r="Q371" s="1260"/>
      <c r="R371" s="1260"/>
      <c r="S371" s="1260"/>
      <c r="T371" s="1260"/>
      <c r="U371" s="1260"/>
      <c r="V371" s="1260"/>
      <c r="W371" s="1260"/>
      <c r="X371" s="1260"/>
      <c r="Y371" s="1260"/>
      <c r="Z371" s="1260"/>
      <c r="AA371" s="1260"/>
      <c r="AB371" s="1260"/>
      <c r="AC371" s="1260"/>
      <c r="AD371" s="1260"/>
      <c r="AE371" s="1260"/>
    </row>
    <row r="372" spans="1:31" s="1217" customFormat="1">
      <c r="A372" s="1265"/>
      <c r="B372" s="1271">
        <f>0.006165*(4*13^2*1.1+5*8^2*0.9+2*8^2*1)</f>
        <v>7.1489339999999997</v>
      </c>
      <c r="C372" s="1266" t="s">
        <v>53</v>
      </c>
      <c r="D372" s="1265" t="s">
        <v>1613</v>
      </c>
      <c r="E372" s="1270">
        <f>Material!$G$33</f>
        <v>9500</v>
      </c>
      <c r="F372" s="1268">
        <f>B372*E372</f>
        <v>67914.872999999992</v>
      </c>
      <c r="G372" s="1269"/>
      <c r="H372" s="1269"/>
      <c r="I372" s="1268"/>
      <c r="J372" s="1260"/>
      <c r="K372" s="1260"/>
      <c r="L372" s="1260"/>
      <c r="M372" s="1260"/>
      <c r="N372" s="1260"/>
      <c r="O372" s="1260"/>
      <c r="P372" s="1260"/>
      <c r="Q372" s="1260"/>
      <c r="R372" s="1260"/>
      <c r="S372" s="1260"/>
      <c r="T372" s="1260"/>
      <c r="U372" s="1260"/>
      <c r="V372" s="1260"/>
      <c r="W372" s="1260"/>
      <c r="X372" s="1260"/>
      <c r="Y372" s="1260"/>
      <c r="Z372" s="1260"/>
      <c r="AA372" s="1260"/>
      <c r="AB372" s="1260"/>
      <c r="AC372" s="1260"/>
      <c r="AD372" s="1260"/>
      <c r="AE372" s="1260"/>
    </row>
    <row r="373" spans="1:31" s="1217" customFormat="1">
      <c r="A373" s="1265"/>
      <c r="B373" s="1271">
        <f>0.5*2</f>
        <v>1</v>
      </c>
      <c r="C373" s="1266" t="s">
        <v>49</v>
      </c>
      <c r="D373" s="1265" t="s">
        <v>1556</v>
      </c>
      <c r="E373" s="1270">
        <f>Material!$G$75</f>
        <v>15000</v>
      </c>
      <c r="F373" s="1268">
        <f>B373*E373</f>
        <v>15000</v>
      </c>
      <c r="G373" s="1269"/>
      <c r="H373" s="1269"/>
      <c r="I373" s="1268"/>
      <c r="J373" s="1260"/>
      <c r="K373" s="1260"/>
      <c r="L373" s="1260"/>
      <c r="M373" s="1260"/>
      <c r="N373" s="1260"/>
      <c r="O373" s="1260"/>
      <c r="P373" s="1260"/>
      <c r="Q373" s="1260"/>
      <c r="R373" s="1260"/>
      <c r="S373" s="1260"/>
      <c r="T373" s="1260"/>
      <c r="U373" s="1260"/>
      <c r="V373" s="1260"/>
      <c r="W373" s="1260"/>
      <c r="X373" s="1260"/>
      <c r="Y373" s="1260"/>
      <c r="Z373" s="1260"/>
      <c r="AA373" s="1260"/>
      <c r="AB373" s="1260"/>
      <c r="AC373" s="1260"/>
      <c r="AD373" s="1260"/>
      <c r="AE373" s="1260"/>
    </row>
    <row r="374" spans="1:31" s="1217" customFormat="1">
      <c r="A374" s="1265"/>
      <c r="B374" s="1271">
        <v>1</v>
      </c>
      <c r="C374" s="1266" t="s">
        <v>49</v>
      </c>
      <c r="D374" s="1265" t="s">
        <v>1608</v>
      </c>
      <c r="E374" s="1270">
        <f>Upah!$D$36</f>
        <v>40000</v>
      </c>
      <c r="F374" s="1268"/>
      <c r="G374" s="1269">
        <f>B374*E374</f>
        <v>40000</v>
      </c>
      <c r="H374" s="1269"/>
      <c r="I374" s="1268"/>
      <c r="J374" s="1260"/>
      <c r="K374" s="1260"/>
      <c r="L374" s="1260"/>
      <c r="M374" s="1260"/>
      <c r="N374" s="1260"/>
      <c r="O374" s="1260"/>
      <c r="P374" s="1260"/>
      <c r="Q374" s="1260"/>
      <c r="R374" s="1260"/>
      <c r="S374" s="1260"/>
      <c r="T374" s="1260"/>
      <c r="U374" s="1260"/>
      <c r="V374" s="1260"/>
      <c r="W374" s="1260"/>
      <c r="X374" s="1260"/>
      <c r="Y374" s="1260"/>
      <c r="Z374" s="1260"/>
      <c r="AA374" s="1260"/>
      <c r="AB374" s="1260"/>
      <c r="AC374" s="1260"/>
      <c r="AD374" s="1260"/>
      <c r="AE374" s="1260"/>
    </row>
    <row r="375" spans="1:31" s="1217" customFormat="1" ht="13.5" thickBot="1">
      <c r="A375" s="1265"/>
      <c r="B375" s="1271"/>
      <c r="C375" s="1266"/>
      <c r="D375" s="1265"/>
      <c r="E375" s="1270"/>
      <c r="F375" s="1268"/>
      <c r="G375" s="1269"/>
      <c r="H375" s="1269"/>
      <c r="I375" s="1268"/>
      <c r="J375" s="1260"/>
      <c r="K375" s="1260"/>
      <c r="L375" s="1260"/>
      <c r="M375" s="1260"/>
      <c r="N375" s="1260"/>
      <c r="O375" s="1260"/>
      <c r="P375" s="1260"/>
      <c r="Q375" s="1260"/>
      <c r="R375" s="1260"/>
      <c r="S375" s="1260"/>
      <c r="T375" s="1260"/>
      <c r="U375" s="1260"/>
      <c r="V375" s="1260"/>
      <c r="W375" s="1260"/>
      <c r="X375" s="1260"/>
      <c r="Y375" s="1260"/>
      <c r="Z375" s="1260"/>
      <c r="AA375" s="1260"/>
      <c r="AB375" s="1260"/>
      <c r="AC375" s="1260"/>
      <c r="AD375" s="1260"/>
      <c r="AE375" s="1260"/>
    </row>
    <row r="376" spans="1:31" s="1217" customFormat="1" ht="13.5" thickBot="1">
      <c r="A376" s="1265"/>
      <c r="B376" s="1267"/>
      <c r="C376" s="1266"/>
      <c r="D376" s="1265"/>
      <c r="E376" s="1264" t="s">
        <v>48</v>
      </c>
      <c r="F376" s="1263">
        <f>SUM(F369:F375)</f>
        <v>141821.99174999999</v>
      </c>
      <c r="G376" s="1262">
        <f>SUM(G369:G375)</f>
        <v>40000</v>
      </c>
      <c r="H376" s="1262"/>
      <c r="I376" s="1261">
        <f>SUM(F376:G376)</f>
        <v>181821.99174999999</v>
      </c>
      <c r="J376" s="1260"/>
      <c r="K376" s="1260"/>
      <c r="L376" s="1260"/>
      <c r="M376" s="1260"/>
      <c r="N376" s="1260"/>
      <c r="O376" s="1260"/>
      <c r="P376" s="1260"/>
      <c r="Q376" s="1260"/>
      <c r="R376" s="1260"/>
      <c r="S376" s="1260"/>
      <c r="T376" s="1260"/>
      <c r="U376" s="1260"/>
      <c r="V376" s="1260"/>
      <c r="W376" s="1260"/>
      <c r="X376" s="1260"/>
      <c r="Y376" s="1260"/>
      <c r="Z376" s="1260"/>
      <c r="AA376" s="1260"/>
      <c r="AB376" s="1260"/>
      <c r="AC376" s="1260"/>
      <c r="AD376" s="1260"/>
      <c r="AE376" s="1260"/>
    </row>
    <row r="377" spans="1:31" s="1217" customFormat="1">
      <c r="A377" s="1265"/>
      <c r="B377" s="1267"/>
      <c r="C377" s="1266"/>
      <c r="D377" s="1265"/>
      <c r="E377" s="1276"/>
      <c r="F377" s="1272"/>
      <c r="G377" s="1273"/>
      <c r="H377" s="1273"/>
      <c r="I377" s="1272"/>
      <c r="J377" s="1260"/>
      <c r="K377" s="1260"/>
      <c r="L377" s="1260"/>
      <c r="M377" s="1260"/>
      <c r="N377" s="1260"/>
      <c r="O377" s="1260"/>
      <c r="P377" s="1260"/>
      <c r="Q377" s="1260"/>
      <c r="R377" s="1260"/>
      <c r="S377" s="1260"/>
      <c r="T377" s="1260"/>
      <c r="U377" s="1260"/>
      <c r="V377" s="1260"/>
      <c r="W377" s="1260"/>
      <c r="X377" s="1260"/>
      <c r="Y377" s="1260"/>
      <c r="Z377" s="1260"/>
      <c r="AA377" s="1260"/>
      <c r="AB377" s="1260"/>
      <c r="AC377" s="1260"/>
      <c r="AD377" s="1260"/>
      <c r="AE377" s="1260"/>
    </row>
    <row r="378" spans="1:31" s="1217" customFormat="1">
      <c r="A378" s="1275"/>
      <c r="B378" s="1267" t="s">
        <v>1614</v>
      </c>
      <c r="C378" s="1266"/>
      <c r="D378" s="1265"/>
      <c r="E378" s="1274"/>
      <c r="F378" s="1272"/>
      <c r="G378" s="1273"/>
      <c r="H378" s="1273"/>
      <c r="I378" s="1272"/>
      <c r="J378" s="1260"/>
      <c r="K378" s="1260"/>
      <c r="L378" s="1260"/>
      <c r="M378" s="1260"/>
      <c r="N378" s="1260"/>
      <c r="O378" s="1260"/>
      <c r="P378" s="1260"/>
      <c r="Q378" s="1260"/>
      <c r="R378" s="1260"/>
      <c r="S378" s="1260"/>
      <c r="T378" s="1260"/>
      <c r="U378" s="1260"/>
      <c r="V378" s="1260"/>
      <c r="W378" s="1260"/>
      <c r="X378" s="1260"/>
      <c r="Y378" s="1260"/>
      <c r="Z378" s="1260"/>
      <c r="AA378" s="1260"/>
      <c r="AB378" s="1260"/>
      <c r="AC378" s="1260"/>
      <c r="AD378" s="1260"/>
      <c r="AE378" s="1260"/>
    </row>
    <row r="379" spans="1:31" s="1217" customFormat="1">
      <c r="A379" s="1265"/>
      <c r="B379" s="1271">
        <f>0.15*0.3*1.05</f>
        <v>4.725E-2</v>
      </c>
      <c r="C379" s="1266" t="s">
        <v>51</v>
      </c>
      <c r="D379" s="1265" t="s">
        <v>1610</v>
      </c>
      <c r="E379" s="1270">
        <f>$I$265</f>
        <v>886530</v>
      </c>
      <c r="F379" s="1268">
        <f>B379*E379</f>
        <v>41888.542500000003</v>
      </c>
      <c r="G379" s="1269"/>
      <c r="H379" s="1269"/>
      <c r="I379" s="1268"/>
      <c r="J379" s="1260"/>
      <c r="K379" s="1260"/>
      <c r="L379" s="1260"/>
      <c r="M379" s="1260"/>
      <c r="N379" s="1260"/>
      <c r="O379" s="1260"/>
      <c r="P379" s="1260"/>
      <c r="Q379" s="1260"/>
      <c r="R379" s="1260"/>
      <c r="S379" s="1260"/>
      <c r="T379" s="1260"/>
      <c r="U379" s="1260"/>
      <c r="V379" s="1260"/>
      <c r="W379" s="1260"/>
      <c r="X379" s="1260"/>
      <c r="Y379" s="1260"/>
      <c r="Z379" s="1260"/>
      <c r="AA379" s="1260"/>
      <c r="AB379" s="1260"/>
      <c r="AC379" s="1260"/>
      <c r="AD379" s="1260"/>
      <c r="AE379" s="1260"/>
    </row>
    <row r="380" spans="1:31" s="1217" customFormat="1">
      <c r="A380" s="1265"/>
      <c r="B380" s="1271">
        <f>2*0.3</f>
        <v>0.6</v>
      </c>
      <c r="C380" s="1266" t="s">
        <v>49</v>
      </c>
      <c r="D380" s="1265" t="s">
        <v>96</v>
      </c>
      <c r="E380" s="1270">
        <f>Material!$G$51</f>
        <v>40000</v>
      </c>
      <c r="F380" s="1268">
        <f>B380*E380</f>
        <v>24000</v>
      </c>
      <c r="G380" s="1269"/>
      <c r="H380" s="1269"/>
      <c r="I380" s="1268"/>
      <c r="J380" s="1260"/>
      <c r="K380" s="1260"/>
      <c r="L380" s="1260"/>
      <c r="M380" s="1260"/>
      <c r="N380" s="1260"/>
      <c r="O380" s="1260"/>
      <c r="P380" s="1260"/>
      <c r="Q380" s="1260"/>
      <c r="R380" s="1260"/>
      <c r="S380" s="1260"/>
      <c r="T380" s="1260"/>
      <c r="U380" s="1260"/>
      <c r="V380" s="1260"/>
      <c r="W380" s="1260"/>
      <c r="X380" s="1260"/>
      <c r="Y380" s="1260"/>
      <c r="Z380" s="1260"/>
      <c r="AA380" s="1260"/>
      <c r="AB380" s="1260"/>
      <c r="AC380" s="1260"/>
      <c r="AD380" s="1260"/>
      <c r="AE380" s="1260"/>
    </row>
    <row r="381" spans="1:31" s="1217" customFormat="1">
      <c r="A381" s="1265"/>
      <c r="B381" s="1271">
        <f>0.006165*(4*13^2*1.1+5*8^2*1+2*8^2*1)</f>
        <v>7.3462139999999998</v>
      </c>
      <c r="C381" s="1266" t="s">
        <v>53</v>
      </c>
      <c r="D381" s="1265" t="s">
        <v>1613</v>
      </c>
      <c r="E381" s="1270">
        <f>Material!$G$33</f>
        <v>9500</v>
      </c>
      <c r="F381" s="1268">
        <f>B381*E381</f>
        <v>69789.032999999996</v>
      </c>
      <c r="G381" s="1269"/>
      <c r="H381" s="1269"/>
      <c r="I381" s="1268"/>
      <c r="J381" s="1260"/>
      <c r="K381" s="1260"/>
      <c r="L381" s="1260"/>
      <c r="M381" s="1260"/>
      <c r="N381" s="1260"/>
      <c r="O381" s="1260"/>
      <c r="P381" s="1260"/>
      <c r="Q381" s="1260"/>
      <c r="R381" s="1260"/>
      <c r="S381" s="1260"/>
      <c r="T381" s="1260"/>
      <c r="U381" s="1260"/>
      <c r="V381" s="1260"/>
      <c r="W381" s="1260"/>
      <c r="X381" s="1260"/>
      <c r="Y381" s="1260"/>
      <c r="Z381" s="1260"/>
      <c r="AA381" s="1260"/>
      <c r="AB381" s="1260"/>
      <c r="AC381" s="1260"/>
      <c r="AD381" s="1260"/>
      <c r="AE381" s="1260"/>
    </row>
    <row r="382" spans="1:31" s="1217" customFormat="1">
      <c r="A382" s="1265"/>
      <c r="B382" s="1271">
        <f>0.5*2</f>
        <v>1</v>
      </c>
      <c r="C382" s="1266" t="s">
        <v>49</v>
      </c>
      <c r="D382" s="1265" t="s">
        <v>1556</v>
      </c>
      <c r="E382" s="1270">
        <f>Material!$G$75</f>
        <v>15000</v>
      </c>
      <c r="F382" s="1268">
        <f>B382*E382</f>
        <v>15000</v>
      </c>
      <c r="G382" s="1269"/>
      <c r="H382" s="1269"/>
      <c r="I382" s="1268"/>
      <c r="J382" s="1260"/>
      <c r="K382" s="1260"/>
      <c r="L382" s="1260"/>
      <c r="M382" s="1260"/>
      <c r="N382" s="1260"/>
      <c r="O382" s="1260"/>
      <c r="P382" s="1260"/>
      <c r="Q382" s="1260"/>
      <c r="R382" s="1260"/>
      <c r="S382" s="1260"/>
      <c r="T382" s="1260"/>
      <c r="U382" s="1260"/>
      <c r="V382" s="1260"/>
      <c r="W382" s="1260"/>
      <c r="X382" s="1260"/>
      <c r="Y382" s="1260"/>
      <c r="Z382" s="1260"/>
      <c r="AA382" s="1260"/>
      <c r="AB382" s="1260"/>
      <c r="AC382" s="1260"/>
      <c r="AD382" s="1260"/>
      <c r="AE382" s="1260"/>
    </row>
    <row r="383" spans="1:31" s="1217" customFormat="1">
      <c r="A383" s="1265"/>
      <c r="B383" s="1271">
        <v>1</v>
      </c>
      <c r="C383" s="1266" t="s">
        <v>49</v>
      </c>
      <c r="D383" s="1265" t="s">
        <v>1608</v>
      </c>
      <c r="E383" s="1270">
        <f>Upah!$D$36</f>
        <v>40000</v>
      </c>
      <c r="F383" s="1268"/>
      <c r="G383" s="1269">
        <f>B383*E383</f>
        <v>40000</v>
      </c>
      <c r="H383" s="1269"/>
      <c r="I383" s="1268"/>
      <c r="J383" s="1260"/>
      <c r="K383" s="1260"/>
      <c r="L383" s="1260"/>
      <c r="M383" s="1260"/>
      <c r="N383" s="1260"/>
      <c r="O383" s="1260"/>
      <c r="P383" s="1260"/>
      <c r="Q383" s="1260"/>
      <c r="R383" s="1260"/>
      <c r="S383" s="1260"/>
      <c r="T383" s="1260"/>
      <c r="U383" s="1260"/>
      <c r="V383" s="1260"/>
      <c r="W383" s="1260"/>
      <c r="X383" s="1260"/>
      <c r="Y383" s="1260"/>
      <c r="Z383" s="1260"/>
      <c r="AA383" s="1260"/>
      <c r="AB383" s="1260"/>
      <c r="AC383" s="1260"/>
      <c r="AD383" s="1260"/>
      <c r="AE383" s="1260"/>
    </row>
    <row r="384" spans="1:31" s="1217" customFormat="1" ht="13.5" thickBot="1">
      <c r="A384" s="1265"/>
      <c r="B384" s="1271"/>
      <c r="C384" s="1266"/>
      <c r="D384" s="1265"/>
      <c r="E384" s="1270"/>
      <c r="F384" s="1268"/>
      <c r="G384" s="1269"/>
      <c r="H384" s="1269"/>
      <c r="I384" s="1268"/>
      <c r="J384" s="1260"/>
      <c r="K384" s="1260"/>
      <c r="L384" s="1260"/>
      <c r="M384" s="1260"/>
      <c r="N384" s="1260"/>
      <c r="O384" s="1260"/>
      <c r="P384" s="1260"/>
      <c r="Q384" s="1260"/>
      <c r="R384" s="1260"/>
      <c r="S384" s="1260"/>
      <c r="T384" s="1260"/>
      <c r="U384" s="1260"/>
      <c r="V384" s="1260"/>
      <c r="W384" s="1260"/>
      <c r="X384" s="1260"/>
      <c r="Y384" s="1260"/>
      <c r="Z384" s="1260"/>
      <c r="AA384" s="1260"/>
      <c r="AB384" s="1260"/>
      <c r="AC384" s="1260"/>
      <c r="AD384" s="1260"/>
      <c r="AE384" s="1260"/>
    </row>
    <row r="385" spans="1:31" s="1217" customFormat="1" ht="13.5" thickBot="1">
      <c r="A385" s="1265"/>
      <c r="B385" s="1267"/>
      <c r="C385" s="1266"/>
      <c r="D385" s="1265"/>
      <c r="E385" s="1264" t="s">
        <v>48</v>
      </c>
      <c r="F385" s="1263">
        <f>SUM(F378:F384)</f>
        <v>150677.57550000001</v>
      </c>
      <c r="G385" s="1262">
        <f>SUM(G378:G384)</f>
        <v>40000</v>
      </c>
      <c r="H385" s="1262"/>
      <c r="I385" s="1261">
        <f>SUM(F385:G385)</f>
        <v>190677.57550000001</v>
      </c>
      <c r="J385" s="1260"/>
      <c r="K385" s="1260"/>
      <c r="L385" s="1260"/>
      <c r="M385" s="1260"/>
      <c r="N385" s="1260"/>
      <c r="O385" s="1260"/>
      <c r="P385" s="1260"/>
      <c r="Q385" s="1260"/>
      <c r="R385" s="1260"/>
      <c r="S385" s="1260"/>
      <c r="T385" s="1260"/>
      <c r="U385" s="1260"/>
      <c r="V385" s="1260"/>
      <c r="W385" s="1260"/>
      <c r="X385" s="1260"/>
      <c r="Y385" s="1260"/>
      <c r="Z385" s="1260"/>
      <c r="AA385" s="1260"/>
      <c r="AB385" s="1260"/>
      <c r="AC385" s="1260"/>
      <c r="AD385" s="1260"/>
      <c r="AE385" s="1260"/>
    </row>
    <row r="386" spans="1:31" s="1217" customFormat="1">
      <c r="A386" s="1265"/>
      <c r="B386" s="1267"/>
      <c r="C386" s="1266"/>
      <c r="D386" s="1265"/>
      <c r="E386" s="1276"/>
      <c r="F386" s="1272"/>
      <c r="G386" s="1273"/>
      <c r="H386" s="1273"/>
      <c r="I386" s="1272"/>
      <c r="J386" s="1260"/>
      <c r="K386" s="1260"/>
      <c r="L386" s="1260"/>
      <c r="M386" s="1260"/>
      <c r="N386" s="1260"/>
      <c r="O386" s="1260"/>
      <c r="P386" s="1260"/>
      <c r="Q386" s="1260"/>
      <c r="R386" s="1260"/>
      <c r="S386" s="1260"/>
      <c r="T386" s="1260"/>
      <c r="U386" s="1260"/>
      <c r="V386" s="1260"/>
      <c r="W386" s="1260"/>
      <c r="X386" s="1260"/>
      <c r="Y386" s="1260"/>
      <c r="Z386" s="1260"/>
      <c r="AA386" s="1260"/>
      <c r="AB386" s="1260"/>
      <c r="AC386" s="1260"/>
      <c r="AD386" s="1260"/>
      <c r="AE386" s="1260"/>
    </row>
    <row r="387" spans="1:31" s="1217" customFormat="1">
      <c r="A387" s="1275"/>
      <c r="B387" s="1267" t="s">
        <v>1612</v>
      </c>
      <c r="C387" s="1266"/>
      <c r="D387" s="1265"/>
      <c r="E387" s="1274"/>
      <c r="F387" s="1272"/>
      <c r="G387" s="1273"/>
      <c r="H387" s="1273"/>
      <c r="I387" s="1272"/>
      <c r="J387" s="1260"/>
      <c r="K387" s="1260"/>
      <c r="L387" s="1260"/>
      <c r="M387" s="1260"/>
      <c r="N387" s="1260"/>
      <c r="O387" s="1260"/>
      <c r="P387" s="1260"/>
      <c r="Q387" s="1260"/>
      <c r="R387" s="1260"/>
      <c r="S387" s="1260"/>
      <c r="T387" s="1260"/>
      <c r="U387" s="1260"/>
      <c r="V387" s="1260"/>
      <c r="W387" s="1260"/>
      <c r="X387" s="1260"/>
      <c r="Y387" s="1260"/>
      <c r="Z387" s="1260"/>
      <c r="AA387" s="1260"/>
      <c r="AB387" s="1260"/>
      <c r="AC387" s="1260"/>
      <c r="AD387" s="1260"/>
      <c r="AE387" s="1260"/>
    </row>
    <row r="388" spans="1:31" s="1217" customFormat="1">
      <c r="A388" s="1265"/>
      <c r="B388" s="1271">
        <f>0.15*0.35*1.05</f>
        <v>5.5125E-2</v>
      </c>
      <c r="C388" s="1266" t="s">
        <v>51</v>
      </c>
      <c r="D388" s="1265" t="s">
        <v>1610</v>
      </c>
      <c r="E388" s="1270">
        <f>$I$265</f>
        <v>886530</v>
      </c>
      <c r="F388" s="1268">
        <f>B388*E388</f>
        <v>48869.966249999998</v>
      </c>
      <c r="G388" s="1269"/>
      <c r="H388" s="1269"/>
      <c r="I388" s="1268"/>
      <c r="J388" s="1260"/>
      <c r="K388" s="1260"/>
      <c r="L388" s="1260"/>
      <c r="M388" s="1260"/>
      <c r="N388" s="1260"/>
      <c r="O388" s="1260"/>
      <c r="P388" s="1260"/>
      <c r="Q388" s="1260"/>
      <c r="R388" s="1260"/>
      <c r="S388" s="1260"/>
      <c r="T388" s="1260"/>
      <c r="U388" s="1260"/>
      <c r="V388" s="1260"/>
      <c r="W388" s="1260"/>
      <c r="X388" s="1260"/>
      <c r="Y388" s="1260"/>
      <c r="Z388" s="1260"/>
      <c r="AA388" s="1260"/>
      <c r="AB388" s="1260"/>
      <c r="AC388" s="1260"/>
      <c r="AD388" s="1260"/>
      <c r="AE388" s="1260"/>
    </row>
    <row r="389" spans="1:31" s="1217" customFormat="1">
      <c r="A389" s="1265"/>
      <c r="B389" s="1271">
        <f>2*0.3</f>
        <v>0.6</v>
      </c>
      <c r="C389" s="1266" t="s">
        <v>49</v>
      </c>
      <c r="D389" s="1265" t="s">
        <v>96</v>
      </c>
      <c r="E389" s="1270">
        <f>Material!$G$51</f>
        <v>40000</v>
      </c>
      <c r="F389" s="1268">
        <f>B389*E389</f>
        <v>24000</v>
      </c>
      <c r="G389" s="1269"/>
      <c r="H389" s="1269"/>
      <c r="I389" s="1268"/>
      <c r="J389" s="1260"/>
      <c r="K389" s="1260"/>
      <c r="L389" s="1260"/>
      <c r="M389" s="1260"/>
      <c r="N389" s="1260"/>
      <c r="O389" s="1260"/>
      <c r="P389" s="1260"/>
      <c r="Q389" s="1260"/>
      <c r="R389" s="1260"/>
      <c r="S389" s="1260"/>
      <c r="T389" s="1260"/>
      <c r="U389" s="1260"/>
      <c r="V389" s="1260"/>
      <c r="W389" s="1260"/>
      <c r="X389" s="1260"/>
      <c r="Y389" s="1260"/>
      <c r="Z389" s="1260"/>
      <c r="AA389" s="1260"/>
      <c r="AB389" s="1260"/>
      <c r="AC389" s="1260"/>
      <c r="AD389" s="1260"/>
      <c r="AE389" s="1260"/>
    </row>
    <row r="390" spans="1:31" s="1217" customFormat="1">
      <c r="A390" s="1265"/>
      <c r="B390" s="1271">
        <f>0.006165*(4*13^2*1.1+5*8^2*1.1+2*8^2*1)</f>
        <v>7.5434939999999999</v>
      </c>
      <c r="C390" s="1266" t="s">
        <v>53</v>
      </c>
      <c r="D390" s="1265" t="s">
        <v>1609</v>
      </c>
      <c r="E390" s="1270">
        <f>Material!$G$33</f>
        <v>9500</v>
      </c>
      <c r="F390" s="1268">
        <f>B390*E390</f>
        <v>71663.192999999999</v>
      </c>
      <c r="G390" s="1269"/>
      <c r="H390" s="1269"/>
      <c r="I390" s="1268"/>
      <c r="J390" s="1260"/>
      <c r="K390" s="1260"/>
      <c r="L390" s="1260"/>
      <c r="M390" s="1260"/>
      <c r="N390" s="1260"/>
      <c r="O390" s="1260"/>
      <c r="P390" s="1260"/>
      <c r="Q390" s="1260"/>
      <c r="R390" s="1260"/>
      <c r="S390" s="1260"/>
      <c r="T390" s="1260"/>
      <c r="U390" s="1260"/>
      <c r="V390" s="1260"/>
      <c r="W390" s="1260"/>
      <c r="X390" s="1260"/>
      <c r="Y390" s="1260"/>
      <c r="Z390" s="1260"/>
      <c r="AA390" s="1260"/>
      <c r="AB390" s="1260"/>
      <c r="AC390" s="1260"/>
      <c r="AD390" s="1260"/>
      <c r="AE390" s="1260"/>
    </row>
    <row r="391" spans="1:31" s="1217" customFormat="1">
      <c r="A391" s="1265"/>
      <c r="B391" s="1271">
        <f>0.5*2</f>
        <v>1</v>
      </c>
      <c r="C391" s="1266" t="s">
        <v>49</v>
      </c>
      <c r="D391" s="1265" t="s">
        <v>1556</v>
      </c>
      <c r="E391" s="1270">
        <f>Material!$G$75</f>
        <v>15000</v>
      </c>
      <c r="F391" s="1268">
        <f>B391*E391</f>
        <v>15000</v>
      </c>
      <c r="G391" s="1269"/>
      <c r="H391" s="1269"/>
      <c r="I391" s="1268"/>
      <c r="J391" s="1260"/>
      <c r="K391" s="1260"/>
      <c r="L391" s="1260"/>
      <c r="M391" s="1260"/>
      <c r="N391" s="1260"/>
      <c r="O391" s="1260"/>
      <c r="P391" s="1260"/>
      <c r="Q391" s="1260"/>
      <c r="R391" s="1260"/>
      <c r="S391" s="1260"/>
      <c r="T391" s="1260"/>
      <c r="U391" s="1260"/>
      <c r="V391" s="1260"/>
      <c r="W391" s="1260"/>
      <c r="X391" s="1260"/>
      <c r="Y391" s="1260"/>
      <c r="Z391" s="1260"/>
      <c r="AA391" s="1260"/>
      <c r="AB391" s="1260"/>
      <c r="AC391" s="1260"/>
      <c r="AD391" s="1260"/>
      <c r="AE391" s="1260"/>
    </row>
    <row r="392" spans="1:31" s="1217" customFormat="1">
      <c r="A392" s="1265"/>
      <c r="B392" s="1271">
        <v>1</v>
      </c>
      <c r="C392" s="1266" t="s">
        <v>49</v>
      </c>
      <c r="D392" s="1265" t="s">
        <v>1608</v>
      </c>
      <c r="E392" s="1270">
        <f>Upah!$D$36</f>
        <v>40000</v>
      </c>
      <c r="F392" s="1268"/>
      <c r="G392" s="1269">
        <f>B392*E392</f>
        <v>40000</v>
      </c>
      <c r="H392" s="1269"/>
      <c r="I392" s="1268"/>
      <c r="J392" s="1260"/>
      <c r="K392" s="1260"/>
      <c r="L392" s="1260"/>
      <c r="M392" s="1260"/>
      <c r="N392" s="1260"/>
      <c r="O392" s="1260"/>
      <c r="P392" s="1260"/>
      <c r="Q392" s="1260"/>
      <c r="R392" s="1260"/>
      <c r="S392" s="1260"/>
      <c r="T392" s="1260"/>
      <c r="U392" s="1260"/>
      <c r="V392" s="1260"/>
      <c r="W392" s="1260"/>
      <c r="X392" s="1260"/>
      <c r="Y392" s="1260"/>
      <c r="Z392" s="1260"/>
      <c r="AA392" s="1260"/>
      <c r="AB392" s="1260"/>
      <c r="AC392" s="1260"/>
      <c r="AD392" s="1260"/>
      <c r="AE392" s="1260"/>
    </row>
    <row r="393" spans="1:31" s="1217" customFormat="1" ht="13.5" thickBot="1">
      <c r="A393" s="1265"/>
      <c r="B393" s="1271"/>
      <c r="C393" s="1266"/>
      <c r="D393" s="1265"/>
      <c r="E393" s="1270"/>
      <c r="F393" s="1268"/>
      <c r="G393" s="1269"/>
      <c r="H393" s="1269"/>
      <c r="I393" s="1268"/>
      <c r="J393" s="1260"/>
      <c r="K393" s="1260"/>
      <c r="L393" s="1260"/>
      <c r="M393" s="1260"/>
      <c r="N393" s="1260"/>
      <c r="O393" s="1260"/>
      <c r="P393" s="1260"/>
      <c r="Q393" s="1260"/>
      <c r="R393" s="1260"/>
      <c r="S393" s="1260"/>
      <c r="T393" s="1260"/>
      <c r="U393" s="1260"/>
      <c r="V393" s="1260"/>
      <c r="W393" s="1260"/>
      <c r="X393" s="1260"/>
      <c r="Y393" s="1260"/>
      <c r="Z393" s="1260"/>
      <c r="AA393" s="1260"/>
      <c r="AB393" s="1260"/>
      <c r="AC393" s="1260"/>
      <c r="AD393" s="1260"/>
      <c r="AE393" s="1260"/>
    </row>
    <row r="394" spans="1:31" s="1217" customFormat="1" ht="13.5" thickBot="1">
      <c r="A394" s="1265"/>
      <c r="B394" s="1267"/>
      <c r="C394" s="1266"/>
      <c r="D394" s="1265"/>
      <c r="E394" s="1264" t="s">
        <v>48</v>
      </c>
      <c r="F394" s="1263">
        <f>SUM(F387:F393)</f>
        <v>159533.15925</v>
      </c>
      <c r="G394" s="1262">
        <f>SUM(G387:G393)</f>
        <v>40000</v>
      </c>
      <c r="H394" s="1262"/>
      <c r="I394" s="1261">
        <f>SUM(F394:G394)</f>
        <v>199533.15925</v>
      </c>
      <c r="J394" s="1260"/>
      <c r="K394" s="1260"/>
      <c r="L394" s="1260"/>
      <c r="M394" s="1260"/>
      <c r="N394" s="1260"/>
      <c r="O394" s="1260"/>
      <c r="P394" s="1260"/>
      <c r="Q394" s="1260"/>
      <c r="R394" s="1260"/>
      <c r="S394" s="1260"/>
      <c r="T394" s="1260"/>
      <c r="U394" s="1260"/>
      <c r="V394" s="1260"/>
      <c r="W394" s="1260"/>
      <c r="X394" s="1260"/>
      <c r="Y394" s="1260"/>
      <c r="Z394" s="1260"/>
      <c r="AA394" s="1260"/>
      <c r="AB394" s="1260"/>
      <c r="AC394" s="1260"/>
      <c r="AD394" s="1260"/>
      <c r="AE394" s="1260"/>
    </row>
    <row r="395" spans="1:31" s="1217" customFormat="1">
      <c r="A395" s="1265"/>
      <c r="B395" s="1267"/>
      <c r="C395" s="1266"/>
      <c r="D395" s="1265"/>
      <c r="E395" s="1276"/>
      <c r="F395" s="1272"/>
      <c r="G395" s="1273"/>
      <c r="H395" s="1273"/>
      <c r="I395" s="1272"/>
      <c r="J395" s="1260"/>
      <c r="K395" s="1260"/>
      <c r="L395" s="1260"/>
      <c r="M395" s="1260"/>
      <c r="N395" s="1260"/>
      <c r="O395" s="1260"/>
      <c r="P395" s="1260"/>
      <c r="Q395" s="1260"/>
      <c r="R395" s="1260"/>
      <c r="S395" s="1260"/>
      <c r="T395" s="1260"/>
      <c r="U395" s="1260"/>
      <c r="V395" s="1260"/>
      <c r="W395" s="1260"/>
      <c r="X395" s="1260"/>
      <c r="Y395" s="1260"/>
      <c r="Z395" s="1260"/>
      <c r="AA395" s="1260"/>
      <c r="AB395" s="1260"/>
      <c r="AC395" s="1260"/>
      <c r="AD395" s="1260"/>
      <c r="AE395" s="1260"/>
    </row>
    <row r="396" spans="1:31" s="1217" customFormat="1">
      <c r="A396" s="1275"/>
      <c r="B396" s="1267" t="s">
        <v>1611</v>
      </c>
      <c r="C396" s="1266"/>
      <c r="D396" s="1265"/>
      <c r="E396" s="1274"/>
      <c r="F396" s="1272"/>
      <c r="G396" s="1273"/>
      <c r="H396" s="1273"/>
      <c r="I396" s="1272"/>
      <c r="J396" s="1260"/>
      <c r="K396" s="1260"/>
      <c r="L396" s="1260"/>
      <c r="M396" s="1260"/>
      <c r="N396" s="1260"/>
      <c r="O396" s="1260"/>
      <c r="P396" s="1260"/>
      <c r="Q396" s="1260"/>
      <c r="R396" s="1260"/>
      <c r="S396" s="1260"/>
      <c r="T396" s="1260"/>
      <c r="U396" s="1260"/>
      <c r="V396" s="1260"/>
      <c r="W396" s="1260"/>
      <c r="X396" s="1260"/>
      <c r="Y396" s="1260"/>
      <c r="Z396" s="1260"/>
      <c r="AA396" s="1260"/>
      <c r="AB396" s="1260"/>
      <c r="AC396" s="1260"/>
      <c r="AD396" s="1260"/>
      <c r="AE396" s="1260"/>
    </row>
    <row r="397" spans="1:31" s="1217" customFormat="1">
      <c r="A397" s="1265"/>
      <c r="B397" s="1271">
        <f>0.15*0.45*1.05</f>
        <v>7.0875000000000007E-2</v>
      </c>
      <c r="C397" s="1266" t="s">
        <v>51</v>
      </c>
      <c r="D397" s="1265" t="s">
        <v>1610</v>
      </c>
      <c r="E397" s="1270">
        <f>$I$265</f>
        <v>886530</v>
      </c>
      <c r="F397" s="1268">
        <f>B397*E397</f>
        <v>62832.813750000008</v>
      </c>
      <c r="G397" s="1269"/>
      <c r="H397" s="1269"/>
      <c r="I397" s="1268"/>
      <c r="J397" s="1260"/>
      <c r="K397" s="1260"/>
      <c r="L397" s="1260"/>
      <c r="M397" s="1260"/>
      <c r="N397" s="1260"/>
      <c r="O397" s="1260"/>
      <c r="P397" s="1260"/>
      <c r="Q397" s="1260"/>
      <c r="R397" s="1260"/>
      <c r="S397" s="1260"/>
      <c r="T397" s="1260"/>
      <c r="U397" s="1260"/>
      <c r="V397" s="1260"/>
      <c r="W397" s="1260"/>
      <c r="X397" s="1260"/>
      <c r="Y397" s="1260"/>
      <c r="Z397" s="1260"/>
      <c r="AA397" s="1260"/>
      <c r="AB397" s="1260"/>
      <c r="AC397" s="1260"/>
      <c r="AD397" s="1260"/>
      <c r="AE397" s="1260"/>
    </row>
    <row r="398" spans="1:31" s="1217" customFormat="1">
      <c r="A398" s="1265"/>
      <c r="B398" s="1271">
        <f>2*0.3</f>
        <v>0.6</v>
      </c>
      <c r="C398" s="1266" t="s">
        <v>49</v>
      </c>
      <c r="D398" s="1265" t="s">
        <v>96</v>
      </c>
      <c r="E398" s="1270">
        <f>Material!$G$51</f>
        <v>40000</v>
      </c>
      <c r="F398" s="1268">
        <f>B398*E398</f>
        <v>24000</v>
      </c>
      <c r="G398" s="1269"/>
      <c r="H398" s="1269"/>
      <c r="I398" s="1268"/>
      <c r="J398" s="1260"/>
      <c r="K398" s="1260"/>
      <c r="L398" s="1260"/>
      <c r="M398" s="1260"/>
      <c r="N398" s="1260"/>
      <c r="O398" s="1260"/>
      <c r="P398" s="1260"/>
      <c r="Q398" s="1260"/>
      <c r="R398" s="1260"/>
      <c r="S398" s="1260"/>
      <c r="T398" s="1260"/>
      <c r="U398" s="1260"/>
      <c r="V398" s="1260"/>
      <c r="W398" s="1260"/>
      <c r="X398" s="1260"/>
      <c r="Y398" s="1260"/>
      <c r="Z398" s="1260"/>
      <c r="AA398" s="1260"/>
      <c r="AB398" s="1260"/>
      <c r="AC398" s="1260"/>
      <c r="AD398" s="1260"/>
      <c r="AE398" s="1260"/>
    </row>
    <row r="399" spans="1:31" s="1217" customFormat="1">
      <c r="A399" s="1265"/>
      <c r="B399" s="1271">
        <f>0.006165*(4*13^2*1.1+5*8^2*1.3+2*8^2*1)</f>
        <v>7.9380540000000002</v>
      </c>
      <c r="C399" s="1266" t="s">
        <v>53</v>
      </c>
      <c r="D399" s="1265" t="s">
        <v>1609</v>
      </c>
      <c r="E399" s="1270">
        <f>Material!$G$33</f>
        <v>9500</v>
      </c>
      <c r="F399" s="1268">
        <f>B399*E399</f>
        <v>75411.513000000006</v>
      </c>
      <c r="G399" s="1269"/>
      <c r="H399" s="1269"/>
      <c r="I399" s="1268"/>
      <c r="J399" s="1260"/>
      <c r="K399" s="1260"/>
      <c r="L399" s="1260"/>
      <c r="M399" s="1260"/>
      <c r="N399" s="1260"/>
      <c r="O399" s="1260"/>
      <c r="P399" s="1260"/>
      <c r="Q399" s="1260"/>
      <c r="R399" s="1260"/>
      <c r="S399" s="1260"/>
      <c r="T399" s="1260"/>
      <c r="U399" s="1260"/>
      <c r="V399" s="1260"/>
      <c r="W399" s="1260"/>
      <c r="X399" s="1260"/>
      <c r="Y399" s="1260"/>
      <c r="Z399" s="1260"/>
      <c r="AA399" s="1260"/>
      <c r="AB399" s="1260"/>
      <c r="AC399" s="1260"/>
      <c r="AD399" s="1260"/>
      <c r="AE399" s="1260"/>
    </row>
    <row r="400" spans="1:31" s="1217" customFormat="1">
      <c r="A400" s="1265"/>
      <c r="B400" s="1271">
        <f>0.5*2</f>
        <v>1</v>
      </c>
      <c r="C400" s="1266" t="s">
        <v>49</v>
      </c>
      <c r="D400" s="1265" t="s">
        <v>1556</v>
      </c>
      <c r="E400" s="1270">
        <f>Material!$G$75</f>
        <v>15000</v>
      </c>
      <c r="F400" s="1268">
        <f>B400*E400</f>
        <v>15000</v>
      </c>
      <c r="G400" s="1269"/>
      <c r="H400" s="1269"/>
      <c r="I400" s="1268"/>
      <c r="J400" s="1260"/>
      <c r="K400" s="1260"/>
      <c r="L400" s="1260"/>
      <c r="M400" s="1260"/>
      <c r="N400" s="1260"/>
      <c r="O400" s="1260"/>
      <c r="P400" s="1260"/>
      <c r="Q400" s="1260"/>
      <c r="R400" s="1260"/>
      <c r="S400" s="1260"/>
      <c r="T400" s="1260"/>
      <c r="U400" s="1260"/>
      <c r="V400" s="1260"/>
      <c r="W400" s="1260"/>
      <c r="X400" s="1260"/>
      <c r="Y400" s="1260"/>
      <c r="Z400" s="1260"/>
      <c r="AA400" s="1260"/>
      <c r="AB400" s="1260"/>
      <c r="AC400" s="1260"/>
      <c r="AD400" s="1260"/>
      <c r="AE400" s="1260"/>
    </row>
    <row r="401" spans="1:31" s="1217" customFormat="1">
      <c r="A401" s="1265"/>
      <c r="B401" s="1271">
        <v>1</v>
      </c>
      <c r="C401" s="1266" t="s">
        <v>49</v>
      </c>
      <c r="D401" s="1265" t="s">
        <v>1608</v>
      </c>
      <c r="E401" s="1270">
        <f>Upah!$D$36</f>
        <v>40000</v>
      </c>
      <c r="F401" s="1268"/>
      <c r="G401" s="1269">
        <f>B401*E401</f>
        <v>40000</v>
      </c>
      <c r="H401" s="1269"/>
      <c r="I401" s="1268"/>
      <c r="J401" s="1260"/>
      <c r="K401" s="1260"/>
      <c r="L401" s="1260"/>
      <c r="M401" s="1260"/>
      <c r="N401" s="1260"/>
      <c r="O401" s="1260"/>
      <c r="P401" s="1260"/>
      <c r="Q401" s="1260"/>
      <c r="R401" s="1260"/>
      <c r="S401" s="1260"/>
      <c r="T401" s="1260"/>
      <c r="U401" s="1260"/>
      <c r="V401" s="1260"/>
      <c r="W401" s="1260"/>
      <c r="X401" s="1260"/>
      <c r="Y401" s="1260"/>
      <c r="Z401" s="1260"/>
      <c r="AA401" s="1260"/>
      <c r="AB401" s="1260"/>
      <c r="AC401" s="1260"/>
      <c r="AD401" s="1260"/>
      <c r="AE401" s="1260"/>
    </row>
    <row r="402" spans="1:31" s="1217" customFormat="1" ht="13.5" thickBot="1">
      <c r="A402" s="1265"/>
      <c r="B402" s="1271"/>
      <c r="C402" s="1266"/>
      <c r="D402" s="1265"/>
      <c r="E402" s="1270"/>
      <c r="F402" s="1268"/>
      <c r="G402" s="1269"/>
      <c r="H402" s="1269"/>
      <c r="I402" s="1268"/>
      <c r="J402" s="1260"/>
      <c r="K402" s="1260"/>
      <c r="L402" s="1260"/>
      <c r="M402" s="1260"/>
      <c r="N402" s="1260"/>
      <c r="O402" s="1260"/>
      <c r="P402" s="1260"/>
      <c r="Q402" s="1260"/>
      <c r="R402" s="1260"/>
      <c r="S402" s="1260"/>
      <c r="T402" s="1260"/>
      <c r="U402" s="1260"/>
      <c r="V402" s="1260"/>
      <c r="W402" s="1260"/>
      <c r="X402" s="1260"/>
      <c r="Y402" s="1260"/>
      <c r="Z402" s="1260"/>
      <c r="AA402" s="1260"/>
      <c r="AB402" s="1260"/>
      <c r="AC402" s="1260"/>
      <c r="AD402" s="1260"/>
      <c r="AE402" s="1260"/>
    </row>
    <row r="403" spans="1:31" s="1217" customFormat="1" ht="13.5" thickBot="1">
      <c r="A403" s="1265"/>
      <c r="B403" s="1267"/>
      <c r="C403" s="1266"/>
      <c r="D403" s="1265"/>
      <c r="E403" s="1264" t="s">
        <v>48</v>
      </c>
      <c r="F403" s="1263">
        <f>SUM(F396:F402)</f>
        <v>177244.32675000001</v>
      </c>
      <c r="G403" s="1262">
        <f>SUM(G396:G402)</f>
        <v>40000</v>
      </c>
      <c r="H403" s="1262"/>
      <c r="I403" s="1261">
        <f>SUM(F403:G403)</f>
        <v>217244.32675000001</v>
      </c>
      <c r="J403" s="1260"/>
      <c r="K403" s="1260"/>
      <c r="L403" s="1260"/>
      <c r="M403" s="1260"/>
      <c r="N403" s="1260"/>
      <c r="O403" s="1260"/>
      <c r="P403" s="1260"/>
      <c r="Q403" s="1260"/>
      <c r="R403" s="1260"/>
      <c r="S403" s="1260"/>
      <c r="T403" s="1260"/>
      <c r="U403" s="1260"/>
      <c r="V403" s="1260"/>
      <c r="W403" s="1260"/>
      <c r="X403" s="1260"/>
      <c r="Y403" s="1260"/>
      <c r="Z403" s="1260"/>
      <c r="AA403" s="1260"/>
      <c r="AB403" s="1260"/>
      <c r="AC403" s="1260"/>
      <c r="AD403" s="1260"/>
      <c r="AE403" s="1260"/>
    </row>
    <row r="404" spans="1:31" s="1217" customFormat="1">
      <c r="A404" s="1265"/>
      <c r="B404" s="1267"/>
      <c r="C404" s="1266"/>
      <c r="D404" s="1265"/>
      <c r="E404" s="1276"/>
      <c r="F404" s="1272"/>
      <c r="G404" s="1273"/>
      <c r="H404" s="1273"/>
      <c r="I404" s="1272"/>
      <c r="J404" s="1260"/>
      <c r="K404" s="1260"/>
      <c r="L404" s="1260"/>
      <c r="M404" s="1260"/>
      <c r="N404" s="1260"/>
      <c r="O404" s="1260"/>
      <c r="P404" s="1260"/>
      <c r="Q404" s="1260"/>
      <c r="R404" s="1260"/>
      <c r="S404" s="1260"/>
      <c r="T404" s="1260"/>
      <c r="U404" s="1260"/>
      <c r="V404" s="1260"/>
      <c r="W404" s="1260"/>
      <c r="X404" s="1260"/>
      <c r="Y404" s="1260"/>
      <c r="Z404" s="1260"/>
      <c r="AA404" s="1260"/>
      <c r="AB404" s="1260"/>
      <c r="AC404" s="1260"/>
      <c r="AD404" s="1260"/>
      <c r="AE404" s="1260"/>
    </row>
    <row r="405" spans="1:31" s="1217" customFormat="1">
      <c r="A405" s="1314"/>
      <c r="B405" s="1267" t="s">
        <v>2367</v>
      </c>
      <c r="C405" s="1266"/>
      <c r="D405" s="1265"/>
      <c r="E405" s="1274"/>
      <c r="F405" s="1272"/>
      <c r="G405" s="1273"/>
      <c r="H405" s="1273"/>
      <c r="I405" s="1272"/>
      <c r="J405" s="1260"/>
      <c r="K405" s="1260"/>
      <c r="L405" s="1260"/>
      <c r="M405" s="1260"/>
      <c r="N405" s="1260"/>
      <c r="O405" s="1260"/>
      <c r="P405" s="1260"/>
      <c r="Q405" s="1260"/>
      <c r="R405" s="1260"/>
      <c r="S405" s="1260"/>
      <c r="T405" s="1260"/>
      <c r="U405" s="1260"/>
      <c r="V405" s="1260"/>
      <c r="W405" s="1260"/>
      <c r="X405" s="1260"/>
      <c r="Y405" s="1260"/>
      <c r="Z405" s="1260"/>
      <c r="AA405" s="1260"/>
      <c r="AB405" s="1260"/>
      <c r="AC405" s="1260"/>
      <c r="AD405" s="1260"/>
      <c r="AE405" s="1260"/>
    </row>
    <row r="406" spans="1:31" s="1217" customFormat="1">
      <c r="A406" s="1265"/>
      <c r="B406" s="1271">
        <f>ROUND(50*1.1,0)</f>
        <v>55</v>
      </c>
      <c r="C406" s="1266" t="s">
        <v>330</v>
      </c>
      <c r="D406" s="1265" t="s">
        <v>1597</v>
      </c>
      <c r="E406" s="1270">
        <f>Material!$G$77</f>
        <v>750</v>
      </c>
      <c r="F406" s="1268">
        <f>B406*E406</f>
        <v>41250</v>
      </c>
      <c r="G406" s="1269"/>
      <c r="H406" s="1269"/>
      <c r="I406" s="1268"/>
      <c r="J406" s="1260"/>
      <c r="K406" s="1260"/>
      <c r="L406" s="1260"/>
      <c r="M406" s="1260"/>
      <c r="N406" s="1260"/>
      <c r="O406" s="1260"/>
      <c r="P406" s="1260"/>
      <c r="Q406" s="1260"/>
      <c r="R406" s="1260"/>
      <c r="S406" s="1260"/>
      <c r="T406" s="1260"/>
      <c r="U406" s="1260"/>
      <c r="V406" s="1260"/>
      <c r="W406" s="1260"/>
      <c r="X406" s="1260"/>
      <c r="Y406" s="1260"/>
      <c r="Z406" s="1260"/>
      <c r="AA406" s="1260"/>
      <c r="AB406" s="1260"/>
      <c r="AC406" s="1260"/>
      <c r="AD406" s="1260"/>
      <c r="AE406" s="1260"/>
    </row>
    <row r="407" spans="1:31" s="1217" customFormat="1">
      <c r="A407" s="1265"/>
      <c r="B407" s="1271">
        <f>0.02*8.977*1.2</f>
        <v>0.215448</v>
      </c>
      <c r="C407" s="1266" t="s">
        <v>1574</v>
      </c>
      <c r="D407" s="1265" t="s">
        <v>1596</v>
      </c>
      <c r="E407" s="1270">
        <f>Material!$G$14</f>
        <v>65000</v>
      </c>
      <c r="F407" s="1268">
        <f>B407*E407</f>
        <v>14004.12</v>
      </c>
      <c r="G407" s="1269"/>
      <c r="H407" s="1269"/>
      <c r="I407" s="1268"/>
      <c r="J407" s="1260"/>
      <c r="K407" s="1260"/>
      <c r="L407" s="1260"/>
      <c r="M407" s="1260"/>
      <c r="N407" s="1260"/>
      <c r="O407" s="1260"/>
      <c r="P407" s="1260"/>
      <c r="Q407" s="1260"/>
      <c r="R407" s="1260"/>
      <c r="S407" s="1260"/>
      <c r="T407" s="1260"/>
      <c r="U407" s="1260"/>
      <c r="V407" s="1260"/>
      <c r="W407" s="1260"/>
      <c r="X407" s="1260"/>
      <c r="Y407" s="1260"/>
      <c r="Z407" s="1260"/>
      <c r="AA407" s="1260"/>
      <c r="AB407" s="1260"/>
      <c r="AC407" s="1260"/>
      <c r="AD407" s="1260"/>
      <c r="AE407" s="1260"/>
    </row>
    <row r="408" spans="1:31" s="1217" customFormat="1">
      <c r="A408" s="1265"/>
      <c r="B408" s="1271">
        <f>0.02*1.077*1.2</f>
        <v>2.5847999999999999E-2</v>
      </c>
      <c r="C408" s="1266" t="s">
        <v>51</v>
      </c>
      <c r="D408" s="1265" t="s">
        <v>1580</v>
      </c>
      <c r="E408" s="1270">
        <f>Material!$G$8</f>
        <v>350000</v>
      </c>
      <c r="F408" s="1268">
        <f>B408*E408</f>
        <v>9046.7999999999993</v>
      </c>
      <c r="G408" s="1269"/>
      <c r="H408" s="1269"/>
      <c r="I408" s="1268"/>
      <c r="J408" s="1260"/>
      <c r="K408" s="1260"/>
      <c r="L408" s="1260"/>
      <c r="M408" s="1260"/>
      <c r="N408" s="1260"/>
      <c r="O408" s="1260"/>
      <c r="P408" s="1260"/>
      <c r="Q408" s="1260"/>
      <c r="R408" s="1260"/>
      <c r="S408" s="1260"/>
      <c r="T408" s="1260"/>
      <c r="U408" s="1260"/>
      <c r="V408" s="1260"/>
      <c r="W408" s="1260"/>
      <c r="X408" s="1260"/>
      <c r="Y408" s="1260"/>
      <c r="Z408" s="1260"/>
      <c r="AA408" s="1260"/>
      <c r="AB408" s="1260"/>
      <c r="AC408" s="1260"/>
      <c r="AD408" s="1260"/>
      <c r="AE408" s="1260"/>
    </row>
    <row r="409" spans="1:31" s="1217" customFormat="1">
      <c r="A409" s="1265"/>
      <c r="B409" s="1271">
        <v>0.5</v>
      </c>
      <c r="C409" s="1266" t="s">
        <v>50</v>
      </c>
      <c r="D409" s="1265" t="s">
        <v>1595</v>
      </c>
      <c r="E409" s="1270">
        <f>$I$349</f>
        <v>121781.15359999999</v>
      </c>
      <c r="F409" s="1268">
        <f>B409*$F$349</f>
        <v>40890.576799999995</v>
      </c>
      <c r="G409" s="1269">
        <f>B409*$G$349</f>
        <v>20000</v>
      </c>
      <c r="H409" s="1269"/>
      <c r="I409" s="1268"/>
      <c r="J409" s="1260"/>
      <c r="K409" s="1260"/>
      <c r="L409" s="1260"/>
      <c r="M409" s="1260"/>
      <c r="N409" s="1260"/>
      <c r="O409" s="1260"/>
      <c r="P409" s="1260"/>
      <c r="Q409" s="1260"/>
      <c r="R409" s="1260"/>
      <c r="S409" s="1260"/>
      <c r="T409" s="1260"/>
      <c r="U409" s="1260"/>
      <c r="V409" s="1260"/>
      <c r="W409" s="1260"/>
      <c r="X409" s="1260"/>
      <c r="Y409" s="1260"/>
      <c r="Z409" s="1260"/>
      <c r="AA409" s="1260"/>
      <c r="AB409" s="1260"/>
      <c r="AC409" s="1260"/>
      <c r="AD409" s="1260"/>
      <c r="AE409" s="1260"/>
    </row>
    <row r="410" spans="1:31" s="1217" customFormat="1">
      <c r="A410" s="1265"/>
      <c r="B410" s="1271">
        <v>1</v>
      </c>
      <c r="C410" s="1266" t="s">
        <v>49</v>
      </c>
      <c r="D410" s="1265" t="s">
        <v>1606</v>
      </c>
      <c r="E410" s="1270">
        <f>Upah!$D$85</f>
        <v>80000</v>
      </c>
      <c r="F410" s="1268"/>
      <c r="G410" s="2156">
        <v>70000</v>
      </c>
      <c r="H410" s="1269"/>
      <c r="I410" s="1268"/>
      <c r="J410" s="1260"/>
      <c r="K410" s="1260"/>
      <c r="L410" s="1260"/>
      <c r="M410" s="1260"/>
      <c r="N410" s="1260"/>
      <c r="O410" s="1260"/>
      <c r="P410" s="1260"/>
      <c r="Q410" s="1260"/>
      <c r="R410" s="1260"/>
      <c r="S410" s="1260"/>
      <c r="T410" s="1260"/>
      <c r="U410" s="1260"/>
      <c r="V410" s="1260"/>
      <c r="W410" s="1260"/>
      <c r="X410" s="1260"/>
      <c r="Y410" s="1260"/>
      <c r="Z410" s="1260"/>
      <c r="AA410" s="1260"/>
      <c r="AB410" s="1260"/>
      <c r="AC410" s="1260"/>
      <c r="AD410" s="1260"/>
      <c r="AE410" s="1260"/>
    </row>
    <row r="411" spans="1:31" s="1217" customFormat="1" ht="13.5" thickBot="1">
      <c r="A411" s="1265"/>
      <c r="B411" s="1271"/>
      <c r="C411" s="1266"/>
      <c r="D411" s="1265"/>
      <c r="E411" s="1270"/>
      <c r="F411" s="1268"/>
      <c r="G411" s="1269"/>
      <c r="H411" s="1269"/>
      <c r="I411" s="1268"/>
      <c r="J411" s="1260"/>
      <c r="K411" s="1260"/>
      <c r="L411" s="1260"/>
      <c r="M411" s="1260"/>
      <c r="N411" s="1260"/>
      <c r="O411" s="1260"/>
      <c r="P411" s="1260"/>
      <c r="Q411" s="1260"/>
      <c r="R411" s="1260"/>
      <c r="S411" s="1260"/>
      <c r="T411" s="1260"/>
      <c r="U411" s="1260"/>
      <c r="V411" s="1260"/>
      <c r="W411" s="1260"/>
      <c r="X411" s="1260"/>
      <c r="Y411" s="1260"/>
      <c r="Z411" s="1260"/>
      <c r="AA411" s="1260"/>
      <c r="AB411" s="1260"/>
      <c r="AC411" s="1260"/>
      <c r="AD411" s="1260"/>
      <c r="AE411" s="1260"/>
    </row>
    <row r="412" spans="1:31" s="1305" customFormat="1" ht="13.5" thickBot="1">
      <c r="A412" s="1311"/>
      <c r="B412" s="1313"/>
      <c r="C412" s="1312"/>
      <c r="D412" s="1311"/>
      <c r="E412" s="1264" t="s">
        <v>48</v>
      </c>
      <c r="F412" s="1263">
        <f>SUM(F405:F411)</f>
        <v>105191.49679999999</v>
      </c>
      <c r="G412" s="1262">
        <f>SUM(G405:G411)</f>
        <v>90000</v>
      </c>
      <c r="H412" s="1262"/>
      <c r="I412" s="1261">
        <f>SUM(F412:G412)</f>
        <v>195191.49679999999</v>
      </c>
      <c r="J412" s="1306"/>
      <c r="K412" s="1306"/>
      <c r="L412" s="1306"/>
      <c r="M412" s="1306"/>
      <c r="N412" s="1306"/>
      <c r="O412" s="1306"/>
      <c r="P412" s="1306"/>
      <c r="Q412" s="1306"/>
      <c r="R412" s="1306"/>
      <c r="S412" s="1306"/>
      <c r="T412" s="1306"/>
      <c r="U412" s="1306"/>
      <c r="V412" s="1306"/>
      <c r="W412" s="1306"/>
      <c r="X412" s="1306"/>
      <c r="Y412" s="1306"/>
      <c r="Z412" s="1306"/>
      <c r="AA412" s="1306"/>
      <c r="AB412" s="1306"/>
      <c r="AC412" s="1306"/>
      <c r="AD412" s="1306"/>
      <c r="AE412" s="1306"/>
    </row>
    <row r="413" spans="1:31" s="1217" customFormat="1">
      <c r="A413" s="1265"/>
      <c r="B413" s="1267"/>
      <c r="C413" s="1266"/>
      <c r="D413" s="1265"/>
      <c r="E413" s="1276"/>
      <c r="F413" s="1272"/>
      <c r="G413" s="1273"/>
      <c r="H413" s="1273"/>
      <c r="I413" s="1272"/>
      <c r="J413" s="1260"/>
      <c r="K413" s="1260"/>
      <c r="L413" s="1260"/>
      <c r="M413" s="1260"/>
      <c r="N413" s="1260"/>
      <c r="O413" s="1260"/>
      <c r="P413" s="1260"/>
      <c r="Q413" s="1260"/>
      <c r="R413" s="1260"/>
      <c r="S413" s="1260"/>
      <c r="T413" s="1260"/>
      <c r="U413" s="1260"/>
      <c r="V413" s="1260"/>
      <c r="W413" s="1260"/>
      <c r="X413" s="1260"/>
      <c r="Y413" s="1260"/>
      <c r="Z413" s="1260"/>
      <c r="AA413" s="1260"/>
      <c r="AB413" s="1260"/>
      <c r="AC413" s="1260"/>
      <c r="AD413" s="1260"/>
      <c r="AE413" s="1260"/>
    </row>
    <row r="414" spans="1:31" s="1217" customFormat="1">
      <c r="A414" s="1314"/>
      <c r="B414" s="1267" t="s">
        <v>1607</v>
      </c>
      <c r="C414" s="1266"/>
      <c r="D414" s="1265"/>
      <c r="E414" s="1274"/>
      <c r="F414" s="1272"/>
      <c r="G414" s="1273"/>
      <c r="H414" s="1273"/>
      <c r="I414" s="1272"/>
      <c r="J414" s="1260"/>
      <c r="K414" s="1260"/>
      <c r="L414" s="1260"/>
      <c r="M414" s="1260"/>
      <c r="N414" s="1260"/>
      <c r="O414" s="1260"/>
      <c r="P414" s="1260"/>
      <c r="Q414" s="1260"/>
      <c r="R414" s="1260"/>
      <c r="S414" s="1260"/>
      <c r="T414" s="1260"/>
      <c r="U414" s="1260"/>
      <c r="V414" s="1260"/>
      <c r="W414" s="1260"/>
      <c r="X414" s="1260"/>
      <c r="Y414" s="1260"/>
      <c r="Z414" s="1260"/>
      <c r="AA414" s="1260"/>
      <c r="AB414" s="1260"/>
      <c r="AC414" s="1260"/>
      <c r="AD414" s="1260"/>
      <c r="AE414" s="1260"/>
    </row>
    <row r="415" spans="1:31" s="1217" customFormat="1">
      <c r="A415" s="1265"/>
      <c r="B415" s="1271">
        <f>ROUND(72.17*1.1,0)</f>
        <v>79</v>
      </c>
      <c r="C415" s="1266" t="s">
        <v>330</v>
      </c>
      <c r="D415" s="1265" t="s">
        <v>1597</v>
      </c>
      <c r="E415" s="1270">
        <f>Material!$G$77</f>
        <v>750</v>
      </c>
      <c r="F415" s="1268">
        <f>B415*E415</f>
        <v>59250</v>
      </c>
      <c r="G415" s="1269"/>
      <c r="H415" s="1269"/>
      <c r="I415" s="1268"/>
      <c r="J415" s="1260"/>
      <c r="K415" s="1260"/>
      <c r="L415" s="1260"/>
      <c r="M415" s="1260"/>
      <c r="N415" s="1260"/>
      <c r="O415" s="1260"/>
      <c r="P415" s="1260"/>
      <c r="Q415" s="1260"/>
      <c r="R415" s="1260"/>
      <c r="S415" s="1260"/>
      <c r="T415" s="1260"/>
      <c r="U415" s="1260"/>
      <c r="V415" s="1260"/>
      <c r="W415" s="1260"/>
      <c r="X415" s="1260"/>
      <c r="Y415" s="1260"/>
      <c r="Z415" s="1260"/>
      <c r="AA415" s="1260"/>
      <c r="AB415" s="1260"/>
      <c r="AC415" s="1260"/>
      <c r="AD415" s="1260"/>
      <c r="AE415" s="1260"/>
    </row>
    <row r="416" spans="1:31" s="1217" customFormat="1">
      <c r="A416" s="1265"/>
      <c r="B416" s="1271">
        <f>0.0302*8.977*1.2</f>
        <v>0.32532647999999997</v>
      </c>
      <c r="C416" s="1266" t="s">
        <v>1574</v>
      </c>
      <c r="D416" s="1265" t="s">
        <v>1596</v>
      </c>
      <c r="E416" s="1270">
        <f>Material!$G$14</f>
        <v>65000</v>
      </c>
      <c r="F416" s="1268">
        <f>B416*E416</f>
        <v>21146.2212</v>
      </c>
      <c r="G416" s="1269"/>
      <c r="H416" s="1269"/>
      <c r="I416" s="1268"/>
      <c r="J416" s="1260"/>
      <c r="K416" s="1260"/>
      <c r="L416" s="1260"/>
      <c r="M416" s="1260"/>
      <c r="N416" s="1260"/>
      <c r="O416" s="1260"/>
      <c r="P416" s="1260"/>
      <c r="Q416" s="1260"/>
      <c r="R416" s="1260"/>
      <c r="S416" s="1260"/>
      <c r="T416" s="1260"/>
      <c r="U416" s="1260"/>
      <c r="V416" s="1260"/>
      <c r="W416" s="1260"/>
      <c r="X416" s="1260"/>
      <c r="Y416" s="1260"/>
      <c r="Z416" s="1260"/>
      <c r="AA416" s="1260"/>
      <c r="AB416" s="1260"/>
      <c r="AC416" s="1260"/>
      <c r="AD416" s="1260"/>
      <c r="AE416" s="1260"/>
    </row>
    <row r="417" spans="1:31" s="1217" customFormat="1">
      <c r="A417" s="1265"/>
      <c r="B417" s="1271">
        <f>0.0302*1.077*1.2</f>
        <v>3.9030479999999999E-2</v>
      </c>
      <c r="C417" s="1266" t="s">
        <v>51</v>
      </c>
      <c r="D417" s="1265" t="s">
        <v>1580</v>
      </c>
      <c r="E417" s="1270">
        <f>Material!$G$8</f>
        <v>350000</v>
      </c>
      <c r="F417" s="1268">
        <f>B417*E417</f>
        <v>13660.668</v>
      </c>
      <c r="G417" s="1269"/>
      <c r="H417" s="1269"/>
      <c r="I417" s="1268"/>
      <c r="J417" s="1260"/>
      <c r="K417" s="1260"/>
      <c r="L417" s="1260"/>
      <c r="M417" s="1260"/>
      <c r="N417" s="1260"/>
      <c r="O417" s="1260"/>
      <c r="P417" s="1260"/>
      <c r="Q417" s="1260"/>
      <c r="R417" s="1260"/>
      <c r="S417" s="1260"/>
      <c r="T417" s="1260"/>
      <c r="U417" s="1260"/>
      <c r="V417" s="1260"/>
      <c r="W417" s="1260"/>
      <c r="X417" s="1260"/>
      <c r="Y417" s="1260"/>
      <c r="Z417" s="1260"/>
      <c r="AA417" s="1260"/>
      <c r="AB417" s="1260"/>
      <c r="AC417" s="1260"/>
      <c r="AD417" s="1260"/>
      <c r="AE417" s="1260"/>
    </row>
    <row r="418" spans="1:31" s="1217" customFormat="1">
      <c r="A418" s="1265"/>
      <c r="B418" s="1271">
        <v>0.6</v>
      </c>
      <c r="C418" s="1266" t="s">
        <v>50</v>
      </c>
      <c r="D418" s="1265" t="s">
        <v>1595</v>
      </c>
      <c r="E418" s="1270">
        <f>$I$349</f>
        <v>121781.15359999999</v>
      </c>
      <c r="F418" s="1268">
        <f>B418*$F$349</f>
        <v>49068.692159999991</v>
      </c>
      <c r="G418" s="1269">
        <f>B418*$G$349</f>
        <v>24000</v>
      </c>
      <c r="H418" s="1269"/>
      <c r="I418" s="1268"/>
      <c r="J418" s="1260"/>
      <c r="K418" s="1260"/>
      <c r="L418" s="1260"/>
      <c r="M418" s="1260"/>
      <c r="N418" s="1260"/>
      <c r="O418" s="1260"/>
      <c r="P418" s="1260"/>
      <c r="Q418" s="1260"/>
      <c r="R418" s="1260"/>
      <c r="S418" s="1260"/>
      <c r="T418" s="1260"/>
      <c r="U418" s="1260"/>
      <c r="V418" s="1260"/>
      <c r="W418" s="1260"/>
      <c r="X418" s="1260"/>
      <c r="Y418" s="1260"/>
      <c r="Z418" s="1260"/>
      <c r="AA418" s="1260"/>
      <c r="AB418" s="1260"/>
      <c r="AC418" s="1260"/>
      <c r="AD418" s="1260"/>
      <c r="AE418" s="1260"/>
    </row>
    <row r="419" spans="1:31" s="1217" customFormat="1">
      <c r="A419" s="1265"/>
      <c r="B419" s="1271">
        <v>1</v>
      </c>
      <c r="C419" s="1266" t="s">
        <v>49</v>
      </c>
      <c r="D419" s="1265" t="s">
        <v>1606</v>
      </c>
      <c r="E419" s="1270">
        <f>Upah!$D$85</f>
        <v>80000</v>
      </c>
      <c r="F419" s="1268"/>
      <c r="G419" s="1269">
        <f>B419*E419</f>
        <v>80000</v>
      </c>
      <c r="H419" s="1269"/>
      <c r="I419" s="1268"/>
      <c r="J419" s="1260"/>
      <c r="K419" s="1260"/>
      <c r="L419" s="1260"/>
      <c r="M419" s="1260"/>
      <c r="N419" s="1260"/>
      <c r="O419" s="1260"/>
      <c r="P419" s="1260"/>
      <c r="Q419" s="1260"/>
      <c r="R419" s="1260"/>
      <c r="S419" s="1260"/>
      <c r="T419" s="1260"/>
      <c r="U419" s="1260"/>
      <c r="V419" s="1260"/>
      <c r="W419" s="1260"/>
      <c r="X419" s="1260"/>
      <c r="Y419" s="1260"/>
      <c r="Z419" s="1260"/>
      <c r="AA419" s="1260"/>
      <c r="AB419" s="1260"/>
      <c r="AC419" s="1260"/>
      <c r="AD419" s="1260"/>
      <c r="AE419" s="1260"/>
    </row>
    <row r="420" spans="1:31" s="1217" customFormat="1" ht="13.5" thickBot="1">
      <c r="A420" s="1265"/>
      <c r="B420" s="1271"/>
      <c r="C420" s="1266"/>
      <c r="D420" s="1265"/>
      <c r="E420" s="1270"/>
      <c r="F420" s="1268"/>
      <c r="G420" s="1269"/>
      <c r="H420" s="1269"/>
      <c r="I420" s="1268"/>
      <c r="J420" s="1260"/>
      <c r="K420" s="1260"/>
      <c r="L420" s="1260"/>
      <c r="M420" s="1260"/>
      <c r="N420" s="1260"/>
      <c r="O420" s="1260"/>
      <c r="P420" s="1260"/>
      <c r="Q420" s="1260"/>
      <c r="R420" s="1260"/>
      <c r="S420" s="1260"/>
      <c r="T420" s="1260"/>
      <c r="U420" s="1260"/>
      <c r="V420" s="1260"/>
      <c r="W420" s="1260"/>
      <c r="X420" s="1260"/>
      <c r="Y420" s="1260"/>
      <c r="Z420" s="1260"/>
      <c r="AA420" s="1260"/>
      <c r="AB420" s="1260"/>
      <c r="AC420" s="1260"/>
      <c r="AD420" s="1260"/>
      <c r="AE420" s="1260"/>
    </row>
    <row r="421" spans="1:31" s="1305" customFormat="1" ht="13.5" thickBot="1">
      <c r="A421" s="1311"/>
      <c r="B421" s="1313"/>
      <c r="C421" s="1312"/>
      <c r="D421" s="1311"/>
      <c r="E421" s="1264" t="s">
        <v>48</v>
      </c>
      <c r="F421" s="1263">
        <f>SUM(F414:F420)</f>
        <v>143125.58136000001</v>
      </c>
      <c r="G421" s="1262">
        <f>SUM(G414:G420)</f>
        <v>104000</v>
      </c>
      <c r="H421" s="1262"/>
      <c r="I421" s="1261">
        <f>SUM(F421:G421)</f>
        <v>247125.58136000001</v>
      </c>
      <c r="J421" s="1306"/>
      <c r="K421" s="1306"/>
      <c r="L421" s="1306"/>
      <c r="M421" s="1306"/>
      <c r="N421" s="1306"/>
      <c r="O421" s="1306"/>
      <c r="P421" s="1306"/>
      <c r="Q421" s="1306"/>
      <c r="R421" s="1306"/>
      <c r="S421" s="1306"/>
      <c r="T421" s="1306"/>
      <c r="U421" s="1306"/>
      <c r="V421" s="1306"/>
      <c r="W421" s="1306"/>
      <c r="X421" s="1306"/>
      <c r="Y421" s="1306"/>
      <c r="Z421" s="1306"/>
      <c r="AA421" s="1306"/>
      <c r="AB421" s="1306"/>
      <c r="AC421" s="1306"/>
      <c r="AD421" s="1306"/>
      <c r="AE421" s="1306"/>
    </row>
    <row r="422" spans="1:31" s="1217" customFormat="1">
      <c r="A422" s="1265"/>
      <c r="B422" s="1267"/>
      <c r="C422" s="1266"/>
      <c r="D422" s="1265"/>
      <c r="E422" s="1276"/>
      <c r="F422" s="1272"/>
      <c r="G422" s="1273"/>
      <c r="H422" s="1273"/>
      <c r="I422" s="1272"/>
      <c r="J422" s="1260"/>
      <c r="K422" s="1260"/>
      <c r="L422" s="1260"/>
      <c r="M422" s="1260"/>
      <c r="N422" s="1260"/>
      <c r="O422" s="1260"/>
      <c r="P422" s="1260"/>
      <c r="Q422" s="1260"/>
      <c r="R422" s="1260"/>
      <c r="S422" s="1260"/>
      <c r="T422" s="1260"/>
      <c r="U422" s="1260"/>
      <c r="V422" s="1260"/>
      <c r="W422" s="1260"/>
      <c r="X422" s="1260"/>
      <c r="Y422" s="1260"/>
      <c r="Z422" s="1260"/>
      <c r="AA422" s="1260"/>
      <c r="AB422" s="1260"/>
      <c r="AC422" s="1260"/>
      <c r="AD422" s="1260"/>
      <c r="AE422" s="1260"/>
    </row>
    <row r="423" spans="1:31" s="1217" customFormat="1">
      <c r="A423" s="1314"/>
      <c r="B423" s="1267" t="s">
        <v>1605</v>
      </c>
      <c r="C423" s="1266"/>
      <c r="D423" s="1265"/>
      <c r="E423" s="1274"/>
      <c r="F423" s="1272"/>
      <c r="G423" s="1273"/>
      <c r="H423" s="1273"/>
      <c r="I423" s="1272"/>
      <c r="J423" s="1260"/>
      <c r="K423" s="1260"/>
      <c r="L423" s="1260"/>
      <c r="M423" s="1260"/>
      <c r="N423" s="1260"/>
      <c r="O423" s="1260"/>
      <c r="P423" s="1260"/>
      <c r="Q423" s="1260"/>
      <c r="R423" s="1260"/>
      <c r="S423" s="1260"/>
      <c r="T423" s="1260"/>
      <c r="U423" s="1260"/>
      <c r="V423" s="1260"/>
      <c r="W423" s="1260"/>
      <c r="X423" s="1260"/>
      <c r="Y423" s="1260"/>
      <c r="Z423" s="1260"/>
      <c r="AA423" s="1260"/>
      <c r="AB423" s="1260"/>
      <c r="AC423" s="1260"/>
      <c r="AD423" s="1260"/>
      <c r="AE423" s="1260"/>
    </row>
    <row r="424" spans="1:31" s="1217" customFormat="1">
      <c r="A424" s="1265"/>
      <c r="B424" s="1271">
        <f>ROUND(23*57/(4.07*3.04)*1.1,0)</f>
        <v>117</v>
      </c>
      <c r="C424" s="1266" t="s">
        <v>330</v>
      </c>
      <c r="D424" s="1265" t="s">
        <v>1597</v>
      </c>
      <c r="E424" s="1270">
        <f>Material!$G$77</f>
        <v>750</v>
      </c>
      <c r="F424" s="1268">
        <f>B424*E424</f>
        <v>87750</v>
      </c>
      <c r="G424" s="1269"/>
      <c r="H424" s="1269"/>
      <c r="I424" s="1268"/>
      <c r="J424" s="1260"/>
      <c r="K424" s="1260"/>
      <c r="L424" s="1260"/>
      <c r="M424" s="1260"/>
      <c r="N424" s="1260"/>
      <c r="O424" s="1260"/>
      <c r="P424" s="1260"/>
      <c r="Q424" s="1260"/>
      <c r="R424" s="1260"/>
      <c r="S424" s="1260"/>
      <c r="T424" s="1260"/>
      <c r="U424" s="1260"/>
      <c r="V424" s="1260"/>
      <c r="W424" s="1260"/>
      <c r="X424" s="1260"/>
      <c r="Y424" s="1260"/>
      <c r="Z424" s="1260"/>
      <c r="AA424" s="1260"/>
      <c r="AB424" s="1260"/>
      <c r="AC424" s="1260"/>
      <c r="AD424" s="1260"/>
      <c r="AE424" s="1260"/>
    </row>
    <row r="425" spans="1:31" s="1217" customFormat="1">
      <c r="A425" s="1265"/>
      <c r="B425" s="1271">
        <f>0.044*8.977*1.2</f>
        <v>0.47398560000000001</v>
      </c>
      <c r="C425" s="1266" t="s">
        <v>1574</v>
      </c>
      <c r="D425" s="1265" t="s">
        <v>1596</v>
      </c>
      <c r="E425" s="1270">
        <f>Material!$G$14</f>
        <v>65000</v>
      </c>
      <c r="F425" s="1268">
        <f>B425*E425</f>
        <v>30809.064000000002</v>
      </c>
      <c r="G425" s="1269"/>
      <c r="H425" s="1269"/>
      <c r="I425" s="1268"/>
      <c r="J425" s="1260"/>
      <c r="K425" s="1260"/>
      <c r="L425" s="1260"/>
      <c r="M425" s="1260"/>
      <c r="N425" s="1260"/>
      <c r="O425" s="1260"/>
      <c r="P425" s="1260"/>
      <c r="Q425" s="1260"/>
      <c r="R425" s="1260"/>
      <c r="S425" s="1260"/>
      <c r="T425" s="1260"/>
      <c r="U425" s="1260"/>
      <c r="V425" s="1260"/>
      <c r="W425" s="1260"/>
      <c r="X425" s="1260"/>
      <c r="Y425" s="1260"/>
      <c r="Z425" s="1260"/>
      <c r="AA425" s="1260"/>
      <c r="AB425" s="1260"/>
      <c r="AC425" s="1260"/>
      <c r="AD425" s="1260"/>
      <c r="AE425" s="1260"/>
    </row>
    <row r="426" spans="1:31" s="1217" customFormat="1">
      <c r="A426" s="1265"/>
      <c r="B426" s="1271">
        <f>0.044*1.077*1.2</f>
        <v>5.6865599999999988E-2</v>
      </c>
      <c r="C426" s="1266" t="s">
        <v>51</v>
      </c>
      <c r="D426" s="1265" t="s">
        <v>1580</v>
      </c>
      <c r="E426" s="1270">
        <f>Material!$G$8</f>
        <v>350000</v>
      </c>
      <c r="F426" s="1268">
        <f>B426*E426</f>
        <v>19902.959999999995</v>
      </c>
      <c r="G426" s="1269"/>
      <c r="H426" s="1269"/>
      <c r="I426" s="1268"/>
      <c r="J426" s="1260"/>
      <c r="K426" s="1260"/>
      <c r="L426" s="1260"/>
      <c r="M426" s="1260"/>
      <c r="N426" s="1260"/>
      <c r="O426" s="1260"/>
      <c r="P426" s="1260"/>
      <c r="Q426" s="1260"/>
      <c r="R426" s="1260"/>
      <c r="S426" s="1260"/>
      <c r="T426" s="1260"/>
      <c r="U426" s="1260"/>
      <c r="V426" s="1260"/>
      <c r="W426" s="1260"/>
      <c r="X426" s="1260"/>
      <c r="Y426" s="1260"/>
      <c r="Z426" s="1260"/>
      <c r="AA426" s="1260"/>
      <c r="AB426" s="1260"/>
      <c r="AC426" s="1260"/>
      <c r="AD426" s="1260"/>
      <c r="AE426" s="1260"/>
    </row>
    <row r="427" spans="1:31" s="1217" customFormat="1">
      <c r="A427" s="1265"/>
      <c r="B427" s="1330">
        <v>0.6</v>
      </c>
      <c r="C427" s="1266" t="s">
        <v>50</v>
      </c>
      <c r="D427" s="1265" t="s">
        <v>1595</v>
      </c>
      <c r="E427" s="1270">
        <f>$I$358</f>
        <v>132358.7726</v>
      </c>
      <c r="F427" s="1268">
        <f>B427*$F$358</f>
        <v>55415.263559999999</v>
      </c>
      <c r="G427" s="1269">
        <f>B427*$G$358</f>
        <v>24000</v>
      </c>
      <c r="H427" s="1269"/>
      <c r="I427" s="1268"/>
      <c r="J427" s="1260"/>
      <c r="K427" s="1260"/>
      <c r="L427" s="1260"/>
      <c r="M427" s="1260"/>
      <c r="N427" s="1260"/>
      <c r="O427" s="1260"/>
      <c r="P427" s="1260"/>
      <c r="Q427" s="1260"/>
      <c r="R427" s="1260"/>
      <c r="S427" s="1260"/>
      <c r="T427" s="1260"/>
      <c r="U427" s="1260"/>
      <c r="V427" s="1260"/>
      <c r="W427" s="1260"/>
      <c r="X427" s="1260"/>
      <c r="Y427" s="1260"/>
      <c r="Z427" s="1260"/>
      <c r="AA427" s="1260"/>
      <c r="AB427" s="1260"/>
      <c r="AC427" s="1260"/>
      <c r="AD427" s="1260"/>
      <c r="AE427" s="1260"/>
    </row>
    <row r="428" spans="1:31" s="1217" customFormat="1">
      <c r="A428" s="1265"/>
      <c r="B428" s="1271">
        <v>1</v>
      </c>
      <c r="C428" s="1266" t="s">
        <v>49</v>
      </c>
      <c r="D428" s="1265" t="s">
        <v>1604</v>
      </c>
      <c r="E428" s="1270">
        <f>Upah!$D$86</f>
        <v>100000</v>
      </c>
      <c r="F428" s="1268"/>
      <c r="G428" s="1269">
        <f>B428*E428</f>
        <v>100000</v>
      </c>
      <c r="H428" s="1269"/>
      <c r="I428" s="1268"/>
      <c r="J428" s="1260"/>
      <c r="K428" s="1260"/>
      <c r="L428" s="1260"/>
      <c r="M428" s="1260"/>
      <c r="N428" s="1260"/>
      <c r="O428" s="1260"/>
      <c r="P428" s="1260"/>
      <c r="Q428" s="1260"/>
      <c r="R428" s="1260"/>
      <c r="S428" s="1260"/>
      <c r="T428" s="1260"/>
      <c r="U428" s="1260"/>
      <c r="V428" s="1260"/>
      <c r="W428" s="1260"/>
      <c r="X428" s="1260"/>
      <c r="Y428" s="1260"/>
      <c r="Z428" s="1260"/>
      <c r="AA428" s="1260"/>
      <c r="AB428" s="1260"/>
      <c r="AC428" s="1260"/>
      <c r="AD428" s="1260"/>
      <c r="AE428" s="1260"/>
    </row>
    <row r="429" spans="1:31" s="1217" customFormat="1" ht="13.5" thickBot="1">
      <c r="A429" s="1265"/>
      <c r="B429" s="1271"/>
      <c r="C429" s="1266"/>
      <c r="D429" s="1265"/>
      <c r="E429" s="1270"/>
      <c r="F429" s="1268"/>
      <c r="G429" s="1269"/>
      <c r="H429" s="1269"/>
      <c r="I429" s="1268"/>
      <c r="J429" s="1260"/>
      <c r="K429" s="1260"/>
      <c r="L429" s="1260"/>
      <c r="M429" s="1260"/>
      <c r="N429" s="1260"/>
      <c r="O429" s="1260"/>
      <c r="P429" s="1260"/>
      <c r="Q429" s="1260"/>
      <c r="R429" s="1260"/>
      <c r="S429" s="1260"/>
      <c r="T429" s="1260"/>
      <c r="U429" s="1260"/>
      <c r="V429" s="1260"/>
      <c r="W429" s="1260"/>
      <c r="X429" s="1260"/>
      <c r="Y429" s="1260"/>
      <c r="Z429" s="1260"/>
      <c r="AA429" s="1260"/>
      <c r="AB429" s="1260"/>
      <c r="AC429" s="1260"/>
      <c r="AD429" s="1260"/>
      <c r="AE429" s="1260"/>
    </row>
    <row r="430" spans="1:31" s="1305" customFormat="1" ht="13.5" thickBot="1">
      <c r="A430" s="1311"/>
      <c r="B430" s="1313"/>
      <c r="C430" s="1312"/>
      <c r="D430" s="1311"/>
      <c r="E430" s="1264" t="s">
        <v>48</v>
      </c>
      <c r="F430" s="1263">
        <f>SUM(F423:F429)</f>
        <v>193877.28756</v>
      </c>
      <c r="G430" s="1262">
        <f>SUM(G423:G429)</f>
        <v>124000</v>
      </c>
      <c r="H430" s="1262"/>
      <c r="I430" s="1261">
        <f>SUM(F430:G430)</f>
        <v>317877.28755999997</v>
      </c>
      <c r="J430" s="1306"/>
      <c r="K430" s="1306"/>
      <c r="L430" s="1306"/>
      <c r="M430" s="1306"/>
      <c r="N430" s="1306"/>
      <c r="O430" s="1306"/>
      <c r="P430" s="1306"/>
      <c r="Q430" s="1306"/>
      <c r="R430" s="1306"/>
      <c r="S430" s="1306"/>
      <c r="T430" s="1306"/>
      <c r="U430" s="1306"/>
      <c r="V430" s="1306"/>
      <c r="W430" s="1306"/>
      <c r="X430" s="1306"/>
      <c r="Y430" s="1306"/>
      <c r="Z430" s="1306"/>
      <c r="AA430" s="1306"/>
      <c r="AB430" s="1306"/>
      <c r="AC430" s="1306"/>
      <c r="AD430" s="1306"/>
      <c r="AE430" s="1306"/>
    </row>
    <row r="431" spans="1:31" s="1217" customFormat="1">
      <c r="A431" s="1265"/>
      <c r="B431" s="1267"/>
      <c r="C431" s="1266"/>
      <c r="D431" s="1265"/>
      <c r="E431" s="1276"/>
      <c r="F431" s="1272"/>
      <c r="G431" s="1273"/>
      <c r="H431" s="1273"/>
      <c r="I431" s="1272"/>
      <c r="J431" s="1260"/>
      <c r="K431" s="1260"/>
      <c r="L431" s="1260"/>
      <c r="M431" s="1260"/>
      <c r="N431" s="1260"/>
      <c r="O431" s="1260"/>
      <c r="P431" s="1260"/>
      <c r="Q431" s="1260"/>
      <c r="R431" s="1260"/>
      <c r="S431" s="1260"/>
      <c r="T431" s="1260"/>
      <c r="U431" s="1260"/>
      <c r="V431" s="1260"/>
      <c r="W431" s="1260"/>
      <c r="X431" s="1260"/>
      <c r="Y431" s="1260"/>
      <c r="Z431" s="1260"/>
      <c r="AA431" s="1260"/>
      <c r="AB431" s="1260"/>
      <c r="AC431" s="1260"/>
      <c r="AD431" s="1260"/>
      <c r="AE431" s="1260"/>
    </row>
    <row r="432" spans="1:31" s="1217" customFormat="1">
      <c r="A432" s="1314"/>
      <c r="B432" s="1267" t="s">
        <v>1603</v>
      </c>
      <c r="C432" s="1266"/>
      <c r="D432" s="1265"/>
      <c r="E432" s="1274"/>
      <c r="F432" s="1272"/>
      <c r="G432" s="1273"/>
      <c r="H432" s="1273"/>
      <c r="I432" s="1272"/>
      <c r="J432" s="1260"/>
      <c r="K432" s="1260"/>
      <c r="L432" s="1260"/>
      <c r="M432" s="1260"/>
      <c r="N432" s="1260"/>
      <c r="O432" s="1260"/>
      <c r="P432" s="1260"/>
      <c r="Q432" s="1260"/>
      <c r="R432" s="1260"/>
      <c r="S432" s="1260"/>
      <c r="T432" s="1260"/>
      <c r="U432" s="1260"/>
      <c r="V432" s="1260"/>
      <c r="W432" s="1260"/>
      <c r="X432" s="1260"/>
      <c r="Y432" s="1260"/>
      <c r="Z432" s="1260"/>
      <c r="AA432" s="1260"/>
      <c r="AB432" s="1260"/>
      <c r="AC432" s="1260"/>
      <c r="AD432" s="1260"/>
      <c r="AE432" s="1260"/>
    </row>
    <row r="433" spans="1:31" s="1217" customFormat="1">
      <c r="A433" s="1265"/>
      <c r="B433" s="1271">
        <f>ROUND(144.34*1.1,0)</f>
        <v>159</v>
      </c>
      <c r="C433" s="1266" t="s">
        <v>330</v>
      </c>
      <c r="D433" s="1265" t="s">
        <v>1597</v>
      </c>
      <c r="E433" s="1270">
        <f>E415</f>
        <v>750</v>
      </c>
      <c r="F433" s="1268">
        <f>B433*E433</f>
        <v>119250</v>
      </c>
      <c r="G433" s="1269"/>
      <c r="H433" s="1269"/>
      <c r="I433" s="1268"/>
      <c r="J433" s="1260"/>
      <c r="K433" s="1260"/>
      <c r="L433" s="1260"/>
      <c r="M433" s="1260"/>
      <c r="N433" s="1260"/>
      <c r="O433" s="1260"/>
      <c r="P433" s="1260"/>
      <c r="Q433" s="1260"/>
      <c r="R433" s="1260"/>
      <c r="S433" s="1260"/>
      <c r="T433" s="1260"/>
      <c r="U433" s="1260"/>
      <c r="V433" s="1260"/>
      <c r="W433" s="1260"/>
      <c r="X433" s="1260"/>
      <c r="Y433" s="1260"/>
      <c r="Z433" s="1260"/>
      <c r="AA433" s="1260"/>
      <c r="AB433" s="1260"/>
      <c r="AC433" s="1260"/>
      <c r="AD433" s="1260"/>
      <c r="AE433" s="1260"/>
    </row>
    <row r="434" spans="1:31" s="1217" customFormat="1">
      <c r="A434" s="1265"/>
      <c r="B434" s="1271">
        <f>0.0648*8.977*1.2</f>
        <v>0.69805151999999993</v>
      </c>
      <c r="C434" s="1266" t="s">
        <v>1574</v>
      </c>
      <c r="D434" s="1265" t="s">
        <v>1596</v>
      </c>
      <c r="E434" s="1270">
        <f>E416</f>
        <v>65000</v>
      </c>
      <c r="F434" s="1268">
        <f>B434*E434</f>
        <v>45373.348799999992</v>
      </c>
      <c r="G434" s="1269"/>
      <c r="H434" s="1269"/>
      <c r="I434" s="1268"/>
      <c r="J434" s="1260"/>
      <c r="K434" s="1260"/>
      <c r="L434" s="1260"/>
      <c r="M434" s="1260"/>
      <c r="N434" s="1260"/>
      <c r="O434" s="1260"/>
      <c r="P434" s="1260"/>
      <c r="Q434" s="1260"/>
      <c r="R434" s="1260"/>
      <c r="S434" s="1260"/>
      <c r="T434" s="1260"/>
      <c r="U434" s="1260"/>
      <c r="V434" s="1260"/>
      <c r="W434" s="1260"/>
      <c r="X434" s="1260"/>
      <c r="Y434" s="1260"/>
      <c r="Z434" s="1260"/>
      <c r="AA434" s="1260"/>
      <c r="AB434" s="1260"/>
      <c r="AC434" s="1260"/>
      <c r="AD434" s="1260"/>
      <c r="AE434" s="1260"/>
    </row>
    <row r="435" spans="1:31" s="1217" customFormat="1">
      <c r="A435" s="1265"/>
      <c r="B435" s="1271">
        <f>0.0648*1.077*1.2</f>
        <v>8.3747519999999992E-2</v>
      </c>
      <c r="C435" s="1266" t="s">
        <v>51</v>
      </c>
      <c r="D435" s="1265" t="s">
        <v>1580</v>
      </c>
      <c r="E435" s="1270">
        <f>E417</f>
        <v>350000</v>
      </c>
      <c r="F435" s="1268">
        <f>B435*E435</f>
        <v>29311.631999999998</v>
      </c>
      <c r="G435" s="1269"/>
      <c r="H435" s="1269"/>
      <c r="I435" s="1268"/>
      <c r="J435" s="1260"/>
      <c r="K435" s="1260"/>
      <c r="L435" s="1260"/>
      <c r="M435" s="1260"/>
      <c r="N435" s="1260"/>
      <c r="O435" s="1260"/>
      <c r="P435" s="1260"/>
      <c r="Q435" s="1260"/>
      <c r="R435" s="1260"/>
      <c r="S435" s="1260"/>
      <c r="T435" s="1260"/>
      <c r="U435" s="1260"/>
      <c r="V435" s="1260"/>
      <c r="W435" s="1260"/>
      <c r="X435" s="1260"/>
      <c r="Y435" s="1260"/>
      <c r="Z435" s="1260"/>
      <c r="AA435" s="1260"/>
      <c r="AB435" s="1260"/>
      <c r="AC435" s="1260"/>
      <c r="AD435" s="1260"/>
      <c r="AE435" s="1260"/>
    </row>
    <row r="436" spans="1:31" s="1217" customFormat="1">
      <c r="A436" s="1265"/>
      <c r="B436" s="1271">
        <v>0.3</v>
      </c>
      <c r="C436" s="1266" t="s">
        <v>50</v>
      </c>
      <c r="D436" s="1265" t="s">
        <v>1595</v>
      </c>
      <c r="E436" s="1270">
        <f>$I$367</f>
        <v>139188.07160000002</v>
      </c>
      <c r="F436" s="1268">
        <f>B436*$F$367</f>
        <v>29756.421480000001</v>
      </c>
      <c r="G436" s="1269">
        <f>B436*$G$367</f>
        <v>12000</v>
      </c>
      <c r="H436" s="1269"/>
      <c r="I436" s="1268"/>
      <c r="J436" s="1260"/>
      <c r="K436" s="1260"/>
      <c r="L436" s="1260"/>
      <c r="M436" s="1260"/>
      <c r="N436" s="1260"/>
      <c r="O436" s="1260"/>
      <c r="P436" s="1260"/>
      <c r="Q436" s="1260"/>
      <c r="R436" s="1260"/>
      <c r="S436" s="1260"/>
      <c r="T436" s="1260"/>
      <c r="U436" s="1260"/>
      <c r="V436" s="1260"/>
      <c r="W436" s="1260"/>
      <c r="X436" s="1260"/>
      <c r="Y436" s="1260"/>
      <c r="Z436" s="1260"/>
      <c r="AA436" s="1260"/>
      <c r="AB436" s="1260"/>
      <c r="AC436" s="1260"/>
      <c r="AD436" s="1260"/>
      <c r="AE436" s="1260"/>
    </row>
    <row r="437" spans="1:31" s="1217" customFormat="1">
      <c r="A437" s="1265"/>
      <c r="B437" s="1271">
        <v>1</v>
      </c>
      <c r="C437" s="1266" t="s">
        <v>49</v>
      </c>
      <c r="D437" s="1265" t="s">
        <v>1602</v>
      </c>
      <c r="E437" s="1270">
        <f>Upah!$D$87</f>
        <v>150000</v>
      </c>
      <c r="F437" s="1268"/>
      <c r="G437" s="1269">
        <f>B437*E437</f>
        <v>150000</v>
      </c>
      <c r="H437" s="1269"/>
      <c r="I437" s="1268"/>
      <c r="J437" s="1260"/>
      <c r="K437" s="1260"/>
      <c r="L437" s="1260"/>
      <c r="M437" s="1260"/>
      <c r="N437" s="1260"/>
      <c r="O437" s="1260"/>
      <c r="P437" s="1260"/>
      <c r="Q437" s="1260"/>
      <c r="R437" s="1260"/>
      <c r="S437" s="1260"/>
      <c r="T437" s="1260"/>
      <c r="U437" s="1260"/>
      <c r="V437" s="1260"/>
      <c r="W437" s="1260"/>
      <c r="X437" s="1260"/>
      <c r="Y437" s="1260"/>
      <c r="Z437" s="1260"/>
      <c r="AA437" s="1260"/>
      <c r="AB437" s="1260"/>
      <c r="AC437" s="1260"/>
      <c r="AD437" s="1260"/>
      <c r="AE437" s="1260"/>
    </row>
    <row r="438" spans="1:31" s="1217" customFormat="1" ht="13.5" thickBot="1">
      <c r="A438" s="1265"/>
      <c r="B438" s="1271"/>
      <c r="C438" s="1266"/>
      <c r="D438" s="1265"/>
      <c r="E438" s="1270"/>
      <c r="F438" s="1268"/>
      <c r="G438" s="1269"/>
      <c r="H438" s="1269"/>
      <c r="I438" s="1268"/>
      <c r="J438" s="1260"/>
      <c r="K438" s="1260"/>
      <c r="L438" s="1260"/>
      <c r="M438" s="1260"/>
      <c r="N438" s="1260"/>
      <c r="O438" s="1260"/>
      <c r="P438" s="1260"/>
      <c r="Q438" s="1260"/>
      <c r="R438" s="1260"/>
      <c r="S438" s="1260"/>
      <c r="T438" s="1260"/>
      <c r="U438" s="1260"/>
      <c r="V438" s="1260"/>
      <c r="W438" s="1260"/>
      <c r="X438" s="1260"/>
      <c r="Y438" s="1260"/>
      <c r="Z438" s="1260"/>
      <c r="AA438" s="1260"/>
      <c r="AB438" s="1260"/>
      <c r="AC438" s="1260"/>
      <c r="AD438" s="1260"/>
      <c r="AE438" s="1260"/>
    </row>
    <row r="439" spans="1:31" s="1305" customFormat="1" ht="13.5" thickBot="1">
      <c r="A439" s="1311"/>
      <c r="B439" s="1313"/>
      <c r="C439" s="1312"/>
      <c r="D439" s="1311"/>
      <c r="E439" s="1264" t="s">
        <v>48</v>
      </c>
      <c r="F439" s="1263">
        <f>SUM(F432:F438)</f>
        <v>223691.40227999995</v>
      </c>
      <c r="G439" s="1262">
        <f>SUM(G432:G438)</f>
        <v>162000</v>
      </c>
      <c r="H439" s="1262"/>
      <c r="I439" s="1261">
        <f>SUM(F439:G439)</f>
        <v>385691.40227999992</v>
      </c>
      <c r="J439" s="1306"/>
      <c r="K439" s="1306"/>
      <c r="L439" s="1306"/>
      <c r="M439" s="1306"/>
      <c r="N439" s="1306"/>
      <c r="O439" s="1306"/>
      <c r="P439" s="1306"/>
      <c r="Q439" s="1306"/>
      <c r="R439" s="1306"/>
      <c r="S439" s="1306"/>
      <c r="T439" s="1306"/>
      <c r="U439" s="1306"/>
      <c r="V439" s="1306"/>
      <c r="W439" s="1306"/>
      <c r="X439" s="1306"/>
      <c r="Y439" s="1306"/>
      <c r="Z439" s="1306"/>
      <c r="AA439" s="1306"/>
      <c r="AB439" s="1306"/>
      <c r="AC439" s="1306"/>
      <c r="AD439" s="1306"/>
      <c r="AE439" s="1306"/>
    </row>
    <row r="440" spans="1:31" s="1217" customFormat="1">
      <c r="A440" s="1265"/>
      <c r="B440" s="1267"/>
      <c r="C440" s="1266"/>
      <c r="D440" s="1265"/>
      <c r="E440" s="1276"/>
      <c r="F440" s="1272"/>
      <c r="G440" s="1273"/>
      <c r="H440" s="1273"/>
      <c r="I440" s="1272"/>
      <c r="J440" s="1260"/>
      <c r="K440" s="1260"/>
      <c r="L440" s="1260"/>
      <c r="M440" s="1260"/>
      <c r="N440" s="1260"/>
      <c r="O440" s="1260"/>
      <c r="P440" s="1260"/>
      <c r="Q440" s="1260"/>
      <c r="R440" s="1260"/>
      <c r="S440" s="1260"/>
      <c r="T440" s="1260"/>
      <c r="U440" s="1260"/>
      <c r="V440" s="1260"/>
      <c r="W440" s="1260"/>
      <c r="X440" s="1260"/>
      <c r="Y440" s="1260"/>
      <c r="Z440" s="1260"/>
      <c r="AA440" s="1260"/>
      <c r="AB440" s="1260"/>
      <c r="AC440" s="1260"/>
      <c r="AD440" s="1260"/>
      <c r="AE440" s="1260"/>
    </row>
    <row r="441" spans="1:31" s="1217" customFormat="1">
      <c r="A441" s="1314"/>
      <c r="B441" s="1267" t="s">
        <v>1601</v>
      </c>
      <c r="C441" s="1266"/>
      <c r="D441" s="1265"/>
      <c r="E441" s="1274"/>
      <c r="F441" s="1272"/>
      <c r="G441" s="1273"/>
      <c r="H441" s="1273"/>
      <c r="I441" s="1272"/>
      <c r="J441" s="1260"/>
      <c r="K441" s="1260"/>
      <c r="L441" s="1260"/>
      <c r="M441" s="1260"/>
      <c r="N441" s="1260"/>
      <c r="O441" s="1260"/>
      <c r="P441" s="1260"/>
      <c r="Q441" s="1260"/>
      <c r="R441" s="1260"/>
      <c r="S441" s="1260"/>
      <c r="T441" s="1260"/>
      <c r="U441" s="1260"/>
      <c r="V441" s="1260"/>
      <c r="W441" s="1260"/>
      <c r="X441" s="1260"/>
      <c r="Y441" s="1260"/>
      <c r="Z441" s="1260"/>
      <c r="AA441" s="1260"/>
      <c r="AB441" s="1260"/>
      <c r="AC441" s="1260"/>
      <c r="AD441" s="1260"/>
      <c r="AE441" s="1260"/>
    </row>
    <row r="442" spans="1:31" s="1217" customFormat="1">
      <c r="A442" s="1265"/>
      <c r="B442" s="1271">
        <v>158</v>
      </c>
      <c r="C442" s="1266" t="s">
        <v>330</v>
      </c>
      <c r="D442" s="1265" t="s">
        <v>1597</v>
      </c>
      <c r="E442" s="1270">
        <f>E433</f>
        <v>750</v>
      </c>
      <c r="F442" s="1268">
        <f>B442*E442</f>
        <v>118500</v>
      </c>
      <c r="G442" s="1269"/>
      <c r="H442" s="1269"/>
      <c r="I442" s="1268"/>
      <c r="J442" s="1260"/>
      <c r="K442" s="1260"/>
      <c r="L442" s="1260"/>
      <c r="M442" s="1260"/>
      <c r="N442" s="1260"/>
      <c r="O442" s="1260"/>
      <c r="P442" s="1260"/>
      <c r="Q442" s="1260"/>
      <c r="R442" s="1260"/>
      <c r="S442" s="1260"/>
      <c r="T442" s="1260"/>
      <c r="U442" s="1260"/>
      <c r="V442" s="1260"/>
      <c r="W442" s="1260"/>
      <c r="X442" s="1260"/>
      <c r="Y442" s="1260"/>
      <c r="Z442" s="1260"/>
      <c r="AA442" s="1260"/>
      <c r="AB442" s="1260"/>
      <c r="AC442" s="1260"/>
      <c r="AD442" s="1260"/>
      <c r="AE442" s="1260"/>
    </row>
    <row r="443" spans="1:31" s="1217" customFormat="1">
      <c r="A443" s="1265"/>
      <c r="B443" s="1271">
        <v>1.1892729599999998</v>
      </c>
      <c r="C443" s="1266" t="s">
        <v>1574</v>
      </c>
      <c r="D443" s="1265" t="s">
        <v>1596</v>
      </c>
      <c r="E443" s="1270">
        <f>E434</f>
        <v>65000</v>
      </c>
      <c r="F443" s="1268">
        <f>B443*E443</f>
        <v>77302.742399999988</v>
      </c>
      <c r="G443" s="1269"/>
      <c r="H443" s="1269"/>
      <c r="I443" s="1268"/>
      <c r="J443" s="1260"/>
      <c r="K443" s="1260"/>
      <c r="L443" s="1260"/>
      <c r="M443" s="1260"/>
      <c r="N443" s="1260"/>
      <c r="O443" s="1260"/>
      <c r="P443" s="1260"/>
      <c r="Q443" s="1260"/>
      <c r="R443" s="1260"/>
      <c r="S443" s="1260"/>
      <c r="T443" s="1260"/>
      <c r="U443" s="1260"/>
      <c r="V443" s="1260"/>
      <c r="W443" s="1260"/>
      <c r="X443" s="1260"/>
      <c r="Y443" s="1260"/>
      <c r="Z443" s="1260"/>
      <c r="AA443" s="1260"/>
      <c r="AB443" s="1260"/>
      <c r="AC443" s="1260"/>
      <c r="AD443" s="1260"/>
      <c r="AE443" s="1260"/>
    </row>
    <row r="444" spans="1:31" s="1217" customFormat="1">
      <c r="A444" s="1265"/>
      <c r="B444" s="1271">
        <v>0.14268095999999997</v>
      </c>
      <c r="C444" s="1266" t="s">
        <v>51</v>
      </c>
      <c r="D444" s="1265" t="s">
        <v>1580</v>
      </c>
      <c r="E444" s="1270">
        <f>E435</f>
        <v>350000</v>
      </c>
      <c r="F444" s="1268">
        <f>B444*E444</f>
        <v>49938.335999999988</v>
      </c>
      <c r="G444" s="1269"/>
      <c r="H444" s="1269"/>
      <c r="I444" s="1268"/>
      <c r="J444" s="1260"/>
      <c r="K444" s="1260"/>
      <c r="L444" s="1260"/>
      <c r="M444" s="1260"/>
      <c r="N444" s="1260"/>
      <c r="O444" s="1260"/>
      <c r="P444" s="1260"/>
      <c r="Q444" s="1260"/>
      <c r="R444" s="1260"/>
      <c r="S444" s="1260"/>
      <c r="T444" s="1260"/>
      <c r="U444" s="1260"/>
      <c r="V444" s="1260"/>
      <c r="W444" s="1260"/>
      <c r="X444" s="1260"/>
      <c r="Y444" s="1260"/>
      <c r="Z444" s="1260"/>
      <c r="AA444" s="1260"/>
      <c r="AB444" s="1260"/>
      <c r="AC444" s="1260"/>
      <c r="AD444" s="1260"/>
      <c r="AE444" s="1260"/>
    </row>
    <row r="445" spans="1:31" s="1217" customFormat="1">
      <c r="A445" s="1265"/>
      <c r="B445" s="1271">
        <v>0.3</v>
      </c>
      <c r="C445" s="1266" t="s">
        <v>50</v>
      </c>
      <c r="D445" s="1265" t="s">
        <v>1595</v>
      </c>
      <c r="E445" s="1270">
        <f>$I$376</f>
        <v>181821.99174999999</v>
      </c>
      <c r="F445" s="1268">
        <f>B445*$F$376</f>
        <v>42546.597524999997</v>
      </c>
      <c r="G445" s="1269">
        <f>B445*$G$376</f>
        <v>12000</v>
      </c>
      <c r="H445" s="1269"/>
      <c r="I445" s="1268"/>
      <c r="J445" s="1260"/>
      <c r="K445" s="1260"/>
      <c r="L445" s="1260"/>
      <c r="M445" s="1260"/>
      <c r="N445" s="1260"/>
      <c r="O445" s="1260"/>
      <c r="P445" s="1260"/>
      <c r="Q445" s="1260"/>
      <c r="R445" s="1260"/>
      <c r="S445" s="1260"/>
      <c r="T445" s="1260"/>
      <c r="U445" s="1260"/>
      <c r="V445" s="1260"/>
      <c r="W445" s="1260"/>
      <c r="X445" s="1260"/>
      <c r="Y445" s="1260"/>
      <c r="Z445" s="1260"/>
      <c r="AA445" s="1260"/>
      <c r="AB445" s="1260"/>
      <c r="AC445" s="1260"/>
      <c r="AD445" s="1260"/>
      <c r="AE445" s="1260"/>
    </row>
    <row r="446" spans="1:31" s="1217" customFormat="1">
      <c r="A446" s="1265"/>
      <c r="B446" s="1271">
        <v>1</v>
      </c>
      <c r="C446" s="1266" t="s">
        <v>49</v>
      </c>
      <c r="D446" s="1265" t="s">
        <v>1594</v>
      </c>
      <c r="E446" s="1270">
        <f>Upah!$D$88</f>
        <v>175000</v>
      </c>
      <c r="F446" s="1268"/>
      <c r="G446" s="1269">
        <f>B446*E446</f>
        <v>175000</v>
      </c>
      <c r="H446" s="1269"/>
      <c r="I446" s="1268"/>
      <c r="J446" s="1260"/>
      <c r="K446" s="1260"/>
      <c r="L446" s="1260"/>
      <c r="M446" s="1260"/>
      <c r="N446" s="1260"/>
      <c r="O446" s="1260"/>
      <c r="P446" s="1260"/>
      <c r="Q446" s="1260"/>
      <c r="R446" s="1260"/>
      <c r="S446" s="1260"/>
      <c r="T446" s="1260"/>
      <c r="U446" s="1260"/>
      <c r="V446" s="1260"/>
      <c r="W446" s="1260"/>
      <c r="X446" s="1260"/>
      <c r="Y446" s="1260"/>
      <c r="Z446" s="1260"/>
      <c r="AA446" s="1260"/>
      <c r="AB446" s="1260"/>
      <c r="AC446" s="1260"/>
      <c r="AD446" s="1260"/>
      <c r="AE446" s="1260"/>
    </row>
    <row r="447" spans="1:31" s="1217" customFormat="1" ht="13.5" thickBot="1">
      <c r="A447" s="1265"/>
      <c r="B447" s="1271"/>
      <c r="C447" s="1266"/>
      <c r="D447" s="1265"/>
      <c r="E447" s="1270"/>
      <c r="F447" s="1268"/>
      <c r="G447" s="1269"/>
      <c r="H447" s="1269"/>
      <c r="I447" s="1268"/>
      <c r="J447" s="1260"/>
      <c r="K447" s="1260"/>
      <c r="L447" s="1260"/>
      <c r="M447" s="1260"/>
      <c r="N447" s="1260"/>
      <c r="O447" s="1260"/>
      <c r="P447" s="1260"/>
      <c r="Q447" s="1260"/>
      <c r="R447" s="1260"/>
      <c r="S447" s="1260"/>
      <c r="T447" s="1260"/>
      <c r="U447" s="1260"/>
      <c r="V447" s="1260"/>
      <c r="W447" s="1260"/>
      <c r="X447" s="1260"/>
      <c r="Y447" s="1260"/>
      <c r="Z447" s="1260"/>
      <c r="AA447" s="1260"/>
      <c r="AB447" s="1260"/>
      <c r="AC447" s="1260"/>
      <c r="AD447" s="1260"/>
      <c r="AE447" s="1260"/>
    </row>
    <row r="448" spans="1:31" s="1305" customFormat="1" ht="13.5" thickBot="1">
      <c r="A448" s="1311"/>
      <c r="B448" s="1313"/>
      <c r="C448" s="1312"/>
      <c r="D448" s="1311"/>
      <c r="E448" s="1264" t="s">
        <v>48</v>
      </c>
      <c r="F448" s="1263">
        <f>SUM(F441:F447)</f>
        <v>288287.67592499999</v>
      </c>
      <c r="G448" s="1262">
        <f>SUM(G441:G447)</f>
        <v>187000</v>
      </c>
      <c r="H448" s="1262"/>
      <c r="I448" s="1261">
        <f>SUM(F448:G448)</f>
        <v>475287.67592499999</v>
      </c>
      <c r="J448" s="1306"/>
      <c r="K448" s="1306"/>
      <c r="L448" s="1306"/>
      <c r="M448" s="1306"/>
      <c r="N448" s="1306"/>
      <c r="O448" s="1306"/>
      <c r="P448" s="1306"/>
      <c r="Q448" s="1306"/>
      <c r="R448" s="1306"/>
      <c r="S448" s="1306"/>
      <c r="T448" s="1306"/>
      <c r="U448" s="1306"/>
      <c r="V448" s="1306"/>
      <c r="W448" s="1306"/>
      <c r="X448" s="1306"/>
      <c r="Y448" s="1306"/>
      <c r="Z448" s="1306"/>
      <c r="AA448" s="1306"/>
      <c r="AB448" s="1306"/>
      <c r="AC448" s="1306"/>
      <c r="AD448" s="1306"/>
      <c r="AE448" s="1306"/>
    </row>
    <row r="449" spans="1:31" s="1217" customFormat="1">
      <c r="A449" s="1265"/>
      <c r="B449" s="1267"/>
      <c r="C449" s="1266"/>
      <c r="D449" s="1265"/>
      <c r="E449" s="1276"/>
      <c r="F449" s="1272"/>
      <c r="G449" s="1273"/>
      <c r="H449" s="1273"/>
      <c r="I449" s="1272"/>
      <c r="J449" s="1260"/>
      <c r="K449" s="1260"/>
      <c r="L449" s="1260"/>
      <c r="M449" s="1260"/>
      <c r="N449" s="1260"/>
      <c r="O449" s="1260"/>
      <c r="P449" s="1260"/>
      <c r="Q449" s="1260"/>
      <c r="R449" s="1260"/>
      <c r="S449" s="1260"/>
      <c r="T449" s="1260"/>
      <c r="U449" s="1260"/>
      <c r="V449" s="1260"/>
      <c r="W449" s="1260"/>
      <c r="X449" s="1260"/>
      <c r="Y449" s="1260"/>
      <c r="Z449" s="1260"/>
      <c r="AA449" s="1260"/>
      <c r="AB449" s="1260"/>
      <c r="AC449" s="1260"/>
      <c r="AD449" s="1260"/>
      <c r="AE449" s="1260"/>
    </row>
    <row r="450" spans="1:31" s="1217" customFormat="1">
      <c r="A450" s="1314"/>
      <c r="B450" s="1267" t="s">
        <v>1600</v>
      </c>
      <c r="C450" s="1266"/>
      <c r="D450" s="1265"/>
      <c r="E450" s="1274"/>
      <c r="F450" s="1272"/>
      <c r="G450" s="1273"/>
      <c r="H450" s="1273"/>
      <c r="I450" s="1272"/>
      <c r="J450" s="1260"/>
      <c r="K450" s="1260"/>
      <c r="L450" s="1260"/>
      <c r="M450" s="1260"/>
      <c r="N450" s="1260"/>
      <c r="O450" s="1260"/>
      <c r="P450" s="1260"/>
      <c r="Q450" s="1260"/>
      <c r="R450" s="1260"/>
      <c r="S450" s="1260"/>
      <c r="T450" s="1260"/>
      <c r="U450" s="1260"/>
      <c r="V450" s="1260"/>
      <c r="W450" s="1260"/>
      <c r="X450" s="1260"/>
      <c r="Y450" s="1260"/>
      <c r="Z450" s="1260"/>
      <c r="AA450" s="1260"/>
      <c r="AB450" s="1260"/>
      <c r="AC450" s="1260"/>
      <c r="AD450" s="1260"/>
      <c r="AE450" s="1260"/>
    </row>
    <row r="451" spans="1:31" s="1217" customFormat="1">
      <c r="A451" s="1265"/>
      <c r="B451" s="1271">
        <f>B415+B424</f>
        <v>196</v>
      </c>
      <c r="C451" s="1266" t="s">
        <v>330</v>
      </c>
      <c r="D451" s="1265" t="s">
        <v>1597</v>
      </c>
      <c r="E451" s="1270">
        <f>E442</f>
        <v>750</v>
      </c>
      <c r="F451" s="1268">
        <f>B451*E451</f>
        <v>147000</v>
      </c>
      <c r="G451" s="1269"/>
      <c r="H451" s="1269"/>
      <c r="I451" s="1268"/>
      <c r="J451" s="1260"/>
      <c r="K451" s="1260"/>
      <c r="L451" s="1260"/>
      <c r="M451" s="1260"/>
      <c r="N451" s="1260"/>
      <c r="O451" s="1260"/>
      <c r="P451" s="1260"/>
      <c r="Q451" s="1260"/>
      <c r="R451" s="1260"/>
      <c r="S451" s="1260"/>
      <c r="T451" s="1260"/>
      <c r="U451" s="1260"/>
      <c r="V451" s="1260"/>
      <c r="W451" s="1260"/>
      <c r="X451" s="1260"/>
      <c r="Y451" s="1260"/>
      <c r="Z451" s="1260"/>
      <c r="AA451" s="1260"/>
      <c r="AB451" s="1260"/>
      <c r="AC451" s="1260"/>
      <c r="AD451" s="1260"/>
      <c r="AE451" s="1260"/>
    </row>
    <row r="452" spans="1:31" s="1217" customFormat="1">
      <c r="A452" s="1265"/>
      <c r="B452" s="1271">
        <f>0.11*8.977*1.2</f>
        <v>1.1849640000000001</v>
      </c>
      <c r="C452" s="1266" t="s">
        <v>1574</v>
      </c>
      <c r="D452" s="1265" t="s">
        <v>1596</v>
      </c>
      <c r="E452" s="1270">
        <f>E443</f>
        <v>65000</v>
      </c>
      <c r="F452" s="1268">
        <f>B452*E452</f>
        <v>77022.66</v>
      </c>
      <c r="G452" s="1269"/>
      <c r="H452" s="1269"/>
      <c r="I452" s="1268"/>
      <c r="J452" s="1260"/>
      <c r="K452" s="1260"/>
      <c r="L452" s="1260"/>
      <c r="M452" s="1260"/>
      <c r="N452" s="1260"/>
      <c r="O452" s="1260"/>
      <c r="P452" s="1260"/>
      <c r="Q452" s="1260"/>
      <c r="R452" s="1260"/>
      <c r="S452" s="1260"/>
      <c r="T452" s="1260"/>
      <c r="U452" s="1260"/>
      <c r="V452" s="1260"/>
      <c r="W452" s="1260"/>
      <c r="X452" s="1260"/>
      <c r="Y452" s="1260"/>
      <c r="Z452" s="1260"/>
      <c r="AA452" s="1260"/>
      <c r="AB452" s="1260"/>
      <c r="AC452" s="1260"/>
      <c r="AD452" s="1260"/>
      <c r="AE452" s="1260"/>
    </row>
    <row r="453" spans="1:31" s="1217" customFormat="1">
      <c r="A453" s="1265"/>
      <c r="B453" s="1271">
        <f>0.11*1.077*1.2</f>
        <v>0.14216399999999998</v>
      </c>
      <c r="C453" s="1266" t="s">
        <v>51</v>
      </c>
      <c r="D453" s="1265" t="s">
        <v>1580</v>
      </c>
      <c r="E453" s="1270">
        <f>E444</f>
        <v>350000</v>
      </c>
      <c r="F453" s="1268">
        <f>B453*E453</f>
        <v>49757.399999999994</v>
      </c>
      <c r="G453" s="1269"/>
      <c r="H453" s="1269"/>
      <c r="I453" s="1268"/>
      <c r="J453" s="1260"/>
      <c r="K453" s="1260"/>
      <c r="L453" s="1260"/>
      <c r="M453" s="1260"/>
      <c r="N453" s="1260"/>
      <c r="O453" s="1260"/>
      <c r="P453" s="1260"/>
      <c r="Q453" s="1260"/>
      <c r="R453" s="1260"/>
      <c r="S453" s="1260"/>
      <c r="T453" s="1260"/>
      <c r="U453" s="1260"/>
      <c r="V453" s="1260"/>
      <c r="W453" s="1260"/>
      <c r="X453" s="1260"/>
      <c r="Y453" s="1260"/>
      <c r="Z453" s="1260"/>
      <c r="AA453" s="1260"/>
      <c r="AB453" s="1260"/>
      <c r="AC453" s="1260"/>
      <c r="AD453" s="1260"/>
      <c r="AE453" s="1260"/>
    </row>
    <row r="454" spans="1:31" s="1217" customFormat="1">
      <c r="A454" s="1265"/>
      <c r="B454" s="1271">
        <v>0.3</v>
      </c>
      <c r="C454" s="1266" t="s">
        <v>50</v>
      </c>
      <c r="D454" s="1265" t="s">
        <v>1595</v>
      </c>
      <c r="E454" s="1270">
        <f>$I$385</f>
        <v>190677.57550000001</v>
      </c>
      <c r="F454" s="1268">
        <f>B454*$F$385</f>
        <v>45203.272649999999</v>
      </c>
      <c r="G454" s="1269">
        <f>B454*$G$385</f>
        <v>12000</v>
      </c>
      <c r="H454" s="1269"/>
      <c r="I454" s="1268"/>
      <c r="J454" s="1260"/>
      <c r="K454" s="1260"/>
      <c r="L454" s="1260"/>
      <c r="M454" s="1260"/>
      <c r="N454" s="1260"/>
      <c r="O454" s="1260"/>
      <c r="P454" s="1260"/>
      <c r="Q454" s="1260"/>
      <c r="R454" s="1260"/>
      <c r="S454" s="1260"/>
      <c r="T454" s="1260"/>
      <c r="U454" s="1260"/>
      <c r="V454" s="1260"/>
      <c r="W454" s="1260"/>
      <c r="X454" s="1260"/>
      <c r="Y454" s="1260"/>
      <c r="Z454" s="1260"/>
      <c r="AA454" s="1260"/>
      <c r="AB454" s="1260"/>
      <c r="AC454" s="1260"/>
      <c r="AD454" s="1260"/>
      <c r="AE454" s="1260"/>
    </row>
    <row r="455" spans="1:31" s="1217" customFormat="1">
      <c r="A455" s="1265"/>
      <c r="B455" s="1271">
        <v>1</v>
      </c>
      <c r="C455" s="1266" t="s">
        <v>49</v>
      </c>
      <c r="D455" s="1265" t="s">
        <v>1594</v>
      </c>
      <c r="E455" s="1270">
        <f>Upah!$D$88</f>
        <v>175000</v>
      </c>
      <c r="F455" s="1268"/>
      <c r="G455" s="1269">
        <f>B455*E455</f>
        <v>175000</v>
      </c>
      <c r="H455" s="1269"/>
      <c r="I455" s="1268"/>
      <c r="J455" s="1260"/>
      <c r="K455" s="1260"/>
      <c r="L455" s="1260"/>
      <c r="M455" s="1260"/>
      <c r="N455" s="1260"/>
      <c r="O455" s="1260"/>
      <c r="P455" s="1260"/>
      <c r="Q455" s="1260"/>
      <c r="R455" s="1260"/>
      <c r="S455" s="1260"/>
      <c r="T455" s="1260"/>
      <c r="U455" s="1260"/>
      <c r="V455" s="1260"/>
      <c r="W455" s="1260"/>
      <c r="X455" s="1260"/>
      <c r="Y455" s="1260"/>
      <c r="Z455" s="1260"/>
      <c r="AA455" s="1260"/>
      <c r="AB455" s="1260"/>
      <c r="AC455" s="1260"/>
      <c r="AD455" s="1260"/>
      <c r="AE455" s="1260"/>
    </row>
    <row r="456" spans="1:31" s="1217" customFormat="1" ht="13.5" thickBot="1">
      <c r="A456" s="1265"/>
      <c r="B456" s="1271"/>
      <c r="C456" s="1266"/>
      <c r="D456" s="1265"/>
      <c r="E456" s="1270"/>
      <c r="F456" s="1268"/>
      <c r="G456" s="1269"/>
      <c r="H456" s="1269"/>
      <c r="I456" s="1268"/>
      <c r="J456" s="1260"/>
      <c r="K456" s="1260"/>
      <c r="L456" s="1260"/>
      <c r="M456" s="1260"/>
      <c r="N456" s="1260"/>
      <c r="O456" s="1260"/>
      <c r="P456" s="1260"/>
      <c r="Q456" s="1260"/>
      <c r="R456" s="1260"/>
      <c r="S456" s="1260"/>
      <c r="T456" s="1260"/>
      <c r="U456" s="1260"/>
      <c r="V456" s="1260"/>
      <c r="W456" s="1260"/>
      <c r="X456" s="1260"/>
      <c r="Y456" s="1260"/>
      <c r="Z456" s="1260"/>
      <c r="AA456" s="1260"/>
      <c r="AB456" s="1260"/>
      <c r="AC456" s="1260"/>
      <c r="AD456" s="1260"/>
      <c r="AE456" s="1260"/>
    </row>
    <row r="457" spans="1:31" s="1305" customFormat="1" ht="13.5" thickBot="1">
      <c r="A457" s="1311"/>
      <c r="B457" s="1313"/>
      <c r="C457" s="1312"/>
      <c r="D457" s="1311"/>
      <c r="E457" s="1264" t="s">
        <v>48</v>
      </c>
      <c r="F457" s="1263">
        <f>SUM(F450:F456)</f>
        <v>318983.33265</v>
      </c>
      <c r="G457" s="1262">
        <f>SUM(G450:G456)</f>
        <v>187000</v>
      </c>
      <c r="H457" s="1262"/>
      <c r="I457" s="1261">
        <f>SUM(F457:G457)</f>
        <v>505983.33265</v>
      </c>
      <c r="J457" s="1306"/>
      <c r="K457" s="1306"/>
      <c r="L457" s="1306"/>
      <c r="M457" s="1306"/>
      <c r="N457" s="1306"/>
      <c r="O457" s="1306"/>
      <c r="P457" s="1306"/>
      <c r="Q457" s="1306"/>
      <c r="R457" s="1306"/>
      <c r="S457" s="1306"/>
      <c r="T457" s="1306"/>
      <c r="U457" s="1306"/>
      <c r="V457" s="1306"/>
      <c r="W457" s="1306"/>
      <c r="X457" s="1306"/>
      <c r="Y457" s="1306"/>
      <c r="Z457" s="1306"/>
      <c r="AA457" s="1306"/>
      <c r="AB457" s="1306"/>
      <c r="AC457" s="1306"/>
      <c r="AD457" s="1306"/>
      <c r="AE457" s="1306"/>
    </row>
    <row r="458" spans="1:31" s="1217" customFormat="1">
      <c r="A458" s="1265"/>
      <c r="B458" s="1267"/>
      <c r="C458" s="1266"/>
      <c r="D458" s="1265"/>
      <c r="E458" s="1276"/>
      <c r="F458" s="1272"/>
      <c r="G458" s="1273"/>
      <c r="H458" s="1273"/>
      <c r="I458" s="1272"/>
      <c r="J458" s="1260"/>
      <c r="K458" s="1260"/>
      <c r="L458" s="1260"/>
      <c r="M458" s="1260"/>
      <c r="N458" s="1260"/>
      <c r="O458" s="1260"/>
      <c r="P458" s="1260"/>
      <c r="Q458" s="1260"/>
      <c r="R458" s="1260"/>
      <c r="S458" s="1260"/>
      <c r="T458" s="1260"/>
      <c r="U458" s="1260"/>
      <c r="V458" s="1260"/>
      <c r="W458" s="1260"/>
      <c r="X458" s="1260"/>
      <c r="Y458" s="1260"/>
      <c r="Z458" s="1260"/>
      <c r="AA458" s="1260"/>
      <c r="AB458" s="1260"/>
      <c r="AC458" s="1260"/>
      <c r="AD458" s="1260"/>
      <c r="AE458" s="1260"/>
    </row>
    <row r="459" spans="1:31" s="1217" customFormat="1">
      <c r="A459" s="1314"/>
      <c r="B459" s="1267" t="s">
        <v>1599</v>
      </c>
      <c r="C459" s="1266"/>
      <c r="D459" s="1265"/>
      <c r="E459" s="1274"/>
      <c r="F459" s="1272"/>
      <c r="G459" s="1273"/>
      <c r="H459" s="1273"/>
      <c r="I459" s="1272"/>
      <c r="J459" s="1260"/>
      <c r="K459" s="1260"/>
      <c r="L459" s="1260"/>
      <c r="M459" s="1260"/>
      <c r="N459" s="1260"/>
      <c r="O459" s="1260"/>
      <c r="P459" s="1260"/>
      <c r="Q459" s="1260"/>
      <c r="R459" s="1260"/>
      <c r="S459" s="1260"/>
      <c r="T459" s="1260"/>
      <c r="U459" s="1260"/>
      <c r="V459" s="1260"/>
      <c r="W459" s="1260"/>
      <c r="X459" s="1260"/>
      <c r="Y459" s="1260"/>
      <c r="Z459" s="1260"/>
      <c r="AA459" s="1260"/>
      <c r="AB459" s="1260"/>
      <c r="AC459" s="1260"/>
      <c r="AD459" s="1260"/>
      <c r="AE459" s="1260"/>
    </row>
    <row r="460" spans="1:31" s="1217" customFormat="1">
      <c r="A460" s="1265"/>
      <c r="B460" s="1271">
        <v>234</v>
      </c>
      <c r="C460" s="1266" t="s">
        <v>330</v>
      </c>
      <c r="D460" s="1265" t="s">
        <v>1597</v>
      </c>
      <c r="E460" s="1270">
        <f>E433</f>
        <v>750</v>
      </c>
      <c r="F460" s="1268">
        <f>B460*E460</f>
        <v>175500</v>
      </c>
      <c r="G460" s="1269"/>
      <c r="H460" s="1269"/>
      <c r="I460" s="1268"/>
      <c r="J460" s="1260"/>
      <c r="K460" s="1260"/>
      <c r="L460" s="1260"/>
      <c r="M460" s="1260"/>
      <c r="N460" s="1260"/>
      <c r="O460" s="1260"/>
      <c r="P460" s="1260"/>
      <c r="Q460" s="1260"/>
      <c r="R460" s="1260"/>
      <c r="S460" s="1260"/>
      <c r="T460" s="1260"/>
      <c r="U460" s="1260"/>
      <c r="V460" s="1260"/>
      <c r="W460" s="1260"/>
      <c r="X460" s="1260"/>
      <c r="Y460" s="1260"/>
      <c r="Z460" s="1260"/>
      <c r="AA460" s="1260"/>
      <c r="AB460" s="1260"/>
      <c r="AC460" s="1260"/>
      <c r="AD460" s="1260"/>
      <c r="AE460" s="1260"/>
    </row>
    <row r="461" spans="1:31" s="1217" customFormat="1">
      <c r="A461" s="1265"/>
      <c r="B461" s="1271">
        <v>1.2172811999999997</v>
      </c>
      <c r="C461" s="1266" t="s">
        <v>1574</v>
      </c>
      <c r="D461" s="1265" t="s">
        <v>1596</v>
      </c>
      <c r="E461" s="1270">
        <f>E434</f>
        <v>65000</v>
      </c>
      <c r="F461" s="1268">
        <f>B461*E461</f>
        <v>79123.277999999977</v>
      </c>
      <c r="G461" s="1269"/>
      <c r="H461" s="1269"/>
      <c r="I461" s="1268"/>
      <c r="J461" s="1260"/>
      <c r="K461" s="1260"/>
      <c r="L461" s="1260"/>
      <c r="M461" s="1260"/>
      <c r="N461" s="1260"/>
      <c r="O461" s="1260"/>
      <c r="P461" s="1260"/>
      <c r="Q461" s="1260"/>
      <c r="R461" s="1260"/>
      <c r="S461" s="1260"/>
      <c r="T461" s="1260"/>
      <c r="U461" s="1260"/>
      <c r="V461" s="1260"/>
      <c r="W461" s="1260"/>
      <c r="X461" s="1260"/>
      <c r="Y461" s="1260"/>
      <c r="Z461" s="1260"/>
      <c r="AA461" s="1260"/>
      <c r="AB461" s="1260"/>
      <c r="AC461" s="1260"/>
      <c r="AD461" s="1260"/>
      <c r="AE461" s="1260"/>
    </row>
    <row r="462" spans="1:31" s="1217" customFormat="1">
      <c r="A462" s="1265"/>
      <c r="B462" s="1271">
        <v>0.14604119999999998</v>
      </c>
      <c r="C462" s="1266" t="s">
        <v>51</v>
      </c>
      <c r="D462" s="1265" t="s">
        <v>1580</v>
      </c>
      <c r="E462" s="1270">
        <f>E435</f>
        <v>350000</v>
      </c>
      <c r="F462" s="1268">
        <f>B462*E462</f>
        <v>51114.419999999991</v>
      </c>
      <c r="G462" s="1269"/>
      <c r="H462" s="1269"/>
      <c r="I462" s="1268"/>
      <c r="J462" s="1260"/>
      <c r="K462" s="1260"/>
      <c r="L462" s="1260"/>
      <c r="M462" s="1260"/>
      <c r="N462" s="1260"/>
      <c r="O462" s="1260"/>
      <c r="P462" s="1260"/>
      <c r="Q462" s="1260"/>
      <c r="R462" s="1260"/>
      <c r="S462" s="1260"/>
      <c r="T462" s="1260"/>
      <c r="U462" s="1260"/>
      <c r="V462" s="1260"/>
      <c r="W462" s="1260"/>
      <c r="X462" s="1260"/>
      <c r="Y462" s="1260"/>
      <c r="Z462" s="1260"/>
      <c r="AA462" s="1260"/>
      <c r="AB462" s="1260"/>
      <c r="AC462" s="1260"/>
      <c r="AD462" s="1260"/>
      <c r="AE462" s="1260"/>
    </row>
    <row r="463" spans="1:31" s="1217" customFormat="1">
      <c r="A463" s="1265"/>
      <c r="B463" s="1271">
        <v>0.3</v>
      </c>
      <c r="C463" s="1266" t="s">
        <v>50</v>
      </c>
      <c r="D463" s="1265" t="s">
        <v>1595</v>
      </c>
      <c r="E463" s="1270">
        <f>$I$394</f>
        <v>199533.15925</v>
      </c>
      <c r="F463" s="1268">
        <f>B463*$F$394</f>
        <v>47859.947775000001</v>
      </c>
      <c r="G463" s="1269">
        <f>B463*$G$394</f>
        <v>12000</v>
      </c>
      <c r="H463" s="1269"/>
      <c r="I463" s="1268"/>
      <c r="J463" s="1260"/>
      <c r="K463" s="1260"/>
      <c r="L463" s="1260"/>
      <c r="M463" s="1260"/>
      <c r="N463" s="1260"/>
      <c r="O463" s="1260"/>
      <c r="P463" s="1260"/>
      <c r="Q463" s="1260"/>
      <c r="R463" s="1260"/>
      <c r="S463" s="1260"/>
      <c r="T463" s="1260"/>
      <c r="U463" s="1260"/>
      <c r="V463" s="1260"/>
      <c r="W463" s="1260"/>
      <c r="X463" s="1260"/>
      <c r="Y463" s="1260"/>
      <c r="Z463" s="1260"/>
      <c r="AA463" s="1260"/>
      <c r="AB463" s="1260"/>
      <c r="AC463" s="1260"/>
      <c r="AD463" s="1260"/>
      <c r="AE463" s="1260"/>
    </row>
    <row r="464" spans="1:31" s="1217" customFormat="1">
      <c r="A464" s="1265"/>
      <c r="B464" s="1271">
        <v>1</v>
      </c>
      <c r="C464" s="1266" t="s">
        <v>49</v>
      </c>
      <c r="D464" s="1265" t="s">
        <v>1594</v>
      </c>
      <c r="E464" s="1270">
        <f>Upah!$D$89</f>
        <v>175000</v>
      </c>
      <c r="F464" s="1268"/>
      <c r="G464" s="1269">
        <f>B464*E464</f>
        <v>175000</v>
      </c>
      <c r="H464" s="1269"/>
      <c r="I464" s="1268"/>
      <c r="J464" s="1260"/>
      <c r="K464" s="1260"/>
      <c r="L464" s="1260"/>
      <c r="M464" s="1260"/>
      <c r="N464" s="1260"/>
      <c r="O464" s="1260"/>
      <c r="P464" s="1260"/>
      <c r="Q464" s="1260"/>
      <c r="R464" s="1260"/>
      <c r="S464" s="1260"/>
      <c r="T464" s="1260"/>
      <c r="U464" s="1260"/>
      <c r="V464" s="1260"/>
      <c r="W464" s="1260"/>
      <c r="X464" s="1260"/>
      <c r="Y464" s="1260"/>
      <c r="Z464" s="1260"/>
      <c r="AA464" s="1260"/>
      <c r="AB464" s="1260"/>
      <c r="AC464" s="1260"/>
      <c r="AD464" s="1260"/>
      <c r="AE464" s="1260"/>
    </row>
    <row r="465" spans="1:31" s="1217" customFormat="1" ht="13.5" thickBot="1">
      <c r="A465" s="1265"/>
      <c r="B465" s="1271"/>
      <c r="C465" s="1266"/>
      <c r="D465" s="1265"/>
      <c r="E465" s="1270"/>
      <c r="F465" s="1268"/>
      <c r="G465" s="1269"/>
      <c r="H465" s="1269"/>
      <c r="I465" s="1268"/>
      <c r="J465" s="1260"/>
      <c r="K465" s="1260"/>
      <c r="L465" s="1260"/>
      <c r="M465" s="1260"/>
      <c r="N465" s="1260"/>
      <c r="O465" s="1260"/>
      <c r="P465" s="1260"/>
      <c r="Q465" s="1260"/>
      <c r="R465" s="1260"/>
      <c r="S465" s="1260"/>
      <c r="T465" s="1260"/>
      <c r="U465" s="1260"/>
      <c r="V465" s="1260"/>
      <c r="W465" s="1260"/>
      <c r="X465" s="1260"/>
      <c r="Y465" s="1260"/>
      <c r="Z465" s="1260"/>
      <c r="AA465" s="1260"/>
      <c r="AB465" s="1260"/>
      <c r="AC465" s="1260"/>
      <c r="AD465" s="1260"/>
      <c r="AE465" s="1260"/>
    </row>
    <row r="466" spans="1:31" s="1305" customFormat="1" ht="13.5" thickBot="1">
      <c r="A466" s="1311"/>
      <c r="B466" s="1313"/>
      <c r="C466" s="1312"/>
      <c r="D466" s="1311"/>
      <c r="E466" s="1264" t="s">
        <v>48</v>
      </c>
      <c r="F466" s="1263">
        <f>SUM(F459:F465)</f>
        <v>353597.64577499998</v>
      </c>
      <c r="G466" s="1262">
        <f>SUM(G459:G465)</f>
        <v>187000</v>
      </c>
      <c r="H466" s="1262"/>
      <c r="I466" s="1261">
        <f>SUM(F466:G466)</f>
        <v>540597.64577499998</v>
      </c>
      <c r="J466" s="1306"/>
      <c r="K466" s="1306"/>
      <c r="L466" s="1306"/>
      <c r="M466" s="1306"/>
      <c r="N466" s="1306"/>
      <c r="O466" s="1306"/>
      <c r="P466" s="1306"/>
      <c r="Q466" s="1306"/>
      <c r="R466" s="1306"/>
      <c r="S466" s="1306"/>
      <c r="T466" s="1306"/>
      <c r="U466" s="1306"/>
      <c r="V466" s="1306"/>
      <c r="W466" s="1306"/>
      <c r="X466" s="1306"/>
      <c r="Y466" s="1306"/>
      <c r="Z466" s="1306"/>
      <c r="AA466" s="1306"/>
      <c r="AB466" s="1306"/>
      <c r="AC466" s="1306"/>
      <c r="AD466" s="1306"/>
      <c r="AE466" s="1306"/>
    </row>
    <row r="467" spans="1:31" s="1217" customFormat="1">
      <c r="A467" s="1265"/>
      <c r="B467" s="1267"/>
      <c r="C467" s="1266"/>
      <c r="D467" s="1265"/>
      <c r="E467" s="1276"/>
      <c r="F467" s="1272"/>
      <c r="G467" s="1273"/>
      <c r="H467" s="1273"/>
      <c r="I467" s="1272"/>
      <c r="J467" s="1260"/>
      <c r="K467" s="1260"/>
      <c r="L467" s="1260"/>
      <c r="M467" s="1260"/>
      <c r="N467" s="1260"/>
      <c r="O467" s="1260"/>
      <c r="P467" s="1260"/>
      <c r="Q467" s="1260"/>
      <c r="R467" s="1260"/>
      <c r="S467" s="1260"/>
      <c r="T467" s="1260"/>
      <c r="U467" s="1260"/>
      <c r="V467" s="1260"/>
      <c r="W467" s="1260"/>
      <c r="X467" s="1260"/>
      <c r="Y467" s="1260"/>
      <c r="Z467" s="1260"/>
      <c r="AA467" s="1260"/>
      <c r="AB467" s="1260"/>
      <c r="AC467" s="1260"/>
      <c r="AD467" s="1260"/>
      <c r="AE467" s="1260"/>
    </row>
    <row r="468" spans="1:31" s="1217" customFormat="1">
      <c r="A468" s="1314"/>
      <c r="B468" s="1267" t="s">
        <v>1598</v>
      </c>
      <c r="C468" s="1266"/>
      <c r="D468" s="1265"/>
      <c r="E468" s="1274"/>
      <c r="F468" s="1272"/>
      <c r="G468" s="1273"/>
      <c r="H468" s="1273"/>
      <c r="I468" s="1272"/>
      <c r="J468" s="1260"/>
      <c r="K468" s="1260"/>
      <c r="L468" s="1260"/>
      <c r="M468" s="1260"/>
      <c r="N468" s="1260"/>
      <c r="O468" s="1260"/>
      <c r="P468" s="1260"/>
      <c r="Q468" s="1260"/>
      <c r="R468" s="1260"/>
      <c r="S468" s="1260"/>
      <c r="T468" s="1260"/>
      <c r="U468" s="1260"/>
      <c r="V468" s="1260"/>
      <c r="W468" s="1260"/>
      <c r="X468" s="1260"/>
      <c r="Y468" s="1260"/>
      <c r="Z468" s="1260"/>
      <c r="AA468" s="1260"/>
      <c r="AB468" s="1260"/>
      <c r="AC468" s="1260"/>
      <c r="AD468" s="1260"/>
      <c r="AE468" s="1260"/>
    </row>
    <row r="469" spans="1:31" s="1217" customFormat="1">
      <c r="A469" s="1265"/>
      <c r="B469" s="1271">
        <f>2*B433</f>
        <v>318</v>
      </c>
      <c r="C469" s="1266" t="s">
        <v>330</v>
      </c>
      <c r="D469" s="1265" t="s">
        <v>1597</v>
      </c>
      <c r="E469" s="1270">
        <f>E442</f>
        <v>750</v>
      </c>
      <c r="F469" s="1268">
        <f>B469*E469</f>
        <v>238500</v>
      </c>
      <c r="G469" s="1269"/>
      <c r="H469" s="1269"/>
      <c r="I469" s="1268"/>
      <c r="J469" s="1260"/>
      <c r="K469" s="1260"/>
      <c r="L469" s="1260"/>
      <c r="M469" s="1260"/>
      <c r="N469" s="1260"/>
      <c r="O469" s="1260"/>
      <c r="P469" s="1260"/>
      <c r="Q469" s="1260"/>
      <c r="R469" s="1260"/>
      <c r="S469" s="1260"/>
      <c r="T469" s="1260"/>
      <c r="U469" s="1260"/>
      <c r="V469" s="1260"/>
      <c r="W469" s="1260"/>
      <c r="X469" s="1260"/>
      <c r="Y469" s="1260"/>
      <c r="Z469" s="1260"/>
      <c r="AA469" s="1260"/>
      <c r="AB469" s="1260"/>
      <c r="AC469" s="1260"/>
      <c r="AD469" s="1260"/>
      <c r="AE469" s="1260"/>
    </row>
    <row r="470" spans="1:31" s="1217" customFormat="1">
      <c r="A470" s="1265"/>
      <c r="B470" s="1271">
        <f>(0.0648*2+0.025)*8.977*1.2</f>
        <v>1.66541304</v>
      </c>
      <c r="C470" s="1266" t="s">
        <v>1574</v>
      </c>
      <c r="D470" s="1265" t="s">
        <v>1596</v>
      </c>
      <c r="E470" s="1270">
        <f>E443</f>
        <v>65000</v>
      </c>
      <c r="F470" s="1268">
        <f>B470*E470</f>
        <v>108251.84759999999</v>
      </c>
      <c r="G470" s="1269"/>
      <c r="H470" s="1269"/>
      <c r="I470" s="1268"/>
      <c r="J470" s="1260"/>
      <c r="K470" s="1260"/>
      <c r="L470" s="1260"/>
      <c r="M470" s="1260"/>
      <c r="N470" s="1260"/>
      <c r="O470" s="1260"/>
      <c r="P470" s="1260"/>
      <c r="Q470" s="1260"/>
      <c r="R470" s="1260"/>
      <c r="S470" s="1260"/>
      <c r="T470" s="1260"/>
      <c r="U470" s="1260"/>
      <c r="V470" s="1260"/>
      <c r="W470" s="1260"/>
      <c r="X470" s="1260"/>
      <c r="Y470" s="1260"/>
      <c r="Z470" s="1260"/>
      <c r="AA470" s="1260"/>
      <c r="AB470" s="1260"/>
      <c r="AC470" s="1260"/>
      <c r="AD470" s="1260"/>
      <c r="AE470" s="1260"/>
    </row>
    <row r="471" spans="1:31" s="1217" customFormat="1">
      <c r="A471" s="1265"/>
      <c r="B471" s="1271">
        <f>(0.0648*2+0.025)*1.077*1.2</f>
        <v>0.19980503999999999</v>
      </c>
      <c r="C471" s="1266" t="s">
        <v>51</v>
      </c>
      <c r="D471" s="1265" t="s">
        <v>1580</v>
      </c>
      <c r="E471" s="1270">
        <f>E444</f>
        <v>350000</v>
      </c>
      <c r="F471" s="1268">
        <f>B471*E471</f>
        <v>69931.763999999996</v>
      </c>
      <c r="G471" s="1269"/>
      <c r="H471" s="1269"/>
      <c r="I471" s="1268"/>
      <c r="J471" s="1260"/>
      <c r="K471" s="1260"/>
      <c r="L471" s="1260"/>
      <c r="M471" s="1260"/>
      <c r="N471" s="1260"/>
      <c r="O471" s="1260"/>
      <c r="P471" s="1260"/>
      <c r="Q471" s="1260"/>
      <c r="R471" s="1260"/>
      <c r="S471" s="1260"/>
      <c r="T471" s="1260"/>
      <c r="U471" s="1260"/>
      <c r="V471" s="1260"/>
      <c r="W471" s="1260"/>
      <c r="X471" s="1260"/>
      <c r="Y471" s="1260"/>
      <c r="Z471" s="1260"/>
      <c r="AA471" s="1260"/>
      <c r="AB471" s="1260"/>
      <c r="AC471" s="1260"/>
      <c r="AD471" s="1260"/>
      <c r="AE471" s="1260"/>
    </row>
    <row r="472" spans="1:31" s="1217" customFormat="1">
      <c r="A472" s="1265"/>
      <c r="B472" s="1271">
        <v>0.3</v>
      </c>
      <c r="C472" s="1266" t="s">
        <v>50</v>
      </c>
      <c r="D472" s="1265" t="s">
        <v>1595</v>
      </c>
      <c r="E472" s="1270">
        <f>$I$403</f>
        <v>217244.32675000001</v>
      </c>
      <c r="F472" s="1268">
        <f>B472*$F$403</f>
        <v>53173.298025000004</v>
      </c>
      <c r="G472" s="1269">
        <f>B472*$G$403</f>
        <v>12000</v>
      </c>
      <c r="H472" s="1269"/>
      <c r="I472" s="1268"/>
      <c r="J472" s="1260"/>
      <c r="K472" s="1260"/>
      <c r="L472" s="1260"/>
      <c r="M472" s="1260"/>
      <c r="N472" s="1260"/>
      <c r="O472" s="1260"/>
      <c r="P472" s="1260"/>
      <c r="Q472" s="1260"/>
      <c r="R472" s="1260"/>
      <c r="S472" s="1260"/>
      <c r="T472" s="1260"/>
      <c r="U472" s="1260"/>
      <c r="V472" s="1260"/>
      <c r="W472" s="1260"/>
      <c r="X472" s="1260"/>
      <c r="Y472" s="1260"/>
      <c r="Z472" s="1260"/>
      <c r="AA472" s="1260"/>
      <c r="AB472" s="1260"/>
      <c r="AC472" s="1260"/>
      <c r="AD472" s="1260"/>
      <c r="AE472" s="1260"/>
    </row>
    <row r="473" spans="1:31" s="1217" customFormat="1">
      <c r="A473" s="1265"/>
      <c r="B473" s="1271">
        <v>1</v>
      </c>
      <c r="C473" s="1266" t="s">
        <v>49</v>
      </c>
      <c r="D473" s="1265" t="s">
        <v>1594</v>
      </c>
      <c r="E473" s="1270">
        <f>Upah!$D$89</f>
        <v>175000</v>
      </c>
      <c r="F473" s="1268"/>
      <c r="G473" s="1269">
        <f>B473*E473</f>
        <v>175000</v>
      </c>
      <c r="H473" s="1269"/>
      <c r="I473" s="1268"/>
      <c r="J473" s="1260"/>
      <c r="K473" s="1260"/>
      <c r="L473" s="1260"/>
      <c r="M473" s="1260"/>
      <c r="N473" s="1260"/>
      <c r="O473" s="1260"/>
      <c r="P473" s="1260"/>
      <c r="Q473" s="1260"/>
      <c r="R473" s="1260"/>
      <c r="S473" s="1260"/>
      <c r="T473" s="1260"/>
      <c r="U473" s="1260"/>
      <c r="V473" s="1260"/>
      <c r="W473" s="1260"/>
      <c r="X473" s="1260"/>
      <c r="Y473" s="1260"/>
      <c r="Z473" s="1260"/>
      <c r="AA473" s="1260"/>
      <c r="AB473" s="1260"/>
      <c r="AC473" s="1260"/>
      <c r="AD473" s="1260"/>
      <c r="AE473" s="1260"/>
    </row>
    <row r="474" spans="1:31" s="1217" customFormat="1" ht="13.5" thickBot="1">
      <c r="A474" s="1265"/>
      <c r="B474" s="1271"/>
      <c r="C474" s="1266"/>
      <c r="D474" s="1265"/>
      <c r="E474" s="1270"/>
      <c r="F474" s="1268"/>
      <c r="G474" s="1269"/>
      <c r="H474" s="1269"/>
      <c r="I474" s="1268"/>
      <c r="J474" s="1260"/>
      <c r="K474" s="1260"/>
      <c r="L474" s="1260"/>
      <c r="M474" s="1260"/>
      <c r="N474" s="1260"/>
      <c r="O474" s="1260"/>
      <c r="P474" s="1260"/>
      <c r="Q474" s="1260"/>
      <c r="R474" s="1260"/>
      <c r="S474" s="1260"/>
      <c r="T474" s="1260"/>
      <c r="U474" s="1260"/>
      <c r="V474" s="1260"/>
      <c r="W474" s="1260"/>
      <c r="X474" s="1260"/>
      <c r="Y474" s="1260"/>
      <c r="Z474" s="1260"/>
      <c r="AA474" s="1260"/>
      <c r="AB474" s="1260"/>
      <c r="AC474" s="1260"/>
      <c r="AD474" s="1260"/>
      <c r="AE474" s="1260"/>
    </row>
    <row r="475" spans="1:31" s="1305" customFormat="1" ht="13.5" thickBot="1">
      <c r="A475" s="1311"/>
      <c r="B475" s="1313"/>
      <c r="C475" s="1312"/>
      <c r="D475" s="1311"/>
      <c r="E475" s="1264" t="s">
        <v>48</v>
      </c>
      <c r="F475" s="1263">
        <f>SUM(F468:F474)</f>
        <v>469856.90962499997</v>
      </c>
      <c r="G475" s="1262">
        <f>SUM(G468:G474)</f>
        <v>187000</v>
      </c>
      <c r="H475" s="1262"/>
      <c r="I475" s="1261">
        <f>SUM(F475:G475)</f>
        <v>656856.90962499997</v>
      </c>
      <c r="J475" s="1306"/>
      <c r="K475" s="1306"/>
      <c r="L475" s="1306"/>
      <c r="M475" s="1306"/>
      <c r="N475" s="1306"/>
      <c r="O475" s="1306"/>
      <c r="P475" s="1306"/>
      <c r="Q475" s="1306"/>
      <c r="R475" s="1306"/>
      <c r="S475" s="1306"/>
      <c r="T475" s="1306"/>
      <c r="U475" s="1306"/>
      <c r="V475" s="1306"/>
      <c r="W475" s="1306"/>
      <c r="X475" s="1306"/>
      <c r="Y475" s="1306"/>
      <c r="Z475" s="1306"/>
      <c r="AA475" s="1306"/>
      <c r="AB475" s="1306"/>
      <c r="AC475" s="1306"/>
      <c r="AD475" s="1306"/>
      <c r="AE475" s="1306"/>
    </row>
    <row r="476" spans="1:31" s="1305" customFormat="1">
      <c r="A476" s="1311"/>
      <c r="B476" s="1313"/>
      <c r="C476" s="1312"/>
      <c r="D476" s="1311"/>
      <c r="E476" s="1310"/>
      <c r="F476" s="1309"/>
      <c r="G476" s="1308"/>
      <c r="H476" s="1308"/>
      <c r="I476" s="1307"/>
      <c r="J476" s="1306"/>
      <c r="K476" s="1306"/>
      <c r="L476" s="1306"/>
      <c r="M476" s="1306"/>
      <c r="N476" s="1306"/>
      <c r="O476" s="1306"/>
      <c r="P476" s="1306"/>
      <c r="Q476" s="1306"/>
      <c r="R476" s="1306"/>
      <c r="S476" s="1306"/>
      <c r="T476" s="1306"/>
      <c r="U476" s="1306"/>
      <c r="V476" s="1306"/>
      <c r="W476" s="1306"/>
      <c r="X476" s="1306"/>
      <c r="Y476" s="1306"/>
      <c r="Z476" s="1306"/>
      <c r="AA476" s="1306"/>
      <c r="AB476" s="1306"/>
      <c r="AC476" s="1306"/>
      <c r="AD476" s="1306"/>
      <c r="AE476" s="1306"/>
    </row>
    <row r="477" spans="1:31" s="1217" customFormat="1">
      <c r="A477" s="1275"/>
      <c r="B477" s="1267" t="s">
        <v>1593</v>
      </c>
      <c r="C477" s="1266"/>
      <c r="D477" s="1265"/>
      <c r="E477" s="1274"/>
      <c r="F477" s="1272"/>
      <c r="G477" s="1273"/>
      <c r="H477" s="1273"/>
      <c r="I477" s="1272"/>
      <c r="J477" s="1260"/>
      <c r="K477" s="1260"/>
      <c r="L477" s="1260"/>
      <c r="M477" s="1260"/>
      <c r="N477" s="1260"/>
      <c r="O477" s="1260"/>
      <c r="P477" s="1260"/>
      <c r="Q477" s="1260"/>
      <c r="R477" s="1260"/>
      <c r="S477" s="1260"/>
      <c r="T477" s="1260"/>
      <c r="U477" s="1260"/>
      <c r="V477" s="1260"/>
      <c r="W477" s="1260"/>
      <c r="X477" s="1260"/>
      <c r="Y477" s="1260"/>
      <c r="Z477" s="1260"/>
      <c r="AA477" s="1260"/>
      <c r="AB477" s="1260"/>
      <c r="AC477" s="1260"/>
      <c r="AD477" s="1260"/>
      <c r="AE477" s="1260"/>
    </row>
    <row r="478" spans="1:31" s="1217" customFormat="1">
      <c r="A478" s="1265"/>
      <c r="B478" s="1271">
        <f>0.1*1.06</f>
        <v>0.10600000000000001</v>
      </c>
      <c r="C478" s="1266" t="s">
        <v>51</v>
      </c>
      <c r="D478" s="1265" t="s">
        <v>1590</v>
      </c>
      <c r="E478" s="1270">
        <f>Material!$G$78</f>
        <v>680000</v>
      </c>
      <c r="F478" s="1268">
        <f>B478*E478</f>
        <v>72080.000000000015</v>
      </c>
      <c r="G478" s="1269"/>
      <c r="H478" s="1269"/>
      <c r="I478" s="1268"/>
      <c r="J478" s="1260"/>
      <c r="K478" s="1260"/>
      <c r="L478" s="1260"/>
      <c r="M478" s="1260"/>
      <c r="N478" s="1260"/>
      <c r="O478" s="1260"/>
      <c r="P478" s="1260"/>
      <c r="Q478" s="1260"/>
      <c r="R478" s="1260"/>
      <c r="S478" s="1260"/>
      <c r="T478" s="1260"/>
      <c r="U478" s="1260"/>
      <c r="V478" s="1260"/>
      <c r="W478" s="1260"/>
      <c r="X478" s="1260"/>
      <c r="Y478" s="1260"/>
      <c r="Z478" s="1260"/>
      <c r="AA478" s="1260"/>
      <c r="AB478" s="1260"/>
      <c r="AC478" s="1260"/>
      <c r="AD478" s="1260"/>
      <c r="AE478" s="1260"/>
    </row>
    <row r="479" spans="1:31" s="1217" customFormat="1">
      <c r="A479" s="1265"/>
      <c r="B479" s="1271">
        <f>40/12*1.25</f>
        <v>4.166666666666667</v>
      </c>
      <c r="C479" s="1266" t="s">
        <v>53</v>
      </c>
      <c r="D479" s="1265" t="s">
        <v>1589</v>
      </c>
      <c r="E479" s="1270">
        <f>Material!$G$79</f>
        <v>1400</v>
      </c>
      <c r="F479" s="1268">
        <f>B479*E479</f>
        <v>5833.3333333333339</v>
      </c>
      <c r="G479" s="1269"/>
      <c r="H479" s="1269"/>
      <c r="I479" s="1268"/>
      <c r="J479" s="1260"/>
      <c r="K479" s="1260"/>
      <c r="L479" s="1260"/>
      <c r="M479" s="1260"/>
      <c r="N479" s="1260"/>
      <c r="O479" s="1260"/>
      <c r="P479" s="1260"/>
      <c r="Q479" s="1260"/>
      <c r="R479" s="1260"/>
      <c r="S479" s="1260"/>
      <c r="T479" s="1260"/>
      <c r="U479" s="1260"/>
      <c r="V479" s="1260"/>
      <c r="W479" s="1260"/>
      <c r="X479" s="1260"/>
      <c r="Y479" s="1260"/>
      <c r="Z479" s="1260"/>
      <c r="AA479" s="1260"/>
      <c r="AB479" s="1260"/>
      <c r="AC479" s="1260"/>
      <c r="AD479" s="1260"/>
      <c r="AE479" s="1260"/>
    </row>
    <row r="480" spans="1:31" s="1217" customFormat="1">
      <c r="A480" s="1265"/>
      <c r="B480" s="1271">
        <v>0.6</v>
      </c>
      <c r="C480" s="1266" t="s">
        <v>50</v>
      </c>
      <c r="D480" s="1265" t="s">
        <v>1588</v>
      </c>
      <c r="E480" s="1270">
        <f>$I$349</f>
        <v>121781.15359999999</v>
      </c>
      <c r="F480" s="1268">
        <f>B480*$F$349</f>
        <v>49068.692159999991</v>
      </c>
      <c r="G480" s="1269">
        <f>B480*$G$349</f>
        <v>24000</v>
      </c>
      <c r="H480" s="1269"/>
      <c r="I480" s="1268"/>
      <c r="J480" s="1260"/>
      <c r="K480" s="1260"/>
      <c r="L480" s="1260"/>
      <c r="M480" s="1260"/>
      <c r="N480" s="1260"/>
      <c r="O480" s="1260"/>
      <c r="P480" s="1260"/>
      <c r="Q480" s="1260"/>
      <c r="R480" s="1260"/>
      <c r="S480" s="1260"/>
      <c r="T480" s="1260"/>
      <c r="U480" s="1260"/>
      <c r="V480" s="1260"/>
      <c r="W480" s="1260"/>
      <c r="X480" s="1260"/>
      <c r="Y480" s="1260"/>
      <c r="Z480" s="1260"/>
      <c r="AA480" s="1260"/>
      <c r="AB480" s="1260"/>
      <c r="AC480" s="1260"/>
      <c r="AD480" s="1260"/>
      <c r="AE480" s="1260"/>
    </row>
    <row r="481" spans="1:31" s="1217" customFormat="1">
      <c r="A481" s="1265"/>
      <c r="B481" s="1271">
        <v>1</v>
      </c>
      <c r="C481" s="1266" t="s">
        <v>49</v>
      </c>
      <c r="D481" s="1265" t="s">
        <v>1587</v>
      </c>
      <c r="E481" s="1270">
        <f>Upah!$D$90</f>
        <v>30000</v>
      </c>
      <c r="F481" s="1268"/>
      <c r="G481" s="1269">
        <f>B481*E481</f>
        <v>30000</v>
      </c>
      <c r="H481" s="1269"/>
      <c r="I481" s="1268"/>
      <c r="J481" s="1260"/>
      <c r="K481" s="1260"/>
      <c r="L481" s="1260"/>
      <c r="M481" s="1260"/>
      <c r="N481" s="1260"/>
      <c r="O481" s="1260"/>
      <c r="P481" s="1260"/>
      <c r="Q481" s="1260"/>
      <c r="R481" s="1260"/>
      <c r="S481" s="1260"/>
      <c r="T481" s="1260"/>
      <c r="U481" s="1260"/>
      <c r="V481" s="1260"/>
      <c r="W481" s="1260"/>
      <c r="X481" s="1260"/>
      <c r="Y481" s="1260"/>
      <c r="Z481" s="1260"/>
      <c r="AA481" s="1260"/>
      <c r="AB481" s="1260"/>
      <c r="AC481" s="1260"/>
      <c r="AD481" s="1260"/>
      <c r="AE481" s="1260"/>
    </row>
    <row r="482" spans="1:31" s="1217" customFormat="1" ht="13.5" thickBot="1">
      <c r="A482" s="1265"/>
      <c r="B482" s="1271"/>
      <c r="C482" s="1266"/>
      <c r="D482" s="1265"/>
      <c r="E482" s="1270"/>
      <c r="F482" s="1268"/>
      <c r="G482" s="1269"/>
      <c r="H482" s="1269"/>
      <c r="I482" s="1268"/>
      <c r="J482" s="1260"/>
      <c r="K482" s="1260"/>
      <c r="L482" s="1260"/>
      <c r="M482" s="1260"/>
      <c r="N482" s="1260"/>
      <c r="O482" s="1260"/>
      <c r="P482" s="1260"/>
      <c r="Q482" s="1260"/>
      <c r="R482" s="1260"/>
      <c r="S482" s="1260"/>
      <c r="T482" s="1260"/>
      <c r="U482" s="1260"/>
      <c r="V482" s="1260"/>
      <c r="W482" s="1260"/>
      <c r="X482" s="1260"/>
      <c r="Y482" s="1260"/>
      <c r="Z482" s="1260"/>
      <c r="AA482" s="1260"/>
      <c r="AB482" s="1260"/>
      <c r="AC482" s="1260"/>
      <c r="AD482" s="1260"/>
      <c r="AE482" s="1260"/>
    </row>
    <row r="483" spans="1:31" s="1217" customFormat="1" ht="13.5" thickBot="1">
      <c r="A483" s="1265"/>
      <c r="B483" s="1267"/>
      <c r="C483" s="1266"/>
      <c r="D483" s="1265"/>
      <c r="E483" s="1264" t="s">
        <v>48</v>
      </c>
      <c r="F483" s="1263">
        <f>SUM(F477:F482)</f>
        <v>126982.02549333333</v>
      </c>
      <c r="G483" s="1262">
        <f>SUM(G477:G482)</f>
        <v>54000</v>
      </c>
      <c r="H483" s="1262"/>
      <c r="I483" s="1261">
        <f>SUM(F483:G483)</f>
        <v>180982.02549333335</v>
      </c>
      <c r="J483" s="1260"/>
      <c r="K483" s="1260"/>
      <c r="L483" s="1260"/>
      <c r="M483" s="1260"/>
      <c r="N483" s="1260"/>
      <c r="O483" s="1260"/>
      <c r="P483" s="1260"/>
      <c r="Q483" s="1260"/>
      <c r="R483" s="1260"/>
      <c r="S483" s="1260"/>
      <c r="T483" s="1260"/>
      <c r="U483" s="1260"/>
      <c r="V483" s="1260"/>
      <c r="W483" s="1260"/>
      <c r="X483" s="1260"/>
      <c r="Y483" s="1260"/>
      <c r="Z483" s="1260"/>
      <c r="AA483" s="1260"/>
      <c r="AB483" s="1260"/>
      <c r="AC483" s="1260"/>
      <c r="AD483" s="1260"/>
      <c r="AE483" s="1260"/>
    </row>
    <row r="484" spans="1:31" s="1217" customFormat="1">
      <c r="A484" s="1265"/>
      <c r="B484" s="1267"/>
      <c r="C484" s="1266"/>
      <c r="D484" s="1265"/>
      <c r="E484" s="1276"/>
      <c r="F484" s="1272"/>
      <c r="G484" s="1273"/>
      <c r="H484" s="1273"/>
      <c r="I484" s="1272"/>
      <c r="J484" s="1260"/>
      <c r="K484" s="1260"/>
      <c r="L484" s="1260"/>
      <c r="M484" s="1260"/>
      <c r="N484" s="1260"/>
      <c r="O484" s="1260"/>
      <c r="P484" s="1260"/>
      <c r="Q484" s="1260"/>
      <c r="R484" s="1260"/>
      <c r="S484" s="1260"/>
      <c r="T484" s="1260"/>
      <c r="U484" s="1260"/>
      <c r="V484" s="1260"/>
      <c r="W484" s="1260"/>
      <c r="X484" s="1260"/>
      <c r="Y484" s="1260"/>
      <c r="Z484" s="1260"/>
      <c r="AA484" s="1260"/>
      <c r="AB484" s="1260"/>
      <c r="AC484" s="1260"/>
      <c r="AD484" s="1260"/>
      <c r="AE484" s="1260"/>
    </row>
    <row r="485" spans="1:31" s="1217" customFormat="1">
      <c r="A485" s="1275"/>
      <c r="B485" s="1267" t="s">
        <v>1592</v>
      </c>
      <c r="C485" s="1266"/>
      <c r="D485" s="1265"/>
      <c r="E485" s="1274"/>
      <c r="F485" s="1272"/>
      <c r="G485" s="1273"/>
      <c r="H485" s="1273"/>
      <c r="I485" s="1272"/>
      <c r="J485" s="1260"/>
      <c r="K485" s="1260"/>
      <c r="L485" s="1260"/>
      <c r="M485" s="1260"/>
      <c r="N485" s="1260"/>
      <c r="O485" s="1260"/>
      <c r="P485" s="1260"/>
      <c r="Q485" s="1260"/>
      <c r="R485" s="1260"/>
      <c r="S485" s="1260"/>
      <c r="T485" s="1260"/>
      <c r="U485" s="1260"/>
      <c r="V485" s="1260"/>
      <c r="W485" s="1260"/>
      <c r="X485" s="1260"/>
      <c r="Y485" s="1260"/>
      <c r="Z485" s="1260"/>
      <c r="AA485" s="1260"/>
      <c r="AB485" s="1260"/>
      <c r="AC485" s="1260"/>
      <c r="AD485" s="1260"/>
      <c r="AE485" s="1260"/>
    </row>
    <row r="486" spans="1:31" s="1217" customFormat="1">
      <c r="A486" s="1265"/>
      <c r="B486" s="1271">
        <f>0.2*1.06</f>
        <v>0.21200000000000002</v>
      </c>
      <c r="C486" s="1266" t="s">
        <v>51</v>
      </c>
      <c r="D486" s="1265" t="s">
        <v>1590</v>
      </c>
      <c r="E486" s="1270">
        <f>Material!$G$78</f>
        <v>680000</v>
      </c>
      <c r="F486" s="1268">
        <f>B486*E486</f>
        <v>144160.00000000003</v>
      </c>
      <c r="G486" s="1269"/>
      <c r="H486" s="1269"/>
      <c r="I486" s="1268"/>
      <c r="J486" s="1260"/>
      <c r="K486" s="1260"/>
      <c r="L486" s="1260"/>
      <c r="M486" s="1260"/>
      <c r="N486" s="1260"/>
      <c r="O486" s="1260"/>
      <c r="P486" s="1260"/>
      <c r="Q486" s="1260"/>
      <c r="R486" s="1260"/>
      <c r="S486" s="1260"/>
      <c r="T486" s="1260"/>
      <c r="U486" s="1260"/>
      <c r="V486" s="1260"/>
      <c r="W486" s="1260"/>
      <c r="X486" s="1260"/>
      <c r="Y486" s="1260"/>
      <c r="Z486" s="1260"/>
      <c r="AA486" s="1260"/>
      <c r="AB486" s="1260"/>
      <c r="AC486" s="1260"/>
      <c r="AD486" s="1260"/>
      <c r="AE486" s="1260"/>
    </row>
    <row r="487" spans="1:31" s="1217" customFormat="1">
      <c r="A487" s="1265"/>
      <c r="B487" s="1271">
        <f>2.33/0.67*B479</f>
        <v>14.490049751243783</v>
      </c>
      <c r="C487" s="1266" t="s">
        <v>53</v>
      </c>
      <c r="D487" s="1265" t="s">
        <v>1589</v>
      </c>
      <c r="E487" s="1270">
        <f>Material!$G$79</f>
        <v>1400</v>
      </c>
      <c r="F487" s="1268">
        <f>B487*E487</f>
        <v>20286.069651741294</v>
      </c>
      <c r="G487" s="1269"/>
      <c r="H487" s="1269"/>
      <c r="I487" s="1268"/>
      <c r="J487" s="1260"/>
      <c r="K487" s="1260"/>
      <c r="L487" s="1260"/>
      <c r="M487" s="1260"/>
      <c r="N487" s="1260"/>
      <c r="O487" s="1260"/>
      <c r="P487" s="1260"/>
      <c r="Q487" s="1260"/>
      <c r="R487" s="1260"/>
      <c r="S487" s="1260"/>
      <c r="T487" s="1260"/>
      <c r="U487" s="1260"/>
      <c r="V487" s="1260"/>
      <c r="W487" s="1260"/>
      <c r="X487" s="1260"/>
      <c r="Y487" s="1260"/>
      <c r="Z487" s="1260"/>
      <c r="AA487" s="1260"/>
      <c r="AB487" s="1260"/>
      <c r="AC487" s="1260"/>
      <c r="AD487" s="1260"/>
      <c r="AE487" s="1260"/>
    </row>
    <row r="488" spans="1:31" s="1217" customFormat="1">
      <c r="A488" s="1265"/>
      <c r="B488" s="1271">
        <v>0.5</v>
      </c>
      <c r="C488" s="1266" t="s">
        <v>50</v>
      </c>
      <c r="D488" s="1265" t="s">
        <v>1588</v>
      </c>
      <c r="E488" s="1270">
        <f>$I$367</f>
        <v>139188.07160000002</v>
      </c>
      <c r="F488" s="1268">
        <f>B488*$F$367</f>
        <v>49594.035800000005</v>
      </c>
      <c r="G488" s="1269">
        <f>B488*$G$367</f>
        <v>20000</v>
      </c>
      <c r="H488" s="1269"/>
      <c r="I488" s="1268"/>
      <c r="J488" s="1260"/>
      <c r="K488" s="1260"/>
      <c r="L488" s="1260"/>
      <c r="M488" s="1260"/>
      <c r="N488" s="1260"/>
      <c r="O488" s="1260"/>
      <c r="P488" s="1260"/>
      <c r="Q488" s="1260"/>
      <c r="R488" s="1260"/>
      <c r="S488" s="1260"/>
      <c r="T488" s="1260"/>
      <c r="U488" s="1260"/>
      <c r="V488" s="1260"/>
      <c r="W488" s="1260"/>
      <c r="X488" s="1260"/>
      <c r="Y488" s="1260"/>
      <c r="Z488" s="1260"/>
      <c r="AA488" s="1260"/>
      <c r="AB488" s="1260"/>
      <c r="AC488" s="1260"/>
      <c r="AD488" s="1260"/>
      <c r="AE488" s="1260"/>
    </row>
    <row r="489" spans="1:31" s="1217" customFormat="1">
      <c r="A489" s="1265"/>
      <c r="B489" s="1271">
        <v>1</v>
      </c>
      <c r="C489" s="1266" t="s">
        <v>49</v>
      </c>
      <c r="D489" s="1265" t="s">
        <v>1587</v>
      </c>
      <c r="E489" s="1270">
        <f>Upah!$D$91</f>
        <v>60000</v>
      </c>
      <c r="F489" s="1268"/>
      <c r="G489" s="1269">
        <v>75000</v>
      </c>
      <c r="H489" s="1269"/>
      <c r="I489" s="1268"/>
      <c r="J489" s="1260"/>
      <c r="K489" s="1260"/>
      <c r="L489" s="1260"/>
      <c r="M489" s="1260"/>
      <c r="N489" s="1260"/>
      <c r="O489" s="1260"/>
      <c r="P489" s="1260"/>
      <c r="Q489" s="1260"/>
      <c r="R489" s="1260"/>
      <c r="S489" s="1260"/>
      <c r="T489" s="1260"/>
      <c r="U489" s="1260"/>
      <c r="V489" s="1260"/>
      <c r="W489" s="1260"/>
      <c r="X489" s="1260"/>
      <c r="Y489" s="1260"/>
      <c r="Z489" s="1260"/>
      <c r="AA489" s="1260"/>
      <c r="AB489" s="1260"/>
      <c r="AC489" s="1260"/>
      <c r="AD489" s="1260"/>
      <c r="AE489" s="1260"/>
    </row>
    <row r="490" spans="1:31" s="1217" customFormat="1" ht="13.5" thickBot="1">
      <c r="A490" s="1265"/>
      <c r="B490" s="1271"/>
      <c r="C490" s="1266"/>
      <c r="D490" s="1265"/>
      <c r="E490" s="1270"/>
      <c r="F490" s="1268"/>
      <c r="G490" s="1269"/>
      <c r="H490" s="1269"/>
      <c r="I490" s="1268"/>
      <c r="J490" s="1260"/>
      <c r="K490" s="1260"/>
      <c r="L490" s="1260"/>
      <c r="M490" s="1260"/>
      <c r="N490" s="1260"/>
      <c r="O490" s="1260"/>
      <c r="P490" s="1260"/>
      <c r="Q490" s="1260"/>
      <c r="R490" s="1260"/>
      <c r="S490" s="1260"/>
      <c r="T490" s="1260"/>
      <c r="U490" s="1260"/>
      <c r="V490" s="1260"/>
      <c r="W490" s="1260"/>
      <c r="X490" s="1260"/>
      <c r="Y490" s="1260"/>
      <c r="Z490" s="1260"/>
      <c r="AA490" s="1260"/>
      <c r="AB490" s="1260"/>
      <c r="AC490" s="1260"/>
      <c r="AD490" s="1260"/>
      <c r="AE490" s="1260"/>
    </row>
    <row r="491" spans="1:31" s="1217" customFormat="1" ht="13.5" thickBot="1">
      <c r="A491" s="1265"/>
      <c r="B491" s="1267"/>
      <c r="C491" s="1266"/>
      <c r="D491" s="1265"/>
      <c r="E491" s="1264" t="s">
        <v>48</v>
      </c>
      <c r="F491" s="1263">
        <f>SUM(F485:F490)</f>
        <v>214040.10545174134</v>
      </c>
      <c r="G491" s="1262">
        <f>SUM(G485:G490)</f>
        <v>95000</v>
      </c>
      <c r="H491" s="1262"/>
      <c r="I491" s="1261">
        <f>SUM(F491:G491)</f>
        <v>309040.10545174137</v>
      </c>
      <c r="J491" s="1260"/>
      <c r="K491" s="1260"/>
      <c r="L491" s="1260"/>
      <c r="M491" s="1260"/>
      <c r="N491" s="1260"/>
      <c r="O491" s="1260"/>
      <c r="P491" s="1260"/>
      <c r="Q491" s="1260"/>
      <c r="R491" s="1260"/>
      <c r="S491" s="1260"/>
      <c r="T491" s="1260"/>
      <c r="U491" s="1260"/>
      <c r="V491" s="1260"/>
      <c r="W491" s="1260"/>
      <c r="X491" s="1260"/>
      <c r="Y491" s="1260"/>
      <c r="Z491" s="1260"/>
      <c r="AA491" s="1260"/>
      <c r="AB491" s="1260"/>
      <c r="AC491" s="1260"/>
      <c r="AD491" s="1260"/>
      <c r="AE491" s="1260"/>
    </row>
    <row r="492" spans="1:31" s="1217" customFormat="1">
      <c r="A492" s="1265"/>
      <c r="B492" s="1267"/>
      <c r="C492" s="1266"/>
      <c r="D492" s="1265"/>
      <c r="E492" s="1276"/>
      <c r="F492" s="1272"/>
      <c r="G492" s="1273"/>
      <c r="H492" s="1273"/>
      <c r="I492" s="1272"/>
      <c r="J492" s="1260"/>
      <c r="K492" s="1260"/>
      <c r="L492" s="1260"/>
      <c r="M492" s="1260"/>
      <c r="N492" s="1260"/>
      <c r="O492" s="1260"/>
      <c r="P492" s="1260"/>
      <c r="Q492" s="1260"/>
      <c r="R492" s="1260"/>
      <c r="S492" s="1260"/>
      <c r="T492" s="1260"/>
      <c r="U492" s="1260"/>
      <c r="V492" s="1260"/>
      <c r="W492" s="1260"/>
      <c r="X492" s="1260"/>
      <c r="Y492" s="1260"/>
      <c r="Z492" s="1260"/>
      <c r="AA492" s="1260"/>
      <c r="AB492" s="1260"/>
      <c r="AC492" s="1260"/>
      <c r="AD492" s="1260"/>
      <c r="AE492" s="1260"/>
    </row>
    <row r="493" spans="1:31" s="1217" customFormat="1">
      <c r="A493" s="1275"/>
      <c r="B493" s="1267" t="s">
        <v>1591</v>
      </c>
      <c r="C493" s="1266"/>
      <c r="D493" s="1265"/>
      <c r="E493" s="1274"/>
      <c r="F493" s="1272"/>
      <c r="G493" s="1273"/>
      <c r="H493" s="1273"/>
      <c r="I493" s="1272"/>
      <c r="J493" s="1260"/>
      <c r="K493" s="1260"/>
      <c r="L493" s="1260"/>
      <c r="M493" s="1260"/>
      <c r="N493" s="1260"/>
      <c r="O493" s="1260"/>
      <c r="P493" s="1260"/>
      <c r="Q493" s="1260"/>
      <c r="R493" s="1260"/>
      <c r="S493" s="1260"/>
      <c r="T493" s="1260"/>
      <c r="U493" s="1260"/>
      <c r="V493" s="1260"/>
      <c r="W493" s="1260"/>
      <c r="X493" s="1260"/>
      <c r="Y493" s="1260"/>
      <c r="Z493" s="1260"/>
      <c r="AA493" s="1260"/>
      <c r="AB493" s="1260"/>
      <c r="AC493" s="1260"/>
      <c r="AD493" s="1260"/>
      <c r="AE493" s="1260"/>
    </row>
    <row r="494" spans="1:31" s="1217" customFormat="1">
      <c r="A494" s="1265"/>
      <c r="B494" s="1271">
        <f>0.3*1.06</f>
        <v>0.318</v>
      </c>
      <c r="C494" s="1266" t="s">
        <v>51</v>
      </c>
      <c r="D494" s="1265" t="s">
        <v>1590</v>
      </c>
      <c r="E494" s="1270">
        <f>Material!$G$78</f>
        <v>680000</v>
      </c>
      <c r="F494" s="1268">
        <f>B494*E494</f>
        <v>216240</v>
      </c>
      <c r="G494" s="1269"/>
      <c r="H494" s="1269"/>
      <c r="I494" s="1268"/>
      <c r="J494" s="1260"/>
      <c r="K494" s="1260"/>
      <c r="L494" s="1260"/>
      <c r="M494" s="1260"/>
      <c r="N494" s="1260"/>
      <c r="O494" s="1260"/>
      <c r="P494" s="1260"/>
      <c r="Q494" s="1260"/>
      <c r="R494" s="1260"/>
      <c r="S494" s="1260"/>
      <c r="T494" s="1260"/>
      <c r="U494" s="1260"/>
      <c r="V494" s="1260"/>
      <c r="W494" s="1260"/>
      <c r="X494" s="1260"/>
      <c r="Y494" s="1260"/>
      <c r="Z494" s="1260"/>
      <c r="AA494" s="1260"/>
      <c r="AB494" s="1260"/>
      <c r="AC494" s="1260"/>
      <c r="AD494" s="1260"/>
      <c r="AE494" s="1260"/>
    </row>
    <row r="495" spans="1:31" s="1217" customFormat="1">
      <c r="A495" s="1265"/>
      <c r="B495" s="1271">
        <f>4.33/0.67*B479</f>
        <v>26.927860696517413</v>
      </c>
      <c r="C495" s="1266" t="s">
        <v>53</v>
      </c>
      <c r="D495" s="1265" t="s">
        <v>1589</v>
      </c>
      <c r="E495" s="1270">
        <f>Material!$G$79</f>
        <v>1400</v>
      </c>
      <c r="F495" s="1268">
        <f>B495*E495</f>
        <v>37699.004975124379</v>
      </c>
      <c r="G495" s="1269"/>
      <c r="H495" s="1269"/>
      <c r="I495" s="1268"/>
      <c r="J495" s="1260"/>
      <c r="K495" s="1260"/>
      <c r="L495" s="1260"/>
      <c r="M495" s="1260"/>
      <c r="N495" s="1260"/>
      <c r="O495" s="1260"/>
      <c r="P495" s="1260"/>
      <c r="Q495" s="1260"/>
      <c r="R495" s="1260"/>
      <c r="S495" s="1260"/>
      <c r="T495" s="1260"/>
      <c r="U495" s="1260"/>
      <c r="V495" s="1260"/>
      <c r="W495" s="1260"/>
      <c r="X495" s="1260"/>
      <c r="Y495" s="1260"/>
      <c r="Z495" s="1260"/>
      <c r="AA495" s="1260"/>
      <c r="AB495" s="1260"/>
      <c r="AC495" s="1260"/>
      <c r="AD495" s="1260"/>
      <c r="AE495" s="1260"/>
    </row>
    <row r="496" spans="1:31" s="1217" customFormat="1">
      <c r="A496" s="1265"/>
      <c r="B496" s="1271">
        <v>0.3</v>
      </c>
      <c r="C496" s="1266" t="s">
        <v>50</v>
      </c>
      <c r="D496" s="1265" t="s">
        <v>1588</v>
      </c>
      <c r="E496" s="1270">
        <f>$I$376</f>
        <v>181821.99174999999</v>
      </c>
      <c r="F496" s="1268">
        <f>B496*$F$376</f>
        <v>42546.597524999997</v>
      </c>
      <c r="G496" s="1269">
        <f>B496*$G$376</f>
        <v>12000</v>
      </c>
      <c r="H496" s="1269"/>
      <c r="I496" s="1268"/>
      <c r="J496" s="1260"/>
      <c r="K496" s="1260"/>
      <c r="L496" s="1260"/>
      <c r="M496" s="1260"/>
      <c r="N496" s="1260"/>
      <c r="O496" s="1260"/>
      <c r="P496" s="1260"/>
      <c r="Q496" s="1260"/>
      <c r="R496" s="1260"/>
      <c r="S496" s="1260"/>
      <c r="T496" s="1260"/>
      <c r="U496" s="1260"/>
      <c r="V496" s="1260"/>
      <c r="W496" s="1260"/>
      <c r="X496" s="1260"/>
      <c r="Y496" s="1260"/>
      <c r="Z496" s="1260"/>
      <c r="AA496" s="1260"/>
      <c r="AB496" s="1260"/>
      <c r="AC496" s="1260"/>
      <c r="AD496" s="1260"/>
      <c r="AE496" s="1260"/>
    </row>
    <row r="497" spans="1:31" s="1217" customFormat="1">
      <c r="A497" s="1265"/>
      <c r="B497" s="1271">
        <v>1</v>
      </c>
      <c r="C497" s="1266" t="s">
        <v>49</v>
      </c>
      <c r="D497" s="1265" t="s">
        <v>1587</v>
      </c>
      <c r="E497" s="1270">
        <f>Upah!$D$92</f>
        <v>80000</v>
      </c>
      <c r="F497" s="1268"/>
      <c r="G497" s="1269">
        <v>100000</v>
      </c>
      <c r="H497" s="1269"/>
      <c r="I497" s="1268"/>
      <c r="J497" s="1260"/>
      <c r="K497" s="1260"/>
      <c r="L497" s="1260"/>
      <c r="M497" s="1260"/>
      <c r="N497" s="1260"/>
      <c r="O497" s="1260"/>
      <c r="P497" s="1260"/>
      <c r="Q497" s="1260"/>
      <c r="R497" s="1260"/>
      <c r="S497" s="1260"/>
      <c r="T497" s="1260"/>
      <c r="U497" s="1260"/>
      <c r="V497" s="1260"/>
      <c r="W497" s="1260"/>
      <c r="X497" s="1260"/>
      <c r="Y497" s="1260"/>
      <c r="Z497" s="1260"/>
      <c r="AA497" s="1260"/>
      <c r="AB497" s="1260"/>
      <c r="AC497" s="1260"/>
      <c r="AD497" s="1260"/>
      <c r="AE497" s="1260"/>
    </row>
    <row r="498" spans="1:31" s="1217" customFormat="1" ht="13.5" thickBot="1">
      <c r="A498" s="1265"/>
      <c r="B498" s="1271"/>
      <c r="C498" s="1266"/>
      <c r="D498" s="1265"/>
      <c r="E498" s="1270"/>
      <c r="F498" s="1268"/>
      <c r="G498" s="1269"/>
      <c r="H498" s="1269"/>
      <c r="I498" s="1268"/>
      <c r="J498" s="1260"/>
      <c r="K498" s="1260"/>
      <c r="L498" s="1260"/>
      <c r="M498" s="1260"/>
      <c r="N498" s="1260"/>
      <c r="O498" s="1260"/>
      <c r="P498" s="1260"/>
      <c r="Q498" s="1260"/>
      <c r="R498" s="1260"/>
      <c r="S498" s="1260"/>
      <c r="T498" s="1260"/>
      <c r="U498" s="1260"/>
      <c r="V498" s="1260"/>
      <c r="W498" s="1260"/>
      <c r="X498" s="1260"/>
      <c r="Y498" s="1260"/>
      <c r="Z498" s="1260"/>
      <c r="AA498" s="1260"/>
      <c r="AB498" s="1260"/>
      <c r="AC498" s="1260"/>
      <c r="AD498" s="1260"/>
      <c r="AE498" s="1260"/>
    </row>
    <row r="499" spans="1:31" s="1217" customFormat="1" ht="13.5" thickBot="1">
      <c r="A499" s="1265"/>
      <c r="B499" s="1267"/>
      <c r="C499" s="1266"/>
      <c r="D499" s="1265"/>
      <c r="E499" s="1264" t="s">
        <v>48</v>
      </c>
      <c r="F499" s="1263">
        <f>SUM(F493:F498)</f>
        <v>296485.60250012437</v>
      </c>
      <c r="G499" s="1262">
        <f>SUM(G493:G498)</f>
        <v>112000</v>
      </c>
      <c r="H499" s="1262"/>
      <c r="I499" s="1261">
        <f>SUM(F499:G499)</f>
        <v>408485.60250012437</v>
      </c>
      <c r="J499" s="1260"/>
      <c r="K499" s="1260"/>
      <c r="L499" s="1260"/>
      <c r="M499" s="1260"/>
      <c r="N499" s="1260"/>
      <c r="O499" s="1260"/>
      <c r="P499" s="1260"/>
      <c r="Q499" s="1260"/>
      <c r="R499" s="1260"/>
      <c r="S499" s="1260"/>
      <c r="T499" s="1260"/>
      <c r="U499" s="1260"/>
      <c r="V499" s="1260"/>
      <c r="W499" s="1260"/>
      <c r="X499" s="1260"/>
      <c r="Y499" s="1260"/>
      <c r="Z499" s="1260"/>
      <c r="AA499" s="1260"/>
      <c r="AB499" s="1260"/>
      <c r="AC499" s="1260"/>
      <c r="AD499" s="1260"/>
      <c r="AE499" s="1260"/>
    </row>
    <row r="500" spans="1:31">
      <c r="A500" s="1299"/>
      <c r="B500" s="1303"/>
      <c r="C500" s="1300"/>
      <c r="D500" s="1299"/>
      <c r="E500" s="1298"/>
      <c r="F500" s="1296"/>
      <c r="G500" s="1297"/>
      <c r="H500" s="1297"/>
      <c r="I500" s="1296"/>
      <c r="J500" s="1295"/>
      <c r="K500" s="1295"/>
      <c r="L500" s="1295"/>
      <c r="M500" s="1295"/>
      <c r="N500" s="1295"/>
      <c r="O500" s="1295"/>
      <c r="P500" s="1295"/>
      <c r="Q500" s="1295"/>
      <c r="R500" s="1295"/>
      <c r="S500" s="1295"/>
      <c r="T500" s="1295"/>
      <c r="U500" s="1295"/>
      <c r="V500" s="1295"/>
      <c r="W500" s="1295"/>
      <c r="X500" s="1295"/>
      <c r="Y500" s="1295"/>
      <c r="Z500" s="1295"/>
      <c r="AA500" s="1295"/>
      <c r="AB500" s="1295"/>
      <c r="AC500" s="1295"/>
      <c r="AD500" s="1295"/>
      <c r="AE500" s="1295"/>
    </row>
    <row r="501" spans="1:31">
      <c r="A501" s="1302"/>
      <c r="B501" s="1301"/>
      <c r="C501" s="1300"/>
      <c r="D501" s="1299"/>
      <c r="E501" s="1298"/>
      <c r="F501" s="1296"/>
      <c r="G501" s="1297"/>
      <c r="H501" s="1297"/>
      <c r="I501" s="1296"/>
      <c r="J501" s="1295"/>
      <c r="K501" s="1295"/>
      <c r="L501" s="1295"/>
      <c r="M501" s="1295"/>
      <c r="N501" s="1295"/>
      <c r="O501" s="1295"/>
      <c r="P501" s="1295"/>
      <c r="Q501" s="1295"/>
      <c r="R501" s="1295"/>
      <c r="S501" s="1295"/>
      <c r="T501" s="1295"/>
      <c r="U501" s="1295"/>
      <c r="V501" s="1295"/>
      <c r="W501" s="1295"/>
      <c r="X501" s="1295"/>
      <c r="Y501" s="1295"/>
      <c r="Z501" s="1295"/>
      <c r="AA501" s="1295"/>
      <c r="AB501" s="1295"/>
      <c r="AC501" s="1295"/>
      <c r="AD501" s="1295"/>
      <c r="AE501" s="1295"/>
    </row>
    <row r="502" spans="1:31" s="1217" customFormat="1">
      <c r="A502" s="1275"/>
      <c r="B502" s="1267" t="s">
        <v>1586</v>
      </c>
      <c r="C502" s="1266"/>
      <c r="D502" s="1265"/>
      <c r="E502" s="1274"/>
      <c r="F502" s="1272"/>
      <c r="G502" s="1273"/>
      <c r="H502" s="1273"/>
      <c r="I502" s="1272"/>
      <c r="J502" s="1260"/>
      <c r="K502" s="1260"/>
      <c r="L502" s="1260"/>
      <c r="M502" s="1260"/>
      <c r="N502" s="1260"/>
      <c r="O502" s="1260"/>
      <c r="P502" s="1260"/>
      <c r="Q502" s="1260"/>
      <c r="R502" s="1260"/>
      <c r="S502" s="1260"/>
      <c r="T502" s="1260"/>
      <c r="U502" s="1260"/>
      <c r="V502" s="1260"/>
      <c r="W502" s="1260"/>
      <c r="X502" s="1260"/>
      <c r="Y502" s="1260"/>
      <c r="Z502" s="1260"/>
      <c r="AA502" s="1260"/>
      <c r="AB502" s="1260"/>
      <c r="AC502" s="1260"/>
      <c r="AD502" s="1260"/>
      <c r="AE502" s="1260"/>
    </row>
    <row r="503" spans="1:31" s="1217" customFormat="1">
      <c r="A503" s="1265"/>
      <c r="B503" s="1271">
        <v>0.04</v>
      </c>
      <c r="C503" s="1266" t="s">
        <v>1574</v>
      </c>
      <c r="D503" s="1265" t="s">
        <v>1585</v>
      </c>
      <c r="E503" s="1270">
        <f>Material!$G$14</f>
        <v>65000</v>
      </c>
      <c r="F503" s="1268">
        <f>B503*E503</f>
        <v>2600</v>
      </c>
      <c r="G503" s="1269"/>
      <c r="H503" s="1269"/>
      <c r="I503" s="1272"/>
      <c r="J503" s="1260"/>
      <c r="K503" s="1260"/>
      <c r="L503" s="1260"/>
      <c r="M503" s="1260"/>
      <c r="N503" s="1260"/>
      <c r="O503" s="1260"/>
      <c r="P503" s="1260"/>
      <c r="Q503" s="1260"/>
      <c r="R503" s="1260"/>
      <c r="S503" s="1260"/>
      <c r="T503" s="1260"/>
      <c r="U503" s="1260"/>
      <c r="V503" s="1260"/>
      <c r="W503" s="1260"/>
      <c r="X503" s="1260"/>
      <c r="Y503" s="1260"/>
      <c r="Z503" s="1260"/>
      <c r="AA503" s="1260"/>
      <c r="AB503" s="1260"/>
      <c r="AC503" s="1260"/>
      <c r="AD503" s="1260"/>
      <c r="AE503" s="1260"/>
    </row>
    <row r="504" spans="1:31" s="1217" customFormat="1">
      <c r="A504" s="1265"/>
      <c r="B504" s="1271">
        <v>1</v>
      </c>
      <c r="C504" s="1266" t="s">
        <v>50</v>
      </c>
      <c r="D504" s="1265" t="s">
        <v>1584</v>
      </c>
      <c r="E504" s="1270">
        <f>Upah!$D$97</f>
        <v>40000</v>
      </c>
      <c r="F504" s="1268"/>
      <c r="G504" s="1269">
        <f>B504*E504</f>
        <v>40000</v>
      </c>
      <c r="H504" s="1269"/>
      <c r="I504" s="1272"/>
      <c r="J504" s="1260"/>
      <c r="K504" s="1260"/>
      <c r="L504" s="1260"/>
      <c r="M504" s="1260"/>
      <c r="N504" s="1260"/>
      <c r="O504" s="1260"/>
      <c r="P504" s="1260"/>
      <c r="Q504" s="1260"/>
      <c r="R504" s="1260"/>
      <c r="S504" s="1260"/>
      <c r="T504" s="1260"/>
      <c r="U504" s="1260"/>
      <c r="V504" s="1260"/>
      <c r="W504" s="1260"/>
      <c r="X504" s="1260"/>
      <c r="Y504" s="1260"/>
      <c r="Z504" s="1260"/>
      <c r="AA504" s="1260"/>
      <c r="AB504" s="1260"/>
      <c r="AC504" s="1260"/>
      <c r="AD504" s="1260"/>
      <c r="AE504" s="1260"/>
    </row>
    <row r="505" spans="1:31" s="1217" customFormat="1" ht="13.5" thickBot="1">
      <c r="A505" s="1265"/>
      <c r="B505" s="1271"/>
      <c r="C505" s="1266"/>
      <c r="D505" s="1265"/>
      <c r="E505" s="1270"/>
      <c r="F505" s="1268"/>
      <c r="G505" s="1269"/>
      <c r="H505" s="1269"/>
      <c r="I505" s="1272"/>
      <c r="J505" s="1260"/>
      <c r="K505" s="1260"/>
      <c r="L505" s="1260"/>
      <c r="M505" s="1260"/>
      <c r="N505" s="1260"/>
      <c r="O505" s="1260"/>
      <c r="P505" s="1260"/>
      <c r="Q505" s="1260"/>
      <c r="R505" s="1260"/>
      <c r="S505" s="1260"/>
      <c r="T505" s="1260"/>
      <c r="U505" s="1260"/>
      <c r="V505" s="1260"/>
      <c r="W505" s="1260"/>
      <c r="X505" s="1260"/>
      <c r="Y505" s="1260"/>
      <c r="Z505" s="1260"/>
      <c r="AA505" s="1260"/>
      <c r="AB505" s="1260"/>
      <c r="AC505" s="1260"/>
      <c r="AD505" s="1260"/>
      <c r="AE505" s="1260"/>
    </row>
    <row r="506" spans="1:31" s="1217" customFormat="1" ht="13.5" thickBot="1">
      <c r="A506" s="1265"/>
      <c r="B506" s="1267"/>
      <c r="C506" s="1266"/>
      <c r="D506" s="1265"/>
      <c r="E506" s="1264" t="s">
        <v>48</v>
      </c>
      <c r="F506" s="1263">
        <f>SUM(F502:F505)</f>
        <v>2600</v>
      </c>
      <c r="G506" s="1262">
        <f>SUM(G502:G505)</f>
        <v>40000</v>
      </c>
      <c r="H506" s="1262"/>
      <c r="I506" s="1261">
        <f>SUM(F506:G506)</f>
        <v>42600</v>
      </c>
      <c r="J506" s="1260"/>
      <c r="K506" s="1260"/>
      <c r="L506" s="1260"/>
      <c r="M506" s="1260"/>
      <c r="N506" s="1260"/>
      <c r="O506" s="1260"/>
      <c r="P506" s="1260"/>
      <c r="Q506" s="1260"/>
      <c r="R506" s="1260"/>
      <c r="S506" s="1260"/>
      <c r="T506" s="1260"/>
      <c r="U506" s="1260"/>
      <c r="V506" s="1260"/>
      <c r="W506" s="1260"/>
      <c r="X506" s="1260"/>
      <c r="Y506" s="1260"/>
      <c r="Z506" s="1260"/>
      <c r="AA506" s="1260"/>
      <c r="AB506" s="1260"/>
      <c r="AC506" s="1260"/>
      <c r="AD506" s="1260"/>
      <c r="AE506" s="1260"/>
    </row>
    <row r="507" spans="1:31" s="1217" customFormat="1">
      <c r="A507" s="1265"/>
      <c r="B507" s="1267"/>
      <c r="C507" s="1266"/>
      <c r="D507" s="1265"/>
      <c r="E507" s="1276"/>
      <c r="F507" s="1272"/>
      <c r="G507" s="1273"/>
      <c r="H507" s="1273"/>
      <c r="I507" s="1272"/>
      <c r="J507" s="1260"/>
      <c r="K507" s="1260"/>
      <c r="L507" s="1260"/>
      <c r="M507" s="1260"/>
      <c r="N507" s="1260"/>
      <c r="O507" s="1260"/>
      <c r="P507" s="1260"/>
      <c r="Q507" s="1260"/>
      <c r="R507" s="1260"/>
      <c r="S507" s="1260"/>
      <c r="T507" s="1260"/>
      <c r="U507" s="1260"/>
      <c r="V507" s="1260"/>
      <c r="W507" s="1260"/>
      <c r="X507" s="1260"/>
      <c r="Y507" s="1260"/>
      <c r="Z507" s="1260"/>
      <c r="AA507" s="1260"/>
      <c r="AB507" s="1260"/>
      <c r="AC507" s="1260"/>
      <c r="AD507" s="1260"/>
      <c r="AE507" s="1260"/>
    </row>
    <row r="508" spans="1:31" s="1217" customFormat="1">
      <c r="A508" s="1275"/>
      <c r="B508" s="1267" t="s">
        <v>1583</v>
      </c>
      <c r="C508" s="1266"/>
      <c r="D508" s="1265"/>
      <c r="E508" s="1274"/>
      <c r="F508" s="1272"/>
      <c r="G508" s="1273"/>
      <c r="H508" s="1273"/>
      <c r="I508" s="1272"/>
      <c r="J508" s="1260"/>
      <c r="K508" s="1260"/>
      <c r="L508" s="1260"/>
      <c r="M508" s="1260"/>
      <c r="N508" s="1260"/>
      <c r="O508" s="1260"/>
      <c r="P508" s="1260"/>
      <c r="Q508" s="1260"/>
      <c r="R508" s="1260"/>
      <c r="S508" s="1260"/>
      <c r="T508" s="1260"/>
      <c r="U508" s="1260"/>
      <c r="V508" s="1260"/>
      <c r="W508" s="1260"/>
      <c r="X508" s="1260"/>
      <c r="Y508" s="1260"/>
      <c r="Z508" s="1260"/>
      <c r="AA508" s="1260"/>
      <c r="AB508" s="1260"/>
      <c r="AC508" s="1260"/>
      <c r="AD508" s="1260"/>
      <c r="AE508" s="1260"/>
    </row>
    <row r="509" spans="1:31" s="1217" customFormat="1">
      <c r="A509" s="1265"/>
      <c r="B509" s="1271">
        <f>50/2.6*1.2</f>
        <v>23.076923076923077</v>
      </c>
      <c r="C509" s="1266" t="s">
        <v>53</v>
      </c>
      <c r="D509" s="1265" t="s">
        <v>1582</v>
      </c>
      <c r="E509" s="1270">
        <f>Material!$G$80</f>
        <v>800</v>
      </c>
      <c r="F509" s="1268">
        <f>B509*E509</f>
        <v>18461.538461538461</v>
      </c>
      <c r="G509" s="1269"/>
      <c r="H509" s="1269"/>
      <c r="I509" s="1272"/>
      <c r="J509" s="1260"/>
      <c r="K509" s="1260"/>
      <c r="L509" s="1260"/>
      <c r="M509" s="1260"/>
      <c r="N509" s="1260"/>
      <c r="O509" s="1260"/>
      <c r="P509" s="1260"/>
      <c r="Q509" s="1260"/>
      <c r="R509" s="1260"/>
      <c r="S509" s="1260"/>
      <c r="T509" s="1260"/>
      <c r="U509" s="1260"/>
      <c r="V509" s="1260"/>
      <c r="W509" s="1260"/>
      <c r="X509" s="1260"/>
      <c r="Y509" s="1260"/>
      <c r="Z509" s="1260"/>
      <c r="AA509" s="1260"/>
      <c r="AB509" s="1260"/>
      <c r="AC509" s="1260"/>
      <c r="AD509" s="1260"/>
      <c r="AE509" s="1260"/>
    </row>
    <row r="510" spans="1:31" s="1217" customFormat="1">
      <c r="A510" s="1265"/>
      <c r="B510" s="1271">
        <v>0.6</v>
      </c>
      <c r="C510" s="1266" t="s">
        <v>50</v>
      </c>
      <c r="D510" s="1265" t="s">
        <v>383</v>
      </c>
      <c r="E510" s="1270">
        <f>$I$506</f>
        <v>42600</v>
      </c>
      <c r="F510" s="1268">
        <f>B510*F506</f>
        <v>1560</v>
      </c>
      <c r="G510" s="1269">
        <f>B510*G506</f>
        <v>24000</v>
      </c>
      <c r="H510" s="1269"/>
      <c r="I510" s="1272"/>
      <c r="J510" s="1260"/>
      <c r="K510" s="1260"/>
      <c r="L510" s="1260"/>
      <c r="M510" s="1260"/>
      <c r="N510" s="1260"/>
      <c r="O510" s="1260"/>
      <c r="P510" s="1260"/>
      <c r="Q510" s="1260"/>
      <c r="R510" s="1260"/>
      <c r="S510" s="1260"/>
      <c r="T510" s="1260"/>
      <c r="U510" s="1260"/>
      <c r="V510" s="1260"/>
      <c r="W510" s="1260"/>
      <c r="X510" s="1260"/>
      <c r="Y510" s="1260"/>
      <c r="Z510" s="1260"/>
      <c r="AA510" s="1260"/>
      <c r="AB510" s="1260"/>
      <c r="AC510" s="1260"/>
      <c r="AD510" s="1260"/>
      <c r="AE510" s="1260"/>
    </row>
    <row r="511" spans="1:31" s="1217" customFormat="1">
      <c r="A511" s="1265"/>
      <c r="B511" s="1271">
        <v>1</v>
      </c>
      <c r="C511" s="1266" t="s">
        <v>49</v>
      </c>
      <c r="D511" s="1265" t="s">
        <v>1579</v>
      </c>
      <c r="E511" s="1270">
        <f>Upah!$D$93</f>
        <v>60000</v>
      </c>
      <c r="F511" s="1268"/>
      <c r="G511" s="1269">
        <f>B511*E511</f>
        <v>60000</v>
      </c>
      <c r="H511" s="1269"/>
      <c r="I511" s="1272"/>
      <c r="J511" s="1260"/>
      <c r="K511" s="1260"/>
      <c r="L511" s="1260"/>
      <c r="M511" s="1260"/>
      <c r="N511" s="1260"/>
      <c r="O511" s="1260"/>
      <c r="P511" s="1260"/>
      <c r="Q511" s="1260"/>
      <c r="R511" s="1260"/>
      <c r="S511" s="1260"/>
      <c r="T511" s="1260"/>
      <c r="U511" s="1260"/>
      <c r="V511" s="1260"/>
      <c r="W511" s="1260"/>
      <c r="X511" s="1260"/>
      <c r="Y511" s="1260"/>
      <c r="Z511" s="1260"/>
      <c r="AA511" s="1260"/>
      <c r="AB511" s="1260"/>
      <c r="AC511" s="1260"/>
      <c r="AD511" s="1260"/>
      <c r="AE511" s="1260"/>
    </row>
    <row r="512" spans="1:31" s="1217" customFormat="1" ht="13.5" thickBot="1">
      <c r="A512" s="1265"/>
      <c r="B512" s="1271"/>
      <c r="C512" s="1266"/>
      <c r="D512" s="1265"/>
      <c r="E512" s="1270"/>
      <c r="F512" s="1268"/>
      <c r="G512" s="1269"/>
      <c r="H512" s="1269"/>
      <c r="I512" s="1272"/>
      <c r="J512" s="1260"/>
      <c r="K512" s="1260"/>
      <c r="L512" s="1260"/>
      <c r="M512" s="1260"/>
      <c r="N512" s="1260"/>
      <c r="O512" s="1260"/>
      <c r="P512" s="1260"/>
      <c r="Q512" s="1260"/>
      <c r="R512" s="1260"/>
      <c r="S512" s="1260"/>
      <c r="T512" s="1260"/>
      <c r="U512" s="1260"/>
      <c r="V512" s="1260"/>
      <c r="W512" s="1260"/>
      <c r="X512" s="1260"/>
      <c r="Y512" s="1260"/>
      <c r="Z512" s="1260"/>
      <c r="AA512" s="1260"/>
      <c r="AB512" s="1260"/>
      <c r="AC512" s="1260"/>
      <c r="AD512" s="1260"/>
      <c r="AE512" s="1260"/>
    </row>
    <row r="513" spans="1:31" s="1217" customFormat="1" ht="13.5" thickBot="1">
      <c r="A513" s="1265"/>
      <c r="B513" s="1267"/>
      <c r="C513" s="1266"/>
      <c r="D513" s="1265"/>
      <c r="E513" s="1264" t="s">
        <v>48</v>
      </c>
      <c r="F513" s="1263">
        <f>SUM(F508:F512)</f>
        <v>20021.538461538461</v>
      </c>
      <c r="G513" s="1262">
        <f>SUM(G508:G512)</f>
        <v>84000</v>
      </c>
      <c r="H513" s="1262"/>
      <c r="I513" s="1261">
        <f>SUM(F513:G513)</f>
        <v>104021.53846153847</v>
      </c>
      <c r="J513" s="1260"/>
      <c r="K513" s="1260"/>
      <c r="L513" s="1260"/>
      <c r="M513" s="1260"/>
      <c r="N513" s="1260"/>
      <c r="O513" s="1260"/>
      <c r="P513" s="1260"/>
      <c r="Q513" s="1260"/>
      <c r="R513" s="1260"/>
      <c r="S513" s="1260"/>
      <c r="T513" s="1260"/>
      <c r="U513" s="1260"/>
      <c r="V513" s="1260"/>
      <c r="W513" s="1260"/>
      <c r="X513" s="1260"/>
      <c r="Y513" s="1260"/>
      <c r="Z513" s="1260"/>
      <c r="AA513" s="1260"/>
      <c r="AB513" s="1260"/>
      <c r="AC513" s="1260"/>
      <c r="AD513" s="1260"/>
      <c r="AE513" s="1260"/>
    </row>
    <row r="514" spans="1:31" s="1217" customFormat="1">
      <c r="A514" s="1265"/>
      <c r="B514" s="1267"/>
      <c r="C514" s="1266"/>
      <c r="D514" s="1265"/>
      <c r="E514" s="1276"/>
      <c r="F514" s="1272"/>
      <c r="G514" s="1273"/>
      <c r="H514" s="1273"/>
      <c r="I514" s="1272"/>
      <c r="J514" s="1260"/>
      <c r="K514" s="1260"/>
      <c r="L514" s="1260"/>
      <c r="M514" s="1260"/>
      <c r="N514" s="1260"/>
      <c r="O514" s="1260"/>
      <c r="P514" s="1260"/>
      <c r="Q514" s="1260"/>
      <c r="R514" s="1260"/>
      <c r="S514" s="1260"/>
      <c r="T514" s="1260"/>
      <c r="U514" s="1260"/>
      <c r="V514" s="1260"/>
      <c r="W514" s="1260"/>
      <c r="X514" s="1260"/>
      <c r="Y514" s="1260"/>
      <c r="Z514" s="1260"/>
      <c r="AA514" s="1260"/>
      <c r="AB514" s="1260"/>
      <c r="AC514" s="1260"/>
      <c r="AD514" s="1260"/>
      <c r="AE514" s="1260"/>
    </row>
    <row r="515" spans="1:31" s="1217" customFormat="1">
      <c r="A515" s="1275"/>
      <c r="B515" s="1267" t="s">
        <v>1581</v>
      </c>
      <c r="C515" s="1266"/>
      <c r="D515" s="1265"/>
      <c r="E515" s="1304"/>
      <c r="F515" s="1272"/>
      <c r="G515" s="1273"/>
      <c r="H515" s="1273"/>
      <c r="I515" s="1272"/>
      <c r="J515" s="1260"/>
      <c r="K515" s="1260"/>
      <c r="L515" s="1260"/>
      <c r="M515" s="1260"/>
      <c r="N515" s="1260"/>
      <c r="O515" s="1260"/>
      <c r="P515" s="1260"/>
      <c r="Q515" s="1260"/>
      <c r="R515" s="1260"/>
      <c r="S515" s="1260"/>
      <c r="T515" s="1260"/>
      <c r="U515" s="1260"/>
      <c r="V515" s="1260"/>
      <c r="W515" s="1260"/>
      <c r="X515" s="1260"/>
      <c r="Y515" s="1260"/>
      <c r="Z515" s="1260"/>
      <c r="AA515" s="1260"/>
      <c r="AB515" s="1260"/>
      <c r="AC515" s="1260"/>
      <c r="AD515" s="1260"/>
      <c r="AE515" s="1260"/>
    </row>
    <row r="516" spans="1:31" s="1217" customFormat="1">
      <c r="A516" s="1265"/>
      <c r="B516" s="1271">
        <v>0.215</v>
      </c>
      <c r="C516" s="1266" t="s">
        <v>1574</v>
      </c>
      <c r="D516" s="1265" t="s">
        <v>1573</v>
      </c>
      <c r="E516" s="1270">
        <f>Material!$G$14</f>
        <v>65000</v>
      </c>
      <c r="F516" s="1268">
        <f>B516*E516</f>
        <v>13975</v>
      </c>
      <c r="G516" s="1269"/>
      <c r="H516" s="1269"/>
      <c r="I516" s="1268"/>
      <c r="J516" s="1260"/>
      <c r="K516" s="1260"/>
      <c r="L516" s="1260"/>
      <c r="M516" s="1260"/>
      <c r="N516" s="1260"/>
      <c r="O516" s="1260"/>
      <c r="P516" s="1260"/>
      <c r="Q516" s="1260"/>
      <c r="R516" s="1260"/>
      <c r="S516" s="1260"/>
      <c r="T516" s="1260"/>
      <c r="U516" s="1260"/>
      <c r="V516" s="1260"/>
      <c r="W516" s="1260"/>
      <c r="X516" s="1260"/>
      <c r="Y516" s="1260"/>
      <c r="Z516" s="1260"/>
      <c r="AA516" s="1260"/>
      <c r="AB516" s="1260"/>
      <c r="AC516" s="1260"/>
      <c r="AD516" s="1260"/>
      <c r="AE516" s="1260"/>
    </row>
    <row r="517" spans="1:31" s="1217" customFormat="1">
      <c r="A517" s="1265"/>
      <c r="B517" s="1271">
        <v>2.5999999999999999E-2</v>
      </c>
      <c r="C517" s="1266" t="s">
        <v>51</v>
      </c>
      <c r="D517" s="1265" t="s">
        <v>1580</v>
      </c>
      <c r="E517" s="1270">
        <f>Material!$G$8</f>
        <v>350000</v>
      </c>
      <c r="F517" s="1268">
        <f>B517*E517</f>
        <v>9100</v>
      </c>
      <c r="G517" s="1269"/>
      <c r="H517" s="1269"/>
      <c r="I517" s="1268"/>
      <c r="J517" s="1260"/>
      <c r="K517" s="1260"/>
      <c r="L517" s="1260"/>
      <c r="M517" s="1260"/>
      <c r="N517" s="1260"/>
      <c r="O517" s="1260"/>
      <c r="P517" s="1260"/>
      <c r="Q517" s="1260"/>
      <c r="R517" s="1260"/>
      <c r="S517" s="1260"/>
      <c r="T517" s="1260"/>
      <c r="U517" s="1260"/>
      <c r="V517" s="1260"/>
      <c r="W517" s="1260"/>
      <c r="X517" s="1260"/>
      <c r="Y517" s="1260"/>
      <c r="Z517" s="1260"/>
      <c r="AA517" s="1260"/>
      <c r="AB517" s="1260"/>
      <c r="AC517" s="1260"/>
      <c r="AD517" s="1260"/>
      <c r="AE517" s="1260"/>
    </row>
    <row r="518" spans="1:31" s="1217" customFormat="1">
      <c r="A518" s="1265"/>
      <c r="B518" s="1271">
        <v>0.6</v>
      </c>
      <c r="C518" s="1266" t="s">
        <v>50</v>
      </c>
      <c r="D518" s="1265" t="s">
        <v>383</v>
      </c>
      <c r="E518" s="1270">
        <f>$I$506</f>
        <v>42600</v>
      </c>
      <c r="F518" s="1268">
        <f>B518*F506</f>
        <v>1560</v>
      </c>
      <c r="G518" s="1269">
        <f>B518*G506</f>
        <v>24000</v>
      </c>
      <c r="H518" s="1269"/>
      <c r="I518" s="1268"/>
      <c r="J518" s="1260"/>
      <c r="K518" s="1260"/>
      <c r="L518" s="1260"/>
      <c r="M518" s="1260"/>
      <c r="N518" s="1260"/>
      <c r="O518" s="1260"/>
      <c r="P518" s="1260"/>
      <c r="Q518" s="1260"/>
      <c r="R518" s="1260"/>
      <c r="S518" s="1260"/>
      <c r="T518" s="1260"/>
      <c r="U518" s="1260"/>
      <c r="V518" s="1260"/>
      <c r="W518" s="1260"/>
      <c r="X518" s="1260"/>
      <c r="Y518" s="1260"/>
      <c r="Z518" s="1260"/>
      <c r="AA518" s="1260"/>
      <c r="AB518" s="1260"/>
      <c r="AC518" s="1260"/>
      <c r="AD518" s="1260"/>
      <c r="AE518" s="1260"/>
    </row>
    <row r="519" spans="1:31" s="1217" customFormat="1">
      <c r="A519" s="1265"/>
      <c r="B519" s="1271">
        <v>1</v>
      </c>
      <c r="C519" s="1266" t="s">
        <v>49</v>
      </c>
      <c r="D519" s="1265" t="s">
        <v>1579</v>
      </c>
      <c r="E519" s="1270">
        <f>Upah!$D$93</f>
        <v>60000</v>
      </c>
      <c r="F519" s="1268"/>
      <c r="G519" s="1269">
        <f>B519*E519</f>
        <v>60000</v>
      </c>
      <c r="H519" s="1269"/>
      <c r="I519" s="1268"/>
      <c r="J519" s="1260"/>
      <c r="K519" s="1260"/>
      <c r="L519" s="1260"/>
      <c r="M519" s="1260"/>
      <c r="N519" s="1260"/>
      <c r="O519" s="1260"/>
      <c r="P519" s="1260"/>
      <c r="Q519" s="1260"/>
      <c r="R519" s="1260"/>
      <c r="S519" s="1260"/>
      <c r="T519" s="1260"/>
      <c r="U519" s="1260"/>
      <c r="V519" s="1260"/>
      <c r="W519" s="1260"/>
      <c r="X519" s="1260"/>
      <c r="Y519" s="1260"/>
      <c r="Z519" s="1260"/>
      <c r="AA519" s="1260"/>
      <c r="AB519" s="1260"/>
      <c r="AC519" s="1260"/>
      <c r="AD519" s="1260"/>
      <c r="AE519" s="1260"/>
    </row>
    <row r="520" spans="1:31" s="1217" customFormat="1" ht="13.5" thickBot="1">
      <c r="A520" s="1265"/>
      <c r="B520" s="1271"/>
      <c r="C520" s="1266"/>
      <c r="D520" s="1265"/>
      <c r="E520" s="1270"/>
      <c r="F520" s="1268"/>
      <c r="G520" s="1269"/>
      <c r="H520" s="1269"/>
      <c r="I520" s="1268"/>
      <c r="J520" s="1260"/>
      <c r="K520" s="1260"/>
      <c r="L520" s="1260"/>
      <c r="M520" s="1260"/>
      <c r="N520" s="1260"/>
      <c r="O520" s="1260"/>
      <c r="P520" s="1260"/>
      <c r="Q520" s="1260"/>
      <c r="R520" s="1260"/>
      <c r="S520" s="1260"/>
      <c r="T520" s="1260"/>
      <c r="U520" s="1260"/>
      <c r="V520" s="1260"/>
      <c r="W520" s="1260"/>
      <c r="X520" s="1260"/>
      <c r="Y520" s="1260"/>
      <c r="Z520" s="1260"/>
      <c r="AA520" s="1260"/>
      <c r="AB520" s="1260"/>
      <c r="AC520" s="1260"/>
      <c r="AD520" s="1260"/>
      <c r="AE520" s="1260"/>
    </row>
    <row r="521" spans="1:31" s="1217" customFormat="1" ht="13.5" thickBot="1">
      <c r="A521" s="1265"/>
      <c r="B521" s="1267"/>
      <c r="C521" s="1266"/>
      <c r="D521" s="1265"/>
      <c r="E521" s="1264" t="s">
        <v>48</v>
      </c>
      <c r="F521" s="1263">
        <f>SUM(F515:F520)</f>
        <v>24635</v>
      </c>
      <c r="G521" s="1262">
        <f>SUM(G515:G520)</f>
        <v>84000</v>
      </c>
      <c r="H521" s="1262"/>
      <c r="I521" s="1261">
        <f>SUM(F521:G521)</f>
        <v>108635</v>
      </c>
      <c r="J521" s="1260"/>
      <c r="K521" s="1260"/>
      <c r="L521" s="1260"/>
      <c r="M521" s="1260"/>
      <c r="N521" s="1260"/>
      <c r="O521" s="1260"/>
      <c r="P521" s="1260"/>
      <c r="Q521" s="1260"/>
      <c r="R521" s="1260"/>
      <c r="S521" s="1260"/>
      <c r="T521" s="1260"/>
      <c r="U521" s="1260"/>
      <c r="V521" s="1260"/>
      <c r="W521" s="1260"/>
      <c r="X521" s="1260"/>
      <c r="Y521" s="1260"/>
      <c r="Z521" s="1260"/>
      <c r="AA521" s="1260"/>
      <c r="AB521" s="1260"/>
      <c r="AC521" s="1260"/>
      <c r="AD521" s="1260"/>
      <c r="AE521" s="1260"/>
    </row>
    <row r="522" spans="1:31">
      <c r="A522" s="1299"/>
      <c r="B522" s="1303"/>
      <c r="C522" s="1300"/>
      <c r="D522" s="1299"/>
      <c r="E522" s="1298"/>
      <c r="F522" s="1296"/>
      <c r="G522" s="1297"/>
      <c r="H522" s="1297"/>
      <c r="I522" s="1296"/>
      <c r="J522" s="1295"/>
      <c r="K522" s="1295"/>
      <c r="L522" s="1295"/>
      <c r="M522" s="1295"/>
      <c r="N522" s="1295"/>
      <c r="O522" s="1295"/>
      <c r="P522" s="1295"/>
      <c r="Q522" s="1295"/>
      <c r="R522" s="1295"/>
      <c r="S522" s="1295"/>
      <c r="T522" s="1295"/>
      <c r="U522" s="1295"/>
      <c r="V522" s="1295"/>
      <c r="W522" s="1295"/>
      <c r="X522" s="1295"/>
      <c r="Y522" s="1295"/>
      <c r="Z522" s="1295"/>
      <c r="AA522" s="1295"/>
      <c r="AB522" s="1295"/>
      <c r="AC522" s="1295"/>
      <c r="AD522" s="1295"/>
      <c r="AE522" s="1295"/>
    </row>
    <row r="523" spans="1:31">
      <c r="A523" s="1302"/>
      <c r="B523" s="1301"/>
      <c r="C523" s="1300"/>
      <c r="D523" s="1299"/>
      <c r="E523" s="1298"/>
      <c r="F523" s="1296"/>
      <c r="G523" s="1297"/>
      <c r="H523" s="1297"/>
      <c r="I523" s="1296"/>
      <c r="J523" s="1295"/>
      <c r="K523" s="1295"/>
      <c r="L523" s="1295"/>
      <c r="M523" s="1295"/>
      <c r="N523" s="1295"/>
      <c r="O523" s="1295"/>
      <c r="P523" s="1295"/>
      <c r="Q523" s="1295"/>
      <c r="R523" s="1295"/>
      <c r="S523" s="1295"/>
      <c r="T523" s="1295"/>
      <c r="U523" s="1295"/>
      <c r="V523" s="1295"/>
      <c r="W523" s="1295"/>
      <c r="X523" s="1295"/>
      <c r="Y523" s="1295"/>
      <c r="Z523" s="1295"/>
      <c r="AA523" s="1295"/>
      <c r="AB523" s="1295"/>
      <c r="AC523" s="1295"/>
      <c r="AD523" s="1295"/>
      <c r="AE523" s="1295"/>
    </row>
    <row r="524" spans="1:31" s="1217" customFormat="1">
      <c r="A524" s="1275"/>
      <c r="B524" s="1267" t="s">
        <v>1578</v>
      </c>
      <c r="C524" s="1266"/>
      <c r="D524" s="1265"/>
      <c r="E524" s="1274"/>
      <c r="F524" s="1272"/>
      <c r="G524" s="1273"/>
      <c r="H524" s="1273"/>
      <c r="I524" s="1272"/>
      <c r="J524" s="1260"/>
      <c r="K524" s="1260"/>
      <c r="L524" s="1260"/>
      <c r="M524" s="1260"/>
      <c r="N524" s="1260"/>
      <c r="O524" s="1260"/>
      <c r="P524" s="1260"/>
      <c r="Q524" s="1260"/>
      <c r="R524" s="1260"/>
      <c r="S524" s="1260"/>
      <c r="T524" s="1260"/>
      <c r="U524" s="1260"/>
      <c r="V524" s="1260"/>
      <c r="W524" s="1260"/>
      <c r="X524" s="1260"/>
      <c r="Y524" s="1260"/>
      <c r="Z524" s="1260"/>
      <c r="AA524" s="1260"/>
      <c r="AB524" s="1260"/>
      <c r="AC524" s="1260"/>
      <c r="AD524" s="1260"/>
      <c r="AE524" s="1260"/>
    </row>
    <row r="525" spans="1:31" s="1217" customFormat="1">
      <c r="A525" s="1265"/>
      <c r="B525" s="1271">
        <f>(40/20)*1.25</f>
        <v>2.5</v>
      </c>
      <c r="C525" s="1266" t="s">
        <v>53</v>
      </c>
      <c r="D525" s="1265" t="s">
        <v>1577</v>
      </c>
      <c r="E525" s="1270">
        <f>Material!$G$81</f>
        <v>1600</v>
      </c>
      <c r="F525" s="1268">
        <f>B525*E525</f>
        <v>4000</v>
      </c>
      <c r="G525" s="1269"/>
      <c r="H525" s="1269"/>
      <c r="I525" s="1272"/>
      <c r="J525" s="1260"/>
      <c r="K525" s="1260"/>
      <c r="L525" s="1260"/>
      <c r="M525" s="1260"/>
      <c r="N525" s="1260"/>
      <c r="O525" s="1260"/>
      <c r="P525" s="1260"/>
      <c r="Q525" s="1260"/>
      <c r="R525" s="1260"/>
      <c r="S525" s="1260"/>
      <c r="T525" s="1260"/>
      <c r="U525" s="1260"/>
      <c r="V525" s="1260"/>
      <c r="W525" s="1260"/>
      <c r="X525" s="1260"/>
      <c r="Y525" s="1260"/>
      <c r="Z525" s="1260"/>
      <c r="AA525" s="1260"/>
      <c r="AB525" s="1260"/>
      <c r="AC525" s="1260"/>
      <c r="AD525" s="1260"/>
      <c r="AE525" s="1260"/>
    </row>
    <row r="526" spans="1:31" s="1217" customFormat="1">
      <c r="A526" s="1265"/>
      <c r="B526" s="1271">
        <v>1</v>
      </c>
      <c r="C526" s="1266" t="s">
        <v>49</v>
      </c>
      <c r="D526" s="1265" t="s">
        <v>1576</v>
      </c>
      <c r="E526" s="1270">
        <f>Upah!$D$95</f>
        <v>30000</v>
      </c>
      <c r="F526" s="1268"/>
      <c r="G526" s="1269">
        <f>B526*E526</f>
        <v>30000</v>
      </c>
      <c r="H526" s="1269"/>
      <c r="I526" s="1272"/>
      <c r="J526" s="1260"/>
      <c r="K526" s="1260"/>
      <c r="L526" s="1260"/>
      <c r="M526" s="1260"/>
      <c r="N526" s="1260"/>
      <c r="O526" s="1260"/>
      <c r="P526" s="1260"/>
      <c r="Q526" s="1260"/>
      <c r="R526" s="1260"/>
      <c r="S526" s="1260"/>
      <c r="T526" s="1260"/>
      <c r="U526" s="1260"/>
      <c r="V526" s="1260"/>
      <c r="W526" s="1260"/>
      <c r="X526" s="1260"/>
      <c r="Y526" s="1260"/>
      <c r="Z526" s="1260"/>
      <c r="AA526" s="1260"/>
      <c r="AB526" s="1260"/>
      <c r="AC526" s="1260"/>
      <c r="AD526" s="1260"/>
      <c r="AE526" s="1260"/>
    </row>
    <row r="527" spans="1:31" s="1217" customFormat="1" ht="13.5" thickBot="1">
      <c r="A527" s="1265"/>
      <c r="B527" s="1271"/>
      <c r="C527" s="1266"/>
      <c r="D527" s="1265"/>
      <c r="E527" s="1270"/>
      <c r="F527" s="1268"/>
      <c r="G527" s="1269"/>
      <c r="H527" s="1269"/>
      <c r="I527" s="1272"/>
      <c r="J527" s="1260"/>
      <c r="K527" s="1260"/>
      <c r="L527" s="1260"/>
      <c r="M527" s="1260"/>
      <c r="N527" s="1260"/>
      <c r="O527" s="1260"/>
      <c r="P527" s="1260"/>
      <c r="Q527" s="1260"/>
      <c r="R527" s="1260"/>
      <c r="S527" s="1260"/>
      <c r="T527" s="1260"/>
      <c r="U527" s="1260"/>
      <c r="V527" s="1260"/>
      <c r="W527" s="1260"/>
      <c r="X527" s="1260"/>
      <c r="Y527" s="1260"/>
      <c r="Z527" s="1260"/>
      <c r="AA527" s="1260"/>
      <c r="AB527" s="1260"/>
      <c r="AC527" s="1260"/>
      <c r="AD527" s="1260"/>
      <c r="AE527" s="1260"/>
    </row>
    <row r="528" spans="1:31" s="1217" customFormat="1" ht="13.5" thickBot="1">
      <c r="A528" s="1265"/>
      <c r="B528" s="1267"/>
      <c r="C528" s="1266"/>
      <c r="D528" s="1265"/>
      <c r="E528" s="1264" t="s">
        <v>48</v>
      </c>
      <c r="F528" s="1263">
        <f>SUM(F524:F527)</f>
        <v>4000</v>
      </c>
      <c r="G528" s="1262">
        <f>SUM(G524:G527)</f>
        <v>30000</v>
      </c>
      <c r="H528" s="1262"/>
      <c r="I528" s="1261">
        <f>SUM(F528:G528)</f>
        <v>34000</v>
      </c>
      <c r="J528" s="1260"/>
      <c r="K528" s="1260"/>
      <c r="L528" s="1260"/>
      <c r="M528" s="1260"/>
      <c r="N528" s="1260"/>
      <c r="O528" s="1260"/>
      <c r="P528" s="1260"/>
      <c r="Q528" s="1260"/>
      <c r="R528" s="1260"/>
      <c r="S528" s="1260"/>
      <c r="T528" s="1260"/>
      <c r="U528" s="1260"/>
      <c r="V528" s="1260"/>
      <c r="W528" s="1260"/>
      <c r="X528" s="1260"/>
      <c r="Y528" s="1260"/>
      <c r="Z528" s="1260"/>
      <c r="AA528" s="1260"/>
      <c r="AB528" s="1260"/>
      <c r="AC528" s="1260"/>
      <c r="AD528" s="1260"/>
      <c r="AE528" s="1260"/>
    </row>
    <row r="529" spans="1:31" s="1217" customFormat="1">
      <c r="A529" s="1265"/>
      <c r="B529" s="1267"/>
      <c r="C529" s="1266"/>
      <c r="D529" s="1265"/>
      <c r="E529" s="1276"/>
      <c r="F529" s="1272"/>
      <c r="G529" s="1273"/>
      <c r="H529" s="1273"/>
      <c r="I529" s="1272"/>
      <c r="J529" s="1260"/>
      <c r="K529" s="1260"/>
      <c r="L529" s="1260"/>
      <c r="M529" s="1260"/>
      <c r="N529" s="1260"/>
      <c r="O529" s="1260"/>
      <c r="P529" s="1260"/>
      <c r="Q529" s="1260"/>
      <c r="R529" s="1260"/>
      <c r="S529" s="1260"/>
      <c r="T529" s="1260"/>
      <c r="U529" s="1260"/>
      <c r="V529" s="1260"/>
      <c r="W529" s="1260"/>
      <c r="X529" s="1260"/>
      <c r="Y529" s="1260"/>
      <c r="Z529" s="1260"/>
      <c r="AA529" s="1260"/>
      <c r="AB529" s="1260"/>
      <c r="AC529" s="1260"/>
      <c r="AD529" s="1260"/>
      <c r="AE529" s="1260"/>
    </row>
    <row r="530" spans="1:31" s="1217" customFormat="1">
      <c r="A530" s="1275"/>
      <c r="B530" s="1267" t="s">
        <v>1575</v>
      </c>
      <c r="C530" s="1266"/>
      <c r="D530" s="1265"/>
      <c r="E530" s="1274"/>
      <c r="F530" s="1272"/>
      <c r="G530" s="1273"/>
      <c r="H530" s="1273"/>
      <c r="I530" s="1272"/>
      <c r="J530" s="1260"/>
      <c r="K530" s="1260"/>
      <c r="L530" s="1260"/>
      <c r="M530" s="1260"/>
      <c r="N530" s="1260"/>
      <c r="O530" s="1260"/>
      <c r="P530" s="1260"/>
      <c r="Q530" s="1260"/>
      <c r="R530" s="1260"/>
      <c r="S530" s="1260"/>
      <c r="T530" s="1260"/>
      <c r="U530" s="1260"/>
      <c r="V530" s="1260"/>
      <c r="W530" s="1260"/>
      <c r="X530" s="1260"/>
      <c r="Y530" s="1260"/>
      <c r="Z530" s="1260"/>
      <c r="AA530" s="1260"/>
      <c r="AB530" s="1260"/>
      <c r="AC530" s="1260"/>
      <c r="AD530" s="1260"/>
      <c r="AE530" s="1260"/>
    </row>
    <row r="531" spans="1:31" s="1217" customFormat="1">
      <c r="A531" s="1265"/>
      <c r="B531" s="1271">
        <v>0.19</v>
      </c>
      <c r="C531" s="1266" t="s">
        <v>1574</v>
      </c>
      <c r="D531" s="1265" t="s">
        <v>1573</v>
      </c>
      <c r="E531" s="1270">
        <f>Material!$G$14</f>
        <v>65000</v>
      </c>
      <c r="F531" s="1268">
        <f>B531*E531</f>
        <v>12350</v>
      </c>
      <c r="G531" s="1269"/>
      <c r="H531" s="1269"/>
      <c r="I531" s="1268"/>
      <c r="J531" s="1260"/>
      <c r="K531" s="1260"/>
      <c r="L531" s="1260"/>
      <c r="M531" s="1260"/>
      <c r="N531" s="1260"/>
      <c r="O531" s="1260"/>
      <c r="P531" s="1260"/>
      <c r="Q531" s="1260"/>
      <c r="R531" s="1260"/>
      <c r="S531" s="1260"/>
      <c r="T531" s="1260"/>
      <c r="U531" s="1260"/>
      <c r="V531" s="1260"/>
      <c r="W531" s="1260"/>
      <c r="X531" s="1260"/>
      <c r="Y531" s="1260"/>
      <c r="Z531" s="1260"/>
      <c r="AA531" s="1260"/>
      <c r="AB531" s="1260"/>
      <c r="AC531" s="1260"/>
      <c r="AD531" s="1260"/>
      <c r="AE531" s="1260"/>
    </row>
    <row r="532" spans="1:31" s="1217" customFormat="1">
      <c r="A532" s="1265"/>
      <c r="B532" s="1271">
        <v>0.1</v>
      </c>
      <c r="C532" s="1266" t="s">
        <v>51</v>
      </c>
      <c r="D532" s="1265" t="s">
        <v>1572</v>
      </c>
      <c r="E532" s="1270">
        <f>Material!$G$21</f>
        <v>40000</v>
      </c>
      <c r="F532" s="1268">
        <f>B532*E532</f>
        <v>4000</v>
      </c>
      <c r="G532" s="1269"/>
      <c r="H532" s="1269"/>
      <c r="I532" s="1268"/>
      <c r="J532" s="1260"/>
      <c r="K532" s="1260"/>
      <c r="L532" s="1260"/>
      <c r="M532" s="1260"/>
      <c r="N532" s="1260"/>
      <c r="O532" s="1260"/>
      <c r="P532" s="1260"/>
      <c r="Q532" s="1260"/>
      <c r="R532" s="1260"/>
      <c r="S532" s="1260"/>
      <c r="T532" s="1260"/>
      <c r="U532" s="1260"/>
      <c r="V532" s="1260"/>
      <c r="W532" s="1260"/>
      <c r="X532" s="1260"/>
      <c r="Y532" s="1260"/>
      <c r="Z532" s="1260"/>
      <c r="AA532" s="1260"/>
      <c r="AB532" s="1260"/>
      <c r="AC532" s="1260"/>
      <c r="AD532" s="1260"/>
      <c r="AE532" s="1260"/>
    </row>
    <row r="533" spans="1:31" s="1217" customFormat="1">
      <c r="A533" s="1265"/>
      <c r="B533" s="1271">
        <v>1</v>
      </c>
      <c r="C533" s="1266" t="s">
        <v>49</v>
      </c>
      <c r="D533" s="1265" t="s">
        <v>1571</v>
      </c>
      <c r="E533" s="1270">
        <f>Upah!$D$96</f>
        <v>30000</v>
      </c>
      <c r="F533" s="1268"/>
      <c r="G533" s="1269">
        <f>B533*E533</f>
        <v>30000</v>
      </c>
      <c r="H533" s="1269"/>
      <c r="I533" s="1268"/>
      <c r="J533" s="1260"/>
      <c r="K533" s="1260"/>
      <c r="L533" s="1260"/>
      <c r="M533" s="1260"/>
      <c r="N533" s="1260"/>
      <c r="O533" s="1260"/>
      <c r="P533" s="1260"/>
      <c r="Q533" s="1260"/>
      <c r="R533" s="1260"/>
      <c r="S533" s="1260"/>
      <c r="T533" s="1260"/>
      <c r="U533" s="1260"/>
      <c r="V533" s="1260"/>
      <c r="W533" s="1260"/>
      <c r="X533" s="1260"/>
      <c r="Y533" s="1260"/>
      <c r="Z533" s="1260"/>
      <c r="AA533" s="1260"/>
      <c r="AB533" s="1260"/>
      <c r="AC533" s="1260"/>
      <c r="AD533" s="1260"/>
      <c r="AE533" s="1260"/>
    </row>
    <row r="534" spans="1:31" s="1217" customFormat="1" ht="13.5" thickBot="1">
      <c r="A534" s="1265"/>
      <c r="B534" s="1271"/>
      <c r="C534" s="1266"/>
      <c r="D534" s="1265"/>
      <c r="E534" s="1270"/>
      <c r="F534" s="1268"/>
      <c r="G534" s="1269"/>
      <c r="H534" s="1269"/>
      <c r="I534" s="1268"/>
      <c r="J534" s="1260"/>
      <c r="K534" s="1260"/>
      <c r="L534" s="1260"/>
      <c r="M534" s="1260"/>
      <c r="N534" s="1260"/>
      <c r="O534" s="1260"/>
      <c r="P534" s="1260"/>
      <c r="Q534" s="1260"/>
      <c r="R534" s="1260"/>
      <c r="S534" s="1260"/>
      <c r="T534" s="1260"/>
      <c r="U534" s="1260"/>
      <c r="V534" s="1260"/>
      <c r="W534" s="1260"/>
      <c r="X534" s="1260"/>
      <c r="Y534" s="1260"/>
      <c r="Z534" s="1260"/>
      <c r="AA534" s="1260"/>
      <c r="AB534" s="1260"/>
      <c r="AC534" s="1260"/>
      <c r="AD534" s="1260"/>
      <c r="AE534" s="1260"/>
    </row>
    <row r="535" spans="1:31" s="1217" customFormat="1" ht="13.5" thickBot="1">
      <c r="A535" s="1265"/>
      <c r="B535" s="1267"/>
      <c r="C535" s="1266"/>
      <c r="D535" s="1265"/>
      <c r="E535" s="1264" t="s">
        <v>48</v>
      </c>
      <c r="F535" s="1263">
        <f>SUM(F530:F534)</f>
        <v>16350</v>
      </c>
      <c r="G535" s="1262">
        <f>SUM(G530:G534)</f>
        <v>30000</v>
      </c>
      <c r="H535" s="1262"/>
      <c r="I535" s="1261">
        <f>SUM(F535:G535)</f>
        <v>46350</v>
      </c>
      <c r="J535" s="1260"/>
      <c r="K535" s="1260"/>
      <c r="L535" s="1260"/>
      <c r="M535" s="1260"/>
      <c r="N535" s="1260"/>
      <c r="O535" s="1260"/>
      <c r="P535" s="1260"/>
      <c r="Q535" s="1260"/>
      <c r="R535" s="1260"/>
      <c r="S535" s="1260"/>
      <c r="T535" s="1260"/>
      <c r="U535" s="1260"/>
      <c r="V535" s="1260"/>
      <c r="W535" s="1260"/>
      <c r="X535" s="1260"/>
      <c r="Y535" s="1260"/>
      <c r="Z535" s="1260"/>
      <c r="AA535" s="1260"/>
      <c r="AB535" s="1260"/>
      <c r="AC535" s="1260"/>
      <c r="AD535" s="1260"/>
      <c r="AE535" s="1260"/>
    </row>
    <row r="537" spans="1:31">
      <c r="A537" s="1299"/>
      <c r="B537" s="1303"/>
      <c r="C537" s="1300"/>
      <c r="D537" s="1299"/>
      <c r="E537" s="1298"/>
      <c r="F537" s="1296"/>
      <c r="G537" s="1297"/>
      <c r="H537" s="1296"/>
      <c r="I537" s="1295"/>
      <c r="J537" s="1295"/>
      <c r="K537" s="1295"/>
      <c r="L537" s="1295"/>
      <c r="M537" s="1295"/>
      <c r="N537" s="1295"/>
      <c r="O537" s="1295"/>
      <c r="P537" s="1295"/>
      <c r="Q537" s="1295"/>
      <c r="R537" s="1295"/>
      <c r="S537" s="1295"/>
      <c r="T537" s="1295"/>
      <c r="U537" s="1295"/>
      <c r="V537" s="1295"/>
      <c r="W537" s="1295"/>
      <c r="X537" s="1295"/>
      <c r="Y537" s="1295"/>
      <c r="Z537" s="1295"/>
      <c r="AA537" s="1295"/>
      <c r="AB537" s="1295"/>
      <c r="AC537" s="1295"/>
      <c r="AD537" s="1295"/>
    </row>
    <row r="538" spans="1:31">
      <c r="A538" s="1302"/>
      <c r="B538" s="1301"/>
      <c r="C538" s="1300"/>
      <c r="D538" s="1299"/>
      <c r="E538" s="1298"/>
      <c r="F538" s="1296"/>
      <c r="G538" s="1297"/>
      <c r="H538" s="1296"/>
      <c r="I538" s="1295"/>
      <c r="J538" s="1295"/>
      <c r="K538" s="1295"/>
      <c r="L538" s="1295"/>
      <c r="M538" s="1295"/>
      <c r="N538" s="1295"/>
      <c r="O538" s="1295"/>
      <c r="P538" s="1295"/>
      <c r="Q538" s="1295"/>
      <c r="R538" s="1295"/>
      <c r="S538" s="1295"/>
      <c r="T538" s="1295"/>
      <c r="U538" s="1295"/>
      <c r="V538" s="1295"/>
      <c r="W538" s="1295"/>
      <c r="X538" s="1295"/>
      <c r="Y538" s="1295"/>
      <c r="Z538" s="1295"/>
      <c r="AA538" s="1295"/>
      <c r="AB538" s="1295"/>
      <c r="AC538" s="1295"/>
      <c r="AD538" s="1295"/>
    </row>
    <row r="539" spans="1:31" s="1277" customFormat="1">
      <c r="A539" s="1293"/>
      <c r="B539" s="1285" t="s">
        <v>1570</v>
      </c>
      <c r="C539" s="1284"/>
      <c r="D539" s="1283"/>
      <c r="E539" s="1292"/>
      <c r="F539" s="1290"/>
      <c r="G539" s="1291"/>
      <c r="H539" s="1290"/>
      <c r="I539" s="1278"/>
      <c r="J539" s="1278"/>
      <c r="K539" s="1278"/>
      <c r="L539" s="1278"/>
      <c r="M539" s="1278"/>
      <c r="N539" s="1278"/>
      <c r="O539" s="1278"/>
      <c r="P539" s="1278"/>
      <c r="Q539" s="1278"/>
      <c r="R539" s="1278"/>
      <c r="S539" s="1278"/>
      <c r="T539" s="1278"/>
      <c r="U539" s="1278"/>
      <c r="V539" s="1278"/>
      <c r="W539" s="1278"/>
      <c r="X539" s="1278"/>
      <c r="Y539" s="1278"/>
      <c r="Z539" s="1278"/>
      <c r="AA539" s="1278"/>
      <c r="AB539" s="1278"/>
      <c r="AC539" s="1278"/>
      <c r="AD539" s="1278"/>
    </row>
    <row r="540" spans="1:31" s="1277" customFormat="1">
      <c r="A540" s="1283"/>
      <c r="B540" s="1289">
        <f>1/4*1.1</f>
        <v>0.27500000000000002</v>
      </c>
      <c r="C540" s="1284" t="s">
        <v>1558</v>
      </c>
      <c r="D540" s="1283" t="s">
        <v>1557</v>
      </c>
      <c r="E540" s="1288">
        <f>Material!$G$83</f>
        <v>1883515</v>
      </c>
      <c r="F540" s="1286">
        <f>B540*E540</f>
        <v>517966.62500000006</v>
      </c>
      <c r="G540" s="1287"/>
      <c r="H540" s="1290"/>
      <c r="I540" s="1278"/>
      <c r="J540" s="1278"/>
      <c r="K540" s="1278"/>
      <c r="L540" s="1278"/>
      <c r="M540" s="1278"/>
      <c r="N540" s="1278"/>
      <c r="O540" s="1278"/>
      <c r="P540" s="1278"/>
      <c r="Q540" s="1278"/>
      <c r="R540" s="1278"/>
      <c r="S540" s="1278"/>
      <c r="T540" s="1278"/>
      <c r="U540" s="1278"/>
      <c r="V540" s="1278"/>
      <c r="W540" s="1278"/>
      <c r="X540" s="1278"/>
      <c r="Y540" s="1278"/>
      <c r="Z540" s="1278"/>
      <c r="AA540" s="1278"/>
      <c r="AB540" s="1278"/>
      <c r="AC540" s="1278"/>
      <c r="AD540" s="1278"/>
    </row>
    <row r="541" spans="1:31" s="1277" customFormat="1">
      <c r="A541" s="1283"/>
      <c r="B541" s="1289">
        <v>1</v>
      </c>
      <c r="C541" s="1284" t="s">
        <v>50</v>
      </c>
      <c r="D541" s="1283" t="s">
        <v>1547</v>
      </c>
      <c r="E541" s="1288">
        <f>Upah!$D$98</f>
        <v>40000</v>
      </c>
      <c r="F541" s="1286"/>
      <c r="G541" s="1287">
        <f>B541*E541</f>
        <v>40000</v>
      </c>
      <c r="H541" s="1286"/>
      <c r="I541" s="1278"/>
      <c r="J541" s="1278"/>
      <c r="K541" s="1278"/>
      <c r="L541" s="1278"/>
      <c r="M541" s="1278"/>
      <c r="N541" s="1278"/>
      <c r="O541" s="1278"/>
      <c r="P541" s="1278"/>
      <c r="Q541" s="1278"/>
      <c r="R541" s="1278"/>
      <c r="S541" s="1278"/>
      <c r="T541" s="1278"/>
      <c r="U541" s="1278"/>
      <c r="V541" s="1278"/>
      <c r="W541" s="1278"/>
      <c r="X541" s="1278"/>
      <c r="Y541" s="1278"/>
      <c r="Z541" s="1278"/>
      <c r="AA541" s="1278"/>
      <c r="AB541" s="1278"/>
      <c r="AC541" s="1278"/>
      <c r="AD541" s="1278"/>
    </row>
    <row r="542" spans="1:31" s="1277" customFormat="1" ht="13.5" thickBot="1">
      <c r="A542" s="1283"/>
      <c r="B542" s="1289"/>
      <c r="C542" s="1284"/>
      <c r="D542" s="1283"/>
      <c r="E542" s="1288"/>
      <c r="F542" s="1286"/>
      <c r="G542" s="1287"/>
      <c r="H542" s="1290"/>
      <c r="I542" s="1278"/>
      <c r="J542" s="1278"/>
      <c r="K542" s="1278"/>
      <c r="L542" s="1278"/>
      <c r="M542" s="1278"/>
      <c r="N542" s="1278"/>
      <c r="O542" s="1278"/>
      <c r="P542" s="1278"/>
      <c r="Q542" s="1278"/>
      <c r="R542" s="1278"/>
      <c r="S542" s="1278"/>
      <c r="T542" s="1278"/>
      <c r="U542" s="1278"/>
      <c r="V542" s="1278"/>
      <c r="W542" s="1278"/>
      <c r="X542" s="1278"/>
      <c r="Y542" s="1278"/>
      <c r="Z542" s="1278"/>
      <c r="AA542" s="1278"/>
      <c r="AB542" s="1278"/>
      <c r="AC542" s="1278"/>
      <c r="AD542" s="1278"/>
    </row>
    <row r="543" spans="1:31" s="1277" customFormat="1" ht="13.5" thickBot="1">
      <c r="A543" s="1283"/>
      <c r="B543" s="1285"/>
      <c r="C543" s="1284"/>
      <c r="D543" s="1283"/>
      <c r="E543" s="1282" t="s">
        <v>48</v>
      </c>
      <c r="F543" s="1281">
        <f>SUM(F539:F542)</f>
        <v>517966.62500000006</v>
      </c>
      <c r="G543" s="1280">
        <f>SUM(G539:G542)</f>
        <v>40000</v>
      </c>
      <c r="H543" s="1279">
        <f>SUM(F543:G543)</f>
        <v>557966.625</v>
      </c>
      <c r="I543" s="1278"/>
      <c r="J543" s="1278"/>
      <c r="K543" s="1278"/>
      <c r="L543" s="1278"/>
      <c r="M543" s="1278"/>
      <c r="N543" s="1278"/>
      <c r="O543" s="1278"/>
      <c r="P543" s="1278"/>
      <c r="Q543" s="1278"/>
      <c r="R543" s="1278"/>
      <c r="S543" s="1278"/>
      <c r="T543" s="1278"/>
      <c r="U543" s="1278"/>
      <c r="V543" s="1278"/>
      <c r="W543" s="1278"/>
      <c r="X543" s="1278"/>
      <c r="Y543" s="1278"/>
      <c r="Z543" s="1278"/>
      <c r="AA543" s="1278"/>
      <c r="AB543" s="1278"/>
      <c r="AC543" s="1278"/>
      <c r="AD543" s="1278"/>
    </row>
    <row r="544" spans="1:31" s="1277" customFormat="1">
      <c r="A544" s="1283"/>
      <c r="B544" s="1285"/>
      <c r="C544" s="1284"/>
      <c r="D544" s="1283"/>
      <c r="E544" s="1294"/>
      <c r="F544" s="1290"/>
      <c r="G544" s="1291"/>
      <c r="H544" s="1290"/>
      <c r="I544" s="1278"/>
      <c r="J544" s="1278"/>
      <c r="K544" s="1278"/>
      <c r="L544" s="1278"/>
      <c r="M544" s="1278"/>
      <c r="N544" s="1278"/>
      <c r="O544" s="1278"/>
      <c r="P544" s="1278"/>
      <c r="Q544" s="1278"/>
      <c r="R544" s="1278"/>
      <c r="S544" s="1278"/>
      <c r="T544" s="1278"/>
      <c r="U544" s="1278"/>
      <c r="V544" s="1278"/>
      <c r="W544" s="1278"/>
      <c r="X544" s="1278"/>
      <c r="Y544" s="1278"/>
      <c r="Z544" s="1278"/>
      <c r="AA544" s="1278"/>
      <c r="AB544" s="1278"/>
      <c r="AC544" s="1278"/>
      <c r="AD544" s="1278"/>
    </row>
    <row r="545" spans="1:30" s="1277" customFormat="1">
      <c r="A545" s="1293"/>
      <c r="B545" s="1285" t="s">
        <v>1569</v>
      </c>
      <c r="C545" s="1284"/>
      <c r="D545" s="1283"/>
      <c r="E545" s="1292"/>
      <c r="F545" s="1290"/>
      <c r="G545" s="1291"/>
      <c r="H545" s="1290"/>
      <c r="I545" s="1278"/>
      <c r="J545" s="1278"/>
      <c r="K545" s="1278"/>
      <c r="L545" s="1278"/>
      <c r="M545" s="1278"/>
      <c r="N545" s="1278"/>
      <c r="O545" s="1278"/>
      <c r="P545" s="1278"/>
      <c r="Q545" s="1278"/>
      <c r="R545" s="1278"/>
      <c r="S545" s="1278"/>
      <c r="T545" s="1278"/>
      <c r="U545" s="1278"/>
      <c r="V545" s="1278"/>
      <c r="W545" s="1278"/>
      <c r="X545" s="1278"/>
      <c r="Y545" s="1278"/>
      <c r="Z545" s="1278"/>
      <c r="AA545" s="1278"/>
      <c r="AB545" s="1278"/>
      <c r="AC545" s="1278"/>
      <c r="AD545" s="1278"/>
    </row>
    <row r="546" spans="1:30" s="1277" customFormat="1">
      <c r="A546" s="1283"/>
      <c r="B546" s="1289">
        <f>1/4*1.1</f>
        <v>0.27500000000000002</v>
      </c>
      <c r="C546" s="1284" t="s">
        <v>1558</v>
      </c>
      <c r="D546" s="1283" t="s">
        <v>1557</v>
      </c>
      <c r="E546" s="1288">
        <f>Material!$G$84</f>
        <v>1245335</v>
      </c>
      <c r="F546" s="1286">
        <f>B546*E546</f>
        <v>342467.125</v>
      </c>
      <c r="G546" s="1287"/>
      <c r="H546" s="1286"/>
      <c r="I546" s="1278"/>
      <c r="J546" s="1278"/>
      <c r="K546" s="1278"/>
      <c r="L546" s="1278"/>
      <c r="M546" s="1278"/>
      <c r="N546" s="1278"/>
      <c r="O546" s="1278"/>
      <c r="P546" s="1278"/>
      <c r="Q546" s="1278"/>
      <c r="R546" s="1278"/>
      <c r="S546" s="1278"/>
      <c r="T546" s="1278"/>
      <c r="U546" s="1278"/>
      <c r="V546" s="1278"/>
      <c r="W546" s="1278"/>
      <c r="X546" s="1278"/>
      <c r="Y546" s="1278"/>
      <c r="Z546" s="1278"/>
      <c r="AA546" s="1278"/>
      <c r="AB546" s="1278"/>
      <c r="AC546" s="1278"/>
      <c r="AD546" s="1278"/>
    </row>
    <row r="547" spans="1:30" s="1277" customFormat="1">
      <c r="A547" s="1283"/>
      <c r="B547" s="1289">
        <v>1</v>
      </c>
      <c r="C547" s="1284" t="s">
        <v>50</v>
      </c>
      <c r="D547" s="1283" t="s">
        <v>1547</v>
      </c>
      <c r="E547" s="1288">
        <f>Upah!$D$98</f>
        <v>40000</v>
      </c>
      <c r="F547" s="1286"/>
      <c r="G547" s="1287">
        <f>B547*E547</f>
        <v>40000</v>
      </c>
      <c r="H547" s="1286"/>
      <c r="I547" s="1278"/>
      <c r="J547" s="1278"/>
      <c r="K547" s="1278"/>
      <c r="L547" s="1278"/>
      <c r="M547" s="1278"/>
      <c r="N547" s="1278"/>
      <c r="O547" s="1278"/>
      <c r="P547" s="1278"/>
      <c r="Q547" s="1278"/>
      <c r="R547" s="1278"/>
      <c r="S547" s="1278"/>
      <c r="T547" s="1278"/>
      <c r="U547" s="1278"/>
      <c r="V547" s="1278"/>
      <c r="W547" s="1278"/>
      <c r="X547" s="1278"/>
      <c r="Y547" s="1278"/>
      <c r="Z547" s="1278"/>
      <c r="AA547" s="1278"/>
      <c r="AB547" s="1278"/>
      <c r="AC547" s="1278"/>
      <c r="AD547" s="1278"/>
    </row>
    <row r="548" spans="1:30" s="1277" customFormat="1" ht="13.5" thickBot="1">
      <c r="A548" s="1283"/>
      <c r="B548" s="1289"/>
      <c r="C548" s="1284"/>
      <c r="D548" s="1283"/>
      <c r="E548" s="1288"/>
      <c r="F548" s="1286"/>
      <c r="G548" s="1287"/>
      <c r="H548" s="1286"/>
      <c r="I548" s="1278"/>
      <c r="J548" s="1278"/>
      <c r="K548" s="1278"/>
      <c r="L548" s="1278"/>
      <c r="M548" s="1278"/>
      <c r="N548" s="1278"/>
      <c r="O548" s="1278"/>
      <c r="P548" s="1278"/>
      <c r="Q548" s="1278"/>
      <c r="R548" s="1278"/>
      <c r="S548" s="1278"/>
      <c r="T548" s="1278"/>
      <c r="U548" s="1278"/>
      <c r="V548" s="1278"/>
      <c r="W548" s="1278"/>
      <c r="X548" s="1278"/>
      <c r="Y548" s="1278"/>
      <c r="Z548" s="1278"/>
      <c r="AA548" s="1278"/>
      <c r="AB548" s="1278"/>
      <c r="AC548" s="1278"/>
      <c r="AD548" s="1278"/>
    </row>
    <row r="549" spans="1:30" s="1277" customFormat="1" ht="13.5" thickBot="1">
      <c r="A549" s="1283"/>
      <c r="B549" s="1285"/>
      <c r="C549" s="1284"/>
      <c r="D549" s="1283"/>
      <c r="E549" s="1282" t="s">
        <v>48</v>
      </c>
      <c r="F549" s="1281">
        <f>SUM(F545:F548)</f>
        <v>342467.125</v>
      </c>
      <c r="G549" s="1280">
        <f>SUM(G545:G548)</f>
        <v>40000</v>
      </c>
      <c r="H549" s="1279">
        <f>SUM(F549:G549)</f>
        <v>382467.125</v>
      </c>
      <c r="I549" s="1278"/>
      <c r="J549" s="1278"/>
      <c r="K549" s="1278"/>
      <c r="L549" s="1278"/>
      <c r="M549" s="1278"/>
      <c r="N549" s="1278"/>
      <c r="O549" s="1278"/>
      <c r="P549" s="1278"/>
      <c r="Q549" s="1278"/>
      <c r="R549" s="1278"/>
      <c r="S549" s="1278"/>
      <c r="T549" s="1278"/>
      <c r="U549" s="1278"/>
      <c r="V549" s="1278"/>
      <c r="W549" s="1278"/>
      <c r="X549" s="1278"/>
      <c r="Y549" s="1278"/>
      <c r="Z549" s="1278"/>
      <c r="AA549" s="1278"/>
      <c r="AB549" s="1278"/>
      <c r="AC549" s="1278"/>
      <c r="AD549" s="1278"/>
    </row>
    <row r="550" spans="1:30" s="1277" customFormat="1">
      <c r="A550" s="1283"/>
      <c r="B550" s="1285"/>
      <c r="C550" s="1284"/>
      <c r="D550" s="1283"/>
      <c r="E550" s="1294"/>
      <c r="F550" s="1290"/>
      <c r="G550" s="1291"/>
      <c r="H550" s="1290"/>
      <c r="I550" s="1278"/>
      <c r="J550" s="1278"/>
      <c r="K550" s="1278"/>
      <c r="L550" s="1278"/>
      <c r="M550" s="1278"/>
      <c r="N550" s="1278"/>
      <c r="O550" s="1278"/>
      <c r="P550" s="1278"/>
      <c r="Q550" s="1278"/>
      <c r="R550" s="1278"/>
      <c r="S550" s="1278"/>
      <c r="T550" s="1278"/>
      <c r="U550" s="1278"/>
      <c r="V550" s="1278"/>
      <c r="W550" s="1278"/>
      <c r="X550" s="1278"/>
      <c r="Y550" s="1278"/>
      <c r="Z550" s="1278"/>
      <c r="AA550" s="1278"/>
      <c r="AB550" s="1278"/>
      <c r="AC550" s="1278"/>
      <c r="AD550" s="1278"/>
    </row>
    <row r="551" spans="1:30" s="1277" customFormat="1">
      <c r="A551" s="1293"/>
      <c r="B551" s="1285" t="s">
        <v>1568</v>
      </c>
      <c r="C551" s="1284"/>
      <c r="D551" s="1283"/>
      <c r="E551" s="1292"/>
      <c r="F551" s="1290"/>
      <c r="G551" s="1291"/>
      <c r="H551" s="1290"/>
      <c r="I551" s="1278"/>
      <c r="J551" s="1278"/>
      <c r="K551" s="1278"/>
      <c r="L551" s="1278"/>
      <c r="M551" s="1278"/>
      <c r="N551" s="1278"/>
      <c r="O551" s="1278"/>
      <c r="P551" s="1278"/>
      <c r="Q551" s="1278"/>
      <c r="R551" s="1278"/>
      <c r="S551" s="1278"/>
      <c r="T551" s="1278"/>
      <c r="U551" s="1278"/>
      <c r="V551" s="1278"/>
      <c r="W551" s="1278"/>
      <c r="X551" s="1278"/>
      <c r="Y551" s="1278"/>
      <c r="Z551" s="1278"/>
      <c r="AA551" s="1278"/>
      <c r="AB551" s="1278"/>
      <c r="AC551" s="1278"/>
      <c r="AD551" s="1278"/>
    </row>
    <row r="552" spans="1:30" s="1277" customFormat="1">
      <c r="A552" s="1283"/>
      <c r="B552" s="1289">
        <f>1/4*1.1</f>
        <v>0.27500000000000002</v>
      </c>
      <c r="C552" s="1284" t="s">
        <v>1558</v>
      </c>
      <c r="D552" s="1283" t="s">
        <v>1557</v>
      </c>
      <c r="E552" s="1288">
        <f>Material!$G$85</f>
        <v>829600</v>
      </c>
      <c r="F552" s="1286">
        <f>B552*E552</f>
        <v>228140.00000000003</v>
      </c>
      <c r="G552" s="1287"/>
      <c r="H552" s="1286"/>
      <c r="I552" s="1278"/>
      <c r="J552" s="1278"/>
      <c r="K552" s="1278"/>
      <c r="L552" s="1278"/>
      <c r="M552" s="1278"/>
      <c r="N552" s="1278"/>
      <c r="O552" s="1278"/>
      <c r="P552" s="1278"/>
      <c r="Q552" s="1278"/>
      <c r="R552" s="1278"/>
      <c r="S552" s="1278"/>
      <c r="T552" s="1278"/>
      <c r="U552" s="1278"/>
      <c r="V552" s="1278"/>
      <c r="W552" s="1278"/>
      <c r="X552" s="1278"/>
      <c r="Y552" s="1278"/>
      <c r="Z552" s="1278"/>
      <c r="AA552" s="1278"/>
      <c r="AB552" s="1278"/>
      <c r="AC552" s="1278"/>
      <c r="AD552" s="1278"/>
    </row>
    <row r="553" spans="1:30" s="1277" customFormat="1">
      <c r="A553" s="1283"/>
      <c r="B553" s="1289">
        <f>4*0.15*1</f>
        <v>0.6</v>
      </c>
      <c r="C553" s="1284" t="s">
        <v>49</v>
      </c>
      <c r="D553" s="1283" t="s">
        <v>1556</v>
      </c>
      <c r="E553" s="1288">
        <f>Material!$G$75</f>
        <v>15000</v>
      </c>
      <c r="F553" s="1286">
        <f>B553*E553</f>
        <v>9000</v>
      </c>
      <c r="G553" s="1287"/>
      <c r="H553" s="1286"/>
      <c r="I553" s="1278"/>
      <c r="J553" s="1278"/>
      <c r="K553" s="1278"/>
      <c r="L553" s="1278"/>
      <c r="M553" s="1278"/>
      <c r="N553" s="1278"/>
      <c r="O553" s="1278"/>
      <c r="P553" s="1278"/>
      <c r="Q553" s="1278"/>
      <c r="R553" s="1278"/>
      <c r="S553" s="1278"/>
      <c r="T553" s="1278"/>
      <c r="U553" s="1278"/>
      <c r="V553" s="1278"/>
      <c r="W553" s="1278"/>
      <c r="X553" s="1278"/>
      <c r="Y553" s="1278"/>
      <c r="Z553" s="1278"/>
      <c r="AA553" s="1278"/>
      <c r="AB553" s="1278"/>
      <c r="AC553" s="1278"/>
      <c r="AD553" s="1278"/>
    </row>
    <row r="554" spans="1:30" s="1277" customFormat="1">
      <c r="A554" s="1283"/>
      <c r="B554" s="1289">
        <f>0.15*0.15*1</f>
        <v>2.2499999999999999E-2</v>
      </c>
      <c r="C554" s="1284" t="s">
        <v>51</v>
      </c>
      <c r="D554" s="1283" t="s">
        <v>1563</v>
      </c>
      <c r="E554" s="1288">
        <f>$I$265</f>
        <v>886530</v>
      </c>
      <c r="F554" s="1286">
        <f>B554*E554</f>
        <v>19946.924999999999</v>
      </c>
      <c r="G554" s="1287"/>
      <c r="H554" s="1286"/>
      <c r="I554" s="1278"/>
      <c r="J554" s="1278"/>
      <c r="K554" s="1278"/>
      <c r="L554" s="1278"/>
      <c r="M554" s="1278"/>
      <c r="N554" s="1278"/>
      <c r="O554" s="1278"/>
      <c r="P554" s="1278"/>
      <c r="Q554" s="1278"/>
      <c r="R554" s="1278"/>
      <c r="S554" s="1278"/>
      <c r="T554" s="1278"/>
      <c r="U554" s="1278"/>
      <c r="V554" s="1278"/>
      <c r="W554" s="1278"/>
      <c r="X554" s="1278"/>
      <c r="Y554" s="1278"/>
      <c r="Z554" s="1278"/>
      <c r="AA554" s="1278"/>
      <c r="AB554" s="1278"/>
      <c r="AC554" s="1278"/>
      <c r="AD554" s="1278"/>
    </row>
    <row r="555" spans="1:30" s="1277" customFormat="1">
      <c r="A555" s="1283"/>
      <c r="B555" s="1289">
        <v>1</v>
      </c>
      <c r="C555" s="1284" t="s">
        <v>50</v>
      </c>
      <c r="D555" s="1283" t="s">
        <v>1555</v>
      </c>
      <c r="E555" s="1288">
        <f>Upah!$D$98</f>
        <v>40000</v>
      </c>
      <c r="F555" s="1286"/>
      <c r="G555" s="1287">
        <f>B555*E555</f>
        <v>40000</v>
      </c>
      <c r="H555" s="1286"/>
      <c r="I555" s="1278"/>
      <c r="J555" s="1278"/>
      <c r="K555" s="1278"/>
      <c r="L555" s="1278"/>
      <c r="M555" s="1278"/>
      <c r="N555" s="1278"/>
      <c r="O555" s="1278"/>
      <c r="P555" s="1278"/>
      <c r="Q555" s="1278"/>
      <c r="R555" s="1278"/>
      <c r="S555" s="1278"/>
      <c r="T555" s="1278"/>
      <c r="U555" s="1278"/>
      <c r="V555" s="1278"/>
      <c r="W555" s="1278"/>
      <c r="X555" s="1278"/>
      <c r="Y555" s="1278"/>
      <c r="Z555" s="1278"/>
      <c r="AA555" s="1278"/>
      <c r="AB555" s="1278"/>
      <c r="AC555" s="1278"/>
      <c r="AD555" s="1278"/>
    </row>
    <row r="556" spans="1:30" s="1277" customFormat="1" ht="13.5" thickBot="1">
      <c r="A556" s="1283"/>
      <c r="B556" s="1289"/>
      <c r="C556" s="1284"/>
      <c r="D556" s="1283"/>
      <c r="E556" s="1288"/>
      <c r="F556" s="1286"/>
      <c r="G556" s="1287"/>
      <c r="H556" s="1286"/>
      <c r="I556" s="1278"/>
      <c r="J556" s="1278"/>
      <c r="K556" s="1278"/>
      <c r="L556" s="1278"/>
      <c r="M556" s="1278"/>
      <c r="N556" s="1278"/>
      <c r="O556" s="1278"/>
      <c r="P556" s="1278"/>
      <c r="Q556" s="1278"/>
      <c r="R556" s="1278"/>
      <c r="S556" s="1278"/>
      <c r="T556" s="1278"/>
      <c r="U556" s="1278"/>
      <c r="V556" s="1278"/>
      <c r="W556" s="1278"/>
      <c r="X556" s="1278"/>
      <c r="Y556" s="1278"/>
      <c r="Z556" s="1278"/>
      <c r="AA556" s="1278"/>
      <c r="AB556" s="1278"/>
      <c r="AC556" s="1278"/>
      <c r="AD556" s="1278"/>
    </row>
    <row r="557" spans="1:30" s="1277" customFormat="1" ht="13.5" thickBot="1">
      <c r="A557" s="1283"/>
      <c r="B557" s="1285"/>
      <c r="C557" s="1284"/>
      <c r="D557" s="1283"/>
      <c r="E557" s="1282" t="s">
        <v>48</v>
      </c>
      <c r="F557" s="1281">
        <f>SUM(F551:F556)</f>
        <v>257086.92500000002</v>
      </c>
      <c r="G557" s="1280">
        <f>SUM(G551:G556)</f>
        <v>40000</v>
      </c>
      <c r="H557" s="1279">
        <f>SUM(F557:G557)</f>
        <v>297086.92500000005</v>
      </c>
      <c r="I557" s="1278"/>
      <c r="J557" s="1278"/>
      <c r="K557" s="1278"/>
      <c r="L557" s="1278"/>
      <c r="M557" s="1278"/>
      <c r="N557" s="1278"/>
      <c r="O557" s="1278"/>
      <c r="P557" s="1278"/>
      <c r="Q557" s="1278"/>
      <c r="R557" s="1278"/>
      <c r="S557" s="1278"/>
      <c r="T557" s="1278"/>
      <c r="U557" s="1278"/>
      <c r="V557" s="1278"/>
      <c r="W557" s="1278"/>
      <c r="X557" s="1278"/>
      <c r="Y557" s="1278"/>
      <c r="Z557" s="1278"/>
      <c r="AA557" s="1278"/>
      <c r="AB557" s="1278"/>
      <c r="AC557" s="1278"/>
      <c r="AD557" s="1278"/>
    </row>
    <row r="558" spans="1:30" s="1217" customFormat="1">
      <c r="A558" s="1265"/>
      <c r="B558" s="1267"/>
      <c r="C558" s="1266"/>
      <c r="D558" s="1265"/>
      <c r="E558" s="1276"/>
      <c r="F558" s="1272"/>
      <c r="G558" s="1273"/>
      <c r="H558" s="1272"/>
      <c r="I558" s="1260"/>
      <c r="J558" s="1260"/>
      <c r="K558" s="1260"/>
      <c r="L558" s="1260"/>
      <c r="M558" s="1260"/>
      <c r="N558" s="1260"/>
      <c r="O558" s="1260"/>
      <c r="P558" s="1260"/>
      <c r="Q558" s="1260"/>
      <c r="R558" s="1260"/>
      <c r="S558" s="1260"/>
      <c r="T558" s="1260"/>
      <c r="U558" s="1260"/>
      <c r="V558" s="1260"/>
      <c r="W558" s="1260"/>
      <c r="X558" s="1260"/>
      <c r="Y558" s="1260"/>
      <c r="Z558" s="1260"/>
      <c r="AA558" s="1260"/>
      <c r="AB558" s="1260"/>
      <c r="AC558" s="1260"/>
      <c r="AD558" s="1260"/>
    </row>
    <row r="559" spans="1:30" s="1217" customFormat="1">
      <c r="A559" s="1275"/>
      <c r="B559" s="1267" t="s">
        <v>1567</v>
      </c>
      <c r="C559" s="1266"/>
      <c r="D559" s="1265"/>
      <c r="E559" s="1274"/>
      <c r="F559" s="1272"/>
      <c r="G559" s="1273"/>
      <c r="H559" s="1272"/>
      <c r="I559" s="1260"/>
      <c r="J559" s="1260"/>
      <c r="K559" s="1260"/>
      <c r="L559" s="1260"/>
      <c r="M559" s="1260"/>
      <c r="N559" s="1260"/>
      <c r="O559" s="1260"/>
      <c r="P559" s="1260"/>
      <c r="Q559" s="1260"/>
      <c r="R559" s="1260"/>
      <c r="S559" s="1260"/>
      <c r="T559" s="1260"/>
      <c r="U559" s="1260"/>
      <c r="V559" s="1260"/>
      <c r="W559" s="1260"/>
      <c r="X559" s="1260"/>
      <c r="Y559" s="1260"/>
      <c r="Z559" s="1260"/>
      <c r="AA559" s="1260"/>
      <c r="AB559" s="1260"/>
      <c r="AC559" s="1260"/>
      <c r="AD559" s="1260"/>
    </row>
    <row r="560" spans="1:30" s="1217" customFormat="1">
      <c r="A560" s="1265"/>
      <c r="B560" s="1271">
        <f>1/4*1.1</f>
        <v>0.27500000000000002</v>
      </c>
      <c r="C560" s="1266" t="s">
        <v>1558</v>
      </c>
      <c r="D560" s="1265" t="s">
        <v>1557</v>
      </c>
      <c r="E560" s="1270">
        <f>Material!$G$86</f>
        <v>662745</v>
      </c>
      <c r="F560" s="1268">
        <f>B560*E560</f>
        <v>182254.87500000003</v>
      </c>
      <c r="G560" s="1269"/>
      <c r="H560" s="1268"/>
      <c r="I560" s="1260"/>
      <c r="J560" s="1260"/>
      <c r="K560" s="1260"/>
      <c r="L560" s="1260"/>
      <c r="M560" s="1260"/>
      <c r="N560" s="1260"/>
      <c r="O560" s="1260"/>
      <c r="P560" s="1260"/>
      <c r="Q560" s="1260"/>
      <c r="R560" s="1260"/>
      <c r="S560" s="1260"/>
      <c r="T560" s="1260"/>
      <c r="U560" s="1260"/>
      <c r="V560" s="1260"/>
      <c r="W560" s="1260"/>
      <c r="X560" s="1260"/>
      <c r="Y560" s="1260"/>
      <c r="Z560" s="1260"/>
      <c r="AA560" s="1260"/>
      <c r="AB560" s="1260"/>
      <c r="AC560" s="1260"/>
      <c r="AD560" s="1260"/>
    </row>
    <row r="561" spans="1:30" s="1217" customFormat="1">
      <c r="A561" s="1265"/>
      <c r="B561" s="1271">
        <f>4*0.15*1</f>
        <v>0.6</v>
      </c>
      <c r="C561" s="1266" t="s">
        <v>49</v>
      </c>
      <c r="D561" s="1265" t="s">
        <v>1556</v>
      </c>
      <c r="E561" s="1270">
        <f>Material!$G$75</f>
        <v>15000</v>
      </c>
      <c r="F561" s="1268">
        <f>B561*E561</f>
        <v>9000</v>
      </c>
      <c r="G561" s="1269"/>
      <c r="H561" s="1268"/>
      <c r="I561" s="1260"/>
      <c r="J561" s="1260"/>
      <c r="K561" s="1260"/>
      <c r="L561" s="1260"/>
      <c r="M561" s="1260"/>
      <c r="N561" s="1260"/>
      <c r="O561" s="1260"/>
      <c r="P561" s="1260"/>
      <c r="Q561" s="1260"/>
      <c r="R561" s="1260"/>
      <c r="S561" s="1260"/>
      <c r="T561" s="1260"/>
      <c r="U561" s="1260"/>
      <c r="V561" s="1260"/>
      <c r="W561" s="1260"/>
      <c r="X561" s="1260"/>
      <c r="Y561" s="1260"/>
      <c r="Z561" s="1260"/>
      <c r="AA561" s="1260"/>
      <c r="AB561" s="1260"/>
      <c r="AC561" s="1260"/>
      <c r="AD561" s="1260"/>
    </row>
    <row r="562" spans="1:30" s="1217" customFormat="1">
      <c r="A562" s="1265"/>
      <c r="B562" s="1271">
        <f>0.1*0.15*1</f>
        <v>1.4999999999999999E-2</v>
      </c>
      <c r="C562" s="1266" t="s">
        <v>51</v>
      </c>
      <c r="D562" s="1265" t="s">
        <v>1563</v>
      </c>
      <c r="E562" s="1270">
        <f>$I$265</f>
        <v>886530</v>
      </c>
      <c r="F562" s="1268">
        <f>B562*E562</f>
        <v>13297.949999999999</v>
      </c>
      <c r="G562" s="1269"/>
      <c r="H562" s="1268"/>
      <c r="I562" s="1260"/>
      <c r="J562" s="1260"/>
      <c r="K562" s="1260"/>
      <c r="L562" s="1260"/>
      <c r="M562" s="1260"/>
      <c r="N562" s="1260"/>
      <c r="O562" s="1260"/>
      <c r="P562" s="1260"/>
      <c r="Q562" s="1260"/>
      <c r="R562" s="1260"/>
      <c r="S562" s="1260"/>
      <c r="T562" s="1260"/>
      <c r="U562" s="1260"/>
      <c r="V562" s="1260"/>
      <c r="W562" s="1260"/>
      <c r="X562" s="1260"/>
      <c r="Y562" s="1260"/>
      <c r="Z562" s="1260"/>
      <c r="AA562" s="1260"/>
      <c r="AB562" s="1260"/>
      <c r="AC562" s="1260"/>
      <c r="AD562" s="1260"/>
    </row>
    <row r="563" spans="1:30" s="1217" customFormat="1">
      <c r="A563" s="1265"/>
      <c r="B563" s="1271">
        <v>1</v>
      </c>
      <c r="C563" s="1266" t="s">
        <v>50</v>
      </c>
      <c r="D563" s="1265" t="s">
        <v>1555</v>
      </c>
      <c r="E563" s="1270">
        <f>Upah!$D$99</f>
        <v>30000</v>
      </c>
      <c r="F563" s="1268"/>
      <c r="G563" s="1269">
        <f>B563*E563</f>
        <v>30000</v>
      </c>
      <c r="H563" s="1268"/>
      <c r="I563" s="1260"/>
      <c r="J563" s="1260"/>
      <c r="K563" s="1260"/>
      <c r="L563" s="1260"/>
      <c r="M563" s="1260"/>
      <c r="N563" s="1260"/>
      <c r="O563" s="1260"/>
      <c r="P563" s="1260"/>
      <c r="Q563" s="1260"/>
      <c r="R563" s="1260"/>
      <c r="S563" s="1260"/>
      <c r="T563" s="1260"/>
      <c r="U563" s="1260"/>
      <c r="V563" s="1260"/>
      <c r="W563" s="1260"/>
      <c r="X563" s="1260"/>
      <c r="Y563" s="1260"/>
      <c r="Z563" s="1260"/>
      <c r="AA563" s="1260"/>
      <c r="AB563" s="1260"/>
      <c r="AC563" s="1260"/>
      <c r="AD563" s="1260"/>
    </row>
    <row r="564" spans="1:30" s="1217" customFormat="1" ht="13.5" thickBot="1">
      <c r="A564" s="1265"/>
      <c r="B564" s="1271"/>
      <c r="C564" s="1266"/>
      <c r="D564" s="1265"/>
      <c r="E564" s="1270"/>
      <c r="F564" s="1268"/>
      <c r="G564" s="1269"/>
      <c r="H564" s="1268"/>
      <c r="I564" s="1260"/>
      <c r="J564" s="1260"/>
      <c r="K564" s="1260"/>
      <c r="L564" s="1260"/>
      <c r="M564" s="1260"/>
      <c r="N564" s="1260"/>
      <c r="O564" s="1260"/>
      <c r="P564" s="1260"/>
      <c r="Q564" s="1260"/>
      <c r="R564" s="1260"/>
      <c r="S564" s="1260"/>
      <c r="T564" s="1260"/>
      <c r="U564" s="1260"/>
      <c r="V564" s="1260"/>
      <c r="W564" s="1260"/>
      <c r="X564" s="1260"/>
      <c r="Y564" s="1260"/>
      <c r="Z564" s="1260"/>
      <c r="AA564" s="1260"/>
      <c r="AB564" s="1260"/>
      <c r="AC564" s="1260"/>
      <c r="AD564" s="1260"/>
    </row>
    <row r="565" spans="1:30" s="1217" customFormat="1" ht="13.5" thickBot="1">
      <c r="A565" s="1265"/>
      <c r="B565" s="1267"/>
      <c r="C565" s="1266"/>
      <c r="D565" s="1265"/>
      <c r="E565" s="1264" t="s">
        <v>48</v>
      </c>
      <c r="F565" s="1263">
        <f>SUM(F559:F564)</f>
        <v>204552.82500000004</v>
      </c>
      <c r="G565" s="1262">
        <f>SUM(G559:G564)</f>
        <v>30000</v>
      </c>
      <c r="H565" s="1261">
        <f>SUM(F565:G565)</f>
        <v>234552.82500000004</v>
      </c>
      <c r="I565" s="1260"/>
      <c r="J565" s="1260"/>
      <c r="K565" s="1260"/>
      <c r="L565" s="1260"/>
      <c r="M565" s="1260"/>
      <c r="N565" s="1260"/>
      <c r="O565" s="1260"/>
      <c r="P565" s="1260"/>
      <c r="Q565" s="1260"/>
      <c r="R565" s="1260"/>
      <c r="S565" s="1260"/>
      <c r="T565" s="1260"/>
      <c r="U565" s="1260"/>
      <c r="V565" s="1260"/>
      <c r="W565" s="1260"/>
      <c r="X565" s="1260"/>
      <c r="Y565" s="1260"/>
      <c r="Z565" s="1260"/>
      <c r="AA565" s="1260"/>
      <c r="AB565" s="1260"/>
      <c r="AC565" s="1260"/>
      <c r="AD565" s="1260"/>
    </row>
    <row r="566" spans="1:30" s="1217" customFormat="1">
      <c r="A566" s="1265"/>
      <c r="B566" s="1267"/>
      <c r="C566" s="1266"/>
      <c r="D566" s="1265"/>
      <c r="E566" s="1276"/>
      <c r="F566" s="1272"/>
      <c r="G566" s="1273"/>
      <c r="H566" s="1272"/>
      <c r="I566" s="1260"/>
      <c r="J566" s="1260"/>
      <c r="K566" s="1260"/>
      <c r="L566" s="1260"/>
      <c r="M566" s="1260"/>
      <c r="N566" s="1260"/>
      <c r="O566" s="1260"/>
      <c r="P566" s="1260"/>
      <c r="Q566" s="1260"/>
      <c r="R566" s="1260"/>
      <c r="S566" s="1260"/>
      <c r="T566" s="1260"/>
      <c r="U566" s="1260"/>
      <c r="V566" s="1260"/>
      <c r="W566" s="1260"/>
      <c r="X566" s="1260"/>
      <c r="Y566" s="1260"/>
      <c r="Z566" s="1260"/>
      <c r="AA566" s="1260"/>
      <c r="AB566" s="1260"/>
      <c r="AC566" s="1260"/>
      <c r="AD566" s="1260"/>
    </row>
    <row r="567" spans="1:30" s="1217" customFormat="1">
      <c r="A567" s="1275"/>
      <c r="B567" s="1267" t="s">
        <v>1566</v>
      </c>
      <c r="C567" s="1266"/>
      <c r="D567" s="1265"/>
      <c r="E567" s="1274"/>
      <c r="F567" s="1272"/>
      <c r="G567" s="1273"/>
      <c r="H567" s="1272"/>
      <c r="I567" s="1260"/>
      <c r="J567" s="1260"/>
      <c r="K567" s="1260"/>
      <c r="L567" s="1260"/>
      <c r="M567" s="1260"/>
      <c r="N567" s="1260"/>
      <c r="O567" s="1260"/>
      <c r="P567" s="1260"/>
      <c r="Q567" s="1260"/>
      <c r="R567" s="1260"/>
      <c r="S567" s="1260"/>
      <c r="T567" s="1260"/>
      <c r="U567" s="1260"/>
      <c r="V567" s="1260"/>
      <c r="W567" s="1260"/>
      <c r="X567" s="1260"/>
      <c r="Y567" s="1260"/>
      <c r="Z567" s="1260"/>
      <c r="AA567" s="1260"/>
      <c r="AB567" s="1260"/>
      <c r="AC567" s="1260"/>
      <c r="AD567" s="1260"/>
    </row>
    <row r="568" spans="1:30" s="1217" customFormat="1">
      <c r="A568" s="1265"/>
      <c r="B568" s="1271">
        <f>1/4*1.1</f>
        <v>0.27500000000000002</v>
      </c>
      <c r="C568" s="1266" t="s">
        <v>1558</v>
      </c>
      <c r="D568" s="1265" t="s">
        <v>1557</v>
      </c>
      <c r="E568" s="1270">
        <f>Material!$G$86</f>
        <v>662745</v>
      </c>
      <c r="F568" s="1268">
        <f>B568*E568</f>
        <v>182254.87500000003</v>
      </c>
      <c r="G568" s="1269"/>
      <c r="H568" s="1268"/>
      <c r="I568" s="1260"/>
      <c r="J568" s="1260"/>
      <c r="K568" s="1260"/>
      <c r="L568" s="1260"/>
      <c r="M568" s="1260"/>
      <c r="N568" s="1260"/>
      <c r="O568" s="1260"/>
      <c r="P568" s="1260"/>
      <c r="Q568" s="1260"/>
      <c r="R568" s="1260"/>
      <c r="S568" s="1260"/>
      <c r="T568" s="1260"/>
      <c r="U568" s="1260"/>
      <c r="V568" s="1260"/>
      <c r="W568" s="1260"/>
      <c r="X568" s="1260"/>
      <c r="Y568" s="1260"/>
      <c r="Z568" s="1260"/>
      <c r="AA568" s="1260"/>
      <c r="AB568" s="1260"/>
      <c r="AC568" s="1260"/>
      <c r="AD568" s="1260"/>
    </row>
    <row r="569" spans="1:30" s="1217" customFormat="1">
      <c r="A569" s="1265"/>
      <c r="B569" s="1271">
        <v>1</v>
      </c>
      <c r="C569" s="1266" t="s">
        <v>50</v>
      </c>
      <c r="D569" s="1265" t="s">
        <v>1547</v>
      </c>
      <c r="E569" s="1270">
        <f>Upah!$D$100</f>
        <v>25000</v>
      </c>
      <c r="F569" s="1268"/>
      <c r="G569" s="1269">
        <f>B569*E569</f>
        <v>25000</v>
      </c>
      <c r="H569" s="1268"/>
      <c r="I569" s="1260"/>
      <c r="J569" s="1260"/>
      <c r="K569" s="1260"/>
      <c r="L569" s="1260"/>
      <c r="M569" s="1260"/>
      <c r="N569" s="1260"/>
      <c r="O569" s="1260"/>
      <c r="P569" s="1260"/>
      <c r="Q569" s="1260"/>
      <c r="R569" s="1260"/>
      <c r="S569" s="1260"/>
      <c r="T569" s="1260"/>
      <c r="U569" s="1260"/>
      <c r="V569" s="1260"/>
      <c r="W569" s="1260"/>
      <c r="X569" s="1260"/>
      <c r="Y569" s="1260"/>
      <c r="Z569" s="1260"/>
      <c r="AA569" s="1260"/>
      <c r="AB569" s="1260"/>
      <c r="AC569" s="1260"/>
      <c r="AD569" s="1260"/>
    </row>
    <row r="570" spans="1:30" s="1217" customFormat="1" ht="13.5" thickBot="1">
      <c r="A570" s="1265"/>
      <c r="B570" s="1271"/>
      <c r="C570" s="1266"/>
      <c r="D570" s="1265"/>
      <c r="E570" s="1270"/>
      <c r="F570" s="1268"/>
      <c r="G570" s="1269"/>
      <c r="H570" s="1268"/>
      <c r="I570" s="1260"/>
      <c r="J570" s="1260"/>
      <c r="K570" s="1260"/>
      <c r="L570" s="1260"/>
      <c r="M570" s="1260"/>
      <c r="N570" s="1260"/>
      <c r="O570" s="1260"/>
      <c r="P570" s="1260"/>
      <c r="Q570" s="1260"/>
      <c r="R570" s="1260"/>
      <c r="S570" s="1260"/>
      <c r="T570" s="1260"/>
      <c r="U570" s="1260"/>
      <c r="V570" s="1260"/>
      <c r="W570" s="1260"/>
      <c r="X570" s="1260"/>
      <c r="Y570" s="1260"/>
      <c r="Z570" s="1260"/>
      <c r="AA570" s="1260"/>
      <c r="AB570" s="1260"/>
      <c r="AC570" s="1260"/>
      <c r="AD570" s="1260"/>
    </row>
    <row r="571" spans="1:30" s="1217" customFormat="1" ht="13.5" thickBot="1">
      <c r="A571" s="1265"/>
      <c r="B571" s="1267"/>
      <c r="C571" s="1266"/>
      <c r="D571" s="1265"/>
      <c r="E571" s="1264" t="s">
        <v>48</v>
      </c>
      <c r="F571" s="1263">
        <f>SUM(F567:F570)</f>
        <v>182254.87500000003</v>
      </c>
      <c r="G571" s="1262">
        <f>SUM(G567:G570)</f>
        <v>25000</v>
      </c>
      <c r="H571" s="1261">
        <f>SUM(F571:G571)</f>
        <v>207254.87500000003</v>
      </c>
      <c r="I571" s="1260"/>
      <c r="J571" s="1260"/>
      <c r="K571" s="1260"/>
      <c r="L571" s="1260"/>
      <c r="M571" s="1260"/>
      <c r="N571" s="1260"/>
      <c r="O571" s="1260"/>
      <c r="P571" s="1260"/>
      <c r="Q571" s="1260"/>
      <c r="R571" s="1260"/>
      <c r="S571" s="1260"/>
      <c r="T571" s="1260"/>
      <c r="U571" s="1260"/>
      <c r="V571" s="1260"/>
      <c r="W571" s="1260"/>
      <c r="X571" s="1260"/>
      <c r="Y571" s="1260"/>
      <c r="Z571" s="1260"/>
      <c r="AA571" s="1260"/>
      <c r="AB571" s="1260"/>
      <c r="AC571" s="1260"/>
      <c r="AD571" s="1260"/>
    </row>
    <row r="572" spans="1:30" s="1217" customFormat="1">
      <c r="A572" s="1265"/>
      <c r="B572" s="1267"/>
      <c r="C572" s="1266"/>
      <c r="D572" s="1265"/>
      <c r="E572" s="1276"/>
      <c r="F572" s="1272"/>
      <c r="G572" s="1273"/>
      <c r="H572" s="1272"/>
      <c r="I572" s="1260"/>
      <c r="J572" s="1260"/>
      <c r="K572" s="1260"/>
      <c r="L572" s="1260"/>
      <c r="M572" s="1260"/>
      <c r="N572" s="1260"/>
      <c r="O572" s="1260"/>
      <c r="P572" s="1260"/>
      <c r="Q572" s="1260"/>
      <c r="R572" s="1260"/>
      <c r="S572" s="1260"/>
      <c r="T572" s="1260"/>
      <c r="U572" s="1260"/>
      <c r="V572" s="1260"/>
      <c r="W572" s="1260"/>
      <c r="X572" s="1260"/>
      <c r="Y572" s="1260"/>
      <c r="Z572" s="1260"/>
      <c r="AA572" s="1260"/>
      <c r="AB572" s="1260"/>
      <c r="AC572" s="1260"/>
      <c r="AD572" s="1260"/>
    </row>
    <row r="573" spans="1:30" s="1217" customFormat="1">
      <c r="A573" s="1275"/>
      <c r="B573" s="1267" t="s">
        <v>1565</v>
      </c>
      <c r="C573" s="1266"/>
      <c r="D573" s="1265"/>
      <c r="E573" s="1274"/>
      <c r="F573" s="1272"/>
      <c r="G573" s="1273"/>
      <c r="H573" s="1272"/>
      <c r="I573" s="1260"/>
      <c r="J573" s="1260"/>
      <c r="K573" s="1260"/>
      <c r="L573" s="1260"/>
      <c r="M573" s="1260"/>
      <c r="N573" s="1260"/>
      <c r="O573" s="1260"/>
      <c r="P573" s="1260"/>
      <c r="Q573" s="1260"/>
      <c r="R573" s="1260"/>
      <c r="S573" s="1260"/>
      <c r="T573" s="1260"/>
      <c r="U573" s="1260"/>
      <c r="V573" s="1260"/>
      <c r="W573" s="1260"/>
      <c r="X573" s="1260"/>
      <c r="Y573" s="1260"/>
      <c r="Z573" s="1260"/>
      <c r="AA573" s="1260"/>
      <c r="AB573" s="1260"/>
      <c r="AC573" s="1260"/>
      <c r="AD573" s="1260"/>
    </row>
    <row r="574" spans="1:30" s="1217" customFormat="1">
      <c r="A574" s="1265"/>
      <c r="B574" s="1271">
        <f>1/4*1.1</f>
        <v>0.27500000000000002</v>
      </c>
      <c r="C574" s="1266" t="s">
        <v>1558</v>
      </c>
      <c r="D574" s="1265" t="s">
        <v>1557</v>
      </c>
      <c r="E574" s="1270">
        <f>Material!$G$87</f>
        <v>428910</v>
      </c>
      <c r="F574" s="1268">
        <f>B574*E574</f>
        <v>117950.25000000001</v>
      </c>
      <c r="G574" s="1269"/>
      <c r="H574" s="1268"/>
      <c r="I574" s="1260"/>
      <c r="J574" s="1260"/>
      <c r="K574" s="1260"/>
      <c r="L574" s="1260"/>
      <c r="M574" s="1260"/>
      <c r="N574" s="1260"/>
      <c r="O574" s="1260"/>
      <c r="P574" s="1260"/>
      <c r="Q574" s="1260"/>
      <c r="R574" s="1260"/>
      <c r="S574" s="1260"/>
      <c r="T574" s="1260"/>
      <c r="U574" s="1260"/>
      <c r="V574" s="1260"/>
      <c r="W574" s="1260"/>
      <c r="X574" s="1260"/>
      <c r="Y574" s="1260"/>
      <c r="Z574" s="1260"/>
      <c r="AA574" s="1260"/>
      <c r="AB574" s="1260"/>
      <c r="AC574" s="1260"/>
      <c r="AD574" s="1260"/>
    </row>
    <row r="575" spans="1:30" s="1217" customFormat="1">
      <c r="A575" s="1265"/>
      <c r="B575" s="1271">
        <f>4*0.1*1</f>
        <v>0.4</v>
      </c>
      <c r="C575" s="1266" t="s">
        <v>49</v>
      </c>
      <c r="D575" s="1265" t="s">
        <v>1556</v>
      </c>
      <c r="E575" s="1270">
        <f>Material!$G$75</f>
        <v>15000</v>
      </c>
      <c r="F575" s="1268">
        <f>B575*E575</f>
        <v>6000</v>
      </c>
      <c r="G575" s="1269"/>
      <c r="H575" s="1268"/>
      <c r="I575" s="1260"/>
      <c r="J575" s="1260"/>
      <c r="K575" s="1260"/>
      <c r="L575" s="1260"/>
      <c r="M575" s="1260"/>
      <c r="N575" s="1260"/>
      <c r="O575" s="1260"/>
      <c r="P575" s="1260"/>
      <c r="Q575" s="1260"/>
      <c r="R575" s="1260"/>
      <c r="S575" s="1260"/>
      <c r="T575" s="1260"/>
      <c r="U575" s="1260"/>
      <c r="V575" s="1260"/>
      <c r="W575" s="1260"/>
      <c r="X575" s="1260"/>
      <c r="Y575" s="1260"/>
      <c r="Z575" s="1260"/>
      <c r="AA575" s="1260"/>
      <c r="AB575" s="1260"/>
      <c r="AC575" s="1260"/>
      <c r="AD575" s="1260"/>
    </row>
    <row r="576" spans="1:30" s="1217" customFormat="1">
      <c r="A576" s="1265"/>
      <c r="B576" s="1271">
        <f>0.1*0.1*1</f>
        <v>1.0000000000000002E-2</v>
      </c>
      <c r="C576" s="1266" t="s">
        <v>51</v>
      </c>
      <c r="D576" s="1265" t="s">
        <v>1563</v>
      </c>
      <c r="E576" s="1270">
        <f>$I$265</f>
        <v>886530</v>
      </c>
      <c r="F576" s="1268">
        <f>B576*E576</f>
        <v>8865.3000000000011</v>
      </c>
      <c r="G576" s="1269"/>
      <c r="H576" s="1268"/>
      <c r="I576" s="1260"/>
      <c r="J576" s="1260"/>
      <c r="K576" s="1260"/>
      <c r="L576" s="1260"/>
      <c r="M576" s="1260"/>
      <c r="N576" s="1260"/>
      <c r="O576" s="1260"/>
      <c r="P576" s="1260"/>
      <c r="Q576" s="1260"/>
      <c r="R576" s="1260"/>
      <c r="S576" s="1260"/>
      <c r="T576" s="1260"/>
      <c r="U576" s="1260"/>
      <c r="V576" s="1260"/>
      <c r="W576" s="1260"/>
      <c r="X576" s="1260"/>
      <c r="Y576" s="1260"/>
      <c r="Z576" s="1260"/>
      <c r="AA576" s="1260"/>
      <c r="AB576" s="1260"/>
      <c r="AC576" s="1260"/>
      <c r="AD576" s="1260"/>
    </row>
    <row r="577" spans="1:30" s="1217" customFormat="1">
      <c r="A577" s="1265"/>
      <c r="B577" s="1271">
        <v>1</v>
      </c>
      <c r="C577" s="1266" t="s">
        <v>50</v>
      </c>
      <c r="D577" s="1265" t="s">
        <v>1555</v>
      </c>
      <c r="E577" s="1270">
        <f>Upah!$D$99</f>
        <v>30000</v>
      </c>
      <c r="F577" s="1268"/>
      <c r="G577" s="1269">
        <f>B577*E577</f>
        <v>30000</v>
      </c>
      <c r="H577" s="1268"/>
      <c r="I577" s="1260"/>
      <c r="J577" s="1260"/>
      <c r="K577" s="1260"/>
      <c r="L577" s="1260"/>
      <c r="M577" s="1260"/>
      <c r="N577" s="1260"/>
      <c r="O577" s="1260"/>
      <c r="P577" s="1260"/>
      <c r="Q577" s="1260"/>
      <c r="R577" s="1260"/>
      <c r="S577" s="1260"/>
      <c r="T577" s="1260"/>
      <c r="U577" s="1260"/>
      <c r="V577" s="1260"/>
      <c r="W577" s="1260"/>
      <c r="X577" s="1260"/>
      <c r="Y577" s="1260"/>
      <c r="Z577" s="1260"/>
      <c r="AA577" s="1260"/>
      <c r="AB577" s="1260"/>
      <c r="AC577" s="1260"/>
      <c r="AD577" s="1260"/>
    </row>
    <row r="578" spans="1:30" s="1217" customFormat="1" ht="13.5" thickBot="1">
      <c r="A578" s="1265"/>
      <c r="B578" s="1271"/>
      <c r="C578" s="1266"/>
      <c r="D578" s="1265"/>
      <c r="E578" s="1270"/>
      <c r="F578" s="1268"/>
      <c r="G578" s="1269"/>
      <c r="H578" s="1268"/>
      <c r="I578" s="1260"/>
      <c r="J578" s="1260"/>
      <c r="K578" s="1260"/>
      <c r="L578" s="1260"/>
      <c r="M578" s="1260"/>
      <c r="N578" s="1260"/>
      <c r="O578" s="1260"/>
      <c r="P578" s="1260"/>
      <c r="Q578" s="1260"/>
      <c r="R578" s="1260"/>
      <c r="S578" s="1260"/>
      <c r="T578" s="1260"/>
      <c r="U578" s="1260"/>
      <c r="V578" s="1260"/>
      <c r="W578" s="1260"/>
      <c r="X578" s="1260"/>
      <c r="Y578" s="1260"/>
      <c r="Z578" s="1260"/>
      <c r="AA578" s="1260"/>
      <c r="AB578" s="1260"/>
      <c r="AC578" s="1260"/>
      <c r="AD578" s="1260"/>
    </row>
    <row r="579" spans="1:30" s="1217" customFormat="1" ht="13.5" thickBot="1">
      <c r="A579" s="1265"/>
      <c r="B579" s="1267"/>
      <c r="C579" s="1266"/>
      <c r="D579" s="1265"/>
      <c r="E579" s="1264" t="s">
        <v>48</v>
      </c>
      <c r="F579" s="1263">
        <f>SUM(F573:F578)</f>
        <v>132815.55000000002</v>
      </c>
      <c r="G579" s="1262">
        <f>SUM(G573:G578)</f>
        <v>30000</v>
      </c>
      <c r="H579" s="1261">
        <f>SUM(F579:G579)</f>
        <v>162815.55000000002</v>
      </c>
      <c r="I579" s="1260"/>
      <c r="J579" s="1260"/>
      <c r="K579" s="1260"/>
      <c r="L579" s="1260"/>
      <c r="M579" s="1260"/>
      <c r="N579" s="1260"/>
      <c r="O579" s="1260"/>
      <c r="P579" s="1260"/>
      <c r="Q579" s="1260"/>
      <c r="R579" s="1260"/>
      <c r="S579" s="1260"/>
      <c r="T579" s="1260"/>
      <c r="U579" s="1260"/>
      <c r="V579" s="1260"/>
      <c r="W579" s="1260"/>
      <c r="X579" s="1260"/>
      <c r="Y579" s="1260"/>
      <c r="Z579" s="1260"/>
      <c r="AA579" s="1260"/>
      <c r="AB579" s="1260"/>
      <c r="AC579" s="1260"/>
      <c r="AD579" s="1260"/>
    </row>
    <row r="580" spans="1:30" s="1217" customFormat="1">
      <c r="A580" s="1265"/>
      <c r="B580" s="1267"/>
      <c r="C580" s="1266"/>
      <c r="D580" s="1265"/>
      <c r="E580" s="1276"/>
      <c r="F580" s="1272"/>
      <c r="G580" s="1273"/>
      <c r="H580" s="1272"/>
      <c r="I580" s="1260"/>
      <c r="J580" s="1260"/>
      <c r="K580" s="1260"/>
      <c r="L580" s="1260"/>
      <c r="M580" s="1260"/>
      <c r="N580" s="1260"/>
      <c r="O580" s="1260"/>
      <c r="P580" s="1260"/>
      <c r="Q580" s="1260"/>
      <c r="R580" s="1260"/>
      <c r="S580" s="1260"/>
      <c r="T580" s="1260"/>
      <c r="U580" s="1260"/>
      <c r="V580" s="1260"/>
      <c r="W580" s="1260"/>
      <c r="X580" s="1260"/>
      <c r="Y580" s="1260"/>
      <c r="Z580" s="1260"/>
      <c r="AA580" s="1260"/>
      <c r="AB580" s="1260"/>
      <c r="AC580" s="1260"/>
      <c r="AD580" s="1260"/>
    </row>
    <row r="581" spans="1:30" s="1217" customFormat="1">
      <c r="A581" s="1275"/>
      <c r="B581" s="1267" t="s">
        <v>1564</v>
      </c>
      <c r="C581" s="1266"/>
      <c r="D581" s="1265"/>
      <c r="E581" s="1274"/>
      <c r="F581" s="1272"/>
      <c r="G581" s="1273"/>
      <c r="H581" s="1272"/>
      <c r="I581" s="1260"/>
      <c r="J581" s="1260"/>
      <c r="K581" s="1260"/>
      <c r="L581" s="1260"/>
      <c r="M581" s="1260"/>
      <c r="N581" s="1260"/>
      <c r="O581" s="1260"/>
      <c r="P581" s="1260"/>
      <c r="Q581" s="1260"/>
      <c r="R581" s="1260"/>
      <c r="S581" s="1260"/>
      <c r="T581" s="1260"/>
      <c r="U581" s="1260"/>
      <c r="V581" s="1260"/>
      <c r="W581" s="1260"/>
      <c r="X581" s="1260"/>
      <c r="Y581" s="1260"/>
      <c r="Z581" s="1260"/>
      <c r="AA581" s="1260"/>
      <c r="AB581" s="1260"/>
      <c r="AC581" s="1260"/>
      <c r="AD581" s="1260"/>
    </row>
    <row r="582" spans="1:30" s="1217" customFormat="1">
      <c r="A582" s="1265"/>
      <c r="B582" s="1271">
        <f>1/4*1.1</f>
        <v>0.27500000000000002</v>
      </c>
      <c r="C582" s="1266" t="s">
        <v>1558</v>
      </c>
      <c r="D582" s="1265" t="s">
        <v>1557</v>
      </c>
      <c r="E582" s="1270">
        <f>Material!$G$87</f>
        <v>428910</v>
      </c>
      <c r="F582" s="1268">
        <f>B582*E582</f>
        <v>117950.25000000001</v>
      </c>
      <c r="G582" s="1269"/>
      <c r="H582" s="1268"/>
      <c r="I582" s="1260"/>
      <c r="J582" s="1260"/>
      <c r="K582" s="1260"/>
      <c r="L582" s="1260"/>
      <c r="M582" s="1260"/>
      <c r="N582" s="1260"/>
      <c r="O582" s="1260"/>
      <c r="P582" s="1260"/>
      <c r="Q582" s="1260"/>
      <c r="R582" s="1260"/>
      <c r="S582" s="1260"/>
      <c r="T582" s="1260"/>
      <c r="U582" s="1260"/>
      <c r="V582" s="1260"/>
      <c r="W582" s="1260"/>
      <c r="X582" s="1260"/>
      <c r="Y582" s="1260"/>
      <c r="Z582" s="1260"/>
      <c r="AA582" s="1260"/>
      <c r="AB582" s="1260"/>
      <c r="AC582" s="1260"/>
      <c r="AD582" s="1260"/>
    </row>
    <row r="583" spans="1:30" s="1217" customFormat="1">
      <c r="A583" s="1265"/>
      <c r="B583" s="1271">
        <f>4*0.1*1</f>
        <v>0.4</v>
      </c>
      <c r="C583" s="1266" t="s">
        <v>49</v>
      </c>
      <c r="D583" s="1265" t="s">
        <v>1556</v>
      </c>
      <c r="E583" s="1270">
        <f>Material!$G$75</f>
        <v>15000</v>
      </c>
      <c r="F583" s="1268">
        <f>B583*E583</f>
        <v>6000</v>
      </c>
      <c r="G583" s="1269"/>
      <c r="H583" s="1268"/>
      <c r="I583" s="1260"/>
      <c r="J583" s="1260"/>
      <c r="K583" s="1260"/>
      <c r="L583" s="1260"/>
      <c r="M583" s="1260"/>
      <c r="N583" s="1260"/>
      <c r="O583" s="1260"/>
      <c r="P583" s="1260"/>
      <c r="Q583" s="1260"/>
      <c r="R583" s="1260"/>
      <c r="S583" s="1260"/>
      <c r="T583" s="1260"/>
      <c r="U583" s="1260"/>
      <c r="V583" s="1260"/>
      <c r="W583" s="1260"/>
      <c r="X583" s="1260"/>
      <c r="Y583" s="1260"/>
      <c r="Z583" s="1260"/>
      <c r="AA583" s="1260"/>
      <c r="AB583" s="1260"/>
      <c r="AC583" s="1260"/>
      <c r="AD583" s="1260"/>
    </row>
    <row r="584" spans="1:30" s="1217" customFormat="1">
      <c r="A584" s="1265"/>
      <c r="B584" s="1271">
        <f>0.1*0.1*1</f>
        <v>1.0000000000000002E-2</v>
      </c>
      <c r="C584" s="1266" t="s">
        <v>51</v>
      </c>
      <c r="D584" s="1265" t="s">
        <v>1563</v>
      </c>
      <c r="E584" s="1270">
        <f>$I$265</f>
        <v>886530</v>
      </c>
      <c r="F584" s="1268">
        <f>B584*E584</f>
        <v>8865.3000000000011</v>
      </c>
      <c r="G584" s="1269"/>
      <c r="H584" s="1268"/>
      <c r="I584" s="1260"/>
      <c r="J584" s="1260"/>
      <c r="K584" s="1260"/>
      <c r="L584" s="1260"/>
      <c r="M584" s="1260"/>
      <c r="N584" s="1260"/>
      <c r="O584" s="1260"/>
      <c r="P584" s="1260"/>
      <c r="Q584" s="1260"/>
      <c r="R584" s="1260"/>
      <c r="S584" s="1260"/>
      <c r="T584" s="1260"/>
      <c r="U584" s="1260"/>
      <c r="V584" s="1260"/>
      <c r="W584" s="1260"/>
      <c r="X584" s="1260"/>
      <c r="Y584" s="1260"/>
      <c r="Z584" s="1260"/>
      <c r="AA584" s="1260"/>
      <c r="AB584" s="1260"/>
      <c r="AC584" s="1260"/>
      <c r="AD584" s="1260"/>
    </row>
    <row r="585" spans="1:30" s="1217" customFormat="1">
      <c r="A585" s="1265"/>
      <c r="B585" s="1271">
        <v>1</v>
      </c>
      <c r="C585" s="1266" t="s">
        <v>50</v>
      </c>
      <c r="D585" s="1265" t="s">
        <v>1547</v>
      </c>
      <c r="E585" s="1270">
        <f>Upah!$D$100</f>
        <v>25000</v>
      </c>
      <c r="F585" s="1268"/>
      <c r="G585" s="1269">
        <f>B585*E585</f>
        <v>25000</v>
      </c>
      <c r="H585" s="1268"/>
      <c r="I585" s="1260"/>
      <c r="J585" s="1260"/>
      <c r="K585" s="1260"/>
      <c r="L585" s="1260"/>
      <c r="M585" s="1260"/>
      <c r="N585" s="1260"/>
      <c r="O585" s="1260"/>
      <c r="P585" s="1260"/>
      <c r="Q585" s="1260"/>
      <c r="R585" s="1260"/>
      <c r="S585" s="1260"/>
      <c r="T585" s="1260"/>
      <c r="U585" s="1260"/>
      <c r="V585" s="1260"/>
      <c r="W585" s="1260"/>
      <c r="X585" s="1260"/>
      <c r="Y585" s="1260"/>
      <c r="Z585" s="1260"/>
      <c r="AA585" s="1260"/>
      <c r="AB585" s="1260"/>
      <c r="AC585" s="1260"/>
      <c r="AD585" s="1260"/>
    </row>
    <row r="586" spans="1:30" s="1217" customFormat="1" ht="13.5" thickBot="1">
      <c r="A586" s="1265"/>
      <c r="B586" s="1271"/>
      <c r="C586" s="1266"/>
      <c r="D586" s="1265"/>
      <c r="E586" s="1270"/>
      <c r="F586" s="1268"/>
      <c r="G586" s="1269"/>
      <c r="H586" s="1268"/>
      <c r="I586" s="1260"/>
      <c r="J586" s="1260"/>
      <c r="K586" s="1260"/>
      <c r="L586" s="1260"/>
      <c r="M586" s="1260"/>
      <c r="N586" s="1260"/>
      <c r="O586" s="1260"/>
      <c r="P586" s="1260"/>
      <c r="Q586" s="1260"/>
      <c r="R586" s="1260"/>
      <c r="S586" s="1260"/>
      <c r="T586" s="1260"/>
      <c r="U586" s="1260"/>
      <c r="V586" s="1260"/>
      <c r="W586" s="1260"/>
      <c r="X586" s="1260"/>
      <c r="Y586" s="1260"/>
      <c r="Z586" s="1260"/>
      <c r="AA586" s="1260"/>
      <c r="AB586" s="1260"/>
      <c r="AC586" s="1260"/>
      <c r="AD586" s="1260"/>
    </row>
    <row r="587" spans="1:30" s="1217" customFormat="1" ht="13.5" thickBot="1">
      <c r="A587" s="1265"/>
      <c r="B587" s="1267"/>
      <c r="C587" s="1266"/>
      <c r="D587" s="1265"/>
      <c r="E587" s="1264" t="s">
        <v>48</v>
      </c>
      <c r="F587" s="1263">
        <f>SUM(F581:F586)</f>
        <v>132815.55000000002</v>
      </c>
      <c r="G587" s="1262">
        <f>SUM(G581:G586)</f>
        <v>25000</v>
      </c>
      <c r="H587" s="1261">
        <f>SUM(F587:G587)</f>
        <v>157815.55000000002</v>
      </c>
      <c r="I587" s="1260"/>
      <c r="J587" s="1260"/>
      <c r="K587" s="1260"/>
      <c r="L587" s="1260"/>
      <c r="M587" s="1260"/>
      <c r="N587" s="1260"/>
      <c r="O587" s="1260"/>
      <c r="P587" s="1260"/>
      <c r="Q587" s="1260"/>
      <c r="R587" s="1260"/>
      <c r="S587" s="1260"/>
      <c r="T587" s="1260"/>
      <c r="U587" s="1260"/>
      <c r="V587" s="1260"/>
      <c r="W587" s="1260"/>
      <c r="X587" s="1260"/>
      <c r="Y587" s="1260"/>
      <c r="Z587" s="1260"/>
      <c r="AA587" s="1260"/>
      <c r="AB587" s="1260"/>
      <c r="AC587" s="1260"/>
      <c r="AD587" s="1260"/>
    </row>
    <row r="588" spans="1:30" s="1217" customFormat="1">
      <c r="A588" s="1265"/>
      <c r="B588" s="1267"/>
      <c r="C588" s="1266"/>
      <c r="D588" s="1265"/>
      <c r="E588" s="1276"/>
      <c r="F588" s="1272"/>
      <c r="G588" s="1273"/>
      <c r="H588" s="1272"/>
      <c r="I588" s="1260"/>
      <c r="J588" s="1260"/>
      <c r="K588" s="1260"/>
      <c r="L588" s="1260"/>
      <c r="M588" s="1260"/>
      <c r="N588" s="1260"/>
      <c r="O588" s="1260"/>
      <c r="P588" s="1260"/>
      <c r="Q588" s="1260"/>
      <c r="R588" s="1260"/>
      <c r="S588" s="1260"/>
      <c r="T588" s="1260"/>
      <c r="U588" s="1260"/>
      <c r="V588" s="1260"/>
      <c r="W588" s="1260"/>
      <c r="X588" s="1260"/>
      <c r="Y588" s="1260"/>
      <c r="Z588" s="1260"/>
      <c r="AA588" s="1260"/>
      <c r="AB588" s="1260"/>
      <c r="AC588" s="1260"/>
      <c r="AD588" s="1260"/>
    </row>
    <row r="589" spans="1:30" s="1217" customFormat="1">
      <c r="A589" s="1275"/>
      <c r="B589" s="1267" t="s">
        <v>1562</v>
      </c>
      <c r="C589" s="1266"/>
      <c r="D589" s="1265"/>
      <c r="E589" s="1274"/>
      <c r="F589" s="1272"/>
      <c r="G589" s="1273"/>
      <c r="H589" s="1272"/>
      <c r="I589" s="1260"/>
      <c r="J589" s="1260"/>
      <c r="K589" s="1260"/>
      <c r="L589" s="1260"/>
      <c r="M589" s="1260"/>
      <c r="N589" s="1260"/>
      <c r="O589" s="1260"/>
      <c r="P589" s="1260"/>
      <c r="Q589" s="1260"/>
      <c r="R589" s="1260"/>
      <c r="S589" s="1260"/>
      <c r="T589" s="1260"/>
      <c r="U589" s="1260"/>
      <c r="V589" s="1260"/>
      <c r="W589" s="1260"/>
      <c r="X589" s="1260"/>
      <c r="Y589" s="1260"/>
      <c r="Z589" s="1260"/>
      <c r="AA589" s="1260"/>
      <c r="AB589" s="1260"/>
      <c r="AC589" s="1260"/>
      <c r="AD589" s="1260"/>
    </row>
    <row r="590" spans="1:30" s="1217" customFormat="1">
      <c r="A590" s="1265"/>
      <c r="B590" s="1271">
        <f>1/4*1.1</f>
        <v>0.27500000000000002</v>
      </c>
      <c r="C590" s="1266" t="s">
        <v>1558</v>
      </c>
      <c r="D590" s="1265" t="s">
        <v>1557</v>
      </c>
      <c r="E590" s="1270">
        <f>Material!$G$88</f>
        <v>269280</v>
      </c>
      <c r="F590" s="1268">
        <f>B590*E590</f>
        <v>74052</v>
      </c>
      <c r="G590" s="1269"/>
      <c r="H590" s="1268"/>
      <c r="I590" s="1260"/>
      <c r="J590" s="1260"/>
      <c r="K590" s="1260"/>
      <c r="L590" s="1260"/>
      <c r="M590" s="1260"/>
      <c r="N590" s="1260"/>
      <c r="O590" s="1260"/>
      <c r="P590" s="1260"/>
      <c r="Q590" s="1260"/>
      <c r="R590" s="1260"/>
      <c r="S590" s="1260"/>
      <c r="T590" s="1260"/>
      <c r="U590" s="1260"/>
      <c r="V590" s="1260"/>
      <c r="W590" s="1260"/>
      <c r="X590" s="1260"/>
      <c r="Y590" s="1260"/>
      <c r="Z590" s="1260"/>
      <c r="AA590" s="1260"/>
      <c r="AB590" s="1260"/>
      <c r="AC590" s="1260"/>
      <c r="AD590" s="1260"/>
    </row>
    <row r="591" spans="1:30" s="1217" customFormat="1">
      <c r="A591" s="1265"/>
      <c r="B591" s="1271">
        <f>4*0.08*1</f>
        <v>0.32</v>
      </c>
      <c r="C591" s="1266" t="s">
        <v>49</v>
      </c>
      <c r="D591" s="1265" t="s">
        <v>1556</v>
      </c>
      <c r="E591" s="1270">
        <f>Material!$G$75</f>
        <v>15000</v>
      </c>
      <c r="F591" s="1268">
        <f>B591*E591</f>
        <v>4800</v>
      </c>
      <c r="G591" s="1269"/>
      <c r="H591" s="1268"/>
      <c r="I591" s="1260"/>
      <c r="J591" s="1260"/>
      <c r="K591" s="1260"/>
      <c r="L591" s="1260"/>
      <c r="M591" s="1260"/>
      <c r="N591" s="1260"/>
      <c r="O591" s="1260"/>
      <c r="P591" s="1260"/>
      <c r="Q591" s="1260"/>
      <c r="R591" s="1260"/>
      <c r="S591" s="1260"/>
      <c r="T591" s="1260"/>
      <c r="U591" s="1260"/>
      <c r="V591" s="1260"/>
      <c r="W591" s="1260"/>
      <c r="X591" s="1260"/>
      <c r="Y591" s="1260"/>
      <c r="Z591" s="1260"/>
      <c r="AA591" s="1260"/>
      <c r="AB591" s="1260"/>
      <c r="AC591" s="1260"/>
      <c r="AD591" s="1260"/>
    </row>
    <row r="592" spans="1:30" s="1217" customFormat="1">
      <c r="A592" s="1265"/>
      <c r="B592" s="1271">
        <f>0.08*0.08*1</f>
        <v>6.4000000000000003E-3</v>
      </c>
      <c r="C592" s="1266" t="s">
        <v>51</v>
      </c>
      <c r="D592" s="1265" t="s">
        <v>1552</v>
      </c>
      <c r="E592" s="1270">
        <f>$I$265</f>
        <v>886530</v>
      </c>
      <c r="F592" s="1268">
        <f>B592*E592</f>
        <v>5673.7920000000004</v>
      </c>
      <c r="G592" s="1269"/>
      <c r="H592" s="1268"/>
      <c r="I592" s="1260"/>
      <c r="J592" s="1260"/>
      <c r="K592" s="1260"/>
      <c r="L592" s="1260"/>
      <c r="M592" s="1260"/>
      <c r="N592" s="1260"/>
      <c r="O592" s="1260"/>
      <c r="P592" s="1260"/>
      <c r="Q592" s="1260"/>
      <c r="R592" s="1260"/>
      <c r="S592" s="1260"/>
      <c r="T592" s="1260"/>
      <c r="U592" s="1260"/>
      <c r="V592" s="1260"/>
      <c r="W592" s="1260"/>
      <c r="X592" s="1260"/>
      <c r="Y592" s="1260"/>
      <c r="Z592" s="1260"/>
      <c r="AA592" s="1260"/>
      <c r="AB592" s="1260"/>
      <c r="AC592" s="1260"/>
      <c r="AD592" s="1260"/>
    </row>
    <row r="593" spans="1:30" s="1217" customFormat="1">
      <c r="A593" s="1265"/>
      <c r="B593" s="1271">
        <v>1</v>
      </c>
      <c r="C593" s="1266" t="s">
        <v>50</v>
      </c>
      <c r="D593" s="1265" t="s">
        <v>1555</v>
      </c>
      <c r="E593" s="1270">
        <f>Upah!$D$99</f>
        <v>30000</v>
      </c>
      <c r="F593" s="1268"/>
      <c r="G593" s="1269">
        <f>B593*E593</f>
        <v>30000</v>
      </c>
      <c r="H593" s="1268"/>
      <c r="I593" s="1260"/>
      <c r="J593" s="1260"/>
      <c r="K593" s="1260"/>
      <c r="L593" s="1260"/>
      <c r="M593" s="1260"/>
      <c r="N593" s="1260"/>
      <c r="O593" s="1260"/>
      <c r="P593" s="1260"/>
      <c r="Q593" s="1260"/>
      <c r="R593" s="1260"/>
      <c r="S593" s="1260"/>
      <c r="T593" s="1260"/>
      <c r="U593" s="1260"/>
      <c r="V593" s="1260"/>
      <c r="W593" s="1260"/>
      <c r="X593" s="1260"/>
      <c r="Y593" s="1260"/>
      <c r="Z593" s="1260"/>
      <c r="AA593" s="1260"/>
      <c r="AB593" s="1260"/>
      <c r="AC593" s="1260"/>
      <c r="AD593" s="1260"/>
    </row>
    <row r="594" spans="1:30" s="1217" customFormat="1" ht="13.5" thickBot="1">
      <c r="A594" s="1265"/>
      <c r="B594" s="1271"/>
      <c r="C594" s="1266"/>
      <c r="D594" s="1265"/>
      <c r="E594" s="1270"/>
      <c r="F594" s="1268"/>
      <c r="G594" s="1269"/>
      <c r="H594" s="1268"/>
      <c r="I594" s="1260"/>
      <c r="J594" s="1260"/>
      <c r="K594" s="1260"/>
      <c r="L594" s="1260"/>
      <c r="M594" s="1260"/>
      <c r="N594" s="1260"/>
      <c r="O594" s="1260"/>
      <c r="P594" s="1260"/>
      <c r="Q594" s="1260"/>
      <c r="R594" s="1260"/>
      <c r="S594" s="1260"/>
      <c r="T594" s="1260"/>
      <c r="U594" s="1260"/>
      <c r="V594" s="1260"/>
      <c r="W594" s="1260"/>
      <c r="X594" s="1260"/>
      <c r="Y594" s="1260"/>
      <c r="Z594" s="1260"/>
      <c r="AA594" s="1260"/>
      <c r="AB594" s="1260"/>
      <c r="AC594" s="1260"/>
      <c r="AD594" s="1260"/>
    </row>
    <row r="595" spans="1:30" s="1217" customFormat="1" ht="13.5" thickBot="1">
      <c r="A595" s="1265"/>
      <c r="B595" s="1267"/>
      <c r="C595" s="1266"/>
      <c r="D595" s="1265"/>
      <c r="E595" s="1264" t="s">
        <v>48</v>
      </c>
      <c r="F595" s="1263">
        <f>SUM(F589:F594)</f>
        <v>84525.792000000001</v>
      </c>
      <c r="G595" s="1262">
        <f>SUM(G589:G594)</f>
        <v>30000</v>
      </c>
      <c r="H595" s="1261">
        <f>SUM(F595:G595)</f>
        <v>114525.792</v>
      </c>
      <c r="I595" s="1260"/>
      <c r="J595" s="1260"/>
      <c r="K595" s="1260"/>
      <c r="L595" s="1260"/>
      <c r="M595" s="1260"/>
      <c r="N595" s="1260"/>
      <c r="O595" s="1260"/>
      <c r="P595" s="1260"/>
      <c r="Q595" s="1260"/>
      <c r="R595" s="1260"/>
      <c r="S595" s="1260"/>
      <c r="T595" s="1260"/>
      <c r="U595" s="1260"/>
      <c r="V595" s="1260"/>
      <c r="W595" s="1260"/>
      <c r="X595" s="1260"/>
      <c r="Y595" s="1260"/>
      <c r="Z595" s="1260"/>
      <c r="AA595" s="1260"/>
      <c r="AB595" s="1260"/>
      <c r="AC595" s="1260"/>
      <c r="AD595" s="1260"/>
    </row>
    <row r="596" spans="1:30" s="1217" customFormat="1">
      <c r="A596" s="1265"/>
      <c r="B596" s="1267"/>
      <c r="C596" s="1266"/>
      <c r="D596" s="1265"/>
      <c r="E596" s="1276"/>
      <c r="F596" s="1272"/>
      <c r="G596" s="1273"/>
      <c r="H596" s="1272"/>
      <c r="I596" s="1260"/>
      <c r="J596" s="1260"/>
      <c r="K596" s="1260"/>
      <c r="L596" s="1260"/>
      <c r="M596" s="1260"/>
      <c r="N596" s="1260"/>
      <c r="O596" s="1260"/>
      <c r="P596" s="1260"/>
      <c r="Q596" s="1260"/>
      <c r="R596" s="1260"/>
      <c r="S596" s="1260"/>
      <c r="T596" s="1260"/>
      <c r="U596" s="1260"/>
      <c r="V596" s="1260"/>
      <c r="W596" s="1260"/>
      <c r="X596" s="1260"/>
      <c r="Y596" s="1260"/>
      <c r="Z596" s="1260"/>
      <c r="AA596" s="1260"/>
      <c r="AB596" s="1260"/>
      <c r="AC596" s="1260"/>
      <c r="AD596" s="1260"/>
    </row>
    <row r="597" spans="1:30" s="1217" customFormat="1">
      <c r="A597" s="1275"/>
      <c r="B597" s="1267" t="s">
        <v>1561</v>
      </c>
      <c r="C597" s="1266"/>
      <c r="D597" s="1265"/>
      <c r="E597" s="1274"/>
      <c r="F597" s="1272"/>
      <c r="G597" s="1273"/>
      <c r="H597" s="1272"/>
      <c r="I597" s="1260"/>
      <c r="J597" s="1260"/>
      <c r="K597" s="1260"/>
      <c r="L597" s="1260"/>
      <c r="M597" s="1260"/>
      <c r="N597" s="1260"/>
      <c r="O597" s="1260"/>
      <c r="P597" s="1260"/>
      <c r="Q597" s="1260"/>
      <c r="R597" s="1260"/>
      <c r="S597" s="1260"/>
      <c r="T597" s="1260"/>
      <c r="U597" s="1260"/>
      <c r="V597" s="1260"/>
      <c r="W597" s="1260"/>
      <c r="X597" s="1260"/>
      <c r="Y597" s="1260"/>
      <c r="Z597" s="1260"/>
      <c r="AA597" s="1260"/>
      <c r="AB597" s="1260"/>
      <c r="AC597" s="1260"/>
      <c r="AD597" s="1260"/>
    </row>
    <row r="598" spans="1:30" s="1217" customFormat="1">
      <c r="A598" s="1265"/>
      <c r="B598" s="1271">
        <f>1/4*1.1</f>
        <v>0.27500000000000002</v>
      </c>
      <c r="C598" s="1266" t="s">
        <v>1558</v>
      </c>
      <c r="D598" s="1265" t="s">
        <v>1557</v>
      </c>
      <c r="E598" s="1270">
        <f>Material!$G$88</f>
        <v>269280</v>
      </c>
      <c r="F598" s="1268">
        <f>B598*E598</f>
        <v>74052</v>
      </c>
      <c r="G598" s="1269"/>
      <c r="H598" s="1268"/>
      <c r="I598" s="1260"/>
      <c r="J598" s="1260"/>
      <c r="K598" s="1260"/>
      <c r="L598" s="1260"/>
      <c r="M598" s="1260"/>
      <c r="N598" s="1260"/>
      <c r="O598" s="1260"/>
      <c r="P598" s="1260"/>
      <c r="Q598" s="1260"/>
      <c r="R598" s="1260"/>
      <c r="S598" s="1260"/>
      <c r="T598" s="1260"/>
      <c r="U598" s="1260"/>
      <c r="V598" s="1260"/>
      <c r="W598" s="1260"/>
      <c r="X598" s="1260"/>
      <c r="Y598" s="1260"/>
      <c r="Z598" s="1260"/>
      <c r="AA598" s="1260"/>
      <c r="AB598" s="1260"/>
      <c r="AC598" s="1260"/>
      <c r="AD598" s="1260"/>
    </row>
    <row r="599" spans="1:30" s="1217" customFormat="1">
      <c r="A599" s="1265"/>
      <c r="B599" s="1271">
        <v>1</v>
      </c>
      <c r="C599" s="1266" t="s">
        <v>50</v>
      </c>
      <c r="D599" s="1265" t="s">
        <v>1547</v>
      </c>
      <c r="E599" s="1270">
        <f>Upah!$D$100</f>
        <v>25000</v>
      </c>
      <c r="F599" s="1268"/>
      <c r="G599" s="1269">
        <f>B599*E599</f>
        <v>25000</v>
      </c>
      <c r="H599" s="1268"/>
      <c r="I599" s="1260"/>
      <c r="J599" s="1260"/>
      <c r="K599" s="1260"/>
      <c r="L599" s="1260"/>
      <c r="M599" s="1260"/>
      <c r="N599" s="1260"/>
      <c r="O599" s="1260"/>
      <c r="P599" s="1260"/>
      <c r="Q599" s="1260"/>
      <c r="R599" s="1260"/>
      <c r="S599" s="1260"/>
      <c r="T599" s="1260"/>
      <c r="U599" s="1260"/>
      <c r="V599" s="1260"/>
      <c r="W599" s="1260"/>
      <c r="X599" s="1260"/>
      <c r="Y599" s="1260"/>
      <c r="Z599" s="1260"/>
      <c r="AA599" s="1260"/>
      <c r="AB599" s="1260"/>
      <c r="AC599" s="1260"/>
      <c r="AD599" s="1260"/>
    </row>
    <row r="600" spans="1:30" s="1217" customFormat="1" ht="13.5" thickBot="1">
      <c r="A600" s="1265"/>
      <c r="B600" s="1271"/>
      <c r="C600" s="1266"/>
      <c r="D600" s="1265"/>
      <c r="E600" s="1270"/>
      <c r="F600" s="1268"/>
      <c r="G600" s="1269"/>
      <c r="H600" s="1268"/>
      <c r="I600" s="1260"/>
      <c r="J600" s="1260"/>
      <c r="K600" s="1260"/>
      <c r="L600" s="1260"/>
      <c r="M600" s="1260"/>
      <c r="N600" s="1260"/>
      <c r="O600" s="1260"/>
      <c r="P600" s="1260"/>
      <c r="Q600" s="1260"/>
      <c r="R600" s="1260"/>
      <c r="S600" s="1260"/>
      <c r="T600" s="1260"/>
      <c r="U600" s="1260"/>
      <c r="V600" s="1260"/>
      <c r="W600" s="1260"/>
      <c r="X600" s="1260"/>
      <c r="Y600" s="1260"/>
      <c r="Z600" s="1260"/>
      <c r="AA600" s="1260"/>
      <c r="AB600" s="1260"/>
      <c r="AC600" s="1260"/>
      <c r="AD600" s="1260"/>
    </row>
    <row r="601" spans="1:30" s="1217" customFormat="1" ht="13.5" thickBot="1">
      <c r="A601" s="1265"/>
      <c r="B601" s="1267"/>
      <c r="C601" s="1266"/>
      <c r="D601" s="1265"/>
      <c r="E601" s="1264" t="s">
        <v>48</v>
      </c>
      <c r="F601" s="1263">
        <f>SUM(F597:F600)</f>
        <v>74052</v>
      </c>
      <c r="G601" s="1262">
        <f>SUM(G597:G600)</f>
        <v>25000</v>
      </c>
      <c r="H601" s="1261">
        <f>SUM(F601:G601)</f>
        <v>99052</v>
      </c>
      <c r="I601" s="1260"/>
      <c r="J601" s="1260"/>
      <c r="K601" s="1260"/>
      <c r="L601" s="1260"/>
      <c r="M601" s="1260"/>
      <c r="N601" s="1260"/>
      <c r="O601" s="1260"/>
      <c r="P601" s="1260"/>
      <c r="Q601" s="1260"/>
      <c r="R601" s="1260"/>
      <c r="S601" s="1260"/>
      <c r="T601" s="1260"/>
      <c r="U601" s="1260"/>
      <c r="V601" s="1260"/>
      <c r="W601" s="1260"/>
      <c r="X601" s="1260"/>
      <c r="Y601" s="1260"/>
      <c r="Z601" s="1260"/>
      <c r="AA601" s="1260"/>
      <c r="AB601" s="1260"/>
      <c r="AC601" s="1260"/>
      <c r="AD601" s="1260"/>
    </row>
    <row r="602" spans="1:30" s="1277" customFormat="1">
      <c r="A602" s="1283"/>
      <c r="B602" s="1285"/>
      <c r="C602" s="1284"/>
      <c r="D602" s="1283"/>
      <c r="E602" s="1294"/>
      <c r="F602" s="1290"/>
      <c r="G602" s="1291"/>
      <c r="H602" s="1290"/>
      <c r="I602" s="1278"/>
      <c r="J602" s="1278"/>
      <c r="K602" s="1278"/>
      <c r="L602" s="1278"/>
      <c r="M602" s="1278"/>
      <c r="N602" s="1278"/>
      <c r="O602" s="1278"/>
      <c r="P602" s="1278"/>
      <c r="Q602" s="1278"/>
      <c r="R602" s="1278"/>
      <c r="S602" s="1278"/>
      <c r="T602" s="1278"/>
      <c r="U602" s="1278"/>
      <c r="V602" s="1278"/>
      <c r="W602" s="1278"/>
      <c r="X602" s="1278"/>
      <c r="Y602" s="1278"/>
      <c r="Z602" s="1278"/>
      <c r="AA602" s="1278"/>
      <c r="AB602" s="1278"/>
      <c r="AC602" s="1278"/>
      <c r="AD602" s="1278"/>
    </row>
    <row r="603" spans="1:30" s="1277" customFormat="1">
      <c r="A603" s="1293"/>
      <c r="B603" s="1285" t="s">
        <v>1560</v>
      </c>
      <c r="C603" s="1284"/>
      <c r="D603" s="1283"/>
      <c r="E603" s="1292"/>
      <c r="F603" s="1290"/>
      <c r="G603" s="1291"/>
      <c r="H603" s="1290"/>
      <c r="I603" s="1278"/>
      <c r="J603" s="1278"/>
      <c r="K603" s="1278"/>
      <c r="L603" s="1278"/>
      <c r="M603" s="1278"/>
      <c r="N603" s="1278"/>
      <c r="O603" s="1278"/>
      <c r="P603" s="1278"/>
      <c r="Q603" s="1278"/>
      <c r="R603" s="1278"/>
      <c r="S603" s="1278"/>
      <c r="T603" s="1278"/>
      <c r="U603" s="1278"/>
      <c r="V603" s="1278"/>
      <c r="W603" s="1278"/>
      <c r="X603" s="1278"/>
      <c r="Y603" s="1278"/>
      <c r="Z603" s="1278"/>
      <c r="AA603" s="1278"/>
      <c r="AB603" s="1278"/>
      <c r="AC603" s="1278"/>
      <c r="AD603" s="1278"/>
    </row>
    <row r="604" spans="1:30" s="1277" customFormat="1">
      <c r="A604" s="1283"/>
      <c r="B604" s="1289">
        <f>1/4*1.1</f>
        <v>0.27500000000000002</v>
      </c>
      <c r="C604" s="1284" t="s">
        <v>1558</v>
      </c>
      <c r="D604" s="1283" t="s">
        <v>1557</v>
      </c>
      <c r="E604" s="1288">
        <f>Material!$G$89</f>
        <v>209355</v>
      </c>
      <c r="F604" s="1286">
        <f>B604*E604</f>
        <v>57572.625000000007</v>
      </c>
      <c r="G604" s="1287"/>
      <c r="H604" s="1286"/>
      <c r="I604" s="1278"/>
      <c r="J604" s="1278"/>
      <c r="K604" s="1278"/>
      <c r="L604" s="1278"/>
      <c r="M604" s="1278"/>
      <c r="N604" s="1278"/>
      <c r="O604" s="1278"/>
      <c r="P604" s="1278"/>
      <c r="Q604" s="1278"/>
      <c r="R604" s="1278"/>
      <c r="S604" s="1278"/>
      <c r="T604" s="1278"/>
      <c r="U604" s="1278"/>
      <c r="V604" s="1278"/>
      <c r="W604" s="1278"/>
      <c r="X604" s="1278"/>
      <c r="Y604" s="1278"/>
      <c r="Z604" s="1278"/>
      <c r="AA604" s="1278"/>
      <c r="AB604" s="1278"/>
      <c r="AC604" s="1278"/>
      <c r="AD604" s="1278"/>
    </row>
    <row r="605" spans="1:30" s="1277" customFormat="1">
      <c r="A605" s="1283"/>
      <c r="B605" s="1289">
        <f>4*0.1*1</f>
        <v>0.4</v>
      </c>
      <c r="C605" s="1284" t="s">
        <v>49</v>
      </c>
      <c r="D605" s="1283" t="s">
        <v>1556</v>
      </c>
      <c r="E605" s="1288">
        <f>Material!$G$75</f>
        <v>15000</v>
      </c>
      <c r="F605" s="1286">
        <f>B605*E605</f>
        <v>6000</v>
      </c>
      <c r="G605" s="1287"/>
      <c r="H605" s="1286"/>
      <c r="I605" s="1278"/>
      <c r="J605" s="1278"/>
      <c r="K605" s="1278"/>
      <c r="L605" s="1278"/>
      <c r="M605" s="1278"/>
      <c r="N605" s="1278"/>
      <c r="O605" s="1278"/>
      <c r="P605" s="1278"/>
      <c r="Q605" s="1278"/>
      <c r="R605" s="1278"/>
      <c r="S605" s="1278"/>
      <c r="T605" s="1278"/>
      <c r="U605" s="1278"/>
      <c r="V605" s="1278"/>
      <c r="W605" s="1278"/>
      <c r="X605" s="1278"/>
      <c r="Y605" s="1278"/>
      <c r="Z605" s="1278"/>
      <c r="AA605" s="1278"/>
      <c r="AB605" s="1278"/>
      <c r="AC605" s="1278"/>
      <c r="AD605" s="1278"/>
    </row>
    <row r="606" spans="1:30" s="1277" customFormat="1">
      <c r="A606" s="1283"/>
      <c r="B606" s="1289">
        <f>0.1*0.1*1</f>
        <v>1.0000000000000002E-2</v>
      </c>
      <c r="C606" s="1284" t="s">
        <v>51</v>
      </c>
      <c r="D606" s="1283" t="s">
        <v>1552</v>
      </c>
      <c r="E606" s="1288">
        <f>$I$265</f>
        <v>886530</v>
      </c>
      <c r="F606" s="1286">
        <f>B606*E606</f>
        <v>8865.3000000000011</v>
      </c>
      <c r="G606" s="1287"/>
      <c r="H606" s="1286"/>
      <c r="I606" s="1278"/>
      <c r="J606" s="1278"/>
      <c r="K606" s="1278"/>
      <c r="L606" s="1278"/>
      <c r="M606" s="1278"/>
      <c r="N606" s="1278"/>
      <c r="O606" s="1278"/>
      <c r="P606" s="1278"/>
      <c r="Q606" s="1278"/>
      <c r="R606" s="1278"/>
      <c r="S606" s="1278"/>
      <c r="T606" s="1278"/>
      <c r="U606" s="1278"/>
      <c r="V606" s="1278"/>
      <c r="W606" s="1278"/>
      <c r="X606" s="1278"/>
      <c r="Y606" s="1278"/>
      <c r="Z606" s="1278"/>
      <c r="AA606" s="1278"/>
      <c r="AB606" s="1278"/>
      <c r="AC606" s="1278"/>
      <c r="AD606" s="1278"/>
    </row>
    <row r="607" spans="1:30" s="1277" customFormat="1">
      <c r="A607" s="1283"/>
      <c r="B607" s="1289">
        <v>1</v>
      </c>
      <c r="C607" s="1284" t="s">
        <v>50</v>
      </c>
      <c r="D607" s="1283" t="s">
        <v>1555</v>
      </c>
      <c r="E607" s="1288">
        <f>Upah!$D$99</f>
        <v>30000</v>
      </c>
      <c r="F607" s="1286"/>
      <c r="G607" s="1287">
        <f>B607*E607</f>
        <v>30000</v>
      </c>
      <c r="H607" s="1286"/>
      <c r="I607" s="1278"/>
      <c r="J607" s="1278"/>
      <c r="K607" s="1278"/>
      <c r="L607" s="1278"/>
      <c r="M607" s="1278"/>
      <c r="N607" s="1278"/>
      <c r="O607" s="1278"/>
      <c r="P607" s="1278"/>
      <c r="Q607" s="1278"/>
      <c r="R607" s="1278"/>
      <c r="S607" s="1278"/>
      <c r="T607" s="1278"/>
      <c r="U607" s="1278"/>
      <c r="V607" s="1278"/>
      <c r="W607" s="1278"/>
      <c r="X607" s="1278"/>
      <c r="Y607" s="1278"/>
      <c r="Z607" s="1278"/>
      <c r="AA607" s="1278"/>
      <c r="AB607" s="1278"/>
      <c r="AC607" s="1278"/>
      <c r="AD607" s="1278"/>
    </row>
    <row r="608" spans="1:30" s="1277" customFormat="1" ht="13.5" thickBot="1">
      <c r="A608" s="1283"/>
      <c r="B608" s="1289"/>
      <c r="C608" s="1284"/>
      <c r="D608" s="1283"/>
      <c r="E608" s="1288"/>
      <c r="F608" s="1286"/>
      <c r="G608" s="1287"/>
      <c r="H608" s="1286"/>
      <c r="I608" s="1278"/>
      <c r="J608" s="1278"/>
      <c r="K608" s="1278"/>
      <c r="L608" s="1278"/>
      <c r="M608" s="1278"/>
      <c r="N608" s="1278"/>
      <c r="O608" s="1278"/>
      <c r="P608" s="1278"/>
      <c r="Q608" s="1278"/>
      <c r="R608" s="1278"/>
      <c r="S608" s="1278"/>
      <c r="T608" s="1278"/>
      <c r="U608" s="1278"/>
      <c r="V608" s="1278"/>
      <c r="W608" s="1278"/>
      <c r="X608" s="1278"/>
      <c r="Y608" s="1278"/>
      <c r="Z608" s="1278"/>
      <c r="AA608" s="1278"/>
      <c r="AB608" s="1278"/>
      <c r="AC608" s="1278"/>
      <c r="AD608" s="1278"/>
    </row>
    <row r="609" spans="1:30" s="1277" customFormat="1" ht="13.5" thickBot="1">
      <c r="A609" s="1283"/>
      <c r="B609" s="1285"/>
      <c r="C609" s="1284"/>
      <c r="D609" s="1283"/>
      <c r="E609" s="1282" t="s">
        <v>48</v>
      </c>
      <c r="F609" s="1281">
        <f>SUM(F603:F608)</f>
        <v>72437.925000000003</v>
      </c>
      <c r="G609" s="1280">
        <f>SUM(G603:G608)</f>
        <v>30000</v>
      </c>
      <c r="H609" s="1279">
        <f>SUM(F609:G609)</f>
        <v>102437.925</v>
      </c>
      <c r="I609" s="1278"/>
      <c r="J609" s="1278"/>
      <c r="K609" s="1278"/>
      <c r="L609" s="1278"/>
      <c r="M609" s="1278"/>
      <c r="N609" s="1278"/>
      <c r="O609" s="1278"/>
      <c r="P609" s="1278"/>
      <c r="Q609" s="1278"/>
      <c r="R609" s="1278"/>
      <c r="S609" s="1278"/>
      <c r="T609" s="1278"/>
      <c r="U609" s="1278"/>
      <c r="V609" s="1278"/>
      <c r="W609" s="1278"/>
      <c r="X609" s="1278"/>
      <c r="Y609" s="1278"/>
      <c r="Z609" s="1278"/>
      <c r="AA609" s="1278"/>
      <c r="AB609" s="1278"/>
      <c r="AC609" s="1278"/>
      <c r="AD609" s="1278"/>
    </row>
    <row r="610" spans="1:30" s="1277" customFormat="1">
      <c r="A610" s="1283"/>
      <c r="B610" s="1285"/>
      <c r="C610" s="1284"/>
      <c r="D610" s="1283"/>
      <c r="E610" s="1294"/>
      <c r="F610" s="1290"/>
      <c r="G610" s="1291"/>
      <c r="H610" s="1290"/>
      <c r="I610" s="1278"/>
      <c r="J610" s="1278"/>
      <c r="K610" s="1278"/>
      <c r="L610" s="1278"/>
      <c r="M610" s="1278"/>
      <c r="N610" s="1278"/>
      <c r="O610" s="1278"/>
      <c r="P610" s="1278"/>
      <c r="Q610" s="1278"/>
      <c r="R610" s="1278"/>
      <c r="S610" s="1278"/>
      <c r="T610" s="1278"/>
      <c r="U610" s="1278"/>
      <c r="V610" s="1278"/>
      <c r="W610" s="1278"/>
      <c r="X610" s="1278"/>
      <c r="Y610" s="1278"/>
      <c r="Z610" s="1278"/>
      <c r="AA610" s="1278"/>
      <c r="AB610" s="1278"/>
      <c r="AC610" s="1278"/>
      <c r="AD610" s="1278"/>
    </row>
    <row r="611" spans="1:30" s="1277" customFormat="1">
      <c r="A611" s="1293"/>
      <c r="B611" s="1285" t="s">
        <v>1559</v>
      </c>
      <c r="C611" s="1284"/>
      <c r="D611" s="1283"/>
      <c r="E611" s="1292"/>
      <c r="F611" s="1290"/>
      <c r="G611" s="1291"/>
      <c r="H611" s="1290"/>
      <c r="I611" s="1278"/>
      <c r="J611" s="1278"/>
      <c r="K611" s="1278"/>
      <c r="L611" s="1278"/>
      <c r="M611" s="1278"/>
      <c r="N611" s="1278"/>
      <c r="O611" s="1278"/>
      <c r="P611" s="1278"/>
      <c r="Q611" s="1278"/>
      <c r="R611" s="1278"/>
      <c r="S611" s="1278"/>
      <c r="T611" s="1278"/>
      <c r="U611" s="1278"/>
      <c r="V611" s="1278"/>
      <c r="W611" s="1278"/>
      <c r="X611" s="1278"/>
      <c r="Y611" s="1278"/>
      <c r="Z611" s="1278"/>
      <c r="AA611" s="1278"/>
      <c r="AB611" s="1278"/>
      <c r="AC611" s="1278"/>
      <c r="AD611" s="1278"/>
    </row>
    <row r="612" spans="1:30" s="1277" customFormat="1">
      <c r="A612" s="1283"/>
      <c r="B612" s="1289">
        <f>1/4*1.1</f>
        <v>0.27500000000000002</v>
      </c>
      <c r="C612" s="1284" t="s">
        <v>1558</v>
      </c>
      <c r="D612" s="1283" t="s">
        <v>1557</v>
      </c>
      <c r="E612" s="1288">
        <f>Material!$G$90</f>
        <v>147475</v>
      </c>
      <c r="F612" s="1286">
        <f>B612*E612</f>
        <v>40555.625</v>
      </c>
      <c r="G612" s="1287"/>
      <c r="H612" s="1286"/>
      <c r="I612" s="1278"/>
      <c r="J612" s="1278"/>
      <c r="K612" s="1278"/>
      <c r="L612" s="1278"/>
      <c r="M612" s="1278"/>
      <c r="N612" s="1278"/>
      <c r="O612" s="1278"/>
      <c r="P612" s="1278"/>
      <c r="Q612" s="1278"/>
      <c r="R612" s="1278"/>
      <c r="S612" s="1278"/>
      <c r="T612" s="1278"/>
      <c r="U612" s="1278"/>
      <c r="V612" s="1278"/>
      <c r="W612" s="1278"/>
      <c r="X612" s="1278"/>
      <c r="Y612" s="1278"/>
      <c r="Z612" s="1278"/>
      <c r="AA612" s="1278"/>
      <c r="AB612" s="1278"/>
      <c r="AC612" s="1278"/>
      <c r="AD612" s="1278"/>
    </row>
    <row r="613" spans="1:30" s="1277" customFormat="1">
      <c r="A613" s="1283"/>
      <c r="B613" s="1289">
        <f>4*0.1*1</f>
        <v>0.4</v>
      </c>
      <c r="C613" s="1284" t="s">
        <v>49</v>
      </c>
      <c r="D613" s="1283" t="s">
        <v>1556</v>
      </c>
      <c r="E613" s="1288">
        <f>Material!$G$75</f>
        <v>15000</v>
      </c>
      <c r="F613" s="1286">
        <f>B613*E613</f>
        <v>6000</v>
      </c>
      <c r="G613" s="1287"/>
      <c r="H613" s="1286"/>
      <c r="I613" s="1278"/>
      <c r="J613" s="1278"/>
      <c r="K613" s="1278"/>
      <c r="L613" s="1278"/>
      <c r="M613" s="1278"/>
      <c r="N613" s="1278"/>
      <c r="O613" s="1278"/>
      <c r="P613" s="1278"/>
      <c r="Q613" s="1278"/>
      <c r="R613" s="1278"/>
      <c r="S613" s="1278"/>
      <c r="T613" s="1278"/>
      <c r="U613" s="1278"/>
      <c r="V613" s="1278"/>
      <c r="W613" s="1278"/>
      <c r="X613" s="1278"/>
      <c r="Y613" s="1278"/>
      <c r="Z613" s="1278"/>
      <c r="AA613" s="1278"/>
      <c r="AB613" s="1278"/>
      <c r="AC613" s="1278"/>
      <c r="AD613" s="1278"/>
    </row>
    <row r="614" spans="1:30" s="1277" customFormat="1">
      <c r="A614" s="1283"/>
      <c r="B614" s="1289">
        <f>0.1*0.1*1</f>
        <v>1.0000000000000002E-2</v>
      </c>
      <c r="C614" s="1284" t="s">
        <v>51</v>
      </c>
      <c r="D614" s="1283" t="s">
        <v>1552</v>
      </c>
      <c r="E614" s="1288">
        <f>$I$265</f>
        <v>886530</v>
      </c>
      <c r="F614" s="1286">
        <f>B614*E614</f>
        <v>8865.3000000000011</v>
      </c>
      <c r="G614" s="1287"/>
      <c r="H614" s="1286"/>
      <c r="I614" s="1278"/>
      <c r="J614" s="1278"/>
      <c r="K614" s="1278"/>
      <c r="L614" s="1278"/>
      <c r="M614" s="1278"/>
      <c r="N614" s="1278"/>
      <c r="O614" s="1278"/>
      <c r="P614" s="1278"/>
      <c r="Q614" s="1278"/>
      <c r="R614" s="1278"/>
      <c r="S614" s="1278"/>
      <c r="T614" s="1278"/>
      <c r="U614" s="1278"/>
      <c r="V614" s="1278"/>
      <c r="W614" s="1278"/>
      <c r="X614" s="1278"/>
      <c r="Y614" s="1278"/>
      <c r="Z614" s="1278"/>
      <c r="AA614" s="1278"/>
      <c r="AB614" s="1278"/>
      <c r="AC614" s="1278"/>
      <c r="AD614" s="1278"/>
    </row>
    <row r="615" spans="1:30" s="1277" customFormat="1">
      <c r="A615" s="1283"/>
      <c r="B615" s="1289">
        <v>1</v>
      </c>
      <c r="C615" s="1284" t="s">
        <v>50</v>
      </c>
      <c r="D615" s="1283" t="s">
        <v>1555</v>
      </c>
      <c r="E615" s="1288">
        <f>Upah!$D$99</f>
        <v>30000</v>
      </c>
      <c r="F615" s="1286"/>
      <c r="G615" s="1287">
        <f>B615*E615</f>
        <v>30000</v>
      </c>
      <c r="H615" s="1286"/>
      <c r="I615" s="1278"/>
      <c r="J615" s="1278"/>
      <c r="K615" s="1278"/>
      <c r="L615" s="1278"/>
      <c r="M615" s="1278"/>
      <c r="N615" s="1278"/>
      <c r="O615" s="1278"/>
      <c r="P615" s="1278"/>
      <c r="Q615" s="1278"/>
      <c r="R615" s="1278"/>
      <c r="S615" s="1278"/>
      <c r="T615" s="1278"/>
      <c r="U615" s="1278"/>
      <c r="V615" s="1278"/>
      <c r="W615" s="1278"/>
      <c r="X615" s="1278"/>
      <c r="Y615" s="1278"/>
      <c r="Z615" s="1278"/>
      <c r="AA615" s="1278"/>
      <c r="AB615" s="1278"/>
      <c r="AC615" s="1278"/>
      <c r="AD615" s="1278"/>
    </row>
    <row r="616" spans="1:30" s="1277" customFormat="1" ht="13.5" thickBot="1">
      <c r="A616" s="1283"/>
      <c r="B616" s="1289"/>
      <c r="C616" s="1284"/>
      <c r="D616" s="1283"/>
      <c r="E616" s="1288"/>
      <c r="F616" s="1286"/>
      <c r="G616" s="1287"/>
      <c r="H616" s="1286"/>
      <c r="I616" s="1278"/>
      <c r="J616" s="1278"/>
      <c r="K616" s="1278"/>
      <c r="L616" s="1278"/>
      <c r="M616" s="1278"/>
      <c r="N616" s="1278"/>
      <c r="O616" s="1278"/>
      <c r="P616" s="1278"/>
      <c r="Q616" s="1278"/>
      <c r="R616" s="1278"/>
      <c r="S616" s="1278"/>
      <c r="T616" s="1278"/>
      <c r="U616" s="1278"/>
      <c r="V616" s="1278"/>
      <c r="W616" s="1278"/>
      <c r="X616" s="1278"/>
      <c r="Y616" s="1278"/>
      <c r="Z616" s="1278"/>
      <c r="AA616" s="1278"/>
      <c r="AB616" s="1278"/>
      <c r="AC616" s="1278"/>
      <c r="AD616" s="1278"/>
    </row>
    <row r="617" spans="1:30" s="1277" customFormat="1" ht="13.5" thickBot="1">
      <c r="A617" s="1283"/>
      <c r="B617" s="1285"/>
      <c r="C617" s="1284"/>
      <c r="D617" s="1283"/>
      <c r="E617" s="1282" t="s">
        <v>48</v>
      </c>
      <c r="F617" s="1281">
        <f>SUM(F611:F616)</f>
        <v>55420.925000000003</v>
      </c>
      <c r="G617" s="1280">
        <f>SUM(G611:G616)</f>
        <v>30000</v>
      </c>
      <c r="H617" s="1279">
        <f>SUM(F617:G617)</f>
        <v>85420.925000000003</v>
      </c>
      <c r="I617" s="1278"/>
      <c r="J617" s="1278"/>
      <c r="K617" s="1278"/>
      <c r="L617" s="1278"/>
      <c r="M617" s="1278"/>
      <c r="N617" s="1278"/>
      <c r="O617" s="1278"/>
      <c r="P617" s="1278"/>
      <c r="Q617" s="1278"/>
      <c r="R617" s="1278"/>
      <c r="S617" s="1278"/>
      <c r="T617" s="1278"/>
      <c r="U617" s="1278"/>
      <c r="V617" s="1278"/>
      <c r="W617" s="1278"/>
      <c r="X617" s="1278"/>
      <c r="Y617" s="1278"/>
      <c r="Z617" s="1278"/>
      <c r="AA617" s="1278"/>
      <c r="AB617" s="1278"/>
      <c r="AC617" s="1278"/>
      <c r="AD617" s="1278"/>
    </row>
    <row r="618" spans="1:30" s="1277" customFormat="1">
      <c r="A618" s="1283"/>
      <c r="B618" s="1285"/>
      <c r="C618" s="1284"/>
      <c r="D618" s="1283"/>
      <c r="E618" s="1294"/>
      <c r="F618" s="1290"/>
      <c r="G618" s="1291"/>
      <c r="H618" s="1290"/>
      <c r="I618" s="1278"/>
      <c r="J618" s="1278"/>
      <c r="K618" s="1278"/>
      <c r="L618" s="1278"/>
      <c r="M618" s="1278"/>
      <c r="N618" s="1278"/>
      <c r="O618" s="1278"/>
      <c r="P618" s="1278"/>
      <c r="Q618" s="1278"/>
      <c r="R618" s="1278"/>
      <c r="S618" s="1278"/>
      <c r="T618" s="1278"/>
      <c r="U618" s="1278"/>
      <c r="V618" s="1278"/>
      <c r="W618" s="1278"/>
      <c r="X618" s="1278"/>
      <c r="Y618" s="1278"/>
      <c r="Z618" s="1278"/>
      <c r="AA618" s="1278"/>
      <c r="AB618" s="1278"/>
      <c r="AC618" s="1278"/>
      <c r="AD618" s="1278"/>
    </row>
    <row r="619" spans="1:30" s="1277" customFormat="1">
      <c r="A619" s="1293"/>
      <c r="B619" s="1285" t="s">
        <v>1554</v>
      </c>
      <c r="C619" s="1284"/>
      <c r="D619" s="1283"/>
      <c r="E619" s="1292"/>
      <c r="F619" s="1290"/>
      <c r="G619" s="1291"/>
      <c r="H619" s="1290"/>
      <c r="I619" s="1278"/>
      <c r="J619" s="1278"/>
      <c r="K619" s="1278"/>
      <c r="L619" s="1278"/>
      <c r="M619" s="1278"/>
      <c r="N619" s="1278"/>
      <c r="O619" s="1278"/>
      <c r="P619" s="1278"/>
      <c r="Q619" s="1278"/>
      <c r="R619" s="1278"/>
      <c r="S619" s="1278"/>
      <c r="T619" s="1278"/>
      <c r="U619" s="1278"/>
      <c r="V619" s="1278"/>
      <c r="W619" s="1278"/>
      <c r="X619" s="1278"/>
      <c r="Y619" s="1278"/>
      <c r="Z619" s="1278"/>
      <c r="AA619" s="1278"/>
      <c r="AB619" s="1278"/>
      <c r="AC619" s="1278"/>
      <c r="AD619" s="1278"/>
    </row>
    <row r="620" spans="1:30" s="1277" customFormat="1">
      <c r="A620" s="1283"/>
      <c r="B620" s="1289">
        <f>(1.2+2*0.3)*0.1*1.2</f>
        <v>0.216</v>
      </c>
      <c r="C620" s="1284" t="s">
        <v>51</v>
      </c>
      <c r="D620" s="1283" t="s">
        <v>1552</v>
      </c>
      <c r="E620" s="1288">
        <f>$I$265</f>
        <v>886530</v>
      </c>
      <c r="F620" s="1286">
        <f>B620*E620</f>
        <v>191490.48</v>
      </c>
      <c r="G620" s="1287"/>
      <c r="H620" s="1286"/>
      <c r="I620" s="1278"/>
      <c r="J620" s="1278"/>
      <c r="K620" s="1278"/>
      <c r="L620" s="1278"/>
      <c r="M620" s="1278"/>
      <c r="N620" s="1278"/>
      <c r="O620" s="1278"/>
      <c r="P620" s="1278"/>
      <c r="Q620" s="1278"/>
      <c r="R620" s="1278"/>
      <c r="S620" s="1278"/>
      <c r="T620" s="1278"/>
      <c r="U620" s="1278"/>
      <c r="V620" s="1278"/>
      <c r="W620" s="1278"/>
      <c r="X620" s="1278"/>
      <c r="Y620" s="1278"/>
      <c r="Z620" s="1278"/>
      <c r="AA620" s="1278"/>
      <c r="AB620" s="1278"/>
      <c r="AC620" s="1278"/>
      <c r="AD620" s="1278"/>
    </row>
    <row r="621" spans="1:30" s="1277" customFormat="1">
      <c r="A621" s="1283"/>
      <c r="B621" s="1289">
        <f>0.006165*8^2*(1.2+2*0.4)*(1/0.15)</f>
        <v>5.2608000000000006</v>
      </c>
      <c r="C621" s="1284" t="s">
        <v>53</v>
      </c>
      <c r="D621" s="1283" t="s">
        <v>1551</v>
      </c>
      <c r="E621" s="1288">
        <f>$I$233</f>
        <v>10442.5</v>
      </c>
      <c r="F621" s="1286">
        <f>B621*E621</f>
        <v>54935.90400000001</v>
      </c>
      <c r="G621" s="1287"/>
      <c r="H621" s="1286"/>
      <c r="I621" s="1278"/>
      <c r="J621" s="1278"/>
      <c r="K621" s="1278"/>
      <c r="L621" s="1278"/>
      <c r="M621" s="1278"/>
      <c r="N621" s="1278"/>
      <c r="O621" s="1278"/>
      <c r="P621" s="1278"/>
      <c r="Q621" s="1278"/>
      <c r="R621" s="1278"/>
      <c r="S621" s="1278"/>
      <c r="T621" s="1278"/>
      <c r="U621" s="1278"/>
      <c r="V621" s="1278"/>
      <c r="W621" s="1278"/>
      <c r="X621" s="1278"/>
      <c r="Y621" s="1278"/>
      <c r="Z621" s="1278"/>
      <c r="AA621" s="1278"/>
      <c r="AB621" s="1278"/>
      <c r="AC621" s="1278"/>
      <c r="AD621" s="1278"/>
    </row>
    <row r="622" spans="1:30" s="1277" customFormat="1">
      <c r="A622" s="1283"/>
      <c r="B622" s="1289">
        <f>2*(0.3+0.1)</f>
        <v>0.8</v>
      </c>
      <c r="C622" s="1284" t="s">
        <v>49</v>
      </c>
      <c r="D622" s="1283" t="s">
        <v>1550</v>
      </c>
      <c r="E622" s="1288">
        <f>$I$107</f>
        <v>113100</v>
      </c>
      <c r="F622" s="1286">
        <f>B622*E622</f>
        <v>90480</v>
      </c>
      <c r="G622" s="1287"/>
      <c r="H622" s="1286"/>
      <c r="I622" s="1278"/>
      <c r="J622" s="1278"/>
      <c r="K622" s="1278"/>
      <c r="L622" s="1278"/>
      <c r="M622" s="1278"/>
      <c r="N622" s="1278"/>
      <c r="O622" s="1278"/>
      <c r="P622" s="1278"/>
      <c r="Q622" s="1278"/>
      <c r="R622" s="1278"/>
      <c r="S622" s="1278"/>
      <c r="T622" s="1278"/>
      <c r="U622" s="1278"/>
      <c r="V622" s="1278"/>
      <c r="W622" s="1278"/>
      <c r="X622" s="1278"/>
      <c r="Y622" s="1278"/>
      <c r="Z622" s="1278"/>
      <c r="AA622" s="1278"/>
      <c r="AB622" s="1278"/>
      <c r="AC622" s="1278"/>
      <c r="AD622" s="1278"/>
    </row>
    <row r="623" spans="1:30" s="1277" customFormat="1">
      <c r="A623" s="1283"/>
      <c r="B623" s="1289">
        <f>2*0.3</f>
        <v>0.6</v>
      </c>
      <c r="C623" s="1284" t="s">
        <v>49</v>
      </c>
      <c r="D623" s="1283" t="s">
        <v>1549</v>
      </c>
      <c r="E623" s="1288">
        <v>60000</v>
      </c>
      <c r="F623" s="1286">
        <f>B623*E623</f>
        <v>36000</v>
      </c>
      <c r="G623" s="1287"/>
      <c r="H623" s="1286"/>
      <c r="I623" s="1278"/>
      <c r="J623" s="1278"/>
      <c r="K623" s="1278"/>
      <c r="L623" s="1278"/>
      <c r="M623" s="1278"/>
      <c r="N623" s="1278"/>
      <c r="O623" s="1278"/>
      <c r="P623" s="1278"/>
      <c r="Q623" s="1278"/>
      <c r="R623" s="1278"/>
      <c r="S623" s="1278"/>
      <c r="T623" s="1278"/>
      <c r="U623" s="1278"/>
      <c r="V623" s="1278"/>
      <c r="W623" s="1278"/>
      <c r="X623" s="1278"/>
      <c r="Y623" s="1278"/>
      <c r="Z623" s="1278"/>
      <c r="AA623" s="1278"/>
      <c r="AB623" s="1278"/>
      <c r="AC623" s="1278"/>
      <c r="AD623" s="1278"/>
    </row>
    <row r="624" spans="1:30" s="1277" customFormat="1">
      <c r="A624" s="1283"/>
      <c r="B624" s="1289">
        <f>0.05*(1+2*0.1)</f>
        <v>0.06</v>
      </c>
      <c r="C624" s="1284" t="s">
        <v>51</v>
      </c>
      <c r="D624" s="1283" t="s">
        <v>1548</v>
      </c>
      <c r="E624" s="1288">
        <f>$I$275</f>
        <v>1185220</v>
      </c>
      <c r="F624" s="1286">
        <f>B624*E624</f>
        <v>71113.2</v>
      </c>
      <c r="G624" s="1287"/>
      <c r="H624" s="1286"/>
      <c r="I624" s="1278"/>
      <c r="J624" s="1278"/>
      <c r="K624" s="1278"/>
      <c r="L624" s="1278"/>
      <c r="M624" s="1278"/>
      <c r="N624" s="1278"/>
      <c r="O624" s="1278"/>
      <c r="P624" s="1278"/>
      <c r="Q624" s="1278"/>
      <c r="R624" s="1278"/>
      <c r="S624" s="1278"/>
      <c r="T624" s="1278"/>
      <c r="U624" s="1278"/>
      <c r="V624" s="1278"/>
      <c r="W624" s="1278"/>
      <c r="X624" s="1278"/>
      <c r="Y624" s="1278"/>
      <c r="Z624" s="1278"/>
      <c r="AA624" s="1278"/>
      <c r="AB624" s="1278"/>
      <c r="AC624" s="1278"/>
      <c r="AD624" s="1278"/>
    </row>
    <row r="625" spans="1:30" s="1277" customFormat="1">
      <c r="A625" s="1283"/>
      <c r="B625" s="1289">
        <v>1</v>
      </c>
      <c r="C625" s="1284" t="s">
        <v>50</v>
      </c>
      <c r="D625" s="1283" t="s">
        <v>1547</v>
      </c>
      <c r="E625" s="1288">
        <f>Upah!$D$98</f>
        <v>40000</v>
      </c>
      <c r="F625" s="1286"/>
      <c r="G625" s="1287">
        <f>B625*E625</f>
        <v>40000</v>
      </c>
      <c r="H625" s="1286"/>
      <c r="I625" s="1278"/>
      <c r="J625" s="1278"/>
      <c r="K625" s="1278"/>
      <c r="L625" s="1278"/>
      <c r="M625" s="1278"/>
      <c r="N625" s="1278"/>
      <c r="O625" s="1278"/>
      <c r="P625" s="1278"/>
      <c r="Q625" s="1278"/>
      <c r="R625" s="1278"/>
      <c r="S625" s="1278"/>
      <c r="T625" s="1278"/>
      <c r="U625" s="1278"/>
      <c r="V625" s="1278"/>
      <c r="W625" s="1278"/>
      <c r="X625" s="1278"/>
      <c r="Y625" s="1278"/>
      <c r="Z625" s="1278"/>
      <c r="AA625" s="1278"/>
      <c r="AB625" s="1278"/>
      <c r="AC625" s="1278"/>
      <c r="AD625" s="1278"/>
    </row>
    <row r="626" spans="1:30" s="1277" customFormat="1" ht="13.5" thickBot="1">
      <c r="A626" s="1283"/>
      <c r="B626" s="1289"/>
      <c r="C626" s="1284"/>
      <c r="D626" s="1283"/>
      <c r="E626" s="1288"/>
      <c r="F626" s="1286"/>
      <c r="G626" s="1287"/>
      <c r="H626" s="1286"/>
      <c r="I626" s="1278"/>
      <c r="J626" s="1278"/>
      <c r="K626" s="1278"/>
      <c r="L626" s="1278"/>
      <c r="M626" s="1278"/>
      <c r="N626" s="1278"/>
      <c r="O626" s="1278"/>
      <c r="P626" s="1278"/>
      <c r="Q626" s="1278"/>
      <c r="R626" s="1278"/>
      <c r="S626" s="1278"/>
      <c r="T626" s="1278"/>
      <c r="U626" s="1278"/>
      <c r="V626" s="1278"/>
      <c r="W626" s="1278"/>
      <c r="X626" s="1278"/>
      <c r="Y626" s="1278"/>
      <c r="Z626" s="1278"/>
      <c r="AA626" s="1278"/>
      <c r="AB626" s="1278"/>
      <c r="AC626" s="1278"/>
      <c r="AD626" s="1278"/>
    </row>
    <row r="627" spans="1:30" s="1277" customFormat="1" ht="13.5" thickBot="1">
      <c r="A627" s="1283"/>
      <c r="B627" s="1285"/>
      <c r="C627" s="1284"/>
      <c r="D627" s="1283"/>
      <c r="E627" s="1282" t="s">
        <v>48</v>
      </c>
      <c r="F627" s="1281">
        <f>SUM(F619:F626)</f>
        <v>444019.58400000003</v>
      </c>
      <c r="G627" s="1280">
        <f>SUM(G619:G626)</f>
        <v>40000</v>
      </c>
      <c r="H627" s="1279">
        <f>SUM(F627:G627)</f>
        <v>484019.58400000003</v>
      </c>
      <c r="I627" s="1278"/>
      <c r="J627" s="1278"/>
      <c r="K627" s="1278"/>
      <c r="L627" s="1278"/>
      <c r="M627" s="1278"/>
      <c r="N627" s="1278"/>
      <c r="O627" s="1278"/>
      <c r="P627" s="1278"/>
      <c r="Q627" s="1278"/>
      <c r="R627" s="1278"/>
      <c r="S627" s="1278"/>
      <c r="T627" s="1278"/>
      <c r="U627" s="1278"/>
      <c r="V627" s="1278"/>
      <c r="W627" s="1278"/>
      <c r="X627" s="1278"/>
      <c r="Y627" s="1278"/>
      <c r="Z627" s="1278"/>
      <c r="AA627" s="1278"/>
      <c r="AB627" s="1278"/>
      <c r="AC627" s="1278"/>
      <c r="AD627" s="1278"/>
    </row>
    <row r="628" spans="1:30" s="1277" customFormat="1">
      <c r="A628" s="1283"/>
      <c r="B628" s="1285"/>
      <c r="C628" s="1284"/>
      <c r="D628" s="1283"/>
      <c r="E628" s="1294"/>
      <c r="F628" s="1290"/>
      <c r="G628" s="1291"/>
      <c r="H628" s="1290"/>
      <c r="I628" s="1278"/>
      <c r="J628" s="1278"/>
      <c r="K628" s="1278"/>
      <c r="L628" s="1278"/>
      <c r="M628" s="1278"/>
      <c r="N628" s="1278"/>
      <c r="O628" s="1278"/>
      <c r="P628" s="1278"/>
      <c r="Q628" s="1278"/>
      <c r="R628" s="1278"/>
      <c r="S628" s="1278"/>
      <c r="T628" s="1278"/>
      <c r="U628" s="1278"/>
      <c r="V628" s="1278"/>
      <c r="W628" s="1278"/>
      <c r="X628" s="1278"/>
      <c r="Y628" s="1278"/>
      <c r="Z628" s="1278"/>
      <c r="AA628" s="1278"/>
      <c r="AB628" s="1278"/>
      <c r="AC628" s="1278"/>
      <c r="AD628" s="1278"/>
    </row>
    <row r="629" spans="1:30" s="1277" customFormat="1">
      <c r="A629" s="1293"/>
      <c r="B629" s="1285" t="s">
        <v>1553</v>
      </c>
      <c r="C629" s="1284"/>
      <c r="D629" s="1283"/>
      <c r="E629" s="1292"/>
      <c r="F629" s="1290"/>
      <c r="G629" s="1291"/>
      <c r="H629" s="1290"/>
      <c r="I629" s="1278"/>
      <c r="J629" s="1278"/>
      <c r="K629" s="1278"/>
      <c r="L629" s="1278"/>
      <c r="M629" s="1278"/>
      <c r="N629" s="1278"/>
      <c r="O629" s="1278"/>
      <c r="P629" s="1278"/>
      <c r="Q629" s="1278"/>
      <c r="R629" s="1278"/>
      <c r="S629" s="1278"/>
      <c r="T629" s="1278"/>
      <c r="U629" s="1278"/>
      <c r="V629" s="1278"/>
      <c r="W629" s="1278"/>
      <c r="X629" s="1278"/>
      <c r="Y629" s="1278"/>
      <c r="Z629" s="1278"/>
      <c r="AA629" s="1278"/>
      <c r="AB629" s="1278"/>
      <c r="AC629" s="1278"/>
      <c r="AD629" s="1278"/>
    </row>
    <row r="630" spans="1:30" s="1277" customFormat="1">
      <c r="A630" s="1283"/>
      <c r="B630" s="1289">
        <f>(0.7+2*0.3)*0.1*1.2</f>
        <v>0.15599999999999997</v>
      </c>
      <c r="C630" s="1284" t="s">
        <v>51</v>
      </c>
      <c r="D630" s="1283" t="s">
        <v>1552</v>
      </c>
      <c r="E630" s="1288">
        <f>$I$265</f>
        <v>886530</v>
      </c>
      <c r="F630" s="1286">
        <f>B630*E630</f>
        <v>138298.67999999996</v>
      </c>
      <c r="G630" s="1287"/>
      <c r="H630" s="1286"/>
      <c r="I630" s="1278"/>
      <c r="J630" s="1278"/>
      <c r="K630" s="1278"/>
      <c r="L630" s="1278"/>
      <c r="M630" s="1278"/>
      <c r="N630" s="1278"/>
      <c r="O630" s="1278"/>
      <c r="P630" s="1278"/>
      <c r="Q630" s="1278"/>
      <c r="R630" s="1278"/>
      <c r="S630" s="1278"/>
      <c r="T630" s="1278"/>
      <c r="U630" s="1278"/>
      <c r="V630" s="1278"/>
      <c r="W630" s="1278"/>
      <c r="X630" s="1278"/>
      <c r="Y630" s="1278"/>
      <c r="Z630" s="1278"/>
      <c r="AA630" s="1278"/>
      <c r="AB630" s="1278"/>
      <c r="AC630" s="1278"/>
      <c r="AD630" s="1278"/>
    </row>
    <row r="631" spans="1:30" s="1277" customFormat="1">
      <c r="A631" s="1283"/>
      <c r="B631" s="1289">
        <f>0.006165*8^2*(0.7+2*0.4)*(1/0.15)</f>
        <v>3.9456000000000002</v>
      </c>
      <c r="C631" s="1284" t="s">
        <v>53</v>
      </c>
      <c r="D631" s="1283" t="s">
        <v>1551</v>
      </c>
      <c r="E631" s="1288">
        <f>$I$233</f>
        <v>10442.5</v>
      </c>
      <c r="F631" s="1286">
        <f>B631*E631</f>
        <v>41201.928</v>
      </c>
      <c r="G631" s="1287"/>
      <c r="H631" s="1286"/>
      <c r="I631" s="1278"/>
      <c r="J631" s="1278"/>
      <c r="K631" s="1278"/>
      <c r="L631" s="1278"/>
      <c r="M631" s="1278"/>
      <c r="N631" s="1278"/>
      <c r="O631" s="1278"/>
      <c r="P631" s="1278"/>
      <c r="Q631" s="1278"/>
      <c r="R631" s="1278"/>
      <c r="S631" s="1278"/>
      <c r="T631" s="1278"/>
      <c r="U631" s="1278"/>
      <c r="V631" s="1278"/>
      <c r="W631" s="1278"/>
      <c r="X631" s="1278"/>
      <c r="Y631" s="1278"/>
      <c r="Z631" s="1278"/>
      <c r="AA631" s="1278"/>
      <c r="AB631" s="1278"/>
      <c r="AC631" s="1278"/>
      <c r="AD631" s="1278"/>
    </row>
    <row r="632" spans="1:30" s="1277" customFormat="1">
      <c r="A632" s="1283"/>
      <c r="B632" s="1289">
        <f>2*(0.3+0.1)</f>
        <v>0.8</v>
      </c>
      <c r="C632" s="1284" t="s">
        <v>49</v>
      </c>
      <c r="D632" s="1283" t="s">
        <v>1550</v>
      </c>
      <c r="E632" s="1288">
        <f>$I$107</f>
        <v>113100</v>
      </c>
      <c r="F632" s="1286">
        <f>B632*E632</f>
        <v>90480</v>
      </c>
      <c r="G632" s="1287"/>
      <c r="H632" s="1286"/>
      <c r="I632" s="1278"/>
      <c r="J632" s="1278"/>
      <c r="K632" s="1278"/>
      <c r="L632" s="1278"/>
      <c r="M632" s="1278"/>
      <c r="N632" s="1278"/>
      <c r="O632" s="1278"/>
      <c r="P632" s="1278"/>
      <c r="Q632" s="1278"/>
      <c r="R632" s="1278"/>
      <c r="S632" s="1278"/>
      <c r="T632" s="1278"/>
      <c r="U632" s="1278"/>
      <c r="V632" s="1278"/>
      <c r="W632" s="1278"/>
      <c r="X632" s="1278"/>
      <c r="Y632" s="1278"/>
      <c r="Z632" s="1278"/>
      <c r="AA632" s="1278"/>
      <c r="AB632" s="1278"/>
      <c r="AC632" s="1278"/>
      <c r="AD632" s="1278"/>
    </row>
    <row r="633" spans="1:30" s="1277" customFormat="1">
      <c r="A633" s="1283"/>
      <c r="B633" s="1289">
        <f>2*0.3</f>
        <v>0.6</v>
      </c>
      <c r="C633" s="1284" t="s">
        <v>49</v>
      </c>
      <c r="D633" s="1283" t="s">
        <v>1549</v>
      </c>
      <c r="E633" s="1288">
        <v>60000</v>
      </c>
      <c r="F633" s="1286">
        <f>B633*E633</f>
        <v>36000</v>
      </c>
      <c r="G633" s="1287"/>
      <c r="H633" s="1286"/>
      <c r="I633" s="1278"/>
      <c r="J633" s="1278"/>
      <c r="K633" s="1278"/>
      <c r="L633" s="1278"/>
      <c r="M633" s="1278"/>
      <c r="N633" s="1278"/>
      <c r="O633" s="1278"/>
      <c r="P633" s="1278"/>
      <c r="Q633" s="1278"/>
      <c r="R633" s="1278"/>
      <c r="S633" s="1278"/>
      <c r="T633" s="1278"/>
      <c r="U633" s="1278"/>
      <c r="V633" s="1278"/>
      <c r="W633" s="1278"/>
      <c r="X633" s="1278"/>
      <c r="Y633" s="1278"/>
      <c r="Z633" s="1278"/>
      <c r="AA633" s="1278"/>
      <c r="AB633" s="1278"/>
      <c r="AC633" s="1278"/>
      <c r="AD633" s="1278"/>
    </row>
    <row r="634" spans="1:30" s="1277" customFormat="1">
      <c r="A634" s="1283"/>
      <c r="B634" s="1289">
        <f>0.05*(0.5+2*0.1)</f>
        <v>3.4999999999999996E-2</v>
      </c>
      <c r="C634" s="1284" t="s">
        <v>51</v>
      </c>
      <c r="D634" s="1283" t="s">
        <v>1548</v>
      </c>
      <c r="E634" s="1288">
        <f>$I$275</f>
        <v>1185220</v>
      </c>
      <c r="F634" s="1286">
        <f>B634*E634</f>
        <v>41482.699999999997</v>
      </c>
      <c r="G634" s="1287"/>
      <c r="H634" s="1286"/>
      <c r="I634" s="1278"/>
      <c r="J634" s="1278"/>
      <c r="K634" s="1278"/>
      <c r="L634" s="1278"/>
      <c r="M634" s="1278"/>
      <c r="N634" s="1278"/>
      <c r="O634" s="1278"/>
      <c r="P634" s="1278"/>
      <c r="Q634" s="1278"/>
      <c r="R634" s="1278"/>
      <c r="S634" s="1278"/>
      <c r="T634" s="1278"/>
      <c r="U634" s="1278"/>
      <c r="V634" s="1278"/>
      <c r="W634" s="1278"/>
      <c r="X634" s="1278"/>
      <c r="Y634" s="1278"/>
      <c r="Z634" s="1278"/>
      <c r="AA634" s="1278"/>
      <c r="AB634" s="1278"/>
      <c r="AC634" s="1278"/>
      <c r="AD634" s="1278"/>
    </row>
    <row r="635" spans="1:30" s="1277" customFormat="1">
      <c r="A635" s="1283"/>
      <c r="B635" s="1289">
        <v>1</v>
      </c>
      <c r="C635" s="1284" t="s">
        <v>50</v>
      </c>
      <c r="D635" s="1283" t="s">
        <v>1547</v>
      </c>
      <c r="E635" s="1288">
        <f>Upah!$D$98</f>
        <v>40000</v>
      </c>
      <c r="F635" s="1286"/>
      <c r="G635" s="1287">
        <f>B635*E635</f>
        <v>40000</v>
      </c>
      <c r="H635" s="1286"/>
      <c r="I635" s="1278"/>
      <c r="J635" s="1278"/>
      <c r="K635" s="1278"/>
      <c r="L635" s="1278"/>
      <c r="M635" s="1278"/>
      <c r="N635" s="1278"/>
      <c r="O635" s="1278"/>
      <c r="P635" s="1278"/>
      <c r="Q635" s="1278"/>
      <c r="R635" s="1278"/>
      <c r="S635" s="1278"/>
      <c r="T635" s="1278"/>
      <c r="U635" s="1278"/>
      <c r="V635" s="1278"/>
      <c r="W635" s="1278"/>
      <c r="X635" s="1278"/>
      <c r="Y635" s="1278"/>
      <c r="Z635" s="1278"/>
      <c r="AA635" s="1278"/>
      <c r="AB635" s="1278"/>
      <c r="AC635" s="1278"/>
      <c r="AD635" s="1278"/>
    </row>
    <row r="636" spans="1:30" s="1277" customFormat="1" ht="13.5" thickBot="1">
      <c r="A636" s="1283"/>
      <c r="B636" s="1289"/>
      <c r="C636" s="1284"/>
      <c r="D636" s="1283"/>
      <c r="E636" s="1288"/>
      <c r="F636" s="1286"/>
      <c r="G636" s="1287"/>
      <c r="H636" s="1286"/>
      <c r="I636" s="1278"/>
      <c r="J636" s="1278"/>
      <c r="K636" s="1278"/>
      <c r="L636" s="1278"/>
      <c r="M636" s="1278"/>
      <c r="N636" s="1278"/>
      <c r="O636" s="1278"/>
      <c r="P636" s="1278"/>
      <c r="Q636" s="1278"/>
      <c r="R636" s="1278"/>
      <c r="S636" s="1278"/>
      <c r="T636" s="1278"/>
      <c r="U636" s="1278"/>
      <c r="V636" s="1278"/>
      <c r="W636" s="1278"/>
      <c r="X636" s="1278"/>
      <c r="Y636" s="1278"/>
      <c r="Z636" s="1278"/>
      <c r="AA636" s="1278"/>
      <c r="AB636" s="1278"/>
      <c r="AC636" s="1278"/>
      <c r="AD636" s="1278"/>
    </row>
    <row r="637" spans="1:30" s="1277" customFormat="1" ht="13.5" thickBot="1">
      <c r="A637" s="1283"/>
      <c r="B637" s="1285"/>
      <c r="C637" s="1284"/>
      <c r="D637" s="1283"/>
      <c r="E637" s="1282" t="s">
        <v>48</v>
      </c>
      <c r="F637" s="1281">
        <f>SUM(F629:F636)</f>
        <v>347463.30799999996</v>
      </c>
      <c r="G637" s="1280">
        <f>SUM(G629:G636)</f>
        <v>40000</v>
      </c>
      <c r="H637" s="1279">
        <f>SUM(F637:G637)</f>
        <v>387463.30799999996</v>
      </c>
      <c r="I637" s="1278"/>
      <c r="J637" s="1278"/>
      <c r="K637" s="1278"/>
      <c r="L637" s="1278"/>
      <c r="M637" s="1278"/>
      <c r="N637" s="1278"/>
      <c r="O637" s="1278"/>
      <c r="P637" s="1278"/>
      <c r="Q637" s="1278"/>
      <c r="R637" s="1278"/>
      <c r="S637" s="1278"/>
      <c r="T637" s="1278"/>
      <c r="U637" s="1278"/>
      <c r="V637" s="1278"/>
      <c r="W637" s="1278"/>
      <c r="X637" s="1278"/>
      <c r="Y637" s="1278"/>
      <c r="Z637" s="1278"/>
      <c r="AA637" s="1278"/>
      <c r="AB637" s="1278"/>
      <c r="AC637" s="1278"/>
      <c r="AD637" s="1278"/>
    </row>
    <row r="638" spans="1:30" s="1217" customFormat="1">
      <c r="A638" s="1265"/>
      <c r="B638" s="1267"/>
      <c r="C638" s="1266"/>
      <c r="D638" s="1265"/>
      <c r="E638" s="1276"/>
      <c r="F638" s="1272"/>
      <c r="G638" s="1273"/>
      <c r="H638" s="1272"/>
      <c r="I638" s="1260"/>
      <c r="J638" s="1260"/>
      <c r="K638" s="1260"/>
      <c r="L638" s="1260"/>
      <c r="M638" s="1260"/>
      <c r="N638" s="1260"/>
      <c r="O638" s="1260"/>
      <c r="P638" s="1260"/>
      <c r="Q638" s="1260"/>
      <c r="R638" s="1260"/>
      <c r="S638" s="1260"/>
      <c r="T638" s="1260"/>
      <c r="U638" s="1260"/>
      <c r="V638" s="1260"/>
      <c r="W638" s="1260"/>
      <c r="X638" s="1260"/>
      <c r="Y638" s="1260"/>
      <c r="Z638" s="1260"/>
      <c r="AA638" s="1260"/>
      <c r="AB638" s="1260"/>
      <c r="AC638" s="1260"/>
      <c r="AD638" s="1260"/>
    </row>
    <row r="639" spans="1:30" s="1217" customFormat="1">
      <c r="A639" s="1275"/>
      <c r="B639" s="1267" t="s">
        <v>1546</v>
      </c>
      <c r="C639" s="1266"/>
      <c r="D639" s="1265"/>
      <c r="E639" s="1274"/>
      <c r="F639" s="1272"/>
      <c r="G639" s="1273"/>
      <c r="H639" s="1272"/>
      <c r="I639" s="1260"/>
      <c r="J639" s="1260"/>
      <c r="K639" s="1260"/>
      <c r="L639" s="1260"/>
      <c r="M639" s="1260"/>
      <c r="N639" s="1260"/>
      <c r="O639" s="1260"/>
      <c r="P639" s="1260"/>
      <c r="Q639" s="1260"/>
      <c r="R639" s="1260"/>
      <c r="S639" s="1260"/>
      <c r="T639" s="1260"/>
      <c r="U639" s="1260"/>
      <c r="V639" s="1260"/>
      <c r="W639" s="1260"/>
      <c r="X639" s="1260"/>
      <c r="Y639" s="1260"/>
      <c r="Z639" s="1260"/>
      <c r="AA639" s="1260"/>
      <c r="AB639" s="1260"/>
      <c r="AC639" s="1260"/>
      <c r="AD639" s="1260"/>
    </row>
    <row r="640" spans="1:30" s="1217" customFormat="1">
      <c r="A640" s="1265"/>
      <c r="B640" s="1271" t="e">
        <f>#REF!</f>
        <v>#REF!</v>
      </c>
      <c r="C640" s="1266" t="s">
        <v>50</v>
      </c>
      <c r="D640" s="1265" t="s">
        <v>1545</v>
      </c>
      <c r="E640" s="1270">
        <f>$H$601</f>
        <v>99052</v>
      </c>
      <c r="F640" s="1268" t="e">
        <f>$F$601*B640</f>
        <v>#REF!</v>
      </c>
      <c r="G640" s="1269" t="e">
        <f>$G$601*B640</f>
        <v>#REF!</v>
      </c>
      <c r="H640" s="1268"/>
      <c r="I640" s="1260"/>
      <c r="J640" s="1260"/>
      <c r="K640" s="1260"/>
      <c r="L640" s="1260"/>
      <c r="M640" s="1260"/>
      <c r="N640" s="1260"/>
      <c r="O640" s="1260"/>
      <c r="P640" s="1260"/>
      <c r="Q640" s="1260"/>
      <c r="R640" s="1260"/>
      <c r="S640" s="1260"/>
      <c r="T640" s="1260"/>
      <c r="U640" s="1260"/>
      <c r="V640" s="1260"/>
      <c r="W640" s="1260"/>
      <c r="X640" s="1260"/>
      <c r="Y640" s="1260"/>
      <c r="Z640" s="1260"/>
      <c r="AA640" s="1260"/>
      <c r="AB640" s="1260"/>
      <c r="AC640" s="1260"/>
      <c r="AD640" s="1260"/>
    </row>
    <row r="641" spans="1:30" s="1217" customFormat="1">
      <c r="A641" s="1265"/>
      <c r="B641" s="1271" t="e">
        <f>#REF!</f>
        <v>#REF!</v>
      </c>
      <c r="C641" s="1266" t="s">
        <v>50</v>
      </c>
      <c r="D641" s="1265" t="s">
        <v>1544</v>
      </c>
      <c r="E641" s="1270">
        <f>$H$595</f>
        <v>114525.792</v>
      </c>
      <c r="F641" s="1268" t="e">
        <f>$F$595*B641</f>
        <v>#REF!</v>
      </c>
      <c r="G641" s="1269" t="e">
        <f>$G$595*B641</f>
        <v>#REF!</v>
      </c>
      <c r="H641" s="1268"/>
      <c r="I641" s="1260"/>
      <c r="J641" s="1260"/>
      <c r="K641" s="1260"/>
      <c r="L641" s="1260"/>
      <c r="M641" s="1260"/>
      <c r="N641" s="1260"/>
      <c r="O641" s="1260"/>
      <c r="P641" s="1260"/>
      <c r="Q641" s="1260"/>
      <c r="R641" s="1260"/>
      <c r="S641" s="1260"/>
      <c r="T641" s="1260"/>
      <c r="U641" s="1260"/>
      <c r="V641" s="1260"/>
      <c r="W641" s="1260"/>
      <c r="X641" s="1260"/>
      <c r="Y641" s="1260"/>
      <c r="Z641" s="1260"/>
      <c r="AA641" s="1260"/>
      <c r="AB641" s="1260"/>
      <c r="AC641" s="1260"/>
      <c r="AD641" s="1260"/>
    </row>
    <row r="642" spans="1:30" s="1217" customFormat="1">
      <c r="A642" s="1265"/>
      <c r="B642" s="1271" t="e">
        <f>#REF!</f>
        <v>#REF!</v>
      </c>
      <c r="C642" s="1266" t="s">
        <v>50</v>
      </c>
      <c r="D642" s="1265" t="s">
        <v>1543</v>
      </c>
      <c r="E642" s="1270">
        <f>$H$571</f>
        <v>207254.87500000003</v>
      </c>
      <c r="F642" s="1268" t="e">
        <f>$F$571*B642</f>
        <v>#REF!</v>
      </c>
      <c r="G642" s="1269" t="e">
        <f>$G$571*B642</f>
        <v>#REF!</v>
      </c>
      <c r="H642" s="1268"/>
      <c r="I642" s="1260"/>
      <c r="J642" s="1260"/>
      <c r="K642" s="1260"/>
      <c r="L642" s="1260"/>
      <c r="M642" s="1260"/>
      <c r="N642" s="1260"/>
      <c r="O642" s="1260"/>
      <c r="P642" s="1260"/>
      <c r="Q642" s="1260"/>
      <c r="R642" s="1260"/>
      <c r="S642" s="1260"/>
      <c r="T642" s="1260"/>
      <c r="U642" s="1260"/>
      <c r="V642" s="1260"/>
      <c r="W642" s="1260"/>
      <c r="X642" s="1260"/>
      <c r="Y642" s="1260"/>
      <c r="Z642" s="1260"/>
      <c r="AA642" s="1260"/>
      <c r="AB642" s="1260"/>
      <c r="AC642" s="1260"/>
      <c r="AD642" s="1260"/>
    </row>
    <row r="643" spans="1:30" s="1217" customFormat="1">
      <c r="A643" s="1265"/>
      <c r="B643" s="1271" t="e">
        <f>#REF!</f>
        <v>#REF!</v>
      </c>
      <c r="C643" s="1266" t="s">
        <v>50</v>
      </c>
      <c r="D643" s="1265" t="s">
        <v>1542</v>
      </c>
      <c r="E643" s="1270">
        <f>$H$565</f>
        <v>234552.82500000004</v>
      </c>
      <c r="F643" s="1268" t="e">
        <f>$F$565*B643</f>
        <v>#REF!</v>
      </c>
      <c r="G643" s="1269" t="e">
        <f>$G$565*B643</f>
        <v>#REF!</v>
      </c>
      <c r="H643" s="1268"/>
      <c r="I643" s="1260"/>
      <c r="J643" s="1260"/>
      <c r="K643" s="1260"/>
      <c r="L643" s="1260"/>
      <c r="M643" s="1260"/>
      <c r="N643" s="1260"/>
      <c r="O643" s="1260"/>
      <c r="P643" s="1260"/>
      <c r="Q643" s="1260"/>
      <c r="R643" s="1260"/>
      <c r="S643" s="1260"/>
      <c r="T643" s="1260"/>
      <c r="U643" s="1260"/>
      <c r="V643" s="1260"/>
      <c r="W643" s="1260"/>
      <c r="X643" s="1260"/>
      <c r="Y643" s="1260"/>
      <c r="Z643" s="1260"/>
      <c r="AA643" s="1260"/>
      <c r="AB643" s="1260"/>
      <c r="AC643" s="1260"/>
      <c r="AD643" s="1260"/>
    </row>
    <row r="644" spans="1:30" s="1217" customFormat="1">
      <c r="A644" s="1265"/>
      <c r="B644" s="1271" t="e">
        <f>#REF!</f>
        <v>#REF!</v>
      </c>
      <c r="C644" s="1266" t="s">
        <v>50</v>
      </c>
      <c r="D644" s="1265" t="s">
        <v>1541</v>
      </c>
      <c r="E644" s="1270">
        <f>$H$549</f>
        <v>382467.125</v>
      </c>
      <c r="F644" s="1268" t="e">
        <f>$F$549*B644</f>
        <v>#REF!</v>
      </c>
      <c r="G644" s="1269" t="e">
        <f>$G$549*B644</f>
        <v>#REF!</v>
      </c>
      <c r="H644" s="1268"/>
      <c r="I644" s="1260"/>
      <c r="J644" s="1260"/>
      <c r="K644" s="1260"/>
      <c r="L644" s="1260"/>
      <c r="M644" s="1260"/>
      <c r="N644" s="1260"/>
      <c r="O644" s="1260"/>
      <c r="P644" s="1260"/>
      <c r="Q644" s="1260"/>
      <c r="R644" s="1260"/>
      <c r="S644" s="1260"/>
      <c r="T644" s="1260"/>
      <c r="U644" s="1260"/>
      <c r="V644" s="1260"/>
      <c r="W644" s="1260"/>
      <c r="X644" s="1260"/>
      <c r="Y644" s="1260"/>
      <c r="Z644" s="1260"/>
      <c r="AA644" s="1260"/>
      <c r="AB644" s="1260"/>
      <c r="AC644" s="1260"/>
      <c r="AD644" s="1260"/>
    </row>
    <row r="645" spans="1:30" s="1217" customFormat="1">
      <c r="A645" s="1265"/>
      <c r="B645" s="1271" t="e">
        <f>#REF!</f>
        <v>#REF!</v>
      </c>
      <c r="C645" s="1266" t="s">
        <v>50</v>
      </c>
      <c r="D645" s="1265" t="s">
        <v>1540</v>
      </c>
      <c r="E645" s="1270">
        <f>$H$543</f>
        <v>557966.625</v>
      </c>
      <c r="F645" s="1268" t="e">
        <f>$F$543*B645</f>
        <v>#REF!</v>
      </c>
      <c r="G645" s="1269" t="e">
        <f>$G$543*B645</f>
        <v>#REF!</v>
      </c>
      <c r="H645" s="1268"/>
      <c r="I645" s="1260"/>
      <c r="J645" s="1260"/>
      <c r="K645" s="1260"/>
      <c r="L645" s="1260"/>
      <c r="M645" s="1260"/>
      <c r="N645" s="1260"/>
      <c r="O645" s="1260"/>
      <c r="P645" s="1260"/>
      <c r="Q645" s="1260"/>
      <c r="R645" s="1260"/>
      <c r="S645" s="1260"/>
      <c r="T645" s="1260"/>
      <c r="U645" s="1260"/>
      <c r="V645" s="1260"/>
      <c r="W645" s="1260"/>
      <c r="X645" s="1260"/>
      <c r="Y645" s="1260"/>
      <c r="Z645" s="1260"/>
      <c r="AA645" s="1260"/>
      <c r="AB645" s="1260"/>
      <c r="AC645" s="1260"/>
      <c r="AD645" s="1260"/>
    </row>
    <row r="646" spans="1:30" s="1217" customFormat="1">
      <c r="A646" s="1265"/>
      <c r="B646" s="1271" t="e">
        <f>#REF!</f>
        <v>#REF!</v>
      </c>
      <c r="C646" s="1266" t="s">
        <v>330</v>
      </c>
      <c r="D646" s="1265" t="s">
        <v>1539</v>
      </c>
      <c r="E646" s="1270">
        <f>SUM(F646:G646)</f>
        <v>275000</v>
      </c>
      <c r="F646" s="1268">
        <f>Material!$G$93</f>
        <v>225000</v>
      </c>
      <c r="G646" s="1269">
        <v>50000</v>
      </c>
      <c r="H646" s="1268"/>
      <c r="I646" s="1260"/>
      <c r="J646" s="1260"/>
      <c r="K646" s="1260"/>
      <c r="L646" s="1260"/>
      <c r="M646" s="1260"/>
      <c r="N646" s="1260"/>
      <c r="O646" s="1260"/>
      <c r="P646" s="1260"/>
      <c r="Q646" s="1260"/>
      <c r="R646" s="1260"/>
      <c r="S646" s="1260"/>
      <c r="T646" s="1260"/>
      <c r="U646" s="1260"/>
      <c r="V646" s="1260"/>
      <c r="W646" s="1260"/>
      <c r="X646" s="1260"/>
      <c r="Y646" s="1260"/>
      <c r="Z646" s="1260"/>
      <c r="AA646" s="1260"/>
      <c r="AB646" s="1260"/>
      <c r="AC646" s="1260"/>
      <c r="AD646" s="1260"/>
    </row>
    <row r="647" spans="1:30" s="1217" customFormat="1">
      <c r="A647" s="1265"/>
      <c r="B647" s="1271" t="e">
        <f>#REF!</f>
        <v>#REF!</v>
      </c>
      <c r="C647" s="1266" t="s">
        <v>330</v>
      </c>
      <c r="D647" s="1265" t="s">
        <v>1538</v>
      </c>
      <c r="E647" s="1270">
        <f>SUM(F647:G647)</f>
        <v>300000</v>
      </c>
      <c r="F647" s="1268">
        <f>Material!$G$92</f>
        <v>250000</v>
      </c>
      <c r="G647" s="1269">
        <v>50000</v>
      </c>
      <c r="H647" s="1268"/>
      <c r="I647" s="1260"/>
      <c r="J647" s="1260"/>
      <c r="K647" s="1260"/>
      <c r="L647" s="1260"/>
      <c r="M647" s="1260"/>
      <c r="N647" s="1260"/>
      <c r="O647" s="1260"/>
      <c r="P647" s="1260"/>
      <c r="Q647" s="1260"/>
      <c r="R647" s="1260"/>
      <c r="S647" s="1260"/>
      <c r="T647" s="1260"/>
      <c r="U647" s="1260"/>
      <c r="V647" s="1260"/>
      <c r="W647" s="1260"/>
      <c r="X647" s="1260"/>
      <c r="Y647" s="1260"/>
      <c r="Z647" s="1260"/>
      <c r="AA647" s="1260"/>
      <c r="AB647" s="1260"/>
      <c r="AC647" s="1260"/>
      <c r="AD647" s="1260"/>
    </row>
    <row r="648" spans="1:30" s="1217" customFormat="1">
      <c r="A648" s="1265"/>
      <c r="B648" s="1271">
        <v>1</v>
      </c>
      <c r="C648" s="1266" t="s">
        <v>352</v>
      </c>
      <c r="D648" s="1265" t="s">
        <v>1528</v>
      </c>
      <c r="E648" s="1270" t="e">
        <f>SUMPRODUCT(B640:B645,E640:E645)*20%</f>
        <v>#REF!</v>
      </c>
      <c r="F648" s="1268" t="e">
        <f>SUM(F640:F645)*20%</f>
        <v>#REF!</v>
      </c>
      <c r="G648" s="1268" t="e">
        <f>SUM(G640:G645)*20%</f>
        <v>#REF!</v>
      </c>
      <c r="H648" s="1268"/>
      <c r="I648" s="1260"/>
      <c r="J648" s="1260"/>
      <c r="K648" s="1260"/>
      <c r="L648" s="1260"/>
      <c r="M648" s="1260"/>
      <c r="N648" s="1260"/>
      <c r="O648" s="1260"/>
      <c r="P648" s="1260"/>
      <c r="Q648" s="1260"/>
      <c r="R648" s="1260"/>
      <c r="S648" s="1260"/>
      <c r="T648" s="1260"/>
      <c r="U648" s="1260"/>
      <c r="V648" s="1260"/>
      <c r="W648" s="1260"/>
      <c r="X648" s="1260"/>
      <c r="Y648" s="1260"/>
      <c r="Z648" s="1260"/>
      <c r="AA648" s="1260"/>
      <c r="AB648" s="1260"/>
      <c r="AC648" s="1260"/>
      <c r="AD648" s="1260"/>
    </row>
    <row r="649" spans="1:30" s="1217" customFormat="1" ht="13.5" thickBot="1">
      <c r="A649" s="1265"/>
      <c r="B649" s="1271"/>
      <c r="C649" s="1266"/>
      <c r="D649" s="1265"/>
      <c r="E649" s="1270"/>
      <c r="F649" s="1268"/>
      <c r="G649" s="1269"/>
      <c r="H649" s="1268"/>
      <c r="I649" s="1260"/>
      <c r="J649" s="1260"/>
      <c r="K649" s="1260"/>
      <c r="L649" s="1260"/>
      <c r="M649" s="1260"/>
      <c r="N649" s="1260"/>
      <c r="O649" s="1260"/>
      <c r="P649" s="1260"/>
      <c r="Q649" s="1260"/>
      <c r="R649" s="1260"/>
      <c r="S649" s="1260"/>
      <c r="T649" s="1260"/>
      <c r="U649" s="1260"/>
      <c r="V649" s="1260"/>
      <c r="W649" s="1260"/>
      <c r="X649" s="1260"/>
      <c r="Y649" s="1260"/>
      <c r="Z649" s="1260"/>
      <c r="AA649" s="1260"/>
      <c r="AB649" s="1260"/>
      <c r="AC649" s="1260"/>
      <c r="AD649" s="1260"/>
    </row>
    <row r="650" spans="1:30" s="1217" customFormat="1" ht="13.5" thickBot="1">
      <c r="A650" s="1265"/>
      <c r="B650" s="1267"/>
      <c r="C650" s="1266"/>
      <c r="D650" s="1265"/>
      <c r="E650" s="1264" t="s">
        <v>48</v>
      </c>
      <c r="F650" s="1263" t="e">
        <f>SUM(F639:F649)</f>
        <v>#REF!</v>
      </c>
      <c r="G650" s="1262" t="e">
        <f>SUM(G639:G649)</f>
        <v>#REF!</v>
      </c>
      <c r="H650" s="1261" t="e">
        <f>SUM(F650:G650)</f>
        <v>#REF!</v>
      </c>
      <c r="I650" s="1260"/>
      <c r="J650" s="1260"/>
      <c r="K650" s="1260"/>
      <c r="L650" s="1260"/>
      <c r="M650" s="1260"/>
      <c r="N650" s="1260"/>
      <c r="O650" s="1260"/>
      <c r="P650" s="1260"/>
      <c r="Q650" s="1260"/>
      <c r="R650" s="1260"/>
      <c r="S650" s="1260"/>
      <c r="T650" s="1260"/>
      <c r="U650" s="1260"/>
      <c r="V650" s="1260"/>
      <c r="W650" s="1260"/>
      <c r="X650" s="1260"/>
      <c r="Y650" s="1260"/>
      <c r="Z650" s="1260"/>
      <c r="AA650" s="1260"/>
      <c r="AB650" s="1260"/>
      <c r="AC650" s="1260"/>
      <c r="AD650" s="1260"/>
    </row>
    <row r="651" spans="1:30" s="1217" customFormat="1">
      <c r="A651" s="1265"/>
      <c r="B651" s="1267"/>
      <c r="C651" s="1266"/>
      <c r="D651" s="1265"/>
      <c r="E651" s="1276"/>
      <c r="F651" s="1272"/>
      <c r="G651" s="1273"/>
      <c r="H651" s="1272"/>
      <c r="I651" s="1260"/>
      <c r="J651" s="1260"/>
      <c r="K651" s="1260"/>
      <c r="L651" s="1260"/>
      <c r="M651" s="1260"/>
      <c r="N651" s="1260"/>
      <c r="O651" s="1260"/>
      <c r="P651" s="1260"/>
      <c r="Q651" s="1260"/>
      <c r="R651" s="1260"/>
      <c r="S651" s="1260"/>
      <c r="T651" s="1260"/>
      <c r="U651" s="1260"/>
      <c r="V651" s="1260"/>
      <c r="W651" s="1260"/>
      <c r="X651" s="1260"/>
      <c r="Y651" s="1260"/>
      <c r="Z651" s="1260"/>
      <c r="AA651" s="1260"/>
      <c r="AB651" s="1260"/>
      <c r="AC651" s="1260"/>
      <c r="AD651" s="1260"/>
    </row>
    <row r="652" spans="1:30" s="1217" customFormat="1">
      <c r="A652" s="1275"/>
      <c r="B652" s="1267" t="s">
        <v>1537</v>
      </c>
      <c r="C652" s="1266"/>
      <c r="D652" s="1265"/>
      <c r="E652" s="1274"/>
      <c r="F652" s="1272"/>
      <c r="G652" s="1273"/>
      <c r="H652" s="1272"/>
      <c r="I652" s="1260"/>
      <c r="J652" s="1260"/>
      <c r="K652" s="1260"/>
      <c r="L652" s="1260"/>
      <c r="M652" s="1260"/>
      <c r="N652" s="1260"/>
      <c r="O652" s="1260"/>
      <c r="P652" s="1260"/>
      <c r="Q652" s="1260"/>
      <c r="R652" s="1260"/>
      <c r="S652" s="1260"/>
      <c r="T652" s="1260"/>
      <c r="U652" s="1260"/>
      <c r="V652" s="1260"/>
      <c r="W652" s="1260"/>
      <c r="X652" s="1260"/>
      <c r="Y652" s="1260"/>
      <c r="Z652" s="1260"/>
      <c r="AA652" s="1260"/>
      <c r="AB652" s="1260"/>
      <c r="AC652" s="1260"/>
      <c r="AD652" s="1260"/>
    </row>
    <row r="653" spans="1:30" s="1217" customFormat="1">
      <c r="A653" s="1265"/>
      <c r="B653" s="1271" t="e">
        <f>#REF!</f>
        <v>#REF!</v>
      </c>
      <c r="C653" s="1266" t="s">
        <v>50</v>
      </c>
      <c r="D653" s="1265" t="s">
        <v>1531</v>
      </c>
      <c r="E653" s="1270">
        <f>$H$587</f>
        <v>157815.55000000002</v>
      </c>
      <c r="F653" s="1268" t="e">
        <f>$F$587*B653</f>
        <v>#REF!</v>
      </c>
      <c r="G653" s="1269" t="e">
        <f>$G$587*B653</f>
        <v>#REF!</v>
      </c>
      <c r="H653" s="1268"/>
      <c r="I653" s="1260"/>
      <c r="J653" s="1260"/>
      <c r="K653" s="1260"/>
      <c r="L653" s="1260"/>
      <c r="M653" s="1260"/>
      <c r="N653" s="1260"/>
      <c r="O653" s="1260"/>
      <c r="P653" s="1260"/>
      <c r="Q653" s="1260"/>
      <c r="R653" s="1260"/>
      <c r="S653" s="1260"/>
      <c r="T653" s="1260"/>
      <c r="U653" s="1260"/>
      <c r="V653" s="1260"/>
      <c r="W653" s="1260"/>
      <c r="X653" s="1260"/>
      <c r="Y653" s="1260"/>
      <c r="Z653" s="1260"/>
      <c r="AA653" s="1260"/>
      <c r="AB653" s="1260"/>
      <c r="AC653" s="1260"/>
      <c r="AD653" s="1260"/>
    </row>
    <row r="654" spans="1:30" s="1217" customFormat="1">
      <c r="A654" s="1265"/>
      <c r="B654" s="1271" t="e">
        <f>#REF!</f>
        <v>#REF!</v>
      </c>
      <c r="C654" s="1266" t="s">
        <v>50</v>
      </c>
      <c r="D654" s="1265" t="s">
        <v>1532</v>
      </c>
      <c r="E654" s="1270">
        <f>$H$579</f>
        <v>162815.55000000002</v>
      </c>
      <c r="F654" s="1268" t="e">
        <f>$F$579*B654</f>
        <v>#REF!</v>
      </c>
      <c r="G654" s="1269" t="e">
        <f>$G$579*B654</f>
        <v>#REF!</v>
      </c>
      <c r="H654" s="1268"/>
      <c r="I654" s="1260"/>
      <c r="J654" s="1260"/>
      <c r="K654" s="1260"/>
      <c r="L654" s="1260"/>
      <c r="M654" s="1260"/>
      <c r="N654" s="1260"/>
      <c r="O654" s="1260"/>
      <c r="P654" s="1260"/>
      <c r="Q654" s="1260"/>
      <c r="R654" s="1260"/>
      <c r="S654" s="1260"/>
      <c r="T654" s="1260"/>
      <c r="U654" s="1260"/>
      <c r="V654" s="1260"/>
      <c r="W654" s="1260"/>
      <c r="X654" s="1260"/>
      <c r="Y654" s="1260"/>
      <c r="Z654" s="1260"/>
      <c r="AA654" s="1260"/>
      <c r="AB654" s="1260"/>
      <c r="AC654" s="1260"/>
      <c r="AD654" s="1260"/>
    </row>
    <row r="655" spans="1:30" s="1217" customFormat="1">
      <c r="A655" s="1265"/>
      <c r="B655" s="1271" t="e">
        <f>#REF!</f>
        <v>#REF!</v>
      </c>
      <c r="C655" s="1266" t="s">
        <v>50</v>
      </c>
      <c r="D655" s="1265" t="s">
        <v>1536</v>
      </c>
      <c r="E655" s="1270">
        <f>$H$549</f>
        <v>382467.125</v>
      </c>
      <c r="F655" s="1268" t="e">
        <f>$F$549*B655</f>
        <v>#REF!</v>
      </c>
      <c r="G655" s="1269" t="e">
        <f>$G$549*B655</f>
        <v>#REF!</v>
      </c>
      <c r="H655" s="1268"/>
      <c r="I655" s="1260"/>
      <c r="J655" s="1260"/>
      <c r="K655" s="1260"/>
      <c r="L655" s="1260"/>
      <c r="M655" s="1260"/>
      <c r="N655" s="1260"/>
      <c r="O655" s="1260"/>
      <c r="P655" s="1260"/>
      <c r="Q655" s="1260"/>
      <c r="R655" s="1260"/>
      <c r="S655" s="1260"/>
      <c r="T655" s="1260"/>
      <c r="U655" s="1260"/>
      <c r="V655" s="1260"/>
      <c r="W655" s="1260"/>
      <c r="X655" s="1260"/>
      <c r="Y655" s="1260"/>
      <c r="Z655" s="1260"/>
      <c r="AA655" s="1260"/>
      <c r="AB655" s="1260"/>
      <c r="AC655" s="1260"/>
      <c r="AD655" s="1260"/>
    </row>
    <row r="656" spans="1:30" s="1217" customFormat="1">
      <c r="A656" s="1265"/>
      <c r="B656" s="1271" t="e">
        <f>#REF!</f>
        <v>#REF!</v>
      </c>
      <c r="C656" s="1266" t="s">
        <v>50</v>
      </c>
      <c r="D656" s="1265" t="s">
        <v>1535</v>
      </c>
      <c r="E656" s="1270">
        <f>$H$557</f>
        <v>297086.92500000005</v>
      </c>
      <c r="F656" s="1268" t="e">
        <f>$F$557*B656</f>
        <v>#REF!</v>
      </c>
      <c r="G656" s="1269" t="e">
        <f>$G$557*B656</f>
        <v>#REF!</v>
      </c>
      <c r="H656" s="1268"/>
      <c r="I656" s="1260"/>
      <c r="J656" s="1260"/>
      <c r="K656" s="1260"/>
      <c r="L656" s="1260"/>
      <c r="M656" s="1260"/>
      <c r="N656" s="1260"/>
      <c r="O656" s="1260"/>
      <c r="P656" s="1260"/>
      <c r="Q656" s="1260"/>
      <c r="R656" s="1260"/>
      <c r="S656" s="1260"/>
      <c r="T656" s="1260"/>
      <c r="U656" s="1260"/>
      <c r="V656" s="1260"/>
      <c r="W656" s="1260"/>
      <c r="X656" s="1260"/>
      <c r="Y656" s="1260"/>
      <c r="Z656" s="1260"/>
      <c r="AA656" s="1260"/>
      <c r="AB656" s="1260"/>
      <c r="AC656" s="1260"/>
      <c r="AD656" s="1260"/>
    </row>
    <row r="657" spans="1:30" s="1217" customFormat="1">
      <c r="A657" s="1265"/>
      <c r="B657" s="1271" t="e">
        <f>#REF!</f>
        <v>#REF!</v>
      </c>
      <c r="C657" s="1266" t="s">
        <v>50</v>
      </c>
      <c r="D657" s="1265" t="s">
        <v>1534</v>
      </c>
      <c r="E657" s="1270">
        <f>$H$565</f>
        <v>234552.82500000004</v>
      </c>
      <c r="F657" s="1268" t="e">
        <f>$F$565*B657</f>
        <v>#REF!</v>
      </c>
      <c r="G657" s="1269" t="e">
        <f>$G$565*B657</f>
        <v>#REF!</v>
      </c>
      <c r="H657" s="1268"/>
      <c r="I657" s="1260"/>
      <c r="J657" s="1260"/>
      <c r="K657" s="1260"/>
      <c r="L657" s="1260"/>
      <c r="M657" s="1260"/>
      <c r="N657" s="1260"/>
      <c r="O657" s="1260"/>
      <c r="P657" s="1260"/>
      <c r="Q657" s="1260"/>
      <c r="R657" s="1260"/>
      <c r="S657" s="1260"/>
      <c r="T657" s="1260"/>
      <c r="U657" s="1260"/>
      <c r="V657" s="1260"/>
      <c r="W657" s="1260"/>
      <c r="X657" s="1260"/>
      <c r="Y657" s="1260"/>
      <c r="Z657" s="1260"/>
      <c r="AA657" s="1260"/>
      <c r="AB657" s="1260"/>
      <c r="AC657" s="1260"/>
      <c r="AD657" s="1260"/>
    </row>
    <row r="658" spans="1:30" s="1217" customFormat="1">
      <c r="A658" s="1265"/>
      <c r="B658" s="1271">
        <v>1</v>
      </c>
      <c r="C658" s="1266" t="s">
        <v>352</v>
      </c>
      <c r="D658" s="1265" t="s">
        <v>1528</v>
      </c>
      <c r="E658" s="1270" t="e">
        <f>SUMPRODUCT(B653:B657,E653:E657)*20%</f>
        <v>#REF!</v>
      </c>
      <c r="F658" s="1268" t="e">
        <f>SUM(F653:F657)*20%</f>
        <v>#REF!</v>
      </c>
      <c r="G658" s="1268" t="e">
        <f>SUM(G653:G657)*20%</f>
        <v>#REF!</v>
      </c>
      <c r="H658" s="1268"/>
      <c r="I658" s="1260"/>
      <c r="J658" s="1260"/>
      <c r="K658" s="1260"/>
      <c r="L658" s="1260"/>
      <c r="M658" s="1260"/>
      <c r="N658" s="1260"/>
      <c r="O658" s="1260"/>
      <c r="P658" s="1260"/>
      <c r="Q658" s="1260"/>
      <c r="R658" s="1260"/>
      <c r="S658" s="1260"/>
      <c r="T658" s="1260"/>
      <c r="U658" s="1260"/>
      <c r="V658" s="1260"/>
      <c r="W658" s="1260"/>
      <c r="X658" s="1260"/>
      <c r="Y658" s="1260"/>
      <c r="Z658" s="1260"/>
      <c r="AA658" s="1260"/>
      <c r="AB658" s="1260"/>
      <c r="AC658" s="1260"/>
      <c r="AD658" s="1260"/>
    </row>
    <row r="659" spans="1:30" s="1217" customFormat="1" ht="13.5" thickBot="1">
      <c r="A659" s="1265"/>
      <c r="B659" s="1271"/>
      <c r="C659" s="1266"/>
      <c r="D659" s="1265"/>
      <c r="E659" s="1270"/>
      <c r="F659" s="1268"/>
      <c r="G659" s="1269"/>
      <c r="H659" s="1268"/>
      <c r="I659" s="1260"/>
      <c r="J659" s="1260"/>
      <c r="K659" s="1260"/>
      <c r="L659" s="1260"/>
      <c r="M659" s="1260"/>
      <c r="N659" s="1260"/>
      <c r="O659" s="1260"/>
      <c r="P659" s="1260"/>
      <c r="Q659" s="1260"/>
      <c r="R659" s="1260"/>
      <c r="S659" s="1260"/>
      <c r="T659" s="1260"/>
      <c r="U659" s="1260"/>
      <c r="V659" s="1260"/>
      <c r="W659" s="1260"/>
      <c r="X659" s="1260"/>
      <c r="Y659" s="1260"/>
      <c r="Z659" s="1260"/>
      <c r="AA659" s="1260"/>
      <c r="AB659" s="1260"/>
      <c r="AC659" s="1260"/>
      <c r="AD659" s="1260"/>
    </row>
    <row r="660" spans="1:30" s="1217" customFormat="1" ht="13.5" thickBot="1">
      <c r="A660" s="1265"/>
      <c r="B660" s="1267"/>
      <c r="C660" s="1266"/>
      <c r="D660" s="1265"/>
      <c r="E660" s="1264" t="s">
        <v>48</v>
      </c>
      <c r="F660" s="1263" t="e">
        <f>SUM(F652:F659)</f>
        <v>#REF!</v>
      </c>
      <c r="G660" s="1262" t="e">
        <f>SUM(G652:G659)</f>
        <v>#REF!</v>
      </c>
      <c r="H660" s="1261" t="e">
        <f>SUM(F660:G660)</f>
        <v>#REF!</v>
      </c>
      <c r="I660" s="1260"/>
      <c r="J660" s="1260"/>
      <c r="K660" s="1260"/>
      <c r="L660" s="1260"/>
      <c r="M660" s="1260"/>
      <c r="N660" s="1260"/>
      <c r="O660" s="1260"/>
      <c r="P660" s="1260"/>
      <c r="Q660" s="1260"/>
      <c r="R660" s="1260"/>
      <c r="S660" s="1260"/>
      <c r="T660" s="1260"/>
      <c r="U660" s="1260"/>
      <c r="V660" s="1260"/>
      <c r="W660" s="1260"/>
      <c r="X660" s="1260"/>
      <c r="Y660" s="1260"/>
      <c r="Z660" s="1260"/>
      <c r="AA660" s="1260"/>
      <c r="AB660" s="1260"/>
      <c r="AC660" s="1260"/>
      <c r="AD660" s="1260"/>
    </row>
    <row r="661" spans="1:30" s="1217" customFormat="1">
      <c r="A661" s="1265"/>
      <c r="B661" s="1267"/>
      <c r="C661" s="1266"/>
      <c r="D661" s="1265"/>
      <c r="E661" s="1276"/>
      <c r="F661" s="1272"/>
      <c r="G661" s="1273"/>
      <c r="H661" s="1272"/>
      <c r="I661" s="1260"/>
      <c r="J661" s="1260"/>
      <c r="K661" s="1260"/>
      <c r="L661" s="1260"/>
      <c r="M661" s="1260"/>
      <c r="N661" s="1260"/>
      <c r="O661" s="1260"/>
      <c r="P661" s="1260"/>
      <c r="Q661" s="1260"/>
      <c r="R661" s="1260"/>
      <c r="S661" s="1260"/>
      <c r="T661" s="1260"/>
      <c r="U661" s="1260"/>
      <c r="V661" s="1260"/>
      <c r="W661" s="1260"/>
      <c r="X661" s="1260"/>
      <c r="Y661" s="1260"/>
      <c r="Z661" s="1260"/>
      <c r="AA661" s="1260"/>
      <c r="AB661" s="1260"/>
      <c r="AC661" s="1260"/>
      <c r="AD661" s="1260"/>
    </row>
    <row r="662" spans="1:30" s="1217" customFormat="1">
      <c r="A662" s="1275"/>
      <c r="B662" s="1267" t="s">
        <v>1533</v>
      </c>
      <c r="C662" s="1266"/>
      <c r="D662" s="1265"/>
      <c r="E662" s="1274"/>
      <c r="F662" s="1272"/>
      <c r="G662" s="1273"/>
      <c r="H662" s="1272"/>
      <c r="I662" s="1260"/>
      <c r="J662" s="1260"/>
      <c r="K662" s="1260"/>
      <c r="L662" s="1260"/>
      <c r="M662" s="1260"/>
      <c r="N662" s="1260"/>
      <c r="O662" s="1260"/>
      <c r="P662" s="1260"/>
      <c r="Q662" s="1260"/>
      <c r="R662" s="1260"/>
      <c r="S662" s="1260"/>
      <c r="T662" s="1260"/>
      <c r="U662" s="1260"/>
      <c r="V662" s="1260"/>
      <c r="W662" s="1260"/>
      <c r="X662" s="1260"/>
      <c r="Y662" s="1260"/>
      <c r="Z662" s="1260"/>
      <c r="AA662" s="1260"/>
      <c r="AB662" s="1260"/>
      <c r="AC662" s="1260"/>
      <c r="AD662" s="1260"/>
    </row>
    <row r="663" spans="1:30" s="1217" customFormat="1">
      <c r="A663" s="1265"/>
      <c r="B663" s="1271" t="e">
        <f>#REF!</f>
        <v>#REF!</v>
      </c>
      <c r="C663" s="1266" t="s">
        <v>50</v>
      </c>
      <c r="D663" s="1265" t="s">
        <v>1532</v>
      </c>
      <c r="E663" s="1270">
        <f>$H$587</f>
        <v>157815.55000000002</v>
      </c>
      <c r="F663" s="1268" t="e">
        <f>$F$587*B663</f>
        <v>#REF!</v>
      </c>
      <c r="G663" s="1269" t="e">
        <f>$G$587*B663</f>
        <v>#REF!</v>
      </c>
      <c r="H663" s="1268"/>
      <c r="I663" s="1260"/>
      <c r="J663" s="1260"/>
      <c r="K663" s="1260"/>
      <c r="L663" s="1260"/>
      <c r="M663" s="1260"/>
      <c r="N663" s="1260"/>
      <c r="O663" s="1260"/>
      <c r="P663" s="1260"/>
      <c r="Q663" s="1260"/>
      <c r="R663" s="1260"/>
      <c r="S663" s="1260"/>
      <c r="T663" s="1260"/>
      <c r="U663" s="1260"/>
      <c r="V663" s="1260"/>
      <c r="W663" s="1260"/>
      <c r="X663" s="1260"/>
      <c r="Y663" s="1260"/>
      <c r="Z663" s="1260"/>
      <c r="AA663" s="1260"/>
      <c r="AB663" s="1260"/>
      <c r="AC663" s="1260"/>
      <c r="AD663" s="1260"/>
    </row>
    <row r="664" spans="1:30" s="1217" customFormat="1">
      <c r="A664" s="1265"/>
      <c r="B664" s="1271" t="e">
        <f>#REF!</f>
        <v>#REF!</v>
      </c>
      <c r="C664" s="1266" t="s">
        <v>50</v>
      </c>
      <c r="D664" s="1265" t="s">
        <v>1531</v>
      </c>
      <c r="E664" s="1270">
        <f>$H$579</f>
        <v>162815.55000000002</v>
      </c>
      <c r="F664" s="1268" t="e">
        <f>$F$579*B664</f>
        <v>#REF!</v>
      </c>
      <c r="G664" s="1269" t="e">
        <f>$G$579*B664</f>
        <v>#REF!</v>
      </c>
      <c r="H664" s="1268"/>
      <c r="I664" s="1260"/>
      <c r="J664" s="1260"/>
      <c r="K664" s="1260"/>
      <c r="L664" s="1260"/>
      <c r="M664" s="1260"/>
      <c r="N664" s="1260"/>
      <c r="O664" s="1260"/>
      <c r="P664" s="1260"/>
      <c r="Q664" s="1260"/>
      <c r="R664" s="1260"/>
      <c r="S664" s="1260"/>
      <c r="T664" s="1260"/>
      <c r="U664" s="1260"/>
      <c r="V664" s="1260"/>
      <c r="W664" s="1260"/>
      <c r="X664" s="1260"/>
      <c r="Y664" s="1260"/>
      <c r="Z664" s="1260"/>
      <c r="AA664" s="1260"/>
      <c r="AB664" s="1260"/>
      <c r="AC664" s="1260"/>
      <c r="AD664" s="1260"/>
    </row>
    <row r="665" spans="1:30" s="1217" customFormat="1">
      <c r="A665" s="1265"/>
      <c r="B665" s="1271" t="e">
        <f>#REF!</f>
        <v>#REF!</v>
      </c>
      <c r="C665" s="1266" t="s">
        <v>50</v>
      </c>
      <c r="D665" s="1265" t="s">
        <v>1530</v>
      </c>
      <c r="E665" s="1270">
        <f>$H$617</f>
        <v>85420.925000000003</v>
      </c>
      <c r="F665" s="1268" t="e">
        <f>$F$617*B665</f>
        <v>#REF!</v>
      </c>
      <c r="G665" s="1269" t="e">
        <f>$G$617*B665</f>
        <v>#REF!</v>
      </c>
      <c r="H665" s="1268"/>
      <c r="I665" s="1260"/>
      <c r="J665" s="1260"/>
      <c r="K665" s="1260"/>
      <c r="L665" s="1260"/>
      <c r="M665" s="1260"/>
      <c r="N665" s="1260"/>
      <c r="O665" s="1260"/>
      <c r="P665" s="1260"/>
      <c r="Q665" s="1260"/>
      <c r="R665" s="1260"/>
      <c r="S665" s="1260"/>
      <c r="T665" s="1260"/>
      <c r="U665" s="1260"/>
      <c r="V665" s="1260"/>
      <c r="W665" s="1260"/>
      <c r="X665" s="1260"/>
      <c r="Y665" s="1260"/>
      <c r="Z665" s="1260"/>
      <c r="AA665" s="1260"/>
      <c r="AB665" s="1260"/>
      <c r="AC665" s="1260"/>
      <c r="AD665" s="1260"/>
    </row>
    <row r="666" spans="1:30" s="1217" customFormat="1">
      <c r="A666" s="1265"/>
      <c r="B666" s="1271" t="e">
        <f>#REF!</f>
        <v>#REF!</v>
      </c>
      <c r="C666" s="1266" t="s">
        <v>50</v>
      </c>
      <c r="D666" s="1265" t="s">
        <v>1529</v>
      </c>
      <c r="E666" s="1270">
        <f>$H$617</f>
        <v>85420.925000000003</v>
      </c>
      <c r="F666" s="1268" t="e">
        <f>$F$617*B666</f>
        <v>#REF!</v>
      </c>
      <c r="G666" s="1269" t="e">
        <f>$G$617*B666</f>
        <v>#REF!</v>
      </c>
      <c r="H666" s="1268"/>
      <c r="I666" s="1260"/>
      <c r="J666" s="1260"/>
      <c r="K666" s="1260"/>
      <c r="L666" s="1260"/>
      <c r="M666" s="1260"/>
      <c r="N666" s="1260"/>
      <c r="O666" s="1260"/>
      <c r="P666" s="1260"/>
      <c r="Q666" s="1260"/>
      <c r="R666" s="1260"/>
      <c r="S666" s="1260"/>
      <c r="T666" s="1260"/>
      <c r="U666" s="1260"/>
      <c r="V666" s="1260"/>
      <c r="W666" s="1260"/>
      <c r="X666" s="1260"/>
      <c r="Y666" s="1260"/>
      <c r="Z666" s="1260"/>
      <c r="AA666" s="1260"/>
      <c r="AB666" s="1260"/>
      <c r="AC666" s="1260"/>
      <c r="AD666" s="1260"/>
    </row>
    <row r="667" spans="1:30" s="1217" customFormat="1">
      <c r="A667" s="1265"/>
      <c r="B667" s="1271">
        <v>1</v>
      </c>
      <c r="C667" s="1266" t="s">
        <v>352</v>
      </c>
      <c r="D667" s="1265" t="s">
        <v>1528</v>
      </c>
      <c r="E667" s="1270" t="e">
        <f>SUMPRODUCT(B663:B666,E663:E666)*20%</f>
        <v>#REF!</v>
      </c>
      <c r="F667" s="1268" t="e">
        <f>SUM(F663:F666)*20%</f>
        <v>#REF!</v>
      </c>
      <c r="G667" s="1268" t="e">
        <f>SUM(G663:G666)*20%</f>
        <v>#REF!</v>
      </c>
      <c r="H667" s="1268"/>
      <c r="I667" s="1260"/>
      <c r="J667" s="1260"/>
      <c r="K667" s="1260"/>
      <c r="L667" s="1260"/>
      <c r="M667" s="1260"/>
      <c r="N667" s="1260"/>
      <c r="O667" s="1260"/>
      <c r="P667" s="1260"/>
      <c r="Q667" s="1260"/>
      <c r="R667" s="1260"/>
      <c r="S667" s="1260"/>
      <c r="T667" s="1260"/>
      <c r="U667" s="1260"/>
      <c r="V667" s="1260"/>
      <c r="W667" s="1260"/>
      <c r="X667" s="1260"/>
      <c r="Y667" s="1260"/>
      <c r="Z667" s="1260"/>
      <c r="AA667" s="1260"/>
      <c r="AB667" s="1260"/>
      <c r="AC667" s="1260"/>
      <c r="AD667" s="1260"/>
    </row>
    <row r="668" spans="1:30" s="1217" customFormat="1" ht="13.5" thickBot="1">
      <c r="A668" s="1265"/>
      <c r="B668" s="1271"/>
      <c r="C668" s="1266"/>
      <c r="D668" s="1265"/>
      <c r="E668" s="1270"/>
      <c r="F668" s="1268"/>
      <c r="G668" s="1269"/>
      <c r="H668" s="1268"/>
      <c r="I668" s="1260"/>
      <c r="J668" s="1260"/>
      <c r="K668" s="1260"/>
      <c r="L668" s="1260"/>
      <c r="M668" s="1260"/>
      <c r="N668" s="1260"/>
      <c r="O668" s="1260"/>
      <c r="P668" s="1260"/>
      <c r="Q668" s="1260"/>
      <c r="R668" s="1260"/>
      <c r="S668" s="1260"/>
      <c r="T668" s="1260"/>
      <c r="U668" s="1260"/>
      <c r="V668" s="1260"/>
      <c r="W668" s="1260"/>
      <c r="X668" s="1260"/>
      <c r="Y668" s="1260"/>
      <c r="Z668" s="1260"/>
      <c r="AA668" s="1260"/>
      <c r="AB668" s="1260"/>
      <c r="AC668" s="1260"/>
      <c r="AD668" s="1260"/>
    </row>
    <row r="669" spans="1:30" s="1217" customFormat="1" ht="13.5" thickBot="1">
      <c r="A669" s="1265"/>
      <c r="B669" s="1267"/>
      <c r="C669" s="1266"/>
      <c r="D669" s="1265"/>
      <c r="E669" s="1264" t="s">
        <v>48</v>
      </c>
      <c r="F669" s="1263" t="e">
        <f>SUM(F662:F668)</f>
        <v>#REF!</v>
      </c>
      <c r="G669" s="1262" t="e">
        <f>SUM(G662:G668)</f>
        <v>#REF!</v>
      </c>
      <c r="H669" s="1261" t="e">
        <f>SUM(F669:G669)</f>
        <v>#REF!</v>
      </c>
      <c r="I669" s="1260"/>
      <c r="J669" s="1260"/>
      <c r="K669" s="1260"/>
      <c r="L669" s="1260"/>
      <c r="M669" s="1260"/>
      <c r="N669" s="1260"/>
      <c r="O669" s="1260"/>
      <c r="P669" s="1260"/>
      <c r="Q669" s="1260"/>
      <c r="R669" s="1260"/>
      <c r="S669" s="1260"/>
      <c r="T669" s="1260"/>
      <c r="U669" s="1260"/>
      <c r="V669" s="1260"/>
      <c r="W669" s="1260"/>
      <c r="X669" s="1260"/>
      <c r="Y669" s="1260"/>
      <c r="Z669" s="1260"/>
      <c r="AA669" s="1260"/>
      <c r="AB669" s="1260"/>
      <c r="AC669" s="1260"/>
      <c r="AD669" s="1260"/>
    </row>
  </sheetData>
  <mergeCells count="4">
    <mergeCell ref="B9:D9"/>
    <mergeCell ref="H9:H10"/>
    <mergeCell ref="G9:G10"/>
    <mergeCell ref="F9:F10"/>
  </mergeCells>
  <pageMargins left="0.7" right="0.7" top="0.75" bottom="0.75" header="0.3" footer="0.3"/>
  <pageSetup orientation="portrait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O289"/>
  <sheetViews>
    <sheetView tabSelected="1" view="pageBreakPreview" zoomScale="85" zoomScaleNormal="100" zoomScaleSheetLayoutView="85" workbookViewId="0">
      <pane xSplit="2" ySplit="7" topLeftCell="C69" activePane="bottomRight" state="frozen"/>
      <selection activeCell="J20" sqref="J20"/>
      <selection pane="topRight" activeCell="J20" sqref="J20"/>
      <selection pane="bottomLeft" activeCell="J20" sqref="J20"/>
      <selection pane="bottomRight" activeCell="E81" sqref="E81"/>
    </sheetView>
  </sheetViews>
  <sheetFormatPr defaultColWidth="9.140625" defaultRowHeight="15"/>
  <cols>
    <col min="1" max="1" width="12.7109375" style="1575" customWidth="1"/>
    <col min="2" max="2" width="48.28515625" style="1787" customWidth="1"/>
    <col min="3" max="3" width="9.28515625" style="1576" customWidth="1"/>
    <col min="4" max="4" width="13.7109375" style="1575" customWidth="1"/>
    <col min="5" max="5" width="17" style="1575" customWidth="1"/>
    <col min="6" max="6" width="18.7109375" style="1575" customWidth="1"/>
    <col min="7" max="8" width="16.85546875" style="1575" customWidth="1"/>
    <col min="9" max="9" width="22.42578125" style="1575" customWidth="1"/>
    <col min="10" max="10" width="22" style="1575" customWidth="1"/>
    <col min="11" max="12" width="19.5703125" style="1575" customWidth="1"/>
    <col min="13" max="13" width="18.5703125" style="1575" customWidth="1"/>
    <col min="14" max="14" width="16.85546875" style="1575" customWidth="1"/>
    <col min="15" max="15" width="23.28515625" style="1575" bestFit="1" customWidth="1"/>
    <col min="16" max="16" width="17.140625" style="1575" bestFit="1" customWidth="1"/>
    <col min="17" max="17" width="15" style="1575" bestFit="1" customWidth="1"/>
    <col min="18" max="18" width="18.140625" style="1652" bestFit="1" customWidth="1"/>
    <col min="19" max="19" width="13.42578125" style="1652" bestFit="1" customWidth="1"/>
    <col min="20" max="20" width="10.5703125" style="1652" bestFit="1" customWidth="1"/>
    <col min="21" max="21" width="9.140625" style="1575"/>
    <col min="22" max="22" width="10.28515625" style="1652" bestFit="1" customWidth="1"/>
    <col min="23" max="23" width="12" style="1821" customWidth="1"/>
    <col min="24" max="24" width="16.7109375" style="1821" bestFit="1" customWidth="1"/>
    <col min="25" max="25" width="9.140625" style="1821"/>
    <col min="26" max="26" width="11.42578125" style="1651" customWidth="1"/>
    <col min="27" max="27" width="9.7109375" style="1821" bestFit="1" customWidth="1"/>
    <col min="28" max="28" width="10.28515625" style="1821" customWidth="1"/>
    <col min="29" max="29" width="10" style="1821" bestFit="1" customWidth="1"/>
    <col min="30" max="30" width="8" style="1821" bestFit="1" customWidth="1"/>
    <col min="31" max="31" width="9.140625" style="1821"/>
    <col min="32" max="32" width="13.85546875" style="1821" bestFit="1" customWidth="1"/>
    <col min="33" max="33" width="12.85546875" style="1821" bestFit="1" customWidth="1"/>
    <col min="34" max="34" width="12.85546875" style="1575" bestFit="1" customWidth="1"/>
    <col min="35" max="35" width="12.85546875" style="1821" customWidth="1"/>
    <col min="36" max="36" width="12.42578125" style="1821" customWidth="1"/>
    <col min="37" max="37" width="10.42578125" style="1821" bestFit="1" customWidth="1"/>
    <col min="38" max="38" width="13.85546875" style="1821" bestFit="1" customWidth="1"/>
    <col min="39" max="40" width="9.140625" style="1821"/>
    <col min="41" max="41" width="9.7109375" style="1821" bestFit="1" customWidth="1"/>
    <col min="42" max="16384" width="9.140625" style="1575"/>
  </cols>
  <sheetData>
    <row r="1" spans="1:41" s="1577" customFormat="1" ht="22.5" customHeight="1">
      <c r="A1" s="1595" t="s">
        <v>1894</v>
      </c>
      <c r="B1" s="1787"/>
      <c r="C1" s="1575"/>
      <c r="R1" s="1697"/>
      <c r="S1" s="1697"/>
      <c r="T1" s="1697"/>
      <c r="V1" s="1697"/>
      <c r="W1" s="1788"/>
      <c r="X1" s="1788"/>
      <c r="Y1" s="1788"/>
      <c r="Z1" s="1696"/>
      <c r="AA1" s="1788"/>
      <c r="AB1" s="1788"/>
      <c r="AC1" s="1788"/>
      <c r="AD1" s="1788"/>
      <c r="AE1" s="1788"/>
      <c r="AF1" s="1788"/>
      <c r="AG1" s="1788"/>
      <c r="AI1" s="1788"/>
      <c r="AJ1" s="1788"/>
      <c r="AK1" s="1788"/>
      <c r="AL1" s="1788"/>
      <c r="AM1" s="1788"/>
      <c r="AN1" s="1788"/>
      <c r="AO1" s="1788"/>
    </row>
    <row r="2" spans="1:41" s="1599" customFormat="1" ht="18.75" customHeight="1">
      <c r="A2" s="1617" t="s">
        <v>1999</v>
      </c>
      <c r="B2" s="1617" t="s">
        <v>1998</v>
      </c>
      <c r="C2" s="1618"/>
      <c r="R2" s="1656"/>
      <c r="S2" s="1656"/>
      <c r="T2" s="1656"/>
      <c r="V2" s="1656"/>
      <c r="W2" s="1781"/>
      <c r="X2" s="1781"/>
      <c r="Y2" s="1781"/>
      <c r="Z2" s="1656"/>
      <c r="AA2" s="1781"/>
      <c r="AB2" s="1781"/>
      <c r="AC2" s="1781"/>
      <c r="AD2" s="1781"/>
      <c r="AE2" s="1781"/>
      <c r="AF2" s="1781"/>
      <c r="AG2" s="1781"/>
      <c r="AI2" s="1781"/>
      <c r="AJ2" s="1781"/>
      <c r="AK2" s="1781"/>
      <c r="AL2" s="1781"/>
      <c r="AM2" s="1781"/>
      <c r="AN2" s="1781"/>
      <c r="AO2" s="1781"/>
    </row>
    <row r="3" spans="1:41" s="1599" customFormat="1" ht="18.75" customHeight="1">
      <c r="A3" s="1617" t="s">
        <v>1871</v>
      </c>
      <c r="B3" s="1617" t="str">
        <f>'REKAP RAB'!B2</f>
        <v>: Citraland Emerald Mansion</v>
      </c>
      <c r="C3" s="1613"/>
      <c r="R3" s="1656"/>
      <c r="S3" s="1656"/>
      <c r="T3" s="1656"/>
      <c r="V3" s="1656"/>
      <c r="W3" s="1781"/>
      <c r="X3" s="1781"/>
      <c r="Y3" s="1781"/>
      <c r="Z3" s="1656"/>
      <c r="AA3" s="1781"/>
      <c r="AB3" s="1781"/>
      <c r="AC3" s="1781"/>
      <c r="AD3" s="1781"/>
      <c r="AE3" s="1781"/>
      <c r="AF3" s="1781"/>
      <c r="AG3" s="1781"/>
      <c r="AI3" s="1781"/>
      <c r="AJ3" s="1781"/>
      <c r="AK3" s="1781"/>
      <c r="AL3" s="1781"/>
      <c r="AM3" s="1781"/>
      <c r="AN3" s="1781"/>
      <c r="AO3" s="1781"/>
    </row>
    <row r="4" spans="1:41" s="1599" customFormat="1" ht="18.75" customHeight="1">
      <c r="A4" s="1617" t="s">
        <v>1893</v>
      </c>
      <c r="B4" s="1617" t="str">
        <f>'REKAP RAB'!B3</f>
        <v>: Ms. Ernawati</v>
      </c>
      <c r="C4" s="1613"/>
      <c r="H4" s="2082"/>
      <c r="R4" s="1656"/>
      <c r="S4" s="1656"/>
      <c r="T4" s="1656"/>
      <c r="V4" s="1656"/>
      <c r="W4" s="1781"/>
      <c r="X4" s="1781"/>
      <c r="Y4" s="1781"/>
      <c r="Z4" s="1656"/>
      <c r="AA4" s="1781"/>
      <c r="AB4" s="1781"/>
      <c r="AC4" s="1781"/>
      <c r="AD4" s="1781"/>
      <c r="AE4" s="1781"/>
      <c r="AF4" s="1781"/>
      <c r="AG4" s="1781"/>
      <c r="AI4" s="1781"/>
      <c r="AJ4" s="1781"/>
      <c r="AK4" s="1781"/>
      <c r="AL4" s="1781"/>
      <c r="AM4" s="1781"/>
      <c r="AN4" s="1781"/>
      <c r="AO4" s="1781"/>
    </row>
    <row r="5" spans="1:41" s="1599" customFormat="1" ht="18.75" customHeight="1">
      <c r="A5" s="1617" t="s">
        <v>1997</v>
      </c>
      <c r="B5" s="1617" t="str">
        <f>'REKAP RAB'!B4</f>
        <v>: Januari 2026</v>
      </c>
      <c r="C5" s="1613"/>
      <c r="R5" s="1656"/>
      <c r="S5" s="1656"/>
      <c r="T5" s="1656"/>
      <c r="V5" s="1656"/>
      <c r="W5" s="1781"/>
      <c r="X5" s="1781"/>
      <c r="Y5" s="1781"/>
      <c r="Z5" s="1656"/>
      <c r="AA5" s="1781"/>
      <c r="AB5" s="1781"/>
      <c r="AC5" s="1781"/>
      <c r="AD5" s="1781"/>
      <c r="AE5" s="1781"/>
      <c r="AF5" s="1781"/>
      <c r="AG5" s="1781"/>
      <c r="AI5" s="1781"/>
      <c r="AJ5" s="1781"/>
      <c r="AK5" s="1781"/>
      <c r="AL5" s="1781"/>
      <c r="AM5" s="1781"/>
      <c r="AN5" s="1781"/>
      <c r="AO5" s="1781"/>
    </row>
    <row r="6" spans="1:41" s="1599" customFormat="1" ht="18.75" customHeight="1" thickBot="1">
      <c r="B6" s="1630"/>
      <c r="C6" s="1613"/>
      <c r="R6" s="1695" t="s">
        <v>95</v>
      </c>
      <c r="S6" s="1695"/>
      <c r="T6" s="1695"/>
      <c r="U6" s="1630"/>
      <c r="V6" s="1695" t="s">
        <v>96</v>
      </c>
      <c r="W6" s="1789"/>
      <c r="X6" s="1789"/>
      <c r="Y6" s="1789"/>
      <c r="Z6" s="1694" t="s">
        <v>99</v>
      </c>
      <c r="AA6" s="1789"/>
      <c r="AB6" s="1789"/>
      <c r="AC6" s="1789" t="s">
        <v>227</v>
      </c>
      <c r="AD6" s="1789"/>
      <c r="AE6" s="1789"/>
      <c r="AF6" s="1789"/>
      <c r="AG6" s="1789"/>
      <c r="AH6" s="1630"/>
      <c r="AI6" s="1789"/>
      <c r="AJ6" s="1781"/>
      <c r="AK6" s="1781"/>
      <c r="AL6" s="1781"/>
      <c r="AM6" s="1781"/>
      <c r="AN6" s="1781"/>
      <c r="AO6" s="1781"/>
    </row>
    <row r="7" spans="1:41" s="1599" customFormat="1" ht="48" thickBot="1">
      <c r="A7" s="1790" t="s">
        <v>143</v>
      </c>
      <c r="B7" s="1791" t="s">
        <v>1754</v>
      </c>
      <c r="C7" s="1790" t="s">
        <v>1526</v>
      </c>
      <c r="D7" s="1792" t="s">
        <v>367</v>
      </c>
      <c r="E7" s="1792" t="s">
        <v>1996</v>
      </c>
      <c r="F7" s="1792" t="s">
        <v>1993</v>
      </c>
      <c r="G7" s="1793"/>
      <c r="H7" s="1792" t="s">
        <v>367</v>
      </c>
      <c r="I7" s="1794" t="s">
        <v>1880</v>
      </c>
      <c r="J7" s="1795" t="s">
        <v>1879</v>
      </c>
      <c r="K7" s="1795" t="s">
        <v>1877</v>
      </c>
      <c r="L7" s="1795" t="s">
        <v>1875</v>
      </c>
      <c r="M7" s="1796" t="s">
        <v>1995</v>
      </c>
      <c r="N7" s="1792" t="s">
        <v>1994</v>
      </c>
      <c r="O7" s="1792" t="s">
        <v>1993</v>
      </c>
      <c r="P7" s="1793"/>
      <c r="R7" s="1693" t="s">
        <v>1880</v>
      </c>
      <c r="S7" s="1693" t="s">
        <v>1879</v>
      </c>
      <c r="T7" s="1693" t="s">
        <v>1877</v>
      </c>
      <c r="U7" s="1787"/>
      <c r="V7" s="1693" t="s">
        <v>265</v>
      </c>
      <c r="W7" s="1797" t="s">
        <v>1880</v>
      </c>
      <c r="X7" s="1797" t="s">
        <v>1877</v>
      </c>
      <c r="Y7" s="1797"/>
      <c r="Z7" s="1692" t="s">
        <v>265</v>
      </c>
      <c r="AA7" s="1797" t="s">
        <v>1880</v>
      </c>
      <c r="AB7" s="1797"/>
      <c r="AC7" s="1797" t="s">
        <v>265</v>
      </c>
      <c r="AD7" s="1797" t="s">
        <v>1880</v>
      </c>
      <c r="AE7" s="1797"/>
      <c r="AF7" s="1797" t="s">
        <v>1992</v>
      </c>
      <c r="AG7" s="1797" t="s">
        <v>1991</v>
      </c>
      <c r="AH7" s="1787" t="s">
        <v>1990</v>
      </c>
      <c r="AI7" s="1797"/>
      <c r="AJ7" s="1797" t="s">
        <v>1989</v>
      </c>
      <c r="AK7" s="1797"/>
      <c r="AL7" s="1797" t="s">
        <v>100</v>
      </c>
      <c r="AM7" s="1797"/>
      <c r="AN7" s="1781"/>
      <c r="AO7" s="1781"/>
    </row>
    <row r="8" spans="1:41" s="1599" customFormat="1" ht="18.75" customHeight="1">
      <c r="A8" s="2651"/>
      <c r="B8" s="1799"/>
      <c r="C8" s="1779"/>
      <c r="D8" s="1780"/>
      <c r="E8" s="1798"/>
      <c r="F8" s="1798"/>
      <c r="H8" s="1780"/>
      <c r="I8" s="1667"/>
      <c r="J8" s="1666"/>
      <c r="K8" s="1666"/>
      <c r="L8" s="1666"/>
      <c r="M8" s="1665"/>
      <c r="N8" s="1664"/>
      <c r="O8" s="1664"/>
      <c r="R8" s="1656"/>
      <c r="S8" s="1656"/>
      <c r="T8" s="1656"/>
      <c r="V8" s="1656"/>
      <c r="W8" s="1781"/>
      <c r="X8" s="1781"/>
      <c r="Y8" s="1781"/>
      <c r="Z8" s="1656"/>
      <c r="AA8" s="1781"/>
      <c r="AB8" s="1781"/>
      <c r="AC8" s="1781"/>
      <c r="AD8" s="1781"/>
      <c r="AE8" s="1781"/>
      <c r="AF8" s="1781"/>
      <c r="AG8" s="1781"/>
      <c r="AI8" s="1781"/>
      <c r="AJ8" s="1781"/>
      <c r="AK8" s="1781"/>
      <c r="AL8" s="1781"/>
      <c r="AM8" s="1781"/>
      <c r="AN8" s="1781"/>
      <c r="AO8" s="1781"/>
    </row>
    <row r="9" spans="1:41" s="1599" customFormat="1" ht="18.75" customHeight="1">
      <c r="A9" s="2652" t="s">
        <v>1900</v>
      </c>
      <c r="B9" s="1801" t="s">
        <v>1988</v>
      </c>
      <c r="C9" s="1779"/>
      <c r="D9" s="1780"/>
      <c r="E9" s="1798"/>
      <c r="F9" s="1675"/>
      <c r="G9" s="1627"/>
      <c r="H9" s="1780"/>
      <c r="I9" s="1667"/>
      <c r="J9" s="1666"/>
      <c r="K9" s="1666"/>
      <c r="L9" s="1666"/>
      <c r="M9" s="1665"/>
      <c r="N9" s="1664"/>
      <c r="O9" s="1674"/>
      <c r="P9" s="1802"/>
      <c r="R9" s="1656"/>
      <c r="S9" s="1656"/>
      <c r="T9" s="1656"/>
      <c r="V9" s="1656"/>
      <c r="W9" s="1781"/>
      <c r="X9" s="1781"/>
      <c r="Y9" s="1781"/>
      <c r="Z9" s="1656"/>
      <c r="AA9" s="1781"/>
      <c r="AB9" s="1781"/>
      <c r="AC9" s="1781"/>
      <c r="AD9" s="1781"/>
      <c r="AE9" s="1781"/>
      <c r="AF9" s="1781"/>
      <c r="AG9" s="1781"/>
      <c r="AI9" s="1781"/>
      <c r="AJ9" s="1781"/>
      <c r="AK9" s="1781"/>
      <c r="AL9" s="1781"/>
      <c r="AM9" s="1781"/>
      <c r="AN9" s="1781"/>
      <c r="AO9" s="1781"/>
    </row>
    <row r="10" spans="1:41" s="1599" customFormat="1" ht="18.75" customHeight="1">
      <c r="A10" s="2651"/>
      <c r="B10" s="1799"/>
      <c r="C10" s="1779"/>
      <c r="D10" s="1780"/>
      <c r="E10" s="1798"/>
      <c r="F10" s="1803"/>
      <c r="G10" s="1804"/>
      <c r="H10" s="1780"/>
      <c r="I10" s="1667"/>
      <c r="J10" s="1666"/>
      <c r="K10" s="1666"/>
      <c r="L10" s="1666"/>
      <c r="M10" s="1665"/>
      <c r="N10" s="1664"/>
      <c r="O10" s="1664"/>
      <c r="P10" s="1804"/>
      <c r="R10" s="1656"/>
      <c r="S10" s="1656"/>
      <c r="T10" s="1656"/>
      <c r="V10" s="1656"/>
      <c r="W10" s="1781"/>
      <c r="X10" s="1781"/>
      <c r="Y10" s="1781"/>
      <c r="Z10" s="1656"/>
      <c r="AA10" s="1781"/>
      <c r="AB10" s="1781"/>
      <c r="AC10" s="1781"/>
      <c r="AD10" s="1781"/>
      <c r="AE10" s="1781"/>
      <c r="AF10" s="1781"/>
      <c r="AG10" s="1781"/>
      <c r="AI10" s="1781"/>
      <c r="AJ10" s="1781"/>
      <c r="AK10" s="1781"/>
      <c r="AL10" s="1781"/>
      <c r="AM10" s="1781"/>
      <c r="AN10" s="1781"/>
      <c r="AO10" s="1781"/>
    </row>
    <row r="11" spans="1:41" s="1599" customFormat="1" ht="18.75" customHeight="1">
      <c r="A11" s="2651">
        <v>1</v>
      </c>
      <c r="B11" s="1799" t="s">
        <v>1987</v>
      </c>
      <c r="C11" s="1779" t="s">
        <v>1986</v>
      </c>
      <c r="D11" s="1780">
        <f t="shared" ref="D11:D18" si="0">H11</f>
        <v>68</v>
      </c>
      <c r="E11" s="1622">
        <f t="shared" ref="E11:E18" si="1">N11</f>
        <v>200000</v>
      </c>
      <c r="F11" s="1669">
        <f t="shared" ref="F11:F18" si="2">D11*E11</f>
        <v>13600000</v>
      </c>
      <c r="G11" s="1668"/>
      <c r="H11" s="1780">
        <f>((22+2)+2*(20+2))</f>
        <v>68</v>
      </c>
      <c r="I11" s="1667"/>
      <c r="J11" s="1666">
        <v>50000</v>
      </c>
      <c r="K11" s="1666"/>
      <c r="L11" s="1666"/>
      <c r="M11" s="1665">
        <v>150000</v>
      </c>
      <c r="N11" s="1664">
        <f t="shared" ref="N11:N18" si="3">SUM(I11:M11)</f>
        <v>200000</v>
      </c>
      <c r="O11" s="1664">
        <f t="shared" ref="O11:O18" si="4">H11*N11</f>
        <v>13600000</v>
      </c>
      <c r="P11" s="1804"/>
      <c r="R11" s="1671"/>
      <c r="S11" s="1671"/>
      <c r="T11" s="1671"/>
      <c r="V11" s="1656"/>
      <c r="W11" s="1781"/>
      <c r="X11" s="1781"/>
      <c r="Y11" s="1781"/>
      <c r="Z11" s="1656"/>
      <c r="AA11" s="1781"/>
      <c r="AB11" s="1781"/>
      <c r="AC11" s="1781"/>
      <c r="AD11" s="1781"/>
      <c r="AE11" s="1781"/>
      <c r="AF11" s="1670">
        <f>R11+V11*W11+Z11*AA11</f>
        <v>0</v>
      </c>
      <c r="AG11" s="1670">
        <f>S11</f>
        <v>0</v>
      </c>
      <c r="AH11" s="1670">
        <f>T11+V11*X11</f>
        <v>0</v>
      </c>
      <c r="AI11" s="1781"/>
      <c r="AJ11" s="1781"/>
      <c r="AK11" s="1781"/>
      <c r="AL11" s="1781"/>
      <c r="AM11" s="1781"/>
      <c r="AN11" s="1781"/>
      <c r="AO11" s="1781"/>
    </row>
    <row r="12" spans="1:41" s="1599" customFormat="1" ht="18.75" customHeight="1">
      <c r="A12" s="2651">
        <v>2</v>
      </c>
      <c r="B12" s="1799" t="s">
        <v>1985</v>
      </c>
      <c r="C12" s="1779" t="s">
        <v>352</v>
      </c>
      <c r="D12" s="1780">
        <f t="shared" si="0"/>
        <v>84</v>
      </c>
      <c r="E12" s="1622">
        <f t="shared" si="1"/>
        <v>30000</v>
      </c>
      <c r="F12" s="1669">
        <f t="shared" si="2"/>
        <v>2520000</v>
      </c>
      <c r="G12" s="1668"/>
      <c r="H12" s="1780">
        <f>2*(20+22)</f>
        <v>84</v>
      </c>
      <c r="I12" s="1667"/>
      <c r="J12" s="1666">
        <v>30000</v>
      </c>
      <c r="K12" s="1666"/>
      <c r="L12" s="1666"/>
      <c r="M12" s="1665"/>
      <c r="N12" s="1664">
        <f t="shared" si="3"/>
        <v>30000</v>
      </c>
      <c r="O12" s="1664">
        <f t="shared" si="4"/>
        <v>2520000</v>
      </c>
      <c r="P12" s="1804"/>
      <c r="R12" s="1671"/>
      <c r="S12" s="1671"/>
      <c r="T12" s="1671"/>
      <c r="V12" s="1656"/>
      <c r="W12" s="1781"/>
      <c r="X12" s="1781"/>
      <c r="Y12" s="1781"/>
      <c r="Z12" s="1656"/>
      <c r="AA12" s="1781"/>
      <c r="AB12" s="1781"/>
      <c r="AC12" s="1781"/>
      <c r="AD12" s="1781"/>
      <c r="AE12" s="1781"/>
      <c r="AF12" s="1670">
        <f>R12+V12*W12+Z12*AA12</f>
        <v>0</v>
      </c>
      <c r="AG12" s="1670">
        <f>S12</f>
        <v>0</v>
      </c>
      <c r="AH12" s="1670">
        <f>T12+V12*X12</f>
        <v>0</v>
      </c>
      <c r="AI12" s="1781"/>
      <c r="AJ12" s="1781"/>
      <c r="AK12" s="1781"/>
      <c r="AL12" s="1781"/>
      <c r="AM12" s="1781"/>
      <c r="AN12" s="1781"/>
      <c r="AO12" s="1781"/>
    </row>
    <row r="13" spans="1:41" s="1599" customFormat="1" ht="30">
      <c r="A13" s="2651">
        <v>3</v>
      </c>
      <c r="B13" s="1799" t="s">
        <v>1984</v>
      </c>
      <c r="C13" s="1779" t="s">
        <v>1514</v>
      </c>
      <c r="D13" s="1780">
        <f t="shared" si="0"/>
        <v>95</v>
      </c>
      <c r="E13" s="1622">
        <f t="shared" si="1"/>
        <v>15000</v>
      </c>
      <c r="F13" s="1669">
        <f>D13*E13</f>
        <v>1425000</v>
      </c>
      <c r="G13" s="1668"/>
      <c r="H13" s="1780">
        <f>'REKAP-PC'!E22+'REKAP-PC'!F22</f>
        <v>95</v>
      </c>
      <c r="I13" s="1667"/>
      <c r="J13" s="1666">
        <v>15000</v>
      </c>
      <c r="K13" s="1666"/>
      <c r="L13" s="1666"/>
      <c r="M13" s="1665"/>
      <c r="N13" s="1664">
        <f t="shared" si="3"/>
        <v>15000</v>
      </c>
      <c r="O13" s="1664">
        <f t="shared" si="4"/>
        <v>1425000</v>
      </c>
      <c r="P13" s="1804"/>
      <c r="R13" s="1671"/>
      <c r="S13" s="1671"/>
      <c r="T13" s="1671"/>
      <c r="V13" s="1656"/>
      <c r="W13" s="1781"/>
      <c r="X13" s="1781"/>
      <c r="Y13" s="1781"/>
      <c r="Z13" s="1656"/>
      <c r="AA13" s="1781"/>
      <c r="AB13" s="1781"/>
      <c r="AC13" s="1781"/>
      <c r="AD13" s="1781"/>
      <c r="AE13" s="1781"/>
      <c r="AF13" s="1670"/>
      <c r="AG13" s="1670"/>
      <c r="AH13" s="1670"/>
      <c r="AI13" s="1781"/>
      <c r="AJ13" s="1781"/>
      <c r="AK13" s="1781"/>
      <c r="AL13" s="1781"/>
      <c r="AM13" s="1781"/>
      <c r="AN13" s="1781"/>
      <c r="AO13" s="1781"/>
    </row>
    <row r="14" spans="1:41" s="1599" customFormat="1" ht="39" customHeight="1">
      <c r="A14" s="2651">
        <v>4</v>
      </c>
      <c r="B14" s="1799" t="s">
        <v>1982</v>
      </c>
      <c r="C14" s="1779" t="s">
        <v>352</v>
      </c>
      <c r="D14" s="1780">
        <f t="shared" si="0"/>
        <v>1</v>
      </c>
      <c r="E14" s="1622">
        <f t="shared" si="1"/>
        <v>25000000</v>
      </c>
      <c r="F14" s="1669">
        <f t="shared" si="2"/>
        <v>25000000</v>
      </c>
      <c r="G14" s="1668"/>
      <c r="H14" s="1780">
        <v>1</v>
      </c>
      <c r="I14" s="1667">
        <v>15000000</v>
      </c>
      <c r="J14" s="1666">
        <v>10000000</v>
      </c>
      <c r="K14" s="1666"/>
      <c r="L14" s="1666"/>
      <c r="M14" s="1665"/>
      <c r="N14" s="1664">
        <f t="shared" si="3"/>
        <v>25000000</v>
      </c>
      <c r="O14" s="1664">
        <f t="shared" si="4"/>
        <v>25000000</v>
      </c>
      <c r="P14" s="1804" t="s">
        <v>2132</v>
      </c>
      <c r="R14" s="1671"/>
      <c r="S14" s="1671"/>
      <c r="T14" s="1671"/>
      <c r="V14" s="1656"/>
      <c r="W14" s="1781"/>
      <c r="X14" s="1781"/>
      <c r="Y14" s="1781"/>
      <c r="Z14" s="1656"/>
      <c r="AA14" s="1781"/>
      <c r="AB14" s="1781"/>
      <c r="AC14" s="1781"/>
      <c r="AD14" s="1781"/>
      <c r="AE14" s="1781"/>
      <c r="AF14" s="1670">
        <f t="shared" ref="AF14:AF18" si="5">R14+V14*W14+Z14*AA14</f>
        <v>0</v>
      </c>
      <c r="AG14" s="1670">
        <f t="shared" ref="AG14:AG18" si="6">S14</f>
        <v>0</v>
      </c>
      <c r="AH14" s="1670">
        <f t="shared" ref="AH14:AH18" si="7">T14+V14*X14</f>
        <v>0</v>
      </c>
      <c r="AI14" s="1781"/>
      <c r="AJ14" s="1781"/>
      <c r="AK14" s="1781"/>
      <c r="AL14" s="1781"/>
      <c r="AM14" s="1781"/>
      <c r="AN14" s="1781"/>
      <c r="AO14" s="1781"/>
    </row>
    <row r="15" spans="1:41" s="1599" customFormat="1" ht="18.75" customHeight="1">
      <c r="A15" s="2651">
        <v>5</v>
      </c>
      <c r="B15" s="1799" t="s">
        <v>1983</v>
      </c>
      <c r="C15" s="1779" t="s">
        <v>1978</v>
      </c>
      <c r="D15" s="1780">
        <f>H15</f>
        <v>12</v>
      </c>
      <c r="E15" s="1622">
        <f>N15</f>
        <v>1000000</v>
      </c>
      <c r="F15" s="1669">
        <f>D15*E15</f>
        <v>12000000</v>
      </c>
      <c r="G15" s="1668"/>
      <c r="H15" s="1780">
        <v>12</v>
      </c>
      <c r="I15" s="1667"/>
      <c r="J15" s="1666"/>
      <c r="K15" s="1666"/>
      <c r="L15" s="1666"/>
      <c r="M15" s="1665">
        <v>1000000</v>
      </c>
      <c r="N15" s="1664">
        <f>SUM(I15:M15)</f>
        <v>1000000</v>
      </c>
      <c r="O15" s="1664">
        <f>H15*N15</f>
        <v>12000000</v>
      </c>
      <c r="P15" s="1804"/>
      <c r="R15" s="1671"/>
      <c r="S15" s="1671"/>
      <c r="T15" s="1671"/>
      <c r="V15" s="1656"/>
      <c r="W15" s="1781"/>
      <c r="X15" s="1781"/>
      <c r="Y15" s="1781"/>
      <c r="Z15" s="1656"/>
      <c r="AA15" s="1781"/>
      <c r="AB15" s="1781"/>
      <c r="AC15" s="1781"/>
      <c r="AD15" s="1781"/>
      <c r="AE15" s="1781"/>
      <c r="AF15" s="1670">
        <f>R15+V15*W15+Z15*AA15</f>
        <v>0</v>
      </c>
      <c r="AG15" s="1670">
        <f>S15</f>
        <v>0</v>
      </c>
      <c r="AH15" s="1670">
        <f>T15+V15*X15</f>
        <v>0</v>
      </c>
      <c r="AI15" s="1781"/>
      <c r="AJ15" s="1781"/>
      <c r="AK15" s="1781"/>
      <c r="AL15" s="1781"/>
      <c r="AM15" s="1781"/>
      <c r="AN15" s="1781"/>
      <c r="AO15" s="1781"/>
    </row>
    <row r="16" spans="1:41" s="1599" customFormat="1" ht="18.75" customHeight="1">
      <c r="A16" s="2651">
        <v>6</v>
      </c>
      <c r="B16" s="1799" t="s">
        <v>1981</v>
      </c>
      <c r="C16" s="1779" t="s">
        <v>1978</v>
      </c>
      <c r="D16" s="1780">
        <f t="shared" si="0"/>
        <v>12</v>
      </c>
      <c r="E16" s="1622">
        <f t="shared" si="1"/>
        <v>2000000</v>
      </c>
      <c r="F16" s="1669">
        <f t="shared" si="2"/>
        <v>24000000</v>
      </c>
      <c r="G16" s="1668"/>
      <c r="H16" s="1780">
        <f>H15</f>
        <v>12</v>
      </c>
      <c r="I16" s="1667"/>
      <c r="J16" s="1666"/>
      <c r="K16" s="1666"/>
      <c r="L16" s="1666"/>
      <c r="M16" s="1665">
        <v>2000000</v>
      </c>
      <c r="N16" s="1664">
        <f t="shared" si="3"/>
        <v>2000000</v>
      </c>
      <c r="O16" s="1664">
        <f t="shared" si="4"/>
        <v>24000000</v>
      </c>
      <c r="P16" s="1804"/>
      <c r="R16" s="1671"/>
      <c r="S16" s="1671"/>
      <c r="T16" s="1671"/>
      <c r="V16" s="1656"/>
      <c r="W16" s="1781"/>
      <c r="X16" s="1781"/>
      <c r="Y16" s="1781"/>
      <c r="Z16" s="1656"/>
      <c r="AA16" s="1781"/>
      <c r="AB16" s="1781"/>
      <c r="AC16" s="1781"/>
      <c r="AD16" s="1781"/>
      <c r="AE16" s="1781"/>
      <c r="AF16" s="1670">
        <f t="shared" si="5"/>
        <v>0</v>
      </c>
      <c r="AG16" s="1670">
        <f t="shared" si="6"/>
        <v>0</v>
      </c>
      <c r="AH16" s="1670">
        <f t="shared" si="7"/>
        <v>0</v>
      </c>
      <c r="AI16" s="1781"/>
      <c r="AJ16" s="1781"/>
      <c r="AK16" s="1781"/>
      <c r="AL16" s="1781"/>
      <c r="AM16" s="1781"/>
      <c r="AN16" s="1781"/>
      <c r="AO16" s="1781"/>
    </row>
    <row r="17" spans="1:41" s="1599" customFormat="1" ht="18.75" customHeight="1">
      <c r="A17" s="2651">
        <v>7</v>
      </c>
      <c r="B17" s="1799" t="s">
        <v>1980</v>
      </c>
      <c r="C17" s="1779" t="s">
        <v>1978</v>
      </c>
      <c r="D17" s="1780">
        <f t="shared" si="0"/>
        <v>12</v>
      </c>
      <c r="E17" s="1622">
        <f t="shared" si="1"/>
        <v>1500000</v>
      </c>
      <c r="F17" s="1669">
        <f t="shared" si="2"/>
        <v>18000000</v>
      </c>
      <c r="G17" s="1668"/>
      <c r="H17" s="1780">
        <f>H16</f>
        <v>12</v>
      </c>
      <c r="I17" s="1667"/>
      <c r="J17" s="1666"/>
      <c r="K17" s="1666"/>
      <c r="L17" s="1666"/>
      <c r="M17" s="1665">
        <v>1500000</v>
      </c>
      <c r="N17" s="1664">
        <f t="shared" si="3"/>
        <v>1500000</v>
      </c>
      <c r="O17" s="1664">
        <f t="shared" si="4"/>
        <v>18000000</v>
      </c>
      <c r="P17" s="1804"/>
      <c r="R17" s="1671"/>
      <c r="S17" s="1671"/>
      <c r="T17" s="1671"/>
      <c r="V17" s="1656"/>
      <c r="W17" s="1781"/>
      <c r="X17" s="1781"/>
      <c r="Y17" s="1781"/>
      <c r="Z17" s="1656"/>
      <c r="AA17" s="1781"/>
      <c r="AB17" s="1781"/>
      <c r="AC17" s="1781"/>
      <c r="AD17" s="1781"/>
      <c r="AE17" s="1781"/>
      <c r="AF17" s="1670">
        <f t="shared" si="5"/>
        <v>0</v>
      </c>
      <c r="AG17" s="1670">
        <f t="shared" si="6"/>
        <v>0</v>
      </c>
      <c r="AH17" s="1670">
        <f t="shared" si="7"/>
        <v>0</v>
      </c>
      <c r="AI17" s="1781"/>
      <c r="AJ17" s="1781"/>
      <c r="AK17" s="1781"/>
      <c r="AL17" s="1781"/>
      <c r="AM17" s="1781"/>
      <c r="AN17" s="1781"/>
      <c r="AO17" s="1781"/>
    </row>
    <row r="18" spans="1:41" s="1599" customFormat="1" ht="30">
      <c r="A18" s="2651">
        <v>8</v>
      </c>
      <c r="B18" s="1799" t="s">
        <v>1979</v>
      </c>
      <c r="C18" s="1779" t="s">
        <v>1978</v>
      </c>
      <c r="D18" s="1780">
        <f t="shared" si="0"/>
        <v>12</v>
      </c>
      <c r="E18" s="1622">
        <f t="shared" si="1"/>
        <v>3000000</v>
      </c>
      <c r="F18" s="1669">
        <f t="shared" si="2"/>
        <v>36000000</v>
      </c>
      <c r="G18" s="1668"/>
      <c r="H18" s="1780">
        <f>H16</f>
        <v>12</v>
      </c>
      <c r="I18" s="1667"/>
      <c r="J18" s="1666">
        <v>3000000</v>
      </c>
      <c r="K18" s="1666"/>
      <c r="L18" s="1666"/>
      <c r="M18" s="1665"/>
      <c r="N18" s="1664">
        <f t="shared" si="3"/>
        <v>3000000</v>
      </c>
      <c r="O18" s="1664">
        <f t="shared" si="4"/>
        <v>36000000</v>
      </c>
      <c r="P18" s="1804"/>
      <c r="R18" s="1671"/>
      <c r="S18" s="1671"/>
      <c r="T18" s="1671"/>
      <c r="V18" s="1656"/>
      <c r="W18" s="1781"/>
      <c r="X18" s="1781"/>
      <c r="Y18" s="1781"/>
      <c r="Z18" s="1656"/>
      <c r="AA18" s="1781"/>
      <c r="AB18" s="1781"/>
      <c r="AC18" s="1781"/>
      <c r="AD18" s="1781"/>
      <c r="AE18" s="1781"/>
      <c r="AF18" s="1670">
        <f t="shared" si="5"/>
        <v>0</v>
      </c>
      <c r="AG18" s="1670">
        <f t="shared" si="6"/>
        <v>0</v>
      </c>
      <c r="AH18" s="1670">
        <f t="shared" si="7"/>
        <v>0</v>
      </c>
      <c r="AI18" s="1781"/>
      <c r="AJ18" s="1781"/>
      <c r="AK18" s="1781"/>
      <c r="AL18" s="1781"/>
      <c r="AM18" s="1781"/>
      <c r="AN18" s="1781"/>
      <c r="AO18" s="1781"/>
    </row>
    <row r="19" spans="1:41" s="1599" customFormat="1" ht="18.75" customHeight="1" thickBot="1">
      <c r="A19" s="2651"/>
      <c r="B19" s="1799"/>
      <c r="C19" s="1779"/>
      <c r="D19" s="1780"/>
      <c r="E19" s="1622"/>
      <c r="F19" s="1669"/>
      <c r="G19" s="1668"/>
      <c r="H19" s="1780"/>
      <c r="I19" s="1667"/>
      <c r="J19" s="1666"/>
      <c r="K19" s="1666"/>
      <c r="L19" s="1666"/>
      <c r="M19" s="1665"/>
      <c r="N19" s="1664"/>
      <c r="O19" s="1664"/>
      <c r="P19" s="1804"/>
      <c r="R19" s="1671"/>
      <c r="S19" s="1671"/>
      <c r="T19" s="1671"/>
      <c r="V19" s="1656"/>
      <c r="W19" s="1781"/>
      <c r="X19" s="1781"/>
      <c r="Y19" s="1781"/>
      <c r="Z19" s="1656"/>
      <c r="AA19" s="1781"/>
      <c r="AB19" s="1781"/>
      <c r="AC19" s="1781"/>
      <c r="AD19" s="1781"/>
      <c r="AE19" s="1781"/>
      <c r="AF19" s="1781"/>
      <c r="AG19" s="1781"/>
      <c r="AI19" s="1781"/>
      <c r="AJ19" s="1781"/>
      <c r="AK19" s="1781"/>
      <c r="AL19" s="1781"/>
      <c r="AM19" s="1781"/>
      <c r="AN19" s="1781"/>
      <c r="AO19" s="1781"/>
    </row>
    <row r="20" spans="1:41" s="1599" customFormat="1" ht="18.75" customHeight="1" thickBot="1">
      <c r="A20" s="2220" t="s">
        <v>1977</v>
      </c>
      <c r="B20" s="2221"/>
      <c r="C20" s="2221"/>
      <c r="D20" s="2221"/>
      <c r="E20" s="2222"/>
      <c r="F20" s="1658">
        <f>SUM(F8:F19)</f>
        <v>132545000</v>
      </c>
      <c r="G20" s="1627"/>
      <c r="H20" s="1680"/>
      <c r="I20" s="1679"/>
      <c r="J20" s="1678"/>
      <c r="K20" s="1678"/>
      <c r="L20" s="1678"/>
      <c r="M20" s="1677"/>
      <c r="N20" s="1676"/>
      <c r="O20" s="1658">
        <f>SUM(O8:O19)</f>
        <v>132545000</v>
      </c>
      <c r="P20" s="1804"/>
      <c r="R20" s="1671"/>
      <c r="S20" s="1671"/>
      <c r="T20" s="1671"/>
      <c r="V20" s="1656"/>
      <c r="W20" s="1781"/>
      <c r="X20" s="1781"/>
      <c r="Y20" s="1781"/>
      <c r="Z20" s="1656"/>
      <c r="AA20" s="1781"/>
      <c r="AB20" s="1781"/>
      <c r="AC20" s="1781"/>
      <c r="AD20" s="1781"/>
      <c r="AE20" s="1781"/>
      <c r="AF20" s="1781"/>
      <c r="AG20" s="1781"/>
      <c r="AI20" s="1781"/>
      <c r="AJ20" s="1781"/>
      <c r="AK20" s="1781"/>
      <c r="AL20" s="1781"/>
      <c r="AM20" s="1781"/>
      <c r="AN20" s="1781"/>
      <c r="AO20" s="1781"/>
    </row>
    <row r="21" spans="1:41" s="1599" customFormat="1" ht="18.75" customHeight="1">
      <c r="A21" s="1798"/>
      <c r="B21" s="1799"/>
      <c r="C21" s="1779"/>
      <c r="D21" s="1780"/>
      <c r="E21" s="1803"/>
      <c r="F21" s="1803"/>
      <c r="G21" s="1804"/>
      <c r="H21" s="1780"/>
      <c r="I21" s="1667"/>
      <c r="J21" s="1666"/>
      <c r="K21" s="1666"/>
      <c r="L21" s="1666"/>
      <c r="M21" s="1665"/>
      <c r="N21" s="1664"/>
      <c r="O21" s="1664"/>
      <c r="P21" s="1804"/>
      <c r="R21" s="1671"/>
      <c r="S21" s="1671"/>
      <c r="T21" s="1671"/>
      <c r="V21" s="1656"/>
      <c r="W21" s="1781"/>
      <c r="X21" s="1781"/>
      <c r="Y21" s="1781"/>
      <c r="Z21" s="1656"/>
      <c r="AA21" s="1781"/>
      <c r="AB21" s="1781"/>
      <c r="AC21" s="1781"/>
      <c r="AD21" s="1781"/>
      <c r="AE21" s="1781"/>
      <c r="AF21" s="1781"/>
      <c r="AG21" s="1781"/>
      <c r="AI21" s="1781"/>
      <c r="AJ21" s="1781"/>
      <c r="AK21" s="1781"/>
      <c r="AL21" s="1781"/>
      <c r="AM21" s="1781"/>
      <c r="AN21" s="1781"/>
      <c r="AO21" s="1781"/>
    </row>
    <row r="22" spans="1:41" s="1599" customFormat="1" ht="18.75" customHeight="1">
      <c r="A22" s="2652" t="s">
        <v>1898</v>
      </c>
      <c r="B22" s="1801" t="s">
        <v>2200</v>
      </c>
      <c r="C22" s="1779"/>
      <c r="D22" s="1780"/>
      <c r="E22" s="1803"/>
      <c r="F22" s="1675"/>
      <c r="G22" s="1627"/>
      <c r="H22" s="1780"/>
      <c r="I22" s="1667"/>
      <c r="J22" s="1666"/>
      <c r="K22" s="1666"/>
      <c r="L22" s="1666"/>
      <c r="M22" s="1665"/>
      <c r="N22" s="1664"/>
      <c r="O22" s="1674"/>
      <c r="P22" s="1802"/>
      <c r="R22" s="1671"/>
      <c r="S22" s="1671"/>
      <c r="T22" s="1671"/>
      <c r="V22" s="1656"/>
      <c r="W22" s="1781"/>
      <c r="X22" s="1781"/>
      <c r="Y22" s="1781"/>
      <c r="Z22" s="1656"/>
      <c r="AA22" s="1781"/>
      <c r="AB22" s="1781"/>
      <c r="AC22" s="1781"/>
      <c r="AD22" s="1781"/>
      <c r="AE22" s="1781"/>
      <c r="AF22" s="1781"/>
      <c r="AG22" s="1781"/>
      <c r="AI22" s="1781"/>
      <c r="AJ22" s="1781"/>
      <c r="AK22" s="1781"/>
      <c r="AL22" s="1781"/>
      <c r="AM22" s="1781"/>
      <c r="AN22" s="1781"/>
      <c r="AO22" s="1781"/>
    </row>
    <row r="23" spans="1:41" s="1599" customFormat="1" ht="15.75">
      <c r="A23" s="2651"/>
      <c r="B23" s="1799"/>
      <c r="C23" s="1779"/>
      <c r="D23" s="1780"/>
      <c r="E23" s="1622"/>
      <c r="F23" s="1669"/>
      <c r="G23" s="1668"/>
      <c r="H23" s="1780"/>
      <c r="I23" s="1667"/>
      <c r="J23" s="1666"/>
      <c r="K23" s="1666"/>
      <c r="L23" s="1666"/>
      <c r="M23" s="1665"/>
      <c r="N23" s="1664"/>
      <c r="O23" s="1664"/>
      <c r="P23" s="1804"/>
      <c r="R23" s="1671"/>
      <c r="S23" s="1671"/>
      <c r="T23" s="1671"/>
      <c r="V23" s="1656"/>
      <c r="W23" s="1781"/>
      <c r="X23" s="1781"/>
      <c r="Y23" s="1781"/>
      <c r="Z23" s="1656"/>
      <c r="AA23" s="1781"/>
      <c r="AB23" s="1781"/>
      <c r="AC23" s="1781"/>
      <c r="AD23" s="1781"/>
      <c r="AE23" s="1781"/>
      <c r="AF23" s="1670"/>
      <c r="AG23" s="1670"/>
      <c r="AH23" s="1670"/>
      <c r="AI23" s="1781"/>
      <c r="AJ23" s="1781"/>
      <c r="AK23" s="1781"/>
      <c r="AL23" s="1781"/>
      <c r="AM23" s="1781"/>
      <c r="AN23" s="1781"/>
      <c r="AO23" s="1781"/>
    </row>
    <row r="24" spans="1:41" s="1599" customFormat="1" ht="18">
      <c r="A24" s="2651">
        <v>1</v>
      </c>
      <c r="B24" s="1799" t="s">
        <v>2352</v>
      </c>
      <c r="C24" s="1779" t="s">
        <v>1969</v>
      </c>
      <c r="D24" s="1780">
        <f>H24*'REKAP RAB'!$K$3</f>
        <v>210.50076402500002</v>
      </c>
      <c r="E24" s="1622">
        <f>N24*'REKAP RAB'!$O$2</f>
        <v>137500</v>
      </c>
      <c r="F24" s="1669">
        <f t="shared" ref="F24:F27" si="8">D24*E24</f>
        <v>28943855.053437505</v>
      </c>
      <c r="G24" s="1668"/>
      <c r="H24" s="1780">
        <f>SUM('REKAP-PC'!G22,'REKAP Balok'!K334)+8*3.1*1+2.2*2.2*1.5</f>
        <v>210.50076402500002</v>
      </c>
      <c r="I24" s="1667"/>
      <c r="J24" s="1666">
        <v>125000</v>
      </c>
      <c r="K24" s="1666"/>
      <c r="L24" s="1666"/>
      <c r="M24" s="1665"/>
      <c r="N24" s="1664">
        <f t="shared" ref="N24:N27" si="9">SUM(I24:M24)</f>
        <v>125000</v>
      </c>
      <c r="O24" s="1664">
        <f t="shared" ref="O24:O27" si="10">H24*N24</f>
        <v>26312595.503125004</v>
      </c>
      <c r="P24" s="1804"/>
      <c r="R24" s="1671"/>
      <c r="S24" s="1671"/>
      <c r="T24" s="1671"/>
      <c r="V24" s="1656"/>
      <c r="W24" s="1781"/>
      <c r="X24" s="1781"/>
      <c r="Y24" s="1781"/>
      <c r="Z24" s="1656"/>
      <c r="AA24" s="1781"/>
      <c r="AB24" s="1781"/>
      <c r="AC24" s="1781"/>
      <c r="AD24" s="1781"/>
      <c r="AE24" s="1781"/>
      <c r="AF24" s="1670">
        <f>R24+V24*W24+Z24*AA24</f>
        <v>0</v>
      </c>
      <c r="AG24" s="1670">
        <f>S24</f>
        <v>0</v>
      </c>
      <c r="AH24" s="1670">
        <f>T24+V24*X24</f>
        <v>0</v>
      </c>
      <c r="AI24" s="1781"/>
      <c r="AJ24" s="1781"/>
      <c r="AK24" s="1781"/>
      <c r="AL24" s="1781"/>
      <c r="AM24" s="1781"/>
      <c r="AN24" s="1781"/>
      <c r="AO24" s="1781"/>
    </row>
    <row r="25" spans="1:41" s="1599" customFormat="1" ht="18">
      <c r="A25" s="2651">
        <v>2</v>
      </c>
      <c r="B25" s="1799" t="s">
        <v>2351</v>
      </c>
      <c r="C25" s="1779" t="s">
        <v>1969</v>
      </c>
      <c r="D25" s="1780">
        <f>H25*'REKAP RAB'!$K$3</f>
        <v>331.14513202000001</v>
      </c>
      <c r="E25" s="1622">
        <f>N25*'REKAP RAB'!$O$2</f>
        <v>209000.00000000003</v>
      </c>
      <c r="F25" s="1669">
        <f t="shared" ref="F25" si="11">D25*E25</f>
        <v>69209332.592180014</v>
      </c>
      <c r="G25" s="1668"/>
      <c r="H25" s="1780">
        <f>SUM('REKAP Plat'!D8:D9,'REKAP Plat'!D12:D16)*1.3+SUM('REKAP Plat'!D10:D11)*0.3</f>
        <v>331.14513202000001</v>
      </c>
      <c r="I25" s="2017"/>
      <c r="J25" s="1666"/>
      <c r="K25" s="1666"/>
      <c r="L25" s="1666">
        <v>190000</v>
      </c>
      <c r="M25" s="1665"/>
      <c r="N25" s="1664">
        <f t="shared" ref="N25" si="12">SUM(I25:M25)</f>
        <v>190000</v>
      </c>
      <c r="O25" s="1664">
        <f t="shared" ref="O25" si="13">H25*N25</f>
        <v>62917575.083800003</v>
      </c>
      <c r="P25" s="1804"/>
      <c r="R25" s="1671"/>
      <c r="S25" s="1671"/>
      <c r="T25" s="1671"/>
      <c r="V25" s="1656"/>
      <c r="W25" s="1781"/>
      <c r="X25" s="1781"/>
      <c r="Y25" s="1781"/>
      <c r="Z25" s="1656"/>
      <c r="AA25" s="1781"/>
      <c r="AB25" s="1781"/>
      <c r="AC25" s="1781"/>
      <c r="AD25" s="1781"/>
      <c r="AE25" s="1781"/>
      <c r="AF25" s="1670"/>
      <c r="AG25" s="1670"/>
      <c r="AH25" s="1670"/>
      <c r="AI25" s="1781"/>
      <c r="AJ25" s="1781"/>
      <c r="AK25" s="1781"/>
      <c r="AL25" s="1781"/>
      <c r="AM25" s="1781"/>
      <c r="AN25" s="1781"/>
      <c r="AO25" s="1781"/>
    </row>
    <row r="26" spans="1:41" s="1599" customFormat="1" ht="18">
      <c r="A26" s="2651">
        <v>3</v>
      </c>
      <c r="B26" s="1799" t="s">
        <v>1976</v>
      </c>
      <c r="C26" s="1779" t="s">
        <v>1936</v>
      </c>
      <c r="D26" s="1780">
        <f t="shared" ref="D26:D27" si="14">H26</f>
        <v>440</v>
      </c>
      <c r="E26" s="1622">
        <f>N26*'REKAP RAB'!$O$2</f>
        <v>22000</v>
      </c>
      <c r="F26" s="1669">
        <f t="shared" si="8"/>
        <v>9680000</v>
      </c>
      <c r="G26" s="1668"/>
      <c r="H26" s="1780">
        <f>22*20</f>
        <v>440</v>
      </c>
      <c r="I26" s="1667"/>
      <c r="J26" s="1666">
        <v>20000</v>
      </c>
      <c r="K26" s="1666"/>
      <c r="L26" s="1666"/>
      <c r="M26" s="1665"/>
      <c r="N26" s="1664">
        <f t="shared" si="9"/>
        <v>20000</v>
      </c>
      <c r="O26" s="1664">
        <f t="shared" si="10"/>
        <v>8800000</v>
      </c>
      <c r="P26" s="1804"/>
      <c r="R26" s="1671"/>
      <c r="S26" s="1671"/>
      <c r="T26" s="1671"/>
      <c r="V26" s="1656"/>
      <c r="W26" s="1781"/>
      <c r="X26" s="1781"/>
      <c r="Y26" s="1781"/>
      <c r="Z26" s="1656"/>
      <c r="AA26" s="1781"/>
      <c r="AB26" s="1781"/>
      <c r="AC26" s="1781"/>
      <c r="AD26" s="1781"/>
      <c r="AE26" s="1781"/>
      <c r="AF26" s="1670"/>
      <c r="AG26" s="1670"/>
      <c r="AH26" s="1670"/>
      <c r="AI26" s="1781"/>
      <c r="AJ26" s="1781"/>
      <c r="AK26" s="1781"/>
      <c r="AL26" s="1781"/>
      <c r="AM26" s="1781"/>
      <c r="AN26" s="1781"/>
      <c r="AO26" s="1781"/>
    </row>
    <row r="27" spans="1:41" s="1599" customFormat="1" ht="18.75" customHeight="1">
      <c r="A27" s="2648">
        <v>4</v>
      </c>
      <c r="B27" s="1799" t="s">
        <v>2353</v>
      </c>
      <c r="C27" s="1779" t="s">
        <v>1969</v>
      </c>
      <c r="D27" s="1780">
        <f t="shared" si="14"/>
        <v>32.554985544999994</v>
      </c>
      <c r="E27" s="1622">
        <f>N27*'REKAP RAB'!$O$5</f>
        <v>1363003</v>
      </c>
      <c r="F27" s="1682">
        <f t="shared" si="8"/>
        <v>44372542.962791629</v>
      </c>
      <c r="G27" s="1681"/>
      <c r="H27" s="1780">
        <f>SUM('REKAP-PC'!I22,'REKAP Balok'!J334,'REKAP Plat'!H55)</f>
        <v>32.554985544999994</v>
      </c>
      <c r="I27" s="1667">
        <f>AF27</f>
        <v>785220</v>
      </c>
      <c r="J27" s="1666">
        <f>AG27</f>
        <v>400000</v>
      </c>
      <c r="K27" s="1666"/>
      <c r="L27" s="1666"/>
      <c r="M27" s="1665"/>
      <c r="N27" s="1664">
        <f t="shared" si="9"/>
        <v>1185220</v>
      </c>
      <c r="O27" s="1664">
        <f t="shared" si="10"/>
        <v>38584819.967644893</v>
      </c>
      <c r="P27" s="1804"/>
      <c r="R27" s="1670">
        <f>Analisa!$F$275</f>
        <v>785220</v>
      </c>
      <c r="S27" s="1670">
        <f>Analisa!$G$275</f>
        <v>400000</v>
      </c>
      <c r="T27" s="1670">
        <f>Analisa!$H$275</f>
        <v>0</v>
      </c>
      <c r="V27" s="1656"/>
      <c r="W27" s="1781"/>
      <c r="X27" s="1781"/>
      <c r="Y27" s="1781"/>
      <c r="Z27" s="1656"/>
      <c r="AA27" s="1781"/>
      <c r="AB27" s="1781"/>
      <c r="AC27" s="1781"/>
      <c r="AD27" s="1781"/>
      <c r="AE27" s="1781"/>
      <c r="AF27" s="1670">
        <f>R27+V27*W27+Z27*AA27</f>
        <v>785220</v>
      </c>
      <c r="AG27" s="1670">
        <f>S27</f>
        <v>400000</v>
      </c>
      <c r="AH27" s="1670">
        <f>T27+V27*X27</f>
        <v>0</v>
      </c>
      <c r="AI27" s="1781"/>
      <c r="AJ27" s="1781"/>
      <c r="AK27" s="1781"/>
      <c r="AL27" s="1781"/>
      <c r="AM27" s="1781"/>
      <c r="AN27" s="1781"/>
      <c r="AO27" s="1781"/>
    </row>
    <row r="28" spans="1:41" s="1599" customFormat="1" ht="18.75" customHeight="1" thickBot="1">
      <c r="A28" s="1798"/>
      <c r="B28" s="1799"/>
      <c r="C28" s="1779"/>
      <c r="D28" s="1780"/>
      <c r="E28" s="1622"/>
      <c r="F28" s="1669"/>
      <c r="G28" s="1668"/>
      <c r="H28" s="1780"/>
      <c r="I28" s="1667"/>
      <c r="J28" s="1666"/>
      <c r="K28" s="1666"/>
      <c r="L28" s="1666"/>
      <c r="M28" s="1665"/>
      <c r="N28" s="1664"/>
      <c r="O28" s="1664"/>
      <c r="P28" s="1804"/>
      <c r="R28" s="1656"/>
      <c r="S28" s="1656"/>
      <c r="T28" s="1656"/>
      <c r="V28" s="1656"/>
      <c r="W28" s="1781"/>
      <c r="X28" s="1781"/>
      <c r="Y28" s="1781"/>
      <c r="Z28" s="1656"/>
      <c r="AA28" s="1781"/>
      <c r="AB28" s="1781"/>
      <c r="AC28" s="1781"/>
      <c r="AD28" s="1781"/>
      <c r="AE28" s="1781"/>
      <c r="AF28" s="1781"/>
      <c r="AG28" s="1781"/>
      <c r="AI28" s="1781"/>
      <c r="AJ28" s="1781"/>
      <c r="AK28" s="1781"/>
      <c r="AL28" s="1781"/>
      <c r="AM28" s="1781"/>
      <c r="AN28" s="1781"/>
      <c r="AO28" s="1781"/>
    </row>
    <row r="29" spans="1:41" s="1599" customFormat="1" ht="18.75" customHeight="1" thickBot="1">
      <c r="A29" s="2220" t="s">
        <v>1975</v>
      </c>
      <c r="B29" s="2221"/>
      <c r="C29" s="2221"/>
      <c r="D29" s="2221"/>
      <c r="E29" s="2222"/>
      <c r="F29" s="1658">
        <f>SUM(F21:F28)</f>
        <v>152205730.60840914</v>
      </c>
      <c r="G29" s="1627"/>
      <c r="H29" s="1680"/>
      <c r="I29" s="1679"/>
      <c r="J29" s="1678"/>
      <c r="K29" s="1678"/>
      <c r="L29" s="1678"/>
      <c r="M29" s="1677"/>
      <c r="N29" s="1676"/>
      <c r="O29" s="1658">
        <f>SUM(O21:O28)</f>
        <v>136614990.5545699</v>
      </c>
      <c r="P29" s="1804"/>
      <c r="R29" s="1656"/>
      <c r="S29" s="1656"/>
      <c r="T29" s="1656"/>
      <c r="V29" s="1656"/>
      <c r="W29" s="1781"/>
      <c r="X29" s="1781"/>
      <c r="Y29" s="1781"/>
      <c r="Z29" s="1656"/>
      <c r="AA29" s="1781"/>
      <c r="AB29" s="1781"/>
      <c r="AC29" s="1781"/>
      <c r="AD29" s="1781"/>
      <c r="AE29" s="1781"/>
      <c r="AF29" s="1781"/>
      <c r="AG29" s="1781"/>
      <c r="AI29" s="1781"/>
      <c r="AJ29" s="1781"/>
      <c r="AK29" s="1781"/>
      <c r="AL29" s="1781"/>
      <c r="AM29" s="1781"/>
      <c r="AN29" s="1781"/>
      <c r="AO29" s="1781"/>
    </row>
    <row r="30" spans="1:41" s="1599" customFormat="1" ht="18.75" customHeight="1">
      <c r="A30" s="1798"/>
      <c r="B30" s="1799"/>
      <c r="C30" s="1779"/>
      <c r="D30" s="1780"/>
      <c r="E30" s="1803"/>
      <c r="F30" s="1803"/>
      <c r="G30" s="1804"/>
      <c r="H30" s="1780"/>
      <c r="I30" s="1667"/>
      <c r="J30" s="1666"/>
      <c r="K30" s="1666"/>
      <c r="L30" s="1666"/>
      <c r="M30" s="1665"/>
      <c r="N30" s="1664"/>
      <c r="O30" s="1664"/>
      <c r="P30" s="1804"/>
      <c r="R30" s="1656"/>
      <c r="S30" s="1656"/>
      <c r="T30" s="1656"/>
      <c r="V30" s="1656"/>
      <c r="W30" s="1781"/>
      <c r="X30" s="1781"/>
      <c r="Y30" s="1781"/>
      <c r="Z30" s="1656"/>
      <c r="AA30" s="1781"/>
      <c r="AB30" s="1781"/>
      <c r="AC30" s="1781"/>
      <c r="AD30" s="1781"/>
      <c r="AE30" s="1781"/>
      <c r="AF30" s="1781"/>
      <c r="AG30" s="1781"/>
      <c r="AI30" s="1781"/>
      <c r="AJ30" s="1781"/>
      <c r="AK30" s="1781"/>
      <c r="AL30" s="1781"/>
      <c r="AM30" s="1781"/>
      <c r="AN30" s="1781"/>
      <c r="AO30" s="1781"/>
    </row>
    <row r="31" spans="1:41" s="1599" customFormat="1" ht="18.75" customHeight="1">
      <c r="A31" s="1800" t="s">
        <v>1897</v>
      </c>
      <c r="B31" s="1806" t="s">
        <v>2271</v>
      </c>
      <c r="C31" s="1779"/>
      <c r="D31" s="1780"/>
      <c r="E31" s="1803"/>
      <c r="F31" s="1675"/>
      <c r="G31" s="1627"/>
      <c r="H31" s="1780"/>
      <c r="I31" s="1667"/>
      <c r="J31" s="1666"/>
      <c r="K31" s="1666"/>
      <c r="L31" s="1666"/>
      <c r="M31" s="1665"/>
      <c r="N31" s="1664"/>
      <c r="O31" s="1674"/>
      <c r="P31" s="1802"/>
      <c r="R31" s="1656"/>
      <c r="S31" s="1656"/>
      <c r="T31" s="1656"/>
      <c r="V31" s="1656"/>
      <c r="W31" s="1781"/>
      <c r="X31" s="1781"/>
      <c r="Y31" s="1781"/>
      <c r="Z31" s="1656"/>
      <c r="AA31" s="1781"/>
      <c r="AB31" s="1781"/>
      <c r="AC31" s="1781"/>
      <c r="AD31" s="1781"/>
      <c r="AE31" s="1781"/>
      <c r="AF31" s="1781"/>
      <c r="AG31" s="1781"/>
      <c r="AI31" s="1781"/>
      <c r="AJ31" s="1781"/>
      <c r="AK31" s="1781"/>
      <c r="AL31" s="1781"/>
      <c r="AM31" s="1781"/>
      <c r="AN31" s="1781"/>
      <c r="AO31" s="1781"/>
    </row>
    <row r="32" spans="1:41" s="1599" customFormat="1" ht="18.75" customHeight="1">
      <c r="A32" s="1800"/>
      <c r="B32" s="1807"/>
      <c r="C32" s="1779"/>
      <c r="D32" s="1780"/>
      <c r="E32" s="1803"/>
      <c r="F32" s="1808"/>
      <c r="G32" s="1802"/>
      <c r="H32" s="1780"/>
      <c r="I32" s="1667"/>
      <c r="J32" s="1666"/>
      <c r="K32" s="1666"/>
      <c r="L32" s="1666"/>
      <c r="M32" s="1665"/>
      <c r="N32" s="1664"/>
      <c r="O32" s="1674"/>
      <c r="P32" s="1802"/>
      <c r="R32" s="1685"/>
      <c r="S32" s="1685"/>
      <c r="T32" s="1685"/>
      <c r="V32" s="1685"/>
      <c r="W32" s="1781"/>
      <c r="X32" s="1781"/>
      <c r="Y32" s="1781"/>
      <c r="Z32" s="1684"/>
      <c r="AA32" s="1781"/>
      <c r="AB32" s="1781"/>
      <c r="AC32" s="1781"/>
      <c r="AD32" s="1781"/>
      <c r="AE32" s="1781"/>
      <c r="AF32" s="1781"/>
      <c r="AG32" s="1781"/>
      <c r="AI32" s="1781"/>
      <c r="AJ32" s="1781"/>
      <c r="AK32" s="1781"/>
      <c r="AL32" s="1781"/>
      <c r="AM32" s="1781"/>
      <c r="AN32" s="1781"/>
      <c r="AO32" s="1781"/>
    </row>
    <row r="33" spans="1:41" s="1599" customFormat="1" ht="18.75" customHeight="1">
      <c r="A33" s="1800" t="s">
        <v>237</v>
      </c>
      <c r="B33" s="1809" t="s">
        <v>1974</v>
      </c>
      <c r="C33" s="1779"/>
      <c r="D33" s="1780"/>
      <c r="E33" s="1803"/>
      <c r="F33" s="1675"/>
      <c r="G33" s="1627"/>
      <c r="H33" s="1780"/>
      <c r="I33" s="1667"/>
      <c r="J33" s="1666"/>
      <c r="K33" s="1666"/>
      <c r="L33" s="1666"/>
      <c r="M33" s="1665"/>
      <c r="N33" s="1664"/>
      <c r="O33" s="1674"/>
      <c r="P33" s="1628"/>
      <c r="R33" s="1656"/>
      <c r="S33" s="1656"/>
      <c r="T33" s="1656"/>
      <c r="V33" s="1656"/>
      <c r="W33" s="1781"/>
      <c r="X33" s="1781"/>
      <c r="Y33" s="1781"/>
      <c r="Z33" s="1656"/>
      <c r="AA33" s="1781"/>
      <c r="AB33" s="1781"/>
      <c r="AC33" s="1781"/>
      <c r="AD33" s="1781"/>
      <c r="AE33" s="1781"/>
      <c r="AF33" s="1781"/>
      <c r="AG33" s="1781"/>
      <c r="AI33" s="1781"/>
      <c r="AN33" s="1781"/>
      <c r="AO33" s="1781"/>
    </row>
    <row r="34" spans="1:41" s="1599" customFormat="1" ht="18.75" customHeight="1">
      <c r="A34" s="1810">
        <v>1</v>
      </c>
      <c r="B34" s="1809" t="s">
        <v>2070</v>
      </c>
      <c r="C34" s="1779"/>
      <c r="D34" s="1780"/>
      <c r="E34" s="1803"/>
      <c r="F34" s="1803"/>
      <c r="G34" s="1804"/>
      <c r="H34" s="1780"/>
      <c r="I34" s="1667"/>
      <c r="J34" s="1666"/>
      <c r="K34" s="1666"/>
      <c r="L34" s="1666"/>
      <c r="M34" s="1665"/>
      <c r="N34" s="1664"/>
      <c r="O34" s="1664"/>
      <c r="P34" s="1804"/>
      <c r="R34" s="1656"/>
      <c r="S34" s="1656"/>
      <c r="T34" s="1656"/>
      <c r="V34" s="1656"/>
      <c r="W34" s="1781"/>
      <c r="X34" s="1781"/>
      <c r="Y34" s="1781"/>
      <c r="Z34" s="1656"/>
      <c r="AA34" s="1781"/>
      <c r="AB34" s="1781"/>
      <c r="AC34" s="1781"/>
      <c r="AD34" s="1781"/>
      <c r="AE34" s="1781"/>
      <c r="AF34" s="1781"/>
      <c r="AG34" s="1781"/>
      <c r="AI34" s="1781"/>
      <c r="AJ34" s="1811">
        <f>SUMPRODUCT(H36:H96,V36:V96)</f>
        <v>0</v>
      </c>
      <c r="AK34" s="1781"/>
      <c r="AL34" s="1811">
        <f>SUMPRODUCT(H36:H96,Z36:Z96)</f>
        <v>0</v>
      </c>
      <c r="AM34" s="1781" t="s">
        <v>1968</v>
      </c>
      <c r="AN34" s="1781"/>
      <c r="AO34" s="1781"/>
    </row>
    <row r="35" spans="1:41" s="1599" customFormat="1" ht="18.75" customHeight="1">
      <c r="A35" s="1810"/>
      <c r="B35" s="2654" t="str">
        <f>CONCATENATE(" - Poer ",G35)</f>
        <v xml:space="preserve"> - Poer PC.1</v>
      </c>
      <c r="C35" s="1779"/>
      <c r="D35" s="1780"/>
      <c r="E35" s="2655"/>
      <c r="F35" s="1803"/>
      <c r="G35" s="1681" t="s">
        <v>2304</v>
      </c>
      <c r="H35" s="1780"/>
      <c r="I35" s="2017"/>
      <c r="J35" s="1666"/>
      <c r="K35" s="1666"/>
      <c r="L35" s="1666"/>
      <c r="M35" s="1665"/>
      <c r="N35" s="1664"/>
      <c r="O35" s="1664"/>
      <c r="P35" s="1804"/>
      <c r="R35" s="1656"/>
      <c r="S35" s="1656"/>
      <c r="T35" s="1656"/>
      <c r="V35" s="1656"/>
      <c r="W35" s="1781"/>
      <c r="X35" s="1781"/>
      <c r="Y35" s="1781"/>
      <c r="Z35" s="1656"/>
      <c r="AA35" s="1781"/>
      <c r="AB35" s="1781"/>
      <c r="AC35" s="1781"/>
      <c r="AD35" s="1781"/>
      <c r="AE35" s="1781"/>
      <c r="AF35" s="1781"/>
      <c r="AG35" s="1781"/>
      <c r="AI35" s="1781"/>
      <c r="AJ35" s="1811"/>
      <c r="AK35" s="1781"/>
      <c r="AL35" s="1811"/>
      <c r="AM35" s="1781"/>
      <c r="AN35" s="1781"/>
      <c r="AO35" s="1781"/>
    </row>
    <row r="36" spans="1:41" s="1599" customFormat="1" ht="18.75" customHeight="1">
      <c r="A36" s="2647"/>
      <c r="B36" s="1778" t="s">
        <v>2373</v>
      </c>
      <c r="C36" s="1779" t="s">
        <v>1969</v>
      </c>
      <c r="D36" s="1780">
        <f>H36*'REKAP RAB'!$K$3</f>
        <v>3.125</v>
      </c>
      <c r="E36" s="1622">
        <f>N36*'REKAP RAB'!$O$5</f>
        <v>2631890</v>
      </c>
      <c r="F36" s="1682">
        <f t="shared" ref="F36:F96" si="15">D36*E36</f>
        <v>8224656.25</v>
      </c>
      <c r="G36" s="1681"/>
      <c r="H36" s="1780">
        <f>'REKAP-PC'!B11</f>
        <v>3.125</v>
      </c>
      <c r="I36" s="1667">
        <f t="shared" ref="I36:I99" si="16">AF36</f>
        <v>1398600</v>
      </c>
      <c r="J36" s="1666">
        <f t="shared" ref="J36:J99" si="17">AG36</f>
        <v>800000</v>
      </c>
      <c r="K36" s="1666">
        <f t="shared" ref="K36:K99" si="18">AH36</f>
        <v>90000</v>
      </c>
      <c r="L36" s="1666"/>
      <c r="M36" s="1665"/>
      <c r="N36" s="1664">
        <f t="shared" ref="N36:N99" si="19">SUM(I36:M36)</f>
        <v>2288600</v>
      </c>
      <c r="O36" s="1664">
        <f t="shared" ref="O36:O99" si="20">H36*N36</f>
        <v>7151875</v>
      </c>
      <c r="P36" s="1670"/>
      <c r="R36" s="1670">
        <f>Analisa!$F$177</f>
        <v>1398600</v>
      </c>
      <c r="S36" s="1670">
        <f>Analisa!$G$177</f>
        <v>800000</v>
      </c>
      <c r="T36" s="1670">
        <f>Analisa!$H$177</f>
        <v>90000</v>
      </c>
      <c r="V36" s="1656"/>
      <c r="W36" s="1688"/>
      <c r="X36" s="1688"/>
      <c r="Y36" s="1781"/>
      <c r="Z36" s="1656"/>
      <c r="AA36" s="1670"/>
      <c r="AB36" s="1670"/>
      <c r="AC36" s="1670"/>
      <c r="AD36" s="1781"/>
      <c r="AE36" s="1781"/>
      <c r="AF36" s="1670">
        <f t="shared" ref="AF36:AF99" si="21">R36+V36*W36+Z36*AA36</f>
        <v>1398600</v>
      </c>
      <c r="AG36" s="1670">
        <f t="shared" ref="AG36:AG99" si="22">S36</f>
        <v>800000</v>
      </c>
      <c r="AH36" s="1670">
        <f t="shared" ref="AH36:AH99" si="23">T36+V36*X36</f>
        <v>90000</v>
      </c>
      <c r="AI36" s="1670"/>
      <c r="AN36" s="1781"/>
      <c r="AO36" s="1781"/>
    </row>
    <row r="37" spans="1:41" s="1599" customFormat="1" ht="18.75" customHeight="1">
      <c r="A37" s="2647"/>
      <c r="B37" s="2653" t="s">
        <v>2369</v>
      </c>
      <c r="C37" s="1779" t="s">
        <v>53</v>
      </c>
      <c r="D37" s="1780">
        <f>H37*'REKAP RAB'!$K$3</f>
        <v>558.24198299999989</v>
      </c>
      <c r="E37" s="1622">
        <f>N37*'REKAP RAB'!$O$5</f>
        <v>12008.874999999998</v>
      </c>
      <c r="F37" s="1682">
        <f t="shared" ref="F37:F40" si="24">D37*E37</f>
        <v>6703858.1935991226</v>
      </c>
      <c r="G37" s="1681"/>
      <c r="H37" s="1780">
        <f>'REKAP-PC'!M11</f>
        <v>558.24198299999989</v>
      </c>
      <c r="I37" s="1667">
        <f t="shared" ref="I37:I40" si="25">AF37</f>
        <v>10442.5</v>
      </c>
      <c r="J37" s="1666">
        <f t="shared" ref="J37:J40" si="26">AG37</f>
        <v>0</v>
      </c>
      <c r="K37" s="1666">
        <f t="shared" ref="K37:K40" si="27">AH37</f>
        <v>0</v>
      </c>
      <c r="L37" s="1666"/>
      <c r="M37" s="1665"/>
      <c r="N37" s="1664">
        <f t="shared" ref="N37:N40" si="28">SUM(I37:M37)</f>
        <v>10442.5</v>
      </c>
      <c r="O37" s="1664">
        <f t="shared" ref="O37:O40" si="29">H37*N37</f>
        <v>5829441.907477499</v>
      </c>
      <c r="P37" s="1670"/>
      <c r="R37" s="1670">
        <f>Analisa!$F$233</f>
        <v>10442.5</v>
      </c>
      <c r="S37" s="1670"/>
      <c r="T37" s="1670"/>
      <c r="V37" s="1656"/>
      <c r="W37" s="1688"/>
      <c r="X37" s="1688"/>
      <c r="Y37" s="1781"/>
      <c r="Z37" s="1656"/>
      <c r="AA37" s="1670"/>
      <c r="AB37" s="1670"/>
      <c r="AC37" s="1670"/>
      <c r="AD37" s="1781"/>
      <c r="AE37" s="1781"/>
      <c r="AF37" s="1670">
        <f t="shared" ref="AF37:AF40" si="30">R37+V37*W37+Z37*AA37</f>
        <v>10442.5</v>
      </c>
      <c r="AG37" s="1670">
        <f t="shared" ref="AG37:AG40" si="31">S37</f>
        <v>0</v>
      </c>
      <c r="AH37" s="1670">
        <f t="shared" ref="AH37:AH40" si="32">T37+V37*X37</f>
        <v>0</v>
      </c>
      <c r="AI37" s="1670"/>
      <c r="AN37" s="1781"/>
      <c r="AO37" s="1781"/>
    </row>
    <row r="38" spans="1:41" s="1599" customFormat="1" ht="18.75" customHeight="1">
      <c r="A38" s="2647"/>
      <c r="B38" s="2653" t="s">
        <v>2370</v>
      </c>
      <c r="C38" s="1779" t="s">
        <v>53</v>
      </c>
      <c r="D38" s="1780">
        <f>H38*'REKAP RAB'!$K$3</f>
        <v>0</v>
      </c>
      <c r="E38" s="1622">
        <f>N38*'REKAP RAB'!$O$5</f>
        <v>12008.874999999998</v>
      </c>
      <c r="F38" s="1682">
        <f t="shared" si="24"/>
        <v>0</v>
      </c>
      <c r="G38" s="1681"/>
      <c r="H38" s="1780">
        <f>'REKAP-PC'!N11</f>
        <v>0</v>
      </c>
      <c r="I38" s="1667">
        <f t="shared" si="25"/>
        <v>10442.5</v>
      </c>
      <c r="J38" s="1666">
        <f t="shared" si="26"/>
        <v>0</v>
      </c>
      <c r="K38" s="1666">
        <f t="shared" si="27"/>
        <v>0</v>
      </c>
      <c r="L38" s="1666"/>
      <c r="M38" s="1665"/>
      <c r="N38" s="1664">
        <f t="shared" si="28"/>
        <v>10442.5</v>
      </c>
      <c r="O38" s="1664">
        <f t="shared" si="29"/>
        <v>0</v>
      </c>
      <c r="P38" s="1670"/>
      <c r="R38" s="1670">
        <f>Analisa!$F$233</f>
        <v>10442.5</v>
      </c>
      <c r="S38" s="1670"/>
      <c r="T38" s="1670"/>
      <c r="V38" s="1656"/>
      <c r="W38" s="1688"/>
      <c r="X38" s="1688"/>
      <c r="Y38" s="1781"/>
      <c r="Z38" s="1656"/>
      <c r="AA38" s="1670"/>
      <c r="AB38" s="1670"/>
      <c r="AC38" s="1670"/>
      <c r="AD38" s="1781"/>
      <c r="AE38" s="1781"/>
      <c r="AF38" s="1670">
        <f t="shared" si="30"/>
        <v>10442.5</v>
      </c>
      <c r="AG38" s="1670">
        <f t="shared" si="31"/>
        <v>0</v>
      </c>
      <c r="AH38" s="1670">
        <f t="shared" si="32"/>
        <v>0</v>
      </c>
      <c r="AI38" s="1670"/>
      <c r="AN38" s="1781"/>
      <c r="AO38" s="1781"/>
    </row>
    <row r="39" spans="1:41" s="1599" customFormat="1" ht="18.75" customHeight="1">
      <c r="A39" s="2647"/>
      <c r="B39" s="2653" t="s">
        <v>2371</v>
      </c>
      <c r="C39" s="1779" t="s">
        <v>53</v>
      </c>
      <c r="D39" s="1780">
        <f>H39*'REKAP RAB'!$K$3</f>
        <v>0</v>
      </c>
      <c r="E39" s="1622">
        <f>N39*'REKAP RAB'!$O$5</f>
        <v>12008.874999999998</v>
      </c>
      <c r="F39" s="1682">
        <f t="shared" si="24"/>
        <v>0</v>
      </c>
      <c r="G39" s="1681"/>
      <c r="H39" s="1780">
        <f>'REKAP-PC'!O11</f>
        <v>0</v>
      </c>
      <c r="I39" s="1667">
        <f t="shared" si="25"/>
        <v>10442.5</v>
      </c>
      <c r="J39" s="1666">
        <f t="shared" si="26"/>
        <v>0</v>
      </c>
      <c r="K39" s="1666">
        <f t="shared" si="27"/>
        <v>0</v>
      </c>
      <c r="L39" s="1666"/>
      <c r="M39" s="1665"/>
      <c r="N39" s="1664">
        <f t="shared" si="28"/>
        <v>10442.5</v>
      </c>
      <c r="O39" s="1664">
        <f t="shared" si="29"/>
        <v>0</v>
      </c>
      <c r="P39" s="1670"/>
      <c r="R39" s="1670">
        <f>Analisa!$F$233</f>
        <v>10442.5</v>
      </c>
      <c r="S39" s="1670"/>
      <c r="T39" s="1670"/>
      <c r="V39" s="1656"/>
      <c r="W39" s="1688"/>
      <c r="X39" s="1688"/>
      <c r="Y39" s="1781"/>
      <c r="Z39" s="1656"/>
      <c r="AA39" s="1670"/>
      <c r="AB39" s="1670"/>
      <c r="AC39" s="1670"/>
      <c r="AD39" s="1781"/>
      <c r="AE39" s="1781"/>
      <c r="AF39" s="1670">
        <f t="shared" si="30"/>
        <v>10442.5</v>
      </c>
      <c r="AG39" s="1670">
        <f t="shared" si="31"/>
        <v>0</v>
      </c>
      <c r="AH39" s="1670">
        <f t="shared" si="32"/>
        <v>0</v>
      </c>
      <c r="AI39" s="1670"/>
      <c r="AN39" s="1781"/>
      <c r="AO39" s="1781"/>
    </row>
    <row r="40" spans="1:41" s="1599" customFormat="1" ht="18.75" customHeight="1">
      <c r="A40" s="2647"/>
      <c r="B40" s="2653" t="s">
        <v>2372</v>
      </c>
      <c r="C40" s="1779" t="s">
        <v>1936</v>
      </c>
      <c r="D40" s="1780">
        <f>H40*'REKAP RAB'!$K$3</f>
        <v>25</v>
      </c>
      <c r="E40" s="1622">
        <f>N40*'REKAP RAB'!$O$5</f>
        <v>100187.63085</v>
      </c>
      <c r="F40" s="1682">
        <f t="shared" si="24"/>
        <v>2504690.7712500002</v>
      </c>
      <c r="G40" s="1681"/>
      <c r="H40" s="1780">
        <f>'REKAP-PC'!C11</f>
        <v>25</v>
      </c>
      <c r="I40" s="1667">
        <f t="shared" si="25"/>
        <v>87119.679000000004</v>
      </c>
      <c r="J40" s="1666">
        <f t="shared" si="26"/>
        <v>0</v>
      </c>
      <c r="K40" s="1666">
        <f t="shared" si="27"/>
        <v>0</v>
      </c>
      <c r="L40" s="1666"/>
      <c r="M40" s="1665"/>
      <c r="N40" s="1664">
        <f t="shared" si="28"/>
        <v>87119.679000000004</v>
      </c>
      <c r="O40" s="1664">
        <f t="shared" si="29"/>
        <v>2177991.9750000001</v>
      </c>
      <c r="P40" s="1670"/>
      <c r="R40" s="1670">
        <f>Analisa!F$115</f>
        <v>87119.679000000004</v>
      </c>
      <c r="S40" s="1670"/>
      <c r="T40" s="1670"/>
      <c r="V40" s="1656"/>
      <c r="W40" s="1688"/>
      <c r="X40" s="1688"/>
      <c r="Y40" s="1781"/>
      <c r="Z40" s="1656"/>
      <c r="AA40" s="1670"/>
      <c r="AB40" s="1670"/>
      <c r="AC40" s="1670"/>
      <c r="AD40" s="1781"/>
      <c r="AE40" s="1781"/>
      <c r="AF40" s="1670">
        <f t="shared" si="30"/>
        <v>87119.679000000004</v>
      </c>
      <c r="AG40" s="1670">
        <f t="shared" si="31"/>
        <v>0</v>
      </c>
      <c r="AH40" s="1670">
        <f t="shared" si="32"/>
        <v>0</v>
      </c>
      <c r="AI40" s="1670"/>
      <c r="AN40" s="1781"/>
      <c r="AO40" s="1781"/>
    </row>
    <row r="41" spans="1:41" s="1599" customFormat="1" ht="18.75" customHeight="1">
      <c r="A41" s="2647"/>
      <c r="B41" s="1778" t="str">
        <f t="shared" ref="B41:B60" si="33">CONCATENATE(" - Poer ",G41)</f>
        <v xml:space="preserve"> - Poer PC.2</v>
      </c>
      <c r="C41" s="1779"/>
      <c r="D41" s="1780"/>
      <c r="E41" s="1622"/>
      <c r="F41" s="1682"/>
      <c r="G41" s="1681" t="s">
        <v>2305</v>
      </c>
      <c r="H41" s="1780"/>
      <c r="I41" s="2017"/>
      <c r="J41" s="1666"/>
      <c r="K41" s="1666"/>
      <c r="L41" s="1666"/>
      <c r="M41" s="1665"/>
      <c r="N41" s="1664"/>
      <c r="O41" s="1664"/>
      <c r="P41" s="1670"/>
      <c r="R41" s="1670"/>
      <c r="S41" s="1670"/>
      <c r="T41" s="1670"/>
      <c r="V41" s="1656"/>
      <c r="W41" s="1688"/>
      <c r="X41" s="1688"/>
      <c r="Y41" s="1781"/>
      <c r="Z41" s="1656"/>
      <c r="AA41" s="1670"/>
      <c r="AB41" s="1670"/>
      <c r="AC41" s="1670"/>
      <c r="AD41" s="1781"/>
      <c r="AE41" s="1781"/>
      <c r="AF41" s="1670"/>
      <c r="AG41" s="1670"/>
      <c r="AH41" s="1670"/>
      <c r="AI41" s="1670"/>
      <c r="AN41" s="1781"/>
      <c r="AO41" s="1781"/>
    </row>
    <row r="42" spans="1:41" s="1599" customFormat="1" ht="18.75" customHeight="1">
      <c r="A42" s="2647"/>
      <c r="B42" s="1778" t="s">
        <v>2373</v>
      </c>
      <c r="C42" s="1779" t="s">
        <v>1969</v>
      </c>
      <c r="D42" s="1780">
        <f>H42*'REKAP RAB'!$K$3</f>
        <v>0.33</v>
      </c>
      <c r="E42" s="1622">
        <f>N42*'REKAP RAB'!$O$5</f>
        <v>2631890</v>
      </c>
      <c r="F42" s="1682">
        <f t="shared" si="15"/>
        <v>868523.70000000007</v>
      </c>
      <c r="G42" s="1681"/>
      <c r="H42" s="1780">
        <f>'REKAP-PC'!B12</f>
        <v>0.33</v>
      </c>
      <c r="I42" s="1667">
        <f t="shared" si="16"/>
        <v>1398600</v>
      </c>
      <c r="J42" s="1666">
        <f t="shared" si="17"/>
        <v>800000</v>
      </c>
      <c r="K42" s="1666">
        <f t="shared" si="18"/>
        <v>90000</v>
      </c>
      <c r="L42" s="1666"/>
      <c r="M42" s="1665"/>
      <c r="N42" s="1664">
        <f t="shared" si="19"/>
        <v>2288600</v>
      </c>
      <c r="O42" s="1664">
        <f t="shared" si="20"/>
        <v>755238</v>
      </c>
      <c r="P42" s="1670"/>
      <c r="R42" s="1670">
        <f>Analisa!$F$177</f>
        <v>1398600</v>
      </c>
      <c r="S42" s="1670">
        <f>Analisa!$G$177</f>
        <v>800000</v>
      </c>
      <c r="T42" s="1670">
        <f>Analisa!$H$177</f>
        <v>90000</v>
      </c>
      <c r="V42" s="1656"/>
      <c r="W42" s="1688"/>
      <c r="X42" s="1688"/>
      <c r="Y42" s="1781"/>
      <c r="Z42" s="1656"/>
      <c r="AA42" s="1670"/>
      <c r="AB42" s="1670"/>
      <c r="AC42" s="1670"/>
      <c r="AD42" s="1781"/>
      <c r="AE42" s="1781"/>
      <c r="AF42" s="1670">
        <f t="shared" ref="AF42:AF45" si="34">R42+V42*W42+Z42*AA42</f>
        <v>1398600</v>
      </c>
      <c r="AG42" s="1670">
        <f t="shared" ref="AG42:AG45" si="35">S42</f>
        <v>800000</v>
      </c>
      <c r="AH42" s="1670">
        <f t="shared" ref="AH42:AH45" si="36">T42+V42*X42</f>
        <v>90000</v>
      </c>
      <c r="AI42" s="1670"/>
      <c r="AJ42" s="1781"/>
      <c r="AK42" s="1781"/>
      <c r="AL42" s="1781"/>
      <c r="AM42" s="1781"/>
      <c r="AN42" s="1781"/>
      <c r="AO42" s="1781"/>
    </row>
    <row r="43" spans="1:41" s="1599" customFormat="1" ht="18.75" customHeight="1">
      <c r="A43" s="2647"/>
      <c r="B43" s="2653" t="s">
        <v>2369</v>
      </c>
      <c r="C43" s="1779" t="s">
        <v>53</v>
      </c>
      <c r="D43" s="1780">
        <f>H43*'REKAP RAB'!$K$3</f>
        <v>30.081303720000001</v>
      </c>
      <c r="E43" s="1622">
        <f>N43*'REKAP RAB'!$O$5</f>
        <v>12008.874999999998</v>
      </c>
      <c r="F43" s="1682">
        <f t="shared" ref="F43:F46" si="37">D43*E43</f>
        <v>361242.61621051497</v>
      </c>
      <c r="G43" s="1681"/>
      <c r="H43" s="1780">
        <f>'REKAP-PC'!M12</f>
        <v>30.081303720000001</v>
      </c>
      <c r="I43" s="1667">
        <f t="shared" si="16"/>
        <v>10442.5</v>
      </c>
      <c r="J43" s="1666">
        <f t="shared" si="17"/>
        <v>0</v>
      </c>
      <c r="K43" s="1666">
        <f t="shared" si="18"/>
        <v>0</v>
      </c>
      <c r="L43" s="1666"/>
      <c r="M43" s="1665"/>
      <c r="N43" s="1664">
        <f t="shared" si="19"/>
        <v>10442.5</v>
      </c>
      <c r="O43" s="1664">
        <f t="shared" si="20"/>
        <v>314124.0140961</v>
      </c>
      <c r="P43" s="1670"/>
      <c r="R43" s="1670">
        <f>Analisa!$F$233</f>
        <v>10442.5</v>
      </c>
      <c r="S43" s="1670"/>
      <c r="T43" s="1670"/>
      <c r="V43" s="1656"/>
      <c r="W43" s="1688"/>
      <c r="X43" s="1688"/>
      <c r="Y43" s="1781"/>
      <c r="Z43" s="1656"/>
      <c r="AA43" s="1670"/>
      <c r="AB43" s="1670"/>
      <c r="AC43" s="1670"/>
      <c r="AD43" s="1781"/>
      <c r="AE43" s="1781"/>
      <c r="AF43" s="1670">
        <f t="shared" si="34"/>
        <v>10442.5</v>
      </c>
      <c r="AG43" s="1670">
        <f t="shared" si="35"/>
        <v>0</v>
      </c>
      <c r="AH43" s="1670">
        <f t="shared" si="36"/>
        <v>0</v>
      </c>
      <c r="AI43" s="1670"/>
      <c r="AJ43" s="1781"/>
      <c r="AK43" s="1781"/>
      <c r="AL43" s="1781"/>
      <c r="AM43" s="1781"/>
      <c r="AN43" s="1781"/>
      <c r="AO43" s="1781"/>
    </row>
    <row r="44" spans="1:41" s="1599" customFormat="1" ht="18.75" customHeight="1">
      <c r="A44" s="2647"/>
      <c r="B44" s="2653" t="s">
        <v>2370</v>
      </c>
      <c r="C44" s="1779" t="s">
        <v>53</v>
      </c>
      <c r="D44" s="1780">
        <f>H44*'REKAP RAB'!$K$3</f>
        <v>19.191398400000001</v>
      </c>
      <c r="E44" s="1622">
        <f>N44*'REKAP RAB'!$O$5</f>
        <v>12008.874999999998</v>
      </c>
      <c r="F44" s="1682">
        <f t="shared" si="37"/>
        <v>230467.10446079998</v>
      </c>
      <c r="G44" s="1681"/>
      <c r="H44" s="1780">
        <f>'REKAP-PC'!N12</f>
        <v>19.191398400000001</v>
      </c>
      <c r="I44" s="1667">
        <f t="shared" si="16"/>
        <v>10442.5</v>
      </c>
      <c r="J44" s="1666">
        <f t="shared" si="17"/>
        <v>0</v>
      </c>
      <c r="K44" s="1666">
        <f t="shared" si="18"/>
        <v>0</v>
      </c>
      <c r="L44" s="1666"/>
      <c r="M44" s="1665"/>
      <c r="N44" s="1664">
        <f t="shared" si="19"/>
        <v>10442.5</v>
      </c>
      <c r="O44" s="1664">
        <f t="shared" si="20"/>
        <v>200406.177792</v>
      </c>
      <c r="P44" s="1670"/>
      <c r="R44" s="1670">
        <f>Analisa!$F$233</f>
        <v>10442.5</v>
      </c>
      <c r="S44" s="1670"/>
      <c r="T44" s="1670"/>
      <c r="V44" s="1656"/>
      <c r="W44" s="1688"/>
      <c r="X44" s="1688"/>
      <c r="Y44" s="1781"/>
      <c r="Z44" s="1656"/>
      <c r="AA44" s="1670"/>
      <c r="AB44" s="1670"/>
      <c r="AC44" s="1670"/>
      <c r="AD44" s="1781"/>
      <c r="AE44" s="1781"/>
      <c r="AF44" s="1670">
        <f t="shared" si="34"/>
        <v>10442.5</v>
      </c>
      <c r="AG44" s="1670">
        <f t="shared" si="35"/>
        <v>0</v>
      </c>
      <c r="AH44" s="1670">
        <f t="shared" si="36"/>
        <v>0</v>
      </c>
      <c r="AI44" s="1670"/>
      <c r="AJ44" s="1781"/>
      <c r="AK44" s="1781"/>
      <c r="AL44" s="1781"/>
      <c r="AM44" s="1781"/>
      <c r="AN44" s="1781"/>
      <c r="AO44" s="1781"/>
    </row>
    <row r="45" spans="1:41" s="1599" customFormat="1" ht="18.75" customHeight="1">
      <c r="A45" s="2647"/>
      <c r="B45" s="2653" t="s">
        <v>2371</v>
      </c>
      <c r="C45" s="1779" t="s">
        <v>53</v>
      </c>
      <c r="D45" s="1780">
        <f>H45*'REKAP RAB'!$K$3</f>
        <v>0</v>
      </c>
      <c r="E45" s="1622">
        <f>N45*'REKAP RAB'!$O$5</f>
        <v>12008.874999999998</v>
      </c>
      <c r="F45" s="1682">
        <f t="shared" si="37"/>
        <v>0</v>
      </c>
      <c r="G45" s="1681"/>
      <c r="H45" s="1780">
        <f>'REKAP-PC'!O12</f>
        <v>0</v>
      </c>
      <c r="I45" s="1667">
        <f t="shared" si="16"/>
        <v>10442.5</v>
      </c>
      <c r="J45" s="1666">
        <f t="shared" si="17"/>
        <v>0</v>
      </c>
      <c r="K45" s="1666">
        <f t="shared" si="18"/>
        <v>0</v>
      </c>
      <c r="L45" s="1666"/>
      <c r="M45" s="1665"/>
      <c r="N45" s="1664">
        <f t="shared" si="19"/>
        <v>10442.5</v>
      </c>
      <c r="O45" s="1664">
        <f t="shared" si="20"/>
        <v>0</v>
      </c>
      <c r="P45" s="1670"/>
      <c r="R45" s="1670">
        <f>Analisa!$F$233</f>
        <v>10442.5</v>
      </c>
      <c r="S45" s="1670"/>
      <c r="T45" s="1670"/>
      <c r="V45" s="1656"/>
      <c r="W45" s="1688"/>
      <c r="X45" s="1688"/>
      <c r="Y45" s="1781"/>
      <c r="Z45" s="1656"/>
      <c r="AA45" s="1670"/>
      <c r="AB45" s="1670"/>
      <c r="AC45" s="1670"/>
      <c r="AD45" s="1781"/>
      <c r="AE45" s="1781"/>
      <c r="AF45" s="1670">
        <f t="shared" si="34"/>
        <v>10442.5</v>
      </c>
      <c r="AG45" s="1670">
        <f t="shared" si="35"/>
        <v>0</v>
      </c>
      <c r="AH45" s="1670">
        <f t="shared" si="36"/>
        <v>0</v>
      </c>
      <c r="AI45" s="1670"/>
      <c r="AJ45" s="1781"/>
      <c r="AK45" s="1781"/>
      <c r="AL45" s="1781"/>
      <c r="AM45" s="1781"/>
      <c r="AN45" s="1781"/>
      <c r="AO45" s="1781"/>
    </row>
    <row r="46" spans="1:41" s="1599" customFormat="1" ht="18.75" customHeight="1">
      <c r="A46" s="2647"/>
      <c r="B46" s="2653" t="s">
        <v>2372</v>
      </c>
      <c r="C46" s="1779" t="s">
        <v>1936</v>
      </c>
      <c r="D46" s="1780">
        <f>H46*'REKAP RAB'!$K$3</f>
        <v>1.92</v>
      </c>
      <c r="E46" s="1622">
        <f>N46*'REKAP RAB'!$O$5</f>
        <v>100187.63085</v>
      </c>
      <c r="F46" s="1682">
        <f t="shared" si="37"/>
        <v>192360.25123200001</v>
      </c>
      <c r="G46" s="1681"/>
      <c r="H46" s="1780">
        <f>'REKAP-PC'!C12</f>
        <v>1.92</v>
      </c>
      <c r="I46" s="1667">
        <f t="shared" si="16"/>
        <v>87119.679000000004</v>
      </c>
      <c r="J46" s="1666">
        <f t="shared" si="17"/>
        <v>0</v>
      </c>
      <c r="K46" s="1666">
        <f t="shared" si="18"/>
        <v>0</v>
      </c>
      <c r="L46" s="1666"/>
      <c r="M46" s="1665"/>
      <c r="N46" s="1664">
        <f t="shared" si="19"/>
        <v>87119.679000000004</v>
      </c>
      <c r="O46" s="1664">
        <f t="shared" si="20"/>
        <v>167269.78367999999</v>
      </c>
      <c r="P46" s="1670"/>
      <c r="R46" s="1670">
        <f>Analisa!F$115</f>
        <v>87119.679000000004</v>
      </c>
      <c r="S46" s="1670"/>
      <c r="T46" s="1670"/>
      <c r="V46" s="1656"/>
      <c r="W46" s="1688"/>
      <c r="X46" s="1688"/>
      <c r="Y46" s="1781"/>
      <c r="Z46" s="1656"/>
      <c r="AA46" s="1670"/>
      <c r="AB46" s="1670"/>
      <c r="AC46" s="1670"/>
      <c r="AD46" s="1781"/>
      <c r="AE46" s="1781"/>
      <c r="AF46" s="1670">
        <f t="shared" ref="AF46" si="38">R46+V46*W46+Z46*AA46</f>
        <v>87119.679000000004</v>
      </c>
      <c r="AG46" s="1670">
        <f t="shared" ref="AG46" si="39">S46</f>
        <v>0</v>
      </c>
      <c r="AH46" s="1670">
        <f t="shared" ref="AH46" si="40">T46+V46*X46</f>
        <v>0</v>
      </c>
      <c r="AI46" s="1670"/>
      <c r="AJ46" s="1781"/>
      <c r="AK46" s="1781"/>
      <c r="AL46" s="1781"/>
      <c r="AM46" s="1781"/>
      <c r="AN46" s="1781"/>
      <c r="AO46" s="1781"/>
    </row>
    <row r="47" spans="1:41" s="1599" customFormat="1" ht="18.75" customHeight="1">
      <c r="A47" s="2647"/>
      <c r="B47" s="1778" t="str">
        <f t="shared" si="33"/>
        <v xml:space="preserve"> - Poer PC.3</v>
      </c>
      <c r="C47" s="1779"/>
      <c r="D47" s="1780"/>
      <c r="E47" s="1622"/>
      <c r="F47" s="1682"/>
      <c r="G47" s="1681" t="s">
        <v>104</v>
      </c>
      <c r="H47" s="1780"/>
      <c r="I47" s="2017"/>
      <c r="J47" s="1666"/>
      <c r="K47" s="1666"/>
      <c r="L47" s="1666"/>
      <c r="M47" s="1665"/>
      <c r="N47" s="1664"/>
      <c r="O47" s="1664"/>
      <c r="P47" s="1670"/>
      <c r="R47" s="1670"/>
      <c r="S47" s="1670"/>
      <c r="T47" s="1670"/>
      <c r="V47" s="1656"/>
      <c r="W47" s="1688"/>
      <c r="X47" s="1688"/>
      <c r="Y47" s="1781"/>
      <c r="Z47" s="1656"/>
      <c r="AA47" s="1670"/>
      <c r="AB47" s="1670"/>
      <c r="AC47" s="1670"/>
      <c r="AD47" s="1781"/>
      <c r="AE47" s="1781"/>
      <c r="AF47" s="1670"/>
      <c r="AG47" s="1670"/>
      <c r="AH47" s="1670"/>
      <c r="AI47" s="1670"/>
      <c r="AJ47" s="1781"/>
      <c r="AK47" s="1781"/>
      <c r="AL47" s="1781"/>
      <c r="AM47" s="1781"/>
      <c r="AN47" s="1781"/>
      <c r="AO47" s="1781"/>
    </row>
    <row r="48" spans="1:41" s="1599" customFormat="1" ht="18.75" customHeight="1">
      <c r="A48" s="2647"/>
      <c r="B48" s="1778" t="s">
        <v>2373</v>
      </c>
      <c r="C48" s="1779" t="s">
        <v>1969</v>
      </c>
      <c r="D48" s="1780">
        <f>H48*'REKAP RAB'!$K$3</f>
        <v>4.0223424000000003</v>
      </c>
      <c r="E48" s="1622">
        <f>N48*'REKAP RAB'!$O$5</f>
        <v>2631890</v>
      </c>
      <c r="F48" s="1682">
        <f t="shared" si="15"/>
        <v>10586362.739136001</v>
      </c>
      <c r="G48" s="1681"/>
      <c r="H48" s="1780">
        <f>'REKAP-PC'!B13</f>
        <v>4.0223424000000003</v>
      </c>
      <c r="I48" s="1667">
        <f t="shared" si="16"/>
        <v>1398600</v>
      </c>
      <c r="J48" s="1666">
        <f t="shared" si="17"/>
        <v>800000</v>
      </c>
      <c r="K48" s="1666">
        <f t="shared" si="18"/>
        <v>90000</v>
      </c>
      <c r="L48" s="1666"/>
      <c r="M48" s="1665"/>
      <c r="N48" s="1664">
        <f t="shared" si="19"/>
        <v>2288600</v>
      </c>
      <c r="O48" s="1664">
        <f t="shared" si="20"/>
        <v>9205532.8166400008</v>
      </c>
      <c r="P48" s="1670"/>
      <c r="R48" s="1670">
        <f>Analisa!$F$177</f>
        <v>1398600</v>
      </c>
      <c r="S48" s="1670">
        <f>Analisa!$G$177</f>
        <v>800000</v>
      </c>
      <c r="T48" s="1670">
        <f>Analisa!$H$177</f>
        <v>90000</v>
      </c>
      <c r="V48" s="1656"/>
      <c r="W48" s="1688"/>
      <c r="X48" s="1688"/>
      <c r="Y48" s="1781"/>
      <c r="Z48" s="1656"/>
      <c r="AA48" s="1670"/>
      <c r="AB48" s="1670"/>
      <c r="AC48" s="1670"/>
      <c r="AD48" s="1781"/>
      <c r="AE48" s="1781"/>
      <c r="AF48" s="1670">
        <f t="shared" si="21"/>
        <v>1398600</v>
      </c>
      <c r="AG48" s="1670">
        <f t="shared" si="22"/>
        <v>800000</v>
      </c>
      <c r="AH48" s="1670">
        <f t="shared" si="23"/>
        <v>90000</v>
      </c>
      <c r="AI48" s="1670"/>
      <c r="AJ48" s="1781"/>
      <c r="AK48" s="1781"/>
      <c r="AL48" s="1781"/>
      <c r="AM48" s="1781"/>
      <c r="AN48" s="1781"/>
      <c r="AO48" s="1781"/>
    </row>
    <row r="49" spans="1:41" s="1599" customFormat="1" ht="18.75" customHeight="1">
      <c r="A49" s="2647"/>
      <c r="B49" s="2653" t="s">
        <v>2369</v>
      </c>
      <c r="C49" s="1779" t="s">
        <v>53</v>
      </c>
      <c r="D49" s="1780">
        <f>H49*'REKAP RAB'!$K$3</f>
        <v>265.17448521522908</v>
      </c>
      <c r="E49" s="1622">
        <f>N49*'REKAP RAB'!$O$5</f>
        <v>12008.874999999998</v>
      </c>
      <c r="F49" s="1682">
        <f t="shared" ref="F49:F52" si="41">D49*E49</f>
        <v>3184447.2461390337</v>
      </c>
      <c r="G49" s="1681"/>
      <c r="H49" s="1780">
        <f>'REKAP-PC'!M13</f>
        <v>265.17448521522908</v>
      </c>
      <c r="I49" s="1667">
        <f t="shared" si="16"/>
        <v>10442.5</v>
      </c>
      <c r="J49" s="1666">
        <f t="shared" si="17"/>
        <v>0</v>
      </c>
      <c r="K49" s="1666">
        <f t="shared" si="18"/>
        <v>0</v>
      </c>
      <c r="L49" s="1666"/>
      <c r="M49" s="1665"/>
      <c r="N49" s="1664">
        <f t="shared" si="19"/>
        <v>10442.5</v>
      </c>
      <c r="O49" s="1664">
        <f t="shared" si="20"/>
        <v>2769084.5618600296</v>
      </c>
      <c r="P49" s="1670"/>
      <c r="R49" s="1670">
        <f>Analisa!$F$233</f>
        <v>10442.5</v>
      </c>
      <c r="S49" s="1670"/>
      <c r="T49" s="1670"/>
      <c r="V49" s="1656"/>
      <c r="W49" s="1688"/>
      <c r="X49" s="1688"/>
      <c r="Y49" s="1781"/>
      <c r="Z49" s="1656"/>
      <c r="AA49" s="1670"/>
      <c r="AB49" s="1670"/>
      <c r="AC49" s="1670"/>
      <c r="AD49" s="1781"/>
      <c r="AE49" s="1781"/>
      <c r="AF49" s="1670">
        <f t="shared" si="21"/>
        <v>10442.5</v>
      </c>
      <c r="AG49" s="1670">
        <f t="shared" si="22"/>
        <v>0</v>
      </c>
      <c r="AH49" s="1670">
        <f t="shared" si="23"/>
        <v>0</v>
      </c>
      <c r="AI49" s="1670"/>
      <c r="AJ49" s="1781"/>
      <c r="AK49" s="1781"/>
      <c r="AL49" s="1781"/>
      <c r="AM49" s="1781"/>
      <c r="AN49" s="1781"/>
      <c r="AO49" s="1781"/>
    </row>
    <row r="50" spans="1:41" s="1599" customFormat="1" ht="18.75" customHeight="1">
      <c r="A50" s="2647"/>
      <c r="B50" s="2653" t="s">
        <v>2370</v>
      </c>
      <c r="C50" s="1779" t="s">
        <v>53</v>
      </c>
      <c r="D50" s="1780">
        <f>H50*'REKAP RAB'!$K$3</f>
        <v>389.72427263999998</v>
      </c>
      <c r="E50" s="1622">
        <f>N50*'REKAP RAB'!$O$5</f>
        <v>12008.874999999998</v>
      </c>
      <c r="F50" s="1682">
        <f t="shared" si="41"/>
        <v>4680150.0745996786</v>
      </c>
      <c r="G50" s="1681"/>
      <c r="H50" s="1780">
        <f>'REKAP-PC'!N13</f>
        <v>389.72427263999998</v>
      </c>
      <c r="I50" s="1667">
        <f t="shared" si="16"/>
        <v>10442.5</v>
      </c>
      <c r="J50" s="1666">
        <f t="shared" si="17"/>
        <v>0</v>
      </c>
      <c r="K50" s="1666">
        <f t="shared" si="18"/>
        <v>0</v>
      </c>
      <c r="L50" s="1666"/>
      <c r="M50" s="1665"/>
      <c r="N50" s="1664">
        <f t="shared" si="19"/>
        <v>10442.5</v>
      </c>
      <c r="O50" s="1664">
        <f t="shared" si="20"/>
        <v>4069695.7170431996</v>
      </c>
      <c r="P50" s="1670"/>
      <c r="R50" s="1670">
        <f>Analisa!$F$233</f>
        <v>10442.5</v>
      </c>
      <c r="S50" s="1670"/>
      <c r="T50" s="1670"/>
      <c r="V50" s="1656"/>
      <c r="W50" s="1688"/>
      <c r="X50" s="1688"/>
      <c r="Y50" s="1781"/>
      <c r="Z50" s="1656"/>
      <c r="AA50" s="1670"/>
      <c r="AB50" s="1670"/>
      <c r="AC50" s="1670"/>
      <c r="AD50" s="1781"/>
      <c r="AE50" s="1781"/>
      <c r="AF50" s="1670">
        <f t="shared" si="21"/>
        <v>10442.5</v>
      </c>
      <c r="AG50" s="1670">
        <f t="shared" si="22"/>
        <v>0</v>
      </c>
      <c r="AH50" s="1670">
        <f t="shared" si="23"/>
        <v>0</v>
      </c>
      <c r="AI50" s="1670"/>
      <c r="AJ50" s="1781"/>
      <c r="AK50" s="1781"/>
      <c r="AL50" s="1781"/>
      <c r="AM50" s="1781"/>
      <c r="AN50" s="1781"/>
      <c r="AO50" s="1781"/>
    </row>
    <row r="51" spans="1:41" s="1599" customFormat="1" ht="18.75" customHeight="1">
      <c r="A51" s="2647"/>
      <c r="B51" s="2653" t="s">
        <v>2371</v>
      </c>
      <c r="C51" s="1779" t="s">
        <v>53</v>
      </c>
      <c r="D51" s="1780">
        <f>H51*'REKAP RAB'!$K$3</f>
        <v>0</v>
      </c>
      <c r="E51" s="1622">
        <f>N51*'REKAP RAB'!$O$5</f>
        <v>12008.874999999998</v>
      </c>
      <c r="F51" s="1682">
        <f t="shared" si="41"/>
        <v>0</v>
      </c>
      <c r="G51" s="1681"/>
      <c r="H51" s="1780">
        <f>'REKAP-PC'!O13</f>
        <v>0</v>
      </c>
      <c r="I51" s="1667">
        <f t="shared" si="16"/>
        <v>10442.5</v>
      </c>
      <c r="J51" s="1666">
        <f t="shared" si="17"/>
        <v>0</v>
      </c>
      <c r="K51" s="1666">
        <f t="shared" si="18"/>
        <v>0</v>
      </c>
      <c r="L51" s="1666"/>
      <c r="M51" s="1665"/>
      <c r="N51" s="1664">
        <f t="shared" si="19"/>
        <v>10442.5</v>
      </c>
      <c r="O51" s="1664">
        <f t="shared" si="20"/>
        <v>0</v>
      </c>
      <c r="P51" s="1670"/>
      <c r="R51" s="1670">
        <f>Analisa!$F$233</f>
        <v>10442.5</v>
      </c>
      <c r="S51" s="1670"/>
      <c r="T51" s="1670"/>
      <c r="V51" s="1656"/>
      <c r="W51" s="1688"/>
      <c r="X51" s="1688"/>
      <c r="Y51" s="1781"/>
      <c r="Z51" s="1656"/>
      <c r="AA51" s="1670"/>
      <c r="AB51" s="1670"/>
      <c r="AC51" s="1670"/>
      <c r="AD51" s="1781"/>
      <c r="AE51" s="1781"/>
      <c r="AF51" s="1670">
        <f t="shared" si="21"/>
        <v>10442.5</v>
      </c>
      <c r="AG51" s="1670">
        <f t="shared" si="22"/>
        <v>0</v>
      </c>
      <c r="AH51" s="1670">
        <f t="shared" si="23"/>
        <v>0</v>
      </c>
      <c r="AI51" s="1670"/>
      <c r="AJ51" s="1781"/>
      <c r="AK51" s="1781"/>
      <c r="AL51" s="1781"/>
      <c r="AM51" s="1781"/>
      <c r="AN51" s="1781"/>
      <c r="AO51" s="1781"/>
    </row>
    <row r="52" spans="1:41" s="1599" customFormat="1" ht="18.75" customHeight="1">
      <c r="A52" s="2647"/>
      <c r="B52" s="2653" t="s">
        <v>2372</v>
      </c>
      <c r="C52" s="1779" t="s">
        <v>1936</v>
      </c>
      <c r="D52" s="1780">
        <f>H52*'REKAP RAB'!$K$3</f>
        <v>17.508647891627898</v>
      </c>
      <c r="E52" s="1622">
        <f>N52*'REKAP RAB'!$O$5</f>
        <v>100187.63085</v>
      </c>
      <c r="F52" s="1682">
        <f t="shared" si="41"/>
        <v>1754149.9516490467</v>
      </c>
      <c r="G52" s="1681"/>
      <c r="H52" s="1780">
        <f>'REKAP-PC'!C13</f>
        <v>17.508647891627898</v>
      </c>
      <c r="I52" s="1667">
        <f t="shared" si="16"/>
        <v>87119.679000000004</v>
      </c>
      <c r="J52" s="1666">
        <f t="shared" si="17"/>
        <v>0</v>
      </c>
      <c r="K52" s="1666">
        <f t="shared" si="18"/>
        <v>0</v>
      </c>
      <c r="L52" s="1666"/>
      <c r="M52" s="1665"/>
      <c r="N52" s="1664">
        <f t="shared" si="19"/>
        <v>87119.679000000004</v>
      </c>
      <c r="O52" s="1664">
        <f t="shared" si="20"/>
        <v>1525347.7840426494</v>
      </c>
      <c r="P52" s="1670"/>
      <c r="R52" s="1670">
        <f>Analisa!F$115</f>
        <v>87119.679000000004</v>
      </c>
      <c r="S52" s="1670"/>
      <c r="T52" s="1670"/>
      <c r="V52" s="1656"/>
      <c r="W52" s="1688"/>
      <c r="X52" s="1688"/>
      <c r="Y52" s="1781"/>
      <c r="Z52" s="1656"/>
      <c r="AA52" s="1670"/>
      <c r="AB52" s="1670"/>
      <c r="AC52" s="1670"/>
      <c r="AD52" s="1781"/>
      <c r="AE52" s="1781"/>
      <c r="AF52" s="1670">
        <f t="shared" si="21"/>
        <v>87119.679000000004</v>
      </c>
      <c r="AG52" s="1670">
        <f t="shared" si="22"/>
        <v>0</v>
      </c>
      <c r="AH52" s="1670">
        <f t="shared" si="23"/>
        <v>0</v>
      </c>
      <c r="AI52" s="1670"/>
      <c r="AJ52" s="1781"/>
      <c r="AK52" s="1781"/>
      <c r="AL52" s="1781"/>
      <c r="AM52" s="1781"/>
      <c r="AN52" s="1781"/>
      <c r="AO52" s="1781"/>
    </row>
    <row r="53" spans="1:41" s="1599" customFormat="1" ht="18.75" customHeight="1">
      <c r="A53" s="2647"/>
      <c r="B53" s="1778" t="str">
        <f t="shared" si="33"/>
        <v xml:space="preserve"> - Poer PC.4</v>
      </c>
      <c r="C53" s="1779"/>
      <c r="D53" s="1780"/>
      <c r="E53" s="1622"/>
      <c r="F53" s="1682"/>
      <c r="G53" s="1681" t="s">
        <v>2306</v>
      </c>
      <c r="H53" s="1780"/>
      <c r="I53" s="2017"/>
      <c r="J53" s="1666"/>
      <c r="K53" s="1666"/>
      <c r="L53" s="1666"/>
      <c r="M53" s="1665"/>
      <c r="N53" s="1664"/>
      <c r="O53" s="1664"/>
      <c r="P53" s="1670"/>
      <c r="R53" s="1670"/>
      <c r="S53" s="1670"/>
      <c r="T53" s="1670"/>
      <c r="V53" s="1656"/>
      <c r="W53" s="1688"/>
      <c r="X53" s="1688"/>
      <c r="Y53" s="1781"/>
      <c r="Z53" s="1656"/>
      <c r="AA53" s="1670"/>
      <c r="AB53" s="1670"/>
      <c r="AC53" s="1670"/>
      <c r="AD53" s="1781"/>
      <c r="AE53" s="1781"/>
      <c r="AF53" s="1670"/>
      <c r="AG53" s="1670"/>
      <c r="AH53" s="1670"/>
      <c r="AI53" s="1670"/>
      <c r="AJ53" s="1781"/>
      <c r="AK53" s="1781"/>
      <c r="AL53" s="1781"/>
      <c r="AM53" s="1781"/>
      <c r="AN53" s="1781"/>
      <c r="AO53" s="1781"/>
    </row>
    <row r="54" spans="1:41" s="1599" customFormat="1" ht="18.75" customHeight="1">
      <c r="A54" s="2647"/>
      <c r="B54" s="1778" t="s">
        <v>2373</v>
      </c>
      <c r="C54" s="1779" t="s">
        <v>1969</v>
      </c>
      <c r="D54" s="1780">
        <f>H54*'REKAP RAB'!$K$3</f>
        <v>0.84699999999999998</v>
      </c>
      <c r="E54" s="1622">
        <f>N54*'REKAP RAB'!$O$5</f>
        <v>2631890</v>
      </c>
      <c r="F54" s="1682">
        <f t="shared" si="15"/>
        <v>2229210.83</v>
      </c>
      <c r="G54" s="1681"/>
      <c r="H54" s="1780">
        <f>'REKAP-PC'!B14</f>
        <v>0.84699999999999998</v>
      </c>
      <c r="I54" s="1667">
        <f t="shared" si="16"/>
        <v>1398600</v>
      </c>
      <c r="J54" s="1666">
        <f t="shared" si="17"/>
        <v>800000</v>
      </c>
      <c r="K54" s="1666">
        <f t="shared" si="18"/>
        <v>90000</v>
      </c>
      <c r="L54" s="1666"/>
      <c r="M54" s="1665"/>
      <c r="N54" s="1664">
        <f t="shared" si="19"/>
        <v>2288600</v>
      </c>
      <c r="O54" s="1664">
        <f t="shared" si="20"/>
        <v>1938444.2</v>
      </c>
      <c r="P54" s="1670"/>
      <c r="R54" s="1670">
        <f>Analisa!$F$177</f>
        <v>1398600</v>
      </c>
      <c r="S54" s="1670">
        <f>Analisa!$G$177</f>
        <v>800000</v>
      </c>
      <c r="T54" s="1670">
        <f>Analisa!$H$177</f>
        <v>90000</v>
      </c>
      <c r="V54" s="1656"/>
      <c r="W54" s="1688"/>
      <c r="X54" s="1688"/>
      <c r="Y54" s="1781"/>
      <c r="Z54" s="1656"/>
      <c r="AA54" s="1670"/>
      <c r="AB54" s="1670"/>
      <c r="AC54" s="1670"/>
      <c r="AD54" s="1781"/>
      <c r="AE54" s="1781"/>
      <c r="AF54" s="1670">
        <f t="shared" si="21"/>
        <v>1398600</v>
      </c>
      <c r="AG54" s="1670">
        <f t="shared" si="22"/>
        <v>800000</v>
      </c>
      <c r="AH54" s="1670">
        <f t="shared" si="23"/>
        <v>90000</v>
      </c>
      <c r="AI54" s="1670"/>
      <c r="AJ54" s="1781"/>
      <c r="AK54" s="1781"/>
      <c r="AL54" s="1781"/>
      <c r="AM54" s="1781"/>
      <c r="AN54" s="1781"/>
      <c r="AO54" s="1781"/>
    </row>
    <row r="55" spans="1:41" s="1599" customFormat="1" ht="18.75" customHeight="1">
      <c r="A55" s="2647"/>
      <c r="B55" s="2653" t="s">
        <v>2369</v>
      </c>
      <c r="C55" s="1779" t="s">
        <v>53</v>
      </c>
      <c r="D55" s="1780">
        <f>H55*'REKAP RAB'!$K$3</f>
        <v>41.496195780000001</v>
      </c>
      <c r="E55" s="1622">
        <f>N55*'REKAP RAB'!$O$5</f>
        <v>12008.874999999998</v>
      </c>
      <c r="F55" s="1682">
        <f t="shared" ref="F55:F58" si="42">D55*E55</f>
        <v>498322.62809754745</v>
      </c>
      <c r="G55" s="1681"/>
      <c r="H55" s="1780">
        <f>'REKAP-PC'!M14</f>
        <v>41.496195780000001</v>
      </c>
      <c r="I55" s="1667">
        <f t="shared" si="16"/>
        <v>10442.5</v>
      </c>
      <c r="J55" s="1666">
        <f t="shared" si="17"/>
        <v>0</v>
      </c>
      <c r="K55" s="1666">
        <f t="shared" si="18"/>
        <v>0</v>
      </c>
      <c r="L55" s="1666"/>
      <c r="M55" s="1665"/>
      <c r="N55" s="1664">
        <f t="shared" si="19"/>
        <v>10442.5</v>
      </c>
      <c r="O55" s="1664">
        <f t="shared" si="20"/>
        <v>433324.02443265001</v>
      </c>
      <c r="P55" s="1670"/>
      <c r="R55" s="1670">
        <f>Analisa!$F$233</f>
        <v>10442.5</v>
      </c>
      <c r="S55" s="1670"/>
      <c r="T55" s="1670"/>
      <c r="V55" s="1656"/>
      <c r="W55" s="1688"/>
      <c r="X55" s="1688"/>
      <c r="Y55" s="1781"/>
      <c r="Z55" s="1656"/>
      <c r="AA55" s="1670"/>
      <c r="AB55" s="1670"/>
      <c r="AC55" s="1670"/>
      <c r="AD55" s="1781"/>
      <c r="AE55" s="1781"/>
      <c r="AF55" s="1670">
        <f t="shared" si="21"/>
        <v>10442.5</v>
      </c>
      <c r="AG55" s="1670">
        <f t="shared" si="22"/>
        <v>0</v>
      </c>
      <c r="AH55" s="1670">
        <f t="shared" si="23"/>
        <v>0</v>
      </c>
      <c r="AI55" s="1670"/>
      <c r="AJ55" s="1781"/>
      <c r="AK55" s="1781"/>
      <c r="AL55" s="1781"/>
      <c r="AM55" s="1781"/>
      <c r="AN55" s="1781"/>
      <c r="AO55" s="1781"/>
    </row>
    <row r="56" spans="1:41" s="1599" customFormat="1" ht="18.75" customHeight="1">
      <c r="A56" s="2647"/>
      <c r="B56" s="2653" t="s">
        <v>2370</v>
      </c>
      <c r="C56" s="1779" t="s">
        <v>53</v>
      </c>
      <c r="D56" s="1780">
        <f>H56*'REKAP RAB'!$K$3</f>
        <v>58.584268799999997</v>
      </c>
      <c r="E56" s="1622">
        <f>N56*'REKAP RAB'!$O$5</f>
        <v>12008.874999999998</v>
      </c>
      <c r="F56" s="1682">
        <f t="shared" si="42"/>
        <v>703531.16098559985</v>
      </c>
      <c r="G56" s="1681"/>
      <c r="H56" s="1780">
        <f>'REKAP-PC'!N14</f>
        <v>58.584268799999997</v>
      </c>
      <c r="I56" s="1667">
        <f t="shared" si="16"/>
        <v>10442.5</v>
      </c>
      <c r="J56" s="1666">
        <f t="shared" si="17"/>
        <v>0</v>
      </c>
      <c r="K56" s="1666">
        <f t="shared" si="18"/>
        <v>0</v>
      </c>
      <c r="L56" s="1666"/>
      <c r="M56" s="1665"/>
      <c r="N56" s="1664">
        <f t="shared" si="19"/>
        <v>10442.5</v>
      </c>
      <c r="O56" s="1664">
        <f t="shared" si="20"/>
        <v>611766.22694399999</v>
      </c>
      <c r="P56" s="1670"/>
      <c r="R56" s="1670">
        <f>Analisa!$F$233</f>
        <v>10442.5</v>
      </c>
      <c r="S56" s="1670"/>
      <c r="T56" s="1670"/>
      <c r="V56" s="1656"/>
      <c r="W56" s="1688"/>
      <c r="X56" s="1688"/>
      <c r="Y56" s="1781"/>
      <c r="Z56" s="1656"/>
      <c r="AA56" s="1670"/>
      <c r="AB56" s="1670"/>
      <c r="AC56" s="1670"/>
      <c r="AD56" s="1781"/>
      <c r="AE56" s="1781"/>
      <c r="AF56" s="1670">
        <f t="shared" si="21"/>
        <v>10442.5</v>
      </c>
      <c r="AG56" s="1670">
        <f t="shared" si="22"/>
        <v>0</v>
      </c>
      <c r="AH56" s="1670">
        <f t="shared" si="23"/>
        <v>0</v>
      </c>
      <c r="AI56" s="1670"/>
      <c r="AJ56" s="1781"/>
      <c r="AK56" s="1781"/>
      <c r="AL56" s="1781"/>
      <c r="AM56" s="1781"/>
      <c r="AN56" s="1781"/>
      <c r="AO56" s="1781"/>
    </row>
    <row r="57" spans="1:41" s="1599" customFormat="1" ht="18.75" customHeight="1">
      <c r="A57" s="2647"/>
      <c r="B57" s="2653" t="s">
        <v>2371</v>
      </c>
      <c r="C57" s="1779" t="s">
        <v>53</v>
      </c>
      <c r="D57" s="1780">
        <f>H57*'REKAP RAB'!$K$3</f>
        <v>0</v>
      </c>
      <c r="E57" s="1622">
        <f>N57*'REKAP RAB'!$O$5</f>
        <v>12008.874999999998</v>
      </c>
      <c r="F57" s="1682">
        <f t="shared" si="42"/>
        <v>0</v>
      </c>
      <c r="G57" s="1681"/>
      <c r="H57" s="1780">
        <f>'REKAP-PC'!O14</f>
        <v>0</v>
      </c>
      <c r="I57" s="1667">
        <f t="shared" si="16"/>
        <v>10442.5</v>
      </c>
      <c r="J57" s="1666">
        <f t="shared" si="17"/>
        <v>0</v>
      </c>
      <c r="K57" s="1666">
        <f t="shared" si="18"/>
        <v>0</v>
      </c>
      <c r="L57" s="1666"/>
      <c r="M57" s="1665"/>
      <c r="N57" s="1664">
        <f t="shared" si="19"/>
        <v>10442.5</v>
      </c>
      <c r="O57" s="1664">
        <f t="shared" si="20"/>
        <v>0</v>
      </c>
      <c r="P57" s="1670"/>
      <c r="R57" s="1670">
        <f>Analisa!$F$233</f>
        <v>10442.5</v>
      </c>
      <c r="S57" s="1670"/>
      <c r="T57" s="1670"/>
      <c r="V57" s="1656"/>
      <c r="W57" s="1688"/>
      <c r="X57" s="1688"/>
      <c r="Y57" s="1781"/>
      <c r="Z57" s="1656"/>
      <c r="AA57" s="1670"/>
      <c r="AB57" s="1670"/>
      <c r="AC57" s="1670"/>
      <c r="AD57" s="1781"/>
      <c r="AE57" s="1781"/>
      <c r="AF57" s="1670">
        <f t="shared" si="21"/>
        <v>10442.5</v>
      </c>
      <c r="AG57" s="1670">
        <f t="shared" si="22"/>
        <v>0</v>
      </c>
      <c r="AH57" s="1670">
        <f t="shared" si="23"/>
        <v>0</v>
      </c>
      <c r="AI57" s="1670"/>
      <c r="AJ57" s="1781"/>
      <c r="AK57" s="1781"/>
      <c r="AL57" s="1781"/>
      <c r="AM57" s="1781"/>
      <c r="AN57" s="1781"/>
      <c r="AO57" s="1781"/>
    </row>
    <row r="58" spans="1:41" s="1599" customFormat="1" ht="18.75" customHeight="1">
      <c r="A58" s="2647"/>
      <c r="B58" s="2653" t="s">
        <v>2372</v>
      </c>
      <c r="C58" s="1779" t="s">
        <v>1936</v>
      </c>
      <c r="D58" s="1780">
        <f>H58*'REKAP RAB'!$K$3</f>
        <v>3.0800000000000005</v>
      </c>
      <c r="E58" s="1622">
        <f>N58*'REKAP RAB'!$O$5</f>
        <v>100187.63085</v>
      </c>
      <c r="F58" s="1682">
        <f t="shared" si="42"/>
        <v>308577.90301800007</v>
      </c>
      <c r="G58" s="1681"/>
      <c r="H58" s="1780">
        <f>'REKAP-PC'!C14</f>
        <v>3.0800000000000005</v>
      </c>
      <c r="I58" s="1667">
        <f t="shared" si="16"/>
        <v>87119.679000000004</v>
      </c>
      <c r="J58" s="1666">
        <f t="shared" si="17"/>
        <v>0</v>
      </c>
      <c r="K58" s="1666">
        <f t="shared" si="18"/>
        <v>0</v>
      </c>
      <c r="L58" s="1666"/>
      <c r="M58" s="1665"/>
      <c r="N58" s="1664">
        <f t="shared" si="19"/>
        <v>87119.679000000004</v>
      </c>
      <c r="O58" s="1664">
        <f t="shared" si="20"/>
        <v>268328.61132000008</v>
      </c>
      <c r="P58" s="1670"/>
      <c r="R58" s="1670">
        <f>Analisa!F$115</f>
        <v>87119.679000000004</v>
      </c>
      <c r="S58" s="1670"/>
      <c r="T58" s="1670"/>
      <c r="V58" s="1656"/>
      <c r="W58" s="1688"/>
      <c r="X58" s="1688"/>
      <c r="Y58" s="1781"/>
      <c r="Z58" s="1656"/>
      <c r="AA58" s="1670"/>
      <c r="AB58" s="1670"/>
      <c r="AC58" s="1670"/>
      <c r="AD58" s="1781"/>
      <c r="AE58" s="1781"/>
      <c r="AF58" s="1670">
        <f t="shared" si="21"/>
        <v>87119.679000000004</v>
      </c>
      <c r="AG58" s="1670">
        <f t="shared" si="22"/>
        <v>0</v>
      </c>
      <c r="AH58" s="1670">
        <f t="shared" si="23"/>
        <v>0</v>
      </c>
      <c r="AI58" s="1670"/>
      <c r="AJ58" s="1781"/>
      <c r="AK58" s="1781"/>
      <c r="AL58" s="1781"/>
      <c r="AM58" s="1781"/>
      <c r="AN58" s="1781"/>
      <c r="AO58" s="1781"/>
    </row>
    <row r="59" spans="1:41" s="1599" customFormat="1" ht="18.75" customHeight="1">
      <c r="A59" s="2647"/>
      <c r="B59" s="1778" t="str">
        <f t="shared" si="33"/>
        <v xml:space="preserve"> - Poer PC.5</v>
      </c>
      <c r="C59" s="1779"/>
      <c r="D59" s="1780"/>
      <c r="E59" s="1622"/>
      <c r="F59" s="1682"/>
      <c r="G59" s="1681" t="s">
        <v>2307</v>
      </c>
      <c r="H59" s="1780"/>
      <c r="I59" s="2017"/>
      <c r="J59" s="1666"/>
      <c r="K59" s="1666"/>
      <c r="L59" s="1666"/>
      <c r="M59" s="1665"/>
      <c r="N59" s="1664"/>
      <c r="O59" s="1664"/>
      <c r="P59" s="1670"/>
      <c r="R59" s="1670"/>
      <c r="S59" s="1670"/>
      <c r="T59" s="1670"/>
      <c r="V59" s="1656"/>
      <c r="W59" s="1688"/>
      <c r="X59" s="1688"/>
      <c r="Y59" s="1781"/>
      <c r="Z59" s="1656"/>
      <c r="AA59" s="1670"/>
      <c r="AB59" s="1670"/>
      <c r="AC59" s="1670"/>
      <c r="AD59" s="1781"/>
      <c r="AE59" s="1781"/>
      <c r="AF59" s="1670"/>
      <c r="AG59" s="1670"/>
      <c r="AH59" s="1670"/>
      <c r="AI59" s="1670"/>
      <c r="AJ59" s="1781"/>
      <c r="AK59" s="1781"/>
      <c r="AL59" s="1781"/>
      <c r="AM59" s="1781"/>
      <c r="AN59" s="1781"/>
      <c r="AO59" s="1781"/>
    </row>
    <row r="60" spans="1:41" s="1599" customFormat="1" ht="18.75" customHeight="1">
      <c r="A60" s="2647"/>
      <c r="B60" s="1778" t="s">
        <v>2373</v>
      </c>
      <c r="C60" s="1779" t="s">
        <v>1969</v>
      </c>
      <c r="D60" s="1780">
        <f>H60*'REKAP RAB'!$K$3</f>
        <v>2.5514999999999999</v>
      </c>
      <c r="E60" s="1622">
        <f>N60*'REKAP RAB'!$O$5</f>
        <v>2631890</v>
      </c>
      <c r="F60" s="1682">
        <f t="shared" si="15"/>
        <v>6715267.335</v>
      </c>
      <c r="G60" s="1681"/>
      <c r="H60" s="1780">
        <f>'REKAP-PC'!B15</f>
        <v>2.5514999999999999</v>
      </c>
      <c r="I60" s="1667">
        <f t="shared" si="16"/>
        <v>1398600</v>
      </c>
      <c r="J60" s="1666">
        <f t="shared" si="17"/>
        <v>800000</v>
      </c>
      <c r="K60" s="1666">
        <f t="shared" si="18"/>
        <v>90000</v>
      </c>
      <c r="L60" s="1666"/>
      <c r="M60" s="1665"/>
      <c r="N60" s="1664">
        <f t="shared" ref="N60:N64" si="43">SUM(I60:M60)</f>
        <v>2288600</v>
      </c>
      <c r="O60" s="1664">
        <f t="shared" si="20"/>
        <v>5839362.8999999994</v>
      </c>
      <c r="P60" s="1670"/>
      <c r="R60" s="1670">
        <f>Analisa!$F$177</f>
        <v>1398600</v>
      </c>
      <c r="S60" s="1670">
        <f>Analisa!$G$177</f>
        <v>800000</v>
      </c>
      <c r="T60" s="1670">
        <f>Analisa!$H$177</f>
        <v>90000</v>
      </c>
      <c r="V60" s="1656"/>
      <c r="W60" s="1688"/>
      <c r="X60" s="1688"/>
      <c r="Y60" s="1781"/>
      <c r="Z60" s="1656"/>
      <c r="AA60" s="1670"/>
      <c r="AB60" s="1670"/>
      <c r="AC60" s="1670"/>
      <c r="AD60" s="1781"/>
      <c r="AE60" s="1781"/>
      <c r="AF60" s="1670">
        <f t="shared" si="21"/>
        <v>1398600</v>
      </c>
      <c r="AG60" s="1670">
        <f t="shared" si="22"/>
        <v>800000</v>
      </c>
      <c r="AH60" s="1670">
        <f t="shared" si="23"/>
        <v>90000</v>
      </c>
      <c r="AI60" s="1670"/>
      <c r="AJ60" s="1781"/>
      <c r="AK60" s="1781"/>
      <c r="AL60" s="1781"/>
      <c r="AM60" s="1781"/>
      <c r="AN60" s="1781"/>
      <c r="AO60" s="1781"/>
    </row>
    <row r="61" spans="1:41" s="1599" customFormat="1" ht="18.75" customHeight="1">
      <c r="A61" s="2647"/>
      <c r="B61" s="2653" t="s">
        <v>2369</v>
      </c>
      <c r="C61" s="1779" t="s">
        <v>53</v>
      </c>
      <c r="D61" s="1780">
        <f>H61*'REKAP RAB'!$K$3</f>
        <v>105.62213376</v>
      </c>
      <c r="E61" s="1622">
        <f>N61*'REKAP RAB'!$O$5</f>
        <v>12008.874999999998</v>
      </c>
      <c r="F61" s="1682">
        <f t="shared" ref="F61:F64" si="44">D61*E61</f>
        <v>1268403.0015571197</v>
      </c>
      <c r="G61" s="1681"/>
      <c r="H61" s="1780">
        <f>'REKAP-PC'!M15</f>
        <v>105.62213376</v>
      </c>
      <c r="I61" s="1667">
        <f t="shared" si="16"/>
        <v>10442.5</v>
      </c>
      <c r="J61" s="1666">
        <f t="shared" si="17"/>
        <v>0</v>
      </c>
      <c r="K61" s="1666">
        <f t="shared" si="18"/>
        <v>0</v>
      </c>
      <c r="L61" s="1666"/>
      <c r="M61" s="1665"/>
      <c r="N61" s="1664">
        <f t="shared" si="43"/>
        <v>10442.5</v>
      </c>
      <c r="O61" s="1664">
        <f t="shared" si="20"/>
        <v>1102959.1317888</v>
      </c>
      <c r="P61" s="1670"/>
      <c r="R61" s="1670">
        <f>Analisa!$F$233</f>
        <v>10442.5</v>
      </c>
      <c r="S61" s="1670"/>
      <c r="T61" s="1670"/>
      <c r="V61" s="1656"/>
      <c r="W61" s="1688"/>
      <c r="X61" s="1688"/>
      <c r="Y61" s="1781"/>
      <c r="Z61" s="1656"/>
      <c r="AA61" s="1670"/>
      <c r="AB61" s="1670"/>
      <c r="AC61" s="1670"/>
      <c r="AD61" s="1781"/>
      <c r="AE61" s="1781"/>
      <c r="AF61" s="1670">
        <f t="shared" si="21"/>
        <v>10442.5</v>
      </c>
      <c r="AG61" s="1670">
        <f t="shared" si="22"/>
        <v>0</v>
      </c>
      <c r="AH61" s="1670">
        <f t="shared" si="23"/>
        <v>0</v>
      </c>
      <c r="AI61" s="1670"/>
      <c r="AJ61" s="1781"/>
      <c r="AK61" s="1781"/>
      <c r="AL61" s="1781"/>
      <c r="AM61" s="1781"/>
      <c r="AN61" s="1781"/>
      <c r="AO61" s="1781"/>
    </row>
    <row r="62" spans="1:41" s="1599" customFormat="1" ht="18.75" customHeight="1">
      <c r="A62" s="2647"/>
      <c r="B62" s="2653" t="s">
        <v>2370</v>
      </c>
      <c r="C62" s="1779" t="s">
        <v>53</v>
      </c>
      <c r="D62" s="1780">
        <f>H62*'REKAP RAB'!$K$3</f>
        <v>146.01876480000001</v>
      </c>
      <c r="E62" s="1622">
        <f>N62*'REKAP RAB'!$O$5</f>
        <v>12008.874999999998</v>
      </c>
      <c r="F62" s="1682">
        <f t="shared" si="44"/>
        <v>1753521.0941375999</v>
      </c>
      <c r="G62" s="1681"/>
      <c r="H62" s="1780">
        <f>'REKAP-PC'!N15</f>
        <v>146.01876480000001</v>
      </c>
      <c r="I62" s="1667">
        <f t="shared" si="16"/>
        <v>10442.5</v>
      </c>
      <c r="J62" s="1666">
        <f t="shared" si="17"/>
        <v>0</v>
      </c>
      <c r="K62" s="1666">
        <f t="shared" si="18"/>
        <v>0</v>
      </c>
      <c r="L62" s="1666"/>
      <c r="M62" s="1665"/>
      <c r="N62" s="1664">
        <f t="shared" si="43"/>
        <v>10442.5</v>
      </c>
      <c r="O62" s="1664">
        <f t="shared" si="20"/>
        <v>1524800.9514240001</v>
      </c>
      <c r="P62" s="1670"/>
      <c r="R62" s="1670">
        <f>Analisa!$F$233</f>
        <v>10442.5</v>
      </c>
      <c r="S62" s="1670"/>
      <c r="T62" s="1670"/>
      <c r="V62" s="1656"/>
      <c r="W62" s="1688"/>
      <c r="X62" s="1688"/>
      <c r="Y62" s="1781"/>
      <c r="Z62" s="1656"/>
      <c r="AA62" s="1670"/>
      <c r="AB62" s="1670"/>
      <c r="AC62" s="1670"/>
      <c r="AD62" s="1781"/>
      <c r="AE62" s="1781"/>
      <c r="AF62" s="1670">
        <f t="shared" si="21"/>
        <v>10442.5</v>
      </c>
      <c r="AG62" s="1670">
        <f t="shared" si="22"/>
        <v>0</v>
      </c>
      <c r="AH62" s="1670">
        <f t="shared" si="23"/>
        <v>0</v>
      </c>
      <c r="AI62" s="1670"/>
      <c r="AJ62" s="1781"/>
      <c r="AK62" s="1781"/>
      <c r="AL62" s="1781"/>
      <c r="AM62" s="1781"/>
      <c r="AN62" s="1781"/>
      <c r="AO62" s="1781"/>
    </row>
    <row r="63" spans="1:41" s="1599" customFormat="1" ht="18.75" customHeight="1">
      <c r="A63" s="2647"/>
      <c r="B63" s="2653" t="s">
        <v>2371</v>
      </c>
      <c r="C63" s="1779" t="s">
        <v>53</v>
      </c>
      <c r="D63" s="1780">
        <f>H63*'REKAP RAB'!$K$3</f>
        <v>0</v>
      </c>
      <c r="E63" s="1622">
        <f>N63*'REKAP RAB'!$O$5</f>
        <v>12008.874999999998</v>
      </c>
      <c r="F63" s="1682">
        <f t="shared" si="44"/>
        <v>0</v>
      </c>
      <c r="G63" s="1681"/>
      <c r="H63" s="1780">
        <f>'REKAP-PC'!O15</f>
        <v>0</v>
      </c>
      <c r="I63" s="1667">
        <f t="shared" si="16"/>
        <v>10442.5</v>
      </c>
      <c r="J63" s="1666">
        <f t="shared" si="17"/>
        <v>0</v>
      </c>
      <c r="K63" s="1666">
        <f t="shared" si="18"/>
        <v>0</v>
      </c>
      <c r="L63" s="1666"/>
      <c r="M63" s="1665"/>
      <c r="N63" s="1664">
        <f t="shared" si="43"/>
        <v>10442.5</v>
      </c>
      <c r="O63" s="1664">
        <f t="shared" si="20"/>
        <v>0</v>
      </c>
      <c r="P63" s="1670"/>
      <c r="R63" s="1670">
        <f>Analisa!$F$233</f>
        <v>10442.5</v>
      </c>
      <c r="S63" s="1670"/>
      <c r="T63" s="1670"/>
      <c r="V63" s="1656"/>
      <c r="W63" s="1688"/>
      <c r="X63" s="1688"/>
      <c r="Y63" s="1781"/>
      <c r="Z63" s="1656"/>
      <c r="AA63" s="1670"/>
      <c r="AB63" s="1670"/>
      <c r="AC63" s="1670"/>
      <c r="AD63" s="1781"/>
      <c r="AE63" s="1781"/>
      <c r="AF63" s="1670">
        <f t="shared" si="21"/>
        <v>10442.5</v>
      </c>
      <c r="AG63" s="1670">
        <f t="shared" si="22"/>
        <v>0</v>
      </c>
      <c r="AH63" s="1670">
        <f t="shared" si="23"/>
        <v>0</v>
      </c>
      <c r="AI63" s="1670"/>
      <c r="AJ63" s="1781"/>
      <c r="AK63" s="1781"/>
      <c r="AL63" s="1781"/>
      <c r="AM63" s="1781"/>
      <c r="AN63" s="1781"/>
      <c r="AO63" s="1781"/>
    </row>
    <row r="64" spans="1:41" s="1599" customFormat="1" ht="18.75" customHeight="1">
      <c r="A64" s="2647"/>
      <c r="B64" s="2653" t="s">
        <v>2372</v>
      </c>
      <c r="C64" s="1779" t="s">
        <v>1936</v>
      </c>
      <c r="D64" s="1780">
        <f>H64*'REKAP RAB'!$K$3</f>
        <v>7.5600000000000005</v>
      </c>
      <c r="E64" s="1622">
        <f>N64*'REKAP RAB'!$O$5</f>
        <v>100187.63085</v>
      </c>
      <c r="F64" s="1682">
        <f t="shared" si="44"/>
        <v>757418.48922600003</v>
      </c>
      <c r="G64" s="1681"/>
      <c r="H64" s="1780">
        <f>'REKAP-PC'!C15</f>
        <v>7.5600000000000005</v>
      </c>
      <c r="I64" s="1667">
        <f t="shared" si="16"/>
        <v>87119.679000000004</v>
      </c>
      <c r="J64" s="1666">
        <f t="shared" si="17"/>
        <v>0</v>
      </c>
      <c r="K64" s="1666">
        <f t="shared" si="18"/>
        <v>0</v>
      </c>
      <c r="L64" s="1666"/>
      <c r="M64" s="1665"/>
      <c r="N64" s="1664">
        <f t="shared" si="43"/>
        <v>87119.679000000004</v>
      </c>
      <c r="O64" s="1664">
        <f t="shared" si="20"/>
        <v>658624.77324000013</v>
      </c>
      <c r="P64" s="1670"/>
      <c r="R64" s="1670">
        <f>Analisa!F$115</f>
        <v>87119.679000000004</v>
      </c>
      <c r="S64" s="1670"/>
      <c r="T64" s="1670"/>
      <c r="V64" s="1656"/>
      <c r="W64" s="1688"/>
      <c r="X64" s="1688"/>
      <c r="Y64" s="1781"/>
      <c r="Z64" s="1656"/>
      <c r="AA64" s="1670"/>
      <c r="AB64" s="1670"/>
      <c r="AC64" s="1670"/>
      <c r="AD64" s="1781"/>
      <c r="AE64" s="1781"/>
      <c r="AF64" s="1670">
        <f t="shared" si="21"/>
        <v>87119.679000000004</v>
      </c>
      <c r="AG64" s="1670">
        <f t="shared" si="22"/>
        <v>0</v>
      </c>
      <c r="AH64" s="1670">
        <f t="shared" si="23"/>
        <v>0</v>
      </c>
      <c r="AI64" s="1670"/>
      <c r="AJ64" s="1781"/>
      <c r="AK64" s="1781"/>
      <c r="AL64" s="1781"/>
      <c r="AM64" s="1781"/>
      <c r="AN64" s="1781"/>
      <c r="AO64" s="1781"/>
    </row>
    <row r="65" spans="1:41" s="1599" customFormat="1" ht="18.75" customHeight="1">
      <c r="A65" s="2647"/>
      <c r="B65" s="1778" t="str">
        <f t="shared" ref="B65:B83" si="45">CONCATENATE(" - Poer ",G65)</f>
        <v xml:space="preserve"> - Poer PC.9</v>
      </c>
      <c r="C65" s="1779"/>
      <c r="D65" s="1780"/>
      <c r="E65" s="1622"/>
      <c r="F65" s="1682"/>
      <c r="G65" s="1681" t="s">
        <v>2308</v>
      </c>
      <c r="H65" s="1780"/>
      <c r="I65" s="2017"/>
      <c r="J65" s="1666"/>
      <c r="K65" s="1666"/>
      <c r="L65" s="1666"/>
      <c r="M65" s="1665"/>
      <c r="N65" s="1664"/>
      <c r="O65" s="1664"/>
      <c r="P65" s="1670"/>
      <c r="R65" s="1670"/>
      <c r="S65" s="1670"/>
      <c r="T65" s="1670"/>
      <c r="V65" s="1656"/>
      <c r="W65" s="1688"/>
      <c r="X65" s="1688"/>
      <c r="Y65" s="1781"/>
      <c r="Z65" s="1656"/>
      <c r="AA65" s="1670"/>
      <c r="AB65" s="1670"/>
      <c r="AC65" s="1670"/>
      <c r="AD65" s="1781"/>
      <c r="AE65" s="1781"/>
      <c r="AF65" s="1670"/>
      <c r="AG65" s="1670"/>
      <c r="AH65" s="1670"/>
      <c r="AI65" s="1670"/>
      <c r="AJ65" s="1781"/>
      <c r="AK65" s="1781"/>
      <c r="AL65" s="1781"/>
      <c r="AM65" s="1781"/>
      <c r="AN65" s="1781"/>
      <c r="AO65" s="1781"/>
    </row>
    <row r="66" spans="1:41" s="1599" customFormat="1" ht="18.75" customHeight="1">
      <c r="A66" s="2647"/>
      <c r="B66" s="1778" t="s">
        <v>2373</v>
      </c>
      <c r="C66" s="1779" t="s">
        <v>1969</v>
      </c>
      <c r="D66" s="1780">
        <f>H66*'REKAP RAB'!$K$3</f>
        <v>5.07</v>
      </c>
      <c r="E66" s="1622">
        <f>N66*'REKAP RAB'!$O$5</f>
        <v>2631890</v>
      </c>
      <c r="F66" s="1682">
        <f t="shared" ref="F66:F84" si="46">D66*E66</f>
        <v>13343682.300000001</v>
      </c>
      <c r="G66" s="1681"/>
      <c r="H66" s="1780">
        <f>'REKAP-PC'!B16</f>
        <v>5.07</v>
      </c>
      <c r="I66" s="1667">
        <f t="shared" ref="I66:I88" si="47">AF66</f>
        <v>1398600</v>
      </c>
      <c r="J66" s="1666">
        <f t="shared" ref="J66:J88" si="48">AG66</f>
        <v>800000</v>
      </c>
      <c r="K66" s="1666">
        <f t="shared" ref="K66:K88" si="49">AH66</f>
        <v>90000</v>
      </c>
      <c r="L66" s="1666"/>
      <c r="M66" s="1665"/>
      <c r="N66" s="1664">
        <f t="shared" ref="N66:N82" si="50">SUM(I66:M66)</f>
        <v>2288600</v>
      </c>
      <c r="O66" s="1664">
        <f t="shared" ref="O66:O88" si="51">H66*N66</f>
        <v>11603202</v>
      </c>
      <c r="P66" s="1670"/>
      <c r="R66" s="1670">
        <f>Analisa!$F$177</f>
        <v>1398600</v>
      </c>
      <c r="S66" s="1670">
        <f>Analisa!$G$177</f>
        <v>800000</v>
      </c>
      <c r="T66" s="1670">
        <f>Analisa!$H$177</f>
        <v>90000</v>
      </c>
      <c r="V66" s="1656"/>
      <c r="W66" s="1688"/>
      <c r="X66" s="1688"/>
      <c r="Y66" s="1781"/>
      <c r="Z66" s="1656"/>
      <c r="AA66" s="1670"/>
      <c r="AB66" s="1670"/>
      <c r="AC66" s="1670"/>
      <c r="AD66" s="1781"/>
      <c r="AE66" s="1781"/>
      <c r="AF66" s="1670">
        <f t="shared" ref="AF66:AF88" si="52">R66+V66*W66+Z66*AA66</f>
        <v>1398600</v>
      </c>
      <c r="AG66" s="1670">
        <f t="shared" ref="AG66:AG88" si="53">S66</f>
        <v>800000</v>
      </c>
      <c r="AH66" s="1670">
        <f t="shared" ref="AH66:AH88" si="54">T66+V66*X66</f>
        <v>90000</v>
      </c>
      <c r="AI66" s="1670"/>
      <c r="AJ66" s="1781"/>
      <c r="AK66" s="1781"/>
      <c r="AL66" s="1781"/>
      <c r="AM66" s="1781"/>
      <c r="AN66" s="1781"/>
      <c r="AO66" s="1781"/>
    </row>
    <row r="67" spans="1:41" s="1599" customFormat="1" ht="18.75" customHeight="1">
      <c r="A67" s="2656"/>
      <c r="B67" s="2653" t="s">
        <v>2369</v>
      </c>
      <c r="C67" s="1779" t="s">
        <v>53</v>
      </c>
      <c r="D67" s="1780">
        <f>H67*'REKAP RAB'!$K$3</f>
        <v>32.244256980000003</v>
      </c>
      <c r="E67" s="1622">
        <f>N67*'REKAP RAB'!$O$5</f>
        <v>12008.874999999998</v>
      </c>
      <c r="F67" s="1682">
        <f t="shared" ref="F67:F70" si="55">D67*E67</f>
        <v>387217.25154069747</v>
      </c>
      <c r="G67" s="1681"/>
      <c r="H67" s="1780">
        <f>'REKAP-PC'!M16</f>
        <v>32.244256980000003</v>
      </c>
      <c r="I67" s="1667">
        <f t="shared" si="47"/>
        <v>10442.5</v>
      </c>
      <c r="J67" s="1666">
        <f t="shared" si="48"/>
        <v>0</v>
      </c>
      <c r="K67" s="1666">
        <f t="shared" si="49"/>
        <v>0</v>
      </c>
      <c r="L67" s="1666"/>
      <c r="M67" s="1665"/>
      <c r="N67" s="1664">
        <f t="shared" si="50"/>
        <v>10442.5</v>
      </c>
      <c r="O67" s="1664">
        <f t="shared" si="51"/>
        <v>336710.65351365</v>
      </c>
      <c r="P67" s="1670"/>
      <c r="R67" s="1670">
        <f>Analisa!$F$233</f>
        <v>10442.5</v>
      </c>
      <c r="S67" s="1670"/>
      <c r="T67" s="1670"/>
      <c r="V67" s="1656"/>
      <c r="W67" s="1688"/>
      <c r="X67" s="1688"/>
      <c r="Y67" s="1781"/>
      <c r="Z67" s="1656"/>
      <c r="AA67" s="1670"/>
      <c r="AB67" s="1670"/>
      <c r="AC67" s="1670"/>
      <c r="AD67" s="1781"/>
      <c r="AE67" s="1781"/>
      <c r="AF67" s="1670">
        <f t="shared" si="52"/>
        <v>10442.5</v>
      </c>
      <c r="AG67" s="1670">
        <f t="shared" si="53"/>
        <v>0</v>
      </c>
      <c r="AH67" s="1670">
        <f t="shared" si="54"/>
        <v>0</v>
      </c>
      <c r="AI67" s="1670"/>
      <c r="AJ67" s="1781"/>
      <c r="AK67" s="1781"/>
      <c r="AL67" s="1781"/>
      <c r="AM67" s="1781"/>
      <c r="AN67" s="1781"/>
      <c r="AO67" s="1781"/>
    </row>
    <row r="68" spans="1:41" s="1599" customFormat="1" ht="18.75" customHeight="1">
      <c r="A68" s="2656"/>
      <c r="B68" s="2653" t="s">
        <v>2370</v>
      </c>
      <c r="C68" s="1779" t="s">
        <v>53</v>
      </c>
      <c r="D68" s="1780">
        <f>H68*'REKAP RAB'!$K$3</f>
        <v>406.23897599999998</v>
      </c>
      <c r="E68" s="1622">
        <f>N68*'REKAP RAB'!$O$5</f>
        <v>12008.874999999998</v>
      </c>
      <c r="F68" s="1682">
        <f t="shared" si="55"/>
        <v>4878473.082911999</v>
      </c>
      <c r="G68" s="1681"/>
      <c r="H68" s="1780">
        <f>'REKAP-PC'!N16</f>
        <v>406.23897599999998</v>
      </c>
      <c r="I68" s="1667">
        <f t="shared" si="47"/>
        <v>10442.5</v>
      </c>
      <c r="J68" s="1666">
        <f t="shared" si="48"/>
        <v>0</v>
      </c>
      <c r="K68" s="1666">
        <f t="shared" si="49"/>
        <v>0</v>
      </c>
      <c r="L68" s="1666"/>
      <c r="M68" s="1665"/>
      <c r="N68" s="1664">
        <f t="shared" si="50"/>
        <v>10442.5</v>
      </c>
      <c r="O68" s="1664">
        <f t="shared" si="51"/>
        <v>4242150.5068800002</v>
      </c>
      <c r="P68" s="1670"/>
      <c r="R68" s="1670">
        <f>Analisa!$F$233</f>
        <v>10442.5</v>
      </c>
      <c r="S68" s="1670"/>
      <c r="T68" s="1670"/>
      <c r="V68" s="1656"/>
      <c r="W68" s="1688"/>
      <c r="X68" s="1688"/>
      <c r="Y68" s="1781"/>
      <c r="Z68" s="1656"/>
      <c r="AA68" s="1670"/>
      <c r="AB68" s="1670"/>
      <c r="AC68" s="1670"/>
      <c r="AD68" s="1781"/>
      <c r="AE68" s="1781"/>
      <c r="AF68" s="1670">
        <f t="shared" si="52"/>
        <v>10442.5</v>
      </c>
      <c r="AG68" s="1670">
        <f t="shared" si="53"/>
        <v>0</v>
      </c>
      <c r="AH68" s="1670">
        <f t="shared" si="54"/>
        <v>0</v>
      </c>
      <c r="AI68" s="1670"/>
      <c r="AJ68" s="1781"/>
      <c r="AK68" s="1781"/>
      <c r="AL68" s="1781"/>
      <c r="AM68" s="1781"/>
      <c r="AN68" s="1781"/>
      <c r="AO68" s="1781"/>
    </row>
    <row r="69" spans="1:41" s="1599" customFormat="1" ht="18.75" customHeight="1">
      <c r="A69" s="2656"/>
      <c r="B69" s="2653" t="s">
        <v>2371</v>
      </c>
      <c r="C69" s="1779" t="s">
        <v>53</v>
      </c>
      <c r="D69" s="1780">
        <f>H69*'REKAP RAB'!$K$3</f>
        <v>0</v>
      </c>
      <c r="E69" s="1622">
        <f>N69*'REKAP RAB'!$O$5</f>
        <v>12008.874999999998</v>
      </c>
      <c r="F69" s="1682">
        <f t="shared" si="55"/>
        <v>0</v>
      </c>
      <c r="G69" s="1681"/>
      <c r="H69" s="1780">
        <f>'REKAP-PC'!O16</f>
        <v>0</v>
      </c>
      <c r="I69" s="1667">
        <f t="shared" si="47"/>
        <v>10442.5</v>
      </c>
      <c r="J69" s="1666">
        <f t="shared" si="48"/>
        <v>0</v>
      </c>
      <c r="K69" s="1666">
        <f t="shared" si="49"/>
        <v>0</v>
      </c>
      <c r="L69" s="1666"/>
      <c r="M69" s="1665"/>
      <c r="N69" s="1664">
        <f t="shared" si="50"/>
        <v>10442.5</v>
      </c>
      <c r="O69" s="1664">
        <f t="shared" si="51"/>
        <v>0</v>
      </c>
      <c r="P69" s="1670"/>
      <c r="R69" s="1670">
        <f>Analisa!$F$233</f>
        <v>10442.5</v>
      </c>
      <c r="S69" s="1670"/>
      <c r="T69" s="1670"/>
      <c r="V69" s="1656"/>
      <c r="W69" s="1688"/>
      <c r="X69" s="1688"/>
      <c r="Y69" s="1781"/>
      <c r="Z69" s="1656"/>
      <c r="AA69" s="1670"/>
      <c r="AB69" s="1670"/>
      <c r="AC69" s="1670"/>
      <c r="AD69" s="1781"/>
      <c r="AE69" s="1781"/>
      <c r="AF69" s="1670">
        <f t="shared" si="52"/>
        <v>10442.5</v>
      </c>
      <c r="AG69" s="1670">
        <f t="shared" si="53"/>
        <v>0</v>
      </c>
      <c r="AH69" s="1670">
        <f t="shared" si="54"/>
        <v>0</v>
      </c>
      <c r="AI69" s="1670"/>
      <c r="AJ69" s="1781"/>
      <c r="AK69" s="1781"/>
      <c r="AL69" s="1781"/>
      <c r="AM69" s="1781"/>
      <c r="AN69" s="1781"/>
      <c r="AO69" s="1781"/>
    </row>
    <row r="70" spans="1:41" s="1599" customFormat="1" ht="18.75" customHeight="1">
      <c r="A70" s="2656"/>
      <c r="B70" s="2653" t="s">
        <v>2372</v>
      </c>
      <c r="C70" s="1779" t="s">
        <v>1936</v>
      </c>
      <c r="D70" s="1780">
        <f>H70*'REKAP RAB'!$K$3</f>
        <v>7.8</v>
      </c>
      <c r="E70" s="1622">
        <f>N70*'REKAP RAB'!$O$5</f>
        <v>100187.63085</v>
      </c>
      <c r="F70" s="1682">
        <f t="shared" si="55"/>
        <v>781463.52063000004</v>
      </c>
      <c r="G70" s="1681"/>
      <c r="H70" s="1780">
        <f>'REKAP-PC'!C16</f>
        <v>7.8</v>
      </c>
      <c r="I70" s="1667">
        <f t="shared" si="47"/>
        <v>87119.679000000004</v>
      </c>
      <c r="J70" s="1666">
        <f t="shared" si="48"/>
        <v>0</v>
      </c>
      <c r="K70" s="1666">
        <f t="shared" si="49"/>
        <v>0</v>
      </c>
      <c r="L70" s="1666"/>
      <c r="M70" s="1665"/>
      <c r="N70" s="1664">
        <f t="shared" si="50"/>
        <v>87119.679000000004</v>
      </c>
      <c r="O70" s="1664">
        <f t="shared" si="51"/>
        <v>679533.49620000005</v>
      </c>
      <c r="P70" s="1670"/>
      <c r="R70" s="1670">
        <f>Analisa!F$115</f>
        <v>87119.679000000004</v>
      </c>
      <c r="S70" s="1670"/>
      <c r="T70" s="1670"/>
      <c r="V70" s="1656"/>
      <c r="W70" s="1688"/>
      <c r="X70" s="1688"/>
      <c r="Y70" s="1781"/>
      <c r="Z70" s="1656"/>
      <c r="AA70" s="1670"/>
      <c r="AB70" s="1670"/>
      <c r="AC70" s="1670"/>
      <c r="AD70" s="1781"/>
      <c r="AE70" s="1781"/>
      <c r="AF70" s="1670">
        <f t="shared" si="52"/>
        <v>87119.679000000004</v>
      </c>
      <c r="AG70" s="1670">
        <f t="shared" si="53"/>
        <v>0</v>
      </c>
      <c r="AH70" s="1670">
        <f t="shared" si="54"/>
        <v>0</v>
      </c>
      <c r="AI70" s="1670"/>
      <c r="AJ70" s="1781"/>
      <c r="AK70" s="1781"/>
      <c r="AL70" s="1781"/>
      <c r="AM70" s="1781"/>
      <c r="AN70" s="1781"/>
      <c r="AO70" s="1781"/>
    </row>
    <row r="71" spans="1:41" s="1599" customFormat="1" ht="18.75" customHeight="1">
      <c r="A71" s="2656"/>
      <c r="B71" s="1778" t="str">
        <f t="shared" si="45"/>
        <v xml:space="preserve"> - Poer PCS.1</v>
      </c>
      <c r="C71" s="1779"/>
      <c r="D71" s="1780"/>
      <c r="E71" s="1622"/>
      <c r="F71" s="1682"/>
      <c r="G71" s="1681" t="s">
        <v>2186</v>
      </c>
      <c r="H71" s="1780"/>
      <c r="I71" s="2017"/>
      <c r="J71" s="1666"/>
      <c r="K71" s="1666"/>
      <c r="L71" s="1666"/>
      <c r="M71" s="1665"/>
      <c r="N71" s="1664"/>
      <c r="O71" s="1664"/>
      <c r="P71" s="1670"/>
      <c r="R71" s="1670"/>
      <c r="S71" s="1670"/>
      <c r="T71" s="1670"/>
      <c r="V71" s="1656"/>
      <c r="W71" s="1688"/>
      <c r="X71" s="1688"/>
      <c r="Y71" s="1781"/>
      <c r="Z71" s="1656"/>
      <c r="AA71" s="1670"/>
      <c r="AB71" s="1670"/>
      <c r="AC71" s="1670"/>
      <c r="AD71" s="1781"/>
      <c r="AE71" s="1781"/>
      <c r="AF71" s="1670"/>
      <c r="AG71" s="1670"/>
      <c r="AH71" s="1670"/>
      <c r="AI71" s="1670"/>
      <c r="AJ71" s="1781"/>
      <c r="AK71" s="1781"/>
      <c r="AL71" s="1781"/>
      <c r="AM71" s="1781"/>
      <c r="AN71" s="1781"/>
      <c r="AO71" s="1781"/>
    </row>
    <row r="72" spans="1:41" s="1599" customFormat="1" ht="18.75" customHeight="1">
      <c r="A72" s="2648"/>
      <c r="B72" s="1778" t="s">
        <v>2373</v>
      </c>
      <c r="C72" s="1779" t="s">
        <v>1969</v>
      </c>
      <c r="D72" s="1780">
        <f>H72*'REKAP RAB'!$K$3</f>
        <v>0.57599999999999996</v>
      </c>
      <c r="E72" s="1622">
        <f>N72*'REKAP RAB'!$O$5</f>
        <v>2631890</v>
      </c>
      <c r="F72" s="1682">
        <f t="shared" si="46"/>
        <v>1515968.64</v>
      </c>
      <c r="G72" s="1681"/>
      <c r="H72" s="1780">
        <f>'REKAP-PC'!B17</f>
        <v>0.57599999999999996</v>
      </c>
      <c r="I72" s="1667">
        <f t="shared" si="47"/>
        <v>1398600</v>
      </c>
      <c r="J72" s="1666">
        <f t="shared" si="48"/>
        <v>800000</v>
      </c>
      <c r="K72" s="1666">
        <f t="shared" si="49"/>
        <v>90000</v>
      </c>
      <c r="L72" s="1666"/>
      <c r="M72" s="1665"/>
      <c r="N72" s="1664">
        <f t="shared" si="50"/>
        <v>2288600</v>
      </c>
      <c r="O72" s="1664">
        <f t="shared" si="51"/>
        <v>1318233.5999999999</v>
      </c>
      <c r="P72" s="1670"/>
      <c r="R72" s="1670">
        <f>Analisa!$F$177</f>
        <v>1398600</v>
      </c>
      <c r="S72" s="1670">
        <f>Analisa!$G$177</f>
        <v>800000</v>
      </c>
      <c r="T72" s="1670">
        <f>Analisa!$H$177</f>
        <v>90000</v>
      </c>
      <c r="V72" s="1656"/>
      <c r="W72" s="1688"/>
      <c r="X72" s="1688"/>
      <c r="Y72" s="1781"/>
      <c r="Z72" s="1656"/>
      <c r="AA72" s="1670"/>
      <c r="AB72" s="1670"/>
      <c r="AC72" s="1670"/>
      <c r="AD72" s="1781"/>
      <c r="AE72" s="1781"/>
      <c r="AF72" s="1670">
        <f t="shared" si="52"/>
        <v>1398600</v>
      </c>
      <c r="AG72" s="1670">
        <f t="shared" si="53"/>
        <v>800000</v>
      </c>
      <c r="AH72" s="1670">
        <f t="shared" si="54"/>
        <v>90000</v>
      </c>
      <c r="AI72" s="1670"/>
      <c r="AJ72" s="1781"/>
      <c r="AK72" s="1781"/>
      <c r="AL72" s="1781"/>
      <c r="AM72" s="1781"/>
      <c r="AN72" s="1781"/>
      <c r="AO72" s="1781"/>
    </row>
    <row r="73" spans="1:41" s="1599" customFormat="1" ht="18.75" customHeight="1">
      <c r="A73" s="2648"/>
      <c r="B73" s="2653" t="s">
        <v>2369</v>
      </c>
      <c r="C73" s="1779" t="s">
        <v>53</v>
      </c>
      <c r="D73" s="1780">
        <f>H73*'REKAP RAB'!$K$3</f>
        <v>56.328470639999999</v>
      </c>
      <c r="E73" s="1622">
        <f>N73*'REKAP RAB'!$O$5</f>
        <v>12008.874999999998</v>
      </c>
      <c r="F73" s="1682">
        <f t="shared" ref="F73:F76" si="56">D73*E73</f>
        <v>676441.56285692984</v>
      </c>
      <c r="G73" s="1681"/>
      <c r="H73" s="1780">
        <f>'REKAP-PC'!M17</f>
        <v>56.328470639999999</v>
      </c>
      <c r="I73" s="1667">
        <f t="shared" si="47"/>
        <v>10442.5</v>
      </c>
      <c r="J73" s="1666">
        <f t="shared" si="48"/>
        <v>0</v>
      </c>
      <c r="K73" s="1666">
        <f t="shared" si="49"/>
        <v>0</v>
      </c>
      <c r="L73" s="1666"/>
      <c r="M73" s="1665"/>
      <c r="N73" s="1664">
        <f t="shared" si="50"/>
        <v>10442.5</v>
      </c>
      <c r="O73" s="1664">
        <f t="shared" si="51"/>
        <v>588210.05465820001</v>
      </c>
      <c r="P73" s="1670"/>
      <c r="R73" s="1670">
        <f>Analisa!$F$233</f>
        <v>10442.5</v>
      </c>
      <c r="S73" s="1670"/>
      <c r="T73" s="1670"/>
      <c r="V73" s="1656"/>
      <c r="W73" s="1688"/>
      <c r="X73" s="1688"/>
      <c r="Y73" s="1781"/>
      <c r="Z73" s="1656"/>
      <c r="AA73" s="1670"/>
      <c r="AB73" s="1670"/>
      <c r="AC73" s="1670"/>
      <c r="AD73" s="1781"/>
      <c r="AE73" s="1781"/>
      <c r="AF73" s="1670">
        <f t="shared" si="52"/>
        <v>10442.5</v>
      </c>
      <c r="AG73" s="1670">
        <f t="shared" si="53"/>
        <v>0</v>
      </c>
      <c r="AH73" s="1670">
        <f t="shared" si="54"/>
        <v>0</v>
      </c>
      <c r="AI73" s="1670"/>
      <c r="AJ73" s="1781"/>
      <c r="AK73" s="1781"/>
      <c r="AL73" s="1781"/>
      <c r="AM73" s="1781"/>
      <c r="AN73" s="1781"/>
      <c r="AO73" s="1781"/>
    </row>
    <row r="74" spans="1:41" s="1599" customFormat="1" ht="18.75" customHeight="1">
      <c r="A74" s="2648"/>
      <c r="B74" s="2653" t="s">
        <v>2370</v>
      </c>
      <c r="C74" s="1779" t="s">
        <v>53</v>
      </c>
      <c r="D74" s="1780">
        <f>H74*'REKAP RAB'!$K$3</f>
        <v>58.710527999999996</v>
      </c>
      <c r="E74" s="1622">
        <f>N74*'REKAP RAB'!$O$5</f>
        <v>12008.874999999998</v>
      </c>
      <c r="F74" s="1682">
        <f t="shared" si="56"/>
        <v>705047.39193599985</v>
      </c>
      <c r="G74" s="1681"/>
      <c r="H74" s="1780">
        <f>'REKAP-PC'!N17</f>
        <v>58.710527999999996</v>
      </c>
      <c r="I74" s="1667">
        <f t="shared" si="47"/>
        <v>10442.5</v>
      </c>
      <c r="J74" s="1666">
        <f t="shared" si="48"/>
        <v>0</v>
      </c>
      <c r="K74" s="1666">
        <f t="shared" si="49"/>
        <v>0</v>
      </c>
      <c r="L74" s="1666"/>
      <c r="M74" s="1665"/>
      <c r="N74" s="1664">
        <f t="shared" si="50"/>
        <v>10442.5</v>
      </c>
      <c r="O74" s="1664">
        <f t="shared" si="51"/>
        <v>613084.68863999995</v>
      </c>
      <c r="P74" s="1670"/>
      <c r="R74" s="1670">
        <f>Analisa!$F$233</f>
        <v>10442.5</v>
      </c>
      <c r="S74" s="1670"/>
      <c r="T74" s="1670"/>
      <c r="V74" s="1656"/>
      <c r="W74" s="1688"/>
      <c r="X74" s="1688"/>
      <c r="Y74" s="1781"/>
      <c r="Z74" s="1656"/>
      <c r="AA74" s="1670"/>
      <c r="AB74" s="1670"/>
      <c r="AC74" s="1670"/>
      <c r="AD74" s="1781"/>
      <c r="AE74" s="1781"/>
      <c r="AF74" s="1670">
        <f t="shared" si="52"/>
        <v>10442.5</v>
      </c>
      <c r="AG74" s="1670">
        <f t="shared" si="53"/>
        <v>0</v>
      </c>
      <c r="AH74" s="1670">
        <f t="shared" si="54"/>
        <v>0</v>
      </c>
      <c r="AI74" s="1670"/>
      <c r="AJ74" s="1781"/>
      <c r="AK74" s="1781"/>
      <c r="AL74" s="1781"/>
      <c r="AM74" s="1781"/>
      <c r="AN74" s="1781"/>
      <c r="AO74" s="1781"/>
    </row>
    <row r="75" spans="1:41" s="1599" customFormat="1" ht="18.75" customHeight="1">
      <c r="A75" s="2648"/>
      <c r="B75" s="2653" t="s">
        <v>2371</v>
      </c>
      <c r="C75" s="1779" t="s">
        <v>53</v>
      </c>
      <c r="D75" s="1780">
        <f>H75*'REKAP RAB'!$K$3</f>
        <v>0</v>
      </c>
      <c r="E75" s="1622">
        <f>N75*'REKAP RAB'!$O$5</f>
        <v>12008.874999999998</v>
      </c>
      <c r="F75" s="1682">
        <f t="shared" si="56"/>
        <v>0</v>
      </c>
      <c r="G75" s="1681"/>
      <c r="H75" s="1780">
        <f>'REKAP-PC'!O17</f>
        <v>0</v>
      </c>
      <c r="I75" s="1667">
        <f t="shared" si="47"/>
        <v>10442.5</v>
      </c>
      <c r="J75" s="1666">
        <f t="shared" si="48"/>
        <v>0</v>
      </c>
      <c r="K75" s="1666">
        <f t="shared" si="49"/>
        <v>0</v>
      </c>
      <c r="L75" s="1666"/>
      <c r="M75" s="1665"/>
      <c r="N75" s="1664">
        <f t="shared" si="50"/>
        <v>10442.5</v>
      </c>
      <c r="O75" s="1664">
        <f t="shared" si="51"/>
        <v>0</v>
      </c>
      <c r="P75" s="1670"/>
      <c r="R75" s="1670">
        <f>Analisa!$F$233</f>
        <v>10442.5</v>
      </c>
      <c r="S75" s="1670"/>
      <c r="T75" s="1670"/>
      <c r="V75" s="1656"/>
      <c r="W75" s="1688"/>
      <c r="X75" s="1688"/>
      <c r="Y75" s="1781"/>
      <c r="Z75" s="1656"/>
      <c r="AA75" s="1670"/>
      <c r="AB75" s="1670"/>
      <c r="AC75" s="1670"/>
      <c r="AD75" s="1781"/>
      <c r="AE75" s="1781"/>
      <c r="AF75" s="1670">
        <f t="shared" si="52"/>
        <v>10442.5</v>
      </c>
      <c r="AG75" s="1670">
        <f t="shared" si="53"/>
        <v>0</v>
      </c>
      <c r="AH75" s="1670">
        <f t="shared" si="54"/>
        <v>0</v>
      </c>
      <c r="AI75" s="1670"/>
      <c r="AJ75" s="1781"/>
      <c r="AK75" s="1781"/>
      <c r="AL75" s="1781"/>
      <c r="AM75" s="1781"/>
      <c r="AN75" s="1781"/>
      <c r="AO75" s="1781"/>
    </row>
    <row r="76" spans="1:41" s="1599" customFormat="1" ht="18.75" customHeight="1">
      <c r="A76" s="2648"/>
      <c r="B76" s="2653" t="s">
        <v>2372</v>
      </c>
      <c r="C76" s="1779" t="s">
        <v>1936</v>
      </c>
      <c r="D76" s="1780">
        <f>H76*'REKAP RAB'!$K$3</f>
        <v>3.36</v>
      </c>
      <c r="E76" s="1622">
        <f>N76*'REKAP RAB'!$O$5</f>
        <v>100187.63085</v>
      </c>
      <c r="F76" s="1682">
        <f t="shared" si="56"/>
        <v>336630.439656</v>
      </c>
      <c r="G76" s="1681"/>
      <c r="H76" s="1780">
        <f>'REKAP-PC'!C17</f>
        <v>3.36</v>
      </c>
      <c r="I76" s="1667">
        <f t="shared" si="47"/>
        <v>87119.679000000004</v>
      </c>
      <c r="J76" s="1666">
        <f t="shared" si="48"/>
        <v>0</v>
      </c>
      <c r="K76" s="1666">
        <f t="shared" si="49"/>
        <v>0</v>
      </c>
      <c r="L76" s="1666"/>
      <c r="M76" s="1665"/>
      <c r="N76" s="1664">
        <f t="shared" si="50"/>
        <v>87119.679000000004</v>
      </c>
      <c r="O76" s="1664">
        <f t="shared" si="51"/>
        <v>292722.12144000002</v>
      </c>
      <c r="P76" s="1670"/>
      <c r="R76" s="1670">
        <f>Analisa!F$115</f>
        <v>87119.679000000004</v>
      </c>
      <c r="S76" s="1670"/>
      <c r="T76" s="1670"/>
      <c r="V76" s="1656"/>
      <c r="W76" s="1688"/>
      <c r="X76" s="1688"/>
      <c r="Y76" s="1781"/>
      <c r="Z76" s="1656"/>
      <c r="AA76" s="1670"/>
      <c r="AB76" s="1670"/>
      <c r="AC76" s="1670"/>
      <c r="AD76" s="1781"/>
      <c r="AE76" s="1781"/>
      <c r="AF76" s="1670">
        <f t="shared" si="52"/>
        <v>87119.679000000004</v>
      </c>
      <c r="AG76" s="1670">
        <f t="shared" si="53"/>
        <v>0</v>
      </c>
      <c r="AH76" s="1670">
        <f t="shared" si="54"/>
        <v>0</v>
      </c>
      <c r="AI76" s="1670"/>
      <c r="AJ76" s="1781"/>
      <c r="AK76" s="1781"/>
      <c r="AL76" s="1781"/>
      <c r="AM76" s="1781"/>
      <c r="AN76" s="1781"/>
      <c r="AO76" s="1781"/>
    </row>
    <row r="77" spans="1:41" s="1599" customFormat="1" ht="18.75" customHeight="1">
      <c r="A77" s="2648"/>
      <c r="B77" s="1778" t="str">
        <f t="shared" si="45"/>
        <v xml:space="preserve"> - Poer PCS.2</v>
      </c>
      <c r="C77" s="1779"/>
      <c r="D77" s="1780"/>
      <c r="E77" s="1622"/>
      <c r="F77" s="1682"/>
      <c r="G77" s="1681" t="s">
        <v>2187</v>
      </c>
      <c r="H77" s="1780"/>
      <c r="I77" s="2017"/>
      <c r="J77" s="1666"/>
      <c r="K77" s="1666"/>
      <c r="L77" s="1666"/>
      <c r="M77" s="1665"/>
      <c r="N77" s="1664"/>
      <c r="O77" s="1664"/>
      <c r="P77" s="1670"/>
      <c r="R77" s="1670"/>
      <c r="S77" s="1670"/>
      <c r="T77" s="1670"/>
      <c r="V77" s="1656"/>
      <c r="W77" s="1688"/>
      <c r="X77" s="1688"/>
      <c r="Y77" s="1781"/>
      <c r="Z77" s="1656"/>
      <c r="AA77" s="1670"/>
      <c r="AB77" s="1670"/>
      <c r="AC77" s="1670"/>
      <c r="AD77" s="1781"/>
      <c r="AE77" s="1781"/>
      <c r="AF77" s="1670"/>
      <c r="AG77" s="1670"/>
      <c r="AH77" s="1670"/>
      <c r="AI77" s="1670"/>
      <c r="AJ77" s="1781"/>
      <c r="AK77" s="1781"/>
      <c r="AL77" s="1781"/>
      <c r="AM77" s="1781"/>
      <c r="AN77" s="1781"/>
      <c r="AO77" s="1781"/>
    </row>
    <row r="78" spans="1:41" s="1599" customFormat="1" ht="18.75" customHeight="1">
      <c r="A78" s="2648"/>
      <c r="B78" s="1778" t="s">
        <v>2373</v>
      </c>
      <c r="C78" s="1779" t="s">
        <v>1969</v>
      </c>
      <c r="D78" s="1780">
        <f>H78*'REKAP RAB'!$K$3</f>
        <v>2.88</v>
      </c>
      <c r="E78" s="1622">
        <f>N78*'REKAP RAB'!$O$5</f>
        <v>2631890</v>
      </c>
      <c r="F78" s="1682">
        <f t="shared" si="46"/>
        <v>7579843.1999999993</v>
      </c>
      <c r="G78" s="1681"/>
      <c r="H78" s="1780">
        <f>'REKAP-PC'!B18</f>
        <v>2.88</v>
      </c>
      <c r="I78" s="1667">
        <f t="shared" si="47"/>
        <v>1398600</v>
      </c>
      <c r="J78" s="1666">
        <f t="shared" si="48"/>
        <v>800000</v>
      </c>
      <c r="K78" s="1666">
        <f t="shared" si="49"/>
        <v>90000</v>
      </c>
      <c r="L78" s="1666"/>
      <c r="M78" s="1665"/>
      <c r="N78" s="1664">
        <f t="shared" si="50"/>
        <v>2288600</v>
      </c>
      <c r="O78" s="1664">
        <f t="shared" si="51"/>
        <v>6591168</v>
      </c>
      <c r="P78" s="1670"/>
      <c r="R78" s="1670">
        <f>Analisa!$F$177</f>
        <v>1398600</v>
      </c>
      <c r="S78" s="1670">
        <f>Analisa!$G$177</f>
        <v>800000</v>
      </c>
      <c r="T78" s="1670">
        <f>Analisa!$H$177</f>
        <v>90000</v>
      </c>
      <c r="V78" s="1656"/>
      <c r="W78" s="1688"/>
      <c r="X78" s="1688"/>
      <c r="Y78" s="1781"/>
      <c r="Z78" s="1656"/>
      <c r="AA78" s="1670"/>
      <c r="AB78" s="1670"/>
      <c r="AC78" s="1670"/>
      <c r="AD78" s="1781"/>
      <c r="AE78" s="1781"/>
      <c r="AF78" s="1670">
        <f t="shared" si="52"/>
        <v>1398600</v>
      </c>
      <c r="AG78" s="1670">
        <f t="shared" si="53"/>
        <v>800000</v>
      </c>
      <c r="AH78" s="1670">
        <f t="shared" si="54"/>
        <v>90000</v>
      </c>
      <c r="AI78" s="1670"/>
      <c r="AJ78" s="1781"/>
      <c r="AK78" s="1781"/>
      <c r="AL78" s="1781"/>
      <c r="AM78" s="1781"/>
      <c r="AN78" s="1781"/>
      <c r="AO78" s="1781"/>
    </row>
    <row r="79" spans="1:41" s="1599" customFormat="1" ht="18.75" customHeight="1">
      <c r="A79" s="2648"/>
      <c r="B79" s="2653" t="s">
        <v>2369</v>
      </c>
      <c r="C79" s="1779" t="s">
        <v>53</v>
      </c>
      <c r="D79" s="1780">
        <f>H79*'REKAP RAB'!$K$3</f>
        <v>187.67266128</v>
      </c>
      <c r="E79" s="1622">
        <f>N79*'REKAP RAB'!$O$5</f>
        <v>12008.874999999998</v>
      </c>
      <c r="F79" s="1682">
        <f t="shared" ref="F79:F82" si="57">D79*E79</f>
        <v>2253737.5302288597</v>
      </c>
      <c r="G79" s="1681"/>
      <c r="H79" s="1780">
        <f>'REKAP-PC'!M18</f>
        <v>187.67266128</v>
      </c>
      <c r="I79" s="1667">
        <f t="shared" si="47"/>
        <v>10442.5</v>
      </c>
      <c r="J79" s="1666">
        <f t="shared" si="48"/>
        <v>0</v>
      </c>
      <c r="K79" s="1666">
        <f t="shared" si="49"/>
        <v>0</v>
      </c>
      <c r="L79" s="1666"/>
      <c r="M79" s="1665"/>
      <c r="N79" s="1664">
        <f t="shared" si="50"/>
        <v>10442.5</v>
      </c>
      <c r="O79" s="1664">
        <f t="shared" si="51"/>
        <v>1959771.7654164</v>
      </c>
      <c r="P79" s="1670"/>
      <c r="R79" s="1670">
        <f>Analisa!$F$233</f>
        <v>10442.5</v>
      </c>
      <c r="S79" s="1670"/>
      <c r="T79" s="1670"/>
      <c r="V79" s="1656"/>
      <c r="W79" s="1688"/>
      <c r="X79" s="1688"/>
      <c r="Y79" s="1781"/>
      <c r="Z79" s="1656"/>
      <c r="AA79" s="1670"/>
      <c r="AB79" s="1670"/>
      <c r="AC79" s="1670"/>
      <c r="AD79" s="1781"/>
      <c r="AE79" s="1781"/>
      <c r="AF79" s="1670">
        <f t="shared" si="52"/>
        <v>10442.5</v>
      </c>
      <c r="AG79" s="1670">
        <f t="shared" si="53"/>
        <v>0</v>
      </c>
      <c r="AH79" s="1670">
        <f t="shared" si="54"/>
        <v>0</v>
      </c>
      <c r="AI79" s="1670"/>
      <c r="AJ79" s="1781"/>
      <c r="AK79" s="1781"/>
      <c r="AL79" s="1781"/>
      <c r="AM79" s="1781"/>
      <c r="AN79" s="1781"/>
      <c r="AO79" s="1781"/>
    </row>
    <row r="80" spans="1:41" s="1599" customFormat="1" ht="18.75" customHeight="1">
      <c r="A80" s="2648"/>
      <c r="B80" s="2653" t="s">
        <v>2370</v>
      </c>
      <c r="C80" s="1779" t="s">
        <v>53</v>
      </c>
      <c r="D80" s="1780">
        <f>H80*'REKAP RAB'!$K$3</f>
        <v>293.55264</v>
      </c>
      <c r="E80" s="1622">
        <f>N80*'REKAP RAB'!$O$5</f>
        <v>12008.874999999998</v>
      </c>
      <c r="F80" s="1682">
        <f t="shared" si="57"/>
        <v>3525236.9596799994</v>
      </c>
      <c r="G80" s="1681"/>
      <c r="H80" s="1780">
        <f>'REKAP-PC'!N18</f>
        <v>293.55264</v>
      </c>
      <c r="I80" s="1667">
        <f t="shared" si="47"/>
        <v>10442.5</v>
      </c>
      <c r="J80" s="1666">
        <f t="shared" si="48"/>
        <v>0</v>
      </c>
      <c r="K80" s="1666">
        <f t="shared" si="49"/>
        <v>0</v>
      </c>
      <c r="L80" s="1666"/>
      <c r="M80" s="1665"/>
      <c r="N80" s="1664">
        <f t="shared" si="50"/>
        <v>10442.5</v>
      </c>
      <c r="O80" s="1664">
        <f t="shared" si="51"/>
        <v>3065423.4432000001</v>
      </c>
      <c r="P80" s="1670"/>
      <c r="R80" s="1670">
        <f>Analisa!$F$233</f>
        <v>10442.5</v>
      </c>
      <c r="S80" s="1670"/>
      <c r="T80" s="1670"/>
      <c r="V80" s="1656"/>
      <c r="W80" s="1688"/>
      <c r="X80" s="1688"/>
      <c r="Y80" s="1781"/>
      <c r="Z80" s="1656"/>
      <c r="AA80" s="1670"/>
      <c r="AB80" s="1670"/>
      <c r="AC80" s="1670"/>
      <c r="AD80" s="1781"/>
      <c r="AE80" s="1781"/>
      <c r="AF80" s="1670">
        <f t="shared" si="52"/>
        <v>10442.5</v>
      </c>
      <c r="AG80" s="1670">
        <f t="shared" si="53"/>
        <v>0</v>
      </c>
      <c r="AH80" s="1670">
        <f t="shared" si="54"/>
        <v>0</v>
      </c>
      <c r="AI80" s="1670"/>
      <c r="AJ80" s="1781"/>
      <c r="AK80" s="1781"/>
      <c r="AL80" s="1781"/>
      <c r="AM80" s="1781"/>
      <c r="AN80" s="1781"/>
      <c r="AO80" s="1781"/>
    </row>
    <row r="81" spans="1:41" s="1599" customFormat="1" ht="18.75" customHeight="1">
      <c r="A81" s="2648"/>
      <c r="B81" s="2653" t="s">
        <v>2371</v>
      </c>
      <c r="C81" s="1779" t="s">
        <v>53</v>
      </c>
      <c r="D81" s="1780">
        <f>H81*'REKAP RAB'!$K$3</f>
        <v>0</v>
      </c>
      <c r="E81" s="1622">
        <f>N81*'REKAP RAB'!$O$5</f>
        <v>12008.874999999998</v>
      </c>
      <c r="F81" s="1682">
        <f t="shared" si="57"/>
        <v>0</v>
      </c>
      <c r="G81" s="1681"/>
      <c r="H81" s="1780">
        <f>'REKAP-PC'!O18</f>
        <v>0</v>
      </c>
      <c r="I81" s="1667">
        <f t="shared" si="47"/>
        <v>10442.5</v>
      </c>
      <c r="J81" s="1666">
        <f t="shared" si="48"/>
        <v>0</v>
      </c>
      <c r="K81" s="1666">
        <f t="shared" si="49"/>
        <v>0</v>
      </c>
      <c r="L81" s="1666"/>
      <c r="M81" s="1665"/>
      <c r="N81" s="1664">
        <f t="shared" si="50"/>
        <v>10442.5</v>
      </c>
      <c r="O81" s="1664">
        <f t="shared" si="51"/>
        <v>0</v>
      </c>
      <c r="P81" s="1670"/>
      <c r="R81" s="1670">
        <f>Analisa!$F$233</f>
        <v>10442.5</v>
      </c>
      <c r="S81" s="1670"/>
      <c r="T81" s="1670"/>
      <c r="V81" s="1656"/>
      <c r="W81" s="1688"/>
      <c r="X81" s="1688"/>
      <c r="Y81" s="1781"/>
      <c r="Z81" s="1656"/>
      <c r="AA81" s="1670"/>
      <c r="AB81" s="1670"/>
      <c r="AC81" s="1670"/>
      <c r="AD81" s="1781"/>
      <c r="AE81" s="1781"/>
      <c r="AF81" s="1670">
        <f t="shared" si="52"/>
        <v>10442.5</v>
      </c>
      <c r="AG81" s="1670">
        <f t="shared" si="53"/>
        <v>0</v>
      </c>
      <c r="AH81" s="1670">
        <f t="shared" si="54"/>
        <v>0</v>
      </c>
      <c r="AI81" s="1670"/>
      <c r="AJ81" s="1781"/>
      <c r="AK81" s="1781"/>
      <c r="AL81" s="1781"/>
      <c r="AM81" s="1781"/>
      <c r="AN81" s="1781"/>
      <c r="AO81" s="1781"/>
    </row>
    <row r="82" spans="1:41" s="1599" customFormat="1" ht="18.75" customHeight="1">
      <c r="A82" s="2648"/>
      <c r="B82" s="2653" t="s">
        <v>2372</v>
      </c>
      <c r="C82" s="1779" t="s">
        <v>1936</v>
      </c>
      <c r="D82" s="1780">
        <f>H82*'REKAP RAB'!$K$3</f>
        <v>11.04</v>
      </c>
      <c r="E82" s="1622">
        <f>N82*'REKAP RAB'!$O$5</f>
        <v>100187.63085</v>
      </c>
      <c r="F82" s="1682">
        <f t="shared" si="57"/>
        <v>1106071.4445839999</v>
      </c>
      <c r="G82" s="1681"/>
      <c r="H82" s="1780">
        <f>'REKAP-PC'!C18</f>
        <v>11.04</v>
      </c>
      <c r="I82" s="1667">
        <f t="shared" si="47"/>
        <v>87119.679000000004</v>
      </c>
      <c r="J82" s="1666">
        <f t="shared" si="48"/>
        <v>0</v>
      </c>
      <c r="K82" s="1666">
        <f t="shared" si="49"/>
        <v>0</v>
      </c>
      <c r="L82" s="1666"/>
      <c r="M82" s="1665"/>
      <c r="N82" s="1664">
        <f t="shared" si="50"/>
        <v>87119.679000000004</v>
      </c>
      <c r="O82" s="1664">
        <f t="shared" si="51"/>
        <v>961801.25615999999</v>
      </c>
      <c r="P82" s="1670"/>
      <c r="R82" s="1670">
        <f>Analisa!F$115</f>
        <v>87119.679000000004</v>
      </c>
      <c r="S82" s="1670"/>
      <c r="T82" s="1670"/>
      <c r="V82" s="1656"/>
      <c r="W82" s="1688"/>
      <c r="X82" s="1688"/>
      <c r="Y82" s="1781"/>
      <c r="Z82" s="1656"/>
      <c r="AA82" s="1670"/>
      <c r="AB82" s="1670"/>
      <c r="AC82" s="1670"/>
      <c r="AD82" s="1781"/>
      <c r="AE82" s="1781"/>
      <c r="AF82" s="1670">
        <f t="shared" si="52"/>
        <v>87119.679000000004</v>
      </c>
      <c r="AG82" s="1670">
        <f t="shared" si="53"/>
        <v>0</v>
      </c>
      <c r="AH82" s="1670">
        <f t="shared" si="54"/>
        <v>0</v>
      </c>
      <c r="AI82" s="1670"/>
      <c r="AJ82" s="1781"/>
      <c r="AK82" s="1781"/>
      <c r="AL82" s="1781"/>
      <c r="AM82" s="1781"/>
      <c r="AN82" s="1781"/>
      <c r="AO82" s="1781"/>
    </row>
    <row r="83" spans="1:41" s="1599" customFormat="1" ht="18.75" customHeight="1">
      <c r="A83" s="2648"/>
      <c r="B83" s="1778" t="str">
        <f t="shared" si="45"/>
        <v xml:space="preserve"> - Poer PCS.3</v>
      </c>
      <c r="C83" s="1779"/>
      <c r="D83" s="1780"/>
      <c r="E83" s="1622"/>
      <c r="F83" s="1682"/>
      <c r="G83" s="1681" t="s">
        <v>2309</v>
      </c>
      <c r="H83" s="1780"/>
      <c r="I83" s="2017"/>
      <c r="J83" s="1666"/>
      <c r="K83" s="1666"/>
      <c r="L83" s="1666"/>
      <c r="M83" s="1665"/>
      <c r="N83" s="1664"/>
      <c r="O83" s="1664"/>
      <c r="P83" s="1670"/>
      <c r="R83" s="1670"/>
      <c r="S83" s="1670"/>
      <c r="T83" s="1670"/>
      <c r="V83" s="1656"/>
      <c r="W83" s="1688"/>
      <c r="X83" s="1688"/>
      <c r="Y83" s="1781"/>
      <c r="Z83" s="1656"/>
      <c r="AA83" s="1670"/>
      <c r="AB83" s="1670"/>
      <c r="AC83" s="1670"/>
      <c r="AD83" s="1781"/>
      <c r="AE83" s="1781"/>
      <c r="AF83" s="1670"/>
      <c r="AG83" s="1670"/>
      <c r="AH83" s="1670"/>
      <c r="AI83" s="1670"/>
      <c r="AJ83" s="1781"/>
      <c r="AK83" s="1781"/>
      <c r="AL83" s="1781"/>
      <c r="AM83" s="1781"/>
      <c r="AN83" s="1781"/>
      <c r="AO83" s="1781"/>
    </row>
    <row r="84" spans="1:41" s="1599" customFormat="1" ht="18.75" customHeight="1">
      <c r="A84" s="2648"/>
      <c r="B84" s="1778" t="s">
        <v>2373</v>
      </c>
      <c r="C84" s="1779" t="s">
        <v>1969</v>
      </c>
      <c r="D84" s="1780">
        <f>H84*'REKAP RAB'!$K$3</f>
        <v>1.3440000000000001</v>
      </c>
      <c r="E84" s="1622">
        <f>N84*'REKAP RAB'!$O$5</f>
        <v>2631890</v>
      </c>
      <c r="F84" s="1682">
        <f t="shared" si="46"/>
        <v>3537260.16</v>
      </c>
      <c r="G84" s="1681"/>
      <c r="H84" s="1780">
        <f>'REKAP-PC'!B19</f>
        <v>1.3440000000000001</v>
      </c>
      <c r="I84" s="1667">
        <f t="shared" si="47"/>
        <v>1398600</v>
      </c>
      <c r="J84" s="1666">
        <f t="shared" si="48"/>
        <v>800000</v>
      </c>
      <c r="K84" s="1666">
        <f t="shared" si="49"/>
        <v>90000</v>
      </c>
      <c r="L84" s="1666"/>
      <c r="M84" s="1665"/>
      <c r="N84" s="1664">
        <f t="shared" ref="N84" si="58">SUM(I84:M84)</f>
        <v>2288600</v>
      </c>
      <c r="O84" s="1664">
        <f t="shared" si="51"/>
        <v>3075878.4000000004</v>
      </c>
      <c r="P84" s="1670"/>
      <c r="R84" s="1670">
        <f>Analisa!$F$177</f>
        <v>1398600</v>
      </c>
      <c r="S84" s="1670">
        <f>Analisa!$G$177</f>
        <v>800000</v>
      </c>
      <c r="T84" s="1670">
        <f>Analisa!$H$177</f>
        <v>90000</v>
      </c>
      <c r="V84" s="1656"/>
      <c r="W84" s="1688"/>
      <c r="X84" s="1688"/>
      <c r="Y84" s="1781"/>
      <c r="Z84" s="1656"/>
      <c r="AA84" s="1670"/>
      <c r="AB84" s="1670"/>
      <c r="AC84" s="1670"/>
      <c r="AD84" s="1781"/>
      <c r="AE84" s="1781"/>
      <c r="AF84" s="1670">
        <f t="shared" si="52"/>
        <v>1398600</v>
      </c>
      <c r="AG84" s="1670">
        <f t="shared" si="53"/>
        <v>800000</v>
      </c>
      <c r="AH84" s="1670">
        <f t="shared" si="54"/>
        <v>90000</v>
      </c>
      <c r="AI84" s="1670"/>
      <c r="AJ84" s="1781"/>
      <c r="AK84" s="1781"/>
      <c r="AL84" s="1781"/>
      <c r="AM84" s="1781"/>
      <c r="AN84" s="1781"/>
      <c r="AO84" s="1781"/>
    </row>
    <row r="85" spans="1:41" s="1599" customFormat="1" ht="18.75" customHeight="1">
      <c r="A85" s="2648"/>
      <c r="B85" s="2653" t="s">
        <v>2369</v>
      </c>
      <c r="C85" s="1779" t="s">
        <v>53</v>
      </c>
      <c r="D85" s="1780">
        <f>H85*'REKAP RAB'!$K$3</f>
        <v>74.753164980000008</v>
      </c>
      <c r="E85" s="1622">
        <f>N85*'REKAP RAB'!$O$5</f>
        <v>12008.874999999998</v>
      </c>
      <c r="F85" s="1682">
        <f t="shared" ref="F85:F88" si="59">D85*E85</f>
        <v>897701.41409919749</v>
      </c>
      <c r="G85" s="1681"/>
      <c r="H85" s="1780">
        <f>'REKAP-PC'!M19</f>
        <v>74.753164980000008</v>
      </c>
      <c r="I85" s="1667">
        <f t="shared" si="47"/>
        <v>10442.5</v>
      </c>
      <c r="J85" s="1666">
        <f t="shared" si="48"/>
        <v>0</v>
      </c>
      <c r="K85" s="1666">
        <f t="shared" si="49"/>
        <v>0</v>
      </c>
      <c r="L85" s="1666"/>
      <c r="M85" s="1665"/>
      <c r="N85" s="1664">
        <f t="shared" ref="N85:N88" si="60">SUM(I85:M85)</f>
        <v>10442.5</v>
      </c>
      <c r="O85" s="1664">
        <f t="shared" si="51"/>
        <v>780609.92530365009</v>
      </c>
      <c r="P85" s="1670"/>
      <c r="R85" s="1670">
        <f>Analisa!$F$233</f>
        <v>10442.5</v>
      </c>
      <c r="S85" s="1670"/>
      <c r="T85" s="1670"/>
      <c r="V85" s="1656"/>
      <c r="W85" s="1688"/>
      <c r="X85" s="1688"/>
      <c r="Y85" s="1781"/>
      <c r="Z85" s="1656"/>
      <c r="AA85" s="1670"/>
      <c r="AB85" s="1670"/>
      <c r="AC85" s="1670"/>
      <c r="AD85" s="1781"/>
      <c r="AE85" s="1781"/>
      <c r="AF85" s="1670">
        <f t="shared" si="52"/>
        <v>10442.5</v>
      </c>
      <c r="AG85" s="1670">
        <f t="shared" si="53"/>
        <v>0</v>
      </c>
      <c r="AH85" s="1670">
        <f t="shared" si="54"/>
        <v>0</v>
      </c>
      <c r="AI85" s="1670"/>
      <c r="AJ85" s="1781"/>
      <c r="AK85" s="1781"/>
      <c r="AL85" s="1781"/>
      <c r="AM85" s="1781"/>
      <c r="AN85" s="1781"/>
      <c r="AO85" s="1781"/>
    </row>
    <row r="86" spans="1:41" s="1599" customFormat="1" ht="18.75" customHeight="1">
      <c r="A86" s="2648"/>
      <c r="B86" s="2653" t="s">
        <v>2370</v>
      </c>
      <c r="C86" s="1779" t="s">
        <v>53</v>
      </c>
      <c r="D86" s="1780">
        <f>H86*'REKAP RAB'!$K$3</f>
        <v>128.78438399999999</v>
      </c>
      <c r="E86" s="1622">
        <f>N86*'REKAP RAB'!$O$5</f>
        <v>12008.874999999998</v>
      </c>
      <c r="F86" s="1682">
        <f t="shared" si="59"/>
        <v>1546555.5694079995</v>
      </c>
      <c r="G86" s="1681"/>
      <c r="H86" s="1780">
        <f>'REKAP-PC'!N19</f>
        <v>128.78438399999999</v>
      </c>
      <c r="I86" s="1667">
        <f t="shared" si="47"/>
        <v>10442.5</v>
      </c>
      <c r="J86" s="1666">
        <f t="shared" si="48"/>
        <v>0</v>
      </c>
      <c r="K86" s="1666">
        <f t="shared" si="49"/>
        <v>0</v>
      </c>
      <c r="L86" s="1666"/>
      <c r="M86" s="1665"/>
      <c r="N86" s="1664">
        <f t="shared" si="60"/>
        <v>10442.5</v>
      </c>
      <c r="O86" s="1664">
        <f t="shared" si="51"/>
        <v>1344830.9299199998</v>
      </c>
      <c r="P86" s="1670"/>
      <c r="R86" s="1670">
        <f>Analisa!$F$233</f>
        <v>10442.5</v>
      </c>
      <c r="S86" s="1670"/>
      <c r="T86" s="1670"/>
      <c r="V86" s="1656"/>
      <c r="W86" s="1688"/>
      <c r="X86" s="1688"/>
      <c r="Y86" s="1781"/>
      <c r="Z86" s="1656"/>
      <c r="AA86" s="1670"/>
      <c r="AB86" s="1670"/>
      <c r="AC86" s="1670"/>
      <c r="AD86" s="1781"/>
      <c r="AE86" s="1781"/>
      <c r="AF86" s="1670">
        <f t="shared" si="52"/>
        <v>10442.5</v>
      </c>
      <c r="AG86" s="1670">
        <f t="shared" si="53"/>
        <v>0</v>
      </c>
      <c r="AH86" s="1670">
        <f t="shared" si="54"/>
        <v>0</v>
      </c>
      <c r="AI86" s="1670"/>
      <c r="AJ86" s="1781"/>
      <c r="AK86" s="1781"/>
      <c r="AL86" s="1781"/>
      <c r="AM86" s="1781"/>
      <c r="AN86" s="1781"/>
      <c r="AO86" s="1781"/>
    </row>
    <row r="87" spans="1:41" s="1599" customFormat="1" ht="18.75" customHeight="1">
      <c r="A87" s="2648"/>
      <c r="B87" s="2653" t="s">
        <v>2371</v>
      </c>
      <c r="C87" s="1779" t="s">
        <v>53</v>
      </c>
      <c r="D87" s="1780">
        <f>H87*'REKAP RAB'!$K$3</f>
        <v>0</v>
      </c>
      <c r="E87" s="1622">
        <f>N87*'REKAP RAB'!$O$5</f>
        <v>12008.874999999998</v>
      </c>
      <c r="F87" s="1682">
        <f t="shared" si="59"/>
        <v>0</v>
      </c>
      <c r="G87" s="1681"/>
      <c r="H87" s="1780">
        <f>'REKAP-PC'!O19</f>
        <v>0</v>
      </c>
      <c r="I87" s="1667">
        <f t="shared" si="47"/>
        <v>10442.5</v>
      </c>
      <c r="J87" s="1666">
        <f t="shared" si="48"/>
        <v>0</v>
      </c>
      <c r="K87" s="1666">
        <f t="shared" si="49"/>
        <v>0</v>
      </c>
      <c r="L87" s="1666"/>
      <c r="M87" s="1665"/>
      <c r="N87" s="1664">
        <f t="shared" si="60"/>
        <v>10442.5</v>
      </c>
      <c r="O87" s="1664">
        <f t="shared" si="51"/>
        <v>0</v>
      </c>
      <c r="P87" s="1670"/>
      <c r="R87" s="1670">
        <f>Analisa!$F$233</f>
        <v>10442.5</v>
      </c>
      <c r="S87" s="1670"/>
      <c r="T87" s="1670"/>
      <c r="V87" s="1656"/>
      <c r="W87" s="1688"/>
      <c r="X87" s="1688"/>
      <c r="Y87" s="1781"/>
      <c r="Z87" s="1656"/>
      <c r="AA87" s="1670"/>
      <c r="AB87" s="1670"/>
      <c r="AC87" s="1670"/>
      <c r="AD87" s="1781"/>
      <c r="AE87" s="1781"/>
      <c r="AF87" s="1670">
        <f t="shared" si="52"/>
        <v>10442.5</v>
      </c>
      <c r="AG87" s="1670">
        <f t="shared" si="53"/>
        <v>0</v>
      </c>
      <c r="AH87" s="1670">
        <f t="shared" si="54"/>
        <v>0</v>
      </c>
      <c r="AI87" s="1670"/>
      <c r="AJ87" s="1781"/>
      <c r="AK87" s="1781"/>
      <c r="AL87" s="1781"/>
      <c r="AM87" s="1781"/>
      <c r="AN87" s="1781"/>
      <c r="AO87" s="1781"/>
    </row>
    <row r="88" spans="1:41" s="1599" customFormat="1" ht="18.75" customHeight="1">
      <c r="A88" s="2648"/>
      <c r="B88" s="2653" t="s">
        <v>2372</v>
      </c>
      <c r="C88" s="1779" t="s">
        <v>1936</v>
      </c>
      <c r="D88" s="1780">
        <f>H88*'REKAP RAB'!$K$3</f>
        <v>4.4800000000000004</v>
      </c>
      <c r="E88" s="1622">
        <f>N88*'REKAP RAB'!$O$5</f>
        <v>100187.63085</v>
      </c>
      <c r="F88" s="1682">
        <f t="shared" si="59"/>
        <v>448840.58620800002</v>
      </c>
      <c r="G88" s="1681"/>
      <c r="H88" s="1780">
        <f>'REKAP-PC'!C19</f>
        <v>4.4800000000000004</v>
      </c>
      <c r="I88" s="1667">
        <f t="shared" si="47"/>
        <v>87119.679000000004</v>
      </c>
      <c r="J88" s="1666">
        <f t="shared" si="48"/>
        <v>0</v>
      </c>
      <c r="K88" s="1666">
        <f t="shared" si="49"/>
        <v>0</v>
      </c>
      <c r="L88" s="1666"/>
      <c r="M88" s="1665"/>
      <c r="N88" s="1664">
        <f t="shared" si="60"/>
        <v>87119.679000000004</v>
      </c>
      <c r="O88" s="1664">
        <f t="shared" si="51"/>
        <v>390296.16192000004</v>
      </c>
      <c r="P88" s="1670"/>
      <c r="R88" s="1670">
        <f>Analisa!F$115</f>
        <v>87119.679000000004</v>
      </c>
      <c r="S88" s="1670"/>
      <c r="T88" s="1670"/>
      <c r="V88" s="1656"/>
      <c r="W88" s="1688"/>
      <c r="X88" s="1688"/>
      <c r="Y88" s="1781"/>
      <c r="Z88" s="1656"/>
      <c r="AA88" s="1670"/>
      <c r="AB88" s="1670"/>
      <c r="AC88" s="1670"/>
      <c r="AD88" s="1781"/>
      <c r="AE88" s="1781"/>
      <c r="AF88" s="1670">
        <f t="shared" si="52"/>
        <v>87119.679000000004</v>
      </c>
      <c r="AG88" s="1670">
        <f t="shared" si="53"/>
        <v>0</v>
      </c>
      <c r="AH88" s="1670">
        <f t="shared" si="54"/>
        <v>0</v>
      </c>
      <c r="AI88" s="1670"/>
      <c r="AJ88" s="1781"/>
      <c r="AK88" s="1781"/>
      <c r="AL88" s="1781"/>
      <c r="AM88" s="1781"/>
      <c r="AN88" s="1781"/>
      <c r="AO88" s="1781"/>
    </row>
    <row r="89" spans="1:41" s="1599" customFormat="1" ht="18.75" customHeight="1">
      <c r="A89" s="2648"/>
      <c r="B89" s="1778" t="str">
        <f t="shared" ref="B89:B96" si="61">CONCATENATE(" - Poer ",G89)</f>
        <v xml:space="preserve"> - Poer PCS.5</v>
      </c>
      <c r="C89" s="1779"/>
      <c r="D89" s="1780"/>
      <c r="E89" s="1622"/>
      <c r="F89" s="1682"/>
      <c r="G89" s="1681" t="s">
        <v>2310</v>
      </c>
      <c r="H89" s="1780"/>
      <c r="I89" s="2017"/>
      <c r="J89" s="1666"/>
      <c r="K89" s="1666"/>
      <c r="L89" s="1666"/>
      <c r="M89" s="1665"/>
      <c r="N89" s="1664"/>
      <c r="O89" s="1664"/>
      <c r="P89" s="1670"/>
      <c r="R89" s="1670"/>
      <c r="S89" s="1670"/>
      <c r="T89" s="1670"/>
      <c r="V89" s="1656"/>
      <c r="W89" s="1688"/>
      <c r="X89" s="1688"/>
      <c r="Y89" s="1781"/>
      <c r="Z89" s="1656"/>
      <c r="AA89" s="1670"/>
      <c r="AB89" s="1670"/>
      <c r="AC89" s="1670"/>
      <c r="AD89" s="1781"/>
      <c r="AE89" s="1781"/>
      <c r="AF89" s="1670"/>
      <c r="AG89" s="1670"/>
      <c r="AH89" s="1670"/>
      <c r="AI89" s="1670"/>
      <c r="AJ89" s="1781"/>
      <c r="AK89" s="1781"/>
      <c r="AL89" s="1781"/>
      <c r="AM89" s="1781"/>
      <c r="AN89" s="1781"/>
      <c r="AO89" s="1781"/>
    </row>
    <row r="90" spans="1:41" s="1599" customFormat="1" ht="18.75" customHeight="1">
      <c r="A90" s="2648"/>
      <c r="B90" s="1778" t="s">
        <v>2373</v>
      </c>
      <c r="C90" s="1779" t="s">
        <v>1969</v>
      </c>
      <c r="D90" s="1780">
        <f>H90*'REKAP RAB'!$K$3</f>
        <v>2.4124319999999999</v>
      </c>
      <c r="E90" s="1622">
        <f>N90*'REKAP RAB'!$O$5</f>
        <v>2631890</v>
      </c>
      <c r="F90" s="1682">
        <f t="shared" si="15"/>
        <v>6349255.6564799994</v>
      </c>
      <c r="G90" s="1681"/>
      <c r="H90" s="1780">
        <f>'REKAP-PC'!B20</f>
        <v>2.4124319999999999</v>
      </c>
      <c r="I90" s="1667">
        <f t="shared" si="16"/>
        <v>1398600</v>
      </c>
      <c r="J90" s="1666">
        <f t="shared" si="17"/>
        <v>800000</v>
      </c>
      <c r="K90" s="1666">
        <f t="shared" si="18"/>
        <v>90000</v>
      </c>
      <c r="L90" s="1666"/>
      <c r="M90" s="1665"/>
      <c r="N90" s="1664">
        <f t="shared" si="19"/>
        <v>2288600</v>
      </c>
      <c r="O90" s="1664">
        <f t="shared" si="20"/>
        <v>5521091.8751999997</v>
      </c>
      <c r="P90" s="1670"/>
      <c r="R90" s="1670">
        <f>Analisa!$F$177</f>
        <v>1398600</v>
      </c>
      <c r="S90" s="1670">
        <f>Analisa!$G$177</f>
        <v>800000</v>
      </c>
      <c r="T90" s="1670">
        <f>Analisa!$H$177</f>
        <v>90000</v>
      </c>
      <c r="V90" s="1656"/>
      <c r="W90" s="1688"/>
      <c r="X90" s="1688"/>
      <c r="Y90" s="1781"/>
      <c r="Z90" s="1656"/>
      <c r="AA90" s="1670"/>
      <c r="AB90" s="1670"/>
      <c r="AC90" s="1670"/>
      <c r="AD90" s="1781"/>
      <c r="AE90" s="1781"/>
      <c r="AF90" s="1670">
        <f t="shared" si="21"/>
        <v>1398600</v>
      </c>
      <c r="AG90" s="1670">
        <f t="shared" si="22"/>
        <v>800000</v>
      </c>
      <c r="AH90" s="1670">
        <f t="shared" si="23"/>
        <v>90000</v>
      </c>
      <c r="AI90" s="1670"/>
      <c r="AJ90" s="1781"/>
      <c r="AK90" s="1781"/>
      <c r="AL90" s="1781"/>
      <c r="AM90" s="1781"/>
      <c r="AN90" s="1781"/>
      <c r="AO90" s="1781"/>
    </row>
    <row r="91" spans="1:41" s="1599" customFormat="1" ht="18.75" customHeight="1">
      <c r="A91" s="2648"/>
      <c r="B91" s="2653" t="s">
        <v>2369</v>
      </c>
      <c r="C91" s="1779" t="s">
        <v>53</v>
      </c>
      <c r="D91" s="1780">
        <f>H91*'REKAP RAB'!$K$3</f>
        <v>66.114852098118035</v>
      </c>
      <c r="E91" s="1622">
        <f>N91*'REKAP RAB'!$O$5</f>
        <v>12008.874999999998</v>
      </c>
      <c r="F91" s="1682">
        <f t="shared" ref="F91:F94" si="62">D91*E91</f>
        <v>793964.99448978715</v>
      </c>
      <c r="G91" s="1681"/>
      <c r="H91" s="1780">
        <f>'REKAP-PC'!M20</f>
        <v>66.114852098118035</v>
      </c>
      <c r="I91" s="1667">
        <f t="shared" si="16"/>
        <v>10442.5</v>
      </c>
      <c r="J91" s="1666">
        <f t="shared" si="17"/>
        <v>0</v>
      </c>
      <c r="K91" s="1666">
        <f t="shared" si="18"/>
        <v>0</v>
      </c>
      <c r="L91" s="1666"/>
      <c r="M91" s="1665"/>
      <c r="N91" s="1664">
        <f t="shared" si="19"/>
        <v>10442.5</v>
      </c>
      <c r="O91" s="1664">
        <f t="shared" si="20"/>
        <v>690404.34303459758</v>
      </c>
      <c r="P91" s="1670"/>
      <c r="R91" s="1670">
        <f>Analisa!$F$233</f>
        <v>10442.5</v>
      </c>
      <c r="S91" s="1670"/>
      <c r="T91" s="1670"/>
      <c r="V91" s="1656"/>
      <c r="W91" s="1688"/>
      <c r="X91" s="1688"/>
      <c r="Y91" s="1781"/>
      <c r="Z91" s="1656"/>
      <c r="AA91" s="1670"/>
      <c r="AB91" s="1670"/>
      <c r="AC91" s="1670"/>
      <c r="AD91" s="1781"/>
      <c r="AE91" s="1781"/>
      <c r="AF91" s="1670">
        <f t="shared" si="21"/>
        <v>10442.5</v>
      </c>
      <c r="AG91" s="1670">
        <f t="shared" si="22"/>
        <v>0</v>
      </c>
      <c r="AH91" s="1670">
        <f t="shared" si="23"/>
        <v>0</v>
      </c>
      <c r="AI91" s="1670"/>
      <c r="AJ91" s="1781"/>
      <c r="AK91" s="1781"/>
      <c r="AL91" s="1781"/>
      <c r="AM91" s="1781"/>
      <c r="AN91" s="1781"/>
      <c r="AO91" s="1781"/>
    </row>
    <row r="92" spans="1:41" s="1599" customFormat="1" ht="18.75" customHeight="1">
      <c r="A92" s="2648"/>
      <c r="B92" s="2653" t="s">
        <v>2370</v>
      </c>
      <c r="C92" s="1779" t="s">
        <v>53</v>
      </c>
      <c r="D92" s="1780">
        <f>H92*'REKAP RAB'!$K$3</f>
        <v>192.80884608000002</v>
      </c>
      <c r="E92" s="1622">
        <f>N92*'REKAP RAB'!$O$5</f>
        <v>12008.874999999998</v>
      </c>
      <c r="F92" s="1682">
        <f t="shared" si="62"/>
        <v>2315417.3314689598</v>
      </c>
      <c r="G92" s="1681"/>
      <c r="H92" s="1780">
        <f>'REKAP-PC'!N20</f>
        <v>192.80884608000002</v>
      </c>
      <c r="I92" s="1667">
        <f t="shared" si="16"/>
        <v>10442.5</v>
      </c>
      <c r="J92" s="1666">
        <f t="shared" si="17"/>
        <v>0</v>
      </c>
      <c r="K92" s="1666">
        <f t="shared" si="18"/>
        <v>0</v>
      </c>
      <c r="L92" s="1666"/>
      <c r="M92" s="1665"/>
      <c r="N92" s="1664">
        <f t="shared" si="19"/>
        <v>10442.5</v>
      </c>
      <c r="O92" s="1664">
        <f t="shared" si="20"/>
        <v>2013406.3751904003</v>
      </c>
      <c r="P92" s="1670"/>
      <c r="R92" s="1670">
        <f>Analisa!$F$233</f>
        <v>10442.5</v>
      </c>
      <c r="S92" s="1670"/>
      <c r="T92" s="1670"/>
      <c r="V92" s="1656"/>
      <c r="W92" s="1688"/>
      <c r="X92" s="1688"/>
      <c r="Y92" s="1781"/>
      <c r="Z92" s="1656"/>
      <c r="AA92" s="1670"/>
      <c r="AB92" s="1670"/>
      <c r="AC92" s="1670"/>
      <c r="AD92" s="1781"/>
      <c r="AE92" s="1781"/>
      <c r="AF92" s="1670">
        <f t="shared" si="21"/>
        <v>10442.5</v>
      </c>
      <c r="AG92" s="1670">
        <f t="shared" si="22"/>
        <v>0</v>
      </c>
      <c r="AH92" s="1670">
        <f t="shared" si="23"/>
        <v>0</v>
      </c>
      <c r="AI92" s="1670"/>
      <c r="AJ92" s="1781"/>
      <c r="AK92" s="1781"/>
      <c r="AL92" s="1781"/>
      <c r="AM92" s="1781"/>
      <c r="AN92" s="1781"/>
      <c r="AO92" s="1781"/>
    </row>
    <row r="93" spans="1:41" s="1599" customFormat="1" ht="18.75" customHeight="1">
      <c r="A93" s="2648"/>
      <c r="B93" s="2653" t="s">
        <v>2371</v>
      </c>
      <c r="C93" s="1779" t="s">
        <v>53</v>
      </c>
      <c r="D93" s="1780">
        <f>H93*'REKAP RAB'!$K$3</f>
        <v>123.06706780499999</v>
      </c>
      <c r="E93" s="1622">
        <f>N93*'REKAP RAB'!$O$5</f>
        <v>12008.874999999998</v>
      </c>
      <c r="F93" s="1682">
        <f t="shared" si="62"/>
        <v>1477897.0338867691</v>
      </c>
      <c r="G93" s="1681"/>
      <c r="H93" s="1780">
        <f>'REKAP-PC'!O20</f>
        <v>123.06706780499999</v>
      </c>
      <c r="I93" s="1667">
        <f t="shared" si="16"/>
        <v>10442.5</v>
      </c>
      <c r="J93" s="1666">
        <f t="shared" si="17"/>
        <v>0</v>
      </c>
      <c r="K93" s="1666">
        <f t="shared" si="18"/>
        <v>0</v>
      </c>
      <c r="L93" s="1666"/>
      <c r="M93" s="1665"/>
      <c r="N93" s="1664">
        <f t="shared" si="19"/>
        <v>10442.5</v>
      </c>
      <c r="O93" s="1664">
        <f t="shared" si="20"/>
        <v>1285127.8555537125</v>
      </c>
      <c r="P93" s="1670"/>
      <c r="R93" s="1670">
        <f>Analisa!$F$233</f>
        <v>10442.5</v>
      </c>
      <c r="S93" s="1670"/>
      <c r="T93" s="1670"/>
      <c r="V93" s="1656"/>
      <c r="W93" s="1688"/>
      <c r="X93" s="1688"/>
      <c r="Y93" s="1781"/>
      <c r="Z93" s="1656"/>
      <c r="AA93" s="1670"/>
      <c r="AB93" s="1670"/>
      <c r="AC93" s="1670"/>
      <c r="AD93" s="1781"/>
      <c r="AE93" s="1781"/>
      <c r="AF93" s="1670">
        <f t="shared" si="21"/>
        <v>10442.5</v>
      </c>
      <c r="AG93" s="1670">
        <f t="shared" si="22"/>
        <v>0</v>
      </c>
      <c r="AH93" s="1670">
        <f t="shared" si="23"/>
        <v>0</v>
      </c>
      <c r="AI93" s="1670"/>
      <c r="AJ93" s="1781"/>
      <c r="AK93" s="1781"/>
      <c r="AL93" s="1781"/>
      <c r="AM93" s="1781"/>
      <c r="AN93" s="1781"/>
      <c r="AO93" s="1781"/>
    </row>
    <row r="94" spans="1:41" s="1599" customFormat="1" ht="18.75" customHeight="1">
      <c r="A94" s="2648"/>
      <c r="B94" s="2653" t="s">
        <v>2372</v>
      </c>
      <c r="C94" s="1779" t="s">
        <v>1936</v>
      </c>
      <c r="D94" s="1780">
        <f>H94*'REKAP RAB'!$K$3</f>
        <v>5.3372393589786871</v>
      </c>
      <c r="E94" s="1622">
        <f>N94*'REKAP RAB'!$O$5</f>
        <v>100187.63085</v>
      </c>
      <c r="F94" s="1682">
        <f t="shared" si="62"/>
        <v>534725.36665544729</v>
      </c>
      <c r="G94" s="1681"/>
      <c r="H94" s="1780">
        <f>'REKAP-PC'!C20</f>
        <v>5.3372393589786871</v>
      </c>
      <c r="I94" s="1667">
        <f t="shared" si="16"/>
        <v>87119.679000000004</v>
      </c>
      <c r="J94" s="1666">
        <f t="shared" si="17"/>
        <v>0</v>
      </c>
      <c r="K94" s="1666">
        <f t="shared" si="18"/>
        <v>0</v>
      </c>
      <c r="L94" s="1666"/>
      <c r="M94" s="1665"/>
      <c r="N94" s="1664">
        <f t="shared" si="19"/>
        <v>87119.679000000004</v>
      </c>
      <c r="O94" s="1664">
        <f t="shared" si="20"/>
        <v>464978.579700389</v>
      </c>
      <c r="P94" s="1670"/>
      <c r="R94" s="1670">
        <f>Analisa!F$115</f>
        <v>87119.679000000004</v>
      </c>
      <c r="S94" s="1670"/>
      <c r="T94" s="1670"/>
      <c r="V94" s="1656"/>
      <c r="W94" s="1688"/>
      <c r="X94" s="1688"/>
      <c r="Y94" s="1781"/>
      <c r="Z94" s="1656"/>
      <c r="AA94" s="1670"/>
      <c r="AB94" s="1670"/>
      <c r="AC94" s="1670"/>
      <c r="AD94" s="1781"/>
      <c r="AE94" s="1781"/>
      <c r="AF94" s="1670">
        <f t="shared" si="21"/>
        <v>87119.679000000004</v>
      </c>
      <c r="AG94" s="1670">
        <f t="shared" si="22"/>
        <v>0</v>
      </c>
      <c r="AH94" s="1670">
        <f t="shared" si="23"/>
        <v>0</v>
      </c>
      <c r="AI94" s="1670"/>
      <c r="AJ94" s="1781"/>
      <c r="AK94" s="1781"/>
      <c r="AL94" s="1781"/>
      <c r="AM94" s="1781"/>
      <c r="AN94" s="1781"/>
      <c r="AO94" s="1781"/>
    </row>
    <row r="95" spans="1:41" s="1599" customFormat="1" ht="18.75" customHeight="1">
      <c r="A95" s="2648"/>
      <c r="B95" s="1778" t="str">
        <f t="shared" si="61"/>
        <v xml:space="preserve"> - Poer PCS.3A</v>
      </c>
      <c r="C95" s="1779"/>
      <c r="D95" s="1780"/>
      <c r="E95" s="1622"/>
      <c r="F95" s="1682"/>
      <c r="G95" s="1681" t="s">
        <v>2311</v>
      </c>
      <c r="H95" s="1780"/>
      <c r="I95" s="2017"/>
      <c r="J95" s="1666"/>
      <c r="K95" s="1666"/>
      <c r="L95" s="1666"/>
      <c r="M95" s="1665"/>
      <c r="N95" s="1664"/>
      <c r="O95" s="1664"/>
      <c r="P95" s="1670"/>
      <c r="R95" s="1670"/>
      <c r="S95" s="1670"/>
      <c r="T95" s="1670"/>
      <c r="V95" s="1656"/>
      <c r="W95" s="1688"/>
      <c r="X95" s="1688"/>
      <c r="Y95" s="1781"/>
      <c r="Z95" s="1656"/>
      <c r="AA95" s="1670"/>
      <c r="AB95" s="1670"/>
      <c r="AC95" s="1670"/>
      <c r="AD95" s="1781"/>
      <c r="AE95" s="1781"/>
      <c r="AF95" s="1670"/>
      <c r="AG95" s="1670"/>
      <c r="AH95" s="1670"/>
      <c r="AI95" s="1670"/>
      <c r="AJ95" s="1781"/>
      <c r="AK95" s="1781"/>
      <c r="AL95" s="1781"/>
      <c r="AM95" s="1781"/>
      <c r="AN95" s="1781"/>
      <c r="AO95" s="1781"/>
    </row>
    <row r="96" spans="1:41" s="1599" customFormat="1" ht="18">
      <c r="A96" s="2649"/>
      <c r="B96" s="1778" t="s">
        <v>2373</v>
      </c>
      <c r="C96" s="1779" t="s">
        <v>1969</v>
      </c>
      <c r="D96" s="1780">
        <f>H96*'REKAP RAB'!$K$3</f>
        <v>1.3822812499999999</v>
      </c>
      <c r="E96" s="1622">
        <f>N96*'REKAP RAB'!$O$5</f>
        <v>2631890</v>
      </c>
      <c r="F96" s="1682">
        <f t="shared" si="15"/>
        <v>3638012.1990624997</v>
      </c>
      <c r="G96" s="1681"/>
      <c r="H96" s="1780">
        <f>'REKAP-PC'!B21</f>
        <v>1.3822812499999999</v>
      </c>
      <c r="I96" s="1667">
        <f t="shared" si="16"/>
        <v>1398600</v>
      </c>
      <c r="J96" s="1666">
        <f t="shared" si="17"/>
        <v>800000</v>
      </c>
      <c r="K96" s="1666">
        <f t="shared" si="18"/>
        <v>90000</v>
      </c>
      <c r="L96" s="1666"/>
      <c r="M96" s="1665"/>
      <c r="N96" s="1664">
        <f t="shared" si="19"/>
        <v>2288600</v>
      </c>
      <c r="O96" s="1664">
        <f t="shared" si="20"/>
        <v>3163488.8687499999</v>
      </c>
      <c r="P96" s="1670"/>
      <c r="R96" s="1670">
        <f>Analisa!$F$177</f>
        <v>1398600</v>
      </c>
      <c r="S96" s="1670">
        <f>Analisa!$G$177</f>
        <v>800000</v>
      </c>
      <c r="T96" s="1670">
        <f>Analisa!$H$177</f>
        <v>90000</v>
      </c>
      <c r="V96" s="1656"/>
      <c r="W96" s="1688"/>
      <c r="X96" s="1688"/>
      <c r="Y96" s="1781"/>
      <c r="Z96" s="1656"/>
      <c r="AA96" s="1670"/>
      <c r="AB96" s="1670"/>
      <c r="AC96" s="1670"/>
      <c r="AD96" s="1781"/>
      <c r="AE96" s="1781"/>
      <c r="AF96" s="1670">
        <f t="shared" si="21"/>
        <v>1398600</v>
      </c>
      <c r="AG96" s="1670">
        <f t="shared" si="22"/>
        <v>800000</v>
      </c>
      <c r="AH96" s="1670">
        <f t="shared" si="23"/>
        <v>90000</v>
      </c>
      <c r="AI96" s="1670"/>
      <c r="AJ96" s="1781"/>
      <c r="AK96" s="1781"/>
      <c r="AL96" s="1781"/>
      <c r="AM96" s="1781"/>
      <c r="AN96" s="1781"/>
      <c r="AO96" s="1781"/>
    </row>
    <row r="97" spans="1:41" s="1599" customFormat="1" ht="15.75">
      <c r="A97" s="2649"/>
      <c r="B97" s="2653" t="s">
        <v>2369</v>
      </c>
      <c r="C97" s="1779" t="s">
        <v>53</v>
      </c>
      <c r="D97" s="1780">
        <f>H97*'REKAP RAB'!$K$3</f>
        <v>17.235322845376828</v>
      </c>
      <c r="E97" s="1622">
        <f>N97*'REKAP RAB'!$O$5</f>
        <v>12008.874999999998</v>
      </c>
      <c r="F97" s="1682">
        <f t="shared" ref="F97:F100" si="63">D97*E97</f>
        <v>206976.83763477462</v>
      </c>
      <c r="G97" s="1681"/>
      <c r="H97" s="1780">
        <f>'REKAP-PC'!M21</f>
        <v>17.235322845376828</v>
      </c>
      <c r="I97" s="1667">
        <f t="shared" si="16"/>
        <v>10442.5</v>
      </c>
      <c r="J97" s="1666">
        <f t="shared" si="17"/>
        <v>0</v>
      </c>
      <c r="K97" s="1666">
        <f t="shared" si="18"/>
        <v>0</v>
      </c>
      <c r="L97" s="1666"/>
      <c r="M97" s="1665"/>
      <c r="N97" s="1664">
        <f t="shared" si="19"/>
        <v>10442.5</v>
      </c>
      <c r="O97" s="1664">
        <f t="shared" si="20"/>
        <v>179979.85881284752</v>
      </c>
      <c r="P97" s="1670"/>
      <c r="R97" s="1670">
        <f>Analisa!$F$233</f>
        <v>10442.5</v>
      </c>
      <c r="S97" s="1670"/>
      <c r="T97" s="1670"/>
      <c r="V97" s="1656"/>
      <c r="W97" s="1688"/>
      <c r="X97" s="1688"/>
      <c r="Y97" s="1781"/>
      <c r="Z97" s="1656"/>
      <c r="AA97" s="1670"/>
      <c r="AB97" s="1670"/>
      <c r="AC97" s="1670"/>
      <c r="AD97" s="1781"/>
      <c r="AE97" s="1781"/>
      <c r="AF97" s="1670">
        <f t="shared" si="21"/>
        <v>10442.5</v>
      </c>
      <c r="AG97" s="1670">
        <f t="shared" si="22"/>
        <v>0</v>
      </c>
      <c r="AH97" s="1670">
        <f t="shared" si="23"/>
        <v>0</v>
      </c>
      <c r="AI97" s="1670"/>
      <c r="AJ97" s="1781"/>
      <c r="AK97" s="1781"/>
      <c r="AL97" s="1781"/>
      <c r="AM97" s="1781"/>
      <c r="AN97" s="1781"/>
      <c r="AO97" s="1781"/>
    </row>
    <row r="98" spans="1:41" s="1599" customFormat="1" ht="15.75">
      <c r="A98" s="2649"/>
      <c r="B98" s="2653" t="s">
        <v>2370</v>
      </c>
      <c r="C98" s="1779" t="s">
        <v>53</v>
      </c>
      <c r="D98" s="1780">
        <f>H98*'REKAP RAB'!$K$3</f>
        <v>129.66819839999999</v>
      </c>
      <c r="E98" s="1622">
        <f>N98*'REKAP RAB'!$O$5</f>
        <v>12008.874999999998</v>
      </c>
      <c r="F98" s="1682">
        <f t="shared" si="63"/>
        <v>1557169.1860607998</v>
      </c>
      <c r="G98" s="1681"/>
      <c r="H98" s="1780">
        <f>'REKAP-PC'!N21</f>
        <v>129.66819839999999</v>
      </c>
      <c r="I98" s="1667">
        <f t="shared" si="16"/>
        <v>10442.5</v>
      </c>
      <c r="J98" s="1666">
        <f t="shared" si="17"/>
        <v>0</v>
      </c>
      <c r="K98" s="1666">
        <f t="shared" si="18"/>
        <v>0</v>
      </c>
      <c r="L98" s="1666"/>
      <c r="M98" s="1665"/>
      <c r="N98" s="1664">
        <f t="shared" si="19"/>
        <v>10442.5</v>
      </c>
      <c r="O98" s="1664">
        <f t="shared" si="20"/>
        <v>1354060.1617919998</v>
      </c>
      <c r="P98" s="1670"/>
      <c r="R98" s="1670">
        <f>Analisa!$F$233</f>
        <v>10442.5</v>
      </c>
      <c r="S98" s="1670"/>
      <c r="T98" s="1670"/>
      <c r="V98" s="1656"/>
      <c r="W98" s="1688"/>
      <c r="X98" s="1688"/>
      <c r="Y98" s="1781"/>
      <c r="Z98" s="1656"/>
      <c r="AA98" s="1670"/>
      <c r="AB98" s="1670"/>
      <c r="AC98" s="1670"/>
      <c r="AD98" s="1781"/>
      <c r="AE98" s="1781"/>
      <c r="AF98" s="1670">
        <f t="shared" si="21"/>
        <v>10442.5</v>
      </c>
      <c r="AG98" s="1670">
        <f t="shared" si="22"/>
        <v>0</v>
      </c>
      <c r="AH98" s="1670">
        <f t="shared" si="23"/>
        <v>0</v>
      </c>
      <c r="AI98" s="1670"/>
      <c r="AJ98" s="1781"/>
      <c r="AK98" s="1781"/>
      <c r="AL98" s="1781"/>
      <c r="AM98" s="1781"/>
      <c r="AN98" s="1781"/>
      <c r="AO98" s="1781"/>
    </row>
    <row r="99" spans="1:41" s="1599" customFormat="1" ht="15.75">
      <c r="A99" s="2649"/>
      <c r="B99" s="2653" t="s">
        <v>2371</v>
      </c>
      <c r="C99" s="1779" t="s">
        <v>53</v>
      </c>
      <c r="D99" s="1780">
        <f>H99*'REKAP RAB'!$K$3</f>
        <v>150.09210359999997</v>
      </c>
      <c r="E99" s="1622">
        <f>N99*'REKAP RAB'!$O$5</f>
        <v>12008.874999999998</v>
      </c>
      <c r="F99" s="1682">
        <f t="shared" si="63"/>
        <v>1802437.3106194495</v>
      </c>
      <c r="G99" s="1681"/>
      <c r="H99" s="1780">
        <f>'REKAP-PC'!O21</f>
        <v>150.09210359999997</v>
      </c>
      <c r="I99" s="1667">
        <f t="shared" si="16"/>
        <v>10442.5</v>
      </c>
      <c r="J99" s="1666">
        <f t="shared" si="17"/>
        <v>0</v>
      </c>
      <c r="K99" s="1666">
        <f t="shared" si="18"/>
        <v>0</v>
      </c>
      <c r="L99" s="1666"/>
      <c r="M99" s="1665"/>
      <c r="N99" s="1664">
        <f t="shared" si="19"/>
        <v>10442.5</v>
      </c>
      <c r="O99" s="1664">
        <f t="shared" si="20"/>
        <v>1567336.7918429996</v>
      </c>
      <c r="P99" s="1670"/>
      <c r="R99" s="1670">
        <f>Analisa!$F$233</f>
        <v>10442.5</v>
      </c>
      <c r="S99" s="1670"/>
      <c r="T99" s="1670"/>
      <c r="V99" s="1656"/>
      <c r="W99" s="1688"/>
      <c r="X99" s="1688"/>
      <c r="Y99" s="1781"/>
      <c r="Z99" s="1656"/>
      <c r="AA99" s="1670"/>
      <c r="AB99" s="1670"/>
      <c r="AC99" s="1670"/>
      <c r="AD99" s="1781"/>
      <c r="AE99" s="1781"/>
      <c r="AF99" s="1670">
        <f t="shared" si="21"/>
        <v>10442.5</v>
      </c>
      <c r="AG99" s="1670">
        <f t="shared" si="22"/>
        <v>0</v>
      </c>
      <c r="AH99" s="1670">
        <f t="shared" si="23"/>
        <v>0</v>
      </c>
      <c r="AI99" s="1670"/>
      <c r="AJ99" s="1781"/>
      <c r="AK99" s="1781"/>
      <c r="AL99" s="1781"/>
      <c r="AM99" s="1781"/>
      <c r="AN99" s="1781"/>
      <c r="AO99" s="1781"/>
    </row>
    <row r="100" spans="1:41" s="1599" customFormat="1" ht="18">
      <c r="A100" s="2649"/>
      <c r="B100" s="2653" t="s">
        <v>2372</v>
      </c>
      <c r="C100" s="1779" t="s">
        <v>1936</v>
      </c>
      <c r="D100" s="1780">
        <f>H100*'REKAP RAB'!$K$3</f>
        <v>3.960703281636579</v>
      </c>
      <c r="E100" s="1622">
        <f>N100*'REKAP RAB'!$O$5</f>
        <v>100187.63085</v>
      </c>
      <c r="F100" s="1682">
        <f t="shared" si="63"/>
        <v>396813.47828698915</v>
      </c>
      <c r="G100" s="1681"/>
      <c r="H100" s="1780">
        <f>'REKAP-PC'!C21</f>
        <v>3.960703281636579</v>
      </c>
      <c r="I100" s="1667">
        <f t="shared" ref="I100" si="64">AF100</f>
        <v>87119.679000000004</v>
      </c>
      <c r="J100" s="1666">
        <f t="shared" ref="J100" si="65">AG100</f>
        <v>0</v>
      </c>
      <c r="K100" s="1666">
        <f t="shared" ref="K100" si="66">AH100</f>
        <v>0</v>
      </c>
      <c r="L100" s="1666"/>
      <c r="M100" s="1665"/>
      <c r="N100" s="1664">
        <f t="shared" ref="N100" si="67">SUM(I100:M100)</f>
        <v>87119.679000000004</v>
      </c>
      <c r="O100" s="1664">
        <f t="shared" ref="O100" si="68">H100*N100</f>
        <v>345055.1985104254</v>
      </c>
      <c r="P100" s="1670"/>
      <c r="R100" s="1670">
        <f>Analisa!F$115</f>
        <v>87119.679000000004</v>
      </c>
      <c r="S100" s="1670"/>
      <c r="T100" s="1670"/>
      <c r="V100" s="1656"/>
      <c r="W100" s="1688"/>
      <c r="X100" s="1688"/>
      <c r="Y100" s="1781"/>
      <c r="Z100" s="1656"/>
      <c r="AA100" s="1670"/>
      <c r="AB100" s="1670"/>
      <c r="AC100" s="1670"/>
      <c r="AD100" s="1781"/>
      <c r="AE100" s="1781"/>
      <c r="AF100" s="1670">
        <f t="shared" ref="AF100" si="69">R100+V100*W100+Z100*AA100</f>
        <v>87119.679000000004</v>
      </c>
      <c r="AG100" s="1670">
        <f t="shared" ref="AG100" si="70">S100</f>
        <v>0</v>
      </c>
      <c r="AH100" s="1670">
        <f t="shared" ref="AH100" si="71">T100+V100*X100</f>
        <v>0</v>
      </c>
      <c r="AI100" s="1670"/>
      <c r="AJ100" s="1781"/>
      <c r="AK100" s="1781"/>
      <c r="AL100" s="1781"/>
      <c r="AM100" s="1781"/>
      <c r="AN100" s="1781"/>
      <c r="AO100" s="1781"/>
    </row>
    <row r="101" spans="1:41" s="1599" customFormat="1" ht="18.75" customHeight="1">
      <c r="A101" s="2648"/>
      <c r="B101" s="1812"/>
      <c r="C101" s="1779"/>
      <c r="D101" s="1780"/>
      <c r="E101" s="1687"/>
      <c r="F101" s="1682"/>
      <c r="G101" s="1681"/>
      <c r="H101" s="1780"/>
      <c r="I101" s="1667"/>
      <c r="J101" s="1666"/>
      <c r="K101" s="1666"/>
      <c r="L101" s="1666"/>
      <c r="M101" s="1665"/>
      <c r="N101" s="1664"/>
      <c r="O101" s="1686"/>
      <c r="P101" s="1670"/>
      <c r="R101" s="1670"/>
      <c r="S101" s="1670"/>
      <c r="T101" s="1670"/>
      <c r="V101" s="1656"/>
      <c r="W101" s="1781"/>
      <c r="X101" s="1781"/>
      <c r="Y101" s="1781"/>
      <c r="Z101" s="1656"/>
      <c r="AA101" s="1670"/>
      <c r="AB101" s="1670"/>
      <c r="AC101" s="1670"/>
      <c r="AD101" s="1781"/>
      <c r="AE101" s="1781"/>
      <c r="AF101" s="1670"/>
      <c r="AG101" s="1670"/>
      <c r="AH101" s="1670"/>
      <c r="AI101" s="1670"/>
      <c r="AJ101" s="1781"/>
      <c r="AK101" s="1781"/>
      <c r="AL101" s="1781"/>
      <c r="AM101" s="1781"/>
      <c r="AN101" s="1781"/>
      <c r="AO101" s="1781"/>
    </row>
    <row r="102" spans="1:41" s="1599" customFormat="1" ht="18.75" customHeight="1">
      <c r="A102" s="2650">
        <v>2</v>
      </c>
      <c r="B102" s="1809" t="s">
        <v>2125</v>
      </c>
      <c r="C102" s="1779" t="s">
        <v>354</v>
      </c>
      <c r="D102" s="1780"/>
      <c r="E102" s="1803"/>
      <c r="F102" s="1803"/>
      <c r="G102" s="1804"/>
      <c r="H102" s="1780"/>
      <c r="I102" s="1667"/>
      <c r="J102" s="1666"/>
      <c r="K102" s="1666"/>
      <c r="L102" s="1666"/>
      <c r="M102" s="1665"/>
      <c r="N102" s="1664"/>
      <c r="O102" s="1664"/>
      <c r="P102" s="1804"/>
      <c r="R102" s="1656"/>
      <c r="S102" s="1656"/>
      <c r="T102" s="1656"/>
      <c r="V102" s="1656"/>
      <c r="W102" s="1781"/>
      <c r="X102" s="1781"/>
      <c r="Y102" s="1781"/>
      <c r="Z102" s="1656"/>
      <c r="AA102" s="1781"/>
      <c r="AB102" s="1781"/>
      <c r="AC102" s="1781"/>
      <c r="AD102" s="1781"/>
      <c r="AE102" s="1781"/>
      <c r="AF102" s="1781"/>
      <c r="AG102" s="1781"/>
      <c r="AI102" s="1781"/>
      <c r="AJ102" s="1656">
        <f>SUMPRODUCT(H103:H110,V103:V110)</f>
        <v>300.41099999999994</v>
      </c>
      <c r="AK102" s="1656"/>
      <c r="AL102" s="1656">
        <f>SUMPRODUCT(H103:H110,Z103:Z110)</f>
        <v>5823.6635115450008</v>
      </c>
      <c r="AM102" s="1781" t="s">
        <v>1968</v>
      </c>
      <c r="AN102" s="1781"/>
      <c r="AO102" s="1781"/>
    </row>
    <row r="103" spans="1:41" s="1599" customFormat="1" ht="18">
      <c r="A103" s="2648"/>
      <c r="B103" s="1778" t="str">
        <f t="shared" ref="B103:B107" si="72">CONCATENATE(" - Sloof ",G103)</f>
        <v xml:space="preserve"> - Sloof S23-1</v>
      </c>
      <c r="C103" s="1779" t="s">
        <v>1969</v>
      </c>
      <c r="D103" s="1780">
        <f>H103*'REKAP RAB'!$K$3</f>
        <v>0.15</v>
      </c>
      <c r="E103" s="1622">
        <f>N103*'REKAP RAB'!$O$5</f>
        <v>6668749.5433783988</v>
      </c>
      <c r="F103" s="1682">
        <f t="shared" ref="F103:F110" si="73">D103*E103</f>
        <v>1000312.4315067597</v>
      </c>
      <c r="G103" s="1681" t="s">
        <v>2188</v>
      </c>
      <c r="H103" s="1780">
        <f>'REKAP Balok'!G266</f>
        <v>0.15</v>
      </c>
      <c r="I103" s="1667">
        <f t="shared" ref="I103:I110" si="74">AF103</f>
        <v>4608912.6464159992</v>
      </c>
      <c r="J103" s="1666">
        <f t="shared" ref="J103:J110" si="75">AG103</f>
        <v>1100000</v>
      </c>
      <c r="K103" s="1666">
        <f t="shared" ref="K103:K110" si="76">AH103</f>
        <v>90000</v>
      </c>
      <c r="L103" s="1666"/>
      <c r="M103" s="1665"/>
      <c r="N103" s="1664">
        <f t="shared" ref="N103:N110" si="77">SUM(I103:M103)</f>
        <v>5798912.6464159992</v>
      </c>
      <c r="O103" s="1664">
        <f t="shared" ref="O103:O110" si="78">H103*N103</f>
        <v>869836.89696239983</v>
      </c>
      <c r="P103" s="1670"/>
      <c r="R103" s="1670">
        <f>Analisa!F$185</f>
        <v>1398600</v>
      </c>
      <c r="S103" s="1670">
        <f>Analisa!G$185</f>
        <v>1100000</v>
      </c>
      <c r="T103" s="1670">
        <f>Analisa!H$185</f>
        <v>90000</v>
      </c>
      <c r="V103" s="1656">
        <f>'REKAP Balok'!W266</f>
        <v>10</v>
      </c>
      <c r="W103" s="1688">
        <f>Analisa!F$115</f>
        <v>87119.679000000004</v>
      </c>
      <c r="X103" s="1688">
        <f>Analisa!H$115</f>
        <v>0</v>
      </c>
      <c r="Y103" s="1781"/>
      <c r="Z103" s="1656">
        <f>'REKAP Balok'!X266</f>
        <v>223.99960319999997</v>
      </c>
      <c r="AA103" s="1670">
        <f>Analisa!$F$233</f>
        <v>10442.5</v>
      </c>
      <c r="AB103" s="1670"/>
      <c r="AC103" s="1670"/>
      <c r="AD103" s="1781"/>
      <c r="AE103" s="1781"/>
      <c r="AF103" s="1670">
        <f t="shared" ref="AF103:AF110" si="79">R103+V103*W103+Z103*AA103</f>
        <v>4608912.6464159992</v>
      </c>
      <c r="AG103" s="1670">
        <f t="shared" ref="AG103:AG110" si="80">S103</f>
        <v>1100000</v>
      </c>
      <c r="AH103" s="1670">
        <f t="shared" ref="AH103:AH110" si="81">T103+V103*X103</f>
        <v>90000</v>
      </c>
      <c r="AI103" s="1670"/>
      <c r="AJ103" s="1656"/>
      <c r="AK103" s="1656"/>
      <c r="AL103" s="1656"/>
      <c r="AM103" s="1781"/>
      <c r="AN103" s="1781"/>
      <c r="AO103" s="1781"/>
    </row>
    <row r="104" spans="1:41" s="1599" customFormat="1" ht="18">
      <c r="A104" s="2648"/>
      <c r="B104" s="1778" t="str">
        <f t="shared" si="72"/>
        <v xml:space="preserve"> - Sloof S24-1</v>
      </c>
      <c r="C104" s="1779" t="s">
        <v>1969</v>
      </c>
      <c r="D104" s="1780">
        <f>H104*'REKAP RAB'!$K$3</f>
        <v>10.213200000000001</v>
      </c>
      <c r="E104" s="1622">
        <f>N104*'REKAP RAB'!$O$5</f>
        <v>5697241.3803999918</v>
      </c>
      <c r="F104" s="1682">
        <f t="shared" si="73"/>
        <v>58187065.666301198</v>
      </c>
      <c r="G104" s="1681" t="s">
        <v>2189</v>
      </c>
      <c r="H104" s="1780">
        <f>'REKAP Balok'!G267</f>
        <v>10.213200000000001</v>
      </c>
      <c r="I104" s="1667">
        <f t="shared" si="74"/>
        <v>3764122.9394782539</v>
      </c>
      <c r="J104" s="1666">
        <f t="shared" si="75"/>
        <v>1100000</v>
      </c>
      <c r="K104" s="1666">
        <f t="shared" si="76"/>
        <v>90000</v>
      </c>
      <c r="L104" s="1666"/>
      <c r="M104" s="1665"/>
      <c r="N104" s="1664">
        <f t="shared" si="77"/>
        <v>4954122.9394782539</v>
      </c>
      <c r="O104" s="1664">
        <f t="shared" si="78"/>
        <v>50597448.405479304</v>
      </c>
      <c r="P104" s="1670"/>
      <c r="R104" s="1670">
        <f>Analisa!F$185</f>
        <v>1398600</v>
      </c>
      <c r="S104" s="1670">
        <f>Analisa!G$185</f>
        <v>1100000</v>
      </c>
      <c r="T104" s="1670">
        <f>Analisa!H$185</f>
        <v>90000</v>
      </c>
      <c r="V104" s="1656">
        <f>'REKAP Balok'!W267</f>
        <v>10</v>
      </c>
      <c r="W104" s="1688">
        <f>Analisa!F$115</f>
        <v>87119.679000000004</v>
      </c>
      <c r="X104" s="1688">
        <f>Analisa!H$115</f>
        <v>0</v>
      </c>
      <c r="Y104" s="1781"/>
      <c r="Z104" s="1656">
        <f>'REKAP Balok'!X267</f>
        <v>143.1004213050758</v>
      </c>
      <c r="AA104" s="1670">
        <f>Analisa!$F$233</f>
        <v>10442.5</v>
      </c>
      <c r="AB104" s="1670"/>
      <c r="AC104" s="1670"/>
      <c r="AD104" s="1781"/>
      <c r="AE104" s="1781"/>
      <c r="AF104" s="1670">
        <f t="shared" si="79"/>
        <v>3764122.9394782539</v>
      </c>
      <c r="AG104" s="1670">
        <f t="shared" si="80"/>
        <v>1100000</v>
      </c>
      <c r="AH104" s="1670">
        <f t="shared" si="81"/>
        <v>90000</v>
      </c>
      <c r="AI104" s="1670"/>
      <c r="AJ104" s="1656"/>
      <c r="AK104" s="1656"/>
      <c r="AL104" s="1656"/>
      <c r="AM104" s="1684"/>
      <c r="AN104" s="1781"/>
      <c r="AO104" s="1781"/>
    </row>
    <row r="105" spans="1:41" s="1599" customFormat="1" ht="18">
      <c r="A105" s="2648"/>
      <c r="B105" s="1778" t="str">
        <f t="shared" si="72"/>
        <v xml:space="preserve"> - Sloof S24-2</v>
      </c>
      <c r="C105" s="1779" t="s">
        <v>1969</v>
      </c>
      <c r="D105" s="1780">
        <f>H105*'REKAP RAB'!$K$3</f>
        <v>4.8085500000000003</v>
      </c>
      <c r="E105" s="1622">
        <f>N105*'REKAP RAB'!$O$5</f>
        <v>6563850.528113164</v>
      </c>
      <c r="F105" s="1682">
        <f t="shared" si="73"/>
        <v>31562603.456958558</v>
      </c>
      <c r="G105" s="1681" t="s">
        <v>2284</v>
      </c>
      <c r="H105" s="1780">
        <f>'REKAP Balok'!G268</f>
        <v>4.8085500000000003</v>
      </c>
      <c r="I105" s="1667">
        <f t="shared" si="74"/>
        <v>4517696.1114027519</v>
      </c>
      <c r="J105" s="1666">
        <f t="shared" si="75"/>
        <v>1100000</v>
      </c>
      <c r="K105" s="1666">
        <f t="shared" si="76"/>
        <v>90000</v>
      </c>
      <c r="L105" s="1666"/>
      <c r="M105" s="1665"/>
      <c r="N105" s="1664">
        <f t="shared" si="77"/>
        <v>5707696.1114027519</v>
      </c>
      <c r="O105" s="1664">
        <f t="shared" si="78"/>
        <v>27445742.136485703</v>
      </c>
      <c r="P105" s="1670"/>
      <c r="R105" s="1670">
        <f>Analisa!F$185</f>
        <v>1398600</v>
      </c>
      <c r="S105" s="1670">
        <f>Analisa!G$185</f>
        <v>1100000</v>
      </c>
      <c r="T105" s="1670">
        <f>Analisa!H$185</f>
        <v>90000</v>
      </c>
      <c r="V105" s="1656">
        <f>'REKAP Balok'!W268</f>
        <v>10</v>
      </c>
      <c r="W105" s="1688">
        <f>Analisa!F$115</f>
        <v>87119.679000000004</v>
      </c>
      <c r="X105" s="1688">
        <f>Analisa!H$115</f>
        <v>0</v>
      </c>
      <c r="Y105" s="1781"/>
      <c r="Z105" s="1656">
        <f>'REKAP Balok'!X268</f>
        <v>215.26447894687587</v>
      </c>
      <c r="AA105" s="1670">
        <f>Analisa!$F$233</f>
        <v>10442.5</v>
      </c>
      <c r="AB105" s="1670"/>
      <c r="AC105" s="1670"/>
      <c r="AD105" s="1781"/>
      <c r="AE105" s="1781"/>
      <c r="AF105" s="1670">
        <f t="shared" si="79"/>
        <v>4517696.1114027519</v>
      </c>
      <c r="AG105" s="1670">
        <f t="shared" si="80"/>
        <v>1100000</v>
      </c>
      <c r="AH105" s="1670">
        <f t="shared" si="81"/>
        <v>90000</v>
      </c>
      <c r="AI105" s="1670"/>
      <c r="AJ105" s="1656"/>
      <c r="AK105" s="1656"/>
      <c r="AL105" s="1656"/>
      <c r="AM105" s="1684"/>
      <c r="AN105" s="1781"/>
      <c r="AO105" s="1781"/>
    </row>
    <row r="106" spans="1:41" s="1599" customFormat="1" ht="18" customHeight="1">
      <c r="A106" s="2648"/>
      <c r="B106" s="1778" t="str">
        <f t="shared" si="72"/>
        <v xml:space="preserve"> - Sloof S25-1</v>
      </c>
      <c r="C106" s="1779" t="s">
        <v>1969</v>
      </c>
      <c r="D106" s="1780">
        <f>H106*'REKAP RAB'!$K$3</f>
        <v>6.6012000000000013</v>
      </c>
      <c r="E106" s="1622">
        <f>N106*'REKAP RAB'!$O$5</f>
        <v>6448722.1664508963</v>
      </c>
      <c r="F106" s="1682">
        <f t="shared" si="73"/>
        <v>42569304.765175663</v>
      </c>
      <c r="G106" s="1681" t="s">
        <v>2190</v>
      </c>
      <c r="H106" s="1780">
        <f>'REKAP Balok'!G269</f>
        <v>6.6012000000000013</v>
      </c>
      <c r="I106" s="1667">
        <f t="shared" si="74"/>
        <v>4417584.4925659969</v>
      </c>
      <c r="J106" s="1666">
        <f t="shared" si="75"/>
        <v>1100000</v>
      </c>
      <c r="K106" s="1666">
        <f t="shared" si="76"/>
        <v>90000</v>
      </c>
      <c r="L106" s="1666"/>
      <c r="M106" s="1665"/>
      <c r="N106" s="1664">
        <f t="shared" si="77"/>
        <v>5607584.4925659969</v>
      </c>
      <c r="O106" s="1664">
        <f t="shared" si="78"/>
        <v>37016786.752326667</v>
      </c>
      <c r="P106" s="1670"/>
      <c r="R106" s="1670">
        <f>Analisa!F$185</f>
        <v>1398600</v>
      </c>
      <c r="S106" s="1670">
        <f>Analisa!G$185</f>
        <v>1100000</v>
      </c>
      <c r="T106" s="1670">
        <f>Analisa!H$185</f>
        <v>90000</v>
      </c>
      <c r="V106" s="1656">
        <f>'REKAP Balok'!W269</f>
        <v>9.9999999999999982</v>
      </c>
      <c r="W106" s="1688">
        <f>Analisa!F$115</f>
        <v>87119.679000000004</v>
      </c>
      <c r="X106" s="1688">
        <f>Analisa!H$115</f>
        <v>0</v>
      </c>
      <c r="Y106" s="1781"/>
      <c r="Z106" s="1656">
        <f>'REKAP Balok'!X269</f>
        <v>205.67753914924558</v>
      </c>
      <c r="AA106" s="1670">
        <f>Analisa!$F$233</f>
        <v>10442.5</v>
      </c>
      <c r="AB106" s="1670"/>
      <c r="AC106" s="1670"/>
      <c r="AD106" s="1781"/>
      <c r="AE106" s="1781"/>
      <c r="AF106" s="1670">
        <f t="shared" si="79"/>
        <v>4417584.4925659969</v>
      </c>
      <c r="AG106" s="1670">
        <f t="shared" si="80"/>
        <v>1100000</v>
      </c>
      <c r="AH106" s="1670">
        <f t="shared" si="81"/>
        <v>90000</v>
      </c>
      <c r="AI106" s="1670"/>
      <c r="AJ106" s="1656"/>
      <c r="AK106" s="1656"/>
      <c r="AL106" s="1656"/>
      <c r="AM106" s="1684"/>
      <c r="AN106" s="1781"/>
      <c r="AO106" s="1781"/>
    </row>
    <row r="107" spans="1:41" s="1599" customFormat="1" ht="18">
      <c r="A107" s="2648"/>
      <c r="B107" s="1778" t="str">
        <f t="shared" si="72"/>
        <v xml:space="preserve"> - Sloof S36-1</v>
      </c>
      <c r="C107" s="1779" t="s">
        <v>1969</v>
      </c>
      <c r="D107" s="1780">
        <f>H107*'REKAP RAB'!$K$3</f>
        <v>6.9390000000000009</v>
      </c>
      <c r="E107" s="1622">
        <f>N107*'REKAP RAB'!$O$5</f>
        <v>5320594.1282822294</v>
      </c>
      <c r="F107" s="1682">
        <f t="shared" si="73"/>
        <v>36919602.656150393</v>
      </c>
      <c r="G107" s="1681" t="s">
        <v>2285</v>
      </c>
      <c r="H107" s="1780">
        <f>'REKAP Balok'!G270</f>
        <v>6.9390000000000009</v>
      </c>
      <c r="I107" s="1667">
        <f t="shared" si="74"/>
        <v>3436603.589810635</v>
      </c>
      <c r="J107" s="1666">
        <f t="shared" si="75"/>
        <v>1100000</v>
      </c>
      <c r="K107" s="1666">
        <f t="shared" si="76"/>
        <v>90000</v>
      </c>
      <c r="L107" s="1666"/>
      <c r="M107" s="1665"/>
      <c r="N107" s="1664">
        <f t="shared" si="77"/>
        <v>4626603.589810635</v>
      </c>
      <c r="O107" s="1664">
        <f t="shared" si="78"/>
        <v>32104002.309696</v>
      </c>
      <c r="P107" s="1670"/>
      <c r="R107" s="1670">
        <f>Analisa!F$185</f>
        <v>1398600</v>
      </c>
      <c r="S107" s="1670">
        <f>Analisa!G$185</f>
        <v>1100000</v>
      </c>
      <c r="T107" s="1670">
        <f>Analisa!H$185</f>
        <v>90000</v>
      </c>
      <c r="V107" s="1656">
        <f>'REKAP Balok'!W270</f>
        <v>6.6666666666666661</v>
      </c>
      <c r="W107" s="1688">
        <f>Analisa!F$115</f>
        <v>87119.679000000004</v>
      </c>
      <c r="X107" s="1688">
        <f>Analisa!H$115</f>
        <v>0</v>
      </c>
      <c r="Y107" s="1781"/>
      <c r="Z107" s="1656">
        <f>'REKAP Balok'!X270</f>
        <v>139.54567678339816</v>
      </c>
      <c r="AA107" s="1670">
        <f>Analisa!$F$233</f>
        <v>10442.5</v>
      </c>
      <c r="AB107" s="1670"/>
      <c r="AC107" s="1670"/>
      <c r="AD107" s="1781"/>
      <c r="AE107" s="1781"/>
      <c r="AF107" s="1670">
        <f t="shared" si="79"/>
        <v>3436603.589810635</v>
      </c>
      <c r="AG107" s="1670">
        <f t="shared" si="80"/>
        <v>1100000</v>
      </c>
      <c r="AH107" s="1670">
        <f t="shared" si="81"/>
        <v>90000</v>
      </c>
      <c r="AI107" s="1670"/>
      <c r="AJ107" s="1656"/>
      <c r="AK107" s="1656"/>
      <c r="AL107" s="1656"/>
      <c r="AM107" s="1684"/>
      <c r="AN107" s="1781"/>
      <c r="AO107" s="1781"/>
    </row>
    <row r="108" spans="1:41" s="1599" customFormat="1" ht="18">
      <c r="A108" s="2648"/>
      <c r="B108" s="1778" t="str">
        <f>CONCATENATE(" - Balok ",G108)</f>
        <v xml:space="preserve"> - Balok B24-1</v>
      </c>
      <c r="C108" s="1779" t="s">
        <v>1969</v>
      </c>
      <c r="D108" s="1780">
        <f>H108*'REKAP RAB'!$K$3</f>
        <v>0.309</v>
      </c>
      <c r="E108" s="1622">
        <f>N108*'REKAP RAB'!$O$5</f>
        <v>6865702.3162386892</v>
      </c>
      <c r="F108" s="1682">
        <f t="shared" ref="F108" si="82">D108*E108</f>
        <v>2121502.0157177551</v>
      </c>
      <c r="G108" s="1681" t="s">
        <v>132</v>
      </c>
      <c r="H108" s="1780">
        <f>'REKAP Balok'!G274</f>
        <v>0.309</v>
      </c>
      <c r="I108" s="1667">
        <f t="shared" ref="I108" si="83">AF108</f>
        <v>4780175.9271640778</v>
      </c>
      <c r="J108" s="1666">
        <f t="shared" ref="J108" si="84">AG108</f>
        <v>1100000</v>
      </c>
      <c r="K108" s="1666">
        <f t="shared" ref="K108" si="85">AH108</f>
        <v>90000</v>
      </c>
      <c r="L108" s="1666"/>
      <c r="M108" s="1665"/>
      <c r="N108" s="1664">
        <f t="shared" ref="N108" si="86">SUM(I108:M108)</f>
        <v>5970175.9271640778</v>
      </c>
      <c r="O108" s="1664">
        <f t="shared" ref="O108" si="87">H108*N108</f>
        <v>1844784.3614937</v>
      </c>
      <c r="P108" s="1670"/>
      <c r="R108" s="1670">
        <f>Analisa!F$185</f>
        <v>1398600</v>
      </c>
      <c r="S108" s="1670">
        <f>Analisa!G$185</f>
        <v>1100000</v>
      </c>
      <c r="T108" s="1670">
        <f>Analisa!H$185</f>
        <v>90000</v>
      </c>
      <c r="V108" s="1656">
        <f>'REKAP Balok'!W274</f>
        <v>10</v>
      </c>
      <c r="W108" s="1688">
        <f>Analisa!F$115</f>
        <v>87119.679000000004</v>
      </c>
      <c r="X108" s="1688">
        <f>Analisa!H$115</f>
        <v>0</v>
      </c>
      <c r="Y108" s="1781"/>
      <c r="Z108" s="1656">
        <f>'REKAP Balok'!X274</f>
        <v>240.40020466019422</v>
      </c>
      <c r="AA108" s="1670">
        <f>Analisa!$F$233</f>
        <v>10442.5</v>
      </c>
      <c r="AB108" s="1670"/>
      <c r="AC108" s="1670"/>
      <c r="AD108" s="1781"/>
      <c r="AE108" s="1781"/>
      <c r="AF108" s="1670">
        <f t="shared" ref="AF108" si="88">R108+V108*W108+Z108*AA108</f>
        <v>4780175.9271640778</v>
      </c>
      <c r="AG108" s="1670">
        <f t="shared" ref="AG108" si="89">S108</f>
        <v>1100000</v>
      </c>
      <c r="AH108" s="1670">
        <f t="shared" ref="AH108" si="90">T108+V108*X108</f>
        <v>90000</v>
      </c>
      <c r="AI108" s="1670"/>
      <c r="AJ108" s="1656"/>
      <c r="AK108" s="1656"/>
      <c r="AL108" s="1656"/>
      <c r="AM108" s="1684"/>
      <c r="AN108" s="1781"/>
      <c r="AO108" s="1781"/>
    </row>
    <row r="109" spans="1:41" s="1599" customFormat="1" ht="18">
      <c r="A109" s="2648"/>
      <c r="B109" s="1778" t="str">
        <f t="shared" ref="B109:B110" si="91">CONCATENATE(" - Balok ",G109)</f>
        <v xml:space="preserve"> - Balok B24-2</v>
      </c>
      <c r="C109" s="1779" t="s">
        <v>1969</v>
      </c>
      <c r="D109" s="1780">
        <f>H109*'REKAP RAB'!$K$3</f>
        <v>0.1835</v>
      </c>
      <c r="E109" s="1622">
        <f>N109*'REKAP RAB'!$O$5</f>
        <v>8183521.7153801909</v>
      </c>
      <c r="F109" s="1682">
        <f t="shared" si="73"/>
        <v>1501676.234772265</v>
      </c>
      <c r="G109" s="1681" t="s">
        <v>133</v>
      </c>
      <c r="H109" s="1780">
        <f>'REKAP Balok'!G275</f>
        <v>0.1835</v>
      </c>
      <c r="I109" s="1667">
        <f t="shared" si="74"/>
        <v>5926105.839461036</v>
      </c>
      <c r="J109" s="1666">
        <f t="shared" si="75"/>
        <v>1100000</v>
      </c>
      <c r="K109" s="1666">
        <f t="shared" si="76"/>
        <v>90000</v>
      </c>
      <c r="L109" s="1666"/>
      <c r="M109" s="1665"/>
      <c r="N109" s="1664">
        <f t="shared" si="77"/>
        <v>7116105.839461036</v>
      </c>
      <c r="O109" s="1664">
        <f t="shared" si="78"/>
        <v>1305805.4215411001</v>
      </c>
      <c r="P109" s="1670"/>
      <c r="R109" s="1670">
        <f>Analisa!F$185</f>
        <v>1398600</v>
      </c>
      <c r="S109" s="1670">
        <f>Analisa!G$185</f>
        <v>1100000</v>
      </c>
      <c r="T109" s="1670">
        <f>Analisa!H$185</f>
        <v>90000</v>
      </c>
      <c r="V109" s="1656">
        <f>'REKAP Balok'!W275</f>
        <v>10</v>
      </c>
      <c r="W109" s="1688">
        <f>Analisa!F$115</f>
        <v>87119.679000000004</v>
      </c>
      <c r="X109" s="1688">
        <f>Analisa!H$115</f>
        <v>0</v>
      </c>
      <c r="Y109" s="1781"/>
      <c r="Z109" s="1656">
        <f>'REKAP Balok'!X275</f>
        <v>350.13732817438699</v>
      </c>
      <c r="AA109" s="1670">
        <f>Analisa!$F$233</f>
        <v>10442.5</v>
      </c>
      <c r="AB109" s="1670"/>
      <c r="AC109" s="1670"/>
      <c r="AD109" s="1781"/>
      <c r="AE109" s="1781"/>
      <c r="AF109" s="1670">
        <f t="shared" si="79"/>
        <v>5926105.839461036</v>
      </c>
      <c r="AG109" s="1670">
        <f t="shared" si="80"/>
        <v>1100000</v>
      </c>
      <c r="AH109" s="1670">
        <f t="shared" si="81"/>
        <v>90000</v>
      </c>
      <c r="AI109" s="1670"/>
      <c r="AJ109" s="1656"/>
      <c r="AK109" s="1656"/>
      <c r="AL109" s="1656"/>
      <c r="AM109" s="1684"/>
      <c r="AN109" s="1781"/>
      <c r="AO109" s="1781"/>
    </row>
    <row r="110" spans="1:41" s="1599" customFormat="1" ht="18">
      <c r="A110" s="2648"/>
      <c r="B110" s="1778" t="str">
        <f t="shared" si="91"/>
        <v xml:space="preserve"> - Balok B25-1</v>
      </c>
      <c r="C110" s="1779" t="s">
        <v>1969</v>
      </c>
      <c r="D110" s="1780">
        <f>H110*'REKAP RAB'!$K$3</f>
        <v>3.1496500000000003</v>
      </c>
      <c r="E110" s="1622">
        <f>N110*'REKAP RAB'!$O$5</f>
        <v>7139092.6121638007</v>
      </c>
      <c r="F110" s="1682">
        <f t="shared" si="73"/>
        <v>22485643.045901716</v>
      </c>
      <c r="G110" s="1681" t="s">
        <v>134</v>
      </c>
      <c r="H110" s="1780">
        <f>'REKAP Balok'!G277</f>
        <v>3.1496500000000003</v>
      </c>
      <c r="I110" s="1667">
        <f t="shared" si="74"/>
        <v>5017906.6192728709</v>
      </c>
      <c r="J110" s="1666">
        <f t="shared" si="75"/>
        <v>1100000</v>
      </c>
      <c r="K110" s="1666">
        <f t="shared" si="76"/>
        <v>90000</v>
      </c>
      <c r="L110" s="1666"/>
      <c r="M110" s="1665"/>
      <c r="N110" s="1664">
        <f t="shared" si="77"/>
        <v>6207906.6192728709</v>
      </c>
      <c r="O110" s="1664">
        <f t="shared" si="78"/>
        <v>19552733.083392799</v>
      </c>
      <c r="P110" s="1670"/>
      <c r="R110" s="1670">
        <f>Analisa!F$185</f>
        <v>1398600</v>
      </c>
      <c r="S110" s="1670">
        <f>Analisa!G$185</f>
        <v>1100000</v>
      </c>
      <c r="T110" s="1670">
        <f>Analisa!H$185</f>
        <v>90000</v>
      </c>
      <c r="V110" s="1656">
        <f>'REKAP Balok'!W277</f>
        <v>9.9999999999999982</v>
      </c>
      <c r="W110" s="1688">
        <f>Analisa!F$115</f>
        <v>87119.679000000004</v>
      </c>
      <c r="X110" s="1688">
        <f>Analisa!H$115</f>
        <v>0</v>
      </c>
      <c r="Y110" s="1781"/>
      <c r="Z110" s="1656">
        <f>'REKAP Balok'!X277</f>
        <v>263.16589219754576</v>
      </c>
      <c r="AA110" s="1670">
        <f>Analisa!$F$233</f>
        <v>10442.5</v>
      </c>
      <c r="AB110" s="1670"/>
      <c r="AC110" s="1670"/>
      <c r="AD110" s="1781"/>
      <c r="AE110" s="1781"/>
      <c r="AF110" s="1670">
        <f t="shared" si="79"/>
        <v>5017906.6192728709</v>
      </c>
      <c r="AG110" s="1670">
        <f t="shared" si="80"/>
        <v>1100000</v>
      </c>
      <c r="AH110" s="1670">
        <f t="shared" si="81"/>
        <v>90000</v>
      </c>
      <c r="AI110" s="1670"/>
      <c r="AJ110" s="1656"/>
      <c r="AK110" s="1656"/>
      <c r="AL110" s="1656"/>
      <c r="AM110" s="1684"/>
      <c r="AN110" s="1781"/>
      <c r="AO110" s="1781"/>
    </row>
    <row r="111" spans="1:41" s="1599" customFormat="1" ht="18.75" customHeight="1">
      <c r="A111" s="2648"/>
      <c r="B111" s="1812"/>
      <c r="C111" s="1779"/>
      <c r="D111" s="1780"/>
      <c r="E111" s="1622"/>
      <c r="F111" s="1682"/>
      <c r="G111" s="1681"/>
      <c r="H111" s="1780"/>
      <c r="I111" s="1834"/>
      <c r="J111" s="1666"/>
      <c r="K111" s="1666"/>
      <c r="L111" s="1666"/>
      <c r="M111" s="1665"/>
      <c r="N111" s="1664"/>
      <c r="O111" s="1664"/>
      <c r="P111" s="1670"/>
      <c r="R111" s="1670"/>
      <c r="S111" s="1670"/>
      <c r="T111" s="1670"/>
      <c r="V111" s="1656"/>
      <c r="W111" s="1688"/>
      <c r="X111" s="1688"/>
      <c r="Y111" s="1781"/>
      <c r="Z111" s="1656"/>
      <c r="AA111" s="1670"/>
      <c r="AB111" s="1670"/>
      <c r="AC111" s="1670"/>
      <c r="AD111" s="1781"/>
      <c r="AE111" s="1781"/>
      <c r="AF111" s="1670"/>
      <c r="AG111" s="1670"/>
      <c r="AH111" s="1670"/>
      <c r="AI111" s="1670"/>
      <c r="AJ111" s="1656"/>
      <c r="AK111" s="1656"/>
      <c r="AL111" s="1656"/>
      <c r="AM111" s="1684"/>
      <c r="AN111" s="1781"/>
      <c r="AO111" s="1781"/>
    </row>
    <row r="112" spans="1:41" s="1599" customFormat="1" ht="18.75" customHeight="1">
      <c r="A112" s="2650">
        <v>3</v>
      </c>
      <c r="B112" s="1809" t="s">
        <v>2071</v>
      </c>
      <c r="C112" s="1813"/>
      <c r="D112" s="1798"/>
      <c r="E112" s="1803"/>
      <c r="F112" s="1798"/>
      <c r="H112" s="1798"/>
      <c r="I112" s="1667"/>
      <c r="J112" s="1666"/>
      <c r="K112" s="1666"/>
      <c r="L112" s="1666"/>
      <c r="M112" s="1665"/>
      <c r="N112" s="1664"/>
      <c r="O112" s="1664"/>
      <c r="R112" s="1656"/>
      <c r="S112" s="1656"/>
      <c r="T112" s="1656"/>
      <c r="V112" s="1656"/>
      <c r="W112" s="1781"/>
      <c r="X112" s="1781"/>
      <c r="Y112" s="1781"/>
      <c r="Z112" s="1656"/>
      <c r="AA112" s="1781"/>
      <c r="AB112" s="1781"/>
      <c r="AC112" s="1781"/>
      <c r="AD112" s="1781"/>
      <c r="AE112" s="1781"/>
      <c r="AF112" s="1781"/>
      <c r="AG112" s="1781"/>
      <c r="AI112" s="1781"/>
      <c r="AJ112" s="1656">
        <f>SUMPRODUCT(H113:H121,V113:V121)</f>
        <v>388.61904290062847</v>
      </c>
      <c r="AK112" s="1656"/>
      <c r="AL112" s="1656">
        <f>SUMPRODUCT(H113:H121,Z113:Z121)</f>
        <v>7128.9559384113591</v>
      </c>
      <c r="AM112" s="1781" t="s">
        <v>1968</v>
      </c>
      <c r="AN112" s="1781"/>
      <c r="AO112" s="1781"/>
    </row>
    <row r="113" spans="1:41" s="1599" customFormat="1" ht="18.75" customHeight="1">
      <c r="A113" s="2648"/>
      <c r="B113" s="1778" t="str">
        <f t="shared" ref="B113:B116" si="92">CONCATENATE(" - Kolom ",G113)</f>
        <v xml:space="preserve"> - Kolom K24</v>
      </c>
      <c r="C113" s="1779" t="s">
        <v>1969</v>
      </c>
      <c r="D113" s="1780">
        <f>H113*'REKAP RAB'!$K$3</f>
        <v>0.81600000000000006</v>
      </c>
      <c r="E113" s="1622">
        <f>N113*'REKAP RAB'!$O$5</f>
        <v>9571635.803800188</v>
      </c>
      <c r="F113" s="1682">
        <f t="shared" ref="F113:F116" si="93">D113*E113</f>
        <v>7810454.8159009544</v>
      </c>
      <c r="G113" s="2084" t="s">
        <v>2337</v>
      </c>
      <c r="H113" s="1780">
        <f>'Hasil-Kolom'!F152</f>
        <v>0.81600000000000006</v>
      </c>
      <c r="I113" s="1667">
        <f t="shared" ref="I113:I116" si="94">AF113</f>
        <v>6458161.5685219029</v>
      </c>
      <c r="J113" s="1666">
        <f t="shared" ref="J113:J121" si="95">AG113</f>
        <v>1600000</v>
      </c>
      <c r="K113" s="1666">
        <f t="shared" ref="K113:K116" si="96">AH113</f>
        <v>265000</v>
      </c>
      <c r="L113" s="1666"/>
      <c r="M113" s="1665"/>
      <c r="N113" s="1664">
        <f t="shared" ref="N113:N116" si="97">SUM(I113:M113)</f>
        <v>8323161.5685219029</v>
      </c>
      <c r="O113" s="1664">
        <f t="shared" ref="O113:O116" si="98">H113*N113</f>
        <v>6791699.839913873</v>
      </c>
      <c r="P113" s="1670"/>
      <c r="R113" s="1670">
        <f>Analisa!$F$193</f>
        <v>1223775</v>
      </c>
      <c r="S113" s="1670">
        <f>Analisa!$G$193</f>
        <v>1600000</v>
      </c>
      <c r="T113" s="1670">
        <f>Analisa!$H$193</f>
        <v>265000</v>
      </c>
      <c r="V113" s="1656">
        <f>'Hasil-Kolom'!V152</f>
        <v>14.999999999999996</v>
      </c>
      <c r="W113" s="1670">
        <f>Analisa!$F$132</f>
        <v>130953.94736842104</v>
      </c>
      <c r="X113" s="1670"/>
      <c r="Y113" s="1781"/>
      <c r="Z113" s="1656">
        <f>'Hasil-Kolom'!W152</f>
        <v>313.15081235294116</v>
      </c>
      <c r="AA113" s="1670">
        <f>Analisa!$F$233</f>
        <v>10442.5</v>
      </c>
      <c r="AB113" s="1670"/>
      <c r="AC113" s="1670"/>
      <c r="AD113" s="1781"/>
      <c r="AE113" s="1781"/>
      <c r="AF113" s="1670">
        <f t="shared" ref="AF113:AF116" si="99">R113+V113*W113+Z113*AA113</f>
        <v>6458161.5685219029</v>
      </c>
      <c r="AG113" s="1670">
        <f t="shared" ref="AG113:AG116" si="100">S113</f>
        <v>1600000</v>
      </c>
      <c r="AH113" s="1670">
        <f t="shared" ref="AH113:AH116" si="101">T113+V113*X113</f>
        <v>265000</v>
      </c>
      <c r="AI113" s="1670"/>
      <c r="AJ113" s="1656"/>
      <c r="AK113" s="1656"/>
      <c r="AL113" s="1656"/>
      <c r="AM113" s="1781"/>
      <c r="AN113" s="1781"/>
      <c r="AO113" s="1781"/>
    </row>
    <row r="114" spans="1:41" s="1599" customFormat="1" ht="18.75" customHeight="1">
      <c r="A114" s="2648"/>
      <c r="B114" s="1778" t="str">
        <f t="shared" ref="B114" si="102">CONCATENATE(" - Kolom ",G114)</f>
        <v xml:space="preserve"> - Kolom K25</v>
      </c>
      <c r="C114" s="1779" t="s">
        <v>1969</v>
      </c>
      <c r="D114" s="1780">
        <f>H114*'REKAP RAB'!$K$3</f>
        <v>1.6500000000000001</v>
      </c>
      <c r="E114" s="1622">
        <f>N114*'REKAP RAB'!$O$5</f>
        <v>8971745.2829678524</v>
      </c>
      <c r="F114" s="1682">
        <f t="shared" ref="F114" si="103">D114*E114</f>
        <v>14803379.716896957</v>
      </c>
      <c r="G114" s="2084" t="s">
        <v>2193</v>
      </c>
      <c r="H114" s="1780">
        <f>'Hasil-Kolom'!F153</f>
        <v>1.6500000000000001</v>
      </c>
      <c r="I114" s="1667">
        <f t="shared" ref="I114" si="104">AF114</f>
        <v>5936517.63736335</v>
      </c>
      <c r="J114" s="1666">
        <f t="shared" si="95"/>
        <v>1600000</v>
      </c>
      <c r="K114" s="1666">
        <f t="shared" ref="K114" si="105">AH114</f>
        <v>265000</v>
      </c>
      <c r="L114" s="1666"/>
      <c r="M114" s="1665"/>
      <c r="N114" s="1664">
        <f t="shared" ref="N114" si="106">SUM(I114:M114)</f>
        <v>7801517.63736335</v>
      </c>
      <c r="O114" s="1664">
        <f t="shared" ref="O114" si="107">H114*N114</f>
        <v>12872504.101649528</v>
      </c>
      <c r="P114" s="1670"/>
      <c r="R114" s="1670">
        <f>Analisa!$F$193</f>
        <v>1223775</v>
      </c>
      <c r="S114" s="1670">
        <f>Analisa!$G$193</f>
        <v>1600000</v>
      </c>
      <c r="T114" s="1670">
        <f>Analisa!$H$193</f>
        <v>265000</v>
      </c>
      <c r="V114" s="1656">
        <f>'Hasil-Kolom'!V153</f>
        <v>14</v>
      </c>
      <c r="W114" s="1670">
        <f>Analisa!$F$132</f>
        <v>130953.94736842104</v>
      </c>
      <c r="X114" s="1670"/>
      <c r="Y114" s="1781"/>
      <c r="Z114" s="1656">
        <f>'Hasil-Kolom'!W153</f>
        <v>275.7373592727273</v>
      </c>
      <c r="AA114" s="1670">
        <f>Analisa!$F$233</f>
        <v>10442.5</v>
      </c>
      <c r="AB114" s="1670"/>
      <c r="AC114" s="1670"/>
      <c r="AD114" s="1781"/>
      <c r="AE114" s="1781"/>
      <c r="AF114" s="1670">
        <f t="shared" ref="AF114" si="108">R114+V114*W114+Z114*AA114</f>
        <v>5936517.63736335</v>
      </c>
      <c r="AG114" s="1670">
        <f t="shared" ref="AG114" si="109">S114</f>
        <v>1600000</v>
      </c>
      <c r="AH114" s="1670">
        <f t="shared" ref="AH114" si="110">T114+V114*X114</f>
        <v>265000</v>
      </c>
      <c r="AI114" s="1670"/>
      <c r="AJ114" s="1656"/>
      <c r="AK114" s="1656"/>
      <c r="AL114" s="1656"/>
      <c r="AM114" s="1781"/>
      <c r="AN114" s="1781"/>
      <c r="AO114" s="1781"/>
    </row>
    <row r="115" spans="1:41" s="1599" customFormat="1" ht="18.75" customHeight="1">
      <c r="A115" s="1805"/>
      <c r="B115" s="1778" t="str">
        <f t="shared" si="92"/>
        <v xml:space="preserve"> - Kolom K26</v>
      </c>
      <c r="C115" s="1779" t="s">
        <v>1969</v>
      </c>
      <c r="D115" s="1780">
        <f>H115*'REKAP RAB'!$K$3</f>
        <v>5.3879999999999999</v>
      </c>
      <c r="E115" s="1622">
        <f>N115*'REKAP RAB'!$O$5</f>
        <v>8701418.357222734</v>
      </c>
      <c r="F115" s="1682">
        <f t="shared" si="93"/>
        <v>46883242.108716093</v>
      </c>
      <c r="G115" s="1681" t="s">
        <v>2295</v>
      </c>
      <c r="H115" s="1780">
        <f>'Hasil-Kolom'!F154</f>
        <v>5.3879999999999999</v>
      </c>
      <c r="I115" s="1667">
        <f t="shared" si="94"/>
        <v>5701450.7454110738</v>
      </c>
      <c r="J115" s="1666">
        <f t="shared" si="95"/>
        <v>1600000</v>
      </c>
      <c r="K115" s="1666">
        <f t="shared" si="96"/>
        <v>265000</v>
      </c>
      <c r="L115" s="1666"/>
      <c r="M115" s="1665"/>
      <c r="N115" s="1664">
        <f t="shared" si="97"/>
        <v>7566450.7454110738</v>
      </c>
      <c r="O115" s="1664">
        <f t="shared" si="98"/>
        <v>40768036.616274863</v>
      </c>
      <c r="P115" s="1670"/>
      <c r="R115" s="1670">
        <f>Analisa!$F$193</f>
        <v>1223775</v>
      </c>
      <c r="S115" s="1670">
        <f>Analisa!$G$193</f>
        <v>1600000</v>
      </c>
      <c r="T115" s="1670">
        <f>Analisa!$H$193</f>
        <v>265000</v>
      </c>
      <c r="V115" s="1656">
        <f>'Hasil-Kolom'!V154</f>
        <v>13.333333333333334</v>
      </c>
      <c r="W115" s="1670">
        <f>Analisa!$F$132</f>
        <v>130953.94736842104</v>
      </c>
      <c r="X115" s="1670"/>
      <c r="Y115" s="1781"/>
      <c r="Z115" s="1656">
        <f>'Hasil-Kolom'!W154</f>
        <v>261.58708296213808</v>
      </c>
      <c r="AA115" s="1670">
        <f>Analisa!$F$233</f>
        <v>10442.5</v>
      </c>
      <c r="AB115" s="1670"/>
      <c r="AC115" s="1670"/>
      <c r="AD115" s="1781"/>
      <c r="AE115" s="1781"/>
      <c r="AF115" s="1670">
        <f t="shared" si="99"/>
        <v>5701450.7454110738</v>
      </c>
      <c r="AG115" s="1670">
        <f t="shared" si="100"/>
        <v>1600000</v>
      </c>
      <c r="AH115" s="1670">
        <f t="shared" si="101"/>
        <v>265000</v>
      </c>
      <c r="AI115" s="1670"/>
      <c r="AJ115" s="1656"/>
      <c r="AK115" s="1656"/>
      <c r="AL115" s="1656"/>
      <c r="AM115" s="1781"/>
      <c r="AN115" s="1781"/>
      <c r="AO115" s="1781"/>
    </row>
    <row r="116" spans="1:41" s="1599" customFormat="1" ht="18.75" customHeight="1">
      <c r="A116" s="1805"/>
      <c r="B116" s="1778" t="str">
        <f t="shared" si="92"/>
        <v xml:space="preserve"> - Kolom K2A5</v>
      </c>
      <c r="C116" s="1779" t="s">
        <v>1969</v>
      </c>
      <c r="D116" s="1780">
        <f>H116*'REKAP RAB'!$K$3</f>
        <v>1.1499999999999999</v>
      </c>
      <c r="E116" s="1622">
        <f>N116*'REKAP RAB'!$O$5</f>
        <v>8161146.4851552108</v>
      </c>
      <c r="F116" s="1682">
        <f t="shared" si="93"/>
        <v>9385318.4579284918</v>
      </c>
      <c r="G116" s="1681" t="s">
        <v>2296</v>
      </c>
      <c r="H116" s="1780">
        <f>'Hasil-Kolom'!F155</f>
        <v>1.1499999999999999</v>
      </c>
      <c r="I116" s="1667">
        <f t="shared" si="94"/>
        <v>5231649.1175262704</v>
      </c>
      <c r="J116" s="1666">
        <f t="shared" si="95"/>
        <v>1600000</v>
      </c>
      <c r="K116" s="1666">
        <f t="shared" si="96"/>
        <v>265000</v>
      </c>
      <c r="L116" s="1666"/>
      <c r="M116" s="1665"/>
      <c r="N116" s="1664">
        <f t="shared" si="97"/>
        <v>7096649.1175262704</v>
      </c>
      <c r="O116" s="1664">
        <f t="shared" si="98"/>
        <v>8161146.4851552108</v>
      </c>
      <c r="P116" s="1670"/>
      <c r="R116" s="1670">
        <f>Analisa!$F$193</f>
        <v>1223775</v>
      </c>
      <c r="S116" s="1670">
        <f>Analisa!$G$193</f>
        <v>1600000</v>
      </c>
      <c r="T116" s="1670">
        <f>Analisa!$H$193</f>
        <v>265000</v>
      </c>
      <c r="V116" s="1656">
        <f>'Hasil-Kolom'!V155</f>
        <v>12.000000000000002</v>
      </c>
      <c r="W116" s="1670">
        <f>Analisa!$F$132</f>
        <v>130953.94736842104</v>
      </c>
      <c r="X116" s="1670"/>
      <c r="Y116" s="1781"/>
      <c r="Z116" s="1656">
        <f>'Hasil-Kolom'!W155</f>
        <v>233.31833843478265</v>
      </c>
      <c r="AA116" s="1670">
        <f>Analisa!$F$233</f>
        <v>10442.5</v>
      </c>
      <c r="AB116" s="1670"/>
      <c r="AC116" s="1670"/>
      <c r="AD116" s="1781"/>
      <c r="AE116" s="1781"/>
      <c r="AF116" s="1670">
        <f t="shared" si="99"/>
        <v>5231649.1175262704</v>
      </c>
      <c r="AG116" s="1670">
        <f t="shared" si="100"/>
        <v>1600000</v>
      </c>
      <c r="AH116" s="1670">
        <f t="shared" si="101"/>
        <v>265000</v>
      </c>
      <c r="AI116" s="1670"/>
      <c r="AJ116" s="1656"/>
      <c r="AK116" s="1656"/>
      <c r="AL116" s="1656"/>
      <c r="AM116" s="1781"/>
      <c r="AN116" s="1781"/>
      <c r="AO116" s="1781"/>
    </row>
    <row r="117" spans="1:41" s="1599" customFormat="1" ht="18.75" customHeight="1">
      <c r="A117" s="1805"/>
      <c r="B117" s="1778" t="str">
        <f t="shared" ref="B117:B118" si="111">CONCATENATE(" - Kolom ",G117)</f>
        <v xml:space="preserve"> - Kolom K2A6</v>
      </c>
      <c r="C117" s="1779" t="s">
        <v>1969</v>
      </c>
      <c r="D117" s="1780">
        <f>H117*'REKAP RAB'!$K$3</f>
        <v>0.69</v>
      </c>
      <c r="E117" s="1622">
        <f>N117*'REKAP RAB'!$O$5</f>
        <v>8045116.6190309208</v>
      </c>
      <c r="F117" s="1682">
        <f t="shared" ref="F117:F118" si="112">D117*E117</f>
        <v>5551130.4671313353</v>
      </c>
      <c r="G117" s="1681" t="s">
        <v>2298</v>
      </c>
      <c r="H117" s="1780">
        <f>'Hasil-Kolom'!F156</f>
        <v>0.69</v>
      </c>
      <c r="I117" s="1667">
        <f t="shared" ref="I117:I118" si="113">AF117</f>
        <v>5130753.5817660186</v>
      </c>
      <c r="J117" s="1666">
        <f t="shared" si="95"/>
        <v>1600000</v>
      </c>
      <c r="K117" s="1666">
        <f t="shared" ref="K117:K118" si="114">AH117</f>
        <v>265000</v>
      </c>
      <c r="L117" s="1666"/>
      <c r="M117" s="1665"/>
      <c r="N117" s="1664">
        <f t="shared" ref="N117:N118" si="115">SUM(I117:M117)</f>
        <v>6995753.5817660186</v>
      </c>
      <c r="O117" s="1664">
        <f t="shared" ref="O117:O118" si="116">H117*N117</f>
        <v>4827069.9714185521</v>
      </c>
      <c r="P117" s="1670"/>
      <c r="R117" s="1670">
        <f>Analisa!$F$193</f>
        <v>1223775</v>
      </c>
      <c r="S117" s="1670">
        <f>Analisa!$G$193</f>
        <v>1600000</v>
      </c>
      <c r="T117" s="1670">
        <f>Analisa!$H$193</f>
        <v>265000</v>
      </c>
      <c r="V117" s="1656">
        <f>'Hasil-Kolom'!V156</f>
        <v>11.333333333333334</v>
      </c>
      <c r="W117" s="1670">
        <f>Analisa!$F$132</f>
        <v>130953.94736842104</v>
      </c>
      <c r="X117" s="1670"/>
      <c r="Y117" s="1781"/>
      <c r="Z117" s="1656">
        <f>'Hasil-Kolom'!W156</f>
        <v>232.01664782608697</v>
      </c>
      <c r="AA117" s="1670">
        <f>Analisa!$F$233</f>
        <v>10442.5</v>
      </c>
      <c r="AB117" s="1670"/>
      <c r="AC117" s="1670"/>
      <c r="AD117" s="1781"/>
      <c r="AE117" s="1781"/>
      <c r="AF117" s="1670">
        <f t="shared" ref="AF117:AF118" si="117">R117+V117*W117+Z117*AA117</f>
        <v>5130753.5817660186</v>
      </c>
      <c r="AG117" s="1670">
        <f t="shared" ref="AG117:AG118" si="118">S117</f>
        <v>1600000</v>
      </c>
      <c r="AH117" s="1670">
        <f t="shared" ref="AH117:AH118" si="119">T117+V117*X117</f>
        <v>265000</v>
      </c>
      <c r="AI117" s="1670"/>
      <c r="AJ117" s="1656"/>
      <c r="AK117" s="1656"/>
      <c r="AL117" s="1656"/>
      <c r="AM117" s="1781"/>
      <c r="AN117" s="1781"/>
      <c r="AO117" s="1781"/>
    </row>
    <row r="118" spans="1:41" s="1599" customFormat="1" ht="18.75" customHeight="1">
      <c r="A118" s="1805"/>
      <c r="B118" s="1778" t="str">
        <f t="shared" si="111"/>
        <v xml:space="preserve"> - Kolom K4</v>
      </c>
      <c r="C118" s="1779" t="s">
        <v>1969</v>
      </c>
      <c r="D118" s="1780">
        <f>H118*'REKAP RAB'!$K$3</f>
        <v>5.6643999999999988</v>
      </c>
      <c r="E118" s="1622">
        <f>N118*'REKAP RAB'!$O$5</f>
        <v>9547918.7573512867</v>
      </c>
      <c r="F118" s="1682">
        <f t="shared" si="112"/>
        <v>54083231.009140618</v>
      </c>
      <c r="G118" s="1681" t="s">
        <v>2294</v>
      </c>
      <c r="H118" s="1780">
        <f>'Hasil-Kolom'!F157</f>
        <v>5.6643999999999988</v>
      </c>
      <c r="I118" s="1667">
        <f t="shared" si="113"/>
        <v>6437538.0498706847</v>
      </c>
      <c r="J118" s="1666">
        <f t="shared" si="95"/>
        <v>1600000</v>
      </c>
      <c r="K118" s="1666">
        <f t="shared" si="114"/>
        <v>265000</v>
      </c>
      <c r="L118" s="1666"/>
      <c r="M118" s="1665"/>
      <c r="N118" s="1664">
        <f t="shared" si="115"/>
        <v>8302538.0498706847</v>
      </c>
      <c r="O118" s="1664">
        <f t="shared" si="116"/>
        <v>47028896.529687494</v>
      </c>
      <c r="P118" s="1670"/>
      <c r="R118" s="1670">
        <f>Analisa!$F$193</f>
        <v>1223775</v>
      </c>
      <c r="S118" s="1670">
        <f>Analisa!$G$193</f>
        <v>1600000</v>
      </c>
      <c r="T118" s="1670">
        <f>Analisa!$H$193</f>
        <v>265000</v>
      </c>
      <c r="V118" s="1656">
        <f>'Hasil-Kolom'!V157</f>
        <v>16.764705882352942</v>
      </c>
      <c r="W118" s="1670">
        <f>Analisa!$F$132</f>
        <v>130953.94736842104</v>
      </c>
      <c r="X118" s="1670"/>
      <c r="Y118" s="1781"/>
      <c r="Z118" s="1656">
        <f>'Hasil-Kolom'!W157</f>
        <v>289.04559617964844</v>
      </c>
      <c r="AA118" s="1670">
        <f>Analisa!$F$233</f>
        <v>10442.5</v>
      </c>
      <c r="AB118" s="1670"/>
      <c r="AC118" s="1670"/>
      <c r="AD118" s="1781"/>
      <c r="AE118" s="1781"/>
      <c r="AF118" s="1670">
        <f t="shared" si="117"/>
        <v>6437538.0498706847</v>
      </c>
      <c r="AG118" s="1670">
        <f t="shared" si="118"/>
        <v>1600000</v>
      </c>
      <c r="AH118" s="1670">
        <f t="shared" si="119"/>
        <v>265000</v>
      </c>
      <c r="AI118" s="1670"/>
      <c r="AJ118" s="1656"/>
      <c r="AK118" s="1656"/>
      <c r="AL118" s="1656"/>
      <c r="AM118" s="1781"/>
      <c r="AN118" s="1781"/>
      <c r="AO118" s="1781"/>
    </row>
    <row r="119" spans="1:41" s="1599" customFormat="1" ht="18.75" customHeight="1">
      <c r="A119" s="1805"/>
      <c r="B119" s="1778" t="str">
        <f t="shared" ref="B119:B121" si="120">CONCATENATE(" - Kolom ",G119)</f>
        <v xml:space="preserve"> - Kolom KB2A</v>
      </c>
      <c r="C119" s="1779" t="s">
        <v>1969</v>
      </c>
      <c r="D119" s="1780">
        <f>H119*'REKAP RAB'!$K$3</f>
        <v>3.966260725157114</v>
      </c>
      <c r="E119" s="1622">
        <f>N119*'REKAP RAB'!$O$5</f>
        <v>5460988.7437894903</v>
      </c>
      <c r="F119" s="1682">
        <f t="shared" ref="F119:F121" si="121">D119*E119</f>
        <v>21659705.175017342</v>
      </c>
      <c r="G119" s="1681" t="s">
        <v>2297</v>
      </c>
      <c r="H119" s="1780">
        <f>'Hasil-Kolom'!F161</f>
        <v>3.966260725157114</v>
      </c>
      <c r="I119" s="1667">
        <f t="shared" ref="I119:I121" si="122">AF119</f>
        <v>2883685.8641647743</v>
      </c>
      <c r="J119" s="1666">
        <f t="shared" si="95"/>
        <v>1600000</v>
      </c>
      <c r="K119" s="1666">
        <f t="shared" ref="K119:K121" si="123">AH119</f>
        <v>265000</v>
      </c>
      <c r="L119" s="1666"/>
      <c r="M119" s="1665"/>
      <c r="N119" s="1664">
        <f t="shared" ref="N119:N121" si="124">SUM(I119:M119)</f>
        <v>4748685.8641647743</v>
      </c>
      <c r="O119" s="1664">
        <f t="shared" ref="O119:O121" si="125">H119*N119</f>
        <v>18834526.239145514</v>
      </c>
      <c r="P119" s="1670"/>
      <c r="R119" s="1670">
        <f>Analisa!$F$193</f>
        <v>1223775</v>
      </c>
      <c r="S119" s="1670">
        <f>Analisa!$G$193</f>
        <v>1600000</v>
      </c>
      <c r="T119" s="1670">
        <f>Analisa!$H$193</f>
        <v>265000</v>
      </c>
      <c r="V119" s="1656">
        <f>'Hasil-Kolom'!V161</f>
        <v>4</v>
      </c>
      <c r="W119" s="1670">
        <f>Analisa!$F$132</f>
        <v>130953.94736842104</v>
      </c>
      <c r="X119" s="1670"/>
      <c r="Y119" s="1781"/>
      <c r="Z119" s="1656">
        <f>'Hasil-Kolom'!W161</f>
        <v>108.79531478966626</v>
      </c>
      <c r="AA119" s="1670">
        <f>Analisa!$F$233</f>
        <v>10442.5</v>
      </c>
      <c r="AB119" s="1670"/>
      <c r="AC119" s="1670"/>
      <c r="AD119" s="1781"/>
      <c r="AE119" s="1781"/>
      <c r="AF119" s="1670">
        <f t="shared" ref="AF119:AF121" si="126">R119+V119*W119+Z119*AA119</f>
        <v>2883685.8641647743</v>
      </c>
      <c r="AG119" s="1670">
        <f t="shared" ref="AG119:AG121" si="127">S119</f>
        <v>1600000</v>
      </c>
      <c r="AH119" s="1670">
        <f t="shared" ref="AH119:AH121" si="128">T119+V119*X119</f>
        <v>265000</v>
      </c>
      <c r="AI119" s="1670"/>
      <c r="AJ119" s="1656"/>
      <c r="AK119" s="1656"/>
      <c r="AL119" s="1656"/>
      <c r="AM119" s="1781"/>
      <c r="AN119" s="1781"/>
      <c r="AO119" s="1781"/>
    </row>
    <row r="120" spans="1:41" s="1599" customFormat="1" ht="18.75" customHeight="1">
      <c r="A120" s="1805"/>
      <c r="B120" s="1778" t="str">
        <f t="shared" si="120"/>
        <v xml:space="preserve"> - Kolom KL55</v>
      </c>
      <c r="C120" s="1779" t="s">
        <v>1969</v>
      </c>
      <c r="D120" s="1780">
        <f>H120*'REKAP RAB'!$K$3</f>
        <v>6.5790000000000006</v>
      </c>
      <c r="E120" s="1622">
        <f>N120*'REKAP RAB'!$O$5</f>
        <v>8877172.006772073</v>
      </c>
      <c r="F120" s="1682">
        <f t="shared" si="121"/>
        <v>58402914.632553473</v>
      </c>
      <c r="G120" s="1681" t="s">
        <v>2293</v>
      </c>
      <c r="H120" s="1780">
        <f>'Hasil-Kolom'!F162</f>
        <v>6.5790000000000006</v>
      </c>
      <c r="I120" s="1667">
        <f t="shared" si="122"/>
        <v>5854280.0058887601</v>
      </c>
      <c r="J120" s="1666">
        <f t="shared" si="95"/>
        <v>1600000</v>
      </c>
      <c r="K120" s="1666">
        <f t="shared" si="123"/>
        <v>265000</v>
      </c>
      <c r="L120" s="1666"/>
      <c r="M120" s="1665"/>
      <c r="N120" s="1664">
        <f t="shared" si="124"/>
        <v>7719280.0058887601</v>
      </c>
      <c r="O120" s="1664">
        <f t="shared" si="125"/>
        <v>50785143.15874216</v>
      </c>
      <c r="P120" s="1670"/>
      <c r="R120" s="1670">
        <f>Analisa!$F$193</f>
        <v>1223775</v>
      </c>
      <c r="S120" s="1670">
        <f>Analisa!$G$193</f>
        <v>1600000</v>
      </c>
      <c r="T120" s="1670">
        <f>Analisa!$H$193</f>
        <v>265000</v>
      </c>
      <c r="V120" s="1656">
        <f>'Hasil-Kolom'!V162</f>
        <v>15.764705882352937</v>
      </c>
      <c r="W120" s="1670">
        <f>Analisa!$F$132</f>
        <v>130953.94736842104</v>
      </c>
      <c r="X120" s="1670"/>
      <c r="Y120" s="1781"/>
      <c r="Z120" s="1656">
        <f>'Hasil-Kolom'!W162</f>
        <v>245.73182106703152</v>
      </c>
      <c r="AA120" s="1670">
        <f>Analisa!$F$233</f>
        <v>10442.5</v>
      </c>
      <c r="AB120" s="1670"/>
      <c r="AC120" s="1670"/>
      <c r="AD120" s="1781"/>
      <c r="AE120" s="1781"/>
      <c r="AF120" s="1670">
        <f t="shared" si="126"/>
        <v>5854280.0058887601</v>
      </c>
      <c r="AG120" s="1670">
        <f t="shared" si="127"/>
        <v>1600000</v>
      </c>
      <c r="AH120" s="1670">
        <f t="shared" si="128"/>
        <v>265000</v>
      </c>
      <c r="AI120" s="1670"/>
      <c r="AJ120" s="1656"/>
      <c r="AK120" s="1656"/>
      <c r="AL120" s="1656"/>
      <c r="AM120" s="1781"/>
      <c r="AN120" s="1781"/>
      <c r="AO120" s="1781"/>
    </row>
    <row r="121" spans="1:41" s="1599" customFormat="1" ht="18.75" customHeight="1">
      <c r="A121" s="1805"/>
      <c r="B121" s="1778" t="str">
        <f t="shared" si="120"/>
        <v xml:space="preserve"> - Kolom KL66</v>
      </c>
      <c r="C121" s="1779" t="s">
        <v>1969</v>
      </c>
      <c r="D121" s="1780">
        <f>H121*'REKAP RAB'!$K$3</f>
        <v>2.9988000000000001</v>
      </c>
      <c r="E121" s="1622">
        <f>N121*'REKAP RAB'!$O$5</f>
        <v>9410570.7452430893</v>
      </c>
      <c r="F121" s="1682">
        <f t="shared" si="121"/>
        <v>28220419.550834976</v>
      </c>
      <c r="G121" s="1681" t="s">
        <v>2292</v>
      </c>
      <c r="H121" s="1780">
        <f>'Hasil-Kolom'!F163</f>
        <v>2.9988000000000001</v>
      </c>
      <c r="I121" s="1667">
        <f t="shared" si="122"/>
        <v>6318104.9958635559</v>
      </c>
      <c r="J121" s="1666">
        <f t="shared" si="95"/>
        <v>1600000</v>
      </c>
      <c r="K121" s="1666">
        <f t="shared" si="123"/>
        <v>265000</v>
      </c>
      <c r="L121" s="1666"/>
      <c r="M121" s="1665"/>
      <c r="N121" s="1664">
        <f t="shared" si="124"/>
        <v>8183104.9958635559</v>
      </c>
      <c r="O121" s="1664">
        <f t="shared" si="125"/>
        <v>24539495.261595633</v>
      </c>
      <c r="P121" s="1670"/>
      <c r="R121" s="1670">
        <f>Analisa!$F$193</f>
        <v>1223775</v>
      </c>
      <c r="S121" s="1670">
        <f>Analisa!$G$193</f>
        <v>1600000</v>
      </c>
      <c r="T121" s="1670">
        <f>Analisa!$H$193</f>
        <v>265000</v>
      </c>
      <c r="V121" s="1656">
        <f>'Hasil-Kolom'!V163</f>
        <v>15.098039215686272</v>
      </c>
      <c r="W121" s="1670">
        <f>Analisa!$F$132</f>
        <v>130953.94736842104</v>
      </c>
      <c r="X121" s="1670"/>
      <c r="Y121" s="1781"/>
      <c r="Z121" s="1656">
        <f>'Hasil-Kolom'!W163</f>
        <v>298.50918487394961</v>
      </c>
      <c r="AA121" s="1670">
        <f>Analisa!$F$233</f>
        <v>10442.5</v>
      </c>
      <c r="AB121" s="1670"/>
      <c r="AC121" s="1670"/>
      <c r="AD121" s="1781"/>
      <c r="AE121" s="1781"/>
      <c r="AF121" s="1670">
        <f t="shared" si="126"/>
        <v>6318104.9958635559</v>
      </c>
      <c r="AG121" s="1670">
        <f t="shared" si="127"/>
        <v>1600000</v>
      </c>
      <c r="AH121" s="1670">
        <f t="shared" si="128"/>
        <v>265000</v>
      </c>
      <c r="AI121" s="1670"/>
      <c r="AJ121" s="1656"/>
      <c r="AK121" s="1656"/>
      <c r="AL121" s="1656"/>
      <c r="AM121" s="1781"/>
      <c r="AN121" s="1781"/>
      <c r="AO121" s="1781"/>
    </row>
    <row r="122" spans="1:41" s="1599" customFormat="1" ht="18.75" customHeight="1">
      <c r="A122" s="1805"/>
      <c r="B122" s="1812"/>
      <c r="C122" s="1779"/>
      <c r="D122" s="1780"/>
      <c r="E122" s="1622"/>
      <c r="F122" s="1682"/>
      <c r="G122" s="1681"/>
      <c r="H122" s="1780"/>
      <c r="I122" s="1667"/>
      <c r="J122" s="1666"/>
      <c r="K122" s="1666"/>
      <c r="L122" s="1666"/>
      <c r="M122" s="1665"/>
      <c r="N122" s="1664"/>
      <c r="O122" s="1664"/>
      <c r="P122" s="1670"/>
      <c r="R122" s="1670"/>
      <c r="S122" s="1670"/>
      <c r="T122" s="1670"/>
      <c r="V122" s="1656"/>
      <c r="W122" s="1670"/>
      <c r="X122" s="1670"/>
      <c r="Y122" s="1781"/>
      <c r="Z122" s="1656"/>
      <c r="AA122" s="1670"/>
      <c r="AB122" s="1670"/>
      <c r="AC122" s="1670"/>
      <c r="AD122" s="1781"/>
      <c r="AE122" s="1781"/>
      <c r="AF122" s="1670"/>
      <c r="AG122" s="1670"/>
      <c r="AH122" s="1670"/>
      <c r="AI122" s="1670"/>
      <c r="AJ122" s="1656"/>
      <c r="AK122" s="1656"/>
      <c r="AL122" s="1656"/>
      <c r="AM122" s="1814"/>
      <c r="AN122" s="1781"/>
      <c r="AO122" s="1781"/>
    </row>
    <row r="123" spans="1:41" s="1599" customFormat="1" ht="18.75" customHeight="1">
      <c r="A123" s="1810">
        <v>4</v>
      </c>
      <c r="B123" s="1809" t="s">
        <v>2072</v>
      </c>
      <c r="C123" s="1779"/>
      <c r="D123" s="1780"/>
      <c r="F123" s="1803"/>
      <c r="G123" s="1804"/>
      <c r="H123" s="1780"/>
      <c r="I123" s="1667"/>
      <c r="J123" s="1666"/>
      <c r="K123" s="1666"/>
      <c r="L123" s="1666"/>
      <c r="M123" s="1665"/>
      <c r="N123" s="1664"/>
      <c r="O123" s="1664"/>
      <c r="P123" s="1804"/>
      <c r="R123" s="1670"/>
      <c r="S123" s="1670"/>
      <c r="T123" s="1670"/>
      <c r="V123" s="1656"/>
      <c r="W123" s="1670"/>
      <c r="X123" s="1670"/>
      <c r="Y123" s="1781"/>
      <c r="Z123" s="1656"/>
      <c r="AA123" s="1670"/>
      <c r="AB123" s="1670"/>
      <c r="AC123" s="1670"/>
      <c r="AD123" s="1781"/>
      <c r="AE123" s="1781"/>
      <c r="AF123" s="1670"/>
      <c r="AG123" s="1670"/>
      <c r="AH123" s="1670"/>
      <c r="AI123" s="1781"/>
      <c r="AJ123" s="1656">
        <f>SUMPRODUCT(H124:H125,V124:V125)</f>
        <v>42.014415</v>
      </c>
      <c r="AK123" s="1656"/>
      <c r="AL123" s="1656">
        <f>SUMPRODUCT(H124:H125,Z124:Z125)</f>
        <v>5672.7308249696271</v>
      </c>
      <c r="AM123" s="1781" t="s">
        <v>1968</v>
      </c>
      <c r="AN123" s="1781"/>
      <c r="AO123" s="1781"/>
    </row>
    <row r="124" spans="1:41" s="1599" customFormat="1" ht="30">
      <c r="A124" s="1805"/>
      <c r="B124" s="1799" t="s">
        <v>2076</v>
      </c>
      <c r="C124" s="1779" t="s">
        <v>1969</v>
      </c>
      <c r="D124" s="1780">
        <f>H124</f>
        <v>46.990629810000001</v>
      </c>
      <c r="E124" s="1622">
        <f>N124*'REKAP RAB'!$O$5</f>
        <v>3852853.8157186238</v>
      </c>
      <c r="F124" s="1682">
        <f>D124*E124</f>
        <v>181048027.36647981</v>
      </c>
      <c r="G124" s="1681"/>
      <c r="H124" s="1780">
        <f>SUM('REKAP Plat'!G8:G16)</f>
        <v>46.990629810000001</v>
      </c>
      <c r="I124" s="1667">
        <f t="shared" ref="I124" si="129">AF124</f>
        <v>2460307.6658422817</v>
      </c>
      <c r="J124" s="1666">
        <f t="shared" ref="J124" si="130">AG124</f>
        <v>800000</v>
      </c>
      <c r="K124" s="1666">
        <f t="shared" ref="K124" si="131">AH124</f>
        <v>90000</v>
      </c>
      <c r="L124" s="1666"/>
      <c r="M124" s="1665"/>
      <c r="N124" s="1664">
        <f>SUM(I124:M124)</f>
        <v>3350307.6658422817</v>
      </c>
      <c r="O124" s="1664">
        <f>H124*N124</f>
        <v>157433067.27519983</v>
      </c>
      <c r="P124" s="1673"/>
      <c r="R124" s="1670">
        <f>Analisa!F$209</f>
        <v>1223775</v>
      </c>
      <c r="S124" s="1670">
        <f>Analisa!G$209</f>
        <v>800000</v>
      </c>
      <c r="T124" s="1670">
        <f>Analisa!H$209</f>
        <v>90000</v>
      </c>
      <c r="V124" s="1656">
        <f>'REKAP Plat'!U8</f>
        <v>0.80025347930104707</v>
      </c>
      <c r="W124" s="1670">
        <f>Analisa!$F$107</f>
        <v>113100</v>
      </c>
      <c r="X124" s="1670"/>
      <c r="Y124" s="1781"/>
      <c r="Z124" s="1656">
        <f>'REKAP Plat'!V8</f>
        <v>109.74613333333332</v>
      </c>
      <c r="AA124" s="1670">
        <f>Analisa!$F$233</f>
        <v>10442.5</v>
      </c>
      <c r="AB124" s="1670"/>
      <c r="AC124" s="1670"/>
      <c r="AD124" s="1781"/>
      <c r="AE124" s="1781"/>
      <c r="AF124" s="1670">
        <f>R124+V124*W124+Z124*AA124</f>
        <v>2460307.6658422817</v>
      </c>
      <c r="AG124" s="1670">
        <f>S124</f>
        <v>800000</v>
      </c>
      <c r="AH124" s="1670">
        <f>T124+V124*X124</f>
        <v>90000</v>
      </c>
      <c r="AI124" s="1670"/>
      <c r="AJ124" s="1656"/>
      <c r="AK124" s="1656"/>
      <c r="AL124" s="1656"/>
      <c r="AM124" s="1781"/>
      <c r="AN124" s="1781"/>
      <c r="AO124" s="1781"/>
    </row>
    <row r="125" spans="1:41" s="1599" customFormat="1" ht="30">
      <c r="A125" s="1805"/>
      <c r="B125" s="1799" t="s">
        <v>2315</v>
      </c>
      <c r="C125" s="1779" t="s">
        <v>1969</v>
      </c>
      <c r="D125" s="1780">
        <f>H125</f>
        <v>4.9137355999999999</v>
      </c>
      <c r="E125" s="1622">
        <f>N125*'REKAP RAB'!$O$5</f>
        <v>3807890.1518232855</v>
      </c>
      <c r="F125" s="1682">
        <f>D125*E125</f>
        <v>18710965.399903484</v>
      </c>
      <c r="G125" s="1681"/>
      <c r="H125" s="1780">
        <f>SUM('REKAP Plat'!G6)</f>
        <v>4.9137355999999999</v>
      </c>
      <c r="I125" s="1667">
        <f t="shared" ref="I125:K125" si="132">AF125</f>
        <v>2421208.8276724224</v>
      </c>
      <c r="J125" s="1666">
        <f t="shared" si="132"/>
        <v>800000</v>
      </c>
      <c r="K125" s="1666">
        <f t="shared" si="132"/>
        <v>90000</v>
      </c>
      <c r="L125" s="1666"/>
      <c r="M125" s="1665"/>
      <c r="N125" s="1664">
        <f>SUM(I125:M125)</f>
        <v>3311208.8276724224</v>
      </c>
      <c r="O125" s="1664">
        <f>H125*N125</f>
        <v>16270404.695568247</v>
      </c>
      <c r="P125" s="1673"/>
      <c r="R125" s="1670">
        <f>Analisa!F$209</f>
        <v>1223775</v>
      </c>
      <c r="S125" s="1670">
        <f>Analisa!G$209</f>
        <v>800000</v>
      </c>
      <c r="T125" s="1670">
        <f>Analisa!H$209</f>
        <v>90000</v>
      </c>
      <c r="V125" s="1656">
        <f>'REKAP Plat'!U6</f>
        <v>0.89748418697986121</v>
      </c>
      <c r="W125" s="1670">
        <f>Analisa!$F$107</f>
        <v>113100</v>
      </c>
      <c r="X125" s="1670"/>
      <c r="Y125" s="1781"/>
      <c r="Z125" s="1656">
        <f>'REKAP Plat'!V6</f>
        <v>104.94885000000001</v>
      </c>
      <c r="AA125" s="1670">
        <f>Analisa!$F$233</f>
        <v>10442.5</v>
      </c>
      <c r="AB125" s="1670"/>
      <c r="AC125" s="1670"/>
      <c r="AD125" s="1781"/>
      <c r="AE125" s="1781"/>
      <c r="AF125" s="1670">
        <f>R125+V125*W125+Z125*AA125</f>
        <v>2421208.8276724224</v>
      </c>
      <c r="AG125" s="1670">
        <f>S125</f>
        <v>800000</v>
      </c>
      <c r="AH125" s="1670">
        <f>T125+V125*X125</f>
        <v>90000</v>
      </c>
      <c r="AI125" s="1670"/>
      <c r="AJ125" s="1656"/>
      <c r="AK125" s="1656"/>
      <c r="AL125" s="1656"/>
      <c r="AM125" s="1781"/>
      <c r="AN125" s="1781"/>
      <c r="AO125" s="1781"/>
    </row>
    <row r="126" spans="1:41" s="1599" customFormat="1" ht="18.75" customHeight="1">
      <c r="A126" s="1805"/>
      <c r="B126" s="1799"/>
      <c r="C126" s="1779"/>
      <c r="D126" s="1780"/>
      <c r="E126" s="1804"/>
      <c r="F126" s="1803"/>
      <c r="G126" s="1804"/>
      <c r="H126" s="1780"/>
      <c r="I126" s="1667"/>
      <c r="J126" s="1666"/>
      <c r="K126" s="1666"/>
      <c r="L126" s="1666"/>
      <c r="M126" s="1665"/>
      <c r="N126" s="1664"/>
      <c r="O126" s="1664"/>
      <c r="P126" s="1804"/>
      <c r="V126" s="1656"/>
      <c r="W126" s="1781"/>
      <c r="X126" s="1781"/>
      <c r="Y126" s="1781"/>
      <c r="AA126" s="1781"/>
      <c r="AB126" s="1781"/>
      <c r="AC126" s="1781"/>
      <c r="AD126" s="1781"/>
      <c r="AE126" s="1781"/>
      <c r="AF126" s="1781"/>
      <c r="AG126" s="1781"/>
      <c r="AI126" s="1781"/>
      <c r="AJ126" s="1781"/>
      <c r="AK126" s="1781"/>
      <c r="AL126" s="1781"/>
      <c r="AM126" s="1781"/>
      <c r="AN126" s="1781"/>
      <c r="AO126" s="1781"/>
    </row>
    <row r="127" spans="1:41" s="1599" customFormat="1" ht="18.75" customHeight="1">
      <c r="A127" s="1810">
        <v>5</v>
      </c>
      <c r="B127" s="1809" t="s">
        <v>2073</v>
      </c>
      <c r="C127" s="1779"/>
      <c r="D127" s="1780"/>
      <c r="F127" s="1803"/>
      <c r="G127" s="1804"/>
      <c r="H127" s="1780"/>
      <c r="I127" s="1667"/>
      <c r="J127" s="1666"/>
      <c r="K127" s="1666"/>
      <c r="L127" s="1666"/>
      <c r="M127" s="1665"/>
      <c r="N127" s="1664"/>
      <c r="O127" s="1664"/>
      <c r="P127" s="1804"/>
      <c r="R127" s="1670"/>
      <c r="S127" s="1670"/>
      <c r="T127" s="1670"/>
      <c r="V127" s="1656"/>
      <c r="W127" s="1670"/>
      <c r="X127" s="1670"/>
      <c r="Y127" s="1781"/>
      <c r="Z127" s="1656"/>
      <c r="AA127" s="1670"/>
      <c r="AB127" s="1670"/>
      <c r="AC127" s="1670"/>
      <c r="AD127" s="1781"/>
      <c r="AE127" s="1781"/>
      <c r="AF127" s="1670"/>
      <c r="AG127" s="1670"/>
      <c r="AH127" s="1670"/>
      <c r="AI127" s="1781"/>
      <c r="AJ127" s="1656">
        <f>SUMPRODUCT(H128:H128,V128:V128)</f>
        <v>114.31125</v>
      </c>
      <c r="AK127" s="1656"/>
      <c r="AL127" s="1656">
        <f>SUMPRODUCT(H128:H128,Z128:Z128)</f>
        <v>1424.2567950000002</v>
      </c>
      <c r="AM127" s="1781" t="s">
        <v>1968</v>
      </c>
      <c r="AN127" s="1781"/>
      <c r="AO127" s="1781"/>
    </row>
    <row r="128" spans="1:41" s="1599" customFormat="1" ht="18">
      <c r="A128" s="1805"/>
      <c r="B128" s="1815" t="s">
        <v>2318</v>
      </c>
      <c r="C128" s="1779" t="s">
        <v>1969</v>
      </c>
      <c r="D128" s="1780">
        <f>H128*'REKAP RAB'!$K$3</f>
        <v>8.5733437500000012</v>
      </c>
      <c r="E128" s="1622">
        <f>N128*'REKAP RAB'!$O$5</f>
        <v>6658480.1699527595</v>
      </c>
      <c r="F128" s="1682">
        <f t="shared" ref="F128:F133" si="133">D128*E128</f>
        <v>57085439.349563435</v>
      </c>
      <c r="G128" s="1681"/>
      <c r="H128" s="1780">
        <f>'Retaining Wall'!C162</f>
        <v>8.5733437500000012</v>
      </c>
      <c r="I128" s="1667">
        <f t="shared" ref="I128:J128" si="134">AF128</f>
        <v>4374982.7564806612</v>
      </c>
      <c r="J128" s="1666">
        <f t="shared" si="134"/>
        <v>1200000</v>
      </c>
      <c r="K128" s="1666">
        <f t="shared" ref="K128" si="135">AH128</f>
        <v>215000</v>
      </c>
      <c r="L128" s="1666"/>
      <c r="M128" s="1665"/>
      <c r="N128" s="1664">
        <f t="shared" ref="N128:N133" si="136">SUM(I128:M128)</f>
        <v>5789982.7564806612</v>
      </c>
      <c r="O128" s="1664">
        <f t="shared" ref="O128:O133" si="137">H128*N128</f>
        <v>49639512.477881253</v>
      </c>
      <c r="P128" s="1670"/>
      <c r="R128" s="1670">
        <f>Analisa!$F$225</f>
        <v>1223775</v>
      </c>
      <c r="S128" s="1670">
        <f>Analisa!$G$225</f>
        <v>1200000</v>
      </c>
      <c r="T128" s="1670">
        <f>Analisa!$H$225</f>
        <v>215000</v>
      </c>
      <c r="V128" s="1656">
        <f>'Retaining Wall'!L162</f>
        <v>13.333333333333332</v>
      </c>
      <c r="W128" s="1670">
        <f>Analisa!F$162</f>
        <v>106232.63888888889</v>
      </c>
      <c r="X128" s="1670"/>
      <c r="Y128" s="1781"/>
      <c r="Z128" s="1656">
        <f>'Retaining Wall'!M162</f>
        <v>166.12617393301184</v>
      </c>
      <c r="AA128" s="1670">
        <f>Analisa!$F$233</f>
        <v>10442.5</v>
      </c>
      <c r="AB128" s="1670"/>
      <c r="AC128" s="1670"/>
      <c r="AD128" s="1781"/>
      <c r="AE128" s="1781"/>
      <c r="AF128" s="1670">
        <f t="shared" ref="AF128:AF133" si="138">R128+V128*W128+Z128*AA128</f>
        <v>4374982.7564806612</v>
      </c>
      <c r="AG128" s="1670">
        <f t="shared" ref="AG128:AG133" si="139">S128</f>
        <v>1200000</v>
      </c>
      <c r="AH128" s="1670">
        <f t="shared" ref="AH128:AH133" si="140">T128+V128*X128</f>
        <v>215000</v>
      </c>
      <c r="AI128" s="1670"/>
      <c r="AJ128" s="1656"/>
      <c r="AK128" s="1656"/>
      <c r="AL128" s="1656"/>
      <c r="AM128" s="1814"/>
      <c r="AN128" s="1781"/>
      <c r="AO128" s="1781"/>
    </row>
    <row r="129" spans="1:41" s="1599" customFormat="1" ht="18">
      <c r="A129" s="1805"/>
      <c r="B129" s="1815" t="s">
        <v>2317</v>
      </c>
      <c r="C129" s="1779" t="s">
        <v>1969</v>
      </c>
      <c r="D129" s="1780">
        <f>H129*'REKAP RAB'!$K$3</f>
        <v>31.741349999999997</v>
      </c>
      <c r="E129" s="1622">
        <f>N129*'REKAP RAB'!$O$5</f>
        <v>5542208.0763425753</v>
      </c>
      <c r="F129" s="1682">
        <f t="shared" si="133"/>
        <v>175917166.32401639</v>
      </c>
      <c r="G129" s="1681"/>
      <c r="H129" s="1780">
        <f>'Retaining Wall'!C163</f>
        <v>31.741349999999997</v>
      </c>
      <c r="I129" s="1667">
        <f>AF129</f>
        <v>3404311.3707326744</v>
      </c>
      <c r="J129" s="1666">
        <f t="shared" ref="J129" si="141">AG129</f>
        <v>1200000</v>
      </c>
      <c r="K129" s="1666">
        <f t="shared" ref="K129:K130" si="142">AH129</f>
        <v>215000</v>
      </c>
      <c r="L129" s="1666"/>
      <c r="M129" s="1665"/>
      <c r="N129" s="1664">
        <f t="shared" si="136"/>
        <v>4819311.3707326744</v>
      </c>
      <c r="O129" s="1664">
        <f t="shared" si="137"/>
        <v>152971448.97740555</v>
      </c>
      <c r="P129" s="1670"/>
      <c r="R129" s="1670">
        <f>Analisa!$F$225</f>
        <v>1223775</v>
      </c>
      <c r="S129" s="1670">
        <f>Analisa!$G$225</f>
        <v>1200000</v>
      </c>
      <c r="T129" s="1670">
        <f>Analisa!$H$225</f>
        <v>215000</v>
      </c>
      <c r="V129" s="1656">
        <f>'Retaining Wall'!L163</f>
        <v>13.178866053271207</v>
      </c>
      <c r="W129" s="1670">
        <f>Analisa!F$162</f>
        <v>106232.63888888889</v>
      </c>
      <c r="X129" s="1670"/>
      <c r="Y129" s="1781"/>
      <c r="Z129" s="1656">
        <f>'Retaining Wall'!M163</f>
        <v>74.743658351015341</v>
      </c>
      <c r="AA129" s="1670">
        <f>Analisa!$F$233</f>
        <v>10442.5</v>
      </c>
      <c r="AB129" s="1670"/>
      <c r="AC129" s="1670"/>
      <c r="AD129" s="1781"/>
      <c r="AE129" s="1781"/>
      <c r="AF129" s="1670">
        <f t="shared" si="138"/>
        <v>3404311.3707326744</v>
      </c>
      <c r="AG129" s="1670">
        <f t="shared" si="139"/>
        <v>1200000</v>
      </c>
      <c r="AH129" s="1670">
        <f t="shared" si="140"/>
        <v>215000</v>
      </c>
      <c r="AI129" s="1670"/>
      <c r="AJ129" s="1656"/>
      <c r="AK129" s="1656"/>
      <c r="AL129" s="1656"/>
      <c r="AM129" s="1814"/>
      <c r="AN129" s="1781"/>
      <c r="AO129" s="1781"/>
    </row>
    <row r="130" spans="1:41" s="1599" customFormat="1" ht="18">
      <c r="A130" s="1805"/>
      <c r="B130" s="1815" t="s">
        <v>2316</v>
      </c>
      <c r="C130" s="1779" t="s">
        <v>1969</v>
      </c>
      <c r="D130" s="1780">
        <f>H130*'REKAP RAB'!$K$3</f>
        <v>7.4969999999999999</v>
      </c>
      <c r="E130" s="1622">
        <f>N130*'REKAP RAB'!$O$5</f>
        <v>6170343.5320117781</v>
      </c>
      <c r="F130" s="1682">
        <f t="shared" si="133"/>
        <v>46259065.459492296</v>
      </c>
      <c r="G130" s="1681"/>
      <c r="H130" s="1780">
        <f>'Retaining Wall'!C164</f>
        <v>7.4969999999999999</v>
      </c>
      <c r="I130" s="1667">
        <f t="shared" ref="I130" si="143">AF130</f>
        <v>3950516.1147928508</v>
      </c>
      <c r="J130" s="1666">
        <f t="shared" ref="J130" si="144">AG130</f>
        <v>1200000</v>
      </c>
      <c r="K130" s="1666">
        <f t="shared" si="142"/>
        <v>215000</v>
      </c>
      <c r="L130" s="1666"/>
      <c r="M130" s="1665"/>
      <c r="N130" s="1664">
        <f t="shared" si="136"/>
        <v>5365516.1147928508</v>
      </c>
      <c r="O130" s="1664">
        <f t="shared" si="137"/>
        <v>40225274.312601998</v>
      </c>
      <c r="P130" s="1670"/>
      <c r="R130" s="1670">
        <f>Analisa!$F$225</f>
        <v>1223775</v>
      </c>
      <c r="S130" s="1670">
        <f>Analisa!$G$225</f>
        <v>1200000</v>
      </c>
      <c r="T130" s="1670">
        <f>Analisa!$H$225</f>
        <v>215000</v>
      </c>
      <c r="V130" s="1656">
        <f>'Retaining Wall'!L164</f>
        <v>10</v>
      </c>
      <c r="W130" s="1670">
        <f>Analisa!F$162</f>
        <v>106232.63888888889</v>
      </c>
      <c r="X130" s="1670"/>
      <c r="Y130" s="1781"/>
      <c r="Z130" s="1656">
        <f>'Retaining Wall'!M164</f>
        <v>159.38853013205284</v>
      </c>
      <c r="AA130" s="1670">
        <f>Analisa!$F$233</f>
        <v>10442.5</v>
      </c>
      <c r="AB130" s="1670"/>
      <c r="AC130" s="1670"/>
      <c r="AD130" s="1781"/>
      <c r="AE130" s="1781"/>
      <c r="AF130" s="1670">
        <f t="shared" si="138"/>
        <v>3950516.1147928508</v>
      </c>
      <c r="AG130" s="1670">
        <f t="shared" si="139"/>
        <v>1200000</v>
      </c>
      <c r="AH130" s="1670">
        <f t="shared" si="140"/>
        <v>215000</v>
      </c>
      <c r="AI130" s="1670"/>
      <c r="AJ130" s="1656"/>
      <c r="AK130" s="1656"/>
      <c r="AL130" s="1656"/>
      <c r="AM130" s="1814"/>
      <c r="AN130" s="1781"/>
      <c r="AO130" s="1781"/>
    </row>
    <row r="131" spans="1:41" s="1599" customFormat="1" ht="18">
      <c r="A131" s="1805"/>
      <c r="B131" s="1815" t="s">
        <v>2322</v>
      </c>
      <c r="C131" s="1779" t="s">
        <v>1969</v>
      </c>
      <c r="D131" s="1780">
        <f>H131*'REKAP RAB'!$K$3</f>
        <v>0.26850000000000002</v>
      </c>
      <c r="E131" s="1622">
        <f>N131*'REKAP RAB'!$O$5</f>
        <v>8418995.6600300018</v>
      </c>
      <c r="F131" s="1682">
        <f t="shared" si="133"/>
        <v>2260500.3347180556</v>
      </c>
      <c r="G131" s="1681"/>
      <c r="H131" s="1780">
        <f>'Retaining Wall'!C165</f>
        <v>0.26850000000000002</v>
      </c>
      <c r="I131" s="1667">
        <f t="shared" ref="I131" si="145">AF131</f>
        <v>5905865.7913304362</v>
      </c>
      <c r="J131" s="1666">
        <f t="shared" ref="J131" si="146">AG131</f>
        <v>1200000</v>
      </c>
      <c r="K131" s="1666">
        <f t="shared" ref="K131" si="147">AH131</f>
        <v>215000</v>
      </c>
      <c r="L131" s="1666"/>
      <c r="M131" s="1665"/>
      <c r="N131" s="1664">
        <f t="shared" si="136"/>
        <v>7320865.7913304362</v>
      </c>
      <c r="O131" s="1664">
        <f t="shared" si="137"/>
        <v>1965652.4649722222</v>
      </c>
      <c r="P131" s="1670"/>
      <c r="R131" s="1670">
        <f>Analisa!$F$225</f>
        <v>1223775</v>
      </c>
      <c r="S131" s="1670">
        <f>Analisa!$G$225</f>
        <v>1200000</v>
      </c>
      <c r="T131" s="1670">
        <f>Analisa!$H$225</f>
        <v>215000</v>
      </c>
      <c r="V131" s="1656">
        <f>'Retaining Wall'!L165</f>
        <v>13.333333333333332</v>
      </c>
      <c r="W131" s="1670">
        <f>Analisa!F$162</f>
        <v>106232.63888888889</v>
      </c>
      <c r="X131" s="1670"/>
      <c r="Y131" s="1781"/>
      <c r="Z131" s="1656">
        <f>'Retaining Wall'!M165</f>
        <v>312.72737430167598</v>
      </c>
      <c r="AA131" s="1670">
        <f>Analisa!$F$233</f>
        <v>10442.5</v>
      </c>
      <c r="AB131" s="1670"/>
      <c r="AC131" s="1670"/>
      <c r="AD131" s="1781"/>
      <c r="AE131" s="1781"/>
      <c r="AF131" s="1670">
        <f t="shared" si="138"/>
        <v>5905865.7913304362</v>
      </c>
      <c r="AG131" s="1670">
        <f t="shared" si="139"/>
        <v>1200000</v>
      </c>
      <c r="AH131" s="1670">
        <f t="shared" si="140"/>
        <v>215000</v>
      </c>
      <c r="AI131" s="1670"/>
      <c r="AJ131" s="1656"/>
      <c r="AK131" s="1656"/>
      <c r="AL131" s="1656"/>
      <c r="AM131" s="1814"/>
      <c r="AN131" s="1781"/>
      <c r="AO131" s="1781"/>
    </row>
    <row r="132" spans="1:41" s="1599" customFormat="1" ht="18">
      <c r="A132" s="1805"/>
      <c r="B132" s="1815" t="s">
        <v>2339</v>
      </c>
      <c r="C132" s="1779" t="s">
        <v>1969</v>
      </c>
      <c r="D132" s="1780">
        <f>H132*'REKAP RAB'!$K$3</f>
        <v>2.9974000000000003</v>
      </c>
      <c r="E132" s="1622">
        <f>N132*'REKAP RAB'!$O$5</f>
        <v>8080716.948335384</v>
      </c>
      <c r="F132" s="1682">
        <f t="shared" si="133"/>
        <v>24221140.980940484</v>
      </c>
      <c r="G132" s="1681"/>
      <c r="H132" s="1780">
        <f>'Retaining Wall'!C166</f>
        <v>2.9974000000000003</v>
      </c>
      <c r="I132" s="1667">
        <f t="shared" ref="I132" si="148">AF132</f>
        <v>5611710.3898568563</v>
      </c>
      <c r="J132" s="1666">
        <f t="shared" ref="J132" si="149">AG132</f>
        <v>1200000</v>
      </c>
      <c r="K132" s="1666">
        <f t="shared" ref="K132" si="150">AH132</f>
        <v>215000</v>
      </c>
      <c r="L132" s="1666"/>
      <c r="M132" s="1665"/>
      <c r="N132" s="1664">
        <f t="shared" si="136"/>
        <v>7026710.3898568563</v>
      </c>
      <c r="O132" s="1664">
        <f t="shared" si="137"/>
        <v>21061861.722556945</v>
      </c>
      <c r="P132" s="1670"/>
      <c r="R132" s="1670">
        <f>Analisa!$F$225</f>
        <v>1223775</v>
      </c>
      <c r="S132" s="1670">
        <f>Analisa!$G$225</f>
        <v>1200000</v>
      </c>
      <c r="T132" s="1670">
        <f>Analisa!$H$225</f>
        <v>215000</v>
      </c>
      <c r="V132" s="1656">
        <f>'Retaining Wall'!L166</f>
        <v>8.7362380729965992</v>
      </c>
      <c r="W132" s="1670">
        <f>Analisa!F$162</f>
        <v>106232.63888888889</v>
      </c>
      <c r="X132" s="1670"/>
      <c r="Y132" s="1781"/>
      <c r="Z132" s="1656">
        <f>'Retaining Wall'!M166</f>
        <v>331.32504337092132</v>
      </c>
      <c r="AA132" s="1670">
        <f>Analisa!$F$233</f>
        <v>10442.5</v>
      </c>
      <c r="AB132" s="1670"/>
      <c r="AC132" s="1670"/>
      <c r="AD132" s="1781"/>
      <c r="AE132" s="1781"/>
      <c r="AF132" s="1670">
        <f t="shared" si="138"/>
        <v>5611710.3898568563</v>
      </c>
      <c r="AG132" s="1670">
        <f t="shared" si="139"/>
        <v>1200000</v>
      </c>
      <c r="AH132" s="1670">
        <f t="shared" si="140"/>
        <v>215000</v>
      </c>
      <c r="AI132" s="1670"/>
      <c r="AJ132" s="1656"/>
      <c r="AK132" s="1656"/>
      <c r="AL132" s="1656"/>
      <c r="AM132" s="1814"/>
      <c r="AN132" s="1781"/>
      <c r="AO132" s="1781"/>
    </row>
    <row r="133" spans="1:41" s="1599" customFormat="1" ht="18">
      <c r="A133" s="1805"/>
      <c r="B133" s="1815" t="s">
        <v>2354</v>
      </c>
      <c r="C133" s="1779" t="s">
        <v>1969</v>
      </c>
      <c r="D133" s="1780">
        <f>H133*'REKAP RAB'!$K$3</f>
        <v>4.8959999999999999</v>
      </c>
      <c r="E133" s="1622">
        <f>N133*'REKAP RAB'!$O$5</f>
        <v>7757930.7117454447</v>
      </c>
      <c r="F133" s="1682">
        <f t="shared" si="133"/>
        <v>37982828.764705695</v>
      </c>
      <c r="G133" s="1681"/>
      <c r="H133" s="1780">
        <f>'Retaining Wall'!C173</f>
        <v>4.8959999999999999</v>
      </c>
      <c r="I133" s="1667">
        <f t="shared" ref="I133" si="151">AF133</f>
        <v>5331026.7058656048</v>
      </c>
      <c r="J133" s="1666">
        <f t="shared" ref="J133" si="152">AG133</f>
        <v>1200000</v>
      </c>
      <c r="K133" s="1666">
        <f t="shared" ref="K133" si="153">AH133</f>
        <v>215000</v>
      </c>
      <c r="L133" s="1666"/>
      <c r="M133" s="1665"/>
      <c r="N133" s="1664">
        <f t="shared" si="136"/>
        <v>6746026.7058656048</v>
      </c>
      <c r="O133" s="1664">
        <f t="shared" si="137"/>
        <v>33028546.751917999</v>
      </c>
      <c r="P133" s="1670"/>
      <c r="R133" s="1670">
        <f>Analisa!$F$225</f>
        <v>1223775</v>
      </c>
      <c r="S133" s="1670">
        <f>Analisa!$G$225</f>
        <v>1200000</v>
      </c>
      <c r="T133" s="1670">
        <f>Analisa!$H$225</f>
        <v>215000</v>
      </c>
      <c r="V133" s="1656">
        <f>'Retaining Wall'!L173</f>
        <v>11.764705882352942</v>
      </c>
      <c r="W133" s="1670">
        <f>Analisa!F$162</f>
        <v>106232.63888888889</v>
      </c>
      <c r="X133" s="1670"/>
      <c r="Y133" s="1781"/>
      <c r="Z133" s="1656">
        <f>'Retaining Wall'!M173</f>
        <v>273.63715147058821</v>
      </c>
      <c r="AA133" s="1670">
        <f>Analisa!$F$233</f>
        <v>10442.5</v>
      </c>
      <c r="AB133" s="1670"/>
      <c r="AC133" s="1670"/>
      <c r="AD133" s="1781"/>
      <c r="AE133" s="1781"/>
      <c r="AF133" s="1670">
        <f t="shared" si="138"/>
        <v>5331026.7058656048</v>
      </c>
      <c r="AG133" s="1670">
        <f t="shared" si="139"/>
        <v>1200000</v>
      </c>
      <c r="AH133" s="1670">
        <f t="shared" si="140"/>
        <v>215000</v>
      </c>
      <c r="AI133" s="1670"/>
      <c r="AJ133" s="1656"/>
      <c r="AK133" s="1656"/>
      <c r="AL133" s="1656"/>
      <c r="AM133" s="1814"/>
      <c r="AN133" s="1781"/>
      <c r="AO133" s="1781"/>
    </row>
    <row r="134" spans="1:41" s="1599" customFormat="1" ht="18.75" customHeight="1">
      <c r="A134" s="1805"/>
      <c r="B134" s="1799"/>
      <c r="C134" s="1779"/>
      <c r="D134" s="1780"/>
      <c r="E134" s="1622"/>
      <c r="F134" s="1682"/>
      <c r="G134" s="1681"/>
      <c r="H134" s="1780"/>
      <c r="I134" s="1667"/>
      <c r="J134" s="1666"/>
      <c r="K134" s="1666"/>
      <c r="L134" s="1666"/>
      <c r="M134" s="1665"/>
      <c r="N134" s="1664"/>
      <c r="O134" s="1664"/>
      <c r="P134" s="1670"/>
      <c r="R134" s="1670"/>
      <c r="S134" s="1670"/>
      <c r="T134" s="1670"/>
      <c r="V134" s="1656"/>
      <c r="W134" s="1670"/>
      <c r="X134" s="1781"/>
      <c r="Y134" s="1781"/>
      <c r="Z134" s="1656"/>
      <c r="AA134" s="1670"/>
      <c r="AB134" s="1670"/>
      <c r="AC134" s="1670"/>
      <c r="AD134" s="1781"/>
      <c r="AE134" s="1781"/>
      <c r="AF134" s="1670"/>
      <c r="AG134" s="1670"/>
      <c r="AH134" s="1670"/>
      <c r="AI134" s="1670"/>
      <c r="AJ134" s="1656"/>
      <c r="AK134" s="1656"/>
      <c r="AL134" s="1656"/>
      <c r="AM134" s="1814"/>
      <c r="AN134" s="1781"/>
      <c r="AO134" s="1781"/>
    </row>
    <row r="135" spans="1:41" s="1599" customFormat="1" ht="18.75" customHeight="1">
      <c r="A135" s="1800" t="s">
        <v>151</v>
      </c>
      <c r="B135" s="1809" t="s">
        <v>1972</v>
      </c>
      <c r="C135" s="1779"/>
      <c r="D135" s="1780"/>
      <c r="E135" s="1804"/>
      <c r="F135" s="1803"/>
      <c r="G135" s="1804"/>
      <c r="H135" s="1780"/>
      <c r="I135" s="1667"/>
      <c r="J135" s="1666"/>
      <c r="K135" s="1666"/>
      <c r="L135" s="1666"/>
      <c r="M135" s="1665"/>
      <c r="N135" s="1664"/>
      <c r="O135" s="1664"/>
      <c r="P135" s="1804"/>
      <c r="W135" s="1781"/>
      <c r="X135" s="1781"/>
      <c r="Y135" s="1781"/>
      <c r="Z135" s="1781"/>
      <c r="AA135" s="1781"/>
      <c r="AB135" s="1781"/>
      <c r="AC135" s="1781"/>
      <c r="AD135" s="1781"/>
      <c r="AE135" s="1781"/>
      <c r="AF135" s="1781"/>
      <c r="AG135" s="1781"/>
      <c r="AI135" s="1781"/>
      <c r="AJ135" s="1656"/>
      <c r="AK135" s="1656"/>
      <c r="AL135" s="1656"/>
      <c r="AM135" s="1781"/>
      <c r="AN135" s="1781"/>
      <c r="AO135" s="1781"/>
    </row>
    <row r="136" spans="1:41" s="1599" customFormat="1" ht="18.75" customHeight="1">
      <c r="A136" s="1805">
        <v>1</v>
      </c>
      <c r="B136" s="1799" t="s">
        <v>2340</v>
      </c>
      <c r="C136" s="1779" t="s">
        <v>1969</v>
      </c>
      <c r="D136" s="1780">
        <f>H136</f>
        <v>1.2319999999999998</v>
      </c>
      <c r="E136" s="1622">
        <f>N136*'REKAP RAB'!$O$5</f>
        <v>8625000</v>
      </c>
      <c r="F136" s="1682">
        <f>D136*E136</f>
        <v>10625999.999999998</v>
      </c>
      <c r="G136" s="2084"/>
      <c r="H136" s="1780">
        <f>(0.125*2*0.35*8/2)+(2.1*0.15*2)*1.4</f>
        <v>1.2319999999999998</v>
      </c>
      <c r="I136" s="2017">
        <f>R136</f>
        <v>5250000</v>
      </c>
      <c r="J136" s="1666">
        <f>S136</f>
        <v>2250000</v>
      </c>
      <c r="K136" s="1666"/>
      <c r="L136" s="1666"/>
      <c r="M136" s="1665"/>
      <c r="N136" s="1664">
        <f>SUM(I136:M136)</f>
        <v>7500000</v>
      </c>
      <c r="O136" s="1664">
        <f>H136*N136</f>
        <v>9239999.9999999981</v>
      </c>
      <c r="P136" s="1804"/>
      <c r="R136" s="2029">
        <f>0.7*7500000</f>
        <v>5250000</v>
      </c>
      <c r="S136" s="2029">
        <f>0.3*7500000</f>
        <v>2250000</v>
      </c>
      <c r="T136" s="2029"/>
      <c r="V136" s="2123"/>
      <c r="W136" s="2029"/>
      <c r="X136" s="2029"/>
      <c r="Y136" s="1781"/>
      <c r="Z136" s="2124"/>
      <c r="AA136" s="2029"/>
      <c r="AB136" s="1781"/>
      <c r="AC136" s="1781"/>
      <c r="AD136" s="1781"/>
      <c r="AE136" s="1781"/>
      <c r="AF136" s="2029">
        <f>R136+V136*W136+Z136*AA136</f>
        <v>5250000</v>
      </c>
      <c r="AG136" s="2029">
        <f>S136</f>
        <v>2250000</v>
      </c>
      <c r="AH136" s="2029">
        <f>T136+V136*X136</f>
        <v>0</v>
      </c>
      <c r="AI136" s="2029"/>
      <c r="AJ136" s="1781"/>
      <c r="AK136" s="1781"/>
      <c r="AL136" s="1781"/>
      <c r="AM136" s="1781"/>
      <c r="AN136" s="1781"/>
      <c r="AO136" s="1781"/>
    </row>
    <row r="137" spans="1:41" s="1599" customFormat="1" ht="18.75" customHeight="1">
      <c r="A137" s="1805">
        <v>2</v>
      </c>
      <c r="B137" s="1799" t="s">
        <v>2342</v>
      </c>
      <c r="C137" s="1779" t="s">
        <v>1969</v>
      </c>
      <c r="D137" s="1780">
        <f>H137</f>
        <v>3.8820852600000002</v>
      </c>
      <c r="E137" s="1622">
        <f>N137*'REKAP RAB'!$O$5</f>
        <v>8625000</v>
      </c>
      <c r="F137" s="1682">
        <f>D137*E137</f>
        <v>33482985.367500003</v>
      </c>
      <c r="G137" s="2084"/>
      <c r="H137" s="1780">
        <f>(4.5/2*1.325*0.35)+14.557168*0.15*1.3</f>
        <v>3.8820852600000002</v>
      </c>
      <c r="I137" s="2017">
        <f>R137</f>
        <v>5250000</v>
      </c>
      <c r="J137" s="1666">
        <f>S137</f>
        <v>2250000</v>
      </c>
      <c r="K137" s="1666"/>
      <c r="L137" s="1666"/>
      <c r="M137" s="1665"/>
      <c r="N137" s="1664">
        <f>SUM(I137:M137)</f>
        <v>7500000</v>
      </c>
      <c r="O137" s="1664">
        <f>H137*N137</f>
        <v>29115639.450000003</v>
      </c>
      <c r="P137" s="1804"/>
      <c r="R137" s="2029">
        <f>0.7*7500000</f>
        <v>5250000</v>
      </c>
      <c r="S137" s="2029">
        <f>0.3*7500000</f>
        <v>2250000</v>
      </c>
      <c r="T137" s="2029"/>
      <c r="V137" s="2123"/>
      <c r="W137" s="2029"/>
      <c r="X137" s="2029"/>
      <c r="Y137" s="1781"/>
      <c r="Z137" s="2124"/>
      <c r="AA137" s="2029"/>
      <c r="AB137" s="1781"/>
      <c r="AC137" s="1781"/>
      <c r="AD137" s="1781"/>
      <c r="AE137" s="1781"/>
      <c r="AF137" s="2029">
        <f>R137+V137*W137+Z137*AA137</f>
        <v>5250000</v>
      </c>
      <c r="AG137" s="2029">
        <f>S137</f>
        <v>2250000</v>
      </c>
      <c r="AH137" s="2029">
        <f>T137+V137*X137</f>
        <v>0</v>
      </c>
      <c r="AI137" s="2029"/>
      <c r="AJ137" s="1781"/>
      <c r="AK137" s="1781"/>
      <c r="AL137" s="1781"/>
      <c r="AM137" s="1781"/>
      <c r="AN137" s="1781"/>
      <c r="AO137" s="1781"/>
    </row>
    <row r="138" spans="1:41" s="1599" customFormat="1" ht="18.75" customHeight="1" thickBot="1">
      <c r="A138" s="1798"/>
      <c r="B138" s="1815"/>
      <c r="C138" s="1779"/>
      <c r="D138" s="1780"/>
      <c r="E138" s="1622"/>
      <c r="F138" s="1669"/>
      <c r="G138" s="1668"/>
      <c r="H138" s="1780"/>
      <c r="I138" s="1667"/>
      <c r="J138" s="1666"/>
      <c r="K138" s="1666"/>
      <c r="L138" s="1666"/>
      <c r="M138" s="1665"/>
      <c r="N138" s="1664"/>
      <c r="O138" s="1664"/>
      <c r="P138" s="1804"/>
      <c r="R138" s="1671"/>
      <c r="S138" s="1671"/>
      <c r="T138" s="1671"/>
      <c r="V138" s="1656"/>
      <c r="W138" s="1781"/>
      <c r="X138" s="1781"/>
      <c r="Y138" s="1781"/>
      <c r="Z138" s="1656"/>
      <c r="AA138" s="1781"/>
      <c r="AB138" s="1781"/>
      <c r="AC138" s="1781"/>
      <c r="AD138" s="1781"/>
      <c r="AE138" s="1781"/>
      <c r="AF138" s="1781"/>
      <c r="AG138" s="1781"/>
      <c r="AI138" s="1781"/>
      <c r="AJ138" s="1781"/>
      <c r="AK138" s="1781"/>
      <c r="AL138" s="1781"/>
      <c r="AM138" s="1781"/>
      <c r="AN138" s="1781"/>
      <c r="AO138" s="1781"/>
    </row>
    <row r="139" spans="1:41" s="1599" customFormat="1" ht="18.75" customHeight="1" thickBot="1">
      <c r="A139" s="2220" t="s">
        <v>2272</v>
      </c>
      <c r="B139" s="2221"/>
      <c r="C139" s="2221"/>
      <c r="D139" s="2221"/>
      <c r="E139" s="2222"/>
      <c r="F139" s="1658">
        <f>SUM(F30:F138)</f>
        <v>1146859627.3426077</v>
      </c>
      <c r="G139" s="1627"/>
      <c r="H139" s="1680"/>
      <c r="I139" s="1679"/>
      <c r="J139" s="1678"/>
      <c r="K139" s="1678"/>
      <c r="L139" s="1678"/>
      <c r="M139" s="1677"/>
      <c r="N139" s="1676"/>
      <c r="O139" s="1658">
        <f>SUM(O30:O136)</f>
        <v>968153601.71748471</v>
      </c>
      <c r="P139" s="1804"/>
      <c r="R139" s="1671"/>
      <c r="S139" s="1671"/>
      <c r="T139" s="1671"/>
      <c r="V139" s="1656"/>
      <c r="W139" s="1781"/>
      <c r="X139" s="1781"/>
      <c r="Y139" s="1781"/>
      <c r="Z139" s="1656"/>
      <c r="AA139" s="1781"/>
      <c r="AB139" s="1781"/>
      <c r="AC139" s="1781"/>
      <c r="AD139" s="1781"/>
      <c r="AE139" s="1781"/>
      <c r="AF139" s="1781"/>
      <c r="AG139" s="1781"/>
      <c r="AI139" s="1781"/>
      <c r="AJ139" s="1781"/>
      <c r="AK139" s="1781"/>
      <c r="AL139" s="1781"/>
      <c r="AM139" s="1781"/>
      <c r="AN139" s="1781"/>
      <c r="AO139" s="1781"/>
    </row>
    <row r="140" spans="1:41" s="1599" customFormat="1" ht="18.75" customHeight="1">
      <c r="A140" s="1798"/>
      <c r="B140" s="1799"/>
      <c r="C140" s="1779"/>
      <c r="D140" s="1780"/>
      <c r="E140" s="1803"/>
      <c r="F140" s="1803"/>
      <c r="G140" s="1804"/>
      <c r="H140" s="1780"/>
      <c r="I140" s="1667"/>
      <c r="J140" s="1666"/>
      <c r="K140" s="1666"/>
      <c r="L140" s="1666"/>
      <c r="M140" s="1665"/>
      <c r="N140" s="1664"/>
      <c r="O140" s="1664"/>
      <c r="P140" s="1804"/>
      <c r="R140" s="1656"/>
      <c r="S140" s="1656"/>
      <c r="T140" s="1656"/>
      <c r="V140" s="1656"/>
      <c r="W140" s="1781"/>
      <c r="X140" s="1781"/>
      <c r="Y140" s="1781"/>
      <c r="Z140" s="1656"/>
      <c r="AA140" s="1781"/>
      <c r="AB140" s="1781"/>
      <c r="AC140" s="1781"/>
      <c r="AD140" s="1781"/>
      <c r="AE140" s="1781"/>
      <c r="AF140" s="1781"/>
      <c r="AG140" s="1781"/>
      <c r="AI140" s="1781"/>
      <c r="AJ140" s="1781"/>
      <c r="AK140" s="1781"/>
      <c r="AL140" s="1781"/>
      <c r="AM140" s="1781"/>
      <c r="AN140" s="1781"/>
      <c r="AO140" s="1781"/>
    </row>
    <row r="141" spans="1:41" s="1599" customFormat="1" ht="18.75" customHeight="1">
      <c r="A141" s="1800" t="s">
        <v>1928</v>
      </c>
      <c r="B141" s="1806" t="s">
        <v>2273</v>
      </c>
      <c r="C141" s="1779"/>
      <c r="D141" s="1780"/>
      <c r="E141" s="1803"/>
      <c r="F141" s="1675"/>
      <c r="G141" s="1627"/>
      <c r="H141" s="1780"/>
      <c r="I141" s="1667"/>
      <c r="J141" s="1666"/>
      <c r="K141" s="1666"/>
      <c r="L141" s="1666"/>
      <c r="M141" s="1665"/>
      <c r="N141" s="1664"/>
      <c r="O141" s="1674"/>
      <c r="P141" s="1802"/>
      <c r="R141" s="1656"/>
      <c r="S141" s="1656"/>
      <c r="T141" s="1656"/>
      <c r="V141" s="1656"/>
      <c r="W141" s="1781"/>
      <c r="X141" s="1781"/>
      <c r="Y141" s="1781"/>
      <c r="Z141" s="1656"/>
      <c r="AA141" s="1781"/>
      <c r="AB141" s="1781"/>
      <c r="AC141" s="1781"/>
      <c r="AD141" s="1781"/>
      <c r="AE141" s="1781"/>
      <c r="AF141" s="1781"/>
      <c r="AG141" s="1781"/>
      <c r="AI141" s="1781"/>
      <c r="AJ141" s="1781"/>
      <c r="AK141" s="1781"/>
      <c r="AL141" s="1781"/>
      <c r="AM141" s="1781"/>
      <c r="AN141" s="1781"/>
      <c r="AO141" s="1781"/>
    </row>
    <row r="142" spans="1:41" s="1599" customFormat="1" ht="18.75" customHeight="1">
      <c r="A142" s="1800"/>
      <c r="B142" s="1807"/>
      <c r="C142" s="1779"/>
      <c r="D142" s="1780"/>
      <c r="E142" s="1803"/>
      <c r="F142" s="1808"/>
      <c r="G142" s="1802"/>
      <c r="H142" s="1780"/>
      <c r="I142" s="1667"/>
      <c r="J142" s="1666"/>
      <c r="K142" s="1666"/>
      <c r="L142" s="1666"/>
      <c r="M142" s="1665"/>
      <c r="N142" s="1664"/>
      <c r="O142" s="1674"/>
      <c r="P142" s="1802"/>
      <c r="R142" s="1685"/>
      <c r="S142" s="1685"/>
      <c r="T142" s="1685"/>
      <c r="V142" s="1685"/>
      <c r="W142" s="1781"/>
      <c r="X142" s="1781"/>
      <c r="Y142" s="1781"/>
      <c r="Z142" s="1684"/>
      <c r="AA142" s="1781"/>
      <c r="AB142" s="1781"/>
      <c r="AC142" s="1781"/>
      <c r="AD142" s="1781"/>
      <c r="AE142" s="1781"/>
      <c r="AF142" s="1781"/>
      <c r="AG142" s="1781"/>
      <c r="AI142" s="1781"/>
      <c r="AJ142" s="1781"/>
      <c r="AK142" s="1781"/>
      <c r="AL142" s="1781"/>
      <c r="AM142" s="1781"/>
      <c r="AN142" s="1781"/>
      <c r="AO142" s="1781"/>
    </row>
    <row r="143" spans="1:41" s="1599" customFormat="1" ht="18.75" customHeight="1">
      <c r="A143" s="1800" t="s">
        <v>237</v>
      </c>
      <c r="B143" s="1809" t="s">
        <v>1974</v>
      </c>
      <c r="C143" s="1779"/>
      <c r="D143" s="1780"/>
      <c r="E143" s="1803"/>
      <c r="F143" s="1675"/>
      <c r="G143" s="1627"/>
      <c r="H143" s="1780"/>
      <c r="I143" s="1667"/>
      <c r="J143" s="1666"/>
      <c r="K143" s="1666"/>
      <c r="L143" s="1666"/>
      <c r="M143" s="1665"/>
      <c r="N143" s="1664"/>
      <c r="O143" s="1674"/>
      <c r="P143" s="1628"/>
      <c r="R143" s="1656"/>
      <c r="S143" s="1656"/>
      <c r="T143" s="1656"/>
      <c r="V143" s="1656"/>
      <c r="W143" s="1781"/>
      <c r="X143" s="1781"/>
      <c r="Y143" s="1781"/>
      <c r="Z143" s="1656"/>
      <c r="AA143" s="1781"/>
      <c r="AB143" s="1781"/>
      <c r="AC143" s="1781"/>
      <c r="AD143" s="1781"/>
      <c r="AE143" s="1781"/>
      <c r="AF143" s="1781"/>
      <c r="AG143" s="1781"/>
      <c r="AI143" s="1781"/>
      <c r="AN143" s="1781"/>
      <c r="AO143" s="1781"/>
    </row>
    <row r="144" spans="1:41" s="1599" customFormat="1" ht="18.75" customHeight="1">
      <c r="A144" s="1810">
        <v>1</v>
      </c>
      <c r="B144" s="1809" t="s">
        <v>2072</v>
      </c>
      <c r="C144" s="1779"/>
      <c r="D144" s="1780"/>
      <c r="F144" s="1803"/>
      <c r="G144" s="1804"/>
      <c r="H144" s="1780"/>
      <c r="I144" s="1667"/>
      <c r="J144" s="1666"/>
      <c r="K144" s="1666"/>
      <c r="L144" s="1666"/>
      <c r="M144" s="1665"/>
      <c r="N144" s="1664"/>
      <c r="O144" s="1664"/>
      <c r="P144" s="1804"/>
      <c r="R144" s="1670"/>
      <c r="S144" s="1670"/>
      <c r="T144" s="1670"/>
      <c r="V144" s="1656"/>
      <c r="W144" s="1670"/>
      <c r="X144" s="1670"/>
      <c r="Y144" s="1781"/>
      <c r="Z144" s="1656"/>
      <c r="AA144" s="1670"/>
      <c r="AB144" s="1670"/>
      <c r="AC144" s="1670"/>
      <c r="AD144" s="1781"/>
      <c r="AE144" s="1781"/>
      <c r="AF144" s="1670"/>
      <c r="AG144" s="1670"/>
      <c r="AH144" s="1670"/>
      <c r="AI144" s="1781"/>
      <c r="AJ144" s="1656">
        <f>SUMPRODUCT(H145:H145,V145:V145)</f>
        <v>256.53003980226947</v>
      </c>
      <c r="AK144" s="1656"/>
      <c r="AL144" s="1656">
        <f>SUMPRODUCT(H145:H145,Z145:Z145)</f>
        <v>3517.3379311492804</v>
      </c>
      <c r="AM144" s="1781" t="s">
        <v>1968</v>
      </c>
      <c r="AN144" s="1781"/>
      <c r="AO144" s="1781"/>
    </row>
    <row r="145" spans="1:41" s="1599" customFormat="1" ht="30">
      <c r="A145" s="1805"/>
      <c r="B145" s="1799" t="s">
        <v>2076</v>
      </c>
      <c r="C145" s="1779" t="s">
        <v>1969</v>
      </c>
      <c r="D145" s="1780">
        <f>H145</f>
        <v>32.049766349999999</v>
      </c>
      <c r="E145" s="1622">
        <f>N145*'REKAP RAB'!$O$5</f>
        <v>5475212.765476997</v>
      </c>
      <c r="F145" s="1682">
        <f>D145*E145</f>
        <v>175479289.8500751</v>
      </c>
      <c r="G145" s="1681"/>
      <c r="H145" s="1780">
        <f>SUM('REKAP Plat'!G22:G34)</f>
        <v>32.049766349999999</v>
      </c>
      <c r="I145" s="1667">
        <f t="shared" ref="I145" si="154">AF145</f>
        <v>3138388.6543419235</v>
      </c>
      <c r="J145" s="1666">
        <f t="shared" ref="J145" si="155">AG145</f>
        <v>1250000</v>
      </c>
      <c r="K145" s="1666">
        <f t="shared" ref="K145" si="156">AH145</f>
        <v>372665.92433372699</v>
      </c>
      <c r="L145" s="1666"/>
      <c r="M145" s="1665"/>
      <c r="N145" s="1664">
        <f>SUM(I145:M145)</f>
        <v>4761054.5786756501</v>
      </c>
      <c r="O145" s="1664">
        <f>H145*N145</f>
        <v>152590686.82615227</v>
      </c>
      <c r="P145" s="1673"/>
      <c r="R145" s="1670">
        <f>Analisa!F$217</f>
        <v>1223775</v>
      </c>
      <c r="S145" s="1670">
        <f>Analisa!G$217</f>
        <v>1250000</v>
      </c>
      <c r="T145" s="1670">
        <f>Analisa!H$217</f>
        <v>90000</v>
      </c>
      <c r="V145" s="1656">
        <f>'REKAP Plat'!U22</f>
        <v>8.004115755504392</v>
      </c>
      <c r="W145" s="1670">
        <f>Analisa!$F$153</f>
        <v>96024.305555555562</v>
      </c>
      <c r="X145" s="1670">
        <f>Analisa!$H$153</f>
        <v>35315.072016460901</v>
      </c>
      <c r="Y145" s="1781"/>
      <c r="Z145" s="1656">
        <f>'REKAP Plat'!V22</f>
        <v>109.74613333333335</v>
      </c>
      <c r="AA145" s="1670">
        <f>Analisa!$F$233</f>
        <v>10442.5</v>
      </c>
      <c r="AB145" s="1670"/>
      <c r="AC145" s="1670"/>
      <c r="AD145" s="1781"/>
      <c r="AE145" s="1781"/>
      <c r="AF145" s="1670">
        <f>R145+V145*W145+Z145*AA145</f>
        <v>3138388.6543419235</v>
      </c>
      <c r="AG145" s="1670">
        <f>S145</f>
        <v>1250000</v>
      </c>
      <c r="AH145" s="1670">
        <f>T145+V145*X145</f>
        <v>372665.92433372699</v>
      </c>
      <c r="AI145" s="1670"/>
      <c r="AJ145" s="1656"/>
      <c r="AK145" s="1656"/>
      <c r="AL145" s="1656"/>
      <c r="AM145" s="1781"/>
      <c r="AN145" s="1781"/>
      <c r="AO145" s="1781"/>
    </row>
    <row r="146" spans="1:41" s="1599" customFormat="1" ht="18.75" customHeight="1">
      <c r="A146" s="1805"/>
      <c r="B146" s="1799"/>
      <c r="C146" s="1779"/>
      <c r="D146" s="1780"/>
      <c r="E146" s="1804"/>
      <c r="F146" s="1803"/>
      <c r="G146" s="1804"/>
      <c r="H146" s="1780"/>
      <c r="I146" s="1667"/>
      <c r="J146" s="1666"/>
      <c r="K146" s="1666"/>
      <c r="L146" s="1666"/>
      <c r="M146" s="1665"/>
      <c r="N146" s="1664"/>
      <c r="O146" s="1664"/>
      <c r="P146" s="1804"/>
      <c r="V146" s="1656"/>
      <c r="W146" s="1781"/>
      <c r="X146" s="1781"/>
      <c r="Y146" s="1781"/>
      <c r="AA146" s="1781"/>
      <c r="AB146" s="1781"/>
      <c r="AC146" s="1781"/>
      <c r="AD146" s="1781"/>
      <c r="AE146" s="1781"/>
      <c r="AF146" s="1781"/>
      <c r="AG146" s="1781"/>
      <c r="AI146" s="1781"/>
      <c r="AJ146" s="1781"/>
      <c r="AK146" s="1781"/>
      <c r="AL146" s="1781"/>
      <c r="AM146" s="1781"/>
      <c r="AN146" s="1781"/>
      <c r="AO146" s="1781"/>
    </row>
    <row r="147" spans="1:41" s="1599" customFormat="1" ht="18.75" customHeight="1">
      <c r="A147" s="1810">
        <v>2</v>
      </c>
      <c r="B147" s="1809" t="s">
        <v>2074</v>
      </c>
      <c r="C147" s="1779" t="s">
        <v>354</v>
      </c>
      <c r="D147" s="1780"/>
      <c r="E147" s="1803"/>
      <c r="F147" s="1803"/>
      <c r="G147" s="1804"/>
      <c r="H147" s="1780"/>
      <c r="I147" s="1667"/>
      <c r="J147" s="1666"/>
      <c r="K147" s="1666"/>
      <c r="L147" s="1666"/>
      <c r="M147" s="1665"/>
      <c r="N147" s="1664"/>
      <c r="O147" s="1664"/>
      <c r="P147" s="1804"/>
      <c r="R147" s="1656"/>
      <c r="S147" s="1656"/>
      <c r="T147" s="1656"/>
      <c r="V147" s="1656"/>
      <c r="W147" s="1781"/>
      <c r="X147" s="1781"/>
      <c r="Y147" s="1781"/>
      <c r="Z147" s="1656"/>
      <c r="AA147" s="1781"/>
      <c r="AB147" s="1781"/>
      <c r="AC147" s="1781"/>
      <c r="AD147" s="1781"/>
      <c r="AE147" s="1781"/>
      <c r="AF147" s="1781"/>
      <c r="AG147" s="1781"/>
      <c r="AI147" s="1781"/>
      <c r="AJ147" s="1656">
        <f>SUMPRODUCT(H148:H155,V148:V155)</f>
        <v>187.7165</v>
      </c>
      <c r="AK147" s="1656"/>
      <c r="AL147" s="1656">
        <f>SUMPRODUCT(H148:H155,Z148:Z155)</f>
        <v>4575.4125061860004</v>
      </c>
      <c r="AM147" s="1781" t="s">
        <v>1968</v>
      </c>
      <c r="AN147" s="1781"/>
      <c r="AO147" s="1781"/>
    </row>
    <row r="148" spans="1:41" s="1599" customFormat="1" ht="18">
      <c r="A148" s="1805"/>
      <c r="B148" s="1778" t="str">
        <f t="shared" ref="B148:B152" si="157">CONCATENATE(" - Balok ",G148)</f>
        <v xml:space="preserve"> - Balok B4-1</v>
      </c>
      <c r="C148" s="1779" t="s">
        <v>1969</v>
      </c>
      <c r="D148" s="1780">
        <f>H148*'REKAP RAB'!$K$3</f>
        <v>0.57199999999999995</v>
      </c>
      <c r="E148" s="1622">
        <f>N148*'REKAP RAB'!$O$5</f>
        <v>11615648.79726244</v>
      </c>
      <c r="F148" s="1682">
        <f t="shared" ref="F148:F152" si="158">D148*E148</f>
        <v>6644151.112034115</v>
      </c>
      <c r="G148" s="1681" t="s">
        <v>2286</v>
      </c>
      <c r="H148" s="1780">
        <f>'REKAP Balok'!G288</f>
        <v>0.57199999999999995</v>
      </c>
      <c r="I148" s="1667">
        <f t="shared" ref="I148:I152" si="159">AF148</f>
        <v>7599512.7559342664</v>
      </c>
      <c r="J148" s="1666">
        <f t="shared" ref="J148:J152" si="160">AG148</f>
        <v>1500000</v>
      </c>
      <c r="K148" s="1666">
        <f t="shared" ref="K148:K152" si="161">AH148</f>
        <v>1001051.4155982906</v>
      </c>
      <c r="L148" s="1666"/>
      <c r="M148" s="1665"/>
      <c r="N148" s="1664">
        <f t="shared" ref="N148:N152" si="162">SUM(I148:M148)</f>
        <v>10100564.171532556</v>
      </c>
      <c r="O148" s="1664">
        <f t="shared" ref="O148:O152" si="163">H148*N148</f>
        <v>5777522.7061166214</v>
      </c>
      <c r="P148" s="1670"/>
      <c r="R148" s="1670">
        <f>Analisa!$F$201</f>
        <v>1223775</v>
      </c>
      <c r="S148" s="1670">
        <f>Analisa!$G$201</f>
        <v>1500000</v>
      </c>
      <c r="T148" s="1670">
        <f>Analisa!$H$201</f>
        <v>90000</v>
      </c>
      <c r="V148" s="1656">
        <f>'REKAP Balok'!W288</f>
        <v>17.884615384615387</v>
      </c>
      <c r="W148" s="1688">
        <f>Analisa!$F$143</f>
        <v>284712.5</v>
      </c>
      <c r="X148" s="1688">
        <f>Analisa!$H$143</f>
        <v>50940.509259259255</v>
      </c>
      <c r="Y148" s="1781"/>
      <c r="Z148" s="1656">
        <f>'REKAP Balok'!X288</f>
        <v>122.93648055944057</v>
      </c>
      <c r="AA148" s="1670">
        <f>Analisa!$F$233</f>
        <v>10442.5</v>
      </c>
      <c r="AB148" s="1670"/>
      <c r="AC148" s="1670"/>
      <c r="AD148" s="1781"/>
      <c r="AE148" s="1781"/>
      <c r="AF148" s="1670">
        <f t="shared" ref="AF148:AF152" si="164">R148+V148*W148+Z148*AA148</f>
        <v>7599512.7559342664</v>
      </c>
      <c r="AG148" s="1670">
        <f t="shared" ref="AG148:AG152" si="165">S148</f>
        <v>1500000</v>
      </c>
      <c r="AH148" s="1670">
        <f t="shared" ref="AH148:AH152" si="166">T148+V148*X148</f>
        <v>1001051.4155982906</v>
      </c>
      <c r="AI148" s="1670"/>
      <c r="AJ148" s="1656"/>
      <c r="AK148" s="1656"/>
      <c r="AL148" s="1656"/>
      <c r="AM148" s="1684"/>
      <c r="AN148" s="1781"/>
      <c r="AO148" s="1781"/>
    </row>
    <row r="149" spans="1:41" s="1599" customFormat="1" ht="18">
      <c r="A149" s="1805"/>
      <c r="B149" s="1778" t="str">
        <f t="shared" si="157"/>
        <v xml:space="preserve"> - Balok B23-1</v>
      </c>
      <c r="C149" s="1779" t="s">
        <v>1969</v>
      </c>
      <c r="D149" s="1780">
        <f>H149*'REKAP RAB'!$K$3</f>
        <v>0.29520000000000002</v>
      </c>
      <c r="E149" s="1622">
        <f>N149*'REKAP RAB'!$O$5</f>
        <v>11684957.833742611</v>
      </c>
      <c r="F149" s="1682">
        <f t="shared" si="158"/>
        <v>3449399.552520819</v>
      </c>
      <c r="G149" s="1681" t="s">
        <v>2288</v>
      </c>
      <c r="H149" s="1780">
        <f>'REKAP Balok'!G290</f>
        <v>0.29520000000000002</v>
      </c>
      <c r="I149" s="1667">
        <f t="shared" si="159"/>
        <v>8061427.8063140251</v>
      </c>
      <c r="J149" s="1666">
        <f t="shared" si="160"/>
        <v>1500000</v>
      </c>
      <c r="K149" s="1666">
        <f t="shared" si="161"/>
        <v>599405.09259259258</v>
      </c>
      <c r="L149" s="1666"/>
      <c r="M149" s="1665"/>
      <c r="N149" s="1664">
        <f t="shared" si="162"/>
        <v>10160832.898906618</v>
      </c>
      <c r="O149" s="1664">
        <f t="shared" si="163"/>
        <v>2999477.871757234</v>
      </c>
      <c r="P149" s="1670"/>
      <c r="R149" s="1670">
        <f>Analisa!$F$201</f>
        <v>1223775</v>
      </c>
      <c r="S149" s="1670">
        <f>Analisa!$G$201</f>
        <v>1500000</v>
      </c>
      <c r="T149" s="1670">
        <f>Analisa!$H$201</f>
        <v>90000</v>
      </c>
      <c r="V149" s="1656">
        <f>'REKAP Balok'!W290</f>
        <v>10</v>
      </c>
      <c r="W149" s="1688">
        <f>Analisa!$F$143</f>
        <v>284712.5</v>
      </c>
      <c r="X149" s="1688">
        <f>Analisa!$H$143</f>
        <v>50940.509259259255</v>
      </c>
      <c r="Y149" s="1781"/>
      <c r="Z149" s="1656">
        <f>'REKAP Balok'!X290</f>
        <v>382.14295487804878</v>
      </c>
      <c r="AA149" s="1670">
        <f>Analisa!$F$233</f>
        <v>10442.5</v>
      </c>
      <c r="AB149" s="1670"/>
      <c r="AC149" s="1670"/>
      <c r="AD149" s="1781"/>
      <c r="AE149" s="1781"/>
      <c r="AF149" s="1670">
        <f t="shared" si="164"/>
        <v>8061427.8063140251</v>
      </c>
      <c r="AG149" s="1670">
        <f t="shared" si="165"/>
        <v>1500000</v>
      </c>
      <c r="AH149" s="1670">
        <f t="shared" si="166"/>
        <v>599405.09259259258</v>
      </c>
      <c r="AI149" s="1670"/>
      <c r="AJ149" s="1656"/>
      <c r="AK149" s="1656"/>
      <c r="AL149" s="1656"/>
      <c r="AM149" s="1684"/>
      <c r="AN149" s="1781"/>
      <c r="AO149" s="1781"/>
    </row>
    <row r="150" spans="1:41" s="1599" customFormat="1" ht="18">
      <c r="A150" s="1805"/>
      <c r="B150" s="1778" t="str">
        <f t="shared" si="157"/>
        <v xml:space="preserve"> - Balok B24-1</v>
      </c>
      <c r="C150" s="1779" t="s">
        <v>1969</v>
      </c>
      <c r="D150" s="1780">
        <f>H150*'REKAP RAB'!$K$3</f>
        <v>2.7522000000000002</v>
      </c>
      <c r="E150" s="1622">
        <f>N150*'REKAP RAB'!$O$5</f>
        <v>9995237.9822189379</v>
      </c>
      <c r="F150" s="1682">
        <f t="shared" si="158"/>
        <v>27508893.974662963</v>
      </c>
      <c r="G150" s="1681" t="s">
        <v>132</v>
      </c>
      <c r="H150" s="1780">
        <f>'REKAP Balok'!G291</f>
        <v>2.7522000000000002</v>
      </c>
      <c r="I150" s="1667">
        <f t="shared" si="159"/>
        <v>6537263.9868118679</v>
      </c>
      <c r="J150" s="1666">
        <f t="shared" si="160"/>
        <v>1500000</v>
      </c>
      <c r="K150" s="1666">
        <f t="shared" si="161"/>
        <v>654247.30207416555</v>
      </c>
      <c r="L150" s="1666"/>
      <c r="M150" s="1665"/>
      <c r="N150" s="1664">
        <f t="shared" si="162"/>
        <v>8691511.288886033</v>
      </c>
      <c r="O150" s="1664">
        <f t="shared" si="163"/>
        <v>23920777.369272143</v>
      </c>
      <c r="P150" s="1670"/>
      <c r="R150" s="1670">
        <f>Analisa!$F$201</f>
        <v>1223775</v>
      </c>
      <c r="S150" s="1670">
        <f>Analisa!$G$201</f>
        <v>1500000</v>
      </c>
      <c r="T150" s="1670">
        <f>Analisa!$H$201</f>
        <v>90000</v>
      </c>
      <c r="V150" s="1656">
        <f>'REKAP Balok'!W291</f>
        <v>11.076593270837876</v>
      </c>
      <c r="W150" s="1688">
        <f>Analisa!$F$143</f>
        <v>284712.5</v>
      </c>
      <c r="X150" s="1688">
        <f>Analisa!$H$143</f>
        <v>50940.509259259255</v>
      </c>
      <c r="Y150" s="1781"/>
      <c r="Z150" s="1656">
        <f>'REKAP Balok'!X291</f>
        <v>206.83212115761935</v>
      </c>
      <c r="AA150" s="1670">
        <f>Analisa!$F$233</f>
        <v>10442.5</v>
      </c>
      <c r="AB150" s="1670"/>
      <c r="AC150" s="1670"/>
      <c r="AD150" s="1781"/>
      <c r="AE150" s="1781"/>
      <c r="AF150" s="1670">
        <f t="shared" si="164"/>
        <v>6537263.9868118679</v>
      </c>
      <c r="AG150" s="1670">
        <f t="shared" si="165"/>
        <v>1500000</v>
      </c>
      <c r="AH150" s="1670">
        <f t="shared" si="166"/>
        <v>654247.30207416555</v>
      </c>
      <c r="AI150" s="1670"/>
      <c r="AJ150" s="1656"/>
      <c r="AK150" s="1656"/>
      <c r="AL150" s="1656"/>
      <c r="AM150" s="1684"/>
      <c r="AN150" s="1781"/>
      <c r="AO150" s="1781"/>
    </row>
    <row r="151" spans="1:41" s="1599" customFormat="1" ht="18">
      <c r="A151" s="1805"/>
      <c r="B151" s="1778" t="str">
        <f t="shared" si="157"/>
        <v xml:space="preserve"> - Balok B24-2</v>
      </c>
      <c r="C151" s="1779" t="s">
        <v>1969</v>
      </c>
      <c r="D151" s="1780">
        <f>H151*'REKAP RAB'!$K$3</f>
        <v>1.0412499999999998</v>
      </c>
      <c r="E151" s="1622">
        <f>N151*'REKAP RAB'!$O$5</f>
        <v>10746321.917173157</v>
      </c>
      <c r="F151" s="1682">
        <f t="shared" si="158"/>
        <v>11189607.696256546</v>
      </c>
      <c r="G151" s="1681" t="s">
        <v>133</v>
      </c>
      <c r="H151" s="1780">
        <f>'REKAP Balok'!G292</f>
        <v>1.0412499999999998</v>
      </c>
      <c r="I151" s="1667">
        <f t="shared" si="159"/>
        <v>7245222.6614710223</v>
      </c>
      <c r="J151" s="1666">
        <f t="shared" si="160"/>
        <v>1500000</v>
      </c>
      <c r="K151" s="1666">
        <f t="shared" si="161"/>
        <v>599405.09259259282</v>
      </c>
      <c r="L151" s="1666"/>
      <c r="M151" s="1665"/>
      <c r="N151" s="1664">
        <f t="shared" si="162"/>
        <v>9344627.7540636156</v>
      </c>
      <c r="O151" s="1664">
        <f t="shared" si="163"/>
        <v>9730093.6489187386</v>
      </c>
      <c r="P151" s="1670"/>
      <c r="R151" s="1670">
        <f>Analisa!$F$201</f>
        <v>1223775</v>
      </c>
      <c r="S151" s="1670">
        <f>Analisa!$G$201</f>
        <v>1500000</v>
      </c>
      <c r="T151" s="1670">
        <f>Analisa!$H$201</f>
        <v>90000</v>
      </c>
      <c r="V151" s="1656">
        <f>'REKAP Balok'!W292</f>
        <v>10.000000000000004</v>
      </c>
      <c r="W151" s="1688">
        <f>Analisa!$F$143</f>
        <v>284712.5</v>
      </c>
      <c r="X151" s="1688">
        <f>Analisa!$H$143</f>
        <v>50940.509259259255</v>
      </c>
      <c r="Y151" s="1781"/>
      <c r="Z151" s="1656">
        <f>'REKAP Balok'!X292</f>
        <v>303.98110236734703</v>
      </c>
      <c r="AA151" s="1670">
        <f>Analisa!$F$233</f>
        <v>10442.5</v>
      </c>
      <c r="AB151" s="1670"/>
      <c r="AC151" s="1670"/>
      <c r="AD151" s="1781"/>
      <c r="AE151" s="1781"/>
      <c r="AF151" s="1670">
        <f t="shared" si="164"/>
        <v>7245222.6614710223</v>
      </c>
      <c r="AG151" s="1670">
        <f t="shared" si="165"/>
        <v>1500000</v>
      </c>
      <c r="AH151" s="1670">
        <f t="shared" si="166"/>
        <v>599405.09259259282</v>
      </c>
      <c r="AI151" s="1670"/>
      <c r="AJ151" s="1656"/>
      <c r="AK151" s="1656"/>
      <c r="AL151" s="1656"/>
      <c r="AM151" s="1684"/>
      <c r="AN151" s="1781"/>
      <c r="AO151" s="1781"/>
    </row>
    <row r="152" spans="1:41" s="1599" customFormat="1" ht="18">
      <c r="A152" s="1805"/>
      <c r="B152" s="1778" t="str">
        <f t="shared" si="157"/>
        <v xml:space="preserve"> - Balok CL24-1</v>
      </c>
      <c r="C152" s="1779" t="s">
        <v>1969</v>
      </c>
      <c r="D152" s="1780">
        <f>H152*'REKAP RAB'!$K$3</f>
        <v>0.7932499999999999</v>
      </c>
      <c r="E152" s="1622">
        <f>N152*'REKAP RAB'!$O$5</f>
        <v>11344326.6643897</v>
      </c>
      <c r="F152" s="1682">
        <f t="shared" si="158"/>
        <v>8998887.1265271287</v>
      </c>
      <c r="G152" s="1681" t="s">
        <v>2289</v>
      </c>
      <c r="H152" s="1780">
        <f>'REKAP Balok'!G293</f>
        <v>0.7932499999999999</v>
      </c>
      <c r="I152" s="1667">
        <f t="shared" si="159"/>
        <v>7765226.789485408</v>
      </c>
      <c r="J152" s="1666">
        <f t="shared" si="160"/>
        <v>1500000</v>
      </c>
      <c r="K152" s="1666">
        <f t="shared" si="161"/>
        <v>599405.09259259258</v>
      </c>
      <c r="L152" s="1666"/>
      <c r="M152" s="1665"/>
      <c r="N152" s="1664">
        <f t="shared" si="162"/>
        <v>9864631.8820780013</v>
      </c>
      <c r="O152" s="1664">
        <f t="shared" si="163"/>
        <v>7825119.2404583739</v>
      </c>
      <c r="P152" s="1670"/>
      <c r="R152" s="1670">
        <f>Analisa!$F$201</f>
        <v>1223775</v>
      </c>
      <c r="S152" s="1670">
        <f>Analisa!$G$201</f>
        <v>1500000</v>
      </c>
      <c r="T152" s="1670">
        <f>Analisa!$H$201</f>
        <v>90000</v>
      </c>
      <c r="V152" s="1656">
        <f>'REKAP Balok'!W293</f>
        <v>10</v>
      </c>
      <c r="W152" s="1688">
        <f>Analisa!$F$143</f>
        <v>284712.5</v>
      </c>
      <c r="X152" s="1688">
        <f>Analisa!$H$143</f>
        <v>50940.509259259255</v>
      </c>
      <c r="Y152" s="1781"/>
      <c r="Z152" s="1656">
        <f>'REKAP Balok'!X293</f>
        <v>353.77800234478411</v>
      </c>
      <c r="AA152" s="1670">
        <f>Analisa!$F$233</f>
        <v>10442.5</v>
      </c>
      <c r="AB152" s="1670"/>
      <c r="AC152" s="1670"/>
      <c r="AD152" s="1781"/>
      <c r="AE152" s="1781"/>
      <c r="AF152" s="1670">
        <f t="shared" si="164"/>
        <v>7765226.789485408</v>
      </c>
      <c r="AG152" s="1670">
        <f t="shared" si="165"/>
        <v>1500000</v>
      </c>
      <c r="AH152" s="1670">
        <f t="shared" si="166"/>
        <v>599405.09259259258</v>
      </c>
      <c r="AI152" s="1670"/>
      <c r="AJ152" s="1656"/>
      <c r="AK152" s="1656"/>
      <c r="AL152" s="1656"/>
      <c r="AM152" s="1684"/>
      <c r="AN152" s="1781"/>
      <c r="AO152" s="1781"/>
    </row>
    <row r="153" spans="1:41" s="1599" customFormat="1" ht="18">
      <c r="A153" s="1805"/>
      <c r="B153" s="1778" t="str">
        <f t="shared" ref="B153:B155" si="167">CONCATENATE(" - Balok ",G153)</f>
        <v xml:space="preserve"> - Balok B25-1</v>
      </c>
      <c r="C153" s="1779" t="s">
        <v>1969</v>
      </c>
      <c r="D153" s="1780">
        <f>H153*'REKAP RAB'!$K$3</f>
        <v>6.7695500000000015</v>
      </c>
      <c r="E153" s="1622">
        <f>N153*'REKAP RAB'!$O$5</f>
        <v>10272741.677966965</v>
      </c>
      <c r="F153" s="1682">
        <f t="shared" ref="F153:F155" si="168">D153*E153</f>
        <v>69541838.426081285</v>
      </c>
      <c r="G153" s="1681" t="s">
        <v>134</v>
      </c>
      <c r="H153" s="1780">
        <f>'REKAP Balok'!G294</f>
        <v>6.7695500000000015</v>
      </c>
      <c r="I153" s="1667">
        <f t="shared" ref="I153:I155" si="169">AF153</f>
        <v>6817874.7409481835</v>
      </c>
      <c r="J153" s="1666">
        <f t="shared" ref="J153:J155" si="170">AG153</f>
        <v>1500000</v>
      </c>
      <c r="K153" s="1666">
        <f t="shared" ref="K153:K155" si="171">AH153</f>
        <v>614944.10945787455</v>
      </c>
      <c r="L153" s="1666"/>
      <c r="M153" s="1665"/>
      <c r="N153" s="1664">
        <f t="shared" ref="N153:N155" si="172">SUM(I153:M153)</f>
        <v>8932818.8504060581</v>
      </c>
      <c r="O153" s="1664">
        <f t="shared" ref="O153:O155" si="173">H153*N153</f>
        <v>60471163.848766342</v>
      </c>
      <c r="P153" s="1670"/>
      <c r="R153" s="1670">
        <f>Analisa!$F$201</f>
        <v>1223775</v>
      </c>
      <c r="S153" s="1670">
        <f>Analisa!$G$201</f>
        <v>1500000</v>
      </c>
      <c r="T153" s="1670">
        <f>Analisa!$H$201</f>
        <v>90000</v>
      </c>
      <c r="V153" s="1656">
        <f>'REKAP Balok'!W294</f>
        <v>10.305042432658004</v>
      </c>
      <c r="W153" s="1688">
        <f>Analisa!$F$143</f>
        <v>284712.5</v>
      </c>
      <c r="X153" s="1688">
        <f>Analisa!$H$143</f>
        <v>50940.509259259255</v>
      </c>
      <c r="Y153" s="1781"/>
      <c r="Z153" s="1656">
        <f>'REKAP Balok'!X294</f>
        <v>254.74027745655172</v>
      </c>
      <c r="AA153" s="1670">
        <f>Analisa!$F$233</f>
        <v>10442.5</v>
      </c>
      <c r="AB153" s="1670"/>
      <c r="AC153" s="1670"/>
      <c r="AD153" s="1781"/>
      <c r="AE153" s="1781"/>
      <c r="AF153" s="1670">
        <f t="shared" ref="AF153:AF155" si="174">R153+V153*W153+Z153*AA153</f>
        <v>6817874.7409481835</v>
      </c>
      <c r="AG153" s="1670">
        <f t="shared" ref="AG153:AG155" si="175">S153</f>
        <v>1500000</v>
      </c>
      <c r="AH153" s="1670">
        <f t="shared" ref="AH153:AH155" si="176">T153+V153*X153</f>
        <v>614944.10945787455</v>
      </c>
      <c r="AI153" s="1670"/>
      <c r="AJ153" s="1656"/>
      <c r="AK153" s="1656"/>
      <c r="AL153" s="1656"/>
      <c r="AM153" s="1684"/>
      <c r="AN153" s="1781"/>
      <c r="AO153" s="1781"/>
    </row>
    <row r="154" spans="1:41" s="1599" customFormat="1" ht="18">
      <c r="A154" s="1805"/>
      <c r="B154" s="1778" t="str">
        <f t="shared" si="167"/>
        <v xml:space="preserve"> - Balok B26-1</v>
      </c>
      <c r="C154" s="1779" t="s">
        <v>1969</v>
      </c>
      <c r="D154" s="1780">
        <f>H154*'REKAP RAB'!$K$3</f>
        <v>2.7202500000000001</v>
      </c>
      <c r="E154" s="1622">
        <f>N154*'REKAP RAB'!$O$5</f>
        <v>9956016.2796335407</v>
      </c>
      <c r="F154" s="1682">
        <f t="shared" si="168"/>
        <v>27082853.284673139</v>
      </c>
      <c r="G154" s="1681" t="s">
        <v>135</v>
      </c>
      <c r="H154" s="1780">
        <f>'REKAP Balok'!G295</f>
        <v>2.7202500000000001</v>
      </c>
      <c r="I154" s="1667">
        <f t="shared" si="169"/>
        <v>6558000.3679583129</v>
      </c>
      <c r="J154" s="1666">
        <f t="shared" si="170"/>
        <v>1500000</v>
      </c>
      <c r="K154" s="1666">
        <f t="shared" si="171"/>
        <v>599405.09259259247</v>
      </c>
      <c r="L154" s="1666"/>
      <c r="M154" s="1665"/>
      <c r="N154" s="1664">
        <f t="shared" si="172"/>
        <v>8657405.4605509061</v>
      </c>
      <c r="O154" s="1664">
        <f t="shared" si="173"/>
        <v>23550307.204063602</v>
      </c>
      <c r="P154" s="1670"/>
      <c r="R154" s="1670">
        <f>Analisa!$F$201</f>
        <v>1223775</v>
      </c>
      <c r="S154" s="1670">
        <f>Analisa!$G$201</f>
        <v>1500000</v>
      </c>
      <c r="T154" s="1670">
        <f>Analisa!$H$201</f>
        <v>90000</v>
      </c>
      <c r="V154" s="1656">
        <f>'REKAP Balok'!W295</f>
        <v>9.9999999999999982</v>
      </c>
      <c r="W154" s="1688">
        <f>Analisa!$F$143</f>
        <v>284712.5</v>
      </c>
      <c r="X154" s="1688">
        <f>Analisa!$H$143</f>
        <v>50940.509259259255</v>
      </c>
      <c r="Y154" s="1781"/>
      <c r="Z154" s="1656">
        <f>'REKAP Balok'!X295</f>
        <v>238.17097131513648</v>
      </c>
      <c r="AA154" s="1670">
        <f>Analisa!$F$233</f>
        <v>10442.5</v>
      </c>
      <c r="AB154" s="1670"/>
      <c r="AC154" s="1670"/>
      <c r="AD154" s="1781"/>
      <c r="AE154" s="1781"/>
      <c r="AF154" s="1670">
        <f t="shared" si="174"/>
        <v>6558000.3679583129</v>
      </c>
      <c r="AG154" s="1670">
        <f t="shared" si="175"/>
        <v>1500000</v>
      </c>
      <c r="AH154" s="1670">
        <f t="shared" si="176"/>
        <v>599405.09259259247</v>
      </c>
      <c r="AI154" s="1670"/>
      <c r="AJ154" s="1656"/>
      <c r="AK154" s="1656"/>
      <c r="AL154" s="1656"/>
      <c r="AM154" s="1684"/>
      <c r="AN154" s="1781"/>
      <c r="AO154" s="1781"/>
    </row>
    <row r="155" spans="1:41" s="1599" customFormat="1" ht="18">
      <c r="A155" s="1805"/>
      <c r="B155" s="1778" t="str">
        <f t="shared" si="167"/>
        <v xml:space="preserve"> - Balok B36-1</v>
      </c>
      <c r="C155" s="1779" t="s">
        <v>1969</v>
      </c>
      <c r="D155" s="1780">
        <f>H155*'REKAP RAB'!$K$3</f>
        <v>4.3112250000000003</v>
      </c>
      <c r="E155" s="1622">
        <f>N155*'REKAP RAB'!$O$5</f>
        <v>8186665.1816207115</v>
      </c>
      <c r="F155" s="1682">
        <f t="shared" si="168"/>
        <v>35294555.597632751</v>
      </c>
      <c r="G155" s="1681" t="s">
        <v>2291</v>
      </c>
      <c r="H155" s="1780">
        <f>'REKAP Balok'!G297</f>
        <v>4.3112250000000003</v>
      </c>
      <c r="I155" s="1667">
        <f t="shared" si="169"/>
        <v>5189235.8933041077</v>
      </c>
      <c r="J155" s="1666">
        <f t="shared" si="170"/>
        <v>1500000</v>
      </c>
      <c r="K155" s="1666">
        <f t="shared" si="171"/>
        <v>429603.39506172837</v>
      </c>
      <c r="L155" s="1666"/>
      <c r="M155" s="1665"/>
      <c r="N155" s="1664">
        <f t="shared" si="172"/>
        <v>7118839.2883658363</v>
      </c>
      <c r="O155" s="1664">
        <f t="shared" si="173"/>
        <v>30690917.910985004</v>
      </c>
      <c r="P155" s="1670"/>
      <c r="R155" s="1670">
        <f>Analisa!$F$201</f>
        <v>1223775</v>
      </c>
      <c r="S155" s="1670">
        <f>Analisa!$G$201</f>
        <v>1500000</v>
      </c>
      <c r="T155" s="1670">
        <f>Analisa!$H$201</f>
        <v>90000</v>
      </c>
      <c r="V155" s="1656">
        <f>'REKAP Balok'!W297</f>
        <v>6.666666666666667</v>
      </c>
      <c r="W155" s="1688">
        <f>Analisa!$F$143</f>
        <v>284712.5</v>
      </c>
      <c r="X155" s="1688">
        <f>Analisa!$H$143</f>
        <v>50940.509259259255</v>
      </c>
      <c r="Y155" s="1781"/>
      <c r="Z155" s="1656">
        <f>'REKAP Balok'!X297</f>
        <v>197.97726214706958</v>
      </c>
      <c r="AA155" s="1670">
        <f>Analisa!$F$233</f>
        <v>10442.5</v>
      </c>
      <c r="AB155" s="1670"/>
      <c r="AC155" s="1670"/>
      <c r="AD155" s="1781"/>
      <c r="AE155" s="1781"/>
      <c r="AF155" s="1670">
        <f t="shared" si="174"/>
        <v>5189235.8933041077</v>
      </c>
      <c r="AG155" s="1670">
        <f t="shared" si="175"/>
        <v>1500000</v>
      </c>
      <c r="AH155" s="1670">
        <f t="shared" si="176"/>
        <v>429603.39506172837</v>
      </c>
      <c r="AI155" s="1670"/>
      <c r="AJ155" s="1656"/>
      <c r="AK155" s="1656"/>
      <c r="AL155" s="1656"/>
      <c r="AM155" s="1684"/>
      <c r="AN155" s="1781"/>
      <c r="AO155" s="1781"/>
    </row>
    <row r="156" spans="1:41" s="1599" customFormat="1" ht="18.75" customHeight="1">
      <c r="A156" s="1805"/>
      <c r="B156" s="1812"/>
      <c r="C156" s="1779"/>
      <c r="D156" s="1780"/>
      <c r="E156" s="1622"/>
      <c r="F156" s="1682"/>
      <c r="G156" s="1681"/>
      <c r="H156" s="1780"/>
      <c r="I156" s="1834"/>
      <c r="J156" s="1666"/>
      <c r="K156" s="1666"/>
      <c r="L156" s="1666"/>
      <c r="M156" s="1665"/>
      <c r="N156" s="1664"/>
      <c r="O156" s="1664"/>
      <c r="P156" s="1670"/>
      <c r="R156" s="1670"/>
      <c r="S156" s="1670"/>
      <c r="T156" s="1670"/>
      <c r="V156" s="1656"/>
      <c r="W156" s="1688"/>
      <c r="X156" s="1688"/>
      <c r="Y156" s="1781"/>
      <c r="Z156" s="1656"/>
      <c r="AA156" s="1670"/>
      <c r="AB156" s="1670"/>
      <c r="AC156" s="1670"/>
      <c r="AD156" s="1781"/>
      <c r="AE156" s="1781"/>
      <c r="AF156" s="1670"/>
      <c r="AG156" s="1670"/>
      <c r="AH156" s="1670"/>
      <c r="AI156" s="1670"/>
      <c r="AJ156" s="1656"/>
      <c r="AK156" s="1656"/>
      <c r="AL156" s="1656"/>
      <c r="AM156" s="1684"/>
      <c r="AN156" s="1781"/>
      <c r="AO156" s="1781"/>
    </row>
    <row r="157" spans="1:41" s="1599" customFormat="1" ht="18.75" customHeight="1">
      <c r="A157" s="1810">
        <v>3</v>
      </c>
      <c r="B157" s="1809" t="s">
        <v>2071</v>
      </c>
      <c r="C157" s="1813"/>
      <c r="D157" s="1798"/>
      <c r="E157" s="1803"/>
      <c r="F157" s="1798"/>
      <c r="H157" s="1798"/>
      <c r="I157" s="1667"/>
      <c r="J157" s="1666"/>
      <c r="K157" s="1666"/>
      <c r="L157" s="1666"/>
      <c r="M157" s="1665"/>
      <c r="N157" s="1664"/>
      <c r="O157" s="1664"/>
      <c r="R157" s="1656"/>
      <c r="S157" s="1656"/>
      <c r="T157" s="1656"/>
      <c r="V157" s="1656"/>
      <c r="W157" s="1781"/>
      <c r="X157" s="1781"/>
      <c r="Y157" s="1781"/>
      <c r="Z157" s="1656"/>
      <c r="AA157" s="1781"/>
      <c r="AB157" s="1781"/>
      <c r="AC157" s="1781"/>
      <c r="AD157" s="1781"/>
      <c r="AE157" s="1781"/>
      <c r="AF157" s="1781"/>
      <c r="AG157" s="1781"/>
      <c r="AI157" s="1781"/>
      <c r="AJ157" s="1656">
        <f>SUMPRODUCT(H158:H162,V158:V162)</f>
        <v>236.46000000000004</v>
      </c>
      <c r="AK157" s="1656"/>
      <c r="AL157" s="1656">
        <f>SUMPRODUCT(H158:H162,Z158:Z162)</f>
        <v>4052.3514138</v>
      </c>
      <c r="AM157" s="1781" t="s">
        <v>1968</v>
      </c>
      <c r="AN157" s="1781"/>
      <c r="AO157" s="1781"/>
    </row>
    <row r="158" spans="1:41" s="1599" customFormat="1" ht="18.75" customHeight="1">
      <c r="A158" s="1805"/>
      <c r="B158" s="1778" t="str">
        <f t="shared" ref="B158:B162" si="177">CONCATENATE(" - Kolom ",G158)</f>
        <v xml:space="preserve"> - Kolom K4</v>
      </c>
      <c r="C158" s="1779" t="s">
        <v>1969</v>
      </c>
      <c r="D158" s="1780">
        <f>H158*'REKAP RAB'!$K$3</f>
        <v>2.6859999999999999</v>
      </c>
      <c r="E158" s="1622">
        <f>N158*'REKAP RAB'!$O$5</f>
        <v>9427175.3826577049</v>
      </c>
      <c r="F158" s="1682">
        <f t="shared" ref="F158:F162" si="178">D158*E158</f>
        <v>25321393.077818595</v>
      </c>
      <c r="G158" s="1681" t="s">
        <v>2294</v>
      </c>
      <c r="H158" s="1780">
        <f>'Hasil-Kolom'!F175</f>
        <v>2.6859999999999999</v>
      </c>
      <c r="I158" s="1667">
        <f t="shared" ref="I158:I162" si="179">AF158</f>
        <v>6332543.8110067006</v>
      </c>
      <c r="J158" s="1666">
        <f t="shared" ref="J158:J162" si="180">AG158</f>
        <v>1600000</v>
      </c>
      <c r="K158" s="1666">
        <f t="shared" ref="K158:K162" si="181">AH158</f>
        <v>265000</v>
      </c>
      <c r="L158" s="1666"/>
      <c r="M158" s="1665"/>
      <c r="N158" s="1664">
        <f t="shared" ref="N158:N162" si="182">SUM(I158:M158)</f>
        <v>8197543.8110067006</v>
      </c>
      <c r="O158" s="1664">
        <f t="shared" ref="O158:O162" si="183">H158*N158</f>
        <v>22018602.676363997</v>
      </c>
      <c r="P158" s="1670"/>
      <c r="R158" s="1670">
        <f>Analisa!$F$193</f>
        <v>1223775</v>
      </c>
      <c r="S158" s="1670">
        <f>Analisa!$G$193</f>
        <v>1600000</v>
      </c>
      <c r="T158" s="1670">
        <f>Analisa!$H$193</f>
        <v>265000</v>
      </c>
      <c r="V158" s="1656">
        <f>'Hasil-Kolom'!V175</f>
        <v>16.764705882352942</v>
      </c>
      <c r="W158" s="1670">
        <f>Analisa!$F$132</f>
        <v>130953.94736842104</v>
      </c>
      <c r="X158" s="1670"/>
      <c r="Y158" s="1781"/>
      <c r="Z158" s="1656">
        <f>'Hasil-Kolom'!W175</f>
        <v>278.99108443782575</v>
      </c>
      <c r="AA158" s="1670">
        <f>Analisa!$F$233</f>
        <v>10442.5</v>
      </c>
      <c r="AB158" s="1670"/>
      <c r="AC158" s="1670"/>
      <c r="AD158" s="1781"/>
      <c r="AE158" s="1781"/>
      <c r="AF158" s="1670">
        <f t="shared" ref="AF158:AF162" si="184">R158+V158*W158+Z158*AA158</f>
        <v>6332543.8110067006</v>
      </c>
      <c r="AG158" s="1670">
        <f t="shared" ref="AG158:AG162" si="185">S158</f>
        <v>1600000</v>
      </c>
      <c r="AH158" s="1670">
        <f t="shared" ref="AH158:AH162" si="186">T158+V158*X158</f>
        <v>265000</v>
      </c>
      <c r="AI158" s="1670"/>
      <c r="AJ158" s="1656"/>
      <c r="AK158" s="1656"/>
      <c r="AL158" s="1656"/>
      <c r="AM158" s="1781"/>
      <c r="AN158" s="1781"/>
      <c r="AO158" s="1781"/>
    </row>
    <row r="159" spans="1:41" s="1599" customFormat="1" ht="18.75" customHeight="1">
      <c r="A159" s="1805"/>
      <c r="B159" s="1778" t="str">
        <f t="shared" si="177"/>
        <v xml:space="preserve"> - Kolom K5</v>
      </c>
      <c r="C159" s="1779" t="s">
        <v>1969</v>
      </c>
      <c r="D159" s="1780">
        <f>H159*'REKAP RAB'!$K$3</f>
        <v>4.2074999999999996</v>
      </c>
      <c r="E159" s="1622">
        <f>N159*'REKAP RAB'!$O$5</f>
        <v>9602751.9088892564</v>
      </c>
      <c r="F159" s="1682">
        <f t="shared" si="178"/>
        <v>40403578.656651542</v>
      </c>
      <c r="G159" s="1681" t="s">
        <v>2299</v>
      </c>
      <c r="H159" s="1780">
        <f>'Hasil-Kolom'!F176</f>
        <v>4.2074999999999996</v>
      </c>
      <c r="I159" s="1667">
        <f t="shared" si="179"/>
        <v>6485219.05120805</v>
      </c>
      <c r="J159" s="1666">
        <f t="shared" si="180"/>
        <v>1600000</v>
      </c>
      <c r="K159" s="1666">
        <f t="shared" si="181"/>
        <v>265000</v>
      </c>
      <c r="L159" s="1666"/>
      <c r="M159" s="1665"/>
      <c r="N159" s="1664">
        <f t="shared" si="182"/>
        <v>8350219.05120805</v>
      </c>
      <c r="O159" s="1664">
        <f t="shared" si="183"/>
        <v>35133546.657957867</v>
      </c>
      <c r="P159" s="1670"/>
      <c r="R159" s="1670">
        <f>Analisa!$F$193</f>
        <v>1223775</v>
      </c>
      <c r="S159" s="1670">
        <f>Analisa!$G$193</f>
        <v>1600000</v>
      </c>
      <c r="T159" s="1670">
        <f>Analisa!$H$193</f>
        <v>265000</v>
      </c>
      <c r="V159" s="1656">
        <f>'Hasil-Kolom'!V176</f>
        <v>15.764705882352942</v>
      </c>
      <c r="W159" s="1670">
        <f>Analisa!$F$132</f>
        <v>130953.94736842104</v>
      </c>
      <c r="X159" s="1670"/>
      <c r="Y159" s="1781"/>
      <c r="Z159" s="1656">
        <f>'Hasil-Kolom'!W176</f>
        <v>306.15212705882357</v>
      </c>
      <c r="AA159" s="1670">
        <f>Analisa!$F$233</f>
        <v>10442.5</v>
      </c>
      <c r="AB159" s="1670"/>
      <c r="AC159" s="1670"/>
      <c r="AD159" s="1781"/>
      <c r="AE159" s="1781"/>
      <c r="AF159" s="1670">
        <f t="shared" si="184"/>
        <v>6485219.05120805</v>
      </c>
      <c r="AG159" s="1670">
        <f t="shared" si="185"/>
        <v>1600000</v>
      </c>
      <c r="AH159" s="1670">
        <f t="shared" si="186"/>
        <v>265000</v>
      </c>
      <c r="AI159" s="1670"/>
      <c r="AJ159" s="1656"/>
      <c r="AK159" s="1656"/>
      <c r="AL159" s="1656"/>
      <c r="AM159" s="1781"/>
      <c r="AN159" s="1781"/>
      <c r="AO159" s="1781"/>
    </row>
    <row r="160" spans="1:41" s="1599" customFormat="1" ht="18.75" customHeight="1">
      <c r="A160" s="1805"/>
      <c r="B160" s="1778" t="str">
        <f t="shared" si="177"/>
        <v xml:space="preserve"> - Kolom K6</v>
      </c>
      <c r="C160" s="1779" t="s">
        <v>1969</v>
      </c>
      <c r="D160" s="1780">
        <f>H160*'REKAP RAB'!$K$3</f>
        <v>1.377</v>
      </c>
      <c r="E160" s="1622">
        <f>N160*'REKAP RAB'!$O$5</f>
        <v>9473125.8160757218</v>
      </c>
      <c r="F160" s="1682">
        <f t="shared" si="178"/>
        <v>13044494.24873627</v>
      </c>
      <c r="G160" s="1681" t="s">
        <v>2300</v>
      </c>
      <c r="H160" s="1780">
        <f>'Hasil-Kolom'!F177</f>
        <v>1.377</v>
      </c>
      <c r="I160" s="1667">
        <f t="shared" si="179"/>
        <v>6372500.709631063</v>
      </c>
      <c r="J160" s="1666">
        <f t="shared" si="180"/>
        <v>1600000</v>
      </c>
      <c r="K160" s="1666">
        <f t="shared" si="181"/>
        <v>265000</v>
      </c>
      <c r="L160" s="1666"/>
      <c r="M160" s="1665"/>
      <c r="N160" s="1664">
        <f t="shared" si="182"/>
        <v>8237500.709631063</v>
      </c>
      <c r="O160" s="1664">
        <f t="shared" si="183"/>
        <v>11343038.477161974</v>
      </c>
      <c r="P160" s="1670"/>
      <c r="R160" s="1670">
        <f>Analisa!$F$193</f>
        <v>1223775</v>
      </c>
      <c r="S160" s="1670">
        <f>Analisa!$G$193</f>
        <v>1600000</v>
      </c>
      <c r="T160" s="1670">
        <f>Analisa!$H$193</f>
        <v>265000</v>
      </c>
      <c r="V160" s="1656">
        <f>'Hasil-Kolom'!V177</f>
        <v>15.098039215686274</v>
      </c>
      <c r="W160" s="1670">
        <f>Analisa!$F$132</f>
        <v>130953.94736842104</v>
      </c>
      <c r="X160" s="1670"/>
      <c r="Y160" s="1781"/>
      <c r="Z160" s="1656">
        <f>'Hasil-Kolom'!W177</f>
        <v>303.71825490196079</v>
      </c>
      <c r="AA160" s="1670">
        <f>Analisa!$F$233</f>
        <v>10442.5</v>
      </c>
      <c r="AB160" s="1670"/>
      <c r="AC160" s="1670"/>
      <c r="AD160" s="1781"/>
      <c r="AE160" s="1781"/>
      <c r="AF160" s="1670">
        <f t="shared" si="184"/>
        <v>6372500.709631063</v>
      </c>
      <c r="AG160" s="1670">
        <f t="shared" si="185"/>
        <v>1600000</v>
      </c>
      <c r="AH160" s="1670">
        <f t="shared" si="186"/>
        <v>265000</v>
      </c>
      <c r="AI160" s="1670"/>
      <c r="AJ160" s="1656"/>
      <c r="AK160" s="1656"/>
      <c r="AL160" s="1656"/>
      <c r="AM160" s="1781"/>
      <c r="AN160" s="1781"/>
      <c r="AO160" s="1781"/>
    </row>
    <row r="161" spans="1:41" s="1599" customFormat="1" ht="18.75" customHeight="1">
      <c r="A161" s="1805"/>
      <c r="B161" s="1778" t="str">
        <f t="shared" si="177"/>
        <v xml:space="preserve"> - Kolom K7</v>
      </c>
      <c r="C161" s="1779" t="s">
        <v>1969</v>
      </c>
      <c r="D161" s="1780">
        <f>H161*'REKAP RAB'!$K$3</f>
        <v>0.53549999999999998</v>
      </c>
      <c r="E161" s="1622">
        <f>N161*'REKAP RAB'!$O$5</f>
        <v>9010326.2320122737</v>
      </c>
      <c r="F161" s="1682">
        <f t="shared" si="178"/>
        <v>4825029.697242572</v>
      </c>
      <c r="G161" s="1681" t="s">
        <v>2301</v>
      </c>
      <c r="H161" s="1780">
        <f>'Hasil-Kolom'!F178</f>
        <v>0.53549999999999998</v>
      </c>
      <c r="I161" s="1667">
        <f t="shared" si="179"/>
        <v>5970066.288706325</v>
      </c>
      <c r="J161" s="1666">
        <f t="shared" si="180"/>
        <v>1600000</v>
      </c>
      <c r="K161" s="1666">
        <f t="shared" si="181"/>
        <v>265000</v>
      </c>
      <c r="L161" s="1666"/>
      <c r="M161" s="1665"/>
      <c r="N161" s="1664">
        <f t="shared" si="182"/>
        <v>7835066.288706325</v>
      </c>
      <c r="O161" s="1664">
        <f t="shared" si="183"/>
        <v>4195677.9976022365</v>
      </c>
      <c r="P161" s="1670"/>
      <c r="R161" s="1670">
        <f>Analisa!$F$193</f>
        <v>1223775</v>
      </c>
      <c r="S161" s="1670">
        <f>Analisa!$G$193</f>
        <v>1600000</v>
      </c>
      <c r="T161" s="1670">
        <f>Analisa!$H$193</f>
        <v>265000</v>
      </c>
      <c r="V161" s="1656">
        <f>'Hasil-Kolom'!V178</f>
        <v>14.6218487394958</v>
      </c>
      <c r="W161" s="1670">
        <f>Analisa!$F$132</f>
        <v>130953.94736842104</v>
      </c>
      <c r="X161" s="1670"/>
      <c r="Y161" s="1781"/>
      <c r="Z161" s="1656">
        <f>'Hasil-Kolom'!W178</f>
        <v>271.15178151260511</v>
      </c>
      <c r="AA161" s="1670">
        <f>Analisa!$F$233</f>
        <v>10442.5</v>
      </c>
      <c r="AB161" s="1670"/>
      <c r="AC161" s="1670"/>
      <c r="AD161" s="1781"/>
      <c r="AE161" s="1781"/>
      <c r="AF161" s="1670">
        <f t="shared" si="184"/>
        <v>5970066.288706325</v>
      </c>
      <c r="AG161" s="1670">
        <f t="shared" si="185"/>
        <v>1600000</v>
      </c>
      <c r="AH161" s="1670">
        <f t="shared" si="186"/>
        <v>265000</v>
      </c>
      <c r="AI161" s="1670"/>
      <c r="AJ161" s="1656"/>
      <c r="AK161" s="1656"/>
      <c r="AL161" s="1656"/>
      <c r="AM161" s="1781"/>
      <c r="AN161" s="1781"/>
      <c r="AO161" s="1781"/>
    </row>
    <row r="162" spans="1:41" s="1599" customFormat="1" ht="18.75" customHeight="1">
      <c r="A162" s="1805"/>
      <c r="B162" s="1778" t="str">
        <f t="shared" si="177"/>
        <v xml:space="preserve"> - Kolom KL55</v>
      </c>
      <c r="C162" s="1779" t="s">
        <v>1969</v>
      </c>
      <c r="D162" s="1780">
        <f>H162*'REKAP RAB'!$K$3</f>
        <v>6.1199999999999992</v>
      </c>
      <c r="E162" s="1622">
        <f>N162*'REKAP RAB'!$O$5</f>
        <v>8774244.4208163172</v>
      </c>
      <c r="F162" s="1682">
        <f t="shared" si="178"/>
        <v>53698375.855395854</v>
      </c>
      <c r="G162" s="1681" t="s">
        <v>2293</v>
      </c>
      <c r="H162" s="1780">
        <f>'Hasil-Kolom'!F180</f>
        <v>6.1199999999999992</v>
      </c>
      <c r="I162" s="1667">
        <f t="shared" si="179"/>
        <v>5764777.7572315801</v>
      </c>
      <c r="J162" s="1666">
        <f t="shared" si="180"/>
        <v>1600000</v>
      </c>
      <c r="K162" s="1666">
        <f t="shared" si="181"/>
        <v>265000</v>
      </c>
      <c r="L162" s="1666"/>
      <c r="M162" s="1665"/>
      <c r="N162" s="1664">
        <f t="shared" si="182"/>
        <v>7629777.7572315801</v>
      </c>
      <c r="O162" s="1664">
        <f t="shared" si="183"/>
        <v>46694239.874257267</v>
      </c>
      <c r="P162" s="1670"/>
      <c r="R162" s="1670">
        <f>Analisa!$F$193</f>
        <v>1223775</v>
      </c>
      <c r="S162" s="1670">
        <f>Analisa!$G$193</f>
        <v>1600000</v>
      </c>
      <c r="T162" s="1670">
        <f>Analisa!$H$193</f>
        <v>265000</v>
      </c>
      <c r="V162" s="1656">
        <f>'Hasil-Kolom'!V180</f>
        <v>15.764705882352944</v>
      </c>
      <c r="W162" s="1670">
        <f>Analisa!$F$132</f>
        <v>130953.94736842104</v>
      </c>
      <c r="X162" s="1670"/>
      <c r="Y162" s="1781"/>
      <c r="Z162" s="1656">
        <f>'Hasil-Kolom'!W180</f>
        <v>237.16086117647066</v>
      </c>
      <c r="AA162" s="1670">
        <f>Analisa!$F$233</f>
        <v>10442.5</v>
      </c>
      <c r="AB162" s="1670"/>
      <c r="AC162" s="1670"/>
      <c r="AD162" s="1781"/>
      <c r="AE162" s="1781"/>
      <c r="AF162" s="1670">
        <f t="shared" si="184"/>
        <v>5764777.7572315801</v>
      </c>
      <c r="AG162" s="1670">
        <f t="shared" si="185"/>
        <v>1600000</v>
      </c>
      <c r="AH162" s="1670">
        <f t="shared" si="186"/>
        <v>265000</v>
      </c>
      <c r="AI162" s="1670"/>
      <c r="AJ162" s="1656"/>
      <c r="AK162" s="1656"/>
      <c r="AL162" s="1656"/>
      <c r="AM162" s="1781"/>
      <c r="AN162" s="1781"/>
      <c r="AO162" s="1781"/>
    </row>
    <row r="163" spans="1:41" s="1599" customFormat="1" ht="18.75" customHeight="1">
      <c r="A163" s="1805"/>
      <c r="B163" s="1812"/>
      <c r="C163" s="1779"/>
      <c r="D163" s="1780"/>
      <c r="E163" s="1622"/>
      <c r="F163" s="1682"/>
      <c r="G163" s="1681"/>
      <c r="H163" s="1780"/>
      <c r="I163" s="1667"/>
      <c r="J163" s="1666"/>
      <c r="K163" s="1666"/>
      <c r="L163" s="1666"/>
      <c r="M163" s="1665"/>
      <c r="N163" s="1664"/>
      <c r="O163" s="1664"/>
      <c r="P163" s="1670"/>
      <c r="R163" s="1670"/>
      <c r="S163" s="1670"/>
      <c r="T163" s="1670"/>
      <c r="V163" s="1656"/>
      <c r="W163" s="1670"/>
      <c r="X163" s="1670"/>
      <c r="Y163" s="1781"/>
      <c r="Z163" s="1656"/>
      <c r="AA163" s="1670"/>
      <c r="AB163" s="1670"/>
      <c r="AC163" s="1670"/>
      <c r="AD163" s="1781"/>
      <c r="AE163" s="1781"/>
      <c r="AF163" s="1670"/>
      <c r="AG163" s="1670"/>
      <c r="AH163" s="1670"/>
      <c r="AI163" s="1670"/>
      <c r="AJ163" s="1656"/>
      <c r="AK163" s="1656"/>
      <c r="AL163" s="1656"/>
      <c r="AM163" s="1814"/>
      <c r="AN163" s="1781"/>
      <c r="AO163" s="1781"/>
    </row>
    <row r="164" spans="1:41" s="1599" customFormat="1" ht="18.75" customHeight="1">
      <c r="A164" s="1810">
        <v>5</v>
      </c>
      <c r="B164" s="1809" t="s">
        <v>2073</v>
      </c>
      <c r="C164" s="1779"/>
      <c r="D164" s="1780"/>
      <c r="F164" s="1803"/>
      <c r="G164" s="1804"/>
      <c r="H164" s="1780"/>
      <c r="I164" s="1667"/>
      <c r="J164" s="1666"/>
      <c r="K164" s="1666"/>
      <c r="L164" s="1666"/>
      <c r="M164" s="1665"/>
      <c r="N164" s="1664"/>
      <c r="O164" s="1664"/>
      <c r="P164" s="1804"/>
      <c r="R164" s="1670"/>
      <c r="S164" s="1670"/>
      <c r="T164" s="1670"/>
      <c r="V164" s="1656"/>
      <c r="W164" s="1670"/>
      <c r="X164" s="1670"/>
      <c r="Y164" s="1781"/>
      <c r="Z164" s="1656"/>
      <c r="AA164" s="1670"/>
      <c r="AB164" s="1670"/>
      <c r="AC164" s="1670"/>
      <c r="AD164" s="1781"/>
      <c r="AE164" s="1781"/>
      <c r="AF164" s="1670"/>
      <c r="AG164" s="1670"/>
      <c r="AH164" s="1670"/>
      <c r="AI164" s="1781"/>
      <c r="AJ164" s="1656" t="e">
        <f>SUMPRODUCT(#REF!,#REF!)</f>
        <v>#REF!</v>
      </c>
      <c r="AK164" s="1656"/>
      <c r="AL164" s="1656" t="e">
        <f>SUMPRODUCT(#REF!,#REF!)</f>
        <v>#REF!</v>
      </c>
      <c r="AM164" s="1781" t="s">
        <v>1968</v>
      </c>
      <c r="AN164" s="1781"/>
      <c r="AO164" s="1781"/>
    </row>
    <row r="165" spans="1:41" s="1599" customFormat="1" ht="18">
      <c r="A165" s="1805"/>
      <c r="B165" s="1815" t="s">
        <v>2202</v>
      </c>
      <c r="C165" s="1779" t="s">
        <v>1969</v>
      </c>
      <c r="D165" s="1780">
        <f>H165*'REKAP RAB'!$K$3</f>
        <v>11.139000000000001</v>
      </c>
      <c r="E165" s="1622">
        <f>N165*'REKAP RAB'!$O$5</f>
        <v>4949654.34738818</v>
      </c>
      <c r="F165" s="1682">
        <f>D165*E165</f>
        <v>55134199.775556944</v>
      </c>
      <c r="G165" s="1681"/>
      <c r="H165" s="1780">
        <f>'Retaining Wall'!C167</f>
        <v>11.139000000000001</v>
      </c>
      <c r="I165" s="1667">
        <f t="shared" ref="I165:I166" si="187">AF165</f>
        <v>2889047.258598418</v>
      </c>
      <c r="J165" s="1666">
        <f t="shared" ref="J165:J167" si="188">AG165</f>
        <v>1200000</v>
      </c>
      <c r="K165" s="1666">
        <f t="shared" ref="K165:K166" si="189">AH165</f>
        <v>215000</v>
      </c>
      <c r="L165" s="1666"/>
      <c r="M165" s="1665"/>
      <c r="N165" s="1664">
        <f>SUM(I165:M165)</f>
        <v>4304047.258598418</v>
      </c>
      <c r="O165" s="1664">
        <f>H165*N165</f>
        <v>47942782.413527779</v>
      </c>
      <c r="P165" s="1670"/>
      <c r="R165" s="1670">
        <f>Analisa!$F$225</f>
        <v>1223775</v>
      </c>
      <c r="S165" s="1670">
        <f>Analisa!$G$225</f>
        <v>1200000</v>
      </c>
      <c r="T165" s="1670">
        <f>Analisa!$H$225</f>
        <v>215000</v>
      </c>
      <c r="V165" s="1656">
        <f>'Retaining Wall'!L167</f>
        <v>10.101445372115988</v>
      </c>
      <c r="W165" s="1670">
        <f>Analisa!F$162</f>
        <v>106232.63888888889</v>
      </c>
      <c r="X165" s="1670"/>
      <c r="Y165" s="1781"/>
      <c r="Z165" s="1656">
        <f>'Retaining Wall'!M167</f>
        <v>56.707594936708851</v>
      </c>
      <c r="AA165" s="1670">
        <f>Analisa!$F$233</f>
        <v>10442.5</v>
      </c>
      <c r="AB165" s="1670"/>
      <c r="AC165" s="1670"/>
      <c r="AD165" s="1781"/>
      <c r="AE165" s="1781"/>
      <c r="AF165" s="1670">
        <f>R165+V165*W165+Z165*AA165</f>
        <v>2889047.258598418</v>
      </c>
      <c r="AG165" s="1670">
        <f>S165</f>
        <v>1200000</v>
      </c>
      <c r="AH165" s="1670">
        <f>T165+V165*X165</f>
        <v>215000</v>
      </c>
      <c r="AI165" s="1670"/>
      <c r="AJ165" s="1656"/>
      <c r="AK165" s="1656"/>
      <c r="AL165" s="1656"/>
      <c r="AM165" s="1814"/>
      <c r="AN165" s="1781"/>
      <c r="AO165" s="1781"/>
    </row>
    <row r="166" spans="1:41" s="1599" customFormat="1" ht="18">
      <c r="A166" s="1805"/>
      <c r="B166" s="1815" t="s">
        <v>2321</v>
      </c>
      <c r="C166" s="1779" t="s">
        <v>1969</v>
      </c>
      <c r="D166" s="1780">
        <f>H166*'REKAP RAB'!$K$3</f>
        <v>1.7430000000000003</v>
      </c>
      <c r="E166" s="1622">
        <f>N166*'REKAP RAB'!$O$5</f>
        <v>8321477.7152435118</v>
      </c>
      <c r="F166" s="1682">
        <f>D166*E166</f>
        <v>14504335.657669444</v>
      </c>
      <c r="G166" s="1681"/>
      <c r="H166" s="1780">
        <f>'Retaining Wall'!C168</f>
        <v>1.7430000000000003</v>
      </c>
      <c r="I166" s="1667">
        <f t="shared" si="187"/>
        <v>5821067.5784726199</v>
      </c>
      <c r="J166" s="1666">
        <f t="shared" si="188"/>
        <v>1200000</v>
      </c>
      <c r="K166" s="1666">
        <f t="shared" si="189"/>
        <v>215000</v>
      </c>
      <c r="L166" s="1666"/>
      <c r="M166" s="1665"/>
      <c r="N166" s="1664">
        <f>SUM(I166:M166)</f>
        <v>7236067.5784726199</v>
      </c>
      <c r="O166" s="1664">
        <f>H166*N166</f>
        <v>12612465.789277779</v>
      </c>
      <c r="P166" s="1670"/>
      <c r="R166" s="1670">
        <f>Analisa!$F$225</f>
        <v>1223775</v>
      </c>
      <c r="S166" s="1670">
        <f>Analisa!$G$225</f>
        <v>1200000</v>
      </c>
      <c r="T166" s="1670">
        <f>Analisa!$H$225</f>
        <v>215000</v>
      </c>
      <c r="V166" s="1656">
        <f>'Retaining Wall'!L168</f>
        <v>13.333333333333332</v>
      </c>
      <c r="W166" s="1670">
        <f>Analisa!F$162</f>
        <v>106232.63888888889</v>
      </c>
      <c r="X166" s="1670"/>
      <c r="Y166" s="1781"/>
      <c r="Z166" s="1656">
        <f>'Retaining Wall'!M168</f>
        <v>304.60688468158344</v>
      </c>
      <c r="AA166" s="1670">
        <f>Analisa!$F$233</f>
        <v>10442.5</v>
      </c>
      <c r="AB166" s="1670"/>
      <c r="AC166" s="1670"/>
      <c r="AD166" s="1781"/>
      <c r="AE166" s="1781"/>
      <c r="AF166" s="1670">
        <f>R166+V166*W166+Z166*AA166</f>
        <v>5821067.5784726199</v>
      </c>
      <c r="AG166" s="1670">
        <f>S166</f>
        <v>1200000</v>
      </c>
      <c r="AH166" s="1670">
        <f>T166+V166*X166</f>
        <v>215000</v>
      </c>
      <c r="AI166" s="1670"/>
      <c r="AJ166" s="1656"/>
      <c r="AK166" s="1656"/>
      <c r="AL166" s="1656"/>
      <c r="AM166" s="1814"/>
      <c r="AN166" s="1781"/>
      <c r="AO166" s="1781"/>
    </row>
    <row r="167" spans="1:41" s="1599" customFormat="1" ht="18">
      <c r="A167" s="1805"/>
      <c r="B167" s="1815" t="s">
        <v>2354</v>
      </c>
      <c r="C167" s="1779" t="s">
        <v>1969</v>
      </c>
      <c r="D167" s="1780">
        <f>H167*'REKAP RAB'!$K$3</f>
        <v>3.6720000000000002</v>
      </c>
      <c r="E167" s="1622">
        <f>N167*'REKAP RAB'!$O$5</f>
        <v>7853626.6286629084</v>
      </c>
      <c r="F167" s="1682">
        <f>D167*E167</f>
        <v>28838516.980450202</v>
      </c>
      <c r="G167" s="1681"/>
      <c r="H167" s="1780">
        <f>'Retaining Wall'!C174</f>
        <v>3.6720000000000002</v>
      </c>
      <c r="I167" s="1667">
        <f t="shared" ref="I167" si="190">AF167</f>
        <v>5414240.5466633989</v>
      </c>
      <c r="J167" s="1666">
        <f t="shared" si="188"/>
        <v>1200000</v>
      </c>
      <c r="K167" s="1666">
        <f t="shared" ref="K167" si="191">AH167</f>
        <v>215000</v>
      </c>
      <c r="L167" s="1666"/>
      <c r="M167" s="1665"/>
      <c r="N167" s="1664">
        <f>SUM(I167:M167)</f>
        <v>6829240.5466633989</v>
      </c>
      <c r="O167" s="1664">
        <f>H167*N167</f>
        <v>25076971.287348002</v>
      </c>
      <c r="P167" s="1670"/>
      <c r="R167" s="1670">
        <f>Analisa!$F$225</f>
        <v>1223775</v>
      </c>
      <c r="S167" s="1670">
        <f>Analisa!$G$225</f>
        <v>1200000</v>
      </c>
      <c r="T167" s="1670">
        <f>Analisa!$H$225</f>
        <v>215000</v>
      </c>
      <c r="V167" s="1656">
        <f>'Retaining Wall'!L174</f>
        <v>11.764705882352942</v>
      </c>
      <c r="W167" s="1670">
        <f>Analisa!F$162</f>
        <v>106232.63888888889</v>
      </c>
      <c r="X167" s="1670"/>
      <c r="Y167" s="1781"/>
      <c r="Z167" s="1656">
        <f>'Retaining Wall'!M174</f>
        <v>281.60591764705885</v>
      </c>
      <c r="AA167" s="1670">
        <f>Analisa!$F$233</f>
        <v>10442.5</v>
      </c>
      <c r="AB167" s="1670"/>
      <c r="AC167" s="1670"/>
      <c r="AD167" s="1781"/>
      <c r="AE167" s="1781"/>
      <c r="AF167" s="1670">
        <f>R167+V167*W167+Z167*AA167</f>
        <v>5414240.5466633989</v>
      </c>
      <c r="AG167" s="1670">
        <f>S167</f>
        <v>1200000</v>
      </c>
      <c r="AH167" s="1670">
        <f>T167+V167*X167</f>
        <v>215000</v>
      </c>
      <c r="AI167" s="1670"/>
      <c r="AJ167" s="1656"/>
      <c r="AK167" s="1656"/>
      <c r="AL167" s="1656"/>
      <c r="AM167" s="1814"/>
      <c r="AN167" s="1781"/>
      <c r="AO167" s="1781"/>
    </row>
    <row r="168" spans="1:41" s="1599" customFormat="1" ht="18.75" customHeight="1">
      <c r="A168" s="1805"/>
      <c r="B168" s="1799"/>
      <c r="C168" s="1779"/>
      <c r="D168" s="1780"/>
      <c r="E168" s="1622"/>
      <c r="F168" s="1682"/>
      <c r="G168" s="1681"/>
      <c r="H168" s="1780"/>
      <c r="I168" s="1667"/>
      <c r="J168" s="1666"/>
      <c r="K168" s="1666"/>
      <c r="L168" s="1666"/>
      <c r="M168" s="1665"/>
      <c r="N168" s="1664"/>
      <c r="O168" s="1664"/>
      <c r="P168" s="1670"/>
      <c r="R168" s="1670"/>
      <c r="S168" s="1670"/>
      <c r="T168" s="1670"/>
      <c r="V168" s="1656"/>
      <c r="W168" s="1670"/>
      <c r="X168" s="1781"/>
      <c r="Y168" s="1781"/>
      <c r="Z168" s="1656"/>
      <c r="AA168" s="1670"/>
      <c r="AB168" s="1670"/>
      <c r="AC168" s="1670"/>
      <c r="AD168" s="1781"/>
      <c r="AE168" s="1781"/>
      <c r="AF168" s="1670"/>
      <c r="AG168" s="1670"/>
      <c r="AH168" s="1670"/>
      <c r="AI168" s="1670"/>
      <c r="AJ168" s="1656"/>
      <c r="AK168" s="1656"/>
      <c r="AL168" s="1656"/>
      <c r="AM168" s="1814"/>
      <c r="AN168" s="1781"/>
      <c r="AO168" s="1781"/>
    </row>
    <row r="169" spans="1:41" s="1599" customFormat="1" ht="18.75" customHeight="1">
      <c r="A169" s="1800" t="s">
        <v>151</v>
      </c>
      <c r="B169" s="1809" t="s">
        <v>1972</v>
      </c>
      <c r="C169" s="1779"/>
      <c r="D169" s="1780"/>
      <c r="E169" s="1804"/>
      <c r="F169" s="1803"/>
      <c r="G169" s="1804"/>
      <c r="H169" s="1780"/>
      <c r="I169" s="1667"/>
      <c r="J169" s="1666"/>
      <c r="K169" s="1666"/>
      <c r="L169" s="1666"/>
      <c r="M169" s="1665"/>
      <c r="N169" s="1664"/>
      <c r="O169" s="1664"/>
      <c r="P169" s="1804"/>
      <c r="W169" s="1781"/>
      <c r="X169" s="1781"/>
      <c r="Y169" s="1781"/>
      <c r="Z169" s="1781"/>
      <c r="AA169" s="1781"/>
      <c r="AB169" s="1781"/>
      <c r="AC169" s="1781"/>
      <c r="AD169" s="1781"/>
      <c r="AE169" s="1781"/>
      <c r="AF169" s="1781"/>
      <c r="AG169" s="1781"/>
      <c r="AI169" s="1781"/>
      <c r="AJ169" s="1656"/>
      <c r="AK169" s="1656"/>
      <c r="AL169" s="1656"/>
      <c r="AM169" s="1781"/>
      <c r="AN169" s="1781"/>
      <c r="AO169" s="1781"/>
    </row>
    <row r="170" spans="1:41" s="1599" customFormat="1" ht="18.75" customHeight="1">
      <c r="A170" s="1805">
        <v>1</v>
      </c>
      <c r="B170" s="1799" t="s">
        <v>2342</v>
      </c>
      <c r="C170" s="1779" t="s">
        <v>1969</v>
      </c>
      <c r="D170" s="1780">
        <v>0.85701681777777772</v>
      </c>
      <c r="E170" s="1622">
        <v>8325000.0000000009</v>
      </c>
      <c r="F170" s="1682">
        <f>D170*E170</f>
        <v>7134665.0080000004</v>
      </c>
      <c r="G170" s="2125"/>
      <c r="H170" s="1780">
        <f>(4.5/2*1.325*0.35)+14.557168*0.15*1.3</f>
        <v>3.8820852600000002</v>
      </c>
      <c r="I170" s="2017">
        <f>R170</f>
        <v>5250000</v>
      </c>
      <c r="J170" s="1666">
        <f>S170</f>
        <v>2250000</v>
      </c>
      <c r="K170" s="1666"/>
      <c r="L170" s="1666"/>
      <c r="M170" s="1665"/>
      <c r="N170" s="1664">
        <f>SUM(I170:M170)</f>
        <v>7500000</v>
      </c>
      <c r="O170" s="1664">
        <f>H170*N170</f>
        <v>29115639.450000003</v>
      </c>
      <c r="P170" s="1804"/>
      <c r="R170" s="2029">
        <f>0.7*7500000</f>
        <v>5250000</v>
      </c>
      <c r="S170" s="2029">
        <f>0.3*7500000</f>
        <v>2250000</v>
      </c>
      <c r="T170" s="2029"/>
      <c r="V170" s="2123"/>
      <c r="W170" s="2029"/>
      <c r="X170" s="2029"/>
      <c r="Y170" s="1781"/>
      <c r="Z170" s="2124"/>
      <c r="AA170" s="2029"/>
      <c r="AB170" s="1781"/>
      <c r="AC170" s="1781"/>
      <c r="AD170" s="1781"/>
      <c r="AE170" s="1781"/>
      <c r="AF170" s="2029">
        <f>R170+V170*W170+Z170*AA170</f>
        <v>5250000</v>
      </c>
      <c r="AG170" s="2029">
        <f>S170</f>
        <v>2250000</v>
      </c>
      <c r="AH170" s="2029">
        <f>T170+V170*X170</f>
        <v>0</v>
      </c>
      <c r="AI170" s="2029"/>
      <c r="AJ170" s="1781"/>
      <c r="AK170" s="1781"/>
      <c r="AL170" s="1781"/>
      <c r="AM170" s="1781"/>
      <c r="AN170" s="1781"/>
      <c r="AO170" s="1781"/>
    </row>
    <row r="171" spans="1:41" s="1599" customFormat="1" ht="18.75" customHeight="1" thickBot="1">
      <c r="A171" s="1798"/>
      <c r="B171" s="1815"/>
      <c r="C171" s="1779"/>
      <c r="D171" s="1780"/>
      <c r="E171" s="1622"/>
      <c r="F171" s="1669"/>
      <c r="G171" s="1668"/>
      <c r="H171" s="1780"/>
      <c r="I171" s="1667"/>
      <c r="J171" s="1666"/>
      <c r="K171" s="1666"/>
      <c r="L171" s="1666"/>
      <c r="M171" s="1665"/>
      <c r="N171" s="1664"/>
      <c r="O171" s="1664"/>
      <c r="P171" s="1804"/>
      <c r="R171" s="1671"/>
      <c r="S171" s="1671"/>
      <c r="T171" s="1671"/>
      <c r="V171" s="1656"/>
      <c r="W171" s="1781"/>
      <c r="X171" s="1781"/>
      <c r="Y171" s="1781"/>
      <c r="Z171" s="1656"/>
      <c r="AA171" s="1781"/>
      <c r="AB171" s="1781"/>
      <c r="AC171" s="1781"/>
      <c r="AD171" s="1781"/>
      <c r="AE171" s="1781"/>
      <c r="AF171" s="1781"/>
      <c r="AG171" s="1781"/>
      <c r="AI171" s="1781"/>
      <c r="AJ171" s="1781"/>
      <c r="AK171" s="1781"/>
      <c r="AL171" s="1781"/>
      <c r="AM171" s="1781"/>
      <c r="AN171" s="1781"/>
      <c r="AO171" s="1781"/>
    </row>
    <row r="172" spans="1:41" s="1599" customFormat="1" ht="18.75" customHeight="1" thickBot="1">
      <c r="A172" s="2220" t="s">
        <v>2275</v>
      </c>
      <c r="B172" s="2221"/>
      <c r="C172" s="2221"/>
      <c r="D172" s="2221"/>
      <c r="E172" s="2222"/>
      <c r="F172" s="1658">
        <f>SUM(F140:F171)</f>
        <v>608094065.57798517</v>
      </c>
      <c r="G172" s="1627"/>
      <c r="H172" s="1680"/>
      <c r="I172" s="1679"/>
      <c r="J172" s="1678"/>
      <c r="K172" s="1678"/>
      <c r="L172" s="1678"/>
      <c r="M172" s="1677"/>
      <c r="N172" s="1676"/>
      <c r="O172" s="1658">
        <f>SUM(O140:O170)</f>
        <v>551689031.24998724</v>
      </c>
      <c r="P172" s="1804"/>
      <c r="R172" s="1671"/>
      <c r="S172" s="1671"/>
      <c r="T172" s="1671"/>
      <c r="V172" s="1656"/>
      <c r="W172" s="1781"/>
      <c r="X172" s="1781"/>
      <c r="Y172" s="1781"/>
      <c r="Z172" s="1656"/>
      <c r="AA172" s="1781"/>
      <c r="AB172" s="1781"/>
      <c r="AC172" s="1781"/>
      <c r="AD172" s="1781"/>
      <c r="AE172" s="1781"/>
      <c r="AF172" s="1781"/>
      <c r="AG172" s="1781"/>
      <c r="AI172" s="1781"/>
      <c r="AJ172" s="1781"/>
      <c r="AK172" s="1781"/>
      <c r="AL172" s="1781"/>
      <c r="AM172" s="1781"/>
      <c r="AN172" s="1781"/>
      <c r="AO172" s="1781"/>
    </row>
    <row r="173" spans="1:41" s="1599" customFormat="1" ht="18.75" customHeight="1">
      <c r="A173" s="1798"/>
      <c r="B173" s="1799"/>
      <c r="C173" s="1779"/>
      <c r="D173" s="1780"/>
      <c r="E173" s="1803"/>
      <c r="F173" s="1803"/>
      <c r="G173" s="1804"/>
      <c r="H173" s="1780"/>
      <c r="I173" s="1667"/>
      <c r="J173" s="1666"/>
      <c r="K173" s="1666"/>
      <c r="L173" s="1666"/>
      <c r="M173" s="1665"/>
      <c r="N173" s="1664"/>
      <c r="O173" s="1664"/>
      <c r="P173" s="1804"/>
      <c r="R173" s="1656"/>
      <c r="S173" s="1656"/>
      <c r="T173" s="1656"/>
      <c r="V173" s="1656"/>
      <c r="W173" s="1781"/>
      <c r="X173" s="1781"/>
      <c r="Y173" s="1781"/>
      <c r="Z173" s="1656"/>
      <c r="AA173" s="1781"/>
      <c r="AB173" s="1781"/>
      <c r="AC173" s="1781"/>
      <c r="AD173" s="1781"/>
      <c r="AE173" s="1781"/>
      <c r="AF173" s="1781"/>
      <c r="AG173" s="1781"/>
      <c r="AI173" s="1781"/>
      <c r="AJ173" s="1781"/>
      <c r="AK173" s="1781"/>
      <c r="AL173" s="1781"/>
      <c r="AM173" s="1781"/>
      <c r="AN173" s="1781"/>
      <c r="AO173" s="1781"/>
    </row>
    <row r="174" spans="1:41" s="1599" customFormat="1" ht="18.75" customHeight="1">
      <c r="A174" s="1800" t="s">
        <v>1927</v>
      </c>
      <c r="B174" s="1806" t="s">
        <v>2274</v>
      </c>
      <c r="C174" s="1779"/>
      <c r="D174" s="1780"/>
      <c r="E174" s="1803"/>
      <c r="F174" s="1675"/>
      <c r="G174" s="1627"/>
      <c r="H174" s="1780"/>
      <c r="I174" s="1667"/>
      <c r="J174" s="1666"/>
      <c r="K174" s="1666"/>
      <c r="L174" s="1666"/>
      <c r="M174" s="1665"/>
      <c r="N174" s="1664"/>
      <c r="O174" s="1674"/>
      <c r="P174" s="1802"/>
      <c r="R174" s="1656"/>
      <c r="S174" s="1656"/>
      <c r="T174" s="1656"/>
      <c r="V174" s="1656"/>
      <c r="W174" s="1781"/>
      <c r="X174" s="1781"/>
      <c r="Y174" s="1781"/>
      <c r="Z174" s="1656"/>
      <c r="AA174" s="1781"/>
      <c r="AB174" s="1781"/>
      <c r="AC174" s="1781"/>
      <c r="AD174" s="1781"/>
      <c r="AE174" s="1781"/>
      <c r="AF174" s="1781"/>
      <c r="AG174" s="1781"/>
      <c r="AI174" s="1781"/>
      <c r="AJ174" s="1781"/>
      <c r="AK174" s="1781"/>
      <c r="AL174" s="1781"/>
      <c r="AM174" s="1781"/>
      <c r="AN174" s="1781"/>
      <c r="AO174" s="1781"/>
    </row>
    <row r="175" spans="1:41" s="1599" customFormat="1" ht="18.75" customHeight="1">
      <c r="A175" s="1800"/>
      <c r="B175" s="1807"/>
      <c r="C175" s="1779"/>
      <c r="D175" s="1780"/>
      <c r="E175" s="1803"/>
      <c r="F175" s="1808"/>
      <c r="G175" s="1802"/>
      <c r="H175" s="1780"/>
      <c r="I175" s="1667"/>
      <c r="J175" s="1666"/>
      <c r="K175" s="1666"/>
      <c r="L175" s="1666"/>
      <c r="M175" s="1665"/>
      <c r="N175" s="1664"/>
      <c r="O175" s="1674"/>
      <c r="P175" s="1802"/>
      <c r="R175" s="1685"/>
      <c r="S175" s="1685"/>
      <c r="T175" s="1685"/>
      <c r="V175" s="1685"/>
      <c r="W175" s="1781"/>
      <c r="X175" s="1781"/>
      <c r="Y175" s="1781"/>
      <c r="Z175" s="1684"/>
      <c r="AA175" s="1781"/>
      <c r="AB175" s="1781"/>
      <c r="AC175" s="1781"/>
      <c r="AD175" s="1781"/>
      <c r="AE175" s="1781"/>
      <c r="AF175" s="1781"/>
      <c r="AG175" s="1781"/>
      <c r="AI175" s="1781"/>
      <c r="AJ175" s="1781"/>
      <c r="AK175" s="1781"/>
      <c r="AL175" s="1781"/>
      <c r="AM175" s="1781"/>
      <c r="AN175" s="1781"/>
      <c r="AO175" s="1781"/>
    </row>
    <row r="176" spans="1:41" s="1599" customFormat="1" ht="18.75" customHeight="1">
      <c r="A176" s="1800" t="s">
        <v>237</v>
      </c>
      <c r="B176" s="1809" t="s">
        <v>1974</v>
      </c>
      <c r="C176" s="1779"/>
      <c r="D176" s="1780"/>
      <c r="E176" s="1803"/>
      <c r="F176" s="1675"/>
      <c r="G176" s="1627"/>
      <c r="H176" s="1780"/>
      <c r="I176" s="1667"/>
      <c r="J176" s="1666"/>
      <c r="K176" s="1666"/>
      <c r="L176" s="1666"/>
      <c r="M176" s="1665"/>
      <c r="N176" s="1664"/>
      <c r="O176" s="1674"/>
      <c r="P176" s="1628"/>
      <c r="R176" s="1656"/>
      <c r="S176" s="1656"/>
      <c r="T176" s="1656"/>
      <c r="V176" s="1656"/>
      <c r="W176" s="1781"/>
      <c r="X176" s="1781"/>
      <c r="Y176" s="1781"/>
      <c r="Z176" s="1656"/>
      <c r="AA176" s="1781"/>
      <c r="AB176" s="1781"/>
      <c r="AC176" s="1781"/>
      <c r="AD176" s="1781"/>
      <c r="AE176" s="1781"/>
      <c r="AF176" s="1781"/>
      <c r="AG176" s="1781"/>
      <c r="AI176" s="1781"/>
      <c r="AN176" s="1781"/>
      <c r="AO176" s="1781"/>
    </row>
    <row r="177" spans="1:41" s="1599" customFormat="1" ht="18.75" customHeight="1">
      <c r="A177" s="1810">
        <v>1</v>
      </c>
      <c r="B177" s="1809" t="s">
        <v>2072</v>
      </c>
      <c r="C177" s="1779"/>
      <c r="D177" s="1780"/>
      <c r="F177" s="1803"/>
      <c r="G177" s="1804"/>
      <c r="H177" s="1780"/>
      <c r="I177" s="1667"/>
      <c r="J177" s="1666"/>
      <c r="K177" s="1666"/>
      <c r="L177" s="1666"/>
      <c r="M177" s="1665"/>
      <c r="N177" s="1664"/>
      <c r="O177" s="1664"/>
      <c r="P177" s="1804"/>
      <c r="R177" s="1670"/>
      <c r="S177" s="1670"/>
      <c r="T177" s="1670"/>
      <c r="V177" s="1656"/>
      <c r="W177" s="1670"/>
      <c r="X177" s="1670"/>
      <c r="Y177" s="1781"/>
      <c r="Z177" s="1656"/>
      <c r="AA177" s="1670"/>
      <c r="AB177" s="1670"/>
      <c r="AC177" s="1670"/>
      <c r="AD177" s="1781"/>
      <c r="AE177" s="1781"/>
      <c r="AF177" s="1670"/>
      <c r="AG177" s="1670"/>
      <c r="AH177" s="1670"/>
      <c r="AI177" s="1781"/>
      <c r="AJ177" s="1656">
        <f>SUMPRODUCT(H178:H178,V178:V178)</f>
        <v>236.81025699999998</v>
      </c>
      <c r="AK177" s="1656"/>
      <c r="AL177" s="1656">
        <f>SUMPRODUCT(H178:H178,Z178:Z178)</f>
        <v>3504.91244100944</v>
      </c>
      <c r="AM177" s="1781" t="s">
        <v>1968</v>
      </c>
      <c r="AN177" s="1781"/>
      <c r="AO177" s="1781"/>
    </row>
    <row r="178" spans="1:41" s="1599" customFormat="1" ht="30">
      <c r="A178" s="1805"/>
      <c r="B178" s="1799" t="s">
        <v>2076</v>
      </c>
      <c r="C178" s="1779" t="s">
        <v>1969</v>
      </c>
      <c r="D178" s="1780">
        <f>H178</f>
        <v>31.936546049999997</v>
      </c>
      <c r="E178" s="1622">
        <f>N178*'REKAP RAB'!$O$5</f>
        <v>5386236.1866891189</v>
      </c>
      <c r="F178" s="1682">
        <f>D178*E178</f>
        <v>172017780.01237342</v>
      </c>
      <c r="G178" s="1681"/>
      <c r="H178" s="1780">
        <f>SUM('REKAP Plat'!G40:G42)</f>
        <v>31.936546049999997</v>
      </c>
      <c r="I178" s="1667">
        <f t="shared" ref="I178" si="192">AF178</f>
        <v>3081821.5323080458</v>
      </c>
      <c r="J178" s="1666">
        <f t="shared" ref="J178" si="193">AG178</f>
        <v>1250000</v>
      </c>
      <c r="K178" s="1666">
        <f t="shared" ref="K178" si="194">AH178</f>
        <v>351862.10829118802</v>
      </c>
      <c r="L178" s="1666"/>
      <c r="M178" s="1665"/>
      <c r="N178" s="1664">
        <f>SUM(I178:M178)</f>
        <v>4683683.640599234</v>
      </c>
      <c r="O178" s="1664">
        <f>H178*N178</f>
        <v>149580678.27162907</v>
      </c>
      <c r="P178" s="1673"/>
      <c r="R178" s="1670">
        <f>Analisa!F$209</f>
        <v>1223775</v>
      </c>
      <c r="S178" s="1670">
        <f>Analisa!G$217</f>
        <v>1250000</v>
      </c>
      <c r="T178" s="1670">
        <f>Analisa!H$217</f>
        <v>90000</v>
      </c>
      <c r="V178" s="1656">
        <f>'REKAP Plat'!U40</f>
        <v>7.4150240489140185</v>
      </c>
      <c r="W178" s="1670">
        <f>Analisa!$F$153</f>
        <v>96024.305555555562</v>
      </c>
      <c r="X178" s="1670">
        <f>Analisa!$H$153</f>
        <v>35315.072016460901</v>
      </c>
      <c r="Y178" s="1781"/>
      <c r="Z178" s="1656">
        <f>'REKAP Plat'!V40</f>
        <v>109.74613333333335</v>
      </c>
      <c r="AA178" s="1670">
        <f>Analisa!$F$233</f>
        <v>10442.5</v>
      </c>
      <c r="AB178" s="1670"/>
      <c r="AC178" s="1670"/>
      <c r="AD178" s="1781"/>
      <c r="AE178" s="1781"/>
      <c r="AF178" s="1670">
        <f>R178+V178*W178+Z178*AA178</f>
        <v>3081821.5323080458</v>
      </c>
      <c r="AG178" s="1670">
        <f>S178</f>
        <v>1250000</v>
      </c>
      <c r="AH178" s="1670">
        <f>T178+V178*X178</f>
        <v>351862.10829118802</v>
      </c>
      <c r="AI178" s="1670"/>
      <c r="AJ178" s="1656"/>
      <c r="AK178" s="1656"/>
      <c r="AL178" s="1656"/>
      <c r="AM178" s="1781"/>
      <c r="AN178" s="1781"/>
      <c r="AO178" s="1781"/>
    </row>
    <row r="179" spans="1:41" s="1599" customFormat="1" ht="18.75" customHeight="1">
      <c r="A179" s="1805"/>
      <c r="B179" s="1799"/>
      <c r="C179" s="1779"/>
      <c r="D179" s="1780"/>
      <c r="E179" s="1804"/>
      <c r="F179" s="1803"/>
      <c r="G179" s="1804"/>
      <c r="H179" s="1780"/>
      <c r="I179" s="1667"/>
      <c r="J179" s="1666"/>
      <c r="K179" s="1666"/>
      <c r="L179" s="1666"/>
      <c r="M179" s="1665"/>
      <c r="N179" s="1664"/>
      <c r="O179" s="1664"/>
      <c r="P179" s="1804"/>
      <c r="V179" s="1656"/>
      <c r="W179" s="1781"/>
      <c r="X179" s="1781"/>
      <c r="Y179" s="1781"/>
      <c r="AA179" s="1781"/>
      <c r="AB179" s="1781"/>
      <c r="AC179" s="1781"/>
      <c r="AD179" s="1781"/>
      <c r="AE179" s="1781"/>
      <c r="AF179" s="1781"/>
      <c r="AG179" s="1781"/>
      <c r="AI179" s="1781"/>
      <c r="AJ179" s="1781"/>
      <c r="AK179" s="1781"/>
      <c r="AL179" s="1781"/>
      <c r="AM179" s="1781"/>
      <c r="AN179" s="1781"/>
      <c r="AO179" s="1781"/>
    </row>
    <row r="180" spans="1:41" s="1599" customFormat="1" ht="18.75" customHeight="1">
      <c r="A180" s="1810">
        <v>2</v>
      </c>
      <c r="B180" s="1809" t="s">
        <v>2074</v>
      </c>
      <c r="C180" s="1779" t="s">
        <v>354</v>
      </c>
      <c r="D180" s="1780"/>
      <c r="E180" s="1803"/>
      <c r="F180" s="1803"/>
      <c r="G180" s="1804"/>
      <c r="H180" s="1780"/>
      <c r="I180" s="1667"/>
      <c r="J180" s="1666"/>
      <c r="K180" s="1666"/>
      <c r="L180" s="1666"/>
      <c r="M180" s="1665"/>
      <c r="N180" s="1664"/>
      <c r="O180" s="1664"/>
      <c r="P180" s="1804"/>
      <c r="R180" s="1656"/>
      <c r="S180" s="1656"/>
      <c r="T180" s="1656"/>
      <c r="V180" s="1656"/>
      <c r="W180" s="1781"/>
      <c r="X180" s="1781"/>
      <c r="Y180" s="1781"/>
      <c r="Z180" s="1656"/>
      <c r="AA180" s="1781"/>
      <c r="AB180" s="1781"/>
      <c r="AC180" s="1781"/>
      <c r="AD180" s="1781"/>
      <c r="AE180" s="1781"/>
      <c r="AF180" s="1781"/>
      <c r="AG180" s="1781"/>
      <c r="AI180" s="1781"/>
      <c r="AJ180" s="1656">
        <f>SUMPRODUCT(H181:H187,V181:V187)</f>
        <v>215.99360000000001</v>
      </c>
      <c r="AK180" s="1656"/>
      <c r="AL180" s="1656">
        <f>SUMPRODUCT(H181:H187,Z181:Z187)</f>
        <v>5327.6719095360004</v>
      </c>
      <c r="AM180" s="1781" t="s">
        <v>1968</v>
      </c>
      <c r="AN180" s="1781"/>
      <c r="AO180" s="1781"/>
    </row>
    <row r="181" spans="1:41" s="1599" customFormat="1" ht="18">
      <c r="A181" s="1805"/>
      <c r="B181" s="1778" t="str">
        <f>CONCATENATE(" - Balok ",G181)</f>
        <v xml:space="preserve"> - Balok B4-1</v>
      </c>
      <c r="C181" s="1779" t="s">
        <v>1969</v>
      </c>
      <c r="D181" s="1780">
        <f>H181*'REKAP RAB'!$K$3</f>
        <v>0.90064000000000011</v>
      </c>
      <c r="E181" s="1622">
        <f>N181*'REKAP RAB'!$O$5</f>
        <v>11628081.923118815</v>
      </c>
      <c r="F181" s="1682">
        <f t="shared" ref="F181:F187" si="195">D181*E181</f>
        <v>10472715.703237731</v>
      </c>
      <c r="G181" s="1681" t="s">
        <v>2286</v>
      </c>
      <c r="H181" s="1780">
        <f>'REKAP Balok'!G305</f>
        <v>0.90064000000000011</v>
      </c>
      <c r="I181" s="1667">
        <f t="shared" ref="I181:I187" si="196">AF181</f>
        <v>7610324.1697224192</v>
      </c>
      <c r="J181" s="1666">
        <f t="shared" ref="J181:J187" si="197">AG181</f>
        <v>1500000</v>
      </c>
      <c r="K181" s="1666">
        <f t="shared" ref="K181:K187" si="198">AH181</f>
        <v>1001051.4155982905</v>
      </c>
      <c r="L181" s="1666"/>
      <c r="M181" s="1665"/>
      <c r="N181" s="1664">
        <f t="shared" ref="N181:N187" si="199">SUM(I181:M181)</f>
        <v>10111375.585320709</v>
      </c>
      <c r="O181" s="1664">
        <f t="shared" ref="O181:O187" si="200">H181*N181</f>
        <v>9106709.3071632441</v>
      </c>
      <c r="P181" s="1670"/>
      <c r="R181" s="1670">
        <f>Analisa!$F$201</f>
        <v>1223775</v>
      </c>
      <c r="S181" s="1670">
        <f>Analisa!$G$201</f>
        <v>1500000</v>
      </c>
      <c r="T181" s="1670">
        <f>Analisa!$H$201</f>
        <v>90000</v>
      </c>
      <c r="V181" s="1656">
        <f>'REKAP Balok'!W305</f>
        <v>17.884615384615383</v>
      </c>
      <c r="W181" s="1688">
        <f>Analisa!$F$143</f>
        <v>284712.5</v>
      </c>
      <c r="X181" s="1688">
        <f>Analisa!$H$143</f>
        <v>50940.509259259255</v>
      </c>
      <c r="Y181" s="1781"/>
      <c r="Z181" s="1656">
        <f>'REKAP Balok'!X305</f>
        <v>123.97180866939065</v>
      </c>
      <c r="AA181" s="1670">
        <f>Analisa!$F$233</f>
        <v>10442.5</v>
      </c>
      <c r="AB181" s="1670"/>
      <c r="AC181" s="1670"/>
      <c r="AD181" s="1781"/>
      <c r="AE181" s="1781"/>
      <c r="AF181" s="1670">
        <f>R181+V181*W181+Z181*AA181</f>
        <v>7610324.1697224192</v>
      </c>
      <c r="AG181" s="1670">
        <f t="shared" ref="AG181:AG187" si="201">S181</f>
        <v>1500000</v>
      </c>
      <c r="AH181" s="1670">
        <f>T181+V181*X181</f>
        <v>1001051.4155982905</v>
      </c>
      <c r="AI181" s="1670"/>
      <c r="AJ181" s="1656"/>
      <c r="AK181" s="1656"/>
      <c r="AL181" s="1656"/>
      <c r="AM181" s="1781"/>
      <c r="AN181" s="1781"/>
      <c r="AO181" s="1781"/>
    </row>
    <row r="182" spans="1:41" s="1599" customFormat="1" ht="18">
      <c r="A182" s="1805"/>
      <c r="B182" s="1778" t="str">
        <f t="shared" ref="B182:B184" si="202">CONCATENATE(" - Balok ",G182)</f>
        <v xml:space="preserve"> - Balok B23-1</v>
      </c>
      <c r="C182" s="1779" t="s">
        <v>1969</v>
      </c>
      <c r="D182" s="1780">
        <f>H182*'REKAP RAB'!$K$3</f>
        <v>0.2505</v>
      </c>
      <c r="E182" s="1622">
        <f>N182*'REKAP RAB'!$O$5</f>
        <v>11355177.622694926</v>
      </c>
      <c r="F182" s="1682">
        <f t="shared" ref="F182:F184" si="203">D182*E182</f>
        <v>2844471.9944850788</v>
      </c>
      <c r="G182" s="1681" t="s">
        <v>2288</v>
      </c>
      <c r="H182" s="1780">
        <f>'REKAP Balok'!G307</f>
        <v>0.2505</v>
      </c>
      <c r="I182" s="1667">
        <f t="shared" ref="I182:I184" si="204">AF182</f>
        <v>7774662.4054029947</v>
      </c>
      <c r="J182" s="1666">
        <f t="shared" ref="J182:J184" si="205">AG182</f>
        <v>1500000</v>
      </c>
      <c r="K182" s="1666">
        <f t="shared" ref="K182:K184" si="206">AH182</f>
        <v>599405.09259259258</v>
      </c>
      <c r="L182" s="1666"/>
      <c r="M182" s="1665"/>
      <c r="N182" s="1664">
        <f t="shared" ref="N182:N184" si="207">SUM(I182:M182)</f>
        <v>9874067.4979955889</v>
      </c>
      <c r="O182" s="1664">
        <f t="shared" ref="O182:O184" si="208">H182*N182</f>
        <v>2473453.9082478951</v>
      </c>
      <c r="P182" s="1670"/>
      <c r="R182" s="1670">
        <f>Analisa!$F$201</f>
        <v>1223775</v>
      </c>
      <c r="S182" s="1670">
        <f>Analisa!$G$201</f>
        <v>1500000</v>
      </c>
      <c r="T182" s="1670">
        <f>Analisa!$H$201</f>
        <v>90000</v>
      </c>
      <c r="V182" s="1656">
        <f>'REKAP Balok'!W307</f>
        <v>10</v>
      </c>
      <c r="W182" s="1688">
        <f>Analisa!$F$143</f>
        <v>284712.5</v>
      </c>
      <c r="X182" s="1688">
        <f>Analisa!$H$143</f>
        <v>50940.509259259255</v>
      </c>
      <c r="Y182" s="1781"/>
      <c r="Z182" s="1656">
        <f>'REKAP Balok'!X307</f>
        <v>354.68158059880244</v>
      </c>
      <c r="AA182" s="1670">
        <f>Analisa!$F$233</f>
        <v>10442.5</v>
      </c>
      <c r="AB182" s="1670"/>
      <c r="AC182" s="1670"/>
      <c r="AD182" s="1781"/>
      <c r="AE182" s="1781"/>
      <c r="AF182" s="1670">
        <f t="shared" ref="AF182:AF184" si="209">R182+V182*W182+Z182*AA182</f>
        <v>7774662.4054029947</v>
      </c>
      <c r="AG182" s="1670">
        <f t="shared" ref="AG182:AG184" si="210">S182</f>
        <v>1500000</v>
      </c>
      <c r="AH182" s="1670">
        <f t="shared" ref="AH182:AH184" si="211">T182+V182*X182</f>
        <v>599405.09259259258</v>
      </c>
      <c r="AI182" s="1670"/>
      <c r="AJ182" s="1656"/>
      <c r="AK182" s="1656"/>
      <c r="AL182" s="1656"/>
      <c r="AM182" s="1684"/>
      <c r="AN182" s="1781"/>
      <c r="AO182" s="1781"/>
    </row>
    <row r="183" spans="1:41" s="1599" customFormat="1" ht="18">
      <c r="A183" s="1805"/>
      <c r="B183" s="1778" t="str">
        <f t="shared" si="202"/>
        <v xml:space="preserve"> - Balok B24-1</v>
      </c>
      <c r="C183" s="1779" t="s">
        <v>1969</v>
      </c>
      <c r="D183" s="1780">
        <f>H183*'REKAP RAB'!$K$3</f>
        <v>1.7806500000000003</v>
      </c>
      <c r="E183" s="1622">
        <f>N183*'REKAP RAB'!$O$5</f>
        <v>9991466.0457277149</v>
      </c>
      <c r="F183" s="1682">
        <f t="shared" si="203"/>
        <v>17791304.01432506</v>
      </c>
      <c r="G183" s="1681" t="s">
        <v>132</v>
      </c>
      <c r="H183" s="1780">
        <f>'REKAP Balok'!G308</f>
        <v>1.7806500000000003</v>
      </c>
      <c r="I183" s="1667">
        <f t="shared" si="204"/>
        <v>6544169.4492531661</v>
      </c>
      <c r="J183" s="1666">
        <f t="shared" si="205"/>
        <v>1500000</v>
      </c>
      <c r="K183" s="1666">
        <f t="shared" si="206"/>
        <v>644061.8948578909</v>
      </c>
      <c r="L183" s="1666"/>
      <c r="M183" s="1665"/>
      <c r="N183" s="1664">
        <f t="shared" si="207"/>
        <v>8688231.344111057</v>
      </c>
      <c r="O183" s="1664">
        <f t="shared" si="208"/>
        <v>15470699.142891357</v>
      </c>
      <c r="P183" s="1670"/>
      <c r="R183" s="1670">
        <f>Analisa!$F$201</f>
        <v>1223775</v>
      </c>
      <c r="S183" s="1670">
        <f>Analisa!$G$201</f>
        <v>1500000</v>
      </c>
      <c r="T183" s="1670">
        <f>Analisa!$H$201</f>
        <v>90000</v>
      </c>
      <c r="V183" s="1656">
        <f>'REKAP Balok'!W308</f>
        <v>10.876646168533961</v>
      </c>
      <c r="W183" s="1688">
        <f>Analisa!$F$143</f>
        <v>284712.5</v>
      </c>
      <c r="X183" s="1688">
        <f>Analisa!$H$143</f>
        <v>50940.509259259255</v>
      </c>
      <c r="Y183" s="1781"/>
      <c r="Z183" s="1656">
        <f>'REKAP Balok'!X308</f>
        <v>212.94491998989133</v>
      </c>
      <c r="AA183" s="1670">
        <f>Analisa!$F$233</f>
        <v>10442.5</v>
      </c>
      <c r="AB183" s="1670"/>
      <c r="AC183" s="1670"/>
      <c r="AD183" s="1781"/>
      <c r="AE183" s="1781"/>
      <c r="AF183" s="1670">
        <f t="shared" si="209"/>
        <v>6544169.4492531661</v>
      </c>
      <c r="AG183" s="1670">
        <f t="shared" si="210"/>
        <v>1500000</v>
      </c>
      <c r="AH183" s="1670">
        <f t="shared" si="211"/>
        <v>644061.8948578909</v>
      </c>
      <c r="AI183" s="1670"/>
      <c r="AJ183" s="1656"/>
      <c r="AK183" s="1656"/>
      <c r="AL183" s="1656"/>
      <c r="AM183" s="1684"/>
      <c r="AN183" s="1781"/>
      <c r="AO183" s="1781"/>
    </row>
    <row r="184" spans="1:41" s="1599" customFormat="1" ht="18">
      <c r="A184" s="1805"/>
      <c r="B184" s="1778" t="str">
        <f t="shared" si="202"/>
        <v xml:space="preserve"> - Balok B24-2</v>
      </c>
      <c r="C184" s="1779" t="s">
        <v>1969</v>
      </c>
      <c r="D184" s="1780">
        <f>H184*'REKAP RAB'!$K$3</f>
        <v>2.49125</v>
      </c>
      <c r="E184" s="1622">
        <f>N184*'REKAP RAB'!$O$5</f>
        <v>10669208.273506235</v>
      </c>
      <c r="F184" s="1682">
        <f t="shared" si="203"/>
        <v>26579665.111372408</v>
      </c>
      <c r="G184" s="1681" t="s">
        <v>133</v>
      </c>
      <c r="H184" s="1780">
        <f>'REKAP Balok'!G309</f>
        <v>2.49125</v>
      </c>
      <c r="I184" s="1667">
        <f t="shared" si="204"/>
        <v>7178167.3191519603</v>
      </c>
      <c r="J184" s="1666">
        <f t="shared" si="205"/>
        <v>1500000</v>
      </c>
      <c r="K184" s="1666">
        <f t="shared" si="206"/>
        <v>599405.09259259258</v>
      </c>
      <c r="L184" s="1666"/>
      <c r="M184" s="1665"/>
      <c r="N184" s="1664">
        <f t="shared" si="207"/>
        <v>9277572.4117445536</v>
      </c>
      <c r="O184" s="1664">
        <f t="shared" si="208"/>
        <v>23112752.270758618</v>
      </c>
      <c r="P184" s="1670"/>
      <c r="R184" s="1670">
        <f>Analisa!$F$201</f>
        <v>1223775</v>
      </c>
      <c r="S184" s="1670">
        <f>Analisa!$G$201</f>
        <v>1500000</v>
      </c>
      <c r="T184" s="1670">
        <f>Analisa!$H$201</f>
        <v>90000</v>
      </c>
      <c r="V184" s="1656">
        <f>'REKAP Balok'!W309</f>
        <v>10</v>
      </c>
      <c r="W184" s="1688">
        <f>Analisa!$F$143</f>
        <v>284712.5</v>
      </c>
      <c r="X184" s="1688">
        <f>Analisa!$H$143</f>
        <v>50940.509259259255</v>
      </c>
      <c r="Y184" s="1781"/>
      <c r="Z184" s="1656">
        <f>'REKAP Balok'!X309</f>
        <v>297.55971454651279</v>
      </c>
      <c r="AA184" s="1670">
        <f>Analisa!$F$233</f>
        <v>10442.5</v>
      </c>
      <c r="AB184" s="1670"/>
      <c r="AC184" s="1670"/>
      <c r="AD184" s="1781"/>
      <c r="AE184" s="1781"/>
      <c r="AF184" s="1670">
        <f t="shared" si="209"/>
        <v>7178167.3191519603</v>
      </c>
      <c r="AG184" s="1670">
        <f t="shared" si="210"/>
        <v>1500000</v>
      </c>
      <c r="AH184" s="1670">
        <f t="shared" si="211"/>
        <v>599405.09259259258</v>
      </c>
      <c r="AI184" s="1670"/>
      <c r="AJ184" s="1656"/>
      <c r="AK184" s="1656"/>
      <c r="AL184" s="1656"/>
      <c r="AM184" s="1684"/>
      <c r="AN184" s="1781"/>
      <c r="AO184" s="1781"/>
    </row>
    <row r="185" spans="1:41" s="1599" customFormat="1" ht="18">
      <c r="A185" s="1805"/>
      <c r="B185" s="1778" t="str">
        <f t="shared" ref="B185:B187" si="212">CONCATENATE(" - Balok ",G185)</f>
        <v xml:space="preserve"> - Balok CL24-1</v>
      </c>
      <c r="C185" s="1779" t="s">
        <v>1969</v>
      </c>
      <c r="D185" s="1780">
        <f>H185*'REKAP RAB'!$K$3</f>
        <v>3.04175</v>
      </c>
      <c r="E185" s="1622">
        <f>N185*'REKAP RAB'!$O$5</f>
        <v>11273413.267689716</v>
      </c>
      <c r="F185" s="1682">
        <f t="shared" si="195"/>
        <v>34290904.806995191</v>
      </c>
      <c r="G185" s="1681" t="s">
        <v>2289</v>
      </c>
      <c r="H185" s="1780">
        <f>'REKAP Balok'!G310</f>
        <v>3.04175</v>
      </c>
      <c r="I185" s="1667">
        <f t="shared" si="196"/>
        <v>7697366.5370986629</v>
      </c>
      <c r="J185" s="1666">
        <f t="shared" si="197"/>
        <v>1500000</v>
      </c>
      <c r="K185" s="1666">
        <f t="shared" si="198"/>
        <v>605601.52176196082</v>
      </c>
      <c r="L185" s="1666"/>
      <c r="M185" s="1665"/>
      <c r="N185" s="1664">
        <f t="shared" si="199"/>
        <v>9802968.0588606242</v>
      </c>
      <c r="O185" s="1664">
        <f t="shared" si="200"/>
        <v>29818178.093039304</v>
      </c>
      <c r="P185" s="1670"/>
      <c r="R185" s="1670">
        <f>Analisa!$F$201</f>
        <v>1223775</v>
      </c>
      <c r="S185" s="1670">
        <f>Analisa!$G$201</f>
        <v>1500000</v>
      </c>
      <c r="T185" s="1670">
        <f>Analisa!$H$201</f>
        <v>90000</v>
      </c>
      <c r="V185" s="1656">
        <f>'REKAP Balok'!W310</f>
        <v>10.121640502999918</v>
      </c>
      <c r="W185" s="1688">
        <f>Analisa!$F$143</f>
        <v>284712.5</v>
      </c>
      <c r="X185" s="1688">
        <f>Analisa!$H$143</f>
        <v>50940.509259259255</v>
      </c>
      <c r="Y185" s="1781"/>
      <c r="Z185" s="1656">
        <f>'REKAP Balok'!X310</f>
        <v>343.96303235703124</v>
      </c>
      <c r="AA185" s="1670">
        <f>Analisa!$F$233</f>
        <v>10442.5</v>
      </c>
      <c r="AB185" s="1670"/>
      <c r="AC185" s="1670"/>
      <c r="AD185" s="1781"/>
      <c r="AE185" s="1781"/>
      <c r="AF185" s="1670">
        <f t="shared" ref="AF185:AF187" si="213">R185+V185*W185+Z185*AA185</f>
        <v>7697366.5370986629</v>
      </c>
      <c r="AG185" s="1670">
        <f t="shared" si="201"/>
        <v>1500000</v>
      </c>
      <c r="AH185" s="1670">
        <f t="shared" ref="AH185:AH187" si="214">T185+V185*X185</f>
        <v>605601.52176196082</v>
      </c>
      <c r="AI185" s="1670"/>
      <c r="AJ185" s="1656"/>
      <c r="AK185" s="1656"/>
      <c r="AL185" s="1656"/>
      <c r="AM185" s="1684"/>
      <c r="AN185" s="1781"/>
      <c r="AO185" s="1781"/>
    </row>
    <row r="186" spans="1:41" s="1599" customFormat="1" ht="18">
      <c r="A186" s="1805"/>
      <c r="B186" s="1778" t="str">
        <f t="shared" si="212"/>
        <v xml:space="preserve"> - Balok B25-1</v>
      </c>
      <c r="C186" s="1779" t="s">
        <v>1969</v>
      </c>
      <c r="D186" s="1780">
        <f>H186*'REKAP RAB'!$K$3</f>
        <v>3.9059999999999997</v>
      </c>
      <c r="E186" s="1622">
        <f>N186*'REKAP RAB'!$O$5</f>
        <v>10420083.225459557</v>
      </c>
      <c r="F186" s="1682">
        <f t="shared" si="195"/>
        <v>40700845.078645028</v>
      </c>
      <c r="G186" s="1681" t="s">
        <v>134</v>
      </c>
      <c r="H186" s="1780">
        <f>'REKAP Balok'!G311</f>
        <v>3.9059999999999997</v>
      </c>
      <c r="I186" s="1667">
        <f t="shared" si="196"/>
        <v>6961536.8425896317</v>
      </c>
      <c r="J186" s="1666">
        <f t="shared" si="197"/>
        <v>1500000</v>
      </c>
      <c r="K186" s="1666">
        <f t="shared" si="198"/>
        <v>599405.09259259258</v>
      </c>
      <c r="L186" s="1666"/>
      <c r="M186" s="1665"/>
      <c r="N186" s="1664">
        <f t="shared" si="199"/>
        <v>9060941.935182225</v>
      </c>
      <c r="O186" s="1664">
        <f t="shared" si="200"/>
        <v>35392039.198821768</v>
      </c>
      <c r="P186" s="1670"/>
      <c r="R186" s="1670">
        <f>Analisa!$F$201</f>
        <v>1223775</v>
      </c>
      <c r="S186" s="1670">
        <f>Analisa!$G$201</f>
        <v>1500000</v>
      </c>
      <c r="T186" s="1670">
        <f>Analisa!$H$201</f>
        <v>90000</v>
      </c>
      <c r="V186" s="1656">
        <f>'REKAP Balok'!W311</f>
        <v>10.000000000000002</v>
      </c>
      <c r="W186" s="1688">
        <f>Analisa!$F$143</f>
        <v>284712.5</v>
      </c>
      <c r="X186" s="1688">
        <f>Analisa!$H$143</f>
        <v>50940.509259259255</v>
      </c>
      <c r="Y186" s="1781"/>
      <c r="Z186" s="1656">
        <f>'REKAP Balok'!X311</f>
        <v>276.81463658986178</v>
      </c>
      <c r="AA186" s="1670">
        <f>Analisa!$F$233</f>
        <v>10442.5</v>
      </c>
      <c r="AB186" s="1670"/>
      <c r="AC186" s="1670"/>
      <c r="AD186" s="1781"/>
      <c r="AE186" s="1781"/>
      <c r="AF186" s="1670">
        <f t="shared" si="213"/>
        <v>6961536.8425896317</v>
      </c>
      <c r="AG186" s="1670">
        <f t="shared" si="201"/>
        <v>1500000</v>
      </c>
      <c r="AH186" s="1670">
        <f t="shared" si="214"/>
        <v>599405.09259259258</v>
      </c>
      <c r="AI186" s="1670"/>
      <c r="AJ186" s="1656"/>
      <c r="AK186" s="1656"/>
      <c r="AL186" s="1656"/>
      <c r="AM186" s="1684"/>
      <c r="AN186" s="1781"/>
      <c r="AO186" s="1781"/>
    </row>
    <row r="187" spans="1:41" s="1599" customFormat="1" ht="18">
      <c r="A187" s="1805"/>
      <c r="B187" s="1778" t="str">
        <f t="shared" si="212"/>
        <v xml:space="preserve"> - Balok B26-1</v>
      </c>
      <c r="C187" s="1779" t="s">
        <v>1969</v>
      </c>
      <c r="D187" s="1780">
        <f>H187*'REKAP RAB'!$K$3</f>
        <v>8.198850000000002</v>
      </c>
      <c r="E187" s="1622">
        <f>N187*'REKAP RAB'!$O$5</f>
        <v>9907885.3738110159</v>
      </c>
      <c r="F187" s="1682">
        <f t="shared" si="195"/>
        <v>81233265.997070462</v>
      </c>
      <c r="G187" s="1681" t="s">
        <v>135</v>
      </c>
      <c r="H187" s="1780">
        <f>'REKAP Balok'!G312</f>
        <v>8.198850000000002</v>
      </c>
      <c r="I187" s="1667">
        <f t="shared" si="196"/>
        <v>6508287.7987196362</v>
      </c>
      <c r="J187" s="1666">
        <f t="shared" si="197"/>
        <v>1500000</v>
      </c>
      <c r="K187" s="1666">
        <f t="shared" si="198"/>
        <v>607264.70024646609</v>
      </c>
      <c r="L187" s="1666"/>
      <c r="M187" s="1665"/>
      <c r="N187" s="1664">
        <f t="shared" si="199"/>
        <v>8615552.4989661016</v>
      </c>
      <c r="O187" s="1664">
        <f t="shared" si="200"/>
        <v>70637622.606148243</v>
      </c>
      <c r="P187" s="1670"/>
      <c r="R187" s="1670">
        <f>Analisa!$F$201</f>
        <v>1223775</v>
      </c>
      <c r="S187" s="1670">
        <f>Analisa!$G$201</f>
        <v>1500000</v>
      </c>
      <c r="T187" s="1670">
        <f>Analisa!$H$201</f>
        <v>90000</v>
      </c>
      <c r="V187" s="1656">
        <f>'REKAP Balok'!W312</f>
        <v>10.154289930904941</v>
      </c>
      <c r="W187" s="1688">
        <f>Analisa!$F$143</f>
        <v>284712.5</v>
      </c>
      <c r="X187" s="1688">
        <f>Analisa!$H$143</f>
        <v>50940.509259259255</v>
      </c>
      <c r="Y187" s="1781"/>
      <c r="Z187" s="1656">
        <f>'REKAP Balok'!X312</f>
        <v>229.20368941985762</v>
      </c>
      <c r="AA187" s="1670">
        <f>Analisa!$F$233</f>
        <v>10442.5</v>
      </c>
      <c r="AB187" s="1670"/>
      <c r="AC187" s="1670"/>
      <c r="AD187" s="1781"/>
      <c r="AE187" s="1781"/>
      <c r="AF187" s="1670">
        <f t="shared" si="213"/>
        <v>6508287.7987196362</v>
      </c>
      <c r="AG187" s="1670">
        <f t="shared" si="201"/>
        <v>1500000</v>
      </c>
      <c r="AH187" s="1670">
        <f t="shared" si="214"/>
        <v>607264.70024646609</v>
      </c>
      <c r="AI187" s="1670"/>
      <c r="AJ187" s="1656"/>
      <c r="AK187" s="1656"/>
      <c r="AL187" s="1656"/>
      <c r="AM187" s="1684"/>
      <c r="AN187" s="1781"/>
      <c r="AO187" s="1781"/>
    </row>
    <row r="188" spans="1:41" s="1599" customFormat="1" ht="18.75" customHeight="1">
      <c r="A188" s="1805"/>
      <c r="B188" s="1812"/>
      <c r="C188" s="1779"/>
      <c r="D188" s="1780"/>
      <c r="E188" s="1622"/>
      <c r="F188" s="1682"/>
      <c r="G188" s="1681"/>
      <c r="H188" s="1780"/>
      <c r="I188" s="1834"/>
      <c r="J188" s="1666"/>
      <c r="K188" s="1666"/>
      <c r="L188" s="1666"/>
      <c r="M188" s="1665"/>
      <c r="N188" s="1664"/>
      <c r="O188" s="1664"/>
      <c r="P188" s="1670"/>
      <c r="R188" s="1670"/>
      <c r="S188" s="1670"/>
      <c r="T188" s="1670"/>
      <c r="V188" s="1656"/>
      <c r="W188" s="1688"/>
      <c r="X188" s="1688"/>
      <c r="Y188" s="1781"/>
      <c r="Z188" s="1656"/>
      <c r="AA188" s="1670"/>
      <c r="AB188" s="1670"/>
      <c r="AC188" s="1670"/>
      <c r="AD188" s="1781"/>
      <c r="AE188" s="1781"/>
      <c r="AF188" s="1670"/>
      <c r="AG188" s="1670"/>
      <c r="AH188" s="1670"/>
      <c r="AI188" s="1670"/>
      <c r="AJ188" s="1656"/>
      <c r="AK188" s="1656"/>
      <c r="AL188" s="1656"/>
      <c r="AM188" s="1684"/>
      <c r="AN188" s="1781"/>
      <c r="AO188" s="1781"/>
    </row>
    <row r="189" spans="1:41" s="1599" customFormat="1" ht="18.75" customHeight="1">
      <c r="A189" s="1810">
        <v>3</v>
      </c>
      <c r="B189" s="1809" t="s">
        <v>2071</v>
      </c>
      <c r="C189" s="1813"/>
      <c r="D189" s="1798"/>
      <c r="E189" s="1803"/>
      <c r="F189" s="1798"/>
      <c r="H189" s="1798"/>
      <c r="I189" s="1667"/>
      <c r="J189" s="1666"/>
      <c r="K189" s="1666"/>
      <c r="L189" s="1666"/>
      <c r="M189" s="1665"/>
      <c r="N189" s="1664"/>
      <c r="O189" s="1664"/>
      <c r="R189" s="1656"/>
      <c r="S189" s="1656"/>
      <c r="T189" s="1656"/>
      <c r="V189" s="1656"/>
      <c r="W189" s="1781"/>
      <c r="X189" s="1781"/>
      <c r="Y189" s="1781"/>
      <c r="Z189" s="1656"/>
      <c r="AA189" s="1781"/>
      <c r="AB189" s="1781"/>
      <c r="AC189" s="1781"/>
      <c r="AD189" s="1781"/>
      <c r="AE189" s="1781"/>
      <c r="AF189" s="1781"/>
      <c r="AG189" s="1781"/>
      <c r="AI189" s="1781"/>
      <c r="AJ189" s="1656">
        <f>SUMPRODUCT(H190:H193,V190:V193)</f>
        <v>138.66999999999999</v>
      </c>
      <c r="AK189" s="1656"/>
      <c r="AL189" s="1656">
        <f>SUMPRODUCT(H190:H193,Z190:Z193)</f>
        <v>2095.3776099600004</v>
      </c>
      <c r="AM189" s="1781" t="s">
        <v>1968</v>
      </c>
      <c r="AN189" s="1781"/>
      <c r="AO189" s="1781"/>
    </row>
    <row r="190" spans="1:41" s="1599" customFormat="1" ht="18.75" customHeight="1">
      <c r="A190" s="1805"/>
      <c r="B190" s="1778" t="str">
        <f t="shared" ref="B190:B193" si="215">CONCATENATE(" - Kolom ",G190)</f>
        <v xml:space="preserve"> - Kolom K1A4</v>
      </c>
      <c r="C190" s="1779" t="s">
        <v>1969</v>
      </c>
      <c r="D190" s="1780">
        <f>H190*'REKAP RAB'!$K$3</f>
        <v>1.8199999999999996</v>
      </c>
      <c r="E190" s="1622">
        <f>N190*'REKAP RAB'!$O$5</f>
        <v>10689095.758179363</v>
      </c>
      <c r="F190" s="1682">
        <f t="shared" ref="F190:F193" si="216">D190*E190</f>
        <v>19454154.279886436</v>
      </c>
      <c r="G190" s="1681" t="s">
        <v>2302</v>
      </c>
      <c r="H190" s="1780">
        <f>'Hasil-Kolom'!F186</f>
        <v>1.8199999999999996</v>
      </c>
      <c r="I190" s="1667">
        <f t="shared" ref="I190:I193" si="217">AF190</f>
        <v>7429865.8766777059</v>
      </c>
      <c r="J190" s="1666">
        <f t="shared" ref="J190:J193" si="218">AG190</f>
        <v>1600000</v>
      </c>
      <c r="K190" s="1666">
        <f t="shared" ref="K190:K193" si="219">AH190</f>
        <v>265000</v>
      </c>
      <c r="L190" s="1666"/>
      <c r="M190" s="1665"/>
      <c r="N190" s="1664">
        <f t="shared" ref="N190:N193" si="220">SUM(I190:M190)</f>
        <v>9294865.8766777068</v>
      </c>
      <c r="O190" s="1664">
        <f t="shared" ref="O190:O193" si="221">H190*N190</f>
        <v>16916655.895553421</v>
      </c>
      <c r="P190" s="1670"/>
      <c r="R190" s="1670">
        <f>Analisa!$F$193</f>
        <v>1223775</v>
      </c>
      <c r="S190" s="1670">
        <f>Analisa!$G$193</f>
        <v>1600000</v>
      </c>
      <c r="T190" s="1670">
        <f>Analisa!$H$193</f>
        <v>265000</v>
      </c>
      <c r="V190" s="1656">
        <f>'Hasil-Kolom'!V186</f>
        <v>20.38461538461539</v>
      </c>
      <c r="W190" s="1670">
        <f>Analisa!$F$132</f>
        <v>130953.94736842104</v>
      </c>
      <c r="X190" s="1670"/>
      <c r="Y190" s="1781"/>
      <c r="Z190" s="1656">
        <f>'Hasil-Kolom'!W186</f>
        <v>338.67800109890123</v>
      </c>
      <c r="AA190" s="1670">
        <f>Analisa!$F$233</f>
        <v>10442.5</v>
      </c>
      <c r="AB190" s="1670"/>
      <c r="AC190" s="1670"/>
      <c r="AD190" s="1781"/>
      <c r="AE190" s="1781"/>
      <c r="AF190" s="1670">
        <f>R190+V190*W190+Z190*AA190</f>
        <v>7429865.8766777059</v>
      </c>
      <c r="AG190" s="1670">
        <f t="shared" ref="AG190:AG193" si="222">S190</f>
        <v>1600000</v>
      </c>
      <c r="AH190" s="1670">
        <f t="shared" ref="AH190:AH193" si="223">T190+V190*X190</f>
        <v>265000</v>
      </c>
      <c r="AI190" s="1670"/>
      <c r="AJ190" s="1656"/>
      <c r="AK190" s="1656"/>
      <c r="AL190" s="1656"/>
      <c r="AM190" s="1781"/>
      <c r="AN190" s="1781"/>
      <c r="AO190" s="1781"/>
    </row>
    <row r="191" spans="1:41" s="1599" customFormat="1" ht="18.75" customHeight="1">
      <c r="A191" s="1805"/>
      <c r="B191" s="1778" t="str">
        <f t="shared" si="215"/>
        <v xml:space="preserve"> - Kolom K1A5</v>
      </c>
      <c r="C191" s="1779" t="s">
        <v>1969</v>
      </c>
      <c r="D191" s="1780">
        <f>H191*'REKAP RAB'!$K$3</f>
        <v>2.2749999999999999</v>
      </c>
      <c r="E191" s="1622">
        <f>N191*'REKAP RAB'!$O$5</f>
        <v>9930796.6601268817</v>
      </c>
      <c r="F191" s="1682">
        <f t="shared" si="216"/>
        <v>22592562.401788656</v>
      </c>
      <c r="G191" s="1681" t="s">
        <v>2303</v>
      </c>
      <c r="H191" s="1780">
        <f>'Hasil-Kolom'!F187</f>
        <v>2.2749999999999999</v>
      </c>
      <c r="I191" s="1667">
        <f t="shared" si="217"/>
        <v>6770475.3566320734</v>
      </c>
      <c r="J191" s="1666">
        <f t="shared" si="218"/>
        <v>1600000</v>
      </c>
      <c r="K191" s="1666">
        <f t="shared" si="219"/>
        <v>265000</v>
      </c>
      <c r="L191" s="1666"/>
      <c r="M191" s="1665"/>
      <c r="N191" s="1664">
        <f t="shared" si="220"/>
        <v>8635475.3566320725</v>
      </c>
      <c r="O191" s="1664">
        <f t="shared" si="221"/>
        <v>19645706.436337963</v>
      </c>
      <c r="P191" s="1670"/>
      <c r="R191" s="1670">
        <f>Analisa!$F$193</f>
        <v>1223775</v>
      </c>
      <c r="S191" s="1670">
        <f>Analisa!$G$193</f>
        <v>1600000</v>
      </c>
      <c r="T191" s="1670">
        <f>Analisa!$H$193</f>
        <v>265000</v>
      </c>
      <c r="V191" s="1656">
        <f>'Hasil-Kolom'!V187</f>
        <v>19.384615384615383</v>
      </c>
      <c r="W191" s="1670">
        <f>Analisa!$F$132</f>
        <v>130953.94736842104</v>
      </c>
      <c r="X191" s="1670"/>
      <c r="Y191" s="1781"/>
      <c r="Z191" s="1656">
        <f>'Hasil-Kolom'!W187</f>
        <v>288.07358906373628</v>
      </c>
      <c r="AA191" s="1670">
        <f>Analisa!$F$233</f>
        <v>10442.5</v>
      </c>
      <c r="AB191" s="1670"/>
      <c r="AC191" s="1670"/>
      <c r="AD191" s="1781"/>
      <c r="AE191" s="1781"/>
      <c r="AF191" s="1670">
        <f t="shared" ref="AF191:AF193" si="224">R191+V191*W191+Z191*AA191</f>
        <v>6770475.3566320734</v>
      </c>
      <c r="AG191" s="1670">
        <f t="shared" si="222"/>
        <v>1600000</v>
      </c>
      <c r="AH191" s="1670">
        <f t="shared" si="223"/>
        <v>265000</v>
      </c>
      <c r="AI191" s="1670"/>
      <c r="AJ191" s="1656"/>
      <c r="AK191" s="1656"/>
      <c r="AL191" s="1656"/>
      <c r="AM191" s="1781"/>
      <c r="AN191" s="1781"/>
      <c r="AO191" s="1781"/>
    </row>
    <row r="192" spans="1:41" s="1599" customFormat="1" ht="18.75" customHeight="1">
      <c r="A192" s="1805"/>
      <c r="B192" s="1778" t="str">
        <f t="shared" ref="B192" si="225">CONCATENATE(" - Kolom ",G192)</f>
        <v xml:space="preserve"> - Kolom K4</v>
      </c>
      <c r="C192" s="1779" t="s">
        <v>1969</v>
      </c>
      <c r="D192" s="1780">
        <f>H192*'REKAP RAB'!$K$3</f>
        <v>1.19</v>
      </c>
      <c r="E192" s="1622">
        <f>N192*'REKAP RAB'!$O$5</f>
        <v>9131886.7627816591</v>
      </c>
      <c r="F192" s="1682">
        <f t="shared" ref="F192" si="226">D192*E192</f>
        <v>10866945.247710174</v>
      </c>
      <c r="G192" s="1681" t="s">
        <v>2294</v>
      </c>
      <c r="H192" s="1780">
        <f>'Hasil-Kolom'!F193</f>
        <v>1.19</v>
      </c>
      <c r="I192" s="1667">
        <f t="shared" ref="I192" si="227">AF192</f>
        <v>6075771.0980710089</v>
      </c>
      <c r="J192" s="1666">
        <f t="shared" ref="J192" si="228">AG192</f>
        <v>1600000</v>
      </c>
      <c r="K192" s="1666">
        <f t="shared" ref="K192" si="229">AH192</f>
        <v>265000</v>
      </c>
      <c r="L192" s="1666"/>
      <c r="M192" s="1665"/>
      <c r="N192" s="1664">
        <f t="shared" ref="N192" si="230">SUM(I192:M192)</f>
        <v>7940771.0980710089</v>
      </c>
      <c r="O192" s="1664">
        <f t="shared" ref="O192" si="231">H192*N192</f>
        <v>9449517.6067044996</v>
      </c>
      <c r="P192" s="1670"/>
      <c r="R192" s="1670">
        <f>Analisa!$F$193</f>
        <v>1223775</v>
      </c>
      <c r="S192" s="1670">
        <f>Analisa!$G$193</f>
        <v>1600000</v>
      </c>
      <c r="T192" s="1670">
        <f>Analisa!$H$193</f>
        <v>265000</v>
      </c>
      <c r="V192" s="1656">
        <f>'Hasil-Kolom'!V193</f>
        <v>16.764705882352946</v>
      </c>
      <c r="W192" s="1670">
        <f>Analisa!$F$132</f>
        <v>130953.94736842104</v>
      </c>
      <c r="X192" s="1670"/>
      <c r="Y192" s="1781"/>
      <c r="Z192" s="1656">
        <f>'Hasil-Kolom'!W193</f>
        <v>254.40188521008409</v>
      </c>
      <c r="AA192" s="1670">
        <f>Analisa!$F$233</f>
        <v>10442.5</v>
      </c>
      <c r="AB192" s="1670"/>
      <c r="AC192" s="1670"/>
      <c r="AD192" s="1781"/>
      <c r="AE192" s="1781"/>
      <c r="AF192" s="1670">
        <f t="shared" ref="AF192" si="232">R192+V192*W192+Z192*AA192</f>
        <v>6075771.0980710089</v>
      </c>
      <c r="AG192" s="1670">
        <f t="shared" ref="AG192" si="233">S192</f>
        <v>1600000</v>
      </c>
      <c r="AH192" s="1670">
        <f t="shared" ref="AH192" si="234">T192+V192*X192</f>
        <v>265000</v>
      </c>
      <c r="AI192" s="1670"/>
      <c r="AJ192" s="1656"/>
      <c r="AK192" s="1656"/>
      <c r="AL192" s="1656"/>
      <c r="AM192" s="1781"/>
      <c r="AN192" s="1781"/>
      <c r="AO192" s="1781"/>
    </row>
    <row r="193" spans="1:41" s="1599" customFormat="1" ht="18.75" customHeight="1">
      <c r="A193" s="1805"/>
      <c r="B193" s="1778" t="str">
        <f t="shared" si="215"/>
        <v xml:space="preserve"> - Kolom KL55</v>
      </c>
      <c r="C193" s="1779" t="s">
        <v>1969</v>
      </c>
      <c r="D193" s="1780">
        <f>H193*'REKAP RAB'!$K$3</f>
        <v>2.38</v>
      </c>
      <c r="E193" s="1622">
        <f>N193*'REKAP RAB'!$O$5</f>
        <v>8554427.2107096277</v>
      </c>
      <c r="F193" s="1682">
        <f t="shared" si="216"/>
        <v>20359536.761488914</v>
      </c>
      <c r="G193" s="1681" t="s">
        <v>2293</v>
      </c>
      <c r="H193" s="1780">
        <f>'Hasil-Kolom'!F198</f>
        <v>2.38</v>
      </c>
      <c r="I193" s="1667">
        <f t="shared" si="217"/>
        <v>5573632.357138807</v>
      </c>
      <c r="J193" s="1666">
        <f t="shared" si="218"/>
        <v>1600000</v>
      </c>
      <c r="K193" s="1666">
        <f t="shared" si="219"/>
        <v>265000</v>
      </c>
      <c r="L193" s="1666"/>
      <c r="M193" s="1665"/>
      <c r="N193" s="1664">
        <f t="shared" si="220"/>
        <v>7438632.357138807</v>
      </c>
      <c r="O193" s="1664">
        <f t="shared" si="221"/>
        <v>17703945.009990361</v>
      </c>
      <c r="P193" s="1670"/>
      <c r="R193" s="1670">
        <f>Analisa!$F$193</f>
        <v>1223775</v>
      </c>
      <c r="S193" s="1670">
        <f>Analisa!$G$193</f>
        <v>1600000</v>
      </c>
      <c r="T193" s="1670">
        <f>Analisa!$H$193</f>
        <v>265000</v>
      </c>
      <c r="V193" s="1656">
        <f>'Hasil-Kolom'!V198</f>
        <v>15.764705882352944</v>
      </c>
      <c r="W193" s="1670">
        <f>Analisa!$F$132</f>
        <v>130953.94736842104</v>
      </c>
      <c r="X193" s="1670"/>
      <c r="Y193" s="1781"/>
      <c r="Z193" s="1656">
        <f>'Hasil-Kolom'!W198</f>
        <v>218.85629808403365</v>
      </c>
      <c r="AA193" s="1670">
        <f>Analisa!$F$233</f>
        <v>10442.5</v>
      </c>
      <c r="AB193" s="1670"/>
      <c r="AC193" s="1670"/>
      <c r="AD193" s="1781"/>
      <c r="AE193" s="1781"/>
      <c r="AF193" s="1670">
        <f t="shared" si="224"/>
        <v>5573632.357138807</v>
      </c>
      <c r="AG193" s="1670">
        <f t="shared" si="222"/>
        <v>1600000</v>
      </c>
      <c r="AH193" s="1670">
        <f t="shared" si="223"/>
        <v>265000</v>
      </c>
      <c r="AI193" s="1670"/>
      <c r="AJ193" s="1656"/>
      <c r="AK193" s="1656"/>
      <c r="AL193" s="1656"/>
      <c r="AM193" s="1781"/>
      <c r="AN193" s="1781"/>
      <c r="AO193" s="1781"/>
    </row>
    <row r="194" spans="1:41" s="1599" customFormat="1" ht="18.75" customHeight="1">
      <c r="A194" s="1805"/>
      <c r="B194" s="1812"/>
      <c r="C194" s="1779"/>
      <c r="D194" s="1780"/>
      <c r="E194" s="1622"/>
      <c r="F194" s="1682"/>
      <c r="G194" s="1681"/>
      <c r="H194" s="1780"/>
      <c r="I194" s="1667"/>
      <c r="J194" s="1666"/>
      <c r="K194" s="1666"/>
      <c r="L194" s="1666"/>
      <c r="M194" s="1665"/>
      <c r="N194" s="1664"/>
      <c r="O194" s="1664"/>
      <c r="P194" s="1670"/>
      <c r="R194" s="1670"/>
      <c r="S194" s="1670"/>
      <c r="T194" s="1670"/>
      <c r="V194" s="1656"/>
      <c r="W194" s="1670"/>
      <c r="X194" s="1670"/>
      <c r="Y194" s="1781"/>
      <c r="Z194" s="1656"/>
      <c r="AA194" s="1670"/>
      <c r="AB194" s="1670"/>
      <c r="AC194" s="1670"/>
      <c r="AD194" s="1781"/>
      <c r="AE194" s="1781"/>
      <c r="AF194" s="1670"/>
      <c r="AG194" s="1670"/>
      <c r="AH194" s="1670"/>
      <c r="AI194" s="1670"/>
      <c r="AJ194" s="1656"/>
      <c r="AK194" s="1656"/>
      <c r="AL194" s="1656"/>
      <c r="AM194" s="1814"/>
      <c r="AN194" s="1781"/>
      <c r="AO194" s="1781"/>
    </row>
    <row r="195" spans="1:41" s="1599" customFormat="1" ht="18.75" customHeight="1">
      <c r="A195" s="1810">
        <v>5</v>
      </c>
      <c r="B195" s="1809" t="s">
        <v>2073</v>
      </c>
      <c r="C195" s="1779"/>
      <c r="D195" s="1780"/>
      <c r="F195" s="1803"/>
      <c r="G195" s="1804"/>
      <c r="H195" s="1780"/>
      <c r="I195" s="1667"/>
      <c r="J195" s="1666"/>
      <c r="K195" s="1666"/>
      <c r="L195" s="1666"/>
      <c r="M195" s="1665"/>
      <c r="N195" s="1664"/>
      <c r="O195" s="1664"/>
      <c r="P195" s="1804"/>
      <c r="R195" s="1670"/>
      <c r="S195" s="1670"/>
      <c r="T195" s="1670"/>
      <c r="V195" s="1656"/>
      <c r="W195" s="1670"/>
      <c r="X195" s="1670"/>
      <c r="Y195" s="1781"/>
      <c r="Z195" s="1656"/>
      <c r="AA195" s="1670"/>
      <c r="AB195" s="1670"/>
      <c r="AC195" s="1670"/>
      <c r="AD195" s="1781"/>
      <c r="AE195" s="1781"/>
      <c r="AF195" s="1670"/>
      <c r="AG195" s="1670"/>
      <c r="AH195" s="1670"/>
      <c r="AI195" s="1781"/>
      <c r="AJ195" s="1656">
        <f>SUMPRODUCT(H196:H196,V196:V196)</f>
        <v>47.075000000000003</v>
      </c>
      <c r="AK195" s="1656"/>
      <c r="AL195" s="1656">
        <f>SUMPRODUCT(H196:H196,Z196:Z196)</f>
        <v>121.28096250000002</v>
      </c>
      <c r="AM195" s="1781" t="s">
        <v>1968</v>
      </c>
      <c r="AN195" s="1781"/>
      <c r="AO195" s="1781"/>
    </row>
    <row r="196" spans="1:41" s="1599" customFormat="1" ht="18">
      <c r="A196" s="1805"/>
      <c r="B196" s="1815" t="s">
        <v>2202</v>
      </c>
      <c r="C196" s="1779" t="s">
        <v>1969</v>
      </c>
      <c r="D196" s="1780">
        <f>H196*'REKAP RAB'!$K$3</f>
        <v>2.3537499999999998</v>
      </c>
      <c r="E196" s="1622">
        <f>N196*'REKAP RAB'!$O$5</f>
        <v>6096719.6050040573</v>
      </c>
      <c r="F196" s="1682">
        <f>D196*E196</f>
        <v>14350153.770278299</v>
      </c>
      <c r="G196" s="1681"/>
      <c r="H196" s="1780">
        <f>'Retaining Wall'!C169</f>
        <v>2.3537499999999998</v>
      </c>
      <c r="I196" s="1667">
        <f t="shared" ref="I196:J198" si="235">AF196</f>
        <v>3886495.3086991804</v>
      </c>
      <c r="J196" s="1666">
        <f t="shared" si="235"/>
        <v>1200000</v>
      </c>
      <c r="K196" s="1666">
        <f t="shared" ref="K196:K198" si="236">AH196</f>
        <v>215000</v>
      </c>
      <c r="L196" s="1666"/>
      <c r="M196" s="1665"/>
      <c r="N196" s="1664">
        <f>SUM(I196:M196)</f>
        <v>5301495.3086991804</v>
      </c>
      <c r="O196" s="1664">
        <f>H196*N196</f>
        <v>12478394.582850695</v>
      </c>
      <c r="P196" s="1670"/>
      <c r="R196" s="1670">
        <f>Analisa!$F$225</f>
        <v>1223775</v>
      </c>
      <c r="S196" s="1670">
        <f>Analisa!$G$225</f>
        <v>1200000</v>
      </c>
      <c r="T196" s="1670">
        <f>Analisa!$H$225</f>
        <v>215000</v>
      </c>
      <c r="V196" s="1656">
        <f>'Retaining Wall'!L169</f>
        <v>20.000000000000004</v>
      </c>
      <c r="W196" s="1670">
        <f>Analisa!F$162</f>
        <v>106232.63888888889</v>
      </c>
      <c r="X196" s="1670"/>
      <c r="Y196" s="1781"/>
      <c r="Z196" s="1656">
        <f>'Retaining Wall'!M169</f>
        <v>51.526696760488591</v>
      </c>
      <c r="AA196" s="1670">
        <f>Analisa!$F$233</f>
        <v>10442.5</v>
      </c>
      <c r="AB196" s="1670"/>
      <c r="AC196" s="1670"/>
      <c r="AD196" s="1781"/>
      <c r="AE196" s="1781"/>
      <c r="AF196" s="1670">
        <f>R196+V196*W196+Z196*AA196</f>
        <v>3886495.3086991804</v>
      </c>
      <c r="AG196" s="1670">
        <f>S196</f>
        <v>1200000</v>
      </c>
      <c r="AH196" s="1670">
        <f>T196+V196*X196</f>
        <v>215000</v>
      </c>
      <c r="AI196" s="1670"/>
      <c r="AJ196" s="1656"/>
      <c r="AK196" s="1656"/>
      <c r="AL196" s="1656"/>
      <c r="AM196" s="1814"/>
      <c r="AN196" s="1781"/>
      <c r="AO196" s="1781"/>
    </row>
    <row r="197" spans="1:41" s="1599" customFormat="1" ht="18">
      <c r="A197" s="1805"/>
      <c r="B197" s="1815" t="s">
        <v>2323</v>
      </c>
      <c r="C197" s="1779" t="s">
        <v>1969</v>
      </c>
      <c r="D197" s="1780">
        <f>H197*'REKAP RAB'!$K$3</f>
        <v>4.8345000000000002</v>
      </c>
      <c r="E197" s="1622">
        <f>N197*'REKAP RAB'!$O$5</f>
        <v>6250310.8470073314</v>
      </c>
      <c r="F197" s="1682">
        <f>D197*E197</f>
        <v>30217127.789856944</v>
      </c>
      <c r="G197" s="1681"/>
      <c r="H197" s="1780">
        <f>'Retaining Wall'!C170</f>
        <v>4.8345000000000002</v>
      </c>
      <c r="I197" s="1667">
        <f t="shared" si="235"/>
        <v>4020052.9104411583</v>
      </c>
      <c r="J197" s="1666">
        <f t="shared" ref="J197:J198" si="237">AG197</f>
        <v>1200000</v>
      </c>
      <c r="K197" s="1666">
        <f t="shared" si="236"/>
        <v>215000</v>
      </c>
      <c r="L197" s="1666"/>
      <c r="M197" s="1665"/>
      <c r="N197" s="1664">
        <f>SUM(I197:M197)</f>
        <v>5435052.9104411583</v>
      </c>
      <c r="O197" s="1664">
        <f>H197*N197</f>
        <v>26275763.295527782</v>
      </c>
      <c r="P197" s="1670"/>
      <c r="R197" s="1670">
        <f>Analisa!$F$225</f>
        <v>1223775</v>
      </c>
      <c r="S197" s="1670">
        <f>Analisa!$G$225</f>
        <v>1200000</v>
      </c>
      <c r="T197" s="1670">
        <f>Analisa!$H$225</f>
        <v>215000</v>
      </c>
      <c r="V197" s="1656">
        <f>'Retaining Wall'!L170</f>
        <v>13.333333333333332</v>
      </c>
      <c r="W197" s="1670">
        <f>Analisa!F$162</f>
        <v>106232.63888888889</v>
      </c>
      <c r="X197" s="1670"/>
      <c r="Y197" s="1781"/>
      <c r="Z197" s="1656">
        <f>'Retaining Wall'!M170</f>
        <v>132.13720136518774</v>
      </c>
      <c r="AA197" s="1670">
        <f>Analisa!$F$233</f>
        <v>10442.5</v>
      </c>
      <c r="AB197" s="1670"/>
      <c r="AC197" s="1670"/>
      <c r="AD197" s="1781"/>
      <c r="AE197" s="1781"/>
      <c r="AF197" s="1670">
        <f>R197+V197*W197+Z197*AA197</f>
        <v>4020052.9104411583</v>
      </c>
      <c r="AG197" s="1670">
        <f>S197</f>
        <v>1200000</v>
      </c>
      <c r="AH197" s="1670">
        <f>T197+V197*X197</f>
        <v>215000</v>
      </c>
      <c r="AI197" s="1670"/>
      <c r="AJ197" s="1656"/>
      <c r="AK197" s="1656"/>
      <c r="AL197" s="1656"/>
      <c r="AM197" s="1814"/>
      <c r="AN197" s="1781"/>
      <c r="AO197" s="1781"/>
    </row>
    <row r="198" spans="1:41" s="1599" customFormat="1" ht="18">
      <c r="A198" s="1805"/>
      <c r="B198" s="1815" t="s">
        <v>2321</v>
      </c>
      <c r="C198" s="1779" t="s">
        <v>1969</v>
      </c>
      <c r="D198" s="1780">
        <f>H198*'REKAP RAB'!$K$3</f>
        <v>0.27750000000000002</v>
      </c>
      <c r="E198" s="1622">
        <f>N198*'REKAP RAB'!$O$5</f>
        <v>8713390.6830980964</v>
      </c>
      <c r="F198" s="1682">
        <f>D198*E198</f>
        <v>2417965.9145597219</v>
      </c>
      <c r="G198" s="1681"/>
      <c r="H198" s="1780">
        <f>'Retaining Wall'!C171</f>
        <v>0.27750000000000002</v>
      </c>
      <c r="I198" s="1667">
        <f t="shared" si="235"/>
        <v>6161861.4635635633</v>
      </c>
      <c r="J198" s="1666">
        <f t="shared" si="237"/>
        <v>1200000</v>
      </c>
      <c r="K198" s="1666">
        <f t="shared" si="236"/>
        <v>215000</v>
      </c>
      <c r="L198" s="1666"/>
      <c r="M198" s="1665"/>
      <c r="N198" s="1664">
        <f>SUM(I198:M198)</f>
        <v>7576861.4635635633</v>
      </c>
      <c r="O198" s="1664">
        <f>H198*N198</f>
        <v>2102579.0561388889</v>
      </c>
      <c r="P198" s="1670"/>
      <c r="R198" s="1670">
        <f>Analisa!$F$225</f>
        <v>1223775</v>
      </c>
      <c r="S198" s="1670">
        <f>Analisa!$G$225</f>
        <v>1200000</v>
      </c>
      <c r="T198" s="1670">
        <f>Analisa!$H$225</f>
        <v>215000</v>
      </c>
      <c r="V198" s="1656">
        <f>'Retaining Wall'!L171</f>
        <v>13.333333333333332</v>
      </c>
      <c r="W198" s="1670">
        <f>Analisa!F$162</f>
        <v>106232.63888888889</v>
      </c>
      <c r="X198" s="1670"/>
      <c r="Y198" s="1781"/>
      <c r="Z198" s="1656">
        <f>'Retaining Wall'!M171</f>
        <v>337.24216216216212</v>
      </c>
      <c r="AA198" s="1670">
        <f>Analisa!$F$233</f>
        <v>10442.5</v>
      </c>
      <c r="AB198" s="1670"/>
      <c r="AC198" s="1670"/>
      <c r="AD198" s="1781"/>
      <c r="AE198" s="1781"/>
      <c r="AF198" s="1670">
        <f>R198+V198*W198+Z198*AA198</f>
        <v>6161861.4635635633</v>
      </c>
      <c r="AG198" s="1670">
        <f>S198</f>
        <v>1200000</v>
      </c>
      <c r="AH198" s="1670">
        <f>T198+V198*X198</f>
        <v>215000</v>
      </c>
      <c r="AI198" s="1670"/>
      <c r="AJ198" s="1656"/>
      <c r="AK198" s="1656"/>
      <c r="AL198" s="1656"/>
      <c r="AM198" s="1814"/>
      <c r="AN198" s="1781"/>
      <c r="AO198" s="1781"/>
    </row>
    <row r="199" spans="1:41" s="1599" customFormat="1" ht="18">
      <c r="A199" s="1805"/>
      <c r="B199" s="1815" t="s">
        <v>2354</v>
      </c>
      <c r="C199" s="1779" t="s">
        <v>1969</v>
      </c>
      <c r="D199" s="1780">
        <f>H199*'REKAP RAB'!$K$3</f>
        <v>3.6720000000000002</v>
      </c>
      <c r="E199" s="1622">
        <f>N199*'REKAP RAB'!$O$5</f>
        <v>7853626.6286629084</v>
      </c>
      <c r="F199" s="1682">
        <f>D199*E199</f>
        <v>28838516.980450202</v>
      </c>
      <c r="G199" s="1681"/>
      <c r="H199" s="1780">
        <f>'Retaining Wall'!C175</f>
        <v>3.6720000000000002</v>
      </c>
      <c r="I199" s="1667">
        <f t="shared" ref="I199" si="238">AF199</f>
        <v>5414240.5466633989</v>
      </c>
      <c r="J199" s="1666">
        <f t="shared" ref="J199" si="239">AG199</f>
        <v>1200000</v>
      </c>
      <c r="K199" s="1666">
        <f t="shared" ref="K199" si="240">AH199</f>
        <v>215000</v>
      </c>
      <c r="L199" s="1666"/>
      <c r="M199" s="1665"/>
      <c r="N199" s="1664">
        <f>SUM(I199:M199)</f>
        <v>6829240.5466633989</v>
      </c>
      <c r="O199" s="1664">
        <f>H199*N199</f>
        <v>25076971.287348002</v>
      </c>
      <c r="P199" s="1670"/>
      <c r="R199" s="1670">
        <f>Analisa!$F$225</f>
        <v>1223775</v>
      </c>
      <c r="S199" s="1670">
        <f>Analisa!$G$225</f>
        <v>1200000</v>
      </c>
      <c r="T199" s="1670">
        <f>Analisa!$H$225</f>
        <v>215000</v>
      </c>
      <c r="V199" s="1656">
        <f>'Retaining Wall'!L175</f>
        <v>11.764705882352942</v>
      </c>
      <c r="W199" s="1670">
        <f>Analisa!F$162</f>
        <v>106232.63888888889</v>
      </c>
      <c r="X199" s="1670"/>
      <c r="Y199" s="1781"/>
      <c r="Z199" s="1656">
        <f>'Retaining Wall'!M175</f>
        <v>281.60591764705885</v>
      </c>
      <c r="AA199" s="1670">
        <f>Analisa!$F$233</f>
        <v>10442.5</v>
      </c>
      <c r="AB199" s="1670"/>
      <c r="AC199" s="1670"/>
      <c r="AD199" s="1781"/>
      <c r="AE199" s="1781"/>
      <c r="AF199" s="1670">
        <f>R199+V199*W199+Z199*AA199</f>
        <v>5414240.5466633989</v>
      </c>
      <c r="AG199" s="1670">
        <f>S199</f>
        <v>1200000</v>
      </c>
      <c r="AH199" s="1670">
        <f>T199+V199*X199</f>
        <v>215000</v>
      </c>
      <c r="AI199" s="1670"/>
      <c r="AJ199" s="1656"/>
      <c r="AK199" s="1656"/>
      <c r="AL199" s="1656"/>
      <c r="AM199" s="1814"/>
      <c r="AN199" s="1781"/>
      <c r="AO199" s="1781"/>
    </row>
    <row r="200" spans="1:41" s="1599" customFormat="1" ht="18.75" customHeight="1" thickBot="1">
      <c r="A200" s="1798"/>
      <c r="B200" s="1815"/>
      <c r="C200" s="1779"/>
      <c r="D200" s="1780"/>
      <c r="E200" s="1622"/>
      <c r="F200" s="1669"/>
      <c r="G200" s="1668"/>
      <c r="H200" s="1780"/>
      <c r="I200" s="1667"/>
      <c r="J200" s="1666"/>
      <c r="K200" s="1666"/>
      <c r="L200" s="1666"/>
      <c r="M200" s="1665"/>
      <c r="N200" s="1664"/>
      <c r="O200" s="1664"/>
      <c r="P200" s="1804"/>
      <c r="R200" s="1671"/>
      <c r="S200" s="1671"/>
      <c r="T200" s="1671"/>
      <c r="V200" s="1656"/>
      <c r="W200" s="1781"/>
      <c r="X200" s="1781"/>
      <c r="Y200" s="1781"/>
      <c r="Z200" s="1656"/>
      <c r="AA200" s="1781"/>
      <c r="AB200" s="1781"/>
      <c r="AC200" s="1781"/>
      <c r="AD200" s="1781"/>
      <c r="AE200" s="1781"/>
      <c r="AF200" s="1781"/>
      <c r="AG200" s="1781"/>
      <c r="AI200" s="1781"/>
      <c r="AJ200" s="1781"/>
      <c r="AK200" s="1781"/>
      <c r="AL200" s="1781"/>
      <c r="AM200" s="1781"/>
      <c r="AN200" s="1781"/>
      <c r="AO200" s="1781"/>
    </row>
    <row r="201" spans="1:41" s="1599" customFormat="1" ht="18.75" customHeight="1" thickBot="1">
      <c r="A201" s="2220" t="s">
        <v>2276</v>
      </c>
      <c r="B201" s="2221"/>
      <c r="C201" s="2221"/>
      <c r="D201" s="2221"/>
      <c r="E201" s="2222"/>
      <c r="F201" s="1658">
        <f>SUM(F173:F200)</f>
        <v>535027915.86452377</v>
      </c>
      <c r="G201" s="1627"/>
      <c r="H201" s="1680"/>
      <c r="I201" s="1679"/>
      <c r="J201" s="1678"/>
      <c r="K201" s="1678"/>
      <c r="L201" s="1678"/>
      <c r="M201" s="1677"/>
      <c r="N201" s="1676"/>
      <c r="O201" s="1658">
        <f>SUM(O173:O198)</f>
        <v>440164694.68180299</v>
      </c>
      <c r="P201" s="1804"/>
      <c r="R201" s="1671"/>
      <c r="S201" s="1671"/>
      <c r="T201" s="1671"/>
      <c r="V201" s="1656"/>
      <c r="W201" s="1781"/>
      <c r="X201" s="1781"/>
      <c r="Y201" s="1781"/>
      <c r="Z201" s="1656"/>
      <c r="AA201" s="1781"/>
      <c r="AB201" s="1781"/>
      <c r="AC201" s="1781"/>
      <c r="AD201" s="1781"/>
      <c r="AE201" s="1781"/>
      <c r="AF201" s="1781"/>
      <c r="AG201" s="1781"/>
      <c r="AI201" s="1781"/>
      <c r="AJ201" s="1781"/>
      <c r="AK201" s="1781"/>
      <c r="AL201" s="1781"/>
      <c r="AM201" s="1781"/>
      <c r="AN201" s="1781"/>
      <c r="AO201" s="1781"/>
    </row>
    <row r="202" spans="1:41" s="1599" customFormat="1" ht="18.75" customHeight="1">
      <c r="A202" s="1798"/>
      <c r="B202" s="1799"/>
      <c r="C202" s="1779"/>
      <c r="D202" s="1780"/>
      <c r="E202" s="1803"/>
      <c r="F202" s="1803"/>
      <c r="G202" s="1804"/>
      <c r="H202" s="1780"/>
      <c r="I202" s="1667"/>
      <c r="J202" s="1666"/>
      <c r="K202" s="1666"/>
      <c r="L202" s="1666"/>
      <c r="M202" s="1665"/>
      <c r="N202" s="1664"/>
      <c r="O202" s="1664"/>
      <c r="P202" s="1804"/>
      <c r="R202" s="1656"/>
      <c r="S202" s="1656"/>
      <c r="T202" s="1656"/>
      <c r="V202" s="1656"/>
      <c r="W202" s="1781"/>
      <c r="X202" s="1781"/>
      <c r="Y202" s="1781"/>
      <c r="Z202" s="1656"/>
      <c r="AA202" s="1781"/>
      <c r="AB202" s="1781"/>
      <c r="AC202" s="1781"/>
      <c r="AD202" s="1781"/>
      <c r="AE202" s="1781"/>
      <c r="AF202" s="1781"/>
      <c r="AG202" s="1781"/>
      <c r="AI202" s="1781"/>
      <c r="AJ202" s="1781"/>
      <c r="AK202" s="1781"/>
      <c r="AL202" s="1781"/>
      <c r="AM202" s="1781"/>
      <c r="AN202" s="1781"/>
      <c r="AO202" s="1781"/>
    </row>
    <row r="203" spans="1:41" s="1599" customFormat="1" ht="18.75" customHeight="1">
      <c r="A203" s="1800" t="s">
        <v>1926</v>
      </c>
      <c r="B203" s="1801" t="s">
        <v>1971</v>
      </c>
      <c r="C203" s="1779"/>
      <c r="D203" s="1780"/>
      <c r="E203" s="1803"/>
      <c r="F203" s="1675"/>
      <c r="G203" s="1627"/>
      <c r="H203" s="1780"/>
      <c r="I203" s="1667"/>
      <c r="J203" s="1666"/>
      <c r="K203" s="1666"/>
      <c r="L203" s="1666"/>
      <c r="M203" s="1665"/>
      <c r="N203" s="1664"/>
      <c r="O203" s="1674"/>
      <c r="P203" s="1802"/>
      <c r="R203" s="1656"/>
      <c r="S203" s="1656"/>
      <c r="T203" s="1656"/>
      <c r="V203" s="1656"/>
      <c r="W203" s="1781"/>
      <c r="X203" s="1781"/>
      <c r="Y203" s="1781"/>
      <c r="Z203" s="1656"/>
      <c r="AA203" s="1781"/>
      <c r="AB203" s="1781"/>
      <c r="AC203" s="1781"/>
      <c r="AD203" s="1781"/>
      <c r="AE203" s="1781"/>
      <c r="AF203" s="1781"/>
      <c r="AG203" s="1781"/>
      <c r="AI203" s="1781"/>
      <c r="AJ203" s="1781"/>
      <c r="AK203" s="1781"/>
      <c r="AL203" s="1781"/>
      <c r="AM203" s="1781"/>
      <c r="AN203" s="1781"/>
      <c r="AO203" s="1781"/>
    </row>
    <row r="204" spans="1:41" s="1599" customFormat="1" ht="18.75" customHeight="1">
      <c r="A204" s="1800"/>
      <c r="B204" s="1809"/>
      <c r="C204" s="1779"/>
      <c r="D204" s="1780"/>
      <c r="E204" s="1803"/>
      <c r="F204" s="1808"/>
      <c r="G204" s="1802"/>
      <c r="H204" s="1780"/>
      <c r="I204" s="1667"/>
      <c r="J204" s="1666"/>
      <c r="K204" s="1666"/>
      <c r="L204" s="1666"/>
      <c r="M204" s="1665"/>
      <c r="N204" s="1664"/>
      <c r="O204" s="1674"/>
      <c r="P204" s="1802"/>
      <c r="R204" s="1685"/>
      <c r="S204" s="1685"/>
      <c r="T204" s="1685"/>
      <c r="V204" s="1685"/>
      <c r="W204" s="1781"/>
      <c r="X204" s="1781"/>
      <c r="Y204" s="1781"/>
      <c r="Z204" s="1684"/>
      <c r="AA204" s="1781"/>
      <c r="AB204" s="1781"/>
      <c r="AC204" s="1781"/>
      <c r="AD204" s="1781"/>
      <c r="AE204" s="1781"/>
      <c r="AF204" s="1781"/>
      <c r="AG204" s="1781"/>
      <c r="AI204" s="1781"/>
      <c r="AJ204" s="1781"/>
      <c r="AK204" s="1781"/>
      <c r="AL204" s="1781"/>
      <c r="AM204" s="1781"/>
      <c r="AN204" s="1781"/>
      <c r="AO204" s="1781"/>
    </row>
    <row r="205" spans="1:41" s="1599" customFormat="1" ht="18.75" customHeight="1">
      <c r="A205" s="1800" t="s">
        <v>237</v>
      </c>
      <c r="B205" s="1809" t="s">
        <v>1970</v>
      </c>
      <c r="C205" s="1779"/>
      <c r="D205" s="1780"/>
      <c r="E205" s="1803"/>
      <c r="F205" s="1675"/>
      <c r="G205" s="1627"/>
      <c r="H205" s="1780"/>
      <c r="I205" s="1667"/>
      <c r="J205" s="1666"/>
      <c r="K205" s="1666"/>
      <c r="L205" s="1666"/>
      <c r="M205" s="1665"/>
      <c r="N205" s="1664"/>
      <c r="O205" s="1674"/>
      <c r="P205" s="1628"/>
      <c r="R205" s="1656"/>
      <c r="S205" s="1656"/>
      <c r="T205" s="1656"/>
      <c r="V205" s="1656"/>
      <c r="W205" s="1781"/>
      <c r="X205" s="1781"/>
      <c r="Y205" s="1781"/>
      <c r="Z205" s="1656"/>
      <c r="AA205" s="1781"/>
      <c r="AB205" s="1781"/>
      <c r="AC205" s="1781"/>
      <c r="AD205" s="1781"/>
      <c r="AE205" s="1781"/>
      <c r="AF205" s="1781"/>
      <c r="AG205" s="1781"/>
      <c r="AI205" s="1781"/>
      <c r="AJ205" s="1781"/>
      <c r="AK205" s="1781"/>
      <c r="AL205" s="1781"/>
      <c r="AM205" s="1781"/>
      <c r="AN205" s="1781"/>
      <c r="AO205" s="1781"/>
    </row>
    <row r="206" spans="1:41" s="1599" customFormat="1" ht="18.75" customHeight="1">
      <c r="A206" s="1810">
        <v>1</v>
      </c>
      <c r="B206" s="1809" t="s">
        <v>2072</v>
      </c>
      <c r="C206" s="1779"/>
      <c r="D206" s="1780"/>
      <c r="F206" s="1803"/>
      <c r="G206" s="1804"/>
      <c r="H206" s="1780"/>
      <c r="I206" s="1667"/>
      <c r="J206" s="1666"/>
      <c r="K206" s="1666"/>
      <c r="L206" s="1666"/>
      <c r="M206" s="1665"/>
      <c r="N206" s="1664"/>
      <c r="O206" s="1664"/>
      <c r="P206" s="1804"/>
      <c r="R206" s="1656"/>
      <c r="S206" s="1656"/>
      <c r="T206" s="1656"/>
      <c r="V206" s="1656"/>
      <c r="W206" s="1781"/>
      <c r="X206" s="1781"/>
      <c r="Y206" s="1781"/>
      <c r="Z206" s="1656"/>
      <c r="AA206" s="1781"/>
      <c r="AB206" s="1781"/>
      <c r="AC206" s="1781"/>
      <c r="AD206" s="1781"/>
      <c r="AE206" s="1781"/>
      <c r="AF206" s="1781"/>
      <c r="AG206" s="1781"/>
      <c r="AI206" s="1781"/>
      <c r="AJ206" s="1656">
        <f>SUMPRODUCT(H207:H207,V207:V207)</f>
        <v>45.939785999999998</v>
      </c>
      <c r="AK206" s="1656"/>
      <c r="AL206" s="1656">
        <f>SUMPRODUCT(H207:H207,Z207:Z207)</f>
        <v>668.21461830912006</v>
      </c>
      <c r="AM206" s="1781" t="s">
        <v>1968</v>
      </c>
      <c r="AN206" s="1781"/>
      <c r="AO206" s="1781"/>
    </row>
    <row r="207" spans="1:41" s="1599" customFormat="1" ht="30">
      <c r="A207" s="1805"/>
      <c r="B207" s="1799" t="s">
        <v>2076</v>
      </c>
      <c r="C207" s="1779" t="s">
        <v>1969</v>
      </c>
      <c r="D207" s="1780">
        <f>H207</f>
        <v>6.0887304000000011</v>
      </c>
      <c r="E207" s="1622">
        <f>N207*'REKAP RAB'!$O$5</f>
        <v>5405875.6086133011</v>
      </c>
      <c r="F207" s="1682">
        <f>D207*E207</f>
        <v>32914919.156782314</v>
      </c>
      <c r="G207" s="1681"/>
      <c r="H207" s="1780">
        <f>SUM('REKAP Plat'!G48:G49)</f>
        <v>6.0887304000000011</v>
      </c>
      <c r="I207" s="1667">
        <f t="shared" ref="I207" si="241">AF207</f>
        <v>3094307.3526418274</v>
      </c>
      <c r="J207" s="1666">
        <f t="shared" ref="J207" si="242">AG207</f>
        <v>1250000</v>
      </c>
      <c r="K207" s="1666">
        <f t="shared" ref="K207" si="243">AH207</f>
        <v>356454.04615234758</v>
      </c>
      <c r="L207" s="1666"/>
      <c r="M207" s="1665"/>
      <c r="N207" s="1664">
        <f>SUM(I207:M207)</f>
        <v>4700761.3987941751</v>
      </c>
      <c r="O207" s="1664">
        <f>H207*N207</f>
        <v>28621668.831984624</v>
      </c>
      <c r="P207" s="1673"/>
      <c r="R207" s="1670">
        <f>Analisa!F$217</f>
        <v>1223775</v>
      </c>
      <c r="S207" s="1670">
        <f>Analisa!G$217</f>
        <v>1250000</v>
      </c>
      <c r="T207" s="1670">
        <f>Analisa!H$217</f>
        <v>90000</v>
      </c>
      <c r="V207" s="1656">
        <f>'REKAP Plat'!U48</f>
        <v>7.5450517566026551</v>
      </c>
      <c r="W207" s="1670">
        <f>Analisa!F$153</f>
        <v>96024.305555555562</v>
      </c>
      <c r="X207" s="1670">
        <f>Analisa!H$153</f>
        <v>35315.072016460901</v>
      </c>
      <c r="Y207" s="1781"/>
      <c r="Z207" s="1656">
        <f>'REKAP Plat'!V48</f>
        <v>109.74613333333332</v>
      </c>
      <c r="AA207" s="1670">
        <f>Analisa!$F$233</f>
        <v>10442.5</v>
      </c>
      <c r="AB207" s="1670"/>
      <c r="AC207" s="1670"/>
      <c r="AD207" s="1781"/>
      <c r="AE207" s="1781"/>
      <c r="AF207" s="1670">
        <f>R207+V207*W207+Z207*AA207</f>
        <v>3094307.3526418274</v>
      </c>
      <c r="AG207" s="1670">
        <f>S207</f>
        <v>1250000</v>
      </c>
      <c r="AH207" s="1670">
        <f>T207+V207*X207</f>
        <v>356454.04615234758</v>
      </c>
      <c r="AI207" s="1670"/>
      <c r="AJ207" s="1656"/>
      <c r="AK207" s="1656"/>
      <c r="AL207" s="1656"/>
      <c r="AM207" s="1781"/>
      <c r="AN207" s="1781"/>
      <c r="AO207" s="1781"/>
    </row>
    <row r="208" spans="1:41" s="1599" customFormat="1" ht="18.75" customHeight="1">
      <c r="A208" s="1805"/>
      <c r="B208" s="1799"/>
      <c r="C208" s="1779"/>
      <c r="D208" s="1780"/>
      <c r="E208" s="1687"/>
      <c r="F208" s="1691"/>
      <c r="G208" s="1690"/>
      <c r="H208" s="1780"/>
      <c r="I208" s="1667"/>
      <c r="J208" s="1666"/>
      <c r="K208" s="1666"/>
      <c r="L208" s="1666"/>
      <c r="M208" s="1665"/>
      <c r="N208" s="1664"/>
      <c r="O208" s="1689"/>
      <c r="P208" s="1804"/>
      <c r="R208" s="1670"/>
      <c r="S208" s="1670"/>
      <c r="T208" s="1670"/>
      <c r="V208" s="1656"/>
      <c r="W208" s="1781"/>
      <c r="X208" s="1781"/>
      <c r="Y208" s="1781"/>
      <c r="Z208" s="1656"/>
      <c r="AA208" s="1781"/>
      <c r="AB208" s="1781"/>
      <c r="AC208" s="1781"/>
      <c r="AD208" s="1781"/>
      <c r="AE208" s="1781"/>
      <c r="AF208" s="1781"/>
      <c r="AG208" s="1781"/>
      <c r="AI208" s="1781"/>
      <c r="AJ208" s="1781"/>
      <c r="AK208" s="1781"/>
      <c r="AL208" s="1781"/>
      <c r="AM208" s="1781"/>
      <c r="AN208" s="1781"/>
      <c r="AO208" s="1781"/>
    </row>
    <row r="209" spans="1:41" s="1599" customFormat="1" ht="18.75" customHeight="1">
      <c r="A209" s="1810">
        <v>2</v>
      </c>
      <c r="B209" s="1809" t="s">
        <v>2074</v>
      </c>
      <c r="C209" s="1779" t="s">
        <v>354</v>
      </c>
      <c r="D209" s="1780"/>
      <c r="E209" s="1803"/>
      <c r="F209" s="1803"/>
      <c r="G209" s="1804"/>
      <c r="H209" s="1780"/>
      <c r="I209" s="1667"/>
      <c r="J209" s="1666"/>
      <c r="K209" s="1666"/>
      <c r="L209" s="1666"/>
      <c r="M209" s="1665"/>
      <c r="N209" s="1664"/>
      <c r="O209" s="1664"/>
      <c r="P209" s="1804"/>
      <c r="R209" s="1656"/>
      <c r="S209" s="1656"/>
      <c r="T209" s="1656"/>
      <c r="V209" s="1656"/>
      <c r="W209" s="1781"/>
      <c r="X209" s="1781"/>
      <c r="Y209" s="1781"/>
      <c r="Z209" s="1656"/>
      <c r="AA209" s="1781"/>
      <c r="AB209" s="1781"/>
      <c r="AC209" s="1781"/>
      <c r="AD209" s="1781"/>
      <c r="AE209" s="1781"/>
      <c r="AF209" s="1781"/>
      <c r="AG209" s="1781"/>
      <c r="AI209" s="1781"/>
      <c r="AJ209" s="1656">
        <f>SUMPRODUCT(H210:H218,V210:V218)</f>
        <v>196.34635</v>
      </c>
      <c r="AK209" s="1656"/>
      <c r="AL209" s="1656">
        <f>SUMPRODUCT(H210:H218,Z210:Z218)</f>
        <v>2553.9420549015003</v>
      </c>
      <c r="AM209" s="1684" t="s">
        <v>1968</v>
      </c>
      <c r="AN209" s="1781"/>
      <c r="AO209" s="1781"/>
    </row>
    <row r="210" spans="1:41" s="1599" customFormat="1" ht="18">
      <c r="A210" s="1805"/>
      <c r="B210" s="1778" t="str">
        <f t="shared" ref="B210:B214" si="244">CONCATENATE(" - Balok ",G210)</f>
        <v xml:space="preserve"> - Balok B4-1</v>
      </c>
      <c r="C210" s="1779" t="s">
        <v>1969</v>
      </c>
      <c r="D210" s="1780">
        <f>H210*'REKAP RAB'!$K$3</f>
        <v>1.8280599999999998</v>
      </c>
      <c r="E210" s="1622">
        <f>N210*'REKAP RAB'!$O$5</f>
        <v>11697682.870949915</v>
      </c>
      <c r="F210" s="1682">
        <f t="shared" ref="F210:F214" si="245">D210*E210</f>
        <v>21384066.149068698</v>
      </c>
      <c r="G210" s="1681" t="s">
        <v>2286</v>
      </c>
      <c r="H210" s="1780">
        <f>'REKAP Balok'!G322</f>
        <v>1.8280599999999998</v>
      </c>
      <c r="I210" s="1667">
        <f t="shared" ref="I210:I214" si="246">AF210</f>
        <v>7670846.7330538118</v>
      </c>
      <c r="J210" s="1666">
        <f t="shared" ref="J210:J214" si="247">AG210</f>
        <v>1500000</v>
      </c>
      <c r="K210" s="1666">
        <f t="shared" ref="K210:K214" si="248">AH210</f>
        <v>1001051.4155982906</v>
      </c>
      <c r="L210" s="1666"/>
      <c r="M210" s="1665"/>
      <c r="N210" s="1664">
        <f t="shared" ref="N210:N214" si="249">SUM(I210:M210)</f>
        <v>10171898.148652101</v>
      </c>
      <c r="O210" s="1664">
        <f t="shared" ref="O210:O214" si="250">H210*N210</f>
        <v>18594840.129624959</v>
      </c>
      <c r="P210" s="1670"/>
      <c r="R210" s="1670">
        <f>Analisa!$F$201</f>
        <v>1223775</v>
      </c>
      <c r="S210" s="1670">
        <f>Analisa!$G$201</f>
        <v>1500000</v>
      </c>
      <c r="T210" s="1670">
        <f>Analisa!$H$201</f>
        <v>90000</v>
      </c>
      <c r="V210" s="1656">
        <f>'REKAP Balok'!W322</f>
        <v>17.884615384615387</v>
      </c>
      <c r="W210" s="1688">
        <f>Analisa!$F$143</f>
        <v>284712.5</v>
      </c>
      <c r="X210" s="1688">
        <f>Analisa!$H$143</f>
        <v>50940.509259259255</v>
      </c>
      <c r="Y210" s="1781"/>
      <c r="Z210" s="1656">
        <f>'REKAP Balok'!X322</f>
        <v>129.76760118376862</v>
      </c>
      <c r="AA210" s="1670">
        <f>Analisa!$F$233</f>
        <v>10442.5</v>
      </c>
      <c r="AB210" s="1670"/>
      <c r="AC210" s="1670"/>
      <c r="AD210" s="1781"/>
      <c r="AE210" s="1781"/>
      <c r="AF210" s="1670">
        <f t="shared" ref="AF210:AF214" si="251">R210+V210*W210+Z210*AA210</f>
        <v>7670846.7330538118</v>
      </c>
      <c r="AG210" s="1670">
        <f t="shared" ref="AG210:AG214" si="252">S210</f>
        <v>1500000</v>
      </c>
      <c r="AH210" s="1670">
        <f t="shared" ref="AH210:AH214" si="253">T210+V210*X210</f>
        <v>1001051.4155982906</v>
      </c>
      <c r="AI210" s="1670"/>
      <c r="AJ210" s="1656"/>
      <c r="AK210" s="1656"/>
      <c r="AL210" s="1656"/>
      <c r="AM210" s="1684"/>
      <c r="AN210" s="1781"/>
      <c r="AO210" s="1781"/>
    </row>
    <row r="211" spans="1:41" s="1599" customFormat="1" ht="18">
      <c r="A211" s="1805"/>
      <c r="B211" s="1778" t="str">
        <f t="shared" si="244"/>
        <v xml:space="preserve"> - Balok B5-1</v>
      </c>
      <c r="C211" s="1779" t="s">
        <v>1969</v>
      </c>
      <c r="D211" s="1780">
        <f>H211*'REKAP RAB'!$K$3</f>
        <v>1.42748125</v>
      </c>
      <c r="E211" s="1622">
        <f>N211*'REKAP RAB'!$O$5</f>
        <v>11667610.348047236</v>
      </c>
      <c r="F211" s="1682">
        <f t="shared" si="245"/>
        <v>16655295.004143404</v>
      </c>
      <c r="G211" s="1681" t="s">
        <v>2287</v>
      </c>
      <c r="H211" s="1780">
        <f>'REKAP Balok'!G323</f>
        <v>1.42748125</v>
      </c>
      <c r="I211" s="1667">
        <f t="shared" si="246"/>
        <v>7715613.0114888018</v>
      </c>
      <c r="J211" s="1666">
        <f t="shared" si="247"/>
        <v>1500000</v>
      </c>
      <c r="K211" s="1666">
        <f t="shared" si="248"/>
        <v>930135.11724792386</v>
      </c>
      <c r="L211" s="1666"/>
      <c r="M211" s="1665"/>
      <c r="N211" s="1664">
        <f t="shared" si="249"/>
        <v>10145748.128736727</v>
      </c>
      <c r="O211" s="1664">
        <f t="shared" si="250"/>
        <v>14482865.220994264</v>
      </c>
      <c r="P211" s="1670"/>
      <c r="R211" s="1670">
        <f>Analisa!$F$201</f>
        <v>1223775</v>
      </c>
      <c r="S211" s="1670">
        <f>Analisa!$G$201</f>
        <v>1500000</v>
      </c>
      <c r="T211" s="1670">
        <f>Analisa!$H$201</f>
        <v>90000</v>
      </c>
      <c r="V211" s="1656">
        <f>'REKAP Balok'!W323</f>
        <v>16.492475820610604</v>
      </c>
      <c r="W211" s="1688">
        <f>Analisa!$F$143</f>
        <v>284712.5</v>
      </c>
      <c r="X211" s="1688">
        <f>Analisa!$H$143</f>
        <v>50940.509259259255</v>
      </c>
      <c r="Y211" s="1781"/>
      <c r="Z211" s="1656">
        <f>'REKAP Balok'!X323</f>
        <v>172.01091591220546</v>
      </c>
      <c r="AA211" s="1670">
        <f>Analisa!$F$233</f>
        <v>10442.5</v>
      </c>
      <c r="AB211" s="1670"/>
      <c r="AC211" s="1670"/>
      <c r="AD211" s="1781"/>
      <c r="AE211" s="1781"/>
      <c r="AF211" s="1670">
        <f t="shared" si="251"/>
        <v>7715613.0114888018</v>
      </c>
      <c r="AG211" s="1670">
        <f t="shared" si="252"/>
        <v>1500000</v>
      </c>
      <c r="AH211" s="1670">
        <f t="shared" si="253"/>
        <v>930135.11724792386</v>
      </c>
      <c r="AI211" s="1670"/>
      <c r="AJ211" s="1656"/>
      <c r="AK211" s="1656"/>
      <c r="AL211" s="1656"/>
      <c r="AM211" s="1684"/>
      <c r="AN211" s="1781"/>
      <c r="AO211" s="1781"/>
    </row>
    <row r="212" spans="1:41" s="1599" customFormat="1" ht="18">
      <c r="A212" s="1805"/>
      <c r="B212" s="1778" t="str">
        <f t="shared" ref="B212" si="254">CONCATENATE(" - Balok ",G212)</f>
        <v xml:space="preserve"> - Balok B24-1</v>
      </c>
      <c r="C212" s="1779" t="s">
        <v>1969</v>
      </c>
      <c r="D212" s="1780">
        <f>H212*'REKAP RAB'!$K$3</f>
        <v>5.2828499999999998</v>
      </c>
      <c r="E212" s="1622">
        <f>N212*'REKAP RAB'!$O$5</f>
        <v>9844113.5028242487</v>
      </c>
      <c r="F212" s="1682">
        <f t="shared" ref="F212" si="255">D212*E212</f>
        <v>52004975.018395081</v>
      </c>
      <c r="G212" s="1681" t="s">
        <v>132</v>
      </c>
      <c r="H212" s="1780">
        <f>'REKAP Balok'!G325</f>
        <v>5.2828499999999998</v>
      </c>
      <c r="I212" s="1667">
        <f t="shared" ref="I212" si="256">AF212</f>
        <v>6385828.3123708628</v>
      </c>
      <c r="J212" s="1666">
        <f t="shared" ref="J212" si="257">AG212</f>
        <v>1500000</v>
      </c>
      <c r="K212" s="1666">
        <f t="shared" ref="K212" si="258">AH212</f>
        <v>674270.38573718106</v>
      </c>
      <c r="L212" s="1666"/>
      <c r="M212" s="1665"/>
      <c r="N212" s="1664">
        <f t="shared" ref="N212" si="259">SUM(I212:M212)</f>
        <v>8560098.6981080435</v>
      </c>
      <c r="O212" s="1664">
        <f t="shared" ref="O212" si="260">H212*N212</f>
        <v>45221717.407300077</v>
      </c>
      <c r="P212" s="1670"/>
      <c r="R212" s="1670">
        <f>Analisa!$F$201</f>
        <v>1223775</v>
      </c>
      <c r="S212" s="1670">
        <f>Analisa!$G$201</f>
        <v>1500000</v>
      </c>
      <c r="T212" s="1670">
        <f>Analisa!$H$201</f>
        <v>90000</v>
      </c>
      <c r="V212" s="1656">
        <f>'REKAP Balok'!W325</f>
        <v>11.469661262386781</v>
      </c>
      <c r="W212" s="1688">
        <f>Analisa!$F$143</f>
        <v>284712.5</v>
      </c>
      <c r="X212" s="1688">
        <f>Analisa!$H$143</f>
        <v>50940.509259259255</v>
      </c>
      <c r="Y212" s="1781"/>
      <c r="Z212" s="1656">
        <f>'REKAP Balok'!X325</f>
        <v>181.6133473979954</v>
      </c>
      <c r="AA212" s="1670">
        <f>Analisa!$F$233</f>
        <v>10442.5</v>
      </c>
      <c r="AB212" s="1670"/>
      <c r="AC212" s="1670"/>
      <c r="AD212" s="1781"/>
      <c r="AE212" s="1781"/>
      <c r="AF212" s="1670">
        <f t="shared" ref="AF212" si="261">R212+V212*W212+Z212*AA212</f>
        <v>6385828.3123708628</v>
      </c>
      <c r="AG212" s="1670">
        <f t="shared" ref="AG212" si="262">S212</f>
        <v>1500000</v>
      </c>
      <c r="AH212" s="1670">
        <f t="shared" ref="AH212" si="263">T212+V212*X212</f>
        <v>674270.38573718106</v>
      </c>
      <c r="AI212" s="1670"/>
      <c r="AJ212" s="1656"/>
      <c r="AK212" s="1656"/>
      <c r="AL212" s="1656"/>
      <c r="AM212" s="1684"/>
      <c r="AN212" s="1781"/>
      <c r="AO212" s="1781"/>
    </row>
    <row r="213" spans="1:41" s="1599" customFormat="1" ht="18">
      <c r="A213" s="1805"/>
      <c r="B213" s="1778" t="str">
        <f t="shared" si="244"/>
        <v xml:space="preserve"> - Balok B25-1</v>
      </c>
      <c r="C213" s="1779" t="s">
        <v>1969</v>
      </c>
      <c r="D213" s="1780">
        <f>H213*'REKAP RAB'!$K$3</f>
        <v>1.0649999999999999</v>
      </c>
      <c r="E213" s="1622">
        <f>N213*'REKAP RAB'!$O$5</f>
        <v>10145941.397503821</v>
      </c>
      <c r="F213" s="1682">
        <f t="shared" si="245"/>
        <v>10805427.58834157</v>
      </c>
      <c r="G213" s="1681" t="s">
        <v>134</v>
      </c>
      <c r="H213" s="1780">
        <f>'REKAP Balok'!G328</f>
        <v>1.0649999999999999</v>
      </c>
      <c r="I213" s="1667">
        <f t="shared" si="246"/>
        <v>6621271.6258487329</v>
      </c>
      <c r="J213" s="1666">
        <f t="shared" si="247"/>
        <v>1500000</v>
      </c>
      <c r="K213" s="1666">
        <f t="shared" si="248"/>
        <v>701286.11111111101</v>
      </c>
      <c r="L213" s="1666"/>
      <c r="M213" s="1665"/>
      <c r="N213" s="1664">
        <f t="shared" si="249"/>
        <v>8822557.7369598448</v>
      </c>
      <c r="O213" s="1664">
        <f t="shared" si="250"/>
        <v>9396023.9898622334</v>
      </c>
      <c r="P213" s="1670"/>
      <c r="R213" s="1670">
        <f>Analisa!$F$201</f>
        <v>1223775</v>
      </c>
      <c r="S213" s="1670">
        <f>Analisa!$G$201</f>
        <v>1500000</v>
      </c>
      <c r="T213" s="1670">
        <f>Analisa!$H$201</f>
        <v>90000</v>
      </c>
      <c r="V213" s="1656">
        <f>'REKAP Balok'!W328</f>
        <v>12</v>
      </c>
      <c r="W213" s="1688">
        <f>Analisa!$F$143</f>
        <v>284712.5</v>
      </c>
      <c r="X213" s="1688">
        <f>Analisa!$H$143</f>
        <v>50940.509259259255</v>
      </c>
      <c r="Y213" s="1781"/>
      <c r="Z213" s="1656">
        <f>'REKAP Balok'!X328</f>
        <v>189.70041904225354</v>
      </c>
      <c r="AA213" s="1670">
        <f>Analisa!$F$233</f>
        <v>10442.5</v>
      </c>
      <c r="AB213" s="1670"/>
      <c r="AC213" s="1670"/>
      <c r="AD213" s="1781"/>
      <c r="AE213" s="1781"/>
      <c r="AF213" s="1670">
        <f t="shared" si="251"/>
        <v>6621271.6258487329</v>
      </c>
      <c r="AG213" s="1670">
        <f t="shared" si="252"/>
        <v>1500000</v>
      </c>
      <c r="AH213" s="1670">
        <f t="shared" si="253"/>
        <v>701286.11111111101</v>
      </c>
      <c r="AI213" s="1670"/>
      <c r="AJ213" s="1656"/>
      <c r="AK213" s="1656"/>
      <c r="AL213" s="1656"/>
      <c r="AM213" s="1684"/>
      <c r="AN213" s="1781"/>
      <c r="AO213" s="1781"/>
    </row>
    <row r="214" spans="1:41" s="1599" customFormat="1" ht="18">
      <c r="A214" s="1805"/>
      <c r="B214" s="1778" t="str">
        <f t="shared" si="244"/>
        <v xml:space="preserve"> - Balok B2A4A-1</v>
      </c>
      <c r="C214" s="1779" t="s">
        <v>1969</v>
      </c>
      <c r="D214" s="1780">
        <f>H214*'REKAP RAB'!$K$3</f>
        <v>4.9162499999999998</v>
      </c>
      <c r="E214" s="1622">
        <f>N214*'REKAP RAB'!$O$5</f>
        <v>8519462.3168846257</v>
      </c>
      <c r="F214" s="1682">
        <f t="shared" si="245"/>
        <v>41883806.615384042</v>
      </c>
      <c r="G214" s="1681" t="s">
        <v>2290</v>
      </c>
      <c r="H214" s="1780">
        <f>'REKAP Balok'!G330</f>
        <v>4.9162499999999998</v>
      </c>
      <c r="I214" s="1667">
        <f t="shared" si="246"/>
        <v>5297502.895877488</v>
      </c>
      <c r="J214" s="1666">
        <f t="shared" si="247"/>
        <v>1500000</v>
      </c>
      <c r="K214" s="1666">
        <f t="shared" si="248"/>
        <v>610725.20576131693</v>
      </c>
      <c r="L214" s="1666"/>
      <c r="M214" s="1665"/>
      <c r="N214" s="1664">
        <f t="shared" si="249"/>
        <v>7408228.1016388051</v>
      </c>
      <c r="O214" s="1664">
        <f t="shared" si="250"/>
        <v>36420701.404681772</v>
      </c>
      <c r="P214" s="1670"/>
      <c r="R214" s="1670">
        <f>Analisa!$F$201</f>
        <v>1223775</v>
      </c>
      <c r="S214" s="1670">
        <f>Analisa!$G$201</f>
        <v>1500000</v>
      </c>
      <c r="T214" s="1670">
        <f>Analisa!$H$201</f>
        <v>90000</v>
      </c>
      <c r="V214" s="1656">
        <f>'REKAP Balok'!W330</f>
        <v>10.222222222222223</v>
      </c>
      <c r="W214" s="1688">
        <f>Analisa!$F$143</f>
        <v>284712.5</v>
      </c>
      <c r="X214" s="1688">
        <f>Analisa!$H$143</f>
        <v>50940.509259259255</v>
      </c>
      <c r="Y214" s="1781"/>
      <c r="Z214" s="1656">
        <f>'REKAP Balok'!X330</f>
        <v>111.40373008695653</v>
      </c>
      <c r="AA214" s="1670">
        <f>Analisa!$F$233</f>
        <v>10442.5</v>
      </c>
      <c r="AB214" s="1670"/>
      <c r="AC214" s="1670"/>
      <c r="AD214" s="1781"/>
      <c r="AE214" s="1781"/>
      <c r="AF214" s="1670">
        <f t="shared" si="251"/>
        <v>5297502.895877488</v>
      </c>
      <c r="AG214" s="1670">
        <f t="shared" si="252"/>
        <v>1500000</v>
      </c>
      <c r="AH214" s="1670">
        <f t="shared" si="253"/>
        <v>610725.20576131693</v>
      </c>
      <c r="AI214" s="1670"/>
      <c r="AJ214" s="1656"/>
      <c r="AK214" s="1656"/>
      <c r="AL214" s="1656"/>
      <c r="AM214" s="1684"/>
      <c r="AN214" s="1781"/>
      <c r="AO214" s="1781"/>
    </row>
    <row r="215" spans="1:41" s="1599" customFormat="1" ht="15.75">
      <c r="A215" s="1805"/>
      <c r="B215" s="1812"/>
      <c r="C215" s="1779"/>
      <c r="D215" s="1780"/>
      <c r="E215" s="1622"/>
      <c r="F215" s="1682"/>
      <c r="G215" s="1681"/>
      <c r="H215" s="1780"/>
      <c r="I215" s="2017"/>
      <c r="J215" s="1666"/>
      <c r="K215" s="1666"/>
      <c r="L215" s="1666"/>
      <c r="M215" s="1665"/>
      <c r="N215" s="1664"/>
      <c r="O215" s="1664"/>
      <c r="P215" s="1670"/>
      <c r="R215" s="1670"/>
      <c r="S215" s="1670"/>
      <c r="T215" s="1670"/>
      <c r="V215" s="1656"/>
      <c r="W215" s="1688"/>
      <c r="X215" s="1688"/>
      <c r="Y215" s="1781"/>
      <c r="Z215" s="1656"/>
      <c r="AA215" s="1670"/>
      <c r="AB215" s="1670"/>
      <c r="AC215" s="1670"/>
      <c r="AD215" s="1781"/>
      <c r="AE215" s="1781"/>
      <c r="AF215" s="1670"/>
      <c r="AG215" s="1670"/>
      <c r="AH215" s="1670"/>
      <c r="AI215" s="1670"/>
      <c r="AJ215" s="1656"/>
      <c r="AK215" s="1656"/>
      <c r="AL215" s="1656"/>
      <c r="AM215" s="1684"/>
      <c r="AN215" s="1781"/>
      <c r="AO215" s="1781"/>
    </row>
    <row r="216" spans="1:41" s="1599" customFormat="1" ht="18.75" customHeight="1">
      <c r="A216" s="1810">
        <v>5</v>
      </c>
      <c r="B216" s="1809" t="s">
        <v>2073</v>
      </c>
      <c r="C216" s="1779"/>
      <c r="D216" s="1780"/>
      <c r="F216" s="1803"/>
      <c r="G216" s="1804"/>
      <c r="H216" s="1780"/>
      <c r="I216" s="1667"/>
      <c r="J216" s="1666"/>
      <c r="K216" s="1666"/>
      <c r="L216" s="1666"/>
      <c r="M216" s="1665"/>
      <c r="N216" s="1664"/>
      <c r="O216" s="1664"/>
      <c r="P216" s="1804"/>
      <c r="R216" s="1670"/>
      <c r="S216" s="1670"/>
      <c r="T216" s="1670"/>
      <c r="V216" s="1656"/>
      <c r="W216" s="1670"/>
      <c r="X216" s="1670"/>
      <c r="Y216" s="1781"/>
      <c r="Z216" s="1656"/>
      <c r="AA216" s="1670"/>
      <c r="AB216" s="1670"/>
      <c r="AC216" s="1670"/>
      <c r="AD216" s="1781"/>
      <c r="AE216" s="1781"/>
      <c r="AF216" s="1670"/>
      <c r="AG216" s="1670"/>
      <c r="AH216" s="1670"/>
      <c r="AI216" s="1781"/>
      <c r="AJ216" s="1656" t="e">
        <f>SUMPRODUCT(#REF!,#REF!)</f>
        <v>#REF!</v>
      </c>
      <c r="AK216" s="1656"/>
      <c r="AL216" s="1656" t="e">
        <f>SUMPRODUCT(#REF!,#REF!)</f>
        <v>#REF!</v>
      </c>
      <c r="AM216" s="1781" t="s">
        <v>1968</v>
      </c>
      <c r="AN216" s="1781"/>
      <c r="AO216" s="1781"/>
    </row>
    <row r="217" spans="1:41" s="1599" customFormat="1" ht="18">
      <c r="A217" s="1805"/>
      <c r="B217" s="1815" t="s">
        <v>2321</v>
      </c>
      <c r="C217" s="1779" t="s">
        <v>1969</v>
      </c>
      <c r="D217" s="1780">
        <f>H217*'REKAP RAB'!$K$3</f>
        <v>1.2361499999999999</v>
      </c>
      <c r="E217" s="1622">
        <f>N217*'REKAP RAB'!$O$5</f>
        <v>8180432.6161937602</v>
      </c>
      <c r="F217" s="1682">
        <f>D217*E217</f>
        <v>10112241.778507916</v>
      </c>
      <c r="G217" s="1681"/>
      <c r="H217" s="1780">
        <f>'Retaining Wall'!C172</f>
        <v>1.2361499999999999</v>
      </c>
      <c r="I217" s="1667">
        <f t="shared" ref="I217:J217" si="264">AF217</f>
        <v>5698419.6662554443</v>
      </c>
      <c r="J217" s="1666">
        <f t="shared" si="264"/>
        <v>1200000</v>
      </c>
      <c r="K217" s="1666">
        <f t="shared" ref="K217" si="265">AH217</f>
        <v>215000</v>
      </c>
      <c r="L217" s="1666"/>
      <c r="M217" s="1665"/>
      <c r="N217" s="1664">
        <f>SUM(I217:M217)</f>
        <v>7113419.6662554443</v>
      </c>
      <c r="O217" s="1664">
        <f>H217*N217</f>
        <v>8793253.7204416674</v>
      </c>
      <c r="P217" s="1670"/>
      <c r="R217" s="1670">
        <f>Analisa!$F$225</f>
        <v>1223775</v>
      </c>
      <c r="S217" s="1670">
        <f>Analisa!$G$225</f>
        <v>1200000</v>
      </c>
      <c r="T217" s="1670">
        <f>Analisa!$H$225</f>
        <v>215000</v>
      </c>
      <c r="V217" s="1656">
        <f>'Retaining Wall'!L172</f>
        <v>13.333333333333334</v>
      </c>
      <c r="W217" s="1670">
        <f>Analisa!F$162</f>
        <v>106232.63888888889</v>
      </c>
      <c r="X217" s="1670"/>
      <c r="Y217" s="1781"/>
      <c r="Z217" s="1656">
        <f>'Retaining Wall'!M172</f>
        <v>292.86181288678563</v>
      </c>
      <c r="AA217" s="1670">
        <f>Analisa!$F$233</f>
        <v>10442.5</v>
      </c>
      <c r="AB217" s="1670"/>
      <c r="AC217" s="1670"/>
      <c r="AD217" s="1781"/>
      <c r="AE217" s="1781"/>
      <c r="AF217" s="1670">
        <f>R217+V217*W217+Z217*AA217</f>
        <v>5698419.6662554443</v>
      </c>
      <c r="AG217" s="1670">
        <f>S217</f>
        <v>1200000</v>
      </c>
      <c r="AH217" s="1670">
        <f>T217+V217*X217</f>
        <v>215000</v>
      </c>
      <c r="AI217" s="1670"/>
      <c r="AJ217" s="1656"/>
      <c r="AK217" s="1656"/>
      <c r="AL217" s="1656"/>
      <c r="AM217" s="1814"/>
      <c r="AN217" s="1781"/>
      <c r="AO217" s="1781"/>
    </row>
    <row r="218" spans="1:41" s="1599" customFormat="1" ht="18.75" customHeight="1" thickBot="1">
      <c r="A218" s="1798"/>
      <c r="B218" s="1815"/>
      <c r="C218" s="1779"/>
      <c r="D218" s="1780"/>
      <c r="E218" s="1622"/>
      <c r="F218" s="1669"/>
      <c r="G218" s="1668"/>
      <c r="H218" s="1780"/>
      <c r="I218" s="1667"/>
      <c r="J218" s="1666"/>
      <c r="K218" s="1666"/>
      <c r="L218" s="1666"/>
      <c r="M218" s="1665"/>
      <c r="N218" s="1664"/>
      <c r="O218" s="1664"/>
      <c r="P218" s="1804"/>
      <c r="R218" s="1671"/>
      <c r="S218" s="1671"/>
      <c r="T218" s="1671"/>
      <c r="V218" s="1656"/>
      <c r="W218" s="1781"/>
      <c r="X218" s="1781"/>
      <c r="Y218" s="1781"/>
      <c r="Z218" s="1656"/>
      <c r="AA218" s="1781"/>
      <c r="AB218" s="1781"/>
      <c r="AC218" s="1781"/>
      <c r="AD218" s="1781"/>
      <c r="AE218" s="1781"/>
      <c r="AF218" s="1781"/>
      <c r="AG218" s="1781"/>
      <c r="AI218" s="1781"/>
      <c r="AJ218" s="1781"/>
      <c r="AK218" s="1781"/>
      <c r="AL218" s="1781"/>
      <c r="AM218" s="1781"/>
      <c r="AN218" s="1781"/>
      <c r="AO218" s="1781"/>
    </row>
    <row r="219" spans="1:41" s="1599" customFormat="1" ht="18.75" customHeight="1" thickBot="1">
      <c r="A219" s="2220" t="s">
        <v>1967</v>
      </c>
      <c r="B219" s="2221"/>
      <c r="C219" s="2221"/>
      <c r="D219" s="2221"/>
      <c r="E219" s="2222"/>
      <c r="F219" s="1658">
        <f>SUM(F202:F218)</f>
        <v>185760731.31062302</v>
      </c>
      <c r="G219" s="1627"/>
      <c r="H219" s="1680"/>
      <c r="I219" s="1679"/>
      <c r="J219" s="1678"/>
      <c r="K219" s="1678"/>
      <c r="L219" s="1678"/>
      <c r="M219" s="1677"/>
      <c r="N219" s="1676"/>
      <c r="O219" s="1658">
        <f>SUM(O202:O218)</f>
        <v>161531070.7048896</v>
      </c>
      <c r="P219" s="1804"/>
      <c r="R219" s="1671"/>
      <c r="S219" s="1671"/>
      <c r="T219" s="1671"/>
      <c r="V219" s="1656"/>
      <c r="W219" s="1781"/>
      <c r="X219" s="1781"/>
      <c r="Y219" s="1781"/>
      <c r="Z219" s="1656"/>
      <c r="AA219" s="1781"/>
      <c r="AB219" s="1781"/>
      <c r="AC219" s="1781"/>
      <c r="AD219" s="1781"/>
      <c r="AE219" s="1781"/>
      <c r="AF219" s="1781"/>
      <c r="AG219" s="1781"/>
      <c r="AI219" s="1781"/>
      <c r="AJ219" s="1781"/>
      <c r="AK219" s="1781"/>
      <c r="AL219" s="1781"/>
      <c r="AM219" s="1781"/>
      <c r="AN219" s="1781"/>
      <c r="AO219" s="1781"/>
    </row>
    <row r="220" spans="1:41" s="1599" customFormat="1" ht="18.75" customHeight="1">
      <c r="A220" s="2004"/>
      <c r="B220" s="2004"/>
      <c r="C220" s="2004"/>
      <c r="D220" s="2004"/>
      <c r="E220" s="2004"/>
      <c r="F220" s="2000"/>
      <c r="G220" s="1627"/>
      <c r="H220" s="1675"/>
      <c r="I220" s="2001"/>
      <c r="J220" s="2002"/>
      <c r="K220" s="2002"/>
      <c r="L220" s="2002"/>
      <c r="M220" s="2003"/>
      <c r="N220" s="1674"/>
      <c r="O220" s="2000"/>
      <c r="P220" s="1804"/>
      <c r="R220" s="1671"/>
      <c r="S220" s="1671"/>
      <c r="T220" s="1671"/>
      <c r="V220" s="1656"/>
      <c r="W220" s="1781"/>
      <c r="X220" s="1781"/>
      <c r="Y220" s="1781"/>
      <c r="Z220" s="1656"/>
      <c r="AA220" s="1781"/>
      <c r="AB220" s="1781"/>
      <c r="AC220" s="1781"/>
      <c r="AD220" s="1781"/>
      <c r="AE220" s="1781"/>
      <c r="AF220" s="1781"/>
      <c r="AG220" s="1781"/>
      <c r="AI220" s="1781"/>
      <c r="AJ220" s="1781"/>
      <c r="AK220" s="1781"/>
      <c r="AL220" s="1781"/>
      <c r="AM220" s="1781"/>
      <c r="AN220" s="1781"/>
      <c r="AO220" s="1781"/>
    </row>
    <row r="221" spans="1:41" s="1599" customFormat="1" ht="18.75" customHeight="1">
      <c r="A221" s="1800" t="s">
        <v>1925</v>
      </c>
      <c r="B221" s="1801" t="s">
        <v>1966</v>
      </c>
      <c r="C221" s="1779"/>
      <c r="D221" s="1780"/>
      <c r="E221" s="1803"/>
      <c r="F221" s="1675"/>
      <c r="G221" s="1627"/>
      <c r="H221" s="1780"/>
      <c r="I221" s="1667"/>
      <c r="J221" s="1666"/>
      <c r="K221" s="1666"/>
      <c r="L221" s="1666"/>
      <c r="M221" s="1665"/>
      <c r="N221" s="1664"/>
      <c r="O221" s="1674"/>
      <c r="P221" s="1802"/>
      <c r="R221" s="1656"/>
      <c r="S221" s="1656"/>
      <c r="T221" s="1656"/>
      <c r="V221" s="1656"/>
      <c r="W221" s="1781"/>
      <c r="X221" s="1781"/>
      <c r="Y221" s="1781"/>
      <c r="Z221" s="1656"/>
      <c r="AA221" s="1781"/>
      <c r="AB221" s="1781"/>
      <c r="AC221" s="1781"/>
      <c r="AD221" s="1781"/>
      <c r="AE221" s="1781"/>
      <c r="AF221" s="1781"/>
      <c r="AG221" s="1781"/>
      <c r="AI221" s="1781"/>
      <c r="AJ221" s="1781"/>
      <c r="AK221" s="1781"/>
      <c r="AL221" s="1781"/>
      <c r="AM221" s="1781"/>
      <c r="AN221" s="1781"/>
      <c r="AO221" s="1781"/>
    </row>
    <row r="222" spans="1:41" s="1599" customFormat="1" ht="15.75">
      <c r="A222" s="1805"/>
      <c r="B222" s="1818"/>
      <c r="C222" s="1817"/>
      <c r="D222" s="1780"/>
      <c r="E222" s="1682"/>
      <c r="F222" s="1682"/>
      <c r="G222" s="1681"/>
      <c r="H222" s="1780"/>
      <c r="I222" s="1896"/>
      <c r="J222" s="1896"/>
      <c r="K222" s="1666"/>
      <c r="L222" s="1666"/>
      <c r="M222" s="1665"/>
      <c r="N222" s="1664"/>
      <c r="O222" s="1664"/>
      <c r="P222" s="1804"/>
      <c r="R222" s="1670"/>
      <c r="S222" s="1670"/>
      <c r="T222" s="1670"/>
      <c r="V222" s="1656"/>
      <c r="W222" s="1781"/>
      <c r="X222" s="1781"/>
      <c r="Y222" s="1781"/>
      <c r="Z222" s="1656"/>
      <c r="AA222" s="1781"/>
      <c r="AB222" s="1781"/>
      <c r="AC222" s="1781"/>
      <c r="AD222" s="1781"/>
      <c r="AE222" s="1781"/>
      <c r="AF222" s="1670"/>
      <c r="AG222" s="1670"/>
      <c r="AH222" s="1670"/>
      <c r="AI222" s="1781"/>
      <c r="AJ222" s="1781"/>
      <c r="AK222" s="1781"/>
      <c r="AL222" s="1781"/>
      <c r="AM222" s="1781"/>
      <c r="AN222" s="1781"/>
      <c r="AO222" s="1781"/>
    </row>
    <row r="223" spans="1:41" s="1599" customFormat="1" ht="18.75" customHeight="1">
      <c r="A223" s="1800" t="s">
        <v>237</v>
      </c>
      <c r="B223" s="1809" t="s">
        <v>2123</v>
      </c>
      <c r="C223" s="1779"/>
      <c r="D223" s="1780"/>
      <c r="E223" s="1803"/>
      <c r="F223" s="1808"/>
      <c r="G223" s="1802"/>
      <c r="H223" s="1780"/>
      <c r="I223" s="1667"/>
      <c r="J223" s="1667"/>
      <c r="K223" s="1666"/>
      <c r="L223" s="1666"/>
      <c r="M223" s="1665"/>
      <c r="N223" s="1664"/>
      <c r="O223" s="1674"/>
      <c r="P223" s="1802"/>
      <c r="R223" s="1685"/>
      <c r="S223" s="1685"/>
      <c r="T223" s="1685"/>
      <c r="V223" s="1685"/>
      <c r="W223" s="1781"/>
      <c r="X223" s="1781"/>
      <c r="Y223" s="1781"/>
      <c r="Z223" s="1684"/>
      <c r="AA223" s="1781"/>
      <c r="AB223" s="1781"/>
      <c r="AC223" s="1781"/>
      <c r="AD223" s="1781"/>
      <c r="AE223" s="1781"/>
      <c r="AF223" s="1781"/>
      <c r="AG223" s="1781"/>
      <c r="AI223" s="1781"/>
      <c r="AJ223" s="1781"/>
      <c r="AK223" s="1781"/>
      <c r="AL223" s="1781"/>
      <c r="AM223" s="1781"/>
      <c r="AN223" s="1781"/>
      <c r="AO223" s="1781"/>
    </row>
    <row r="224" spans="1:41" s="1599" customFormat="1" ht="15.75">
      <c r="A224" s="1805">
        <v>1</v>
      </c>
      <c r="B224" s="1816" t="s">
        <v>2118</v>
      </c>
      <c r="C224" s="1817" t="s">
        <v>53</v>
      </c>
      <c r="D224" s="1780">
        <f>H224*'REKAP RAB'!$K$3</f>
        <v>1175.9159999999999</v>
      </c>
      <c r="E224" s="1682">
        <f>N224*'REKAP RAB'!$O$6</f>
        <v>34500</v>
      </c>
      <c r="F224" s="1682">
        <f>D224*E224</f>
        <v>40569102</v>
      </c>
      <c r="G224" s="1681"/>
      <c r="H224" s="1780">
        <f>'PROSES BAJA'!F25</f>
        <v>1175.9159999999999</v>
      </c>
      <c r="I224" s="1667"/>
      <c r="J224" s="1667"/>
      <c r="K224" s="1666"/>
      <c r="L224" s="1666">
        <v>30000</v>
      </c>
      <c r="M224" s="1665"/>
      <c r="N224" s="1664">
        <f>SUM(I224:M224)</f>
        <v>30000</v>
      </c>
      <c r="O224" s="1664">
        <f>(ROUNDUP(H224/'TABEL BAJA'!I15,0)*'TABEL BAJA'!I15)*N224</f>
        <v>35280000</v>
      </c>
      <c r="P224" s="1804"/>
      <c r="R224" s="1670"/>
      <c r="S224" s="1670"/>
      <c r="T224" s="1670"/>
      <c r="V224" s="1656"/>
      <c r="W224" s="1781"/>
      <c r="X224" s="1781"/>
      <c r="Y224" s="1781"/>
      <c r="Z224" s="1656"/>
      <c r="AA224" s="1781"/>
      <c r="AB224" s="1781"/>
      <c r="AC224" s="1781"/>
      <c r="AD224" s="1781"/>
      <c r="AE224" s="1781"/>
      <c r="AF224" s="1670"/>
      <c r="AG224" s="1670"/>
      <c r="AH224" s="1670"/>
      <c r="AI224" s="1781"/>
      <c r="AJ224" s="1781"/>
      <c r="AK224" s="1781"/>
      <c r="AL224" s="1781"/>
      <c r="AM224" s="1781"/>
      <c r="AN224" s="1781"/>
      <c r="AO224" s="1781"/>
    </row>
    <row r="225" spans="1:41" s="1599" customFormat="1" ht="15.75">
      <c r="A225" s="1805">
        <v>2</v>
      </c>
      <c r="B225" s="1816" t="s">
        <v>2204</v>
      </c>
      <c r="C225" s="1817" t="s">
        <v>53</v>
      </c>
      <c r="D225" s="1780">
        <f>H225*'REKAP RAB'!$K$3</f>
        <v>914.1</v>
      </c>
      <c r="E225" s="1682">
        <f>N225*'REKAP RAB'!$O$6</f>
        <v>29899.999999999996</v>
      </c>
      <c r="F225" s="1682">
        <f>D225*E225</f>
        <v>27331589.999999996</v>
      </c>
      <c r="G225" s="1681"/>
      <c r="H225" s="1780">
        <f>'PROSES BAJA'!F27</f>
        <v>914.1</v>
      </c>
      <c r="I225" s="1667"/>
      <c r="J225" s="1667"/>
      <c r="K225" s="1666"/>
      <c r="L225" s="1666">
        <v>26000</v>
      </c>
      <c r="M225" s="1665"/>
      <c r="N225" s="1664">
        <f>SUM(I225:M225)</f>
        <v>26000</v>
      </c>
      <c r="O225" s="1664">
        <f>(ROUNDUP(H225/'TABEL BAJA'!I112,0)*'TABEL BAJA'!I112)*N225</f>
        <v>23936640.000000004</v>
      </c>
      <c r="P225" s="1804"/>
      <c r="R225" s="1670"/>
      <c r="S225" s="1670"/>
      <c r="T225" s="1670"/>
      <c r="V225" s="1656"/>
      <c r="W225" s="1781"/>
      <c r="X225" s="1781"/>
      <c r="Y225" s="1781"/>
      <c r="Z225" s="1656"/>
      <c r="AA225" s="1781"/>
      <c r="AB225" s="1781"/>
      <c r="AC225" s="1781"/>
      <c r="AD225" s="1781"/>
      <c r="AE225" s="1781"/>
      <c r="AF225" s="1670"/>
      <c r="AG225" s="1670"/>
      <c r="AH225" s="1670"/>
      <c r="AI225" s="1781"/>
      <c r="AJ225" s="1781"/>
      <c r="AK225" s="1781"/>
      <c r="AL225" s="1781"/>
      <c r="AM225" s="1781"/>
      <c r="AN225" s="1781"/>
      <c r="AO225" s="1781"/>
    </row>
    <row r="226" spans="1:41" s="1599" customFormat="1" ht="15.75">
      <c r="A226" s="1805">
        <v>3</v>
      </c>
      <c r="B226" s="1816" t="s">
        <v>2203</v>
      </c>
      <c r="C226" s="1817" t="s">
        <v>330</v>
      </c>
      <c r="D226" s="1780">
        <f>H226*'REKAP RAB'!$K$3</f>
        <v>88</v>
      </c>
      <c r="E226" s="1682">
        <f>N226*'REKAP RAB'!$O$6</f>
        <v>106374.99999999999</v>
      </c>
      <c r="F226" s="1682">
        <f>D226*E226</f>
        <v>9360999.9999999981</v>
      </c>
      <c r="G226" s="1681"/>
      <c r="H226" s="1780">
        <f>'PROSES BAJA'!H28</f>
        <v>88</v>
      </c>
      <c r="I226" s="1667"/>
      <c r="J226" s="1667"/>
      <c r="K226" s="1666"/>
      <c r="L226" s="1666">
        <v>92500</v>
      </c>
      <c r="M226" s="1665"/>
      <c r="N226" s="1664">
        <f>SUM(I226:M226)</f>
        <v>92500</v>
      </c>
      <c r="O226" s="1664">
        <f>H226*N226</f>
        <v>8140000</v>
      </c>
      <c r="P226" s="1804"/>
      <c r="R226" s="1670"/>
      <c r="S226" s="1670"/>
      <c r="T226" s="1670"/>
      <c r="V226" s="1656"/>
      <c r="W226" s="1781"/>
      <c r="X226" s="1781"/>
      <c r="Y226" s="1781"/>
      <c r="Z226" s="1656"/>
      <c r="AA226" s="1781"/>
      <c r="AB226" s="1781"/>
      <c r="AC226" s="1781"/>
      <c r="AD226" s="1781"/>
      <c r="AE226" s="1781"/>
      <c r="AF226" s="1670"/>
      <c r="AG226" s="1670"/>
      <c r="AH226" s="1670"/>
      <c r="AI226" s="1781"/>
      <c r="AJ226" s="1781"/>
      <c r="AK226" s="1781"/>
      <c r="AL226" s="1781"/>
      <c r="AM226" s="1781"/>
      <c r="AN226" s="1781"/>
      <c r="AO226" s="1781"/>
    </row>
    <row r="227" spans="1:41" s="1599" customFormat="1" ht="30">
      <c r="A227" s="1805">
        <v>4</v>
      </c>
      <c r="B227" s="1816" t="s">
        <v>2101</v>
      </c>
      <c r="C227" s="1817" t="s">
        <v>352</v>
      </c>
      <c r="D227" s="1780">
        <f>H227</f>
        <v>1</v>
      </c>
      <c r="E227" s="1682">
        <f>N227*'REKAP RAB'!$O$6</f>
        <v>13619827.199999999</v>
      </c>
      <c r="F227" s="1682">
        <f t="shared" ref="F227" si="266">D227*E227</f>
        <v>13619827.199999999</v>
      </c>
      <c r="G227" s="1681"/>
      <c r="H227" s="1780">
        <v>1</v>
      </c>
      <c r="I227" s="1667"/>
      <c r="J227" s="1667"/>
      <c r="K227" s="1786"/>
      <c r="L227" s="1786">
        <f>20%*SUM(O224:O225)</f>
        <v>11843328</v>
      </c>
      <c r="M227" s="1665"/>
      <c r="N227" s="1664">
        <f t="shared" ref="N227" si="267">SUM(I227:M227)</f>
        <v>11843328</v>
      </c>
      <c r="O227" s="1664">
        <f t="shared" ref="O227" si="268">H227*N227</f>
        <v>11843328</v>
      </c>
      <c r="P227" s="1804"/>
      <c r="R227" s="1670"/>
      <c r="S227" s="1670"/>
      <c r="T227" s="1670"/>
      <c r="V227" s="1656"/>
      <c r="W227" s="1781"/>
      <c r="X227" s="1781"/>
      <c r="Y227" s="1781"/>
      <c r="Z227" s="1656"/>
      <c r="AA227" s="1781"/>
      <c r="AB227" s="1781"/>
      <c r="AC227" s="1781"/>
      <c r="AD227" s="1781"/>
      <c r="AE227" s="1781"/>
      <c r="AF227" s="1670"/>
      <c r="AG227" s="1670"/>
      <c r="AH227" s="1670"/>
      <c r="AI227" s="1781"/>
      <c r="AJ227" s="1781"/>
      <c r="AK227" s="1781"/>
      <c r="AL227" s="1781"/>
      <c r="AM227" s="1781"/>
      <c r="AN227" s="1781"/>
      <c r="AO227" s="1781"/>
    </row>
    <row r="228" spans="1:41" s="1599" customFormat="1" ht="18.75" customHeight="1">
      <c r="A228" s="1800"/>
      <c r="B228" s="1809"/>
      <c r="C228" s="1779"/>
      <c r="D228" s="1780"/>
      <c r="E228" s="1803"/>
      <c r="F228" s="1808"/>
      <c r="G228" s="1802"/>
      <c r="H228" s="1780"/>
      <c r="I228" s="1667"/>
      <c r="J228" s="1667"/>
      <c r="K228" s="1666"/>
      <c r="L228" s="1666"/>
      <c r="M228" s="1665"/>
      <c r="N228" s="1664"/>
      <c r="O228" s="1674"/>
      <c r="P228" s="1802"/>
      <c r="R228" s="1685"/>
      <c r="S228" s="1685"/>
      <c r="T228" s="1685"/>
      <c r="V228" s="1685"/>
      <c r="W228" s="1781"/>
      <c r="X228" s="1781"/>
      <c r="Y228" s="1781"/>
      <c r="Z228" s="1684"/>
      <c r="AA228" s="1781"/>
      <c r="AB228" s="1781"/>
      <c r="AC228" s="1781"/>
      <c r="AD228" s="1781"/>
      <c r="AE228" s="1781"/>
      <c r="AF228" s="1781"/>
      <c r="AG228" s="1781"/>
      <c r="AI228" s="1781"/>
      <c r="AJ228" s="1781"/>
      <c r="AK228" s="1781"/>
      <c r="AL228" s="1781"/>
      <c r="AM228" s="1781"/>
      <c r="AN228" s="1781"/>
      <c r="AO228" s="1781"/>
    </row>
    <row r="229" spans="1:41" s="1599" customFormat="1" ht="18.75" customHeight="1">
      <c r="A229" s="1800" t="s">
        <v>151</v>
      </c>
      <c r="B229" s="2160" t="s">
        <v>1965</v>
      </c>
      <c r="C229" s="1779"/>
      <c r="D229" s="1780"/>
      <c r="E229" s="1803"/>
      <c r="F229" s="1808"/>
      <c r="G229" s="1802"/>
      <c r="H229" s="1780"/>
      <c r="I229" s="1667"/>
      <c r="J229" s="1667"/>
      <c r="K229" s="1666"/>
      <c r="L229" s="1666"/>
      <c r="M229" s="1665"/>
      <c r="N229" s="1664"/>
      <c r="O229" s="1674"/>
      <c r="P229" s="1802"/>
      <c r="R229" s="1685"/>
      <c r="S229" s="1685"/>
      <c r="T229" s="1685"/>
      <c r="V229" s="1685"/>
      <c r="W229" s="1781"/>
      <c r="X229" s="1781"/>
      <c r="Y229" s="1781"/>
      <c r="Z229" s="1684"/>
      <c r="AA229" s="1781"/>
      <c r="AB229" s="1781"/>
      <c r="AC229" s="1781"/>
      <c r="AD229" s="1781"/>
      <c r="AE229" s="1781"/>
      <c r="AF229" s="1781"/>
      <c r="AG229" s="1781"/>
      <c r="AI229" s="1781"/>
      <c r="AJ229" s="1781"/>
      <c r="AK229" s="1781"/>
      <c r="AL229" s="1781"/>
      <c r="AM229" s="1781"/>
      <c r="AN229" s="1781"/>
      <c r="AO229" s="1781"/>
    </row>
    <row r="230" spans="1:41" s="1599" customFormat="1" ht="15.75">
      <c r="A230" s="1805">
        <v>1</v>
      </c>
      <c r="B230" s="2161" t="s">
        <v>2356</v>
      </c>
      <c r="C230" s="1817" t="s">
        <v>49</v>
      </c>
      <c r="D230" s="1780">
        <f>H230*'REKAP RAB'!$K$3</f>
        <v>144.60548850000001</v>
      </c>
      <c r="E230" s="1682">
        <f>N230*'REKAP RAB'!$O$6</f>
        <v>287500</v>
      </c>
      <c r="F230" s="1682">
        <f>D230*E230</f>
        <v>41574077.943750001</v>
      </c>
      <c r="G230" s="1681"/>
      <c r="H230" s="1780">
        <f>H231</f>
        <v>144.60548850000001</v>
      </c>
      <c r="I230" s="1667"/>
      <c r="J230" s="1667"/>
      <c r="K230" s="1666"/>
      <c r="L230" s="1666">
        <v>250000</v>
      </c>
      <c r="M230" s="1665"/>
      <c r="N230" s="1664">
        <f>SUM(I230:M230)</f>
        <v>250000</v>
      </c>
      <c r="O230" s="1664">
        <f t="shared" ref="O230:O231" si="269">H230*N230</f>
        <v>36151372.125</v>
      </c>
      <c r="P230" s="1804"/>
      <c r="R230" s="1670"/>
      <c r="S230" s="1670"/>
      <c r="T230" s="1670"/>
      <c r="V230" s="1656"/>
      <c r="W230" s="1781"/>
      <c r="X230" s="1781"/>
      <c r="Y230" s="1781"/>
      <c r="Z230" s="1656"/>
      <c r="AA230" s="1781"/>
      <c r="AB230" s="1781"/>
      <c r="AC230" s="1781"/>
      <c r="AD230" s="1781"/>
      <c r="AE230" s="1781"/>
      <c r="AF230" s="1670"/>
      <c r="AG230" s="1670"/>
      <c r="AH230" s="1670"/>
      <c r="AI230" s="1781"/>
      <c r="AJ230" s="1781"/>
      <c r="AK230" s="1781"/>
      <c r="AL230" s="1781"/>
      <c r="AM230" s="1781"/>
      <c r="AN230" s="1781"/>
      <c r="AO230" s="1781"/>
    </row>
    <row r="231" spans="1:41" s="1599" customFormat="1" ht="45">
      <c r="A231" s="1805">
        <v>2</v>
      </c>
      <c r="B231" s="2161" t="s">
        <v>2205</v>
      </c>
      <c r="C231" s="1817" t="s">
        <v>49</v>
      </c>
      <c r="D231" s="1780">
        <f>H231*'REKAP RAB'!$K$3</f>
        <v>144.60548850000001</v>
      </c>
      <c r="E231" s="1682">
        <f>N231*'REKAP RAB'!$O$6</f>
        <v>747500</v>
      </c>
      <c r="F231" s="1682">
        <f>D231*E231</f>
        <v>108092602.65375</v>
      </c>
      <c r="G231" s="1681"/>
      <c r="H231" s="1780">
        <f>131.459535*1.1</f>
        <v>144.60548850000001</v>
      </c>
      <c r="I231" s="1667"/>
      <c r="J231" s="1667"/>
      <c r="K231" s="1666"/>
      <c r="L231" s="1666">
        <v>650000</v>
      </c>
      <c r="M231" s="1665"/>
      <c r="N231" s="1664">
        <f>SUM(I231:M231)</f>
        <v>650000</v>
      </c>
      <c r="O231" s="1664">
        <f t="shared" si="269"/>
        <v>93993567.525000006</v>
      </c>
      <c r="P231" s="1804"/>
      <c r="R231" s="1670"/>
      <c r="S231" s="1670"/>
      <c r="T231" s="1670"/>
      <c r="V231" s="1656"/>
      <c r="W231" s="1781"/>
      <c r="X231" s="1781"/>
      <c r="Y231" s="1781"/>
      <c r="Z231" s="1656"/>
      <c r="AA231" s="1781"/>
      <c r="AB231" s="1781"/>
      <c r="AC231" s="1781"/>
      <c r="AD231" s="1781"/>
      <c r="AE231" s="1781"/>
      <c r="AF231" s="1670"/>
      <c r="AG231" s="1670"/>
      <c r="AH231" s="1670"/>
      <c r="AI231" s="1781"/>
      <c r="AJ231" s="1781"/>
      <c r="AK231" s="1781"/>
      <c r="AL231" s="1781"/>
      <c r="AM231" s="1781"/>
      <c r="AN231" s="1781"/>
      <c r="AO231" s="1781"/>
    </row>
    <row r="232" spans="1:41" s="1599" customFormat="1" ht="18.75" customHeight="1">
      <c r="A232" s="1800"/>
      <c r="B232" s="2160"/>
      <c r="C232" s="1779"/>
      <c r="D232" s="1780"/>
      <c r="E232" s="1803"/>
      <c r="F232" s="1808"/>
      <c r="G232" s="1802"/>
      <c r="H232" s="1780"/>
      <c r="I232" s="1667"/>
      <c r="J232" s="1667"/>
      <c r="K232" s="1666"/>
      <c r="L232" s="1666"/>
      <c r="M232" s="1665"/>
      <c r="N232" s="1664"/>
      <c r="O232" s="1674"/>
      <c r="P232" s="1802"/>
      <c r="R232" s="1685"/>
      <c r="S232" s="1685"/>
      <c r="T232" s="1685"/>
      <c r="V232" s="1685"/>
      <c r="W232" s="1781"/>
      <c r="X232" s="1781"/>
      <c r="Y232" s="1781"/>
      <c r="Z232" s="1684"/>
      <c r="AA232" s="1781"/>
      <c r="AB232" s="1781"/>
      <c r="AC232" s="1781"/>
      <c r="AD232" s="1781"/>
      <c r="AE232" s="1781"/>
      <c r="AF232" s="1781"/>
      <c r="AG232" s="1781"/>
      <c r="AI232" s="1781"/>
      <c r="AJ232" s="1781"/>
      <c r="AK232" s="1781"/>
      <c r="AL232" s="1781"/>
      <c r="AM232" s="1781"/>
      <c r="AN232" s="1781"/>
      <c r="AO232" s="1781"/>
    </row>
    <row r="233" spans="1:41" s="1599" customFormat="1" ht="18.75" customHeight="1">
      <c r="A233" s="1800" t="s">
        <v>236</v>
      </c>
      <c r="B233" s="2160" t="s">
        <v>2328</v>
      </c>
      <c r="C233" s="1779"/>
      <c r="D233" s="1780"/>
      <c r="E233" s="1803"/>
      <c r="F233" s="1808"/>
      <c r="G233" s="1802"/>
      <c r="H233" s="1780"/>
      <c r="I233" s="1667"/>
      <c r="J233" s="1667"/>
      <c r="K233" s="1666"/>
      <c r="L233" s="1666"/>
      <c r="M233" s="1665"/>
      <c r="N233" s="1664"/>
      <c r="O233" s="1674"/>
      <c r="P233" s="1802"/>
      <c r="R233" s="1685"/>
      <c r="S233" s="1685"/>
      <c r="T233" s="1685"/>
      <c r="V233" s="1685"/>
      <c r="W233" s="1781"/>
      <c r="X233" s="1781"/>
      <c r="Y233" s="1781"/>
      <c r="Z233" s="1684"/>
      <c r="AA233" s="1781"/>
      <c r="AB233" s="1781"/>
      <c r="AC233" s="1781"/>
      <c r="AD233" s="1781"/>
      <c r="AE233" s="1781"/>
      <c r="AF233" s="1781"/>
      <c r="AG233" s="1781"/>
      <c r="AI233" s="1781"/>
      <c r="AJ233" s="1781"/>
      <c r="AK233" s="1781"/>
      <c r="AL233" s="1781"/>
      <c r="AM233" s="1781"/>
      <c r="AN233" s="1781"/>
      <c r="AO233" s="1781"/>
    </row>
    <row r="234" spans="1:41" s="1599" customFormat="1" ht="30">
      <c r="A234" s="1805">
        <v>1</v>
      </c>
      <c r="B234" s="2161" t="s">
        <v>2357</v>
      </c>
      <c r="C234" s="1817" t="s">
        <v>49</v>
      </c>
      <c r="D234" s="1780">
        <f>H234*'REKAP RAB'!$K$3</f>
        <v>198.70965000000001</v>
      </c>
      <c r="E234" s="1682">
        <f>N234*'REKAP RAB'!$O$6</f>
        <v>575000</v>
      </c>
      <c r="F234" s="1682">
        <f>D234*E234</f>
        <v>114258048.75</v>
      </c>
      <c r="G234" s="1681"/>
      <c r="H234" s="1780">
        <f>H235</f>
        <v>198.70965000000001</v>
      </c>
      <c r="I234" s="1667"/>
      <c r="J234" s="1667"/>
      <c r="K234" s="1666"/>
      <c r="L234" s="1666">
        <v>500000</v>
      </c>
      <c r="M234" s="1665"/>
      <c r="N234" s="1664">
        <f>SUM(I234:M234)</f>
        <v>500000</v>
      </c>
      <c r="O234" s="1664">
        <f t="shared" ref="O234:O235" si="270">H234*N234</f>
        <v>99354825</v>
      </c>
      <c r="P234" s="1804"/>
      <c r="R234" s="1670"/>
      <c r="S234" s="1670"/>
      <c r="T234" s="1670"/>
      <c r="V234" s="1656"/>
      <c r="W234" s="1781"/>
      <c r="X234" s="1781"/>
      <c r="Y234" s="1781"/>
      <c r="Z234" s="1656"/>
      <c r="AA234" s="1781"/>
      <c r="AB234" s="1781"/>
      <c r="AC234" s="1781"/>
      <c r="AD234" s="1781"/>
      <c r="AE234" s="1781"/>
      <c r="AF234" s="1670"/>
      <c r="AG234" s="1670"/>
      <c r="AH234" s="1670"/>
      <c r="AI234" s="1781"/>
      <c r="AJ234" s="1781"/>
      <c r="AK234" s="1781"/>
      <c r="AL234" s="1781"/>
      <c r="AM234" s="1781"/>
      <c r="AN234" s="1781"/>
      <c r="AO234" s="1781"/>
    </row>
    <row r="235" spans="1:41" s="1599" customFormat="1" ht="45">
      <c r="A235" s="1805">
        <v>2</v>
      </c>
      <c r="B235" s="2161" t="s">
        <v>2205</v>
      </c>
      <c r="C235" s="1817" t="s">
        <v>49</v>
      </c>
      <c r="D235" s="1780">
        <f>H235*'REKAP RAB'!$K$3</f>
        <v>198.70965000000001</v>
      </c>
      <c r="E235" s="1682">
        <f>N235*'REKAP RAB'!$O$6</f>
        <v>747500</v>
      </c>
      <c r="F235" s="1682">
        <f>D235*E235</f>
        <v>148535463.375</v>
      </c>
      <c r="G235" s="1681"/>
      <c r="H235" s="1780">
        <f>(57.597)*3.45</f>
        <v>198.70965000000001</v>
      </c>
      <c r="I235" s="1667"/>
      <c r="J235" s="1667"/>
      <c r="K235" s="1666"/>
      <c r="L235" s="1666">
        <v>650000</v>
      </c>
      <c r="M235" s="1665"/>
      <c r="N235" s="1664">
        <f>SUM(I235:M235)</f>
        <v>650000</v>
      </c>
      <c r="O235" s="1664">
        <f t="shared" si="270"/>
        <v>129161272.5</v>
      </c>
      <c r="P235" s="1804">
        <f>74000000/140.1</f>
        <v>528194.14703783009</v>
      </c>
      <c r="R235" s="1670"/>
      <c r="S235" s="1670"/>
      <c r="T235" s="1670"/>
      <c r="V235" s="1656"/>
      <c r="W235" s="1781"/>
      <c r="X235" s="1781"/>
      <c r="Y235" s="1781"/>
      <c r="Z235" s="1656"/>
      <c r="AA235" s="1781"/>
      <c r="AB235" s="1781"/>
      <c r="AC235" s="1781"/>
      <c r="AD235" s="1781"/>
      <c r="AE235" s="1781"/>
      <c r="AF235" s="1670"/>
      <c r="AG235" s="1670"/>
      <c r="AH235" s="1670"/>
      <c r="AI235" s="1781"/>
      <c r="AJ235" s="1781"/>
      <c r="AK235" s="1781"/>
      <c r="AL235" s="1781"/>
      <c r="AM235" s="1781"/>
      <c r="AN235" s="1781"/>
      <c r="AO235" s="1781"/>
    </row>
    <row r="236" spans="1:41" s="1599" customFormat="1" ht="18.75" customHeight="1" thickBot="1">
      <c r="A236" s="1798"/>
      <c r="B236" s="1815"/>
      <c r="C236" s="1779"/>
      <c r="D236" s="1780"/>
      <c r="E236" s="1622"/>
      <c r="F236" s="1669"/>
      <c r="G236" s="1668"/>
      <c r="H236" s="1780"/>
      <c r="I236" s="1667"/>
      <c r="J236" s="1666"/>
      <c r="K236" s="1666"/>
      <c r="L236" s="1666"/>
      <c r="M236" s="1665"/>
      <c r="N236" s="1664"/>
      <c r="O236" s="1664"/>
      <c r="P236" s="1804"/>
      <c r="R236" s="1671"/>
      <c r="S236" s="1671"/>
      <c r="T236" s="1671"/>
      <c r="V236" s="1656"/>
      <c r="W236" s="1781"/>
      <c r="X236" s="1781"/>
      <c r="Y236" s="1781"/>
      <c r="Z236" s="1656"/>
      <c r="AA236" s="1781"/>
      <c r="AB236" s="1781"/>
      <c r="AC236" s="1781"/>
      <c r="AD236" s="1781"/>
      <c r="AE236" s="1781"/>
      <c r="AF236" s="1781"/>
      <c r="AG236" s="1781"/>
      <c r="AI236" s="1781"/>
      <c r="AJ236" s="1781"/>
      <c r="AK236" s="1781"/>
      <c r="AL236" s="1781"/>
      <c r="AM236" s="1781"/>
      <c r="AN236" s="1781"/>
      <c r="AO236" s="1781"/>
    </row>
    <row r="237" spans="1:41" s="1599" customFormat="1" ht="18.75" customHeight="1" thickBot="1">
      <c r="A237" s="2220" t="s">
        <v>1960</v>
      </c>
      <c r="B237" s="2221"/>
      <c r="C237" s="2221"/>
      <c r="D237" s="2221"/>
      <c r="E237" s="2222"/>
      <c r="F237" s="1658">
        <f>SUM(F221:F236)</f>
        <v>503341711.92250001</v>
      </c>
      <c r="G237" s="1627"/>
      <c r="H237" s="1680"/>
      <c r="I237" s="1679"/>
      <c r="J237" s="1678"/>
      <c r="K237" s="1678"/>
      <c r="L237" s="1678"/>
      <c r="M237" s="1677"/>
      <c r="N237" s="1676"/>
      <c r="O237" s="1658">
        <f>SUM(O221:O236)</f>
        <v>437861005.14999998</v>
      </c>
      <c r="P237" s="1804"/>
      <c r="R237" s="1671"/>
      <c r="S237" s="1671"/>
      <c r="T237" s="1671"/>
      <c r="V237" s="1656"/>
      <c r="W237" s="1781"/>
      <c r="X237" s="1781"/>
      <c r="Y237" s="1781"/>
      <c r="Z237" s="1656"/>
      <c r="AA237" s="1781"/>
      <c r="AB237" s="1781"/>
      <c r="AC237" s="1781"/>
      <c r="AD237" s="1781"/>
      <c r="AE237" s="1781"/>
      <c r="AF237" s="1781"/>
      <c r="AG237" s="1781"/>
      <c r="AI237" s="1781"/>
      <c r="AJ237" s="1781"/>
      <c r="AK237" s="1781"/>
      <c r="AL237" s="1781"/>
      <c r="AM237" s="1781"/>
      <c r="AN237" s="1781"/>
      <c r="AO237" s="1781"/>
    </row>
    <row r="238" spans="1:41" s="1599" customFormat="1" ht="18.75" customHeight="1">
      <c r="A238" s="1805"/>
      <c r="B238" s="1799"/>
      <c r="C238" s="1779"/>
      <c r="D238" s="1780"/>
      <c r="E238" s="1683"/>
      <c r="F238" s="1682"/>
      <c r="G238" s="1681"/>
      <c r="H238" s="1780"/>
      <c r="I238" s="1667"/>
      <c r="J238" s="1667"/>
      <c r="K238" s="1666"/>
      <c r="L238" s="1666"/>
      <c r="M238" s="1665"/>
      <c r="N238" s="1664"/>
      <c r="O238" s="1664"/>
      <c r="P238" s="1804"/>
      <c r="R238" s="1670"/>
      <c r="S238" s="1670"/>
      <c r="T238" s="1670"/>
      <c r="V238" s="1656"/>
      <c r="W238" s="1781"/>
      <c r="X238" s="1781"/>
      <c r="Y238" s="1781"/>
      <c r="Z238" s="1656"/>
      <c r="AA238" s="1781"/>
      <c r="AB238" s="1781"/>
      <c r="AC238" s="1781"/>
      <c r="AD238" s="1781"/>
      <c r="AE238" s="1781"/>
      <c r="AF238" s="1670"/>
      <c r="AG238" s="1670"/>
      <c r="AH238" s="1670"/>
      <c r="AI238" s="1781"/>
      <c r="AJ238" s="1781"/>
      <c r="AK238" s="1781"/>
      <c r="AL238" s="1781"/>
      <c r="AM238" s="1781"/>
      <c r="AN238" s="1781"/>
      <c r="AO238" s="1781"/>
    </row>
    <row r="239" spans="1:41" s="1599" customFormat="1" ht="18.75" customHeight="1">
      <c r="A239" s="1800" t="s">
        <v>2334</v>
      </c>
      <c r="B239" s="1819" t="s">
        <v>1964</v>
      </c>
      <c r="C239" s="1779"/>
      <c r="D239" s="1780"/>
      <c r="E239" s="1803"/>
      <c r="F239" s="1675"/>
      <c r="G239" s="1627"/>
      <c r="H239" s="1780"/>
      <c r="I239" s="1667"/>
      <c r="J239" s="1666"/>
      <c r="K239" s="1666"/>
      <c r="L239" s="1666"/>
      <c r="M239" s="1665"/>
      <c r="N239" s="1664"/>
      <c r="O239" s="1674"/>
      <c r="P239" s="1802"/>
      <c r="R239" s="1656"/>
      <c r="S239" s="1656"/>
      <c r="T239" s="1656"/>
      <c r="V239" s="1656"/>
      <c r="W239" s="1781"/>
      <c r="X239" s="1781"/>
      <c r="Y239" s="1781"/>
      <c r="Z239" s="1656"/>
      <c r="AA239" s="1781"/>
      <c r="AB239" s="1781"/>
      <c r="AC239" s="1781"/>
      <c r="AD239" s="1781"/>
      <c r="AE239" s="1781"/>
      <c r="AF239" s="1781"/>
      <c r="AG239" s="1781"/>
      <c r="AI239" s="1781"/>
      <c r="AJ239" s="1781"/>
      <c r="AK239" s="1781"/>
      <c r="AL239" s="1781"/>
      <c r="AM239" s="1781"/>
      <c r="AN239" s="1781"/>
      <c r="AO239" s="1781"/>
    </row>
    <row r="240" spans="1:41" s="1599" customFormat="1" ht="18.75" customHeight="1">
      <c r="A240" s="1798"/>
      <c r="B240" s="1799"/>
      <c r="C240" s="1779"/>
      <c r="D240" s="1780"/>
      <c r="E240" s="1798"/>
      <c r="F240" s="1798"/>
      <c r="H240" s="1780"/>
      <c r="I240" s="1667"/>
      <c r="J240" s="1666"/>
      <c r="K240" s="1666"/>
      <c r="L240" s="1666"/>
      <c r="M240" s="1665"/>
      <c r="N240" s="1664"/>
      <c r="O240" s="1664"/>
      <c r="R240" s="1656"/>
      <c r="S240" s="1656"/>
      <c r="T240" s="1656"/>
      <c r="V240" s="1656"/>
      <c r="W240" s="1781"/>
      <c r="X240" s="1781"/>
      <c r="Y240" s="1781"/>
      <c r="Z240" s="1656"/>
      <c r="AA240" s="1781"/>
      <c r="AB240" s="1781"/>
      <c r="AC240" s="1781"/>
      <c r="AD240" s="1781"/>
      <c r="AE240" s="1781"/>
      <c r="AF240" s="1781"/>
      <c r="AG240" s="1781"/>
      <c r="AI240" s="1781"/>
      <c r="AJ240" s="1781"/>
      <c r="AK240" s="1781"/>
      <c r="AL240" s="1781"/>
      <c r="AM240" s="1781"/>
      <c r="AN240" s="1781"/>
      <c r="AO240" s="1781"/>
    </row>
    <row r="241" spans="1:41" s="1599" customFormat="1" ht="18.75" customHeight="1">
      <c r="A241" s="1800" t="s">
        <v>237</v>
      </c>
      <c r="B241" s="1809" t="s">
        <v>131</v>
      </c>
      <c r="C241" s="1779"/>
      <c r="D241" s="1798"/>
      <c r="E241" s="1798"/>
      <c r="F241" s="1675"/>
      <c r="G241" s="1627"/>
      <c r="H241" s="1798"/>
      <c r="I241" s="1667"/>
      <c r="J241" s="1666"/>
      <c r="K241" s="1666"/>
      <c r="L241" s="1666"/>
      <c r="M241" s="1665"/>
      <c r="N241" s="1664"/>
      <c r="O241" s="1674"/>
      <c r="P241" s="1802"/>
      <c r="R241" s="1656"/>
      <c r="S241" s="1656"/>
      <c r="T241" s="1656"/>
      <c r="V241" s="1656"/>
      <c r="W241" s="1781"/>
      <c r="X241" s="1781"/>
      <c r="Y241" s="1781"/>
      <c r="Z241" s="1656"/>
      <c r="AA241" s="1781"/>
      <c r="AB241" s="1781"/>
      <c r="AC241" s="1781"/>
      <c r="AD241" s="1781"/>
      <c r="AE241" s="1781"/>
      <c r="AF241" s="1781"/>
      <c r="AG241" s="1781"/>
      <c r="AI241" s="1781"/>
      <c r="AJ241" s="1781"/>
      <c r="AK241" s="1781"/>
      <c r="AL241" s="1781"/>
      <c r="AM241" s="1781"/>
      <c r="AN241" s="1781"/>
      <c r="AO241" s="1781"/>
    </row>
    <row r="242" spans="1:41" s="1599" customFormat="1" ht="45">
      <c r="A242" s="1805">
        <v>1</v>
      </c>
      <c r="B242" s="1799" t="s">
        <v>2366</v>
      </c>
      <c r="C242" s="1779" t="s">
        <v>1936</v>
      </c>
      <c r="D242" s="1780">
        <f>H242*'REKAP RAB'!$K$3</f>
        <v>188.07749999999999</v>
      </c>
      <c r="E242" s="1682">
        <f>N242*'REKAP RAB'!$O$7</f>
        <v>224470.22131999998</v>
      </c>
      <c r="F242" s="1682">
        <f t="shared" ref="F242" si="271">D242*E242</f>
        <v>42217798.050312296</v>
      </c>
      <c r="G242" s="1681"/>
      <c r="H242" s="1780">
        <f>'Pas. Dinding'!H131</f>
        <v>188.07749999999999</v>
      </c>
      <c r="I242" s="1667">
        <f>Analisa!$F$412</f>
        <v>105191.49679999999</v>
      </c>
      <c r="J242" s="1666">
        <f>Analisa!$G$412</f>
        <v>90000</v>
      </c>
      <c r="K242" s="1666">
        <f>Analisa!H$421</f>
        <v>0</v>
      </c>
      <c r="L242" s="1666"/>
      <c r="M242" s="1665"/>
      <c r="N242" s="1664">
        <f t="shared" ref="N242" si="272">SUM(I242:M242)</f>
        <v>195191.49679999999</v>
      </c>
      <c r="O242" s="1664">
        <f t="shared" ref="O242" si="273">H242*N242</f>
        <v>36711128.739401996</v>
      </c>
      <c r="P242" s="1804"/>
      <c r="R242" s="1670"/>
      <c r="S242" s="1670"/>
      <c r="T242" s="1670"/>
      <c r="V242" s="1656"/>
      <c r="W242" s="1781"/>
      <c r="X242" s="1781"/>
      <c r="Y242" s="1781"/>
      <c r="Z242" s="1656"/>
      <c r="AA242" s="1781"/>
      <c r="AB242" s="1781"/>
      <c r="AC242" s="1781"/>
      <c r="AD242" s="1781"/>
      <c r="AE242" s="1781"/>
      <c r="AF242" s="1670">
        <f t="shared" ref="AF242" si="274">R242+V242*W242+Z242*AA242</f>
        <v>0</v>
      </c>
      <c r="AG242" s="1670">
        <f t="shared" ref="AG242" si="275">S242</f>
        <v>0</v>
      </c>
      <c r="AH242" s="1670">
        <f t="shared" ref="AH242" si="276">T242+V242*X242</f>
        <v>0</v>
      </c>
      <c r="AI242" s="1781"/>
      <c r="AJ242" s="1781"/>
      <c r="AK242" s="1781"/>
      <c r="AL242" s="1781"/>
      <c r="AM242" s="1781"/>
      <c r="AN242" s="1781"/>
      <c r="AO242" s="1781"/>
    </row>
    <row r="243" spans="1:41" s="1599" customFormat="1" ht="45">
      <c r="A243" s="1805">
        <v>2</v>
      </c>
      <c r="B243" s="1799" t="s">
        <v>2279</v>
      </c>
      <c r="C243" s="1779" t="s">
        <v>1936</v>
      </c>
      <c r="D243" s="1780">
        <f>H243*'REKAP RAB'!$K$3</f>
        <v>148.66999999999999</v>
      </c>
      <c r="E243" s="1682">
        <f>N243*'REKAP RAB'!$O$7</f>
        <v>284194.41856399999</v>
      </c>
      <c r="F243" s="1682">
        <f t="shared" ref="F243" si="277">D243*E243</f>
        <v>42251184.207909875</v>
      </c>
      <c r="G243" s="1681"/>
      <c r="H243" s="1780">
        <f>'Pas. Dinding'!B131</f>
        <v>148.66999999999999</v>
      </c>
      <c r="I243" s="1667">
        <f>Analisa!$F$421</f>
        <v>143125.58136000001</v>
      </c>
      <c r="J243" s="1666">
        <f>Analisa!G$421</f>
        <v>104000</v>
      </c>
      <c r="K243" s="1666">
        <f>Analisa!H$421</f>
        <v>0</v>
      </c>
      <c r="L243" s="1666"/>
      <c r="M243" s="1665"/>
      <c r="N243" s="1664">
        <f t="shared" ref="N243" si="278">SUM(I243:M243)</f>
        <v>247125.58136000001</v>
      </c>
      <c r="O243" s="1664">
        <f t="shared" ref="O243" si="279">H243*N243</f>
        <v>36740160.180791199</v>
      </c>
      <c r="P243" s="1804"/>
      <c r="R243" s="1670"/>
      <c r="S243" s="1670"/>
      <c r="T243" s="1670"/>
      <c r="V243" s="1656"/>
      <c r="W243" s="1781"/>
      <c r="X243" s="1781"/>
      <c r="Y243" s="1781"/>
      <c r="Z243" s="1656"/>
      <c r="AA243" s="1781"/>
      <c r="AB243" s="1781"/>
      <c r="AC243" s="1781"/>
      <c r="AD243" s="1781"/>
      <c r="AE243" s="1781"/>
      <c r="AF243" s="1670">
        <f t="shared" ref="AF243" si="280">R243+V243*W243+Z243*AA243</f>
        <v>0</v>
      </c>
      <c r="AG243" s="1670">
        <f t="shared" ref="AG243" si="281">S243</f>
        <v>0</v>
      </c>
      <c r="AH243" s="1670">
        <f t="shared" ref="AH243" si="282">T243+V243*X243</f>
        <v>0</v>
      </c>
      <c r="AI243" s="1781"/>
      <c r="AJ243" s="1781"/>
      <c r="AK243" s="1781"/>
      <c r="AL243" s="1781"/>
      <c r="AM243" s="1781"/>
      <c r="AN243" s="1781"/>
      <c r="AO243" s="1781"/>
    </row>
    <row r="244" spans="1:41" s="1599" customFormat="1" ht="45">
      <c r="A244" s="1805">
        <v>3</v>
      </c>
      <c r="B244" s="1799" t="s">
        <v>1963</v>
      </c>
      <c r="C244" s="1779" t="s">
        <v>1936</v>
      </c>
      <c r="D244" s="1780">
        <f>H244*'REKAP RAB'!$K$3</f>
        <v>294.96000000000004</v>
      </c>
      <c r="E244" s="1682">
        <f>N244*'REKAP RAB'!$O$7</f>
        <v>365558.88069399993</v>
      </c>
      <c r="F244" s="1682">
        <f t="shared" ref="F244:F248" si="283">D244*E244</f>
        <v>107825247.44950223</v>
      </c>
      <c r="G244" s="1681"/>
      <c r="H244" s="1780">
        <f>'Pas. Dinding'!C131</f>
        <v>294.96000000000004</v>
      </c>
      <c r="I244" s="1667">
        <f>Analisa!$F$430</f>
        <v>193877.28756</v>
      </c>
      <c r="J244" s="1666">
        <f>Analisa!G$430</f>
        <v>124000</v>
      </c>
      <c r="K244" s="1666">
        <f>Analisa!H$430</f>
        <v>0</v>
      </c>
      <c r="L244" s="1666"/>
      <c r="M244" s="1665"/>
      <c r="N244" s="1664">
        <f t="shared" ref="N244:N248" si="284">SUM(I244:M244)</f>
        <v>317877.28755999997</v>
      </c>
      <c r="O244" s="1664">
        <f t="shared" ref="O244:O248" si="285">H244*N244</f>
        <v>93761084.738697603</v>
      </c>
      <c r="P244" s="1804"/>
      <c r="R244" s="1670"/>
      <c r="S244" s="1670"/>
      <c r="T244" s="1670"/>
      <c r="V244" s="1656"/>
      <c r="W244" s="1781"/>
      <c r="X244" s="1781"/>
      <c r="Y244" s="1781"/>
      <c r="Z244" s="1656"/>
      <c r="AA244" s="1781"/>
      <c r="AB244" s="1781"/>
      <c r="AC244" s="1781"/>
      <c r="AD244" s="1781"/>
      <c r="AE244" s="1781"/>
      <c r="AF244" s="1670">
        <f t="shared" ref="AF244:AF248" si="286">R244+V244*W244+Z244*AA244</f>
        <v>0</v>
      </c>
      <c r="AG244" s="1670">
        <f t="shared" ref="AG244:AG248" si="287">S244</f>
        <v>0</v>
      </c>
      <c r="AH244" s="1670">
        <f t="shared" ref="AH244:AH248" si="288">T244+V244*X244</f>
        <v>0</v>
      </c>
      <c r="AI244" s="1781"/>
      <c r="AJ244" s="1781"/>
      <c r="AK244" s="1781"/>
      <c r="AL244" s="1781"/>
      <c r="AM244" s="1781"/>
      <c r="AN244" s="1781"/>
      <c r="AO244" s="1781"/>
    </row>
    <row r="245" spans="1:41" s="1599" customFormat="1" ht="45">
      <c r="A245" s="1805">
        <v>4</v>
      </c>
      <c r="B245" s="1799" t="s">
        <v>2280</v>
      </c>
      <c r="C245" s="1779" t="s">
        <v>1936</v>
      </c>
      <c r="D245" s="1780">
        <f>H245*'REKAP RAB'!$K$3</f>
        <v>11.462499999999999</v>
      </c>
      <c r="E245" s="1682">
        <f>N245*'REKAP RAB'!$O$7</f>
        <v>621687.29264124995</v>
      </c>
      <c r="F245" s="1682">
        <f t="shared" ref="F245" si="289">D245*E245</f>
        <v>7126090.5919003263</v>
      </c>
      <c r="G245" s="1681"/>
      <c r="H245" s="1780">
        <f>'Pas. Dinding'!G131</f>
        <v>11.462499999999999</v>
      </c>
      <c r="I245" s="1667">
        <f>Analisa!$F$466</f>
        <v>353597.64577499998</v>
      </c>
      <c r="J245" s="1666">
        <f>Analisa!G$466</f>
        <v>187000</v>
      </c>
      <c r="K245" s="1666">
        <f>Analisa!H$466</f>
        <v>0</v>
      </c>
      <c r="L245" s="1666"/>
      <c r="M245" s="1665"/>
      <c r="N245" s="1664">
        <f t="shared" ref="N245" si="290">SUM(I245:M245)</f>
        <v>540597.64577499998</v>
      </c>
      <c r="O245" s="1664">
        <f t="shared" ref="O245" si="291">H245*N245</f>
        <v>6196600.5146959368</v>
      </c>
      <c r="P245" s="1804"/>
      <c r="R245" s="1670"/>
      <c r="S245" s="1670"/>
      <c r="T245" s="1670"/>
      <c r="V245" s="1656"/>
      <c r="W245" s="1781"/>
      <c r="X245" s="1781"/>
      <c r="Y245" s="1781"/>
      <c r="Z245" s="1656"/>
      <c r="AA245" s="1781"/>
      <c r="AB245" s="1781"/>
      <c r="AC245" s="1781"/>
      <c r="AD245" s="1781"/>
      <c r="AE245" s="1781"/>
      <c r="AF245" s="1670">
        <f t="shared" ref="AF245" si="292">R245+V245*W245+Z245*AA245</f>
        <v>0</v>
      </c>
      <c r="AG245" s="1670">
        <f t="shared" ref="AG245" si="293">S245</f>
        <v>0</v>
      </c>
      <c r="AH245" s="1670">
        <f t="shared" ref="AH245" si="294">T245+V245*X245</f>
        <v>0</v>
      </c>
      <c r="AI245" s="1781"/>
      <c r="AJ245" s="1781"/>
      <c r="AK245" s="1781"/>
      <c r="AL245" s="1781"/>
      <c r="AM245" s="1781"/>
      <c r="AN245" s="1781"/>
      <c r="AO245" s="1781"/>
    </row>
    <row r="246" spans="1:41" s="1599" customFormat="1" ht="30">
      <c r="A246" s="1805">
        <v>5</v>
      </c>
      <c r="B246" s="1799" t="s">
        <v>2077</v>
      </c>
      <c r="C246" s="1779" t="s">
        <v>1936</v>
      </c>
      <c r="D246" s="1780">
        <f>H246*'REKAP RAB'!$K$3</f>
        <v>1188.2625</v>
      </c>
      <c r="E246" s="1682">
        <f>N246*'REKAP RAB'!$O$7</f>
        <v>124930.24999999999</v>
      </c>
      <c r="F246" s="1682">
        <f t="shared" si="283"/>
        <v>148449931.19062498</v>
      </c>
      <c r="G246" s="1681"/>
      <c r="H246" s="1780">
        <f>'Pas. Dinding'!I131</f>
        <v>1188.2625</v>
      </c>
      <c r="I246" s="1667">
        <f>Analisa!$F$521</f>
        <v>24635</v>
      </c>
      <c r="J246" s="1667">
        <f>Analisa!$G$521</f>
        <v>84000</v>
      </c>
      <c r="K246" s="1666"/>
      <c r="L246" s="1666"/>
      <c r="M246" s="1665"/>
      <c r="N246" s="1664">
        <f t="shared" si="284"/>
        <v>108635</v>
      </c>
      <c r="O246" s="1664">
        <f t="shared" si="285"/>
        <v>129086896.6875</v>
      </c>
      <c r="P246" s="1804"/>
      <c r="R246" s="1670"/>
      <c r="S246" s="1670"/>
      <c r="T246" s="1670"/>
      <c r="V246" s="1656"/>
      <c r="W246" s="1781"/>
      <c r="X246" s="1781"/>
      <c r="Y246" s="1781"/>
      <c r="Z246" s="1656"/>
      <c r="AA246" s="1781"/>
      <c r="AB246" s="1781"/>
      <c r="AC246" s="1781"/>
      <c r="AD246" s="1781"/>
      <c r="AE246" s="1781"/>
      <c r="AF246" s="1670">
        <f t="shared" si="286"/>
        <v>0</v>
      </c>
      <c r="AG246" s="1670">
        <f t="shared" si="287"/>
        <v>0</v>
      </c>
      <c r="AH246" s="1670">
        <f t="shared" si="288"/>
        <v>0</v>
      </c>
      <c r="AI246" s="1781"/>
      <c r="AJ246" s="1781"/>
      <c r="AK246" s="1781"/>
      <c r="AL246" s="1781"/>
      <c r="AM246" s="1781"/>
      <c r="AN246" s="1781"/>
      <c r="AO246" s="1781"/>
    </row>
    <row r="247" spans="1:41" s="1599" customFormat="1" ht="18.75" customHeight="1">
      <c r="A247" s="1805">
        <v>6</v>
      </c>
      <c r="B247" s="1799" t="s">
        <v>1962</v>
      </c>
      <c r="C247" s="1779" t="s">
        <v>1936</v>
      </c>
      <c r="D247" s="1780">
        <f>H247*'REKAP RAB'!$K$3</f>
        <v>250.46125000000001</v>
      </c>
      <c r="E247" s="1682">
        <f>N247*'REKAP RAB'!$O$7</f>
        <v>124930.24999999999</v>
      </c>
      <c r="F247" s="1682">
        <f t="shared" si="283"/>
        <v>31290186.577812497</v>
      </c>
      <c r="G247" s="1681"/>
      <c r="H247" s="1780">
        <f>SUM('Retaining Wall'!D162,'Retaining Wall'!D164,'Retaining Wall'!D165,'Retaining Wall'!D173)</f>
        <v>250.46125000000001</v>
      </c>
      <c r="I247" s="1667">
        <f>Analisa!$F$521</f>
        <v>24635</v>
      </c>
      <c r="J247" s="1667">
        <f>Analisa!$G$521</f>
        <v>84000</v>
      </c>
      <c r="K247" s="1666"/>
      <c r="L247" s="1666"/>
      <c r="M247" s="1665"/>
      <c r="N247" s="1664">
        <f t="shared" si="284"/>
        <v>108635</v>
      </c>
      <c r="O247" s="1664">
        <f t="shared" si="285"/>
        <v>27208857.893750001</v>
      </c>
      <c r="P247" s="1804"/>
      <c r="R247" s="1670"/>
      <c r="S247" s="1670"/>
      <c r="T247" s="1670"/>
      <c r="V247" s="1656"/>
      <c r="W247" s="1781"/>
      <c r="X247" s="1781"/>
      <c r="Y247" s="1781"/>
      <c r="Z247" s="1656"/>
      <c r="AA247" s="1781"/>
      <c r="AB247" s="1781"/>
      <c r="AC247" s="1781"/>
      <c r="AD247" s="1781"/>
      <c r="AE247" s="1781"/>
      <c r="AF247" s="1670">
        <f t="shared" si="286"/>
        <v>0</v>
      </c>
      <c r="AG247" s="1670">
        <f t="shared" si="287"/>
        <v>0</v>
      </c>
      <c r="AH247" s="1670">
        <f t="shared" si="288"/>
        <v>0</v>
      </c>
      <c r="AI247" s="1781"/>
      <c r="AJ247" s="1781"/>
      <c r="AK247" s="1781"/>
      <c r="AL247" s="1781"/>
      <c r="AM247" s="1781"/>
      <c r="AN247" s="1781"/>
      <c r="AO247" s="1781"/>
    </row>
    <row r="248" spans="1:41" s="1599" customFormat="1" ht="18.75" customHeight="1">
      <c r="A248" s="1805">
        <v>7</v>
      </c>
      <c r="B248" s="1799" t="s">
        <v>1961</v>
      </c>
      <c r="C248" s="1779" t="s">
        <v>1936</v>
      </c>
      <c r="D248" s="1780">
        <f>H248*'REKAP RAB'!$K$3</f>
        <v>1438.7237500000001</v>
      </c>
      <c r="E248" s="1682">
        <f>N248*'REKAP RAB'!$O$7</f>
        <v>53302.499999999993</v>
      </c>
      <c r="F248" s="1682">
        <f t="shared" si="283"/>
        <v>76687572.684374988</v>
      </c>
      <c r="G248" s="1681"/>
      <c r="H248" s="1780">
        <f>SUM(H246:H247)</f>
        <v>1438.7237500000001</v>
      </c>
      <c r="I248" s="1667">
        <f>Analisa!$F$535</f>
        <v>16350</v>
      </c>
      <c r="J248" s="1667">
        <f>Analisa!$G$535</f>
        <v>30000</v>
      </c>
      <c r="K248" s="1666"/>
      <c r="L248" s="1666"/>
      <c r="M248" s="1665"/>
      <c r="N248" s="1664">
        <f t="shared" si="284"/>
        <v>46350</v>
      </c>
      <c r="O248" s="1664">
        <f t="shared" si="285"/>
        <v>66684845.812500007</v>
      </c>
      <c r="P248" s="1804"/>
      <c r="R248" s="1670"/>
      <c r="S248" s="1670"/>
      <c r="T248" s="1670"/>
      <c r="V248" s="1656"/>
      <c r="W248" s="1781"/>
      <c r="X248" s="1781"/>
      <c r="Y248" s="1781"/>
      <c r="Z248" s="1656"/>
      <c r="AA248" s="1781"/>
      <c r="AB248" s="1781"/>
      <c r="AC248" s="1781"/>
      <c r="AD248" s="1781"/>
      <c r="AE248" s="1781"/>
      <c r="AF248" s="1670">
        <f t="shared" si="286"/>
        <v>0</v>
      </c>
      <c r="AG248" s="1670">
        <f t="shared" si="287"/>
        <v>0</v>
      </c>
      <c r="AH248" s="1670">
        <f t="shared" si="288"/>
        <v>0</v>
      </c>
      <c r="AI248" s="1781"/>
      <c r="AJ248" s="1781"/>
      <c r="AK248" s="1781"/>
      <c r="AL248" s="1781"/>
      <c r="AM248" s="1781"/>
      <c r="AN248" s="1781"/>
      <c r="AO248" s="1781"/>
    </row>
    <row r="249" spans="1:41" s="1599" customFormat="1" ht="18.75" customHeight="1">
      <c r="A249" s="1798"/>
      <c r="B249" s="1799"/>
      <c r="C249" s="1779"/>
      <c r="D249" s="1780"/>
      <c r="E249" s="1798"/>
      <c r="F249" s="1798"/>
      <c r="H249" s="1780"/>
      <c r="I249" s="1667"/>
      <c r="J249" s="1666"/>
      <c r="K249" s="1666"/>
      <c r="L249" s="1666"/>
      <c r="M249" s="1665"/>
      <c r="N249" s="1664"/>
      <c r="O249" s="1664"/>
      <c r="R249" s="1656"/>
      <c r="S249" s="1656"/>
      <c r="T249" s="1656"/>
      <c r="V249" s="1656"/>
      <c r="W249" s="1781"/>
      <c r="X249" s="1781"/>
      <c r="Y249" s="1781"/>
      <c r="Z249" s="1656"/>
      <c r="AA249" s="1781"/>
      <c r="AB249" s="1781"/>
      <c r="AC249" s="1781"/>
      <c r="AD249" s="1781"/>
      <c r="AE249" s="1781"/>
      <c r="AF249" s="1781"/>
      <c r="AG249" s="1781"/>
      <c r="AI249" s="1781"/>
      <c r="AJ249" s="1781"/>
      <c r="AK249" s="1781"/>
      <c r="AL249" s="1781"/>
      <c r="AM249" s="1781"/>
      <c r="AN249" s="1781"/>
      <c r="AO249" s="1781"/>
    </row>
    <row r="250" spans="1:41" s="1599" customFormat="1" ht="18.75" customHeight="1">
      <c r="A250" s="1800" t="s">
        <v>151</v>
      </c>
      <c r="B250" s="1809" t="s">
        <v>136</v>
      </c>
      <c r="C250" s="1779"/>
      <c r="D250" s="1798"/>
      <c r="E250" s="1798"/>
      <c r="F250" s="1675"/>
      <c r="G250" s="1627"/>
      <c r="H250" s="1798"/>
      <c r="I250" s="1667"/>
      <c r="J250" s="1666"/>
      <c r="K250" s="1666"/>
      <c r="L250" s="1666"/>
      <c r="M250" s="1665"/>
      <c r="N250" s="1664"/>
      <c r="O250" s="1674"/>
      <c r="P250" s="1802"/>
      <c r="R250" s="1656"/>
      <c r="S250" s="1656"/>
      <c r="T250" s="1656"/>
      <c r="V250" s="1656"/>
      <c r="W250" s="1781"/>
      <c r="X250" s="1781"/>
      <c r="Y250" s="1781"/>
      <c r="Z250" s="1656"/>
      <c r="AA250" s="1781"/>
      <c r="AB250" s="1781"/>
      <c r="AC250" s="1781"/>
      <c r="AD250" s="1781"/>
      <c r="AE250" s="1781"/>
      <c r="AF250" s="1781"/>
      <c r="AG250" s="1781"/>
      <c r="AI250" s="1781"/>
      <c r="AJ250" s="1781"/>
      <c r="AK250" s="1781"/>
      <c r="AL250" s="1781"/>
      <c r="AM250" s="1781"/>
      <c r="AN250" s="1781"/>
      <c r="AO250" s="1781"/>
    </row>
    <row r="251" spans="1:41" s="1599" customFormat="1" ht="45">
      <c r="A251" s="1805">
        <v>1</v>
      </c>
      <c r="B251" s="1799" t="s">
        <v>2366</v>
      </c>
      <c r="C251" s="1779" t="s">
        <v>1936</v>
      </c>
      <c r="D251" s="1780">
        <f>H251*'REKAP RAB'!$K$3</f>
        <v>108</v>
      </c>
      <c r="E251" s="1682">
        <f>N251*'REKAP RAB'!$O$7</f>
        <v>224470.22131999998</v>
      </c>
      <c r="F251" s="1682">
        <f t="shared" ref="F251" si="295">D251*E251</f>
        <v>24242783.902559999</v>
      </c>
      <c r="G251" s="1681"/>
      <c r="H251" s="1780">
        <f>'Pas. Dinding'!H132</f>
        <v>108</v>
      </c>
      <c r="I251" s="1667">
        <f>Analisa!$F$412</f>
        <v>105191.49679999999</v>
      </c>
      <c r="J251" s="1666">
        <f>Analisa!$G$412</f>
        <v>90000</v>
      </c>
      <c r="K251" s="1666">
        <f>Analisa!H$421</f>
        <v>0</v>
      </c>
      <c r="L251" s="1666"/>
      <c r="M251" s="1665"/>
      <c r="N251" s="1664">
        <f t="shared" ref="N251" si="296">SUM(I251:M251)</f>
        <v>195191.49679999999</v>
      </c>
      <c r="O251" s="1664">
        <f t="shared" ref="O251" si="297">H251*N251</f>
        <v>21080681.654399998</v>
      </c>
      <c r="P251" s="1804"/>
      <c r="R251" s="1670"/>
      <c r="S251" s="1670"/>
      <c r="T251" s="1670"/>
      <c r="V251" s="1656"/>
      <c r="W251" s="1781"/>
      <c r="X251" s="1781"/>
      <c r="Y251" s="1781"/>
      <c r="Z251" s="1656"/>
      <c r="AA251" s="1781"/>
      <c r="AB251" s="1781"/>
      <c r="AC251" s="1781"/>
      <c r="AD251" s="1781"/>
      <c r="AE251" s="1781"/>
      <c r="AF251" s="1670">
        <f t="shared" ref="AF251" si="298">R251+V251*W251+Z251*AA251</f>
        <v>0</v>
      </c>
      <c r="AG251" s="1670">
        <f t="shared" ref="AG251" si="299">S251</f>
        <v>0</v>
      </c>
      <c r="AH251" s="1670">
        <f t="shared" ref="AH251" si="300">T251+V251*X251</f>
        <v>0</v>
      </c>
      <c r="AI251" s="1781"/>
      <c r="AJ251" s="1781"/>
      <c r="AK251" s="1781"/>
      <c r="AL251" s="1781"/>
      <c r="AM251" s="1781"/>
      <c r="AN251" s="1781"/>
      <c r="AO251" s="1781"/>
    </row>
    <row r="252" spans="1:41" s="1599" customFormat="1" ht="45">
      <c r="A252" s="1805">
        <v>2</v>
      </c>
      <c r="B252" s="1799" t="s">
        <v>2279</v>
      </c>
      <c r="C252" s="1779" t="s">
        <v>1936</v>
      </c>
      <c r="D252" s="1780">
        <f>H252*'REKAP RAB'!$K$3</f>
        <v>294.87749999999994</v>
      </c>
      <c r="E252" s="1682">
        <f>N252*'REKAP RAB'!$O$7</f>
        <v>284194.41856399999</v>
      </c>
      <c r="F252" s="1682">
        <f t="shared" ref="F252" si="301">D252*E252</f>
        <v>83802539.660105884</v>
      </c>
      <c r="G252" s="1681"/>
      <c r="H252" s="1780">
        <f>'Pas. Dinding'!B132</f>
        <v>294.87749999999994</v>
      </c>
      <c r="I252" s="1667">
        <f>Analisa!$F$421</f>
        <v>143125.58136000001</v>
      </c>
      <c r="J252" s="1666">
        <f>Analisa!G$421</f>
        <v>104000</v>
      </c>
      <c r="K252" s="1666">
        <f>Analisa!H$421</f>
        <v>0</v>
      </c>
      <c r="L252" s="1666"/>
      <c r="M252" s="1665"/>
      <c r="N252" s="1664">
        <f t="shared" ref="N252" si="302">SUM(I252:M252)</f>
        <v>247125.58136000001</v>
      </c>
      <c r="O252" s="1664">
        <f t="shared" ref="O252" si="303">H252*N252</f>
        <v>72871773.617483392</v>
      </c>
      <c r="P252" s="1804"/>
      <c r="R252" s="1670"/>
      <c r="S252" s="1670"/>
      <c r="T252" s="1670"/>
      <c r="V252" s="1656"/>
      <c r="W252" s="1781"/>
      <c r="X252" s="1781"/>
      <c r="Y252" s="1781"/>
      <c r="Z252" s="1656"/>
      <c r="AA252" s="1781"/>
      <c r="AB252" s="1781"/>
      <c r="AC252" s="1781"/>
      <c r="AD252" s="1781"/>
      <c r="AE252" s="1781"/>
      <c r="AF252" s="1670">
        <f t="shared" ref="AF252" si="304">R252+V252*W252+Z252*AA252</f>
        <v>0</v>
      </c>
      <c r="AG252" s="1670">
        <f t="shared" ref="AG252" si="305">S252</f>
        <v>0</v>
      </c>
      <c r="AH252" s="1670">
        <f t="shared" ref="AH252" si="306">T252+V252*X252</f>
        <v>0</v>
      </c>
      <c r="AI252" s="1781"/>
      <c r="AJ252" s="1781"/>
      <c r="AK252" s="1781"/>
      <c r="AL252" s="1781"/>
      <c r="AM252" s="1781"/>
      <c r="AN252" s="1781"/>
      <c r="AO252" s="1781"/>
    </row>
    <row r="253" spans="1:41" s="1599" customFormat="1" ht="45">
      <c r="A253" s="1805">
        <v>3</v>
      </c>
      <c r="B253" s="1799" t="s">
        <v>1963</v>
      </c>
      <c r="C253" s="1779" t="s">
        <v>1936</v>
      </c>
      <c r="D253" s="1780">
        <f>H253*'REKAP RAB'!$K$3</f>
        <v>195.74599999999998</v>
      </c>
      <c r="E253" s="1682">
        <f>N253*'REKAP RAB'!$O$7</f>
        <v>365558.88069399993</v>
      </c>
      <c r="F253" s="1682">
        <f t="shared" ref="F253:F256" si="307">D253*E253</f>
        <v>71556688.660327703</v>
      </c>
      <c r="G253" s="1681"/>
      <c r="H253" s="1780">
        <f>'Pas. Dinding'!C132</f>
        <v>195.74599999999998</v>
      </c>
      <c r="I253" s="1667">
        <f>Analisa!$F$430</f>
        <v>193877.28756</v>
      </c>
      <c r="J253" s="1666">
        <f>Analisa!G$430</f>
        <v>124000</v>
      </c>
      <c r="K253" s="1666">
        <f>Analisa!H$430</f>
        <v>0</v>
      </c>
      <c r="L253" s="1666"/>
      <c r="M253" s="1665"/>
      <c r="N253" s="1664">
        <f t="shared" ref="N253:N256" si="308">SUM(I253:M253)</f>
        <v>317877.28755999997</v>
      </c>
      <c r="O253" s="1664">
        <f t="shared" ref="O253:O256" si="309">H253*N253</f>
        <v>62223207.53071975</v>
      </c>
      <c r="P253" s="1804"/>
      <c r="R253" s="1670"/>
      <c r="S253" s="1670"/>
      <c r="T253" s="1670"/>
      <c r="V253" s="1656"/>
      <c r="W253" s="1781"/>
      <c r="X253" s="1781"/>
      <c r="Y253" s="1781"/>
      <c r="Z253" s="1656"/>
      <c r="AA253" s="1781"/>
      <c r="AB253" s="1781"/>
      <c r="AC253" s="1781"/>
      <c r="AD253" s="1781"/>
      <c r="AE253" s="1781"/>
      <c r="AF253" s="1670">
        <f t="shared" ref="AF253:AF256" si="310">R253+V253*W253+Z253*AA253</f>
        <v>0</v>
      </c>
      <c r="AG253" s="1670">
        <f t="shared" ref="AG253:AG256" si="311">S253</f>
        <v>0</v>
      </c>
      <c r="AH253" s="1670">
        <f t="shared" ref="AH253:AH256" si="312">T253+V253*X253</f>
        <v>0</v>
      </c>
      <c r="AI253" s="1781"/>
      <c r="AJ253" s="1781"/>
      <c r="AK253" s="1781"/>
      <c r="AL253" s="1781"/>
      <c r="AM253" s="1781"/>
      <c r="AN253" s="1781"/>
      <c r="AO253" s="1781"/>
    </row>
    <row r="254" spans="1:41" s="1599" customFormat="1" ht="30">
      <c r="A254" s="1805">
        <v>4</v>
      </c>
      <c r="B254" s="1799" t="s">
        <v>2077</v>
      </c>
      <c r="C254" s="1779" t="s">
        <v>1936</v>
      </c>
      <c r="D254" s="1780">
        <f>H254*'REKAP RAB'!$K$3</f>
        <v>1129.7470000000001</v>
      </c>
      <c r="E254" s="1682">
        <f>N254*'REKAP RAB'!$O$7</f>
        <v>124930.24999999999</v>
      </c>
      <c r="F254" s="1682">
        <f t="shared" si="307"/>
        <v>141139575.14675</v>
      </c>
      <c r="G254" s="1681"/>
      <c r="H254" s="1780">
        <f>'Pas. Dinding'!I132</f>
        <v>1129.7470000000001</v>
      </c>
      <c r="I254" s="1667">
        <f>Analisa!$F$521</f>
        <v>24635</v>
      </c>
      <c r="J254" s="1667">
        <f>Analisa!$G$521</f>
        <v>84000</v>
      </c>
      <c r="K254" s="1666"/>
      <c r="L254" s="1666"/>
      <c r="M254" s="1665"/>
      <c r="N254" s="1664">
        <f t="shared" si="308"/>
        <v>108635</v>
      </c>
      <c r="O254" s="1664">
        <f t="shared" si="309"/>
        <v>122730065.34500001</v>
      </c>
      <c r="P254" s="1804"/>
      <c r="R254" s="1670"/>
      <c r="S254" s="1670"/>
      <c r="T254" s="1670"/>
      <c r="V254" s="1656"/>
      <c r="W254" s="1781"/>
      <c r="X254" s="1781"/>
      <c r="Y254" s="1781"/>
      <c r="Z254" s="1656"/>
      <c r="AA254" s="1781"/>
      <c r="AB254" s="1781"/>
      <c r="AC254" s="1781"/>
      <c r="AD254" s="1781"/>
      <c r="AE254" s="1781"/>
      <c r="AF254" s="1670">
        <f t="shared" si="310"/>
        <v>0</v>
      </c>
      <c r="AG254" s="1670">
        <f t="shared" si="311"/>
        <v>0</v>
      </c>
      <c r="AH254" s="1670">
        <f t="shared" si="312"/>
        <v>0</v>
      </c>
      <c r="AI254" s="1781"/>
      <c r="AJ254" s="1781"/>
      <c r="AK254" s="1781"/>
      <c r="AL254" s="1781"/>
      <c r="AM254" s="1781"/>
      <c r="AN254" s="1781"/>
      <c r="AO254" s="1781"/>
    </row>
    <row r="255" spans="1:41" s="1599" customFormat="1" ht="18.75" customHeight="1">
      <c r="A255" s="1805">
        <v>5</v>
      </c>
      <c r="B255" s="1799" t="s">
        <v>1962</v>
      </c>
      <c r="C255" s="1779" t="s">
        <v>1936</v>
      </c>
      <c r="D255" s="1780">
        <f>H255*'REKAP RAB'!$K$3</f>
        <v>66.44</v>
      </c>
      <c r="E255" s="1682">
        <f>N255*'REKAP RAB'!$O$7</f>
        <v>124930.24999999999</v>
      </c>
      <c r="F255" s="1682">
        <f t="shared" si="307"/>
        <v>8300365.8099999987</v>
      </c>
      <c r="G255" s="1681"/>
      <c r="H255" s="1780">
        <f>SUM('Retaining Wall'!D168,'Retaining Wall'!D174)</f>
        <v>66.44</v>
      </c>
      <c r="I255" s="1667">
        <f>Analisa!$F$521</f>
        <v>24635</v>
      </c>
      <c r="J255" s="1667">
        <f>Analisa!$G$521</f>
        <v>84000</v>
      </c>
      <c r="K255" s="1666"/>
      <c r="L255" s="1666"/>
      <c r="M255" s="1665"/>
      <c r="N255" s="1664">
        <f t="shared" si="308"/>
        <v>108635</v>
      </c>
      <c r="O255" s="1664">
        <f t="shared" si="309"/>
        <v>7217709.3999999994</v>
      </c>
      <c r="P255" s="1804"/>
      <c r="R255" s="1670"/>
      <c r="S255" s="1670"/>
      <c r="T255" s="1670"/>
      <c r="V255" s="1656"/>
      <c r="W255" s="1781"/>
      <c r="X255" s="1781"/>
      <c r="Y255" s="1781"/>
      <c r="Z255" s="1656"/>
      <c r="AA255" s="1781"/>
      <c r="AB255" s="1781"/>
      <c r="AC255" s="1781"/>
      <c r="AD255" s="1781"/>
      <c r="AE255" s="1781"/>
      <c r="AF255" s="1670">
        <f t="shared" si="310"/>
        <v>0</v>
      </c>
      <c r="AG255" s="1670">
        <f t="shared" si="311"/>
        <v>0</v>
      </c>
      <c r="AH255" s="1670">
        <f t="shared" si="312"/>
        <v>0</v>
      </c>
      <c r="AI255" s="1781"/>
      <c r="AJ255" s="1781"/>
      <c r="AK255" s="1781"/>
      <c r="AL255" s="1781"/>
      <c r="AM255" s="1781"/>
      <c r="AN255" s="1781"/>
      <c r="AO255" s="1781"/>
    </row>
    <row r="256" spans="1:41" s="1599" customFormat="1" ht="18.75" customHeight="1">
      <c r="A256" s="1805">
        <v>6</v>
      </c>
      <c r="B256" s="1799" t="s">
        <v>1961</v>
      </c>
      <c r="C256" s="1779" t="s">
        <v>1936</v>
      </c>
      <c r="D256" s="1780">
        <f>H256*'REKAP RAB'!$K$3</f>
        <v>1196.1870000000001</v>
      </c>
      <c r="E256" s="1682">
        <f>N256*'REKAP RAB'!$O$7</f>
        <v>53302.499999999993</v>
      </c>
      <c r="F256" s="1682">
        <f t="shared" si="307"/>
        <v>63759757.567499995</v>
      </c>
      <c r="G256" s="1681"/>
      <c r="H256" s="1780">
        <f>SUM(H254:H255)</f>
        <v>1196.1870000000001</v>
      </c>
      <c r="I256" s="1667">
        <f>Analisa!$F$535</f>
        <v>16350</v>
      </c>
      <c r="J256" s="1667">
        <f>Analisa!$G$535</f>
        <v>30000</v>
      </c>
      <c r="K256" s="1666"/>
      <c r="L256" s="1666"/>
      <c r="M256" s="1665"/>
      <c r="N256" s="1664">
        <f t="shared" si="308"/>
        <v>46350</v>
      </c>
      <c r="O256" s="1664">
        <f t="shared" si="309"/>
        <v>55443267.450000003</v>
      </c>
      <c r="P256" s="1804"/>
      <c r="R256" s="1670"/>
      <c r="S256" s="1670"/>
      <c r="T256" s="1670"/>
      <c r="V256" s="1656"/>
      <c r="W256" s="1781"/>
      <c r="X256" s="1781"/>
      <c r="Y256" s="1781"/>
      <c r="Z256" s="1656"/>
      <c r="AA256" s="1781"/>
      <c r="AB256" s="1781"/>
      <c r="AC256" s="1781"/>
      <c r="AD256" s="1781"/>
      <c r="AE256" s="1781"/>
      <c r="AF256" s="1670">
        <f t="shared" si="310"/>
        <v>0</v>
      </c>
      <c r="AG256" s="1670">
        <f t="shared" si="311"/>
        <v>0</v>
      </c>
      <c r="AH256" s="1670">
        <f t="shared" si="312"/>
        <v>0</v>
      </c>
      <c r="AI256" s="1781"/>
      <c r="AJ256" s="1781"/>
      <c r="AK256" s="1781"/>
      <c r="AL256" s="1781"/>
      <c r="AM256" s="1781"/>
      <c r="AN256" s="1781"/>
      <c r="AO256" s="1781"/>
    </row>
    <row r="257" spans="1:41" s="1599" customFormat="1" ht="18.75" customHeight="1">
      <c r="A257" s="1798"/>
      <c r="B257" s="1799"/>
      <c r="C257" s="1779"/>
      <c r="D257" s="1780"/>
      <c r="E257" s="1798"/>
      <c r="F257" s="1798"/>
      <c r="H257" s="1780"/>
      <c r="I257" s="1667"/>
      <c r="J257" s="1666"/>
      <c r="K257" s="1666"/>
      <c r="L257" s="1666"/>
      <c r="M257" s="1665"/>
      <c r="N257" s="1664"/>
      <c r="O257" s="1664"/>
      <c r="R257" s="1656"/>
      <c r="S257" s="1656"/>
      <c r="T257" s="1656"/>
      <c r="V257" s="1656"/>
      <c r="W257" s="1781"/>
      <c r="X257" s="1781"/>
      <c r="Y257" s="1781"/>
      <c r="Z257" s="1656"/>
      <c r="AA257" s="1781"/>
      <c r="AB257" s="1781"/>
      <c r="AC257" s="1781"/>
      <c r="AD257" s="1781"/>
      <c r="AE257" s="1781"/>
      <c r="AF257" s="1781"/>
      <c r="AG257" s="1781"/>
      <c r="AI257" s="1781"/>
      <c r="AJ257" s="1781"/>
      <c r="AK257" s="1781"/>
      <c r="AL257" s="1781"/>
      <c r="AM257" s="1781"/>
      <c r="AN257" s="1781"/>
      <c r="AO257" s="1781"/>
    </row>
    <row r="258" spans="1:41" s="1599" customFormat="1" ht="18.75" customHeight="1">
      <c r="A258" s="1800" t="s">
        <v>236</v>
      </c>
      <c r="B258" s="1809" t="s">
        <v>219</v>
      </c>
      <c r="C258" s="1779"/>
      <c r="D258" s="1798"/>
      <c r="E258" s="1798"/>
      <c r="F258" s="1675"/>
      <c r="G258" s="1627"/>
      <c r="H258" s="1798"/>
      <c r="I258" s="1667"/>
      <c r="J258" s="1666"/>
      <c r="K258" s="1666"/>
      <c r="L258" s="1666"/>
      <c r="M258" s="1665"/>
      <c r="N258" s="1664"/>
      <c r="O258" s="1674"/>
      <c r="P258" s="1802"/>
      <c r="R258" s="1656"/>
      <c r="S258" s="1656"/>
      <c r="T258" s="1656"/>
      <c r="V258" s="1656"/>
      <c r="W258" s="1781"/>
      <c r="X258" s="1781"/>
      <c r="Y258" s="1781"/>
      <c r="Z258" s="1656"/>
      <c r="AA258" s="1781"/>
      <c r="AB258" s="1781"/>
      <c r="AC258" s="1781"/>
      <c r="AD258" s="1781"/>
      <c r="AE258" s="1781"/>
      <c r="AF258" s="1781"/>
      <c r="AG258" s="1781"/>
      <c r="AI258" s="1781"/>
      <c r="AJ258" s="1781"/>
      <c r="AK258" s="1781"/>
      <c r="AL258" s="1781"/>
      <c r="AM258" s="1781"/>
      <c r="AN258" s="1781"/>
      <c r="AO258" s="1781"/>
    </row>
    <row r="259" spans="1:41" s="1599" customFormat="1" ht="45">
      <c r="A259" s="1805">
        <v>1</v>
      </c>
      <c r="B259" s="1799" t="s">
        <v>2279</v>
      </c>
      <c r="C259" s="1779" t="s">
        <v>1936</v>
      </c>
      <c r="D259" s="1780">
        <f>H259*'REKAP RAB'!$K$3</f>
        <v>280.16800000000001</v>
      </c>
      <c r="E259" s="1682">
        <f>N259*'REKAP RAB'!$O$7</f>
        <v>284194.41856399999</v>
      </c>
      <c r="F259" s="1682">
        <f t="shared" ref="F259" si="313">D259*E259</f>
        <v>79622181.860238746</v>
      </c>
      <c r="G259" s="1681"/>
      <c r="H259" s="1780">
        <f>'Pas. Dinding'!B133</f>
        <v>280.16800000000001</v>
      </c>
      <c r="I259" s="1667">
        <f>Analisa!$F$421</f>
        <v>143125.58136000001</v>
      </c>
      <c r="J259" s="1666">
        <f>Analisa!G$421</f>
        <v>104000</v>
      </c>
      <c r="K259" s="1666">
        <f>Analisa!H$421</f>
        <v>0</v>
      </c>
      <c r="L259" s="1666"/>
      <c r="M259" s="1665"/>
      <c r="N259" s="1664">
        <f t="shared" ref="N259" si="314">SUM(I259:M259)</f>
        <v>247125.58136000001</v>
      </c>
      <c r="O259" s="1664">
        <f t="shared" ref="O259" si="315">H259*N259</f>
        <v>69236679.878468484</v>
      </c>
      <c r="P259" s="1804"/>
      <c r="R259" s="1670"/>
      <c r="S259" s="1670"/>
      <c r="T259" s="1670"/>
      <c r="V259" s="1656"/>
      <c r="W259" s="1781"/>
      <c r="X259" s="1781"/>
      <c r="Y259" s="1781"/>
      <c r="Z259" s="1656"/>
      <c r="AA259" s="1781"/>
      <c r="AB259" s="1781"/>
      <c r="AC259" s="1781"/>
      <c r="AD259" s="1781"/>
      <c r="AE259" s="1781"/>
      <c r="AF259" s="1670">
        <f t="shared" ref="AF259" si="316">R259+V259*W259+Z259*AA259</f>
        <v>0</v>
      </c>
      <c r="AG259" s="1670">
        <f t="shared" ref="AG259" si="317">S259</f>
        <v>0</v>
      </c>
      <c r="AH259" s="1670">
        <f t="shared" ref="AH259" si="318">T259+V259*X259</f>
        <v>0</v>
      </c>
      <c r="AI259" s="1781"/>
      <c r="AJ259" s="1781"/>
      <c r="AK259" s="1781"/>
      <c r="AL259" s="1781"/>
      <c r="AM259" s="1781"/>
      <c r="AN259" s="1781"/>
      <c r="AO259" s="1781"/>
    </row>
    <row r="260" spans="1:41" s="1599" customFormat="1" ht="45">
      <c r="A260" s="1805">
        <v>2</v>
      </c>
      <c r="B260" s="1799" t="s">
        <v>1963</v>
      </c>
      <c r="C260" s="1779" t="s">
        <v>1936</v>
      </c>
      <c r="D260" s="1780">
        <f>H260*'REKAP RAB'!$K$3</f>
        <v>16.585000000000001</v>
      </c>
      <c r="E260" s="1682">
        <f>N260*'REKAP RAB'!$O$7</f>
        <v>365558.88069399993</v>
      </c>
      <c r="F260" s="1682">
        <f t="shared" ref="F260:F263" si="319">D260*E260</f>
        <v>6062794.0363099892</v>
      </c>
      <c r="G260" s="1681"/>
      <c r="H260" s="1780">
        <f>'Pas. Dinding'!C133</f>
        <v>16.585000000000001</v>
      </c>
      <c r="I260" s="1667">
        <f>Analisa!$F$430</f>
        <v>193877.28756</v>
      </c>
      <c r="J260" s="1666">
        <f>Analisa!G$430</f>
        <v>124000</v>
      </c>
      <c r="K260" s="1666">
        <f>Analisa!H$430</f>
        <v>0</v>
      </c>
      <c r="L260" s="1666"/>
      <c r="M260" s="1665"/>
      <c r="N260" s="1664">
        <f t="shared" ref="N260:N263" si="320">SUM(I260:M260)</f>
        <v>317877.28755999997</v>
      </c>
      <c r="O260" s="1664">
        <f t="shared" ref="O260:O263" si="321">H260*N260</f>
        <v>5271994.8141826</v>
      </c>
      <c r="P260" s="1804"/>
      <c r="R260" s="1670"/>
      <c r="S260" s="1670"/>
      <c r="T260" s="1670"/>
      <c r="V260" s="1656"/>
      <c r="W260" s="1781"/>
      <c r="X260" s="1781"/>
      <c r="Y260" s="1781"/>
      <c r="Z260" s="1656"/>
      <c r="AA260" s="1781"/>
      <c r="AB260" s="1781"/>
      <c r="AC260" s="1781"/>
      <c r="AD260" s="1781"/>
      <c r="AE260" s="1781"/>
      <c r="AF260" s="1670">
        <f t="shared" ref="AF260:AF263" si="322">R260+V260*W260+Z260*AA260</f>
        <v>0</v>
      </c>
      <c r="AG260" s="1670">
        <f t="shared" ref="AG260:AG263" si="323">S260</f>
        <v>0</v>
      </c>
      <c r="AH260" s="1670">
        <f t="shared" ref="AH260:AH263" si="324">T260+V260*X260</f>
        <v>0</v>
      </c>
      <c r="AI260" s="1781"/>
      <c r="AJ260" s="1781"/>
      <c r="AK260" s="1781"/>
      <c r="AL260" s="1781"/>
      <c r="AM260" s="1781"/>
      <c r="AN260" s="1781"/>
      <c r="AO260" s="1781"/>
    </row>
    <row r="261" spans="1:41" s="1599" customFormat="1" ht="30">
      <c r="A261" s="1805">
        <v>3</v>
      </c>
      <c r="B261" s="1799" t="s">
        <v>2077</v>
      </c>
      <c r="C261" s="1779" t="s">
        <v>1936</v>
      </c>
      <c r="D261" s="1780">
        <f>H261*'REKAP RAB'!$K$3</f>
        <v>593.50600000000009</v>
      </c>
      <c r="E261" s="1682">
        <f>N261*'REKAP RAB'!$O$7</f>
        <v>124930.24999999999</v>
      </c>
      <c r="F261" s="1682">
        <f t="shared" si="319"/>
        <v>74146852.956500009</v>
      </c>
      <c r="G261" s="1681"/>
      <c r="H261" s="1780">
        <f>'Pas. Dinding'!I133</f>
        <v>593.50600000000009</v>
      </c>
      <c r="I261" s="1667">
        <f>Analisa!$F$521</f>
        <v>24635</v>
      </c>
      <c r="J261" s="1667">
        <f>Analisa!$G$521</f>
        <v>84000</v>
      </c>
      <c r="K261" s="1666"/>
      <c r="L261" s="1666"/>
      <c r="M261" s="1665"/>
      <c r="N261" s="1664">
        <f t="shared" si="320"/>
        <v>108635</v>
      </c>
      <c r="O261" s="1664">
        <f t="shared" si="321"/>
        <v>64475524.31000001</v>
      </c>
      <c r="P261" s="1804"/>
      <c r="R261" s="1670"/>
      <c r="S261" s="1670"/>
      <c r="T261" s="1670"/>
      <c r="V261" s="1656"/>
      <c r="W261" s="1781"/>
      <c r="X261" s="1781"/>
      <c r="Y261" s="1781"/>
      <c r="Z261" s="1656"/>
      <c r="AA261" s="1781"/>
      <c r="AB261" s="1781"/>
      <c r="AC261" s="1781"/>
      <c r="AD261" s="1781"/>
      <c r="AE261" s="1781"/>
      <c r="AF261" s="1670">
        <f t="shared" si="322"/>
        <v>0</v>
      </c>
      <c r="AG261" s="1670">
        <f t="shared" si="323"/>
        <v>0</v>
      </c>
      <c r="AH261" s="1670">
        <f t="shared" si="324"/>
        <v>0</v>
      </c>
      <c r="AI261" s="1781"/>
      <c r="AJ261" s="1781"/>
      <c r="AK261" s="1781"/>
      <c r="AL261" s="1781"/>
      <c r="AM261" s="1781"/>
      <c r="AN261" s="1781"/>
      <c r="AO261" s="1781"/>
    </row>
    <row r="262" spans="1:41" s="1599" customFormat="1" ht="18.75" customHeight="1">
      <c r="A262" s="1805">
        <v>4</v>
      </c>
      <c r="B262" s="1799" t="s">
        <v>1962</v>
      </c>
      <c r="C262" s="1779" t="s">
        <v>1936</v>
      </c>
      <c r="D262" s="1780">
        <f>H262*'REKAP RAB'!$K$3</f>
        <v>158.435</v>
      </c>
      <c r="E262" s="1682">
        <f>N262*'REKAP RAB'!$O$7</f>
        <v>124930.24999999999</v>
      </c>
      <c r="F262" s="1682">
        <f t="shared" si="319"/>
        <v>19793324.158749998</v>
      </c>
      <c r="G262" s="1681"/>
      <c r="H262" s="1780">
        <f>SUM('Retaining Wall'!D169,'Retaining Wall'!D170,'Retaining Wall'!D171,'Retaining Wall'!D175)</f>
        <v>158.435</v>
      </c>
      <c r="I262" s="1667">
        <f>Analisa!$F$521</f>
        <v>24635</v>
      </c>
      <c r="J262" s="1667">
        <f>Analisa!$G$521</f>
        <v>84000</v>
      </c>
      <c r="K262" s="1666"/>
      <c r="L262" s="1666"/>
      <c r="M262" s="1665"/>
      <c r="N262" s="1664">
        <f t="shared" si="320"/>
        <v>108635</v>
      </c>
      <c r="O262" s="1664">
        <f t="shared" si="321"/>
        <v>17211586.225000001</v>
      </c>
      <c r="P262" s="1804"/>
      <c r="R262" s="1670"/>
      <c r="S262" s="1670"/>
      <c r="T262" s="1670"/>
      <c r="V262" s="1656"/>
      <c r="W262" s="1781"/>
      <c r="X262" s="1781"/>
      <c r="Y262" s="1781"/>
      <c r="Z262" s="1656"/>
      <c r="AA262" s="1781"/>
      <c r="AB262" s="1781"/>
      <c r="AC262" s="1781"/>
      <c r="AD262" s="1781"/>
      <c r="AE262" s="1781"/>
      <c r="AF262" s="1670">
        <f t="shared" si="322"/>
        <v>0</v>
      </c>
      <c r="AG262" s="1670">
        <f t="shared" si="323"/>
        <v>0</v>
      </c>
      <c r="AH262" s="1670">
        <f t="shared" si="324"/>
        <v>0</v>
      </c>
      <c r="AI262" s="1781"/>
      <c r="AJ262" s="1781"/>
      <c r="AK262" s="1781"/>
      <c r="AL262" s="1781"/>
      <c r="AM262" s="1781"/>
      <c r="AN262" s="1781"/>
      <c r="AO262" s="1781"/>
    </row>
    <row r="263" spans="1:41" s="1599" customFormat="1" ht="18.75" customHeight="1">
      <c r="A263" s="1805">
        <v>5</v>
      </c>
      <c r="B263" s="1799" t="s">
        <v>1961</v>
      </c>
      <c r="C263" s="1779" t="s">
        <v>1936</v>
      </c>
      <c r="D263" s="1780">
        <f>H263*'REKAP RAB'!$K$3</f>
        <v>751.94100000000003</v>
      </c>
      <c r="E263" s="1682">
        <f>N263*'REKAP RAB'!$O$7</f>
        <v>53302.499999999993</v>
      </c>
      <c r="F263" s="1682">
        <f t="shared" si="319"/>
        <v>40080335.152499996</v>
      </c>
      <c r="G263" s="1681"/>
      <c r="H263" s="1780">
        <f>SUM(H261:H262)</f>
        <v>751.94100000000003</v>
      </c>
      <c r="I263" s="1667">
        <f>Analisa!$F$535</f>
        <v>16350</v>
      </c>
      <c r="J263" s="1667">
        <f>Analisa!$G$535</f>
        <v>30000</v>
      </c>
      <c r="K263" s="1666"/>
      <c r="L263" s="1666"/>
      <c r="M263" s="1665"/>
      <c r="N263" s="1664">
        <f t="shared" si="320"/>
        <v>46350</v>
      </c>
      <c r="O263" s="1664">
        <f t="shared" si="321"/>
        <v>34852465.350000001</v>
      </c>
      <c r="P263" s="1804"/>
      <c r="R263" s="1670"/>
      <c r="S263" s="1670"/>
      <c r="T263" s="1670"/>
      <c r="V263" s="1656"/>
      <c r="W263" s="1781"/>
      <c r="X263" s="1781"/>
      <c r="Y263" s="1781"/>
      <c r="Z263" s="1656"/>
      <c r="AA263" s="1781"/>
      <c r="AB263" s="1781"/>
      <c r="AC263" s="1781"/>
      <c r="AD263" s="1781"/>
      <c r="AE263" s="1781"/>
      <c r="AF263" s="1670">
        <f t="shared" si="322"/>
        <v>0</v>
      </c>
      <c r="AG263" s="1670">
        <f t="shared" si="323"/>
        <v>0</v>
      </c>
      <c r="AH263" s="1670">
        <f t="shared" si="324"/>
        <v>0</v>
      </c>
      <c r="AI263" s="1781"/>
      <c r="AJ263" s="1781"/>
      <c r="AK263" s="1781"/>
      <c r="AL263" s="1781"/>
      <c r="AM263" s="1781"/>
      <c r="AN263" s="1781"/>
      <c r="AO263" s="1781"/>
    </row>
    <row r="264" spans="1:41" s="1599" customFormat="1" ht="18.75" customHeight="1">
      <c r="A264" s="1798"/>
      <c r="B264" s="1799"/>
      <c r="C264" s="1779"/>
      <c r="D264" s="1780"/>
      <c r="E264" s="1798"/>
      <c r="F264" s="1798"/>
      <c r="H264" s="1780"/>
      <c r="I264" s="1667"/>
      <c r="J264" s="1666"/>
      <c r="K264" s="1666"/>
      <c r="L264" s="1666"/>
      <c r="M264" s="1665"/>
      <c r="N264" s="1664"/>
      <c r="O264" s="1664"/>
      <c r="R264" s="1656"/>
      <c r="S264" s="1656"/>
      <c r="T264" s="1656"/>
      <c r="V264" s="1656"/>
      <c r="W264" s="1781"/>
      <c r="X264" s="1781"/>
      <c r="Y264" s="1781"/>
      <c r="Z264" s="1656"/>
      <c r="AA264" s="1781"/>
      <c r="AB264" s="1781"/>
      <c r="AC264" s="1781"/>
      <c r="AD264" s="1781"/>
      <c r="AE264" s="1781"/>
      <c r="AF264" s="1781"/>
      <c r="AG264" s="1781"/>
      <c r="AI264" s="1781"/>
      <c r="AJ264" s="1781"/>
      <c r="AK264" s="1781"/>
      <c r="AL264" s="1781"/>
      <c r="AM264" s="1781"/>
      <c r="AN264" s="1781"/>
      <c r="AO264" s="1781"/>
    </row>
    <row r="265" spans="1:41" s="1599" customFormat="1" ht="18.75" customHeight="1" thickBot="1">
      <c r="A265" s="1805"/>
      <c r="B265" s="1799"/>
      <c r="C265" s="1779"/>
      <c r="D265" s="1780"/>
      <c r="E265" s="1682"/>
      <c r="F265" s="1682"/>
      <c r="G265" s="1681"/>
      <c r="H265" s="1780"/>
      <c r="I265" s="1667"/>
      <c r="J265" s="1667"/>
      <c r="K265" s="1666"/>
      <c r="L265" s="1666"/>
      <c r="M265" s="1665"/>
      <c r="N265" s="1664"/>
      <c r="O265" s="1664"/>
      <c r="P265" s="1804"/>
      <c r="R265" s="1670"/>
      <c r="S265" s="1670"/>
      <c r="T265" s="1670"/>
      <c r="V265" s="1656"/>
      <c r="W265" s="1781"/>
      <c r="X265" s="1781"/>
      <c r="Y265" s="1781"/>
      <c r="Z265" s="1656"/>
      <c r="AA265" s="1781"/>
      <c r="AB265" s="1781"/>
      <c r="AC265" s="1781"/>
      <c r="AD265" s="1781"/>
      <c r="AE265" s="1781"/>
      <c r="AF265" s="1670"/>
      <c r="AG265" s="1670"/>
      <c r="AH265" s="1670"/>
      <c r="AI265" s="1781"/>
      <c r="AJ265" s="1781"/>
      <c r="AK265" s="1781"/>
      <c r="AL265" s="1781"/>
      <c r="AM265" s="1781"/>
      <c r="AN265" s="1781"/>
      <c r="AO265" s="1781"/>
    </row>
    <row r="266" spans="1:41" s="1599" customFormat="1" ht="18.75" customHeight="1" thickBot="1">
      <c r="A266" s="2220" t="s">
        <v>2103</v>
      </c>
      <c r="B266" s="2221"/>
      <c r="C266" s="2221"/>
      <c r="D266" s="2221"/>
      <c r="E266" s="2222"/>
      <c r="F266" s="1658">
        <f>SUM(F241:F265)</f>
        <v>1068355209.6639794</v>
      </c>
      <c r="G266" s="1627"/>
      <c r="H266" s="1680"/>
      <c r="I266" s="1679"/>
      <c r="J266" s="1678"/>
      <c r="K266" s="1678"/>
      <c r="L266" s="1678"/>
      <c r="M266" s="1677"/>
      <c r="N266" s="1676"/>
      <c r="O266" s="1658">
        <f>SUM(O238:O265)</f>
        <v>929004530.14259112</v>
      </c>
      <c r="P266" s="1804"/>
      <c r="R266" s="1671"/>
      <c r="S266" s="1671"/>
      <c r="T266" s="1671"/>
      <c r="V266" s="1656"/>
      <c r="W266" s="1781"/>
      <c r="X266" s="1781"/>
      <c r="Y266" s="1781"/>
      <c r="Z266" s="1656"/>
      <c r="AA266" s="1781"/>
      <c r="AB266" s="1781"/>
      <c r="AC266" s="1781"/>
      <c r="AD266" s="1781"/>
      <c r="AE266" s="1781"/>
      <c r="AF266" s="1781"/>
      <c r="AG266" s="1781"/>
      <c r="AI266" s="1781"/>
      <c r="AJ266" s="1781"/>
      <c r="AK266" s="1781"/>
      <c r="AL266" s="1781"/>
      <c r="AM266" s="1781"/>
      <c r="AN266" s="1781"/>
      <c r="AO266" s="1781"/>
    </row>
    <row r="267" spans="1:41" s="1599" customFormat="1" ht="18.75" customHeight="1">
      <c r="A267" s="1798"/>
      <c r="B267" s="1799"/>
      <c r="C267" s="1779"/>
      <c r="D267" s="1780"/>
      <c r="E267" s="1803"/>
      <c r="F267" s="1803"/>
      <c r="G267" s="1804"/>
      <c r="H267" s="1780"/>
      <c r="I267" s="1667"/>
      <c r="J267" s="1666"/>
      <c r="K267" s="1666"/>
      <c r="L267" s="1666"/>
      <c r="M267" s="1665"/>
      <c r="N267" s="1664"/>
      <c r="O267" s="1664"/>
      <c r="P267" s="1804"/>
      <c r="R267" s="1656"/>
      <c r="S267" s="1656"/>
      <c r="T267" s="1656"/>
      <c r="V267" s="1656"/>
      <c r="W267" s="1781"/>
      <c r="X267" s="1781"/>
      <c r="Y267" s="1781"/>
      <c r="Z267" s="1656"/>
      <c r="AA267" s="1781"/>
      <c r="AB267" s="1781"/>
      <c r="AC267" s="1781"/>
      <c r="AD267" s="1781"/>
      <c r="AE267" s="1781"/>
      <c r="AF267" s="1781"/>
      <c r="AG267" s="1781"/>
      <c r="AI267" s="1781"/>
      <c r="AJ267" s="1781"/>
      <c r="AK267" s="1781"/>
      <c r="AL267" s="1781"/>
      <c r="AM267" s="1781"/>
      <c r="AN267" s="1781"/>
      <c r="AO267" s="1781"/>
    </row>
    <row r="268" spans="1:41" s="1599" customFormat="1" ht="18.75" customHeight="1">
      <c r="A268" s="1800" t="s">
        <v>2335</v>
      </c>
      <c r="B268" s="1819" t="s">
        <v>1959</v>
      </c>
      <c r="C268" s="1779"/>
      <c r="D268" s="1798"/>
      <c r="E268" s="1798"/>
      <c r="F268" s="1675"/>
      <c r="G268" s="1627"/>
      <c r="H268" s="1798"/>
      <c r="I268" s="1667"/>
      <c r="J268" s="1666"/>
      <c r="K268" s="1666"/>
      <c r="L268" s="1666"/>
      <c r="M268" s="1665"/>
      <c r="N268" s="1664"/>
      <c r="O268" s="1674"/>
      <c r="P268" s="1802"/>
      <c r="R268" s="1673"/>
      <c r="S268" s="1673"/>
      <c r="T268" s="1673"/>
      <c r="V268" s="1656"/>
      <c r="W268" s="1781"/>
      <c r="X268" s="1781"/>
      <c r="Y268" s="1781"/>
      <c r="Z268" s="1656"/>
      <c r="AA268" s="1781"/>
      <c r="AB268" s="1781"/>
      <c r="AC268" s="1781"/>
      <c r="AD268" s="1781"/>
      <c r="AE268" s="1781"/>
      <c r="AF268" s="1781"/>
      <c r="AG268" s="1781"/>
      <c r="AI268" s="1781"/>
      <c r="AJ268" s="1781"/>
      <c r="AK268" s="1781"/>
      <c r="AL268" s="1781"/>
      <c r="AM268" s="1781"/>
      <c r="AN268" s="1781"/>
      <c r="AO268" s="1781"/>
    </row>
    <row r="269" spans="1:41" s="1599" customFormat="1" ht="18.75" customHeight="1">
      <c r="A269" s="1800"/>
      <c r="B269" s="1809"/>
      <c r="C269" s="1779"/>
      <c r="D269" s="1798"/>
      <c r="E269" s="1798"/>
      <c r="F269" s="1808"/>
      <c r="G269" s="1802"/>
      <c r="H269" s="1798"/>
      <c r="I269" s="1667"/>
      <c r="J269" s="1666"/>
      <c r="K269" s="1666"/>
      <c r="L269" s="1666"/>
      <c r="M269" s="1665"/>
      <c r="N269" s="1664"/>
      <c r="O269" s="1674"/>
      <c r="P269" s="1802"/>
      <c r="R269" s="1673"/>
      <c r="S269" s="1673"/>
      <c r="T269" s="1673"/>
      <c r="V269" s="1656"/>
      <c r="W269" s="1781"/>
      <c r="X269" s="1781"/>
      <c r="Y269" s="1781"/>
      <c r="Z269" s="1656"/>
      <c r="AA269" s="1781"/>
      <c r="AB269" s="1781"/>
      <c r="AC269" s="1781"/>
      <c r="AD269" s="1781"/>
      <c r="AE269" s="1781"/>
      <c r="AF269" s="1781"/>
      <c r="AG269" s="1781"/>
      <c r="AI269" s="1781"/>
      <c r="AJ269" s="1781"/>
      <c r="AK269" s="1781"/>
      <c r="AL269" s="1781"/>
      <c r="AM269" s="1781"/>
      <c r="AN269" s="1781"/>
      <c r="AO269" s="1781"/>
    </row>
    <row r="270" spans="1:41" s="1599" customFormat="1" ht="15.75">
      <c r="A270" s="1798">
        <v>1</v>
      </c>
      <c r="B270" s="1799" t="s">
        <v>1958</v>
      </c>
      <c r="C270" s="1779" t="s">
        <v>352</v>
      </c>
      <c r="D270" s="1780">
        <f t="shared" ref="D270:D274" si="325">H270</f>
        <v>1</v>
      </c>
      <c r="E270" s="1622">
        <f>N270*'REKAP RAB'!$O$8</f>
        <v>67800000</v>
      </c>
      <c r="F270" s="1669">
        <f t="shared" ref="F270:F274" si="326">D270*E270</f>
        <v>67800000</v>
      </c>
      <c r="G270" s="1672"/>
      <c r="H270" s="1780">
        <v>1</v>
      </c>
      <c r="I270" s="1667">
        <f>60%*70%*100000000</f>
        <v>42000000</v>
      </c>
      <c r="J270" s="1667">
        <f>60%*30%*100000000</f>
        <v>18000000</v>
      </c>
      <c r="K270" s="1666"/>
      <c r="L270" s="1666"/>
      <c r="M270" s="1665"/>
      <c r="N270" s="1664">
        <f t="shared" ref="N270:N274" si="327">SUM(I270:M270)</f>
        <v>60000000</v>
      </c>
      <c r="O270" s="1664">
        <f t="shared" ref="O270:O274" si="328">H270*N270</f>
        <v>60000000</v>
      </c>
      <c r="P270" s="1804"/>
      <c r="R270" s="1671"/>
      <c r="S270" s="1671"/>
      <c r="T270" s="1671"/>
      <c r="V270" s="1656"/>
      <c r="W270" s="1781"/>
      <c r="X270" s="1781"/>
      <c r="Y270" s="1781"/>
      <c r="Z270" s="1656"/>
      <c r="AA270" s="1781"/>
      <c r="AB270" s="1781"/>
      <c r="AC270" s="1781"/>
      <c r="AD270" s="1781"/>
      <c r="AE270" s="1781"/>
      <c r="AF270" s="1670">
        <f>R270+V270*W270+Z270*AA270+AC270*AD270</f>
        <v>0</v>
      </c>
      <c r="AG270" s="1670">
        <f>S270</f>
        <v>0</v>
      </c>
      <c r="AH270" s="1670">
        <f>T270+V270*X270</f>
        <v>0</v>
      </c>
      <c r="AI270" s="1781"/>
      <c r="AJ270" s="1781"/>
      <c r="AK270" s="1781"/>
      <c r="AL270" s="1781"/>
      <c r="AM270" s="1781"/>
      <c r="AN270" s="1781"/>
      <c r="AO270" s="1781"/>
    </row>
    <row r="271" spans="1:41" s="1599" customFormat="1" ht="15.75">
      <c r="A271" s="1798">
        <v>2</v>
      </c>
      <c r="B271" s="1799" t="s">
        <v>1957</v>
      </c>
      <c r="C271" s="1779" t="s">
        <v>352</v>
      </c>
      <c r="D271" s="1780">
        <f t="shared" si="325"/>
        <v>1</v>
      </c>
      <c r="E271" s="1622">
        <f>N271*'REKAP RAB'!$O$8</f>
        <v>28249999.999999996</v>
      </c>
      <c r="F271" s="1669">
        <f t="shared" si="326"/>
        <v>28249999.999999996</v>
      </c>
      <c r="G271" s="1672"/>
      <c r="H271" s="1780">
        <v>1</v>
      </c>
      <c r="I271" s="1667">
        <f>25%*70%*100000000</f>
        <v>17500000</v>
      </c>
      <c r="J271" s="1667">
        <f>25%*30%*100000000</f>
        <v>7500000</v>
      </c>
      <c r="K271" s="1666"/>
      <c r="L271" s="1666"/>
      <c r="M271" s="1665"/>
      <c r="N271" s="1664">
        <f t="shared" si="327"/>
        <v>25000000</v>
      </c>
      <c r="O271" s="1664">
        <f t="shared" si="328"/>
        <v>25000000</v>
      </c>
      <c r="P271" s="1804"/>
      <c r="R271" s="1671"/>
      <c r="S271" s="1671"/>
      <c r="T271" s="1671"/>
      <c r="V271" s="1656"/>
      <c r="W271" s="1781"/>
      <c r="X271" s="1781"/>
      <c r="Y271" s="1781"/>
      <c r="Z271" s="1656"/>
      <c r="AA271" s="1781"/>
      <c r="AB271" s="1781"/>
      <c r="AC271" s="1781"/>
      <c r="AD271" s="1781"/>
      <c r="AE271" s="1781"/>
      <c r="AF271" s="1670">
        <f>R271+V271*W271+Z271*AA271+AC271*AD271</f>
        <v>0</v>
      </c>
      <c r="AG271" s="1670">
        <f>S271</f>
        <v>0</v>
      </c>
      <c r="AH271" s="1670">
        <f>T271+V271*X271</f>
        <v>0</v>
      </c>
      <c r="AI271" s="1781"/>
      <c r="AJ271" s="1781"/>
      <c r="AK271" s="1781"/>
      <c r="AL271" s="1781"/>
      <c r="AM271" s="1781"/>
      <c r="AN271" s="1781"/>
      <c r="AO271" s="1781"/>
    </row>
    <row r="272" spans="1:41" s="1599" customFormat="1" ht="15.75">
      <c r="A272" s="1798">
        <v>3</v>
      </c>
      <c r="B272" s="1799" t="s">
        <v>1956</v>
      </c>
      <c r="C272" s="1779" t="s">
        <v>352</v>
      </c>
      <c r="D272" s="1780">
        <f t="shared" si="325"/>
        <v>1</v>
      </c>
      <c r="E272" s="1622">
        <f>N272*'REKAP RAB'!$O$8</f>
        <v>16950000</v>
      </c>
      <c r="F272" s="1669">
        <f t="shared" si="326"/>
        <v>16950000</v>
      </c>
      <c r="G272" s="1672"/>
      <c r="H272" s="1780">
        <v>1</v>
      </c>
      <c r="I272" s="1667">
        <f>15%*70%*100000000</f>
        <v>10500000</v>
      </c>
      <c r="J272" s="1667">
        <f>15%*30%*100000000</f>
        <v>4500000</v>
      </c>
      <c r="K272" s="1666"/>
      <c r="L272" s="1666"/>
      <c r="M272" s="1665"/>
      <c r="N272" s="1664">
        <f t="shared" si="327"/>
        <v>15000000</v>
      </c>
      <c r="O272" s="1664">
        <f t="shared" si="328"/>
        <v>15000000</v>
      </c>
      <c r="P272" s="1804"/>
      <c r="R272" s="1671"/>
      <c r="S272" s="1671"/>
      <c r="T272" s="1671"/>
      <c r="V272" s="1656"/>
      <c r="W272" s="1781"/>
      <c r="X272" s="1781"/>
      <c r="Y272" s="1781"/>
      <c r="Z272" s="1656"/>
      <c r="AA272" s="1781"/>
      <c r="AB272" s="1781"/>
      <c r="AC272" s="1781"/>
      <c r="AD272" s="1781"/>
      <c r="AE272" s="1781"/>
      <c r="AF272" s="1670">
        <f>R272+V272*W272+Z272*AA272+AC272*AD272</f>
        <v>0</v>
      </c>
      <c r="AG272" s="1670">
        <f>S272</f>
        <v>0</v>
      </c>
      <c r="AH272" s="1670">
        <f>T272+V272*X272</f>
        <v>0</v>
      </c>
      <c r="AI272" s="1781"/>
      <c r="AJ272" s="1781"/>
      <c r="AK272" s="1781"/>
      <c r="AL272" s="1781"/>
      <c r="AM272" s="1781"/>
      <c r="AN272" s="1781"/>
      <c r="AO272" s="1781"/>
    </row>
    <row r="273" spans="1:41" s="1599" customFormat="1" ht="15.75">
      <c r="A273" s="1798">
        <v>4</v>
      </c>
      <c r="B273" s="1799" t="s">
        <v>2079</v>
      </c>
      <c r="C273" s="1779" t="s">
        <v>50</v>
      </c>
      <c r="D273" s="1780">
        <f t="shared" ref="D273" si="329">H273</f>
        <v>84</v>
      </c>
      <c r="E273" s="1622">
        <f>N273*'REKAP RAB'!$O$8</f>
        <v>437833.5380399999</v>
      </c>
      <c r="F273" s="1669">
        <f t="shared" ref="F273" si="330">D273*E273</f>
        <v>36778017.19535999</v>
      </c>
      <c r="G273" s="1672"/>
      <c r="H273" s="1780">
        <f>2*20+2*22</f>
        <v>84</v>
      </c>
      <c r="I273" s="1667">
        <f>Analisa!F$637</f>
        <v>347463.30799999996</v>
      </c>
      <c r="J273" s="1667">
        <f>Analisa!G$637</f>
        <v>40000</v>
      </c>
      <c r="K273" s="1786"/>
      <c r="L273" s="1786"/>
      <c r="M273" s="1665"/>
      <c r="N273" s="1664">
        <f t="shared" ref="N273" si="331">SUM(I273:M273)</f>
        <v>387463.30799999996</v>
      </c>
      <c r="O273" s="1664">
        <f t="shared" ref="O273" si="332">H273*N273</f>
        <v>32546917.871999998</v>
      </c>
      <c r="P273" s="1804"/>
      <c r="R273" s="1671"/>
      <c r="S273" s="1671"/>
      <c r="T273" s="1671"/>
      <c r="V273" s="1656"/>
      <c r="W273" s="1781"/>
      <c r="X273" s="1781"/>
      <c r="Y273" s="1781"/>
      <c r="Z273" s="1656"/>
      <c r="AA273" s="1781"/>
      <c r="AB273" s="1781"/>
      <c r="AC273" s="1781"/>
      <c r="AD273" s="1781"/>
      <c r="AE273" s="1781"/>
      <c r="AF273" s="1670"/>
      <c r="AG273" s="1670"/>
      <c r="AH273" s="1670"/>
      <c r="AI273" s="1781"/>
      <c r="AJ273" s="1781"/>
      <c r="AK273" s="1781"/>
      <c r="AL273" s="1781"/>
      <c r="AM273" s="1781"/>
      <c r="AN273" s="1781"/>
      <c r="AO273" s="1781"/>
    </row>
    <row r="274" spans="1:41" s="1599" customFormat="1" ht="15.75">
      <c r="A274" s="1798">
        <v>5</v>
      </c>
      <c r="B274" s="1799" t="s">
        <v>2206</v>
      </c>
      <c r="C274" s="1779" t="s">
        <v>1426</v>
      </c>
      <c r="D274" s="1780">
        <f t="shared" si="325"/>
        <v>2</v>
      </c>
      <c r="E274" s="1622">
        <f>N274*'REKAP RAB'!$O$8</f>
        <v>3219369.9999999995</v>
      </c>
      <c r="F274" s="1669">
        <f t="shared" si="326"/>
        <v>6438739.9999999991</v>
      </c>
      <c r="G274" s="1668"/>
      <c r="H274" s="1780">
        <v>2</v>
      </c>
      <c r="I274" s="1667">
        <f>Material!G96</f>
        <v>2136750</v>
      </c>
      <c r="J274" s="1666">
        <f>I274/3</f>
        <v>712250</v>
      </c>
      <c r="K274" s="1666"/>
      <c r="L274" s="1666"/>
      <c r="M274" s="1665"/>
      <c r="N274" s="1664">
        <f t="shared" si="327"/>
        <v>2849000</v>
      </c>
      <c r="O274" s="1664">
        <f t="shared" si="328"/>
        <v>5698000</v>
      </c>
      <c r="P274" s="1804"/>
      <c r="R274" s="1671"/>
      <c r="S274" s="1671"/>
      <c r="T274" s="1671"/>
      <c r="V274" s="1656"/>
      <c r="W274" s="1781"/>
      <c r="X274" s="1781"/>
      <c r="Y274" s="1781"/>
      <c r="Z274" s="1656"/>
      <c r="AA274" s="1781"/>
      <c r="AB274" s="1781"/>
      <c r="AC274" s="1781"/>
      <c r="AD274" s="1781"/>
      <c r="AE274" s="1781"/>
      <c r="AF274" s="1670"/>
      <c r="AG274" s="1670"/>
      <c r="AH274" s="1670"/>
      <c r="AI274" s="1781"/>
      <c r="AJ274" s="1781"/>
      <c r="AK274" s="1781"/>
      <c r="AL274" s="1781"/>
      <c r="AM274" s="1781"/>
      <c r="AN274" s="1781"/>
      <c r="AO274" s="1781"/>
    </row>
    <row r="275" spans="1:41" s="1599" customFormat="1" ht="15.75">
      <c r="A275" s="1798">
        <v>5</v>
      </c>
      <c r="B275" s="1799" t="s">
        <v>2343</v>
      </c>
      <c r="C275" s="1779" t="s">
        <v>1426</v>
      </c>
      <c r="D275" s="1780">
        <v>1</v>
      </c>
      <c r="E275" s="1622">
        <f>N275*'REKAP RAB'!$O$8</f>
        <v>7542523.9999999991</v>
      </c>
      <c r="F275" s="1669">
        <f t="shared" ref="F275" si="333">D275*E275</f>
        <v>7542523.9999999991</v>
      </c>
      <c r="G275" s="1668"/>
      <c r="H275" s="1780">
        <v>1</v>
      </c>
      <c r="I275" s="1667">
        <f>Material!G98</f>
        <v>5006100</v>
      </c>
      <c r="J275" s="1666">
        <f>I275/3</f>
        <v>1668700</v>
      </c>
      <c r="K275" s="1666"/>
      <c r="L275" s="1666"/>
      <c r="M275" s="1665"/>
      <c r="N275" s="1664">
        <f t="shared" ref="N275" si="334">SUM(I275:M275)</f>
        <v>6674800</v>
      </c>
      <c r="O275" s="1664">
        <f t="shared" ref="O275" si="335">H275*N275</f>
        <v>6674800</v>
      </c>
      <c r="P275" s="1804"/>
      <c r="R275" s="1671"/>
      <c r="S275" s="1671"/>
      <c r="T275" s="1671"/>
      <c r="V275" s="1656"/>
      <c r="W275" s="1781"/>
      <c r="X275" s="1781"/>
      <c r="Y275" s="1781"/>
      <c r="Z275" s="1656"/>
      <c r="AA275" s="1781"/>
      <c r="AB275" s="1781"/>
      <c r="AC275" s="1781"/>
      <c r="AD275" s="1781"/>
      <c r="AE275" s="1781"/>
      <c r="AF275" s="1670"/>
      <c r="AG275" s="1670"/>
      <c r="AH275" s="1670"/>
      <c r="AI275" s="1781"/>
      <c r="AJ275" s="1781"/>
      <c r="AK275" s="1781"/>
      <c r="AL275" s="1781"/>
      <c r="AM275" s="1781"/>
      <c r="AN275" s="1781"/>
      <c r="AO275" s="1781"/>
    </row>
    <row r="276" spans="1:41" s="1599" customFormat="1" ht="15.75">
      <c r="A276" s="1798">
        <v>6</v>
      </c>
      <c r="B276" s="1799" t="s">
        <v>2078</v>
      </c>
      <c r="C276" s="1779" t="s">
        <v>1426</v>
      </c>
      <c r="D276" s="1780">
        <f t="shared" ref="D276" si="336">H276</f>
        <v>12</v>
      </c>
      <c r="E276" s="1622">
        <f>N276*'REKAP RAB'!$O$8</f>
        <v>2824999.9999999995</v>
      </c>
      <c r="F276" s="1669">
        <f t="shared" ref="F276:F278" si="337">D276*E276</f>
        <v>33899999.999999993</v>
      </c>
      <c r="G276" s="1668"/>
      <c r="H276" s="1780">
        <v>12</v>
      </c>
      <c r="I276" s="1667">
        <v>1750000</v>
      </c>
      <c r="J276" s="1786">
        <v>750000</v>
      </c>
      <c r="K276" s="1786"/>
      <c r="L276" s="1786"/>
      <c r="M276" s="1665"/>
      <c r="N276" s="1664">
        <f t="shared" ref="N276" si="338">SUM(I276:M276)</f>
        <v>2500000</v>
      </c>
      <c r="O276" s="1664">
        <f t="shared" ref="O276:O278" si="339">H276*N276</f>
        <v>30000000</v>
      </c>
      <c r="P276" s="1804"/>
      <c r="R276" s="1671"/>
      <c r="S276" s="1671"/>
      <c r="T276" s="1671"/>
      <c r="V276" s="1656"/>
      <c r="W276" s="1781"/>
      <c r="X276" s="1781"/>
      <c r="Y276" s="1781"/>
      <c r="Z276" s="1656"/>
      <c r="AA276" s="1781"/>
      <c r="AB276" s="1781"/>
      <c r="AC276" s="1781"/>
      <c r="AD276" s="1781"/>
      <c r="AE276" s="1781"/>
      <c r="AF276" s="1670"/>
      <c r="AG276" s="1670"/>
      <c r="AH276" s="1670"/>
      <c r="AI276" s="1781"/>
      <c r="AJ276" s="1781"/>
      <c r="AK276" s="1781"/>
      <c r="AL276" s="1781"/>
      <c r="AM276" s="1781"/>
      <c r="AN276" s="1781"/>
      <c r="AO276" s="1781"/>
    </row>
    <row r="277" spans="1:41" s="1599" customFormat="1" ht="18.75" customHeight="1">
      <c r="A277" s="1798">
        <v>7</v>
      </c>
      <c r="B277" s="1799" t="s">
        <v>2277</v>
      </c>
      <c r="C277" s="1779" t="s">
        <v>1426</v>
      </c>
      <c r="D277" s="1780">
        <v>1</v>
      </c>
      <c r="E277" s="1622">
        <f>N277*'REKAP RAB'!$O$8</f>
        <v>33900000</v>
      </c>
      <c r="F277" s="1669">
        <f t="shared" si="337"/>
        <v>33900000</v>
      </c>
      <c r="G277" s="1668"/>
      <c r="H277" s="1780">
        <v>1</v>
      </c>
      <c r="I277" s="2017">
        <v>20000000</v>
      </c>
      <c r="J277" s="1666">
        <v>10000000</v>
      </c>
      <c r="K277" s="1666"/>
      <c r="L277" s="1666"/>
      <c r="M277" s="1665"/>
      <c r="N277" s="1664">
        <f t="shared" ref="N277:N278" si="340">SUM(I277:M277)</f>
        <v>30000000</v>
      </c>
      <c r="O277" s="1664">
        <f t="shared" si="339"/>
        <v>30000000</v>
      </c>
      <c r="P277" s="1804">
        <f>24*70000</f>
        <v>1680000</v>
      </c>
      <c r="R277" s="2030"/>
      <c r="S277" s="2030"/>
      <c r="T277" s="2030"/>
      <c r="V277" s="2018"/>
      <c r="W277" s="1781"/>
      <c r="X277" s="1781"/>
      <c r="Y277" s="1781"/>
      <c r="Z277" s="2018"/>
      <c r="AA277" s="1781"/>
      <c r="AB277" s="1781"/>
      <c r="AC277" s="1781"/>
      <c r="AD277" s="1781"/>
      <c r="AE277" s="1781"/>
      <c r="AF277" s="2029"/>
      <c r="AG277" s="2029"/>
      <c r="AH277" s="2029"/>
      <c r="AI277" s="1781"/>
      <c r="AJ277" s="1781"/>
      <c r="AK277" s="1781"/>
      <c r="AL277" s="1781"/>
      <c r="AM277" s="1781"/>
      <c r="AN277" s="1781"/>
      <c r="AO277" s="1781"/>
    </row>
    <row r="278" spans="1:41" s="1599" customFormat="1" ht="18.75" customHeight="1">
      <c r="A278" s="1798">
        <v>8</v>
      </c>
      <c r="B278" s="1799" t="s">
        <v>2278</v>
      </c>
      <c r="C278" s="1779" t="s">
        <v>1426</v>
      </c>
      <c r="D278" s="1780">
        <v>1</v>
      </c>
      <c r="E278" s="1622">
        <f>N278*'REKAP RAB'!$O$8</f>
        <v>28249999.999999996</v>
      </c>
      <c r="F278" s="1669">
        <f t="shared" si="337"/>
        <v>28249999.999999996</v>
      </c>
      <c r="G278" s="1668"/>
      <c r="H278" s="1780">
        <v>1</v>
      </c>
      <c r="I278" s="2017">
        <v>15000000</v>
      </c>
      <c r="J278" s="1666">
        <v>10000000</v>
      </c>
      <c r="K278" s="1666"/>
      <c r="L278" s="1666"/>
      <c r="M278" s="1665"/>
      <c r="N278" s="1664">
        <f t="shared" si="340"/>
        <v>25000000</v>
      </c>
      <c r="O278" s="1664">
        <f t="shared" si="339"/>
        <v>25000000</v>
      </c>
      <c r="P278" s="2029"/>
      <c r="R278" s="2029">
        <f>[166]Analisa!$F$193</f>
        <v>1223775</v>
      </c>
      <c r="S278" s="2029">
        <f>[166]Analisa!$G$225</f>
        <v>1250000</v>
      </c>
      <c r="T278" s="2029">
        <f>[166]Analisa!$H$225</f>
        <v>215000</v>
      </c>
      <c r="V278" s="2018" t="e">
        <f>'[167]Retaining Wall'!#REF!</f>
        <v>#REF!</v>
      </c>
      <c r="W278" s="2029">
        <f>[166]Analisa!F$162</f>
        <v>97482.638888888891</v>
      </c>
      <c r="X278" s="2029"/>
      <c r="Y278" s="1781"/>
      <c r="Z278" s="2018"/>
      <c r="AA278" s="2029">
        <f>[166]Analisa!$F$233</f>
        <v>11492.5</v>
      </c>
      <c r="AB278" s="2029"/>
      <c r="AC278" s="2029"/>
      <c r="AD278" s="1781"/>
      <c r="AE278" s="1781"/>
      <c r="AF278" s="2029" t="e">
        <f>R278+V278*W278+Z278*AA278</f>
        <v>#REF!</v>
      </c>
      <c r="AG278" s="2029">
        <f>S278</f>
        <v>1250000</v>
      </c>
      <c r="AH278" s="2029" t="e">
        <f>T278+V278*X278</f>
        <v>#REF!</v>
      </c>
      <c r="AI278" s="1781"/>
      <c r="AJ278" s="1781"/>
      <c r="AK278" s="1781"/>
      <c r="AL278" s="1781"/>
      <c r="AM278" s="1781"/>
      <c r="AN278" s="1781"/>
      <c r="AO278" s="1781"/>
    </row>
    <row r="279" spans="1:41" s="1599" customFormat="1" ht="18.75" customHeight="1" thickBot="1">
      <c r="A279" s="1798"/>
      <c r="B279" s="1799"/>
      <c r="C279" s="1779"/>
      <c r="D279" s="1780"/>
      <c r="E279" s="1668"/>
      <c r="F279" s="1669"/>
      <c r="G279" s="1668"/>
      <c r="H279" s="1780"/>
      <c r="I279" s="1667"/>
      <c r="J279" s="1666"/>
      <c r="K279" s="1666"/>
      <c r="L279" s="1666"/>
      <c r="M279" s="1665"/>
      <c r="N279" s="1664"/>
      <c r="O279" s="1664"/>
      <c r="P279" s="1804"/>
      <c r="R279" s="1656"/>
      <c r="S279" s="1656"/>
      <c r="T279" s="1656"/>
      <c r="V279" s="1656"/>
      <c r="W279" s="1781"/>
      <c r="X279" s="1781"/>
      <c r="Y279" s="1781"/>
      <c r="Z279" s="1656"/>
      <c r="AA279" s="1781"/>
      <c r="AB279" s="1781"/>
      <c r="AC279" s="1781"/>
      <c r="AD279" s="1781"/>
      <c r="AE279" s="1781"/>
      <c r="AF279" s="1781"/>
      <c r="AG279" s="1781"/>
      <c r="AI279" s="1781"/>
      <c r="AJ279" s="1781"/>
      <c r="AK279" s="1781"/>
      <c r="AL279" s="1781"/>
      <c r="AM279" s="1781"/>
      <c r="AN279" s="1781"/>
      <c r="AO279" s="1781"/>
    </row>
    <row r="280" spans="1:41" s="1599" customFormat="1" ht="18.75" customHeight="1" thickBot="1">
      <c r="A280" s="2217" t="s">
        <v>1955</v>
      </c>
      <c r="B280" s="2218"/>
      <c r="C280" s="2218"/>
      <c r="D280" s="2218"/>
      <c r="E280" s="2219"/>
      <c r="F280" s="1658">
        <f>SUM(F267:F279)</f>
        <v>259809281.19536</v>
      </c>
      <c r="G280" s="1627"/>
      <c r="H280" s="1663"/>
      <c r="I280" s="1662"/>
      <c r="J280" s="1661"/>
      <c r="K280" s="1661"/>
      <c r="L280" s="1661"/>
      <c r="M280" s="1660"/>
      <c r="N280" s="1659"/>
      <c r="O280" s="1658">
        <f>SUM(O267:O279)</f>
        <v>229919717.87199998</v>
      </c>
      <c r="P280" s="1804"/>
      <c r="R280" s="1656"/>
      <c r="S280" s="1656"/>
      <c r="T280" s="1656"/>
      <c r="V280" s="1656"/>
      <c r="W280" s="1781"/>
      <c r="X280" s="1781"/>
      <c r="Y280" s="1781"/>
      <c r="Z280" s="1656"/>
      <c r="AA280" s="1781"/>
      <c r="AB280" s="1781"/>
      <c r="AC280" s="1781"/>
      <c r="AD280" s="1781"/>
      <c r="AE280" s="1781"/>
      <c r="AF280" s="1781"/>
      <c r="AG280" s="1781"/>
      <c r="AI280" s="1781"/>
      <c r="AJ280" s="1781"/>
      <c r="AK280" s="1781"/>
      <c r="AL280" s="1781"/>
      <c r="AM280" s="1781"/>
      <c r="AN280" s="1781"/>
      <c r="AO280" s="1781"/>
    </row>
    <row r="285" spans="1:41" s="1599" customFormat="1" ht="18.75" customHeight="1">
      <c r="B285" s="1630"/>
      <c r="C285" s="1613"/>
      <c r="R285" s="1657">
        <f>SUMPRODUCT(H8:H280,T8:T280)</f>
        <v>53104232.558316641</v>
      </c>
      <c r="S285" s="1656"/>
      <c r="T285" s="1656"/>
      <c r="V285" s="1656"/>
      <c r="W285" s="1781"/>
      <c r="X285" s="1524" t="e">
        <f>SUMPRODUCT(H8:H280,V8:V280,X8:X280)</f>
        <v>#REF!</v>
      </c>
      <c r="Y285" s="1781"/>
      <c r="Z285" s="1656"/>
      <c r="AA285" s="1781"/>
      <c r="AB285" s="1781"/>
      <c r="AC285" s="1781"/>
      <c r="AD285" s="1781"/>
      <c r="AE285" s="1781"/>
      <c r="AF285" s="1781"/>
      <c r="AG285" s="1781"/>
      <c r="AI285" s="1781"/>
      <c r="AJ285" s="1781"/>
      <c r="AK285" s="1781"/>
      <c r="AL285" s="1781"/>
      <c r="AM285" s="1781"/>
      <c r="AN285" s="1781"/>
      <c r="AO285" s="1781"/>
    </row>
    <row r="286" spans="1:41" s="1599" customFormat="1" ht="15.75">
      <c r="B286" s="1630"/>
      <c r="C286" s="1613"/>
      <c r="F286" s="1654">
        <f>SUM(F8:F285)/2</f>
        <v>4591999273.4859886</v>
      </c>
      <c r="H286" s="1617" t="s">
        <v>138</v>
      </c>
      <c r="I286" s="1655">
        <f>SUMPRODUCT($H8:$H279,I8:I279)</f>
        <v>2184673024.6092834</v>
      </c>
      <c r="J286" s="1655">
        <f>SUMPRODUCT($H8:$H279,J8:J279)</f>
        <v>1190363120.7743764</v>
      </c>
      <c r="K286" s="1655">
        <f>SUMPRODUCT($H8:$H279,K8:K279)</f>
        <v>101661527.19321392</v>
      </c>
      <c r="L286" s="1655">
        <f>SUMPRODUCT($H8:$H279,L8:L279)</f>
        <v>500606020.23380005</v>
      </c>
      <c r="M286" s="1655">
        <f>SUMPRODUCT($H8:$H279,M8:M279)</f>
        <v>64200000</v>
      </c>
      <c r="N286" s="1617"/>
      <c r="O286" s="1654">
        <f>SUM(O8:O285)/2</f>
        <v>4014579947.4419994</v>
      </c>
      <c r="P286" s="1820">
        <f>SUM(I286:M286)-O286</f>
        <v>26923745.368674278</v>
      </c>
      <c r="R286" s="1599" t="s">
        <v>1954</v>
      </c>
      <c r="W286" s="1781"/>
      <c r="X286" s="1781" t="s">
        <v>1953</v>
      </c>
      <c r="Y286" s="1781"/>
      <c r="Z286" s="1781"/>
      <c r="AA286" s="1781"/>
      <c r="AB286" s="1781"/>
      <c r="AC286" s="1781"/>
      <c r="AD286" s="1781"/>
      <c r="AE286" s="1781"/>
      <c r="AF286" s="1781"/>
      <c r="AG286" s="1781"/>
      <c r="AI286" s="1781"/>
      <c r="AJ286" s="1781"/>
      <c r="AK286" s="1781"/>
      <c r="AL286" s="1781"/>
      <c r="AM286" s="1781"/>
      <c r="AN286" s="1781"/>
      <c r="AO286" s="1781"/>
    </row>
    <row r="287" spans="1:41">
      <c r="H287" s="1599" t="s">
        <v>1952</v>
      </c>
      <c r="I287" s="1653">
        <f>I286/'REKAP RAB'!$K$19</f>
        <v>2735057.3723849002</v>
      </c>
      <c r="J287" s="1653">
        <f>J286/'REKAP RAB'!$K$19</f>
        <v>1490251.1234473274</v>
      </c>
      <c r="K287" s="1653">
        <f>K286/'REKAP RAB'!$K$19</f>
        <v>127273.10050776841</v>
      </c>
      <c r="L287" s="1653">
        <f>L286/'REKAP RAB'!$K$19</f>
        <v>626723.61990902072</v>
      </c>
      <c r="M287" s="1653">
        <f>M286/'REKAP RAB'!$K$19</f>
        <v>80373.896381365354</v>
      </c>
      <c r="N287" s="1599"/>
      <c r="O287" s="1653">
        <f>O286/'REKAP RAB'!$K$19</f>
        <v>5025972.4721247731</v>
      </c>
    </row>
    <row r="288" spans="1:41">
      <c r="B288" s="1787" t="s">
        <v>1951</v>
      </c>
      <c r="D288" s="1575">
        <v>0.5</v>
      </c>
      <c r="E288" s="1575" t="s">
        <v>51</v>
      </c>
      <c r="J288" s="1822"/>
    </row>
    <row r="289" spans="2:5">
      <c r="B289" s="1787" t="s">
        <v>1950</v>
      </c>
      <c r="D289" s="1575">
        <v>1</v>
      </c>
      <c r="E289" s="1575" t="s">
        <v>51</v>
      </c>
    </row>
  </sheetData>
  <autoFilter ref="A8:AL280"/>
  <mergeCells count="10">
    <mergeCell ref="A280:E280"/>
    <mergeCell ref="A20:E20"/>
    <mergeCell ref="A29:E29"/>
    <mergeCell ref="A139:E139"/>
    <mergeCell ref="A237:E237"/>
    <mergeCell ref="A219:E219"/>
    <mergeCell ref="A266:E266"/>
    <mergeCell ref="A172:E172"/>
    <mergeCell ref="A201:E201"/>
    <mergeCell ref="A36:A66"/>
  </mergeCells>
  <phoneticPr fontId="76" type="noConversion"/>
  <pageMargins left="0.39370078740157483" right="0.39370078740157483" top="0.39370078740157483" bottom="0.39370078740157483" header="0" footer="0"/>
  <pageSetup paperSize="9" scale="79" fitToHeight="0" orientation="portrait" r:id="rId1"/>
  <rowBreaks count="5" manualBreakCount="5">
    <brk id="101" max="5" man="1"/>
    <brk id="139" max="5" man="1"/>
    <brk id="185" max="5" man="1"/>
    <brk id="227" max="5" man="1"/>
    <brk id="256" max="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I1048467"/>
  <sheetViews>
    <sheetView showGridLines="0" zoomScale="85" zoomScaleNormal="85" workbookViewId="0">
      <pane xSplit="8" ySplit="9" topLeftCell="I10" activePane="bottomRight" state="frozen"/>
      <selection activeCell="J33" sqref="J33"/>
      <selection pane="topRight" activeCell="J33" sqref="J33"/>
      <selection pane="bottomLeft" activeCell="J33" sqref="J33"/>
      <selection pane="bottomRight" activeCell="T54" sqref="T54"/>
    </sheetView>
  </sheetViews>
  <sheetFormatPr defaultColWidth="9.140625" defaultRowHeight="12.75"/>
  <cols>
    <col min="1" max="1" width="8.85546875" style="13" customWidth="1"/>
    <col min="2" max="2" width="11.28515625" style="10" bestFit="1" customWidth="1"/>
    <col min="3" max="3" width="7.7109375" style="34" customWidth="1"/>
    <col min="4" max="6" width="9.28515625" style="34" customWidth="1"/>
    <col min="7" max="7" width="8.42578125" style="12" customWidth="1"/>
    <col min="8" max="9" width="9.5703125" style="12" customWidth="1"/>
    <col min="10" max="10" width="9.5703125" style="16" bestFit="1" customWidth="1"/>
    <col min="11" max="11" width="6.7109375" style="16" customWidth="1"/>
    <col min="12" max="12" width="10.5703125" style="16" bestFit="1" customWidth="1"/>
    <col min="13" max="13" width="12.28515625" style="16" customWidth="1"/>
    <col min="14" max="14" width="7.5703125" style="16" hidden="1" customWidth="1"/>
    <col min="15" max="16" width="7.7109375" style="16" hidden="1" customWidth="1"/>
    <col min="17" max="18" width="8.140625" style="16" hidden="1" customWidth="1"/>
    <col min="19" max="19" width="12.42578125" style="16" customWidth="1"/>
    <col min="20" max="20" width="8.7109375" style="16" customWidth="1"/>
    <col min="21" max="21" width="9.140625" style="16" customWidth="1"/>
    <col min="22" max="22" width="9.5703125" style="13" customWidth="1"/>
    <col min="23" max="27" width="9.28515625" style="13" customWidth="1"/>
    <col min="28" max="28" width="8.42578125" style="13" customWidth="1"/>
    <col min="29" max="29" width="10.140625" style="13" bestFit="1" customWidth="1"/>
    <col min="30" max="30" width="7.28515625" style="10" customWidth="1"/>
    <col min="31" max="32" width="7.7109375" style="10" customWidth="1"/>
    <col min="33" max="33" width="6.7109375" style="13" bestFit="1" customWidth="1"/>
    <col min="34" max="34" width="10.140625" style="13" bestFit="1" customWidth="1"/>
    <col min="35" max="35" width="9.140625" style="13"/>
    <col min="36" max="38" width="9.140625" style="13" customWidth="1"/>
    <col min="39" max="39" width="10.140625" style="13" bestFit="1" customWidth="1"/>
    <col min="40" max="41" width="9.140625" style="13" customWidth="1"/>
    <col min="42" max="42" width="6.7109375" style="13" customWidth="1"/>
    <col min="43" max="43" width="7.5703125" style="13" bestFit="1" customWidth="1"/>
    <col min="44" max="44" width="10.140625" style="13" bestFit="1" customWidth="1"/>
    <col min="45" max="48" width="9.140625" style="13" customWidth="1"/>
    <col min="49" max="49" width="9.140625" style="13"/>
    <col min="50" max="51" width="9.140625" style="13" hidden="1" customWidth="1"/>
    <col min="52" max="52" width="10.140625" style="13" bestFit="1" customWidth="1"/>
    <col min="53" max="53" width="11.28515625" style="13" bestFit="1" customWidth="1"/>
    <col min="54" max="54" width="9.140625" style="13"/>
    <col min="55" max="56" width="9.140625" style="13" hidden="1" customWidth="1"/>
    <col min="57" max="57" width="9.140625" style="13"/>
    <col min="58" max="58" width="8.5703125" style="13" customWidth="1"/>
    <col min="59" max="60" width="8.5703125" style="13" hidden="1" customWidth="1"/>
    <col min="61" max="61" width="9.42578125" style="13" bestFit="1" customWidth="1"/>
    <col min="62" max="16384" width="9.140625" style="13"/>
  </cols>
  <sheetData>
    <row r="1" spans="1:53" s="129" customFormat="1" ht="22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53">
      <c r="F2" s="12"/>
      <c r="H2" s="16"/>
      <c r="I2" s="16"/>
      <c r="U2" s="13"/>
      <c r="V2" s="12"/>
      <c r="W2" s="130"/>
      <c r="AC2" s="10"/>
      <c r="AE2" s="13"/>
      <c r="AF2" s="13"/>
    </row>
    <row r="3" spans="1:53" ht="14.25">
      <c r="A3" s="131" t="s">
        <v>59</v>
      </c>
      <c r="C3" s="132"/>
      <c r="D3" s="132"/>
      <c r="E3" s="132"/>
      <c r="F3" s="2625" t="str">
        <f>'Data-PC'!D2</f>
        <v>: ERNAWATI</v>
      </c>
      <c r="G3" s="2625"/>
      <c r="H3" s="2625"/>
      <c r="I3" s="2625"/>
      <c r="J3" s="2625"/>
      <c r="K3" s="2625"/>
      <c r="L3" s="2625"/>
      <c r="M3" s="133"/>
      <c r="N3" s="133"/>
      <c r="O3" s="133"/>
      <c r="P3" s="133"/>
      <c r="Q3" s="133"/>
      <c r="R3" s="133"/>
      <c r="S3" s="16" t="s">
        <v>60</v>
      </c>
      <c r="T3" s="16">
        <v>0</v>
      </c>
      <c r="U3" s="13"/>
      <c r="W3" s="130"/>
      <c r="AC3" s="10"/>
      <c r="AE3" s="13"/>
      <c r="AF3" s="13"/>
    </row>
    <row r="4" spans="1:53" ht="14.25">
      <c r="A4" s="131" t="s">
        <v>61</v>
      </c>
      <c r="C4" s="132"/>
      <c r="D4" s="132"/>
      <c r="E4" s="132"/>
      <c r="F4" s="2625" t="s">
        <v>62</v>
      </c>
      <c r="G4" s="2625"/>
      <c r="H4" s="2625"/>
      <c r="I4" s="2625"/>
      <c r="J4" s="2625"/>
      <c r="K4" s="2625"/>
      <c r="L4" s="2625"/>
      <c r="M4" s="133"/>
      <c r="N4" s="133"/>
      <c r="O4" s="133"/>
      <c r="P4" s="133"/>
      <c r="Q4" s="133"/>
      <c r="R4" s="133"/>
      <c r="U4" s="13"/>
      <c r="W4" s="130"/>
      <c r="AC4" s="10"/>
      <c r="AE4" s="13"/>
      <c r="AF4" s="13"/>
    </row>
    <row r="5" spans="1:53" ht="16.5" customHeight="1">
      <c r="A5" s="131"/>
      <c r="C5" s="134"/>
      <c r="D5" s="134"/>
      <c r="E5" s="134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U5" s="13"/>
      <c r="W5" s="130"/>
      <c r="AC5" s="10"/>
      <c r="AE5" s="13"/>
      <c r="AF5" s="13"/>
    </row>
    <row r="6" spans="1:53" s="138" customFormat="1" ht="21.75" customHeight="1">
      <c r="A6" s="2626" t="s">
        <v>63</v>
      </c>
      <c r="B6" s="2629" t="s">
        <v>64</v>
      </c>
      <c r="C6" s="2632" t="s">
        <v>65</v>
      </c>
      <c r="D6" s="2632" t="s">
        <v>66</v>
      </c>
      <c r="E6" s="2632" t="s">
        <v>67</v>
      </c>
      <c r="F6" s="2632" t="s">
        <v>29</v>
      </c>
      <c r="G6" s="2632" t="s">
        <v>68</v>
      </c>
      <c r="H6" s="2621" t="s">
        <v>69</v>
      </c>
      <c r="I6" s="2621" t="s">
        <v>70</v>
      </c>
      <c r="J6" s="2619" t="s">
        <v>71</v>
      </c>
      <c r="K6" s="2619" t="s">
        <v>72</v>
      </c>
      <c r="L6" s="2619" t="s">
        <v>73</v>
      </c>
      <c r="M6" s="2619" t="s">
        <v>74</v>
      </c>
      <c r="N6" s="135" t="s">
        <v>75</v>
      </c>
      <c r="O6" s="136" t="s">
        <v>76</v>
      </c>
      <c r="P6" s="2623" t="s">
        <v>77</v>
      </c>
      <c r="Q6" s="2623"/>
      <c r="R6" s="2623"/>
      <c r="S6" s="2619" t="s">
        <v>78</v>
      </c>
      <c r="T6" s="2619" t="s">
        <v>30</v>
      </c>
      <c r="U6" s="2619" t="s">
        <v>31</v>
      </c>
      <c r="V6" s="2624" t="s">
        <v>33</v>
      </c>
      <c r="W6" s="2624"/>
      <c r="X6" s="2624"/>
      <c r="Y6" s="2618" t="s">
        <v>79</v>
      </c>
      <c r="Z6" s="2618"/>
      <c r="AA6" s="2618"/>
      <c r="AB6" s="2618"/>
      <c r="AC6" s="2618"/>
      <c r="AD6" s="2618" t="s">
        <v>80</v>
      </c>
      <c r="AE6" s="2618"/>
      <c r="AF6" s="2618"/>
      <c r="AG6" s="2618"/>
      <c r="AH6" s="2618"/>
      <c r="AI6" s="2618" t="s">
        <v>81</v>
      </c>
      <c r="AJ6" s="2618"/>
      <c r="AK6" s="2618"/>
      <c r="AL6" s="2618"/>
      <c r="AM6" s="2618"/>
      <c r="AN6" s="2618" t="s">
        <v>82</v>
      </c>
      <c r="AO6" s="2618"/>
      <c r="AP6" s="2618"/>
      <c r="AQ6" s="2618"/>
      <c r="AR6" s="2618"/>
      <c r="AS6" s="2618" t="s">
        <v>36</v>
      </c>
      <c r="AT6" s="2618"/>
      <c r="AU6" s="2618"/>
      <c r="AV6" s="2618"/>
      <c r="AW6" s="2618" t="s">
        <v>83</v>
      </c>
      <c r="AX6" s="2618"/>
      <c r="AY6" s="2618"/>
      <c r="AZ6" s="2618"/>
      <c r="BA6" s="2619" t="s">
        <v>84</v>
      </c>
    </row>
    <row r="7" spans="1:53" s="138" customFormat="1" ht="12.75" customHeight="1">
      <c r="A7" s="2627"/>
      <c r="B7" s="2630"/>
      <c r="C7" s="2633"/>
      <c r="D7" s="2633"/>
      <c r="E7" s="2633"/>
      <c r="F7" s="2633" t="s">
        <v>85</v>
      </c>
      <c r="G7" s="2633" t="s">
        <v>86</v>
      </c>
      <c r="H7" s="2622"/>
      <c r="I7" s="2622"/>
      <c r="J7" s="2620"/>
      <c r="K7" s="2620"/>
      <c r="L7" s="2620"/>
      <c r="M7" s="2620"/>
      <c r="N7" s="139" t="s">
        <v>87</v>
      </c>
      <c r="O7" s="140" t="s">
        <v>88</v>
      </c>
      <c r="P7" s="141">
        <v>1</v>
      </c>
      <c r="Q7" s="141">
        <v>2</v>
      </c>
      <c r="R7" s="141">
        <v>3</v>
      </c>
      <c r="S7" s="2620"/>
      <c r="T7" s="2620"/>
      <c r="U7" s="2620"/>
      <c r="V7" s="137" t="s">
        <v>45</v>
      </c>
      <c r="W7" s="137" t="s">
        <v>16</v>
      </c>
      <c r="X7" s="137" t="s">
        <v>46</v>
      </c>
      <c r="Y7" s="137" t="s">
        <v>16</v>
      </c>
      <c r="Z7" s="137" t="s">
        <v>47</v>
      </c>
      <c r="AA7" s="137" t="s">
        <v>48</v>
      </c>
      <c r="AB7" s="137" t="s">
        <v>44</v>
      </c>
      <c r="AC7" s="137" t="s">
        <v>46</v>
      </c>
      <c r="AD7" s="137" t="s">
        <v>16</v>
      </c>
      <c r="AE7" s="137" t="s">
        <v>47</v>
      </c>
      <c r="AF7" s="137" t="s">
        <v>48</v>
      </c>
      <c r="AG7" s="137" t="s">
        <v>44</v>
      </c>
      <c r="AH7" s="137" t="s">
        <v>46</v>
      </c>
      <c r="AI7" s="137" t="s">
        <v>16</v>
      </c>
      <c r="AJ7" s="137" t="s">
        <v>47</v>
      </c>
      <c r="AK7" s="137" t="s">
        <v>48</v>
      </c>
      <c r="AL7" s="137" t="s">
        <v>44</v>
      </c>
      <c r="AM7" s="137" t="s">
        <v>46</v>
      </c>
      <c r="AN7" s="137" t="s">
        <v>16</v>
      </c>
      <c r="AO7" s="137" t="s">
        <v>47</v>
      </c>
      <c r="AP7" s="137" t="s">
        <v>48</v>
      </c>
      <c r="AQ7" s="137" t="s">
        <v>44</v>
      </c>
      <c r="AR7" s="137" t="s">
        <v>46</v>
      </c>
      <c r="AS7" s="137" t="s">
        <v>48</v>
      </c>
      <c r="AT7" s="137" t="s">
        <v>89</v>
      </c>
      <c r="AU7" s="137" t="s">
        <v>44</v>
      </c>
      <c r="AV7" s="137" t="s">
        <v>46</v>
      </c>
      <c r="AW7" s="137" t="s">
        <v>16</v>
      </c>
      <c r="AX7" s="137" t="s">
        <v>47</v>
      </c>
      <c r="AY7" s="137" t="s">
        <v>44</v>
      </c>
      <c r="AZ7" s="137" t="s">
        <v>46</v>
      </c>
      <c r="BA7" s="2620"/>
    </row>
    <row r="8" spans="1:53" s="138" customFormat="1" ht="13.5" customHeight="1" thickBot="1">
      <c r="A8" s="2628"/>
      <c r="B8" s="2631"/>
      <c r="C8" s="142" t="s">
        <v>52</v>
      </c>
      <c r="D8" s="142" t="s">
        <v>12</v>
      </c>
      <c r="E8" s="142" t="s">
        <v>12</v>
      </c>
      <c r="F8" s="142" t="s">
        <v>49</v>
      </c>
      <c r="G8" s="142" t="s">
        <v>4</v>
      </c>
      <c r="H8" s="143"/>
      <c r="I8" s="143"/>
      <c r="J8" s="144" t="s">
        <v>51</v>
      </c>
      <c r="K8" s="144" t="s">
        <v>51</v>
      </c>
      <c r="L8" s="144" t="s">
        <v>51</v>
      </c>
      <c r="M8" s="144" t="s">
        <v>51</v>
      </c>
      <c r="N8" s="145"/>
      <c r="O8" s="146"/>
      <c r="P8" s="145"/>
      <c r="Q8" s="145"/>
      <c r="R8" s="145"/>
      <c r="S8" s="144" t="s">
        <v>51</v>
      </c>
      <c r="T8" s="144" t="s">
        <v>51</v>
      </c>
      <c r="U8" s="144" t="s">
        <v>49</v>
      </c>
      <c r="V8" s="147" t="s">
        <v>52</v>
      </c>
      <c r="W8" s="147" t="s">
        <v>4</v>
      </c>
      <c r="X8" s="147" t="s">
        <v>53</v>
      </c>
      <c r="Y8" s="147" t="s">
        <v>4</v>
      </c>
      <c r="Z8" s="147" t="s">
        <v>4</v>
      </c>
      <c r="AA8" s="147" t="s">
        <v>52</v>
      </c>
      <c r="AB8" s="147" t="s">
        <v>12</v>
      </c>
      <c r="AC8" s="147" t="s">
        <v>53</v>
      </c>
      <c r="AD8" s="147" t="s">
        <v>4</v>
      </c>
      <c r="AE8" s="147" t="s">
        <v>4</v>
      </c>
      <c r="AF8" s="147" t="s">
        <v>52</v>
      </c>
      <c r="AG8" s="147" t="s">
        <v>12</v>
      </c>
      <c r="AH8" s="147" t="s">
        <v>53</v>
      </c>
      <c r="AI8" s="147" t="s">
        <v>4</v>
      </c>
      <c r="AJ8" s="147" t="s">
        <v>4</v>
      </c>
      <c r="AK8" s="147" t="s">
        <v>52</v>
      </c>
      <c r="AL8" s="147" t="s">
        <v>12</v>
      </c>
      <c r="AM8" s="147" t="s">
        <v>53</v>
      </c>
      <c r="AN8" s="147" t="s">
        <v>4</v>
      </c>
      <c r="AO8" s="147" t="s">
        <v>4</v>
      </c>
      <c r="AP8" s="147" t="s">
        <v>52</v>
      </c>
      <c r="AQ8" s="147" t="s">
        <v>12</v>
      </c>
      <c r="AR8" s="147" t="s">
        <v>53</v>
      </c>
      <c r="AS8" s="147" t="s">
        <v>4</v>
      </c>
      <c r="AT8" s="147" t="s">
        <v>4</v>
      </c>
      <c r="AU8" s="147" t="s">
        <v>12</v>
      </c>
      <c r="AV8" s="147" t="s">
        <v>53</v>
      </c>
      <c r="AW8" s="147" t="s">
        <v>4</v>
      </c>
      <c r="AX8" s="147" t="s">
        <v>4</v>
      </c>
      <c r="AY8" s="147" t="s">
        <v>12</v>
      </c>
      <c r="AZ8" s="147" t="s">
        <v>53</v>
      </c>
      <c r="BA8" s="144" t="s">
        <v>53</v>
      </c>
    </row>
    <row r="9" spans="1:53" s="138" customFormat="1" ht="13.5" customHeight="1" thickTop="1">
      <c r="A9" s="148"/>
      <c r="B9" s="149"/>
      <c r="C9" s="150"/>
      <c r="D9" s="150"/>
      <c r="E9" s="150"/>
      <c r="F9" s="150"/>
      <c r="G9" s="150"/>
      <c r="H9" s="151"/>
      <c r="I9" s="151"/>
      <c r="J9" s="152"/>
      <c r="K9" s="152"/>
      <c r="L9" s="152"/>
      <c r="M9" s="152"/>
      <c r="N9" s="152"/>
      <c r="O9" s="153"/>
      <c r="P9" s="152"/>
      <c r="Q9" s="152"/>
      <c r="R9" s="152"/>
      <c r="S9" s="152"/>
      <c r="T9" s="152"/>
      <c r="U9" s="152"/>
      <c r="V9" s="154"/>
      <c r="W9" s="155"/>
      <c r="X9" s="156"/>
      <c r="Y9" s="155"/>
      <c r="Z9" s="155"/>
      <c r="AA9" s="155"/>
      <c r="AB9" s="155"/>
      <c r="AC9" s="156"/>
      <c r="AD9" s="155"/>
      <c r="AE9" s="155"/>
      <c r="AF9" s="155"/>
      <c r="AG9" s="155"/>
      <c r="AH9" s="156"/>
      <c r="AI9" s="155"/>
      <c r="AJ9" s="155"/>
      <c r="AK9" s="155"/>
      <c r="AL9" s="155"/>
      <c r="AM9" s="156"/>
      <c r="AN9" s="155"/>
      <c r="AO9" s="155"/>
      <c r="AP9" s="155"/>
      <c r="AQ9" s="155"/>
      <c r="AR9" s="156"/>
      <c r="AS9" s="155"/>
      <c r="AT9" s="155"/>
      <c r="AU9" s="155"/>
      <c r="AV9" s="156"/>
      <c r="AW9" s="155"/>
      <c r="AX9" s="155"/>
      <c r="AY9" s="155"/>
      <c r="AZ9" s="156"/>
      <c r="BA9" s="152"/>
    </row>
    <row r="10" spans="1:53" s="185" customFormat="1" ht="12">
      <c r="A10" s="157" t="s">
        <v>90</v>
      </c>
      <c r="B10" s="174"/>
      <c r="C10" s="176"/>
      <c r="D10" s="176"/>
      <c r="E10" s="176"/>
      <c r="F10" s="177"/>
      <c r="G10" s="175"/>
      <c r="H10" s="178"/>
      <c r="I10" s="178"/>
      <c r="J10" s="179"/>
      <c r="K10" s="179"/>
      <c r="L10" s="179"/>
      <c r="M10" s="179"/>
      <c r="N10" s="179"/>
      <c r="O10" s="179"/>
      <c r="P10" s="179"/>
      <c r="Q10" s="179"/>
      <c r="R10" s="179"/>
      <c r="S10" s="165">
        <f t="shared" ref="S10:S12" si="0">L10-M10</f>
        <v>0</v>
      </c>
      <c r="T10" s="179"/>
      <c r="U10" s="179"/>
      <c r="V10" s="180"/>
      <c r="W10" s="181"/>
      <c r="X10" s="182"/>
      <c r="Y10" s="183"/>
      <c r="Z10" s="181"/>
      <c r="AA10" s="181"/>
      <c r="AB10" s="184"/>
      <c r="AC10" s="182"/>
      <c r="AD10" s="183"/>
      <c r="AE10" s="181"/>
      <c r="AF10" s="181"/>
      <c r="AG10" s="184"/>
      <c r="AH10" s="182"/>
      <c r="AI10" s="183"/>
      <c r="AJ10" s="181"/>
      <c r="AK10" s="181"/>
      <c r="AL10" s="184"/>
      <c r="AM10" s="182"/>
      <c r="AN10" s="183"/>
      <c r="AO10" s="181"/>
      <c r="AP10" s="181"/>
      <c r="AQ10" s="184"/>
      <c r="AR10" s="182"/>
      <c r="AS10" s="183"/>
      <c r="AT10" s="181"/>
      <c r="AU10" s="181"/>
      <c r="AV10" s="182"/>
      <c r="AW10" s="183"/>
      <c r="AX10" s="181"/>
      <c r="AY10" s="181"/>
      <c r="AZ10" s="182"/>
      <c r="BA10" s="179"/>
    </row>
    <row r="11" spans="1:53" s="1895" customFormat="1" ht="12">
      <c r="A11" s="1883"/>
      <c r="B11" s="1884"/>
      <c r="C11" s="1885"/>
      <c r="D11" s="1885"/>
      <c r="E11" s="1885"/>
      <c r="F11" s="1886"/>
      <c r="G11" s="1887"/>
      <c r="H11" s="1888"/>
      <c r="I11" s="1888"/>
      <c r="J11" s="1889"/>
      <c r="K11" s="1889"/>
      <c r="L11" s="1889"/>
      <c r="M11" s="1889"/>
      <c r="N11" s="1889"/>
      <c r="O11" s="1889"/>
      <c r="P11" s="1889"/>
      <c r="Q11" s="1889"/>
      <c r="R11" s="1889"/>
      <c r="S11" s="1889"/>
      <c r="T11" s="1889"/>
      <c r="U11" s="1889"/>
      <c r="V11" s="1890"/>
      <c r="W11" s="1891"/>
      <c r="X11" s="1892"/>
      <c r="Y11" s="1893"/>
      <c r="Z11" s="1891"/>
      <c r="AA11" s="1891"/>
      <c r="AB11" s="1894"/>
      <c r="AC11" s="1892"/>
      <c r="AD11" s="1893"/>
      <c r="AE11" s="1891"/>
      <c r="AF11" s="1891"/>
      <c r="AG11" s="1894"/>
      <c r="AH11" s="1892"/>
      <c r="AI11" s="1893"/>
      <c r="AJ11" s="1891"/>
      <c r="AK11" s="1891"/>
      <c r="AL11" s="1894"/>
      <c r="AM11" s="1892"/>
      <c r="AN11" s="1893"/>
      <c r="AO11" s="1891"/>
      <c r="AP11" s="1891"/>
      <c r="AQ11" s="1894"/>
      <c r="AR11" s="1892"/>
      <c r="AS11" s="1893"/>
      <c r="AT11" s="1891"/>
      <c r="AU11" s="1891"/>
      <c r="AV11" s="1892"/>
      <c r="AW11" s="1893"/>
      <c r="AX11" s="1891"/>
      <c r="AY11" s="1891"/>
      <c r="AZ11" s="1892"/>
      <c r="BA11" s="1889"/>
    </row>
    <row r="12" spans="1:53" s="173" customFormat="1" ht="12">
      <c r="A12" s="158">
        <v>1</v>
      </c>
      <c r="B12" s="159" t="s">
        <v>2311</v>
      </c>
      <c r="C12" s="160">
        <v>1</v>
      </c>
      <c r="D12" s="1835"/>
      <c r="E12" s="161">
        <f>D12-(G12+'Data-PC'!$D$5)/1000</f>
        <v>-0.75</v>
      </c>
      <c r="F12" s="162">
        <f>VLOOKUP(B12,'Data-PC'!$B$13:$AP$56,15,FALSE)</f>
        <v>5.0946875</v>
      </c>
      <c r="G12" s="163">
        <f>VLOOKUP(B12,'Data-PC'!$B$13:$G$56,4,FALSE)</f>
        <v>700</v>
      </c>
      <c r="H12" s="164">
        <f>C12*VLOOKUP(B12,'Data-PC'!$B$13:$BC$56,18,FALSE)</f>
        <v>0</v>
      </c>
      <c r="I12" s="164">
        <f>C12*VLOOKUP(B12,'Data-PC'!$B$13:$BC$56,51,FALSE)</f>
        <v>3</v>
      </c>
      <c r="J12" s="165">
        <f>F12*C12*'Data-PC'!$D$5/1000</f>
        <v>0.25473437500000001</v>
      </c>
      <c r="K12" s="165">
        <f>F12*('Data-PC'!$D$4/1000)*C12</f>
        <v>0</v>
      </c>
      <c r="L12" s="166">
        <f>C12*F12*($T$3-E12)</f>
        <v>3.8210156250000002</v>
      </c>
      <c r="M12" s="165">
        <f>L12-(T12+J12)</f>
        <v>2.1840000000000002</v>
      </c>
      <c r="N12" s="165"/>
      <c r="O12" s="165"/>
      <c r="P12" s="165"/>
      <c r="Q12" s="165"/>
      <c r="R12" s="165"/>
      <c r="S12" s="165">
        <f t="shared" si="0"/>
        <v>1.6370156250000001</v>
      </c>
      <c r="T12" s="167">
        <f>C12*VLOOKUP(B12,'Data-PC'!$B$13:$AP$56,16,FALSE)*(1+'Data-PC'!$T$3/100)</f>
        <v>1.3822812499999999</v>
      </c>
      <c r="U12" s="167">
        <f>C12*VLOOKUP(B12,'Data-PC'!$B$13:$AP$56,17,FALSE)*(1+'Data-PC'!$T$5/100)</f>
        <v>3.960703281636579</v>
      </c>
      <c r="V12" s="168">
        <f>VLOOKUP($B12,'Data-PC'!$B$13:$AP$79,19,FALSE)</f>
        <v>3</v>
      </c>
      <c r="W12" s="169">
        <f>VLOOKUP($B12,'Data-PC'!$B$13:$AP$79,20,FALSE)</f>
        <v>13</v>
      </c>
      <c r="X12" s="170">
        <f>VLOOKUP($B12,'Data-PC'!$B$13:$AP$79,21,FALSE)*C12</f>
        <v>17.235322845376828</v>
      </c>
      <c r="Y12" s="171">
        <f>VLOOKUP($B12,'Data-PC'!$B$13:$AP$79,22,FALSE)</f>
        <v>19</v>
      </c>
      <c r="Z12" s="169">
        <f>VLOOKUP($B12,'Data-PC'!$B$13:$AP$79,23,FALSE)</f>
        <v>100</v>
      </c>
      <c r="AA12" s="169">
        <f>VLOOKUP($B12,'Data-PC'!$B$13:$AP$79,24,FALSE)</f>
        <v>16</v>
      </c>
      <c r="AB12" s="172">
        <f>VLOOKUP($B12,'Data-PC'!$B$13:$AP$79,25,FALSE)</f>
        <v>37.984999999999999</v>
      </c>
      <c r="AC12" s="170">
        <f>VLOOKUP($B12,'Data-PC'!$B$13:$AP$79,26,FALSE)*C12</f>
        <v>84.538086524999997</v>
      </c>
      <c r="AD12" s="171">
        <f>VLOOKUP($B12,'Data-PC'!$B$13:$AP$79,27,FALSE)</f>
        <v>19</v>
      </c>
      <c r="AE12" s="169">
        <f>VLOOKUP($B12,'Data-PC'!$B$13:$AP$79,28,FALSE)</f>
        <v>100</v>
      </c>
      <c r="AF12" s="169">
        <f>VLOOKUP($B12,'Data-PC'!$B$13:$AP$79,29,FALSE)</f>
        <v>16</v>
      </c>
      <c r="AG12" s="172">
        <f>VLOOKUP($B12,'Data-PC'!$B$13:$AP$79,30,FALSE)</f>
        <v>29.454999999999998</v>
      </c>
      <c r="AH12" s="170">
        <f>VLOOKUP($B12,'Data-PC'!$B$13:$AP$79,31,FALSE)*C12</f>
        <v>65.55401707499999</v>
      </c>
      <c r="AI12" s="171">
        <f>VLOOKUP($B12,'Data-PC'!$B$13:$AP$79,32,FALSE)</f>
        <v>16</v>
      </c>
      <c r="AJ12" s="169">
        <f>VLOOKUP($B12,'Data-PC'!$B$13:$AP$79,33,FALSE)</f>
        <v>100</v>
      </c>
      <c r="AK12" s="169">
        <f>VLOOKUP($B12,'Data-PC'!$B$13:$AP$79,34,FALSE)</f>
        <v>16</v>
      </c>
      <c r="AL12" s="172">
        <f>VLOOKUP($B12,'Data-PC'!$B$13:$AP$79,35,FALSE)</f>
        <v>42.465000000000003</v>
      </c>
      <c r="AM12" s="170">
        <f>VLOOKUP($B12,'Data-PC'!$B$13:$AP$79,36,FALSE)*C12</f>
        <v>67.019961600000002</v>
      </c>
      <c r="AN12" s="171">
        <f>VLOOKUP($B12,'Data-PC'!$B$13:$AP$79,37,FALSE)</f>
        <v>16</v>
      </c>
      <c r="AO12" s="169">
        <f>VLOOKUP($B12,'Data-PC'!$B$13:$AP$79,38,FALSE)</f>
        <v>100</v>
      </c>
      <c r="AP12" s="169">
        <f>VLOOKUP($B12,'Data-PC'!$B$13:$AP$79,39,FALSE)</f>
        <v>16</v>
      </c>
      <c r="AQ12" s="172">
        <f>VLOOKUP($B12,'Data-PC'!$B$13:$AP$79,40,FALSE)</f>
        <v>39.695</v>
      </c>
      <c r="AR12" s="170">
        <f>VLOOKUP($B12,'Data-PC'!$B$13:$AP$79,41,FALSE)*C12</f>
        <v>62.648236800000006</v>
      </c>
      <c r="AS12" s="171">
        <f>VLOOKUP($B12,'Data-PC'!$B$13:$AX$79,42,FALSE)</f>
        <v>0</v>
      </c>
      <c r="AT12" s="169">
        <f>VLOOKUP($B12,'Data-PC'!$B$13:$AX$79,43,FALSE)</f>
        <v>0</v>
      </c>
      <c r="AU12" s="169">
        <f>VLOOKUP($B12,'Data-PC'!$B$13:$AX$79,44,FALSE)</f>
        <v>1580</v>
      </c>
      <c r="AV12" s="170">
        <f>VLOOKUP($B12,'Data-PC'!$B$13:$AX$79,45,FALSE)*C12</f>
        <v>0</v>
      </c>
      <c r="AW12" s="171">
        <f>VLOOKUP($B12,'Data-PC'!$B$13:$AX$79,46,FALSE)</f>
        <v>0</v>
      </c>
      <c r="AX12" s="169">
        <f>VLOOKUP($B12,'Data-PC'!$B$13:$AX$79,47,FALSE)</f>
        <v>0</v>
      </c>
      <c r="AY12" s="169">
        <f>VLOOKUP($B12,'Data-PC'!$B$19:$AX$79,48,FALSE)</f>
        <v>0</v>
      </c>
      <c r="AZ12" s="170">
        <f>VLOOKUP($B12,'Data-PC'!$B$13:$AX$79,49,FALSE)*C12</f>
        <v>0</v>
      </c>
      <c r="BA12" s="167">
        <f>SUM(X12,AC12,AH12,AM12,AR12,AV12,AZ12)</f>
        <v>296.99562484537682</v>
      </c>
    </row>
    <row r="13" spans="1:53" s="173" customFormat="1" ht="12">
      <c r="A13" s="158">
        <f>A12+1</f>
        <v>2</v>
      </c>
      <c r="B13" s="159" t="s">
        <v>2310</v>
      </c>
      <c r="C13" s="160">
        <v>1</v>
      </c>
      <c r="D13" s="1835"/>
      <c r="E13" s="161">
        <f>D13-(G13+'Data-PC'!$D$5)/1000</f>
        <v>-0.8</v>
      </c>
      <c r="F13" s="162">
        <f>VLOOKUP(B13,'Data-PC'!$B$13:$AP$56,15,FALSE)</f>
        <v>7.0405759999999997</v>
      </c>
      <c r="G13" s="163">
        <f>VLOOKUP(B13,'Data-PC'!$B$13:$G$56,4,FALSE)</f>
        <v>750</v>
      </c>
      <c r="H13" s="164">
        <f>C13*VLOOKUP(B13,'Data-PC'!$B$13:$BC$56,18,FALSE)</f>
        <v>0</v>
      </c>
      <c r="I13" s="164">
        <f>C13*VLOOKUP(B13,'Data-PC'!$B$13:$BC$56,51,FALSE)</f>
        <v>5</v>
      </c>
      <c r="J13" s="165">
        <f>F13*C13*'Data-PC'!$D$5/1000</f>
        <v>0.35202879999999998</v>
      </c>
      <c r="K13" s="165">
        <f>F13*('Data-PC'!$D$4/1000)*C13</f>
        <v>0</v>
      </c>
      <c r="L13" s="166">
        <f t="shared" ref="L13:L52" si="1">C13*F13*($T$3-E13)</f>
        <v>5.6324608000000005</v>
      </c>
      <c r="M13" s="165">
        <f t="shared" ref="M13:M52" si="2">L13-(T13+J13)</f>
        <v>2.8680000000000008</v>
      </c>
      <c r="N13" s="165"/>
      <c r="O13" s="165"/>
      <c r="P13" s="165"/>
      <c r="Q13" s="165"/>
      <c r="R13" s="165"/>
      <c r="S13" s="165">
        <f t="shared" ref="S13:S52" si="3">L13-M13</f>
        <v>2.7644607999999997</v>
      </c>
      <c r="T13" s="167">
        <f>C13*VLOOKUP(B13,'Data-PC'!$B$13:$AP$56,16,FALSE)*(1+'Data-PC'!$T$3/100)</f>
        <v>2.4124319999999999</v>
      </c>
      <c r="U13" s="167">
        <f>C13*VLOOKUP(B13,'Data-PC'!$B$13:$AP$56,17,FALSE)*(1+'Data-PC'!$T$5/100)</f>
        <v>5.3372393589786871</v>
      </c>
      <c r="V13" s="168">
        <f>VLOOKUP($B13,'Data-PC'!$B$13:$AP$79,19,FALSE)</f>
        <v>3</v>
      </c>
      <c r="W13" s="169">
        <f>VLOOKUP($B13,'Data-PC'!$B$13:$AP$79,20,FALSE)</f>
        <v>13</v>
      </c>
      <c r="X13" s="170">
        <f>VLOOKUP($B13,'Data-PC'!$B$13:$AP$79,21,FALSE)*C13</f>
        <v>21.605524898118038</v>
      </c>
      <c r="Y13" s="171">
        <f>VLOOKUP($B13,'Data-PC'!$B$13:$AP$79,22,FALSE)</f>
        <v>19</v>
      </c>
      <c r="Z13" s="169">
        <f>VLOOKUP($B13,'Data-PC'!$B$13:$AP$79,23,FALSE)</f>
        <v>100</v>
      </c>
      <c r="AA13" s="169">
        <f>VLOOKUP($B13,'Data-PC'!$B$13:$AP$79,24,FALSE)</f>
        <v>25</v>
      </c>
      <c r="AB13" s="172">
        <f>VLOOKUP($B13,'Data-PC'!$B$13:$AP$79,25,FALSE)</f>
        <v>55.296999999999997</v>
      </c>
      <c r="AC13" s="170">
        <f>VLOOKUP($B13,'Data-PC'!$B$13:$AP$79,26,FALSE)*C13</f>
        <v>123.06706780499999</v>
      </c>
      <c r="AD13" s="171">
        <f>VLOOKUP($B13,'Data-PC'!$B$13:$AP$79,27,FALSE)</f>
        <v>13</v>
      </c>
      <c r="AE13" s="169">
        <f>VLOOKUP($B13,'Data-PC'!$B$13:$AP$79,28,FALSE)</f>
        <v>100</v>
      </c>
      <c r="AF13" s="169">
        <f>VLOOKUP($B13,'Data-PC'!$B$13:$AP$79,29,FALSE)</f>
        <v>17</v>
      </c>
      <c r="AG13" s="172">
        <f>VLOOKUP($B13,'Data-PC'!$B$13:$AP$79,30,FALSE)</f>
        <v>42.72</v>
      </c>
      <c r="AH13" s="170">
        <f>VLOOKUP($B13,'Data-PC'!$B$13:$AP$79,31,FALSE)*C13</f>
        <v>44.509327199999994</v>
      </c>
      <c r="AI13" s="171">
        <f>VLOOKUP($B13,'Data-PC'!$B$13:$AP$79,32,FALSE)</f>
        <v>16</v>
      </c>
      <c r="AJ13" s="169">
        <f>VLOOKUP($B13,'Data-PC'!$B$13:$AP$79,33,FALSE)</f>
        <v>100</v>
      </c>
      <c r="AK13" s="169">
        <f>VLOOKUP($B13,'Data-PC'!$B$13:$AP$79,34,FALSE)</f>
        <v>25</v>
      </c>
      <c r="AL13" s="172">
        <f>VLOOKUP($B13,'Data-PC'!$B$13:$AP$79,35,FALSE)</f>
        <v>68.406999999999996</v>
      </c>
      <c r="AM13" s="170">
        <f>VLOOKUP($B13,'Data-PC'!$B$13:$AP$79,36,FALSE)*C13</f>
        <v>107.96266368000001</v>
      </c>
      <c r="AN13" s="171">
        <f>VLOOKUP($B13,'Data-PC'!$B$13:$AP$79,37,FALSE)</f>
        <v>16</v>
      </c>
      <c r="AO13" s="169">
        <f>VLOOKUP($B13,'Data-PC'!$B$13:$AP$79,38,FALSE)</f>
        <v>100</v>
      </c>
      <c r="AP13" s="169">
        <f>VLOOKUP($B13,'Data-PC'!$B$13:$AP$79,39,FALSE)</f>
        <v>17</v>
      </c>
      <c r="AQ13" s="172">
        <f>VLOOKUP($B13,'Data-PC'!$B$13:$AP$79,40,FALSE)</f>
        <v>53.76</v>
      </c>
      <c r="AR13" s="170">
        <f>VLOOKUP($B13,'Data-PC'!$B$13:$AP$79,41,FALSE)*C13</f>
        <v>84.846182400000004</v>
      </c>
      <c r="AS13" s="171">
        <f>VLOOKUP($B13,'Data-PC'!$B$13:$AX$79,42,FALSE)</f>
        <v>0</v>
      </c>
      <c r="AT13" s="169">
        <f>VLOOKUP($B13,'Data-PC'!$B$13:$AX$79,43,FALSE)</f>
        <v>0</v>
      </c>
      <c r="AU13" s="169">
        <f>VLOOKUP($B13,'Data-PC'!$B$13:$AX$79,44,FALSE)</f>
        <v>1680</v>
      </c>
      <c r="AV13" s="170">
        <f>VLOOKUP($B13,'Data-PC'!$B$13:$AX$79,45,FALSE)*C13</f>
        <v>0</v>
      </c>
      <c r="AW13" s="171">
        <f>VLOOKUP($B13,'Data-PC'!$B$13:$AX$79,46,FALSE)</f>
        <v>0</v>
      </c>
      <c r="AX13" s="169">
        <f>VLOOKUP($B13,'Data-PC'!$B$13:$AX$79,47,FALSE)</f>
        <v>0</v>
      </c>
      <c r="AY13" s="169">
        <f>VLOOKUP($B13,'Data-PC'!$B$19:$AX$79,48,FALSE)</f>
        <v>0</v>
      </c>
      <c r="AZ13" s="170">
        <f>VLOOKUP($B13,'Data-PC'!$B$13:$AX$79,49,FALSE)*C13</f>
        <v>0</v>
      </c>
      <c r="BA13" s="167">
        <f t="shared" ref="BA13:BA52" si="4">SUM(X13,AC13,AH13,AM13,AR13,AV13,AZ13)</f>
        <v>381.99076598311808</v>
      </c>
    </row>
    <row r="14" spans="1:53" s="173" customFormat="1" ht="12">
      <c r="A14" s="158">
        <f t="shared" ref="A14:A58" si="5">A13+1</f>
        <v>3</v>
      </c>
      <c r="B14" s="159" t="s">
        <v>2187</v>
      </c>
      <c r="C14" s="160">
        <v>1</v>
      </c>
      <c r="D14" s="1835"/>
      <c r="E14" s="161">
        <f>D14-(G14+'Data-PC'!$D$5)/1000</f>
        <v>-0.65</v>
      </c>
      <c r="F14" s="162">
        <f>VLOOKUP(B14,'Data-PC'!$B$13:$AP$56,15,FALSE)</f>
        <v>3.68</v>
      </c>
      <c r="G14" s="163">
        <f>VLOOKUP(B14,'Data-PC'!$B$13:$G$56,4,FALSE)</f>
        <v>600</v>
      </c>
      <c r="H14" s="164">
        <f>C14*VLOOKUP(B14,'Data-PC'!$B$13:$BC$56,18,FALSE)</f>
        <v>0</v>
      </c>
      <c r="I14" s="164">
        <f>C14*VLOOKUP(B14,'Data-PC'!$B$13:$BC$56,51,FALSE)</f>
        <v>2</v>
      </c>
      <c r="J14" s="165">
        <f>F14*C14*'Data-PC'!$D$5/1000</f>
        <v>0.184</v>
      </c>
      <c r="K14" s="165">
        <f>F14*('Data-PC'!$D$4/1000)*C14</f>
        <v>0</v>
      </c>
      <c r="L14" s="166">
        <f t="shared" si="1"/>
        <v>2.3920000000000003</v>
      </c>
      <c r="M14" s="165">
        <f t="shared" si="2"/>
        <v>1.4880000000000004</v>
      </c>
      <c r="N14" s="165"/>
      <c r="O14" s="165"/>
      <c r="P14" s="165"/>
      <c r="Q14" s="165"/>
      <c r="R14" s="165"/>
      <c r="S14" s="165">
        <f t="shared" si="3"/>
        <v>0.90399999999999991</v>
      </c>
      <c r="T14" s="167">
        <f>C14*VLOOKUP(B14,'Data-PC'!$B$13:$AP$56,16,FALSE)*(1+'Data-PC'!$T$3/100)</f>
        <v>0.72</v>
      </c>
      <c r="U14" s="167">
        <f>C14*VLOOKUP(B14,'Data-PC'!$B$13:$AP$56,17,FALSE)*(1+'Data-PC'!$T$5/100)</f>
        <v>2.76</v>
      </c>
      <c r="V14" s="168">
        <f>VLOOKUP($B14,'Data-PC'!$B$13:$AP$79,19,FALSE)</f>
        <v>2</v>
      </c>
      <c r="W14" s="169">
        <f>VLOOKUP($B14,'Data-PC'!$B$13:$AP$79,20,FALSE)</f>
        <v>13</v>
      </c>
      <c r="X14" s="170">
        <f>VLOOKUP($B14,'Data-PC'!$B$13:$AP$79,21,FALSE)*C14</f>
        <v>9.4103053199999973</v>
      </c>
      <c r="Y14" s="171">
        <f>VLOOKUP($B14,'Data-PC'!$B$13:$AP$79,22,FALSE)</f>
        <v>16</v>
      </c>
      <c r="Z14" s="169">
        <f>VLOOKUP($B14,'Data-PC'!$B$13:$AP$79,23,FALSE)</f>
        <v>100</v>
      </c>
      <c r="AA14" s="169">
        <f>VLOOKUP($B14,'Data-PC'!$B$13:$AP$79,24,FALSE)</f>
        <v>15</v>
      </c>
      <c r="AB14" s="172">
        <f>VLOOKUP($B14,'Data-PC'!$B$13:$AP$79,25,FALSE)</f>
        <v>19.2</v>
      </c>
      <c r="AC14" s="170">
        <f>VLOOKUP($B14,'Data-PC'!$B$13:$AP$79,26,FALSE)*C14</f>
        <v>30.302208</v>
      </c>
      <c r="AD14" s="171">
        <f>VLOOKUP($B14,'Data-PC'!$B$13:$AP$79,27,FALSE)</f>
        <v>13</v>
      </c>
      <c r="AE14" s="169">
        <f>VLOOKUP($B14,'Data-PC'!$B$13:$AP$79,28,FALSE)</f>
        <v>100</v>
      </c>
      <c r="AF14" s="169">
        <f>VLOOKUP($B14,'Data-PC'!$B$13:$AP$79,29,FALSE)</f>
        <v>8</v>
      </c>
      <c r="AG14" s="172">
        <f>VLOOKUP($B14,'Data-PC'!$B$13:$AP$79,30,FALSE)</f>
        <v>15.84</v>
      </c>
      <c r="AH14" s="170">
        <f>VLOOKUP($B14,'Data-PC'!$B$13:$AP$79,31,FALSE)*C14</f>
        <v>16.5034584</v>
      </c>
      <c r="AI14" s="171">
        <f>VLOOKUP($B14,'Data-PC'!$B$13:$AP$79,32,FALSE)</f>
        <v>16</v>
      </c>
      <c r="AJ14" s="169">
        <f>VLOOKUP($B14,'Data-PC'!$B$13:$AP$79,33,FALSE)</f>
        <v>100</v>
      </c>
      <c r="AK14" s="169">
        <f>VLOOKUP($B14,'Data-PC'!$B$13:$AP$79,34,FALSE)</f>
        <v>15</v>
      </c>
      <c r="AL14" s="172">
        <f>VLOOKUP($B14,'Data-PC'!$B$13:$AP$79,35,FALSE)</f>
        <v>27.3</v>
      </c>
      <c r="AM14" s="170">
        <f>VLOOKUP($B14,'Data-PC'!$B$13:$AP$79,36,FALSE)*C14</f>
        <v>43.085952000000006</v>
      </c>
      <c r="AN14" s="171">
        <f>VLOOKUP($B14,'Data-PC'!$B$13:$AP$79,37,FALSE)</f>
        <v>13</v>
      </c>
      <c r="AO14" s="169">
        <f>VLOOKUP($B14,'Data-PC'!$B$13:$AP$79,38,FALSE)</f>
        <v>100</v>
      </c>
      <c r="AP14" s="169">
        <f>VLOOKUP($B14,'Data-PC'!$B$13:$AP$79,39,FALSE)</f>
        <v>8</v>
      </c>
      <c r="AQ14" s="172">
        <f>VLOOKUP($B14,'Data-PC'!$B$13:$AP$79,40,FALSE)</f>
        <v>20.16</v>
      </c>
      <c r="AR14" s="170">
        <f>VLOOKUP($B14,'Data-PC'!$B$13:$AP$79,41,FALSE)*C14</f>
        <v>21.004401599999998</v>
      </c>
      <c r="AS14" s="171">
        <f>VLOOKUP($B14,'Data-PC'!$B$13:$AX$79,42,FALSE)</f>
        <v>0</v>
      </c>
      <c r="AT14" s="169">
        <f>VLOOKUP($B14,'Data-PC'!$B$13:$AX$79,43,FALSE)</f>
        <v>0</v>
      </c>
      <c r="AU14" s="169">
        <f>VLOOKUP($B14,'Data-PC'!$B$13:$AX$79,44,FALSE)</f>
        <v>1380</v>
      </c>
      <c r="AV14" s="170">
        <f>VLOOKUP($B14,'Data-PC'!$B$13:$AX$79,45,FALSE)*C14</f>
        <v>0</v>
      </c>
      <c r="AW14" s="171">
        <f>VLOOKUP($B14,'Data-PC'!$B$13:$AX$79,46,FALSE)</f>
        <v>0</v>
      </c>
      <c r="AX14" s="169">
        <f>VLOOKUP($B14,'Data-PC'!$B$13:$AX$79,47,FALSE)</f>
        <v>0</v>
      </c>
      <c r="AY14" s="169">
        <f>VLOOKUP($B14,'Data-PC'!$B$19:$AX$79,48,FALSE)</f>
        <v>0</v>
      </c>
      <c r="AZ14" s="170">
        <f>VLOOKUP($B14,'Data-PC'!$B$13:$AX$79,49,FALSE)*C14</f>
        <v>0</v>
      </c>
      <c r="BA14" s="167">
        <f t="shared" si="4"/>
        <v>120.30632532</v>
      </c>
    </row>
    <row r="15" spans="1:53" s="173" customFormat="1" ht="12">
      <c r="A15" s="158">
        <f t="shared" si="5"/>
        <v>4</v>
      </c>
      <c r="B15" s="2083" t="s">
        <v>2304</v>
      </c>
      <c r="C15" s="160">
        <v>1</v>
      </c>
      <c r="D15" s="1835"/>
      <c r="E15" s="161">
        <f>D15-(G15+'Data-PC'!$D$5)/1000</f>
        <v>-0.55000000000000004</v>
      </c>
      <c r="F15" s="162">
        <f>VLOOKUP(B15,'Data-PC'!$B$13:$AP$56,15,FALSE)</f>
        <v>1.69</v>
      </c>
      <c r="G15" s="163">
        <f>VLOOKUP(B15,'Data-PC'!$B$13:$G$56,4,FALSE)</f>
        <v>500</v>
      </c>
      <c r="H15" s="164">
        <f>C15*VLOOKUP(B15,'Data-PC'!$B$13:$BC$56,18,FALSE)</f>
        <v>1</v>
      </c>
      <c r="I15" s="164">
        <f>C15*VLOOKUP(B15,'Data-PC'!$B$13:$BC$56,51,FALSE)</f>
        <v>0</v>
      </c>
      <c r="J15" s="165">
        <f>F15*C15*'Data-PC'!$D$5/1000</f>
        <v>8.4500000000000006E-2</v>
      </c>
      <c r="K15" s="165">
        <f>F15*('Data-PC'!$D$4/1000)*C15</f>
        <v>0</v>
      </c>
      <c r="L15" s="166">
        <f t="shared" si="1"/>
        <v>0.92949999999999999</v>
      </c>
      <c r="M15" s="165">
        <f t="shared" si="2"/>
        <v>0.72</v>
      </c>
      <c r="N15" s="165"/>
      <c r="O15" s="165"/>
      <c r="P15" s="165"/>
      <c r="Q15" s="165"/>
      <c r="R15" s="165"/>
      <c r="S15" s="165">
        <f t="shared" si="3"/>
        <v>0.20950000000000002</v>
      </c>
      <c r="T15" s="167">
        <f>C15*VLOOKUP(B15,'Data-PC'!$B$13:$AP$56,16,FALSE)*(1+'Data-PC'!$T$3/100)</f>
        <v>0.125</v>
      </c>
      <c r="U15" s="167">
        <f>C15*VLOOKUP(B15,'Data-PC'!$B$13:$AP$56,17,FALSE)*(1+'Data-PC'!$T$5/100)</f>
        <v>1</v>
      </c>
      <c r="V15" s="168">
        <f>VLOOKUP($B15,'Data-PC'!$B$13:$AP$79,19,FALSE)</f>
        <v>2</v>
      </c>
      <c r="W15" s="169">
        <f>VLOOKUP($B15,'Data-PC'!$B$13:$AP$79,20,FALSE)</f>
        <v>13</v>
      </c>
      <c r="X15" s="170">
        <f>VLOOKUP($B15,'Data-PC'!$B$13:$AP$79,21,FALSE)*C15</f>
        <v>3.9925033199999995</v>
      </c>
      <c r="Y15" s="171">
        <f>VLOOKUP($B15,'Data-PC'!$B$13:$AP$79,22,FALSE)</f>
        <v>13</v>
      </c>
      <c r="Z15" s="169">
        <f>VLOOKUP($B15,'Data-PC'!$B$13:$AP$79,23,FALSE)</f>
        <v>125</v>
      </c>
      <c r="AA15" s="169">
        <f>VLOOKUP($B15,'Data-PC'!$B$13:$AP$79,24,FALSE)</f>
        <v>4</v>
      </c>
      <c r="AB15" s="172">
        <f>VLOOKUP($B15,'Data-PC'!$B$13:$AP$79,25,FALSE)</f>
        <v>3.52</v>
      </c>
      <c r="AC15" s="170">
        <f>VLOOKUP($B15,'Data-PC'!$B$13:$AP$79,26,FALSE)*C15</f>
        <v>3.6674351999999999</v>
      </c>
      <c r="AD15" s="171">
        <f>VLOOKUP($B15,'Data-PC'!$B$13:$AP$79,27,FALSE)</f>
        <v>13</v>
      </c>
      <c r="AE15" s="169">
        <f>VLOOKUP($B15,'Data-PC'!$B$13:$AP$79,28,FALSE)</f>
        <v>125</v>
      </c>
      <c r="AF15" s="169">
        <f>VLOOKUP($B15,'Data-PC'!$B$13:$AP$79,29,FALSE)</f>
        <v>4</v>
      </c>
      <c r="AG15" s="172">
        <f>VLOOKUP($B15,'Data-PC'!$B$13:$AP$79,30,FALSE)</f>
        <v>3.52</v>
      </c>
      <c r="AH15" s="170">
        <f>VLOOKUP($B15,'Data-PC'!$B$13:$AP$79,31,FALSE)*C15</f>
        <v>3.6674351999999999</v>
      </c>
      <c r="AI15" s="171">
        <f>VLOOKUP($B15,'Data-PC'!$B$13:$AP$79,32,FALSE)</f>
        <v>13</v>
      </c>
      <c r="AJ15" s="169">
        <f>VLOOKUP($B15,'Data-PC'!$B$13:$AP$79,33,FALSE)</f>
        <v>125</v>
      </c>
      <c r="AK15" s="169">
        <f>VLOOKUP($B15,'Data-PC'!$B$13:$AP$79,34,FALSE)</f>
        <v>4</v>
      </c>
      <c r="AL15" s="172">
        <f>VLOOKUP($B15,'Data-PC'!$B$13:$AP$79,35,FALSE)</f>
        <v>5.28</v>
      </c>
      <c r="AM15" s="170">
        <f>VLOOKUP($B15,'Data-PC'!$B$13:$AP$79,36,FALSE)*C15</f>
        <v>5.5011527999999998</v>
      </c>
      <c r="AN15" s="171">
        <f>VLOOKUP($B15,'Data-PC'!$B$13:$AP$79,37,FALSE)</f>
        <v>13</v>
      </c>
      <c r="AO15" s="169">
        <f>VLOOKUP($B15,'Data-PC'!$B$13:$AP$79,38,FALSE)</f>
        <v>125</v>
      </c>
      <c r="AP15" s="169">
        <f>VLOOKUP($B15,'Data-PC'!$B$13:$AP$79,39,FALSE)</f>
        <v>4</v>
      </c>
      <c r="AQ15" s="172">
        <f>VLOOKUP($B15,'Data-PC'!$B$13:$AP$79,40,FALSE)</f>
        <v>5.28</v>
      </c>
      <c r="AR15" s="170">
        <f>VLOOKUP($B15,'Data-PC'!$B$13:$AP$79,41,FALSE)*C15</f>
        <v>5.5011527999999998</v>
      </c>
      <c r="AS15" s="171">
        <f>VLOOKUP($B15,'Data-PC'!$B$13:$AX$79,42,FALSE)</f>
        <v>0</v>
      </c>
      <c r="AT15" s="169">
        <f>VLOOKUP($B15,'Data-PC'!$B$13:$AX$79,43,FALSE)</f>
        <v>0</v>
      </c>
      <c r="AU15" s="169">
        <f>VLOOKUP($B15,'Data-PC'!$B$13:$AX$79,44,FALSE)</f>
        <v>1180</v>
      </c>
      <c r="AV15" s="170">
        <f>VLOOKUP($B15,'Data-PC'!$B$13:$AX$79,45,FALSE)*C15</f>
        <v>0</v>
      </c>
      <c r="AW15" s="171">
        <f>VLOOKUP($B15,'Data-PC'!$B$13:$AX$79,46,FALSE)</f>
        <v>0</v>
      </c>
      <c r="AX15" s="169">
        <f>VLOOKUP($B15,'Data-PC'!$B$13:$AX$79,47,FALSE)</f>
        <v>0</v>
      </c>
      <c r="AY15" s="169" t="e">
        <f>VLOOKUP($B15,'Data-PC'!$B$19:$AX$79,48,FALSE)</f>
        <v>#N/A</v>
      </c>
      <c r="AZ15" s="170">
        <f>VLOOKUP($B15,'Data-PC'!$B$13:$AX$79,49,FALSE)*C15</f>
        <v>0</v>
      </c>
      <c r="BA15" s="167">
        <f t="shared" si="4"/>
        <v>22.329679319999997</v>
      </c>
    </row>
    <row r="16" spans="1:53" s="173" customFormat="1" ht="12">
      <c r="A16" s="158">
        <f t="shared" si="5"/>
        <v>5</v>
      </c>
      <c r="B16" s="2083" t="s">
        <v>2304</v>
      </c>
      <c r="C16" s="160">
        <v>1</v>
      </c>
      <c r="D16" s="1835"/>
      <c r="E16" s="161">
        <f>D16-(G16+'Data-PC'!$D$5)/1000</f>
        <v>-0.55000000000000004</v>
      </c>
      <c r="F16" s="162">
        <f>VLOOKUP(B16,'Data-PC'!$B$13:$AP$56,15,FALSE)</f>
        <v>1.69</v>
      </c>
      <c r="G16" s="163">
        <f>VLOOKUP(B16,'Data-PC'!$B$13:$G$56,4,FALSE)</f>
        <v>500</v>
      </c>
      <c r="H16" s="164">
        <f>C16*VLOOKUP(B16,'Data-PC'!$B$13:$BC$56,18,FALSE)</f>
        <v>1</v>
      </c>
      <c r="I16" s="164">
        <f>C16*VLOOKUP(B16,'Data-PC'!$B$13:$BC$56,51,FALSE)</f>
        <v>0</v>
      </c>
      <c r="J16" s="165">
        <f>F16*C16*'Data-PC'!$D$5/1000</f>
        <v>8.4500000000000006E-2</v>
      </c>
      <c r="K16" s="165">
        <f>F16*('Data-PC'!$D$4/1000)*C16</f>
        <v>0</v>
      </c>
      <c r="L16" s="166">
        <f t="shared" si="1"/>
        <v>0.92949999999999999</v>
      </c>
      <c r="M16" s="165">
        <f t="shared" si="2"/>
        <v>0.72</v>
      </c>
      <c r="N16" s="165"/>
      <c r="O16" s="165"/>
      <c r="P16" s="165"/>
      <c r="Q16" s="165"/>
      <c r="R16" s="165"/>
      <c r="S16" s="165">
        <f t="shared" si="3"/>
        <v>0.20950000000000002</v>
      </c>
      <c r="T16" s="167">
        <f>C16*VLOOKUP(B16,'Data-PC'!$B$13:$AP$56,16,FALSE)*(1+'Data-PC'!$T$3/100)</f>
        <v>0.125</v>
      </c>
      <c r="U16" s="167">
        <f>C16*VLOOKUP(B16,'Data-PC'!$B$13:$AP$56,17,FALSE)*(1+'Data-PC'!$T$5/100)</f>
        <v>1</v>
      </c>
      <c r="V16" s="168">
        <f>VLOOKUP($B16,'Data-PC'!$B$13:$AP$79,19,FALSE)</f>
        <v>2</v>
      </c>
      <c r="W16" s="169">
        <f>VLOOKUP($B16,'Data-PC'!$B$13:$AP$79,20,FALSE)</f>
        <v>13</v>
      </c>
      <c r="X16" s="170">
        <f>VLOOKUP($B16,'Data-PC'!$B$13:$AP$79,21,FALSE)*C16</f>
        <v>3.9925033199999995</v>
      </c>
      <c r="Y16" s="171">
        <f>VLOOKUP($B16,'Data-PC'!$B$13:$AP$79,22,FALSE)</f>
        <v>13</v>
      </c>
      <c r="Z16" s="169">
        <f>VLOOKUP($B16,'Data-PC'!$B$13:$AP$79,23,FALSE)</f>
        <v>125</v>
      </c>
      <c r="AA16" s="169">
        <f>VLOOKUP($B16,'Data-PC'!$B$13:$AP$79,24,FALSE)</f>
        <v>4</v>
      </c>
      <c r="AB16" s="172">
        <f>VLOOKUP($B16,'Data-PC'!$B$13:$AP$79,25,FALSE)</f>
        <v>3.52</v>
      </c>
      <c r="AC16" s="170">
        <f>VLOOKUP($B16,'Data-PC'!$B$13:$AP$79,26,FALSE)*C16</f>
        <v>3.6674351999999999</v>
      </c>
      <c r="AD16" s="171">
        <f>VLOOKUP($B16,'Data-PC'!$B$13:$AP$79,27,FALSE)</f>
        <v>13</v>
      </c>
      <c r="AE16" s="169">
        <f>VLOOKUP($B16,'Data-PC'!$B$13:$AP$79,28,FALSE)</f>
        <v>125</v>
      </c>
      <c r="AF16" s="169">
        <f>VLOOKUP($B16,'Data-PC'!$B$13:$AP$79,29,FALSE)</f>
        <v>4</v>
      </c>
      <c r="AG16" s="172">
        <f>VLOOKUP($B16,'Data-PC'!$B$13:$AP$79,30,FALSE)</f>
        <v>3.52</v>
      </c>
      <c r="AH16" s="170">
        <f>VLOOKUP($B16,'Data-PC'!$B$13:$AP$79,31,FALSE)*C16</f>
        <v>3.6674351999999999</v>
      </c>
      <c r="AI16" s="171">
        <f>VLOOKUP($B16,'Data-PC'!$B$13:$AP$79,32,FALSE)</f>
        <v>13</v>
      </c>
      <c r="AJ16" s="169">
        <f>VLOOKUP($B16,'Data-PC'!$B$13:$AP$79,33,FALSE)</f>
        <v>125</v>
      </c>
      <c r="AK16" s="169">
        <f>VLOOKUP($B16,'Data-PC'!$B$13:$AP$79,34,FALSE)</f>
        <v>4</v>
      </c>
      <c r="AL16" s="172">
        <f>VLOOKUP($B16,'Data-PC'!$B$13:$AP$79,35,FALSE)</f>
        <v>5.28</v>
      </c>
      <c r="AM16" s="170">
        <f>VLOOKUP($B16,'Data-PC'!$B$13:$AP$79,36,FALSE)*C16</f>
        <v>5.5011527999999998</v>
      </c>
      <c r="AN16" s="171">
        <f>VLOOKUP($B16,'Data-PC'!$B$13:$AP$79,37,FALSE)</f>
        <v>13</v>
      </c>
      <c r="AO16" s="169">
        <f>VLOOKUP($B16,'Data-PC'!$B$13:$AP$79,38,FALSE)</f>
        <v>125</v>
      </c>
      <c r="AP16" s="169">
        <f>VLOOKUP($B16,'Data-PC'!$B$13:$AP$79,39,FALSE)</f>
        <v>4</v>
      </c>
      <c r="AQ16" s="172">
        <f>VLOOKUP($B16,'Data-PC'!$B$13:$AP$79,40,FALSE)</f>
        <v>5.28</v>
      </c>
      <c r="AR16" s="170">
        <f>VLOOKUP($B16,'Data-PC'!$B$13:$AP$79,41,FALSE)*C16</f>
        <v>5.5011527999999998</v>
      </c>
      <c r="AS16" s="171">
        <f>VLOOKUP($B16,'Data-PC'!$B$13:$AX$79,42,FALSE)</f>
        <v>0</v>
      </c>
      <c r="AT16" s="169">
        <f>VLOOKUP($B16,'Data-PC'!$B$13:$AX$79,43,FALSE)</f>
        <v>0</v>
      </c>
      <c r="AU16" s="169">
        <f>VLOOKUP($B16,'Data-PC'!$B$13:$AX$79,44,FALSE)</f>
        <v>1180</v>
      </c>
      <c r="AV16" s="170">
        <f>VLOOKUP($B16,'Data-PC'!$B$13:$AX$79,45,FALSE)*C16</f>
        <v>0</v>
      </c>
      <c r="AW16" s="171">
        <f>VLOOKUP($B16,'Data-PC'!$B$13:$AX$79,46,FALSE)</f>
        <v>0</v>
      </c>
      <c r="AX16" s="169">
        <f>VLOOKUP($B16,'Data-PC'!$B$13:$AX$79,47,FALSE)</f>
        <v>0</v>
      </c>
      <c r="AY16" s="169" t="e">
        <f>VLOOKUP($B16,'Data-PC'!$B$19:$AX$79,48,FALSE)</f>
        <v>#N/A</v>
      </c>
      <c r="AZ16" s="170">
        <f>VLOOKUP($B16,'Data-PC'!$B$13:$AX$79,49,FALSE)*C16</f>
        <v>0</v>
      </c>
      <c r="BA16" s="167">
        <f t="shared" si="4"/>
        <v>22.329679319999997</v>
      </c>
    </row>
    <row r="17" spans="1:53" s="173" customFormat="1" ht="12">
      <c r="A17" s="158">
        <f t="shared" si="5"/>
        <v>6</v>
      </c>
      <c r="B17" s="2083" t="s">
        <v>2304</v>
      </c>
      <c r="C17" s="160">
        <v>1</v>
      </c>
      <c r="D17" s="1835"/>
      <c r="E17" s="161">
        <f>D17-(G17+'Data-PC'!$D$5)/1000</f>
        <v>-0.55000000000000004</v>
      </c>
      <c r="F17" s="162">
        <f>VLOOKUP(B17,'Data-PC'!$B$13:$AP$56,15,FALSE)</f>
        <v>1.69</v>
      </c>
      <c r="G17" s="163">
        <f>VLOOKUP(B17,'Data-PC'!$B$13:$G$56,4,FALSE)</f>
        <v>500</v>
      </c>
      <c r="H17" s="164">
        <f>C17*VLOOKUP(B17,'Data-PC'!$B$13:$BC$56,18,FALSE)</f>
        <v>1</v>
      </c>
      <c r="I17" s="164">
        <f>C17*VLOOKUP(B17,'Data-PC'!$B$13:$BC$56,51,FALSE)</f>
        <v>0</v>
      </c>
      <c r="J17" s="165">
        <f>F17*C17*'Data-PC'!$D$5/1000</f>
        <v>8.4500000000000006E-2</v>
      </c>
      <c r="K17" s="165">
        <f>F17*('Data-PC'!$D$4/1000)*C17</f>
        <v>0</v>
      </c>
      <c r="L17" s="166">
        <f t="shared" si="1"/>
        <v>0.92949999999999999</v>
      </c>
      <c r="M17" s="165">
        <f t="shared" si="2"/>
        <v>0.72</v>
      </c>
      <c r="N17" s="165"/>
      <c r="O17" s="165"/>
      <c r="P17" s="165"/>
      <c r="Q17" s="165"/>
      <c r="R17" s="165"/>
      <c r="S17" s="165">
        <f t="shared" si="3"/>
        <v>0.20950000000000002</v>
      </c>
      <c r="T17" s="167">
        <f>C17*VLOOKUP(B17,'Data-PC'!$B$13:$AP$56,16,FALSE)*(1+'Data-PC'!$T$3/100)</f>
        <v>0.125</v>
      </c>
      <c r="U17" s="167">
        <f>C17*VLOOKUP(B17,'Data-PC'!$B$13:$AP$56,17,FALSE)*(1+'Data-PC'!$T$5/100)</f>
        <v>1</v>
      </c>
      <c r="V17" s="168">
        <f>VLOOKUP($B17,'Data-PC'!$B$13:$AP$79,19,FALSE)</f>
        <v>2</v>
      </c>
      <c r="W17" s="169">
        <f>VLOOKUP($B17,'Data-PC'!$B$13:$AP$79,20,FALSE)</f>
        <v>13</v>
      </c>
      <c r="X17" s="170">
        <f>VLOOKUP($B17,'Data-PC'!$B$13:$AP$79,21,FALSE)*C17</f>
        <v>3.9925033199999995</v>
      </c>
      <c r="Y17" s="171">
        <f>VLOOKUP($B17,'Data-PC'!$B$13:$AP$79,22,FALSE)</f>
        <v>13</v>
      </c>
      <c r="Z17" s="169">
        <f>VLOOKUP($B17,'Data-PC'!$B$13:$AP$79,23,FALSE)</f>
        <v>125</v>
      </c>
      <c r="AA17" s="169">
        <f>VLOOKUP($B17,'Data-PC'!$B$13:$AP$79,24,FALSE)</f>
        <v>4</v>
      </c>
      <c r="AB17" s="172">
        <f>VLOOKUP($B17,'Data-PC'!$B$13:$AP$79,25,FALSE)</f>
        <v>3.52</v>
      </c>
      <c r="AC17" s="170">
        <f>VLOOKUP($B17,'Data-PC'!$B$13:$AP$79,26,FALSE)*C17</f>
        <v>3.6674351999999999</v>
      </c>
      <c r="AD17" s="171">
        <f>VLOOKUP($B17,'Data-PC'!$B$13:$AP$79,27,FALSE)</f>
        <v>13</v>
      </c>
      <c r="AE17" s="169">
        <f>VLOOKUP($B17,'Data-PC'!$B$13:$AP$79,28,FALSE)</f>
        <v>125</v>
      </c>
      <c r="AF17" s="169">
        <f>VLOOKUP($B17,'Data-PC'!$B$13:$AP$79,29,FALSE)</f>
        <v>4</v>
      </c>
      <c r="AG17" s="172">
        <f>VLOOKUP($B17,'Data-PC'!$B$13:$AP$79,30,FALSE)</f>
        <v>3.52</v>
      </c>
      <c r="AH17" s="170">
        <f>VLOOKUP($B17,'Data-PC'!$B$13:$AP$79,31,FALSE)*C17</f>
        <v>3.6674351999999999</v>
      </c>
      <c r="AI17" s="171">
        <f>VLOOKUP($B17,'Data-PC'!$B$13:$AP$79,32,FALSE)</f>
        <v>13</v>
      </c>
      <c r="AJ17" s="169">
        <f>VLOOKUP($B17,'Data-PC'!$B$13:$AP$79,33,FALSE)</f>
        <v>125</v>
      </c>
      <c r="AK17" s="169">
        <f>VLOOKUP($B17,'Data-PC'!$B$13:$AP$79,34,FALSE)</f>
        <v>4</v>
      </c>
      <c r="AL17" s="172">
        <f>VLOOKUP($B17,'Data-PC'!$B$13:$AP$79,35,FALSE)</f>
        <v>5.28</v>
      </c>
      <c r="AM17" s="170">
        <f>VLOOKUP($B17,'Data-PC'!$B$13:$AP$79,36,FALSE)*C17</f>
        <v>5.5011527999999998</v>
      </c>
      <c r="AN17" s="171">
        <f>VLOOKUP($B17,'Data-PC'!$B$13:$AP$79,37,FALSE)</f>
        <v>13</v>
      </c>
      <c r="AO17" s="169">
        <f>VLOOKUP($B17,'Data-PC'!$B$13:$AP$79,38,FALSE)</f>
        <v>125</v>
      </c>
      <c r="AP17" s="169">
        <f>VLOOKUP($B17,'Data-PC'!$B$13:$AP$79,39,FALSE)</f>
        <v>4</v>
      </c>
      <c r="AQ17" s="172">
        <f>VLOOKUP($B17,'Data-PC'!$B$13:$AP$79,40,FALSE)</f>
        <v>5.28</v>
      </c>
      <c r="AR17" s="170">
        <f>VLOOKUP($B17,'Data-PC'!$B$13:$AP$79,41,FALSE)*C17</f>
        <v>5.5011527999999998</v>
      </c>
      <c r="AS17" s="171">
        <f>VLOOKUP($B17,'Data-PC'!$B$13:$AX$79,42,FALSE)</f>
        <v>0</v>
      </c>
      <c r="AT17" s="169">
        <f>VLOOKUP($B17,'Data-PC'!$B$13:$AX$79,43,FALSE)</f>
        <v>0</v>
      </c>
      <c r="AU17" s="169">
        <f>VLOOKUP($B17,'Data-PC'!$B$13:$AX$79,44,FALSE)</f>
        <v>1180</v>
      </c>
      <c r="AV17" s="170">
        <f>VLOOKUP($B17,'Data-PC'!$B$13:$AX$79,45,FALSE)*C17</f>
        <v>0</v>
      </c>
      <c r="AW17" s="171">
        <f>VLOOKUP($B17,'Data-PC'!$B$13:$AX$79,46,FALSE)</f>
        <v>0</v>
      </c>
      <c r="AX17" s="169">
        <f>VLOOKUP($B17,'Data-PC'!$B$13:$AX$79,47,FALSE)</f>
        <v>0</v>
      </c>
      <c r="AY17" s="169" t="e">
        <f>VLOOKUP($B17,'Data-PC'!$B$19:$AX$79,48,FALSE)</f>
        <v>#N/A</v>
      </c>
      <c r="AZ17" s="170">
        <f>VLOOKUP($B17,'Data-PC'!$B$13:$AX$79,49,FALSE)*C17</f>
        <v>0</v>
      </c>
      <c r="BA17" s="167">
        <f t="shared" si="4"/>
        <v>22.329679319999997</v>
      </c>
    </row>
    <row r="18" spans="1:53" s="173" customFormat="1" ht="12">
      <c r="A18" s="158">
        <f t="shared" si="5"/>
        <v>7</v>
      </c>
      <c r="B18" s="2083" t="s">
        <v>2304</v>
      </c>
      <c r="C18" s="160">
        <v>1</v>
      </c>
      <c r="D18" s="1835"/>
      <c r="E18" s="161">
        <f>D18-(G18+'Data-PC'!$D$5)/1000</f>
        <v>-0.55000000000000004</v>
      </c>
      <c r="F18" s="162">
        <f>VLOOKUP(B18,'Data-PC'!$B$13:$AP$56,15,FALSE)</f>
        <v>1.69</v>
      </c>
      <c r="G18" s="163">
        <f>VLOOKUP(B18,'Data-PC'!$B$13:$G$56,4,FALSE)</f>
        <v>500</v>
      </c>
      <c r="H18" s="164">
        <f>C18*VLOOKUP(B18,'Data-PC'!$B$13:$BC$56,18,FALSE)</f>
        <v>1</v>
      </c>
      <c r="I18" s="164">
        <f>C18*VLOOKUP(B18,'Data-PC'!$B$13:$BC$56,51,FALSE)</f>
        <v>0</v>
      </c>
      <c r="J18" s="165">
        <f>F18*C18*'Data-PC'!$D$5/1000</f>
        <v>8.4500000000000006E-2</v>
      </c>
      <c r="K18" s="165">
        <f>F18*('Data-PC'!$D$4/1000)*C18</f>
        <v>0</v>
      </c>
      <c r="L18" s="166">
        <f t="shared" si="1"/>
        <v>0.92949999999999999</v>
      </c>
      <c r="M18" s="165">
        <f t="shared" si="2"/>
        <v>0.72</v>
      </c>
      <c r="N18" s="165"/>
      <c r="O18" s="165"/>
      <c r="P18" s="165"/>
      <c r="Q18" s="165"/>
      <c r="R18" s="165"/>
      <c r="S18" s="165">
        <f t="shared" si="3"/>
        <v>0.20950000000000002</v>
      </c>
      <c r="T18" s="167">
        <f>C18*VLOOKUP(B18,'Data-PC'!$B$13:$AP$56,16,FALSE)*(1+'Data-PC'!$T$3/100)</f>
        <v>0.125</v>
      </c>
      <c r="U18" s="167">
        <f>C18*VLOOKUP(B18,'Data-PC'!$B$13:$AP$56,17,FALSE)*(1+'Data-PC'!$T$5/100)</f>
        <v>1</v>
      </c>
      <c r="V18" s="168">
        <f>VLOOKUP($B18,'Data-PC'!$B$13:$AP$79,19,FALSE)</f>
        <v>2</v>
      </c>
      <c r="W18" s="169">
        <f>VLOOKUP($B18,'Data-PC'!$B$13:$AP$79,20,FALSE)</f>
        <v>13</v>
      </c>
      <c r="X18" s="170">
        <f>VLOOKUP($B18,'Data-PC'!$B$13:$AP$79,21,FALSE)*C18</f>
        <v>3.9925033199999995</v>
      </c>
      <c r="Y18" s="171">
        <f>VLOOKUP($B18,'Data-PC'!$B$13:$AP$79,22,FALSE)</f>
        <v>13</v>
      </c>
      <c r="Z18" s="169">
        <f>VLOOKUP($B18,'Data-PC'!$B$13:$AP$79,23,FALSE)</f>
        <v>125</v>
      </c>
      <c r="AA18" s="169">
        <f>VLOOKUP($B18,'Data-PC'!$B$13:$AP$79,24,FALSE)</f>
        <v>4</v>
      </c>
      <c r="AB18" s="172">
        <f>VLOOKUP($B18,'Data-PC'!$B$13:$AP$79,25,FALSE)</f>
        <v>3.52</v>
      </c>
      <c r="AC18" s="170">
        <f>VLOOKUP($B18,'Data-PC'!$B$13:$AP$79,26,FALSE)*C18</f>
        <v>3.6674351999999999</v>
      </c>
      <c r="AD18" s="171">
        <f>VLOOKUP($B18,'Data-PC'!$B$13:$AP$79,27,FALSE)</f>
        <v>13</v>
      </c>
      <c r="AE18" s="169">
        <f>VLOOKUP($B18,'Data-PC'!$B$13:$AP$79,28,FALSE)</f>
        <v>125</v>
      </c>
      <c r="AF18" s="169">
        <f>VLOOKUP($B18,'Data-PC'!$B$13:$AP$79,29,FALSE)</f>
        <v>4</v>
      </c>
      <c r="AG18" s="172">
        <f>VLOOKUP($B18,'Data-PC'!$B$13:$AP$79,30,FALSE)</f>
        <v>3.52</v>
      </c>
      <c r="AH18" s="170">
        <f>VLOOKUP($B18,'Data-PC'!$B$13:$AP$79,31,FALSE)*C18</f>
        <v>3.6674351999999999</v>
      </c>
      <c r="AI18" s="171">
        <f>VLOOKUP($B18,'Data-PC'!$B$13:$AP$79,32,FALSE)</f>
        <v>13</v>
      </c>
      <c r="AJ18" s="169">
        <f>VLOOKUP($B18,'Data-PC'!$B$13:$AP$79,33,FALSE)</f>
        <v>125</v>
      </c>
      <c r="AK18" s="169">
        <f>VLOOKUP($B18,'Data-PC'!$B$13:$AP$79,34,FALSE)</f>
        <v>4</v>
      </c>
      <c r="AL18" s="172">
        <f>VLOOKUP($B18,'Data-PC'!$B$13:$AP$79,35,FALSE)</f>
        <v>5.28</v>
      </c>
      <c r="AM18" s="170">
        <f>VLOOKUP($B18,'Data-PC'!$B$13:$AP$79,36,FALSE)*C18</f>
        <v>5.5011527999999998</v>
      </c>
      <c r="AN18" s="171">
        <f>VLOOKUP($B18,'Data-PC'!$B$13:$AP$79,37,FALSE)</f>
        <v>13</v>
      </c>
      <c r="AO18" s="169">
        <f>VLOOKUP($B18,'Data-PC'!$B$13:$AP$79,38,FALSE)</f>
        <v>125</v>
      </c>
      <c r="AP18" s="169">
        <f>VLOOKUP($B18,'Data-PC'!$B$13:$AP$79,39,FALSE)</f>
        <v>4</v>
      </c>
      <c r="AQ18" s="172">
        <f>VLOOKUP($B18,'Data-PC'!$B$13:$AP$79,40,FALSE)</f>
        <v>5.28</v>
      </c>
      <c r="AR18" s="170">
        <f>VLOOKUP($B18,'Data-PC'!$B$13:$AP$79,41,FALSE)*C18</f>
        <v>5.5011527999999998</v>
      </c>
      <c r="AS18" s="171">
        <f>VLOOKUP($B18,'Data-PC'!$B$13:$AX$79,42,FALSE)</f>
        <v>0</v>
      </c>
      <c r="AT18" s="169">
        <f>VLOOKUP($B18,'Data-PC'!$B$13:$AX$79,43,FALSE)</f>
        <v>0</v>
      </c>
      <c r="AU18" s="169">
        <f>VLOOKUP($B18,'Data-PC'!$B$13:$AX$79,44,FALSE)</f>
        <v>1180</v>
      </c>
      <c r="AV18" s="170">
        <f>VLOOKUP($B18,'Data-PC'!$B$13:$AX$79,45,FALSE)*C18</f>
        <v>0</v>
      </c>
      <c r="AW18" s="171">
        <f>VLOOKUP($B18,'Data-PC'!$B$13:$AX$79,46,FALSE)</f>
        <v>0</v>
      </c>
      <c r="AX18" s="169">
        <f>VLOOKUP($B18,'Data-PC'!$B$13:$AX$79,47,FALSE)</f>
        <v>0</v>
      </c>
      <c r="AY18" s="169" t="e">
        <f>VLOOKUP($B18,'Data-PC'!$B$19:$AX$79,48,FALSE)</f>
        <v>#N/A</v>
      </c>
      <c r="AZ18" s="170">
        <f>VLOOKUP($B18,'Data-PC'!$B$13:$AX$79,49,FALSE)*C18</f>
        <v>0</v>
      </c>
      <c r="BA18" s="167">
        <f t="shared" si="4"/>
        <v>22.329679319999997</v>
      </c>
    </row>
    <row r="19" spans="1:53" s="173" customFormat="1" ht="12">
      <c r="A19" s="158">
        <f t="shared" si="5"/>
        <v>8</v>
      </c>
      <c r="B19" s="2083" t="s">
        <v>2304</v>
      </c>
      <c r="C19" s="160">
        <v>1</v>
      </c>
      <c r="D19" s="1835"/>
      <c r="E19" s="161">
        <f>D19-(G19+'Data-PC'!$D$5)/1000</f>
        <v>-0.55000000000000004</v>
      </c>
      <c r="F19" s="162">
        <f>VLOOKUP(B19,'Data-PC'!$B$13:$AP$56,15,FALSE)</f>
        <v>1.69</v>
      </c>
      <c r="G19" s="163">
        <f>VLOOKUP(B19,'Data-PC'!$B$13:$G$56,4,FALSE)</f>
        <v>500</v>
      </c>
      <c r="H19" s="164">
        <f>C19*VLOOKUP(B19,'Data-PC'!$B$13:$BC$56,18,FALSE)</f>
        <v>1</v>
      </c>
      <c r="I19" s="164">
        <f>C19*VLOOKUP(B19,'Data-PC'!$B$13:$BC$56,51,FALSE)</f>
        <v>0</v>
      </c>
      <c r="J19" s="165">
        <f>F19*C19*'Data-PC'!$D$5/1000</f>
        <v>8.4500000000000006E-2</v>
      </c>
      <c r="K19" s="165">
        <f>F19*('Data-PC'!$D$4/1000)*C19</f>
        <v>0</v>
      </c>
      <c r="L19" s="166">
        <f t="shared" si="1"/>
        <v>0.92949999999999999</v>
      </c>
      <c r="M19" s="165">
        <f t="shared" si="2"/>
        <v>0.72</v>
      </c>
      <c r="N19" s="165"/>
      <c r="O19" s="165"/>
      <c r="P19" s="165"/>
      <c r="Q19" s="165"/>
      <c r="R19" s="165"/>
      <c r="S19" s="165">
        <f t="shared" si="3"/>
        <v>0.20950000000000002</v>
      </c>
      <c r="T19" s="167">
        <f>C19*VLOOKUP(B19,'Data-PC'!$B$13:$AP$56,16,FALSE)*(1+'Data-PC'!$T$3/100)</f>
        <v>0.125</v>
      </c>
      <c r="U19" s="167">
        <f>C19*VLOOKUP(B19,'Data-PC'!$B$13:$AP$56,17,FALSE)*(1+'Data-PC'!$T$5/100)</f>
        <v>1</v>
      </c>
      <c r="V19" s="168">
        <f>VLOOKUP($B19,'Data-PC'!$B$13:$AP$79,19,FALSE)</f>
        <v>2</v>
      </c>
      <c r="W19" s="169">
        <f>VLOOKUP($B19,'Data-PC'!$B$13:$AP$79,20,FALSE)</f>
        <v>13</v>
      </c>
      <c r="X19" s="170">
        <f>VLOOKUP($B19,'Data-PC'!$B$13:$AP$79,21,FALSE)*C19</f>
        <v>3.9925033199999995</v>
      </c>
      <c r="Y19" s="171">
        <f>VLOOKUP($B19,'Data-PC'!$B$13:$AP$79,22,FALSE)</f>
        <v>13</v>
      </c>
      <c r="Z19" s="169">
        <f>VLOOKUP($B19,'Data-PC'!$B$13:$AP$79,23,FALSE)</f>
        <v>125</v>
      </c>
      <c r="AA19" s="169">
        <f>VLOOKUP($B19,'Data-PC'!$B$13:$AP$79,24,FALSE)</f>
        <v>4</v>
      </c>
      <c r="AB19" s="172">
        <f>VLOOKUP($B19,'Data-PC'!$B$13:$AP$79,25,FALSE)</f>
        <v>3.52</v>
      </c>
      <c r="AC19" s="170">
        <f>VLOOKUP($B19,'Data-PC'!$B$13:$AP$79,26,FALSE)*C19</f>
        <v>3.6674351999999999</v>
      </c>
      <c r="AD19" s="171">
        <f>VLOOKUP($B19,'Data-PC'!$B$13:$AP$79,27,FALSE)</f>
        <v>13</v>
      </c>
      <c r="AE19" s="169">
        <f>VLOOKUP($B19,'Data-PC'!$B$13:$AP$79,28,FALSE)</f>
        <v>125</v>
      </c>
      <c r="AF19" s="169">
        <f>VLOOKUP($B19,'Data-PC'!$B$13:$AP$79,29,FALSE)</f>
        <v>4</v>
      </c>
      <c r="AG19" s="172">
        <f>VLOOKUP($B19,'Data-PC'!$B$13:$AP$79,30,FALSE)</f>
        <v>3.52</v>
      </c>
      <c r="AH19" s="170">
        <f>VLOOKUP($B19,'Data-PC'!$B$13:$AP$79,31,FALSE)*C19</f>
        <v>3.6674351999999999</v>
      </c>
      <c r="AI19" s="171">
        <f>VLOOKUP($B19,'Data-PC'!$B$13:$AP$79,32,FALSE)</f>
        <v>13</v>
      </c>
      <c r="AJ19" s="169">
        <f>VLOOKUP($B19,'Data-PC'!$B$13:$AP$79,33,FALSE)</f>
        <v>125</v>
      </c>
      <c r="AK19" s="169">
        <f>VLOOKUP($B19,'Data-PC'!$B$13:$AP$79,34,FALSE)</f>
        <v>4</v>
      </c>
      <c r="AL19" s="172">
        <f>VLOOKUP($B19,'Data-PC'!$B$13:$AP$79,35,FALSE)</f>
        <v>5.28</v>
      </c>
      <c r="AM19" s="170">
        <f>VLOOKUP($B19,'Data-PC'!$B$13:$AP$79,36,FALSE)*C19</f>
        <v>5.5011527999999998</v>
      </c>
      <c r="AN19" s="171">
        <f>VLOOKUP($B19,'Data-PC'!$B$13:$AP$79,37,FALSE)</f>
        <v>13</v>
      </c>
      <c r="AO19" s="169">
        <f>VLOOKUP($B19,'Data-PC'!$B$13:$AP$79,38,FALSE)</f>
        <v>125</v>
      </c>
      <c r="AP19" s="169">
        <f>VLOOKUP($B19,'Data-PC'!$B$13:$AP$79,39,FALSE)</f>
        <v>4</v>
      </c>
      <c r="AQ19" s="172">
        <f>VLOOKUP($B19,'Data-PC'!$B$13:$AP$79,40,FALSE)</f>
        <v>5.28</v>
      </c>
      <c r="AR19" s="170">
        <f>VLOOKUP($B19,'Data-PC'!$B$13:$AP$79,41,FALSE)*C19</f>
        <v>5.5011527999999998</v>
      </c>
      <c r="AS19" s="171">
        <f>VLOOKUP($B19,'Data-PC'!$B$13:$AX$79,42,FALSE)</f>
        <v>0</v>
      </c>
      <c r="AT19" s="169">
        <f>VLOOKUP($B19,'Data-PC'!$B$13:$AX$79,43,FALSE)</f>
        <v>0</v>
      </c>
      <c r="AU19" s="169">
        <f>VLOOKUP($B19,'Data-PC'!$B$13:$AX$79,44,FALSE)</f>
        <v>1180</v>
      </c>
      <c r="AV19" s="170">
        <f>VLOOKUP($B19,'Data-PC'!$B$13:$AX$79,45,FALSE)*C19</f>
        <v>0</v>
      </c>
      <c r="AW19" s="171">
        <f>VLOOKUP($B19,'Data-PC'!$B$13:$AX$79,46,FALSE)</f>
        <v>0</v>
      </c>
      <c r="AX19" s="169">
        <f>VLOOKUP($B19,'Data-PC'!$B$13:$AX$79,47,FALSE)</f>
        <v>0</v>
      </c>
      <c r="AY19" s="169" t="e">
        <f>VLOOKUP($B19,'Data-PC'!$B$19:$AX$79,48,FALSE)</f>
        <v>#N/A</v>
      </c>
      <c r="AZ19" s="170">
        <f>VLOOKUP($B19,'Data-PC'!$B$13:$AX$79,49,FALSE)*C19</f>
        <v>0</v>
      </c>
      <c r="BA19" s="167">
        <f t="shared" si="4"/>
        <v>22.329679319999997</v>
      </c>
    </row>
    <row r="20" spans="1:53" s="173" customFormat="1" ht="12">
      <c r="A20" s="158">
        <f t="shared" si="5"/>
        <v>9</v>
      </c>
      <c r="B20" s="2083" t="s">
        <v>2304</v>
      </c>
      <c r="C20" s="160">
        <v>1</v>
      </c>
      <c r="D20" s="1835"/>
      <c r="E20" s="161">
        <f>D20-(G20+'Data-PC'!$D$5)/1000</f>
        <v>-0.55000000000000004</v>
      </c>
      <c r="F20" s="162">
        <f>VLOOKUP(B20,'Data-PC'!$B$13:$AP$56,15,FALSE)</f>
        <v>1.69</v>
      </c>
      <c r="G20" s="163">
        <f>VLOOKUP(B20,'Data-PC'!$B$13:$G$56,4,FALSE)</f>
        <v>500</v>
      </c>
      <c r="H20" s="164">
        <f>C20*VLOOKUP(B20,'Data-PC'!$B$13:$BC$56,18,FALSE)</f>
        <v>1</v>
      </c>
      <c r="I20" s="164">
        <f>C20*VLOOKUP(B20,'Data-PC'!$B$13:$BC$56,51,FALSE)</f>
        <v>0</v>
      </c>
      <c r="J20" s="165">
        <f>F20*C20*'Data-PC'!$D$5/1000</f>
        <v>8.4500000000000006E-2</v>
      </c>
      <c r="K20" s="165">
        <f>F20*('Data-PC'!$D$4/1000)*C20</f>
        <v>0</v>
      </c>
      <c r="L20" s="166">
        <f t="shared" si="1"/>
        <v>0.92949999999999999</v>
      </c>
      <c r="M20" s="165">
        <f t="shared" si="2"/>
        <v>0.72</v>
      </c>
      <c r="N20" s="165"/>
      <c r="O20" s="165"/>
      <c r="P20" s="165"/>
      <c r="Q20" s="165"/>
      <c r="R20" s="165"/>
      <c r="S20" s="165">
        <f t="shared" si="3"/>
        <v>0.20950000000000002</v>
      </c>
      <c r="T20" s="167">
        <f>C20*VLOOKUP(B20,'Data-PC'!$B$13:$AP$56,16,FALSE)*(1+'Data-PC'!$T$3/100)</f>
        <v>0.125</v>
      </c>
      <c r="U20" s="167">
        <f>C20*VLOOKUP(B20,'Data-PC'!$B$13:$AP$56,17,FALSE)*(1+'Data-PC'!$T$5/100)</f>
        <v>1</v>
      </c>
      <c r="V20" s="168">
        <f>VLOOKUP($B20,'Data-PC'!$B$13:$AP$79,19,FALSE)</f>
        <v>2</v>
      </c>
      <c r="W20" s="169">
        <f>VLOOKUP($B20,'Data-PC'!$B$13:$AP$79,20,FALSE)</f>
        <v>13</v>
      </c>
      <c r="X20" s="170">
        <f>VLOOKUP($B20,'Data-PC'!$B$13:$AP$79,21,FALSE)*C20</f>
        <v>3.9925033199999995</v>
      </c>
      <c r="Y20" s="171">
        <f>VLOOKUP($B20,'Data-PC'!$B$13:$AP$79,22,FALSE)</f>
        <v>13</v>
      </c>
      <c r="Z20" s="169">
        <f>VLOOKUP($B20,'Data-PC'!$B$13:$AP$79,23,FALSE)</f>
        <v>125</v>
      </c>
      <c r="AA20" s="169">
        <f>VLOOKUP($B20,'Data-PC'!$B$13:$AP$79,24,FALSE)</f>
        <v>4</v>
      </c>
      <c r="AB20" s="172">
        <f>VLOOKUP($B20,'Data-PC'!$B$13:$AP$79,25,FALSE)</f>
        <v>3.52</v>
      </c>
      <c r="AC20" s="170">
        <f>VLOOKUP($B20,'Data-PC'!$B$13:$AP$79,26,FALSE)*C20</f>
        <v>3.6674351999999999</v>
      </c>
      <c r="AD20" s="171">
        <f>VLOOKUP($B20,'Data-PC'!$B$13:$AP$79,27,FALSE)</f>
        <v>13</v>
      </c>
      <c r="AE20" s="169">
        <f>VLOOKUP($B20,'Data-PC'!$B$13:$AP$79,28,FALSE)</f>
        <v>125</v>
      </c>
      <c r="AF20" s="169">
        <f>VLOOKUP($B20,'Data-PC'!$B$13:$AP$79,29,FALSE)</f>
        <v>4</v>
      </c>
      <c r="AG20" s="172">
        <f>VLOOKUP($B20,'Data-PC'!$B$13:$AP$79,30,FALSE)</f>
        <v>3.52</v>
      </c>
      <c r="AH20" s="170">
        <f>VLOOKUP($B20,'Data-PC'!$B$13:$AP$79,31,FALSE)*C20</f>
        <v>3.6674351999999999</v>
      </c>
      <c r="AI20" s="171">
        <f>VLOOKUP($B20,'Data-PC'!$B$13:$AP$79,32,FALSE)</f>
        <v>13</v>
      </c>
      <c r="AJ20" s="169">
        <f>VLOOKUP($B20,'Data-PC'!$B$13:$AP$79,33,FALSE)</f>
        <v>125</v>
      </c>
      <c r="AK20" s="169">
        <f>VLOOKUP($B20,'Data-PC'!$B$13:$AP$79,34,FALSE)</f>
        <v>4</v>
      </c>
      <c r="AL20" s="172">
        <f>VLOOKUP($B20,'Data-PC'!$B$13:$AP$79,35,FALSE)</f>
        <v>5.28</v>
      </c>
      <c r="AM20" s="170">
        <f>VLOOKUP($B20,'Data-PC'!$B$13:$AP$79,36,FALSE)*C20</f>
        <v>5.5011527999999998</v>
      </c>
      <c r="AN20" s="171">
        <f>VLOOKUP($B20,'Data-PC'!$B$13:$AP$79,37,FALSE)</f>
        <v>13</v>
      </c>
      <c r="AO20" s="169">
        <f>VLOOKUP($B20,'Data-PC'!$B$13:$AP$79,38,FALSE)</f>
        <v>125</v>
      </c>
      <c r="AP20" s="169">
        <f>VLOOKUP($B20,'Data-PC'!$B$13:$AP$79,39,FALSE)</f>
        <v>4</v>
      </c>
      <c r="AQ20" s="172">
        <f>VLOOKUP($B20,'Data-PC'!$B$13:$AP$79,40,FALSE)</f>
        <v>5.28</v>
      </c>
      <c r="AR20" s="170">
        <f>VLOOKUP($B20,'Data-PC'!$B$13:$AP$79,41,FALSE)*C20</f>
        <v>5.5011527999999998</v>
      </c>
      <c r="AS20" s="171">
        <f>VLOOKUP($B20,'Data-PC'!$B$13:$AX$79,42,FALSE)</f>
        <v>0</v>
      </c>
      <c r="AT20" s="169">
        <f>VLOOKUP($B20,'Data-PC'!$B$13:$AX$79,43,FALSE)</f>
        <v>0</v>
      </c>
      <c r="AU20" s="169">
        <f>VLOOKUP($B20,'Data-PC'!$B$13:$AX$79,44,FALSE)</f>
        <v>1180</v>
      </c>
      <c r="AV20" s="170">
        <f>VLOOKUP($B20,'Data-PC'!$B$13:$AX$79,45,FALSE)*C20</f>
        <v>0</v>
      </c>
      <c r="AW20" s="171">
        <f>VLOOKUP($B20,'Data-PC'!$B$13:$AX$79,46,FALSE)</f>
        <v>0</v>
      </c>
      <c r="AX20" s="169">
        <f>VLOOKUP($B20,'Data-PC'!$B$13:$AX$79,47,FALSE)</f>
        <v>0</v>
      </c>
      <c r="AY20" s="169" t="e">
        <f>VLOOKUP($B20,'Data-PC'!$B$19:$AX$79,48,FALSE)</f>
        <v>#N/A</v>
      </c>
      <c r="AZ20" s="170">
        <f>VLOOKUP($B20,'Data-PC'!$B$13:$AX$79,49,FALSE)*C20</f>
        <v>0</v>
      </c>
      <c r="BA20" s="167">
        <f t="shared" si="4"/>
        <v>22.329679319999997</v>
      </c>
    </row>
    <row r="21" spans="1:53" s="173" customFormat="1" ht="12">
      <c r="A21" s="158">
        <f t="shared" si="5"/>
        <v>10</v>
      </c>
      <c r="B21" s="159" t="s">
        <v>2304</v>
      </c>
      <c r="C21" s="160">
        <v>1</v>
      </c>
      <c r="D21" s="1835"/>
      <c r="E21" s="161">
        <f>D21-(G21+'Data-PC'!$D$5)/1000</f>
        <v>-0.55000000000000004</v>
      </c>
      <c r="F21" s="162">
        <f>VLOOKUP(B21,'Data-PC'!$B$13:$AP$56,15,FALSE)</f>
        <v>1.69</v>
      </c>
      <c r="G21" s="163">
        <f>VLOOKUP(B21,'Data-PC'!$B$13:$G$56,4,FALSE)</f>
        <v>500</v>
      </c>
      <c r="H21" s="164">
        <f>C21*VLOOKUP(B21,'Data-PC'!$B$13:$BC$56,18,FALSE)</f>
        <v>1</v>
      </c>
      <c r="I21" s="164">
        <f>C21*VLOOKUP(B21,'Data-PC'!$B$13:$BC$56,51,FALSE)</f>
        <v>0</v>
      </c>
      <c r="J21" s="165">
        <f>F21*C21*'Data-PC'!$D$5/1000</f>
        <v>8.4500000000000006E-2</v>
      </c>
      <c r="K21" s="165">
        <f>F21*('Data-PC'!$D$4/1000)*C21</f>
        <v>0</v>
      </c>
      <c r="L21" s="166">
        <f t="shared" si="1"/>
        <v>0.92949999999999999</v>
      </c>
      <c r="M21" s="165">
        <f t="shared" si="2"/>
        <v>0.72</v>
      </c>
      <c r="N21" s="165"/>
      <c r="O21" s="165"/>
      <c r="P21" s="165"/>
      <c r="Q21" s="165"/>
      <c r="R21" s="165"/>
      <c r="S21" s="165">
        <f t="shared" si="3"/>
        <v>0.20950000000000002</v>
      </c>
      <c r="T21" s="167">
        <f>C21*VLOOKUP(B21,'Data-PC'!$B$13:$AP$56,16,FALSE)*(1+'Data-PC'!$T$3/100)</f>
        <v>0.125</v>
      </c>
      <c r="U21" s="167">
        <f>C21*VLOOKUP(B21,'Data-PC'!$B$13:$AP$56,17,FALSE)*(1+'Data-PC'!$T$5/100)</f>
        <v>1</v>
      </c>
      <c r="V21" s="168">
        <f>VLOOKUP($B21,'Data-PC'!$B$13:$AP$79,19,FALSE)</f>
        <v>2</v>
      </c>
      <c r="W21" s="169">
        <f>VLOOKUP($B21,'Data-PC'!$B$13:$AP$79,20,FALSE)</f>
        <v>13</v>
      </c>
      <c r="X21" s="170">
        <f>VLOOKUP($B21,'Data-PC'!$B$13:$AP$79,21,FALSE)*C21</f>
        <v>3.9925033199999995</v>
      </c>
      <c r="Y21" s="171">
        <f>VLOOKUP($B21,'Data-PC'!$B$13:$AP$79,22,FALSE)</f>
        <v>13</v>
      </c>
      <c r="Z21" s="169">
        <f>VLOOKUP($B21,'Data-PC'!$B$13:$AP$79,23,FALSE)</f>
        <v>125</v>
      </c>
      <c r="AA21" s="169">
        <f>VLOOKUP($B21,'Data-PC'!$B$13:$AP$79,24,FALSE)</f>
        <v>4</v>
      </c>
      <c r="AB21" s="172">
        <f>VLOOKUP($B21,'Data-PC'!$B$13:$AP$79,25,FALSE)</f>
        <v>3.52</v>
      </c>
      <c r="AC21" s="170">
        <f>VLOOKUP($B21,'Data-PC'!$B$13:$AP$79,26,FALSE)*C21</f>
        <v>3.6674351999999999</v>
      </c>
      <c r="AD21" s="171">
        <f>VLOOKUP($B21,'Data-PC'!$B$13:$AP$79,27,FALSE)</f>
        <v>13</v>
      </c>
      <c r="AE21" s="169">
        <f>VLOOKUP($B21,'Data-PC'!$B$13:$AP$79,28,FALSE)</f>
        <v>125</v>
      </c>
      <c r="AF21" s="169">
        <f>VLOOKUP($B21,'Data-PC'!$B$13:$AP$79,29,FALSE)</f>
        <v>4</v>
      </c>
      <c r="AG21" s="172">
        <f>VLOOKUP($B21,'Data-PC'!$B$13:$AP$79,30,FALSE)</f>
        <v>3.52</v>
      </c>
      <c r="AH21" s="170">
        <f>VLOOKUP($B21,'Data-PC'!$B$13:$AP$79,31,FALSE)*C21</f>
        <v>3.6674351999999999</v>
      </c>
      <c r="AI21" s="171">
        <f>VLOOKUP($B21,'Data-PC'!$B$13:$AP$79,32,FALSE)</f>
        <v>13</v>
      </c>
      <c r="AJ21" s="169">
        <f>VLOOKUP($B21,'Data-PC'!$B$13:$AP$79,33,FALSE)</f>
        <v>125</v>
      </c>
      <c r="AK21" s="169">
        <f>VLOOKUP($B21,'Data-PC'!$B$13:$AP$79,34,FALSE)</f>
        <v>4</v>
      </c>
      <c r="AL21" s="172">
        <f>VLOOKUP($B21,'Data-PC'!$B$13:$AP$79,35,FALSE)</f>
        <v>5.28</v>
      </c>
      <c r="AM21" s="170">
        <f>VLOOKUP($B21,'Data-PC'!$B$13:$AP$79,36,FALSE)*C21</f>
        <v>5.5011527999999998</v>
      </c>
      <c r="AN21" s="171">
        <f>VLOOKUP($B21,'Data-PC'!$B$13:$AP$79,37,FALSE)</f>
        <v>13</v>
      </c>
      <c r="AO21" s="169">
        <f>VLOOKUP($B21,'Data-PC'!$B$13:$AP$79,38,FALSE)</f>
        <v>125</v>
      </c>
      <c r="AP21" s="169">
        <f>VLOOKUP($B21,'Data-PC'!$B$13:$AP$79,39,FALSE)</f>
        <v>4</v>
      </c>
      <c r="AQ21" s="172">
        <f>VLOOKUP($B21,'Data-PC'!$B$13:$AP$79,40,FALSE)</f>
        <v>5.28</v>
      </c>
      <c r="AR21" s="170">
        <f>VLOOKUP($B21,'Data-PC'!$B$13:$AP$79,41,FALSE)*C21</f>
        <v>5.5011527999999998</v>
      </c>
      <c r="AS21" s="171">
        <f>VLOOKUP($B21,'Data-PC'!$B$13:$AX$79,42,FALSE)</f>
        <v>0</v>
      </c>
      <c r="AT21" s="169">
        <f>VLOOKUP($B21,'Data-PC'!$B$13:$AX$79,43,FALSE)</f>
        <v>0</v>
      </c>
      <c r="AU21" s="169">
        <f>VLOOKUP($B21,'Data-PC'!$B$13:$AX$79,44,FALSE)</f>
        <v>1180</v>
      </c>
      <c r="AV21" s="170">
        <f>VLOOKUP($B21,'Data-PC'!$B$13:$AX$79,45,FALSE)*C21</f>
        <v>0</v>
      </c>
      <c r="AW21" s="171">
        <f>VLOOKUP($B21,'Data-PC'!$B$13:$AX$79,46,FALSE)</f>
        <v>0</v>
      </c>
      <c r="AX21" s="169">
        <f>VLOOKUP($B21,'Data-PC'!$B$13:$AX$79,47,FALSE)</f>
        <v>0</v>
      </c>
      <c r="AY21" s="169" t="e">
        <f>VLOOKUP($B21,'Data-PC'!$B$19:$AX$79,48,FALSE)</f>
        <v>#N/A</v>
      </c>
      <c r="AZ21" s="170">
        <f>VLOOKUP($B21,'Data-PC'!$B$13:$AX$79,49,FALSE)*C21</f>
        <v>0</v>
      </c>
      <c r="BA21" s="167">
        <f t="shared" si="4"/>
        <v>22.329679319999997</v>
      </c>
    </row>
    <row r="22" spans="1:53" s="173" customFormat="1" ht="12">
      <c r="A22" s="158">
        <f t="shared" si="5"/>
        <v>11</v>
      </c>
      <c r="B22" s="159" t="s">
        <v>2309</v>
      </c>
      <c r="C22" s="160">
        <v>1</v>
      </c>
      <c r="D22" s="1835"/>
      <c r="E22" s="161">
        <f>D22-(G22+'Data-PC'!$D$5)/1000</f>
        <v>-0.75</v>
      </c>
      <c r="F22" s="162">
        <f>VLOOKUP(B22,'Data-PC'!$B$13:$AP$56,15,FALSE)</f>
        <v>5.12</v>
      </c>
      <c r="G22" s="163">
        <f>VLOOKUP(B22,'Data-PC'!$B$13:$G$56,4,FALSE)</f>
        <v>700</v>
      </c>
      <c r="H22" s="164">
        <f>C22*VLOOKUP(B22,'Data-PC'!$B$13:$BC$56,18,FALSE)</f>
        <v>0</v>
      </c>
      <c r="I22" s="164">
        <f>C22*VLOOKUP(B22,'Data-PC'!$B$13:$BC$56,51,FALSE)</f>
        <v>3</v>
      </c>
      <c r="J22" s="165">
        <f>F22*C22*'Data-PC'!$D$5/1000</f>
        <v>0.25600000000000001</v>
      </c>
      <c r="K22" s="165">
        <f>F22*('Data-PC'!$D$4/1000)*C22</f>
        <v>0</v>
      </c>
      <c r="L22" s="166">
        <f t="shared" si="1"/>
        <v>3.84</v>
      </c>
      <c r="M22" s="165">
        <f t="shared" si="2"/>
        <v>2.2399999999999998</v>
      </c>
      <c r="N22" s="165"/>
      <c r="O22" s="165"/>
      <c r="P22" s="165"/>
      <c r="Q22" s="165"/>
      <c r="R22" s="165"/>
      <c r="S22" s="165">
        <f t="shared" si="3"/>
        <v>1.6</v>
      </c>
      <c r="T22" s="167">
        <f>C22*VLOOKUP(B22,'Data-PC'!$B$13:$AP$56,16,FALSE)*(1+'Data-PC'!$T$3/100)</f>
        <v>1.3440000000000001</v>
      </c>
      <c r="U22" s="167">
        <f>C22*VLOOKUP(B22,'Data-PC'!$B$13:$AP$56,17,FALSE)*(1+'Data-PC'!$T$5/100)</f>
        <v>4.4800000000000004</v>
      </c>
      <c r="V22" s="168">
        <f>VLOOKUP($B22,'Data-PC'!$B$13:$AP$79,19,FALSE)</f>
        <v>3</v>
      </c>
      <c r="W22" s="169">
        <f>VLOOKUP($B22,'Data-PC'!$B$13:$AP$79,20,FALSE)</f>
        <v>13</v>
      </c>
      <c r="X22" s="170">
        <f>VLOOKUP($B22,'Data-PC'!$B$13:$AP$79,21,FALSE)*C22</f>
        <v>19.741636979999999</v>
      </c>
      <c r="Y22" s="171">
        <f>VLOOKUP($B22,'Data-PC'!$B$13:$AP$79,22,FALSE)</f>
        <v>16</v>
      </c>
      <c r="Z22" s="169">
        <f>VLOOKUP($B22,'Data-PC'!$B$13:$AP$79,23,FALSE)</f>
        <v>100</v>
      </c>
      <c r="AA22" s="169">
        <f>VLOOKUP($B22,'Data-PC'!$B$13:$AP$79,24,FALSE)</f>
        <v>24</v>
      </c>
      <c r="AB22" s="172">
        <f>VLOOKUP($B22,'Data-PC'!$B$13:$AP$79,25,FALSE)</f>
        <v>33.119999999999997</v>
      </c>
      <c r="AC22" s="170">
        <f>VLOOKUP($B22,'Data-PC'!$B$13:$AP$79,26,FALSE)*C22</f>
        <v>52.2713088</v>
      </c>
      <c r="AD22" s="171">
        <f>VLOOKUP($B22,'Data-PC'!$B$13:$AP$79,27,FALSE)</f>
        <v>13</v>
      </c>
      <c r="AE22" s="169">
        <f>VLOOKUP($B22,'Data-PC'!$B$13:$AP$79,28,FALSE)</f>
        <v>100</v>
      </c>
      <c r="AF22" s="169">
        <f>VLOOKUP($B22,'Data-PC'!$B$13:$AP$79,29,FALSE)</f>
        <v>8</v>
      </c>
      <c r="AG22" s="172">
        <f>VLOOKUP($B22,'Data-PC'!$B$13:$AP$79,30,FALSE)</f>
        <v>23.84</v>
      </c>
      <c r="AH22" s="170">
        <f>VLOOKUP($B22,'Data-PC'!$B$13:$AP$79,31,FALSE)*C22</f>
        <v>24.838538399999997</v>
      </c>
      <c r="AI22" s="171">
        <f>VLOOKUP($B22,'Data-PC'!$B$13:$AP$79,32,FALSE)</f>
        <v>16</v>
      </c>
      <c r="AJ22" s="169">
        <f>VLOOKUP($B22,'Data-PC'!$B$13:$AP$79,33,FALSE)</f>
        <v>100</v>
      </c>
      <c r="AK22" s="169">
        <f>VLOOKUP($B22,'Data-PC'!$B$13:$AP$79,34,FALSE)</f>
        <v>24</v>
      </c>
      <c r="AL22" s="172">
        <f>VLOOKUP($B22,'Data-PC'!$B$13:$AP$79,35,FALSE)</f>
        <v>48.48</v>
      </c>
      <c r="AM22" s="170">
        <f>VLOOKUP($B22,'Data-PC'!$B$13:$AP$79,36,FALSE)*C22</f>
        <v>76.513075200000003</v>
      </c>
      <c r="AN22" s="171">
        <f>VLOOKUP($B22,'Data-PC'!$B$13:$AP$79,37,FALSE)</f>
        <v>13</v>
      </c>
      <c r="AO22" s="169">
        <f>VLOOKUP($B22,'Data-PC'!$B$13:$AP$79,38,FALSE)</f>
        <v>100</v>
      </c>
      <c r="AP22" s="169">
        <f>VLOOKUP($B22,'Data-PC'!$B$13:$AP$79,39,FALSE)</f>
        <v>8</v>
      </c>
      <c r="AQ22" s="172">
        <f>VLOOKUP($B22,'Data-PC'!$B$13:$AP$79,40,FALSE)</f>
        <v>28.96</v>
      </c>
      <c r="AR22" s="170">
        <f>VLOOKUP($B22,'Data-PC'!$B$13:$AP$79,41,FALSE)*C22</f>
        <v>30.172989600000001</v>
      </c>
      <c r="AS22" s="171">
        <f>VLOOKUP($B22,'Data-PC'!$B$13:$AX$79,42,FALSE)</f>
        <v>0</v>
      </c>
      <c r="AT22" s="169">
        <f>VLOOKUP($B22,'Data-PC'!$B$13:$AX$79,43,FALSE)</f>
        <v>0</v>
      </c>
      <c r="AU22" s="169">
        <f>VLOOKUP($B22,'Data-PC'!$B$13:$AX$79,44,FALSE)</f>
        <v>1580</v>
      </c>
      <c r="AV22" s="170">
        <f>VLOOKUP($B22,'Data-PC'!$B$13:$AX$79,45,FALSE)*C22</f>
        <v>0</v>
      </c>
      <c r="AW22" s="171">
        <f>VLOOKUP($B22,'Data-PC'!$B$13:$AX$79,46,FALSE)</f>
        <v>0</v>
      </c>
      <c r="AX22" s="169">
        <f>VLOOKUP($B22,'Data-PC'!$B$13:$AX$79,47,FALSE)</f>
        <v>0</v>
      </c>
      <c r="AY22" s="169">
        <f>VLOOKUP($B22,'Data-PC'!$B$19:$AX$79,48,FALSE)</f>
        <v>0</v>
      </c>
      <c r="AZ22" s="170">
        <f>VLOOKUP($B22,'Data-PC'!$B$13:$AX$79,49,FALSE)*C22</f>
        <v>0</v>
      </c>
      <c r="BA22" s="167">
        <f t="shared" si="4"/>
        <v>203.53754898</v>
      </c>
    </row>
    <row r="23" spans="1:53" s="173" customFormat="1" ht="12">
      <c r="A23" s="158">
        <f t="shared" si="5"/>
        <v>12</v>
      </c>
      <c r="B23" s="159" t="s">
        <v>104</v>
      </c>
      <c r="C23" s="160">
        <v>1</v>
      </c>
      <c r="D23" s="1835"/>
      <c r="E23" s="161">
        <f>D23-(G23+'Data-PC'!$D$5)/1000</f>
        <v>-0.65</v>
      </c>
      <c r="F23" s="162">
        <f>VLOOKUP(B23,'Data-PC'!$B$13:$AP$56,15,FALSE)</f>
        <v>3.173988</v>
      </c>
      <c r="G23" s="163">
        <f>VLOOKUP(B23,'Data-PC'!$B$13:$G$56,4,FALSE)</f>
        <v>600</v>
      </c>
      <c r="H23" s="164">
        <f>C23*VLOOKUP(B23,'Data-PC'!$B$13:$BC$56,18,FALSE)</f>
        <v>3</v>
      </c>
      <c r="I23" s="164">
        <f>C23*VLOOKUP(B23,'Data-PC'!$B$13:$BC$56,51,FALSE)</f>
        <v>0</v>
      </c>
      <c r="J23" s="165">
        <f>F23*C23*'Data-PC'!$D$5/1000</f>
        <v>0.15869939999999999</v>
      </c>
      <c r="K23" s="165">
        <f>F23*('Data-PC'!$D$4/1000)*C23</f>
        <v>0</v>
      </c>
      <c r="L23" s="166">
        <f t="shared" si="1"/>
        <v>2.0630922000000003</v>
      </c>
      <c r="M23" s="165">
        <f t="shared" si="2"/>
        <v>1.4016000000000002</v>
      </c>
      <c r="N23" s="165"/>
      <c r="O23" s="165"/>
      <c r="P23" s="165"/>
      <c r="Q23" s="165"/>
      <c r="R23" s="165"/>
      <c r="S23" s="165">
        <f t="shared" si="3"/>
        <v>0.66149220000000009</v>
      </c>
      <c r="T23" s="167">
        <f>C23*VLOOKUP(B23,'Data-PC'!$B$13:$AP$56,16,FALSE)*(1+'Data-PC'!$T$3/100)</f>
        <v>0.50279280000000004</v>
      </c>
      <c r="U23" s="167">
        <f>C23*VLOOKUP(B23,'Data-PC'!$B$13:$AP$56,17,FALSE)*(1+'Data-PC'!$T$5/100)</f>
        <v>2.1885809864534869</v>
      </c>
      <c r="V23" s="168">
        <f>VLOOKUP($B23,'Data-PC'!$B$13:$AP$79,19,FALSE)</f>
        <v>2</v>
      </c>
      <c r="W23" s="169">
        <f>VLOOKUP($B23,'Data-PC'!$B$13:$AP$79,20,FALSE)</f>
        <v>13</v>
      </c>
      <c r="X23" s="170">
        <f>VLOOKUP($B23,'Data-PC'!$B$13:$AP$79,21,FALSE)*C23</f>
        <v>7.1757432569036368</v>
      </c>
      <c r="Y23" s="171">
        <f>VLOOKUP($B23,'Data-PC'!$B$13:$AP$79,22,FALSE)</f>
        <v>13</v>
      </c>
      <c r="Z23" s="169">
        <f>VLOOKUP($B23,'Data-PC'!$B$13:$AP$79,23,FALSE)</f>
        <v>150</v>
      </c>
      <c r="AA23" s="169">
        <f>VLOOKUP($B23,'Data-PC'!$B$13:$AP$79,24,FALSE)</f>
        <v>8</v>
      </c>
      <c r="AB23" s="172">
        <f>VLOOKUP($B23,'Data-PC'!$B$13:$AP$79,25,FALSE)</f>
        <v>15.036</v>
      </c>
      <c r="AC23" s="170">
        <f>VLOOKUP($B23,'Data-PC'!$B$13:$AP$79,26,FALSE)*C23</f>
        <v>15.665782859999998</v>
      </c>
      <c r="AD23" s="171">
        <f>VLOOKUP($B23,'Data-PC'!$B$13:$AP$79,27,FALSE)</f>
        <v>13</v>
      </c>
      <c r="AE23" s="169">
        <f>VLOOKUP($B23,'Data-PC'!$B$13:$AP$79,28,FALSE)</f>
        <v>150</v>
      </c>
      <c r="AF23" s="169">
        <f>VLOOKUP($B23,'Data-PC'!$B$13:$AP$79,29,FALSE)</f>
        <v>8</v>
      </c>
      <c r="AG23" s="172">
        <f>VLOOKUP($B23,'Data-PC'!$B$13:$AP$79,30,FALSE)</f>
        <v>9.891</v>
      </c>
      <c r="AH23" s="170">
        <f>VLOOKUP($B23,'Data-PC'!$B$13:$AP$79,31,FALSE)*C23</f>
        <v>10.305284535</v>
      </c>
      <c r="AI23" s="171">
        <f>VLOOKUP($B23,'Data-PC'!$B$13:$AP$79,32,FALSE)</f>
        <v>16</v>
      </c>
      <c r="AJ23" s="169">
        <f>VLOOKUP($B23,'Data-PC'!$B$13:$AP$79,33,FALSE)</f>
        <v>150</v>
      </c>
      <c r="AK23" s="169">
        <f>VLOOKUP($B23,'Data-PC'!$B$13:$AP$79,34,FALSE)</f>
        <v>8</v>
      </c>
      <c r="AL23" s="172">
        <f>VLOOKUP($B23,'Data-PC'!$B$13:$AP$79,35,FALSE)</f>
        <v>16.655999999999999</v>
      </c>
      <c r="AM23" s="170">
        <f>VLOOKUP($B23,'Data-PC'!$B$13:$AP$79,36,FALSE)*C23</f>
        <v>26.287165439999999</v>
      </c>
      <c r="AN23" s="171">
        <f>VLOOKUP($B23,'Data-PC'!$B$13:$AP$79,37,FALSE)</f>
        <v>16</v>
      </c>
      <c r="AO23" s="169">
        <f>VLOOKUP($B23,'Data-PC'!$B$13:$AP$79,38,FALSE)</f>
        <v>150</v>
      </c>
      <c r="AP23" s="169">
        <f>VLOOKUP($B23,'Data-PC'!$B$13:$AP$79,39,FALSE)</f>
        <v>8</v>
      </c>
      <c r="AQ23" s="172">
        <f>VLOOKUP($B23,'Data-PC'!$B$13:$AP$79,40,FALSE)</f>
        <v>14.211</v>
      </c>
      <c r="AR23" s="170">
        <f>VLOOKUP($B23,'Data-PC'!$B$13:$AP$79,41,FALSE)*C23</f>
        <v>22.428368640000002</v>
      </c>
      <c r="AS23" s="171">
        <f>VLOOKUP($B23,'Data-PC'!$B$13:$AX$79,42,FALSE)</f>
        <v>0</v>
      </c>
      <c r="AT23" s="169">
        <f>VLOOKUP($B23,'Data-PC'!$B$13:$AX$79,43,FALSE)</f>
        <v>0</v>
      </c>
      <c r="AU23" s="169">
        <f>VLOOKUP($B23,'Data-PC'!$B$13:$AX$79,44,FALSE)</f>
        <v>1380</v>
      </c>
      <c r="AV23" s="170">
        <f>VLOOKUP($B23,'Data-PC'!$B$13:$AX$79,45,FALSE)*C23</f>
        <v>0</v>
      </c>
      <c r="AW23" s="171">
        <f>VLOOKUP($B23,'Data-PC'!$B$13:$AX$79,46,FALSE)</f>
        <v>0</v>
      </c>
      <c r="AX23" s="169">
        <f>VLOOKUP($B23,'Data-PC'!$B$13:$AX$79,47,FALSE)</f>
        <v>0</v>
      </c>
      <c r="AY23" s="169">
        <f>VLOOKUP($B23,'Data-PC'!$B$19:$AX$79,48,FALSE)</f>
        <v>0</v>
      </c>
      <c r="AZ23" s="170">
        <f>VLOOKUP($B23,'Data-PC'!$B$13:$AX$79,49,FALSE)*C23</f>
        <v>0</v>
      </c>
      <c r="BA23" s="167">
        <f t="shared" si="4"/>
        <v>81.862344731903633</v>
      </c>
    </row>
    <row r="24" spans="1:53" s="173" customFormat="1" ht="12">
      <c r="A24" s="158">
        <f t="shared" si="5"/>
        <v>13</v>
      </c>
      <c r="B24" s="159" t="s">
        <v>104</v>
      </c>
      <c r="C24" s="160">
        <v>1</v>
      </c>
      <c r="D24" s="1835"/>
      <c r="E24" s="161">
        <f>D24-(G24+'Data-PC'!$D$5)/1000</f>
        <v>-0.65</v>
      </c>
      <c r="F24" s="162">
        <f>VLOOKUP(B24,'Data-PC'!$B$13:$AP$56,15,FALSE)</f>
        <v>3.173988</v>
      </c>
      <c r="G24" s="163">
        <f>VLOOKUP(B24,'Data-PC'!$B$13:$G$56,4,FALSE)</f>
        <v>600</v>
      </c>
      <c r="H24" s="164">
        <f>C24*VLOOKUP(B24,'Data-PC'!$B$13:$BC$56,18,FALSE)</f>
        <v>3</v>
      </c>
      <c r="I24" s="164">
        <f>C24*VLOOKUP(B24,'Data-PC'!$B$13:$BC$56,51,FALSE)</f>
        <v>0</v>
      </c>
      <c r="J24" s="165">
        <f>F24*C24*'Data-PC'!$D$5/1000</f>
        <v>0.15869939999999999</v>
      </c>
      <c r="K24" s="165">
        <f>F24*('Data-PC'!$D$4/1000)*C24</f>
        <v>0</v>
      </c>
      <c r="L24" s="166">
        <f t="shared" si="1"/>
        <v>2.0630922000000003</v>
      </c>
      <c r="M24" s="165">
        <f t="shared" si="2"/>
        <v>1.4016000000000002</v>
      </c>
      <c r="N24" s="165"/>
      <c r="O24" s="165"/>
      <c r="P24" s="165"/>
      <c r="Q24" s="165"/>
      <c r="R24" s="165"/>
      <c r="S24" s="165">
        <f t="shared" si="3"/>
        <v>0.66149220000000009</v>
      </c>
      <c r="T24" s="167">
        <f>C24*VLOOKUP(B24,'Data-PC'!$B$13:$AP$56,16,FALSE)*(1+'Data-PC'!$T$3/100)</f>
        <v>0.50279280000000004</v>
      </c>
      <c r="U24" s="167">
        <f>C24*VLOOKUP(B24,'Data-PC'!$B$13:$AP$56,17,FALSE)*(1+'Data-PC'!$T$5/100)</f>
        <v>2.1885809864534869</v>
      </c>
      <c r="V24" s="168">
        <f>VLOOKUP($B24,'Data-PC'!$B$13:$AP$79,19,FALSE)</f>
        <v>2</v>
      </c>
      <c r="W24" s="169">
        <f>VLOOKUP($B24,'Data-PC'!$B$13:$AP$79,20,FALSE)</f>
        <v>13</v>
      </c>
      <c r="X24" s="170">
        <f>VLOOKUP($B24,'Data-PC'!$B$13:$AP$79,21,FALSE)*C24</f>
        <v>7.1757432569036368</v>
      </c>
      <c r="Y24" s="171">
        <f>VLOOKUP($B24,'Data-PC'!$B$13:$AP$79,22,FALSE)</f>
        <v>13</v>
      </c>
      <c r="Z24" s="169">
        <f>VLOOKUP($B24,'Data-PC'!$B$13:$AP$79,23,FALSE)</f>
        <v>150</v>
      </c>
      <c r="AA24" s="169">
        <f>VLOOKUP($B24,'Data-PC'!$B$13:$AP$79,24,FALSE)</f>
        <v>8</v>
      </c>
      <c r="AB24" s="172">
        <f>VLOOKUP($B24,'Data-PC'!$B$13:$AP$79,25,FALSE)</f>
        <v>15.036</v>
      </c>
      <c r="AC24" s="170">
        <f>VLOOKUP($B24,'Data-PC'!$B$13:$AP$79,26,FALSE)*C24</f>
        <v>15.665782859999998</v>
      </c>
      <c r="AD24" s="171">
        <f>VLOOKUP($B24,'Data-PC'!$B$13:$AP$79,27,FALSE)</f>
        <v>13</v>
      </c>
      <c r="AE24" s="169">
        <f>VLOOKUP($B24,'Data-PC'!$B$13:$AP$79,28,FALSE)</f>
        <v>150</v>
      </c>
      <c r="AF24" s="169">
        <f>VLOOKUP($B24,'Data-PC'!$B$13:$AP$79,29,FALSE)</f>
        <v>8</v>
      </c>
      <c r="AG24" s="172">
        <f>VLOOKUP($B24,'Data-PC'!$B$13:$AP$79,30,FALSE)</f>
        <v>9.891</v>
      </c>
      <c r="AH24" s="170">
        <f>VLOOKUP($B24,'Data-PC'!$B$13:$AP$79,31,FALSE)*C24</f>
        <v>10.305284535</v>
      </c>
      <c r="AI24" s="171">
        <f>VLOOKUP($B24,'Data-PC'!$B$13:$AP$79,32,FALSE)</f>
        <v>16</v>
      </c>
      <c r="AJ24" s="169">
        <f>VLOOKUP($B24,'Data-PC'!$B$13:$AP$79,33,FALSE)</f>
        <v>150</v>
      </c>
      <c r="AK24" s="169">
        <f>VLOOKUP($B24,'Data-PC'!$B$13:$AP$79,34,FALSE)</f>
        <v>8</v>
      </c>
      <c r="AL24" s="172">
        <f>VLOOKUP($B24,'Data-PC'!$B$13:$AP$79,35,FALSE)</f>
        <v>16.655999999999999</v>
      </c>
      <c r="AM24" s="170">
        <f>VLOOKUP($B24,'Data-PC'!$B$13:$AP$79,36,FALSE)*C24</f>
        <v>26.287165439999999</v>
      </c>
      <c r="AN24" s="171">
        <f>VLOOKUP($B24,'Data-PC'!$B$13:$AP$79,37,FALSE)</f>
        <v>16</v>
      </c>
      <c r="AO24" s="169">
        <f>VLOOKUP($B24,'Data-PC'!$B$13:$AP$79,38,FALSE)</f>
        <v>150</v>
      </c>
      <c r="AP24" s="169">
        <f>VLOOKUP($B24,'Data-PC'!$B$13:$AP$79,39,FALSE)</f>
        <v>8</v>
      </c>
      <c r="AQ24" s="172">
        <f>VLOOKUP($B24,'Data-PC'!$B$13:$AP$79,40,FALSE)</f>
        <v>14.211</v>
      </c>
      <c r="AR24" s="170">
        <f>VLOOKUP($B24,'Data-PC'!$B$13:$AP$79,41,FALSE)*C24</f>
        <v>22.428368640000002</v>
      </c>
      <c r="AS24" s="171">
        <f>VLOOKUP($B24,'Data-PC'!$B$13:$AX$79,42,FALSE)</f>
        <v>0</v>
      </c>
      <c r="AT24" s="169">
        <f>VLOOKUP($B24,'Data-PC'!$B$13:$AX$79,43,FALSE)</f>
        <v>0</v>
      </c>
      <c r="AU24" s="169">
        <f>VLOOKUP($B24,'Data-PC'!$B$13:$AX$79,44,FALSE)</f>
        <v>1380</v>
      </c>
      <c r="AV24" s="170">
        <f>VLOOKUP($B24,'Data-PC'!$B$13:$AX$79,45,FALSE)*C24</f>
        <v>0</v>
      </c>
      <c r="AW24" s="171">
        <f>VLOOKUP($B24,'Data-PC'!$B$13:$AX$79,46,FALSE)</f>
        <v>0</v>
      </c>
      <c r="AX24" s="169">
        <f>VLOOKUP($B24,'Data-PC'!$B$13:$AX$79,47,FALSE)</f>
        <v>0</v>
      </c>
      <c r="AY24" s="169">
        <f>VLOOKUP($B24,'Data-PC'!$B$19:$AX$79,48,FALSE)</f>
        <v>0</v>
      </c>
      <c r="AZ24" s="170">
        <f>VLOOKUP($B24,'Data-PC'!$B$13:$AX$79,49,FALSE)*C24</f>
        <v>0</v>
      </c>
      <c r="BA24" s="167">
        <f t="shared" si="4"/>
        <v>81.862344731903633</v>
      </c>
    </row>
    <row r="25" spans="1:53" s="173" customFormat="1" ht="12">
      <c r="A25" s="158">
        <f t="shared" si="5"/>
        <v>14</v>
      </c>
      <c r="B25" s="159" t="s">
        <v>2307</v>
      </c>
      <c r="C25" s="160">
        <v>1</v>
      </c>
      <c r="D25" s="1835"/>
      <c r="E25" s="161">
        <f>D25-(G25+'Data-PC'!$D$5)/1000</f>
        <v>-0.75</v>
      </c>
      <c r="F25" s="162">
        <f>VLOOKUP(B25,'Data-PC'!$B$13:$AP$56,15,FALSE)</f>
        <v>4.6224999999999996</v>
      </c>
      <c r="G25" s="163">
        <f>VLOOKUP(B25,'Data-PC'!$B$13:$G$56,4,FALSE)</f>
        <v>700</v>
      </c>
      <c r="H25" s="164">
        <f>C25*VLOOKUP(B25,'Data-PC'!$B$13:$BC$56,18,FALSE)</f>
        <v>5</v>
      </c>
      <c r="I25" s="164">
        <f>C25*VLOOKUP(B25,'Data-PC'!$B$13:$BC$56,51,FALSE)</f>
        <v>0</v>
      </c>
      <c r="J25" s="165">
        <f>F25*C25*'Data-PC'!$D$5/1000</f>
        <v>0.23112499999999997</v>
      </c>
      <c r="K25" s="165">
        <f>F25*('Data-PC'!$D$4/1000)*C25</f>
        <v>0</v>
      </c>
      <c r="L25" s="166">
        <f t="shared" si="1"/>
        <v>3.4668749999999999</v>
      </c>
      <c r="M25" s="165">
        <f t="shared" si="2"/>
        <v>1.96</v>
      </c>
      <c r="N25" s="165"/>
      <c r="O25" s="165"/>
      <c r="P25" s="165"/>
      <c r="Q25" s="165"/>
      <c r="R25" s="165"/>
      <c r="S25" s="165">
        <f t="shared" si="3"/>
        <v>1.506875</v>
      </c>
      <c r="T25" s="167">
        <f>C25*VLOOKUP(B25,'Data-PC'!$B$13:$AP$56,16,FALSE)*(1+'Data-PC'!$T$3/100)</f>
        <v>1.2757499999999999</v>
      </c>
      <c r="U25" s="167">
        <f>C25*VLOOKUP(B25,'Data-PC'!$B$13:$AP$56,17,FALSE)*(1+'Data-PC'!$T$5/100)</f>
        <v>3.7800000000000002</v>
      </c>
      <c r="V25" s="168">
        <f>VLOOKUP($B25,'Data-PC'!$B$13:$AP$79,19,FALSE)</f>
        <v>3</v>
      </c>
      <c r="W25" s="169">
        <f>VLOOKUP($B25,'Data-PC'!$B$13:$AP$79,20,FALSE)</f>
        <v>13</v>
      </c>
      <c r="X25" s="170">
        <f>VLOOKUP($B25,'Data-PC'!$B$13:$AP$79,21,FALSE)*C25</f>
        <v>16.615981980000001</v>
      </c>
      <c r="Y25" s="171">
        <f>VLOOKUP($B25,'Data-PC'!$B$13:$AP$79,22,FALSE)</f>
        <v>13</v>
      </c>
      <c r="Z25" s="169">
        <f>VLOOKUP($B25,'Data-PC'!$B$13:$AP$79,23,FALSE)</f>
        <v>150</v>
      </c>
      <c r="AA25" s="169">
        <f>VLOOKUP($B25,'Data-PC'!$B$13:$AP$79,24,FALSE)</f>
        <v>9</v>
      </c>
      <c r="AB25" s="172">
        <f>VLOOKUP($B25,'Data-PC'!$B$13:$AP$79,25,FALSE)</f>
        <v>17.37</v>
      </c>
      <c r="AC25" s="170">
        <f>VLOOKUP($B25,'Data-PC'!$B$13:$AP$79,26,FALSE)*C25</f>
        <v>18.097542449999999</v>
      </c>
      <c r="AD25" s="171">
        <f>VLOOKUP($B25,'Data-PC'!$B$13:$AP$79,27,FALSE)</f>
        <v>13</v>
      </c>
      <c r="AE25" s="169">
        <f>VLOOKUP($B25,'Data-PC'!$B$13:$AP$79,28,FALSE)</f>
        <v>150</v>
      </c>
      <c r="AF25" s="169">
        <f>VLOOKUP($B25,'Data-PC'!$B$13:$AP$79,29,FALSE)</f>
        <v>9</v>
      </c>
      <c r="AG25" s="172">
        <f>VLOOKUP($B25,'Data-PC'!$B$13:$AP$79,30,FALSE)</f>
        <v>17.37</v>
      </c>
      <c r="AH25" s="170">
        <f>VLOOKUP($B25,'Data-PC'!$B$13:$AP$79,31,FALSE)*C25</f>
        <v>18.097542449999999</v>
      </c>
      <c r="AI25" s="171">
        <f>VLOOKUP($B25,'Data-PC'!$B$13:$AP$79,32,FALSE)</f>
        <v>16</v>
      </c>
      <c r="AJ25" s="169">
        <f>VLOOKUP($B25,'Data-PC'!$B$13:$AP$79,33,FALSE)</f>
        <v>150</v>
      </c>
      <c r="AK25" s="169">
        <f>VLOOKUP($B25,'Data-PC'!$B$13:$AP$79,34,FALSE)</f>
        <v>9</v>
      </c>
      <c r="AL25" s="172">
        <f>VLOOKUP($B25,'Data-PC'!$B$13:$AP$79,35,FALSE)</f>
        <v>23.13</v>
      </c>
      <c r="AM25" s="170">
        <f>VLOOKUP($B25,'Data-PC'!$B$13:$AP$79,36,FALSE)*C25</f>
        <v>36.504691200000003</v>
      </c>
      <c r="AN25" s="171">
        <f>VLOOKUP($B25,'Data-PC'!$B$13:$AP$79,37,FALSE)</f>
        <v>16</v>
      </c>
      <c r="AO25" s="169">
        <f>VLOOKUP($B25,'Data-PC'!$B$13:$AP$79,38,FALSE)</f>
        <v>150</v>
      </c>
      <c r="AP25" s="169">
        <f>VLOOKUP($B25,'Data-PC'!$B$13:$AP$79,39,FALSE)</f>
        <v>9</v>
      </c>
      <c r="AQ25" s="172">
        <f>VLOOKUP($B25,'Data-PC'!$B$13:$AP$79,40,FALSE)</f>
        <v>23.13</v>
      </c>
      <c r="AR25" s="170">
        <f>VLOOKUP($B25,'Data-PC'!$B$13:$AP$79,41,FALSE)*C25</f>
        <v>36.504691200000003</v>
      </c>
      <c r="AS25" s="171">
        <f>VLOOKUP($B25,'Data-PC'!$B$13:$AX$79,42,FALSE)</f>
        <v>0</v>
      </c>
      <c r="AT25" s="169">
        <f>VLOOKUP($B25,'Data-PC'!$B$13:$AX$79,43,FALSE)</f>
        <v>0</v>
      </c>
      <c r="AU25" s="169">
        <f>VLOOKUP($B25,'Data-PC'!$B$13:$AX$79,44,FALSE)</f>
        <v>1580</v>
      </c>
      <c r="AV25" s="170">
        <f>VLOOKUP($B25,'Data-PC'!$B$13:$AX$79,45,FALSE)*C25</f>
        <v>0</v>
      </c>
      <c r="AW25" s="171">
        <f>VLOOKUP($B25,'Data-PC'!$B$13:$AX$79,46,FALSE)</f>
        <v>0</v>
      </c>
      <c r="AX25" s="169">
        <f>VLOOKUP($B25,'Data-PC'!$B$13:$AX$79,47,FALSE)</f>
        <v>0</v>
      </c>
      <c r="AY25" s="169">
        <f>VLOOKUP($B25,'Data-PC'!$B$19:$AX$79,48,FALSE)</f>
        <v>0</v>
      </c>
      <c r="AZ25" s="170">
        <f>VLOOKUP($B25,'Data-PC'!$B$13:$AX$79,49,FALSE)*C25</f>
        <v>0</v>
      </c>
      <c r="BA25" s="167">
        <f t="shared" si="4"/>
        <v>125.82044927999999</v>
      </c>
    </row>
    <row r="26" spans="1:53" s="173" customFormat="1" ht="12">
      <c r="A26" s="158">
        <f t="shared" si="5"/>
        <v>15</v>
      </c>
      <c r="B26" s="159" t="s">
        <v>2304</v>
      </c>
      <c r="C26" s="160">
        <v>1</v>
      </c>
      <c r="D26" s="1835"/>
      <c r="E26" s="161">
        <f>D26-(G26+'Data-PC'!$D$5)/1000</f>
        <v>-0.55000000000000004</v>
      </c>
      <c r="F26" s="162">
        <f>VLOOKUP(B26,'Data-PC'!$B$13:$AP$56,15,FALSE)</f>
        <v>1.69</v>
      </c>
      <c r="G26" s="163">
        <f>VLOOKUP(B26,'Data-PC'!$B$13:$G$56,4,FALSE)</f>
        <v>500</v>
      </c>
      <c r="H26" s="164">
        <f>C26*VLOOKUP(B26,'Data-PC'!$B$13:$BC$56,18,FALSE)</f>
        <v>1</v>
      </c>
      <c r="I26" s="164">
        <f>C26*VLOOKUP(B26,'Data-PC'!$B$13:$BC$56,51,FALSE)</f>
        <v>0</v>
      </c>
      <c r="J26" s="165">
        <f>F26*C26*'Data-PC'!$D$5/1000</f>
        <v>8.4500000000000006E-2</v>
      </c>
      <c r="K26" s="165">
        <f>F26*('Data-PC'!$D$4/1000)*C26</f>
        <v>0</v>
      </c>
      <c r="L26" s="166">
        <f t="shared" si="1"/>
        <v>0.92949999999999999</v>
      </c>
      <c r="M26" s="165">
        <f t="shared" si="2"/>
        <v>0.72</v>
      </c>
      <c r="N26" s="165"/>
      <c r="O26" s="165"/>
      <c r="P26" s="165"/>
      <c r="Q26" s="165"/>
      <c r="R26" s="165"/>
      <c r="S26" s="165">
        <f t="shared" si="3"/>
        <v>0.20950000000000002</v>
      </c>
      <c r="T26" s="167">
        <f>C26*VLOOKUP(B26,'Data-PC'!$B$13:$AP$56,16,FALSE)*(1+'Data-PC'!$T$3/100)</f>
        <v>0.125</v>
      </c>
      <c r="U26" s="167">
        <f>C26*VLOOKUP(B26,'Data-PC'!$B$13:$AP$56,17,FALSE)*(1+'Data-PC'!$T$5/100)</f>
        <v>1</v>
      </c>
      <c r="V26" s="168">
        <f>VLOOKUP($B26,'Data-PC'!$B$13:$AP$79,19,FALSE)</f>
        <v>2</v>
      </c>
      <c r="W26" s="169">
        <f>VLOOKUP($B26,'Data-PC'!$B$13:$AP$79,20,FALSE)</f>
        <v>13</v>
      </c>
      <c r="X26" s="170">
        <f>VLOOKUP($B26,'Data-PC'!$B$13:$AP$79,21,FALSE)*C26</f>
        <v>3.9925033199999995</v>
      </c>
      <c r="Y26" s="171">
        <f>VLOOKUP($B26,'Data-PC'!$B$13:$AP$79,22,FALSE)</f>
        <v>13</v>
      </c>
      <c r="Z26" s="169">
        <f>VLOOKUP($B26,'Data-PC'!$B$13:$AP$79,23,FALSE)</f>
        <v>125</v>
      </c>
      <c r="AA26" s="169">
        <f>VLOOKUP($B26,'Data-PC'!$B$13:$AP$79,24,FALSE)</f>
        <v>4</v>
      </c>
      <c r="AB26" s="172">
        <f>VLOOKUP($B26,'Data-PC'!$B$13:$AP$79,25,FALSE)</f>
        <v>3.52</v>
      </c>
      <c r="AC26" s="170">
        <f>VLOOKUP($B26,'Data-PC'!$B$13:$AP$79,26,FALSE)*C26</f>
        <v>3.6674351999999999</v>
      </c>
      <c r="AD26" s="171">
        <f>VLOOKUP($B26,'Data-PC'!$B$13:$AP$79,27,FALSE)</f>
        <v>13</v>
      </c>
      <c r="AE26" s="169">
        <f>VLOOKUP($B26,'Data-PC'!$B$13:$AP$79,28,FALSE)</f>
        <v>125</v>
      </c>
      <c r="AF26" s="169">
        <f>VLOOKUP($B26,'Data-PC'!$B$13:$AP$79,29,FALSE)</f>
        <v>4</v>
      </c>
      <c r="AG26" s="172">
        <f>VLOOKUP($B26,'Data-PC'!$B$13:$AP$79,30,FALSE)</f>
        <v>3.52</v>
      </c>
      <c r="AH26" s="170">
        <f>VLOOKUP($B26,'Data-PC'!$B$13:$AP$79,31,FALSE)*C26</f>
        <v>3.6674351999999999</v>
      </c>
      <c r="AI26" s="171">
        <f>VLOOKUP($B26,'Data-PC'!$B$13:$AP$79,32,FALSE)</f>
        <v>13</v>
      </c>
      <c r="AJ26" s="169">
        <f>VLOOKUP($B26,'Data-PC'!$B$13:$AP$79,33,FALSE)</f>
        <v>125</v>
      </c>
      <c r="AK26" s="169">
        <f>VLOOKUP($B26,'Data-PC'!$B$13:$AP$79,34,FALSE)</f>
        <v>4</v>
      </c>
      <c r="AL26" s="172">
        <f>VLOOKUP($B26,'Data-PC'!$B$13:$AP$79,35,FALSE)</f>
        <v>5.28</v>
      </c>
      <c r="AM26" s="170">
        <f>VLOOKUP($B26,'Data-PC'!$B$13:$AP$79,36,FALSE)*C26</f>
        <v>5.5011527999999998</v>
      </c>
      <c r="AN26" s="171">
        <f>VLOOKUP($B26,'Data-PC'!$B$13:$AP$79,37,FALSE)</f>
        <v>13</v>
      </c>
      <c r="AO26" s="169">
        <f>VLOOKUP($B26,'Data-PC'!$B$13:$AP$79,38,FALSE)</f>
        <v>125</v>
      </c>
      <c r="AP26" s="169">
        <f>VLOOKUP($B26,'Data-PC'!$B$13:$AP$79,39,FALSE)</f>
        <v>4</v>
      </c>
      <c r="AQ26" s="172">
        <f>VLOOKUP($B26,'Data-PC'!$B$13:$AP$79,40,FALSE)</f>
        <v>5.28</v>
      </c>
      <c r="AR26" s="170">
        <f>VLOOKUP($B26,'Data-PC'!$B$13:$AP$79,41,FALSE)*C26</f>
        <v>5.5011527999999998</v>
      </c>
      <c r="AS26" s="171">
        <f>VLOOKUP($B26,'Data-PC'!$B$13:$AX$79,42,FALSE)</f>
        <v>0</v>
      </c>
      <c r="AT26" s="169">
        <f>VLOOKUP($B26,'Data-PC'!$B$13:$AX$79,43,FALSE)</f>
        <v>0</v>
      </c>
      <c r="AU26" s="169">
        <f>VLOOKUP($B26,'Data-PC'!$B$13:$AX$79,44,FALSE)</f>
        <v>1180</v>
      </c>
      <c r="AV26" s="170">
        <f>VLOOKUP($B26,'Data-PC'!$B$13:$AX$79,45,FALSE)*C26</f>
        <v>0</v>
      </c>
      <c r="AW26" s="171">
        <f>VLOOKUP($B26,'Data-PC'!$B$13:$AX$79,46,FALSE)</f>
        <v>0</v>
      </c>
      <c r="AX26" s="169">
        <f>VLOOKUP($B26,'Data-PC'!$B$13:$AX$79,47,FALSE)</f>
        <v>0</v>
      </c>
      <c r="AY26" s="169" t="e">
        <f>VLOOKUP($B26,'Data-PC'!$B$19:$AX$79,48,FALSE)</f>
        <v>#N/A</v>
      </c>
      <c r="AZ26" s="170">
        <f>VLOOKUP($B26,'Data-PC'!$B$13:$AX$79,49,FALSE)*C26</f>
        <v>0</v>
      </c>
      <c r="BA26" s="167">
        <f t="shared" si="4"/>
        <v>22.329679319999997</v>
      </c>
    </row>
    <row r="27" spans="1:53" s="173" customFormat="1" ht="12">
      <c r="A27" s="158">
        <f t="shared" si="5"/>
        <v>16</v>
      </c>
      <c r="B27" s="159" t="s">
        <v>2304</v>
      </c>
      <c r="C27" s="160">
        <v>1</v>
      </c>
      <c r="D27" s="1835"/>
      <c r="E27" s="161">
        <f>D27-(G27+'Data-PC'!$D$5)/1000</f>
        <v>-0.55000000000000004</v>
      </c>
      <c r="F27" s="162">
        <f>VLOOKUP(B27,'Data-PC'!$B$13:$AP$56,15,FALSE)</f>
        <v>1.69</v>
      </c>
      <c r="G27" s="163">
        <f>VLOOKUP(B27,'Data-PC'!$B$13:$G$56,4,FALSE)</f>
        <v>500</v>
      </c>
      <c r="H27" s="164">
        <f>C27*VLOOKUP(B27,'Data-PC'!$B$13:$BC$56,18,FALSE)</f>
        <v>1</v>
      </c>
      <c r="I27" s="164">
        <f>C27*VLOOKUP(B27,'Data-PC'!$B$13:$BC$56,51,FALSE)</f>
        <v>0</v>
      </c>
      <c r="J27" s="165">
        <f>F27*C27*'Data-PC'!$D$5/1000</f>
        <v>8.4500000000000006E-2</v>
      </c>
      <c r="K27" s="165">
        <f>F27*('Data-PC'!$D$4/1000)*C27</f>
        <v>0</v>
      </c>
      <c r="L27" s="166">
        <f t="shared" si="1"/>
        <v>0.92949999999999999</v>
      </c>
      <c r="M27" s="165">
        <f t="shared" si="2"/>
        <v>0.72</v>
      </c>
      <c r="N27" s="165"/>
      <c r="O27" s="165"/>
      <c r="P27" s="165"/>
      <c r="Q27" s="165"/>
      <c r="R27" s="165"/>
      <c r="S27" s="165">
        <f t="shared" si="3"/>
        <v>0.20950000000000002</v>
      </c>
      <c r="T27" s="167">
        <f>C27*VLOOKUP(B27,'Data-PC'!$B$13:$AP$56,16,FALSE)*(1+'Data-PC'!$T$3/100)</f>
        <v>0.125</v>
      </c>
      <c r="U27" s="167">
        <f>C27*VLOOKUP(B27,'Data-PC'!$B$13:$AP$56,17,FALSE)*(1+'Data-PC'!$T$5/100)</f>
        <v>1</v>
      </c>
      <c r="V27" s="168">
        <f>VLOOKUP($B27,'Data-PC'!$B$13:$AP$79,19,FALSE)</f>
        <v>2</v>
      </c>
      <c r="W27" s="169">
        <f>VLOOKUP($B27,'Data-PC'!$B$13:$AP$79,20,FALSE)</f>
        <v>13</v>
      </c>
      <c r="X27" s="170">
        <f>VLOOKUP($B27,'Data-PC'!$B$13:$AP$79,21,FALSE)*C27</f>
        <v>3.9925033199999995</v>
      </c>
      <c r="Y27" s="171">
        <f>VLOOKUP($B27,'Data-PC'!$B$13:$AP$79,22,FALSE)</f>
        <v>13</v>
      </c>
      <c r="Z27" s="169">
        <f>VLOOKUP($B27,'Data-PC'!$B$13:$AP$79,23,FALSE)</f>
        <v>125</v>
      </c>
      <c r="AA27" s="169">
        <f>VLOOKUP($B27,'Data-PC'!$B$13:$AP$79,24,FALSE)</f>
        <v>4</v>
      </c>
      <c r="AB27" s="172">
        <f>VLOOKUP($B27,'Data-PC'!$B$13:$AP$79,25,FALSE)</f>
        <v>3.52</v>
      </c>
      <c r="AC27" s="170">
        <f>VLOOKUP($B27,'Data-PC'!$B$13:$AP$79,26,FALSE)*C27</f>
        <v>3.6674351999999999</v>
      </c>
      <c r="AD27" s="171">
        <f>VLOOKUP($B27,'Data-PC'!$B$13:$AP$79,27,FALSE)</f>
        <v>13</v>
      </c>
      <c r="AE27" s="169">
        <f>VLOOKUP($B27,'Data-PC'!$B$13:$AP$79,28,FALSE)</f>
        <v>125</v>
      </c>
      <c r="AF27" s="169">
        <f>VLOOKUP($B27,'Data-PC'!$B$13:$AP$79,29,FALSE)</f>
        <v>4</v>
      </c>
      <c r="AG27" s="172">
        <f>VLOOKUP($B27,'Data-PC'!$B$13:$AP$79,30,FALSE)</f>
        <v>3.52</v>
      </c>
      <c r="AH27" s="170">
        <f>VLOOKUP($B27,'Data-PC'!$B$13:$AP$79,31,FALSE)*C27</f>
        <v>3.6674351999999999</v>
      </c>
      <c r="AI27" s="171">
        <f>VLOOKUP($B27,'Data-PC'!$B$13:$AP$79,32,FALSE)</f>
        <v>13</v>
      </c>
      <c r="AJ27" s="169">
        <f>VLOOKUP($B27,'Data-PC'!$B$13:$AP$79,33,FALSE)</f>
        <v>125</v>
      </c>
      <c r="AK27" s="169">
        <f>VLOOKUP($B27,'Data-PC'!$B$13:$AP$79,34,FALSE)</f>
        <v>4</v>
      </c>
      <c r="AL27" s="172">
        <f>VLOOKUP($B27,'Data-PC'!$B$13:$AP$79,35,FALSE)</f>
        <v>5.28</v>
      </c>
      <c r="AM27" s="170">
        <f>VLOOKUP($B27,'Data-PC'!$B$13:$AP$79,36,FALSE)*C27</f>
        <v>5.5011527999999998</v>
      </c>
      <c r="AN27" s="171">
        <f>VLOOKUP($B27,'Data-PC'!$B$13:$AP$79,37,FALSE)</f>
        <v>13</v>
      </c>
      <c r="AO27" s="169">
        <f>VLOOKUP($B27,'Data-PC'!$B$13:$AP$79,38,FALSE)</f>
        <v>125</v>
      </c>
      <c r="AP27" s="169">
        <f>VLOOKUP($B27,'Data-PC'!$B$13:$AP$79,39,FALSE)</f>
        <v>4</v>
      </c>
      <c r="AQ27" s="172">
        <f>VLOOKUP($B27,'Data-PC'!$B$13:$AP$79,40,FALSE)</f>
        <v>5.28</v>
      </c>
      <c r="AR27" s="170">
        <f>VLOOKUP($B27,'Data-PC'!$B$13:$AP$79,41,FALSE)*C27</f>
        <v>5.5011527999999998</v>
      </c>
      <c r="AS27" s="171">
        <f>VLOOKUP($B27,'Data-PC'!$B$13:$AX$79,42,FALSE)</f>
        <v>0</v>
      </c>
      <c r="AT27" s="169">
        <f>VLOOKUP($B27,'Data-PC'!$B$13:$AX$79,43,FALSE)</f>
        <v>0</v>
      </c>
      <c r="AU27" s="169">
        <f>VLOOKUP($B27,'Data-PC'!$B$13:$AX$79,44,FALSE)</f>
        <v>1180</v>
      </c>
      <c r="AV27" s="170">
        <f>VLOOKUP($B27,'Data-PC'!$B$13:$AX$79,45,FALSE)*C27</f>
        <v>0</v>
      </c>
      <c r="AW27" s="171">
        <f>VLOOKUP($B27,'Data-PC'!$B$13:$AX$79,46,FALSE)</f>
        <v>0</v>
      </c>
      <c r="AX27" s="169">
        <f>VLOOKUP($B27,'Data-PC'!$B$13:$AX$79,47,FALSE)</f>
        <v>0</v>
      </c>
      <c r="AY27" s="169" t="e">
        <f>VLOOKUP($B27,'Data-PC'!$B$19:$AX$79,48,FALSE)</f>
        <v>#N/A</v>
      </c>
      <c r="AZ27" s="170">
        <f>VLOOKUP($B27,'Data-PC'!$B$13:$AX$79,49,FALSE)*C27</f>
        <v>0</v>
      </c>
      <c r="BA27" s="167">
        <f t="shared" si="4"/>
        <v>22.329679319999997</v>
      </c>
    </row>
    <row r="28" spans="1:53" s="173" customFormat="1" ht="12">
      <c r="A28" s="158">
        <f t="shared" si="5"/>
        <v>17</v>
      </c>
      <c r="B28" s="159" t="s">
        <v>104</v>
      </c>
      <c r="C28" s="160">
        <v>1</v>
      </c>
      <c r="D28" s="1835"/>
      <c r="E28" s="161">
        <f>D28-(G28+'Data-PC'!$D$5)/1000</f>
        <v>-0.65</v>
      </c>
      <c r="F28" s="162">
        <f>VLOOKUP(B28,'Data-PC'!$B$13:$AP$56,15,FALSE)</f>
        <v>3.173988</v>
      </c>
      <c r="G28" s="163">
        <f>VLOOKUP(B28,'Data-PC'!$B$13:$G$56,4,FALSE)</f>
        <v>600</v>
      </c>
      <c r="H28" s="164">
        <f>C28*VLOOKUP(B28,'Data-PC'!$B$13:$BC$56,18,FALSE)</f>
        <v>3</v>
      </c>
      <c r="I28" s="164">
        <f>C28*VLOOKUP(B28,'Data-PC'!$B$13:$BC$56,51,FALSE)</f>
        <v>0</v>
      </c>
      <c r="J28" s="165">
        <f>F28*C28*'Data-PC'!$D$5/1000</f>
        <v>0.15869939999999999</v>
      </c>
      <c r="K28" s="165">
        <f>F28*('Data-PC'!$D$4/1000)*C28</f>
        <v>0</v>
      </c>
      <c r="L28" s="166">
        <f t="shared" si="1"/>
        <v>2.0630922000000003</v>
      </c>
      <c r="M28" s="165">
        <f t="shared" si="2"/>
        <v>1.4016000000000002</v>
      </c>
      <c r="N28" s="165"/>
      <c r="O28" s="165"/>
      <c r="P28" s="165"/>
      <c r="Q28" s="165"/>
      <c r="R28" s="165"/>
      <c r="S28" s="165">
        <f t="shared" si="3"/>
        <v>0.66149220000000009</v>
      </c>
      <c r="T28" s="167">
        <f>C28*VLOOKUP(B28,'Data-PC'!$B$13:$AP$56,16,FALSE)*(1+'Data-PC'!$T$3/100)</f>
        <v>0.50279280000000004</v>
      </c>
      <c r="U28" s="167">
        <f>C28*VLOOKUP(B28,'Data-PC'!$B$13:$AP$56,17,FALSE)*(1+'Data-PC'!$T$5/100)</f>
        <v>2.1885809864534869</v>
      </c>
      <c r="V28" s="168">
        <f>VLOOKUP($B28,'Data-PC'!$B$13:$AP$79,19,FALSE)</f>
        <v>2</v>
      </c>
      <c r="W28" s="169">
        <f>VLOOKUP($B28,'Data-PC'!$B$13:$AP$79,20,FALSE)</f>
        <v>13</v>
      </c>
      <c r="X28" s="170">
        <f>VLOOKUP($B28,'Data-PC'!$B$13:$AP$79,21,FALSE)*C28</f>
        <v>7.1757432569036368</v>
      </c>
      <c r="Y28" s="171">
        <f>VLOOKUP($B28,'Data-PC'!$B$13:$AP$79,22,FALSE)</f>
        <v>13</v>
      </c>
      <c r="Z28" s="169">
        <f>VLOOKUP($B28,'Data-PC'!$B$13:$AP$79,23,FALSE)</f>
        <v>150</v>
      </c>
      <c r="AA28" s="169">
        <f>VLOOKUP($B28,'Data-PC'!$B$13:$AP$79,24,FALSE)</f>
        <v>8</v>
      </c>
      <c r="AB28" s="172">
        <f>VLOOKUP($B28,'Data-PC'!$B$13:$AP$79,25,FALSE)</f>
        <v>15.036</v>
      </c>
      <c r="AC28" s="170">
        <f>VLOOKUP($B28,'Data-PC'!$B$13:$AP$79,26,FALSE)*C28</f>
        <v>15.665782859999998</v>
      </c>
      <c r="AD28" s="171">
        <f>VLOOKUP($B28,'Data-PC'!$B$13:$AP$79,27,FALSE)</f>
        <v>13</v>
      </c>
      <c r="AE28" s="169">
        <f>VLOOKUP($B28,'Data-PC'!$B$13:$AP$79,28,FALSE)</f>
        <v>150</v>
      </c>
      <c r="AF28" s="169">
        <f>VLOOKUP($B28,'Data-PC'!$B$13:$AP$79,29,FALSE)</f>
        <v>8</v>
      </c>
      <c r="AG28" s="172">
        <f>VLOOKUP($B28,'Data-PC'!$B$13:$AP$79,30,FALSE)</f>
        <v>9.891</v>
      </c>
      <c r="AH28" s="170">
        <f>VLOOKUP($B28,'Data-PC'!$B$13:$AP$79,31,FALSE)*C28</f>
        <v>10.305284535</v>
      </c>
      <c r="AI28" s="171">
        <f>VLOOKUP($B28,'Data-PC'!$B$13:$AP$79,32,FALSE)</f>
        <v>16</v>
      </c>
      <c r="AJ28" s="169">
        <f>VLOOKUP($B28,'Data-PC'!$B$13:$AP$79,33,FALSE)</f>
        <v>150</v>
      </c>
      <c r="AK28" s="169">
        <f>VLOOKUP($B28,'Data-PC'!$B$13:$AP$79,34,FALSE)</f>
        <v>8</v>
      </c>
      <c r="AL28" s="172">
        <f>VLOOKUP($B28,'Data-PC'!$B$13:$AP$79,35,FALSE)</f>
        <v>16.655999999999999</v>
      </c>
      <c r="AM28" s="170">
        <f>VLOOKUP($B28,'Data-PC'!$B$13:$AP$79,36,FALSE)*C28</f>
        <v>26.287165439999999</v>
      </c>
      <c r="AN28" s="171">
        <f>VLOOKUP($B28,'Data-PC'!$B$13:$AP$79,37,FALSE)</f>
        <v>16</v>
      </c>
      <c r="AO28" s="169">
        <f>VLOOKUP($B28,'Data-PC'!$B$13:$AP$79,38,FALSE)</f>
        <v>150</v>
      </c>
      <c r="AP28" s="169">
        <f>VLOOKUP($B28,'Data-PC'!$B$13:$AP$79,39,FALSE)</f>
        <v>8</v>
      </c>
      <c r="AQ28" s="172">
        <f>VLOOKUP($B28,'Data-PC'!$B$13:$AP$79,40,FALSE)</f>
        <v>14.211</v>
      </c>
      <c r="AR28" s="170">
        <f>VLOOKUP($B28,'Data-PC'!$B$13:$AP$79,41,FALSE)*C28</f>
        <v>22.428368640000002</v>
      </c>
      <c r="AS28" s="171">
        <f>VLOOKUP($B28,'Data-PC'!$B$13:$AX$79,42,FALSE)</f>
        <v>0</v>
      </c>
      <c r="AT28" s="169">
        <f>VLOOKUP($B28,'Data-PC'!$B$13:$AX$79,43,FALSE)</f>
        <v>0</v>
      </c>
      <c r="AU28" s="169">
        <f>VLOOKUP($B28,'Data-PC'!$B$13:$AX$79,44,FALSE)</f>
        <v>1380</v>
      </c>
      <c r="AV28" s="170">
        <f>VLOOKUP($B28,'Data-PC'!$B$13:$AX$79,45,FALSE)*C28</f>
        <v>0</v>
      </c>
      <c r="AW28" s="171">
        <f>VLOOKUP($B28,'Data-PC'!$B$13:$AX$79,46,FALSE)</f>
        <v>0</v>
      </c>
      <c r="AX28" s="169">
        <f>VLOOKUP($B28,'Data-PC'!$B$13:$AX$79,47,FALSE)</f>
        <v>0</v>
      </c>
      <c r="AY28" s="169">
        <f>VLOOKUP($B28,'Data-PC'!$B$19:$AX$79,48,FALSE)</f>
        <v>0</v>
      </c>
      <c r="AZ28" s="170">
        <f>VLOOKUP($B28,'Data-PC'!$B$13:$AX$79,49,FALSE)*C28</f>
        <v>0</v>
      </c>
      <c r="BA28" s="167">
        <f t="shared" si="4"/>
        <v>81.862344731903633</v>
      </c>
    </row>
    <row r="29" spans="1:53" s="173" customFormat="1" ht="12">
      <c r="A29" s="158">
        <f t="shared" si="5"/>
        <v>18</v>
      </c>
      <c r="B29" s="159" t="s">
        <v>2304</v>
      </c>
      <c r="C29" s="160">
        <v>1</v>
      </c>
      <c r="D29" s="1835"/>
      <c r="E29" s="161">
        <f>D29-(G29+'Data-PC'!$D$5)/1000</f>
        <v>-0.55000000000000004</v>
      </c>
      <c r="F29" s="162">
        <f>VLOOKUP(B29,'Data-PC'!$B$13:$AP$56,15,FALSE)</f>
        <v>1.69</v>
      </c>
      <c r="G29" s="163">
        <f>VLOOKUP(B29,'Data-PC'!$B$13:$G$56,4,FALSE)</f>
        <v>500</v>
      </c>
      <c r="H29" s="164">
        <f>C29*VLOOKUP(B29,'Data-PC'!$B$13:$BC$56,18,FALSE)</f>
        <v>1</v>
      </c>
      <c r="I29" s="164">
        <f>C29*VLOOKUP(B29,'Data-PC'!$B$13:$BC$56,51,FALSE)</f>
        <v>0</v>
      </c>
      <c r="J29" s="165">
        <f>F29*C29*'Data-PC'!$D$5/1000</f>
        <v>8.4500000000000006E-2</v>
      </c>
      <c r="K29" s="165">
        <f>F29*('Data-PC'!$D$4/1000)*C29</f>
        <v>0</v>
      </c>
      <c r="L29" s="166">
        <f t="shared" si="1"/>
        <v>0.92949999999999999</v>
      </c>
      <c r="M29" s="165">
        <f t="shared" si="2"/>
        <v>0.72</v>
      </c>
      <c r="N29" s="165"/>
      <c r="O29" s="165"/>
      <c r="P29" s="165"/>
      <c r="Q29" s="165"/>
      <c r="R29" s="165"/>
      <c r="S29" s="165">
        <f t="shared" si="3"/>
        <v>0.20950000000000002</v>
      </c>
      <c r="T29" s="167">
        <f>C29*VLOOKUP(B29,'Data-PC'!$B$13:$AP$56,16,FALSE)*(1+'Data-PC'!$T$3/100)</f>
        <v>0.125</v>
      </c>
      <c r="U29" s="167">
        <f>C29*VLOOKUP(B29,'Data-PC'!$B$13:$AP$56,17,FALSE)*(1+'Data-PC'!$T$5/100)</f>
        <v>1</v>
      </c>
      <c r="V29" s="168">
        <f>VLOOKUP($B29,'Data-PC'!$B$13:$AP$79,19,FALSE)</f>
        <v>2</v>
      </c>
      <c r="W29" s="169">
        <f>VLOOKUP($B29,'Data-PC'!$B$13:$AP$79,20,FALSE)</f>
        <v>13</v>
      </c>
      <c r="X29" s="170">
        <f>VLOOKUP($B29,'Data-PC'!$B$13:$AP$79,21,FALSE)*C29</f>
        <v>3.9925033199999995</v>
      </c>
      <c r="Y29" s="171">
        <f>VLOOKUP($B29,'Data-PC'!$B$13:$AP$79,22,FALSE)</f>
        <v>13</v>
      </c>
      <c r="Z29" s="169">
        <f>VLOOKUP($B29,'Data-PC'!$B$13:$AP$79,23,FALSE)</f>
        <v>125</v>
      </c>
      <c r="AA29" s="169">
        <f>VLOOKUP($B29,'Data-PC'!$B$13:$AP$79,24,FALSE)</f>
        <v>4</v>
      </c>
      <c r="AB29" s="172">
        <f>VLOOKUP($B29,'Data-PC'!$B$13:$AP$79,25,FALSE)</f>
        <v>3.52</v>
      </c>
      <c r="AC29" s="170">
        <f>VLOOKUP($B29,'Data-PC'!$B$13:$AP$79,26,FALSE)*C29</f>
        <v>3.6674351999999999</v>
      </c>
      <c r="AD29" s="171">
        <f>VLOOKUP($B29,'Data-PC'!$B$13:$AP$79,27,FALSE)</f>
        <v>13</v>
      </c>
      <c r="AE29" s="169">
        <f>VLOOKUP($B29,'Data-PC'!$B$13:$AP$79,28,FALSE)</f>
        <v>125</v>
      </c>
      <c r="AF29" s="169">
        <f>VLOOKUP($B29,'Data-PC'!$B$13:$AP$79,29,FALSE)</f>
        <v>4</v>
      </c>
      <c r="AG29" s="172">
        <f>VLOOKUP($B29,'Data-PC'!$B$13:$AP$79,30,FALSE)</f>
        <v>3.52</v>
      </c>
      <c r="AH29" s="170">
        <f>VLOOKUP($B29,'Data-PC'!$B$13:$AP$79,31,FALSE)*C29</f>
        <v>3.6674351999999999</v>
      </c>
      <c r="AI29" s="171">
        <f>VLOOKUP($B29,'Data-PC'!$B$13:$AP$79,32,FALSE)</f>
        <v>13</v>
      </c>
      <c r="AJ29" s="169">
        <f>VLOOKUP($B29,'Data-PC'!$B$13:$AP$79,33,FALSE)</f>
        <v>125</v>
      </c>
      <c r="AK29" s="169">
        <f>VLOOKUP($B29,'Data-PC'!$B$13:$AP$79,34,FALSE)</f>
        <v>4</v>
      </c>
      <c r="AL29" s="172">
        <f>VLOOKUP($B29,'Data-PC'!$B$13:$AP$79,35,FALSE)</f>
        <v>5.28</v>
      </c>
      <c r="AM29" s="170">
        <f>VLOOKUP($B29,'Data-PC'!$B$13:$AP$79,36,FALSE)*C29</f>
        <v>5.5011527999999998</v>
      </c>
      <c r="AN29" s="171">
        <f>VLOOKUP($B29,'Data-PC'!$B$13:$AP$79,37,FALSE)</f>
        <v>13</v>
      </c>
      <c r="AO29" s="169">
        <f>VLOOKUP($B29,'Data-PC'!$B$13:$AP$79,38,FALSE)</f>
        <v>125</v>
      </c>
      <c r="AP29" s="169">
        <f>VLOOKUP($B29,'Data-PC'!$B$13:$AP$79,39,FALSE)</f>
        <v>4</v>
      </c>
      <c r="AQ29" s="172">
        <f>VLOOKUP($B29,'Data-PC'!$B$13:$AP$79,40,FALSE)</f>
        <v>5.28</v>
      </c>
      <c r="AR29" s="170">
        <f>VLOOKUP($B29,'Data-PC'!$B$13:$AP$79,41,FALSE)*C29</f>
        <v>5.5011527999999998</v>
      </c>
      <c r="AS29" s="171">
        <f>VLOOKUP($B29,'Data-PC'!$B$13:$AX$79,42,FALSE)</f>
        <v>0</v>
      </c>
      <c r="AT29" s="169">
        <f>VLOOKUP($B29,'Data-PC'!$B$13:$AX$79,43,FALSE)</f>
        <v>0</v>
      </c>
      <c r="AU29" s="169">
        <f>VLOOKUP($B29,'Data-PC'!$B$13:$AX$79,44,FALSE)</f>
        <v>1180</v>
      </c>
      <c r="AV29" s="170">
        <f>VLOOKUP($B29,'Data-PC'!$B$13:$AX$79,45,FALSE)*C29</f>
        <v>0</v>
      </c>
      <c r="AW29" s="171">
        <f>VLOOKUP($B29,'Data-PC'!$B$13:$AX$79,46,FALSE)</f>
        <v>0</v>
      </c>
      <c r="AX29" s="169">
        <f>VLOOKUP($B29,'Data-PC'!$B$13:$AX$79,47,FALSE)</f>
        <v>0</v>
      </c>
      <c r="AY29" s="169" t="e">
        <f>VLOOKUP($B29,'Data-PC'!$B$19:$AX$79,48,FALSE)</f>
        <v>#N/A</v>
      </c>
      <c r="AZ29" s="170">
        <f>VLOOKUP($B29,'Data-PC'!$B$13:$AX$79,49,FALSE)*C29</f>
        <v>0</v>
      </c>
      <c r="BA29" s="167">
        <f t="shared" si="4"/>
        <v>22.329679319999997</v>
      </c>
    </row>
    <row r="30" spans="1:53" s="173" customFormat="1" ht="12">
      <c r="A30" s="158">
        <f t="shared" si="5"/>
        <v>19</v>
      </c>
      <c r="B30" s="159" t="s">
        <v>2304</v>
      </c>
      <c r="C30" s="160">
        <v>1</v>
      </c>
      <c r="D30" s="1835"/>
      <c r="E30" s="161">
        <f>D30-(G30+'Data-PC'!$D$5)/1000</f>
        <v>-0.55000000000000004</v>
      </c>
      <c r="F30" s="162">
        <f>VLOOKUP(B30,'Data-PC'!$B$13:$AP$56,15,FALSE)</f>
        <v>1.69</v>
      </c>
      <c r="G30" s="163">
        <f>VLOOKUP(B30,'Data-PC'!$B$13:$G$56,4,FALSE)</f>
        <v>500</v>
      </c>
      <c r="H30" s="164">
        <f>C30*VLOOKUP(B30,'Data-PC'!$B$13:$BC$56,18,FALSE)</f>
        <v>1</v>
      </c>
      <c r="I30" s="164">
        <f>C30*VLOOKUP(B30,'Data-PC'!$B$13:$BC$56,51,FALSE)</f>
        <v>0</v>
      </c>
      <c r="J30" s="165">
        <f>F30*C30*'Data-PC'!$D$5/1000</f>
        <v>8.4500000000000006E-2</v>
      </c>
      <c r="K30" s="165">
        <f>F30*('Data-PC'!$D$4/1000)*C30</f>
        <v>0</v>
      </c>
      <c r="L30" s="166">
        <f t="shared" si="1"/>
        <v>0.92949999999999999</v>
      </c>
      <c r="M30" s="165">
        <f t="shared" si="2"/>
        <v>0.72</v>
      </c>
      <c r="N30" s="165"/>
      <c r="O30" s="165"/>
      <c r="P30" s="165"/>
      <c r="Q30" s="165"/>
      <c r="R30" s="165"/>
      <c r="S30" s="165">
        <f t="shared" si="3"/>
        <v>0.20950000000000002</v>
      </c>
      <c r="T30" s="167">
        <f>C30*VLOOKUP(B30,'Data-PC'!$B$13:$AP$56,16,FALSE)*(1+'Data-PC'!$T$3/100)</f>
        <v>0.125</v>
      </c>
      <c r="U30" s="167">
        <f>C30*VLOOKUP(B30,'Data-PC'!$B$13:$AP$56,17,FALSE)*(1+'Data-PC'!$T$5/100)</f>
        <v>1</v>
      </c>
      <c r="V30" s="168">
        <f>VLOOKUP($B30,'Data-PC'!$B$13:$AP$79,19,FALSE)</f>
        <v>2</v>
      </c>
      <c r="W30" s="169">
        <f>VLOOKUP($B30,'Data-PC'!$B$13:$AP$79,20,FALSE)</f>
        <v>13</v>
      </c>
      <c r="X30" s="170">
        <f>VLOOKUP($B30,'Data-PC'!$B$13:$AP$79,21,FALSE)*C30</f>
        <v>3.9925033199999995</v>
      </c>
      <c r="Y30" s="171">
        <f>VLOOKUP($B30,'Data-PC'!$B$13:$AP$79,22,FALSE)</f>
        <v>13</v>
      </c>
      <c r="Z30" s="169">
        <f>VLOOKUP($B30,'Data-PC'!$B$13:$AP$79,23,FALSE)</f>
        <v>125</v>
      </c>
      <c r="AA30" s="169">
        <f>VLOOKUP($B30,'Data-PC'!$B$13:$AP$79,24,FALSE)</f>
        <v>4</v>
      </c>
      <c r="AB30" s="172">
        <f>VLOOKUP($B30,'Data-PC'!$B$13:$AP$79,25,FALSE)</f>
        <v>3.52</v>
      </c>
      <c r="AC30" s="170">
        <f>VLOOKUP($B30,'Data-PC'!$B$13:$AP$79,26,FALSE)*C30</f>
        <v>3.6674351999999999</v>
      </c>
      <c r="AD30" s="171">
        <f>VLOOKUP($B30,'Data-PC'!$B$13:$AP$79,27,FALSE)</f>
        <v>13</v>
      </c>
      <c r="AE30" s="169">
        <f>VLOOKUP($B30,'Data-PC'!$B$13:$AP$79,28,FALSE)</f>
        <v>125</v>
      </c>
      <c r="AF30" s="169">
        <f>VLOOKUP($B30,'Data-PC'!$B$13:$AP$79,29,FALSE)</f>
        <v>4</v>
      </c>
      <c r="AG30" s="172">
        <f>VLOOKUP($B30,'Data-PC'!$B$13:$AP$79,30,FALSE)</f>
        <v>3.52</v>
      </c>
      <c r="AH30" s="170">
        <f>VLOOKUP($B30,'Data-PC'!$B$13:$AP$79,31,FALSE)*C30</f>
        <v>3.6674351999999999</v>
      </c>
      <c r="AI30" s="171">
        <f>VLOOKUP($B30,'Data-PC'!$B$13:$AP$79,32,FALSE)</f>
        <v>13</v>
      </c>
      <c r="AJ30" s="169">
        <f>VLOOKUP($B30,'Data-PC'!$B$13:$AP$79,33,FALSE)</f>
        <v>125</v>
      </c>
      <c r="AK30" s="169">
        <f>VLOOKUP($B30,'Data-PC'!$B$13:$AP$79,34,FALSE)</f>
        <v>4</v>
      </c>
      <c r="AL30" s="172">
        <f>VLOOKUP($B30,'Data-PC'!$B$13:$AP$79,35,FALSE)</f>
        <v>5.28</v>
      </c>
      <c r="AM30" s="170">
        <f>VLOOKUP($B30,'Data-PC'!$B$13:$AP$79,36,FALSE)*C30</f>
        <v>5.5011527999999998</v>
      </c>
      <c r="AN30" s="171">
        <f>VLOOKUP($B30,'Data-PC'!$B$13:$AP$79,37,FALSE)</f>
        <v>13</v>
      </c>
      <c r="AO30" s="169">
        <f>VLOOKUP($B30,'Data-PC'!$B$13:$AP$79,38,FALSE)</f>
        <v>125</v>
      </c>
      <c r="AP30" s="169">
        <f>VLOOKUP($B30,'Data-PC'!$B$13:$AP$79,39,FALSE)</f>
        <v>4</v>
      </c>
      <c r="AQ30" s="172">
        <f>VLOOKUP($B30,'Data-PC'!$B$13:$AP$79,40,FALSE)</f>
        <v>5.28</v>
      </c>
      <c r="AR30" s="170">
        <f>VLOOKUP($B30,'Data-PC'!$B$13:$AP$79,41,FALSE)*C30</f>
        <v>5.5011527999999998</v>
      </c>
      <c r="AS30" s="171">
        <f>VLOOKUP($B30,'Data-PC'!$B$13:$AX$79,42,FALSE)</f>
        <v>0</v>
      </c>
      <c r="AT30" s="169">
        <f>VLOOKUP($B30,'Data-PC'!$B$13:$AX$79,43,FALSE)</f>
        <v>0</v>
      </c>
      <c r="AU30" s="169">
        <f>VLOOKUP($B30,'Data-PC'!$B$13:$AX$79,44,FALSE)</f>
        <v>1180</v>
      </c>
      <c r="AV30" s="170">
        <f>VLOOKUP($B30,'Data-PC'!$B$13:$AX$79,45,FALSE)*C30</f>
        <v>0</v>
      </c>
      <c r="AW30" s="171">
        <f>VLOOKUP($B30,'Data-PC'!$B$13:$AX$79,46,FALSE)</f>
        <v>0</v>
      </c>
      <c r="AX30" s="169">
        <f>VLOOKUP($B30,'Data-PC'!$B$13:$AX$79,47,FALSE)</f>
        <v>0</v>
      </c>
      <c r="AY30" s="169" t="e">
        <f>VLOOKUP($B30,'Data-PC'!$B$19:$AX$79,48,FALSE)</f>
        <v>#N/A</v>
      </c>
      <c r="AZ30" s="170">
        <f>VLOOKUP($B30,'Data-PC'!$B$13:$AX$79,49,FALSE)*C30</f>
        <v>0</v>
      </c>
      <c r="BA30" s="167">
        <f t="shared" si="4"/>
        <v>22.329679319999997</v>
      </c>
    </row>
    <row r="31" spans="1:53" s="173" customFormat="1" ht="12">
      <c r="A31" s="158">
        <f t="shared" si="5"/>
        <v>20</v>
      </c>
      <c r="B31" s="159" t="s">
        <v>2304</v>
      </c>
      <c r="C31" s="160">
        <v>1</v>
      </c>
      <c r="D31" s="1835"/>
      <c r="E31" s="161">
        <f>D31-(G31+'Data-PC'!$D$5)/1000</f>
        <v>-0.55000000000000004</v>
      </c>
      <c r="F31" s="162">
        <f>VLOOKUP(B31,'Data-PC'!$B$13:$AP$56,15,FALSE)</f>
        <v>1.69</v>
      </c>
      <c r="G31" s="163">
        <f>VLOOKUP(B31,'Data-PC'!$B$13:$G$56,4,FALSE)</f>
        <v>500</v>
      </c>
      <c r="H31" s="164">
        <f>C31*VLOOKUP(B31,'Data-PC'!$B$13:$BC$56,18,FALSE)</f>
        <v>1</v>
      </c>
      <c r="I31" s="164">
        <f>C31*VLOOKUP(B31,'Data-PC'!$B$13:$BC$56,51,FALSE)</f>
        <v>0</v>
      </c>
      <c r="J31" s="165">
        <f>F31*C31*'Data-PC'!$D$5/1000</f>
        <v>8.4500000000000006E-2</v>
      </c>
      <c r="K31" s="165">
        <f>F31*('Data-PC'!$D$4/1000)*C31</f>
        <v>0</v>
      </c>
      <c r="L31" s="166">
        <f t="shared" si="1"/>
        <v>0.92949999999999999</v>
      </c>
      <c r="M31" s="165">
        <f t="shared" si="2"/>
        <v>0.72</v>
      </c>
      <c r="N31" s="165"/>
      <c r="O31" s="165"/>
      <c r="P31" s="165"/>
      <c r="Q31" s="165"/>
      <c r="R31" s="165"/>
      <c r="S31" s="165">
        <f t="shared" si="3"/>
        <v>0.20950000000000002</v>
      </c>
      <c r="T31" s="167">
        <f>C31*VLOOKUP(B31,'Data-PC'!$B$13:$AP$56,16,FALSE)*(1+'Data-PC'!$T$3/100)</f>
        <v>0.125</v>
      </c>
      <c r="U31" s="167">
        <f>C31*VLOOKUP(B31,'Data-PC'!$B$13:$AP$56,17,FALSE)*(1+'Data-PC'!$T$5/100)</f>
        <v>1</v>
      </c>
      <c r="V31" s="168">
        <f>VLOOKUP($B31,'Data-PC'!$B$13:$AP$79,19,FALSE)</f>
        <v>2</v>
      </c>
      <c r="W31" s="169">
        <f>VLOOKUP($B31,'Data-PC'!$B$13:$AP$79,20,FALSE)</f>
        <v>13</v>
      </c>
      <c r="X31" s="170">
        <f>VLOOKUP($B31,'Data-PC'!$B$13:$AP$79,21,FALSE)*C31</f>
        <v>3.9925033199999995</v>
      </c>
      <c r="Y31" s="171">
        <f>VLOOKUP($B31,'Data-PC'!$B$13:$AP$79,22,FALSE)</f>
        <v>13</v>
      </c>
      <c r="Z31" s="169">
        <f>VLOOKUP($B31,'Data-PC'!$B$13:$AP$79,23,FALSE)</f>
        <v>125</v>
      </c>
      <c r="AA31" s="169">
        <f>VLOOKUP($B31,'Data-PC'!$B$13:$AP$79,24,FALSE)</f>
        <v>4</v>
      </c>
      <c r="AB31" s="172">
        <f>VLOOKUP($B31,'Data-PC'!$B$13:$AP$79,25,FALSE)</f>
        <v>3.52</v>
      </c>
      <c r="AC31" s="170">
        <f>VLOOKUP($B31,'Data-PC'!$B$13:$AP$79,26,FALSE)*C31</f>
        <v>3.6674351999999999</v>
      </c>
      <c r="AD31" s="171">
        <f>VLOOKUP($B31,'Data-PC'!$B$13:$AP$79,27,FALSE)</f>
        <v>13</v>
      </c>
      <c r="AE31" s="169">
        <f>VLOOKUP($B31,'Data-PC'!$B$13:$AP$79,28,FALSE)</f>
        <v>125</v>
      </c>
      <c r="AF31" s="169">
        <f>VLOOKUP($B31,'Data-PC'!$B$13:$AP$79,29,FALSE)</f>
        <v>4</v>
      </c>
      <c r="AG31" s="172">
        <f>VLOOKUP($B31,'Data-PC'!$B$13:$AP$79,30,FALSE)</f>
        <v>3.52</v>
      </c>
      <c r="AH31" s="170">
        <f>VLOOKUP($B31,'Data-PC'!$B$13:$AP$79,31,FALSE)*C31</f>
        <v>3.6674351999999999</v>
      </c>
      <c r="AI31" s="171">
        <f>VLOOKUP($B31,'Data-PC'!$B$13:$AP$79,32,FALSE)</f>
        <v>13</v>
      </c>
      <c r="AJ31" s="169">
        <f>VLOOKUP($B31,'Data-PC'!$B$13:$AP$79,33,FALSE)</f>
        <v>125</v>
      </c>
      <c r="AK31" s="169">
        <f>VLOOKUP($B31,'Data-PC'!$B$13:$AP$79,34,FALSE)</f>
        <v>4</v>
      </c>
      <c r="AL31" s="172">
        <f>VLOOKUP($B31,'Data-PC'!$B$13:$AP$79,35,FALSE)</f>
        <v>5.28</v>
      </c>
      <c r="AM31" s="170">
        <f>VLOOKUP($B31,'Data-PC'!$B$13:$AP$79,36,FALSE)*C31</f>
        <v>5.5011527999999998</v>
      </c>
      <c r="AN31" s="171">
        <f>VLOOKUP($B31,'Data-PC'!$B$13:$AP$79,37,FALSE)</f>
        <v>13</v>
      </c>
      <c r="AO31" s="169">
        <f>VLOOKUP($B31,'Data-PC'!$B$13:$AP$79,38,FALSE)</f>
        <v>125</v>
      </c>
      <c r="AP31" s="169">
        <f>VLOOKUP($B31,'Data-PC'!$B$13:$AP$79,39,FALSE)</f>
        <v>4</v>
      </c>
      <c r="AQ31" s="172">
        <f>VLOOKUP($B31,'Data-PC'!$B$13:$AP$79,40,FALSE)</f>
        <v>5.28</v>
      </c>
      <c r="AR31" s="170">
        <f>VLOOKUP($B31,'Data-PC'!$B$13:$AP$79,41,FALSE)*C31</f>
        <v>5.5011527999999998</v>
      </c>
      <c r="AS31" s="171">
        <f>VLOOKUP($B31,'Data-PC'!$B$13:$AX$79,42,FALSE)</f>
        <v>0</v>
      </c>
      <c r="AT31" s="169">
        <f>VLOOKUP($B31,'Data-PC'!$B$13:$AX$79,43,FALSE)</f>
        <v>0</v>
      </c>
      <c r="AU31" s="169">
        <f>VLOOKUP($B31,'Data-PC'!$B$13:$AX$79,44,FALSE)</f>
        <v>1180</v>
      </c>
      <c r="AV31" s="170">
        <f>VLOOKUP($B31,'Data-PC'!$B$13:$AX$79,45,FALSE)*C31</f>
        <v>0</v>
      </c>
      <c r="AW31" s="171">
        <f>VLOOKUP($B31,'Data-PC'!$B$13:$AX$79,46,FALSE)</f>
        <v>0</v>
      </c>
      <c r="AX31" s="169">
        <f>VLOOKUP($B31,'Data-PC'!$B$13:$AX$79,47,FALSE)</f>
        <v>0</v>
      </c>
      <c r="AY31" s="169" t="e">
        <f>VLOOKUP($B31,'Data-PC'!$B$19:$AX$79,48,FALSE)</f>
        <v>#N/A</v>
      </c>
      <c r="AZ31" s="170">
        <f>VLOOKUP($B31,'Data-PC'!$B$13:$AX$79,49,FALSE)*C31</f>
        <v>0</v>
      </c>
      <c r="BA31" s="167">
        <f t="shared" si="4"/>
        <v>22.329679319999997</v>
      </c>
    </row>
    <row r="32" spans="1:53" s="173" customFormat="1" ht="12">
      <c r="A32" s="158">
        <f t="shared" si="5"/>
        <v>21</v>
      </c>
      <c r="B32" s="159" t="s">
        <v>2187</v>
      </c>
      <c r="C32" s="160">
        <v>1</v>
      </c>
      <c r="D32" s="1835"/>
      <c r="E32" s="161">
        <f>D32-(G32+'Data-PC'!$D$5)/1000</f>
        <v>-0.65</v>
      </c>
      <c r="F32" s="162">
        <f>VLOOKUP(B32,'Data-PC'!$B$13:$AP$56,15,FALSE)</f>
        <v>3.68</v>
      </c>
      <c r="G32" s="163">
        <f>VLOOKUP(B32,'Data-PC'!$B$13:$G$56,4,FALSE)</f>
        <v>600</v>
      </c>
      <c r="H32" s="164">
        <f>C32*VLOOKUP(B32,'Data-PC'!$B$13:$BC$56,18,FALSE)</f>
        <v>0</v>
      </c>
      <c r="I32" s="164">
        <f>C32*VLOOKUP(B32,'Data-PC'!$B$13:$BC$56,51,FALSE)</f>
        <v>2</v>
      </c>
      <c r="J32" s="165">
        <f>F32*C32*'Data-PC'!$D$5/1000</f>
        <v>0.184</v>
      </c>
      <c r="K32" s="165">
        <f>F32*('Data-PC'!$D$4/1000)*C32</f>
        <v>0</v>
      </c>
      <c r="L32" s="166">
        <f t="shared" si="1"/>
        <v>2.3920000000000003</v>
      </c>
      <c r="M32" s="165">
        <f t="shared" si="2"/>
        <v>1.4880000000000004</v>
      </c>
      <c r="N32" s="165"/>
      <c r="O32" s="165"/>
      <c r="P32" s="165"/>
      <c r="Q32" s="165"/>
      <c r="R32" s="165"/>
      <c r="S32" s="165">
        <f t="shared" si="3"/>
        <v>0.90399999999999991</v>
      </c>
      <c r="T32" s="167">
        <f>C32*VLOOKUP(B32,'Data-PC'!$B$13:$AP$56,16,FALSE)*(1+'Data-PC'!$T$3/100)</f>
        <v>0.72</v>
      </c>
      <c r="U32" s="167">
        <f>C32*VLOOKUP(B32,'Data-PC'!$B$13:$AP$56,17,FALSE)*(1+'Data-PC'!$T$5/100)</f>
        <v>2.76</v>
      </c>
      <c r="V32" s="168">
        <f>VLOOKUP($B32,'Data-PC'!$B$13:$AP$79,19,FALSE)</f>
        <v>2</v>
      </c>
      <c r="W32" s="169">
        <f>VLOOKUP($B32,'Data-PC'!$B$13:$AP$79,20,FALSE)</f>
        <v>13</v>
      </c>
      <c r="X32" s="170">
        <f>VLOOKUP($B32,'Data-PC'!$B$13:$AP$79,21,FALSE)*C32</f>
        <v>9.4103053199999973</v>
      </c>
      <c r="Y32" s="171">
        <f>VLOOKUP($B32,'Data-PC'!$B$13:$AP$79,22,FALSE)</f>
        <v>16</v>
      </c>
      <c r="Z32" s="169">
        <f>VLOOKUP($B32,'Data-PC'!$B$13:$AP$79,23,FALSE)</f>
        <v>100</v>
      </c>
      <c r="AA32" s="169">
        <f>VLOOKUP($B32,'Data-PC'!$B$13:$AP$79,24,FALSE)</f>
        <v>15</v>
      </c>
      <c r="AB32" s="172">
        <f>VLOOKUP($B32,'Data-PC'!$B$13:$AP$79,25,FALSE)</f>
        <v>19.2</v>
      </c>
      <c r="AC32" s="170">
        <f>VLOOKUP($B32,'Data-PC'!$B$13:$AP$79,26,FALSE)*C32</f>
        <v>30.302208</v>
      </c>
      <c r="AD32" s="171">
        <f>VLOOKUP($B32,'Data-PC'!$B$13:$AP$79,27,FALSE)</f>
        <v>13</v>
      </c>
      <c r="AE32" s="169">
        <f>VLOOKUP($B32,'Data-PC'!$B$13:$AP$79,28,FALSE)</f>
        <v>100</v>
      </c>
      <c r="AF32" s="169">
        <f>VLOOKUP($B32,'Data-PC'!$B$13:$AP$79,29,FALSE)</f>
        <v>8</v>
      </c>
      <c r="AG32" s="172">
        <f>VLOOKUP($B32,'Data-PC'!$B$13:$AP$79,30,FALSE)</f>
        <v>15.84</v>
      </c>
      <c r="AH32" s="170">
        <f>VLOOKUP($B32,'Data-PC'!$B$13:$AP$79,31,FALSE)*C32</f>
        <v>16.5034584</v>
      </c>
      <c r="AI32" s="171">
        <f>VLOOKUP($B32,'Data-PC'!$B$13:$AP$79,32,FALSE)</f>
        <v>16</v>
      </c>
      <c r="AJ32" s="169">
        <f>VLOOKUP($B32,'Data-PC'!$B$13:$AP$79,33,FALSE)</f>
        <v>100</v>
      </c>
      <c r="AK32" s="169">
        <f>VLOOKUP($B32,'Data-PC'!$B$13:$AP$79,34,FALSE)</f>
        <v>15</v>
      </c>
      <c r="AL32" s="172">
        <f>VLOOKUP($B32,'Data-PC'!$B$13:$AP$79,35,FALSE)</f>
        <v>27.3</v>
      </c>
      <c r="AM32" s="170">
        <f>VLOOKUP($B32,'Data-PC'!$B$13:$AP$79,36,FALSE)*C32</f>
        <v>43.085952000000006</v>
      </c>
      <c r="AN32" s="171">
        <f>VLOOKUP($B32,'Data-PC'!$B$13:$AP$79,37,FALSE)</f>
        <v>13</v>
      </c>
      <c r="AO32" s="169">
        <f>VLOOKUP($B32,'Data-PC'!$B$13:$AP$79,38,FALSE)</f>
        <v>100</v>
      </c>
      <c r="AP32" s="169">
        <f>VLOOKUP($B32,'Data-PC'!$B$13:$AP$79,39,FALSE)</f>
        <v>8</v>
      </c>
      <c r="AQ32" s="172">
        <f>VLOOKUP($B32,'Data-PC'!$B$13:$AP$79,40,FALSE)</f>
        <v>20.16</v>
      </c>
      <c r="AR32" s="170">
        <f>VLOOKUP($B32,'Data-PC'!$B$13:$AP$79,41,FALSE)*C32</f>
        <v>21.004401599999998</v>
      </c>
      <c r="AS32" s="171">
        <f>VLOOKUP($B32,'Data-PC'!$B$13:$AX$79,42,FALSE)</f>
        <v>0</v>
      </c>
      <c r="AT32" s="169">
        <f>VLOOKUP($B32,'Data-PC'!$B$13:$AX$79,43,FALSE)</f>
        <v>0</v>
      </c>
      <c r="AU32" s="169">
        <f>VLOOKUP($B32,'Data-PC'!$B$13:$AX$79,44,FALSE)</f>
        <v>1380</v>
      </c>
      <c r="AV32" s="170">
        <f>VLOOKUP($B32,'Data-PC'!$B$13:$AX$79,45,FALSE)*C32</f>
        <v>0</v>
      </c>
      <c r="AW32" s="171">
        <f>VLOOKUP($B32,'Data-PC'!$B$13:$AX$79,46,FALSE)</f>
        <v>0</v>
      </c>
      <c r="AX32" s="169">
        <f>VLOOKUP($B32,'Data-PC'!$B$13:$AX$79,47,FALSE)</f>
        <v>0</v>
      </c>
      <c r="AY32" s="169">
        <f>VLOOKUP($B32,'Data-PC'!$B$19:$AX$79,48,FALSE)</f>
        <v>0</v>
      </c>
      <c r="AZ32" s="170">
        <f>VLOOKUP($B32,'Data-PC'!$B$13:$AX$79,49,FALSE)*C32</f>
        <v>0</v>
      </c>
      <c r="BA32" s="167">
        <f t="shared" si="4"/>
        <v>120.30632532</v>
      </c>
    </row>
    <row r="33" spans="1:53" s="173" customFormat="1" ht="12">
      <c r="A33" s="158">
        <f t="shared" si="5"/>
        <v>22</v>
      </c>
      <c r="B33" s="159" t="s">
        <v>104</v>
      </c>
      <c r="C33" s="160">
        <v>1</v>
      </c>
      <c r="D33" s="1835"/>
      <c r="E33" s="161">
        <f>D33-(G33+'Data-PC'!$D$5)/1000</f>
        <v>-0.65</v>
      </c>
      <c r="F33" s="162">
        <f>VLOOKUP(B33,'Data-PC'!$B$13:$AP$56,15,FALSE)</f>
        <v>3.173988</v>
      </c>
      <c r="G33" s="163">
        <f>VLOOKUP(B33,'Data-PC'!$B$13:$G$56,4,FALSE)</f>
        <v>600</v>
      </c>
      <c r="H33" s="164">
        <f>C33*VLOOKUP(B33,'Data-PC'!$B$13:$BC$56,18,FALSE)</f>
        <v>3</v>
      </c>
      <c r="I33" s="164">
        <f>C33*VLOOKUP(B33,'Data-PC'!$B$13:$BC$56,51,FALSE)</f>
        <v>0</v>
      </c>
      <c r="J33" s="165">
        <f>F33*C33*'Data-PC'!$D$5/1000</f>
        <v>0.15869939999999999</v>
      </c>
      <c r="K33" s="165">
        <f>F33*('Data-PC'!$D$4/1000)*C33</f>
        <v>0</v>
      </c>
      <c r="L33" s="166">
        <f t="shared" si="1"/>
        <v>2.0630922000000003</v>
      </c>
      <c r="M33" s="165">
        <f t="shared" si="2"/>
        <v>1.4016000000000002</v>
      </c>
      <c r="N33" s="165"/>
      <c r="O33" s="165"/>
      <c r="P33" s="165"/>
      <c r="Q33" s="165"/>
      <c r="R33" s="165"/>
      <c r="S33" s="165">
        <f t="shared" si="3"/>
        <v>0.66149220000000009</v>
      </c>
      <c r="T33" s="167">
        <f>C33*VLOOKUP(B33,'Data-PC'!$B$13:$AP$56,16,FALSE)*(1+'Data-PC'!$T$3/100)</f>
        <v>0.50279280000000004</v>
      </c>
      <c r="U33" s="167">
        <f>C33*VLOOKUP(B33,'Data-PC'!$B$13:$AP$56,17,FALSE)*(1+'Data-PC'!$T$5/100)</f>
        <v>2.1885809864534869</v>
      </c>
      <c r="V33" s="168">
        <f>VLOOKUP($B33,'Data-PC'!$B$13:$AP$79,19,FALSE)</f>
        <v>2</v>
      </c>
      <c r="W33" s="169">
        <f>VLOOKUP($B33,'Data-PC'!$B$13:$AP$79,20,FALSE)</f>
        <v>13</v>
      </c>
      <c r="X33" s="170">
        <f>VLOOKUP($B33,'Data-PC'!$B$13:$AP$79,21,FALSE)*C33</f>
        <v>7.1757432569036368</v>
      </c>
      <c r="Y33" s="171">
        <f>VLOOKUP($B33,'Data-PC'!$B$13:$AP$79,22,FALSE)</f>
        <v>13</v>
      </c>
      <c r="Z33" s="169">
        <f>VLOOKUP($B33,'Data-PC'!$B$13:$AP$79,23,FALSE)</f>
        <v>150</v>
      </c>
      <c r="AA33" s="169">
        <f>VLOOKUP($B33,'Data-PC'!$B$13:$AP$79,24,FALSE)</f>
        <v>8</v>
      </c>
      <c r="AB33" s="172">
        <f>VLOOKUP($B33,'Data-PC'!$B$13:$AP$79,25,FALSE)</f>
        <v>15.036</v>
      </c>
      <c r="AC33" s="170">
        <f>VLOOKUP($B33,'Data-PC'!$B$13:$AP$79,26,FALSE)*C33</f>
        <v>15.665782859999998</v>
      </c>
      <c r="AD33" s="171">
        <f>VLOOKUP($B33,'Data-PC'!$B$13:$AP$79,27,FALSE)</f>
        <v>13</v>
      </c>
      <c r="AE33" s="169">
        <f>VLOOKUP($B33,'Data-PC'!$B$13:$AP$79,28,FALSE)</f>
        <v>150</v>
      </c>
      <c r="AF33" s="169">
        <f>VLOOKUP($B33,'Data-PC'!$B$13:$AP$79,29,FALSE)</f>
        <v>8</v>
      </c>
      <c r="AG33" s="172">
        <f>VLOOKUP($B33,'Data-PC'!$B$13:$AP$79,30,FALSE)</f>
        <v>9.891</v>
      </c>
      <c r="AH33" s="170">
        <f>VLOOKUP($B33,'Data-PC'!$B$13:$AP$79,31,FALSE)*C33</f>
        <v>10.305284535</v>
      </c>
      <c r="AI33" s="171">
        <f>VLOOKUP($B33,'Data-PC'!$B$13:$AP$79,32,FALSE)</f>
        <v>16</v>
      </c>
      <c r="AJ33" s="169">
        <f>VLOOKUP($B33,'Data-PC'!$B$13:$AP$79,33,FALSE)</f>
        <v>150</v>
      </c>
      <c r="AK33" s="169">
        <f>VLOOKUP($B33,'Data-PC'!$B$13:$AP$79,34,FALSE)</f>
        <v>8</v>
      </c>
      <c r="AL33" s="172">
        <f>VLOOKUP($B33,'Data-PC'!$B$13:$AP$79,35,FALSE)</f>
        <v>16.655999999999999</v>
      </c>
      <c r="AM33" s="170">
        <f>VLOOKUP($B33,'Data-PC'!$B$13:$AP$79,36,FALSE)*C33</f>
        <v>26.287165439999999</v>
      </c>
      <c r="AN33" s="171">
        <f>VLOOKUP($B33,'Data-PC'!$B$13:$AP$79,37,FALSE)</f>
        <v>16</v>
      </c>
      <c r="AO33" s="169">
        <f>VLOOKUP($B33,'Data-PC'!$B$13:$AP$79,38,FALSE)</f>
        <v>150</v>
      </c>
      <c r="AP33" s="169">
        <f>VLOOKUP($B33,'Data-PC'!$B$13:$AP$79,39,FALSE)</f>
        <v>8</v>
      </c>
      <c r="AQ33" s="172">
        <f>VLOOKUP($B33,'Data-PC'!$B$13:$AP$79,40,FALSE)</f>
        <v>14.211</v>
      </c>
      <c r="AR33" s="170">
        <f>VLOOKUP($B33,'Data-PC'!$B$13:$AP$79,41,FALSE)*C33</f>
        <v>22.428368640000002</v>
      </c>
      <c r="AS33" s="171">
        <f>VLOOKUP($B33,'Data-PC'!$B$13:$AX$79,42,FALSE)</f>
        <v>0</v>
      </c>
      <c r="AT33" s="169">
        <f>VLOOKUP($B33,'Data-PC'!$B$13:$AX$79,43,FALSE)</f>
        <v>0</v>
      </c>
      <c r="AU33" s="169">
        <f>VLOOKUP($B33,'Data-PC'!$B$13:$AX$79,44,FALSE)</f>
        <v>1380</v>
      </c>
      <c r="AV33" s="170">
        <f>VLOOKUP($B33,'Data-PC'!$B$13:$AX$79,45,FALSE)*C33</f>
        <v>0</v>
      </c>
      <c r="AW33" s="171">
        <f>VLOOKUP($B33,'Data-PC'!$B$13:$AX$79,46,FALSE)</f>
        <v>0</v>
      </c>
      <c r="AX33" s="169">
        <f>VLOOKUP($B33,'Data-PC'!$B$13:$AX$79,47,FALSE)</f>
        <v>0</v>
      </c>
      <c r="AY33" s="169">
        <f>VLOOKUP($B33,'Data-PC'!$B$19:$AX$79,48,FALSE)</f>
        <v>0</v>
      </c>
      <c r="AZ33" s="170">
        <f>VLOOKUP($B33,'Data-PC'!$B$13:$AX$79,49,FALSE)*C33</f>
        <v>0</v>
      </c>
      <c r="BA33" s="167">
        <f t="shared" si="4"/>
        <v>81.862344731903633</v>
      </c>
    </row>
    <row r="34" spans="1:53" s="173" customFormat="1" ht="12">
      <c r="A34" s="158">
        <f t="shared" si="5"/>
        <v>23</v>
      </c>
      <c r="B34" s="159" t="s">
        <v>2187</v>
      </c>
      <c r="C34" s="160">
        <v>1</v>
      </c>
      <c r="D34" s="1835"/>
      <c r="E34" s="161">
        <f>D34-(G34+'Data-PC'!$D$5)/1000</f>
        <v>-0.65</v>
      </c>
      <c r="F34" s="162">
        <f>VLOOKUP(B34,'Data-PC'!$B$13:$AP$56,15,FALSE)</f>
        <v>3.68</v>
      </c>
      <c r="G34" s="163">
        <f>VLOOKUP(B34,'Data-PC'!$B$13:$G$56,4,FALSE)</f>
        <v>600</v>
      </c>
      <c r="H34" s="164">
        <f>C34*VLOOKUP(B34,'Data-PC'!$B$13:$BC$56,18,FALSE)</f>
        <v>0</v>
      </c>
      <c r="I34" s="164">
        <f>C34*VLOOKUP(B34,'Data-PC'!$B$13:$BC$56,51,FALSE)</f>
        <v>2</v>
      </c>
      <c r="J34" s="165">
        <f>F34*C34*'Data-PC'!$D$5/1000</f>
        <v>0.184</v>
      </c>
      <c r="K34" s="165">
        <f>F34*('Data-PC'!$D$4/1000)*C34</f>
        <v>0</v>
      </c>
      <c r="L34" s="166">
        <f t="shared" si="1"/>
        <v>2.3920000000000003</v>
      </c>
      <c r="M34" s="165">
        <f t="shared" si="2"/>
        <v>1.4880000000000004</v>
      </c>
      <c r="N34" s="165"/>
      <c r="O34" s="165"/>
      <c r="P34" s="165"/>
      <c r="Q34" s="165"/>
      <c r="R34" s="165"/>
      <c r="S34" s="165">
        <f t="shared" si="3"/>
        <v>0.90399999999999991</v>
      </c>
      <c r="T34" s="167">
        <f>C34*VLOOKUP(B34,'Data-PC'!$B$13:$AP$56,16,FALSE)*(1+'Data-PC'!$T$3/100)</f>
        <v>0.72</v>
      </c>
      <c r="U34" s="167">
        <f>C34*VLOOKUP(B34,'Data-PC'!$B$13:$AP$56,17,FALSE)*(1+'Data-PC'!$T$5/100)</f>
        <v>2.76</v>
      </c>
      <c r="V34" s="168">
        <f>VLOOKUP($B34,'Data-PC'!$B$13:$AP$79,19,FALSE)</f>
        <v>2</v>
      </c>
      <c r="W34" s="169">
        <f>VLOOKUP($B34,'Data-PC'!$B$13:$AP$79,20,FALSE)</f>
        <v>13</v>
      </c>
      <c r="X34" s="170">
        <f>VLOOKUP($B34,'Data-PC'!$B$13:$AP$79,21,FALSE)*C34</f>
        <v>9.4103053199999973</v>
      </c>
      <c r="Y34" s="171">
        <f>VLOOKUP($B34,'Data-PC'!$B$13:$AP$79,22,FALSE)</f>
        <v>16</v>
      </c>
      <c r="Z34" s="169">
        <f>VLOOKUP($B34,'Data-PC'!$B$13:$AP$79,23,FALSE)</f>
        <v>100</v>
      </c>
      <c r="AA34" s="169">
        <f>VLOOKUP($B34,'Data-PC'!$B$13:$AP$79,24,FALSE)</f>
        <v>15</v>
      </c>
      <c r="AB34" s="172">
        <f>VLOOKUP($B34,'Data-PC'!$B$13:$AP$79,25,FALSE)</f>
        <v>19.2</v>
      </c>
      <c r="AC34" s="170">
        <f>VLOOKUP($B34,'Data-PC'!$B$13:$AP$79,26,FALSE)*C34</f>
        <v>30.302208</v>
      </c>
      <c r="AD34" s="171">
        <f>VLOOKUP($B34,'Data-PC'!$B$13:$AP$79,27,FALSE)</f>
        <v>13</v>
      </c>
      <c r="AE34" s="169">
        <f>VLOOKUP($B34,'Data-PC'!$B$13:$AP$79,28,FALSE)</f>
        <v>100</v>
      </c>
      <c r="AF34" s="169">
        <f>VLOOKUP($B34,'Data-PC'!$B$13:$AP$79,29,FALSE)</f>
        <v>8</v>
      </c>
      <c r="AG34" s="172">
        <f>VLOOKUP($B34,'Data-PC'!$B$13:$AP$79,30,FALSE)</f>
        <v>15.84</v>
      </c>
      <c r="AH34" s="170">
        <f>VLOOKUP($B34,'Data-PC'!$B$13:$AP$79,31,FALSE)*C34</f>
        <v>16.5034584</v>
      </c>
      <c r="AI34" s="171">
        <f>VLOOKUP($B34,'Data-PC'!$B$13:$AP$79,32,FALSE)</f>
        <v>16</v>
      </c>
      <c r="AJ34" s="169">
        <f>VLOOKUP($B34,'Data-PC'!$B$13:$AP$79,33,FALSE)</f>
        <v>100</v>
      </c>
      <c r="AK34" s="169">
        <f>VLOOKUP($B34,'Data-PC'!$B$13:$AP$79,34,FALSE)</f>
        <v>15</v>
      </c>
      <c r="AL34" s="172">
        <f>VLOOKUP($B34,'Data-PC'!$B$13:$AP$79,35,FALSE)</f>
        <v>27.3</v>
      </c>
      <c r="AM34" s="170">
        <f>VLOOKUP($B34,'Data-PC'!$B$13:$AP$79,36,FALSE)*C34</f>
        <v>43.085952000000006</v>
      </c>
      <c r="AN34" s="171">
        <f>VLOOKUP($B34,'Data-PC'!$B$13:$AP$79,37,FALSE)</f>
        <v>13</v>
      </c>
      <c r="AO34" s="169">
        <f>VLOOKUP($B34,'Data-PC'!$B$13:$AP$79,38,FALSE)</f>
        <v>100</v>
      </c>
      <c r="AP34" s="169">
        <f>VLOOKUP($B34,'Data-PC'!$B$13:$AP$79,39,FALSE)</f>
        <v>8</v>
      </c>
      <c r="AQ34" s="172">
        <f>VLOOKUP($B34,'Data-PC'!$B$13:$AP$79,40,FALSE)</f>
        <v>20.16</v>
      </c>
      <c r="AR34" s="170">
        <f>VLOOKUP($B34,'Data-PC'!$B$13:$AP$79,41,FALSE)*C34</f>
        <v>21.004401599999998</v>
      </c>
      <c r="AS34" s="171">
        <f>VLOOKUP($B34,'Data-PC'!$B$13:$AX$79,42,FALSE)</f>
        <v>0</v>
      </c>
      <c r="AT34" s="169">
        <f>VLOOKUP($B34,'Data-PC'!$B$13:$AX$79,43,FALSE)</f>
        <v>0</v>
      </c>
      <c r="AU34" s="169">
        <f>VLOOKUP($B34,'Data-PC'!$B$13:$AX$79,44,FALSE)</f>
        <v>1380</v>
      </c>
      <c r="AV34" s="170">
        <f>VLOOKUP($B34,'Data-PC'!$B$13:$AX$79,45,FALSE)*C34</f>
        <v>0</v>
      </c>
      <c r="AW34" s="171">
        <f>VLOOKUP($B34,'Data-PC'!$B$13:$AX$79,46,FALSE)</f>
        <v>0</v>
      </c>
      <c r="AX34" s="169">
        <f>VLOOKUP($B34,'Data-PC'!$B$13:$AX$79,47,FALSE)</f>
        <v>0</v>
      </c>
      <c r="AY34" s="169">
        <f>VLOOKUP($B34,'Data-PC'!$B$19:$AX$79,48,FALSE)</f>
        <v>0</v>
      </c>
      <c r="AZ34" s="170">
        <f>VLOOKUP($B34,'Data-PC'!$B$13:$AX$79,49,FALSE)*C34</f>
        <v>0</v>
      </c>
      <c r="BA34" s="167">
        <f t="shared" si="4"/>
        <v>120.30632532</v>
      </c>
    </row>
    <row r="35" spans="1:53" s="173" customFormat="1" ht="12">
      <c r="A35" s="158">
        <f t="shared" si="5"/>
        <v>24</v>
      </c>
      <c r="B35" s="159" t="s">
        <v>2305</v>
      </c>
      <c r="C35" s="160">
        <v>1</v>
      </c>
      <c r="D35" s="1835"/>
      <c r="E35" s="161">
        <f>D35-(G35+'Data-PC'!$D$5)/1000</f>
        <v>-0.65</v>
      </c>
      <c r="F35" s="162">
        <f>VLOOKUP(B35,'Data-PC'!$B$13:$AP$56,15,FALSE)</f>
        <v>2.4700000000000002</v>
      </c>
      <c r="G35" s="163">
        <f>VLOOKUP(B35,'Data-PC'!$B$13:$G$56,4,FALSE)</f>
        <v>600</v>
      </c>
      <c r="H35" s="164">
        <f>C35*VLOOKUP(B35,'Data-PC'!$B$13:$BC$56,18,FALSE)</f>
        <v>2</v>
      </c>
      <c r="I35" s="164">
        <f>C35*VLOOKUP(B35,'Data-PC'!$B$13:$BC$56,51,FALSE)</f>
        <v>0</v>
      </c>
      <c r="J35" s="165">
        <f>F35*C35*'Data-PC'!$D$5/1000</f>
        <v>0.12350000000000001</v>
      </c>
      <c r="K35" s="165">
        <f>F35*('Data-PC'!$D$4/1000)*C35</f>
        <v>0</v>
      </c>
      <c r="L35" s="166">
        <f t="shared" si="1"/>
        <v>1.6055000000000001</v>
      </c>
      <c r="M35" s="165">
        <f t="shared" si="2"/>
        <v>1.1520000000000001</v>
      </c>
      <c r="N35" s="165"/>
      <c r="O35" s="165"/>
      <c r="P35" s="165"/>
      <c r="Q35" s="165"/>
      <c r="R35" s="165"/>
      <c r="S35" s="165">
        <f t="shared" si="3"/>
        <v>0.45350000000000001</v>
      </c>
      <c r="T35" s="167">
        <f>C35*VLOOKUP(B35,'Data-PC'!$B$13:$AP$56,16,FALSE)*(1+'Data-PC'!$T$3/100)</f>
        <v>0.33</v>
      </c>
      <c r="U35" s="167">
        <f>C35*VLOOKUP(B35,'Data-PC'!$B$13:$AP$56,17,FALSE)*(1+'Data-PC'!$T$5/100)</f>
        <v>1.92</v>
      </c>
      <c r="V35" s="168">
        <f>VLOOKUP($B35,'Data-PC'!$B$13:$AP$79,19,FALSE)</f>
        <v>2</v>
      </c>
      <c r="W35" s="169">
        <f>VLOOKUP($B35,'Data-PC'!$B$13:$AP$79,20,FALSE)</f>
        <v>13</v>
      </c>
      <c r="X35" s="170">
        <f>VLOOKUP($B35,'Data-PC'!$B$13:$AP$79,21,FALSE)*C35</f>
        <v>6.4930273199999995</v>
      </c>
      <c r="Y35" s="171">
        <f>VLOOKUP($B35,'Data-PC'!$B$13:$AP$79,22,FALSE)</f>
        <v>13</v>
      </c>
      <c r="Z35" s="169">
        <f>VLOOKUP($B35,'Data-PC'!$B$13:$AP$79,23,FALSE)</f>
        <v>125</v>
      </c>
      <c r="AA35" s="169">
        <f>VLOOKUP($B35,'Data-PC'!$B$13:$AP$79,24,FALSE)</f>
        <v>4</v>
      </c>
      <c r="AB35" s="172">
        <f>VLOOKUP($B35,'Data-PC'!$B$13:$AP$79,25,FALSE)</f>
        <v>6.32</v>
      </c>
      <c r="AC35" s="170">
        <f>VLOOKUP($B35,'Data-PC'!$B$13:$AP$79,26,FALSE)*C35</f>
        <v>6.5847132000000004</v>
      </c>
      <c r="AD35" s="171">
        <f>VLOOKUP($B35,'Data-PC'!$B$13:$AP$79,27,FALSE)</f>
        <v>13</v>
      </c>
      <c r="AE35" s="169">
        <f>VLOOKUP($B35,'Data-PC'!$B$13:$AP$79,28,FALSE)</f>
        <v>137.5</v>
      </c>
      <c r="AF35" s="169">
        <f>VLOOKUP($B35,'Data-PC'!$B$13:$AP$79,29,FALSE)</f>
        <v>8</v>
      </c>
      <c r="AG35" s="172">
        <f>VLOOKUP($B35,'Data-PC'!$B$13:$AP$79,30,FALSE)</f>
        <v>7.84</v>
      </c>
      <c r="AH35" s="170">
        <f>VLOOKUP($B35,'Data-PC'!$B$13:$AP$79,31,FALSE)*C35</f>
        <v>8.1683783999999999</v>
      </c>
      <c r="AI35" s="171">
        <f>VLOOKUP($B35,'Data-PC'!$B$13:$AP$79,32,FALSE)</f>
        <v>13</v>
      </c>
      <c r="AJ35" s="169">
        <f>VLOOKUP($B35,'Data-PC'!$B$13:$AP$79,33,FALSE)</f>
        <v>125</v>
      </c>
      <c r="AK35" s="169">
        <f>VLOOKUP($B35,'Data-PC'!$B$13:$AP$79,34,FALSE)</f>
        <v>4</v>
      </c>
      <c r="AL35" s="172">
        <f>VLOOKUP($B35,'Data-PC'!$B$13:$AP$79,35,FALSE)</f>
        <v>8.48</v>
      </c>
      <c r="AM35" s="170">
        <f>VLOOKUP($B35,'Data-PC'!$B$13:$AP$79,36,FALSE)*C35</f>
        <v>8.8351848000000004</v>
      </c>
      <c r="AN35" s="171">
        <f>VLOOKUP($B35,'Data-PC'!$B$13:$AP$79,37,FALSE)</f>
        <v>16</v>
      </c>
      <c r="AO35" s="169">
        <f>VLOOKUP($B35,'Data-PC'!$B$13:$AP$79,38,FALSE)</f>
        <v>137.5</v>
      </c>
      <c r="AP35" s="169">
        <f>VLOOKUP($B35,'Data-PC'!$B$13:$AP$79,39,FALSE)</f>
        <v>8</v>
      </c>
      <c r="AQ35" s="172">
        <f>VLOOKUP($B35,'Data-PC'!$B$13:$AP$79,40,FALSE)</f>
        <v>12.16</v>
      </c>
      <c r="AR35" s="170">
        <f>VLOOKUP($B35,'Data-PC'!$B$13:$AP$79,41,FALSE)*C35</f>
        <v>19.191398400000001</v>
      </c>
      <c r="AS35" s="171">
        <f>VLOOKUP($B35,'Data-PC'!$B$13:$AX$79,42,FALSE)</f>
        <v>0</v>
      </c>
      <c r="AT35" s="169">
        <f>VLOOKUP($B35,'Data-PC'!$B$13:$AX$79,43,FALSE)</f>
        <v>0</v>
      </c>
      <c r="AU35" s="169">
        <f>VLOOKUP($B35,'Data-PC'!$B$13:$AX$79,44,FALSE)</f>
        <v>1380</v>
      </c>
      <c r="AV35" s="170">
        <f>VLOOKUP($B35,'Data-PC'!$B$13:$AX$79,45,FALSE)*C35</f>
        <v>0</v>
      </c>
      <c r="AW35" s="171">
        <f>VLOOKUP($B35,'Data-PC'!$B$13:$AX$79,46,FALSE)</f>
        <v>0</v>
      </c>
      <c r="AX35" s="169">
        <f>VLOOKUP($B35,'Data-PC'!$B$13:$AX$79,47,FALSE)</f>
        <v>0</v>
      </c>
      <c r="AY35" s="169" t="e">
        <f>VLOOKUP($B35,'Data-PC'!$B$19:$AX$79,48,FALSE)</f>
        <v>#N/A</v>
      </c>
      <c r="AZ35" s="170">
        <f>VLOOKUP($B35,'Data-PC'!$B$13:$AX$79,49,FALSE)*C35</f>
        <v>0</v>
      </c>
      <c r="BA35" s="167">
        <f t="shared" si="4"/>
        <v>49.272702120000005</v>
      </c>
    </row>
    <row r="36" spans="1:53" s="173" customFormat="1" ht="12">
      <c r="A36" s="158">
        <f t="shared" si="5"/>
        <v>25</v>
      </c>
      <c r="B36" s="159" t="s">
        <v>2308</v>
      </c>
      <c r="C36" s="160">
        <v>1</v>
      </c>
      <c r="D36" s="1835"/>
      <c r="E36" s="161">
        <f>D36-(G36+'Data-PC'!$D$5)/1000</f>
        <v>-0.8</v>
      </c>
      <c r="F36" s="162">
        <f>VLOOKUP(B36,'Data-PC'!$B$13:$AP$56,15,FALSE)</f>
        <v>11.56</v>
      </c>
      <c r="G36" s="163">
        <f>VLOOKUP(B36,'Data-PC'!$B$13:$G$56,4,FALSE)</f>
        <v>750</v>
      </c>
      <c r="H36" s="164">
        <f>C36*VLOOKUP(B36,'Data-PC'!$B$13:$BC$56,18,FALSE)</f>
        <v>9</v>
      </c>
      <c r="I36" s="164">
        <f>C36*VLOOKUP(B36,'Data-PC'!$B$13:$BC$56,51,FALSE)</f>
        <v>0</v>
      </c>
      <c r="J36" s="165">
        <f>F36*C36*'Data-PC'!$D$5/1000</f>
        <v>0.57799999999999996</v>
      </c>
      <c r="K36" s="165">
        <f>F36*('Data-PC'!$D$4/1000)*C36</f>
        <v>0</v>
      </c>
      <c r="L36" s="166">
        <f t="shared" si="1"/>
        <v>9.2480000000000011</v>
      </c>
      <c r="M36" s="165">
        <f t="shared" si="2"/>
        <v>3.6000000000000005</v>
      </c>
      <c r="N36" s="165"/>
      <c r="O36" s="165"/>
      <c r="P36" s="165"/>
      <c r="Q36" s="165"/>
      <c r="R36" s="165"/>
      <c r="S36" s="165">
        <f t="shared" si="3"/>
        <v>5.6480000000000006</v>
      </c>
      <c r="T36" s="167">
        <f>C36*VLOOKUP(B36,'Data-PC'!$B$13:$AP$56,16,FALSE)*(1+'Data-PC'!$T$3/100)</f>
        <v>5.07</v>
      </c>
      <c r="U36" s="167">
        <f>C36*VLOOKUP(B36,'Data-PC'!$B$13:$AP$56,17,FALSE)*(1+'Data-PC'!$T$5/100)</f>
        <v>7.8</v>
      </c>
      <c r="V36" s="168">
        <f>VLOOKUP($B36,'Data-PC'!$B$13:$AP$79,19,FALSE)</f>
        <v>3</v>
      </c>
      <c r="W36" s="169">
        <f>VLOOKUP($B36,'Data-PC'!$B$13:$AP$79,20,FALSE)</f>
        <v>13</v>
      </c>
      <c r="X36" s="170">
        <f>VLOOKUP($B36,'Data-PC'!$B$13:$AP$79,21,FALSE)*C36</f>
        <v>32.244256980000003</v>
      </c>
      <c r="Y36" s="171">
        <f>VLOOKUP($B36,'Data-PC'!$B$13:$AP$79,22,FALSE)</f>
        <v>16</v>
      </c>
      <c r="Z36" s="169">
        <f>VLOOKUP($B36,'Data-PC'!$B$13:$AP$79,23,FALSE)</f>
        <v>144.44444444444446</v>
      </c>
      <c r="AA36" s="169">
        <f>VLOOKUP($B36,'Data-PC'!$B$13:$AP$79,24,FALSE)</f>
        <v>18</v>
      </c>
      <c r="AB36" s="172">
        <f>VLOOKUP($B36,'Data-PC'!$B$13:$AP$79,25,FALSE)</f>
        <v>58.14</v>
      </c>
      <c r="AC36" s="170">
        <f>VLOOKUP($B36,'Data-PC'!$B$13:$AP$79,26,FALSE)*C36</f>
        <v>91.758873600000001</v>
      </c>
      <c r="AD36" s="171">
        <f>VLOOKUP($B36,'Data-PC'!$B$13:$AP$79,27,FALSE)</f>
        <v>16</v>
      </c>
      <c r="AE36" s="169">
        <f>VLOOKUP($B36,'Data-PC'!$B$13:$AP$79,28,FALSE)</f>
        <v>144.44444444444446</v>
      </c>
      <c r="AF36" s="169">
        <f>VLOOKUP($B36,'Data-PC'!$B$13:$AP$79,29,FALSE)</f>
        <v>18</v>
      </c>
      <c r="AG36" s="172">
        <f>VLOOKUP($B36,'Data-PC'!$B$13:$AP$79,30,FALSE)</f>
        <v>58.14</v>
      </c>
      <c r="AH36" s="170">
        <f>VLOOKUP($B36,'Data-PC'!$B$13:$AP$79,31,FALSE)*C36</f>
        <v>91.758873600000001</v>
      </c>
      <c r="AI36" s="171">
        <f>VLOOKUP($B36,'Data-PC'!$B$13:$AP$79,32,FALSE)</f>
        <v>16</v>
      </c>
      <c r="AJ36" s="169">
        <f>VLOOKUP($B36,'Data-PC'!$B$13:$AP$79,33,FALSE)</f>
        <v>144.44444444444446</v>
      </c>
      <c r="AK36" s="169">
        <f>VLOOKUP($B36,'Data-PC'!$B$13:$AP$79,34,FALSE)</f>
        <v>18</v>
      </c>
      <c r="AL36" s="172">
        <f>VLOOKUP($B36,'Data-PC'!$B$13:$AP$79,35,FALSE)</f>
        <v>70.56</v>
      </c>
      <c r="AM36" s="170">
        <f>VLOOKUP($B36,'Data-PC'!$B$13:$AP$79,36,FALSE)*C36</f>
        <v>111.3606144</v>
      </c>
      <c r="AN36" s="171">
        <f>VLOOKUP($B36,'Data-PC'!$B$13:$AP$79,37,FALSE)</f>
        <v>16</v>
      </c>
      <c r="AO36" s="169">
        <f>VLOOKUP($B36,'Data-PC'!$B$13:$AP$79,38,FALSE)</f>
        <v>144.44444444444446</v>
      </c>
      <c r="AP36" s="169">
        <f>VLOOKUP($B36,'Data-PC'!$B$13:$AP$79,39,FALSE)</f>
        <v>18</v>
      </c>
      <c r="AQ36" s="172">
        <f>VLOOKUP($B36,'Data-PC'!$B$13:$AP$79,40,FALSE)</f>
        <v>70.56</v>
      </c>
      <c r="AR36" s="170">
        <f>VLOOKUP($B36,'Data-PC'!$B$13:$AP$79,41,FALSE)*C36</f>
        <v>111.3606144</v>
      </c>
      <c r="AS36" s="171">
        <f>VLOOKUP($B36,'Data-PC'!$B$13:$AX$79,42,FALSE)</f>
        <v>0</v>
      </c>
      <c r="AT36" s="169">
        <f>VLOOKUP($B36,'Data-PC'!$B$13:$AX$79,43,FALSE)</f>
        <v>0</v>
      </c>
      <c r="AU36" s="169">
        <f>VLOOKUP($B36,'Data-PC'!$B$13:$AX$79,44,FALSE)</f>
        <v>1680</v>
      </c>
      <c r="AV36" s="170">
        <f>VLOOKUP($B36,'Data-PC'!$B$13:$AX$79,45,FALSE)*C36</f>
        <v>0</v>
      </c>
      <c r="AW36" s="171">
        <f>VLOOKUP($B36,'Data-PC'!$B$13:$AX$79,46,FALSE)</f>
        <v>0</v>
      </c>
      <c r="AX36" s="169">
        <f>VLOOKUP($B36,'Data-PC'!$B$13:$AX$79,47,FALSE)</f>
        <v>0</v>
      </c>
      <c r="AY36" s="169">
        <f>VLOOKUP($B36,'Data-PC'!$B$19:$AX$79,48,FALSE)</f>
        <v>0</v>
      </c>
      <c r="AZ36" s="170">
        <f>VLOOKUP($B36,'Data-PC'!$B$13:$AX$79,49,FALSE)*C36</f>
        <v>0</v>
      </c>
      <c r="BA36" s="167">
        <f t="shared" si="4"/>
        <v>438.48323298000003</v>
      </c>
    </row>
    <row r="37" spans="1:53" s="173" customFormat="1" ht="12">
      <c r="A37" s="158">
        <f t="shared" si="5"/>
        <v>26</v>
      </c>
      <c r="B37" s="159" t="s">
        <v>2307</v>
      </c>
      <c r="C37" s="160">
        <v>1</v>
      </c>
      <c r="D37" s="1835"/>
      <c r="E37" s="161">
        <f>D37-(G37+'Data-PC'!$D$5)/1000</f>
        <v>-0.75</v>
      </c>
      <c r="F37" s="162">
        <f>VLOOKUP(B37,'Data-PC'!$B$13:$AP$56,15,FALSE)</f>
        <v>4.6224999999999996</v>
      </c>
      <c r="G37" s="163">
        <f>VLOOKUP(B37,'Data-PC'!$B$13:$G$56,4,FALSE)</f>
        <v>700</v>
      </c>
      <c r="H37" s="164">
        <f>C37*VLOOKUP(B37,'Data-PC'!$B$13:$BC$56,18,FALSE)</f>
        <v>5</v>
      </c>
      <c r="I37" s="164">
        <f>C37*VLOOKUP(B37,'Data-PC'!$B$13:$BC$56,51,FALSE)</f>
        <v>0</v>
      </c>
      <c r="J37" s="165">
        <f>F37*C37*'Data-PC'!$D$5/1000</f>
        <v>0.23112499999999997</v>
      </c>
      <c r="K37" s="165">
        <f>F37*('Data-PC'!$D$4/1000)*C37</f>
        <v>0</v>
      </c>
      <c r="L37" s="166">
        <f t="shared" si="1"/>
        <v>3.4668749999999999</v>
      </c>
      <c r="M37" s="165">
        <f t="shared" si="2"/>
        <v>1.96</v>
      </c>
      <c r="N37" s="165"/>
      <c r="O37" s="165"/>
      <c r="P37" s="165"/>
      <c r="Q37" s="165"/>
      <c r="R37" s="165"/>
      <c r="S37" s="165">
        <f t="shared" si="3"/>
        <v>1.506875</v>
      </c>
      <c r="T37" s="167">
        <f>C37*VLOOKUP(B37,'Data-PC'!$B$13:$AP$56,16,FALSE)*(1+'Data-PC'!$T$3/100)</f>
        <v>1.2757499999999999</v>
      </c>
      <c r="U37" s="167">
        <f>C37*VLOOKUP(B37,'Data-PC'!$B$13:$AP$56,17,FALSE)*(1+'Data-PC'!$T$5/100)</f>
        <v>3.7800000000000002</v>
      </c>
      <c r="V37" s="168">
        <f>VLOOKUP($B37,'Data-PC'!$B$13:$AP$79,19,FALSE)</f>
        <v>3</v>
      </c>
      <c r="W37" s="169">
        <f>VLOOKUP($B37,'Data-PC'!$B$13:$AP$79,20,FALSE)</f>
        <v>13</v>
      </c>
      <c r="X37" s="170">
        <f>VLOOKUP($B37,'Data-PC'!$B$13:$AP$79,21,FALSE)*C37</f>
        <v>16.615981980000001</v>
      </c>
      <c r="Y37" s="171">
        <f>VLOOKUP($B37,'Data-PC'!$B$13:$AP$79,22,FALSE)</f>
        <v>13</v>
      </c>
      <c r="Z37" s="169">
        <f>VLOOKUP($B37,'Data-PC'!$B$13:$AP$79,23,FALSE)</f>
        <v>150</v>
      </c>
      <c r="AA37" s="169">
        <f>VLOOKUP($B37,'Data-PC'!$B$13:$AP$79,24,FALSE)</f>
        <v>9</v>
      </c>
      <c r="AB37" s="172">
        <f>VLOOKUP($B37,'Data-PC'!$B$13:$AP$79,25,FALSE)</f>
        <v>17.37</v>
      </c>
      <c r="AC37" s="170">
        <f>VLOOKUP($B37,'Data-PC'!$B$13:$AP$79,26,FALSE)*C37</f>
        <v>18.097542449999999</v>
      </c>
      <c r="AD37" s="171">
        <f>VLOOKUP($B37,'Data-PC'!$B$13:$AP$79,27,FALSE)</f>
        <v>13</v>
      </c>
      <c r="AE37" s="169">
        <f>VLOOKUP($B37,'Data-PC'!$B$13:$AP$79,28,FALSE)</f>
        <v>150</v>
      </c>
      <c r="AF37" s="169">
        <f>VLOOKUP($B37,'Data-PC'!$B$13:$AP$79,29,FALSE)</f>
        <v>9</v>
      </c>
      <c r="AG37" s="172">
        <f>VLOOKUP($B37,'Data-PC'!$B$13:$AP$79,30,FALSE)</f>
        <v>17.37</v>
      </c>
      <c r="AH37" s="170">
        <f>VLOOKUP($B37,'Data-PC'!$B$13:$AP$79,31,FALSE)*C37</f>
        <v>18.097542449999999</v>
      </c>
      <c r="AI37" s="171">
        <f>VLOOKUP($B37,'Data-PC'!$B$13:$AP$79,32,FALSE)</f>
        <v>16</v>
      </c>
      <c r="AJ37" s="169">
        <f>VLOOKUP($B37,'Data-PC'!$B$13:$AP$79,33,FALSE)</f>
        <v>150</v>
      </c>
      <c r="AK37" s="169">
        <f>VLOOKUP($B37,'Data-PC'!$B$13:$AP$79,34,FALSE)</f>
        <v>9</v>
      </c>
      <c r="AL37" s="172">
        <f>VLOOKUP($B37,'Data-PC'!$B$13:$AP$79,35,FALSE)</f>
        <v>23.13</v>
      </c>
      <c r="AM37" s="170">
        <f>VLOOKUP($B37,'Data-PC'!$B$13:$AP$79,36,FALSE)*C37</f>
        <v>36.504691200000003</v>
      </c>
      <c r="AN37" s="171">
        <f>VLOOKUP($B37,'Data-PC'!$B$13:$AP$79,37,FALSE)</f>
        <v>16</v>
      </c>
      <c r="AO37" s="169">
        <f>VLOOKUP($B37,'Data-PC'!$B$13:$AP$79,38,FALSE)</f>
        <v>150</v>
      </c>
      <c r="AP37" s="169">
        <f>VLOOKUP($B37,'Data-PC'!$B$13:$AP$79,39,FALSE)</f>
        <v>9</v>
      </c>
      <c r="AQ37" s="172">
        <f>VLOOKUP($B37,'Data-PC'!$B$13:$AP$79,40,FALSE)</f>
        <v>23.13</v>
      </c>
      <c r="AR37" s="170">
        <f>VLOOKUP($B37,'Data-PC'!$B$13:$AP$79,41,FALSE)*C37</f>
        <v>36.504691200000003</v>
      </c>
      <c r="AS37" s="171">
        <f>VLOOKUP($B37,'Data-PC'!$B$13:$AX$79,42,FALSE)</f>
        <v>0</v>
      </c>
      <c r="AT37" s="169">
        <f>VLOOKUP($B37,'Data-PC'!$B$13:$AX$79,43,FALSE)</f>
        <v>0</v>
      </c>
      <c r="AU37" s="169">
        <f>VLOOKUP($B37,'Data-PC'!$B$13:$AX$79,44,FALSE)</f>
        <v>1580</v>
      </c>
      <c r="AV37" s="170">
        <f>VLOOKUP($B37,'Data-PC'!$B$13:$AX$79,45,FALSE)*C37</f>
        <v>0</v>
      </c>
      <c r="AW37" s="171">
        <f>VLOOKUP($B37,'Data-PC'!$B$13:$AX$79,46,FALSE)</f>
        <v>0</v>
      </c>
      <c r="AX37" s="169">
        <f>VLOOKUP($B37,'Data-PC'!$B$13:$AX$79,47,FALSE)</f>
        <v>0</v>
      </c>
      <c r="AY37" s="169">
        <f>VLOOKUP($B37,'Data-PC'!$B$19:$AX$79,48,FALSE)</f>
        <v>0</v>
      </c>
      <c r="AZ37" s="170">
        <f>VLOOKUP($B37,'Data-PC'!$B$13:$AX$79,49,FALSE)*C37</f>
        <v>0</v>
      </c>
      <c r="BA37" s="167">
        <f t="shared" si="4"/>
        <v>125.82044927999999</v>
      </c>
    </row>
    <row r="38" spans="1:53" s="173" customFormat="1" ht="12">
      <c r="A38" s="158">
        <f t="shared" si="5"/>
        <v>27</v>
      </c>
      <c r="B38" s="159" t="s">
        <v>104</v>
      </c>
      <c r="C38" s="160">
        <v>1</v>
      </c>
      <c r="D38" s="1835"/>
      <c r="E38" s="161">
        <f>D38-(G38+'Data-PC'!$D$5)/1000</f>
        <v>-0.65</v>
      </c>
      <c r="F38" s="162">
        <f>VLOOKUP(B38,'Data-PC'!$B$13:$AP$56,15,FALSE)</f>
        <v>3.173988</v>
      </c>
      <c r="G38" s="163">
        <f>VLOOKUP(B38,'Data-PC'!$B$13:$G$56,4,FALSE)</f>
        <v>600</v>
      </c>
      <c r="H38" s="164">
        <f>C38*VLOOKUP(B38,'Data-PC'!$B$13:$BC$56,18,FALSE)</f>
        <v>3</v>
      </c>
      <c r="I38" s="164">
        <f>C38*VLOOKUP(B38,'Data-PC'!$B$13:$BC$56,51,FALSE)</f>
        <v>0</v>
      </c>
      <c r="J38" s="165">
        <f>F38*C38*'Data-PC'!$D$5/1000</f>
        <v>0.15869939999999999</v>
      </c>
      <c r="K38" s="165">
        <f>F38*('Data-PC'!$D$4/1000)*C38</f>
        <v>0</v>
      </c>
      <c r="L38" s="166">
        <f t="shared" si="1"/>
        <v>2.0630922000000003</v>
      </c>
      <c r="M38" s="165">
        <f t="shared" si="2"/>
        <v>1.4016000000000002</v>
      </c>
      <c r="N38" s="165"/>
      <c r="O38" s="165"/>
      <c r="P38" s="165"/>
      <c r="Q38" s="165"/>
      <c r="R38" s="165"/>
      <c r="S38" s="165">
        <f t="shared" si="3"/>
        <v>0.66149220000000009</v>
      </c>
      <c r="T38" s="167">
        <f>C38*VLOOKUP(B38,'Data-PC'!$B$13:$AP$56,16,FALSE)*(1+'Data-PC'!$T$3/100)</f>
        <v>0.50279280000000004</v>
      </c>
      <c r="U38" s="167">
        <f>C38*VLOOKUP(B38,'Data-PC'!$B$13:$AP$56,17,FALSE)*(1+'Data-PC'!$T$5/100)</f>
        <v>2.1885809864534869</v>
      </c>
      <c r="V38" s="168">
        <f>VLOOKUP($B38,'Data-PC'!$B$13:$AP$79,19,FALSE)</f>
        <v>2</v>
      </c>
      <c r="W38" s="169">
        <f>VLOOKUP($B38,'Data-PC'!$B$13:$AP$79,20,FALSE)</f>
        <v>13</v>
      </c>
      <c r="X38" s="170">
        <f>VLOOKUP($B38,'Data-PC'!$B$13:$AP$79,21,FALSE)*C38</f>
        <v>7.1757432569036368</v>
      </c>
      <c r="Y38" s="171">
        <f>VLOOKUP($B38,'Data-PC'!$B$13:$AP$79,22,FALSE)</f>
        <v>13</v>
      </c>
      <c r="Z38" s="169">
        <f>VLOOKUP($B38,'Data-PC'!$B$13:$AP$79,23,FALSE)</f>
        <v>150</v>
      </c>
      <c r="AA38" s="169">
        <f>VLOOKUP($B38,'Data-PC'!$B$13:$AP$79,24,FALSE)</f>
        <v>8</v>
      </c>
      <c r="AB38" s="172">
        <f>VLOOKUP($B38,'Data-PC'!$B$13:$AP$79,25,FALSE)</f>
        <v>15.036</v>
      </c>
      <c r="AC38" s="170">
        <f>VLOOKUP($B38,'Data-PC'!$B$13:$AP$79,26,FALSE)*C38</f>
        <v>15.665782859999998</v>
      </c>
      <c r="AD38" s="171">
        <f>VLOOKUP($B38,'Data-PC'!$B$13:$AP$79,27,FALSE)</f>
        <v>13</v>
      </c>
      <c r="AE38" s="169">
        <f>VLOOKUP($B38,'Data-PC'!$B$13:$AP$79,28,FALSE)</f>
        <v>150</v>
      </c>
      <c r="AF38" s="169">
        <f>VLOOKUP($B38,'Data-PC'!$B$13:$AP$79,29,FALSE)</f>
        <v>8</v>
      </c>
      <c r="AG38" s="172">
        <f>VLOOKUP($B38,'Data-PC'!$B$13:$AP$79,30,FALSE)</f>
        <v>9.891</v>
      </c>
      <c r="AH38" s="170">
        <f>VLOOKUP($B38,'Data-PC'!$B$13:$AP$79,31,FALSE)*C38</f>
        <v>10.305284535</v>
      </c>
      <c r="AI38" s="171">
        <f>VLOOKUP($B38,'Data-PC'!$B$13:$AP$79,32,FALSE)</f>
        <v>16</v>
      </c>
      <c r="AJ38" s="169">
        <f>VLOOKUP($B38,'Data-PC'!$B$13:$AP$79,33,FALSE)</f>
        <v>150</v>
      </c>
      <c r="AK38" s="169">
        <f>VLOOKUP($B38,'Data-PC'!$B$13:$AP$79,34,FALSE)</f>
        <v>8</v>
      </c>
      <c r="AL38" s="172">
        <f>VLOOKUP($B38,'Data-PC'!$B$13:$AP$79,35,FALSE)</f>
        <v>16.655999999999999</v>
      </c>
      <c r="AM38" s="170">
        <f>VLOOKUP($B38,'Data-PC'!$B$13:$AP$79,36,FALSE)*C38</f>
        <v>26.287165439999999</v>
      </c>
      <c r="AN38" s="171">
        <f>VLOOKUP($B38,'Data-PC'!$B$13:$AP$79,37,FALSE)</f>
        <v>16</v>
      </c>
      <c r="AO38" s="169">
        <f>VLOOKUP($B38,'Data-PC'!$B$13:$AP$79,38,FALSE)</f>
        <v>150</v>
      </c>
      <c r="AP38" s="169">
        <f>VLOOKUP($B38,'Data-PC'!$B$13:$AP$79,39,FALSE)</f>
        <v>8</v>
      </c>
      <c r="AQ38" s="172">
        <f>VLOOKUP($B38,'Data-PC'!$B$13:$AP$79,40,FALSE)</f>
        <v>14.211</v>
      </c>
      <c r="AR38" s="170">
        <f>VLOOKUP($B38,'Data-PC'!$B$13:$AP$79,41,FALSE)*C38</f>
        <v>22.428368640000002</v>
      </c>
      <c r="AS38" s="171">
        <f>VLOOKUP($B38,'Data-PC'!$B$13:$AX$79,42,FALSE)</f>
        <v>0</v>
      </c>
      <c r="AT38" s="169">
        <f>VLOOKUP($B38,'Data-PC'!$B$13:$AX$79,43,FALSE)</f>
        <v>0</v>
      </c>
      <c r="AU38" s="169">
        <f>VLOOKUP($B38,'Data-PC'!$B$13:$AX$79,44,FALSE)</f>
        <v>1380</v>
      </c>
      <c r="AV38" s="170">
        <f>VLOOKUP($B38,'Data-PC'!$B$13:$AX$79,45,FALSE)*C38</f>
        <v>0</v>
      </c>
      <c r="AW38" s="171">
        <f>VLOOKUP($B38,'Data-PC'!$B$13:$AX$79,46,FALSE)</f>
        <v>0</v>
      </c>
      <c r="AX38" s="169">
        <f>VLOOKUP($B38,'Data-PC'!$B$13:$AX$79,47,FALSE)</f>
        <v>0</v>
      </c>
      <c r="AY38" s="169">
        <f>VLOOKUP($B38,'Data-PC'!$B$19:$AX$79,48,FALSE)</f>
        <v>0</v>
      </c>
      <c r="AZ38" s="170">
        <f>VLOOKUP($B38,'Data-PC'!$B$13:$AX$79,49,FALSE)*C38</f>
        <v>0</v>
      </c>
      <c r="BA38" s="167">
        <f t="shared" si="4"/>
        <v>81.862344731903633</v>
      </c>
    </row>
    <row r="39" spans="1:53" s="173" customFormat="1" ht="12">
      <c r="A39" s="158">
        <f t="shared" si="5"/>
        <v>28</v>
      </c>
      <c r="B39" s="159" t="s">
        <v>104</v>
      </c>
      <c r="C39" s="160">
        <v>1</v>
      </c>
      <c r="D39" s="1835"/>
      <c r="E39" s="161">
        <f>D39-(G39+'Data-PC'!$D$5)/1000</f>
        <v>-0.65</v>
      </c>
      <c r="F39" s="162">
        <f>VLOOKUP(B39,'Data-PC'!$B$13:$AP$56,15,FALSE)</f>
        <v>3.173988</v>
      </c>
      <c r="G39" s="163">
        <f>VLOOKUP(B39,'Data-PC'!$B$13:$G$56,4,FALSE)</f>
        <v>600</v>
      </c>
      <c r="H39" s="164">
        <f>C39*VLOOKUP(B39,'Data-PC'!$B$13:$BC$56,18,FALSE)</f>
        <v>3</v>
      </c>
      <c r="I39" s="164">
        <f>C39*VLOOKUP(B39,'Data-PC'!$B$13:$BC$56,51,FALSE)</f>
        <v>0</v>
      </c>
      <c r="J39" s="165">
        <f>F39*C39*'Data-PC'!$D$5/1000</f>
        <v>0.15869939999999999</v>
      </c>
      <c r="K39" s="165">
        <f>F39*('Data-PC'!$D$4/1000)*C39</f>
        <v>0</v>
      </c>
      <c r="L39" s="166">
        <f t="shared" si="1"/>
        <v>2.0630922000000003</v>
      </c>
      <c r="M39" s="165">
        <f t="shared" si="2"/>
        <v>1.4016000000000002</v>
      </c>
      <c r="N39" s="165"/>
      <c r="O39" s="165"/>
      <c r="P39" s="165"/>
      <c r="Q39" s="165"/>
      <c r="R39" s="165"/>
      <c r="S39" s="165">
        <f t="shared" si="3"/>
        <v>0.66149220000000009</v>
      </c>
      <c r="T39" s="167">
        <f>C39*VLOOKUP(B39,'Data-PC'!$B$13:$AP$56,16,FALSE)*(1+'Data-PC'!$T$3/100)</f>
        <v>0.50279280000000004</v>
      </c>
      <c r="U39" s="167">
        <f>C39*VLOOKUP(B39,'Data-PC'!$B$13:$AP$56,17,FALSE)*(1+'Data-PC'!$T$5/100)</f>
        <v>2.1885809864534869</v>
      </c>
      <c r="V39" s="168">
        <f>VLOOKUP($B39,'Data-PC'!$B$13:$AP$79,19,FALSE)</f>
        <v>2</v>
      </c>
      <c r="W39" s="169">
        <f>VLOOKUP($B39,'Data-PC'!$B$13:$AP$79,20,FALSE)</f>
        <v>13</v>
      </c>
      <c r="X39" s="170">
        <f>VLOOKUP($B39,'Data-PC'!$B$13:$AP$79,21,FALSE)*C39</f>
        <v>7.1757432569036368</v>
      </c>
      <c r="Y39" s="171">
        <f>VLOOKUP($B39,'Data-PC'!$B$13:$AP$79,22,FALSE)</f>
        <v>13</v>
      </c>
      <c r="Z39" s="169">
        <f>VLOOKUP($B39,'Data-PC'!$B$13:$AP$79,23,FALSE)</f>
        <v>150</v>
      </c>
      <c r="AA39" s="169">
        <f>VLOOKUP($B39,'Data-PC'!$B$13:$AP$79,24,FALSE)</f>
        <v>8</v>
      </c>
      <c r="AB39" s="172">
        <f>VLOOKUP($B39,'Data-PC'!$B$13:$AP$79,25,FALSE)</f>
        <v>15.036</v>
      </c>
      <c r="AC39" s="170">
        <f>VLOOKUP($B39,'Data-PC'!$B$13:$AP$79,26,FALSE)*C39</f>
        <v>15.665782859999998</v>
      </c>
      <c r="AD39" s="171">
        <f>VLOOKUP($B39,'Data-PC'!$B$13:$AP$79,27,FALSE)</f>
        <v>13</v>
      </c>
      <c r="AE39" s="169">
        <f>VLOOKUP($B39,'Data-PC'!$B$13:$AP$79,28,FALSE)</f>
        <v>150</v>
      </c>
      <c r="AF39" s="169">
        <f>VLOOKUP($B39,'Data-PC'!$B$13:$AP$79,29,FALSE)</f>
        <v>8</v>
      </c>
      <c r="AG39" s="172">
        <f>VLOOKUP($B39,'Data-PC'!$B$13:$AP$79,30,FALSE)</f>
        <v>9.891</v>
      </c>
      <c r="AH39" s="170">
        <f>VLOOKUP($B39,'Data-PC'!$B$13:$AP$79,31,FALSE)*C39</f>
        <v>10.305284535</v>
      </c>
      <c r="AI39" s="171">
        <f>VLOOKUP($B39,'Data-PC'!$B$13:$AP$79,32,FALSE)</f>
        <v>16</v>
      </c>
      <c r="AJ39" s="169">
        <f>VLOOKUP($B39,'Data-PC'!$B$13:$AP$79,33,FALSE)</f>
        <v>150</v>
      </c>
      <c r="AK39" s="169">
        <f>VLOOKUP($B39,'Data-PC'!$B$13:$AP$79,34,FALSE)</f>
        <v>8</v>
      </c>
      <c r="AL39" s="172">
        <f>VLOOKUP($B39,'Data-PC'!$B$13:$AP$79,35,FALSE)</f>
        <v>16.655999999999999</v>
      </c>
      <c r="AM39" s="170">
        <f>VLOOKUP($B39,'Data-PC'!$B$13:$AP$79,36,FALSE)*C39</f>
        <v>26.287165439999999</v>
      </c>
      <c r="AN39" s="171">
        <f>VLOOKUP($B39,'Data-PC'!$B$13:$AP$79,37,FALSE)</f>
        <v>16</v>
      </c>
      <c r="AO39" s="169">
        <f>VLOOKUP($B39,'Data-PC'!$B$13:$AP$79,38,FALSE)</f>
        <v>150</v>
      </c>
      <c r="AP39" s="169">
        <f>VLOOKUP($B39,'Data-PC'!$B$13:$AP$79,39,FALSE)</f>
        <v>8</v>
      </c>
      <c r="AQ39" s="172">
        <f>VLOOKUP($B39,'Data-PC'!$B$13:$AP$79,40,FALSE)</f>
        <v>14.211</v>
      </c>
      <c r="AR39" s="170">
        <f>VLOOKUP($B39,'Data-PC'!$B$13:$AP$79,41,FALSE)*C39</f>
        <v>22.428368640000002</v>
      </c>
      <c r="AS39" s="171">
        <f>VLOOKUP($B39,'Data-PC'!$B$13:$AX$79,42,FALSE)</f>
        <v>0</v>
      </c>
      <c r="AT39" s="169">
        <f>VLOOKUP($B39,'Data-PC'!$B$13:$AX$79,43,FALSE)</f>
        <v>0</v>
      </c>
      <c r="AU39" s="169">
        <f>VLOOKUP($B39,'Data-PC'!$B$13:$AX$79,44,FALSE)</f>
        <v>1380</v>
      </c>
      <c r="AV39" s="170">
        <f>VLOOKUP($B39,'Data-PC'!$B$13:$AX$79,45,FALSE)*C39</f>
        <v>0</v>
      </c>
      <c r="AW39" s="171">
        <f>VLOOKUP($B39,'Data-PC'!$B$13:$AX$79,46,FALSE)</f>
        <v>0</v>
      </c>
      <c r="AX39" s="169">
        <f>VLOOKUP($B39,'Data-PC'!$B$13:$AX$79,47,FALSE)</f>
        <v>0</v>
      </c>
      <c r="AY39" s="169">
        <f>VLOOKUP($B39,'Data-PC'!$B$19:$AX$79,48,FALSE)</f>
        <v>0</v>
      </c>
      <c r="AZ39" s="170">
        <f>VLOOKUP($B39,'Data-PC'!$B$13:$AX$79,49,FALSE)*C39</f>
        <v>0</v>
      </c>
      <c r="BA39" s="167">
        <f t="shared" si="4"/>
        <v>81.862344731903633</v>
      </c>
    </row>
    <row r="40" spans="1:53" s="173" customFormat="1" ht="12">
      <c r="A40" s="158">
        <f t="shared" si="5"/>
        <v>29</v>
      </c>
      <c r="B40" s="159" t="s">
        <v>2304</v>
      </c>
      <c r="C40" s="160">
        <v>1</v>
      </c>
      <c r="D40" s="1835"/>
      <c r="E40" s="161">
        <f>D40-(G40+'Data-PC'!$D$5)/1000</f>
        <v>-0.55000000000000004</v>
      </c>
      <c r="F40" s="162">
        <f>VLOOKUP(B40,'Data-PC'!$B$13:$AP$56,15,FALSE)</f>
        <v>1.69</v>
      </c>
      <c r="G40" s="163">
        <f>VLOOKUP(B40,'Data-PC'!$B$13:$G$56,4,FALSE)</f>
        <v>500</v>
      </c>
      <c r="H40" s="164">
        <f>C40*VLOOKUP(B40,'Data-PC'!$B$13:$BC$56,18,FALSE)</f>
        <v>1</v>
      </c>
      <c r="I40" s="164">
        <f>C40*VLOOKUP(B40,'Data-PC'!$B$13:$BC$56,51,FALSE)</f>
        <v>0</v>
      </c>
      <c r="J40" s="165">
        <f>F40*C40*'Data-PC'!$D$5/1000</f>
        <v>8.4500000000000006E-2</v>
      </c>
      <c r="K40" s="165">
        <f>F40*('Data-PC'!$D$4/1000)*C40</f>
        <v>0</v>
      </c>
      <c r="L40" s="166">
        <f t="shared" si="1"/>
        <v>0.92949999999999999</v>
      </c>
      <c r="M40" s="165">
        <f t="shared" si="2"/>
        <v>0.72</v>
      </c>
      <c r="N40" s="165"/>
      <c r="O40" s="165"/>
      <c r="P40" s="165"/>
      <c r="Q40" s="165"/>
      <c r="R40" s="165"/>
      <c r="S40" s="165">
        <f t="shared" si="3"/>
        <v>0.20950000000000002</v>
      </c>
      <c r="T40" s="167">
        <f>C40*VLOOKUP(B40,'Data-PC'!$B$13:$AP$56,16,FALSE)*(1+'Data-PC'!$T$3/100)</f>
        <v>0.125</v>
      </c>
      <c r="U40" s="167">
        <f>C40*VLOOKUP(B40,'Data-PC'!$B$13:$AP$56,17,FALSE)*(1+'Data-PC'!$T$5/100)</f>
        <v>1</v>
      </c>
      <c r="V40" s="168">
        <f>VLOOKUP($B40,'Data-PC'!$B$13:$AP$79,19,FALSE)</f>
        <v>2</v>
      </c>
      <c r="W40" s="169">
        <f>VLOOKUP($B40,'Data-PC'!$B$13:$AP$79,20,FALSE)</f>
        <v>13</v>
      </c>
      <c r="X40" s="170">
        <f>VLOOKUP($B40,'Data-PC'!$B$13:$AP$79,21,FALSE)*C40</f>
        <v>3.9925033199999995</v>
      </c>
      <c r="Y40" s="171">
        <f>VLOOKUP($B40,'Data-PC'!$B$13:$AP$79,22,FALSE)</f>
        <v>13</v>
      </c>
      <c r="Z40" s="169">
        <f>VLOOKUP($B40,'Data-PC'!$B$13:$AP$79,23,FALSE)</f>
        <v>125</v>
      </c>
      <c r="AA40" s="169">
        <f>VLOOKUP($B40,'Data-PC'!$B$13:$AP$79,24,FALSE)</f>
        <v>4</v>
      </c>
      <c r="AB40" s="172">
        <f>VLOOKUP($B40,'Data-PC'!$B$13:$AP$79,25,FALSE)</f>
        <v>3.52</v>
      </c>
      <c r="AC40" s="170">
        <f>VLOOKUP($B40,'Data-PC'!$B$13:$AP$79,26,FALSE)*C40</f>
        <v>3.6674351999999999</v>
      </c>
      <c r="AD40" s="171">
        <f>VLOOKUP($B40,'Data-PC'!$B$13:$AP$79,27,FALSE)</f>
        <v>13</v>
      </c>
      <c r="AE40" s="169">
        <f>VLOOKUP($B40,'Data-PC'!$B$13:$AP$79,28,FALSE)</f>
        <v>125</v>
      </c>
      <c r="AF40" s="169">
        <f>VLOOKUP($B40,'Data-PC'!$B$13:$AP$79,29,FALSE)</f>
        <v>4</v>
      </c>
      <c r="AG40" s="172">
        <f>VLOOKUP($B40,'Data-PC'!$B$13:$AP$79,30,FALSE)</f>
        <v>3.52</v>
      </c>
      <c r="AH40" s="170">
        <f>VLOOKUP($B40,'Data-PC'!$B$13:$AP$79,31,FALSE)*C40</f>
        <v>3.6674351999999999</v>
      </c>
      <c r="AI40" s="171">
        <f>VLOOKUP($B40,'Data-PC'!$B$13:$AP$79,32,FALSE)</f>
        <v>13</v>
      </c>
      <c r="AJ40" s="169">
        <f>VLOOKUP($B40,'Data-PC'!$B$13:$AP$79,33,FALSE)</f>
        <v>125</v>
      </c>
      <c r="AK40" s="169">
        <f>VLOOKUP($B40,'Data-PC'!$B$13:$AP$79,34,FALSE)</f>
        <v>4</v>
      </c>
      <c r="AL40" s="172">
        <f>VLOOKUP($B40,'Data-PC'!$B$13:$AP$79,35,FALSE)</f>
        <v>5.28</v>
      </c>
      <c r="AM40" s="170">
        <f>VLOOKUP($B40,'Data-PC'!$B$13:$AP$79,36,FALSE)*C40</f>
        <v>5.5011527999999998</v>
      </c>
      <c r="AN40" s="171">
        <f>VLOOKUP($B40,'Data-PC'!$B$13:$AP$79,37,FALSE)</f>
        <v>13</v>
      </c>
      <c r="AO40" s="169">
        <f>VLOOKUP($B40,'Data-PC'!$B$13:$AP$79,38,FALSE)</f>
        <v>125</v>
      </c>
      <c r="AP40" s="169">
        <f>VLOOKUP($B40,'Data-PC'!$B$13:$AP$79,39,FALSE)</f>
        <v>4</v>
      </c>
      <c r="AQ40" s="172">
        <f>VLOOKUP($B40,'Data-PC'!$B$13:$AP$79,40,FALSE)</f>
        <v>5.28</v>
      </c>
      <c r="AR40" s="170">
        <f>VLOOKUP($B40,'Data-PC'!$B$13:$AP$79,41,FALSE)*C40</f>
        <v>5.5011527999999998</v>
      </c>
      <c r="AS40" s="171">
        <f>VLOOKUP($B40,'Data-PC'!$B$13:$AX$79,42,FALSE)</f>
        <v>0</v>
      </c>
      <c r="AT40" s="169">
        <f>VLOOKUP($B40,'Data-PC'!$B$13:$AX$79,43,FALSE)</f>
        <v>0</v>
      </c>
      <c r="AU40" s="169">
        <f>VLOOKUP($B40,'Data-PC'!$B$13:$AX$79,44,FALSE)</f>
        <v>1180</v>
      </c>
      <c r="AV40" s="170">
        <f>VLOOKUP($B40,'Data-PC'!$B$13:$AX$79,45,FALSE)*C40</f>
        <v>0</v>
      </c>
      <c r="AW40" s="171">
        <f>VLOOKUP($B40,'Data-PC'!$B$13:$AX$79,46,FALSE)</f>
        <v>0</v>
      </c>
      <c r="AX40" s="169">
        <f>VLOOKUP($B40,'Data-PC'!$B$13:$AX$79,47,FALSE)</f>
        <v>0</v>
      </c>
      <c r="AY40" s="169" t="e">
        <f>VLOOKUP($B40,'Data-PC'!$B$19:$AX$79,48,FALSE)</f>
        <v>#N/A</v>
      </c>
      <c r="AZ40" s="170">
        <f>VLOOKUP($B40,'Data-PC'!$B$13:$AX$79,49,FALSE)*C40</f>
        <v>0</v>
      </c>
      <c r="BA40" s="167">
        <f t="shared" si="4"/>
        <v>22.329679319999997</v>
      </c>
    </row>
    <row r="41" spans="1:53" s="173" customFormat="1" ht="12">
      <c r="A41" s="158">
        <f t="shared" si="5"/>
        <v>30</v>
      </c>
      <c r="B41" s="159" t="s">
        <v>2304</v>
      </c>
      <c r="C41" s="160">
        <v>1</v>
      </c>
      <c r="D41" s="1835"/>
      <c r="E41" s="161">
        <f>D41-(G41+'Data-PC'!$D$5)/1000</f>
        <v>-0.55000000000000004</v>
      </c>
      <c r="F41" s="162">
        <f>VLOOKUP(B41,'Data-PC'!$B$13:$AP$56,15,FALSE)</f>
        <v>1.69</v>
      </c>
      <c r="G41" s="163">
        <f>VLOOKUP(B41,'Data-PC'!$B$13:$G$56,4,FALSE)</f>
        <v>500</v>
      </c>
      <c r="H41" s="164">
        <f>C41*VLOOKUP(B41,'Data-PC'!$B$13:$BC$56,18,FALSE)</f>
        <v>1</v>
      </c>
      <c r="I41" s="164">
        <f>C41*VLOOKUP(B41,'Data-PC'!$B$13:$BC$56,51,FALSE)</f>
        <v>0</v>
      </c>
      <c r="J41" s="165">
        <f>F41*C41*'Data-PC'!$D$5/1000</f>
        <v>8.4500000000000006E-2</v>
      </c>
      <c r="K41" s="165">
        <f>F41*('Data-PC'!$D$4/1000)*C41</f>
        <v>0</v>
      </c>
      <c r="L41" s="166">
        <f t="shared" si="1"/>
        <v>0.92949999999999999</v>
      </c>
      <c r="M41" s="165">
        <f t="shared" si="2"/>
        <v>0.72</v>
      </c>
      <c r="N41" s="165"/>
      <c r="O41" s="165"/>
      <c r="P41" s="165"/>
      <c r="Q41" s="165"/>
      <c r="R41" s="165"/>
      <c r="S41" s="165">
        <f t="shared" si="3"/>
        <v>0.20950000000000002</v>
      </c>
      <c r="T41" s="167">
        <f>C41*VLOOKUP(B41,'Data-PC'!$B$13:$AP$56,16,FALSE)*(1+'Data-PC'!$T$3/100)</f>
        <v>0.125</v>
      </c>
      <c r="U41" s="167">
        <f>C41*VLOOKUP(B41,'Data-PC'!$B$13:$AP$56,17,FALSE)*(1+'Data-PC'!$T$5/100)</f>
        <v>1</v>
      </c>
      <c r="V41" s="168">
        <f>VLOOKUP($B41,'Data-PC'!$B$13:$AP$79,19,FALSE)</f>
        <v>2</v>
      </c>
      <c r="W41" s="169">
        <f>VLOOKUP($B41,'Data-PC'!$B$13:$AP$79,20,FALSE)</f>
        <v>13</v>
      </c>
      <c r="X41" s="170">
        <f>VLOOKUP($B41,'Data-PC'!$B$13:$AP$79,21,FALSE)*C41</f>
        <v>3.9925033199999995</v>
      </c>
      <c r="Y41" s="171">
        <f>VLOOKUP($B41,'Data-PC'!$B$13:$AP$79,22,FALSE)</f>
        <v>13</v>
      </c>
      <c r="Z41" s="169">
        <f>VLOOKUP($B41,'Data-PC'!$B$13:$AP$79,23,FALSE)</f>
        <v>125</v>
      </c>
      <c r="AA41" s="169">
        <f>VLOOKUP($B41,'Data-PC'!$B$13:$AP$79,24,FALSE)</f>
        <v>4</v>
      </c>
      <c r="AB41" s="172">
        <f>VLOOKUP($B41,'Data-PC'!$B$13:$AP$79,25,FALSE)</f>
        <v>3.52</v>
      </c>
      <c r="AC41" s="170">
        <f>VLOOKUP($B41,'Data-PC'!$B$13:$AP$79,26,FALSE)*C41</f>
        <v>3.6674351999999999</v>
      </c>
      <c r="AD41" s="171">
        <f>VLOOKUP($B41,'Data-PC'!$B$13:$AP$79,27,FALSE)</f>
        <v>13</v>
      </c>
      <c r="AE41" s="169">
        <f>VLOOKUP($B41,'Data-PC'!$B$13:$AP$79,28,FALSE)</f>
        <v>125</v>
      </c>
      <c r="AF41" s="169">
        <f>VLOOKUP($B41,'Data-PC'!$B$13:$AP$79,29,FALSE)</f>
        <v>4</v>
      </c>
      <c r="AG41" s="172">
        <f>VLOOKUP($B41,'Data-PC'!$B$13:$AP$79,30,FALSE)</f>
        <v>3.52</v>
      </c>
      <c r="AH41" s="170">
        <f>VLOOKUP($B41,'Data-PC'!$B$13:$AP$79,31,FALSE)*C41</f>
        <v>3.6674351999999999</v>
      </c>
      <c r="AI41" s="171">
        <f>VLOOKUP($B41,'Data-PC'!$B$13:$AP$79,32,FALSE)</f>
        <v>13</v>
      </c>
      <c r="AJ41" s="169">
        <f>VLOOKUP($B41,'Data-PC'!$B$13:$AP$79,33,FALSE)</f>
        <v>125</v>
      </c>
      <c r="AK41" s="169">
        <f>VLOOKUP($B41,'Data-PC'!$B$13:$AP$79,34,FALSE)</f>
        <v>4</v>
      </c>
      <c r="AL41" s="172">
        <f>VLOOKUP($B41,'Data-PC'!$B$13:$AP$79,35,FALSE)</f>
        <v>5.28</v>
      </c>
      <c r="AM41" s="170">
        <f>VLOOKUP($B41,'Data-PC'!$B$13:$AP$79,36,FALSE)*C41</f>
        <v>5.5011527999999998</v>
      </c>
      <c r="AN41" s="171">
        <f>VLOOKUP($B41,'Data-PC'!$B$13:$AP$79,37,FALSE)</f>
        <v>13</v>
      </c>
      <c r="AO41" s="169">
        <f>VLOOKUP($B41,'Data-PC'!$B$13:$AP$79,38,FALSE)</f>
        <v>125</v>
      </c>
      <c r="AP41" s="169">
        <f>VLOOKUP($B41,'Data-PC'!$B$13:$AP$79,39,FALSE)</f>
        <v>4</v>
      </c>
      <c r="AQ41" s="172">
        <f>VLOOKUP($B41,'Data-PC'!$B$13:$AP$79,40,FALSE)</f>
        <v>5.28</v>
      </c>
      <c r="AR41" s="170">
        <f>VLOOKUP($B41,'Data-PC'!$B$13:$AP$79,41,FALSE)*C41</f>
        <v>5.5011527999999998</v>
      </c>
      <c r="AS41" s="171">
        <f>VLOOKUP($B41,'Data-PC'!$B$13:$AX$79,42,FALSE)</f>
        <v>0</v>
      </c>
      <c r="AT41" s="169">
        <f>VLOOKUP($B41,'Data-PC'!$B$13:$AX$79,43,FALSE)</f>
        <v>0</v>
      </c>
      <c r="AU41" s="169">
        <f>VLOOKUP($B41,'Data-PC'!$B$13:$AX$79,44,FALSE)</f>
        <v>1180</v>
      </c>
      <c r="AV41" s="170">
        <f>VLOOKUP($B41,'Data-PC'!$B$13:$AX$79,45,FALSE)*C41</f>
        <v>0</v>
      </c>
      <c r="AW41" s="171">
        <f>VLOOKUP($B41,'Data-PC'!$B$13:$AX$79,46,FALSE)</f>
        <v>0</v>
      </c>
      <c r="AX41" s="169">
        <f>VLOOKUP($B41,'Data-PC'!$B$13:$AX$79,47,FALSE)</f>
        <v>0</v>
      </c>
      <c r="AY41" s="169" t="e">
        <f>VLOOKUP($B41,'Data-PC'!$B$19:$AX$79,48,FALSE)</f>
        <v>#N/A</v>
      </c>
      <c r="AZ41" s="170">
        <f>VLOOKUP($B41,'Data-PC'!$B$13:$AX$79,49,FALSE)*C41</f>
        <v>0</v>
      </c>
      <c r="BA41" s="167">
        <f t="shared" si="4"/>
        <v>22.329679319999997</v>
      </c>
    </row>
    <row r="42" spans="1:53" s="173" customFormat="1" ht="12">
      <c r="A42" s="158">
        <f t="shared" si="5"/>
        <v>31</v>
      </c>
      <c r="B42" s="159" t="s">
        <v>2187</v>
      </c>
      <c r="C42" s="160">
        <v>1</v>
      </c>
      <c r="D42" s="1835"/>
      <c r="E42" s="161">
        <f>D42-(G42+'Data-PC'!$D$5)/1000</f>
        <v>-0.65</v>
      </c>
      <c r="F42" s="162">
        <f>VLOOKUP(B42,'Data-PC'!$B$13:$AP$56,15,FALSE)</f>
        <v>3.68</v>
      </c>
      <c r="G42" s="163">
        <f>VLOOKUP(B42,'Data-PC'!$B$13:$G$56,4,FALSE)</f>
        <v>600</v>
      </c>
      <c r="H42" s="164">
        <f>C42*VLOOKUP(B42,'Data-PC'!$B$13:$BC$56,18,FALSE)</f>
        <v>0</v>
      </c>
      <c r="I42" s="164">
        <f>C42*VLOOKUP(B42,'Data-PC'!$B$13:$BC$56,51,FALSE)</f>
        <v>2</v>
      </c>
      <c r="J42" s="165">
        <f>F42*C42*'Data-PC'!$D$5/1000</f>
        <v>0.184</v>
      </c>
      <c r="K42" s="165">
        <f>F42*('Data-PC'!$D$4/1000)*C42</f>
        <v>0</v>
      </c>
      <c r="L42" s="166">
        <f t="shared" si="1"/>
        <v>2.3920000000000003</v>
      </c>
      <c r="M42" s="165">
        <f t="shared" si="2"/>
        <v>1.4880000000000004</v>
      </c>
      <c r="N42" s="165"/>
      <c r="O42" s="165"/>
      <c r="P42" s="165"/>
      <c r="Q42" s="165"/>
      <c r="R42" s="165"/>
      <c r="S42" s="165">
        <f t="shared" si="3"/>
        <v>0.90399999999999991</v>
      </c>
      <c r="T42" s="167">
        <f>C42*VLOOKUP(B42,'Data-PC'!$B$13:$AP$56,16,FALSE)*(1+'Data-PC'!$T$3/100)</f>
        <v>0.72</v>
      </c>
      <c r="U42" s="167">
        <f>C42*VLOOKUP(B42,'Data-PC'!$B$13:$AP$56,17,FALSE)*(1+'Data-PC'!$T$5/100)</f>
        <v>2.76</v>
      </c>
      <c r="V42" s="168">
        <f>VLOOKUP($B42,'Data-PC'!$B$13:$AP$79,19,FALSE)</f>
        <v>2</v>
      </c>
      <c r="W42" s="169">
        <f>VLOOKUP($B42,'Data-PC'!$B$13:$AP$79,20,FALSE)</f>
        <v>13</v>
      </c>
      <c r="X42" s="170">
        <f>VLOOKUP($B42,'Data-PC'!$B$13:$AP$79,21,FALSE)*C42</f>
        <v>9.4103053199999973</v>
      </c>
      <c r="Y42" s="171">
        <f>VLOOKUP($B42,'Data-PC'!$B$13:$AP$79,22,FALSE)</f>
        <v>16</v>
      </c>
      <c r="Z42" s="169">
        <f>VLOOKUP($B42,'Data-PC'!$B$13:$AP$79,23,FALSE)</f>
        <v>100</v>
      </c>
      <c r="AA42" s="169">
        <f>VLOOKUP($B42,'Data-PC'!$B$13:$AP$79,24,FALSE)</f>
        <v>15</v>
      </c>
      <c r="AB42" s="172">
        <f>VLOOKUP($B42,'Data-PC'!$B$13:$AP$79,25,FALSE)</f>
        <v>19.2</v>
      </c>
      <c r="AC42" s="170">
        <f>VLOOKUP($B42,'Data-PC'!$B$13:$AP$79,26,FALSE)*C42</f>
        <v>30.302208</v>
      </c>
      <c r="AD42" s="171">
        <f>VLOOKUP($B42,'Data-PC'!$B$13:$AP$79,27,FALSE)</f>
        <v>13</v>
      </c>
      <c r="AE42" s="169">
        <f>VLOOKUP($B42,'Data-PC'!$B$13:$AP$79,28,FALSE)</f>
        <v>100</v>
      </c>
      <c r="AF42" s="169">
        <f>VLOOKUP($B42,'Data-PC'!$B$13:$AP$79,29,FALSE)</f>
        <v>8</v>
      </c>
      <c r="AG42" s="172">
        <f>VLOOKUP($B42,'Data-PC'!$B$13:$AP$79,30,FALSE)</f>
        <v>15.84</v>
      </c>
      <c r="AH42" s="170">
        <f>VLOOKUP($B42,'Data-PC'!$B$13:$AP$79,31,FALSE)*C42</f>
        <v>16.5034584</v>
      </c>
      <c r="AI42" s="171">
        <f>VLOOKUP($B42,'Data-PC'!$B$13:$AP$79,32,FALSE)</f>
        <v>16</v>
      </c>
      <c r="AJ42" s="169">
        <f>VLOOKUP($B42,'Data-PC'!$B$13:$AP$79,33,FALSE)</f>
        <v>100</v>
      </c>
      <c r="AK42" s="169">
        <f>VLOOKUP($B42,'Data-PC'!$B$13:$AP$79,34,FALSE)</f>
        <v>15</v>
      </c>
      <c r="AL42" s="172">
        <f>VLOOKUP($B42,'Data-PC'!$B$13:$AP$79,35,FALSE)</f>
        <v>27.3</v>
      </c>
      <c r="AM42" s="170">
        <f>VLOOKUP($B42,'Data-PC'!$B$13:$AP$79,36,FALSE)*C42</f>
        <v>43.085952000000006</v>
      </c>
      <c r="AN42" s="171">
        <f>VLOOKUP($B42,'Data-PC'!$B$13:$AP$79,37,FALSE)</f>
        <v>13</v>
      </c>
      <c r="AO42" s="169">
        <f>VLOOKUP($B42,'Data-PC'!$B$13:$AP$79,38,FALSE)</f>
        <v>100</v>
      </c>
      <c r="AP42" s="169">
        <f>VLOOKUP($B42,'Data-PC'!$B$13:$AP$79,39,FALSE)</f>
        <v>8</v>
      </c>
      <c r="AQ42" s="172">
        <f>VLOOKUP($B42,'Data-PC'!$B$13:$AP$79,40,FALSE)</f>
        <v>20.16</v>
      </c>
      <c r="AR42" s="170">
        <f>VLOOKUP($B42,'Data-PC'!$B$13:$AP$79,41,FALSE)*C42</f>
        <v>21.004401599999998</v>
      </c>
      <c r="AS42" s="171">
        <f>VLOOKUP($B42,'Data-PC'!$B$13:$AX$79,42,FALSE)</f>
        <v>0</v>
      </c>
      <c r="AT42" s="169">
        <f>VLOOKUP($B42,'Data-PC'!$B$13:$AX$79,43,FALSE)</f>
        <v>0</v>
      </c>
      <c r="AU42" s="169">
        <f>VLOOKUP($B42,'Data-PC'!$B$13:$AX$79,44,FALSE)</f>
        <v>1380</v>
      </c>
      <c r="AV42" s="170">
        <f>VLOOKUP($B42,'Data-PC'!$B$13:$AX$79,45,FALSE)*C42</f>
        <v>0</v>
      </c>
      <c r="AW42" s="171">
        <f>VLOOKUP($B42,'Data-PC'!$B$13:$AX$79,46,FALSE)</f>
        <v>0</v>
      </c>
      <c r="AX42" s="169">
        <f>VLOOKUP($B42,'Data-PC'!$B$13:$AX$79,47,FALSE)</f>
        <v>0</v>
      </c>
      <c r="AY42" s="169">
        <f>VLOOKUP($B42,'Data-PC'!$B$19:$AX$79,48,FALSE)</f>
        <v>0</v>
      </c>
      <c r="AZ42" s="170">
        <f>VLOOKUP($B42,'Data-PC'!$B$13:$AX$79,49,FALSE)*C42</f>
        <v>0</v>
      </c>
      <c r="BA42" s="167">
        <f t="shared" si="4"/>
        <v>120.30632532</v>
      </c>
    </row>
    <row r="43" spans="1:53" s="173" customFormat="1" ht="12">
      <c r="A43" s="158">
        <f t="shared" si="5"/>
        <v>32</v>
      </c>
      <c r="B43" s="159" t="s">
        <v>104</v>
      </c>
      <c r="C43" s="160">
        <v>1</v>
      </c>
      <c r="D43" s="1835"/>
      <c r="E43" s="161">
        <f>D43-(G43+'Data-PC'!$D$5)/1000</f>
        <v>-0.65</v>
      </c>
      <c r="F43" s="162">
        <f>VLOOKUP(B43,'Data-PC'!$B$13:$AP$56,15,FALSE)</f>
        <v>3.173988</v>
      </c>
      <c r="G43" s="163">
        <f>VLOOKUP(B43,'Data-PC'!$B$13:$G$56,4,FALSE)</f>
        <v>600</v>
      </c>
      <c r="H43" s="164">
        <f>C43*VLOOKUP(B43,'Data-PC'!$B$13:$BC$56,18,FALSE)</f>
        <v>3</v>
      </c>
      <c r="I43" s="164">
        <f>C43*VLOOKUP(B43,'Data-PC'!$B$13:$BC$56,51,FALSE)</f>
        <v>0</v>
      </c>
      <c r="J43" s="165">
        <f>F43*C43*'Data-PC'!$D$5/1000</f>
        <v>0.15869939999999999</v>
      </c>
      <c r="K43" s="165">
        <f>F43*('Data-PC'!$D$4/1000)*C43</f>
        <v>0</v>
      </c>
      <c r="L43" s="166">
        <f t="shared" si="1"/>
        <v>2.0630922000000003</v>
      </c>
      <c r="M43" s="165">
        <f t="shared" si="2"/>
        <v>1.4016000000000002</v>
      </c>
      <c r="N43" s="165"/>
      <c r="O43" s="165"/>
      <c r="P43" s="165"/>
      <c r="Q43" s="165"/>
      <c r="R43" s="165"/>
      <c r="S43" s="165">
        <f t="shared" si="3"/>
        <v>0.66149220000000009</v>
      </c>
      <c r="T43" s="167">
        <f>C43*VLOOKUP(B43,'Data-PC'!$B$13:$AP$56,16,FALSE)*(1+'Data-PC'!$T$3/100)</f>
        <v>0.50279280000000004</v>
      </c>
      <c r="U43" s="167">
        <f>C43*VLOOKUP(B43,'Data-PC'!$B$13:$AP$56,17,FALSE)*(1+'Data-PC'!$T$5/100)</f>
        <v>2.1885809864534869</v>
      </c>
      <c r="V43" s="168">
        <f>VLOOKUP($B43,'Data-PC'!$B$13:$AP$79,19,FALSE)</f>
        <v>2</v>
      </c>
      <c r="W43" s="169">
        <f>VLOOKUP($B43,'Data-PC'!$B$13:$AP$79,20,FALSE)</f>
        <v>13</v>
      </c>
      <c r="X43" s="170">
        <f>VLOOKUP($B43,'Data-PC'!$B$13:$AP$79,21,FALSE)*C43</f>
        <v>7.1757432569036368</v>
      </c>
      <c r="Y43" s="171">
        <f>VLOOKUP($B43,'Data-PC'!$B$13:$AP$79,22,FALSE)</f>
        <v>13</v>
      </c>
      <c r="Z43" s="169">
        <f>VLOOKUP($B43,'Data-PC'!$B$13:$AP$79,23,FALSE)</f>
        <v>150</v>
      </c>
      <c r="AA43" s="169">
        <f>VLOOKUP($B43,'Data-PC'!$B$13:$AP$79,24,FALSE)</f>
        <v>8</v>
      </c>
      <c r="AB43" s="172">
        <f>VLOOKUP($B43,'Data-PC'!$B$13:$AP$79,25,FALSE)</f>
        <v>15.036</v>
      </c>
      <c r="AC43" s="170">
        <f>VLOOKUP($B43,'Data-PC'!$B$13:$AP$79,26,FALSE)*C43</f>
        <v>15.665782859999998</v>
      </c>
      <c r="AD43" s="171">
        <f>VLOOKUP($B43,'Data-PC'!$B$13:$AP$79,27,FALSE)</f>
        <v>13</v>
      </c>
      <c r="AE43" s="169">
        <f>VLOOKUP($B43,'Data-PC'!$B$13:$AP$79,28,FALSE)</f>
        <v>150</v>
      </c>
      <c r="AF43" s="169">
        <f>VLOOKUP($B43,'Data-PC'!$B$13:$AP$79,29,FALSE)</f>
        <v>8</v>
      </c>
      <c r="AG43" s="172">
        <f>VLOOKUP($B43,'Data-PC'!$B$13:$AP$79,30,FALSE)</f>
        <v>9.891</v>
      </c>
      <c r="AH43" s="170">
        <f>VLOOKUP($B43,'Data-PC'!$B$13:$AP$79,31,FALSE)*C43</f>
        <v>10.305284535</v>
      </c>
      <c r="AI43" s="171">
        <f>VLOOKUP($B43,'Data-PC'!$B$13:$AP$79,32,FALSE)</f>
        <v>16</v>
      </c>
      <c r="AJ43" s="169">
        <f>VLOOKUP($B43,'Data-PC'!$B$13:$AP$79,33,FALSE)</f>
        <v>150</v>
      </c>
      <c r="AK43" s="169">
        <f>VLOOKUP($B43,'Data-PC'!$B$13:$AP$79,34,FALSE)</f>
        <v>8</v>
      </c>
      <c r="AL43" s="172">
        <f>VLOOKUP($B43,'Data-PC'!$B$13:$AP$79,35,FALSE)</f>
        <v>16.655999999999999</v>
      </c>
      <c r="AM43" s="170">
        <f>VLOOKUP($B43,'Data-PC'!$B$13:$AP$79,36,FALSE)*C43</f>
        <v>26.287165439999999</v>
      </c>
      <c r="AN43" s="171">
        <f>VLOOKUP($B43,'Data-PC'!$B$13:$AP$79,37,FALSE)</f>
        <v>16</v>
      </c>
      <c r="AO43" s="169">
        <f>VLOOKUP($B43,'Data-PC'!$B$13:$AP$79,38,FALSE)</f>
        <v>150</v>
      </c>
      <c r="AP43" s="169">
        <f>VLOOKUP($B43,'Data-PC'!$B$13:$AP$79,39,FALSE)</f>
        <v>8</v>
      </c>
      <c r="AQ43" s="172">
        <f>VLOOKUP($B43,'Data-PC'!$B$13:$AP$79,40,FALSE)</f>
        <v>14.211</v>
      </c>
      <c r="AR43" s="170">
        <f>VLOOKUP($B43,'Data-PC'!$B$13:$AP$79,41,FALSE)*C43</f>
        <v>22.428368640000002</v>
      </c>
      <c r="AS43" s="171">
        <f>VLOOKUP($B43,'Data-PC'!$B$13:$AX$79,42,FALSE)</f>
        <v>0</v>
      </c>
      <c r="AT43" s="169">
        <f>VLOOKUP($B43,'Data-PC'!$B$13:$AX$79,43,FALSE)</f>
        <v>0</v>
      </c>
      <c r="AU43" s="169">
        <f>VLOOKUP($B43,'Data-PC'!$B$13:$AX$79,44,FALSE)</f>
        <v>1380</v>
      </c>
      <c r="AV43" s="170">
        <f>VLOOKUP($B43,'Data-PC'!$B$13:$AX$79,45,FALSE)*C43</f>
        <v>0</v>
      </c>
      <c r="AW43" s="171">
        <f>VLOOKUP($B43,'Data-PC'!$B$13:$AX$79,46,FALSE)</f>
        <v>0</v>
      </c>
      <c r="AX43" s="169">
        <f>VLOOKUP($B43,'Data-PC'!$B$13:$AX$79,47,FALSE)</f>
        <v>0</v>
      </c>
      <c r="AY43" s="169">
        <f>VLOOKUP($B43,'Data-PC'!$B$19:$AX$79,48,FALSE)</f>
        <v>0</v>
      </c>
      <c r="AZ43" s="170">
        <f>VLOOKUP($B43,'Data-PC'!$B$13:$AX$79,49,FALSE)*C43</f>
        <v>0</v>
      </c>
      <c r="BA43" s="167">
        <f t="shared" si="4"/>
        <v>81.862344731903633</v>
      </c>
    </row>
    <row r="44" spans="1:53" s="173" customFormat="1" ht="12">
      <c r="A44" s="158">
        <f t="shared" si="5"/>
        <v>33</v>
      </c>
      <c r="B44" s="159" t="s">
        <v>2306</v>
      </c>
      <c r="C44" s="160">
        <v>1</v>
      </c>
      <c r="D44" s="1835"/>
      <c r="E44" s="161">
        <f>D44-(G44+'Data-PC'!$D$5)/1000</f>
        <v>-0.75</v>
      </c>
      <c r="F44" s="162">
        <f>VLOOKUP(B44,'Data-PC'!$B$13:$AP$56,15,FALSE)</f>
        <v>3.61</v>
      </c>
      <c r="G44" s="163">
        <f>VLOOKUP(B44,'Data-PC'!$B$13:$G$56,4,FALSE)</f>
        <v>700</v>
      </c>
      <c r="H44" s="164">
        <f>C44*VLOOKUP(B44,'Data-PC'!$B$13:$BC$56,18,FALSE)</f>
        <v>4</v>
      </c>
      <c r="I44" s="164">
        <f>C44*VLOOKUP(B44,'Data-PC'!$B$13:$BC$56,51,FALSE)</f>
        <v>0</v>
      </c>
      <c r="J44" s="165">
        <f>F44*C44*'Data-PC'!$D$5/1000</f>
        <v>0.18049999999999999</v>
      </c>
      <c r="K44" s="165">
        <f>F44*('Data-PC'!$D$4/1000)*C44</f>
        <v>0</v>
      </c>
      <c r="L44" s="166">
        <f t="shared" si="1"/>
        <v>2.7075</v>
      </c>
      <c r="M44" s="165">
        <f t="shared" si="2"/>
        <v>1.6800000000000002</v>
      </c>
      <c r="N44" s="165"/>
      <c r="O44" s="165"/>
      <c r="P44" s="165"/>
      <c r="Q44" s="165"/>
      <c r="R44" s="165"/>
      <c r="S44" s="165">
        <f t="shared" si="3"/>
        <v>1.0274999999999999</v>
      </c>
      <c r="T44" s="167">
        <f>C44*VLOOKUP(B44,'Data-PC'!$B$13:$AP$56,16,FALSE)*(1+'Data-PC'!$T$3/100)</f>
        <v>0.84699999999999998</v>
      </c>
      <c r="U44" s="167">
        <f>C44*VLOOKUP(B44,'Data-PC'!$B$13:$AP$56,17,FALSE)*(1+'Data-PC'!$T$5/100)</f>
        <v>3.0800000000000005</v>
      </c>
      <c r="V44" s="168">
        <f>VLOOKUP($B44,'Data-PC'!$B$13:$AP$79,19,FALSE)</f>
        <v>3</v>
      </c>
      <c r="W44" s="169">
        <f>VLOOKUP($B44,'Data-PC'!$B$13:$AP$79,20,FALSE)</f>
        <v>13</v>
      </c>
      <c r="X44" s="170">
        <f>VLOOKUP($B44,'Data-PC'!$B$13:$AP$79,21,FALSE)*C44</f>
        <v>13.490326979999999</v>
      </c>
      <c r="Y44" s="171">
        <f>VLOOKUP($B44,'Data-PC'!$B$13:$AP$79,22,FALSE)</f>
        <v>13</v>
      </c>
      <c r="Z44" s="169">
        <f>VLOOKUP($B44,'Data-PC'!$B$13:$AP$79,23,FALSE)</f>
        <v>137.5</v>
      </c>
      <c r="AA44" s="169">
        <f>VLOOKUP($B44,'Data-PC'!$B$13:$AP$79,24,FALSE)</f>
        <v>8</v>
      </c>
      <c r="AB44" s="172">
        <f>VLOOKUP($B44,'Data-PC'!$B$13:$AP$79,25,FALSE)</f>
        <v>13.44</v>
      </c>
      <c r="AC44" s="170">
        <f>VLOOKUP($B44,'Data-PC'!$B$13:$AP$79,26,FALSE)*C44</f>
        <v>14.002934399999999</v>
      </c>
      <c r="AD44" s="171">
        <f>VLOOKUP($B44,'Data-PC'!$B$13:$AP$79,27,FALSE)</f>
        <v>13</v>
      </c>
      <c r="AE44" s="169">
        <f>VLOOKUP($B44,'Data-PC'!$B$13:$AP$79,28,FALSE)</f>
        <v>137.5</v>
      </c>
      <c r="AF44" s="169">
        <f>VLOOKUP($B44,'Data-PC'!$B$13:$AP$79,29,FALSE)</f>
        <v>8</v>
      </c>
      <c r="AG44" s="172">
        <f>VLOOKUP($B44,'Data-PC'!$B$13:$AP$79,30,FALSE)</f>
        <v>13.44</v>
      </c>
      <c r="AH44" s="170">
        <f>VLOOKUP($B44,'Data-PC'!$B$13:$AP$79,31,FALSE)*C44</f>
        <v>14.002934399999999</v>
      </c>
      <c r="AI44" s="171">
        <f>VLOOKUP($B44,'Data-PC'!$B$13:$AP$79,32,FALSE)</f>
        <v>16</v>
      </c>
      <c r="AJ44" s="169">
        <f>VLOOKUP($B44,'Data-PC'!$B$13:$AP$79,33,FALSE)</f>
        <v>137.5</v>
      </c>
      <c r="AK44" s="169">
        <f>VLOOKUP($B44,'Data-PC'!$B$13:$AP$79,34,FALSE)</f>
        <v>8</v>
      </c>
      <c r="AL44" s="172">
        <f>VLOOKUP($B44,'Data-PC'!$B$13:$AP$79,35,FALSE)</f>
        <v>18.559999999999999</v>
      </c>
      <c r="AM44" s="170">
        <f>VLOOKUP($B44,'Data-PC'!$B$13:$AP$79,36,FALSE)*C44</f>
        <v>29.292134399999998</v>
      </c>
      <c r="AN44" s="171">
        <f>VLOOKUP($B44,'Data-PC'!$B$13:$AP$79,37,FALSE)</f>
        <v>16</v>
      </c>
      <c r="AO44" s="169">
        <f>VLOOKUP($B44,'Data-PC'!$B$13:$AP$79,38,FALSE)</f>
        <v>137.5</v>
      </c>
      <c r="AP44" s="169">
        <f>VLOOKUP($B44,'Data-PC'!$B$13:$AP$79,39,FALSE)</f>
        <v>8</v>
      </c>
      <c r="AQ44" s="172">
        <f>VLOOKUP($B44,'Data-PC'!$B$13:$AP$79,40,FALSE)</f>
        <v>18.559999999999999</v>
      </c>
      <c r="AR44" s="170">
        <f>VLOOKUP($B44,'Data-PC'!$B$13:$AP$79,41,FALSE)*C44</f>
        <v>29.292134399999998</v>
      </c>
      <c r="AS44" s="171">
        <f>VLOOKUP($B44,'Data-PC'!$B$13:$AX$79,42,FALSE)</f>
        <v>0</v>
      </c>
      <c r="AT44" s="169">
        <f>VLOOKUP($B44,'Data-PC'!$B$13:$AX$79,43,FALSE)</f>
        <v>0</v>
      </c>
      <c r="AU44" s="169">
        <f>VLOOKUP($B44,'Data-PC'!$B$13:$AX$79,44,FALSE)</f>
        <v>1580</v>
      </c>
      <c r="AV44" s="170">
        <f>VLOOKUP($B44,'Data-PC'!$B$13:$AX$79,45,FALSE)*C44</f>
        <v>0</v>
      </c>
      <c r="AW44" s="171">
        <f>VLOOKUP($B44,'Data-PC'!$B$13:$AX$79,46,FALSE)</f>
        <v>0</v>
      </c>
      <c r="AX44" s="169">
        <f>VLOOKUP($B44,'Data-PC'!$B$13:$AX$79,47,FALSE)</f>
        <v>0</v>
      </c>
      <c r="AY44" s="169" t="e">
        <f>VLOOKUP($B44,'Data-PC'!$B$19:$AX$79,48,FALSE)</f>
        <v>#N/A</v>
      </c>
      <c r="AZ44" s="170">
        <f>VLOOKUP($B44,'Data-PC'!$B$13:$AX$79,49,FALSE)*C44</f>
        <v>0</v>
      </c>
      <c r="BA44" s="167">
        <f t="shared" si="4"/>
        <v>100.08046458</v>
      </c>
    </row>
    <row r="45" spans="1:53" s="173" customFormat="1" ht="12">
      <c r="A45" s="158">
        <f t="shared" si="5"/>
        <v>34</v>
      </c>
      <c r="B45" s="159" t="s">
        <v>104</v>
      </c>
      <c r="C45" s="160">
        <v>1</v>
      </c>
      <c r="D45" s="1835"/>
      <c r="E45" s="161">
        <f>D45-(G45+'Data-PC'!$D$5)/1000</f>
        <v>-0.65</v>
      </c>
      <c r="F45" s="162">
        <f>VLOOKUP(B45,'Data-PC'!$B$13:$AP$56,15,FALSE)</f>
        <v>3.173988</v>
      </c>
      <c r="G45" s="163">
        <f>VLOOKUP(B45,'Data-PC'!$B$13:$G$56,4,FALSE)</f>
        <v>600</v>
      </c>
      <c r="H45" s="164">
        <f>C45*VLOOKUP(B45,'Data-PC'!$B$13:$BC$56,18,FALSE)</f>
        <v>3</v>
      </c>
      <c r="I45" s="164">
        <f>C45*VLOOKUP(B45,'Data-PC'!$B$13:$BC$56,51,FALSE)</f>
        <v>0</v>
      </c>
      <c r="J45" s="165">
        <f>F45*C45*'Data-PC'!$D$5/1000</f>
        <v>0.15869939999999999</v>
      </c>
      <c r="K45" s="165">
        <f>F45*('Data-PC'!$D$4/1000)*C45</f>
        <v>0</v>
      </c>
      <c r="L45" s="166">
        <f t="shared" si="1"/>
        <v>2.0630922000000003</v>
      </c>
      <c r="M45" s="165">
        <f t="shared" si="2"/>
        <v>1.4016000000000002</v>
      </c>
      <c r="N45" s="165"/>
      <c r="O45" s="165"/>
      <c r="P45" s="165"/>
      <c r="Q45" s="165"/>
      <c r="R45" s="165"/>
      <c r="S45" s="165">
        <f t="shared" si="3"/>
        <v>0.66149220000000009</v>
      </c>
      <c r="T45" s="167">
        <f>C45*VLOOKUP(B45,'Data-PC'!$B$13:$AP$56,16,FALSE)*(1+'Data-PC'!$T$3/100)</f>
        <v>0.50279280000000004</v>
      </c>
      <c r="U45" s="167">
        <f>C45*VLOOKUP(B45,'Data-PC'!$B$13:$AP$56,17,FALSE)*(1+'Data-PC'!$T$5/100)</f>
        <v>2.1885809864534869</v>
      </c>
      <c r="V45" s="168">
        <f>VLOOKUP($B45,'Data-PC'!$B$13:$AP$79,19,FALSE)</f>
        <v>2</v>
      </c>
      <c r="W45" s="169">
        <f>VLOOKUP($B45,'Data-PC'!$B$13:$AP$79,20,FALSE)</f>
        <v>13</v>
      </c>
      <c r="X45" s="170">
        <f>VLOOKUP($B45,'Data-PC'!$B$13:$AP$79,21,FALSE)*C45</f>
        <v>7.1757432569036368</v>
      </c>
      <c r="Y45" s="171">
        <f>VLOOKUP($B45,'Data-PC'!$B$13:$AP$79,22,FALSE)</f>
        <v>13</v>
      </c>
      <c r="Z45" s="169">
        <f>VLOOKUP($B45,'Data-PC'!$B$13:$AP$79,23,FALSE)</f>
        <v>150</v>
      </c>
      <c r="AA45" s="169">
        <f>VLOOKUP($B45,'Data-PC'!$B$13:$AP$79,24,FALSE)</f>
        <v>8</v>
      </c>
      <c r="AB45" s="172">
        <f>VLOOKUP($B45,'Data-PC'!$B$13:$AP$79,25,FALSE)</f>
        <v>15.036</v>
      </c>
      <c r="AC45" s="170">
        <f>VLOOKUP($B45,'Data-PC'!$B$13:$AP$79,26,FALSE)*C45</f>
        <v>15.665782859999998</v>
      </c>
      <c r="AD45" s="171">
        <f>VLOOKUP($B45,'Data-PC'!$B$13:$AP$79,27,FALSE)</f>
        <v>13</v>
      </c>
      <c r="AE45" s="169">
        <f>VLOOKUP($B45,'Data-PC'!$B$13:$AP$79,28,FALSE)</f>
        <v>150</v>
      </c>
      <c r="AF45" s="169">
        <f>VLOOKUP($B45,'Data-PC'!$B$13:$AP$79,29,FALSE)</f>
        <v>8</v>
      </c>
      <c r="AG45" s="172">
        <f>VLOOKUP($B45,'Data-PC'!$B$13:$AP$79,30,FALSE)</f>
        <v>9.891</v>
      </c>
      <c r="AH45" s="170">
        <f>VLOOKUP($B45,'Data-PC'!$B$13:$AP$79,31,FALSE)*C45</f>
        <v>10.305284535</v>
      </c>
      <c r="AI45" s="171">
        <f>VLOOKUP($B45,'Data-PC'!$B$13:$AP$79,32,FALSE)</f>
        <v>16</v>
      </c>
      <c r="AJ45" s="169">
        <f>VLOOKUP($B45,'Data-PC'!$B$13:$AP$79,33,FALSE)</f>
        <v>150</v>
      </c>
      <c r="AK45" s="169">
        <f>VLOOKUP($B45,'Data-PC'!$B$13:$AP$79,34,FALSE)</f>
        <v>8</v>
      </c>
      <c r="AL45" s="172">
        <f>VLOOKUP($B45,'Data-PC'!$B$13:$AP$79,35,FALSE)</f>
        <v>16.655999999999999</v>
      </c>
      <c r="AM45" s="170">
        <f>VLOOKUP($B45,'Data-PC'!$B$13:$AP$79,36,FALSE)*C45</f>
        <v>26.287165439999999</v>
      </c>
      <c r="AN45" s="171">
        <f>VLOOKUP($B45,'Data-PC'!$B$13:$AP$79,37,FALSE)</f>
        <v>16</v>
      </c>
      <c r="AO45" s="169">
        <f>VLOOKUP($B45,'Data-PC'!$B$13:$AP$79,38,FALSE)</f>
        <v>150</v>
      </c>
      <c r="AP45" s="169">
        <f>VLOOKUP($B45,'Data-PC'!$B$13:$AP$79,39,FALSE)</f>
        <v>8</v>
      </c>
      <c r="AQ45" s="172">
        <f>VLOOKUP($B45,'Data-PC'!$B$13:$AP$79,40,FALSE)</f>
        <v>14.211</v>
      </c>
      <c r="AR45" s="170">
        <f>VLOOKUP($B45,'Data-PC'!$B$13:$AP$79,41,FALSE)*C45</f>
        <v>22.428368640000002</v>
      </c>
      <c r="AS45" s="171">
        <f>VLOOKUP($B45,'Data-PC'!$B$13:$AX$79,42,FALSE)</f>
        <v>0</v>
      </c>
      <c r="AT45" s="169">
        <f>VLOOKUP($B45,'Data-PC'!$B$13:$AX$79,43,FALSE)</f>
        <v>0</v>
      </c>
      <c r="AU45" s="169">
        <f>VLOOKUP($B45,'Data-PC'!$B$13:$AX$79,44,FALSE)</f>
        <v>1380</v>
      </c>
      <c r="AV45" s="170">
        <f>VLOOKUP($B45,'Data-PC'!$B$13:$AX$79,45,FALSE)*C45</f>
        <v>0</v>
      </c>
      <c r="AW45" s="171">
        <f>VLOOKUP($B45,'Data-PC'!$B$13:$AX$79,46,FALSE)</f>
        <v>0</v>
      </c>
      <c r="AX45" s="169">
        <f>VLOOKUP($B45,'Data-PC'!$B$13:$AX$79,47,FALSE)</f>
        <v>0</v>
      </c>
      <c r="AY45" s="169">
        <f>VLOOKUP($B45,'Data-PC'!$B$19:$AX$79,48,FALSE)</f>
        <v>0</v>
      </c>
      <c r="AZ45" s="170">
        <f>VLOOKUP($B45,'Data-PC'!$B$13:$AX$79,49,FALSE)*C45</f>
        <v>0</v>
      </c>
      <c r="BA45" s="167">
        <f t="shared" si="4"/>
        <v>81.862344731903633</v>
      </c>
    </row>
    <row r="46" spans="1:53" s="173" customFormat="1" ht="12">
      <c r="A46" s="158">
        <f t="shared" si="5"/>
        <v>35</v>
      </c>
      <c r="B46" s="159" t="s">
        <v>2304</v>
      </c>
      <c r="C46" s="160">
        <v>1</v>
      </c>
      <c r="D46" s="1835"/>
      <c r="E46" s="161">
        <f>D46-(G46+'Data-PC'!$D$5)/1000</f>
        <v>-0.55000000000000004</v>
      </c>
      <c r="F46" s="162">
        <f>VLOOKUP(B46,'Data-PC'!$B$13:$AP$56,15,FALSE)</f>
        <v>1.69</v>
      </c>
      <c r="G46" s="163">
        <f>VLOOKUP(B46,'Data-PC'!$B$13:$G$56,4,FALSE)</f>
        <v>500</v>
      </c>
      <c r="H46" s="164">
        <f>C46*VLOOKUP(B46,'Data-PC'!$B$13:$BC$56,18,FALSE)</f>
        <v>1</v>
      </c>
      <c r="I46" s="164">
        <f>C46*VLOOKUP(B46,'Data-PC'!$B$13:$BC$56,51,FALSE)</f>
        <v>0</v>
      </c>
      <c r="J46" s="165">
        <f>F46*C46*'Data-PC'!$D$5/1000</f>
        <v>8.4500000000000006E-2</v>
      </c>
      <c r="K46" s="165">
        <f>F46*('Data-PC'!$D$4/1000)*C46</f>
        <v>0</v>
      </c>
      <c r="L46" s="166">
        <f t="shared" si="1"/>
        <v>0.92949999999999999</v>
      </c>
      <c r="M46" s="165">
        <f t="shared" si="2"/>
        <v>0.72</v>
      </c>
      <c r="N46" s="165"/>
      <c r="O46" s="165"/>
      <c r="P46" s="165"/>
      <c r="Q46" s="165"/>
      <c r="R46" s="165"/>
      <c r="S46" s="165">
        <f t="shared" si="3"/>
        <v>0.20950000000000002</v>
      </c>
      <c r="T46" s="167">
        <f>C46*VLOOKUP(B46,'Data-PC'!$B$13:$AP$56,16,FALSE)*(1+'Data-PC'!$T$3/100)</f>
        <v>0.125</v>
      </c>
      <c r="U46" s="167">
        <f>C46*VLOOKUP(B46,'Data-PC'!$B$13:$AP$56,17,FALSE)*(1+'Data-PC'!$T$5/100)</f>
        <v>1</v>
      </c>
      <c r="V46" s="168">
        <f>VLOOKUP($B46,'Data-PC'!$B$13:$AP$79,19,FALSE)</f>
        <v>2</v>
      </c>
      <c r="W46" s="169">
        <f>VLOOKUP($B46,'Data-PC'!$B$13:$AP$79,20,FALSE)</f>
        <v>13</v>
      </c>
      <c r="X46" s="170">
        <f>VLOOKUP($B46,'Data-PC'!$B$13:$AP$79,21,FALSE)*C46</f>
        <v>3.9925033199999995</v>
      </c>
      <c r="Y46" s="171">
        <f>VLOOKUP($B46,'Data-PC'!$B$13:$AP$79,22,FALSE)</f>
        <v>13</v>
      </c>
      <c r="Z46" s="169">
        <f>VLOOKUP($B46,'Data-PC'!$B$13:$AP$79,23,FALSE)</f>
        <v>125</v>
      </c>
      <c r="AA46" s="169">
        <f>VLOOKUP($B46,'Data-PC'!$B$13:$AP$79,24,FALSE)</f>
        <v>4</v>
      </c>
      <c r="AB46" s="172">
        <f>VLOOKUP($B46,'Data-PC'!$B$13:$AP$79,25,FALSE)</f>
        <v>3.52</v>
      </c>
      <c r="AC46" s="170">
        <f>VLOOKUP($B46,'Data-PC'!$B$13:$AP$79,26,FALSE)*C46</f>
        <v>3.6674351999999999</v>
      </c>
      <c r="AD46" s="171">
        <f>VLOOKUP($B46,'Data-PC'!$B$13:$AP$79,27,FALSE)</f>
        <v>13</v>
      </c>
      <c r="AE46" s="169">
        <f>VLOOKUP($B46,'Data-PC'!$B$13:$AP$79,28,FALSE)</f>
        <v>125</v>
      </c>
      <c r="AF46" s="169">
        <f>VLOOKUP($B46,'Data-PC'!$B$13:$AP$79,29,FALSE)</f>
        <v>4</v>
      </c>
      <c r="AG46" s="172">
        <f>VLOOKUP($B46,'Data-PC'!$B$13:$AP$79,30,FALSE)</f>
        <v>3.52</v>
      </c>
      <c r="AH46" s="170">
        <f>VLOOKUP($B46,'Data-PC'!$B$13:$AP$79,31,FALSE)*C46</f>
        <v>3.6674351999999999</v>
      </c>
      <c r="AI46" s="171">
        <f>VLOOKUP($B46,'Data-PC'!$B$13:$AP$79,32,FALSE)</f>
        <v>13</v>
      </c>
      <c r="AJ46" s="169">
        <f>VLOOKUP($B46,'Data-PC'!$B$13:$AP$79,33,FALSE)</f>
        <v>125</v>
      </c>
      <c r="AK46" s="169">
        <f>VLOOKUP($B46,'Data-PC'!$B$13:$AP$79,34,FALSE)</f>
        <v>4</v>
      </c>
      <c r="AL46" s="172">
        <f>VLOOKUP($B46,'Data-PC'!$B$13:$AP$79,35,FALSE)</f>
        <v>5.28</v>
      </c>
      <c r="AM46" s="170">
        <f>VLOOKUP($B46,'Data-PC'!$B$13:$AP$79,36,FALSE)*C46</f>
        <v>5.5011527999999998</v>
      </c>
      <c r="AN46" s="171">
        <f>VLOOKUP($B46,'Data-PC'!$B$13:$AP$79,37,FALSE)</f>
        <v>13</v>
      </c>
      <c r="AO46" s="169">
        <f>VLOOKUP($B46,'Data-PC'!$B$13:$AP$79,38,FALSE)</f>
        <v>125</v>
      </c>
      <c r="AP46" s="169">
        <f>VLOOKUP($B46,'Data-PC'!$B$13:$AP$79,39,FALSE)</f>
        <v>4</v>
      </c>
      <c r="AQ46" s="172">
        <f>VLOOKUP($B46,'Data-PC'!$B$13:$AP$79,40,FALSE)</f>
        <v>5.28</v>
      </c>
      <c r="AR46" s="170">
        <f>VLOOKUP($B46,'Data-PC'!$B$13:$AP$79,41,FALSE)*C46</f>
        <v>5.5011527999999998</v>
      </c>
      <c r="AS46" s="171">
        <f>VLOOKUP($B46,'Data-PC'!$B$13:$AX$79,42,FALSE)</f>
        <v>0</v>
      </c>
      <c r="AT46" s="169">
        <f>VLOOKUP($B46,'Data-PC'!$B$13:$AX$79,43,FALSE)</f>
        <v>0</v>
      </c>
      <c r="AU46" s="169">
        <f>VLOOKUP($B46,'Data-PC'!$B$13:$AX$79,44,FALSE)</f>
        <v>1180</v>
      </c>
      <c r="AV46" s="170">
        <f>VLOOKUP($B46,'Data-PC'!$B$13:$AX$79,45,FALSE)*C46</f>
        <v>0</v>
      </c>
      <c r="AW46" s="171">
        <f>VLOOKUP($B46,'Data-PC'!$B$13:$AX$79,46,FALSE)</f>
        <v>0</v>
      </c>
      <c r="AX46" s="169">
        <f>VLOOKUP($B46,'Data-PC'!$B$13:$AX$79,47,FALSE)</f>
        <v>0</v>
      </c>
      <c r="AY46" s="169" t="e">
        <f>VLOOKUP($B46,'Data-PC'!$B$19:$AX$79,48,FALSE)</f>
        <v>#N/A</v>
      </c>
      <c r="AZ46" s="170">
        <f>VLOOKUP($B46,'Data-PC'!$B$13:$AX$79,49,FALSE)*C46</f>
        <v>0</v>
      </c>
      <c r="BA46" s="167">
        <f t="shared" si="4"/>
        <v>22.329679319999997</v>
      </c>
    </row>
    <row r="47" spans="1:53" s="173" customFormat="1" ht="12">
      <c r="A47" s="158">
        <f t="shared" si="5"/>
        <v>36</v>
      </c>
      <c r="B47" s="159" t="s">
        <v>2304</v>
      </c>
      <c r="C47" s="160">
        <v>1</v>
      </c>
      <c r="D47" s="1835"/>
      <c r="E47" s="161">
        <f>D47-(G47+'Data-PC'!$D$5)/1000</f>
        <v>-0.55000000000000004</v>
      </c>
      <c r="F47" s="162">
        <f>VLOOKUP(B47,'Data-PC'!$B$13:$AP$56,15,FALSE)</f>
        <v>1.69</v>
      </c>
      <c r="G47" s="163">
        <f>VLOOKUP(B47,'Data-PC'!$B$13:$G$56,4,FALSE)</f>
        <v>500</v>
      </c>
      <c r="H47" s="164">
        <f>C47*VLOOKUP(B47,'Data-PC'!$B$13:$BC$56,18,FALSE)</f>
        <v>1</v>
      </c>
      <c r="I47" s="164">
        <f>C47*VLOOKUP(B47,'Data-PC'!$B$13:$BC$56,51,FALSE)</f>
        <v>0</v>
      </c>
      <c r="J47" s="165">
        <f>F47*C47*'Data-PC'!$D$5/1000</f>
        <v>8.4500000000000006E-2</v>
      </c>
      <c r="K47" s="165">
        <f>F47*('Data-PC'!$D$4/1000)*C47</f>
        <v>0</v>
      </c>
      <c r="L47" s="166">
        <f t="shared" si="1"/>
        <v>0.92949999999999999</v>
      </c>
      <c r="M47" s="165">
        <f t="shared" si="2"/>
        <v>0.72</v>
      </c>
      <c r="N47" s="165"/>
      <c r="O47" s="165"/>
      <c r="P47" s="165"/>
      <c r="Q47" s="165"/>
      <c r="R47" s="165"/>
      <c r="S47" s="165">
        <f t="shared" si="3"/>
        <v>0.20950000000000002</v>
      </c>
      <c r="T47" s="167">
        <f>C47*VLOOKUP(B47,'Data-PC'!$B$13:$AP$56,16,FALSE)*(1+'Data-PC'!$T$3/100)</f>
        <v>0.125</v>
      </c>
      <c r="U47" s="167">
        <f>C47*VLOOKUP(B47,'Data-PC'!$B$13:$AP$56,17,FALSE)*(1+'Data-PC'!$T$5/100)</f>
        <v>1</v>
      </c>
      <c r="V47" s="168">
        <f>VLOOKUP($B47,'Data-PC'!$B$13:$AP$79,19,FALSE)</f>
        <v>2</v>
      </c>
      <c r="W47" s="169">
        <f>VLOOKUP($B47,'Data-PC'!$B$13:$AP$79,20,FALSE)</f>
        <v>13</v>
      </c>
      <c r="X47" s="170">
        <f>VLOOKUP($B47,'Data-PC'!$B$13:$AP$79,21,FALSE)*C47</f>
        <v>3.9925033199999995</v>
      </c>
      <c r="Y47" s="171">
        <f>VLOOKUP($B47,'Data-PC'!$B$13:$AP$79,22,FALSE)</f>
        <v>13</v>
      </c>
      <c r="Z47" s="169">
        <f>VLOOKUP($B47,'Data-PC'!$B$13:$AP$79,23,FALSE)</f>
        <v>125</v>
      </c>
      <c r="AA47" s="169">
        <f>VLOOKUP($B47,'Data-PC'!$B$13:$AP$79,24,FALSE)</f>
        <v>4</v>
      </c>
      <c r="AB47" s="172">
        <f>VLOOKUP($B47,'Data-PC'!$B$13:$AP$79,25,FALSE)</f>
        <v>3.52</v>
      </c>
      <c r="AC47" s="170">
        <f>VLOOKUP($B47,'Data-PC'!$B$13:$AP$79,26,FALSE)*C47</f>
        <v>3.6674351999999999</v>
      </c>
      <c r="AD47" s="171">
        <f>VLOOKUP($B47,'Data-PC'!$B$13:$AP$79,27,FALSE)</f>
        <v>13</v>
      </c>
      <c r="AE47" s="169">
        <f>VLOOKUP($B47,'Data-PC'!$B$13:$AP$79,28,FALSE)</f>
        <v>125</v>
      </c>
      <c r="AF47" s="169">
        <f>VLOOKUP($B47,'Data-PC'!$B$13:$AP$79,29,FALSE)</f>
        <v>4</v>
      </c>
      <c r="AG47" s="172">
        <f>VLOOKUP($B47,'Data-PC'!$B$13:$AP$79,30,FALSE)</f>
        <v>3.52</v>
      </c>
      <c r="AH47" s="170">
        <f>VLOOKUP($B47,'Data-PC'!$B$13:$AP$79,31,FALSE)*C47</f>
        <v>3.6674351999999999</v>
      </c>
      <c r="AI47" s="171">
        <f>VLOOKUP($B47,'Data-PC'!$B$13:$AP$79,32,FALSE)</f>
        <v>13</v>
      </c>
      <c r="AJ47" s="169">
        <f>VLOOKUP($B47,'Data-PC'!$B$13:$AP$79,33,FALSE)</f>
        <v>125</v>
      </c>
      <c r="AK47" s="169">
        <f>VLOOKUP($B47,'Data-PC'!$B$13:$AP$79,34,FALSE)</f>
        <v>4</v>
      </c>
      <c r="AL47" s="172">
        <f>VLOOKUP($B47,'Data-PC'!$B$13:$AP$79,35,FALSE)</f>
        <v>5.28</v>
      </c>
      <c r="AM47" s="170">
        <f>VLOOKUP($B47,'Data-PC'!$B$13:$AP$79,36,FALSE)*C47</f>
        <v>5.5011527999999998</v>
      </c>
      <c r="AN47" s="171">
        <f>VLOOKUP($B47,'Data-PC'!$B$13:$AP$79,37,FALSE)</f>
        <v>13</v>
      </c>
      <c r="AO47" s="169">
        <f>VLOOKUP($B47,'Data-PC'!$B$13:$AP$79,38,FALSE)</f>
        <v>125</v>
      </c>
      <c r="AP47" s="169">
        <f>VLOOKUP($B47,'Data-PC'!$B$13:$AP$79,39,FALSE)</f>
        <v>4</v>
      </c>
      <c r="AQ47" s="172">
        <f>VLOOKUP($B47,'Data-PC'!$B$13:$AP$79,40,FALSE)</f>
        <v>5.28</v>
      </c>
      <c r="AR47" s="170">
        <f>VLOOKUP($B47,'Data-PC'!$B$13:$AP$79,41,FALSE)*C47</f>
        <v>5.5011527999999998</v>
      </c>
      <c r="AS47" s="171">
        <f>VLOOKUP($B47,'Data-PC'!$B$13:$AX$79,42,FALSE)</f>
        <v>0</v>
      </c>
      <c r="AT47" s="169">
        <f>VLOOKUP($B47,'Data-PC'!$B$13:$AX$79,43,FALSE)</f>
        <v>0</v>
      </c>
      <c r="AU47" s="169">
        <f>VLOOKUP($B47,'Data-PC'!$B$13:$AX$79,44,FALSE)</f>
        <v>1180</v>
      </c>
      <c r="AV47" s="170">
        <f>VLOOKUP($B47,'Data-PC'!$B$13:$AX$79,45,FALSE)*C47</f>
        <v>0</v>
      </c>
      <c r="AW47" s="171">
        <f>VLOOKUP($B47,'Data-PC'!$B$13:$AX$79,46,FALSE)</f>
        <v>0</v>
      </c>
      <c r="AX47" s="169">
        <f>VLOOKUP($B47,'Data-PC'!$B$13:$AX$79,47,FALSE)</f>
        <v>0</v>
      </c>
      <c r="AY47" s="169" t="e">
        <f>VLOOKUP($B47,'Data-PC'!$B$19:$AX$79,48,FALSE)</f>
        <v>#N/A</v>
      </c>
      <c r="AZ47" s="170">
        <f>VLOOKUP($B47,'Data-PC'!$B$13:$AX$79,49,FALSE)*C47</f>
        <v>0</v>
      </c>
      <c r="BA47" s="167">
        <f t="shared" si="4"/>
        <v>22.329679319999997</v>
      </c>
    </row>
    <row r="48" spans="1:53" s="173" customFormat="1" ht="12">
      <c r="A48" s="158">
        <f>A47+1</f>
        <v>37</v>
      </c>
      <c r="B48" s="159" t="s">
        <v>2186</v>
      </c>
      <c r="C48" s="160">
        <v>1</v>
      </c>
      <c r="D48" s="1835"/>
      <c r="E48" s="161">
        <f>D48-(G48+'Data-PC'!$D$5)/1000</f>
        <v>-0.65</v>
      </c>
      <c r="F48" s="162">
        <f>VLOOKUP(B48,'Data-PC'!$B$13:$AP$56,15,FALSE)</f>
        <v>2.2400000000000002</v>
      </c>
      <c r="G48" s="163">
        <f>VLOOKUP(B48,'Data-PC'!$B$13:$G$56,4,FALSE)</f>
        <v>600</v>
      </c>
      <c r="H48" s="164">
        <f>C48*VLOOKUP(B48,'Data-PC'!$B$13:$BC$56,18,FALSE)</f>
        <v>0</v>
      </c>
      <c r="I48" s="164">
        <f>C48*VLOOKUP(B48,'Data-PC'!$B$13:$BC$56,51,FALSE)</f>
        <v>1</v>
      </c>
      <c r="J48" s="165">
        <f>F48*C48*'Data-PC'!$D$5/1000</f>
        <v>0.11200000000000002</v>
      </c>
      <c r="K48" s="165">
        <f>F48*('Data-PC'!$D$4/1000)*C48</f>
        <v>0</v>
      </c>
      <c r="L48" s="166">
        <f t="shared" si="1"/>
        <v>1.4560000000000002</v>
      </c>
      <c r="M48" s="165">
        <f t="shared" si="2"/>
        <v>1.056</v>
      </c>
      <c r="N48" s="165"/>
      <c r="O48" s="165"/>
      <c r="P48" s="165"/>
      <c r="Q48" s="165"/>
      <c r="R48" s="165"/>
      <c r="S48" s="165">
        <f t="shared" si="3"/>
        <v>0.40000000000000013</v>
      </c>
      <c r="T48" s="167">
        <f>C48*VLOOKUP(B48,'Data-PC'!$B$13:$AP$56,16,FALSE)*(1+'Data-PC'!$T$3/100)</f>
        <v>0.28799999999999998</v>
      </c>
      <c r="U48" s="167">
        <f>C48*VLOOKUP(B48,'Data-PC'!$B$13:$AP$56,17,FALSE)*(1+'Data-PC'!$T$5/100)</f>
        <v>1.68</v>
      </c>
      <c r="V48" s="168">
        <f>VLOOKUP($B48,'Data-PC'!$B$13:$AP$79,19,FALSE)</f>
        <v>2</v>
      </c>
      <c r="W48" s="169">
        <f>VLOOKUP($B48,'Data-PC'!$B$13:$AP$79,20,FALSE)</f>
        <v>13</v>
      </c>
      <c r="X48" s="170">
        <f>VLOOKUP($B48,'Data-PC'!$B$13:$AP$79,21,FALSE)*C48</f>
        <v>5.6595193199999994</v>
      </c>
      <c r="Y48" s="171">
        <f>VLOOKUP($B48,'Data-PC'!$B$13:$AP$79,22,FALSE)</f>
        <v>16</v>
      </c>
      <c r="Z48" s="169">
        <f>VLOOKUP($B48,'Data-PC'!$B$13:$AP$79,23,FALSE)</f>
        <v>100</v>
      </c>
      <c r="AA48" s="169">
        <f>VLOOKUP($B48,'Data-PC'!$B$13:$AP$79,24,FALSE)</f>
        <v>6</v>
      </c>
      <c r="AB48" s="172">
        <f>VLOOKUP($B48,'Data-PC'!$B$13:$AP$79,25,FALSE)</f>
        <v>7.68</v>
      </c>
      <c r="AC48" s="170">
        <f>VLOOKUP($B48,'Data-PC'!$B$13:$AP$79,26,FALSE)*C48</f>
        <v>12.1208832</v>
      </c>
      <c r="AD48" s="171">
        <f>VLOOKUP($B48,'Data-PC'!$B$13:$AP$79,27,FALSE)</f>
        <v>13</v>
      </c>
      <c r="AE48" s="169">
        <f>VLOOKUP($B48,'Data-PC'!$B$13:$AP$79,28,FALSE)</f>
        <v>100</v>
      </c>
      <c r="AF48" s="169">
        <f>VLOOKUP($B48,'Data-PC'!$B$13:$AP$79,29,FALSE)</f>
        <v>8</v>
      </c>
      <c r="AG48" s="172">
        <f>VLOOKUP($B48,'Data-PC'!$B$13:$AP$79,30,FALSE)</f>
        <v>8.64</v>
      </c>
      <c r="AH48" s="170">
        <f>VLOOKUP($B48,'Data-PC'!$B$13:$AP$79,31,FALSE)*C48</f>
        <v>9.0018864000000001</v>
      </c>
      <c r="AI48" s="171">
        <f>VLOOKUP($B48,'Data-PC'!$B$13:$AP$79,32,FALSE)</f>
        <v>16</v>
      </c>
      <c r="AJ48" s="169">
        <f>VLOOKUP($B48,'Data-PC'!$B$13:$AP$79,33,FALSE)</f>
        <v>100</v>
      </c>
      <c r="AK48" s="169">
        <f>VLOOKUP($B48,'Data-PC'!$B$13:$AP$79,34,FALSE)</f>
        <v>6</v>
      </c>
      <c r="AL48" s="172">
        <f>VLOOKUP($B48,'Data-PC'!$B$13:$AP$79,35,FALSE)</f>
        <v>10.92</v>
      </c>
      <c r="AM48" s="170">
        <f>VLOOKUP($B48,'Data-PC'!$B$13:$AP$79,36,FALSE)*C48</f>
        <v>17.2343808</v>
      </c>
      <c r="AN48" s="171">
        <f>VLOOKUP($B48,'Data-PC'!$B$13:$AP$79,37,FALSE)</f>
        <v>13</v>
      </c>
      <c r="AO48" s="169">
        <f>VLOOKUP($B48,'Data-PC'!$B$13:$AP$79,38,FALSE)</f>
        <v>100</v>
      </c>
      <c r="AP48" s="169">
        <f>VLOOKUP($B48,'Data-PC'!$B$13:$AP$79,39,FALSE)</f>
        <v>8</v>
      </c>
      <c r="AQ48" s="172">
        <f>VLOOKUP($B48,'Data-PC'!$B$13:$AP$79,40,FALSE)</f>
        <v>12.96</v>
      </c>
      <c r="AR48" s="170">
        <f>VLOOKUP($B48,'Data-PC'!$B$13:$AP$79,41,FALSE)*C48</f>
        <v>13.5028296</v>
      </c>
      <c r="AS48" s="171">
        <f>VLOOKUP($B48,'Data-PC'!$B$13:$AX$79,42,FALSE)</f>
        <v>0</v>
      </c>
      <c r="AT48" s="169">
        <f>VLOOKUP($B48,'Data-PC'!$B$13:$AX$79,43,FALSE)</f>
        <v>0</v>
      </c>
      <c r="AU48" s="169">
        <f>VLOOKUP($B48,'Data-PC'!$B$13:$AX$79,44,FALSE)</f>
        <v>1380</v>
      </c>
      <c r="AV48" s="170">
        <f>VLOOKUP($B48,'Data-PC'!$B$13:$AX$79,45,FALSE)*C48</f>
        <v>0</v>
      </c>
      <c r="AW48" s="171">
        <f>VLOOKUP($B48,'Data-PC'!$B$13:$AX$79,46,FALSE)</f>
        <v>0</v>
      </c>
      <c r="AX48" s="169">
        <f>VLOOKUP($B48,'Data-PC'!$B$13:$AX$79,47,FALSE)</f>
        <v>0</v>
      </c>
      <c r="AY48" s="169">
        <f>VLOOKUP($B48,'Data-PC'!$B$19:$AX$79,48,FALSE)</f>
        <v>0</v>
      </c>
      <c r="AZ48" s="170">
        <f>VLOOKUP($B48,'Data-PC'!$B$13:$AX$79,49,FALSE)*C48</f>
        <v>0</v>
      </c>
      <c r="BA48" s="167">
        <f t="shared" si="4"/>
        <v>57.519499319999994</v>
      </c>
    </row>
    <row r="49" spans="1:57" s="173" customFormat="1" ht="12">
      <c r="A49" s="158">
        <f t="shared" si="5"/>
        <v>38</v>
      </c>
      <c r="B49" s="159" t="s">
        <v>2304</v>
      </c>
      <c r="C49" s="160">
        <v>1</v>
      </c>
      <c r="D49" s="1835"/>
      <c r="E49" s="161">
        <f>D49-(G49+'Data-PC'!$D$5)/1000</f>
        <v>-0.55000000000000004</v>
      </c>
      <c r="F49" s="162">
        <f>VLOOKUP(B49,'Data-PC'!$B$13:$AP$56,15,FALSE)</f>
        <v>1.69</v>
      </c>
      <c r="G49" s="163">
        <f>VLOOKUP(B49,'Data-PC'!$B$13:$G$56,4,FALSE)</f>
        <v>500</v>
      </c>
      <c r="H49" s="164">
        <f>C49*VLOOKUP(B49,'Data-PC'!$B$13:$BC$56,18,FALSE)</f>
        <v>1</v>
      </c>
      <c r="I49" s="164">
        <f>C49*VLOOKUP(B49,'Data-PC'!$B$13:$BC$56,51,FALSE)</f>
        <v>0</v>
      </c>
      <c r="J49" s="165">
        <f>F49*C49*'Data-PC'!$D$5/1000</f>
        <v>8.4500000000000006E-2</v>
      </c>
      <c r="K49" s="165">
        <f>F49*('Data-PC'!$D$4/1000)*C49</f>
        <v>0</v>
      </c>
      <c r="L49" s="166">
        <f t="shared" si="1"/>
        <v>0.92949999999999999</v>
      </c>
      <c r="M49" s="165">
        <f t="shared" si="2"/>
        <v>0.72</v>
      </c>
      <c r="N49" s="165"/>
      <c r="O49" s="165"/>
      <c r="P49" s="165"/>
      <c r="Q49" s="165"/>
      <c r="R49" s="165"/>
      <c r="S49" s="165">
        <f t="shared" si="3"/>
        <v>0.20950000000000002</v>
      </c>
      <c r="T49" s="167">
        <f>C49*VLOOKUP(B49,'Data-PC'!$B$13:$AP$56,16,FALSE)*(1+'Data-PC'!$T$3/100)</f>
        <v>0.125</v>
      </c>
      <c r="U49" s="167">
        <f>C49*VLOOKUP(B49,'Data-PC'!$B$13:$AP$56,17,FALSE)*(1+'Data-PC'!$T$5/100)</f>
        <v>1</v>
      </c>
      <c r="V49" s="168">
        <f>VLOOKUP($B49,'Data-PC'!$B$13:$AP$79,19,FALSE)</f>
        <v>2</v>
      </c>
      <c r="W49" s="169">
        <f>VLOOKUP($B49,'Data-PC'!$B$13:$AP$79,20,FALSE)</f>
        <v>13</v>
      </c>
      <c r="X49" s="170">
        <f>VLOOKUP($B49,'Data-PC'!$B$13:$AP$79,21,FALSE)*C49</f>
        <v>3.9925033199999995</v>
      </c>
      <c r="Y49" s="171">
        <f>VLOOKUP($B49,'Data-PC'!$B$13:$AP$79,22,FALSE)</f>
        <v>13</v>
      </c>
      <c r="Z49" s="169">
        <f>VLOOKUP($B49,'Data-PC'!$B$13:$AP$79,23,FALSE)</f>
        <v>125</v>
      </c>
      <c r="AA49" s="169">
        <f>VLOOKUP($B49,'Data-PC'!$B$13:$AP$79,24,FALSE)</f>
        <v>4</v>
      </c>
      <c r="AB49" s="172">
        <f>VLOOKUP($B49,'Data-PC'!$B$13:$AP$79,25,FALSE)</f>
        <v>3.52</v>
      </c>
      <c r="AC49" s="170">
        <f>VLOOKUP($B49,'Data-PC'!$B$13:$AP$79,26,FALSE)*C49</f>
        <v>3.6674351999999999</v>
      </c>
      <c r="AD49" s="171">
        <f>VLOOKUP($B49,'Data-PC'!$B$13:$AP$79,27,FALSE)</f>
        <v>13</v>
      </c>
      <c r="AE49" s="169">
        <f>VLOOKUP($B49,'Data-PC'!$B$13:$AP$79,28,FALSE)</f>
        <v>125</v>
      </c>
      <c r="AF49" s="169">
        <f>VLOOKUP($B49,'Data-PC'!$B$13:$AP$79,29,FALSE)</f>
        <v>4</v>
      </c>
      <c r="AG49" s="172">
        <f>VLOOKUP($B49,'Data-PC'!$B$13:$AP$79,30,FALSE)</f>
        <v>3.52</v>
      </c>
      <c r="AH49" s="170">
        <f>VLOOKUP($B49,'Data-PC'!$B$13:$AP$79,31,FALSE)*C49</f>
        <v>3.6674351999999999</v>
      </c>
      <c r="AI49" s="171">
        <f>VLOOKUP($B49,'Data-PC'!$B$13:$AP$79,32,FALSE)</f>
        <v>13</v>
      </c>
      <c r="AJ49" s="169">
        <f>VLOOKUP($B49,'Data-PC'!$B$13:$AP$79,33,FALSE)</f>
        <v>125</v>
      </c>
      <c r="AK49" s="169">
        <f>VLOOKUP($B49,'Data-PC'!$B$13:$AP$79,34,FALSE)</f>
        <v>4</v>
      </c>
      <c r="AL49" s="172">
        <f>VLOOKUP($B49,'Data-PC'!$B$13:$AP$79,35,FALSE)</f>
        <v>5.28</v>
      </c>
      <c r="AM49" s="170">
        <f>VLOOKUP($B49,'Data-PC'!$B$13:$AP$79,36,FALSE)*C49</f>
        <v>5.5011527999999998</v>
      </c>
      <c r="AN49" s="171">
        <f>VLOOKUP($B49,'Data-PC'!$B$13:$AP$79,37,FALSE)</f>
        <v>13</v>
      </c>
      <c r="AO49" s="169">
        <f>VLOOKUP($B49,'Data-PC'!$B$13:$AP$79,38,FALSE)</f>
        <v>125</v>
      </c>
      <c r="AP49" s="169">
        <f>VLOOKUP($B49,'Data-PC'!$B$13:$AP$79,39,FALSE)</f>
        <v>4</v>
      </c>
      <c r="AQ49" s="172">
        <f>VLOOKUP($B49,'Data-PC'!$B$13:$AP$79,40,FALSE)</f>
        <v>5.28</v>
      </c>
      <c r="AR49" s="170">
        <f>VLOOKUP($B49,'Data-PC'!$B$13:$AP$79,41,FALSE)*C49</f>
        <v>5.5011527999999998</v>
      </c>
      <c r="AS49" s="171">
        <f>VLOOKUP($B49,'Data-PC'!$B$13:$AX$79,42,FALSE)</f>
        <v>0</v>
      </c>
      <c r="AT49" s="169">
        <f>VLOOKUP($B49,'Data-PC'!$B$13:$AX$79,43,FALSE)</f>
        <v>0</v>
      </c>
      <c r="AU49" s="169">
        <f>VLOOKUP($B49,'Data-PC'!$B$13:$AX$79,44,FALSE)</f>
        <v>1180</v>
      </c>
      <c r="AV49" s="170">
        <f>VLOOKUP($B49,'Data-PC'!$B$13:$AX$79,45,FALSE)*C49</f>
        <v>0</v>
      </c>
      <c r="AW49" s="171">
        <f>VLOOKUP($B49,'Data-PC'!$B$13:$AX$79,46,FALSE)</f>
        <v>0</v>
      </c>
      <c r="AX49" s="169">
        <f>VLOOKUP($B49,'Data-PC'!$B$13:$AX$79,47,FALSE)</f>
        <v>0</v>
      </c>
      <c r="AY49" s="169" t="e">
        <f>VLOOKUP($B49,'Data-PC'!$B$19:$AX$79,48,FALSE)</f>
        <v>#N/A</v>
      </c>
      <c r="AZ49" s="170">
        <f>VLOOKUP($B49,'Data-PC'!$B$13:$AX$79,49,FALSE)*C49</f>
        <v>0</v>
      </c>
      <c r="BA49" s="167">
        <f t="shared" si="4"/>
        <v>22.329679319999997</v>
      </c>
    </row>
    <row r="50" spans="1:57" s="173" customFormat="1" ht="12">
      <c r="A50" s="158">
        <f t="shared" si="5"/>
        <v>39</v>
      </c>
      <c r="B50" s="159" t="s">
        <v>2304</v>
      </c>
      <c r="C50" s="160">
        <v>1</v>
      </c>
      <c r="D50" s="1835"/>
      <c r="E50" s="161">
        <f>D50-(G50+'Data-PC'!$D$5)/1000</f>
        <v>-0.55000000000000004</v>
      </c>
      <c r="F50" s="162">
        <f>VLOOKUP(B50,'Data-PC'!$B$13:$AP$56,15,FALSE)</f>
        <v>1.69</v>
      </c>
      <c r="G50" s="163">
        <f>VLOOKUP(B50,'Data-PC'!$B$13:$G$56,4,FALSE)</f>
        <v>500</v>
      </c>
      <c r="H50" s="164">
        <f>C50*VLOOKUP(B50,'Data-PC'!$B$13:$BC$56,18,FALSE)</f>
        <v>1</v>
      </c>
      <c r="I50" s="164">
        <f>C50*VLOOKUP(B50,'Data-PC'!$B$13:$BC$56,51,FALSE)</f>
        <v>0</v>
      </c>
      <c r="J50" s="165">
        <f>F50*C50*'Data-PC'!$D$5/1000</f>
        <v>8.4500000000000006E-2</v>
      </c>
      <c r="K50" s="165">
        <f>F50*('Data-PC'!$D$4/1000)*C50</f>
        <v>0</v>
      </c>
      <c r="L50" s="166">
        <f t="shared" si="1"/>
        <v>0.92949999999999999</v>
      </c>
      <c r="M50" s="165">
        <f t="shared" si="2"/>
        <v>0.72</v>
      </c>
      <c r="N50" s="165"/>
      <c r="O50" s="165"/>
      <c r="P50" s="165"/>
      <c r="Q50" s="165"/>
      <c r="R50" s="165"/>
      <c r="S50" s="165">
        <f t="shared" si="3"/>
        <v>0.20950000000000002</v>
      </c>
      <c r="T50" s="167">
        <f>C50*VLOOKUP(B50,'Data-PC'!$B$13:$AP$56,16,FALSE)*(1+'Data-PC'!$T$3/100)</f>
        <v>0.125</v>
      </c>
      <c r="U50" s="167">
        <f>C50*VLOOKUP(B50,'Data-PC'!$B$13:$AP$56,17,FALSE)*(1+'Data-PC'!$T$5/100)</f>
        <v>1</v>
      </c>
      <c r="V50" s="168">
        <f>VLOOKUP($B50,'Data-PC'!$B$13:$AP$79,19,FALSE)</f>
        <v>2</v>
      </c>
      <c r="W50" s="169">
        <f>VLOOKUP($B50,'Data-PC'!$B$13:$AP$79,20,FALSE)</f>
        <v>13</v>
      </c>
      <c r="X50" s="170">
        <f>VLOOKUP($B50,'Data-PC'!$B$13:$AP$79,21,FALSE)*C50</f>
        <v>3.9925033199999995</v>
      </c>
      <c r="Y50" s="171">
        <f>VLOOKUP($B50,'Data-PC'!$B$13:$AP$79,22,FALSE)</f>
        <v>13</v>
      </c>
      <c r="Z50" s="169">
        <f>VLOOKUP($B50,'Data-PC'!$B$13:$AP$79,23,FALSE)</f>
        <v>125</v>
      </c>
      <c r="AA50" s="169">
        <f>VLOOKUP($B50,'Data-PC'!$B$13:$AP$79,24,FALSE)</f>
        <v>4</v>
      </c>
      <c r="AB50" s="172">
        <f>VLOOKUP($B50,'Data-PC'!$B$13:$AP$79,25,FALSE)</f>
        <v>3.52</v>
      </c>
      <c r="AC50" s="170">
        <f>VLOOKUP($B50,'Data-PC'!$B$13:$AP$79,26,FALSE)*C50</f>
        <v>3.6674351999999999</v>
      </c>
      <c r="AD50" s="171">
        <f>VLOOKUP($B50,'Data-PC'!$B$13:$AP$79,27,FALSE)</f>
        <v>13</v>
      </c>
      <c r="AE50" s="169">
        <f>VLOOKUP($B50,'Data-PC'!$B$13:$AP$79,28,FALSE)</f>
        <v>125</v>
      </c>
      <c r="AF50" s="169">
        <f>VLOOKUP($B50,'Data-PC'!$B$13:$AP$79,29,FALSE)</f>
        <v>4</v>
      </c>
      <c r="AG50" s="172">
        <f>VLOOKUP($B50,'Data-PC'!$B$13:$AP$79,30,FALSE)</f>
        <v>3.52</v>
      </c>
      <c r="AH50" s="170">
        <f>VLOOKUP($B50,'Data-PC'!$B$13:$AP$79,31,FALSE)*C50</f>
        <v>3.6674351999999999</v>
      </c>
      <c r="AI50" s="171">
        <f>VLOOKUP($B50,'Data-PC'!$B$13:$AP$79,32,FALSE)</f>
        <v>13</v>
      </c>
      <c r="AJ50" s="169">
        <f>VLOOKUP($B50,'Data-PC'!$B$13:$AP$79,33,FALSE)</f>
        <v>125</v>
      </c>
      <c r="AK50" s="169">
        <f>VLOOKUP($B50,'Data-PC'!$B$13:$AP$79,34,FALSE)</f>
        <v>4</v>
      </c>
      <c r="AL50" s="172">
        <f>VLOOKUP($B50,'Data-PC'!$B$13:$AP$79,35,FALSE)</f>
        <v>5.28</v>
      </c>
      <c r="AM50" s="170">
        <f>VLOOKUP($B50,'Data-PC'!$B$13:$AP$79,36,FALSE)*C50</f>
        <v>5.5011527999999998</v>
      </c>
      <c r="AN50" s="171">
        <f>VLOOKUP($B50,'Data-PC'!$B$13:$AP$79,37,FALSE)</f>
        <v>13</v>
      </c>
      <c r="AO50" s="169">
        <f>VLOOKUP($B50,'Data-PC'!$B$13:$AP$79,38,FALSE)</f>
        <v>125</v>
      </c>
      <c r="AP50" s="169">
        <f>VLOOKUP($B50,'Data-PC'!$B$13:$AP$79,39,FALSE)</f>
        <v>4</v>
      </c>
      <c r="AQ50" s="172">
        <f>VLOOKUP($B50,'Data-PC'!$B$13:$AP$79,40,FALSE)</f>
        <v>5.28</v>
      </c>
      <c r="AR50" s="170">
        <f>VLOOKUP($B50,'Data-PC'!$B$13:$AP$79,41,FALSE)*C50</f>
        <v>5.5011527999999998</v>
      </c>
      <c r="AS50" s="171">
        <f>VLOOKUP($B50,'Data-PC'!$B$13:$AX$79,42,FALSE)</f>
        <v>0</v>
      </c>
      <c r="AT50" s="169">
        <f>VLOOKUP($B50,'Data-PC'!$B$13:$AX$79,43,FALSE)</f>
        <v>0</v>
      </c>
      <c r="AU50" s="169">
        <f>VLOOKUP($B50,'Data-PC'!$B$13:$AX$79,44,FALSE)</f>
        <v>1180</v>
      </c>
      <c r="AV50" s="170">
        <f>VLOOKUP($B50,'Data-PC'!$B$13:$AX$79,45,FALSE)*C50</f>
        <v>0</v>
      </c>
      <c r="AW50" s="171">
        <f>VLOOKUP($B50,'Data-PC'!$B$13:$AX$79,46,FALSE)</f>
        <v>0</v>
      </c>
      <c r="AX50" s="169">
        <f>VLOOKUP($B50,'Data-PC'!$B$13:$AX$79,47,FALSE)</f>
        <v>0</v>
      </c>
      <c r="AY50" s="169" t="e">
        <f>VLOOKUP($B50,'Data-PC'!$B$19:$AX$79,48,FALSE)</f>
        <v>#N/A</v>
      </c>
      <c r="AZ50" s="170">
        <f>VLOOKUP($B50,'Data-PC'!$B$13:$AX$79,49,FALSE)*C50</f>
        <v>0</v>
      </c>
      <c r="BA50" s="167">
        <f t="shared" si="4"/>
        <v>22.329679319999997</v>
      </c>
    </row>
    <row r="51" spans="1:57" s="173" customFormat="1" ht="12">
      <c r="A51" s="158">
        <f t="shared" si="5"/>
        <v>40</v>
      </c>
      <c r="B51" s="159" t="s">
        <v>2304</v>
      </c>
      <c r="C51" s="160">
        <v>1</v>
      </c>
      <c r="D51" s="1835"/>
      <c r="E51" s="161">
        <f>D51-(G51+'Data-PC'!$D$5)/1000</f>
        <v>-0.55000000000000004</v>
      </c>
      <c r="F51" s="162">
        <f>VLOOKUP(B51,'Data-PC'!$B$13:$AP$56,15,FALSE)</f>
        <v>1.69</v>
      </c>
      <c r="G51" s="163">
        <f>VLOOKUP(B51,'Data-PC'!$B$13:$G$56,4,FALSE)</f>
        <v>500</v>
      </c>
      <c r="H51" s="164">
        <f>C51*VLOOKUP(B51,'Data-PC'!$B$13:$BC$56,18,FALSE)</f>
        <v>1</v>
      </c>
      <c r="I51" s="164">
        <f>C51*VLOOKUP(B51,'Data-PC'!$B$13:$BC$56,51,FALSE)</f>
        <v>0</v>
      </c>
      <c r="J51" s="165">
        <f>F51*C51*'Data-PC'!$D$5/1000</f>
        <v>8.4500000000000006E-2</v>
      </c>
      <c r="K51" s="165">
        <f>F51*('Data-PC'!$D$4/1000)*C51</f>
        <v>0</v>
      </c>
      <c r="L51" s="166">
        <f t="shared" si="1"/>
        <v>0.92949999999999999</v>
      </c>
      <c r="M51" s="165">
        <f t="shared" si="2"/>
        <v>0.72</v>
      </c>
      <c r="N51" s="165"/>
      <c r="O51" s="165"/>
      <c r="P51" s="165"/>
      <c r="Q51" s="165"/>
      <c r="R51" s="165"/>
      <c r="S51" s="165">
        <f t="shared" si="3"/>
        <v>0.20950000000000002</v>
      </c>
      <c r="T51" s="167">
        <f>C51*VLOOKUP(B51,'Data-PC'!$B$13:$AP$56,16,FALSE)*(1+'Data-PC'!$T$3/100)</f>
        <v>0.125</v>
      </c>
      <c r="U51" s="167">
        <f>C51*VLOOKUP(B51,'Data-PC'!$B$13:$AP$56,17,FALSE)*(1+'Data-PC'!$T$5/100)</f>
        <v>1</v>
      </c>
      <c r="V51" s="168">
        <f>VLOOKUP($B51,'Data-PC'!$B$13:$AP$79,19,FALSE)</f>
        <v>2</v>
      </c>
      <c r="W51" s="169">
        <f>VLOOKUP($B51,'Data-PC'!$B$13:$AP$79,20,FALSE)</f>
        <v>13</v>
      </c>
      <c r="X51" s="170">
        <f>VLOOKUP($B51,'Data-PC'!$B$13:$AP$79,21,FALSE)*C51</f>
        <v>3.9925033199999995</v>
      </c>
      <c r="Y51" s="171">
        <f>VLOOKUP($B51,'Data-PC'!$B$13:$AP$79,22,FALSE)</f>
        <v>13</v>
      </c>
      <c r="Z51" s="169">
        <f>VLOOKUP($B51,'Data-PC'!$B$13:$AP$79,23,FALSE)</f>
        <v>125</v>
      </c>
      <c r="AA51" s="169">
        <f>VLOOKUP($B51,'Data-PC'!$B$13:$AP$79,24,FALSE)</f>
        <v>4</v>
      </c>
      <c r="AB51" s="172">
        <f>VLOOKUP($B51,'Data-PC'!$B$13:$AP$79,25,FALSE)</f>
        <v>3.52</v>
      </c>
      <c r="AC51" s="170">
        <f>VLOOKUP($B51,'Data-PC'!$B$13:$AP$79,26,FALSE)*C51</f>
        <v>3.6674351999999999</v>
      </c>
      <c r="AD51" s="171">
        <f>VLOOKUP($B51,'Data-PC'!$B$13:$AP$79,27,FALSE)</f>
        <v>13</v>
      </c>
      <c r="AE51" s="169">
        <f>VLOOKUP($B51,'Data-PC'!$B$13:$AP$79,28,FALSE)</f>
        <v>125</v>
      </c>
      <c r="AF51" s="169">
        <f>VLOOKUP($B51,'Data-PC'!$B$13:$AP$79,29,FALSE)</f>
        <v>4</v>
      </c>
      <c r="AG51" s="172">
        <f>VLOOKUP($B51,'Data-PC'!$B$13:$AP$79,30,FALSE)</f>
        <v>3.52</v>
      </c>
      <c r="AH51" s="170">
        <f>VLOOKUP($B51,'Data-PC'!$B$13:$AP$79,31,FALSE)*C51</f>
        <v>3.6674351999999999</v>
      </c>
      <c r="AI51" s="171">
        <f>VLOOKUP($B51,'Data-PC'!$B$13:$AP$79,32,FALSE)</f>
        <v>13</v>
      </c>
      <c r="AJ51" s="169">
        <f>VLOOKUP($B51,'Data-PC'!$B$13:$AP$79,33,FALSE)</f>
        <v>125</v>
      </c>
      <c r="AK51" s="169">
        <f>VLOOKUP($B51,'Data-PC'!$B$13:$AP$79,34,FALSE)</f>
        <v>4</v>
      </c>
      <c r="AL51" s="172">
        <f>VLOOKUP($B51,'Data-PC'!$B$13:$AP$79,35,FALSE)</f>
        <v>5.28</v>
      </c>
      <c r="AM51" s="170">
        <f>VLOOKUP($B51,'Data-PC'!$B$13:$AP$79,36,FALSE)*C51</f>
        <v>5.5011527999999998</v>
      </c>
      <c r="AN51" s="171">
        <f>VLOOKUP($B51,'Data-PC'!$B$13:$AP$79,37,FALSE)</f>
        <v>13</v>
      </c>
      <c r="AO51" s="169">
        <f>VLOOKUP($B51,'Data-PC'!$B$13:$AP$79,38,FALSE)</f>
        <v>125</v>
      </c>
      <c r="AP51" s="169">
        <f>VLOOKUP($B51,'Data-PC'!$B$13:$AP$79,39,FALSE)</f>
        <v>4</v>
      </c>
      <c r="AQ51" s="172">
        <f>VLOOKUP($B51,'Data-PC'!$B$13:$AP$79,40,FALSE)</f>
        <v>5.28</v>
      </c>
      <c r="AR51" s="170">
        <f>VLOOKUP($B51,'Data-PC'!$B$13:$AP$79,41,FALSE)*C51</f>
        <v>5.5011527999999998</v>
      </c>
      <c r="AS51" s="171">
        <f>VLOOKUP($B51,'Data-PC'!$B$13:$AX$79,42,FALSE)</f>
        <v>0</v>
      </c>
      <c r="AT51" s="169">
        <f>VLOOKUP($B51,'Data-PC'!$B$13:$AX$79,43,FALSE)</f>
        <v>0</v>
      </c>
      <c r="AU51" s="169">
        <f>VLOOKUP($B51,'Data-PC'!$B$13:$AX$79,44,FALSE)</f>
        <v>1180</v>
      </c>
      <c r="AV51" s="170">
        <f>VLOOKUP($B51,'Data-PC'!$B$13:$AX$79,45,FALSE)*C51</f>
        <v>0</v>
      </c>
      <c r="AW51" s="171">
        <f>VLOOKUP($B51,'Data-PC'!$B$13:$AX$79,46,FALSE)</f>
        <v>0</v>
      </c>
      <c r="AX51" s="169">
        <f>VLOOKUP($B51,'Data-PC'!$B$13:$AX$79,47,FALSE)</f>
        <v>0</v>
      </c>
      <c r="AY51" s="169" t="e">
        <f>VLOOKUP($B51,'Data-PC'!$B$19:$AX$79,48,FALSE)</f>
        <v>#N/A</v>
      </c>
      <c r="AZ51" s="170">
        <f>VLOOKUP($B51,'Data-PC'!$B$13:$AX$79,49,FALSE)*C51</f>
        <v>0</v>
      </c>
      <c r="BA51" s="167">
        <f t="shared" si="4"/>
        <v>22.329679319999997</v>
      </c>
    </row>
    <row r="52" spans="1:57" s="173" customFormat="1" ht="12">
      <c r="A52" s="158">
        <f t="shared" si="5"/>
        <v>41</v>
      </c>
      <c r="B52" s="159" t="s">
        <v>2186</v>
      </c>
      <c r="C52" s="160">
        <v>1</v>
      </c>
      <c r="D52" s="1835"/>
      <c r="E52" s="161">
        <f>D52-(G52+'Data-PC'!$D$5)/1000</f>
        <v>-0.65</v>
      </c>
      <c r="F52" s="162">
        <f>VLOOKUP(B52,'Data-PC'!$B$13:$AP$56,15,FALSE)</f>
        <v>2.2400000000000002</v>
      </c>
      <c r="G52" s="163">
        <f>VLOOKUP(B52,'Data-PC'!$B$13:$G$56,4,FALSE)</f>
        <v>600</v>
      </c>
      <c r="H52" s="164">
        <f>C52*VLOOKUP(B52,'Data-PC'!$B$13:$BC$56,18,FALSE)</f>
        <v>0</v>
      </c>
      <c r="I52" s="164">
        <f>C52*VLOOKUP(B52,'Data-PC'!$B$13:$BC$56,51,FALSE)</f>
        <v>1</v>
      </c>
      <c r="J52" s="165">
        <f>F52*C52*'Data-PC'!$D$5/1000</f>
        <v>0.11200000000000002</v>
      </c>
      <c r="K52" s="165">
        <f>F52*('Data-PC'!$D$4/1000)*C52</f>
        <v>0</v>
      </c>
      <c r="L52" s="166">
        <f t="shared" si="1"/>
        <v>1.4560000000000002</v>
      </c>
      <c r="M52" s="165">
        <f t="shared" si="2"/>
        <v>1.056</v>
      </c>
      <c r="N52" s="165"/>
      <c r="O52" s="165"/>
      <c r="P52" s="165"/>
      <c r="Q52" s="165"/>
      <c r="R52" s="165"/>
      <c r="S52" s="165">
        <f t="shared" si="3"/>
        <v>0.40000000000000013</v>
      </c>
      <c r="T52" s="167">
        <f>C52*VLOOKUP(B52,'Data-PC'!$B$13:$AP$56,16,FALSE)*(1+'Data-PC'!$T$3/100)</f>
        <v>0.28799999999999998</v>
      </c>
      <c r="U52" s="167">
        <f>C52*VLOOKUP(B52,'Data-PC'!$B$13:$AP$56,17,FALSE)*(1+'Data-PC'!$T$5/100)</f>
        <v>1.68</v>
      </c>
      <c r="V52" s="168">
        <f>VLOOKUP($B52,'Data-PC'!$B$13:$AP$79,19,FALSE)</f>
        <v>2</v>
      </c>
      <c r="W52" s="169">
        <f>VLOOKUP($B52,'Data-PC'!$B$13:$AP$79,20,FALSE)</f>
        <v>13</v>
      </c>
      <c r="X52" s="170">
        <f>VLOOKUP($B52,'Data-PC'!$B$13:$AP$79,21,FALSE)*C52</f>
        <v>5.6595193199999994</v>
      </c>
      <c r="Y52" s="171">
        <f>VLOOKUP($B52,'Data-PC'!$B$13:$AP$79,22,FALSE)</f>
        <v>16</v>
      </c>
      <c r="Z52" s="169">
        <f>VLOOKUP($B52,'Data-PC'!$B$13:$AP$79,23,FALSE)</f>
        <v>100</v>
      </c>
      <c r="AA52" s="169">
        <f>VLOOKUP($B52,'Data-PC'!$B$13:$AP$79,24,FALSE)</f>
        <v>6</v>
      </c>
      <c r="AB52" s="172">
        <f>VLOOKUP($B52,'Data-PC'!$B$13:$AP$79,25,FALSE)</f>
        <v>7.68</v>
      </c>
      <c r="AC52" s="170">
        <f>VLOOKUP($B52,'Data-PC'!$B$13:$AP$79,26,FALSE)*C52</f>
        <v>12.1208832</v>
      </c>
      <c r="AD52" s="171">
        <f>VLOOKUP($B52,'Data-PC'!$B$13:$AP$79,27,FALSE)</f>
        <v>13</v>
      </c>
      <c r="AE52" s="169">
        <f>VLOOKUP($B52,'Data-PC'!$B$13:$AP$79,28,FALSE)</f>
        <v>100</v>
      </c>
      <c r="AF52" s="169">
        <f>VLOOKUP($B52,'Data-PC'!$B$13:$AP$79,29,FALSE)</f>
        <v>8</v>
      </c>
      <c r="AG52" s="172">
        <f>VLOOKUP($B52,'Data-PC'!$B$13:$AP$79,30,FALSE)</f>
        <v>8.64</v>
      </c>
      <c r="AH52" s="170">
        <f>VLOOKUP($B52,'Data-PC'!$B$13:$AP$79,31,FALSE)*C52</f>
        <v>9.0018864000000001</v>
      </c>
      <c r="AI52" s="171">
        <f>VLOOKUP($B52,'Data-PC'!$B$13:$AP$79,32,FALSE)</f>
        <v>16</v>
      </c>
      <c r="AJ52" s="169">
        <f>VLOOKUP($B52,'Data-PC'!$B$13:$AP$79,33,FALSE)</f>
        <v>100</v>
      </c>
      <c r="AK52" s="169">
        <f>VLOOKUP($B52,'Data-PC'!$B$13:$AP$79,34,FALSE)</f>
        <v>6</v>
      </c>
      <c r="AL52" s="172">
        <f>VLOOKUP($B52,'Data-PC'!$B$13:$AP$79,35,FALSE)</f>
        <v>10.92</v>
      </c>
      <c r="AM52" s="170">
        <f>VLOOKUP($B52,'Data-PC'!$B$13:$AP$79,36,FALSE)*C52</f>
        <v>17.2343808</v>
      </c>
      <c r="AN52" s="171">
        <f>VLOOKUP($B52,'Data-PC'!$B$13:$AP$79,37,FALSE)</f>
        <v>13</v>
      </c>
      <c r="AO52" s="169">
        <f>VLOOKUP($B52,'Data-PC'!$B$13:$AP$79,38,FALSE)</f>
        <v>100</v>
      </c>
      <c r="AP52" s="169">
        <f>VLOOKUP($B52,'Data-PC'!$B$13:$AP$79,39,FALSE)</f>
        <v>8</v>
      </c>
      <c r="AQ52" s="172">
        <f>VLOOKUP($B52,'Data-PC'!$B$13:$AP$79,40,FALSE)</f>
        <v>12.96</v>
      </c>
      <c r="AR52" s="170">
        <f>VLOOKUP($B52,'Data-PC'!$B$13:$AP$79,41,FALSE)*C52</f>
        <v>13.5028296</v>
      </c>
      <c r="AS52" s="171">
        <f>VLOOKUP($B52,'Data-PC'!$B$13:$AX$79,42,FALSE)</f>
        <v>0</v>
      </c>
      <c r="AT52" s="169">
        <f>VLOOKUP($B52,'Data-PC'!$B$13:$AX$79,43,FALSE)</f>
        <v>0</v>
      </c>
      <c r="AU52" s="169">
        <f>VLOOKUP($B52,'Data-PC'!$B$13:$AX$79,44,FALSE)</f>
        <v>1380</v>
      </c>
      <c r="AV52" s="170">
        <f>VLOOKUP($B52,'Data-PC'!$B$13:$AX$79,45,FALSE)*C52</f>
        <v>0</v>
      </c>
      <c r="AW52" s="171">
        <f>VLOOKUP($B52,'Data-PC'!$B$13:$AX$79,46,FALSE)</f>
        <v>0</v>
      </c>
      <c r="AX52" s="169">
        <f>VLOOKUP($B52,'Data-PC'!$B$13:$AX$79,47,FALSE)</f>
        <v>0</v>
      </c>
      <c r="AY52" s="169">
        <f>VLOOKUP($B52,'Data-PC'!$B$19:$AX$79,48,FALSE)</f>
        <v>0</v>
      </c>
      <c r="AZ52" s="170">
        <f>VLOOKUP($B52,'Data-PC'!$B$13:$AX$79,49,FALSE)*C52</f>
        <v>0</v>
      </c>
      <c r="BA52" s="167">
        <f t="shared" si="4"/>
        <v>57.519499319999994</v>
      </c>
    </row>
    <row r="53" spans="1:57" s="173" customFormat="1" ht="12">
      <c r="A53" s="158">
        <f t="shared" si="5"/>
        <v>42</v>
      </c>
      <c r="B53" s="159" t="s">
        <v>2304</v>
      </c>
      <c r="C53" s="160">
        <v>1</v>
      </c>
      <c r="D53" s="1835"/>
      <c r="E53" s="161">
        <f>D53-(G53+'Data-PC'!$D$5)/1000</f>
        <v>-0.55000000000000004</v>
      </c>
      <c r="F53" s="162">
        <f>VLOOKUP(B53,'Data-PC'!$B$13:$AP$56,15,FALSE)</f>
        <v>1.69</v>
      </c>
      <c r="G53" s="163">
        <f>VLOOKUP(B53,'Data-PC'!$B$13:$G$56,4,FALSE)</f>
        <v>500</v>
      </c>
      <c r="H53" s="164">
        <f>C53*VLOOKUP(B53,'Data-PC'!$B$13:$BC$56,18,FALSE)</f>
        <v>1</v>
      </c>
      <c r="I53" s="164">
        <f>C53*VLOOKUP(B53,'Data-PC'!$B$13:$BC$56,51,FALSE)</f>
        <v>0</v>
      </c>
      <c r="J53" s="165">
        <f>F53*C53*'Data-PC'!$D$5/1000</f>
        <v>8.4500000000000006E-2</v>
      </c>
      <c r="K53" s="165">
        <f>F53*('Data-PC'!$D$4/1000)*C53</f>
        <v>0</v>
      </c>
      <c r="L53" s="166">
        <f t="shared" ref="L53" si="6">C53*F53*($T$3-E53)</f>
        <v>0.92949999999999999</v>
      </c>
      <c r="M53" s="165">
        <f t="shared" ref="M53" si="7">L53-(T53+J53)</f>
        <v>0.72</v>
      </c>
      <c r="N53" s="165"/>
      <c r="O53" s="165"/>
      <c r="P53" s="165"/>
      <c r="Q53" s="165"/>
      <c r="R53" s="165"/>
      <c r="S53" s="165">
        <f t="shared" ref="S53" si="8">L53-M53</f>
        <v>0.20950000000000002</v>
      </c>
      <c r="T53" s="167">
        <f>C53*VLOOKUP(B53,'Data-PC'!$B$13:$AP$56,16,FALSE)*(1+'Data-PC'!$T$3/100)</f>
        <v>0.125</v>
      </c>
      <c r="U53" s="167">
        <f>C53*VLOOKUP(B53,'Data-PC'!$B$13:$AP$56,17,FALSE)*(1+'Data-PC'!$T$5/100)</f>
        <v>1</v>
      </c>
      <c r="V53" s="168">
        <f>VLOOKUP($B53,'Data-PC'!$B$13:$AP$79,19,FALSE)</f>
        <v>2</v>
      </c>
      <c r="W53" s="169">
        <f>VLOOKUP($B53,'Data-PC'!$B$13:$AP$79,20,FALSE)</f>
        <v>13</v>
      </c>
      <c r="X53" s="170">
        <f>VLOOKUP($B53,'Data-PC'!$B$13:$AP$79,21,FALSE)*C53</f>
        <v>3.9925033199999995</v>
      </c>
      <c r="Y53" s="171">
        <f>VLOOKUP($B53,'Data-PC'!$B$13:$AP$79,22,FALSE)</f>
        <v>13</v>
      </c>
      <c r="Z53" s="169">
        <f>VLOOKUP($B53,'Data-PC'!$B$13:$AP$79,23,FALSE)</f>
        <v>125</v>
      </c>
      <c r="AA53" s="169">
        <f>VLOOKUP($B53,'Data-PC'!$B$13:$AP$79,24,FALSE)</f>
        <v>4</v>
      </c>
      <c r="AB53" s="172">
        <f>VLOOKUP($B53,'Data-PC'!$B$13:$AP$79,25,FALSE)</f>
        <v>3.52</v>
      </c>
      <c r="AC53" s="170">
        <f>VLOOKUP($B53,'Data-PC'!$B$13:$AP$79,26,FALSE)*C53</f>
        <v>3.6674351999999999</v>
      </c>
      <c r="AD53" s="171">
        <f>VLOOKUP($B53,'Data-PC'!$B$13:$AP$79,27,FALSE)</f>
        <v>13</v>
      </c>
      <c r="AE53" s="169">
        <f>VLOOKUP($B53,'Data-PC'!$B$13:$AP$79,28,FALSE)</f>
        <v>125</v>
      </c>
      <c r="AF53" s="169">
        <f>VLOOKUP($B53,'Data-PC'!$B$13:$AP$79,29,FALSE)</f>
        <v>4</v>
      </c>
      <c r="AG53" s="172">
        <f>VLOOKUP($B53,'Data-PC'!$B$13:$AP$79,30,FALSE)</f>
        <v>3.52</v>
      </c>
      <c r="AH53" s="170">
        <f>VLOOKUP($B53,'Data-PC'!$B$13:$AP$79,31,FALSE)*C53</f>
        <v>3.6674351999999999</v>
      </c>
      <c r="AI53" s="171">
        <f>VLOOKUP($B53,'Data-PC'!$B$13:$AP$79,32,FALSE)</f>
        <v>13</v>
      </c>
      <c r="AJ53" s="169">
        <f>VLOOKUP($B53,'Data-PC'!$B$13:$AP$79,33,FALSE)</f>
        <v>125</v>
      </c>
      <c r="AK53" s="169">
        <f>VLOOKUP($B53,'Data-PC'!$B$13:$AP$79,34,FALSE)</f>
        <v>4</v>
      </c>
      <c r="AL53" s="172">
        <f>VLOOKUP($B53,'Data-PC'!$B$13:$AP$79,35,FALSE)</f>
        <v>5.28</v>
      </c>
      <c r="AM53" s="170">
        <f>VLOOKUP($B53,'Data-PC'!$B$13:$AP$79,36,FALSE)*C53</f>
        <v>5.5011527999999998</v>
      </c>
      <c r="AN53" s="171">
        <f>VLOOKUP($B53,'Data-PC'!$B$13:$AP$79,37,FALSE)</f>
        <v>13</v>
      </c>
      <c r="AO53" s="169">
        <f>VLOOKUP($B53,'Data-PC'!$B$13:$AP$79,38,FALSE)</f>
        <v>125</v>
      </c>
      <c r="AP53" s="169">
        <f>VLOOKUP($B53,'Data-PC'!$B$13:$AP$79,39,FALSE)</f>
        <v>4</v>
      </c>
      <c r="AQ53" s="172">
        <f>VLOOKUP($B53,'Data-PC'!$B$13:$AP$79,40,FALSE)</f>
        <v>5.28</v>
      </c>
      <c r="AR53" s="170">
        <f>VLOOKUP($B53,'Data-PC'!$B$13:$AP$79,41,FALSE)*C53</f>
        <v>5.5011527999999998</v>
      </c>
      <c r="AS53" s="171">
        <f>VLOOKUP($B53,'Data-PC'!$B$13:$AX$79,42,FALSE)</f>
        <v>0</v>
      </c>
      <c r="AT53" s="169">
        <f>VLOOKUP($B53,'Data-PC'!$B$13:$AX$79,43,FALSE)</f>
        <v>0</v>
      </c>
      <c r="AU53" s="169">
        <f>VLOOKUP($B53,'Data-PC'!$B$13:$AX$79,44,FALSE)</f>
        <v>1180</v>
      </c>
      <c r="AV53" s="170">
        <f>VLOOKUP($B53,'Data-PC'!$B$13:$AX$79,45,FALSE)*C53</f>
        <v>0</v>
      </c>
      <c r="AW53" s="171">
        <f>VLOOKUP($B53,'Data-PC'!$B$13:$AX$79,46,FALSE)</f>
        <v>0</v>
      </c>
      <c r="AX53" s="169">
        <f>VLOOKUP($B53,'Data-PC'!$B$13:$AX$79,47,FALSE)</f>
        <v>0</v>
      </c>
      <c r="AY53" s="169" t="e">
        <f>VLOOKUP($B53,'Data-PC'!$B$19:$AX$79,48,FALSE)</f>
        <v>#N/A</v>
      </c>
      <c r="AZ53" s="170">
        <f>VLOOKUP($B53,'Data-PC'!$B$13:$AX$79,49,FALSE)*C53</f>
        <v>0</v>
      </c>
      <c r="BA53" s="167">
        <f t="shared" ref="BA53" si="9">SUM(X53,AC53,AH53,AM53,AR53,AV53,AZ53)</f>
        <v>22.329679319999997</v>
      </c>
    </row>
    <row r="54" spans="1:57" s="173" customFormat="1" ht="12">
      <c r="A54" s="158">
        <f t="shared" si="5"/>
        <v>43</v>
      </c>
      <c r="B54" s="159" t="s">
        <v>2304</v>
      </c>
      <c r="C54" s="160">
        <v>1</v>
      </c>
      <c r="D54" s="1835"/>
      <c r="E54" s="161">
        <f>D54-(G54+'Data-PC'!$D$5)/1000</f>
        <v>-0.55000000000000004</v>
      </c>
      <c r="F54" s="162">
        <f>VLOOKUP(B54,'Data-PC'!$B$13:$AP$56,15,FALSE)</f>
        <v>1.69</v>
      </c>
      <c r="G54" s="163">
        <f>VLOOKUP(B54,'Data-PC'!$B$13:$G$56,4,FALSE)</f>
        <v>500</v>
      </c>
      <c r="H54" s="164">
        <f>C54*VLOOKUP(B54,'Data-PC'!$B$13:$BC$56,18,FALSE)</f>
        <v>1</v>
      </c>
      <c r="I54" s="164">
        <f>C54*VLOOKUP(B54,'Data-PC'!$B$13:$BC$56,51,FALSE)</f>
        <v>0</v>
      </c>
      <c r="J54" s="165">
        <f>F54*C54*'Data-PC'!$D$5/1000</f>
        <v>8.4500000000000006E-2</v>
      </c>
      <c r="K54" s="165">
        <f>F54*('Data-PC'!$D$4/1000)*C54</f>
        <v>0</v>
      </c>
      <c r="L54" s="166">
        <f t="shared" ref="L54:L58" si="10">C54*F54*($T$3-E54)</f>
        <v>0.92949999999999999</v>
      </c>
      <c r="M54" s="165">
        <f t="shared" ref="M54:M58" si="11">L54-(T54+J54)</f>
        <v>0.72</v>
      </c>
      <c r="N54" s="165"/>
      <c r="O54" s="165"/>
      <c r="P54" s="165"/>
      <c r="Q54" s="165"/>
      <c r="R54" s="165"/>
      <c r="S54" s="165">
        <f t="shared" ref="S54:S58" si="12">L54-M54</f>
        <v>0.20950000000000002</v>
      </c>
      <c r="T54" s="167">
        <f>C54*VLOOKUP(B54,'Data-PC'!$B$13:$AP$56,16,FALSE)*(1+'Data-PC'!$T$3/100)</f>
        <v>0.125</v>
      </c>
      <c r="U54" s="167">
        <f>C54*VLOOKUP(B54,'Data-PC'!$B$13:$AP$56,17,FALSE)*(1+'Data-PC'!$T$5/100)</f>
        <v>1</v>
      </c>
      <c r="V54" s="168">
        <f>VLOOKUP($B54,'Data-PC'!$B$13:$AP$79,19,FALSE)</f>
        <v>2</v>
      </c>
      <c r="W54" s="169">
        <f>VLOOKUP($B54,'Data-PC'!$B$13:$AP$79,20,FALSE)</f>
        <v>13</v>
      </c>
      <c r="X54" s="170">
        <f>VLOOKUP($B54,'Data-PC'!$B$13:$AP$79,21,FALSE)*C54</f>
        <v>3.9925033199999995</v>
      </c>
      <c r="Y54" s="171">
        <f>VLOOKUP($B54,'Data-PC'!$B$13:$AP$79,22,FALSE)</f>
        <v>13</v>
      </c>
      <c r="Z54" s="169">
        <f>VLOOKUP($B54,'Data-PC'!$B$13:$AP$79,23,FALSE)</f>
        <v>125</v>
      </c>
      <c r="AA54" s="169">
        <f>VLOOKUP($B54,'Data-PC'!$B$13:$AP$79,24,FALSE)</f>
        <v>4</v>
      </c>
      <c r="AB54" s="172">
        <f>VLOOKUP($B54,'Data-PC'!$B$13:$AP$79,25,FALSE)</f>
        <v>3.52</v>
      </c>
      <c r="AC54" s="170">
        <f>VLOOKUP($B54,'Data-PC'!$B$13:$AP$79,26,FALSE)*C54</f>
        <v>3.6674351999999999</v>
      </c>
      <c r="AD54" s="171">
        <f>VLOOKUP($B54,'Data-PC'!$B$13:$AP$79,27,FALSE)</f>
        <v>13</v>
      </c>
      <c r="AE54" s="169">
        <f>VLOOKUP($B54,'Data-PC'!$B$13:$AP$79,28,FALSE)</f>
        <v>125</v>
      </c>
      <c r="AF54" s="169">
        <f>VLOOKUP($B54,'Data-PC'!$B$13:$AP$79,29,FALSE)</f>
        <v>4</v>
      </c>
      <c r="AG54" s="172">
        <f>VLOOKUP($B54,'Data-PC'!$B$13:$AP$79,30,FALSE)</f>
        <v>3.52</v>
      </c>
      <c r="AH54" s="170">
        <f>VLOOKUP($B54,'Data-PC'!$B$13:$AP$79,31,FALSE)*C54</f>
        <v>3.6674351999999999</v>
      </c>
      <c r="AI54" s="171">
        <f>VLOOKUP($B54,'Data-PC'!$B$13:$AP$79,32,FALSE)</f>
        <v>13</v>
      </c>
      <c r="AJ54" s="169">
        <f>VLOOKUP($B54,'Data-PC'!$B$13:$AP$79,33,FALSE)</f>
        <v>125</v>
      </c>
      <c r="AK54" s="169">
        <f>VLOOKUP($B54,'Data-PC'!$B$13:$AP$79,34,FALSE)</f>
        <v>4</v>
      </c>
      <c r="AL54" s="172">
        <f>VLOOKUP($B54,'Data-PC'!$B$13:$AP$79,35,FALSE)</f>
        <v>5.28</v>
      </c>
      <c r="AM54" s="170">
        <f>VLOOKUP($B54,'Data-PC'!$B$13:$AP$79,36,FALSE)*C54</f>
        <v>5.5011527999999998</v>
      </c>
      <c r="AN54" s="171">
        <f>VLOOKUP($B54,'Data-PC'!$B$13:$AP$79,37,FALSE)</f>
        <v>13</v>
      </c>
      <c r="AO54" s="169">
        <f>VLOOKUP($B54,'Data-PC'!$B$13:$AP$79,38,FALSE)</f>
        <v>125</v>
      </c>
      <c r="AP54" s="169">
        <f>VLOOKUP($B54,'Data-PC'!$B$13:$AP$79,39,FALSE)</f>
        <v>4</v>
      </c>
      <c r="AQ54" s="172">
        <f>VLOOKUP($B54,'Data-PC'!$B$13:$AP$79,40,FALSE)</f>
        <v>5.28</v>
      </c>
      <c r="AR54" s="170">
        <f>VLOOKUP($B54,'Data-PC'!$B$13:$AP$79,41,FALSE)*C54</f>
        <v>5.5011527999999998</v>
      </c>
      <c r="AS54" s="171">
        <f>VLOOKUP($B54,'Data-PC'!$B$13:$AX$79,42,FALSE)</f>
        <v>0</v>
      </c>
      <c r="AT54" s="169">
        <f>VLOOKUP($B54,'Data-PC'!$B$13:$AX$79,43,FALSE)</f>
        <v>0</v>
      </c>
      <c r="AU54" s="169">
        <f>VLOOKUP($B54,'Data-PC'!$B$13:$AX$79,44,FALSE)</f>
        <v>1180</v>
      </c>
      <c r="AV54" s="170">
        <f>VLOOKUP($B54,'Data-PC'!$B$13:$AX$79,45,FALSE)*C54</f>
        <v>0</v>
      </c>
      <c r="AW54" s="171">
        <f>VLOOKUP($B54,'Data-PC'!$B$13:$AX$79,46,FALSE)</f>
        <v>0</v>
      </c>
      <c r="AX54" s="169">
        <f>VLOOKUP($B54,'Data-PC'!$B$13:$AX$79,47,FALSE)</f>
        <v>0</v>
      </c>
      <c r="AY54" s="169" t="e">
        <f>VLOOKUP($B54,'Data-PC'!$B$19:$AX$79,48,FALSE)</f>
        <v>#N/A</v>
      </c>
      <c r="AZ54" s="170">
        <f>VLOOKUP($B54,'Data-PC'!$B$13:$AX$79,49,FALSE)*C54</f>
        <v>0</v>
      </c>
      <c r="BA54" s="167">
        <f t="shared" ref="BA54:BA58" si="13">SUM(X54,AC54,AH54,AM54,AR54,AV54,AZ54)</f>
        <v>22.329679319999997</v>
      </c>
    </row>
    <row r="55" spans="1:57" s="173" customFormat="1" ht="12">
      <c r="A55" s="158">
        <f t="shared" si="5"/>
        <v>44</v>
      </c>
      <c r="B55" s="159" t="s">
        <v>2304</v>
      </c>
      <c r="C55" s="160">
        <v>1</v>
      </c>
      <c r="D55" s="1835"/>
      <c r="E55" s="161">
        <f>D55-(G55+'Data-PC'!$D$5)/1000</f>
        <v>-0.55000000000000004</v>
      </c>
      <c r="F55" s="162">
        <f>VLOOKUP(B55,'Data-PC'!$B$13:$AP$56,15,FALSE)</f>
        <v>1.69</v>
      </c>
      <c r="G55" s="163">
        <f>VLOOKUP(B55,'Data-PC'!$B$13:$G$56,4,FALSE)</f>
        <v>500</v>
      </c>
      <c r="H55" s="164">
        <f>C55*VLOOKUP(B55,'Data-PC'!$B$13:$BC$56,18,FALSE)</f>
        <v>1</v>
      </c>
      <c r="I55" s="164">
        <f>C55*VLOOKUP(B55,'Data-PC'!$B$13:$BC$56,51,FALSE)</f>
        <v>0</v>
      </c>
      <c r="J55" s="165">
        <f>F55*C55*'Data-PC'!$D$5/1000</f>
        <v>8.4500000000000006E-2</v>
      </c>
      <c r="K55" s="165">
        <f>F55*('Data-PC'!$D$4/1000)*C55</f>
        <v>0</v>
      </c>
      <c r="L55" s="166">
        <f t="shared" si="10"/>
        <v>0.92949999999999999</v>
      </c>
      <c r="M55" s="165">
        <f t="shared" si="11"/>
        <v>0.72</v>
      </c>
      <c r="N55" s="165"/>
      <c r="O55" s="165"/>
      <c r="P55" s="165"/>
      <c r="Q55" s="165"/>
      <c r="R55" s="165"/>
      <c r="S55" s="165">
        <f t="shared" si="12"/>
        <v>0.20950000000000002</v>
      </c>
      <c r="T55" s="167">
        <f>C55*VLOOKUP(B55,'Data-PC'!$B$13:$AP$56,16,FALSE)*(1+'Data-PC'!$T$3/100)</f>
        <v>0.125</v>
      </c>
      <c r="U55" s="167">
        <f>C55*VLOOKUP(B55,'Data-PC'!$B$13:$AP$56,17,FALSE)*(1+'Data-PC'!$T$5/100)</f>
        <v>1</v>
      </c>
      <c r="V55" s="168">
        <f>VLOOKUP($B55,'Data-PC'!$B$13:$AP$79,19,FALSE)</f>
        <v>2</v>
      </c>
      <c r="W55" s="169">
        <f>VLOOKUP($B55,'Data-PC'!$B$13:$AP$79,20,FALSE)</f>
        <v>13</v>
      </c>
      <c r="X55" s="170">
        <f>VLOOKUP($B55,'Data-PC'!$B$13:$AP$79,21,FALSE)*C55</f>
        <v>3.9925033199999995</v>
      </c>
      <c r="Y55" s="171">
        <f>VLOOKUP($B55,'Data-PC'!$B$13:$AP$79,22,FALSE)</f>
        <v>13</v>
      </c>
      <c r="Z55" s="169">
        <f>VLOOKUP($B55,'Data-PC'!$B$13:$AP$79,23,FALSE)</f>
        <v>125</v>
      </c>
      <c r="AA55" s="169">
        <f>VLOOKUP($B55,'Data-PC'!$B$13:$AP$79,24,FALSE)</f>
        <v>4</v>
      </c>
      <c r="AB55" s="172">
        <f>VLOOKUP($B55,'Data-PC'!$B$13:$AP$79,25,FALSE)</f>
        <v>3.52</v>
      </c>
      <c r="AC55" s="170">
        <f>VLOOKUP($B55,'Data-PC'!$B$13:$AP$79,26,FALSE)*C55</f>
        <v>3.6674351999999999</v>
      </c>
      <c r="AD55" s="171">
        <f>VLOOKUP($B55,'Data-PC'!$B$13:$AP$79,27,FALSE)</f>
        <v>13</v>
      </c>
      <c r="AE55" s="169">
        <f>VLOOKUP($B55,'Data-PC'!$B$13:$AP$79,28,FALSE)</f>
        <v>125</v>
      </c>
      <c r="AF55" s="169">
        <f>VLOOKUP($B55,'Data-PC'!$B$13:$AP$79,29,FALSE)</f>
        <v>4</v>
      </c>
      <c r="AG55" s="172">
        <f>VLOOKUP($B55,'Data-PC'!$B$13:$AP$79,30,FALSE)</f>
        <v>3.52</v>
      </c>
      <c r="AH55" s="170">
        <f>VLOOKUP($B55,'Data-PC'!$B$13:$AP$79,31,FALSE)*C55</f>
        <v>3.6674351999999999</v>
      </c>
      <c r="AI55" s="171">
        <f>VLOOKUP($B55,'Data-PC'!$B$13:$AP$79,32,FALSE)</f>
        <v>13</v>
      </c>
      <c r="AJ55" s="169">
        <f>VLOOKUP($B55,'Data-PC'!$B$13:$AP$79,33,FALSE)</f>
        <v>125</v>
      </c>
      <c r="AK55" s="169">
        <f>VLOOKUP($B55,'Data-PC'!$B$13:$AP$79,34,FALSE)</f>
        <v>4</v>
      </c>
      <c r="AL55" s="172">
        <f>VLOOKUP($B55,'Data-PC'!$B$13:$AP$79,35,FALSE)</f>
        <v>5.28</v>
      </c>
      <c r="AM55" s="170">
        <f>VLOOKUP($B55,'Data-PC'!$B$13:$AP$79,36,FALSE)*C55</f>
        <v>5.5011527999999998</v>
      </c>
      <c r="AN55" s="171">
        <f>VLOOKUP($B55,'Data-PC'!$B$13:$AP$79,37,FALSE)</f>
        <v>13</v>
      </c>
      <c r="AO55" s="169">
        <f>VLOOKUP($B55,'Data-PC'!$B$13:$AP$79,38,FALSE)</f>
        <v>125</v>
      </c>
      <c r="AP55" s="169">
        <f>VLOOKUP($B55,'Data-PC'!$B$13:$AP$79,39,FALSE)</f>
        <v>4</v>
      </c>
      <c r="AQ55" s="172">
        <f>VLOOKUP($B55,'Data-PC'!$B$13:$AP$79,40,FALSE)</f>
        <v>5.28</v>
      </c>
      <c r="AR55" s="170">
        <f>VLOOKUP($B55,'Data-PC'!$B$13:$AP$79,41,FALSE)*C55</f>
        <v>5.5011527999999998</v>
      </c>
      <c r="AS55" s="171">
        <f>VLOOKUP($B55,'Data-PC'!$B$13:$AX$79,42,FALSE)</f>
        <v>0</v>
      </c>
      <c r="AT55" s="169">
        <f>VLOOKUP($B55,'Data-PC'!$B$13:$AX$79,43,FALSE)</f>
        <v>0</v>
      </c>
      <c r="AU55" s="169">
        <f>VLOOKUP($B55,'Data-PC'!$B$13:$AX$79,44,FALSE)</f>
        <v>1180</v>
      </c>
      <c r="AV55" s="170">
        <f>VLOOKUP($B55,'Data-PC'!$B$13:$AX$79,45,FALSE)*C55</f>
        <v>0</v>
      </c>
      <c r="AW55" s="171">
        <f>VLOOKUP($B55,'Data-PC'!$B$13:$AX$79,46,FALSE)</f>
        <v>0</v>
      </c>
      <c r="AX55" s="169">
        <f>VLOOKUP($B55,'Data-PC'!$B$13:$AX$79,47,FALSE)</f>
        <v>0</v>
      </c>
      <c r="AY55" s="169" t="e">
        <f>VLOOKUP($B55,'Data-PC'!$B$19:$AX$79,48,FALSE)</f>
        <v>#N/A</v>
      </c>
      <c r="AZ55" s="170">
        <f>VLOOKUP($B55,'Data-PC'!$B$13:$AX$79,49,FALSE)*C55</f>
        <v>0</v>
      </c>
      <c r="BA55" s="167">
        <f t="shared" si="13"/>
        <v>22.329679319999997</v>
      </c>
    </row>
    <row r="56" spans="1:57" s="173" customFormat="1" ht="12">
      <c r="A56" s="158">
        <f t="shared" si="5"/>
        <v>45</v>
      </c>
      <c r="B56" s="159" t="s">
        <v>2304</v>
      </c>
      <c r="C56" s="160">
        <v>1</v>
      </c>
      <c r="D56" s="1835"/>
      <c r="E56" s="161">
        <f>D56-(G56+'Data-PC'!$D$5)/1000</f>
        <v>-0.55000000000000004</v>
      </c>
      <c r="F56" s="162">
        <f>VLOOKUP(B56,'Data-PC'!$B$13:$AP$56,15,FALSE)</f>
        <v>1.69</v>
      </c>
      <c r="G56" s="163">
        <f>VLOOKUP(B56,'Data-PC'!$B$13:$G$56,4,FALSE)</f>
        <v>500</v>
      </c>
      <c r="H56" s="164">
        <f>C56*VLOOKUP(B56,'Data-PC'!$B$13:$BC$56,18,FALSE)</f>
        <v>1</v>
      </c>
      <c r="I56" s="164">
        <f>C56*VLOOKUP(B56,'Data-PC'!$B$13:$BC$56,51,FALSE)</f>
        <v>0</v>
      </c>
      <c r="J56" s="165">
        <f>F56*C56*'Data-PC'!$D$5/1000</f>
        <v>8.4500000000000006E-2</v>
      </c>
      <c r="K56" s="165">
        <f>F56*('Data-PC'!$D$4/1000)*C56</f>
        <v>0</v>
      </c>
      <c r="L56" s="166">
        <f t="shared" si="10"/>
        <v>0.92949999999999999</v>
      </c>
      <c r="M56" s="165">
        <f t="shared" si="11"/>
        <v>0.72</v>
      </c>
      <c r="N56" s="165"/>
      <c r="O56" s="165"/>
      <c r="P56" s="165"/>
      <c r="Q56" s="165"/>
      <c r="R56" s="165"/>
      <c r="S56" s="165">
        <f t="shared" si="12"/>
        <v>0.20950000000000002</v>
      </c>
      <c r="T56" s="167">
        <f>C56*VLOOKUP(B56,'Data-PC'!$B$13:$AP$56,16,FALSE)*(1+'Data-PC'!$T$3/100)</f>
        <v>0.125</v>
      </c>
      <c r="U56" s="167">
        <f>C56*VLOOKUP(B56,'Data-PC'!$B$13:$AP$56,17,FALSE)*(1+'Data-PC'!$T$5/100)</f>
        <v>1</v>
      </c>
      <c r="V56" s="168">
        <f>VLOOKUP($B56,'Data-PC'!$B$13:$AP$79,19,FALSE)</f>
        <v>2</v>
      </c>
      <c r="W56" s="169">
        <f>VLOOKUP($B56,'Data-PC'!$B$13:$AP$79,20,FALSE)</f>
        <v>13</v>
      </c>
      <c r="X56" s="170">
        <f>VLOOKUP($B56,'Data-PC'!$B$13:$AP$79,21,FALSE)*C56</f>
        <v>3.9925033199999995</v>
      </c>
      <c r="Y56" s="171">
        <f>VLOOKUP($B56,'Data-PC'!$B$13:$AP$79,22,FALSE)</f>
        <v>13</v>
      </c>
      <c r="Z56" s="169">
        <f>VLOOKUP($B56,'Data-PC'!$B$13:$AP$79,23,FALSE)</f>
        <v>125</v>
      </c>
      <c r="AA56" s="169">
        <f>VLOOKUP($B56,'Data-PC'!$B$13:$AP$79,24,FALSE)</f>
        <v>4</v>
      </c>
      <c r="AB56" s="172">
        <f>VLOOKUP($B56,'Data-PC'!$B$13:$AP$79,25,FALSE)</f>
        <v>3.52</v>
      </c>
      <c r="AC56" s="170">
        <f>VLOOKUP($B56,'Data-PC'!$B$13:$AP$79,26,FALSE)*C56</f>
        <v>3.6674351999999999</v>
      </c>
      <c r="AD56" s="171">
        <f>VLOOKUP($B56,'Data-PC'!$B$13:$AP$79,27,FALSE)</f>
        <v>13</v>
      </c>
      <c r="AE56" s="169">
        <f>VLOOKUP($B56,'Data-PC'!$B$13:$AP$79,28,FALSE)</f>
        <v>125</v>
      </c>
      <c r="AF56" s="169">
        <f>VLOOKUP($B56,'Data-PC'!$B$13:$AP$79,29,FALSE)</f>
        <v>4</v>
      </c>
      <c r="AG56" s="172">
        <f>VLOOKUP($B56,'Data-PC'!$B$13:$AP$79,30,FALSE)</f>
        <v>3.52</v>
      </c>
      <c r="AH56" s="170">
        <f>VLOOKUP($B56,'Data-PC'!$B$13:$AP$79,31,FALSE)*C56</f>
        <v>3.6674351999999999</v>
      </c>
      <c r="AI56" s="171">
        <f>VLOOKUP($B56,'Data-PC'!$B$13:$AP$79,32,FALSE)</f>
        <v>13</v>
      </c>
      <c r="AJ56" s="169">
        <f>VLOOKUP($B56,'Data-PC'!$B$13:$AP$79,33,FALSE)</f>
        <v>125</v>
      </c>
      <c r="AK56" s="169">
        <f>VLOOKUP($B56,'Data-PC'!$B$13:$AP$79,34,FALSE)</f>
        <v>4</v>
      </c>
      <c r="AL56" s="172">
        <f>VLOOKUP($B56,'Data-PC'!$B$13:$AP$79,35,FALSE)</f>
        <v>5.28</v>
      </c>
      <c r="AM56" s="170">
        <f>VLOOKUP($B56,'Data-PC'!$B$13:$AP$79,36,FALSE)*C56</f>
        <v>5.5011527999999998</v>
      </c>
      <c r="AN56" s="171">
        <f>VLOOKUP($B56,'Data-PC'!$B$13:$AP$79,37,FALSE)</f>
        <v>13</v>
      </c>
      <c r="AO56" s="169">
        <f>VLOOKUP($B56,'Data-PC'!$B$13:$AP$79,38,FALSE)</f>
        <v>125</v>
      </c>
      <c r="AP56" s="169">
        <f>VLOOKUP($B56,'Data-PC'!$B$13:$AP$79,39,FALSE)</f>
        <v>4</v>
      </c>
      <c r="AQ56" s="172">
        <f>VLOOKUP($B56,'Data-PC'!$B$13:$AP$79,40,FALSE)</f>
        <v>5.28</v>
      </c>
      <c r="AR56" s="170">
        <f>VLOOKUP($B56,'Data-PC'!$B$13:$AP$79,41,FALSE)*C56</f>
        <v>5.5011527999999998</v>
      </c>
      <c r="AS56" s="171">
        <f>VLOOKUP($B56,'Data-PC'!$B$13:$AX$79,42,FALSE)</f>
        <v>0</v>
      </c>
      <c r="AT56" s="169">
        <f>VLOOKUP($B56,'Data-PC'!$B$13:$AX$79,43,FALSE)</f>
        <v>0</v>
      </c>
      <c r="AU56" s="169">
        <f>VLOOKUP($B56,'Data-PC'!$B$13:$AX$79,44,FALSE)</f>
        <v>1180</v>
      </c>
      <c r="AV56" s="170">
        <f>VLOOKUP($B56,'Data-PC'!$B$13:$AX$79,45,FALSE)*C56</f>
        <v>0</v>
      </c>
      <c r="AW56" s="171">
        <f>VLOOKUP($B56,'Data-PC'!$B$13:$AX$79,46,FALSE)</f>
        <v>0</v>
      </c>
      <c r="AX56" s="169">
        <f>VLOOKUP($B56,'Data-PC'!$B$13:$AX$79,47,FALSE)</f>
        <v>0</v>
      </c>
      <c r="AY56" s="169" t="e">
        <f>VLOOKUP($B56,'Data-PC'!$B$19:$AX$79,48,FALSE)</f>
        <v>#N/A</v>
      </c>
      <c r="AZ56" s="170">
        <f>VLOOKUP($B56,'Data-PC'!$B$13:$AX$79,49,FALSE)*C56</f>
        <v>0</v>
      </c>
      <c r="BA56" s="167">
        <f t="shared" si="13"/>
        <v>22.329679319999997</v>
      </c>
    </row>
    <row r="57" spans="1:57" s="173" customFormat="1" ht="12">
      <c r="A57" s="158">
        <f t="shared" si="5"/>
        <v>46</v>
      </c>
      <c r="B57" s="159" t="s">
        <v>2304</v>
      </c>
      <c r="C57" s="160">
        <v>1</v>
      </c>
      <c r="D57" s="1835"/>
      <c r="E57" s="161">
        <f>D57-(G57+'Data-PC'!$D$5)/1000</f>
        <v>-0.55000000000000004</v>
      </c>
      <c r="F57" s="162">
        <f>VLOOKUP(B57,'Data-PC'!$B$13:$AP$56,15,FALSE)</f>
        <v>1.69</v>
      </c>
      <c r="G57" s="163">
        <f>VLOOKUP(B57,'Data-PC'!$B$13:$G$56,4,FALSE)</f>
        <v>500</v>
      </c>
      <c r="H57" s="164">
        <f>C57*VLOOKUP(B57,'Data-PC'!$B$13:$BC$56,18,FALSE)</f>
        <v>1</v>
      </c>
      <c r="I57" s="164">
        <f>C57*VLOOKUP(B57,'Data-PC'!$B$13:$BC$56,51,FALSE)</f>
        <v>0</v>
      </c>
      <c r="J57" s="165">
        <f>F57*C57*'Data-PC'!$D$5/1000</f>
        <v>8.4500000000000006E-2</v>
      </c>
      <c r="K57" s="165">
        <f>F57*('Data-PC'!$D$4/1000)*C57</f>
        <v>0</v>
      </c>
      <c r="L57" s="166">
        <f t="shared" si="10"/>
        <v>0.92949999999999999</v>
      </c>
      <c r="M57" s="165">
        <f t="shared" si="11"/>
        <v>0.72</v>
      </c>
      <c r="N57" s="165"/>
      <c r="O57" s="165"/>
      <c r="P57" s="165"/>
      <c r="Q57" s="165"/>
      <c r="R57" s="165"/>
      <c r="S57" s="165">
        <f t="shared" si="12"/>
        <v>0.20950000000000002</v>
      </c>
      <c r="T57" s="167">
        <f>C57*VLOOKUP(B57,'Data-PC'!$B$13:$AP$56,16,FALSE)*(1+'Data-PC'!$T$3/100)</f>
        <v>0.125</v>
      </c>
      <c r="U57" s="167">
        <f>C57*VLOOKUP(B57,'Data-PC'!$B$13:$AP$56,17,FALSE)*(1+'Data-PC'!$T$5/100)</f>
        <v>1</v>
      </c>
      <c r="V57" s="168">
        <f>VLOOKUP($B57,'Data-PC'!$B$13:$AP$79,19,FALSE)</f>
        <v>2</v>
      </c>
      <c r="W57" s="169">
        <f>VLOOKUP($B57,'Data-PC'!$B$13:$AP$79,20,FALSE)</f>
        <v>13</v>
      </c>
      <c r="X57" s="170">
        <f>VLOOKUP($B57,'Data-PC'!$B$13:$AP$79,21,FALSE)*C57</f>
        <v>3.9925033199999995</v>
      </c>
      <c r="Y57" s="171">
        <f>VLOOKUP($B57,'Data-PC'!$B$13:$AP$79,22,FALSE)</f>
        <v>13</v>
      </c>
      <c r="Z57" s="169">
        <f>VLOOKUP($B57,'Data-PC'!$B$13:$AP$79,23,FALSE)</f>
        <v>125</v>
      </c>
      <c r="AA57" s="169">
        <f>VLOOKUP($B57,'Data-PC'!$B$13:$AP$79,24,FALSE)</f>
        <v>4</v>
      </c>
      <c r="AB57" s="172">
        <f>VLOOKUP($B57,'Data-PC'!$B$13:$AP$79,25,FALSE)</f>
        <v>3.52</v>
      </c>
      <c r="AC57" s="170">
        <f>VLOOKUP($B57,'Data-PC'!$B$13:$AP$79,26,FALSE)*C57</f>
        <v>3.6674351999999999</v>
      </c>
      <c r="AD57" s="171">
        <f>VLOOKUP($B57,'Data-PC'!$B$13:$AP$79,27,FALSE)</f>
        <v>13</v>
      </c>
      <c r="AE57" s="169">
        <f>VLOOKUP($B57,'Data-PC'!$B$13:$AP$79,28,FALSE)</f>
        <v>125</v>
      </c>
      <c r="AF57" s="169">
        <f>VLOOKUP($B57,'Data-PC'!$B$13:$AP$79,29,FALSE)</f>
        <v>4</v>
      </c>
      <c r="AG57" s="172">
        <f>VLOOKUP($B57,'Data-PC'!$B$13:$AP$79,30,FALSE)</f>
        <v>3.52</v>
      </c>
      <c r="AH57" s="170">
        <f>VLOOKUP($B57,'Data-PC'!$B$13:$AP$79,31,FALSE)*C57</f>
        <v>3.6674351999999999</v>
      </c>
      <c r="AI57" s="171">
        <f>VLOOKUP($B57,'Data-PC'!$B$13:$AP$79,32,FALSE)</f>
        <v>13</v>
      </c>
      <c r="AJ57" s="169">
        <f>VLOOKUP($B57,'Data-PC'!$B$13:$AP$79,33,FALSE)</f>
        <v>125</v>
      </c>
      <c r="AK57" s="169">
        <f>VLOOKUP($B57,'Data-PC'!$B$13:$AP$79,34,FALSE)</f>
        <v>4</v>
      </c>
      <c r="AL57" s="172">
        <f>VLOOKUP($B57,'Data-PC'!$B$13:$AP$79,35,FALSE)</f>
        <v>5.28</v>
      </c>
      <c r="AM57" s="170">
        <f>VLOOKUP($B57,'Data-PC'!$B$13:$AP$79,36,FALSE)*C57</f>
        <v>5.5011527999999998</v>
      </c>
      <c r="AN57" s="171">
        <f>VLOOKUP($B57,'Data-PC'!$B$13:$AP$79,37,FALSE)</f>
        <v>13</v>
      </c>
      <c r="AO57" s="169">
        <f>VLOOKUP($B57,'Data-PC'!$B$13:$AP$79,38,FALSE)</f>
        <v>125</v>
      </c>
      <c r="AP57" s="169">
        <f>VLOOKUP($B57,'Data-PC'!$B$13:$AP$79,39,FALSE)</f>
        <v>4</v>
      </c>
      <c r="AQ57" s="172">
        <f>VLOOKUP($B57,'Data-PC'!$B$13:$AP$79,40,FALSE)</f>
        <v>5.28</v>
      </c>
      <c r="AR57" s="170">
        <f>VLOOKUP($B57,'Data-PC'!$B$13:$AP$79,41,FALSE)*C57</f>
        <v>5.5011527999999998</v>
      </c>
      <c r="AS57" s="171">
        <f>VLOOKUP($B57,'Data-PC'!$B$13:$AX$79,42,FALSE)</f>
        <v>0</v>
      </c>
      <c r="AT57" s="169">
        <f>VLOOKUP($B57,'Data-PC'!$B$13:$AX$79,43,FALSE)</f>
        <v>0</v>
      </c>
      <c r="AU57" s="169">
        <f>VLOOKUP($B57,'Data-PC'!$B$13:$AX$79,44,FALSE)</f>
        <v>1180</v>
      </c>
      <c r="AV57" s="170">
        <f>VLOOKUP($B57,'Data-PC'!$B$13:$AX$79,45,FALSE)*C57</f>
        <v>0</v>
      </c>
      <c r="AW57" s="171">
        <f>VLOOKUP($B57,'Data-PC'!$B$13:$AX$79,46,FALSE)</f>
        <v>0</v>
      </c>
      <c r="AX57" s="169">
        <f>VLOOKUP($B57,'Data-PC'!$B$13:$AX$79,47,FALSE)</f>
        <v>0</v>
      </c>
      <c r="AY57" s="169" t="e">
        <f>VLOOKUP($B57,'Data-PC'!$B$19:$AX$79,48,FALSE)</f>
        <v>#N/A</v>
      </c>
      <c r="AZ57" s="170">
        <f>VLOOKUP($B57,'Data-PC'!$B$13:$AX$79,49,FALSE)*C57</f>
        <v>0</v>
      </c>
      <c r="BA57" s="167">
        <f t="shared" si="13"/>
        <v>22.329679319999997</v>
      </c>
    </row>
    <row r="58" spans="1:57" s="173" customFormat="1" ht="12">
      <c r="A58" s="158">
        <f t="shared" si="5"/>
        <v>47</v>
      </c>
      <c r="B58" s="159" t="s">
        <v>2304</v>
      </c>
      <c r="C58" s="160">
        <v>1</v>
      </c>
      <c r="D58" s="1835"/>
      <c r="E58" s="161">
        <f>D58-(G58+'Data-PC'!$D$5)/1000</f>
        <v>-0.55000000000000004</v>
      </c>
      <c r="F58" s="162">
        <f>VLOOKUP(B58,'Data-PC'!$B$13:$AP$56,15,FALSE)</f>
        <v>1.69</v>
      </c>
      <c r="G58" s="163">
        <f>VLOOKUP(B58,'Data-PC'!$B$13:$G$56,4,FALSE)</f>
        <v>500</v>
      </c>
      <c r="H58" s="164">
        <f>C58*VLOOKUP(B58,'Data-PC'!$B$13:$BC$56,18,FALSE)</f>
        <v>1</v>
      </c>
      <c r="I58" s="164">
        <f>C58*VLOOKUP(B58,'Data-PC'!$B$13:$BC$56,51,FALSE)</f>
        <v>0</v>
      </c>
      <c r="J58" s="165">
        <f>F58*C58*'Data-PC'!$D$5/1000</f>
        <v>8.4500000000000006E-2</v>
      </c>
      <c r="K58" s="165">
        <f>F58*('Data-PC'!$D$4/1000)*C58</f>
        <v>0</v>
      </c>
      <c r="L58" s="166">
        <f t="shared" si="10"/>
        <v>0.92949999999999999</v>
      </c>
      <c r="M58" s="165">
        <f t="shared" si="11"/>
        <v>0.72</v>
      </c>
      <c r="N58" s="165"/>
      <c r="O58" s="165"/>
      <c r="P58" s="165"/>
      <c r="Q58" s="165"/>
      <c r="R58" s="165"/>
      <c r="S58" s="165">
        <f t="shared" si="12"/>
        <v>0.20950000000000002</v>
      </c>
      <c r="T58" s="167">
        <f>C58*VLOOKUP(B58,'Data-PC'!$B$13:$AP$56,16,FALSE)*(1+'Data-PC'!$T$3/100)</f>
        <v>0.125</v>
      </c>
      <c r="U58" s="167">
        <f>C58*VLOOKUP(B58,'Data-PC'!$B$13:$AP$56,17,FALSE)*(1+'Data-PC'!$T$5/100)</f>
        <v>1</v>
      </c>
      <c r="V58" s="168">
        <f>VLOOKUP($B58,'Data-PC'!$B$13:$AP$79,19,FALSE)</f>
        <v>2</v>
      </c>
      <c r="W58" s="169">
        <f>VLOOKUP($B58,'Data-PC'!$B$13:$AP$79,20,FALSE)</f>
        <v>13</v>
      </c>
      <c r="X58" s="170">
        <f>VLOOKUP($B58,'Data-PC'!$B$13:$AP$79,21,FALSE)*C58</f>
        <v>3.9925033199999995</v>
      </c>
      <c r="Y58" s="171">
        <f>VLOOKUP($B58,'Data-PC'!$B$13:$AP$79,22,FALSE)</f>
        <v>13</v>
      </c>
      <c r="Z58" s="169">
        <f>VLOOKUP($B58,'Data-PC'!$B$13:$AP$79,23,FALSE)</f>
        <v>125</v>
      </c>
      <c r="AA58" s="169">
        <f>VLOOKUP($B58,'Data-PC'!$B$13:$AP$79,24,FALSE)</f>
        <v>4</v>
      </c>
      <c r="AB58" s="172">
        <f>VLOOKUP($B58,'Data-PC'!$B$13:$AP$79,25,FALSE)</f>
        <v>3.52</v>
      </c>
      <c r="AC58" s="170">
        <f>VLOOKUP($B58,'Data-PC'!$B$13:$AP$79,26,FALSE)*C58</f>
        <v>3.6674351999999999</v>
      </c>
      <c r="AD58" s="171">
        <f>VLOOKUP($B58,'Data-PC'!$B$13:$AP$79,27,FALSE)</f>
        <v>13</v>
      </c>
      <c r="AE58" s="169">
        <f>VLOOKUP($B58,'Data-PC'!$B$13:$AP$79,28,FALSE)</f>
        <v>125</v>
      </c>
      <c r="AF58" s="169">
        <f>VLOOKUP($B58,'Data-PC'!$B$13:$AP$79,29,FALSE)</f>
        <v>4</v>
      </c>
      <c r="AG58" s="172">
        <f>VLOOKUP($B58,'Data-PC'!$B$13:$AP$79,30,FALSE)</f>
        <v>3.52</v>
      </c>
      <c r="AH58" s="170">
        <f>VLOOKUP($B58,'Data-PC'!$B$13:$AP$79,31,FALSE)*C58</f>
        <v>3.6674351999999999</v>
      </c>
      <c r="AI58" s="171">
        <f>VLOOKUP($B58,'Data-PC'!$B$13:$AP$79,32,FALSE)</f>
        <v>13</v>
      </c>
      <c r="AJ58" s="169">
        <f>VLOOKUP($B58,'Data-PC'!$B$13:$AP$79,33,FALSE)</f>
        <v>125</v>
      </c>
      <c r="AK58" s="169">
        <f>VLOOKUP($B58,'Data-PC'!$B$13:$AP$79,34,FALSE)</f>
        <v>4</v>
      </c>
      <c r="AL58" s="172">
        <f>VLOOKUP($B58,'Data-PC'!$B$13:$AP$79,35,FALSE)</f>
        <v>5.28</v>
      </c>
      <c r="AM58" s="170">
        <f>VLOOKUP($B58,'Data-PC'!$B$13:$AP$79,36,FALSE)*C58</f>
        <v>5.5011527999999998</v>
      </c>
      <c r="AN58" s="171">
        <f>VLOOKUP($B58,'Data-PC'!$B$13:$AP$79,37,FALSE)</f>
        <v>13</v>
      </c>
      <c r="AO58" s="169">
        <f>VLOOKUP($B58,'Data-PC'!$B$13:$AP$79,38,FALSE)</f>
        <v>125</v>
      </c>
      <c r="AP58" s="169">
        <f>VLOOKUP($B58,'Data-PC'!$B$13:$AP$79,39,FALSE)</f>
        <v>4</v>
      </c>
      <c r="AQ58" s="172">
        <f>VLOOKUP($B58,'Data-PC'!$B$13:$AP$79,40,FALSE)</f>
        <v>5.28</v>
      </c>
      <c r="AR58" s="170">
        <f>VLOOKUP($B58,'Data-PC'!$B$13:$AP$79,41,FALSE)*C58</f>
        <v>5.5011527999999998</v>
      </c>
      <c r="AS58" s="171">
        <f>VLOOKUP($B58,'Data-PC'!$B$13:$AX$79,42,FALSE)</f>
        <v>0</v>
      </c>
      <c r="AT58" s="169">
        <f>VLOOKUP($B58,'Data-PC'!$B$13:$AX$79,43,FALSE)</f>
        <v>0</v>
      </c>
      <c r="AU58" s="169">
        <f>VLOOKUP($B58,'Data-PC'!$B$13:$AX$79,44,FALSE)</f>
        <v>1180</v>
      </c>
      <c r="AV58" s="170">
        <f>VLOOKUP($B58,'Data-PC'!$B$13:$AX$79,45,FALSE)*C58</f>
        <v>0</v>
      </c>
      <c r="AW58" s="171">
        <f>VLOOKUP($B58,'Data-PC'!$B$13:$AX$79,46,FALSE)</f>
        <v>0</v>
      </c>
      <c r="AX58" s="169">
        <f>VLOOKUP($B58,'Data-PC'!$B$13:$AX$79,47,FALSE)</f>
        <v>0</v>
      </c>
      <c r="AY58" s="169" t="e">
        <f>VLOOKUP($B58,'Data-PC'!$B$19:$AX$79,48,FALSE)</f>
        <v>#N/A</v>
      </c>
      <c r="AZ58" s="170">
        <f>VLOOKUP($B58,'Data-PC'!$B$13:$AX$79,49,FALSE)*C58</f>
        <v>0</v>
      </c>
      <c r="BA58" s="167">
        <f t="shared" si="13"/>
        <v>22.329679319999997</v>
      </c>
    </row>
    <row r="59" spans="1:57" s="173" customFormat="1" ht="12">
      <c r="A59" s="158"/>
      <c r="B59" s="159"/>
      <c r="C59" s="160"/>
      <c r="D59" s="161"/>
      <c r="E59" s="161"/>
      <c r="F59" s="162"/>
      <c r="G59" s="163"/>
      <c r="H59" s="164"/>
      <c r="I59" s="164"/>
      <c r="J59" s="165"/>
      <c r="K59" s="165"/>
      <c r="L59" s="166"/>
      <c r="M59" s="165"/>
      <c r="N59" s="165"/>
      <c r="O59" s="165"/>
      <c r="P59" s="165"/>
      <c r="Q59" s="165"/>
      <c r="R59" s="165"/>
      <c r="S59" s="165">
        <f t="shared" ref="S59:S62" si="14">L59-M59</f>
        <v>0</v>
      </c>
      <c r="T59" s="167"/>
      <c r="U59" s="167"/>
      <c r="V59" s="168"/>
      <c r="W59" s="169"/>
      <c r="X59" s="170"/>
      <c r="Y59" s="171"/>
      <c r="Z59" s="169"/>
      <c r="AA59" s="169"/>
      <c r="AB59" s="172"/>
      <c r="AC59" s="170"/>
      <c r="AD59" s="171"/>
      <c r="AE59" s="169"/>
      <c r="AF59" s="169"/>
      <c r="AG59" s="172"/>
      <c r="AH59" s="170"/>
      <c r="AI59" s="171"/>
      <c r="AJ59" s="169"/>
      <c r="AK59" s="169"/>
      <c r="AL59" s="172"/>
      <c r="AM59" s="170"/>
      <c r="AN59" s="171"/>
      <c r="AO59" s="169"/>
      <c r="AP59" s="169"/>
      <c r="AQ59" s="172"/>
      <c r="AR59" s="170"/>
      <c r="AS59" s="171"/>
      <c r="AT59" s="169"/>
      <c r="AU59" s="169"/>
      <c r="AV59" s="170"/>
      <c r="AW59" s="171"/>
      <c r="AX59" s="169"/>
      <c r="AY59" s="169"/>
      <c r="AZ59" s="170"/>
      <c r="BA59" s="167"/>
    </row>
    <row r="60" spans="1:57" s="173" customFormat="1" ht="12">
      <c r="A60" s="158"/>
      <c r="B60" s="159"/>
      <c r="C60" s="160"/>
      <c r="D60" s="161"/>
      <c r="E60" s="161"/>
      <c r="F60" s="162"/>
      <c r="G60" s="163"/>
      <c r="H60" s="164"/>
      <c r="I60" s="164"/>
      <c r="J60" s="165"/>
      <c r="K60" s="165"/>
      <c r="L60" s="165"/>
      <c r="M60" s="165"/>
      <c r="N60" s="165"/>
      <c r="O60" s="165"/>
      <c r="P60" s="165"/>
      <c r="Q60" s="165"/>
      <c r="R60" s="165"/>
      <c r="S60" s="165">
        <f t="shared" si="14"/>
        <v>0</v>
      </c>
      <c r="T60" s="167"/>
      <c r="U60" s="167"/>
      <c r="V60" s="168"/>
      <c r="W60" s="169"/>
      <c r="X60" s="170"/>
      <c r="Y60" s="171"/>
      <c r="Z60" s="169"/>
      <c r="AA60" s="169"/>
      <c r="AB60" s="169"/>
      <c r="AC60" s="170"/>
      <c r="AD60" s="171"/>
      <c r="AE60" s="169"/>
      <c r="AF60" s="169"/>
      <c r="AG60" s="169"/>
      <c r="AH60" s="170"/>
      <c r="AI60" s="171"/>
      <c r="AJ60" s="169"/>
      <c r="AK60" s="169"/>
      <c r="AL60" s="169"/>
      <c r="AM60" s="170"/>
      <c r="AN60" s="171"/>
      <c r="AO60" s="169"/>
      <c r="AP60" s="169"/>
      <c r="AQ60" s="169"/>
      <c r="AR60" s="170"/>
      <c r="AS60" s="171"/>
      <c r="AT60" s="169"/>
      <c r="AU60" s="169"/>
      <c r="AV60" s="170"/>
      <c r="AW60" s="171"/>
      <c r="AX60" s="169"/>
      <c r="AY60" s="169"/>
      <c r="AZ60" s="170"/>
      <c r="BA60" s="167"/>
    </row>
    <row r="61" spans="1:57" s="173" customFormat="1" ht="12">
      <c r="A61" s="158"/>
      <c r="B61" s="159"/>
      <c r="C61" s="160"/>
      <c r="D61" s="186"/>
      <c r="E61" s="186"/>
      <c r="F61" s="162"/>
      <c r="G61" s="163"/>
      <c r="H61" s="164"/>
      <c r="I61" s="164"/>
      <c r="J61" s="165"/>
      <c r="K61" s="165"/>
      <c r="L61" s="165"/>
      <c r="M61" s="165"/>
      <c r="N61" s="165"/>
      <c r="O61" s="165"/>
      <c r="P61" s="165"/>
      <c r="Q61" s="165"/>
      <c r="R61" s="165"/>
      <c r="S61" s="165">
        <f t="shared" si="14"/>
        <v>0</v>
      </c>
      <c r="T61" s="167"/>
      <c r="U61" s="167"/>
      <c r="V61" s="168"/>
      <c r="W61" s="169"/>
      <c r="X61" s="170"/>
      <c r="Y61" s="171"/>
      <c r="Z61" s="169"/>
      <c r="AA61" s="169"/>
      <c r="AB61" s="169"/>
      <c r="AC61" s="170"/>
      <c r="AD61" s="171"/>
      <c r="AE61" s="169"/>
      <c r="AF61" s="169"/>
      <c r="AG61" s="169"/>
      <c r="AH61" s="170"/>
      <c r="AI61" s="171"/>
      <c r="AJ61" s="169"/>
      <c r="AK61" s="169"/>
      <c r="AL61" s="169"/>
      <c r="AM61" s="170"/>
      <c r="AN61" s="171"/>
      <c r="AO61" s="169"/>
      <c r="AP61" s="169"/>
      <c r="AQ61" s="169"/>
      <c r="AR61" s="170"/>
      <c r="AS61" s="171"/>
      <c r="AT61" s="169"/>
      <c r="AU61" s="169"/>
      <c r="AV61" s="170"/>
      <c r="AW61" s="171"/>
      <c r="AX61" s="169"/>
      <c r="AY61" s="169"/>
      <c r="AZ61" s="170"/>
      <c r="BA61" s="167"/>
    </row>
    <row r="62" spans="1:57" s="173" customFormat="1" ht="12">
      <c r="A62" s="158"/>
      <c r="B62" s="187"/>
      <c r="C62" s="160"/>
      <c r="D62" s="188"/>
      <c r="E62" s="188"/>
      <c r="F62" s="189"/>
      <c r="G62" s="189"/>
      <c r="H62" s="189"/>
      <c r="I62" s="189"/>
      <c r="J62" s="190"/>
      <c r="K62" s="190"/>
      <c r="L62" s="190"/>
      <c r="M62" s="190"/>
      <c r="N62" s="190"/>
      <c r="O62" s="190"/>
      <c r="P62" s="190"/>
      <c r="Q62" s="190"/>
      <c r="R62" s="190"/>
      <c r="S62" s="165">
        <f t="shared" si="14"/>
        <v>0</v>
      </c>
      <c r="T62" s="190"/>
      <c r="U62" s="190"/>
      <c r="V62" s="168"/>
      <c r="W62" s="169"/>
      <c r="X62" s="170"/>
      <c r="Y62" s="171"/>
      <c r="Z62" s="169"/>
      <c r="AA62" s="169"/>
      <c r="AB62" s="169"/>
      <c r="AC62" s="170"/>
      <c r="AD62" s="171"/>
      <c r="AE62" s="169"/>
      <c r="AF62" s="169"/>
      <c r="AG62" s="169"/>
      <c r="AH62" s="170"/>
      <c r="AI62" s="171"/>
      <c r="AJ62" s="169"/>
      <c r="AK62" s="169"/>
      <c r="AL62" s="169"/>
      <c r="AM62" s="170"/>
      <c r="AN62" s="171"/>
      <c r="AO62" s="169"/>
      <c r="AP62" s="169"/>
      <c r="AQ62" s="169"/>
      <c r="AR62" s="170"/>
      <c r="AS62" s="171"/>
      <c r="AT62" s="169"/>
      <c r="AU62" s="169"/>
      <c r="AV62" s="170"/>
      <c r="AW62" s="171"/>
      <c r="AX62" s="169"/>
      <c r="AY62" s="169"/>
      <c r="AZ62" s="170"/>
      <c r="BA62" s="190"/>
    </row>
    <row r="63" spans="1:57" s="198" customFormat="1" ht="18.75" customHeight="1">
      <c r="A63" s="191"/>
      <c r="B63" s="192"/>
      <c r="C63" s="193">
        <f>SUM(C10:C62)</f>
        <v>47</v>
      </c>
      <c r="D63" s="193"/>
      <c r="E63" s="193"/>
      <c r="F63" s="194">
        <f>SUM(F10:F62)</f>
        <v>130.98216749999997</v>
      </c>
      <c r="G63" s="194"/>
      <c r="H63" s="195">
        <f t="shared" ref="H63:U63" si="15">SUM(H10:H62)</f>
        <v>74</v>
      </c>
      <c r="I63" s="195">
        <f t="shared" si="15"/>
        <v>21</v>
      </c>
      <c r="J63" s="194">
        <f t="shared" si="15"/>
        <v>6.5491083750000021</v>
      </c>
      <c r="K63" s="194">
        <f t="shared" si="15"/>
        <v>0</v>
      </c>
      <c r="L63" s="194">
        <f t="shared" si="15"/>
        <v>86.010464025000047</v>
      </c>
      <c r="M63" s="194">
        <f t="shared" si="15"/>
        <v>54.920799999999993</v>
      </c>
      <c r="N63" s="194">
        <f t="shared" si="15"/>
        <v>0</v>
      </c>
      <c r="O63" s="194">
        <f t="shared" si="15"/>
        <v>0</v>
      </c>
      <c r="P63" s="194">
        <f t="shared" si="15"/>
        <v>0</v>
      </c>
      <c r="Q63" s="194">
        <f t="shared" si="15"/>
        <v>0</v>
      </c>
      <c r="R63" s="194">
        <f t="shared" si="15"/>
        <v>0</v>
      </c>
      <c r="S63" s="194">
        <f t="shared" si="15"/>
        <v>31.089664024999983</v>
      </c>
      <c r="T63" s="194">
        <f t="shared" si="15"/>
        <v>24.540555650000005</v>
      </c>
      <c r="U63" s="194">
        <f t="shared" si="15"/>
        <v>91.046590532243187</v>
      </c>
      <c r="V63" s="196"/>
      <c r="W63" s="196"/>
      <c r="X63" s="197">
        <f>SUM(X10:X62)</f>
        <v>350.22084893872432</v>
      </c>
      <c r="Y63" s="196"/>
      <c r="Z63" s="196"/>
      <c r="AA63" s="196"/>
      <c r="AB63" s="196"/>
      <c r="AC63" s="197">
        <f>SUM(AC10:AC62)</f>
        <v>770.88081050999995</v>
      </c>
      <c r="AD63" s="196"/>
      <c r="AE63" s="196"/>
      <c r="AF63" s="196"/>
      <c r="AG63" s="196"/>
      <c r="AH63" s="197">
        <f>SUM(AH10:AH62)</f>
        <v>543.17291665499999</v>
      </c>
      <c r="AI63" s="196"/>
      <c r="AJ63" s="196"/>
      <c r="AK63" s="196"/>
      <c r="AL63" s="196"/>
      <c r="AM63" s="197">
        <f>SUM(AM10:AM62)</f>
        <v>1028.6317296000002</v>
      </c>
      <c r="AN63" s="196"/>
      <c r="AO63" s="196"/>
      <c r="AP63" s="196"/>
      <c r="AQ63" s="196"/>
      <c r="AR63" s="197">
        <f>SUM(AR10:AR62)</f>
        <v>838.49997312000028</v>
      </c>
      <c r="AS63" s="196"/>
      <c r="AT63" s="196"/>
      <c r="AU63" s="196"/>
      <c r="AV63" s="197">
        <f>SUM(AV10:AV62)</f>
        <v>0</v>
      </c>
      <c r="AW63" s="196"/>
      <c r="AX63" s="196"/>
      <c r="AY63" s="196"/>
      <c r="AZ63" s="197">
        <f>SUM(AZ10:AZ62)</f>
        <v>0</v>
      </c>
      <c r="BA63" s="194">
        <f>SUM(BA10:BA62)</f>
        <v>3531.4062788237266</v>
      </c>
      <c r="BB63" s="198">
        <f>SUM(X63:AZ63)-BA63</f>
        <v>0</v>
      </c>
      <c r="BE63" s="198" t="s">
        <v>91</v>
      </c>
    </row>
    <row r="64" spans="1:57" ht="8.25" customHeight="1">
      <c r="C64" s="132"/>
      <c r="D64" s="132"/>
      <c r="E64" s="132"/>
      <c r="F64" s="132"/>
      <c r="J64" s="199"/>
    </row>
    <row r="65" spans="1:61">
      <c r="C65" s="132"/>
      <c r="D65" s="132" t="s">
        <v>92</v>
      </c>
      <c r="E65" s="132"/>
      <c r="F65" s="132"/>
      <c r="L65" s="200" t="s">
        <v>93</v>
      </c>
      <c r="S65" s="201"/>
      <c r="T65" s="201"/>
    </row>
    <row r="66" spans="1:61">
      <c r="C66" s="132"/>
      <c r="D66" s="202">
        <v>-3.6</v>
      </c>
      <c r="E66" s="202"/>
      <c r="F66" s="132"/>
      <c r="H66" s="12">
        <f>SUMIF($D$9:$D$62,D66,$H$9:$H$62)</f>
        <v>0</v>
      </c>
    </row>
    <row r="67" spans="1:61">
      <c r="C67" s="132"/>
      <c r="D67" s="202">
        <v>-1.5</v>
      </c>
      <c r="E67" s="202"/>
      <c r="F67" s="132"/>
      <c r="H67" s="12">
        <f>SUMIF($D$9:$D$62,D67,$H$9:$H$62)</f>
        <v>0</v>
      </c>
    </row>
    <row r="68" spans="1:61" s="12" customFormat="1">
      <c r="A68" s="13"/>
      <c r="B68" s="10"/>
      <c r="C68" s="132"/>
      <c r="D68" s="202">
        <v>-0.3</v>
      </c>
      <c r="E68" s="202"/>
      <c r="F68" s="132"/>
      <c r="H68" s="12">
        <f>SUMIF($D$9:$D$62,D68,$H$9:$H$62)</f>
        <v>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3"/>
      <c r="W68" s="13"/>
      <c r="X68" s="13"/>
      <c r="Y68" s="13"/>
      <c r="Z68" s="13"/>
      <c r="AA68" s="13"/>
      <c r="AB68" s="13"/>
      <c r="AC68" s="13"/>
      <c r="AD68" s="10"/>
      <c r="AE68" s="10"/>
      <c r="AF68" s="10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</row>
    <row r="69" spans="1:61" s="12" customFormat="1">
      <c r="A69" s="13"/>
      <c r="B69" s="10"/>
      <c r="C69" s="132"/>
      <c r="D69" s="132"/>
      <c r="E69" s="132"/>
      <c r="F69" s="132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3"/>
      <c r="W69" s="13"/>
      <c r="X69" s="13"/>
      <c r="Y69" s="13"/>
      <c r="Z69" s="13"/>
      <c r="AA69" s="13"/>
      <c r="AB69" s="13"/>
      <c r="AC69" s="13"/>
      <c r="AD69" s="10"/>
      <c r="AE69" s="10"/>
      <c r="AF69" s="10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</row>
    <row r="70" spans="1:61" s="12" customFormat="1">
      <c r="A70" s="13"/>
      <c r="B70" s="10"/>
      <c r="C70" s="132"/>
      <c r="D70" s="132"/>
      <c r="E70" s="132"/>
      <c r="F70" s="132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3"/>
      <c r="W70" s="13"/>
      <c r="X70" s="13"/>
      <c r="Y70" s="13"/>
      <c r="Z70" s="13"/>
      <c r="AA70" s="13"/>
      <c r="AB70" s="13"/>
      <c r="AC70" s="13"/>
      <c r="AD70" s="10"/>
      <c r="AE70" s="10"/>
      <c r="AF70" s="10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</row>
    <row r="71" spans="1:61" s="12" customFormat="1">
      <c r="A71" s="13"/>
      <c r="B71" s="10"/>
      <c r="C71" s="132"/>
      <c r="D71" s="132"/>
      <c r="E71" s="132"/>
      <c r="F71" s="132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3"/>
      <c r="W71" s="13"/>
      <c r="X71" s="13"/>
      <c r="Y71" s="13"/>
      <c r="Z71" s="13"/>
      <c r="AA71" s="13"/>
      <c r="AB71" s="13"/>
      <c r="AC71" s="13"/>
      <c r="AD71" s="10"/>
      <c r="AE71" s="10"/>
      <c r="AF71" s="10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</row>
    <row r="72" spans="1:61" s="12" customFormat="1">
      <c r="A72" s="13"/>
      <c r="B72" s="10"/>
      <c r="C72" s="132"/>
      <c r="D72" s="132"/>
      <c r="E72" s="132"/>
      <c r="F72" s="132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3"/>
      <c r="W72" s="13"/>
      <c r="X72" s="13"/>
      <c r="Y72" s="13"/>
      <c r="Z72" s="13"/>
      <c r="AA72" s="13"/>
      <c r="AB72" s="13"/>
      <c r="AC72" s="13"/>
      <c r="AD72" s="10"/>
      <c r="AE72" s="10"/>
      <c r="AF72" s="10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</row>
    <row r="73" spans="1:61" s="12" customFormat="1">
      <c r="A73" s="13"/>
      <c r="B73" s="10"/>
      <c r="C73" s="132"/>
      <c r="D73" s="132"/>
      <c r="E73" s="132"/>
      <c r="F73" s="132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3"/>
      <c r="W73" s="13"/>
      <c r="X73" s="13"/>
      <c r="Y73" s="13"/>
      <c r="Z73" s="13"/>
      <c r="AA73" s="13"/>
      <c r="AB73" s="13"/>
      <c r="AC73" s="13"/>
      <c r="AD73" s="10"/>
      <c r="AE73" s="10"/>
      <c r="AF73" s="10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</row>
    <row r="74" spans="1:61" s="12" customFormat="1">
      <c r="A74" s="13"/>
      <c r="B74" s="10"/>
      <c r="C74" s="132"/>
      <c r="D74" s="132"/>
      <c r="E74" s="132"/>
      <c r="F74" s="132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3"/>
      <c r="W74" s="13"/>
      <c r="X74" s="13"/>
      <c r="Y74" s="13"/>
      <c r="Z74" s="13"/>
      <c r="AA74" s="13"/>
      <c r="AB74" s="13"/>
      <c r="AC74" s="13"/>
      <c r="AD74" s="10"/>
      <c r="AE74" s="10"/>
      <c r="AF74" s="10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</row>
    <row r="75" spans="1:61" s="12" customFormat="1">
      <c r="A75" s="13"/>
      <c r="B75" s="10"/>
      <c r="C75" s="132"/>
      <c r="D75" s="132"/>
      <c r="E75" s="132"/>
      <c r="F75" s="132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3"/>
      <c r="W75" s="13"/>
      <c r="X75" s="13"/>
      <c r="Y75" s="13"/>
      <c r="Z75" s="13"/>
      <c r="AA75" s="13"/>
      <c r="AB75" s="13"/>
      <c r="AC75" s="13"/>
      <c r="AD75" s="10"/>
      <c r="AE75" s="10"/>
      <c r="AF75" s="10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</row>
    <row r="76" spans="1:61" s="12" customFormat="1">
      <c r="A76" s="13"/>
      <c r="B76" s="10"/>
      <c r="C76" s="132"/>
      <c r="D76" s="132"/>
      <c r="E76" s="132"/>
      <c r="F76" s="132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3"/>
      <c r="W76" s="13"/>
      <c r="X76" s="13"/>
      <c r="Y76" s="13"/>
      <c r="Z76" s="13"/>
      <c r="AA76" s="13"/>
      <c r="AB76" s="13"/>
      <c r="AC76" s="13"/>
      <c r="AD76" s="10"/>
      <c r="AE76" s="10"/>
      <c r="AF76" s="10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</row>
    <row r="77" spans="1:61" s="12" customFormat="1">
      <c r="A77" s="13"/>
      <c r="B77" s="10"/>
      <c r="C77" s="132"/>
      <c r="D77" s="132"/>
      <c r="E77" s="132"/>
      <c r="F77" s="13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3"/>
      <c r="W77" s="13"/>
      <c r="X77" s="13"/>
      <c r="Y77" s="13"/>
      <c r="Z77" s="13"/>
      <c r="AA77" s="13"/>
      <c r="AB77" s="13"/>
      <c r="AC77" s="13"/>
      <c r="AD77" s="10"/>
      <c r="AE77" s="10"/>
      <c r="AF77" s="10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</row>
    <row r="78" spans="1:61" s="12" customFormat="1">
      <c r="A78" s="13"/>
      <c r="B78" s="10"/>
      <c r="C78" s="132"/>
      <c r="D78" s="132"/>
      <c r="E78" s="132"/>
      <c r="F78" s="13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3"/>
      <c r="W78" s="13"/>
      <c r="X78" s="13"/>
      <c r="Y78" s="13"/>
      <c r="Z78" s="13"/>
      <c r="AA78" s="13"/>
      <c r="AB78" s="13"/>
      <c r="AC78" s="13"/>
      <c r="AD78" s="10"/>
      <c r="AE78" s="10"/>
      <c r="AF78" s="10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</row>
    <row r="79" spans="1:61" s="12" customFormat="1">
      <c r="A79" s="13"/>
      <c r="B79" s="10"/>
      <c r="C79" s="132"/>
      <c r="D79" s="132"/>
      <c r="E79" s="132"/>
      <c r="F79" s="132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3"/>
      <c r="W79" s="13"/>
      <c r="X79" s="13"/>
      <c r="Y79" s="13"/>
      <c r="Z79" s="13"/>
      <c r="AA79" s="13"/>
      <c r="AB79" s="13"/>
      <c r="AC79" s="13"/>
      <c r="AD79" s="10"/>
      <c r="AE79" s="10"/>
      <c r="AF79" s="10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</row>
    <row r="80" spans="1:61" s="12" customFormat="1">
      <c r="A80" s="13"/>
      <c r="B80" s="10"/>
      <c r="C80" s="132"/>
      <c r="D80" s="132"/>
      <c r="E80" s="132"/>
      <c r="F80" s="13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3"/>
      <c r="W80" s="13"/>
      <c r="X80" s="13"/>
      <c r="Y80" s="13"/>
      <c r="Z80" s="13"/>
      <c r="AA80" s="13"/>
      <c r="AB80" s="13"/>
      <c r="AC80" s="13"/>
      <c r="AD80" s="10"/>
      <c r="AE80" s="10"/>
      <c r="AF80" s="10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</row>
    <row r="81" spans="1:61" s="12" customFormat="1">
      <c r="A81" s="13"/>
      <c r="B81" s="10"/>
      <c r="C81" s="132"/>
      <c r="D81" s="132"/>
      <c r="E81" s="132"/>
      <c r="F81" s="13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3"/>
      <c r="W81" s="13"/>
      <c r="X81" s="13"/>
      <c r="Y81" s="13"/>
      <c r="Z81" s="13"/>
      <c r="AA81" s="13"/>
      <c r="AB81" s="13"/>
      <c r="AC81" s="13"/>
      <c r="AD81" s="10"/>
      <c r="AE81" s="10"/>
      <c r="AF81" s="10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</row>
    <row r="82" spans="1:61" s="12" customFormat="1">
      <c r="A82" s="13"/>
      <c r="B82" s="10"/>
      <c r="C82" s="132"/>
      <c r="D82" s="132"/>
      <c r="E82" s="132"/>
      <c r="F82" s="132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3"/>
      <c r="W82" s="13"/>
      <c r="X82" s="13"/>
      <c r="Y82" s="13"/>
      <c r="Z82" s="13"/>
      <c r="AA82" s="13"/>
      <c r="AB82" s="13"/>
      <c r="AC82" s="13"/>
      <c r="AD82" s="10"/>
      <c r="AE82" s="10"/>
      <c r="AF82" s="10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</row>
    <row r="83" spans="1:61" s="12" customFormat="1">
      <c r="A83" s="13"/>
      <c r="B83" s="10"/>
      <c r="C83" s="132"/>
      <c r="D83" s="132"/>
      <c r="E83" s="132"/>
      <c r="F83" s="132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3"/>
      <c r="W83" s="13"/>
      <c r="X83" s="13"/>
      <c r="Y83" s="13"/>
      <c r="Z83" s="13"/>
      <c r="AA83" s="13"/>
      <c r="AB83" s="13"/>
      <c r="AC83" s="13"/>
      <c r="AD83" s="10"/>
      <c r="AE83" s="10"/>
      <c r="AF83" s="10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</row>
    <row r="84" spans="1:61" s="12" customFormat="1">
      <c r="A84" s="13"/>
      <c r="B84" s="10"/>
      <c r="C84" s="132"/>
      <c r="D84" s="132"/>
      <c r="E84" s="132"/>
      <c r="F84" s="132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3"/>
      <c r="W84" s="13"/>
      <c r="X84" s="13"/>
      <c r="Y84" s="13"/>
      <c r="Z84" s="13"/>
      <c r="AA84" s="13"/>
      <c r="AB84" s="13"/>
      <c r="AC84" s="13"/>
      <c r="AD84" s="10"/>
      <c r="AE84" s="10"/>
      <c r="AF84" s="10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</row>
    <row r="85" spans="1:61" s="12" customFormat="1">
      <c r="A85" s="13"/>
      <c r="B85" s="10"/>
      <c r="C85" s="132"/>
      <c r="D85" s="132"/>
      <c r="E85" s="132"/>
      <c r="F85" s="13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3"/>
      <c r="W85" s="13"/>
      <c r="X85" s="13"/>
      <c r="Y85" s="13"/>
      <c r="Z85" s="13"/>
      <c r="AA85" s="13"/>
      <c r="AB85" s="13"/>
      <c r="AC85" s="13"/>
      <c r="AD85" s="10"/>
      <c r="AE85" s="10"/>
      <c r="AF85" s="10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</row>
    <row r="86" spans="1:61" s="12" customFormat="1">
      <c r="A86" s="13"/>
      <c r="B86" s="10"/>
      <c r="C86" s="132"/>
      <c r="D86" s="132"/>
      <c r="E86" s="132"/>
      <c r="F86" s="13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3"/>
      <c r="W86" s="13"/>
      <c r="X86" s="13"/>
      <c r="Y86" s="13"/>
      <c r="Z86" s="13"/>
      <c r="AA86" s="13"/>
      <c r="AB86" s="13"/>
      <c r="AC86" s="13"/>
      <c r="AD86" s="10"/>
      <c r="AE86" s="10"/>
      <c r="AF86" s="10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</row>
    <row r="87" spans="1:61" s="12" customFormat="1">
      <c r="A87" s="13"/>
      <c r="B87" s="10"/>
      <c r="C87" s="132"/>
      <c r="D87" s="132"/>
      <c r="E87" s="132"/>
      <c r="F87" s="132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3"/>
      <c r="W87" s="13"/>
      <c r="X87" s="13"/>
      <c r="Y87" s="13"/>
      <c r="Z87" s="13"/>
      <c r="AA87" s="13"/>
      <c r="AB87" s="13"/>
      <c r="AC87" s="13"/>
      <c r="AD87" s="10"/>
      <c r="AE87" s="10"/>
      <c r="AF87" s="10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</row>
    <row r="88" spans="1:61" s="12" customFormat="1">
      <c r="A88" s="13"/>
      <c r="B88" s="10"/>
      <c r="C88" s="132"/>
      <c r="D88" s="132"/>
      <c r="E88" s="132"/>
      <c r="F88" s="13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3"/>
      <c r="W88" s="13"/>
      <c r="X88" s="13"/>
      <c r="Y88" s="13"/>
      <c r="Z88" s="13"/>
      <c r="AA88" s="13"/>
      <c r="AB88" s="13"/>
      <c r="AC88" s="13"/>
      <c r="AD88" s="10"/>
      <c r="AE88" s="10"/>
      <c r="AF88" s="10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</row>
    <row r="89" spans="1:61" s="12" customFormat="1">
      <c r="A89" s="13"/>
      <c r="B89" s="10"/>
      <c r="C89" s="132"/>
      <c r="D89" s="132"/>
      <c r="E89" s="132"/>
      <c r="F89" s="13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3"/>
      <c r="W89" s="13"/>
      <c r="X89" s="13"/>
      <c r="Y89" s="13"/>
      <c r="Z89" s="13"/>
      <c r="AA89" s="13"/>
      <c r="AB89" s="13"/>
      <c r="AC89" s="13"/>
      <c r="AD89" s="10"/>
      <c r="AE89" s="10"/>
      <c r="AF89" s="10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</row>
    <row r="90" spans="1:61" s="12" customFormat="1">
      <c r="A90" s="13"/>
      <c r="B90" s="10"/>
      <c r="C90" s="132"/>
      <c r="D90" s="132"/>
      <c r="E90" s="132"/>
      <c r="F90" s="132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3"/>
      <c r="W90" s="13"/>
      <c r="X90" s="13"/>
      <c r="Y90" s="13"/>
      <c r="Z90" s="13"/>
      <c r="AA90" s="13"/>
      <c r="AB90" s="13"/>
      <c r="AC90" s="13"/>
      <c r="AD90" s="10"/>
      <c r="AE90" s="10"/>
      <c r="AF90" s="10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</row>
    <row r="91" spans="1:61" s="12" customFormat="1">
      <c r="A91" s="13"/>
      <c r="B91" s="10"/>
      <c r="C91" s="132"/>
      <c r="D91" s="132"/>
      <c r="E91" s="132"/>
      <c r="F91" s="132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3"/>
      <c r="W91" s="13"/>
      <c r="X91" s="13"/>
      <c r="Y91" s="13"/>
      <c r="Z91" s="13"/>
      <c r="AA91" s="13"/>
      <c r="AB91" s="13"/>
      <c r="AC91" s="13"/>
      <c r="AD91" s="10"/>
      <c r="AE91" s="10"/>
      <c r="AF91" s="10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</row>
    <row r="92" spans="1:61" s="12" customFormat="1">
      <c r="A92" s="13"/>
      <c r="B92" s="10"/>
      <c r="C92" s="132"/>
      <c r="D92" s="132"/>
      <c r="E92" s="132"/>
      <c r="F92" s="132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3"/>
      <c r="W92" s="13"/>
      <c r="X92" s="13"/>
      <c r="Y92" s="13"/>
      <c r="Z92" s="13"/>
      <c r="AA92" s="13"/>
      <c r="AB92" s="13"/>
      <c r="AC92" s="13"/>
      <c r="AD92" s="10"/>
      <c r="AE92" s="10"/>
      <c r="AF92" s="10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</row>
    <row r="93" spans="1:61" s="12" customFormat="1">
      <c r="A93" s="13"/>
      <c r="B93" s="10"/>
      <c r="C93" s="132"/>
      <c r="D93" s="132"/>
      <c r="E93" s="132"/>
      <c r="F93" s="132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3"/>
      <c r="W93" s="13"/>
      <c r="X93" s="13"/>
      <c r="Y93" s="13"/>
      <c r="Z93" s="13"/>
      <c r="AA93" s="13"/>
      <c r="AB93" s="13"/>
      <c r="AC93" s="13"/>
      <c r="AD93" s="10"/>
      <c r="AE93" s="10"/>
      <c r="AF93" s="10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</row>
    <row r="94" spans="1:61" s="12" customFormat="1">
      <c r="A94" s="13"/>
      <c r="B94" s="10"/>
      <c r="C94" s="132"/>
      <c r="D94" s="132"/>
      <c r="E94" s="132"/>
      <c r="F94" s="132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3"/>
      <c r="W94" s="13"/>
      <c r="X94" s="13"/>
      <c r="Y94" s="13"/>
      <c r="Z94" s="13"/>
      <c r="AA94" s="13"/>
      <c r="AB94" s="13"/>
      <c r="AC94" s="13"/>
      <c r="AD94" s="10"/>
      <c r="AE94" s="10"/>
      <c r="AF94" s="10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</row>
    <row r="95" spans="1:61" s="12" customFormat="1">
      <c r="A95" s="13"/>
      <c r="B95" s="10"/>
      <c r="C95" s="132"/>
      <c r="D95" s="132"/>
      <c r="E95" s="132"/>
      <c r="F95" s="132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3"/>
      <c r="W95" s="13"/>
      <c r="X95" s="13"/>
      <c r="Y95" s="13"/>
      <c r="Z95" s="13"/>
      <c r="AA95" s="13"/>
      <c r="AB95" s="13"/>
      <c r="AC95" s="13"/>
      <c r="AD95" s="10"/>
      <c r="AE95" s="10"/>
      <c r="AF95" s="10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</row>
    <row r="96" spans="1:61" s="12" customFormat="1">
      <c r="A96" s="13"/>
      <c r="B96" s="10"/>
      <c r="C96" s="132"/>
      <c r="D96" s="132"/>
      <c r="E96" s="132"/>
      <c r="F96" s="132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3"/>
      <c r="W96" s="13"/>
      <c r="X96" s="13"/>
      <c r="Y96" s="13"/>
      <c r="Z96" s="13"/>
      <c r="AA96" s="13"/>
      <c r="AB96" s="13"/>
      <c r="AC96" s="13"/>
      <c r="AD96" s="10"/>
      <c r="AE96" s="10"/>
      <c r="AF96" s="10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</row>
    <row r="97" spans="1:61" s="12" customFormat="1">
      <c r="A97" s="13"/>
      <c r="B97" s="10"/>
      <c r="C97" s="132"/>
      <c r="D97" s="132"/>
      <c r="E97" s="132"/>
      <c r="F97" s="132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3"/>
      <c r="W97" s="13"/>
      <c r="X97" s="13"/>
      <c r="Y97" s="13"/>
      <c r="Z97" s="13"/>
      <c r="AA97" s="13"/>
      <c r="AB97" s="13"/>
      <c r="AC97" s="13"/>
      <c r="AD97" s="10"/>
      <c r="AE97" s="10"/>
      <c r="AF97" s="10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</row>
    <row r="98" spans="1:61" s="12" customFormat="1">
      <c r="A98" s="13"/>
      <c r="B98" s="10"/>
      <c r="C98" s="132"/>
      <c r="D98" s="132"/>
      <c r="E98" s="132"/>
      <c r="F98" s="132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3"/>
      <c r="W98" s="13"/>
      <c r="X98" s="13"/>
      <c r="Y98" s="13"/>
      <c r="Z98" s="13"/>
      <c r="AA98" s="13"/>
      <c r="AB98" s="13"/>
      <c r="AC98" s="13"/>
      <c r="AD98" s="10"/>
      <c r="AE98" s="10"/>
      <c r="AF98" s="10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</row>
    <row r="99" spans="1:61" s="12" customFormat="1">
      <c r="A99" s="13"/>
      <c r="B99" s="10"/>
      <c r="C99" s="132"/>
      <c r="D99" s="132"/>
      <c r="E99" s="132"/>
      <c r="F99" s="132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3"/>
      <c r="W99" s="13"/>
      <c r="X99" s="13"/>
      <c r="Y99" s="13"/>
      <c r="Z99" s="13"/>
      <c r="AA99" s="13"/>
      <c r="AB99" s="13"/>
      <c r="AC99" s="13"/>
      <c r="AD99" s="10"/>
      <c r="AE99" s="10"/>
      <c r="AF99" s="10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</row>
    <row r="100" spans="1:61" s="12" customFormat="1">
      <c r="A100" s="13"/>
      <c r="B100" s="10"/>
      <c r="C100" s="132"/>
      <c r="D100" s="132"/>
      <c r="E100" s="132"/>
      <c r="F100" s="132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3"/>
      <c r="W100" s="13"/>
      <c r="X100" s="13"/>
      <c r="Y100" s="13"/>
      <c r="Z100" s="13"/>
      <c r="AA100" s="13"/>
      <c r="AB100" s="13"/>
      <c r="AC100" s="13"/>
      <c r="AD100" s="10"/>
      <c r="AE100" s="10"/>
      <c r="AF100" s="10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</row>
    <row r="101" spans="1:61" s="12" customFormat="1">
      <c r="A101" s="13"/>
      <c r="B101" s="10"/>
      <c r="C101" s="132"/>
      <c r="D101" s="132"/>
      <c r="E101" s="132"/>
      <c r="F101" s="132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3"/>
      <c r="W101" s="13"/>
      <c r="X101" s="13"/>
      <c r="Y101" s="13"/>
      <c r="Z101" s="13"/>
      <c r="AA101" s="13"/>
      <c r="AB101" s="13"/>
      <c r="AC101" s="13"/>
      <c r="AD101" s="10"/>
      <c r="AE101" s="10"/>
      <c r="AF101" s="10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</row>
    <row r="102" spans="1:61" s="12" customFormat="1">
      <c r="A102" s="13"/>
      <c r="B102" s="10"/>
      <c r="C102" s="132"/>
      <c r="D102" s="132"/>
      <c r="E102" s="132"/>
      <c r="F102" s="132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3"/>
      <c r="W102" s="13"/>
      <c r="X102" s="13"/>
      <c r="Y102" s="13"/>
      <c r="Z102" s="13"/>
      <c r="AA102" s="13"/>
      <c r="AB102" s="13"/>
      <c r="AC102" s="13"/>
      <c r="AD102" s="10"/>
      <c r="AE102" s="10"/>
      <c r="AF102" s="10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</row>
    <row r="103" spans="1:61" s="12" customFormat="1">
      <c r="A103" s="13"/>
      <c r="B103" s="10"/>
      <c r="C103" s="132"/>
      <c r="D103" s="132"/>
      <c r="E103" s="132"/>
      <c r="F103" s="132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3"/>
      <c r="W103" s="13"/>
      <c r="X103" s="13"/>
      <c r="Y103" s="13"/>
      <c r="Z103" s="13"/>
      <c r="AA103" s="13"/>
      <c r="AB103" s="13"/>
      <c r="AC103" s="13"/>
      <c r="AD103" s="10"/>
      <c r="AE103" s="10"/>
      <c r="AF103" s="10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</row>
    <row r="104" spans="1:61" s="12" customFormat="1">
      <c r="A104" s="13"/>
      <c r="B104" s="10"/>
      <c r="C104" s="132"/>
      <c r="D104" s="132"/>
      <c r="E104" s="132"/>
      <c r="F104" s="132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3"/>
      <c r="W104" s="13"/>
      <c r="X104" s="13"/>
      <c r="Y104" s="13"/>
      <c r="Z104" s="13"/>
      <c r="AA104" s="13"/>
      <c r="AB104" s="13"/>
      <c r="AC104" s="13"/>
      <c r="AD104" s="10"/>
      <c r="AE104" s="10"/>
      <c r="AF104" s="10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</row>
    <row r="105" spans="1:61" s="12" customFormat="1">
      <c r="A105" s="13"/>
      <c r="B105" s="10"/>
      <c r="C105" s="132"/>
      <c r="D105" s="132"/>
      <c r="E105" s="132"/>
      <c r="F105" s="132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3"/>
      <c r="W105" s="13"/>
      <c r="X105" s="13"/>
      <c r="Y105" s="13"/>
      <c r="Z105" s="13"/>
      <c r="AA105" s="13"/>
      <c r="AB105" s="13"/>
      <c r="AC105" s="13"/>
      <c r="AD105" s="10"/>
      <c r="AE105" s="10"/>
      <c r="AF105" s="10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</row>
    <row r="106" spans="1:61" s="12" customFormat="1">
      <c r="A106" s="13"/>
      <c r="B106" s="10"/>
      <c r="C106" s="132"/>
      <c r="D106" s="132"/>
      <c r="E106" s="132"/>
      <c r="F106" s="132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3"/>
      <c r="W106" s="13"/>
      <c r="X106" s="13"/>
      <c r="Y106" s="13"/>
      <c r="Z106" s="13"/>
      <c r="AA106" s="13"/>
      <c r="AB106" s="13"/>
      <c r="AC106" s="13"/>
      <c r="AD106" s="10"/>
      <c r="AE106" s="10"/>
      <c r="AF106" s="10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</row>
    <row r="107" spans="1:61" s="12" customFormat="1">
      <c r="A107" s="13"/>
      <c r="B107" s="10"/>
      <c r="C107" s="132"/>
      <c r="D107" s="132"/>
      <c r="E107" s="132"/>
      <c r="F107" s="132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3"/>
      <c r="W107" s="13"/>
      <c r="X107" s="13"/>
      <c r="Y107" s="13"/>
      <c r="Z107" s="13"/>
      <c r="AA107" s="13"/>
      <c r="AB107" s="13"/>
      <c r="AC107" s="13"/>
      <c r="AD107" s="10"/>
      <c r="AE107" s="10"/>
      <c r="AF107" s="10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</row>
    <row r="108" spans="1:61" s="12" customFormat="1">
      <c r="A108" s="13"/>
      <c r="B108" s="10"/>
      <c r="C108" s="132"/>
      <c r="D108" s="132"/>
      <c r="E108" s="132"/>
      <c r="F108" s="132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3"/>
      <c r="W108" s="13"/>
      <c r="X108" s="13"/>
      <c r="Y108" s="13"/>
      <c r="Z108" s="13"/>
      <c r="AA108" s="13"/>
      <c r="AB108" s="13"/>
      <c r="AC108" s="13"/>
      <c r="AD108" s="10"/>
      <c r="AE108" s="10"/>
      <c r="AF108" s="10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</row>
    <row r="109" spans="1:61" s="12" customFormat="1">
      <c r="A109" s="13"/>
      <c r="B109" s="10"/>
      <c r="C109" s="132"/>
      <c r="D109" s="132"/>
      <c r="E109" s="132"/>
      <c r="F109" s="132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3"/>
      <c r="W109" s="13"/>
      <c r="X109" s="13"/>
      <c r="Y109" s="13"/>
      <c r="Z109" s="13"/>
      <c r="AA109" s="13"/>
      <c r="AB109" s="13"/>
      <c r="AC109" s="13"/>
      <c r="AD109" s="10"/>
      <c r="AE109" s="10"/>
      <c r="AF109" s="10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</row>
    <row r="110" spans="1:61" s="12" customFormat="1">
      <c r="A110" s="13"/>
      <c r="B110" s="10"/>
      <c r="C110" s="132"/>
      <c r="D110" s="132"/>
      <c r="E110" s="132"/>
      <c r="F110" s="132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3"/>
      <c r="W110" s="13"/>
      <c r="X110" s="13"/>
      <c r="Y110" s="13"/>
      <c r="Z110" s="13"/>
      <c r="AA110" s="13"/>
      <c r="AB110" s="13"/>
      <c r="AC110" s="13"/>
      <c r="AD110" s="10"/>
      <c r="AE110" s="10"/>
      <c r="AF110" s="10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</row>
    <row r="111" spans="1:61" s="12" customFormat="1">
      <c r="A111" s="13"/>
      <c r="B111" s="10"/>
      <c r="C111" s="132"/>
      <c r="D111" s="132"/>
      <c r="E111" s="132"/>
      <c r="F111" s="132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3"/>
      <c r="W111" s="13"/>
      <c r="X111" s="13"/>
      <c r="Y111" s="13"/>
      <c r="Z111" s="13"/>
      <c r="AA111" s="13"/>
      <c r="AB111" s="13"/>
      <c r="AC111" s="13"/>
      <c r="AD111" s="10"/>
      <c r="AE111" s="10"/>
      <c r="AF111" s="10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</row>
    <row r="112" spans="1:61" s="12" customFormat="1">
      <c r="A112" s="13"/>
      <c r="B112" s="10"/>
      <c r="C112" s="132"/>
      <c r="D112" s="132"/>
      <c r="E112" s="132"/>
      <c r="F112" s="132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3"/>
      <c r="W112" s="13"/>
      <c r="X112" s="13"/>
      <c r="Y112" s="13"/>
      <c r="Z112" s="13"/>
      <c r="AA112" s="13"/>
      <c r="AB112" s="13"/>
      <c r="AC112" s="13"/>
      <c r="AD112" s="10"/>
      <c r="AE112" s="10"/>
      <c r="AF112" s="10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</row>
    <row r="113" spans="1:61" s="12" customFormat="1">
      <c r="A113" s="13"/>
      <c r="B113" s="10"/>
      <c r="C113" s="132"/>
      <c r="D113" s="132"/>
      <c r="E113" s="132"/>
      <c r="F113" s="132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3"/>
      <c r="W113" s="13"/>
      <c r="X113" s="13"/>
      <c r="Y113" s="13"/>
      <c r="Z113" s="13"/>
      <c r="AA113" s="13"/>
      <c r="AB113" s="13"/>
      <c r="AC113" s="13"/>
      <c r="AD113" s="10"/>
      <c r="AE113" s="10"/>
      <c r="AF113" s="10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</row>
    <row r="114" spans="1:61" s="12" customFormat="1">
      <c r="A114" s="13"/>
      <c r="B114" s="10"/>
      <c r="C114" s="132"/>
      <c r="D114" s="132"/>
      <c r="E114" s="132"/>
      <c r="F114" s="132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3"/>
      <c r="W114" s="13"/>
      <c r="X114" s="13"/>
      <c r="Y114" s="13"/>
      <c r="Z114" s="13"/>
      <c r="AA114" s="13"/>
      <c r="AB114" s="13"/>
      <c r="AC114" s="13"/>
      <c r="AD114" s="10"/>
      <c r="AE114" s="10"/>
      <c r="AF114" s="10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</row>
    <row r="115" spans="1:61" s="12" customFormat="1">
      <c r="A115" s="13"/>
      <c r="B115" s="10"/>
      <c r="C115" s="132"/>
      <c r="D115" s="132"/>
      <c r="E115" s="132"/>
      <c r="F115" s="132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3"/>
      <c r="W115" s="13"/>
      <c r="X115" s="13"/>
      <c r="Y115" s="13"/>
      <c r="Z115" s="13"/>
      <c r="AA115" s="13"/>
      <c r="AB115" s="13"/>
      <c r="AC115" s="13"/>
      <c r="AD115" s="10"/>
      <c r="AE115" s="10"/>
      <c r="AF115" s="10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</row>
    <row r="116" spans="1:61" s="12" customFormat="1">
      <c r="A116" s="13"/>
      <c r="B116" s="10"/>
      <c r="C116" s="132"/>
      <c r="D116" s="132"/>
      <c r="E116" s="132"/>
      <c r="F116" s="132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3"/>
      <c r="W116" s="13"/>
      <c r="X116" s="13"/>
      <c r="Y116" s="13"/>
      <c r="Z116" s="13"/>
      <c r="AA116" s="13"/>
      <c r="AB116" s="13"/>
      <c r="AC116" s="13"/>
      <c r="AD116" s="10"/>
      <c r="AE116" s="10"/>
      <c r="AF116" s="10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</row>
    <row r="117" spans="1:61" s="12" customFormat="1">
      <c r="A117" s="13"/>
      <c r="B117" s="10"/>
      <c r="C117" s="132"/>
      <c r="D117" s="132"/>
      <c r="E117" s="132"/>
      <c r="F117" s="132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3"/>
      <c r="W117" s="13"/>
      <c r="X117" s="13"/>
      <c r="Y117" s="13"/>
      <c r="Z117" s="13"/>
      <c r="AA117" s="13"/>
      <c r="AB117" s="13"/>
      <c r="AC117" s="13"/>
      <c r="AD117" s="10"/>
      <c r="AE117" s="10"/>
      <c r="AF117" s="10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</row>
    <row r="118" spans="1:61" s="12" customFormat="1">
      <c r="A118" s="13"/>
      <c r="B118" s="10"/>
      <c r="C118" s="132"/>
      <c r="D118" s="132"/>
      <c r="E118" s="132"/>
      <c r="F118" s="132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3"/>
      <c r="W118" s="13"/>
      <c r="X118" s="13"/>
      <c r="Y118" s="13"/>
      <c r="Z118" s="13"/>
      <c r="AA118" s="13"/>
      <c r="AB118" s="13"/>
      <c r="AC118" s="13"/>
      <c r="AD118" s="10"/>
      <c r="AE118" s="10"/>
      <c r="AF118" s="10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</row>
    <row r="119" spans="1:61" s="12" customFormat="1">
      <c r="A119" s="13"/>
      <c r="B119" s="10"/>
      <c r="C119" s="132"/>
      <c r="D119" s="132"/>
      <c r="E119" s="132"/>
      <c r="F119" s="132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3"/>
      <c r="W119" s="13"/>
      <c r="X119" s="13"/>
      <c r="Y119" s="13"/>
      <c r="Z119" s="13"/>
      <c r="AA119" s="13"/>
      <c r="AB119" s="13"/>
      <c r="AC119" s="13"/>
      <c r="AD119" s="10"/>
      <c r="AE119" s="10"/>
      <c r="AF119" s="10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</row>
    <row r="120" spans="1:61" s="12" customFormat="1">
      <c r="A120" s="13"/>
      <c r="B120" s="10"/>
      <c r="C120" s="132"/>
      <c r="D120" s="132"/>
      <c r="E120" s="132"/>
      <c r="F120" s="132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3"/>
      <c r="W120" s="13"/>
      <c r="X120" s="13"/>
      <c r="Y120" s="13"/>
      <c r="Z120" s="13"/>
      <c r="AA120" s="13"/>
      <c r="AB120" s="13"/>
      <c r="AC120" s="13"/>
      <c r="AD120" s="10"/>
      <c r="AE120" s="10"/>
      <c r="AF120" s="10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</row>
    <row r="121" spans="1:61" s="12" customFormat="1">
      <c r="A121" s="13"/>
      <c r="B121" s="10"/>
      <c r="C121" s="132"/>
      <c r="D121" s="132"/>
      <c r="E121" s="132"/>
      <c r="F121" s="132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3"/>
      <c r="W121" s="13"/>
      <c r="X121" s="13"/>
      <c r="Y121" s="13"/>
      <c r="Z121" s="13"/>
      <c r="AA121" s="13"/>
      <c r="AB121" s="13"/>
      <c r="AC121" s="13"/>
      <c r="AD121" s="10"/>
      <c r="AE121" s="10"/>
      <c r="AF121" s="10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</row>
    <row r="122" spans="1:61" s="12" customFormat="1">
      <c r="A122" s="13"/>
      <c r="B122" s="10"/>
      <c r="C122" s="132"/>
      <c r="D122" s="132"/>
      <c r="E122" s="132"/>
      <c r="F122" s="132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3"/>
      <c r="W122" s="13"/>
      <c r="X122" s="13"/>
      <c r="Y122" s="13"/>
      <c r="Z122" s="13"/>
      <c r="AA122" s="13"/>
      <c r="AB122" s="13"/>
      <c r="AC122" s="13"/>
      <c r="AD122" s="10"/>
      <c r="AE122" s="10"/>
      <c r="AF122" s="10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</row>
    <row r="123" spans="1:61" s="12" customFormat="1">
      <c r="A123" s="13"/>
      <c r="B123" s="10"/>
      <c r="C123" s="132"/>
      <c r="D123" s="132"/>
      <c r="E123" s="132"/>
      <c r="F123" s="132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3"/>
      <c r="W123" s="13"/>
      <c r="X123" s="13"/>
      <c r="Y123" s="13"/>
      <c r="Z123" s="13"/>
      <c r="AA123" s="13"/>
      <c r="AB123" s="13"/>
      <c r="AC123" s="13"/>
      <c r="AD123" s="10"/>
      <c r="AE123" s="10"/>
      <c r="AF123" s="10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</row>
    <row r="124" spans="1:61" s="12" customFormat="1">
      <c r="A124" s="13"/>
      <c r="B124" s="10"/>
      <c r="C124" s="132"/>
      <c r="D124" s="132"/>
      <c r="E124" s="132"/>
      <c r="F124" s="132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3"/>
      <c r="W124" s="13"/>
      <c r="X124" s="13"/>
      <c r="Y124" s="13"/>
      <c r="Z124" s="13"/>
      <c r="AA124" s="13"/>
      <c r="AB124" s="13"/>
      <c r="AC124" s="13"/>
      <c r="AD124" s="10"/>
      <c r="AE124" s="10"/>
      <c r="AF124" s="10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</row>
    <row r="125" spans="1:61" s="12" customFormat="1">
      <c r="A125" s="13"/>
      <c r="B125" s="10"/>
      <c r="C125" s="132"/>
      <c r="D125" s="132"/>
      <c r="E125" s="132"/>
      <c r="F125" s="132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3"/>
      <c r="W125" s="13"/>
      <c r="X125" s="13"/>
      <c r="Y125" s="13"/>
      <c r="Z125" s="13"/>
      <c r="AA125" s="13"/>
      <c r="AB125" s="13"/>
      <c r="AC125" s="13"/>
      <c r="AD125" s="10"/>
      <c r="AE125" s="10"/>
      <c r="AF125" s="10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</row>
    <row r="126" spans="1:61" s="12" customFormat="1">
      <c r="A126" s="13"/>
      <c r="B126" s="10"/>
      <c r="C126" s="132"/>
      <c r="D126" s="132"/>
      <c r="E126" s="132"/>
      <c r="F126" s="132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3"/>
      <c r="W126" s="13"/>
      <c r="X126" s="13"/>
      <c r="Y126" s="13"/>
      <c r="Z126" s="13"/>
      <c r="AA126" s="13"/>
      <c r="AB126" s="13"/>
      <c r="AC126" s="13"/>
      <c r="AD126" s="10"/>
      <c r="AE126" s="10"/>
      <c r="AF126" s="10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</row>
    <row r="127" spans="1:61" s="12" customFormat="1">
      <c r="A127" s="13"/>
      <c r="B127" s="10"/>
      <c r="C127" s="132"/>
      <c r="D127" s="132"/>
      <c r="E127" s="132"/>
      <c r="F127" s="132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3"/>
      <c r="W127" s="13"/>
      <c r="X127" s="13"/>
      <c r="Y127" s="13"/>
      <c r="Z127" s="13"/>
      <c r="AA127" s="13"/>
      <c r="AB127" s="13"/>
      <c r="AC127" s="13"/>
      <c r="AD127" s="10"/>
      <c r="AE127" s="10"/>
      <c r="AF127" s="10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</row>
    <row r="128" spans="1:61" s="12" customFormat="1">
      <c r="A128" s="13"/>
      <c r="B128" s="10"/>
      <c r="C128" s="132"/>
      <c r="D128" s="132"/>
      <c r="E128" s="132"/>
      <c r="F128" s="132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3"/>
      <c r="W128" s="13"/>
      <c r="X128" s="13"/>
      <c r="Y128" s="13"/>
      <c r="Z128" s="13"/>
      <c r="AA128" s="13"/>
      <c r="AB128" s="13"/>
      <c r="AC128" s="13"/>
      <c r="AD128" s="10"/>
      <c r="AE128" s="10"/>
      <c r="AF128" s="10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</row>
    <row r="129" spans="1:61" s="12" customFormat="1">
      <c r="A129" s="13"/>
      <c r="B129" s="10"/>
      <c r="C129" s="132"/>
      <c r="D129" s="132"/>
      <c r="E129" s="132"/>
      <c r="F129" s="132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3"/>
      <c r="W129" s="13"/>
      <c r="X129" s="13"/>
      <c r="Y129" s="13"/>
      <c r="Z129" s="13"/>
      <c r="AA129" s="13"/>
      <c r="AB129" s="13"/>
      <c r="AC129" s="13"/>
      <c r="AD129" s="10"/>
      <c r="AE129" s="10"/>
      <c r="AF129" s="10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</row>
    <row r="130" spans="1:61" s="12" customFormat="1">
      <c r="A130" s="13"/>
      <c r="B130" s="10"/>
      <c r="C130" s="132"/>
      <c r="D130" s="132"/>
      <c r="E130" s="132"/>
      <c r="F130" s="132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3"/>
      <c r="W130" s="13"/>
      <c r="X130" s="13"/>
      <c r="Y130" s="13"/>
      <c r="Z130" s="13"/>
      <c r="AA130" s="13"/>
      <c r="AB130" s="13"/>
      <c r="AC130" s="13"/>
      <c r="AD130" s="10"/>
      <c r="AE130" s="10"/>
      <c r="AF130" s="10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</row>
    <row r="131" spans="1:61" s="12" customFormat="1">
      <c r="A131" s="13"/>
      <c r="B131" s="10"/>
      <c r="C131" s="132"/>
      <c r="D131" s="132"/>
      <c r="E131" s="132"/>
      <c r="F131" s="132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3"/>
      <c r="W131" s="13"/>
      <c r="X131" s="13"/>
      <c r="Y131" s="13"/>
      <c r="Z131" s="13"/>
      <c r="AA131" s="13"/>
      <c r="AB131" s="13"/>
      <c r="AC131" s="13"/>
      <c r="AD131" s="10"/>
      <c r="AE131" s="10"/>
      <c r="AF131" s="10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</row>
    <row r="132" spans="1:61" s="12" customFormat="1">
      <c r="A132" s="13"/>
      <c r="B132" s="10"/>
      <c r="C132" s="132"/>
      <c r="D132" s="132"/>
      <c r="E132" s="132"/>
      <c r="F132" s="132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3"/>
      <c r="W132" s="13"/>
      <c r="X132" s="13"/>
      <c r="Y132" s="13"/>
      <c r="Z132" s="13"/>
      <c r="AA132" s="13"/>
      <c r="AB132" s="13"/>
      <c r="AC132" s="13"/>
      <c r="AD132" s="10"/>
      <c r="AE132" s="10"/>
      <c r="AF132" s="10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</row>
    <row r="133" spans="1:61" s="12" customFormat="1">
      <c r="A133" s="13"/>
      <c r="B133" s="10"/>
      <c r="C133" s="132"/>
      <c r="D133" s="132"/>
      <c r="E133" s="132"/>
      <c r="F133" s="132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3"/>
      <c r="W133" s="13"/>
      <c r="X133" s="13"/>
      <c r="Y133" s="13"/>
      <c r="Z133" s="13"/>
      <c r="AA133" s="13"/>
      <c r="AB133" s="13"/>
      <c r="AC133" s="13"/>
      <c r="AD133" s="10"/>
      <c r="AE133" s="10"/>
      <c r="AF133" s="10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</row>
    <row r="134" spans="1:61" s="12" customFormat="1">
      <c r="A134" s="13"/>
      <c r="B134" s="10"/>
      <c r="C134" s="132"/>
      <c r="D134" s="132"/>
      <c r="E134" s="132"/>
      <c r="F134" s="132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3"/>
      <c r="W134" s="13"/>
      <c r="X134" s="13"/>
      <c r="Y134" s="13"/>
      <c r="Z134" s="13"/>
      <c r="AA134" s="13"/>
      <c r="AB134" s="13"/>
      <c r="AC134" s="13"/>
      <c r="AD134" s="10"/>
      <c r="AE134" s="10"/>
      <c r="AF134" s="10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</row>
    <row r="135" spans="1:61" s="12" customFormat="1">
      <c r="A135" s="13"/>
      <c r="B135" s="10"/>
      <c r="C135" s="132"/>
      <c r="D135" s="132"/>
      <c r="E135" s="132"/>
      <c r="F135" s="132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3"/>
      <c r="W135" s="13"/>
      <c r="X135" s="13"/>
      <c r="Y135" s="13"/>
      <c r="Z135" s="13"/>
      <c r="AA135" s="13"/>
      <c r="AB135" s="13"/>
      <c r="AC135" s="13"/>
      <c r="AD135" s="10"/>
      <c r="AE135" s="10"/>
      <c r="AF135" s="10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</row>
    <row r="136" spans="1:61" s="12" customFormat="1">
      <c r="A136" s="13"/>
      <c r="B136" s="10"/>
      <c r="C136" s="132"/>
      <c r="D136" s="132"/>
      <c r="E136" s="132"/>
      <c r="F136" s="132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3"/>
      <c r="W136" s="13"/>
      <c r="X136" s="13"/>
      <c r="Y136" s="13"/>
      <c r="Z136" s="13"/>
      <c r="AA136" s="13"/>
      <c r="AB136" s="13"/>
      <c r="AC136" s="13"/>
      <c r="AD136" s="10"/>
      <c r="AE136" s="10"/>
      <c r="AF136" s="10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</row>
    <row r="137" spans="1:61" s="12" customFormat="1">
      <c r="A137" s="13"/>
      <c r="B137" s="10"/>
      <c r="C137" s="132"/>
      <c r="D137" s="132"/>
      <c r="E137" s="132"/>
      <c r="F137" s="132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3"/>
      <c r="W137" s="13"/>
      <c r="X137" s="13"/>
      <c r="Y137" s="13"/>
      <c r="Z137" s="13"/>
      <c r="AA137" s="13"/>
      <c r="AB137" s="13"/>
      <c r="AC137" s="13"/>
      <c r="AD137" s="10"/>
      <c r="AE137" s="10"/>
      <c r="AF137" s="10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</row>
    <row r="138" spans="1:61" s="12" customFormat="1">
      <c r="A138" s="13"/>
      <c r="B138" s="10"/>
      <c r="C138" s="132"/>
      <c r="D138" s="132"/>
      <c r="E138" s="132"/>
      <c r="F138" s="132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3"/>
      <c r="W138" s="13"/>
      <c r="X138" s="13"/>
      <c r="Y138" s="13"/>
      <c r="Z138" s="13"/>
      <c r="AA138" s="13"/>
      <c r="AB138" s="13"/>
      <c r="AC138" s="13"/>
      <c r="AD138" s="10"/>
      <c r="AE138" s="10"/>
      <c r="AF138" s="10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</row>
    <row r="139" spans="1:61" s="12" customFormat="1">
      <c r="A139" s="13"/>
      <c r="B139" s="10"/>
      <c r="C139" s="132"/>
      <c r="D139" s="132"/>
      <c r="E139" s="132"/>
      <c r="F139" s="132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3"/>
      <c r="W139" s="13"/>
      <c r="X139" s="13"/>
      <c r="Y139" s="13"/>
      <c r="Z139" s="13"/>
      <c r="AA139" s="13"/>
      <c r="AB139" s="13"/>
      <c r="AC139" s="13"/>
      <c r="AD139" s="10"/>
      <c r="AE139" s="10"/>
      <c r="AF139" s="10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</row>
    <row r="140" spans="1:61" s="12" customFormat="1">
      <c r="A140" s="13"/>
      <c r="B140" s="10"/>
      <c r="C140" s="132"/>
      <c r="D140" s="132"/>
      <c r="E140" s="132"/>
      <c r="F140" s="132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3"/>
      <c r="W140" s="13"/>
      <c r="X140" s="13"/>
      <c r="Y140" s="13"/>
      <c r="Z140" s="13"/>
      <c r="AA140" s="13"/>
      <c r="AB140" s="13"/>
      <c r="AC140" s="13"/>
      <c r="AD140" s="10"/>
      <c r="AE140" s="10"/>
      <c r="AF140" s="10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</row>
    <row r="141" spans="1:61" s="12" customFormat="1">
      <c r="A141" s="13"/>
      <c r="B141" s="10"/>
      <c r="C141" s="132"/>
      <c r="D141" s="132"/>
      <c r="E141" s="132"/>
      <c r="F141" s="132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3"/>
      <c r="W141" s="13"/>
      <c r="X141" s="13"/>
      <c r="Y141" s="13"/>
      <c r="Z141" s="13"/>
      <c r="AA141" s="13"/>
      <c r="AB141" s="13"/>
      <c r="AC141" s="13"/>
      <c r="AD141" s="10"/>
      <c r="AE141" s="10"/>
      <c r="AF141" s="10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</row>
    <row r="142" spans="1:61" s="12" customFormat="1">
      <c r="A142" s="13"/>
      <c r="B142" s="10"/>
      <c r="C142" s="132"/>
      <c r="D142" s="132"/>
      <c r="E142" s="132"/>
      <c r="F142" s="132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3"/>
      <c r="W142" s="13"/>
      <c r="X142" s="13"/>
      <c r="Y142" s="13"/>
      <c r="Z142" s="13"/>
      <c r="AA142" s="13"/>
      <c r="AB142" s="13"/>
      <c r="AC142" s="13"/>
      <c r="AD142" s="10"/>
      <c r="AE142" s="10"/>
      <c r="AF142" s="10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</row>
    <row r="143" spans="1:61" s="12" customFormat="1">
      <c r="A143" s="13"/>
      <c r="B143" s="10"/>
      <c r="C143" s="132"/>
      <c r="D143" s="132"/>
      <c r="E143" s="132"/>
      <c r="F143" s="132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3"/>
      <c r="W143" s="13"/>
      <c r="X143" s="13"/>
      <c r="Y143" s="13"/>
      <c r="Z143" s="13"/>
      <c r="AA143" s="13"/>
      <c r="AB143" s="13"/>
      <c r="AC143" s="13"/>
      <c r="AD143" s="10"/>
      <c r="AE143" s="10"/>
      <c r="AF143" s="10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</row>
    <row r="144" spans="1:61" s="12" customFormat="1">
      <c r="A144" s="13"/>
      <c r="B144" s="10"/>
      <c r="C144" s="132"/>
      <c r="D144" s="132"/>
      <c r="E144" s="132"/>
      <c r="F144" s="132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3"/>
      <c r="W144" s="13"/>
      <c r="X144" s="13"/>
      <c r="Y144" s="13"/>
      <c r="Z144" s="13"/>
      <c r="AA144" s="13"/>
      <c r="AB144" s="13"/>
      <c r="AC144" s="13"/>
      <c r="AD144" s="10"/>
      <c r="AE144" s="10"/>
      <c r="AF144" s="10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</row>
    <row r="145" spans="1:61" s="12" customFormat="1">
      <c r="A145" s="13"/>
      <c r="B145" s="10"/>
      <c r="C145" s="132"/>
      <c r="D145" s="132"/>
      <c r="E145" s="132"/>
      <c r="F145" s="132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3"/>
      <c r="W145" s="13"/>
      <c r="X145" s="13"/>
      <c r="Y145" s="13"/>
      <c r="Z145" s="13"/>
      <c r="AA145" s="13"/>
      <c r="AB145" s="13"/>
      <c r="AC145" s="13"/>
      <c r="AD145" s="10"/>
      <c r="AE145" s="10"/>
      <c r="AF145" s="10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</row>
    <row r="146" spans="1:61" s="12" customFormat="1">
      <c r="A146" s="13"/>
      <c r="B146" s="10"/>
      <c r="C146" s="132"/>
      <c r="D146" s="132"/>
      <c r="E146" s="132"/>
      <c r="F146" s="132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3"/>
      <c r="W146" s="13"/>
      <c r="X146" s="13"/>
      <c r="Y146" s="13"/>
      <c r="Z146" s="13"/>
      <c r="AA146" s="13"/>
      <c r="AB146" s="13"/>
      <c r="AC146" s="13"/>
      <c r="AD146" s="10"/>
      <c r="AE146" s="10"/>
      <c r="AF146" s="10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</row>
    <row r="147" spans="1:61" s="12" customFormat="1">
      <c r="A147" s="13"/>
      <c r="B147" s="10"/>
      <c r="C147" s="132"/>
      <c r="D147" s="132"/>
      <c r="E147" s="132"/>
      <c r="F147" s="132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3"/>
      <c r="W147" s="13"/>
      <c r="X147" s="13"/>
      <c r="Y147" s="13"/>
      <c r="Z147" s="13"/>
      <c r="AA147" s="13"/>
      <c r="AB147" s="13"/>
      <c r="AC147" s="13"/>
      <c r="AD147" s="10"/>
      <c r="AE147" s="10"/>
      <c r="AF147" s="10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</row>
    <row r="148" spans="1:61" s="12" customFormat="1">
      <c r="A148" s="13"/>
      <c r="B148" s="10"/>
      <c r="C148" s="132"/>
      <c r="D148" s="132"/>
      <c r="E148" s="132"/>
      <c r="F148" s="132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3"/>
      <c r="W148" s="13"/>
      <c r="X148" s="13"/>
      <c r="Y148" s="13"/>
      <c r="Z148" s="13"/>
      <c r="AA148" s="13"/>
      <c r="AB148" s="13"/>
      <c r="AC148" s="13"/>
      <c r="AD148" s="10"/>
      <c r="AE148" s="10"/>
      <c r="AF148" s="10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</row>
    <row r="149" spans="1:61" s="12" customFormat="1">
      <c r="A149" s="13"/>
      <c r="B149" s="10"/>
      <c r="C149" s="132"/>
      <c r="D149" s="132"/>
      <c r="E149" s="132"/>
      <c r="F149" s="132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3"/>
      <c r="W149" s="13"/>
      <c r="X149" s="13"/>
      <c r="Y149" s="13"/>
      <c r="Z149" s="13"/>
      <c r="AA149" s="13"/>
      <c r="AB149" s="13"/>
      <c r="AC149" s="13"/>
      <c r="AD149" s="10"/>
      <c r="AE149" s="10"/>
      <c r="AF149" s="10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</row>
    <row r="150" spans="1:61" s="12" customFormat="1">
      <c r="A150" s="13"/>
      <c r="B150" s="10"/>
      <c r="C150" s="132"/>
      <c r="D150" s="132"/>
      <c r="E150" s="132"/>
      <c r="F150" s="132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3"/>
      <c r="W150" s="13"/>
      <c r="X150" s="13"/>
      <c r="Y150" s="13"/>
      <c r="Z150" s="13"/>
      <c r="AA150" s="13"/>
      <c r="AB150" s="13"/>
      <c r="AC150" s="13"/>
      <c r="AD150" s="10"/>
      <c r="AE150" s="10"/>
      <c r="AF150" s="10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</row>
    <row r="151" spans="1:61" s="12" customFormat="1">
      <c r="A151" s="13"/>
      <c r="B151" s="10"/>
      <c r="C151" s="132"/>
      <c r="D151" s="132"/>
      <c r="E151" s="132"/>
      <c r="F151" s="132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3"/>
      <c r="W151" s="13"/>
      <c r="X151" s="13"/>
      <c r="Y151" s="13"/>
      <c r="Z151" s="13"/>
      <c r="AA151" s="13"/>
      <c r="AB151" s="13"/>
      <c r="AC151" s="13"/>
      <c r="AD151" s="10"/>
      <c r="AE151" s="10"/>
      <c r="AF151" s="10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</row>
    <row r="152" spans="1:61" s="12" customFormat="1">
      <c r="A152" s="13"/>
      <c r="B152" s="10"/>
      <c r="C152" s="132"/>
      <c r="D152" s="132"/>
      <c r="E152" s="132"/>
      <c r="F152" s="132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3"/>
      <c r="W152" s="13"/>
      <c r="X152" s="13"/>
      <c r="Y152" s="13"/>
      <c r="Z152" s="13"/>
      <c r="AA152" s="13"/>
      <c r="AB152" s="13"/>
      <c r="AC152" s="13"/>
      <c r="AD152" s="10"/>
      <c r="AE152" s="10"/>
      <c r="AF152" s="10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</row>
    <row r="153" spans="1:61" s="12" customFormat="1">
      <c r="A153" s="13"/>
      <c r="B153" s="10"/>
      <c r="C153" s="132"/>
      <c r="D153" s="132"/>
      <c r="E153" s="132"/>
      <c r="F153" s="132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3"/>
      <c r="W153" s="13"/>
      <c r="X153" s="13"/>
      <c r="Y153" s="13"/>
      <c r="Z153" s="13"/>
      <c r="AA153" s="13"/>
      <c r="AB153" s="13"/>
      <c r="AC153" s="13"/>
      <c r="AD153" s="10"/>
      <c r="AE153" s="10"/>
      <c r="AF153" s="10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</row>
    <row r="154" spans="1:61" s="12" customFormat="1">
      <c r="A154" s="13"/>
      <c r="B154" s="10"/>
      <c r="C154" s="132"/>
      <c r="D154" s="132"/>
      <c r="E154" s="132"/>
      <c r="F154" s="132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3"/>
      <c r="W154" s="13"/>
      <c r="X154" s="13"/>
      <c r="Y154" s="13"/>
      <c r="Z154" s="13"/>
      <c r="AA154" s="13"/>
      <c r="AB154" s="13"/>
      <c r="AC154" s="13"/>
      <c r="AD154" s="10"/>
      <c r="AE154" s="10"/>
      <c r="AF154" s="10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</row>
    <row r="155" spans="1:61" s="12" customFormat="1">
      <c r="A155" s="13"/>
      <c r="B155" s="10"/>
      <c r="C155" s="132"/>
      <c r="D155" s="132"/>
      <c r="E155" s="132"/>
      <c r="F155" s="132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3"/>
      <c r="W155" s="13"/>
      <c r="X155" s="13"/>
      <c r="Y155" s="13"/>
      <c r="Z155" s="13"/>
      <c r="AA155" s="13"/>
      <c r="AB155" s="13"/>
      <c r="AC155" s="13"/>
      <c r="AD155" s="10"/>
      <c r="AE155" s="10"/>
      <c r="AF155" s="10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</row>
    <row r="156" spans="1:61" s="12" customFormat="1">
      <c r="A156" s="13"/>
      <c r="B156" s="10"/>
      <c r="C156" s="132"/>
      <c r="D156" s="132"/>
      <c r="E156" s="132"/>
      <c r="F156" s="132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3"/>
      <c r="W156" s="13"/>
      <c r="X156" s="13"/>
      <c r="Y156" s="13"/>
      <c r="Z156" s="13"/>
      <c r="AA156" s="13"/>
      <c r="AB156" s="13"/>
      <c r="AC156" s="13"/>
      <c r="AD156" s="10"/>
      <c r="AE156" s="10"/>
      <c r="AF156" s="10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</row>
    <row r="157" spans="1:61" s="12" customFormat="1">
      <c r="A157" s="13"/>
      <c r="B157" s="10"/>
      <c r="C157" s="132"/>
      <c r="D157" s="132"/>
      <c r="E157" s="132"/>
      <c r="F157" s="132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3"/>
      <c r="W157" s="13"/>
      <c r="X157" s="13"/>
      <c r="Y157" s="13"/>
      <c r="Z157" s="13"/>
      <c r="AA157" s="13"/>
      <c r="AB157" s="13"/>
      <c r="AC157" s="13"/>
      <c r="AD157" s="10"/>
      <c r="AE157" s="10"/>
      <c r="AF157" s="10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</row>
    <row r="158" spans="1:61" s="12" customFormat="1">
      <c r="A158" s="13"/>
      <c r="B158" s="10"/>
      <c r="C158" s="132"/>
      <c r="D158" s="132"/>
      <c r="E158" s="132"/>
      <c r="F158" s="132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3"/>
      <c r="W158" s="13"/>
      <c r="X158" s="13"/>
      <c r="Y158" s="13"/>
      <c r="Z158" s="13"/>
      <c r="AA158" s="13"/>
      <c r="AB158" s="13"/>
      <c r="AC158" s="13"/>
      <c r="AD158" s="10"/>
      <c r="AE158" s="10"/>
      <c r="AF158" s="10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</row>
    <row r="159" spans="1:61" s="12" customFormat="1">
      <c r="A159" s="13"/>
      <c r="B159" s="10"/>
      <c r="C159" s="132"/>
      <c r="D159" s="132"/>
      <c r="E159" s="132"/>
      <c r="F159" s="132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3"/>
      <c r="W159" s="13"/>
      <c r="X159" s="13"/>
      <c r="Y159" s="13"/>
      <c r="Z159" s="13"/>
      <c r="AA159" s="13"/>
      <c r="AB159" s="13"/>
      <c r="AC159" s="13"/>
      <c r="AD159" s="10"/>
      <c r="AE159" s="10"/>
      <c r="AF159" s="10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</row>
    <row r="160" spans="1:61" s="12" customFormat="1">
      <c r="A160" s="13"/>
      <c r="B160" s="10"/>
      <c r="C160" s="132"/>
      <c r="D160" s="132"/>
      <c r="E160" s="132"/>
      <c r="F160" s="132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3"/>
      <c r="W160" s="13"/>
      <c r="X160" s="13"/>
      <c r="Y160" s="13"/>
      <c r="Z160" s="13"/>
      <c r="AA160" s="13"/>
      <c r="AB160" s="13"/>
      <c r="AC160" s="13"/>
      <c r="AD160" s="10"/>
      <c r="AE160" s="10"/>
      <c r="AF160" s="10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</row>
    <row r="161" spans="1:61" s="12" customFormat="1">
      <c r="A161" s="13"/>
      <c r="B161" s="10"/>
      <c r="C161" s="132"/>
      <c r="D161" s="132"/>
      <c r="E161" s="132"/>
      <c r="F161" s="132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3"/>
      <c r="W161" s="13"/>
      <c r="X161" s="13"/>
      <c r="Y161" s="13"/>
      <c r="Z161" s="13"/>
      <c r="AA161" s="13"/>
      <c r="AB161" s="13"/>
      <c r="AC161" s="13"/>
      <c r="AD161" s="10"/>
      <c r="AE161" s="10"/>
      <c r="AF161" s="10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</row>
    <row r="162" spans="1:61" s="12" customFormat="1">
      <c r="A162" s="13"/>
      <c r="B162" s="10"/>
      <c r="C162" s="132"/>
      <c r="D162" s="132"/>
      <c r="E162" s="132"/>
      <c r="F162" s="132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3"/>
      <c r="W162" s="13"/>
      <c r="X162" s="13"/>
      <c r="Y162" s="13"/>
      <c r="Z162" s="13"/>
      <c r="AA162" s="13"/>
      <c r="AB162" s="13"/>
      <c r="AC162" s="13"/>
      <c r="AD162" s="10"/>
      <c r="AE162" s="10"/>
      <c r="AF162" s="10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</row>
    <row r="163" spans="1:61" s="12" customFormat="1">
      <c r="A163" s="13"/>
      <c r="B163" s="10"/>
      <c r="C163" s="132"/>
      <c r="D163" s="132"/>
      <c r="E163" s="132"/>
      <c r="F163" s="132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3"/>
      <c r="W163" s="13"/>
      <c r="X163" s="13"/>
      <c r="Y163" s="13"/>
      <c r="Z163" s="13"/>
      <c r="AA163" s="13"/>
      <c r="AB163" s="13"/>
      <c r="AC163" s="13"/>
      <c r="AD163" s="10"/>
      <c r="AE163" s="10"/>
      <c r="AF163" s="10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</row>
    <row r="164" spans="1:61" s="12" customFormat="1">
      <c r="A164" s="13"/>
      <c r="B164" s="10"/>
      <c r="C164" s="132"/>
      <c r="D164" s="132"/>
      <c r="E164" s="132"/>
      <c r="F164" s="132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3"/>
      <c r="W164" s="13"/>
      <c r="X164" s="13"/>
      <c r="Y164" s="13"/>
      <c r="Z164" s="13"/>
      <c r="AA164" s="13"/>
      <c r="AB164" s="13"/>
      <c r="AC164" s="13"/>
      <c r="AD164" s="10"/>
      <c r="AE164" s="10"/>
      <c r="AF164" s="10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</row>
    <row r="165" spans="1:61" s="12" customFormat="1">
      <c r="A165" s="13"/>
      <c r="B165" s="10"/>
      <c r="C165" s="132"/>
      <c r="D165" s="132"/>
      <c r="E165" s="132"/>
      <c r="F165" s="132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3"/>
      <c r="W165" s="13"/>
      <c r="X165" s="13"/>
      <c r="Y165" s="13"/>
      <c r="Z165" s="13"/>
      <c r="AA165" s="13"/>
      <c r="AB165" s="13"/>
      <c r="AC165" s="13"/>
      <c r="AD165" s="10"/>
      <c r="AE165" s="10"/>
      <c r="AF165" s="10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</row>
    <row r="166" spans="1:61" s="12" customFormat="1">
      <c r="A166" s="13"/>
      <c r="B166" s="10"/>
      <c r="C166" s="132"/>
      <c r="D166" s="132"/>
      <c r="E166" s="132"/>
      <c r="F166" s="132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3"/>
      <c r="W166" s="13"/>
      <c r="X166" s="13"/>
      <c r="Y166" s="13"/>
      <c r="Z166" s="13"/>
      <c r="AA166" s="13"/>
      <c r="AB166" s="13"/>
      <c r="AC166" s="13"/>
      <c r="AD166" s="10"/>
      <c r="AE166" s="10"/>
      <c r="AF166" s="10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</row>
    <row r="167" spans="1:61" s="12" customFormat="1">
      <c r="A167" s="13"/>
      <c r="B167" s="10"/>
      <c r="C167" s="132"/>
      <c r="D167" s="132"/>
      <c r="E167" s="132"/>
      <c r="F167" s="132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3"/>
      <c r="W167" s="13"/>
      <c r="X167" s="13"/>
      <c r="Y167" s="13"/>
      <c r="Z167" s="13"/>
      <c r="AA167" s="13"/>
      <c r="AB167" s="13"/>
      <c r="AC167" s="13"/>
      <c r="AD167" s="10"/>
      <c r="AE167" s="10"/>
      <c r="AF167" s="10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</row>
    <row r="168" spans="1:61" s="12" customFormat="1">
      <c r="A168" s="13"/>
      <c r="B168" s="10"/>
      <c r="C168" s="132"/>
      <c r="D168" s="132"/>
      <c r="E168" s="132"/>
      <c r="F168" s="132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3"/>
      <c r="W168" s="13"/>
      <c r="X168" s="13"/>
      <c r="Y168" s="13"/>
      <c r="Z168" s="13"/>
      <c r="AA168" s="13"/>
      <c r="AB168" s="13"/>
      <c r="AC168" s="13"/>
      <c r="AD168" s="10"/>
      <c r="AE168" s="10"/>
      <c r="AF168" s="10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</row>
    <row r="169" spans="1:61" s="12" customFormat="1">
      <c r="A169" s="13"/>
      <c r="B169" s="10"/>
      <c r="C169" s="132"/>
      <c r="D169" s="132"/>
      <c r="E169" s="132"/>
      <c r="F169" s="132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3"/>
      <c r="W169" s="13"/>
      <c r="X169" s="13"/>
      <c r="Y169" s="13"/>
      <c r="Z169" s="13"/>
      <c r="AA169" s="13"/>
      <c r="AB169" s="13"/>
      <c r="AC169" s="13"/>
      <c r="AD169" s="10"/>
      <c r="AE169" s="10"/>
      <c r="AF169" s="10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</row>
    <row r="170" spans="1:61" s="12" customFormat="1">
      <c r="A170" s="13"/>
      <c r="B170" s="10"/>
      <c r="C170" s="132"/>
      <c r="D170" s="132"/>
      <c r="E170" s="132"/>
      <c r="F170" s="132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3"/>
      <c r="W170" s="13"/>
      <c r="X170" s="13"/>
      <c r="Y170" s="13"/>
      <c r="Z170" s="13"/>
      <c r="AA170" s="13"/>
      <c r="AB170" s="13"/>
      <c r="AC170" s="13"/>
      <c r="AD170" s="10"/>
      <c r="AE170" s="10"/>
      <c r="AF170" s="10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</row>
    <row r="1048467" spans="2:2">
      <c r="B1048467" s="159"/>
    </row>
  </sheetData>
  <sheetProtection insertRows="0" deleteRows="0"/>
  <protectedRanges>
    <protectedRange password="CF66" sqref="F3:R4 D60:E61 B1048467:B1048576 B10:B11 B59:B61 C59:C62 B12:C58" name="Range1"/>
  </protectedRanges>
  <autoFilter ref="A9:BA63"/>
  <mergeCells count="27">
    <mergeCell ref="F3:L3"/>
    <mergeCell ref="F4:L4"/>
    <mergeCell ref="A6:A8"/>
    <mergeCell ref="B6:B8"/>
    <mergeCell ref="C6:C7"/>
    <mergeCell ref="D6:D7"/>
    <mergeCell ref="E6:E7"/>
    <mergeCell ref="F6:F7"/>
    <mergeCell ref="G6:G7"/>
    <mergeCell ref="H6:H7"/>
    <mergeCell ref="AD6:AH6"/>
    <mergeCell ref="I6:I7"/>
    <mergeCell ref="J6:J7"/>
    <mergeCell ref="K6:K7"/>
    <mergeCell ref="L6:L7"/>
    <mergeCell ref="M6:M7"/>
    <mergeCell ref="P6:R6"/>
    <mergeCell ref="S6:S7"/>
    <mergeCell ref="T6:T7"/>
    <mergeCell ref="U6:U7"/>
    <mergeCell ref="V6:X6"/>
    <mergeCell ref="Y6:AC6"/>
    <mergeCell ref="AI6:AM6"/>
    <mergeCell ref="AN6:AR6"/>
    <mergeCell ref="AS6:AV6"/>
    <mergeCell ref="AW6:AZ6"/>
    <mergeCell ref="BA6:BA7"/>
  </mergeCells>
  <phoneticPr fontId="76" type="noConversion"/>
  <printOptions horizontalCentered="1"/>
  <pageMargins left="0.15" right="0.15" top="0.75" bottom="0.4" header="0.25" footer="0.1"/>
  <pageSetup paperSize="9" orientation="landscape" r:id="rId1"/>
  <headerFooter alignWithMargins="0">
    <oddFooter>&amp;L&amp;8&amp;Z&amp;F&amp;C&amp;8&amp;P/&amp;N&amp;R&amp;8&amp;D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25"/>
  <sheetViews>
    <sheetView zoomScale="85" zoomScaleNormal="85" workbookViewId="0">
      <selection activeCell="V11" sqref="V11"/>
    </sheetView>
  </sheetViews>
  <sheetFormatPr defaultColWidth="9.140625" defaultRowHeight="12.75"/>
  <cols>
    <col min="1" max="1" width="11.42578125" style="13" customWidth="1"/>
    <col min="2" max="2" width="8.42578125" style="13" bestFit="1" customWidth="1"/>
    <col min="3" max="3" width="9.85546875" style="13" bestFit="1" customWidth="1"/>
    <col min="4" max="4" width="10.140625" style="13" bestFit="1" customWidth="1"/>
    <col min="5" max="6" width="12.28515625" style="13" customWidth="1"/>
    <col min="7" max="8" width="10.140625" style="13" bestFit="1" customWidth="1"/>
    <col min="9" max="9" width="9.28515625" style="13" bestFit="1" customWidth="1"/>
    <col min="10" max="10" width="8.42578125" style="13" bestFit="1" customWidth="1"/>
    <col min="11" max="11" width="10.140625" style="13" bestFit="1" customWidth="1"/>
    <col min="12" max="13" width="10.140625" style="13" customWidth="1"/>
    <col min="14" max="14" width="10.5703125" style="13" bestFit="1" customWidth="1"/>
    <col min="15" max="16" width="10.140625" style="13" customWidth="1"/>
    <col min="17" max="17" width="9.42578125" style="13" bestFit="1" customWidth="1"/>
    <col min="18" max="18" width="10.5703125" style="13" bestFit="1" customWidth="1"/>
    <col min="19" max="19" width="10.140625" style="13" customWidth="1"/>
    <col min="20" max="20" width="9.140625" style="13"/>
    <col min="21" max="21" width="11.5703125" style="13" bestFit="1" customWidth="1"/>
    <col min="22" max="22" width="10.28515625" style="13" bestFit="1" customWidth="1"/>
    <col min="23" max="16384" width="9.140625" style="13"/>
  </cols>
  <sheetData>
    <row r="1" spans="1:21" ht="22.5">
      <c r="A1" s="1" t="s">
        <v>94</v>
      </c>
      <c r="B1" s="1"/>
      <c r="C1" s="1"/>
    </row>
    <row r="3" spans="1:21">
      <c r="A3" s="13" t="s">
        <v>1</v>
      </c>
      <c r="B3" s="203" t="str">
        <f>'Data-PC'!D2</f>
        <v>: ERNAWATI</v>
      </c>
    </row>
    <row r="5" spans="1:21" ht="13.5">
      <c r="A5" s="68"/>
    </row>
    <row r="6" spans="1:21" ht="13.5">
      <c r="A6" s="68"/>
    </row>
    <row r="7" spans="1:21" ht="13.5">
      <c r="A7" s="68"/>
    </row>
    <row r="8" spans="1:21" ht="22.5" customHeight="1">
      <c r="A8" s="2634" t="str">
        <f>'Hasil-PC'!A10</f>
        <v>BANGUNAN UTAMA</v>
      </c>
      <c r="B8" s="2634" t="s">
        <v>95</v>
      </c>
      <c r="C8" s="2640" t="s">
        <v>96</v>
      </c>
      <c r="D8" s="2642" t="s">
        <v>65</v>
      </c>
      <c r="E8" s="2636" t="s">
        <v>97</v>
      </c>
      <c r="F8" s="2636" t="s">
        <v>98</v>
      </c>
      <c r="G8" s="2638" t="s">
        <v>73</v>
      </c>
      <c r="H8" s="2638" t="s">
        <v>72</v>
      </c>
      <c r="I8" s="2640" t="s">
        <v>71</v>
      </c>
      <c r="J8" s="2644" t="s">
        <v>99</v>
      </c>
      <c r="K8" s="2645"/>
      <c r="L8" s="2645"/>
      <c r="M8" s="2645"/>
      <c r="N8" s="2645"/>
      <c r="O8" s="2645"/>
      <c r="P8" s="2645"/>
      <c r="Q8" s="2646"/>
      <c r="R8" s="2634" t="s">
        <v>100</v>
      </c>
      <c r="T8" s="10" t="s">
        <v>101</v>
      </c>
      <c r="U8" s="10" t="s">
        <v>102</v>
      </c>
    </row>
    <row r="9" spans="1:21" ht="22.5" customHeight="1" thickBot="1">
      <c r="A9" s="2635"/>
      <c r="B9" s="2635"/>
      <c r="C9" s="2641"/>
      <c r="D9" s="2643"/>
      <c r="E9" s="2637"/>
      <c r="F9" s="2637"/>
      <c r="G9" s="2639"/>
      <c r="H9" s="2639"/>
      <c r="I9" s="2641"/>
      <c r="J9" s="204">
        <v>6</v>
      </c>
      <c r="K9" s="205">
        <v>8</v>
      </c>
      <c r="L9" s="205">
        <v>10</v>
      </c>
      <c r="M9" s="205">
        <v>13</v>
      </c>
      <c r="N9" s="205">
        <v>16</v>
      </c>
      <c r="O9" s="205">
        <v>19</v>
      </c>
      <c r="P9" s="205">
        <v>22</v>
      </c>
      <c r="Q9" s="206">
        <v>25</v>
      </c>
      <c r="R9" s="2635"/>
    </row>
    <row r="10" spans="1:21" ht="13.5">
      <c r="A10" s="68"/>
      <c r="B10" s="207"/>
      <c r="C10" s="208"/>
      <c r="D10" s="209"/>
      <c r="E10" s="210"/>
      <c r="F10" s="210"/>
      <c r="G10" s="210"/>
      <c r="H10" s="210"/>
      <c r="I10" s="208"/>
      <c r="J10" s="211"/>
      <c r="K10" s="212"/>
      <c r="L10" s="212"/>
      <c r="M10" s="212"/>
      <c r="N10" s="212"/>
      <c r="O10" s="212"/>
      <c r="P10" s="212"/>
      <c r="Q10" s="213"/>
      <c r="R10" s="214"/>
    </row>
    <row r="11" spans="1:21">
      <c r="A11" s="215" t="s">
        <v>2304</v>
      </c>
      <c r="B11" s="215">
        <f>SUMIF('Hasil-PC'!$B$12:$B$58,$A11,'Hasil-PC'!$T$12:$T$58)</f>
        <v>3.125</v>
      </c>
      <c r="C11" s="216">
        <f>SUMIF('Hasil-PC'!$B$12:$B$58,$A11,'Hasil-PC'!$U$12:$U$58)</f>
        <v>25</v>
      </c>
      <c r="D11" s="217">
        <f>SUMIF('Hasil-PC'!$B$12:$B$58,$A11,'Hasil-PC'!$C$12:$C$58)</f>
        <v>25</v>
      </c>
      <c r="E11" s="218">
        <f>SUMIF('Hasil-PC'!$B$12:$B$58,$A11,'Hasil-PC'!H$12:H$58)</f>
        <v>25</v>
      </c>
      <c r="F11" s="218">
        <f>SUMIF('Hasil-PC'!$B$12:$B$58,$A11,'Hasil-PC'!I$12:I$58)</f>
        <v>0</v>
      </c>
      <c r="G11" s="218">
        <f>SUMIF('Hasil-PC'!$B$12:$B$58,$A11,'Hasil-PC'!$L$12:$L$58)</f>
        <v>23.237500000000015</v>
      </c>
      <c r="H11" s="218">
        <f>SUMIF('Hasil-PC'!$B$12:$B$58,$A11,'Hasil-PC'!$K$12:$K$58)</f>
        <v>0</v>
      </c>
      <c r="I11" s="216">
        <f>SUMIF('Hasil-PC'!$B$12:$B$58,$A11,'Hasil-PC'!$J$12:$J$58)</f>
        <v>2.1124999999999998</v>
      </c>
      <c r="J11" s="217">
        <f>SUMIFS('Hasil-PC'!$X$12:$X$58,'Hasil-PC'!$B$12:$B$58,$A11,'Hasil-PC'!$W$12:$W$58,J$9)+SUMIFS('Hasil-PC'!$AC$12:$AC$58,'Hasil-PC'!$B$12:$B$58,$A11,'Hasil-PC'!$Y$12:$Y$58,J$9)+SUMIFS('Hasil-PC'!$AH$12:$AH$58,'Hasil-PC'!$B$12:$B$58,$A11,'Hasil-PC'!$AD$12:$AD$58,J$9)+SUMIFS('Hasil-PC'!$AM$12:$AM$58,'Hasil-PC'!$B$12:$B$58,$A11,'Hasil-PC'!$AI$12:$AI$58,J$9)+SUMIFS('Hasil-PC'!$AR$12:$AR$58,'Hasil-PC'!$B$12:$B$58,$A11,'Hasil-PC'!$AN$12:$AN$58,J$9)+SUMIFS('Hasil-PC'!$AV$12:$AV$58,'Hasil-PC'!$B$12:$B$58,$A11,'Hasil-PC'!$AT$12:$AT$58,J$9)</f>
        <v>0</v>
      </c>
      <c r="K11" s="218">
        <f>SUMIFS('Hasil-PC'!$X$12:$X$58,'Hasil-PC'!$B$12:$B$58,$A11,'Hasil-PC'!$W$12:$W$58,K$9)+SUMIFS('Hasil-PC'!$AC$12:$AC$58,'Hasil-PC'!$B$12:$B$58,$A11,'Hasil-PC'!$Y$12:$Y$58,K$9)+SUMIFS('Hasil-PC'!$AH$12:$AH$58,'Hasil-PC'!$B$12:$B$58,$A11,'Hasil-PC'!$AD$12:$AD$58,K$9)+SUMIFS('Hasil-PC'!$AM$12:$AM$58,'Hasil-PC'!$B$12:$B$58,$A11,'Hasil-PC'!$AI$12:$AI$58,K$9)+SUMIFS('Hasil-PC'!$AR$12:$AR$58,'Hasil-PC'!$B$12:$B$58,$A11,'Hasil-PC'!$AN$12:$AN$58,K$9)+SUMIFS('Hasil-PC'!$AV$12:$AV$58,'Hasil-PC'!$B$12:$B$58,$A11,'Hasil-PC'!$AT$12:$AT$58,K$9)</f>
        <v>0</v>
      </c>
      <c r="L11" s="218">
        <f>SUMIFS('Hasil-PC'!$X$12:$X$58,'Hasil-PC'!$B$12:$B$58,$A11,'Hasil-PC'!$W$12:$W$58,L$9)+SUMIFS('Hasil-PC'!$AC$12:$AC$58,'Hasil-PC'!$B$12:$B$58,$A11,'Hasil-PC'!$Y$12:$Y$58,L$9)+SUMIFS('Hasil-PC'!$AH$12:$AH$58,'Hasil-PC'!$B$12:$B$58,$A11,'Hasil-PC'!$AD$12:$AD$58,L$9)+SUMIFS('Hasil-PC'!$AM$12:$AM$58,'Hasil-PC'!$B$12:$B$58,$A11,'Hasil-PC'!$AI$12:$AI$58,L$9)+SUMIFS('Hasil-PC'!$AR$12:$AR$58,'Hasil-PC'!$B$12:$B$58,$A11,'Hasil-PC'!$AN$12:$AN$58,L$9)+SUMIFS('Hasil-PC'!$AV$12:$AV$58,'Hasil-PC'!$B$12:$B$58,$A11,'Hasil-PC'!$AT$12:$AT$58,L$9)</f>
        <v>0</v>
      </c>
      <c r="M11" s="218">
        <f>SUMIFS('Hasil-PC'!$X$12:$X$58,'Hasil-PC'!$B$12:$B$58,$A11,'Hasil-PC'!$W$12:$W$58,M$9)+SUMIFS('Hasil-PC'!$AC$12:$AC$58,'Hasil-PC'!$B$12:$B$58,$A11,'Hasil-PC'!$Y$12:$Y$58,M$9)+SUMIFS('Hasil-PC'!$AH$12:$AH$58,'Hasil-PC'!$B$12:$B$58,$A11,'Hasil-PC'!$AD$12:$AD$58,M$9)+SUMIFS('Hasil-PC'!$AM$12:$AM$58,'Hasil-PC'!$B$12:$B$58,$A11,'Hasil-PC'!$AI$12:$AI$58,M$9)+SUMIFS('Hasil-PC'!$AR$12:$AR$58,'Hasil-PC'!$B$12:$B$58,$A11,'Hasil-PC'!$AN$12:$AN$58,M$9)+SUMIFS('Hasil-PC'!$AV$12:$AV$58,'Hasil-PC'!$B$12:$B$58,$A11,'Hasil-PC'!$AT$12:$AT$58,M$9)</f>
        <v>558.24198299999989</v>
      </c>
      <c r="N11" s="218">
        <f>SUMIFS('Hasil-PC'!$X$12:$X$58,'Hasil-PC'!$B$12:$B$58,$A11,'Hasil-PC'!$W$12:$W$58,N$9)+SUMIFS('Hasil-PC'!$AC$12:$AC$58,'Hasil-PC'!$B$12:$B$58,$A11,'Hasil-PC'!$Y$12:$Y$58,N$9)+SUMIFS('Hasil-PC'!$AH$12:$AH$58,'Hasil-PC'!$B$12:$B$58,$A11,'Hasil-PC'!$AD$12:$AD$58,N$9)+SUMIFS('Hasil-PC'!$AM$12:$AM$58,'Hasil-PC'!$B$12:$B$58,$A11,'Hasil-PC'!$AI$12:$AI$58,N$9)+SUMIFS('Hasil-PC'!$AR$12:$AR$58,'Hasil-PC'!$B$12:$B$58,$A11,'Hasil-PC'!$AN$12:$AN$58,N$9)+SUMIFS('Hasil-PC'!$AV$12:$AV$58,'Hasil-PC'!$B$12:$B$58,$A11,'Hasil-PC'!$AT$12:$AT$58,N$9)</f>
        <v>0</v>
      </c>
      <c r="O11" s="218">
        <f>SUMIFS('Hasil-PC'!$X$12:$X$58,'Hasil-PC'!$B$12:$B$58,$A11,'Hasil-PC'!$W$12:$W$58,O$9)+SUMIFS('Hasil-PC'!$AC$12:$AC$58,'Hasil-PC'!$B$12:$B$58,$A11,'Hasil-PC'!$Y$12:$Y$58,O$9)+SUMIFS('Hasil-PC'!$AH$12:$AH$58,'Hasil-PC'!$B$12:$B$58,$A11,'Hasil-PC'!$AD$12:$AD$58,O$9)+SUMIFS('Hasil-PC'!$AM$12:$AM$58,'Hasil-PC'!$B$12:$B$58,$A11,'Hasil-PC'!$AI$12:$AI$58,O$9)+SUMIFS('Hasil-PC'!$AR$12:$AR$58,'Hasil-PC'!$B$12:$B$58,$A11,'Hasil-PC'!$AN$12:$AN$58,O$9)+SUMIFS('Hasil-PC'!$AV$12:$AV$58,'Hasil-PC'!$B$12:$B$58,$A11,'Hasil-PC'!$AT$12:$AT$58,O$9)</f>
        <v>0</v>
      </c>
      <c r="P11" s="218">
        <f>SUMIFS('Hasil-PC'!$X$12:$X$58,'Hasil-PC'!$B$12:$B$58,$A11,'Hasil-PC'!$W$12:$W$58,P$9)+SUMIFS('Hasil-PC'!$AC$12:$AC$58,'Hasil-PC'!$B$12:$B$58,$A11,'Hasil-PC'!$Y$12:$Y$58,P$9)+SUMIFS('Hasil-PC'!$AH$12:$AH$58,'Hasil-PC'!$B$12:$B$58,$A11,'Hasil-PC'!$AD$12:$AD$58,P$9)+SUMIFS('Hasil-PC'!$AM$12:$AM$58,'Hasil-PC'!$B$12:$B$58,$A11,'Hasil-PC'!$AI$12:$AI$58,P$9)+SUMIFS('Hasil-PC'!$AR$12:$AR$58,'Hasil-PC'!$B$12:$B$58,$A11,'Hasil-PC'!$AN$12:$AN$58,P$9)+SUMIFS('Hasil-PC'!$AV$12:$AV$58,'Hasil-PC'!$B$12:$B$58,$A11,'Hasil-PC'!$AT$12:$AT$58,P$9)</f>
        <v>0</v>
      </c>
      <c r="Q11" s="219">
        <f>SUMIFS('Hasil-PC'!$X$12:$X$58,'Hasil-PC'!$B$12:$B$58,$A11,'Hasil-PC'!$W$12:$W$58,Q$9)+SUMIFS('Hasil-PC'!$AC$12:$AC$58,'Hasil-PC'!$B$12:$B$58,$A11,'Hasil-PC'!$Y$12:$Y$58,Q$9)+SUMIFS('Hasil-PC'!$AH$12:$AH$58,'Hasil-PC'!$B$12:$B$58,$A11,'Hasil-PC'!$AD$12:$AD$58,Q$9)+SUMIFS('Hasil-PC'!$AM$12:$AM$58,'Hasil-PC'!$B$12:$B$58,$A11,'Hasil-PC'!$AI$12:$AI$58,Q$9)+SUMIFS('Hasil-PC'!$AR$12:$AR$58,'Hasil-PC'!$B$12:$B$58,$A11,'Hasil-PC'!$AN$12:$AN$58,Q$9)+SUMIFS('Hasil-PC'!$AV$12:$AV$58,'Hasil-PC'!$B$12:$B$58,$A11,'Hasil-PC'!$AT$12:$AT$58,Q$9)</f>
        <v>0</v>
      </c>
      <c r="R11" s="220">
        <f>SUM(J11:Q11)</f>
        <v>558.24198299999989</v>
      </c>
      <c r="T11" s="221">
        <f>IF(B11&gt;0,C11/B11,0)</f>
        <v>8</v>
      </c>
      <c r="U11" s="221">
        <f>IF(B11&gt;0,R11/B11,0)</f>
        <v>178.63743455999997</v>
      </c>
    </row>
    <row r="12" spans="1:21">
      <c r="A12" s="215" t="s">
        <v>2305</v>
      </c>
      <c r="B12" s="215">
        <f>SUMIF('Hasil-PC'!$B$12:$B$58,$A12,'Hasil-PC'!$T$12:$T$58)</f>
        <v>0.33</v>
      </c>
      <c r="C12" s="216">
        <f>SUMIF('Hasil-PC'!$B$12:$B$58,$A12,'Hasil-PC'!$U$12:$U$58)</f>
        <v>1.92</v>
      </c>
      <c r="D12" s="217">
        <f>SUMIF('Hasil-PC'!$B$12:$B$58,$A12,'Hasil-PC'!$C$12:$C$58)</f>
        <v>1</v>
      </c>
      <c r="E12" s="218">
        <f>SUMIF('Hasil-PC'!$B$12:$B$58,$A12,'Hasil-PC'!H$12:H$58)</f>
        <v>2</v>
      </c>
      <c r="F12" s="218">
        <f>SUMIF('Hasil-PC'!$B$12:$B$58,$A12,'Hasil-PC'!I$12:I$58)</f>
        <v>0</v>
      </c>
      <c r="G12" s="218">
        <f>SUMIF('Hasil-PC'!$B$12:$B$58,$A12,'Hasil-PC'!$L$12:$L$58)</f>
        <v>1.6055000000000001</v>
      </c>
      <c r="H12" s="218">
        <f>SUMIF('Hasil-PC'!$B$12:$B$58,$A12,'Hasil-PC'!$K$12:$K$58)</f>
        <v>0</v>
      </c>
      <c r="I12" s="216">
        <f>SUMIF('Hasil-PC'!$B$12:$B$58,$A12,'Hasil-PC'!$J$12:$J$58)</f>
        <v>0.12350000000000001</v>
      </c>
      <c r="J12" s="217">
        <f>SUMIFS('Hasil-PC'!$X$12:$X$58,'Hasil-PC'!$B$12:$B$58,$A12,'Hasil-PC'!$W$12:$W$58,J$9)+SUMIFS('Hasil-PC'!$AC$12:$AC$58,'Hasil-PC'!$B$12:$B$58,$A12,'Hasil-PC'!$Y$12:$Y$58,J$9)+SUMIFS('Hasil-PC'!$AH$12:$AH$58,'Hasil-PC'!$B$12:$B$58,$A12,'Hasil-PC'!$AD$12:$AD$58,J$9)+SUMIFS('Hasil-PC'!$AM$12:$AM$58,'Hasil-PC'!$B$12:$B$58,$A12,'Hasil-PC'!$AI$12:$AI$58,J$9)+SUMIFS('Hasil-PC'!$AR$12:$AR$58,'Hasil-PC'!$B$12:$B$58,$A12,'Hasil-PC'!$AN$12:$AN$58,J$9)+SUMIFS('Hasil-PC'!$AV$12:$AV$58,'Hasil-PC'!$B$12:$B$58,$A12,'Hasil-PC'!$AT$12:$AT$58,J$9)</f>
        <v>0</v>
      </c>
      <c r="K12" s="218">
        <f>SUMIFS('Hasil-PC'!$X$12:$X$58,'Hasil-PC'!$B$12:$B$58,$A12,'Hasil-PC'!$W$12:$W$58,K$9)+SUMIFS('Hasil-PC'!$AC$12:$AC$58,'Hasil-PC'!$B$12:$B$58,$A12,'Hasil-PC'!$Y$12:$Y$58,K$9)+SUMIFS('Hasil-PC'!$AH$12:$AH$58,'Hasil-PC'!$B$12:$B$58,$A12,'Hasil-PC'!$AD$12:$AD$58,K$9)+SUMIFS('Hasil-PC'!$AM$12:$AM$58,'Hasil-PC'!$B$12:$B$58,$A12,'Hasil-PC'!$AI$12:$AI$58,K$9)+SUMIFS('Hasil-PC'!$AR$12:$AR$58,'Hasil-PC'!$B$12:$B$58,$A12,'Hasil-PC'!$AN$12:$AN$58,K$9)+SUMIFS('Hasil-PC'!$AV$12:$AV$58,'Hasil-PC'!$B$12:$B$58,$A12,'Hasil-PC'!$AT$12:$AT$58,K$9)</f>
        <v>0</v>
      </c>
      <c r="L12" s="218">
        <f>SUMIFS('Hasil-PC'!$X$12:$X$58,'Hasil-PC'!$B$12:$B$58,$A12,'Hasil-PC'!$W$12:$W$58,L$9)+SUMIFS('Hasil-PC'!$AC$12:$AC$58,'Hasil-PC'!$B$12:$B$58,$A12,'Hasil-PC'!$Y$12:$Y$58,L$9)+SUMIFS('Hasil-PC'!$AH$12:$AH$58,'Hasil-PC'!$B$12:$B$58,$A12,'Hasil-PC'!$AD$12:$AD$58,L$9)+SUMIFS('Hasil-PC'!$AM$12:$AM$58,'Hasil-PC'!$B$12:$B$58,$A12,'Hasil-PC'!$AI$12:$AI$58,L$9)+SUMIFS('Hasil-PC'!$AR$12:$AR$58,'Hasil-PC'!$B$12:$B$58,$A12,'Hasil-PC'!$AN$12:$AN$58,L$9)+SUMIFS('Hasil-PC'!$AV$12:$AV$58,'Hasil-PC'!$B$12:$B$58,$A12,'Hasil-PC'!$AT$12:$AT$58,L$9)</f>
        <v>0</v>
      </c>
      <c r="M12" s="218">
        <f>SUMIFS('Hasil-PC'!$X$12:$X$58,'Hasil-PC'!$B$12:$B$58,$A12,'Hasil-PC'!$W$12:$W$58,M$9)+SUMIFS('Hasil-PC'!$AC$12:$AC$58,'Hasil-PC'!$B$12:$B$58,$A12,'Hasil-PC'!$Y$12:$Y$58,M$9)+SUMIFS('Hasil-PC'!$AH$12:$AH$58,'Hasil-PC'!$B$12:$B$58,$A12,'Hasil-PC'!$AD$12:$AD$58,M$9)+SUMIFS('Hasil-PC'!$AM$12:$AM$58,'Hasil-PC'!$B$12:$B$58,$A12,'Hasil-PC'!$AI$12:$AI$58,M$9)+SUMIFS('Hasil-PC'!$AR$12:$AR$58,'Hasil-PC'!$B$12:$B$58,$A12,'Hasil-PC'!$AN$12:$AN$58,M$9)+SUMIFS('Hasil-PC'!$AV$12:$AV$58,'Hasil-PC'!$B$12:$B$58,$A12,'Hasil-PC'!$AT$12:$AT$58,M$9)</f>
        <v>30.081303720000001</v>
      </c>
      <c r="N12" s="218">
        <f>SUMIFS('Hasil-PC'!$X$12:$X$58,'Hasil-PC'!$B$12:$B$58,$A12,'Hasil-PC'!$W$12:$W$58,N$9)+SUMIFS('Hasil-PC'!$AC$12:$AC$58,'Hasil-PC'!$B$12:$B$58,$A12,'Hasil-PC'!$Y$12:$Y$58,N$9)+SUMIFS('Hasil-PC'!$AH$12:$AH$58,'Hasil-PC'!$B$12:$B$58,$A12,'Hasil-PC'!$AD$12:$AD$58,N$9)+SUMIFS('Hasil-PC'!$AM$12:$AM$58,'Hasil-PC'!$B$12:$B$58,$A12,'Hasil-PC'!$AI$12:$AI$58,N$9)+SUMIFS('Hasil-PC'!$AR$12:$AR$58,'Hasil-PC'!$B$12:$B$58,$A12,'Hasil-PC'!$AN$12:$AN$58,N$9)+SUMIFS('Hasil-PC'!$AV$12:$AV$58,'Hasil-PC'!$B$12:$B$58,$A12,'Hasil-PC'!$AT$12:$AT$58,N$9)</f>
        <v>19.191398400000001</v>
      </c>
      <c r="O12" s="218">
        <f>SUMIFS('Hasil-PC'!$X$12:$X$58,'Hasil-PC'!$B$12:$B$58,$A12,'Hasil-PC'!$W$12:$W$58,O$9)+SUMIFS('Hasil-PC'!$AC$12:$AC$58,'Hasil-PC'!$B$12:$B$58,$A12,'Hasil-PC'!$Y$12:$Y$58,O$9)+SUMIFS('Hasil-PC'!$AH$12:$AH$58,'Hasil-PC'!$B$12:$B$58,$A12,'Hasil-PC'!$AD$12:$AD$58,O$9)+SUMIFS('Hasil-PC'!$AM$12:$AM$58,'Hasil-PC'!$B$12:$B$58,$A12,'Hasil-PC'!$AI$12:$AI$58,O$9)+SUMIFS('Hasil-PC'!$AR$12:$AR$58,'Hasil-PC'!$B$12:$B$58,$A12,'Hasil-PC'!$AN$12:$AN$58,O$9)+SUMIFS('Hasil-PC'!$AV$12:$AV$58,'Hasil-PC'!$B$12:$B$58,$A12,'Hasil-PC'!$AT$12:$AT$58,O$9)</f>
        <v>0</v>
      </c>
      <c r="P12" s="218">
        <f>SUMIFS('Hasil-PC'!$X$12:$X$58,'Hasil-PC'!$B$12:$B$58,$A12,'Hasil-PC'!$W$12:$W$58,P$9)+SUMIFS('Hasil-PC'!$AC$12:$AC$58,'Hasil-PC'!$B$12:$B$58,$A12,'Hasil-PC'!$Y$12:$Y$58,P$9)+SUMIFS('Hasil-PC'!$AH$12:$AH$58,'Hasil-PC'!$B$12:$B$58,$A12,'Hasil-PC'!$AD$12:$AD$58,P$9)+SUMIFS('Hasil-PC'!$AM$12:$AM$58,'Hasil-PC'!$B$12:$B$58,$A12,'Hasil-PC'!$AI$12:$AI$58,P$9)+SUMIFS('Hasil-PC'!$AR$12:$AR$58,'Hasil-PC'!$B$12:$B$58,$A12,'Hasil-PC'!$AN$12:$AN$58,P$9)+SUMIFS('Hasil-PC'!$AV$12:$AV$58,'Hasil-PC'!$B$12:$B$58,$A12,'Hasil-PC'!$AT$12:$AT$58,P$9)</f>
        <v>0</v>
      </c>
      <c r="Q12" s="219">
        <f>SUMIFS('Hasil-PC'!$X$12:$X$58,'Hasil-PC'!$B$12:$B$58,$A12,'Hasil-PC'!$W$12:$W$58,Q$9)+SUMIFS('Hasil-PC'!$AC$12:$AC$58,'Hasil-PC'!$B$12:$B$58,$A12,'Hasil-PC'!$Y$12:$Y$58,Q$9)+SUMIFS('Hasil-PC'!$AH$12:$AH$58,'Hasil-PC'!$B$12:$B$58,$A12,'Hasil-PC'!$AD$12:$AD$58,Q$9)+SUMIFS('Hasil-PC'!$AM$12:$AM$58,'Hasil-PC'!$B$12:$B$58,$A12,'Hasil-PC'!$AI$12:$AI$58,Q$9)+SUMIFS('Hasil-PC'!$AR$12:$AR$58,'Hasil-PC'!$B$12:$B$58,$A12,'Hasil-PC'!$AN$12:$AN$58,Q$9)+SUMIFS('Hasil-PC'!$AV$12:$AV$58,'Hasil-PC'!$B$12:$B$58,$A12,'Hasil-PC'!$AT$12:$AT$58,Q$9)</f>
        <v>0</v>
      </c>
      <c r="R12" s="220">
        <f t="shared" ref="R12:R15" si="0">SUM(J12:Q12)</f>
        <v>49.272702120000005</v>
      </c>
      <c r="T12" s="221">
        <f t="shared" ref="T12:T15" si="1">IF(B12&gt;0,C12/B12,0)</f>
        <v>5.8181818181818175</v>
      </c>
      <c r="U12" s="221">
        <f t="shared" ref="U12:U15" si="2">IF(B12&gt;0,R12/B12,0)</f>
        <v>149.31121854545455</v>
      </c>
    </row>
    <row r="13" spans="1:21">
      <c r="A13" s="215" t="s">
        <v>104</v>
      </c>
      <c r="B13" s="215">
        <f>SUMIF('Hasil-PC'!$B$12:$B$58,$A13,'Hasil-PC'!$T$12:$T$58)</f>
        <v>4.0223424000000003</v>
      </c>
      <c r="C13" s="216">
        <f>SUMIF('Hasil-PC'!$B$12:$B$58,$A13,'Hasil-PC'!$U$12:$U$58)</f>
        <v>17.508647891627898</v>
      </c>
      <c r="D13" s="217">
        <f>SUMIF('Hasil-PC'!$B$12:$B$58,$A13,'Hasil-PC'!$C$12:$C$58)</f>
        <v>8</v>
      </c>
      <c r="E13" s="218">
        <f>SUMIF('Hasil-PC'!$B$12:$B$58,$A13,'Hasil-PC'!H$12:H$58)</f>
        <v>24</v>
      </c>
      <c r="F13" s="218">
        <f>SUMIF('Hasil-PC'!$B$12:$B$58,$A13,'Hasil-PC'!I$12:I$58)</f>
        <v>0</v>
      </c>
      <c r="G13" s="218">
        <f>SUMIF('Hasil-PC'!$B$12:$B$58,$A13,'Hasil-PC'!$L$12:$L$58)</f>
        <v>16.504737600000002</v>
      </c>
      <c r="H13" s="218">
        <f>SUMIF('Hasil-PC'!$B$12:$B$58,$A13,'Hasil-PC'!$K$12:$K$58)</f>
        <v>0</v>
      </c>
      <c r="I13" s="216">
        <f>SUMIF('Hasil-PC'!$B$12:$B$58,$A13,'Hasil-PC'!$J$12:$J$58)</f>
        <v>1.2695951999999997</v>
      </c>
      <c r="J13" s="217">
        <f>SUMIFS('Hasil-PC'!$X$12:$X$58,'Hasil-PC'!$B$12:$B$58,$A13,'Hasil-PC'!$W$12:$W$58,J$9)+SUMIFS('Hasil-PC'!$AC$12:$AC$58,'Hasil-PC'!$B$12:$B$58,$A13,'Hasil-PC'!$Y$12:$Y$58,J$9)+SUMIFS('Hasil-PC'!$AH$12:$AH$58,'Hasil-PC'!$B$12:$B$58,$A13,'Hasil-PC'!$AD$12:$AD$58,J$9)+SUMIFS('Hasil-PC'!$AM$12:$AM$58,'Hasil-PC'!$B$12:$B$58,$A13,'Hasil-PC'!$AI$12:$AI$58,J$9)+SUMIFS('Hasil-PC'!$AR$12:$AR$58,'Hasil-PC'!$B$12:$B$58,$A13,'Hasil-PC'!$AN$12:$AN$58,J$9)+SUMIFS('Hasil-PC'!$AV$12:$AV$58,'Hasil-PC'!$B$12:$B$58,$A13,'Hasil-PC'!$AT$12:$AT$58,J$9)</f>
        <v>0</v>
      </c>
      <c r="K13" s="218">
        <f>SUMIFS('Hasil-PC'!$X$12:$X$58,'Hasil-PC'!$B$12:$B$58,$A13,'Hasil-PC'!$W$12:$W$58,K$9)+SUMIFS('Hasil-PC'!$AC$12:$AC$58,'Hasil-PC'!$B$12:$B$58,$A13,'Hasil-PC'!$Y$12:$Y$58,K$9)+SUMIFS('Hasil-PC'!$AH$12:$AH$58,'Hasil-PC'!$B$12:$B$58,$A13,'Hasil-PC'!$AD$12:$AD$58,K$9)+SUMIFS('Hasil-PC'!$AM$12:$AM$58,'Hasil-PC'!$B$12:$B$58,$A13,'Hasil-PC'!$AI$12:$AI$58,K$9)+SUMIFS('Hasil-PC'!$AR$12:$AR$58,'Hasil-PC'!$B$12:$B$58,$A13,'Hasil-PC'!$AN$12:$AN$58,K$9)+SUMIFS('Hasil-PC'!$AV$12:$AV$58,'Hasil-PC'!$B$12:$B$58,$A13,'Hasil-PC'!$AT$12:$AT$58,K$9)</f>
        <v>0</v>
      </c>
      <c r="L13" s="218">
        <f>SUMIFS('Hasil-PC'!$X$12:$X$58,'Hasil-PC'!$B$12:$B$58,$A13,'Hasil-PC'!$W$12:$W$58,L$9)+SUMIFS('Hasil-PC'!$AC$12:$AC$58,'Hasil-PC'!$B$12:$B$58,$A13,'Hasil-PC'!$Y$12:$Y$58,L$9)+SUMIFS('Hasil-PC'!$AH$12:$AH$58,'Hasil-PC'!$B$12:$B$58,$A13,'Hasil-PC'!$AD$12:$AD$58,L$9)+SUMIFS('Hasil-PC'!$AM$12:$AM$58,'Hasil-PC'!$B$12:$B$58,$A13,'Hasil-PC'!$AI$12:$AI$58,L$9)+SUMIFS('Hasil-PC'!$AR$12:$AR$58,'Hasil-PC'!$B$12:$B$58,$A13,'Hasil-PC'!$AN$12:$AN$58,L$9)+SUMIFS('Hasil-PC'!$AV$12:$AV$58,'Hasil-PC'!$B$12:$B$58,$A13,'Hasil-PC'!$AT$12:$AT$58,L$9)</f>
        <v>0</v>
      </c>
      <c r="M13" s="218">
        <f>SUMIFS('Hasil-PC'!$X$12:$X$58,'Hasil-PC'!$B$12:$B$58,$A13,'Hasil-PC'!$W$12:$W$58,M$9)+SUMIFS('Hasil-PC'!$AC$12:$AC$58,'Hasil-PC'!$B$12:$B$58,$A13,'Hasil-PC'!$Y$12:$Y$58,M$9)+SUMIFS('Hasil-PC'!$AH$12:$AH$58,'Hasil-PC'!$B$12:$B$58,$A13,'Hasil-PC'!$AD$12:$AD$58,M$9)+SUMIFS('Hasil-PC'!$AM$12:$AM$58,'Hasil-PC'!$B$12:$B$58,$A13,'Hasil-PC'!$AI$12:$AI$58,M$9)+SUMIFS('Hasil-PC'!$AR$12:$AR$58,'Hasil-PC'!$B$12:$B$58,$A13,'Hasil-PC'!$AN$12:$AN$58,M$9)+SUMIFS('Hasil-PC'!$AV$12:$AV$58,'Hasil-PC'!$B$12:$B$58,$A13,'Hasil-PC'!$AT$12:$AT$58,M$9)</f>
        <v>265.17448521522908</v>
      </c>
      <c r="N13" s="218">
        <f>SUMIFS('Hasil-PC'!$X$12:$X$58,'Hasil-PC'!$B$12:$B$58,$A13,'Hasil-PC'!$W$12:$W$58,N$9)+SUMIFS('Hasil-PC'!$AC$12:$AC$58,'Hasil-PC'!$B$12:$B$58,$A13,'Hasil-PC'!$Y$12:$Y$58,N$9)+SUMIFS('Hasil-PC'!$AH$12:$AH$58,'Hasil-PC'!$B$12:$B$58,$A13,'Hasil-PC'!$AD$12:$AD$58,N$9)+SUMIFS('Hasil-PC'!$AM$12:$AM$58,'Hasil-PC'!$B$12:$B$58,$A13,'Hasil-PC'!$AI$12:$AI$58,N$9)+SUMIFS('Hasil-PC'!$AR$12:$AR$58,'Hasil-PC'!$B$12:$B$58,$A13,'Hasil-PC'!$AN$12:$AN$58,N$9)+SUMIFS('Hasil-PC'!$AV$12:$AV$58,'Hasil-PC'!$B$12:$B$58,$A13,'Hasil-PC'!$AT$12:$AT$58,N$9)</f>
        <v>389.72427263999998</v>
      </c>
      <c r="O13" s="218">
        <f>SUMIFS('Hasil-PC'!$X$12:$X$58,'Hasil-PC'!$B$12:$B$58,$A13,'Hasil-PC'!$W$12:$W$58,O$9)+SUMIFS('Hasil-PC'!$AC$12:$AC$58,'Hasil-PC'!$B$12:$B$58,$A13,'Hasil-PC'!$Y$12:$Y$58,O$9)+SUMIFS('Hasil-PC'!$AH$12:$AH$58,'Hasil-PC'!$B$12:$B$58,$A13,'Hasil-PC'!$AD$12:$AD$58,O$9)+SUMIFS('Hasil-PC'!$AM$12:$AM$58,'Hasil-PC'!$B$12:$B$58,$A13,'Hasil-PC'!$AI$12:$AI$58,O$9)+SUMIFS('Hasil-PC'!$AR$12:$AR$58,'Hasil-PC'!$B$12:$B$58,$A13,'Hasil-PC'!$AN$12:$AN$58,O$9)+SUMIFS('Hasil-PC'!$AV$12:$AV$58,'Hasil-PC'!$B$12:$B$58,$A13,'Hasil-PC'!$AT$12:$AT$58,O$9)</f>
        <v>0</v>
      </c>
      <c r="P13" s="218">
        <f>SUMIFS('Hasil-PC'!$X$12:$X$58,'Hasil-PC'!$B$12:$B$58,$A13,'Hasil-PC'!$W$12:$W$58,P$9)+SUMIFS('Hasil-PC'!$AC$12:$AC$58,'Hasil-PC'!$B$12:$B$58,$A13,'Hasil-PC'!$Y$12:$Y$58,P$9)+SUMIFS('Hasil-PC'!$AH$12:$AH$58,'Hasil-PC'!$B$12:$B$58,$A13,'Hasil-PC'!$AD$12:$AD$58,P$9)+SUMIFS('Hasil-PC'!$AM$12:$AM$58,'Hasil-PC'!$B$12:$B$58,$A13,'Hasil-PC'!$AI$12:$AI$58,P$9)+SUMIFS('Hasil-PC'!$AR$12:$AR$58,'Hasil-PC'!$B$12:$B$58,$A13,'Hasil-PC'!$AN$12:$AN$58,P$9)+SUMIFS('Hasil-PC'!$AV$12:$AV$58,'Hasil-PC'!$B$12:$B$58,$A13,'Hasil-PC'!$AT$12:$AT$58,P$9)</f>
        <v>0</v>
      </c>
      <c r="Q13" s="219">
        <f>SUMIFS('Hasil-PC'!$X$12:$X$58,'Hasil-PC'!$B$12:$B$58,$A13,'Hasil-PC'!$W$12:$W$58,Q$9)+SUMIFS('Hasil-PC'!$AC$12:$AC$58,'Hasil-PC'!$B$12:$B$58,$A13,'Hasil-PC'!$Y$12:$Y$58,Q$9)+SUMIFS('Hasil-PC'!$AH$12:$AH$58,'Hasil-PC'!$B$12:$B$58,$A13,'Hasil-PC'!$AD$12:$AD$58,Q$9)+SUMIFS('Hasil-PC'!$AM$12:$AM$58,'Hasil-PC'!$B$12:$B$58,$A13,'Hasil-PC'!$AI$12:$AI$58,Q$9)+SUMIFS('Hasil-PC'!$AR$12:$AR$58,'Hasil-PC'!$B$12:$B$58,$A13,'Hasil-PC'!$AN$12:$AN$58,Q$9)+SUMIFS('Hasil-PC'!$AV$12:$AV$58,'Hasil-PC'!$B$12:$B$58,$A13,'Hasil-PC'!$AT$12:$AT$58,Q$9)</f>
        <v>0</v>
      </c>
      <c r="R13" s="220">
        <f t="shared" si="0"/>
        <v>654.89875785522906</v>
      </c>
      <c r="T13" s="221">
        <f t="shared" si="1"/>
        <v>4.3528487012015429</v>
      </c>
      <c r="U13" s="221">
        <f t="shared" si="2"/>
        <v>162.81526850007324</v>
      </c>
    </row>
    <row r="14" spans="1:21">
      <c r="A14" s="215" t="s">
        <v>2306</v>
      </c>
      <c r="B14" s="215">
        <f>SUMIF('Hasil-PC'!$B$12:$B$58,$A14,'Hasil-PC'!$T$12:$T$58)</f>
        <v>0.84699999999999998</v>
      </c>
      <c r="C14" s="216">
        <f>SUMIF('Hasil-PC'!$B$12:$B$58,$A14,'Hasil-PC'!$U$12:$U$58)</f>
        <v>3.0800000000000005</v>
      </c>
      <c r="D14" s="217">
        <f>SUMIF('Hasil-PC'!$B$12:$B$58,$A14,'Hasil-PC'!$C$12:$C$58)</f>
        <v>1</v>
      </c>
      <c r="E14" s="218">
        <f>SUMIF('Hasil-PC'!$B$12:$B$58,$A14,'Hasil-PC'!H$12:H$58)</f>
        <v>4</v>
      </c>
      <c r="F14" s="218">
        <f>SUMIF('Hasil-PC'!$B$12:$B$58,$A14,'Hasil-PC'!I$12:I$58)</f>
        <v>0</v>
      </c>
      <c r="G14" s="218">
        <f>SUMIF('Hasil-PC'!$B$12:$B$58,$A14,'Hasil-PC'!$L$12:$L$58)</f>
        <v>2.7075</v>
      </c>
      <c r="H14" s="218">
        <f>SUMIF('Hasil-PC'!$B$12:$B$58,$A14,'Hasil-PC'!$K$12:$K$58)</f>
        <v>0</v>
      </c>
      <c r="I14" s="216">
        <f>SUMIF('Hasil-PC'!$B$12:$B$58,$A14,'Hasil-PC'!$J$12:$J$58)</f>
        <v>0.18049999999999999</v>
      </c>
      <c r="J14" s="217">
        <f>SUMIFS('Hasil-PC'!$X$12:$X$58,'Hasil-PC'!$B$12:$B$58,$A14,'Hasil-PC'!$W$12:$W$58,J$9)+SUMIFS('Hasil-PC'!$AC$12:$AC$58,'Hasil-PC'!$B$12:$B$58,$A14,'Hasil-PC'!$Y$12:$Y$58,J$9)+SUMIFS('Hasil-PC'!$AH$12:$AH$58,'Hasil-PC'!$B$12:$B$58,$A14,'Hasil-PC'!$AD$12:$AD$58,J$9)+SUMIFS('Hasil-PC'!$AM$12:$AM$58,'Hasil-PC'!$B$12:$B$58,$A14,'Hasil-PC'!$AI$12:$AI$58,J$9)+SUMIFS('Hasil-PC'!$AR$12:$AR$58,'Hasil-PC'!$B$12:$B$58,$A14,'Hasil-PC'!$AN$12:$AN$58,J$9)+SUMIFS('Hasil-PC'!$AV$12:$AV$58,'Hasil-PC'!$B$12:$B$58,$A14,'Hasil-PC'!$AT$12:$AT$58,J$9)</f>
        <v>0</v>
      </c>
      <c r="K14" s="218">
        <f>SUMIFS('Hasil-PC'!$X$12:$X$58,'Hasil-PC'!$B$12:$B$58,$A14,'Hasil-PC'!$W$12:$W$58,K$9)+SUMIFS('Hasil-PC'!$AC$12:$AC$58,'Hasil-PC'!$B$12:$B$58,$A14,'Hasil-PC'!$Y$12:$Y$58,K$9)+SUMIFS('Hasil-PC'!$AH$12:$AH$58,'Hasil-PC'!$B$12:$B$58,$A14,'Hasil-PC'!$AD$12:$AD$58,K$9)+SUMIFS('Hasil-PC'!$AM$12:$AM$58,'Hasil-PC'!$B$12:$B$58,$A14,'Hasil-PC'!$AI$12:$AI$58,K$9)+SUMIFS('Hasil-PC'!$AR$12:$AR$58,'Hasil-PC'!$B$12:$B$58,$A14,'Hasil-PC'!$AN$12:$AN$58,K$9)+SUMIFS('Hasil-PC'!$AV$12:$AV$58,'Hasil-PC'!$B$12:$B$58,$A14,'Hasil-PC'!$AT$12:$AT$58,K$9)</f>
        <v>0</v>
      </c>
      <c r="L14" s="218">
        <f>SUMIFS('Hasil-PC'!$X$12:$X$58,'Hasil-PC'!$B$12:$B$58,$A14,'Hasil-PC'!$W$12:$W$58,L$9)+SUMIFS('Hasil-PC'!$AC$12:$AC$58,'Hasil-PC'!$B$12:$B$58,$A14,'Hasil-PC'!$Y$12:$Y$58,L$9)+SUMIFS('Hasil-PC'!$AH$12:$AH$58,'Hasil-PC'!$B$12:$B$58,$A14,'Hasil-PC'!$AD$12:$AD$58,L$9)+SUMIFS('Hasil-PC'!$AM$12:$AM$58,'Hasil-PC'!$B$12:$B$58,$A14,'Hasil-PC'!$AI$12:$AI$58,L$9)+SUMIFS('Hasil-PC'!$AR$12:$AR$58,'Hasil-PC'!$B$12:$B$58,$A14,'Hasil-PC'!$AN$12:$AN$58,L$9)+SUMIFS('Hasil-PC'!$AV$12:$AV$58,'Hasil-PC'!$B$12:$B$58,$A14,'Hasil-PC'!$AT$12:$AT$58,L$9)</f>
        <v>0</v>
      </c>
      <c r="M14" s="218">
        <f>SUMIFS('Hasil-PC'!$X$12:$X$58,'Hasil-PC'!$B$12:$B$58,$A14,'Hasil-PC'!$W$12:$W$58,M$9)+SUMIFS('Hasil-PC'!$AC$12:$AC$58,'Hasil-PC'!$B$12:$B$58,$A14,'Hasil-PC'!$Y$12:$Y$58,M$9)+SUMIFS('Hasil-PC'!$AH$12:$AH$58,'Hasil-PC'!$B$12:$B$58,$A14,'Hasil-PC'!$AD$12:$AD$58,M$9)+SUMIFS('Hasil-PC'!$AM$12:$AM$58,'Hasil-PC'!$B$12:$B$58,$A14,'Hasil-PC'!$AI$12:$AI$58,M$9)+SUMIFS('Hasil-PC'!$AR$12:$AR$58,'Hasil-PC'!$B$12:$B$58,$A14,'Hasil-PC'!$AN$12:$AN$58,M$9)+SUMIFS('Hasil-PC'!$AV$12:$AV$58,'Hasil-PC'!$B$12:$B$58,$A14,'Hasil-PC'!$AT$12:$AT$58,M$9)</f>
        <v>41.496195780000001</v>
      </c>
      <c r="N14" s="218">
        <f>SUMIFS('Hasil-PC'!$X$12:$X$58,'Hasil-PC'!$B$12:$B$58,$A14,'Hasil-PC'!$W$12:$W$58,N$9)+SUMIFS('Hasil-PC'!$AC$12:$AC$58,'Hasil-PC'!$B$12:$B$58,$A14,'Hasil-PC'!$Y$12:$Y$58,N$9)+SUMIFS('Hasil-PC'!$AH$12:$AH$58,'Hasil-PC'!$B$12:$B$58,$A14,'Hasil-PC'!$AD$12:$AD$58,N$9)+SUMIFS('Hasil-PC'!$AM$12:$AM$58,'Hasil-PC'!$B$12:$B$58,$A14,'Hasil-PC'!$AI$12:$AI$58,N$9)+SUMIFS('Hasil-PC'!$AR$12:$AR$58,'Hasil-PC'!$B$12:$B$58,$A14,'Hasil-PC'!$AN$12:$AN$58,N$9)+SUMIFS('Hasil-PC'!$AV$12:$AV$58,'Hasil-PC'!$B$12:$B$58,$A14,'Hasil-PC'!$AT$12:$AT$58,N$9)</f>
        <v>58.584268799999997</v>
      </c>
      <c r="O14" s="218">
        <f>SUMIFS('Hasil-PC'!$X$12:$X$58,'Hasil-PC'!$B$12:$B$58,$A14,'Hasil-PC'!$W$12:$W$58,O$9)+SUMIFS('Hasil-PC'!$AC$12:$AC$58,'Hasil-PC'!$B$12:$B$58,$A14,'Hasil-PC'!$Y$12:$Y$58,O$9)+SUMIFS('Hasil-PC'!$AH$12:$AH$58,'Hasil-PC'!$B$12:$B$58,$A14,'Hasil-PC'!$AD$12:$AD$58,O$9)+SUMIFS('Hasil-PC'!$AM$12:$AM$58,'Hasil-PC'!$B$12:$B$58,$A14,'Hasil-PC'!$AI$12:$AI$58,O$9)+SUMIFS('Hasil-PC'!$AR$12:$AR$58,'Hasil-PC'!$B$12:$B$58,$A14,'Hasil-PC'!$AN$12:$AN$58,O$9)+SUMIFS('Hasil-PC'!$AV$12:$AV$58,'Hasil-PC'!$B$12:$B$58,$A14,'Hasil-PC'!$AT$12:$AT$58,O$9)</f>
        <v>0</v>
      </c>
      <c r="P14" s="218">
        <f>SUMIFS('Hasil-PC'!$X$12:$X$58,'Hasil-PC'!$B$12:$B$58,$A14,'Hasil-PC'!$W$12:$W$58,P$9)+SUMIFS('Hasil-PC'!$AC$12:$AC$58,'Hasil-PC'!$B$12:$B$58,$A14,'Hasil-PC'!$Y$12:$Y$58,P$9)+SUMIFS('Hasil-PC'!$AH$12:$AH$58,'Hasil-PC'!$B$12:$B$58,$A14,'Hasil-PC'!$AD$12:$AD$58,P$9)+SUMIFS('Hasil-PC'!$AM$12:$AM$58,'Hasil-PC'!$B$12:$B$58,$A14,'Hasil-PC'!$AI$12:$AI$58,P$9)+SUMIFS('Hasil-PC'!$AR$12:$AR$58,'Hasil-PC'!$B$12:$B$58,$A14,'Hasil-PC'!$AN$12:$AN$58,P$9)+SUMIFS('Hasil-PC'!$AV$12:$AV$58,'Hasil-PC'!$B$12:$B$58,$A14,'Hasil-PC'!$AT$12:$AT$58,P$9)</f>
        <v>0</v>
      </c>
      <c r="Q14" s="219">
        <f>SUMIFS('Hasil-PC'!$X$12:$X$58,'Hasil-PC'!$B$12:$B$58,$A14,'Hasil-PC'!$W$12:$W$58,Q$9)+SUMIFS('Hasil-PC'!$AC$12:$AC$58,'Hasil-PC'!$B$12:$B$58,$A14,'Hasil-PC'!$Y$12:$Y$58,Q$9)+SUMIFS('Hasil-PC'!$AH$12:$AH$58,'Hasil-PC'!$B$12:$B$58,$A14,'Hasil-PC'!$AD$12:$AD$58,Q$9)+SUMIFS('Hasil-PC'!$AM$12:$AM$58,'Hasil-PC'!$B$12:$B$58,$A14,'Hasil-PC'!$AI$12:$AI$58,Q$9)+SUMIFS('Hasil-PC'!$AR$12:$AR$58,'Hasil-PC'!$B$12:$B$58,$A14,'Hasil-PC'!$AN$12:$AN$58,Q$9)+SUMIFS('Hasil-PC'!$AV$12:$AV$58,'Hasil-PC'!$B$12:$B$58,$A14,'Hasil-PC'!$AT$12:$AT$58,Q$9)</f>
        <v>0</v>
      </c>
      <c r="R14" s="220">
        <f t="shared" si="0"/>
        <v>100.08046458</v>
      </c>
      <c r="T14" s="221">
        <f t="shared" si="1"/>
        <v>3.6363636363636371</v>
      </c>
      <c r="U14" s="221">
        <f t="shared" si="2"/>
        <v>118.15875393152302</v>
      </c>
    </row>
    <row r="15" spans="1:21">
      <c r="A15" s="215" t="s">
        <v>2307</v>
      </c>
      <c r="B15" s="215">
        <f>SUMIF('Hasil-PC'!$B$12:$B$58,$A15,'Hasil-PC'!$T$12:$T$58)</f>
        <v>2.5514999999999999</v>
      </c>
      <c r="C15" s="216">
        <f>SUMIF('Hasil-PC'!$B$12:$B$58,$A15,'Hasil-PC'!$U$12:$U$58)</f>
        <v>7.5600000000000005</v>
      </c>
      <c r="D15" s="217">
        <f>SUMIF('Hasil-PC'!$B$12:$B$58,$A15,'Hasil-PC'!$C$12:$C$58)</f>
        <v>2</v>
      </c>
      <c r="E15" s="218">
        <f>SUMIF('Hasil-PC'!$B$12:$B$58,$A15,'Hasil-PC'!H$12:H$58)</f>
        <v>10</v>
      </c>
      <c r="F15" s="218">
        <f>SUMIF('Hasil-PC'!$B$12:$B$58,$A15,'Hasil-PC'!I$12:I$58)</f>
        <v>0</v>
      </c>
      <c r="G15" s="218">
        <f>SUMIF('Hasil-PC'!$B$12:$B$58,$A15,'Hasil-PC'!$L$12:$L$58)</f>
        <v>6.9337499999999999</v>
      </c>
      <c r="H15" s="218">
        <f>SUMIF('Hasil-PC'!$B$12:$B$58,$A15,'Hasil-PC'!$K$12:$K$58)</f>
        <v>0</v>
      </c>
      <c r="I15" s="216">
        <f>SUMIF('Hasil-PC'!$B$12:$B$58,$A15,'Hasil-PC'!$J$12:$J$58)</f>
        <v>0.46224999999999994</v>
      </c>
      <c r="J15" s="217">
        <f>SUMIFS('Hasil-PC'!$X$12:$X$58,'Hasil-PC'!$B$12:$B$58,$A15,'Hasil-PC'!$W$12:$W$58,J$9)+SUMIFS('Hasil-PC'!$AC$12:$AC$58,'Hasil-PC'!$B$12:$B$58,$A15,'Hasil-PC'!$Y$12:$Y$58,J$9)+SUMIFS('Hasil-PC'!$AH$12:$AH$58,'Hasil-PC'!$B$12:$B$58,$A15,'Hasil-PC'!$AD$12:$AD$58,J$9)+SUMIFS('Hasil-PC'!$AM$12:$AM$58,'Hasil-PC'!$B$12:$B$58,$A15,'Hasil-PC'!$AI$12:$AI$58,J$9)+SUMIFS('Hasil-PC'!$AR$12:$AR$58,'Hasil-PC'!$B$12:$B$58,$A15,'Hasil-PC'!$AN$12:$AN$58,J$9)+SUMIFS('Hasil-PC'!$AV$12:$AV$58,'Hasil-PC'!$B$12:$B$58,$A15,'Hasil-PC'!$AT$12:$AT$58,J$9)</f>
        <v>0</v>
      </c>
      <c r="K15" s="218">
        <f>SUMIFS('Hasil-PC'!$X$12:$X$58,'Hasil-PC'!$B$12:$B$58,$A15,'Hasil-PC'!$W$12:$W$58,K$9)+SUMIFS('Hasil-PC'!$AC$12:$AC$58,'Hasil-PC'!$B$12:$B$58,$A15,'Hasil-PC'!$Y$12:$Y$58,K$9)+SUMIFS('Hasil-PC'!$AH$12:$AH$58,'Hasil-PC'!$B$12:$B$58,$A15,'Hasil-PC'!$AD$12:$AD$58,K$9)+SUMIFS('Hasil-PC'!$AM$12:$AM$58,'Hasil-PC'!$B$12:$B$58,$A15,'Hasil-PC'!$AI$12:$AI$58,K$9)+SUMIFS('Hasil-PC'!$AR$12:$AR$58,'Hasil-PC'!$B$12:$B$58,$A15,'Hasil-PC'!$AN$12:$AN$58,K$9)+SUMIFS('Hasil-PC'!$AV$12:$AV$58,'Hasil-PC'!$B$12:$B$58,$A15,'Hasil-PC'!$AT$12:$AT$58,K$9)</f>
        <v>0</v>
      </c>
      <c r="L15" s="218">
        <f>SUMIFS('Hasil-PC'!$X$12:$X$58,'Hasil-PC'!$B$12:$B$58,$A15,'Hasil-PC'!$W$12:$W$58,L$9)+SUMIFS('Hasil-PC'!$AC$12:$AC$58,'Hasil-PC'!$B$12:$B$58,$A15,'Hasil-PC'!$Y$12:$Y$58,L$9)+SUMIFS('Hasil-PC'!$AH$12:$AH$58,'Hasil-PC'!$B$12:$B$58,$A15,'Hasil-PC'!$AD$12:$AD$58,L$9)+SUMIFS('Hasil-PC'!$AM$12:$AM$58,'Hasil-PC'!$B$12:$B$58,$A15,'Hasil-PC'!$AI$12:$AI$58,L$9)+SUMIFS('Hasil-PC'!$AR$12:$AR$58,'Hasil-PC'!$B$12:$B$58,$A15,'Hasil-PC'!$AN$12:$AN$58,L$9)+SUMIFS('Hasil-PC'!$AV$12:$AV$58,'Hasil-PC'!$B$12:$B$58,$A15,'Hasil-PC'!$AT$12:$AT$58,L$9)</f>
        <v>0</v>
      </c>
      <c r="M15" s="218">
        <f>SUMIFS('Hasil-PC'!$X$12:$X$58,'Hasil-PC'!$B$12:$B$58,$A15,'Hasil-PC'!$W$12:$W$58,M$9)+SUMIFS('Hasil-PC'!$AC$12:$AC$58,'Hasil-PC'!$B$12:$B$58,$A15,'Hasil-PC'!$Y$12:$Y$58,M$9)+SUMIFS('Hasil-PC'!$AH$12:$AH$58,'Hasil-PC'!$B$12:$B$58,$A15,'Hasil-PC'!$AD$12:$AD$58,M$9)+SUMIFS('Hasil-PC'!$AM$12:$AM$58,'Hasil-PC'!$B$12:$B$58,$A15,'Hasil-PC'!$AI$12:$AI$58,M$9)+SUMIFS('Hasil-PC'!$AR$12:$AR$58,'Hasil-PC'!$B$12:$B$58,$A15,'Hasil-PC'!$AN$12:$AN$58,M$9)+SUMIFS('Hasil-PC'!$AV$12:$AV$58,'Hasil-PC'!$B$12:$B$58,$A15,'Hasil-PC'!$AT$12:$AT$58,M$9)</f>
        <v>105.62213376</v>
      </c>
      <c r="N15" s="218">
        <f>SUMIFS('Hasil-PC'!$X$12:$X$58,'Hasil-PC'!$B$12:$B$58,$A15,'Hasil-PC'!$W$12:$W$58,N$9)+SUMIFS('Hasil-PC'!$AC$12:$AC$58,'Hasil-PC'!$B$12:$B$58,$A15,'Hasil-PC'!$Y$12:$Y$58,N$9)+SUMIFS('Hasil-PC'!$AH$12:$AH$58,'Hasil-PC'!$B$12:$B$58,$A15,'Hasil-PC'!$AD$12:$AD$58,N$9)+SUMIFS('Hasil-PC'!$AM$12:$AM$58,'Hasil-PC'!$B$12:$B$58,$A15,'Hasil-PC'!$AI$12:$AI$58,N$9)+SUMIFS('Hasil-PC'!$AR$12:$AR$58,'Hasil-PC'!$B$12:$B$58,$A15,'Hasil-PC'!$AN$12:$AN$58,N$9)+SUMIFS('Hasil-PC'!$AV$12:$AV$58,'Hasil-PC'!$B$12:$B$58,$A15,'Hasil-PC'!$AT$12:$AT$58,N$9)</f>
        <v>146.01876480000001</v>
      </c>
      <c r="O15" s="218">
        <f>SUMIFS('Hasil-PC'!$X$12:$X$58,'Hasil-PC'!$B$12:$B$58,$A15,'Hasil-PC'!$W$12:$W$58,O$9)+SUMIFS('Hasil-PC'!$AC$12:$AC$58,'Hasil-PC'!$B$12:$B$58,$A15,'Hasil-PC'!$Y$12:$Y$58,O$9)+SUMIFS('Hasil-PC'!$AH$12:$AH$58,'Hasil-PC'!$B$12:$B$58,$A15,'Hasil-PC'!$AD$12:$AD$58,O$9)+SUMIFS('Hasil-PC'!$AM$12:$AM$58,'Hasil-PC'!$B$12:$B$58,$A15,'Hasil-PC'!$AI$12:$AI$58,O$9)+SUMIFS('Hasil-PC'!$AR$12:$AR$58,'Hasil-PC'!$B$12:$B$58,$A15,'Hasil-PC'!$AN$12:$AN$58,O$9)+SUMIFS('Hasil-PC'!$AV$12:$AV$58,'Hasil-PC'!$B$12:$B$58,$A15,'Hasil-PC'!$AT$12:$AT$58,O$9)</f>
        <v>0</v>
      </c>
      <c r="P15" s="218">
        <f>SUMIFS('Hasil-PC'!$X$12:$X$58,'Hasil-PC'!$B$12:$B$58,$A15,'Hasil-PC'!$W$12:$W$58,P$9)+SUMIFS('Hasil-PC'!$AC$12:$AC$58,'Hasil-PC'!$B$12:$B$58,$A15,'Hasil-PC'!$Y$12:$Y$58,P$9)+SUMIFS('Hasil-PC'!$AH$12:$AH$58,'Hasil-PC'!$B$12:$B$58,$A15,'Hasil-PC'!$AD$12:$AD$58,P$9)+SUMIFS('Hasil-PC'!$AM$12:$AM$58,'Hasil-PC'!$B$12:$B$58,$A15,'Hasil-PC'!$AI$12:$AI$58,P$9)+SUMIFS('Hasil-PC'!$AR$12:$AR$58,'Hasil-PC'!$B$12:$B$58,$A15,'Hasil-PC'!$AN$12:$AN$58,P$9)+SUMIFS('Hasil-PC'!$AV$12:$AV$58,'Hasil-PC'!$B$12:$B$58,$A15,'Hasil-PC'!$AT$12:$AT$58,P$9)</f>
        <v>0</v>
      </c>
      <c r="Q15" s="219">
        <f>SUMIFS('Hasil-PC'!$X$12:$X$58,'Hasil-PC'!$B$12:$B$58,$A15,'Hasil-PC'!$W$12:$W$58,Q$9)+SUMIFS('Hasil-PC'!$AC$12:$AC$58,'Hasil-PC'!$B$12:$B$58,$A15,'Hasil-PC'!$Y$12:$Y$58,Q$9)+SUMIFS('Hasil-PC'!$AH$12:$AH$58,'Hasil-PC'!$B$12:$B$58,$A15,'Hasil-PC'!$AD$12:$AD$58,Q$9)+SUMIFS('Hasil-PC'!$AM$12:$AM$58,'Hasil-PC'!$B$12:$B$58,$A15,'Hasil-PC'!$AI$12:$AI$58,Q$9)+SUMIFS('Hasil-PC'!$AR$12:$AR$58,'Hasil-PC'!$B$12:$B$58,$A15,'Hasil-PC'!$AN$12:$AN$58,Q$9)+SUMIFS('Hasil-PC'!$AV$12:$AV$58,'Hasil-PC'!$B$12:$B$58,$A15,'Hasil-PC'!$AT$12:$AT$58,Q$9)</f>
        <v>0</v>
      </c>
      <c r="R15" s="220">
        <f t="shared" si="0"/>
        <v>251.64089856000001</v>
      </c>
      <c r="T15" s="221">
        <f t="shared" si="1"/>
        <v>2.9629629629629632</v>
      </c>
      <c r="U15" s="221">
        <f t="shared" si="2"/>
        <v>98.624690793650799</v>
      </c>
    </row>
    <row r="16" spans="1:21">
      <c r="A16" s="215" t="s">
        <v>2308</v>
      </c>
      <c r="B16" s="215">
        <f>SUMIF('Hasil-PC'!$B$12:$B$58,$A16,'Hasil-PC'!$T$12:$T$58)</f>
        <v>5.07</v>
      </c>
      <c r="C16" s="216">
        <f>SUMIF('Hasil-PC'!$B$12:$B$58,$A16,'Hasil-PC'!$U$12:$U$58)</f>
        <v>7.8</v>
      </c>
      <c r="D16" s="217">
        <f>SUMIF('Hasil-PC'!$B$12:$B$58,$A16,'Hasil-PC'!$C$12:$C$58)</f>
        <v>1</v>
      </c>
      <c r="E16" s="218">
        <f>SUMIF('Hasil-PC'!$B$12:$B$58,$A16,'Hasil-PC'!H$12:H$58)</f>
        <v>9</v>
      </c>
      <c r="F16" s="218">
        <f>SUMIF('Hasil-PC'!$B$12:$B$58,$A16,'Hasil-PC'!I$12:I$58)</f>
        <v>0</v>
      </c>
      <c r="G16" s="218">
        <f>SUMIF('Hasil-PC'!$B$12:$B$58,$A16,'Hasil-PC'!$L$12:$L$58)</f>
        <v>9.2480000000000011</v>
      </c>
      <c r="H16" s="218">
        <f>SUMIF('Hasil-PC'!$B$12:$B$58,$A16,'Hasil-PC'!$K$12:$K$58)</f>
        <v>0</v>
      </c>
      <c r="I16" s="216">
        <f>SUMIF('Hasil-PC'!$B$12:$B$58,$A16,'Hasil-PC'!$J$12:$J$58)</f>
        <v>0.57799999999999996</v>
      </c>
      <c r="J16" s="217">
        <f>SUMIFS('Hasil-PC'!$X$12:$X$58,'Hasil-PC'!$B$12:$B$58,$A16,'Hasil-PC'!$W$12:$W$58,J$9)+SUMIFS('Hasil-PC'!$AC$12:$AC$58,'Hasil-PC'!$B$12:$B$58,$A16,'Hasil-PC'!$Y$12:$Y$58,J$9)+SUMIFS('Hasil-PC'!$AH$12:$AH$58,'Hasil-PC'!$B$12:$B$58,$A16,'Hasil-PC'!$AD$12:$AD$58,J$9)+SUMIFS('Hasil-PC'!$AM$12:$AM$58,'Hasil-PC'!$B$12:$B$58,$A16,'Hasil-PC'!$AI$12:$AI$58,J$9)+SUMIFS('Hasil-PC'!$AR$12:$AR$58,'Hasil-PC'!$B$12:$B$58,$A16,'Hasil-PC'!$AN$12:$AN$58,J$9)+SUMIFS('Hasil-PC'!$AV$12:$AV$58,'Hasil-PC'!$B$12:$B$58,$A16,'Hasil-PC'!$AT$12:$AT$58,J$9)</f>
        <v>0</v>
      </c>
      <c r="K16" s="218">
        <f>SUMIFS('Hasil-PC'!$X$12:$X$58,'Hasil-PC'!$B$12:$B$58,$A16,'Hasil-PC'!$W$12:$W$58,K$9)+SUMIFS('Hasil-PC'!$AC$12:$AC$58,'Hasil-PC'!$B$12:$B$58,$A16,'Hasil-PC'!$Y$12:$Y$58,K$9)+SUMIFS('Hasil-PC'!$AH$12:$AH$58,'Hasil-PC'!$B$12:$B$58,$A16,'Hasil-PC'!$AD$12:$AD$58,K$9)+SUMIFS('Hasil-PC'!$AM$12:$AM$58,'Hasil-PC'!$B$12:$B$58,$A16,'Hasil-PC'!$AI$12:$AI$58,K$9)+SUMIFS('Hasil-PC'!$AR$12:$AR$58,'Hasil-PC'!$B$12:$B$58,$A16,'Hasil-PC'!$AN$12:$AN$58,K$9)+SUMIFS('Hasil-PC'!$AV$12:$AV$58,'Hasil-PC'!$B$12:$B$58,$A16,'Hasil-PC'!$AT$12:$AT$58,K$9)</f>
        <v>0</v>
      </c>
      <c r="L16" s="218">
        <f>SUMIFS('Hasil-PC'!$X$12:$X$58,'Hasil-PC'!$B$12:$B$58,$A16,'Hasil-PC'!$W$12:$W$58,L$9)+SUMIFS('Hasil-PC'!$AC$12:$AC$58,'Hasil-PC'!$B$12:$B$58,$A16,'Hasil-PC'!$Y$12:$Y$58,L$9)+SUMIFS('Hasil-PC'!$AH$12:$AH$58,'Hasil-PC'!$B$12:$B$58,$A16,'Hasil-PC'!$AD$12:$AD$58,L$9)+SUMIFS('Hasil-PC'!$AM$12:$AM$58,'Hasil-PC'!$B$12:$B$58,$A16,'Hasil-PC'!$AI$12:$AI$58,L$9)+SUMIFS('Hasil-PC'!$AR$12:$AR$58,'Hasil-PC'!$B$12:$B$58,$A16,'Hasil-PC'!$AN$12:$AN$58,L$9)+SUMIFS('Hasil-PC'!$AV$12:$AV$58,'Hasil-PC'!$B$12:$B$58,$A16,'Hasil-PC'!$AT$12:$AT$58,L$9)</f>
        <v>0</v>
      </c>
      <c r="M16" s="218">
        <f>SUMIFS('Hasil-PC'!$X$12:$X$58,'Hasil-PC'!$B$12:$B$58,$A16,'Hasil-PC'!$W$12:$W$58,M$9)+SUMIFS('Hasil-PC'!$AC$12:$AC$58,'Hasil-PC'!$B$12:$B$58,$A16,'Hasil-PC'!$Y$12:$Y$58,M$9)+SUMIFS('Hasil-PC'!$AH$12:$AH$58,'Hasil-PC'!$B$12:$B$58,$A16,'Hasil-PC'!$AD$12:$AD$58,M$9)+SUMIFS('Hasil-PC'!$AM$12:$AM$58,'Hasil-PC'!$B$12:$B$58,$A16,'Hasil-PC'!$AI$12:$AI$58,M$9)+SUMIFS('Hasil-PC'!$AR$12:$AR$58,'Hasil-PC'!$B$12:$B$58,$A16,'Hasil-PC'!$AN$12:$AN$58,M$9)+SUMIFS('Hasil-PC'!$AV$12:$AV$58,'Hasil-PC'!$B$12:$B$58,$A16,'Hasil-PC'!$AT$12:$AT$58,M$9)</f>
        <v>32.244256980000003</v>
      </c>
      <c r="N16" s="218">
        <f>SUMIFS('Hasil-PC'!$X$12:$X$58,'Hasil-PC'!$B$12:$B$58,$A16,'Hasil-PC'!$W$12:$W$58,N$9)+SUMIFS('Hasil-PC'!$AC$12:$AC$58,'Hasil-PC'!$B$12:$B$58,$A16,'Hasil-PC'!$Y$12:$Y$58,N$9)+SUMIFS('Hasil-PC'!$AH$12:$AH$58,'Hasil-PC'!$B$12:$B$58,$A16,'Hasil-PC'!$AD$12:$AD$58,N$9)+SUMIFS('Hasil-PC'!$AM$12:$AM$58,'Hasil-PC'!$B$12:$B$58,$A16,'Hasil-PC'!$AI$12:$AI$58,N$9)+SUMIFS('Hasil-PC'!$AR$12:$AR$58,'Hasil-PC'!$B$12:$B$58,$A16,'Hasil-PC'!$AN$12:$AN$58,N$9)+SUMIFS('Hasil-PC'!$AV$12:$AV$58,'Hasil-PC'!$B$12:$B$58,$A16,'Hasil-PC'!$AT$12:$AT$58,N$9)</f>
        <v>406.23897599999998</v>
      </c>
      <c r="O16" s="218">
        <f>SUMIFS('Hasil-PC'!$X$12:$X$58,'Hasil-PC'!$B$12:$B$58,$A16,'Hasil-PC'!$W$12:$W$58,O$9)+SUMIFS('Hasil-PC'!$AC$12:$AC$58,'Hasil-PC'!$B$12:$B$58,$A16,'Hasil-PC'!$Y$12:$Y$58,O$9)+SUMIFS('Hasil-PC'!$AH$12:$AH$58,'Hasil-PC'!$B$12:$B$58,$A16,'Hasil-PC'!$AD$12:$AD$58,O$9)+SUMIFS('Hasil-PC'!$AM$12:$AM$58,'Hasil-PC'!$B$12:$B$58,$A16,'Hasil-PC'!$AI$12:$AI$58,O$9)+SUMIFS('Hasil-PC'!$AR$12:$AR$58,'Hasil-PC'!$B$12:$B$58,$A16,'Hasil-PC'!$AN$12:$AN$58,O$9)+SUMIFS('Hasil-PC'!$AV$12:$AV$58,'Hasil-PC'!$B$12:$B$58,$A16,'Hasil-PC'!$AT$12:$AT$58,O$9)</f>
        <v>0</v>
      </c>
      <c r="P16" s="218">
        <f>SUMIFS('Hasil-PC'!$X$12:$X$58,'Hasil-PC'!$B$12:$B$58,$A16,'Hasil-PC'!$W$12:$W$58,P$9)+SUMIFS('Hasil-PC'!$AC$12:$AC$58,'Hasil-PC'!$B$12:$B$58,$A16,'Hasil-PC'!$Y$12:$Y$58,P$9)+SUMIFS('Hasil-PC'!$AH$12:$AH$58,'Hasil-PC'!$B$12:$B$58,$A16,'Hasil-PC'!$AD$12:$AD$58,P$9)+SUMIFS('Hasil-PC'!$AM$12:$AM$58,'Hasil-PC'!$B$12:$B$58,$A16,'Hasil-PC'!$AI$12:$AI$58,P$9)+SUMIFS('Hasil-PC'!$AR$12:$AR$58,'Hasil-PC'!$B$12:$B$58,$A16,'Hasil-PC'!$AN$12:$AN$58,P$9)+SUMIFS('Hasil-PC'!$AV$12:$AV$58,'Hasil-PC'!$B$12:$B$58,$A16,'Hasil-PC'!$AT$12:$AT$58,P$9)</f>
        <v>0</v>
      </c>
      <c r="Q16" s="219">
        <f>SUMIFS('Hasil-PC'!$X$12:$X$58,'Hasil-PC'!$B$12:$B$58,$A16,'Hasil-PC'!$W$12:$W$58,Q$9)+SUMIFS('Hasil-PC'!$AC$12:$AC$58,'Hasil-PC'!$B$12:$B$58,$A16,'Hasil-PC'!$Y$12:$Y$58,Q$9)+SUMIFS('Hasil-PC'!$AH$12:$AH$58,'Hasil-PC'!$B$12:$B$58,$A16,'Hasil-PC'!$AD$12:$AD$58,Q$9)+SUMIFS('Hasil-PC'!$AM$12:$AM$58,'Hasil-PC'!$B$12:$B$58,$A16,'Hasil-PC'!$AI$12:$AI$58,Q$9)+SUMIFS('Hasil-PC'!$AR$12:$AR$58,'Hasil-PC'!$B$12:$B$58,$A16,'Hasil-PC'!$AN$12:$AN$58,Q$9)+SUMIFS('Hasil-PC'!$AV$12:$AV$58,'Hasil-PC'!$B$12:$B$58,$A16,'Hasil-PC'!$AT$12:$AT$58,Q$9)</f>
        <v>0</v>
      </c>
      <c r="R16" s="220">
        <f t="shared" ref="R16:R18" si="3">SUM(J16:Q16)</f>
        <v>438.48323297999997</v>
      </c>
      <c r="T16" s="221">
        <f t="shared" ref="T16:T18" si="4">IF(B16&gt;0,C16/B16,0)</f>
        <v>1.5384615384615383</v>
      </c>
      <c r="U16" s="221">
        <f t="shared" ref="U16:U18" si="5">IF(B16&gt;0,R16/B16,0)</f>
        <v>86.485844769230752</v>
      </c>
    </row>
    <row r="17" spans="1:21">
      <c r="A17" s="215" t="s">
        <v>2186</v>
      </c>
      <c r="B17" s="215">
        <f>SUMIF('Hasil-PC'!$B$12:$B$58,$A17,'Hasil-PC'!$T$12:$T$58)</f>
        <v>0.57599999999999996</v>
      </c>
      <c r="C17" s="216">
        <f>SUMIF('Hasil-PC'!$B$12:$B$58,$A17,'Hasil-PC'!$U$12:$U$58)</f>
        <v>3.36</v>
      </c>
      <c r="D17" s="217">
        <f>SUMIF('Hasil-PC'!$B$12:$B$58,$A17,'Hasil-PC'!$C$12:$C$58)</f>
        <v>2</v>
      </c>
      <c r="E17" s="218">
        <f>SUMIF('Hasil-PC'!$B$12:$B$58,$A17,'Hasil-PC'!H$12:H$58)</f>
        <v>0</v>
      </c>
      <c r="F17" s="218">
        <f>SUMIF('Hasil-PC'!$B$12:$B$58,$A17,'Hasil-PC'!I$12:I$58)</f>
        <v>2</v>
      </c>
      <c r="G17" s="218">
        <f>SUMIF('Hasil-PC'!$B$12:$B$58,$A17,'Hasil-PC'!$L$12:$L$58)</f>
        <v>2.9120000000000004</v>
      </c>
      <c r="H17" s="218">
        <f>SUMIF('Hasil-PC'!$B$12:$B$58,$A17,'Hasil-PC'!$K$12:$K$58)</f>
        <v>0</v>
      </c>
      <c r="I17" s="216">
        <f>SUMIF('Hasil-PC'!$B$12:$B$58,$A17,'Hasil-PC'!$J$12:$J$58)</f>
        <v>0.22400000000000003</v>
      </c>
      <c r="J17" s="217">
        <f>SUMIFS('Hasil-PC'!$X$12:$X$58,'Hasil-PC'!$B$12:$B$58,$A17,'Hasil-PC'!$W$12:$W$58,J$9)+SUMIFS('Hasil-PC'!$AC$12:$AC$58,'Hasil-PC'!$B$12:$B$58,$A17,'Hasil-PC'!$Y$12:$Y$58,J$9)+SUMIFS('Hasil-PC'!$AH$12:$AH$58,'Hasil-PC'!$B$12:$B$58,$A17,'Hasil-PC'!$AD$12:$AD$58,J$9)+SUMIFS('Hasil-PC'!$AM$12:$AM$58,'Hasil-PC'!$B$12:$B$58,$A17,'Hasil-PC'!$AI$12:$AI$58,J$9)+SUMIFS('Hasil-PC'!$AR$12:$AR$58,'Hasil-PC'!$B$12:$B$58,$A17,'Hasil-PC'!$AN$12:$AN$58,J$9)+SUMIFS('Hasil-PC'!$AV$12:$AV$58,'Hasil-PC'!$B$12:$B$58,$A17,'Hasil-PC'!$AT$12:$AT$58,J$9)</f>
        <v>0</v>
      </c>
      <c r="K17" s="218">
        <f>SUMIFS('Hasil-PC'!$X$12:$X$58,'Hasil-PC'!$B$12:$B$58,$A17,'Hasil-PC'!$W$12:$W$58,K$9)+SUMIFS('Hasil-PC'!$AC$12:$AC$58,'Hasil-PC'!$B$12:$B$58,$A17,'Hasil-PC'!$Y$12:$Y$58,K$9)+SUMIFS('Hasil-PC'!$AH$12:$AH$58,'Hasil-PC'!$B$12:$B$58,$A17,'Hasil-PC'!$AD$12:$AD$58,K$9)+SUMIFS('Hasil-PC'!$AM$12:$AM$58,'Hasil-PC'!$B$12:$B$58,$A17,'Hasil-PC'!$AI$12:$AI$58,K$9)+SUMIFS('Hasil-PC'!$AR$12:$AR$58,'Hasil-PC'!$B$12:$B$58,$A17,'Hasil-PC'!$AN$12:$AN$58,K$9)+SUMIFS('Hasil-PC'!$AV$12:$AV$58,'Hasil-PC'!$B$12:$B$58,$A17,'Hasil-PC'!$AT$12:$AT$58,K$9)</f>
        <v>0</v>
      </c>
      <c r="L17" s="218">
        <f>SUMIFS('Hasil-PC'!$X$12:$X$58,'Hasil-PC'!$B$12:$B$58,$A17,'Hasil-PC'!$W$12:$W$58,L$9)+SUMIFS('Hasil-PC'!$AC$12:$AC$58,'Hasil-PC'!$B$12:$B$58,$A17,'Hasil-PC'!$Y$12:$Y$58,L$9)+SUMIFS('Hasil-PC'!$AH$12:$AH$58,'Hasil-PC'!$B$12:$B$58,$A17,'Hasil-PC'!$AD$12:$AD$58,L$9)+SUMIFS('Hasil-PC'!$AM$12:$AM$58,'Hasil-PC'!$B$12:$B$58,$A17,'Hasil-PC'!$AI$12:$AI$58,L$9)+SUMIFS('Hasil-PC'!$AR$12:$AR$58,'Hasil-PC'!$B$12:$B$58,$A17,'Hasil-PC'!$AN$12:$AN$58,L$9)+SUMIFS('Hasil-PC'!$AV$12:$AV$58,'Hasil-PC'!$B$12:$B$58,$A17,'Hasil-PC'!$AT$12:$AT$58,L$9)</f>
        <v>0</v>
      </c>
      <c r="M17" s="218">
        <f>SUMIFS('Hasil-PC'!$X$12:$X$58,'Hasil-PC'!$B$12:$B$58,$A17,'Hasil-PC'!$W$12:$W$58,M$9)+SUMIFS('Hasil-PC'!$AC$12:$AC$58,'Hasil-PC'!$B$12:$B$58,$A17,'Hasil-PC'!$Y$12:$Y$58,M$9)+SUMIFS('Hasil-PC'!$AH$12:$AH$58,'Hasil-PC'!$B$12:$B$58,$A17,'Hasil-PC'!$AD$12:$AD$58,M$9)+SUMIFS('Hasil-PC'!$AM$12:$AM$58,'Hasil-PC'!$B$12:$B$58,$A17,'Hasil-PC'!$AI$12:$AI$58,M$9)+SUMIFS('Hasil-PC'!$AR$12:$AR$58,'Hasil-PC'!$B$12:$B$58,$A17,'Hasil-PC'!$AN$12:$AN$58,M$9)+SUMIFS('Hasil-PC'!$AV$12:$AV$58,'Hasil-PC'!$B$12:$B$58,$A17,'Hasil-PC'!$AT$12:$AT$58,M$9)</f>
        <v>56.328470639999999</v>
      </c>
      <c r="N17" s="218">
        <f>SUMIFS('Hasil-PC'!$X$12:$X$58,'Hasil-PC'!$B$12:$B$58,$A17,'Hasil-PC'!$W$12:$W$58,N$9)+SUMIFS('Hasil-PC'!$AC$12:$AC$58,'Hasil-PC'!$B$12:$B$58,$A17,'Hasil-PC'!$Y$12:$Y$58,N$9)+SUMIFS('Hasil-PC'!$AH$12:$AH$58,'Hasil-PC'!$B$12:$B$58,$A17,'Hasil-PC'!$AD$12:$AD$58,N$9)+SUMIFS('Hasil-PC'!$AM$12:$AM$58,'Hasil-PC'!$B$12:$B$58,$A17,'Hasil-PC'!$AI$12:$AI$58,N$9)+SUMIFS('Hasil-PC'!$AR$12:$AR$58,'Hasil-PC'!$B$12:$B$58,$A17,'Hasil-PC'!$AN$12:$AN$58,N$9)+SUMIFS('Hasil-PC'!$AV$12:$AV$58,'Hasil-PC'!$B$12:$B$58,$A17,'Hasil-PC'!$AT$12:$AT$58,N$9)</f>
        <v>58.710527999999996</v>
      </c>
      <c r="O17" s="218">
        <f>SUMIFS('Hasil-PC'!$X$12:$X$58,'Hasil-PC'!$B$12:$B$58,$A17,'Hasil-PC'!$W$12:$W$58,O$9)+SUMIFS('Hasil-PC'!$AC$12:$AC$58,'Hasil-PC'!$B$12:$B$58,$A17,'Hasil-PC'!$Y$12:$Y$58,O$9)+SUMIFS('Hasil-PC'!$AH$12:$AH$58,'Hasil-PC'!$B$12:$B$58,$A17,'Hasil-PC'!$AD$12:$AD$58,O$9)+SUMIFS('Hasil-PC'!$AM$12:$AM$58,'Hasil-PC'!$B$12:$B$58,$A17,'Hasil-PC'!$AI$12:$AI$58,O$9)+SUMIFS('Hasil-PC'!$AR$12:$AR$58,'Hasil-PC'!$B$12:$B$58,$A17,'Hasil-PC'!$AN$12:$AN$58,O$9)+SUMIFS('Hasil-PC'!$AV$12:$AV$58,'Hasil-PC'!$B$12:$B$58,$A17,'Hasil-PC'!$AT$12:$AT$58,O$9)</f>
        <v>0</v>
      </c>
      <c r="P17" s="218">
        <f>SUMIFS('Hasil-PC'!$X$12:$X$58,'Hasil-PC'!$B$12:$B$58,$A17,'Hasil-PC'!$W$12:$W$58,P$9)+SUMIFS('Hasil-PC'!$AC$12:$AC$58,'Hasil-PC'!$B$12:$B$58,$A17,'Hasil-PC'!$Y$12:$Y$58,P$9)+SUMIFS('Hasil-PC'!$AH$12:$AH$58,'Hasil-PC'!$B$12:$B$58,$A17,'Hasil-PC'!$AD$12:$AD$58,P$9)+SUMIFS('Hasil-PC'!$AM$12:$AM$58,'Hasil-PC'!$B$12:$B$58,$A17,'Hasil-PC'!$AI$12:$AI$58,P$9)+SUMIFS('Hasil-PC'!$AR$12:$AR$58,'Hasil-PC'!$B$12:$B$58,$A17,'Hasil-PC'!$AN$12:$AN$58,P$9)+SUMIFS('Hasil-PC'!$AV$12:$AV$58,'Hasil-PC'!$B$12:$B$58,$A17,'Hasil-PC'!$AT$12:$AT$58,P$9)</f>
        <v>0</v>
      </c>
      <c r="Q17" s="219">
        <f>SUMIFS('Hasil-PC'!$X$12:$X$58,'Hasil-PC'!$B$12:$B$58,$A17,'Hasil-PC'!$W$12:$W$58,Q$9)+SUMIFS('Hasil-PC'!$AC$12:$AC$58,'Hasil-PC'!$B$12:$B$58,$A17,'Hasil-PC'!$Y$12:$Y$58,Q$9)+SUMIFS('Hasil-PC'!$AH$12:$AH$58,'Hasil-PC'!$B$12:$B$58,$A17,'Hasil-PC'!$AD$12:$AD$58,Q$9)+SUMIFS('Hasil-PC'!$AM$12:$AM$58,'Hasil-PC'!$B$12:$B$58,$A17,'Hasil-PC'!$AI$12:$AI$58,Q$9)+SUMIFS('Hasil-PC'!$AR$12:$AR$58,'Hasil-PC'!$B$12:$B$58,$A17,'Hasil-PC'!$AN$12:$AN$58,Q$9)+SUMIFS('Hasil-PC'!$AV$12:$AV$58,'Hasil-PC'!$B$12:$B$58,$A17,'Hasil-PC'!$AT$12:$AT$58,Q$9)</f>
        <v>0</v>
      </c>
      <c r="R17" s="220">
        <f t="shared" si="3"/>
        <v>115.03899863999999</v>
      </c>
      <c r="T17" s="221">
        <f t="shared" si="4"/>
        <v>5.8333333333333339</v>
      </c>
      <c r="U17" s="221">
        <f t="shared" si="5"/>
        <v>199.72048375</v>
      </c>
    </row>
    <row r="18" spans="1:21">
      <c r="A18" s="215" t="s">
        <v>2187</v>
      </c>
      <c r="B18" s="215">
        <f>SUMIF('Hasil-PC'!$B$12:$B$58,$A18,'Hasil-PC'!$T$12:$T$58)</f>
        <v>2.88</v>
      </c>
      <c r="C18" s="216">
        <f>SUMIF('Hasil-PC'!$B$12:$B$58,$A18,'Hasil-PC'!$U$12:$U$58)</f>
        <v>11.04</v>
      </c>
      <c r="D18" s="217">
        <f>SUMIF('Hasil-PC'!$B$12:$B$58,$A18,'Hasil-PC'!$C$12:$C$58)</f>
        <v>4</v>
      </c>
      <c r="E18" s="218">
        <f>SUMIF('Hasil-PC'!$B$12:$B$58,$A18,'Hasil-PC'!H$12:H$58)</f>
        <v>0</v>
      </c>
      <c r="F18" s="218">
        <f>SUMIF('Hasil-PC'!$B$12:$B$58,$A18,'Hasil-PC'!I$12:I$58)</f>
        <v>8</v>
      </c>
      <c r="G18" s="218">
        <f>SUMIF('Hasil-PC'!$B$12:$B$58,$A18,'Hasil-PC'!$L$12:$L$58)</f>
        <v>9.5680000000000014</v>
      </c>
      <c r="H18" s="218">
        <f>SUMIF('Hasil-PC'!$B$12:$B$58,$A18,'Hasil-PC'!$K$12:$K$58)</f>
        <v>0</v>
      </c>
      <c r="I18" s="216">
        <f>SUMIF('Hasil-PC'!$B$12:$B$58,$A18,'Hasil-PC'!$J$12:$J$58)</f>
        <v>0.73599999999999999</v>
      </c>
      <c r="J18" s="217">
        <f>SUMIFS('Hasil-PC'!$X$12:$X$58,'Hasil-PC'!$B$12:$B$58,$A18,'Hasil-PC'!$W$12:$W$58,J$9)+SUMIFS('Hasil-PC'!$AC$12:$AC$58,'Hasil-PC'!$B$12:$B$58,$A18,'Hasil-PC'!$Y$12:$Y$58,J$9)+SUMIFS('Hasil-PC'!$AH$12:$AH$58,'Hasil-PC'!$B$12:$B$58,$A18,'Hasil-PC'!$AD$12:$AD$58,J$9)+SUMIFS('Hasil-PC'!$AM$12:$AM$58,'Hasil-PC'!$B$12:$B$58,$A18,'Hasil-PC'!$AI$12:$AI$58,J$9)+SUMIFS('Hasil-PC'!$AR$12:$AR$58,'Hasil-PC'!$B$12:$B$58,$A18,'Hasil-PC'!$AN$12:$AN$58,J$9)+SUMIFS('Hasil-PC'!$AV$12:$AV$58,'Hasil-PC'!$B$12:$B$58,$A18,'Hasil-PC'!$AT$12:$AT$58,J$9)</f>
        <v>0</v>
      </c>
      <c r="K18" s="218">
        <f>SUMIFS('Hasil-PC'!$X$12:$X$58,'Hasil-PC'!$B$12:$B$58,$A18,'Hasil-PC'!$W$12:$W$58,K$9)+SUMIFS('Hasil-PC'!$AC$12:$AC$58,'Hasil-PC'!$B$12:$B$58,$A18,'Hasil-PC'!$Y$12:$Y$58,K$9)+SUMIFS('Hasil-PC'!$AH$12:$AH$58,'Hasil-PC'!$B$12:$B$58,$A18,'Hasil-PC'!$AD$12:$AD$58,K$9)+SUMIFS('Hasil-PC'!$AM$12:$AM$58,'Hasil-PC'!$B$12:$B$58,$A18,'Hasil-PC'!$AI$12:$AI$58,K$9)+SUMIFS('Hasil-PC'!$AR$12:$AR$58,'Hasil-PC'!$B$12:$B$58,$A18,'Hasil-PC'!$AN$12:$AN$58,K$9)+SUMIFS('Hasil-PC'!$AV$12:$AV$58,'Hasil-PC'!$B$12:$B$58,$A18,'Hasil-PC'!$AT$12:$AT$58,K$9)</f>
        <v>0</v>
      </c>
      <c r="L18" s="218">
        <f>SUMIFS('Hasil-PC'!$X$12:$X$58,'Hasil-PC'!$B$12:$B$58,$A18,'Hasil-PC'!$W$12:$W$58,L$9)+SUMIFS('Hasil-PC'!$AC$12:$AC$58,'Hasil-PC'!$B$12:$B$58,$A18,'Hasil-PC'!$Y$12:$Y$58,L$9)+SUMIFS('Hasil-PC'!$AH$12:$AH$58,'Hasil-PC'!$B$12:$B$58,$A18,'Hasil-PC'!$AD$12:$AD$58,L$9)+SUMIFS('Hasil-PC'!$AM$12:$AM$58,'Hasil-PC'!$B$12:$B$58,$A18,'Hasil-PC'!$AI$12:$AI$58,L$9)+SUMIFS('Hasil-PC'!$AR$12:$AR$58,'Hasil-PC'!$B$12:$B$58,$A18,'Hasil-PC'!$AN$12:$AN$58,L$9)+SUMIFS('Hasil-PC'!$AV$12:$AV$58,'Hasil-PC'!$B$12:$B$58,$A18,'Hasil-PC'!$AT$12:$AT$58,L$9)</f>
        <v>0</v>
      </c>
      <c r="M18" s="218">
        <f>SUMIFS('Hasil-PC'!$X$12:$X$58,'Hasil-PC'!$B$12:$B$58,$A18,'Hasil-PC'!$W$12:$W$58,M$9)+SUMIFS('Hasil-PC'!$AC$12:$AC$58,'Hasil-PC'!$B$12:$B$58,$A18,'Hasil-PC'!$Y$12:$Y$58,M$9)+SUMIFS('Hasil-PC'!$AH$12:$AH$58,'Hasil-PC'!$B$12:$B$58,$A18,'Hasil-PC'!$AD$12:$AD$58,M$9)+SUMIFS('Hasil-PC'!$AM$12:$AM$58,'Hasil-PC'!$B$12:$B$58,$A18,'Hasil-PC'!$AI$12:$AI$58,M$9)+SUMIFS('Hasil-PC'!$AR$12:$AR$58,'Hasil-PC'!$B$12:$B$58,$A18,'Hasil-PC'!$AN$12:$AN$58,M$9)+SUMIFS('Hasil-PC'!$AV$12:$AV$58,'Hasil-PC'!$B$12:$B$58,$A18,'Hasil-PC'!$AT$12:$AT$58,M$9)</f>
        <v>187.67266128</v>
      </c>
      <c r="N18" s="218">
        <f>SUMIFS('Hasil-PC'!$X$12:$X$58,'Hasil-PC'!$B$12:$B$58,$A18,'Hasil-PC'!$W$12:$W$58,N$9)+SUMIFS('Hasil-PC'!$AC$12:$AC$58,'Hasil-PC'!$B$12:$B$58,$A18,'Hasil-PC'!$Y$12:$Y$58,N$9)+SUMIFS('Hasil-PC'!$AH$12:$AH$58,'Hasil-PC'!$B$12:$B$58,$A18,'Hasil-PC'!$AD$12:$AD$58,N$9)+SUMIFS('Hasil-PC'!$AM$12:$AM$58,'Hasil-PC'!$B$12:$B$58,$A18,'Hasil-PC'!$AI$12:$AI$58,N$9)+SUMIFS('Hasil-PC'!$AR$12:$AR$58,'Hasil-PC'!$B$12:$B$58,$A18,'Hasil-PC'!$AN$12:$AN$58,N$9)+SUMIFS('Hasil-PC'!$AV$12:$AV$58,'Hasil-PC'!$B$12:$B$58,$A18,'Hasil-PC'!$AT$12:$AT$58,N$9)</f>
        <v>293.55264</v>
      </c>
      <c r="O18" s="218">
        <f>SUMIFS('Hasil-PC'!$X$12:$X$58,'Hasil-PC'!$B$12:$B$58,$A18,'Hasil-PC'!$W$12:$W$58,O$9)+SUMIFS('Hasil-PC'!$AC$12:$AC$58,'Hasil-PC'!$B$12:$B$58,$A18,'Hasil-PC'!$Y$12:$Y$58,O$9)+SUMIFS('Hasil-PC'!$AH$12:$AH$58,'Hasil-PC'!$B$12:$B$58,$A18,'Hasil-PC'!$AD$12:$AD$58,O$9)+SUMIFS('Hasil-PC'!$AM$12:$AM$58,'Hasil-PC'!$B$12:$B$58,$A18,'Hasil-PC'!$AI$12:$AI$58,O$9)+SUMIFS('Hasil-PC'!$AR$12:$AR$58,'Hasil-PC'!$B$12:$B$58,$A18,'Hasil-PC'!$AN$12:$AN$58,O$9)+SUMIFS('Hasil-PC'!$AV$12:$AV$58,'Hasil-PC'!$B$12:$B$58,$A18,'Hasil-PC'!$AT$12:$AT$58,O$9)</f>
        <v>0</v>
      </c>
      <c r="P18" s="218">
        <f>SUMIFS('Hasil-PC'!$X$12:$X$58,'Hasil-PC'!$B$12:$B$58,$A18,'Hasil-PC'!$W$12:$W$58,P$9)+SUMIFS('Hasil-PC'!$AC$12:$AC$58,'Hasil-PC'!$B$12:$B$58,$A18,'Hasil-PC'!$Y$12:$Y$58,P$9)+SUMIFS('Hasil-PC'!$AH$12:$AH$58,'Hasil-PC'!$B$12:$B$58,$A18,'Hasil-PC'!$AD$12:$AD$58,P$9)+SUMIFS('Hasil-PC'!$AM$12:$AM$58,'Hasil-PC'!$B$12:$B$58,$A18,'Hasil-PC'!$AI$12:$AI$58,P$9)+SUMIFS('Hasil-PC'!$AR$12:$AR$58,'Hasil-PC'!$B$12:$B$58,$A18,'Hasil-PC'!$AN$12:$AN$58,P$9)+SUMIFS('Hasil-PC'!$AV$12:$AV$58,'Hasil-PC'!$B$12:$B$58,$A18,'Hasil-PC'!$AT$12:$AT$58,P$9)</f>
        <v>0</v>
      </c>
      <c r="Q18" s="219">
        <f>SUMIFS('Hasil-PC'!$X$12:$X$58,'Hasil-PC'!$B$12:$B$58,$A18,'Hasil-PC'!$W$12:$W$58,Q$9)+SUMIFS('Hasil-PC'!$AC$12:$AC$58,'Hasil-PC'!$B$12:$B$58,$A18,'Hasil-PC'!$Y$12:$Y$58,Q$9)+SUMIFS('Hasil-PC'!$AH$12:$AH$58,'Hasil-PC'!$B$12:$B$58,$A18,'Hasil-PC'!$AD$12:$AD$58,Q$9)+SUMIFS('Hasil-PC'!$AM$12:$AM$58,'Hasil-PC'!$B$12:$B$58,$A18,'Hasil-PC'!$AI$12:$AI$58,Q$9)+SUMIFS('Hasil-PC'!$AR$12:$AR$58,'Hasil-PC'!$B$12:$B$58,$A18,'Hasil-PC'!$AN$12:$AN$58,Q$9)+SUMIFS('Hasil-PC'!$AV$12:$AV$58,'Hasil-PC'!$B$12:$B$58,$A18,'Hasil-PC'!$AT$12:$AT$58,Q$9)</f>
        <v>0</v>
      </c>
      <c r="R18" s="220">
        <f t="shared" si="3"/>
        <v>481.22530128</v>
      </c>
      <c r="T18" s="221">
        <f t="shared" si="4"/>
        <v>3.833333333333333</v>
      </c>
      <c r="U18" s="221">
        <f t="shared" si="5"/>
        <v>167.0921185</v>
      </c>
    </row>
    <row r="19" spans="1:21">
      <c r="A19" s="215" t="s">
        <v>2309</v>
      </c>
      <c r="B19" s="215">
        <f>SUMIF('Hasil-PC'!$B$12:$B$58,$A19,'Hasil-PC'!$T$12:$T$58)</f>
        <v>1.3440000000000001</v>
      </c>
      <c r="C19" s="216">
        <f>SUMIF('Hasil-PC'!$B$12:$B$58,$A19,'Hasil-PC'!$U$12:$U$58)</f>
        <v>4.4800000000000004</v>
      </c>
      <c r="D19" s="217">
        <f>SUMIF('Hasil-PC'!$B$12:$B$58,$A19,'Hasil-PC'!$C$12:$C$58)</f>
        <v>1</v>
      </c>
      <c r="E19" s="218">
        <f>SUMIF('Hasil-PC'!$B$12:$B$58,$A19,'Hasil-PC'!H$12:H$58)</f>
        <v>0</v>
      </c>
      <c r="F19" s="218">
        <f>SUMIF('Hasil-PC'!$B$12:$B$58,$A19,'Hasil-PC'!I$12:I$58)</f>
        <v>3</v>
      </c>
      <c r="G19" s="218">
        <f>SUMIF('Hasil-PC'!$B$12:$B$58,$A19,'Hasil-PC'!$L$12:$L$58)</f>
        <v>3.84</v>
      </c>
      <c r="H19" s="218">
        <f>SUMIF('Hasil-PC'!$B$12:$B$58,$A19,'Hasil-PC'!$K$12:$K$58)</f>
        <v>0</v>
      </c>
      <c r="I19" s="216">
        <f>SUMIF('Hasil-PC'!$B$12:$B$58,$A19,'Hasil-PC'!$J$12:$J$58)</f>
        <v>0.25600000000000001</v>
      </c>
      <c r="J19" s="217">
        <f>SUMIFS('Hasil-PC'!$X$12:$X$58,'Hasil-PC'!$B$12:$B$58,$A19,'Hasil-PC'!$W$12:$W$58,J$9)+SUMIFS('Hasil-PC'!$AC$12:$AC$58,'Hasil-PC'!$B$12:$B$58,$A19,'Hasil-PC'!$Y$12:$Y$58,J$9)+SUMIFS('Hasil-PC'!$AH$12:$AH$58,'Hasil-PC'!$B$12:$B$58,$A19,'Hasil-PC'!$AD$12:$AD$58,J$9)+SUMIFS('Hasil-PC'!$AM$12:$AM$58,'Hasil-PC'!$B$12:$B$58,$A19,'Hasil-PC'!$AI$12:$AI$58,J$9)+SUMIFS('Hasil-PC'!$AR$12:$AR$58,'Hasil-PC'!$B$12:$B$58,$A19,'Hasil-PC'!$AN$12:$AN$58,J$9)+SUMIFS('Hasil-PC'!$AV$12:$AV$58,'Hasil-PC'!$B$12:$B$58,$A19,'Hasil-PC'!$AT$12:$AT$58,J$9)</f>
        <v>0</v>
      </c>
      <c r="K19" s="218">
        <f>SUMIFS('Hasil-PC'!$X$12:$X$58,'Hasil-PC'!$B$12:$B$58,$A19,'Hasil-PC'!$W$12:$W$58,K$9)+SUMIFS('Hasil-PC'!$AC$12:$AC$58,'Hasil-PC'!$B$12:$B$58,$A19,'Hasil-PC'!$Y$12:$Y$58,K$9)+SUMIFS('Hasil-PC'!$AH$12:$AH$58,'Hasil-PC'!$B$12:$B$58,$A19,'Hasil-PC'!$AD$12:$AD$58,K$9)+SUMIFS('Hasil-PC'!$AM$12:$AM$58,'Hasil-PC'!$B$12:$B$58,$A19,'Hasil-PC'!$AI$12:$AI$58,K$9)+SUMIFS('Hasil-PC'!$AR$12:$AR$58,'Hasil-PC'!$B$12:$B$58,$A19,'Hasil-PC'!$AN$12:$AN$58,K$9)+SUMIFS('Hasil-PC'!$AV$12:$AV$58,'Hasil-PC'!$B$12:$B$58,$A19,'Hasil-PC'!$AT$12:$AT$58,K$9)</f>
        <v>0</v>
      </c>
      <c r="L19" s="218">
        <f>SUMIFS('Hasil-PC'!$X$12:$X$58,'Hasil-PC'!$B$12:$B$58,$A19,'Hasil-PC'!$W$12:$W$58,L$9)+SUMIFS('Hasil-PC'!$AC$12:$AC$58,'Hasil-PC'!$B$12:$B$58,$A19,'Hasil-PC'!$Y$12:$Y$58,L$9)+SUMIFS('Hasil-PC'!$AH$12:$AH$58,'Hasil-PC'!$B$12:$B$58,$A19,'Hasil-PC'!$AD$12:$AD$58,L$9)+SUMIFS('Hasil-PC'!$AM$12:$AM$58,'Hasil-PC'!$B$12:$B$58,$A19,'Hasil-PC'!$AI$12:$AI$58,L$9)+SUMIFS('Hasil-PC'!$AR$12:$AR$58,'Hasil-PC'!$B$12:$B$58,$A19,'Hasil-PC'!$AN$12:$AN$58,L$9)+SUMIFS('Hasil-PC'!$AV$12:$AV$58,'Hasil-PC'!$B$12:$B$58,$A19,'Hasil-PC'!$AT$12:$AT$58,L$9)</f>
        <v>0</v>
      </c>
      <c r="M19" s="218">
        <f>SUMIFS('Hasil-PC'!$X$12:$X$58,'Hasil-PC'!$B$12:$B$58,$A19,'Hasil-PC'!$W$12:$W$58,M$9)+SUMIFS('Hasil-PC'!$AC$12:$AC$58,'Hasil-PC'!$B$12:$B$58,$A19,'Hasil-PC'!$Y$12:$Y$58,M$9)+SUMIFS('Hasil-PC'!$AH$12:$AH$58,'Hasil-PC'!$B$12:$B$58,$A19,'Hasil-PC'!$AD$12:$AD$58,M$9)+SUMIFS('Hasil-PC'!$AM$12:$AM$58,'Hasil-PC'!$B$12:$B$58,$A19,'Hasil-PC'!$AI$12:$AI$58,M$9)+SUMIFS('Hasil-PC'!$AR$12:$AR$58,'Hasil-PC'!$B$12:$B$58,$A19,'Hasil-PC'!$AN$12:$AN$58,M$9)+SUMIFS('Hasil-PC'!$AV$12:$AV$58,'Hasil-PC'!$B$12:$B$58,$A19,'Hasil-PC'!$AT$12:$AT$58,M$9)</f>
        <v>74.753164980000008</v>
      </c>
      <c r="N19" s="218">
        <f>SUMIFS('Hasil-PC'!$X$12:$X$58,'Hasil-PC'!$B$12:$B$58,$A19,'Hasil-PC'!$W$12:$W$58,N$9)+SUMIFS('Hasil-PC'!$AC$12:$AC$58,'Hasil-PC'!$B$12:$B$58,$A19,'Hasil-PC'!$Y$12:$Y$58,N$9)+SUMIFS('Hasil-PC'!$AH$12:$AH$58,'Hasil-PC'!$B$12:$B$58,$A19,'Hasil-PC'!$AD$12:$AD$58,N$9)+SUMIFS('Hasil-PC'!$AM$12:$AM$58,'Hasil-PC'!$B$12:$B$58,$A19,'Hasil-PC'!$AI$12:$AI$58,N$9)+SUMIFS('Hasil-PC'!$AR$12:$AR$58,'Hasil-PC'!$B$12:$B$58,$A19,'Hasil-PC'!$AN$12:$AN$58,N$9)+SUMIFS('Hasil-PC'!$AV$12:$AV$58,'Hasil-PC'!$B$12:$B$58,$A19,'Hasil-PC'!$AT$12:$AT$58,N$9)</f>
        <v>128.78438399999999</v>
      </c>
      <c r="O19" s="218">
        <f>SUMIFS('Hasil-PC'!$X$12:$X$58,'Hasil-PC'!$B$12:$B$58,$A19,'Hasil-PC'!$W$12:$W$58,O$9)+SUMIFS('Hasil-PC'!$AC$12:$AC$58,'Hasil-PC'!$B$12:$B$58,$A19,'Hasil-PC'!$Y$12:$Y$58,O$9)+SUMIFS('Hasil-PC'!$AH$12:$AH$58,'Hasil-PC'!$B$12:$B$58,$A19,'Hasil-PC'!$AD$12:$AD$58,O$9)+SUMIFS('Hasil-PC'!$AM$12:$AM$58,'Hasil-PC'!$B$12:$B$58,$A19,'Hasil-PC'!$AI$12:$AI$58,O$9)+SUMIFS('Hasil-PC'!$AR$12:$AR$58,'Hasil-PC'!$B$12:$B$58,$A19,'Hasil-PC'!$AN$12:$AN$58,O$9)+SUMIFS('Hasil-PC'!$AV$12:$AV$58,'Hasil-PC'!$B$12:$B$58,$A19,'Hasil-PC'!$AT$12:$AT$58,O$9)</f>
        <v>0</v>
      </c>
      <c r="P19" s="218">
        <f>SUMIFS('Hasil-PC'!$X$12:$X$58,'Hasil-PC'!$B$12:$B$58,$A19,'Hasil-PC'!$W$12:$W$58,P$9)+SUMIFS('Hasil-PC'!$AC$12:$AC$58,'Hasil-PC'!$B$12:$B$58,$A19,'Hasil-PC'!$Y$12:$Y$58,P$9)+SUMIFS('Hasil-PC'!$AH$12:$AH$58,'Hasil-PC'!$B$12:$B$58,$A19,'Hasil-PC'!$AD$12:$AD$58,P$9)+SUMIFS('Hasil-PC'!$AM$12:$AM$58,'Hasil-PC'!$B$12:$B$58,$A19,'Hasil-PC'!$AI$12:$AI$58,P$9)+SUMIFS('Hasil-PC'!$AR$12:$AR$58,'Hasil-PC'!$B$12:$B$58,$A19,'Hasil-PC'!$AN$12:$AN$58,P$9)+SUMIFS('Hasil-PC'!$AV$12:$AV$58,'Hasil-PC'!$B$12:$B$58,$A19,'Hasil-PC'!$AT$12:$AT$58,P$9)</f>
        <v>0</v>
      </c>
      <c r="Q19" s="219">
        <f>SUMIFS('Hasil-PC'!$X$12:$X$58,'Hasil-PC'!$B$12:$B$58,$A19,'Hasil-PC'!$W$12:$W$58,Q$9)+SUMIFS('Hasil-PC'!$AC$12:$AC$58,'Hasil-PC'!$B$12:$B$58,$A19,'Hasil-PC'!$Y$12:$Y$58,Q$9)+SUMIFS('Hasil-PC'!$AH$12:$AH$58,'Hasil-PC'!$B$12:$B$58,$A19,'Hasil-PC'!$AD$12:$AD$58,Q$9)+SUMIFS('Hasil-PC'!$AM$12:$AM$58,'Hasil-PC'!$B$12:$B$58,$A19,'Hasil-PC'!$AI$12:$AI$58,Q$9)+SUMIFS('Hasil-PC'!$AR$12:$AR$58,'Hasil-PC'!$B$12:$B$58,$A19,'Hasil-PC'!$AN$12:$AN$58,Q$9)+SUMIFS('Hasil-PC'!$AV$12:$AV$58,'Hasil-PC'!$B$12:$B$58,$A19,'Hasil-PC'!$AT$12:$AT$58,Q$9)</f>
        <v>0</v>
      </c>
      <c r="R19" s="220">
        <f t="shared" ref="R19:R21" si="6">SUM(J19:Q19)</f>
        <v>203.53754898</v>
      </c>
      <c r="T19" s="221">
        <f t="shared" ref="T19:T21" si="7">IF(B19&gt;0,C19/B19,0)</f>
        <v>3.3333333333333335</v>
      </c>
      <c r="U19" s="221">
        <f t="shared" ref="U19:U21" si="8">IF(B19&gt;0,R19/B19,0)</f>
        <v>151.44162870535712</v>
      </c>
    </row>
    <row r="20" spans="1:21">
      <c r="A20" s="215" t="s">
        <v>2310</v>
      </c>
      <c r="B20" s="215">
        <f>SUMIF('Hasil-PC'!$B$12:$B$58,$A20,'Hasil-PC'!$T$12:$T$58)</f>
        <v>2.4124319999999999</v>
      </c>
      <c r="C20" s="216">
        <f>SUMIF('Hasil-PC'!$B$12:$B$58,$A20,'Hasil-PC'!$U$12:$U$58)</f>
        <v>5.3372393589786871</v>
      </c>
      <c r="D20" s="217">
        <f>SUMIF('Hasil-PC'!$B$12:$B$58,$A20,'Hasil-PC'!$C$12:$C$58)</f>
        <v>1</v>
      </c>
      <c r="E20" s="218">
        <f>SUMIF('Hasil-PC'!$B$12:$B$58,$A20,'Hasil-PC'!H$12:H$58)</f>
        <v>0</v>
      </c>
      <c r="F20" s="218">
        <f>SUMIF('Hasil-PC'!$B$12:$B$58,$A20,'Hasil-PC'!I$12:I$58)</f>
        <v>5</v>
      </c>
      <c r="G20" s="218">
        <f>SUMIF('Hasil-PC'!$B$12:$B$58,$A20,'Hasil-PC'!$L$12:$L$58)</f>
        <v>5.6324608000000005</v>
      </c>
      <c r="H20" s="218">
        <f>SUMIF('Hasil-PC'!$B$12:$B$58,$A20,'Hasil-PC'!$K$12:$K$58)</f>
        <v>0</v>
      </c>
      <c r="I20" s="216">
        <f>SUMIF('Hasil-PC'!$B$12:$B$58,$A20,'Hasil-PC'!$J$12:$J$58)</f>
        <v>0.35202879999999998</v>
      </c>
      <c r="J20" s="217">
        <f>SUMIFS('Hasil-PC'!$X$12:$X$58,'Hasil-PC'!$B$12:$B$58,$A20,'Hasil-PC'!$W$12:$W$58,J$9)+SUMIFS('Hasil-PC'!$AC$12:$AC$58,'Hasil-PC'!$B$12:$B$58,$A20,'Hasil-PC'!$Y$12:$Y$58,J$9)+SUMIFS('Hasil-PC'!$AH$12:$AH$58,'Hasil-PC'!$B$12:$B$58,$A20,'Hasil-PC'!$AD$12:$AD$58,J$9)+SUMIFS('Hasil-PC'!$AM$12:$AM$58,'Hasil-PC'!$B$12:$B$58,$A20,'Hasil-PC'!$AI$12:$AI$58,J$9)+SUMIFS('Hasil-PC'!$AR$12:$AR$58,'Hasil-PC'!$B$12:$B$58,$A20,'Hasil-PC'!$AN$12:$AN$58,J$9)+SUMIFS('Hasil-PC'!$AV$12:$AV$58,'Hasil-PC'!$B$12:$B$58,$A20,'Hasil-PC'!$AT$12:$AT$58,J$9)</f>
        <v>0</v>
      </c>
      <c r="K20" s="218">
        <f>SUMIFS('Hasil-PC'!$X$12:$X$58,'Hasil-PC'!$B$12:$B$58,$A20,'Hasil-PC'!$W$12:$W$58,K$9)+SUMIFS('Hasil-PC'!$AC$12:$AC$58,'Hasil-PC'!$B$12:$B$58,$A20,'Hasil-PC'!$Y$12:$Y$58,K$9)+SUMIFS('Hasil-PC'!$AH$12:$AH$58,'Hasil-PC'!$B$12:$B$58,$A20,'Hasil-PC'!$AD$12:$AD$58,K$9)+SUMIFS('Hasil-PC'!$AM$12:$AM$58,'Hasil-PC'!$B$12:$B$58,$A20,'Hasil-PC'!$AI$12:$AI$58,K$9)+SUMIFS('Hasil-PC'!$AR$12:$AR$58,'Hasil-PC'!$B$12:$B$58,$A20,'Hasil-PC'!$AN$12:$AN$58,K$9)+SUMIFS('Hasil-PC'!$AV$12:$AV$58,'Hasil-PC'!$B$12:$B$58,$A20,'Hasil-PC'!$AT$12:$AT$58,K$9)</f>
        <v>0</v>
      </c>
      <c r="L20" s="218">
        <f>SUMIFS('Hasil-PC'!$X$12:$X$58,'Hasil-PC'!$B$12:$B$58,$A20,'Hasil-PC'!$W$12:$W$58,L$9)+SUMIFS('Hasil-PC'!$AC$12:$AC$58,'Hasil-PC'!$B$12:$B$58,$A20,'Hasil-PC'!$Y$12:$Y$58,L$9)+SUMIFS('Hasil-PC'!$AH$12:$AH$58,'Hasil-PC'!$B$12:$B$58,$A20,'Hasil-PC'!$AD$12:$AD$58,L$9)+SUMIFS('Hasil-PC'!$AM$12:$AM$58,'Hasil-PC'!$B$12:$B$58,$A20,'Hasil-PC'!$AI$12:$AI$58,L$9)+SUMIFS('Hasil-PC'!$AR$12:$AR$58,'Hasil-PC'!$B$12:$B$58,$A20,'Hasil-PC'!$AN$12:$AN$58,L$9)+SUMIFS('Hasil-PC'!$AV$12:$AV$58,'Hasil-PC'!$B$12:$B$58,$A20,'Hasil-PC'!$AT$12:$AT$58,L$9)</f>
        <v>0</v>
      </c>
      <c r="M20" s="218">
        <f>SUMIFS('Hasil-PC'!$X$12:$X$58,'Hasil-PC'!$B$12:$B$58,$A20,'Hasil-PC'!$W$12:$W$58,M$9)+SUMIFS('Hasil-PC'!$AC$12:$AC$58,'Hasil-PC'!$B$12:$B$58,$A20,'Hasil-PC'!$Y$12:$Y$58,M$9)+SUMIFS('Hasil-PC'!$AH$12:$AH$58,'Hasil-PC'!$B$12:$B$58,$A20,'Hasil-PC'!$AD$12:$AD$58,M$9)+SUMIFS('Hasil-PC'!$AM$12:$AM$58,'Hasil-PC'!$B$12:$B$58,$A20,'Hasil-PC'!$AI$12:$AI$58,M$9)+SUMIFS('Hasil-PC'!$AR$12:$AR$58,'Hasil-PC'!$B$12:$B$58,$A20,'Hasil-PC'!$AN$12:$AN$58,M$9)+SUMIFS('Hasil-PC'!$AV$12:$AV$58,'Hasil-PC'!$B$12:$B$58,$A20,'Hasil-PC'!$AT$12:$AT$58,M$9)</f>
        <v>66.114852098118035</v>
      </c>
      <c r="N20" s="218">
        <f>SUMIFS('Hasil-PC'!$X$12:$X$58,'Hasil-PC'!$B$12:$B$58,$A20,'Hasil-PC'!$W$12:$W$58,N$9)+SUMIFS('Hasil-PC'!$AC$12:$AC$58,'Hasil-PC'!$B$12:$B$58,$A20,'Hasil-PC'!$Y$12:$Y$58,N$9)+SUMIFS('Hasil-PC'!$AH$12:$AH$58,'Hasil-PC'!$B$12:$B$58,$A20,'Hasil-PC'!$AD$12:$AD$58,N$9)+SUMIFS('Hasil-PC'!$AM$12:$AM$58,'Hasil-PC'!$B$12:$B$58,$A20,'Hasil-PC'!$AI$12:$AI$58,N$9)+SUMIFS('Hasil-PC'!$AR$12:$AR$58,'Hasil-PC'!$B$12:$B$58,$A20,'Hasil-PC'!$AN$12:$AN$58,N$9)+SUMIFS('Hasil-PC'!$AV$12:$AV$58,'Hasil-PC'!$B$12:$B$58,$A20,'Hasil-PC'!$AT$12:$AT$58,N$9)</f>
        <v>192.80884608000002</v>
      </c>
      <c r="O20" s="218">
        <f>SUMIFS('Hasil-PC'!$X$12:$X$58,'Hasil-PC'!$B$12:$B$58,$A20,'Hasil-PC'!$W$12:$W$58,O$9)+SUMIFS('Hasil-PC'!$AC$12:$AC$58,'Hasil-PC'!$B$12:$B$58,$A20,'Hasil-PC'!$Y$12:$Y$58,O$9)+SUMIFS('Hasil-PC'!$AH$12:$AH$58,'Hasil-PC'!$B$12:$B$58,$A20,'Hasil-PC'!$AD$12:$AD$58,O$9)+SUMIFS('Hasil-PC'!$AM$12:$AM$58,'Hasil-PC'!$B$12:$B$58,$A20,'Hasil-PC'!$AI$12:$AI$58,O$9)+SUMIFS('Hasil-PC'!$AR$12:$AR$58,'Hasil-PC'!$B$12:$B$58,$A20,'Hasil-PC'!$AN$12:$AN$58,O$9)+SUMIFS('Hasil-PC'!$AV$12:$AV$58,'Hasil-PC'!$B$12:$B$58,$A20,'Hasil-PC'!$AT$12:$AT$58,O$9)</f>
        <v>123.06706780499999</v>
      </c>
      <c r="P20" s="218">
        <f>SUMIFS('Hasil-PC'!$X$12:$X$58,'Hasil-PC'!$B$12:$B$58,$A20,'Hasil-PC'!$W$12:$W$58,P$9)+SUMIFS('Hasil-PC'!$AC$12:$AC$58,'Hasil-PC'!$B$12:$B$58,$A20,'Hasil-PC'!$Y$12:$Y$58,P$9)+SUMIFS('Hasil-PC'!$AH$12:$AH$58,'Hasil-PC'!$B$12:$B$58,$A20,'Hasil-PC'!$AD$12:$AD$58,P$9)+SUMIFS('Hasil-PC'!$AM$12:$AM$58,'Hasil-PC'!$B$12:$B$58,$A20,'Hasil-PC'!$AI$12:$AI$58,P$9)+SUMIFS('Hasil-PC'!$AR$12:$AR$58,'Hasil-PC'!$B$12:$B$58,$A20,'Hasil-PC'!$AN$12:$AN$58,P$9)+SUMIFS('Hasil-PC'!$AV$12:$AV$58,'Hasil-PC'!$B$12:$B$58,$A20,'Hasil-PC'!$AT$12:$AT$58,P$9)</f>
        <v>0</v>
      </c>
      <c r="Q20" s="219">
        <f>SUMIFS('Hasil-PC'!$X$12:$X$58,'Hasil-PC'!$B$12:$B$58,$A20,'Hasil-PC'!$W$12:$W$58,Q$9)+SUMIFS('Hasil-PC'!$AC$12:$AC$58,'Hasil-PC'!$B$12:$B$58,$A20,'Hasil-PC'!$Y$12:$Y$58,Q$9)+SUMIFS('Hasil-PC'!$AH$12:$AH$58,'Hasil-PC'!$B$12:$B$58,$A20,'Hasil-PC'!$AD$12:$AD$58,Q$9)+SUMIFS('Hasil-PC'!$AM$12:$AM$58,'Hasil-PC'!$B$12:$B$58,$A20,'Hasil-PC'!$AI$12:$AI$58,Q$9)+SUMIFS('Hasil-PC'!$AR$12:$AR$58,'Hasil-PC'!$B$12:$B$58,$A20,'Hasil-PC'!$AN$12:$AN$58,Q$9)+SUMIFS('Hasil-PC'!$AV$12:$AV$58,'Hasil-PC'!$B$12:$B$58,$A20,'Hasil-PC'!$AT$12:$AT$58,Q$9)</f>
        <v>0</v>
      </c>
      <c r="R20" s="220">
        <f t="shared" si="6"/>
        <v>381.99076598311808</v>
      </c>
      <c r="T20" s="221">
        <f t="shared" si="7"/>
        <v>2.2123895550128201</v>
      </c>
      <c r="U20" s="221">
        <f t="shared" si="8"/>
        <v>158.34260446848577</v>
      </c>
    </row>
    <row r="21" spans="1:21" ht="13.5" thickBot="1">
      <c r="A21" s="215" t="s">
        <v>2311</v>
      </c>
      <c r="B21" s="215">
        <f>SUMIF('Hasil-PC'!$B$12:$B$58,$A21,'Hasil-PC'!$T$12:$T$58)</f>
        <v>1.3822812499999999</v>
      </c>
      <c r="C21" s="216">
        <f>SUMIF('Hasil-PC'!$B$12:$B$58,$A21,'Hasil-PC'!$U$12:$U$58)</f>
        <v>3.960703281636579</v>
      </c>
      <c r="D21" s="217">
        <f>SUMIF('Hasil-PC'!$B$12:$B$58,$A21,'Hasil-PC'!$C$12:$C$58)</f>
        <v>1</v>
      </c>
      <c r="E21" s="218">
        <f>SUMIF('Hasil-PC'!$B$12:$B$58,$A21,'Hasil-PC'!H$12:H$58)</f>
        <v>0</v>
      </c>
      <c r="F21" s="218">
        <f>SUMIF('Hasil-PC'!$B$12:$B$58,$A21,'Hasil-PC'!I$12:I$58)</f>
        <v>3</v>
      </c>
      <c r="G21" s="218">
        <f>SUMIF('Hasil-PC'!$B$12:$B$58,$A21,'Hasil-PC'!$L$12:$L$58)</f>
        <v>3.8210156250000002</v>
      </c>
      <c r="H21" s="218">
        <f>SUMIF('Hasil-PC'!$B$12:$B$58,$A21,'Hasil-PC'!$K$12:$K$58)</f>
        <v>0</v>
      </c>
      <c r="I21" s="216">
        <f>SUMIF('Hasil-PC'!$B$12:$B$58,$A21,'Hasil-PC'!$J$12:$J$58)</f>
        <v>0.25473437500000001</v>
      </c>
      <c r="J21" s="217">
        <f>SUMIFS('Hasil-PC'!$X$12:$X$58,'Hasil-PC'!$B$12:$B$58,$A21,'Hasil-PC'!$W$12:$W$58,J$9)+SUMIFS('Hasil-PC'!$AC$12:$AC$58,'Hasil-PC'!$B$12:$B$58,$A21,'Hasil-PC'!$Y$12:$Y$58,J$9)+SUMIFS('Hasil-PC'!$AH$12:$AH$58,'Hasil-PC'!$B$12:$B$58,$A21,'Hasil-PC'!$AD$12:$AD$58,J$9)+SUMIFS('Hasil-PC'!$AM$12:$AM$58,'Hasil-PC'!$B$12:$B$58,$A21,'Hasil-PC'!$AI$12:$AI$58,J$9)+SUMIFS('Hasil-PC'!$AR$12:$AR$58,'Hasil-PC'!$B$12:$B$58,$A21,'Hasil-PC'!$AN$12:$AN$58,J$9)+SUMIFS('Hasil-PC'!$AV$12:$AV$58,'Hasil-PC'!$B$12:$B$58,$A21,'Hasil-PC'!$AT$12:$AT$58,J$9)</f>
        <v>0</v>
      </c>
      <c r="K21" s="218">
        <f>SUMIFS('Hasil-PC'!$X$12:$X$58,'Hasil-PC'!$B$12:$B$58,$A21,'Hasil-PC'!$W$12:$W$58,K$9)+SUMIFS('Hasil-PC'!$AC$12:$AC$58,'Hasil-PC'!$B$12:$B$58,$A21,'Hasil-PC'!$Y$12:$Y$58,K$9)+SUMIFS('Hasil-PC'!$AH$12:$AH$58,'Hasil-PC'!$B$12:$B$58,$A21,'Hasil-PC'!$AD$12:$AD$58,K$9)+SUMIFS('Hasil-PC'!$AM$12:$AM$58,'Hasil-PC'!$B$12:$B$58,$A21,'Hasil-PC'!$AI$12:$AI$58,K$9)+SUMIFS('Hasil-PC'!$AR$12:$AR$58,'Hasil-PC'!$B$12:$B$58,$A21,'Hasil-PC'!$AN$12:$AN$58,K$9)+SUMIFS('Hasil-PC'!$AV$12:$AV$58,'Hasil-PC'!$B$12:$B$58,$A21,'Hasil-PC'!$AT$12:$AT$58,K$9)</f>
        <v>0</v>
      </c>
      <c r="L21" s="218">
        <f>SUMIFS('Hasil-PC'!$X$12:$X$58,'Hasil-PC'!$B$12:$B$58,$A21,'Hasil-PC'!$W$12:$W$58,L$9)+SUMIFS('Hasil-PC'!$AC$12:$AC$58,'Hasil-PC'!$B$12:$B$58,$A21,'Hasil-PC'!$Y$12:$Y$58,L$9)+SUMIFS('Hasil-PC'!$AH$12:$AH$58,'Hasil-PC'!$B$12:$B$58,$A21,'Hasil-PC'!$AD$12:$AD$58,L$9)+SUMIFS('Hasil-PC'!$AM$12:$AM$58,'Hasil-PC'!$B$12:$B$58,$A21,'Hasil-PC'!$AI$12:$AI$58,L$9)+SUMIFS('Hasil-PC'!$AR$12:$AR$58,'Hasil-PC'!$B$12:$B$58,$A21,'Hasil-PC'!$AN$12:$AN$58,L$9)+SUMIFS('Hasil-PC'!$AV$12:$AV$58,'Hasil-PC'!$B$12:$B$58,$A21,'Hasil-PC'!$AT$12:$AT$58,L$9)</f>
        <v>0</v>
      </c>
      <c r="M21" s="218">
        <f>SUMIFS('Hasil-PC'!$X$12:$X$58,'Hasil-PC'!$B$12:$B$58,$A21,'Hasil-PC'!$W$12:$W$58,M$9)+SUMIFS('Hasil-PC'!$AC$12:$AC$58,'Hasil-PC'!$B$12:$B$58,$A21,'Hasil-PC'!$Y$12:$Y$58,M$9)+SUMIFS('Hasil-PC'!$AH$12:$AH$58,'Hasil-PC'!$B$12:$B$58,$A21,'Hasil-PC'!$AD$12:$AD$58,M$9)+SUMIFS('Hasil-PC'!$AM$12:$AM$58,'Hasil-PC'!$B$12:$B$58,$A21,'Hasil-PC'!$AI$12:$AI$58,M$9)+SUMIFS('Hasil-PC'!$AR$12:$AR$58,'Hasil-PC'!$B$12:$B$58,$A21,'Hasil-PC'!$AN$12:$AN$58,M$9)+SUMIFS('Hasil-PC'!$AV$12:$AV$58,'Hasil-PC'!$B$12:$B$58,$A21,'Hasil-PC'!$AT$12:$AT$58,M$9)</f>
        <v>17.235322845376828</v>
      </c>
      <c r="N21" s="218">
        <f>SUMIFS('Hasil-PC'!$X$12:$X$58,'Hasil-PC'!$B$12:$B$58,$A21,'Hasil-PC'!$W$12:$W$58,N$9)+SUMIFS('Hasil-PC'!$AC$12:$AC$58,'Hasil-PC'!$B$12:$B$58,$A21,'Hasil-PC'!$Y$12:$Y$58,N$9)+SUMIFS('Hasil-PC'!$AH$12:$AH$58,'Hasil-PC'!$B$12:$B$58,$A21,'Hasil-PC'!$AD$12:$AD$58,N$9)+SUMIFS('Hasil-PC'!$AM$12:$AM$58,'Hasil-PC'!$B$12:$B$58,$A21,'Hasil-PC'!$AI$12:$AI$58,N$9)+SUMIFS('Hasil-PC'!$AR$12:$AR$58,'Hasil-PC'!$B$12:$B$58,$A21,'Hasil-PC'!$AN$12:$AN$58,N$9)+SUMIFS('Hasil-PC'!$AV$12:$AV$58,'Hasil-PC'!$B$12:$B$58,$A21,'Hasil-PC'!$AT$12:$AT$58,N$9)</f>
        <v>129.66819839999999</v>
      </c>
      <c r="O21" s="218">
        <f>SUMIFS('Hasil-PC'!$X$12:$X$58,'Hasil-PC'!$B$12:$B$58,$A21,'Hasil-PC'!$W$12:$W$58,O$9)+SUMIFS('Hasil-PC'!$AC$12:$AC$58,'Hasil-PC'!$B$12:$B$58,$A21,'Hasil-PC'!$Y$12:$Y$58,O$9)+SUMIFS('Hasil-PC'!$AH$12:$AH$58,'Hasil-PC'!$B$12:$B$58,$A21,'Hasil-PC'!$AD$12:$AD$58,O$9)+SUMIFS('Hasil-PC'!$AM$12:$AM$58,'Hasil-PC'!$B$12:$B$58,$A21,'Hasil-PC'!$AI$12:$AI$58,O$9)+SUMIFS('Hasil-PC'!$AR$12:$AR$58,'Hasil-PC'!$B$12:$B$58,$A21,'Hasil-PC'!$AN$12:$AN$58,O$9)+SUMIFS('Hasil-PC'!$AV$12:$AV$58,'Hasil-PC'!$B$12:$B$58,$A21,'Hasil-PC'!$AT$12:$AT$58,O$9)</f>
        <v>150.09210359999997</v>
      </c>
      <c r="P21" s="218">
        <f>SUMIFS('Hasil-PC'!$X$12:$X$58,'Hasil-PC'!$B$12:$B$58,$A21,'Hasil-PC'!$W$12:$W$58,P$9)+SUMIFS('Hasil-PC'!$AC$12:$AC$58,'Hasil-PC'!$B$12:$B$58,$A21,'Hasil-PC'!$Y$12:$Y$58,P$9)+SUMIFS('Hasil-PC'!$AH$12:$AH$58,'Hasil-PC'!$B$12:$B$58,$A21,'Hasil-PC'!$AD$12:$AD$58,P$9)+SUMIFS('Hasil-PC'!$AM$12:$AM$58,'Hasil-PC'!$B$12:$B$58,$A21,'Hasil-PC'!$AI$12:$AI$58,P$9)+SUMIFS('Hasil-PC'!$AR$12:$AR$58,'Hasil-PC'!$B$12:$B$58,$A21,'Hasil-PC'!$AN$12:$AN$58,P$9)+SUMIFS('Hasil-PC'!$AV$12:$AV$58,'Hasil-PC'!$B$12:$B$58,$A21,'Hasil-PC'!$AT$12:$AT$58,P$9)</f>
        <v>0</v>
      </c>
      <c r="Q21" s="219">
        <f>SUMIFS('Hasil-PC'!$X$12:$X$58,'Hasil-PC'!$B$12:$B$58,$A21,'Hasil-PC'!$W$12:$W$58,Q$9)+SUMIFS('Hasil-PC'!$AC$12:$AC$58,'Hasil-PC'!$B$12:$B$58,$A21,'Hasil-PC'!$Y$12:$Y$58,Q$9)+SUMIFS('Hasil-PC'!$AH$12:$AH$58,'Hasil-PC'!$B$12:$B$58,$A21,'Hasil-PC'!$AD$12:$AD$58,Q$9)+SUMIFS('Hasil-PC'!$AM$12:$AM$58,'Hasil-PC'!$B$12:$B$58,$A21,'Hasil-PC'!$AI$12:$AI$58,Q$9)+SUMIFS('Hasil-PC'!$AR$12:$AR$58,'Hasil-PC'!$B$12:$B$58,$A21,'Hasil-PC'!$AN$12:$AN$58,Q$9)+SUMIFS('Hasil-PC'!$AV$12:$AV$58,'Hasil-PC'!$B$12:$B$58,$A21,'Hasil-PC'!$AT$12:$AT$58,Q$9)</f>
        <v>0</v>
      </c>
      <c r="R21" s="220">
        <f t="shared" si="6"/>
        <v>296.99562484537682</v>
      </c>
      <c r="T21" s="221">
        <f t="shared" si="7"/>
        <v>2.8653382093091251</v>
      </c>
      <c r="U21" s="221">
        <f t="shared" si="8"/>
        <v>214.85904177993939</v>
      </c>
    </row>
    <row r="22" spans="1:21">
      <c r="A22" s="222" t="s">
        <v>103</v>
      </c>
      <c r="B22" s="223">
        <f t="shared" ref="B22:R22" si="9">SUM(B10:B21)</f>
        <v>24.540555649999998</v>
      </c>
      <c r="C22" s="224">
        <f t="shared" si="9"/>
        <v>91.046590532243172</v>
      </c>
      <c r="D22" s="225">
        <f t="shared" si="9"/>
        <v>47</v>
      </c>
      <c r="E22" s="226">
        <f t="shared" si="9"/>
        <v>74</v>
      </c>
      <c r="F22" s="226">
        <f t="shared" si="9"/>
        <v>21</v>
      </c>
      <c r="G22" s="226">
        <f t="shared" si="9"/>
        <v>86.010464025000033</v>
      </c>
      <c r="H22" s="226">
        <f t="shared" si="9"/>
        <v>0</v>
      </c>
      <c r="I22" s="224">
        <f t="shared" si="9"/>
        <v>6.5491083749999994</v>
      </c>
      <c r="J22" s="225">
        <f t="shared" si="9"/>
        <v>0</v>
      </c>
      <c r="K22" s="226">
        <f t="shared" si="9"/>
        <v>0</v>
      </c>
      <c r="L22" s="226">
        <f t="shared" si="9"/>
        <v>0</v>
      </c>
      <c r="M22" s="226">
        <f t="shared" si="9"/>
        <v>1434.9648302987241</v>
      </c>
      <c r="N22" s="226">
        <f t="shared" si="9"/>
        <v>1823.2822771200001</v>
      </c>
      <c r="O22" s="226">
        <f t="shared" si="9"/>
        <v>273.15917140499994</v>
      </c>
      <c r="P22" s="226">
        <f t="shared" si="9"/>
        <v>0</v>
      </c>
      <c r="Q22" s="227">
        <f t="shared" si="9"/>
        <v>0</v>
      </c>
      <c r="R22" s="223">
        <f t="shared" si="9"/>
        <v>3531.4062788237238</v>
      </c>
    </row>
    <row r="23" spans="1:21">
      <c r="A23" s="33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</row>
    <row r="25" spans="1:21">
      <c r="Q25" s="13" t="s">
        <v>107</v>
      </c>
      <c r="R25" s="229">
        <f>R22-'Hasil-PC'!BA63</f>
        <v>0</v>
      </c>
    </row>
  </sheetData>
  <protectedRanges>
    <protectedRange password="CF66" sqref="A5:A7 A10" name="Range1_1"/>
    <protectedRange password="CF66" sqref="A11:A21" name="Range1_2"/>
  </protectedRanges>
  <mergeCells count="11">
    <mergeCell ref="A8:A9"/>
    <mergeCell ref="C8:C9"/>
    <mergeCell ref="D8:D9"/>
    <mergeCell ref="E8:E9"/>
    <mergeCell ref="J8:Q8"/>
    <mergeCell ref="B8:B9"/>
    <mergeCell ref="R8:R9"/>
    <mergeCell ref="F8:F9"/>
    <mergeCell ref="G8:G9"/>
    <mergeCell ref="H8:H9"/>
    <mergeCell ref="I8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22</vt:i4>
      </vt:variant>
    </vt:vector>
  </HeadingPairs>
  <TitlesOfParts>
    <vt:vector size="48" baseType="lpstr">
      <vt:lpstr>Plumbing</vt:lpstr>
      <vt:lpstr>Upah</vt:lpstr>
      <vt:lpstr>Material</vt:lpstr>
      <vt:lpstr>Hitungan Tangga</vt:lpstr>
      <vt:lpstr>COVER</vt:lpstr>
      <vt:lpstr>REKAP RAB</vt:lpstr>
      <vt:lpstr>RAB (B)</vt:lpstr>
      <vt:lpstr>REKAP BETON BESI BEKISTING</vt:lpstr>
      <vt:lpstr>Retaining Wall</vt:lpstr>
      <vt:lpstr>Pas. Dinding</vt:lpstr>
      <vt:lpstr>PROSES BAJA</vt:lpstr>
      <vt:lpstr>DATA BAJA</vt:lpstr>
      <vt:lpstr>TABEL BAJA</vt:lpstr>
      <vt:lpstr>REKAP Plat</vt:lpstr>
      <vt:lpstr>Plat</vt:lpstr>
      <vt:lpstr>Hasil-Kolom</vt:lpstr>
      <vt:lpstr>Data-Kolom</vt:lpstr>
      <vt:lpstr>REKAP Balok</vt:lpstr>
      <vt:lpstr>Data Panjang Balok</vt:lpstr>
      <vt:lpstr>Detail Balok</vt:lpstr>
      <vt:lpstr>Besi Balok</vt:lpstr>
      <vt:lpstr>Data-PC</vt:lpstr>
      <vt:lpstr>Analisa</vt:lpstr>
      <vt:lpstr>RAB (A)</vt:lpstr>
      <vt:lpstr>Hasil-PC</vt:lpstr>
      <vt:lpstr>REKAP-PC</vt:lpstr>
      <vt:lpstr>COVER!Print_Area</vt:lpstr>
      <vt:lpstr>'Data Panjang Balok'!Print_Area</vt:lpstr>
      <vt:lpstr>'Data-Kolom'!Print_Area</vt:lpstr>
      <vt:lpstr>'Data-PC'!Print_Area</vt:lpstr>
      <vt:lpstr>'Hasil-Kolom'!Print_Area</vt:lpstr>
      <vt:lpstr>'Hasil-PC'!Print_Area</vt:lpstr>
      <vt:lpstr>Plat!Print_Area</vt:lpstr>
      <vt:lpstr>'RAB (A)'!Print_Area</vt:lpstr>
      <vt:lpstr>'RAB (B)'!Print_Area</vt:lpstr>
      <vt:lpstr>'REKAP Balok'!Print_Area</vt:lpstr>
      <vt:lpstr>'REKAP RAB'!Print_Area</vt:lpstr>
      <vt:lpstr>COVER!Print_Titles</vt:lpstr>
      <vt:lpstr>'Data Panjang Balok'!Print_Titles</vt:lpstr>
      <vt:lpstr>'Data-PC'!Print_Titles</vt:lpstr>
      <vt:lpstr>'Detail Balok'!Print_Titles</vt:lpstr>
      <vt:lpstr>'Hasil-Kolom'!Print_Titles</vt:lpstr>
      <vt:lpstr>'Hasil-PC'!Print_Titles</vt:lpstr>
      <vt:lpstr>Plat!Print_Titles</vt:lpstr>
      <vt:lpstr>'RAB (A)'!Print_Titles</vt:lpstr>
      <vt:lpstr>'RAB (B)'!Print_Titles</vt:lpstr>
      <vt:lpstr>'REKAP Balok'!Print_Titles</vt:lpstr>
      <vt:lpstr>'REKAP RAB'!Print_Titles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W7</dc:creator>
  <cp:lastModifiedBy>AMD</cp:lastModifiedBy>
  <cp:lastPrinted>2026-01-03T07:08:32Z</cp:lastPrinted>
  <dcterms:created xsi:type="dcterms:W3CDTF">2023-09-04T02:35:00Z</dcterms:created>
  <dcterms:modified xsi:type="dcterms:W3CDTF">2026-04-25T08:38:13Z</dcterms:modified>
</cp:coreProperties>
</file>